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nkyrychenko/common_tools/data/"/>
    </mc:Choice>
  </mc:AlternateContent>
  <xr:revisionPtr revIDLastSave="0" documentId="13_ncr:1_{F90C9FCF-4B07-D444-B0F9-3E54E72689E6}" xr6:coauthVersionLast="36" xr6:coauthVersionMax="36" xr10:uidLastSave="{00000000-0000-0000-0000-000000000000}"/>
  <bookViews>
    <workbookView xWindow="0" yWindow="460" windowWidth="32740" windowHeight="16860" tabRatio="212" xr2:uid="{00000000-000D-0000-FFFF-FFFF00000000}"/>
  </bookViews>
  <sheets>
    <sheet name="Школи" sheetId="1" r:id="rId1"/>
  </sheets>
  <definedNames>
    <definedName name="_xlnm._FilterDatabase" localSheetId="0" hidden="1">Школи!$A$1:$S$16733</definedName>
  </definedNames>
  <calcPr calcId="181029"/>
</workbook>
</file>

<file path=xl/calcChain.xml><?xml version="1.0" encoding="utf-8"?>
<calcChain xmlns="http://schemas.openxmlformats.org/spreadsheetml/2006/main">
  <c r="A16733" i="1" l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<sst xmlns="http://schemas.openxmlformats.org/spreadsheetml/2006/main" count="206856" uniqueCount="84072">
  <si>
    <t>Код</t>
  </si>
  <si>
    <t>Назва закладу</t>
  </si>
  <si>
    <t>Тип</t>
  </si>
  <si>
    <t>Ступінь</t>
  </si>
  <si>
    <t>Форма власності</t>
  </si>
  <si>
    <t>Поштовий індекс</t>
  </si>
  <si>
    <t>Код КОАТУУ</t>
  </si>
  <si>
    <t>Регіон</t>
  </si>
  <si>
    <t>Населений пункт</t>
  </si>
  <si>
    <t>Адреса</t>
  </si>
  <si>
    <t>Телефони</t>
  </si>
  <si>
    <t>Сайт</t>
  </si>
  <si>
    <t>Код ЄДРПОУ</t>
  </si>
  <si>
    <t>Мова навчання</t>
  </si>
  <si>
    <t>Іноземні мови</t>
  </si>
  <si>
    <t>Класи (2017)</t>
  </si>
  <si>
    <t>Учні (2017)</t>
  </si>
  <si>
    <t>Класи (2016)</t>
  </si>
  <si>
    <t>Учні (2016)</t>
  </si>
  <si>
    <t>Вечірня загальноосвітня школа ІІ-ІІІ ступенів № 24 Вінницької міської ради</t>
  </si>
  <si>
    <t>вечірня (змінна) школа</t>
  </si>
  <si>
    <t>II-III</t>
  </si>
  <si>
    <t>комунальна</t>
  </si>
  <si>
    <t>21000</t>
  </si>
  <si>
    <t>0510100000</t>
  </si>
  <si>
    <t>Вінницька область</t>
  </si>
  <si>
    <t>Вінниця</t>
  </si>
  <si>
    <t>вул. Привокзальна, 30</t>
  </si>
  <si>
    <t>(0432)27-20-06</t>
  </si>
  <si>
    <t>26235568</t>
  </si>
  <si>
    <t>Комунальний заклад "Загальносвітня школа І - ІІІ ступенів № 15 Вінницької міської ради"</t>
  </si>
  <si>
    <t>школа</t>
  </si>
  <si>
    <t>I-III</t>
  </si>
  <si>
    <t>21021</t>
  </si>
  <si>
    <t>вул. Келецька, 62</t>
  </si>
  <si>
    <t>(0432)560621</t>
  </si>
  <si>
    <t>20096901</t>
  </si>
  <si>
    <t>українська</t>
  </si>
  <si>
    <t>російська,англійська</t>
  </si>
  <si>
    <t>Вінницька приватна гімназія "Дельфін"</t>
  </si>
  <si>
    <t>гімназія</t>
  </si>
  <si>
    <t>приватна</t>
  </si>
  <si>
    <t>21018</t>
  </si>
  <si>
    <t>вул. В. Стуса, 26</t>
  </si>
  <si>
    <t>(0432)531005, (0432)660707</t>
  </si>
  <si>
    <t>23061346</t>
  </si>
  <si>
    <t>англійська,німецька</t>
  </si>
  <si>
    <t>Вінницький обласний спортивно-гуманітарний ліцей-інтернат Вінницького обласного комунального гуманітарно-педагогічного коледжу</t>
  </si>
  <si>
    <t>ліцей-інтернат</t>
  </si>
  <si>
    <t>21019</t>
  </si>
  <si>
    <t>вул. Нагірна, 13</t>
  </si>
  <si>
    <t>(0432)556896</t>
  </si>
  <si>
    <t>англійська</t>
  </si>
  <si>
    <t>Вінницький приватний православний навчально виховний комплекс святого Миколая</t>
  </si>
  <si>
    <t>навчально-виховний комплекс</t>
  </si>
  <si>
    <t>вул. Келецька, 59 а</t>
  </si>
  <si>
    <t>(0432)698737</t>
  </si>
  <si>
    <t>http://krest-ua.com/shkola-sad/</t>
  </si>
  <si>
    <t>38135230</t>
  </si>
  <si>
    <t>Загальноосвітня школа І ступеня № 5 Вінницької міської ради</t>
  </si>
  <si>
    <t>I</t>
  </si>
  <si>
    <t>21032</t>
  </si>
  <si>
    <t>вул. Богдана Ступки, 18</t>
  </si>
  <si>
    <t>66-46-18</t>
  </si>
  <si>
    <t>26176222</t>
  </si>
  <si>
    <t>Комунальний заклад "Загальноосвітня школа І-ІІІ ступенів № 11 Вінницької міської ради"</t>
  </si>
  <si>
    <t>вул. Стаханівська, 38</t>
  </si>
  <si>
    <t>(0432)68-93-74</t>
  </si>
  <si>
    <t>http://sch11.edu.vn.ua</t>
  </si>
  <si>
    <t>26176268</t>
  </si>
  <si>
    <t>російська,англійська,німецька</t>
  </si>
  <si>
    <t>Комунальний заклад "Загальноосвітня школа І-ІІІ ступенів № 13 Вінницької міської ради"</t>
  </si>
  <si>
    <t>21034</t>
  </si>
  <si>
    <t>вул. Максима Шимка, 1</t>
  </si>
  <si>
    <t>(0432)27-78-17</t>
  </si>
  <si>
    <t>http://sch13.edu.vn.ua/</t>
  </si>
  <si>
    <t>26176386</t>
  </si>
  <si>
    <t>Комунальний заклад "Загальноосвітня школа І-ІІІ ступенів № 14 Вінницької міської ради"</t>
  </si>
  <si>
    <t>вул. Мічуріна, 2</t>
  </si>
  <si>
    <t>(0432)67-46-47</t>
  </si>
  <si>
    <t>http://sch14.edu.vn.ua/</t>
  </si>
  <si>
    <t>24895668</t>
  </si>
  <si>
    <t>Заклад "Загальноосвітня школа І-ІІІ ступенів № 16 Вінницької міської ради"</t>
  </si>
  <si>
    <t>вул. Матроса Кошки, 30</t>
  </si>
  <si>
    <t>(0432)53-45-82</t>
  </si>
  <si>
    <t>http://sch16.edu.vn.ua/</t>
  </si>
  <si>
    <t>20096976</t>
  </si>
  <si>
    <t>Комунальний заклад "Загальноосвітня школа І-ІІІ ступенів № 18 Вінницької міської ради"</t>
  </si>
  <si>
    <t>вул. Келецька, 97</t>
  </si>
  <si>
    <t>(0432)46-46-26</t>
  </si>
  <si>
    <t>http://sch18.edu.vn.ua/</t>
  </si>
  <si>
    <t>26235396</t>
  </si>
  <si>
    <t>Комунальний заклад "Загальноосвітня школа І-ІІІ ступенів № 19 Вінницької міської ради"</t>
  </si>
  <si>
    <t>21003</t>
  </si>
  <si>
    <t>вул. Северина Наливайка, 17</t>
  </si>
  <si>
    <t>(0432)675100, (0432)556354</t>
  </si>
  <si>
    <t>26235447</t>
  </si>
  <si>
    <t>Комунальний заклад "Загальноосвітня школа І-ІІІ ступенів № 21 Вінницької міської ради"</t>
  </si>
  <si>
    <t>вул. 600-річчя, 16</t>
  </si>
  <si>
    <t>(0432)43-84-00</t>
  </si>
  <si>
    <t>http://sch21.edu.vn.ua/</t>
  </si>
  <si>
    <t>20096893</t>
  </si>
  <si>
    <t>Заклад "Загальноосвітня школа І-ІІІ ступенів № 22 Вінницької міської ради"</t>
  </si>
  <si>
    <t>21012</t>
  </si>
  <si>
    <t>вул. Данила Нечая, 21</t>
  </si>
  <si>
    <t>13335682</t>
  </si>
  <si>
    <t>комунальний заклад "Загальноосвітня школа І-ІІІ ступенів № 32 Вінницької міської ради"</t>
  </si>
  <si>
    <t>21001</t>
  </si>
  <si>
    <t>вул. Некрасова, 40</t>
  </si>
  <si>
    <t>(0432)27-63-32, (0432)27-65-66</t>
  </si>
  <si>
    <t>http://sch32.edu.vn.ua/</t>
  </si>
  <si>
    <t>26219747</t>
  </si>
  <si>
    <t>російська,німецька</t>
  </si>
  <si>
    <t>Комунальний заклад "Загальноосвітня школа І-ІІІ ступенів № 33 Вінницької міської ради"</t>
  </si>
  <si>
    <t>вул. Вул. Василя Порика, 20</t>
  </si>
  <si>
    <t>(432)51-15-57</t>
  </si>
  <si>
    <t>https://sch33.edu.vn.ua/</t>
  </si>
  <si>
    <t>21725210</t>
  </si>
  <si>
    <t>Комунальний заклад "Загальноосвітня школа І-ІІІ ступенів № 36 Вінницької міської ради"</t>
  </si>
  <si>
    <t>вул. Пирогова, 191</t>
  </si>
  <si>
    <t>(0432)574597</t>
  </si>
  <si>
    <t>http://sch36.edu.vn.ua/</t>
  </si>
  <si>
    <t>34722302</t>
  </si>
  <si>
    <t>англійська,німецька,французька</t>
  </si>
  <si>
    <t>Комунальний заклад "Загальноосвітня школа І-ІІІ ступенів № 4 ім. Д.І. Менделєєва Вінницької міської ради"</t>
  </si>
  <si>
    <t>вул. Гоголя, 18</t>
  </si>
  <si>
    <t>(0432)56-26-13</t>
  </si>
  <si>
    <t>20089686</t>
  </si>
  <si>
    <t>українська,російська</t>
  </si>
  <si>
    <t>російська,польська,англійська,німецька</t>
  </si>
  <si>
    <t>Комунальний заклад "Загальноосвітня школа І-ІІІ ступенів № 8 Вінницької міської ради"</t>
  </si>
  <si>
    <t>вул. Винниченка, 28</t>
  </si>
  <si>
    <t>(0432)26-50-13</t>
  </si>
  <si>
    <t>http://sch8.edu.vn.ua/</t>
  </si>
  <si>
    <t>26235410</t>
  </si>
  <si>
    <t>Комунальний заклад "Загальноосвітня школа І-ІІІ ступенів № 12 Вінницької міської ради"</t>
  </si>
  <si>
    <t>вул. М. Шимка, 3</t>
  </si>
  <si>
    <t>(0432)669059</t>
  </si>
  <si>
    <t>26119498</t>
  </si>
  <si>
    <t>польська,англійська</t>
  </si>
  <si>
    <t>Комунальний заклад "Загальноосвітня школа І-ІІІ ступенів № 26 Вінницької міської ради"</t>
  </si>
  <si>
    <t>21036</t>
  </si>
  <si>
    <t>вул. Хмельницьке шосе, 27</t>
  </si>
  <si>
    <t>(0432)592182, (0432)521006</t>
  </si>
  <si>
    <t>26176570</t>
  </si>
  <si>
    <t>Комунальний заклад "Загальноосвітня школа І-ІІІ ступенів № 27 Вінницької міської ради"</t>
  </si>
  <si>
    <t>21011</t>
  </si>
  <si>
    <t>вул. Ватутіна, 42</t>
  </si>
  <si>
    <t>(0432)273626</t>
  </si>
  <si>
    <t>26235522</t>
  </si>
  <si>
    <t>Комунальний заклад "Навчально-виховний комплекс: загальноосвітня школа І-ІІІ ступенів – гімназія № 2 Вінницької міської ради"</t>
  </si>
  <si>
    <t>21050</t>
  </si>
  <si>
    <t>вул. Соборна, 94</t>
  </si>
  <si>
    <t>(0432)56-26-50</t>
  </si>
  <si>
    <t>http://sch2.edu.vn.ua/</t>
  </si>
  <si>
    <t>26235485</t>
  </si>
  <si>
    <t>Комунальний заклад "Навчально-виховний комплекс: загальноосвітня школа І-ІІІ ступенів - гімназія № 30 ім. Тараса Шевченка Вінницької міської ради"</t>
  </si>
  <si>
    <t>21007</t>
  </si>
  <si>
    <t>вул. Стрілецька, 62</t>
  </si>
  <si>
    <t>(0432)27-84-94</t>
  </si>
  <si>
    <t>http://sch30.edu.vn.ua</t>
  </si>
  <si>
    <t>20090459</t>
  </si>
  <si>
    <t>Заклад "Навчально-виховний комплекс: загальноосвітня школа І-ІІІ ступенів–гімназія № 23 Вінницької міської ради"</t>
  </si>
  <si>
    <t>вул. Космонавтів, 32</t>
  </si>
  <si>
    <t>(0432)51-33-61, (0432)51-15-18</t>
  </si>
  <si>
    <t>http://sch23.edu.vn.ua/</t>
  </si>
  <si>
    <t>20090689</t>
  </si>
  <si>
    <t>російська,польська,англійська,німецька,французька</t>
  </si>
  <si>
    <t>Комунальний заклад "Навчально-виховний комплекс: загальноосвітня школа І-ІІІ ступенів-гуманітарно-естетичний колегіум № 29 Вінницької міської ради"</t>
  </si>
  <si>
    <t>21022</t>
  </si>
  <si>
    <t>вул. Київська, 149</t>
  </si>
  <si>
    <t>(0432)664352</t>
  </si>
  <si>
    <t>20090465</t>
  </si>
  <si>
    <t>Заклад "Спеціальна загальноосвітня школа І-ІІ ступенів з дошкільним відділенням Вінницької міської ради"</t>
  </si>
  <si>
    <t>спеціальна школа</t>
  </si>
  <si>
    <t>I-II</t>
  </si>
  <si>
    <t>вул. Келецька, 107</t>
  </si>
  <si>
    <t>(0432)46-55-93</t>
  </si>
  <si>
    <t>http://ssch.edu.vn.ua/</t>
  </si>
  <si>
    <t>24898135</t>
  </si>
  <si>
    <t>Комунальний заклад "Вінницький навчально-виховний комплекс: Спеціальна загальноосвітня школа-інтернат І-ІІІ ступенів - дошкільний навчальний заклад Вінницької обласної Ради"</t>
  </si>
  <si>
    <t>спеціальна школа-інтернат</t>
  </si>
  <si>
    <t>21030</t>
  </si>
  <si>
    <t>вул. пр. Юнності, 53А</t>
  </si>
  <si>
    <t>46-16-38</t>
  </si>
  <si>
    <t>http://vnvk.ko3.ru/</t>
  </si>
  <si>
    <t>24896969</t>
  </si>
  <si>
    <t>Комунальний заклад "Вінницький технічний ліцей"</t>
  </si>
  <si>
    <t>ліцей</t>
  </si>
  <si>
    <t>вул. Монастирська, 4</t>
  </si>
  <si>
    <t>(0432)676954, (0432)530942</t>
  </si>
  <si>
    <t>http://vtl.edu.vn.ua/</t>
  </si>
  <si>
    <t>20097668</t>
  </si>
  <si>
    <t>Комунальний заклад "Гуманітарна гімназія № 1 імені М.І. Пирогова Вінницької міської ради"</t>
  </si>
  <si>
    <t>вул. Малиновського, 7</t>
  </si>
  <si>
    <t>0432-56-23-88</t>
  </si>
  <si>
    <t>26235539</t>
  </si>
  <si>
    <t>російська,англійська,німецька,французька</t>
  </si>
  <si>
    <t>комунальний заклад "Загальноосвітня школа І-ІІІ ступенів № 10 Вінницької міської ради"</t>
  </si>
  <si>
    <t>21027</t>
  </si>
  <si>
    <t>вул. Андрія Первозванного, 22</t>
  </si>
  <si>
    <t>(0432)46-53-03</t>
  </si>
  <si>
    <t>http://sch10.edu.vn.ua/</t>
  </si>
  <si>
    <t>21725150</t>
  </si>
  <si>
    <t>Комунальний заклад "Загальноосвітня школа І-ІІІ ступенів № 3 ім. М. Коцюбинського Вінницької міської ради"</t>
  </si>
  <si>
    <t>вул. Оводова Миколи, 2</t>
  </si>
  <si>
    <t>(0432)61-14-53</t>
  </si>
  <si>
    <t>http://sch3.edu.vn.ua/</t>
  </si>
  <si>
    <t>26176297</t>
  </si>
  <si>
    <t>Комунальний заклад "Загальноосвітня школа І-ІІІ ступенів № 35 Вінницької міської ради"</t>
  </si>
  <si>
    <t>вул. Миколи Ващука, 10</t>
  </si>
  <si>
    <t>(0432)431734, (0432)464285</t>
  </si>
  <si>
    <t>http://sch35.blogspot.com/</t>
  </si>
  <si>
    <t>26235404</t>
  </si>
  <si>
    <t>Комунальний заклад "Загальноосвітня школа І-ІІІ ступенів № 20 Вінницької міської ради"</t>
  </si>
  <si>
    <t>21023</t>
  </si>
  <si>
    <t>вул. Чумацька, 266</t>
  </si>
  <si>
    <t>(0432)688793, (0432)688803, (0432)687985</t>
  </si>
  <si>
    <t>26224240</t>
  </si>
  <si>
    <t>комунальний заклад "Загальноосвітня школа І-ІІІ ступенів № 9 Вінницької міської ради"</t>
  </si>
  <si>
    <t>вул. Брацлавська, 98</t>
  </si>
  <si>
    <t>(0432)265558</t>
  </si>
  <si>
    <t>26176239</t>
  </si>
  <si>
    <t>Комунальний заклад "Загальноосвітня школа І-ІІІ ступенів із спеціалізованими класами з поглибленим вивченням математики і фізики № 34 Вінницької міської ради"</t>
  </si>
  <si>
    <t>21029</t>
  </si>
  <si>
    <t>вул. Миколи Ващука, 12</t>
  </si>
  <si>
    <t>(0432)460557</t>
  </si>
  <si>
    <t>26235433</t>
  </si>
  <si>
    <t>Комунальний заклад "Загальноосвітня школа ІІ-ІІІ ступенів № 31 Вінницької міської ради Вінницької області"</t>
  </si>
  <si>
    <t>вул. Б. Ступки, 13</t>
  </si>
  <si>
    <t>(0432)53-88-42</t>
  </si>
  <si>
    <t>http://sch31.edu.vn.ua/</t>
  </si>
  <si>
    <t>26176311</t>
  </si>
  <si>
    <t>Комунальний заклад "Навчально-виховний комплекс: загальноосвітня школа І-ІІ ступенів - ліцей № 7 Вінницької міської ради"</t>
  </si>
  <si>
    <t>вул. Владислава Городецького, 21</t>
  </si>
  <si>
    <t>(0432)56-23-92</t>
  </si>
  <si>
    <t>26235427</t>
  </si>
  <si>
    <t>польська,англійська,німецька</t>
  </si>
  <si>
    <t>Комунальний заклад "Навчально-виховний комплекс: загальноосвітня школа І-ІІІ ступенів - гімназія № 6 Вінницької міської ради"</t>
  </si>
  <si>
    <t>21009</t>
  </si>
  <si>
    <t>вул. Стрілецька, 12</t>
  </si>
  <si>
    <t>(0432)66-42-41</t>
  </si>
  <si>
    <t>26176245</t>
  </si>
  <si>
    <t>Комунальний заклад "Спеціалізована загальноосвітня школа І ступеня з поглибленим вивченням іноземних мов № 25 Вінницької міської ради"</t>
  </si>
  <si>
    <t>спеціалізована школа</t>
  </si>
  <si>
    <t>вул. Келецька, 89</t>
  </si>
  <si>
    <t>(0432)439431</t>
  </si>
  <si>
    <t>20090525</t>
  </si>
  <si>
    <t>Комунальний заклад "Фізико-математична гімназія № 17 Вінницької міської ради"</t>
  </si>
  <si>
    <t>вул. Олександра Соловйова, 2</t>
  </si>
  <si>
    <t>(0432)61-14-50</t>
  </si>
  <si>
    <t>20097993</t>
  </si>
  <si>
    <t>Ліцей цивільного захисту Львівського державного університету безпеки життєдіяльності (м. Вінниця)</t>
  </si>
  <si>
    <t>державна</t>
  </si>
  <si>
    <t>21020</t>
  </si>
  <si>
    <t>вул. Генерала Арабея, 7</t>
  </si>
  <si>
    <t>(0432)61-15-68</t>
  </si>
  <si>
    <t>Приватний заклад "Навчально-виховний комплекс "Ор Менахем Вінниця"</t>
  </si>
  <si>
    <t>21100</t>
  </si>
  <si>
    <t>вул. Маяковського, 202 а</t>
  </si>
  <si>
    <t>80432687545</t>
  </si>
  <si>
    <t>37247734</t>
  </si>
  <si>
    <t>Приватний заклад "Навчально-виховний комплекс "Школа АІСТ": Центр розвитку дитини - загальноосвітня школа І-ІІІ ступенів" м. Вінниці</t>
  </si>
  <si>
    <t>просп. Юності, 9</t>
  </si>
  <si>
    <t>(0432)433826</t>
  </si>
  <si>
    <t>13301890</t>
  </si>
  <si>
    <t>російська,польська,англійська</t>
  </si>
  <si>
    <t>Економіко-правнича гімназія Вінницького фінансово-економічного університету</t>
  </si>
  <si>
    <t>21037</t>
  </si>
  <si>
    <t>вул. Пирогова, 71 А</t>
  </si>
  <si>
    <t>(0432)53-47-27, (0432)53-36-80</t>
  </si>
  <si>
    <t>Жмеринський Навчально - виховний комплекс "Загальноосвітня школа І-ІІІ ступенів - гімназія" комунальної власності територіальної громади міста Жмеринки Вінницької області</t>
  </si>
  <si>
    <t>23100</t>
  </si>
  <si>
    <t>0510300000</t>
  </si>
  <si>
    <t>Жмеринка</t>
  </si>
  <si>
    <t>вул. Короленка, 7</t>
  </si>
  <si>
    <t>(04332)22549</t>
  </si>
  <si>
    <t>http://gymn.mzhedu.vn.ua/</t>
  </si>
  <si>
    <t>Загальноосвітня школа I-III ступенів № 4 комунальної властності теріторіальної громади міста Жмеринки</t>
  </si>
  <si>
    <t>вул. Київська, 3</t>
  </si>
  <si>
    <t>(04332)22339, (04332)22639</t>
  </si>
  <si>
    <t>http://zhmerynka-zosh4.vn.sch.in.ua</t>
  </si>
  <si>
    <t>Загальноосвітня школа І-ІІІ ступенів № 1 комунальної власності територіальної громади міста Жмеринки Вінницької області</t>
  </si>
  <si>
    <t>вул. Коцюбинського, 39</t>
  </si>
  <si>
    <t>(04332)2-28-29</t>
  </si>
  <si>
    <t>http://www.zhmerynka-school1.edukit.vn.ua/</t>
  </si>
  <si>
    <t>Загальноосвітня школа І-ІІІ ступенів № 3 комунальної власності територіальної громади м.Жмеринка Вінницької області</t>
  </si>
  <si>
    <t>пров. Лютневий, 3</t>
  </si>
  <si>
    <t>(04332)21065</t>
  </si>
  <si>
    <t>Загальноосвітня школа І-ІІІ ступенів № 6</t>
  </si>
  <si>
    <t>вул. Магістральна, 21</t>
  </si>
  <si>
    <t>(04332)22830</t>
  </si>
  <si>
    <t>Загальноосвітня школа-інтернат І-ІІ ступенів м. Жмеринки</t>
  </si>
  <si>
    <t>школа-інтернат</t>
  </si>
  <si>
    <t>вул. І. Франка, 136</t>
  </si>
  <si>
    <t>24896886</t>
  </si>
  <si>
    <t>Навчально-виховний комплекс "Загальноосвітня школа І-ІІІ ст.-ліцей" комунальної власності територіальної громади міста Жмеринки Вінницької області</t>
  </si>
  <si>
    <t>вул. Центральна, 2</t>
  </si>
  <si>
    <t>(04332)22838</t>
  </si>
  <si>
    <t>http://lyceum.mzhedu.vn.ua</t>
  </si>
  <si>
    <t>Гімназія (загальноосвітній навчальний заклад ІІ-ІІІ ступенів гуманітарного, художньо-естетичного профілю) м.Могилева-Подільського</t>
  </si>
  <si>
    <t>24000</t>
  </si>
  <si>
    <t>0510400000</t>
  </si>
  <si>
    <t>Могилів-Подільський</t>
  </si>
  <si>
    <t>вул. Ринкова, 33</t>
  </si>
  <si>
    <t>(04337)6-50-91</t>
  </si>
  <si>
    <t>Могилів-Подільська середня загальноосвітня школа І-ІІІ ступенів № 1 Могилів-Подільської міської ради Вінницької області</t>
  </si>
  <si>
    <t>пров. Олени Пчілки, 11</t>
  </si>
  <si>
    <t>(04337)6-67-40, (04337)6-47-40</t>
  </si>
  <si>
    <t>http://mp-zosh1.vn.sch.in.ua</t>
  </si>
  <si>
    <t>Навчально-виховний комплекс № 3 «загальноосвітній навчальний заклад - дошкільний навчальний заклад» м. Могилева - Подільського Вінницької області</t>
  </si>
  <si>
    <t>просп. Просп. Незалежності, 110/2</t>
  </si>
  <si>
    <t>(04337)66769</t>
  </si>
  <si>
    <t>Навчально-виховний комплекс № 5 "загальноосвітній навчальний заклад - дошкільний навчальний заклад" м. Могилева-Подільского Вінницької області</t>
  </si>
  <si>
    <t>вул. Полтавська, 25</t>
  </si>
  <si>
    <t>(04337)6-49-69</t>
  </si>
  <si>
    <t>Навчально-виховний комплекс: загальноосвітня школа I-III ступенів № 4-ліцей м.Могилева-Подільського, Вінницької області.</t>
  </si>
  <si>
    <t>вул. Київська, 38/2</t>
  </si>
  <si>
    <t>(04337)6-29-52</t>
  </si>
  <si>
    <t>"Загальноосвітня середня школа І-ІІІ ступенів № 5 Козятинської міської ради Вінницької області"</t>
  </si>
  <si>
    <t>22102</t>
  </si>
  <si>
    <t>0510500000</t>
  </si>
  <si>
    <t>Козятин</t>
  </si>
  <si>
    <t>вул. Сковороди, 4</t>
  </si>
  <si>
    <t>(04342)27733, (04342)27048</t>
  </si>
  <si>
    <t>Загальноосвітній навчально-виховний комплекс І-ІІІ ступенів "школа-дитячий садок" № 6 Козятинської міської ради Вінницької області</t>
  </si>
  <si>
    <t>22131</t>
  </si>
  <si>
    <t>вул. Дружби, 55</t>
  </si>
  <si>
    <t>0434255338</t>
  </si>
  <si>
    <t>КНЗ "Загальноосвітня школа І-ІІІ ступенів № 3 Козятинської міської ради Вінницької області"</t>
  </si>
  <si>
    <t>22100</t>
  </si>
  <si>
    <t>вул. Матросова, 41</t>
  </si>
  <si>
    <t>Комунальний заклад "Навчально-виховний комплекс І-ІІІ ступенів "ліцей-школа" Козятинської міської ради Вінницької області"</t>
  </si>
  <si>
    <t>вул. Володимира Великого, 20</t>
  </si>
  <si>
    <t>(04342)22371</t>
  </si>
  <si>
    <t>Комунальний навчальний заклад "Загальноосвітня школа І - ІІІ ступенів № 2 Козятинської міської ради Вінницької області"</t>
  </si>
  <si>
    <t>вул. Героїв Майдану, 2</t>
  </si>
  <si>
    <t>(04342)21135, (04342)21237</t>
  </si>
  <si>
    <t>Комунальний навчальний заклад "Спеціалізована школа І-ІІІ ступенів № 1 ім. Т.Г. Шевченка" Козятинської міської ради Вінницької обл.</t>
  </si>
  <si>
    <t>вул. Винниченка, 29</t>
  </si>
  <si>
    <t>(04342)20964</t>
  </si>
  <si>
    <t>Ладижинська загальноосвітня школа № 2</t>
  </si>
  <si>
    <t>24321</t>
  </si>
  <si>
    <t>0510600000</t>
  </si>
  <si>
    <t>Ладижин</t>
  </si>
  <si>
    <t>вул. Процишина, 21</t>
  </si>
  <si>
    <t>Ладижинська загальноосвітня школа І-ІІІ ступенів № 3 Ладижинської міської ради Вінницької області</t>
  </si>
  <si>
    <t>вул. Кравчика, 53</t>
  </si>
  <si>
    <t>043-43-6-17-60</t>
  </si>
  <si>
    <t>http://sch.mledu.vn.ua</t>
  </si>
  <si>
    <t>Ладижинська загальноосвітня школа І-ІІІ ступенів № 4 Ладижинської міської ради Вінницької області</t>
  </si>
  <si>
    <t>вул. Будівельників, 63</t>
  </si>
  <si>
    <t>(04343)6-71-32</t>
  </si>
  <si>
    <t>http://ladsh4.ho.ua/</t>
  </si>
  <si>
    <t>Ладижинський навчально-виховний комплекс № 1 (загальноосвітня школа І-ІІІ ступенів - дошкільний навчальний заклад) Ладижинської міської ради Вінницької області</t>
  </si>
  <si>
    <t>24320</t>
  </si>
  <si>
    <t>вул. Незалежності, 2</t>
  </si>
  <si>
    <t>(04343)61681</t>
  </si>
  <si>
    <t>http://sch1.mledu.vn.ua/</t>
  </si>
  <si>
    <t>Лукашівський НВК Ладижинської міської ради Вінницької області</t>
  </si>
  <si>
    <t>24325</t>
  </si>
  <si>
    <t>0510690002</t>
  </si>
  <si>
    <t>Лукашівка</t>
  </si>
  <si>
    <t>вул. Першотравнева, 56</t>
  </si>
  <si>
    <t>(04343)63316</t>
  </si>
  <si>
    <t>Комунальний заклад "Загальноосвітня школа І-ІІІ ступенів № 2 м. Хмільника Вінницької області"</t>
  </si>
  <si>
    <t>22000</t>
  </si>
  <si>
    <t>0510900000</t>
  </si>
  <si>
    <t>Хмільник</t>
  </si>
  <si>
    <t>вул. Столярчука, 29</t>
  </si>
  <si>
    <t>(04338)2-23-40</t>
  </si>
  <si>
    <t>http://khs2.mkhedu.vn.ua</t>
  </si>
  <si>
    <t>Комунальний заклад "Загальноосвітня школа І-ІІІ ступенів № 3 м.Хмільника Вінницької області"</t>
  </si>
  <si>
    <t>вул. Некрасова, 3</t>
  </si>
  <si>
    <t>(04338)23112, (04338)22734</t>
  </si>
  <si>
    <t>Комунальний заклад "Загальноосвітня школа І-ІІІ ступенів № 4 м.Хмільника Вінницької обл."</t>
  </si>
  <si>
    <t>вул. 1 Травня, 39</t>
  </si>
  <si>
    <t>(04338)22297</t>
  </si>
  <si>
    <t>Комунальний заклад «Навчально-виховний комплекс: загальноосвітня школа І-ІІІ ступенів-гімназія № 1 м. Хмільника Вінницької області»</t>
  </si>
  <si>
    <t>вул. Небесної сотні, 12</t>
  </si>
  <si>
    <t>(04338)2-23-12, (04338)2-26-18</t>
  </si>
  <si>
    <t>Барська загальноосвітня школа І-ІІІ ступенів № 4 Барської міської ради Вінницької області</t>
  </si>
  <si>
    <t>23000</t>
  </si>
  <si>
    <t>0520210100</t>
  </si>
  <si>
    <t>Бар</t>
  </si>
  <si>
    <t>вул. Героїв Майдану, 5</t>
  </si>
  <si>
    <t>(04341)22270</t>
  </si>
  <si>
    <t>http://sch4.baredu.vn.ua</t>
  </si>
  <si>
    <t>Барська загальноосвітня школа І - ІІІ ступенів № 1 Барської міської ради, Вінницької області</t>
  </si>
  <si>
    <t>вул. Гагаріна, 15</t>
  </si>
  <si>
    <t>(04341)2-41-97</t>
  </si>
  <si>
    <t>Загальноосвітня школа І-ІІІ ст № 3 м. Бара Вінницької області</t>
  </si>
  <si>
    <t>вул. Соборна, 22</t>
  </si>
  <si>
    <t>(04341)2-16-32, (04341)2-25-65</t>
  </si>
  <si>
    <t>http://sch3.baredu.vn.ua</t>
  </si>
  <si>
    <t>Барський навчально-виховний комплекс "Загальноосвітня школа І-ІІІ ступенів № 2 - гімназія" Барської міської ради Вінницької області</t>
  </si>
  <si>
    <t>вул. Героїв Майдану, 13</t>
  </si>
  <si>
    <t>(04341)23255</t>
  </si>
  <si>
    <t>Обласний гуманітарний ліцей-інтернат для обдарованих дітей при Барському гуманітарно-педагогічному коледжі імені Михайла Грушевського</t>
  </si>
  <si>
    <t>майдан Грушевського, 1</t>
  </si>
  <si>
    <t>(04341)21270</t>
  </si>
  <si>
    <t>http://bar-liceum.at.ua</t>
  </si>
  <si>
    <t>Копайгородська ЗОШ І-ІІІ ст. ім. О.С.Пушкіна</t>
  </si>
  <si>
    <t>23053</t>
  </si>
  <si>
    <t>0520255300</t>
  </si>
  <si>
    <t>Копайгород</t>
  </si>
  <si>
    <t>вул. Центральна, 111</t>
  </si>
  <si>
    <t>(04341)32-474</t>
  </si>
  <si>
    <t>http://kpg.baredu.vn.ua</t>
  </si>
  <si>
    <t>Глинянський навчально- виховний комплекс " Загальноосвітня школа - дошкільний навчальний заклад" І ступеня</t>
  </si>
  <si>
    <t>02301</t>
  </si>
  <si>
    <t>0520280102</t>
  </si>
  <si>
    <t>Глинянка</t>
  </si>
  <si>
    <t>вул. Чапаева, 48</t>
  </si>
  <si>
    <t>(04341)33543</t>
  </si>
  <si>
    <t>Балківський навчально- виховний комплекс "дошкільний навчальний заклад- загальноовітня школа" І-ІІ ступненів</t>
  </si>
  <si>
    <t>23006</t>
  </si>
  <si>
    <t>0520280201</t>
  </si>
  <si>
    <t>Балки</t>
  </si>
  <si>
    <t>вул. Гідності, 34</t>
  </si>
  <si>
    <t>(04341)21038</t>
  </si>
  <si>
    <t>http://balkyvskiynvk.blogspot.com</t>
  </si>
  <si>
    <t>Окладнянська загальноосвітня школа - сад І ступеня</t>
  </si>
  <si>
    <t>23008</t>
  </si>
  <si>
    <t>0520280207</t>
  </si>
  <si>
    <t>Окладне</t>
  </si>
  <si>
    <t>вул. Визволителів, 17</t>
  </si>
  <si>
    <t>(04341)2-30-14</t>
  </si>
  <si>
    <t>Верхівська загальноосвітня школа І-ІІІ ступенів</t>
  </si>
  <si>
    <t>0520280401</t>
  </si>
  <si>
    <t>Верхівка</t>
  </si>
  <si>
    <t>вул. Св.Миколая, 2</t>
  </si>
  <si>
    <t>Войнашівська загальноосвітня школа І-ІІІ ступенів</t>
  </si>
  <si>
    <t>23007</t>
  </si>
  <si>
    <t>0520280601</t>
  </si>
  <si>
    <t>Войнашівка</t>
  </si>
  <si>
    <t>вул. Привокзальна, 20</t>
  </si>
  <si>
    <t>(04341)34340</t>
  </si>
  <si>
    <t>Марянівський навчально-виховний комплекс "ДНЗ-ЗОШ" Іступеня</t>
  </si>
  <si>
    <t>0520280805</t>
  </si>
  <si>
    <t>Мар'янівка</t>
  </si>
  <si>
    <t>вул. інтернаціональна, 20</t>
  </si>
  <si>
    <t>0985954302</t>
  </si>
  <si>
    <t>Гаївська загальноосвтня школа - сад І-ІІ ступенів</t>
  </si>
  <si>
    <t>23012</t>
  </si>
  <si>
    <t>0520281001</t>
  </si>
  <si>
    <t>Гайове</t>
  </si>
  <si>
    <t>вул. Центральна, 10</t>
  </si>
  <si>
    <t>(33)6-99</t>
  </si>
  <si>
    <t>http://gaewoe.ucoz.ru</t>
  </si>
  <si>
    <t>Гармацька загальноосвітня школа 1-2 ступенів Барської РДА Вінницької ОДА</t>
  </si>
  <si>
    <t>23011</t>
  </si>
  <si>
    <t>0520281201</t>
  </si>
  <si>
    <t>Гармаки</t>
  </si>
  <si>
    <t>вул. Соборна, 52Б</t>
  </si>
  <si>
    <t>(04341)33249</t>
  </si>
  <si>
    <t>http://www.garmaky-zosh.edukit.vn.ua</t>
  </si>
  <si>
    <t>Гулівська загальноосвітня школа І-ІІ ступенів</t>
  </si>
  <si>
    <t>23042</t>
  </si>
  <si>
    <t>0520281401</t>
  </si>
  <si>
    <t>Гулі</t>
  </si>
  <si>
    <t>(04341)36236</t>
  </si>
  <si>
    <t>Журавлівська загальноосвітня школа І-ІІ ступенів, с. Журавлівка</t>
  </si>
  <si>
    <t>23025</t>
  </si>
  <si>
    <t>0520281603</t>
  </si>
  <si>
    <t>Журавлівка</t>
  </si>
  <si>
    <t>вул. Шкільна, 1</t>
  </si>
  <si>
    <t>(04341)36-5-29</t>
  </si>
  <si>
    <t>Сеферівська загальноосвітня школа - сад І-ІІ ступенів Барського району Вінницької області</t>
  </si>
  <si>
    <t>23027</t>
  </si>
  <si>
    <t>0520281615</t>
  </si>
  <si>
    <t>Сеферівка</t>
  </si>
  <si>
    <t>вул. Шкільна, 78А</t>
  </si>
  <si>
    <t>(8(04341))36553</t>
  </si>
  <si>
    <t>http://seferivka-nvk.edukit.vn.ua/</t>
  </si>
  <si>
    <t>Івановецька загальноосвітня школа І-ІІ ступенів</t>
  </si>
  <si>
    <t>23013</t>
  </si>
  <si>
    <t>0520281801</t>
  </si>
  <si>
    <t>Іванівці</t>
  </si>
  <si>
    <t>вул. Шкільна, 23</t>
  </si>
  <si>
    <t>(04341)33842</t>
  </si>
  <si>
    <t>Каришківська загальноосвітня школа І-ІІІ ступенів</t>
  </si>
  <si>
    <t>23062</t>
  </si>
  <si>
    <t>0520282003</t>
  </si>
  <si>
    <t>Каришків</t>
  </si>
  <si>
    <t>(04341)38443</t>
  </si>
  <si>
    <t>http://karysckiv-sch.at.ua</t>
  </si>
  <si>
    <t>Комаровецька загальноосвітня школа І-ІІІ ступенів</t>
  </si>
  <si>
    <t>23010</t>
  </si>
  <si>
    <t>0520282203</t>
  </si>
  <si>
    <t>Комарівці</t>
  </si>
  <si>
    <t>вул. О.Щепанського, 5</t>
  </si>
  <si>
    <t>(04341)33472</t>
  </si>
  <si>
    <t>Кузьминецька загальноосвітня школа 1-2 ступенів Кузьминецької сільської ради Барського району Вінницької області</t>
  </si>
  <si>
    <t>23040</t>
  </si>
  <si>
    <t>0520282403</t>
  </si>
  <si>
    <t>Кузьминці</t>
  </si>
  <si>
    <t>вул. Івана Богослова, 14А</t>
  </si>
  <si>
    <t>Лісівська загальноосвітня школа І ступеня</t>
  </si>
  <si>
    <t>0520282603</t>
  </si>
  <si>
    <t>Лісове</t>
  </si>
  <si>
    <t>вул. Центральна, 25</t>
  </si>
  <si>
    <t>(04341)36529</t>
  </si>
  <si>
    <t>Луко-Барський НВК"Загальноосвітня школа І-ІІІступенів-дошкільний навчальний заклад"</t>
  </si>
  <si>
    <t>23015</t>
  </si>
  <si>
    <t>0520282803</t>
  </si>
  <si>
    <t>Лука-Барська</t>
  </si>
  <si>
    <t>вул. Калинова, 8</t>
  </si>
  <si>
    <t>(04341)39332</t>
  </si>
  <si>
    <t>Мальчовецький навчально - виховний комплекс "Дошкільний навчальний заклад - загальноосвітня школа 1 - 2 ступенів"</t>
  </si>
  <si>
    <t>06916</t>
  </si>
  <si>
    <t>0520283003</t>
  </si>
  <si>
    <t>Мальчівці</t>
  </si>
  <si>
    <t>вул. Леніна, 4</t>
  </si>
  <si>
    <t>(04341)37184</t>
  </si>
  <si>
    <t>німецька,французька</t>
  </si>
  <si>
    <t>Маньковецька загальноосвітня школа І-ІІІ ступенів</t>
  </si>
  <si>
    <t>06882</t>
  </si>
  <si>
    <t>0520283203</t>
  </si>
  <si>
    <t>Маньківці</t>
  </si>
  <si>
    <t>вул. М. Грушевського, 34Б</t>
  </si>
  <si>
    <t>(04341)34748</t>
  </si>
  <si>
    <t>Матейківський навчально-виховний комплекс "Загальноосвітня школа І-ІІ ступенів - дошкільний навчальний заклад"</t>
  </si>
  <si>
    <t>23050</t>
  </si>
  <si>
    <t>0520283403</t>
  </si>
  <si>
    <t>Матейків</t>
  </si>
  <si>
    <t>вул. Польова, 4</t>
  </si>
  <si>
    <t>(37)3-49</t>
  </si>
  <si>
    <t>Мигалівецька загальноосвітня школа І-ІІ ступенів</t>
  </si>
  <si>
    <t>23023</t>
  </si>
  <si>
    <t>0520283501</t>
  </si>
  <si>
    <t>Мигалівці</t>
  </si>
  <si>
    <t>вул. Миру, 8</t>
  </si>
  <si>
    <t>Митківська загальноосвітня школа І-ІІІ ступенів Барського району Вінницької області</t>
  </si>
  <si>
    <t>23036</t>
  </si>
  <si>
    <t>0520283603</t>
  </si>
  <si>
    <t>Митки</t>
  </si>
  <si>
    <t>вул. Привокзальна, 1</t>
  </si>
  <si>
    <t>(04341)37134</t>
  </si>
  <si>
    <t>Киянівська загальноосвітня школа - сад І ст</t>
  </si>
  <si>
    <t>23037</t>
  </si>
  <si>
    <t>0520283606</t>
  </si>
  <si>
    <t>Киянівка</t>
  </si>
  <si>
    <t>вул. Першотравнева, 26 - А</t>
  </si>
  <si>
    <t>(04341)37157</t>
  </si>
  <si>
    <t>Підлісноялтушківський навчально-виховний комплекс " Загальноосвітня школа І-ІІ ступенів - дошкільний навчальний заклад"</t>
  </si>
  <si>
    <t>23043</t>
  </si>
  <si>
    <t>0520284003</t>
  </si>
  <si>
    <t>Підлісний Ялтушків</t>
  </si>
  <si>
    <t>(04341)36132</t>
  </si>
  <si>
    <t>Поповецька загальноосвітня школа І-ІІІ ступенів Поповецька сільска рада Барського району Вінницької області</t>
  </si>
  <si>
    <t>23051</t>
  </si>
  <si>
    <t>0520284403</t>
  </si>
  <si>
    <t>Попівці</t>
  </si>
  <si>
    <t>вул. Шкільна, 10</t>
  </si>
  <si>
    <t>(04341)38810</t>
  </si>
  <si>
    <t>http://popsc.ucoz.ua</t>
  </si>
  <si>
    <t>Кошаринецька загальноосвітня школа І-ІІ ступенів</t>
  </si>
  <si>
    <t>23052</t>
  </si>
  <si>
    <t>0520284409</t>
  </si>
  <si>
    <t>Кошаринці</t>
  </si>
  <si>
    <t>вул. Шкільна, 38</t>
  </si>
  <si>
    <t>(04341)38158</t>
  </si>
  <si>
    <t>Терешківська загальноосвітня школа І-ІІ ступенів Барського району Вінницької області</t>
  </si>
  <si>
    <t>0520285003</t>
  </si>
  <si>
    <t>Терешки</t>
  </si>
  <si>
    <t>вул. Шкільна, 7</t>
  </si>
  <si>
    <t>(043041)33383</t>
  </si>
  <si>
    <t>Чемериський навчально - виховний комплекс "Дошкільний навчальний заклад - загальноосвітня школа І - ІІ ступенів"</t>
  </si>
  <si>
    <t>23026</t>
  </si>
  <si>
    <t>0520285603</t>
  </si>
  <si>
    <t>Чемериське</t>
  </si>
  <si>
    <t>вул. Б. Хмельницького, 25</t>
  </si>
  <si>
    <t>(04341)33127</t>
  </si>
  <si>
    <t>Ялтушківська загальноосвітня школа І-ІІІ ступенів</t>
  </si>
  <si>
    <t>23021</t>
  </si>
  <si>
    <t>0520286503</t>
  </si>
  <si>
    <t>Ялтушків</t>
  </si>
  <si>
    <t>вул. Соборна, 5</t>
  </si>
  <si>
    <t>(04341)35240</t>
  </si>
  <si>
    <t>Бершадська загальноосвітня школа І-ІІІ ступенів № 1</t>
  </si>
  <si>
    <t>24400</t>
  </si>
  <si>
    <t>0520410100</t>
  </si>
  <si>
    <t>Бершадь</t>
  </si>
  <si>
    <t>вул. Шкільна, 35</t>
  </si>
  <si>
    <t>24478</t>
  </si>
  <si>
    <t>http://sch1.beredu.vn.ua</t>
  </si>
  <si>
    <t>Бершадська загальноосвітня школа І-ІІІ ступенів № 2</t>
  </si>
  <si>
    <t>вул. Покровська, 153</t>
  </si>
  <si>
    <t>(04352)21009</t>
  </si>
  <si>
    <t>http://bershad-school2.edukit.vn.ua</t>
  </si>
  <si>
    <t>Бершадська загальноосвітня школа І-ІІІ ступенів № 3</t>
  </si>
  <si>
    <t>вул. Юрія Коваленка, 54</t>
  </si>
  <si>
    <t>23180</t>
  </si>
  <si>
    <t>http://school3bershad.vn.ua</t>
  </si>
  <si>
    <t>Баланівська загальноосвітня школа І-ІІІ ступенів</t>
  </si>
  <si>
    <t>24413</t>
  </si>
  <si>
    <t>0520480403</t>
  </si>
  <si>
    <t>Баланівка</t>
  </si>
  <si>
    <t>вул. Перемоги, 15</t>
  </si>
  <si>
    <t>4-15-32, 0979009154</t>
  </si>
  <si>
    <t>Бирлівська загальноосвітня школа I-II ст.</t>
  </si>
  <si>
    <t>24414</t>
  </si>
  <si>
    <t>0520480603</t>
  </si>
  <si>
    <t>Бирлівка</t>
  </si>
  <si>
    <t>вул. Вишнева, 285</t>
  </si>
  <si>
    <t>Великокиріївська загальноосвітня школа І-ІІІ ступенів</t>
  </si>
  <si>
    <t>24455</t>
  </si>
  <si>
    <t>0520480903</t>
  </si>
  <si>
    <t>Велика Киріївка</t>
  </si>
  <si>
    <t>вул. Шевченка, 23</t>
  </si>
  <si>
    <t>48624</t>
  </si>
  <si>
    <t>https://sites.google.com/site/velikokiriievskashkola/</t>
  </si>
  <si>
    <t>Голдашівська загальноосвітня школа І-ІІ ступенів</t>
  </si>
  <si>
    <t>24464</t>
  </si>
  <si>
    <t>0520481303</t>
  </si>
  <si>
    <t>Голдашівка</t>
  </si>
  <si>
    <t>(04352)56-340</t>
  </si>
  <si>
    <t>німецька</t>
  </si>
  <si>
    <t>Джулинська загальноосвітня школа І-ІІІ ступенів</t>
  </si>
  <si>
    <t>24450</t>
  </si>
  <si>
    <t>0520481603</t>
  </si>
  <si>
    <t>Джулинка</t>
  </si>
  <si>
    <t>вул. Некрасова, 10</t>
  </si>
  <si>
    <t>0435257193</t>
  </si>
  <si>
    <t>http://www.dzhulynska-zosh.vn.sch.in.ua</t>
  </si>
  <si>
    <t>Джулинська спеціальна загальноосвітня школа - інтернат Бершадського району Вінницької обласної Ради</t>
  </si>
  <si>
    <t>вул. Центральна, 35</t>
  </si>
  <si>
    <t>(04352)57284</t>
  </si>
  <si>
    <t>23056606</t>
  </si>
  <si>
    <t>Берізкобершадська загальноосвітня школа І-ІІ ступенів</t>
  </si>
  <si>
    <t>24451</t>
  </si>
  <si>
    <t>0520481606</t>
  </si>
  <si>
    <t>Берізки-Бершадські</t>
  </si>
  <si>
    <t>вул. Шкільна, 2</t>
  </si>
  <si>
    <t>Дяківська загальноосвітня школа І-ІІ ступенів</t>
  </si>
  <si>
    <t>24444</t>
  </si>
  <si>
    <t>0520481803</t>
  </si>
  <si>
    <t>Дяківка</t>
  </si>
  <si>
    <t>вул. Садова, 2</t>
  </si>
  <si>
    <t>0435245914</t>
  </si>
  <si>
    <t>http://diakivka-zosh.edukit.vn.ua</t>
  </si>
  <si>
    <t>Кидрасівська загальноосвітня школа І-ІІ ступенів</t>
  </si>
  <si>
    <t>24465</t>
  </si>
  <si>
    <t>0520482203</t>
  </si>
  <si>
    <t>Кидрасівка</t>
  </si>
  <si>
    <t>вул. Ковальчука, 1А</t>
  </si>
  <si>
    <t>0680244224</t>
  </si>
  <si>
    <t>Кошаринецька загальноосвітня школа І - ІІ ступенів,Бершадського району ,Вінницької області</t>
  </si>
  <si>
    <t>24411</t>
  </si>
  <si>
    <t>0520482303</t>
  </si>
  <si>
    <t>вул. Молодіжна, 29</t>
  </si>
  <si>
    <t>(043)5258791</t>
  </si>
  <si>
    <t>Красносільська загальноосвітня школа І-ІІІ ступенів</t>
  </si>
  <si>
    <t>24421</t>
  </si>
  <si>
    <t>0520482403</t>
  </si>
  <si>
    <t>Красносілка</t>
  </si>
  <si>
    <t>вул. Незалежності, 2А</t>
  </si>
  <si>
    <t>0435244318</t>
  </si>
  <si>
    <t>http://www.krasnosilka-school.edukit.vn.ua</t>
  </si>
  <si>
    <t>Лісничанська загальноосвітня школа І - ІІІ ступенів</t>
  </si>
  <si>
    <t>24462</t>
  </si>
  <si>
    <t>0520482803</t>
  </si>
  <si>
    <t>Лісниче</t>
  </si>
  <si>
    <t>вул. Перемоги, 2</t>
  </si>
  <si>
    <t>(04353)56-527</t>
  </si>
  <si>
    <t>http://lisnyche-zosh.edukit.vn.ua/</t>
  </si>
  <si>
    <t>Маньківська загальноосвітня школа І-ІІ ступенів</t>
  </si>
  <si>
    <t>24422</t>
  </si>
  <si>
    <t>0520483003</t>
  </si>
  <si>
    <t>Маньківка</t>
  </si>
  <si>
    <t>54540</t>
  </si>
  <si>
    <t>Крушинівська загальноосвітня школа І-ІІ ступенів</t>
  </si>
  <si>
    <t>24423</t>
  </si>
  <si>
    <t>0520483006</t>
  </si>
  <si>
    <t>Крушинівка</t>
  </si>
  <si>
    <t>вул. Миру, 42Б</t>
  </si>
  <si>
    <t>(04352)46-162</t>
  </si>
  <si>
    <t>http://krushynivka-zosh.vn.sch.in.ua</t>
  </si>
  <si>
    <t>Навчально-виховний комплекс "Загальноосвітній навчальний заклад І-ІІ ступенів-дошкільний навчальний заклад" села Шумилів Бершадського району Вінницької області</t>
  </si>
  <si>
    <t>24424</t>
  </si>
  <si>
    <t>0520483009</t>
  </si>
  <si>
    <t>Шумилів</t>
  </si>
  <si>
    <t>вул. Шкільна, 19А</t>
  </si>
  <si>
    <t>5-95-53</t>
  </si>
  <si>
    <t>Михайлівська загальноосвітня школа І-ІІ ступенів ім. Р. А. Скалецького, Бершадського району, Вінницької області</t>
  </si>
  <si>
    <t>24463</t>
  </si>
  <si>
    <t>0520483203</t>
  </si>
  <si>
    <t>Михайлівка</t>
  </si>
  <si>
    <t>((04352))56454</t>
  </si>
  <si>
    <t>М'якохідська загальноосвітня школа І-ІІ ступенів</t>
  </si>
  <si>
    <t>24420</t>
  </si>
  <si>
    <t>0520483403</t>
  </si>
  <si>
    <t>М'якохід</t>
  </si>
  <si>
    <t>вул. Центральна, 28</t>
  </si>
  <si>
    <t>(04352)44138</t>
  </si>
  <si>
    <t>Осіївська загальноосвітня школа І-ІІІ ступенів</t>
  </si>
  <si>
    <t>24456</t>
  </si>
  <si>
    <t>0520483603</t>
  </si>
  <si>
    <t>Осіївка</t>
  </si>
  <si>
    <t>вул. Центральна, 42</t>
  </si>
  <si>
    <t>0969496781</t>
  </si>
  <si>
    <t>Малокиріївська загальноосвітня школа І-ІІ ступенів</t>
  </si>
  <si>
    <t>24457</t>
  </si>
  <si>
    <t>0520483606</t>
  </si>
  <si>
    <t>Мала Киріївка</t>
  </si>
  <si>
    <t>вул. Солтановського, 1</t>
  </si>
  <si>
    <t>(04352)58598</t>
  </si>
  <si>
    <t>Поташнянська загальноосвітня школа І-ІІступенів</t>
  </si>
  <si>
    <t>24461</t>
  </si>
  <si>
    <t>0520484003</t>
  </si>
  <si>
    <t>Поташня</t>
  </si>
  <si>
    <t>вул. Головна, 66</t>
  </si>
  <si>
    <t>(04352)56-138</t>
  </si>
  <si>
    <t>П'ятківська загальноосвітня школа І-ІІІ ступенів</t>
  </si>
  <si>
    <t>24415</t>
  </si>
  <si>
    <t>0520484203</t>
  </si>
  <si>
    <t>П'ятківка</t>
  </si>
  <si>
    <t>вул. Шкільна, 14</t>
  </si>
  <si>
    <t>(43)327</t>
  </si>
  <si>
    <t>http://ptk.beredu.vn.ua</t>
  </si>
  <si>
    <t>російська,англійська,французька</t>
  </si>
  <si>
    <t>Березівська загальноосвітня школа І-ІІ ступенів</t>
  </si>
  <si>
    <t>24442</t>
  </si>
  <si>
    <t>0520484406</t>
  </si>
  <si>
    <t>Березівка</t>
  </si>
  <si>
    <t>вул. Центральна, 8</t>
  </si>
  <si>
    <t>(04352)43451</t>
  </si>
  <si>
    <t>http://berezivka-zosh.vn.sch.in.ua</t>
  </si>
  <si>
    <t>Серединська загальноосвітня школа I-III ступеня ім. В. М. Думанського</t>
  </si>
  <si>
    <t>24440</t>
  </si>
  <si>
    <t>0520484603</t>
  </si>
  <si>
    <t>Серединка</t>
  </si>
  <si>
    <t>вул. Маковійчука, 1</t>
  </si>
  <si>
    <t>((04352))45-540</t>
  </si>
  <si>
    <t>http://seredynska-zosh.vn.sch.in.ua</t>
  </si>
  <si>
    <t>Ставківська загальноосвітня школа І-ІІ ступенів</t>
  </si>
  <si>
    <t>24452</t>
  </si>
  <si>
    <t>0520484803</t>
  </si>
  <si>
    <t>Ставки</t>
  </si>
  <si>
    <t>вул. Лесі Українки, 25</t>
  </si>
  <si>
    <t>(04352)57342</t>
  </si>
  <si>
    <t>http://st.beredu.vn.ua</t>
  </si>
  <si>
    <t>Сумівська загальноосвітня школа І-ІІІ ступенів</t>
  </si>
  <si>
    <t>24410</t>
  </si>
  <si>
    <t>0520485003</t>
  </si>
  <si>
    <t>Сумівка</t>
  </si>
  <si>
    <t>вул. Зелена, 37</t>
  </si>
  <si>
    <t>(04352)43613</t>
  </si>
  <si>
    <t>http://sm.beredu.vn.ua/</t>
  </si>
  <si>
    <t>Тернівська загальноосвітня школа І-ІІІ ступенів</t>
  </si>
  <si>
    <t>24443</t>
  </si>
  <si>
    <t>0520485203</t>
  </si>
  <si>
    <t>Тернівка</t>
  </si>
  <si>
    <t>вул. Святкова, 15</t>
  </si>
  <si>
    <t>(4352)56742, 0951005525</t>
  </si>
  <si>
    <t>http://trn.beredu.vn.ua</t>
  </si>
  <si>
    <t>Тирлівська загальноосвітня школа І-ІІ ступенів</t>
  </si>
  <si>
    <t>24434</t>
  </si>
  <si>
    <t>0520485303</t>
  </si>
  <si>
    <t>Тирлівка</t>
  </si>
  <si>
    <t>вул. Центральна, 18</t>
  </si>
  <si>
    <t>(04352)58447</t>
  </si>
  <si>
    <t>Устянська загальноосвітня школа І-ІІІ ступенів</t>
  </si>
  <si>
    <t>24453</t>
  </si>
  <si>
    <t>0520485403</t>
  </si>
  <si>
    <t>Устя</t>
  </si>
  <si>
    <t>44-780</t>
  </si>
  <si>
    <t>Флоринська загальноосвітня школа І -ІІІ ст.</t>
  </si>
  <si>
    <t>24405</t>
  </si>
  <si>
    <t>0520485603</t>
  </si>
  <si>
    <t>Флорине</t>
  </si>
  <si>
    <t>вул. Чкалова, 138</t>
  </si>
  <si>
    <t>(04352)21584</t>
  </si>
  <si>
    <t>Війтівська загальноосвітня школа І-ІІІ ступенів</t>
  </si>
  <si>
    <t>24412</t>
  </si>
  <si>
    <t>0520485803</t>
  </si>
  <si>
    <t>Війтівка</t>
  </si>
  <si>
    <t>вул. Соборна, 17</t>
  </si>
  <si>
    <t>(04352)43766</t>
  </si>
  <si>
    <t>http://www.wishkola.org.ua/</t>
  </si>
  <si>
    <t>Чернятська загальноосвітня школа І-ІІІ ступенів</t>
  </si>
  <si>
    <t>24430</t>
  </si>
  <si>
    <t>0520486403</t>
  </si>
  <si>
    <t>Чернятка</t>
  </si>
  <si>
    <t>вул. Незалежності, 1</t>
  </si>
  <si>
    <t>0435259730</t>
  </si>
  <si>
    <t>http://chr.beredu.vn.ua/</t>
  </si>
  <si>
    <t>Хмарівська загальноосвітня школа І-ІІ ступенів</t>
  </si>
  <si>
    <t>24431</t>
  </si>
  <si>
    <t>0520486406</t>
  </si>
  <si>
    <t>Хмарівка</t>
  </si>
  <si>
    <t>вул. Шкільна, 5</t>
  </si>
  <si>
    <t>(04352)59733</t>
  </si>
  <si>
    <t>Шляхівська загальноосвітня школа І-ІІІступенів</t>
  </si>
  <si>
    <t>24432</t>
  </si>
  <si>
    <t>0520487503</t>
  </si>
  <si>
    <t>Шляхова</t>
  </si>
  <si>
    <t>вул. В.М.Кавуна, 31</t>
  </si>
  <si>
    <t>(04352)4-53-35</t>
  </si>
  <si>
    <t>http://shl-beredu.jimdo.com/</t>
  </si>
  <si>
    <t>Навчально-виховний комплекс "Загальноосвітній навчальний заклад І-ІІ ступенів-дошкільний навчальний заклад " с. Теофилівка Бершадського району Вінницької області</t>
  </si>
  <si>
    <t>24433</t>
  </si>
  <si>
    <t>0520487509</t>
  </si>
  <si>
    <t>Теофілівка</t>
  </si>
  <si>
    <t>вул. Центральна, № 3</t>
  </si>
  <si>
    <t>(04352)47558</t>
  </si>
  <si>
    <t>http://htf.beredu.vn.ua</t>
  </si>
  <si>
    <t>Яланецька загальноосвітня школа І-ІІІ ступенів</t>
  </si>
  <si>
    <t>24460</t>
  </si>
  <si>
    <t>0520488603</t>
  </si>
  <si>
    <t>Яланець</t>
  </si>
  <si>
    <t>(04352)43140</t>
  </si>
  <si>
    <t>Вороновицька середня загальноосвітня школа I-III ступенів № 1</t>
  </si>
  <si>
    <t>23252</t>
  </si>
  <si>
    <t>0520655300</t>
  </si>
  <si>
    <t>Вороновиця</t>
  </si>
  <si>
    <t>вул. Гагаріна, 2</t>
  </si>
  <si>
    <t>(0432)587377</t>
  </si>
  <si>
    <t>http://voronovytsa.at.ua</t>
  </si>
  <si>
    <t>Деснянський навчально-виховний комплекс "дошкільний навчальний заклад-загальноосвітня школа І ступеня"</t>
  </si>
  <si>
    <t>23240</t>
  </si>
  <si>
    <t>0520655500</t>
  </si>
  <si>
    <t>Десна</t>
  </si>
  <si>
    <t>вул. Гагаріна, 11</t>
  </si>
  <si>
    <t>((098))83-65-155</t>
  </si>
  <si>
    <t>http://dnvz.vnedu.vn.ua/</t>
  </si>
  <si>
    <t>Навчально-виховний заклад: «Загальноосвітня школа І-ІІІ ступенів-ліцей смт Стрижавка»</t>
  </si>
  <si>
    <t>23210</t>
  </si>
  <si>
    <t>0520655900</t>
  </si>
  <si>
    <t>Стрижавка</t>
  </si>
  <si>
    <t>вул. 40-річчя Перемоги, 3</t>
  </si>
  <si>
    <t>(0432)623363</t>
  </si>
  <si>
    <t>http://str.vnedu.vn.ua</t>
  </si>
  <si>
    <t>Стрижавська загальноосвітня школа І-ІІІ ступенів</t>
  </si>
  <si>
    <t>23212</t>
  </si>
  <si>
    <t>вул. Київська, 174</t>
  </si>
  <si>
    <t>(0432)585302</t>
  </si>
  <si>
    <t>Агрономічненська середня загальноосвітня школа І-ІІІ ступенів, Вінницького району, Вінницької області</t>
  </si>
  <si>
    <t>23227</t>
  </si>
  <si>
    <t>0520680203</t>
  </si>
  <si>
    <t>Агрономічне</t>
  </si>
  <si>
    <t>(0432)584-191</t>
  </si>
  <si>
    <t>http://agronoschool.ucoz.ua</t>
  </si>
  <si>
    <t>Прибузька спеціальна загальноосвітня школа-інтернат Вінницького району Вінницької обласної Ради</t>
  </si>
  <si>
    <t>вул. 8-й кілометр Гніванського шосе</t>
  </si>
  <si>
    <t>(0432)584211, (0432)584785</t>
  </si>
  <si>
    <t>21725523</t>
  </si>
  <si>
    <t>Бохоницька середня загальноосвітня школа I-III ступенів</t>
  </si>
  <si>
    <t>23233</t>
  </si>
  <si>
    <t>0520680503</t>
  </si>
  <si>
    <t>Бохоники</t>
  </si>
  <si>
    <t>вул. Гагаріна, 45</t>
  </si>
  <si>
    <t>(0432)569632, (0432)569633</t>
  </si>
  <si>
    <t>http://bokhonitska-sch.klasna.com</t>
  </si>
  <si>
    <t>Комунальний заклад "Великокрушлинецький навчально-виховний комплекс: загальноосвітня школа І-ІІ ст. - дошкільний навчальний заклад"</t>
  </si>
  <si>
    <t>23243</t>
  </si>
  <si>
    <t>0520680803</t>
  </si>
  <si>
    <t>Великі Крушлинці</t>
  </si>
  <si>
    <t>вул. Українська, 31А</t>
  </si>
  <si>
    <t>(0432)58-25-40</t>
  </si>
  <si>
    <t>http://vkruschlyntsi.klasna.com/uk</t>
  </si>
  <si>
    <t>Вінницько-Хутірський навчально-виховний комплекс: загальноосвітня школа І-ІІІ ступенів - дошкільний навчальний заклад Вінницького району Вінницької області</t>
  </si>
  <si>
    <t>23219</t>
  </si>
  <si>
    <t>0520681003</t>
  </si>
  <si>
    <t>Вінницькі Хутори</t>
  </si>
  <si>
    <t>вул. Незалежності, 54</t>
  </si>
  <si>
    <t>(0432)568119</t>
  </si>
  <si>
    <t>http://vht.vnedu.vn.ua</t>
  </si>
  <si>
    <t>Гавришівська середня загальноосвітня школа І-ІІІ ступеня, Вінницького району, Вінницької області</t>
  </si>
  <si>
    <t>23202</t>
  </si>
  <si>
    <t>0520681203</t>
  </si>
  <si>
    <t>Гавришівка</t>
  </si>
  <si>
    <t>вул. Гагаріна, 17</t>
  </si>
  <si>
    <t>(0432)588537</t>
  </si>
  <si>
    <t>Михайлівська середня загальноосвітня школа І-ІІІ ступенів</t>
  </si>
  <si>
    <t>23203</t>
  </si>
  <si>
    <t>0520681406</t>
  </si>
  <si>
    <t>вул. Шкільна, 1А</t>
  </si>
  <si>
    <t>(0432)590220</t>
  </si>
  <si>
    <t>Іванівська середня загальноосвітня школа І-ІІ ступенів</t>
  </si>
  <si>
    <t>23250</t>
  </si>
  <si>
    <t>0520682003</t>
  </si>
  <si>
    <t>Іванівка</t>
  </si>
  <si>
    <t>вул. Українська, 37</t>
  </si>
  <si>
    <t>580334</t>
  </si>
  <si>
    <t>Ільківська загальноосвітня школа І-ІІ ступенів</t>
  </si>
  <si>
    <t>23231</t>
  </si>
  <si>
    <t>0520682203</t>
  </si>
  <si>
    <t>Ільківка</t>
  </si>
  <si>
    <t>вул. Свято - Миколаївська, 2А</t>
  </si>
  <si>
    <t>(0432)56-98-34</t>
  </si>
  <si>
    <t>http://ilk.vnedu.vn.ua/</t>
  </si>
  <si>
    <t>Комарівський навчально-виховний комплекс: загальноосвітня школа І-ІІ ступенів - дошкільний навчальний заклад Вінницького району, Вінницької області</t>
  </si>
  <si>
    <t>0520682403</t>
  </si>
  <si>
    <t>Комарів</t>
  </si>
  <si>
    <t>вул. Михайлівська, 14</t>
  </si>
  <si>
    <t>(0432)58-08-48</t>
  </si>
  <si>
    <t>http://kmr.vnedu.vn.ua/</t>
  </si>
  <si>
    <t>Ксаверівська загальноосвітня школа І ступеня</t>
  </si>
  <si>
    <t>23220</t>
  </si>
  <si>
    <t>0520682503</t>
  </si>
  <si>
    <t>Ксаверівка</t>
  </si>
  <si>
    <t>вул. Соборна, 1</t>
  </si>
  <si>
    <t>Лисогірська середня загальноосвітня школа І ступеня</t>
  </si>
  <si>
    <t>23221</t>
  </si>
  <si>
    <t>0520682506</t>
  </si>
  <si>
    <t>Лисогора</t>
  </si>
  <si>
    <t>вул. Ярослава Мудрого, 11А</t>
  </si>
  <si>
    <t>http://lsg.vnedu.vn.ua/</t>
  </si>
  <si>
    <t>Лаврівська середня загальноосвітня школа І-ІІ ступенів</t>
  </si>
  <si>
    <t>23215</t>
  </si>
  <si>
    <t>0520682603</t>
  </si>
  <si>
    <t>Лаврівка</t>
  </si>
  <si>
    <t>вул. Незалежності, 3А</t>
  </si>
  <si>
    <t>(0432)589526</t>
  </si>
  <si>
    <t>http://lvr.vnedu.vn.ua</t>
  </si>
  <si>
    <t>Медвідський навчально-виховний комплекс:загальноосвітня школа І ступеня - дошкільний навчальний заклад</t>
  </si>
  <si>
    <t>23216</t>
  </si>
  <si>
    <t>0520682606</t>
  </si>
  <si>
    <t>Медвідка</t>
  </si>
  <si>
    <t>вул. Пушкіна, 2А</t>
  </si>
  <si>
    <t>(0432)589553</t>
  </si>
  <si>
    <t>Лука-Мелешківська загальноосвітня школа І-ІІІ ступенів</t>
  </si>
  <si>
    <t>23234</t>
  </si>
  <si>
    <t>0520682803</t>
  </si>
  <si>
    <t>Лука-Мелешківська</t>
  </si>
  <si>
    <t>вул. Шкільна, 52</t>
  </si>
  <si>
    <t>(0432)564724</t>
  </si>
  <si>
    <t>Комунальний заклад " Прибузький навчально-виховний комплекс:загальноосвітня школа І - ІІ ступенів - дошкільний навчальний заклад Вінницького району, Вінницької області"</t>
  </si>
  <si>
    <t>23235</t>
  </si>
  <si>
    <t>0520682806</t>
  </si>
  <si>
    <t>Прибузьке</t>
  </si>
  <si>
    <t>вул. Шевченка, 26</t>
  </si>
  <si>
    <t>(0432)580636</t>
  </si>
  <si>
    <t>http://psi.vnedu.vn.ua</t>
  </si>
  <si>
    <t>Малокрушлинецька середня загальноосвітня школа І-ІІІ ступенів</t>
  </si>
  <si>
    <t>23242</t>
  </si>
  <si>
    <t>0520683503</t>
  </si>
  <si>
    <t>Малі Крушлинці</t>
  </si>
  <si>
    <t>вул. Приозерна, 10</t>
  </si>
  <si>
    <t>(0432)589324</t>
  </si>
  <si>
    <t>Медвеже-Вушківська середня загальноосвітня школа І-ІІІ ступенів</t>
  </si>
  <si>
    <t>23226</t>
  </si>
  <si>
    <t>0520683803</t>
  </si>
  <si>
    <t>Медвеже Вушко</t>
  </si>
  <si>
    <t>вул. Шкільна, 3</t>
  </si>
  <si>
    <t>(0432)58-13-46</t>
  </si>
  <si>
    <t>Комунальний заклад "Мізяківсько - Хутірський навчально-виховний комплекс: загальноосвітня школа І-ІІІ ступенів - дошкільний навчальний заклад Вінницького району Вінницької області"</t>
  </si>
  <si>
    <t>23213</t>
  </si>
  <si>
    <t>0520684003</t>
  </si>
  <si>
    <t>Мізяківські Хутори</t>
  </si>
  <si>
    <t>вул. Центральна, 22</t>
  </si>
  <si>
    <t>582114</t>
  </si>
  <si>
    <t>http://m-h.vnedu.vn.ua/</t>
  </si>
  <si>
    <t>Переорська середня загальноосвітня школа І-ІІ ступенів</t>
  </si>
  <si>
    <t>0520684006</t>
  </si>
  <si>
    <t>Переорки</t>
  </si>
  <si>
    <t>вул. Молодіжна, 11 а</t>
  </si>
  <si>
    <t>(0432)58-21-53</t>
  </si>
  <si>
    <t>http://prr.vnedu.vn.ua</t>
  </si>
  <si>
    <t>Некрасовська загальноосвітня школа І-ІІІ ступенів</t>
  </si>
  <si>
    <t>23225</t>
  </si>
  <si>
    <t>0520684203</t>
  </si>
  <si>
    <t>Некрасове</t>
  </si>
  <si>
    <t>вул. Івана Франка, 4</t>
  </si>
  <si>
    <t>(0432)588830</t>
  </si>
  <si>
    <t>російська</t>
  </si>
  <si>
    <t>Оленівський НВК: ЗОШ І-ІІІ ст ДНЗ</t>
  </si>
  <si>
    <t>23244</t>
  </si>
  <si>
    <t>0520684603</t>
  </si>
  <si>
    <t>Оленівка</t>
  </si>
  <si>
    <t>58-87-36</t>
  </si>
  <si>
    <t>Навчально-виховний комплекс загальноосвітня школа I - III ст.-дошкільний навчальний заклад "Джерело мудрості"</t>
  </si>
  <si>
    <t>23209</t>
  </si>
  <si>
    <t>0520684903</t>
  </si>
  <si>
    <t>Парпурівці</t>
  </si>
  <si>
    <t>вул. Б.Хмельницького, 31</t>
  </si>
  <si>
    <t>0933442239</t>
  </si>
  <si>
    <t>Хижинецька загальноосвітня школа І-ІІІ ступенів</t>
  </si>
  <si>
    <t>0520684909</t>
  </si>
  <si>
    <t>Хижинці</t>
  </si>
  <si>
    <t>вул. Івана Богуна, 67А</t>
  </si>
  <si>
    <t>(432)581138</t>
  </si>
  <si>
    <t>Писарівська загальноосвітня школа І - ІІІ ступенів</t>
  </si>
  <si>
    <t>23205</t>
  </si>
  <si>
    <t>0520685203</t>
  </si>
  <si>
    <t>Писарівка</t>
  </si>
  <si>
    <t>вул. Покровська, 68А</t>
  </si>
  <si>
    <t>(0432)569334</t>
  </si>
  <si>
    <t>http://psr.vnedu.vn.ua/</t>
  </si>
  <si>
    <t>Щітецька середня загальноосвітня школа І-ІІ ступенів</t>
  </si>
  <si>
    <t>0520685206</t>
  </si>
  <si>
    <t>Щітки</t>
  </si>
  <si>
    <t>вул. Б.Хмельницького, 65/1</t>
  </si>
  <si>
    <t>(0432)569333</t>
  </si>
  <si>
    <t>http://sht.vnedu.vn.ua</t>
  </si>
  <si>
    <t>Побережненський навчально-виховний комплекс:загальноосвітня школа І - ІІ ст. - дошкільний наввчальний заклад Вінницького району Вінницької області</t>
  </si>
  <si>
    <t>23256</t>
  </si>
  <si>
    <t>0520685403</t>
  </si>
  <si>
    <t>Побережне</t>
  </si>
  <si>
    <t>вул. Шевченка, 21</t>
  </si>
  <si>
    <t>(0432)589119</t>
  </si>
  <si>
    <t>http://pbr.vnedu.vn.ua/</t>
  </si>
  <si>
    <t>Пултівецька середня загальноосвітня школа І-ІІІ ступенів</t>
  </si>
  <si>
    <t>23262</t>
  </si>
  <si>
    <t>0520685501</t>
  </si>
  <si>
    <t>Пултівці</t>
  </si>
  <si>
    <t>вул. Шевченка, 7А</t>
  </si>
  <si>
    <t>(0432)586740</t>
  </si>
  <si>
    <t>http://plt.vnedu.vn.ua</t>
  </si>
  <si>
    <t>Сокиринецька загальноосвітня школа І-ІІ ступеня</t>
  </si>
  <si>
    <t>23207</t>
  </si>
  <si>
    <t>0520686303</t>
  </si>
  <si>
    <t>Сокиринці</t>
  </si>
  <si>
    <t>вул. Шевченка, 101</t>
  </si>
  <si>
    <t>(0432)580932</t>
  </si>
  <si>
    <t>http://ckr.vnedu.vn.ua</t>
  </si>
  <si>
    <t>Сосонська середня загальноосвітня школа I-III ступенів</t>
  </si>
  <si>
    <t>23218</t>
  </si>
  <si>
    <t>0520687003</t>
  </si>
  <si>
    <t>Сосонка</t>
  </si>
  <si>
    <t>вул. Корольова, 1</t>
  </si>
  <si>
    <t>(043)58-90-24</t>
  </si>
  <si>
    <t>http://ssn.vnedu.vn.ua/</t>
  </si>
  <si>
    <t>Стадницька загальноосвітня школа І -ІІ ступенів</t>
  </si>
  <si>
    <t>23241</t>
  </si>
  <si>
    <t>0520687303</t>
  </si>
  <si>
    <t>Стадниця</t>
  </si>
  <si>
    <t>(0432)583164</t>
  </si>
  <si>
    <t>Степенівський навчально - виховний комплекс: загальноосвітня мшкола І-ІІІ ст. - дошкільний навчальний заклад, Вінницького району Вінницької області</t>
  </si>
  <si>
    <t>23255</t>
  </si>
  <si>
    <t>0520687603</t>
  </si>
  <si>
    <t>Степанівка</t>
  </si>
  <si>
    <t>вул. Соборна, 23</t>
  </si>
  <si>
    <t>(0432)583718</t>
  </si>
  <si>
    <t>http://stp.vn.vnedu.ua</t>
  </si>
  <si>
    <t>Комунальний заклад "Широкогребельський навчально-виховний комплекс: загальноосвітня школа І ступеня - дошкільний навчальний заклад"</t>
  </si>
  <si>
    <t>23230</t>
  </si>
  <si>
    <t>0520688203</t>
  </si>
  <si>
    <t>Широка Гребля</t>
  </si>
  <si>
    <t>вул. Українська, 112 А</t>
  </si>
  <si>
    <t>(0432)586538</t>
  </si>
  <si>
    <t>http://shr.vnedu.vn.ua/</t>
  </si>
  <si>
    <t>Якушинецька середня загальноосвітня школа І-ІІІ ступенів - гімназія</t>
  </si>
  <si>
    <t>23222</t>
  </si>
  <si>
    <t>0520688901</t>
  </si>
  <si>
    <t>Якушинці</t>
  </si>
  <si>
    <t>вул. Богдана Хмельницького, 60</t>
  </si>
  <si>
    <t>(0432)567515</t>
  </si>
  <si>
    <t>Зарванецька загальноосвітня школа І-ІІ ступенів</t>
  </si>
  <si>
    <t>0520688906</t>
  </si>
  <si>
    <t>Зарванці</t>
  </si>
  <si>
    <t>вул. Клубна, 1</t>
  </si>
  <si>
    <t>(0432)567839</t>
  </si>
  <si>
    <t>Навчально - виховний комплекс:Гайсинська середня загальноосвітня школа - інтернат І-ІІІ ст.-гімназія. Вінницької області.</t>
  </si>
  <si>
    <t>23700</t>
  </si>
  <si>
    <t>0520810100</t>
  </si>
  <si>
    <t>Гайсин</t>
  </si>
  <si>
    <t>вул. 1 Травня, 52</t>
  </si>
  <si>
    <t>(04334)25552, (04334)25295</t>
  </si>
  <si>
    <t>http://nvkg.gnedu.vn.ua/</t>
  </si>
  <si>
    <t>21726793</t>
  </si>
  <si>
    <t>Навчально-виховний комплекс: середня загальноосвітня школа І-ІІІ ступенів - ліцей м.Гайсин Вінницької області</t>
  </si>
  <si>
    <t>вул. Соборна, 99</t>
  </si>
  <si>
    <t>(04334)28498</t>
  </si>
  <si>
    <t>http://nvkl.gnedu.vn.ua</t>
  </si>
  <si>
    <t>Навчально-виховний комплекс: середня загальноосвітня школа І-ІІІ ступенів-гімназія м. Гайсин</t>
  </si>
  <si>
    <t>(04334)25644</t>
  </si>
  <si>
    <t>Середня загальноосвітня школа І-ІІІ ступенів № 2 м. Гайсин Вінницької області</t>
  </si>
  <si>
    <t>вул. Б.Хмельницького, 44</t>
  </si>
  <si>
    <t>(04334)2-43-03, (04334)2-23-29</t>
  </si>
  <si>
    <t>http://sch2.gnedu.vn.ua/</t>
  </si>
  <si>
    <t>Середня загальноосвітня школа І-ІІІ ступенів № 3 м.Гайсин Вінницької області</t>
  </si>
  <si>
    <t>вул. Заводська, 33</t>
  </si>
  <si>
    <t>(04334)22480, (04334)22363</t>
  </si>
  <si>
    <t>http://sch3.gnedu.vn.ua</t>
  </si>
  <si>
    <t>Середня загальноосвітня школа І-ІІІ ступенів № 4 міста Гайсина Гайсинського району Вінницької області</t>
  </si>
  <si>
    <t>вул. Гагаріна, 1</t>
  </si>
  <si>
    <t>(04334)25224</t>
  </si>
  <si>
    <t>http://sch4.gnedu.vn.ua/</t>
  </si>
  <si>
    <t>польська,англійська,французька</t>
  </si>
  <si>
    <t>Середня загальноосвітня школа І-ІІІ ступенів № 5 м. Гайсин Вінницької області</t>
  </si>
  <si>
    <t>пров. І провулок М.Леонтовича, 6</t>
  </si>
  <si>
    <t>(04334)2-81-06, (04334)2-25-19</t>
  </si>
  <si>
    <t>http://sch5.gnedu.vn.ua</t>
  </si>
  <si>
    <t>Навчально-виховний комплекс: середня загальноосвітня школа I-III ступенів дошкільний навчальний заклад села Бондурі Гайсинського району Вінницької області</t>
  </si>
  <si>
    <t>23722</t>
  </si>
  <si>
    <t>0520880303</t>
  </si>
  <si>
    <t>Бондурі</t>
  </si>
  <si>
    <t>вул. 1го Травня, 27Б</t>
  </si>
  <si>
    <t>62244</t>
  </si>
  <si>
    <t>http://bnd.gnedu.vn.ua</t>
  </si>
  <si>
    <t>середня загальноосвітня школа І-ІІІ ступенів с.Бубнівка Гайсинського району Вінницької області</t>
  </si>
  <si>
    <t>23744</t>
  </si>
  <si>
    <t>0520880603</t>
  </si>
  <si>
    <t>Бубнівка</t>
  </si>
  <si>
    <t>вул. Першотравнева</t>
  </si>
  <si>
    <t>(04334)66372, (04334)66392</t>
  </si>
  <si>
    <t>Середня загльноосвітня школа І - ІІІ ступеннів с. Гранів Гайсинського району Вінницької області</t>
  </si>
  <si>
    <t>23731</t>
  </si>
  <si>
    <t>0520880903</t>
  </si>
  <si>
    <t>Гранів</t>
  </si>
  <si>
    <t>вул. Філоненка, 9</t>
  </si>
  <si>
    <t>(04334)57236</t>
  </si>
  <si>
    <t>http://grn.gnedu.vn.ua</t>
  </si>
  <si>
    <t>Середня загальноосвітня школа І-ІІ ступенів села Грузьке</t>
  </si>
  <si>
    <t>23756</t>
  </si>
  <si>
    <t>0520881003</t>
  </si>
  <si>
    <t>Грузьке</t>
  </si>
  <si>
    <t>вул. 1 Травня, 18</t>
  </si>
  <si>
    <t>(04334)67249</t>
  </si>
  <si>
    <t>Середня загльноосвітня школа І - ІІІ ступеннів с. Губник Гайсинського району Вінницької області</t>
  </si>
  <si>
    <t>23746</t>
  </si>
  <si>
    <t>0520881503</t>
  </si>
  <si>
    <t>Губник</t>
  </si>
  <si>
    <t>вул. Гагаріна, 22</t>
  </si>
  <si>
    <t>(04334)72-2-49</t>
  </si>
  <si>
    <t>Середня загальноосвітня школа І - ІІ ступенів села Гунча</t>
  </si>
  <si>
    <t>23724</t>
  </si>
  <si>
    <t>0520881803</t>
  </si>
  <si>
    <t>Гунча</t>
  </si>
  <si>
    <t>вул. Українська, 5</t>
  </si>
  <si>
    <t>Середняи загальноосвітня школа І-ІІ ступенів села Жерденівка</t>
  </si>
  <si>
    <t>23750</t>
  </si>
  <si>
    <t>0520882003</t>
  </si>
  <si>
    <t>Жерденівка</t>
  </si>
  <si>
    <t>ал. Шевченка, 15</t>
  </si>
  <si>
    <t>(0433565)2-91</t>
  </si>
  <si>
    <t>Середня загальноосвітня школа І-ІІІ ступенів імені Г.Т. Танцюри с. Зятківці Гайсинського району Вінницької області</t>
  </si>
  <si>
    <t>23751</t>
  </si>
  <si>
    <t>0520882203</t>
  </si>
  <si>
    <t>Зятківці</t>
  </si>
  <si>
    <t>вул. Федика</t>
  </si>
  <si>
    <t>(04334)63244</t>
  </si>
  <si>
    <t>http://ztk.gnedu.vn.ua/</t>
  </si>
  <si>
    <t>Середня загальноосвітня школа І-ІІІступенів с. Карбівка Гайсинського району Вінницької області</t>
  </si>
  <si>
    <t>23725</t>
  </si>
  <si>
    <t>0520882403</t>
  </si>
  <si>
    <t>Карбівка</t>
  </si>
  <si>
    <t>вул. Центральна, 62</t>
  </si>
  <si>
    <t>(04334)64243</t>
  </si>
  <si>
    <t>http://krb.gnedu.vn.ua</t>
  </si>
  <si>
    <t>Комунальний заклад «Кисляцький навчально-виховний комплекс: спеціальна загальноосвітня школа-інтернат І-ІІІ ступенів - дошкільний навчальний заклад Гайсинського району Вінницької обласної Ради»</t>
  </si>
  <si>
    <t>23726</t>
  </si>
  <si>
    <t>0520882409</t>
  </si>
  <si>
    <t>Кисляк</t>
  </si>
  <si>
    <t>вул. Жовтнева, 55</t>
  </si>
  <si>
    <t>21726787</t>
  </si>
  <si>
    <t>Середня заггальноосвітня школа І - ІІІ ступенів с. Кисляк Гайсинського району Вінницької області</t>
  </si>
  <si>
    <t>вул. Жанова, 1</t>
  </si>
  <si>
    <t>(04334)60271</t>
  </si>
  <si>
    <t>середня загальноосвітня школа І - ІІІ ступенів с. Кіблич Гайсинського району Вінницької області</t>
  </si>
  <si>
    <t>23755</t>
  </si>
  <si>
    <t>0520882603</t>
  </si>
  <si>
    <t>Кіблич</t>
  </si>
  <si>
    <t>вул. Шкільна, 1 - А</t>
  </si>
  <si>
    <t>(04334)76237</t>
  </si>
  <si>
    <t>Середня загальноосвітня школа І-ІІ ступенів с.Мелешків Гайсинського району Вінницької області</t>
  </si>
  <si>
    <t>0520882606</t>
  </si>
  <si>
    <t>Мелешків</t>
  </si>
  <si>
    <t>вул. Соборна, 28</t>
  </si>
  <si>
    <t>(04334)76226</t>
  </si>
  <si>
    <t>Середня загальноосвітня школа І-ІІІ ступенів с. Краснопілка Гайсинського району Вінницької області</t>
  </si>
  <si>
    <t>23733</t>
  </si>
  <si>
    <t>0520882803</t>
  </si>
  <si>
    <t>Краснопілка</t>
  </si>
  <si>
    <t>вул. Центральна, 11</t>
  </si>
  <si>
    <t>(04334)51271</t>
  </si>
  <si>
    <t>http://krs.gnedu.vn.ua</t>
  </si>
  <si>
    <t>Середня загальноосвітня школа І-ІІІ ступенів с. Кузьминці Гайсинського району Вінницької області</t>
  </si>
  <si>
    <t>23712</t>
  </si>
  <si>
    <t>0520883003</t>
  </si>
  <si>
    <t>вул. І пров. Слободи, 4</t>
  </si>
  <si>
    <t>(04334)73-2-43</t>
  </si>
  <si>
    <t>http://kzm.gnedu.vn.ua</t>
  </si>
  <si>
    <t>Середня загальноосвітня школа І-ІІІ ступенів с.Кунка Гайсинського району Вінницької області</t>
  </si>
  <si>
    <t>23713</t>
  </si>
  <si>
    <t>0520883303</t>
  </si>
  <si>
    <t>Кунка</t>
  </si>
  <si>
    <t>пл. Площа Миру, 13</t>
  </si>
  <si>
    <t>(043)3479295</t>
  </si>
  <si>
    <t>Середня загальноосвітня школа І-ІІІ ступенів с.Куна Гайсинського району Вінницької області</t>
  </si>
  <si>
    <t>23714</t>
  </si>
  <si>
    <t>0520883603</t>
  </si>
  <si>
    <t>Куна</t>
  </si>
  <si>
    <t>вул. Леніна, 19</t>
  </si>
  <si>
    <t>(04334)70278</t>
  </si>
  <si>
    <t>Середня загальноосвітня школа І - ІІІ ступенів село Кущинці Гайсинського району Вінницької області</t>
  </si>
  <si>
    <t>23753</t>
  </si>
  <si>
    <t>0520883803</t>
  </si>
  <si>
    <t>Кущинці</t>
  </si>
  <si>
    <t>вул. Центральна, 12</t>
  </si>
  <si>
    <t>(093)8109229</t>
  </si>
  <si>
    <t>Середня загальноосвітня школа І-ІІ ступенів с.Ладижинські Хутори Гайсинського району Вінницької області</t>
  </si>
  <si>
    <t>23748</t>
  </si>
  <si>
    <t>0520884003</t>
  </si>
  <si>
    <t>Ладижинські Хутори</t>
  </si>
  <si>
    <t>вул. Шевченка, 45</t>
  </si>
  <si>
    <t>0966044671</t>
  </si>
  <si>
    <t>Середня загальноосвітня школа І-ІІ ступенів села Мітлинці Гайсинського району Вінницької області</t>
  </si>
  <si>
    <t>23720</t>
  </si>
  <si>
    <t>0520884203</t>
  </si>
  <si>
    <t>Мітлинці</t>
  </si>
  <si>
    <t>вул. Першотравнева, 11А</t>
  </si>
  <si>
    <t>(0433478)2-35</t>
  </si>
  <si>
    <t>Середня загальноосвітня школа І-ІІІ ступенів с. Михайлівка Гайсинського району Вінницької області</t>
  </si>
  <si>
    <t>23732</t>
  </si>
  <si>
    <t>0520884403</t>
  </si>
  <si>
    <t>вул. Молодіжна</t>
  </si>
  <si>
    <t>((04334))5-22-35</t>
  </si>
  <si>
    <t>http://mih-school.in.ua/</t>
  </si>
  <si>
    <t>Середня загальноосвітня школа І-ІІ ступенів с.Митків Гайсинського району Вінницької області</t>
  </si>
  <si>
    <t>23734</t>
  </si>
  <si>
    <t>0520884803</t>
  </si>
  <si>
    <t>Митків</t>
  </si>
  <si>
    <t>вул. Шкільна, 27</t>
  </si>
  <si>
    <t>(4334)56213</t>
  </si>
  <si>
    <t>Середня загальноосвітня школа І-ІІІ ступенів села Нараївка Гайсинського району Вінницької області</t>
  </si>
  <si>
    <t>23730</t>
  </si>
  <si>
    <t>0520885003</t>
  </si>
  <si>
    <t>Нараївка</t>
  </si>
  <si>
    <t>вул. Українська, 8</t>
  </si>
  <si>
    <t>(804334)61218</t>
  </si>
  <si>
    <t>http://nrv.gnedu.vn.ua</t>
  </si>
  <si>
    <t>Середня загальноосвітня школа І-ІІІ ст. с.Носівці</t>
  </si>
  <si>
    <t>23710</t>
  </si>
  <si>
    <t>0520885203</t>
  </si>
  <si>
    <t>Носівці</t>
  </si>
  <si>
    <t>(04334)74213</t>
  </si>
  <si>
    <t>середня загальноосвітня школа І - ІІ ступенів с. Косанове Гайсинського району Вінницької області</t>
  </si>
  <si>
    <t>23711</t>
  </si>
  <si>
    <t>0520885206</t>
  </si>
  <si>
    <t>Косанове</t>
  </si>
  <si>
    <t>вул. Космонавтів</t>
  </si>
  <si>
    <t>(804334)67347</t>
  </si>
  <si>
    <t>Середня загальноосвітня школа І-ІІ ступенів с.Рахни Гайсинського району Вінницької області</t>
  </si>
  <si>
    <t>0520885406</t>
  </si>
  <si>
    <t>Рахни</t>
  </si>
  <si>
    <t>ал. Шевченка, 6</t>
  </si>
  <si>
    <t>(04334)66573</t>
  </si>
  <si>
    <t>Середня загальнооосвітня школа І-ІІІ ступенів с. Степашки Гайсинського району Вінницької області</t>
  </si>
  <si>
    <t>23743</t>
  </si>
  <si>
    <t>0520885603</t>
  </si>
  <si>
    <t>Степашки</t>
  </si>
  <si>
    <t>вул. Першотравнева, 15</t>
  </si>
  <si>
    <t>(04334)53-2-48</t>
  </si>
  <si>
    <t>http://stp.gnedu.vn.ua</t>
  </si>
  <si>
    <t>Середня загальноосвітня школа І - ІІІ ступенів с.Харпачка Гайсинського району Вінницької області</t>
  </si>
  <si>
    <t>23742</t>
  </si>
  <si>
    <t>0520885803</t>
  </si>
  <si>
    <t>Харпачка</t>
  </si>
  <si>
    <t>вул. Центральна, 8А</t>
  </si>
  <si>
    <t>(04334)54252</t>
  </si>
  <si>
    <t>http://hrp.gnedu.vn.ua</t>
  </si>
  <si>
    <t>середня загальноосвітня школа І-ІІІ ступенів с. Чечелівка Гайсинського району Вінницької області</t>
  </si>
  <si>
    <t>23735</t>
  </si>
  <si>
    <t>0520886503</t>
  </si>
  <si>
    <t>Чечелівка</t>
  </si>
  <si>
    <t>вул. В.Бабія, 19</t>
  </si>
  <si>
    <t>(4334)50236</t>
  </si>
  <si>
    <t>http://che.gnedu.vn.ua</t>
  </si>
  <si>
    <t>Навчально- виховний комплекс: загальноосвітня школа І-ІІ ступенів - дошкільний навчальний заклад імені В.С.Стуса с.Рахнівка Гайсинського району Вінницької області</t>
  </si>
  <si>
    <t>23736</t>
  </si>
  <si>
    <t>0520886506</t>
  </si>
  <si>
    <t>Рахнівка</t>
  </si>
  <si>
    <t>вул. Паламарчука, 44</t>
  </si>
  <si>
    <t>(04334)66718</t>
  </si>
  <si>
    <t>середня загальноосвітня школа І-ІІ ступенів с.Ярмолинці Гайсинського району Вінницької області</t>
  </si>
  <si>
    <t>23740</t>
  </si>
  <si>
    <t>0520887603</t>
  </si>
  <si>
    <t>Ярмолинці</t>
  </si>
  <si>
    <t>вул. Жовтнева, 21</t>
  </si>
  <si>
    <t>(04334)55223</t>
  </si>
  <si>
    <t>Браїлівська загальноосвітня школа І-ІІ ступенів Браїлівська загальноосвітня школа І-ІІ ступенів</t>
  </si>
  <si>
    <t>23130</t>
  </si>
  <si>
    <t>0521055300</t>
  </si>
  <si>
    <t>Браїлів</t>
  </si>
  <si>
    <t>вул. Островського, 2</t>
  </si>
  <si>
    <t>(33)158</t>
  </si>
  <si>
    <t>Браїлівська загальноосвітня школа І-ІІІ ступенів імені В.О.Забаштанського Жмеринського району Вінницької області</t>
  </si>
  <si>
    <t>ал. Чайковського, 33</t>
  </si>
  <si>
    <t>(04332)33292</t>
  </si>
  <si>
    <t>Сьомацька загальноосвітня школа І-ІІ ступенів Жмеринської районної державної адміністрації Жмеринського району Вінницької області</t>
  </si>
  <si>
    <t>23131</t>
  </si>
  <si>
    <t>0521055309</t>
  </si>
  <si>
    <t>Сьомаки</t>
  </si>
  <si>
    <t>(04332)30142</t>
  </si>
  <si>
    <t>Олександрівська ЗОШ І-ІІІ ступенів імені Д. Ф. Касьянчука, Жмеринського району, Вінницької області</t>
  </si>
  <si>
    <t>23127</t>
  </si>
  <si>
    <t>0521080203</t>
  </si>
  <si>
    <t>Олександрівка</t>
  </si>
  <si>
    <t>просп. Т.Г.Шевченка, 19</t>
  </si>
  <si>
    <t>(04332)36694</t>
  </si>
  <si>
    <t>http://olk.zhedu.vn.ua</t>
  </si>
  <si>
    <t>Кудіївецька загальноосвітня школа І - ІІ ступенів</t>
  </si>
  <si>
    <t>23128</t>
  </si>
  <si>
    <t>0521080206</t>
  </si>
  <si>
    <t>Кудіївці</t>
  </si>
  <si>
    <t>(04332)3-67-40</t>
  </si>
  <si>
    <t>Комунальний заклад "Біликовецький навчально-виховний комплекс "Загальноосвітня школа І ступеня - дошкільний навчальний заклад"</t>
  </si>
  <si>
    <t>23133</t>
  </si>
  <si>
    <t>0521080303</t>
  </si>
  <si>
    <t>Біликівці</t>
  </si>
  <si>
    <t>(04332)30212</t>
  </si>
  <si>
    <t>Мартинівська загальноосвітня школа І-ІІІ ступенів</t>
  </si>
  <si>
    <t>23134</t>
  </si>
  <si>
    <t>0521080309</t>
  </si>
  <si>
    <t>Мартинівка</t>
  </si>
  <si>
    <t>вул. М. Яжука, 7</t>
  </si>
  <si>
    <t>(04332)32140</t>
  </si>
  <si>
    <t>Демидівська середня загальноосвітня школа І-ІІ ступенів</t>
  </si>
  <si>
    <t>23140</t>
  </si>
  <si>
    <t>0521080603</t>
  </si>
  <si>
    <t>Демидівка</t>
  </si>
  <si>
    <t>мрн. Шкільна, 16А</t>
  </si>
  <si>
    <t>(04332)3-16-11</t>
  </si>
  <si>
    <t>Могилівська загальноосвітня школа І-ІІ-ІІІ ступенів</t>
  </si>
  <si>
    <t>23141</t>
  </si>
  <si>
    <t>0521080606</t>
  </si>
  <si>
    <t>Могилівка</t>
  </si>
  <si>
    <t>пл. Перемоги</t>
  </si>
  <si>
    <t>(04332)30540</t>
  </si>
  <si>
    <t>Комунальний заклад "Дубівський НВК:загальноосвітня школа І ступенів-дошкільний навчальний заклад</t>
  </si>
  <si>
    <t>23110</t>
  </si>
  <si>
    <t>0521080803</t>
  </si>
  <si>
    <t>Дубова</t>
  </si>
  <si>
    <t>вул. Островського, 11</t>
  </si>
  <si>
    <t>(0432)32740</t>
  </si>
  <si>
    <t>Жуковецька загальноосвітня школа І - ІІ ступенів</t>
  </si>
  <si>
    <t>23123</t>
  </si>
  <si>
    <t>0521081403</t>
  </si>
  <si>
    <t>Жуківці</t>
  </si>
  <si>
    <t>ал. Кірова</t>
  </si>
  <si>
    <t>(04332)39540</t>
  </si>
  <si>
    <t>Щучинецька ЗОШ I - II ст.</t>
  </si>
  <si>
    <t>23144</t>
  </si>
  <si>
    <t>0521081412</t>
  </si>
  <si>
    <t>Щучинці</t>
  </si>
  <si>
    <t>39547</t>
  </si>
  <si>
    <t>Кам'яногірська загальноосвітня школа І-ІІ ступенів</t>
  </si>
  <si>
    <t>0521082203</t>
  </si>
  <si>
    <t>Кам'яногірка</t>
  </si>
  <si>
    <t>вул. Петра Сагайдачного, 40/а</t>
  </si>
  <si>
    <t>Кармалюківська загальноосвітня школа І-ІІ-ІІІ ступенів Кармалюківської сільської ради Жмеринського району Вінницької області</t>
  </si>
  <si>
    <t>23120</t>
  </si>
  <si>
    <t>0521082603</t>
  </si>
  <si>
    <t>Кармалюкове</t>
  </si>
  <si>
    <t>вул. Центральна, 1</t>
  </si>
  <si>
    <t>(04332)3-26-40</t>
  </si>
  <si>
    <t>Кацмазівська загальноосвітня школа І-ІІ ступенів</t>
  </si>
  <si>
    <t>23153</t>
  </si>
  <si>
    <t>0521082803</t>
  </si>
  <si>
    <t>Кацмазів</t>
  </si>
  <si>
    <t>вул. Першотравнева, 2</t>
  </si>
  <si>
    <t>(332)31540</t>
  </si>
  <si>
    <t>Коростівецька загальноосвітня школа І - ІІ ступенів</t>
  </si>
  <si>
    <t>23150</t>
  </si>
  <si>
    <t>0521083003</t>
  </si>
  <si>
    <t>Коростівці</t>
  </si>
  <si>
    <t>вул. Шкільна, 8</t>
  </si>
  <si>
    <t>(04332)30440</t>
  </si>
  <si>
    <t>Куриловецька загальноосвітня школа І ступенів</t>
  </si>
  <si>
    <t>23114</t>
  </si>
  <si>
    <t>0521083403</t>
  </si>
  <si>
    <t>Курилівці</t>
  </si>
  <si>
    <t>вул. Леніна</t>
  </si>
  <si>
    <t>3-96-42</t>
  </si>
  <si>
    <t>КЗ Людавський навчально - виховний комплекс, загальноосвітня школа І ст. Дошкільний навчальний заклад</t>
  </si>
  <si>
    <t>23132</t>
  </si>
  <si>
    <t>0521083803</t>
  </si>
  <si>
    <t>Людавка</t>
  </si>
  <si>
    <t>вул. шкільна, 5</t>
  </si>
  <si>
    <t>80433232204</t>
  </si>
  <si>
    <t>Лукомовчанська загальноосвітня школа І ступенів</t>
  </si>
  <si>
    <t>23155</t>
  </si>
  <si>
    <t>0521083903</t>
  </si>
  <si>
    <t>Лука-Мовчанська</t>
  </si>
  <si>
    <t>вул. Карпенчука, 2</t>
  </si>
  <si>
    <t>(04332)39840</t>
  </si>
  <si>
    <t>Мовчанська загальноосвітня школа І-ІІ ступенів</t>
  </si>
  <si>
    <t>0521084003</t>
  </si>
  <si>
    <t>Мовчани</t>
  </si>
  <si>
    <t>(067)3931666</t>
  </si>
  <si>
    <t>Носківецька загальноосвітня школа І-ІІ-ІІІступенів</t>
  </si>
  <si>
    <t>23151</t>
  </si>
  <si>
    <t>0521084203</t>
  </si>
  <si>
    <t>Носківці</t>
  </si>
  <si>
    <t>38640</t>
  </si>
  <si>
    <t>Потоцька загальноосвітня школа І-ІІ ступенів</t>
  </si>
  <si>
    <t>23142</t>
  </si>
  <si>
    <t>0521084503</t>
  </si>
  <si>
    <t>Потоки</t>
  </si>
  <si>
    <t>ал. Шкільна, 1</t>
  </si>
  <si>
    <t>Почапинецька загальноосвітня школа І-ІІІ ступенів</t>
  </si>
  <si>
    <t>23112</t>
  </si>
  <si>
    <t>0521084803</t>
  </si>
  <si>
    <t>Почапинці</t>
  </si>
  <si>
    <t>вул. Садова, 20</t>
  </si>
  <si>
    <t>(433)69640</t>
  </si>
  <si>
    <t>Рівська загальноосвітня школа І-ІІ ступенів</t>
  </si>
  <si>
    <t>23135</t>
  </si>
  <si>
    <t>0521085003</t>
  </si>
  <si>
    <t>Рів</t>
  </si>
  <si>
    <t>вул. Пушкіна, 8</t>
  </si>
  <si>
    <t>0976060005</t>
  </si>
  <si>
    <t>Северинівська загальноосвітня школа І-ІІІ ступенів</t>
  </si>
  <si>
    <t>23126</t>
  </si>
  <si>
    <t>0521085203</t>
  </si>
  <si>
    <t>Северинівка</t>
  </si>
  <si>
    <t>вул. Грушевського, 33</t>
  </si>
  <si>
    <t>(04332)35640</t>
  </si>
  <si>
    <t>http://svr.zhedu.vn.ua</t>
  </si>
  <si>
    <t>Комунальний заклад "Сербинівський навчально-виховний комплекс "загальноосвітня школа І-ІІ-ІІІ ступенів-дошкільний навчальний заклад" відділ освіти Жмеринської районної державної адмістрації Департамент освіти Вінницької облдержадміністрації</t>
  </si>
  <si>
    <t>23122</t>
  </si>
  <si>
    <t>0521085403</t>
  </si>
  <si>
    <t>Сербинівці</t>
  </si>
  <si>
    <t>вул. Центральна</t>
  </si>
  <si>
    <t>(04332)39792</t>
  </si>
  <si>
    <t>Комунальний заклад "Слободо-Межирівський навчально-виховний комплекс загальноосвітня школа І-ІІ ступенів-дошкільний навчальний заклад."</t>
  </si>
  <si>
    <t>0521085603</t>
  </si>
  <si>
    <t>Слобода-Межирівська</t>
  </si>
  <si>
    <t>ал. Шевченка, 1А</t>
  </si>
  <si>
    <t>3-97-58</t>
  </si>
  <si>
    <t>Станіславчицька загальноосвітня школа І-ІІІ ступенів Жмеринського району Вінницької області</t>
  </si>
  <si>
    <t>23160</t>
  </si>
  <si>
    <t>0521085803</t>
  </si>
  <si>
    <t>Станіславчик</t>
  </si>
  <si>
    <t>(04332)34339, 34339</t>
  </si>
  <si>
    <t>http://stn.zhedu.vn.ua/</t>
  </si>
  <si>
    <t>Стодулецька загальноосвітня школа І-ІІ ступенів Жмеринська районна рада Вінницька область</t>
  </si>
  <si>
    <t>23121</t>
  </si>
  <si>
    <t>0521086003</t>
  </si>
  <si>
    <t>Стодульці</t>
  </si>
  <si>
    <t>вул. Шевченко, 35</t>
  </si>
  <si>
    <t>(067)2542947</t>
  </si>
  <si>
    <t>Тарасівська загальноосвітня школа І-ІІ ступенів Жмеринської РДА, Вінницької області</t>
  </si>
  <si>
    <t>23261</t>
  </si>
  <si>
    <t>0521086303</t>
  </si>
  <si>
    <t>Тарасівка</t>
  </si>
  <si>
    <t>(097)6221705</t>
  </si>
  <si>
    <t>Будецька загальноосвітня школа І-ІІ ступенів</t>
  </si>
  <si>
    <t>23162</t>
  </si>
  <si>
    <t>0521086306</t>
  </si>
  <si>
    <t>Будьки</t>
  </si>
  <si>
    <t>вул. Центральна, №8</t>
  </si>
  <si>
    <t>(04332)31244</t>
  </si>
  <si>
    <t>Телелинецька загальноосвітня школа І ступеня Жмеринського району Вінницької області</t>
  </si>
  <si>
    <t>23152</t>
  </si>
  <si>
    <t>0521086803</t>
  </si>
  <si>
    <t>Телелинці</t>
  </si>
  <si>
    <t>вул. Шкільна, 40</t>
  </si>
  <si>
    <t>(04332)39340</t>
  </si>
  <si>
    <t>Чернятинська загальноосвітня школа І-ІІІ ступенів</t>
  </si>
  <si>
    <t>23124</t>
  </si>
  <si>
    <t>0521087503</t>
  </si>
  <si>
    <t>Чернятин</t>
  </si>
  <si>
    <t>вул. Першотравнева, 14</t>
  </si>
  <si>
    <t>(4332)32440</t>
  </si>
  <si>
    <t>Іллінецька загальноосвітня школа І-ІІІ ступенів № 1 Іллінецької міської ради Вінницької області</t>
  </si>
  <si>
    <t>22700</t>
  </si>
  <si>
    <t>0521210100</t>
  </si>
  <si>
    <t>Іллінці</t>
  </si>
  <si>
    <t>вул. Незалежності, 41</t>
  </si>
  <si>
    <t>(04345)21676</t>
  </si>
  <si>
    <t>http://sch1.iledu.vn.ua</t>
  </si>
  <si>
    <t>Іллінецька загальноосвітня школа І-ІІІ ступенів № 3 Іллінецької міської ради Вінницької області</t>
  </si>
  <si>
    <t>вул. Вільшанська, 50Г</t>
  </si>
  <si>
    <t>(04345)23374</t>
  </si>
  <si>
    <t>http://sch3.iledu.vn.ua</t>
  </si>
  <si>
    <t>Іллінецький навчально-виховний комплекс "Загальноосвітня школа І-ІІІ ступенів-гімназія № 2" Іллінецької міської ради Вінницької області</t>
  </si>
  <si>
    <t>вул. І.Франка, 2</t>
  </si>
  <si>
    <t>(04345)21674</t>
  </si>
  <si>
    <t>Дашівська загально-освітня школа І-ІІІ ступенів Дашівської селищної ради Іллінецького району Вінницької області</t>
  </si>
  <si>
    <t>22740</t>
  </si>
  <si>
    <t>0521255400</t>
  </si>
  <si>
    <t>Дашів</t>
  </si>
  <si>
    <t>(04345)32575</t>
  </si>
  <si>
    <t>Дашівська загальноосвітня школа І-ІІ ступенів Дашівської селищної ради Іллінецького району Вінницької області</t>
  </si>
  <si>
    <t>вул. Горького, 13</t>
  </si>
  <si>
    <t>(04345)32174, (04345)32406</t>
  </si>
  <si>
    <t>Дашівська спеціальна загальноосвітня школа-інтернат Іллінецького району Вінницької обласної ради</t>
  </si>
  <si>
    <t>вул. Лесі Українки, 2</t>
  </si>
  <si>
    <t>(04345)32274</t>
  </si>
  <si>
    <t>http://www.dashiv-internat.edukit.vn.ua/</t>
  </si>
  <si>
    <t>Бабинська загальноосвітня школа І-ІІІ ступенів Іллінецької районної ради Вінницької області</t>
  </si>
  <si>
    <t>22714</t>
  </si>
  <si>
    <t>0521280403</t>
  </si>
  <si>
    <t>Бабин</t>
  </si>
  <si>
    <t>вул. Пирогова, 4</t>
  </si>
  <si>
    <t>(04345)26473</t>
  </si>
  <si>
    <t>Білківська загальноосвітня школа І - ІІІ ступенів Дашівської селищної ради</t>
  </si>
  <si>
    <t>22744</t>
  </si>
  <si>
    <t>0521280803</t>
  </si>
  <si>
    <t>Білки</t>
  </si>
  <si>
    <t>вул. Жовтнева, 1</t>
  </si>
  <si>
    <t>(0-43-45)3-45-35</t>
  </si>
  <si>
    <t>Василівська загальноосвітня школа I-II ступенів</t>
  </si>
  <si>
    <t>22727</t>
  </si>
  <si>
    <t>0521281203</t>
  </si>
  <si>
    <t>Василівка</t>
  </si>
  <si>
    <t>вул. Мазура, 15</t>
  </si>
  <si>
    <t>(04345)2-63-50</t>
  </si>
  <si>
    <t>Городоцька загальноосвітня школа І-ІІІ ступеныв Іллінецького району,Вінницької області</t>
  </si>
  <si>
    <t>22753</t>
  </si>
  <si>
    <t>0521281603</t>
  </si>
  <si>
    <t>Городок</t>
  </si>
  <si>
    <t>вул. Шкільна, 2, корпус - А</t>
  </si>
  <si>
    <t>(04345)38930</t>
  </si>
  <si>
    <t>Жаданівська ЗОШ І-ІІІ ступенів Іллінецької районної ради Вінницької області</t>
  </si>
  <si>
    <t>22730</t>
  </si>
  <si>
    <t>0521282003</t>
  </si>
  <si>
    <t>Жадани</t>
  </si>
  <si>
    <t>вул. Центральна, 79</t>
  </si>
  <si>
    <t>(043-45)2-96-69</t>
  </si>
  <si>
    <t>Жорнищенська загальноосвітня школа І-ІІІ ступенів Іллінецької районної ради Вінницької області</t>
  </si>
  <si>
    <t>22721</t>
  </si>
  <si>
    <t>0521282403</t>
  </si>
  <si>
    <t>Жорнище</t>
  </si>
  <si>
    <t>вул. Бойка, 9</t>
  </si>
  <si>
    <t>(04345)27193</t>
  </si>
  <si>
    <t>Іллінецька загальноосвітня школа І-ІІІ ступенів Іллінецької районної ради Вінницької області</t>
  </si>
  <si>
    <t>22712</t>
  </si>
  <si>
    <t>0521282603</t>
  </si>
  <si>
    <t>Іллінецьке</t>
  </si>
  <si>
    <t>вул. Леніна, 5 А</t>
  </si>
  <si>
    <t>(04345)26630</t>
  </si>
  <si>
    <t>Кальницька загальноосвітня школа І - ІІІ ступенів ім. Я. Івашкевича Дашівської селищної ради Іллінецької району</t>
  </si>
  <si>
    <t>22732</t>
  </si>
  <si>
    <t>0521282803</t>
  </si>
  <si>
    <t>Кальник</t>
  </si>
  <si>
    <t>вул. І. Богуна, 184А</t>
  </si>
  <si>
    <t>(04345)25836</t>
  </si>
  <si>
    <t>Кантелинська загальноосвітня школа І - ІІ ступенів Дашівської селищної ради Іллінецького району, Вінницької області</t>
  </si>
  <si>
    <t>22734</t>
  </si>
  <si>
    <t>0521283003</t>
  </si>
  <si>
    <t>Кантелина</t>
  </si>
  <si>
    <t>(04345)27345</t>
  </si>
  <si>
    <t>Китайгородська загальноосвітня школа І-ІІІ ступенів Іллінецької районної ради Вінницької області</t>
  </si>
  <si>
    <t>22751</t>
  </si>
  <si>
    <t>0521283203</t>
  </si>
  <si>
    <t>Китайгород</t>
  </si>
  <si>
    <t>(04345)28332</t>
  </si>
  <si>
    <t>Кам'яногірська загальноосвітня школа І ступеня Іллінецької районної ради Вінницької області</t>
  </si>
  <si>
    <t>22752</t>
  </si>
  <si>
    <t>0521283206</t>
  </si>
  <si>
    <t>(04345)28456</t>
  </si>
  <si>
    <t>Копіївська загальноосвітня школа І-ІІ ступенів Дашівської селищної ради Іллінецького району Вінницької області</t>
  </si>
  <si>
    <t>22741</t>
  </si>
  <si>
    <t>0521283403</t>
  </si>
  <si>
    <t>Копіївка</t>
  </si>
  <si>
    <t>вул. Кооперативна, 9</t>
  </si>
  <si>
    <t>(043)34640</t>
  </si>
  <si>
    <t>Красненьківська загальноосвітня школа І-ІІІ ступенів Іллінецької міської ради Вінницької області</t>
  </si>
  <si>
    <t>22722</t>
  </si>
  <si>
    <t>0521283903</t>
  </si>
  <si>
    <t>Красненьке</t>
  </si>
  <si>
    <t>вул. Соборна, 26</t>
  </si>
  <si>
    <t>(04345)26723</t>
  </si>
  <si>
    <t>http://krs.iledu.vn.ua</t>
  </si>
  <si>
    <t>Лисогірська загальноосвітня школа І-ІІ ступенів Іллінецької міської ради Вінницької області.</t>
  </si>
  <si>
    <t>22723</t>
  </si>
  <si>
    <t>0521283906</t>
  </si>
  <si>
    <t>Лиса Гора</t>
  </si>
  <si>
    <t>вул. Соборна, 57</t>
  </si>
  <si>
    <t>(04345)29353</t>
  </si>
  <si>
    <t>Криштопівська загальноосвітня школа 1-2 ступенів Іллінецької районної ради Вінницької області</t>
  </si>
  <si>
    <t>22742</t>
  </si>
  <si>
    <t>0521284003</t>
  </si>
  <si>
    <t>Криштопівка</t>
  </si>
  <si>
    <t>вул. Жовтнева, 60</t>
  </si>
  <si>
    <t>(4345)34713</t>
  </si>
  <si>
    <t>Купчинецька загальноосвітня школа І-ІІ ступенів Дашівської селищної ради Іллінецького району Вінницької області</t>
  </si>
  <si>
    <t>22735</t>
  </si>
  <si>
    <t>0521284103</t>
  </si>
  <si>
    <t>Купчинці</t>
  </si>
  <si>
    <t>вул. Шевченка, 3</t>
  </si>
  <si>
    <t>(04345)38710</t>
  </si>
  <si>
    <t>Леухівська загальноосвітня школи І - ІІІ ступенів Іллінецької районної ради Вінницької області</t>
  </si>
  <si>
    <t>22756</t>
  </si>
  <si>
    <t>0521284303</t>
  </si>
  <si>
    <t>Леухи</t>
  </si>
  <si>
    <t>вул. Петра Савишина, 7А</t>
  </si>
  <si>
    <t>(0343)03419</t>
  </si>
  <si>
    <t>Павлівська загальноосвітня школа I-II ступенів Іллінецької міської ради Вінницької області</t>
  </si>
  <si>
    <t>22713</t>
  </si>
  <si>
    <t>0521285503</t>
  </si>
  <si>
    <t>Павлівка</t>
  </si>
  <si>
    <t>вул. Центральна, 127</t>
  </si>
  <si>
    <t>(043-45)2-61-30</t>
  </si>
  <si>
    <t>с.Паріївка загальноосвітня школа І-ІІ ступенів Іллінецької районої ради Вінницької області</t>
  </si>
  <si>
    <t>22726</t>
  </si>
  <si>
    <t>0521285703</t>
  </si>
  <si>
    <t>Паріївка</t>
  </si>
  <si>
    <t>вул. Грушевського, 56</t>
  </si>
  <si>
    <t>(04345)29434</t>
  </si>
  <si>
    <t>Росоховатська загальноосвітня школа І-ІІ ступенів Іллінецької районної ради Вінницької області</t>
  </si>
  <si>
    <t>22750</t>
  </si>
  <si>
    <t>0521286103</t>
  </si>
  <si>
    <t>Росоховата</t>
  </si>
  <si>
    <t>вул. Леніна, 26</t>
  </si>
  <si>
    <t>http://rsh.iledu.vn.ua</t>
  </si>
  <si>
    <t>Слободищенська загальноосвітня школа І-ІІІ ступенів Іллінецької районної ради Вінницької області</t>
  </si>
  <si>
    <t>22755</t>
  </si>
  <si>
    <t>0521286803</t>
  </si>
  <si>
    <t>Слободище</t>
  </si>
  <si>
    <t>вул. Леніна, 3</t>
  </si>
  <si>
    <t>(04345)34437</t>
  </si>
  <si>
    <t>Тягунська загальноосвітня школа І-ІІ ступенів Іллінецької районної державної адміністрації Вінницької області</t>
  </si>
  <si>
    <t>22710</t>
  </si>
  <si>
    <t>0521287603</t>
  </si>
  <si>
    <t>Тягун</t>
  </si>
  <si>
    <t>вул. Миру, 32</t>
  </si>
  <si>
    <t>(04345)2-55-32</t>
  </si>
  <si>
    <t>Хрінівська загальноосвітня школа І-ІІІ ступенів Іллінецької міської ради Вінницької області</t>
  </si>
  <si>
    <t>22724</t>
  </si>
  <si>
    <t>0521288003</t>
  </si>
  <si>
    <t>Хрінівка</t>
  </si>
  <si>
    <t>вул. Першотравнева, 91</t>
  </si>
  <si>
    <t>(04345)2-97-41</t>
  </si>
  <si>
    <t>Якубівська загальноосвітня школа І-ІІІ ступенів Іллінецької міської ради Вінницької області</t>
  </si>
  <si>
    <t>22720</t>
  </si>
  <si>
    <t>0521289203</t>
  </si>
  <si>
    <t>Якубівка</t>
  </si>
  <si>
    <t>вул. Шкільна, 6А</t>
  </si>
  <si>
    <t>(04345)27642</t>
  </si>
  <si>
    <t>Бродецький загальноосвітній навчально-виховний комплекс I-III ступенів "Школа - дитячий садок"</t>
  </si>
  <si>
    <t>22115</t>
  </si>
  <si>
    <t>0521455300</t>
  </si>
  <si>
    <t>Бродецьке</t>
  </si>
  <si>
    <t>вул. Робітнича, 29</t>
  </si>
  <si>
    <t>(04342)36-3-99</t>
  </si>
  <si>
    <t>Глуховецька середня загальноосвітня школа І-ІІІ ступенів</t>
  </si>
  <si>
    <t>22130</t>
  </si>
  <si>
    <t>0521455500</t>
  </si>
  <si>
    <t>Глухівці</t>
  </si>
  <si>
    <t>вул. Шкільна, 4</t>
  </si>
  <si>
    <t>(04342)31450</t>
  </si>
  <si>
    <t>Безіменський загальноосвітній навчально-виховний комплекс І-ІІІ ступенів "Школа-дитячий садок"</t>
  </si>
  <si>
    <t>22114</t>
  </si>
  <si>
    <t>0521480203</t>
  </si>
  <si>
    <t>Безіменне</t>
  </si>
  <si>
    <t>(04342)30-5-30</t>
  </si>
  <si>
    <t>Білопільська середня загальноосвітня школа I-III ступенів Козятинського району Вінницької області</t>
  </si>
  <si>
    <t>22120</t>
  </si>
  <si>
    <t>0521480403</t>
  </si>
  <si>
    <t>Білопілля</t>
  </si>
  <si>
    <t>(04342)35488</t>
  </si>
  <si>
    <t>Вернигородоцький загальноосвітній навчально-виховний комплекс І-ІІІступенів "Школа-дитячий садок"</t>
  </si>
  <si>
    <t>22125</t>
  </si>
  <si>
    <t>0521480803</t>
  </si>
  <si>
    <t>Вернигородок</t>
  </si>
  <si>
    <t>вул. Шкільна, 20Б</t>
  </si>
  <si>
    <t>Вовчинецький загальноосвітный навчально-виховний комплекс І-ІІІ ступенів "Школа-дитячий садок"</t>
  </si>
  <si>
    <t>22113</t>
  </si>
  <si>
    <t>0521481003</t>
  </si>
  <si>
    <t>Вовчинець</t>
  </si>
  <si>
    <t>вул. Миру, 76</t>
  </si>
  <si>
    <t>(04342)34217</t>
  </si>
  <si>
    <t>Дубовомахаринецький загальноосвітній навчально-виховний комплекс І-ІІІ ступенів "Школа-дитячий садок"</t>
  </si>
  <si>
    <t>22150</t>
  </si>
  <si>
    <t>0521481603</t>
  </si>
  <si>
    <t>Дубові Махаринці</t>
  </si>
  <si>
    <t>(04342)32430</t>
  </si>
  <si>
    <t>Жежелівський загальноосвітній навчально - виховний комплекс І - ІІІ ступенів "Школа - дитячий садок"</t>
  </si>
  <si>
    <t>22116</t>
  </si>
  <si>
    <t>0521481803</t>
  </si>
  <si>
    <t>Жежелів</t>
  </si>
  <si>
    <t>вул. Шкільна, 12</t>
  </si>
  <si>
    <t>Журбинецька філія І ступенів Дубовомахаринецького ЗНВК І-ІІІ ступенів "Школа- дитячий садок"</t>
  </si>
  <si>
    <t>22149</t>
  </si>
  <si>
    <t>0521482003</t>
  </si>
  <si>
    <t>Журбинці</t>
  </si>
  <si>
    <t>вул. Центральна, 78</t>
  </si>
  <si>
    <t>(04342)93230</t>
  </si>
  <si>
    <t>Зозулинецький загальноосвітній навчально-виховний комплекс І-ІІІ ступенів "Школа-дитячий садок"</t>
  </si>
  <si>
    <t>22155</t>
  </si>
  <si>
    <t>0521482403</t>
  </si>
  <si>
    <t>Зозулинці</t>
  </si>
  <si>
    <t>вул. Захисників Вітчизни, 25</t>
  </si>
  <si>
    <t>(04342)34-4-30</t>
  </si>
  <si>
    <t>Йосипівський загальноосвітній навчально-виховний комплекс І - ІІІ ступенів "Школа - дитячий садок"</t>
  </si>
  <si>
    <t>22154</t>
  </si>
  <si>
    <t>0521482603</t>
  </si>
  <si>
    <t>Йосипівка</t>
  </si>
  <si>
    <t>вул. Т.Г. Шевченка, 90</t>
  </si>
  <si>
    <t>(04342)37-2-81</t>
  </si>
  <si>
    <t>http://ysp.kzedu.vn.ua</t>
  </si>
  <si>
    <t>Козятинська середня загальносвітня школа І-ІІІ ступенів № 9</t>
  </si>
  <si>
    <t>22109</t>
  </si>
  <si>
    <t>0521482803</t>
  </si>
  <si>
    <t>вул. Миру, 84</t>
  </si>
  <si>
    <t>Іванковецька середня загальноосвітня школа I-II ступенів</t>
  </si>
  <si>
    <t>0521482806</t>
  </si>
  <si>
    <t>Іванківці</t>
  </si>
  <si>
    <t>21А</t>
  </si>
  <si>
    <t>Кашперівський загальноосвітній навчально-виховний комплекс І-ІІ ступенів "Школа-дитячий садок" Козятинського району Вінницької області</t>
  </si>
  <si>
    <t>22121</t>
  </si>
  <si>
    <t>0521483003</t>
  </si>
  <si>
    <t>Кашперівка</t>
  </si>
  <si>
    <t>вул. Лісова, 1Б</t>
  </si>
  <si>
    <t>(04342)30223</t>
  </si>
  <si>
    <t>http://ksh.kzedu.vn.ua</t>
  </si>
  <si>
    <t>Махнівська середня загальноосвітня школа І-ІІІ ступенів</t>
  </si>
  <si>
    <t>22133</t>
  </si>
  <si>
    <t>0521483203</t>
  </si>
  <si>
    <t>Махнівка</t>
  </si>
  <si>
    <t>(04342)32186</t>
  </si>
  <si>
    <t>Кордишівська середня загальноосвітня школа І-ІІІ ступенів</t>
  </si>
  <si>
    <t>22146</t>
  </si>
  <si>
    <t>0521483403</t>
  </si>
  <si>
    <t>Кордишівка</t>
  </si>
  <si>
    <t>вул. Героїв Майдану, 1</t>
  </si>
  <si>
    <t>(04342)34730</t>
  </si>
  <si>
    <t>http://krd.kzedu.vn.ua</t>
  </si>
  <si>
    <t>Махаринецька середня загальноосвітня школа І-ІІІ ступенів</t>
  </si>
  <si>
    <t>22141</t>
  </si>
  <si>
    <t>0521484803</t>
  </si>
  <si>
    <t>Махаринці</t>
  </si>
  <si>
    <t>вул. Центральна, 50</t>
  </si>
  <si>
    <t>Широкогребельський загальноосвітній навчально-виховний комплекс І-ІІІ ступенів "Школа - дитячий садок"</t>
  </si>
  <si>
    <t>22162</t>
  </si>
  <si>
    <t>0521485006</t>
  </si>
  <si>
    <t>(04243)37284</t>
  </si>
  <si>
    <t>http://srk.kzedu.vn.ua</t>
  </si>
  <si>
    <t>Непедівський загальноосвітній навчально-виховний комплекс І-ІІІ ступенів "Школа-дитячий садок" H</t>
  </si>
  <si>
    <t>22123</t>
  </si>
  <si>
    <t>0521485203</t>
  </si>
  <si>
    <t>Непедівка</t>
  </si>
  <si>
    <t>вул. Гагаріна, 24</t>
  </si>
  <si>
    <t>(0434232)532</t>
  </si>
  <si>
    <t>Гуровецька середня загальноосвітня школа І-ІІІ ступенів</t>
  </si>
  <si>
    <t>22124</t>
  </si>
  <si>
    <t>0521485206</t>
  </si>
  <si>
    <t>Гурівці</t>
  </si>
  <si>
    <t>(04342)32625</t>
  </si>
  <si>
    <t>http://gurovecka-school.com.ua</t>
  </si>
  <si>
    <t>Миколаївський загальноосвітній навчально-виховний комплекс І-ІІІ ступенів "Школа-дитячий садок" ім. Василя Земляка</t>
  </si>
  <si>
    <t>22160</t>
  </si>
  <si>
    <t>0521485403</t>
  </si>
  <si>
    <t>Миколаївка</t>
  </si>
  <si>
    <t>вул. Миру, 51Б</t>
  </si>
  <si>
    <t>(04342)30130</t>
  </si>
  <si>
    <t>Вівсяницька середня загальноосвітня школа І -ІІІ ступенів</t>
  </si>
  <si>
    <t>22164</t>
  </si>
  <si>
    <t>0521485603</t>
  </si>
  <si>
    <t>Вівсяники</t>
  </si>
  <si>
    <t>вул. Центральна, 75</t>
  </si>
  <si>
    <t>(04342)33630</t>
  </si>
  <si>
    <t>Переможнянський загальноосвітній навчально-виховний комплекс І - ІІІ ступенів "Школа - дитячий садок"</t>
  </si>
  <si>
    <t>22134</t>
  </si>
  <si>
    <t>0521485803</t>
  </si>
  <si>
    <t>Перемога</t>
  </si>
  <si>
    <t>вул. Олександра Лобжина, 24</t>
  </si>
  <si>
    <t>(04342)3063</t>
  </si>
  <si>
    <t>http://www.prm.kzedu.vn.ua</t>
  </si>
  <si>
    <t>Пиковецький загальноосвітній навчально - виховний комплекс І - ІІІ ступенів "Школа - дитячий садок"</t>
  </si>
  <si>
    <t>22144</t>
  </si>
  <si>
    <t>0521486003</t>
  </si>
  <si>
    <t>Пиковець</t>
  </si>
  <si>
    <t>вул. Незалежності, 35</t>
  </si>
  <si>
    <t>Пляхівський загальноосвітній навчально-виховний комплекс І-ІІ ступенів "Школа-дитячий садок"</t>
  </si>
  <si>
    <t>22132</t>
  </si>
  <si>
    <t>0521486203</t>
  </si>
  <si>
    <t>Пляхова</t>
  </si>
  <si>
    <t>(04342)32718</t>
  </si>
  <si>
    <t>Самгородоцька спеціальна загальноосвітня школа-інтернат Козятинського району Вінницької обласної ради</t>
  </si>
  <si>
    <t>22163</t>
  </si>
  <si>
    <t>0521486803</t>
  </si>
  <si>
    <t>Самгородок</t>
  </si>
  <si>
    <t>вул. Миру, 53</t>
  </si>
  <si>
    <t>13312505</t>
  </si>
  <si>
    <t>Самгородоцький загальноосвітній навчально-виховний комплекс І-ІІІ ступенів "Школа - дитячий садок" Козятинського району Вінницької області</t>
  </si>
  <si>
    <t>вул. Миру, 26</t>
  </si>
  <si>
    <t>(04342)35221</t>
  </si>
  <si>
    <t>http://smg.kzedu.vn.ua</t>
  </si>
  <si>
    <t>Сестринівський загальноосвітній навчальновиховний комплекс І-ІІІ ступенів "Школа-дитячий садок" імені Михайла Грушевського</t>
  </si>
  <si>
    <t>22140</t>
  </si>
  <si>
    <t>0521487003</t>
  </si>
  <si>
    <t>Сестринівка</t>
  </si>
  <si>
    <t>вул. Грушевського, 23</t>
  </si>
  <si>
    <t>(04342)35630</t>
  </si>
  <si>
    <t>Козятинський загальноосвітній навчально - виховний комплекс І - ІІІ ступенів " Школа - інтернат - гімназія" імені В.М.Підгорбунського</t>
  </si>
  <si>
    <t>0521487207</t>
  </si>
  <si>
    <t>Сигнал</t>
  </si>
  <si>
    <t>вул. Я. Мудрого, 168</t>
  </si>
  <si>
    <t>http://koziatyn-gymnasium.edukit.vn.ua/</t>
  </si>
  <si>
    <t>20087948</t>
  </si>
  <si>
    <t>Флоріанівський загальнооосвітній навчально - виховний комплекс І - ІІІ ступенів "Школа - дитячий садок"</t>
  </si>
  <si>
    <t>22153</t>
  </si>
  <si>
    <t>0521487603</t>
  </si>
  <si>
    <t>Флоріанівка</t>
  </si>
  <si>
    <t>вул. Центральна, 20</t>
  </si>
  <si>
    <t>(04342)30430</t>
  </si>
  <si>
    <t>Юрівський ЗНВК І-ІІІ ступенів "Школа-дитячий садок"</t>
  </si>
  <si>
    <t>22112</t>
  </si>
  <si>
    <t>0521487803</t>
  </si>
  <si>
    <t>Юрівка</t>
  </si>
  <si>
    <t>вул. Миру, 15</t>
  </si>
  <si>
    <t>0434233215</t>
  </si>
  <si>
    <t>Загальноосвітня школа І-ІІ ступенів № 4 м. Калинівка</t>
  </si>
  <si>
    <t>22400</t>
  </si>
  <si>
    <t>0521610100</t>
  </si>
  <si>
    <t>Калинівка</t>
  </si>
  <si>
    <t>пл. Шкільна, 1</t>
  </si>
  <si>
    <t>(04333)22758</t>
  </si>
  <si>
    <t>Загальноосвітня школа І-ІІІ ступенів № 1 м.Калинівка</t>
  </si>
  <si>
    <t>вул. Леніна, 22</t>
  </si>
  <si>
    <t>(04333)0433321662</t>
  </si>
  <si>
    <t>http://sch1.kledu.vn.ua</t>
  </si>
  <si>
    <t>Загальноосвітня школа І-ІІІ ступенів № 3 м. Калинівка Калинівський район Вінницька область</t>
  </si>
  <si>
    <t>вул. Шмідта, 58</t>
  </si>
  <si>
    <t>0433321399</t>
  </si>
  <si>
    <t>http://sch3.kledu.vn.ua</t>
  </si>
  <si>
    <t>Комунальний заклад "Калинівська зальноосвітня школа І-ІІІ ступенів № 2-гімназія" Вінницької області</t>
  </si>
  <si>
    <t>вул. Маяковського, 27</t>
  </si>
  <si>
    <t>(04333)2-10-38, (04333)2-17-96</t>
  </si>
  <si>
    <t>Комунальний заклад "Навчально-виховний комплекс загальноосвітня школа І-ІІ ступенів - дошкільний навчальний заклад села Грушківці Калинівський район Вінницька область"</t>
  </si>
  <si>
    <t>22431</t>
  </si>
  <si>
    <t>0521680306</t>
  </si>
  <si>
    <t>Грушківці</t>
  </si>
  <si>
    <t>вул. Перемоги, 32</t>
  </si>
  <si>
    <t>36640</t>
  </si>
  <si>
    <t>Загальноосвітня школа І-ІІІ ступенів с.Глинськ Вінницької області Калинівського району</t>
  </si>
  <si>
    <t>22425</t>
  </si>
  <si>
    <t>0521680603</t>
  </si>
  <si>
    <t>Глинськ</t>
  </si>
  <si>
    <t>вул. Миру, 8А</t>
  </si>
  <si>
    <t>(04333)3-54-40</t>
  </si>
  <si>
    <t>Загальноосвітня школа І-ІІІ ступенів с. Голендри Калинівський район Вінницька область</t>
  </si>
  <si>
    <t>22442</t>
  </si>
  <si>
    <t>0521680909</t>
  </si>
  <si>
    <t>Голендри</t>
  </si>
  <si>
    <t>(04333)3-51-22</t>
  </si>
  <si>
    <t>http://gol.kledu.vn.ua</t>
  </si>
  <si>
    <t>Гущинецька загальносвітня школа І-ІІІ ст. Вінницької області Відділ освіти Калинівської районної державної адміністрації</t>
  </si>
  <si>
    <t>22434</t>
  </si>
  <si>
    <t>0521681403</t>
  </si>
  <si>
    <t>Гущинці</t>
  </si>
  <si>
    <t>вул. Шевченка, 85</t>
  </si>
  <si>
    <t>(04333)36447</t>
  </si>
  <si>
    <t>Загальноосвітня школа І-ІІІ ступенів с.Дружелюбівка Калинівський район Вінницька область</t>
  </si>
  <si>
    <t>22450</t>
  </si>
  <si>
    <t>0521681603</t>
  </si>
  <si>
    <t>Дружелюбівка</t>
  </si>
  <si>
    <t>вул. Центральна, 54</t>
  </si>
  <si>
    <t>(0433)23441</t>
  </si>
  <si>
    <t>Загальноосвітня школа І-ІІ ступенів с. Дружне Калинівський район Вінницька область</t>
  </si>
  <si>
    <t>22453</t>
  </si>
  <si>
    <t>0521681803</t>
  </si>
  <si>
    <t>Дружне</t>
  </si>
  <si>
    <t>вул. Промислова, 5</t>
  </si>
  <si>
    <t>(04333)39737</t>
  </si>
  <si>
    <t>Комунальний заклад"Навчально виховний комплекс загальноосвітня школа 1-2 ст.-дошкільний навчальний заклад с.Жигалівка Калинівський район Вінницька область"</t>
  </si>
  <si>
    <t>22423</t>
  </si>
  <si>
    <t>0521682003</t>
  </si>
  <si>
    <t>Жигалівка</t>
  </si>
  <si>
    <t>вул. Шкільна, 30</t>
  </si>
  <si>
    <t>3-91-29</t>
  </si>
  <si>
    <t>Загальноосвітня школа І-ІІІ ступенів с. Уладівське Калинівського району Вінницької області</t>
  </si>
  <si>
    <t>22422</t>
  </si>
  <si>
    <t>0521682203</t>
  </si>
  <si>
    <t>Уладівське</t>
  </si>
  <si>
    <t>(04333)37534</t>
  </si>
  <si>
    <t>загальноосвітня школа І-ІІ ступенів - дитячий садок с.Заливанщина Калинівський р-н Вінницька обл.</t>
  </si>
  <si>
    <t>22440</t>
  </si>
  <si>
    <t>0521682403</t>
  </si>
  <si>
    <t>Заливанщина</t>
  </si>
  <si>
    <t>вул. Шкільна, 34</t>
  </si>
  <si>
    <t>(04333)39616</t>
  </si>
  <si>
    <t>Загальноосвітня школа І-ІІІ ступенів № 1 с. Іванів Калинівський район Вінницька область</t>
  </si>
  <si>
    <t>22432</t>
  </si>
  <si>
    <t>0521682803</t>
  </si>
  <si>
    <t>Іванів</t>
  </si>
  <si>
    <t>вул. Гагаріна, 28</t>
  </si>
  <si>
    <t>(04333)37374</t>
  </si>
  <si>
    <t>http://IV.KLEDU.VN.UA</t>
  </si>
  <si>
    <t>Іванівська спеціальна загальноосвітня школа-інтернат Калинівський район Вінницької обласної Ради</t>
  </si>
  <si>
    <t>(233)37349, (233)37343, (233)37317</t>
  </si>
  <si>
    <t>21725322</t>
  </si>
  <si>
    <t>загальноосвітня школа І-ІІ ступенів с. Слобідка</t>
  </si>
  <si>
    <t>22433</t>
  </si>
  <si>
    <t>0521682806</t>
  </si>
  <si>
    <t>Слобідка</t>
  </si>
  <si>
    <t>вул. Руданського, 95/а</t>
  </si>
  <si>
    <t>37361</t>
  </si>
  <si>
    <t>Загальноосвітня школа І-ІІ ступенів с.Мирне, Калинівського району, Вінницької області</t>
  </si>
  <si>
    <t>22451</t>
  </si>
  <si>
    <t>0521683103</t>
  </si>
  <si>
    <t>Мирне</t>
  </si>
  <si>
    <t>(04333)3-63-48</t>
  </si>
  <si>
    <t>Комунальний заклад "Навчально-виховний комплекс "Загальноосвітня школа І-ІІ ступенів - дитячий садок с. Польова Лисіївка" Калинівський район Вінницька область</t>
  </si>
  <si>
    <t>0521683106</t>
  </si>
  <si>
    <t>Польова Лисіївка</t>
  </si>
  <si>
    <t>вул. Леніна, 2</t>
  </si>
  <si>
    <t>(04333)36359</t>
  </si>
  <si>
    <t>Загальноросвітня школа І-ІІІ ступенів с. Бережани Калинівський район Вінницька область</t>
  </si>
  <si>
    <t>22426</t>
  </si>
  <si>
    <t>0521683303</t>
  </si>
  <si>
    <t>Бережани</t>
  </si>
  <si>
    <t>вул. Миру, 17</t>
  </si>
  <si>
    <t>(04333)3-84-95, (04333)3-85-90</t>
  </si>
  <si>
    <t>Корделівська середня загальноосвітня школа І-ІІІ ступенів с.Корделівки Калинівського району Вінницької області</t>
  </si>
  <si>
    <t>22445</t>
  </si>
  <si>
    <t>0521683603</t>
  </si>
  <si>
    <t>Корделівка</t>
  </si>
  <si>
    <t>вул. Київська, 4</t>
  </si>
  <si>
    <t>(04333)3-33-94</t>
  </si>
  <si>
    <t>http://kr.kledu.vn.ua</t>
  </si>
  <si>
    <t>Комунальний заклад навчально-виховний комплекс І-ІІ ступенів дитячий навчальний заклад села Котюжинці Калинівського району Вінницької області</t>
  </si>
  <si>
    <t>22430</t>
  </si>
  <si>
    <t>0521683803</t>
  </si>
  <si>
    <t>Котюжинці</t>
  </si>
  <si>
    <t>вул. Садова, 41А</t>
  </si>
  <si>
    <t>(04333)3-71-45</t>
  </si>
  <si>
    <t>комунальний заклад "Навчально-виховний комплекс загальноосвітня школа І-ІІІ ступенів - дошкільний навчальний заклад с.Лемешівка Калинівського району Вінницької області"</t>
  </si>
  <si>
    <t>22410</t>
  </si>
  <si>
    <t>0521684003</t>
  </si>
  <si>
    <t>Лемешівка</t>
  </si>
  <si>
    <t>вул. Шкільна, 14/а</t>
  </si>
  <si>
    <t>(043333)39347</t>
  </si>
  <si>
    <t>Комунальний заклад "Навчально-виховний комплекс загальноосвітня школа І-ІІІ ступенів - дошкільний навчальний заклад с.Лісова Лисіївка Калинівського району Вінницької області"</t>
  </si>
  <si>
    <t>22461</t>
  </si>
  <si>
    <t>0521684203</t>
  </si>
  <si>
    <t>Лісова Лисіївка</t>
  </si>
  <si>
    <t>(04333)36136</t>
  </si>
  <si>
    <t>Загальноосвітня школа І-ІІ ступенів с. Люлинці, Калинівський район, Вінницька область</t>
  </si>
  <si>
    <t>22411</t>
  </si>
  <si>
    <t>0521684403</t>
  </si>
  <si>
    <t>Люлинці</t>
  </si>
  <si>
    <t>вул. Сонячна, 2</t>
  </si>
  <si>
    <t>(04333)35542</t>
  </si>
  <si>
    <t>Комунальний заклад "Навчально-виховний комплекс Загальноосвітня школа І-ІІІ ступенів - дитячий садок с. Мізяків Калинівського району Вінницької області"</t>
  </si>
  <si>
    <t>22437</t>
  </si>
  <si>
    <t>0521684803</t>
  </si>
  <si>
    <t>Мізяків</t>
  </si>
  <si>
    <t>(0432)3-53-49</t>
  </si>
  <si>
    <t>Загальноосвітня школа І-ІІ ступенів с. Нападівка Калинівський район Вінницька область</t>
  </si>
  <si>
    <t>22413</t>
  </si>
  <si>
    <t>0521685203</t>
  </si>
  <si>
    <t>Нападівка</t>
  </si>
  <si>
    <t>(04333)34418</t>
  </si>
  <si>
    <t>Загальноосвітня школа І-ІІІ ступенів села Нова Гребля</t>
  </si>
  <si>
    <t>22452</t>
  </si>
  <si>
    <t>0521685603</t>
  </si>
  <si>
    <t>Нова Гребля</t>
  </si>
  <si>
    <t>вул. Шкільна, 16</t>
  </si>
  <si>
    <t>(04333)34636</t>
  </si>
  <si>
    <t>Загальноосвітня школа І-ІІІ ступенів с. Павлівка Калинівський район Вінницька область</t>
  </si>
  <si>
    <t>22436</t>
  </si>
  <si>
    <t>0521686103</t>
  </si>
  <si>
    <t>(04333)42823</t>
  </si>
  <si>
    <t>Загальноосвітня школа І-ІІІ ступенів № 1 Вінницька обл. Калинівський р-н с. Пиків</t>
  </si>
  <si>
    <t>22420</t>
  </si>
  <si>
    <t>0521686303</t>
  </si>
  <si>
    <t>Пиків</t>
  </si>
  <si>
    <t>0433334217</t>
  </si>
  <si>
    <t>http://pk1.kledu.vn.ua</t>
  </si>
  <si>
    <t>Загальноосвітня школа І-ІІІ ступенів с.Пиків</t>
  </si>
  <si>
    <t>вул. Соборна, 34</t>
  </si>
  <si>
    <t>(04333)34248</t>
  </si>
  <si>
    <t>Комунальний заклад "Навчально-виховний комплекс загальноосвітня школа І-ІІ ступенів - дошкільний навчальний заклад с. Шепіївка Калинівського району Вінницької області"</t>
  </si>
  <si>
    <t>22421</t>
  </si>
  <si>
    <t>0521686306</t>
  </si>
  <si>
    <t>Шепіївка</t>
  </si>
  <si>
    <t>вул. 8 березня, 12</t>
  </si>
  <si>
    <t>((04333))34280</t>
  </si>
  <si>
    <t>Комунальний заклад "Навчально-виховний комплекс загальноосвітня школа І-ІІІ ступенів - дошкільний навчальний заклад село Писарівка Калинівського району Вінницької області"</t>
  </si>
  <si>
    <t>22407</t>
  </si>
  <si>
    <t>0521686501</t>
  </si>
  <si>
    <t>вул. Щорса, 8</t>
  </si>
  <si>
    <t>(04333)38260</t>
  </si>
  <si>
    <t>Загальноосвітня школа І-ІІІ ступенів с.Радівка Калинівський район Вінницька область</t>
  </si>
  <si>
    <t>22415</t>
  </si>
  <si>
    <t>0521686803</t>
  </si>
  <si>
    <t>Радівка</t>
  </si>
  <si>
    <t>0433334494</t>
  </si>
  <si>
    <t>Навчально-виховний комплекс загальноосвітня школа І-ІІІ ступенів -дошкільний навчальний заклад с. Сальник Калинівський район Вінницька область</t>
  </si>
  <si>
    <t>22460</t>
  </si>
  <si>
    <t>0521687503</t>
  </si>
  <si>
    <t>Сальник</t>
  </si>
  <si>
    <t>вул. Сонячна, 1А</t>
  </si>
  <si>
    <t>(04333)37734</t>
  </si>
  <si>
    <t>Навчально-виховний комплекс загальноосвітня школа І-ІІ ступенів дошкільний навчальний заклад с.Хомутинці Калинівського району Вінницької області</t>
  </si>
  <si>
    <t>22424</t>
  </si>
  <si>
    <t>0521688603</t>
  </si>
  <si>
    <t>Хомутинці</t>
  </si>
  <si>
    <t>вул. Першотравнева, 3</t>
  </si>
  <si>
    <t>(04333)3-92-30</t>
  </si>
  <si>
    <t>Загальноосвітня школа І-ІІІ ступенів с. Черепашинці Калинівський район Вінницька область</t>
  </si>
  <si>
    <t>22443</t>
  </si>
  <si>
    <t>0521688803</t>
  </si>
  <si>
    <t>Черепашинці</t>
  </si>
  <si>
    <t>вул. Польова, 5</t>
  </si>
  <si>
    <t>(04333)3-43-17</t>
  </si>
  <si>
    <t>http://chp.kledu.vn.ua/</t>
  </si>
  <si>
    <t>Навчально-виховний комплекс Загальноосвітня школа І-ІІ ступенів - дошкільний навчальний заклад с. Чернятин Калинівський район Вінницька область</t>
  </si>
  <si>
    <t>22444</t>
  </si>
  <si>
    <t>0521689003</t>
  </si>
  <si>
    <t>вул. Миру, 10</t>
  </si>
  <si>
    <t>(04333)35642</t>
  </si>
  <si>
    <t>середня загальноосвітня школа І-ІІІ ступенів № 1 ім. Героя Радянського Союзу О.А.Бичковського смт.Крижопіль Вінницька область</t>
  </si>
  <si>
    <t>24600</t>
  </si>
  <si>
    <t>0521955100</t>
  </si>
  <si>
    <t>Крижопіль</t>
  </si>
  <si>
    <t>вул. Карла Маркса, 90</t>
  </si>
  <si>
    <t>20103727</t>
  </si>
  <si>
    <t>Середня загальноосвітня школа І-ІІІ ступенів № 2 ім. воїна-інтернаціоналіста С.В.Гаврилюка смт Крижопіль Вінницької області</t>
  </si>
  <si>
    <t>вул. Б.Хмельницького, 2</t>
  </si>
  <si>
    <t>(04340)26775</t>
  </si>
  <si>
    <t>23107383</t>
  </si>
  <si>
    <t>Навчально-виховний комплекс "Загальноосвітній навчальний заклад І-ІІ ступенів - дошкільний навчальний заклад" с. Висока Гребля Крижопільського району Вінницької області</t>
  </si>
  <si>
    <t>24612</t>
  </si>
  <si>
    <t>0521980202</t>
  </si>
  <si>
    <t>Висока Гребля</t>
  </si>
  <si>
    <t>вул. Небесної Сотні, 6</t>
  </si>
  <si>
    <t>(04340)26615</t>
  </si>
  <si>
    <t>Середня загальноосвітня школа І-ІІІ ступенів села Вербка Крижопільського району Вінницької області</t>
  </si>
  <si>
    <t>24623</t>
  </si>
  <si>
    <t>0521980401</t>
  </si>
  <si>
    <t>Вербка</t>
  </si>
  <si>
    <t>вул. вул. Садова, 44</t>
  </si>
  <si>
    <t>(04340)28440</t>
  </si>
  <si>
    <t>середня загальноосвітня школа І-ІІ ступенів с.Голубече Вінницької області Крижопільського району</t>
  </si>
  <si>
    <t>24606</t>
  </si>
  <si>
    <t>0521980801</t>
  </si>
  <si>
    <t>Голубече</t>
  </si>
  <si>
    <t>вул. Фалаштинських, 2</t>
  </si>
  <si>
    <t>(04340)29440</t>
  </si>
  <si>
    <t>Середня загальноосвітня школа І - ІІІ ступенів № 2 с.Городківка Крижопільського району Вінницької області</t>
  </si>
  <si>
    <t>24615</t>
  </si>
  <si>
    <t>0521981201</t>
  </si>
  <si>
    <t>Городківка</t>
  </si>
  <si>
    <t>(04340)24640</t>
  </si>
  <si>
    <t>http://s2horodkivka.ucoz.net/</t>
  </si>
  <si>
    <t>Середня загальноосвітня школа І-ІІІ ступенів № 1 с. Городківка Крижопільський район Вінницька область</t>
  </si>
  <si>
    <t>вул. Лесі Українки (60 років СРСР), 3</t>
  </si>
  <si>
    <t>((04340))2-42-78</t>
  </si>
  <si>
    <t>середня загальноосвітня школа І-ІІІ ступенів с. Гарячківка Крижопільського району Вінницької області</t>
  </si>
  <si>
    <t>24622</t>
  </si>
  <si>
    <t>0521981502</t>
  </si>
  <si>
    <t>Гарячківка</t>
  </si>
  <si>
    <t>вул. Свердлова, 13</t>
  </si>
  <si>
    <t>Навчально-виховний комплекс "Загальноосвітній навчальний заклад І-ІІ ступенів -дошкільний навчальний заклад" села Джугастра Крижопільського району Вінницької області</t>
  </si>
  <si>
    <t>24620</t>
  </si>
  <si>
    <t>0521982001</t>
  </si>
  <si>
    <t>Джугастра</t>
  </si>
  <si>
    <t>вул. Шкільна, 36А</t>
  </si>
  <si>
    <t>Середня загальноосвітня школа І-ІІІ ступенів с. Жабокрич Крижопільського району Вінницької області</t>
  </si>
  <si>
    <t>24640</t>
  </si>
  <si>
    <t>0521982401</t>
  </si>
  <si>
    <t>Жабокрич</t>
  </si>
  <si>
    <t>вул. Миру, 2</t>
  </si>
  <si>
    <t>(04340)27740</t>
  </si>
  <si>
    <t>Вінницька обл. Крижопільський р-н Середня Загальноосвітня Школа I-II ст села Заболотне</t>
  </si>
  <si>
    <t>24631</t>
  </si>
  <si>
    <t>0521982601</t>
  </si>
  <si>
    <t>Заболотне</t>
  </si>
  <si>
    <t>ал. Чоботарська, 1</t>
  </si>
  <si>
    <t>Навчально-виховний комплекс "Загальноосвітній навчальний заклад І-ІІ ступенів- дошкільний навчальний заклад" с. Кісниця Крижопільського району Вінницької області</t>
  </si>
  <si>
    <t>24613</t>
  </si>
  <si>
    <t>0521984002</t>
  </si>
  <si>
    <t>Кісниця</t>
  </si>
  <si>
    <t>вул. 1 Травня, 1</t>
  </si>
  <si>
    <t>Середня загальноосвітня школа І-ІІІ ступенів с. Крикливець Крижопільського району Вінницької області</t>
  </si>
  <si>
    <t>24641</t>
  </si>
  <si>
    <t>0521984401</t>
  </si>
  <si>
    <t>Крикливець</t>
  </si>
  <si>
    <t>вул. Леніна, 94</t>
  </si>
  <si>
    <t>(04340)25740</t>
  </si>
  <si>
    <t>Навчально-виховний комплекс "Загальноосвітній навчальний заклад І-ІІ ступенів - дошкільний навчальний заклад " с.Куниче Крижопільського району Вінницької області</t>
  </si>
  <si>
    <t>24632</t>
  </si>
  <si>
    <t>0521984601</t>
  </si>
  <si>
    <t>Куниче</t>
  </si>
  <si>
    <t>вул. Леніна, 78</t>
  </si>
  <si>
    <t>(04340)26440</t>
  </si>
  <si>
    <t>середня загальноосвітня школа І-ІІІ ступенів с. Вільшанка Крижопільського району Вінницької області</t>
  </si>
  <si>
    <t>24624</t>
  </si>
  <si>
    <t>0521985503</t>
  </si>
  <si>
    <t>Вільшанка</t>
  </si>
  <si>
    <t>вул. Шкільна, 41</t>
  </si>
  <si>
    <t>(04340)29540</t>
  </si>
  <si>
    <t>Навчально-виховний комплекс "Загальноосвітній навчальний заклад І-ІІ ступенів - Дошкільний навчальний заклад" с. Павлівка Крижопільського району Вінницької області</t>
  </si>
  <si>
    <t>24643</t>
  </si>
  <si>
    <t>0521985801</t>
  </si>
  <si>
    <t>вул. Миру, 12</t>
  </si>
  <si>
    <t>(04340)26140</t>
  </si>
  <si>
    <t>Навчально-виховний комплекс "Загальноосвітній навчальний заклад І ступеня-дошкільний навчальний заклад" с. Савчине Крижопільського району Вінницької області</t>
  </si>
  <si>
    <t>24610</t>
  </si>
  <si>
    <t>0521986001</t>
  </si>
  <si>
    <t>Савчине</t>
  </si>
  <si>
    <t>вул. Шевченка, 29</t>
  </si>
  <si>
    <t>(04340)2-56-36</t>
  </si>
  <si>
    <t>Середня загальноосвітня школа І-ІІІ ступенів с. Соколівка Вінницької області Крижопільського району</t>
  </si>
  <si>
    <t>24633</t>
  </si>
  <si>
    <t>0521986201</t>
  </si>
  <si>
    <t>Соколівка</t>
  </si>
  <si>
    <t>вул. Службова,5, 5</t>
  </si>
  <si>
    <t>0966719270</t>
  </si>
  <si>
    <t>Середня загальноосвітня школа І-ІІ ступенів с. Соколівка Крижопільського району Вінницької області</t>
  </si>
  <si>
    <t>вул. Червоних вчителів, 1</t>
  </si>
  <si>
    <t>Навчально-виховний комплекс "Загальноосвітній навчальний заклад І-ІІ ступенів -дошкільний навчальний заклад " с. Левків Крижопільського району Вінницької області</t>
  </si>
  <si>
    <t>24634</t>
  </si>
  <si>
    <t>0521986202</t>
  </si>
  <si>
    <t>Левків</t>
  </si>
  <si>
    <t>вул. Толстого, 1</t>
  </si>
  <si>
    <t>(04343)2-72-40</t>
  </si>
  <si>
    <t>Навчально-виховний комплекс "Загальноосвітній навчальний заклад І-ІІ ступенів - дошкільний навчальний заклад" с. Тернівка Крижопільського району Вінницької області</t>
  </si>
  <si>
    <t>24605</t>
  </si>
  <si>
    <t>0521986401</t>
  </si>
  <si>
    <t>вул. Соборна, 10</t>
  </si>
  <si>
    <t>(04340)26240</t>
  </si>
  <si>
    <t>Навчально- виховний комплекс "Загальноосвітній навчальний заклад І-ІІІ ступенів - дошкільний навчальний заклад" села Шарапанівка Крижопільського району Вінницької області</t>
  </si>
  <si>
    <t>24630</t>
  </si>
  <si>
    <t>0521986601</t>
  </si>
  <si>
    <t>Шарапанівка</t>
  </si>
  <si>
    <t>Липовецька заальноосвітня школа І-ІІІ ступенів № 3 Липовецького району Вінницької області</t>
  </si>
  <si>
    <t>22500</t>
  </si>
  <si>
    <t>0522210100</t>
  </si>
  <si>
    <t>Липовець</t>
  </si>
  <si>
    <t>вул. Копитка, 2</t>
  </si>
  <si>
    <t>(04358)2-14-45</t>
  </si>
  <si>
    <t>http://lp3.lpedu.vn.ua</t>
  </si>
  <si>
    <t>Липовецька загальноосвітня школа І-ІІІ ступенів № 2</t>
  </si>
  <si>
    <t>вул. Героїв Майдану, 11</t>
  </si>
  <si>
    <t>(04358)21034</t>
  </si>
  <si>
    <t>http://lp2.lpedu.vn.ua</t>
  </si>
  <si>
    <t>Липовецький колегіум імені Василя Липківського</t>
  </si>
  <si>
    <t>колегіум</t>
  </si>
  <si>
    <t>(04358)21234, (04358)21645</t>
  </si>
  <si>
    <t>http://www.kolegium1.com</t>
  </si>
  <si>
    <t>21722536</t>
  </si>
  <si>
    <t>Турбівська загальноосвітня школа І-ІІІ ступенів № 2 Липовецького району Вінницької області</t>
  </si>
  <si>
    <t>22513</t>
  </si>
  <si>
    <t>0522255500</t>
  </si>
  <si>
    <t>Турбів</t>
  </si>
  <si>
    <t>вул. Миру, 68</t>
  </si>
  <si>
    <t>(04358)41626</t>
  </si>
  <si>
    <t>Турбівська загальноосвітня школа І-ІІІ ст. № 1 Липовецької районної ради Вінницької області</t>
  </si>
  <si>
    <t>вул. Миру, 24</t>
  </si>
  <si>
    <t>(04358)42163</t>
  </si>
  <si>
    <t>Білянська загальноосвітня школа І-ІІ ступенів Липовецької районної ради Вінницької області</t>
  </si>
  <si>
    <t>22520</t>
  </si>
  <si>
    <t>0522280201</t>
  </si>
  <si>
    <t>Біла</t>
  </si>
  <si>
    <t>вул. Миру, 49</t>
  </si>
  <si>
    <t>(04358)38630</t>
  </si>
  <si>
    <t>Брицька загальноосвітня школа І-ІІ ст. Липовецького району Вінницької області</t>
  </si>
  <si>
    <t>22523</t>
  </si>
  <si>
    <t>0522280401</t>
  </si>
  <si>
    <t>Брицьке</t>
  </si>
  <si>
    <t>вул. Вишнівського, 10</t>
  </si>
  <si>
    <t>(04358)38324</t>
  </si>
  <si>
    <t>Вахнівська загальноосвітня школа І-ІІІ ступенів Липовецького району Вінницької області</t>
  </si>
  <si>
    <t>22524</t>
  </si>
  <si>
    <t>0522280601</t>
  </si>
  <si>
    <t>Вахнівка</t>
  </si>
  <si>
    <t>вул. 60-річчя Жовтня, 18</t>
  </si>
  <si>
    <t>(04358)39346</t>
  </si>
  <si>
    <t>Зозівська загальноосвітня школа І-ІІІ ступенів Липовецької районної ради Вінницької області</t>
  </si>
  <si>
    <t>22525</t>
  </si>
  <si>
    <t>0522281401</t>
  </si>
  <si>
    <t>Зозів</t>
  </si>
  <si>
    <t>(258)27386</t>
  </si>
  <si>
    <t>http://zoz.lpedu.vn.ua</t>
  </si>
  <si>
    <t>Іваньківська загальноосвітня школа І-ІІІ ступенів Липовецького району Вінницької області</t>
  </si>
  <si>
    <t>22554</t>
  </si>
  <si>
    <t>0522282001</t>
  </si>
  <si>
    <t>Іваньки</t>
  </si>
  <si>
    <t>вул. Молодіжна, 78</t>
  </si>
  <si>
    <t>(04358)3-45-33</t>
  </si>
  <si>
    <t>Козинецька загальноосвітня школа I-III ступенів</t>
  </si>
  <si>
    <t>22530</t>
  </si>
  <si>
    <t>0522282601</t>
  </si>
  <si>
    <t>Козинці</t>
  </si>
  <si>
    <t>0435834823</t>
  </si>
  <si>
    <t>Костянтинівська загальноосвітня школа І-ІІ ступенів Липовецького району Вінницької області</t>
  </si>
  <si>
    <t>22510</t>
  </si>
  <si>
    <t>0522282801</t>
  </si>
  <si>
    <t>Костянтинівка</t>
  </si>
  <si>
    <t>вул. Миру, 98А</t>
  </si>
  <si>
    <t>(04358)43710</t>
  </si>
  <si>
    <t>Лукашівська загальноосвітня школа І-ІІІ ступенів Липовецького району Вінницької області</t>
  </si>
  <si>
    <t>22534</t>
  </si>
  <si>
    <t>0522283601</t>
  </si>
  <si>
    <t>вул. Леніна, 1</t>
  </si>
  <si>
    <t>(04358)3-71-44</t>
  </si>
  <si>
    <t>http://lukashova.p.ht</t>
  </si>
  <si>
    <t>Нападівська загальноосвітня школа І-ІІ ступенів Липовецького району Вінницької області</t>
  </si>
  <si>
    <t>22541</t>
  </si>
  <si>
    <t>0522283801</t>
  </si>
  <si>
    <t>вул. Шкільна, 9</t>
  </si>
  <si>
    <t>(04358)37537</t>
  </si>
  <si>
    <t>Новоприлуцька середня загальноосвітня школа І - ІІ ступенів Липовецького району Вінницької області</t>
  </si>
  <si>
    <t>22512</t>
  </si>
  <si>
    <t>0522284001</t>
  </si>
  <si>
    <t>Нова Прилука</t>
  </si>
  <si>
    <t>вул. Травнева (Першотравнева), 38</t>
  </si>
  <si>
    <t>(258)4-35-21</t>
  </si>
  <si>
    <t>Попівська загальноосвітня школа І-ІІ ступенів Липовецького району Вінницької області</t>
  </si>
  <si>
    <t>22551</t>
  </si>
  <si>
    <t>0522284801</t>
  </si>
  <si>
    <t>Попівка</t>
  </si>
  <si>
    <t>вул. Ткаченка, 78</t>
  </si>
  <si>
    <t>(04358)3-43-27</t>
  </si>
  <si>
    <t>Приборівська загальноосвітня школа І-ІІ ступенів Липовецького району Вінницької області</t>
  </si>
  <si>
    <t>22515</t>
  </si>
  <si>
    <t>0522285201</t>
  </si>
  <si>
    <t>Приборівка</t>
  </si>
  <si>
    <t>вул. Івана Франка, 1</t>
  </si>
  <si>
    <t>(04358)41108</t>
  </si>
  <si>
    <t>Косаківська загальноосвітня школа І-ІІ ступенів Липовецького району Вінницької області</t>
  </si>
  <si>
    <t>0522285202</t>
  </si>
  <si>
    <t>Косаківка</t>
  </si>
  <si>
    <t>вул. Лялі Ратушної, 1</t>
  </si>
  <si>
    <t>(04358)35248</t>
  </si>
  <si>
    <t>Росошанська загальноосвітня школа І-ІІІ ступенів Росошанської сільської ради Липовецького району Вінницької області</t>
  </si>
  <si>
    <t>22542</t>
  </si>
  <si>
    <t>0522285601</t>
  </si>
  <si>
    <t>Росоша</t>
  </si>
  <si>
    <t>(04358)36242</t>
  </si>
  <si>
    <t>26243734</t>
  </si>
  <si>
    <t>Сививківська загальноосвітня школа І-ІІ ступенів Липовецького району Вінницької області</t>
  </si>
  <si>
    <t>22514</t>
  </si>
  <si>
    <t>0522285801</t>
  </si>
  <si>
    <t>Сиваківці</t>
  </si>
  <si>
    <t>вул. Центральна, 24</t>
  </si>
  <si>
    <t>(04358)32340</t>
  </si>
  <si>
    <t>Скитківська загальноосвітня школа І-ІІ ступенів Липовецького району Вінницької області</t>
  </si>
  <si>
    <t>22545</t>
  </si>
  <si>
    <t>0522286101</t>
  </si>
  <si>
    <t>Скитка</t>
  </si>
  <si>
    <t>(04358)34629</t>
  </si>
  <si>
    <t>Славнянська загальноосвітня школа І-ІІ ступенів Липовецького району Вінницької області</t>
  </si>
  <si>
    <t>22540</t>
  </si>
  <si>
    <t>0522286401</t>
  </si>
  <si>
    <t>Славна</t>
  </si>
  <si>
    <t>(04358)34434</t>
  </si>
  <si>
    <t>Староприлуцька загальноосвітня школа І-ІІІ ступенів Липовецької районної ради Вінницької області</t>
  </si>
  <si>
    <t>22511</t>
  </si>
  <si>
    <t>0522286601</t>
  </si>
  <si>
    <t>Стара Прилука</t>
  </si>
  <si>
    <t>вул. Космонавтів, 35</t>
  </si>
  <si>
    <t>(04358)4-31-40</t>
  </si>
  <si>
    <t>Староприлуцька спеціальна загальноосвітня школа-інтернат</t>
  </si>
  <si>
    <t>вул. Садова, 10</t>
  </si>
  <si>
    <t>(096)1228741</t>
  </si>
  <si>
    <t>http://staropriluckashkola.in.ua</t>
  </si>
  <si>
    <t>24902380</t>
  </si>
  <si>
    <t>Струтинська загальноосвітня школа I-II ступенів Липовецького району Вінницької області</t>
  </si>
  <si>
    <t>22550</t>
  </si>
  <si>
    <t>0522286801</t>
  </si>
  <si>
    <t>Струтинка</t>
  </si>
  <si>
    <t>вул. Молодіжна, 1</t>
  </si>
  <si>
    <t>(04358)38414, 38-097-10-76-190</t>
  </si>
  <si>
    <t>Білозерівська загальноосвітня школа І-ІІІ ступенів Липовецької районної ради Вінницької області</t>
  </si>
  <si>
    <t>22532</t>
  </si>
  <si>
    <t>0522287002</t>
  </si>
  <si>
    <t>Білозерівка</t>
  </si>
  <si>
    <t>вул. Поповича, 39</t>
  </si>
  <si>
    <t>(04358)36641</t>
  </si>
  <si>
    <t>Трощанська загальноосвітня школа І-ІІ ступенів Липовецького району Вінницької області</t>
  </si>
  <si>
    <t>22552</t>
  </si>
  <si>
    <t>0522287501</t>
  </si>
  <si>
    <t>Троща</t>
  </si>
  <si>
    <t>(04358)3-47-40</t>
  </si>
  <si>
    <t>Літинська середня загальноосвітня школа І - ІІІ ступенів № 2 Літинська селищна рада Вінницька область</t>
  </si>
  <si>
    <t>22300</t>
  </si>
  <si>
    <t>0522455100</t>
  </si>
  <si>
    <t>Літин</t>
  </si>
  <si>
    <t>вул. Соборна, 42</t>
  </si>
  <si>
    <t>(04347)21495</t>
  </si>
  <si>
    <t>Літинська середня загальноосвітня школаІ-ІІІступенів № 1</t>
  </si>
  <si>
    <t>вул. Радянська, 17</t>
  </si>
  <si>
    <t>(04347)20448, (04347)20449</t>
  </si>
  <si>
    <t>Середня загальноосвітня школа І-ІІІ ступенів с.Багринівці. Літинського району. Вінницької області.</t>
  </si>
  <si>
    <t>22350</t>
  </si>
  <si>
    <t>0522480401</t>
  </si>
  <si>
    <t>Багринівці</t>
  </si>
  <si>
    <t>вул. Леніна, 102</t>
  </si>
  <si>
    <t>(047)33274</t>
  </si>
  <si>
    <t>Навчально-виховний комплекс (середня загальноосвітня школа І-ІІІ ступенів - дошкільний навчальний заклад) с. Бірків Літинського району Вінницької області</t>
  </si>
  <si>
    <t>22352</t>
  </si>
  <si>
    <t>0522480801</t>
  </si>
  <si>
    <t>Бірків</t>
  </si>
  <si>
    <t>вул. Весняна, 7</t>
  </si>
  <si>
    <t>(04347)3-54-33</t>
  </si>
  <si>
    <t>середня загальноосвітня школа І-ІІІ ступенів с. Бруслинів літинського району Вінницької області</t>
  </si>
  <si>
    <t>22333</t>
  </si>
  <si>
    <t>0522481303</t>
  </si>
  <si>
    <t>Бруслинів</t>
  </si>
  <si>
    <t>вул. М. Короля, 26</t>
  </si>
  <si>
    <t>(043)35245</t>
  </si>
  <si>
    <t>Середня загальноосвітня школа І-ІІ ступенів с. Новоселиця Літинського району Вінницької області</t>
  </si>
  <si>
    <t>22334</t>
  </si>
  <si>
    <t>0522481305</t>
  </si>
  <si>
    <t>Новоселиця</t>
  </si>
  <si>
    <t>(04347)3-75-57</t>
  </si>
  <si>
    <t>Середня загальноосвітня школа І - ІІІ ступенів с. Вінниківці Літинського району Вінницької області</t>
  </si>
  <si>
    <t>22351</t>
  </si>
  <si>
    <t>0522481603</t>
  </si>
  <si>
    <t>Вінниківці</t>
  </si>
  <si>
    <t>вул. Щорса, 12</t>
  </si>
  <si>
    <t>3-32-56</t>
  </si>
  <si>
    <t>Навчально - виховний коплекс ( середня загальноосвітня школа І -ІІІ ст. - дошкільний навчальний заклад) с. Громадське</t>
  </si>
  <si>
    <t>22348</t>
  </si>
  <si>
    <t>0522481801</t>
  </si>
  <si>
    <t>Громадське</t>
  </si>
  <si>
    <t>34174</t>
  </si>
  <si>
    <t>Середня загальноосвітня школа І-ІІІ ступенів села Дашківці Літинського району Вінницької області</t>
  </si>
  <si>
    <t>22363</t>
  </si>
  <si>
    <t>0522482201</t>
  </si>
  <si>
    <t>Дашківці</t>
  </si>
  <si>
    <t>вул. Леніна, 57</t>
  </si>
  <si>
    <t>(04347)3-22-16</t>
  </si>
  <si>
    <t>Лукашівський навчально-виховний комплекс "загальноосвітній навчальний заклад Іст.- дошкільний навчальний заклад"</t>
  </si>
  <si>
    <t>22364</t>
  </si>
  <si>
    <t>0522482203</t>
  </si>
  <si>
    <t>вул. Комарова, 17</t>
  </si>
  <si>
    <t>(04347)32481</t>
  </si>
  <si>
    <t>Дяковецький навчально-виховний комплекс (середня загальноосвітня школа І-ІІІ ступенів - дошкільний навчальний заклад) ім. М.П.Стельмаха Літинського району Вінницької області</t>
  </si>
  <si>
    <t>22341</t>
  </si>
  <si>
    <t>0522482601</t>
  </si>
  <si>
    <t>Дяківці</t>
  </si>
  <si>
    <t>(04347)33471</t>
  </si>
  <si>
    <t>Загальноосвітня школа І-ІІІ ступенів с. Журавне Літинського району Вінницької області</t>
  </si>
  <si>
    <t>22325</t>
  </si>
  <si>
    <t>0522482801</t>
  </si>
  <si>
    <t>Журавне</t>
  </si>
  <si>
    <t>вул. Центральна, 29</t>
  </si>
  <si>
    <t>(043347)31570</t>
  </si>
  <si>
    <t>http://jurav.ltedu.vn.ua</t>
  </si>
  <si>
    <t>Середня загальноосвітня школа І-ІІІ ступенів с. Івча</t>
  </si>
  <si>
    <t>22332</t>
  </si>
  <si>
    <t>0522483201</t>
  </si>
  <si>
    <t>Івча</t>
  </si>
  <si>
    <t>вул. Дружби, 1А</t>
  </si>
  <si>
    <t>(04347)35593</t>
  </si>
  <si>
    <t>середня загальноосвітня школа І-ІІІ ступенів село Кожухів</t>
  </si>
  <si>
    <t>22313</t>
  </si>
  <si>
    <t>0522483401</t>
  </si>
  <si>
    <t>Кожухів</t>
  </si>
  <si>
    <t>вул. Шляхова, 26</t>
  </si>
  <si>
    <t>(04347)34699</t>
  </si>
  <si>
    <t>Середня загальноосвітня школа І-ІІ ступенів с. Кулига</t>
  </si>
  <si>
    <t>22346</t>
  </si>
  <si>
    <t>0522483601</t>
  </si>
  <si>
    <t>Кулига</t>
  </si>
  <si>
    <t>(04347)33724</t>
  </si>
  <si>
    <t>Середня загальноосвітня школа І-ІІ ступенів с. Літинка</t>
  </si>
  <si>
    <t>22342</t>
  </si>
  <si>
    <t>0522484201</t>
  </si>
  <si>
    <t>Літинка</t>
  </si>
  <si>
    <t>вул. Жовтнева, 91</t>
  </si>
  <si>
    <t>0434736502</t>
  </si>
  <si>
    <t>http://lit.ltedu.vn.ua/</t>
  </si>
  <si>
    <t>Навчально-виховний комплекс (дошкільний навчальний заклад, середня загальнооьсвітня школа І-ІІІ ст.) с. Малинівка</t>
  </si>
  <si>
    <t>22316</t>
  </si>
  <si>
    <t>0522484601</t>
  </si>
  <si>
    <t>Малинівка</t>
  </si>
  <si>
    <t>вул. Коцюбинського, 9</t>
  </si>
  <si>
    <t>(04347)37423</t>
  </si>
  <si>
    <t>Середня загальноосвітня школа І-ІІ ступенів с. Балин</t>
  </si>
  <si>
    <t>22361</t>
  </si>
  <si>
    <t>0522484602</t>
  </si>
  <si>
    <t>Балин</t>
  </si>
  <si>
    <t>вул. 50-річчя  жовтня, 1</t>
  </si>
  <si>
    <t>(04322)37443</t>
  </si>
  <si>
    <t>середня загальноосвітня школа І - ІІ ступенів село Петрик</t>
  </si>
  <si>
    <t>22360</t>
  </si>
  <si>
    <t>0522484604</t>
  </si>
  <si>
    <t>Петрик</t>
  </si>
  <si>
    <t>вул. Центральна, 14</t>
  </si>
  <si>
    <t>(4347)34447</t>
  </si>
  <si>
    <t>середня загальноосвітня школа І-ІІІ ступенів села Микулинці</t>
  </si>
  <si>
    <t>22353</t>
  </si>
  <si>
    <t>0522485401</t>
  </si>
  <si>
    <t>Микулинці</t>
  </si>
  <si>
    <t>вул. Соборна, 18</t>
  </si>
  <si>
    <t>35718</t>
  </si>
  <si>
    <t>Середня загальноосвітня школа І-ІІ ступеня с. Осолинка Літинського району Вінницької області</t>
  </si>
  <si>
    <t>22330</t>
  </si>
  <si>
    <t>0522485801</t>
  </si>
  <si>
    <t>Осолинка</t>
  </si>
  <si>
    <t>вул. Шевченка, 2</t>
  </si>
  <si>
    <t>0434736745</t>
  </si>
  <si>
    <t>Навчально-виховний комплекс Iст. с. Миколаївка Літинського району Вінницької області</t>
  </si>
  <si>
    <t>22331</t>
  </si>
  <si>
    <t>0522485803</t>
  </si>
  <si>
    <t>ал. Б.Хмельницького, 15</t>
  </si>
  <si>
    <t>(04347)36753</t>
  </si>
  <si>
    <t>Пеньківська загальноосвітня школа І-ІІІ ступенів Літинської районної ради Вінницької області</t>
  </si>
  <si>
    <t>22336</t>
  </si>
  <si>
    <t>0522486001</t>
  </si>
  <si>
    <t>Пеньківка</t>
  </si>
  <si>
    <t>вул. Жовтнева, 110</t>
  </si>
  <si>
    <t>(04347)37383</t>
  </si>
  <si>
    <t>Бруслинівська загалоноосвітня школа І ступеня села Бруслинівка Літинського району Вінницької області</t>
  </si>
  <si>
    <t>0522486002</t>
  </si>
  <si>
    <t>Бруслинівка</t>
  </si>
  <si>
    <t>вул. Згарська, 35</t>
  </si>
  <si>
    <t>Середня загальноосвітня школа І ступеня села Підлісне Літинського району Вінницької області</t>
  </si>
  <si>
    <t>22337</t>
  </si>
  <si>
    <t>0522486003</t>
  </si>
  <si>
    <t>Підлісне</t>
  </si>
  <si>
    <t>вул. Лісна, 7</t>
  </si>
  <si>
    <t>(04347)3-73-20</t>
  </si>
  <si>
    <t>Середня загальноосвітня школа І-ІІІ ступенів с. Селище Літинського району Вінницької області</t>
  </si>
  <si>
    <t>22307</t>
  </si>
  <si>
    <t>0522486201</t>
  </si>
  <si>
    <t>Селище</t>
  </si>
  <si>
    <t>вул. Соборна, 2</t>
  </si>
  <si>
    <t>(04347)20018</t>
  </si>
  <si>
    <t>Навчально - виховний комплекс І-ІІ ступенів/школа - дошкільний виховний заклад с. Сосни</t>
  </si>
  <si>
    <t>22344</t>
  </si>
  <si>
    <t>0522486401</t>
  </si>
  <si>
    <t>Сосни</t>
  </si>
  <si>
    <t>вул. Центральна, 7</t>
  </si>
  <si>
    <t>(04347)22071</t>
  </si>
  <si>
    <t>Середня загальноосвітня школа І-ІІІ ступенів села Городище Літинської районної ради Вінницької області</t>
  </si>
  <si>
    <t>22347</t>
  </si>
  <si>
    <t>0522486403</t>
  </si>
  <si>
    <t>Городище</t>
  </si>
  <si>
    <t>вул. Подільська, 80</t>
  </si>
  <si>
    <t>(04347)36153</t>
  </si>
  <si>
    <t>http://gor-school.inf.ua</t>
  </si>
  <si>
    <t>середня загальноосвітня школа І ступеня села Уладівка</t>
  </si>
  <si>
    <t>00223</t>
  </si>
  <si>
    <t>0522487001</t>
  </si>
  <si>
    <t>Уладівка</t>
  </si>
  <si>
    <t>вул. Ю.Поліщука, 3</t>
  </si>
  <si>
    <t>(31)5-27</t>
  </si>
  <si>
    <t>Середня загальноосвітня школа І-ІІІ ступенів села Уладівка Літинський район Вінницька область</t>
  </si>
  <si>
    <t>22320</t>
  </si>
  <si>
    <t>вул. Шкільна, 25</t>
  </si>
  <si>
    <t>31642</t>
  </si>
  <si>
    <t>Середня загальноосвітня школа І-ІІ ступенів с.Уладівка Літинського району Вінницької області</t>
  </si>
  <si>
    <t>22321</t>
  </si>
  <si>
    <t>0522487002</t>
  </si>
  <si>
    <t>Іванопіль</t>
  </si>
  <si>
    <t>вул. Каштанова, 15</t>
  </si>
  <si>
    <t>(04347)31625</t>
  </si>
  <si>
    <t>Середня загальноосвітня школа І-ІІІ ступенів с.Шевченка Літинського району Вінницької області</t>
  </si>
  <si>
    <t>22312</t>
  </si>
  <si>
    <t>0522487401</t>
  </si>
  <si>
    <t>Шевченка</t>
  </si>
  <si>
    <t>вул. Шкільна, 36</t>
  </si>
  <si>
    <t>(4347)34340</t>
  </si>
  <si>
    <t>http://shev.ltedu.vn.ua</t>
  </si>
  <si>
    <t>Вендичанська середня загальноосвітня школа І-ІІІ ступенів, гімназія</t>
  </si>
  <si>
    <t>24032</t>
  </si>
  <si>
    <t>0522655500</t>
  </si>
  <si>
    <t>Вендичани</t>
  </si>
  <si>
    <t>вул. Соборна, 73</t>
  </si>
  <si>
    <t>37-32-5-81</t>
  </si>
  <si>
    <t>Борщівецький навчально-виховний комплекс загальноосвітній навчальний заклад дошкільний навчальний заклад І-ІІ ступенів</t>
  </si>
  <si>
    <t>24033</t>
  </si>
  <si>
    <t>0522655501</t>
  </si>
  <si>
    <t>Борщівці</t>
  </si>
  <si>
    <t>вул. Ворошилова, 18</t>
  </si>
  <si>
    <t>(096)5298576</t>
  </si>
  <si>
    <t>Бандишівський нівчально-виховний комплекс " загальноосвітній навчальний заклад - дошкільний навчальний заклад"</t>
  </si>
  <si>
    <t>24054</t>
  </si>
  <si>
    <t>0522680601</t>
  </si>
  <si>
    <t>Бандишівка</t>
  </si>
  <si>
    <t>вул. Центральна, 16</t>
  </si>
  <si>
    <t>(33)640</t>
  </si>
  <si>
    <t>Бронницька середня загальноосвітня школа І-ІІ ступенів</t>
  </si>
  <si>
    <t>24052</t>
  </si>
  <si>
    <t>0522681401</t>
  </si>
  <si>
    <t>Бронниця</t>
  </si>
  <si>
    <t>вул. Головна, 28</t>
  </si>
  <si>
    <t>38647</t>
  </si>
  <si>
    <t>Григорівська загальноосвітня школа 1 ступеня</t>
  </si>
  <si>
    <t>0522681402</t>
  </si>
  <si>
    <t>Григорівка</t>
  </si>
  <si>
    <t>вул. Шкільна, 17</t>
  </si>
  <si>
    <t>38747</t>
  </si>
  <si>
    <t>Оленівська середня загальноосвітня школа І-ІІ ступенів Могилів-Подільського району Вінницької області</t>
  </si>
  <si>
    <t>24053</t>
  </si>
  <si>
    <t>0522681405</t>
  </si>
  <si>
    <t>вул. Вишнева, 44</t>
  </si>
  <si>
    <t>(04337)33659</t>
  </si>
  <si>
    <t>Сказинецька середня загальноосвітня школа І-ІІ ступенів Могилів-Подільського району Вінницької області</t>
  </si>
  <si>
    <t>24043</t>
  </si>
  <si>
    <t>0522682101</t>
  </si>
  <si>
    <t>Сказинці</t>
  </si>
  <si>
    <t>(04337)37-6-40</t>
  </si>
  <si>
    <t>Садецька загальноосвітня школа І-ІІступенів Могилів-Подільського району Вінницької області</t>
  </si>
  <si>
    <t>24050</t>
  </si>
  <si>
    <t>0522682603</t>
  </si>
  <si>
    <t>Садки</t>
  </si>
  <si>
    <t>вул. Сонячна, 25</t>
  </si>
  <si>
    <t>(04337)33-5-52</t>
  </si>
  <si>
    <t>Слободо - Шлишковецький навчально - виховний комплекс "дошкільний навчальний заклад -середня загальноосвітня школа І-ІІІ ступенів Могилів - Подільського району Вінницької області</t>
  </si>
  <si>
    <t>24051</t>
  </si>
  <si>
    <t>0522682604</t>
  </si>
  <si>
    <t>Слобода-Шлишковецька</t>
  </si>
  <si>
    <t>вул. Леніна, 29</t>
  </si>
  <si>
    <t>(04337)33330</t>
  </si>
  <si>
    <t>Карпівська середня загальноосвітння школа І-ІІ ступенів Могилів-Подільського району Вінницької області</t>
  </si>
  <si>
    <t>02404</t>
  </si>
  <si>
    <t>0522683001</t>
  </si>
  <si>
    <t>Карпівка</t>
  </si>
  <si>
    <t>вул. Чапаєва, 1</t>
  </si>
  <si>
    <t>(04337)37-6-20</t>
  </si>
  <si>
    <t>Козлівська середня загальноосвітня школа І-ІІІ ступенів Могилів-Подільського району</t>
  </si>
  <si>
    <t>24021</t>
  </si>
  <si>
    <t>0522683201</t>
  </si>
  <si>
    <t>Козлів</t>
  </si>
  <si>
    <t>Липчанська середня загальноосвітня школа І-ІІ ст.</t>
  </si>
  <si>
    <t>24022</t>
  </si>
  <si>
    <t>0522683202</t>
  </si>
  <si>
    <t>Липчани</t>
  </si>
  <si>
    <t>вул. Михайлюка, 61</t>
  </si>
  <si>
    <t>(04337)36153</t>
  </si>
  <si>
    <t>Конівська загальноосвітня школа І ступеня</t>
  </si>
  <si>
    <t>24060</t>
  </si>
  <si>
    <t>0522683501</t>
  </si>
  <si>
    <t>Конева</t>
  </si>
  <si>
    <t>ал. Гагаріна, 8</t>
  </si>
  <si>
    <t>(04337)38-2-20</t>
  </si>
  <si>
    <t>Кричанівська середня загальноосвітня школа І-ІІ ступенів Могилів-Подільського району Вінницької області</t>
  </si>
  <si>
    <t>24034</t>
  </si>
  <si>
    <t>0522683701</t>
  </si>
  <si>
    <t>Кричанівка</t>
  </si>
  <si>
    <t>вул. Соборна, 15</t>
  </si>
  <si>
    <t>(04337)31540</t>
  </si>
  <si>
    <t>Кукавська середня загальноосвітня школа І-ІІІ ступенів імені В.А.Тропініна Могилів-Подільського району Вінницької області</t>
  </si>
  <si>
    <t>24011</t>
  </si>
  <si>
    <t>0522684001</t>
  </si>
  <si>
    <t>Кукавка</t>
  </si>
  <si>
    <t>вул. Коцюбинського, 1</t>
  </si>
  <si>
    <t>(04337)34-2-17</t>
  </si>
  <si>
    <t>Мервинецька середня загальноосвітня школа І - ІІ ступенів</t>
  </si>
  <si>
    <t>24063</t>
  </si>
  <si>
    <t>0522684501</t>
  </si>
  <si>
    <t>Мервинці</t>
  </si>
  <si>
    <t>вул. Центральна, 8 а</t>
  </si>
  <si>
    <t>38-1-35</t>
  </si>
  <si>
    <t>Немійська загальноосвітня школа I-II ступенів</t>
  </si>
  <si>
    <t>24006</t>
  </si>
  <si>
    <t>0522684801</t>
  </si>
  <si>
    <t>Немія</t>
  </si>
  <si>
    <t>вул. Юності, 26</t>
  </si>
  <si>
    <t>(04337)36563</t>
  </si>
  <si>
    <t>Озаринецька середня загальноосвітня школа І - ІІІ ступенів Могилів - Подільського району Вінницької області</t>
  </si>
  <si>
    <t>24041</t>
  </si>
  <si>
    <t>0522685001</t>
  </si>
  <si>
    <t>Озаринці</t>
  </si>
  <si>
    <t>(04337)31640</t>
  </si>
  <si>
    <t>Шлишковецька загальноосвітня школа І ступеня</t>
  </si>
  <si>
    <t>24046</t>
  </si>
  <si>
    <t>0522685303</t>
  </si>
  <si>
    <t>Шлишківці</t>
  </si>
  <si>
    <t>вул. Центральна, 4</t>
  </si>
  <si>
    <t>(04337)33248</t>
  </si>
  <si>
    <t>Серебрійська загальноосвітня школа І-ІІІ ступенів</t>
  </si>
  <si>
    <t>24026</t>
  </si>
  <si>
    <t>0522685701</t>
  </si>
  <si>
    <t>Серебрія</t>
  </si>
  <si>
    <t>вул. 8 Березня, 1</t>
  </si>
  <si>
    <t>37226</t>
  </si>
  <si>
    <t>http://serebria-school.edurit.vn.ua</t>
  </si>
  <si>
    <t>Серебрійський навчально-реабілітаційний центр Могилів-Подільського району Вінницької обласної Ради</t>
  </si>
  <si>
    <t>пров. 8 Березня, 3</t>
  </si>
  <si>
    <t>(0237)37545, (0237)37544</t>
  </si>
  <si>
    <t>21723116</t>
  </si>
  <si>
    <t>Серебринецька середня загальноосвітня школа І-ІІІ ступенів</t>
  </si>
  <si>
    <t>24014</t>
  </si>
  <si>
    <t>0522685801</t>
  </si>
  <si>
    <t>Серебринці</t>
  </si>
  <si>
    <t>вул. Соборна, 2/4</t>
  </si>
  <si>
    <t>(04337)00000</t>
  </si>
  <si>
    <t>Грабарівська загальноосвітння школа І ступення-сад Могилів-Поідільського району Вінницької області</t>
  </si>
  <si>
    <t>24015</t>
  </si>
  <si>
    <t>0522685802</t>
  </si>
  <si>
    <t>Грабарівка</t>
  </si>
  <si>
    <t>вул. Миру, 7</t>
  </si>
  <si>
    <t>(04337)36723</t>
  </si>
  <si>
    <t>Слідянська загальноосвітня школа І-ІІ ступенів Могилів-Подільського району Вінницької області</t>
  </si>
  <si>
    <t>24035</t>
  </si>
  <si>
    <t>0522686201</t>
  </si>
  <si>
    <t>Сліди</t>
  </si>
  <si>
    <t>вул. Центральна, 13</t>
  </si>
  <si>
    <t>(04337)31-1-22</t>
  </si>
  <si>
    <t>Слободо-Яришівська загальноосвітня школа I ступеня</t>
  </si>
  <si>
    <t>24016</t>
  </si>
  <si>
    <t>0522686401</t>
  </si>
  <si>
    <t>Слобода-Яришівська</t>
  </si>
  <si>
    <t>вул. Марії  Руденко, 62</t>
  </si>
  <si>
    <t>35-6-40</t>
  </si>
  <si>
    <t>Сугаківська середня загальноосвітня школа І-ІІІ ступенів Могилів-Подільського району Вінницької області</t>
  </si>
  <si>
    <t>24031</t>
  </si>
  <si>
    <t>0522687001</t>
  </si>
  <si>
    <t>Сугаки</t>
  </si>
  <si>
    <t>(4337)31234</t>
  </si>
  <si>
    <t>Тропівська середня загальноосвітня школа І-ІІ ступенів</t>
  </si>
  <si>
    <t>24030</t>
  </si>
  <si>
    <t>0522687201</t>
  </si>
  <si>
    <t>Тропове</t>
  </si>
  <si>
    <t>вул. Шкільна, 13</t>
  </si>
  <si>
    <t>0432731419</t>
  </si>
  <si>
    <t>Хоньковецька середня загальноосвітня школа I-III ступенів Могилів-Подільського району Вінницької області</t>
  </si>
  <si>
    <t>24020</t>
  </si>
  <si>
    <t>0522687401</t>
  </si>
  <si>
    <t>Хоньківці</t>
  </si>
  <si>
    <t>вул. Першого Травня, 1</t>
  </si>
  <si>
    <t>(04337)36340</t>
  </si>
  <si>
    <t>Юрковецька середня загальноосвітня школа І-ІІІ ступенів</t>
  </si>
  <si>
    <t>24040</t>
  </si>
  <si>
    <t>0522687801</t>
  </si>
  <si>
    <t>Юрківці</t>
  </si>
  <si>
    <t>вул. Миру, 137</t>
  </si>
  <si>
    <t>(26176481)34-6-21</t>
  </si>
  <si>
    <t>Ярузька середня загальноосвітня школа І-ІІІ ступенів Могилів-Подільського району Вінницької області</t>
  </si>
  <si>
    <t>24062</t>
  </si>
  <si>
    <t>0522688001</t>
  </si>
  <si>
    <t>Яруга</t>
  </si>
  <si>
    <t>вул. Дністровська, 83</t>
  </si>
  <si>
    <t>(043-37)38-2-52</t>
  </si>
  <si>
    <t>Яришівська середня загальноосвітня школа I-III ступенів</t>
  </si>
  <si>
    <t>24024</t>
  </si>
  <si>
    <t>0522688201</t>
  </si>
  <si>
    <t>Яришів</t>
  </si>
  <si>
    <t>вул. Головна, 5</t>
  </si>
  <si>
    <t>35-3-83</t>
  </si>
  <si>
    <t>Лядівський навчально-виховний комплекс "загальноосвітній навчальний заклад І-ІІ ступенів - дошкільний навчальний заклад" Могилів-Подільського району Вінницької області</t>
  </si>
  <si>
    <t>24025</t>
  </si>
  <si>
    <t>0522688202</t>
  </si>
  <si>
    <t>Лядова</t>
  </si>
  <si>
    <t>вул. Ватутіна, 15</t>
  </si>
  <si>
    <t>(0433735)219</t>
  </si>
  <si>
    <t>Мурованокуриловецька загальноосвітня санаторна школа-інтернат І-ІІІ ступенів Вінницької обласної Ради</t>
  </si>
  <si>
    <t>санаторна школа-інтернат</t>
  </si>
  <si>
    <t>23400</t>
  </si>
  <si>
    <t>0522855100</t>
  </si>
  <si>
    <t>Муровані Курилівці</t>
  </si>
  <si>
    <t>вул. Спортивна, 3</t>
  </si>
  <si>
    <t>(04356)21188</t>
  </si>
  <si>
    <t>20085915</t>
  </si>
  <si>
    <t>Навчально-виховний комплекс "Середня загальноосвітня школа І-ІІІ ступенів № 1 - гімназія" смт.Муровані Курилівці</t>
  </si>
  <si>
    <t>вул. Кошового, 2</t>
  </si>
  <si>
    <t>(04356)21289, (04356)21343</t>
  </si>
  <si>
    <t>Середня загальноосвітня школа І-ІІІ ступенів № 2, смт. Муровані Курилівці Мурованокуриловецького району Вінницької області</t>
  </si>
  <si>
    <t>вул. Соборна, 72</t>
  </si>
  <si>
    <t>0435621032</t>
  </si>
  <si>
    <t>навчально-виховний комплекс "Загальноосвітній навчальний заклад - дошкільний навчальний заклад"</t>
  </si>
  <si>
    <t>23412</t>
  </si>
  <si>
    <t>0522880401</t>
  </si>
  <si>
    <t>Бахтин</t>
  </si>
  <si>
    <t>вул. Гагаріна, 52</t>
  </si>
  <si>
    <t>0435634964</t>
  </si>
  <si>
    <t>Навчально виховний комплекс "Загальноосвітній навчальний заклад - дошкільний навчальний заклад" с. Вербовець</t>
  </si>
  <si>
    <t>0522880801</t>
  </si>
  <si>
    <t>Вербовець</t>
  </si>
  <si>
    <t>вул. Шевченка, 22</t>
  </si>
  <si>
    <t>3-46-20</t>
  </si>
  <si>
    <t>СЗШ І-ІІІ ступенів с.Вищеольчедаєва</t>
  </si>
  <si>
    <t>23432</t>
  </si>
  <si>
    <t>0522881601</t>
  </si>
  <si>
    <t>Вищеольчедаїв</t>
  </si>
  <si>
    <t>вул. Жовтнева, 2</t>
  </si>
  <si>
    <t>39337</t>
  </si>
  <si>
    <t>Навчально-виховний комплекс "Загальноосвітній навчальний заклад-дошкільний навчальний заклад" с. Галайківці</t>
  </si>
  <si>
    <t>23423</t>
  </si>
  <si>
    <t>0522882001</t>
  </si>
  <si>
    <t>Галайківці</t>
  </si>
  <si>
    <t>34517, 34544</t>
  </si>
  <si>
    <t>Навчально-виховний комплекс " Загальноосвітній навчальний заклад І-ІІІ ступенів - Дошкільний навчальний заклад" с.Жван</t>
  </si>
  <si>
    <t>23424</t>
  </si>
  <si>
    <t>0522882801</t>
  </si>
  <si>
    <t>Жван</t>
  </si>
  <si>
    <t>(04356)37649</t>
  </si>
  <si>
    <t>Навчально-виховний комплекс "Загальноосвітній навчальний заклад- дошкільний навчальний заклад" с. Конищів</t>
  </si>
  <si>
    <t>23410</t>
  </si>
  <si>
    <t>0522883001</t>
  </si>
  <si>
    <t>Конищів</t>
  </si>
  <si>
    <t>вул. леніна, 47</t>
  </si>
  <si>
    <t>(044)33469</t>
  </si>
  <si>
    <t>Комунальний заклад "Котюжанівський навчально - реабілітаційний центр Мурованокуриловецького району Вінницької обласної Ради"</t>
  </si>
  <si>
    <t>23440</t>
  </si>
  <si>
    <t>0522883301</t>
  </si>
  <si>
    <t>Котюжани</t>
  </si>
  <si>
    <t>((03456))3-44-98</t>
  </si>
  <si>
    <t>24903190</t>
  </si>
  <si>
    <t>навчально-виховний комплекс "Загальноосвітній навчальний заклад - дошкільний навчальний заклад" с. Котюжани</t>
  </si>
  <si>
    <t>вул. Центральна, 41</t>
  </si>
  <si>
    <t>(04356)34431</t>
  </si>
  <si>
    <t>Навчально-виховний комплекс "Загальноосвітній навчальний заклад-дошкільний навчальний заклад" с.Курашівці Мурованокуриловецького району Вінницької області</t>
  </si>
  <si>
    <t>23430</t>
  </si>
  <si>
    <t>0522883601</t>
  </si>
  <si>
    <t>Курашівці</t>
  </si>
  <si>
    <t>вул. Г.Сковороди, 3</t>
  </si>
  <si>
    <t>35547</t>
  </si>
  <si>
    <t>навчально-виховний комплекс "Загальноосвітній навчальний заклад-дошкільний навчальний заклад" с. Лучинець Мурованокуриловецького району Вінницької області</t>
  </si>
  <si>
    <t>23453</t>
  </si>
  <si>
    <t>0522883801</t>
  </si>
  <si>
    <t>Лучинець</t>
  </si>
  <si>
    <t>вул. Бондаря, 2</t>
  </si>
  <si>
    <t>(04356)33397</t>
  </si>
  <si>
    <t>http://scholluch.at.ua</t>
  </si>
  <si>
    <t>Навчально-виховний комплекс "Загальноосвітній навчальний заклад-дошкільний навчальний заклад" с.Лучинчик Мурованокуриловецького району Вінницької області</t>
  </si>
  <si>
    <t>23452</t>
  </si>
  <si>
    <t>0522884001</t>
  </si>
  <si>
    <t>Лучинчик</t>
  </si>
  <si>
    <t>вул. Свердлова, 3</t>
  </si>
  <si>
    <t>0435635038</t>
  </si>
  <si>
    <t>Навчально виховний комплекс «загальноосвітній навчальний заклад - дошкільний навчальний заклад» с. Михайлівці</t>
  </si>
  <si>
    <t>23411</t>
  </si>
  <si>
    <t>0522884201</t>
  </si>
  <si>
    <t>Михайлівці</t>
  </si>
  <si>
    <t>вул. Леніна, 35</t>
  </si>
  <si>
    <t>35438</t>
  </si>
  <si>
    <t>http://Muxalivci.at.ua</t>
  </si>
  <si>
    <t>Навчально-виховний комплекс "Загальноосвітній навчальний заклад-дошкільний навчальний заклад" с. Морозівка Мурованокцриловецький р-н Вінницька обл.</t>
  </si>
  <si>
    <t>23433</t>
  </si>
  <si>
    <t>0522884301</t>
  </si>
  <si>
    <t>Морозівка</t>
  </si>
  <si>
    <t>вул. Шкільна, 18</t>
  </si>
  <si>
    <t>3-41-45</t>
  </si>
  <si>
    <t>Навчально-виховний комплекс "Загальноосвітній навчальний заклад - дошкільний навчальний заклад" с. Наддністрянське</t>
  </si>
  <si>
    <t>23422</t>
  </si>
  <si>
    <t>0522884401</t>
  </si>
  <si>
    <t>Наддністрянське</t>
  </si>
  <si>
    <t>(04356)37527</t>
  </si>
  <si>
    <t>середня загальноосвітня школа І-ІІІ ступенів села Немерче</t>
  </si>
  <si>
    <t>23450</t>
  </si>
  <si>
    <t>0522884601</t>
  </si>
  <si>
    <t>Немерче</t>
  </si>
  <si>
    <t>вул. Ковалевського, 2</t>
  </si>
  <si>
    <t>(04356)33729</t>
  </si>
  <si>
    <t>http://nemerche-school.at.ua</t>
  </si>
  <si>
    <t>Середня загальноосвітня школа І - ІІІ ступенів с. Обухів</t>
  </si>
  <si>
    <t>23441</t>
  </si>
  <si>
    <t>0522884801</t>
  </si>
  <si>
    <t>Обухів</t>
  </si>
  <si>
    <t>вул. Шкільна, 6 - А</t>
  </si>
  <si>
    <t>36417</t>
  </si>
  <si>
    <t>http://www.obuhiv-school.at.ua</t>
  </si>
  <si>
    <t>англійська,французька</t>
  </si>
  <si>
    <t>Навчально-виховний комплекс "Загальноосвітній навчальний заклад - дошкільний навчальний заклад" с.Рівне</t>
  </si>
  <si>
    <t>23425</t>
  </si>
  <si>
    <t>0522886201</t>
  </si>
  <si>
    <t>Рівне</t>
  </si>
  <si>
    <t>вул. Шевченка, 1</t>
  </si>
  <si>
    <t>(23425)0971885251</t>
  </si>
  <si>
    <t>навчально-виховний комплекс "Загальноосвітній навчальний заклад-дошкільний навчальний заклад" с Снітків Мурованокуриловецького району Вінницької оюласті</t>
  </si>
  <si>
    <t>23417</t>
  </si>
  <si>
    <t>0522887101</t>
  </si>
  <si>
    <t>Снітків</t>
  </si>
  <si>
    <t>вул. козацька, 8</t>
  </si>
  <si>
    <t>(04356)35747</t>
  </si>
  <si>
    <t>середня загальноосвітня школа І-ІІ ступенів с. Степанки Мурованокуриловецького району Вінницької області</t>
  </si>
  <si>
    <t>23444</t>
  </si>
  <si>
    <t>0522887801</t>
  </si>
  <si>
    <t>Степанки</t>
  </si>
  <si>
    <t>вул. Шевченка, 4</t>
  </si>
  <si>
    <t>(04356)35913</t>
  </si>
  <si>
    <t>http://stepanky-school.in.ua</t>
  </si>
  <si>
    <t>Немирівський навчально-реабілітаційний центр Вінницької обласної Ради</t>
  </si>
  <si>
    <t>22800</t>
  </si>
  <si>
    <t>0523010100</t>
  </si>
  <si>
    <t>Немирів</t>
  </si>
  <si>
    <t>вул. Соборна, 191 А</t>
  </si>
  <si>
    <t>(04331)21770</t>
  </si>
  <si>
    <t>21722281</t>
  </si>
  <si>
    <t>Немирівський навчально-виховний комплекс "Загальноосвітня школа І-ІІІ ступенів № 2-ліцей" Немирівської міської ради Вінницької області</t>
  </si>
  <si>
    <t>вул. Гімназійна, 27</t>
  </si>
  <si>
    <t>(04331)22628</t>
  </si>
  <si>
    <t>https://nvk2nemyriv.net.ua/</t>
  </si>
  <si>
    <t>23055972</t>
  </si>
  <si>
    <t>Немирівський навчально-виховний комплекс "Загальноосвітня школа І-ІІІ ступенів № 1 ім. М.Д.Леонтовича-гімназія" Немирівської міської ради Вінницької області</t>
  </si>
  <si>
    <t>пров. Некрасова, 2</t>
  </si>
  <si>
    <t>(04331)22837</t>
  </si>
  <si>
    <t>13310311</t>
  </si>
  <si>
    <t>польська,англійська,німецька,французька</t>
  </si>
  <si>
    <t>Брацлавський навчально-виховний комплекс "Загальноосвітня школа І-ІІІ ступенів № 1 - гімназія" Немирівської районної ради Вінницької області</t>
  </si>
  <si>
    <t>22870</t>
  </si>
  <si>
    <t>0523055300</t>
  </si>
  <si>
    <t>Брацлав</t>
  </si>
  <si>
    <t>вул. Комінтерну, 7</t>
  </si>
  <si>
    <t>(04331)51464, (04331)51465</t>
  </si>
  <si>
    <t>25513172</t>
  </si>
  <si>
    <t>Брацлавський навчально-виховний комплекс: дошкільний навчальний заклад, загальноосвітня школа-інтернат І-ІІІ ступенів - гімназія Вінницької обласної Ради</t>
  </si>
  <si>
    <t>вул. Франка, 1</t>
  </si>
  <si>
    <t>(04331)51-3-68</t>
  </si>
  <si>
    <t>http://www.bnvk.org.ua</t>
  </si>
  <si>
    <t>20096812</t>
  </si>
  <si>
    <t>Ситковецька загальноосвітня школа І-ІІІ ступенів Немирівської районної ради Вінницької області</t>
  </si>
  <si>
    <t>22865</t>
  </si>
  <si>
    <t>0523055600</t>
  </si>
  <si>
    <t>Ситківці</t>
  </si>
  <si>
    <t>вул. Івана Франка, 5</t>
  </si>
  <si>
    <t>Ситковецька спеціальна загальноосвітня школа-інтернат Немирівського району Вінницької обласної Ради</t>
  </si>
  <si>
    <t>вул. Центральна, 140</t>
  </si>
  <si>
    <t>(04331)62140</t>
  </si>
  <si>
    <t>21725440</t>
  </si>
  <si>
    <t>Комунальний заклад "Байраківська загальноосвітня школа І-ІІІ ступенів імені Максима Шимка" Немирівської міської ради Вінницької області</t>
  </si>
  <si>
    <t>22218</t>
  </si>
  <si>
    <t>0523080201</t>
  </si>
  <si>
    <t>Байраківка</t>
  </si>
  <si>
    <t>вул. шкільна, 2</t>
  </si>
  <si>
    <t>(04331)34440</t>
  </si>
  <si>
    <t>Боблівська загальноосвітня школа Іступеня Немирівської районої ради Вінницької області</t>
  </si>
  <si>
    <t>28713</t>
  </si>
  <si>
    <t>0523080401</t>
  </si>
  <si>
    <t>Боблів</t>
  </si>
  <si>
    <t>вул. Привокзальна, 14</t>
  </si>
  <si>
    <t>(04231)36235</t>
  </si>
  <si>
    <t>Бугаківська загальноосвітня школа І- ІІ ступенів Немирівської районної ради Вінницької області</t>
  </si>
  <si>
    <t>22852</t>
  </si>
  <si>
    <t>0523080701</t>
  </si>
  <si>
    <t>Бугаків</t>
  </si>
  <si>
    <t>(04331)3-42-40</t>
  </si>
  <si>
    <t>http://buhakivskazosh.org.ua</t>
  </si>
  <si>
    <t>Великобушинська загальноосвітня школа І-ІІ ступенів Немирівської районної ради Вінницької області</t>
  </si>
  <si>
    <t>22845</t>
  </si>
  <si>
    <t>0523080801</t>
  </si>
  <si>
    <t>Велика Бушинка</t>
  </si>
  <si>
    <t>вул. Центральна, 9</t>
  </si>
  <si>
    <t>(04331)3-81-54</t>
  </si>
  <si>
    <t>Комунальний заклад "Воловодівська загальноосвітня школа І - ІІІ ступенів Ковалівської сільської ради Вінницької області"</t>
  </si>
  <si>
    <t>22810</t>
  </si>
  <si>
    <t>0523081001</t>
  </si>
  <si>
    <t>Воловодівка</t>
  </si>
  <si>
    <t>вул. Миру, 22</t>
  </si>
  <si>
    <t>Вовчоцька загальноосвітня школа І-ІІ ступенів Немирівської районної ради Вінницької області</t>
  </si>
  <si>
    <t>22855</t>
  </si>
  <si>
    <t>0523081201</t>
  </si>
  <si>
    <t>Вовчок</t>
  </si>
  <si>
    <t>вул. Коцюбинського, 13А</t>
  </si>
  <si>
    <t>Вищекропивнянська загальноосвітня школа I-III ступенів Немирівської районної ради Вінницької області</t>
  </si>
  <si>
    <t>22867</t>
  </si>
  <si>
    <t>0523081601</t>
  </si>
  <si>
    <t>Вища Кропивна</t>
  </si>
  <si>
    <t>(04331)3-64-46</t>
  </si>
  <si>
    <t>Вишковецька загальноосвітня школа І- ІІ ступенів Немирівської районної ради Вінницької області</t>
  </si>
  <si>
    <t>22847</t>
  </si>
  <si>
    <t>0523082001</t>
  </si>
  <si>
    <t>Вишківці</t>
  </si>
  <si>
    <t>вул. Вишнева, 1</t>
  </si>
  <si>
    <t>(0432)53337</t>
  </si>
  <si>
    <t>Зяньковецька загальноосвітня школа І-ІІІ ступенів Немирівської районної ради Вінницької області</t>
  </si>
  <si>
    <t>22882</t>
  </si>
  <si>
    <t>0523083601</t>
  </si>
  <si>
    <t>Зяньківці</t>
  </si>
  <si>
    <t>вул. Перемоги, 55</t>
  </si>
  <si>
    <t>Комунальний заклад "Рачківська загальноосвітня школа І-ІІІ ступенів Немирівської районної ради Вінницької області"</t>
  </si>
  <si>
    <t>22833</t>
  </si>
  <si>
    <t>0523083801</t>
  </si>
  <si>
    <t>Рачки</t>
  </si>
  <si>
    <t>пл. Незалежності, 1</t>
  </si>
  <si>
    <t>(04331)35174</t>
  </si>
  <si>
    <t>Ковалівський навчально - виховний комплекс "Загальноосвітня школа І-ІІІ ступенів - ліцей" Ковалівської сільської ради Вінницької області</t>
  </si>
  <si>
    <t>22830</t>
  </si>
  <si>
    <t>0523084001</t>
  </si>
  <si>
    <t>Ковалівка</t>
  </si>
  <si>
    <t>вул. Соборна, 3</t>
  </si>
  <si>
    <t>(1)8(04331)33-5-89</t>
  </si>
  <si>
    <t>Криковецька загальноосвітня школа І-ІІІ ступенів Немирівської районної ради Вінницької області</t>
  </si>
  <si>
    <t>22834</t>
  </si>
  <si>
    <t>0523084401</t>
  </si>
  <si>
    <t>Криківці</t>
  </si>
  <si>
    <t>34-3-40</t>
  </si>
  <si>
    <t>Дубовецька загальноосвітня школа І-ІІІ ступенів Немирівської районної ради Вінницької області</t>
  </si>
  <si>
    <t>22820</t>
  </si>
  <si>
    <t>0523084602</t>
  </si>
  <si>
    <t>Дубовець</t>
  </si>
  <si>
    <t>Комунальний заклад Монастирська загальноосвітня школа І-ІІ ступенів Немирівської районної ради Вінницької області</t>
  </si>
  <si>
    <t>22872</t>
  </si>
  <si>
    <t>0523085101</t>
  </si>
  <si>
    <t>Монастирське</t>
  </si>
  <si>
    <t>вул. Центральна, 102</t>
  </si>
  <si>
    <t>(098)0209496</t>
  </si>
  <si>
    <t>Комунальний заклад "Медвежанська загальноосвітня школа І-ІІІ ступенів " Немирівської міської ради Вінницької області</t>
  </si>
  <si>
    <t>22822</t>
  </si>
  <si>
    <t>0523085401</t>
  </si>
  <si>
    <t>Медвежа</t>
  </si>
  <si>
    <t>36751</t>
  </si>
  <si>
    <t>Мельниківська загальноосвітня школа І-ІІІ ступенів Немирівської рйонної ради Вінницької області</t>
  </si>
  <si>
    <t>22860</t>
  </si>
  <si>
    <t>0523085601</t>
  </si>
  <si>
    <t>Мельниківці</t>
  </si>
  <si>
    <t>вул. Миру, 11</t>
  </si>
  <si>
    <t>(4331)37340</t>
  </si>
  <si>
    <t>Новообиходівсаька загальноосвітня школа І - ІІІ ступенів Немирівської районної ради Вінницької області</t>
  </si>
  <si>
    <t>22856</t>
  </si>
  <si>
    <t>0523085701</t>
  </si>
  <si>
    <t>Нові Обиходи</t>
  </si>
  <si>
    <t>вул. Мельника, 26</t>
  </si>
  <si>
    <t>(04331)41495</t>
  </si>
  <si>
    <t>"Муховецька загальноосвітня школа І-ІІІ ступенів Немирівської районної ради Вінницької області"</t>
  </si>
  <si>
    <t>22840</t>
  </si>
  <si>
    <t>0523085801</t>
  </si>
  <si>
    <t>Мухівці</t>
  </si>
  <si>
    <t>(04331)35366</t>
  </si>
  <si>
    <t>Новоселівська загальноосвітня школа І-ІІ ступенів Немирівської районної ради Вінницької області</t>
  </si>
  <si>
    <t>22883</t>
  </si>
  <si>
    <t>0523086101</t>
  </si>
  <si>
    <t>Новоселівка</t>
  </si>
  <si>
    <t>вул. Шкільна, 20</t>
  </si>
  <si>
    <t>Ометинецька загальноосвітня школа І-ІІ ступенів Немирівської районної ради Вінницької обдасті</t>
  </si>
  <si>
    <t>22862</t>
  </si>
  <si>
    <t>0523086201</t>
  </si>
  <si>
    <t>Ометинці</t>
  </si>
  <si>
    <t>(04331)37848</t>
  </si>
  <si>
    <t>Райгородська загальноосвітня школа I-III ступенів Немирівської районної ради вінницької області</t>
  </si>
  <si>
    <t>22880</t>
  </si>
  <si>
    <t>0523086401</t>
  </si>
  <si>
    <t>Райгород</t>
  </si>
  <si>
    <t>(04331)35545</t>
  </si>
  <si>
    <t>Рубанська загальноосвітня школа І-ІІІ ступенів Немирівської районної ради вінницької області</t>
  </si>
  <si>
    <t>22831</t>
  </si>
  <si>
    <t>0523086601</t>
  </si>
  <si>
    <t>Рубань</t>
  </si>
  <si>
    <t>(04331)35745</t>
  </si>
  <si>
    <t>Сокілецька загальноосвітня школа І-ІІІ ступенів Немирівської районної ради Вінницької області</t>
  </si>
  <si>
    <t>22846</t>
  </si>
  <si>
    <t>0523087801</t>
  </si>
  <si>
    <t>Сокілець</t>
  </si>
  <si>
    <t>вул. Михайлівська, 15</t>
  </si>
  <si>
    <t>(4332)32119</t>
  </si>
  <si>
    <t>Комунальний заклад "Стрільчинецька загальноосвітня школа І-ІІ ступенів" Немирівської міської ради Вінницької області</t>
  </si>
  <si>
    <t>22843</t>
  </si>
  <si>
    <t>0523088601</t>
  </si>
  <si>
    <t>Стрільчинці</t>
  </si>
  <si>
    <t>вул. Квітнева, 36</t>
  </si>
  <si>
    <t>(04331)37532</t>
  </si>
  <si>
    <t>Чуківська загальноосвітня школа І-ІІІ ступенів імені Івана Бенери Немирівської районної ради Вінницької області</t>
  </si>
  <si>
    <t>22851</t>
  </si>
  <si>
    <t>0523088801</t>
  </si>
  <si>
    <t>Чуків</t>
  </si>
  <si>
    <t>вул. Леонтовича, 4</t>
  </si>
  <si>
    <t>(04331)37441</t>
  </si>
  <si>
    <t>http://chukiv-school.edukit.vn.ua</t>
  </si>
  <si>
    <t>Юрковецька загальноосвітня школа І-ІІІ ступенів Немирівської районної ради Вінницької області</t>
  </si>
  <si>
    <t>22863</t>
  </si>
  <si>
    <t>0523089201</t>
  </si>
  <si>
    <t>Комунальний заклад "Гуньківська загальноосвітня школа І-ІІ ступенів" Немирівської міської ради Вінницької області</t>
  </si>
  <si>
    <t>22826</t>
  </si>
  <si>
    <t>0523089402</t>
  </si>
  <si>
    <t>Гунька</t>
  </si>
  <si>
    <t>вул. Вишнева, 30А</t>
  </si>
  <si>
    <t>34686</t>
  </si>
  <si>
    <t>Загальноосвітня школа І-ІІІ ступенів смт Оратів Оратівської селищної об'єднаної територіальної громади Вінницької області</t>
  </si>
  <si>
    <t>22600</t>
  </si>
  <si>
    <t>0523155100</t>
  </si>
  <si>
    <t>Оратів</t>
  </si>
  <si>
    <t>вул. Паркова, 18</t>
  </si>
  <si>
    <t>2-15-86</t>
  </si>
  <si>
    <t>Загальноосвітня школа І-ІІІ ступенів с. Якимівка Оратівський район Вінницька область</t>
  </si>
  <si>
    <t>22622</t>
  </si>
  <si>
    <t>0523180201</t>
  </si>
  <si>
    <t>Якимівка</t>
  </si>
  <si>
    <t>вул. Київська, 41</t>
  </si>
  <si>
    <t>(04330)24032</t>
  </si>
  <si>
    <t>Загальноосвітня школа І-ІІІ ступенів с.Балабанівка Оратівський район Вінницька область</t>
  </si>
  <si>
    <t>22653</t>
  </si>
  <si>
    <t>0523180401</t>
  </si>
  <si>
    <t>Балабанівка</t>
  </si>
  <si>
    <t>(04330)25086</t>
  </si>
  <si>
    <t>Навчально-виховний комплекс "Дошкільний навчальний заклад -загальноосвітня школа І-ІІступенів" село Велика Ростівка Оратівський район Вінницька область</t>
  </si>
  <si>
    <t>22630</t>
  </si>
  <si>
    <t>0523180801</t>
  </si>
  <si>
    <t>Велика Ростівка</t>
  </si>
  <si>
    <t>пров. Шкільний, 13</t>
  </si>
  <si>
    <t>2-59-26</t>
  </si>
  <si>
    <t>Загальноосвітня школа І-ІІ ступенів с.Животівка</t>
  </si>
  <si>
    <t>22623</t>
  </si>
  <si>
    <t>0523181301</t>
  </si>
  <si>
    <t>Животівка</t>
  </si>
  <si>
    <t>вул. Жовтнева, 6</t>
  </si>
  <si>
    <t>(04330)2-45-49</t>
  </si>
  <si>
    <t>Загальноосвітня школа І-ІІ ступенів с.Заруддя Оратівський район Вінницька область</t>
  </si>
  <si>
    <t>22643</t>
  </si>
  <si>
    <t>0523181701</t>
  </si>
  <si>
    <t>Заруддя</t>
  </si>
  <si>
    <t>вул. Центральна, 3</t>
  </si>
  <si>
    <t>(04330)22334, (097)5569829</t>
  </si>
  <si>
    <t>Навчально-виховний комплекс "Дошкільний навчальний заклад - загальноосвітня школа І-ІІ ступенів" село Кожанка Оратівський район Вінницька область</t>
  </si>
  <si>
    <t>22611</t>
  </si>
  <si>
    <t>0523182001</t>
  </si>
  <si>
    <t>Кожанка</t>
  </si>
  <si>
    <t>вул. Шкільлна, 25</t>
  </si>
  <si>
    <t>(04330)27372</t>
  </si>
  <si>
    <t>Загальноосвітня школа І-ІІ ступенів с.Кошлани Оратівський район Вінницька область</t>
  </si>
  <si>
    <t>22644</t>
  </si>
  <si>
    <t>0523182201</t>
  </si>
  <si>
    <t>Кошлани</t>
  </si>
  <si>
    <t>вул. Леніна, 11</t>
  </si>
  <si>
    <t>(0432)25440</t>
  </si>
  <si>
    <t>Дібровинецька філія загальноосвітньої школи І-ІІІ ступенів смт Оратів</t>
  </si>
  <si>
    <t>22645</t>
  </si>
  <si>
    <t>0523182202</t>
  </si>
  <si>
    <t>Дібровинці</t>
  </si>
  <si>
    <t>вул. Ворошилова, 5</t>
  </si>
  <si>
    <t>(4330)25410</t>
  </si>
  <si>
    <t>http://dibrovynci.orativ.org.ua</t>
  </si>
  <si>
    <t>Навчально-виховний комплекс "Дошкільний навчальний заклад І-ІІ ступенів" с.Лопатинка Оратівський район Вінницька область</t>
  </si>
  <si>
    <t>22632</t>
  </si>
  <si>
    <t>0523182601</t>
  </si>
  <si>
    <t>Лопатинка</t>
  </si>
  <si>
    <t>(04330)23753</t>
  </si>
  <si>
    <t>загальноосвітня школа І-ІІ ступенів с.Медівка Оратівський район Вінницька область</t>
  </si>
  <si>
    <t>22631</t>
  </si>
  <si>
    <t>0523182801</t>
  </si>
  <si>
    <t>Медівка</t>
  </si>
  <si>
    <t>23343</t>
  </si>
  <si>
    <t>Загальноосвітня школа І-ІІІ ступенів с.Новоживотів Оратівський район Вінницька область</t>
  </si>
  <si>
    <t>22620</t>
  </si>
  <si>
    <t>0523183001</t>
  </si>
  <si>
    <t>Новоживотів</t>
  </si>
  <si>
    <t>вул. Перемоги, 17А</t>
  </si>
  <si>
    <t>(04330)2-46-40</t>
  </si>
  <si>
    <t>Оратівський навчально-виховний комплекс "Дошкільний навчальний заклад - середня загальноосвітня школа І ступеня" Оратівського району, Вінницької області</t>
  </si>
  <si>
    <t>22633</t>
  </si>
  <si>
    <t>0523183301</t>
  </si>
  <si>
    <t>вул. Миру, 34</t>
  </si>
  <si>
    <t>(8-0430)2-34-77</t>
  </si>
  <si>
    <t>Загальноосвітня школа І-ІІ ступенів с.Осична Вінницька область Оратівський район</t>
  </si>
  <si>
    <t>22624</t>
  </si>
  <si>
    <t>0523183601</t>
  </si>
  <si>
    <t>Осична</t>
  </si>
  <si>
    <t>ал. вул.Крючкова, 13</t>
  </si>
  <si>
    <t>2-4768</t>
  </si>
  <si>
    <t>Загальноосвітня школа І-ІІІ ступенів с. Очитків</t>
  </si>
  <si>
    <t>28610</t>
  </si>
  <si>
    <t>0523183901</t>
  </si>
  <si>
    <t>Очитків</t>
  </si>
  <si>
    <t>вул. Провулок Шкільний, 10</t>
  </si>
  <si>
    <t>(1111)25650</t>
  </si>
  <si>
    <t>Загальноосвітня школа І-ІІ ступенів с.Скала Оратівський район Вінницька область</t>
  </si>
  <si>
    <t>22616</t>
  </si>
  <si>
    <t>0523184801</t>
  </si>
  <si>
    <t>Скала</t>
  </si>
  <si>
    <t>вул. Молодіжна, 33</t>
  </si>
  <si>
    <t>(0432)26932</t>
  </si>
  <si>
    <t>Загальноосвітня школа І-ІІІ ступенів с.Скоморошки Оратівський район Вінницька область</t>
  </si>
  <si>
    <t>22615</t>
  </si>
  <si>
    <t>0523185001</t>
  </si>
  <si>
    <t>Скоморошки</t>
  </si>
  <si>
    <t>вул. Шляхова, 4</t>
  </si>
  <si>
    <t>(04330)22709</t>
  </si>
  <si>
    <t>Загальноосвітня школа І-ІІ ступенів с.Вербівка Оратівського р-ну, Вінницької обл.</t>
  </si>
  <si>
    <t>0523185002</t>
  </si>
  <si>
    <t>Вербівка</t>
  </si>
  <si>
    <t>вул. Миру, 5</t>
  </si>
  <si>
    <t>(04330)22503</t>
  </si>
  <si>
    <t>загальноосвітня школа І-ІІ ступенів с.Сологубівка</t>
  </si>
  <si>
    <t>22634</t>
  </si>
  <si>
    <t>0523185201</t>
  </si>
  <si>
    <t>Сологубівка</t>
  </si>
  <si>
    <t>0433026358</t>
  </si>
  <si>
    <t>Синарська філія загальноосвітньої школи І-ІІІ ступенів смт Оратів</t>
  </si>
  <si>
    <t>22640</t>
  </si>
  <si>
    <t>0523185302</t>
  </si>
  <si>
    <t>Синарна</t>
  </si>
  <si>
    <t>вул. Кірова, 12</t>
  </si>
  <si>
    <t>(04330)2-31-34</t>
  </si>
  <si>
    <t>Навчально-виховний комплекс "Дошкільний навчальний заклад - загальноосвітня школа І-ІІІ ступенів", с Фронтівка, Оратівський район, Вінницька область</t>
  </si>
  <si>
    <t>22654</t>
  </si>
  <si>
    <t>0523185801</t>
  </si>
  <si>
    <t>Фронтівка</t>
  </si>
  <si>
    <t>вул. Центральна, 32</t>
  </si>
  <si>
    <t>(04330)225318</t>
  </si>
  <si>
    <t>http://frontivka.orativ.org.ua/</t>
  </si>
  <si>
    <t>загальноосвітня школа І-ІІІ ступенів с. Чагів Оратівський район Вінницька область</t>
  </si>
  <si>
    <t>22635</t>
  </si>
  <si>
    <t>0523186301</t>
  </si>
  <si>
    <t>Чагів</t>
  </si>
  <si>
    <t>вул. Заїки, 37</t>
  </si>
  <si>
    <t>(030)223638</t>
  </si>
  <si>
    <t>Мервинський навчально-виховний комплекс "Дошкільний навчальний заклад-середня загальноосвітня школа І ступеня"</t>
  </si>
  <si>
    <t>22636</t>
  </si>
  <si>
    <t>0523186303</t>
  </si>
  <si>
    <t>Мервин</t>
  </si>
  <si>
    <t>вул. Зелена, 50</t>
  </si>
  <si>
    <t>(04330)26934</t>
  </si>
  <si>
    <t>Загальноосвітня школа І-ІІІ ступенів с.Човновиця</t>
  </si>
  <si>
    <t>22613</t>
  </si>
  <si>
    <t>0523186601</t>
  </si>
  <si>
    <t>Човновиця</t>
  </si>
  <si>
    <t>(04330)24342</t>
  </si>
  <si>
    <t>Загальноосвітня школа І-ІІІ ступенів с. Чернявка Оратівський район Вінницька область</t>
  </si>
  <si>
    <t>22612</t>
  </si>
  <si>
    <t>0523186901</t>
  </si>
  <si>
    <t>Чернявка</t>
  </si>
  <si>
    <t>вул. Першотравнева, 22</t>
  </si>
  <si>
    <t>(04330)23932</t>
  </si>
  <si>
    <t>Юшківецька філія загальноосвітньої школи І-ІІІ ступенів смт Оратів</t>
  </si>
  <si>
    <t>22652</t>
  </si>
  <si>
    <t>0523187301</t>
  </si>
  <si>
    <t>Юшківці</t>
  </si>
  <si>
    <t>(04330)2-64-90</t>
  </si>
  <si>
    <t>Піщанська спеціальна загальноосвітня школа - інтернат Вінницької обласної Ради</t>
  </si>
  <si>
    <t>24700</t>
  </si>
  <si>
    <t>0523255100</t>
  </si>
  <si>
    <t>Піщанка</t>
  </si>
  <si>
    <t>вул. Шкільна, 79</t>
  </si>
  <si>
    <t>(04349)2-10-29</t>
  </si>
  <si>
    <t>21723872</t>
  </si>
  <si>
    <t>Піщанський навчально-виховний комплекс "Загальноосвітня школа І-ІІІ ст. - ліцей" смт. Піщанка, Піщанського району, Вінницької області</t>
  </si>
  <si>
    <t>(04349)22461</t>
  </si>
  <si>
    <t>http://school-lyceum.wix.com/website</t>
  </si>
  <si>
    <t>Піщанський навчально-виховний комплекс "Загальноосвітня школа І-ІІІ ступенів-гімназія"</t>
  </si>
  <si>
    <t>вул. Центральна, 46</t>
  </si>
  <si>
    <t>(04349)22263</t>
  </si>
  <si>
    <t>Загальноосвітня школа І - ІІІ ступенів смт Рудниця</t>
  </si>
  <si>
    <t>24723</t>
  </si>
  <si>
    <t>0523255400</t>
  </si>
  <si>
    <t>Рудниця</t>
  </si>
  <si>
    <t>вул. Шевченка, 11</t>
  </si>
  <si>
    <t>(04349)2-34-73</t>
  </si>
  <si>
    <t>Загальноосвітня школа І-ІІІ ступенів с. Болган Піщанського району Вінницької області</t>
  </si>
  <si>
    <t>24712</t>
  </si>
  <si>
    <t>0523280301</t>
  </si>
  <si>
    <t>Болган</t>
  </si>
  <si>
    <t>вул. Коцюбинського, 7</t>
  </si>
  <si>
    <t>(04349)2-55-30</t>
  </si>
  <si>
    <t>Навчально-виховний комплекс "Загальноосвітня школа І-ІІ ступенів-дошкільний навчальний заклад" села Гонорівка Піщанського району Вінницької області</t>
  </si>
  <si>
    <t>24736</t>
  </si>
  <si>
    <t>0523280601</t>
  </si>
  <si>
    <t>Гонорівка</t>
  </si>
  <si>
    <t>вул. Пушкіна, 10</t>
  </si>
  <si>
    <t>(04349)24113</t>
  </si>
  <si>
    <t>загальноосвітня школа І-ІІ ступенів с.Городище Піщанського району Вінницької області</t>
  </si>
  <si>
    <t>24731</t>
  </si>
  <si>
    <t>0523280901</t>
  </si>
  <si>
    <t>вул. Липнева, 1</t>
  </si>
  <si>
    <t>(04349)2-49-45</t>
  </si>
  <si>
    <t>загальноосвітня школа І-ІІІ ступенів с. Дмитрашківка Піщанський район Вінницька область</t>
  </si>
  <si>
    <t>24714</t>
  </si>
  <si>
    <t>0523281401</t>
  </si>
  <si>
    <t>Дмитрашківка</t>
  </si>
  <si>
    <t>вул. Шевченка, 60</t>
  </si>
  <si>
    <t>(04349)2-64-44</t>
  </si>
  <si>
    <t>загальноосвітня школа І - ІІ ступенів с.Кукули Піщанського району Вінницької області</t>
  </si>
  <si>
    <t>24713</t>
  </si>
  <si>
    <t>0523281601</t>
  </si>
  <si>
    <t>Кукули</t>
  </si>
  <si>
    <t>(04349)2-31-31</t>
  </si>
  <si>
    <t>Загальноосвітня школа І-ІІІ ступенів с. Миролюбівка МОН України</t>
  </si>
  <si>
    <t>24720</t>
  </si>
  <si>
    <t>0523282001</t>
  </si>
  <si>
    <t>Миролюбівка</t>
  </si>
  <si>
    <t>вул. Центральна, 26</t>
  </si>
  <si>
    <t>04349-2-36-21</t>
  </si>
  <si>
    <t>Загальноосвітня школа І-ІІ ступенів с. Рудницьке, Піщанського району, Вінницької області</t>
  </si>
  <si>
    <t>24730</t>
  </si>
  <si>
    <t>0523282601</t>
  </si>
  <si>
    <t>Рудницьке</t>
  </si>
  <si>
    <t>(04349)25755</t>
  </si>
  <si>
    <t>Комунальний заклад "Навчально-виховний комплекс "Загальноосвітня школа І-ІІ ступенів - дошкільний навчальний заклад" с. Ставки</t>
  </si>
  <si>
    <t>24721</t>
  </si>
  <si>
    <t>0523282801</t>
  </si>
  <si>
    <t>вул. Леніна, 28</t>
  </si>
  <si>
    <t>(04349)23746</t>
  </si>
  <si>
    <t>Опорний навчальний заклад "Студенянська загальноосвітня школа І-ІІІ ступенів" Піщанського району Вінницької області</t>
  </si>
  <si>
    <t>24715</t>
  </si>
  <si>
    <t>0523283001</t>
  </si>
  <si>
    <t>Студена</t>
  </si>
  <si>
    <t>вул. Соборна, 44</t>
  </si>
  <si>
    <t>(04349)2-45-31</t>
  </si>
  <si>
    <t>Загальносвітня школа І-ІІІ ступенів с. Трибусівка</t>
  </si>
  <si>
    <t>24710</t>
  </si>
  <si>
    <t>0523283201</t>
  </si>
  <si>
    <t>Трибусівка</t>
  </si>
  <si>
    <t>(04349)29387</t>
  </si>
  <si>
    <t>загальноосвітня школа І-ІІІ ступенів с.Чорномин Піщанського району Вінницької області</t>
  </si>
  <si>
    <t>24732</t>
  </si>
  <si>
    <t>0523283401</t>
  </si>
  <si>
    <t>Чорномин</t>
  </si>
  <si>
    <t>пров. Шкільний, 1</t>
  </si>
  <si>
    <t>(04349)27388</t>
  </si>
  <si>
    <t>загальноосвітня школа І-ІІІ ступенів села Яворівки Вінницької області Піщанського району</t>
  </si>
  <si>
    <t>24793</t>
  </si>
  <si>
    <t>0523283801</t>
  </si>
  <si>
    <t>Яворівка</t>
  </si>
  <si>
    <t>вул. Чкалова, 9</t>
  </si>
  <si>
    <t>(04349)2-51-40</t>
  </si>
  <si>
    <t>Комунальний заклад "Погребищенська загальноосвітня школа № 1 Погребищенської районної ради Вінницької області"</t>
  </si>
  <si>
    <t>22200</t>
  </si>
  <si>
    <t>0523410100</t>
  </si>
  <si>
    <t>Погребище</t>
  </si>
  <si>
    <t>вул. Богдана Хмельницького, 102</t>
  </si>
  <si>
    <t>(04346)22242</t>
  </si>
  <si>
    <t>24895711</t>
  </si>
  <si>
    <t>Комунальний заклад "Погребищенська ЗОШ № 2 І-ІІІ ступенів Погребищенської районної ради Вінницької області"</t>
  </si>
  <si>
    <t>вул. Київська, 50</t>
  </si>
  <si>
    <t>(04346)22542</t>
  </si>
  <si>
    <t>http://zosh2.zz.mu</t>
  </si>
  <si>
    <t>комунальний заклад "Андрушівська загальноосвітня школа І-ІІ ступенів Погребищенської районної ради Вінницької області"</t>
  </si>
  <si>
    <t>22255</t>
  </si>
  <si>
    <t>0523480601</t>
  </si>
  <si>
    <t>Андрушівка</t>
  </si>
  <si>
    <t>34</t>
  </si>
  <si>
    <t>2-34-37</t>
  </si>
  <si>
    <t>Комунальний заклад "Борщагівська ЗОШ І-ІІІ ступенів Погребищенської районної ради Вінницької області"</t>
  </si>
  <si>
    <t>22233</t>
  </si>
  <si>
    <t>0523481201</t>
  </si>
  <si>
    <t>Борщагівка</t>
  </si>
  <si>
    <t>вул. Іскри і Кочубея, 8</t>
  </si>
  <si>
    <t>(043246)28131</t>
  </si>
  <si>
    <t>Комунальний заклад «Гопчицька загальноосвітня школа І-ІІІ ступенів Погребищенської районної ради Вінницької області»</t>
  </si>
  <si>
    <t>22216</t>
  </si>
  <si>
    <t>0523481601</t>
  </si>
  <si>
    <t>Гопчиця</t>
  </si>
  <si>
    <t>вул. Кооперативна, 84</t>
  </si>
  <si>
    <t>комунальний заклад "Дзюньківська загальноосвітня школа І-ІІІ ступенів Погребищенської районної ради Вінницької області"</t>
  </si>
  <si>
    <t>22232</t>
  </si>
  <si>
    <t>0523481801</t>
  </si>
  <si>
    <t>Дзюньків</t>
  </si>
  <si>
    <t>вул. Кооперативна, 1</t>
  </si>
  <si>
    <t>Комунальний заклад "Довгалівська загальноосвітня школа І-ІІ ступенів Погребищенської районної ради Вінницької області"</t>
  </si>
  <si>
    <t>22236</t>
  </si>
  <si>
    <t>0523482001</t>
  </si>
  <si>
    <t>Довгалівка</t>
  </si>
  <si>
    <t>(</t>
  </si>
  <si>
    <t>Комунальний заклад "Мончинська загальноосвітня школа І-ІІ ступенів Погребищенської районної ради Вінницької області"</t>
  </si>
  <si>
    <t>22246</t>
  </si>
  <si>
    <t>0523482801</t>
  </si>
  <si>
    <t>Мончин</t>
  </si>
  <si>
    <t>ал. Центральна, 61 в</t>
  </si>
  <si>
    <t>(043)4625449</t>
  </si>
  <si>
    <t>КОМУНАЛЬНИЙ ЗАКЛАД "Морозівська ЗОШ І - ІІ ступенів Погребищенської районної ради Вінницької області"</t>
  </si>
  <si>
    <t>22292</t>
  </si>
  <si>
    <t>0523483001</t>
  </si>
  <si>
    <t>0968742590</t>
  </si>
  <si>
    <t>Комунальний заклад "Бухнівська загальноосвітня школа І - ІІ ступенів Погребищенської районної ради Вінницької області"</t>
  </si>
  <si>
    <t>22221</t>
  </si>
  <si>
    <t>0523483003</t>
  </si>
  <si>
    <t>Бухни</t>
  </si>
  <si>
    <t>(804346)26649</t>
  </si>
  <si>
    <t>Комунальний заклад "Новофастівська загальноосвітня школа І-ІІІ ступенів Погребищенської районної ради Вінницької області"</t>
  </si>
  <si>
    <t>02222</t>
  </si>
  <si>
    <t>0523483301</t>
  </si>
  <si>
    <t>Новофастів</t>
  </si>
  <si>
    <t>ал. вулиця Садова, 14</t>
  </si>
  <si>
    <t>(04346)23537</t>
  </si>
  <si>
    <t>Комунальний заклад "Очеретнянська загальноосвітня школа І-ІІІ ступенівПогребищенської районної ради Вінницької області"</t>
  </si>
  <si>
    <t>22253</t>
  </si>
  <si>
    <t>0523483801</t>
  </si>
  <si>
    <t>Очеретня</t>
  </si>
  <si>
    <t>вул. Центральна, 33</t>
  </si>
  <si>
    <t>(04346)28547</t>
  </si>
  <si>
    <t>Комунальний заклад «Погребищенська загальноосвітня школа № 4 І-ІІІ ступенів Погребищенської районної Ради Вінницької області»</t>
  </si>
  <si>
    <t>22254</t>
  </si>
  <si>
    <t>0523483803</t>
  </si>
  <si>
    <t>Погребище Друге</t>
  </si>
  <si>
    <t>(04346)25158</t>
  </si>
  <si>
    <t>комунальний заклад "Павлівська загальноосвітня школа І-ІІ ступенів Погребищенської районної ради Вінницької області"</t>
  </si>
  <si>
    <t>22260</t>
  </si>
  <si>
    <t>0523484001</t>
  </si>
  <si>
    <t>24</t>
  </si>
  <si>
    <t>(04346)28642</t>
  </si>
  <si>
    <t>Малинківський навчально виховний комплекс "загальноосвітній навчальний заклад І ступеня - дошкільний навчальний заклад"</t>
  </si>
  <si>
    <t>22209</t>
  </si>
  <si>
    <t>0523484103</t>
  </si>
  <si>
    <t>Малинки</t>
  </si>
  <si>
    <t>вул. Лугова, 1</t>
  </si>
  <si>
    <t>(068)7608909</t>
  </si>
  <si>
    <t>Комунальний заклад "Плисківська загальноосвітня школа І-ІІІ ступенів Погребищенського району Вінницької області"</t>
  </si>
  <si>
    <t>22252</t>
  </si>
  <si>
    <t>0523484201</t>
  </si>
  <si>
    <t>Плисків</t>
  </si>
  <si>
    <t>вул. Центральна, 73</t>
  </si>
  <si>
    <t>(04346)29381</t>
  </si>
  <si>
    <t>комунальний заклад "Розкопанська загальноосвітня школа І-ІІ ступенів Погребищенської районної ради Вінницької області"</t>
  </si>
  <si>
    <t>22263</t>
  </si>
  <si>
    <t>0523484701</t>
  </si>
  <si>
    <t>Розкопане</t>
  </si>
  <si>
    <t>(1111)0973412502</t>
  </si>
  <si>
    <t>Комунальний заклад "Саражинецька загальноосвітня школа І-ІІ ступенів Погребищенської районної ради Вінницької області"</t>
  </si>
  <si>
    <t>22230</t>
  </si>
  <si>
    <t>0523485201</t>
  </si>
  <si>
    <t>Саражинці</t>
  </si>
  <si>
    <t>(04346)25380</t>
  </si>
  <si>
    <t>комунальний заклад "Сніжнянська загальноосвітня школа І - ІІ ступенів Погребищенської районної ради Вінницької області"</t>
  </si>
  <si>
    <t>22222</t>
  </si>
  <si>
    <t>0523486201</t>
  </si>
  <si>
    <t>Сніжна</t>
  </si>
  <si>
    <t>ал. шкільна, 2</t>
  </si>
  <si>
    <t>(04346)24145</t>
  </si>
  <si>
    <t>Комунальний заклад "Спичинецька загальноосвітня школа І-ІІІ ступенів Погребищенського району Вінницької області"</t>
  </si>
  <si>
    <t>22250</t>
  </si>
  <si>
    <t>0523486401</t>
  </si>
  <si>
    <t>Спичинці</t>
  </si>
  <si>
    <t>(04346)23737</t>
  </si>
  <si>
    <t>Комунальний заклад "Станилівська загальноосвітня школа І-ІІ ступенів Погребищенської районної ради Вінницької області"</t>
  </si>
  <si>
    <t>22214</t>
  </si>
  <si>
    <t>0523486801</t>
  </si>
  <si>
    <t>Станилівка</t>
  </si>
  <si>
    <t>вул. Комсомольська, 24</t>
  </si>
  <si>
    <t>(04346)2-65-18, 0680048362</t>
  </si>
  <si>
    <t>Комунальний заклад "Булаївська загальноосвітня школа І - ІІ ступенів Погребищенської районної ради Вінницької області"</t>
  </si>
  <si>
    <t>22245</t>
  </si>
  <si>
    <t>0523487202</t>
  </si>
  <si>
    <t>Булаї</t>
  </si>
  <si>
    <t>(04346)2-77-21</t>
  </si>
  <si>
    <t>Комунальний заклад "Черемошненська загальноосвітня школа І - ІІ ступенів Погребищенської районної ради Вінницької області"</t>
  </si>
  <si>
    <t>22240</t>
  </si>
  <si>
    <t>0523487801</t>
  </si>
  <si>
    <t>Черемошне</t>
  </si>
  <si>
    <t>вул. Жовтнева, 12</t>
  </si>
  <si>
    <t>Комунальний заклад "Степанківська загальноосвітня школа І-ІІІ ступенів Погребищенської районної ради Вінницької області"</t>
  </si>
  <si>
    <t>22242</t>
  </si>
  <si>
    <t>0523487805</t>
  </si>
  <si>
    <t>(04346)23316</t>
  </si>
  <si>
    <t>Комунальний заклад "Ширмівська загальноосвітня школа І-ІІІ ступенів Погребищенської районної ради Вінницької області"</t>
  </si>
  <si>
    <t>22210</t>
  </si>
  <si>
    <t>0523488201</t>
  </si>
  <si>
    <t>Ширмівка</t>
  </si>
  <si>
    <t>вул. Трудова, 19</t>
  </si>
  <si>
    <t>(04346)2-46-22</t>
  </si>
  <si>
    <t>Загальноосвітня школа І-ІІІ ступенів № 1 смт Теплик Теплицький район Вінницька область</t>
  </si>
  <si>
    <t>23800</t>
  </si>
  <si>
    <t>0523755100</t>
  </si>
  <si>
    <t>Теплик</t>
  </si>
  <si>
    <t>вул. Незалежності, 20</t>
  </si>
  <si>
    <t>(04353)2-23-71</t>
  </si>
  <si>
    <t>http://teplyk-zosh1.edukit.vn.ua/</t>
  </si>
  <si>
    <t>Загальноосвітня школа І-ІІІ ступенів № 2 смт. Теплик Теплицький район Вінницька область</t>
  </si>
  <si>
    <t>вул. Агрономічна, 25</t>
  </si>
  <si>
    <t>(04353)2-16-53</t>
  </si>
  <si>
    <t>http://teplyk-school.in.ua</t>
  </si>
  <si>
    <t>Загальноосвітня школа I-II ступенів с.Бджільна Теплицький район Вінницька область</t>
  </si>
  <si>
    <t>23840</t>
  </si>
  <si>
    <t>0523780401</t>
  </si>
  <si>
    <t>Бджільна</t>
  </si>
  <si>
    <t>вул. Якова Дем'янишина, 2</t>
  </si>
  <si>
    <t>(04353)23749</t>
  </si>
  <si>
    <t>Брідоцький навчально-виховний комплекс ( Загальноосвітня школа І ступеня - дошкільний навчальний заклад) Теплицької районної ради Вінницької області</t>
  </si>
  <si>
    <t>23824</t>
  </si>
  <si>
    <t>0523780801</t>
  </si>
  <si>
    <t>Брідок</t>
  </si>
  <si>
    <t>(04353)35149</t>
  </si>
  <si>
    <t>Загальноосвітня школа І-ІІІ ступенів с. Велика Мочулка Теплицький район Вінницька область</t>
  </si>
  <si>
    <t>23823</t>
  </si>
  <si>
    <t>0523781301</t>
  </si>
  <si>
    <t>Велика Мочулка</t>
  </si>
  <si>
    <t>(04353)25149</t>
  </si>
  <si>
    <t>http://vm-shkola.at.ua</t>
  </si>
  <si>
    <t>Загальноосвітня школа І-ІІІ ступенів с.Веселівка Теплицький район Вінницька область</t>
  </si>
  <si>
    <t>23850</t>
  </si>
  <si>
    <t>0523781601</t>
  </si>
  <si>
    <t>Веселівка</t>
  </si>
  <si>
    <t>(04353)2-33-48</t>
  </si>
  <si>
    <t>Загальноосвітня школа І-ІІ ступенів с.Завадівка Теплицький район Вінницька область</t>
  </si>
  <si>
    <t>23832</t>
  </si>
  <si>
    <t>0523781801</t>
  </si>
  <si>
    <t>Завадівка</t>
  </si>
  <si>
    <t>вул. Молодої Гвордії, 2</t>
  </si>
  <si>
    <t>0435333349</t>
  </si>
  <si>
    <t>Загальноосвітня школа І-ІІ ступенів с. Залужжя Теплицький район Вінницька область</t>
  </si>
  <si>
    <t>23806</t>
  </si>
  <si>
    <t>0523782001</t>
  </si>
  <si>
    <t>Залужжя</t>
  </si>
  <si>
    <t>(04353)2-53-49</t>
  </si>
  <si>
    <t>Загальноосвітня школа І-ІІІ ступенів с. Кивачівка Теплицький район Вінницька область</t>
  </si>
  <si>
    <t>23810</t>
  </si>
  <si>
    <t>0523782601</t>
  </si>
  <si>
    <t>Кивачівка</t>
  </si>
  <si>
    <t>вул. Шкільна, 11</t>
  </si>
  <si>
    <t>(04353)25449</t>
  </si>
  <si>
    <t>http://kiv-sh.at.ua</t>
  </si>
  <si>
    <t>Загальноосвітня школа І-ІІ ступенів с. Комарівка Теплицький район Вінницька область</t>
  </si>
  <si>
    <t>23812</t>
  </si>
  <si>
    <t>0523783001</t>
  </si>
  <si>
    <t>Комарівка</t>
  </si>
  <si>
    <t>вул. Шкільна, 15</t>
  </si>
  <si>
    <t>2-36-38</t>
  </si>
  <si>
    <t>Загальноосвітня школа І-ІІ ступенів с.Мала Мочулка Теплицький район Вінницька область</t>
  </si>
  <si>
    <t>23834</t>
  </si>
  <si>
    <t>0523783901</t>
  </si>
  <si>
    <t>Мала Мочулка</t>
  </si>
  <si>
    <t>вул. Незалежності, 40</t>
  </si>
  <si>
    <t>(04353)2-46-49</t>
  </si>
  <si>
    <t>Загальноосвітня школа І-ІІ ступенів с.Метанівка Теплицький район Вінницька область</t>
  </si>
  <si>
    <t>23831</t>
  </si>
  <si>
    <t>0523784201</t>
  </si>
  <si>
    <t>Метанівка</t>
  </si>
  <si>
    <t>вул. Центральна, 114</t>
  </si>
  <si>
    <t>(0435)3-41-39</t>
  </si>
  <si>
    <t>Загальноосвітня школа І - ІІ ступенів с.Орлівка Теплицький район Вінницька область</t>
  </si>
  <si>
    <t>23833</t>
  </si>
  <si>
    <t>0523784801</t>
  </si>
  <si>
    <t>Орлівка</t>
  </si>
  <si>
    <t>(04353)24549</t>
  </si>
  <si>
    <t>Загальноосвітня школа І-ІІІ ступенів с. Петрашівка Теплицький район Вінницька область</t>
  </si>
  <si>
    <t>23830</t>
  </si>
  <si>
    <t>0523785001</t>
  </si>
  <si>
    <t>Петрашівка</t>
  </si>
  <si>
    <t>вул. Шкільна, 6</t>
  </si>
  <si>
    <t>(04353)36349</t>
  </si>
  <si>
    <t>Побірський навчально-виховний комплекс"загальноосвітня школа І ступеня-дошкільний навчальний заклад"Теплицької районної ради Вінницької області</t>
  </si>
  <si>
    <t>23825</t>
  </si>
  <si>
    <t>0523785401</t>
  </si>
  <si>
    <t>Побірка</t>
  </si>
  <si>
    <t>вул. шкільна, 1</t>
  </si>
  <si>
    <t>Загальноосвітня школа І-ІІ ступенів с. Погоріла Теплицький район Вінницька область</t>
  </si>
  <si>
    <t>23854</t>
  </si>
  <si>
    <t>0523785801</t>
  </si>
  <si>
    <t>Погоріла</t>
  </si>
  <si>
    <t>вул. Hезалежності, 43</t>
  </si>
  <si>
    <t>(04353)2-47-49</t>
  </si>
  <si>
    <t>Загальноосвітня школа І-ІІІ ступенів с. Пологи Теплицький район Вінницька область</t>
  </si>
  <si>
    <t>23841</t>
  </si>
  <si>
    <t>0523786001</t>
  </si>
  <si>
    <t>Пологи</t>
  </si>
  <si>
    <t>вул. Кузнецова, 27</t>
  </si>
  <si>
    <t>(097)7645458</t>
  </si>
  <si>
    <t>Загальноосвітня школа І-ІІ ступенів с.Росоша Теплицький район Вінницька область</t>
  </si>
  <si>
    <t>23853</t>
  </si>
  <si>
    <t>0523786201</t>
  </si>
  <si>
    <t>вул. Перемоги, 1</t>
  </si>
  <si>
    <t>0435323449</t>
  </si>
  <si>
    <t>Загальноосвітня школа І-ІІ ступенів с. Соболівка Теплицький район Вінницька область</t>
  </si>
  <si>
    <t>23820</t>
  </si>
  <si>
    <t>0523786401</t>
  </si>
  <si>
    <t>Соболівка</t>
  </si>
  <si>
    <t>вул. Суворова, 12</t>
  </si>
  <si>
    <t>(04353)31371</t>
  </si>
  <si>
    <t>Загальноосвітня школа І-ІІІ ступенів с. Соболівка Теплицький район Вінницька область</t>
  </si>
  <si>
    <t>вул. Братів Скакодубів, 2</t>
  </si>
  <si>
    <t>Загальноосвітня школа І-ІІІ ступенів с. Степанівка Теплицький район Вінницька область</t>
  </si>
  <si>
    <t>23814</t>
  </si>
  <si>
    <t>0523787001</t>
  </si>
  <si>
    <t>вул. Миру, 3А</t>
  </si>
  <si>
    <t>(04353)27443</t>
  </si>
  <si>
    <t>Загальноосвітня школа І-ІІ ступенів с.Стражгород Теплицький район Вінницька область</t>
  </si>
  <si>
    <t>23807</t>
  </si>
  <si>
    <t>0523787201</t>
  </si>
  <si>
    <t>Стражгород</t>
  </si>
  <si>
    <t>вул. Шкільна 5</t>
  </si>
  <si>
    <t>(04353)2-35-49</t>
  </si>
  <si>
    <t>Загальноосвітня школа I-II ступенів с. Розкошівка Теплицький район Вінницька обл.</t>
  </si>
  <si>
    <t>23813</t>
  </si>
  <si>
    <t>0523787203</t>
  </si>
  <si>
    <t>Розкошівка</t>
  </si>
  <si>
    <t>вул. Центральна, 64</t>
  </si>
  <si>
    <t>2-35-28</t>
  </si>
  <si>
    <t>Загальноосвітня школа І-ІІ ступенів с.Тополівка Теплицький район Вінницька область</t>
  </si>
  <si>
    <t>23811</t>
  </si>
  <si>
    <t>0523787401</t>
  </si>
  <si>
    <t>Тополівка</t>
  </si>
  <si>
    <t>ал. Центральна, 1</t>
  </si>
  <si>
    <t>(04353)27349</t>
  </si>
  <si>
    <t>http://topolivka.klasna.com</t>
  </si>
  <si>
    <t>Загальноосвітня школа І-ІІІ ступенів с. Удич Теплицький район Вінницька область</t>
  </si>
  <si>
    <t>0523787601</t>
  </si>
  <si>
    <t>Удич</t>
  </si>
  <si>
    <t>вул. 9 Травня, 1</t>
  </si>
  <si>
    <t>(04353)2-44-17</t>
  </si>
  <si>
    <t>Загальноосвітня школа І-ІІ ступенів с. Шиманівка Теплицький район Вінницька область</t>
  </si>
  <si>
    <t>23822</t>
  </si>
  <si>
    <t>0523788001</t>
  </si>
  <si>
    <t>Шиманівка</t>
  </si>
  <si>
    <t>вул. 1 Травня, 2</t>
  </si>
  <si>
    <t>Навчально - виховний комплекс " Томашпільська загальноосвітня школа І-ІІІ ступенів - гімназія "</t>
  </si>
  <si>
    <t>24200</t>
  </si>
  <si>
    <t>0523955100</t>
  </si>
  <si>
    <t>Томашпіль</t>
  </si>
  <si>
    <t>вул. Ігоря Гаврилюка, 69</t>
  </si>
  <si>
    <t>0434821146</t>
  </si>
  <si>
    <t>http://tms.tmedu.vn.ua/</t>
  </si>
  <si>
    <t>Вапнярська загальноосвітня школа І-ІІІ ступенів № 1 ім. І.Д. Черняховського Вапнярської селищної ради об'єднаної територіальної громади Томашпільського району Вінницької області</t>
  </si>
  <si>
    <t>24240</t>
  </si>
  <si>
    <t>0523955400</t>
  </si>
  <si>
    <t>Вапнярка</t>
  </si>
  <si>
    <t>(04350)3-20-02</t>
  </si>
  <si>
    <t>Вапнярська загальноосвітня школа І-ІІІ ступенів № 2 Вапнярської селищної ради об'єднаної територіальної громади Томашпільського району Вінницької області</t>
  </si>
  <si>
    <t>вул. Шевченка, 56</t>
  </si>
  <si>
    <t>32208, 31708</t>
  </si>
  <si>
    <t>Навчально-виховний комплекс "Вапнярська загальноосвітня школа І-ІІІ ступенів № 3 - дошкільний навчальний заклад" Вапнярської селищної ради об"єднаної територіальної громади Томашпільського району Вінницької області</t>
  </si>
  <si>
    <t>42421</t>
  </si>
  <si>
    <t>вул. Вул. Авіаторів, 145</t>
  </si>
  <si>
    <t>0434830368</t>
  </si>
  <si>
    <t>Антонівська загальноосвітня школа І-ІІІ ступенів Томашпільської районної ради Вінницької області</t>
  </si>
  <si>
    <t>24213</t>
  </si>
  <si>
    <t>0523980601</t>
  </si>
  <si>
    <t>Антонівка</t>
  </si>
  <si>
    <t>вул. Зарічна, 164</t>
  </si>
  <si>
    <t>(04348)55432</t>
  </si>
  <si>
    <t>http://ant.tmedu.vn.ua</t>
  </si>
  <si>
    <t>Великорусавська загальноосвітня школа І-ІІІ ступенів Томашпільської районної ради Вінницької області</t>
  </si>
  <si>
    <t>24210</t>
  </si>
  <si>
    <t>0523980901</t>
  </si>
  <si>
    <t>Велика Русава</t>
  </si>
  <si>
    <t>4-77-33</t>
  </si>
  <si>
    <t>Навчально-виховний комплекс "Вербівська загальноосвітня школа І ступеня - дошкільний навчальний заклад" Томашпільської районної ради Вінницької області</t>
  </si>
  <si>
    <t>24246</t>
  </si>
  <si>
    <t>0523981401</t>
  </si>
  <si>
    <t>Вербова</t>
  </si>
  <si>
    <t>вул. Зелена, 2</t>
  </si>
  <si>
    <t>(04338)4-64-44</t>
  </si>
  <si>
    <t>http://verbova.ucoz.ru</t>
  </si>
  <si>
    <t>Вилянська загальноосвітня школа І-ІІ ступенів Томашпільської районної ради Вінницької області</t>
  </si>
  <si>
    <t>24214</t>
  </si>
  <si>
    <t>0523981501</t>
  </si>
  <si>
    <t>Вила</t>
  </si>
  <si>
    <t>вул. Молодіжна, 7</t>
  </si>
  <si>
    <t>(04348)47535</t>
  </si>
  <si>
    <t>Гнатківська загальноосвітня школа І-ІІІ ступенів Томашпільської районної ради Вінницької області</t>
  </si>
  <si>
    <t>24232</t>
  </si>
  <si>
    <t>0523981601</t>
  </si>
  <si>
    <t>Гнатків</t>
  </si>
  <si>
    <t>вул. Пирогова, 1</t>
  </si>
  <si>
    <t>4-97-66</t>
  </si>
  <si>
    <t>Височанська загальноосвітня школа І-ІІІ ступенів Томашпільської районної ради Вінницької області</t>
  </si>
  <si>
    <t>24247</t>
  </si>
  <si>
    <t>0523981701</t>
  </si>
  <si>
    <t>Високе</t>
  </si>
  <si>
    <t>2-34-81</t>
  </si>
  <si>
    <t>Кислицька загальноосвітня школа І - ІІ ступенів Томашпільської районної ради Вінницької області</t>
  </si>
  <si>
    <t>24226</t>
  </si>
  <si>
    <t>0523981901</t>
  </si>
  <si>
    <t>Кислицьке</t>
  </si>
  <si>
    <t>вул. Центральна, 90</t>
  </si>
  <si>
    <t>(04348)54745</t>
  </si>
  <si>
    <t>http://kyslytske.ucoz.ua</t>
  </si>
  <si>
    <t>Комаргородська загальноосвітня школа І-ІІІ ступенів Томашпільського району Вінницької області</t>
  </si>
  <si>
    <t>24225</t>
  </si>
  <si>
    <t>0523982201</t>
  </si>
  <si>
    <t>Комаргород</t>
  </si>
  <si>
    <t>вул. Соборна, 12</t>
  </si>
  <si>
    <t>0434846346</t>
  </si>
  <si>
    <t>http://kmr.tmedu.vn.ua</t>
  </si>
  <si>
    <t>Липівська загальноосвітня школа І - ІІІ ступенів Томашпільської районної ради Вінницької області</t>
  </si>
  <si>
    <t>24205</t>
  </si>
  <si>
    <t>0523982601</t>
  </si>
  <si>
    <t>Липівка</t>
  </si>
  <si>
    <t>вул. Героїв Майдану, 3</t>
  </si>
  <si>
    <t>(04348)57435</t>
  </si>
  <si>
    <t>Марківська загальноосвітня школа І-ІІ ступенів Томашпільської районної ради Вінницької області</t>
  </si>
  <si>
    <t>24248</t>
  </si>
  <si>
    <t>0523983001</t>
  </si>
  <si>
    <t>Марківка</t>
  </si>
  <si>
    <t>вул. Шкільна, 26</t>
  </si>
  <si>
    <t>(04348)4-66-50</t>
  </si>
  <si>
    <t>Нетребівська загальноосвітня школа І-ІІ ступенів Томашпільської селищної ради Вінницької області</t>
  </si>
  <si>
    <t>24233</t>
  </si>
  <si>
    <t>0523983301</t>
  </si>
  <si>
    <t>Нетребівка</t>
  </si>
  <si>
    <t>вул. Миру, 19</t>
  </si>
  <si>
    <t>(04348)47630</t>
  </si>
  <si>
    <t>Вапнярківська загальноосвітня школа І-ІІ ступенів Томашпільської районної ради Вінницької області</t>
  </si>
  <si>
    <t>24222</t>
  </si>
  <si>
    <t>0523983802</t>
  </si>
  <si>
    <t>Вапнярки</t>
  </si>
  <si>
    <t>вул. Маяковського, 1</t>
  </si>
  <si>
    <t>0434845386</t>
  </si>
  <si>
    <t>Пилипи-Борівська загальноосвітня школа І-ІІІ ступенів Томашпільської районної ради Вінницької області</t>
  </si>
  <si>
    <t>24215</t>
  </si>
  <si>
    <t>0523984601</t>
  </si>
  <si>
    <t>Пилипи-Борівські</t>
  </si>
  <si>
    <t>вул. Партизанська, 1</t>
  </si>
  <si>
    <t>(04348)4-67-23</t>
  </si>
  <si>
    <t>http://pb.tmedu.vn.ua</t>
  </si>
  <si>
    <t>Раківська загальноосвітня школа І-ІІ ступенів</t>
  </si>
  <si>
    <t>0523984801</t>
  </si>
  <si>
    <t>Ракова</t>
  </si>
  <si>
    <t>4-59-03</t>
  </si>
  <si>
    <t>Рожнятівська загальноосвітня школа І-ІІІ ступенів Томашпільської районної ради Вінницької області</t>
  </si>
  <si>
    <t>24212</t>
  </si>
  <si>
    <t>0523985201</t>
  </si>
  <si>
    <t>Рожнятівка</t>
  </si>
  <si>
    <t>247338</t>
  </si>
  <si>
    <t>Стінянська загальноосвітня школа І-ІІІ ступенів Томашпільської районної ради Вінницької області</t>
  </si>
  <si>
    <t>24231</t>
  </si>
  <si>
    <t>0523985701</t>
  </si>
  <si>
    <t>Стіна</t>
  </si>
  <si>
    <t>вул. Кельбаса, 200</t>
  </si>
  <si>
    <t>0434856541</t>
  </si>
  <si>
    <t>Яланецька загальноосвітня школа І-ІІІ ступенів Томашпільської районної ради Вінницької області</t>
  </si>
  <si>
    <t>24234</t>
  </si>
  <si>
    <t>0523986801</t>
  </si>
  <si>
    <t>45749</t>
  </si>
  <si>
    <t>Навчально-виховний комплекс "Середня загальноосвітня школа І-ІІІ ст. № 1-гімназія" смт Тростянець</t>
  </si>
  <si>
    <t>24300</t>
  </si>
  <si>
    <t>0524155100</t>
  </si>
  <si>
    <t>Тростянець</t>
  </si>
  <si>
    <t>0434322268</t>
  </si>
  <si>
    <t>http://nvk.tredu.vn.ua</t>
  </si>
  <si>
    <t>Тростянецька середня загальноосвітня школа І-ІІІ ступенів № 2</t>
  </si>
  <si>
    <t>(04343)2-27-78</t>
  </si>
  <si>
    <t>Олександрівська середня загальноосвітня школа І-ІІІ ступенів</t>
  </si>
  <si>
    <t>24333</t>
  </si>
  <si>
    <t>0524180301</t>
  </si>
  <si>
    <t>вул. Соборна, 85</t>
  </si>
  <si>
    <t>0434327674</t>
  </si>
  <si>
    <t>Демківська середня загальноосвітня школа І-ІІ ступенів</t>
  </si>
  <si>
    <t>0524180302</t>
  </si>
  <si>
    <t>Демківка</t>
  </si>
  <si>
    <t>(04343)2-76-29</t>
  </si>
  <si>
    <t>Будянська середня загальноосвітня школа І-ІІІ ступенів</t>
  </si>
  <si>
    <t>24312</t>
  </si>
  <si>
    <t>0524180601</t>
  </si>
  <si>
    <t>Буди</t>
  </si>
  <si>
    <t>вул. Незалежності, 46</t>
  </si>
  <si>
    <t>(043)28740</t>
  </si>
  <si>
    <t>Верхівська середня загальноосвітня школа І-ІІІ ступенів</t>
  </si>
  <si>
    <t>24350</t>
  </si>
  <si>
    <t>0524180801</t>
  </si>
  <si>
    <t>вул. Шкільна, 51</t>
  </si>
  <si>
    <t>(0432)28559</t>
  </si>
  <si>
    <t>Козинецька середня загальноосвітня школа І-ІІ ступенів</t>
  </si>
  <si>
    <t>24351</t>
  </si>
  <si>
    <t>0524180803</t>
  </si>
  <si>
    <t>вул. Миру, 117</t>
  </si>
  <si>
    <t>(243)28-3-47</t>
  </si>
  <si>
    <t>Глибочанська середня загальноосвітня школа І-ІІ ступенів</t>
  </si>
  <si>
    <t>24340</t>
  </si>
  <si>
    <t>0524181201</t>
  </si>
  <si>
    <t>Глибочок</t>
  </si>
  <si>
    <t>(04343)27440</t>
  </si>
  <si>
    <t>Гордіївська середня загальноосвітня школа І - ІІІ ступенів</t>
  </si>
  <si>
    <t>24313</t>
  </si>
  <si>
    <t>0524181501</t>
  </si>
  <si>
    <t>Гордіївка</t>
  </si>
  <si>
    <t>вул. Центральна, 65</t>
  </si>
  <si>
    <t>(04343)26140</t>
  </si>
  <si>
    <t>Великостратіївська середня загальноосвітня школа І - ІІ ступенів</t>
  </si>
  <si>
    <t>00243</t>
  </si>
  <si>
    <t>0524181502</t>
  </si>
  <si>
    <t>Велика Стратіївка</t>
  </si>
  <si>
    <t>вул. шкільна, 8</t>
  </si>
  <si>
    <t>(04343)26201</t>
  </si>
  <si>
    <t>24343</t>
  </si>
  <si>
    <t>0524181701</t>
  </si>
  <si>
    <t>вул. Могильчака, 9</t>
  </si>
  <si>
    <t>27940</t>
  </si>
  <si>
    <t>Ілляшівська середня загальноосвітня школа І - ІІІ ступенів</t>
  </si>
  <si>
    <t>24330</t>
  </si>
  <si>
    <t>0524181801</t>
  </si>
  <si>
    <t>Ілляшівка</t>
  </si>
  <si>
    <t>вул. Перемоги, 3</t>
  </si>
  <si>
    <t>0434326484</t>
  </si>
  <si>
    <t>Капустянська середня загальноосвітня школа І - ІІІ ступенів</t>
  </si>
  <si>
    <t>24332</t>
  </si>
  <si>
    <t>0524182701</t>
  </si>
  <si>
    <t>Капустяни</t>
  </si>
  <si>
    <t>вул. С. Мурованого, 48</t>
  </si>
  <si>
    <t>(0434324)264</t>
  </si>
  <si>
    <t>Летківська середня загальноосвітня школа I-III ступенів</t>
  </si>
  <si>
    <t>24310</t>
  </si>
  <si>
    <t>0524183201</t>
  </si>
  <si>
    <t>Летківка</t>
  </si>
  <si>
    <t>25441, 25440</t>
  </si>
  <si>
    <t>http://ltk.tredu.vn.ua</t>
  </si>
  <si>
    <t>Новоободівська середня загальноосвітня школа І-ІІІ ступенів</t>
  </si>
  <si>
    <t>24357</t>
  </si>
  <si>
    <t>0524183901</t>
  </si>
  <si>
    <t>Нова Ободівка</t>
  </si>
  <si>
    <t>(04343)51552</t>
  </si>
  <si>
    <t>Ободівська середня загальноосвітня школа І-ІІ ступенів</t>
  </si>
  <si>
    <t>24353</t>
  </si>
  <si>
    <t>0524184201</t>
  </si>
  <si>
    <t>Ободівка</t>
  </si>
  <si>
    <t>вул. Соборна, 158</t>
  </si>
  <si>
    <t>Ободівська середня загальноосвітня школа І-ІІІ ступенів</t>
  </si>
  <si>
    <t>вул. Котовського, 1</t>
  </si>
  <si>
    <t>((04343))5-14-46</t>
  </si>
  <si>
    <t>Ободівська спеціальна загальноосвітня школа-інтернат Вінницької обласної Ради</t>
  </si>
  <si>
    <t>вул. Дружби, 12</t>
  </si>
  <si>
    <t>(04343)51188</t>
  </si>
  <si>
    <t>23110613</t>
  </si>
  <si>
    <t>Оляницька середня загальноосвітня школа І-ІІІ ступенів</t>
  </si>
  <si>
    <t>24326</t>
  </si>
  <si>
    <t>0524184601</t>
  </si>
  <si>
    <t>Оляниця</t>
  </si>
  <si>
    <t>вул. Соборна, 43</t>
  </si>
  <si>
    <t>(04343)29457</t>
  </si>
  <si>
    <t>Савинецька середня загальноосвітня школа І - ІІІ ступенів с.Савинці Тростянецького району Вінницької області</t>
  </si>
  <si>
    <t>24335</t>
  </si>
  <si>
    <t>0524184801</t>
  </si>
  <si>
    <t>Савинці</t>
  </si>
  <si>
    <t>вул. Дружби, 42</t>
  </si>
  <si>
    <t>(04343)26969</t>
  </si>
  <si>
    <t>Торканівська середня загальноосвітня школа І-ІІ ступенів</t>
  </si>
  <si>
    <t>24361</t>
  </si>
  <si>
    <t>0524185301</t>
  </si>
  <si>
    <t>Торканівка</t>
  </si>
  <si>
    <t>вул. Центральна, 110</t>
  </si>
  <si>
    <t>(28)2-49</t>
  </si>
  <si>
    <t>Тростянчицька середня загальноосвітня школа І-ІІІ ступенів</t>
  </si>
  <si>
    <t>0524185901</t>
  </si>
  <si>
    <t>Тростянчик</t>
  </si>
  <si>
    <t>(04343)29140</t>
  </si>
  <si>
    <t>Цибулівська середня загальноосвітня школа I-III ступенів</t>
  </si>
  <si>
    <t>24360</t>
  </si>
  <si>
    <t>0524186501</t>
  </si>
  <si>
    <t>Цибулівка</t>
  </si>
  <si>
    <t>вул. Волощука, 5</t>
  </si>
  <si>
    <t>(04343)27140</t>
  </si>
  <si>
    <t>Четвертинівська середня загальноосвітня школа І - ІІІ ступенів</t>
  </si>
  <si>
    <t>24327</t>
  </si>
  <si>
    <t>0524187601</t>
  </si>
  <si>
    <t>Четвертинівка</t>
  </si>
  <si>
    <t>вул. Гагаріна, 58</t>
  </si>
  <si>
    <t>0434322676</t>
  </si>
  <si>
    <t>Навчально-виховний комплекс загальноосвітня школа І - ІІІ ст. № 3 - гімназія імені О.С. Пушкіна м. Тульчина Тульчинської міської ради Вінницької області</t>
  </si>
  <si>
    <t>23600</t>
  </si>
  <si>
    <t>0524310100</t>
  </si>
  <si>
    <t>Тульчин</t>
  </si>
  <si>
    <t>вул. Миколи Леонтовича, 43</t>
  </si>
  <si>
    <t>2-13-68, 2-33-40</t>
  </si>
  <si>
    <t>Тульчинська загальноосвітня школа I-IIII ступенів № 2 Тульчинської міської ради Вінницької області</t>
  </si>
  <si>
    <t>вул. Трембецького, 2</t>
  </si>
  <si>
    <t>(04335)21565</t>
  </si>
  <si>
    <t>Тульчинська загальноосвітня школа І-ІІІ ступенів № 1</t>
  </si>
  <si>
    <t>вул. воїна-афганця Олександра Подоляна, 19</t>
  </si>
  <si>
    <t>0433521880, 0433522584</t>
  </si>
  <si>
    <t>http://skola1tulchin.ucoz.ua</t>
  </si>
  <si>
    <t>Тульчинська загальоноосвітня школа І-ІІІ ступенів - ліцей з посиленою військово-фізичною підготовкою Вінницької обласної ради</t>
  </si>
  <si>
    <t>пров. Миколи Леонтовича, 12</t>
  </si>
  <si>
    <t>21723398</t>
  </si>
  <si>
    <t>Кирнасівська загальноосвітня школа І-ІІ ступенів Тульчинської районної ради Вінницької області</t>
  </si>
  <si>
    <t>23652</t>
  </si>
  <si>
    <t>0524355300</t>
  </si>
  <si>
    <t>Кирнасівка</t>
  </si>
  <si>
    <t>вул. Новозаводська, 2</t>
  </si>
  <si>
    <t>(04335)53574</t>
  </si>
  <si>
    <t>https://sites.google.com/site/krnschool12/</t>
  </si>
  <si>
    <t>Кирнасівська загальноосвітня школа І-ІІІ ступенів Тульчинської районної ради Вінницькиї області</t>
  </si>
  <si>
    <t>вул. Соборна, 13</t>
  </si>
  <si>
    <t>(04335)53174</t>
  </si>
  <si>
    <t>http://krn.tuedu.vn.ua</t>
  </si>
  <si>
    <t>Шпиківська загальноосвітня школа І-ІІІ ступенів</t>
  </si>
  <si>
    <t>23614</t>
  </si>
  <si>
    <t>0524355600</t>
  </si>
  <si>
    <t>Шпиків</t>
  </si>
  <si>
    <t>вул. Ліпіна, 5</t>
  </si>
  <si>
    <t>(04335)51053</t>
  </si>
  <si>
    <t>Ганнопільська загальноосвітня школа І-ІІІ ступенів Тульчинської міської ради Вінницької області</t>
  </si>
  <si>
    <t>23655</t>
  </si>
  <si>
    <t>0524380201</t>
  </si>
  <si>
    <t>Ганнопіль</t>
  </si>
  <si>
    <t>вул. Набережна, 1</t>
  </si>
  <si>
    <t>(04335)37131</t>
  </si>
  <si>
    <t>http://gnp.tuedu.vn.ua/</t>
  </si>
  <si>
    <t>Білоусівська загальноосвітня школа І - ІІІ ступенів Тульчинської районної ради Вінницької області</t>
  </si>
  <si>
    <t>23663</t>
  </si>
  <si>
    <t>0524380401</t>
  </si>
  <si>
    <t>Білоусівка</t>
  </si>
  <si>
    <t>вул. Шевченка, 18</t>
  </si>
  <si>
    <t>(043)3538830</t>
  </si>
  <si>
    <t>http://bls.tuedu.vn.ua</t>
  </si>
  <si>
    <t>Бортницька загальноосвітня школа І-ІІ ступенів Тульчинської районної ради Вінницької області</t>
  </si>
  <si>
    <t>23612</t>
  </si>
  <si>
    <t>0524380601</t>
  </si>
  <si>
    <t>Бортники</t>
  </si>
  <si>
    <t>вул. Шевченка, 188</t>
  </si>
  <si>
    <t>(043)38330</t>
  </si>
  <si>
    <t>Дранська загальноосвітня школа І ступеня Тульчинської районної ради Вінницької області</t>
  </si>
  <si>
    <t>23650</t>
  </si>
  <si>
    <t>0524380801</t>
  </si>
  <si>
    <t>Дранка</t>
  </si>
  <si>
    <t>вул. молодіжна, 15</t>
  </si>
  <si>
    <t>(04335)38-049</t>
  </si>
  <si>
    <t>Одайська загальноосвітня школа І-ІІ ступенів Тульчинської міської ради Вінницької області</t>
  </si>
  <si>
    <t>23651</t>
  </si>
  <si>
    <t>0524380802</t>
  </si>
  <si>
    <t>Одаї</t>
  </si>
  <si>
    <t>вул. 1 Травня, 40</t>
  </si>
  <si>
    <t>0982198278</t>
  </si>
  <si>
    <t>Журавлівська загальноосвітня школа І - ІІІ ступенів Тульчинської районної ради Вінницької області</t>
  </si>
  <si>
    <t>23641</t>
  </si>
  <si>
    <t>0524381001</t>
  </si>
  <si>
    <t>вул. Шевченка, 194</t>
  </si>
  <si>
    <t>38-7-30</t>
  </si>
  <si>
    <t>Заозерненська загальноосвітня школа І-ІІІ ступенів Тульчинської районної ради Вінницької області</t>
  </si>
  <si>
    <t>23664</t>
  </si>
  <si>
    <t>0524381201</t>
  </si>
  <si>
    <t>Заозерне</t>
  </si>
  <si>
    <t>вул. Шкільна, 25А</t>
  </si>
  <si>
    <t>(235)4-44-51</t>
  </si>
  <si>
    <t>Василівська ЗШ I ступеня Вінницька обл.Тульчинський р-н. вул Лісова 28</t>
  </si>
  <si>
    <t>23665</t>
  </si>
  <si>
    <t>0524381202</t>
  </si>
  <si>
    <t>вул. Лісова, 28</t>
  </si>
  <si>
    <t>Зарічненська загальноосвітня школа І-ІІ ступенів Тульчинської районної ради Вінницької області</t>
  </si>
  <si>
    <t>23624</t>
  </si>
  <si>
    <t>0524381701</t>
  </si>
  <si>
    <t>Зарічне</t>
  </si>
  <si>
    <t>вул. Бондарчука, 1</t>
  </si>
  <si>
    <t>(04335)49-4-85</t>
  </si>
  <si>
    <t>Богданівська загальноосвітня школа І-ІІІ ступенів Тульчинської районної ради Вінницької області</t>
  </si>
  <si>
    <t>23662</t>
  </si>
  <si>
    <t>0524382201</t>
  </si>
  <si>
    <t>Богданівка</t>
  </si>
  <si>
    <t>вул. Б.Хмельницького, 41</t>
  </si>
  <si>
    <t>(04335)44341, (098)4473319</t>
  </si>
  <si>
    <t>Кинашівська загальноосвітня школа І - ІІІ ступенів Тульчинської районної ради Вінницької області</t>
  </si>
  <si>
    <t>23607</t>
  </si>
  <si>
    <t>0524382901</t>
  </si>
  <si>
    <t>Кинашів</t>
  </si>
  <si>
    <t>вул. Першотравнева, 161</t>
  </si>
  <si>
    <t>380433523080</t>
  </si>
  <si>
    <t>Мазурівська загальноосвітня школа І-ІІ ступенів Тульчинської районної ради Вінницької області</t>
  </si>
  <si>
    <t>23608</t>
  </si>
  <si>
    <t>0524382905</t>
  </si>
  <si>
    <t>Мазурівка</t>
  </si>
  <si>
    <t>вул. Гагаріна, 68</t>
  </si>
  <si>
    <t>2-22-67</t>
  </si>
  <si>
    <t>Нестерварська загальноосвітня школа І-ІІ ступенів Тульчинської районної ради Вінницької області</t>
  </si>
  <si>
    <t>23609</t>
  </si>
  <si>
    <t>0524382907</t>
  </si>
  <si>
    <t>Нестерварка</t>
  </si>
  <si>
    <t>наб. Набережна, 13</t>
  </si>
  <si>
    <t>65905</t>
  </si>
  <si>
    <t>Клебанська загальноосвітня школа І-ІІІ ступенів Тульчинської районної ради Вінницької області</t>
  </si>
  <si>
    <t>23660</t>
  </si>
  <si>
    <t>0524383201</t>
  </si>
  <si>
    <t>Клебань</t>
  </si>
  <si>
    <t>вул. Соборна, 16</t>
  </si>
  <si>
    <t>(04335)37371, (04335)37318</t>
  </si>
  <si>
    <t>Копіївська загальноосвітня школа І-ІІ ступенів Тульчинської районної ради Вінницької області</t>
  </si>
  <si>
    <t>23623</t>
  </si>
  <si>
    <t>0524383301</t>
  </si>
  <si>
    <t>(235)37935</t>
  </si>
  <si>
    <t>Крищинецька загальноосвітня школа І-ІІІ ступенів Тульчинської районної ради Вінницької області</t>
  </si>
  <si>
    <t>23631</t>
  </si>
  <si>
    <t>0524383801</t>
  </si>
  <si>
    <t>Крищинці</t>
  </si>
  <si>
    <t>вул. Колгоспна, 51</t>
  </si>
  <si>
    <t>49733</t>
  </si>
  <si>
    <t>http://krsh.tuedu.vn.ua/</t>
  </si>
  <si>
    <t>Крищинецька спеціальна загальноосвітня школа-інтернат Тульчинського району Вінницької обласної Ради</t>
  </si>
  <si>
    <t>(04335)49683</t>
  </si>
  <si>
    <t>21723694</t>
  </si>
  <si>
    <t>Левківська загальноосвітня школа І-ІІ ступенів Тульчинської районної ради Вінницької області</t>
  </si>
  <si>
    <t>23615</t>
  </si>
  <si>
    <t>0524384301</t>
  </si>
  <si>
    <t>Левківці</t>
  </si>
  <si>
    <t>(04335)49115</t>
  </si>
  <si>
    <t>Михайлівська загальноосвітня школа І-ІІ ступенів Тульчинської районної ради Вінницької області</t>
  </si>
  <si>
    <t>23633</t>
  </si>
  <si>
    <t>0524384801</t>
  </si>
  <si>
    <t>вул. Незалежності, 18</t>
  </si>
  <si>
    <t>44942</t>
  </si>
  <si>
    <t>Печерська загальноосвітня школа І-ІІІ ступенів Тульчинської районної ради Вінницької області</t>
  </si>
  <si>
    <t>23610</t>
  </si>
  <si>
    <t>0524385201</t>
  </si>
  <si>
    <t>Печера</t>
  </si>
  <si>
    <t>вул. Шкільна, 102</t>
  </si>
  <si>
    <t>0433549911, 0433549070</t>
  </si>
  <si>
    <t>http://pchr.tuedu.vn.ua</t>
  </si>
  <si>
    <t>Сільницька загальноосвітня школа І-ІІ ступенів Тульчинської районної ради Вінницької області</t>
  </si>
  <si>
    <t>23621</t>
  </si>
  <si>
    <t>0524385301</t>
  </si>
  <si>
    <t>Сільниця</t>
  </si>
  <si>
    <t>вул. Центральна, 48</t>
  </si>
  <si>
    <t>38-6-59</t>
  </si>
  <si>
    <t>Суворовська загальноосвітня школа І-ІІІ ступенів № 1, Тульчинської міської ради, Вінницької області</t>
  </si>
  <si>
    <t>23643</t>
  </si>
  <si>
    <t>0524385401</t>
  </si>
  <si>
    <t>Суворовське</t>
  </si>
  <si>
    <t>вул. Жовтнева, 3</t>
  </si>
  <si>
    <t>(04335)37-7-24</t>
  </si>
  <si>
    <t>Суворовська загальноосвітня школа І-ІІІ ступенів Тульчинської міської ради Вінницької області</t>
  </si>
  <si>
    <t>(04335)37610</t>
  </si>
  <si>
    <t>http://suvorov.ucoz.ua</t>
  </si>
  <si>
    <t>Тарасівська загальноосвітня школа І -ІІ ступенів Тульчинської районної ради Вінницької області</t>
  </si>
  <si>
    <t>23630</t>
  </si>
  <si>
    <t>0524385801</t>
  </si>
  <si>
    <t>вул. Дружби, 66</t>
  </si>
  <si>
    <t>(04335)37841</t>
  </si>
  <si>
    <t>Тиманівська загальноосвітня школа І-ІІІ ступенів Тульчинської міської ради Вінницької області</t>
  </si>
  <si>
    <t>23644</t>
  </si>
  <si>
    <t>0524386201</t>
  </si>
  <si>
    <t>Тиманівка</t>
  </si>
  <si>
    <t>55397</t>
  </si>
  <si>
    <t>Торківська загальноосвітня школа І - ІІ ступенів Шпиківської селищної ради Тульчинськго району Вінницької області</t>
  </si>
  <si>
    <t>23613</t>
  </si>
  <si>
    <t>0524386601</t>
  </si>
  <si>
    <t>Торків</t>
  </si>
  <si>
    <t>вул. Воїнів Визволителів, 1А</t>
  </si>
  <si>
    <t>37542</t>
  </si>
  <si>
    <t>http://trk.tuedu.vn.ua</t>
  </si>
  <si>
    <t>Холодівська загальноосвітня школа І - ІІ ступенів Тульчинської районної ради Вінницької області</t>
  </si>
  <si>
    <t>23632</t>
  </si>
  <si>
    <t>0524386801</t>
  </si>
  <si>
    <t>Холодівка</t>
  </si>
  <si>
    <t>вул. Жовтнева, 14</t>
  </si>
  <si>
    <t>(04335)44-1-49</t>
  </si>
  <si>
    <t>Шуро-Копіївська загальноосвітня школа І-ІІІ ступенів Тульчинської районної ради Вінницької області</t>
  </si>
  <si>
    <t>23622</t>
  </si>
  <si>
    <t>0524387001</t>
  </si>
  <si>
    <t>Шура-Копіївська</t>
  </si>
  <si>
    <t>вул. Шевченка, 119</t>
  </si>
  <si>
    <t>(04335)44738</t>
  </si>
  <si>
    <t>Юрківська загальноосвітня школа І-ІІІ ступенів Тульчинської районної ради Вінницької області</t>
  </si>
  <si>
    <t>23620</t>
  </si>
  <si>
    <t>0524387201</t>
  </si>
  <si>
    <t>Юрківка</t>
  </si>
  <si>
    <t>вул. Незалежності, 8</t>
  </si>
  <si>
    <t>(44)8-38</t>
  </si>
  <si>
    <t>Гніванська альтернативна середня загальноосвітня школа І-ІІІ ступенів № 1 ім.А.С.Макаренка розвитку здібностей дитини м.Гнівань, Тиврівський район Вінницької області</t>
  </si>
  <si>
    <t>23310</t>
  </si>
  <si>
    <t>0524510500</t>
  </si>
  <si>
    <t>Гнівань</t>
  </si>
  <si>
    <t>вул. Макаренка, 14</t>
  </si>
  <si>
    <t>(04355)3-50-45</t>
  </si>
  <si>
    <t>http://www.gnivan-zosh1.pp.ua/</t>
  </si>
  <si>
    <t>Загальноосвітня школа І - ІІІ ступенів № 3 м. Гнівань Тиврівський район Вінницької області</t>
  </si>
  <si>
    <t>вул. Витавська, 7</t>
  </si>
  <si>
    <t>(04355)34516</t>
  </si>
  <si>
    <t>Навчально - виховний комплекс "Загальноосвітня школа І-ІІІ ступенів - гімназія № 2"</t>
  </si>
  <si>
    <t>вул. Франка, 36</t>
  </si>
  <si>
    <t>3-30-71</t>
  </si>
  <si>
    <t>http://gn2.tvedu.vn.ua</t>
  </si>
  <si>
    <t>загальноосвітня школа І-ІІ ступенів с.Грижинці Тиврівський район Вінницької області</t>
  </si>
  <si>
    <t>0524510501</t>
  </si>
  <si>
    <t>Грижинці</t>
  </si>
  <si>
    <t>вул. Леніна, 98</t>
  </si>
  <si>
    <t>http://grj.tvedu.vn.ua/</t>
  </si>
  <si>
    <t>Загальноосвітня школа І-ІІІ ступенів смт.Тиврів Тиврівський район Вінницької області</t>
  </si>
  <si>
    <t>23300</t>
  </si>
  <si>
    <t>0524555100</t>
  </si>
  <si>
    <t>Тиврів</t>
  </si>
  <si>
    <t>вул. Тиверська, 20</t>
  </si>
  <si>
    <t>(043255)21284</t>
  </si>
  <si>
    <t>http://www.sch.tvedu.vn.ua</t>
  </si>
  <si>
    <t>Тиврівськой ліцей-інтернат поглибленої підготовки в галузі науки</t>
  </si>
  <si>
    <t>вул. Тиверська, 14</t>
  </si>
  <si>
    <t>(04355)22248</t>
  </si>
  <si>
    <t>Загальноосвітня школа І-ІІІ ступенів смт. Сутиски</t>
  </si>
  <si>
    <t>23320</t>
  </si>
  <si>
    <t>0524555700</t>
  </si>
  <si>
    <t>Сутиски</t>
  </si>
  <si>
    <t>просп. Перемоги, 8</t>
  </si>
  <si>
    <t>(04355)28254</t>
  </si>
  <si>
    <t>Загальноосвітня школа-інтернат І-ІІІ ступенів смт Сутиски Тиврівський район Вінницької області</t>
  </si>
  <si>
    <t>вул. Леніна, 21</t>
  </si>
  <si>
    <t>(04355)28373</t>
  </si>
  <si>
    <t>http://sut-in.tvedu.vn.ua</t>
  </si>
  <si>
    <t>Загальноосвітня школа І -ІІ ступенів с. Бушинка Тиврівський район Вінницької області</t>
  </si>
  <si>
    <t>23345</t>
  </si>
  <si>
    <t>0524580401</t>
  </si>
  <si>
    <t>Бушинка</t>
  </si>
  <si>
    <t>вул. Івана Богуна, 100</t>
  </si>
  <si>
    <t>загальноосвітня школа І-ІІ ступенів с.Василівка</t>
  </si>
  <si>
    <t>23303</t>
  </si>
  <si>
    <t>0524580801</t>
  </si>
  <si>
    <t>(04355)24647</t>
  </si>
  <si>
    <t>загальноосвітня школа І-ІІ ступенів с. Велика Вулига Тиврівський район Вінницької області</t>
  </si>
  <si>
    <t>23355</t>
  </si>
  <si>
    <t>0524581301</t>
  </si>
  <si>
    <t>Велика Вулига</t>
  </si>
  <si>
    <t>вул. Терешкової, 21</t>
  </si>
  <si>
    <t>(04355)27760</t>
  </si>
  <si>
    <t>http://vlk.tvedu.vn.ua</t>
  </si>
  <si>
    <t>загальноосвітня школа І-ІІІ ступенів с.Ворошилівка Тиврівський район Вінницької області</t>
  </si>
  <si>
    <t>23323</t>
  </si>
  <si>
    <t>0524581801</t>
  </si>
  <si>
    <t>Ворошилівка</t>
  </si>
  <si>
    <t>вул. Малиновського</t>
  </si>
  <si>
    <t>Навчально-виховний коплекс "Загальноосвітня школа І ступеня - дошкільний навчальний заклад" с. Маянів, Тиврівський район, Вінницька область</t>
  </si>
  <si>
    <t>0524581805</t>
  </si>
  <si>
    <t>Маянів</t>
  </si>
  <si>
    <t>вул. Перемоги, 35</t>
  </si>
  <si>
    <t>Загальноосвітня школа І-ІІ ступенів с. Гришівці</t>
  </si>
  <si>
    <t>23327</t>
  </si>
  <si>
    <t>0524582201</t>
  </si>
  <si>
    <t>Гришівці</t>
  </si>
  <si>
    <t>ал. Леніна, 3</t>
  </si>
  <si>
    <t>2-73-40</t>
  </si>
  <si>
    <t>Загальноосвітня школа І - ІІ ступенів с.Дзвониха Тиврівський район Вінницької області</t>
  </si>
  <si>
    <t>23305</t>
  </si>
  <si>
    <t>0524582701</t>
  </si>
  <si>
    <t>Дзвониха</t>
  </si>
  <si>
    <t>(04355)23617</t>
  </si>
  <si>
    <t>Загальноосвітня школа І ступеня с. Довгополівка Тиврівський район Вінницької області</t>
  </si>
  <si>
    <t>23331</t>
  </si>
  <si>
    <t>0524582801</t>
  </si>
  <si>
    <t>Довгополівка</t>
  </si>
  <si>
    <t>вул. Першотравнева, 4(А)</t>
  </si>
  <si>
    <t>2-15-09</t>
  </si>
  <si>
    <t>Жахнівська загальноосвітня школа I-II ступенів с.Жахнівка, Тиврівський район, Вінницька область</t>
  </si>
  <si>
    <t>23350</t>
  </si>
  <si>
    <t>0524583201</t>
  </si>
  <si>
    <t>Жахнівка</t>
  </si>
  <si>
    <t>вул. Жовтнева, 22</t>
  </si>
  <si>
    <t>http://zhh.tvedu.vn.ua</t>
  </si>
  <si>
    <t>Навчально-виховний комплекс "Загальноосвітня школа І ступеня - дошкільний навчальний заклад" с. Іванківці Тиврівський район Вінницької області</t>
  </si>
  <si>
    <t>23326</t>
  </si>
  <si>
    <t>0524583301</t>
  </si>
  <si>
    <t>вул. Молодіжна, 35</t>
  </si>
  <si>
    <t>(255)26316</t>
  </si>
  <si>
    <t>загальноосвітня школа І-ІІ ступенів с. Колюхів , Тиврівський р-н., Вінницька обл.</t>
  </si>
  <si>
    <t>23306</t>
  </si>
  <si>
    <t>0524583501</t>
  </si>
  <si>
    <t>Колюхів</t>
  </si>
  <si>
    <t>вул. Першотравнева, 5</t>
  </si>
  <si>
    <t>(4355)2-76-21</t>
  </si>
  <si>
    <t>Загальноосвітня школа І-ІІ ступенів с. Рогізна Тиврівського району Вінницької області</t>
  </si>
  <si>
    <t>23353</t>
  </si>
  <si>
    <t>0524583807</t>
  </si>
  <si>
    <t>Рогізна</t>
  </si>
  <si>
    <t>(0432)24324</t>
  </si>
  <si>
    <t>http://rgz.tvedu.vn.ua/</t>
  </si>
  <si>
    <t>Краснянська середня загальноосвітня школа І-ІІІ ступенів</t>
  </si>
  <si>
    <t>23342</t>
  </si>
  <si>
    <t>0524584405</t>
  </si>
  <si>
    <t>Красне</t>
  </si>
  <si>
    <t>вул. Базарна, 19</t>
  </si>
  <si>
    <t>(04355)23-1-46</t>
  </si>
  <si>
    <t>http://krs.tvedu.vn.ua/</t>
  </si>
  <si>
    <t>Пилявська загальноосвітня школа І-ІІступенів</t>
  </si>
  <si>
    <t>23330</t>
  </si>
  <si>
    <t>0524584801</t>
  </si>
  <si>
    <t>Пилява</t>
  </si>
  <si>
    <t>вул. Гоголя, 3</t>
  </si>
  <si>
    <t>(04355)24416</t>
  </si>
  <si>
    <t>загальноосвітня школа І-ІІ ступенів с. Рахни-Польові</t>
  </si>
  <si>
    <t>23352</t>
  </si>
  <si>
    <t>0524585301</t>
  </si>
  <si>
    <t>Рахни-Польові</t>
  </si>
  <si>
    <t>ал. Леніна, 1</t>
  </si>
  <si>
    <t>Загальноосвітня школа I-III ступенів с.Селище</t>
  </si>
  <si>
    <t>23316</t>
  </si>
  <si>
    <t>0524585601</t>
  </si>
  <si>
    <t>вул. Зарічна, 2</t>
  </si>
  <si>
    <t>(04355)36133</t>
  </si>
  <si>
    <t>http://sel.tvedu.vn.ua/</t>
  </si>
  <si>
    <t>загальноосвітня школа І-ІІ ступенів с. Сліди Тиврівский район Вінницької області</t>
  </si>
  <si>
    <t>23346</t>
  </si>
  <si>
    <t>0524585701</t>
  </si>
  <si>
    <t>вул. Молодіжна, 18</t>
  </si>
  <si>
    <t>0973467829</t>
  </si>
  <si>
    <t>Загальноосвітня школа І-ІІІ ступенів с. Строїнці</t>
  </si>
  <si>
    <t>23340</t>
  </si>
  <si>
    <t>0524586501</t>
  </si>
  <si>
    <t>Строїнці</t>
  </si>
  <si>
    <t>вул. 50-річчя Жовтня, 16</t>
  </si>
  <si>
    <t>(04355)24541</t>
  </si>
  <si>
    <t>http://Str.tvedu.vn.ua</t>
  </si>
  <si>
    <t>Тростянецька загальноосвітня школа І-ІІІ ступенів с. Тростянець Тиврівський р-н Вінницької обл.</t>
  </si>
  <si>
    <t>23332</t>
  </si>
  <si>
    <t>0524586801</t>
  </si>
  <si>
    <t>вул. Жовтнева, 59</t>
  </si>
  <si>
    <t>Загальноосвітня школа І-ІІ ступенів с. Уяринці</t>
  </si>
  <si>
    <t>23344</t>
  </si>
  <si>
    <t>0524586901</t>
  </si>
  <si>
    <t>Уяринці</t>
  </si>
  <si>
    <t>вул. Шевченка, 38</t>
  </si>
  <si>
    <t>(04355)23534</t>
  </si>
  <si>
    <t>Загальноосвітня школа І-ІІ ступенів с. Черемошне</t>
  </si>
  <si>
    <t>23325</t>
  </si>
  <si>
    <t>0524587001</t>
  </si>
  <si>
    <t>(04355)27245</t>
  </si>
  <si>
    <t>загальноосвітня школа І-ІІ ступеня с.Шендерів</t>
  </si>
  <si>
    <t>23334</t>
  </si>
  <si>
    <t>0524587301</t>
  </si>
  <si>
    <t>Шендерів</t>
  </si>
  <si>
    <t>вул. Ленінська, 60</t>
  </si>
  <si>
    <t>26448</t>
  </si>
  <si>
    <t>Шершнівська загальноосвітня школа І-ІІ ступенів Тиврівського району Вінницької області</t>
  </si>
  <si>
    <t>23304</t>
  </si>
  <si>
    <t>0524587501</t>
  </si>
  <si>
    <t>Шершні</t>
  </si>
  <si>
    <t>вул. Чапаєва, 2</t>
  </si>
  <si>
    <t>Яришівська загальноосвітня школа І-ІІ ст. Тиврівський р-н, Вінницька обл.</t>
  </si>
  <si>
    <t>23317</t>
  </si>
  <si>
    <t>0524587901</t>
  </si>
  <si>
    <t>Яришівка</t>
  </si>
  <si>
    <t>0971125808</t>
  </si>
  <si>
    <t>Навчально-виховний комплекс "Загальноосвітня школа І-ІІІ ст. - дошкільний навчальний заклад" с. Березна Хмільницького району Вінницької області</t>
  </si>
  <si>
    <t>22052</t>
  </si>
  <si>
    <t>0524880301</t>
  </si>
  <si>
    <t>Березна</t>
  </si>
  <si>
    <t>вул. І.Богуна, 3А</t>
  </si>
  <si>
    <t>(04338)36240</t>
  </si>
  <si>
    <t>http://brz.khedu.vn.ua</t>
  </si>
  <si>
    <t>Загальноосвітня школа І-ІІІ ступенів села Великий Митник Хмільницького району Вінницької області</t>
  </si>
  <si>
    <t>22060</t>
  </si>
  <si>
    <t>0524880601</t>
  </si>
  <si>
    <t>Великий Митник</t>
  </si>
  <si>
    <t>(04332)240</t>
  </si>
  <si>
    <t>Навчально - виховний комплекс "загальноосвітня школа І-ІІІ ступенів -дошкільний навчальний заклад" с. Кушелівка Хмільницького району Вінницької області</t>
  </si>
  <si>
    <t>0524880603</t>
  </si>
  <si>
    <t>Кушелівка</t>
  </si>
  <si>
    <t>вул. Зарічанська, 1</t>
  </si>
  <si>
    <t>(04338)32216</t>
  </si>
  <si>
    <t>Загальносвітня школа І-ІІ ступенів с.Філіопіль Хмільницького району Вінницької області</t>
  </si>
  <si>
    <t>22062</t>
  </si>
  <si>
    <t>0524880605</t>
  </si>
  <si>
    <t>Філіопіль</t>
  </si>
  <si>
    <t>вул. Леніна, 25</t>
  </si>
  <si>
    <t>(04338)32-2-62</t>
  </si>
  <si>
    <t>Навчально-виховний комплекс "Загальноосвітня школа І-ІІ ст - дошкільний навчальний комплекс" с. Великий Острожок</t>
  </si>
  <si>
    <t>22040</t>
  </si>
  <si>
    <t>0524880901</t>
  </si>
  <si>
    <t>Великий Острожок</t>
  </si>
  <si>
    <t>(0438)34-5-40</t>
  </si>
  <si>
    <t>Загальноосвітня школа І-ІІІ ступенів с. Вишенька</t>
  </si>
  <si>
    <t>22041</t>
  </si>
  <si>
    <t>0524881201</t>
  </si>
  <si>
    <t>Вишенька</t>
  </si>
  <si>
    <t>(04338)34240</t>
  </si>
  <si>
    <t>Загальноосвітня школа І-ІІ ст. с. Голодьки</t>
  </si>
  <si>
    <t>22064</t>
  </si>
  <si>
    <t>0524881501</t>
  </si>
  <si>
    <t>Голодьки</t>
  </si>
  <si>
    <t>вул. Леніна, 12</t>
  </si>
  <si>
    <t>(04338)36040</t>
  </si>
  <si>
    <t>Загальноосвітня школа І-ІІІ ступенів</t>
  </si>
  <si>
    <t>22050</t>
  </si>
  <si>
    <t>0524881801</t>
  </si>
  <si>
    <t>Війтівці</t>
  </si>
  <si>
    <t>вул. Жданова, 41</t>
  </si>
  <si>
    <t>(04338)39569</t>
  </si>
  <si>
    <t>http://zhd.khedu.vn.ua</t>
  </si>
  <si>
    <t>Загальноосвітня школа І- ІІІ ступенів с. Качанівка Хімільницького району Вінницької області</t>
  </si>
  <si>
    <t>22015</t>
  </si>
  <si>
    <t>0524882701</t>
  </si>
  <si>
    <t>Качанівка</t>
  </si>
  <si>
    <t>вул. Леніна, 16</t>
  </si>
  <si>
    <t>39847</t>
  </si>
  <si>
    <t>Загальноосвітня школа І-ІІ ступенів с.Семки Хмільницького району Вінницької області</t>
  </si>
  <si>
    <t>22016</t>
  </si>
  <si>
    <t>0524882702</t>
  </si>
  <si>
    <t>Семки</t>
  </si>
  <si>
    <t>вул. Івана Франка, 11</t>
  </si>
  <si>
    <t>(04338)39525</t>
  </si>
  <si>
    <t>Навчально-виховний комплекс "Загальноосвітня школа І-ІІ ступенів - дошкільний навчальний заклад" с. Колибабинці</t>
  </si>
  <si>
    <t>22072</t>
  </si>
  <si>
    <t>0524882903</t>
  </si>
  <si>
    <t>Колибабинці</t>
  </si>
  <si>
    <t>вул. Поштова, 1,а</t>
  </si>
  <si>
    <t>(04338)3-25-40</t>
  </si>
  <si>
    <t>Загальноосвітня школа І-ІІІ ступенів с. Кропивна</t>
  </si>
  <si>
    <t>22026</t>
  </si>
  <si>
    <t>0524883101</t>
  </si>
  <si>
    <t>Кропивна</t>
  </si>
  <si>
    <t>вул. Леніна, 49</t>
  </si>
  <si>
    <t>(04338)35240</t>
  </si>
  <si>
    <t>Загальноосвітня школа І-ІІ ступенів с.Куманівці</t>
  </si>
  <si>
    <t>22053</t>
  </si>
  <si>
    <t>0524883401</t>
  </si>
  <si>
    <t>Куманівці</t>
  </si>
  <si>
    <t>вул. Кошового, 1А</t>
  </si>
  <si>
    <t>(04338)36-5-40</t>
  </si>
  <si>
    <t>Загальноосвітня школа І-ІІІ ступенів с.Кустівці Хмільницького району Вінницької області</t>
  </si>
  <si>
    <t>22044</t>
  </si>
  <si>
    <t>0524883501</t>
  </si>
  <si>
    <t>Кустівці</t>
  </si>
  <si>
    <t>(04338)34140</t>
  </si>
  <si>
    <t>Навчально-виховний комплекс "Загальноосвітня школа І ступеня - дошкільний навчальний заклад" с. Лелітка</t>
  </si>
  <si>
    <t>0524883701</t>
  </si>
  <si>
    <t>Лелітка</t>
  </si>
  <si>
    <t>вул. Леніна, 93</t>
  </si>
  <si>
    <t>(04338)33775</t>
  </si>
  <si>
    <t>Загальноосвітня школа І-ІІІ ступенів с. Лип'ятин</t>
  </si>
  <si>
    <t>22020</t>
  </si>
  <si>
    <t>0524884001</t>
  </si>
  <si>
    <t>Лип'ятин</t>
  </si>
  <si>
    <t>вул. Радянська, 2</t>
  </si>
  <si>
    <t>(04338)36-7-40</t>
  </si>
  <si>
    <t>Загальноосвітня школа І ступеня с.Морозівка</t>
  </si>
  <si>
    <t>0524884002</t>
  </si>
  <si>
    <t>33430</t>
  </si>
  <si>
    <t>Загальноосвітня школа І-ІІІ ступенів с. Лозна</t>
  </si>
  <si>
    <t>22045</t>
  </si>
  <si>
    <t>0524884201</t>
  </si>
  <si>
    <t>Лозна</t>
  </si>
  <si>
    <t>(04338)3-43-40</t>
  </si>
  <si>
    <t>Навчально - виховний комплекс "Загальноосвітня школа І-ІIІ ступенів - дошкільний навчальний заклад"с.Лозова</t>
  </si>
  <si>
    <t>22054</t>
  </si>
  <si>
    <t>0524884501</t>
  </si>
  <si>
    <t>Лозова</t>
  </si>
  <si>
    <t>вул. Дачна, 5</t>
  </si>
  <si>
    <t>(04238)33540</t>
  </si>
  <si>
    <t>Загальноосвітня школа І-ІІІ ступенів с.Маркуші</t>
  </si>
  <si>
    <t>22030</t>
  </si>
  <si>
    <t>0524884801</t>
  </si>
  <si>
    <t>Маркуші</t>
  </si>
  <si>
    <t>(04338)34740</t>
  </si>
  <si>
    <t>Загальноосвітня школа І-ІІІ ступенів с.Мар'янівка</t>
  </si>
  <si>
    <t>22010</t>
  </si>
  <si>
    <t>0524885001</t>
  </si>
  <si>
    <t>вул. Леніна, 46</t>
  </si>
  <si>
    <t>(04338)33-8-40</t>
  </si>
  <si>
    <t>Навчально-виховний комплекс "загальноосвітня школа І-ІІ ступенів - дошкільний навчальний заклад" с. Подорожня</t>
  </si>
  <si>
    <t>22024</t>
  </si>
  <si>
    <t>0524885202</t>
  </si>
  <si>
    <t>Подорожня</t>
  </si>
  <si>
    <t>вул. Леніна, 6</t>
  </si>
  <si>
    <t>(04338)3-46-40</t>
  </si>
  <si>
    <t>Загальноосвітня школа І-ІІІ ступенів с. Порик</t>
  </si>
  <si>
    <t>22066</t>
  </si>
  <si>
    <t>0524885601</t>
  </si>
  <si>
    <t>Порик</t>
  </si>
  <si>
    <t>вул. Свердлова, 22</t>
  </si>
  <si>
    <t>0433832840</t>
  </si>
  <si>
    <t>Загальноосвітня школа І-ІІ ступенів с. Курилівка Хмільницького району Вінницької області</t>
  </si>
  <si>
    <t>0524885602</t>
  </si>
  <si>
    <t>Курилівка</t>
  </si>
  <si>
    <t>вул. Кармелюка, 13</t>
  </si>
  <si>
    <t>(04338)32855</t>
  </si>
  <si>
    <t>НАВЧАЛЬНО-ВИХОВНИЙ КОМПЛЕКС «ЗАГАЛЬНООСВІТНЯ ШКОЛА І-ІІІ СТУПЕНІВ - ДОШКІЛЬНИЙ НАВЧАЛЬНИЙ ЗАКЛАД» С. ТОМАШПІЛЬ</t>
  </si>
  <si>
    <t>22067</t>
  </si>
  <si>
    <t>0524885603</t>
  </si>
  <si>
    <t>вул. І. Богуна, 16</t>
  </si>
  <si>
    <t>(04338)32-8-57</t>
  </si>
  <si>
    <t>Загальноосвітня школа І-ІІІ ступенів с.Зозулинці</t>
  </si>
  <si>
    <t>22036</t>
  </si>
  <si>
    <t>0524885802</t>
  </si>
  <si>
    <t>вул. Шевченка, 141</t>
  </si>
  <si>
    <t>3-12-83</t>
  </si>
  <si>
    <t>Загальноосвітня школа I-II ступенів с.Рибчинці</t>
  </si>
  <si>
    <t>22032</t>
  </si>
  <si>
    <t>0524885901</t>
  </si>
  <si>
    <t>Рибчинці</t>
  </si>
  <si>
    <t>(04338)37108</t>
  </si>
  <si>
    <t>Навчально - виховний комплекс "Загальноосвітня школа І-ІІІ ступенів - дошкільний навчальний заклад" с.Сальниця</t>
  </si>
  <si>
    <t>22022</t>
  </si>
  <si>
    <t>0524886101</t>
  </si>
  <si>
    <t>Сальниця</t>
  </si>
  <si>
    <t>вул. Леніна, 48</t>
  </si>
  <si>
    <t>(04338)39-1-71</t>
  </si>
  <si>
    <t>Навчально-виховний комплекс "Загальноосвітній навчальний заклад І-ІІІ ступенів - дошкільний навчальний заклад " с. Сьомаки</t>
  </si>
  <si>
    <t>22070</t>
  </si>
  <si>
    <t>0524886301</t>
  </si>
  <si>
    <t>(04338)32640</t>
  </si>
  <si>
    <t>http://smc.khedu.vn.ua</t>
  </si>
  <si>
    <t>Загальноосвітня школа І-ІІ ступенів с.Б.Рукав, Сьомаківської сільської ради, Хмільницького району, Вінницької області</t>
  </si>
  <si>
    <t>22071</t>
  </si>
  <si>
    <t>0524886302</t>
  </si>
  <si>
    <t>Білий Рукав</t>
  </si>
  <si>
    <t>вул. Леніна, 42</t>
  </si>
  <si>
    <t>(04338)32645</t>
  </si>
  <si>
    <t>загальноосвітня школа І-ІІ ступенів с.Скаржинці Хмільницького району Вінницької області</t>
  </si>
  <si>
    <t>22011</t>
  </si>
  <si>
    <t>0524886601</t>
  </si>
  <si>
    <t>Скаржинці</t>
  </si>
  <si>
    <t>вул. В.Парсяка, 21</t>
  </si>
  <si>
    <t>37370</t>
  </si>
  <si>
    <t>Загальноосвітня школа І-ІІ ступенів с. Соколова</t>
  </si>
  <si>
    <t>22009</t>
  </si>
  <si>
    <t>0524886801</t>
  </si>
  <si>
    <t>Соколова</t>
  </si>
  <si>
    <t>вул. Гагаріна, 101</t>
  </si>
  <si>
    <t>(0(043)38)33427</t>
  </si>
  <si>
    <t>Загальноосвітня школа І-ІІ ступенів с. Торчин</t>
  </si>
  <si>
    <t>22013</t>
  </si>
  <si>
    <t>0524887003</t>
  </si>
  <si>
    <t>Торчин</t>
  </si>
  <si>
    <t>вул. Польова, 1</t>
  </si>
  <si>
    <t>(04338)37340</t>
  </si>
  <si>
    <t>Загальноосвітня школа І-ІІ ступенів с.Терешпіль</t>
  </si>
  <si>
    <t>22014</t>
  </si>
  <si>
    <t>0524887201</t>
  </si>
  <si>
    <t>Терешпіль</t>
  </si>
  <si>
    <t>вул. Перемоги, 9</t>
  </si>
  <si>
    <t>(804338)33640</t>
  </si>
  <si>
    <t>загальноосвітня школа І-ІІІ ступенів с.Уланів Хмільницького району Вінницької області</t>
  </si>
  <si>
    <t>0524887401</t>
  </si>
  <si>
    <t>Уланів</t>
  </si>
  <si>
    <t>(04338)3-13-92</t>
  </si>
  <si>
    <t>Навчально-виховний комплекс загальноосвітня школа І-ІІ ступенів-Дошкільний навчальний заклад с.Воронівці</t>
  </si>
  <si>
    <t>22034</t>
  </si>
  <si>
    <t>0524887402</t>
  </si>
  <si>
    <t>Воронівці</t>
  </si>
  <si>
    <t>(04338)37640</t>
  </si>
  <si>
    <t>Навчально-виховний комплекс "Загальноосвітня школа І-ІІ ступенів - дошкільний навчальний заклад" село Пагурці</t>
  </si>
  <si>
    <t>0524887403</t>
  </si>
  <si>
    <t>Пагурці</t>
  </si>
  <si>
    <t>(04338)37540</t>
  </si>
  <si>
    <t>http://pgr.khedu.vn.ua</t>
  </si>
  <si>
    <t>Навчально виховний комплекс "Загальноосвітня школа І-ІІ ступенів - ДНЗ" с.Тараски</t>
  </si>
  <si>
    <t>22033</t>
  </si>
  <si>
    <t>0524887404</t>
  </si>
  <si>
    <t>Тараски</t>
  </si>
  <si>
    <t>вул. шкільна, 25</t>
  </si>
  <si>
    <t>(04338)35340</t>
  </si>
  <si>
    <t>Загальноосвітня школа І-ІІІ ступенів с. Ш. Гребля</t>
  </si>
  <si>
    <t>22065</t>
  </si>
  <si>
    <t>0524887801</t>
  </si>
  <si>
    <t>вул. Леніна, 73 а</t>
  </si>
  <si>
    <t>(04338)32740</t>
  </si>
  <si>
    <t>Чернівецька загальноосвітня школа І-ІІІ ступенів № 1</t>
  </si>
  <si>
    <t>24100</t>
  </si>
  <si>
    <t>0524955100</t>
  </si>
  <si>
    <t>Чернівці</t>
  </si>
  <si>
    <t>вул. Святомиколаївська, 198</t>
  </si>
  <si>
    <t>(04357)21523</t>
  </si>
  <si>
    <t>Чернівецька СЗШ І-ІІІ ступенів № 2</t>
  </si>
  <si>
    <t>вул. Мічуріна, 25</t>
  </si>
  <si>
    <t>2-1616</t>
  </si>
  <si>
    <t>Бабчинецька загальноосвітня школа І - ІІ ступенів</t>
  </si>
  <si>
    <t>24132</t>
  </si>
  <si>
    <t>0524980301</t>
  </si>
  <si>
    <t>Бабчинці</t>
  </si>
  <si>
    <t>вул. Мартинюка, 55</t>
  </si>
  <si>
    <t>30-3-54</t>
  </si>
  <si>
    <t>Бабчинецька середня загальноосвітня школа І-ІІІ ступенів</t>
  </si>
  <si>
    <t>вул. Леніна, 36</t>
  </si>
  <si>
    <t>30-3-36</t>
  </si>
  <si>
    <t>21724268</t>
  </si>
  <si>
    <t>Білянська загальноосвітня школа І-ІІІ ступенів Чернівецького району Вінницької області</t>
  </si>
  <si>
    <t>24110</t>
  </si>
  <si>
    <t>0524980901</t>
  </si>
  <si>
    <t>Біляни</t>
  </si>
  <si>
    <t>вул. Котовського, 2</t>
  </si>
  <si>
    <t>(04357)38240</t>
  </si>
  <si>
    <t>Березівська загальноосвітня школа І-ІІІ ступенів</t>
  </si>
  <si>
    <t>24111</t>
  </si>
  <si>
    <t>0524981201</t>
  </si>
  <si>
    <t>33-3-10</t>
  </si>
  <si>
    <t>Борівська загальноосвітня школа I-III ступенів</t>
  </si>
  <si>
    <t>24123</t>
  </si>
  <si>
    <t>0524981501</t>
  </si>
  <si>
    <t>Борівка</t>
  </si>
  <si>
    <t>вул. Перемоги 20/2</t>
  </si>
  <si>
    <t>(04357)34-2-42</t>
  </si>
  <si>
    <t>21723984</t>
  </si>
  <si>
    <t>Борівська загальноосвітня школа І-ІІ ступенів</t>
  </si>
  <si>
    <t>вул. Соборна, 68</t>
  </si>
  <si>
    <t>(04357)34328</t>
  </si>
  <si>
    <t>Вило-Ярузька середня загальноосвітня школа І-ІІІ ст.</t>
  </si>
  <si>
    <t>24130</t>
  </si>
  <si>
    <t>0524982001</t>
  </si>
  <si>
    <t>Вила-Ярузькі</t>
  </si>
  <si>
    <t>37440</t>
  </si>
  <si>
    <t>Букатинська середня загальноосвітня школа І ступеня</t>
  </si>
  <si>
    <t>24131</t>
  </si>
  <si>
    <t>0524982003</t>
  </si>
  <si>
    <t>Букатинка</t>
  </si>
  <si>
    <t>вул. Варшка, 47</t>
  </si>
  <si>
    <t>37521</t>
  </si>
  <si>
    <t>Володіївецька середня загальноосвітня школа І-ІІ ступенів Володіївецької сільської ради Чернівецького району</t>
  </si>
  <si>
    <t>24120</t>
  </si>
  <si>
    <t>0524982301</t>
  </si>
  <si>
    <t>Володіївці</t>
  </si>
  <si>
    <t>вул. Миру, 38</t>
  </si>
  <si>
    <t>(043-57)39-2-40</t>
  </si>
  <si>
    <t>http://www.volodiivtsi-zosh.edukit.vn.ua</t>
  </si>
  <si>
    <t>Гонтівська загальноосвітня школа І-ІІІ ступенів</t>
  </si>
  <si>
    <t>24122</t>
  </si>
  <si>
    <t>0524982701</t>
  </si>
  <si>
    <t>Гонтівка</t>
  </si>
  <si>
    <t>ал. Миру, 1</t>
  </si>
  <si>
    <t>(04357)31240</t>
  </si>
  <si>
    <t>Лозівська середня загальноосвітня школа І-ІІІ ступенів Лозівської сільської ради Вінницької області</t>
  </si>
  <si>
    <t>24114</t>
  </si>
  <si>
    <t>0524984001</t>
  </si>
  <si>
    <t>Лозове</t>
  </si>
  <si>
    <t>(257)37-2-40</t>
  </si>
  <si>
    <t>Мазурівська середня загальноосвітня школа І - ІІІ ступенів</t>
  </si>
  <si>
    <t>24106</t>
  </si>
  <si>
    <t>0524984501</t>
  </si>
  <si>
    <t>вул. Леніна, 90</t>
  </si>
  <si>
    <t>2-14-62</t>
  </si>
  <si>
    <t>Моївська загальноосвітня школа І-ІІІ ступенів</t>
  </si>
  <si>
    <t>24133</t>
  </si>
  <si>
    <t>0524984801</t>
  </si>
  <si>
    <t>Моївка</t>
  </si>
  <si>
    <t>(04357)36467</t>
  </si>
  <si>
    <t>Саїнський навчально-виховний комплекс "Загальноосвітня школа І-ІІ ступенів - дитячий садок"</t>
  </si>
  <si>
    <t>0524985501</t>
  </si>
  <si>
    <t>Саїнка</t>
  </si>
  <si>
    <t>ал. Центральна, 46/2</t>
  </si>
  <si>
    <t>32-2-40</t>
  </si>
  <si>
    <t>Сокільська середня загальноосвітня школа І-ІІІ ст. Чернівецького району, Вінницької області</t>
  </si>
  <si>
    <t>24124</t>
  </si>
  <si>
    <t>0524986001</t>
  </si>
  <si>
    <t>Сокіл</t>
  </si>
  <si>
    <t>вул. Незалежності, 98</t>
  </si>
  <si>
    <t>(04357)35210</t>
  </si>
  <si>
    <t>Комунальний заклад "Чечельницька середня загальноосвітня школа І-ІІІ ступенів № 1 Чечельницького району Вінницької області"</t>
  </si>
  <si>
    <t>24800</t>
  </si>
  <si>
    <t>0525055100</t>
  </si>
  <si>
    <t>Чечельник</t>
  </si>
  <si>
    <t>вул. Орлова, 1</t>
  </si>
  <si>
    <t>(04351)21040</t>
  </si>
  <si>
    <t>http://schoolchech1.ucoz.ru</t>
  </si>
  <si>
    <t>Комунальний заклад "Чечельницька середня загальноосвітня школа І-ІІІ ступенів № 2 Чечельницького району Вінницької області"</t>
  </si>
  <si>
    <t>вул. Сонячна, 195</t>
  </si>
  <si>
    <t>(04351)21640</t>
  </si>
  <si>
    <t>комунальний заклад "Білокамінська середня загальноосвітня школа І-ІІ ступенів Чечельницького району Вінницької області"</t>
  </si>
  <si>
    <t>24814</t>
  </si>
  <si>
    <t>0525080401</t>
  </si>
  <si>
    <t>Білий Камінь</t>
  </si>
  <si>
    <t>вул. Правобережна, 129</t>
  </si>
  <si>
    <t>(04351)25540</t>
  </si>
  <si>
    <t>http://bilyikamin-school.edukit.vn.ua/</t>
  </si>
  <si>
    <t>Комунальний заклад "Берізецька середня загальноосвітня школа І - ІІ ступенів Чечельницького району Вінницької області"</t>
  </si>
  <si>
    <t>24834</t>
  </si>
  <si>
    <t>0525080801</t>
  </si>
  <si>
    <t>Берізки-Чечельницькі</t>
  </si>
  <si>
    <t>вул. Комарова, 5</t>
  </si>
  <si>
    <t>(04351)24740</t>
  </si>
  <si>
    <t>Комунальний заклад "Бондурівська середня загальноосвітня школа І-ІІІступенів Чечельницького району Вінницької області"</t>
  </si>
  <si>
    <t>24810</t>
  </si>
  <si>
    <t>0525081301</t>
  </si>
  <si>
    <t>Бондурівка</t>
  </si>
  <si>
    <t>(04351)25640</t>
  </si>
  <si>
    <t>Комунальний заклад "Бритавська середня загальноосвітня школа I - II ступенів Чечельницького району Вінницької області"</t>
  </si>
  <si>
    <t>24823</t>
  </si>
  <si>
    <t>0525081601</t>
  </si>
  <si>
    <t>Бритавка</t>
  </si>
  <si>
    <t>вул. миру, 67</t>
  </si>
  <si>
    <t>2-57-57</t>
  </si>
  <si>
    <t>Комунальний заклад "Вербська середня загальноосвітня школа І-ІІІ ступенів Чечельницького району Вінницької області"</t>
  </si>
  <si>
    <t>24821</t>
  </si>
  <si>
    <t>0525082201</t>
  </si>
  <si>
    <t>вул. Соборна, 126</t>
  </si>
  <si>
    <t>(04351)24524, (04351)24525</t>
  </si>
  <si>
    <t>Комунальний заклад "Демівська середня загальноосвітня школа І-ІІІ ступенів Чечельницького району Вінницької області"</t>
  </si>
  <si>
    <t>24832</t>
  </si>
  <si>
    <t>0525082601</t>
  </si>
  <si>
    <t>Демівка</t>
  </si>
  <si>
    <t>(04351)24340</t>
  </si>
  <si>
    <t>Комунальний заклад "Каташинська середня загальноосвітня школа І-ІІ ступенів Чечельницького району Вінницької області"</t>
  </si>
  <si>
    <t>24812</t>
  </si>
  <si>
    <t>0525083201</t>
  </si>
  <si>
    <t>Каташин</t>
  </si>
  <si>
    <t>вул. Садова, 12</t>
  </si>
  <si>
    <t>0435126340</t>
  </si>
  <si>
    <t>Комунальний заклад "Жабокрицька середня загальноосвітня школа І - ІІ ступенів Чечельницького району Вінницької області"</t>
  </si>
  <si>
    <t>24813</t>
  </si>
  <si>
    <t>0525083202</t>
  </si>
  <si>
    <t>Жабокричка</t>
  </si>
  <si>
    <t>вул. Миру, 1</t>
  </si>
  <si>
    <t>(04351)25144</t>
  </si>
  <si>
    <t>Комунальний заклад "Лузька середня загальноосвітня школа І-ІІ ступенів Чечельницького району Вінницької області"</t>
  </si>
  <si>
    <t>24820</t>
  </si>
  <si>
    <t>0525083901</t>
  </si>
  <si>
    <t>Луги</t>
  </si>
  <si>
    <t>(804351)2-65-40</t>
  </si>
  <si>
    <t>Комунальний заклад "Любомирський навчально-виховний комплекс І-ІІ ступенів "загальноосвітній навчальний заклад - дошкільний навчальний заклад" Чечельницької районної ради Вінницької області</t>
  </si>
  <si>
    <t>24833</t>
  </si>
  <si>
    <t>0525084201</t>
  </si>
  <si>
    <t>Любомирка</t>
  </si>
  <si>
    <t>вул. Володимира Сліпенчука, 1</t>
  </si>
  <si>
    <t>(04351)2-69-40</t>
  </si>
  <si>
    <t>Комунальний заклад "Ольгопільська середня загальноосвітня школа І-ІІІ ступенів Чечельницького району Вінницької області"</t>
  </si>
  <si>
    <t>24830</t>
  </si>
  <si>
    <t>0525084401</t>
  </si>
  <si>
    <t>Ольгопіль</t>
  </si>
  <si>
    <t>вул. Дружби, 2</t>
  </si>
  <si>
    <t>(04351)27484</t>
  </si>
  <si>
    <t>Комунальний заклад "Рогізківська середня загальноосвітня школа І-ІІ ступенів Чечельницького району Вінницької області"</t>
  </si>
  <si>
    <t>24815</t>
  </si>
  <si>
    <t>0525084801</t>
  </si>
  <si>
    <t>Рогізка</t>
  </si>
  <si>
    <t>вул. Молодіжна, 8</t>
  </si>
  <si>
    <t>24-140</t>
  </si>
  <si>
    <t>Комунальний заклад «Стратіївський навчально-виховний комплекс І–ІІІ ступенів «загальноосвітній навчальний заклад — дошкільний навчальний заклад» Чечельницької районної ради Вінницької області</t>
  </si>
  <si>
    <t>24831</t>
  </si>
  <si>
    <t>0525085301</t>
  </si>
  <si>
    <t>Стратіївка</t>
  </si>
  <si>
    <t>вул. Куркудимівка, 1</t>
  </si>
  <si>
    <t>(04351)24968</t>
  </si>
  <si>
    <t>http://stratnvk.at.ua/</t>
  </si>
  <si>
    <t>Комунальний заклад "Тартацька середня загальноосвітня школа І-ІІ ступенів Чечельницького району Вінницької області"</t>
  </si>
  <si>
    <t>24805</t>
  </si>
  <si>
    <t>0525086401</t>
  </si>
  <si>
    <t>Тартак</t>
  </si>
  <si>
    <t>вул. Підгаєцького, 100</t>
  </si>
  <si>
    <t>(04351)22593</t>
  </si>
  <si>
    <t>Комунальний заклад "Поповогребельська середня загальноосвітня школа І - ІІІ ступенів Чечельницького району Вінницької області"</t>
  </si>
  <si>
    <t>24824</t>
  </si>
  <si>
    <t>0525087501</t>
  </si>
  <si>
    <t>Попова Гребля</t>
  </si>
  <si>
    <t>вул. Борівка, 1</t>
  </si>
  <si>
    <t>(04351)26686</t>
  </si>
  <si>
    <t>Шаргородська районна гімназія Шаргородського району Вінницької області</t>
  </si>
  <si>
    <t>23500</t>
  </si>
  <si>
    <t>0525310100</t>
  </si>
  <si>
    <t>Шаргород</t>
  </si>
  <si>
    <t>вул. Жмеринське шосе, 1А</t>
  </si>
  <si>
    <t>(04344)25338</t>
  </si>
  <si>
    <t>http://srg.shedu.vn.ua/</t>
  </si>
  <si>
    <t>Шаргородська середня загальноосвітня школа І-ІІІ ступенів № 1 Шаргородського району Вінницької області</t>
  </si>
  <si>
    <t>вул. Героїв Майдану (Леніна), 225</t>
  </si>
  <si>
    <t>(04344)2-19-63</t>
  </si>
  <si>
    <t>http://shargorodsh1.at.ua</t>
  </si>
  <si>
    <t>Шаргородська середня загальноосвітня школа І-ІІІ ступенів № 2 Шаргородського району Вінницької області</t>
  </si>
  <si>
    <t>23502</t>
  </si>
  <si>
    <t>вул. Героїв Майдану, 373</t>
  </si>
  <si>
    <t>(04344)25416</t>
  </si>
  <si>
    <t>http://shargorod-zosh2.vn.sch.in.ua</t>
  </si>
  <si>
    <t>Гибалівська середня загальноосвітня школа І -ІІІ ступенів Шаргородського району Вінницької області</t>
  </si>
  <si>
    <t>23507</t>
  </si>
  <si>
    <t>0525380501</t>
  </si>
  <si>
    <t>Гибалівка</t>
  </si>
  <si>
    <t>вул. Комсомольська, 29</t>
  </si>
  <si>
    <t>(04344)21127</t>
  </si>
  <si>
    <t>Дерев'янський навчально-виховний комплекс "Середня загальноосвітня школа І-ІІ ступенів - дошкільний навчальний заклад" Шаргородського району, Вінницької області</t>
  </si>
  <si>
    <t>23508</t>
  </si>
  <si>
    <t>0525380503</t>
  </si>
  <si>
    <t>Дерев'янки</t>
  </si>
  <si>
    <t>вул. Щорса, 101</t>
  </si>
  <si>
    <t>(04344)25-1-12</t>
  </si>
  <si>
    <t>Голинчинецька середня загальноосвітня школа І-ІІІ ст. Шаргородського району Вінницької області</t>
  </si>
  <si>
    <t>23552</t>
  </si>
  <si>
    <t>0525380801</t>
  </si>
  <si>
    <t>Голинчинці</t>
  </si>
  <si>
    <t>вул. Шевченка, 8</t>
  </si>
  <si>
    <t>(04344)24421</t>
  </si>
  <si>
    <t>Деребчинська середня загальноосвітня школа І-ІІІ ступенів, Шаргородської районної роади, Вінницької області</t>
  </si>
  <si>
    <t>23532</t>
  </si>
  <si>
    <t>0525381201</t>
  </si>
  <si>
    <t>Деребчин</t>
  </si>
  <si>
    <t>(38)0434428440</t>
  </si>
  <si>
    <t>Джуринська середня загальноосвітня школа І - ІІІ ступенів, Шаргородського району, Вінницької області</t>
  </si>
  <si>
    <t>23545</t>
  </si>
  <si>
    <t>0525381401</t>
  </si>
  <si>
    <t>Джурин</t>
  </si>
  <si>
    <t>вул. Смавзюка, 5</t>
  </si>
  <si>
    <t>(04344)2-32-16</t>
  </si>
  <si>
    <t>http://djr.shedu.vn.ua</t>
  </si>
  <si>
    <t>Мурафська середня загальноосвітня школа І-ІІІ ступенів Шаргородського району Вінницкої області</t>
  </si>
  <si>
    <t>23530</t>
  </si>
  <si>
    <t>0525381801</t>
  </si>
  <si>
    <t>Мурафа</t>
  </si>
  <si>
    <t>вул. Коцюбинського, 1/а</t>
  </si>
  <si>
    <t>(4344)29-4-66</t>
  </si>
  <si>
    <t>http://mrf.shedu.vn.ua</t>
  </si>
  <si>
    <t>Довжанська середня загальноосвітня школа І-ІІІ ступенів Шаргородського району Вінницької області</t>
  </si>
  <si>
    <t>23531</t>
  </si>
  <si>
    <t>0525381803</t>
  </si>
  <si>
    <t>Довжок</t>
  </si>
  <si>
    <t>0434427465</t>
  </si>
  <si>
    <t>Зведенівська середня загальноосвітня школа І-ІІІ ступенів</t>
  </si>
  <si>
    <t>23551</t>
  </si>
  <si>
    <t>0525382001</t>
  </si>
  <si>
    <t>Зведенівка</t>
  </si>
  <si>
    <t>вул. Суворова, 1</t>
  </si>
  <si>
    <t>(0432)24149</t>
  </si>
  <si>
    <t>Івашковецька середня загальноосвітня школа І-ІІІ ступенів Шаргородського району Вінницької області</t>
  </si>
  <si>
    <t>23516</t>
  </si>
  <si>
    <t>0525382201</t>
  </si>
  <si>
    <t>Івашківці</t>
  </si>
  <si>
    <t>вул. Центральна, 5</t>
  </si>
  <si>
    <t>0434425523</t>
  </si>
  <si>
    <t>http://ivsh.shedu.vn.ua/</t>
  </si>
  <si>
    <t>Покутинська середня загальноосвітня школа І-ІІІ ступенів Шаргородського району Вінницької області</t>
  </si>
  <si>
    <t>23553</t>
  </si>
  <si>
    <t>0525382802</t>
  </si>
  <si>
    <t>Покутине</t>
  </si>
  <si>
    <t>вул. Шкільна, 49</t>
  </si>
  <si>
    <t>0434424520</t>
  </si>
  <si>
    <t>Клекотинська середня загальноосвітня школа І-ІІІступенів Шаргородського району Вінницької області</t>
  </si>
  <si>
    <t>23525</t>
  </si>
  <si>
    <t>0525383001</t>
  </si>
  <si>
    <t>Клекотина</t>
  </si>
  <si>
    <t>вул. Лесі Українки, 1</t>
  </si>
  <si>
    <t>(04344)29470</t>
  </si>
  <si>
    <t>http://klekotuna.ucoz.com</t>
  </si>
  <si>
    <t>Козлівська середня загальноосвітня школа І-ІІІ ступенів Шаргородського району Вінницької області</t>
  </si>
  <si>
    <t>23514</t>
  </si>
  <si>
    <t>0525384201</t>
  </si>
  <si>
    <t>Козлівка</t>
  </si>
  <si>
    <t>вул. Леніна, 18</t>
  </si>
  <si>
    <t>(04344)28730</t>
  </si>
  <si>
    <t>http://www.kzl.shedu.vn.ua</t>
  </si>
  <si>
    <t>Конатковецький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</si>
  <si>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23517</t>
  </si>
  <si>
    <t>0525384301</t>
  </si>
  <si>
    <t>Конатківці</t>
  </si>
  <si>
    <t>вул. Фрунзе, 11</t>
  </si>
  <si>
    <t>(043-44)2-77-49</t>
  </si>
  <si>
    <t>Копистиринська середня загальноосвітня школа І-ІІІ ступенів Шаргородського району Вінницької області</t>
  </si>
  <si>
    <t>23526</t>
  </si>
  <si>
    <t>0525384401</t>
  </si>
  <si>
    <t>Копистирин</t>
  </si>
  <si>
    <t>вул. Центральна, 69</t>
  </si>
  <si>
    <t>(04344)28536</t>
  </si>
  <si>
    <t>Лозівська середня загальноосвітня школа І-ІІІ ступенів Шаргородського району Вінницької області</t>
  </si>
  <si>
    <t>23540</t>
  </si>
  <si>
    <t>0525384801</t>
  </si>
  <si>
    <t>вул. Миру, 171</t>
  </si>
  <si>
    <t>(04344)27117</t>
  </si>
  <si>
    <t>Теклівська середня загальноосвітьня школа І ступеню</t>
  </si>
  <si>
    <t>0525384802</t>
  </si>
  <si>
    <t>Теклівка</t>
  </si>
  <si>
    <t>(0432)2-71-34</t>
  </si>
  <si>
    <t>Михайлівська середня загальноосвітня школа І-ІІІ ступенів, Шаргородського району, Вінницької області</t>
  </si>
  <si>
    <t>23523</t>
  </si>
  <si>
    <t>0525385301</t>
  </si>
  <si>
    <t>вул. Центральна, 28А</t>
  </si>
  <si>
    <t>(04344)25689</t>
  </si>
  <si>
    <t>Носиківська середня загальноосвітня школа І-ІІ ступенів Шаргородського району Вінницької області</t>
  </si>
  <si>
    <t>0525385501</t>
  </si>
  <si>
    <t>Носиківка</t>
  </si>
  <si>
    <t>вул. Привітна, 7</t>
  </si>
  <si>
    <t>26-4-09</t>
  </si>
  <si>
    <t>Андріївська середня загальноосвітня школа І ступеню</t>
  </si>
  <si>
    <t>23513</t>
  </si>
  <si>
    <t>0525385502</t>
  </si>
  <si>
    <t>Андріївка</t>
  </si>
  <si>
    <t>вул. Центральна, 26 А</t>
  </si>
  <si>
    <t>(0432)2-64-97</t>
  </si>
  <si>
    <t>http://andr.shedu.vn.ua</t>
  </si>
  <si>
    <t>Пасинківський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</si>
  <si>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23520</t>
  </si>
  <si>
    <t>0525385801</t>
  </si>
  <si>
    <t>Пасинки</t>
  </si>
  <si>
    <t>(04344)26311</t>
  </si>
  <si>
    <t>Пеньківська середня загальноосвітня школа І-ІІІ ступенів Вінницької області Шаргородського району</t>
  </si>
  <si>
    <t>23521</t>
  </si>
  <si>
    <t>0525386001</t>
  </si>
  <si>
    <t>вул. Миру, 40</t>
  </si>
  <si>
    <t>37-5-61</t>
  </si>
  <si>
    <t>Перепільчинецька середня загальноосвітня школа І - ІІ ступенів Шаргородського району Вінницької області</t>
  </si>
  <si>
    <t>23511</t>
  </si>
  <si>
    <t>0525386101</t>
  </si>
  <si>
    <t>Перепільчинці</t>
  </si>
  <si>
    <t>вул. Леніна, 34</t>
  </si>
  <si>
    <t>26-2-31</t>
  </si>
  <si>
    <t>Плебанівська середня загальноосвітня школа І-ІІІ супенів Шаргородського району Вінницької області</t>
  </si>
  <si>
    <t>23510</t>
  </si>
  <si>
    <t>0525386201</t>
  </si>
  <si>
    <t>Плебанівка</t>
  </si>
  <si>
    <t>(04344)28124</t>
  </si>
  <si>
    <t>http://plebansch.at.ua</t>
  </si>
  <si>
    <t>Писарівський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</si>
  <si>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23543</t>
  </si>
  <si>
    <t>0525386301</t>
  </si>
  <si>
    <t>вул. Свято - Покровська, 4</t>
  </si>
  <si>
    <t>(04342)27230</t>
  </si>
  <si>
    <t>http://pysarivka-nvk.edukit.vn.ua</t>
  </si>
  <si>
    <t>Політанківський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</si>
  <si>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23542</t>
  </si>
  <si>
    <t>0525386401</t>
  </si>
  <si>
    <t>Політанки</t>
  </si>
  <si>
    <t>вул. Суворова, 38</t>
  </si>
  <si>
    <t>26519</t>
  </si>
  <si>
    <t>Рахнівсько-Лісова середня загальноосвітня школа І-ІІІ ступенів Шаргородського району Вінницької області</t>
  </si>
  <si>
    <t>23536</t>
  </si>
  <si>
    <t>0525386901</t>
  </si>
  <si>
    <t>Рахни Лісові</t>
  </si>
  <si>
    <t>вул. Макаренка, 5</t>
  </si>
  <si>
    <t>0434441231</t>
  </si>
  <si>
    <t>http://rl1.shedu.vn.ua</t>
  </si>
  <si>
    <t>20098604</t>
  </si>
  <si>
    <t>Рахнівсько-Лісова середня загальноосвітня школа І-ІІІ ступенів № 2 Шаргородського району Вінницької області</t>
  </si>
  <si>
    <t>0434441190</t>
  </si>
  <si>
    <t>Руданська загальноосвітня школа І-ІІІ ступенів</t>
  </si>
  <si>
    <t>23515</t>
  </si>
  <si>
    <t>0525387201</t>
  </si>
  <si>
    <t>Руданське</t>
  </si>
  <si>
    <t>вул. Центральна, 52А</t>
  </si>
  <si>
    <t>25721</t>
  </si>
  <si>
    <t>Садковецький навчально-виховний комплекс "Середня загальноосвітня школа І ступеню - дошкільний навчальний заклад" Шаргородського району, Вінницької області</t>
  </si>
  <si>
    <t>23555</t>
  </si>
  <si>
    <t>0525387501</t>
  </si>
  <si>
    <t>Садківці</t>
  </si>
  <si>
    <t>(0432)2-50-32</t>
  </si>
  <si>
    <t>http://sad.shedu.vn.ua</t>
  </si>
  <si>
    <t>Сапіжанська середня загальноосвітня школа І-ІІ ступенів Шаргородського району Вінницької області</t>
  </si>
  <si>
    <t>23556</t>
  </si>
  <si>
    <t>0525387601</t>
  </si>
  <si>
    <t>Сапіжанка</t>
  </si>
  <si>
    <t>вул. Центральна, 144</t>
  </si>
  <si>
    <t>2-48-38</t>
  </si>
  <si>
    <t>Слободо-Шаргородська середня загальноосвітня школа І-ІІІ ступенів Шаргородського району Вінницької області</t>
  </si>
  <si>
    <t>23505</t>
  </si>
  <si>
    <t>0525387701</t>
  </si>
  <si>
    <t>Слобода-Шаргородська</t>
  </si>
  <si>
    <t>ал. Першотравнева, 11</t>
  </si>
  <si>
    <t>2-73-33</t>
  </si>
  <si>
    <t>Буднянська спеціальна загальноосвітня школа - інтернат Шаргородського району Вінницької обласної Ради</t>
  </si>
  <si>
    <t>23506</t>
  </si>
  <si>
    <t>0525387703</t>
  </si>
  <si>
    <t>Будне</t>
  </si>
  <si>
    <t>25495296</t>
  </si>
  <si>
    <t>Буднянський навчально-виховний комплекс "середня загальноосвітня школа І-ІІ ступенів-дошкільний навчальний заклад" Шаргородського району Вінницької області</t>
  </si>
  <si>
    <t>0675976917</t>
  </si>
  <si>
    <t>http://budne.ucoz.ru</t>
  </si>
  <si>
    <t>Стрільницька середня загальноосвітня школа І-ІІ ступенів Шаргородського району Вінницької області</t>
  </si>
  <si>
    <t>23534</t>
  </si>
  <si>
    <t>0525387801</t>
  </si>
  <si>
    <t>Стрільники</t>
  </si>
  <si>
    <t>вул. Миру, 35</t>
  </si>
  <si>
    <t>(04344)2-52-49</t>
  </si>
  <si>
    <t>Федорівський навчально-виховний комплекс "Середня загальноосвітня школа І-ІІІ ступенів - дошкільний навчальний заклад " Шаргородського району , Вінницької області</t>
  </si>
  <si>
    <t>23522</t>
  </si>
  <si>
    <t>0525388001</t>
  </si>
  <si>
    <t>Федорівка</t>
  </si>
  <si>
    <t>вул. Радгоспна, 2</t>
  </si>
  <si>
    <t>0434428623</t>
  </si>
  <si>
    <t>Хоменківська середня загальноосвітня школа І-ІІІ ступенів Шаргородського району Вінницької області</t>
  </si>
  <si>
    <t>23544</t>
  </si>
  <si>
    <t>0525388301</t>
  </si>
  <si>
    <t>Хоменки</t>
  </si>
  <si>
    <t>вул. Івана Цуркання, 45</t>
  </si>
  <si>
    <t>(04344)26025</t>
  </si>
  <si>
    <t>http://hmn.syedu.vn.ua</t>
  </si>
  <si>
    <t>Ярівський навчально-виховний комплекс "середня загальноосвітня школа І-ІІ ступенів - дошкільний навчальний заклад"</t>
  </si>
  <si>
    <t>23562</t>
  </si>
  <si>
    <t>0525389003</t>
  </si>
  <si>
    <t>Ярове</t>
  </si>
  <si>
    <t>(04344)24338</t>
  </si>
  <si>
    <t>Юхимівська середня загальноосвітня школа І - ІІІ ступенів Шаргородського району Вінницької області</t>
  </si>
  <si>
    <t>23524</t>
  </si>
  <si>
    <t>0525389201</t>
  </si>
  <si>
    <t>Юхимівка</t>
  </si>
  <si>
    <t>вул. Гагаріна, 6</t>
  </si>
  <si>
    <t>(04344)27638</t>
  </si>
  <si>
    <t>http://yuhimivkaschool.at.ua</t>
  </si>
  <si>
    <t>Загальноосвітня школа І-ІІІ ступенів № 1 м. Ямпіль Вінницька область</t>
  </si>
  <si>
    <t>24500</t>
  </si>
  <si>
    <t>0525610100</t>
  </si>
  <si>
    <t>Ямпіль</t>
  </si>
  <si>
    <t>(04336)21194</t>
  </si>
  <si>
    <t>13326648</t>
  </si>
  <si>
    <t>Загальноосвітня школа І-ІІІ ступенів № 2 імені Івана Богуна</t>
  </si>
  <si>
    <t>вул. Свободи, 154/2</t>
  </si>
  <si>
    <t>(236)2-11-75</t>
  </si>
  <si>
    <t>http://shkola2yampil.wix.com/shkola</t>
  </si>
  <si>
    <t>13324744</t>
  </si>
  <si>
    <t>Навчально-виховний комплекс загальноосвітня школа І ступеня-гімназія Ямпільського району</t>
  </si>
  <si>
    <t>вул. Комінтерна, 7</t>
  </si>
  <si>
    <t>http://www.gyr.at.ua</t>
  </si>
  <si>
    <t>Навчально-виховний комплекс (дошкільний заклад - загальноосвітня середня школа І-ІІ ступенів) с.Безводне, Ямпільського району, Вінницької області</t>
  </si>
  <si>
    <t>24530</t>
  </si>
  <si>
    <t>0525680401</t>
  </si>
  <si>
    <t>Безводне</t>
  </si>
  <si>
    <t>(04336)27725</t>
  </si>
  <si>
    <t>Загальноосвітня школа І-ІІІ ступенів с. Буша, Ямпільській р-н, Вінницька обл.</t>
  </si>
  <si>
    <t>24523</t>
  </si>
  <si>
    <t>0525680801</t>
  </si>
  <si>
    <t>Буша</t>
  </si>
  <si>
    <t>вул. Шкільна, 28</t>
  </si>
  <si>
    <t>(04336)26143</t>
  </si>
  <si>
    <t>Загальноосвітня школа І-ІІІ ступенів с. Велика Кісниця Ямпільський район Вінницька область</t>
  </si>
  <si>
    <t>24546</t>
  </si>
  <si>
    <t>0525681301</t>
  </si>
  <si>
    <t>Велика Кісниця</t>
  </si>
  <si>
    <t>вул. Шевченка, 89</t>
  </si>
  <si>
    <t>(04336)2-66-30</t>
  </si>
  <si>
    <t>Загальноосвітня школа І-ІІІ ступенів с.Гальжбіївка Ямпільський район Вінницька область</t>
  </si>
  <si>
    <t>24504</t>
  </si>
  <si>
    <t>0525681601</t>
  </si>
  <si>
    <t>Гальжбіївка</t>
  </si>
  <si>
    <t>вул. Незалежності, 26</t>
  </si>
  <si>
    <t>(04336)27526</t>
  </si>
  <si>
    <t>http://www.gschool.inf.ua</t>
  </si>
  <si>
    <t>Загальноосвітня школа І-ІІІ ступенів с.Дзигівка Ямпільський район Вінницька область</t>
  </si>
  <si>
    <t>24531</t>
  </si>
  <si>
    <t>0525682201</t>
  </si>
  <si>
    <t>Дзигівка</t>
  </si>
  <si>
    <t>вул. Центральна, 59</t>
  </si>
  <si>
    <t>2-91-25</t>
  </si>
  <si>
    <t>Довжоцька загальноосвітння школа І-ІІІ ступенів Довжоцької сільської ради Ямпільського району Вінницької області</t>
  </si>
  <si>
    <t>24544</t>
  </si>
  <si>
    <t>0525682401</t>
  </si>
  <si>
    <t>вул. Центральна, 89 а</t>
  </si>
  <si>
    <t>(04336)25348</t>
  </si>
  <si>
    <t>http://dowjok.at.ua</t>
  </si>
  <si>
    <t>Загальноосвітня школа І- ІІІ ступенів села Качківка Ямпільський район Вінницька область</t>
  </si>
  <si>
    <t>24533</t>
  </si>
  <si>
    <t>0525682801</t>
  </si>
  <si>
    <t>Качківка</t>
  </si>
  <si>
    <t>ал. вулиця Шевченка, 120</t>
  </si>
  <si>
    <t>(04336)2-47-83</t>
  </si>
  <si>
    <t>http://kachkivka.klasna.com</t>
  </si>
  <si>
    <t>Загальноосвітня школа І-ІІІ ступенів с. Клембівка Ямпільський район Вінницька область</t>
  </si>
  <si>
    <t>24532</t>
  </si>
  <si>
    <t>0525683201</t>
  </si>
  <si>
    <t>Клембівка</t>
  </si>
  <si>
    <t>вул. Наконечного Віктора, 28</t>
  </si>
  <si>
    <t>22-45-68, 22-45-82</t>
  </si>
  <si>
    <t>Навчально-виховний комплекс (Дошкільний заклад-загальньоосвітня середня школа І-ІІІ ступенів) с.Михайлівка Ямпільський район Вінницька область</t>
  </si>
  <si>
    <t>24527</t>
  </si>
  <si>
    <t>0525683401</t>
  </si>
  <si>
    <t>Загальноосвітня школа І-ІІІ ступенів с.Миронівка Ямпільський район Вінницька область</t>
  </si>
  <si>
    <t>24526</t>
  </si>
  <si>
    <t>0525683602</t>
  </si>
  <si>
    <t>Миронівка</t>
  </si>
  <si>
    <t>вул. Шевченка 34, 34</t>
  </si>
  <si>
    <t>(043)28357</t>
  </si>
  <si>
    <t>Загальноосвітня школа І-ІІІ ступенів с.Писарівка Ямпільського району Вінницької області</t>
  </si>
  <si>
    <t>24535</t>
  </si>
  <si>
    <t>0525683801</t>
  </si>
  <si>
    <t>(04336)28725</t>
  </si>
  <si>
    <t>Ямпільська районна загальноосвітня сільськогосподарська школа І-ІІІ ступенів с. Пороги</t>
  </si>
  <si>
    <t>24512</t>
  </si>
  <si>
    <t>0525684001</t>
  </si>
  <si>
    <t>Пороги</t>
  </si>
  <si>
    <t>вул. Райдужна, 1</t>
  </si>
  <si>
    <t>(04336)2-19-83</t>
  </si>
  <si>
    <t>13322194</t>
  </si>
  <si>
    <t>Навчально-виховний комплекс с.Добрянка</t>
  </si>
  <si>
    <t>24513</t>
  </si>
  <si>
    <t>0525684002</t>
  </si>
  <si>
    <t>Добрянка</t>
  </si>
  <si>
    <t>вул. Лісова, 2</t>
  </si>
  <si>
    <t>28150</t>
  </si>
  <si>
    <t>навчально-виховний комплекс (докільний заклад - загальноосвітня середня школа І-ІІ ступенів) с.Ратуш</t>
  </si>
  <si>
    <t>24534</t>
  </si>
  <si>
    <t>0525684201</t>
  </si>
  <si>
    <t>Ратуш</t>
  </si>
  <si>
    <t>вул. Незалежності, 57</t>
  </si>
  <si>
    <t>(04336)25122</t>
  </si>
  <si>
    <t>Навчально-виховний комплекс (дошкільний заклад - загальноосвітня середня школа І-ІІ ступенів) с. Русави Ямпільського району Вінницької області</t>
  </si>
  <si>
    <t>24510</t>
  </si>
  <si>
    <t>0525684301</t>
  </si>
  <si>
    <t>Русава</t>
  </si>
  <si>
    <t>Нечуївська спеціальна загальноосвітня школа-інтернат Ямпільського району Вінницької обласної Ради</t>
  </si>
  <si>
    <t>0525684302</t>
  </si>
  <si>
    <t>Нечуївка</t>
  </si>
  <si>
    <t>(04336)2-59-41, (04336)2-59-42</t>
  </si>
  <si>
    <t>26012058</t>
  </si>
  <si>
    <t>Северинівська загальноосвітня школа І-ІІступенів , Ямпільського району Вінницької області</t>
  </si>
  <si>
    <t>24540</t>
  </si>
  <si>
    <t>0525684601</t>
  </si>
  <si>
    <t>(04336)25587</t>
  </si>
  <si>
    <t>с.Придністрянське Загальноосвітня школа І-ІІІ ступенів Ямпільського району Вінницької області</t>
  </si>
  <si>
    <t>24543</t>
  </si>
  <si>
    <t>0525685503</t>
  </si>
  <si>
    <t>Придністрянське</t>
  </si>
  <si>
    <t>26314</t>
  </si>
  <si>
    <t>Навчально-виховний комплекс (дошкільний заклад - загальноосвітня школа І-ІІ ступенів) с.Вітрівка</t>
  </si>
  <si>
    <t>24521</t>
  </si>
  <si>
    <t>0525686602</t>
  </si>
  <si>
    <t>Вітрівка</t>
  </si>
  <si>
    <t>вул. Шкільна, 2А</t>
  </si>
  <si>
    <t>(04336)27125</t>
  </si>
  <si>
    <t>Гонорівська загальноосвітня школа I-III ступенів</t>
  </si>
  <si>
    <t>24522</t>
  </si>
  <si>
    <t>0525686603</t>
  </si>
  <si>
    <t>вул. 40-річчя Перемоги, 2Б</t>
  </si>
  <si>
    <t>(04332)28536</t>
  </si>
  <si>
    <t>Загальноосвітня школа І-ІІІ ступенів с.Цекинівка Ямпільського району Вінницької області</t>
  </si>
  <si>
    <t>24545</t>
  </si>
  <si>
    <t>0525687701</t>
  </si>
  <si>
    <t>Цекинівка</t>
  </si>
  <si>
    <t>вул. Центральна, 83</t>
  </si>
  <si>
    <t>(04336)2-74-46</t>
  </si>
  <si>
    <t>http://ckn.yaedu.vn.ua</t>
  </si>
  <si>
    <t>Волинський ліцей-інтернат Волинської обласної ради</t>
  </si>
  <si>
    <t>43006</t>
  </si>
  <si>
    <t>0710100000</t>
  </si>
  <si>
    <t>Волинська область</t>
  </si>
  <si>
    <t>Луцьк</t>
  </si>
  <si>
    <t>вул. Селищна, 2В</t>
  </si>
  <si>
    <t>(0332)246321, (0332)242547</t>
  </si>
  <si>
    <t>http://Licei.lutsk.ua</t>
  </si>
  <si>
    <t>21733043</t>
  </si>
  <si>
    <t>Волинський обласний ліцей з посиленою військово-фізичною підготовкою імені Героїв Небесної Сотні</t>
  </si>
  <si>
    <t>43021</t>
  </si>
  <si>
    <t>вул. Стрілецька, 6</t>
  </si>
  <si>
    <t>25908539</t>
  </si>
  <si>
    <t>Комунальний заклад "Луцька вечірня (змінна) школа Луцької міської ради"</t>
  </si>
  <si>
    <t>43016</t>
  </si>
  <si>
    <t>вул. Ковельська, 43</t>
  </si>
  <si>
    <t>(0332)725148</t>
  </si>
  <si>
    <t>http://vechschool.ucoz.ua</t>
  </si>
  <si>
    <t>Комунальний заклад "Луцька гімназія № 18 Луцької міської ради Волинської області"</t>
  </si>
  <si>
    <t>43024</t>
  </si>
  <si>
    <t>вул. Пр. Відродження, 20А</t>
  </si>
  <si>
    <t>(0332)250437</t>
  </si>
  <si>
    <t>англійська,німецька,французька,іспанська</t>
  </si>
  <si>
    <t>Комунальний заклад "Луцька гімназія № 21 імені Михайла Кравчука Луцької міської ради Волинської області"</t>
  </si>
  <si>
    <t>43026</t>
  </si>
  <si>
    <t>вул. Кравчука, 14</t>
  </si>
  <si>
    <t>(0332)715338</t>
  </si>
  <si>
    <t>http://gymnasia21.lutsk.ua/</t>
  </si>
  <si>
    <t>13369178</t>
  </si>
  <si>
    <t>Комунальний заклад "Луцька гімназія № 4 імені Модеста Левицького Луцької міської ради Волинської області"</t>
  </si>
  <si>
    <t>43025</t>
  </si>
  <si>
    <t>просп. Волі, 25</t>
  </si>
  <si>
    <t>(0332)725179, (0332)726242</t>
  </si>
  <si>
    <t>Комунальний заклад "Луцька загальноосвітня школа I-III ступенів № 16 Луцької міської ради"</t>
  </si>
  <si>
    <t>43022</t>
  </si>
  <si>
    <t>вул. Корольова, 7</t>
  </si>
  <si>
    <t>(0332)769073</t>
  </si>
  <si>
    <t>http://zosch16-lutsk.ucoz.ru</t>
  </si>
  <si>
    <t>Комунальний заклад "Луцька загальноосвітня школа I-III ступенів № 12 Луцької міської ради Волинської області"</t>
  </si>
  <si>
    <t>вул. Салтикова-Щедріна, 1</t>
  </si>
  <si>
    <t>(0332)240510</t>
  </si>
  <si>
    <t>http://lutsk-school12.volyn.sch.in.ua/</t>
  </si>
  <si>
    <t>Комунальний заклад "Луцька загальноосвітня школа I-III ступенів № 15 Луцької міської ради Волинської області"</t>
  </si>
  <si>
    <t>43005</t>
  </si>
  <si>
    <t>вул. Привокзальна, 5А</t>
  </si>
  <si>
    <t>(0332)230308</t>
  </si>
  <si>
    <t>Комунальний заклад "Луцька загальноосвітня школа І-ІІ ступенів № 11 - колегіум Луцької міської ради"</t>
  </si>
  <si>
    <t>43023</t>
  </si>
  <si>
    <t>вул. Наливайка, 10 б</t>
  </si>
  <si>
    <t>(0332)710876</t>
  </si>
  <si>
    <t>комунальний заклад "Луцька загальноосвітня школа І-ІІІ ступенів № 2 Луцької міської ради Волинської області"</t>
  </si>
  <si>
    <t>43018</t>
  </si>
  <si>
    <t>вул. Львіська, 28</t>
  </si>
  <si>
    <t>(0332)261441</t>
  </si>
  <si>
    <t>Комунальний заклад "Луцька загальноосвітня школа І-ІІІ ступенів № 23 Луцької міської ради" Волинської області</t>
  </si>
  <si>
    <t>вул. С.Ковалевської, 56</t>
  </si>
  <si>
    <t>(0332)255186</t>
  </si>
  <si>
    <t>Комунальний заклад "Луцька загальноосвітня школа І-ІІІ ступенів № 13 Луцької міської ради"</t>
  </si>
  <si>
    <t>43001</t>
  </si>
  <si>
    <t>вул. Чернишевського, 29</t>
  </si>
  <si>
    <t>(0332)728172</t>
  </si>
  <si>
    <t>http://skola13.at.ua</t>
  </si>
  <si>
    <t>Комунальний заклад "Луцька загальноосвітня школа І-ІІІ ступенів № 19 Луцької міської ради Волинської області"</t>
  </si>
  <si>
    <t>вул. Ветеранів, 5А</t>
  </si>
  <si>
    <t>(0332)716631</t>
  </si>
  <si>
    <t>http://lutsckschool19.ucoz.net/</t>
  </si>
  <si>
    <t>Комунальний заклад "Луцька загальноосвітня школа І-ІІІ ступенів № 3 Луцької міської ради Волинської області"</t>
  </si>
  <si>
    <t>вул. Даргомижського, 5</t>
  </si>
  <si>
    <t>(0332)728052</t>
  </si>
  <si>
    <t>Комунальний заклад "Луцький навчально-виховний комплекс "Гімназія № 14 імені Василя Сухомлинського" Луцької міської ради Волинської області"</t>
  </si>
  <si>
    <t>вул. Черняховського, 8</t>
  </si>
  <si>
    <t>(0332)263509, (0332)261909</t>
  </si>
  <si>
    <t>http://www.gimn14.lutsk.ua</t>
  </si>
  <si>
    <t>13369190</t>
  </si>
  <si>
    <t>Комунальний заклад "Луцький навчально-виховний комплекс “загальноосвітня школа І-ІІІ ступенів № 22 – ліцей Луцької міської ради Волинської області"</t>
  </si>
  <si>
    <t>вул. пр.Відродження, 32</t>
  </si>
  <si>
    <t>(0332)254191</t>
  </si>
  <si>
    <t>http://www.lnvk22.com.ua</t>
  </si>
  <si>
    <t>комунальний заклад "Луцький навчально-виховний комплекс № 26 Луцької міської ради Волинської області"</t>
  </si>
  <si>
    <t>вул. Кравчука, 30</t>
  </si>
  <si>
    <t>(0332)230472</t>
  </si>
  <si>
    <t>Комунальний заклад "Луцький навчально-виховний комплекс № 9 Луцької міської ради"</t>
  </si>
  <si>
    <t>вул. Потапова, 30</t>
  </si>
  <si>
    <t>(0332)241011</t>
  </si>
  <si>
    <t>http://nvk-9.lutsk.ua</t>
  </si>
  <si>
    <t>Комунальний заклад "Луцький навчально-виховний комплекс загальноосвітня школа І-ІІ ступенів № 10 - професійний ліцей Луцької міської ради"</t>
  </si>
  <si>
    <t>вул. Ветеранів, 5</t>
  </si>
  <si>
    <t>(0332)253677, (0332)253730</t>
  </si>
  <si>
    <t>Комунальний заклад "Луцький навчально-виховний комплекс загальноосвітня школа І-ІІ ступенів № 7 - природничий ліцей" Луцької міської ради Волинської області</t>
  </si>
  <si>
    <t>43010</t>
  </si>
  <si>
    <t>вул. Дубнівська, 14</t>
  </si>
  <si>
    <t>(0332)757689</t>
  </si>
  <si>
    <t>комунальний заклад "Луцький навчально-виховний комплекс загальноосвітня школа-інтернат І-ІІІ ступенів - правознавчий ліцей з посиленою фізичною підготовкою Луцької міської ради Волинської області"</t>
  </si>
  <si>
    <t>вул. Дубнівська, 32</t>
  </si>
  <si>
    <t>(0332)245472</t>
  </si>
  <si>
    <t>21733534</t>
  </si>
  <si>
    <t>Комунальний заклад "Луцький навчально-реабілітаційний центр Луцької міської ради"</t>
  </si>
  <si>
    <t>вул. Лесі Українки, 20</t>
  </si>
  <si>
    <t>(0332)723959</t>
  </si>
  <si>
    <t>Комунальний заклад «Луцька загальноосвітня школа І-ІІІ ступенів № 20 Луцької міської ради Волинської області»</t>
  </si>
  <si>
    <t>43017</t>
  </si>
  <si>
    <t>вул. Шота Руставелі, 11</t>
  </si>
  <si>
    <t>(0332)262892</t>
  </si>
  <si>
    <t>Комунальний заклад «Луцька загальноосвітня школа І-ІІІ ступенів № 25»</t>
  </si>
  <si>
    <t>вул. Федорова, 7</t>
  </si>
  <si>
    <t>(0332)737077</t>
  </si>
  <si>
    <t>Комунальний заклад Луцька загальносвітня школа І-ІІІ ступенів № 17 Луцької міської ради Волинської області</t>
  </si>
  <si>
    <t>43020</t>
  </si>
  <si>
    <t>вул. Щусєва, 10</t>
  </si>
  <si>
    <t>(0332)253641</t>
  </si>
  <si>
    <t>Луцька спеціалізована школа І-ІІІ ступенів № 5 Луцької міської ради Волинської області</t>
  </si>
  <si>
    <t>вул. Перемоги, 16</t>
  </si>
  <si>
    <t>(0332)230251, (0332)231140, (0332)232065</t>
  </si>
  <si>
    <t>Луцька спеціалізована школа І-ІІІ ступенів № 1 Луцької міської ради Волинської області</t>
  </si>
  <si>
    <t>вул. Богдана Хмельницького, 4</t>
  </si>
  <si>
    <t>(0332)723030</t>
  </si>
  <si>
    <t>Луцький навчально-виховний комплекс "Загальноосвітня школа І-ІІ ступенів № 24 - технологічний ліцей"</t>
  </si>
  <si>
    <t>вул. Станіславського, 52А</t>
  </si>
  <si>
    <t>(0332)264561</t>
  </si>
  <si>
    <t>http://Licei24.ucoz.ua</t>
  </si>
  <si>
    <t>Луцька приватна спеціалізована загальноосвітня школа І-ІІІ ступенів "Скарбниця мудрості"</t>
  </si>
  <si>
    <t>вул. Станіславського, 15А</t>
  </si>
  <si>
    <t>(099)4351808</t>
  </si>
  <si>
    <t>Володимир-Волинська гімназія Імені Олександра Цинкаловського Володимир-Волинської міської ради Волинської області</t>
  </si>
  <si>
    <t>44700</t>
  </si>
  <si>
    <t>0710200000</t>
  </si>
  <si>
    <t>Володимир-Волинський</t>
  </si>
  <si>
    <t>вул. 20 липня, 21</t>
  </si>
  <si>
    <t>(03342)23832</t>
  </si>
  <si>
    <t>http://gimnazija-vv.com</t>
  </si>
  <si>
    <t>21739672</t>
  </si>
  <si>
    <t>Володимир-Волинська загальноосвітня школа I-III ступенів № 5 імені Анатолія Кореневського Володимир-Волинської міської ради Волинської області</t>
  </si>
  <si>
    <t>вул. Луцька, 241</t>
  </si>
  <si>
    <t>(03342)30555</t>
  </si>
  <si>
    <t>21739755</t>
  </si>
  <si>
    <t>Володимир-Волинська загальноосвітня школа І-ІІІ ступенів № 1</t>
  </si>
  <si>
    <t>вул. Степана Бандери, 8</t>
  </si>
  <si>
    <t>(03342)23287</t>
  </si>
  <si>
    <t>21739726</t>
  </si>
  <si>
    <t>Володимир-Волинська загальноосвітня школа І-ІІІ ступенів № 2 Володимир-Волинської міської ради Волинської області</t>
  </si>
  <si>
    <t>вул. Котляревського, 2</t>
  </si>
  <si>
    <t>0334223816, 0334223697</t>
  </si>
  <si>
    <t>21739732</t>
  </si>
  <si>
    <t>Володимир-Волинська спеціальна загальноосвітня школа-інтернат І-ІІІ ступенів</t>
  </si>
  <si>
    <t>вул. Луцька, 146 Г</t>
  </si>
  <si>
    <t>(03342)2-79-86</t>
  </si>
  <si>
    <t>20139094</t>
  </si>
  <si>
    <t>Володимир-Волинський навчально-виховний комплекс "Загальноосвітня школа І-ІІІ ступенів № 3 - ліцей" Володимир-Волинської міської ради Волинської області</t>
  </si>
  <si>
    <t>вул. Ковельська, 111</t>
  </si>
  <si>
    <t>(03342)23277</t>
  </si>
  <si>
    <t>http://www.nvk3.ucoz.ua</t>
  </si>
  <si>
    <t>21739749</t>
  </si>
  <si>
    <t>Спеціалізована школа-інтернат І-ІІІ ступенів "Центр освіти та соціально-педагогічної підтримки"</t>
  </si>
  <si>
    <t>спеціалізована школа-інтернат</t>
  </si>
  <si>
    <t>вул. Берегового, 1</t>
  </si>
  <si>
    <t>(03342)27700</t>
  </si>
  <si>
    <t>http://ridnashkola.in.ua/</t>
  </si>
  <si>
    <t>13353993</t>
  </si>
  <si>
    <t>Вечірня загальноосвітня школа ІІ-ІІІ ступеня № 1</t>
  </si>
  <si>
    <t>45000</t>
  </si>
  <si>
    <t>0710400000</t>
  </si>
  <si>
    <t>Ковель</t>
  </si>
  <si>
    <t>вул. Брестська, 23</t>
  </si>
  <si>
    <t>(03352)48788</t>
  </si>
  <si>
    <t>Загальноосвітня школа I-III ступеня № 8 м.Ковеля</t>
  </si>
  <si>
    <t>вул. Театральна, 21</t>
  </si>
  <si>
    <t>5-97-66, 5-03-45</t>
  </si>
  <si>
    <t>Загальноосвітня школа І-ІІ ступеня № 6</t>
  </si>
  <si>
    <t>(03352)48879</t>
  </si>
  <si>
    <t>Загальноосвітня школа І-ІІ ступеня № 9</t>
  </si>
  <si>
    <t>вул. Олександра Олеся, 9</t>
  </si>
  <si>
    <t>(033252)65355</t>
  </si>
  <si>
    <t>Загальноосвітня школа І-ІІІ ступеня № 10 міста Ковеля</t>
  </si>
  <si>
    <t>45004</t>
  </si>
  <si>
    <t>вул. Міцкевича, 59 а</t>
  </si>
  <si>
    <t>(03352)5-32-39</t>
  </si>
  <si>
    <t>http://kovel-school10.ucoz.ua</t>
  </si>
  <si>
    <t>Загальноосвітня школа І-ІІІ ступеня № 12 міста Ковеля Волинської області</t>
  </si>
  <si>
    <t>вул. Симоненка, 76</t>
  </si>
  <si>
    <t>Загальноосвітня школа І-ІІІ ступеня № 1 м.Ковеля</t>
  </si>
  <si>
    <t>45008</t>
  </si>
  <si>
    <t>вул. Незалежності, 29</t>
  </si>
  <si>
    <t>(03352)59709, (03352)50387</t>
  </si>
  <si>
    <t>Загальноосвітня школа І-ІІІ ступеня № 2 міста Ковеля</t>
  </si>
  <si>
    <t>вул. Сухомлинського, 2</t>
  </si>
  <si>
    <t>(03352)6-46-53</t>
  </si>
  <si>
    <t>Загальноосвітня школа І-ІІІ ступеня № 5 м. Ковеля</t>
  </si>
  <si>
    <t>вул. Театральна, 17</t>
  </si>
  <si>
    <t>(03352)50402</t>
  </si>
  <si>
    <t>Загальноосвітня школа І-ІІІ ступеня № 7 міста Ковеля Волинської області</t>
  </si>
  <si>
    <t>вул. Левицького, 1</t>
  </si>
  <si>
    <t>4-89-78</t>
  </si>
  <si>
    <t>Загальноосвітня школа ІІ-ІІІ ступеня № 14 м. Ковель Волинської області</t>
  </si>
  <si>
    <t>вул. Шевченка, 20</t>
  </si>
  <si>
    <t>(03352)53210, 0688280028</t>
  </si>
  <si>
    <t>Комунальний заклад "Ковельська міська гімназія імені Олени Пчілки"</t>
  </si>
  <si>
    <t>вул. Незалежності, 49</t>
  </si>
  <si>
    <t>(03352)59508</t>
  </si>
  <si>
    <t>Ковельська спеціалізована школа І-ІІІ ступенів № 3 ім. Лесі Українки</t>
  </si>
  <si>
    <t>вул. Незалежності, 138</t>
  </si>
  <si>
    <t>(03352)5-01-07</t>
  </si>
  <si>
    <t>http://kovel-school3.volyn.sch.in.ua/</t>
  </si>
  <si>
    <t>Комунальний заклад "навчально-виховний комплекс "загальноосвітня школа І-ІІІ ступеня № 13 - колегіум" міста Ковеля"</t>
  </si>
  <si>
    <t>45006</t>
  </si>
  <si>
    <t>вул. 40 років Перемоги, 18</t>
  </si>
  <si>
    <t>(03352)4-54-31, (03352)4-58-31</t>
  </si>
  <si>
    <t>Комунальний заклад "Навчально-виховний комплекс "загальноосвітня школа І-ІІІ ступеня № 11- ліцей м. Ковеля" Ковельської міської ради Волинської області</t>
  </si>
  <si>
    <t>вул. Заводська, 31</t>
  </si>
  <si>
    <t>(03352)54309</t>
  </si>
  <si>
    <t>http://nvk11kovel.at.ua/</t>
  </si>
  <si>
    <t>Навчально - виховний комплекс «Нововолинська спеціалізована школа І - ІІІ ступенів № 1 - колегіум Нововолинської міської ради Волинської області»</t>
  </si>
  <si>
    <t>45400</t>
  </si>
  <si>
    <t>0710700000</t>
  </si>
  <si>
    <t>Нововолинськ</t>
  </si>
  <si>
    <t>просп. Проспект Перемоги, 6</t>
  </si>
  <si>
    <t>(03344)2-25-21</t>
  </si>
  <si>
    <t>http://novovolynsk-nvk.edukit.volyn.ua/</t>
  </si>
  <si>
    <t>Нововолинська гімназія Нововолинської міської ради Волинської області</t>
  </si>
  <si>
    <t>вул. Кауркова, 4А</t>
  </si>
  <si>
    <t>(03344)4-92-09</t>
  </si>
  <si>
    <t>Нововолинська загальноосвітня школа I-III ступенів № 5 Нововолинської міської ради Волинської області</t>
  </si>
  <si>
    <t>вул. 15 мікрорайон, 35</t>
  </si>
  <si>
    <t>(03344)46590, (03344)46713</t>
  </si>
  <si>
    <t>Нововолинська загальноосвітня школа І-ІІІ ступенів № 6 Нововолинської міської ради Волинської області</t>
  </si>
  <si>
    <t>45403</t>
  </si>
  <si>
    <t>вул. 6 мікрорайон, 1</t>
  </si>
  <si>
    <t>(03344)48212</t>
  </si>
  <si>
    <t>Нововолинська загальноосвітня школа І-ІІІ ступенів № 2 Нововолинської міської ради Волинської області</t>
  </si>
  <si>
    <t>вул. Маяковського, 5</t>
  </si>
  <si>
    <t>(03344)22933</t>
  </si>
  <si>
    <t>http://novovolynsk-school2.edukit.volyn.ua</t>
  </si>
  <si>
    <t>Нововолинська загальноосвітня школа І-ІІІ ступенів № 3 Нововолинської міської ради Волинської області</t>
  </si>
  <si>
    <t>вул. Грушевського, 19</t>
  </si>
  <si>
    <t>(03344)23946, (03344)23807</t>
  </si>
  <si>
    <t>Нововолинська загальноосвітня школа І-ІІІ ступенів № 4 імені Т.Г.Шевченка Нововолинської міської ради Волинської області</t>
  </si>
  <si>
    <t>б-р Бульвар Шевченка, 12</t>
  </si>
  <si>
    <t>(03344)3-01-50</t>
  </si>
  <si>
    <t>http://novovolynsk_school4.edukit.volyn.ua</t>
  </si>
  <si>
    <t>Нововолинська загальноосвітня школа І-ІІІ ступенів № 7 Нововолинської міської ради Волинської області</t>
  </si>
  <si>
    <t>вул. Кауркова, 43</t>
  </si>
  <si>
    <t>(03344)35399</t>
  </si>
  <si>
    <t>Нововолинська спеціальна загальноосвітня школа № 9 Волинської обласної ради</t>
  </si>
  <si>
    <t>вул. Нововолинська, 17</t>
  </si>
  <si>
    <t>(03344)30264</t>
  </si>
  <si>
    <t>21739850</t>
  </si>
  <si>
    <t>Нововолинський ліцей-інтернат Волинської обласної ради</t>
  </si>
  <si>
    <t>(03344)49066</t>
  </si>
  <si>
    <t>http://novovolynsk-lyceum.edukit.volyn.ua</t>
  </si>
  <si>
    <t>21748470</t>
  </si>
  <si>
    <t>Нововолинська загальноосвітня школа І-ІІІ ступенів № 8 Нововолинської міської ради Волинської області</t>
  </si>
  <si>
    <t>45490</t>
  </si>
  <si>
    <t>0710745300</t>
  </si>
  <si>
    <t>Благодатне</t>
  </si>
  <si>
    <t>(03344)95465</t>
  </si>
  <si>
    <t>http://novscool8.jimdo.com/</t>
  </si>
  <si>
    <t>Комунальний заклад "Загальноосвітня школа І-ІІІ ступенів м. Устилуг, Устилузької міської ради, Волинської області</t>
  </si>
  <si>
    <t>44731</t>
  </si>
  <si>
    <t>0720510400</t>
  </si>
  <si>
    <t>Устилуг</t>
  </si>
  <si>
    <t>вул. Володимирська, 4</t>
  </si>
  <si>
    <t>(03342)93417</t>
  </si>
  <si>
    <t>http://www.ustylugschool.at.ua</t>
  </si>
  <si>
    <t>Навчально-виховний комплекс "Загальноосвітня школа І ступеня-Дошкільний навчальний заклад" села Білин</t>
  </si>
  <si>
    <t>44713</t>
  </si>
  <si>
    <t>0720580401</t>
  </si>
  <si>
    <t>Білин</t>
  </si>
  <si>
    <t>вул. Травнева, 1</t>
  </si>
  <si>
    <t>(03342)97166</t>
  </si>
  <si>
    <t>Загальноосвітня школа І ступеня с.Охнівка Володимир-Волинського району Волинської області</t>
  </si>
  <si>
    <t>44721</t>
  </si>
  <si>
    <t>0720580409</t>
  </si>
  <si>
    <t>Охнівка</t>
  </si>
  <si>
    <t>вул. Вишнева, 7</t>
  </si>
  <si>
    <t>Загальноосвітня школа І-ІІІ ступеня села Березовичі Володимир-Волинського району Волинської області</t>
  </si>
  <si>
    <t>44763</t>
  </si>
  <si>
    <t>0720580801</t>
  </si>
  <si>
    <t>Березовичі</t>
  </si>
  <si>
    <t>(03342)93140</t>
  </si>
  <si>
    <t>Загальноосвітня школа І-ІІІ ступеня с. Галинівки Володимир-Волинського району Волинської області</t>
  </si>
  <si>
    <t>44723</t>
  </si>
  <si>
    <t>0720581501</t>
  </si>
  <si>
    <t>Галинівка</t>
  </si>
  <si>
    <t>(03342)96216</t>
  </si>
  <si>
    <t>http://Galynivka.at.ua</t>
  </si>
  <si>
    <t>Опорний заклад "Загальноосвітня школа І-ІІІ ступенів с. Суходоли" Володимир-Волинського району Волинської області</t>
  </si>
  <si>
    <t>44742</t>
  </si>
  <si>
    <t>0720581605</t>
  </si>
  <si>
    <t>Суходоли</t>
  </si>
  <si>
    <t>(03342)92198</t>
  </si>
  <si>
    <t>http://shosvita.at.ua</t>
  </si>
  <si>
    <t>Комунальний заклад "Загальноосвітня школа І-ІІ ступеня с. Зоря Устилузької міської ради Волинської області"</t>
  </si>
  <si>
    <t>44714</t>
  </si>
  <si>
    <t>0720581801</t>
  </si>
  <si>
    <t>Зоря</t>
  </si>
  <si>
    <t>((03342))97-1-53</t>
  </si>
  <si>
    <t>Освітній опорний заклад навчально-виховний комплекс "Загальноосвітня школа І-ІІІ ступенів - ліцей" с. Зимне</t>
  </si>
  <si>
    <t>44752</t>
  </si>
  <si>
    <t>0720582001</t>
  </si>
  <si>
    <t>Зимне</t>
  </si>
  <si>
    <t>(03342)95140, (03342)95173</t>
  </si>
  <si>
    <t>Красноставська загальноосвітня школа І ступеня Володимир-Волинського району Волинської області</t>
  </si>
  <si>
    <t>0720582201</t>
  </si>
  <si>
    <t>Красностав</t>
  </si>
  <si>
    <t>вул. Центральна, 16 а</t>
  </si>
  <si>
    <t>0969036757</t>
  </si>
  <si>
    <t>Загальноосвітня школа І-ІІ ступеня села Ласків Володимир-Волинського району Волинської області</t>
  </si>
  <si>
    <t>44743</t>
  </si>
  <si>
    <t>0720582801</t>
  </si>
  <si>
    <t>Ласків</t>
  </si>
  <si>
    <t>вул. Шкільна, 24</t>
  </si>
  <si>
    <t>(03342)99341</t>
  </si>
  <si>
    <t>http://lskosvita.at.ua</t>
  </si>
  <si>
    <t>Вощатиньска загальноосвітня школа І ступеня</t>
  </si>
  <si>
    <t>0720582802</t>
  </si>
  <si>
    <t>Вощатин</t>
  </si>
  <si>
    <t>вул. Пилипа Мельника, 1</t>
  </si>
  <si>
    <t>(068)7237705</t>
  </si>
  <si>
    <t>Навчально-виховний комплекс "Загальноосвітня школа І-ІІІ ступенів-дитячий садок" с. Льотниче Володимир-Волинського району Волинської області</t>
  </si>
  <si>
    <t>44750</t>
  </si>
  <si>
    <t>0720583201</t>
  </si>
  <si>
    <t>Льотниче</t>
  </si>
  <si>
    <t>(03342)21272</t>
  </si>
  <si>
    <t>http://lyotnycheschool.at.ua</t>
  </si>
  <si>
    <t>Комунальний заклад "Загальноосвітня школа І-ІІІ ступеня с. Лудин Устилузької міської ради Волинської області"</t>
  </si>
  <si>
    <t>44732</t>
  </si>
  <si>
    <t>0720583401</t>
  </si>
  <si>
    <t>Лудин</t>
  </si>
  <si>
    <t>вул. Лесі Українки, 36</t>
  </si>
  <si>
    <t>(03342)94540</t>
  </si>
  <si>
    <t>Комунальний заклад "Загальноосвітня школа І-ІІ ступенів с. Микитичі Устилузької міської ради Волинської області"</t>
  </si>
  <si>
    <t>44710</t>
  </si>
  <si>
    <t>0720584001</t>
  </si>
  <si>
    <t>Микитичі</t>
  </si>
  <si>
    <t>(03342)99140</t>
  </si>
  <si>
    <t>http://mktosvita.at.ua</t>
  </si>
  <si>
    <t>Загальноосвітня школа І-ІІІ ступенів с. Овадне</t>
  </si>
  <si>
    <t>44720</t>
  </si>
  <si>
    <t>0720584401</t>
  </si>
  <si>
    <t>Овадне</t>
  </si>
  <si>
    <t>(03342)92-2-52, (03342)952-5-72</t>
  </si>
  <si>
    <t>http://ovadneschool.at.ua</t>
  </si>
  <si>
    <t>Загальноосвітня школа І-ІІ ступеня села Верба Володимир-Волинського району Волинської області</t>
  </si>
  <si>
    <t>0720584402</t>
  </si>
  <si>
    <t>Верба</t>
  </si>
  <si>
    <t>(03342)90148</t>
  </si>
  <si>
    <t>Загальноосвітня школа І-ІІ ступеня с. Жовтневе</t>
  </si>
  <si>
    <t>44722</t>
  </si>
  <si>
    <t>0720584403</t>
  </si>
  <si>
    <t>Сусваль</t>
  </si>
  <si>
    <t>вул. Першотравнева, 18</t>
  </si>
  <si>
    <t>(03342)92211</t>
  </si>
  <si>
    <t>http://gvtosvita.at.ua</t>
  </si>
  <si>
    <t>Комунальний заклад "Загальноосвітня школа І-ІІ ступеня с. П'ятидні Устилузької міської ради Волинської області"</t>
  </si>
  <si>
    <t>44730</t>
  </si>
  <si>
    <t>0720584801</t>
  </si>
  <si>
    <t>П'ятидні</t>
  </si>
  <si>
    <t>(03342)91140</t>
  </si>
  <si>
    <t>Комунальний заклад "Загальноосвітня школа І ступенів с. Рогожани" , Устилузької міської ради, Волинської області</t>
  </si>
  <si>
    <t>44733</t>
  </si>
  <si>
    <t>0720585001</t>
  </si>
  <si>
    <t>Рогожани</t>
  </si>
  <si>
    <t>вул. Комсомольська, 8</t>
  </si>
  <si>
    <t>(03342)94340</t>
  </si>
  <si>
    <t>Комунальний заклад "Загальноосвітня школа І-ІІІ ступенів с. Стенжаричі Устилузької міської ради Волинської області"</t>
  </si>
  <si>
    <t>44712</t>
  </si>
  <si>
    <t>0720585601</t>
  </si>
  <si>
    <t>Стенжаричі</t>
  </si>
  <si>
    <t>вул. Відродження, 24</t>
  </si>
  <si>
    <t>(03342)94440</t>
  </si>
  <si>
    <t>Загальноосвітня школа I-II ступеня с.Хмелівка Володимир-Волинського району Волинської області.</t>
  </si>
  <si>
    <t>44762</t>
  </si>
  <si>
    <t>0720586001</t>
  </si>
  <si>
    <t>Хмелівка</t>
  </si>
  <si>
    <t>(03342)92652</t>
  </si>
  <si>
    <t>http://hmelivka.ucoz.ua</t>
  </si>
  <si>
    <t>Загальноосвітня школа І-ІІІ ступеня с. Хобултова Володимир-Волинського району Волинської області</t>
  </si>
  <si>
    <t>44760</t>
  </si>
  <si>
    <t>0720586601</t>
  </si>
  <si>
    <t>Хобултова</t>
  </si>
  <si>
    <t>Загальноосвітня школа І-ІІ спупеня с. Микуличі Володимир-Волинського району Волинської області</t>
  </si>
  <si>
    <t>44761</t>
  </si>
  <si>
    <t>0720586602</t>
  </si>
  <si>
    <t>Микуличі</t>
  </si>
  <si>
    <t>вул. Мілашенкова, 1</t>
  </si>
  <si>
    <t>(03342)90612</t>
  </si>
  <si>
    <t>Комунальний заклад «Навчально-виховний комплекс «Загальноосвітня школа І ступеня - дошкільний навчальний заклад» села Хотячів Устилузької міської ради Волинської області»</t>
  </si>
  <si>
    <t>0720586701</t>
  </si>
  <si>
    <t>Хотячів</t>
  </si>
  <si>
    <t>вул. Карбишева, 36/а</t>
  </si>
  <si>
    <t>(03342)93-5-22</t>
  </si>
  <si>
    <t>Загальноосвітня школа І-ІІІ ступеня № 1 ім. І. Я. Франка м. Горохів Волинської області</t>
  </si>
  <si>
    <t>45700</t>
  </si>
  <si>
    <t>0720810100</t>
  </si>
  <si>
    <t>Горохів</t>
  </si>
  <si>
    <t>вул. Лисенка, 24</t>
  </si>
  <si>
    <t>(033)7921869</t>
  </si>
  <si>
    <t>http://franko-school.ucoz.com</t>
  </si>
  <si>
    <t>Навчально-виховний комплекс "загальноосвітня школа І-ІІІ ступеня-гімназія" м.Горохів Волинської області</t>
  </si>
  <si>
    <t>вул. Грушевського, 5А</t>
  </si>
  <si>
    <t>(03379)21871</t>
  </si>
  <si>
    <t>http://nvk-horokhiv.at.ua</t>
  </si>
  <si>
    <t>загальноосвітня школа І-ІІІ ступеня м. Берестечко Горохівського району Волинської області</t>
  </si>
  <si>
    <t>45765</t>
  </si>
  <si>
    <t>0720810300</t>
  </si>
  <si>
    <t>Берестечко</t>
  </si>
  <si>
    <t>вул. Козацька, 16</t>
  </si>
  <si>
    <t>http://berest-zosh.at.ua</t>
  </si>
  <si>
    <t>загальноосвітня школа І - ІІІ ступеня смт Мар'янівка Горохівського району Волинської області</t>
  </si>
  <si>
    <t>45744</t>
  </si>
  <si>
    <t>0720855400</t>
  </si>
  <si>
    <t>(033279)90-2-40</t>
  </si>
  <si>
    <t>http://marschool.at.ua</t>
  </si>
  <si>
    <t>Загальноосвітня школа І-ІІІступеня смт.Сенкевичівка Горохівського району Волинської області</t>
  </si>
  <si>
    <t>45750</t>
  </si>
  <si>
    <t>0720855700</t>
  </si>
  <si>
    <t>Сенкевичівка</t>
  </si>
  <si>
    <t>вул. Шевченка, 23А</t>
  </si>
  <si>
    <t>(03379)99793</t>
  </si>
  <si>
    <t>http://senkevichivka.ucoz.ua</t>
  </si>
  <si>
    <t>Сенкевичівська загальноосвітня школа інтернат І-ІІІ ступенів Волинської обласної ради</t>
  </si>
  <si>
    <t>вул. Шевченка, 59</t>
  </si>
  <si>
    <t>(03379)787</t>
  </si>
  <si>
    <t>http://senkintern.ucoz.ua</t>
  </si>
  <si>
    <t>20130880</t>
  </si>
  <si>
    <t>Загальноосвітня школа І-ІІ ступеня с. Бережанка Горохівського району Волинської області</t>
  </si>
  <si>
    <t>45713</t>
  </si>
  <si>
    <t>0720880201</t>
  </si>
  <si>
    <t>Бережанка</t>
  </si>
  <si>
    <t>вул. Центральна, 27</t>
  </si>
  <si>
    <t>(03379)94140</t>
  </si>
  <si>
    <t>http://bereg-school.ucoz.ua</t>
  </si>
  <si>
    <t>Загальноосвітня школа І-ІІІ ступеня с. Брани Горохівського району Волинської області</t>
  </si>
  <si>
    <t>45746</t>
  </si>
  <si>
    <t>0720880401</t>
  </si>
  <si>
    <t>Брани</t>
  </si>
  <si>
    <t>(0257)93740</t>
  </si>
  <si>
    <t>Загальноосвітня школа І-ІІ ступеня с. Борисковичі Горохівського району Волинської області</t>
  </si>
  <si>
    <t>45748</t>
  </si>
  <si>
    <t>0720880402</t>
  </si>
  <si>
    <t>Борисковичі</t>
  </si>
  <si>
    <t>(03379)99750</t>
  </si>
  <si>
    <t>http://borys.at.ua</t>
  </si>
  <si>
    <t>Загальноосвітня школа І-ІІІ ступеня села Бужани Горохівського району Волинської області</t>
  </si>
  <si>
    <t>45770</t>
  </si>
  <si>
    <t>0720880801</t>
  </si>
  <si>
    <t>Бужани</t>
  </si>
  <si>
    <t>(03379)93-5-40</t>
  </si>
  <si>
    <t>http://byjanu.ucoz.ua</t>
  </si>
  <si>
    <t>загальноосвітня школа І-ІІ ст. с. Ржищів Горохівського району Волинської області</t>
  </si>
  <si>
    <t>45771</t>
  </si>
  <si>
    <t>0720880803</t>
  </si>
  <si>
    <t>Ржищів</t>
  </si>
  <si>
    <t>93517</t>
  </si>
  <si>
    <t>http://www.rzhyschiv-school.edukit.volyn.ua/</t>
  </si>
  <si>
    <t>Загальноосвітня школа І-ІІ ступеня с. Ватинець, Горохівського району, Волинської області</t>
  </si>
  <si>
    <t>45710</t>
  </si>
  <si>
    <t>0720881003</t>
  </si>
  <si>
    <t>Ватинець</t>
  </si>
  <si>
    <t>Загальноосвітня школа І-ІІ ступеня село Галичани Горохівського району Волинської області</t>
  </si>
  <si>
    <t>45745</t>
  </si>
  <si>
    <t>0720881301</t>
  </si>
  <si>
    <t>Галичани</t>
  </si>
  <si>
    <t>http://www.galuchanu.ucoz.ua</t>
  </si>
  <si>
    <t>Загальноосвітня школа I-III ступеня с. Горішнє, Горохівського району, Волинської області</t>
  </si>
  <si>
    <t>45755</t>
  </si>
  <si>
    <t>0720881401</t>
  </si>
  <si>
    <t>Горішнє</t>
  </si>
  <si>
    <t>вул. Гагаріна, 16</t>
  </si>
  <si>
    <t>(03379)97738</t>
  </si>
  <si>
    <t>http://horishne.do.am</t>
  </si>
  <si>
    <t>Загальноосвітня школа I ступеня с. Новостав Горохівського району Волинської області</t>
  </si>
  <si>
    <t>45756</t>
  </si>
  <si>
    <t>0720881403</t>
  </si>
  <si>
    <t>Новостав</t>
  </si>
  <si>
    <t>0967234947</t>
  </si>
  <si>
    <t>Загальноосвітня школа І-ІІ ступеня с.Журавники Горохівського району Волинської області</t>
  </si>
  <si>
    <t>45737</t>
  </si>
  <si>
    <t>0720881601</t>
  </si>
  <si>
    <t>Журавники</t>
  </si>
  <si>
    <t>(03379)91640</t>
  </si>
  <si>
    <t>http://druzhkopil.in.ua</t>
  </si>
  <si>
    <t>Загальноосвітня школа І-ІІ ступеня с. Жабче Горохівського району Волинської області</t>
  </si>
  <si>
    <t>45753</t>
  </si>
  <si>
    <t>0720881701</t>
  </si>
  <si>
    <t>Жабче</t>
  </si>
  <si>
    <t>(03379)93315</t>
  </si>
  <si>
    <t>http://shabcheschool.ucoz.net</t>
  </si>
  <si>
    <t>Загальноосвітня школа I-III ступеня с. Звиняче Горохівського району Волинської області</t>
  </si>
  <si>
    <t>45725</t>
  </si>
  <si>
    <t>0720882001</t>
  </si>
  <si>
    <t>Звиняче</t>
  </si>
  <si>
    <t>вул. Шкільна, 40/1</t>
  </si>
  <si>
    <t>(03379)92240</t>
  </si>
  <si>
    <t>Загальноосвітня школа І-ІІ ступненя с.Охлопів Горохівського району Волинської області</t>
  </si>
  <si>
    <t>45735</t>
  </si>
  <si>
    <t>0720882401</t>
  </si>
  <si>
    <t>Квасів</t>
  </si>
  <si>
    <t>Загальноосвітня школа І-ІІІ ступеня села Колодеже Горохівського району Волинської області</t>
  </si>
  <si>
    <t>45751</t>
  </si>
  <si>
    <t>0720882801</t>
  </si>
  <si>
    <t>Колодеже</t>
  </si>
  <si>
    <t>(3379)93340</t>
  </si>
  <si>
    <t>http://kolodejezosh.ucoz.ua</t>
  </si>
  <si>
    <t>Загальноосвітня школа І-ІІ ступеня села Лемешів Горохівського району Волинської області</t>
  </si>
  <si>
    <t>45731</t>
  </si>
  <si>
    <t>0720883001</t>
  </si>
  <si>
    <t>Лемешів</t>
  </si>
  <si>
    <t>(03379)99140</t>
  </si>
  <si>
    <t>Загальноосвітня школа І - ІІІ ступеня села Лобачівка Горохівського району Волинської області</t>
  </si>
  <si>
    <t>45760</t>
  </si>
  <si>
    <t>0720883201</t>
  </si>
  <si>
    <t>Лобачівка</t>
  </si>
  <si>
    <t>вул. Незалежності, 13А</t>
  </si>
  <si>
    <t>(03379)94540</t>
  </si>
  <si>
    <t>http://lobachivka.at.ua</t>
  </si>
  <si>
    <t>загальноосвітня школа І ступеня села Волиця-Лобачівська Горохівського району Волинської області</t>
  </si>
  <si>
    <t>0720883202</t>
  </si>
  <si>
    <t>Волиця-Лобачівська</t>
  </si>
  <si>
    <t>вул. Миру, 38 Б</t>
  </si>
  <si>
    <t>(03379)94530</t>
  </si>
  <si>
    <t>загальноосвітня школа І-ІІІ ступеня села Мерва Горохівського району Волинської області</t>
  </si>
  <si>
    <t>45766</t>
  </si>
  <si>
    <t>0720883801</t>
  </si>
  <si>
    <t>Мерва</t>
  </si>
  <si>
    <t>вул. Богдана Хмельницького, 14</t>
  </si>
  <si>
    <t>(03379)97585</t>
  </si>
  <si>
    <t>http://mervaschool.at.ua</t>
  </si>
  <si>
    <t>Загальноосвітня школа І-ІІ ступеня с. Мирків Горохівського району Волинської області</t>
  </si>
  <si>
    <t>45732</t>
  </si>
  <si>
    <t>0720884001</t>
  </si>
  <si>
    <t>Мирків</t>
  </si>
  <si>
    <t>(03379)93140</t>
  </si>
  <si>
    <t>загальноосвітня школа І-ІІІ ступеня с. Мирне Горохівського району Волинської області</t>
  </si>
  <si>
    <t>45711</t>
  </si>
  <si>
    <t>0720884401</t>
  </si>
  <si>
    <t>(0337992)336</t>
  </si>
  <si>
    <t>http://murnesckool.at.ua</t>
  </si>
  <si>
    <t>Загальноосвітня школа І-ІІ ступеня с. Михлин Горохівського району Волинської області</t>
  </si>
  <si>
    <t>45714</t>
  </si>
  <si>
    <t>0720884601</t>
  </si>
  <si>
    <t>Михлин</t>
  </si>
  <si>
    <t>вул. Пасічна, 3</t>
  </si>
  <si>
    <t>(03379)31230</t>
  </si>
  <si>
    <t>http://www.muxlunschool.ucoz.ua</t>
  </si>
  <si>
    <t>Загальноосвітня школа І-ІІІ ступеня с. Новосілки Горохівського району Волинської області</t>
  </si>
  <si>
    <t>45754</t>
  </si>
  <si>
    <t>0720884801</t>
  </si>
  <si>
    <t>Новосілки</t>
  </si>
  <si>
    <t>(03379)92538</t>
  </si>
  <si>
    <t>http://Novosilky.ucoz.ua</t>
  </si>
  <si>
    <t>загальноосвітня школа I ступеня с. Мислині Горохівського району Волинської області</t>
  </si>
  <si>
    <t>0720884804</t>
  </si>
  <si>
    <t>Мислині</t>
  </si>
  <si>
    <t>0676891323</t>
  </si>
  <si>
    <t>Загальноосвітня школа І-ІІІ ст с. Вільхівка Горохівського району Волинської області</t>
  </si>
  <si>
    <t>45723</t>
  </si>
  <si>
    <t>0720885001</t>
  </si>
  <si>
    <t>Вільхівка</t>
  </si>
  <si>
    <t>вул. Шевченка, 15</t>
  </si>
  <si>
    <t>Загальноосвітня школа І-ІІІ ступеня с.Перемиль, Волинська область Горохівський район</t>
  </si>
  <si>
    <t>45763</t>
  </si>
  <si>
    <t>0720885401</t>
  </si>
  <si>
    <t>Перемиль</t>
  </si>
  <si>
    <t>http://peremilschool.ucoz.ru</t>
  </si>
  <si>
    <t>Загальноосвітня школа I-II ступеня с.Гектари Горохівського району, Волинської області</t>
  </si>
  <si>
    <t>45767</t>
  </si>
  <si>
    <t>0720885805</t>
  </si>
  <si>
    <t>Гектари</t>
  </si>
  <si>
    <t>(03379)95222</t>
  </si>
  <si>
    <t>http://Gektaryshkola.ucoz.ua</t>
  </si>
  <si>
    <t>Загальноосвітня школа І-ІІІ ступеня села Печихвости Горохівського району Волинської області</t>
  </si>
  <si>
    <t>45734</t>
  </si>
  <si>
    <t>0720886001</t>
  </si>
  <si>
    <t>Печихвости</t>
  </si>
  <si>
    <t>(03379)98240</t>
  </si>
  <si>
    <t>http://pechyhvostu.ucoz.ua</t>
  </si>
  <si>
    <t>Загальноосвітня школа І-ІІ ступеня села Стрільче Горохівського району Волинської області</t>
  </si>
  <si>
    <t>0720886004</t>
  </si>
  <si>
    <t>Стрільче</t>
  </si>
  <si>
    <t>0686265654</t>
  </si>
  <si>
    <t>http://strilche.at.ua</t>
  </si>
  <si>
    <t>Загальноосвітня школа І-ІІ ст. с. Пірванче Горохівського району Волинської області</t>
  </si>
  <si>
    <t>45733</t>
  </si>
  <si>
    <t>0720886101</t>
  </si>
  <si>
    <t>Пірванче</t>
  </si>
  <si>
    <t>вул. Перемоги, 11</t>
  </si>
  <si>
    <t>Загальноосвітня школа І-ІІІ ступеня села Підбереззя Горохівського району Волинської області</t>
  </si>
  <si>
    <t>45730</t>
  </si>
  <si>
    <t>0720886201</t>
  </si>
  <si>
    <t>Підбереззя</t>
  </si>
  <si>
    <t>(03379)92617</t>
  </si>
  <si>
    <t>http://pidberzschool.ho.ua</t>
  </si>
  <si>
    <t>Загальноосвітня школа І-ІІ ступеня с. Пустомити, Горохівського району, Волинської області</t>
  </si>
  <si>
    <t>45720</t>
  </si>
  <si>
    <t>0720886401</t>
  </si>
  <si>
    <t>Пустомити</t>
  </si>
  <si>
    <t>вул. Центральна, 37</t>
  </si>
  <si>
    <t>(279)91440</t>
  </si>
  <si>
    <t>Загальноосвітня школа І-ІІ ступеня с.Рачин Горохівського району Волинської області</t>
  </si>
  <si>
    <t>45721</t>
  </si>
  <si>
    <t>0720886901</t>
  </si>
  <si>
    <t>Рачин</t>
  </si>
  <si>
    <t>(03379)91540</t>
  </si>
  <si>
    <t>http://scolarachin.jimdo.com</t>
  </si>
  <si>
    <t>Загальноосвітня школа І-ІІІ ступеня с. Озерці Горохівського району Волинської області</t>
  </si>
  <si>
    <t>45722</t>
  </si>
  <si>
    <t>0720886902</t>
  </si>
  <si>
    <t>Озерці</t>
  </si>
  <si>
    <t>(03379)99240</t>
  </si>
  <si>
    <t>http://ozerci.jimdo.com</t>
  </si>
  <si>
    <t>Загальноосвітня школа І-ІІ ступеня с. Скірче Горохівського району Волинської області</t>
  </si>
  <si>
    <t>0720887201</t>
  </si>
  <si>
    <t>Скірче</t>
  </si>
  <si>
    <t>(0337992)840</t>
  </si>
  <si>
    <t>Загальноосвітня школа І-ІІ ступеня села Скобелка Горохівського району Волинської області</t>
  </si>
  <si>
    <t>45703</t>
  </si>
  <si>
    <t>0720887401</t>
  </si>
  <si>
    <t>Скобелка</t>
  </si>
  <si>
    <t>(03379)96712</t>
  </si>
  <si>
    <t>http://skobelka.at.ua</t>
  </si>
  <si>
    <t>загальноосвітня школа І ступеня с. Бистровиця Горохівсько району Волинської обл.</t>
  </si>
  <si>
    <t>0720887402</t>
  </si>
  <si>
    <t>Бистровиця</t>
  </si>
  <si>
    <t>загальноосвітня школа І ступеня с. Марковичі Горохівського району Волинської обл.</t>
  </si>
  <si>
    <t>0720887403</t>
  </si>
  <si>
    <t>Марковичі</t>
  </si>
  <si>
    <t>вул. Луцька, 70</t>
  </si>
  <si>
    <t>загальноосвітня школа І-ІІ ступеня с. Скригове Горохівського району Волинської області</t>
  </si>
  <si>
    <t>45772</t>
  </si>
  <si>
    <t>0720887501</t>
  </si>
  <si>
    <t>Скригове</t>
  </si>
  <si>
    <t>(380)975090926</t>
  </si>
  <si>
    <t>http://skrigovskaaa.at.ua</t>
  </si>
  <si>
    <t>Загальноосвітня школа І - ІІ ступеня села Смолява Горохівського району Волинської області</t>
  </si>
  <si>
    <t>45761</t>
  </si>
  <si>
    <t>0720887601</t>
  </si>
  <si>
    <t>Смолява</t>
  </si>
  <si>
    <t>(3379)97640</t>
  </si>
  <si>
    <t>Загальноосвітня школа І-ІІ ступеня с. Зелене Горохівського району Волинської області</t>
  </si>
  <si>
    <t>45762</t>
  </si>
  <si>
    <t>0720887602</t>
  </si>
  <si>
    <t>Зелене</t>
  </si>
  <si>
    <t>((03379))97655</t>
  </si>
  <si>
    <t>загальноосвітня школа І ст. с. Терешківці Горохівського району Волинської області</t>
  </si>
  <si>
    <t>45724</t>
  </si>
  <si>
    <t>0720887701</t>
  </si>
  <si>
    <t>Терешківці</t>
  </si>
  <si>
    <t>вул. Церковя'нська, 25</t>
  </si>
  <si>
    <t>Загальноосвітня школа І-ІІ ступеня с. Ощів Горохівського району Волинської області</t>
  </si>
  <si>
    <t>0720887703</t>
  </si>
  <si>
    <t>Ощів</t>
  </si>
  <si>
    <t>(03379)91-1-15</t>
  </si>
  <si>
    <t>Загальноосвітня школа І-ІІІ ступеня села Угринів Горохівського району Волинської області</t>
  </si>
  <si>
    <t>45715</t>
  </si>
  <si>
    <t>0720887801</t>
  </si>
  <si>
    <t>Угринів</t>
  </si>
  <si>
    <t>вул. Шевченка, 6</t>
  </si>
  <si>
    <t>(03379)92140</t>
  </si>
  <si>
    <t>http://ugrynivschool.ucoz.ua</t>
  </si>
  <si>
    <t>Загальноосвітня школа І-ІІ ступеня села Холонів Горохівського району Волинської області</t>
  </si>
  <si>
    <t>45740</t>
  </si>
  <si>
    <t>0720888301</t>
  </si>
  <si>
    <t>Холонів</t>
  </si>
  <si>
    <t>(94)332</t>
  </si>
  <si>
    <t>http://skoolholoniv.ucoz.com/</t>
  </si>
  <si>
    <t>Загальноосвітня школа І ступеня с. Цегів Горохівського району Волинської області</t>
  </si>
  <si>
    <t>45741</t>
  </si>
  <si>
    <t>0720888601</t>
  </si>
  <si>
    <t>Цегів</t>
  </si>
  <si>
    <t>Загальноосвітня школа І -ІІІ ступеня с. Борочиче Горохівського району Волинської області</t>
  </si>
  <si>
    <t>45742</t>
  </si>
  <si>
    <t>0720888602</t>
  </si>
  <si>
    <t>Борочиче</t>
  </si>
  <si>
    <t>(033279)90-2-55</t>
  </si>
  <si>
    <t>http://zoshborochuche.at.ua</t>
  </si>
  <si>
    <t>Загальноосвітня школа І-ІІ ступеня с.Сільце Горохівського району Волинської області</t>
  </si>
  <si>
    <t>45743</t>
  </si>
  <si>
    <t>0720888603</t>
  </si>
  <si>
    <t>Сільце</t>
  </si>
  <si>
    <t>(803379)94440</t>
  </si>
  <si>
    <t>http://www.siltse-school.ucoz.net</t>
  </si>
  <si>
    <t>Загальноосвітня школа І ступеня с. Широке Горохівського району Волинської області</t>
  </si>
  <si>
    <t>0720888604</t>
  </si>
  <si>
    <t>Широке</t>
  </si>
  <si>
    <t>0963823736</t>
  </si>
  <si>
    <t>Загальноосвітня школа І-ІІІ ступеня с. Шклинь Горохівського райну Волинської області</t>
  </si>
  <si>
    <t>45712</t>
  </si>
  <si>
    <t>0720889201</t>
  </si>
  <si>
    <t>Шклинь</t>
  </si>
  <si>
    <t>вул. Центральна, 56</t>
  </si>
  <si>
    <t>(03379)21530</t>
  </si>
  <si>
    <t>http://shkolashklin.ucoz.net</t>
  </si>
  <si>
    <t>Комунальний заклад "Іваничівська загальноосвітня школа І-ІІІ ступенів № 2 імені Юрія Лелюкова" Іваничівської районної ради Волинської області</t>
  </si>
  <si>
    <t>45300</t>
  </si>
  <si>
    <t>0721155100</t>
  </si>
  <si>
    <t>Іваничі</t>
  </si>
  <si>
    <t>вул. Єрьоміна, 13</t>
  </si>
  <si>
    <t>(03372)94317</t>
  </si>
  <si>
    <t>Іваничівська спеціальна загальноосвітня школа-інтернат Волинської обласної ради</t>
  </si>
  <si>
    <t>вул. Грушевського, 26</t>
  </si>
  <si>
    <t>(03372)21746</t>
  </si>
  <si>
    <t>21740936</t>
  </si>
  <si>
    <t>Навчально-виховний комплекс "Загальноосвітня школа І-ІІІ ступенів № 1-гімназія" смт Іваничі Іваничівського району Волинської області</t>
  </si>
  <si>
    <t>вул. Грушевського, 28</t>
  </si>
  <si>
    <t>(03372)21237</t>
  </si>
  <si>
    <t>http://gimnaziya.ivosvita.org/</t>
  </si>
  <si>
    <t>Загальноосвітня школа І ступеня с. Долинка Іваничівського району Волинської області</t>
  </si>
  <si>
    <t>0721155101</t>
  </si>
  <si>
    <t>Долинка</t>
  </si>
  <si>
    <t>вул. Долинка, 24</t>
  </si>
  <si>
    <t>Загальноосвітня школа І-ІІІ ступеня с. Бужанка Іваничівського району Волинської області</t>
  </si>
  <si>
    <t>45310</t>
  </si>
  <si>
    <t>0721180401</t>
  </si>
  <si>
    <t>Бужанка</t>
  </si>
  <si>
    <t>вул. Перемоги, 20А</t>
  </si>
  <si>
    <t>(097)4052773</t>
  </si>
  <si>
    <t>Загальноосвітня школа І ступеня с. Бортнів, Іваничівський район, Волинська область</t>
  </si>
  <si>
    <t>0721180402</t>
  </si>
  <si>
    <t>Бортнів</t>
  </si>
  <si>
    <t>вул. Інтернаціональна, 2</t>
  </si>
  <si>
    <t>(38)0974659567</t>
  </si>
  <si>
    <t>загальноосвітня школа І ступеня села Верхнів, Іваничівський район, Волинська область</t>
  </si>
  <si>
    <t>0721180403</t>
  </si>
  <si>
    <t>Верхнів</t>
  </si>
  <si>
    <t>(097)8084072</t>
  </si>
  <si>
    <t>Загальноосвітня школа І-ІІ ступеня с.Грибовиця Іваничівського району Волинської області</t>
  </si>
  <si>
    <t>45324</t>
  </si>
  <si>
    <t>0721180901</t>
  </si>
  <si>
    <t>Грибовиця</t>
  </si>
  <si>
    <t>(03372)96537</t>
  </si>
  <si>
    <t>Загальноосвітня школа І-ІІІ ступеня села Гряди Іваничівського району Волинської області</t>
  </si>
  <si>
    <t>45320</t>
  </si>
  <si>
    <t>0721181201</t>
  </si>
  <si>
    <t>Гряди</t>
  </si>
  <si>
    <t>(03372)96-5-18</t>
  </si>
  <si>
    <t>Загальноосвітня школа I-II ступеня с. Низкиничі</t>
  </si>
  <si>
    <t>0721181203</t>
  </si>
  <si>
    <t>Низкиничі</t>
  </si>
  <si>
    <t>вул. А.Кисиля, 14</t>
  </si>
  <si>
    <t>3-35-18</t>
  </si>
  <si>
    <t>Загальноосвітня школа І-ІІ ступеня с.Жашковичі Іваничівського району Волинської області</t>
  </si>
  <si>
    <t>45331</t>
  </si>
  <si>
    <t>0721181401</t>
  </si>
  <si>
    <t>Жашковичі</t>
  </si>
  <si>
    <t>вул. Поліщука, 15</t>
  </si>
  <si>
    <t>(03372)95540</t>
  </si>
  <si>
    <t>загальноосвітня школа І-ІІІ ступеня с. Заболотці Іваничівського району Волинської області</t>
  </si>
  <si>
    <t>45328</t>
  </si>
  <si>
    <t>0721181801</t>
  </si>
  <si>
    <t>Заболотці</t>
  </si>
  <si>
    <t>вул. Молодіжна, 24</t>
  </si>
  <si>
    <t>(03372)95340</t>
  </si>
  <si>
    <t>http://zabolotsi.ivosvita.org</t>
  </si>
  <si>
    <t>Загальноосвітня школа І-ІІ ступеня с. Завидів Іваничівського району, Волинської області</t>
  </si>
  <si>
    <t>45346</t>
  </si>
  <si>
    <t>0721182001</t>
  </si>
  <si>
    <t>Завидів</t>
  </si>
  <si>
    <t>вул. Центральна, 60</t>
  </si>
  <si>
    <t>(272)97932</t>
  </si>
  <si>
    <t>Загальноосвітня школа І - ІІ ступеня с.Заставне Іваничівського району Волинська область</t>
  </si>
  <si>
    <t>45329</t>
  </si>
  <si>
    <t>0721182201</t>
  </si>
  <si>
    <t>Заставне</t>
  </si>
  <si>
    <t>вул. Клименка, 6 а</t>
  </si>
  <si>
    <t>(380337)295140</t>
  </si>
  <si>
    <t>http://zastavne.ivosvita.org/</t>
  </si>
  <si>
    <t>загальноосвітня школа І - ІІІ ступеня с. Колона Іваничіського району Волинської області</t>
  </si>
  <si>
    <t>45332</t>
  </si>
  <si>
    <t>0721182301</t>
  </si>
  <si>
    <t>Колона</t>
  </si>
  <si>
    <t>вул. Шевченка, 5</t>
  </si>
  <si>
    <t>Загальноосвітня школа І-ІІІ ступеня с. Литовеж, Іваничівського району, Волинської області</t>
  </si>
  <si>
    <t>45325</t>
  </si>
  <si>
    <t>0721182401</t>
  </si>
  <si>
    <t>Литовеж</t>
  </si>
  <si>
    <t>(03372)95743</t>
  </si>
  <si>
    <t>Загальноосвітня школа І-ІІІступеня села Луковичі Іваничівського району Волинської області</t>
  </si>
  <si>
    <t>45330</t>
  </si>
  <si>
    <t>0721182801</t>
  </si>
  <si>
    <t>Луковичі</t>
  </si>
  <si>
    <t>вул. Селянська, 15</t>
  </si>
  <si>
    <t>(03372)97747</t>
  </si>
  <si>
    <t>http://lukovychi.ivosvita.org</t>
  </si>
  <si>
    <t>Загальноосвітня школа І ступеня села Орищі Іваничівського району Волинської області</t>
  </si>
  <si>
    <t>0721182803</t>
  </si>
  <si>
    <t>Орищі</t>
  </si>
  <si>
    <t>вул. Гагаріна, 12А</t>
  </si>
  <si>
    <t>0964578441</t>
  </si>
  <si>
    <t>Загальноосвітня школа I-II ст.с.Милятин Іваничівського району Волинської області</t>
  </si>
  <si>
    <t>45347</t>
  </si>
  <si>
    <t>0721183001</t>
  </si>
  <si>
    <t>Милятин</t>
  </si>
  <si>
    <t>29-59-40</t>
  </si>
  <si>
    <t>Загальноосвітня школа І ступеня с. Грушів Іваничівського району Волинської області</t>
  </si>
  <si>
    <t>0721183002</t>
  </si>
  <si>
    <t>Грушів</t>
  </si>
  <si>
    <t>вул. Шкільна, 22</t>
  </si>
  <si>
    <t>http://hrushiv.ivosvita.org/</t>
  </si>
  <si>
    <t>Загальноосвітня школа І-ІІ ступеня с.Мовники</t>
  </si>
  <si>
    <t>45315</t>
  </si>
  <si>
    <t>0721183201</t>
  </si>
  <si>
    <t>Мовники</t>
  </si>
  <si>
    <t>вул. Інтернаціональна, 6</t>
  </si>
  <si>
    <t>80337296120</t>
  </si>
  <si>
    <t>Загальноосвітня школа І-ІІ ступеня с.Морозовичі Іваничівського району Волинської області</t>
  </si>
  <si>
    <t>45314</t>
  </si>
  <si>
    <t>0721183301</t>
  </si>
  <si>
    <t>Морозовичі</t>
  </si>
  <si>
    <t>вул. Шкільна, 44</t>
  </si>
  <si>
    <t>(03372)96-3-40</t>
  </si>
  <si>
    <t>Загальноосвітня школа І-ІІІ ступеня с. Мишів</t>
  </si>
  <si>
    <t>45326</t>
  </si>
  <si>
    <t>0721183401</t>
  </si>
  <si>
    <t>Мишів</t>
  </si>
  <si>
    <t>0337297337</t>
  </si>
  <si>
    <t>Загальноосвітня школа І ступеня с. Древині Іваничівського району Волинської області</t>
  </si>
  <si>
    <t>45327</t>
  </si>
  <si>
    <t>0721183403</t>
  </si>
  <si>
    <t>Древині</t>
  </si>
  <si>
    <t>вул. Зелена, 16А</t>
  </si>
  <si>
    <t>0979339542</t>
  </si>
  <si>
    <t>http://drevyni.ivosvita.org</t>
  </si>
  <si>
    <t>Загальноосвітня школа І ступеня с.Іванівка</t>
  </si>
  <si>
    <t>0721183405</t>
  </si>
  <si>
    <t>вул. Центральна, 29А</t>
  </si>
  <si>
    <t>(096)1369078</t>
  </si>
  <si>
    <t>http://ivanivka.ivosvita.org</t>
  </si>
  <si>
    <t>загальноосвітня школа І-ІІІ ступеня с. Павлівка Іваничівського району Волинської області</t>
  </si>
  <si>
    <t>45342</t>
  </si>
  <si>
    <t>0721183801</t>
  </si>
  <si>
    <t>93372</t>
  </si>
  <si>
    <t>http://pavlivka.ivosvita.org</t>
  </si>
  <si>
    <t>Навчально-виховний комплекс "Дошкільній навчальний заклад-Загальноосвітня школа І ступеня" села Самоволя Іваничівського району Волинської області</t>
  </si>
  <si>
    <t>0721183803</t>
  </si>
  <si>
    <t>Самоволя</t>
  </si>
  <si>
    <t>вул. Шевченка, 30</t>
  </si>
  <si>
    <t>Загальноосвітня школа І ступеня с.Старосілля Іваничівського району Волинської області</t>
  </si>
  <si>
    <t>0721183805</t>
  </si>
  <si>
    <t>Старосілля</t>
  </si>
  <si>
    <t>вул. Лесі Українки, 53</t>
  </si>
  <si>
    <t>0978669187</t>
  </si>
  <si>
    <t>Загальноосвітня школа І ступеня с. Переславичі Іваничівського району Волинської області</t>
  </si>
  <si>
    <t>45344</t>
  </si>
  <si>
    <t>0721184201</t>
  </si>
  <si>
    <t>Переславичі</t>
  </si>
  <si>
    <t>вул. Незалежності, 58</t>
  </si>
  <si>
    <t>Загальноосвітня школа І-ІІ ступеня с. Трубки, Іваничівського району Волинської області</t>
  </si>
  <si>
    <t>45345</t>
  </si>
  <si>
    <t>0721184202</t>
  </si>
  <si>
    <t>Трубки</t>
  </si>
  <si>
    <t>вул. Вереснева, 26</t>
  </si>
  <si>
    <t>(067)6652520</t>
  </si>
  <si>
    <t>Загальноосвітня школа І-ІІІ ступеня с. Поромів Іваничівського району Волинської області</t>
  </si>
  <si>
    <t>45311</t>
  </si>
  <si>
    <t>0721184401</t>
  </si>
  <si>
    <t>Поромів</t>
  </si>
  <si>
    <t>вул. Тимовського, 15</t>
  </si>
  <si>
    <t>0989641462</t>
  </si>
  <si>
    <t>http://poromiv.ivosvita.org</t>
  </si>
  <si>
    <t>Загальноосвітня школа І-ступеня с.Лежниця Іваничівського району Волинської області</t>
  </si>
  <si>
    <t>0721184402</t>
  </si>
  <si>
    <t>Лежниця</t>
  </si>
  <si>
    <t>0962181988</t>
  </si>
  <si>
    <t>Загальноосвітня школа І ступеня с. Млинище, Іваничівський район, Волинська область</t>
  </si>
  <si>
    <t>0721184403</t>
  </si>
  <si>
    <t>Млинище</t>
  </si>
  <si>
    <t>вул. Шахтарська, 74</t>
  </si>
  <si>
    <t>(38)0982702978</t>
  </si>
  <si>
    <t>Загальноосвітня школа І - ІІ ступеня с. Радовичі Іваничівського району Волинської області</t>
  </si>
  <si>
    <t>45333</t>
  </si>
  <si>
    <t>0721184601</t>
  </si>
  <si>
    <t>Радовичі</t>
  </si>
  <si>
    <t>http://radovychi.ivosvita.org/</t>
  </si>
  <si>
    <t>Загальноосвітня школа І ступеня с. Щенятин Іваничівського району, Волинської області</t>
  </si>
  <si>
    <t>0721184602</t>
  </si>
  <si>
    <t>Щенятин</t>
  </si>
  <si>
    <t>вул. Стуги, 17А</t>
  </si>
  <si>
    <t>Загальноосвітня школа І-ІІІ ступеня с.Риковичі, Іваничівського району , Волинської області</t>
  </si>
  <si>
    <t>45340</t>
  </si>
  <si>
    <t>0721185601</t>
  </si>
  <si>
    <t>Риковичі</t>
  </si>
  <si>
    <t>вул. Центральна, 68,а</t>
  </si>
  <si>
    <t>(3372)96449</t>
  </si>
  <si>
    <t>Комунальний заклад "Соснинська загальноосвітня школа І-ІІІ ступенів імені Сергія Байдовського" Іваничівської районної ради Волинської області</t>
  </si>
  <si>
    <t>45323</t>
  </si>
  <si>
    <t>0721186801</t>
  </si>
  <si>
    <t>Соснина</t>
  </si>
  <si>
    <t>вул. Б. Хмельницького, 125</t>
  </si>
  <si>
    <t>(03372)97457</t>
  </si>
  <si>
    <t>http://sosnyna.ivosvita.org</t>
  </si>
  <si>
    <t>Загальноосвітня школа І ступеня с.Менчичі Іваничівського району Волинської області</t>
  </si>
  <si>
    <t>0721186802</t>
  </si>
  <si>
    <t>Менчичі</t>
  </si>
  <si>
    <t>(096)2619822</t>
  </si>
  <si>
    <t>http://menchychi.ivosvita.org/</t>
  </si>
  <si>
    <t>Загальноосвітня школа І-ІІІ ступеня с. Стара Лішня Іваничівського району Волинської області</t>
  </si>
  <si>
    <t>45312</t>
  </si>
  <si>
    <t>0721187701</t>
  </si>
  <si>
    <t>Стара Лішня</t>
  </si>
  <si>
    <t>(03372)96640</t>
  </si>
  <si>
    <t>Загальноосвітня школа І-ІІ ступеня с. Будятичі, Іваничівського району, Волинської області</t>
  </si>
  <si>
    <t>45313</t>
  </si>
  <si>
    <t>0721187702</t>
  </si>
  <si>
    <t>Будятичі</t>
  </si>
  <si>
    <t>вул. Жовтнева, 16</t>
  </si>
  <si>
    <t>(03344)45279</t>
  </si>
  <si>
    <t>http://budiatychi.ivosvita.org</t>
  </si>
  <si>
    <t>Загальноосвітня школа І-ІІ ступенів с.Старий Порицьк Іваничівського ройону Волинської області</t>
  </si>
  <si>
    <t>45343</t>
  </si>
  <si>
    <t>0721187901</t>
  </si>
  <si>
    <t>Старий Порицьк</t>
  </si>
  <si>
    <t>вул. Молодіжна, 6А</t>
  </si>
  <si>
    <t>(03372)95634</t>
  </si>
  <si>
    <t>Загальноосвітня школа І-ІІ ступеня с.Топилище Іваничівського району Волинської області</t>
  </si>
  <si>
    <t>45341</t>
  </si>
  <si>
    <t>0721188501</t>
  </si>
  <si>
    <t>Топилище</t>
  </si>
  <si>
    <t>вул. центральна, 47А</t>
  </si>
  <si>
    <t>(096)9453348</t>
  </si>
  <si>
    <t>Навчально-виховний комплекс "Загальноосвітня школа І-ІІІ ступенів-гімназія" № 2 м. Каменя-Каширського Волинської області</t>
  </si>
  <si>
    <t>44500</t>
  </si>
  <si>
    <t>0721410100</t>
  </si>
  <si>
    <t>Камінь-Каширський</t>
  </si>
  <si>
    <t>вул. Шевченка, 68</t>
  </si>
  <si>
    <t>(033)5721483</t>
  </si>
  <si>
    <t>http://kamin-NVK2.klasna.com</t>
  </si>
  <si>
    <t>Навчально-виховний комплекс "Загальноосвітня школа І-ІІІ ступенів-ліцей" № 1 ім. Євгена Шабліовського м.Каменя -Каширського</t>
  </si>
  <si>
    <t>вул. Воля, 4</t>
  </si>
  <si>
    <t>(03357)23741</t>
  </si>
  <si>
    <t>Загальноосвітня школа І-ІІІ ступенів с. Підцир'я Камінь-Каширського району Волинської області</t>
  </si>
  <si>
    <t>0721410102</t>
  </si>
  <si>
    <t>Підцир'я</t>
  </si>
  <si>
    <t>вул. Валерія Савчука, 7</t>
  </si>
  <si>
    <t>(03357)98249</t>
  </si>
  <si>
    <t>https://sites.google.com/site/podzirask/batkam</t>
  </si>
  <si>
    <t>Загальноосвітня школа І-ІІІ ступеня села Боровне Камінь-Каширського району Волинської області</t>
  </si>
  <si>
    <t>44562</t>
  </si>
  <si>
    <t>0721480301</t>
  </si>
  <si>
    <t>Боровне</t>
  </si>
  <si>
    <t>вул. Центральна, 97А</t>
  </si>
  <si>
    <t>(03357)9-29-37</t>
  </si>
  <si>
    <t>Загальноосвітня школа I-III ступенів села Житнівка Камінь-Каширського району Волинської області</t>
  </si>
  <si>
    <t>0721480302</t>
  </si>
  <si>
    <t>Житнівка</t>
  </si>
  <si>
    <t>92989</t>
  </si>
  <si>
    <t>http://zhytnivka.ucoz.ua</t>
  </si>
  <si>
    <t>загальноосвітня школа І-ІІІ ступенів с. Брониця</t>
  </si>
  <si>
    <t>44535</t>
  </si>
  <si>
    <t>0721480601</t>
  </si>
  <si>
    <t>Брониця</t>
  </si>
  <si>
    <t>вул. Лесі Українки, 3</t>
  </si>
  <si>
    <t>(03357)9-11-19</t>
  </si>
  <si>
    <t>Загальноосвітня школа І-ІІІ ступенів с.Бузаки Камінь-Каширського району Волинської області</t>
  </si>
  <si>
    <t>44523</t>
  </si>
  <si>
    <t>0721480801</t>
  </si>
  <si>
    <t>Бузаки</t>
  </si>
  <si>
    <t>вул. 8 Березня, 66</t>
  </si>
  <si>
    <t>(03357)99714</t>
  </si>
  <si>
    <t>Загальноосітня школа І ступеня села Краснилівка</t>
  </si>
  <si>
    <t>0721480802</t>
  </si>
  <si>
    <t>Краснилівка</t>
  </si>
  <si>
    <t>вул. Івана Франка, 45</t>
  </si>
  <si>
    <t>(097)8704579</t>
  </si>
  <si>
    <t>загальноосвітня школа І-ІІ ступенів села Великий Обзир Камінь-Каширського району Волинської області</t>
  </si>
  <si>
    <t>44571</t>
  </si>
  <si>
    <t>0721481001</t>
  </si>
  <si>
    <t>Великий Обзир</t>
  </si>
  <si>
    <t>вул. Вереснева, 3</t>
  </si>
  <si>
    <t>9-16-40</t>
  </si>
  <si>
    <t>загальноосвітня школа І-ІІ ступеня села Верхи</t>
  </si>
  <si>
    <t>44570</t>
  </si>
  <si>
    <t>0721481201</t>
  </si>
  <si>
    <t>Верхи</t>
  </si>
  <si>
    <t>вул. Купчина, 16</t>
  </si>
  <si>
    <t>Загальноосвітня школа І-ІІІ ступенів с. Воєгоща</t>
  </si>
  <si>
    <t>44534</t>
  </si>
  <si>
    <t>0721481401</t>
  </si>
  <si>
    <t>Воєгоща</t>
  </si>
  <si>
    <t>0335797795</t>
  </si>
  <si>
    <t>http://schoolvoegoscha.ucoz.net</t>
  </si>
  <si>
    <t>Загальноосвітня школа І-ІІІ ступенів с.Ворокомле Камінь-Каширського району Волинської області</t>
  </si>
  <si>
    <t>44530</t>
  </si>
  <si>
    <t>0721481801</t>
  </si>
  <si>
    <t>Ворокомле</t>
  </si>
  <si>
    <t>0335793338</t>
  </si>
  <si>
    <t>загальноосвітня школа І-ІІІ ступенів села Видерта Камінь-Каширського району Волинської області</t>
  </si>
  <si>
    <t>44520</t>
  </si>
  <si>
    <t>0721482001</t>
  </si>
  <si>
    <t>Видерта</t>
  </si>
  <si>
    <t>вул. Ковельська, 130</t>
  </si>
  <si>
    <t>9-31-31</t>
  </si>
  <si>
    <t>http://www.vuderta-school.at.ua</t>
  </si>
  <si>
    <t>Навчально-виховний комплекс "Загальноосвітня школа І-ІІІ ступенів - дошкілький навчальний заклад села Видричі" Камінь-Каширського району, Волинської області</t>
  </si>
  <si>
    <t>44516</t>
  </si>
  <si>
    <t>0721482201</t>
  </si>
  <si>
    <t>Видричі</t>
  </si>
  <si>
    <t>вул. Центральна, 71</t>
  </si>
  <si>
    <t>(03357)9-57-55</t>
  </si>
  <si>
    <t>Загальноосвітня школа І ступеня села Дубровиця</t>
  </si>
  <si>
    <t>0721482202</t>
  </si>
  <si>
    <t>Дубровиця</t>
  </si>
  <si>
    <t>вул. Нова, 12</t>
  </si>
  <si>
    <t>(096)9453534</t>
  </si>
  <si>
    <t>Загальноосвітня школа І-ІІ ступеня села Теклине Камінь-Каширського району Волинської області</t>
  </si>
  <si>
    <t>44517</t>
  </si>
  <si>
    <t>0721482203</t>
  </si>
  <si>
    <t>Теклине</t>
  </si>
  <si>
    <t>вул. Шевченка, 49</t>
  </si>
  <si>
    <t>(03357)9-57-46</t>
  </si>
  <si>
    <t>загальноосвітня школа І-ІІІ ступеня села Грудки</t>
  </si>
  <si>
    <t>44521</t>
  </si>
  <si>
    <t>0721482801</t>
  </si>
  <si>
    <t>Грудки</t>
  </si>
  <si>
    <t>пл. Соціальна, 2</t>
  </si>
  <si>
    <t>(257)9-72-40</t>
  </si>
  <si>
    <t>http://grudkyschool.at.ua</t>
  </si>
  <si>
    <t>Загальноосвітня школа І-ІІІ ступеня села Гута-Боровенська Камінь-Каширського району</t>
  </si>
  <si>
    <t>44553</t>
  </si>
  <si>
    <t>0721483101</t>
  </si>
  <si>
    <t>Гута-Боровенська</t>
  </si>
  <si>
    <t>вул. Острів, 1</t>
  </si>
  <si>
    <t>Загальноосвітня школа І-ІІІ ступенів с. Добре Камінь-Каширської районної ради Волинської області</t>
  </si>
  <si>
    <t>44513</t>
  </si>
  <si>
    <t>0721483301</t>
  </si>
  <si>
    <t>Добре</t>
  </si>
  <si>
    <t>(257)9-91-40</t>
  </si>
  <si>
    <t>загальноосвітня школа І-ІІІ ступенів села Залісся Камінь-Каширського району Волинської області</t>
  </si>
  <si>
    <t>44541</t>
  </si>
  <si>
    <t>0721483701</t>
  </si>
  <si>
    <t>Залісся</t>
  </si>
  <si>
    <t>вул. Радянська, 66</t>
  </si>
  <si>
    <t>(03357)94740</t>
  </si>
  <si>
    <t>Загальноосвітня школа І - ІІІ ступенів села Карасин Камінь-Каширського району Волинської області</t>
  </si>
  <si>
    <t>44572</t>
  </si>
  <si>
    <t>0721484301</t>
  </si>
  <si>
    <t>Карасин</t>
  </si>
  <si>
    <t>вул. Молодіжна, 15/А</t>
  </si>
  <si>
    <t>(033)9-67-37</t>
  </si>
  <si>
    <t>Загальноосвітня школа І ступеня села Карпилівка Камінь-Каширського району Волинської області</t>
  </si>
  <si>
    <t>44574</t>
  </si>
  <si>
    <t>0721484302</t>
  </si>
  <si>
    <t>Карпилівка</t>
  </si>
  <si>
    <t>вул. Незалежності, 21</t>
  </si>
  <si>
    <t>(096)6806308</t>
  </si>
  <si>
    <t>Загальноосвітня школа І-ІІІ ступенів с. Качин Камінь-Каширського району Волинської області</t>
  </si>
  <si>
    <t>44542</t>
  </si>
  <si>
    <t>0721484601</t>
  </si>
  <si>
    <t>Качин</t>
  </si>
  <si>
    <t>вул. Центральна, 40</t>
  </si>
  <si>
    <t>(03357)9-37-40</t>
  </si>
  <si>
    <t>Загальноосвітня школа І-ІІ ступенів с. Клітицьк Камінь-Каширського району Волинської області</t>
  </si>
  <si>
    <t>44550</t>
  </si>
  <si>
    <t>0721484801</t>
  </si>
  <si>
    <t>Клітицьк</t>
  </si>
  <si>
    <t>вул. 8 Березня, 4</t>
  </si>
  <si>
    <t>(257)9-86-31</t>
  </si>
  <si>
    <t>Гуто-Камінська загальноосвітня школа І-ІІ ступенів Камінь-Каширської районної ради Волинської області</t>
  </si>
  <si>
    <t>44551</t>
  </si>
  <si>
    <t>0721484802</t>
  </si>
  <si>
    <t>Гута-Камінська</t>
  </si>
  <si>
    <t>вул. Центральна, 97</t>
  </si>
  <si>
    <t>98620</t>
  </si>
  <si>
    <t>Загальноосвітня школа І-ІІ ступенів села Личини Камінь-Каширського району Волинської області</t>
  </si>
  <si>
    <t>44544</t>
  </si>
  <si>
    <t>0721485001</t>
  </si>
  <si>
    <t>Личини</t>
  </si>
  <si>
    <t>9-27-40, 0969133833</t>
  </si>
  <si>
    <t>Загальноосвітня школа І-ІІ ступенів села Мельники-Мостище Камінь-Каширського району Волинської області</t>
  </si>
  <si>
    <t>44514</t>
  </si>
  <si>
    <t>0721485201</t>
  </si>
  <si>
    <t>Мельники-Мостище</t>
  </si>
  <si>
    <t>вул. Ладана, 3</t>
  </si>
  <si>
    <t>(03357)91746</t>
  </si>
  <si>
    <t>Загальноосвітня школа І-ІІ ступенів, с. Мостище , Міністерство освіти і науки України, Волинська область</t>
  </si>
  <si>
    <t>44515</t>
  </si>
  <si>
    <t>0721485202</t>
  </si>
  <si>
    <t>Мостище</t>
  </si>
  <si>
    <t>вул. Нова, 4</t>
  </si>
  <si>
    <t>3-17-13</t>
  </si>
  <si>
    <t>Загальноосвітня школа І-ІІІ ступенів с.Нові Червища Камінь-Каширського району Волинської області</t>
  </si>
  <si>
    <t>44560</t>
  </si>
  <si>
    <t>0721485401</t>
  </si>
  <si>
    <t>Нові Червища</t>
  </si>
  <si>
    <t>(03357)9-26-40</t>
  </si>
  <si>
    <t>Загальноосвітня школа І-ІІ ступенів с. Рудка-Червинська Камінь-Каширського району Волинської області</t>
  </si>
  <si>
    <t>44561</t>
  </si>
  <si>
    <t>0721485402</t>
  </si>
  <si>
    <t>Рудка-Червинська</t>
  </si>
  <si>
    <t>вул. Центральна, 53</t>
  </si>
  <si>
    <t>(03357)9-26-27</t>
  </si>
  <si>
    <t>Загальноосвітня школа I-III ступенів села Нуйно Камінь-Каширського району Волинської області</t>
  </si>
  <si>
    <t>44540</t>
  </si>
  <si>
    <t>0721485601</t>
  </si>
  <si>
    <t>Нуйно</t>
  </si>
  <si>
    <t>вул. Лесі Українки, 76</t>
  </si>
  <si>
    <t>(03357)9-41-84</t>
  </si>
  <si>
    <t>http://nuyno-zosh.at.ua/</t>
  </si>
  <si>
    <t>Загальноосвітня школа І-ІІ ступенів села Оленине Камінь-Каширського району Волинської області</t>
  </si>
  <si>
    <t>44563</t>
  </si>
  <si>
    <t>0721485701</t>
  </si>
  <si>
    <t>Оленине</t>
  </si>
  <si>
    <t>вул. Гряда, 1</t>
  </si>
  <si>
    <t>(03357)92940</t>
  </si>
  <si>
    <t>загальноосвітня школа І-ІІ ступенів села Осівці</t>
  </si>
  <si>
    <t>44522</t>
  </si>
  <si>
    <t>0721485801</t>
  </si>
  <si>
    <t>Осівці</t>
  </si>
  <si>
    <t>(257)9-72-26</t>
  </si>
  <si>
    <t>Загальноосвітня школа І-ІІІ ступенів с. Піщане</t>
  </si>
  <si>
    <t>44565</t>
  </si>
  <si>
    <t>0721485901</t>
  </si>
  <si>
    <t>Піщане</t>
  </si>
  <si>
    <t>вул. Миру, 23</t>
  </si>
  <si>
    <t>9-51-46</t>
  </si>
  <si>
    <t>http://pischaneschool.jimdo.com</t>
  </si>
  <si>
    <t>опорний навчальний заклад "загальноосвітня школа І-ІІІ ступенів с. Пнівне"</t>
  </si>
  <si>
    <t>44531</t>
  </si>
  <si>
    <t>0721486201</t>
  </si>
  <si>
    <t>Пнівне</t>
  </si>
  <si>
    <t>вул. Центральна, 6</t>
  </si>
  <si>
    <t>(03357)9-31-16</t>
  </si>
  <si>
    <t>http://pnivne.at.ua</t>
  </si>
  <si>
    <t>Загальноосвітня школа І ступеня села Волиця Пнівненської сільської ради Камінь-Каширського району Волинської області</t>
  </si>
  <si>
    <t>44533</t>
  </si>
  <si>
    <t>0721486203</t>
  </si>
  <si>
    <t>Волиця</t>
  </si>
  <si>
    <t>0989555431</t>
  </si>
  <si>
    <t>Загальноосвітня школа І-ІІ ступенів с. Соснівка Камінь-Каширський р-н Волинська обл.</t>
  </si>
  <si>
    <t>0721486205</t>
  </si>
  <si>
    <t>Соснівка</t>
  </si>
  <si>
    <t>(03357)92156</t>
  </si>
  <si>
    <t>загальноосвітня школа І ступеня села Фаринки</t>
  </si>
  <si>
    <t>44532</t>
  </si>
  <si>
    <t>0721486206</t>
  </si>
  <si>
    <t>Фаринки</t>
  </si>
  <si>
    <t>вул. Миру, 20</t>
  </si>
  <si>
    <t>(03357)0961623918</t>
  </si>
  <si>
    <t>Загальноосвітня школа І-ІІІ ступеня села Полиці Камінь-Каширського району Волинської області</t>
  </si>
  <si>
    <t>44552</t>
  </si>
  <si>
    <t>0721486401</t>
  </si>
  <si>
    <t>Полиці</t>
  </si>
  <si>
    <t>(03357)97140</t>
  </si>
  <si>
    <t>http://polyzi-school.at.ua</t>
  </si>
  <si>
    <t>Загальноосвітня школа І-ІІІ ступеня с. Раків Ліс Камінь-Каширського району Волинської області</t>
  </si>
  <si>
    <t>44524</t>
  </si>
  <si>
    <t>0721486601</t>
  </si>
  <si>
    <t>Раків Ліс</t>
  </si>
  <si>
    <t>(03357)90216</t>
  </si>
  <si>
    <t>Загальноосвітня школа І-ІІ ступеня села Підріччя</t>
  </si>
  <si>
    <t>44525</t>
  </si>
  <si>
    <t>0721486602</t>
  </si>
  <si>
    <t>Підріччя</t>
  </si>
  <si>
    <t>90276</t>
  </si>
  <si>
    <t>Загальноосвітня школа І-ІІІ ступенів с. Сошичне Камінь-Каширського району Волинської області</t>
  </si>
  <si>
    <t>44543</t>
  </si>
  <si>
    <t>0721486901</t>
  </si>
  <si>
    <t>Сошичне</t>
  </si>
  <si>
    <t>(033)579-19-31</t>
  </si>
  <si>
    <t>Загальноосвітня школа І-ІІ ступенів села Стобихівка</t>
  </si>
  <si>
    <t>44575</t>
  </si>
  <si>
    <t>0721487101</t>
  </si>
  <si>
    <t>Стобихівка</t>
  </si>
  <si>
    <t>вул. Незалежності, 24</t>
  </si>
  <si>
    <t>0961019285</t>
  </si>
  <si>
    <t>Загальноосвітня школа І-ІІ ступенів с.Радошинка</t>
  </si>
  <si>
    <t>44573</t>
  </si>
  <si>
    <t>0721487103</t>
  </si>
  <si>
    <t>Радошинка</t>
  </si>
  <si>
    <t>вул. Миру, 18</t>
  </si>
  <si>
    <t>Загальноосвітня школа І-ІІІ ступенів села Тоболи</t>
  </si>
  <si>
    <t>44554</t>
  </si>
  <si>
    <t>0721487401</t>
  </si>
  <si>
    <t>Тоболи</t>
  </si>
  <si>
    <t>(03357)92340</t>
  </si>
  <si>
    <t>Загальноосвітня школа І ступеня с. Старі Червища</t>
  </si>
  <si>
    <t>0721487402</t>
  </si>
  <si>
    <t>Старі Червища</t>
  </si>
  <si>
    <t>вул. Жовтнева, 31</t>
  </si>
  <si>
    <t>(068)6267391</t>
  </si>
  <si>
    <t>Загальноосвітня школа І-ІІІ ступеня села Хотешів, Камінь-Каширського району, Волинської області</t>
  </si>
  <si>
    <t>44512</t>
  </si>
  <si>
    <t>0721487901</t>
  </si>
  <si>
    <t>Хотешів</t>
  </si>
  <si>
    <t>(097)763-51-01</t>
  </si>
  <si>
    <t>загальноосвітня школа І ступеня села Котуш</t>
  </si>
  <si>
    <t>0721487902</t>
  </si>
  <si>
    <t>Котуш</t>
  </si>
  <si>
    <t>Загальноосвітня школа I-III ступенів с.Черче Камінь-Каширського району Волинської області</t>
  </si>
  <si>
    <t>44510</t>
  </si>
  <si>
    <t>0721488601</t>
  </si>
  <si>
    <t>Черче</t>
  </si>
  <si>
    <t>(03357)96140</t>
  </si>
  <si>
    <t>Загальноосвітня школа І ступеня с. Острівок Камінь-Каширського р-ну Волинської обл.</t>
  </si>
  <si>
    <t>0721488602</t>
  </si>
  <si>
    <t>Острівок</t>
  </si>
  <si>
    <t>вул. Вишнева, 23</t>
  </si>
  <si>
    <t>0978755835</t>
  </si>
  <si>
    <t>Загальноосвітня школа І-ІІ ступенів с.Підбороччя Камінь-Каширської районної ради Волинської області</t>
  </si>
  <si>
    <t>44511</t>
  </si>
  <si>
    <t>0721488603</t>
  </si>
  <si>
    <t>Підбороччя</t>
  </si>
  <si>
    <t>(03357)96114</t>
  </si>
  <si>
    <t>Загальноосвітня школа І-ІІІ ступеня № 3 м. Ківерці Волинської області</t>
  </si>
  <si>
    <t>45200</t>
  </si>
  <si>
    <t>0721810100</t>
  </si>
  <si>
    <t>Ківерці</t>
  </si>
  <si>
    <t>вул. Шевченка, 13</t>
  </si>
  <si>
    <t>(03365)21564, (03365)21436</t>
  </si>
  <si>
    <t>Загальноосвітня школа І-ІІІ ступеня № 1 м. Ківерці Волинська область</t>
  </si>
  <si>
    <t>вул. Київська, 43</t>
  </si>
  <si>
    <t>(03365)32466</t>
  </si>
  <si>
    <t>Загальноосвітня школа І-ІІІ ступеня № 4 м.Ківерці</t>
  </si>
  <si>
    <t>(03365)21969, (03365)21271</t>
  </si>
  <si>
    <t>Ківерцівська експериментальна Всеукраїнського рівня загальноосвітня школа-коплекс І- ІІІ ступенів Ківерцівської районної ради Волинської області</t>
  </si>
  <si>
    <t>вул. Дорошенка, 40 а</t>
  </si>
  <si>
    <t>(03365)21109</t>
  </si>
  <si>
    <t>http://kivexschool.wix.com/kesh</t>
  </si>
  <si>
    <t>Навчально-виховний комплекс «Ківерцівська загальноосвітня школа І ступеня – Ківерцівська районна гімназія» Ківерцівської районної ради Волинської області</t>
  </si>
  <si>
    <t>вул. Тиверців, 6</t>
  </si>
  <si>
    <t>(03365)2-27-59, (03365)2-19-08</t>
  </si>
  <si>
    <t>http://www.gimnaz-kiv.at.ua</t>
  </si>
  <si>
    <t>загальноосвітня школа І-ІІІ ст. смт. Олика Ківерцівський р-н Волинська обл.</t>
  </si>
  <si>
    <t>45263</t>
  </si>
  <si>
    <t>0721855400</t>
  </si>
  <si>
    <t>Олика</t>
  </si>
  <si>
    <t>(03365)95230</t>
  </si>
  <si>
    <t>Загальноосвітня школа І-ІІ ступеня с. Личани</t>
  </si>
  <si>
    <t>0721855401</t>
  </si>
  <si>
    <t>Личани</t>
  </si>
  <si>
    <t>вул. Філатова, 28</t>
  </si>
  <si>
    <t>(03365)95527</t>
  </si>
  <si>
    <t>загальноосвітня школа І ступеня с. Метельне Ківерцівський район Волинська область</t>
  </si>
  <si>
    <t>45272</t>
  </si>
  <si>
    <t>0721855402</t>
  </si>
  <si>
    <t>Метельне</t>
  </si>
  <si>
    <t>вул. Денисюка, 15</t>
  </si>
  <si>
    <t>(095)5052290</t>
  </si>
  <si>
    <t>Загальноосвітня школа І-ІІІ ступеня смт Цумань Ківерцівського району Волинської області</t>
  </si>
  <si>
    <t>45233</t>
  </si>
  <si>
    <t>0721855700</t>
  </si>
  <si>
    <t>Цумань</t>
  </si>
  <si>
    <t>вул. Незалежності, 14</t>
  </si>
  <si>
    <t>(096)6402693, (067)6075527</t>
  </si>
  <si>
    <t>http://cumanschool.at.ua</t>
  </si>
  <si>
    <t>Загальноосвітня школа І ступеня с. Кадище Ківерцівського району Волинської області</t>
  </si>
  <si>
    <t>45234</t>
  </si>
  <si>
    <t>0721855701</t>
  </si>
  <si>
    <t>Кадище</t>
  </si>
  <si>
    <t>0505563082</t>
  </si>
  <si>
    <t>Загальноосвітня школа І-ІІІступеня с. Берестяне Ківерцівського району Волинської області</t>
  </si>
  <si>
    <t>45215</t>
  </si>
  <si>
    <t>0721880401</t>
  </si>
  <si>
    <t>Берестяне</t>
  </si>
  <si>
    <t>наб. Набережна, 28</t>
  </si>
  <si>
    <t>(03365)98640</t>
  </si>
  <si>
    <t>Загальноосвітня школа І-ІІ ступеня с. Борохів Ківерцівський район Волинська область</t>
  </si>
  <si>
    <t>45245</t>
  </si>
  <si>
    <t>0721880801</t>
  </si>
  <si>
    <t>Борохів</t>
  </si>
  <si>
    <t>вул. Визволителів, 24</t>
  </si>
  <si>
    <t>((03365))97110</t>
  </si>
  <si>
    <t>Загальноосвітня школа І ступення с. Вишнів, Ківерцівського району, Волинської області</t>
  </si>
  <si>
    <t>45271</t>
  </si>
  <si>
    <t>0721880802</t>
  </si>
  <si>
    <t>Вишнів</t>
  </si>
  <si>
    <t>вул. Лесі Українки, 22</t>
  </si>
  <si>
    <t>(095)2199555</t>
  </si>
  <si>
    <t>загальноосвітня школа І-ІІІ ступеня с.Грем'яче Ківерцівського району Волинської області</t>
  </si>
  <si>
    <t>45235</t>
  </si>
  <si>
    <t>0721881301</t>
  </si>
  <si>
    <t>Грем'яче</t>
  </si>
  <si>
    <t>вул. Грушевського, 60</t>
  </si>
  <si>
    <t>(03365)9-68-40</t>
  </si>
  <si>
    <t>Навчально-виховний комплекс "Загальноосвітня школа І ступеня - дошкільний навчальний заклад" с.Скреготівка Ківерцівського району Волинської області</t>
  </si>
  <si>
    <t>0721881302</t>
  </si>
  <si>
    <t>Скреготівка</t>
  </si>
  <si>
    <t>вул. Жовтнева, 17</t>
  </si>
  <si>
    <t>(03365)9-68-32</t>
  </si>
  <si>
    <t>загальноосвітня школа І-ІІІ ступеня с. Дідичі Ківерцівського району Волинської області</t>
  </si>
  <si>
    <t>45261</t>
  </si>
  <si>
    <t>0721881601</t>
  </si>
  <si>
    <t>Дідичі</t>
  </si>
  <si>
    <t>(03365)99945</t>
  </si>
  <si>
    <t>ЗОШ І-ІІ ст. с. Залісоче Ківерцівського р-ну Волинської обл</t>
  </si>
  <si>
    <t>45262</t>
  </si>
  <si>
    <t>0721881605</t>
  </si>
  <si>
    <t>Залісоче</t>
  </si>
  <si>
    <t>(03365)95240, 0997327611</t>
  </si>
  <si>
    <t>Загальноосвітня школа І-ІІІ ступеня с. Дерно Ківерцівського району Волинської області</t>
  </si>
  <si>
    <t>45260</t>
  </si>
  <si>
    <t>0721882001</t>
  </si>
  <si>
    <t>Дерно</t>
  </si>
  <si>
    <t>вул. Першотравнева, 12</t>
  </si>
  <si>
    <t>(03365)9-32-40</t>
  </si>
  <si>
    <t>http://www.derno.at.ua</t>
  </si>
  <si>
    <t>Загальноосвітня школа І-ІІ ступеня с. Котів Ківерцівського району Волинської обл.</t>
  </si>
  <si>
    <t>0721882002</t>
  </si>
  <si>
    <t>Котів</t>
  </si>
  <si>
    <t>вул. Суворова, 22</t>
  </si>
  <si>
    <t>(3365)99130</t>
  </si>
  <si>
    <t>Навчально-виховний комплекс "Загальноосвітня школа І-ІІ ступенів - дошкільний навчальний заклад" села Мощаниця Ківерцівського району Волинської області</t>
  </si>
  <si>
    <t>0721882003</t>
  </si>
  <si>
    <t>Мощаниця</t>
  </si>
  <si>
    <t>(03365)94226</t>
  </si>
  <si>
    <t>Загальноосвітня школа І ступеня села Ставок Ківерцівський район Волинська область</t>
  </si>
  <si>
    <t>0721882005</t>
  </si>
  <si>
    <t>Ставок</t>
  </si>
  <si>
    <t>вул. Садова, 6</t>
  </si>
  <si>
    <t>(095)1285085</t>
  </si>
  <si>
    <t>Загальноосвітня школа І-ІІ ступеня села Дубище Ківерцівського району Волинської області</t>
  </si>
  <si>
    <t>45236</t>
  </si>
  <si>
    <t>0721882401</t>
  </si>
  <si>
    <t>Дубище</t>
  </si>
  <si>
    <t>вул. Незалежності, 28</t>
  </si>
  <si>
    <t>(050)9311197</t>
  </si>
  <si>
    <t>Загальноосвітня школа І-ІІ ст. с.Башлики Ківерцівський район, Волинська область</t>
  </si>
  <si>
    <t>45237</t>
  </si>
  <si>
    <t>0721882403</t>
  </si>
  <si>
    <t>Башлики</t>
  </si>
  <si>
    <t>ал. Шкільна, 15</t>
  </si>
  <si>
    <t>(03322)94250</t>
  </si>
  <si>
    <t>Загальноосвітня школа І-ІІІ ступеня села Жидичин Ківерцівського району Волинської області</t>
  </si>
  <si>
    <t>45240</t>
  </si>
  <si>
    <t>0721882701</t>
  </si>
  <si>
    <t>Жидичин</t>
  </si>
  <si>
    <t>вул. Б.Хмельницького, 1</t>
  </si>
  <si>
    <t>(003365)98940</t>
  </si>
  <si>
    <t>Загальноосвітня школа І ступеня села Кульчин Ківерцівського району Волинської області</t>
  </si>
  <si>
    <t>45241</t>
  </si>
  <si>
    <t>0721882703</t>
  </si>
  <si>
    <t>Кульчин</t>
  </si>
  <si>
    <t>вул. Заводська, 20</t>
  </si>
  <si>
    <t>Липлянська спеціальна загальноосвітня школа - інтернат</t>
  </si>
  <si>
    <t>0721882704</t>
  </si>
  <si>
    <t>Липляни</t>
  </si>
  <si>
    <t>вул. Санаторна, 8</t>
  </si>
  <si>
    <t>(03365)98918</t>
  </si>
  <si>
    <t>20140045</t>
  </si>
  <si>
    <t>Загальноосвітня школа І-ІІІ ступеня села Жорнище Ківерцівського району Волинської області</t>
  </si>
  <si>
    <t>45264</t>
  </si>
  <si>
    <t>0721882901</t>
  </si>
  <si>
    <t>вул. Центральна, 14А</t>
  </si>
  <si>
    <t>Загальноосвітня школа I ступеня с. Носовичі Ківерцівський район Волинська область</t>
  </si>
  <si>
    <t>0721882902</t>
  </si>
  <si>
    <t>Носовичі</t>
  </si>
  <si>
    <t>вул. Шевченка, 72</t>
  </si>
  <si>
    <t>(099)2337284</t>
  </si>
  <si>
    <t>Загальноосвітня школа І ступеня села Чемерин</t>
  </si>
  <si>
    <t>0721882903</t>
  </si>
  <si>
    <t>Чемерин</t>
  </si>
  <si>
    <t>вул. Гагаріна, 22А</t>
  </si>
  <si>
    <t>Загальноосвітня школа І-ІІІ ступеня с. Журавичі</t>
  </si>
  <si>
    <t>45213</t>
  </si>
  <si>
    <t>0721883101</t>
  </si>
  <si>
    <t>Журавичі</t>
  </si>
  <si>
    <t>вул. Шевченка, 10</t>
  </si>
  <si>
    <t>Навчально-виховний комплекс "Загальноосвітня школа І ступеня - дошкільний навчальний заклад з короткотривалим перебуванням дітей " села Домашів</t>
  </si>
  <si>
    <t>0721883102</t>
  </si>
  <si>
    <t>Домашів</t>
  </si>
  <si>
    <t>вул. Першотравнева, 29</t>
  </si>
  <si>
    <t>(03365)97521</t>
  </si>
  <si>
    <t>Загальноосвітня школа І-ІІ ступеня с.Завітне</t>
  </si>
  <si>
    <t>45221</t>
  </si>
  <si>
    <t>0721883301</t>
  </si>
  <si>
    <t>Завітне</t>
  </si>
  <si>
    <t>вул. Шевченка, 36</t>
  </si>
  <si>
    <t>(03365)98155</t>
  </si>
  <si>
    <t>Волинська обл. Ківерцівській р-н с.Човниця загальноосвітня школа I-II ст.</t>
  </si>
  <si>
    <t>45222</t>
  </si>
  <si>
    <t>0721883302</t>
  </si>
  <si>
    <t>Човниця</t>
  </si>
  <si>
    <t>вул. Кравчука, 16</t>
  </si>
  <si>
    <t>(03365)98126</t>
  </si>
  <si>
    <t>Загальноосвітня школа І-ІІ ступеня с.Звірів Ківерцівський р-н Волинська обл.</t>
  </si>
  <si>
    <t>45250</t>
  </si>
  <si>
    <t>0721883601</t>
  </si>
  <si>
    <t>Звірів</t>
  </si>
  <si>
    <t>вул. Київська, 49</t>
  </si>
  <si>
    <t>(265)99740</t>
  </si>
  <si>
    <t>загальноосвітня школа І ступеня с. Веснянка Ківерцівського району, Волинської області</t>
  </si>
  <si>
    <t>0721883602</t>
  </si>
  <si>
    <t>Веснянка</t>
  </si>
  <si>
    <t>вул. 1 Травня, 12</t>
  </si>
  <si>
    <t>(050)2804079</t>
  </si>
  <si>
    <t>Загальноосвітня школа І-ІІІ ступеня села Карпилівка</t>
  </si>
  <si>
    <t>45232</t>
  </si>
  <si>
    <t>0721883801</t>
  </si>
  <si>
    <t>вул. Івана Франка, 7А</t>
  </si>
  <si>
    <t>(03365)93902</t>
  </si>
  <si>
    <t>http://karpil-school.ucoz.ru</t>
  </si>
  <si>
    <t>Загальноосвітня школа І-ІІІ ступеня села Липне Ківерцівського району Волинської області</t>
  </si>
  <si>
    <t>45212</t>
  </si>
  <si>
    <t>0721884001</t>
  </si>
  <si>
    <t>Липне</t>
  </si>
  <si>
    <t>(03365)99440</t>
  </si>
  <si>
    <t>Ківерцівська районна рада Волинської області Загальноосвітня школа І-ІІ ступеня с.Омельне</t>
  </si>
  <si>
    <t>45210</t>
  </si>
  <si>
    <t>0721884301</t>
  </si>
  <si>
    <t>Омельне</t>
  </si>
  <si>
    <t>(03365)97448</t>
  </si>
  <si>
    <t>Загальноосвітня школа І-ІІІ ступеня села Озеро Ківерцівського району Волинської області</t>
  </si>
  <si>
    <t>0721884801</t>
  </si>
  <si>
    <t>Озеро</t>
  </si>
  <si>
    <t>вул. М. Олексюка, 10</t>
  </si>
  <si>
    <t>загальноосвітня школа І ступеня с. Озерце Ківерцівського району Волинської області</t>
  </si>
  <si>
    <t>45242</t>
  </si>
  <si>
    <t>0721885001</t>
  </si>
  <si>
    <t>Озерце</t>
  </si>
  <si>
    <t>вул. Жовтнева, 42</t>
  </si>
  <si>
    <t>0953302624</t>
  </si>
  <si>
    <t>Навчально-виховний комплекс "Загальноосвітня школа І-ІІ ступенів - донкільний навчальний заклад" с.Клепачів Ківерцівського району Волинської області</t>
  </si>
  <si>
    <t>0721885003</t>
  </si>
  <si>
    <t>Клепачів</t>
  </si>
  <si>
    <t>вул. Незалежності, 89</t>
  </si>
  <si>
    <t>9-64-40, (097)888-00-79</t>
  </si>
  <si>
    <t>Загальноосвітня школа І ступеня с. Небіжка Ківерцівський район, Волинська область</t>
  </si>
  <si>
    <t>0721885005</t>
  </si>
  <si>
    <t>Небіжка</t>
  </si>
  <si>
    <t>вул. Котляревського, 12</t>
  </si>
  <si>
    <t>21358</t>
  </si>
  <si>
    <t>Загальноосвітня школа І-ІІІ ступеня села Покащів Ківерцівського району Волинської області</t>
  </si>
  <si>
    <t>45253</t>
  </si>
  <si>
    <t>0721885401</t>
  </si>
  <si>
    <t>Покащів</t>
  </si>
  <si>
    <t>вул. Відродження, 101</t>
  </si>
  <si>
    <t>(03365)93313</t>
  </si>
  <si>
    <t>http://pokashchiv.at.ua</t>
  </si>
  <si>
    <t>Загальоосвітня школа І ступеня с. Одеради Ківерцівський район Волинська область</t>
  </si>
  <si>
    <t>42258</t>
  </si>
  <si>
    <t>0721885402</t>
  </si>
  <si>
    <t>Одеради</t>
  </si>
  <si>
    <t>Загальноосвітня школа І-ІІІ ступеня с.Прилуцьке Ківерцівського району Волинської області</t>
  </si>
  <si>
    <t>45243</t>
  </si>
  <si>
    <t>0721885801</t>
  </si>
  <si>
    <t>Прилуцьке</t>
  </si>
  <si>
    <t>вул. Ківерцівська, 4</t>
  </si>
  <si>
    <t>(03365)9-78-40</t>
  </si>
  <si>
    <t>http://shkolaprilytsk2.ucoz.ru</t>
  </si>
  <si>
    <t>загальноосвітня школа I ступеня с.Дачне Ківерцівського району Волинської області</t>
  </si>
  <si>
    <t>45244</t>
  </si>
  <si>
    <t>0721885802</t>
  </si>
  <si>
    <t>Дачне</t>
  </si>
  <si>
    <t>вул. Олега Кошового, 22</t>
  </si>
  <si>
    <t>(03365)97659</t>
  </si>
  <si>
    <t>Загальноосвітня школа І-ІІІ ступеня села Сильне Ківерцівського району Волинської області</t>
  </si>
  <si>
    <t>45230</t>
  </si>
  <si>
    <t>0721886201</t>
  </si>
  <si>
    <t>Сильне</t>
  </si>
  <si>
    <t>(365)93944</t>
  </si>
  <si>
    <t>Загальноосвітня школа І-ІІІ ступеня с. Городище Ківерцівський р-н Волинська обл.</t>
  </si>
  <si>
    <t>45231</t>
  </si>
  <si>
    <t>0721886202</t>
  </si>
  <si>
    <t>вул. Шкільна, 43</t>
  </si>
  <si>
    <t>(03365)99616</t>
  </si>
  <si>
    <t>Загальноосвітня школа І-ІІ ступеня села Сокиричі Ківерцівського району Волинської області</t>
  </si>
  <si>
    <t>45223</t>
  </si>
  <si>
    <t>0721886601</t>
  </si>
  <si>
    <t>Сокиричі</t>
  </si>
  <si>
    <t>(03365)96640</t>
  </si>
  <si>
    <t>Загальноосвітня школа І-ІІ ступеня с.Бодячів Ківерцівський район Волинська область</t>
  </si>
  <si>
    <t>45224</t>
  </si>
  <si>
    <t>0721886603</t>
  </si>
  <si>
    <t>Бодячів</t>
  </si>
  <si>
    <t>(03365)96331</t>
  </si>
  <si>
    <t>Загальноосвітня школа І-ІІ ступеня села Муравище Ківерцівського району Волинської області</t>
  </si>
  <si>
    <t>45273</t>
  </si>
  <si>
    <t>0721886611</t>
  </si>
  <si>
    <t>Муравище</t>
  </si>
  <si>
    <t>(03365)99540</t>
  </si>
  <si>
    <t>Загальноосвітня школа І-ІІІ ступеня с. Суськ Ківерцівський район Волинська область</t>
  </si>
  <si>
    <t>45220</t>
  </si>
  <si>
    <t>0721886801</t>
  </si>
  <si>
    <t>Суськ</t>
  </si>
  <si>
    <t>Загальноосвітня школа І-ІІ ступеня с. Звози Ківерцівського р-н Волинська обл.</t>
  </si>
  <si>
    <t>0721886802</t>
  </si>
  <si>
    <t>Звози</t>
  </si>
  <si>
    <t>вул. Жовтнева, 5</t>
  </si>
  <si>
    <t>9-65-40</t>
  </si>
  <si>
    <t>Навчально-виховний комплекс "Загальноосвітня школа І - ІІ ступенів -дошкільний навчальний заклад" села Словатичі Ківерцівського району Волинської області</t>
  </si>
  <si>
    <t>0721886804</t>
  </si>
  <si>
    <t>Словатичі</t>
  </si>
  <si>
    <t>вул. Киричука, 42</t>
  </si>
  <si>
    <t>(050)0749685</t>
  </si>
  <si>
    <t>Загальноосвітня школа І-ІІІ ступеня с. Тростянець Ківерцівський район Волинська область</t>
  </si>
  <si>
    <t>45214</t>
  </si>
  <si>
    <t>0721887201</t>
  </si>
  <si>
    <t>вул. Волі, 76А</t>
  </si>
  <si>
    <t>Загальноосвітня школа І ступеня с. Хопнів</t>
  </si>
  <si>
    <t>0721887205</t>
  </si>
  <si>
    <t>Хопнів</t>
  </si>
  <si>
    <t>вул. Першотравнева, 42</t>
  </si>
  <si>
    <t>(38)0988149157</t>
  </si>
  <si>
    <t>Загальноосвітня школа І-ІІІ ступеня села Холоневичі Ківерцівського району Волинської області</t>
  </si>
  <si>
    <t>45211</t>
  </si>
  <si>
    <t>0721887601</t>
  </si>
  <si>
    <t>Холоневичі</t>
  </si>
  <si>
    <t>вул. Молодіжна, 20</t>
  </si>
  <si>
    <t>(03365)98540</t>
  </si>
  <si>
    <t>Загальноосвітня школа І ступеня села Знамирівка Ківерцівського району Волинської області</t>
  </si>
  <si>
    <t>0721887602</t>
  </si>
  <si>
    <t>Знамирівка</t>
  </si>
  <si>
    <t>Міністерство освіти і науки України, Ківерцівська районна рада Волинської області загальноосвітня школа І-ІІ ступеня села Хорлупи</t>
  </si>
  <si>
    <t>45251</t>
  </si>
  <si>
    <t>0721888001</t>
  </si>
  <si>
    <t>Хорлупи</t>
  </si>
  <si>
    <t>вул. Відродження, 4</t>
  </si>
  <si>
    <t>9-79-12</t>
  </si>
  <si>
    <t>Навчально-виховний комплекс "Загальноосвітня школа I-II ст. - дошкільний навчальний заклад" с. Пальче</t>
  </si>
  <si>
    <t>45252</t>
  </si>
  <si>
    <t>0721888003</t>
  </si>
  <si>
    <t>Пальче</t>
  </si>
  <si>
    <t>(03365)99853</t>
  </si>
  <si>
    <t>ОПОРНИЙ ОСВІТНІЙ ЗАКЛАД "НАВЧАЛЬНО-ВИХОВНИЙ КОМПЛЕКС "Загальноосвітня школа І - ІІІ ступенів - гімназія" смт Голоби"</t>
  </si>
  <si>
    <t>45070</t>
  </si>
  <si>
    <t>0722155300</t>
  </si>
  <si>
    <t>Голоби</t>
  </si>
  <si>
    <t>(03352)92149</t>
  </si>
  <si>
    <t>http://goloby_nvk.klasna.in.ua</t>
  </si>
  <si>
    <t>російська,польська,англійська,французька</t>
  </si>
  <si>
    <t>ЗОШ І-ІІ ступенів с. Бруховичі-філія "ООЗ" Навчально-виховний комплекс "ЗОШ І-ІІІ ступенів-гімназія смт Голоби" Ковельського району Волинської області</t>
  </si>
  <si>
    <t>45073</t>
  </si>
  <si>
    <t>0722155301</t>
  </si>
  <si>
    <t>Бруховичі</t>
  </si>
  <si>
    <t>(03352)99031</t>
  </si>
  <si>
    <t>Опорний навчальний заклад "Люблинецька загальноосвітня школа І-ІІІ ступенів Люблинецької селищної ради Волинської області"</t>
  </si>
  <si>
    <t>45034</t>
  </si>
  <si>
    <t>0722155700</t>
  </si>
  <si>
    <t>Люблинець</t>
  </si>
  <si>
    <t>вул. Незалежності, 36</t>
  </si>
  <si>
    <t>(03352)56553</t>
  </si>
  <si>
    <t>Люблинецька спеціалізована школа-інтернат І-ІІІ ступенів "Центр освіти та соціально-педагогічної підтримки"</t>
  </si>
  <si>
    <t>вул. Незалежності, 94</t>
  </si>
  <si>
    <t>(033525)56202, (03352)56986</t>
  </si>
  <si>
    <t>20141576</t>
  </si>
  <si>
    <t>Білашівська ЗОШ І-ІІ ступеня Ковельського району Волинської області</t>
  </si>
  <si>
    <t>45065</t>
  </si>
  <si>
    <t>0722180401</t>
  </si>
  <si>
    <t>Білашів</t>
  </si>
  <si>
    <t>вул. Т. Шевченка, 47</t>
  </si>
  <si>
    <t>(03352)99285</t>
  </si>
  <si>
    <t>Загальноосвітня школа І-ІІІ ступеня села Білин</t>
  </si>
  <si>
    <t>45042</t>
  </si>
  <si>
    <t>0722180801</t>
  </si>
  <si>
    <t>вул. Лесі Українки, 12</t>
  </si>
  <si>
    <t>(03352)98389</t>
  </si>
  <si>
    <t>Загальноосвітня школа І ст.с. Колодниця</t>
  </si>
  <si>
    <t>0722180802</t>
  </si>
  <si>
    <t>Колодниця</t>
  </si>
  <si>
    <t>(098)3755387</t>
  </si>
  <si>
    <t>ЗОШ І-ІІІ ст. с. Велицьк - опорний освітній заклад "Велицька загальноосвітня школа І-ІІІ ступенів Велицької сільської ради Ковельського району Волинської області "</t>
  </si>
  <si>
    <t>45081</t>
  </si>
  <si>
    <t>0722181201</t>
  </si>
  <si>
    <t>Велицьк</t>
  </si>
  <si>
    <t>вул. Перемоги, 76</t>
  </si>
  <si>
    <t>(03352)96738</t>
  </si>
  <si>
    <t>Городищенська загальноосвітня школа І-ІІ ступеня Ковельський район Волинська область</t>
  </si>
  <si>
    <t>45024</t>
  </si>
  <si>
    <t>0722181401</t>
  </si>
  <si>
    <t>вул. Молодіжна, 2</t>
  </si>
  <si>
    <t>(03352)99849</t>
  </si>
  <si>
    <t>Загальноосвітня школа І-ІІ ступеня с. Доротище</t>
  </si>
  <si>
    <t>45022</t>
  </si>
  <si>
    <t>0722181801</t>
  </si>
  <si>
    <t>Доротище</t>
  </si>
  <si>
    <t>вул. Л. Українки, 42</t>
  </si>
  <si>
    <t>(03352)94-4-35</t>
  </si>
  <si>
    <t>Гішинська загальноосвітня школа І-ІІ ступеня Ковельського району Волинської області</t>
  </si>
  <si>
    <t>0722181802</t>
  </si>
  <si>
    <t>Гішин</t>
  </si>
  <si>
    <t>вул. Шевченка, 34</t>
  </si>
  <si>
    <t>(03352)94452</t>
  </si>
  <si>
    <t>загальноосвітня школа І-ІІІ ст. с. Дроздні</t>
  </si>
  <si>
    <t>45066</t>
  </si>
  <si>
    <t>0722182001</t>
  </si>
  <si>
    <t>Дроздні</t>
  </si>
  <si>
    <t>(03352)95330</t>
  </si>
  <si>
    <t>Опорний навчальний заклад "Дубівська загальноосвітня школа І-ІІІ ступенів Дубівської сільської ради Ковельського району Волинської області"</t>
  </si>
  <si>
    <t>45031</t>
  </si>
  <si>
    <t>0722182401</t>
  </si>
  <si>
    <t>Дубове</t>
  </si>
  <si>
    <t>вул. Пришкільна, 10</t>
  </si>
  <si>
    <t>(03352)99116</t>
  </si>
  <si>
    <t>Загальноосвітня школа І-ІІ ступеня с. Бахів</t>
  </si>
  <si>
    <t>45005</t>
  </si>
  <si>
    <t>0722182402</t>
  </si>
  <si>
    <t>Бахів</t>
  </si>
  <si>
    <t>вул. Незалежності, 1А</t>
  </si>
  <si>
    <t>(03352)57200</t>
  </si>
  <si>
    <t>НВК "ЗОШ І-ІІІ ст. - ДНЗ" с. Вербка</t>
  </si>
  <si>
    <t>0722182403</t>
  </si>
  <si>
    <t>вул. Ватутіна, 108</t>
  </si>
  <si>
    <t>(03352)60366</t>
  </si>
  <si>
    <t>Загальноосвітня школа І-ІІІ ступеня села Зелена</t>
  </si>
  <si>
    <t>45060</t>
  </si>
  <si>
    <t>0722182601</t>
  </si>
  <si>
    <t>Зелена</t>
  </si>
  <si>
    <t>вул. Шкільна, 29</t>
  </si>
  <si>
    <t>(03352)58622</t>
  </si>
  <si>
    <t>Загальноосвітня школа І-ІІІ ступеня села Тойкут</t>
  </si>
  <si>
    <t>45021</t>
  </si>
  <si>
    <t>0722182801</t>
  </si>
  <si>
    <t>Тойкут</t>
  </si>
  <si>
    <t>вул. Садова, 1</t>
  </si>
  <si>
    <t>загальноосвітня школа І-ІІІ ст. с.Козлиничі Ковельського району Волинської області</t>
  </si>
  <si>
    <t>45045</t>
  </si>
  <si>
    <t>0722183201</t>
  </si>
  <si>
    <t>Козлиничі</t>
  </si>
  <si>
    <t>вул. Нова, 36</t>
  </si>
  <si>
    <t>(03352)94248</t>
  </si>
  <si>
    <t>Загальноосвітня школа І ст. с. Гривятки</t>
  </si>
  <si>
    <t>45046</t>
  </si>
  <si>
    <t>0722183202</t>
  </si>
  <si>
    <t>Грив'ятки</t>
  </si>
  <si>
    <t>вул. Незалежна, 51</t>
  </si>
  <si>
    <t>0335294164</t>
  </si>
  <si>
    <t>Загальноосвітня школа І-ІІІ ст. с. Колодяжне Ковельського району Волинської області</t>
  </si>
  <si>
    <t>45061</t>
  </si>
  <si>
    <t>0722183601</t>
  </si>
  <si>
    <t>Колодяжне</t>
  </si>
  <si>
    <t>(03352)90233</t>
  </si>
  <si>
    <t>Загальноосвітня школа І-ІІ ступеня с. Волошки Ковельського району Волинської області</t>
  </si>
  <si>
    <t>45062</t>
  </si>
  <si>
    <t>0722183603</t>
  </si>
  <si>
    <t>Волошки</t>
  </si>
  <si>
    <t>вул. Пушкіна, 2</t>
  </si>
  <si>
    <t>(03352)90133</t>
  </si>
  <si>
    <t>Загальноосвітня школа І-ІІІ ступеня села Кричевичі Ковельського району Волинської області</t>
  </si>
  <si>
    <t>45040</t>
  </si>
  <si>
    <t>0722183801</t>
  </si>
  <si>
    <t>Кричевичі</t>
  </si>
  <si>
    <t>Загальноосвітня школа І-ІІ ступеня села Черемошне</t>
  </si>
  <si>
    <t>0722183803</t>
  </si>
  <si>
    <t>вул. Миру, 67</t>
  </si>
  <si>
    <t>(03352)94758</t>
  </si>
  <si>
    <t>Загальноосвітня школа І-ІІІ ступеня ім. Лесі Українки с. Любитів Ковельського району Волинської області</t>
  </si>
  <si>
    <t>45063</t>
  </si>
  <si>
    <t>0722184001</t>
  </si>
  <si>
    <t>Любитів</t>
  </si>
  <si>
    <t>вул. Лесі Українки, 30</t>
  </si>
  <si>
    <t>(03352)97139</t>
  </si>
  <si>
    <t>Навчально-виховний комплекс " Дошкільний навчальний заклад - загальноосвітня школа І ступеня" с. Воля Любитівська Ковельського району Волинської області</t>
  </si>
  <si>
    <t>0722184002</t>
  </si>
  <si>
    <t>Воля-Любитівська</t>
  </si>
  <si>
    <t>вул. Молодіжна, 19</t>
  </si>
  <si>
    <t>0954545616</t>
  </si>
  <si>
    <t>Загальноосвітня школа І ступеня с. Ворона Ковельського району Волинської області</t>
  </si>
  <si>
    <t>0722184003</t>
  </si>
  <si>
    <t>Ворона</t>
  </si>
  <si>
    <t>вул. Незалежності, 20Б</t>
  </si>
  <si>
    <t>(050)6226588</t>
  </si>
  <si>
    <t>Загальноосвітня школа I-II ступеня села Рокитниця Ковельського району Волинської області</t>
  </si>
  <si>
    <t>45064</t>
  </si>
  <si>
    <t>0722184004</t>
  </si>
  <si>
    <t>Рокитниця</t>
  </si>
  <si>
    <t>(03352)97130</t>
  </si>
  <si>
    <t>Загальноосвітня школа І ступеня с. Майдан -філія опорного закладу, Ковельського району, Волинської області</t>
  </si>
  <si>
    <t>45093</t>
  </si>
  <si>
    <t>0722184201</t>
  </si>
  <si>
    <t>Майдан</t>
  </si>
  <si>
    <t>вул. Дубова, 2</t>
  </si>
  <si>
    <t>0953613219</t>
  </si>
  <si>
    <t>Загальноосвітня школа І-ІІІ ступеня села Мельниця Ковельського району Волинської області</t>
  </si>
  <si>
    <t>45080</t>
  </si>
  <si>
    <t>0722184301</t>
  </si>
  <si>
    <t>Мельниця</t>
  </si>
  <si>
    <t>вул. Госпітальна, 24</t>
  </si>
  <si>
    <t>(03352)91138</t>
  </si>
  <si>
    <t>Волинська обл. Ковельський р-н. с. Кривлин загальноосвітня школа І ст.</t>
  </si>
  <si>
    <t>0722184302</t>
  </si>
  <si>
    <t>Кривлин</t>
  </si>
  <si>
    <t>вул. Перемоги, 38</t>
  </si>
  <si>
    <t>(098)7116828</t>
  </si>
  <si>
    <t>Мощенська загальноосвітня школа І-ІІ ступенів-філія ОНЗ"Люблинецька загальноосвітня школа І-ІІІ ступенів"</t>
  </si>
  <si>
    <t>45030</t>
  </si>
  <si>
    <t>0722184601</t>
  </si>
  <si>
    <t>Мощена</t>
  </si>
  <si>
    <t>вул. Сорок років Перемоги, 60</t>
  </si>
  <si>
    <t>(03352)58942</t>
  </si>
  <si>
    <t>Загальносвітня школа І-ІІ ст. с. Новий Мосир-філія "ООЗ НВК " ЗОШ І-ІІІ ст. - гімназія" смт. Голоби"</t>
  </si>
  <si>
    <t>45092</t>
  </si>
  <si>
    <t>0722185201</t>
  </si>
  <si>
    <t>Новий Мосир</t>
  </si>
  <si>
    <t>вул. Сонячна, 16</t>
  </si>
  <si>
    <t>(03352)97640</t>
  </si>
  <si>
    <t>Загальноосвітня школа І-ІІІ ступеня села Облапи</t>
  </si>
  <si>
    <t>45023</t>
  </si>
  <si>
    <t>0722185601</t>
  </si>
  <si>
    <t>Облапи</t>
  </si>
  <si>
    <t>вул. Миру, 8Б</t>
  </si>
  <si>
    <t>(03352)93131</t>
  </si>
  <si>
    <t>Загальноосвітня школа І-ІІІ ст. с.Пісочне, Ковельський район, Волинська область</t>
  </si>
  <si>
    <t>45052</t>
  </si>
  <si>
    <t>0722187001</t>
  </si>
  <si>
    <t>Пісочне</t>
  </si>
  <si>
    <t>(03352)994045</t>
  </si>
  <si>
    <t>Поворська загальноосвітня школа І-ІІІ ст. Ковельського району Волинської області</t>
  </si>
  <si>
    <t>45050</t>
  </si>
  <si>
    <t>0722187401</t>
  </si>
  <si>
    <t>Поворськ</t>
  </si>
  <si>
    <t>вул. Шевченка, 12</t>
  </si>
  <si>
    <t>(03352)95537</t>
  </si>
  <si>
    <t>Загальноосвітня школа І ст. с. Гулівка</t>
  </si>
  <si>
    <t>45051</t>
  </si>
  <si>
    <t>0722187402</t>
  </si>
  <si>
    <t>Гулівка</t>
  </si>
  <si>
    <t>вул. Незалежності, 23</t>
  </si>
  <si>
    <t>(097)8687876</t>
  </si>
  <si>
    <t>Озерненська загальноосвітня школа І-ІІ ступеня Ковельського району Волинської області</t>
  </si>
  <si>
    <t>0722187404</t>
  </si>
  <si>
    <t>Озерне</t>
  </si>
  <si>
    <t>(03352)95515</t>
  </si>
  <si>
    <t>загальноосвітня школа І-ІІІ ступеня с.Підріжжя</t>
  </si>
  <si>
    <t>45054</t>
  </si>
  <si>
    <t>0722187801</t>
  </si>
  <si>
    <t>Підріжжя</t>
  </si>
  <si>
    <t>(03352)39626</t>
  </si>
  <si>
    <t>Заганоосвітня школа І ст. с Кашівка</t>
  </si>
  <si>
    <t>0722187802</t>
  </si>
  <si>
    <t>Кашівка</t>
  </si>
  <si>
    <t>ал. Радянска</t>
  </si>
  <si>
    <t>0964311074</t>
  </si>
  <si>
    <t>Загальноосвітня школа І-ІІ ступеня с.Поповичі</t>
  </si>
  <si>
    <t>45090</t>
  </si>
  <si>
    <t>0722188001</t>
  </si>
  <si>
    <t>Поповичі</t>
  </si>
  <si>
    <t>вул. Мартинюка, 5</t>
  </si>
  <si>
    <t>(03352)96285</t>
  </si>
  <si>
    <t>Загальноосвітня школа І-ІІ ступеня с. Великий Порськ</t>
  </si>
  <si>
    <t>0722188003</t>
  </si>
  <si>
    <t>Великий Порськ</t>
  </si>
  <si>
    <t>вул. Мартинюка, 13</t>
  </si>
  <si>
    <t>(03352)96250</t>
  </si>
  <si>
    <t>Загальноосвітня школа села Малий Порськ - філія ООЗ "Навчально - виховний Комплекс "ЗОШ І -ІІІ ступенів - гімназія" смт Голоби"</t>
  </si>
  <si>
    <t>45091</t>
  </si>
  <si>
    <t>0722188005</t>
  </si>
  <si>
    <t>Малий Порськ</t>
  </si>
  <si>
    <t>вул. Ковельська, 36</t>
  </si>
  <si>
    <t>Загальноосвітня школа І-ІІІ ступеня ім. Г.Т.Остапюка села Радошин Ковельської райдержадміністрації Волинської області</t>
  </si>
  <si>
    <t>45074</t>
  </si>
  <si>
    <t>0722188401</t>
  </si>
  <si>
    <t>Радошин</t>
  </si>
  <si>
    <t>вул. Рокосовського, 70</t>
  </si>
  <si>
    <t>(03352)96443</t>
  </si>
  <si>
    <t>Загальноосвітня школа І ступеня села Битень Ковельського району Волинської області</t>
  </si>
  <si>
    <t>0722188403</t>
  </si>
  <si>
    <t>Битень</t>
  </si>
  <si>
    <t>вул. Бенделіані, 38</t>
  </si>
  <si>
    <t>(03352)96411</t>
  </si>
  <si>
    <t>загальноосвітня школа І ступеня с.Ситовичі</t>
  </si>
  <si>
    <t>45053</t>
  </si>
  <si>
    <t>0722188801</t>
  </si>
  <si>
    <t>Ситовичі</t>
  </si>
  <si>
    <t>ал. лісова, 2А</t>
  </si>
  <si>
    <t>0978110153</t>
  </si>
  <si>
    <t>загальноосвітня школа І - ІІІ ступеня села Скулин Ковельського району Волинської області</t>
  </si>
  <si>
    <t>45043</t>
  </si>
  <si>
    <t>0722189001</t>
  </si>
  <si>
    <t>Скулин</t>
  </si>
  <si>
    <t>(03352)93547</t>
  </si>
  <si>
    <t>загальноосвітня школа Іст. с.Стеблі</t>
  </si>
  <si>
    <t>0722189003</t>
  </si>
  <si>
    <t>Стеблі</t>
  </si>
  <si>
    <t>вул. Центральна, 15</t>
  </si>
  <si>
    <t>0663805977</t>
  </si>
  <si>
    <t>Загальноосвітня школа І-ІІІ ступеня села Старі Кошари</t>
  </si>
  <si>
    <t>45033</t>
  </si>
  <si>
    <t>0722189301</t>
  </si>
  <si>
    <t>Старі Кошари</t>
  </si>
  <si>
    <t>вул. Молодіжна, 6</t>
  </si>
  <si>
    <t>(03352)96137</t>
  </si>
  <si>
    <t>Кругельська загальноосвітня школа І ступеня - філія опорного навчального закладу "Люблинецька загальноосвітня школа І-ІІІ ступенів"</t>
  </si>
  <si>
    <t>0722189303</t>
  </si>
  <si>
    <t>Кругель</t>
  </si>
  <si>
    <t>вул. 18 Вересня, 58</t>
  </si>
  <si>
    <t>0663082984</t>
  </si>
  <si>
    <t>загальноосвітня школа І-ІІІст. с.Уховецьк</t>
  </si>
  <si>
    <t>45044</t>
  </si>
  <si>
    <t>0722189501</t>
  </si>
  <si>
    <t>Уховецьк</t>
  </si>
  <si>
    <t>вул. Васюти, 1</t>
  </si>
  <si>
    <t>0335290432</t>
  </si>
  <si>
    <t>Опорний навчальний заклад "НВК "Локачинська загальноосвітня школа І-ІІІ ступенів-гімназія"</t>
  </si>
  <si>
    <t>45500</t>
  </si>
  <si>
    <t>0722455100</t>
  </si>
  <si>
    <t>Локачі</t>
  </si>
  <si>
    <t>вул. Миру, 30</t>
  </si>
  <si>
    <t>(03374)21144</t>
  </si>
  <si>
    <t>http://nvklokachi.at.ua</t>
  </si>
  <si>
    <t>Загальноосвітня школа І-ІІІ ступеня с.Бубнів, Локачинського району, Волинської області</t>
  </si>
  <si>
    <t>45541</t>
  </si>
  <si>
    <t>0722480501</t>
  </si>
  <si>
    <t>Бубнів</t>
  </si>
  <si>
    <t>((274))29-31-19</t>
  </si>
  <si>
    <t>http://www.bubnivschool.ucoz.ua</t>
  </si>
  <si>
    <t>Загальноосвітня школа І-ІІ ступеня імені О.Левчанівської с. Линів</t>
  </si>
  <si>
    <t>0722480502</t>
  </si>
  <si>
    <t>Линів</t>
  </si>
  <si>
    <t>загальноосвітня школа І-ІІ ступеня села Білопіль Локачинського району Волинської області</t>
  </si>
  <si>
    <t>45552</t>
  </si>
  <si>
    <t>0722480601</t>
  </si>
  <si>
    <t>Білопіль</t>
  </si>
  <si>
    <t>227440</t>
  </si>
  <si>
    <t>http://bilopilschool.net.ua</t>
  </si>
  <si>
    <t>Загальноосвітня школа I-II ст. с. Губин</t>
  </si>
  <si>
    <t>45513</t>
  </si>
  <si>
    <t>0722481202</t>
  </si>
  <si>
    <t>Губин</t>
  </si>
  <si>
    <t>(03374)297749</t>
  </si>
  <si>
    <t>Загальноосвітня школа I-III ст. с. Павловичі</t>
  </si>
  <si>
    <t>45510</t>
  </si>
  <si>
    <t>0722481204</t>
  </si>
  <si>
    <t>Павловичі</t>
  </si>
  <si>
    <t>(3374)95452</t>
  </si>
  <si>
    <t>Загальноосвітня школа І-ІІ ступеня Волинська область, Локачинський район, с.П'ятикори</t>
  </si>
  <si>
    <t>0722481806</t>
  </si>
  <si>
    <t>П'ятикори</t>
  </si>
  <si>
    <t>(03374)21986</t>
  </si>
  <si>
    <t>http://pyatukoru.ucoz.ua</t>
  </si>
  <si>
    <t>Загальноосвітня школа I-III ступенів с. Замличі Локачинського району Волинської області</t>
  </si>
  <si>
    <t>45531</t>
  </si>
  <si>
    <t>0722482201</t>
  </si>
  <si>
    <t>Замличі</t>
  </si>
  <si>
    <t>вул. Зелена, 14</t>
  </si>
  <si>
    <t>(03374)93540</t>
  </si>
  <si>
    <t>Загальноосвітня школа І-ІІІ ст. ім. В.К. Липинського с. Затурці Локачинського району Волинської області</t>
  </si>
  <si>
    <t>45523</t>
  </si>
  <si>
    <t>0722482401</t>
  </si>
  <si>
    <t>Затурці</t>
  </si>
  <si>
    <t>http://zaturschool.at.ua</t>
  </si>
  <si>
    <t>Затурцівська спеціальна загальноосвітня школа-інтернат "Центр освіти та соціально-педагогічної підтримки"</t>
  </si>
  <si>
    <t>вул. Нова, 1</t>
  </si>
  <si>
    <t>(03374)97348, (03374)97347</t>
  </si>
  <si>
    <t>20131879</t>
  </si>
  <si>
    <t>Загальноосвітня школа І-ІІ ступеня с. Великий Окорськ Локачинської районної ради Волинської області</t>
  </si>
  <si>
    <t>45524</t>
  </si>
  <si>
    <t>0722482402</t>
  </si>
  <si>
    <t>Великий Окорськ</t>
  </si>
  <si>
    <t>Загальноосвітня школа І-ІІ ступеня села Заячиці</t>
  </si>
  <si>
    <t>45532</t>
  </si>
  <si>
    <t>0722482601</t>
  </si>
  <si>
    <t>Заячиці</t>
  </si>
  <si>
    <t>пров. Шкільний, 2</t>
  </si>
  <si>
    <t>0976825758</t>
  </si>
  <si>
    <t>Загальноосвітня школа I ступеня села Кремеш</t>
  </si>
  <si>
    <t>0722482603</t>
  </si>
  <si>
    <t>Кремеш</t>
  </si>
  <si>
    <t>вул. Колгоспна, 6</t>
  </si>
  <si>
    <t>Загальноосвітня школа І-ІІ ступеня села Зубильне Локачинської району Волинської області.</t>
  </si>
  <si>
    <t>45521</t>
  </si>
  <si>
    <t>0722482801</t>
  </si>
  <si>
    <t>Зубильне</t>
  </si>
  <si>
    <t>(274)94138</t>
  </si>
  <si>
    <t>Загальноосвітня школа I-II ступеня с. Кисилин Локачинського району Волинської області</t>
  </si>
  <si>
    <t>45514</t>
  </si>
  <si>
    <t>0722483201</t>
  </si>
  <si>
    <t>Кисилин</t>
  </si>
  <si>
    <t>вул. 40-річчя Перемоги, 5</t>
  </si>
  <si>
    <t>Загальноосвітня школа І-ІІ ступеня Волинської області Локачинського району села Козлів</t>
  </si>
  <si>
    <t>45533</t>
  </si>
  <si>
    <t>0722483401</t>
  </si>
  <si>
    <t>(03374)21240</t>
  </si>
  <si>
    <t>http://kozlivzosh.ucoz.net</t>
  </si>
  <si>
    <t>Загальноосвітня школа І-ІІІ ступеня села Колпитів Локачинського району Волинської області</t>
  </si>
  <si>
    <t>45551</t>
  </si>
  <si>
    <t>0722483701</t>
  </si>
  <si>
    <t>Колпитів</t>
  </si>
  <si>
    <t>(380337)494540</t>
  </si>
  <si>
    <t>http://kolpytiv.at.ua</t>
  </si>
  <si>
    <t>Загальноосвітня школа І-ІІІ ступеня с.Конюхи</t>
  </si>
  <si>
    <t>45550</t>
  </si>
  <si>
    <t>0722483901</t>
  </si>
  <si>
    <t>Конюхи</t>
  </si>
  <si>
    <t>24387</t>
  </si>
  <si>
    <t>http://zossk.at.ua</t>
  </si>
  <si>
    <t>НВК"ЗОШ І ступеня - ДНЗ с.Марковичі"</t>
  </si>
  <si>
    <t>0722484201</t>
  </si>
  <si>
    <t>вул. Лесі Украінки, 1Б</t>
  </si>
  <si>
    <t>0680205019</t>
  </si>
  <si>
    <t>ЗОШ І-ІІ ступеня с. Озютичі</t>
  </si>
  <si>
    <t>45515</t>
  </si>
  <si>
    <t>0722484401</t>
  </si>
  <si>
    <t>Озютичі</t>
  </si>
  <si>
    <t>(03374)98513, (066)9573379</t>
  </si>
  <si>
    <t>Загальноосвітня школа І-ІІІ ступеня с.Привітне</t>
  </si>
  <si>
    <t>45543</t>
  </si>
  <si>
    <t>0722484601</t>
  </si>
  <si>
    <t>Привітне</t>
  </si>
  <si>
    <t>вул. Центральна, 67</t>
  </si>
  <si>
    <t>(03374)26468</t>
  </si>
  <si>
    <t>Загальноосвітня школа І-ІІ ступеня с. Коритниця Локачинського району Волинської області</t>
  </si>
  <si>
    <t>45544</t>
  </si>
  <si>
    <t>0722484602</t>
  </si>
  <si>
    <t>Коритниця</t>
  </si>
  <si>
    <t>9-46-31</t>
  </si>
  <si>
    <t>Загальноосвітня школа І - ІІІ ступеня села Старий Загорів Локачинського району Волинської області</t>
  </si>
  <si>
    <t>45534</t>
  </si>
  <si>
    <t>0722485201</t>
  </si>
  <si>
    <t>Старий Загорів</t>
  </si>
  <si>
    <t>вул. Радянська, 31</t>
  </si>
  <si>
    <t>(03374)96526</t>
  </si>
  <si>
    <t>Загальноосвітня школа І ступеня с.Новий Загорів</t>
  </si>
  <si>
    <t>45535</t>
  </si>
  <si>
    <t>0722485202</t>
  </si>
  <si>
    <t>Новий Загорів</t>
  </si>
  <si>
    <t>вул. Т.Г. Шевченка, 1</t>
  </si>
  <si>
    <t>0964795043</t>
  </si>
  <si>
    <t>Загальноосвітня школа І ступеня с.Хорів</t>
  </si>
  <si>
    <t>0722485203</t>
  </si>
  <si>
    <t>Хорів</t>
  </si>
  <si>
    <t>Загальноосвітня школа І-ІІІ ступеня с. Холопичі Холопичівської сільської ради Локачинського району Волинської області</t>
  </si>
  <si>
    <t>45520</t>
  </si>
  <si>
    <t>0722485801</t>
  </si>
  <si>
    <t>Холопичі</t>
  </si>
  <si>
    <t>вул. Кисилинська, 42</t>
  </si>
  <si>
    <t>(047)97540</t>
  </si>
  <si>
    <t>Загальноосвітня школа І-ІІІ ступеня с. Маньків</t>
  </si>
  <si>
    <t>45522</t>
  </si>
  <si>
    <t>0722485803</t>
  </si>
  <si>
    <t>Маньків</t>
  </si>
  <si>
    <t>вул. Луцька, 1</t>
  </si>
  <si>
    <t>9-71-62</t>
  </si>
  <si>
    <t>загальноосвітня школа І-ІІІ ступеня села Шельвів Локачинського району Волинської області</t>
  </si>
  <si>
    <t>45540</t>
  </si>
  <si>
    <t>0722486301</t>
  </si>
  <si>
    <t>Шельвів</t>
  </si>
  <si>
    <t>(03374)93740</t>
  </si>
  <si>
    <t>Загальноосвітня школа І ступеня с. Войнин</t>
  </si>
  <si>
    <t>0722486302</t>
  </si>
  <si>
    <t>Войнин</t>
  </si>
  <si>
    <t>вул. Садова, 15</t>
  </si>
  <si>
    <t>(068)7238833</t>
  </si>
  <si>
    <t>Рокинівський навчально-виховний комплекс Княгининівської сільської ради</t>
  </si>
  <si>
    <t>45626</t>
  </si>
  <si>
    <t>0722855200</t>
  </si>
  <si>
    <t>Рокині</t>
  </si>
  <si>
    <t>(0332)709449</t>
  </si>
  <si>
    <t>21754200</t>
  </si>
  <si>
    <t>Загальноосвітня школа І-ІІІ ступеня смт Торчин Луцького району Волинської області</t>
  </si>
  <si>
    <t>45612</t>
  </si>
  <si>
    <t>0722855400</t>
  </si>
  <si>
    <t>http://torchynschool.at.ua</t>
  </si>
  <si>
    <t>Баївська загальноосвітня школа І-ІІІ ступенів Луцького району Волинської області</t>
  </si>
  <si>
    <t>45643</t>
  </si>
  <si>
    <t>0722880301</t>
  </si>
  <si>
    <t>Баїв</t>
  </si>
  <si>
    <t>вул. Перемоги, 1А</t>
  </si>
  <si>
    <t>http://bayivschool.ucoz.ua</t>
  </si>
  <si>
    <t>Загальноосвітня школа І-ІІ ступеня с. Білосток Луцького району Волинської області</t>
  </si>
  <si>
    <t>45641</t>
  </si>
  <si>
    <t>0722880601</t>
  </si>
  <si>
    <t>Білосток</t>
  </si>
  <si>
    <t>(0332)795632</t>
  </si>
  <si>
    <t>http://www.bilostok.at.ua</t>
  </si>
  <si>
    <t>Загальноосвітня школа І-ІІІ ступеня с. Боратин Луцького району Волинської області</t>
  </si>
  <si>
    <t>45605</t>
  </si>
  <si>
    <t>0722880701</t>
  </si>
  <si>
    <t>Боратин</t>
  </si>
  <si>
    <t>вул. Центральна, 6А</t>
  </si>
  <si>
    <t>(0332)705222</t>
  </si>
  <si>
    <t>http://school.boratyn.volyn.ua</t>
  </si>
  <si>
    <t>Загальноосвітня школа І-ІІІ ступенів с. Рованці Луцького району Волинської області</t>
  </si>
  <si>
    <t>45606</t>
  </si>
  <si>
    <t>0722880707</t>
  </si>
  <si>
    <t>Рованці</t>
  </si>
  <si>
    <t>вул. Шевченка, 16</t>
  </si>
  <si>
    <t>(03322)707308</t>
  </si>
  <si>
    <t>Загальноосвітня школа І-ІІ ступеня с. Буяни Луцького району Волинської області</t>
  </si>
  <si>
    <t>45621</t>
  </si>
  <si>
    <t>0722880901</t>
  </si>
  <si>
    <t>Буяни</t>
  </si>
  <si>
    <t>(0332)795043</t>
  </si>
  <si>
    <t>Загальноосвітня школа І-ІІ ступеня с. Усичі Луцького району Волинської області</t>
  </si>
  <si>
    <t>45622</t>
  </si>
  <si>
    <t>0722880902</t>
  </si>
  <si>
    <t>Усичі</t>
  </si>
  <si>
    <t>вул. Козацька, 22, А</t>
  </si>
  <si>
    <t>(0332)795045</t>
  </si>
  <si>
    <t>Загальноосвітня школа І-ІІІ ступеня с. Боголюби Луцького району Волинської області</t>
  </si>
  <si>
    <t>45634</t>
  </si>
  <si>
    <t>0722881001</t>
  </si>
  <si>
    <t>Боголюби</t>
  </si>
  <si>
    <t>вул. 40 років Перемоги, 40</t>
  </si>
  <si>
    <t>(03322)795340</t>
  </si>
  <si>
    <t>Загальноосвітня школа І-ІІ ступеня с. Веселе Луцького району Волинської області</t>
  </si>
  <si>
    <t>45611</t>
  </si>
  <si>
    <t>0722881201</t>
  </si>
  <si>
    <t>Веселе</t>
  </si>
  <si>
    <t>вул. Торчинська, 10</t>
  </si>
  <si>
    <t>(0332)793440</t>
  </si>
  <si>
    <t>Загальноосвітня школа І-ІІІ ступеня с.Воютин, Волинська область, Луцький район с.Воютин вулиця Шкільна 1 б</t>
  </si>
  <si>
    <t>45645</t>
  </si>
  <si>
    <t>0722881501</t>
  </si>
  <si>
    <t>Воютин</t>
  </si>
  <si>
    <t>вул. Шкільна, 1 б</t>
  </si>
  <si>
    <t>(0332)795940</t>
  </si>
  <si>
    <t>Загальноосвітня школа І - ІІІ ступеня с. Гірка Полонка Луцького району Волинської області</t>
  </si>
  <si>
    <t>45607</t>
  </si>
  <si>
    <t>0722881601</t>
  </si>
  <si>
    <t>Гірка Полонка</t>
  </si>
  <si>
    <t>вул. Шкільна, 3 Б</t>
  </si>
  <si>
    <t>(0332)792871</t>
  </si>
  <si>
    <t>Городищенська загальноосвітня школа І-ІІІ ступенів Луцького району Волинської області</t>
  </si>
  <si>
    <t>45656</t>
  </si>
  <si>
    <t>0722881701</t>
  </si>
  <si>
    <t>вул. Шкільна, 37</t>
  </si>
  <si>
    <t>(0332)793531</t>
  </si>
  <si>
    <t>http://gorodysche.in.ua</t>
  </si>
  <si>
    <t>Загальноосвітня школа І-ІІІ ступеня с. Забороль Луцького району Волинської області</t>
  </si>
  <si>
    <t>45623</t>
  </si>
  <si>
    <t>0722881801</t>
  </si>
  <si>
    <t>Забороль</t>
  </si>
  <si>
    <t>вул. Володимирська, 51</t>
  </si>
  <si>
    <t>(0332)794116, (0332)794249</t>
  </si>
  <si>
    <t>http://www.zaborol-school.at.ua</t>
  </si>
  <si>
    <t>Загальноосвітня школа І-ІІ ст. с. Коршів Луцького району Волинської області</t>
  </si>
  <si>
    <t>45651</t>
  </si>
  <si>
    <t>0722882901</t>
  </si>
  <si>
    <t>Коршів</t>
  </si>
  <si>
    <t>вул. Лесі Українки, 72</t>
  </si>
  <si>
    <t>(0332)797565</t>
  </si>
  <si>
    <t>Загальноосвітня школа І-ІІІ ступеня с. Лаврів Луцького району Волинської області</t>
  </si>
  <si>
    <t>45663</t>
  </si>
  <si>
    <t>0722883201</t>
  </si>
  <si>
    <t>Лаврів</t>
  </si>
  <si>
    <t>(0332)790149</t>
  </si>
  <si>
    <t>Загальноосвітня школа І-ІІІ ступеня с. Липини Луцького району Волинської області</t>
  </si>
  <si>
    <t>45601</t>
  </si>
  <si>
    <t>0722883401</t>
  </si>
  <si>
    <t>Липини</t>
  </si>
  <si>
    <t>ал. Центральна, 9</t>
  </si>
  <si>
    <t>Загальноосвітня школа І-ІІІ ступеня с. Лище Луцького району Волинської області</t>
  </si>
  <si>
    <t>45638</t>
  </si>
  <si>
    <t>0722883601</t>
  </si>
  <si>
    <t>Лище</t>
  </si>
  <si>
    <t>(0332)798140</t>
  </si>
  <si>
    <t>http://zosh-i-iii-st-s-lishche.webnode.com.ua/</t>
  </si>
  <si>
    <t>Загальноосвітня школа І-ІІ ступеня с.Воротнів Луцького району Волинської області</t>
  </si>
  <si>
    <t>45639</t>
  </si>
  <si>
    <t>0722883602</t>
  </si>
  <si>
    <t>Воротнів</t>
  </si>
  <si>
    <t>вул. 17 Вересня, 71Б</t>
  </si>
  <si>
    <t>(0332)798222</t>
  </si>
  <si>
    <t>Княгининівський навчально-виховний комплекс "Загальноосвітня школа І-ІІІ ступенів - дошкільний навчальний заклад" Княгининівської сільської ради</t>
  </si>
  <si>
    <t>45630</t>
  </si>
  <si>
    <t>0722883701</t>
  </si>
  <si>
    <t>Княгининок</t>
  </si>
  <si>
    <t>вул. Соборна, 92</t>
  </si>
  <si>
    <t>(0332)791526</t>
  </si>
  <si>
    <t>http://www.maiaky-school.edukit.volyn.ua/</t>
  </si>
  <si>
    <t>41523348</t>
  </si>
  <si>
    <t>Княгининівська спеціалізована школа-інтернат І-ІІІ ступенів "Центр освіти та соціально-педагогічної підтримки" обласного підпорядкування Волинської обласної ради</t>
  </si>
  <si>
    <t>(0322)797589</t>
  </si>
  <si>
    <t>http://www.mayakynvk.org.ua</t>
  </si>
  <si>
    <t>21735102</t>
  </si>
  <si>
    <t>ЗОШ І-ІІІ ступеня с. Несвіч Луцького району Волинської області</t>
  </si>
  <si>
    <t>45652</t>
  </si>
  <si>
    <t>0722884001</t>
  </si>
  <si>
    <t>Несвіч</t>
  </si>
  <si>
    <t>(0332)795822</t>
  </si>
  <si>
    <t>http://nesvitchschul.site123.me</t>
  </si>
  <si>
    <t>Загальноосвітня школа І-ІІІ ступеня с.Одеради Луцького району Волинської області</t>
  </si>
  <si>
    <t>45642</t>
  </si>
  <si>
    <t>0722884301</t>
  </si>
  <si>
    <t>вул. Центральна, 39</t>
  </si>
  <si>
    <t>(0332)793840</t>
  </si>
  <si>
    <t>Підгайцівський навчально-виховний комплекс "Загальноосвітня школа І-ІІІ ступенів-гімназія" Луцького району Волинської області</t>
  </si>
  <si>
    <t>45602</t>
  </si>
  <si>
    <t>0722884801</t>
  </si>
  <si>
    <t>Підгайці</t>
  </si>
  <si>
    <t>((0332))70-44-59</t>
  </si>
  <si>
    <t>http://pidhytsinvk.com.ua/</t>
  </si>
  <si>
    <t>Загальноосвітня школа І-ІІ ступеня с.Крупа Луцького району Волинської області</t>
  </si>
  <si>
    <t>45604</t>
  </si>
  <si>
    <t>0722884802</t>
  </si>
  <si>
    <t>Крупа</t>
  </si>
  <si>
    <t>(0332)707444</t>
  </si>
  <si>
    <t>Крупівський навчально-реабілітаційний центр</t>
  </si>
  <si>
    <t>(0332)70-74-60</t>
  </si>
  <si>
    <t>20148727</t>
  </si>
  <si>
    <t>Загальноосвітня школа І-ІІІ ступеня села Піддубці Луцького району Волинської області</t>
  </si>
  <si>
    <t>45635</t>
  </si>
  <si>
    <t>0722885001</t>
  </si>
  <si>
    <t>Піддубці</t>
  </si>
  <si>
    <t>(0332)799640</t>
  </si>
  <si>
    <t>Загальноосвітня школа І-ІІ ступеня с. Гаразджа Волинської області Луцького району</t>
  </si>
  <si>
    <t>45636</t>
  </si>
  <si>
    <t>0722885002</t>
  </si>
  <si>
    <t>Гаразджа</t>
  </si>
  <si>
    <t>вул. Вишнева, 77,а</t>
  </si>
  <si>
    <t>(0332)799631</t>
  </si>
  <si>
    <t>Загальноосвітня школа І-ІІ ступеня с.Промінь Луцького району Волинської області</t>
  </si>
  <si>
    <t>45660</t>
  </si>
  <si>
    <t>0722885101</t>
  </si>
  <si>
    <t>Промінь</t>
  </si>
  <si>
    <t>вул. Ветеранів, 1А</t>
  </si>
  <si>
    <t>(0332)793343</t>
  </si>
  <si>
    <t>Загальноосвітня школа I-II ступенів с. Мстишин Луцького району Волинської області</t>
  </si>
  <si>
    <t>45662</t>
  </si>
  <si>
    <t>0722885105</t>
  </si>
  <si>
    <t>Мстишин</t>
  </si>
  <si>
    <t>(0332)703600</t>
  </si>
  <si>
    <t>Загальноосвітня школа І-ІІІ ступеня с. Радомишль Луцького району Волинської області</t>
  </si>
  <si>
    <t>45664</t>
  </si>
  <si>
    <t>0722885201</t>
  </si>
  <si>
    <t>Радомишль</t>
  </si>
  <si>
    <t>(0332)798672</t>
  </si>
  <si>
    <t>Загальноосвітня школа І-ІІІ ступеня с. Ратнів Луцького району Волинської області</t>
  </si>
  <si>
    <t>45650</t>
  </si>
  <si>
    <t>0722885401</t>
  </si>
  <si>
    <t>Ратнів</t>
  </si>
  <si>
    <t>(0332)793116</t>
  </si>
  <si>
    <t>http://ratniv-zoch.at.ua</t>
  </si>
  <si>
    <t>Загальноосвітня школа І-ІІІ ступеня с. Романів Луцького району Волинської області</t>
  </si>
  <si>
    <t>45637</t>
  </si>
  <si>
    <t>0722885601</t>
  </si>
  <si>
    <t>Романів</t>
  </si>
  <si>
    <t>вул. Першотравнева, 37</t>
  </si>
  <si>
    <t>(0332)795536</t>
  </si>
  <si>
    <t>Загальноосвітня школа І-ІІІ ступеня с. Садів Луцького району Волинської області</t>
  </si>
  <si>
    <t>45640</t>
  </si>
  <si>
    <t>0722886001</t>
  </si>
  <si>
    <t>Садів</t>
  </si>
  <si>
    <t>вул. Незалежності, 44</t>
  </si>
  <si>
    <t>0332790748</t>
  </si>
  <si>
    <t>Загальноосвітня школа І-ІІ ступеня с. Смолигів Луцького району Волинської області</t>
  </si>
  <si>
    <t>45614</t>
  </si>
  <si>
    <t>0722886201</t>
  </si>
  <si>
    <t>Смолигів</t>
  </si>
  <si>
    <t>(0332)790840</t>
  </si>
  <si>
    <t>Загальноосвітня школа І-ІІІ ступеня с. Хорохорин Луцького району Волинської області</t>
  </si>
  <si>
    <t>45610</t>
  </si>
  <si>
    <t>0722886601</t>
  </si>
  <si>
    <t>Хорохорин</t>
  </si>
  <si>
    <t>(0332)799540</t>
  </si>
  <si>
    <t>http://horohoryn.ucoz.ua/</t>
  </si>
  <si>
    <t>Загальноосвітня школа І-ІІІ ступеня с. Чаруків Луцького району Волинської області</t>
  </si>
  <si>
    <t>45653</t>
  </si>
  <si>
    <t>0722886801</t>
  </si>
  <si>
    <t>Чаруків</t>
  </si>
  <si>
    <t>0332798822</t>
  </si>
  <si>
    <t>Шепельська загальноосвітня школа І-ІІ ступенів імені Героя Радянського Союзу Єфімова С.Д. Луцького району Волинської області</t>
  </si>
  <si>
    <t>45620</t>
  </si>
  <si>
    <t>0722887501</t>
  </si>
  <si>
    <t>Шепель</t>
  </si>
  <si>
    <t>вул. Нова, 5</t>
  </si>
  <si>
    <t>(0332)798040</t>
  </si>
  <si>
    <t>Опорний навчальний заклад "Любешівський навчально-виховний комплекс "Загальноосвітня школа І-ІІІ ступенів-гімназія" Любешівського району Волинської області</t>
  </si>
  <si>
    <t>44200</t>
  </si>
  <si>
    <t>0723155100</t>
  </si>
  <si>
    <t>Любешів</t>
  </si>
  <si>
    <t>вул. Незалежності, 39</t>
  </si>
  <si>
    <t>(03362)21464, (03362)21465</t>
  </si>
  <si>
    <t>http://liubeshiv-nvk.edukit.volyn.ua</t>
  </si>
  <si>
    <t>Загальноосвітня школа І ступеня с. Рудка Любешівського району Волинської області</t>
  </si>
  <si>
    <t>0723155105</t>
  </si>
  <si>
    <t>Рудка</t>
  </si>
  <si>
    <t>вул. Колгоспна, 1</t>
  </si>
  <si>
    <t>(03362)295821</t>
  </si>
  <si>
    <t>Загальноосвітня школа І-ІІІ ступеня с. Березичі Любешівського району Волинської області</t>
  </si>
  <si>
    <t>44252</t>
  </si>
  <si>
    <t>0723180501</t>
  </si>
  <si>
    <t>Березичі</t>
  </si>
  <si>
    <t>(3803362)95741</t>
  </si>
  <si>
    <t>http://berezyczi.webnode.com.ua</t>
  </si>
  <si>
    <t>Загальноосвітня школа Іст. с. Нові Березичі</t>
  </si>
  <si>
    <t>0723180502</t>
  </si>
  <si>
    <t>Нові Березичі</t>
  </si>
  <si>
    <t>0500218397</t>
  </si>
  <si>
    <t>Загальнооосвітня школа І-ІІІ ступеня с. Бірки Любешівського району Волинської області</t>
  </si>
  <si>
    <t>44240</t>
  </si>
  <si>
    <t>0723181201</t>
  </si>
  <si>
    <t>Бірки</t>
  </si>
  <si>
    <t>вул. Будьонного, 2</t>
  </si>
  <si>
    <t>(063)29446</t>
  </si>
  <si>
    <t>http://www.birki-zosh.ucoz.net</t>
  </si>
  <si>
    <t>Загальноосвітня школа І ст. с. Вітуле Любешівського району Волинської області</t>
  </si>
  <si>
    <t>0723181202</t>
  </si>
  <si>
    <t>Витуле</t>
  </si>
  <si>
    <t>Загальноосвітня школа I-III ступеня с. Бихів Любешівського району Волинської області</t>
  </si>
  <si>
    <t>44242</t>
  </si>
  <si>
    <t>0723182301</t>
  </si>
  <si>
    <t>Бихів</t>
  </si>
  <si>
    <t>(0336)294640</t>
  </si>
  <si>
    <t>Загальноосвітня школа І-ІІІ ступеня с. Велика Глуша Любешівського району Волинської області</t>
  </si>
  <si>
    <t>44221</t>
  </si>
  <si>
    <t>0723182601</t>
  </si>
  <si>
    <t>Велика Глуша</t>
  </si>
  <si>
    <t>вул. О.Пасика, 85</t>
  </si>
  <si>
    <t>(03362)94927</t>
  </si>
  <si>
    <t>http://velglusha-zosh.volyn.sch.in.ua</t>
  </si>
  <si>
    <t>Невірська загальноосвітня школа І-ІІ ступеня Любешівського району Волинської області</t>
  </si>
  <si>
    <t>44223</t>
  </si>
  <si>
    <t>0723182602</t>
  </si>
  <si>
    <t>Невір</t>
  </si>
  <si>
    <t>вул. Івана Бубала, 16</t>
  </si>
  <si>
    <t>Загальноосвітня школа І-ІІ ступеня села Погулянка Любешівського району Волинської області</t>
  </si>
  <si>
    <t>44222</t>
  </si>
  <si>
    <t>0723182603</t>
  </si>
  <si>
    <t>Погулянка</t>
  </si>
  <si>
    <t>вул. Незалежності, 4</t>
  </si>
  <si>
    <t>(033)6223126</t>
  </si>
  <si>
    <t>Загальноосвітня школа І-ІІІ ступеня с.Великий Курінь Любешівського району Волинської області</t>
  </si>
  <si>
    <t>44210</t>
  </si>
  <si>
    <t>0723182801</t>
  </si>
  <si>
    <t>Великий Курінь</t>
  </si>
  <si>
    <t>(262)9-55-19</t>
  </si>
  <si>
    <t>http://kurinsk.ucoz.net/</t>
  </si>
  <si>
    <t>Загальноосвітня школа І ступеня с. Проходи Любешівського району, Волинської області</t>
  </si>
  <si>
    <t>0723182803</t>
  </si>
  <si>
    <t>Проходи</t>
  </si>
  <si>
    <t>вул. Гайова, 16</t>
  </si>
  <si>
    <t>Загальноосвітня школа І-ІІІ ступеня с.Ветли</t>
  </si>
  <si>
    <t>44220</t>
  </si>
  <si>
    <t>0723183201</t>
  </si>
  <si>
    <t>Ветли</t>
  </si>
  <si>
    <t>(03362)96-5-40</t>
  </si>
  <si>
    <t>http://vetly-shcol.at.ua</t>
  </si>
  <si>
    <t>Загальноосвітня школа І-ІІІ ступеня с. Гірки Любешівського району Волинської області</t>
  </si>
  <si>
    <t>44230</t>
  </si>
  <si>
    <t>0723183601</t>
  </si>
  <si>
    <t>Гірки</t>
  </si>
  <si>
    <t>вул. Садова, 8</t>
  </si>
  <si>
    <t>97540</t>
  </si>
  <si>
    <t>Загальноосвітня школа І-ІІ ступеня с. Мукошин Любешівського району Волинської області</t>
  </si>
  <si>
    <t>44231</t>
  </si>
  <si>
    <t>0723183603</t>
  </si>
  <si>
    <t>Мукошин</t>
  </si>
  <si>
    <t>вул. Поліська, 55</t>
  </si>
  <si>
    <t>0957860476</t>
  </si>
  <si>
    <t>Загальноосвітня школа І--ІІІ ступеня с. Деревок Любешівського району Волинської області</t>
  </si>
  <si>
    <t>44243</t>
  </si>
  <si>
    <t>0723184201</t>
  </si>
  <si>
    <t>Деревок</t>
  </si>
  <si>
    <t>вул. Поліщука, 3</t>
  </si>
  <si>
    <t>(03362)94349</t>
  </si>
  <si>
    <t>http://Derevokzosh.ucoz.ua</t>
  </si>
  <si>
    <t>Загальноосвітня школа І-ІІ ступеня с.Дольськ Любешівського району Волинської області</t>
  </si>
  <si>
    <t>44232</t>
  </si>
  <si>
    <t>0723184801</t>
  </si>
  <si>
    <t>Дольськ</t>
  </si>
  <si>
    <t>(03362)294140</t>
  </si>
  <si>
    <t>Філія "Шлапанська загальноосвітня школа І-ІІ ступенів" опорного навчального закладу "Люб'язівська загальноосвітня школа І-ІІІ ступенів" Любешівської районної ради Волинської області</t>
  </si>
  <si>
    <t>44233</t>
  </si>
  <si>
    <t>0723184803</t>
  </si>
  <si>
    <t>Шлапань</t>
  </si>
  <si>
    <t>загальноосвтня школа І-ІІІ ступеня с. Залаззя Любешівського району Волинської області</t>
  </si>
  <si>
    <t>44244</t>
  </si>
  <si>
    <t>0723185201</t>
  </si>
  <si>
    <t>Залаззя</t>
  </si>
  <si>
    <t>вул. Молодіжна, 61</t>
  </si>
  <si>
    <t>0970428679</t>
  </si>
  <si>
    <t>Загальноосвітня школа І ступеня с. Діброва Любешівського району Волинської області</t>
  </si>
  <si>
    <t>0723185202</t>
  </si>
  <si>
    <t>Діброва</t>
  </si>
  <si>
    <t>0989546466</t>
  </si>
  <si>
    <t>Залізницький навчально-виховний комплекс "Загальноосвітня школа І-ІІІ ступенів - дитячий садок"</t>
  </si>
  <si>
    <t>44253</t>
  </si>
  <si>
    <t>0723185601</t>
  </si>
  <si>
    <t>Залізниця</t>
  </si>
  <si>
    <t>вул. Лісоградська, 9</t>
  </si>
  <si>
    <t>(03362)9-84-40</t>
  </si>
  <si>
    <t>http://www.mynvk.org.ua</t>
  </si>
  <si>
    <t>Загальноосвітня школа І-ІІ ступеня с.Лобна Любешівського району Волинської області</t>
  </si>
  <si>
    <t>44254</t>
  </si>
  <si>
    <t>0723185602</t>
  </si>
  <si>
    <t>Лобна</t>
  </si>
  <si>
    <t>опорний навчальний заклад"Любешівський навчально-виховний комплекс"Загальноосвітня школа І-ІІ ступенів-гімназія" філія - Підкормільська загальноосвітня школа І-ІІ ступенів</t>
  </si>
  <si>
    <t>44214</t>
  </si>
  <si>
    <t>0723186103</t>
  </si>
  <si>
    <t>Підкормілля</t>
  </si>
  <si>
    <t>(95)7286264</t>
  </si>
  <si>
    <t>http://pidkorm.at.ua/</t>
  </si>
  <si>
    <t>Загальноосвітня школа І ступеня с. Селісок Любешівського району Волинської області</t>
  </si>
  <si>
    <t>44215</t>
  </si>
  <si>
    <t>0723186105</t>
  </si>
  <si>
    <t>Селісок</t>
  </si>
  <si>
    <t>вул. Незалежності, 7</t>
  </si>
  <si>
    <t>(066)6217356</t>
  </si>
  <si>
    <t>Загальноосвітня школа І-ІІ ступеня села Любешівська Воля Любешівського району Волинської області</t>
  </si>
  <si>
    <t>44212</t>
  </si>
  <si>
    <t>0723186301</t>
  </si>
  <si>
    <t>Любешівська Воля</t>
  </si>
  <si>
    <t>вул. Шевченка, 67</t>
  </si>
  <si>
    <t>(03362)9-77-40</t>
  </si>
  <si>
    <t>http://lubvolia.wixsite.com/lubeshivska_volia</t>
  </si>
  <si>
    <t>Загальноосвітня школа І-ІІ ступенів с. В'язівне Любешівського району Волинської області</t>
  </si>
  <si>
    <t>44211</t>
  </si>
  <si>
    <t>0723186303</t>
  </si>
  <si>
    <t>В'язівне</t>
  </si>
  <si>
    <t>(03362)295590</t>
  </si>
  <si>
    <t>http://www.vjazivne.io.ua</t>
  </si>
  <si>
    <t>Опорний навчальний заклад "Люб'язівська загальноосвітня школа І-ІІІ ступенів Любешівської районної ради Волинської області"</t>
  </si>
  <si>
    <t>44235</t>
  </si>
  <si>
    <t>0723186401</t>
  </si>
  <si>
    <t>Люб'язь</t>
  </si>
  <si>
    <t>вул. Романа Корця, 14</t>
  </si>
  <si>
    <t>(262)93645</t>
  </si>
  <si>
    <t>http://liubiaz-school-metod.volyn.sch.in.ua</t>
  </si>
  <si>
    <t>Загальноосвітня школа I-III ступеня с. Мала Глуша Любешівського району Волинської області</t>
  </si>
  <si>
    <t>44224</t>
  </si>
  <si>
    <t>0723186601</t>
  </si>
  <si>
    <t>Мала Глуша</t>
  </si>
  <si>
    <t>(262)9-24-34</t>
  </si>
  <si>
    <t>Загальноосвітня школа І-ІІІ ступеня с. Седлище Любешівського району Волинської області</t>
  </si>
  <si>
    <t>44255</t>
  </si>
  <si>
    <t>0723186801</t>
  </si>
  <si>
    <t>Седлище</t>
  </si>
  <si>
    <t>вул. Валентина Григорука, 1</t>
  </si>
  <si>
    <t>(03362)9-33-40</t>
  </si>
  <si>
    <t>Загальноосвітня школа І-ІІ ступеня с. Угриничі Любешівського району Волинської області</t>
  </si>
  <si>
    <t>44256</t>
  </si>
  <si>
    <t>0723186802</t>
  </si>
  <si>
    <t>Угриничі</t>
  </si>
  <si>
    <t>вул. Шкільна, 1, 1</t>
  </si>
  <si>
    <t>(03362)93311</t>
  </si>
  <si>
    <t>Загальноосвітня школа І-ІІІ ступеня села Судче Любешівського району Волинської області</t>
  </si>
  <si>
    <t>44250</t>
  </si>
  <si>
    <t>0723187201</t>
  </si>
  <si>
    <t>Судче</t>
  </si>
  <si>
    <t>вул. Ланевича, 17А</t>
  </si>
  <si>
    <t>(03362)96740</t>
  </si>
  <si>
    <t>Загальноосвітня школа І-ІІ ступеня села Березна Воля Любешівського району Волинської області</t>
  </si>
  <si>
    <t>44251</t>
  </si>
  <si>
    <t>0723187202</t>
  </si>
  <si>
    <t>Березна Воля</t>
  </si>
  <si>
    <t>0952426878</t>
  </si>
  <si>
    <t>Філія Люб'язівської загальноосвітньої школи І-ІІІ ступенів Волинська область Любешівська районна рада Хоцунська загальноосвітня школа І-ІІ ступенів</t>
  </si>
  <si>
    <t>44234</t>
  </si>
  <si>
    <t>0723187601</t>
  </si>
  <si>
    <t>Хоцунь</t>
  </si>
  <si>
    <t>вул. Шкільна, 21</t>
  </si>
  <si>
    <t>(03362)9-71-40</t>
  </si>
  <si>
    <t>Загальноосвітня школа І-ІІ ступеня с.Цир Любешівського району Волинської області</t>
  </si>
  <si>
    <t>44241</t>
  </si>
  <si>
    <t>0723188701</t>
  </si>
  <si>
    <t>Цир</t>
  </si>
  <si>
    <t>вул. 1 Травня, 72</t>
  </si>
  <si>
    <t>9-53-40</t>
  </si>
  <si>
    <t>Загальноосвітня школа І-ІІ ступуня с.Лахвичі Любешівського р-н Волинської області</t>
  </si>
  <si>
    <t>0723188702</t>
  </si>
  <si>
    <t>Лахвичі</t>
  </si>
  <si>
    <t>(03362)95329</t>
  </si>
  <si>
    <t>Загальноосвітня школа І-ІІ ступеня с. Щитинь Любешівського району Волинської області</t>
  </si>
  <si>
    <t>44225</t>
  </si>
  <si>
    <t>0723189201</t>
  </si>
  <si>
    <t>Щитинь</t>
  </si>
  <si>
    <t>297340</t>
  </si>
  <si>
    <t>http://schytyn.at.ua</t>
  </si>
  <si>
    <t>Любомльська загальноосвітня школа І-ІІІ ступенів № 2 Любомльської районної ради Волинської області</t>
  </si>
  <si>
    <t>44300</t>
  </si>
  <si>
    <t>0723310100</t>
  </si>
  <si>
    <t>Любомль</t>
  </si>
  <si>
    <t>вул. Поштова, 16</t>
  </si>
  <si>
    <t>(03377)23890</t>
  </si>
  <si>
    <t>http://schoolofluboml2.hol.es/</t>
  </si>
  <si>
    <t>Любомльська загальноосвітня школа І-ІІІ ступенів № 3 Любомльської районної ради Волинської області</t>
  </si>
  <si>
    <t>вул. Брестська, 13</t>
  </si>
  <si>
    <t>(03377)23440</t>
  </si>
  <si>
    <t>Любомльський навчально - виховний комплекс "Загальноосвітня школа І-ІІІ ступенів - районна гімназія" імені Наталії Ужвій Любомльської районної ради Волинської області</t>
  </si>
  <si>
    <t>(03377)2-39-02</t>
  </si>
  <si>
    <t>http://gymnasia-luboml.ucoz.ua</t>
  </si>
  <si>
    <t>Головненська загальноосвітня школа І-ІІІ ступенів Любомльської районної ради Волинської області</t>
  </si>
  <si>
    <t>44323</t>
  </si>
  <si>
    <t>0723355300</t>
  </si>
  <si>
    <t>Головне</t>
  </si>
  <si>
    <t>вул. Миру, 28</t>
  </si>
  <si>
    <t>(03377)31185</t>
  </si>
  <si>
    <t>Головненська спеціальна загальноосвітня школа-інтернат "Центр освіти та соціально-педагогічної підтримки"</t>
  </si>
  <si>
    <t>21732279</t>
  </si>
  <si>
    <t>Масловецька загальноосвітня школа І ступеня Любомльської районної ради Волинської області</t>
  </si>
  <si>
    <t>0723355301</t>
  </si>
  <si>
    <t>Масловець</t>
  </si>
  <si>
    <t>вул. Слави, 39А</t>
  </si>
  <si>
    <t>Яснівська загальноосвітня школа І-ІІ ступенів Любомльської районної ради Волинської області</t>
  </si>
  <si>
    <t>0723355305</t>
  </si>
  <si>
    <t>Ясне</t>
  </si>
  <si>
    <t>380986431049</t>
  </si>
  <si>
    <t>Бірківська загальноосвітня школа І-ІІ ступенів Любомльської районної ради Волинської області</t>
  </si>
  <si>
    <t>44308</t>
  </si>
  <si>
    <t>0723380201</t>
  </si>
  <si>
    <t>вул. Мічуріна, 41А</t>
  </si>
  <si>
    <t>(3377)35-6-22</t>
  </si>
  <si>
    <t>Скибська загальноосвітня школа І-ІІ ступенів Любомльської районної ради Волинської області</t>
  </si>
  <si>
    <t>44309</t>
  </si>
  <si>
    <t>0723380202</t>
  </si>
  <si>
    <t>Скиби</t>
  </si>
  <si>
    <t>(03377)35630</t>
  </si>
  <si>
    <t>Вишнівський навчально-виховний комплекс "Загальноосвітня школа І-ІІІ ступеня - дошкільний навчальний заклад"</t>
  </si>
  <si>
    <t>44351</t>
  </si>
  <si>
    <t>0723380401</t>
  </si>
  <si>
    <t>вул. Незалежності, 59</t>
  </si>
  <si>
    <t>(033)32405</t>
  </si>
  <si>
    <t>Гущанський навчально-виховний комплекс "Загальноосвітня школа І-ІІІступенів - дошкільний навчальний заклад"</t>
  </si>
  <si>
    <t>44330</t>
  </si>
  <si>
    <t>0723381001</t>
  </si>
  <si>
    <t>Гуща</t>
  </si>
  <si>
    <t>(03377)25-5-40</t>
  </si>
  <si>
    <t>Заболоттівська загальноосвітня школа І-ІІ ступенів Любомльської районної ради Волинської області</t>
  </si>
  <si>
    <t>44321</t>
  </si>
  <si>
    <t>0723381301</t>
  </si>
  <si>
    <t>Заболоття</t>
  </si>
  <si>
    <t>вул. Брестська, 7</t>
  </si>
  <si>
    <t>Крушинецька загальноосвітня школа І-ІІ ступенів Любомльської районної ради Волинської області</t>
  </si>
  <si>
    <t>44320</t>
  </si>
  <si>
    <t>0723381305</t>
  </si>
  <si>
    <t>Крушинець</t>
  </si>
  <si>
    <t>вул. Лесі Українки, 21</t>
  </si>
  <si>
    <t>Забузька загальноосвітня школа І-ІІІ ступенів Любомльської районної ради Волинської області</t>
  </si>
  <si>
    <t>44310</t>
  </si>
  <si>
    <t>0723381501</t>
  </si>
  <si>
    <t>Забужжя</t>
  </si>
  <si>
    <t>(033)7735338, (096)8141677</t>
  </si>
  <si>
    <t>Запільська загальноосвітня школа І-ІІ ступенів Любомльської районної ради Волинської області</t>
  </si>
  <si>
    <t>44331</t>
  </si>
  <si>
    <t>0723381701</t>
  </si>
  <si>
    <t>Запілля</t>
  </si>
  <si>
    <t>вул. Камінчука, 2А</t>
  </si>
  <si>
    <t>(3377)3-21-41</t>
  </si>
  <si>
    <t>http://zapilskazoh.ucoz.ua</t>
  </si>
  <si>
    <t>Зачернецька загальноосвітня школа І-ІІІ ступенів Любомльської районної ради Волинської області</t>
  </si>
  <si>
    <t>44340</t>
  </si>
  <si>
    <t>0723381901</t>
  </si>
  <si>
    <t>Зачернеччя</t>
  </si>
  <si>
    <t>(03377)237619</t>
  </si>
  <si>
    <t>Біличівська загальноосвітня шокла І ступеня Любомльської районної ради Волинської області</t>
  </si>
  <si>
    <t>0723381902</t>
  </si>
  <si>
    <t>Біличі</t>
  </si>
  <si>
    <t>вул. Залізнична</t>
  </si>
  <si>
    <t>Згоранська загальноосвітня школа І-ІІІ ступенів Любомльської районної ради Волинської області</t>
  </si>
  <si>
    <t>44313</t>
  </si>
  <si>
    <t>0723382201</t>
  </si>
  <si>
    <t>Згорани</t>
  </si>
  <si>
    <t>вул. ШЕВЧЕНКА, 63</t>
  </si>
  <si>
    <t>(03377)35-1-21</t>
  </si>
  <si>
    <t>ЗОШ І-ІІ ступенів обласного дитячого протитуберкульозного санаторію "Згорани"</t>
  </si>
  <si>
    <t>санаторна школа</t>
  </si>
  <si>
    <t>вул. Шевченка, 210</t>
  </si>
  <si>
    <t>(03377)35046</t>
  </si>
  <si>
    <t>Гупалівська загальноосвітня школа І-ІІ ступенів Любомльської районної ради Волинської області</t>
  </si>
  <si>
    <t>0723382202</t>
  </si>
  <si>
    <t>Гупали</t>
  </si>
  <si>
    <t>вул. Центральна, 31</t>
  </si>
  <si>
    <t>http://gupaly-school.edukit.volyn.ua/</t>
  </si>
  <si>
    <t>Заозернянська загальоосвітня школа І ступеня Любомльської районної ради Волинської області</t>
  </si>
  <si>
    <t>0723382203</t>
  </si>
  <si>
    <t>Сильнівський навчально-виховний комплекс"Загальноосвітня школа І-ІІступенів-дошкільний навчальний заклад"</t>
  </si>
  <si>
    <t>0723382204</t>
  </si>
  <si>
    <t>(03377)35-1-54</t>
  </si>
  <si>
    <t>Куснищанська загальноосвітня школа І-ІІІ ступенів Любомльської районної ради Волинської області</t>
  </si>
  <si>
    <t>44326</t>
  </si>
  <si>
    <t>0723382401</t>
  </si>
  <si>
    <t>Куснища</t>
  </si>
  <si>
    <t>вул. Матиюка, 74</t>
  </si>
  <si>
    <t>(03377)36340</t>
  </si>
  <si>
    <t>http://kusnyscha-school.edukit.volyn.ua</t>
  </si>
  <si>
    <t>Городненська загальноосвітня школа І-ІІ ступенів Лобомльської районної ради Волинської області</t>
  </si>
  <si>
    <t>44327</t>
  </si>
  <si>
    <t>0723382402</t>
  </si>
  <si>
    <t>Городнє</t>
  </si>
  <si>
    <t>вул. Джура, 1</t>
  </si>
  <si>
    <t>Машівський навчально-виховний комплекс "Загальноосвітня школа І-ІІІ ступенів - дошкільний навчальний заклад"</t>
  </si>
  <si>
    <t>44343</t>
  </si>
  <si>
    <t>0723382801</t>
  </si>
  <si>
    <t>Машів</t>
  </si>
  <si>
    <t>(03377)33160</t>
  </si>
  <si>
    <t>Нудиженський навчально-виховний комплекс "Загальноосвітня школа І-ІІІ ступенів - дошкільний навчальний заклад"</t>
  </si>
  <si>
    <t>0723383101</t>
  </si>
  <si>
    <t>Нудиже</t>
  </si>
  <si>
    <t>вул. Центральна, 21</t>
  </si>
  <si>
    <t>(03377)33441</t>
  </si>
  <si>
    <t>http://www.nudyzhe-nvk.edukit.volyn.ua</t>
  </si>
  <si>
    <t>Олеська загальноосвітня школа І-ІІІ ступенів Любомльської районної ради Волинської області</t>
  </si>
  <si>
    <t>44356</t>
  </si>
  <si>
    <t>0723383301</t>
  </si>
  <si>
    <t>Олеськ</t>
  </si>
  <si>
    <t>вул. Лесі Українки, 57</t>
  </si>
  <si>
    <t>(068)0463329</t>
  </si>
  <si>
    <t>http://www.oleska-zosh.volyn.sch.in.ua/</t>
  </si>
  <si>
    <t>Глинянська загальноосвітня школа І ступеня Любомльської районної ради Волинська області</t>
  </si>
  <si>
    <t>0723383302</t>
  </si>
  <si>
    <t>вул. Жука, 22</t>
  </si>
  <si>
    <t>(096)9473456</t>
  </si>
  <si>
    <t>Підгородненська загальноосвітня школа I-II ступенів Любомльської районної ради Волинської області</t>
  </si>
  <si>
    <t>44342</t>
  </si>
  <si>
    <t>0723383701</t>
  </si>
  <si>
    <t>Підгородне</t>
  </si>
  <si>
    <t>вул. Віталія Карповича, 1</t>
  </si>
  <si>
    <t>(096)1639164</t>
  </si>
  <si>
    <t>Полапівська загальноосвітня школа І-ІІІ ступенів Любомльської районної ради Волинської області</t>
  </si>
  <si>
    <t>44315</t>
  </si>
  <si>
    <t>0723383901</t>
  </si>
  <si>
    <t>Полапи</t>
  </si>
  <si>
    <t>вул. Незалежності, 141</t>
  </si>
  <si>
    <t>(03377)36519</t>
  </si>
  <si>
    <t>Почапівська загальноосвітня школи І - ІІ ступенів Любомльської районної ради Волинської області</t>
  </si>
  <si>
    <t>44341</t>
  </si>
  <si>
    <t>0723384001</t>
  </si>
  <si>
    <t>Почапи</t>
  </si>
  <si>
    <t>вул. радянська, 96</t>
  </si>
  <si>
    <t>(03377)37457</t>
  </si>
  <si>
    <t>Радехівська загальноосвітня школа І-ІІ ступенів Любомльської районної ради Волинської області</t>
  </si>
  <si>
    <t>44353</t>
  </si>
  <si>
    <t>0723384701</t>
  </si>
  <si>
    <t>Радехів</t>
  </si>
  <si>
    <t>вул. Миру, 4</t>
  </si>
  <si>
    <t>(03377)33-8-55</t>
  </si>
  <si>
    <t>Римачівський навчально-виховний комплекс "Загальноосвітня школа І-ІІІст. -дошкільний навчальний заклад"</t>
  </si>
  <si>
    <t>44350</t>
  </si>
  <si>
    <t>0723384801</t>
  </si>
  <si>
    <t>Римачі</t>
  </si>
  <si>
    <t>3-16-36</t>
  </si>
  <si>
    <t>Бережецький навчально-виховний комплекс "Загальноосвітня школа І-ІІ ступенів - дошкільний навчальний заклад"</t>
  </si>
  <si>
    <t>44352</t>
  </si>
  <si>
    <t>0723384802</t>
  </si>
  <si>
    <t>Бережці</t>
  </si>
  <si>
    <t>вул. Володимирська, 27</t>
  </si>
  <si>
    <t>(03377)3-16-60</t>
  </si>
  <si>
    <t>Навчально-виховний комплекс "Загальноосвітня школа І-ІІІ ступенів - дошкільний навчальний заклад" Рівненської сільської ради Волинської області</t>
  </si>
  <si>
    <t>44332</t>
  </si>
  <si>
    <t>0723384901</t>
  </si>
  <si>
    <t>(03377)33640</t>
  </si>
  <si>
    <t>Столинсько-Смолярська загальноосвітня школа І-ІІ ступенів Любомльської районної ради Волинської області</t>
  </si>
  <si>
    <t>44311</t>
  </si>
  <si>
    <t>0723385901</t>
  </si>
  <si>
    <t>Столинські Смоляри</t>
  </si>
  <si>
    <t>вул. Володимирська, 18</t>
  </si>
  <si>
    <t>(03377)35540</t>
  </si>
  <si>
    <t>Гороховищанська загальноосвітня школа І-ІІ ступенів Любомльської районної ради Волинської області</t>
  </si>
  <si>
    <t>44312</t>
  </si>
  <si>
    <t>0723385905</t>
  </si>
  <si>
    <t>Гороховище</t>
  </si>
  <si>
    <t>(06736)85270</t>
  </si>
  <si>
    <t>Хворостівський навчально-виховний комплекс "Загальноосвітня школа І-ІІІ ступенів - дошкільний навчальний заклад"</t>
  </si>
  <si>
    <t>44344</t>
  </si>
  <si>
    <t>0723386501</t>
  </si>
  <si>
    <t>Хворостів</t>
  </si>
  <si>
    <t>вул. Дружби, 185 а</t>
  </si>
  <si>
    <t>(03377)37178</t>
  </si>
  <si>
    <t>Руденське навчально - виховне об'єднання "Школа І ст. - дитсадок"</t>
  </si>
  <si>
    <t>44345</t>
  </si>
  <si>
    <t>0723386502</t>
  </si>
  <si>
    <t>Руда</t>
  </si>
  <si>
    <t>(03377)37199</t>
  </si>
  <si>
    <t>Штунська загальноосвітня школа І-ІІІ ступенів Любомльської районної ради Волинської області</t>
  </si>
  <si>
    <t>44354</t>
  </si>
  <si>
    <t>0723387201</t>
  </si>
  <si>
    <t>Штунь</t>
  </si>
  <si>
    <t>(03377)34403</t>
  </si>
  <si>
    <t>Висоцька загальноосвітня школа І-ІІ ступенів Любомльської районної ради Волинської області</t>
  </si>
  <si>
    <t>44355</t>
  </si>
  <si>
    <t>0723387202</t>
  </si>
  <si>
    <t>Висоцьк</t>
  </si>
  <si>
    <t>Загальноосвітня школа І-ІІІ ступенів № 1 імені Героя України Андрія Снітка смт Маневичі, Маневицького району, Волинської області</t>
  </si>
  <si>
    <t>44601</t>
  </si>
  <si>
    <t>0723655100</t>
  </si>
  <si>
    <t>Маневичі</t>
  </si>
  <si>
    <t>вул. Комарова, 6</t>
  </si>
  <si>
    <t>(03376)21199</t>
  </si>
  <si>
    <t>http://manevychi-school1.edukit.volyn.ua/</t>
  </si>
  <si>
    <t>Маневицька загальнооствітня вечірня школа ІІ-ІІІ ступеня</t>
  </si>
  <si>
    <t>44600</t>
  </si>
  <si>
    <t>вул. Андрія Снітка, 25</t>
  </si>
  <si>
    <t>Навчально-виховний комплекс "Маневицька загальноосвітня школа І-ІІІступенів № 2-гімназія ім.А.П.Бринського" Маневицький район Волинська область</t>
  </si>
  <si>
    <t>вул. 100-річчя Маневич, 59</t>
  </si>
  <si>
    <t>(03376)2-27-08</t>
  </si>
  <si>
    <t>Опорний заклад навчально виховний комплекс "Колківська загальноосвітня школа І-ІІІ ступенів - ліцей" Маневицького району Волинської області</t>
  </si>
  <si>
    <t>44661</t>
  </si>
  <si>
    <t>0723655400</t>
  </si>
  <si>
    <t>Колки</t>
  </si>
  <si>
    <t>http://kolkynvk.wixsite.com/oznvk</t>
  </si>
  <si>
    <t>загальноосвітня школа І-ІІІ ступенів села Боровичі Маневицького району Волинської області</t>
  </si>
  <si>
    <t>44666</t>
  </si>
  <si>
    <t>0723680301</t>
  </si>
  <si>
    <t>Боровичі</t>
  </si>
  <si>
    <t>вул. Незалежності, 6</t>
  </si>
  <si>
    <t>9-44-52</t>
  </si>
  <si>
    <t>загальноосвітня школа І-ІІступенів села Грузятин</t>
  </si>
  <si>
    <t>44667</t>
  </si>
  <si>
    <t>0723680302</t>
  </si>
  <si>
    <t>Грузятин</t>
  </si>
  <si>
    <t>вул. М.Мандзюка, 34</t>
  </si>
  <si>
    <t>(03376)94437</t>
  </si>
  <si>
    <t>Загальноосвітня школа І-ІІІ ступенів села Будки Маневицького району Волинської області</t>
  </si>
  <si>
    <t>44641</t>
  </si>
  <si>
    <t>0723680601</t>
  </si>
  <si>
    <t>Будки</t>
  </si>
  <si>
    <t>(09976)96538, (096)7810894</t>
  </si>
  <si>
    <t>Загальноосвітня школа І-ІІ ступенів с. Велика Ведмежка, філія ОЗ "Загальноосвітня школа І-ІІІ ступенів с.Цміни"</t>
  </si>
  <si>
    <t>44631</t>
  </si>
  <si>
    <t>0723680901</t>
  </si>
  <si>
    <t>Велика Ведмежка</t>
  </si>
  <si>
    <t>вул. Соборності, 69</t>
  </si>
  <si>
    <t>(03376)99-9-73</t>
  </si>
  <si>
    <t>Загальноосвітня школа І ступеня с.Підцаревичі Маневицького району Волинської області</t>
  </si>
  <si>
    <t>0723680902</t>
  </si>
  <si>
    <t>Нові Підцаревичі</t>
  </si>
  <si>
    <t>4А</t>
  </si>
  <si>
    <t>Загальноосвітня школа І-ІІІ ступенів села Велика Осниця Маневицького району Волинської області</t>
  </si>
  <si>
    <t>44650</t>
  </si>
  <si>
    <t>0723681101</t>
  </si>
  <si>
    <t>Велика Осниця</t>
  </si>
  <si>
    <t>(03376)96840, (097)8660931</t>
  </si>
  <si>
    <t>http://www.vosnytsia-school.edukit.volyn.ua</t>
  </si>
  <si>
    <t>Загальноосвітня школа І ступеня с.Заріччя</t>
  </si>
  <si>
    <t>0723681102</t>
  </si>
  <si>
    <t>Заріччя</t>
  </si>
  <si>
    <t>0974064655</t>
  </si>
  <si>
    <t>Загальноосвітня школа І-ІІІ ступенів с. Годомичі, Маневицький район, Волинська область</t>
  </si>
  <si>
    <t>44671</t>
  </si>
  <si>
    <t>0723681701</t>
  </si>
  <si>
    <t>Годомичі</t>
  </si>
  <si>
    <t>Загальноосвітня школа І-ІІІ ступенів с. Гораймівка Маневицького району Волинської області</t>
  </si>
  <si>
    <t>44681</t>
  </si>
  <si>
    <t>0723681901</t>
  </si>
  <si>
    <t>Гораймівка</t>
  </si>
  <si>
    <t>вул. Київська, 2</t>
  </si>
  <si>
    <t>(03376)97140</t>
  </si>
  <si>
    <t>http://goraimivka-school.edukit.volyn.ua/</t>
  </si>
  <si>
    <t>Загальноосвітня школа І-ІІ ступенів с. Майдан-Липненський Маневицький район Волинська область</t>
  </si>
  <si>
    <t>0723681902</t>
  </si>
  <si>
    <t>Майдан-Липненський</t>
  </si>
  <si>
    <t>0977353769</t>
  </si>
  <si>
    <t>http://mlypnenskyi-zosh.volyn.sch.in.ua/</t>
  </si>
  <si>
    <t>Загальноосвітня школа І-ІІІ ступенів села Велика Яблунька Маневицького району Волинської області</t>
  </si>
  <si>
    <t>44643</t>
  </si>
  <si>
    <t>0723682202</t>
  </si>
  <si>
    <t>Велика Яблунька</t>
  </si>
  <si>
    <t>вул. Перемоги, 29А</t>
  </si>
  <si>
    <t>(03376)97340</t>
  </si>
  <si>
    <t>http://vel-yablunka-school.edukit.volyn.ua</t>
  </si>
  <si>
    <t>Загальноосвітня школа І-ІІ ступенів с. Граддя</t>
  </si>
  <si>
    <t>44644</t>
  </si>
  <si>
    <t>0723682203</t>
  </si>
  <si>
    <t>Граддя</t>
  </si>
  <si>
    <t>(033)7697348</t>
  </si>
  <si>
    <t>Загальноосвітня школа І-ІІ ступенів с. Карасин Маневицького району Волинської області</t>
  </si>
  <si>
    <t>44612</t>
  </si>
  <si>
    <t>0723682801</t>
  </si>
  <si>
    <t>вул. Шкільна, 13А</t>
  </si>
  <si>
    <t>(03376)95740</t>
  </si>
  <si>
    <t>Загальноосвітня школа І-ІІІ ступенів с. Комарове, Маневицького району, Волинської області</t>
  </si>
  <si>
    <t>44651</t>
  </si>
  <si>
    <t>0723683001</t>
  </si>
  <si>
    <t>Комарове</t>
  </si>
  <si>
    <t>вул. Лесі Українки, 7</t>
  </si>
  <si>
    <t>(03376)99516</t>
  </si>
  <si>
    <t>Навчально-виховний комплекс "Загальноосвітня школа І-ІІ ступенів - дошкільний навчальний заклад села Копилля Маневицького району Волинської області" 25086126</t>
  </si>
  <si>
    <t>44660</t>
  </si>
  <si>
    <t>0723683201</t>
  </si>
  <si>
    <t>Копилля</t>
  </si>
  <si>
    <t>(276)9-49-42</t>
  </si>
  <si>
    <t>Загальноосвітня школа І - ІІІ ступенів с.Костюхнівка Маневицького району Волинської області</t>
  </si>
  <si>
    <t>44630</t>
  </si>
  <si>
    <t>0723683401</t>
  </si>
  <si>
    <t>Костюхнівка</t>
  </si>
  <si>
    <t>(03376)9-69-40</t>
  </si>
  <si>
    <t>Загальноосвітня школа І-ІІ ступенів с. Вовчицьк Маневицького району Волинської області</t>
  </si>
  <si>
    <t>0723683402</t>
  </si>
  <si>
    <t>Вовчицьк</t>
  </si>
  <si>
    <t>вул. Центральна, 19</t>
  </si>
  <si>
    <t>(03376)96912</t>
  </si>
  <si>
    <t>Загальноосвітня школа І-ІІ ступенів с.Колодії Маневицького району.Волинської області.</t>
  </si>
  <si>
    <t>0723683403</t>
  </si>
  <si>
    <t>Колодії</t>
  </si>
  <si>
    <t>9-69-14</t>
  </si>
  <si>
    <t>Загальноосвітня школа І-ІІІ ступенів с. Красноволя Маневицький район Волинська область</t>
  </si>
  <si>
    <t>44654</t>
  </si>
  <si>
    <t>0723683501</t>
  </si>
  <si>
    <t>Красноволя</t>
  </si>
  <si>
    <t>вул. Лесі Українки, 43А</t>
  </si>
  <si>
    <t>Загальноосвітня школа І-ІІ ступенів с.Матейки Маневицький район Волинська область</t>
  </si>
  <si>
    <t>44656</t>
  </si>
  <si>
    <t>0723683502</t>
  </si>
  <si>
    <t>Матейки</t>
  </si>
  <si>
    <t>Загальноосвітня школа І-ІІ ступенів села Тельчі</t>
  </si>
  <si>
    <t>44655</t>
  </si>
  <si>
    <t>0723683505</t>
  </si>
  <si>
    <t>Тельчі</t>
  </si>
  <si>
    <t>(03376)97061</t>
  </si>
  <si>
    <t>Загальноосвітня школа І-ІІІ ступенів с. Кукли Маневицького району Волинської області</t>
  </si>
  <si>
    <t>44640</t>
  </si>
  <si>
    <t>0723683601</t>
  </si>
  <si>
    <t>Кукли</t>
  </si>
  <si>
    <t>(03327)96340</t>
  </si>
  <si>
    <t>Загальноосвітня школа І-ІІ ступенів с. Куликовичі Маневицького району Волинської області</t>
  </si>
  <si>
    <t>44653</t>
  </si>
  <si>
    <t>0723683801</t>
  </si>
  <si>
    <t>Куликовичі</t>
  </si>
  <si>
    <t>вул. Б. Хмельницького, 2</t>
  </si>
  <si>
    <t>(276)99140</t>
  </si>
  <si>
    <t>загальноосвітня школа І-ІІ ступенів с. Лісове Маневицького р-ну Волинської обл.</t>
  </si>
  <si>
    <t>44635</t>
  </si>
  <si>
    <t>0723684001</t>
  </si>
  <si>
    <t>Загальноосвітня школа І ступеня с.Гута Лісівська</t>
  </si>
  <si>
    <t>0723684002</t>
  </si>
  <si>
    <t>Гута-Лісівська</t>
  </si>
  <si>
    <t>вул. Юрія Суліковського, 38</t>
  </si>
  <si>
    <t>(097)8532740</t>
  </si>
  <si>
    <t>Загальноосвітня школа І-ІІ ступенів с.Нова Руда-філія ОЗ "ЗОШ І-ІІІ ступенів с.Троянівка" Маневицького району Волинської області</t>
  </si>
  <si>
    <t>44620</t>
  </si>
  <si>
    <t>0723685101</t>
  </si>
  <si>
    <t>Нова Руда</t>
  </si>
  <si>
    <t>вул. Лісова, 6</t>
  </si>
  <si>
    <t>(03376)97540</t>
  </si>
  <si>
    <t>Загальноосвітня школа І-ІІ ступенів с.Градиськ Маневицького району Волинської області</t>
  </si>
  <si>
    <t>44621</t>
  </si>
  <si>
    <t>0723685102</t>
  </si>
  <si>
    <t>Градиськ</t>
  </si>
  <si>
    <t>Загальноосвітня школа І-ІІІ ступенів с. Оконськ Маневицького району Волинської області</t>
  </si>
  <si>
    <t>44603</t>
  </si>
  <si>
    <t>0723685301</t>
  </si>
  <si>
    <t>Оконськ</t>
  </si>
  <si>
    <t>вул. Луцька, 4</t>
  </si>
  <si>
    <t>(03367)96495</t>
  </si>
  <si>
    <t>Опорний заклад "Загальноосвітня школа І-ІІІ ступенів с,Прилісне" Прилісненської сільської ради ОТГ Маневицького району Волинської області</t>
  </si>
  <si>
    <t>44614</t>
  </si>
  <si>
    <t>0723685501</t>
  </si>
  <si>
    <t>Прилісне</t>
  </si>
  <si>
    <t>вул. Сойне, 1А</t>
  </si>
  <si>
    <t>http://www.prylisne-school.edukit.volyn.ua</t>
  </si>
  <si>
    <t>Загальноосвітня школа І-ІІІ ступенів села Рудники Маневицького району Волинської області</t>
  </si>
  <si>
    <t>44682</t>
  </si>
  <si>
    <t>0723685901</t>
  </si>
  <si>
    <t>Рудники</t>
  </si>
  <si>
    <t>Загальноосвітня школа І ступеня с. Новоукраїнка - філія опорного закладу навчально - виховного комплексу "Колківська загальноосвітня школа І-ІІІ ступенів - ліцей" Маневицького району Волинської області</t>
  </si>
  <si>
    <t>44665</t>
  </si>
  <si>
    <t>0723685904</t>
  </si>
  <si>
    <t>Новоукраїнка</t>
  </si>
  <si>
    <t>вул. Козацька, 36</t>
  </si>
  <si>
    <t>Загальноосвітня школа І-ІІ ступенів с. Старосілля - філія опорного закладу навчально-виховного комплексу "Колківська загальноосвітня школа І-ІІІ ступенів - ліцей" Маневицького району Волинської області</t>
  </si>
  <si>
    <t>44663</t>
  </si>
  <si>
    <t>0723686401</t>
  </si>
  <si>
    <t>вул. Незалежності, 13</t>
  </si>
  <si>
    <t>(03376)32036</t>
  </si>
  <si>
    <t>http://www.starosilia.ucoz.ru</t>
  </si>
  <si>
    <t>Загальноосвітня школа І-ІІ ступенів с. Розничі-філія опорного закладу "Колківська загальноосвітня школа І-ІІІ ступенів-ліцей", Відділ освіти Маневицької райдержадміністрації,Міністерство освіти і науки.</t>
  </si>
  <si>
    <t>0723686402</t>
  </si>
  <si>
    <t>Розничі</t>
  </si>
  <si>
    <t>(25086215)3-21-09</t>
  </si>
  <si>
    <t>Загальноосвітня школа І ступеня с.Семки Маневицького району Волинської області</t>
  </si>
  <si>
    <t>0723686403</t>
  </si>
  <si>
    <t>(067)4545957</t>
  </si>
  <si>
    <t>Загальноосвітня школа І-ІІ ступенів села Ситниця - філія опорного закладу навчально-виховного комплексу "Колківська загальноосвітня школа І-ІІІ ступенів - ліцей" Маневицького району Волинської області</t>
  </si>
  <si>
    <t>0723686404</t>
  </si>
  <si>
    <t>Ситниця</t>
  </si>
  <si>
    <t>вул. Шкільна, 33</t>
  </si>
  <si>
    <t>(03376)3-21-16</t>
  </si>
  <si>
    <t>Загальноосвітня школа І-ІІІ ступенів с. Старий Чорторийськ Маневицького району Волинської області</t>
  </si>
  <si>
    <t>44636</t>
  </si>
  <si>
    <t>0723686601</t>
  </si>
  <si>
    <t>Старий Чорторийськ</t>
  </si>
  <si>
    <t>вул. Сокола, 66</t>
  </si>
  <si>
    <t>0337695140</t>
  </si>
  <si>
    <t>Опорний заклад "Загальноосвітня школа І-ІІІ ступенів с. Троянівка" Маневицького району Волинської області</t>
  </si>
  <si>
    <t>44622</t>
  </si>
  <si>
    <t>0723687301</t>
  </si>
  <si>
    <t>Троянівка</t>
  </si>
  <si>
    <t>вул. Лугова, 52</t>
  </si>
  <si>
    <t>(03376)95480</t>
  </si>
  <si>
    <t>Загальноосвітня школа І-ІІ ступенів с.Бережниця - філія опорного закладу "Загальноосвітня школа І-ІІІ ступенів с.Троянівка"</t>
  </si>
  <si>
    <t>0723687302</t>
  </si>
  <si>
    <t>Бережниця</t>
  </si>
  <si>
    <t>(0337)697940</t>
  </si>
  <si>
    <t>Загальноосвітня школа І ступенів с.Майдан - філія Опорного закладу "Загальноосвітня школа І-ІІІ ступенів с.Троянівка"</t>
  </si>
  <si>
    <t>0723687303</t>
  </si>
  <si>
    <t>вул. Чернявська, 8</t>
  </si>
  <si>
    <t>(097)6091499</t>
  </si>
  <si>
    <t>Загальноосвітня школа І-ІІ ступенів с. Черськ - філія опорного закладу "загальноосвітня школа І-ІІІ ступенів села Троянівка"</t>
  </si>
  <si>
    <t>44623</t>
  </si>
  <si>
    <t>0723687304</t>
  </si>
  <si>
    <t>Черськ</t>
  </si>
  <si>
    <t>(3356)92557</t>
  </si>
  <si>
    <t>Опорний заклад "Загальноосвітня школа І-ІІІ ступенів с.Цміни"</t>
  </si>
  <si>
    <t>44632</t>
  </si>
  <si>
    <t>0723687601</t>
  </si>
  <si>
    <t>Цміни</t>
  </si>
  <si>
    <t>вул. Шкільна, 67</t>
  </si>
  <si>
    <t>(03376)99947</t>
  </si>
  <si>
    <t>Загальноосвітня школа І-ІІ ступенів с. Козлиничі - філія Опорного закладу "ЗОШ І-ІІІст.с.Цміни", Маневицький район, Волинська область</t>
  </si>
  <si>
    <t>44633</t>
  </si>
  <si>
    <t>0723687602</t>
  </si>
  <si>
    <t>вул. В.Швеця 1, 1</t>
  </si>
  <si>
    <t>Загальноосвітня школа І ступеня села Хряськ-філія опорного закладу "загальноосвітньої школи І-ІІІ ступенів села Цміни" Маневицького району Волинської області</t>
  </si>
  <si>
    <t>44634</t>
  </si>
  <si>
    <t>0723687605</t>
  </si>
  <si>
    <t>Хряськ</t>
  </si>
  <si>
    <t>Навчально-виховний комплекс "Загальноосвітня школа І-ІІ ступенів - дошкільний навчальний заклад села Череваха Маневицького району Волинської області"</t>
  </si>
  <si>
    <t>44624</t>
  </si>
  <si>
    <t>0723687901</t>
  </si>
  <si>
    <t>Череваха</t>
  </si>
  <si>
    <t>Загальноосвітня школа І-ІІІ ступенів імені Володимира Мельника с. Чорниж Маневицького району Волинської області</t>
  </si>
  <si>
    <t>44680</t>
  </si>
  <si>
    <t>0723688201</t>
  </si>
  <si>
    <t>Чорниж</t>
  </si>
  <si>
    <t>(03376)96140</t>
  </si>
  <si>
    <t>http://chornyzh-school.edukit.volyn.ua</t>
  </si>
  <si>
    <t>Загальноосвітня школа І-ІІІ ступенів с. Четвертня Маневицького району Волинської області</t>
  </si>
  <si>
    <t>44670</t>
  </si>
  <si>
    <t>0723688701</t>
  </si>
  <si>
    <t>Четвертня</t>
  </si>
  <si>
    <t>(03376)93840</t>
  </si>
  <si>
    <t>Загальноосвітня школа І-ІІ ступенів села Криничне Маневицького району Волинської області</t>
  </si>
  <si>
    <t>44672</t>
  </si>
  <si>
    <t>0723688702</t>
  </si>
  <si>
    <t>Криничне</t>
  </si>
  <si>
    <t>вул. Лесі Українки, 11</t>
  </si>
  <si>
    <t>(276)93140</t>
  </si>
  <si>
    <t>Загальноосвітня школа І-ІІІ ступеня № 2 смт Ратне імені Миколи Заліпи</t>
  </si>
  <si>
    <t>44100</t>
  </si>
  <si>
    <t>0724255100</t>
  </si>
  <si>
    <t>Ратне</t>
  </si>
  <si>
    <t>вул. Шевченка, 7</t>
  </si>
  <si>
    <t>(03366)22441</t>
  </si>
  <si>
    <t>http://school2ratne.jimdo.com</t>
  </si>
  <si>
    <t>Міжшкільний навчально-виробничий комбінат смт Ратне</t>
  </si>
  <si>
    <t>міжшкільний навчально-виробничий комбінат</t>
  </si>
  <si>
    <t>(03366)21398</t>
  </si>
  <si>
    <t>Навчально - виховний комплекс "Загальноосвітня школа І-ІІІ ступеня № 1 - гімназія ім. Героя Радянського Союзу В.Газіна" смт Ратне</t>
  </si>
  <si>
    <t>(03366)21596</t>
  </si>
  <si>
    <t>Заболоттівська спеціальна загальноосвітня школа - інтернат</t>
  </si>
  <si>
    <t>44142</t>
  </si>
  <si>
    <t>0724255300</t>
  </si>
  <si>
    <t>вул. Незалежності, 15</t>
  </si>
  <si>
    <t>(03366)95265</t>
  </si>
  <si>
    <t>21748263</t>
  </si>
  <si>
    <t>НВК "Загальноосвітня школа І-ІІІ ступеня-дитячий садок" смт. Заболоття</t>
  </si>
  <si>
    <t>вул. 1 травня, 1</t>
  </si>
  <si>
    <t>(03366)95378</t>
  </si>
  <si>
    <t>Навчально виховний комплекс "загальноосвітня школа І-ІІІ ступеня- дитячий садок"с.Велимче</t>
  </si>
  <si>
    <t>44164</t>
  </si>
  <si>
    <t>0724280401</t>
  </si>
  <si>
    <t>Велимче</t>
  </si>
  <si>
    <t>вул. Центральна, 86</t>
  </si>
  <si>
    <t>(03366)93112</t>
  </si>
  <si>
    <t>навчально-виховний комплекс "загальноосвітня школа І-ІІІ ступеня - дитячий садок" с.Видраниця</t>
  </si>
  <si>
    <t>44152</t>
  </si>
  <si>
    <t>0724280801</t>
  </si>
  <si>
    <t>Видраниця</t>
  </si>
  <si>
    <t>(03366)92640</t>
  </si>
  <si>
    <t>http://vudranvk.at.ua</t>
  </si>
  <si>
    <t>Загальноосвітня школа І-ІІ ступеня с. Височне</t>
  </si>
  <si>
    <t>44112</t>
  </si>
  <si>
    <t>0724281001</t>
  </si>
  <si>
    <t>Височне</t>
  </si>
  <si>
    <t>97740</t>
  </si>
  <si>
    <t>http://vysochne.ucoz.ua</t>
  </si>
  <si>
    <t>Навчально-виховний комплекс "загальноосвітня школа І-ІІІ ступеня - дитячий садок" с. Гірники</t>
  </si>
  <si>
    <t>44130</t>
  </si>
  <si>
    <t>0724281801</t>
  </si>
  <si>
    <t>Гірники</t>
  </si>
  <si>
    <t>вул. Перемоги, 5</t>
  </si>
  <si>
    <t>(03366)93340, (067)3322719</t>
  </si>
  <si>
    <t>21747832</t>
  </si>
  <si>
    <t>Навчально виховний комплекс "загальноосвітня школа І-ІІІ ступеня - дитячий садок" с. Броди</t>
  </si>
  <si>
    <t>44132</t>
  </si>
  <si>
    <t>0724281802</t>
  </si>
  <si>
    <t>Броди</t>
  </si>
  <si>
    <t>вул. Озерна, 4</t>
  </si>
  <si>
    <t>(03366)93312</t>
  </si>
  <si>
    <t>http://brodyschool.ucoz.ua</t>
  </si>
  <si>
    <t>Навчально-виховний комплекс "загальноосвітня школа І- ІІ ступеня - дитячий садок" с. Сільце</t>
  </si>
  <si>
    <t>44131</t>
  </si>
  <si>
    <t>0724281803</t>
  </si>
  <si>
    <t>(03366)98140</t>
  </si>
  <si>
    <t>Навчально-виховний комплекс "загальноосвітня школа І-ІІІ ступеня - дитячий садок" с.Гута</t>
  </si>
  <si>
    <t>44145</t>
  </si>
  <si>
    <t>0724282201</t>
  </si>
  <si>
    <t>Гута</t>
  </si>
  <si>
    <t>вул. Незалежності, 65</t>
  </si>
  <si>
    <t>(03366)95445</t>
  </si>
  <si>
    <t>http://guta-nvk.edukit.volyn.ua</t>
  </si>
  <si>
    <t>Навчально-виховний комплекс "загальноосвітня школа І-ІІІ ступеня - дитячий садок" с. Датинь Ратнівського району Волинської області</t>
  </si>
  <si>
    <t>44165</t>
  </si>
  <si>
    <t>0724282601</t>
  </si>
  <si>
    <t>Датинь</t>
  </si>
  <si>
    <t>(03366)91153</t>
  </si>
  <si>
    <t>http://datunschool.ucoz.ua</t>
  </si>
  <si>
    <t>Навчально-виховний комплекс "Загальноосвітня школа І-ІІІ ступеня-дитячий садок" с.Жиричі</t>
  </si>
  <si>
    <t>44141</t>
  </si>
  <si>
    <t>0724283001</t>
  </si>
  <si>
    <t>Жиричі</t>
  </si>
  <si>
    <t>вул. Центральна, 100</t>
  </si>
  <si>
    <t>(03366)94-9-10, (067)1217046</t>
  </si>
  <si>
    <t>21747861</t>
  </si>
  <si>
    <t>Навчально-виховний комплекс "Загальноосвітня школа І-ІІІ ступеня - дитячий садок" с. Заброди</t>
  </si>
  <si>
    <t>44160</t>
  </si>
  <si>
    <t>0724283401</t>
  </si>
  <si>
    <t>Заброди</t>
  </si>
  <si>
    <t>(03366)97-5-10</t>
  </si>
  <si>
    <t>http://zabroduschool.ucoz.ru</t>
  </si>
  <si>
    <t>Загальноосвітня школа І-ІІ ступеня с. Якушів</t>
  </si>
  <si>
    <t>44162</t>
  </si>
  <si>
    <t>0724283403</t>
  </si>
  <si>
    <t>Якушів</t>
  </si>
  <si>
    <t>вул. Лесі Українки, 44А</t>
  </si>
  <si>
    <t>http://yakushiv-school.edukit.volyn.ua</t>
  </si>
  <si>
    <t>Навчально-виховний комплекс "загальноосвітня школа І-ІІІ ступеня - дитячий садок" с. Заліси</t>
  </si>
  <si>
    <t>44144</t>
  </si>
  <si>
    <t>0724283701</t>
  </si>
  <si>
    <t>Заліси</t>
  </si>
  <si>
    <t>(03366)95222</t>
  </si>
  <si>
    <t>http://nvk-zalisu.ukoz.ua</t>
  </si>
  <si>
    <t>Навчально-виховний комплекс "загальноосвітня школа І-ІІІ ступеня - дитячий садок" с. Залухів</t>
  </si>
  <si>
    <t>44120</t>
  </si>
  <si>
    <t>0724283901</t>
  </si>
  <si>
    <t>Залухів</t>
  </si>
  <si>
    <t>(03366)92847</t>
  </si>
  <si>
    <t>http://zaluhivshcola.ucoz.ru/</t>
  </si>
  <si>
    <t>Загальноосвітня школа І-ІІ ступеня с. Щитинська Воля</t>
  </si>
  <si>
    <t>44121</t>
  </si>
  <si>
    <t>0724283905</t>
  </si>
  <si>
    <t>Щитинська Воля</t>
  </si>
  <si>
    <t>вул. Партизанська, 33</t>
  </si>
  <si>
    <t>380991545516</t>
  </si>
  <si>
    <t>http://svolia-zosh.volyn.sch.in.ua</t>
  </si>
  <si>
    <t>НВК "загальноосвітня школа І-ІІІ ступеня - дитячий садок" с.Замшани</t>
  </si>
  <si>
    <t>44153</t>
  </si>
  <si>
    <t>0724284201</t>
  </si>
  <si>
    <t>Замшани</t>
  </si>
  <si>
    <t>7-48</t>
  </si>
  <si>
    <t>http://zamshanunvk.at.ua</t>
  </si>
  <si>
    <t>Навчально - виховний комплекс "загальноосвітня школа I-III ступеня - дитячий садок" с. Здомишель</t>
  </si>
  <si>
    <t>44150</t>
  </si>
  <si>
    <t>0724284501</t>
  </si>
  <si>
    <t>Здомишель</t>
  </si>
  <si>
    <t>(03366)98740</t>
  </si>
  <si>
    <t>http://nvk-zdomyshel5.webnode.com.ua/</t>
  </si>
  <si>
    <t>Загальноосвітня школа I-II ступеня с.Краска</t>
  </si>
  <si>
    <t>0724284502</t>
  </si>
  <si>
    <t>Краска</t>
  </si>
  <si>
    <t>9-51-28, 0673321561</t>
  </si>
  <si>
    <t>Навчально-виховний комплекс "загальноосвітня школа І-ІІІ ступеня - дитячий садок" с. Кортеліси імені Василя Корнелюка</t>
  </si>
  <si>
    <t>44111</t>
  </si>
  <si>
    <t>0724285201</t>
  </si>
  <si>
    <t>Кортеліси</t>
  </si>
  <si>
    <t>пл. Пам'яті, 3</t>
  </si>
  <si>
    <t>(033)94-1-89</t>
  </si>
  <si>
    <t>http://kortelicushkola.ucoz.ru/</t>
  </si>
  <si>
    <t>Загальноосвітня школа І-ІІІ ступеня с.Межисить</t>
  </si>
  <si>
    <t>44124</t>
  </si>
  <si>
    <t>0724285301</t>
  </si>
  <si>
    <t>Межисить</t>
  </si>
  <si>
    <t>(03366)98-4-14</t>
  </si>
  <si>
    <t>http://megisitzosch.at.ua</t>
  </si>
  <si>
    <t>Навчально-виховний комплекс "Загально освітня школа I-II ступеня-дитячий садок" с. Млинове</t>
  </si>
  <si>
    <t>44110</t>
  </si>
  <si>
    <t>0724285501</t>
  </si>
  <si>
    <t>Млинове</t>
  </si>
  <si>
    <t>вул. Брестська, 17</t>
  </si>
  <si>
    <t>(03366)99640</t>
  </si>
  <si>
    <t>Загальноосвітня школа І ступеня с. Доманове</t>
  </si>
  <si>
    <t>0724285504</t>
  </si>
  <si>
    <t>Доманове</t>
  </si>
  <si>
    <t>(03366)99613</t>
  </si>
  <si>
    <t>Навчально-виховний комплекс "Загальноосвітня школа I-III ступеня - дитячий садок" с. Поступель</t>
  </si>
  <si>
    <t>44163</t>
  </si>
  <si>
    <t>0724285801</t>
  </si>
  <si>
    <t>Поступель</t>
  </si>
  <si>
    <t>вул. С Мицюка, 14А</t>
  </si>
  <si>
    <t>(03366)99557</t>
  </si>
  <si>
    <t>http://postupelnvk.blogspot.com</t>
  </si>
  <si>
    <t>Загальноосвітня школа І - ІІ ступеня с. Зоряне</t>
  </si>
  <si>
    <t>0724285803</t>
  </si>
  <si>
    <t>Зоряне</t>
  </si>
  <si>
    <t>0673321560</t>
  </si>
  <si>
    <t>Навчально - виховний комплекс "загальноосвітня школа І - ІІІ ступеня - дитячий садок" с. Прохід</t>
  </si>
  <si>
    <t>44108</t>
  </si>
  <si>
    <t>0724286001</t>
  </si>
  <si>
    <t>Прохід</t>
  </si>
  <si>
    <t>(03366)99340</t>
  </si>
  <si>
    <t>http://www.nvksprohid.at.ua</t>
  </si>
  <si>
    <t>Навчально-виховний комплекс "загальноосвітня школа І-ІІ ступеня - дитячий садок" с. Комарове</t>
  </si>
  <si>
    <t>44107</t>
  </si>
  <si>
    <t>0724286003</t>
  </si>
  <si>
    <t>(03366)21686</t>
  </si>
  <si>
    <t>Навчально-виховний комплекс "загальноосвітня школа І-ІІ ступеня - дитячий садок" с.Конище</t>
  </si>
  <si>
    <t>44106</t>
  </si>
  <si>
    <t>0724286005</t>
  </si>
  <si>
    <t>Конище</t>
  </si>
  <si>
    <t>99-3-13</t>
  </si>
  <si>
    <t>Навчально-виховний комплекс "загальноосвітня школа І-ІІІ ступеня - дитячий садок" с. Річиця</t>
  </si>
  <si>
    <t>44133</t>
  </si>
  <si>
    <t>0724286401</t>
  </si>
  <si>
    <t>Річиця</t>
  </si>
  <si>
    <t>вул. Озерна, 22</t>
  </si>
  <si>
    <t>http://ozernaschool.ucoz.ua/</t>
  </si>
  <si>
    <t>Навчально-виховний комплекс "Загальноосвітня школа І-ІІ ступеня-дитячий садок" с. Мельники-Річицькі</t>
  </si>
  <si>
    <t>44135</t>
  </si>
  <si>
    <t>0724286402</t>
  </si>
  <si>
    <t>Мельники-Річицькі</t>
  </si>
  <si>
    <t>380672652103</t>
  </si>
  <si>
    <t>Загальноосвітня школа І-ІІ ступеня села Піски-Річицькі</t>
  </si>
  <si>
    <t>44134</t>
  </si>
  <si>
    <t>0724286403</t>
  </si>
  <si>
    <t>Піски-Річицькі</t>
  </si>
  <si>
    <t>Навчально-виховний комплекс "загальноосвітня школа І-ІІІ ступеня - дитячий садок" імені Петра Штика села Самари</t>
  </si>
  <si>
    <t>44113</t>
  </si>
  <si>
    <t>0724286901</t>
  </si>
  <si>
    <t>Самари</t>
  </si>
  <si>
    <t>вул. Соборна, 52</t>
  </si>
  <si>
    <t>(03366)96440</t>
  </si>
  <si>
    <t>http://samary-nvk.edukit.volyn.ua</t>
  </si>
  <si>
    <t>Навчально-виховний комплекс " Загальноосвітня школа І-ІІ ступеня - дитячий садок" с. Язавні</t>
  </si>
  <si>
    <t>44114</t>
  </si>
  <si>
    <t>0724286910</t>
  </si>
  <si>
    <t>Язавні</t>
  </si>
  <si>
    <t>96-4-55</t>
  </si>
  <si>
    <t>Навчально виховний комплекс "загальноосвітня школа І-ІІІ ступеня - дитячий садок" с. Самари-Оріхові</t>
  </si>
  <si>
    <t>44115</t>
  </si>
  <si>
    <t>0724287101</t>
  </si>
  <si>
    <t>Самари-Оріхові</t>
  </si>
  <si>
    <t>(098)0362658, (03366)97410</t>
  </si>
  <si>
    <t>http://orihovo.at.ua/</t>
  </si>
  <si>
    <t>Навчально-виховний комплекс "загальноосвітня школа І-ІІІ ступеня - дитячий садок" с. Тур</t>
  </si>
  <si>
    <t>44140</t>
  </si>
  <si>
    <t>0724287601</t>
  </si>
  <si>
    <t>Тур</t>
  </si>
  <si>
    <t>вул. Лесі Українки, 106</t>
  </si>
  <si>
    <t>(03366)94640</t>
  </si>
  <si>
    <t>http://nvktur.klasna.com</t>
  </si>
  <si>
    <t>Навчально - виховний комплекс "загальноосвітня школа І - ІІІ ступеня-дитячий садок" с.Щедрогір</t>
  </si>
  <si>
    <t>44122</t>
  </si>
  <si>
    <t>0724288201</t>
  </si>
  <si>
    <t>Щедрогір</t>
  </si>
  <si>
    <t>вул. Набережна, 15</t>
  </si>
  <si>
    <t>(03366)91940</t>
  </si>
  <si>
    <t>http://schedrogir.ucoz.ua/</t>
  </si>
  <si>
    <t>Загальноосвітня школа І ступеня с. Підгір'я</t>
  </si>
  <si>
    <t>0724288207</t>
  </si>
  <si>
    <t>Підгір'я</t>
  </si>
  <si>
    <t>(098)6550670</t>
  </si>
  <si>
    <t>Загальноосвітня школа І-ІІІ ступеня № 1 м. Рожище, Рожищенський район, Волинська область</t>
  </si>
  <si>
    <t>45100</t>
  </si>
  <si>
    <t>0724510100</t>
  </si>
  <si>
    <t>Рожище</t>
  </si>
  <si>
    <t>вул. 1 Травня, 5</t>
  </si>
  <si>
    <t>(03368)21267</t>
  </si>
  <si>
    <t>Загальноосвітня школа І-ІІІ ступеня № 2 м. Рожище Рожищенського району Волинської області</t>
  </si>
  <si>
    <t>45101</t>
  </si>
  <si>
    <t>вул. Драгоманова, 3</t>
  </si>
  <si>
    <t>(03368)21503</t>
  </si>
  <si>
    <t>http://rozh2sch.org.ua</t>
  </si>
  <si>
    <t>Комунальний опорний навчальний заклад "Загальноосвітня школа І-ІІІ ступенів № 3 м. Рожище" Рожищенського району Волинської області</t>
  </si>
  <si>
    <t>вул. Коте Шилокадзе, 16</t>
  </si>
  <si>
    <t>(03368)21392</t>
  </si>
  <si>
    <t>http://roz-school3.at.ua/</t>
  </si>
  <si>
    <t>20140754</t>
  </si>
  <si>
    <t>Рожищенський навчально-виховний комплекс № 4 "Загальноосвітня школа І-ІІІ ступенів-гімназія" Рожищенського району Волинської області</t>
  </si>
  <si>
    <t>вул. Кондратюка, 15</t>
  </si>
  <si>
    <t>(03368)22576</t>
  </si>
  <si>
    <t>http://www.rozhysche-nvk4.edukit.volyn.ua/</t>
  </si>
  <si>
    <t>Рожищенський навчально-реабілітаційний центр для дітей з порушеннями опорно-рухового апарату</t>
  </si>
  <si>
    <t>вул. Коте Шилокадзе, 13</t>
  </si>
  <si>
    <t>(03368)21809</t>
  </si>
  <si>
    <t>20133128</t>
  </si>
  <si>
    <t>Загальноосвітня школа І-ІІІ ступеня смт. Дубище Рожищенської районної ради Волинської області</t>
  </si>
  <si>
    <t>45109</t>
  </si>
  <si>
    <t>0724555300</t>
  </si>
  <si>
    <t>вул. Зелена, 49</t>
  </si>
  <si>
    <t>(03368)98956</t>
  </si>
  <si>
    <t>Загальноосвітня школа І-ІІІ ступеня с. Березолуки</t>
  </si>
  <si>
    <t>45144</t>
  </si>
  <si>
    <t>0724580301</t>
  </si>
  <si>
    <t>Березолуки</t>
  </si>
  <si>
    <t>(03368)94547</t>
  </si>
  <si>
    <t>Загальноосвітня школа І-ІІІ ступеня с.Береськ</t>
  </si>
  <si>
    <t>45135</t>
  </si>
  <si>
    <t>0724580601</t>
  </si>
  <si>
    <t>Береськ</t>
  </si>
  <si>
    <t>вул. Перемоги, 4</t>
  </si>
  <si>
    <t>(03368)93336</t>
  </si>
  <si>
    <t>Загальноосвітня школа І-ІІ ступеня с.Вічині</t>
  </si>
  <si>
    <t>45134</t>
  </si>
  <si>
    <t>0724580801</t>
  </si>
  <si>
    <t>Вічині</t>
  </si>
  <si>
    <t>(03368)96542</t>
  </si>
  <si>
    <t>Загальноосвітня школа І-ІІІ ст. с.Ворончин</t>
  </si>
  <si>
    <t>45136</t>
  </si>
  <si>
    <t>0724581001</t>
  </si>
  <si>
    <t>Ворончин</t>
  </si>
  <si>
    <t>(03368)93-3-26</t>
  </si>
  <si>
    <t>Загальноосвітня школа I - II ступеня села Городині</t>
  </si>
  <si>
    <t>45152</t>
  </si>
  <si>
    <t>0724581401</t>
  </si>
  <si>
    <t>Городині</t>
  </si>
  <si>
    <t>0988210933</t>
  </si>
  <si>
    <t>Загальноосвітня школа I-III ступеня с. Доросині Рожищенського району Волинської області</t>
  </si>
  <si>
    <t>45133</t>
  </si>
  <si>
    <t>0724581901</t>
  </si>
  <si>
    <t>Доросині</t>
  </si>
  <si>
    <t>(03368)95128</t>
  </si>
  <si>
    <t>Загальноосвітня школа I ступеня с. Кияж Рожищенського району Волинської області</t>
  </si>
  <si>
    <t>0724581903</t>
  </si>
  <si>
    <t>Кияж</t>
  </si>
  <si>
    <t>вул. Миру, 29</t>
  </si>
  <si>
    <t>(03368)95120</t>
  </si>
  <si>
    <t>загальноосвітня школа І-ІІ ступеня с.Залісці Рожищенського району Волинської області</t>
  </si>
  <si>
    <t>45143</t>
  </si>
  <si>
    <t>0724582101</t>
  </si>
  <si>
    <t>Залісці</t>
  </si>
  <si>
    <t>вул. Фрунзе, 37А</t>
  </si>
  <si>
    <t>98-5-47</t>
  </si>
  <si>
    <t>Загальноосвітня школа І-ІІ ст. с. Іванчиці</t>
  </si>
  <si>
    <t>45154</t>
  </si>
  <si>
    <t>0724582601</t>
  </si>
  <si>
    <t>Іванчиці</t>
  </si>
  <si>
    <t>0978636118</t>
  </si>
  <si>
    <t>Загальноосвітня школа І ступеня с. Кобче</t>
  </si>
  <si>
    <t>45107</t>
  </si>
  <si>
    <t>0724582801</t>
  </si>
  <si>
    <t>Кобче</t>
  </si>
  <si>
    <t>0979917660</t>
  </si>
  <si>
    <t>Загальноосвітня школа І-ІІІ ст., с. Копачівка</t>
  </si>
  <si>
    <t>45150</t>
  </si>
  <si>
    <t>0724582901</t>
  </si>
  <si>
    <t>Копачівка</t>
  </si>
  <si>
    <t>(263)99130</t>
  </si>
  <si>
    <t>Загальноосвітня школа І ступеня села Тростянка Рожищенського району Волинської області</t>
  </si>
  <si>
    <t>0724582904</t>
  </si>
  <si>
    <t>Тростянка</t>
  </si>
  <si>
    <t>вул. Центральна, 61</t>
  </si>
  <si>
    <t>(380)0966208069</t>
  </si>
  <si>
    <t>http://trostyanka.ucoz.net/</t>
  </si>
  <si>
    <t>Загальноосвітня школа І-ІІІ ступеня с. Кременець, Рожищенського району, Волинської області</t>
  </si>
  <si>
    <t>45151</t>
  </si>
  <si>
    <t>0724583001</t>
  </si>
  <si>
    <t>Кременець</t>
  </si>
  <si>
    <t>(3368)90005</t>
  </si>
  <si>
    <t>http://school-kremenec.at.ua/</t>
  </si>
  <si>
    <t>Загальноосвітня школа І-ІІІ ступеня с. Літогоща Рожищенського р-ну Волинської обл.</t>
  </si>
  <si>
    <t>45111</t>
  </si>
  <si>
    <t>0724583201</t>
  </si>
  <si>
    <t>Літогоща</t>
  </si>
  <si>
    <t>вул. Івана Франка, 19А</t>
  </si>
  <si>
    <t>0508363948, 0961842974</t>
  </si>
  <si>
    <t>http://zoshlitogos.nethouse.ua</t>
  </si>
  <si>
    <t>Загальноосвітня школа І ступеня села Луків</t>
  </si>
  <si>
    <t>45115</t>
  </si>
  <si>
    <t>0724583501</t>
  </si>
  <si>
    <t>Луків</t>
  </si>
  <si>
    <t>вул. 8 Березня, 14</t>
  </si>
  <si>
    <t>Загальноосвітня школа І-ІІІ ступеня села Крижівка</t>
  </si>
  <si>
    <t>45116</t>
  </si>
  <si>
    <t>0724583502</t>
  </si>
  <si>
    <t>Крижівка</t>
  </si>
  <si>
    <t>вул. 1 -го Травня, 19</t>
  </si>
  <si>
    <t>http://zohkrigivka.ucoz.ua</t>
  </si>
  <si>
    <t>Загальноосвітня школа І-ІІступеня с. Любче</t>
  </si>
  <si>
    <t>45142</t>
  </si>
  <si>
    <t>0724583701</t>
  </si>
  <si>
    <t>Любче</t>
  </si>
  <si>
    <t>вул. Антоніни Савчук, 36А</t>
  </si>
  <si>
    <t>(03368)96330</t>
  </si>
  <si>
    <t>Загальноосвітня школа І-ІІІ ступеня с. Мильськ</t>
  </si>
  <si>
    <t>45117</t>
  </si>
  <si>
    <t>0724584101</t>
  </si>
  <si>
    <t>Мильськ</t>
  </si>
  <si>
    <t>вул. Першоторавнева, 20</t>
  </si>
  <si>
    <t>(097)8533749</t>
  </si>
  <si>
    <t>http://school-mylsk.jimdo.com</t>
  </si>
  <si>
    <t>Загальноосвітня школа I-III ступеня села Навіз</t>
  </si>
  <si>
    <t>45112</t>
  </si>
  <si>
    <t>0724584401</t>
  </si>
  <si>
    <t>Навіз</t>
  </si>
  <si>
    <t>вул. Молодіжна, 47</t>
  </si>
  <si>
    <t>(03368)97184</t>
  </si>
  <si>
    <t>http://school-naviz.wix.com/site</t>
  </si>
  <si>
    <t>Загальноосвітня школа І- ІІст. с. Немир</t>
  </si>
  <si>
    <t>45122</t>
  </si>
  <si>
    <t>0724584501</t>
  </si>
  <si>
    <t>Немир</t>
  </si>
  <si>
    <t>вул. Шкільна, 19</t>
  </si>
  <si>
    <t>(03368)95288</t>
  </si>
  <si>
    <t>Загальноосвітня школа І-ІІ ступеня с. Носачевичі</t>
  </si>
  <si>
    <t>45108</t>
  </si>
  <si>
    <t>0724584601</t>
  </si>
  <si>
    <t>Носачевичі</t>
  </si>
  <si>
    <t>(03368)93430</t>
  </si>
  <si>
    <t>http://www.nosachevychi-school.edukit.volyn.ua</t>
  </si>
  <si>
    <t>Комунальний опорний навчальний заклад "Загальноосвітня школа І-ІІІ ступенів с.Переспа", Рожищенського району, Волинської області</t>
  </si>
  <si>
    <t>45123</t>
  </si>
  <si>
    <t>0724585001</t>
  </si>
  <si>
    <t>Переспа</t>
  </si>
  <si>
    <t>(03368)95-3-80</t>
  </si>
  <si>
    <t>http://perespa-school.at.ua</t>
  </si>
  <si>
    <t>Загальноосвітьня школа І-ІІ ступеня с. Пожарки</t>
  </si>
  <si>
    <t>45140</t>
  </si>
  <si>
    <t>0724585201</t>
  </si>
  <si>
    <t>Пожарки</t>
  </si>
  <si>
    <t>вул. Радянська, 45</t>
  </si>
  <si>
    <t>96-2-17</t>
  </si>
  <si>
    <t>Загальноосвітня школа І-ІІ ступеня с. Оленівка Рожищенського району Волинської області</t>
  </si>
  <si>
    <t>0724585202</t>
  </si>
  <si>
    <t>вул. Миру, 46, б</t>
  </si>
  <si>
    <t>(03368)93266</t>
  </si>
  <si>
    <t>Загальноосвітня школа І-ІІ ступеня села Рудка-Козинська Рожищенської районної ради Волинської області</t>
  </si>
  <si>
    <t>45141</t>
  </si>
  <si>
    <t>0724585601</t>
  </si>
  <si>
    <t>Рудка-Козинська</t>
  </si>
  <si>
    <t>вул. Жовтнева, 21А</t>
  </si>
  <si>
    <t>(03368)94-3-23</t>
  </si>
  <si>
    <t>Загальноосвітня школа І-ІІІ ступеня с. Сокіл Рожищенський район Волинська область</t>
  </si>
  <si>
    <t>45113</t>
  </si>
  <si>
    <t>0724586201</t>
  </si>
  <si>
    <t>http://sokil-school.edukit.volyn.ua</t>
  </si>
  <si>
    <t>Загальноосвітня школа І - ІІ ступеня села Духче Рожищенського району Волинської області</t>
  </si>
  <si>
    <t>45114</t>
  </si>
  <si>
    <t>0724586202</t>
  </si>
  <si>
    <t>Духче</t>
  </si>
  <si>
    <t>вул. Спортивна, 82</t>
  </si>
  <si>
    <t>Загальноосвітня школа І-ІІІ ст. с. Топільне Рожищенського району Волинської області</t>
  </si>
  <si>
    <t>0724586901</t>
  </si>
  <si>
    <t>Топільне</t>
  </si>
  <si>
    <t>вул. Першотравнева, 1</t>
  </si>
  <si>
    <t>(0336893)1-16</t>
  </si>
  <si>
    <t>Загальноосвітня школа І-ІІ ступеня села Тихотин</t>
  </si>
  <si>
    <t>45125</t>
  </si>
  <si>
    <t>0724587001</t>
  </si>
  <si>
    <t>Тихотин</t>
  </si>
  <si>
    <t>(03368)93533</t>
  </si>
  <si>
    <t>Загальноосвітня школа І-ІІ ступеня села Уляники</t>
  </si>
  <si>
    <t>0724587101</t>
  </si>
  <si>
    <t>Уляники</t>
  </si>
  <si>
    <t>Загальноосвітня школа І-ІІІ ступеня с. Щурин</t>
  </si>
  <si>
    <t>45130</t>
  </si>
  <si>
    <t>0724587201</t>
  </si>
  <si>
    <t>Щурин</t>
  </si>
  <si>
    <t>(03368)96-1-22</t>
  </si>
  <si>
    <t>Загальноосвітня школа І-ІІ ступеня села Квітневе</t>
  </si>
  <si>
    <t>45131</t>
  </si>
  <si>
    <t>0724587202</t>
  </si>
  <si>
    <t>Квітневе</t>
  </si>
  <si>
    <t>(03368)96129</t>
  </si>
  <si>
    <t>Загальноосвітня школа І-ІІ ступеня села Тристень</t>
  </si>
  <si>
    <t>45132</t>
  </si>
  <si>
    <t>0724587203</t>
  </si>
  <si>
    <t>Тристень</t>
  </si>
  <si>
    <t>(03368)96-179</t>
  </si>
  <si>
    <t>Загальноосвітня школа І-ІІІ ступеня села Ясенівка</t>
  </si>
  <si>
    <t>45120</t>
  </si>
  <si>
    <t>0724587801</t>
  </si>
  <si>
    <t>Ясенівка</t>
  </si>
  <si>
    <t>вул. Братів Новосадів, 1</t>
  </si>
  <si>
    <t>(03368)94210, 0964633826</t>
  </si>
  <si>
    <t>http://jasenivka.ucoz.ua</t>
  </si>
  <si>
    <t>Навчально-виховний комплекс "Загальноосвітня школа І-ІІІ ступеня - гімназія" смт Стара Вижівка, Старовижівський район, Волинська область</t>
  </si>
  <si>
    <t>44401</t>
  </si>
  <si>
    <t>0725055100</t>
  </si>
  <si>
    <t>Стара Вижівка</t>
  </si>
  <si>
    <t>(03346)22251, (03346)21907</t>
  </si>
  <si>
    <t>Загальноосвітня школа І-ІІІ ступеня с. Буцин Старовижівський район Волинська область</t>
  </si>
  <si>
    <t>44440</t>
  </si>
  <si>
    <t>0725080501</t>
  </si>
  <si>
    <t>Буцин</t>
  </si>
  <si>
    <t>(03346)94334</t>
  </si>
  <si>
    <t>Загальноосвітня школа І-ІІІ ступеня с. Глухи Старовижівський район Волинська область</t>
  </si>
  <si>
    <t>44410</t>
  </si>
  <si>
    <t>0725080801</t>
  </si>
  <si>
    <t>Глухи</t>
  </si>
  <si>
    <t>вул. Денисова, 105</t>
  </si>
  <si>
    <t>0673347956</t>
  </si>
  <si>
    <t>Загальноосвітня школа І-ІІ ступеня с.Текля Старовижівський район Волинська область</t>
  </si>
  <si>
    <t>44411</t>
  </si>
  <si>
    <t>0725080802</t>
  </si>
  <si>
    <t>Текля</t>
  </si>
  <si>
    <t>вул. Волі, 43</t>
  </si>
  <si>
    <t>Загальноосвітня школа І-ІІІ ступеня с. Дубечне Старовижівський район Волинська область</t>
  </si>
  <si>
    <t>44412</t>
  </si>
  <si>
    <t>0725081301</t>
  </si>
  <si>
    <t>Дубечне</t>
  </si>
  <si>
    <t>вул. Незалежності, 22</t>
  </si>
  <si>
    <t>(03346)93038</t>
  </si>
  <si>
    <t>Загальноосвітня школа І-ІІ ступеня с. Залюття Старовижівський район Волинська область</t>
  </si>
  <si>
    <t>0725081302</t>
  </si>
  <si>
    <t>Залюття</t>
  </si>
  <si>
    <t>вул. Юхимука, 23</t>
  </si>
  <si>
    <t>0673613244</t>
  </si>
  <si>
    <t>Загальноосвітня школа І ступеня села Лютка Старовижівський район Волинська область</t>
  </si>
  <si>
    <t>0725081303</t>
  </si>
  <si>
    <t>Лютка</t>
  </si>
  <si>
    <t>вул. Лесі Укаїнки, 1</t>
  </si>
  <si>
    <t>(03346)23117</t>
  </si>
  <si>
    <t>Загальноосвітня школа І ступеня с. Мокре Старовижівський район Волинська область</t>
  </si>
  <si>
    <t>44414</t>
  </si>
  <si>
    <t>0725081304</t>
  </si>
  <si>
    <t>Мокре</t>
  </si>
  <si>
    <t>вул. Шевченка, 8А</t>
  </si>
  <si>
    <t>0680175031</t>
  </si>
  <si>
    <t>Загальноосвітня школа І-ІІ ступеня с. Рокита Старовижівський район Волинська область</t>
  </si>
  <si>
    <t>44413</t>
  </si>
  <si>
    <t>0725081305</t>
  </si>
  <si>
    <t>Рокита</t>
  </si>
  <si>
    <t>вул. Центральна, 105</t>
  </si>
  <si>
    <t>0673613245</t>
  </si>
  <si>
    <t>Загальноосвітня школа І-ІІ ступеня с. Журавлине Старовижівський район Волинська область</t>
  </si>
  <si>
    <t>44455</t>
  </si>
  <si>
    <t>0725081801</t>
  </si>
  <si>
    <t>Журавлине</t>
  </si>
  <si>
    <t>вул. Г.Шуміка, 4</t>
  </si>
  <si>
    <t>0502363037</t>
  </si>
  <si>
    <t>Загальноосвітня школа І-ІІІ ступеня с Кримне Старовижівський район Волинська область</t>
  </si>
  <si>
    <t>44420</t>
  </si>
  <si>
    <t>0725082201</t>
  </si>
  <si>
    <t>Кримне</t>
  </si>
  <si>
    <t>вул. Центральна, 21А</t>
  </si>
  <si>
    <t>293483</t>
  </si>
  <si>
    <t>Загальноосвітня школа І-ІІ ступеня с. Яревище Старовижівський район Волинська область</t>
  </si>
  <si>
    <t>44421</t>
  </si>
  <si>
    <t>0725082202</t>
  </si>
  <si>
    <t>Яревище</t>
  </si>
  <si>
    <t>вул. Центральна, 23В</t>
  </si>
  <si>
    <t>(03346)380680350149</t>
  </si>
  <si>
    <t>Загальноосвітня школа І-ІІІ ступеня с. Любохини Старовижівський район Волинська область</t>
  </si>
  <si>
    <t>44422</t>
  </si>
  <si>
    <t>0725082501</t>
  </si>
  <si>
    <t>Любохини</t>
  </si>
  <si>
    <t>вул. Центральна, 23</t>
  </si>
  <si>
    <t>0966641152</t>
  </si>
  <si>
    <t>Загальноосвітня школа I-III ступеня с. Мизове Старовижівський район Волинська область</t>
  </si>
  <si>
    <t>44452</t>
  </si>
  <si>
    <t>0725082901</t>
  </si>
  <si>
    <t>Мизове</t>
  </si>
  <si>
    <t>вул. Богдана Хмельницького, 114</t>
  </si>
  <si>
    <t>(03346)91524</t>
  </si>
  <si>
    <t>Загальноосвітня школа І-ІІ ступеня с. Нова Вижва Старовижівський район Волинська область</t>
  </si>
  <si>
    <t>44408</t>
  </si>
  <si>
    <t>0725083201</t>
  </si>
  <si>
    <t>Нова Вижва</t>
  </si>
  <si>
    <t>вул. Радянська, 20</t>
  </si>
  <si>
    <t>(096)2754474</t>
  </si>
  <si>
    <t>Загальноосвітня школа І-ІІ ступеня с. Поліське Старовижівський район Волинська область</t>
  </si>
  <si>
    <t>44416</t>
  </si>
  <si>
    <t>0725084001</t>
  </si>
  <si>
    <t>Поліське</t>
  </si>
  <si>
    <t>вул. Солобаєва, 42</t>
  </si>
  <si>
    <t>(03346)29-29-5-33</t>
  </si>
  <si>
    <t>Загальноосвітня школа І-ІІ ступеня с. Чевель Старовижівський район Волинська область</t>
  </si>
  <si>
    <t>44415</t>
  </si>
  <si>
    <t>0725084003</t>
  </si>
  <si>
    <t>Чевель</t>
  </si>
  <si>
    <t>вул. Федорова, 6</t>
  </si>
  <si>
    <t>(03346)22224</t>
  </si>
  <si>
    <t>Загальноосвітня школа І-ІІ ступеня с. Седлище Старовижівський район Волинська область</t>
  </si>
  <si>
    <t>44441</t>
  </si>
  <si>
    <t>0725084601</t>
  </si>
  <si>
    <t>Загальноосвітня школа І-ІІ ступеня с. Секунь Старовижівський район Волинська область</t>
  </si>
  <si>
    <t>44444</t>
  </si>
  <si>
    <t>0725084701</t>
  </si>
  <si>
    <t>Секунь</t>
  </si>
  <si>
    <t>вул. Шевченка, 5А</t>
  </si>
  <si>
    <t>(03346)92417</t>
  </si>
  <si>
    <t>Загальноосвітня школа І-ІІІ ступеня ім. Ю.А.Ярощука с. Сереховичі Старовижівський район Волинська область</t>
  </si>
  <si>
    <t>44442</t>
  </si>
  <si>
    <t>0725084801</t>
  </si>
  <si>
    <t>Сереховичі</t>
  </si>
  <si>
    <t>(03346)294654</t>
  </si>
  <si>
    <t>Загальноосвітня школа І-ІІІ ступеня с. Смідин Старовижівський район Волинська область</t>
  </si>
  <si>
    <t>44453</t>
  </si>
  <si>
    <t>0725085001</t>
  </si>
  <si>
    <t>Смідин</t>
  </si>
  <si>
    <t>вул. Незалежності, 27</t>
  </si>
  <si>
    <t>0673340178</t>
  </si>
  <si>
    <t>Загальноосвітня школа І-ІІ ступеня с. Галина Воля Старовижівський район Волинська область</t>
  </si>
  <si>
    <t>44424</t>
  </si>
  <si>
    <t>0725085201</t>
  </si>
  <si>
    <t>Галина Воля</t>
  </si>
  <si>
    <t>Загальноосвітня школа І-ІІІ ступеня с. Смолярі Старовижівський район Волинська область</t>
  </si>
  <si>
    <t>44425</t>
  </si>
  <si>
    <t>0725085203</t>
  </si>
  <si>
    <t>Смолярі</t>
  </si>
  <si>
    <t>0961367333</t>
  </si>
  <si>
    <t>Загальноосвітня школа І-ІІ ступеня с. Мильці Старовижівський район Волинська область</t>
  </si>
  <si>
    <t>44434</t>
  </si>
  <si>
    <t>0725085402</t>
  </si>
  <si>
    <t>Мильці</t>
  </si>
  <si>
    <t>вул. Богатирьова, 12</t>
  </si>
  <si>
    <t>0979005402</t>
  </si>
  <si>
    <t>http://myltsi-zosh.volyn.sch.in.ua/</t>
  </si>
  <si>
    <t>Загальноосвітня школа І-ІІ ступеня с. Шкроби Старовижівський район Волинська область</t>
  </si>
  <si>
    <t>44432</t>
  </si>
  <si>
    <t>0725085404</t>
  </si>
  <si>
    <t>Шкроби</t>
  </si>
  <si>
    <t>вул. Незалежності, 32</t>
  </si>
  <si>
    <t>(03346)91926</t>
  </si>
  <si>
    <t>Загальноосвітня школа І-ІІ ступеня с. Солов'ї Старовижівський район Волинська область</t>
  </si>
  <si>
    <t>44433</t>
  </si>
  <si>
    <t>0725085501</t>
  </si>
  <si>
    <t>Солов'ї</t>
  </si>
  <si>
    <t>вул. Жовтнева, 9</t>
  </si>
  <si>
    <t>(03346)2-92-1-24</t>
  </si>
  <si>
    <t>Загальноосвітня школа І ступеня с. Комарове Старовижівський район Волинська область</t>
  </si>
  <si>
    <t>0725085502</t>
  </si>
  <si>
    <t>0968125432</t>
  </si>
  <si>
    <t>Загальноосвітня школа І ступеня с. Ниці Старовижівський район Волинська область</t>
  </si>
  <si>
    <t>0725085503</t>
  </si>
  <si>
    <t>Ниці</t>
  </si>
  <si>
    <t>вул. Молодіжна, 4</t>
  </si>
  <si>
    <t>загальноосвітня школа І-ІІІ ступеня с. Стара Гута, Старовижівський район, Волинська область.</t>
  </si>
  <si>
    <t>44423</t>
  </si>
  <si>
    <t>0725085801</t>
  </si>
  <si>
    <t>Стара Гута</t>
  </si>
  <si>
    <t>Загалоьноосвітня школа І ступеня с. Сукачі Старовижівський район Волинська область</t>
  </si>
  <si>
    <t>0725085802</t>
  </si>
  <si>
    <t>Сукачі</t>
  </si>
  <si>
    <t>Загальноосвітня школа І-ІІ ступеня с. Синове Старовижівський район Волинська область</t>
  </si>
  <si>
    <t>44430</t>
  </si>
  <si>
    <t>0725086001</t>
  </si>
  <si>
    <t>Синове</t>
  </si>
  <si>
    <t>вул. Радянська, 79</t>
  </si>
  <si>
    <t>(03346)94444</t>
  </si>
  <si>
    <t>Загальноосвітня школа І-ІІ ступенів ім.Ганни Жежко смт.Турійськ Турійської районної ради Волинської області</t>
  </si>
  <si>
    <t>44800</t>
  </si>
  <si>
    <t>0725555100</t>
  </si>
  <si>
    <t>Турійськ</t>
  </si>
  <si>
    <t>вул. Жежків, 11</t>
  </si>
  <si>
    <t>(068)6256006</t>
  </si>
  <si>
    <t>http://shkool3turiysk.ucoz.ua/</t>
  </si>
  <si>
    <t>Опорний заклад навчально-виховний комплекс "Загальноосвітня школа І-ІІІ ступенів - гімназія" смт Турійськ Турійського району Волинської області</t>
  </si>
  <si>
    <t>вул. Спортивна, 1</t>
  </si>
  <si>
    <t>(03363)21855</t>
  </si>
  <si>
    <t>Турійська загальноосвітня школа І-ІІІ ступеня</t>
  </si>
  <si>
    <t>вул. Володимирська, 1</t>
  </si>
  <si>
    <t>(03363)21536</t>
  </si>
  <si>
    <t>Комунальний опорний заклад "Луківська загальноосвітня школа І-ІІІ ступенів-ліцей" Турійського району Волинської області</t>
  </si>
  <si>
    <t>44810</t>
  </si>
  <si>
    <t>0725555400</t>
  </si>
  <si>
    <t>вул. Лящука, 4</t>
  </si>
  <si>
    <t>(03363)23230, (03363)23245</t>
  </si>
  <si>
    <t>https://www.lukiv.ucoz.ua</t>
  </si>
  <si>
    <t>Загальноосвітня школа І-ІІІступеня ім. О.С.Панасюка с. Бобли</t>
  </si>
  <si>
    <t>44842</t>
  </si>
  <si>
    <t>0725580401</t>
  </si>
  <si>
    <t>Бобли</t>
  </si>
  <si>
    <t>вул. Нижня, 9</t>
  </si>
  <si>
    <t>(0336)96640</t>
  </si>
  <si>
    <t>http://bobluzosh.at.ua</t>
  </si>
  <si>
    <t>Загальноосвітня школа І-ІІ ступеня с. Гайки</t>
  </si>
  <si>
    <t>44836</t>
  </si>
  <si>
    <t>0725580801</t>
  </si>
  <si>
    <t>Гайки</t>
  </si>
  <si>
    <t>вул. Шкільна, 1, 2</t>
  </si>
  <si>
    <t>0687626840</t>
  </si>
  <si>
    <t>http://schoolgayky.jimdo.com</t>
  </si>
  <si>
    <t>Загальноосвітня школа I-II ступеня села Дольськ</t>
  </si>
  <si>
    <t>44812</t>
  </si>
  <si>
    <t>0725580901</t>
  </si>
  <si>
    <t>Загальноосвітня школа І-ІІ ступенів с.Дуліби</t>
  </si>
  <si>
    <t>44832</t>
  </si>
  <si>
    <t>0725581001</t>
  </si>
  <si>
    <t>Дуліби</t>
  </si>
  <si>
    <t>(03326)97317</t>
  </si>
  <si>
    <t>http://dylibu-shcola.ucoz.ru</t>
  </si>
  <si>
    <t>Загальноосвітня школа І-ІІ ступенів с.Тагачин - філія опорного закладу "НВК "ЗОШ І-ІІІ ступенів-гімназія" смт Турійськ Турійський район Волинська область 44803</t>
  </si>
  <si>
    <t>44803</t>
  </si>
  <si>
    <t>0725581306</t>
  </si>
  <si>
    <t>Тагачин</t>
  </si>
  <si>
    <t>вул. Тагачинська, 124</t>
  </si>
  <si>
    <t>(03363)97547</t>
  </si>
  <si>
    <t>http://tagashinn.wix.com/tagashinn</t>
  </si>
  <si>
    <t>Загальноосвітня школа І-ІІІ ступеня с.Кульчин Турійського району Волинської області</t>
  </si>
  <si>
    <t>44813</t>
  </si>
  <si>
    <t>0725581701</t>
  </si>
  <si>
    <t>вул. Миру, 36</t>
  </si>
  <si>
    <t>(3363)95740</t>
  </si>
  <si>
    <t>Комунальний опорний заклад "Загальноосвітня школа І-ІІІ ступенів с.Купичів" Турійського району Волинської області</t>
  </si>
  <si>
    <t>44852</t>
  </si>
  <si>
    <t>0725582201</t>
  </si>
  <si>
    <t>Купичів</t>
  </si>
  <si>
    <t>(03363)98140</t>
  </si>
  <si>
    <t>Загальноосвітня школа І-ІІ ступенів с.Свинарин - філія комунального опорного закладу "ЗОШ І-ІІІ ступенів с.Купичів" Турійського району Волинської області</t>
  </si>
  <si>
    <t>44853</t>
  </si>
  <si>
    <t>0725582203</t>
  </si>
  <si>
    <t>Свинарин</t>
  </si>
  <si>
    <t>вул. Незалежності, 16А</t>
  </si>
  <si>
    <t>http://svenarynzoch.ucoz.net</t>
  </si>
  <si>
    <t>Загальноосвітня школа І-ІІІ ступенів села Маковичі Турійського району Волинської області</t>
  </si>
  <si>
    <t>44863</t>
  </si>
  <si>
    <t>0725582601</t>
  </si>
  <si>
    <t>Маковичі</t>
  </si>
  <si>
    <t>(03363)98722</t>
  </si>
  <si>
    <t>http://makovuchi-school.besaba.com</t>
  </si>
  <si>
    <t>Загальноосвітня школа І-ІІ ступенів с.Миляновичі - філія комунального опорного закладу "Луківська загальноосвітня школа І-ІІІ ступенів-ліцей"</t>
  </si>
  <si>
    <t>44820</t>
  </si>
  <si>
    <t>0725582901</t>
  </si>
  <si>
    <t>Миляновичі</t>
  </si>
  <si>
    <t>(1)1</t>
  </si>
  <si>
    <t>Загальноосвітня школа І ступеня с.Тупали - філія комунального опорного закладу "Луківська загальноосвітня школа І-ІІІ ступенів-ліцей"</t>
  </si>
  <si>
    <t>44821</t>
  </si>
  <si>
    <t>0725582907</t>
  </si>
  <si>
    <t>Тупали</t>
  </si>
  <si>
    <t>0969606505</t>
  </si>
  <si>
    <t>Загальноосвітня школа І-ІІ ступеня села Мокрець</t>
  </si>
  <si>
    <t>44840</t>
  </si>
  <si>
    <t>0725583101</t>
  </si>
  <si>
    <t>Мокрець</t>
  </si>
  <si>
    <t>вул. О.С.Васильчука, 55</t>
  </si>
  <si>
    <t>(03363)95540</t>
  </si>
  <si>
    <t>Загальноосвітня школа І - ІІ ступеня с. Туропин</t>
  </si>
  <si>
    <t>44841</t>
  </si>
  <si>
    <t>0725583104</t>
  </si>
  <si>
    <t>Туропин</t>
  </si>
  <si>
    <t>(23015665)0966019650</t>
  </si>
  <si>
    <t>Загальноосвітня школа І-ІІІ ступеня с. Новий Двір Турійського району Волинської області</t>
  </si>
  <si>
    <t>44861</t>
  </si>
  <si>
    <t>0725583401</t>
  </si>
  <si>
    <t>Новий Двір</t>
  </si>
  <si>
    <t>(033)6398368</t>
  </si>
  <si>
    <t>http://scoolndvir.ucoz.ru/</t>
  </si>
  <si>
    <t>Загальноосвітня школа І-ІІ ступенів с. Осьмиговичі - філія комунального опорного закладу "ЗОШ І-ІІІ ступенів с.Купичів" Турійського району Волинської області</t>
  </si>
  <si>
    <t>44862</t>
  </si>
  <si>
    <t>0725583404</t>
  </si>
  <si>
    <t>Осьмиговичі</t>
  </si>
  <si>
    <t>вул. Центральна, 77</t>
  </si>
  <si>
    <t>Загальноосвітня школа І-ІІ ступенів с. Новосілки- філія комунального опорного закладу "Луківська загальноосвітня школа І-ІІІ ступенів-ліцей"</t>
  </si>
  <si>
    <t>44811</t>
  </si>
  <si>
    <t>0725583601</t>
  </si>
  <si>
    <t>вул. 17 Вересня, 25</t>
  </si>
  <si>
    <t>(03363)24646</t>
  </si>
  <si>
    <t>ЗАГАЛЬНООСВІТНЯ ШКОЛА I-III СТУПЕНІВ с.ОВЛОЧИН Турійського району Волинської області</t>
  </si>
  <si>
    <t>44830</t>
  </si>
  <si>
    <t>0725583901</t>
  </si>
  <si>
    <t>Овлочин</t>
  </si>
  <si>
    <t>вул. Незалежності, 38</t>
  </si>
  <si>
    <t>(03363)95440</t>
  </si>
  <si>
    <t>http://ovlochin.at.ua</t>
  </si>
  <si>
    <t>Загальноосвітня школа І-ІІ ступеня села Ставки</t>
  </si>
  <si>
    <t>44831</t>
  </si>
  <si>
    <t>0725583903</t>
  </si>
  <si>
    <t>http://stavky-school.ucoz.ua</t>
  </si>
  <si>
    <t>Загальноосвітня школа I-II ступенів с. Озеряни - філія комунального опорного закладу "ЗОШ І-ІІІ ступенів с.Купичів" Турійського району Волинської області</t>
  </si>
  <si>
    <t>44860</t>
  </si>
  <si>
    <t>0725584201</t>
  </si>
  <si>
    <t>Озеряни</t>
  </si>
  <si>
    <t>вул. Шкільна 10, 10</t>
  </si>
  <si>
    <t>Загальноосвітня школа І-ІІ ступенів с.Перевали</t>
  </si>
  <si>
    <t>0725585301</t>
  </si>
  <si>
    <t>Перевали</t>
  </si>
  <si>
    <t>(03363)97748</t>
  </si>
  <si>
    <t>ЗОШ І ступеня с. Ружин- філія опорного закладу " НВК " ЗОШ І-ІІІ ступенів-гімназія" смт. Турійськ"</t>
  </si>
  <si>
    <t>44822</t>
  </si>
  <si>
    <t>0725585601</t>
  </si>
  <si>
    <t>Ружин</t>
  </si>
  <si>
    <t>(0336)27940</t>
  </si>
  <si>
    <t>загальноосвітня школа І ступеня села Городилець Турійського району Волинської області</t>
  </si>
  <si>
    <t>44804</t>
  </si>
  <si>
    <t>0725585602</t>
  </si>
  <si>
    <t>Городилець</t>
  </si>
  <si>
    <t>вул. Ковельська, 37 Г</t>
  </si>
  <si>
    <t>ЗОШ І ступеня с. Селець- філія опорного закладу " НВК " ЗОШ І-ІІІ ступенів-гімназія" смт. Турійськ"</t>
  </si>
  <si>
    <t>0725586001</t>
  </si>
  <si>
    <t>Селець</t>
  </si>
  <si>
    <t>(096)8863188</t>
  </si>
  <si>
    <t>Загальноосвітня школа І-ІІІ ступеня с. Соловичі</t>
  </si>
  <si>
    <t>44833</t>
  </si>
  <si>
    <t>0725586501</t>
  </si>
  <si>
    <t>Соловичі</t>
  </si>
  <si>
    <t>Загальноосвітня школа I-II ступеня с.Обенижі</t>
  </si>
  <si>
    <t>0725586503</t>
  </si>
  <si>
    <t>Обенижі</t>
  </si>
  <si>
    <t>вул. Тишика, 53</t>
  </si>
  <si>
    <t>(03363)96-4-07</t>
  </si>
  <si>
    <t>загальноосвітня школа І - ІІ ступеня смт. Шацьк Шацького району Волинської області</t>
  </si>
  <si>
    <t>44000</t>
  </si>
  <si>
    <t>0725755100</t>
  </si>
  <si>
    <t>Шацьк</t>
  </si>
  <si>
    <t>вул. Незалежності, 232</t>
  </si>
  <si>
    <t>(03355)20255</t>
  </si>
  <si>
    <t>НВК " Загальноосвітня школа І-ІІІ ступенів-гімназія смт Шацьк"</t>
  </si>
  <si>
    <t>вул. 50 років Перемоги, 40</t>
  </si>
  <si>
    <t>(03355)20430</t>
  </si>
  <si>
    <t>Навчально-виховний комплекс "Загальноосвітня школа І-ІІІ ступеня-дитячий садок" с. Мельники</t>
  </si>
  <si>
    <t>44008</t>
  </si>
  <si>
    <t>0725755103</t>
  </si>
  <si>
    <t>Мельники</t>
  </si>
  <si>
    <t>(03355)95578</t>
  </si>
  <si>
    <t>загальноосвітня школа І-ІІ ступеня с. Грабове Шацького району Волинської області</t>
  </si>
  <si>
    <t>44023</t>
  </si>
  <si>
    <t>0725780901</t>
  </si>
  <si>
    <t>Грабове</t>
  </si>
  <si>
    <t>(03355)96122</t>
  </si>
  <si>
    <t>загальноосвітня школа І ступеня с. Голядин Шацького району Волинської області</t>
  </si>
  <si>
    <t>0725780903</t>
  </si>
  <si>
    <t>Голядин</t>
  </si>
  <si>
    <t>вул. Калинова, 6</t>
  </si>
  <si>
    <t>0680277163</t>
  </si>
  <si>
    <t>Загальноосвітня школа І-ІІ ступеня села Смоляри-Світязькі Шацького району Волинської області</t>
  </si>
  <si>
    <t>0725780904</t>
  </si>
  <si>
    <t>Смоляри-Світязькі</t>
  </si>
  <si>
    <t>(03355)94821</t>
  </si>
  <si>
    <t>Загальноосвітня школа І-ІІІ ступеня с. Піща Шацького району Волинської області</t>
  </si>
  <si>
    <t>44010</t>
  </si>
  <si>
    <t>0725783901</t>
  </si>
  <si>
    <t>Піща</t>
  </si>
  <si>
    <t>вул. Центральна, 84</t>
  </si>
  <si>
    <t>0932602000</t>
  </si>
  <si>
    <t>загальноосвітня школа І-ІІ ступеня с. Острів'я</t>
  </si>
  <si>
    <t>44011</t>
  </si>
  <si>
    <t>0725783904</t>
  </si>
  <si>
    <t>Острів'я</t>
  </si>
  <si>
    <t>вул. Незалежності, 102А</t>
  </si>
  <si>
    <t>(03355)97361</t>
  </si>
  <si>
    <t>Загальноосвітня школа І-ІІІ ст. с. Прип'ять Шацького району Волинської області</t>
  </si>
  <si>
    <t>44030</t>
  </si>
  <si>
    <t>0725784201</t>
  </si>
  <si>
    <t>Прип'ять</t>
  </si>
  <si>
    <t>(03355)96437</t>
  </si>
  <si>
    <t>http://prypiat-school.volyn.sch.in.ua</t>
  </si>
  <si>
    <t>загальноосвітня школа І-ІІ ступеня с.Пулемець Шацького району Волинської області</t>
  </si>
  <si>
    <t>44013</t>
  </si>
  <si>
    <t>0725784501</t>
  </si>
  <si>
    <t>Пулемець</t>
  </si>
  <si>
    <t>вул. Шкільна, 12А</t>
  </si>
  <si>
    <t>(03355)98140</t>
  </si>
  <si>
    <t>загальноосвітня школа І-ІІІ ступеня с. Пульмо</t>
  </si>
  <si>
    <t>44020</t>
  </si>
  <si>
    <t>0725784601</t>
  </si>
  <si>
    <t>Пульмо</t>
  </si>
  <si>
    <t>вул. Незалежності, 167</t>
  </si>
  <si>
    <t>(03355)96645</t>
  </si>
  <si>
    <t>http://zosh-pulmo.at.ua</t>
  </si>
  <si>
    <t>Загальноосвітня школа І - ІІІ ступеня с. Ростань</t>
  </si>
  <si>
    <t>44012</t>
  </si>
  <si>
    <t>0725785001</t>
  </si>
  <si>
    <t>Ростань</t>
  </si>
  <si>
    <t>(03355)96340</t>
  </si>
  <si>
    <t>загальноосвітня школа І-ІІ ступеня с.Самійличі Шацького району Волинської області</t>
  </si>
  <si>
    <t>44031</t>
  </si>
  <si>
    <t>0725785401</t>
  </si>
  <si>
    <t>Самійличі</t>
  </si>
  <si>
    <t>вул. Центральна, 43</t>
  </si>
  <si>
    <t>0975940880</t>
  </si>
  <si>
    <t>Загальноосвітня школа І-ІІ ступеня с.Пехи</t>
  </si>
  <si>
    <t>0725785402</t>
  </si>
  <si>
    <t>Пехи</t>
  </si>
  <si>
    <t>Загальноосвітня школа І-ІІ ступеня с. Положеве</t>
  </si>
  <si>
    <t>0725785403</t>
  </si>
  <si>
    <t>Положеве</t>
  </si>
  <si>
    <t>Загальноосвітня школа І-ІІІ ступеня с. Світязь</t>
  </si>
  <si>
    <t>44021</t>
  </si>
  <si>
    <t>0725785601</t>
  </si>
  <si>
    <t>Світязь</t>
  </si>
  <si>
    <t>вул. Жовтнева, 33</t>
  </si>
  <si>
    <t>(03355)94859</t>
  </si>
  <si>
    <t>загальноосвітня школа І-ІІст с. Підманове Шацького району Волинської області</t>
  </si>
  <si>
    <t>44022</t>
  </si>
  <si>
    <t>0725785603</t>
  </si>
  <si>
    <t>Підманове</t>
  </si>
  <si>
    <t>0335594514</t>
  </si>
  <si>
    <t>Дніпропетровський обласний медичний ліцей-інтернат"Дніпро"</t>
  </si>
  <si>
    <t>49005</t>
  </si>
  <si>
    <t>1210100000</t>
  </si>
  <si>
    <t>Дніпропетровська область</t>
  </si>
  <si>
    <t>Дніпро</t>
  </si>
  <si>
    <t>вул. Севастопольська, 17 кор.4</t>
  </si>
  <si>
    <t>056462386</t>
  </si>
  <si>
    <t>http://domly.dp.ua</t>
  </si>
  <si>
    <t>21929668</t>
  </si>
  <si>
    <t>Комунальний заклад освіти "Навчально-виховний комплекс № 108 "дошкільний навчальний заклад - загальноосвітній навчальний заклад для дітей з малими та затихаючими формами туберкульозу" Дніпровської міської ради</t>
  </si>
  <si>
    <t>49125</t>
  </si>
  <si>
    <t>вул. Березинська, 16</t>
  </si>
  <si>
    <t>(056)724-22-91</t>
  </si>
  <si>
    <t>http://nvk-108.dp.ua</t>
  </si>
  <si>
    <t>Комунальний заклад освіти " Вечірня (змінна) середня загальноосвітня школа № 11" Дніпровської міської ради</t>
  </si>
  <si>
    <t>49068</t>
  </si>
  <si>
    <t>просп. Свободи, 147</t>
  </si>
  <si>
    <t>(056)7417254</t>
  </si>
  <si>
    <t>http://vssh11dnepredu.com</t>
  </si>
  <si>
    <t>Комунальний заклад освіти "Багатопрофільний навчально-реабілітаційний ресурсно-методичний центр корекційної роботи та інклюзивного навчання" Дніпропетровської обласної ради</t>
  </si>
  <si>
    <t>вул. Лешко-Попеля, 1</t>
  </si>
  <si>
    <t>(0562)377-20-14</t>
  </si>
  <si>
    <t>http://bnrc.org.ua</t>
  </si>
  <si>
    <t>20307568</t>
  </si>
  <si>
    <t>Комунальний заклад освіти "Вечірня (змінна) середня загальноосвітня школа № 31" Дніпровської міської ради</t>
  </si>
  <si>
    <t>49055</t>
  </si>
  <si>
    <t>просп. Богдана Хмельницького, 37</t>
  </si>
  <si>
    <t>(056)792-68-06, (050)97-27-078</t>
  </si>
  <si>
    <t>Комунальний заклад освіти "Дніпропетровський навчально-реабілітаційний центр № 1" Дніпропетровської обласної ради"</t>
  </si>
  <si>
    <t>49105</t>
  </si>
  <si>
    <t>вул. Надії Алексєєнко, 171</t>
  </si>
  <si>
    <t>(056)792-66-17, (056)792-66-18</t>
  </si>
  <si>
    <t>20199883</t>
  </si>
  <si>
    <t>Комунальний заклад освіти "Дніпропетровський навчально-реабілітаційний центр № 10" Дніпропетровської обласної ради"</t>
  </si>
  <si>
    <t>49006</t>
  </si>
  <si>
    <t>вул. Філософська, 29</t>
  </si>
  <si>
    <t>375-73-40</t>
  </si>
  <si>
    <t>21929243</t>
  </si>
  <si>
    <t>Комунальний заклад освіти "Дніпропетровський обласний ліцей-інтернат фізико-математичного профілю"</t>
  </si>
  <si>
    <t>49107</t>
  </si>
  <si>
    <t>вул. Абхазька, 9 а</t>
  </si>
  <si>
    <t>(056)7768216, (056)7892106</t>
  </si>
  <si>
    <t>http://www.dolifmp.dp.ua</t>
  </si>
  <si>
    <t>24993017</t>
  </si>
  <si>
    <t>Комунальний заклад освіти "Навчально-виховний комплекс № 72 " школа І-ІІІ ступенів - дошкільний навчальний заклад (дитячий садок)" Дніпровської міської ради</t>
  </si>
  <si>
    <t>49019</t>
  </si>
  <si>
    <t>вул. Фортечна, 42А</t>
  </si>
  <si>
    <t>7605464</t>
  </si>
  <si>
    <t>http://srednjauaschool72.dnepredu.com/</t>
  </si>
  <si>
    <t>Комунальний заклад освіти "Навчально-виховний комплекс № 103 "школа І-ІІІ ступенів -дошкільний навчальний заклад (ясла-садок) Дніпровської міської ради</t>
  </si>
  <si>
    <t>49053</t>
  </si>
  <si>
    <t>вул. Доблесна, 164</t>
  </si>
  <si>
    <t>056-773-00-64</t>
  </si>
  <si>
    <t>http://nvk103.dnepredu.com</t>
  </si>
  <si>
    <t>Комунальний заклад освіти "Навчально-виховний комплекс № 12 "загальноосвітній навчальний заклад І ступеня - гімназія " Дніпровської міської ради</t>
  </si>
  <si>
    <t>вул. Пушкіна, 75</t>
  </si>
  <si>
    <t>(056)7705767, (056)7708296</t>
  </si>
  <si>
    <t>http://gymnasium12.dp.ua</t>
  </si>
  <si>
    <t>англійська,німецька,іспанська</t>
  </si>
  <si>
    <t>Комунальний заклад освіти "Навчально-виховний комплекс № 148 "спеціалізована школа - дошкільний навчальний заклад (ясла-садок) "Планета Щастя" Дніпровської міської ради</t>
  </si>
  <si>
    <t>49101</t>
  </si>
  <si>
    <t>вул. Володимира Антоновича, 13</t>
  </si>
  <si>
    <t>365309, 7453085</t>
  </si>
  <si>
    <t>http://planetaschastya.dp.ua</t>
  </si>
  <si>
    <t>Комунальний заклад освіти "Навчально-реабілітаційний центр "Горлиця" Дніпропетровської обласної ради"</t>
  </si>
  <si>
    <t>49043</t>
  </si>
  <si>
    <t>вул. Памірська, 11</t>
  </si>
  <si>
    <t>(056)729-52-32, (056)729-52-31</t>
  </si>
  <si>
    <t>24238640</t>
  </si>
  <si>
    <t>Комунальний заклад освіти "Неповна середня загальноосвітня школа-інтернат № 2" Дніпровської міської ради</t>
  </si>
  <si>
    <t>49008</t>
  </si>
  <si>
    <t>вул. Каверіна, 5</t>
  </si>
  <si>
    <t>(067)6403940</t>
  </si>
  <si>
    <t>Комунальний заклад освіти "Середня загальноосвітня школа № 124" Дніпровської міської ради</t>
  </si>
  <si>
    <t>49020</t>
  </si>
  <si>
    <t>вул. Старий шлях, 2</t>
  </si>
  <si>
    <t>749-41-51</t>
  </si>
  <si>
    <t>http://school_124.dnepredu.com</t>
  </si>
  <si>
    <t>Комунальний заклад освіти "Середня загальноосвітня школа № 128" Дніпровської міської ради</t>
  </si>
  <si>
    <t>49061</t>
  </si>
  <si>
    <t>вул. Гавриленка, 4</t>
  </si>
  <si>
    <t>7496823</t>
  </si>
  <si>
    <t>http://school128.dnepredu.com</t>
  </si>
  <si>
    <t>Комунальний заклад освіти "Середня загальноосвітня школа № 17" Дніпровської міської ради</t>
  </si>
  <si>
    <t>49074</t>
  </si>
  <si>
    <t>вул. Смоленська, 1</t>
  </si>
  <si>
    <t>((0562))270905, ((056))7254264</t>
  </si>
  <si>
    <t>http://school17.dnepredu.com</t>
  </si>
  <si>
    <t>Комунальний заклад освіти "Середня загальноосвітня школа № 18" Дніпровської міської ради</t>
  </si>
  <si>
    <t>49021</t>
  </si>
  <si>
    <t>вул. Волоколамська, 12</t>
  </si>
  <si>
    <t>(056)7872621</t>
  </si>
  <si>
    <t>http://kzoszsh18.dnepredu.com</t>
  </si>
  <si>
    <t>Комунальний заклад освіти "Середня загальноосвітня школа № 96" Дніпровської міської ради</t>
  </si>
  <si>
    <t>49128</t>
  </si>
  <si>
    <t>вул. Коробова, 3</t>
  </si>
  <si>
    <t>(056)7485966</t>
  </si>
  <si>
    <t>http://szoh96.dnepredu.com/</t>
  </si>
  <si>
    <t>Комунальний заклад освіти "Середня загальноосвітня школа № 101" Дніпровської міської ради</t>
  </si>
  <si>
    <t>49048</t>
  </si>
  <si>
    <t>вул. Високогірна, 29Д</t>
  </si>
  <si>
    <t>(093)2827799</t>
  </si>
  <si>
    <t>http://school_101.klasna.com</t>
  </si>
  <si>
    <t>Комунальний заклад освіти "Середня загальноосвітня школа № 123" Дніпровської міської ради</t>
  </si>
  <si>
    <t>вул. Ак.Кисловського, 1</t>
  </si>
  <si>
    <t>(056)7495042</t>
  </si>
  <si>
    <t>Комунальний заклад освіти "Середня загальноосвітня школа № 140" Дніпровської міської ради</t>
  </si>
  <si>
    <t>49094</t>
  </si>
  <si>
    <t>вул. Мандриківська, 151</t>
  </si>
  <si>
    <t>0567535579</t>
  </si>
  <si>
    <t>http://school_140.dnepredu.com</t>
  </si>
  <si>
    <t>Комунальний заклад освіти "Середня загальноосвітня школа № 20" Дніпровської міської ради</t>
  </si>
  <si>
    <t>вул. Високовольтна, 30</t>
  </si>
  <si>
    <t>(056)7765936</t>
  </si>
  <si>
    <t>http://dneprschool20.dnepredu.com/</t>
  </si>
  <si>
    <t>Комунальний заклад освіти "Середня загальноосвітня школа № 63" І-ІІІ ступенів Дніпровської міської ради</t>
  </si>
  <si>
    <t>49108</t>
  </si>
  <si>
    <t>вул. Янтарна, 71А</t>
  </si>
  <si>
    <t>056-724-42-77</t>
  </si>
  <si>
    <t>http://school63dnepr.klasna.com</t>
  </si>
  <si>
    <t>Комунальний заклад освіти "Середня загальносвітня школа № 45" Дніпровської міської ради</t>
  </si>
  <si>
    <t>49087</t>
  </si>
  <si>
    <t>вул. С.Ковалевської, 88 А</t>
  </si>
  <si>
    <t>(056)7245408</t>
  </si>
  <si>
    <t>http://kzoszch45.dnepredu.com</t>
  </si>
  <si>
    <t>Комунальний заклад освіти "Спеціалізована середня загальноосвітня школа № 126 з поглибленим вивченням французької мови" Дніпровської міської ради</t>
  </si>
  <si>
    <t>49066</t>
  </si>
  <si>
    <t>вул. Казакевича, 7</t>
  </si>
  <si>
    <t>(056)7630815</t>
  </si>
  <si>
    <t>http://school126dp.klasna.com</t>
  </si>
  <si>
    <t>Комунальний заклад освіти "Спеціалізована школа № 115" Дніпровської міської ради</t>
  </si>
  <si>
    <t>49046</t>
  </si>
  <si>
    <t>вул. Передова, 427</t>
  </si>
  <si>
    <t>0567610002</t>
  </si>
  <si>
    <t>http://school115.dnepredu.com</t>
  </si>
  <si>
    <t>Комунальний заклад освіти "Спеціалізована школа № 67 еколого-економічного профілю" Дніпровської міської ради</t>
  </si>
  <si>
    <t>49027</t>
  </si>
  <si>
    <t>пров. Коновальця, 6</t>
  </si>
  <si>
    <t>056-744-42-40</t>
  </si>
  <si>
    <t>http://school67.dnepredu.com/</t>
  </si>
  <si>
    <t>КОМУНАЛЬНИЙ ЗАКЛАД ОСВІТИ «НАВЧАЛЬНО-ВИХОВНИЙ КОМПЛЕКС № 144 «СПЕЦІАЛІЗОВАНА ШКОЛА З ПОГЛИБЛЕНИМ ВИВЧЕННЯМ ІВРИТУ, ІСТОРІЇ ЄВРЕЙСЬКОГО НАРОДУ, ЄВРЕЙСЬКИХ ТРАДИЦІЙ – ДОШКІЛЬНИЙ НАВЧАЛЬНИЙ ЗАКЛАД (ДИТЯЧИЙ САДОК)» ДНІПРОВСЬКОЇ МІСЬКОЇ РАДИ</t>
  </si>
  <si>
    <t>вул. Менахем-Мендл Шнеєрсона, 1</t>
  </si>
  <si>
    <t>(0562)322718, (0562)322717</t>
  </si>
  <si>
    <t>http://school144.dnepredu.com</t>
  </si>
  <si>
    <t>23067811</t>
  </si>
  <si>
    <t>англійська,єврейська</t>
  </si>
  <si>
    <t>Комунальний заклад освіти "Навчально-реабілітаційний центр № 12" Дніпропетровської обласної ради"</t>
  </si>
  <si>
    <t>вул. Саранська, 6</t>
  </si>
  <si>
    <t>(056)7663113</t>
  </si>
  <si>
    <t>20199239</t>
  </si>
  <si>
    <t>Комунальний навчальний заклад "Хіміко-екологічний ліцей" Дніпровської міської ради</t>
  </si>
  <si>
    <t>49069</t>
  </si>
  <si>
    <t>просп. Богдана Хмельницького, 14 Б</t>
  </si>
  <si>
    <t>788-41-74</t>
  </si>
  <si>
    <t>http://knz_hel.dnepredu.com/</t>
  </si>
  <si>
    <t>26236094</t>
  </si>
  <si>
    <t>Комунальний заклад освіти "Дніпропетровська загальноосвітня санаторна школа-інтернат № 5 І-ІІІ ступенів " ДОР"</t>
  </si>
  <si>
    <t>49126</t>
  </si>
  <si>
    <t>вул. Космодромна, 5</t>
  </si>
  <si>
    <t>3790431, 7769607</t>
  </si>
  <si>
    <t>http://internat5_dp.klasna.com/</t>
  </si>
  <si>
    <t>21930973</t>
  </si>
  <si>
    <t>"Спеціалізована багатопрофільна школа № 23 з поглибленим вивченням англійської мови" Дніпровської міської ради</t>
  </si>
  <si>
    <t>просп. Яворницького, 14</t>
  </si>
  <si>
    <t>(056)788-77-04</t>
  </si>
  <si>
    <t>http://dneprschool23.klasna.com</t>
  </si>
  <si>
    <t>Комунальний заклад освіти "Середня загальноосвітня школа І-ІІІ ступеня № 147 імені В'ячеслава Чорновола " Дніпровської міської ради</t>
  </si>
  <si>
    <t>49130</t>
  </si>
  <si>
    <t>просп. Миру, 51А</t>
  </si>
  <si>
    <t>(056)761-80-49</t>
  </si>
  <si>
    <t>http://kzoszsh147.dnepredu.com</t>
  </si>
  <si>
    <t>21928775</t>
  </si>
  <si>
    <t>Комунальний заклад освіти "Міська спеціальна вечірня (змінна) школа ІІ-ІІІ ступенів" Дніпровської міської ради</t>
  </si>
  <si>
    <t>49000</t>
  </si>
  <si>
    <t>вул. Андрія Фабра, 16</t>
  </si>
  <si>
    <t>(056)744-86-63</t>
  </si>
  <si>
    <t>http://vsh22.klasna.com/</t>
  </si>
  <si>
    <t>Товариство з обмеженою відповідальністю "Навчальний заклад "Дніпровська середня загальноосвітня школа "Британська міжнародна школа - Дніпро"</t>
  </si>
  <si>
    <t>вул. Антоновича, 39А</t>
  </si>
  <si>
    <t>(056)7671828</t>
  </si>
  <si>
    <t>https://dnipro.britishschool.ua/</t>
  </si>
  <si>
    <t>Комунальний заклад освіти "Середня загальноосвітня школа № 15" Дніпровської міської ради</t>
  </si>
  <si>
    <t>вул. Дмитра Кедріна, 53</t>
  </si>
  <si>
    <t>(0562)39-68-46</t>
  </si>
  <si>
    <t>Комунальний заклад освіти "Навчально-виховний комплекс № 104" середня загальноосвітня школа-дошкільний навчальний заклад (ясла-садок)" Дніпровської міської ради</t>
  </si>
  <si>
    <t>вул. Ясенова, 65</t>
  </si>
  <si>
    <t>793-46-75</t>
  </si>
  <si>
    <t>http://dnepr104.dnepredu.com</t>
  </si>
  <si>
    <t>Комунальний заклад освіти "Вечірня (змінна) середня загальноосвітня школа № 8" Дніпровської міської ради</t>
  </si>
  <si>
    <t>49089</t>
  </si>
  <si>
    <t>вул. Будівельників, 39</t>
  </si>
  <si>
    <t>(056)753-04-80</t>
  </si>
  <si>
    <t>Товариство з обмеженою відповідальністю "Навчально-виховний комплекс - "Катеринослав"</t>
  </si>
  <si>
    <t>49044</t>
  </si>
  <si>
    <t>вул. Гоголя, 23</t>
  </si>
  <si>
    <t>80952252686</t>
  </si>
  <si>
    <t>Комунальний спеціалізований навчальний заклад спортивного профілю "Дніпропетровське вище училище фізичної культури" Дніпропетровської обласної ради"</t>
  </si>
  <si>
    <t>49033</t>
  </si>
  <si>
    <t>вул. Гладкова, 39</t>
  </si>
  <si>
    <t>(056)763-23-43</t>
  </si>
  <si>
    <t>04544524</t>
  </si>
  <si>
    <t>Комунальний заклад освіти "Спеціальна середня загальноосвітня школа № 90" Дніпровської міської ради</t>
  </si>
  <si>
    <t>вул. Надії Алексєєнко, 167</t>
  </si>
  <si>
    <t>(056)792-49-99</t>
  </si>
  <si>
    <t>Приватний заклад освіти "Технічний ліцей"</t>
  </si>
  <si>
    <t>49010</t>
  </si>
  <si>
    <t>вул. Лазаряна, 2</t>
  </si>
  <si>
    <t>(0562)32-42-62</t>
  </si>
  <si>
    <t>Комунальний заклад освіти Навчально-реабілітаційний центр "Надія"</t>
  </si>
  <si>
    <t>49041</t>
  </si>
  <si>
    <t>вул. Комбрига Петрова, 21</t>
  </si>
  <si>
    <t>Комунальний заклад освіти “Спеціалізована школа № 134 гуманістичного навчання та виховання" Дніпровської міської ради</t>
  </si>
  <si>
    <t>49080</t>
  </si>
  <si>
    <t>1210136300</t>
  </si>
  <si>
    <t>Дніпро, Амур-Нижньодніпровський район</t>
  </si>
  <si>
    <t>вул. Шолохова, 17</t>
  </si>
  <si>
    <t>(0562)382157</t>
  </si>
  <si>
    <t>http://school134.dnepredu.com</t>
  </si>
  <si>
    <t>Комунальний заклад освіти "Фінансово-економічний ліцей" Дніпровської міської ради</t>
  </si>
  <si>
    <t>вул. Вітчизняна, 93</t>
  </si>
  <si>
    <t>0567895085</t>
  </si>
  <si>
    <t>http://fel2005.dp.ua/</t>
  </si>
  <si>
    <t>Комунальний заклад освіти "Загальноосвітня санаторна школа-інтернат № 3" Дніпропетровської обласної ради</t>
  </si>
  <si>
    <t>49026</t>
  </si>
  <si>
    <t>вул. Прапорна, 25</t>
  </si>
  <si>
    <t>760-24-17, 760-37-81, 27-89-52, 760-38-33</t>
  </si>
  <si>
    <t>http://sanshkola3.dnepredu.com</t>
  </si>
  <si>
    <t>26136688</t>
  </si>
  <si>
    <t>Комунальний заклад освіти "Навчально-виховний комплекс № 131 "загальноосвітній навчальний заклад І ступеня - гімназія" Дніпровської міської ради</t>
  </si>
  <si>
    <t>пров. С.Крушельницької, 10</t>
  </si>
  <si>
    <t>(056) 724-27-72</t>
  </si>
  <si>
    <t>http://www.nvk-131.dp.ua/</t>
  </si>
  <si>
    <t>Комунальний заклад освіти "Навчально-виховний комплекс № 57 "загальноосвітній навчальний заклад І ступеня - гімназія" Дніпровської міської ради</t>
  </si>
  <si>
    <t>49098</t>
  </si>
  <si>
    <t>вул. Прогресивна, 3А</t>
  </si>
  <si>
    <t>23-13-47</t>
  </si>
  <si>
    <t>http://school57.dnepredu.com</t>
  </si>
  <si>
    <t>Комунальний заклад освіти "Середня загальноосвітня школа № 116" Дніпровської міської ради</t>
  </si>
  <si>
    <t>49082</t>
  </si>
  <si>
    <t>вул. Передова, 601</t>
  </si>
  <si>
    <t>(056)7202112</t>
  </si>
  <si>
    <t>http://school116.dnepredu.com/</t>
  </si>
  <si>
    <t>Комунальний заклад освіти "Середня загальноосвітня школа № 117" Дніпровської міської ради</t>
  </si>
  <si>
    <t>вул. Передова, 800А</t>
  </si>
  <si>
    <t>720-23-06</t>
  </si>
  <si>
    <t>http://andsh117.dnepredu.com</t>
  </si>
  <si>
    <t>Комунальний заклад освіти "Середня загальноосвітня школа № 43" Дніпровської міської ради</t>
  </si>
  <si>
    <t>вул. Любарського, 84</t>
  </si>
  <si>
    <t>(0562)23-80-32, (0562)23-23-54</t>
  </si>
  <si>
    <t>http://schooln43.at.ua</t>
  </si>
  <si>
    <t>Комунальний заклад освіти "Середня загальноосвітня школа № 64" Дніпровської міської ради</t>
  </si>
  <si>
    <t>49075</t>
  </si>
  <si>
    <t>вул. Петрозаводська, 377</t>
  </si>
  <si>
    <t>(056)-761-37-44</t>
  </si>
  <si>
    <t>http://school64.dnepredu.com/</t>
  </si>
  <si>
    <t>Комунальний заклад освіти "Середня загальноосвітня школа № 86" Дніпровської міської ради</t>
  </si>
  <si>
    <t>49024</t>
  </si>
  <si>
    <t>вул. Янтарна, 39</t>
  </si>
  <si>
    <t>((056))7246711</t>
  </si>
  <si>
    <t>http://school86.dnepredu.com</t>
  </si>
  <si>
    <t>Комунальний заклад освіти "Середня загальноосвітня школа № 114" Дніпровської міської ради</t>
  </si>
  <si>
    <t>вул. Башкирська, 6</t>
  </si>
  <si>
    <t>(056)761-06-21</t>
  </si>
  <si>
    <t>http://114school.dnepredu.com</t>
  </si>
  <si>
    <t>Комунальний заклад освіти "Середня загальноосвітня школа № 133" Дніпровської міської ради</t>
  </si>
  <si>
    <t>пров. Крушельницької, 5 А</t>
  </si>
  <si>
    <t>(056)761-80-02</t>
  </si>
  <si>
    <t>http://school133.dnepredu.com</t>
  </si>
  <si>
    <t>Комунальний заклад освіти "Середня загальноосвітня школа № 26" Дніпровської міської ради</t>
  </si>
  <si>
    <t>49023</t>
  </si>
  <si>
    <t>вул. Каруни, 129</t>
  </si>
  <si>
    <t>(056)7870302</t>
  </si>
  <si>
    <t>http://sz026.dnepredu.com</t>
  </si>
  <si>
    <t>Комунальний заклад освіти "Середня загальноосвітня школа № 42" Дніпровської міської ради</t>
  </si>
  <si>
    <t>вул. Ростовська, 88</t>
  </si>
  <si>
    <t>http://sz042.dnepredu.com/</t>
  </si>
  <si>
    <t>Комунальний заклад освіти "Середня загальноосвітня школа № 56" Дніпровської міської ради</t>
  </si>
  <si>
    <t>вул. Скрябіна, 41</t>
  </si>
  <si>
    <t>7164741, 239192</t>
  </si>
  <si>
    <t>http://dh56.dnepredu.com/</t>
  </si>
  <si>
    <t>Комунальний заклад освіти "Середня загальноосвітня школа № 68" Дніпровської міської ради</t>
  </si>
  <si>
    <t>вул. Симиренківська (Каляєва), 76</t>
  </si>
  <si>
    <t>(056)7871882</t>
  </si>
  <si>
    <t>http://school68.dnepredu.com/uk/site/index.html</t>
  </si>
  <si>
    <t>Комунальний заклад освіти "Середня загальноосвітня школа № 8" Дніпровської міської ради</t>
  </si>
  <si>
    <t>49083</t>
  </si>
  <si>
    <t>вул. Прапорна, 23</t>
  </si>
  <si>
    <t>(0562)271063</t>
  </si>
  <si>
    <t>http://school8.dnepredu.com</t>
  </si>
  <si>
    <t>Комунальний заклад освіти "Спеціалізована середня загальноосвітня школа № 142 еколого-економічного профілю" Дніпровської міської ради</t>
  </si>
  <si>
    <t>вул. Бєляєва, 2</t>
  </si>
  <si>
    <t>(0562)38-27-65</t>
  </si>
  <si>
    <t>http://school142.dnepredu.com/</t>
  </si>
  <si>
    <t>Комунальний заклад освіти "Спеціалізована школа № 44 природничо-медичного профілю" Дніпровської міської ради</t>
  </si>
  <si>
    <t>вул. С. Ковалевської, 6</t>
  </si>
  <si>
    <t>(0562)27-50-57</t>
  </si>
  <si>
    <t>http://sp_school44.dnepredu.com/</t>
  </si>
  <si>
    <t>Комунальний заклад освіти "Спеціалізована школа № 55 інформаційно-технологічного профілю" Дніпровської міської ради</t>
  </si>
  <si>
    <t>49081</t>
  </si>
  <si>
    <t>вул. Луговська, 211</t>
  </si>
  <si>
    <t>056231294</t>
  </si>
  <si>
    <t>http://dneprschool55.dnepredu.com</t>
  </si>
  <si>
    <t>КЗО "Дніпропетровська загальноосвітня санаторна школа-інтернат І-ІІІ ступенів № 4" ДОР"</t>
  </si>
  <si>
    <t>вул. Ростовська, 15</t>
  </si>
  <si>
    <t>(056)717-03-14</t>
  </si>
  <si>
    <t>http://boarding-school4.dnepredu.com</t>
  </si>
  <si>
    <t>20199156</t>
  </si>
  <si>
    <t>"Навчально-виховний комплекс № 61", "Техніко-економічний ліцей - загальний навчальний заклад І-ІІ ступеню" Дніпровської міської ради</t>
  </si>
  <si>
    <t>1210136600</t>
  </si>
  <si>
    <t>Дніпро, Шевченківський район</t>
  </si>
  <si>
    <t>вул. Єрмолової, 50</t>
  </si>
  <si>
    <t>763-60-87, 763-90-77</t>
  </si>
  <si>
    <t>http://tel61.dnepredu.com</t>
  </si>
  <si>
    <t>Дніпровська середньо загальноосвітня школа I-III ступенів № 112 Дніпровської міської ради Дніпропетровської області</t>
  </si>
  <si>
    <t>вул. Солідарна, 4</t>
  </si>
  <si>
    <t>(056)7633098</t>
  </si>
  <si>
    <t>http://school112tsvik.dnepredu.com/</t>
  </si>
  <si>
    <t>Комунальний заклад освіти "Навчально-виховний комплекс № 99 "багатопрофільна гімназія - школа I ступеня - дошкільний навчальний заклад" Дніпровської міської ради</t>
  </si>
  <si>
    <t>вул. Комбрига Петрова, 17</t>
  </si>
  <si>
    <t>0567659593, 0567659594</t>
  </si>
  <si>
    <t>http://nvk99.dnepredu.com</t>
  </si>
  <si>
    <t>24432684</t>
  </si>
  <si>
    <t>Комунальний заклад освіти "Навчально-виховний комплекс № 33 " "Маріїнська багатопрофільна гімназія - загальноосвітній навчальний заклад І ступеня" Дніпровської міської ради</t>
  </si>
  <si>
    <t>49070</t>
  </si>
  <si>
    <t>вул. Троїцька, 1</t>
  </si>
  <si>
    <t>(056)7441682, (056)7441676</t>
  </si>
  <si>
    <t>http://gymnasium33.dp.ua/</t>
  </si>
  <si>
    <t>24430716</t>
  </si>
  <si>
    <t>КОМУНАЛЬНИЙ ЗАКЛАД ОСВІТИ "СЕРЕДНЯ ЗАГАЛЬНООСВІТНЯ ШКОЛА № 119" ДНІПРОВСЬКОЇ МІСЬКОЇ РАДИ</t>
  </si>
  <si>
    <t>вул. Козака Мамая, 17А</t>
  </si>
  <si>
    <t>(056)763-06-56, (056)763-06-80</t>
  </si>
  <si>
    <t>http://school119_babushk.klasna.com/</t>
  </si>
  <si>
    <t>Комунальний заклад освіти "Середня загальноосвітня школа № 21" Дніпровської міської ради</t>
  </si>
  <si>
    <t>вул. Старокозацька, 51А</t>
  </si>
  <si>
    <t>(056)7454539</t>
  </si>
  <si>
    <t>http://SZSh21.klasna.com</t>
  </si>
  <si>
    <t>Комунальний заклад освіти "Середня загальноосвітня школа № 25" Дніпровської міської ради</t>
  </si>
  <si>
    <t>49007</t>
  </si>
  <si>
    <t>вул. Бориса Кротова, 19</t>
  </si>
  <si>
    <t>(056)7912365, (056)7912364</t>
  </si>
  <si>
    <t>http://school25_babushk.dnepredu.com</t>
  </si>
  <si>
    <t>Комунальний заклад освіти "Середня загальноосвітня школа № 40" Дніпровської міської ради</t>
  </si>
  <si>
    <t>49057</t>
  </si>
  <si>
    <t>вул. Альвінського, 3</t>
  </si>
  <si>
    <t>(056)378-63-40</t>
  </si>
  <si>
    <t>http://school40.mirshkol.com/</t>
  </si>
  <si>
    <t>Комунальний заклад освіти "Середня загальноосвітня школа № 48" Дніпровської міської ради</t>
  </si>
  <si>
    <t>49029</t>
  </si>
  <si>
    <t>вул. О.Кониського, 79</t>
  </si>
  <si>
    <t>(056)7455447</t>
  </si>
  <si>
    <t>http://school48.dnepredu.com/</t>
  </si>
  <si>
    <t>Комунальний заклад освіти "Середня загальноосвітня школа № 49" Дніпровської міської ради</t>
  </si>
  <si>
    <t>49050</t>
  </si>
  <si>
    <t>вул. Одоєвського, 16</t>
  </si>
  <si>
    <t>776-58-89</t>
  </si>
  <si>
    <t>http://school49_babushk.klasna.com</t>
  </si>
  <si>
    <t>Комунальний заклад освіти "Середня загальноосвітня школа № 52" Дніпровської міської ради</t>
  </si>
  <si>
    <t>49040</t>
  </si>
  <si>
    <t>вул. вул. М. Салакунова, 11</t>
  </si>
  <si>
    <t>0567650121</t>
  </si>
  <si>
    <t>Комунальний заклад освіти "Середня загальноосвітня школа № 78" Дніпровської міської ради</t>
  </si>
  <si>
    <t>вул. Тополина, 37</t>
  </si>
  <si>
    <t>7652987</t>
  </si>
  <si>
    <t>http://school78_babushk.klasna.com</t>
  </si>
  <si>
    <t>Комунальний заклад освіти "Середня загальноосвітня школа № 80" Дніпровської міської ради</t>
  </si>
  <si>
    <t>вул. Комбрига Петрова, 31</t>
  </si>
  <si>
    <t>(056) 7659900, (056) 7659990</t>
  </si>
  <si>
    <t>http://school80.klasna.com</t>
  </si>
  <si>
    <t>19086837</t>
  </si>
  <si>
    <t>Комунальний заклад освіти "Середня загальноосвітня школа № 19" Дніпровської міської ради</t>
  </si>
  <si>
    <t>вул. Князя Володимира Великого, 13А</t>
  </si>
  <si>
    <t>(056)7452553</t>
  </si>
  <si>
    <t>http://school19_babushk.klasna.com</t>
  </si>
  <si>
    <t>англійська,іспанська</t>
  </si>
  <si>
    <t>Комунальний заклад освіти "Середня загальноосвітня школа № 81" Дніпровської міської ради</t>
  </si>
  <si>
    <t>вул. Юліуша Словацького, 4</t>
  </si>
  <si>
    <t>(056) 744-79-84</t>
  </si>
  <si>
    <t>http://dzvin.dp.ua</t>
  </si>
  <si>
    <t>Комунальний заклад освіти "Спеціалізована середня загальноосвітня школа № 53 з поглибленим вивченням німецької мови" Дніпровської міської ради</t>
  </si>
  <si>
    <t>вул. Тополина, 35</t>
  </si>
  <si>
    <t>7652885</t>
  </si>
  <si>
    <t>http://school_53.dnepredu.com</t>
  </si>
  <si>
    <t>Комунальний заклад освіти"Навчально-виховний комплекс № 137 "ліцей-загальноосвітній навчальний заклад" Дніпровської міської ради</t>
  </si>
  <si>
    <t>вул. Комбрига Петрова, 29</t>
  </si>
  <si>
    <t>(056)7654746</t>
  </si>
  <si>
    <t>http://nvk_137.klasna.com/</t>
  </si>
  <si>
    <t>24444766</t>
  </si>
  <si>
    <t>Товариство з обмеженою відповідальністю "Приватна середня загальноосвітня школа № 5"</t>
  </si>
  <si>
    <t>вул. Запорізьке шосе, 12</t>
  </si>
  <si>
    <t>(056)796-74-84</t>
  </si>
  <si>
    <t>Комунальний заклад освіти "Дніпровський ліцей інформаційних технологій при Дніпропетровському національному університеті імені Олеся Гончара" Дніпровської міської ради</t>
  </si>
  <si>
    <t>1210136900</t>
  </si>
  <si>
    <t>Дніпро, Соборний район</t>
  </si>
  <si>
    <t>(056)7454175</t>
  </si>
  <si>
    <t>21930588</t>
  </si>
  <si>
    <t>Комунальний заклад освіти "Ліцей з посиленою військово-фізичною підготовкою" Дніпровської міської ради</t>
  </si>
  <si>
    <t>вул. Космодромна, 7</t>
  </si>
  <si>
    <t>0563788557</t>
  </si>
  <si>
    <t>http://voenlicei.dnepredu.com/</t>
  </si>
  <si>
    <t>36574474</t>
  </si>
  <si>
    <t>Комунальний закдад освіти "Навчально-виховне об'єднання технічного профілю № 79 "Загальноосвітній навчальний заклад - Дошкільний навчальний заклад - Позашкільний навчальний заклад" Дніпровської міської ради</t>
  </si>
  <si>
    <t>вул. Лазаряна, 7А</t>
  </si>
  <si>
    <t>(0562)463415, 776-82-60</t>
  </si>
  <si>
    <t>http://nvo79.dnepredu.com/</t>
  </si>
  <si>
    <t>Комунальний заклад освіти "Навчально-виховне об'єднання № 28"</t>
  </si>
  <si>
    <t>вул. В. Дубініна, 12</t>
  </si>
  <si>
    <t>776-59-97</t>
  </si>
  <si>
    <t>http://kzonvk28.klasna.com</t>
  </si>
  <si>
    <t>21901813</t>
  </si>
  <si>
    <t>Комунальний заклад освіти "навчально-виховний комплекс № 100 «загальноосвітній навчальний заклад I-IIІ ступенів - ліцей» Дніпровської міської ради</t>
  </si>
  <si>
    <t>пл. Успенська, 1</t>
  </si>
  <si>
    <t>(056)745-14-54, (056)370-97-93</t>
  </si>
  <si>
    <t>http://nvklycey100.dnepredu.com</t>
  </si>
  <si>
    <t>26461617</t>
  </si>
  <si>
    <t>Комунальний заклад освіти "Навчально-виховний комплекс № 111 "спеціалізована школа - дошкільний навчальний заклад" Дніпровської міської ради</t>
  </si>
  <si>
    <t>49106</t>
  </si>
  <si>
    <t>просп. Героїв, 29</t>
  </si>
  <si>
    <t>(0562)681000, (0562)686077</t>
  </si>
  <si>
    <t>http://school111.dnepredu.com</t>
  </si>
  <si>
    <t>Комунальний заклад освіти "Навчально-виховний комплекс № 130 "загальноосвітінй навчальний заклад І ступеня - гімназія" Дніпровської міської ради</t>
  </si>
  <si>
    <t>49049</t>
  </si>
  <si>
    <t>просп. Героїв, 38</t>
  </si>
  <si>
    <t>(0562)688250</t>
  </si>
  <si>
    <t>http://nvk130.dnepredu.com</t>
  </si>
  <si>
    <t>Комунальний заклад освіти "Навчально-виховний комплекс № 66 "Гімназія - початкова школа - дошкільний навчальний заклад" Дніпровської міської ради</t>
  </si>
  <si>
    <t>49100</t>
  </si>
  <si>
    <t>вул. Гетьмана Петра Дорошенка, 3</t>
  </si>
  <si>
    <t>(0562)68-45-88</t>
  </si>
  <si>
    <t>http://nvk66.klasna.com</t>
  </si>
  <si>
    <t>Комунальний заклад освіти "Середня загальноосвітня школа № 10 ім. І.І.Манжури" Дніпровської міської ради</t>
  </si>
  <si>
    <t>вул. Бригадна, 10</t>
  </si>
  <si>
    <t>(0562)46-63-91</t>
  </si>
  <si>
    <t>http://skola10.dnepredu.com</t>
  </si>
  <si>
    <t>Комунальний заклад освіти "Середня загальноосвітня школа № 107" Дніпровської міської ради</t>
  </si>
  <si>
    <t>вул. Холмогорська, 7А</t>
  </si>
  <si>
    <t>(056)766-32-18</t>
  </si>
  <si>
    <t>http://school107.dnepredu.com</t>
  </si>
  <si>
    <t>Комунальний заклад освіти "Середня загальноосвітня школа № 73" Дніпровської міської ради</t>
  </si>
  <si>
    <t>вул. Гетьмана Петра Дорошенка, 5</t>
  </si>
  <si>
    <t>0562680500</t>
  </si>
  <si>
    <t>http://school73.dnepredu.com</t>
  </si>
  <si>
    <t>Комунальний заклад освіти "Середня загальноосвітня школа № 76" Дніпровської міської ради</t>
  </si>
  <si>
    <t>вул. Набережна Перемоги, 46Б</t>
  </si>
  <si>
    <t>(056)7535974</t>
  </si>
  <si>
    <t>http://school76.dnepredu.com</t>
  </si>
  <si>
    <t>Комунальний заклад освіти "Середня загальноосвітня школа № 83" Дніпровської міської ради</t>
  </si>
  <si>
    <t>вул. Нєдєліна, 1</t>
  </si>
  <si>
    <t>(056)378-83-71</t>
  </si>
  <si>
    <t>http://school83.dnepredu.com</t>
  </si>
  <si>
    <t>Комунальний заклад освіти "Спеціалізована школа № 71 художньо-архітектурного напрямку" Дніпровської міської ради</t>
  </si>
  <si>
    <t>вул. В. Жуковського, 10</t>
  </si>
  <si>
    <t>0562460251</t>
  </si>
  <si>
    <t>http://sch71_dn.dnepredu.com/</t>
  </si>
  <si>
    <t>Комунальний заклад освіти "Українсько-Американський ліцей" Дніпропетровської міської ради</t>
  </si>
  <si>
    <t>вул. пр. Карла Маркса, 19 кор.5</t>
  </si>
  <si>
    <t>(056)7453113</t>
  </si>
  <si>
    <t>http://ual.dnepredu.com/</t>
  </si>
  <si>
    <t>24450096</t>
  </si>
  <si>
    <t>Комунальний заклад освіти «Середня загальноосвітня школа № 35» Дніпровської міської ради</t>
  </si>
  <si>
    <t>вул. Набережна Перемоги, 132</t>
  </si>
  <si>
    <t>(0562)68-10-22, (0562)68-45-44</t>
  </si>
  <si>
    <t>http://school35.dnepredu.com/</t>
  </si>
  <si>
    <t>Приватний заклад освіти "Загальноосвітній навчальний заклад І-ІІ ступенів № 11</t>
  </si>
  <si>
    <t>загальноосвітня школа ступінь I-III навчально-виховний комплекс "Європейська гімназія"</t>
  </si>
  <si>
    <t>вул. Морська, 10</t>
  </si>
  <si>
    <t>Комунальний заклад освіти "Вечірня (зміна) середня загальноосвітня школа "38" Дніпровської міської ради</t>
  </si>
  <si>
    <t>1210137200</t>
  </si>
  <si>
    <t>Дніпро, Індустріальний район</t>
  </si>
  <si>
    <t>вул. Янтарна, 81Б</t>
  </si>
  <si>
    <t>(056)724-27-20</t>
  </si>
  <si>
    <t>http://vsh038.dnepredu.com/</t>
  </si>
  <si>
    <t>Комунальний заклад освіти "Гімназія № 3" Дніпровської міської ради</t>
  </si>
  <si>
    <t>49051</t>
  </si>
  <si>
    <t>вул. Гулі Корольової, 14Б</t>
  </si>
  <si>
    <t>0562270641, 0935384026, 0562272074</t>
  </si>
  <si>
    <t>http://gimnazia-3-dp.klasna.com/</t>
  </si>
  <si>
    <t>25540140</t>
  </si>
  <si>
    <t>Комунальний заклад освіти "Навчально-реабілітаційний центр "Шанс" Дніпропетровської обласної ради"</t>
  </si>
  <si>
    <t>вул. Батумська, 2А</t>
  </si>
  <si>
    <t>276032</t>
  </si>
  <si>
    <t>http://www.shans.dp.ua</t>
  </si>
  <si>
    <t>20220229</t>
  </si>
  <si>
    <t>Комунальний заклад освіти "Навчально-виховне об’єднання № 113 "загальноосвітній навчальний заклад - дошкільний навчальний заклад - позашкільний навчальний заклад" Дніпропетровської міської ради</t>
  </si>
  <si>
    <t>49045</t>
  </si>
  <si>
    <t>вул. Лобачевського, 17А</t>
  </si>
  <si>
    <t>(0562)273003</t>
  </si>
  <si>
    <t>http://nvo113.dnepredu.com/</t>
  </si>
  <si>
    <t>Комунальний заклад освіти "Навчально-виховний комплекс № 138 "загальноосвітній навчальний заклад І ступеня - гімназія" Дніпровської міської ради</t>
  </si>
  <si>
    <t>вул. Березинська, 29</t>
  </si>
  <si>
    <t>((056))7240230</t>
  </si>
  <si>
    <t>http://nvk138.dnepredu.com</t>
  </si>
  <si>
    <t>Комунальний заклад освіти "Навчально-виховний комплекс № 41 "середня загальноосвітня школа вільного розвитку - дошкільний навчальний заклад" Дніпровської міської ради</t>
  </si>
  <si>
    <t>вул. Софії Ковалевської, 71А</t>
  </si>
  <si>
    <t>(056)7262040</t>
  </si>
  <si>
    <t>http://www.nvk41.org.ua</t>
  </si>
  <si>
    <t>25023500</t>
  </si>
  <si>
    <t>Комунальний заклад освіти "Навчально-виховний комплекс № 139 "загальноосвітній навчальний заклад - центр творчості "Дума" Дніпровської міської ради</t>
  </si>
  <si>
    <t>вул. Березинська, 4</t>
  </si>
  <si>
    <t>(056)724-54-55</t>
  </si>
  <si>
    <t>http://nvk139.dnepredu.com</t>
  </si>
  <si>
    <t>24445669</t>
  </si>
  <si>
    <t>Комунальний заклад освіти "Середня загальноосвітня школа № 14" Дніпровської міської ради</t>
  </si>
  <si>
    <t>вул. Батумська, 20А</t>
  </si>
  <si>
    <t>(0562)271539</t>
  </si>
  <si>
    <t>http://school14.edukit.dp.ua</t>
  </si>
  <si>
    <t>Комунальний заклад освіти "Середня загальноосвітня школа № 29" Дніпровської міської ради</t>
  </si>
  <si>
    <t>вул. Батумська, 64</t>
  </si>
  <si>
    <t>(056)27-06-73</t>
  </si>
  <si>
    <t>http://school29.dnepredu.com/</t>
  </si>
  <si>
    <t>Комунальний заклад освіти "Середня загальноосвітня школа № 118 з поглибленим вивченням англійської та німецької мов і предметів природничо-математичного напрямку" Дніпропетровської міської ради</t>
  </si>
  <si>
    <t>вул. Богдана Хмельницького, 15</t>
  </si>
  <si>
    <t>0562276932</t>
  </si>
  <si>
    <t>http://school118.dnepredu.com</t>
  </si>
  <si>
    <t>Комунальний заклад освіти "Середня загальноосвітня школа № 121" Дніпропетровської міської ради</t>
  </si>
  <si>
    <t>вул. Гулі Корольової, 14Г</t>
  </si>
  <si>
    <t>(056)273992, (056)273971</t>
  </si>
  <si>
    <t>http://www.kzo121.ucoz.ru</t>
  </si>
  <si>
    <t>Комунальний заклад освіти "Середня загальноосвітня школа № 135" Дніпровської міської ради</t>
  </si>
  <si>
    <t>вул. Березинська, 31</t>
  </si>
  <si>
    <t>(056)7240437</t>
  </si>
  <si>
    <t>http://szsh135.dnepredu.com/</t>
  </si>
  <si>
    <t>25542920</t>
  </si>
  <si>
    <t>Комунальний заклад освіти "Середня загальноосвітня школа № 47 з поглибленим вивченням іноземних мов та фізико-математичного профілю" Дніпропетровської міської ради</t>
  </si>
  <si>
    <t>дорога Воронезська, 67</t>
  </si>
  <si>
    <t>(056)7240555, (056)7246862</t>
  </si>
  <si>
    <t>http://sh47.dnepredu.com</t>
  </si>
  <si>
    <t>Комунальний заклад освіти "Середня загальноосвітня школа № 69" Дніпровської міської ради</t>
  </si>
  <si>
    <t>вул. Софії Ковалевської, 86А</t>
  </si>
  <si>
    <t>http://school69dnepr.dnepredu.com.</t>
  </si>
  <si>
    <t>Комунальний заклад освіти "Спеціалізована школа № 7 з поглибленим вивченням іноземних мов" Дніпровської міської ради</t>
  </si>
  <si>
    <t>вул. Тверська, 18</t>
  </si>
  <si>
    <t>(0562)27-69-81</t>
  </si>
  <si>
    <t>http://school7.dnepredu.com/</t>
  </si>
  <si>
    <t>"Середня загальноосвітня школа № 75" Дніпровської міськоЇ ради</t>
  </si>
  <si>
    <t>1210137500</t>
  </si>
  <si>
    <t>Дніпро, Центральний район</t>
  </si>
  <si>
    <t>вул. Гавриленка, 8А</t>
  </si>
  <si>
    <t>7496320</t>
  </si>
  <si>
    <t>http://czsh75.klasna.com</t>
  </si>
  <si>
    <t>КЗО «Навчально-виховний комплекс «Вальдорфська середня загальноосвітня школа І-ІІІ ступенів-дитячий садок» Дніпровської міської ради</t>
  </si>
  <si>
    <t>просп. О.Поля, 133</t>
  </si>
  <si>
    <t>38-68-09, 749-62-35</t>
  </si>
  <si>
    <t>http://waldorf-nvk.dp.sch.in.ua</t>
  </si>
  <si>
    <t>23928928</t>
  </si>
  <si>
    <t>Комунальний заклад освіти "Спеціалізована школа І-ІІІ ступенів № 16" Дніпровської міської ради</t>
  </si>
  <si>
    <t>просп. Богдана Хмельницького, 14Б</t>
  </si>
  <si>
    <t>7496092, 7496012</t>
  </si>
  <si>
    <t>http://school_16.klasna.com</t>
  </si>
  <si>
    <t>Комунальний заклад освіти "Середня загальноосвітня школа № 2" Дніпровської міської ради</t>
  </si>
  <si>
    <t>вул. Савченко, 1</t>
  </si>
  <si>
    <t>425894</t>
  </si>
  <si>
    <t>http://school_2.dnepredu.com</t>
  </si>
  <si>
    <t>Комунальний заклад освіти "Середня загальноосвітня школа № 37" Дніпровської міської ради</t>
  </si>
  <si>
    <t>просп. Богдана Хмельницького, 8Г</t>
  </si>
  <si>
    <t>749-67-29</t>
  </si>
  <si>
    <t>http://school37.klasna.com</t>
  </si>
  <si>
    <t>Комунальний заклад освіти "Середня загальноосвітня школа № 58" Дніпровської міської ради</t>
  </si>
  <si>
    <t>49038</t>
  </si>
  <si>
    <t>вул. Василя Чапленка, 1</t>
  </si>
  <si>
    <t>(0562)426074</t>
  </si>
  <si>
    <t>http://school_58.klasna.com</t>
  </si>
  <si>
    <t>Комунальний заклад освіти "Середня загальноосвітня школа № 1" Дніпропетровської міської ради</t>
  </si>
  <si>
    <t>вул. Привокзальна, 15</t>
  </si>
  <si>
    <t>7708518</t>
  </si>
  <si>
    <t>http://sh1.dnepredu.com/</t>
  </si>
  <si>
    <t>Комунальний заклад освіти "Спеціалізована середня загальноосвітня школа № 9 з поглибленим вивченням англійської мови" Дніпровської міської ради</t>
  </si>
  <si>
    <t>вул. Мостова, 3</t>
  </si>
  <si>
    <t>794-62-10</t>
  </si>
  <si>
    <t>http://anschool9.klasna.com/</t>
  </si>
  <si>
    <t>Комунальний заклад освіти "Спеціалізована середня загальноосвітня школа № 22 з поглибленим вивченням іноземної мови" Дніпровської міської ради</t>
  </si>
  <si>
    <t>вул. Нахімова, 57</t>
  </si>
  <si>
    <t>7496335</t>
  </si>
  <si>
    <t>http://specschool22.klasna.com</t>
  </si>
  <si>
    <t>Комунальний заклад освіти "Спеціалізована школа № 13" Дніпровської міської ради</t>
  </si>
  <si>
    <t>вул. Драгоманова, 50</t>
  </si>
  <si>
    <t>7496554</t>
  </si>
  <si>
    <t>http://sch13.dnepredu.com/</t>
  </si>
  <si>
    <t>КОМУНАЛЬНИЙ ЗАКЛАД ОСВІТИ "НАВЧАЛЬНО-ВИХОВНИЙ КОМПЛЕКС № 102 "СЕРЕДНЯ ЗАГАЛЬНООСВІТНЯ ШКОЛА І-ІІІ СТУПЕНІВ - ДОШКІЛЬНИЙ НАВЧАЛЬНИЙ ЗАКЛАД (ЯСЛА-САДОК) КОМБІНОВАНОГО ТИПУ " ДНІПРОВСЬКОЇ МІСЬКОЇ РАДИ</t>
  </si>
  <si>
    <t>1210137800</t>
  </si>
  <si>
    <t>Дніпро, Чечелівський район</t>
  </si>
  <si>
    <t>вул. Дзеркальна, 42А</t>
  </si>
  <si>
    <t>056 753-23-25</t>
  </si>
  <si>
    <t>http://nvk102.klasna.com</t>
  </si>
  <si>
    <t>24992615</t>
  </si>
  <si>
    <t>Комунальний заклад освіти "Середня загальноосвітня школа № 51" Дніпровської міської ради</t>
  </si>
  <si>
    <t>49052</t>
  </si>
  <si>
    <t>вул. Алтайська, 4А</t>
  </si>
  <si>
    <t>760-61-55</t>
  </si>
  <si>
    <t>http://altayskaya_school_51.dnepredu.com</t>
  </si>
  <si>
    <t>Комунальний заклад освіти "Середня загальноосвітня школа № 120" Дніпропетровської міської ради</t>
  </si>
  <si>
    <t>вул. А.Янгеля, 2</t>
  </si>
  <si>
    <t>7923027</t>
  </si>
  <si>
    <t>http://zosschool120.klasna.com</t>
  </si>
  <si>
    <t>Комунальний заклад освіти "Середня загальноосвітня школа № 34" Дніпропетровської міської ради</t>
  </si>
  <si>
    <t>вул. Кедріна, 57</t>
  </si>
  <si>
    <t>396995</t>
  </si>
  <si>
    <t>http://school34.dnepredu.com</t>
  </si>
  <si>
    <t>Комунальний заклад освіти "Навчально-виховний комплекс № 65 "школа І-ІІІ ступенів - дошкільний навчальний заклад (ясла-садок)" Дніпровської міської ради</t>
  </si>
  <si>
    <t>49015</t>
  </si>
  <si>
    <t>вул. Амбулаторна, 2</t>
  </si>
  <si>
    <t>760-61-47, 52-86-77, 52-85-77</t>
  </si>
  <si>
    <t>http://school65.dnepredu.com</t>
  </si>
  <si>
    <t>Комунальний заклад освіти "Середня загальноосвітня школа № 31" Дніпровської міської ради</t>
  </si>
  <si>
    <t>вул. Фабрично-заводська, 22</t>
  </si>
  <si>
    <t>(056)7920820, (056)7927739</t>
  </si>
  <si>
    <t>http://sch31.dnepredu.com/uk/site/index.html</t>
  </si>
  <si>
    <t>Комунальний заклад освіти "Середня загальноосвітня школа № 32" Дніпровської міської ради</t>
  </si>
  <si>
    <t>вул. Володимира Антоновича, 72</t>
  </si>
  <si>
    <t>(0562)423147, (0562)423724</t>
  </si>
  <si>
    <t>http://school32.dnepredu.com</t>
  </si>
  <si>
    <t>Комунальний заклад освіти "Середня загальноосвітня школа № 46" Дніпровської міської ради</t>
  </si>
  <si>
    <t>75А</t>
  </si>
  <si>
    <t>(0562)386367</t>
  </si>
  <si>
    <t>http://school46.klasna.com</t>
  </si>
  <si>
    <t>Комунальний заклад освіти "Середня загальноосвітня школа № 6" Дніпровської міської ради</t>
  </si>
  <si>
    <t>вул. Робоча, 64</t>
  </si>
  <si>
    <t>42-36-28</t>
  </si>
  <si>
    <t>http://www.shkola6.dp.ua</t>
  </si>
  <si>
    <t>Комунальний заклад освіти "Середня загальноосвітня школа № 62" Дніпропетровської міської ради</t>
  </si>
  <si>
    <t>вул. Будівельників, 26</t>
  </si>
  <si>
    <t>(056)7922515</t>
  </si>
  <si>
    <t>Комунальний заклад освіти "Середня загальноосвітня школа № 82" Дніпровської міської ради</t>
  </si>
  <si>
    <t>вул. Філософська, 56</t>
  </si>
  <si>
    <t>0567705782</t>
  </si>
  <si>
    <t>http://school_82-dnepr.klasna.com/</t>
  </si>
  <si>
    <t>Комунальний заклад освіти "Середня загальноосвітня школа № 89" Дніпровської міської ради</t>
  </si>
  <si>
    <t>вул. Титова, 4</t>
  </si>
  <si>
    <t>(056)792-07-17, (056)792-07-19</t>
  </si>
  <si>
    <t>http://school89.dp.ua/</t>
  </si>
  <si>
    <t>Комунальний навчальний заклад "Навчально-виховний комплекс № 30 "загальноосвітній навчальний закладІ-ІІІ ступенів - дошкільний навчальний заклад(ясла-садок)" Дніпровської міської ради</t>
  </si>
  <si>
    <t>49047</t>
  </si>
  <si>
    <t>вул. Крамського, 12А</t>
  </si>
  <si>
    <t>(0562)39-40-41, (056)792-79-79</t>
  </si>
  <si>
    <t>http://school030.dnepredu.com/uk/</t>
  </si>
  <si>
    <t>Комунальний заклад освіти " Середня загальноосвітня школа № 74" Дніпровської міської ради</t>
  </si>
  <si>
    <t>49017</t>
  </si>
  <si>
    <t>1210138100</t>
  </si>
  <si>
    <t>Дніпро, Новокодацький район</t>
  </si>
  <si>
    <t>вул. Караваєва, 60</t>
  </si>
  <si>
    <t>760-58-93</t>
  </si>
  <si>
    <t>http://shkoladnepr74.dnepredu.com</t>
  </si>
  <si>
    <t>Комунальний заклад освіти " Середня загальноосвітня школа № 85" Дніпровської міської ради</t>
  </si>
  <si>
    <t>49035</t>
  </si>
  <si>
    <t>вул. Західна, 1</t>
  </si>
  <si>
    <t>(056)7605320</t>
  </si>
  <si>
    <t>http://school85dn.dnepredu.com</t>
  </si>
  <si>
    <t>КОМУНАЛЬНИЙ ЗАКЛАД ОСВІТИ ""НАВЧАЛЬНО - ВИХОВНИЙ КОМПЛЕКС № 92" ШКОЛА І- ІІІ СТУПЕНІВ - ДОШКІЛЬНИЙ НАВЧАЛЬНИЙ ЗАКЛАД ( ДИТЯЧИЙ САДОК )" ДНІПРОВСЬКОЇ МІСЬКОЇ РАДИ</t>
  </si>
  <si>
    <t>49086</t>
  </si>
  <si>
    <t>вул. Проїжджа, 2Б</t>
  </si>
  <si>
    <t>7734193</t>
  </si>
  <si>
    <t>http://shkola92dp.dnepredu.com</t>
  </si>
  <si>
    <t>Комунальний заклад освіти "Гімназія № 1" Дніпровської міської ради</t>
  </si>
  <si>
    <t>вул. Солідарності, 4</t>
  </si>
  <si>
    <t>(056)7605882</t>
  </si>
  <si>
    <t>http://gymnaziy.dnepredu.com</t>
  </si>
  <si>
    <t>Комунальний заклад освіти "Міський юридичний ліцей" Дніпровської міської ради</t>
  </si>
  <si>
    <t>вул. Набережна Заводська, 119Д</t>
  </si>
  <si>
    <t>7675368</t>
  </si>
  <si>
    <t>http://urlicey.dp.ua</t>
  </si>
  <si>
    <t>Комунальний заклад освіти "Навчально - виховний комплекс № 106" середня загальноосвітня школа - дошкільний навчальний заклад (дитячий садок)" Дніпровської міської ради</t>
  </si>
  <si>
    <t>вул. Метробудівська, 7</t>
  </si>
  <si>
    <t>(056)7787407, (056)7787408</t>
  </si>
  <si>
    <t>http://school106.dnepredu.com/</t>
  </si>
  <si>
    <t>Комунальний заклад освіти "Навчально-виховний комплекс № 36 "Спеціалізована середня загальноосвітня школа техніко-економічного профілю - дошкільний навчальний заклад" Дніпровської міської ради"</t>
  </si>
  <si>
    <t>49064</t>
  </si>
  <si>
    <t>просп. Сергія Нігояна, 57</t>
  </si>
  <si>
    <t>(056)374-47-53, (056)374-43-60</t>
  </si>
  <si>
    <t>http://nvk36.dnepredu.com</t>
  </si>
  <si>
    <t>Комунальний заклад освіти "Навчально-виховний комплекс № 4 "середня загальноосвітня школа - дошкільний навчальний заклад (дитячий садок)" Дніпровської міської ради</t>
  </si>
  <si>
    <t>вул. Олександра Красносельського, 30 а</t>
  </si>
  <si>
    <t>760-58-87</t>
  </si>
  <si>
    <t>http://Shkoladnepr4.dnepredu.com</t>
  </si>
  <si>
    <t>Комунальний заклад освіти "Навчально-виховний комплекс № 59 "Загальноосвітній навчальний заклад - дошкільний навчальний заклад" Дніпровської міської ради</t>
  </si>
  <si>
    <t>вул. Новоорловська, 1А</t>
  </si>
  <si>
    <t>760-58-89</t>
  </si>
  <si>
    <t>Комунальний заклад освіти "Середня загальноосвітня школа I-III ступеня № 5" Дніпровської міської ради</t>
  </si>
  <si>
    <t>вул. Караваєва, 17А</t>
  </si>
  <si>
    <t>http://shkola5.dnepredu.com</t>
  </si>
  <si>
    <t>Комунальний заклад освіти "Середня загальноосвітня школа № 105" Дніпровської міської ради</t>
  </si>
  <si>
    <t>49028</t>
  </si>
  <si>
    <t>вул. Золотоосіння, 26</t>
  </si>
  <si>
    <t>(097)4148511</t>
  </si>
  <si>
    <t>http://school105.dnepredu.com</t>
  </si>
  <si>
    <t>Комунальний заклад освіти "Середня загальноосвітня школа № 91" Дніпровської міської ради</t>
  </si>
  <si>
    <t>49102</t>
  </si>
  <si>
    <t>вул. Данила Галицького, 52</t>
  </si>
  <si>
    <t>741-72-68</t>
  </si>
  <si>
    <t>http://shkola91.dnepredu.com</t>
  </si>
  <si>
    <t>КОМУНАЛЬНИЙ ЗАКЛАД ОСВІТИ "СЕРЕДНЯ ЗАГАЛЬНООСВІТНЯ ШКОЛА № 93" ДНІПРОВСЬКОЇ МІСЬКОЇ РАДИ</t>
  </si>
  <si>
    <t>вул. ДАНИЛА ГАЛИЦЬКОГО, 54</t>
  </si>
  <si>
    <t>7417207, 7417207</t>
  </si>
  <si>
    <t>комунальний заклад освіти "Середня загальноосвітня школа № 94" Дніпровської міської ради</t>
  </si>
  <si>
    <t>49016</t>
  </si>
  <si>
    <t>вул. Велика Діївська, 463</t>
  </si>
  <si>
    <t>http://shkola94.dnepredu.com/</t>
  </si>
  <si>
    <t>Комунальний заклад освіти "Середня загальноосвітня школа № 97 імені П.І. Шкідченка" Дніпровської міської ради</t>
  </si>
  <si>
    <t>вул. Велика Діївська, 42</t>
  </si>
  <si>
    <t>(056)778-80-42, (056)778-88-83</t>
  </si>
  <si>
    <t>http://school97dp.dnepredu.com</t>
  </si>
  <si>
    <t>Комунальний заклад освіти "Середня загальноосвітня школа № 143" Дніпровської міської ради</t>
  </si>
  <si>
    <t>вул. Коробова, 3Д</t>
  </si>
  <si>
    <t>778-91-95, 778-91-96</t>
  </si>
  <si>
    <t>http://school143.dnepredu.com</t>
  </si>
  <si>
    <t>Комунальний заклад освіти "Середня загальноосвітня школа № 50" Дніпровської міської ради.</t>
  </si>
  <si>
    <t>просп. Металургів, 43</t>
  </si>
  <si>
    <t>760-58-48, 760-58-98</t>
  </si>
  <si>
    <t>http://school50.dnepredu.com/</t>
  </si>
  <si>
    <t>КОМУНАЛЬНИЙ ЗАКЛАД ОСВІТИ "СЕРЕДНЯ ЗАГАЛЬНООСВІТНЯ ШКОЛА № 54" ДНІПРОВСЬКОЇ МІСЬКОЇ РАДИ</t>
  </si>
  <si>
    <t>49018</t>
  </si>
  <si>
    <t>пров. Парусний, 3</t>
  </si>
  <si>
    <t>(056)7734106</t>
  </si>
  <si>
    <t>http://scool54.dnepredu.com/</t>
  </si>
  <si>
    <t>Комунальний заклад освіти "Середня загальноосвітня школа № 77" Дніпровської міської ради</t>
  </si>
  <si>
    <t>вул. Нестерова, 29</t>
  </si>
  <si>
    <t>760-58-88</t>
  </si>
  <si>
    <t>http://shcolayspeha.dnepredu.com/</t>
  </si>
  <si>
    <t>Комунальний заклад освіти " Середня загальноосвітня школа № 84" Дніпровської міської ради</t>
  </si>
  <si>
    <t>49072</t>
  </si>
  <si>
    <t>вул. Юрія Кондратюка, 264</t>
  </si>
  <si>
    <t>767-43-59</t>
  </si>
  <si>
    <t>http://Realshkola84.dnepredu.com</t>
  </si>
  <si>
    <t>Комунальний заклад освіти "Середня загальноосвітня школа № 88" Дніпровської міської ради</t>
  </si>
  <si>
    <t>218</t>
  </si>
  <si>
    <t>(056)7917166</t>
  </si>
  <si>
    <t>http://shkola88.dnepredu.com</t>
  </si>
  <si>
    <t>Комунальний заклад освіти "Спеціалізована середня загальноосвітня школа № 141" Дніпровської міської ради</t>
  </si>
  <si>
    <t>вул. Моніторна, 3</t>
  </si>
  <si>
    <t>7734185</t>
  </si>
  <si>
    <t>http://szsh141.dnepredu.com/uk/site/index.html</t>
  </si>
  <si>
    <t>Комунальний заклад освіти «Середня загальноосвітня школа № 132» Дніпровської міської ради</t>
  </si>
  <si>
    <t>пров. Парусний, 14</t>
  </si>
  <si>
    <t>http://shkola132.klasna.com/</t>
  </si>
  <si>
    <t>Комунальний заклад освіти "Вечірня(змінна) середня загальноосвітня школа № 4" Дніпропетровської міської ради</t>
  </si>
  <si>
    <t>49112</t>
  </si>
  <si>
    <t>1210138400</t>
  </si>
  <si>
    <t>Дніпро, Самарський район</t>
  </si>
  <si>
    <t>вул. Космонавта  Волкова, 6</t>
  </si>
  <si>
    <t>(056)728-16-62</t>
  </si>
  <si>
    <t>Заклад освіти "Навчально-виховне об'єднання № 136 "класична гімназія ім. Кирила і Мефодія - початкова школа - дошкільний навчальний заклад - валеологічний центр" Дніпропетровської міської ради</t>
  </si>
  <si>
    <t>49127</t>
  </si>
  <si>
    <t>вул. Космонавтів, 10</t>
  </si>
  <si>
    <t>7282104</t>
  </si>
  <si>
    <t>http://nvo136.dnepredu.com</t>
  </si>
  <si>
    <t>24436860</t>
  </si>
  <si>
    <t>Комунальний заклад освіти "Навчально - виховний комплекс № 110 "школа І-ІІІ ступенів - дошкільний навчальний заклад (дитячий садок) " Дніпровської міської ради</t>
  </si>
  <si>
    <t>49116</t>
  </si>
  <si>
    <t>вул. Спогадів, 177</t>
  </si>
  <si>
    <t>http://schkola110.dnepredu.com</t>
  </si>
  <si>
    <t>Комунальний заклад освіти "навчально-виховне об'єднання № 109 "загальноосвітній навчальний заклад-дошкільний навчальний заклад-позашкільний навчальний заклад" Дніпровської міської ради</t>
  </si>
  <si>
    <t>49117</t>
  </si>
  <si>
    <t>вул. Здоров'я, 45А</t>
  </si>
  <si>
    <t>(056)7268485</t>
  </si>
  <si>
    <t>http://nvo109.dnepredu.com/ru/site/page/view</t>
  </si>
  <si>
    <t>Комунальний заклад освіти "Навчально-виховний комплекс № 125 "загальноосвітній навчальний заклад - дошкільний навчальний заклад" Дніпровської міської ради</t>
  </si>
  <si>
    <t>вул. Аграрна, 1</t>
  </si>
  <si>
    <t>(056)731-26-39, (056)731-29-97</t>
  </si>
  <si>
    <t>http://nvk125h.klasna.com</t>
  </si>
  <si>
    <t>Комунальний заклад освіти "Навчально-виховний комплекс № 70 "середня загальноосвітня школа - дошкільний навчальний заклад (ясла-садок)" Дніпровської міської ради</t>
  </si>
  <si>
    <t>49124</t>
  </si>
  <si>
    <t>вул. Генерала Радієвського, 1</t>
  </si>
  <si>
    <t>(056)731-22-62</t>
  </si>
  <si>
    <t>http://school70.dnepredu.com</t>
  </si>
  <si>
    <t>Комунальний заклад освіти "Навчально-виховний комплекс № 122 "Загальноосвітній навчальний заклад - дошкільний навчальний заклад" Дніпровської міської ради</t>
  </si>
  <si>
    <t>49115</t>
  </si>
  <si>
    <t>вул. Кожедуба, 49</t>
  </si>
  <si>
    <t>(056)753-41-84, (056)753-44-52</t>
  </si>
  <si>
    <t>http://nvk122.dnepredu.com/</t>
  </si>
  <si>
    <t>Комунальний заклад освіти "Навчально-реабілітаційний центр № 6" Дніпропетровської обласної ради"</t>
  </si>
  <si>
    <t>вул. 20-річчя Перемоги, 30</t>
  </si>
  <si>
    <t>(056)732-42-97, (056)732-42-95</t>
  </si>
  <si>
    <t>http://nrc6.dnepredu.com</t>
  </si>
  <si>
    <t>24238634</t>
  </si>
  <si>
    <t>Комунальний заклад освіти "Неповна середня загальноосвітня школа № 127" Дніпровської міської ради</t>
  </si>
  <si>
    <t>49114</t>
  </si>
  <si>
    <t>вул. Календарна, 20А</t>
  </si>
  <si>
    <t>(056)7534560</t>
  </si>
  <si>
    <t>http://nsw127.dnepredu.com</t>
  </si>
  <si>
    <t>Комунальний заклад освіти "Середня загальноосвітня школа № 108" Дніпровської міської ради</t>
  </si>
  <si>
    <t>49118</t>
  </si>
  <si>
    <t>вул. Чаплинська, 203</t>
  </si>
  <si>
    <t>(097)3661435</t>
  </si>
  <si>
    <t>http://school108.klasna.com</t>
  </si>
  <si>
    <t>Комунальний заклад освіти "Середня загальноосвітня школа № 11" Дніпровської міської ради</t>
  </si>
  <si>
    <t>вул. Станіславського, 12</t>
  </si>
  <si>
    <t>0567282082, 0567282068</t>
  </si>
  <si>
    <t>http://school_11_dnepr.klasna.com</t>
  </si>
  <si>
    <t>Комунальний заклад освіти "Середня загальноосвітня школа № 24" Дніпровської міської ради</t>
  </si>
  <si>
    <t>49022</t>
  </si>
  <si>
    <t>вул. Молодогвардійська, 18</t>
  </si>
  <si>
    <t>(0562)230378</t>
  </si>
  <si>
    <t>http://school24.dnepredu.com</t>
  </si>
  <si>
    <t>Комунальний заклад освіти "Середня загальноосвітня школа № 27" Дніпровської міської ради</t>
  </si>
  <si>
    <t>вул. Cвітанкова, 1</t>
  </si>
  <si>
    <t>0567283033</t>
  </si>
  <si>
    <t>http://school-27.klasna.com</t>
  </si>
  <si>
    <t>Комунальний заклад освіти "Середня загальноосвітня школа № 87" Дніпровської міської ради</t>
  </si>
  <si>
    <t>вул. Мальовнича, 55</t>
  </si>
  <si>
    <t>(056)753-44-35</t>
  </si>
  <si>
    <t>http://school87.dnepredu.com</t>
  </si>
  <si>
    <t>Комунальний заклад освіти "Середня загальноосвітня школа № 39" Дніпровської міської ради</t>
  </si>
  <si>
    <t>вул. Синельниківська, 5</t>
  </si>
  <si>
    <t>731-21-86</t>
  </si>
  <si>
    <t>http://school39.klasna.com</t>
  </si>
  <si>
    <t>Комунальний заклад освіти "Середня загальноосвітня школа № 98" Дніпропетровської міської ради</t>
  </si>
  <si>
    <t>вул. Космонавтів, 7А</t>
  </si>
  <si>
    <t>728-30-22, 728-30-23</t>
  </si>
  <si>
    <t>http://school98.dnepredu.com/</t>
  </si>
  <si>
    <t>Комунальний заклад освіти "Спеціалізована школа № 129 фізико-математичного профілю" Дніпровської міської ради</t>
  </si>
  <si>
    <t>вул. Космонавтів, 12</t>
  </si>
  <si>
    <t>728-33-69, 728-49-55</t>
  </si>
  <si>
    <t>http://school129fmp.klasna.com</t>
  </si>
  <si>
    <t>Вільногірська загальноосвітня школа І - ІІІ ступенів № 2 Вільногірської міської ради Дніпропетровської області</t>
  </si>
  <si>
    <t>51700</t>
  </si>
  <si>
    <t>1210200000</t>
  </si>
  <si>
    <t>Вільногірськ</t>
  </si>
  <si>
    <t>вул. Садова, 34</t>
  </si>
  <si>
    <t>(05653) 52617</t>
  </si>
  <si>
    <t>http://vilnschool_2.dnepredu.com/</t>
  </si>
  <si>
    <t>33340061</t>
  </si>
  <si>
    <t>Вільногірська загальноосвітня школа І-ІІІ ступенів № 3 Вільногірської міської ради Дніпропетровської області</t>
  </si>
  <si>
    <t>вул. Центральна, 45А</t>
  </si>
  <si>
    <t>0565352624</t>
  </si>
  <si>
    <t>http://vgschool3.e-schools.info</t>
  </si>
  <si>
    <t>33340124</t>
  </si>
  <si>
    <t>Вільногірська загальноосвітня школа І-ІІІ ступенів № 5 Вільногірської міської ради Дніпропетровської області</t>
  </si>
  <si>
    <t>вул. Молодіжна, 46</t>
  </si>
  <si>
    <t>0565352983, 0565350736</t>
  </si>
  <si>
    <t>http://vg-school5.at.ua</t>
  </si>
  <si>
    <t>33340098</t>
  </si>
  <si>
    <t>Вільногрська загальноосвітня школа І - ІІІ ступенів № 4 Вільногірської міської ради Дніпропетровської області</t>
  </si>
  <si>
    <t>вул. Центральна, 51</t>
  </si>
  <si>
    <t>(05653)52512</t>
  </si>
  <si>
    <t>http://vgschool4.dnepredu.com</t>
  </si>
  <si>
    <t>33340119</t>
  </si>
  <si>
    <t>Комунальний заклад "Навчально-виховний комплекс "Дошкільний навчальний заклад (ясла-садок) - загальноосвітня школа 1 ступеня № 25 "Волошка" Кам'янської міської ради</t>
  </si>
  <si>
    <t>51900</t>
  </si>
  <si>
    <t>1210400000</t>
  </si>
  <si>
    <t>Кам'янське</t>
  </si>
  <si>
    <t>вул. С. Слісаренка, 26</t>
  </si>
  <si>
    <t>(05692)21133</t>
  </si>
  <si>
    <t>http://nvkvoloshka25.klasna.com/</t>
  </si>
  <si>
    <t>23372939</t>
  </si>
  <si>
    <t>комунальний заклад "Навчально-виховний комплекс "Загальноосвітній навчальний заклад - дошкільний навчальний заклад" № 13 Кам'янської міської ради</t>
  </si>
  <si>
    <t>вул. Звенигородська, 42</t>
  </si>
  <si>
    <t>(05692)-2-15-63</t>
  </si>
  <si>
    <t>http://HBK13.org.ua</t>
  </si>
  <si>
    <t>23370314</t>
  </si>
  <si>
    <t>Комунальний заклад "Навчально-виховний комплекс"Загальноосвітній навчальний заклад І-ІІ ступенів - академічний ліцей № 15 "" Кам'янської міської ради</t>
  </si>
  <si>
    <t>51937</t>
  </si>
  <si>
    <t>вул. 40 років Перемоги, 10</t>
  </si>
  <si>
    <t>(05692)6-13-76, (05692)6-33-33</t>
  </si>
  <si>
    <t>http://dal15.klasna.com</t>
  </si>
  <si>
    <t>23370366</t>
  </si>
  <si>
    <t>Комунальний заклад "Середня загальноосвітня школа № 19" Кам'янської міської ради</t>
  </si>
  <si>
    <t>51906</t>
  </si>
  <si>
    <t>вул. Волзька, 1</t>
  </si>
  <si>
    <t>0569273351, 0569272224</t>
  </si>
  <si>
    <t>http://rostoksh19.dnepredu.com</t>
  </si>
  <si>
    <t>23372313</t>
  </si>
  <si>
    <t>Комунальний заклад "Середня загальноосвітня школа № 21" Кам'янської міської ради</t>
  </si>
  <si>
    <t>51940</t>
  </si>
  <si>
    <t>вул. бул. Героїв, 22</t>
  </si>
  <si>
    <t>(05692)62650, (05692)62655</t>
  </si>
  <si>
    <t>http://zos21.klasna.com</t>
  </si>
  <si>
    <t>20295380</t>
  </si>
  <si>
    <t>Комунальний заклад "Середня загальноосвітня школа № 28" Кам'янської міської ради</t>
  </si>
  <si>
    <t>51914</t>
  </si>
  <si>
    <t>вул. Криворізька, 41</t>
  </si>
  <si>
    <t>(05692)3-30-24</t>
  </si>
  <si>
    <t>http://school28.krimedu.com/</t>
  </si>
  <si>
    <t>23642592</t>
  </si>
  <si>
    <t>Комунальний заклад "Середня загальноосвітня школа № 31 з класами вечірньої форми навчання" Кам'янської міської ради</t>
  </si>
  <si>
    <t>вул. Спортивна, 39</t>
  </si>
  <si>
    <t>(05692) 31355</t>
  </si>
  <si>
    <t>http://school31dz.klasna.com/</t>
  </si>
  <si>
    <t>23642161</t>
  </si>
  <si>
    <t>Комунальний заклад "Середня загальноосвітня школа № 40 Камянської міської ради"</t>
  </si>
  <si>
    <t>просп. Наддніпрянський, 3</t>
  </si>
  <si>
    <t>(0569)52-02-56</t>
  </si>
  <si>
    <t>http://s40dndz.klasna.com/</t>
  </si>
  <si>
    <t>23642451</t>
  </si>
  <si>
    <t>Комунальний заклад "Середня загальноосвітня школа № 22" Кам'янської міської ради Дніпропетровської області</t>
  </si>
  <si>
    <t>51935</t>
  </si>
  <si>
    <t>вул. Глаголєва, 21</t>
  </si>
  <si>
    <t>0569226194, 0569225286</t>
  </si>
  <si>
    <t>http://kompleks22.dnepredu.com/</t>
  </si>
  <si>
    <t>23370337</t>
  </si>
  <si>
    <t>Комунальний заклад "Середня загальноосвітня школа № 42 " Кам'яської міської ради</t>
  </si>
  <si>
    <t>вул. Дунайська, 51</t>
  </si>
  <si>
    <t>(05692)71292</t>
  </si>
  <si>
    <t>http://school42dndz.at.ua</t>
  </si>
  <si>
    <t>23362071</t>
  </si>
  <si>
    <t>Комунальний заклад "Технічний ліцей " Кам'янської міської ради</t>
  </si>
  <si>
    <t>51925</t>
  </si>
  <si>
    <t>пл. Гагаріна, 1</t>
  </si>
  <si>
    <t>(05692)3-00-15</t>
  </si>
  <si>
    <t>http://licey-1.ho.ua</t>
  </si>
  <si>
    <t>23370679</t>
  </si>
  <si>
    <t>Комунальний заклад «Спеціалізована школа з поглибленим вивченням іноземних мов І ступеня - колегіум № 16 » Кам'янської міської ради</t>
  </si>
  <si>
    <t>51931</t>
  </si>
  <si>
    <t>просп. Тараса Шевченка, 8</t>
  </si>
  <si>
    <t>(05692)38273, (05692)31356</t>
  </si>
  <si>
    <t>http://kolegiym-16.klasna.com</t>
  </si>
  <si>
    <t>23371437</t>
  </si>
  <si>
    <t>Комунальний заклад освіти "Навчально-реабілітаційний центр "Мрія" Дніпропетровської обласної ради"</t>
  </si>
  <si>
    <t>51912</t>
  </si>
  <si>
    <t>вул. Покровська, 18</t>
  </si>
  <si>
    <t>(05692)24929</t>
  </si>
  <si>
    <t>http://nrc-dndz.dnepredu.com</t>
  </si>
  <si>
    <t>20294966</t>
  </si>
  <si>
    <t>Комунальний заклад "Спеціальний навчально-виховний комплекс "дошкільний навчальний заклад( ясла-садок)-загальноосвітня школа 1 ступеня № 5 "Дніпряночка"м.Кам'янське</t>
  </si>
  <si>
    <t>вул. Глаголєва, 22</t>
  </si>
  <si>
    <t>0569221152</t>
  </si>
  <si>
    <t>http://Snvk5.Klasna.com.</t>
  </si>
  <si>
    <t>23372514</t>
  </si>
  <si>
    <t>Комунальний заклад "Навчально-виховний комплекс "Загальноосвітній навчальний заклад - дошкільний навчальний заклад" № 36" Кам'янської міської ради</t>
  </si>
  <si>
    <t>51911</t>
  </si>
  <si>
    <t>вул. Миколи Лисенка, 2А</t>
  </si>
  <si>
    <t>(0569)52-12-75</t>
  </si>
  <si>
    <t>http://dndznvk36.dnepredu.com</t>
  </si>
  <si>
    <t>23076709</t>
  </si>
  <si>
    <t>Комунальний заклад "Навчально-виховний комплекс "Загальноосвітній навчальний заклад - дошкільний навчальний заклад" № 24" Кам'янської міської ради</t>
  </si>
  <si>
    <t>51917</t>
  </si>
  <si>
    <t>1210436300</t>
  </si>
  <si>
    <t>Кам'янське, Південний район</t>
  </si>
  <si>
    <t>вул. Лікарняна, 51</t>
  </si>
  <si>
    <t>33023</t>
  </si>
  <si>
    <t>http://nvk24.klasna.com</t>
  </si>
  <si>
    <t>23370840</t>
  </si>
  <si>
    <t>КЗ "Навчально-виховний комплекс "Загальноосвітня школа-інтернат зі спеціальним відділеням для дітей, які потребують корекції розвитку - центр розвитку дитини "Гармонія" Кам'янської міської ради</t>
  </si>
  <si>
    <t>51933</t>
  </si>
  <si>
    <t>5А</t>
  </si>
  <si>
    <t>(05692)3-11-00, (05692)3-15-63, (05692)3-14-50</t>
  </si>
  <si>
    <t>http://bnrc2.dnepredu.com</t>
  </si>
  <si>
    <t>21945673</t>
  </si>
  <si>
    <t>Комунальний заклад "Навчально-виховний комплекс "Загальноосвітній навчальний заклад-дошкільний навчальний заклад" № 3 " Кам'янської міської ради</t>
  </si>
  <si>
    <t>51938</t>
  </si>
  <si>
    <t>вул. Матросова, 35</t>
  </si>
  <si>
    <t>05692-52-16-02</t>
  </si>
  <si>
    <t>http://nvk3dobrograd.at.ua/</t>
  </si>
  <si>
    <t>23371360</t>
  </si>
  <si>
    <t>Комунальний заклад "Навчально-виховний комплекс № 37" Кам'янської міської ради</t>
  </si>
  <si>
    <t>51909</t>
  </si>
  <si>
    <t>вул. В.Чорновола, 34/22</t>
  </si>
  <si>
    <t>(05692)71063</t>
  </si>
  <si>
    <t>http://sschool-37.e-schools.info/</t>
  </si>
  <si>
    <t>23372023</t>
  </si>
  <si>
    <t>Комунальний заклад "Середня загальноосвітня школа № 20 ім.О.І.Стовби" Кам'янської міської ради</t>
  </si>
  <si>
    <t>вул. Стовби, 2</t>
  </si>
  <si>
    <t>(05692)72443</t>
  </si>
  <si>
    <t>http://school20imstovbi.klasna.com</t>
  </si>
  <si>
    <t>23372543</t>
  </si>
  <si>
    <t>Комунальний заклад "Середня загальноосвітня школа № 32" Кам'янської міської ради</t>
  </si>
  <si>
    <t>вул. Івана Сірка, 44</t>
  </si>
  <si>
    <t>(0569)521187</t>
  </si>
  <si>
    <t>http://www.school32dndz.dnepredu.com</t>
  </si>
  <si>
    <t>23370685</t>
  </si>
  <si>
    <t>Комунальний заклад "Середня загальноосвітня школа № 34" Кам'янської міської ради</t>
  </si>
  <si>
    <t>51905</t>
  </si>
  <si>
    <t>вул. Дорожня, 22</t>
  </si>
  <si>
    <t>(0569)52-17-46</t>
  </si>
  <si>
    <t>http://nvk34.dnepredu.com/</t>
  </si>
  <si>
    <t>23643382</t>
  </si>
  <si>
    <t>Комунальний заклад "Середня загальноосвітня школа № 10 " Кам'янської міської ради</t>
  </si>
  <si>
    <t>просп. Аношкіна, 121</t>
  </si>
  <si>
    <t>(05692)33383</t>
  </si>
  <si>
    <t>http://school-10.klasna.com</t>
  </si>
  <si>
    <t>23373092</t>
  </si>
  <si>
    <t>комунальний заклад "Середня загальноосвітня школа № 9 " Кам'янської міської ради</t>
  </si>
  <si>
    <t>вул. Долматова, 13</t>
  </si>
  <si>
    <t>(05692)30178</t>
  </si>
  <si>
    <t>http://school9dzn.klasna.com</t>
  </si>
  <si>
    <t>23642273</t>
  </si>
  <si>
    <t>Комунальний заклад "Загальноосвітній навчальний заклад І ступеня - гімназія № 39 " Кам'янської міської ради</t>
  </si>
  <si>
    <t>1210436600</t>
  </si>
  <si>
    <t>Кам'янське, Дніпровський район</t>
  </si>
  <si>
    <t>вул. б.Будівельників, 15</t>
  </si>
  <si>
    <t>8(05692)6-44-39</t>
  </si>
  <si>
    <t>http://gimn39.klasna.com</t>
  </si>
  <si>
    <t>20290974</t>
  </si>
  <si>
    <t>КОМУНАЛЬНИЙ ЗАКЛАД "НАВЧАЛЬНО-ВИХОВНИЙ КОМПЛЕКС "ЗАГАЛЬНООСВІТНІЙ НАВЧАЛЬНИЙ ЗАКЛАД - ДОШКІЛЬНИЙ НАВЧАЛЬНИЙ ЗАКЛАД № 26"" КАМ'ЯНСЬКОЇ МІСЬКОЇ РАДИ</t>
  </si>
  <si>
    <t>51918</t>
  </si>
  <si>
    <t>вул. Освітня, 29</t>
  </si>
  <si>
    <t>0569506574</t>
  </si>
  <si>
    <t>http://www.nvk26.at.ua</t>
  </si>
  <si>
    <t>23641894</t>
  </si>
  <si>
    <t>Комунальний заклад "Середня загальноосвітня школа № 25" Кам'янської міської ради</t>
  </si>
  <si>
    <t>51928</t>
  </si>
  <si>
    <t>вул. Воїнів-афганців, 10</t>
  </si>
  <si>
    <t>0569297273, 380965217698</t>
  </si>
  <si>
    <t>http://school25.ucoz.co.uk</t>
  </si>
  <si>
    <t>20289712</t>
  </si>
  <si>
    <t>Комунальний заклад "Середня загальноосвітня школа № 27" Кам'янської міської ради</t>
  </si>
  <si>
    <t>51916</t>
  </si>
  <si>
    <t>вул. Залізняка, 19</t>
  </si>
  <si>
    <t>506427</t>
  </si>
  <si>
    <t>http://shkola27dndz.wixsite.com/golovna</t>
  </si>
  <si>
    <t>23644705</t>
  </si>
  <si>
    <t>Комунальний заклад "Середня загальноосвітня школа № 29 І-ІІІ ступенів " Кам'янської міської ради</t>
  </si>
  <si>
    <t>51939</t>
  </si>
  <si>
    <t>ал. Будівельників, 24</t>
  </si>
  <si>
    <t>(05692)6-20-89</t>
  </si>
  <si>
    <t>http://dndz-school29.dnepredu.com/</t>
  </si>
  <si>
    <t>23372425</t>
  </si>
  <si>
    <t>Комунальний заклад "Середня загальноосвітня школа № 30" Кам'янської міської ради</t>
  </si>
  <si>
    <t>б-р Бульвар Героїв, 20</t>
  </si>
  <si>
    <t>(05692)6-29-53</t>
  </si>
  <si>
    <t>http://30school.klasna.com</t>
  </si>
  <si>
    <t>20291034</t>
  </si>
  <si>
    <t>Комунальний заклад "Середня загальноосвітня школа № 44" Кам'янської міської ради</t>
  </si>
  <si>
    <t>вул. Воїнів-афганців, 7А</t>
  </si>
  <si>
    <t>((05692))9-32-77, ((05692))9-32-80</t>
  </si>
  <si>
    <t>http://sh44.at.ua</t>
  </si>
  <si>
    <t>20308214</t>
  </si>
  <si>
    <t>Комунальний заклад «Навчально-виховне об’єднання «Ліцей нових інформаційних технологій - загальноосвітній навчальний заклад І-ІІ ступенів - дошкільний навчальний заклад» Кам’янської міської ради</t>
  </si>
  <si>
    <t>просп. Перемоги, 47</t>
  </si>
  <si>
    <t>(0569)520098</t>
  </si>
  <si>
    <t>http://lnit2.at.ua</t>
  </si>
  <si>
    <t>21910479</t>
  </si>
  <si>
    <t>Комунальний заклад "Навчально-виховний комплекс "Гімназія № 11 - спеціалізована школа з поглибленим вивченням іноземних мов I ступеня - дошкільний навчальний заклад "Еврика" Кам'янської міської ради</t>
  </si>
  <si>
    <t>51934</t>
  </si>
  <si>
    <t>1210436900</t>
  </si>
  <si>
    <t>Кам'янське, Заводський район</t>
  </si>
  <si>
    <t>(05692) 38601</t>
  </si>
  <si>
    <t>http://www.gymnasia11.org</t>
  </si>
  <si>
    <t>20290129</t>
  </si>
  <si>
    <t>Комунальний заклад "Середня загальноосвітня школа № 23" Кам'янської міської ради</t>
  </si>
  <si>
    <t>51921</t>
  </si>
  <si>
    <t>вул. Братська, 4</t>
  </si>
  <si>
    <t>(05692)33148</t>
  </si>
  <si>
    <t>http://shkola232016.ucoz.site/</t>
  </si>
  <si>
    <t>23370351</t>
  </si>
  <si>
    <t>Комунальний заклад "Середня загальноосвітня школа № 35" Кам'янської міської ради</t>
  </si>
  <si>
    <t>51922</t>
  </si>
  <si>
    <t>вул. Привітна, 162</t>
  </si>
  <si>
    <t>(05692)21545</t>
  </si>
  <si>
    <t>http://school-35.dnepredu.com/</t>
  </si>
  <si>
    <t>23642572</t>
  </si>
  <si>
    <t>Комунальний заклад "Середня загальноосвітня школа № 5 ім.Г.Романової м.Кам’янське" Кам’янської міської ради І-ІІІ ступенів</t>
  </si>
  <si>
    <t>просп. Проспект Свободи, 42</t>
  </si>
  <si>
    <t>(05692)31623, (05692)33176</t>
  </si>
  <si>
    <t>http://school5-dndz.at.ua</t>
  </si>
  <si>
    <t>23370343</t>
  </si>
  <si>
    <t>Комунальний заклад "Середня загальноосвітня школа № 6 " Кам'янської міської ради</t>
  </si>
  <si>
    <t>вул. пр.Гімназичний, 63</t>
  </si>
  <si>
    <t>(05692)36036</t>
  </si>
  <si>
    <t>http://school6dndz.dnepredu.com</t>
  </si>
  <si>
    <t>23641799</t>
  </si>
  <si>
    <t>Комунальний заклад "Середня загальноосвітня школа № 4 ім.А.С.Макаренка" Кам’янської міської ради</t>
  </si>
  <si>
    <t>вул. Гайдамацька, 5</t>
  </si>
  <si>
    <t>05692-2-63-43</t>
  </si>
  <si>
    <t>http://school4dndz.org.ua</t>
  </si>
  <si>
    <t>23373123</t>
  </si>
  <si>
    <t>Комунальний заклад "Середня загальноосвітня школа № 8 " Кам'янської міської ради</t>
  </si>
  <si>
    <t>вул. 9 Травня, 16</t>
  </si>
  <si>
    <t>0569233648</t>
  </si>
  <si>
    <t>http://dndz-school-8.at.ua</t>
  </si>
  <si>
    <t>23372431</t>
  </si>
  <si>
    <t>Комунальний заклад «Середня загальноосвітня школа № 12» Кам’янської міської ради</t>
  </si>
  <si>
    <t>вул. Сергія Слісаренка, 30</t>
  </si>
  <si>
    <t>(05692)21033</t>
  </si>
  <si>
    <t>http://school12.dnepredu.com</t>
  </si>
  <si>
    <t>23642385</t>
  </si>
  <si>
    <t>Комунальний заклад «Середня загальноосвітня школа № 18" Кам'янської міської ради</t>
  </si>
  <si>
    <t>вул. Звенигородська, 31</t>
  </si>
  <si>
    <t>(05692)21034</t>
  </si>
  <si>
    <t>http://dndzschool18.klasna.com</t>
  </si>
  <si>
    <t>23370739</t>
  </si>
  <si>
    <t>Комунальний заклад "Середня загальноосвітня школа № 7" Кам'янської міської ради</t>
  </si>
  <si>
    <t>вул. Ніжинська, 7</t>
  </si>
  <si>
    <t>(05692)3-33-58</t>
  </si>
  <si>
    <t>http://nvk7.at.ua</t>
  </si>
  <si>
    <t>23372371</t>
  </si>
  <si>
    <t>Середній загальноосвітній навчально-виховний комплекс "Ор-Авнер"</t>
  </si>
  <si>
    <t>вул. Любавичського Ребе, 5</t>
  </si>
  <si>
    <t>(0569)53-42-13</t>
  </si>
  <si>
    <t>http://or-avner.dnepredu.com</t>
  </si>
  <si>
    <t>Комунальний заклад "Середня загальноосвітня школа № 38 ім. І. О. Секретнюка" Кам"янської міської ради</t>
  </si>
  <si>
    <t>51990</t>
  </si>
  <si>
    <t>1210465300</t>
  </si>
  <si>
    <t>Карнаухівка</t>
  </si>
  <si>
    <t>вул. Пушкіна, 14Б</t>
  </si>
  <si>
    <t>80569279165</t>
  </si>
  <si>
    <t>http://school38.klasna.com/uk/site/lessons.html</t>
  </si>
  <si>
    <t>23371354</t>
  </si>
  <si>
    <t>Комунальний заклад "Жовтоводський навчально-виховний комплекс № 6 "Перспектива" Жовтоводської міської ради Дніпропетровської області</t>
  </si>
  <si>
    <t>52209</t>
  </si>
  <si>
    <t>1210700000</t>
  </si>
  <si>
    <t>Жовті Води</t>
  </si>
  <si>
    <t>0565224722</t>
  </si>
  <si>
    <t>http://nvk-perspektiva.at.ua/</t>
  </si>
  <si>
    <t>Комунальний заклад освіти Жовтоводська гуманітарна гімназія імені Лесі Українки</t>
  </si>
  <si>
    <t>52210</t>
  </si>
  <si>
    <t>б-р Свободи, 18</t>
  </si>
  <si>
    <t>(05652)32520</t>
  </si>
  <si>
    <t>http://www.lesya.org</t>
  </si>
  <si>
    <t>Комунальний заклад освіти Жовтоводська середня загальноосвітня з профільними класами школа № 5</t>
  </si>
  <si>
    <t>б-р Свободи, 42</t>
  </si>
  <si>
    <t>0565233083</t>
  </si>
  <si>
    <t>http://school5zv.dnepredu.com/uk/site/golovna.html</t>
  </si>
  <si>
    <t>Комунальний заклад освіти Жовтоводська середня загальноосвітня з профільними класами школа № 8</t>
  </si>
  <si>
    <t>52200</t>
  </si>
  <si>
    <t>пров. Запорізький, 12</t>
  </si>
  <si>
    <t>(05652)26575</t>
  </si>
  <si>
    <t>http://school8zv.ucoz.ru/</t>
  </si>
  <si>
    <t>Комунальний заклад освіти Жовтоводська середня загальноосвітня школа № 10 з профільними класами</t>
  </si>
  <si>
    <t>52204</t>
  </si>
  <si>
    <t>вул. 8 Березня, 35</t>
  </si>
  <si>
    <t>0-5652-3-36-96</t>
  </si>
  <si>
    <t>http://school10.dnepredu.com</t>
  </si>
  <si>
    <t>Комунальний заклад освіти Жовтоводська спеціальна загальноосвітня школа</t>
  </si>
  <si>
    <t>вул. Козацької Слави, 25</t>
  </si>
  <si>
    <t>(05652)6-27-40</t>
  </si>
  <si>
    <t>http://specsckool.dnepredu.com</t>
  </si>
  <si>
    <t>Комунальний заклад освіти ліцей природничо-наукового навчання Жовтоводської міської ради Дніпропетровської області</t>
  </si>
  <si>
    <t>52201</t>
  </si>
  <si>
    <t>вул. Гагаріна, 36</t>
  </si>
  <si>
    <t>(05652)55668, (05652)33585</t>
  </si>
  <si>
    <t>http://lyceumzv.dnepredu.com</t>
  </si>
  <si>
    <t>Комунальний заклад освіти навчально-виховний комплекс "Дивосвіт" із санаторними групами і класами</t>
  </si>
  <si>
    <t>вул. Шевченко, 12</t>
  </si>
  <si>
    <t>http://nwkdivosvit.dnepredu.com</t>
  </si>
  <si>
    <t>Комунальний заклад освіти навчально-виховний комплекс "Родина" загальноосвітній навчальний заклад І-ІІ ступенів - дошкільний навчальний заклад</t>
  </si>
  <si>
    <t>52205</t>
  </si>
  <si>
    <t>вул. Лісна, 6А</t>
  </si>
  <si>
    <t>(05652)34097</t>
  </si>
  <si>
    <t>http://rodina.dnepredu.com/</t>
  </si>
  <si>
    <t>Комунальний заклад освіти середня загальноосвітня школа № 12 з профільними класами</t>
  </si>
  <si>
    <t>вул. 50 років Комсомолу, 8</t>
  </si>
  <si>
    <t>05652-29113</t>
  </si>
  <si>
    <t>http://school12zv.dnepredu.com</t>
  </si>
  <si>
    <t>Комунальний заклад освіти середня загальноосвітня школа № 3 з профільними класами імені М. Островського м. Жовті Води Дніпропетровської області</t>
  </si>
  <si>
    <t>вул. Богуна, 50</t>
  </si>
  <si>
    <t>(05652)61918</t>
  </si>
  <si>
    <t>http://school3zv.ucoz.net/</t>
  </si>
  <si>
    <t>Криворізька загальноосвітня школа І-ІІ ступенів № 14 Криворізької міської ради Дніпропетровської області</t>
  </si>
  <si>
    <t>50071</t>
  </si>
  <si>
    <t>1211000000</t>
  </si>
  <si>
    <t>Кривий Ріг</t>
  </si>
  <si>
    <t>вул. Володимира Великого, 34Б</t>
  </si>
  <si>
    <t>(0564)645077</t>
  </si>
  <si>
    <t>"Криворізький навчально-виховний комплекс "Загальноосвітня школа І-ІІ ступенів - дошкільний навчальний заклад" № 18 Криворізької міської ради Дніпропетровської області</t>
  </si>
  <si>
    <t>50041</t>
  </si>
  <si>
    <t>1211036300</t>
  </si>
  <si>
    <t>Кривий Ріг, Металургійний район</t>
  </si>
  <si>
    <t>вул. Шиферна, 35</t>
  </si>
  <si>
    <t>(0564)430232</t>
  </si>
  <si>
    <t>http://school018.dnepredu.com</t>
  </si>
  <si>
    <t>Криворізька гімназія № 95 Криворізької міської ради Дніпропетровської області</t>
  </si>
  <si>
    <t>50006</t>
  </si>
  <si>
    <t>вул. Соборності, 20А</t>
  </si>
  <si>
    <t>(0564)907619</t>
  </si>
  <si>
    <t>http://gimn95.wix.com/gimn95</t>
  </si>
  <si>
    <t>Криворізька загальноосвітня спеціалізована школа I-III ступенів № 4 з поглибленим вивчення іноземних мов Криворізької міської ради Дніпропетровської області</t>
  </si>
  <si>
    <t>50069</t>
  </si>
  <si>
    <t>вул. Героїв АТО, 15</t>
  </si>
  <si>
    <t>(0564)744402</t>
  </si>
  <si>
    <t>http://4schoolkr.wix.com/start</t>
  </si>
  <si>
    <t>Криворізька загальноосвітня школа І-ІІІ ступенів № 103 Криворізької міської ради Дніпропетровської області</t>
  </si>
  <si>
    <t>50065</t>
  </si>
  <si>
    <t>вул. Костенко, 23</t>
  </si>
  <si>
    <t>(0564)716543</t>
  </si>
  <si>
    <t>http://obrazovanieikt.com</t>
  </si>
  <si>
    <t>Криворізька загальноосвітня школа І-ІІІ ступенів № 15 ім. М. Решетняка Криворізької міської ради Дніпропетровської області.</t>
  </si>
  <si>
    <t>50000</t>
  </si>
  <si>
    <t>вул. Криворіжсталі, 40.</t>
  </si>
  <si>
    <t>(056)4071281, (056)4054213</t>
  </si>
  <si>
    <t>https://sites.google.com/site/school15dnepredu/home</t>
  </si>
  <si>
    <t>Криворізька загальноосвітня школа І-ІІІ ступенів № 26 Криворізької міської ради Дніпропетровської області</t>
  </si>
  <si>
    <t>50074</t>
  </si>
  <si>
    <t>вул. Володимира Бизова, 7А</t>
  </si>
  <si>
    <t>(0564)43-06-49</t>
  </si>
  <si>
    <t>http://dzschool026.dnepredu.com</t>
  </si>
  <si>
    <t>Криворізька загальноосвітня школа І-ІІІ ступенів № 63 Криворізької міської ради Дніпропетровської області</t>
  </si>
  <si>
    <t>вул. Агафонова, 14А</t>
  </si>
  <si>
    <t>0564430542</t>
  </si>
  <si>
    <t>http://kzschool63.ucoz.ru/</t>
  </si>
  <si>
    <t>Криворізька загальноосвітня школа І-ІІІ ступенів № 66 Криворізької міської ради Дніпровської області</t>
  </si>
  <si>
    <t>50051</t>
  </si>
  <si>
    <t>вул. Вокзальна, 6</t>
  </si>
  <si>
    <t>(056)4054320</t>
  </si>
  <si>
    <t>http://66.3dn.ru</t>
  </si>
  <si>
    <t>Криворізька загальноосвітня школа І-ІІІ ступенів № 69 Криворізької міської ради Дніпропетровської області</t>
  </si>
  <si>
    <t>50050</t>
  </si>
  <si>
    <t>вул. Хабаровська, 4</t>
  </si>
  <si>
    <t>(0564)921239</t>
  </si>
  <si>
    <t>Криворізька загальноосвітня школа І-ІІІ ступенів № 7 з поглибленим вивченням біології Криворізької міської ради Дніпропетровської області</t>
  </si>
  <si>
    <t>вул. Героїв АТО, 48</t>
  </si>
  <si>
    <t>(0564)715736</t>
  </si>
  <si>
    <t>http://school007.dnepredu.com/</t>
  </si>
  <si>
    <t>Криворізька загальноосвітня школа І-ІІІ ступенів № 75 Криворізької міської ради Дніпровської області</t>
  </si>
  <si>
    <t>вул. Героїв АТО, 52</t>
  </si>
  <si>
    <t>(0564)717469</t>
  </si>
  <si>
    <t>https://sites.google.com/site/school75krrog/</t>
  </si>
  <si>
    <t>Криворізька загальноосвітня школа ІІ-ІІІ ступенів "Центр освіти" Криворізької міської ради Дніпропетровської області</t>
  </si>
  <si>
    <t>50005</t>
  </si>
  <si>
    <t>вул. Ціолковського, 20</t>
  </si>
  <si>
    <t>(0564)261415</t>
  </si>
  <si>
    <t>http://dzschoolco.dnepredu.com</t>
  </si>
  <si>
    <t>Криворізька загальноосвітня школа-інтернат І-ІІ ступенів № 1 Криворізької міської ради Дніпропетровської області</t>
  </si>
  <si>
    <t>вул. Соборності, 20Г</t>
  </si>
  <si>
    <t>(0564)907644</t>
  </si>
  <si>
    <t>http://www.kzshint1.jimdo.com</t>
  </si>
  <si>
    <t>Криворізький науково-технічний металургійний ліцей № 16 Криворізької міської ради Дніпропетровської області</t>
  </si>
  <si>
    <t>50075</t>
  </si>
  <si>
    <t>вул. Cтепана Тільги, 22</t>
  </si>
  <si>
    <t>(0564)907333</t>
  </si>
  <si>
    <t>http://ntml16.dnepredu.com/</t>
  </si>
  <si>
    <t>Криворізька загальноосвітня школа I-III ступенів № 130 Криворізької міської ради Дніпропетровської області</t>
  </si>
  <si>
    <t>50093</t>
  </si>
  <si>
    <t>1211036400</t>
  </si>
  <si>
    <t>Кривий Ріг, Довгинцівський район</t>
  </si>
  <si>
    <t>вул. Незалежності України, 12</t>
  </si>
  <si>
    <t>(0564)915230</t>
  </si>
  <si>
    <t>http://metodobist.ucoz.ua</t>
  </si>
  <si>
    <t>Криворізька загальноосвітня школа І-ІІІ ступенів № 87 Криворізької міської ради Дніпропетровської області</t>
  </si>
  <si>
    <t>50048</t>
  </si>
  <si>
    <t>вул. Сормівська, 5</t>
  </si>
  <si>
    <t>(0564)721448</t>
  </si>
  <si>
    <t>http://kzsh87.dnepredu.com</t>
  </si>
  <si>
    <t>Криворізька загальноосвітня школа І-ІІІ ступенів № 108 Криворізької міської ради Дніпропетровської області</t>
  </si>
  <si>
    <t>50103</t>
  </si>
  <si>
    <t>вул. Соборності, 115</t>
  </si>
  <si>
    <t>(0564)712146, (0564)712115</t>
  </si>
  <si>
    <t>http://kzs108.dnepredu.com/uk/</t>
  </si>
  <si>
    <t>Криворізька загальноосвітня школа І-ІІІ ступенів № 109 Криворізької міської ради Дніпропетровської області</t>
  </si>
  <si>
    <t>50086</t>
  </si>
  <si>
    <t>вул. Ярослава Мудрого, 83</t>
  </si>
  <si>
    <t>(0564)711215</t>
  </si>
  <si>
    <t>http://school109.at.ua</t>
  </si>
  <si>
    <t>Криворізький навчально-виховний комплекс № 128 "Загальноосвітня школа І-ІІІ ступенів - дошкільний навчальний заклад (дитячий садок)" Криворізької міської ради Дніпропетровської області</t>
  </si>
  <si>
    <t>50038</t>
  </si>
  <si>
    <t>вул. Симонова, 12</t>
  </si>
  <si>
    <t>(0564)914747</t>
  </si>
  <si>
    <t>http://kzsh128.at.ua/</t>
  </si>
  <si>
    <t>Криворізька загальноосвітня школа І-ІІІ ступенів № 65 Криворізької міської ради Дніпропетровської області</t>
  </si>
  <si>
    <t>вул. Степана Тільги, 63</t>
  </si>
  <si>
    <t>(0564)716621</t>
  </si>
  <si>
    <t>http://kzsh65.dnepredu.com/</t>
  </si>
  <si>
    <t>Криворізька загальноосвітня школа І-ІІ ступенів № 84 Криворізької міської ради Дніпропетровської області</t>
  </si>
  <si>
    <t>50054</t>
  </si>
  <si>
    <t>вул. Милашенкова, 57</t>
  </si>
  <si>
    <t>(056)4420513</t>
  </si>
  <si>
    <t>http://kzsh84.dnepredu.com</t>
  </si>
  <si>
    <t>Криворізька загальноосвітня школа І-ІІІ ступенів № 88 Криворізької міської ради Дніпропетровської області</t>
  </si>
  <si>
    <t>50023</t>
  </si>
  <si>
    <t>вул. Колійна, 26</t>
  </si>
  <si>
    <t>(0564)721323</t>
  </si>
  <si>
    <t>http://school-88.wixsite.com/kzsh88</t>
  </si>
  <si>
    <t>Криворізька загальноосвітня школа І-ІІІ ступенів № 89 Криворізької міської ради Дніпропетровської області</t>
  </si>
  <si>
    <t>вул. Мальовнича, 1А</t>
  </si>
  <si>
    <t>(0564)420573</t>
  </si>
  <si>
    <t>http://kzsh89.dnepredu.com/index.php</t>
  </si>
  <si>
    <t>Криворізька загальноосвітня школа І-ІІІ ступенів № 90 Криворізької міської ради Дніпропетровської області</t>
  </si>
  <si>
    <t>50055</t>
  </si>
  <si>
    <t>вул. Кокчетавська, 1А</t>
  </si>
  <si>
    <t>(0564)711134</t>
  </si>
  <si>
    <t>http://kzsh90.at.ua</t>
  </si>
  <si>
    <t>Криворізька загальноосвітня школа І-ІІІ ступенів № 94 Криворізької міської ради Дніпропетровської області</t>
  </si>
  <si>
    <t>вул. Промислова, 1А</t>
  </si>
  <si>
    <t>(0564)715543</t>
  </si>
  <si>
    <t>http://kzsh94.dnepredu.com/</t>
  </si>
  <si>
    <t>Криворізька педагогічна гімназія Криворізької міської ради Дніпропетровської області</t>
  </si>
  <si>
    <t>вул. Героїв АТО, 88</t>
  </si>
  <si>
    <t>(0564)712284</t>
  </si>
  <si>
    <t>http://kpg24.dnepredu.com</t>
  </si>
  <si>
    <t>Криворізька спеціалізована школа № 9 з поглибленим вивченням економіки, права та іноземних мов Криворізької міської ради Дніпропетровської області</t>
  </si>
  <si>
    <t>вул. Дніпровське шосе, 32</t>
  </si>
  <si>
    <t>(0564)721555</t>
  </si>
  <si>
    <t>http://school9kr.wixsite.com/kssh9</t>
  </si>
  <si>
    <t>Криворізький навчально-виховний комплекс № 129 "Гімназія-ліцей академічного спрямування" Криворізької міської ради Дніпропетровської області</t>
  </si>
  <si>
    <t>вул. Пензенська, 39</t>
  </si>
  <si>
    <t>(0564)721435, (0564)720246</t>
  </si>
  <si>
    <t>http://129kgtl.wix.com/kgtl129</t>
  </si>
  <si>
    <t>Криворізький навчально-виховний комплекс "Загальноосвітня Вальдорфська школа І-ІІІ ступенів - дошкільний навчальний заклад (дитячий садок)" Криворізької міської ради Дніпропетровської області</t>
  </si>
  <si>
    <t>вул. Ярослава Мудрого, 89Б</t>
  </si>
  <si>
    <t>(0564)716745, (0564)712139</t>
  </si>
  <si>
    <t>http://waldorkzsh.dnepredu.com</t>
  </si>
  <si>
    <t>Криворізький навчально-виховний комплекс № 81 " Загальноосвітня школа І-ІІ ступенів - ліцей" Криворізької міської ради Дніпропетровської областіІ</t>
  </si>
  <si>
    <t>вул. Симонова, 10</t>
  </si>
  <si>
    <t>(0564)914129</t>
  </si>
  <si>
    <t>http://kntml81.dnepredu.com/</t>
  </si>
  <si>
    <t>Комунальний заклад "Навчально-реабілітаційний центр" Криворізької міської ради Дніпропетровської області</t>
  </si>
  <si>
    <t>50081</t>
  </si>
  <si>
    <t>1211036600</t>
  </si>
  <si>
    <t>Кривий Ріг, Покровський район</t>
  </si>
  <si>
    <t>мрн. 5-й Зарічний, 78А</t>
  </si>
  <si>
    <t>(0564)956386</t>
  </si>
  <si>
    <t>http://nrz-kr.dnepredu.com</t>
  </si>
  <si>
    <t>25973695</t>
  </si>
  <si>
    <t>Комунальний заклад освіти "Криворізький багатопрофільний навчально-реабілітаційний центр "Надія" Дніпропетровської обласної ради"</t>
  </si>
  <si>
    <t>мрн. 5-й Зарічний, 35А</t>
  </si>
  <si>
    <t>(0564)957253, (0564)957260</t>
  </si>
  <si>
    <t>http://nadiya.dnepredu.com/</t>
  </si>
  <si>
    <t>26005868</t>
  </si>
  <si>
    <t>Комунальний заклад освіти "Криворізький багатопрофільний навчально-реабілітаційний центр "Натхнення" Дніпропетровської обласної ради"</t>
  </si>
  <si>
    <t>50029</t>
  </si>
  <si>
    <t>вул. Кропивницького, 13</t>
  </si>
  <si>
    <t>(0564)533075, (0564)530183</t>
  </si>
  <si>
    <t>http://kszshi2.dnepredu.com/</t>
  </si>
  <si>
    <t>20201798</t>
  </si>
  <si>
    <t>Криворізька загальноосвітня школа І-ІІІ ступенів № 125 Криворізької міської ради Дніпропетровської області</t>
  </si>
  <si>
    <t>мрн. 5-й Зарічний, 32А</t>
  </si>
  <si>
    <t>(0564)957628</t>
  </si>
  <si>
    <t>http://school-125.dp.ua</t>
  </si>
  <si>
    <t>Комунальний заклад освіти "Криворізький спеціальний багатопрофільний навчально - реабілітаційний центр № 1"Діпропетровської обласної ради"</t>
  </si>
  <si>
    <t>50053</t>
  </si>
  <si>
    <t>вул. П'ятихатська, 17</t>
  </si>
  <si>
    <t>(0564)947430</t>
  </si>
  <si>
    <t>http://ksbnrc.dnepredu.com</t>
  </si>
  <si>
    <t>23927366</t>
  </si>
  <si>
    <t>Криворізький спеціалізований навчально-виховний комплекс № 22 "Дошкільний навчальний заклад - загальноосвітня школа І ступеня з поглибленим вивченням іноземних мов" Криворізької міської ради</t>
  </si>
  <si>
    <t>32Б</t>
  </si>
  <si>
    <t>(0564)957443</t>
  </si>
  <si>
    <t>http://snvk22.dnepredu.com</t>
  </si>
  <si>
    <t>Комунальний заклад освіти "Багатопрофільний навчально-реабілітаційний центр "Сузір'я" Дніпропетровської обласної ради"</t>
  </si>
  <si>
    <t>50031</t>
  </si>
  <si>
    <t>вул. Едуарда Фукса, 9</t>
  </si>
  <si>
    <t>(0564)661029, (0564)663457, (0564)661240</t>
  </si>
  <si>
    <t>http://kr-suzirya.edukit.dp.ua/</t>
  </si>
  <si>
    <t>20201870</t>
  </si>
  <si>
    <t>Комунальний заклад освіти "Криворізький обласний ліцей-інтернат для сільської молоді" Дніпропетровської області</t>
  </si>
  <si>
    <t>вул. Шкапенка, 1</t>
  </si>
  <si>
    <t>(0564)530240</t>
  </si>
  <si>
    <t>http://koli.at.ua/</t>
  </si>
  <si>
    <t>20214476</t>
  </si>
  <si>
    <t>Криворізька гімназія № 49 Криворізької міської ради Дніпропетровської області</t>
  </si>
  <si>
    <t>50014</t>
  </si>
  <si>
    <t>вул. Шурупова, 1</t>
  </si>
  <si>
    <t>(056)4099149, (056)4072879</t>
  </si>
  <si>
    <t>http://gymnazium49.dnepredu.com/</t>
  </si>
  <si>
    <t>Криворізька загальноосвітня школа І-ІІІ ступенів № 93 Криворізької міської ради Дніпропетровської області</t>
  </si>
  <si>
    <t>вул. Армавірська, 11</t>
  </si>
  <si>
    <t>(056)4058206</t>
  </si>
  <si>
    <t>http://school93.dnepredu.com</t>
  </si>
  <si>
    <t>Криворізька загальноосвітня школа І-ІІІ ступенів № 111 Криворізької міської ради Дніпропетровської області</t>
  </si>
  <si>
    <t>вул. Армавірська, 10А</t>
  </si>
  <si>
    <t>(056)4057918</t>
  </si>
  <si>
    <t>http://krivoyrogschool111.dnepredu.com/</t>
  </si>
  <si>
    <t>Криворізька загальноосвітня школа І-ІІІ ступенів № 112 Криворізької міської ради Дніпропетровської області</t>
  </si>
  <si>
    <t>вул. Святоандріївська, 10 - А</t>
  </si>
  <si>
    <t>(0564)958925</t>
  </si>
  <si>
    <t>http://kzsh112.dnepredu.com/</t>
  </si>
  <si>
    <t>Криворізька загальноосвітня школа І-ІІІ ступенів № 121 Криворізької міської ради Дніпропетровської області</t>
  </si>
  <si>
    <t>вул. Електрозаводська, 5</t>
  </si>
  <si>
    <t>(0564)952674</t>
  </si>
  <si>
    <t>http://kzsh121.dnepredu.com</t>
  </si>
  <si>
    <t>Криворізька загальноосвітня школа І-ІІІ ступенів № 126 Криворізької міської ради Дніпропетровської області</t>
  </si>
  <si>
    <t>мрн. 5-й Зарічний, 32В</t>
  </si>
  <si>
    <t>(0564)957627</t>
  </si>
  <si>
    <t>http://sh126.dnepredu.com/</t>
  </si>
  <si>
    <t>Криворізька загальноосвітня школа І-ІІІ ступенів № 32 Криворізької міської ради Дніпропетровської області</t>
  </si>
  <si>
    <t>50106</t>
  </si>
  <si>
    <t>вул. 7 мікрорайон Зарічний, 7</t>
  </si>
  <si>
    <t>(0564)953304</t>
  </si>
  <si>
    <t>http://kzshi32.dnepredu.com</t>
  </si>
  <si>
    <t>Криворізька загальноосвітня школа І-ІІІ ступенів № 33 Криворізької міської ради Дніпропетровської області</t>
  </si>
  <si>
    <t>вул. Соколовська, 19 А</t>
  </si>
  <si>
    <t>(0564)953054</t>
  </si>
  <si>
    <t>http://kzsh33.dnepredu.com</t>
  </si>
  <si>
    <t>Криворізька загальноосвітня школа І-ІІІ ступенів № 34 Криворізької міської ради Дніпропетровської області</t>
  </si>
  <si>
    <t>вул. Іртиська, 20А</t>
  </si>
  <si>
    <t>(0564)664812</t>
  </si>
  <si>
    <t>http://kolchibaan.dnepredu.com</t>
  </si>
  <si>
    <t>Криворізька загальноосвітня школа І-ІІІ ступенів № 36 Криворізької міської ради Дніпропетровської області</t>
  </si>
  <si>
    <t>вул. Кропивницького, 37</t>
  </si>
  <si>
    <t>(0564)958305</t>
  </si>
  <si>
    <t>http://school_36.dnepredu.com/</t>
  </si>
  <si>
    <t>Криворізька загальноосвітня школа І-ІІІ ступенів № 44 Криворізької міської ради Дніпропетровської області</t>
  </si>
  <si>
    <t>50042</t>
  </si>
  <si>
    <t>вул. Едуарда Фукса, 58</t>
  </si>
  <si>
    <t>(0564)662971</t>
  </si>
  <si>
    <t>http://school44.dnepredu.com/</t>
  </si>
  <si>
    <t>Криворізька загальноосвітня школа І-ІІІ ступенів № 46 Криворізької міської ради Дніпропетровської області</t>
  </si>
  <si>
    <t>вул. П'ятихатська, 13</t>
  </si>
  <si>
    <t>(0564)510363</t>
  </si>
  <si>
    <t>http://kzsh46.dnepredu.com</t>
  </si>
  <si>
    <t>Криворізька загальноосвітня школа І-ІІІ ступенів № 52 Криворізької міської ради Дніпропетровської області</t>
  </si>
  <si>
    <t>вул. Едуарда Фукса, 7</t>
  </si>
  <si>
    <t>(0564)661301</t>
  </si>
  <si>
    <t>http://krschool52.wixsite.com/school/</t>
  </si>
  <si>
    <t>Криворізька загальноосвітня школа І-ІІІ ступенів № 57 Криворізької міської ради Дніпропетровської області</t>
  </si>
  <si>
    <t>50059</t>
  </si>
  <si>
    <t>вул. Ватутіна, 30</t>
  </si>
  <si>
    <t>(0564)53-01-31</t>
  </si>
  <si>
    <t>http://kzsh57.dnepredu.com/</t>
  </si>
  <si>
    <t>Криворізька загальноосвітня школа І-ІІІ ступенів № 62 Криворізької міської ради Дніпропетровської області</t>
  </si>
  <si>
    <t>вул. Ватутіна, 38</t>
  </si>
  <si>
    <t>(0564)531190</t>
  </si>
  <si>
    <t>http://kzsh62.dnepredu.com</t>
  </si>
  <si>
    <t>Криворізька загальноосвітня школа І-ІІІ ступенів № 86 Криворізької міської ради Дніпропетровської області</t>
  </si>
  <si>
    <t>вул. Едуарда Фукса, 11А</t>
  </si>
  <si>
    <t>(0564)661303</t>
  </si>
  <si>
    <t>http://kzsh86.wix.com/kzsh86</t>
  </si>
  <si>
    <t>Криворізька загальноосвітня школа І-ІІІ ступенів № 97 Криворізької міської ради Дніпропетровської області</t>
  </si>
  <si>
    <t>50096</t>
  </si>
  <si>
    <t>вул. Кропивницького, 93</t>
  </si>
  <si>
    <t>(0564)959026</t>
  </si>
  <si>
    <t>http://kzsh977.dnepredu.com</t>
  </si>
  <si>
    <t>Криворізька загальноосвітня школа-інтернат І-ІІ ступенів № 4 Криворізької міської ради Дніпропетровської області</t>
  </si>
  <si>
    <t>вул. Ватутіна, 41А</t>
  </si>
  <si>
    <t>(0564)959033</t>
  </si>
  <si>
    <t>http://kzshi4.dnepredu.com</t>
  </si>
  <si>
    <t>Криворізька спеціалізована школа І-ІІІ ступенів № 71 Криворізької міської ради Дніпропетровської області</t>
  </si>
  <si>
    <t>вул. Ракітіна, 22</t>
  </si>
  <si>
    <t>(0564)959234</t>
  </si>
  <si>
    <t>http://school71.dnepredu.com</t>
  </si>
  <si>
    <t>російська,англійська,німецька,французька,іспанська</t>
  </si>
  <si>
    <t>Криворізький Покровський ліцей Криворізької міської ради Дніпропетровської області</t>
  </si>
  <si>
    <t>вул. Кропивницького, 63</t>
  </si>
  <si>
    <t>(0564)958610</t>
  </si>
  <si>
    <t>http://kzhl.dnepredu.com</t>
  </si>
  <si>
    <t>Комунальний заклад освіти "Криворізька загальноосвітня санаторна школа-інтернат № 5 І-ІІІ ступенів" Дніпропетровської обласної ради"</t>
  </si>
  <si>
    <t>50068</t>
  </si>
  <si>
    <t>1211036900</t>
  </si>
  <si>
    <t>Кривий Ріг, Інгулецький район</t>
  </si>
  <si>
    <t>вул. Салютна, 6</t>
  </si>
  <si>
    <t>(0564)620480, (0564)620482</t>
  </si>
  <si>
    <t>http://schoolsan5.dnepredu.com</t>
  </si>
  <si>
    <t>26137825</t>
  </si>
  <si>
    <t>Комунальний заклад освіти "Криворізький багатопрофільний навчально-реабілітаційний центр "Перлина" Дніпропетровської обласної ради"</t>
  </si>
  <si>
    <t>50102</t>
  </si>
  <si>
    <t>вул. Староінгулецька, 22</t>
  </si>
  <si>
    <t>http://spinternat3.dnepredu.com</t>
  </si>
  <si>
    <t>26137819</t>
  </si>
  <si>
    <t>Комунальний навчально-виховний комплекс "Загальноосвітня школа-інтернат І-ІІІ ступенів № 9 з посиленою спортивною підготовкою"</t>
  </si>
  <si>
    <t>50026</t>
  </si>
  <si>
    <t>вул. Груні Романової, 13</t>
  </si>
  <si>
    <t>(0564)211228, (056)4099460</t>
  </si>
  <si>
    <t>http://sitesi9.jimdo.com</t>
  </si>
  <si>
    <t>26460058</t>
  </si>
  <si>
    <t>Криворізька гімназія № 127 Криворізької міської ради Дніпропетровської області</t>
  </si>
  <si>
    <t>вул. Олександра Станкова, 7А</t>
  </si>
  <si>
    <t>(0564)221728, (0564)220233</t>
  </si>
  <si>
    <t>http://gimnaziya127.ucoz.org</t>
  </si>
  <si>
    <t>Криворізька загальноосвітня школа I-III ступенів № 99 Криворізької міської ради Дніпропетровської області</t>
  </si>
  <si>
    <t>вул. Недєліна, 41А</t>
  </si>
  <si>
    <t>(0564)220051, (0564)221080</t>
  </si>
  <si>
    <t>http://kzsh99.dnepredu.com</t>
  </si>
  <si>
    <t>Криворізька загальноосвітня школа І-ІІ ступенів № 101 Криворізької міської ради Дніпропетровської області</t>
  </si>
  <si>
    <t>50073</t>
  </si>
  <si>
    <t>вул. Абрикосова, 1 A</t>
  </si>
  <si>
    <t>(056)4620398</t>
  </si>
  <si>
    <t>http://kzsh101.dnepredu.com</t>
  </si>
  <si>
    <t>Криворізька загальноосвітня школа І-ІІІ ступенів № 100 Криворізької міської ради Дніпропетровської області</t>
  </si>
  <si>
    <t>вул. Каткова, 20</t>
  </si>
  <si>
    <t>(0564)222354</t>
  </si>
  <si>
    <t>http://school_100.dnepredu.com</t>
  </si>
  <si>
    <t>Криворізька загальноосвітня школа І-ІІІ ступенів № 102 Криворізької міської ради Дніпропетровської області</t>
  </si>
  <si>
    <t>вул. Сонячна, 10</t>
  </si>
  <si>
    <t>(0564)220106</t>
  </si>
  <si>
    <t>https://sites.google.com/site/zosno102/</t>
  </si>
  <si>
    <t>Криворізька загальноосвітня школа І-ІІІ ступенів № 114 Криворізької міської ради Дніпропетровської області</t>
  </si>
  <si>
    <t>вул. Каткова, 35</t>
  </si>
  <si>
    <t>(0564)222252, (0564)221155, (0564)221150</t>
  </si>
  <si>
    <t>http://kzsh114.dnepredu.com</t>
  </si>
  <si>
    <t>Криворізька загальноосвітня школа І-ІІІ ступенів № 115 Криворізької міської ради Дніпропетровської області</t>
  </si>
  <si>
    <t>вул. Макаренка, 2Б</t>
  </si>
  <si>
    <t>(0564)211241</t>
  </si>
  <si>
    <t>http://kschool115.dnepredu.com</t>
  </si>
  <si>
    <t>Криворізька загальноосвітня школа І-ІІІ ступенів № 59 Криворізької міської ради Дніпропетровської області</t>
  </si>
  <si>
    <t>вул. вул.Гірників, 30</t>
  </si>
  <si>
    <t>(0564)221752, (0564)223240</t>
  </si>
  <si>
    <t>http://school59.at.ua</t>
  </si>
  <si>
    <t>Криворізька загальноосвітня школа І-ІІ ступенів № 67 Криворізької міської ради Дніпропетровської області</t>
  </si>
  <si>
    <t>вул. Переяславська, 6</t>
  </si>
  <si>
    <t>(056)4077811</t>
  </si>
  <si>
    <t>https://sites.google.com/site/kzsh67/</t>
  </si>
  <si>
    <t>Криворізька загальноосвітня школа І-ІІІ ступенів № 73 Криворізької міської ради Дніпропетровської області</t>
  </si>
  <si>
    <t>вул. Добролюбова, 7</t>
  </si>
  <si>
    <t>(0564)211308</t>
  </si>
  <si>
    <t>http://school73.ucoz.ua</t>
  </si>
  <si>
    <t>Криворізька загальноосвітня школа І-ІІІ ступенів № 82 Криворізької міської ради Дніпропетровської області</t>
  </si>
  <si>
    <t>вул. Кронштадтська, 20</t>
  </si>
  <si>
    <t>(0564)211272</t>
  </si>
  <si>
    <t>http://kzh82.ucoz.com</t>
  </si>
  <si>
    <t>Криворізька загальноосвітня школа І-ІІ ступенів № 92 Криворізької міської ради Дніпропетровської області</t>
  </si>
  <si>
    <t>вул. Таганська, 1</t>
  </si>
  <si>
    <t>(0564)211757</t>
  </si>
  <si>
    <t>http://kzschool92.dnepredu.com/</t>
  </si>
  <si>
    <t>Комунальний заклад освіти "Криворізька загальноосвітня санаторна школа-інтернат № 7 І-ІІ ступенів" Дніпропетровської обласної ради</t>
  </si>
  <si>
    <t>1211037000</t>
  </si>
  <si>
    <t>Кривий Ріг, Саксаганський район</t>
  </si>
  <si>
    <t>вул. Володимира Великого, 27</t>
  </si>
  <si>
    <t>642067</t>
  </si>
  <si>
    <t>http://school_7.klasna.com</t>
  </si>
  <si>
    <t>20209802</t>
  </si>
  <si>
    <t>Комунальний заклад освіти "Криворізький ліцей-інтернат з посиленою військово-фізичною підготовкою" Дніпропетровської обласної ради"</t>
  </si>
  <si>
    <t>50027</t>
  </si>
  <si>
    <t>вул. Ярослава Мудрого, 81</t>
  </si>
  <si>
    <t>(0564)947183</t>
  </si>
  <si>
    <t>http://klpvfp.dnepredu.com</t>
  </si>
  <si>
    <t>25004393</t>
  </si>
  <si>
    <t>Криворізька гімназія № 91 Криворізької міської ради Дніпропетровської області</t>
  </si>
  <si>
    <t>50008</t>
  </si>
  <si>
    <t>вул. Генерала Радієвського, 48</t>
  </si>
  <si>
    <t>(0564)643322, (0564)643505</t>
  </si>
  <si>
    <t>http://kg091.dnepredu.com</t>
  </si>
  <si>
    <t>Криворізька загальноосвітня школа І - ІІІ ступенів № 58 Криворізької міської ради Дніпропетровської області</t>
  </si>
  <si>
    <t>50036</t>
  </si>
  <si>
    <t>вул. Льотчиків, 29</t>
  </si>
  <si>
    <t>(0564)641132</t>
  </si>
  <si>
    <t>http://kzsh58kr.dnepredu.com</t>
  </si>
  <si>
    <t>Криворізька загальноосвітня школа І - ІІІ ступенів № 41 Криворізької міської ради Дніпропетровської області</t>
  </si>
  <si>
    <t>вул. Співдружності, 44А</t>
  </si>
  <si>
    <t>(0564)654726</t>
  </si>
  <si>
    <t>http://kzschool41.krimedu.com</t>
  </si>
  <si>
    <t>Криворізька загальноосвітня школа І-ІІІ ступенів № 122 Криворізької міської ради Дніпропетровської області</t>
  </si>
  <si>
    <t>вул. Володимира Великого, 51Д</t>
  </si>
  <si>
    <t>(0564)643107</t>
  </si>
  <si>
    <t>http://kzsh122.dnepredu.com/</t>
  </si>
  <si>
    <t>Криворізька загальноосвітня школа І-ІІІ ступенів № 113 Криворізької міської ради Дніпропетровської області</t>
  </si>
  <si>
    <t>вул. Курчатова, 39А</t>
  </si>
  <si>
    <t>(0564)652882</t>
  </si>
  <si>
    <t>http://school113.dnepredu.com</t>
  </si>
  <si>
    <t>Криворізька загальноосвітня школа І-ІІІ ступенів № 119 Криворізької міської ради Дніпропетровської області</t>
  </si>
  <si>
    <t>50056</t>
  </si>
  <si>
    <t>мрн. Сонячний, 48А</t>
  </si>
  <si>
    <t>(0564)652575</t>
  </si>
  <si>
    <t>http://school_119.dnepredu.com/</t>
  </si>
  <si>
    <t>Криворізька загальноосвітня школа І-ІІІ ступенів № 120 Криворізької міської ради Дніпропетровської області</t>
  </si>
  <si>
    <t>50076</t>
  </si>
  <si>
    <t>вул. Івана Авраменка, 22</t>
  </si>
  <si>
    <t>(0564)647402</t>
  </si>
  <si>
    <t>http://school120.3dn.ru</t>
  </si>
  <si>
    <t>Криворізька загальноосвітня школа І-ІІІ ступенів № 124 Криворізької міської ради Дніпропетровської області</t>
  </si>
  <si>
    <t>50057</t>
  </si>
  <si>
    <t>вул. мкр. Гірницький, 33А</t>
  </si>
  <si>
    <t>(056)4081756</t>
  </si>
  <si>
    <t>http://s-edu.org.ua/school124</t>
  </si>
  <si>
    <t>Криворізька загальноосвітня школа І-ІІІ ступенів № 17 Криворізької міської ради Дніпропетровської області</t>
  </si>
  <si>
    <t>просп. Героїв-підпільників, 36А</t>
  </si>
  <si>
    <t>(0564)266698</t>
  </si>
  <si>
    <t>http://kzschool_17.dnepredu.com</t>
  </si>
  <si>
    <t>Криворізька загальноосвітня школа І-ІІІ ступенів № 19 Криворізької міської ради Дніпропетровської області</t>
  </si>
  <si>
    <t>вул. І. Авраменка, 20</t>
  </si>
  <si>
    <t>(0564)647161</t>
  </si>
  <si>
    <t>http://sch19.do.am</t>
  </si>
  <si>
    <t>Криворізька загальноосвітня школа І-ІІІ ступенів № 21 Криворізької міської ради Дніпропетровської області</t>
  </si>
  <si>
    <t>50049</t>
  </si>
  <si>
    <t>вул. Спаська, 8 А</t>
  </si>
  <si>
    <t>(0564)654023, (0564)653833</t>
  </si>
  <si>
    <t>http://kzsh21.dnepredu.com</t>
  </si>
  <si>
    <t>Криворізька загальноосвітня школа І-ІІІ ступенів № 31 Криворізької міської ради Дніпропетровської області</t>
  </si>
  <si>
    <t>вул. Качалова, 4</t>
  </si>
  <si>
    <t>(0564)642031</t>
  </si>
  <si>
    <t>http://kzsh31kr.dnepredu.com</t>
  </si>
  <si>
    <t>Криворізька загальноосвітня школа І-ІІІ ступенів № 43 Криворізької міської ради Дніпропетровської області</t>
  </si>
  <si>
    <t>вул. Покровська, 34А</t>
  </si>
  <si>
    <t>(0564)650064, (0564)653580</t>
  </si>
  <si>
    <t>http://school43.dp.ua</t>
  </si>
  <si>
    <t>Криворізька загальноосвітня школа І-ІІІ ступенів № 51 Криворізької міської ради Дніпропетровської області</t>
  </si>
  <si>
    <t>50011</t>
  </si>
  <si>
    <t>вул. Світлогорська, 103</t>
  </si>
  <si>
    <t>(056)4480622</t>
  </si>
  <si>
    <t>http://kzsh_51.dnepredu.com</t>
  </si>
  <si>
    <t>Криворізька загальноосвітня школа І-ІІІ ступенів № 68 Криворізької міської ради Дніпропетровської області</t>
  </si>
  <si>
    <t>мрн. Гірницький, 3</t>
  </si>
  <si>
    <t>(056)4081851</t>
  </si>
  <si>
    <t>http://school68.inet.ua</t>
  </si>
  <si>
    <t>Криворізька загальноосвітня школа І-ІІІ ступенів № 72 Криворізької міської ради Дніпропетровської області</t>
  </si>
  <si>
    <t>вул. Катеринівська, 8А</t>
  </si>
  <si>
    <t>(0564)642515</t>
  </si>
  <si>
    <t>http://school72.dp.ua/</t>
  </si>
  <si>
    <t>Криворізька спеціалізована школа І-ІІІ ступенів № 70 Криворізької міської ради Дніпропетровської області</t>
  </si>
  <si>
    <t>вул. Ярослава Мудрого, 79</t>
  </si>
  <si>
    <t>(0564)741330</t>
  </si>
  <si>
    <t>http://school70inkr.dnepredu.com</t>
  </si>
  <si>
    <t>Криворізька спеціалізована школа І-ІІІ ступенів № 74 Криворізької міської ради Дніпропетровської області</t>
  </si>
  <si>
    <t>50084</t>
  </si>
  <si>
    <t>мрн. Ювілейний, 1А</t>
  </si>
  <si>
    <t>(0564)657051</t>
  </si>
  <si>
    <t>http://School-74.ucoz.net</t>
  </si>
  <si>
    <t>Криворізька спеціалізована школа І-ІІІ ступенів № 107 з поглибленим вивченням англійської мови Криворізької міської ради Дніпропетровської області</t>
  </si>
  <si>
    <t>вул. Катеринівська, 11</t>
  </si>
  <si>
    <t>(0564)641542, (0564)644111</t>
  </si>
  <si>
    <t>http://107element.dnepredu.com</t>
  </si>
  <si>
    <t>Криворізька спеціалізована школа І-ІІІ ступенів № 118 Криворізької міської ради Дніпропетровської області</t>
  </si>
  <si>
    <t>мрн. Сонячний, 1</t>
  </si>
  <si>
    <t>(0564)905500, (0564)905546</t>
  </si>
  <si>
    <t>http://school118.at.ua</t>
  </si>
  <si>
    <t>Криворізький навчально-виховний комплекс № 35 "Загальноосвітня школа І-ІІІ ступенів - багатопрофільний ліцей "Імпульс" Криворізької міської ради Дніпропетровської області</t>
  </si>
  <si>
    <t>вул. Співдружності, 84А</t>
  </si>
  <si>
    <t>(096)0952878</t>
  </si>
  <si>
    <t>http://knvk35.dnepredu.com</t>
  </si>
  <si>
    <t>Криворізький природничо - науковий ліцей Криворізької міської ради Дніпропетровської області</t>
  </si>
  <si>
    <t>вул. Володимира Великого, 32А</t>
  </si>
  <si>
    <t>(0564)642335</t>
  </si>
  <si>
    <t>http://kpnl.klasna.com</t>
  </si>
  <si>
    <t>Навчально – виховний комплекс Дошкільний навчальний заклад комбінованого типу – загальноосвітня школа І ступеню № 278 Криворізької міської ради</t>
  </si>
  <si>
    <t>мрн. Сонячний, 36А</t>
  </si>
  <si>
    <t>(0564)653516, 656988</t>
  </si>
  <si>
    <t>http://nvk278.dnepredu.com/</t>
  </si>
  <si>
    <t>Навчально-виховний комплекс "Дошкільний навчальний заклад - загальноосвітня школа І ступеня № 240"</t>
  </si>
  <si>
    <t>вул. Покровська, 21А</t>
  </si>
  <si>
    <t>(0564)654675</t>
  </si>
  <si>
    <t>http://nvk240.dnepredu.com</t>
  </si>
  <si>
    <t>Комунальний заклад "Навчально-виховний комплекс "Криворізька загальноосвітня школа І-ІІ ступенів - дошкільний навчальний заклад № 83" Криворізької міської ради Дніпропетровської області</t>
  </si>
  <si>
    <t>50481</t>
  </si>
  <si>
    <t>1211037200</t>
  </si>
  <si>
    <t>Кривий Ріг, Тернівський район</t>
  </si>
  <si>
    <t>вул. Широка, 15</t>
  </si>
  <si>
    <t>(0564)367543</t>
  </si>
  <si>
    <t>http://www.krschool83.do.am</t>
  </si>
  <si>
    <t>Комунальний заклад «Навчально - виховний комплекс «Дошкільний навчальний заклад комбінованого типу - загальноосвітня школа І ступеня» № 218» Криворізької міської ради</t>
  </si>
  <si>
    <t>50083</t>
  </si>
  <si>
    <t>вул. Ухтомського, 34</t>
  </si>
  <si>
    <t>(0564)354081</t>
  </si>
  <si>
    <t>https://sites.google.com/site/krivojrogsnvk218/</t>
  </si>
  <si>
    <t>Комунальний заклад «Навчально-виховний комплекс «Дошкільний навчальний заклад комбінованого типу - загальноосвітня школа І ступеня» № 291» Криворізької міської ради</t>
  </si>
  <si>
    <t>50082</t>
  </si>
  <si>
    <t>вул. Чарівна, 28</t>
  </si>
  <si>
    <t>(0564)363394</t>
  </si>
  <si>
    <t>https://sites.google.com/site/krrigsnvk291/home</t>
  </si>
  <si>
    <t>Комунальний заклад освіти "Криворізька загальноосвітня санаторна школа-інтернат № 8 І-ІІ ступенів" Дніпропетровської обласної ради"</t>
  </si>
  <si>
    <t>50047</t>
  </si>
  <si>
    <t>вул. Сергія Колачевського, 86А</t>
  </si>
  <si>
    <t>(0564)62-01-99</t>
  </si>
  <si>
    <t>https://sites.google.com/site/krivoyrogkzshino8/</t>
  </si>
  <si>
    <t>20204696</t>
  </si>
  <si>
    <t>Криворізька загальноосвітня школа І-ІІ ступенів № 76 Криворізької міської ради Дніпропетровської області</t>
  </si>
  <si>
    <t>50066</t>
  </si>
  <si>
    <t>вул. Брестська, 21</t>
  </si>
  <si>
    <t>(056)4040519</t>
  </si>
  <si>
    <t>https://sites.google.com/site/krivoyrogkzsh76</t>
  </si>
  <si>
    <t>Криворізька загальноосвітня школа І-ІІІ ступенів № 105 Криворізької міської ради Дніпропетровської області</t>
  </si>
  <si>
    <t>50079</t>
  </si>
  <si>
    <t>вул. Івана Сірка, 28</t>
  </si>
  <si>
    <t>(0564)357342</t>
  </si>
  <si>
    <t>https://sites.google.com/site/school105kr/</t>
  </si>
  <si>
    <t>Криворізька загальноосвітня школа І-ІІІ ступенів № 110 Криворізької міської ради Дніпропетровської області</t>
  </si>
  <si>
    <t>50089</t>
  </si>
  <si>
    <t>вул. Доватора, 31</t>
  </si>
  <si>
    <t>(0564)380193</t>
  </si>
  <si>
    <t>http://kzsh110.wix.com/kzsh110</t>
  </si>
  <si>
    <t>Криворізька загальноосвітня школа І-ІІІ ступенів № 116 Криворізької міської ради Дніпропетровської області</t>
  </si>
  <si>
    <t>вул. Маршака, 19</t>
  </si>
  <si>
    <t>(0564)384807, (0564)384968</t>
  </si>
  <si>
    <t>http://sc116.dnepredu.com</t>
  </si>
  <si>
    <t>Криворізька загальноосвітня школа І-ІІІ ступенів № 117 Криворізької міської ради Дніпропетровської області</t>
  </si>
  <si>
    <t>вул. Адмірала Головка, 9А</t>
  </si>
  <si>
    <t>(0564)38-44-21, (0564)38-44-23</t>
  </si>
  <si>
    <t>https://sites.google.com/site/krivorizkaskolano117/</t>
  </si>
  <si>
    <t>Криворізька загальноосвітня школа І-ІІІ ступенів № 27 Криворізької міської ради Дніпропетровської області</t>
  </si>
  <si>
    <t>вул. Чарівна, 22 а</t>
  </si>
  <si>
    <t>(0564)363471</t>
  </si>
  <si>
    <t>https://sites.google.com/site/krivyjrogkzsh27/</t>
  </si>
  <si>
    <t>Криворізька загальноосвітня школа І-ІІІ ступенів № 37 Криворізької міської ради Дніпропетровської області</t>
  </si>
  <si>
    <t>50037</t>
  </si>
  <si>
    <t>вул. Таісії Буряченко, 17</t>
  </si>
  <si>
    <t>(056)4480078</t>
  </si>
  <si>
    <t>http://www.kzsh37.dp.ua/</t>
  </si>
  <si>
    <t>Криворізька загальноосвітня школа І-ІІІ ступенів № 40 Криворізької міської ради Дніпропетровської області</t>
  </si>
  <si>
    <t>50090</t>
  </si>
  <si>
    <t>вул. Сестроріцька, 2 Б</t>
  </si>
  <si>
    <t>(0564)352020, (0564)352038</t>
  </si>
  <si>
    <t>https://sites.google.com/site/krivoyrogkzsh40/home</t>
  </si>
  <si>
    <t>Криворізька загальноосвітня школа І-ІІІ ступенів № 42 Криворізької міської ради Дніпропетровської області</t>
  </si>
  <si>
    <t>вул. Каштанова, 38</t>
  </si>
  <si>
    <t>(0564)368197</t>
  </si>
  <si>
    <t>http://sites.google.com/site/krivoyrogkzsh42/home</t>
  </si>
  <si>
    <t>Криворізька загальноосвітня школа І-ІІІ ступенів № 45 Криворізької міської ради Дніпропетровської області</t>
  </si>
  <si>
    <t>вул. Сергія Колачевського, 170В</t>
  </si>
  <si>
    <t>(0564)368267</t>
  </si>
  <si>
    <t>https://school45.dp.ua</t>
  </si>
  <si>
    <t>Криворізька загальноосвітня школа І-ІІІ ступенів № 48 Криворізької міської ради Дніпропетровської області</t>
  </si>
  <si>
    <t>вул. Юрія Смирнова, 28</t>
  </si>
  <si>
    <t>(0564)350321</t>
  </si>
  <si>
    <t>http://krschool48.wixsite.com/webpage</t>
  </si>
  <si>
    <t>Криворізька загальноосвітня школа І-ІІІ ступенів № 50 Криворізької міської ради Дніпропетровської області</t>
  </si>
  <si>
    <t>вул. Івана Сірка, 57</t>
  </si>
  <si>
    <t>(0564)357259</t>
  </si>
  <si>
    <t>http://kzsh50.wix.com/webpage</t>
  </si>
  <si>
    <t>Криворізька загальноосвітня школа І-ІІІ ступенів № 55 Криворізької міської ради Дніпропетровської області</t>
  </si>
  <si>
    <t>вул. Сергія Колачевського, 108А</t>
  </si>
  <si>
    <t>(0564)361539</t>
  </si>
  <si>
    <t>http://kzh55.github.io</t>
  </si>
  <si>
    <t>Криворізька загальноосвітня школа І-ІІІ ступенів № 61 Криворізької міської ради Дніпропетровської області</t>
  </si>
  <si>
    <t>вул. Д. Войчишена, 5</t>
  </si>
  <si>
    <t>(0564)512121</t>
  </si>
  <si>
    <t>https://sites.google.com/site/krivoyrogkzsh61/</t>
  </si>
  <si>
    <t>Криворізька загальноосвітня школа І-ІІІ ступенів № 78 Криворізької міської ради Дніпропетровської області</t>
  </si>
  <si>
    <t>вул. В.Терещенка, 10 г</t>
  </si>
  <si>
    <t>(0564)350122</t>
  </si>
  <si>
    <t>https://sites.google.com/site/kzosh78/</t>
  </si>
  <si>
    <t>Криворізька Тернівська гімназія Криворізької міської ради Дніпропетровської області</t>
  </si>
  <si>
    <t>вул. Адмірала Головка, 45А</t>
  </si>
  <si>
    <t>(0564)388773</t>
  </si>
  <si>
    <t>https://sites.google.com/site/krivoyrogktg/</t>
  </si>
  <si>
    <t>Криворізький навчально-виховний комплекс "Загальноосвітня школа І-ІІ ступенів-дошкільний навчальний заклад" № 38 Криворізької міської ради Дніпропетровської області</t>
  </si>
  <si>
    <t>вул. Кибальчича, 19</t>
  </si>
  <si>
    <t>0964411238</t>
  </si>
  <si>
    <t>http://sc38.dnepredu.com/</t>
  </si>
  <si>
    <t>Навчально-виховний комплекс "Загальноосвітній навчальний заклад І-ІІ ступенів - Тернівський ліцей" Криворізької міської ради</t>
  </si>
  <si>
    <t>вул. В. Терещенка, 10 Е</t>
  </si>
  <si>
    <t>(0564)350031</t>
  </si>
  <si>
    <t>http://liceumsite.wixsite.com/webpage</t>
  </si>
  <si>
    <t>Комунальний заклад "Навчально-виховний комплекс "Криворізька спеціалізована школа І-ІІІ ступенів із поглибленим вивченням іноземних мов - дошкільний навчальний заклад"</t>
  </si>
  <si>
    <t>50002</t>
  </si>
  <si>
    <t>1211037500</t>
  </si>
  <si>
    <t>Кривий Ріг, Центрально-Міський район</t>
  </si>
  <si>
    <t>вул. Пушкіна, 48К</t>
  </si>
  <si>
    <t>(0564)903707</t>
  </si>
  <si>
    <t>http://schoolnvk.dnepredu.com/</t>
  </si>
  <si>
    <t>Криворізька вечірня школа № 12 Криворізької міської ради Дніпропетровської області</t>
  </si>
  <si>
    <t>50067</t>
  </si>
  <si>
    <t>вул. Миколаївське шосе</t>
  </si>
  <si>
    <t>(0564)273931</t>
  </si>
  <si>
    <t>http://vecernaja12.dnepredu.com/</t>
  </si>
  <si>
    <t>Криворізька загальноосвітня школа I-III ступенів № 123 Криворізької міської ради Дніпропетровської області</t>
  </si>
  <si>
    <t>вул. Миколаївське шосе, 18</t>
  </si>
  <si>
    <t>(0564)27-45-32, (0564)27-45-44</t>
  </si>
  <si>
    <t>https://sites.google.com/site/skola123moarodina/</t>
  </si>
  <si>
    <t>Криворізька загальноосвітня школа І-ІІ ступенів № 10 Криворізької міської ради Дніпропетровської області</t>
  </si>
  <si>
    <t>50004</t>
  </si>
  <si>
    <t>вул. Чумацька, 6</t>
  </si>
  <si>
    <t>(0564)923060</t>
  </si>
  <si>
    <t>http://krschool-10.dnepredu.com</t>
  </si>
  <si>
    <t>Криворізька загальноосвітня школа І-ІІ ступенів № 104 Криворізької міської ради Дніпропетровської області</t>
  </si>
  <si>
    <t>50482</t>
  </si>
  <si>
    <t>вул. Авангардна, 8</t>
  </si>
  <si>
    <t>(0564)772720</t>
  </si>
  <si>
    <t>http://kzsh104.dnepredu.com</t>
  </si>
  <si>
    <t>Криворізький навчально-виховний комплекс № 13 "Загальноосвітня школа І-ІІ ступенів - дошкільний навчальний заклад (дитячий садок)" Криворізької міської ради Дніпропетровської області</t>
  </si>
  <si>
    <t>50098</t>
  </si>
  <si>
    <t>вул. Шкільна, 27Ж</t>
  </si>
  <si>
    <t>(0564)900171</t>
  </si>
  <si>
    <t>http://school13.dnepredu.com/</t>
  </si>
  <si>
    <t>Криворізька загальноосвітня школа І-ІІ ступенів № 39 Криворізької міської ради Дніпропетровської області</t>
  </si>
  <si>
    <t>50032</t>
  </si>
  <si>
    <t>вул. Яцьківа, 41А</t>
  </si>
  <si>
    <t>(0564)223141</t>
  </si>
  <si>
    <t>http://kzsh39.dnepredu.com</t>
  </si>
  <si>
    <t>Криворізька загальноосвітня школа І-ІІ ступенів № 64 Криворізької міської ради Дніпропетровської області</t>
  </si>
  <si>
    <t>50097</t>
  </si>
  <si>
    <t>вул. Зорге, 1</t>
  </si>
  <si>
    <t>(0564)223200</t>
  </si>
  <si>
    <t>http://kzsh64.dnepredu.com/</t>
  </si>
  <si>
    <t>Криворізька загальноосвітня школа І-ІІ ступеню № 5 Криворізької міської ради Дніпропетровської області</t>
  </si>
  <si>
    <t>50019</t>
  </si>
  <si>
    <t>вул. Тарапаківська, 28</t>
  </si>
  <si>
    <t>(0564)280118</t>
  </si>
  <si>
    <t>http://kzshn5.dnepredu.com/</t>
  </si>
  <si>
    <t>Криворізька загальноосвітня школа І-ІІІ ступенів № 29 Криворізької міської ради Дніпропетровської області</t>
  </si>
  <si>
    <t>50001</t>
  </si>
  <si>
    <t>вул. Рахманінова, 1</t>
  </si>
  <si>
    <t>((0564))90-03-35</t>
  </si>
  <si>
    <t>http://kosch29.dnepredu.com/</t>
  </si>
  <si>
    <t>Криворізька загальноосвітня школа І-ІІІ ступенів № 79 Криворізької міської ради Дніпропетровської області</t>
  </si>
  <si>
    <t>50025</t>
  </si>
  <si>
    <t>вул. Політехнічна, 77</t>
  </si>
  <si>
    <t>(0564)271613</t>
  </si>
  <si>
    <t>https://sites.google.com/site/karacunino79/</t>
  </si>
  <si>
    <t>Криворізька загальноосвітня школа І-ІІІ ступенів № 12 Криворізької міської ради Дніпропетровської області</t>
  </si>
  <si>
    <t>вул. Алмазна, 3</t>
  </si>
  <si>
    <t>(0564)273543</t>
  </si>
  <si>
    <t>http://schooln12.wix.com/schooln12</t>
  </si>
  <si>
    <t>Криворізька загальноосвітня школа І-ІІІ ступенів № 2 Криворізької міської ради Дніпропетровської області</t>
  </si>
  <si>
    <t>50024</t>
  </si>
  <si>
    <t>вул. Шмідта, 76А</t>
  </si>
  <si>
    <t>(0564)902194</t>
  </si>
  <si>
    <t>http://kr_school_2.dnepredu.com/</t>
  </si>
  <si>
    <t>Криворізька загальноосвітня школа І-ІІІ ступенів № 22 Криворізької міської ради Дніпропетровської області</t>
  </si>
  <si>
    <t>вул. Стрєльцова, 4В</t>
  </si>
  <si>
    <t>(0564)260911</t>
  </si>
  <si>
    <t>https://sites.google.com/site/kosno22/</t>
  </si>
  <si>
    <t>Криворізька загальноосвітня школа І-ІІІ ступенів № 23 Криворізької міської ради Дніпропетровської області</t>
  </si>
  <si>
    <t>вул. Політехнічна, 71А</t>
  </si>
  <si>
    <t>(0564)273951, (0564)272411</t>
  </si>
  <si>
    <t>http://kzsh23.dnepredu.com/</t>
  </si>
  <si>
    <t>Криворізька загальноосвітня школа І-ІІІ ступенів № 28 Криворізької міської ради Дніпропетровської області</t>
  </si>
  <si>
    <t>вул. Українська, 202 в</t>
  </si>
  <si>
    <t>(0564)280979</t>
  </si>
  <si>
    <t>http://school28.ho.ua</t>
  </si>
  <si>
    <t>Криворізька загальноосвітня школа І-ІІІ ступенів № 60 Криворізької міської ради Дніпропетровської області</t>
  </si>
  <si>
    <t>вул. Українська, 66</t>
  </si>
  <si>
    <t>(0564)925422</t>
  </si>
  <si>
    <t>http://kzsh060.ucoz.net/</t>
  </si>
  <si>
    <t>Криворізька загальноосвітня школа І-ІІІ ступенів № 8 Криворізької міської ради Дніпропетровської області</t>
  </si>
  <si>
    <t>вул. Першотравнева, 16А</t>
  </si>
  <si>
    <t>(0564)900715</t>
  </si>
  <si>
    <t>http://skool8.dnepredu.com/</t>
  </si>
  <si>
    <t>Криворізька загальноосвітня школа І-ІІІ ступенів № 85 Криворізької міської ради Дніпропетровської області</t>
  </si>
  <si>
    <t>50046</t>
  </si>
  <si>
    <t>вул. мкрн. Всебратське-2, 65Б</t>
  </si>
  <si>
    <t>(0564)277167</t>
  </si>
  <si>
    <t>http://shkola85.wixsite.com/data/</t>
  </si>
  <si>
    <t>Криворізька загальноосвітня школа І-ІІІ ступеню № 1 Криворізької міської ради Дніпропетровської області</t>
  </si>
  <si>
    <t>вул. Чкалова, 1Ж</t>
  </si>
  <si>
    <t>(056)4938551</t>
  </si>
  <si>
    <t>https://sites.google.com/site/kryvyirihschool1/</t>
  </si>
  <si>
    <t>Криворізька загальносвітня школа І-ІІ ступенів № 30 Криворізької міської ради Дніпропетровської області</t>
  </si>
  <si>
    <t>вул. Кленова, 9</t>
  </si>
  <si>
    <t>(0564)90-00-47</t>
  </si>
  <si>
    <t>http://school30.in.ua</t>
  </si>
  <si>
    <t>Криворізька спеціалізована загальноосвітня школа I-III ступенів № 20 з поглибленим вивченням німецької мови Криворізької міської ради Дніпропетровської області</t>
  </si>
  <si>
    <t>вул. Олександра Поля, 31</t>
  </si>
  <si>
    <t>(0564)902773</t>
  </si>
  <si>
    <t>http://school20.dnepredu.com/</t>
  </si>
  <si>
    <t>Криворізька Центрально-Міська гімназія Криворізької міської ради Дніпропетровської області</t>
  </si>
  <si>
    <t>50099</t>
  </si>
  <si>
    <t>вул. Першотравнева, 16</t>
  </si>
  <si>
    <t>(0546)900605</t>
  </si>
  <si>
    <t>http://kcmg.ho.ua</t>
  </si>
  <si>
    <t>Криворізький Центрально-Міський ліцей Криворізької міської ради Дніпропетровської області</t>
  </si>
  <si>
    <t>вул. Лермонтова, 12</t>
  </si>
  <si>
    <t>(0564)923413</t>
  </si>
  <si>
    <t>http://kcml.hol.es</t>
  </si>
  <si>
    <t>Комунальний дошкільний навчальний заклад - навчально-виховний комплекс " Дошкільний навчальний заклад - загальноосвітній навчальний заклад - школа І ступеня"</t>
  </si>
  <si>
    <t>53408</t>
  </si>
  <si>
    <t>1211300000</t>
  </si>
  <si>
    <t>Марганець</t>
  </si>
  <si>
    <t>вул. Фестивальна, 15А</t>
  </si>
  <si>
    <t>0566533526</t>
  </si>
  <si>
    <t>http://marganets-nvk8.edukit.dp.ua/</t>
  </si>
  <si>
    <t>Комунальний заклад освіти "Марганецький багатопрофільний навчально-реабілітаційний центр " Дніпропетровської обласної ради"</t>
  </si>
  <si>
    <t>53400</t>
  </si>
  <si>
    <t>380665627284</t>
  </si>
  <si>
    <t>http://marganets-internat1.edukit.dp.ua/</t>
  </si>
  <si>
    <t>23024919</t>
  </si>
  <si>
    <t>Комунальний заклад освіти міський центр трудової підготовки учнівської молоді</t>
  </si>
  <si>
    <t>53407</t>
  </si>
  <si>
    <t>вул. О.Кошового, 4</t>
  </si>
  <si>
    <t>(05665)52552</t>
  </si>
  <si>
    <t>http://marganets-ctpum.edukit.dp.ua/</t>
  </si>
  <si>
    <t>Марганецька гімназія Марганецької міської ради Дніпропетровської області</t>
  </si>
  <si>
    <t>вул. Щербини, 26</t>
  </si>
  <si>
    <t>(05665)3-24-23, (05665)3-35-81</t>
  </si>
  <si>
    <t>http://shosta.at.ua</t>
  </si>
  <si>
    <t>Марганецька гуманітарна гімназія ім.Т.Шевченка Марганецької міської ради Дніпропетровської області</t>
  </si>
  <si>
    <t>вул. Перспективна, 3А</t>
  </si>
  <si>
    <t>05665-6-15-17, 05665-6-15-18</t>
  </si>
  <si>
    <t>http://marganets-school1.edukit.dp.ua</t>
  </si>
  <si>
    <t>Марганецька спеціалізована природничо-математична школа І-ІІІ ступенів № 11 Марганецької міської ради Дніпропетровської області</t>
  </si>
  <si>
    <t>вул. Соборна, 14</t>
  </si>
  <si>
    <t>(05665)2-20-64</t>
  </si>
  <si>
    <t>http://mn-school-11.at.ua</t>
  </si>
  <si>
    <t>Марганецька загальноосвітня школа І-ІІІ ступенів № 12 Марганецької міської ради Дніпропетровської області</t>
  </si>
  <si>
    <t>вул. Єдності, 65А</t>
  </si>
  <si>
    <t>52674</t>
  </si>
  <si>
    <t>http://marganets-school12.edukit.dp.ua</t>
  </si>
  <si>
    <t>Марганецька загальноосвітня школа І-ІІІ ступенів № 3 Марганецької міської ради Дніпропетровської області</t>
  </si>
  <si>
    <t>вул. Лермонтова, 2</t>
  </si>
  <si>
    <t>(05665)3-17-23</t>
  </si>
  <si>
    <t>http://marganets-school3.edukit.dp.ua/</t>
  </si>
  <si>
    <t>Навчально-виховний комплекс "Марганецька загальноосвітня школа І-ІІІ ступенів № 5 - дошкільний навчальний заклад"</t>
  </si>
  <si>
    <t>вул. Історична, 37</t>
  </si>
  <si>
    <t>0566558182</t>
  </si>
  <si>
    <t>http://marganets-school5.edukit.dp.ua</t>
  </si>
  <si>
    <t>Марганецька загальноосвітня школа І-ІІІ ступенів № 7 Марганецької міської ради Дніпропетровської області</t>
  </si>
  <si>
    <t>53406</t>
  </si>
  <si>
    <t>вул. Долгова, 1</t>
  </si>
  <si>
    <t>(05665)-58-8-34, (05665)-58-0-11</t>
  </si>
  <si>
    <t>http://marganets-zosh7.dp.sch.in.ua/</t>
  </si>
  <si>
    <t>Марганецька спеціалізована загальноосвітня школа І-ІІІ ступенів № 9 з поглибленим вивченням окремих предметів Марганецької міської ради Дніпропетровської області</t>
  </si>
  <si>
    <t>кв. Ювілейний, 16</t>
  </si>
  <si>
    <t>0566541359</t>
  </si>
  <si>
    <t>http://marganets-school9.dp.sch.in.ua/</t>
  </si>
  <si>
    <t>Марганецька спеціалізована школа І-ІІІ ступенів № 2 з поглибленим вивченням англійської мови Марганецької міської ради Дніпропетровської області</t>
  </si>
  <si>
    <t>вул. Садова, 18</t>
  </si>
  <si>
    <t>(05665)22073</t>
  </si>
  <si>
    <t>http://marganets-school2.edukit.dp.ua</t>
  </si>
  <si>
    <t>Навчально-виховний комплекс "Ліцей-спеціалізована загальноосвітня школа I-III ступенів № 10" Марганецької міської ради Дніпропетровської області</t>
  </si>
  <si>
    <t>53403</t>
  </si>
  <si>
    <t>вул. Бульварна, 5</t>
  </si>
  <si>
    <t>-</t>
  </si>
  <si>
    <t>http://desjatka.at.ua</t>
  </si>
  <si>
    <t>"Нікопольська середня загальноосвітня школа І-ІІ ступенів № 17"</t>
  </si>
  <si>
    <t>53204</t>
  </si>
  <si>
    <t>1211600000</t>
  </si>
  <si>
    <t>Нікополь</t>
  </si>
  <si>
    <t>вул. Довгалівська, 244</t>
  </si>
  <si>
    <t>51474</t>
  </si>
  <si>
    <t>Комунальний загальноосвітній навчальний заклад "Гімназія № 15" міста Нікополь</t>
  </si>
  <si>
    <t>53213</t>
  </si>
  <si>
    <t>вул. Шульгіна, 2</t>
  </si>
  <si>
    <t>(05662)2-23-15</t>
  </si>
  <si>
    <t>http://gimnazija15.dnepredu.com</t>
  </si>
  <si>
    <t>Комунальний заклад " Нікопольська середня загальноосвітня школа І-ІІІ ступенів № 24"</t>
  </si>
  <si>
    <t>53207</t>
  </si>
  <si>
    <t>вул. Першотравнева, 13</t>
  </si>
  <si>
    <t>3-21-05</t>
  </si>
  <si>
    <t>Комунальний заклад "Нікопольська гімназія № 7 ІІ-ІІІ ступенів"</t>
  </si>
  <si>
    <t>53201</t>
  </si>
  <si>
    <t>вул. 50 років НЗФ, 42</t>
  </si>
  <si>
    <t>25137, 22430, 21442</t>
  </si>
  <si>
    <t>http://gimnazia7.klasna.com</t>
  </si>
  <si>
    <t>Комунальний заклад "Нікопольська середня заагальноосвітня школа І-ІІІ ступенів № 8"</t>
  </si>
  <si>
    <t>53211</t>
  </si>
  <si>
    <t>вул. Довгалівська, 5</t>
  </si>
  <si>
    <t>(05662) 50246</t>
  </si>
  <si>
    <t>http://school8nikopol.dnepredu.com</t>
  </si>
  <si>
    <t>Комунальний заклад "Нікопольська середня загальноосвітня школа I-II ступенів № 1 імені Олександра Коваля"</t>
  </si>
  <si>
    <t>50444</t>
  </si>
  <si>
    <t>http://school1niko.dnepredu.com/</t>
  </si>
  <si>
    <t>комунальний заклад "Нікопольська середня загальноосвітня школа І - ІІ ступенів № 14"</t>
  </si>
  <si>
    <t>53208</t>
  </si>
  <si>
    <t>вул. Гайдамацька, 33</t>
  </si>
  <si>
    <t>(05662)3-21-40</t>
  </si>
  <si>
    <t>http://school14.dnepredu.com</t>
  </si>
  <si>
    <t>Комунальний заклад "Нікопольська середня загальноосвітня школа І - ІІІ ступенів № 21"</t>
  </si>
  <si>
    <t>вул. Гагаріна, 161</t>
  </si>
  <si>
    <t>694455, 694444</t>
  </si>
  <si>
    <t>http://school21.dnepredu.com</t>
  </si>
  <si>
    <t>Комунальний заклад "Нікопольська середня загальноосвітня школа І - ІІІ ступенів № 22"</t>
  </si>
  <si>
    <t>53220</t>
  </si>
  <si>
    <t>вул. Добролюбова, 47 А</t>
  </si>
  <si>
    <t>(05662) 695577</t>
  </si>
  <si>
    <t>http://school22.dnepredu.com</t>
  </si>
  <si>
    <t>Комунальний заклад "Нікопольська середня загальноосвітня школа І-ІІ ступенів № 11"</t>
  </si>
  <si>
    <t>53222</t>
  </si>
  <si>
    <t>вул. Лапинська, 130</t>
  </si>
  <si>
    <t>0566251627, 0566252816</t>
  </si>
  <si>
    <t>http://school11-9.dnepredu.com</t>
  </si>
  <si>
    <t>Комунальний заклад "Нікопольська середня загальноосвітня школа І-ІІ ступенів № 18"</t>
  </si>
  <si>
    <t>вул. Перемоги, 39</t>
  </si>
  <si>
    <t>+380566250081, +380566250304</t>
  </si>
  <si>
    <t>http://nikopolska18.dnepredu.com</t>
  </si>
  <si>
    <t>комунальний заклад "Нікопольська середня загальноосвітня школа І-ІІІ ступенів № 10"</t>
  </si>
  <si>
    <t>вул. Некрасова, 43 а</t>
  </si>
  <si>
    <t>(05662)3-40-60, (05662)3-39-44</t>
  </si>
  <si>
    <t>http://school10nikopol.dnepredu.com</t>
  </si>
  <si>
    <t>Комунальний заклад "Нікопольська середня загальноосвітня школа І-ІІІ ступенів № 12"</t>
  </si>
  <si>
    <t>вул. Лапинська, 254</t>
  </si>
  <si>
    <t>25036</t>
  </si>
  <si>
    <t>http://school12_nikopol.dnepredu.com/</t>
  </si>
  <si>
    <t>Комунальний заклад "Нікопольська середня загальноосвітня школа І-ІІІ ступенів № 19"</t>
  </si>
  <si>
    <t>53225</t>
  </si>
  <si>
    <t>вул. Добролюбова, 47</t>
  </si>
  <si>
    <t>69-55-69</t>
  </si>
  <si>
    <t>http://school19nikopol.dnepredu.com/</t>
  </si>
  <si>
    <t>Комунальний заклад "Нікопольська середня загальноосвітня школа І-ІІІ ступенів № 2"</t>
  </si>
  <si>
    <t>53219</t>
  </si>
  <si>
    <t>вул. Героїв Чорнобиля, 68</t>
  </si>
  <si>
    <t>3-17-72</t>
  </si>
  <si>
    <t>http://school2.dnepredu.com</t>
  </si>
  <si>
    <t>Комунальний заклад "Нікопольська середня загальноосвітня школа І-ІІІ ступенів № 23"</t>
  </si>
  <si>
    <t>вул. Корбута, 1,а</t>
  </si>
  <si>
    <t>0566638267</t>
  </si>
  <si>
    <t>http://nkz23.at.ua</t>
  </si>
  <si>
    <t>Комунальний заклад "Нікопольська середня загальноосвітня школа І-ІІІ ступенів № 25 з поглибленим трудовим і профільним навчанням"</t>
  </si>
  <si>
    <t>вул. Трубників, 46</t>
  </si>
  <si>
    <t>2-11-29, 2-22-15</t>
  </si>
  <si>
    <t>http://nikopol25.dnepredu.com</t>
  </si>
  <si>
    <t>Комунальний заклад "Нікопольська середня загальноосвітня школа І-ІІІ ступенів № 3"</t>
  </si>
  <si>
    <t>(05662)41842, (05662)41845</t>
  </si>
  <si>
    <t>http://school-3.dnepredu.com</t>
  </si>
  <si>
    <t>Комунальний заклад "Нікопольська середня загальноосвітня школа І-ІІІ ступенів № 4"</t>
  </si>
  <si>
    <t>53200</t>
  </si>
  <si>
    <t>вул. Патріотів України, 111</t>
  </si>
  <si>
    <t>5-28-14</t>
  </si>
  <si>
    <t>http://shkola4nikopol.dnepredu.com</t>
  </si>
  <si>
    <t>Комунальний заклад "Нікопольська середня загальноосвітня школа І-ІІІ ступенів № 6"</t>
  </si>
  <si>
    <t>вул. Електрометалургів, 55</t>
  </si>
  <si>
    <t>(05662)30514</t>
  </si>
  <si>
    <t>http://school6.dnepredu.com</t>
  </si>
  <si>
    <t>Комунальний заклад "Нікопольська середня загальноосвітня школа І-ІІІ ступенів № 13"</t>
  </si>
  <si>
    <t>53210</t>
  </si>
  <si>
    <t>вул. Героїв Чорнобиля, 65</t>
  </si>
  <si>
    <t>(05662)21366, (05662)21254</t>
  </si>
  <si>
    <t>http://schooll13nikopol.klasna.com</t>
  </si>
  <si>
    <t>комунальний заклад "Нікопольська середня загальноосвітня школа І-ІІІ ступенів № 16"</t>
  </si>
  <si>
    <t>вул. Довгалівська, 279</t>
  </si>
  <si>
    <t>(05662)51286, (05662)50145</t>
  </si>
  <si>
    <t>http://nikopolschool16.dnepredu.com</t>
  </si>
  <si>
    <t>Комунальний заклад "Нікопольська середня загальноосвітня школа І-ІІІ ступенів № 20"</t>
  </si>
  <si>
    <t>вул. Шевченка, 204</t>
  </si>
  <si>
    <t>(05662)32210</t>
  </si>
  <si>
    <t>http://school20_nikopol.dnepredu.com</t>
  </si>
  <si>
    <t>російська,англійська,іспанська</t>
  </si>
  <si>
    <t>Комунальний заклад "НІкопольська середня загальноосвітня школа І-ІІІ ступенів № 9"</t>
  </si>
  <si>
    <t>вул. Шевченка, 87</t>
  </si>
  <si>
    <t>05662 4-16-19</t>
  </si>
  <si>
    <t>http://school9.dp.ua</t>
  </si>
  <si>
    <t>Комунальний заклад "Нікопольська спеціалізована школа І-ІІІ ступенів № 5"</t>
  </si>
  <si>
    <t>вул. Гагаріна, 54</t>
  </si>
  <si>
    <t>(05662) 2-22-73</t>
  </si>
  <si>
    <t>http://nikopol_school5.dnepredu.com</t>
  </si>
  <si>
    <t>Комунальний заклад "Спеціалізована природничо-математична школа І-ІІІ ступенів при Дніпропетровському національному університеті імені Олеся Гончара"</t>
  </si>
  <si>
    <t>вул. Каштанова, 62</t>
  </si>
  <si>
    <t>(05662)21314</t>
  </si>
  <si>
    <t>http://spmsh26.dnepredu.com</t>
  </si>
  <si>
    <t>Комунальний заклад освіти "Нікопольський навчально-реабілітаційний центр "Ніка" Дніпропетровської обласної ради"</t>
  </si>
  <si>
    <t>вул. Рижикова, 34</t>
  </si>
  <si>
    <t>0566251519, 0566251273, 0566251186</t>
  </si>
  <si>
    <t>http://nika_int.klasna.com/</t>
  </si>
  <si>
    <t>21903203</t>
  </si>
  <si>
    <t>Комунальний заклад освіти "Нікопольська загальноосвітня санаторна школа-інтернат І-ІІІ ступенів "Гармонія" Дніпропетровської обласної ради"</t>
  </si>
  <si>
    <t>вул. Б.Мозолевського, 30</t>
  </si>
  <si>
    <t>(05662)21023</t>
  </si>
  <si>
    <t>http://garmoniya.klasna.com</t>
  </si>
  <si>
    <t>04544530</t>
  </si>
  <si>
    <t>вечірня загальноосвітня школа № 9 - загальноосвітній навчальний заклад ІІ-ІІІ ступенів</t>
  </si>
  <si>
    <t>51208</t>
  </si>
  <si>
    <t>1211900000</t>
  </si>
  <si>
    <t>Новомосковськ</t>
  </si>
  <si>
    <t>вул. О.Мітягіна, 21</t>
  </si>
  <si>
    <t>http://eveningschool9.dnepredu.com</t>
  </si>
  <si>
    <t>Гімназія № 3 - загальноосвітній навчальний заклад І-ІІІ ступенів Новомосковської міської ради</t>
  </si>
  <si>
    <t>51200</t>
  </si>
  <si>
    <t>пров. Новоселівський, 11</t>
  </si>
  <si>
    <t>(05693)79653</t>
  </si>
  <si>
    <t>http://star3.dp.ua</t>
  </si>
  <si>
    <t>25006021</t>
  </si>
  <si>
    <t>Колегіум № 11 загальноосвітній навчальний заклад І-ІІІ ступенів</t>
  </si>
  <si>
    <t>вул. Зелінського, 5</t>
  </si>
  <si>
    <t>75210</t>
  </si>
  <si>
    <t>http://kolegium11.dp.ua</t>
  </si>
  <si>
    <t>25514384</t>
  </si>
  <si>
    <t>російська,англійська,німецька,іспанська</t>
  </si>
  <si>
    <t>Навчально-виховний комплекс "загальноосвітній навчальний заклад № 1 І-ІІІ ступенів - дошкільний навчальний заклад"</t>
  </si>
  <si>
    <t>вул. Калнишевського, 7</t>
  </si>
  <si>
    <t>(05693)71082</t>
  </si>
  <si>
    <t>http://nvk1.klasna.com</t>
  </si>
  <si>
    <t>Навчально-виховний комплекс "загальноосвітній навчальний заклад № 5 І-ІІ ступенів- дошкільний навчальний заклад"</t>
  </si>
  <si>
    <t>75751</t>
  </si>
  <si>
    <t>http://novnvk5.klasna.com</t>
  </si>
  <si>
    <t>Новомосковська загальноосвітня школа І-ІІІ ступенів № 7 з інтернатним відділенням Новомосковської міської ради Дніпропетровської області</t>
  </si>
  <si>
    <t>вул. Мітягіна, 21</t>
  </si>
  <si>
    <t>75975</t>
  </si>
  <si>
    <t>http://novschool_7.klasna.com</t>
  </si>
  <si>
    <t>Новомосковська середня загальноосвітня школа № 14 - загальноосвітній навчальний заклад І-ІІ ступенів</t>
  </si>
  <si>
    <t>вул. Юрченка, 24</t>
  </si>
  <si>
    <t>(05693)59420</t>
  </si>
  <si>
    <t>Новомосковський міський ліцей "Самара"</t>
  </si>
  <si>
    <t>вул. Паланочна (Комсомольська), 9</t>
  </si>
  <si>
    <t>75300</t>
  </si>
  <si>
    <t>http://lsamara.klasna.com</t>
  </si>
  <si>
    <t>25537043</t>
  </si>
  <si>
    <t>Новомосковський навчально-виховний комплекс - загальноосвітній навчальний заклад № 17 I-III ступенів-дошкільний навчальний заклад</t>
  </si>
  <si>
    <t>вул. Плеханова, 203</t>
  </si>
  <si>
    <t>(05693)71502</t>
  </si>
  <si>
    <t>http://novschool17.klasna.com</t>
  </si>
  <si>
    <t>Середня загальноосвітня школа № 12 - загальноосвітній навчальний заклад І-ІІІ ступенів</t>
  </si>
  <si>
    <t>51203</t>
  </si>
  <si>
    <t>вул. Толстого, 141</t>
  </si>
  <si>
    <t>59017, 59097</t>
  </si>
  <si>
    <t>http://navyschool12.klasna.com</t>
  </si>
  <si>
    <t>Середня загальноосвітня школа № 13 загальноосвітній навчальний заклад І - ІІ ступенів</t>
  </si>
  <si>
    <t>51205</t>
  </si>
  <si>
    <t>вул. Спаська, 42</t>
  </si>
  <si>
    <t>(056)9358841, 0569370450</t>
  </si>
  <si>
    <t>http://novschool13.klasna.com</t>
  </si>
  <si>
    <t>Середня загальноосвітня школа № 16 - загальноосвітній навчальний заклад І - ІІ ступенів</t>
  </si>
  <si>
    <t>вул. Сільвестрова, 1</t>
  </si>
  <si>
    <t>(05693)7 - 51 - 45</t>
  </si>
  <si>
    <t>http://novschool16.klasna.com</t>
  </si>
  <si>
    <t>Середня загальноосвітня школа № 18 - загальноосвітній навчальний заклад І-ІІІ ступенів</t>
  </si>
  <si>
    <t>вул. Паланочна (Комсомольська), 9А</t>
  </si>
  <si>
    <t>316242, 78829, 79685</t>
  </si>
  <si>
    <t>http://shcool18.klasna.com</t>
  </si>
  <si>
    <t>Середня загальноосвітня школа № 2 - загальноосвітній навчальний заклад І-ІІІ ступенів м. Новомосковська Дніпропетровської обл.</t>
  </si>
  <si>
    <t>вул. Калнишевського, 19</t>
  </si>
  <si>
    <t>(0569)79646</t>
  </si>
  <si>
    <t>http://schoolnovo2.klasna.com</t>
  </si>
  <si>
    <t>Середня загальноосвітня школа № 6 - загальноосвітній навчальний заклад І-ІІІ ступенів</t>
  </si>
  <si>
    <t>вул. Зіни Білої, 6</t>
  </si>
  <si>
    <t>(05693)7-57-29, (05693)7-57-07, (05693)7-57-74</t>
  </si>
  <si>
    <t>http://school6nmsk.klasna.com</t>
  </si>
  <si>
    <t>Середня загальноосвітня школа № 15 загальноосвітній навчальний заклад І-ІІІ ступенів</t>
  </si>
  <si>
    <t>вул. Паланочна, 33</t>
  </si>
  <si>
    <t>(0569)73216</t>
  </si>
  <si>
    <t>http://15-novomoskovsk.dnepredu.com</t>
  </si>
  <si>
    <t>Середня загальноосвітня школа № 4 - загальноосвітній навчальний заклад І - ІІІ ступенів</t>
  </si>
  <si>
    <t>вул. Сучкова, 103</t>
  </si>
  <si>
    <t>43080</t>
  </si>
  <si>
    <t>http://novschool4.klasna.com</t>
  </si>
  <si>
    <t>Середня загальноосвітня школа № 8 загальноосвітній навчальний заклад І-ІІІ ступенів</t>
  </si>
  <si>
    <t>7-84-92</t>
  </si>
  <si>
    <t>http://novschool8.klasna.com</t>
  </si>
  <si>
    <t>Комунальний заклад "Загальноосвітній ліцей м. Покров Дніпропетровської області"</t>
  </si>
  <si>
    <t>53300</t>
  </si>
  <si>
    <t>1212100000</t>
  </si>
  <si>
    <t>Покров</t>
  </si>
  <si>
    <t>(05667)4-28-55</t>
  </si>
  <si>
    <t>http://licey-3.klasna.com/uk/site/index.html</t>
  </si>
  <si>
    <t>Комунальний заклад "Навчально - виховний комплекс № 2 середня школа І-ІІІ ступенів - дошкільний навчальний заклад м.Покров Дніпропетровської області"</t>
  </si>
  <si>
    <t>вул. Лізи Чайкіної, 15</t>
  </si>
  <si>
    <t>(05667)4-41-42</t>
  </si>
  <si>
    <t>https://sites.google.com/site/oficijnijsajtkznvkno2mpokrov/</t>
  </si>
  <si>
    <t>Комунальний заклад "Навчально-виховний комплекс № 1 (середня школа І-ІІІ ступенів-дошкільний навчальний заклад) м.Покров Дніпропетровської області"</t>
  </si>
  <si>
    <t>(05667)4-15-77</t>
  </si>
  <si>
    <t>http://school5.mirshkol.com/</t>
  </si>
  <si>
    <t>Комунальний заклад "Олександрівська неповна середня загальноосвітня школа м.Покров Дніпропетровської області"</t>
  </si>
  <si>
    <t>53302</t>
  </si>
  <si>
    <t>вул. Калинова, 62</t>
  </si>
  <si>
    <t>0566769140</t>
  </si>
  <si>
    <t>http://oleksschool.dnepredu.com</t>
  </si>
  <si>
    <t>Комунальний заклад "Середня загальноосвітня школа № 4 м.Покров Дніпропетровської області"</t>
  </si>
  <si>
    <t>вул. Уральська, 2</t>
  </si>
  <si>
    <t>0566742171</t>
  </si>
  <si>
    <t>http://ordzhonikidze-school4.edukit.dp.ua</t>
  </si>
  <si>
    <t>Комунальний заклад "Середня загальноосвітня школа № 2 м.Покров Дніпропетровської області"</t>
  </si>
  <si>
    <t>53301</t>
  </si>
  <si>
    <t>вул. І.Малки, 15</t>
  </si>
  <si>
    <t>0566769080</t>
  </si>
  <si>
    <t>http://pokrov-school2.edukit.dp.ua</t>
  </si>
  <si>
    <t>Комунальний заклад "Середня загальноосвітня школа № 6 м.Покров Дніпропетровської області"</t>
  </si>
  <si>
    <t>вул. Чіатурська, 6</t>
  </si>
  <si>
    <t>0566742154</t>
  </si>
  <si>
    <t>http://school6-ordjo.ucoz.ua</t>
  </si>
  <si>
    <t>Комунальний заклад "Середня загальноосвітня школа № 9 м.Покров Дніпропетровської області"</t>
  </si>
  <si>
    <t>вул. Л. Чайкіної, 29А</t>
  </si>
  <si>
    <t>0566743812</t>
  </si>
  <si>
    <t>http://school-9.pp.ua</t>
  </si>
  <si>
    <t>Комунальний заклад "Чортомлицька неповна середня загальноосвітня школа м. Покров Дніпропетровської області"</t>
  </si>
  <si>
    <t>53393</t>
  </si>
  <si>
    <t>1212145700</t>
  </si>
  <si>
    <t>Чортомлик</t>
  </si>
  <si>
    <t>вул. Осипенко, 35/1</t>
  </si>
  <si>
    <t>4-15-66</t>
  </si>
  <si>
    <t>http://chortomlyk-school.edukit.dp.ua.</t>
  </si>
  <si>
    <t>Комунальний заклад освіти "Павлоградський навчально-реабілітаційний центр Дніпропетровської обласної ради"</t>
  </si>
  <si>
    <t>51413</t>
  </si>
  <si>
    <t>1212400000</t>
  </si>
  <si>
    <t>Павлоград</t>
  </si>
  <si>
    <t>вул. Дніпровська, 573</t>
  </si>
  <si>
    <t>30395, 30254, 0563231028</t>
  </si>
  <si>
    <t>http://pavlogradnrcenter.jimdo.com/</t>
  </si>
  <si>
    <t>23067389</t>
  </si>
  <si>
    <t>Павлоградська загальноосвітня школа I-III ступенів № 15 Павлоградської міської ради Дніпропетровської області</t>
  </si>
  <si>
    <t>51400</t>
  </si>
  <si>
    <t>вул. Синельникова Кирила, 2А</t>
  </si>
  <si>
    <t>(0563)202983</t>
  </si>
  <si>
    <t>http://pavlograd-sc-15.ucoz.ru/</t>
  </si>
  <si>
    <t>Павлоградська загальноосвітня школа I-III ступенів № 7 Павлоградської міської ради Дніпропетровської обл</t>
  </si>
  <si>
    <t>51409</t>
  </si>
  <si>
    <t>вул. Комарова, 7А</t>
  </si>
  <si>
    <t>(0563)203837</t>
  </si>
  <si>
    <t>http://school7-pv.klasna.com</t>
  </si>
  <si>
    <t>Павлоградська загальноосвітня школа І - ІІІ ступенів № 11 Павлоградської міської ради Дніпропетровської області</t>
  </si>
  <si>
    <t>51402</t>
  </si>
  <si>
    <t>вул. Кільцева, 8 а</t>
  </si>
  <si>
    <t>(0563)21-27-48, (0563)21-21-10</t>
  </si>
  <si>
    <t>http://sc_11_pv.klasna.com</t>
  </si>
  <si>
    <t>Павлоградська загальноосвітня школа І-ІІІ ступенів № 17 Павлоградської міської ради Дніпропетровської області</t>
  </si>
  <si>
    <t>вул. Центральна, 71А</t>
  </si>
  <si>
    <t>61047</t>
  </si>
  <si>
    <t>http://school_17_pv.klasna.com</t>
  </si>
  <si>
    <t>Павлоградська загальноосвітня школа І-ІІІ ступенів № 20 Павлоградської міської ради Дніпропетровської області</t>
  </si>
  <si>
    <t>51408</t>
  </si>
  <si>
    <t>вул. Дніпровська, 400Б</t>
  </si>
  <si>
    <t>(0563)20-32-56</t>
  </si>
  <si>
    <t>http://sch20.klasna.com</t>
  </si>
  <si>
    <t>Павлоградська загальноосвітня школа І-ІІІ ступенів № 4 Павлоградської міської ради Дніпропетровської області</t>
  </si>
  <si>
    <t>вул. Корольова Сергія, 3</t>
  </si>
  <si>
    <t>0667327858</t>
  </si>
  <si>
    <t>http://pvschool4.dnepredu.com</t>
  </si>
  <si>
    <t>26328264</t>
  </si>
  <si>
    <t>Павлоградська загальноосвітня школа І-ІІІ ступенів № 5 Павлоградської міської ради Дніпропетровської області</t>
  </si>
  <si>
    <t>вул. Верстатобудівників, 5В</t>
  </si>
  <si>
    <t>0563230166</t>
  </si>
  <si>
    <t>http://sc_5_pv.dnepredu.com/</t>
  </si>
  <si>
    <t>Павлоградська загальноосвітня школа І-ІІІ ступенів № 8 Павлоградської міської ради Дніпропетровської області</t>
  </si>
  <si>
    <t>вул. Західнодонбаська, 8</t>
  </si>
  <si>
    <t>(05632)20-33-80</t>
  </si>
  <si>
    <t>http://pvschool8.dnepredu.com</t>
  </si>
  <si>
    <t>Павлоградська загальноосвітня школа І-ІІІ ступенів № 1 Павлоградської міської ради Дніпропетровської області</t>
  </si>
  <si>
    <t>вул. Озерна, 59А</t>
  </si>
  <si>
    <t>0563242247</t>
  </si>
  <si>
    <t>http://school1_pv.klasna.com</t>
  </si>
  <si>
    <t>26328241</t>
  </si>
  <si>
    <t>Павлоградська загальноосвітня школа І-ІІІ ступенів № 12 Павлоградської міської ради Дніпропетровської області</t>
  </si>
  <si>
    <t>51405</t>
  </si>
  <si>
    <t>вул. Дніпровська, 243</t>
  </si>
  <si>
    <t>(0563)203248</t>
  </si>
  <si>
    <t>http://School12-pv.klasna.com</t>
  </si>
  <si>
    <t>Павлоградська загальноосвітня школа І-ІІІ ступенів № 16 Павлоградської міської ради Дніпропетровської області</t>
  </si>
  <si>
    <t>51404</t>
  </si>
  <si>
    <t>вул. Синельникова Кирила, 2Б</t>
  </si>
  <si>
    <t>0563202598</t>
  </si>
  <si>
    <t>http://pavlograd-sc-16.ucoz.net/</t>
  </si>
  <si>
    <t>Павлоградська загальноосвітня школа І-ІІІ ступенів № 18 з інтернатним відділенням Павлоградської міської ради Дніпропетровської області</t>
  </si>
  <si>
    <t>51412</t>
  </si>
  <si>
    <t>вул. Преображенська, 4А</t>
  </si>
  <si>
    <t>(0562)3-12-49</t>
  </si>
  <si>
    <t>http://18schoolpv.klasna.com</t>
  </si>
  <si>
    <t>Павлоградська загальноосвітня школа І-ІІІ ступенів № 19 Павлоградської міської ради Дніпропетроської області</t>
  </si>
  <si>
    <t>вул. Малиновського, 2</t>
  </si>
  <si>
    <t>(0563)208319</t>
  </si>
  <si>
    <t>http://sc19pv.ucoz.ua/</t>
  </si>
  <si>
    <t>Павлоградська загальноосвітня школа І-ІІІ ступенів № 3 Павлоградської міської ради Дніпропетровської області</t>
  </si>
  <si>
    <t>(05632)4-25-51</t>
  </si>
  <si>
    <t>http://coolschool.klasna.com</t>
  </si>
  <si>
    <t>Павлоградська загальноосвітня школа І-ІІІ ступенів № 6 Павлоградської міської ради Дніпропетровської області</t>
  </si>
  <si>
    <t>вул. Героїв України, 8 В</t>
  </si>
  <si>
    <t>(05632)212534, (05632)212458</t>
  </si>
  <si>
    <t>http://school_6.klasna.com</t>
  </si>
  <si>
    <t>Павлоградська загальноосвітня школа І-ІІІ ступенів № 9 Павлоградської міської ради Дніпропетровської області</t>
  </si>
  <si>
    <t>вул. Озерна, 87</t>
  </si>
  <si>
    <t>(05632)6-10-43</t>
  </si>
  <si>
    <t>26328318</t>
  </si>
  <si>
    <t>Павлоградський міський ліцей Павлоградської міської ради Дніпропетровської області</t>
  </si>
  <si>
    <t>вул. Західнодонбаська, 29А</t>
  </si>
  <si>
    <t>(05632)3-22-59</t>
  </si>
  <si>
    <t>http://pvml.com.ua</t>
  </si>
  <si>
    <t>Павлоградський навчально-виховний комплекс "Загальноосвітній навчальний заклад - дошкільний навчальний заклад" № 14 Павлоградської міської ради Дніпропетровської області</t>
  </si>
  <si>
    <t>вул. Сірка Івана, 35 б</t>
  </si>
  <si>
    <t>http://school14-pv.klasna.com</t>
  </si>
  <si>
    <t>Павлоградський навчально-виховний комплекс "Загальноосвітній навчальний заклад-дошкільний навчальний заклад № 2" Павлоградської міської ради Дніпропетровської облості</t>
  </si>
  <si>
    <t>вул. Полтавська, 148</t>
  </si>
  <si>
    <t>0563261133</t>
  </si>
  <si>
    <t>http://school_2_pv.dnepredu.com</t>
  </si>
  <si>
    <t>Комунальний заклад освіти "Першотравенська загальноосвітня спеціальна школа - інтернат"Дніпропетровської обласної ради"</t>
  </si>
  <si>
    <t>52800</t>
  </si>
  <si>
    <t>1212600000</t>
  </si>
  <si>
    <t>Першотравенськ</t>
  </si>
  <si>
    <t>(05633)52627</t>
  </si>
  <si>
    <t>20250549</t>
  </si>
  <si>
    <t>Першотравенська загальноосвітня школа І-ІІІ ступенів № 1</t>
  </si>
  <si>
    <t>вул. Кобзаря, 10</t>
  </si>
  <si>
    <t>0563370220</t>
  </si>
  <si>
    <t>https://sites.google.com/site/persotravenskazsno1/</t>
  </si>
  <si>
    <t>Першотравенська загальноосвітня школа І-ІІІ ступенів № 3</t>
  </si>
  <si>
    <t>вул. Горького, 15</t>
  </si>
  <si>
    <t>(05633)7-12-11</t>
  </si>
  <si>
    <t>http://persh-school3.ucoz.org/</t>
  </si>
  <si>
    <t>Першотравенська загальноосвітня школа І-ІІІ ступенів № 5</t>
  </si>
  <si>
    <t>вул. Гагаріна, 39</t>
  </si>
  <si>
    <t>(-05633)7-15-23</t>
  </si>
  <si>
    <t>https://sites.google.com/site/pershschool5/</t>
  </si>
  <si>
    <t>Першотравенська загальноосвітня школа І-ІІІ ступенів № 2</t>
  </si>
  <si>
    <t>52801</t>
  </si>
  <si>
    <t>вул. Ювілейна, 12</t>
  </si>
  <si>
    <t>05633-71044</t>
  </si>
  <si>
    <t>https://sites.google.com/site/skolapersh</t>
  </si>
  <si>
    <t>Першотравенська загальноосвітня школа І-ІІІ ступенів № 4</t>
  </si>
  <si>
    <t>вул. Шахтарської Слави, 28</t>
  </si>
  <si>
    <t>0563353868</t>
  </si>
  <si>
    <t>https://sites.google.com/site/persotravenskazsno4school/home</t>
  </si>
  <si>
    <t>Комунальний заклад освіти Синельниківська районна вечірня середня загальноосвітня школа з заочною формою навчання</t>
  </si>
  <si>
    <t>05250</t>
  </si>
  <si>
    <t>1213000000</t>
  </si>
  <si>
    <t>Синельникове</t>
  </si>
  <si>
    <t>вул. Південна, 15</t>
  </si>
  <si>
    <t>0637052793</t>
  </si>
  <si>
    <t>Синельниківська загальноосвітня школа І-ІІІ ступенів № 3</t>
  </si>
  <si>
    <t>52500</t>
  </si>
  <si>
    <t>вул. Каштанова, 27</t>
  </si>
  <si>
    <t>0566342144</t>
  </si>
  <si>
    <t>http://sinchool3.dnepredu.com</t>
  </si>
  <si>
    <t>Синельниківська загальноосвітня школа І-ІІІ ступенів № 6 Синельниківської міської ради Дніпропетровської області</t>
  </si>
  <si>
    <t>вул. Козацька, 44</t>
  </si>
  <si>
    <t>(05663)46250</t>
  </si>
  <si>
    <t>http://sinschool6.dnepredu.com</t>
  </si>
  <si>
    <t>Синельниківська загальноосвітня школа І-ІІІ ступенів № 1 Синельниківської міської ради Дніпропетровської області</t>
  </si>
  <si>
    <t>вул. Музична, 27</t>
  </si>
  <si>
    <t>0566342094</t>
  </si>
  <si>
    <t>http://szosh1.ho.ua</t>
  </si>
  <si>
    <t>Синельниківська загальноосвітня школа І-ІІІ ступенів № 2 Синельниківської міської ради Дніпропетровської області</t>
  </si>
  <si>
    <t>вул. Миру, 13</t>
  </si>
  <si>
    <t>056634-11-86</t>
  </si>
  <si>
    <t>http://synelnykove-school2.edukit.dp.ua</t>
  </si>
  <si>
    <t>Синельниківська загальноосвітня школа І-ІІІ ступенів № 4 Синельниківської міської ради Дніпропетровської області</t>
  </si>
  <si>
    <t>(05663) 4-24-07</t>
  </si>
  <si>
    <t>http://smg.dnepredu.com</t>
  </si>
  <si>
    <t>Синельниківська загальноосвітня школа І-ІІІ ступенів № 5 Синельниківської міської ради Дніпропетровської області</t>
  </si>
  <si>
    <t>52502</t>
  </si>
  <si>
    <t>вул. Музейна, 29А</t>
  </si>
  <si>
    <t>0566337142</t>
  </si>
  <si>
    <t>http://school5.dnepredu.com</t>
  </si>
  <si>
    <t>Синельниківський навчально-виховний комплекс "Загальноосвітня школа І-ІІІ ступенів - дошкільний навчальний заклад" Синельниківської міської ради Дніпропетровської області</t>
  </si>
  <si>
    <t>вул. Воїнів-афганців, 5</t>
  </si>
  <si>
    <t>(05663)49816</t>
  </si>
  <si>
    <t>http://sinsch7.klasna.com</t>
  </si>
  <si>
    <t>КЗ"Тернівська загальноосвітня школа I - III ступенів № 1 Тернівської міської ради Дніпропетровської області"</t>
  </si>
  <si>
    <t>51500</t>
  </si>
  <si>
    <t>1213500000</t>
  </si>
  <si>
    <t>вул. Чкалова, 93</t>
  </si>
  <si>
    <t>(05636)7-33-76</t>
  </si>
  <si>
    <t>Комунальний заклад "Тернівська загальноосвітня школа І - ІІІ ступенів № 5 Тернівської міської ради Дніпропетровської області"</t>
  </si>
  <si>
    <t>вул. Маяковського, 14</t>
  </si>
  <si>
    <t>(05636)-74872</t>
  </si>
  <si>
    <t>http://school5ternovka.klasna.com</t>
  </si>
  <si>
    <t>Комунальний заклад "Тернівська загальноосвітня школа І - ІІІ ступенів № 6 Тернівської міської ради Дніпропетровської області"</t>
  </si>
  <si>
    <t>0563672846</t>
  </si>
  <si>
    <t>http://ternivskaschool6.dnepredu.com/</t>
  </si>
  <si>
    <t>Комунальний заклад "Тернівська загальноосвітня школа І-ІІІ ступенів № 7 Тернівської міської ради Дніпропетровської області"</t>
  </si>
  <si>
    <t>0563671583</t>
  </si>
  <si>
    <t>http://ternovka7school.klasna.com</t>
  </si>
  <si>
    <t>Комунальний заклад "Тернівська загальноосвітня школа І-ІІІ ступенів з класами вечірньої форми навчання № 4 Тернівської міської ради Дніпропетровської області"</t>
  </si>
  <si>
    <t>вул. Сергія Маркова, 9</t>
  </si>
  <si>
    <t>(05636) 7-45-34</t>
  </si>
  <si>
    <t>http://www.ternovka4school.org.ua</t>
  </si>
  <si>
    <t>Апостолівська вечірня (змінна) загальноосвітня школа ІІ-ІІІ ступенів</t>
  </si>
  <si>
    <t>53800</t>
  </si>
  <si>
    <t>1220310100</t>
  </si>
  <si>
    <t>Апостолове</t>
  </si>
  <si>
    <t>вул. Олеся Гончара, 13</t>
  </si>
  <si>
    <t>(05656)95673</t>
  </si>
  <si>
    <t>Апостолівська загальноосвітня школа І-ІІІ ступенів № 3</t>
  </si>
  <si>
    <t>вул. Визволення, 30</t>
  </si>
  <si>
    <t>9-18-84</t>
  </si>
  <si>
    <t>http://apost3kirov.at.ua</t>
  </si>
  <si>
    <t>Опорний навчальний заклад "Апостолівська загальноосвітня школа І-ІІІ ступенів № 1 Апостолівської міської ради Апостолівського району Дніпропетровської областіі"</t>
  </si>
  <si>
    <t>вул. Богдана Хмельницького, 106</t>
  </si>
  <si>
    <t>9-77-22, 9-77-29</t>
  </si>
  <si>
    <t>http://azsh1.at.ua</t>
  </si>
  <si>
    <t>Апостолівська загальноосвітня школа І-ІІІ ступенів № 4, Апостолівської міської ради, Апостолівського району Дніпропетровської обл.</t>
  </si>
  <si>
    <t>вул. Олеся  Гончара, 13</t>
  </si>
  <si>
    <t>(05656)-9-10-88</t>
  </si>
  <si>
    <t>http://school4apost.klasna.com</t>
  </si>
  <si>
    <t>Українська загальноосвітня школа І-ІІІ ступенів Апостолівської міської ради Апостолівського району Дніпропетровської області</t>
  </si>
  <si>
    <t>53805</t>
  </si>
  <si>
    <t>1220310101</t>
  </si>
  <si>
    <t>Українка</t>
  </si>
  <si>
    <t>0565650743</t>
  </si>
  <si>
    <t>http://schoolukrainka.dnepredu.com</t>
  </si>
  <si>
    <t>Апостолівський районний ліцей-інтернат Зеленодольської міської ради</t>
  </si>
  <si>
    <t>53860</t>
  </si>
  <si>
    <t>1220310300</t>
  </si>
  <si>
    <t>Зеленодольськ</t>
  </si>
  <si>
    <t>вул. Енергетична, 1</t>
  </si>
  <si>
    <t>0565562509</t>
  </si>
  <si>
    <t>http://arli.klasna.com</t>
  </si>
  <si>
    <t>Зеленодольська загальноосвітня школа І-ІІІ ступенів № 1 Зеленодольської міської ради Апостолівського району Дніпропетровської області</t>
  </si>
  <si>
    <t>0565562174</t>
  </si>
  <si>
    <t>http://zelenodolsk-school1.dnepredu.com/</t>
  </si>
  <si>
    <t>Зеленодольська загальноосвітня школа І-ІІІ ступенів № 2 Зеленодольської міської ради Апостолівського району Дніпропетровської області</t>
  </si>
  <si>
    <t>вул. Рибалка, 7</t>
  </si>
  <si>
    <t>0565562814</t>
  </si>
  <si>
    <t>http://schoolizelik.ucoz.ru/</t>
  </si>
  <si>
    <t>Великокостромська загальноосвітня школа І-ІІІ ступенів Зеленодольської міської ради Апостолівського району Дніпропетровської області</t>
  </si>
  <si>
    <t>53861</t>
  </si>
  <si>
    <t>1220381101</t>
  </si>
  <si>
    <t>Велика Костромка</t>
  </si>
  <si>
    <t>вул. Фартушного, 21</t>
  </si>
  <si>
    <t>(056)5656436</t>
  </si>
  <si>
    <t>http://kostrom.dnepredu.com/uk/site/index.htm</t>
  </si>
  <si>
    <t>Володимирська філія опорного навчального закладу "Апостолівська ЗОШ І-ІІІ ступенів № 1", НВК "Загальноосвітній навчальний заклад І-ІІ ступенів - дошкільний навчальний заклад"</t>
  </si>
  <si>
    <t>53812</t>
  </si>
  <si>
    <t>1220382201</t>
  </si>
  <si>
    <t>Володимирівка</t>
  </si>
  <si>
    <t>вул. Шкільна, 200</t>
  </si>
  <si>
    <t>0663454745</t>
  </si>
  <si>
    <t>Вільнянська загальноосвітня школа І-ІІІ ступенів Нивотрудівської сільської ради Апостолівського району Дніпропетровської області</t>
  </si>
  <si>
    <t>53811</t>
  </si>
  <si>
    <t>1220382501</t>
  </si>
  <si>
    <t>Вільне</t>
  </si>
  <si>
    <t>вул. Центральна, 36</t>
  </si>
  <si>
    <t>(05656)55440</t>
  </si>
  <si>
    <t>http://vilnianska_zsh.dnepredu.com</t>
  </si>
  <si>
    <t>Кам'янська загальноосвітня школа І-ІІІ ступенів Апостолівської міської ради Апостолівського району Дніпропетровської області</t>
  </si>
  <si>
    <t>53830</t>
  </si>
  <si>
    <t>1220383301</t>
  </si>
  <si>
    <t>Кам'янка</t>
  </si>
  <si>
    <t>вул. Центральна, 17</t>
  </si>
  <si>
    <t>056-56-51328</t>
  </si>
  <si>
    <t>http://kamshool.dnepredu.com</t>
  </si>
  <si>
    <t>Жовтокам'янська загальноосвітня школа І-ІІ ступенів Апостолівської міської ради Апостолівського району Дніпропетровської області</t>
  </si>
  <si>
    <t>53832</t>
  </si>
  <si>
    <t>1220383302</t>
  </si>
  <si>
    <t>Жовте</t>
  </si>
  <si>
    <t>вул. Залізнична, 2</t>
  </si>
  <si>
    <t>(05656) 5-65-82</t>
  </si>
  <si>
    <t>http://showte.at.ua</t>
  </si>
  <si>
    <t>Новоіванівська загольноосвітня школа І-ІІ ступенів Апостолівської міської ради Апостолівського району Дніпропетровської області</t>
  </si>
  <si>
    <t>53831</t>
  </si>
  <si>
    <t>1220383303</t>
  </si>
  <si>
    <t>Новоіванівка</t>
  </si>
  <si>
    <t>0565652366</t>
  </si>
  <si>
    <t>http://novoivanivka-apost.edukit.dp.ua/</t>
  </si>
  <si>
    <t>Грушівська загальноосвітня школа І-ІІІ ступеня Грушівської сільської ради Дніпропетровської області</t>
  </si>
  <si>
    <t>53850</t>
  </si>
  <si>
    <t>1220384401</t>
  </si>
  <si>
    <t>Грушівка</t>
  </si>
  <si>
    <t>вул. Садова, 22</t>
  </si>
  <si>
    <t>57378</t>
  </si>
  <si>
    <t>http://len-school.at.ua</t>
  </si>
  <si>
    <t>Підстепнянська загальноосвітня школа І ступеня Грушівської сільської ради</t>
  </si>
  <si>
    <t>53855</t>
  </si>
  <si>
    <t>1220384402</t>
  </si>
  <si>
    <t>Гранітне</t>
  </si>
  <si>
    <t>ал. Центральна, 15</t>
  </si>
  <si>
    <t>(05656)57805</t>
  </si>
  <si>
    <t>Усть-кам'янський навчально-виховний комплекс"дошкільний навчальний заклад-загальноосвітній навчальний заклад І ступеня" Грушівської сільської ради Дніпропетровської області</t>
  </si>
  <si>
    <t>53854</t>
  </si>
  <si>
    <t>1220384404</t>
  </si>
  <si>
    <t>Усть-Кам'янка</t>
  </si>
  <si>
    <t>вул. Степова, 5</t>
  </si>
  <si>
    <t>0565658226</t>
  </si>
  <si>
    <t>Мар'янська загальноосвітня школа І ступеня Апостолівського рн, Дніпропетровської обл</t>
  </si>
  <si>
    <t>53843</t>
  </si>
  <si>
    <t>1220385501</t>
  </si>
  <si>
    <t>Мар'янське</t>
  </si>
  <si>
    <t>http://schoolmarianske.klasna.com</t>
  </si>
  <si>
    <t>Мар'янська загальноосвітня школа І-ІІІ ступенів № 1 Зеленодольської міської ради Апостолівського району Дніпропетровської області</t>
  </si>
  <si>
    <t>53842</t>
  </si>
  <si>
    <t>вул. Школьна, 5</t>
  </si>
  <si>
    <t>0565659343</t>
  </si>
  <si>
    <t>http://shkola1.klasna.com</t>
  </si>
  <si>
    <t>Мар'янська загальноосвітня школа І-ІІІ ступенів № 2 Зеленодольської міської ради Апостолівського району Дніпропетровської області</t>
  </si>
  <si>
    <t>вул. Центральна, 99 б</t>
  </si>
  <si>
    <t>0565650545</t>
  </si>
  <si>
    <t>http://mschool2.dnepredu.com</t>
  </si>
  <si>
    <t>Михайлівська загальноосвітня школа І - ІІІ ступенів Апостолівської міської ради Дніпропетровської області</t>
  </si>
  <si>
    <t>53820</t>
  </si>
  <si>
    <t>1220386601</t>
  </si>
  <si>
    <t>вул. Вишнева, 9</t>
  </si>
  <si>
    <t>0565653729</t>
  </si>
  <si>
    <t>http://mihailivkaschool.dnepredu.com/</t>
  </si>
  <si>
    <t>Михайло-Заводська філія опорного навчального закладу " Апостолівська загальноосвітня школа І-ІІІ ступенів № 1 Апостолівської міської ради Апостолівського району Дніпропетровської області," навчально- виховного комплексу "загальноосвітній навчальний заклад І-ІІ ступенів - дошкільний навчальний заклад"</t>
  </si>
  <si>
    <t>53822</t>
  </si>
  <si>
    <t>1220386603</t>
  </si>
  <si>
    <t>Михайло-Заводське</t>
  </si>
  <si>
    <t>05656-5-15-59</t>
  </si>
  <si>
    <t>http://schooll.dnepredu.com</t>
  </si>
  <si>
    <t>Широчанський навчально - виховний комплекс "загальноосвітній навчальний заклад І - ІІ ступенів - дошкільний навчальний заклад" Апостолівської міської ради Апостолівського району Дніпропетровської області</t>
  </si>
  <si>
    <t>53803</t>
  </si>
  <si>
    <t>1220386604</t>
  </si>
  <si>
    <t>Широчани</t>
  </si>
  <si>
    <t>вул. Калинова, 21</t>
  </si>
  <si>
    <t>0565659740</t>
  </si>
  <si>
    <t>http://klasnaocinka.com.ua/ru/user/</t>
  </si>
  <si>
    <t>Нивотрудівська загальноосвітня школа І-ІІІ ступенів</t>
  </si>
  <si>
    <t>53810</t>
  </si>
  <si>
    <t>1220387701</t>
  </si>
  <si>
    <t>Нива Трудова</t>
  </si>
  <si>
    <t>вул. Південна, 7</t>
  </si>
  <si>
    <t>(05656)54353</t>
  </si>
  <si>
    <t>Першотравенська загальноосвітня школа І-ІІІ ступенів</t>
  </si>
  <si>
    <t>53840</t>
  </si>
  <si>
    <t>1220388801</t>
  </si>
  <si>
    <t>Перше Травня</t>
  </si>
  <si>
    <t>вул. Центральна, 91</t>
  </si>
  <si>
    <t>(05656)58891</t>
  </si>
  <si>
    <t>Запорізька загальноосвітня школа І-ІІІ ступенів Апостолівської міської ради Апостолівського району Дніпропетровської області</t>
  </si>
  <si>
    <t>53841</t>
  </si>
  <si>
    <t>1220388802</t>
  </si>
  <si>
    <t>Запорізьке</t>
  </si>
  <si>
    <t>вул. Плющенка, 14</t>
  </si>
  <si>
    <t>0565653000</t>
  </si>
  <si>
    <t>http://zoryascgool.ucoz.com/</t>
  </si>
  <si>
    <t>Токівська загальноосвітня школа І-ІІІ ступеня Грушівської сільської ради Дніпропетровської області</t>
  </si>
  <si>
    <t>53853</t>
  </si>
  <si>
    <t>1220389301</t>
  </si>
  <si>
    <t>Токівське</t>
  </si>
  <si>
    <t>мас. Світла, 59</t>
  </si>
  <si>
    <t>(05656)58602</t>
  </si>
  <si>
    <t>http://tok.dnepredu.com/</t>
  </si>
  <si>
    <t>Червонотоківська загальноосвітня школа І-ІІІ ступеня Грушівської сільської ради Дніпропетровської області</t>
  </si>
  <si>
    <t>53852</t>
  </si>
  <si>
    <t>1220389307</t>
  </si>
  <si>
    <t>Червоний Тік</t>
  </si>
  <si>
    <t>0565655261</t>
  </si>
  <si>
    <t>http://chervontok.dnepredu.com</t>
  </si>
  <si>
    <t>Васильківська середня загальноосвітня школа № 2 Васильківського району Дніпропетровської області</t>
  </si>
  <si>
    <t>52600</t>
  </si>
  <si>
    <t>1220755100</t>
  </si>
  <si>
    <t>Васильківка</t>
  </si>
  <si>
    <t>вул. Спортивна, 29</t>
  </si>
  <si>
    <t>(05639)92841</t>
  </si>
  <si>
    <t>http://www.dvschool.dnepredu.com</t>
  </si>
  <si>
    <t>Опорний заклад Васильківський навчально-виховний комплекс № 1 імені М.М. Коцюбинського "загальноосвітній навчальний заклад - дошкільний навчальний заклад" Васильківського району Дніпропетровської області</t>
  </si>
  <si>
    <t>вул. Соборна, 25</t>
  </si>
  <si>
    <t>(05639)91709</t>
  </si>
  <si>
    <t>http://vasilkovskaczh1.ucoz.ru</t>
  </si>
  <si>
    <t>02133320</t>
  </si>
  <si>
    <t>Васильківський навчально-виховний комплекс № 3 "загальноосвітній навчальний заклад - дошкільний навчальний заклад" Васильківського району Дніпропетровської області</t>
  </si>
  <si>
    <t>52602</t>
  </si>
  <si>
    <t>вул. Соборна, 257</t>
  </si>
  <si>
    <t>(05639)99544</t>
  </si>
  <si>
    <t>http://school3.dnepredu.com</t>
  </si>
  <si>
    <t>20236638</t>
  </si>
  <si>
    <t>Ульянівська неповна середня загальноосвітня школа Васильківського району Дніпропетровської області</t>
  </si>
  <si>
    <t>52601</t>
  </si>
  <si>
    <t>вул. Гаркуші, 16</t>
  </si>
  <si>
    <t>(05639)99623</t>
  </si>
  <si>
    <t>http://Ylanovka.klasna.com</t>
  </si>
  <si>
    <t>Манвелівська середня загальноосвітня школа Васильківського району Дніпропетровської області</t>
  </si>
  <si>
    <t>52605</t>
  </si>
  <si>
    <t>1220755107</t>
  </si>
  <si>
    <t>Манвелівка</t>
  </si>
  <si>
    <t>вул. Центральна, 38</t>
  </si>
  <si>
    <t>(05639)96323</t>
  </si>
  <si>
    <t>http://school626.klasna.com</t>
  </si>
  <si>
    <t>20236578</t>
  </si>
  <si>
    <t>Письменська середня загальноосвітня школа Васильківського району Дніпропетровської області</t>
  </si>
  <si>
    <t>52630</t>
  </si>
  <si>
    <t>1220755400</t>
  </si>
  <si>
    <t>Письменне</t>
  </si>
  <si>
    <t>вул. Нова, 2</t>
  </si>
  <si>
    <t>(2222)(05639)94543</t>
  </si>
  <si>
    <t>https://galitchmaya.jimdo.com/</t>
  </si>
  <si>
    <t>21909588</t>
  </si>
  <si>
    <t>Авангардська середня загальноосвітня школа Васильківського району Дніпропетровської області</t>
  </si>
  <si>
    <t>52632</t>
  </si>
  <si>
    <t>1220755401</t>
  </si>
  <si>
    <t>Вербівське</t>
  </si>
  <si>
    <t>(05639)94319</t>
  </si>
  <si>
    <t>http://avangard-school.dnepredu.com/</t>
  </si>
  <si>
    <t>26461552</t>
  </si>
  <si>
    <t>Чаплинська середня загальноосвітня опорна школа Васильківського району Дніпропетровської області</t>
  </si>
  <si>
    <t>52663</t>
  </si>
  <si>
    <t>1220755700</t>
  </si>
  <si>
    <t>Чаплине</t>
  </si>
  <si>
    <t>вул. Західна, 20</t>
  </si>
  <si>
    <t>0563993625</t>
  </si>
  <si>
    <t>http://chaplino.dnepredu.com</t>
  </si>
  <si>
    <t>23067521</t>
  </si>
  <si>
    <t>Богданівська філія І-ІІ ступенів опорного закладу Васильківського навчально-виховного комплексу № 1 імені М.М. Коцюбинського "загальноосвітний навчальний заклад - дошкільний навчальний заклад" Васильківського району Дніпропетровської області</t>
  </si>
  <si>
    <t>56612</t>
  </si>
  <si>
    <t>1220781101</t>
  </si>
  <si>
    <t>(05639)-9-75-40</t>
  </si>
  <si>
    <t>http://www.bogdanschule.dnepredu.com</t>
  </si>
  <si>
    <t>26461879</t>
  </si>
  <si>
    <t>Великоолександрівський навчально-виховний комплекс "загальноосвітній навчальний заклад-дошкільний навчальний заклад" Васильківського району Дніпропетровської області</t>
  </si>
  <si>
    <t>52610</t>
  </si>
  <si>
    <t>1220782201</t>
  </si>
  <si>
    <t>Великоолександрівка</t>
  </si>
  <si>
    <t>(05639)98197</t>
  </si>
  <si>
    <t>http://dbrnjhbz.klasna.com</t>
  </si>
  <si>
    <t>26461566</t>
  </si>
  <si>
    <t>Воскресенівський навчально-виховний комплекс "дошкільний навчальний заклад - загальноосвітній навчальний заклад I ступеня"</t>
  </si>
  <si>
    <t>52611</t>
  </si>
  <si>
    <t>1220782501</t>
  </si>
  <si>
    <t>Воскресенівка</t>
  </si>
  <si>
    <t>вул. Верхня, 8А</t>
  </si>
  <si>
    <t>(056-39)-9-86-41</t>
  </si>
  <si>
    <t>http://voskresenivka49.klasna.com</t>
  </si>
  <si>
    <t>26461862</t>
  </si>
  <si>
    <t>Григорівський навчально-виховний комплекс "загальноосвітній навчальний заклад-дошкільний навчальний заклад" імені І.Г.Прибора, Васильківського району, Дніпропетровської області.</t>
  </si>
  <si>
    <t>52660</t>
  </si>
  <si>
    <t>1220783301</t>
  </si>
  <si>
    <t>вул. Миру, 5А</t>
  </si>
  <si>
    <t>0563995238</t>
  </si>
  <si>
    <t>http://www.3127grigorivka_nvk.dnepredu.com</t>
  </si>
  <si>
    <t>26461891</t>
  </si>
  <si>
    <t>Дебальцівський навчально - виховний комплекс "загальноосвітній навчальний заклад - дошкільний навчальний заклад" Васильківського району, Дніпропетровської області.</t>
  </si>
  <si>
    <t>52661</t>
  </si>
  <si>
    <t>1220784101</t>
  </si>
  <si>
    <t>Дебальцеве</t>
  </si>
  <si>
    <t>(05639)96623</t>
  </si>
  <si>
    <t>http://debalcevnvk.dnepredu.com</t>
  </si>
  <si>
    <t>Добровільський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</si>
  <si>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52620</t>
  </si>
  <si>
    <t>1220784401</t>
  </si>
  <si>
    <t>Добровілля</t>
  </si>
  <si>
    <t>вул. Центральна, 44</t>
  </si>
  <si>
    <t>(05639)97384, (05639)97341</t>
  </si>
  <si>
    <t>http://dobrovillya.dnepredu.com</t>
  </si>
  <si>
    <t>26461856</t>
  </si>
  <si>
    <t>Зеленогайська середня загальноосвітня школа Васильківського району Дніпропетровської області</t>
  </si>
  <si>
    <t>52652</t>
  </si>
  <si>
    <t>1220785501</t>
  </si>
  <si>
    <t>Зелений Гай</t>
  </si>
  <si>
    <t>(056)3997624</t>
  </si>
  <si>
    <t>http://zgajschool.klasna.com</t>
  </si>
  <si>
    <t>26461543</t>
  </si>
  <si>
    <t>Миколаївська середня загальноосвітня школа Васильківського району Дніпрпетровської області</t>
  </si>
  <si>
    <t>52622</t>
  </si>
  <si>
    <t>1220786601</t>
  </si>
  <si>
    <t>(05639)97721</t>
  </si>
  <si>
    <t>http://mikolayovka.dnepredu.com</t>
  </si>
  <si>
    <t>26461827</t>
  </si>
  <si>
    <t>Дубовиківська середня загальноосвітня школа Васильківського району Дніпропетровської області</t>
  </si>
  <si>
    <t>52623</t>
  </si>
  <si>
    <t>1220786604</t>
  </si>
  <si>
    <t>Дубовики</t>
  </si>
  <si>
    <t>вул. Центральна, 49</t>
  </si>
  <si>
    <t>(05639)97411</t>
  </si>
  <si>
    <t>http://www.duboviki.ucoz.ua</t>
  </si>
  <si>
    <t>20243532</t>
  </si>
  <si>
    <t>Павлівська середня загальноосвітня школа</t>
  </si>
  <si>
    <t>52640</t>
  </si>
  <si>
    <t>1220787701</t>
  </si>
  <si>
    <t>вул. Центральна, 98Д</t>
  </si>
  <si>
    <t>(05639)96534</t>
  </si>
  <si>
    <t>http://pavlivka.dnepredu.com/</t>
  </si>
  <si>
    <t>Новогригорівський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</si>
  <si>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52643</t>
  </si>
  <si>
    <t>1220787708</t>
  </si>
  <si>
    <t>Новогригорівка</t>
  </si>
  <si>
    <t>вул. Леніна, 56</t>
  </si>
  <si>
    <t>(05639)96475</t>
  </si>
  <si>
    <t>http://school1987.dnepredu.com</t>
  </si>
  <si>
    <t>26461846</t>
  </si>
  <si>
    <t>Шевченківський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</si>
  <si>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52650</t>
  </si>
  <si>
    <t>1220788801</t>
  </si>
  <si>
    <t>Шевченкове</t>
  </si>
  <si>
    <t>вул. Голондія, 57</t>
  </si>
  <si>
    <t>(05639)93169</t>
  </si>
  <si>
    <t>http://shevchenkivcka.dnepredu.com/</t>
  </si>
  <si>
    <t>20232132</t>
  </si>
  <si>
    <t>Комунальний заклад "Верхньодніпровська середня загальноосвітня школа № 3 І-ІІІ ступенів" Верхньодніпровської районної ради Дніпропетровської області"</t>
  </si>
  <si>
    <t>51600</t>
  </si>
  <si>
    <t>1221010100</t>
  </si>
  <si>
    <t>Верхньодніпровськ</t>
  </si>
  <si>
    <t>вул. Театральна, 20</t>
  </si>
  <si>
    <t>(05658)3-29-10</t>
  </si>
  <si>
    <t>http://vschool3.klasna.com/</t>
  </si>
  <si>
    <t>Комунальний заклад "Верхньодніпровська середня загальноосвітня школа № 5 І-ІІІ ступенів" Верхньодніпровської районної ради Дніпропретровської області"</t>
  </si>
  <si>
    <t>вул. Федоровського, 97</t>
  </si>
  <si>
    <t>(05658)32756, (05658)31332</t>
  </si>
  <si>
    <t>http://verschool5.org</t>
  </si>
  <si>
    <t>Комунальний заклад "Верхньодніпровська спеціалізована школа № 1 І-ІІІ ступенів з поглибленим вивченням іноземних мов" Верхньодніпровської районної ради Дніпропетровської області"</t>
  </si>
  <si>
    <t>вул. Авраменка, 38</t>
  </si>
  <si>
    <t>(05658)3-29-48</t>
  </si>
  <si>
    <t>http://school-1.dnepredu.com/</t>
  </si>
  <si>
    <t>Комунальний заклад «Верхньодніпровська середня загальноосвітня школа № 2 I-III ступенів» Верхньодніпровської районної ради Дніпропетровської області»</t>
  </si>
  <si>
    <t>вул. Київська, 28</t>
  </si>
  <si>
    <t>05658-3-25-01</t>
  </si>
  <si>
    <t>http://vdn-school2.in.ua</t>
  </si>
  <si>
    <t>Комунальний заклад освіти "Верхньодніпровський навчально-реабілітаційний центр" Дніпропетровської обласної ради"</t>
  </si>
  <si>
    <t>вул. Гагаріна, 14</t>
  </si>
  <si>
    <t>(05658)60668, (05658)60669</t>
  </si>
  <si>
    <t>http://vdnnrc.klasna.com/</t>
  </si>
  <si>
    <t>20198381</t>
  </si>
  <si>
    <t>Комунальний заклад "Верхівцевська середня загальноосвітня школа № 2 І-ІІІ ступенів" Верхньодніпровської районної ради Дніпропетровської області</t>
  </si>
  <si>
    <t>51660</t>
  </si>
  <si>
    <t>1221010300</t>
  </si>
  <si>
    <t>Верхівцеве</t>
  </si>
  <si>
    <t>вул. Зелена, 3</t>
  </si>
  <si>
    <t>(05658)91-2-41</t>
  </si>
  <si>
    <t>http://wss2.klasna.com/</t>
  </si>
  <si>
    <t>Комунальний заклад Верхівцевський навчально-виховний комплекс "Середня загальноосвітня школа № 1 - дошкільний навчальний заклад" Верхньодніпровської районної ради Дніпропетровської області</t>
  </si>
  <si>
    <t>вул. Садова, 14</t>
  </si>
  <si>
    <t>(805658) 9-1–41</t>
  </si>
  <si>
    <t>http://werchowzewosk1.at.ua</t>
  </si>
  <si>
    <t>Комунальний заклад "Любомирівська середня загальноосвітня школа І-ІІ ступенів" Верхньодніпровської районної ради Дніпропетровської області"</t>
  </si>
  <si>
    <t>51663</t>
  </si>
  <si>
    <t>1221010301</t>
  </si>
  <si>
    <t>вул. Гвоздовського</t>
  </si>
  <si>
    <t>0565891423</t>
  </si>
  <si>
    <t>http://lubomirovka.dnepredu.com/</t>
  </si>
  <si>
    <t>Комунальний заклад "Дніпровська середня загальноосвітня багатопрофільна школа I-III ступенів" Верхньодніпровської районної ради Дніпропетровської області"</t>
  </si>
  <si>
    <t>51650</t>
  </si>
  <si>
    <t>1221055400</t>
  </si>
  <si>
    <t>Дніпровське</t>
  </si>
  <si>
    <t>(05658)4-42-55</t>
  </si>
  <si>
    <t>http://dnipr-szbsh.dnepredu.com/</t>
  </si>
  <si>
    <t>Комунальний заклад "Новомиколаївська середня загальноосвітня школа № 1 І-ІІІ ступенів" Верхньодніпровської районної ради Дніпропетровської області"</t>
  </si>
  <si>
    <t>51653</t>
  </si>
  <si>
    <t>1221055800</t>
  </si>
  <si>
    <t>Новомиколаївка</t>
  </si>
  <si>
    <t>(05658)92110</t>
  </si>
  <si>
    <t>http://novmikolayivka1.klasna.com/</t>
  </si>
  <si>
    <t>Комунальний заклад "Новомиколаївська середня загальноосвітня школа № 2" I-III ступенів Верхньодніпровської районої ради Дніпропетровської області"</t>
  </si>
  <si>
    <t>вул. Мкртумова, 8А</t>
  </si>
  <si>
    <t>http://school.klasna.com</t>
  </si>
  <si>
    <t>Комунальний заклад "Ганнівський навчально - виховний комплекс "Середня загальноосвітня школа - дошкільний навчальний заклад" Верхньодніпровської районної ради"</t>
  </si>
  <si>
    <t>51620</t>
  </si>
  <si>
    <t>1221081001</t>
  </si>
  <si>
    <t>Ганнівка</t>
  </si>
  <si>
    <t>вул. Янцева, 59А</t>
  </si>
  <si>
    <t>0565874116, 0565874144</t>
  </si>
  <si>
    <t>http://annovka1.dnepredu.com/</t>
  </si>
  <si>
    <t>Комунальний заклад " Боровківська середня загальноосвітня школа І-ІІІ ступенів" Верхньодніпровської районної ради Дніпропетровської області"</t>
  </si>
  <si>
    <t>51641</t>
  </si>
  <si>
    <t>1221081801</t>
  </si>
  <si>
    <t>Боровківка</t>
  </si>
  <si>
    <t>http://schoolborov.dnepredu.com</t>
  </si>
  <si>
    <t>Правобережненська філія І-ІІ ступенів комунального закладу " Ганнівський навчальтно - виховний комплекс "Середня загальноосвітня школа - дошкільний навчальний заклад" Верхньодніпровської районної ради"</t>
  </si>
  <si>
    <t>51613</t>
  </si>
  <si>
    <t>1221082205</t>
  </si>
  <si>
    <t>Правобережне</t>
  </si>
  <si>
    <t>вул. Г.Прокоф'євої, 17</t>
  </si>
  <si>
    <t>(05658)93-2-37</t>
  </si>
  <si>
    <t>http://pravschool.klasna.com/</t>
  </si>
  <si>
    <t>Комунальний заклад "Водянська середня загальноосвітня школа І-ІІІ ступенів" Верхньодніпровської районної ради Дніпропетровської області"</t>
  </si>
  <si>
    <t>51633</t>
  </si>
  <si>
    <t>1221083301</t>
  </si>
  <si>
    <t>Водяне</t>
  </si>
  <si>
    <t>вул. 78-ї Гвардійської дивізії, 2</t>
  </si>
  <si>
    <t>(05658)73-1-48</t>
  </si>
  <si>
    <t>http://vodiane.dnepredu.com</t>
  </si>
  <si>
    <t>Комунальний заклад "Андріївська неповна середня загальноосвітня школа І-ІІ ступенів" Верхньодніпровської районної ради Дніпропетровської області"</t>
  </si>
  <si>
    <t>51635</t>
  </si>
  <si>
    <t>1221083302</t>
  </si>
  <si>
    <t>(05658)76-3-14</t>
  </si>
  <si>
    <t>http://school_andriivka.dnepredu.com/</t>
  </si>
  <si>
    <t>Дніпровокам'янська філія І-ІІ ступенів комунального закладу "Ганнівський навчально-виховний комплекс "Середня загальноосвітня школа - дошкільний навчальний заклад" Верхньодніпровської районної ради"</t>
  </si>
  <si>
    <t>51612</t>
  </si>
  <si>
    <t>1221084401</t>
  </si>
  <si>
    <t>Дніпровокам'янка</t>
  </si>
  <si>
    <t>(05658)97-1-17</t>
  </si>
  <si>
    <t>http://d-kamenka.dnepredu.com</t>
  </si>
  <si>
    <t>Мишуринрізька філія І-ІІ ступенів комунального закладу "Ганнівський навчально-виховний комплекс "середня загальноосвітня школа - дошкільний навчальний заклад" Верхньодніпровської районної ради"</t>
  </si>
  <si>
    <t>51610</t>
  </si>
  <si>
    <t>1221087001</t>
  </si>
  <si>
    <t>Мишурин Ріг</t>
  </si>
  <si>
    <t>вул. Юдіна, 22</t>
  </si>
  <si>
    <t>0565895141</t>
  </si>
  <si>
    <t>http://school14-a.dnepredu.com/</t>
  </si>
  <si>
    <t>Комунальний заклад "Першотравенська середня загальноосвітня школа І-ІІ ступенів" Верхньодніпровської районної ради Дніпропетровської обл."</t>
  </si>
  <si>
    <t>51640</t>
  </si>
  <si>
    <t>1221087501</t>
  </si>
  <si>
    <t>(05658-)99-1-38</t>
  </si>
  <si>
    <t>http://pershotravenska.dnepredu.com</t>
  </si>
  <si>
    <t>Комунальний заклад "Пушкарівська середня загальноосвітня школа І-ІІІ ступенів" Верхньодніпровської районної ради Дніпропетровської області"</t>
  </si>
  <si>
    <t>51606</t>
  </si>
  <si>
    <t>1221087701</t>
  </si>
  <si>
    <t>Пушкарівка</t>
  </si>
  <si>
    <t>вул. Ілляшевської, 20</t>
  </si>
  <si>
    <t>(05658)96-1-35</t>
  </si>
  <si>
    <t>http://pushkarivkaschool.klasna.com</t>
  </si>
  <si>
    <t>Комунальний заклад "Підгородненська загальноосвітня школа № 2 І-ІІІ ступенів" Дніпровського району Дніпропетровської області</t>
  </si>
  <si>
    <t>52002</t>
  </si>
  <si>
    <t>1221411000</t>
  </si>
  <si>
    <t>вул. Державна, 2</t>
  </si>
  <si>
    <t>729-11-99</t>
  </si>
  <si>
    <t>20279688</t>
  </si>
  <si>
    <t>Комунальний заклад "Підгородненський навчально-виховний комплекс № 1" Дніпровської районної ради Дніпропетровської області"</t>
  </si>
  <si>
    <t>52001</t>
  </si>
  <si>
    <t>вул. Щаслива, 1Н</t>
  </si>
  <si>
    <t>(056)7291599</t>
  </si>
  <si>
    <t>http://pidgorodne1.dnepredu.com</t>
  </si>
  <si>
    <t>20265143</t>
  </si>
  <si>
    <t>Комунальний заклад "Підгородненський навчально-виховний комплекс № 3 "Загальноосвітня школа I-III ступенів - дошкільний навчальний заклад" Дніпровської районної ради Дніпропетровської області"</t>
  </si>
  <si>
    <t>вул. Каштанова, 1</t>
  </si>
  <si>
    <t>7611189</t>
  </si>
  <si>
    <t>http://pssh-3.at.ua</t>
  </si>
  <si>
    <t>Комунальний заклад "Підгородненський навчально-виховний комплекс № 4 "Загальноосвітня школа І-ІІІ ступенів - дошкільний навчальний заклад" Дніпровської районної ради Дніпропетровської області"</t>
  </si>
  <si>
    <t>вул. Партизанська, 58</t>
  </si>
  <si>
    <t>(38095)5387696</t>
  </si>
  <si>
    <t>Комунальний заклад " Вечірня загальноосвітня школа II-III ст. "Дніпровського району, Дніпропетровської області</t>
  </si>
  <si>
    <t>52070</t>
  </si>
  <si>
    <t>вул. Шосейна, 49</t>
  </si>
  <si>
    <t>(067)3870249</t>
  </si>
  <si>
    <t>Комунальний заклад "Обухівська загальноосвітня школа № 1 І-ІІІ ступенів" Дніпровської районної ради Дніпропетровської області"</t>
  </si>
  <si>
    <t>52030</t>
  </si>
  <si>
    <t>1221455400</t>
  </si>
  <si>
    <t>Обухівка</t>
  </si>
  <si>
    <t>http://Kirovska.dnepredu.com</t>
  </si>
  <si>
    <t>Комунальний заклад "Обухівський навчально-виховний комплекс № 2 "Загальноосвітня школа I-III ступенів - дошкільний навчальний заклад" Дніпровської районної ради Дніпропетровської області"</t>
  </si>
  <si>
    <t>вул. Солідарності, 49</t>
  </si>
  <si>
    <t>7612026</t>
  </si>
  <si>
    <t>комунальний заклад "Горянівськький навчально-виховний комплекс "Загальноосвітня школа І-ІІІ ступенів - дошкільний навчальний заклад" Дніпровської районної ради Дніпропетровської області"</t>
  </si>
  <si>
    <t>52031</t>
  </si>
  <si>
    <t>1221455401</t>
  </si>
  <si>
    <t>Горянівське</t>
  </si>
  <si>
    <t>вул. Успенська, 20</t>
  </si>
  <si>
    <t>Комунальний заклад "Слобожанська загальноосвітня школа І ступеня № 2 Слобожанської селищної ради"</t>
  </si>
  <si>
    <t>52005</t>
  </si>
  <si>
    <t>1221455800</t>
  </si>
  <si>
    <t>Слобожанське</t>
  </si>
  <si>
    <t>вул. Теплична, 30</t>
  </si>
  <si>
    <t>(056)7536252, (056)7536114</t>
  </si>
  <si>
    <t>http://szosh2.dp.ua</t>
  </si>
  <si>
    <t>26508173</t>
  </si>
  <si>
    <t>Комунальний заклад "Слобожанський навчально-виховний комплекс № 1 "Загальноосвітня багатопрофільна школа ІІ-ІІІ ступенів - Центр позашкільної освіти Слобожанської селищної ради"</t>
  </si>
  <si>
    <t>вул. Будівельників, 1</t>
  </si>
  <si>
    <t>27-09-16</t>
  </si>
  <si>
    <t>http://ubileuna.dnepredu.com/</t>
  </si>
  <si>
    <t>20259007</t>
  </si>
  <si>
    <t>Комунальний заклад "Олександрівська загальноосвітня школа І-ІІІ ступенів" Дніпровської районної ради Дніпропетровської області"</t>
  </si>
  <si>
    <t>52041</t>
  </si>
  <si>
    <t>1221481001</t>
  </si>
  <si>
    <t>7126092</t>
  </si>
  <si>
    <t>http://aleksandroshkol.ucoz.ru</t>
  </si>
  <si>
    <t>Комунальний заклад Волоська загальноосвітня школа I-III ступенів Новоолександрівської сільської ради</t>
  </si>
  <si>
    <t>52043</t>
  </si>
  <si>
    <t>1221481501</t>
  </si>
  <si>
    <t>Волоське</t>
  </si>
  <si>
    <t>вул. Набережна, 42</t>
  </si>
  <si>
    <t>(097)302-96-82, (099)362-41-95</t>
  </si>
  <si>
    <t>26462896</t>
  </si>
  <si>
    <t>Комунальний заклад "Горьківський навчально-виховний комплекс "Загальноосвітня школа І-ІІІ ступенів - дошкільний навчальний заклад" Дніпровської районної ради Дніпропетровської області"</t>
  </si>
  <si>
    <t>52052</t>
  </si>
  <si>
    <t>1221482001</t>
  </si>
  <si>
    <t>Горького</t>
  </si>
  <si>
    <t>http://gorkogo.dnepredu.com</t>
  </si>
  <si>
    <t>Комунальний заклад"Шевченківська загальноосвітня школа I-III ступенів" Дніпровської районної ради Дніпропетровської області"</t>
  </si>
  <si>
    <t>52053</t>
  </si>
  <si>
    <t>1221482008</t>
  </si>
  <si>
    <t>Шевченко</t>
  </si>
  <si>
    <t>7110544</t>
  </si>
  <si>
    <t>http://www.schevchenko.ucoz.ua</t>
  </si>
  <si>
    <t>"Комунальний заклад "Любимівська загальноосвітня школа І-ІІІ ступенів Дніпровської районної ради Дніпропетровської області"</t>
  </si>
  <si>
    <t>52042</t>
  </si>
  <si>
    <t>1221484001</t>
  </si>
  <si>
    <t>Любимівка</t>
  </si>
  <si>
    <t>7889367</t>
  </si>
  <si>
    <t>http://lubimovschool.at.ua</t>
  </si>
  <si>
    <t>Комунальний заклад "Миколаївська загальноосвітня школа № 1 І-ІІІ ст." Дніпровської районної ради Дніпропетровської області"</t>
  </si>
  <si>
    <t>52061</t>
  </si>
  <si>
    <t>1221485601</t>
  </si>
  <si>
    <t>вул. Генерала Пушкіна, 2</t>
  </si>
  <si>
    <t>(056)7115521</t>
  </si>
  <si>
    <t>http://mschool1.dnepredu.com</t>
  </si>
  <si>
    <t>Комунальний заклад "Новоолександрівський навчально-виховний комплекс "Спеціалізована загальноосвітня школа І-ІІІ ступенів з поглибленим вивченням англійської мови - дошкільний навчальний заклад комбінованого типу" Новоолександрівської сільської ради</t>
  </si>
  <si>
    <t>1221486201</t>
  </si>
  <si>
    <t>Новоолександрівка</t>
  </si>
  <si>
    <t>вул. Паркова, 1А</t>
  </si>
  <si>
    <t>(056)712-31-25</t>
  </si>
  <si>
    <t>http://naschool.dnepredu.com.</t>
  </si>
  <si>
    <t>20274320</t>
  </si>
  <si>
    <t>Комунальний заклад "Дослідна загальноосвітня школа І ступеня" Новоолександрівської сільської ради Дніпровського району Дніпропетровської області</t>
  </si>
  <si>
    <t>52072</t>
  </si>
  <si>
    <t>1221486205</t>
  </si>
  <si>
    <t>Дослідне</t>
  </si>
  <si>
    <t>вул. Наукова, 26А</t>
  </si>
  <si>
    <t>765-23-74</t>
  </si>
  <si>
    <t>http://dneprdoslid.dnepredu.com/uk</t>
  </si>
  <si>
    <t>33766946</t>
  </si>
  <si>
    <t>Комунальний заклад "Старокодацька загальноосвітня школа І-ІІ ступеня" Новоолександрівської сільської ради</t>
  </si>
  <si>
    <t>1221486207</t>
  </si>
  <si>
    <t>Старі Кодаки</t>
  </si>
  <si>
    <t>вул. Шкільна, 2Б</t>
  </si>
  <si>
    <t>26508670</t>
  </si>
  <si>
    <t>комунальний заклад "Новомиколаївська загальноосвітня школа І-ІІІ ступенів Сурсько-Литовської сільської ради Дніпровського району Дніпропетровської області"</t>
  </si>
  <si>
    <t>52066</t>
  </si>
  <si>
    <t>1221486401</t>
  </si>
  <si>
    <t>26462910</t>
  </si>
  <si>
    <t>Комунальний заклад "Партизанська загальноосвітня школа І-ІІІ ступенів" Дніпровської районної ради Дніпропетровської області"</t>
  </si>
  <si>
    <t>52012</t>
  </si>
  <si>
    <t>1221486601</t>
  </si>
  <si>
    <t>Партизанське</t>
  </si>
  <si>
    <t>0661177853</t>
  </si>
  <si>
    <t>http://partschool.dnepredu.com</t>
  </si>
  <si>
    <t>Комунальний заклад "Балівська загальноосвітня школа І-ІІІ ступенів" Дніпровської районної ради Дніпропетровської області"</t>
  </si>
  <si>
    <t>52010</t>
  </si>
  <si>
    <t>1221486801</t>
  </si>
  <si>
    <t>Балівка</t>
  </si>
  <si>
    <t>вул. Калинова, 52Б</t>
  </si>
  <si>
    <t>0567127261</t>
  </si>
  <si>
    <t>http://balsvit.ucoz.com</t>
  </si>
  <si>
    <t>Комунальний заклад "Степнянська загальноосвітня школа І - ІІІ ступенів Слобожанської селищної ради"</t>
  </si>
  <si>
    <t>52021</t>
  </si>
  <si>
    <t>1221487001</t>
  </si>
  <si>
    <t>Степове</t>
  </si>
  <si>
    <t>вул. Робоча, 12</t>
  </si>
  <si>
    <t>(056)712-51-47</t>
  </si>
  <si>
    <t>http://stepnyanka-szh.ucoz.ua</t>
  </si>
  <si>
    <t>26462885</t>
  </si>
  <si>
    <t>Комунальний заклад «Степовий навчально-виховний комплекс «Загальноосвітня школа І-ІІІ ступенів - дошкільний навчальний заклад» Дніпровської районної ради Дніпропетровської області»</t>
  </si>
  <si>
    <t>52050</t>
  </si>
  <si>
    <t>1221487201</t>
  </si>
  <si>
    <t>0963151991</t>
  </si>
  <si>
    <t>http://bagliyskash.dnepredu.com</t>
  </si>
  <si>
    <t>Сурсько-Литовська загальноосвітня школа І-ІІІ ступенів Сурсько-Литовської сільської ради</t>
  </si>
  <si>
    <t>52064</t>
  </si>
  <si>
    <t>1221487501</t>
  </si>
  <si>
    <t>Сурсько-Литовське</t>
  </si>
  <si>
    <t>7112194</t>
  </si>
  <si>
    <t>http://kz-sura-lit.klasna.com</t>
  </si>
  <si>
    <t>23641859</t>
  </si>
  <si>
    <t>Комунальний заклад "Миколаївська загальноосвітня школа № 2 І-ІІІ ступенів" Дніпровської районної ради Дніпропетровської області"</t>
  </si>
  <si>
    <t>52060</t>
  </si>
  <si>
    <t>1221487703</t>
  </si>
  <si>
    <t>Новотаромське</t>
  </si>
  <si>
    <t>711-53-09</t>
  </si>
  <si>
    <t>Комунальний заклад"Чумаківська загальноосвітня школа І-ІІІ ступенів"Дніпровської районної ради Дніпропетровської області"</t>
  </si>
  <si>
    <t>52024</t>
  </si>
  <si>
    <t>1221488001</t>
  </si>
  <si>
    <t>Чумаки</t>
  </si>
  <si>
    <t>0950665750</t>
  </si>
  <si>
    <t>http://chumaki.at.ua</t>
  </si>
  <si>
    <t>Комунальний заклад "Зорянський навчально-виховний комплекс "Загальноосвітня школа І-ІІІ ступенів - дошкільний навчальний заклад" Дніпровської районної ради, Дніпропетровської області</t>
  </si>
  <si>
    <t>52011</t>
  </si>
  <si>
    <t>1221488003</t>
  </si>
  <si>
    <t>вул. Центральна, 1А</t>
  </si>
  <si>
    <t>0567111480</t>
  </si>
  <si>
    <t>https://sites.google.com/site/kzzoryashkola/</t>
  </si>
  <si>
    <t>Комунальний навчальний заклад "Радушненська загальноосвітня школа І-ІІІ ступенів" Криворізької районної ради Дніпропетровської області</t>
  </si>
  <si>
    <t>53081</t>
  </si>
  <si>
    <t>1221855500</t>
  </si>
  <si>
    <t>Радушне</t>
  </si>
  <si>
    <t>056 477-11-37</t>
  </si>
  <si>
    <t>http://radschool.klasna.com/</t>
  </si>
  <si>
    <t>Комунальний навчальний заклад "Христофорівська загальноосвітня школа I-III ступенів" Криворізької районної ради Дніпропетровської області</t>
  </si>
  <si>
    <t>53052</t>
  </si>
  <si>
    <t>1221855800</t>
  </si>
  <si>
    <t>Христофорівка</t>
  </si>
  <si>
    <t>ал. Азарнова, 19</t>
  </si>
  <si>
    <t>(0564)477-54-66</t>
  </si>
  <si>
    <t>http://chrustskool.ucoz.ua</t>
  </si>
  <si>
    <t>Опорний комунальний навчальний заклад "Софіївська загальноосвітня школа І-ІІІ ступенів" Криворізької районної ради Дніпропетровської області</t>
  </si>
  <si>
    <t>53050</t>
  </si>
  <si>
    <t>1221880501</t>
  </si>
  <si>
    <t>Софіївка</t>
  </si>
  <si>
    <t>4775118</t>
  </si>
  <si>
    <t>http://valove.dnepredu.com/</t>
  </si>
  <si>
    <t>Комунальний навчальний заклад "Веселівська загальноосвітня школа І-ІІІ ступенів " Криворізької районної ради Дніпропетровської області</t>
  </si>
  <si>
    <t>53080</t>
  </si>
  <si>
    <t>1221881201</t>
  </si>
  <si>
    <t>4776858</t>
  </si>
  <si>
    <t>http://vesele_sh.dnepredu.com/</t>
  </si>
  <si>
    <t>Комунальний навчальний заклад "Червоношахтарська загальноосвітня школа І-ІІІ ступенів" Криворізької районної ради Дніпропетровської області</t>
  </si>
  <si>
    <t>53032</t>
  </si>
  <si>
    <t>1221881301</t>
  </si>
  <si>
    <t>вул. Меліоративна, 2А</t>
  </si>
  <si>
    <t>(056)4779247</t>
  </si>
  <si>
    <t>http://ch-shahtar-kr-r.ucoz.ua</t>
  </si>
  <si>
    <t>Комунальний навчальний заклад "Гейківська загальноосвітня школа І-ІІІ ступенів" Криворізької районної ради Дніпропетровської області</t>
  </si>
  <si>
    <t>53054</t>
  </si>
  <si>
    <t>1221881406</t>
  </si>
  <si>
    <t>Ранній Ранок</t>
  </si>
  <si>
    <t>(056)477-35-38</t>
  </si>
  <si>
    <t>http://school20.klasna.com</t>
  </si>
  <si>
    <t>Комунальний навчальний заклад "Глеюватська загальноосвітня школа І-ІІ ступенів" Криворізької районної ради Дніпропетровської області</t>
  </si>
  <si>
    <t>53001</t>
  </si>
  <si>
    <t>1221882001</t>
  </si>
  <si>
    <t>Глеюватка</t>
  </si>
  <si>
    <t>вул. Українська, 2Б</t>
  </si>
  <si>
    <t>(056)470-16-44</t>
  </si>
  <si>
    <t>http://gleevatka.klasna.com</t>
  </si>
  <si>
    <t>Грузький навчально-виховний комплекс (загальноосвітня школа І-ІІ ступенів-дошкільний навчальний заклад) Криворізької районної ради Дніпропетровської області</t>
  </si>
  <si>
    <t>53021</t>
  </si>
  <si>
    <t>1221882201</t>
  </si>
  <si>
    <t>вул. Українська, 1А</t>
  </si>
  <si>
    <t>(056)4773131</t>
  </si>
  <si>
    <t>http://gruzkanschdz.klasna.com</t>
  </si>
  <si>
    <t>Комунальний навчальний заклад "Златоустівська загальноосвітня школа І-ІІІ ступенів" Криворізької районної ради Дніпропетровської області</t>
  </si>
  <si>
    <t>53073</t>
  </si>
  <si>
    <t>1221882401</t>
  </si>
  <si>
    <t>Златоустівка</t>
  </si>
  <si>
    <t>вул. ім. І.І.Руденка, 51</t>
  </si>
  <si>
    <t>http://zlatoustivska.klasna.com</t>
  </si>
  <si>
    <t>Данилівська філія опорного Комунального навчального закладу "Софіївська загальноосвітня школа І - ІІІ ступенів" Криворізької районної ради Дніпропетровської області</t>
  </si>
  <si>
    <t>53060</t>
  </si>
  <si>
    <t>1221882901</t>
  </si>
  <si>
    <t>Данилівка</t>
  </si>
  <si>
    <t>(056)4776719</t>
  </si>
  <si>
    <t>http://kirovka.klasna.com</t>
  </si>
  <si>
    <t>Зеленогайська філія опорного комунального навчального закладу "Софіївська загальноосвітня школа I-III ступенів" Криворізької районної ради Днвпропетровської області</t>
  </si>
  <si>
    <t>53061</t>
  </si>
  <si>
    <t>1221882902</t>
  </si>
  <si>
    <t>вул. Ставкова, 57</t>
  </si>
  <si>
    <t>(056)4776741</t>
  </si>
  <si>
    <t>http://zelenogayska11.dnepredu.com/</t>
  </si>
  <si>
    <t>Комунальний заклад "Красівський навчально-виховний комплекс (загальноосвітня школа І-ІІІ ступенів-дошкільний навчальний заклад) " Криворізької районної ради Дніпропетровської області</t>
  </si>
  <si>
    <t>53071</t>
  </si>
  <si>
    <t>1221883501</t>
  </si>
  <si>
    <t>Красівське</t>
  </si>
  <si>
    <t>48</t>
  </si>
  <si>
    <t>4773858</t>
  </si>
  <si>
    <t>http://krasine_school.klasna.com</t>
  </si>
  <si>
    <t>Лозуватська філія опорного комунального навчального закладу "Лозуватська загальноосвітня школа І-ІІІ ступенів імені Т.Г. Шевченка"</t>
  </si>
  <si>
    <t>53020</t>
  </si>
  <si>
    <t>1221884001</t>
  </si>
  <si>
    <t>Лозуватка</t>
  </si>
  <si>
    <t>вул. Чкалова, 44</t>
  </si>
  <si>
    <t>4778671</t>
  </si>
  <si>
    <t>Комунальний навчальний заклад "Лозуватська загальноосвітня школа № 2 І-ІІІ ступенів" Криворізької районної ради Дніпропетровської області</t>
  </si>
  <si>
    <t>вул. Толстого, 60</t>
  </si>
  <si>
    <t>(056)477-48-44</t>
  </si>
  <si>
    <t>http://lozovatka2.klasna.com/</t>
  </si>
  <si>
    <t>Опорний комунальний навчальний заклад "Лозуватська загальноосвітня школа І-ІІІ ступенів імені Т.Г. Шевченка" Криворізької районної ради Дніпропетровської області</t>
  </si>
  <si>
    <t>вул. Миру, 1Б</t>
  </si>
  <si>
    <t>4774364</t>
  </si>
  <si>
    <t>http://loz1.dnepredu.com</t>
  </si>
  <si>
    <t>Комунальний заклад "Надеждівський навчально-виховний комплекс (загальноосвітня школа I-III ступенів - дошкільний навчальний заклад)" Криворізької районої ради Дніпропетровської області</t>
  </si>
  <si>
    <t>53042</t>
  </si>
  <si>
    <t>1221884301</t>
  </si>
  <si>
    <t>Надеждівка</t>
  </si>
  <si>
    <t>вул. Садова, 24</t>
  </si>
  <si>
    <t>477-21-17</t>
  </si>
  <si>
    <t>Комунальний заклад "Недайводський навчально-виховний комплекс (загальноосвітня школа І-ІІІ ступенів - дошкільний навчальний заклад)" Криворізької районної ради Дніпропетровської області</t>
  </si>
  <si>
    <t>53012</t>
  </si>
  <si>
    <t>1221884501</t>
  </si>
  <si>
    <t>Недайвода</t>
  </si>
  <si>
    <t>вул. Рората, 101А</t>
  </si>
  <si>
    <t>(056)477-63-43</t>
  </si>
  <si>
    <t>http://vokrda.dnepredu.com/</t>
  </si>
  <si>
    <t>Комунальний заклад "Новопільський навчально - виховний комплекс (загальноосвітня школа I-III ступенів - дошкільний навчальний заклад)" Криворізької районної ради Дніпропетровської області</t>
  </si>
  <si>
    <t>53003</t>
  </si>
  <si>
    <t>1221884701</t>
  </si>
  <si>
    <t>Новопілля</t>
  </si>
  <si>
    <t>9</t>
  </si>
  <si>
    <t>47777187</t>
  </si>
  <si>
    <t>http://novopolyeschool.klasna.com</t>
  </si>
  <si>
    <t>Комунальний навчальний заклад "Шевченківська початкова школа-сад І ступеня" Криворізької районної ради</t>
  </si>
  <si>
    <t>53033</t>
  </si>
  <si>
    <t>1221885901</t>
  </si>
  <si>
    <t>Шевченківське</t>
  </si>
  <si>
    <t>вул. Березова, 8</t>
  </si>
  <si>
    <t>367358</t>
  </si>
  <si>
    <t>http://kopanitsya.klasna.com/</t>
  </si>
  <si>
    <t>Комунальний навчальний заклад "Зеленопільська загальноосвітня школа I-II ступенів" Криворізької районної ради Дніпропетровської області</t>
  </si>
  <si>
    <t>53041</t>
  </si>
  <si>
    <t>1221885903</t>
  </si>
  <si>
    <t>Зелене Поле</t>
  </si>
  <si>
    <t>вул. Південна, 44</t>
  </si>
  <si>
    <t>4776604</t>
  </si>
  <si>
    <t>http://school-z.klasna.com</t>
  </si>
  <si>
    <t>Комунальний навчальний заклад "Червонозабійницька загальноосвітня школа І - ІІІ ступенів" Криворізької районної ради Дніпропетровської області</t>
  </si>
  <si>
    <t>50033</t>
  </si>
  <si>
    <t>1221887001</t>
  </si>
  <si>
    <t>Червоне</t>
  </si>
  <si>
    <t>(0564)4775800</t>
  </si>
  <si>
    <t>http://chervonozab.ucoz.ua</t>
  </si>
  <si>
    <t>Комунальний навчальний заклад "Радіонівська загальноосвітня школа І-ІІІ ступенів" Криворізької районної ради Дніпропетровської області</t>
  </si>
  <si>
    <t>53031</t>
  </si>
  <si>
    <t>1221887706</t>
  </si>
  <si>
    <t>Радіонівка</t>
  </si>
  <si>
    <t>вул. Театральна, 1А</t>
  </si>
  <si>
    <t>4776138</t>
  </si>
  <si>
    <t>http://radionivka.dnepredu.com/</t>
  </si>
  <si>
    <t>Комунальний навчальний заклад "Широківська загальноосвітня школа І-ІІІ ступенів" Криворізької районної ради Дніпропетровської області</t>
  </si>
  <si>
    <t>53070</t>
  </si>
  <si>
    <t>1221888201</t>
  </si>
  <si>
    <t>вул. Центральна, 1К</t>
  </si>
  <si>
    <t>(056)4772522</t>
  </si>
  <si>
    <t>http://shyroke.dnepredu.com</t>
  </si>
  <si>
    <t>Криничанська середня загальноосвітня школа І-ІІІ ступенів № 1</t>
  </si>
  <si>
    <t>52300</t>
  </si>
  <si>
    <t>1222055100</t>
  </si>
  <si>
    <t>Кринички</t>
  </si>
  <si>
    <t>вул. Героїв Чорнобиля, 33</t>
  </si>
  <si>
    <t>05654 9 27 62, 05654 9 13 86</t>
  </si>
  <si>
    <t>http://schoolkrin1.klasna.com/</t>
  </si>
  <si>
    <t>КЗ "Криничанська середня загальноосвітня школа I-III ступенів № 2" Криничанського району Дніпропетровської області</t>
  </si>
  <si>
    <t>(05654)92395</t>
  </si>
  <si>
    <t>http://schooln2.dnepredu.com</t>
  </si>
  <si>
    <t>24246438</t>
  </si>
  <si>
    <t>Аулівська середня загальноосвітня школа</t>
  </si>
  <si>
    <t>52310</t>
  </si>
  <si>
    <t>1222055300</t>
  </si>
  <si>
    <t>Аули</t>
  </si>
  <si>
    <t>80565425416</t>
  </si>
  <si>
    <t>http://auly.klasna.com</t>
  </si>
  <si>
    <t>українська,англійська</t>
  </si>
  <si>
    <t>Комунальний опорний заклад "Божедарівська середня загальноосвітня школа І-ІІІ ступенів" Криничанського району Дніпропетровської області</t>
  </si>
  <si>
    <t>52323</t>
  </si>
  <si>
    <t>1222055700</t>
  </si>
  <si>
    <t>Божедарівка</t>
  </si>
  <si>
    <t>вул. Лагерна, 14 б</t>
  </si>
  <si>
    <t>0565423480, 0565423203</t>
  </si>
  <si>
    <t>http://schorska1.klasna.com</t>
  </si>
  <si>
    <t>Адамівська середня загальноосвітня школа І-ІІІ ступенІв Адамівська сільська рада Криничанський район Дніпропетровська область</t>
  </si>
  <si>
    <t>52334</t>
  </si>
  <si>
    <t>1222080501</t>
  </si>
  <si>
    <t>Адамівка</t>
  </si>
  <si>
    <t>вул. Центральна, 33А</t>
  </si>
  <si>
    <t>(05654)2 - 52 - 27</t>
  </si>
  <si>
    <t>http://adamivskaschool.klasna.com/</t>
  </si>
  <si>
    <t>Світлогірська середня загальноосвітня школа Криничанського району Дніпропетровської області</t>
  </si>
  <si>
    <t>52340</t>
  </si>
  <si>
    <t>1222081001</t>
  </si>
  <si>
    <t>Світлогірське</t>
  </si>
  <si>
    <t>вул. Івана Богатиря, 11</t>
  </si>
  <si>
    <t>0565427246</t>
  </si>
  <si>
    <t>http://svitschool.at.ua</t>
  </si>
  <si>
    <t>Болтишська середня загальноосвітня школа Криничанського району Дніпропетровської області</t>
  </si>
  <si>
    <t>52362</t>
  </si>
  <si>
    <t>1222081501</t>
  </si>
  <si>
    <t>Болтишка</t>
  </si>
  <si>
    <t>вул. Ватутіна, 42 - А</t>
  </si>
  <si>
    <t>24-6-48</t>
  </si>
  <si>
    <t>Комунальний навчально-виховний комплекс "Биківська загальноосвітня школа І-ІІ ступенів - дошкільний навчальний заклад"Криничанського району Дніпропетровської області</t>
  </si>
  <si>
    <t>52321</t>
  </si>
  <si>
    <t>1222081701</t>
  </si>
  <si>
    <t>Бикове</t>
  </si>
  <si>
    <t>Гуляйпільська середня загальноосвітня школа І-ІІІ ступенів</t>
  </si>
  <si>
    <t>52370</t>
  </si>
  <si>
    <t>1222082001</t>
  </si>
  <si>
    <t>Гуляйполе</t>
  </si>
  <si>
    <t>(05654)26-6-84</t>
  </si>
  <si>
    <t>http://schoolgulaypole.klasna.com</t>
  </si>
  <si>
    <t>Комунальний навчально-виховний комплекс" Малософіївська загальноосвітня школа І-ІІ ступенів - дошкільний навчальний заклад"</t>
  </si>
  <si>
    <t>52371</t>
  </si>
  <si>
    <t>1222082007</t>
  </si>
  <si>
    <t>Малософіївка</t>
  </si>
  <si>
    <t>0565427632</t>
  </si>
  <si>
    <t>Дружбівська середня загальноосвітня школа</t>
  </si>
  <si>
    <t>52331</t>
  </si>
  <si>
    <t>1222082301</t>
  </si>
  <si>
    <t>Дружба</t>
  </si>
  <si>
    <t>вул. Київська, 69</t>
  </si>
  <si>
    <t>0565428624</t>
  </si>
  <si>
    <t>http://dryzbivska.dnepredu.com/</t>
  </si>
  <si>
    <t>Комунальний навчально-виховний комплекс "Теплівська загальноосвітня школа І-ІІІ ступенів - дошкільний навчальний заклад " Криничанського району Дніпропетровської області</t>
  </si>
  <si>
    <t>1222082504</t>
  </si>
  <si>
    <t>Теплівка</t>
  </si>
  <si>
    <t>05654 24-7-52</t>
  </si>
  <si>
    <t>Затишнянська середня загальноосвітня школа Криничанського району Дніпропетровської області</t>
  </si>
  <si>
    <t>52363</t>
  </si>
  <si>
    <t>1222082701</t>
  </si>
  <si>
    <t>Затишне</t>
  </si>
  <si>
    <t>вул. Центральна(Леніна), 23</t>
  </si>
  <si>
    <t>28-5-17</t>
  </si>
  <si>
    <t>Комунальний заклад "Катеринопільська загальноосвітня початкова школа-садок загального розвитку" Криничанської районної ради</t>
  </si>
  <si>
    <t>52320</t>
  </si>
  <si>
    <t>1222083001</t>
  </si>
  <si>
    <t>Катеринопіль</t>
  </si>
  <si>
    <t>(05654)24528</t>
  </si>
  <si>
    <t>http://katerunopil.dnepredu.com/</t>
  </si>
  <si>
    <t>Комунальний заклад "Зорянська загальноосвітня початкова школа-сад"Криничанської районної ради</t>
  </si>
  <si>
    <t>1222083005</t>
  </si>
  <si>
    <t>вул. Лесі Українки, 1А</t>
  </si>
  <si>
    <t>380675662317</t>
  </si>
  <si>
    <t>Кудашівська середня загальноосвітня школа Криничанського району Дніпропетровської області</t>
  </si>
  <si>
    <t>52350</t>
  </si>
  <si>
    <t>1222083501</t>
  </si>
  <si>
    <t>Кудашівка</t>
  </si>
  <si>
    <t>вул. Виконкомівська, 46</t>
  </si>
  <si>
    <t>0565424197</t>
  </si>
  <si>
    <t>http://kudashivkaschool.dnepredu.com</t>
  </si>
  <si>
    <t>21903158</t>
  </si>
  <si>
    <t>КЗ "Маломихайлівська середня загальноосвітня школа І - ІІІ ступенів" Криничанської селищкої ради Дніпропетровської області</t>
  </si>
  <si>
    <t>52342</t>
  </si>
  <si>
    <t>1222084001</t>
  </si>
  <si>
    <t>Маломихайлівка</t>
  </si>
  <si>
    <t>(05654)26454</t>
  </si>
  <si>
    <t>Степанівський навчально-виховний комплекс" Степанівська загальноосвітня школа І-ІІІ ступенів - дошкільний навчальний заклад" Криничанського району Дніпропетровської області</t>
  </si>
  <si>
    <t>52314</t>
  </si>
  <si>
    <t>1222084506</t>
  </si>
  <si>
    <t>(05654)27730</t>
  </si>
  <si>
    <t>http://stepan.dnepredu.com</t>
  </si>
  <si>
    <t>Покровська неповна середня загальноосвітня школа</t>
  </si>
  <si>
    <t>52351</t>
  </si>
  <si>
    <t>1222085001</t>
  </si>
  <si>
    <t>Покровка</t>
  </si>
  <si>
    <t>24251</t>
  </si>
  <si>
    <t>http://pokrovka.klasna.com</t>
  </si>
  <si>
    <t>Преображенська середня загальноосвітня школа Криничанського району Дніпропетровської області</t>
  </si>
  <si>
    <t>52360</t>
  </si>
  <si>
    <t>1222085501</t>
  </si>
  <si>
    <t>Преображенка</t>
  </si>
  <si>
    <t>вул. Центральна, 36 - Д</t>
  </si>
  <si>
    <t>0565426314</t>
  </si>
  <si>
    <t>Комунальний навчально-виховний комплекс "Вітрівська загальноосвітня школа І-ІІ ступенів - дошкільний навчальний заклад"</t>
  </si>
  <si>
    <t>52361</t>
  </si>
  <si>
    <t>1222085502</t>
  </si>
  <si>
    <t>0565426530</t>
  </si>
  <si>
    <t>http://schoolv.klasna.com</t>
  </si>
  <si>
    <t>Семенівська середня загальноосвітня школа Криничанського райну Дніпропетровської області</t>
  </si>
  <si>
    <t>52315</t>
  </si>
  <si>
    <t>1222086001</t>
  </si>
  <si>
    <t>Семенівка</t>
  </si>
  <si>
    <t>вул. Тітова, 1</t>
  </si>
  <si>
    <t>056-54-28134</t>
  </si>
  <si>
    <t>http://semen.klasna.com</t>
  </si>
  <si>
    <t>Комунальний заклад "Українська загальноосвітня початкова школа-садок" Аулівської селищної ради</t>
  </si>
  <si>
    <t>52313</t>
  </si>
  <si>
    <t>1222086201</t>
  </si>
  <si>
    <t>вул. Миру, 45</t>
  </si>
  <si>
    <t>0565427422</t>
  </si>
  <si>
    <t>Комунальний навчально-виховний комплекс "Червоноіванівська середня загальноосвітня школа І-ІІІ ступенів - дошкільний навчальний заклад" Криничанського району Дніпропетровської області</t>
  </si>
  <si>
    <t>52330</t>
  </si>
  <si>
    <t>1222086501</t>
  </si>
  <si>
    <t>Червоноіванівка</t>
  </si>
  <si>
    <t>(05654)28413</t>
  </si>
  <si>
    <t>Комунальний заклад "Промінська середня загальноосвітня школа І-ІІІ ступенів" Криничанського району Дніпропетровської області Відділ освіти, молоді та спорту Криничанської районної державної адміністрації</t>
  </si>
  <si>
    <t>52341</t>
  </si>
  <si>
    <t>1222088601</t>
  </si>
  <si>
    <t>вул. Шкільна, 1/1</t>
  </si>
  <si>
    <t>(05654)2-61-52</t>
  </si>
  <si>
    <t>Комунальний заклад освіти "Магдалинівський навчально - реабілітаційний центр" Дніпропетровської обласної ради"</t>
  </si>
  <si>
    <t>51100</t>
  </si>
  <si>
    <t>1222355100</t>
  </si>
  <si>
    <t>Магдалинівка</t>
  </si>
  <si>
    <t>наб. Набережна, 19</t>
  </si>
  <si>
    <t>05691 21872, 05691 21873</t>
  </si>
  <si>
    <t>http://magdalunivskiynrc.mirshkol.com</t>
  </si>
  <si>
    <t>Магдалинівська загальноосвітня школа І-ІІІ ступенів Магдалинівської районної ради Дніпропетровської області</t>
  </si>
  <si>
    <t>вул. Радянська, 14</t>
  </si>
  <si>
    <t>(05691)21944</t>
  </si>
  <si>
    <t>http://magschool.dnepredu.com/</t>
  </si>
  <si>
    <t>Кільченська загальноосвітня школа I-III ступенів Магдалинівської районної ради</t>
  </si>
  <si>
    <t>51106</t>
  </si>
  <si>
    <t>1222355102</t>
  </si>
  <si>
    <t>Кільчень</t>
  </si>
  <si>
    <t>0569196136</t>
  </si>
  <si>
    <t>http://radyanske.dnepredu.com/</t>
  </si>
  <si>
    <t>Бузівська загальноосвітня школа І-ІІІ ступенів Магдалинівської районної ради Дніпропетровської області</t>
  </si>
  <si>
    <t>51120</t>
  </si>
  <si>
    <t>1222381101</t>
  </si>
  <si>
    <t>Бузівка</t>
  </si>
  <si>
    <t>вул. Крупської, 2</t>
  </si>
  <si>
    <t>0569193511</t>
  </si>
  <si>
    <t>http://buz02.klasna.com/</t>
  </si>
  <si>
    <t>Ковпаківська загальноосвітня школа I-III ступенів Магдалинівської районної ради Дніпропетровської області</t>
  </si>
  <si>
    <t>51121</t>
  </si>
  <si>
    <t>1222381105</t>
  </si>
  <si>
    <t>Ковпаківка</t>
  </si>
  <si>
    <t>096-895-21-81, (05691)9-93-44</t>
  </si>
  <si>
    <t>http://kovpakivka.dnepredu.com/</t>
  </si>
  <si>
    <t>Гупалівська загальноосвітня школа І-ІІІ ступенів Магдалинівської районної ради Дніпропетровської області</t>
  </si>
  <si>
    <t>51110</t>
  </si>
  <si>
    <t>1222381501</t>
  </si>
  <si>
    <t>Гупалівка</t>
  </si>
  <si>
    <t>95448</t>
  </si>
  <si>
    <t>http://gupalivka.dnepredu.com</t>
  </si>
  <si>
    <t>Дмухайлівська загальноосвітня школа І-ІІІ ступенів Магдалинівської районної ради Дніпропетровької області</t>
  </si>
  <si>
    <t>51115</t>
  </si>
  <si>
    <t>1222382001</t>
  </si>
  <si>
    <t>Дмухайлівка</t>
  </si>
  <si>
    <t>вул. Пушкіна, 1</t>
  </si>
  <si>
    <t>http://dmyxailivka.dnepredu.com/</t>
  </si>
  <si>
    <t>Жданівська загальноосвітня школа І-ІІІ ступенів Магдалинівської районної ради Дніпропетровської області</t>
  </si>
  <si>
    <t>51142</t>
  </si>
  <si>
    <t>1222382501</t>
  </si>
  <si>
    <t>Жданівка</t>
  </si>
  <si>
    <t>(05691)93310</t>
  </si>
  <si>
    <t>http://jdana05.dnepredu.com/</t>
  </si>
  <si>
    <t>Крамарська загальноосвітня школа І-ІІ ступенів Жданівської сільської ради Дніпропетровської області</t>
  </si>
  <si>
    <t>1222382505</t>
  </si>
  <si>
    <t>Крамарка</t>
  </si>
  <si>
    <t>вул. Центральна, 34</t>
  </si>
  <si>
    <t>0672771610</t>
  </si>
  <si>
    <t>Заплавська загальноосвітня школа І -ІІІ ступенів Магдалинівського району Дніпропетровської області</t>
  </si>
  <si>
    <t>51113</t>
  </si>
  <si>
    <t>1222383001</t>
  </si>
  <si>
    <t>Заплавка</t>
  </si>
  <si>
    <t>вул. Крупської, 1</t>
  </si>
  <si>
    <t>056 91--9- 95-46, 056 91--9- 95-40</t>
  </si>
  <si>
    <t>http://zaplava.dnepredu.com/</t>
  </si>
  <si>
    <t>французька</t>
  </si>
  <si>
    <t>Минівська ЗОШ І ступеня Заплавської сільської ради Дніпропетровської області</t>
  </si>
  <si>
    <t>51114</t>
  </si>
  <si>
    <t>1222383004</t>
  </si>
  <si>
    <t>Минівка</t>
  </si>
  <si>
    <t>вул. Нестеренка, 5</t>
  </si>
  <si>
    <t>0569192603</t>
  </si>
  <si>
    <t>http://minovka.mag-osvita.dp.ua</t>
  </si>
  <si>
    <t>Казначеївська загальноосвітня школа І-ІІІ ст. Магдалинівської районної ради Дніпропетровської області</t>
  </si>
  <si>
    <t>51153</t>
  </si>
  <si>
    <t>1222383301</t>
  </si>
  <si>
    <t>Казначеївка</t>
  </si>
  <si>
    <t>вул. Назаренка, 138</t>
  </si>
  <si>
    <t>http://kaznacheivka.dnepredy.com</t>
  </si>
  <si>
    <t>Комунальний заклад освіти "Котовський навчально-реабілітаційний центр" Дніпропетровської обласної ради"</t>
  </si>
  <si>
    <t>51112</t>
  </si>
  <si>
    <t>1222383501</t>
  </si>
  <si>
    <t>Котовка</t>
  </si>
  <si>
    <t>http://nikiforovstanislav.wix.com/knrc</t>
  </si>
  <si>
    <t>23078513</t>
  </si>
  <si>
    <t>Котівська загальноосвітня школа І-ІІІ ступенів Магдалинівської районної ради Дніпропетровської області</t>
  </si>
  <si>
    <t>вул. Садова, 3</t>
  </si>
  <si>
    <t>0569192604</t>
  </si>
  <si>
    <t>http://kotovka.dnepredu.com/uk/site/index.html</t>
  </si>
  <si>
    <t>Личківська загальноосвітня школа І-ІІІ ступенів Магдалинівської районної ради Дніпропетровської області</t>
  </si>
  <si>
    <t>51140</t>
  </si>
  <si>
    <t>1222384001</t>
  </si>
  <si>
    <t>Личкове</t>
  </si>
  <si>
    <t>вул. Центральна (Леніна), 47А</t>
  </si>
  <si>
    <t>05691-9-52-95</t>
  </si>
  <si>
    <t>http://luchkoveschool.dnepredu.com</t>
  </si>
  <si>
    <t>Мар'ївська загальноосвітня школа І-ІІІ ступенів Магдалинівської районної ради Дніпропетровської області</t>
  </si>
  <si>
    <t>51141</t>
  </si>
  <si>
    <t>1222384501</t>
  </si>
  <si>
    <t>Мар'ївка</t>
  </si>
  <si>
    <t>вул. Адміністративна, 10</t>
  </si>
  <si>
    <t>9-31-40</t>
  </si>
  <si>
    <t>Новопетрівська загальноосвітня школа І-ІІІ ступенів с. Новопетрівка Магдалинівського району Дніпропетровської області</t>
  </si>
  <si>
    <t>51130</t>
  </si>
  <si>
    <t>1222385001</t>
  </si>
  <si>
    <t>Новопетрівка</t>
  </si>
  <si>
    <t>вул. Фрунзе, 1</t>
  </si>
  <si>
    <t>Шевська загальноосвітня школа І- ІІІ ступенів, Магдалинівського району,Дніпропетровської області</t>
  </si>
  <si>
    <t>1222385004</t>
  </si>
  <si>
    <t>Шевське</t>
  </si>
  <si>
    <t>(05691)9-56-40</t>
  </si>
  <si>
    <t>Оленівська загальноосвітня школа -ІІІ ступенів Магдалинівської районної ради Дніпропетровської області</t>
  </si>
  <si>
    <t>41105</t>
  </si>
  <si>
    <t>1222385301</t>
  </si>
  <si>
    <t>вул. Широка, 41</t>
  </si>
  <si>
    <t>(05691)97748</t>
  </si>
  <si>
    <t>http://olenivka.dnepredu.com</t>
  </si>
  <si>
    <t>Очеретуватівська загальноосвітня школа І-ІІІ ступенів Магдалинівської райдержадміністрації Дніпропетровської області</t>
  </si>
  <si>
    <t>51165</t>
  </si>
  <si>
    <t>1222385501</t>
  </si>
  <si>
    <t>Очеретувате</t>
  </si>
  <si>
    <t>96632</t>
  </si>
  <si>
    <t>http://ocheretuvate.at.ua</t>
  </si>
  <si>
    <t>Першотравенський навчально-виховний комплекс "загальноосвітня школа I-III ступенів - дошкільний навчальний заклад" Магдалинівської районної ради Дніпропетровської області</t>
  </si>
  <si>
    <t>51163</t>
  </si>
  <si>
    <t>1222385801</t>
  </si>
  <si>
    <t>Першотравенка</t>
  </si>
  <si>
    <t>вул. 40 років Перемоги, 2А</t>
  </si>
  <si>
    <t>(05691)9-67-40</t>
  </si>
  <si>
    <t>Поливанівська загальноосвітня школа I - III ступенів Магдалинівської районної ради Дніпропетровської області</t>
  </si>
  <si>
    <t>51150</t>
  </si>
  <si>
    <t>1222386001</t>
  </si>
  <si>
    <t>Поливанівка</t>
  </si>
  <si>
    <t>вул. Центральна, 03</t>
  </si>
  <si>
    <t>056-91-96448</t>
  </si>
  <si>
    <t>http://poluvanivka.mag-osvita.dp.ua</t>
  </si>
  <si>
    <t>Почино-Софіївська загальноосвітня школа I-III ступенів - дошкільний навчальний заклад Магдалинівської районної ради Дніпропетровської області</t>
  </si>
  <si>
    <t>51151</t>
  </si>
  <si>
    <t>1222386101</t>
  </si>
  <si>
    <t>Почино-Софіївка</t>
  </si>
  <si>
    <t>96535</t>
  </si>
  <si>
    <t>http://pochunovo.mag-osvita.dp.ua/</t>
  </si>
  <si>
    <t>Приютська загальноосвітня школа І-ІІ ступенів Магдалинівської районної ради Дніпропетровської області</t>
  </si>
  <si>
    <t>51164</t>
  </si>
  <si>
    <t>1222386501</t>
  </si>
  <si>
    <t>Приют</t>
  </si>
  <si>
    <t>вул. Широка, 7</t>
  </si>
  <si>
    <t>9-92-67</t>
  </si>
  <si>
    <t>http://priyut.klasna.com</t>
  </si>
  <si>
    <t>Приорільська загальноосвітня школа І-ІІІ ступенів Магдалинівської районної ради Дніпропетровської області</t>
  </si>
  <si>
    <t>51122</t>
  </si>
  <si>
    <t>1222386801</t>
  </si>
  <si>
    <t>Приорільське</t>
  </si>
  <si>
    <t>вул. Шкільна, 2С</t>
  </si>
  <si>
    <t>(05691)95173</t>
  </si>
  <si>
    <t>Топчинська загальноосвітня школа І-ІІІ ступенів Магдалинівської районної ради Дніпропетровської області</t>
  </si>
  <si>
    <t>51132</t>
  </si>
  <si>
    <t>1222387001</t>
  </si>
  <si>
    <t>Топчине</t>
  </si>
  <si>
    <t>9-71-59</t>
  </si>
  <si>
    <t>http://topcune.dnepredu.com</t>
  </si>
  <si>
    <t>Чернетчинська загальноосвітня школа І-ІІІ ступенів Магдалинівської районної ради Дніпропетровської області</t>
  </si>
  <si>
    <t>51111</t>
  </si>
  <si>
    <t>1222387201</t>
  </si>
  <si>
    <t>Чернеччина</t>
  </si>
  <si>
    <t>вул. Комарова, 16</t>
  </si>
  <si>
    <t>0569197426</t>
  </si>
  <si>
    <t>http://chernetchina_school.dnepredu.com</t>
  </si>
  <si>
    <t>Шевченківська загальноосвітня школа I-III ступенів Магдалинівської райдержадміністрації Дніпрпетровської області</t>
  </si>
  <si>
    <t>51160</t>
  </si>
  <si>
    <t>1222387401</t>
  </si>
  <si>
    <t>Шевченківка</t>
  </si>
  <si>
    <t>вул. Фрунзе, 59</t>
  </si>
  <si>
    <t>056 291 96343</t>
  </si>
  <si>
    <t>http://schevshenkivka.dnepredu.com/uk/site/site-map.html</t>
  </si>
  <si>
    <t>Євдокіївська загальноосвітня школа І-ІІ ступенів Шевченківської сільської ради Дніпропетровської області</t>
  </si>
  <si>
    <t>51161</t>
  </si>
  <si>
    <t>1222387403</t>
  </si>
  <si>
    <t>Євдокіївка</t>
  </si>
  <si>
    <t>вул. Євдокіївська, 4</t>
  </si>
  <si>
    <t>0569193748</t>
  </si>
  <si>
    <t>http://evdokuevska.dnepredu.com</t>
  </si>
  <si>
    <t>Районний комунальний заклад освіти "Межівська середня загальноосвітня школа І-ІІІ ступенів № 2" Межівського району Дніпропетровської області</t>
  </si>
  <si>
    <t>52900</t>
  </si>
  <si>
    <t>1222655100</t>
  </si>
  <si>
    <t>Межова</t>
  </si>
  <si>
    <t>вул. Спортивна, 33</t>
  </si>
  <si>
    <t>0563062156</t>
  </si>
  <si>
    <t>http://mezhovash2.klasna.com</t>
  </si>
  <si>
    <t>Районний комунальний заклад освіти "Навчально-виховний комплекс "Межівська середня загальноосвітня школа І-ІІ ступенів - аграрний ліцей-інтернат"</t>
  </si>
  <si>
    <t>вул. Сонячна, 8</t>
  </si>
  <si>
    <t>0563061701</t>
  </si>
  <si>
    <t>http://mali.klasna.com</t>
  </si>
  <si>
    <t>Районний комунальний заклад освіти"Межівська середня загальноосвітня школа І-ІІІ ступенів № -1" Українська філія І ступеня РКЗО "Межівська СЗШ І-ІІІ ступенів № 1"</t>
  </si>
  <si>
    <t>вул. Учительська, 7</t>
  </si>
  <si>
    <t>(05630)62789</t>
  </si>
  <si>
    <t>http://mschool1.klasna.com</t>
  </si>
  <si>
    <t>Районний комунальний заклад освіти "Українська середня загальноосвітня школа І-ІІІ ступенів" Межівського району Дніпропетровської області</t>
  </si>
  <si>
    <t>52905</t>
  </si>
  <si>
    <t>1222655108</t>
  </si>
  <si>
    <t>вул. Ленiна, 35</t>
  </si>
  <si>
    <t>0563096283</t>
  </si>
  <si>
    <t>http://ukrsch.klasna.com</t>
  </si>
  <si>
    <t>Районний комунальний заклад освіти "Демуринська середня загальноосвітня школа І- ІІ ступенів"</t>
  </si>
  <si>
    <t>52921</t>
  </si>
  <si>
    <t>1222655400</t>
  </si>
  <si>
    <t>Демурине</t>
  </si>
  <si>
    <t>вул. Первомайська, 2</t>
  </si>
  <si>
    <t>95-3-12</t>
  </si>
  <si>
    <t>http://demurenozsh.dnepredu.com/</t>
  </si>
  <si>
    <t>Районий комунальний заклад освіти "Володимирівська середня загальноосвітня школа І-ІІІ ступенів "</t>
  </si>
  <si>
    <t>52924</t>
  </si>
  <si>
    <t>1222655402</t>
  </si>
  <si>
    <t>95624</t>
  </si>
  <si>
    <t>http://volodumurivskaSH.klasna.com.ua</t>
  </si>
  <si>
    <t>Сільський комунальний заклад освіти "Богданівський навчально - виховний комплекс" Загальнооосвітній навчальний заклад І ступеня дошкільний навчальний заклад</t>
  </si>
  <si>
    <t>52931</t>
  </si>
  <si>
    <t>1222681101</t>
  </si>
  <si>
    <t>800563095743</t>
  </si>
  <si>
    <t>Сільський комунальний заклад освіти "Антонівський загальноосвітній навчальний заклад І ступеня"</t>
  </si>
  <si>
    <t>52932</t>
  </si>
  <si>
    <t>1222681102</t>
  </si>
  <si>
    <t>Антонівське</t>
  </si>
  <si>
    <t>0563095201</t>
  </si>
  <si>
    <t>http://antonivskashkola.klasna.com/</t>
  </si>
  <si>
    <t>Районний комунальний заклад освіти "Веселівська середня загальноосвітня школа І-ІІІ ступенів"</t>
  </si>
  <si>
    <t>52930</t>
  </si>
  <si>
    <t>1222682201</t>
  </si>
  <si>
    <t>вул. Капустіна, 6</t>
  </si>
  <si>
    <t>(05630)95446</t>
  </si>
  <si>
    <t>https://veseleschool.klasna.com</t>
  </si>
  <si>
    <t>РКЗО "Зорянська середня загальноосвітня школа І-ІІІ ступенів" Межівського району Дніпропетровської області</t>
  </si>
  <si>
    <t>52910</t>
  </si>
  <si>
    <t>1222683301</t>
  </si>
  <si>
    <t>вул. Чапаєва (Шкільна), 16</t>
  </si>
  <si>
    <t>05630-94-2-25</t>
  </si>
  <si>
    <t>http://zoryaneschool.klasna.com</t>
  </si>
  <si>
    <t>Сільський комунальний заклад освіти "Маліївський навчально-виховний комплекс загальноосвітній навчальний заклад І ступеня - дошкільний навчальний заклад" Зорянської сільської ради, Межівського району, Дніпропеьровської області</t>
  </si>
  <si>
    <t>1222683305</t>
  </si>
  <si>
    <t>Маліївське</t>
  </si>
  <si>
    <t>вул. Набережна</t>
  </si>
  <si>
    <t>05623094284</t>
  </si>
  <si>
    <t>Миронівський навчально-виховний комплекс Загальноосвітній навчальний заклад І ступеня - дошкільний навчальний заклад Зорянської сільської ради Межівського району Дніпропетровської області</t>
  </si>
  <si>
    <t>1222683306</t>
  </si>
  <si>
    <t>Миронове</t>
  </si>
  <si>
    <t>0563094263</t>
  </si>
  <si>
    <t>http://schoolpetrovka.klasna.com</t>
  </si>
  <si>
    <t>Районний комунальний заклад освіти "Іванівська середня загальноосвітня школа І-ІІІ ступенів"</t>
  </si>
  <si>
    <t>52952</t>
  </si>
  <si>
    <t>1222684401</t>
  </si>
  <si>
    <t>0563096716</t>
  </si>
  <si>
    <t>http://ivanivskash.klasna.com/</t>
  </si>
  <si>
    <t>Районний комунальний заклад освіти "Новогригорівська середня загальноосвітня школа І-ІІІ ступенів"</t>
  </si>
  <si>
    <t>52912</t>
  </si>
  <si>
    <t>1222685201</t>
  </si>
  <si>
    <t>вул. Центральна, 109</t>
  </si>
  <si>
    <t>(05630)94-5-21</t>
  </si>
  <si>
    <t>https://sites.google.com/site/novogrigschool/</t>
  </si>
  <si>
    <t>Сільський комунальний заклад освіти "Новопавлівська середня загальноосвітня школа І - ІІІ ступенів № 2"</t>
  </si>
  <si>
    <t>52950</t>
  </si>
  <si>
    <t>1222685501</t>
  </si>
  <si>
    <t>Новопавлівка</t>
  </si>
  <si>
    <t>0990410407</t>
  </si>
  <si>
    <t>http://school2nov.klasna.com/</t>
  </si>
  <si>
    <t>Сільський комунальний заклад освіти "Новопавлівська середня загальноосвітня школа І-ІІІ ступенів № 1"</t>
  </si>
  <si>
    <t>вул. Сташкова, 23</t>
  </si>
  <si>
    <t>0563099347</t>
  </si>
  <si>
    <t>http://novschool1.dnepredu.com/uk/site/index.html</t>
  </si>
  <si>
    <t>Районний комунальний заклад освіти "Преображенський загальноосвітній навчальний заклад І ступеня"</t>
  </si>
  <si>
    <t>52920</t>
  </si>
  <si>
    <t>1222686601</t>
  </si>
  <si>
    <t>(05630)95131</t>
  </si>
  <si>
    <t>Районний комунальний заклад освіти "Райпільська середня загальноосвітня школа І - ІІІ ступенів" Межівського району Дніпропетровської області</t>
  </si>
  <si>
    <t>52940</t>
  </si>
  <si>
    <t>1222687701</t>
  </si>
  <si>
    <t>Райполе</t>
  </si>
  <si>
    <t>0563096622</t>
  </si>
  <si>
    <t>http://raipoleschool1.klasna.com</t>
  </si>
  <si>
    <t>Районний комунальний заклад освіти "Новопідгороднянська середня загальноосвітня школа І - ІІІ ступенів"</t>
  </si>
  <si>
    <t>52941</t>
  </si>
  <si>
    <t>1222687706</t>
  </si>
  <si>
    <t>Новопідгородне</t>
  </si>
  <si>
    <t>0563096347</t>
  </si>
  <si>
    <t>http://novopidgorodnesh.klasna.com</t>
  </si>
  <si>
    <t>Районний комунальний заклад освіти "Слав'янська середня загальноосвітня школа I-III ступенів"</t>
  </si>
  <si>
    <t>52911</t>
  </si>
  <si>
    <t>1222688801</t>
  </si>
  <si>
    <t>Слов'янка</t>
  </si>
  <si>
    <t>0563094330</t>
  </si>
  <si>
    <t>http://slovaynskaszsh.dnepredu.com</t>
  </si>
  <si>
    <t>Червоногригорівська загальноосвітня школа I-III ступенів Нікопольської районної ради Дніпропетровської області</t>
  </si>
  <si>
    <t>53283</t>
  </si>
  <si>
    <t>1222955700</t>
  </si>
  <si>
    <t>Червоногригорівка</t>
  </si>
  <si>
    <t>вул. Ярмарочна, 43</t>
  </si>
  <si>
    <t>671188</t>
  </si>
  <si>
    <t>http://chervonogrigor.ucoz.ua/</t>
  </si>
  <si>
    <t>Червоногригорівська загальноосвітня школа І ступеня Нікопольського району Дніпропетровської області</t>
  </si>
  <si>
    <t>вул. Суворова, 2</t>
  </si>
  <si>
    <t>(095)7981641</t>
  </si>
  <si>
    <t>http://pochatkova.ucoz.net</t>
  </si>
  <si>
    <t>Дмитрівська загальноосвітня школа І- ІІ ступенів</t>
  </si>
  <si>
    <t>53261</t>
  </si>
  <si>
    <t>1222981001</t>
  </si>
  <si>
    <t>Дмитрівка</t>
  </si>
  <si>
    <t>672232</t>
  </si>
  <si>
    <t>http://dmitrovschool.ru</t>
  </si>
  <si>
    <t>Борисівська загальноосвітня школа І-ІІІ ступенів</t>
  </si>
  <si>
    <t>53263</t>
  </si>
  <si>
    <t>1222981002</t>
  </si>
  <si>
    <t>Борисівка</t>
  </si>
  <si>
    <t>(056)672231</t>
  </si>
  <si>
    <t>http://www.borisivkashcola.at.ua</t>
  </si>
  <si>
    <t>Чистопільська загальноосвітня школа І-ІІІ ступенів Нікопольської районної ради Дніпропетровської області</t>
  </si>
  <si>
    <t>53253</t>
  </si>
  <si>
    <t>1222982201</t>
  </si>
  <si>
    <t>Чистопіль</t>
  </si>
  <si>
    <t>вул. Соборна, 8</t>
  </si>
  <si>
    <t>0566677243</t>
  </si>
  <si>
    <t>http://kirovo-zosh.at.ua</t>
  </si>
  <si>
    <t>Криничуватська загальноосвітня школа І - ІІІ ступенів Нікопольської районної ради Дніпропетровської області</t>
  </si>
  <si>
    <t>53244</t>
  </si>
  <si>
    <t>1222982801</t>
  </si>
  <si>
    <t>Криничувате</t>
  </si>
  <si>
    <t>вул. 60 років Комсомолу, 8</t>
  </si>
  <si>
    <t>(056)673482, (056) 673582</t>
  </si>
  <si>
    <t>Веселівська ЗОШ І-ІІІ ступенів Нікопольської районної ради Дніпропетровської області</t>
  </si>
  <si>
    <t>53242</t>
  </si>
  <si>
    <t>1222982802</t>
  </si>
  <si>
    <t>вул. Шкільний, 4А</t>
  </si>
  <si>
    <t>(0566676)474</t>
  </si>
  <si>
    <t>Лошкарівська загальноосвітня школа І - ІІІ ступенів Нікопольської районної ради Дніпропетровської області</t>
  </si>
  <si>
    <t>53240</t>
  </si>
  <si>
    <t>1222983401</t>
  </si>
  <si>
    <t>Лошкарівка</t>
  </si>
  <si>
    <t>6-79-5-71</t>
  </si>
  <si>
    <t>Приміська загальноосвітня школа І-ІІІ ступенів Нікопольської районної ради Дніпропетровської області</t>
  </si>
  <si>
    <t>53230</t>
  </si>
  <si>
    <t>1222983901</t>
  </si>
  <si>
    <t>Приміське</t>
  </si>
  <si>
    <t>35857</t>
  </si>
  <si>
    <t>http://menjinskazosh.at.ua/</t>
  </si>
  <si>
    <t>Олексіївська загальноосвітня школа I-III ступенів Нікопольської районної ради</t>
  </si>
  <si>
    <t>53272</t>
  </si>
  <si>
    <t>1222983903</t>
  </si>
  <si>
    <t>Олексіївка</t>
  </si>
  <si>
    <t>вул. Мостова, 31</t>
  </si>
  <si>
    <t>0566673742, 0566673690</t>
  </si>
  <si>
    <t>http://oleksievska-zos.at.ua/</t>
  </si>
  <si>
    <t>Новоіванівська загальноосвітня школа І-ІІІ ступенів Нікопольської районної ради Дніпропетровської області</t>
  </si>
  <si>
    <t>53260</t>
  </si>
  <si>
    <t>1222984301</t>
  </si>
  <si>
    <t>(0566)676210</t>
  </si>
  <si>
    <t>Новософіївська загальноосвітня школа І-ІІІ ступенів, Нікопольської районної ради , Дніпропетровської області</t>
  </si>
  <si>
    <t>53231</t>
  </si>
  <si>
    <t>1222984501</t>
  </si>
  <si>
    <t>Новософіївка</t>
  </si>
  <si>
    <t>вул. О.Копаниці, 2</t>
  </si>
  <si>
    <t>0566)677-416</t>
  </si>
  <si>
    <t>http://novosofijivka.ucoz.net</t>
  </si>
  <si>
    <t>Павлопільська загальноосвітня школа І-ІІІ ступенів Нікопольської районної ради Дніпропетровської області</t>
  </si>
  <si>
    <t>53250</t>
  </si>
  <si>
    <t>1222985001</t>
  </si>
  <si>
    <t>Павлопілля</t>
  </si>
  <si>
    <t>вул. Українська, 29</t>
  </si>
  <si>
    <t>0679710</t>
  </si>
  <si>
    <t>http://pavlopillia-school.edukit.dp.ua/</t>
  </si>
  <si>
    <t>Першотравневська загальноосвітня школа І-ІІІ ступенів Нікопольської районної ради Дніпропетровської області</t>
  </si>
  <si>
    <t>53264</t>
  </si>
  <si>
    <t>1222985201</t>
  </si>
  <si>
    <t>Першотравневе</t>
  </si>
  <si>
    <t>676845</t>
  </si>
  <si>
    <t>http://pershotravenska.at.ua</t>
  </si>
  <si>
    <t>КЗ "Південна загальноосвітня школа І-ІІІ ступенів Чкаловської сільської ради, Нікопольського району, Дніпропетровської області"</t>
  </si>
  <si>
    <t>53265</t>
  </si>
  <si>
    <t>1222985301</t>
  </si>
  <si>
    <t>Південне</t>
  </si>
  <si>
    <t>0566673287</t>
  </si>
  <si>
    <t>http://pivdennazosh.pp.ua/</t>
  </si>
  <si>
    <t>Покровська загальноосвітня школа І-ІІІ ступенів Нікопольської районної ради Дніпропетровської області</t>
  </si>
  <si>
    <t>53273</t>
  </si>
  <si>
    <t>1222985501</t>
  </si>
  <si>
    <t>Покровське</t>
  </si>
  <si>
    <t>вул. Комсомольська, 16</t>
  </si>
  <si>
    <t>674824</t>
  </si>
  <si>
    <t>http://pokrovska.at.ua</t>
  </si>
  <si>
    <t>Капулівська загальноосвітня школа І-ІІІ ступенів Нікопольської районної ради Дніпропетровської області</t>
  </si>
  <si>
    <t>53275</t>
  </si>
  <si>
    <t>1222985502</t>
  </si>
  <si>
    <t>Капулівка</t>
  </si>
  <si>
    <t>вул. Маяковського, 1Б</t>
  </si>
  <si>
    <t>0566674124</t>
  </si>
  <si>
    <t>http://kapulivska.at.ua</t>
  </si>
  <si>
    <t>Придніпровська загальноосвітня школа І-ІІІ ступенів Нікопольської районної ради Дніпропетровської області</t>
  </si>
  <si>
    <t>53280</t>
  </si>
  <si>
    <t>1222986001</t>
  </si>
  <si>
    <t>Придніпровське</t>
  </si>
  <si>
    <t>вул. Дніпростроївська, 47А</t>
  </si>
  <si>
    <t>0566675790</t>
  </si>
  <si>
    <t>http://temp.at.ua/</t>
  </si>
  <si>
    <t>Кам'янська загальноосвітня школа І-ІІІ ступенів Нікопольської районної ради Дніпропетровської області</t>
  </si>
  <si>
    <t>53282</t>
  </si>
  <si>
    <t>1222986002</t>
  </si>
  <si>
    <t>вул. Будівельників, 22</t>
  </si>
  <si>
    <t>0566675187</t>
  </si>
  <si>
    <t>http://kamenska-school.at.ua/</t>
  </si>
  <si>
    <t>Чкаловська ЗОШ І-ІІІступенів Нікопольський районної ради, Дніпропетровської області</t>
  </si>
  <si>
    <t>49409</t>
  </si>
  <si>
    <t>1222986701</t>
  </si>
  <si>
    <t>Чкалове</t>
  </si>
  <si>
    <t>вул. Дружби, 80</t>
  </si>
  <si>
    <t>http://chalovskashkola.klasna.com</t>
  </si>
  <si>
    <t>Шевченківська загальноосвітня школа І-ІІІ ступенів Нікопольської районної ради Дніпропетровської області</t>
  </si>
  <si>
    <t>1222986901</t>
  </si>
  <si>
    <t>679121</t>
  </si>
  <si>
    <t>http://shevchenschool.at.ua/</t>
  </si>
  <si>
    <t>Шолоховська загальноосвітня школа І-ІІІ ступенів нікопольської районної ради Дніпропетровської області</t>
  </si>
  <si>
    <t>53254</t>
  </si>
  <si>
    <t>1222987001</t>
  </si>
  <si>
    <t>Шолохове</t>
  </si>
  <si>
    <t>678591</t>
  </si>
  <si>
    <t>http://sholohovoschool.ucoz.ua/</t>
  </si>
  <si>
    <t>КЗО "Перещепинський НВК "Родина" "ЗОНЗ-ДНЗ" I-II ступенів з інтернатним відділенням для дітей-сиріт, дітей позбавлених батьківського піклування, дітей з кризових сімей Новомосковської районної ради Дніпропетровської області"</t>
  </si>
  <si>
    <t>51223</t>
  </si>
  <si>
    <t>1223210500</t>
  </si>
  <si>
    <t>Перещепине</t>
  </si>
  <si>
    <t>вул. Поповича, 22</t>
  </si>
  <si>
    <t>(05693)9-22-57, (05693)9-11-73</t>
  </si>
  <si>
    <t>http://roduna.klasna.com/</t>
  </si>
  <si>
    <t>21928485</t>
  </si>
  <si>
    <t>Перещепинська вечірня заочна школа Новомосковської районної ради Дніпропетровської області</t>
  </si>
  <si>
    <t>51220</t>
  </si>
  <si>
    <t>380974505123</t>
  </si>
  <si>
    <t>Перещепинська загальноосвітня школа І-ІІІ ступенів № 1 Новомосковської районної ради Дніпропетровської області</t>
  </si>
  <si>
    <t>51221</t>
  </si>
  <si>
    <t>вул. Калинова, 5</t>
  </si>
  <si>
    <t>05693-9-15-79</t>
  </si>
  <si>
    <t>http://pereschepino1.klasna.com</t>
  </si>
  <si>
    <t>Перещепинська загальноосвітня школа І-ІІІ ступенів № 2 Новомосковської районної ради Дніпропетровської області</t>
  </si>
  <si>
    <t>вул. Ярослава Мудрого, 1</t>
  </si>
  <si>
    <t>(05693) 9-15-98</t>
  </si>
  <si>
    <t>http://www.scool_II.klasna.com</t>
  </si>
  <si>
    <t>Малокозирщанський НВК "Школа-дошкільний заклад " Новомосковської районної ради Дніпропетровської області</t>
  </si>
  <si>
    <t>1223210502</t>
  </si>
  <si>
    <t>Малокозирщина</t>
  </si>
  <si>
    <t>вул. Ломоносова, 2</t>
  </si>
  <si>
    <t>(05693)92215</t>
  </si>
  <si>
    <t>http://mkoznvk.klasna.com</t>
  </si>
  <si>
    <t>комунальний заклад "Гвардійська загальноосвітня школа І - ІІІ ступенів" Новомосковської районної ради Дніпропетровської області</t>
  </si>
  <si>
    <t>51270</t>
  </si>
  <si>
    <t>1223255300</t>
  </si>
  <si>
    <t>Гвардійське</t>
  </si>
  <si>
    <t>0569387209</t>
  </si>
  <si>
    <t>http://gvardschool.klasna.com/</t>
  </si>
  <si>
    <t>Губиниська загальноосвітня школа І - ІІІ ступенів № 1 Новомосковської районної ради Дніпропетровської області</t>
  </si>
  <si>
    <t>51251</t>
  </si>
  <si>
    <t>1223255600</t>
  </si>
  <si>
    <t>Губиниха</t>
  </si>
  <si>
    <t>вул. Берегового, 19</t>
  </si>
  <si>
    <t>067-886-65-93</t>
  </si>
  <si>
    <t>http://gubynyha1.klasna.com</t>
  </si>
  <si>
    <t>Губиниська загальноосвітня школа І-ІІІ ступенів № 2 Новомосковської районної ради Дніпропетровської області</t>
  </si>
  <si>
    <t>51250</t>
  </si>
  <si>
    <t>(05693)5-71-44</t>
  </si>
  <si>
    <t>http://gubiniha2.klasna.com</t>
  </si>
  <si>
    <t>Комунальний заклад "Євецько-Миколаївський навчально-виховний комплекс "Школа-дошкільний заклад" Новомосковської районної ради Дніпропетровської області</t>
  </si>
  <si>
    <t>51253</t>
  </si>
  <si>
    <t>1223255601</t>
  </si>
  <si>
    <t>Євецько-Миколаївка</t>
  </si>
  <si>
    <t>(067)6061223</t>
  </si>
  <si>
    <t>http://javeshchyna.dnepredu.com</t>
  </si>
  <si>
    <t>Меліоративна загальноосвітня школа І-ІІІ ступенів Новомосковської районної ради Дніпропетровської області</t>
  </si>
  <si>
    <t>51217</t>
  </si>
  <si>
    <t>1223255800</t>
  </si>
  <si>
    <t>Меліоративне</t>
  </si>
  <si>
    <t>вул. Молодіжна, 31</t>
  </si>
  <si>
    <t>http://melschool1.klasna.com</t>
  </si>
  <si>
    <t>Черкаська загальноосвітня школа І-ІІІ ступеня Новомосковської районної ради Дніпропетровської області</t>
  </si>
  <si>
    <t>51272</t>
  </si>
  <si>
    <t>1223256200</t>
  </si>
  <si>
    <t>Черкаське</t>
  </si>
  <si>
    <t>вул. Лісна, 23</t>
  </si>
  <si>
    <t>0569356555</t>
  </si>
  <si>
    <t>http://cherkaska.klasna.com</t>
  </si>
  <si>
    <t>Комунальний заклад " Панасівський навчально-виховний комплекс "Школа-дошкільний заклад"</t>
  </si>
  <si>
    <t>51224</t>
  </si>
  <si>
    <t>1223280502</t>
  </si>
  <si>
    <t>Панасівка</t>
  </si>
  <si>
    <t>92135</t>
  </si>
  <si>
    <t>http://pan.klasna.com</t>
  </si>
  <si>
    <t>Комунальний заклад " Василівський навчально - виховний комплекс " Школа - дошкільний заклад" Новомосковської районної ради Дніпропетровської області</t>
  </si>
  <si>
    <t>51273</t>
  </si>
  <si>
    <t>1223281001</t>
  </si>
  <si>
    <t>вул. Українська, 2</t>
  </si>
  <si>
    <t>(097)3038122</t>
  </si>
  <si>
    <t>http://sholvasilevka.klasna.com</t>
  </si>
  <si>
    <t>Андріївська загальноосвітня школа І-ІІ ступеня Новомосковської районної ради Дніпропетровської області</t>
  </si>
  <si>
    <t>51274</t>
  </si>
  <si>
    <t>1223281002</t>
  </si>
  <si>
    <t>вул. Кооперативна, 90</t>
  </si>
  <si>
    <t>067 904 37 55</t>
  </si>
  <si>
    <t>http://www.andreevskazoh.klasna.com</t>
  </si>
  <si>
    <t>Всесвятська загальноосвітня школа І-ІІ ступеня Новомосковської районної ради Дніпропетровської області</t>
  </si>
  <si>
    <t>51275</t>
  </si>
  <si>
    <t>1223281003</t>
  </si>
  <si>
    <t>Всесвятське</t>
  </si>
  <si>
    <t>0960442542</t>
  </si>
  <si>
    <t>Комунальний заклад "Вільненський навчально-виховний комплекс "Школа - дошкільний заклад" Новомосковської районної ради Дніпропетровської області</t>
  </si>
  <si>
    <t>51260</t>
  </si>
  <si>
    <t>1223281501</t>
  </si>
  <si>
    <t>0569348133</t>
  </si>
  <si>
    <t>http://vollnoeschool.dnepredu.com</t>
  </si>
  <si>
    <t>Комунальний заклад "Хащівський навчально-виховний комплекс "Школа-дошкільний заклад" Новомосковської районної ради Дніпропетровської області</t>
  </si>
  <si>
    <t>51262</t>
  </si>
  <si>
    <t>1223281505</t>
  </si>
  <si>
    <t>Хащеве</t>
  </si>
  <si>
    <t>вул. Калініченка, 1</t>
  </si>
  <si>
    <t>(097)693-54-36</t>
  </si>
  <si>
    <t>http://khaschove.dnepredu.com</t>
  </si>
  <si>
    <t>Голубівська загальноосвітня школа І-ІІ ступенів Новомосковської районної ради</t>
  </si>
  <si>
    <t>51230</t>
  </si>
  <si>
    <t>1223282001</t>
  </si>
  <si>
    <t>Голубівка</t>
  </si>
  <si>
    <t>вул. Цвєткова, 25</t>
  </si>
  <si>
    <t>0983310271</t>
  </si>
  <si>
    <t>http://school_I-II.klasna.com</t>
  </si>
  <si>
    <t>Голубівська загальноосвітня школа І-ІІІ ступенів Новомосковської районної ради Дніпропетровської області</t>
  </si>
  <si>
    <t>вул. Лесі Українки, 17</t>
  </si>
  <si>
    <t>0679163094</t>
  </si>
  <si>
    <t>http://schoolgolubovka.klasna.com</t>
  </si>
  <si>
    <t>Миролюбівська загальноосвітня школа І-ІІІ ступеня Новомосковської районної ради Дніпропетровської області</t>
  </si>
  <si>
    <t>51232</t>
  </si>
  <si>
    <t>1223282002</t>
  </si>
  <si>
    <t>53347</t>
  </si>
  <si>
    <t>http://widvijen.klasna.com</t>
  </si>
  <si>
    <t>Знаменівська загальноосвітня школа І-ІІІ ступенів № 2 Новомосковської районної ради Дніпропетровської області</t>
  </si>
  <si>
    <t>51281</t>
  </si>
  <si>
    <t>1223282501</t>
  </si>
  <si>
    <t>Знаменівка</t>
  </si>
  <si>
    <t>вул. Петра Сагайдачного, 5</t>
  </si>
  <si>
    <t>(05693)44441</t>
  </si>
  <si>
    <t>http://Dibrova.klasna.com</t>
  </si>
  <si>
    <t>Комунальний заклад "Знаменівський навчально-виховний комплекс "загальноосвітній навчальний заклад І-ІІІ ступенів - дошкільний заклад" Новомосковської районної ради Дніпропетровської області</t>
  </si>
  <si>
    <t>51280</t>
  </si>
  <si>
    <t>вул. Українська, 217</t>
  </si>
  <si>
    <t>http://znamenivkanvk.jimdo.com</t>
  </si>
  <si>
    <t>Новотроїцький навчально-виховний комплекс</t>
  </si>
  <si>
    <t>51291</t>
  </si>
  <si>
    <t>1223282503</t>
  </si>
  <si>
    <t>Новотроїцьке</t>
  </si>
  <si>
    <t>вул. Герасименка, 81</t>
  </si>
  <si>
    <t>0569344828</t>
  </si>
  <si>
    <t>Керносівська загальноосвітня школа І - ІІІ ступенів Новомосковської районної ради Дніпропетровської області</t>
  </si>
  <si>
    <t>51226</t>
  </si>
  <si>
    <t>1223283001</t>
  </si>
  <si>
    <t>Керносівка</t>
  </si>
  <si>
    <t>вул. Калинова, 20</t>
  </si>
  <si>
    <t>http://schoolkernos.klasna.com</t>
  </si>
  <si>
    <t>Мар'янівська загальноосвітня школа І-ІІІ ступенів Новомосковської районної ради Дніпропетровської області</t>
  </si>
  <si>
    <t>51261</t>
  </si>
  <si>
    <t>1223283301</t>
  </si>
  <si>
    <t>05693-55-9-16</t>
  </si>
  <si>
    <t>http://marschool.dnepredu.com</t>
  </si>
  <si>
    <t>КЗ Михайлівський навчально-виховний комплекс "Загальноосвітній навчальний заклад І-ІІ ступенів- дошкільний заклад" Новомосковської районної ради Дніпропетровської області</t>
  </si>
  <si>
    <t>51240</t>
  </si>
  <si>
    <t>1223283501</t>
  </si>
  <si>
    <t>0569392340</t>
  </si>
  <si>
    <t>http://michajlovka2011.dnepredu.com/uk/site/teachers.html</t>
  </si>
  <si>
    <t>Левенцівська загальноосвітня школа І - ІІІ ступенів Новомосковської районної ради Дніпропетровської області</t>
  </si>
  <si>
    <t>51241</t>
  </si>
  <si>
    <t>1223283502</t>
  </si>
  <si>
    <t>Левенцівка</t>
  </si>
  <si>
    <t>вул. Центральна, 72</t>
  </si>
  <si>
    <t>(05693) 9-26-40</t>
  </si>
  <si>
    <t>http://levenzovka_school.dnepredu.com/</t>
  </si>
  <si>
    <t>Миколаївська загальноосвітня школа І-ІІІ ступеня Новомосоковська районна рада Дніпропетровської області</t>
  </si>
  <si>
    <t>51254</t>
  </si>
  <si>
    <t>1223284001</t>
  </si>
  <si>
    <t>(05693)50725, (097)8782399</t>
  </si>
  <si>
    <t>http://mukol_school.dnepredu.com</t>
  </si>
  <si>
    <t>Королівська загальноосвітня школа І-ІІІ ступенів Новомосковської районної ради Дніпропетровської області</t>
  </si>
  <si>
    <t>51256</t>
  </si>
  <si>
    <t>1223284003</t>
  </si>
  <si>
    <t>Королівка</t>
  </si>
  <si>
    <t>вул. Рахівнича, 34</t>
  </si>
  <si>
    <t>(05693)57740</t>
  </si>
  <si>
    <t>http://korolivska_school.klasna.com</t>
  </si>
  <si>
    <t>Комунальний заклад "Новостепанівський навчально - виховний комплекс "Школа - дошкільний заклад" Новомосковської районної ради Дніпропетровської області</t>
  </si>
  <si>
    <t>51234</t>
  </si>
  <si>
    <t>1223284501</t>
  </si>
  <si>
    <t>Новостепанівка</t>
  </si>
  <si>
    <t>вул. Мороза, 50</t>
  </si>
  <si>
    <t>0569353244</t>
  </si>
  <si>
    <t>http://mynnvk.at.ua</t>
  </si>
  <si>
    <t>КЗ " Гнатівський навчально - виховний комплекс "Школа І-ІІ ступенів - дошкільний заклад" Новомосковської районної ради Дніпропетровської області "</t>
  </si>
  <si>
    <t>51236</t>
  </si>
  <si>
    <t>1223284504</t>
  </si>
  <si>
    <t>Гнатівка</t>
  </si>
  <si>
    <t>вул. Центральна, 74</t>
  </si>
  <si>
    <t>5-37-16</t>
  </si>
  <si>
    <t>http://11gnat.klasna.com/uk/site/our-school.html</t>
  </si>
  <si>
    <t>Комунальний заклад Івано - Михайлівський навчально-виховний комплекс "Школа -дошкільний заклад" Новомосковської районної ради Дніпропетровської області.</t>
  </si>
  <si>
    <t>51209</t>
  </si>
  <si>
    <t>1223284505</t>
  </si>
  <si>
    <t>Івано-Михайлівка</t>
  </si>
  <si>
    <t>(05693) 5 74 33</t>
  </si>
  <si>
    <t>http://imschool.klasna.com</t>
  </si>
  <si>
    <t>Комунальний заклад "Орлівщинський навчально-виховний комплекс "загальноосвітній заклад-дошкільний заклад" Новомосковської районної ради Дніпропетровської області</t>
  </si>
  <si>
    <t>51215</t>
  </si>
  <si>
    <t>1223285001</t>
  </si>
  <si>
    <t>Орлівщина</t>
  </si>
  <si>
    <t>вул. Комінтерна, 57</t>
  </si>
  <si>
    <t>52139</t>
  </si>
  <si>
    <t>http://orliv2.klasna.com</t>
  </si>
  <si>
    <t>Орлівщинська загальноосвітня школа І-ІІІ ступенів Новомосковської районної ради Дніпропетровської області</t>
  </si>
  <si>
    <t>(05693)52144</t>
  </si>
  <si>
    <t>http://orlivschool.dnepredu.com</t>
  </si>
  <si>
    <t>Піщанська загальноосвітня школа І-ІІІ ступенів Новомосковської районної ради Дніпропетровської області</t>
  </si>
  <si>
    <t>51283</t>
  </si>
  <si>
    <t>1223285501</t>
  </si>
  <si>
    <t>0569386082</t>
  </si>
  <si>
    <t>http://pischanska.dnepredu.com</t>
  </si>
  <si>
    <t>Новоселівська загальноосвітня школа І-ІІ ступенів Новомосковської районної ради Дніпропетровської області</t>
  </si>
  <si>
    <t>51284</t>
  </si>
  <si>
    <t>1223285502</t>
  </si>
  <si>
    <t>http://schoolnovoselovka.klasna.com</t>
  </si>
  <si>
    <t>Соколівська загальноосвітня школа І-ІІ ступеня Новомосковської районної ради Дніпропетровської області</t>
  </si>
  <si>
    <t>51285</t>
  </si>
  <si>
    <t>1223285503</t>
  </si>
  <si>
    <t>Соколове</t>
  </si>
  <si>
    <t>0993480023</t>
  </si>
  <si>
    <t>http://sokolivska.dnepredu.com</t>
  </si>
  <si>
    <t>Попасненська загальноосвітня школа І-ІІІ ступеня Новомосковської районної ради Дніпропетровської області</t>
  </si>
  <si>
    <t>51242</t>
  </si>
  <si>
    <t>1223286001</t>
  </si>
  <si>
    <t>Попасне</t>
  </si>
  <si>
    <t>54215</t>
  </si>
  <si>
    <t>http://popasne.klasna.com</t>
  </si>
  <si>
    <t>Капітанівська загальносвітня школа І - ІІ ступеня Новомосковської районної ради Дніпропетровської області</t>
  </si>
  <si>
    <t>51243</t>
  </si>
  <si>
    <t>1223286003</t>
  </si>
  <si>
    <t>5-41-41</t>
  </si>
  <si>
    <t>http://kapschool.klasna.com.</t>
  </si>
  <si>
    <t>Спаська загальноосвітня школа І - ІІІ ступенів Новомосковської районної ради Дніпропетровської області</t>
  </si>
  <si>
    <t>51263</t>
  </si>
  <si>
    <t>1223286501</t>
  </si>
  <si>
    <t>Спаське</t>
  </si>
  <si>
    <t>вул. Козинця П., 74Б</t>
  </si>
  <si>
    <t>0(56293)55244, 097-2170808</t>
  </si>
  <si>
    <t>http://spaska.klasna.com</t>
  </si>
  <si>
    <t>Хуторо - Губиниська загальноосвітня школа І-ІІІ ступенів Новомосковська районна рада Дніпропетровська область</t>
  </si>
  <si>
    <t>51264</t>
  </si>
  <si>
    <t>1223286503</t>
  </si>
  <si>
    <t>Хуторо-Губиниха</t>
  </si>
  <si>
    <t>вул. Cадова, 5</t>
  </si>
  <si>
    <t>0569355122</t>
  </si>
  <si>
    <t>http://hutorok.klasna.com</t>
  </si>
  <si>
    <t>Комунальний заклад "Богданівська загальноосвітня школа І - ІІ ступенів"</t>
  </si>
  <si>
    <t>51464</t>
  </si>
  <si>
    <t>1223581301</t>
  </si>
  <si>
    <t>0563259366</t>
  </si>
  <si>
    <t>Комунальний заклад "Богданівська загальноосвітня школа І-ІІІ ступенів"</t>
  </si>
  <si>
    <t>вул. Шевченка, 32Г</t>
  </si>
  <si>
    <t>(05632)59368, (05632)59367</t>
  </si>
  <si>
    <t>Комунальний заклад "Богуславська загальноосвітня школа І-ІІІ ст."</t>
  </si>
  <si>
    <t>51486</t>
  </si>
  <si>
    <t>1223581801</t>
  </si>
  <si>
    <t>Богуслав</t>
  </si>
  <si>
    <t>0563252210</t>
  </si>
  <si>
    <t>Комунальний заклад Булахівська загальноосвітня школа І - ІІІ ступенів</t>
  </si>
  <si>
    <t>51470</t>
  </si>
  <si>
    <t>1223582301</t>
  </si>
  <si>
    <t>Булахівка</t>
  </si>
  <si>
    <t>вул. Центральна, 25 В</t>
  </si>
  <si>
    <t>( 05632) 54488</t>
  </si>
  <si>
    <t>Комунальний заклад "Вербківська загальноосвітня школа І-ІІІ ступенів"</t>
  </si>
  <si>
    <t>51453</t>
  </si>
  <si>
    <t>1223582801</t>
  </si>
  <si>
    <t>Вербки</t>
  </si>
  <si>
    <t>вул. Матросова, 13</t>
  </si>
  <si>
    <t>(05632)58-1-48</t>
  </si>
  <si>
    <t>http://www.verbki.ucoz.ru</t>
  </si>
  <si>
    <t>Комунальний заклад "В'язівоцька загальноосвітня школа І - ІІІ ступенів"</t>
  </si>
  <si>
    <t>51452</t>
  </si>
  <si>
    <t>1223583001</t>
  </si>
  <si>
    <t>В'язівок</t>
  </si>
  <si>
    <t>0563259256</t>
  </si>
  <si>
    <t>http://vyzivok.fo.ru</t>
  </si>
  <si>
    <t>Комунальний заклад "Карабинівська загальноосвітня школа І - ІІІ ступенів"</t>
  </si>
  <si>
    <t>51471</t>
  </si>
  <si>
    <t>1223583801</t>
  </si>
  <si>
    <t>Карабинівка</t>
  </si>
  <si>
    <t>(05632) 5 - 45 - 32</t>
  </si>
  <si>
    <t>http://karabinovkashkola.ukrosvita.org</t>
  </si>
  <si>
    <t>Комунальний заклад " Кочерезький навчально-виховний комплекс "Кочерезька загальноосвітня школа І-ІІІ ступенів - дитячий садок"</t>
  </si>
  <si>
    <t>51450</t>
  </si>
  <si>
    <t>1223584001</t>
  </si>
  <si>
    <t>Кочережки</t>
  </si>
  <si>
    <t>вул. Абрикосова, 26</t>
  </si>
  <si>
    <t>(05632) 52589</t>
  </si>
  <si>
    <t>http://kocherezhki.klasna.com/</t>
  </si>
  <si>
    <t>Комунальний заклад "Навчально-виховний комплекс з інтернатним відділенням "Межиріцька загальноосвітня школа I-III ступенів імені Івана Семеновича Обдули - дошкільний навчальний заклад "Ромашка"</t>
  </si>
  <si>
    <t>51473</t>
  </si>
  <si>
    <t>1223584501</t>
  </si>
  <si>
    <t>Межиріч</t>
  </si>
  <si>
    <t>пров. Шкільний, 6</t>
  </si>
  <si>
    <t>056257424</t>
  </si>
  <si>
    <t>Комунальний заклад Межиріцька загальнносвітня школа І-ІІІ ступенів № 2 Павлоградського району Дніпропетровської області</t>
  </si>
  <si>
    <t>вул. Зелена, 72</t>
  </si>
  <si>
    <t>(05632)57448</t>
  </si>
  <si>
    <t>http://mezirichi2.ucoz.com</t>
  </si>
  <si>
    <t>Комунальний заклад "Новодачинська загальноосвітня школа І-ІІІ ступенів"</t>
  </si>
  <si>
    <t>51462</t>
  </si>
  <si>
    <t>1223585501</t>
  </si>
  <si>
    <t>Нова Дача</t>
  </si>
  <si>
    <t>вул. Пушкіна, 7</t>
  </si>
  <si>
    <t>(05632)59535</t>
  </si>
  <si>
    <t>Комунальний заклад Новоруська загальноосвітня школа І-ІІ ступенів</t>
  </si>
  <si>
    <t>51461</t>
  </si>
  <si>
    <t>1223587001</t>
  </si>
  <si>
    <t>Нова Русь</t>
  </si>
  <si>
    <t>вул. Горького, 17</t>
  </si>
  <si>
    <t>0970820089</t>
  </si>
  <si>
    <t>Комунальний заклад освіти "Привовчанська загальноосвітня школа І-ІІІ ступенів"</t>
  </si>
  <si>
    <t>51490</t>
  </si>
  <si>
    <t>1223587201</t>
  </si>
  <si>
    <t>Привовчанське</t>
  </si>
  <si>
    <t>(05632)52319</t>
  </si>
  <si>
    <t>http://privovchanka.ucoz.ru</t>
  </si>
  <si>
    <t>комунальний заклад "Троїцька загальноосвітня школа І-ІІІ ступенів"</t>
  </si>
  <si>
    <t>51491</t>
  </si>
  <si>
    <t>1223587501</t>
  </si>
  <si>
    <t>Троїцьке</t>
  </si>
  <si>
    <t>вул. Центральна, 110А</t>
  </si>
  <si>
    <t>(05632)54792</t>
  </si>
  <si>
    <t>http://tss.pp.ua/</t>
  </si>
  <si>
    <t>"Петриківська загальноосвітня школа І-ІІІ ступенів" Петриківської районної ради Дніпропетровської області</t>
  </si>
  <si>
    <t>51800</t>
  </si>
  <si>
    <t>1223755100</t>
  </si>
  <si>
    <t>Петриківка</t>
  </si>
  <si>
    <t>просп. Петра Калнишевського, 76</t>
  </si>
  <si>
    <t>(05634) 22238</t>
  </si>
  <si>
    <t>http://petdnepr.at.ua</t>
  </si>
  <si>
    <t>Петриківська філія Петриківської загальноосвітньої школи І-ІІІ ступенів Петриківської районної ради Дніпропетровської області</t>
  </si>
  <si>
    <t>0(563)2-15-78</t>
  </si>
  <si>
    <t>http://www.lumarivka.ucoz.com</t>
  </si>
  <si>
    <t>Малопетритківська філія Петриківської загальноосвітньої школи І-ІІІ ступенів Петриківської районної ради Дніпропетровської області</t>
  </si>
  <si>
    <t>51805</t>
  </si>
  <si>
    <t>1223755109</t>
  </si>
  <si>
    <t>Мала Петриківка</t>
  </si>
  <si>
    <t>(05634)24607</t>
  </si>
  <si>
    <t>Комунальний заклад освіти - Курилівська загальноосвітня школа І-ІІІ ступенів Петриківської районної ради Дніпропетровської області</t>
  </si>
  <si>
    <t>51840</t>
  </si>
  <si>
    <t>1223756800</t>
  </si>
  <si>
    <t>вул. Макаренка, 2</t>
  </si>
  <si>
    <t>0563427852</t>
  </si>
  <si>
    <t>Миколаївська філія "навчально-виховний комплекс" Комунального закладу освіти - Курилівської загальноосвітньої школи І-ІІІ ступенів Петриківської районної ради Дніпропетровської області</t>
  </si>
  <si>
    <t>51842</t>
  </si>
  <si>
    <t>1223757100</t>
  </si>
  <si>
    <t>вул. Центральна, 55</t>
  </si>
  <si>
    <t>(05634)27535</t>
  </si>
  <si>
    <t>Комунальний заклад освіти Єлизаветівська середня загальноосвітня школа, І - ІІІ ступенів Петриківська районна рада</t>
  </si>
  <si>
    <t>51831</t>
  </si>
  <si>
    <t>1223780801</t>
  </si>
  <si>
    <t>Єлизаветівка</t>
  </si>
  <si>
    <t>вул. Центральна площа, 3</t>
  </si>
  <si>
    <t>(05634)23116</t>
  </si>
  <si>
    <t>Комунальний заклад освіти - Іванівська загальноосвітня школа І-ІІІ ступенів Петриківської районної ради Дніпропетровської області</t>
  </si>
  <si>
    <t>51812</t>
  </si>
  <si>
    <t>1223781401</t>
  </si>
  <si>
    <t>вул. Центральна, 58</t>
  </si>
  <si>
    <t>0563425722</t>
  </si>
  <si>
    <t>http://ivanivska.dnepredu.com</t>
  </si>
  <si>
    <t>Гречанівська філія Комунального закладу освіти - Іванівської загальноосвітньої школи І-ІІІ ступенів Петриківської районної ради Дніпропетровської області</t>
  </si>
  <si>
    <t>51813</t>
  </si>
  <si>
    <t>1223781403</t>
  </si>
  <si>
    <t>Гречане</t>
  </si>
  <si>
    <t>25549</t>
  </si>
  <si>
    <t>Комунальний заклад освіти - Лобойківська середня загальноосвітня школа</t>
  </si>
  <si>
    <t>51830</t>
  </si>
  <si>
    <t>1223781701</t>
  </si>
  <si>
    <t>Лобойківка</t>
  </si>
  <si>
    <t>0563424406</t>
  </si>
  <si>
    <t>http://www.lobtim.ucoz.ua</t>
  </si>
  <si>
    <t>Хутірський навчально-виховний комплекс "Загальноосвітній навчальний заклад - дошкільний навчальний заклад"</t>
  </si>
  <si>
    <t>51822</t>
  </si>
  <si>
    <t>1223783101</t>
  </si>
  <si>
    <t>Хутірське</t>
  </si>
  <si>
    <t>0563423563</t>
  </si>
  <si>
    <t>Чаплинський навчально-виховний комплекс І - ІІІ ступенів Петриківської районної ради, Дніпропетровської області</t>
  </si>
  <si>
    <t>51820</t>
  </si>
  <si>
    <t>1223783401</t>
  </si>
  <si>
    <t>Чаплинка</t>
  </si>
  <si>
    <t>вул. Калинова, 2</t>
  </si>
  <si>
    <t>0563425199</t>
  </si>
  <si>
    <t>Шульгівський навчально-виховний комплекс «загальноосвітній навчальний заклад - дошкільний навчальний заклад»</t>
  </si>
  <si>
    <t>51810</t>
  </si>
  <si>
    <t>1223783801</t>
  </si>
  <si>
    <t>Шульгівка</t>
  </si>
  <si>
    <t>вул. Центральна, 103</t>
  </si>
  <si>
    <t>(805634)27137</t>
  </si>
  <si>
    <t>Петропавлівська загальноосвітня школа І - ІІІ ступенів № 1 Петропавлівська районна рада Дніпропетровської області</t>
  </si>
  <si>
    <t>52700</t>
  </si>
  <si>
    <t>1223855100</t>
  </si>
  <si>
    <t>Петропавлівка</t>
  </si>
  <si>
    <t>вул. К. Маркса, 11</t>
  </si>
  <si>
    <t>0563130751</t>
  </si>
  <si>
    <t>http://petr1zosh.klasna.com</t>
  </si>
  <si>
    <t>Петропавлівська загальноосвітня школа І-ІІІ ступенів № 2 з професійним навчанням Петропавлівської районної ради Дніпропетровської області</t>
  </si>
  <si>
    <t>0563130750</t>
  </si>
  <si>
    <t>http://pss2.dnepredu.com</t>
  </si>
  <si>
    <t>Олександропільський навчально-виховний комплекс "Загальноосвітній навчальний заклад І-ІІІ ступенів - дошкільний заклад" Петропавлівської районної ради Дніпропетровської області</t>
  </si>
  <si>
    <t>52713</t>
  </si>
  <si>
    <t>1223880501</t>
  </si>
  <si>
    <t>Олександропіль</t>
  </si>
  <si>
    <t>(05631)26651</t>
  </si>
  <si>
    <t>http://olekspetr2011.dnepredu.com/ru/site/navchalnii-protses.html</t>
  </si>
  <si>
    <t>Брагинівська загальноосвітня школа І-ІІІ ступенів Петропавлівської районної ради Дніпропетровської області</t>
  </si>
  <si>
    <t>52705</t>
  </si>
  <si>
    <t>1223881001</t>
  </si>
  <si>
    <t>Богинівка</t>
  </si>
  <si>
    <t>(05631)24751</t>
  </si>
  <si>
    <t>http://bragpetr.dnepredu.com</t>
  </si>
  <si>
    <t>Васильківська загальноосвітня школа І-ІІІ ступенів Петропавлівської районої ради</t>
  </si>
  <si>
    <t>52751</t>
  </si>
  <si>
    <t>1223881201</t>
  </si>
  <si>
    <t>Васильківське</t>
  </si>
  <si>
    <t>(05631)23109</t>
  </si>
  <si>
    <t>Дмитрівська загальноосвітня школа І-ІІ ступенів Петропавлівської районної ради Дніпропетровської області</t>
  </si>
  <si>
    <t>52740</t>
  </si>
  <si>
    <t>1223881501</t>
  </si>
  <si>
    <t>вул. Вільна, 40</t>
  </si>
  <si>
    <t>0956082662</t>
  </si>
  <si>
    <t>Дмитрівська загальноосвіня школа І-ІІІ ступенів</t>
  </si>
  <si>
    <t>Олефірівська загальноосвітня школа І-ІІ ступенів Петропавлівської районної ради Дніпропетровської області</t>
  </si>
  <si>
    <t>52742</t>
  </si>
  <si>
    <t>1223881505</t>
  </si>
  <si>
    <t>Олефірівка</t>
  </si>
  <si>
    <t>(05631)23330</t>
  </si>
  <si>
    <t>http://olefirpetr2011.klasna.com/</t>
  </si>
  <si>
    <t>Чумаківська загальноосвітня школа І-ІІІ ступенів Петропавлівської районої ради Дніпрпотеровської області</t>
  </si>
  <si>
    <t>52743</t>
  </si>
  <si>
    <t>1223881506</t>
  </si>
  <si>
    <t>(095)0924439</t>
  </si>
  <si>
    <t>Лозівська ЗОШ І-ІІ ступенів Петропавлівської районної ради Дніпропетровської області - філія опорного закладу - КЗ "Петропавлівська загальноосвітня школа І-ІІІ ступенів № 2 з професійним навчанням Петропавлівської районної ради Дніпропетровської області"</t>
  </si>
  <si>
    <t>52750</t>
  </si>
  <si>
    <t>1223882001</t>
  </si>
  <si>
    <t>вул. Центральна, 70</t>
  </si>
  <si>
    <t>(05631)24345</t>
  </si>
  <si>
    <t>http://lozivpetr2011.dnepredu.com</t>
  </si>
  <si>
    <t>Миколаївська загальноосвітня школа І-ІІІ ступенів Петропавлівської районної ради Дніпропетровської області</t>
  </si>
  <si>
    <t>52744</t>
  </si>
  <si>
    <t>1223882501</t>
  </si>
  <si>
    <t>вул. Cвободна, 1А</t>
  </si>
  <si>
    <t>0563123832</t>
  </si>
  <si>
    <t>http://nikolpetr2011.dnepredu.com/uk/site/achievement.html</t>
  </si>
  <si>
    <t>Петрівська загальноосвітня школа І-ІІІ ступенів Петропавлівської районної ради Дніпропетровської області</t>
  </si>
  <si>
    <t>52732</t>
  </si>
  <si>
    <t>1223883701</t>
  </si>
  <si>
    <t>Петрівка</t>
  </si>
  <si>
    <t>(05631)26958</t>
  </si>
  <si>
    <t>http://petrovkapetr2011.klasna.com/uk/site/page/view</t>
  </si>
  <si>
    <t>Самарська загальноосвітня школа І-ІІ ступенів філія опорного закладу КЗ Петропавлівська загальноосвітня школа І-ІІІ ступенів № 2 з професійним навчанням Петропавлівської районної ради Дніпропетровської області</t>
  </si>
  <si>
    <t>52722</t>
  </si>
  <si>
    <t>1223884801</t>
  </si>
  <si>
    <t>Самарське</t>
  </si>
  <si>
    <t>(05631)31743</t>
  </si>
  <si>
    <t>http://samarskaschool.jimdo.com</t>
  </si>
  <si>
    <t>Троїцький навчально-виховний комплекс "Загальноосвітній навчальний заклад І-ІІІ ступенів - Дошкільний навчальний заклад"</t>
  </si>
  <si>
    <t>52723</t>
  </si>
  <si>
    <t>1223885901</t>
  </si>
  <si>
    <t>0563124635, 0955930580</t>
  </si>
  <si>
    <t>http://troitskpetr.dnepredu.com/</t>
  </si>
  <si>
    <t>Новоселівська загальноосвітня школа І-ІІІ ступенів Петропавлівської районної ради Дніпропетровської області</t>
  </si>
  <si>
    <t>52720</t>
  </si>
  <si>
    <t>1223886001</t>
  </si>
  <si>
    <t>Українське</t>
  </si>
  <si>
    <t>0563124448</t>
  </si>
  <si>
    <t>http://novoselivska.dnepredu.com</t>
  </si>
  <si>
    <t>Хорошівська загальноосвітня школа І-ІІІ ступенів з музично-хореографічним профілем Петропавлівської районної ради Дніпропетровської області</t>
  </si>
  <si>
    <t>52710</t>
  </si>
  <si>
    <t>1223887101</t>
  </si>
  <si>
    <t>Хороше</t>
  </si>
  <si>
    <t>0563126549, 0502795659, 0663781404</t>
  </si>
  <si>
    <t>http://horoshpetr.dnepredu.com</t>
  </si>
  <si>
    <t>Комунальний заклад освіти "Навчально-виховний комплекс "Загальноосвітня школа І-ІІ ступенів № 1 - Покровська гімназія" Покровської селищної ради Дніпропетровської області</t>
  </si>
  <si>
    <t>53600</t>
  </si>
  <si>
    <t>1224255100</t>
  </si>
  <si>
    <t>вул. Д.Яворницького, 117</t>
  </si>
  <si>
    <t>2-14-99</t>
  </si>
  <si>
    <t>http://pokrovgimnasium.klasna.com/</t>
  </si>
  <si>
    <t>Комунальний заклад освіти навчально-виховний комплекс "Покровська загальноосвітня школа І-ІІ ступенів № 2- дошкільний навчальний заклад" філія № 2 опорної школи комунального закладу освіти навчально-виховний комплекс "Загальноосвітня школа І-ІІІ ступенів № 1- Покровський ліцей"Покровської селищної ради Дніпропетровської області</t>
  </si>
  <si>
    <t>вул. Патріотів України, 259</t>
  </si>
  <si>
    <t>05638 2-73-54</t>
  </si>
  <si>
    <t>http://schoolnomer2.klasna.com/uk/site/index.html</t>
  </si>
  <si>
    <t>Опорна школа .Комунальний заклад освіти "НВК "Загальноосвітня школа І-ІІІ ступенів № 1 - Покровський ліцей" Покровської селищної ради Покровського району Дніпропетровської області"</t>
  </si>
  <si>
    <t>вул. Горького, 77</t>
  </si>
  <si>
    <t>(05638)21286</t>
  </si>
  <si>
    <t>http://pokr-school1.ucoz.ua</t>
  </si>
  <si>
    <t>Комунальний заклад освіти "Покровська загальноосвітня школа І-ІІІ ступенів № 2" Покровської селищної ради Дніпропетровської області</t>
  </si>
  <si>
    <t>вул. Патріотів України, 11</t>
  </si>
  <si>
    <t>0563821426</t>
  </si>
  <si>
    <t>http://zosh2pk.blogspot.com</t>
  </si>
  <si>
    <t>Комунальний заклад освіти філія № 3 Водянська загальноосвітня школа І-ІІ ступенів опорної школи навчально-виховний комплекс загальноосвітня школа І-ІІІ ступренів - Покровський ліцей Покровської селищної ради Дніпропетровської області</t>
  </si>
  <si>
    <t>53606</t>
  </si>
  <si>
    <t>1224255101</t>
  </si>
  <si>
    <t>вул. Центральна, 31А</t>
  </si>
  <si>
    <t>(05638)-5-54-31</t>
  </si>
  <si>
    <t>http://vodynskazosh.klasna.com/</t>
  </si>
  <si>
    <t>Комунальний заклад освіти філія № 1 Навчально-виховний комплекс "Романківська загальноосвітня школа І-ІІ ступенів - дошкільний навчальний заклад" опорної школи НВК"ЗОШ І-ІІІ ступеніва № 1 - Покровський ліцей" Покровської селищної ради Дніпропетровської області</t>
  </si>
  <si>
    <t>53605</t>
  </si>
  <si>
    <t>1224255111</t>
  </si>
  <si>
    <t>Романки</t>
  </si>
  <si>
    <t>вул. Леніна, 41</t>
  </si>
  <si>
    <t>0563855151</t>
  </si>
  <si>
    <t>http://romanku.klasna.com/</t>
  </si>
  <si>
    <t>Просянська загальноосвітня школа І-ІІІ ступенів Покровської районної ради Дніпропетровської області</t>
  </si>
  <si>
    <t>53610</t>
  </si>
  <si>
    <t>1224255400</t>
  </si>
  <si>
    <t>Просяна</t>
  </si>
  <si>
    <t>вул. Миру, 01</t>
  </si>
  <si>
    <t>(05638)58853</t>
  </si>
  <si>
    <t>http://prosuana-school.ucoz.ua</t>
  </si>
  <si>
    <t>Комунальний заклад освіти "Коломійцівська загальноосвітня школа І-ІІІ ступенів" Покровської селищної ради Дніпропетровської області.</t>
  </si>
  <si>
    <t>53631</t>
  </si>
  <si>
    <t>1224280511</t>
  </si>
  <si>
    <t>Коломійці</t>
  </si>
  <si>
    <t>(38056) 5-57-92</t>
  </si>
  <si>
    <t>http://kolomijczischool1.jimdo.com</t>
  </si>
  <si>
    <t>Комунальний заклад освіти "Братський навчально-виховний комплекс "Загальноосвітня школа І-ІІІ ступенів-дошкільний навчальний заклад" Покровської селищної ради Дніпропетровської області</t>
  </si>
  <si>
    <t>53640</t>
  </si>
  <si>
    <t>1224281202</t>
  </si>
  <si>
    <t>Братське</t>
  </si>
  <si>
    <t>вул. Шкільна, 1 а</t>
  </si>
  <si>
    <t>0563855635</t>
  </si>
  <si>
    <t>http://bratska.klasna.com</t>
  </si>
  <si>
    <t>Березівська загальноосвітня школа І-ІІІ ступенів Великомихайлівської сільської ради</t>
  </si>
  <si>
    <t>53624</t>
  </si>
  <si>
    <t>1224282301</t>
  </si>
  <si>
    <t>Березове</t>
  </si>
  <si>
    <t>вул. Центральна, 66</t>
  </si>
  <si>
    <t>(05638)5-37-78, (05638) 5-37-73</t>
  </si>
  <si>
    <t>http://beresovska-sk.klasna.com/uk/site/index.html</t>
  </si>
  <si>
    <t>35160526</t>
  </si>
  <si>
    <t>Великомихайлівська загальноосвітня школа І-ІІІ ступенів Великомихайлівської сільської ради Покровського району Дніпропетровської області</t>
  </si>
  <si>
    <t>53621</t>
  </si>
  <si>
    <t>1224283401</t>
  </si>
  <si>
    <t>Великомихайлівка</t>
  </si>
  <si>
    <t>(05638)53341</t>
  </si>
  <si>
    <t>http://velykomykhailivka-pokrov.edukit.dp.ua</t>
  </si>
  <si>
    <t>35160490</t>
  </si>
  <si>
    <t>Новоселівський навчально-виховний комплекс "Загальноосвітня школа І-ІІ ступенів - дошкільний навчальний заклад" Великомихайлівської сільської ради Дніпропетровської області</t>
  </si>
  <si>
    <t>53623</t>
  </si>
  <si>
    <t>1224283405</t>
  </si>
  <si>
    <t>(05638) 53607</t>
  </si>
  <si>
    <t>http://novoselivsky1.klasna.com.ua</t>
  </si>
  <si>
    <t>35160463</t>
  </si>
  <si>
    <t>Вишнівська загальноосвітня школа І-ІІІ ступенів Покровської районної ради Дніпропетровської області</t>
  </si>
  <si>
    <t>53642</t>
  </si>
  <si>
    <t>1224284501</t>
  </si>
  <si>
    <t>Вишневе</t>
  </si>
  <si>
    <t>вул. Дніпровська, 49</t>
  </si>
  <si>
    <t>(05638) 5-86-37</t>
  </si>
  <si>
    <t>Гаврилівська загальноосвітня школа І - ІІІ ступенів Маломихайлівської сільської ради Покровського району Дніпропетровської області</t>
  </si>
  <si>
    <t>53614</t>
  </si>
  <si>
    <t>1224285601</t>
  </si>
  <si>
    <t>Гаврилівка</t>
  </si>
  <si>
    <t>0563856673</t>
  </si>
  <si>
    <t>http://gavrulivskazow.klasna.ua</t>
  </si>
  <si>
    <t>35160400</t>
  </si>
  <si>
    <t>Катеринівська загальноосвітня школа І-ІІІ ступенів Покровської районної ради Дніпропетровської області</t>
  </si>
  <si>
    <t>53607</t>
  </si>
  <si>
    <t>1224286101</t>
  </si>
  <si>
    <t>Катеринівка</t>
  </si>
  <si>
    <t>(05638)5-61-37</t>
  </si>
  <si>
    <t>Комунальний заклад освіти "Маломихайлівський навчально-виховний комплекс "Загальноосвітня школа І-ІІІ ступенів - дошкільний навчальний заклад" імені І. Г. Скакуна Покровської районної ради Дніпропетровської області</t>
  </si>
  <si>
    <t>53612</t>
  </si>
  <si>
    <t>1224286701</t>
  </si>
  <si>
    <t>(05638)54557</t>
  </si>
  <si>
    <t>http://malomykhaylivka.edukit.dp.ua</t>
  </si>
  <si>
    <t>24604665</t>
  </si>
  <si>
    <t>НВК "Орлівська ЗОШ І-ІІІ ступенів-ДНЗ"Покровської районної ради Покровського району Дніпропетровської області</t>
  </si>
  <si>
    <t>53620</t>
  </si>
  <si>
    <t>1224287801</t>
  </si>
  <si>
    <t>Орли</t>
  </si>
  <si>
    <t>вул. Молодіжна, 11</t>
  </si>
  <si>
    <t>0563856231</t>
  </si>
  <si>
    <t>http://Orly.edukit.dp.ua</t>
  </si>
  <si>
    <t>П'ятихатська загальноосвітня школа I-III ступенів № 2 П'ятихатської районної ради Дніпропетровської області</t>
  </si>
  <si>
    <t>52100</t>
  </si>
  <si>
    <t>1224510100</t>
  </si>
  <si>
    <t>П'ятихатки</t>
  </si>
  <si>
    <t>вул. Саксаганська, 90</t>
  </si>
  <si>
    <t>0565132032</t>
  </si>
  <si>
    <t>http://pyatikhatkigs2.at.ua</t>
  </si>
  <si>
    <t>П'ятихатська загальноосвітня школа І-ІІІ ступенів № 1 П'ятихатської районної ради Дніпропетровської області</t>
  </si>
  <si>
    <t>вул. Шатрова, 9</t>
  </si>
  <si>
    <t>05651-30617</t>
  </si>
  <si>
    <t>http://School1_pytih.dnepredu.com</t>
  </si>
  <si>
    <t>П'ятихатська загальноосвітня школа І-ІІІ ступенів № 3 П'ятихатської районної ради Дніпропетровської області</t>
  </si>
  <si>
    <t>вул. Привокзальна, 169</t>
  </si>
  <si>
    <t>05651-3-26-77, 05651-3-27-10</t>
  </si>
  <si>
    <t>http://school3_pytih.dnepredu.com/</t>
  </si>
  <si>
    <t>Вишнівська загальноосвітня школа І-ІІІ ступенів виконкому Вишнівської селищної ради П'ятихатського району Дніпропетровської області</t>
  </si>
  <si>
    <t>52151</t>
  </si>
  <si>
    <t>1224555300</t>
  </si>
  <si>
    <t>вул. Степова, 57</t>
  </si>
  <si>
    <t>(05651) 6-04-83, 7007007</t>
  </si>
  <si>
    <t>http://vishnivska.dnepredu.com/</t>
  </si>
  <si>
    <t>Комунальний опорний навчальний заклад "Лихівська загальноосвітня школа І-ІІІ ступенів "Лихівської селищної ради</t>
  </si>
  <si>
    <t>52120</t>
  </si>
  <si>
    <t>1224555600</t>
  </si>
  <si>
    <t>Лихівка</t>
  </si>
  <si>
    <t>41147</t>
  </si>
  <si>
    <t>http://school1.dnepredu.com</t>
  </si>
  <si>
    <t>Райдужнянська філія І ступенів опорного навчального закладу " Лихівська ЗШ І - ІІІ ступенів" Лихівської селищної ради, Дніпропетровської області</t>
  </si>
  <si>
    <t>52123</t>
  </si>
  <si>
    <t>1224555601</t>
  </si>
  <si>
    <t>Райдужне</t>
  </si>
  <si>
    <t>Біленщинський навчально - виховний комплекс П'ятихатської районної ради Дніпропетровської області</t>
  </si>
  <si>
    <t>52113</t>
  </si>
  <si>
    <t>1224580501</t>
  </si>
  <si>
    <t>Біленщина</t>
  </si>
  <si>
    <t>вул. Поштова, 1А</t>
  </si>
  <si>
    <t>64448</t>
  </si>
  <si>
    <t>http://bilen.dnepredu.com/</t>
  </si>
  <si>
    <t>Культурянська загальноосвітня школа І-ІІ ступенів П"ятихатської районної ради Дніпропетровської області</t>
  </si>
  <si>
    <t>52160</t>
  </si>
  <si>
    <t>1224581003</t>
  </si>
  <si>
    <t>Культура</t>
  </si>
  <si>
    <t>вул. Миру, 98</t>
  </si>
  <si>
    <t>(05651)72140</t>
  </si>
  <si>
    <t>Мирнівська загальноосвітня школа І-ІІ ступенів П'ятихатської районної ради Дніпропетровської області</t>
  </si>
  <si>
    <t>52161</t>
  </si>
  <si>
    <t>1224581004</t>
  </si>
  <si>
    <t>вул. Богдана Хмельницького, 49</t>
  </si>
  <si>
    <t>78138</t>
  </si>
  <si>
    <t>http://myrnyvska.dnepredu.com</t>
  </si>
  <si>
    <t>Нерудстальська загальноосвітня школа І-ІІІ ступенів П'ятихатської районної ради Дніпропетровської області</t>
  </si>
  <si>
    <t>52171</t>
  </si>
  <si>
    <t>1224581207</t>
  </si>
  <si>
    <t>Нерудсталь</t>
  </si>
  <si>
    <t>вул. Учительська, 42</t>
  </si>
  <si>
    <t>(05651)62-1-31</t>
  </si>
  <si>
    <t>http://nerydstal.dnepredu.com</t>
  </si>
  <si>
    <t>Жовтянська загальноосвітня школа І - ІІІ ступенів П'ятихатської районної ради Дніпропетровської області</t>
  </si>
  <si>
    <t>52130</t>
  </si>
  <si>
    <t>1224581501</t>
  </si>
  <si>
    <t>вул. Осипенко, 1</t>
  </si>
  <si>
    <t>25161683</t>
  </si>
  <si>
    <t>Жовтянська загальноосвітня школа І-ІІ ступенів П'ятихатської районної ради Дніпропетровської області</t>
  </si>
  <si>
    <t>61640</t>
  </si>
  <si>
    <t>Зорянська загальноосвітня школа І-ІІІ ступенів П'ятихатської районної ради Дніпропетровської області</t>
  </si>
  <si>
    <t>52109</t>
  </si>
  <si>
    <t>1224581701</t>
  </si>
  <si>
    <t>вул. Молодіжна, 17</t>
  </si>
  <si>
    <t>(056 51) 72-2-37</t>
  </si>
  <si>
    <t>http://zoryanska.dnepredu.com/</t>
  </si>
  <si>
    <t>Зеленоярська загальноосвітня школа І - ІІІ ступенів П'ятихатської районної ради Дніпропетровської області</t>
  </si>
  <si>
    <t>52172</t>
  </si>
  <si>
    <t>1224581801</t>
  </si>
  <si>
    <t>Івашинівка</t>
  </si>
  <si>
    <t>73122</t>
  </si>
  <si>
    <t>Комісарівська загальноосвітня школа І-ІІІ ступенів</t>
  </si>
  <si>
    <t>52142</t>
  </si>
  <si>
    <t>1224582001</t>
  </si>
  <si>
    <t>Комісарівка</t>
  </si>
  <si>
    <t>60176</t>
  </si>
  <si>
    <t>Лозуватська загальноосвітня школа І - ІІІ ступенів Виконавчого комітету Вишнівської селищної ради П'ятихатського району Дніпропетровської області</t>
  </si>
  <si>
    <t>52150</t>
  </si>
  <si>
    <t>1224583001</t>
  </si>
  <si>
    <t>вул. Шкільна, 54</t>
  </si>
  <si>
    <t>0565160653</t>
  </si>
  <si>
    <t>http://lozyvativska.dnepredu.com/</t>
  </si>
  <si>
    <t>Мар'янівська загальноосвітня школа І - ІІ ступенів П'ятихатської районної ради Дніпропетровської області</t>
  </si>
  <si>
    <t>52180</t>
  </si>
  <si>
    <t>1224583701</t>
  </si>
  <si>
    <t>вул. Миру, 275</t>
  </si>
  <si>
    <t>0995185715, 0565176223</t>
  </si>
  <si>
    <t>Пальмирівський навчально-виховний комплекс "загальноосвітній навчальний заклад І-ІІ ступенів - дошкільний навчальний заклад" П'ятихатської районної ради Дніпрпопетровської області</t>
  </si>
  <si>
    <t>52131</t>
  </si>
  <si>
    <t>1224584801</t>
  </si>
  <si>
    <t>Пальмирівка</t>
  </si>
  <si>
    <t>вул. Центральна, 47</t>
  </si>
  <si>
    <t>(05651)63156</t>
  </si>
  <si>
    <t>Жовтоолександрівська загальноосвітня школа I-III ступенів П'ятихатської районної ради Дніпропетровської області</t>
  </si>
  <si>
    <t>52133</t>
  </si>
  <si>
    <t>1224584807</t>
  </si>
  <si>
    <t>Жовтоолександрівка</t>
  </si>
  <si>
    <t>вул. Звягінцева, 3</t>
  </si>
  <si>
    <t>0565174125</t>
  </si>
  <si>
    <t>http://zhovtooleks.dnepredu.com</t>
  </si>
  <si>
    <t>Саврівська загальноосвітня школа І-ІІ ступенів П'ятихатської районної ради Дніпропетровської області</t>
  </si>
  <si>
    <t>52181</t>
  </si>
  <si>
    <t>1224585901</t>
  </si>
  <si>
    <t>Савро</t>
  </si>
  <si>
    <t>вул. Корнєєва, 100</t>
  </si>
  <si>
    <t>http://savrivska.dnepredu.com//</t>
  </si>
  <si>
    <t>Вільнівська загальноосвітня школа І-ІІІ ступенів Пятихатської районної ради</t>
  </si>
  <si>
    <t>1224585903</t>
  </si>
  <si>
    <t>вул. Нова</t>
  </si>
  <si>
    <t>76259</t>
  </si>
  <si>
    <t>http://vilnivska.klasna.com</t>
  </si>
  <si>
    <t>Саївська загальноосвітня школа І-ІІІ ступенів П'ятихатської районної ради Дніпропетровської області</t>
  </si>
  <si>
    <t>52153</t>
  </si>
  <si>
    <t>1224586001</t>
  </si>
  <si>
    <t>Саївка</t>
  </si>
  <si>
    <t>0565168188</t>
  </si>
  <si>
    <t>Долинський НВК " загальноосвітній навчальний заклад-дошкільний навчальний заклад" П'ятихатської районної ради Дніпропетровської області</t>
  </si>
  <si>
    <t>52154</t>
  </si>
  <si>
    <t>1224586002</t>
  </si>
  <si>
    <t>Долинське</t>
  </si>
  <si>
    <t>вул. Центральна, 121</t>
  </si>
  <si>
    <t>70196</t>
  </si>
  <si>
    <t>http://dolinskiynvk.dnepredu.com/</t>
  </si>
  <si>
    <t>комунальний заклад освіти "Саксаганський навчально-реабілітаційний центр" Дніпропетровської обласної ради"</t>
  </si>
  <si>
    <t>52173</t>
  </si>
  <si>
    <t>1224587001</t>
  </si>
  <si>
    <t>Саксагань</t>
  </si>
  <si>
    <t>(05651)3-42-44, (05651)3-43-22, (05651)3-39-82</t>
  </si>
  <si>
    <t>23067136</t>
  </si>
  <si>
    <t>Саксаганська загальноосвітня школа І-ІІІ ступенів П'ятихатської районної ради Дніпропетровської області</t>
  </si>
  <si>
    <t>вул. Соловйова, 1</t>
  </si>
  <si>
    <t>0565134082</t>
  </si>
  <si>
    <t>http://saksaganzosh.dnepredu.com</t>
  </si>
  <si>
    <t>Чумаківська загальноосвітня школа І-ІІ ступенів П'ятихатської районної ради Дніпропетровської області</t>
  </si>
  <si>
    <t>52174</t>
  </si>
  <si>
    <t>1224587002</t>
  </si>
  <si>
    <t>0565179140</t>
  </si>
  <si>
    <t>Троїцький навчально - виховний комплекс "загальноосвітній навчальний заклад - дошкільний навчальний заклад" П'ятихатської районної ради Дніпропетровської області</t>
  </si>
  <si>
    <t>52110</t>
  </si>
  <si>
    <t>1224587501</t>
  </si>
  <si>
    <t>0565164148</t>
  </si>
  <si>
    <t>http://troitska.dnepredu.com</t>
  </si>
  <si>
    <t>Миколаївський навчально-виховний комплекс "загальноосвітній навчальний заклад-дошкільний навчальний заклад"</t>
  </si>
  <si>
    <t>52111</t>
  </si>
  <si>
    <t>1224587506</t>
  </si>
  <si>
    <t>(05651) 64-510</t>
  </si>
  <si>
    <t>http://mskolasvsksynvk.dnepredu.com/</t>
  </si>
  <si>
    <t>Новотроїцька загальноосвітня школа I - II ступенів П'ятихатської районної ради Дніпропетровської області</t>
  </si>
  <si>
    <t>52112</t>
  </si>
  <si>
    <t>1224587508</t>
  </si>
  <si>
    <t>Червона Дерієвка</t>
  </si>
  <si>
    <t>(05651) 64128</t>
  </si>
  <si>
    <t>Комунальний заклад " Байдаківська загальноосвітня школа І-ІІІ ступенів" Лихівської селищної ради</t>
  </si>
  <si>
    <t>52124</t>
  </si>
  <si>
    <t>1224588001</t>
  </si>
  <si>
    <t>Байдаківка</t>
  </si>
  <si>
    <t>вул. Б. Хмельницького, 40</t>
  </si>
  <si>
    <t>9-64-3-53</t>
  </si>
  <si>
    <t>Яковлівська філія опорного навчального закладу "Лихівська загальноосвітня школа І-ІІІ ступенів П'ятихатської районної ради Дніпропетровської області"</t>
  </si>
  <si>
    <t>52104</t>
  </si>
  <si>
    <t>1224588009</t>
  </si>
  <si>
    <t>Яковлівка</t>
  </si>
  <si>
    <t>0565164212</t>
  </si>
  <si>
    <t>Виноградівський навчально-виховний комплекс "загальноосвітній навчальний заклад І-ІІ ступенів -дошкільний навчальний заклад" П'ятихатської районної ради Дніпропетровської області</t>
  </si>
  <si>
    <t>52141</t>
  </si>
  <si>
    <t>1224588501</t>
  </si>
  <si>
    <t>Виноградівка</t>
  </si>
  <si>
    <t>(05651)65133</t>
  </si>
  <si>
    <t>http://vinograd.dnepredu.com/uk</t>
  </si>
  <si>
    <t>Чистопільська загальноосвітня школа І-ІІ ступенів П'ятихатської районної ради Дніпропетровської області</t>
  </si>
  <si>
    <t>52140</t>
  </si>
  <si>
    <t>1224588507</t>
  </si>
  <si>
    <t>вул. Поштова, 15</t>
  </si>
  <si>
    <t>(34849420)0565165172</t>
  </si>
  <si>
    <t>Комунальний опорний загальноосвітній навчальний заклад "Іларіонівська середня загальноосвітня школа І - ІІІ ступенів Синельниківської районної ради Дніпропетровської області"</t>
  </si>
  <si>
    <t>52520</t>
  </si>
  <si>
    <t>1224855300</t>
  </si>
  <si>
    <t>Іларіонове</t>
  </si>
  <si>
    <t>вул. Європейська, 3</t>
  </si>
  <si>
    <t>(05663)47000</t>
  </si>
  <si>
    <t>http://ilarssh.dnepredu.com</t>
  </si>
  <si>
    <t>26461922</t>
  </si>
  <si>
    <t>Комунальний заклад освіти Роздорська середня загальноосвітня школа Роздорської селищної ради</t>
  </si>
  <si>
    <t>52532</t>
  </si>
  <si>
    <t>1224855600</t>
  </si>
  <si>
    <t>Роздори</t>
  </si>
  <si>
    <t>(05663)49519</t>
  </si>
  <si>
    <t>http://Rozdoryschool.klasna.com</t>
  </si>
  <si>
    <t>Комунальний заклад освіти "Славгородська середня загальноосвітня школа І-ІІІ ступенів" Сильниківської районної ради Дніпропетровської області"</t>
  </si>
  <si>
    <t>52580</t>
  </si>
  <si>
    <t>1224856200</t>
  </si>
  <si>
    <t>Славгород</t>
  </si>
  <si>
    <t>вул. Заводська, 65</t>
  </si>
  <si>
    <t>8(05663)47-2-66</t>
  </si>
  <si>
    <t>http://slavschool.klasna.com/</t>
  </si>
  <si>
    <t>Комунальний заклад освіти Тургенівська загальноосвітня школа І ступеня</t>
  </si>
  <si>
    <t>52582</t>
  </si>
  <si>
    <t>1224856206</t>
  </si>
  <si>
    <t>Тургенєвка</t>
  </si>
  <si>
    <t>вул. Гагарiна, 1</t>
  </si>
  <si>
    <t>380-566-34-73-53</t>
  </si>
  <si>
    <t>http://tyrnsh.dnepredu.com</t>
  </si>
  <si>
    <t>комунальний заклад освіти "Варварівська середня загальноосвітня школа І-ІІІступенів" Синельниківської районної ради Дніпропетровської області"</t>
  </si>
  <si>
    <t>52550</t>
  </si>
  <si>
    <t>1224880501</t>
  </si>
  <si>
    <t>Варварівка</t>
  </si>
  <si>
    <t>вул. Ювілейна, 14</t>
  </si>
  <si>
    <t>61140</t>
  </si>
  <si>
    <t>http://varvarivska.dnepredu.com/</t>
  </si>
  <si>
    <t>комунальний заклад освіти "Вільнянська загальноосвітня школа І-ІІ ступе-нів" Синельниківської районної ради Дніпропетровської області"</t>
  </si>
  <si>
    <t>52513</t>
  </si>
  <si>
    <t>1224881101</t>
  </si>
  <si>
    <t>вул. Центральна, 140  корпус 1</t>
  </si>
  <si>
    <t>6-18-47</t>
  </si>
  <si>
    <t>http://vilneschool17.dnepredu.com</t>
  </si>
  <si>
    <t>Василівська загальноосвітня школа І-ІІ ступенів</t>
  </si>
  <si>
    <t>52551</t>
  </si>
  <si>
    <t>1224881203</t>
  </si>
  <si>
    <t>Василівка-На-Дніпрі</t>
  </si>
  <si>
    <t>61-2-28</t>
  </si>
  <si>
    <t>http://vasdn.dnepredu.com</t>
  </si>
  <si>
    <t>Комунальний заклад освіти "Шевченківська середня загальноосвітня школа І-ІІІ ступенів" Синельниківської районної ради Дніпропетровської області"</t>
  </si>
  <si>
    <t>52562</t>
  </si>
  <si>
    <t>1224881302</t>
  </si>
  <si>
    <t>Бурханівка</t>
  </si>
  <si>
    <t>вул. Шкільна</t>
  </si>
  <si>
    <t>0566362180</t>
  </si>
  <si>
    <t>http://shevchshool.dnepredu.com</t>
  </si>
  <si>
    <t>Комунальний заклад освіти "Дерезуватський навчально-виховний комплекс " загальноосвітній навчальний заклад І-ІІІ ступенів - дошкільний навчальний заклад" Синельниківської районної ради"</t>
  </si>
  <si>
    <t>52510</t>
  </si>
  <si>
    <t>1224881501</t>
  </si>
  <si>
    <t>Дерезувате</t>
  </si>
  <si>
    <t>вул. Ходарева, 1</t>
  </si>
  <si>
    <t>62-2-46</t>
  </si>
  <si>
    <t>http://dersh.dnepredu.com/</t>
  </si>
  <si>
    <t>Комунальний заклад освіти Зайцівська середня загальноосвітня школа</t>
  </si>
  <si>
    <t>52514</t>
  </si>
  <si>
    <t>1224882001</t>
  </si>
  <si>
    <t>Зайцеве</t>
  </si>
  <si>
    <t>вул. Кірова, 4</t>
  </si>
  <si>
    <t>(05663)62662</t>
  </si>
  <si>
    <t>http://zajsh.dnepredu.com/</t>
  </si>
  <si>
    <t>Комунальний заклад освіти Кислянська середня загальноосвітня школа</t>
  </si>
  <si>
    <t>52512</t>
  </si>
  <si>
    <t>1224882501</t>
  </si>
  <si>
    <t>Кислянка</t>
  </si>
  <si>
    <t>(05663)62830</t>
  </si>
  <si>
    <t>http://kyssh.dnepredu.com</t>
  </si>
  <si>
    <t>Комунальний заклад освіти "Циганівська середня загальноосвітня школа І-ІІІ ступенів" Синельниківської районної ради Дніпропетровської області"</t>
  </si>
  <si>
    <t>52560</t>
  </si>
  <si>
    <t>1224883001</t>
  </si>
  <si>
    <t>Луб'янка</t>
  </si>
  <si>
    <t>вул. Лесі Укракїнки (Калініна), 12</t>
  </si>
  <si>
    <t>0961790787</t>
  </si>
  <si>
    <t>http://school16.mirshkol.com</t>
  </si>
  <si>
    <t>Комунальний заклад освіти Майська середня загальноосвітня школа, Синельнківський район,Дніпропетровська область</t>
  </si>
  <si>
    <t>52511</t>
  </si>
  <si>
    <t>1224883501</t>
  </si>
  <si>
    <t>Майське</t>
  </si>
  <si>
    <t>0566353240</t>
  </si>
  <si>
    <t>http://maiska.klasna.com</t>
  </si>
  <si>
    <t>Комунальний заклад освіти "Первомайський навчально-виховний комплекс "загальноосвітній навчальний заклад І-ІІІ ступенів - дошкільний навчальний заклад" Синельниківської районної ради Дніпропетровської області"</t>
  </si>
  <si>
    <t>52541</t>
  </si>
  <si>
    <t>1224884006</t>
  </si>
  <si>
    <t>Первомайське</t>
  </si>
  <si>
    <t>http://pernvk.dnepredu.com</t>
  </si>
  <si>
    <t>Комунальний заклад освіти " Шахтарська середня загальноосвітня школа І-ІІІ ступенів" Синельниківської районної ради Дніпропетровської області"</t>
  </si>
  <si>
    <t>52543</t>
  </si>
  <si>
    <t>1224884009</t>
  </si>
  <si>
    <t>Шахтарське</t>
  </si>
  <si>
    <t>0566373536</t>
  </si>
  <si>
    <t>http://shahsh.klasna.com</t>
  </si>
  <si>
    <t>Комунальний заклад освіти Миролюбівська середня загальноосвітня школа</t>
  </si>
  <si>
    <t>52570</t>
  </si>
  <si>
    <t>1224884901</t>
  </si>
  <si>
    <t>вул. Леніна, 24</t>
  </si>
  <si>
    <t>63484</t>
  </si>
  <si>
    <t>http://myrschool.dnepredu.com</t>
  </si>
  <si>
    <t>Комунальний заклад освіти Михайлівська середня загальноосвітня школа</t>
  </si>
  <si>
    <t>52552</t>
  </si>
  <si>
    <t>1224885001</t>
  </si>
  <si>
    <t>05663 47518</t>
  </si>
  <si>
    <t>http://mihshool.dnepredu.com/</t>
  </si>
  <si>
    <t>Комунальний заклад освіти Новоолександрівська середня загальноосвітня школа І-ІІІ ступенів</t>
  </si>
  <si>
    <t>52561</t>
  </si>
  <si>
    <t>1224886001</t>
  </si>
  <si>
    <t>0566371040</t>
  </si>
  <si>
    <t>http://komsh.dnepredu.com</t>
  </si>
  <si>
    <t>Комунальний заклад освіти "Писарівська загальноосвітня школа І - ІІ ступенів" Синельниківської районної ради Дніпропетровської області"</t>
  </si>
  <si>
    <t>52534</t>
  </si>
  <si>
    <t>1224886801</t>
  </si>
  <si>
    <t>вул. Вишнева, 8Б</t>
  </si>
  <si>
    <t>http://pysnsh.dnepredu.com</t>
  </si>
  <si>
    <t>Комунальний заклад освіти "Раївська середня загальноосвітня школа-інтернат І - ІІІ ступенів" Синельниківської районної ради Дніпропетровської області"</t>
  </si>
  <si>
    <t>52523</t>
  </si>
  <si>
    <t>1224887101</t>
  </si>
  <si>
    <t>Раївка</t>
  </si>
  <si>
    <t>вул. Таланова, 7</t>
  </si>
  <si>
    <t>0566346852</t>
  </si>
  <si>
    <t>http://school-internat.dnepredu.com</t>
  </si>
  <si>
    <t>21899499</t>
  </si>
  <si>
    <t>Комунальний заклад освіти " Вишневецький навчально-виховний комплекс "загальноосвітній навчальний заклад І-ІІІ ступенів-дошкільний навчальний заклад"</t>
  </si>
  <si>
    <t>52530</t>
  </si>
  <si>
    <t>1224888201</t>
  </si>
  <si>
    <t>Старовишневецьке</t>
  </si>
  <si>
    <t>вул. Горького, 75В</t>
  </si>
  <si>
    <t>0566372633</t>
  </si>
  <si>
    <t>http://vishnevecka-school.dnepredu.com</t>
  </si>
  <si>
    <t>Комунальний заклад освіти Солонянське Навчально-виховне об'єднання "Солонянська середня загальноосвітня школа № 1 І-ІІІ ступенів - Центр позашкільної освіти" (опорний заклад) Солонянської селищної ради Дніпропетровської області</t>
  </si>
  <si>
    <t>52400</t>
  </si>
  <si>
    <t>1225055100</t>
  </si>
  <si>
    <t>Солоне</t>
  </si>
  <si>
    <t>вул. Шевченко, 33</t>
  </si>
  <si>
    <t>(05669)21494, (05669)21758</t>
  </si>
  <si>
    <t>Комунальний заклад освіти "Солонянська середня загальноосвітня школа № 2 І- ІІІступенів" Солонянської селищної ради Дніпропетровської області</t>
  </si>
  <si>
    <t>вул. Строменка, 50</t>
  </si>
  <si>
    <t>0566930581, 0566921003</t>
  </si>
  <si>
    <t>http://solone02.at.ua</t>
  </si>
  <si>
    <t>Комунальний заклад освіти "Аполлонівська середня загальноосвітня школа І-ІІ ступенів" Солонянської селищної ради Дніпропетровської області</t>
  </si>
  <si>
    <t>52406</t>
  </si>
  <si>
    <t>1225055101</t>
  </si>
  <si>
    <t>Аполлонівка</t>
  </si>
  <si>
    <t>вул. Юбкіна, 60</t>
  </si>
  <si>
    <t>056-69-75-2-98</t>
  </si>
  <si>
    <t>http://apolon.dnepredu.com</t>
  </si>
  <si>
    <t>Відокремлений підрозділ Надіївська філія І-ІІ ступенів комунального закладу освіти Солонянське навчально-виховне об'єднання "Солонянська середня загальноосвітня школа № 1 І-ІІІ ступенів - Центр позашкільної освіти" (опорний заклад) Солонянської селищної ради Дніпропетровської області</t>
  </si>
  <si>
    <t>52405</t>
  </si>
  <si>
    <t>1225055105</t>
  </si>
  <si>
    <t>Надіївка</t>
  </si>
  <si>
    <t>(05669)6-42-40</t>
  </si>
  <si>
    <t>http://JDANOVO.dnepredu.com</t>
  </si>
  <si>
    <t>Комунальний заклад освіти "Новопокровська середня загальноосвітня школа І-ІІІ ступенів Новопокровської селищної ради Солонянського району Дніпропетровської області"</t>
  </si>
  <si>
    <t>52441</t>
  </si>
  <si>
    <t>1225055400</t>
  </si>
  <si>
    <t>Новопокровка</t>
  </si>
  <si>
    <t>0566994173</t>
  </si>
  <si>
    <t>http://www.novopokrschool.ucoz.ru</t>
  </si>
  <si>
    <t>Комунальний заклад освіти навчально-виховний комплекс "Олександропільська середня загальноосвітня школа I-III ступенів - дошкільний навчальний заклад Солонянської районної ради Дніпропетровської області"</t>
  </si>
  <si>
    <t>52423</t>
  </si>
  <si>
    <t>1225080501</t>
  </si>
  <si>
    <t>вул. Тюріна, 2</t>
  </si>
  <si>
    <t>0566992287</t>
  </si>
  <si>
    <t>http://alexschool.at.ua</t>
  </si>
  <si>
    <t>Комунальний заклад освіти "Криничанська середня загальноосвітня школа І-ІІІ ступенів Солонянської районної ради Дніпропетровської області"</t>
  </si>
  <si>
    <t>52424</t>
  </si>
  <si>
    <t>1225080511</t>
  </si>
  <si>
    <t>вул. Зелена, 18 А</t>
  </si>
  <si>
    <t>0566994649</t>
  </si>
  <si>
    <t>http://krinichenka.dnepredu.com/</t>
  </si>
  <si>
    <t>Комунальний заклад освіти "Петриківська неповна середня загальноосвітня школа І-ІІ ступенів Солонянської районної ради Дніпропетровської області"</t>
  </si>
  <si>
    <t>1225080517</t>
  </si>
  <si>
    <t>(05669)92593</t>
  </si>
  <si>
    <t>http://petrik.dnepredu.com</t>
  </si>
  <si>
    <t>Комунальний заклад освіти "Башмачанська середня загальноосвітня школа І-ІІІ ступеня Солонянської районної ради Дніпропетровської області"</t>
  </si>
  <si>
    <t>52462</t>
  </si>
  <si>
    <t>1225081001</t>
  </si>
  <si>
    <t>Башмачка</t>
  </si>
  <si>
    <t>вул. Горького, 8</t>
  </si>
  <si>
    <t>0667364221, 0566966131</t>
  </si>
  <si>
    <t>http://bs.dnepredu.com</t>
  </si>
  <si>
    <t>Комунальний заклад освіти "Березнуватівська середня загальноосвітня школа І-ІІІ ступенів Солонянської районної ради Дніпропетровської області"</t>
  </si>
  <si>
    <t>52412</t>
  </si>
  <si>
    <t>1225081201</t>
  </si>
  <si>
    <t>Березнуватівка</t>
  </si>
  <si>
    <t>вул. А.Місківа, 36</t>
  </si>
  <si>
    <t>(35637873)97125</t>
  </si>
  <si>
    <t>http://bereza.klasna.com</t>
  </si>
  <si>
    <t>Відокремлений підрозділ Василівська філія І-ІІ ступенів КЗО "Солонянська СЗШ № 1 І-ІІІ ступенів (опорний заклад) Солонянської селищьної ради Дніпропетровської області</t>
  </si>
  <si>
    <t>52460</t>
  </si>
  <si>
    <t>1225081501</t>
  </si>
  <si>
    <t>вул. Стремського, 5</t>
  </si>
  <si>
    <t>(05669) 61143</t>
  </si>
  <si>
    <t>http://vasilivka.dnepredu.com</t>
  </si>
  <si>
    <t>Комунальний заклад освіти "Військова середня загальноосвітня школа І-ІІІ ступенів Солонянської районної ради Дніпропетровської області"</t>
  </si>
  <si>
    <t>52472</t>
  </si>
  <si>
    <t>1225081901</t>
  </si>
  <si>
    <t>Військове</t>
  </si>
  <si>
    <t>вул. Хомутини, 8</t>
  </si>
  <si>
    <t>0566977182</t>
  </si>
  <si>
    <t>http://viys.dnepredu.com</t>
  </si>
  <si>
    <t>Комунальний заклад освіти "Калинівська неповна середня загальноосвітня школа І-ІІ ступенів Солонянської районної ради Дніпропетровської області"</t>
  </si>
  <si>
    <t>52473</t>
  </si>
  <si>
    <t>1225081904</t>
  </si>
  <si>
    <t>вул. Компанійця, 70А</t>
  </si>
  <si>
    <t>(05669)71307</t>
  </si>
  <si>
    <t>http://kalin.dnepredu.com</t>
  </si>
  <si>
    <t>КЗО "Дзержинівська середня загальноосвітня школа І-ІІІ ступенів Солонянської районної ради Дніпропетровської області"</t>
  </si>
  <si>
    <t>52421</t>
  </si>
  <si>
    <t>1225083001</t>
  </si>
  <si>
    <t>Іверське</t>
  </si>
  <si>
    <t>(05669)93-4-41</t>
  </si>
  <si>
    <t>http://dzer.dnepredu.com</t>
  </si>
  <si>
    <t>Комунальний заклад освіти навчально - виховний комплекс "Миропільська загальноосвітня школа І ступеня - дошкільний навчальний заклад Солонянської районної ради Дніпропетровської області"</t>
  </si>
  <si>
    <t>52422</t>
  </si>
  <si>
    <t>1225083005</t>
  </si>
  <si>
    <t>Миропіль</t>
  </si>
  <si>
    <t>0566992640</t>
  </si>
  <si>
    <t>http://miropil.klasna.com/</t>
  </si>
  <si>
    <t>Комунальний заклад освіти "Святовасилівська середня загальноосвітня школа І-ІІІ ступенів Святовасилівської сільської ради Солонянського району Дніпропетровської області"</t>
  </si>
  <si>
    <t>52433</t>
  </si>
  <si>
    <t>1225083501</t>
  </si>
  <si>
    <t>Святовасилівка</t>
  </si>
  <si>
    <t>(056)6967510</t>
  </si>
  <si>
    <t>http://Elizarovo.ucoz.ua</t>
  </si>
  <si>
    <t>Відокремлений підрозділ НВК Малозахаринська філія І ступеня - дошкільний навчальний заклад КЗО Солонянське НВО "Солонянська СЗШ № 1 І-ІІІ ступенів - центр позашкільної освіти" (опорний заклад) Солонянської селищної ради Дніпропетровської області</t>
  </si>
  <si>
    <t>52451</t>
  </si>
  <si>
    <t>1225083701</t>
  </si>
  <si>
    <t>Малозахарине</t>
  </si>
  <si>
    <t>Комунальний заклад освіти "Багатська середня загальноосвітня школа І-ІІІ ступенів Новопокровської селищної ради Солонянського району Дніпропетровської області"</t>
  </si>
  <si>
    <t>52450</t>
  </si>
  <si>
    <t>1225083801</t>
  </si>
  <si>
    <t>Багате</t>
  </si>
  <si>
    <t>вул. Центральна, 1В</t>
  </si>
  <si>
    <t>63236</t>
  </si>
  <si>
    <t>http://mopr.dnepredu.com</t>
  </si>
  <si>
    <t>Відокремлений підрозділ Незабудинська філія І-ІІ ступенів комунального закладу освіти "Святовасилівська середня загальноосвітня школа І-ІІІ ступенів (опорний заклад) Святовасилівської сільської ради Солонянського району Дніпропетровської області"</t>
  </si>
  <si>
    <t>52432</t>
  </si>
  <si>
    <t>1225084007</t>
  </si>
  <si>
    <t>Незабудине</t>
  </si>
  <si>
    <t>93 - 5 - 22</t>
  </si>
  <si>
    <t>http://nezabudine.dnepredu.com</t>
  </si>
  <si>
    <t>КЗО "Микільська на Дніпрі середня загальноосвітня школа І-ІІІ ступенів Солонянської районної ради Дніпропетровської області"</t>
  </si>
  <si>
    <t>52470</t>
  </si>
  <si>
    <t>1225084301</t>
  </si>
  <si>
    <t>Микільське-На-Дніпрі</t>
  </si>
  <si>
    <t>0566960544</t>
  </si>
  <si>
    <t>http://micknd.dnepredu.com</t>
  </si>
  <si>
    <t>Комунальний заклад освіти "Звонецько-Хутірська неповна середня загальноосвітня школа І-ІІ ступенів Солонянської районної ради Дніпропетровської області"</t>
  </si>
  <si>
    <t>52471</t>
  </si>
  <si>
    <t>1225084305</t>
  </si>
  <si>
    <t>Звонецький Хутір</t>
  </si>
  <si>
    <t>вул. Кооперативна, 1А</t>
  </si>
  <si>
    <t>0566972155</t>
  </si>
  <si>
    <t>http://z_xutor_nszh.dnepredu.com/</t>
  </si>
  <si>
    <t>КЗО "Оріхівський загальноосвітній комплекс "Школа-сад І ступеня Микільської сільської ради Солонянського району Дніпропетровської області"</t>
  </si>
  <si>
    <t>1225084309</t>
  </si>
  <si>
    <t>Оріхове</t>
  </si>
  <si>
    <t>вул. Нова, 13</t>
  </si>
  <si>
    <t>0566972126</t>
  </si>
  <si>
    <t>http://orixovo.dnepredu.com</t>
  </si>
  <si>
    <t>Відокремлений підрозділ Новомар'ївська філія І - ІІ ступенів комунального закладу освіти "Святовасилівська середня загальноосвітня школа І - ІІІ ступенів (опорний заклад) Святовасилівської сільської ради Солонянського району Дніпропетровської області"</t>
  </si>
  <si>
    <t>52420</t>
  </si>
  <si>
    <t>1225084501</t>
  </si>
  <si>
    <t>Новомар'ївка</t>
  </si>
  <si>
    <t>(05669) 9-33-40</t>
  </si>
  <si>
    <t>http://novomarivka.dnepredu.com</t>
  </si>
  <si>
    <t>Комунальний заклад освіти "Павлівська неповна середня загальноосвітня школа І-ІІ ступенів Новопокровської селищної ради Солонянського району Дніпропетровської області"</t>
  </si>
  <si>
    <t>52434</t>
  </si>
  <si>
    <t>1225085001</t>
  </si>
  <si>
    <t>вул. Центральна, 44Б</t>
  </si>
  <si>
    <t>(05669)93638</t>
  </si>
  <si>
    <t>Комунальний заклад освіти "Письмечівська середня загальноосвітня школа І-ІІІ ступенів Солонянської районної ради Дніпропетровської області"</t>
  </si>
  <si>
    <t>52440</t>
  </si>
  <si>
    <t>1225085501</t>
  </si>
  <si>
    <t>Письмечеве</t>
  </si>
  <si>
    <t>вул. Шкільна, 64</t>
  </si>
  <si>
    <t>(056)-69-93-7-67</t>
  </si>
  <si>
    <t>http://Pismi4evo.ucoz.ua</t>
  </si>
  <si>
    <t>Комунальний заклад освіти " Привільнянська загальноосвітня середня школа І-ІІІ ступенів Солонянської районної ради Дніпропетровської області"</t>
  </si>
  <si>
    <t>52413</t>
  </si>
  <si>
    <t>1225086001</t>
  </si>
  <si>
    <t>Привільне</t>
  </si>
  <si>
    <t>0566968341</t>
  </si>
  <si>
    <t>http://privol.dnepredu.com</t>
  </si>
  <si>
    <t>КЗО НВК"Червономаяцька неповна середня загальноосвітня школа І-ІІ ступенів - дошкільний навчальний заклад Солонянської районної ради Дніпропетровської області"</t>
  </si>
  <si>
    <t>52414</t>
  </si>
  <si>
    <t>1225086008</t>
  </si>
  <si>
    <t>Маяк</t>
  </si>
  <si>
    <t>056965322</t>
  </si>
  <si>
    <t>http://mayak.dnepredu.com</t>
  </si>
  <si>
    <t>Відокремлений підрозділ Промінська філія І-ІІ ступенів комунального закладу освіти "Святовасилівська середня загальноосвітня школа І-ІІІ ступенів (опорний заклад) Святовасилівської сільської ради Солонянського району Дніпропетровської області"</t>
  </si>
  <si>
    <t>52431</t>
  </si>
  <si>
    <t>1225086201</t>
  </si>
  <si>
    <t>вул. О.Артюха, 17</t>
  </si>
  <si>
    <t>0566976241</t>
  </si>
  <si>
    <t>http://promin.dnepredu.com</t>
  </si>
  <si>
    <t>Комунальний заклад освіти "Сурсько-Михайлівська середня загальноосвітня школа І-ІІІ ступенів Солонянської районної ради Дніпропетровської області"</t>
  </si>
  <si>
    <t>52410</t>
  </si>
  <si>
    <t>1225087301</t>
  </si>
  <si>
    <t>Сурсько-Михайлівка</t>
  </si>
  <si>
    <t>вул. Шевченка, 46А</t>
  </si>
  <si>
    <t>69664</t>
  </si>
  <si>
    <t>http://syrmih.dnepredu.com</t>
  </si>
  <si>
    <t>Комунальний заклад освіти "Широчанська середня загольноосвітня школа І-ІІ ступенів" Солонянської селищної ради Дніпропетровської області</t>
  </si>
  <si>
    <t>52445</t>
  </si>
  <si>
    <t>1225088401</t>
  </si>
  <si>
    <t>вул. Сорокіна, 56</t>
  </si>
  <si>
    <t>(05669)-63334</t>
  </si>
  <si>
    <t>http://shiroke.dnepredu.com</t>
  </si>
  <si>
    <t>Комунальний заклад освіти навчально-виховний комплекс "Тритузнянська середня загальнооосвітня школа І-ІІІ ступенів - дошкільний навчальний заклад" Солонянської селищної ради Дніпропетровської області</t>
  </si>
  <si>
    <t>52446</t>
  </si>
  <si>
    <t>1225088403</t>
  </si>
  <si>
    <t>Тритузне</t>
  </si>
  <si>
    <t>63132, 63136</t>
  </si>
  <si>
    <t>http://trityznoe.dnepredu.com</t>
  </si>
  <si>
    <t>Комунальний заклад "Софіївська опорна загальноосвітня школа І-ІІІ ступенів Софіївської селищної ради Софіївського району Дніпропетровської області</t>
  </si>
  <si>
    <t>53100</t>
  </si>
  <si>
    <t>1225255100</t>
  </si>
  <si>
    <t>вул. Чкалова, 1</t>
  </si>
  <si>
    <t>(05650) 28010</t>
  </si>
  <si>
    <t>http://sofiivka-school1.dp.sch.in.ua/</t>
  </si>
  <si>
    <t>26239448</t>
  </si>
  <si>
    <t>комунальний заклад "Софіївська вечірня школа" Софіївської селищної ради Софіївського району Дніпропетровської області</t>
  </si>
  <si>
    <t>(05650)29099</t>
  </si>
  <si>
    <t>http://sofvechir.klasna.com</t>
  </si>
  <si>
    <t>Любимівська філія комунального закладу "Софіївська опорна загальноосвітня школа І-ІІІ ступенів" Софіївської селищної ради Софіївського району Дніпропетровської області</t>
  </si>
  <si>
    <t>53141</t>
  </si>
  <si>
    <t>1225255107</t>
  </si>
  <si>
    <t>(05650)2-65-20</t>
  </si>
  <si>
    <t>http://ljubsch.klasna.com/uk/site/index.html</t>
  </si>
  <si>
    <t>Девладівська загальноосвітня школа I-II ступенів Софіївської районної ради Дніпропетровської області</t>
  </si>
  <si>
    <t>53132</t>
  </si>
  <si>
    <t>1225282501</t>
  </si>
  <si>
    <t>Девладове</t>
  </si>
  <si>
    <t>0565024377</t>
  </si>
  <si>
    <t>http://devladovoschool.klasna.com</t>
  </si>
  <si>
    <t>Водянська загальноосвітня школа І-ІІІ ступенів Софіївської районної ради Дніпропетровської області</t>
  </si>
  <si>
    <t>53130</t>
  </si>
  <si>
    <t>1225282502</t>
  </si>
  <si>
    <t>0565024166</t>
  </si>
  <si>
    <t>http://vodiane.at.ua</t>
  </si>
  <si>
    <t>Вакулівська загальноосвітня школа І-ІІІ ступенів Вакулівської сільської ради Софіївського району Дніпропетровської області</t>
  </si>
  <si>
    <t>53172</t>
  </si>
  <si>
    <t>1225283301</t>
  </si>
  <si>
    <t>Вакулове</t>
  </si>
  <si>
    <t>вул. Каштанова, 31</t>
  </si>
  <si>
    <t>Комунльний заклад освіти "Жовтневий навчально-реабілітаційний центр з поглибленим професійно-трудовим навчанням"Дніпропетровської обласної ради"</t>
  </si>
  <si>
    <t>(05650)2-32-64</t>
  </si>
  <si>
    <t>20196488</t>
  </si>
  <si>
    <t>Мар'ївська загальноосвітня школа І-ІІ ступенів № 1 Вакулівської сільської ради Дніпропетровської області</t>
  </si>
  <si>
    <t>53111</t>
  </si>
  <si>
    <t>1225283304</t>
  </si>
  <si>
    <t>(05650)26956</t>
  </si>
  <si>
    <t>Запорізька філія комунального закладу "Софіївська опорна загальноосвітня школа І-ІІІ ступенів" Софіївської селищної ради Софіївського району Дніпропетровської області</t>
  </si>
  <si>
    <t>53140</t>
  </si>
  <si>
    <t>1225283501</t>
  </si>
  <si>
    <t>вул. Постного, 62</t>
  </si>
  <si>
    <t>0565025330</t>
  </si>
  <si>
    <t>http://zaporizka_school.klasna.com/</t>
  </si>
  <si>
    <t>Кам'янська загальноосвітня школа І-ІІІ ступенів Софіївської районної ради Дніпропетровської області</t>
  </si>
  <si>
    <t>53160</t>
  </si>
  <si>
    <t>1225283801</t>
  </si>
  <si>
    <t>вул. Клубна, 7</t>
  </si>
  <si>
    <t>0565027384</t>
  </si>
  <si>
    <t>http://kamzosh.at.ua</t>
  </si>
  <si>
    <t>Вишнева загальноосвітня школа І-ІІІ ступенів Софіївської районної ради Дніпропетровської області</t>
  </si>
  <si>
    <t>63151</t>
  </si>
  <si>
    <t>1225283802</t>
  </si>
  <si>
    <t>вул. Татарця, 75</t>
  </si>
  <si>
    <t>25728</t>
  </si>
  <si>
    <t>http://vyshneva.dnepredu.com/</t>
  </si>
  <si>
    <t>Мар'є - Дмитрівська загальноосвітня школа І-ІІІ ступенів Софіївської районної ради Дніпропетровської області</t>
  </si>
  <si>
    <t>1225284101</t>
  </si>
  <si>
    <t>Мар'є-Дмитрівка</t>
  </si>
  <si>
    <t>вул. Молодіжна, 5</t>
  </si>
  <si>
    <t>0565026131</t>
  </si>
  <si>
    <t>http://mardmitr.klasna.com</t>
  </si>
  <si>
    <t>Миколаївська загальноосвітня школа І-ІІІ ступенів Софіївської районної ради Дніпропетровської області</t>
  </si>
  <si>
    <t>53180</t>
  </si>
  <si>
    <t>1225284401</t>
  </si>
  <si>
    <t>вул. Квітнева, 1</t>
  </si>
  <si>
    <t>05650 2 - 52 - 30</t>
  </si>
  <si>
    <t>http://nikolaevkaschool.klasna.com</t>
  </si>
  <si>
    <t>Володимирівська загальноосвітня школа І-ІІступенів Софіївської районної ради Дніпропетровської області</t>
  </si>
  <si>
    <t>53182</t>
  </si>
  <si>
    <t>1225284403</t>
  </si>
  <si>
    <t>0565027115</t>
  </si>
  <si>
    <t>http://vladshk.klasna.com</t>
  </si>
  <si>
    <t>Комунальний заклад "Нововасилівська середня загальноосвітня школа І ступеня" Вакулівської сільської ради Дніпропетровської області</t>
  </si>
  <si>
    <t>53170</t>
  </si>
  <si>
    <t>1225285201</t>
  </si>
  <si>
    <t>Нововасилівка</t>
  </si>
  <si>
    <t>наб. Набережна, 1</t>
  </si>
  <si>
    <t>0565026611</t>
  </si>
  <si>
    <t>http://Novovas.klasna.com</t>
  </si>
  <si>
    <t>Комунальний заклад "Жовтянська загальноосвітня школа І - ІІІ ступенів" Вакулівської сільської ради Софіївського району Дніпропетровської області</t>
  </si>
  <si>
    <t>53171</t>
  </si>
  <si>
    <t>1225285203</t>
  </si>
  <si>
    <t>0565027775</t>
  </si>
  <si>
    <t>http://zhovte.klasna.com</t>
  </si>
  <si>
    <t>Новоюлівська загальноосвітня школа I-III ступенів Софіївської районної ради Дніпропетровської області</t>
  </si>
  <si>
    <t>53150</t>
  </si>
  <si>
    <t>1225285501</t>
  </si>
  <si>
    <t>Новоюлівка</t>
  </si>
  <si>
    <t>0565025516</t>
  </si>
  <si>
    <t>https://sites.google.com/site/njuschool/home</t>
  </si>
  <si>
    <t>Ордо - Василівська загальноосвітня школа I-III ступенів Софіївської районної ради Дніпропетровської області</t>
  </si>
  <si>
    <t>53110</t>
  </si>
  <si>
    <t>1225286601</t>
  </si>
  <si>
    <t>Ордо-Василівка</t>
  </si>
  <si>
    <t>вул. Весняна, 56</t>
  </si>
  <si>
    <t>(05650) 2-54-47</t>
  </si>
  <si>
    <t>http://ordovka2011.klasna.com</t>
  </si>
  <si>
    <t>Мар'ївська загальноосвітня школа І-ІІІ ступенів № 2 Софіївської районної ради Дніпропетровської області</t>
  </si>
  <si>
    <t>53173</t>
  </si>
  <si>
    <t>1225286606</t>
  </si>
  <si>
    <t>вул. Центральна, 1 -А</t>
  </si>
  <si>
    <t>0565025450, 0565025874</t>
  </si>
  <si>
    <t>http://marschool2.klasna.com</t>
  </si>
  <si>
    <t>Сергіївська загальноосвітня школа І-ІІ ступенів Софіївської районної ради Дніпропетровської області</t>
  </si>
  <si>
    <t>53112</t>
  </si>
  <si>
    <t>1225286610</t>
  </si>
  <si>
    <t>Сергіївка</t>
  </si>
  <si>
    <t>0565026737</t>
  </si>
  <si>
    <t>http://sergievkaschool.dnepredu.com/</t>
  </si>
  <si>
    <t>Першотравенська загальноосвітня школа І-ІІІ ступенів Софіївської районної ради, Дніпропетровської області</t>
  </si>
  <si>
    <t>53120</t>
  </si>
  <si>
    <t>1225287701</t>
  </si>
  <si>
    <t>вул. 30-річчя Перемоги, 91</t>
  </si>
  <si>
    <t>0565026375</t>
  </si>
  <si>
    <t>http://pershetravnya.klasna.com</t>
  </si>
  <si>
    <t>Томаківська загальноосвітня школа І-ІІІ ступенів № 2 Томаківської селищної ради Дніпропетровської області</t>
  </si>
  <si>
    <t>53500</t>
  </si>
  <si>
    <t>1225455100</t>
  </si>
  <si>
    <t>Томаківка</t>
  </si>
  <si>
    <t>вул. Хмельницького, 66 а</t>
  </si>
  <si>
    <t>(05668)2-22-51</t>
  </si>
  <si>
    <t>http://zosh-2.osvita-tomakivka.dp.ua</t>
  </si>
  <si>
    <t>Томаківський навчально-виховний комплекс "Загальноосвітня школа І-ІІІ ступенів - дошкільний навчальний заклад" № 1</t>
  </si>
  <si>
    <t>вул. Ватутіна, 7</t>
  </si>
  <si>
    <t>(05668)22390</t>
  </si>
  <si>
    <t>http://zosh-1.osvita-tomakivka.dp.ua</t>
  </si>
  <si>
    <t>Володимирівська філія Томаківського НВК "ЗОШ І-ІІІ ст.-ДНЗ" № 1</t>
  </si>
  <si>
    <t>53550</t>
  </si>
  <si>
    <t>1225481001</t>
  </si>
  <si>
    <t>вул. Дніпровська, 32</t>
  </si>
  <si>
    <t>0(5668)38430</t>
  </si>
  <si>
    <t>http://zosh-volodymyrivska.osvita-tomakivka.dp.ua</t>
  </si>
  <si>
    <t>Виводівська загальноосвітня школа І - ІІІ ступенів Томаківської районної ради Дніпропетровської області</t>
  </si>
  <si>
    <t>53552</t>
  </si>
  <si>
    <t>1225482001</t>
  </si>
  <si>
    <t>Виводове</t>
  </si>
  <si>
    <t>вул. Надії Кулик, 11</t>
  </si>
  <si>
    <t>(05668)37-1-34</t>
  </si>
  <si>
    <t>http://www.zosh-vyvodivska.osvita-tomakivka.dp.ua</t>
  </si>
  <si>
    <t>Глухівський навчально-виховний комплекс "Загальноосвітня школа І-ІІ ступенів - дошкільний навчальний заклад" Томаківської районної ради, Дніпропетровської області</t>
  </si>
  <si>
    <t>53553</t>
  </si>
  <si>
    <t>1225482002</t>
  </si>
  <si>
    <t>Глухе</t>
  </si>
  <si>
    <t>вул. Лікарніний, 10</t>
  </si>
  <si>
    <t>(05668)37-4-34</t>
  </si>
  <si>
    <t>http://nvk-gluhivskyj.osvita-tomakivka.dp.ua/</t>
  </si>
  <si>
    <t>Вищетарасівська загальноосвітня школа І-ІІІ ступенів Томаківської районної ради Дніпропетровської області</t>
  </si>
  <si>
    <t>53563</t>
  </si>
  <si>
    <t>1225482501</t>
  </si>
  <si>
    <t>Вищетарасівка</t>
  </si>
  <si>
    <t>вул. Горького, 7</t>
  </si>
  <si>
    <t>0566836345</t>
  </si>
  <si>
    <t>http://zosh-vyshhetarasivska.osvita-tomakivka.dp.ua</t>
  </si>
  <si>
    <t>Зорянський навчально-виховний комплекс "Загальноосвітня школа І-ІІІ ступенів - дошкільний навчальний заклад" Мирівської сільської ради Томаківського району Дніпропетровської області</t>
  </si>
  <si>
    <t>53542</t>
  </si>
  <si>
    <t>1225482901</t>
  </si>
  <si>
    <t>вул. Сільськогосподарська, 33</t>
  </si>
  <si>
    <t>37-3-34, 0665775289</t>
  </si>
  <si>
    <t>http://zosh-zorjanska.osvita-tomakivka.dp.ua</t>
  </si>
  <si>
    <t>Зеленогайський навчально виховний комплекс "Загальноосвітня школа І - ІІІ ступенів - дошкільний навчальний заклад" Томаківської районної ради Дніпропетровської області</t>
  </si>
  <si>
    <t>49410</t>
  </si>
  <si>
    <t>1225483201</t>
  </si>
  <si>
    <t>вул. Центральна, 19А</t>
  </si>
  <si>
    <t>(05668)39726</t>
  </si>
  <si>
    <t>http://zosh-zelenogajska.osvita-tomakivka.dp.ua</t>
  </si>
  <si>
    <t>російська,французька</t>
  </si>
  <si>
    <t>Кисличуватська філія Томаківського навчально - виховного комплексу "Загальноосвітня школа І - ІІІ ступенів - дошкільний навчальний заклад" № 1</t>
  </si>
  <si>
    <t>53530</t>
  </si>
  <si>
    <t>1225483501</t>
  </si>
  <si>
    <t>Кисличувата</t>
  </si>
  <si>
    <t>вул. Ювілейна, 1</t>
  </si>
  <si>
    <t>(05668)34-6-97</t>
  </si>
  <si>
    <t>http://zosh-kyslychuvatska.osvita-tomakivka.dp.ua</t>
  </si>
  <si>
    <t>Китайгородська загальноосвітня школа I-III ступенів Томаківської селищної ради Дніпропетровської області</t>
  </si>
  <si>
    <t>53512</t>
  </si>
  <si>
    <t>1225484001</t>
  </si>
  <si>
    <t>Китайгородка</t>
  </si>
  <si>
    <t>0566838730</t>
  </si>
  <si>
    <t>http://zosh-kytajgorodska.osvita-tomakivka.dp.ua/</t>
  </si>
  <si>
    <t>Настасівська загальноосвітня школа І-ІІІ ступенів Мирівської сілської ради Томаківського району Дніпропетровської області.</t>
  </si>
  <si>
    <t>53541</t>
  </si>
  <si>
    <t>1225485504</t>
  </si>
  <si>
    <t>Настасівка</t>
  </si>
  <si>
    <t>35-2-68</t>
  </si>
  <si>
    <t>http://zosh-nastasivska.osvita-tomakivka.dp.ua</t>
  </si>
  <si>
    <t>Михайлівська філія Томаківського навчально - виховного комплексу "Загальноосвітня школа I - ІІІ ступенів - дошкільний навчальний заклад" № 1 Томаківської селищної ради Дніпропетровської області</t>
  </si>
  <si>
    <t>53531</t>
  </si>
  <si>
    <t>1225486601</t>
  </si>
  <si>
    <t>http://zosh-myhajlivska.osvita-tomakivka.dp.ua</t>
  </si>
  <si>
    <t>Добронадіївський навчально виховний комплекс "Загальноосвітня школа І-ІІІ ступенів - дошкільний навчальний заклад" Томаківської районної ради Дніпропетровської області</t>
  </si>
  <si>
    <t>53562</t>
  </si>
  <si>
    <t>1225487503</t>
  </si>
  <si>
    <t>Добра Надія</t>
  </si>
  <si>
    <t>0566837715</t>
  </si>
  <si>
    <t>http://zoch-dobranad.dnepredu.com/uk/site/golovna.html</t>
  </si>
  <si>
    <t>Преображенська загальноосвітня школа І-ІІІ ступенів Томаківської селищної ради Дніпропетровської області</t>
  </si>
  <si>
    <t>53520</t>
  </si>
  <si>
    <t>1225488001</t>
  </si>
  <si>
    <t>вул. Степова, 27,Б</t>
  </si>
  <si>
    <t>0566839354</t>
  </si>
  <si>
    <t>http://zoch-preobr.dnepredu.com/</t>
  </si>
  <si>
    <t>Чумаківська загальноосвітня школа І-ІІІ ступенів Томаківської селищної ради Дніпропетровської області</t>
  </si>
  <si>
    <t>53510</t>
  </si>
  <si>
    <t>1225488801</t>
  </si>
  <si>
    <t>вул. Гагаріна, 7</t>
  </si>
  <si>
    <t>0566838219</t>
  </si>
  <si>
    <t>http://zosh-chumakivska.osvita-tomakivka.dp.ua</t>
  </si>
  <si>
    <t>Комунальний заклад "Царичанська загальноосвітня школа І-ІІІ ступенів" Царичанської селищної ради Дніпропетровської області</t>
  </si>
  <si>
    <t>51000</t>
  </si>
  <si>
    <t>1225655100</t>
  </si>
  <si>
    <t>Царичанка</t>
  </si>
  <si>
    <t>вул. Соборна, 40А</t>
  </si>
  <si>
    <t>(05690)3-17-04, (05690)3-23-73</t>
  </si>
  <si>
    <t>http://tsschooldp.ucoz.ru</t>
  </si>
  <si>
    <t>33352868</t>
  </si>
  <si>
    <t>Царичанська філія І-ІІ ступенів комунального закладу "Царичанська загальноосвітня школа І-ІІІ ступенів" Царичанської селищної ради Дніпропетровської області</t>
  </si>
  <si>
    <t>вул. Бутенка, 2 а</t>
  </si>
  <si>
    <t>05690-3-29-04</t>
  </si>
  <si>
    <t>http://schoolqlunushe.klasna.com</t>
  </si>
  <si>
    <t>Лисківська філія І-ІІ ступенів комунального закладу "Царичанська загальноосвітня школа І-ІІІ ступенів" Царичанської селищної ради Дніпропетровської області</t>
  </si>
  <si>
    <t>51006</t>
  </si>
  <si>
    <t>1225655104</t>
  </si>
  <si>
    <t>Лисківка</t>
  </si>
  <si>
    <t>(05690)61845</t>
  </si>
  <si>
    <t>http://liskivka.at.ua/</t>
  </si>
  <si>
    <t>Комунальний заклад "Бабайківська загальноосвітня школа І-ІІІ ступенів" Царичанської селищної ради Дніпропетровської області</t>
  </si>
  <si>
    <t>51010</t>
  </si>
  <si>
    <t>1225680501</t>
  </si>
  <si>
    <t>Бабайківка</t>
  </si>
  <si>
    <t>вул. Театральна, 16</t>
  </si>
  <si>
    <t>(5690)27144</t>
  </si>
  <si>
    <t>http://babaykzosh.ucoz.net/</t>
  </si>
  <si>
    <t>Китайгородська загальноосвітня школа І-ІІІ ст. Царичанської районної ради Дніпропетровської області</t>
  </si>
  <si>
    <t>51030</t>
  </si>
  <si>
    <t>1225682001</t>
  </si>
  <si>
    <t>0569026175</t>
  </si>
  <si>
    <t>http://schoolkit.dnepredu.com</t>
  </si>
  <si>
    <t>Комунальний заклад "Ляшківська загальноосвітня школа І-ІІІ ступенів Ляшківської сільської ради Царичанського району Дніпропетровської області"</t>
  </si>
  <si>
    <t>51012</t>
  </si>
  <si>
    <t>1225683001</t>
  </si>
  <si>
    <t>Ляшківка</t>
  </si>
  <si>
    <t>0569062691</t>
  </si>
  <si>
    <t>http://lyashkivskazosh.ucoz.ua</t>
  </si>
  <si>
    <t>Комунальний заклад "Михайлівська загальноосвітня школа І ступеня" Царичанської селищної ради Дніпропетровської області</t>
  </si>
  <si>
    <t>51011</t>
  </si>
  <si>
    <t>1225683201</t>
  </si>
  <si>
    <t>вул. Вороного, 1</t>
  </si>
  <si>
    <t>(05690)66110</t>
  </si>
  <si>
    <t>http://mzschool1893.klasna.com/</t>
  </si>
  <si>
    <t>Комунальний заклад "Могилівська загальноосвітня школа І -ІІ ступенів Могилівської сільської ради Царичанського району Дніпропетровської області"</t>
  </si>
  <si>
    <t>51041</t>
  </si>
  <si>
    <t>1225683601</t>
  </si>
  <si>
    <t>Могилів</t>
  </si>
  <si>
    <t>(05690)6-31-35</t>
  </si>
  <si>
    <t>http://schol2.klasna.com/</t>
  </si>
  <si>
    <t>КЗ"Могилівська загальноосвітня школа І - ІІІ ступенів ім. І.М.Шишканя" Могилівської сільської ради Царичанського району Дніпропетровської області</t>
  </si>
  <si>
    <t>51040</t>
  </si>
  <si>
    <t>вул. Костичева, 1</t>
  </si>
  <si>
    <t>0569024116</t>
  </si>
  <si>
    <t>http://mogiliv.klasna.com</t>
  </si>
  <si>
    <t>Комунальний заклад "Прядівська загальноосвітня школа І-ІІІ ступенів" Царичанської селищної ради Дніпропетровської області</t>
  </si>
  <si>
    <t>51022</t>
  </si>
  <si>
    <t>1225684401</t>
  </si>
  <si>
    <t>Прядівка</t>
  </si>
  <si>
    <t>(05690)65149</t>
  </si>
  <si>
    <t>http://pryadivka42.ucoz.net</t>
  </si>
  <si>
    <t>Комунальний заклад "Рудківський навчально-виховний комплекс"Загальноосвітній навчальний заклад І-ІІ ступенів - дошкільний начальний заклад" Царичанської районної ради Дніпропетровської області</t>
  </si>
  <si>
    <t>51031</t>
  </si>
  <si>
    <t>1225684601</t>
  </si>
  <si>
    <t>6-41-38</t>
  </si>
  <si>
    <t>http://rudka15.dnepredu.com/</t>
  </si>
  <si>
    <t>Цибульківська загальноосвітня школа Царичанської районної ради Дніпропетровської області</t>
  </si>
  <si>
    <t>51032</t>
  </si>
  <si>
    <t>1225685001</t>
  </si>
  <si>
    <t>Цибульківка</t>
  </si>
  <si>
    <t>0569061416</t>
  </si>
  <si>
    <t>http://cubylkivska.at.ua/</t>
  </si>
  <si>
    <t>Загальноосвітня школа І-ІІІ ступенів с.Молодіжне Царичанської районної ради Дніпропетровської області</t>
  </si>
  <si>
    <t>51033</t>
  </si>
  <si>
    <t>1225685005</t>
  </si>
  <si>
    <t>Молодіжне</t>
  </si>
  <si>
    <t>(05690) 61971</t>
  </si>
  <si>
    <t>http://molodigne.klasna.com</t>
  </si>
  <si>
    <t>Комунальний заклад "Юр"ївська загальноосвітня школа І ступеня", Царичанської селищної ради , Дніпропетровської області</t>
  </si>
  <si>
    <t>51020</t>
  </si>
  <si>
    <t>1225688201</t>
  </si>
  <si>
    <t>Юр'ївка</t>
  </si>
  <si>
    <t>вул. Петра Сагайдачного, 3</t>
  </si>
  <si>
    <t>(098)0053709, (098)7776158, (05690)67148</t>
  </si>
  <si>
    <t>http://juraschool.dnepredu.com</t>
  </si>
  <si>
    <t>Комунальний заклад "Преображенська загальноосвітня школа І-ІІІ ступенів" Царичанської селищної ради Дніпропетровської області</t>
  </si>
  <si>
    <t>51021</t>
  </si>
  <si>
    <t>1225688204</t>
  </si>
  <si>
    <t>(05690)62333</t>
  </si>
  <si>
    <t>http://school01.klasna.com</t>
  </si>
  <si>
    <t>Комунальний заклад " Широківська середня загальноосвітня школа № 1 - загальноосвітній навчальний заклад І-ІІІ ступенів" Широківської районної ради</t>
  </si>
  <si>
    <t>53700</t>
  </si>
  <si>
    <t>1225855100</t>
  </si>
  <si>
    <t>вул. Набережна, 120</t>
  </si>
  <si>
    <t>(05657)21083</t>
  </si>
  <si>
    <t>http://shirokeschool.at.ua</t>
  </si>
  <si>
    <t>Комунальний заклад Широківська середня загальноосвітня школа № 2 загальноосвітній заклад І-ІІІ ступенів Широківської районної ради</t>
  </si>
  <si>
    <t>вул. Соборна, 4</t>
  </si>
  <si>
    <t>(05657)21167</t>
  </si>
  <si>
    <t>Опорний комунальний заклад " Карпівська середня загальноосвітня школа І - ІІІ ступенів" Широківської районної ради</t>
  </si>
  <si>
    <t>53742</t>
  </si>
  <si>
    <t>1225855305</t>
  </si>
  <si>
    <t>вул. Молодіжна, 52</t>
  </si>
  <si>
    <t>0565726530</t>
  </si>
  <si>
    <t>http://karpovka.jimdo.com/</t>
  </si>
  <si>
    <t>Комунальний заклад "Олександрівська середня загальноосвітня школа - загальноосвітній навчальний заклад I-III ступенів" Широківської районної ради</t>
  </si>
  <si>
    <t>53730</t>
  </si>
  <si>
    <t>1225881101</t>
  </si>
  <si>
    <t>2-37-37</t>
  </si>
  <si>
    <t>http://olekcandrivckaszh.jimdo.com</t>
  </si>
  <si>
    <t>Комунальний заклад "Андріївська середня загальноосвітня школа - загальноосвітній навчальний заклад І-ІІІ ступенів" Широківської районної ради</t>
  </si>
  <si>
    <t>53760</t>
  </si>
  <si>
    <t>1225882201</t>
  </si>
  <si>
    <t>вул. Жовтнева, 26</t>
  </si>
  <si>
    <t>0565727595</t>
  </si>
  <si>
    <t>http://andriivska-szh.jimdo.com</t>
  </si>
  <si>
    <t>Комунальний заклад "Благодатнівська середня загальноосвітня школа - загальноосвітній навчальний заклад І-ІІІ ступенів" Широківської районної ради</t>
  </si>
  <si>
    <t>53751</t>
  </si>
  <si>
    <t>1225883301</t>
  </si>
  <si>
    <t>вул. Пролетарська, 8</t>
  </si>
  <si>
    <t>05657-2-71-90</t>
  </si>
  <si>
    <t>http://chapayevka-zosh.edukit.dp.ua/</t>
  </si>
  <si>
    <t>Комунальний заклад "Запорізька середня загальноосвітня школа - загальноосвітній навчальний заклад І-ІІІ ступенів"</t>
  </si>
  <si>
    <t>53752</t>
  </si>
  <si>
    <t>1225883312</t>
  </si>
  <si>
    <t>Запоріжжя</t>
  </si>
  <si>
    <t>ал. Шкільна, 31А</t>
  </si>
  <si>
    <t>(05657)27394</t>
  </si>
  <si>
    <t>комунальний заклад Зеленобалківський навчальновиховний-комплекс "Загальноосвітній навчальний заклад І-ІІІ ступенів - дошкільний навчальний заклад" Новолатівської сільської ради</t>
  </si>
  <si>
    <t>53710</t>
  </si>
  <si>
    <t>1225884401</t>
  </si>
  <si>
    <t>Зелена Балка</t>
  </si>
  <si>
    <t>вул. Зарічна, 1</t>
  </si>
  <si>
    <t>0565724454</t>
  </si>
  <si>
    <t>http://zbschool.jimdo.com</t>
  </si>
  <si>
    <t>Комунальний заклад "Новолатівська середня загальноосвітня школа -загальноосвітній навчальний закладІ-ІІІ" ступенів</t>
  </si>
  <si>
    <t>53711</t>
  </si>
  <si>
    <t>1225885504</t>
  </si>
  <si>
    <t>Новолатівка</t>
  </si>
  <si>
    <t>((05657))2-83-35</t>
  </si>
  <si>
    <t>http://olvija.at.ua</t>
  </si>
  <si>
    <t>Комунальний заклад освіти "Калинівська середня загальноосвітня школа - загальноосвітній навчальний заклад І - ІІІ ступенів" Гречаноподівської сільської ради Широківського району</t>
  </si>
  <si>
    <t>53732</t>
  </si>
  <si>
    <t>1225885701</t>
  </si>
  <si>
    <t>Гречані Поди</t>
  </si>
  <si>
    <t>(05657)23416</t>
  </si>
  <si>
    <t>http://kalunivka.ucoz.ua</t>
  </si>
  <si>
    <t>26367838</t>
  </si>
  <si>
    <t>Комунальний заклад освіти Миролюбівський навчально-виховний комплекс "Загальноосвітній навчальний заклад І-ІІІ ступенів - дошкільний навчальний заклад" Гречаноподівської сільської ради Широківського району Дніпропетровської області</t>
  </si>
  <si>
    <t>53731</t>
  </si>
  <si>
    <t>1225885707</t>
  </si>
  <si>
    <t>05657 23637</t>
  </si>
  <si>
    <t>http://myrolyubivskaszh.jimdo.com</t>
  </si>
  <si>
    <t>26367844</t>
  </si>
  <si>
    <t>Комунальний заклад освіти "Степівська середня загальноосвітня школа - загальноосвітній навчальний заклад I-III ступенів"Гречаноподівської сільської ради Широківського району Дніпропетровської області</t>
  </si>
  <si>
    <t>53733</t>
  </si>
  <si>
    <t>1225885901</t>
  </si>
  <si>
    <t>05657 2-63-85</t>
  </si>
  <si>
    <t>http://www.stepove-zosh.edukit.dp.ua</t>
  </si>
  <si>
    <t>26329536</t>
  </si>
  <si>
    <t>Комунальний заклад освіти "Водянська середня загальноосвітня школа - загальноосвітній навчальний заклад І-ІІІ ступенів" Гречаноподівської сільської ради</t>
  </si>
  <si>
    <t>53734</t>
  </si>
  <si>
    <t>1225885902</t>
  </si>
  <si>
    <t>вул. Степова, 15</t>
  </si>
  <si>
    <t>0565723526</t>
  </si>
  <si>
    <t>http://vodyaneschool.jimdo.com</t>
  </si>
  <si>
    <t>26367809</t>
  </si>
  <si>
    <t>Комунальний заклад " Шестірнянська середня загальноосвітня школа - загальноосвітній навчальний заклад І-ІІІ ступенів"</t>
  </si>
  <si>
    <t>53761</t>
  </si>
  <si>
    <t>1225887701</t>
  </si>
  <si>
    <t>Шестірня</t>
  </si>
  <si>
    <t>вул. Центральна, 63</t>
  </si>
  <si>
    <t>0565728120</t>
  </si>
  <si>
    <t>http://shestirnya.klasna.com</t>
  </si>
  <si>
    <t>Комунальний заклад "Новокурська середня загальноосвітня школа - загальноосвітній навчальний заклад І - ІІІ ступенів "</t>
  </si>
  <si>
    <t>53762</t>
  </si>
  <si>
    <t>1225887703</t>
  </si>
  <si>
    <t>Новокурське</t>
  </si>
  <si>
    <t>вул. Коперативна, 20</t>
  </si>
  <si>
    <t>0256-2-67-48</t>
  </si>
  <si>
    <t>http://novokurskaszh.webnode.com.ua/</t>
  </si>
  <si>
    <t>КЗ"Юр'ївська опорна загальноосвітня школа І-ІІІ ступенів ім. Героя Радянського Союзу Д.П. Запорожченка" Юр'ївської районної ради Дніпропетровської області</t>
  </si>
  <si>
    <t>51300</t>
  </si>
  <si>
    <t>1225955100</t>
  </si>
  <si>
    <t>вул. Центральна, 112</t>
  </si>
  <si>
    <t>(05635)51185</t>
  </si>
  <si>
    <t>http://yurschool.ucoz.ua</t>
  </si>
  <si>
    <t>Новогригорівська філія "Навчально-виховний комплекс "загальноосвітня школа І-ІІ ступенів - дошкільний навчальний заклад" комунального закладу "Юр'ївська опорна загальноосвітня школа І-ІІІ ступенів ім. героя Радянського Союзу Д.П.Запорожченка" Юр'ївської районної ради Дніпропетровської області</t>
  </si>
  <si>
    <t>51316</t>
  </si>
  <si>
    <t>1225955107</t>
  </si>
  <si>
    <t>+380563553150</t>
  </si>
  <si>
    <t>http://komsomolska.ucoz.ua</t>
  </si>
  <si>
    <t>Комунальний заклад "Олександрівський навчально - виховний комплекс " загальноосвітня школа I-III ступенів - дошкільний навчальний заклад" Юр'ївської районної ради Дніпропетровської області</t>
  </si>
  <si>
    <t>51322</t>
  </si>
  <si>
    <t>1225980201</t>
  </si>
  <si>
    <t>(056)35-55-291</t>
  </si>
  <si>
    <t>http://aleksandrowka.ucoz.ua/</t>
  </si>
  <si>
    <t>Варварівська загальноосвітня школа І-ІІІ ступенів Варварівської сільської ради Юр'ївського району Дніпропетровської області</t>
  </si>
  <si>
    <t>51325</t>
  </si>
  <si>
    <t>1225980501</t>
  </si>
  <si>
    <t>вул. Артамонова, 16</t>
  </si>
  <si>
    <t>(056325) 5-02-21</t>
  </si>
  <si>
    <t>http://varvarovskassh.ucoz.ru</t>
  </si>
  <si>
    <t>"Вербуватівський навчально-виховний комплекс "Загальноосвітня школа І-ІІ ступенів - дошкільний навчальний заклад" Варварівської сільської ради Юр'ївського району Дніпропетровської області</t>
  </si>
  <si>
    <t>51326</t>
  </si>
  <si>
    <t>1225980701</t>
  </si>
  <si>
    <t>Вербуватівка</t>
  </si>
  <si>
    <t>вул. Центральна, 57А</t>
  </si>
  <si>
    <t>(05635)56337</t>
  </si>
  <si>
    <t>http://verbovatovka.ucoz.ru</t>
  </si>
  <si>
    <t>Жемчужненська філія "навчально-виховний комплекс "загальноосвітня школа І-ІІступенів - дошкільний навчальний заклад" комунального закладу "Юр'ївська загальноосвітня школа І-ІІІступенів ім. героя Радянського Союзу Д.П.Запорожченка" Юр'ївської районної ради Дніпропетровської області</t>
  </si>
  <si>
    <t>51327</t>
  </si>
  <si>
    <t>1225981001</t>
  </si>
  <si>
    <t>Жемчужне</t>
  </si>
  <si>
    <t>5-36-30</t>
  </si>
  <si>
    <t>http://Zhemchuzhna.ucoz.ua</t>
  </si>
  <si>
    <t>Комунальний заклад "Новов'язівська загальноосвітня школа І-ІІІ ступенів Юр'ївської районної ради Дніпропетровської області"</t>
  </si>
  <si>
    <t>51323</t>
  </si>
  <si>
    <t>1225982501</t>
  </si>
  <si>
    <t>Новов'язівське</t>
  </si>
  <si>
    <t>вул. Центральна, 11А</t>
  </si>
  <si>
    <t>0563555689</t>
  </si>
  <si>
    <t>http://novovjazivka.ucoz.ua</t>
  </si>
  <si>
    <t>КУ Водянський навчально-виховний комплекс "загальноосвітня школа I-II ступенів-дошкільний навчальний заклад" Юр'ївської районої ради Дніпропетровської області</t>
  </si>
  <si>
    <t>51324</t>
  </si>
  <si>
    <t>1225982503</t>
  </si>
  <si>
    <t>(05635) 5-54-48</t>
  </si>
  <si>
    <t>http://vodjanska.ucoz.ua</t>
  </si>
  <si>
    <t>КЗ "Новоіванівська загальноосвітня школа І-ІІІ ступенів "Юр'ївської районної ради Дніпропетровської області</t>
  </si>
  <si>
    <t>51313</t>
  </si>
  <si>
    <t>1225982801</t>
  </si>
  <si>
    <t>Новоіванівське</t>
  </si>
  <si>
    <t>0563553483</t>
  </si>
  <si>
    <t>http://novoivanivska.ucoz.ua</t>
  </si>
  <si>
    <t>Комунальний заклад "Преображенський навчально-виховний комплекс "загальноосвітня школа І-ІІ ступенів - дошкільний навчальний заклад" Юр'ївської районної ради Дніпропетровської області</t>
  </si>
  <si>
    <t>51315</t>
  </si>
  <si>
    <t>1225986301</t>
  </si>
  <si>
    <t>вул. Шкільна, 42</t>
  </si>
  <si>
    <t>(05635)5-35-23</t>
  </si>
  <si>
    <t>http://preobragenskay.ucoz.ru</t>
  </si>
  <si>
    <t>Комунальний заклад "Чаплинська загальноосвітня школа І-ІІІ ступенів" Юр'ївської районної ради Дніпропетровської області</t>
  </si>
  <si>
    <t>51321</t>
  </si>
  <si>
    <t>1225987801</t>
  </si>
  <si>
    <t>вул. Тараса Шевченка, 17</t>
  </si>
  <si>
    <t>5-13-47</t>
  </si>
  <si>
    <t>http://Chaplynka.ucoz.ua</t>
  </si>
  <si>
    <t>Комунальний заклад "Чорнявщинська загальноосвітня школа I-III ступенів" Юр'ївської районної ради Дніпрепетровської області</t>
  </si>
  <si>
    <t>51310</t>
  </si>
  <si>
    <t>1225988001</t>
  </si>
  <si>
    <t>Чернявщина</t>
  </si>
  <si>
    <t>вул. Тараса Шевченко, 87</t>
  </si>
  <si>
    <t>5-65-26</t>
  </si>
  <si>
    <t>http://www.chornyavshynska.ucoz.ua</t>
  </si>
  <si>
    <t>Комунальний заклад "Шандрівський навчально-виховний комплекс "Загальноосвітня школа І-ІІІ ступенів - дошкільний навчальний заклад" Юр'ївської районної ради Дніпропетровської області</t>
  </si>
  <si>
    <t>51314</t>
  </si>
  <si>
    <t>1225988501</t>
  </si>
  <si>
    <t>Шандрівка</t>
  </si>
  <si>
    <t>вул. Шевченка, 75</t>
  </si>
  <si>
    <t>0563556611</t>
  </si>
  <si>
    <t>http://Shandrivska.ucoz.ua/</t>
  </si>
  <si>
    <t>Авдіївська загальноосвітня вечірня школа ІІ-ІІІ ступенів Авдіївської міської ради Донецької області</t>
  </si>
  <si>
    <t>86065</t>
  </si>
  <si>
    <t>1410200000</t>
  </si>
  <si>
    <t>Донецька область</t>
  </si>
  <si>
    <t>Авдіївка</t>
  </si>
  <si>
    <t>вул. Комунальна, 11</t>
  </si>
  <si>
    <t>095-173-2156</t>
  </si>
  <si>
    <t>Авдіївська загальноосвітня школа I-III ступенів № 2 Авдіївської міської ради Донецької області</t>
  </si>
  <si>
    <t>86060</t>
  </si>
  <si>
    <t>вул. Корольова, 10</t>
  </si>
  <si>
    <t>(06236)32211</t>
  </si>
  <si>
    <t>Авдіївська загальноосвітня школа І-ІІ ступенів № 1 Авдіївської міської ради Донецкої області</t>
  </si>
  <si>
    <t>83060</t>
  </si>
  <si>
    <t>вул. Виноградна, 1</t>
  </si>
  <si>
    <t>(06236)3-72-30</t>
  </si>
  <si>
    <t>http://avdschool1.ucoz.ru</t>
  </si>
  <si>
    <t>Авдіївська загальноосвітня школа І-ІІ ступенів № 4 Авдіївської міської ради Донецької області</t>
  </si>
  <si>
    <t>86062</t>
  </si>
  <si>
    <t>пров. Клубний, 1</t>
  </si>
  <si>
    <t>(236)3-04-00</t>
  </si>
  <si>
    <t>http://azoschool4.ucoz.ua</t>
  </si>
  <si>
    <t>Авдіївська загальноосвітня школа І-ІІІ ступенів № 7 Відділу освіти Авдіївської міської ради Донецької області</t>
  </si>
  <si>
    <t>вул. Комунальна, 10</t>
  </si>
  <si>
    <t>(236)3-31-79</t>
  </si>
  <si>
    <t>http://seven-avdeevka.ucoz.com</t>
  </si>
  <si>
    <t>Авдіївська загальноосвітня школа І-ІІІ ступенів № 6 Авдіївської міської ради Донецької області</t>
  </si>
  <si>
    <t>б-р Шевченка, 1</t>
  </si>
  <si>
    <t>(06236)31942</t>
  </si>
  <si>
    <t>Бахмутська вечірня (змінна) школа ІІ-ІІІ ступенів № 1</t>
  </si>
  <si>
    <t>84500</t>
  </si>
  <si>
    <t>1410300000</t>
  </si>
  <si>
    <t>Бахмут</t>
  </si>
  <si>
    <t>вул. Горбатова, 42</t>
  </si>
  <si>
    <t>(0627)441576</t>
  </si>
  <si>
    <t>Бахмутська загальноосвітня школа - інтернат І - ІІ ступенів № 1</t>
  </si>
  <si>
    <t>вул. Чапліна, 1</t>
  </si>
  <si>
    <t>(062)482205</t>
  </si>
  <si>
    <t>http://internat1.klasna.com</t>
  </si>
  <si>
    <t>Бахмутська загальноосвітня школа І - ІІ ступенів № 2 Бахмутської міської ради Донецької області</t>
  </si>
  <si>
    <t>вул. Корсунського, 65</t>
  </si>
  <si>
    <t>(06274)30213</t>
  </si>
  <si>
    <t>Бахмутська загальноосвітня школа І-ІІ ступенів № 4 Бахмутської міської ради Донецької області</t>
  </si>
  <si>
    <t>вул. Загородня, 22</t>
  </si>
  <si>
    <t>(06274)48-10-89</t>
  </si>
  <si>
    <t>Бахмутська загальноосвітня школа І-ІІ ступенів № 9 Бахмутської міської ради Донецької області</t>
  </si>
  <si>
    <t>вул. Дружби, 1</t>
  </si>
  <si>
    <t>(0627)498021</t>
  </si>
  <si>
    <t>http://artzosh9.wix.com/artzosh9</t>
  </si>
  <si>
    <t>Бахмутська загальноосвітня школа І-ІІ ступенів № 1 Бахмутської міської ради Донецької області</t>
  </si>
  <si>
    <t>вул. Тургенєва, 1А</t>
  </si>
  <si>
    <t>(06274)46482</t>
  </si>
  <si>
    <t>Бахмутська загальноосвітня школа І-ІІІ ступенів № 24 з поглибленим вивченням окремих предметів та курсів Бахмутської міської ради Донецької області</t>
  </si>
  <si>
    <t>84502</t>
  </si>
  <si>
    <t>вул. Леваневського, 10</t>
  </si>
  <si>
    <t>(06274)82256</t>
  </si>
  <si>
    <t>https://sites.google.com/site/school24art</t>
  </si>
  <si>
    <t>Бахмутська загальноосвітня школа І-ІІІ ступенів № 10 Бахмутської міської ради Донецької області</t>
  </si>
  <si>
    <t>84501</t>
  </si>
  <si>
    <t>вул. Гаршина, 50</t>
  </si>
  <si>
    <t>(06274)481480</t>
  </si>
  <si>
    <t>Бахмутська загальноосвітня школа І-ІІІ ступенів № 12 Бахмутської міської ради Донецької області</t>
  </si>
  <si>
    <t>84506</t>
  </si>
  <si>
    <t>вул. Леваневського, 111</t>
  </si>
  <si>
    <t>(06274)31442</t>
  </si>
  <si>
    <t>http://art-school12.at.ua</t>
  </si>
  <si>
    <t>Бахмутська загальноосвітня школа І-ІІІ ступенів № 18 імені Дмитра Чернявського Бахмутської міської ради Донецької області</t>
  </si>
  <si>
    <t>84510</t>
  </si>
  <si>
    <t>вул. Ювілейна, 34</t>
  </si>
  <si>
    <t>(06274)31446</t>
  </si>
  <si>
    <t>Бахмутська загальноосвітня школа І-ІІІ ступенів № 5 з профільним навчанням Бахмутської міської ради Донецької області</t>
  </si>
  <si>
    <t>вул. Маріупольська, 2</t>
  </si>
  <si>
    <t>(0627)448468</t>
  </si>
  <si>
    <t>Бахмутська загальноосвітня школа І-ІІ ступенів № 7 Бахмутської міської ради Донецької області</t>
  </si>
  <si>
    <t>84511</t>
  </si>
  <si>
    <t>вул. Ковальська, 121</t>
  </si>
  <si>
    <t>(0627)446560</t>
  </si>
  <si>
    <t>http://artemivsk-school7.edukit.dn.ua/</t>
  </si>
  <si>
    <t>Бахмутський навчально-виховний комплекс "Загальноосвітня школа І-ІІІ ступенів № 11 - багатопрофільний ліцей" Бахмутської міської ради Донецької області</t>
  </si>
  <si>
    <t>вул. Мира, 22</t>
  </si>
  <si>
    <t>(0627)441552, (0627)441554</t>
  </si>
  <si>
    <t>http://nvk11bahmut.at.ua</t>
  </si>
  <si>
    <t>Гімназія "Сузір'я" приватного вищого навчального закладу "Донецький університет економіки та права"</t>
  </si>
  <si>
    <t>вул. Некрасова, 1</t>
  </si>
  <si>
    <t>050-982-06-13</t>
  </si>
  <si>
    <t>ДОНЕЦЬКЕ ВИЩЕ УЧИЛИЩЕ ОЛІМПІЙСЬКОГО РЕЗЕРВУ ІМ.С.БУБКИ</t>
  </si>
  <si>
    <t>вул. Благовіщенська, 43</t>
  </si>
  <si>
    <t>(095)1048897, (06274)3-21-02</t>
  </si>
  <si>
    <t>http://www.uor.dn.ua</t>
  </si>
  <si>
    <t>20361881</t>
  </si>
  <si>
    <t>Загальноосвітня вечірня школа ІІ-ІІІ ступенів № 1 Торецької міської ради Донецької області</t>
  </si>
  <si>
    <t>85200</t>
  </si>
  <si>
    <t>1411200000</t>
  </si>
  <si>
    <t>Торецьк</t>
  </si>
  <si>
    <t>вул. Херсонська, 32</t>
  </si>
  <si>
    <t>(06247)37219</t>
  </si>
  <si>
    <t>Загальноосвітня школа - інтернат I-III ступенів Торецької міської ради Донецької області</t>
  </si>
  <si>
    <t>85207</t>
  </si>
  <si>
    <t>вул. Глінки, 1</t>
  </si>
  <si>
    <t>(06247)4-00-87, (06247)3-31-84</t>
  </si>
  <si>
    <t>Загальноосвітня школа І-ІІ ступенів № 5 Торецької міської ради Донецької області</t>
  </si>
  <si>
    <t>вул. ІІІ Травневий, 54</t>
  </si>
  <si>
    <t>(06247)4-30-91</t>
  </si>
  <si>
    <t>загальноосвітня школа І-ІІІ ступенів № 2 Торецької міської ради Донецької області</t>
  </si>
  <si>
    <t>вул. Гоголя, 2</t>
  </si>
  <si>
    <t>(06247)4-00-83</t>
  </si>
  <si>
    <t>http://zosh2dzer.ucoz.ua/</t>
  </si>
  <si>
    <t>загальноосвітня школа І-ІІІ ступенів № 20 міста Торецьк</t>
  </si>
  <si>
    <t>85287</t>
  </si>
  <si>
    <t>(06247)47298</t>
  </si>
  <si>
    <t>Загальноосвітня школа І-ІІІ ступенів № 9 Торецької міської ради Донецької області</t>
  </si>
  <si>
    <t>85206</t>
  </si>
  <si>
    <t>(06247)33689, (06247)43208</t>
  </si>
  <si>
    <t>http://dzer-school-9.ucoz.ru</t>
  </si>
  <si>
    <t>Навчально-виховний комплекс "Інформатико-математичний ліцей - загальноосвітня школа І-ІІ ступенів" Торецькоїї міської ради Донецької області</t>
  </si>
  <si>
    <t>вул. Маяковського, 29А</t>
  </si>
  <si>
    <t>(06247)42004</t>
  </si>
  <si>
    <t>http://licey.url.ph</t>
  </si>
  <si>
    <t>Навчально-виховний комплекс "Художньо-естетична гімназія - загальноосвітня школа I ступеня" Торецької міської ради Донецької області</t>
  </si>
  <si>
    <t>пров. Новий, 2</t>
  </si>
  <si>
    <t>(06247)40074</t>
  </si>
  <si>
    <t>Спеціалізована загальноосвітня школа І-ІІІ ступенів № 3 Торецької міської ради Донецької області</t>
  </si>
  <si>
    <t>вул. Євгена Седнєва, 3</t>
  </si>
  <si>
    <t>(06247)4-35-87</t>
  </si>
  <si>
    <t>http://school3.ucoz.org/</t>
  </si>
  <si>
    <t>Загальноосвітня школа І-ІІІ ступенів № 10 Торецької міської ради Донецької області</t>
  </si>
  <si>
    <t>85280</t>
  </si>
  <si>
    <t>1411245300</t>
  </si>
  <si>
    <t>Північне</t>
  </si>
  <si>
    <t>(050)5673034</t>
  </si>
  <si>
    <t>http://10scool.ucoz.org/</t>
  </si>
  <si>
    <t>Загальноосвітня школа І-ІІІ ступенів № 7 Торецької міської ради Донецької області</t>
  </si>
  <si>
    <t>85286</t>
  </si>
  <si>
    <t>Загальноосвітня школа І-ІІ ступенів № 12 міста Торецьк</t>
  </si>
  <si>
    <t>85285</t>
  </si>
  <si>
    <t>1411245600</t>
  </si>
  <si>
    <t>Курдюмівка</t>
  </si>
  <si>
    <t>вул. Філатова, 7</t>
  </si>
  <si>
    <t>(099)9802775</t>
  </si>
  <si>
    <t>Загальноосвітня школа І-ІІІ ступенів № 17 Торецької міської ради Донецької області</t>
  </si>
  <si>
    <t>85295</t>
  </si>
  <si>
    <t>1411246500</t>
  </si>
  <si>
    <t>Новгородське</t>
  </si>
  <si>
    <t>вул. Молодіжна, 36А</t>
  </si>
  <si>
    <t>0624726016</t>
  </si>
  <si>
    <t>Загальноосвітня школа І-ІІІ ступенів № 16 міста Торецьк Донецької області</t>
  </si>
  <si>
    <t>85297</t>
  </si>
  <si>
    <t>вул. Єсеніна, 2</t>
  </si>
  <si>
    <t>(06247)25551</t>
  </si>
  <si>
    <t>Навчально - виховний комплекс "загальноосвітній навчальний заклад І-ІІ ступенів - дошкільний навчальний заклад" № 1 м. Торецька</t>
  </si>
  <si>
    <t>85296</t>
  </si>
  <si>
    <t>вул. Желізна, 1</t>
  </si>
  <si>
    <t>(050)1370815</t>
  </si>
  <si>
    <t>http://shkola-sad-15.webnode.com.ua/</t>
  </si>
  <si>
    <t>Новгородська спеціальна загальноосвітня школа-інтернат № 38 Донецької обласної ради</t>
  </si>
  <si>
    <t>85294</t>
  </si>
  <si>
    <t>пров. Гужви, 24</t>
  </si>
  <si>
    <t>(06247)25804</t>
  </si>
  <si>
    <t>http://ecole38.ucoz.com/</t>
  </si>
  <si>
    <t>25731035</t>
  </si>
  <si>
    <t>Загальноосвітня школа І-ІІ ступенів № 21 Торецької міської ради</t>
  </si>
  <si>
    <t>1411247200</t>
  </si>
  <si>
    <t>Щербинівка</t>
  </si>
  <si>
    <t>(062)47334</t>
  </si>
  <si>
    <t>загальноосвітня школа І - ІІІ ступенів № 13 Торецької міської ради Донецької області</t>
  </si>
  <si>
    <t>85291</t>
  </si>
  <si>
    <t>1411270300</t>
  </si>
  <si>
    <t>Залізне</t>
  </si>
  <si>
    <t>вул. Травнева, 11А</t>
  </si>
  <si>
    <t>(050)9012740</t>
  </si>
  <si>
    <t>Загальноосвітня школа I-III ступенів № 1 Мирноградської міської ради Донецької області</t>
  </si>
  <si>
    <t>85320</t>
  </si>
  <si>
    <t>1411300000</t>
  </si>
  <si>
    <t>Мирноград</t>
  </si>
  <si>
    <t>пров. Шкільний, 21</t>
  </si>
  <si>
    <t>58-21-17</t>
  </si>
  <si>
    <t>http://dimitrovschool1.wix.com/index</t>
  </si>
  <si>
    <t>Загальноосвітня школа I-III ступенів № 4 Мирноградської міської ради Донецької області</t>
  </si>
  <si>
    <t>85327</t>
  </si>
  <si>
    <t>вул. Яснополянська, 92</t>
  </si>
  <si>
    <t>(06239)6-22-35</t>
  </si>
  <si>
    <t>http://dimitrov-school.at.ua/</t>
  </si>
  <si>
    <t>Загальноосвітня школа I-III ступенів № 10 Мирноградської міської ради Донецької області</t>
  </si>
  <si>
    <t>мрн. Молодіжний, 27А</t>
  </si>
  <si>
    <t>0623960274</t>
  </si>
  <si>
    <t>http://zosh10.ucoz.ru</t>
  </si>
  <si>
    <t>загальноосвітня школа І-ІІ ступенів № 17 Мирноградської міської ради Донецької області</t>
  </si>
  <si>
    <t>85323</t>
  </si>
  <si>
    <t>вул. Карбишева, 2</t>
  </si>
  <si>
    <t>(06239)6-45-41</t>
  </si>
  <si>
    <t>Загальноосвітня школа І-ІІІ ступенів № 5 ім.Валерія Доценка Мирноградської міської ради Донецької області</t>
  </si>
  <si>
    <t>вул. м-р Молодіжний, 56</t>
  </si>
  <si>
    <t>(06239)6-11-92</t>
  </si>
  <si>
    <t>http://school5dim.ucoz.ru</t>
  </si>
  <si>
    <t>25689445</t>
  </si>
  <si>
    <t>загальноосвітня школа І-ІІІ ступенів № 6 Мирноградської міської ради Донецької області</t>
  </si>
  <si>
    <t>85321</t>
  </si>
  <si>
    <t>мрн. Західний, 79А</t>
  </si>
  <si>
    <t>8 (06239) 6-23-68</t>
  </si>
  <si>
    <t>http://dymytrov-school6.edukit.dn.ua</t>
  </si>
  <si>
    <t>Загальноосвітня школа І-ІІІ ступенів № 8 Мирноградської міської ради Донецької області</t>
  </si>
  <si>
    <t>85324</t>
  </si>
  <si>
    <t>пров. Різдва Христова, 3</t>
  </si>
  <si>
    <t>(06239)62153</t>
  </si>
  <si>
    <t>http://zosch8.ucoz.ua</t>
  </si>
  <si>
    <t>Загальноосвітня школа І-ІІІ ступенів № 9 Мирноградської міської ради Донецької області</t>
  </si>
  <si>
    <t>мрн. Західниий, 4А</t>
  </si>
  <si>
    <t>(06239)64352</t>
  </si>
  <si>
    <t>http://osh9.at.ua</t>
  </si>
  <si>
    <t>Загальноосвітня школа-інтернат І-ІІ ступенів Мирноградської міської ради Донецької області</t>
  </si>
  <si>
    <t>вул. Л.Чайкіної, 32</t>
  </si>
  <si>
    <t>7-64-38</t>
  </si>
  <si>
    <t>25689528</t>
  </si>
  <si>
    <t>Мирноградський ліцей "Гармонія" Мирноградської міської ради Донецької області</t>
  </si>
  <si>
    <t>(06239)62372</t>
  </si>
  <si>
    <t>http://dymytrov-lyceum.ucoz.com</t>
  </si>
  <si>
    <t>Навчально-виховний комплекс "загальноосвітня школа І ступеня - гімназія" Мирноградської міської ради Донецької області</t>
  </si>
  <si>
    <t>мрн. Східний, 24</t>
  </si>
  <si>
    <t>0623534150</t>
  </si>
  <si>
    <t>http://dymytrov-ukrgymnasium.edukit.dn.ua.</t>
  </si>
  <si>
    <t>Вечірня (змінна) загальноосвітня школа ІІ-ІІІ ступенів № 2 Добропільської міської ради Донецької області</t>
  </si>
  <si>
    <t>85003</t>
  </si>
  <si>
    <t>1411500000</t>
  </si>
  <si>
    <t>Добропілля</t>
  </si>
  <si>
    <t>вул. Миколи Чернявського, 2</t>
  </si>
  <si>
    <t>(8-277)22658</t>
  </si>
  <si>
    <t>Добропільська загальноосвітня школа І-ІІ ступенів № 6 Добропільської міської ради</t>
  </si>
  <si>
    <t>(06277)2-74-65</t>
  </si>
  <si>
    <t>Добропільська загальноосвітня школа І-ІІІ ступенів № 19 Добропільської міської ради Донецької області</t>
  </si>
  <si>
    <t>85000</t>
  </si>
  <si>
    <t>вул. Молодіжний, 8А</t>
  </si>
  <si>
    <t>2-75-88</t>
  </si>
  <si>
    <t>Добропільська загальноосвітня школа-інтернат І-ІІІ ступенів Добропільської міської ради Донецької області</t>
  </si>
  <si>
    <t>85004</t>
  </si>
  <si>
    <t>(06277)2-79-40</t>
  </si>
  <si>
    <t>http://dobr-internat.ucoz.ru</t>
  </si>
  <si>
    <t>25116347</t>
  </si>
  <si>
    <t>Добропільський навчально - виховний комплекс "Гімназія - загальноосвітня школа І-ІІІ ступенів № 1" Добропільської міської ради Донецької області</t>
  </si>
  <si>
    <t>вул. Петровського, 15</t>
  </si>
  <si>
    <t>0951760360</t>
  </si>
  <si>
    <t>Добропільський навчально - виховний комплекс "Спеціалізована школа І-ІІІ ступенів № 4 з поглибленим вивченням окремих предметів - дошкільний навчальний заклад" Добропільської міської ради Донецької області</t>
  </si>
  <si>
    <t>85001</t>
  </si>
  <si>
    <t>вул. Первомайська, 73</t>
  </si>
  <si>
    <t>(06277)27125</t>
  </si>
  <si>
    <t>http://dobr_nvk4.mirshkol.com</t>
  </si>
  <si>
    <t>Добропільський навчально-виховний комплекс "Загальноосвітня школа І - ІІІ ступенів № 3 - дошкільний навчальний заклад" Добропільської міської ради Донецької області</t>
  </si>
  <si>
    <t>вул. Добролюбова, 136</t>
  </si>
  <si>
    <t>4-54-63</t>
  </si>
  <si>
    <t>Навчально-виховний комплекс "Загальноосвітня школа І-ІІІ ступенів № 7 - дошкільний навчальний заклад" Добропільської міської ради Донецької області</t>
  </si>
  <si>
    <t>вул. Саратовська, 29</t>
  </si>
  <si>
    <t>(06277)28605</t>
  </si>
  <si>
    <t>http://dobroschool7.jimdo.com/</t>
  </si>
  <si>
    <t>Навчально-виховний комплекс загальноосвітня школа І-ІІІ ступенів - ліцей м. Добропілля Донецької області</t>
  </si>
  <si>
    <t>вул. Незалежності, 30</t>
  </si>
  <si>
    <t>(06277)28022, (06277)28024</t>
  </si>
  <si>
    <t>Водянська загальноосвітня школа І-ІІІ ступенів № 11 Добропільської міської ради Донецької області</t>
  </si>
  <si>
    <t>85040</t>
  </si>
  <si>
    <t>1411545300</t>
  </si>
  <si>
    <t>Водянське</t>
  </si>
  <si>
    <t>вул. 40 років Жовтня, 25</t>
  </si>
  <si>
    <t>(06277)99532</t>
  </si>
  <si>
    <t>http://vodianske-school11.edukit.dn.ua/</t>
  </si>
  <si>
    <t>Новодонецька загальноосвітня школа І-ІІІ ступенів № 16 Добропільської міської ради Донецької області</t>
  </si>
  <si>
    <t>85010</t>
  </si>
  <si>
    <t>1411545600</t>
  </si>
  <si>
    <t>Новодонецьке</t>
  </si>
  <si>
    <t>(06277)7-41-50</t>
  </si>
  <si>
    <t>Новодонецька загальноосвітня школа І-ІІІ ступенів № 17 Добропільської міської ради Донецької області</t>
  </si>
  <si>
    <t>(066)2314291, (062)7774199</t>
  </si>
  <si>
    <t>Білицька загальноосвітня школа І-ІІІ ступенів № 9 Добропільської міської ради Донецької області</t>
  </si>
  <si>
    <t>85043</t>
  </si>
  <si>
    <t>1411570300</t>
  </si>
  <si>
    <t>Білицьке</t>
  </si>
  <si>
    <t>вул. Праці, 14</t>
  </si>
  <si>
    <t>(806277)6-22-15</t>
  </si>
  <si>
    <t>http://site-7756f36.umi.ru/</t>
  </si>
  <si>
    <t>Білицька загальноосвітня школа І-ІІІ ступенів № 10 Добропільської міської ради Донецької області</t>
  </si>
  <si>
    <t>вул. Праці, 50</t>
  </si>
  <si>
    <t>0627762383</t>
  </si>
  <si>
    <t>http://belschool.wix.com/belic10</t>
  </si>
  <si>
    <t>Білицька загальноосвітня школа І-ІІІ ступенів № 8 Добропільської міської ради Донецької області</t>
  </si>
  <si>
    <t>(06277)6-22-08</t>
  </si>
  <si>
    <t>http://www.bs8.ucoz.ru</t>
  </si>
  <si>
    <t>Білозерська загальноосвітня школа І - ІІІ ступенів № 14 Добропільської міської ради Донецької області</t>
  </si>
  <si>
    <t>85013</t>
  </si>
  <si>
    <t>1411570500</t>
  </si>
  <si>
    <t>Білозерське</t>
  </si>
  <si>
    <t>вул. О.Єрмакова, 4</t>
  </si>
  <si>
    <t>Білозерська загальноосвітня школа І-ІІІ ступенів № 13 Добропільської міської ради Донецької області</t>
  </si>
  <si>
    <t>вул. Ватутіна, 9</t>
  </si>
  <si>
    <t>05264125</t>
  </si>
  <si>
    <t>Білозерська загальноосвітня школа І-ІІІ ступенів № 15 Добропільської міської ради Донецької області</t>
  </si>
  <si>
    <t>вул. Східна (50 років Жовтня), 18</t>
  </si>
  <si>
    <t>(06277)3-25-35</t>
  </si>
  <si>
    <t>Білозерська загальноосвітня школа І-ІІІ ступенів № 18 Добропільської міської ради Донецької області</t>
  </si>
  <si>
    <t>вул. Фестивальна, 6</t>
  </si>
  <si>
    <t>(06277)32242</t>
  </si>
  <si>
    <t>Дружківська гімназія "Інтелект" Дружківської міської ради Донецької області</t>
  </si>
  <si>
    <t>84207</t>
  </si>
  <si>
    <t>1411700000</t>
  </si>
  <si>
    <t>Дружківка</t>
  </si>
  <si>
    <t>вул. Космонавтів, 16</t>
  </si>
  <si>
    <t>35440</t>
  </si>
  <si>
    <t>http://www.intellekt.org.ua</t>
  </si>
  <si>
    <t>24646528</t>
  </si>
  <si>
    <t>Дружківська загальноосвітня школа I-III ступенів № 1</t>
  </si>
  <si>
    <t>84201</t>
  </si>
  <si>
    <t>вул. Олеся Гончара, 111</t>
  </si>
  <si>
    <t>(06267)46359</t>
  </si>
  <si>
    <t>Дружківська загальноосвітня школа І-ІІ супенів № 8 Дружківської міської ради Донецької області</t>
  </si>
  <si>
    <t>84205</t>
  </si>
  <si>
    <t>вул. Б.Хмельницького, 28</t>
  </si>
  <si>
    <t>25705084</t>
  </si>
  <si>
    <t>Дружківська загальноосвітня школа І-ІІІ ступенів 9 Дружківської міської ради Донецької області</t>
  </si>
  <si>
    <t>84204</t>
  </si>
  <si>
    <t>вул. Туполєва, 4</t>
  </si>
  <si>
    <t>0626743206</t>
  </si>
  <si>
    <t>25705090</t>
  </si>
  <si>
    <t>Дружківська загальноосвітня школа І-ІІІ ступенів № 12 Дружківської міської ради Донецької області</t>
  </si>
  <si>
    <t>вул. О.Кошового, 31</t>
  </si>
  <si>
    <t>(06267)32584</t>
  </si>
  <si>
    <t>http://sch12druzhkivka.ucoz.ua</t>
  </si>
  <si>
    <t>25705121</t>
  </si>
  <si>
    <t>Дружківська загальноосвітня школа І-ІІІ ступенів № 17 Дружківської міської ради Донецької області</t>
  </si>
  <si>
    <t>вул. Козацька, 86</t>
  </si>
  <si>
    <t>31950</t>
  </si>
  <si>
    <t>http://druschool17.at.ua</t>
  </si>
  <si>
    <t>25705167</t>
  </si>
  <si>
    <t>Дружківська загальноосвітня школа І-ІІІ ступенів № 7 Дружківської міської ради Донецької області</t>
  </si>
  <si>
    <t>вул. Космонавтів, 37</t>
  </si>
  <si>
    <t>33607</t>
  </si>
  <si>
    <t>http://drschool7.ucoz.ru</t>
  </si>
  <si>
    <t>Загальноосвітня школа І-ІІІ ступенів № 6 Дружківської міської ради Донецької області</t>
  </si>
  <si>
    <t>вул. Косарєва, 7</t>
  </si>
  <si>
    <t>(06267)-4-36-19</t>
  </si>
  <si>
    <t>http://school6.at.ua</t>
  </si>
  <si>
    <t>25705061</t>
  </si>
  <si>
    <t>Навчально-виховний комплекс " Загальноосвітня школа І ст. - дитячий садок" № 3 Дружківської міської ради Донецької області</t>
  </si>
  <si>
    <t>вул. Я. Мудрого, 31</t>
  </si>
  <si>
    <t>0626735566</t>
  </si>
  <si>
    <t>http://druzhkivka-nvk3.edukit.dn.ua</t>
  </si>
  <si>
    <t>25705032</t>
  </si>
  <si>
    <t>Олексієво-Дружківська загальноосвітня санаторна школа-інтернат І-ІІІ ступенів № 13 Донецької обласної ради</t>
  </si>
  <si>
    <t>84293</t>
  </si>
  <si>
    <t>1411745300</t>
  </si>
  <si>
    <t>Олексієво-Дружківка</t>
  </si>
  <si>
    <t>((06267))5-20-32</t>
  </si>
  <si>
    <t>25335405</t>
  </si>
  <si>
    <t>Олексієво-Дружківський навчально-виховний комплекс "загальноосвітня школа І-ІІІ ст. - дитячий садок № 14" Дружківської міської ради Донецької області</t>
  </si>
  <si>
    <t>вул. Первомайська, 83</t>
  </si>
  <si>
    <t>(06267)52042</t>
  </si>
  <si>
    <t>25705138</t>
  </si>
  <si>
    <t>Комунальний заклад " Маріупольська спеціалізована школа І-ІІІ ступенів № 66 Маріупольської міської ради Донецької області"</t>
  </si>
  <si>
    <t>87539</t>
  </si>
  <si>
    <t>1412300000</t>
  </si>
  <si>
    <t>Маріуполь</t>
  </si>
  <si>
    <t>просп. Металургів, 75</t>
  </si>
  <si>
    <t>(0629)340180</t>
  </si>
  <si>
    <t>російська,англійська,німецька,грецька</t>
  </si>
  <si>
    <t>Комунальний заклад "Виноградненська загальноосвітня школа І-ІІІ ступенів Маріупольської міської ради Донецької області"</t>
  </si>
  <si>
    <t>87642</t>
  </si>
  <si>
    <t>вул. Радянська, 38</t>
  </si>
  <si>
    <t>Комунальний заклад "Маріупольська загальноосвітня школа I - III ступенів № 30 Маріупольської міської ради Донецької області"</t>
  </si>
  <si>
    <t>87551</t>
  </si>
  <si>
    <t>вул. Дністровська, 35</t>
  </si>
  <si>
    <t>(0629)469975</t>
  </si>
  <si>
    <t>http://school30.ucoz.org/</t>
  </si>
  <si>
    <t>Комунальний заклад "Маріупольська загальноосвітня школа I - III ступенів № 44 Маріупольської міської ради Донецької області"</t>
  </si>
  <si>
    <t>87538</t>
  </si>
  <si>
    <t>вул. Заозерна, 266</t>
  </si>
  <si>
    <t>097-289-64-08</t>
  </si>
  <si>
    <t>http://s44-mar.wix.com/s44-m</t>
  </si>
  <si>
    <t>Комунальний заклад "Маріупольська загальноосвітня школа I-III ступенів № 54 Маріупольської міської ради Донецької області"</t>
  </si>
  <si>
    <t>87534</t>
  </si>
  <si>
    <t>вул. Кронштадтська, 11 А</t>
  </si>
  <si>
    <t>(0629)37-12-55, (0629)37-11-66</t>
  </si>
  <si>
    <t>http://thailia.wix.com/marschool54</t>
  </si>
  <si>
    <t>Комунальний заклад "Маріупольська загальноосвітня школа I-III ступенів № 61 Маріупольської міської ради Донецької області"</t>
  </si>
  <si>
    <t>87545</t>
  </si>
  <si>
    <t>вул. Волгоградська, 1</t>
  </si>
  <si>
    <t>(0629)583265</t>
  </si>
  <si>
    <t>http://shkola61.in.ua</t>
  </si>
  <si>
    <t>Комунальний заклад "Маріупольська загальноосвітня школа І - ІІІ ступенів № 51 Маріупольської міської ради Донецької області"</t>
  </si>
  <si>
    <t>87522</t>
  </si>
  <si>
    <t>вул. Станіславського, 1</t>
  </si>
  <si>
    <t>(0629)223142</t>
  </si>
  <si>
    <t>http://www.marschool.ru</t>
  </si>
  <si>
    <t>Комунальний заклад "Маріупольська загальноосвітня школа І - ІІІ ступенів № 33 Маріупольської міської ради Донецької області"</t>
  </si>
  <si>
    <t>87521</t>
  </si>
  <si>
    <t>вул. Маріупольська, 18А</t>
  </si>
  <si>
    <t>(0629)407895</t>
  </si>
  <si>
    <t>http://school33mariupol.wix.com/mysite</t>
  </si>
  <si>
    <t>Комунальний заклад "Маріупольська загальноосвітня школа І-ІІІ ступенів № 18 Маріупольської міської ради Донецької області"</t>
  </si>
  <si>
    <t>87548</t>
  </si>
  <si>
    <t>пров. Трамвайний, 22</t>
  </si>
  <si>
    <t>(0629)348689</t>
  </si>
  <si>
    <t>http://school-18.at.ua</t>
  </si>
  <si>
    <t>російська,англійська,німецька,французька,грецька</t>
  </si>
  <si>
    <t>Комунальний заклад "Маріупольська загальноосвітня школа І-ІІІ ступенів № 19 Маріупольської міської ради Донецької області"</t>
  </si>
  <si>
    <t>87527</t>
  </si>
  <si>
    <t>вул. Первомайська, 68</t>
  </si>
  <si>
    <t>0969581937</t>
  </si>
  <si>
    <t>http://sh19kamensk.do.am</t>
  </si>
  <si>
    <t>Комунальний заклад "Маріупольська загальноосвітня школа І-ІІІ ступенів № 21 Маріупольської міської ради Донецької області"</t>
  </si>
  <si>
    <t>87504</t>
  </si>
  <si>
    <t>вул. Озеро Хасан, 65</t>
  </si>
  <si>
    <t>(0629)469434</t>
  </si>
  <si>
    <t>https://21marschool.jimdo.com</t>
  </si>
  <si>
    <t>Комунальний заклад "Маріупольська загальноосвітня школа І-ІІІ ступенів № 29 Маріупольської міської ради Донецької області"</t>
  </si>
  <si>
    <t>87518</t>
  </si>
  <si>
    <t>вул. Зелінського, 37/39</t>
  </si>
  <si>
    <t>(0629)376813</t>
  </si>
  <si>
    <t>http://marschool29.do.am</t>
  </si>
  <si>
    <t>Комунальний заклад "Маріупольська загальноосвітня школа І-ІІІ ступенів № 31 Маріупольської міської ради Донецької області"</t>
  </si>
  <si>
    <t>87510</t>
  </si>
  <si>
    <t>вул. Інтернаціональна, 19</t>
  </si>
  <si>
    <t>(0629)407828</t>
  </si>
  <si>
    <t>http://marschool-31.at.ua</t>
  </si>
  <si>
    <t>Комунальний заклад "Маріупольська загальноосвітня школа І-ІІІ ступенів № 32 Маріупольської міської ради Донецької області"</t>
  </si>
  <si>
    <t>вул. Маркелова, 2</t>
  </si>
  <si>
    <t>(0629)408928</t>
  </si>
  <si>
    <t>https://marschool32.wixsite.com/mysit</t>
  </si>
  <si>
    <t>Комунальний заклад "Маріупольська загальноосвітня школа І-ІІІ ступенів № 36 Маріупольської міської ради Донецької області "</t>
  </si>
  <si>
    <t>87549</t>
  </si>
  <si>
    <t>вул. Куїнджі, 140</t>
  </si>
  <si>
    <t>(0629)331273</t>
  </si>
  <si>
    <t>http://mariupolschool36.hostenko.com</t>
  </si>
  <si>
    <t>Комунальний заклад "Маріупольська загальноосвітня школа І-ІІІ ступенів № 38 Маріупольської міської ради Донецької області"</t>
  </si>
  <si>
    <t>87506</t>
  </si>
  <si>
    <t>вул. Івана Франка, 29</t>
  </si>
  <si>
    <t>(0629)33-54-08</t>
  </si>
  <si>
    <t>http://marschool38.jimdo.com</t>
  </si>
  <si>
    <t>Комунальний заклад "Маріупольська загальноосвітня школа І-ІІІ ступенів № 39 Маріупольської міської ради Донецької області"</t>
  </si>
  <si>
    <t>87509</t>
  </si>
  <si>
    <t>вул. Брестська, 38</t>
  </si>
  <si>
    <t>(0629)46-98-13</t>
  </si>
  <si>
    <t>https://sites.google.com/site/marshkola39/</t>
  </si>
  <si>
    <t>Комунальний заклад "Маріупольська загальноосвітня школа І-ІІІ ступенів № 41 Маріупольської міської ради, Донецької області "</t>
  </si>
  <si>
    <t>87550</t>
  </si>
  <si>
    <t>вул. Олімпійська, 67</t>
  </si>
  <si>
    <t>(0629)583266</t>
  </si>
  <si>
    <t>http://mariupol-school.at.ua</t>
  </si>
  <si>
    <t>Комунальний заклад "Маріупольська загальноосвітня школа І-ІІІ ступенів № 45 Маріупольської міської ради Донецької області"</t>
  </si>
  <si>
    <t>87552</t>
  </si>
  <si>
    <t>вул. Січових стрельців, 31А</t>
  </si>
  <si>
    <t>(0629)469466</t>
  </si>
  <si>
    <t>http://scool45.jimdo.com/</t>
  </si>
  <si>
    <t>Комунальний заклад "Маріупольська загальноосвітня школа І-ІІІ ступенів № 47 Маріупольської міської ради Донецької області"</t>
  </si>
  <si>
    <t>87520</t>
  </si>
  <si>
    <t>вул. Лута, 32</t>
  </si>
  <si>
    <t>(097)3790722, (0629)473638</t>
  </si>
  <si>
    <t>http://marschool47.at.ua</t>
  </si>
  <si>
    <t>російська,англійська,грецька</t>
  </si>
  <si>
    <t>Комунальний заклад "Маріупольська загальноосвітня школа І-ІІІ ступенів № 56 Маріупольської міської ради Донецької області"</t>
  </si>
  <si>
    <t>87541</t>
  </si>
  <si>
    <t>б-р Морський, 8</t>
  </si>
  <si>
    <t>(0629)221122</t>
  </si>
  <si>
    <t>http://marschool562.wixsite.com/marschool56</t>
  </si>
  <si>
    <t>Комунальний заклад "Маріупольська загальноосвітня школа І-ІІІ ступенів № 65 Маріупольської міської ради Донецької області"</t>
  </si>
  <si>
    <t>вул. Казанцева, 25А</t>
  </si>
  <si>
    <t>(0629)349351</t>
  </si>
  <si>
    <t>http://osh65mariupol.ho.ua/</t>
  </si>
  <si>
    <t>Комунальний заклад "Маріупольська загальноосвітня школа І-ІІІ ступенів № 68 Маріупольської міської ради Донецької області"</t>
  </si>
  <si>
    <t>87557</t>
  </si>
  <si>
    <t>вул. Олімпійська, 199</t>
  </si>
  <si>
    <t>0964379410</t>
  </si>
  <si>
    <t>http://shkola-68.at.ua</t>
  </si>
  <si>
    <t>Комунальний заклад "Маріупольська загальноосвітня школа І-ІІІ ступенів № 7 Маріупольської міської ради Донецької області"</t>
  </si>
  <si>
    <t>87555</t>
  </si>
  <si>
    <t>вул. Леваневського</t>
  </si>
  <si>
    <t>(0629)334513</t>
  </si>
  <si>
    <t>http://marshkola7.klasna.com/</t>
  </si>
  <si>
    <t>Комунальний заклад "Маріупольська загальноосвітня школа І-ІІІ ступенів № 10 Маріупольської міської ради Донецької області"</t>
  </si>
  <si>
    <t>вул. Азовстальська, 53</t>
  </si>
  <si>
    <t>(0629)58-32-67</t>
  </si>
  <si>
    <t>http://marschool10.klasna.com</t>
  </si>
  <si>
    <t>Комунальний заклад "Маріупольська загальноосвітня школа І-ІІІ ступенів № 16 Маріупольської міської ради Донецької області "</t>
  </si>
  <si>
    <t>просп. Металургів, 121А</t>
  </si>
  <si>
    <t>(0629)342482</t>
  </si>
  <si>
    <t>http://marschool16.at.ua/</t>
  </si>
  <si>
    <t>Комунальний заклад "Маріупольська загальноосвітня школа І-ІІІ ступенів № 20 Маріупольської міської ради Донецької області"</t>
  </si>
  <si>
    <t>87535</t>
  </si>
  <si>
    <t>вул. Ливарна, 4</t>
  </si>
  <si>
    <t>(098)3206649</t>
  </si>
  <si>
    <t>http://www.marschool.jimbo.com</t>
  </si>
  <si>
    <t>Комунальний заклад "Маріупольська загальноосвітня школа І-ІІІ ступенів № 24 Маріупольської міської ради Донецької області"</t>
  </si>
  <si>
    <t>проїзд Шопена, 4</t>
  </si>
  <si>
    <t>(0629)469976</t>
  </si>
  <si>
    <t>http://zosh24mariupol.wix.com/school</t>
  </si>
  <si>
    <t>Комунальний заклад "Маріупольська загальноосвітня школа І-ІІІ ступенів № 25 Маріупольської міської ради Донецької області"</t>
  </si>
  <si>
    <t>87537</t>
  </si>
  <si>
    <t>вул. Зелінського, 108А</t>
  </si>
  <si>
    <t>(0629)0673585240</t>
  </si>
  <si>
    <t>http://school25.at.ua/</t>
  </si>
  <si>
    <t>Комунальний заклад "Маріупольська загальноосвітня школа І-ІІІ ступенів № 34 Маріупольської міської ради Донецької області"</t>
  </si>
  <si>
    <t>87513</t>
  </si>
  <si>
    <t>вул. Гастелло, 17</t>
  </si>
  <si>
    <t>(0629)381012</t>
  </si>
  <si>
    <t>http://my-school34.at.ua</t>
  </si>
  <si>
    <t>Комунальний заклад "Маріупольська загальноосвітня школа І-ІІІ ступенів № 43 Маріупольської міської ради Донецької області"</t>
  </si>
  <si>
    <t>вул. Арктики, 10</t>
  </si>
  <si>
    <t>(0629)406496, (068)7797345</t>
  </si>
  <si>
    <t>http://school43.trinixy.org</t>
  </si>
  <si>
    <t>Комунальний заклад "Маріупольська загальноосвітня школа І-ІІІ ступенів № 50 Маріупольської міської ради Донецької області"</t>
  </si>
  <si>
    <t>87519</t>
  </si>
  <si>
    <t>вул. Невська, 91</t>
  </si>
  <si>
    <t>(0629)40-64-40</t>
  </si>
  <si>
    <t>http://schoolsite.org.ua/8/</t>
  </si>
  <si>
    <t>Комунальний заклад "Маріупольська загальноосвітня школа І-ІІІ ступенів № 52 Маріупольської міської ради Донецької області "</t>
  </si>
  <si>
    <t>87547</t>
  </si>
  <si>
    <t>вул. Троїцька, 57</t>
  </si>
  <si>
    <t>(097)883-94-56</t>
  </si>
  <si>
    <t>http://mar52.info</t>
  </si>
  <si>
    <t>Комунальний заклад "Маріупольська загальноосвітня школа І-ІІІ ступенів № 53 Маріупольської міської ради Донецької області"</t>
  </si>
  <si>
    <t>87514</t>
  </si>
  <si>
    <t>вул. П.Орлика, 79А</t>
  </si>
  <si>
    <t>(0629)52-42-77</t>
  </si>
  <si>
    <t>http://school53mar.wixsite.com/0629</t>
  </si>
  <si>
    <t>Комунальний заклад "Маріупольська загальноосвітня школа І-ІІІ ступенів № 55 Маріупольської міської ради Донецької області"</t>
  </si>
  <si>
    <t>87516</t>
  </si>
  <si>
    <t>вул. Волгодонська, 13</t>
  </si>
  <si>
    <t>(0629)221496</t>
  </si>
  <si>
    <t>http://mariupol-school55.rhcloud.com</t>
  </si>
  <si>
    <t>Комунальний заклад "Маріупольська загальноосвітня школа І-ІІІ ступенів № 64 Маріупольської міської ради Донецької області"</t>
  </si>
  <si>
    <t>87554</t>
  </si>
  <si>
    <t>вул. Пилипа Орлика, 92А</t>
  </si>
  <si>
    <t>(0629)51-15-34</t>
  </si>
  <si>
    <t>http://wwwmarschool64.ucoz.ru</t>
  </si>
  <si>
    <t>Комунальний заклад "Маріупольська загальноосвітня школа І-ІІІ ступенів № 67 Маріупольської міської ради Донецької області"</t>
  </si>
  <si>
    <t>87512</t>
  </si>
  <si>
    <t>б-р Шевченка, 353</t>
  </si>
  <si>
    <t>(0629)544830</t>
  </si>
  <si>
    <t>http://s67mariupol.at.ua</t>
  </si>
  <si>
    <t>Комунальний заклад "Маріупольська спеціалізована школа І-ІІІ ступенів № 40 імені Миська Євгена Михайловича Маріупольської міської ради Донецької області"</t>
  </si>
  <si>
    <t>87502</t>
  </si>
  <si>
    <t>(0629)58-35-68, (0629)58-24-67</t>
  </si>
  <si>
    <t>http://marschool40.net</t>
  </si>
  <si>
    <t>Комунальний заклад "Маріупольська спеціалізована школа І-ІІІ ступенів № 42 Маріупольської міської ради Донецької області"</t>
  </si>
  <si>
    <t>вул. Карпинського, 25</t>
  </si>
  <si>
    <t>(0629)384429, (0629)384448</t>
  </si>
  <si>
    <t>http://myschool42.at.ua</t>
  </si>
  <si>
    <t>Комунальний заклад "Маріупольська спеціалізована школа І-ІІІ ступенів № 63 Маріупольської міської ради Донецької області"</t>
  </si>
  <si>
    <t>вул. Пилипа Орлика, 90А</t>
  </si>
  <si>
    <t>(0629)512148</t>
  </si>
  <si>
    <t>http://school63m.wix.com/school</t>
  </si>
  <si>
    <t>Комунальний заклад "Маріупольський міський ліцей Маріупольської міської ради Донецької області"</t>
  </si>
  <si>
    <t>87500</t>
  </si>
  <si>
    <t>просп. Миру, 79</t>
  </si>
  <si>
    <t>(0629)332270</t>
  </si>
  <si>
    <t>http://www.marlicey.com.ua</t>
  </si>
  <si>
    <t>23422206</t>
  </si>
  <si>
    <t>Комунальний заклад "Маріупольський міський навчально-виховний комплекс "Гімназія-школа" № 27 Маріупольської міської ради Донецької області"</t>
  </si>
  <si>
    <t>вул. Троїцька, 56</t>
  </si>
  <si>
    <t>(0629)50-16-31</t>
  </si>
  <si>
    <t>http://uvk27.at.ua/</t>
  </si>
  <si>
    <t>Комунальний заклад "Маріупольський міський технологічний ліцей Маріупольської міської ради Донецької області"</t>
  </si>
  <si>
    <t>просп. Нікопольський, 133</t>
  </si>
  <si>
    <t>(0629)46-94-43</t>
  </si>
  <si>
    <t>https://mariupolmgtl.wixsite.com/mgtl</t>
  </si>
  <si>
    <t>23031948</t>
  </si>
  <si>
    <t>Комунальний заклад "Маріупольський навчально-виховний комплекс "Загальноосвітня школа-ліцей інформаційних технологій" № 69 Маріупольської міської ради Донецької області"</t>
  </si>
  <si>
    <t>87503</t>
  </si>
  <si>
    <t>просп. Захисників України, 92</t>
  </si>
  <si>
    <t>0962313222</t>
  </si>
  <si>
    <t>http://mariupollicei69.ucoz.ua</t>
  </si>
  <si>
    <t>Комунальний заклад "Маріупольський навчально-виховний комплекс "Колегіум-школа" № 1 Маріупольської міської ради Донецької області"</t>
  </si>
  <si>
    <t>87515</t>
  </si>
  <si>
    <t>вул. Грецька, 44</t>
  </si>
  <si>
    <t>(0629)33-34-45</t>
  </si>
  <si>
    <t>http://pervaya.in.ua</t>
  </si>
  <si>
    <t>Комунальний заклад "Маріупольський навчально-виховний комплекс "Ліцей - школа № 48" Маріупольської міської ради Донецької області"</t>
  </si>
  <si>
    <t>просп. Свободи, 45</t>
  </si>
  <si>
    <t>(0629)241138</t>
  </si>
  <si>
    <t>http://school-48.ucoz.com</t>
  </si>
  <si>
    <t>25342718</t>
  </si>
  <si>
    <t>Комунальний заклад "Маріупольський навчально-виховний комплекс "Ліцей-школа № 14" Маріупольської міської ради Донецької області"</t>
  </si>
  <si>
    <t>вул. Пашковського, 62А</t>
  </si>
  <si>
    <t>http://uvk14.at.ua</t>
  </si>
  <si>
    <t>23031121</t>
  </si>
  <si>
    <t>Комунальний заклад "Маріупольський технічний ліцей" Маріупольської міської ради Донецької області"</t>
  </si>
  <si>
    <t>87532</t>
  </si>
  <si>
    <t>вул. Пушкіна, 51</t>
  </si>
  <si>
    <t>(0629)52-82-52, 33-63-62</t>
  </si>
  <si>
    <t>http://martechlicey.at.ua/</t>
  </si>
  <si>
    <t>33160990</t>
  </si>
  <si>
    <t>Комунальний заклад "Спеціалізована школа з поглибленим вивченням окремих предметів І-ІІІ ступенів № 4 Маріупольської міської ради Донецької області"</t>
  </si>
  <si>
    <t>87524</t>
  </si>
  <si>
    <t>вул. Сеченова, 51А</t>
  </si>
  <si>
    <t>(0629)381213</t>
  </si>
  <si>
    <t>http://marschool4.inf.ua</t>
  </si>
  <si>
    <t>Комунальний заклад "Спеціалізована школа І - ІІІ ступенів № 3 з поглибленим вивченням окремих предметів Маріупольської міської ради Донецької області"</t>
  </si>
  <si>
    <t>вул. Італійська, 132</t>
  </si>
  <si>
    <t>(0629)33-50-87</t>
  </si>
  <si>
    <t>http://school-3m.inf.ua</t>
  </si>
  <si>
    <t>Комунальний заклад "Спеціалізована школа І-ІІІ ступенів № 5 з поглибленим вивченням окремих предметів Маріупольської міської ради Донецької області"</t>
  </si>
  <si>
    <t>вул. Київська, 72</t>
  </si>
  <si>
    <t>(0629)24-11-31</t>
  </si>
  <si>
    <t>http://sh5.do.am/</t>
  </si>
  <si>
    <t>Комунальний заклад "Маріупольська загальноосвітня школа-інтернат № 2 І-ІІ ступенів Маріупольської міської ради Донецької області"</t>
  </si>
  <si>
    <t>пров. Космічний, 1</t>
  </si>
  <si>
    <t>(067)2628920</t>
  </si>
  <si>
    <t>23031664</t>
  </si>
  <si>
    <t>Комунальний навчальний заклад компенсуючого типу "Дошкільний навчальний заклад-школа № 71 Маріупольської міської ради Донецької області"</t>
  </si>
  <si>
    <t>87531</t>
  </si>
  <si>
    <t>вул. Гонди, 105А</t>
  </si>
  <si>
    <t>(0629)381140, (0629)382571</t>
  </si>
  <si>
    <t>Маріупольська загальноосвітня санаторна школа-інтернат І-ІІ ступенів № 11 Донецької обласної ради</t>
  </si>
  <si>
    <t>вул. Бахчиванджи, 29</t>
  </si>
  <si>
    <t>(0629)345145, (0629)402056</t>
  </si>
  <si>
    <t>http://mariupol-internat11.edukit.dn.ua</t>
  </si>
  <si>
    <t>23031285</t>
  </si>
  <si>
    <t>Приватна установа "Маріупольська загальноосвітня приватна школа ІІ-ІІІ ступенів "Привилегия" Донецької області</t>
  </si>
  <si>
    <t>вул. Харлампіївська, 6</t>
  </si>
  <si>
    <t>(0629)410235</t>
  </si>
  <si>
    <t>Комунальний заклад "Маріупольська загальноосвітня школа І-ІІІ ступенів № 17 Маріупольської міської ради Донецької області"</t>
  </si>
  <si>
    <t>87507</t>
  </si>
  <si>
    <t>1412336300</t>
  </si>
  <si>
    <t>Маріуполь, Центральний район</t>
  </si>
  <si>
    <t>вул. Грецька, 219</t>
  </si>
  <si>
    <t>(0629)336241</t>
  </si>
  <si>
    <t>http://school17m.wix.com/zosh</t>
  </si>
  <si>
    <t>Комунальний заклад "Маріупольська загальноосвітня школа І-ІІІ ступенів № 9 Маріупольської міської ради Донецької області"</t>
  </si>
  <si>
    <t>б-р Б.Хмельницького, 22</t>
  </si>
  <si>
    <t>(0629)52-75-32, (0629)33-41-42</t>
  </si>
  <si>
    <t>http://osvitamrpl.wix.com/school9</t>
  </si>
  <si>
    <t>Маріупольська спеціальна загальноосвітня школа-інтернат І-ІІІ ступенів № 21 Донецької обласної ради</t>
  </si>
  <si>
    <t>вул. Осоавіахіма, 11</t>
  </si>
  <si>
    <t>(0629)33-25-27</t>
  </si>
  <si>
    <t>23035358</t>
  </si>
  <si>
    <t>Приватне підприємство Маріупольська загальноосвітня приватна школа І-ІІІ ступенів "Лінгва-ХХІ століття" Донецької області</t>
  </si>
  <si>
    <t>87525</t>
  </si>
  <si>
    <t>просп. Нахімова, 192</t>
  </si>
  <si>
    <t>(0629)337098</t>
  </si>
  <si>
    <t>Комунальний заклад "Маріупольський навчально-виховний комплекс "колегіум-школа" № 28 Маріупольської міської ради Донецької області"</t>
  </si>
  <si>
    <t>1412336600</t>
  </si>
  <si>
    <t>Маріуполь, Кальміуський район</t>
  </si>
  <si>
    <t>вул. М.Гонди, 6</t>
  </si>
  <si>
    <t>(0629)381109</t>
  </si>
  <si>
    <t>http://nvk-28.at.ua</t>
  </si>
  <si>
    <t>Маріупольська спеціальна загальноосвітня школа-інтернат № 37 Донецької обласної ради</t>
  </si>
  <si>
    <t>(0629)46-99-08</t>
  </si>
  <si>
    <t>23031575</t>
  </si>
  <si>
    <t>Комунальний заклад "Маріупольський навчально-виховний комплекс "гімназія-школа" № 1 Маріупольської міської ради Донецької області"</t>
  </si>
  <si>
    <t>87529</t>
  </si>
  <si>
    <t>1412336900</t>
  </si>
  <si>
    <t>Маріуполь, Лівобережний район</t>
  </si>
  <si>
    <t>вул. Воїнів Визволителів, 92</t>
  </si>
  <si>
    <t>(0629)583264</t>
  </si>
  <si>
    <t>http://www.gimnasia-1.dn.ua</t>
  </si>
  <si>
    <t>Комунальний заклад" Маріупольська загальноосвітня школа I-III ступенів № 57 Маріупольської міської ради Донецької області"</t>
  </si>
  <si>
    <t>87543</t>
  </si>
  <si>
    <t>вул. Лютнева, 86</t>
  </si>
  <si>
    <t>(0629)241158</t>
  </si>
  <si>
    <t>http://sm-57.ucoz.ua/</t>
  </si>
  <si>
    <t>Маріупольська загальноосвітня школа-інтернат І-ІІ ступенів № 2 Донецької обласної ради</t>
  </si>
  <si>
    <t>вул. Азовстальська, 150</t>
  </si>
  <si>
    <t>(0629)582910</t>
  </si>
  <si>
    <t>http://detimariup150.ucoz.org</t>
  </si>
  <si>
    <t>21969797</t>
  </si>
  <si>
    <t>Комунальний заклад "Маріупольська гімназія № 2 Маріупольської міської ради Донецької області"</t>
  </si>
  <si>
    <t>1412337200</t>
  </si>
  <si>
    <t>Маріуполь, Приморський район</t>
  </si>
  <si>
    <t>вул. Лавицького, 7</t>
  </si>
  <si>
    <t>(0629)371375, (0629)371130</t>
  </si>
  <si>
    <t>http://gimnazium2mar.ru</t>
  </si>
  <si>
    <t>Комунальний заклад "Маріупольська загальноосвітня школа I-III ступенів № 37 Маріупольської міської ради Донецької області"</t>
  </si>
  <si>
    <t>87501</t>
  </si>
  <si>
    <t>вул. Перша Слобідка, 102</t>
  </si>
  <si>
    <t>(0629)333165</t>
  </si>
  <si>
    <t>http://school37.jimdo.com</t>
  </si>
  <si>
    <t>Комунальний заклад "Маріупольська загальноосвітня школа І-ІІІ ступенів № 15 Маріупольської міської ради Донецької області"</t>
  </si>
  <si>
    <t>87553</t>
  </si>
  <si>
    <t>вул. Новоросійська, 12</t>
  </si>
  <si>
    <t>(0629)515342</t>
  </si>
  <si>
    <t>http://marshkola15.ru/</t>
  </si>
  <si>
    <t>Комунальний заклад "Маріупольська загальноосвітня школа І-ІІІ ступенів № 23 Маріупольської міської ради Донецької області"</t>
  </si>
  <si>
    <t>просп. Будівельників, 28</t>
  </si>
  <si>
    <t>(0629)370090</t>
  </si>
  <si>
    <t>http://mzosh23.ucoz.ua</t>
  </si>
  <si>
    <t>Комунальний заклад "Маріупольська загальноосвітня школа І-ІІІ ступенів № 26 Маріупольської міської ради Донецької області "</t>
  </si>
  <si>
    <t>87517</t>
  </si>
  <si>
    <t>вул. Чорноморська, 12</t>
  </si>
  <si>
    <t>(0629)371044</t>
  </si>
  <si>
    <t>http://nashashkola26.at.ua</t>
  </si>
  <si>
    <t>Комунальний заклад Маріупольський морський ліцей Маріупольської міської ради Донецької області</t>
  </si>
  <si>
    <t>просп. Будівельників, 28А</t>
  </si>
  <si>
    <t>(0629)374920</t>
  </si>
  <si>
    <t>http://mlicey.com.ua</t>
  </si>
  <si>
    <t>23031405</t>
  </si>
  <si>
    <t>Комунальний заклад «Маріупольська спеціалізована школа І-ІІІ ступенів № 8 імені Героя України Бойка В.С. Маріупольської міської ради Донецької області"</t>
  </si>
  <si>
    <t>87592</t>
  </si>
  <si>
    <t>1412365300</t>
  </si>
  <si>
    <t>Сартана</t>
  </si>
  <si>
    <t>вул. Генерала Куркчі, 37</t>
  </si>
  <si>
    <t>0963845817</t>
  </si>
  <si>
    <t>http://8shkola.wixsite.com/mariupolschool8</t>
  </si>
  <si>
    <t>англійська,німецька,грецька</t>
  </si>
  <si>
    <t>Комунальний заклад "Маріупольська спеціалізована школа з поглибленим вивченням новогрецької мови І-ІІІ ступенів № 46 Маріупольської міської ради Донецької області"</t>
  </si>
  <si>
    <t>87591</t>
  </si>
  <si>
    <t>1412365600</t>
  </si>
  <si>
    <t>Старий Крим</t>
  </si>
  <si>
    <t>вул. Центральна, 41/а</t>
  </si>
  <si>
    <t>(0629)51-15-83</t>
  </si>
  <si>
    <t>http://marschool46.ucoz.ru</t>
  </si>
  <si>
    <t>30322280</t>
  </si>
  <si>
    <t>російська,англійська,французька,грецька</t>
  </si>
  <si>
    <t>Комунальний заклад "Маріупольська загальноосвітня школа I - III ступенів № 58 Маріупольської міської ради Донецької області".</t>
  </si>
  <si>
    <t>87594</t>
  </si>
  <si>
    <t>1412365800</t>
  </si>
  <si>
    <t>Талаківка</t>
  </si>
  <si>
    <t>вул. Соборна, 170</t>
  </si>
  <si>
    <t>(0629)540721</t>
  </si>
  <si>
    <t>http://mar58school.wix.com/ms-58</t>
  </si>
  <si>
    <t>Костянтинівська вечірня загальноосвітня школа ІІ-ІІІ ступенів № 4 Костянтинівської міської ради Донецької області</t>
  </si>
  <si>
    <t>85113</t>
  </si>
  <si>
    <t>1412600000</t>
  </si>
  <si>
    <t>вул. Європейська, 58</t>
  </si>
  <si>
    <t>(06272)26202</t>
  </si>
  <si>
    <t>Костянтинівська загальноосвітня школа І-ІІІ ступенів № 1 Костянтинівської міської ради Донецької області</t>
  </si>
  <si>
    <t>http://zosh-1.at.ua</t>
  </si>
  <si>
    <t>Костянтинівська загальноосвітня школа І-ІІІ ступенів № 15 Костянтинівської міської ради Донецької області</t>
  </si>
  <si>
    <t>85103</t>
  </si>
  <si>
    <t>вул. Cоборності, 9</t>
  </si>
  <si>
    <t>(06272)43138</t>
  </si>
  <si>
    <t>http://school.konstantinovka.org</t>
  </si>
  <si>
    <t>Костянтинівська загальноосвітня школа І-ІІІ ступенів № 16 Костянтинівської міської ради Донецької області</t>
  </si>
  <si>
    <t>85106</t>
  </si>
  <si>
    <t>вул. Преображенська, 60</t>
  </si>
  <si>
    <t>(06272)42320</t>
  </si>
  <si>
    <t>http://school16konst.ucoz.ru/</t>
  </si>
  <si>
    <t>Костянтинівська загальноосвітня школа І-ІІІ ступенів № 3 Костянтинівської міської ради Донецької області</t>
  </si>
  <si>
    <t>вул. Ціолковського, 13</t>
  </si>
  <si>
    <t>(06272)29262</t>
  </si>
  <si>
    <t>http://konstschool3.jimdo.com</t>
  </si>
  <si>
    <t>Костянтинівська загальноосвітня школа І-ІІІ ступенів № 4 Костянтинівської міської ради Донецької області</t>
  </si>
  <si>
    <t>85109</t>
  </si>
  <si>
    <t>вул. Трудова, 66</t>
  </si>
  <si>
    <t>(06272)42073</t>
  </si>
  <si>
    <t>http://konst-school4.donetskedu.com</t>
  </si>
  <si>
    <t>Костянтинівська загальноосвітня школа І-ІІІ ступенів № 2 Костянтинівськой міської ради Донецької області</t>
  </si>
  <si>
    <t>вул. Незалежності, 166</t>
  </si>
  <si>
    <t>(06272)41430</t>
  </si>
  <si>
    <t>http://1744.school2.klasna.com/uk</t>
  </si>
  <si>
    <t>Костянтинівська загальноосвітня школа І-ІІІ ступенів № 5 Костянтинівської міської ради Донецької області</t>
  </si>
  <si>
    <t>85114</t>
  </si>
  <si>
    <t>вул. Пушкінська, 306</t>
  </si>
  <si>
    <t>(06272)43793</t>
  </si>
  <si>
    <t>http://www.zosh5.org.ua</t>
  </si>
  <si>
    <t>Костянтинівська загальноосвітня школа І-ІІІ ступенів № 9 Костянтинівської міської ради Донецької області</t>
  </si>
  <si>
    <t>85105</t>
  </si>
  <si>
    <t>вул. Братська, 14</t>
  </si>
  <si>
    <t>(06272)23341</t>
  </si>
  <si>
    <t>http://9school.com.ua</t>
  </si>
  <si>
    <t>Костянтинівська загальноосвітня школа-інтернат І-ІІ ступенів № 1 Костянтинівської міської ради Донецької області</t>
  </si>
  <si>
    <t>вул. Трудова, 479</t>
  </si>
  <si>
    <t>(06272)43474</t>
  </si>
  <si>
    <t>http://inter1-konst.ucoz.ua/</t>
  </si>
  <si>
    <t>Костянтинівська спеціалізована загальноосвітня школа І-ІІІ ступенів № 13 з поглибленим вивченням іноземних мов Костянтинівської міської ради Донецької області</t>
  </si>
  <si>
    <t>85110</t>
  </si>
  <si>
    <t>б-р Космонавтів, 12А</t>
  </si>
  <si>
    <t>(06272)27898</t>
  </si>
  <si>
    <t>http://konstzosh.ucoz.org</t>
  </si>
  <si>
    <t>Костянтинівська спеціалізована загальноосвітня школа І-ІІІ ступенів № 6 з поглибленим вивченням окремих предметів Костянтинівської міської ради Донецької області</t>
  </si>
  <si>
    <t>вул. 6 Вересня, 79</t>
  </si>
  <si>
    <t>(06272)24511</t>
  </si>
  <si>
    <t>http://konstschool61.wix.com/school6</t>
  </si>
  <si>
    <t>Костянтинівська спеціальна загальноосвітня школа-інтернат № 32 Донецької обласної ради</t>
  </si>
  <si>
    <t>вул. Панфілова, 37А</t>
  </si>
  <si>
    <t>(06272)28233, (06272)21250</t>
  </si>
  <si>
    <t>http://konstdop.ucoz.ua</t>
  </si>
  <si>
    <t>26082194</t>
  </si>
  <si>
    <t>Міжшкільний навчально-виробничий комбінат трудового навчання та професійної орієнтації учнів 8-11 класів загальноосвітніх шкіл І-ІІІ ступенів міста Костянтинівка</t>
  </si>
  <si>
    <t>вул. Шмідта, 8</t>
  </si>
  <si>
    <t>(06272)42260, (06272)40655</t>
  </si>
  <si>
    <t>http://mnvk.com.ua</t>
  </si>
  <si>
    <t>Навчально-виховний комплекс "Гімназія із загальноосвітньою школою І ступеня"</t>
  </si>
  <si>
    <t>вул. Шмідта, 24</t>
  </si>
  <si>
    <t>(06272)21335</t>
  </si>
  <si>
    <t>http://Konst-gymnasium.at.ua</t>
  </si>
  <si>
    <t>Навчально-виховний комплекс "Загальноосвітня школа І-ІІІ ступенів - дошкільний навчальний заклад" Костянтинівської міської ради Донецької області</t>
  </si>
  <si>
    <t>85107</t>
  </si>
  <si>
    <t>вул. Вінницька, 44</t>
  </si>
  <si>
    <t>(06272)61956</t>
  </si>
  <si>
    <t>http://nvk17.at.ua</t>
  </si>
  <si>
    <t>Навчально-виховний комплекс "Ліцей із загальноосвітньою школою І-ІІІ ступенів" Костянтинівської міської ради Донецької області</t>
  </si>
  <si>
    <t>85102</t>
  </si>
  <si>
    <t>просп. Ломоносова, 146</t>
  </si>
  <si>
    <t>(06272)27582</t>
  </si>
  <si>
    <t>http://kost-licey.ucoz.ru/</t>
  </si>
  <si>
    <t>Краматорська загальноосвітня санаторна школа-інтернат І-ІІ ступенів № 10 Донецької обласної ради</t>
  </si>
  <si>
    <t>84333</t>
  </si>
  <si>
    <t>1412900000</t>
  </si>
  <si>
    <t>Краматорськ</t>
  </si>
  <si>
    <t>вул. Василя Стуса, 15</t>
  </si>
  <si>
    <t>(06264)35974</t>
  </si>
  <si>
    <t>25704831</t>
  </si>
  <si>
    <t>Краматорська загальноосвітня школа I-III ступенів № 5 Краматорської міської ради Донецької області</t>
  </si>
  <si>
    <t>84313</t>
  </si>
  <si>
    <t>вул. Василя Стуса, 40</t>
  </si>
  <si>
    <t>(06264)37490</t>
  </si>
  <si>
    <t>Краматорська загальноосвітня школа І - ІІ ступенів № 13 Краматорської міської ради Донецької області</t>
  </si>
  <si>
    <t>84396</t>
  </si>
  <si>
    <t>вул. Перепелиці, 39</t>
  </si>
  <si>
    <t>(0626)485093</t>
  </si>
  <si>
    <t>Краматорська загальноосвітня школа І - ІІІ ступенів № 12 Краматорської міської ради Донецької області</t>
  </si>
  <si>
    <t>84300</t>
  </si>
  <si>
    <t>вул. Василя Стуса, 19</t>
  </si>
  <si>
    <t>(06264)3-02-70, (06264)3-02-61</t>
  </si>
  <si>
    <t>Краматорська загальноосвітня школа І - ІІІ ступенів № 3 Краматорської міської ради Донецької області</t>
  </si>
  <si>
    <t>84331</t>
  </si>
  <si>
    <t>вул. Н. Курченко, 19</t>
  </si>
  <si>
    <t>(06264)70252</t>
  </si>
  <si>
    <t>http://03krm.klasna.com</t>
  </si>
  <si>
    <t>Краматорська загальноосвітня школа І-ІІ ступенів № 21 Краматорської міської ради Донецької області</t>
  </si>
  <si>
    <t>84391</t>
  </si>
  <si>
    <t>вул. Лівобережна, 352</t>
  </si>
  <si>
    <t>(06264)44-38-68</t>
  </si>
  <si>
    <t>Краматорська загальноосвітня школа І-ІІ ступенів № 28 Краматорської міської ради Донецької області</t>
  </si>
  <si>
    <t>34328</t>
  </si>
  <si>
    <t>вул. Легендарна, 37</t>
  </si>
  <si>
    <t>(0626)440996</t>
  </si>
  <si>
    <t>http://kramschool28.ru</t>
  </si>
  <si>
    <t>Краматорська загальноосвітня школа І-ІІІ ступенів № 10 з профільним навчанням Краматорської міської ради Донецької області</t>
  </si>
  <si>
    <t>84320</t>
  </si>
  <si>
    <t>вул. Хабаровська, 40</t>
  </si>
  <si>
    <t>(06264)62899</t>
  </si>
  <si>
    <t>http://sch10kram.pp.ua</t>
  </si>
  <si>
    <t>Краматорська загальноосвітня школа І-ІІІ ступенів № 11 Краматорської міської ради Донецької області</t>
  </si>
  <si>
    <t>84302</t>
  </si>
  <si>
    <t>вул. Тріумфальна, 9</t>
  </si>
  <si>
    <t>(0626)413253</t>
  </si>
  <si>
    <t>http://sh11.pp.ua</t>
  </si>
  <si>
    <t>Краматорська загальноосвітня школа І-ІІІ ступенів № 16 Краматорської міської ради Донецької області</t>
  </si>
  <si>
    <t>вул. Л.Бикова, 7</t>
  </si>
  <si>
    <t>(06264)63407</t>
  </si>
  <si>
    <t>Краматорська загальноосвітня школа І-ІІІ ступенів № 17 Краматорської міської ради Донецької області</t>
  </si>
  <si>
    <t>84307</t>
  </si>
  <si>
    <t>вул. Благодатна, 80</t>
  </si>
  <si>
    <t>(0626)41-76-50</t>
  </si>
  <si>
    <t>Краматорська загальноосвітня школа І-ІІІ ступенів № 18 Краматорської міської ради Донецької області</t>
  </si>
  <si>
    <t>вул. О. Кошового, 18</t>
  </si>
  <si>
    <t>(0626)416504</t>
  </si>
  <si>
    <t>Краматорська загальноосвітня школа І-ІІІ ступенів № 2 Краматорської міської ради Донецької області</t>
  </si>
  <si>
    <t>84323</t>
  </si>
  <si>
    <t>вул. О.Вишні, 15</t>
  </si>
  <si>
    <t>(06264)5-14-56, (066264)7-44-10</t>
  </si>
  <si>
    <t>http://kramschool2.klasna.com/</t>
  </si>
  <si>
    <t>Краматорська загальноосвітня школа І-ІІІ ступенів № 22 з профільним навчанням Краматорської міської ради Донецької області</t>
  </si>
  <si>
    <t>84301</t>
  </si>
  <si>
    <t>вул. Двірцева, 3</t>
  </si>
  <si>
    <t>(06264)3-01-80</t>
  </si>
  <si>
    <t>http://school22.dn.ua</t>
  </si>
  <si>
    <t>Краматорська загальноосвітня школа І-ІІІ ступенів № 23 Краматорської міської ради Донецької області</t>
  </si>
  <si>
    <t>вул. Михайла Горяйнова, 45А</t>
  </si>
  <si>
    <t>(0626)415344</t>
  </si>
  <si>
    <t>Краматорська загальноосвітня школа І-ІІІ ступенів № 24 Краматорскької міської ради Донецької області</t>
  </si>
  <si>
    <t>вул. Б. Хмельницького, 28</t>
  </si>
  <si>
    <t>(062)6477232</t>
  </si>
  <si>
    <t>http://kramschool24.donetskedu.com</t>
  </si>
  <si>
    <t>Краматорська загальноосвітня школа І-ІІІ ступенів № 25 з профільним навчанням Краматорської міської ради Донецької області</t>
  </si>
  <si>
    <t>вул. Богдана Хмельницького, 25</t>
  </si>
  <si>
    <t>(06264)71588</t>
  </si>
  <si>
    <t>http://www.kramschool25.donetskedu.com</t>
  </si>
  <si>
    <t>Краматорська загальноосвітня школа І-ІІІ ступенів № 35 з профільним навчанням імені В.М. Шеймана Краматорської міської ради Донецької області</t>
  </si>
  <si>
    <t>вул. Ювілейна, 46</t>
  </si>
  <si>
    <t>0626471166</t>
  </si>
  <si>
    <t>http://kramatorsk-school35.dn.sch.in.ua</t>
  </si>
  <si>
    <t>Краматорська загальноосвітня школа І-ІІІ ступенів № 4 Краматорської міської ради Донецької області</t>
  </si>
  <si>
    <t>вул. Двірцева, 48А-1</t>
  </si>
  <si>
    <t>(06264)53434</t>
  </si>
  <si>
    <t>http://kramatorsk-school4.edukit.dn.ua</t>
  </si>
  <si>
    <t>Краматорська загальноосвітня школа І-ІІІ ступенів № 9 Краматорської міської ради Донецької області</t>
  </si>
  <si>
    <t>вул. б. Краматорський, 17</t>
  </si>
  <si>
    <t>(06264)59451</t>
  </si>
  <si>
    <t>http://school9kram.donetskedu.com/uk/site/index.html</t>
  </si>
  <si>
    <t>Краматорська загальноосвітня школа І-ІІІ ступенів № 1 Краматорської міської ради Донецької області</t>
  </si>
  <si>
    <t>84303</t>
  </si>
  <si>
    <t>вул. Радужна, 13</t>
  </si>
  <si>
    <t>(0626)41-17-27</t>
  </si>
  <si>
    <t>Краматорська загальноосвітня школа І-ІІІ ступенів № 15 Краматорської міської ради Донецької області</t>
  </si>
  <si>
    <t>вул. Маяковского, 19</t>
  </si>
  <si>
    <t>(06264)6-68-12</t>
  </si>
  <si>
    <t>http://shkola15.16mb.com</t>
  </si>
  <si>
    <t>Краматорська загальноосвітня школа І-ІІІ ступенів № 19 Краматорської міської ради Донецької області</t>
  </si>
  <si>
    <t>84306</t>
  </si>
  <si>
    <t>вул. О.Кобилянської, 1</t>
  </si>
  <si>
    <t>(06264)69695</t>
  </si>
  <si>
    <t>http://sch19.pp.ua</t>
  </si>
  <si>
    <t>Краматорська загальноосвітня школа І-ІІІ ступенів № 20 Краматорської міської ради Донецької області</t>
  </si>
  <si>
    <t>84311</t>
  </si>
  <si>
    <t>вул. Танкістів, 112</t>
  </si>
  <si>
    <t>(0626)440888</t>
  </si>
  <si>
    <t>Краматорська загальноосвітня школа І-ІІІ ступенів № 30 Краматорської міської ради Донецької області</t>
  </si>
  <si>
    <t>вул. Волховська, 1</t>
  </si>
  <si>
    <t>(06264)44230</t>
  </si>
  <si>
    <t>Краматорська загальноосвітня школа І-ІІІ ступенів № 31 Краматорської міської ради Донецької області</t>
  </si>
  <si>
    <t>84308</t>
  </si>
  <si>
    <t>вул. Катерини Білокур, 14</t>
  </si>
  <si>
    <t>41-59-59</t>
  </si>
  <si>
    <t>Краматорська загальноосвітня школа І-ІІІ ступенів № 8 Краматорської міської ради Донецької області</t>
  </si>
  <si>
    <t>вул. Двірцева, 57А</t>
  </si>
  <si>
    <t>(06264)74283, (06264)72528</t>
  </si>
  <si>
    <t>http://kramsch8.ho.ua</t>
  </si>
  <si>
    <t>Краматорська спеціальна загальноосвітня школа-інтернат № 33 Донецької обласної ради</t>
  </si>
  <si>
    <t>84314</t>
  </si>
  <si>
    <t>вул. Красна, 61</t>
  </si>
  <si>
    <t>(06264)44-50-38</t>
  </si>
  <si>
    <t>25704883</t>
  </si>
  <si>
    <t>Краматорська спеціальна загальноосвітня школа-інтернат І-ІІ ступенів № 18 Донецької обласної ради</t>
  </si>
  <si>
    <t>вул. Героїв Небесної сотні, 25</t>
  </si>
  <si>
    <t>(06264)6-49-75</t>
  </si>
  <si>
    <t>25704771</t>
  </si>
  <si>
    <t>Краматорська українська гімназія Краматорської міської ради Донецької обл.</t>
  </si>
  <si>
    <t>вул. Архангельська, 11</t>
  </si>
  <si>
    <t>((06264))6-53-30</t>
  </si>
  <si>
    <t>http://kug.org.ua</t>
  </si>
  <si>
    <t>Краматорський навчально-виховний комплекс "Загальноосвітня школа І- ІІІ ступенів № 6 - дошкільний навчальний заклад Краматорської міської ради"</t>
  </si>
  <si>
    <t>вул. Велика Садова, 71</t>
  </si>
  <si>
    <t>(0626)412488</t>
  </si>
  <si>
    <t>http://Kramschool6.edukit.dn.ua</t>
  </si>
  <si>
    <t>Краматорський навчально-виховний комплекс (загальноосвітня школа І-ІІІ ступенів № 32 - дошкільний навчальний заклад) Краматорської міської ради</t>
  </si>
  <si>
    <t>84393</t>
  </si>
  <si>
    <t>вул. Волгодонська, 22</t>
  </si>
  <si>
    <t>(0626)440070</t>
  </si>
  <si>
    <t>http://www.kramnvk.in.ua/</t>
  </si>
  <si>
    <t>Міжшкільний навчально-виробничий комбінат міста Краматорська</t>
  </si>
  <si>
    <t>вул. Богдана Хмельницького, 28</t>
  </si>
  <si>
    <t>Краматорська загальноосвітня школа І-ІІІ ступенів № 26 Краматорської міської ради Донецької області</t>
  </si>
  <si>
    <t>84318</t>
  </si>
  <si>
    <t>1412945600</t>
  </si>
  <si>
    <t>Біленьке</t>
  </si>
  <si>
    <t>вул. Софіївська, 128</t>
  </si>
  <si>
    <t>(06264)69906</t>
  </si>
  <si>
    <t>http://krmschool26.ho.ua</t>
  </si>
  <si>
    <t>Краматорська Загальноосвітня школа № 33 І-ІІІ ступенів Краматотрської міської ради Донецької області</t>
  </si>
  <si>
    <t>84395</t>
  </si>
  <si>
    <t>1412946200</t>
  </si>
  <si>
    <t>Красноторка</t>
  </si>
  <si>
    <t>вул. Бєлгородська, 95</t>
  </si>
  <si>
    <t>(06264)43494</t>
  </si>
  <si>
    <t>Багатопрофільна гімназія Покровської міської ради Донецької області</t>
  </si>
  <si>
    <t>85300</t>
  </si>
  <si>
    <t>1413200000</t>
  </si>
  <si>
    <t>Покровськ</t>
  </si>
  <si>
    <t>пров. Університетський, 31</t>
  </si>
  <si>
    <t>(06239)21329, (06239)28035</t>
  </si>
  <si>
    <t>http://bpgimnazia.klasna.com/uk/</t>
  </si>
  <si>
    <t>загальноосвітня школа І - ІІІ ступенів № 4 Покровської міської ради Донецької області</t>
  </si>
  <si>
    <t>85301</t>
  </si>
  <si>
    <t>вул. Таманова, 16</t>
  </si>
  <si>
    <t>(06239)528091</t>
  </si>
  <si>
    <t>Навчально-виховний комплекс № 2 Покровської міської ради</t>
  </si>
  <si>
    <t>вул. 1 Травня, 63</t>
  </si>
  <si>
    <t>(06239)2-12-89</t>
  </si>
  <si>
    <t>Загальноосвітня школа І-ІІ ступенів № 15 Покровської міської ради Донецької області</t>
  </si>
  <si>
    <t>вул. Гоголя, 2А</t>
  </si>
  <si>
    <t>(06239)21601, (06239)26309</t>
  </si>
  <si>
    <t>загальноосвітня школа І-ІІ ступенів № 6 Покровської міської ради Донецької області</t>
  </si>
  <si>
    <t>вул. Таманова, 22 А</t>
  </si>
  <si>
    <t>(06239)524142</t>
  </si>
  <si>
    <t>Загальноосвітня школа І-ІІІ ступенів № 9 Покровської міської ради Донецької області</t>
  </si>
  <si>
    <t>мрн. Шахтарський, 33Б</t>
  </si>
  <si>
    <t>(0623)525648</t>
  </si>
  <si>
    <t>Загальноосвітня школа І-ІІІ ступенів № 12 Покровської міської ради Донецької області</t>
  </si>
  <si>
    <t>85302</t>
  </si>
  <si>
    <t>вул. Маршала Москаленка, 151</t>
  </si>
  <si>
    <t>(06239)521259</t>
  </si>
  <si>
    <t>http://school12krasn.klasna.com</t>
  </si>
  <si>
    <t>Загальноосвітня школа І-ІІІ ступенів № 14 Покровської міської ради Донецької області</t>
  </si>
  <si>
    <t>85306</t>
  </si>
  <si>
    <t>вул. Шмідта, 194</t>
  </si>
  <si>
    <t>(0623)521753</t>
  </si>
  <si>
    <t>http://krasnoarmiysk-school14.edukit.dn.ua</t>
  </si>
  <si>
    <t>Загальноосвітня школа І-ІІІ ступенів № 2 Покровської міської ради</t>
  </si>
  <si>
    <t>85307</t>
  </si>
  <si>
    <t>мрн. Південний, 35</t>
  </si>
  <si>
    <t>(06239)20213</t>
  </si>
  <si>
    <t>http://krscool2.at.ua</t>
  </si>
  <si>
    <t>Загальноосвітня школа І-ІІІ ступенів № 3 Покровської міської ради Донецької області</t>
  </si>
  <si>
    <t>вул. Поштова, 3</t>
  </si>
  <si>
    <t>(0623)52-18-70</t>
  </si>
  <si>
    <t>http://os3krasnoarm.at.ua</t>
  </si>
  <si>
    <t>Красноармійський міський ліцей "Надія" міста Красноармійська Донецької області</t>
  </si>
  <si>
    <t>вул. Поштова, 1</t>
  </si>
  <si>
    <t>(06239)28038</t>
  </si>
  <si>
    <t>http://sitelicey.ucoz.ru</t>
  </si>
  <si>
    <t>Навчально-виховний комплекс № 1 Покровської міської ради Донецької області</t>
  </si>
  <si>
    <t>мрн. Лазурний, 80</t>
  </si>
  <si>
    <t>06239523488</t>
  </si>
  <si>
    <t>http://knvk2007.ucoz.ua/</t>
  </si>
  <si>
    <t>Родинська загальноосвітня школа І-ІІІ ступенів № 35 Покровської міської ради Донецької області</t>
  </si>
  <si>
    <t>85310</t>
  </si>
  <si>
    <t>вул. Шахтарська, 19</t>
  </si>
  <si>
    <t>(06239)41565</t>
  </si>
  <si>
    <t>Шевченківська загальноосвітня школа І - ІІІ ступенів № 33 Покровської міської ради Донецької області</t>
  </si>
  <si>
    <t>85316</t>
  </si>
  <si>
    <t>1413245400</t>
  </si>
  <si>
    <t>(0623)533305</t>
  </si>
  <si>
    <t>Родинська загальноосвітня школа І-ІІ ступенів № 36 Покровської міської ради Донецької області</t>
  </si>
  <si>
    <t>1413270600</t>
  </si>
  <si>
    <t>Родинське</t>
  </si>
  <si>
    <t>(06239)42001</t>
  </si>
  <si>
    <t>Родинська загальноосвітня школа І-ІІІ ступенів № 8 Покровської міської ради Донецької області</t>
  </si>
  <si>
    <t>85311</t>
  </si>
  <si>
    <t>вул. Перемоги, 6</t>
  </si>
  <si>
    <t>(095)3002158</t>
  </si>
  <si>
    <t>http://rodinskaschool8.at.ua</t>
  </si>
  <si>
    <t>Лиманська загальноосвітня школа І - ІІІ ст. № 4 Лиманської міської ради Донецької області</t>
  </si>
  <si>
    <t>84404</t>
  </si>
  <si>
    <t>1413300000</t>
  </si>
  <si>
    <t>Лиман</t>
  </si>
  <si>
    <t>пров. Привокзальний, 7 а</t>
  </si>
  <si>
    <t>(06261)63792</t>
  </si>
  <si>
    <t>http://school4.dn.ua</t>
  </si>
  <si>
    <t>Лиманська загальноосвітня школа І-ІІІ ступенів № 2 Лиманської міської ради Донецької області</t>
  </si>
  <si>
    <t>84400</t>
  </si>
  <si>
    <t>вул. Пушкіна, 13А</t>
  </si>
  <si>
    <t>(06261)42334</t>
  </si>
  <si>
    <t>http://klyman-zosh2.dn.sch.in.ua</t>
  </si>
  <si>
    <t>Лиманська загальноосвітня школа І-ІІІ ступенів № 3 Лиманської міської ради Донецької області</t>
  </si>
  <si>
    <t>84403</t>
  </si>
  <si>
    <t>вул. Петропавлівська, 72</t>
  </si>
  <si>
    <t>(06261)4-23-81</t>
  </si>
  <si>
    <t>http://scyl3lim.at.ua</t>
  </si>
  <si>
    <t>Лиманська загальноосвітня школа І-ІІІ ступенів № 5 Лиманської міської ради Донецької області</t>
  </si>
  <si>
    <t>84402</t>
  </si>
  <si>
    <t>вул. Театральна, 5А</t>
  </si>
  <si>
    <t>(062-61)2-32-89</t>
  </si>
  <si>
    <t>http://school5.kl.com.ua</t>
  </si>
  <si>
    <t>Лиманська спеціальна загальноосвітня школа-інтернат № 34 Донецької обласної ради</t>
  </si>
  <si>
    <t>вул. Привокзальна, 7</t>
  </si>
  <si>
    <t>(06261)62588</t>
  </si>
  <si>
    <t>http://krlimaninternat.ucoz.ua</t>
  </si>
  <si>
    <t>26020891</t>
  </si>
  <si>
    <t>Лиманський ліцей Лиманської міської ради Донецької області</t>
  </si>
  <si>
    <t>вул. Костянтина Гасієва, 4А</t>
  </si>
  <si>
    <t>(06261)6-25-40</t>
  </si>
  <si>
    <t>http://liman-licey.meximas.com</t>
  </si>
  <si>
    <t>Лиманський навчально - виховний комплекс "гімназія - загальноосвітня школа І ступеня" Лиманської міської ради Донецької області</t>
  </si>
  <si>
    <t>84406</t>
  </si>
  <si>
    <t>(06261)42576</t>
  </si>
  <si>
    <t>http://gimnasia.dn.ua/</t>
  </si>
  <si>
    <t>Лиманський навчально - виховний комплекс "Загальноосвітня школа І-ІІ ступенів-дошкільний навчальний заклад" № 1 Лиманської міської ради Донецької області</t>
  </si>
  <si>
    <t>84452</t>
  </si>
  <si>
    <t>вул. Шевченка, 12 А</t>
  </si>
  <si>
    <t>(06261)31133</t>
  </si>
  <si>
    <t>Новогродівська загальноосвітня школа І - ІІ ступенів № 9 Новогродівської міської ради Донецької області</t>
  </si>
  <si>
    <t>85483</t>
  </si>
  <si>
    <t>1413600000</t>
  </si>
  <si>
    <t>Новогродівка</t>
  </si>
  <si>
    <t>(80363)40-15, (80363)41-37</t>
  </si>
  <si>
    <t>http://zchool9.jimdo.com/</t>
  </si>
  <si>
    <t>Новогродівська загальноосвітня школа І-ІІ ступенів № 8 Новогродівської міської ради Донецької області</t>
  </si>
  <si>
    <t>вул. Тюленіна, 20</t>
  </si>
  <si>
    <t>0502017812</t>
  </si>
  <si>
    <t>Новогродівська загальноосвітня школа І-ІІІ ступенів № 10 ім.Тараса Шевченка Новогродівської міської ради Донецької області</t>
  </si>
  <si>
    <t>вул. О.Кошового, 38</t>
  </si>
  <si>
    <t>0623734069</t>
  </si>
  <si>
    <t>http://10-school.at.ua</t>
  </si>
  <si>
    <t>Новогродівська загальноосвітня школа І-ІІІ ступенів № 7 Новогродівської міської ради Донецької області</t>
  </si>
  <si>
    <t>вул. Паркова, 30</t>
  </si>
  <si>
    <t>(062)3733385</t>
  </si>
  <si>
    <t>http://zosh7.16mb.com</t>
  </si>
  <si>
    <t>Селидівська загальноосвітня гімназія Селидівської міської ради Донецької області</t>
  </si>
  <si>
    <t>85400</t>
  </si>
  <si>
    <t>1413800000</t>
  </si>
  <si>
    <t>Селидове</t>
  </si>
  <si>
    <t>вул. Маяковського, 18</t>
  </si>
  <si>
    <t>(06237)7-22-51</t>
  </si>
  <si>
    <t>http://selidgymnasium.at.ua</t>
  </si>
  <si>
    <t>Селидівська загальноосвітня школа І-ІІІ ступенів № 1 Селидівської міської ради Донецької області</t>
  </si>
  <si>
    <t>вул. Шевченка, 73</t>
  </si>
  <si>
    <t>(237)7-42-39</t>
  </si>
  <si>
    <t>http://selid-shcool1.at.ua</t>
  </si>
  <si>
    <t>Селидівська загальноосвітня школа І-ІІІ ступенів № 2 Селидівської міської ради Донецької області</t>
  </si>
  <si>
    <t>вул. Маяковського, 39 а</t>
  </si>
  <si>
    <t>(06237)7-42-78</t>
  </si>
  <si>
    <t>Селидівська загальноосвітня школа І-ІІІ ступенів № 6 Селидівської міської ради Донецької області</t>
  </si>
  <si>
    <t>вул. Перемоги, 19</t>
  </si>
  <si>
    <t>(06237)74445</t>
  </si>
  <si>
    <t>http://school6-selidovo.donetskedu.com/</t>
  </si>
  <si>
    <t>Українська загальноосвітня школа І-ІІІ ступенів № 13 Селидівської міської ради Донецької області</t>
  </si>
  <si>
    <t>85485</t>
  </si>
  <si>
    <t>вул. Первомайська, 62</t>
  </si>
  <si>
    <t>(237)62214</t>
  </si>
  <si>
    <t>http://selid-school13.blogspot.com/</t>
  </si>
  <si>
    <t>Селидівська вечірня (змінна) загальноосвітня школа ІІ - ІІІ ступенів № 11 Селидівської міської ради Донецької області</t>
  </si>
  <si>
    <t>85493</t>
  </si>
  <si>
    <t>вул. Прикордонна, 1</t>
  </si>
  <si>
    <t>Курахівська загальноосвітня школа І-ІІІ ступенів № 22 Селидівської міської ради Донецької обасті</t>
  </si>
  <si>
    <t>85490</t>
  </si>
  <si>
    <t>1413845900</t>
  </si>
  <si>
    <t>Курахівка</t>
  </si>
  <si>
    <t>(062)3721125</t>
  </si>
  <si>
    <t>http://kyrakhivska22.ucoz.ua</t>
  </si>
  <si>
    <t>Цукуринська філія Селидівської загальноосвітньої школи І - ІІІ ступенів № 6 Селидівської міської ради Донецької області</t>
  </si>
  <si>
    <t>85486</t>
  </si>
  <si>
    <t>1413846500</t>
  </si>
  <si>
    <t>Цукурине</t>
  </si>
  <si>
    <t>вул. Ватутіна, 1А</t>
  </si>
  <si>
    <t>(06237)2-20-2-28</t>
  </si>
  <si>
    <t>Гірницька загальноосвітня школа І-ІІ ступенів № 18 Селидівської міської ради Донецької області</t>
  </si>
  <si>
    <t>85487</t>
  </si>
  <si>
    <t>1413870300</t>
  </si>
  <si>
    <t>Гірник</t>
  </si>
  <si>
    <t>вул. Шевченка, 79</t>
  </si>
  <si>
    <t>(06237)51091</t>
  </si>
  <si>
    <t>Гірницька загальноосвітня школа І-ІІ ступенів № 19 Селидівської міської ради Донецької області</t>
  </si>
  <si>
    <t>вул. Центральна, 28 а</t>
  </si>
  <si>
    <t>(06237)51813</t>
  </si>
  <si>
    <t>http://zosh19.donetskedu.com/uk</t>
  </si>
  <si>
    <t>Гірницька загальноосвітня школа І-ІІІ ступенів № 17 Селидівської міської ради Донецької області</t>
  </si>
  <si>
    <t>вул. Пушкіна, 3</t>
  </si>
  <si>
    <t>(06237)5-10-93</t>
  </si>
  <si>
    <t>Українська загальноосвітня школа І-ІІІ ступенів № 12 Селидівської міської ради Донецької області</t>
  </si>
  <si>
    <t>1413870900</t>
  </si>
  <si>
    <t>Українськ</t>
  </si>
  <si>
    <t>(06237)6-23-36</t>
  </si>
  <si>
    <t>комунальний заклад"Слов'янський навчально-виховний комплекс "загальноосвітній навчальний заклад І-ІІ ступенів - дошкільний навчальний заклад" № 1 Слов'янської міської ради Донецької області"</t>
  </si>
  <si>
    <t>84115</t>
  </si>
  <si>
    <t>1414100000</t>
  </si>
  <si>
    <t>Слов'янськ</t>
  </si>
  <si>
    <t>вул. Лисичанська, 105</t>
  </si>
  <si>
    <t>(0626)63-11-38</t>
  </si>
  <si>
    <t>Слов'янська загальноосвітня школа І - ІІ ступенів № 20 Слов'янської міської ради Донецької області</t>
  </si>
  <si>
    <t>84102</t>
  </si>
  <si>
    <t>вул. Дарвіна, 21</t>
  </si>
  <si>
    <t>(06262)28397</t>
  </si>
  <si>
    <t>Слов'янська загальноосвітня школа І-ІІ ступенів № 19 Слов'янської міської ради Донецької області</t>
  </si>
  <si>
    <t>84109</t>
  </si>
  <si>
    <t>вул. Вокзальна, 32</t>
  </si>
  <si>
    <t>(0626)667469, (06262)74368</t>
  </si>
  <si>
    <t>Слов'янська загальноосвітня школа І-ІІІ ступенів № 1 Слов'янської міської ради Донецької області</t>
  </si>
  <si>
    <t>84100</t>
  </si>
  <si>
    <t>вул. Свободи, 28</t>
  </si>
  <si>
    <t>(06262)24185</t>
  </si>
  <si>
    <t>http://famous-school.ucoz.ua</t>
  </si>
  <si>
    <t>Слов'янська загальноосвітня школа І-ІІІ ступенів № 10 Слов'янської міської ради Донецької області</t>
  </si>
  <si>
    <t>84116</t>
  </si>
  <si>
    <t>вул. Бульварна, 6</t>
  </si>
  <si>
    <t>(0626)665863</t>
  </si>
  <si>
    <t>http://slavschool10.at.ua</t>
  </si>
  <si>
    <t>Слов'янська загальноосвітня школа І-ІІІ ступенів № 11 Слов'янської міської ради Донецької області</t>
  </si>
  <si>
    <t>вул. Вокзальна, 22</t>
  </si>
  <si>
    <t>(06262)35222</t>
  </si>
  <si>
    <t>Слов'янська загальноосвітня школа І-ІІІ ступенів № 13 Слов'янської міської ради Донецької області</t>
  </si>
  <si>
    <t>вул. Ясна, 19</t>
  </si>
  <si>
    <t>(0626)66-58-66</t>
  </si>
  <si>
    <t>http://www.slavschool13.org.ua</t>
  </si>
  <si>
    <t>Слов’янська загальноосвітня школа І-ІІІ ступенів № 17 Слов’янської міської ради Донецької області</t>
  </si>
  <si>
    <t>вул. Олімпійська, 4</t>
  </si>
  <si>
    <t>(0626)622509</t>
  </si>
  <si>
    <t>http://17schools.at.ua</t>
  </si>
  <si>
    <t>Слов'янська загальноосвітня школа І-ІІІ ступенів № 6 Слов'янської міської ради Донецької області</t>
  </si>
  <si>
    <t>вул. Гагаріна, 3</t>
  </si>
  <si>
    <t>(06262)73114, (06262)73655</t>
  </si>
  <si>
    <t>http://slavschool-6.ucoz.ua/</t>
  </si>
  <si>
    <t>Слов'янська загальноосвітня школа І-ІІІ ступенів № 9 Слов'янської міської ради Донецької області</t>
  </si>
  <si>
    <t>84101</t>
  </si>
  <si>
    <t>вул. Кутузова, 5</t>
  </si>
  <si>
    <t>(0626)62-48-05</t>
  </si>
  <si>
    <t>http://slavschool-9.at.ua</t>
  </si>
  <si>
    <t>Слов'янська загальноосвітня школа І-ІІІ ступенів № 12 Слов'янської міської ради Донецької області</t>
  </si>
  <si>
    <t>84122</t>
  </si>
  <si>
    <t>б-р Пушкіна, 4</t>
  </si>
  <si>
    <t>(06262)33088, (0626)621271</t>
  </si>
  <si>
    <t>http://www.slavschool-12.dn.ua</t>
  </si>
  <si>
    <t>Слов'янська загальноосвітня школа І-ІІІ ступенів № 15 Слов'янської міської ради Донецької області</t>
  </si>
  <si>
    <t>вул. Торгова, 8</t>
  </si>
  <si>
    <t>(06262)20957</t>
  </si>
  <si>
    <t>http://slavschool-15.narod.ru</t>
  </si>
  <si>
    <t>Слов'янська загальноосвітня школа І-ІІІ ступенів № 16 Слов'янської міської ради Донецької області</t>
  </si>
  <si>
    <t>84107</t>
  </si>
  <si>
    <t>(06262)2-57-03</t>
  </si>
  <si>
    <t>http://slavschool16.hol.es/</t>
  </si>
  <si>
    <t>Слов'янська загальноосвітня школа І-ІІІ ступенів № 18 Слов'янської міської ради Донецької області</t>
  </si>
  <si>
    <t>84111</t>
  </si>
  <si>
    <t>вул. Підгорна, 242</t>
  </si>
  <si>
    <t>(0626)667470, (06262)74973</t>
  </si>
  <si>
    <t>http://slavschool18.dn.ua</t>
  </si>
  <si>
    <t>Слов'янська загальноосвітня школа І-ІІІ ступенів № 4 Слов'янської міської ради Донецької області</t>
  </si>
  <si>
    <t>84108</t>
  </si>
  <si>
    <t>вул. Данили Галицького, 17</t>
  </si>
  <si>
    <t>(0626)624893</t>
  </si>
  <si>
    <t>http://slavschool4.moyblog.net</t>
  </si>
  <si>
    <t>Слов'янська загальноосвітня школа І-ІІІ ступенів № 5 Слов'янської міської ради Донецької області</t>
  </si>
  <si>
    <t>вул. Ярослава Мудрого, 4</t>
  </si>
  <si>
    <t>(06262)24096</t>
  </si>
  <si>
    <t>http://school-5.org.ua</t>
  </si>
  <si>
    <t>Слов'янська загальноосвітня школа І-ІІІ ступенів № 8 Слов'янської міської ради Донецької області</t>
  </si>
  <si>
    <t>вул. Торська, 55</t>
  </si>
  <si>
    <t>(06262)2-03-96</t>
  </si>
  <si>
    <t>http://school8.slav.dn.ua</t>
  </si>
  <si>
    <t>Слов'янська загальноосвітня школа-інтернат І-ІІІ ступенів № 1 Слов'янської міської ради Донецької області</t>
  </si>
  <si>
    <t>84121</t>
  </si>
  <si>
    <t>вул. Г. Батюка, 20</t>
  </si>
  <si>
    <t>(06262)34124</t>
  </si>
  <si>
    <t>Слов'янська спеціальна загальноосвітня школа-інтернат I-III ступенів № 23 Донецької обласної ради</t>
  </si>
  <si>
    <t>вул. Торська, 2</t>
  </si>
  <si>
    <t>(06262)2-61-91, (06262)2-98-65</t>
  </si>
  <si>
    <t>http://shkola-internat.org.ua/</t>
  </si>
  <si>
    <t>25967660</t>
  </si>
  <si>
    <t>Слов'янська спеціальна загальноосвітня школа-інтернат № 41 Донецької обласної ради</t>
  </si>
  <si>
    <t>вул. Інтернатна, 1</t>
  </si>
  <si>
    <t>(06262)32590</t>
  </si>
  <si>
    <t>26011260</t>
  </si>
  <si>
    <t>Слов'янський педагогічний ліцей Слов'янської міської ради Донецької області</t>
  </si>
  <si>
    <t>вул. Добровольського, 1</t>
  </si>
  <si>
    <t>(06262)29662</t>
  </si>
  <si>
    <t>http://slavpedlicey.com.ua/</t>
  </si>
  <si>
    <t>Слов"янська загальноосвітня школа І-ІІ ступенів № 7 Слов"янської міської ради Донецької області Слов"янська загальнооосвітня школа І-ІІ ступенів № 7 Слов"янської міської ради Донецької області</t>
  </si>
  <si>
    <t>84110</t>
  </si>
  <si>
    <t>вул. Енергетиків, 24</t>
  </si>
  <si>
    <t>(06262)29339</t>
  </si>
  <si>
    <t>Святогірська загальноосвітня санаторна школа-інтернат І-ІІ ступенів № 12 Донецької обласної ради</t>
  </si>
  <si>
    <t>84130</t>
  </si>
  <si>
    <t>1414170500</t>
  </si>
  <si>
    <t>Святогірськ</t>
  </si>
  <si>
    <t>вул. Лісна, 16</t>
  </si>
  <si>
    <t>(06262)53341</t>
  </si>
  <si>
    <t>http://sanschool.dn.ua</t>
  </si>
  <si>
    <t>23607331</t>
  </si>
  <si>
    <t>Святогірська ЗОШ</t>
  </si>
  <si>
    <t>вул. Шкільна, 57</t>
  </si>
  <si>
    <t>(06262)55664</t>
  </si>
  <si>
    <t>http://svyatschool.donetskedu.ru</t>
  </si>
  <si>
    <t>Вугледарська загальноосвітня школа І-ІІІ ступенів № 2 Вугледарської міської ради Донецької області</t>
  </si>
  <si>
    <t>85670</t>
  </si>
  <si>
    <t>1414800000</t>
  </si>
  <si>
    <t>Вугледар</t>
  </si>
  <si>
    <t>вул. Шахтарська, 26</t>
  </si>
  <si>
    <t>(06273)65778, (06273)65243</t>
  </si>
  <si>
    <t>http://school2ug.at.ua/</t>
  </si>
  <si>
    <t>Вугледарський навчально-виховний комплекс "МРІЯ" (загальноосвітня школа І-ІІІ ступенів - дошкільний навчальний заклад) Вугледарської міської ради Донецької області</t>
  </si>
  <si>
    <t>(06278)64178</t>
  </si>
  <si>
    <t>Вугледарський навчально-виховний комплекс "Політехнічний ліцей - загальноосвітня школа І-ІІ ступенів" Вугледарської міської ради Донецької області</t>
  </si>
  <si>
    <t>вул. 13 Десантників, 20</t>
  </si>
  <si>
    <t>(06273)65034</t>
  </si>
  <si>
    <t>http://uvk-ugl.at.ua/</t>
  </si>
  <si>
    <t>Олександрівська загальноосвітня школа І-ІІІ ступенів Олександрівської районної ради Донецької області</t>
  </si>
  <si>
    <t>84000</t>
  </si>
  <si>
    <t>1420355100</t>
  </si>
  <si>
    <t>вул. Абрикосова, 15</t>
  </si>
  <si>
    <t>(06269)2-12-74</t>
  </si>
  <si>
    <t>Дмитро-Дар'ївський навчально-виховний комплекс "загальноосвітня школа І-ІІ ступенів - дитячий садок" Олександрівської районної ради Донецької області</t>
  </si>
  <si>
    <t>84005</t>
  </si>
  <si>
    <t>1420355103</t>
  </si>
  <si>
    <t>Дмитро-Дар'ївка</t>
  </si>
  <si>
    <t>3А</t>
  </si>
  <si>
    <t>(06264)2-5-13</t>
  </si>
  <si>
    <t>Новостепанівський навчально-виховний комплекс "Загальноосвітня школа І-ІІІ ступенів - дошкільний навчальний заклад (дитячий садок)" Олександрівської районної ради Донецької області</t>
  </si>
  <si>
    <t>84040</t>
  </si>
  <si>
    <t>1420381007</t>
  </si>
  <si>
    <t>вул. Молодіжна, 14</t>
  </si>
  <si>
    <t>(6269)25343</t>
  </si>
  <si>
    <t>Високопільська ЗОШ І-ІІІ ступенів Олександрівського району Донецької області</t>
  </si>
  <si>
    <t>84020</t>
  </si>
  <si>
    <t>1420382201</t>
  </si>
  <si>
    <t>Високопілля</t>
  </si>
  <si>
    <t>(06269)23622</t>
  </si>
  <si>
    <t>Іверська загальноосвітня школа І-ІІІ ступенів Олександрівської районної ради Донецької області</t>
  </si>
  <si>
    <t>84050</t>
  </si>
  <si>
    <t>1420383301</t>
  </si>
  <si>
    <t>(06269)25-4-13</t>
  </si>
  <si>
    <t>Золотопрудська загальноосвітня школа І-ІІІступенів Олександрівської районної ради Донецької області</t>
  </si>
  <si>
    <t>84023</t>
  </si>
  <si>
    <t>1420383501</t>
  </si>
  <si>
    <t>Золоті Пруди</t>
  </si>
  <si>
    <t>25247</t>
  </si>
  <si>
    <t>Криничанський навчально-виховний комплекс "середня загальноосвітня школа І ступеня-дитячий садок" Олександравської районної ради Донецької області.</t>
  </si>
  <si>
    <t>84041</t>
  </si>
  <si>
    <t>1420383801</t>
  </si>
  <si>
    <t>Криниці</t>
  </si>
  <si>
    <t>вул. Шкільна, 50А</t>
  </si>
  <si>
    <t>(06269)24318</t>
  </si>
  <si>
    <t>Мирнодолинський навчально-виховний комплекс "Загальноосвітня школа I-III ступенів - дошкільний навчальний заклад (дитячий садок)" Олександрівської районної ради Донецької області</t>
  </si>
  <si>
    <t>84051</t>
  </si>
  <si>
    <t>1420384401</t>
  </si>
  <si>
    <t>Мирна Долина</t>
  </si>
  <si>
    <t>0(6269)2-56-17</t>
  </si>
  <si>
    <t>Михайлівська загальноосвітня школа І-ІІІступенів Олександрівської районної ради Донецької області</t>
  </si>
  <si>
    <t>84030</t>
  </si>
  <si>
    <t>1420385501</t>
  </si>
  <si>
    <t>(06269)23547</t>
  </si>
  <si>
    <t>Петрівська загальноосвітня школа І-ІІІ ступенів Олександрівської районної ради Донецької області</t>
  </si>
  <si>
    <t>84012</t>
  </si>
  <si>
    <t>1420386609</t>
  </si>
  <si>
    <t>Петрівка Друга</t>
  </si>
  <si>
    <t>(06269)26-2-72</t>
  </si>
  <si>
    <t>Некременська загальноосвітня школа І-ІІ ступенів Олександрівської районної ради Донецької області</t>
  </si>
  <si>
    <t>84021</t>
  </si>
  <si>
    <t>1420386701</t>
  </si>
  <si>
    <t>Некременне</t>
  </si>
  <si>
    <t>вул. Дівиченка, 1А</t>
  </si>
  <si>
    <t>(06269)23-4-20</t>
  </si>
  <si>
    <t>Новоолександрівський навчально-виховний комплекс "Загальноосвітня школа І-ІІІ ступенів - дошкільний навчальний заклад (дитячий садок)" Олександрівської районної ради Донецької області</t>
  </si>
  <si>
    <t>84010</t>
  </si>
  <si>
    <t>1420386801</t>
  </si>
  <si>
    <t>вул. Миру, 55</t>
  </si>
  <si>
    <t>0950443896</t>
  </si>
  <si>
    <t>Очеретинська загальноосвітня школа І-ІІІ ступенів Олександрівської районної ради Донецької області</t>
  </si>
  <si>
    <t>84022</t>
  </si>
  <si>
    <t>1420386901</t>
  </si>
  <si>
    <t>Очеретине</t>
  </si>
  <si>
    <t>(066)1612690</t>
  </si>
  <si>
    <t>Веселогірська загальноосвітня школа І-ІІІ ступенів Олександрівської районної Ради Донецької області</t>
  </si>
  <si>
    <t>84042</t>
  </si>
  <si>
    <t>1420387003</t>
  </si>
  <si>
    <t>Весела Гора</t>
  </si>
  <si>
    <t>(062)6924533</t>
  </si>
  <si>
    <t>Спасько-Михайлівська загальноосвітня школа І-ІІІ ступенів Олександрівської районної ради Донецької області</t>
  </si>
  <si>
    <t>84052</t>
  </si>
  <si>
    <t>1420387301</t>
  </si>
  <si>
    <t>Спасько-Михайлівка</t>
  </si>
  <si>
    <t>(06269)24237</t>
  </si>
  <si>
    <t>Степанівська загальноосвітня школа І-ІІІ ступенів Олександрівської районної ради Донецької області</t>
  </si>
  <si>
    <t>84043</t>
  </si>
  <si>
    <t>1420387501</t>
  </si>
  <si>
    <t>вул. Степова, 3</t>
  </si>
  <si>
    <t>(062)6924126</t>
  </si>
  <si>
    <t>Староварварівська загальноосвітня школа І-ІІІ ступенів Олександрівської районної ради Донецької області</t>
  </si>
  <si>
    <t>84031</t>
  </si>
  <si>
    <t>1420388001</t>
  </si>
  <si>
    <t>Староварварівка</t>
  </si>
  <si>
    <t>вул. Велика   Садова, 13</t>
  </si>
  <si>
    <t>(06269)23345</t>
  </si>
  <si>
    <t>Сіверська загальноосвітня школа І-ІІ ступенів № 3 Бахмутської районної ради Донецької області</t>
  </si>
  <si>
    <t>84523</t>
  </si>
  <si>
    <t>1420910400</t>
  </si>
  <si>
    <t>Сіверськ</t>
  </si>
  <si>
    <t>вул. Енергетиків, 25</t>
  </si>
  <si>
    <t>(06274)52055</t>
  </si>
  <si>
    <t>Сіверська загальноосвітня школа І-ІІІ ступенів № 1 Бахмутської районної ради Донецької області</t>
  </si>
  <si>
    <t>84522</t>
  </si>
  <si>
    <t>вул. Залізнична, 76</t>
  </si>
  <si>
    <t>(06274)52143</t>
  </si>
  <si>
    <t>Сіверська загальноосвітня школа І-ІІІ ступенів № 2 , Бахмутської районної ради Донецької області</t>
  </si>
  <si>
    <t>(06274)52680</t>
  </si>
  <si>
    <t>Світлодарська загальноосвітня школа І-ІІІ ступенів Бахмутської районної ради Донецької області</t>
  </si>
  <si>
    <t>84792</t>
  </si>
  <si>
    <t>1420910600</t>
  </si>
  <si>
    <t>Світлодарськ</t>
  </si>
  <si>
    <t>66А</t>
  </si>
  <si>
    <t>(06249)52485</t>
  </si>
  <si>
    <t>http://svschool11deb.ucoz.ua</t>
  </si>
  <si>
    <t>Світлодарський навчально - виховний комплекс "Дошкільний навчальний заклад - загальноосвітня школа І ступеня - гімназія" Бахмутської районної ради Донецької області</t>
  </si>
  <si>
    <t>вул. без назви, 24А</t>
  </si>
  <si>
    <t>(06249)52137</t>
  </si>
  <si>
    <t>Навчально-виховний комплекс "загальноосвітній навчальний заклад-дощкільний навчальний навчальний заклад № 23 1 ступеню "Сонечко"</t>
  </si>
  <si>
    <t>84545</t>
  </si>
  <si>
    <t>1420910800</t>
  </si>
  <si>
    <t>Соледар</t>
  </si>
  <si>
    <t>вул. Франко, 2</t>
  </si>
  <si>
    <t>Соледарська загальноосвітня школа І-ІІ ступенів № 14 Бахмутської районної ради Донецької області</t>
  </si>
  <si>
    <t>вул. Червонофлотська, 6</t>
  </si>
  <si>
    <t>443056</t>
  </si>
  <si>
    <t>Соледарська загальноосвітня школа І-ІІІ ступенів № 13 з поглибленим вивченням англійської мови Бахмутської районної ради Донецької області</t>
  </si>
  <si>
    <t>вул. Преображенська, 10</t>
  </si>
  <si>
    <t>(062)7443026</t>
  </si>
  <si>
    <t>http://school-13.at.ua/</t>
  </si>
  <si>
    <t>навчально-виховний комплекс "загальноосвітній навчальний заклад - дошкільний навчальний заклад" І ступеня № 29 "Барвінок"</t>
  </si>
  <si>
    <t>84552</t>
  </si>
  <si>
    <t>1420911000</t>
  </si>
  <si>
    <t>Часів Яр</t>
  </si>
  <si>
    <t>вул. Холода, 2</t>
  </si>
  <si>
    <t>(06274)72040</t>
  </si>
  <si>
    <t>Часовоярська загальноосвітня школа І-ІІІ ступенів № 17 Бахмутської міської ради Донецької області</t>
  </si>
  <si>
    <t>84551</t>
  </si>
  <si>
    <t>вул. Дмитра Скрипниченка, 49</t>
  </si>
  <si>
    <t>Часовоярська загальноосвітня школа І-ІІІ ступенів № 15 Бахмутської районної ради Донецької області</t>
  </si>
  <si>
    <t>вул. Горького, 1</t>
  </si>
  <si>
    <t>(06274)72969, (050)0446472</t>
  </si>
  <si>
    <t>Часовоярська спеціальна загальноосвітня школа-інтернат № 8 Донецької обласної ради</t>
  </si>
  <si>
    <t>вул. Ціолковського, 1</t>
  </si>
  <si>
    <t>(06274)72068</t>
  </si>
  <si>
    <t>http://chasovyar8.ucoz.ru</t>
  </si>
  <si>
    <t>22034382</t>
  </si>
  <si>
    <t>Луганська загальноосвітня школа І-ІІІ ступенів Бахмутської районної ради Донецької області</t>
  </si>
  <si>
    <t>84580</t>
  </si>
  <si>
    <t>1420955400</t>
  </si>
  <si>
    <t>Луганське</t>
  </si>
  <si>
    <t>вул. Шкільна, 59</t>
  </si>
  <si>
    <t>Миронівська загальноосвітня школа І-ІІІ ступенів № 2 Бахмутської районної ради</t>
  </si>
  <si>
    <t>84791</t>
  </si>
  <si>
    <t>1420955500</t>
  </si>
  <si>
    <t>Миронівський</t>
  </si>
  <si>
    <t>http://mirschool2.blogspot.com</t>
  </si>
  <si>
    <t>Миронівська загальноосвітня школа І-ІІІ ступенів № 1 Бахмутської районної ради Донецької області</t>
  </si>
  <si>
    <t>вул. Молодіжна, 10</t>
  </si>
  <si>
    <t>(062049)5-85-07</t>
  </si>
  <si>
    <t>http://http//myronivskyi-shool10.edukit.dn.ua</t>
  </si>
  <si>
    <t>Бахмутська загальноосвітня школа І - ІІІ ступенів Бахмутської районної ради Донецької області</t>
  </si>
  <si>
    <t>1420980301</t>
  </si>
  <si>
    <t>Бахмутське</t>
  </si>
  <si>
    <t>пл. Перемоги, 3</t>
  </si>
  <si>
    <t>(0627)495269</t>
  </si>
  <si>
    <t>http://bahmutschool.wix.com/1975</t>
  </si>
  <si>
    <t>Берестівська загальноосвітня школа І - ІІІ ступенів Бахмутськоїї районної ради Донецької області</t>
  </si>
  <si>
    <t>84541</t>
  </si>
  <si>
    <t>1420980501</t>
  </si>
  <si>
    <t>Берестове</t>
  </si>
  <si>
    <t>вул. Садова, 40</t>
  </si>
  <si>
    <t>(0627)498630</t>
  </si>
  <si>
    <t>http://berest-school.jimdo.com</t>
  </si>
  <si>
    <t>Васюківська загальноосвітня школа І-ІІ ступенів Бахмутської районної ради Донецької області</t>
  </si>
  <si>
    <t>84530</t>
  </si>
  <si>
    <t>1420981001</t>
  </si>
  <si>
    <t>Васюківка</t>
  </si>
  <si>
    <t>вул. Миру</t>
  </si>
  <si>
    <t>0953349735</t>
  </si>
  <si>
    <t>Дошкільний навчальний заклад-загальноосвітній навчальний заклад І ступеня Васюківської сільської ради Артемівського району Донецької області</t>
  </si>
  <si>
    <t>84529</t>
  </si>
  <si>
    <t>1420981008</t>
  </si>
  <si>
    <t>вул. Зарічна, 54</t>
  </si>
  <si>
    <t>0958548690</t>
  </si>
  <si>
    <t>Верхньокам'янська загальноосвітня школа І-ІІ ступенів Бахмутської районної ради Донецької області</t>
  </si>
  <si>
    <t>84525</t>
  </si>
  <si>
    <t>1420981501</t>
  </si>
  <si>
    <t>Верхньокам'янське</t>
  </si>
  <si>
    <t>(062745)22-83</t>
  </si>
  <si>
    <t>Володимирівська загальноосвітня школа І-ІІ ступенів Бахмутської районної ради Донецької області</t>
  </si>
  <si>
    <t>84560</t>
  </si>
  <si>
    <t>1420982001</t>
  </si>
  <si>
    <t>вул. Гагаріна, 135</t>
  </si>
  <si>
    <t>0676831254</t>
  </si>
  <si>
    <t>Дронівська загальноосвітня школа І ступеня Бахмутської районної ради Донецької області</t>
  </si>
  <si>
    <t>84521</t>
  </si>
  <si>
    <t>1420982301</t>
  </si>
  <si>
    <t>Дронівка</t>
  </si>
  <si>
    <t>0953089762</t>
  </si>
  <si>
    <t>Зайцівська загальноосвітня школа І - ІІІ ступенів Бахмутської районної ради Донецької області</t>
  </si>
  <si>
    <t>84570</t>
  </si>
  <si>
    <t>1420983001</t>
  </si>
  <si>
    <t>(274)49-61-30</t>
  </si>
  <si>
    <t>http://zaitsevoschool.at.ua</t>
  </si>
  <si>
    <t>Званівська загальноосвітня школа І-ІІІ ступенів Бахмутської районної ради Донецької області</t>
  </si>
  <si>
    <t>84528</t>
  </si>
  <si>
    <t>1420983501</t>
  </si>
  <si>
    <t>Званівка</t>
  </si>
  <si>
    <t>просп. Перемоги, 2</t>
  </si>
  <si>
    <t>(0627)495830</t>
  </si>
  <si>
    <t>Переїзнянська загальноосвітня школа І-ІІ ступенів Бахмутської районної ради Донецької області</t>
  </si>
  <si>
    <t>1420983503</t>
  </si>
  <si>
    <t>Переїзне</t>
  </si>
  <si>
    <t>вул. Центральна, 196</t>
  </si>
  <si>
    <t>(0627)49-51-30</t>
  </si>
  <si>
    <t>Калинівська загальноосвітня школа І - ІІ ступенів Бахмутської районної ради Донецької області</t>
  </si>
  <si>
    <t>84550</t>
  </si>
  <si>
    <t>1420983901</t>
  </si>
  <si>
    <t>вул. Лісова, 29</t>
  </si>
  <si>
    <t>39119</t>
  </si>
  <si>
    <t>Клинівська загальноосвітня школа І-ІІІ ступенів Бахмутської районної ради Донецької області</t>
  </si>
  <si>
    <t>84562</t>
  </si>
  <si>
    <t>1420984501</t>
  </si>
  <si>
    <t>Клинове</t>
  </si>
  <si>
    <t>(06274)9-62-49</t>
  </si>
  <si>
    <t>http://klynove-school.edukit.dn.ua</t>
  </si>
  <si>
    <t>Іванівська загальноосвітня школа І-ІІІ ступенів Бахмутської районної ради Донецької області</t>
  </si>
  <si>
    <t>84557</t>
  </si>
  <si>
    <t>1420985501</t>
  </si>
  <si>
    <t>Іванівське</t>
  </si>
  <si>
    <t>вул. Освітня, 10</t>
  </si>
  <si>
    <t>(0627)496630</t>
  </si>
  <si>
    <t>Міньківський навчально - виховний комплекс "Загальноосвітній навчальний заклад І - ІІІ ступенів - дошкільний навчальний заклад" Бахмутської районної ради Донецької області</t>
  </si>
  <si>
    <t>84532</t>
  </si>
  <si>
    <t>1420985701</t>
  </si>
  <si>
    <t>Міньківка</t>
  </si>
  <si>
    <t>(0627)49-60-44</t>
  </si>
  <si>
    <t>http://minkivka.at.ua/</t>
  </si>
  <si>
    <t>Никифорівська загальноосвітня школа І - ІІІ ступенів Бахмутської районої ради Донецької області</t>
  </si>
  <si>
    <t>84531</t>
  </si>
  <si>
    <t>1420985901</t>
  </si>
  <si>
    <t>Никифорівка</t>
  </si>
  <si>
    <t>вул. Тімірязєва, 43 а</t>
  </si>
  <si>
    <t>(0627)494830</t>
  </si>
  <si>
    <t>Новолуганська загальноосвітня школа І-ІІІ ступенів Бахмутської районної ради Донецької області</t>
  </si>
  <si>
    <t>84573</t>
  </si>
  <si>
    <t>1420986201</t>
  </si>
  <si>
    <t>Новолуганське</t>
  </si>
  <si>
    <t>(0627)497974</t>
  </si>
  <si>
    <t>Опитненська загальноосвітня школа І-ІІІ ступенів Бахмутської районної ради Донецької області</t>
  </si>
  <si>
    <t>84571</t>
  </si>
  <si>
    <t>1420986501</t>
  </si>
  <si>
    <t>Опитне</t>
  </si>
  <si>
    <t>(0627)494688</t>
  </si>
  <si>
    <t>http://opytne.edukit.dn.ua</t>
  </si>
  <si>
    <t>Парасковіївська загальноосвітня школа І - ІІІ ступенів Бахмутської районної ради Донецької області</t>
  </si>
  <si>
    <t>84536</t>
  </si>
  <si>
    <t>1420987001</t>
  </si>
  <si>
    <t>Парасковіївка</t>
  </si>
  <si>
    <t>(06274)9-64-98</t>
  </si>
  <si>
    <t>http://paraschool-2014.ucoz.ua</t>
  </si>
  <si>
    <t>Парасковіївська спеціальна загальноосвітня школа-інтернат № 40 Донецької обласної ради</t>
  </si>
  <si>
    <t>вул. Гірників, 23</t>
  </si>
  <si>
    <t>(0627)496448</t>
  </si>
  <si>
    <t>http://paraskov.at.ua</t>
  </si>
  <si>
    <t>25107733</t>
  </si>
  <si>
    <t>Покровський навчально-виховний комплекс "Загальноосвітній навчальний заклад І-ІІІ ступенів-дошкільний навчальний заклад" Бахмутської районної ради Донецької області</t>
  </si>
  <si>
    <t>84561</t>
  </si>
  <si>
    <t>1420987501</t>
  </si>
  <si>
    <t>вул. 40 років Перемоги, 13</t>
  </si>
  <si>
    <t>49-63-25</t>
  </si>
  <si>
    <t>Дошкільний навчальний заклад - загальноосвітній навчальний заклад І ступеня Роздолівської сільської ради</t>
  </si>
  <si>
    <t>84540</t>
  </si>
  <si>
    <t>1420988001</t>
  </si>
  <si>
    <t>Роздолівка</t>
  </si>
  <si>
    <t>49-70-30</t>
  </si>
  <si>
    <t>Свято-Покровськазагальноосвітня школа І-ІІ ступенів Бахмутської районної ради Донецької області</t>
  </si>
  <si>
    <t>84527</t>
  </si>
  <si>
    <t>1420988402</t>
  </si>
  <si>
    <t>Свято-Покровське</t>
  </si>
  <si>
    <t>(0627)59821</t>
  </si>
  <si>
    <t>http://kirovkaschool.wix.com/country-day-school-r</t>
  </si>
  <si>
    <t>Серебрянська загальноосвітня школа І-ІІІ ступенів Бахмутської районної ради Донецької області</t>
  </si>
  <si>
    <t>84520</t>
  </si>
  <si>
    <t>1420989201</t>
  </si>
  <si>
    <t>Серебрянка</t>
  </si>
  <si>
    <t>вул. Центральна, 2 Б</t>
  </si>
  <si>
    <t>(06274)59338</t>
  </si>
  <si>
    <t>Яковлівська загальноосвітня школа І-ІІІ ступенів Бахмутської районної ради Донецької області</t>
  </si>
  <si>
    <t>84542</t>
  </si>
  <si>
    <t>1420989901</t>
  </si>
  <si>
    <t>вул. Донецька, 7</t>
  </si>
  <si>
    <t>(06274)95489</t>
  </si>
  <si>
    <t>Великоновосілківська гімназія з загальноосвітньою школою І ступеня Великоновосілківської районної ради Донецької області</t>
  </si>
  <si>
    <t>85500</t>
  </si>
  <si>
    <t>1421255100</t>
  </si>
  <si>
    <t>Велика Новосілка</t>
  </si>
  <si>
    <t>вул. Весела, 40А</t>
  </si>
  <si>
    <t>(06243)21295</t>
  </si>
  <si>
    <t>http://vngimnazia.at.ua</t>
  </si>
  <si>
    <t>Великоновосілківська загальноосвітня школа І-ІІІ ступенів № 2 Великоновосілківської районної ради Донецької області</t>
  </si>
  <si>
    <t>вул. Інтернаціональна, 1</t>
  </si>
  <si>
    <t>(06243)21687</t>
  </si>
  <si>
    <t>Нескучненська загальноосвітня школа І-ІІІ ступенів Великоновосілківської районної ради Донецької області імені Миколи Олександровича Корфа</t>
  </si>
  <si>
    <t>85582</t>
  </si>
  <si>
    <t>1421255102</t>
  </si>
  <si>
    <t>Нескучне</t>
  </si>
  <si>
    <t>вул. Немировича-Данченка, 45</t>
  </si>
  <si>
    <t>(06243)20413</t>
  </si>
  <si>
    <t>Андріївська загальноосвітня школа І-ІІІ ступенів Великоновосілківської районної ради Донецької області</t>
  </si>
  <si>
    <t>85540</t>
  </si>
  <si>
    <t>1421280201</t>
  </si>
  <si>
    <t>вул. Матросова, 20</t>
  </si>
  <si>
    <t>(06243)93531</t>
  </si>
  <si>
    <t>Богатирська загальноосвітня школа І-ІІІ ступенів Великоновосілківської районної ради Донецької області</t>
  </si>
  <si>
    <t>85530</t>
  </si>
  <si>
    <t>1421280801</t>
  </si>
  <si>
    <t>Багатир</t>
  </si>
  <si>
    <t>(06243)98556</t>
  </si>
  <si>
    <t>Олексіївська загальноосвітня школа І-ІІІ ступенів Великоновосілківської районної ради Донецької області</t>
  </si>
  <si>
    <t>85531</t>
  </si>
  <si>
    <t>1421280805</t>
  </si>
  <si>
    <t>(06243)93914</t>
  </si>
  <si>
    <t>Зеленогайська загальноосвітня школа І-ІІІ ступенів Великоновосілківської районної ради Донецької області</t>
  </si>
  <si>
    <t>85511</t>
  </si>
  <si>
    <t>1421281802</t>
  </si>
  <si>
    <t>вул. Ювілейна, 62</t>
  </si>
  <si>
    <t>(06243)97321</t>
  </si>
  <si>
    <t>Комарська загальноосвітня школа І-ІІІ ступенів Великоновосілківської районної ради Донецької області</t>
  </si>
  <si>
    <t>85520</t>
  </si>
  <si>
    <t>1421282401</t>
  </si>
  <si>
    <t>Комар</t>
  </si>
  <si>
    <t>вул. Єгорова, 5</t>
  </si>
  <si>
    <t>(06243)97493</t>
  </si>
  <si>
    <t>Веселівська загальноосвітня школа І-ІІІ ступенів Великоновосілківської районної ради Донецької області</t>
  </si>
  <si>
    <t>85521</t>
  </si>
  <si>
    <t>1421282402</t>
  </si>
  <si>
    <t>вул. Гагаріна, 5</t>
  </si>
  <si>
    <t>(06243)96141</t>
  </si>
  <si>
    <t>Костянтинопільська загальноосвітня школа І-ІІІ ступенів Великоновосілківської районної ради Донецької області</t>
  </si>
  <si>
    <t>85542</t>
  </si>
  <si>
    <t>1421282701</t>
  </si>
  <si>
    <t>Костянтинопіль</t>
  </si>
  <si>
    <t>вул. Трифонова, 24</t>
  </si>
  <si>
    <t>(06243)93124</t>
  </si>
  <si>
    <t>Розливенська загальноосвітня школа І - ІІІ ступенів Великоновосілківської районної ради Донецької області</t>
  </si>
  <si>
    <t>85544</t>
  </si>
  <si>
    <t>1421282702</t>
  </si>
  <si>
    <t>Розлив</t>
  </si>
  <si>
    <t>(06243)93766</t>
  </si>
  <si>
    <t>Улаклицька загальноосвітня школа І-ІІ ступенів Великоновосілківської районної ради Донецької області</t>
  </si>
  <si>
    <t>85543</t>
  </si>
  <si>
    <t>1421282703</t>
  </si>
  <si>
    <t>Улакли</t>
  </si>
  <si>
    <t>вул. Молодіжна, 57</t>
  </si>
  <si>
    <t>93-4-31</t>
  </si>
  <si>
    <t>Краснополянська загальноосвітня школа І-ІІ ступенів Великоновосілківської районної ради Донецької області</t>
  </si>
  <si>
    <t>85571</t>
  </si>
  <si>
    <t>1421283001</t>
  </si>
  <si>
    <t>Красна Поляна</t>
  </si>
  <si>
    <t>вул. Лейтенанта Садового, 103</t>
  </si>
  <si>
    <t>(06243)95330</t>
  </si>
  <si>
    <t>Краснополянська загальноосвітня школа І-ІІІ ступенів Великоновосілківської районної ради Донецької області</t>
  </si>
  <si>
    <t>вул. Григорія Балжи, 49</t>
  </si>
  <si>
    <t>(06243)95172</t>
  </si>
  <si>
    <t>Новопетриківська загальноосвітня школа І-ІІ ступенів Великоновосілківської районої ради Донецької області</t>
  </si>
  <si>
    <t>85570</t>
  </si>
  <si>
    <t>1421283601</t>
  </si>
  <si>
    <t>Новопетриківка</t>
  </si>
  <si>
    <t>вул. Центральна, 172</t>
  </si>
  <si>
    <t>(06243)94753, (097)5543167, (095)5630615</t>
  </si>
  <si>
    <t>Новопетриківська загальноосвітня школа І-ІІІ ступенів Великоновосілківської районної ради Донецької області</t>
  </si>
  <si>
    <t>(06243)94-6-96</t>
  </si>
  <si>
    <t>Керменчицька загальноосвітня школа І-ІІІ ступенів Великоновосілківської районної ради Донецької області</t>
  </si>
  <si>
    <t>85561</t>
  </si>
  <si>
    <t>1421284001</t>
  </si>
  <si>
    <t>Керменчик</t>
  </si>
  <si>
    <t>вул. Паркова, 3 А</t>
  </si>
  <si>
    <t>Піддубненська загальноосвітня школа І-ІІІ ступенів Великоновосілківської районної ради Донецької області</t>
  </si>
  <si>
    <t>85512</t>
  </si>
  <si>
    <t>1421284401</t>
  </si>
  <si>
    <t>Піддубне</t>
  </si>
  <si>
    <t>просп. Київський, 12</t>
  </si>
  <si>
    <t>(06243)97-1-25, (06697)03-9-39</t>
  </si>
  <si>
    <t>Роздольненська загальноосвітня школа І-ІІІ ступенів Великоновосілківської районної ради Донецької області</t>
  </si>
  <si>
    <t>85532</t>
  </si>
  <si>
    <t>1421284601</t>
  </si>
  <si>
    <t>Роздольне</t>
  </si>
  <si>
    <t>вул. Шкільна, 32</t>
  </si>
  <si>
    <t>(062)92347</t>
  </si>
  <si>
    <t>Старомайорська загальноосвітня школа І-ІІІ ступенів Великоновосілківської районної ради Донецької області</t>
  </si>
  <si>
    <t>85550</t>
  </si>
  <si>
    <t>1421284801</t>
  </si>
  <si>
    <t>Старомайорське</t>
  </si>
  <si>
    <t>вул. Гоголя, 4</t>
  </si>
  <si>
    <t>Старомлинівська загальноосвітня школа I-III ступенів № 1 Великоновосілківської районної ради Донецької області</t>
  </si>
  <si>
    <t>85552</t>
  </si>
  <si>
    <t>1421285201</t>
  </si>
  <si>
    <t>Старомлинівка</t>
  </si>
  <si>
    <t>вул. Центральна, 95</t>
  </si>
  <si>
    <t>99-1-94</t>
  </si>
  <si>
    <t>Старомлинівська загальноосвітня школа І-ІІІ ступенів № 2 Великоновосілківської районної ради Донецької області</t>
  </si>
  <si>
    <t>(06243)99365</t>
  </si>
  <si>
    <t>Шахтарська загальноосвітня школа І-ІІІ ступенів Великоновосілківської районної ради Донецької області</t>
  </si>
  <si>
    <t>85560</t>
  </si>
  <si>
    <t>1421286401</t>
  </si>
  <si>
    <t>(06243)92186</t>
  </si>
  <si>
    <t>http://shaxt.at.ua</t>
  </si>
  <si>
    <t>Шевченківська загальноосвітня школа І-ІІІ ступенів Великоновосілківської районної ради Донецької області</t>
  </si>
  <si>
    <t>85522</t>
  </si>
  <si>
    <t>1421286601</t>
  </si>
  <si>
    <t>(806243)96571</t>
  </si>
  <si>
    <t>Волноваська вечірня (змінна) школа Волноваської районної ради Донецької області</t>
  </si>
  <si>
    <t>85700</t>
  </si>
  <si>
    <t>1421510100</t>
  </si>
  <si>
    <t>Волноваха</t>
  </si>
  <si>
    <t>вул. Менделєєва, 7</t>
  </si>
  <si>
    <t>Волноваська загальноосвітня школа I - III ступенів № 3 Волноваської районної ради Донецької обл.</t>
  </si>
  <si>
    <t>85702</t>
  </si>
  <si>
    <t>пров. Спортивний, 8</t>
  </si>
  <si>
    <t>(095)5174609</t>
  </si>
  <si>
    <t>https://volnov-school-3-2.jimdo.com/</t>
  </si>
  <si>
    <t>Волноваська загальноосвітня школа І - ІІІ ступенів № 1 Волноваської районної ради Донецької області</t>
  </si>
  <si>
    <t>вул. 1 Травня, 95</t>
  </si>
  <si>
    <t>(06244)42588</t>
  </si>
  <si>
    <t>Волноваська загальноосвітня школа І-ІІІ ступенів № 4 Волноваської районної ради Донецької області</t>
  </si>
  <si>
    <t>85701</t>
  </si>
  <si>
    <t>вул. Полтавська, 274</t>
  </si>
  <si>
    <t>93-3-89</t>
  </si>
  <si>
    <t>Волноваська загальноосвітня школа І-ІІІ ступенів № 5 Волноваської районної ради Донецької області</t>
  </si>
  <si>
    <t>вул. Гвардійська, 3</t>
  </si>
  <si>
    <t>4-25-92</t>
  </si>
  <si>
    <t>http://vol-liceum.at.ua</t>
  </si>
  <si>
    <t>Волноваська загальноосвітня школа І-ІІІ ступенів № 6 Волноваської районної ради Донецької області</t>
  </si>
  <si>
    <t>вул. Ломоносова, 13</t>
  </si>
  <si>
    <t>(06244)42593</t>
  </si>
  <si>
    <t>Волноваська загальноосвітня школа І-ІІІ ступенів № 2 Волноваської районної ради Донецької області</t>
  </si>
  <si>
    <t>пров. Путейський, 18</t>
  </si>
  <si>
    <t>(06244)4-25-52</t>
  </si>
  <si>
    <t>Волноваська загальноосвітня школа І-ІІІ ступенів № 7 Волноваської районної ради Донецької області</t>
  </si>
  <si>
    <t>85703</t>
  </si>
  <si>
    <t>(06244)4-25-75</t>
  </si>
  <si>
    <t>Андріївська загальноосвітня школа І-ІІІ ступенів № 1 Волноваської районної ради Донецької області</t>
  </si>
  <si>
    <t>87120</t>
  </si>
  <si>
    <t>1421555100</t>
  </si>
  <si>
    <t>Благодатненська загальноосвітня школа І-ІІ ступенів Волноваської районної ради Донецької області</t>
  </si>
  <si>
    <t>85725</t>
  </si>
  <si>
    <t>1421555300</t>
  </si>
  <si>
    <t>вул. Ювілейна, 40</t>
  </si>
  <si>
    <t>(244)53-6-21</t>
  </si>
  <si>
    <t>Володимирівська загальноосвітня школа І-ІІІ ступенів № 1 Волноваської районної ради Донецької області</t>
  </si>
  <si>
    <t>85721</t>
  </si>
  <si>
    <t>1421555600</t>
  </si>
  <si>
    <t>(38)0661638672</t>
  </si>
  <si>
    <t>http://vl-school1.jimdo.com</t>
  </si>
  <si>
    <t>Володимирівська загальноосвітня школа І-ІІІ ступенів № 2 Волноваської районної ради Донецької області</t>
  </si>
  <si>
    <t>85722</t>
  </si>
  <si>
    <t>вул. Грушева, 87А</t>
  </si>
  <si>
    <t>Донська загальноосвітня школа I-III ступенів Волноваської районної ради Донецької області</t>
  </si>
  <si>
    <t>85772</t>
  </si>
  <si>
    <t>1421555900</t>
  </si>
  <si>
    <t>Донське</t>
  </si>
  <si>
    <t>вул. Кошового, 5</t>
  </si>
  <si>
    <t>Мирненська загальноосвітня школа І-ІІІ ступенів Волноваської районної ради Донецької області</t>
  </si>
  <si>
    <t>87124</t>
  </si>
  <si>
    <t>1421556600</t>
  </si>
  <si>
    <t>(06279)4-41-15</t>
  </si>
  <si>
    <t>Новотроїцька загальноосвітня школа І-ІІІ ступенів № 2 Волноваської районної ради Донецької області</t>
  </si>
  <si>
    <t>85733</t>
  </si>
  <si>
    <t>1421556800</t>
  </si>
  <si>
    <t>вул. Івана Кононенка, 62</t>
  </si>
  <si>
    <t>(062)4446130</t>
  </si>
  <si>
    <t>Новотроїцька загальноосвітня школа І-ІІІ ступенів № 4 Волноваської районної ради Донецької області</t>
  </si>
  <si>
    <t>85732</t>
  </si>
  <si>
    <t>вул. Шевцової, 57</t>
  </si>
  <si>
    <t>(062-4-4-4)65-75</t>
  </si>
  <si>
    <t>http://novotroitskaya-shkola4.jimdo.com</t>
  </si>
  <si>
    <t>Ольгинська загальноосвітня школа І-ІІІ ступенів Волноваської районної ради Донецької області</t>
  </si>
  <si>
    <t>85730</t>
  </si>
  <si>
    <t>1421557200</t>
  </si>
  <si>
    <t>Ольгинка</t>
  </si>
  <si>
    <t>(38062)4499216</t>
  </si>
  <si>
    <t>http://olginkaschool.kl.com.ua</t>
  </si>
  <si>
    <t>Анадольський навчально-виховний комплекс Волноваської районної ради Донецької області</t>
  </si>
  <si>
    <t>85790</t>
  </si>
  <si>
    <t>1421580401</t>
  </si>
  <si>
    <t>Анадоль</t>
  </si>
  <si>
    <t>вул. Грецька, 17</t>
  </si>
  <si>
    <t>0667805946</t>
  </si>
  <si>
    <t>Валер'янівська загальноосвітня школа І - ІІІ ступенів Волноваської районної ради Донецької області</t>
  </si>
  <si>
    <t>85754</t>
  </si>
  <si>
    <t>1421581201</t>
  </si>
  <si>
    <t>Валер'янівка</t>
  </si>
  <si>
    <t>вул. Центральна, 34А</t>
  </si>
  <si>
    <t>(06244)95170</t>
  </si>
  <si>
    <t>Вільненська загальноосвітня школа І-ІІІ ступенів Волноваської районної ради Донецької області</t>
  </si>
  <si>
    <t>85762</t>
  </si>
  <si>
    <t>1421581301</t>
  </si>
  <si>
    <t>вул. Костюченка, 24</t>
  </si>
  <si>
    <t>56-3-35</t>
  </si>
  <si>
    <t>http://nash-klas95.webnode.com.ua</t>
  </si>
  <si>
    <t>Дмитрівська загальноосвітня школа І-ІІ ступенів Волноваської районної ради Донецької області</t>
  </si>
  <si>
    <t>85771</t>
  </si>
  <si>
    <t>1421581401</t>
  </si>
  <si>
    <t>Єгорівська загальноосвітня школа І-ІІІступенів Волноваської районної ради Донецької області</t>
  </si>
  <si>
    <t>85724</t>
  </si>
  <si>
    <t>1421581601</t>
  </si>
  <si>
    <t>Єгорівка</t>
  </si>
  <si>
    <t>вул. Шкільна, 45</t>
  </si>
  <si>
    <t>(099)4378889</t>
  </si>
  <si>
    <t>Зачатівська загальноосвітня школа І-ІІІ ступенів № 1 Волноваської районної ради Донецької області</t>
  </si>
  <si>
    <t>85767</t>
  </si>
  <si>
    <t>1421582001</t>
  </si>
  <si>
    <t>Зачатівка</t>
  </si>
  <si>
    <t>57-4-28</t>
  </si>
  <si>
    <t>Златоустівська загальноосвітня школа І-ІІІ ступенів Волноваської районної ради Донецької області</t>
  </si>
  <si>
    <t>85765</t>
  </si>
  <si>
    <t>1421582401</t>
  </si>
  <si>
    <t>вул. Чернігівська, 52</t>
  </si>
  <si>
    <t>(062)4490447</t>
  </si>
  <si>
    <t>Іванівська загальноосвітня школа І-ІІІ ступенів Волноваської районної ради Донецької області</t>
  </si>
  <si>
    <t>85763</t>
  </si>
  <si>
    <t>1421582801</t>
  </si>
  <si>
    <t>(06244)91240</t>
  </si>
  <si>
    <t>Діанівська ЗОШ І-ІІІ ступенів Волноваської районної ради Донецької області</t>
  </si>
  <si>
    <t>85783</t>
  </si>
  <si>
    <t>1421583101</t>
  </si>
  <si>
    <t>Діанівка</t>
  </si>
  <si>
    <t>(062)96142</t>
  </si>
  <si>
    <t>http://kirovske-voln.edukit.dn.ua/</t>
  </si>
  <si>
    <t>Сонячна загальноосвітня школа І-ІІІ ступенів Волноваської районної ради Донецької області</t>
  </si>
  <si>
    <t>85782</t>
  </si>
  <si>
    <t>1421583201</t>
  </si>
  <si>
    <t>Сонячне</t>
  </si>
  <si>
    <t>(095)4442273</t>
  </si>
  <si>
    <t>Бугаська ЗОШ І-ІІІ ступенів Волноваської районної ради Донецької області</t>
  </si>
  <si>
    <t>85764</t>
  </si>
  <si>
    <t>1421583601</t>
  </si>
  <si>
    <t>Бугас</t>
  </si>
  <si>
    <t>0954577495</t>
  </si>
  <si>
    <t>Миколаївська загальноосвітня школа І-ІІІ ступенів Волноваської районної ради Донецької області</t>
  </si>
  <si>
    <t>85734</t>
  </si>
  <si>
    <t>1421584001</t>
  </si>
  <si>
    <t>вул. Центральна, 32А</t>
  </si>
  <si>
    <t>(6244)55229</t>
  </si>
  <si>
    <t>Новогнатівська загальноосвітня школа І-ІІ ступенів Волноваського району Донецької області</t>
  </si>
  <si>
    <t>1421584004</t>
  </si>
  <si>
    <t>Новогнатівка</t>
  </si>
  <si>
    <t>0501399866</t>
  </si>
  <si>
    <t>Микільська загальноосвітня школа І-ІІІ ступенів Волноваської районної ради Донецької області</t>
  </si>
  <si>
    <t>85720</t>
  </si>
  <si>
    <t>1421584401</t>
  </si>
  <si>
    <t>Микільське</t>
  </si>
  <si>
    <t>вул. Гагаріна, 2А</t>
  </si>
  <si>
    <t>(06244)52444</t>
  </si>
  <si>
    <t>Новоолексіївська загальноосвітня школа І-ІІ ступенів Волноваської районної ради Донецької області</t>
  </si>
  <si>
    <t>85791</t>
  </si>
  <si>
    <t>1421584701</t>
  </si>
  <si>
    <t>Новоолексіївка</t>
  </si>
  <si>
    <t>вул. Молодіжна, 37</t>
  </si>
  <si>
    <t>(51)3-19</t>
  </si>
  <si>
    <t>http://novooleksiivska.ucoz.net</t>
  </si>
  <si>
    <t>Новоандріївська загальноосвітня школа І-ІІІ ступенів Волноваської районної ради Донецької області</t>
  </si>
  <si>
    <t>85752</t>
  </si>
  <si>
    <t>1421584801</t>
  </si>
  <si>
    <t>Новоандріївка</t>
  </si>
  <si>
    <t>(062)4495131</t>
  </si>
  <si>
    <t>http://novoandriivka.ucoz.ua</t>
  </si>
  <si>
    <t>Кирилівський навчально-виховний комплекс Волноваської районної ради Донецької області</t>
  </si>
  <si>
    <t>85753</t>
  </si>
  <si>
    <t>1421584802</t>
  </si>
  <si>
    <t>Кирилівка</t>
  </si>
  <si>
    <t>(06244)77-3-30</t>
  </si>
  <si>
    <t>http://nvkkirilovka.ucoz.ua</t>
  </si>
  <si>
    <t>Стрітенська загальноосвітня школа І-ІІІ ступенів Волноваської районної ради Донецької області</t>
  </si>
  <si>
    <t>85780</t>
  </si>
  <si>
    <t>1421585601</t>
  </si>
  <si>
    <t>Стрітенка</t>
  </si>
  <si>
    <t>вул. Миру, 3</t>
  </si>
  <si>
    <t>Петрівська загальноосвітня школа І-ІІІ ступенів Волноваської районної ради Донецької області</t>
  </si>
  <si>
    <t>85750</t>
  </si>
  <si>
    <t>1421586001</t>
  </si>
  <si>
    <t>Петрівське</t>
  </si>
  <si>
    <t>вул. Центральна, 39 а</t>
  </si>
  <si>
    <t>(58)4-71</t>
  </si>
  <si>
    <t>Привільненська загальноосвітня школа І-ІІІ ступенів Волноваської районної ради Донецької області</t>
  </si>
  <si>
    <t>85784</t>
  </si>
  <si>
    <t>1421586301</t>
  </si>
  <si>
    <t>(06244)71-4-43</t>
  </si>
  <si>
    <t>Прохорівська загальноосвітня школа І-ІІІ ступенів Волноваської районної ради Донецької області</t>
  </si>
  <si>
    <t>85773</t>
  </si>
  <si>
    <t>1421586401</t>
  </si>
  <si>
    <t>Прохорівка</t>
  </si>
  <si>
    <t>(050)6964348</t>
  </si>
  <si>
    <t>Рівнопільська загальноосвітня школа І-ІІІ ступенів Волноваської районної ради Донецької області</t>
  </si>
  <si>
    <t>85760</t>
  </si>
  <si>
    <t>1421586801</t>
  </si>
  <si>
    <t>Рівнопіль</t>
  </si>
  <si>
    <t>(0624476)272</t>
  </si>
  <si>
    <t>Рибинська загальноосвітня школа І-ІІІ ступенів Волноваської районної ради Донецької області</t>
  </si>
  <si>
    <t>85735</t>
  </si>
  <si>
    <t>1421587201</t>
  </si>
  <si>
    <t>Рибинське</t>
  </si>
  <si>
    <t>(06244)94-1-18</t>
  </si>
  <si>
    <t>Ближненська загальноосвітня школа I-III ступенів Волноваської районної ради Донецької області</t>
  </si>
  <si>
    <t>85736</t>
  </si>
  <si>
    <t>1421587202</t>
  </si>
  <si>
    <t>Ближнє</t>
  </si>
  <si>
    <t>вул. Центральна, 20А</t>
  </si>
  <si>
    <t>(050)7569576</t>
  </si>
  <si>
    <t>http://blyzhnie-school.edukit.dn.ua</t>
  </si>
  <si>
    <t>Свободненська загальноосвітня школа І-ІІІ ступенів Волноваської районної ради Донецької області</t>
  </si>
  <si>
    <t>85770</t>
  </si>
  <si>
    <t>1421587601</t>
  </si>
  <si>
    <t>Свободне</t>
  </si>
  <si>
    <t>(06244)78216</t>
  </si>
  <si>
    <t>Старогнатівська загальноосвітня школа І - ІІІ ступенів районної ради Волноваської районої ради Донецької області</t>
  </si>
  <si>
    <t>87110</t>
  </si>
  <si>
    <t>1421587701</t>
  </si>
  <si>
    <t>Старогнатівка</t>
  </si>
  <si>
    <t>ал. Шкільна, 37</t>
  </si>
  <si>
    <t>Степнянська загальноосвітня школа І- ІІІ ступенів Волноваської районної ради Донецької області</t>
  </si>
  <si>
    <t>85751</t>
  </si>
  <si>
    <t>1421587901</t>
  </si>
  <si>
    <t>Степне</t>
  </si>
  <si>
    <t>(06244)59237</t>
  </si>
  <si>
    <t>Хлібодарівський навчально-виховний комплекс Хлібодарівської сільської ради Волноваського району Донецької області</t>
  </si>
  <si>
    <t>85766</t>
  </si>
  <si>
    <t>1421588001</t>
  </si>
  <si>
    <t>Хлібодарівка</t>
  </si>
  <si>
    <t>вул. Миру, 1А</t>
  </si>
  <si>
    <t>(06244)92136</t>
  </si>
  <si>
    <t>Чермалицька загальноосвітня школа І-ІІІ ступенів Волноваської районної ради Донецької області</t>
  </si>
  <si>
    <t>87142</t>
  </si>
  <si>
    <t>1421588201</t>
  </si>
  <si>
    <t>Чермалик</t>
  </si>
  <si>
    <t>(099)9296186</t>
  </si>
  <si>
    <t>Гранітненська загальноосвітня школа І-ІІІ ступенів Волноваської районної ради Донецької області</t>
  </si>
  <si>
    <t>87123</t>
  </si>
  <si>
    <t>1421588801</t>
  </si>
  <si>
    <t>вул. Богдана Хмельницького, 33</t>
  </si>
  <si>
    <t>(06279)31493</t>
  </si>
  <si>
    <t>Новоселівська загальноосвітня школа І-ІІІ ступенів Волноваської районної ради Донецької області</t>
  </si>
  <si>
    <t>87140</t>
  </si>
  <si>
    <t>1421589201</t>
  </si>
  <si>
    <t>0951007872</t>
  </si>
  <si>
    <t>Кам'янська загальноосвітня школа І - ІІІ ступенів Волноваської районної ради Донецької області</t>
  </si>
  <si>
    <t>87141</t>
  </si>
  <si>
    <t>1421589203</t>
  </si>
  <si>
    <t>вул. Шкільна, 8А</t>
  </si>
  <si>
    <t>Комунальний заклад "Нікольська загальноосвітня школа І - ІІІ ступенів № 1 імені Якименка А.Д. Нікольської районної ради Донецької області" опорна школа</t>
  </si>
  <si>
    <t>87000</t>
  </si>
  <si>
    <t>1421755100</t>
  </si>
  <si>
    <t>Нікольське</t>
  </si>
  <si>
    <t>вул. Свободи, 122</t>
  </si>
  <si>
    <t>(06246)21729</t>
  </si>
  <si>
    <t>30367033</t>
  </si>
  <si>
    <t>Нікольська гімназія "Софія" з загальноосвітньою школою І ступеня № 2 Нікольської районної ради Донецької області</t>
  </si>
  <si>
    <t>вул. Паркова, 23</t>
  </si>
  <si>
    <t>(06246)20148</t>
  </si>
  <si>
    <t>http://volodarsk-zosh2.ucoz.ua</t>
  </si>
  <si>
    <t>30367065</t>
  </si>
  <si>
    <t>КЗ "Бойовська загальноосвітня школа І-ІІ ступенів Нікольської районної ради Донецької області"</t>
  </si>
  <si>
    <t>87060</t>
  </si>
  <si>
    <t>1421781101</t>
  </si>
  <si>
    <t>Бойове</t>
  </si>
  <si>
    <t>вул. Сенатосенка, 81 д</t>
  </si>
  <si>
    <t>(38098)2165685</t>
  </si>
  <si>
    <t>30367054</t>
  </si>
  <si>
    <t>Комунальний заклад "Малинівський навчально-виховний комплекс "Загальноосвітня школа І-ІІ ступенів - дошкільний навчальний заклад" Нікольської районної ради Донецької області</t>
  </si>
  <si>
    <t>87062</t>
  </si>
  <si>
    <t>1421781102</t>
  </si>
  <si>
    <t>(06246)23424</t>
  </si>
  <si>
    <t>30348932</t>
  </si>
  <si>
    <t>Комунальний заклад "Новогригорівська загальноосвітня школа І-ІІ ступенів Нікольської районної ради Донецької області"</t>
  </si>
  <si>
    <t>87061</t>
  </si>
  <si>
    <t>1421781103</t>
  </si>
  <si>
    <t>(0629)2-68-18</t>
  </si>
  <si>
    <t>http://novogrugorovka2.ucoz.com</t>
  </si>
  <si>
    <t>30366925</t>
  </si>
  <si>
    <t>Комунальний заклад "Зорянська загальноосвітня школа І-ІІІ ступенів Нікольскої районної ради Донецької області"</t>
  </si>
  <si>
    <t>87042</t>
  </si>
  <si>
    <t>1421781601</t>
  </si>
  <si>
    <t>вул. Садова, 22А</t>
  </si>
  <si>
    <t>(0626)2-55-47</t>
  </si>
  <si>
    <t>30366910</t>
  </si>
  <si>
    <t>Комунальний заклад "Зеленоярська загальноосвітня школа І-ІІІ ступенів Нікольської районної ради Донецької області"</t>
  </si>
  <si>
    <t>87023</t>
  </si>
  <si>
    <t>1421781801</t>
  </si>
  <si>
    <t>Зелений Яр</t>
  </si>
  <si>
    <t>вул. Центральна, 31 Б</t>
  </si>
  <si>
    <t>(06246)2-67-96</t>
  </si>
  <si>
    <t>30348911</t>
  </si>
  <si>
    <t>Комунальний заклад "Кальчицька загальноосвітня школа І-ІІІ ступенів Нікольської районної ради Донецької області"</t>
  </si>
  <si>
    <t>87040</t>
  </si>
  <si>
    <t>1421782201</t>
  </si>
  <si>
    <t>Кальчик</t>
  </si>
  <si>
    <t>(0624)624296</t>
  </si>
  <si>
    <t>http://schoolkalchik.ucoz.net</t>
  </si>
  <si>
    <t>30366967</t>
  </si>
  <si>
    <t>комунальний заклад "Касянівська загальноосвітня школа І-ІІІ ступенів Нікольської районної ради Донецької області"</t>
  </si>
  <si>
    <t>87030</t>
  </si>
  <si>
    <t>1421783301</t>
  </si>
  <si>
    <t>Касянівка</t>
  </si>
  <si>
    <t>вул. Гагаріна, 15Б</t>
  </si>
  <si>
    <t>(0624)625457</t>
  </si>
  <si>
    <t>30366988</t>
  </si>
  <si>
    <t>Комунальний заклад "Македонівська загальноосвітня школа І-ІІІ ступенів Нікольської районної ради Донецької області"</t>
  </si>
  <si>
    <t>87032</t>
  </si>
  <si>
    <t>1421783302</t>
  </si>
  <si>
    <t>Македонівка</t>
  </si>
  <si>
    <t>вул. Гагаріна, 79А</t>
  </si>
  <si>
    <t>(06246)2-54-17</t>
  </si>
  <si>
    <t>30366946</t>
  </si>
  <si>
    <t>Комунальний заклад "Кременівська загальноосвітня школа І-ІІІ ступенів імені братів Зосіма Нікольської районної ради Донецької області"</t>
  </si>
  <si>
    <t>87031</t>
  </si>
  <si>
    <t>1421783304</t>
  </si>
  <si>
    <t>Кременівка</t>
  </si>
  <si>
    <t>вул. Шкільна, 46</t>
  </si>
  <si>
    <t>(067)8355273</t>
  </si>
  <si>
    <t>30366904</t>
  </si>
  <si>
    <t>Комунальний заклад «Малоянисольська загальноосвітня школа І-ІІІ ступенів імені В.В. Балабана Нікольської районної ради Донецької області»</t>
  </si>
  <si>
    <t>87010</t>
  </si>
  <si>
    <t>1421784401</t>
  </si>
  <si>
    <t>Малоянисоль</t>
  </si>
  <si>
    <t>вул. Миру, 92</t>
  </si>
  <si>
    <t>(06246)26320</t>
  </si>
  <si>
    <t>http://maloyscholl.ucoz.ru</t>
  </si>
  <si>
    <t>23421520</t>
  </si>
  <si>
    <t>Комунальний заклад "Новокраснівська загальноосвітня школа І-ІІІ ступенів Нікольської районної ради Донецької області"</t>
  </si>
  <si>
    <t>87022</t>
  </si>
  <si>
    <t>1421785001</t>
  </si>
  <si>
    <t>Новокраснівка</t>
  </si>
  <si>
    <t>вул. Лісна, 35А</t>
  </si>
  <si>
    <t>(06246)23633</t>
  </si>
  <si>
    <t>http://zvonok2010.at.ua</t>
  </si>
  <si>
    <t>30348927</t>
  </si>
  <si>
    <t>Комунальний заклад "Республіканська загальноосвітня школа І-ІІІ ступенів Нікольської районної ради Донецької області"</t>
  </si>
  <si>
    <t>87021</t>
  </si>
  <si>
    <t>1421785501</t>
  </si>
  <si>
    <t>Республіка</t>
  </si>
  <si>
    <t>(0624)624834</t>
  </si>
  <si>
    <t>30366930</t>
  </si>
  <si>
    <t>комунальний заклад "Темрюцька загальноосвітня школа І-ІІІ ступенів Нікольської районної ради Донецької області"</t>
  </si>
  <si>
    <t>87020</t>
  </si>
  <si>
    <t>1421786601</t>
  </si>
  <si>
    <t>Темрюк</t>
  </si>
  <si>
    <t>http://oshstarchenkovo.ucoz.ua</t>
  </si>
  <si>
    <t>30367007</t>
  </si>
  <si>
    <t>Комунальний заклад "Тополинська загальноосвітня школа І-ІІІ ступенів Нікольської районної ради Донецької області"</t>
  </si>
  <si>
    <t>87050</t>
  </si>
  <si>
    <t>1421787001</t>
  </si>
  <si>
    <t>Тополине</t>
  </si>
  <si>
    <t>2-61-36</t>
  </si>
  <si>
    <t>30366972</t>
  </si>
  <si>
    <t>Святогорівська загальноосвітня школа І-ІІІ ступенів Добропільської районної ради Донецької області</t>
  </si>
  <si>
    <t>85020</t>
  </si>
  <si>
    <t>1422055500</t>
  </si>
  <si>
    <t>Святогорівка</t>
  </si>
  <si>
    <t>вул. Шкільна, 75</t>
  </si>
  <si>
    <t>(06277)93140</t>
  </si>
  <si>
    <t>Ганнівська загальноосвітня школа І-ІІІ ступенів Добропільської районної ради Донецької області</t>
  </si>
  <si>
    <t>85022</t>
  </si>
  <si>
    <t>1422081101</t>
  </si>
  <si>
    <t>вул. Ходневича, 39Б</t>
  </si>
  <si>
    <t>(062)94-1-82</t>
  </si>
  <si>
    <t>http://gannivka-school.ucoz.com/</t>
  </si>
  <si>
    <t>Добропільська загальноосвітня школа І-ІІІ ступенів Добропільської районної ради Донецької області</t>
  </si>
  <si>
    <t>85032</t>
  </si>
  <si>
    <t>1422082201</t>
  </si>
  <si>
    <t>(06277)92-2-80</t>
  </si>
  <si>
    <t>http://shkola-dobropole.klasna.com</t>
  </si>
  <si>
    <t>Золотоколодязянська загальноосвітня школа I-III ступенів Добропільської районної ради Донецької області</t>
  </si>
  <si>
    <t>85018</t>
  </si>
  <si>
    <t>1422083301</t>
  </si>
  <si>
    <t>Золотий Колодязь</t>
  </si>
  <si>
    <t>(06277)97-2-89</t>
  </si>
  <si>
    <t>http://shkolazoloto.ucoz.ua</t>
  </si>
  <si>
    <t>Криворізька загальноосвітня школа I-III ступенів Добропільської районної ради Донецької області</t>
  </si>
  <si>
    <t>85030</t>
  </si>
  <si>
    <t>1422084401</t>
  </si>
  <si>
    <t>Криворіжжя</t>
  </si>
  <si>
    <t>(062)7795140</t>
  </si>
  <si>
    <t>Никанорівська загальноосвітня школа I-II ступенів Шахівської сільської ради Донецької області</t>
  </si>
  <si>
    <t>85053</t>
  </si>
  <si>
    <t>1422085001</t>
  </si>
  <si>
    <t>Никанорівка</t>
  </si>
  <si>
    <t>(050)1813795</t>
  </si>
  <si>
    <t>Нововодянська загальноосвітня школа І - ІІ ступенів Добропільської районної ради Донецької області</t>
  </si>
  <si>
    <t>85017</t>
  </si>
  <si>
    <t>1422085501</t>
  </si>
  <si>
    <t>Нововодяне</t>
  </si>
  <si>
    <t>вул. Донецька, 56</t>
  </si>
  <si>
    <t>94-3-44</t>
  </si>
  <si>
    <t>http://novovodiane.edukit.dn.ua</t>
  </si>
  <si>
    <t>Шахівська загальноосвітня школа I-III ступенів Шахівської сільської ради Добропільського району Донецької області</t>
  </si>
  <si>
    <t>85050</t>
  </si>
  <si>
    <t>1422087701</t>
  </si>
  <si>
    <t>Шахове</t>
  </si>
  <si>
    <t>(06277)91-1-64, (066)8940313, (099)7132003</t>
  </si>
  <si>
    <t>http://oktjabrskoe.donetskedu.com/</t>
  </si>
  <si>
    <t>Світлівська загальноосвітня школа I-III ступенів Добропільської районної ради Донецької області</t>
  </si>
  <si>
    <t>85064</t>
  </si>
  <si>
    <t>1422088001</t>
  </si>
  <si>
    <t>Світле</t>
  </si>
  <si>
    <t>Шилівська загальноосвітня школа І-ІІІ ступенів Добропільської районної ради Донецької області</t>
  </si>
  <si>
    <t>85033</t>
  </si>
  <si>
    <t>1422088801</t>
  </si>
  <si>
    <t>Шилівка</t>
  </si>
  <si>
    <t>(06277)98-2-43</t>
  </si>
  <si>
    <t>http://shilovschool.klasna.com</t>
  </si>
  <si>
    <t>Олександро-Калинівська загальноосвітня школа І-ІІІ ступенів Костянтинівської районної ради Донецької області</t>
  </si>
  <si>
    <t>85142</t>
  </si>
  <si>
    <t>1422480501</t>
  </si>
  <si>
    <t>Олександро-Калинове</t>
  </si>
  <si>
    <t>(06272)94540</t>
  </si>
  <si>
    <t>http://alkalinov.webnode.ru/</t>
  </si>
  <si>
    <t>Степанівська загальноосвітня школа І-ІІІ ступенів Костянтинівської районної ради Донецької області</t>
  </si>
  <si>
    <t>85140</t>
  </si>
  <si>
    <t>1422481001</t>
  </si>
  <si>
    <t>Довга Балка</t>
  </si>
  <si>
    <t>(06272)91161</t>
  </si>
  <si>
    <t>http://step-school.okis.ru</t>
  </si>
  <si>
    <t>Степанівський навчально - виховний комплекс Іст Іллінівської сільської ради Донецької області</t>
  </si>
  <si>
    <t>85141</t>
  </si>
  <si>
    <t>1422481003</t>
  </si>
  <si>
    <t>(095)4065688</t>
  </si>
  <si>
    <t>Білокузьминівська загальноосвітня школа I-III ступенів Костянтинівської районної ради Донецької області</t>
  </si>
  <si>
    <t>85130</t>
  </si>
  <si>
    <t>1422481501</t>
  </si>
  <si>
    <t>Білокузьминівка</t>
  </si>
  <si>
    <t>вул. Садова, 62</t>
  </si>
  <si>
    <t>(06272)99-8-83</t>
  </si>
  <si>
    <t>http://belokzosh.ucoz.com</t>
  </si>
  <si>
    <t>Зорянська спеціалізована школа І-ІІІ ступенів імені Героя Радянського Союзу Петра Савелійовича Дубрівного Костянтинівської районної ради Донецької області</t>
  </si>
  <si>
    <t>85184</t>
  </si>
  <si>
    <t>1422482301</t>
  </si>
  <si>
    <t>вул. Дубрівного, 72</t>
  </si>
  <si>
    <t>(06272)98543</t>
  </si>
  <si>
    <t>http://zoria-kost.edukit.dn.ua</t>
  </si>
  <si>
    <t>Іванопільська спеціалізована школа І-ІІІ ступенів Костянтинівської районної ради Донецької області</t>
  </si>
  <si>
    <t>85160</t>
  </si>
  <si>
    <t>1422482501</t>
  </si>
  <si>
    <t>Іванопілля</t>
  </si>
  <si>
    <t>вул. Садова, 34Б</t>
  </si>
  <si>
    <t>(06272)98643</t>
  </si>
  <si>
    <t>http://iva-school.klasna.com</t>
  </si>
  <si>
    <t>Олександро-Шультинський навчально-виховний комплекс Костянтинівської районної ради Донецької області</t>
  </si>
  <si>
    <t>1422482505</t>
  </si>
  <si>
    <t>Олександро-Шультине</t>
  </si>
  <si>
    <t>(806272)90115</t>
  </si>
  <si>
    <t>Іллінівська спеціалізована школа І-ІІІ ступенів Костянтинівської районної ради Донецької області</t>
  </si>
  <si>
    <t>85143</t>
  </si>
  <si>
    <t>1422482701</t>
  </si>
  <si>
    <t>Іллінівка</t>
  </si>
  <si>
    <t>(06272)24128</t>
  </si>
  <si>
    <t>Катеринівська загальноосвітня школа І-ІІІ ступенів Костянтинівської районної ради Донецької області</t>
  </si>
  <si>
    <t>85150</t>
  </si>
  <si>
    <t>1422483002</t>
  </si>
  <si>
    <t>Клебан-Бик</t>
  </si>
  <si>
    <t>(062)7298147</t>
  </si>
  <si>
    <t>http://katerra.ucoz.net</t>
  </si>
  <si>
    <t>Кіндратівська спеціалізована школа І-ІІІ ступенів з поглибленим вивченням інформатики та програмування</t>
  </si>
  <si>
    <t>84208</t>
  </si>
  <si>
    <t>1422483501</t>
  </si>
  <si>
    <t>Кіндратівка</t>
  </si>
  <si>
    <t>вул. Заборського, 101</t>
  </si>
  <si>
    <t>(06267)51230</t>
  </si>
  <si>
    <t>Куртівський навчально-виховний комплекс Костянтинівської районної ради Донецької області</t>
  </si>
  <si>
    <t>85133</t>
  </si>
  <si>
    <t>1422483503</t>
  </si>
  <si>
    <t>Куртівка</t>
  </si>
  <si>
    <t>(267)52197</t>
  </si>
  <si>
    <t>http://www.kurtivka-nvk.edukit.dn.ua</t>
  </si>
  <si>
    <t>Марківська загальноосвітня школа І-ІІІ ступенів Костянтинівської районної ради Донецької області</t>
  </si>
  <si>
    <t>85132</t>
  </si>
  <si>
    <t>1422483701</t>
  </si>
  <si>
    <t>Маркове</t>
  </si>
  <si>
    <t>вул. Молодогвардійців, 93</t>
  </si>
  <si>
    <t>(06272)99-1-54</t>
  </si>
  <si>
    <t>http://markove.ucoz.ua/</t>
  </si>
  <si>
    <t>Миколаївський навчально-виховний комплекс Костянтинівської районної ради Донецької області</t>
  </si>
  <si>
    <t>85134</t>
  </si>
  <si>
    <t>1422484001</t>
  </si>
  <si>
    <t>вул. Жовтня, 19А</t>
  </si>
  <si>
    <t>(06272)98910</t>
  </si>
  <si>
    <t>НОВОДМИТРІВСЬКИЙ НАВЧАЛЬНО-ВИХОВНИЙ КОМПЛЕКС КОСТЯНТИНІВСЬКОЇ РАЙОННОЇ РАДИ ДОНЕЦЬКОЇ ОБЛАСТІ</t>
  </si>
  <si>
    <t>85135</t>
  </si>
  <si>
    <t>1422484101</t>
  </si>
  <si>
    <t>Новодмитрівка</t>
  </si>
  <si>
    <t>вул. Севастопольська, 1А</t>
  </si>
  <si>
    <t>http://novnvk.klasna.com</t>
  </si>
  <si>
    <t>Софіївський навчально-виховний комплекс Костянтинівської районної ради Донецької області</t>
  </si>
  <si>
    <t>85171</t>
  </si>
  <si>
    <t>1422484401</t>
  </si>
  <si>
    <t>(06272)99740</t>
  </si>
  <si>
    <t>Старомиколаївський навчально - виховний комплекс Іллінівської сільської ради Донецької області</t>
  </si>
  <si>
    <t>85183</t>
  </si>
  <si>
    <t>1422485501</t>
  </si>
  <si>
    <t>Стара Миколаївка</t>
  </si>
  <si>
    <t>вул. Садова, 42А</t>
  </si>
  <si>
    <t>(06272)90220</t>
  </si>
  <si>
    <t>Тарасівський навчально-виховний комплекс Костянтинівської районної ради Донецької області</t>
  </si>
  <si>
    <t>85180</t>
  </si>
  <si>
    <t>1422485801</t>
  </si>
  <si>
    <t>вул. Московська, 94</t>
  </si>
  <si>
    <t>(06272)90440</t>
  </si>
  <si>
    <t>http://nvk-tarasovka.at.ua</t>
  </si>
  <si>
    <t>Торський навчально-виховний комплекс Костянтинівської районної ради Донецької області</t>
  </si>
  <si>
    <t>85170</t>
  </si>
  <si>
    <t>1422486001</t>
  </si>
  <si>
    <t>Торське</t>
  </si>
  <si>
    <t>вул. Ювілейна, 27</t>
  </si>
  <si>
    <t>(06272)98456</t>
  </si>
  <si>
    <t>Гродівська загальноосвітня школа І-ІІІ ступенів Покровської районної ради Донецької області</t>
  </si>
  <si>
    <t>85345</t>
  </si>
  <si>
    <t>1422755300</t>
  </si>
  <si>
    <t>Гродівка</t>
  </si>
  <si>
    <t>(0623)532195, (050)7548991</t>
  </si>
  <si>
    <t>http://grodivka-school.edukit.dn.ua/</t>
  </si>
  <si>
    <t>25703398</t>
  </si>
  <si>
    <t>Новоекономічна загальноосвітня школа I-III ступенів Покровської районної ради Донецької області</t>
  </si>
  <si>
    <t>85340</t>
  </si>
  <si>
    <t>1422755600</t>
  </si>
  <si>
    <t>Новоекономічне</t>
  </si>
  <si>
    <t>вул. Гоголя, 25</t>
  </si>
  <si>
    <t>(0623)537288</t>
  </si>
  <si>
    <t>http://novoekonomichna-zosh.dn.sch.in.ua</t>
  </si>
  <si>
    <t>25703381</t>
  </si>
  <si>
    <t>Удачненська загальноосвітня школа I-III ступенів Покровської районної ради Донецької області</t>
  </si>
  <si>
    <t>85334</t>
  </si>
  <si>
    <t>1422756300</t>
  </si>
  <si>
    <t>Удачне</t>
  </si>
  <si>
    <t>вул. Сєвєрна, 1</t>
  </si>
  <si>
    <t>(062)3533514</t>
  </si>
  <si>
    <t>25703406</t>
  </si>
  <si>
    <t>Навчально-виховний комплекс "Гришинська загальноосвітня школа І-ІІІ ступенів - дошкільний навчальний заклад" Покровської районної ради Донецької області</t>
  </si>
  <si>
    <t>85330</t>
  </si>
  <si>
    <t>1422781101</t>
  </si>
  <si>
    <t>Гришине</t>
  </si>
  <si>
    <t>пров. Гагаріна, 12</t>
  </si>
  <si>
    <t>(0623539)2-94</t>
  </si>
  <si>
    <t>http://ourschool.ucoz.ua</t>
  </si>
  <si>
    <t>25703412</t>
  </si>
  <si>
    <t>навчально - виховний комплекс "Сонцівська загальноосвітня школа І - ІІІ ступенів - дошкільний навчальний заклад" Покровської районної ради Донецької області</t>
  </si>
  <si>
    <t>38574</t>
  </si>
  <si>
    <t>1422782301</t>
  </si>
  <si>
    <t>Сонцівка</t>
  </si>
  <si>
    <t>вул. Центральна, 2Б</t>
  </si>
  <si>
    <t>25708071</t>
  </si>
  <si>
    <t>Лисівська загальноосвітня школа І-ІІІ ступенів Покровської районної ради Донецької області</t>
  </si>
  <si>
    <t>85362</t>
  </si>
  <si>
    <t>1422782801</t>
  </si>
  <si>
    <t>Лисівка</t>
  </si>
  <si>
    <t>(0623)538740</t>
  </si>
  <si>
    <t>http://lysivka-school.edukit.dn.ua</t>
  </si>
  <si>
    <t>25703547</t>
  </si>
  <si>
    <t>Навчально - виховний комплекс "Миролюбівська загальноосвітня школа І-ІІ ступенів - дошкільний навчальний заклад" Покровської районної ради Донецької області</t>
  </si>
  <si>
    <t>85344</t>
  </si>
  <si>
    <t>1422783001</t>
  </si>
  <si>
    <t>вул. Молодіжна, 9А</t>
  </si>
  <si>
    <t>(0623)537340</t>
  </si>
  <si>
    <t>http://mirschool.ucoz.ua</t>
  </si>
  <si>
    <t>25708645</t>
  </si>
  <si>
    <t>Навчально-виховний комплекс "Михайлівська загальноосвітня школа І - ІІІ ступенів - дошкільний навчальний заклад" Покровської районної ради Донецької області</t>
  </si>
  <si>
    <t>85380</t>
  </si>
  <si>
    <t>1422783201</t>
  </si>
  <si>
    <t>вул. Шкільна, 47А</t>
  </si>
  <si>
    <t>(0623)530138</t>
  </si>
  <si>
    <t>http://muhaylivska.blogspot.com</t>
  </si>
  <si>
    <t>25708094</t>
  </si>
  <si>
    <t>Миколаївська загальноосвітня школа І-ІІІ ступенів Покровської районної ради Донецької області</t>
  </si>
  <si>
    <t>85347</t>
  </si>
  <si>
    <t>1422783401</t>
  </si>
  <si>
    <t>вул. Центральна, 48 Б</t>
  </si>
  <si>
    <t>(0623)530449</t>
  </si>
  <si>
    <t>25708088</t>
  </si>
  <si>
    <t>Новожеланівська спеціальна загальноосвітня школа-інтернат № 39 Донецької обласної ради</t>
  </si>
  <si>
    <t>85381</t>
  </si>
  <si>
    <t>1422783411</t>
  </si>
  <si>
    <t>Новожеланне</t>
  </si>
  <si>
    <t>(0623)530837</t>
  </si>
  <si>
    <t>26000322</t>
  </si>
  <si>
    <t>Навчально-виховний комплекс "Новоолександрівська загальноосвітня школа І-ІІІ ступенів-дошкільний навчальний заклад" Покровської районної ради Донецької області.</t>
  </si>
  <si>
    <t>85352</t>
  </si>
  <si>
    <t>1422783601</t>
  </si>
  <si>
    <t>(062)3532281</t>
  </si>
  <si>
    <t>25708065</t>
  </si>
  <si>
    <t>Навчально-виховний комплекс "Новоєлизаветівська загальноосвітня школа І-ІІ ступенів - дошкільний навчальний заклад" Покровської районної ради Донецької області</t>
  </si>
  <si>
    <t>85372</t>
  </si>
  <si>
    <t>1422783801</t>
  </si>
  <si>
    <t>Новоєлизаветівка</t>
  </si>
  <si>
    <t>вул. Широка, 66 а</t>
  </si>
  <si>
    <t>http://www.webnode.com.ua</t>
  </si>
  <si>
    <t>25703524</t>
  </si>
  <si>
    <t>Новотроїцька загальноосвітня школа І-ІІІ ступенів Покровської районної ради Донецької області</t>
  </si>
  <si>
    <t>85370</t>
  </si>
  <si>
    <t>1422784001</t>
  </si>
  <si>
    <t>вул. Шкільна, б/н</t>
  </si>
  <si>
    <t>0623531444</t>
  </si>
  <si>
    <t>25708674</t>
  </si>
  <si>
    <t>Навчально-виховний комплекс "Піщанська загальноосвітня школа І-ІІІ ступенів - дошкільний навчальний заклад" Покровської районної ради Донецької області</t>
  </si>
  <si>
    <t>85360</t>
  </si>
  <si>
    <t>1422784501</t>
  </si>
  <si>
    <t>(0623)538237</t>
  </si>
  <si>
    <t>25708042</t>
  </si>
  <si>
    <t>Навчально-виховний комплекс "Петрівська загальноосвітня школа І-ІІ ступенів - дошкільний навчальний заклад" Покровської районної ради Донецької області</t>
  </si>
  <si>
    <t>85364</t>
  </si>
  <si>
    <t>1422785001</t>
  </si>
  <si>
    <t>25703530</t>
  </si>
  <si>
    <t>навчально-виховний комплекс "Сергіївська загальноосвітня школа I-III ступенів - дошкільний навчальний заклад Покровської районної ради Донецької області"</t>
  </si>
  <si>
    <t>85333</t>
  </si>
  <si>
    <t>1422786001</t>
  </si>
  <si>
    <t>вул. Поштова, 25А</t>
  </si>
  <si>
    <t>(06239)535-2-36</t>
  </si>
  <si>
    <t>25703429</t>
  </si>
  <si>
    <t>Навчально-виховний комплекс "Срібненська загальноосвітня школа І-ІІІ ступенів ім. А.Г.Черненка - дошкільний навчальний заклад" Покровської районної ради Донецької області</t>
  </si>
  <si>
    <t>85373</t>
  </si>
  <si>
    <t>1422786501</t>
  </si>
  <si>
    <t>Срібне</t>
  </si>
  <si>
    <t>(06239)531345</t>
  </si>
  <si>
    <t>http://schoolsribnoe.at.ua</t>
  </si>
  <si>
    <t>25703375</t>
  </si>
  <si>
    <t>Навчально-виховний комплекс "Малинівська загальноосвітня школа І-ІІІ ступенів - дошкільний навчальний заклад" Покровської районної ради Донецької області</t>
  </si>
  <si>
    <t>85343</t>
  </si>
  <si>
    <t>1422788301</t>
  </si>
  <si>
    <t>вул. Молодіжна, 23</t>
  </si>
  <si>
    <t>(0623)537140</t>
  </si>
  <si>
    <t>25708036</t>
  </si>
  <si>
    <t>Дробишевська загальноосвітня школа І-ІІІ ступенів Лиманської міської ради Донецької області</t>
  </si>
  <si>
    <t>84450</t>
  </si>
  <si>
    <t>1423055400</t>
  </si>
  <si>
    <t>Дробишеве</t>
  </si>
  <si>
    <t>вул. Пушкіна, 28</t>
  </si>
  <si>
    <t>(06261)36616</t>
  </si>
  <si>
    <t>http://www.drobysheve-school.edukit.dn.ua</t>
  </si>
  <si>
    <t>Зарічненська загальноосвітня школа І-ІІІ ступенів Лиманської міської ради Донецької області</t>
  </si>
  <si>
    <t>84442</t>
  </si>
  <si>
    <t>1423055700</t>
  </si>
  <si>
    <t>пл. Гагаріна, 3</t>
  </si>
  <si>
    <t>(06261)34693</t>
  </si>
  <si>
    <t>Торський навчально- виховний комплекс"загальноосвітня школа І-ІІІ ступенів - дошкільний навчальний заклад" Лиманської міської ради Донецької області</t>
  </si>
  <si>
    <t>84444</t>
  </si>
  <si>
    <t>1423055701</t>
  </si>
  <si>
    <t>вул. Роднікова, 17А</t>
  </si>
  <si>
    <t>(062-61)34-7-46</t>
  </si>
  <si>
    <t>http://uvktorskoe.ucoz.com</t>
  </si>
  <si>
    <t>Новоселівський навчально-виховний комплекс "загальноосвітня школа І-ІІІ ступнів-дошкільний навчальний зааклад"</t>
  </si>
  <si>
    <t>84431</t>
  </si>
  <si>
    <t>1423056000</t>
  </si>
  <si>
    <t>(06261)36-7-38</t>
  </si>
  <si>
    <t>Ямпільський навчально-виховний комплекс "загальноосвітня школа І -ІІІ ступенів - дошкільний навчальний заклад" Лиманської міської ради Донецької області</t>
  </si>
  <si>
    <t>84461</t>
  </si>
  <si>
    <t>1423056400</t>
  </si>
  <si>
    <t>вул. Мира, 10</t>
  </si>
  <si>
    <t>(06261)32180</t>
  </si>
  <si>
    <t>Закітнянська загальноосвітня школа І - ІІ ступенів Лиманської міської ради Донецької області</t>
  </si>
  <si>
    <t>84463</t>
  </si>
  <si>
    <t>1423056401</t>
  </si>
  <si>
    <t>Закітне</t>
  </si>
  <si>
    <t>вул. Набережна, 7</t>
  </si>
  <si>
    <t>(06261)32742</t>
  </si>
  <si>
    <t>Ярівська загальноосвітня школа І-ІІІ ступенів Лиманської міської ради Донецької області</t>
  </si>
  <si>
    <t>84432</t>
  </si>
  <si>
    <t>1423056600</t>
  </si>
  <si>
    <t>Ярова</t>
  </si>
  <si>
    <t>вул. Кооперативна, 2А</t>
  </si>
  <si>
    <t>(06261)36243</t>
  </si>
  <si>
    <t>http://yarovazosh.donetskedu.com</t>
  </si>
  <si>
    <t>Олександрівський навчально-виховний комплекс "загальноосвітня школа I ступеня - дошкільний навчальний заклад"Лиманської міської ради Донецької області</t>
  </si>
  <si>
    <t>84433</t>
  </si>
  <si>
    <t>1423056601</t>
  </si>
  <si>
    <t>вул. Шевченко, 10</t>
  </si>
  <si>
    <t>(6261)33-4-10</t>
  </si>
  <si>
    <t>санаторно-оздоровчий центр соціальної реабілітації "Смарагдове місто"</t>
  </si>
  <si>
    <t>1423056602</t>
  </si>
  <si>
    <t>Соснове</t>
  </si>
  <si>
    <t>вул. Лісна, 1А</t>
  </si>
  <si>
    <t>23354172</t>
  </si>
  <si>
    <t>Коровоярський навчально-виховний комплекс "загальноосвітня школа І-ІІ ступенів - дошкільний навчальний заклад" Лиманської міської ради Донецької області</t>
  </si>
  <si>
    <t>84413</t>
  </si>
  <si>
    <t>1423081801</t>
  </si>
  <si>
    <t>Коровій Яр</t>
  </si>
  <si>
    <t>вул. Спортивна, 22</t>
  </si>
  <si>
    <t>(06261)39668</t>
  </si>
  <si>
    <t>Рідкодубівський навчально-виховний комплекс "загальноосвітня школа І-ІІ ступенів - дошкільний навчальний заклад" Лиманської міської ради Донецької області</t>
  </si>
  <si>
    <t>84420</t>
  </si>
  <si>
    <t>1423083201</t>
  </si>
  <si>
    <t>Рідкодуб</t>
  </si>
  <si>
    <t>ал. Центральна, 77</t>
  </si>
  <si>
    <t>0990599355, 0501469964</t>
  </si>
  <si>
    <t>Навчально-виховний комплекс селища Нове "загальноосвітня школа І-ІІІ ступенів-дошкільний навчальний заклад" Лиманської міської ради Донецької області</t>
  </si>
  <si>
    <t>84422</t>
  </si>
  <si>
    <t>1423083205</t>
  </si>
  <si>
    <t>Нове</t>
  </si>
  <si>
    <t>(062)6131482</t>
  </si>
  <si>
    <t>Рубцівська загальноосвітня школа І -ІІІ ступенів Лиманської міської ради Донецької області</t>
  </si>
  <si>
    <t>84411</t>
  </si>
  <si>
    <t>1423084301</t>
  </si>
  <si>
    <t>Рубці</t>
  </si>
  <si>
    <t>вул. Паркова, 7</t>
  </si>
  <si>
    <t>(39)230</t>
  </si>
  <si>
    <t>Лозівський навчально-виховний комплекс "загальноосвітня школа І-ІІ ступенів - дошкільний навчальний заклад" Лиманської міської ради Донецької області</t>
  </si>
  <si>
    <t>84412</t>
  </si>
  <si>
    <t>1423084304</t>
  </si>
  <si>
    <t>(06261)39-5-36</t>
  </si>
  <si>
    <t>Тернівський навчально- виховний комплекс "загальноосвітня школа І-ІІІ ступенів - дошкільний навчальний заклад"Лиманської міської ради Донецької області</t>
  </si>
  <si>
    <t>84440</t>
  </si>
  <si>
    <t>1423085401</t>
  </si>
  <si>
    <t>Терни</t>
  </si>
  <si>
    <t>вул. Землянського, 2</t>
  </si>
  <si>
    <t>34123</t>
  </si>
  <si>
    <t>Шандриголівська загальноосвітня школа І-ІІІ ступенів Лиманської міської ради Донецької області</t>
  </si>
  <si>
    <t>84430</t>
  </si>
  <si>
    <t>1423086501</t>
  </si>
  <si>
    <t>Шандриголове</t>
  </si>
  <si>
    <t>вул. Гутченка, 204</t>
  </si>
  <si>
    <t>(06261)33172</t>
  </si>
  <si>
    <t>Мар'їнська загальноосвітня школа І-ІІІ ступенів № 1 Мар'їнської районної ради Донецької області</t>
  </si>
  <si>
    <t>85600</t>
  </si>
  <si>
    <t>1423310100</t>
  </si>
  <si>
    <t>Мар'їнка</t>
  </si>
  <si>
    <t>вул. Заводська, 21</t>
  </si>
  <si>
    <t>(06278)5-17-29, (06278)5-13-34</t>
  </si>
  <si>
    <t>Мар'їнська загальноосвітня школа І-ІІІ ступенів № 2 Мар'їнської районної ради Донецької області</t>
  </si>
  <si>
    <t>просп. Дружби, 4</t>
  </si>
  <si>
    <t>(06278)51769</t>
  </si>
  <si>
    <t>Красногорівська загальноосвітня школа I-II ступенів № 4 Мар'інськоі районноі ради Донецькоі області</t>
  </si>
  <si>
    <t>85632</t>
  </si>
  <si>
    <t>1423310400</t>
  </si>
  <si>
    <t>Красногорівка</t>
  </si>
  <si>
    <t>вул. Крупськоi, 101А</t>
  </si>
  <si>
    <t>(066)4534632</t>
  </si>
  <si>
    <t>Красногорівска загальноосвітня школа І-ІІ ступенів № 5 Мар'їнської районної ради Донецької області</t>
  </si>
  <si>
    <t>85630</t>
  </si>
  <si>
    <t>вул. Сумська, 17</t>
  </si>
  <si>
    <t>(06278)23208</t>
  </si>
  <si>
    <t>Красногорівська загальноосвітня школа І - ІІІ ступенів № 1</t>
  </si>
  <si>
    <t>мрн. Сонячний, 6А</t>
  </si>
  <si>
    <t>(06278)2-39-80</t>
  </si>
  <si>
    <t>Красногорівська загальноосвітня школа І-ІІ ступенів № 3 Мар'їнської районної ради Донецької області</t>
  </si>
  <si>
    <t>вул. Лермонтова, 36 а</t>
  </si>
  <si>
    <t>(062)7822604, (062)7822704</t>
  </si>
  <si>
    <t>Красногорівська загальноосвітня школа І-ІІІ ступенів № 2 Мар'їнської районої ради Донецької області</t>
  </si>
  <si>
    <t>вул. Совєтська, 15</t>
  </si>
  <si>
    <t>(06278)22003</t>
  </si>
  <si>
    <t>http://shkola2kr.at.ua</t>
  </si>
  <si>
    <t>Комунальний заклад "Курахівська гімназія "Престиж" (школа І ступеня з поглибленим вивченням іноземних мов та гімназія) Мар'їнської районної ради Донецької області"</t>
  </si>
  <si>
    <t>85612</t>
  </si>
  <si>
    <t>1423310600</t>
  </si>
  <si>
    <t>Курахове</t>
  </si>
  <si>
    <t>просп. Миру, 15А</t>
  </si>
  <si>
    <t>(062)33852</t>
  </si>
  <si>
    <t>Курахівська загальноосвітня школа I -III ступенів № 5 Мар'їнської районної ради Донецької області</t>
  </si>
  <si>
    <t>(06278)33533</t>
  </si>
  <si>
    <t>Курахівська загальноосвітня школа І-ІІ ступенів № 3 Мар'їнської районної ради Донецької області</t>
  </si>
  <si>
    <t>просп. Запорізький, 114</t>
  </si>
  <si>
    <t>(06278)33925</t>
  </si>
  <si>
    <t>Курахівська загальноосвітня школа І-ІІІ ступенів № 2 Мар'їнської районної ради Донецької області</t>
  </si>
  <si>
    <t>вул. Пушкіна, 11А</t>
  </si>
  <si>
    <t>3-39-09</t>
  </si>
  <si>
    <t>Курахівська загальноосвітня школа І-Ш ступенів № 1 Мар'їнської районної ради Донецької області</t>
  </si>
  <si>
    <t>вул. Пушкіна, 17</t>
  </si>
  <si>
    <t>(06278)32208</t>
  </si>
  <si>
    <t>Галицинівська загальноосвітня школа І-ІІІ ступенів Мар'їнської районної ради Донецької області</t>
  </si>
  <si>
    <t>85620</t>
  </si>
  <si>
    <t>1423381101</t>
  </si>
  <si>
    <t>Галицинівка</t>
  </si>
  <si>
    <t>вул. Івана Середи, 1А</t>
  </si>
  <si>
    <t>99-1-48</t>
  </si>
  <si>
    <t>http://g22vma.ucoz.ua</t>
  </si>
  <si>
    <t>Дачненська загальноосвітня школа І-ІІІ ступенів Мар'їнської районної ради Донецької області</t>
  </si>
  <si>
    <t>85611</t>
  </si>
  <si>
    <t>1423381501</t>
  </si>
  <si>
    <t>37202</t>
  </si>
  <si>
    <t>Острівська загальноосвітня школа І-ІІІ ступенів Мар'їнської районної ради Донецької області</t>
  </si>
  <si>
    <t>85650</t>
  </si>
  <si>
    <t>1423381505</t>
  </si>
  <si>
    <t>Костянтинопольське</t>
  </si>
  <si>
    <t>вул. Острівська, 31А</t>
  </si>
  <si>
    <t>(06278)37-4-13</t>
  </si>
  <si>
    <t>Богоявленська загальноосвітня школа І-ІІІ ступенів Мар'їнської районної Ради Донецької області</t>
  </si>
  <si>
    <t>85643</t>
  </si>
  <si>
    <t>1423382001</t>
  </si>
  <si>
    <t>Богоявленка</t>
  </si>
  <si>
    <t>вул. капітана Акімова, 49</t>
  </si>
  <si>
    <t>(062)93-3-37</t>
  </si>
  <si>
    <t>Єлизаветівська загальноосвітня школа І-ІІІ ступенів Мар'їнської районної ради Донецької області</t>
  </si>
  <si>
    <t>85651</t>
  </si>
  <si>
    <t>1423382501</t>
  </si>
  <si>
    <t>вул. Центральна, 45</t>
  </si>
  <si>
    <t>(06278)98-1-31</t>
  </si>
  <si>
    <t>Зорянська загальноосвітня школа I-IIIступенів Мар'їнської районної ради Донецької області</t>
  </si>
  <si>
    <t>85621</t>
  </si>
  <si>
    <t>1423383001</t>
  </si>
  <si>
    <t>http://zoryanoe.com.ua</t>
  </si>
  <si>
    <t>Катеринівська загальноосвітня школа І-ІІІ ступенів Мар'їнської районної ради Донецької області</t>
  </si>
  <si>
    <t>85652</t>
  </si>
  <si>
    <t>1423383501</t>
  </si>
  <si>
    <t>(06-278)91-4-49</t>
  </si>
  <si>
    <t>Костянтинівська загальноосвітня школа І-ІІІ ступенів Мар'їнської районної ради Донецької області</t>
  </si>
  <si>
    <t>85653</t>
  </si>
  <si>
    <t>1423384001</t>
  </si>
  <si>
    <t>вул. Миру, 54</t>
  </si>
  <si>
    <t>(278)95-5-51</t>
  </si>
  <si>
    <t>Максимільянівська загальноосвітня школа І - ІІІ ступенів Мар'їнської районної ради Донецької області</t>
  </si>
  <si>
    <t>85622</t>
  </si>
  <si>
    <t>1423385001</t>
  </si>
  <si>
    <t>Максимільянівка</t>
  </si>
  <si>
    <t>вул. Жовтнева, 102 А</t>
  </si>
  <si>
    <t>(062)7891512</t>
  </si>
  <si>
    <t>Георгіївська загальноосвітня школа І-ІІІ ступенів Мар'їнської районної ради Донецької області</t>
  </si>
  <si>
    <t>85623</t>
  </si>
  <si>
    <t>1423385002</t>
  </si>
  <si>
    <t>Георгіївка</t>
  </si>
  <si>
    <t>0627893146</t>
  </si>
  <si>
    <t>Новомихайлівська загальноосвітня школа І-ІІІ ступенів Мар'їнської районної ради Донецької області</t>
  </si>
  <si>
    <t>85654</t>
  </si>
  <si>
    <t>1423385201</t>
  </si>
  <si>
    <t>Новомихайлівка</t>
  </si>
  <si>
    <t>(806278)95143</t>
  </si>
  <si>
    <t>Новоселидівська загальноосвітня школа І-ІІ ступенів Мар'їнської районної ради Донецької області</t>
  </si>
  <si>
    <t>85610</t>
  </si>
  <si>
    <t>1423385401</t>
  </si>
  <si>
    <t>Новоселидівка</t>
  </si>
  <si>
    <t>вул. Садова, 104</t>
  </si>
  <si>
    <t>(06278)36-5-26</t>
  </si>
  <si>
    <t>Новоукраїнська загальноосвітня школа І - ІІІ ступенів Мар'їнської районної ради Донецької області</t>
  </si>
  <si>
    <t>85640</t>
  </si>
  <si>
    <t>1423385801</t>
  </si>
  <si>
    <t>(8(06278))93-5-24</t>
  </si>
  <si>
    <t>Максимівська загальноосвітня школа І-ІІ ступенів Мар'їнської районної ради Донецької області</t>
  </si>
  <si>
    <t>85641</t>
  </si>
  <si>
    <t>1423385802</t>
  </si>
  <si>
    <t>Максимівка</t>
  </si>
  <si>
    <t>вул. Новоселів, 56</t>
  </si>
  <si>
    <t>(06278)95-3-29</t>
  </si>
  <si>
    <t>Пречистівська загальноосвітня школа І-ІІ ступенів Мар'їнської районної ради Донецької області</t>
  </si>
  <si>
    <t>85642</t>
  </si>
  <si>
    <t>1423385803</t>
  </si>
  <si>
    <t>Пречистівка</t>
  </si>
  <si>
    <t>0506007081</t>
  </si>
  <si>
    <t>Павлівська загальноосвітня школа І-ІІІ ступенів Мар'їнської районної ради Донецької області</t>
  </si>
  <si>
    <t>85672</t>
  </si>
  <si>
    <t>1423386301</t>
  </si>
  <si>
    <t>(06278)97298</t>
  </si>
  <si>
    <t>Степнянська загальноосвітня школа І-ІІІ ступенів Мар'їнської районної ради Донецької області</t>
  </si>
  <si>
    <t>85665</t>
  </si>
  <si>
    <t>1423387401</t>
  </si>
  <si>
    <t>вул. Зайцева, 1</t>
  </si>
  <si>
    <t>(06278)96217</t>
  </si>
  <si>
    <t>http://stepneschool.ho.ua</t>
  </si>
  <si>
    <t>Успенівська загальноосвітня школа І-ІІ ступенів Мар'їнської районної ради Донецької області</t>
  </si>
  <si>
    <t>1423388501</t>
  </si>
  <si>
    <t>Успенівка</t>
  </si>
  <si>
    <t>вул. Дронова, 24</t>
  </si>
  <si>
    <t>(06(278))91-6-23</t>
  </si>
  <si>
    <t>Мангуська загальноосвітня школа I-III ступенів № 2 Першотравневої районної ради Донецької області</t>
  </si>
  <si>
    <t>87400</t>
  </si>
  <si>
    <t>1423955100</t>
  </si>
  <si>
    <t>Мангуш</t>
  </si>
  <si>
    <t>вул. Мурзи, 8</t>
  </si>
  <si>
    <t>(06297)23676</t>
  </si>
  <si>
    <t>Мангуська загальноосвітня школа І-ІІІ ступенів № 1 Першотравневої районної ради Донецької області</t>
  </si>
  <si>
    <t>вул. Горького, 62</t>
  </si>
  <si>
    <t>06297-2-31-76</t>
  </si>
  <si>
    <t>http://man-school1.at.ua</t>
  </si>
  <si>
    <t>Ялтинська загальноосвітня школа I-III ступенів № 1 Першотравневої районної ради Донецької області</t>
  </si>
  <si>
    <t>87450</t>
  </si>
  <si>
    <t>1423955500</t>
  </si>
  <si>
    <t>Ялта</t>
  </si>
  <si>
    <t>(06297)9-04-10</t>
  </si>
  <si>
    <t>http://yaltaschool1.wix.com/2016</t>
  </si>
  <si>
    <t>Ялтинська загальноосвітня школа І-ІІІ ст. № 2 Першотравневої районної ради Донецької області</t>
  </si>
  <si>
    <t>вул. Гагарина, 1</t>
  </si>
  <si>
    <t>(06297)90790, (06297)90866</t>
  </si>
  <si>
    <t>http://yalta-school-2.narod.ru</t>
  </si>
  <si>
    <t>Бердянська загальноосвітня школа І-ІІІ ступенів Мангушської районної ради Донецької області</t>
  </si>
  <si>
    <t>87430</t>
  </si>
  <si>
    <t>1423981101</t>
  </si>
  <si>
    <t>Бердянське</t>
  </si>
  <si>
    <t>(06297)31340</t>
  </si>
  <si>
    <t>Приазовська загальноосвітня школа І-ІІІ ступенів Першотравневої районної ради Донецької області</t>
  </si>
  <si>
    <t>87431</t>
  </si>
  <si>
    <t>1423981103</t>
  </si>
  <si>
    <t>Приазовське</t>
  </si>
  <si>
    <t>(06297)31129</t>
  </si>
  <si>
    <t>Комишуватська загальноосвітня школа І-ІІІ ступенів Першотравневої районної ради Донецької області</t>
  </si>
  <si>
    <t>87420</t>
  </si>
  <si>
    <t>1423983301</t>
  </si>
  <si>
    <t>Комишувате</t>
  </si>
  <si>
    <t>вул. Львівська, 7</t>
  </si>
  <si>
    <t>(06297)56-1-40</t>
  </si>
  <si>
    <t>https://sites.google.com/site/komusschool</t>
  </si>
  <si>
    <t>Дем'янівська загальноосвітня школа І-ІІІ ступенів Першотравневої районної ради Донецької області</t>
  </si>
  <si>
    <t>87421</t>
  </si>
  <si>
    <t>1423983302</t>
  </si>
  <si>
    <t>Дем'янівка</t>
  </si>
  <si>
    <t>вул. Гайдара, 11</t>
  </si>
  <si>
    <t>(06297)32540</t>
  </si>
  <si>
    <t>Мелекінська загальноосвітня школа І-ІІІ ступенів Першотравневої районної ради Донецької області</t>
  </si>
  <si>
    <t>87441</t>
  </si>
  <si>
    <t>1423984401</t>
  </si>
  <si>
    <t>Мелекіне</t>
  </si>
  <si>
    <t>вул. Гагаріна, 78</t>
  </si>
  <si>
    <t>(0629)794873</t>
  </si>
  <si>
    <t>http://melekinoschool.ucoz.ua</t>
  </si>
  <si>
    <t>Портовська загальноосвітня школа І-ІІІ ступенів Першотравневої районної ради Донецької області</t>
  </si>
  <si>
    <t>87442</t>
  </si>
  <si>
    <t>1423984406</t>
  </si>
  <si>
    <t>Портівське</t>
  </si>
  <si>
    <t>(06297)31-7-40</t>
  </si>
  <si>
    <t>Урзуфська загальноосвітня школа І-ІІІ ступенів Першотравневої районної ради Донецької області</t>
  </si>
  <si>
    <t>87455</t>
  </si>
  <si>
    <t>1423985501</t>
  </si>
  <si>
    <t>Урзуф</t>
  </si>
  <si>
    <t>0629767189</t>
  </si>
  <si>
    <t>http://ursuf-school.96.lt</t>
  </si>
  <si>
    <t>англійська,грецька</t>
  </si>
  <si>
    <t>Стародубівська ЗОШ І-ІІІ ступенів Першотравневої районної ради Донецької області</t>
  </si>
  <si>
    <t>87410</t>
  </si>
  <si>
    <t>1423986601</t>
  </si>
  <si>
    <t>Стародубівка</t>
  </si>
  <si>
    <t>вул. Миру, 69</t>
  </si>
  <si>
    <t>Миколаївська загальноосвітня гімназія Миколаївської міської ради Слов'янського району Донецької області</t>
  </si>
  <si>
    <t>84180</t>
  </si>
  <si>
    <t>1424210800</t>
  </si>
  <si>
    <t>вул. Січових Стрільців, 4</t>
  </si>
  <si>
    <t>(06262)42193</t>
  </si>
  <si>
    <t>Загальноосвітня школа І - ІІІ ступенів № 3 Миколаївської міської ради Слов'янського району Донецької області</t>
  </si>
  <si>
    <t>84182</t>
  </si>
  <si>
    <t>(06262)42167, (06262)42267</t>
  </si>
  <si>
    <t>Миколаївська загальноосвітня школа І-ІІІ ступенів № 1 Слов'янської міської ради Донецької області</t>
  </si>
  <si>
    <t>(06262)42113, (06262)42220</t>
  </si>
  <si>
    <t>Миколаївська загальноосвітня школа І-ІІІ ступенів № 2 Миколаївської міської ради Донецької області</t>
  </si>
  <si>
    <t>вул. 50-річчя Слов'янської ТЕС, 11</t>
  </si>
  <si>
    <t>(06262)42128</t>
  </si>
  <si>
    <t>Миколаївська спеціальна загальноосвітня школа-інтернат № 7 Донецької обласної ради</t>
  </si>
  <si>
    <t>вул. Сінецького, 15</t>
  </si>
  <si>
    <t>(06262)4-20-77, (06262)4-25-19</t>
  </si>
  <si>
    <t>http://mds-i.webs.com</t>
  </si>
  <si>
    <t>21969053</t>
  </si>
  <si>
    <t>Билбасівська загальноосвітня школа І-ІІ ступенів Слов'янської районної ради Донецької області</t>
  </si>
  <si>
    <t>84170</t>
  </si>
  <si>
    <t>1424255600</t>
  </si>
  <si>
    <t>Билбасівка</t>
  </si>
  <si>
    <t>(0626)632294</t>
  </si>
  <si>
    <t>КЗ "Билбасівська опорна загальноосвітня школа І-ІІІ ступенів" Слов'янської районної ради, Донецької області</t>
  </si>
  <si>
    <t>84171</t>
  </si>
  <si>
    <t>вул. Сонячна, 20</t>
  </si>
  <si>
    <t>(0626)632330</t>
  </si>
  <si>
    <t>Райгородоцька загальноосвітня школа І-ІІІ ступенів</t>
  </si>
  <si>
    <t>84150</t>
  </si>
  <si>
    <t>1424256200</t>
  </si>
  <si>
    <t>Райгородок</t>
  </si>
  <si>
    <t>вул. Молодіжна, 5А</t>
  </si>
  <si>
    <t>(06262)63-19-23</t>
  </si>
  <si>
    <t>Черкаська загальноосвітня школа І-ІІІ ступенів № 1 Черкаської селищної ради Слов'янського району Донецької області</t>
  </si>
  <si>
    <t>84162</t>
  </si>
  <si>
    <t>1424256500</t>
  </si>
  <si>
    <t>(0626)637216</t>
  </si>
  <si>
    <t>Черкаська загальноосвітня школа І-ІІ ступенів Черкаської селищної ради Слов'янського району Донецької області</t>
  </si>
  <si>
    <t>вул. Паркова, 6</t>
  </si>
  <si>
    <t>(0626)637212</t>
  </si>
  <si>
    <t>Новомиколаївська загальноосвітня школа І - ІІ ступенів Черкаської селищної ради Слов'янського району Донецької області</t>
  </si>
  <si>
    <t>84167</t>
  </si>
  <si>
    <t>1424256502</t>
  </si>
  <si>
    <t>((06262))63-18-38</t>
  </si>
  <si>
    <t>Олександрівська загальноосвітня школа І-ІІІ ступенів Черкаської селищної ради Слов'янського району</t>
  </si>
  <si>
    <t>84168</t>
  </si>
  <si>
    <t>1424280301</t>
  </si>
  <si>
    <t>(06262)639941</t>
  </si>
  <si>
    <t>Красноармійський навчально-виховний комплекс "Загальноосвітня школа І - ІІ ступенів - дошкільний навчальний заклад" Черкаської селищної ради Слов'янського району Донецької області</t>
  </si>
  <si>
    <t>84174</t>
  </si>
  <si>
    <t>1424280307</t>
  </si>
  <si>
    <t>вул. Центральна, 126</t>
  </si>
  <si>
    <t>(30255843)0508291211</t>
  </si>
  <si>
    <t>Андріївська загальноосвітня школа I - III ступенів Слов'янської районної ради Донецької області</t>
  </si>
  <si>
    <t>84192</t>
  </si>
  <si>
    <t>1424280501</t>
  </si>
  <si>
    <t>пров. Гаражний, 21</t>
  </si>
  <si>
    <t>(095)0524785, (050)7728089</t>
  </si>
  <si>
    <t>Дмитрівська загальноосвітня школа І-ІІІ ступенів</t>
  </si>
  <si>
    <t>84190</t>
  </si>
  <si>
    <t>1424281001</t>
  </si>
  <si>
    <t>вул. Пушкіна, 26</t>
  </si>
  <si>
    <t>(0626)638326</t>
  </si>
  <si>
    <t>http://dm-school1.at.ua</t>
  </si>
  <si>
    <t>Долинська загальноосвітня школа І - ІІІ ступенів Слов"янської районної ради Донецької області</t>
  </si>
  <si>
    <t>84140</t>
  </si>
  <si>
    <t>1424281501</t>
  </si>
  <si>
    <t>Долина</t>
  </si>
  <si>
    <t>(0626)634210, (099)0571204</t>
  </si>
  <si>
    <t>Богородичанська загальноосвітня школа І - ІІ ступенів</t>
  </si>
  <si>
    <t>1424281502</t>
  </si>
  <si>
    <t>Богородичне</t>
  </si>
  <si>
    <t>Хрестищенська загальноосвітня школа І-ІІІ ступенів Слов'янської районної ради Донецької області</t>
  </si>
  <si>
    <t>84138</t>
  </si>
  <si>
    <t>1424282401</t>
  </si>
  <si>
    <t>Хрестище</t>
  </si>
  <si>
    <t>пров. Шкільний, 8</t>
  </si>
  <si>
    <t>(0626)631544</t>
  </si>
  <si>
    <t>Малинівська загальноосвітня школа I - III ступенів</t>
  </si>
  <si>
    <t>84187</t>
  </si>
  <si>
    <t>1424283501</t>
  </si>
  <si>
    <t>вул. Степова, 1 а</t>
  </si>
  <si>
    <t>(0626)630344</t>
  </si>
  <si>
    <t>Маяківська загальноосвітня школа І-ІІІ ступенів Слов'янської районної ради Донецької області</t>
  </si>
  <si>
    <t>84137</t>
  </si>
  <si>
    <t>1424284601</t>
  </si>
  <si>
    <t>Маяки</t>
  </si>
  <si>
    <t>(06262)631212</t>
  </si>
  <si>
    <t>Сидорівська загальноосвітня школа І-ІІ ступенів Слов'янської районної ради Донецької області</t>
  </si>
  <si>
    <t>84141</t>
  </si>
  <si>
    <t>1424284603</t>
  </si>
  <si>
    <t>Сидорове</t>
  </si>
  <si>
    <t>63-12-28</t>
  </si>
  <si>
    <t>Прелесненська загальноосвітня школа І - ІІІ ступенів Черкаської селищної ради Словянського району Донецької області</t>
  </si>
  <si>
    <t>84161</t>
  </si>
  <si>
    <t>1424285701</t>
  </si>
  <si>
    <t>Прелесне</t>
  </si>
  <si>
    <t>(0626)639545</t>
  </si>
  <si>
    <t>http://prelesne.ukoz.ru</t>
  </si>
  <si>
    <t>Привільська загальноосвітня школа І-ІІІ ступенів Черкаської селищної ради Слов'янського району Донецької області</t>
  </si>
  <si>
    <t>84160</t>
  </si>
  <si>
    <t>1424286801</t>
  </si>
  <si>
    <t>Привілля</t>
  </si>
  <si>
    <t>Рай-Олександрівська загальноосвітня школа І-ІІІ ступенів</t>
  </si>
  <si>
    <t>1424287901</t>
  </si>
  <si>
    <t>Рай-Олександрівка</t>
  </si>
  <si>
    <t>67</t>
  </si>
  <si>
    <t>639433</t>
  </si>
  <si>
    <t>Сергіївська загальноосвітня школа І-ІІІ ступенів Слов'янської районної ради Донецької області</t>
  </si>
  <si>
    <t>84191</t>
  </si>
  <si>
    <t>1424288201</t>
  </si>
  <si>
    <t>(099)0126738</t>
  </si>
  <si>
    <t>Комунальний заклад Верхньоторецький навчально-виховний комплекс: загальноосвітня школа І-ІІІ ступенів - дошкільний нвчальний заклад Ясинуватського району Донецької області</t>
  </si>
  <si>
    <t>86040</t>
  </si>
  <si>
    <t>1425555200</t>
  </si>
  <si>
    <t>Верхньоторецьке</t>
  </si>
  <si>
    <t>вул. Відродження, 92</t>
  </si>
  <si>
    <t>(050)2740990</t>
  </si>
  <si>
    <t>Комунальний заклад Желаннівський навчально-виховний комплекс: загальноосвітня школа І-ІІІ ступенів-дошкільний навчальний заклад Ясинуватського району Донецької області</t>
  </si>
  <si>
    <t>86023</t>
  </si>
  <si>
    <t>1425555300</t>
  </si>
  <si>
    <t>Желанне</t>
  </si>
  <si>
    <t>вул. 50 років СРСР, 89</t>
  </si>
  <si>
    <t>(06236)0623649440</t>
  </si>
  <si>
    <t>Комунальний заклад Очеретинський навчально-виховний комплекс:загальноосвітня школа І-ІІІ ступенів з поглибленим вивченням окремих предметів та курсів- дошкільний навчальний заклад (опорний навчальний заклад) Ясинуватського району Донецької області</t>
  </si>
  <si>
    <t>86020</t>
  </si>
  <si>
    <t>1425555900</t>
  </si>
  <si>
    <t>(050)9838650</t>
  </si>
  <si>
    <t>http://www.ocheretyne-school.edukit.dn.ua/</t>
  </si>
  <si>
    <t>Комунальний заклад Красногорівський навчально - виховний комплекс: загальноосвітня школа І - ІІ ступенів - дошкільний навчальний заклад Ясинуватського району Донецької області</t>
  </si>
  <si>
    <t>86042</t>
  </si>
  <si>
    <t>1425582101</t>
  </si>
  <si>
    <t>вул. Гагаріна, 11А</t>
  </si>
  <si>
    <t>093-895-37-46</t>
  </si>
  <si>
    <t>Комунальний заклад Новобахмутівський навчально-виховний комплекс: загальноосвітня школа І - ІІ ступенів - дошкільний навчальний заклад Ясинуватського району Донецької області</t>
  </si>
  <si>
    <t>86032</t>
  </si>
  <si>
    <t>1425583101</t>
  </si>
  <si>
    <t>Новобахмутівка</t>
  </si>
  <si>
    <t>Комунальний заклад Новоселівський Перший навчально - виховний комплекс: загальноосвітня школа І-ІІІ ступенів - дошкільний навчальний заклад Ясинуватського району Донецької області</t>
  </si>
  <si>
    <t>86024</t>
  </si>
  <si>
    <t>1425583201</t>
  </si>
  <si>
    <t>Новоселівка Перша</t>
  </si>
  <si>
    <t>(06236)54-4-40</t>
  </si>
  <si>
    <t>Комунальний заклад Орлівський навчально - виховний комплекс: загальноосвітня школа І-ІІІ ступенів - дошкільний навчальний заклад Ясинуватського району,Донецької обалсті.</t>
  </si>
  <si>
    <t>86050</t>
  </si>
  <si>
    <t>1425584301</t>
  </si>
  <si>
    <t>вул. Братів Паукових, 54</t>
  </si>
  <si>
    <t>(38050)2651023</t>
  </si>
  <si>
    <t>Комунальний заклад Первомайський навчально - виховний комплекс: загальноосвітня школа І-ІІІ ступенів - дошкільний навчальний заклад Ясинуватського району Донецької області</t>
  </si>
  <si>
    <t>86051</t>
  </si>
  <si>
    <t>1425585401</t>
  </si>
  <si>
    <t>(380)95-864-03-64</t>
  </si>
  <si>
    <t>Комунальний заклад Нетайлівський навчально-виховний комплекс:загальноосвітня школа І-ІІ ступенів-дошкільний навчальний заклад Ясинуватського району Донецької області</t>
  </si>
  <si>
    <t>86052</t>
  </si>
  <si>
    <t>1425585403</t>
  </si>
  <si>
    <t>Нетайлове</t>
  </si>
  <si>
    <t>вул. Набережна, 2А</t>
  </si>
  <si>
    <t>093-875-36-70, 095-696-34-32</t>
  </si>
  <si>
    <t>Комунальний заклад Новоселівський навчально - виховний комплекс : загальноосвітня школа І-ІІ ступенів - дошкільний навчальний заклад Ясинуватського району Донецької області, Новоселівський НВК</t>
  </si>
  <si>
    <t>86031</t>
  </si>
  <si>
    <t>1425586503</t>
  </si>
  <si>
    <t>вул. Свободи, 1</t>
  </si>
  <si>
    <t>(1)380958359161</t>
  </si>
  <si>
    <t>вечірня загальноосвітня школа ІІ-ІІІ ступенів Житомирської міської ради</t>
  </si>
  <si>
    <t>10020</t>
  </si>
  <si>
    <t>1810100000</t>
  </si>
  <si>
    <t>Житомирська область</t>
  </si>
  <si>
    <t>Житомир</t>
  </si>
  <si>
    <t>вул. Каракульна, 15</t>
  </si>
  <si>
    <t>(0412)259400</t>
  </si>
  <si>
    <t>20427806</t>
  </si>
  <si>
    <t>Житомирська гуманітарна гімназія № 1</t>
  </si>
  <si>
    <t>10009</t>
  </si>
  <si>
    <t>вул. Вітрука, 55</t>
  </si>
  <si>
    <t>(0412)335919</t>
  </si>
  <si>
    <t>http://zt-gymnasium1.ucoz.ua/</t>
  </si>
  <si>
    <t>25754616</t>
  </si>
  <si>
    <t>Житомирська загальноосвітня школа I-III ступенів № 35</t>
  </si>
  <si>
    <t>10030</t>
  </si>
  <si>
    <t>вул. Івана Мазепи, 95А</t>
  </si>
  <si>
    <t>(0412)227480</t>
  </si>
  <si>
    <t>22059235</t>
  </si>
  <si>
    <t>Житомирська загальноосвітня школа І-ІІІ ступенів № 15 м. Житомира</t>
  </si>
  <si>
    <t>10028</t>
  </si>
  <si>
    <t>вул. Вільський Шлях, 261</t>
  </si>
  <si>
    <t>(0412)267427, (0412)261101</t>
  </si>
  <si>
    <t>22059057</t>
  </si>
  <si>
    <t>Житомирська загальноосвітня школа І-ІІІ ступенів № 17</t>
  </si>
  <si>
    <t>(0412)473873, (0412)373133, (0412)372798</t>
  </si>
  <si>
    <t>22059075</t>
  </si>
  <si>
    <t>Житомирська міська гуманітарна гімназія № 23 імені Михайла Очерета</t>
  </si>
  <si>
    <t>10014</t>
  </si>
  <si>
    <t>вул. Лятошинського, 14</t>
  </si>
  <si>
    <t>(0412)470880</t>
  </si>
  <si>
    <t>22059130</t>
  </si>
  <si>
    <t>Житомирський навчально-виховний комплекс № 25</t>
  </si>
  <si>
    <t>10012</t>
  </si>
  <si>
    <t>вул. Бориса Тена, 84 а</t>
  </si>
  <si>
    <t>(0412)337048</t>
  </si>
  <si>
    <t>06669661</t>
  </si>
  <si>
    <t>Житомирський навчально-виховний комплекс № 34 "Гармонія"</t>
  </si>
  <si>
    <t>проїзд Ю. Кондратюка, 13</t>
  </si>
  <si>
    <t>(0412)333044</t>
  </si>
  <si>
    <t>22059241</t>
  </si>
  <si>
    <t>Житомирський навчально-виховний комплекс № 38</t>
  </si>
  <si>
    <t>10008</t>
  </si>
  <si>
    <t>вул. Святослава Ріхтера, 10А</t>
  </si>
  <si>
    <t>(0412)34-24-02</t>
  </si>
  <si>
    <t>22061545</t>
  </si>
  <si>
    <t>Житомирський навчально-виховний комплекс № 11</t>
  </si>
  <si>
    <t>10006</t>
  </si>
  <si>
    <t>вул. Західна, 110</t>
  </si>
  <si>
    <t>(0412)240994</t>
  </si>
  <si>
    <t>22061870</t>
  </si>
  <si>
    <t>Загальноосвітня україно-італійська школа "Всесвіт" I-II-III ступенів яка заснована на власності Житомирського обласного благодійного фонду "Арка"</t>
  </si>
  <si>
    <t>10004</t>
  </si>
  <si>
    <t>вул. Корабельна, 10</t>
  </si>
  <si>
    <t>(0412)41-59-19</t>
  </si>
  <si>
    <t>http://vsesvit.zt.ua/</t>
  </si>
  <si>
    <t>англійська,італійська</t>
  </si>
  <si>
    <t>Загальноосвітня школа № 8 м.Житомира</t>
  </si>
  <si>
    <t>10005</t>
  </si>
  <si>
    <t>майдан Згоди, 5</t>
  </si>
  <si>
    <t>(0412)414614</t>
  </si>
  <si>
    <t>http://8zt.at.ua</t>
  </si>
  <si>
    <t>22059011</t>
  </si>
  <si>
    <t>Загальноосвітня школа І-ІІІ ступенів № 27 м. Житомира</t>
  </si>
  <si>
    <t>просп. Миру, 27</t>
  </si>
  <si>
    <t>(0412)259898</t>
  </si>
  <si>
    <t>22059175</t>
  </si>
  <si>
    <t>Загальноосвітня школа І-ІІІ ступенів № 21 міста Житомира</t>
  </si>
  <si>
    <t>вул. Святослава Ріхтера, 6А</t>
  </si>
  <si>
    <t>(0412)470655</t>
  </si>
  <si>
    <t>22059117</t>
  </si>
  <si>
    <t>Загальноосвітня школа І-ІІІ ступенів № 7 імені В.В. Бражевського</t>
  </si>
  <si>
    <t>10003</t>
  </si>
  <si>
    <t>вул. Перемоги, 79</t>
  </si>
  <si>
    <t>(0--412)25-15-29</t>
  </si>
  <si>
    <t>22059005</t>
  </si>
  <si>
    <t>Комунальний заклад "Житомирський обласний ліцей-інтернат для обдарованих дітей" Житомирської обласної ради</t>
  </si>
  <si>
    <t>10007</t>
  </si>
  <si>
    <t>вул. Коростишівська, 15</t>
  </si>
  <si>
    <t>(068)2882619</t>
  </si>
  <si>
    <t>05396422</t>
  </si>
  <si>
    <t>Комунальний навчальний заклад "Житомирська спеціальна загальноосвітня школа-інтернат I-III ступенів № 1" Житомирської обласної ради</t>
  </si>
  <si>
    <t>вул. Леха Качинського, 17</t>
  </si>
  <si>
    <t>((0412))22-28-25, ((0412))47-02-93, ((0412))47-34-44</t>
  </si>
  <si>
    <t>05395992</t>
  </si>
  <si>
    <t>Комунальний навчальний заклад "Житомирська спеціальна загальноосвітня школа-інтернат"</t>
  </si>
  <si>
    <t>вул. Дитячої комуни, 12</t>
  </si>
  <si>
    <t>(0412)372602</t>
  </si>
  <si>
    <t>05395948</t>
  </si>
  <si>
    <t>ліцей № 2 м. Житомира</t>
  </si>
  <si>
    <t>вул. Саєнка, 56</t>
  </si>
  <si>
    <t>(0412)429535</t>
  </si>
  <si>
    <t>22058974</t>
  </si>
  <si>
    <t>Ліцей № 25 м.Житомира</t>
  </si>
  <si>
    <t>вул. Мала Бердичівська, 18</t>
  </si>
  <si>
    <t>227296</t>
  </si>
  <si>
    <t>22059152</t>
  </si>
  <si>
    <t>Житомирська загальноосвітня спеціалізована школа І-ІІІ ступенів № 16</t>
  </si>
  <si>
    <t>10031</t>
  </si>
  <si>
    <t>вул. Тараса Бульби-Боровця, 15</t>
  </si>
  <si>
    <t>(0412)254379</t>
  </si>
  <si>
    <t>https://infoschool16.000webhostapp.com</t>
  </si>
  <si>
    <t>22059063</t>
  </si>
  <si>
    <t>Житомирська загальноосвітня школа І - ІІІ ступенів № 5</t>
  </si>
  <si>
    <t>вул. Клосовського, 16</t>
  </si>
  <si>
    <t>(0412)253252</t>
  </si>
  <si>
    <t>20407264</t>
  </si>
  <si>
    <t>Житомирська міська гімназія № 3</t>
  </si>
  <si>
    <t>вул. Грушевського, 8</t>
  </si>
  <si>
    <t>(0412)227778</t>
  </si>
  <si>
    <t>22058980</t>
  </si>
  <si>
    <t>Житомирський міський ліцей при Житомирському державному технологічному університеті</t>
  </si>
  <si>
    <t>26</t>
  </si>
  <si>
    <t>(0412)25-66-22</t>
  </si>
  <si>
    <t>http://city-lyceum.zt.ua</t>
  </si>
  <si>
    <t>13581895</t>
  </si>
  <si>
    <t>Житомирський навчально-виховний комплекс спецільного типу № 59 Житомирської міської ради</t>
  </si>
  <si>
    <t>вул. Юрка Тютюнника, 32</t>
  </si>
  <si>
    <t>(0412)42-49-59, (0412)42-49-60</t>
  </si>
  <si>
    <t>24706874</t>
  </si>
  <si>
    <t>Загальноосвітня школа І-ІІІ ступенів № 28 м. Житомира імені гетьмана Івана Виговського</t>
  </si>
  <si>
    <t>вул. Тараса Бульби-Боровця, 17</t>
  </si>
  <si>
    <t>(0412)25-97-66, (0412)25-97-74</t>
  </si>
  <si>
    <t>22059181</t>
  </si>
  <si>
    <t>Загальноосвітня школа І-ІІІ ступенів № 1 м. Житомира</t>
  </si>
  <si>
    <t>вул. Троянівська, 26</t>
  </si>
  <si>
    <t>(0412)24-18-67</t>
  </si>
  <si>
    <t>22058968</t>
  </si>
  <si>
    <t>Загальноосвітня школа І-ІІІ ступенів № 36 імені Я. Домбровського м. Житомира</t>
  </si>
  <si>
    <t>вул. Домбровського, 21</t>
  </si>
  <si>
    <t>(0412)222900</t>
  </si>
  <si>
    <t>20425865</t>
  </si>
  <si>
    <t>Загальноосвітня школа І-ІІІ ступенів № 6 ім. В.Г.Короленка м.Житомира</t>
  </si>
  <si>
    <t>майдан Короленка, 7</t>
  </si>
  <si>
    <t>(0412)423172</t>
  </si>
  <si>
    <t>http://Zt-school-6.blogspot.com</t>
  </si>
  <si>
    <t>22058997</t>
  </si>
  <si>
    <t>Житомирська загальноосвітня школа І-ІІІ ступенів № 30</t>
  </si>
  <si>
    <t>10025</t>
  </si>
  <si>
    <t>пров. Шкільний, 4</t>
  </si>
  <si>
    <t>(0412)330903</t>
  </si>
  <si>
    <t>22059198</t>
  </si>
  <si>
    <t>Житомирська загальноосвітня школа І-ІІІ ступенів № 33</t>
  </si>
  <si>
    <t>10002</t>
  </si>
  <si>
    <t>вул. Велика Бердичівська, 52</t>
  </si>
  <si>
    <t>(0412)341498</t>
  </si>
  <si>
    <t>http://school33.edukit.zt.ua</t>
  </si>
  <si>
    <t>22059212</t>
  </si>
  <si>
    <t>Житомирська загальноосвітня школа І-ІІІ ступенів школа № 22 імені Василя Михайловича Кавуна</t>
  </si>
  <si>
    <t>вул. Космонавтів, 36</t>
  </si>
  <si>
    <t>(0412)33-50-84</t>
  </si>
  <si>
    <t>22059123</t>
  </si>
  <si>
    <t>Житомирська спеціалізована школа І-ІІІ ступенів № 20 Житомирської міської ради</t>
  </si>
  <si>
    <t>вул. Східна, 65</t>
  </si>
  <si>
    <t>222706, 362458</t>
  </si>
  <si>
    <t>http://zsschool20.ucoz.ua</t>
  </si>
  <si>
    <t>22059100</t>
  </si>
  <si>
    <t>Загальноосвітня школа I-III ступенів № 32 м.Житомира</t>
  </si>
  <si>
    <t>вул. Чуднівська, 48</t>
  </si>
  <si>
    <t>(0412)242716</t>
  </si>
  <si>
    <t>22059206</t>
  </si>
  <si>
    <t>Житомирська приватна гімназія "Ор Авнер" Житомирської області</t>
  </si>
  <si>
    <t>1810136300</t>
  </si>
  <si>
    <t>Житомир, Богунський район</t>
  </si>
  <si>
    <t>вул. Чехова, 57</t>
  </si>
  <si>
    <t>(0412)253893, (0412)251793</t>
  </si>
  <si>
    <t>http://oravner.ho.com.ua</t>
  </si>
  <si>
    <t>англійська,івріт</t>
  </si>
  <si>
    <t>Житомирський навчально-виховний комплекс № 65 "Родина"</t>
  </si>
  <si>
    <t>вул. Покровська, 129А</t>
  </si>
  <si>
    <t>(0412)257937</t>
  </si>
  <si>
    <t>05495229</t>
  </si>
  <si>
    <t>Загальноосвітня школа І - ІІІ ступенів № 19 м. Житомира Житомирської міської ради Житомирської області</t>
  </si>
  <si>
    <t>10029</t>
  </si>
  <si>
    <t>вул. Лесі Українки, 71</t>
  </si>
  <si>
    <t>(0412)223529, (0412)421989</t>
  </si>
  <si>
    <t>http://www.zosh19.org.ua</t>
  </si>
  <si>
    <t>20427516</t>
  </si>
  <si>
    <t>Загальноосвітня школа І-ІІІ ступенів № 26 м. Житомира</t>
  </si>
  <si>
    <t>просп. Миру, 59</t>
  </si>
  <si>
    <t>(0412)516391, (0412)416826</t>
  </si>
  <si>
    <t>http://www.school26.edukit.zt.ua/</t>
  </si>
  <si>
    <t>20427433</t>
  </si>
  <si>
    <t>Житомирська загальноосвітня приватна школа І-ІІІ ступенів "Сяйво" Житомирської області</t>
  </si>
  <si>
    <t>1810136600</t>
  </si>
  <si>
    <t>Житомир, Корольовський район</t>
  </si>
  <si>
    <t>вул. Коцюбинського, 5</t>
  </si>
  <si>
    <t>(0421)473963</t>
  </si>
  <si>
    <t>Житомирська загальноосвітня школа І-ІІІ ступенів № 14</t>
  </si>
  <si>
    <t>вул. Кибальчича, 7</t>
  </si>
  <si>
    <t>(0412)333940</t>
  </si>
  <si>
    <t>22059040</t>
  </si>
  <si>
    <t>Житомирський екологічний ліцей № 24</t>
  </si>
  <si>
    <t>10024</t>
  </si>
  <si>
    <t>вул. Шевченка, 105 б</t>
  </si>
  <si>
    <t>(0412)33-30-04</t>
  </si>
  <si>
    <t>22059146</t>
  </si>
  <si>
    <t>Житомирський міський колегіум Житомирської міської ради Житомирської області</t>
  </si>
  <si>
    <t>вул. Мануїльського, 18</t>
  </si>
  <si>
    <t>(0412)373035</t>
  </si>
  <si>
    <t>22059229</t>
  </si>
  <si>
    <t>Загальноосвітня школа І-ІІІ ступенів № 10 м. Житомира</t>
  </si>
  <si>
    <t>вул. Київське шосе, 37</t>
  </si>
  <si>
    <t>(0412)428076</t>
  </si>
  <si>
    <t>22059028</t>
  </si>
  <si>
    <t>КНЗ "Житомирська спеціальна загальноосвітня школа-інтернат І-ІІІ ступенів № 2" Житомирської обласної ради</t>
  </si>
  <si>
    <t>вул. пр-зд професора Арциховського, 8</t>
  </si>
  <si>
    <t>(0412)429507</t>
  </si>
  <si>
    <t>http://www.interforgluh.org.ua</t>
  </si>
  <si>
    <t>05396066</t>
  </si>
  <si>
    <t>Спеціалізована загальноосвітня школа І - ІІІ ступенів № 12 з поглибленим вивченням іноземних мов ім. С. І. Ковальчука м. Житомира</t>
  </si>
  <si>
    <t>вул. Старий бульвар, 4</t>
  </si>
  <si>
    <t>(0412)47-39-60</t>
  </si>
  <si>
    <t>22059034</t>
  </si>
  <si>
    <t>Бердичівська міська гуманітарна гімназія № 2</t>
  </si>
  <si>
    <t>13300</t>
  </si>
  <si>
    <t>1810400000</t>
  </si>
  <si>
    <t>Бердичів</t>
  </si>
  <si>
    <t>вул. Джозефа Конрада, 3</t>
  </si>
  <si>
    <t>(04143)22188</t>
  </si>
  <si>
    <t>російська,польська,англійська,іспанська</t>
  </si>
  <si>
    <t>Бердичівський загальноосвітній колегіум № 14 Житомирської області</t>
  </si>
  <si>
    <t>13307</t>
  </si>
  <si>
    <t>вул. Білопільська, 44</t>
  </si>
  <si>
    <t>(04132)27486</t>
  </si>
  <si>
    <t>Бердичівський загальноосвітній навчально-виховний комплекс № 4 Житомирської області</t>
  </si>
  <si>
    <t>вул. Вінницька, 53</t>
  </si>
  <si>
    <t>(041-43)2-71-00</t>
  </si>
  <si>
    <t>Бердичівський міський ліцей № 15 Житомирської області</t>
  </si>
  <si>
    <t>вул. Михайла Грушевського, 5 А</t>
  </si>
  <si>
    <t>(04143)21088</t>
  </si>
  <si>
    <t>Вечірня (змінна) школа ІІ-ІІІ ступенів № 3 м. Бердичева Житомирської області</t>
  </si>
  <si>
    <t>вул. Європейська, 18/8</t>
  </si>
  <si>
    <t>(04143)25030</t>
  </si>
  <si>
    <t>Загальноосвітня школа I-III ступенів № 12 м. Бердичева Житомирської області</t>
  </si>
  <si>
    <t>13302</t>
  </si>
  <si>
    <t>вул. Одеська, 45</t>
  </si>
  <si>
    <t>(04143)31518, (04143)31415, (04143)31430</t>
  </si>
  <si>
    <t>загальноосвітня школа № 5</t>
  </si>
  <si>
    <t>2-13-76, 2-12-65</t>
  </si>
  <si>
    <t>Спеціалізована загальноосвітня школа з поглибленим вивченням іноземних мов І-ІІІ ступенів № 1 ім. Т.Г.Шевченка м. Бердичева Житомирської області</t>
  </si>
  <si>
    <t>вул. Європейська, 51</t>
  </si>
  <si>
    <t>(04143)20206</t>
  </si>
  <si>
    <t>Загальноосвітня школа I-III ступенів № 6 ім. Житниченка І. В.</t>
  </si>
  <si>
    <t>вул. Житомирська, 104/2</t>
  </si>
  <si>
    <t>(04143)6-34-15, (04143)6-30-36</t>
  </si>
  <si>
    <t>Загальноосвітня школа І-ІІІ ступенів № 11 м. Бердичева Житомирської області</t>
  </si>
  <si>
    <t>13308</t>
  </si>
  <si>
    <t>вул. Бистрицька, 32/21</t>
  </si>
  <si>
    <t>(04143)27017</t>
  </si>
  <si>
    <t>http://www.scl11.in.ua</t>
  </si>
  <si>
    <t>Загальноосвітня школа І-ІІІ ступенів № 7 імені Віктора Пастуха м. Бердичева Житомирської області</t>
  </si>
  <si>
    <t>13304</t>
  </si>
  <si>
    <t>вул. Червона, 57</t>
  </si>
  <si>
    <t>(04143)45670</t>
  </si>
  <si>
    <t>Комунальний загальноосвітній навчальний заклад "Школа І ступеня № 18 м. Бердичева Житомирської області"</t>
  </si>
  <si>
    <t>13312</t>
  </si>
  <si>
    <t>вул. Михайла Грушевського, 27</t>
  </si>
  <si>
    <t>(4143)2-03-45</t>
  </si>
  <si>
    <t>Комунальний навчальний заклад "Бердичівська загальноосвітня школа-інтернат І-ІІІ ступенів" Житомирської обласної ради.</t>
  </si>
  <si>
    <t>вул. Героїв України, 79</t>
  </si>
  <si>
    <t>20424274</t>
  </si>
  <si>
    <t>Навчально-виховний комплекс "Школа-гімназія-ліцей" № 10 м. Бердичева Житомирської області</t>
  </si>
  <si>
    <t>13306</t>
  </si>
  <si>
    <t>вул. Семенівська, 4</t>
  </si>
  <si>
    <t>(04143)20056, (04143)21138</t>
  </si>
  <si>
    <t>Спеціалізована загальноосвітня школа з поглибленим вивченням окремих предметів та курсів І-ІІІ ступенів № 17 м. Бердичева Житомирської області</t>
  </si>
  <si>
    <t>вул. Паризької Комуни, 49</t>
  </si>
  <si>
    <t>(04143)2-10-33</t>
  </si>
  <si>
    <t>Спеціалізована загальноосвітня школа І-ІІІ ступенів № 8 з поглибленим вивченням окремих предметів та курсів м.Бердичева Житомирської області</t>
  </si>
  <si>
    <t>вул. Олега Реготуна, 7</t>
  </si>
  <si>
    <t>(04143)25062, (04143)25158</t>
  </si>
  <si>
    <t>Коростенська вечірня (змінна) школа ІІ - ІІІ ступенів Житомирської області</t>
  </si>
  <si>
    <t>11500</t>
  </si>
  <si>
    <t>1810700000</t>
  </si>
  <si>
    <t>Коростень</t>
  </si>
  <si>
    <t>(04142)43205</t>
  </si>
  <si>
    <t>Коростенська загальноосвітня школа І - ІІІ ступенів № 3 Житомирської області</t>
  </si>
  <si>
    <t>вул. Древлянська, 20</t>
  </si>
  <si>
    <t>(04142)43186</t>
  </si>
  <si>
    <t>Коростенська загальноосвітня школа І-ІІІ ступенів № 9 Житомирської області</t>
  </si>
  <si>
    <t>вул. Шевченка, 62</t>
  </si>
  <si>
    <t>(04142)42171</t>
  </si>
  <si>
    <t>http://school9kor.at.ua/</t>
  </si>
  <si>
    <t>Коростенська загальноосвітня школа І-ІІІ ступенів № 1 з поглибленим вивченням іноземних мов</t>
  </si>
  <si>
    <t>вул. Григорія Сковороди, 24</t>
  </si>
  <si>
    <t>(04142)42315</t>
  </si>
  <si>
    <t>http://school1kor.at.ua</t>
  </si>
  <si>
    <t>Коростенська загальноосвітня школа І-ІІІ ступенів № 13</t>
  </si>
  <si>
    <t>11502</t>
  </si>
  <si>
    <t>вул. Селезньова, 101</t>
  </si>
  <si>
    <t>(04142)66235</t>
  </si>
  <si>
    <t>Коростенська загальноосвітня школа І-ІІІ ступенів № 5 Житомирської області</t>
  </si>
  <si>
    <t>11501</t>
  </si>
  <si>
    <t>(04142)42200</t>
  </si>
  <si>
    <t>Коростенська загальноосвітня школа І-ІІІ ступенів № 8</t>
  </si>
  <si>
    <t>вул. Залізнична, 23</t>
  </si>
  <si>
    <t>(04142)2-52-52</t>
  </si>
  <si>
    <t>НВК школа-гімназія І-ІІІступенів № 2 ім. В. Сингаївського Коростенської міськради Житомирської області</t>
  </si>
  <si>
    <t>вул. 1Травня, 2</t>
  </si>
  <si>
    <t>(04142)30020</t>
  </si>
  <si>
    <t>Коростенська міська гімназія № 7 Житомирської облкасті</t>
  </si>
  <si>
    <t>(04142)4-22-12</t>
  </si>
  <si>
    <t>Коростенська міська гімназія Житомирської області</t>
  </si>
  <si>
    <t>вул. Грушевського, 21</t>
  </si>
  <si>
    <t>(04142)46835</t>
  </si>
  <si>
    <t>http://gymnasium-korosten.org</t>
  </si>
  <si>
    <t>Коростенська середня загальноосвітня школа І-ІІІ ступенів № 11 Житомирської області</t>
  </si>
  <si>
    <t>11508</t>
  </si>
  <si>
    <t>вул. Грушевського, 66</t>
  </si>
  <si>
    <t>(01442)44014</t>
  </si>
  <si>
    <t>http://school11kor.moy.su</t>
  </si>
  <si>
    <t>Коростенський міський колегіум</t>
  </si>
  <si>
    <t>вул. Мельника, 9</t>
  </si>
  <si>
    <t>(04142)49177</t>
  </si>
  <si>
    <t>http://school10-kor.at.ua</t>
  </si>
  <si>
    <t>Коростенський міський ліцей Житомирської області</t>
  </si>
  <si>
    <t>вул. С. Крушельницької, 12</t>
  </si>
  <si>
    <t>4-54-51, 5-88-10</t>
  </si>
  <si>
    <t>Навчально-виховний комплекс "Школа-гімназія" № 12</t>
  </si>
  <si>
    <t>(04142)3-23-86, (04142)3-22-50</t>
  </si>
  <si>
    <t>http://nvk12kor.at.ua</t>
  </si>
  <si>
    <t>Малинська загальноосвітня школа № 5 I-III ступенів</t>
  </si>
  <si>
    <t>11603</t>
  </si>
  <si>
    <t>1810900000</t>
  </si>
  <si>
    <t>Малин</t>
  </si>
  <si>
    <t>вул. пр.Покровський, 4</t>
  </si>
  <si>
    <t>(04133)45147, (04133)45149</t>
  </si>
  <si>
    <t>Малинська загальноосвітня школа І-ІІІ ступенів № 2</t>
  </si>
  <si>
    <t>11600</t>
  </si>
  <si>
    <t>ал. Кримського, 5</t>
  </si>
  <si>
    <t>(04133)52260</t>
  </si>
  <si>
    <t>Малинська загальноосвітня школа І-ІІІ ступенів № 3</t>
  </si>
  <si>
    <t>11601</t>
  </si>
  <si>
    <t>(04133)52360, (04133)52780</t>
  </si>
  <si>
    <t>Малинська загальноосвітня школа І-ІІІ ступенів № 4 Житомирської області</t>
  </si>
  <si>
    <t>11602</t>
  </si>
  <si>
    <t>пров. Димитрова, 1</t>
  </si>
  <si>
    <t>(04133)31356, (04133)52460</t>
  </si>
  <si>
    <t>Малинська загальноосвітня школа І-ІІІ ступенів № 6</t>
  </si>
  <si>
    <t>вул. Городищенська, 140</t>
  </si>
  <si>
    <t>(04133)51860</t>
  </si>
  <si>
    <t>Малинський загальноосвітній навчально-виховний комплекс "Школа-ліцей № 1 ім. Ніни Сосніної" І-ІІІ ступенів</t>
  </si>
  <si>
    <t>вул. Паркова, 4</t>
  </si>
  <si>
    <t>(04133)53689</t>
  </si>
  <si>
    <t>Загальноосвітня школа І-ІІІ ступенів № 9</t>
  </si>
  <si>
    <t>11700</t>
  </si>
  <si>
    <t>1811000000</t>
  </si>
  <si>
    <t>Новоград-Волинський</t>
  </si>
  <si>
    <t>вул. Гоголя, 9</t>
  </si>
  <si>
    <t>(04141)5-23-09</t>
  </si>
  <si>
    <t>http://nvs9.at.ua</t>
  </si>
  <si>
    <t>Новоград - Волинська загальноосвітня школа І - ІІІ ступенів № 3 Житомирської області</t>
  </si>
  <si>
    <t>вул. Соборності, 54</t>
  </si>
  <si>
    <t>(04141)52050</t>
  </si>
  <si>
    <t>Новоград-Волинська загальноосвітня школа І - ІІІ ступенів № 6 Житомирської області</t>
  </si>
  <si>
    <t>11708</t>
  </si>
  <si>
    <t>вул. Князів Острозьких, 58</t>
  </si>
  <si>
    <t>(04141)5-34-36</t>
  </si>
  <si>
    <t>http://nv-school6.ucoz.ua</t>
  </si>
  <si>
    <t>Новоград-Волинська загальноосвітня школа І-ІІІ ступенів № 10 художньо-естетичного профілю Житомирської області</t>
  </si>
  <si>
    <t>вул. Гетьмана Сагайдачного, 215</t>
  </si>
  <si>
    <t>(04141)37858, (04141)37707</t>
  </si>
  <si>
    <t>Новоград-Волинська загальноосвітня школа І-ІІІ ступенів № 2</t>
  </si>
  <si>
    <t>вул. Івана Франка, 19</t>
  </si>
  <si>
    <t>(04141)5-24-80, (04141)5-70-27</t>
  </si>
  <si>
    <t>Новоград-Волинська загальноосвітня школа І-ІІІ ступенів № 5 Житомирської області</t>
  </si>
  <si>
    <t>вул. Івана Франка, 30</t>
  </si>
  <si>
    <t>(04141)52221</t>
  </si>
  <si>
    <t>Новоград-Волинська загальноосвітня школа І-ІІІ ступенів № 7 Житомирської області</t>
  </si>
  <si>
    <t>11703</t>
  </si>
  <si>
    <t>вул. Житомирська, 124</t>
  </si>
  <si>
    <t>(04141)20770</t>
  </si>
  <si>
    <t>http://www.sevenschool.org</t>
  </si>
  <si>
    <t>Новоград-Волинська загальноосвітня школа І-ІІІ ступенів № 8</t>
  </si>
  <si>
    <t>вул. Дружби, 50</t>
  </si>
  <si>
    <t>Комунальний навчальний заклад "Новоград-Волинська загальноосвітня школа інтернат І-ІІ ступенів" Житомирської обласної Ради</t>
  </si>
  <si>
    <t>вул. Шевченко, 72</t>
  </si>
  <si>
    <t>(04141)5-22-78</t>
  </si>
  <si>
    <t>13553798</t>
  </si>
  <si>
    <t>Новоград-Волинська спеціалізована школа І-ІІІ ступенів № 4 з поглибленим вивченням окремих предметів і курсів "Школа сприяння здоров'ю" Житомирської області</t>
  </si>
  <si>
    <t>вул. Пушкіна, 46</t>
  </si>
  <si>
    <t>(04141)56373, (04141)21588</t>
  </si>
  <si>
    <t>http://nv.school4.educit.zt.ua</t>
  </si>
  <si>
    <t>Новоград-Волинський колегіум</t>
  </si>
  <si>
    <t>11709</t>
  </si>
  <si>
    <t>вул. Співдружності, 3/8</t>
  </si>
  <si>
    <t>(04141)3-82-00</t>
  </si>
  <si>
    <t>Новоград-Волинський навчально-виховний комплекс "Гімназія імені Лесі Українки - школа І ступеня" Житомирської області</t>
  </si>
  <si>
    <t>вул. Косачів, 5</t>
  </si>
  <si>
    <t>(04141)52157</t>
  </si>
  <si>
    <t>Андрушівська гімназія Житомирської області</t>
  </si>
  <si>
    <t>13401</t>
  </si>
  <si>
    <t>1820310100</t>
  </si>
  <si>
    <t>(04136)21745</t>
  </si>
  <si>
    <t>Андрушівська загальноосвітня школа І-ІІ ступенів Житомирської області</t>
  </si>
  <si>
    <t>13400</t>
  </si>
  <si>
    <t>вул. Ломоносава, 13</t>
  </si>
  <si>
    <t>(04136)2-27-22</t>
  </si>
  <si>
    <t>Андрушівська загальноосвітня школа І-ІІІ ступенів № 1 Житомирської області</t>
  </si>
  <si>
    <t>(04136)21851</t>
  </si>
  <si>
    <t>http://andrschool1.com.ua</t>
  </si>
  <si>
    <t>Червоненська загальноосвітня школа І-ІІІ ступенів Андрушівського району Житомирської області</t>
  </si>
  <si>
    <t>13434</t>
  </si>
  <si>
    <t>1820355600</t>
  </si>
  <si>
    <t>вул. Кооперативна, 3</t>
  </si>
  <si>
    <t>(04136)46271</t>
  </si>
  <si>
    <t>Антопільська загальноосвітня школа І-ІІ ступенів</t>
  </si>
  <si>
    <t>13414</t>
  </si>
  <si>
    <t>1820380401</t>
  </si>
  <si>
    <t>Антопіль</t>
  </si>
  <si>
    <t>9-72-58</t>
  </si>
  <si>
    <t>Бровківська загальноосвітня школа І-ІІІ ступенів Андрушівського району Житомирської області</t>
  </si>
  <si>
    <t>13444</t>
  </si>
  <si>
    <t>1820380801</t>
  </si>
  <si>
    <t>Бровки-Перші</t>
  </si>
  <si>
    <t>вул. Кірова, 6</t>
  </si>
  <si>
    <t>Волицька загальноосвітня школа І-ІІ ступенів</t>
  </si>
  <si>
    <t>13424</t>
  </si>
  <si>
    <t>1820381601</t>
  </si>
  <si>
    <t>пров. Шкільний, 102</t>
  </si>
  <si>
    <t>(04136)9-47-16</t>
  </si>
  <si>
    <t>Гальчинська загальноосвітня школа І-ІІІ ступенів Андрушівського району, Житомирської області</t>
  </si>
  <si>
    <t>13432</t>
  </si>
  <si>
    <t>1820382401</t>
  </si>
  <si>
    <t>Гальчин</t>
  </si>
  <si>
    <t>вул. Ватутіна, 3</t>
  </si>
  <si>
    <t>(04136)53736</t>
  </si>
  <si>
    <t>Глинівецька загальноосвітня школа І-ІІІ ступенів Андрушівського району Житомирської області</t>
  </si>
  <si>
    <t>13415</t>
  </si>
  <si>
    <t>1820382801</t>
  </si>
  <si>
    <t>Глинівці</t>
  </si>
  <si>
    <t>Городківська загальноосвітня школа І-ІІІ ступенів Андрушівського району Житомирської області</t>
  </si>
  <si>
    <t>13450</t>
  </si>
  <si>
    <t>1820383201</t>
  </si>
  <si>
    <t>(04136)9-76-23</t>
  </si>
  <si>
    <t>Зарубинецька загальноосвітня школа І-ІІІ ступенів Андрушівського району Житомирської області</t>
  </si>
  <si>
    <t>13425</t>
  </si>
  <si>
    <t>1820384001</t>
  </si>
  <si>
    <t>Зарубинці</t>
  </si>
  <si>
    <t>вул. Першотравнева, 50</t>
  </si>
  <si>
    <t>(04136)94232</t>
  </si>
  <si>
    <t>Іванківська загальноосвітня школа І-ІІІ ступенів</t>
  </si>
  <si>
    <t>13410</t>
  </si>
  <si>
    <t>1820384401</t>
  </si>
  <si>
    <t>Іванків</t>
  </si>
  <si>
    <t>вул. Мельника, 4</t>
  </si>
  <si>
    <t>(04136)5-64-57</t>
  </si>
  <si>
    <t>Івницька загальноосвітня школа І-ІІІ ступенів Андрушівського району</t>
  </si>
  <si>
    <t>13420</t>
  </si>
  <si>
    <t>1820384801</t>
  </si>
  <si>
    <t>Івниця</t>
  </si>
  <si>
    <t>вул. Верескова, 1</t>
  </si>
  <si>
    <t>(04136)9-71-45</t>
  </si>
  <si>
    <t>Крилівська загальноосвітня школа І-ІІ ступенів Андрушівського району Житомирської області</t>
  </si>
  <si>
    <t>13435</t>
  </si>
  <si>
    <t>1820385601</t>
  </si>
  <si>
    <t>Крилівка</t>
  </si>
  <si>
    <t>вул. Заможного, 2А</t>
  </si>
  <si>
    <t>Любимівська загальноосвітня школа І-ІІ ступенів Андрушівського району Житомирської області</t>
  </si>
  <si>
    <t>13426</t>
  </si>
  <si>
    <t>1820386201</t>
  </si>
  <si>
    <t>(04136)9-54-36</t>
  </si>
  <si>
    <t>Малоп'ятигірська загальноосвітня школа І-ІІ ступенів Андрушівського району Житомирської області</t>
  </si>
  <si>
    <t>13453</t>
  </si>
  <si>
    <t>1820386801</t>
  </si>
  <si>
    <t>Мала П'ятигірка</t>
  </si>
  <si>
    <t>вул. Шкільна, 14А</t>
  </si>
  <si>
    <t>(04136)56746, (096)2180093</t>
  </si>
  <si>
    <t>Міньковецька загальноосвітня школа І-ІІ ступенів Андрушівського району Житомирської області</t>
  </si>
  <si>
    <t>13440</t>
  </si>
  <si>
    <t>1820387001</t>
  </si>
  <si>
    <t>Міньківці</t>
  </si>
  <si>
    <t>вул. Левицького, 44</t>
  </si>
  <si>
    <t>(04136)9-41-28</t>
  </si>
  <si>
    <t>Мостівська загальноосвітня школа І-ІІ ступенів Андрушівського району Житомирської області</t>
  </si>
  <si>
    <t>13441</t>
  </si>
  <si>
    <t>1820387201</t>
  </si>
  <si>
    <t>Мостове</t>
  </si>
  <si>
    <t>вул. Окунєва, 25</t>
  </si>
  <si>
    <t>(04136)9-52-30</t>
  </si>
  <si>
    <t>Нехворощанська загальноосвітня школа І-ІІІ ступенів Андрушівського району Житомирської області</t>
  </si>
  <si>
    <t>13433</t>
  </si>
  <si>
    <t>1820387401</t>
  </si>
  <si>
    <t>Нехворощ</t>
  </si>
  <si>
    <t>(04136)53330, (097)9148749</t>
  </si>
  <si>
    <t>Новоівницька загальноосвітня школа І-ІІІ ступенів Андрушівського району Житомирської області</t>
  </si>
  <si>
    <t>13419</t>
  </si>
  <si>
    <t>1820387601</t>
  </si>
  <si>
    <t>Новоівницьке</t>
  </si>
  <si>
    <t>вул. Лісова, 14</t>
  </si>
  <si>
    <t>(20409470)5-62-95</t>
  </si>
  <si>
    <t>Павелківська ЗОШ І - ІІІ ступенів, Андрушівського району, Житомирської області</t>
  </si>
  <si>
    <t>13442</t>
  </si>
  <si>
    <t>1820387801</t>
  </si>
  <si>
    <t>Павелки</t>
  </si>
  <si>
    <t>вул. Леніна, 1Б</t>
  </si>
  <si>
    <t>Старокотельнянська гімназія Андрушівського району, Житомирської області</t>
  </si>
  <si>
    <t>13413</t>
  </si>
  <si>
    <t>1820388301</t>
  </si>
  <si>
    <t>Стара Котельня</t>
  </si>
  <si>
    <t>вул. Зазулінського, 5</t>
  </si>
  <si>
    <t>(04136)9-44-36</t>
  </si>
  <si>
    <t>Степківська загальноосвітня школа І-ІІІ ступенів Андрушівського району</t>
  </si>
  <si>
    <t>13421</t>
  </si>
  <si>
    <t>1820388601</t>
  </si>
  <si>
    <t>Степок</t>
  </si>
  <si>
    <t>(04136)9-55-55</t>
  </si>
  <si>
    <t>Яроповицька загальноосвітня школа 1-3 ступенів Андрушівського району Житомирської області</t>
  </si>
  <si>
    <t>13423</t>
  </si>
  <si>
    <t>1820389001</t>
  </si>
  <si>
    <t>Яроповичі</t>
  </si>
  <si>
    <t>ал. Житомирська, 1</t>
  </si>
  <si>
    <t>(04136)94353</t>
  </si>
  <si>
    <t>Опорний навчальний заклад "Баранівська гімназія"</t>
  </si>
  <si>
    <t>12700</t>
  </si>
  <si>
    <t>1820610100</t>
  </si>
  <si>
    <t>Баранівка</t>
  </si>
  <si>
    <t>(04144)43030, (04144)42386</t>
  </si>
  <si>
    <t>Баранівська загальноосвітня школа І-ІІ ступенів</t>
  </si>
  <si>
    <t>12701</t>
  </si>
  <si>
    <t>вул. Степанюка, 2</t>
  </si>
  <si>
    <t>(04144)78445</t>
  </si>
  <si>
    <t>Баранівська загальноосвітня школа І-ІІІ ступенів № 2 імені Ольги Сябрук</t>
  </si>
  <si>
    <t>вул. Звягельська, 17</t>
  </si>
  <si>
    <t>(04144)43438, (04144)42124</t>
  </si>
  <si>
    <t>Довбиська загальноосвітня школа І-ІІІ ступенів Баранівського району Житомирської області</t>
  </si>
  <si>
    <t>12724</t>
  </si>
  <si>
    <t>1820655400</t>
  </si>
  <si>
    <t>Довбиш</t>
  </si>
  <si>
    <t>(04144)51292, (04144)51274</t>
  </si>
  <si>
    <t>Комунальний навчальний заклад "Довбиська спецііальна загальноосвітня школа-інтернат" Житомирської обласної ради</t>
  </si>
  <si>
    <t>вул. Соборна, 11</t>
  </si>
  <si>
    <t>20407130</t>
  </si>
  <si>
    <t>Кам’янобрідська загальноосвітня школа І-ІІІ ступенів</t>
  </si>
  <si>
    <t>12720</t>
  </si>
  <si>
    <t>1820655700</t>
  </si>
  <si>
    <t>Кам'яний Брід</t>
  </si>
  <si>
    <t>вул. Леcі  Українки, 1</t>
  </si>
  <si>
    <t>(04144)71234</t>
  </si>
  <si>
    <t>Мар’янівська загальноосвітня школа І - ІІІ ступенів Баранівського району Житомирської області</t>
  </si>
  <si>
    <t>12725</t>
  </si>
  <si>
    <t>1820655900</t>
  </si>
  <si>
    <t>(04144)73230, (068)0191018</t>
  </si>
  <si>
    <t>Першотравенська ЗОШ І-ІІІ ступенів Баранівського району Житомирської області</t>
  </si>
  <si>
    <t>12746</t>
  </si>
  <si>
    <t>1820656000</t>
  </si>
  <si>
    <t>(804144)61227, (804144)61234</t>
  </si>
  <si>
    <t>Полянківська загальноосвітня школа І-ІІІ ступенів Баранівського району Житомирської області</t>
  </si>
  <si>
    <t>12742</t>
  </si>
  <si>
    <t>1820656300</t>
  </si>
  <si>
    <t>Полянка</t>
  </si>
  <si>
    <t>(04144)78710</t>
  </si>
  <si>
    <t>Філія Опорного навчального закладу "Баранівська гімназія" Берестівська загальноосвітня школа І ступеня Баранівського району, Житомирської області</t>
  </si>
  <si>
    <t>12734</t>
  </si>
  <si>
    <t>1820680401</t>
  </si>
  <si>
    <t>Берестівка</t>
  </si>
  <si>
    <t>вул. Лук'янівська, 1 А</t>
  </si>
  <si>
    <t>(04144)74730</t>
  </si>
  <si>
    <t>Мирославльська загальноосвітня школа І ступеня Баранівського району Житомирської області</t>
  </si>
  <si>
    <t>12735</t>
  </si>
  <si>
    <t>1820680403</t>
  </si>
  <si>
    <t>Мирославль</t>
  </si>
  <si>
    <t>вул. Радулинська, 1</t>
  </si>
  <si>
    <t>(04144)72630</t>
  </si>
  <si>
    <t>Вірлянська загальноосвітня школа І ступеня</t>
  </si>
  <si>
    <t>12730</t>
  </si>
  <si>
    <t>1820680801</t>
  </si>
  <si>
    <t>Вірля</t>
  </si>
  <si>
    <t>Климентіївська загальноосвітня школа І-ІІ ступенів</t>
  </si>
  <si>
    <t>12731</t>
  </si>
  <si>
    <t>1820680802</t>
  </si>
  <si>
    <t>Климентіївка</t>
  </si>
  <si>
    <t>вул. Заграда, 44</t>
  </si>
  <si>
    <t>(04144)79240</t>
  </si>
  <si>
    <t>Дубрівська загальноосвітня школа I-III ступенів № 1 Баранівського району Житомирської області</t>
  </si>
  <si>
    <t>12736</t>
  </si>
  <si>
    <t>1820681801</t>
  </si>
  <si>
    <t>Дубрівка</t>
  </si>
  <si>
    <t>вул. Адмірала Левченка, 131</t>
  </si>
  <si>
    <t>(74)249</t>
  </si>
  <si>
    <t>Зеремлянська загальноосвітня школа І-ІІІ ступенів Баранівського району Житомирської області</t>
  </si>
  <si>
    <t>12732</t>
  </si>
  <si>
    <t>1820682201</t>
  </si>
  <si>
    <t>Зеремля</t>
  </si>
  <si>
    <t>вул. Вишнівецька, 12</t>
  </si>
  <si>
    <t>72340</t>
  </si>
  <si>
    <t>Кашперівська загальноосвітня школа І-ІІІ ступенів Баранівського району Житомирської області</t>
  </si>
  <si>
    <t>12741</t>
  </si>
  <si>
    <t>1820683001</t>
  </si>
  <si>
    <t>вул. Леніна, 50</t>
  </si>
  <si>
    <t>(04144)76-2-30</t>
  </si>
  <si>
    <t>Гриньківська загальноосвітня школа І ступеня</t>
  </si>
  <si>
    <t>1820683002</t>
  </si>
  <si>
    <t>Гриньки</t>
  </si>
  <si>
    <t>вул. Пушкіна, 4</t>
  </si>
  <si>
    <t>(098)7314864</t>
  </si>
  <si>
    <t>Глибочанська загальноосвітня школа І - ІІ ступенів</t>
  </si>
  <si>
    <t>12745</t>
  </si>
  <si>
    <t>1820683602</t>
  </si>
  <si>
    <t>вул. Поліська, 24</t>
  </si>
  <si>
    <t>Філія Опорного навчального закладу "Баранівська гімназія" Старогутянська загальноосвітня школа I ступеня</t>
  </si>
  <si>
    <t>12704</t>
  </si>
  <si>
    <t>1820683603</t>
  </si>
  <si>
    <t>(04144)3-13-97</t>
  </si>
  <si>
    <t>Мокренська ЗАГАЛЬНООСВІТНЯ ШКОЛА І-ІІІ ступенів</t>
  </si>
  <si>
    <t>12710</t>
  </si>
  <si>
    <t>1820684201</t>
  </si>
  <si>
    <t>вул. Щорса, №3</t>
  </si>
  <si>
    <t>77-5-47, 77-5-37</t>
  </si>
  <si>
    <t>Закриничанська загальноосвітня школа І ступеня</t>
  </si>
  <si>
    <t>12711</t>
  </si>
  <si>
    <t>1820684204</t>
  </si>
  <si>
    <t>Закриниччя</t>
  </si>
  <si>
    <t>7</t>
  </si>
  <si>
    <t>Рогачівська загальноосвітня школа І-ІІІ ступенів Баранівського району Житомирської області</t>
  </si>
  <si>
    <t>12722</t>
  </si>
  <si>
    <t>1820684801</t>
  </si>
  <si>
    <t>Рогачів</t>
  </si>
  <si>
    <t>вул. Новоград Волинська, 102А</t>
  </si>
  <si>
    <t>(4144)75530</t>
  </si>
  <si>
    <t>Острожецька загальноосвітня школа І-ІІ ступенів</t>
  </si>
  <si>
    <t>12723</t>
  </si>
  <si>
    <t>1820684803</t>
  </si>
  <si>
    <t>Острожок</t>
  </si>
  <si>
    <t>вул. Центральна, 81</t>
  </si>
  <si>
    <t>(04144)75539</t>
  </si>
  <si>
    <t>Смолдирівська загальноосвітня школа I-III ступенів Баранівської міської ради</t>
  </si>
  <si>
    <t>12714</t>
  </si>
  <si>
    <t>1820685301</t>
  </si>
  <si>
    <t>Смолдирів</t>
  </si>
  <si>
    <t>77384</t>
  </si>
  <si>
    <t>Суємецька загальоосвітня школа І-ІІ ступенів</t>
  </si>
  <si>
    <t>12717</t>
  </si>
  <si>
    <t>1820685801</t>
  </si>
  <si>
    <t>Суємці</t>
  </si>
  <si>
    <t>вул. Шкільна, 60</t>
  </si>
  <si>
    <t>(04144)78230</t>
  </si>
  <si>
    <t>Хижівська загальноосвітня школа І-ІІІ ступенів</t>
  </si>
  <si>
    <t>12712</t>
  </si>
  <si>
    <t>1820686501</t>
  </si>
  <si>
    <t>Хижівка</t>
  </si>
  <si>
    <t>(0989)777132</t>
  </si>
  <si>
    <t>Явненська загальноосвітня школа І-ІІ ступенів Баранівського району Житомирської області</t>
  </si>
  <si>
    <t>12727</t>
  </si>
  <si>
    <t>1820687603</t>
  </si>
  <si>
    <t>Явне</t>
  </si>
  <si>
    <t>вул. Ліснічевська, 4</t>
  </si>
  <si>
    <t>(096)6947572</t>
  </si>
  <si>
    <t>Гришковецька гімназія Бердичівської районної ради Житомирської області</t>
  </si>
  <si>
    <t>13337</t>
  </si>
  <si>
    <t>1820855300</t>
  </si>
  <si>
    <t>Гришківці</t>
  </si>
  <si>
    <t>вул. Червоний Промінь, 3</t>
  </si>
  <si>
    <t>(04143)63249, (04143)63237</t>
  </si>
  <si>
    <t>Дмитрівська загальноосвітня школа I-II ступенів Бердичівської районної ради Житомирської області</t>
  </si>
  <si>
    <t>(041-43)6-32-43</t>
  </si>
  <si>
    <t>КНЗ"Бердичівська спеціальна загальноосвітня школа-інтернат" Житомирської обласної ради</t>
  </si>
  <si>
    <t>вул. Житомирська, 155</t>
  </si>
  <si>
    <t>(04143)21084</t>
  </si>
  <si>
    <t>13578947</t>
  </si>
  <si>
    <t>Андріяшівська загальноосвітня школа І ступеня - філія Райгородоцької ЗОШ І-ІІІ ступенів Бердичівської ради Житомирської області</t>
  </si>
  <si>
    <t>13364</t>
  </si>
  <si>
    <t>1820880201</t>
  </si>
  <si>
    <t>Андріяшівка</t>
  </si>
  <si>
    <t>вул. Павла Ящука, 8</t>
  </si>
  <si>
    <t>(098)9507474</t>
  </si>
  <si>
    <t>Бистрицька загальноосвітня школа І-ІІІ ступенів Бердичівської районної ради Житомирської області</t>
  </si>
  <si>
    <t>13370</t>
  </si>
  <si>
    <t>1820880601</t>
  </si>
  <si>
    <t>Бистрик</t>
  </si>
  <si>
    <t>(096)3469055</t>
  </si>
  <si>
    <t>Великонизгірецька загальноосвітня школа І-ІІІ ступенів Семенівської сільської ради Житомирської області</t>
  </si>
  <si>
    <t>13352</t>
  </si>
  <si>
    <t>1820880901</t>
  </si>
  <si>
    <t>Великі Низгірці</t>
  </si>
  <si>
    <t>вул. Бердичівська, 25Б</t>
  </si>
  <si>
    <t>(04143)64740</t>
  </si>
  <si>
    <t>Великоп’ятигірська загальноосвітня школа І-ІІ ступенів Бердичівської районної ради Житомирської області</t>
  </si>
  <si>
    <t>13361</t>
  </si>
  <si>
    <t>1820881201</t>
  </si>
  <si>
    <t>Велика П'ятигірка</t>
  </si>
  <si>
    <t>вул. Миру, 25 б</t>
  </si>
  <si>
    <t>(04143)61540</t>
  </si>
  <si>
    <t>Гальчинська загальноосвітня школа І-ІІ ступенів Бердичівської районної ради Житомирської області</t>
  </si>
  <si>
    <t>13222</t>
  </si>
  <si>
    <t>1820881501</t>
  </si>
  <si>
    <t>(04143)67137</t>
  </si>
  <si>
    <t>Гардишівська загальноосвітня школа І-ІІ ступенів - філія Озадівської ЗОШ І-ІІІ ступенів Бердичівської районної ради Житомирської області</t>
  </si>
  <si>
    <t>13345</t>
  </si>
  <si>
    <t>1820881801</t>
  </si>
  <si>
    <t>Гардишівка</t>
  </si>
  <si>
    <t>вул. Гагаріна, 1А</t>
  </si>
  <si>
    <t>(04143)67740</t>
  </si>
  <si>
    <t>Іванковецька загальноосвітня школа ІІІ ступенів Семенівської сільської ради</t>
  </si>
  <si>
    <t>13371</t>
  </si>
  <si>
    <t>1820882401</t>
  </si>
  <si>
    <t>(04143)68140</t>
  </si>
  <si>
    <t>Семенівська загальноосвітня школа І-ІІ ступенів Семенівської сільської ради Житомирської області</t>
  </si>
  <si>
    <t>13372</t>
  </si>
  <si>
    <t>1820882402</t>
  </si>
  <si>
    <t>вул. Шкільний, 1</t>
  </si>
  <si>
    <t>(04143)62643</t>
  </si>
  <si>
    <t>Красівська загальноосвітня школа імені Цезаря Леоновича Посудевського Семенівської сільської ради Житомирської області</t>
  </si>
  <si>
    <t>13350</t>
  </si>
  <si>
    <t>1820883001</t>
  </si>
  <si>
    <t>Красівка</t>
  </si>
  <si>
    <t>Малосілківська загальноосвітня школа І-ІІ ступенів Бердичівської районної ради</t>
  </si>
  <si>
    <t>13340</t>
  </si>
  <si>
    <t>1820883301</t>
  </si>
  <si>
    <t>Малосілка</t>
  </si>
  <si>
    <t>(04143)62140</t>
  </si>
  <si>
    <t>Маркушівська загальноосвітня школа І - ІІІ ступенів Бердичівської районної ради Житомирської області</t>
  </si>
  <si>
    <t>13373</t>
  </si>
  <si>
    <t>1820883601</t>
  </si>
  <si>
    <t>вул. Незалежності, 51</t>
  </si>
  <si>
    <t>(04143)6-24-40</t>
  </si>
  <si>
    <t>Мирославська загальноосвітня школа І-ІІІ ступеня імені О.І. Онишка</t>
  </si>
  <si>
    <t>13341</t>
  </si>
  <si>
    <t>1820883901</t>
  </si>
  <si>
    <t>Мирославка</t>
  </si>
  <si>
    <t>вул. Гардишівська, 85</t>
  </si>
  <si>
    <t>(04143)64372</t>
  </si>
  <si>
    <t>22054723</t>
  </si>
  <si>
    <t>Никонівська загальноосвітня школа І-ІІ ступенів Бердичівської районної ради Житомирської області</t>
  </si>
  <si>
    <t>13324</t>
  </si>
  <si>
    <t>1820884201</t>
  </si>
  <si>
    <t>Никонівка</t>
  </si>
  <si>
    <t>вул. В.Верещака, 10</t>
  </si>
  <si>
    <t>(097)4006498</t>
  </si>
  <si>
    <t>Житомирська, Бердичівський, с. Озадівка, Озадівська загальноосвітня школа І - ІІІ ступенів Бердичівської районної ради</t>
  </si>
  <si>
    <t>13360</t>
  </si>
  <si>
    <t>1820884501</t>
  </si>
  <si>
    <t>Озадівка</t>
  </si>
  <si>
    <t>(04143)65240</t>
  </si>
  <si>
    <t>Половецька загальноосвітня школа І-ІІІ ступенів Бердичівської районної ради Житомирської області</t>
  </si>
  <si>
    <t>13336</t>
  </si>
  <si>
    <t>1820884801</t>
  </si>
  <si>
    <t>Половецьке</t>
  </si>
  <si>
    <t>(04143)67840</t>
  </si>
  <si>
    <t>Романівська загальноосвітня школа Бердичівської районної ради Житомирської області</t>
  </si>
  <si>
    <t>13319</t>
  </si>
  <si>
    <t>1820885001</t>
  </si>
  <si>
    <t>Романівка</t>
  </si>
  <si>
    <t>вул. Воронцова, 5</t>
  </si>
  <si>
    <t>(0412)66440</t>
  </si>
  <si>
    <t>Райгородоцька загальноосвітня школа І-ІІІ ступенів Бердичівської районної ради Житомирської області</t>
  </si>
  <si>
    <t>13362</t>
  </si>
  <si>
    <t>1820885201</t>
  </si>
  <si>
    <t>вул. Жовтнева, 18</t>
  </si>
  <si>
    <t>(04143)67240</t>
  </si>
  <si>
    <t>Райківська вечірня загальноосвітня школа ІІ-ІІІ ступенів</t>
  </si>
  <si>
    <t>13333</t>
  </si>
  <si>
    <t>1820885301</t>
  </si>
  <si>
    <t>Райки</t>
  </si>
  <si>
    <t>(097)4090427</t>
  </si>
  <si>
    <t>Райківська загальноосвітня школа І-ІІ ступенів Бердичівської районної ради Житомирської області</t>
  </si>
  <si>
    <t>(04143)6-66-27</t>
  </si>
  <si>
    <t>Рейська загальноосвітня школа І-ІІІ ступенів Бердичівської районної ради Житомирської області</t>
  </si>
  <si>
    <t>13321</t>
  </si>
  <si>
    <t>1820885401</t>
  </si>
  <si>
    <t>Рея</t>
  </si>
  <si>
    <t>вул. Миру, 16</t>
  </si>
  <si>
    <t>(097)5558537</t>
  </si>
  <si>
    <t>22054657</t>
  </si>
  <si>
    <t>Садківська загальноосвітня школа І-ІІступенів Бердичівської районної ради Житомирської олбласті13354</t>
  </si>
  <si>
    <t>13354</t>
  </si>
  <si>
    <t>1820885601</t>
  </si>
  <si>
    <t>(04143)68240</t>
  </si>
  <si>
    <t>Скаківська загальноосвітня школа І-ІІ ступенів Бердичівської районної ради Житомирської області</t>
  </si>
  <si>
    <t>13326</t>
  </si>
  <si>
    <t>1820885801</t>
  </si>
  <si>
    <t>Скаківка</t>
  </si>
  <si>
    <t>вул. Остальського, 43А</t>
  </si>
  <si>
    <t>(04143)68340</t>
  </si>
  <si>
    <t>Скраглівська загальноосвітня школа І-ІІІ ступенів Бердичівської районної ради Житомирської області</t>
  </si>
  <si>
    <t>13343</t>
  </si>
  <si>
    <t>1820886001</t>
  </si>
  <si>
    <t>Скраглівка</t>
  </si>
  <si>
    <t>вул. Миру, 22Г</t>
  </si>
  <si>
    <t>(4143)65640</t>
  </si>
  <si>
    <t>Слободищанська загальноосвітня школа І - ІІ ступенів Бердичівської районної державноїадміністрації Житомирської області</t>
  </si>
  <si>
    <t>13330</t>
  </si>
  <si>
    <t>1820886301</t>
  </si>
  <si>
    <t>вул. Карпенка, 8</t>
  </si>
  <si>
    <t>Старосолотвинська загальноосвітня школа І-ІІІ ступенів Бердичівської районної ради Житомирської області</t>
  </si>
  <si>
    <t>13320</t>
  </si>
  <si>
    <t>1820886501</t>
  </si>
  <si>
    <t>Старий Солотвин</t>
  </si>
  <si>
    <t>пров. Шкільний, 12</t>
  </si>
  <si>
    <t>(04143)6-13-40</t>
  </si>
  <si>
    <t>Терехівська загальноосвітня школа І-ІІ ступенів, Семенівської сільської ради, Житомирської області</t>
  </si>
  <si>
    <t>13375</t>
  </si>
  <si>
    <t>1820886801</t>
  </si>
  <si>
    <t>Терехове</t>
  </si>
  <si>
    <t>вул. Джозефа Конрада, 5</t>
  </si>
  <si>
    <t>Хажинська загальноосвітня школа І-ІІІ ступенів Семенівської сільської ради</t>
  </si>
  <si>
    <t>13374</t>
  </si>
  <si>
    <t>1820887201</t>
  </si>
  <si>
    <t>Хажин</t>
  </si>
  <si>
    <t>вул. Двірська, 42</t>
  </si>
  <si>
    <t>0975515451</t>
  </si>
  <si>
    <t>Швайківська загальноосвітня школа І-ІІІ ступенів Бердичівської районної ради Житомирської області</t>
  </si>
  <si>
    <t>13331</t>
  </si>
  <si>
    <t>1820887701</t>
  </si>
  <si>
    <t>Швайківка</t>
  </si>
  <si>
    <t>вул. Підліски, 3</t>
  </si>
  <si>
    <t>(04143)6-42-40</t>
  </si>
  <si>
    <t>Брусилівська гімназія імені Г.О.Готовчиця</t>
  </si>
  <si>
    <t>12600</t>
  </si>
  <si>
    <t>1820955100</t>
  </si>
  <si>
    <t>Брусилів</t>
  </si>
  <si>
    <t>вул. Полякова, 1А</t>
  </si>
  <si>
    <t>(04162)30151</t>
  </si>
  <si>
    <t>Брусилівська загальноосвітня школа I - III ступенів, Брусилівського району, Житомирської області</t>
  </si>
  <si>
    <t>12601</t>
  </si>
  <si>
    <t>вул. Короленка, 17</t>
  </si>
  <si>
    <t>Комунальний заклад "Водотиївський навчально-виховний комплекс "загальноосвітня школа І - ІІ ступенів-ліцей" Брусилівської районної ради Житомирської області"</t>
  </si>
  <si>
    <t>12624</t>
  </si>
  <si>
    <t>1820980301</t>
  </si>
  <si>
    <t>Водотиї</t>
  </si>
  <si>
    <t>(4162)21230</t>
  </si>
  <si>
    <t>Дивинська Загальноосвітня школа І ступеня.</t>
  </si>
  <si>
    <t>12641</t>
  </si>
  <si>
    <t>1820980701</t>
  </si>
  <si>
    <t>Дивин</t>
  </si>
  <si>
    <t>вул. Калинівка, 30</t>
  </si>
  <si>
    <t>(04162)31-3-54</t>
  </si>
  <si>
    <t>Лазарівський навчально-виховний комплекс "Загальноосвітній навчальний заклад І-ІІІ ступенів, дошкільний навчальний заклад"</t>
  </si>
  <si>
    <t>12615</t>
  </si>
  <si>
    <t>1820982601</t>
  </si>
  <si>
    <t>Лазарівка</t>
  </si>
  <si>
    <t>наб. Набережна, 6</t>
  </si>
  <si>
    <t>Морозівська загальноосвітня школа Брусилівського району Житомирської області</t>
  </si>
  <si>
    <t>12634</t>
  </si>
  <si>
    <t>1820982701</t>
  </si>
  <si>
    <t>(04162)41417</t>
  </si>
  <si>
    <t>Новоозерянська загальноосвітня школа І ступеня - філія Комунального опорного загальноосвітнього навчального закладу "Брусилівська гімназія імені Г.О. Готовчиця Брусилівської селищної ради"</t>
  </si>
  <si>
    <t>12620</t>
  </si>
  <si>
    <t>1820983001</t>
  </si>
  <si>
    <t>Нові Озеряни</t>
  </si>
  <si>
    <t>вул. Центральна, 48 а</t>
  </si>
  <si>
    <t>(04162)(04162)25314</t>
  </si>
  <si>
    <t>Биківська загальноосвітня школа І-ІІІ ступенів Брусилівського району, Житомирської області</t>
  </si>
  <si>
    <t>12642</t>
  </si>
  <si>
    <t>1820983503</t>
  </si>
  <si>
    <t>Биків</t>
  </si>
  <si>
    <t>вул. Житомирська, 85,а</t>
  </si>
  <si>
    <t>(04162)43-1-30</t>
  </si>
  <si>
    <t>ОСІВЕЦЬКИЙ НАВЧАЛЬНО-ВИХОВНИЙ КОМПЛЕКС "ЗАГАЛЬНООСВІТНІЙ НАВЧАЛЬНИЙ ЗАКЛАД І-ІІІ СТУПЕНІВ-ДОШКІЛЬНИЙ НАВЧАЛЬНИЙ ЗАКЛАД"</t>
  </si>
  <si>
    <t>12606</t>
  </si>
  <si>
    <t>1820983601</t>
  </si>
  <si>
    <t>вул. Червона, 1А</t>
  </si>
  <si>
    <t>(04162)42230</t>
  </si>
  <si>
    <t>Приворотська загальноосвітня школа І - ІІІ ступенів</t>
  </si>
  <si>
    <t>26121</t>
  </si>
  <si>
    <t>1820983801</t>
  </si>
  <si>
    <t>Привороття</t>
  </si>
  <si>
    <t>вул. Шевченка, 3А</t>
  </si>
  <si>
    <t>(041)263230</t>
  </si>
  <si>
    <t>http://hrivorscool.ucoz.ua</t>
  </si>
  <si>
    <t>Покришівська загальноосвітня школа І ступеня Брусилівської селищної ради</t>
  </si>
  <si>
    <t>12625</t>
  </si>
  <si>
    <t>1820983901</t>
  </si>
  <si>
    <t>Покришів</t>
  </si>
  <si>
    <t>вул. Леніна, 17</t>
  </si>
  <si>
    <t>(04162)25630</t>
  </si>
  <si>
    <t>Пилипонська Загальноосвітня школа І-ступення, Брусилівського району, Житомирської області</t>
  </si>
  <si>
    <t>12623</t>
  </si>
  <si>
    <t>1820984303</t>
  </si>
  <si>
    <t>Пилипонка</t>
  </si>
  <si>
    <t>(04162)23-7-30</t>
  </si>
  <si>
    <t>Соловіївська ЗОШ І-ІІІ ступенів Брусилівського району Житомирської області</t>
  </si>
  <si>
    <t>12633</t>
  </si>
  <si>
    <t>1820985601</t>
  </si>
  <si>
    <t>Соловіївка</t>
  </si>
  <si>
    <t>(04162)27246</t>
  </si>
  <si>
    <t>Ставищенська загальноосвітня школа І - ІІІ ступенів Брусилівського району Житомирської області</t>
  </si>
  <si>
    <t>12610</t>
  </si>
  <si>
    <t>1820986001</t>
  </si>
  <si>
    <t>Ставище</t>
  </si>
  <si>
    <t>вул. Житомирська, 103</t>
  </si>
  <si>
    <t>(04162)26630</t>
  </si>
  <si>
    <t>https://sites.goodle.com/site/stavisenska</t>
  </si>
  <si>
    <t>Йосипівська загальноосвітня школа І ступеня</t>
  </si>
  <si>
    <t>12612</t>
  </si>
  <si>
    <t>1820986005</t>
  </si>
  <si>
    <t>вул. М.Стахівської, 35</t>
  </si>
  <si>
    <t>Хомутецька загальноосвітня школа І-ІІІ ступенів</t>
  </si>
  <si>
    <t>12630</t>
  </si>
  <si>
    <t>1820987001</t>
  </si>
  <si>
    <t>Хомутець</t>
  </si>
  <si>
    <t>(04162)23230</t>
  </si>
  <si>
    <t>Хорошівська гімназія Житомирської області</t>
  </si>
  <si>
    <t>12101</t>
  </si>
  <si>
    <t>1821155100</t>
  </si>
  <si>
    <t>Хорошів</t>
  </si>
  <si>
    <t>вул. Гвардійців-Кантемирівців, 4</t>
  </si>
  <si>
    <t>(04145)3-18-93, (04145)3-12-08</t>
  </si>
  <si>
    <t>06669454</t>
  </si>
  <si>
    <t>Хорошівський навчально-виховний комплекс "Дошкільний навчальний заклад - загальноосвітній навчальний заклад І-ІІІ ступенів" № 1 Житомирської області</t>
  </si>
  <si>
    <t>12100</t>
  </si>
  <si>
    <t>вул. Незалежності, 34</t>
  </si>
  <si>
    <t>(04145)31548</t>
  </si>
  <si>
    <t>06669218</t>
  </si>
  <si>
    <t>Іршанський навчально-виховний комплекс "Гімназія - дошкільний навчальний заклад" Хорошівського району Житомирської області</t>
  </si>
  <si>
    <t>12110</t>
  </si>
  <si>
    <t>1821155400</t>
  </si>
  <si>
    <t>Іршанськ</t>
  </si>
  <si>
    <t>(04145)44451</t>
  </si>
  <si>
    <t>34152556</t>
  </si>
  <si>
    <t>Новоборівська гімназія Хорошівського району Житомирської області</t>
  </si>
  <si>
    <t>12114</t>
  </si>
  <si>
    <t>1821155700</t>
  </si>
  <si>
    <t>Нова Борова</t>
  </si>
  <si>
    <t>(04145)95306</t>
  </si>
  <si>
    <t>06669263</t>
  </si>
  <si>
    <t>Новоборівський загальноосвітній навчальний заклад І - ІІІ ступенів - ліцей</t>
  </si>
  <si>
    <t>вул. Крупської, 7</t>
  </si>
  <si>
    <t>0414595443</t>
  </si>
  <si>
    <t>39394285</t>
  </si>
  <si>
    <t>Грушківська загальноосвітня школа І - ІІІ ступенів Житомирської області</t>
  </si>
  <si>
    <t>12142</t>
  </si>
  <si>
    <t>1821180401</t>
  </si>
  <si>
    <t>Грушки</t>
  </si>
  <si>
    <t>вул. Леніна, 30 -А</t>
  </si>
  <si>
    <t>(04145)74240</t>
  </si>
  <si>
    <t>Давидівський навчально-виховний комплекс "Дошкільний навчальний заклад - Загальноосвітній навчальний заклад І-ІІ ступенів" Житомирської області</t>
  </si>
  <si>
    <t>12143</t>
  </si>
  <si>
    <t>1821181201</t>
  </si>
  <si>
    <t>Давидівка</t>
  </si>
  <si>
    <t>(04145)73240</t>
  </si>
  <si>
    <t>Дашинська зальноосвітня школа І-ІІ ступенів</t>
  </si>
  <si>
    <t>12124</t>
  </si>
  <si>
    <t>1821181301</t>
  </si>
  <si>
    <t>Дашинка</t>
  </si>
  <si>
    <t>вул. Чкалова, 3</t>
  </si>
  <si>
    <t>(04145)71240</t>
  </si>
  <si>
    <t>Дворищенська загальноосвітня школа І-ІІ ступенів Житомирської області</t>
  </si>
  <si>
    <t>12140</t>
  </si>
  <si>
    <t>1821181501</t>
  </si>
  <si>
    <t>Дворище</t>
  </si>
  <si>
    <t>вул. Лесі Українки, 27</t>
  </si>
  <si>
    <t>(04145)61240</t>
  </si>
  <si>
    <t>Добринський навчально-виховний комплекс "Дошкільний навчальний заклад - загальноосвітній навчальний заклад I-III ступенів"</t>
  </si>
  <si>
    <t>12112</t>
  </si>
  <si>
    <t>1821181801</t>
  </si>
  <si>
    <t>Добринь</t>
  </si>
  <si>
    <t>вул. Шевченка, 31</t>
  </si>
  <si>
    <t>0414566260</t>
  </si>
  <si>
    <t>06669365</t>
  </si>
  <si>
    <t>Зубринська загальноосвітня школа І-ІІІ ступенів Житомирської області</t>
  </si>
  <si>
    <t>12125</t>
  </si>
  <si>
    <t>1821182001</t>
  </si>
  <si>
    <t>Зубринка</t>
  </si>
  <si>
    <t>(04145)77240</t>
  </si>
  <si>
    <t>Краївщинський навчально-виховний комплекс "Загальноосвітній навчальний заклад І-ІІІ ступенів - дошкільний навчальний заклад" Житомирської області</t>
  </si>
  <si>
    <t>12120</t>
  </si>
  <si>
    <t>1821182701</t>
  </si>
  <si>
    <t>Краївщина</t>
  </si>
  <si>
    <t>вул. Надії Мельниченко, 5</t>
  </si>
  <si>
    <t>(04145)79240</t>
  </si>
  <si>
    <t>http://krschool.eu.pn</t>
  </si>
  <si>
    <t>Кропивнянська загальноосвітня школа І-ІІІ ступенів</t>
  </si>
  <si>
    <t>12111</t>
  </si>
  <si>
    <t>1821183001</t>
  </si>
  <si>
    <t>Кропивня</t>
  </si>
  <si>
    <t>вул. Гоголя, 13</t>
  </si>
  <si>
    <t>(04145)62-2-46</t>
  </si>
  <si>
    <t>Небізький навчально-виховний комплекс "Дошкільний навчальний заклад - загальноосвітній навчальний заклад І-ІІ ступенів" Володарськ-Волинського району Житомирської області</t>
  </si>
  <si>
    <t>12130</t>
  </si>
  <si>
    <t>1821183401</t>
  </si>
  <si>
    <t>Небіж</t>
  </si>
  <si>
    <t>вул. Поліська, 2</t>
  </si>
  <si>
    <t>(04145)67-2-40</t>
  </si>
  <si>
    <t>Поромівська загальноосвітня школа І-ІІ ступенів Житомирської обл</t>
  </si>
  <si>
    <t>12132</t>
  </si>
  <si>
    <t>1821183601</t>
  </si>
  <si>
    <t>Поромівка</t>
  </si>
  <si>
    <t>вул. Житомирська, 26</t>
  </si>
  <si>
    <t>(04145)63240</t>
  </si>
  <si>
    <t>Житомирська область, Хорошівський район, Будо-Рижанська загальноосвітня школа І-ІІІ ступенів</t>
  </si>
  <si>
    <t>12115</t>
  </si>
  <si>
    <t>1821183802</t>
  </si>
  <si>
    <t>Будо-Рижани</t>
  </si>
  <si>
    <t>вул. Суворова, 20 А</t>
  </si>
  <si>
    <t>(04145)64-2-90</t>
  </si>
  <si>
    <t>Рижанська гімназія Житомирської області</t>
  </si>
  <si>
    <t>12122</t>
  </si>
  <si>
    <t>1821184001</t>
  </si>
  <si>
    <t>Рижани</t>
  </si>
  <si>
    <t>вул. Кутузова, 44</t>
  </si>
  <si>
    <t>(04145)53189</t>
  </si>
  <si>
    <t>06669394</t>
  </si>
  <si>
    <t>Сколобівська загальноосвітня школа І-ІІ ступенів Хорошівського району Житомирської області</t>
  </si>
  <si>
    <t>12144</t>
  </si>
  <si>
    <t>1821184101</t>
  </si>
  <si>
    <t>Сколобів</t>
  </si>
  <si>
    <t>вул. Кутузова, 9</t>
  </si>
  <si>
    <t>(04145)70241</t>
  </si>
  <si>
    <t>Суховільський навчально-виховний комплекс "Загальноосвітній навчальний заклад І ступеня - ДНЗ" Володарськ-Волинського району Житомирської області</t>
  </si>
  <si>
    <t>12121</t>
  </si>
  <si>
    <t>1821184301</t>
  </si>
  <si>
    <t>Суховоля</t>
  </si>
  <si>
    <t>(0(4145))6-52-40</t>
  </si>
  <si>
    <t>Топорищенський навчально-виховний комплекс "Дошкільний навчальний заклад-загальноосвітній навчальний заклад І-ІІІ ступенів"</t>
  </si>
  <si>
    <t>12134</t>
  </si>
  <si>
    <t>1821185401</t>
  </si>
  <si>
    <t>Топорище</t>
  </si>
  <si>
    <t>вул. Леніна, 83</t>
  </si>
  <si>
    <t>(04145)72240</t>
  </si>
  <si>
    <t>Червоногранітнянська загальноосвітня школа I-II ступенів Хорошівського району Житомирської області</t>
  </si>
  <si>
    <t>12135</t>
  </si>
  <si>
    <t>1821185409</t>
  </si>
  <si>
    <t>Червоногранітне</t>
  </si>
  <si>
    <t>(04145)76240</t>
  </si>
  <si>
    <t>Фасівський навчально-виховний комплекс "Загальноосвітній навчальний заклад І-ІІ ступенів- дошкільний навчальний заклад"</t>
  </si>
  <si>
    <t>12131</t>
  </si>
  <si>
    <t>1821186501</t>
  </si>
  <si>
    <t>Фасова</t>
  </si>
  <si>
    <t>вул. Шевченка, 37</t>
  </si>
  <si>
    <t>(067)3023490</t>
  </si>
  <si>
    <t>Комунальна установа Романівської районної ради "Опорний навчальний заклад "Романівська гімназія"</t>
  </si>
  <si>
    <t>13001</t>
  </si>
  <si>
    <t>1821455100</t>
  </si>
  <si>
    <t>вул. С.Лялевича, 5</t>
  </si>
  <si>
    <t>(04146)2-35-72, (04146)2-20-89, (04146)2-11-81</t>
  </si>
  <si>
    <t>http://www.romaniv-gimnaziya.pp.ua</t>
  </si>
  <si>
    <t>22056068</t>
  </si>
  <si>
    <t>Романівська ЗОШ І-ІІІ ступенів № 2 Романівського району Житомирської області</t>
  </si>
  <si>
    <t>вул. Шевченка, 32</t>
  </si>
  <si>
    <t>(04146)21441</t>
  </si>
  <si>
    <t>Биківська загальноосвітня школа І-ІІІ ступенів</t>
  </si>
  <si>
    <t>13012</t>
  </si>
  <si>
    <t>1821455300</t>
  </si>
  <si>
    <t>Биківка</t>
  </si>
  <si>
    <t>вул. Нова, 3</t>
  </si>
  <si>
    <t>(04146)94344</t>
  </si>
  <si>
    <t>Товщанська загальноосвітня школа І ступеня</t>
  </si>
  <si>
    <t>13289</t>
  </si>
  <si>
    <t>1821455302</t>
  </si>
  <si>
    <t>Товща</t>
  </si>
  <si>
    <t>(068)0239507</t>
  </si>
  <si>
    <t>Комунальна установа Миропільської селищної ради "Опорний навчальний заклад "Миропільська гімназія"</t>
  </si>
  <si>
    <t>13033</t>
  </si>
  <si>
    <t>1821455600</t>
  </si>
  <si>
    <t>(04146)95282</t>
  </si>
  <si>
    <t>http://myrgim.wordpress.com</t>
  </si>
  <si>
    <t>Миропільська філія КУ ОНЗ "Миропільська гімназія" Романівського району Житомирської області</t>
  </si>
  <si>
    <t>вул. А. Кирилюка, 87</t>
  </si>
  <si>
    <t>(04146)95280</t>
  </si>
  <si>
    <t>Комунальна установа Миропільської селищної ради Миропільська загальноосвітня школа І-ІІІ ступенів Романівського району Житомирської області</t>
  </si>
  <si>
    <t>вул. Перемоги, 21</t>
  </si>
  <si>
    <t>(04146)9-51-76</t>
  </si>
  <si>
    <t>Булдичівська загальноосвітня школа І - ІІІ ступенів</t>
  </si>
  <si>
    <t>13041</t>
  </si>
  <si>
    <t>1821480601</t>
  </si>
  <si>
    <t>Булдичів</t>
  </si>
  <si>
    <t>вул. Чапаєва, 71</t>
  </si>
  <si>
    <t>0414626583</t>
  </si>
  <si>
    <t>Вільшанська загальноосвітня школа І-ІІІ ступенів Романівської районної ради Житомирської області</t>
  </si>
  <si>
    <t>13030</t>
  </si>
  <si>
    <t>1821481001</t>
  </si>
  <si>
    <t>Вільха</t>
  </si>
  <si>
    <t>(04146)9-64-82, (04146)9-64-30</t>
  </si>
  <si>
    <t>http://vilkha.wordpress.com/</t>
  </si>
  <si>
    <t>Врублівська ЗОШ І-ІІІ ст. Романівського району Житомирської області</t>
  </si>
  <si>
    <t>13042</t>
  </si>
  <si>
    <t>1821481501</t>
  </si>
  <si>
    <t>Врублівка</t>
  </si>
  <si>
    <t>вул. Любарська, 15</t>
  </si>
  <si>
    <t>9-44-84</t>
  </si>
  <si>
    <t>Гордіївська загальноосвітня школа І-ІІІ ступенів Романівського району Житомирської області</t>
  </si>
  <si>
    <t>13047</t>
  </si>
  <si>
    <t>1821482001</t>
  </si>
  <si>
    <t>вул. Голуба, 1</t>
  </si>
  <si>
    <t>(04146)93240</t>
  </si>
  <si>
    <t>Камінська загальноосвітня школа І-ІІІ ступенів Роианівського району Житомирської області</t>
  </si>
  <si>
    <t>13040</t>
  </si>
  <si>
    <t>1821482201</t>
  </si>
  <si>
    <t>Камінь</t>
  </si>
  <si>
    <t>вул. Небесної сотні, 40А</t>
  </si>
  <si>
    <t>(4146)96549</t>
  </si>
  <si>
    <t>Карвинівська загальноосвітня школа I-III ступенів</t>
  </si>
  <si>
    <t>13021</t>
  </si>
  <si>
    <t>1821482701</t>
  </si>
  <si>
    <t>Карвинівка</t>
  </si>
  <si>
    <t>вул. Виноградова, 5</t>
  </si>
  <si>
    <t>(04146)097245</t>
  </si>
  <si>
    <t>Колодяженська філія ОНЗ "Миропільська гімназія"</t>
  </si>
  <si>
    <t>13038</t>
  </si>
  <si>
    <t>1821482801</t>
  </si>
  <si>
    <t>вул. Центральна, №46</t>
  </si>
  <si>
    <t>(04146)98230</t>
  </si>
  <si>
    <t>Нивненська загальноосвітня школа І ступеню</t>
  </si>
  <si>
    <t>13013</t>
  </si>
  <si>
    <t>1821483001</t>
  </si>
  <si>
    <t>Нивна</t>
  </si>
  <si>
    <t>0972351336</t>
  </si>
  <si>
    <t>Ольшанська загальноосвітня школа І-ІІ ступенів Романівського району Житомирської області</t>
  </si>
  <si>
    <t>1821483201</t>
  </si>
  <si>
    <t>Ольшанка</t>
  </si>
  <si>
    <t>(04146)97110</t>
  </si>
  <si>
    <t>Печанівська загальноосвітня школа І-ІІІ ступенів Романівського району Житомирської області</t>
  </si>
  <si>
    <t>13045</t>
  </si>
  <si>
    <t>1821483601</t>
  </si>
  <si>
    <t>Печанівка</t>
  </si>
  <si>
    <t>(04146)97530</t>
  </si>
  <si>
    <t>Паволоцька загальноосвітня школа І ступеня Романівського району Житомирської області</t>
  </si>
  <si>
    <t>13046</t>
  </si>
  <si>
    <t>1821483603</t>
  </si>
  <si>
    <t>Паволочка</t>
  </si>
  <si>
    <t>вул. Л. Українки, 2Б</t>
  </si>
  <si>
    <t>(046)97576</t>
  </si>
  <si>
    <t>Костянтинівська загально освітня школа І-ІІІ ступенів Романівського району Житомирської області</t>
  </si>
  <si>
    <t>13010</t>
  </si>
  <si>
    <t>1821484004</t>
  </si>
  <si>
    <t>вул. Весняна, 1А</t>
  </si>
  <si>
    <t>(068)7627516</t>
  </si>
  <si>
    <t>Романівска загальноосвітня школа І-ІІІ ступенів Романівського району Житомирської області</t>
  </si>
  <si>
    <t>1821484201</t>
  </si>
  <si>
    <t>(04142)93142</t>
  </si>
  <si>
    <t>Соболівська загальноосвітня школа І ступеня Романівського району Житомирської області</t>
  </si>
  <si>
    <t>13000</t>
  </si>
  <si>
    <t>1821484801</t>
  </si>
  <si>
    <t>вул. Путиліна, 1</t>
  </si>
  <si>
    <t>Старочуднівськогутянська загальноосвітня школа І-ІІІ ступенів Романівської районної ради Житомирської області</t>
  </si>
  <si>
    <t>13288</t>
  </si>
  <si>
    <t>1821485001</t>
  </si>
  <si>
    <t>Старочуднівська Гута</t>
  </si>
  <si>
    <t>вул. Радянська, 25</t>
  </si>
  <si>
    <t>(04146)9-36-40</t>
  </si>
  <si>
    <t>Червонохатківська загальноосвітня школа І-ІІ ступенів Романівського району Житомирської області</t>
  </si>
  <si>
    <t>13014</t>
  </si>
  <si>
    <t>1821485601</t>
  </si>
  <si>
    <t>Червоні Хатки</t>
  </si>
  <si>
    <t>ал. Весняна, 29</t>
  </si>
  <si>
    <t>(04146)96332</t>
  </si>
  <si>
    <t>Хижинецька загальноосвітня школа І ступеня Романівського району Житомирської області</t>
  </si>
  <si>
    <t>13044</t>
  </si>
  <si>
    <t>1821485801</t>
  </si>
  <si>
    <t>(04146)97453</t>
  </si>
  <si>
    <t>Ягодинська загальноосвітня школа І-ІІІ ступенів</t>
  </si>
  <si>
    <t>13023</t>
  </si>
  <si>
    <t>1821486701</t>
  </si>
  <si>
    <t>Ягодинка</t>
  </si>
  <si>
    <t>(04146)94140</t>
  </si>
  <si>
    <t>Ясногородська філія КУ Романівської районної ради "Опорний навчальний заклад "Романівська гімназія"</t>
  </si>
  <si>
    <t>13020</t>
  </si>
  <si>
    <t>1821486901</t>
  </si>
  <si>
    <t>Ясногород</t>
  </si>
  <si>
    <t>вул. Шевченка, 39</t>
  </si>
  <si>
    <t>(04146)93440</t>
  </si>
  <si>
    <t>Ємільчинська вечірня (змінна) загальноосвітня школа ІІ-ІІІ ступеня із заочною формою навчання Ємільчинської районної ради Житомирської області</t>
  </si>
  <si>
    <t>11201</t>
  </si>
  <si>
    <t>1821755100</t>
  </si>
  <si>
    <t>Ємільчине</t>
  </si>
  <si>
    <t>вул. Блюхера, 9</t>
  </si>
  <si>
    <t>(04149)42534</t>
  </si>
  <si>
    <t>Ємільчинська гімназія Ємільчинської районної ради Житомирської області</t>
  </si>
  <si>
    <t>вул. Військова, 40</t>
  </si>
  <si>
    <t>(04149)42574, (04149)21386</t>
  </si>
  <si>
    <t>Ємільчинська загальноосвітня школа І-ІІІ ступенів № 1 Ємільчинської районної ради Житомирської області</t>
  </si>
  <si>
    <t>(04149)42400, (04149)21380</t>
  </si>
  <si>
    <t>http://emschool1.at.ua/</t>
  </si>
  <si>
    <t>Горбівська загальноосвітня школа І-ІІ ступенів Ємільчинської районної ради Житомирської області</t>
  </si>
  <si>
    <t>11266</t>
  </si>
  <si>
    <t>1821755101</t>
  </si>
  <si>
    <t>Горбове</t>
  </si>
  <si>
    <t>вул. Л.Українки, 40</t>
  </si>
  <si>
    <t>42105</t>
  </si>
  <si>
    <t>Яблунецька загальноосвітня школа І-ІІІ ступенів Ємільчинської районної ради Житомирської області</t>
  </si>
  <si>
    <t>11250</t>
  </si>
  <si>
    <t>1821756000</t>
  </si>
  <si>
    <t>Яблунець</t>
  </si>
  <si>
    <t>вул. Леніна, 70А</t>
  </si>
  <si>
    <t>(04149)75732</t>
  </si>
  <si>
    <t>Андрієвицька загальноосвітня школа І-ІІІ ступенів Ємільчинської районної ради Житомирської області</t>
  </si>
  <si>
    <t>11254</t>
  </si>
  <si>
    <t>1821780201</t>
  </si>
  <si>
    <t>Андрієвичі</t>
  </si>
  <si>
    <t>вул. Леніна, 7</t>
  </si>
  <si>
    <t>(04149)73-2-55</t>
  </si>
  <si>
    <t>Барашівська загальноосвітня школа І-ІІІ ступенів Барашівської сільської ради Житомирської області</t>
  </si>
  <si>
    <t>11255</t>
  </si>
  <si>
    <t>1821780401</t>
  </si>
  <si>
    <t>Бараші</t>
  </si>
  <si>
    <t>вул. Героїв Майдану, 14</t>
  </si>
  <si>
    <t>(04149)6-12-30</t>
  </si>
  <si>
    <t>Березниківська загальноосвітня школа І-ІІІ ступенів Ємільчинського району Житомирської області 11233</t>
  </si>
  <si>
    <t>11233</t>
  </si>
  <si>
    <t>1821780601</t>
  </si>
  <si>
    <t>Березники</t>
  </si>
  <si>
    <t>вул. Городницька, 1А</t>
  </si>
  <si>
    <t>(4149)72249</t>
  </si>
  <si>
    <t>Варварівська загальноосвітня школа І-ІІІ ступенів Ємільчинської районної ради Житомирської області</t>
  </si>
  <si>
    <t>11245</t>
  </si>
  <si>
    <t>1821781601</t>
  </si>
  <si>
    <t>(04149)73628</t>
  </si>
  <si>
    <t>http://varvarivka-zosh.zt.sch.in.ua</t>
  </si>
  <si>
    <t>Великоглумчанська загальноосвітня школа І ступеня Ємільчинської районної ради Житомирської області</t>
  </si>
  <si>
    <t>11222</t>
  </si>
  <si>
    <t>1821781801</t>
  </si>
  <si>
    <t>Велика Глумча</t>
  </si>
  <si>
    <t>74427</t>
  </si>
  <si>
    <t>Великоцвілянська загальноосвітня школа І-ІІІ ступенів Ємільчинської районної ради Житомирської області</t>
  </si>
  <si>
    <t>11235</t>
  </si>
  <si>
    <t>1821782001</t>
  </si>
  <si>
    <t>Велика Цвіля</t>
  </si>
  <si>
    <t>(249)71-2-21</t>
  </si>
  <si>
    <t>Великояблунецька загальноосвітня школа І-ІІ ступенів Ємільчинської районної ради Житомирської області</t>
  </si>
  <si>
    <t>11241</t>
  </si>
  <si>
    <t>1821782201</t>
  </si>
  <si>
    <t>Великий Яблунець</t>
  </si>
  <si>
    <t>вул. Центральна, 52</t>
  </si>
  <si>
    <t>(04149)76245</t>
  </si>
  <si>
    <t>Непізнаницька загальноосвітня школа І-ІІ ступенів Ємільчинської районної ради Житомирської області</t>
  </si>
  <si>
    <t>11242</t>
  </si>
  <si>
    <t>1821782204</t>
  </si>
  <si>
    <t>Непізнаничі</t>
  </si>
  <si>
    <t>(04149)72618</t>
  </si>
  <si>
    <t>Киянська загальноосвітня школа І-ІІІ ступенів Барашівської сільської ради Житомирської області</t>
  </si>
  <si>
    <t>11256</t>
  </si>
  <si>
    <t>1821782701</t>
  </si>
  <si>
    <t>Киянка</t>
  </si>
  <si>
    <t>вул. Житомирська, 49А</t>
  </si>
  <si>
    <t>(04149)61392</t>
  </si>
  <si>
    <t>Кулішівська загальноосвітня школа І-ІІІ ступенів Ємільчинської районної ради Житомирської області</t>
  </si>
  <si>
    <t>11243</t>
  </si>
  <si>
    <t>1821783401</t>
  </si>
  <si>
    <t>Куліші</t>
  </si>
  <si>
    <t>(04149)71641</t>
  </si>
  <si>
    <t>Хутір-Моклякіська загальноосвітня школа І-ІІступенів Ємільчинської районної ради Житомирської області</t>
  </si>
  <si>
    <t>1821783404</t>
  </si>
  <si>
    <t>Хутір-Мокляки</t>
  </si>
  <si>
    <t>(04149)71626</t>
  </si>
  <si>
    <t>Малоглумчанська загальноосвітня школа І-ІІІ ступенів Ємільчинської районної ради Житомирської області</t>
  </si>
  <si>
    <t>11223</t>
  </si>
  <si>
    <t>1821783601</t>
  </si>
  <si>
    <t>Мала Глумча</t>
  </si>
  <si>
    <t>вул. Шевченка, 76</t>
  </si>
  <si>
    <t>(04149)74448</t>
  </si>
  <si>
    <t>Медведівська загальноосвітня школа І-ІІ ступенів Ємільчинської районної ради Житомирської області</t>
  </si>
  <si>
    <t>11232</t>
  </si>
  <si>
    <t>1821783701</t>
  </si>
  <si>
    <t>Медведеве</t>
  </si>
  <si>
    <t>(04149)77423</t>
  </si>
  <si>
    <t>Мокляківська загальноосвітня школа І-ІІ ступенів Ємільчинської районної ради Житомирської області</t>
  </si>
  <si>
    <t>11240</t>
  </si>
  <si>
    <t>1821783801</t>
  </si>
  <si>
    <t>Мокляки</t>
  </si>
  <si>
    <t>вул. Степанівська, 1А</t>
  </si>
  <si>
    <t>(04149)70495</t>
  </si>
  <si>
    <t>Неділищенська загальноосвітня школа І-ІІ ступенів Барашівської сільської ради Житомирської області</t>
  </si>
  <si>
    <t>11252</t>
  </si>
  <si>
    <t>1821784001</t>
  </si>
  <si>
    <t>Неділище</t>
  </si>
  <si>
    <t>вул. Колгоспна, 5</t>
  </si>
  <si>
    <t>(04149)78642</t>
  </si>
  <si>
    <t>Бастоворуднянська загальноосвітня школа І-ІІ ступенів Барашівської сільської ради Житомирської області</t>
  </si>
  <si>
    <t>1821784002</t>
  </si>
  <si>
    <t>Бастова Рудня</t>
  </si>
  <si>
    <t>(04149)61-4-06</t>
  </si>
  <si>
    <t>Миколаївська загальноосвітня школа І-ІІІ ступенів Ємільчинської районної ради Житомирської області</t>
  </si>
  <si>
    <t>11210</t>
  </si>
  <si>
    <t>1821784201</t>
  </si>
  <si>
    <t>вул. Шевченка, 82</t>
  </si>
  <si>
    <t>(04149)79228</t>
  </si>
  <si>
    <t>Осівська загальноосвітня школа І ступеня Ємільчинської районної ради Житомирської області</t>
  </si>
  <si>
    <t>11211</t>
  </si>
  <si>
    <t>1821784401</t>
  </si>
  <si>
    <t>Осівка</t>
  </si>
  <si>
    <t>(04149)72440</t>
  </si>
  <si>
    <t>Підлубівська загальноосвітня школа І-ІІІ ступенів Ємільчинської районної ради Житомирської області</t>
  </si>
  <si>
    <t>11225</t>
  </si>
  <si>
    <t>1821784601</t>
  </si>
  <si>
    <t>Підлуби</t>
  </si>
  <si>
    <t>(04149)75424</t>
  </si>
  <si>
    <t>Руднє-Іванівська загальноосвітня школа І-ІІІ ступенів Ємільчинської районної ради Житомирської області</t>
  </si>
  <si>
    <t>11221</t>
  </si>
  <si>
    <t>1821784801</t>
  </si>
  <si>
    <t>Рудня Іванівська</t>
  </si>
  <si>
    <t>(04149)71436</t>
  </si>
  <si>
    <t>Рихальська загальноосвітня школа 1-111 ступенів Ємільчинської районної ради Житомирської області</t>
  </si>
  <si>
    <t>11246</t>
  </si>
  <si>
    <t>1821785001</t>
  </si>
  <si>
    <t>Рихальське</t>
  </si>
  <si>
    <t>(249)73-3-32</t>
  </si>
  <si>
    <t>Рясненська загальноосвітня школа І-ІІ ступенів Ємільчинської районної ради Житомирської області</t>
  </si>
  <si>
    <t>11251</t>
  </si>
  <si>
    <t>1821785201</t>
  </si>
  <si>
    <t>Рясне</t>
  </si>
  <si>
    <t>(04149)76648</t>
  </si>
  <si>
    <t>Сімаківська загальноосвітня школа І-ІІІ ступенів Ємільчинської районної ради Житомирської області</t>
  </si>
  <si>
    <t>11215</t>
  </si>
  <si>
    <t>1821785601</t>
  </si>
  <si>
    <t>Сімаківка</t>
  </si>
  <si>
    <t>вул. Вереси ( Жовтнева ), 19</t>
  </si>
  <si>
    <t>(04941)70405</t>
  </si>
  <si>
    <t>Сербівська загальноосвітня школа І-ІІІ ступенів Ємільчинської районної ради Житомирської області</t>
  </si>
  <si>
    <t>11237</t>
  </si>
  <si>
    <t>1821785801</t>
  </si>
  <si>
    <t>Серби</t>
  </si>
  <si>
    <t>(04149)75242</t>
  </si>
  <si>
    <t>Сербо-Слобідська загальноосвітня школа І-ІІ ступенів Ємільчинської районної ради Житомирської області</t>
  </si>
  <si>
    <t>11244</t>
  </si>
  <si>
    <t>1821786001</t>
  </si>
  <si>
    <t>Сербо-Слобідка</t>
  </si>
  <si>
    <t>вул. Федори Лебіги, 2</t>
  </si>
  <si>
    <t>(04149)70236</t>
  </si>
  <si>
    <t>Яблунівська загальноосвітня школа І-ІІ ступенів Ємільчинської районної ради Житомирської області</t>
  </si>
  <si>
    <t>1821786002</t>
  </si>
  <si>
    <t>Яблунівка</t>
  </si>
  <si>
    <t>вул. Жовтнева</t>
  </si>
  <si>
    <t>(04149)70-2-30</t>
  </si>
  <si>
    <t>Сергіївська загальноосвітня школа І-ІІ ступенів Ємільчинської районної ради Житомирської області</t>
  </si>
  <si>
    <t>11230</t>
  </si>
  <si>
    <t>1821786201</t>
  </si>
  <si>
    <t>вул. Центральна, 30А</t>
  </si>
  <si>
    <t>(04149)79421</t>
  </si>
  <si>
    <t>Середівська загальноосвітня школа І-ІІІ ступенів Ємільчинської районної ради Житомирської області</t>
  </si>
  <si>
    <t>11231</t>
  </si>
  <si>
    <t>1821786401</t>
  </si>
  <si>
    <t>Середи</t>
  </si>
  <si>
    <t>вул. Ємільчинська, 7</t>
  </si>
  <si>
    <t>(04149)78-2-46</t>
  </si>
  <si>
    <t>Симонівська загальноосвітня школа І-ІІІ ступенів Ємільчинської районної ради Житомирської області</t>
  </si>
  <si>
    <t>11257</t>
  </si>
  <si>
    <t>1821786601</t>
  </si>
  <si>
    <t>Симони</t>
  </si>
  <si>
    <t>(04149)76636</t>
  </si>
  <si>
    <t>http://www.symonuschool.at.ua</t>
  </si>
  <si>
    <t>Степанівська загальноосвітня школа І-ІІІ ступенів Ємільчинської районної ради Житомирської області</t>
  </si>
  <si>
    <t>11214</t>
  </si>
  <si>
    <t>1821786801</t>
  </si>
  <si>
    <t>вул. Рад, 90</t>
  </si>
  <si>
    <t>(4149)71-6-41</t>
  </si>
  <si>
    <t>Тайківська загальноосвітня школа І-ІІ ступенів Ємільчинської районної ради</t>
  </si>
  <si>
    <t>11236</t>
  </si>
  <si>
    <t>1821787301</t>
  </si>
  <si>
    <t>Тайки</t>
  </si>
  <si>
    <t>(249)76449</t>
  </si>
  <si>
    <t>Усолусівська загальноосвітня школа І-ІІІ ступенів Барашівської сільської ради</t>
  </si>
  <si>
    <t>11261</t>
  </si>
  <si>
    <t>1821788401</t>
  </si>
  <si>
    <t>Усолуси</t>
  </si>
  <si>
    <t>(04149)73529</t>
  </si>
  <si>
    <t>Новогуйвинська гімназія Житомирського району Житомирської області</t>
  </si>
  <si>
    <t>12441</t>
  </si>
  <si>
    <t>1822055600</t>
  </si>
  <si>
    <t>Новогуйвинське</t>
  </si>
  <si>
    <t>(0412)485171, (0412)485137, (0412)485204</t>
  </si>
  <si>
    <t>http://nguivynske-gymn.edukit.zt.ua</t>
  </si>
  <si>
    <t>Озерненська гімназія Житомирського району Житомирської області</t>
  </si>
  <si>
    <t>12443</t>
  </si>
  <si>
    <t>1822055900</t>
  </si>
  <si>
    <t>вул. Авіаційна, 1А</t>
  </si>
  <si>
    <t>(412)400766</t>
  </si>
  <si>
    <t>http://gymnasiumozerne.ho.ua</t>
  </si>
  <si>
    <t>Березівська загальноосвітня школа І - ІІІ ступенів -Житомирського району Житомирської області</t>
  </si>
  <si>
    <t>12411</t>
  </si>
  <si>
    <t>1822080301</t>
  </si>
  <si>
    <t>вул. Європейська, 47</t>
  </si>
  <si>
    <t>(0412)490630</t>
  </si>
  <si>
    <t>http://berezivka-zhyt-school.edukit.zt.ua.</t>
  </si>
  <si>
    <t>Комунальний заклад «Березівський навчально-реабіталіційний центр" Житомирської обласної ради</t>
  </si>
  <si>
    <t>вул. Бушуєва, 6</t>
  </si>
  <si>
    <t>(0412)490648, 0977893719, 0674206280</t>
  </si>
  <si>
    <t>http://berezivka-zhyt-internat.edukit.zt.ua/</t>
  </si>
  <si>
    <t>20412791</t>
  </si>
  <si>
    <t>Дубовецька загальноосвітня школа І ступеня, Житомирського району</t>
  </si>
  <si>
    <t>1822080304</t>
  </si>
  <si>
    <t>вул. Залізнична, 22</t>
  </si>
  <si>
    <t>(097)5526714</t>
  </si>
  <si>
    <t>Черемошнянська загальноосвітня школа І-ІІ ступенів Житомирського району Житомирської області</t>
  </si>
  <si>
    <t>1822080306</t>
  </si>
  <si>
    <t>вул. Славгородського, 5А</t>
  </si>
  <si>
    <t>(0412)49-07-18</t>
  </si>
  <si>
    <t>Василівська загальноосвітня школа І-ІІІ ст. Василівської сільської ради Житомирського району Житомирської області</t>
  </si>
  <si>
    <t>12414</t>
  </si>
  <si>
    <t>1822080901</t>
  </si>
  <si>
    <t>(22060847)49-65-22</t>
  </si>
  <si>
    <t>Вересівська загальноосвітня школа I-III ступенів</t>
  </si>
  <si>
    <t>12401</t>
  </si>
  <si>
    <t>1822081201</t>
  </si>
  <si>
    <t>Вереси</t>
  </si>
  <si>
    <t>(0412)557071</t>
  </si>
  <si>
    <t>Вертокиївська загальноосвітня школа I - III ступенів</t>
  </si>
  <si>
    <t>12450</t>
  </si>
  <si>
    <t>1822081301</t>
  </si>
  <si>
    <t>Вертокиївка</t>
  </si>
  <si>
    <t>вул. Дружби, 54А</t>
  </si>
  <si>
    <t>(0412)490430</t>
  </si>
  <si>
    <t>Високопічська загальноосвітня школа І-ІІІ ступенів № 1</t>
  </si>
  <si>
    <t>12424</t>
  </si>
  <si>
    <t>1822081501</t>
  </si>
  <si>
    <t>Висока Піч</t>
  </si>
  <si>
    <t>вул. Полупанова, 1</t>
  </si>
  <si>
    <t>(0412)402777</t>
  </si>
  <si>
    <t>Високопічська загальноосвітня школа І-ІІІ ступенів № 2</t>
  </si>
  <si>
    <t>12427</t>
  </si>
  <si>
    <t>вул. Воронкіна, 13</t>
  </si>
  <si>
    <t>(0412)402733</t>
  </si>
  <si>
    <t>http://www.zosh2vysoka.ucoz.ru</t>
  </si>
  <si>
    <t>Глибочанська загальноосвітня школа І-ІІ ступенів</t>
  </si>
  <si>
    <t>12461</t>
  </si>
  <si>
    <t>1822081801</t>
  </si>
  <si>
    <t>(0412)498738</t>
  </si>
  <si>
    <t>Глибочицька загальноосвітня школа І-ІІІ ступенів Житомирського району Житомирської області</t>
  </si>
  <si>
    <t>12403</t>
  </si>
  <si>
    <t>1822082001</t>
  </si>
  <si>
    <t>Глибочиця</t>
  </si>
  <si>
    <t>вул. 40 років Перемоги, 3</t>
  </si>
  <si>
    <t>(0412)406808</t>
  </si>
  <si>
    <t>Березинська загальноосвітня школа І ступеня Житомирського району Житомирської області</t>
  </si>
  <si>
    <t>12404</t>
  </si>
  <si>
    <t>1822082002</t>
  </si>
  <si>
    <t>Березина</t>
  </si>
  <si>
    <t>(380412)491573</t>
  </si>
  <si>
    <t>Гадзинська загальноосвітня школа I-II ступенів, Житомирського району, Житомирської області</t>
  </si>
  <si>
    <t>1822082003</t>
  </si>
  <si>
    <t>Гадзинка</t>
  </si>
  <si>
    <t>вул. Вишнева, 2</t>
  </si>
  <si>
    <t>(0412)496935</t>
  </si>
  <si>
    <t>Головенківська загальноосвітня школа І-ІІ ступенів Житомирського району Житомирської області</t>
  </si>
  <si>
    <t>12464</t>
  </si>
  <si>
    <t>1822082101</t>
  </si>
  <si>
    <t>Головенка</t>
  </si>
  <si>
    <t>(0412)402232</t>
  </si>
  <si>
    <t>Денишівська загальноосвітня школа І-ІІІ ступенів імені Володимира Гавриловича Бондарчука</t>
  </si>
  <si>
    <t>12422</t>
  </si>
  <si>
    <t>1822082201</t>
  </si>
  <si>
    <t>Дениші</t>
  </si>
  <si>
    <t>вул. Садова, 5</t>
  </si>
  <si>
    <t>(0412)492130</t>
  </si>
  <si>
    <t>http://denyshi.at.ua/</t>
  </si>
  <si>
    <t>Комунальний заклад "Денишівський навчально-реабілітаційний центр" Житомирської обласної ради</t>
  </si>
  <si>
    <t>вул. Чуднівська, 3</t>
  </si>
  <si>
    <t>(0412)49-21-23</t>
  </si>
  <si>
    <t>http://kz-denishivskij-tsentr.webnode.com.ua/</t>
  </si>
  <si>
    <t>20411359</t>
  </si>
  <si>
    <t>Житомирська, Житомирський, Зарічани, загальноосвітня І-ІІ ст. ВО Житомирської РДА Житомирська</t>
  </si>
  <si>
    <t>12440</t>
  </si>
  <si>
    <t>1822082501</t>
  </si>
  <si>
    <t>Зарічани</t>
  </si>
  <si>
    <t>(0412)244601</t>
  </si>
  <si>
    <t>Іванівська загальноосвітня школа І-ІІІ ступенів Житомирського району Житомирської області</t>
  </si>
  <si>
    <t>12415</t>
  </si>
  <si>
    <t>1822083001</t>
  </si>
  <si>
    <t>вул. Островського, 1</t>
  </si>
  <si>
    <t>(0412)491117</t>
  </si>
  <si>
    <t>Барашівська загальноосвітня школа І-ІІІ ступенів Житомирського району Житомирської області</t>
  </si>
  <si>
    <t>12416</t>
  </si>
  <si>
    <t>1822083002</t>
  </si>
  <si>
    <t>Барашівка</t>
  </si>
  <si>
    <t>вул. А.Журавського, 39</t>
  </si>
  <si>
    <t>(0412)499599</t>
  </si>
  <si>
    <t>http://znz-barashivka.at.ua</t>
  </si>
  <si>
    <t>Кам'янська загальноосвітня школа І- ІІ ступенів, Житомирського району, Житомирської області</t>
  </si>
  <si>
    <t>12410</t>
  </si>
  <si>
    <t>1822083201</t>
  </si>
  <si>
    <t>вул. Арзамакіна, 35</t>
  </si>
  <si>
    <t>(0412)499730</t>
  </si>
  <si>
    <t>Коднянська загальноосвітня школа І-ІІІ ступенів Житомирського району Житомирської області</t>
  </si>
  <si>
    <t>12452</t>
  </si>
  <si>
    <t>1822083501</t>
  </si>
  <si>
    <t>Кодня</t>
  </si>
  <si>
    <t>вул. Грабовського, 18А</t>
  </si>
  <si>
    <t>(0412)498264</t>
  </si>
  <si>
    <t>Корчацька загальноосвітня школа I - IIст</t>
  </si>
  <si>
    <t>12421</t>
  </si>
  <si>
    <t>1822083801</t>
  </si>
  <si>
    <t>Корчак</t>
  </si>
  <si>
    <t>вул. Чуднівська, 10</t>
  </si>
  <si>
    <t>(0412)499916</t>
  </si>
  <si>
    <t>Левківська загальноосвітня школа І-ІІІ ступенів</t>
  </si>
  <si>
    <t>12405</t>
  </si>
  <si>
    <t>1822084101</t>
  </si>
  <si>
    <t>вул. Олімпійська, 2А</t>
  </si>
  <si>
    <t>(0412)491316</t>
  </si>
  <si>
    <t>Ліщинська загальноосвітня школа І- ІІІ ступенів</t>
  </si>
  <si>
    <t>12436</t>
  </si>
  <si>
    <t>1822084401</t>
  </si>
  <si>
    <t>Ліщин</t>
  </si>
  <si>
    <t>(0412)490147</t>
  </si>
  <si>
    <t>Луківська загальноосвітня школа І-ІІІ ступенів Житомирського району Житомирської області</t>
  </si>
  <si>
    <t>12433</t>
  </si>
  <si>
    <t>1822084701</t>
  </si>
  <si>
    <t>Лука</t>
  </si>
  <si>
    <t>(0412)497257</t>
  </si>
  <si>
    <t>Миролюбівська загальноосвітня школа Житомирського району Житомирської області</t>
  </si>
  <si>
    <t>12453</t>
  </si>
  <si>
    <t>1822085001</t>
  </si>
  <si>
    <t>вул. Петровського, 1</t>
  </si>
  <si>
    <t>(0412)499222</t>
  </si>
  <si>
    <t>Озерянківська загальноосвітня школа І-ІІ ступенів</t>
  </si>
  <si>
    <t>12463</t>
  </si>
  <si>
    <t>1822085301</t>
  </si>
  <si>
    <t>Озерянка</t>
  </si>
  <si>
    <t>вул. Озерна, 5</t>
  </si>
  <si>
    <t>(0412)497716</t>
  </si>
  <si>
    <t>Оліївська загальноосвітня школа І-ІІ ступенів</t>
  </si>
  <si>
    <t>12402</t>
  </si>
  <si>
    <t>1822085601</t>
  </si>
  <si>
    <t>Оліївка</t>
  </si>
  <si>
    <t>вул. Л.Ступницького, 55</t>
  </si>
  <si>
    <t>(0412)493739</t>
  </si>
  <si>
    <t>Пісківська загальноосвітня школа І-ІІІ ступенів</t>
  </si>
  <si>
    <t>12431</t>
  </si>
  <si>
    <t>1822085901</t>
  </si>
  <si>
    <t>Піски</t>
  </si>
  <si>
    <t>(0412)489543</t>
  </si>
  <si>
    <t>Руднє-Городищенська загальноосвітня школа I-II ступенів</t>
  </si>
  <si>
    <t>12462</t>
  </si>
  <si>
    <t>1822086201</t>
  </si>
  <si>
    <t>Рудня-Городище</t>
  </si>
  <si>
    <t>вул. Ф. Терещенка, 5А</t>
  </si>
  <si>
    <t>(0412)499819</t>
  </si>
  <si>
    <t>Садківська загальноосвітня школа І-ІІІ ступенів Житомирського району Житомирської області</t>
  </si>
  <si>
    <t>1822086301</t>
  </si>
  <si>
    <t>вул. Тімірязєва</t>
  </si>
  <si>
    <t>(0412)496309</t>
  </si>
  <si>
    <t>Сінгурівська загальноосвітня школа І-ІІІ ступенів Житомирського району Житомирської області</t>
  </si>
  <si>
    <t>12444</t>
  </si>
  <si>
    <t>1822086501</t>
  </si>
  <si>
    <t>Сінгури</t>
  </si>
  <si>
    <t>(0412)40-91-58</t>
  </si>
  <si>
    <t>http://singur-zosh.at.ua</t>
  </si>
  <si>
    <t>Пряжівська загальноосвітня школа І-ІІ ступенів Житомирського району Житомирської області</t>
  </si>
  <si>
    <t>12445</t>
  </si>
  <si>
    <t>1822086505</t>
  </si>
  <si>
    <t>Пряжів</t>
  </si>
  <si>
    <t>вул. Шевченко, 9</t>
  </si>
  <si>
    <t>(0142)403757</t>
  </si>
  <si>
    <t>Станишівська загальноосвітня школа І-ІІІ ступенів Житомирського району Житомирської області</t>
  </si>
  <si>
    <t>1822086801</t>
  </si>
  <si>
    <t>Станишівка</t>
  </si>
  <si>
    <t>вул. Кооперативна, 2</t>
  </si>
  <si>
    <t>(80412)399947</t>
  </si>
  <si>
    <t>Тетерівська загальноосвітня школа І-ІІІ ступенів Житомирського району Житомирської області</t>
  </si>
  <si>
    <t>12420</t>
  </si>
  <si>
    <t>1822087201</t>
  </si>
  <si>
    <t>Тетерівка</t>
  </si>
  <si>
    <t>вул. Шевченка, 27А</t>
  </si>
  <si>
    <t>(0412)245603</t>
  </si>
  <si>
    <t>Троянівська загальноосвітня школа І - ІІІ ступенів Житомирської області Житомирського району</t>
  </si>
  <si>
    <t>12460</t>
  </si>
  <si>
    <t>1822087601</t>
  </si>
  <si>
    <t>Троянів</t>
  </si>
  <si>
    <t>вул. Войтицького</t>
  </si>
  <si>
    <t>(0412)493272</t>
  </si>
  <si>
    <t>http://troyanivznz.blogspot.com</t>
  </si>
  <si>
    <t>Білківська середня загальноосвітня школа І-ІІІ ступенів "Школа Володимира Матвієнка"</t>
  </si>
  <si>
    <t>11564</t>
  </si>
  <si>
    <t>1822380201</t>
  </si>
  <si>
    <t>Білка</t>
  </si>
  <si>
    <t>(04142)68040</t>
  </si>
  <si>
    <t>Бехівська середня загальноосвітня школа I - II ступенів</t>
  </si>
  <si>
    <t>11521</t>
  </si>
  <si>
    <t>1822380601</t>
  </si>
  <si>
    <t>Бехи</t>
  </si>
  <si>
    <t>вул. Козаренка Романа, 22З</t>
  </si>
  <si>
    <t>(04142)6-04-40</t>
  </si>
  <si>
    <t>http://bekhisecondaryschool.blogspot.com</t>
  </si>
  <si>
    <t>Гулянецька середня загальноосвітня школа І- ІІІ ступенів</t>
  </si>
  <si>
    <t>11563</t>
  </si>
  <si>
    <t>1822380803</t>
  </si>
  <si>
    <t>Гулянка</t>
  </si>
  <si>
    <t>вул. Гришка, 27</t>
  </si>
  <si>
    <t>(04142)9-95-17</t>
  </si>
  <si>
    <t>http://gulyanka.fo.ru</t>
  </si>
  <si>
    <t>Васьковицька середня загальноосвітня школа І - ІІІ ступенів Коростенського району Житомирської області</t>
  </si>
  <si>
    <t>11522</t>
  </si>
  <si>
    <t>1822380901</t>
  </si>
  <si>
    <t>Васьковичі</t>
  </si>
  <si>
    <t>(04142)64212, (04142)64252</t>
  </si>
  <si>
    <t>Вигівська філія Горщиківської середньої загальноосвітньої школи I-IIІ ступенів Коростенського району Житомирської області</t>
  </si>
  <si>
    <t>11554</t>
  </si>
  <si>
    <t>1822381001</t>
  </si>
  <si>
    <t>Вигів</t>
  </si>
  <si>
    <t>Горщиківська загальноосвітня школа І-ІІІ ступенів Коростенського району Житомирської області</t>
  </si>
  <si>
    <t>11560</t>
  </si>
  <si>
    <t>1822381201</t>
  </si>
  <si>
    <t>Горщик</t>
  </si>
  <si>
    <t>(04142)91640</t>
  </si>
  <si>
    <t>Давидківська філія Горщиківської середньої загальноосвітньої школи І-ІІІ ступенів Коростенсчького району Житомирської області</t>
  </si>
  <si>
    <t>1822381401</t>
  </si>
  <si>
    <t>Давидки</t>
  </si>
  <si>
    <t>62-2-40</t>
  </si>
  <si>
    <t>Дідковицька середня загальноосвітня школа Іступеня</t>
  </si>
  <si>
    <t>11520</t>
  </si>
  <si>
    <t>1822381601</t>
  </si>
  <si>
    <t>Дідковичі</t>
  </si>
  <si>
    <t>вул. Парнівська, 94</t>
  </si>
  <si>
    <t>(04142)64740</t>
  </si>
  <si>
    <t>http://didkovychi-school.zt.sch.in.ua</t>
  </si>
  <si>
    <t>Каленський навчально-виховний комплекс "середня загальноосвітня школа І-ІІ ступенів - дошкільний навчальний заклад" Коростенської районної ради Житомирської області</t>
  </si>
  <si>
    <t>11534</t>
  </si>
  <si>
    <t>1822381801</t>
  </si>
  <si>
    <t>Каленське</t>
  </si>
  <si>
    <t>вул. Потапова, 61Б</t>
  </si>
  <si>
    <t>99240</t>
  </si>
  <si>
    <t>Ковалівська середня загальноосвітня школа І ступеня</t>
  </si>
  <si>
    <t>11583</t>
  </si>
  <si>
    <t>1822382201</t>
  </si>
  <si>
    <t>Ковалі</t>
  </si>
  <si>
    <t>http://kovalivska-szsh-i-st.webnode.com.ua/</t>
  </si>
  <si>
    <t>Кожухівська середня загальноосвітня школа І - ІІІ ступенів</t>
  </si>
  <si>
    <t>11550</t>
  </si>
  <si>
    <t>1822382401</t>
  </si>
  <si>
    <t>Кожухівка</t>
  </si>
  <si>
    <t>(068)8628688</t>
  </si>
  <si>
    <t>http://kozhyhivka.at.ua</t>
  </si>
  <si>
    <t>Купищенська середня загальноосвітня школа I-II стуненів Коростенського району Житомирької області</t>
  </si>
  <si>
    <t>11552</t>
  </si>
  <si>
    <t>1822382601</t>
  </si>
  <si>
    <t>Купище</t>
  </si>
  <si>
    <t>вул. Поварова, 49</t>
  </si>
  <si>
    <t>http://cms.kupischeznz-com-ua.webnode.com.ua/</t>
  </si>
  <si>
    <t>Жабчанська середня загальноосвітня школа І ступеня Коростенського району, Житомирської області</t>
  </si>
  <si>
    <t>11505</t>
  </si>
  <si>
    <t>1822382603</t>
  </si>
  <si>
    <t>вул. юрасова</t>
  </si>
  <si>
    <t>Лісівщинська середня загальноосвітня школа І-ІІІ ступенів імені О.Дубінчука Коростенської районної ради Житомирської області</t>
  </si>
  <si>
    <t>11580</t>
  </si>
  <si>
    <t>1822382801</t>
  </si>
  <si>
    <t>Лісівщина</t>
  </si>
  <si>
    <t>вул. Чкалова, 4</t>
  </si>
  <si>
    <t>(04142)64540</t>
  </si>
  <si>
    <t>http://lisivshchinska-shkola.webnode.com.ua</t>
  </si>
  <si>
    <t>Малозубівщинська середня загальноосвітня школа І-ІІІ ступенів Коростенського району Житомирської області</t>
  </si>
  <si>
    <t>11535</t>
  </si>
  <si>
    <t>1822383001</t>
  </si>
  <si>
    <t>Мала Зубівщина</t>
  </si>
  <si>
    <t>(04142)60244</t>
  </si>
  <si>
    <t>http://zybivshchuna.ucoz.ua</t>
  </si>
  <si>
    <t>Меленівський навчально - виховний комплекс " середня загальноосвітня школа І - ІІІ ступенів - дошкільний навчальний заклад "</t>
  </si>
  <si>
    <t>11576</t>
  </si>
  <si>
    <t>1822383601</t>
  </si>
  <si>
    <t>Мелені</t>
  </si>
  <si>
    <t>вул. Шкільна, 15,а</t>
  </si>
  <si>
    <t>(04142)67-2-40</t>
  </si>
  <si>
    <t>Михайлівська середня загальноосвітня школа І - ІІ ступенів Коростенського району Житомирської області</t>
  </si>
  <si>
    <t>11523</t>
  </si>
  <si>
    <t>1822383801</t>
  </si>
  <si>
    <t>вул. Вишняки, 7</t>
  </si>
  <si>
    <t>(04142)64340</t>
  </si>
  <si>
    <t>http://asdfghjkl2015.ucoz.ua</t>
  </si>
  <si>
    <t>Новаківський навчально-виховний комплекс "середня загальноосвітня школа I - II ступенів - дошкільний навчальний заклад "</t>
  </si>
  <si>
    <t>11543</t>
  </si>
  <si>
    <t>1822384001</t>
  </si>
  <si>
    <t>Новаки</t>
  </si>
  <si>
    <t>(04142)63540</t>
  </si>
  <si>
    <t>Поліська середня загальноосвітня школа І-ІІІ ступенів Коростенського району Житомирської області</t>
  </si>
  <si>
    <t>11555</t>
  </si>
  <si>
    <t>1822384401</t>
  </si>
  <si>
    <t>(04142)9-03-10, (04142)9-04-39</t>
  </si>
  <si>
    <t>Веселівська середня загальноосвітня школа І-ІІ ступенів Коростенського району Житомирської області</t>
  </si>
  <si>
    <t>11572</t>
  </si>
  <si>
    <t>1822384601</t>
  </si>
  <si>
    <t>вул. Лісова, 1</t>
  </si>
  <si>
    <t>(04142)98340</t>
  </si>
  <si>
    <t>Іванівська середня загальноосвітня школа І ступеня</t>
  </si>
  <si>
    <t>11573</t>
  </si>
  <si>
    <t>1822384603</t>
  </si>
  <si>
    <t>вул. Миру, 47</t>
  </si>
  <si>
    <t>98-3-24</t>
  </si>
  <si>
    <t>Ришавська середня загальноосвітня школа І-ІІІ ступенів</t>
  </si>
  <si>
    <t>11566</t>
  </si>
  <si>
    <t>1822384801</t>
  </si>
  <si>
    <t>Ришавка</t>
  </si>
  <si>
    <t>вул. Симоненка Василя, 3А</t>
  </si>
  <si>
    <t>(04142)65455</t>
  </si>
  <si>
    <t>Сарновицька середня загальноосвітня школа І-ІІІ ступенів Коростенського району Житомирської області</t>
  </si>
  <si>
    <t>11525</t>
  </si>
  <si>
    <t>1822385001</t>
  </si>
  <si>
    <t>Сарновичі</t>
  </si>
  <si>
    <t>(04142)67340</t>
  </si>
  <si>
    <t>http://sarnovychi.edukit.zt.ua/</t>
  </si>
  <si>
    <t>Грозинська гімназія Коростенського району Житомирської області</t>
  </si>
  <si>
    <t>11542</t>
  </si>
  <si>
    <t>1822385202</t>
  </si>
  <si>
    <t>Грозине</t>
  </si>
  <si>
    <t>(04142)6-11-40</t>
  </si>
  <si>
    <t>Стремигородський навчально-виховний комплекс "середня загальноосвітня школа І-ІІ ступенів - дошкільний навчальний заклад"</t>
  </si>
  <si>
    <t>11545</t>
  </si>
  <si>
    <t>1822385601</t>
  </si>
  <si>
    <t>Стремигород</t>
  </si>
  <si>
    <t>60238</t>
  </si>
  <si>
    <t>Сушківська середня загальноосвітня школа І-ІІІ ступенів</t>
  </si>
  <si>
    <t>11565</t>
  </si>
  <si>
    <t>1822385801</t>
  </si>
  <si>
    <t>Сушки</t>
  </si>
  <si>
    <t>вул. Центральна,, 9</t>
  </si>
  <si>
    <t>(04142)65440</t>
  </si>
  <si>
    <t>http://shkola.zt.ua</t>
  </si>
  <si>
    <t>Ушомирська гімназія Коростенського району Житомирської області</t>
  </si>
  <si>
    <t>11571</t>
  </si>
  <si>
    <t>1822386001</t>
  </si>
  <si>
    <t>Ушомир</t>
  </si>
  <si>
    <t>вул. Л. Рака, 7</t>
  </si>
  <si>
    <t>(04142)69271, (04142)69240</t>
  </si>
  <si>
    <t>https://sites.google.com/site/usomirosvitaua/home</t>
  </si>
  <si>
    <t>Комунальний навчальний заклад "Ушомирська загальноосвітня школа-інтернат І-ІІ ступенів " Житомирської обласної ради</t>
  </si>
  <si>
    <t>вул. Макаренка, 21</t>
  </si>
  <si>
    <t>(04142)69340</t>
  </si>
  <si>
    <t>20413804</t>
  </si>
  <si>
    <t>Ходаківська середня загальноосвітня школа І-ІІ ступенів</t>
  </si>
  <si>
    <t>11540</t>
  </si>
  <si>
    <t>1822386201</t>
  </si>
  <si>
    <t>Ходаки</t>
  </si>
  <si>
    <t>вул. Центральня, 21</t>
  </si>
  <si>
    <t>Холосненська середня загальноосвітня школа І-ІІІ ступенів Коростенської районної ради Житомирської області</t>
  </si>
  <si>
    <t>11574</t>
  </si>
  <si>
    <t>1822386401</t>
  </si>
  <si>
    <t>Холосне</t>
  </si>
  <si>
    <t>вул. Шкільна, 28 А</t>
  </si>
  <si>
    <t>(04142)68240</t>
  </si>
  <si>
    <t>http://kholosne.ucoz.com</t>
  </si>
  <si>
    <t>Хотинівська середня загальноосвітня школа І - ІІІ ступенів Коростенського району Житомирської області</t>
  </si>
  <si>
    <t>11544</t>
  </si>
  <si>
    <t>1822386601</t>
  </si>
  <si>
    <t>Хотинівка</t>
  </si>
  <si>
    <t>вул. Захарченка, 9</t>
  </si>
  <si>
    <t>(04142)90240</t>
  </si>
  <si>
    <t>Іскоростенська середня загальноосвітня школа І ступеня</t>
  </si>
  <si>
    <t>11509</t>
  </si>
  <si>
    <t>1822386603</t>
  </si>
  <si>
    <t>Іскорость</t>
  </si>
  <si>
    <t>вул. Козака, 7</t>
  </si>
  <si>
    <t>(04142)32283</t>
  </si>
  <si>
    <t>Шершнівська середня загальноосвітня школа І-ІІ ступенів</t>
  </si>
  <si>
    <t>11581</t>
  </si>
  <si>
    <t>1822386801</t>
  </si>
  <si>
    <t>вул. Гагаріна, 65</t>
  </si>
  <si>
    <t>(04142)68340</t>
  </si>
  <si>
    <t>Білошицівська середня загальноосвітня школа І-ІІ ступенів Коростенського району Житомирської області</t>
  </si>
  <si>
    <t>11570</t>
  </si>
  <si>
    <t>1822387001</t>
  </si>
  <si>
    <t>Білошиці</t>
  </si>
  <si>
    <t>http://my.13best.school.gmail.com</t>
  </si>
  <si>
    <t>Коростишівська гуманітарна гімназія № 5 ім.Т.Г.Шевченка Житомирської області</t>
  </si>
  <si>
    <t>12504</t>
  </si>
  <si>
    <t>1822510100</t>
  </si>
  <si>
    <t>Коростишів</t>
  </si>
  <si>
    <t>вул. М.Добрянського, 33</t>
  </si>
  <si>
    <t>(0413)058591, (0413)058600</t>
  </si>
  <si>
    <t>http://www.g5.at.ua</t>
  </si>
  <si>
    <t>22066560</t>
  </si>
  <si>
    <t>Коростишівська загальноосвітня вечірня школа II-III ступенів</t>
  </si>
  <si>
    <t>12505</t>
  </si>
  <si>
    <t>вул. Дарбіняна, 10</t>
  </si>
  <si>
    <t>(04130)52975</t>
  </si>
  <si>
    <t>Коростишівська загальноосвітня школа І - ІІІ ступенів № 3 Житомирської області</t>
  </si>
  <si>
    <t>12501</t>
  </si>
  <si>
    <t>вул. Назаренка, 16</t>
  </si>
  <si>
    <t>(04130)52461, (04130)52279</t>
  </si>
  <si>
    <t>22066459</t>
  </si>
  <si>
    <t>Коростишівська загальноосвітня школа I - III ступенів № 1</t>
  </si>
  <si>
    <t>(04130)51773, (04130)51774</t>
  </si>
  <si>
    <t>22066436</t>
  </si>
  <si>
    <t>Комунальний навчальний заклад "Коростишівська спеціальна загальноосвітня школа-інтернат" Житомирської обласної ради</t>
  </si>
  <si>
    <t>вул. Івана Кочерги, 1</t>
  </si>
  <si>
    <t>(04130)5-21-54, (04130)5-06-29</t>
  </si>
  <si>
    <t>20407382</t>
  </si>
  <si>
    <t>Коростишівський навчально-виховний комплекс "Загалноосвітня школа І-ІІ ступенів - ліцей інформаційних технологій"ім.Л.Х.Дарбіняна Житомирської області</t>
  </si>
  <si>
    <t>12500</t>
  </si>
  <si>
    <t>(04130)52983, (04130)52984</t>
  </si>
  <si>
    <t>http://kornvk.virtsail.com</t>
  </si>
  <si>
    <t>22066407</t>
  </si>
  <si>
    <t>Коростишівський навчально-виховний комплекс "Спеціалізована школа І ступеня-гімназія" імені Олега Ольжича Житомирської області</t>
  </si>
  <si>
    <t>вул. Мануїльського, 14</t>
  </si>
  <si>
    <t>(04130)56257</t>
  </si>
  <si>
    <t>http://school9.org.ua/</t>
  </si>
  <si>
    <t>22066420</t>
  </si>
  <si>
    <t>Міжнародний приватний навчально-виховний комплекс імені Януша Корчака</t>
  </si>
  <si>
    <t>Більковецька загальноосвітня школа І-ІІІ ступенів Коростишвського району Житомирської області</t>
  </si>
  <si>
    <t>12521</t>
  </si>
  <si>
    <t>1822580301</t>
  </si>
  <si>
    <t>Більківці</t>
  </si>
  <si>
    <t>вул. Рад, 2</t>
  </si>
  <si>
    <t>(04130)74290</t>
  </si>
  <si>
    <t>22066531</t>
  </si>
  <si>
    <t>Вільнянська загальноосвітня школа І-ІІІ ступенів Коростишівського району Житомирської області</t>
  </si>
  <si>
    <t>12536</t>
  </si>
  <si>
    <t>1822581501</t>
  </si>
  <si>
    <t>Вільня</t>
  </si>
  <si>
    <t>вул. Леніна, 5В</t>
  </si>
  <si>
    <t>(04130)7-22-30</t>
  </si>
  <si>
    <t>http://vilnya-online.at.ua</t>
  </si>
  <si>
    <t>Городський навчально-виховний комплекс "Загальноосвітня школа I-III ступенів - дошкільний навчальний заклад"</t>
  </si>
  <si>
    <t>12523</t>
  </si>
  <si>
    <t>1822581701</t>
  </si>
  <si>
    <t>Городське</t>
  </si>
  <si>
    <t>вул. Матюшенко, 16</t>
  </si>
  <si>
    <t>(04130)79430</t>
  </si>
  <si>
    <t>Гуменницька загальноосвітня школа І-ІІ ступенів Коростишівського району Житомирської області</t>
  </si>
  <si>
    <t>12520</t>
  </si>
  <si>
    <t>1822581801</t>
  </si>
  <si>
    <t>Гуменники</t>
  </si>
  <si>
    <t>вул. Центральна, 2А</t>
  </si>
  <si>
    <t>(04130)78530</t>
  </si>
  <si>
    <t>Кам'янобрідська загальноосвітня школа І-ІІІ ступенів</t>
  </si>
  <si>
    <t>12511</t>
  </si>
  <si>
    <t>1822582401</t>
  </si>
  <si>
    <t>наб. Набережна, 1А</t>
  </si>
  <si>
    <t>(0413-071)3-30</t>
  </si>
  <si>
    <t>Квітнева загальноосвітня школа І-ІІ ступенів Коростишівської міської ради Житомирської області</t>
  </si>
  <si>
    <t>12530</t>
  </si>
  <si>
    <t>1822583001</t>
  </si>
  <si>
    <t>вул. Партизанська, 100</t>
  </si>
  <si>
    <t>75-2-40</t>
  </si>
  <si>
    <t>22066502</t>
  </si>
  <si>
    <t>КНЗ "Кмитівська спеціальна загальноосвітня школа-інтернат" Житомирської обласної ради</t>
  </si>
  <si>
    <t>12526</t>
  </si>
  <si>
    <t>1822583201</t>
  </si>
  <si>
    <t>Кмитів</t>
  </si>
  <si>
    <t>вул. Покровська, 42/б</t>
  </si>
  <si>
    <t>(04130)73218, (04130)73222</t>
  </si>
  <si>
    <t>http://www.kmytiv-internat.edukit.zt.ua/</t>
  </si>
  <si>
    <t>20407784</t>
  </si>
  <si>
    <t>Кошарищенська загальноосвітня школа І-ІІ ступенів Коростишівського району Житомирської області</t>
  </si>
  <si>
    <t>1822583203</t>
  </si>
  <si>
    <t>Великі Кошарища</t>
  </si>
  <si>
    <t>(04130)77430</t>
  </si>
  <si>
    <t>Козіївська загальноосвітня школа І-ІІ ступенів Коростишівського району</t>
  </si>
  <si>
    <t>12522</t>
  </si>
  <si>
    <t>1822583301</t>
  </si>
  <si>
    <t>Козіївка</t>
  </si>
  <si>
    <t>(04130)76430</t>
  </si>
  <si>
    <t>http://koziivka.at.ua</t>
  </si>
  <si>
    <t>Кропивнянський навчально-виховний комплекс „Загальноосвітня школа Іступеня-дошкільний навчальний заклад” Коростишівської міської ради Житомирської області філія Коростишівської гуманітарної гімназії № 5 імені Т.Г.Шевченка</t>
  </si>
  <si>
    <t>12533</t>
  </si>
  <si>
    <t>1822583601</t>
  </si>
  <si>
    <t>філія Старосілецької гімназії Коростишівського району Житомирської області Минійківський навчально-виховний комплекс "дошкільний навчальний заклад- загальноосвітній навчальний заклад І ступеня"</t>
  </si>
  <si>
    <t>12514</t>
  </si>
  <si>
    <t>1822584001</t>
  </si>
  <si>
    <t>Минійки</t>
  </si>
  <si>
    <t>(04130)75402</t>
  </si>
  <si>
    <t>Садівський навчально-виховний комплекс "Загальноосвітня школа І ступеня - дошкільний навчальний заклад"</t>
  </si>
  <si>
    <t>21513</t>
  </si>
  <si>
    <t>1822585001</t>
  </si>
  <si>
    <t>Садове</t>
  </si>
  <si>
    <t>(04130)77249</t>
  </si>
  <si>
    <t>Старосілецька гімназія Коростишівського району Житомирської області</t>
  </si>
  <si>
    <t>12515</t>
  </si>
  <si>
    <t>1822586701</t>
  </si>
  <si>
    <t>Старосільці</t>
  </si>
  <si>
    <t>(04130)75538</t>
  </si>
  <si>
    <t>22066554</t>
  </si>
  <si>
    <t>Стрижівський навчально-виховний комплекс "Загальноосвітня школа І-ІІ ступенів - колегіум" Коростишівського району Житомирської області</t>
  </si>
  <si>
    <t>12525</t>
  </si>
  <si>
    <t>1822587001</t>
  </si>
  <si>
    <t>Стрижівка</t>
  </si>
  <si>
    <t>вул. Мікаберідзе, 12А</t>
  </si>
  <si>
    <t>(04130)78233</t>
  </si>
  <si>
    <t>Студеницька загальноосвітня школа І-ІІІ ступенів Житомирської області Коростишівського району</t>
  </si>
  <si>
    <t>12524</t>
  </si>
  <si>
    <t>1822587301</t>
  </si>
  <si>
    <t>Студениця</t>
  </si>
  <si>
    <t>(041)3073430</t>
  </si>
  <si>
    <t>22066442</t>
  </si>
  <si>
    <t>Торчинський навчально-виховний комплекс "загальноосвітній навчальний заклад-дошкільний навчальний заклад" І-ІІ ступенів</t>
  </si>
  <si>
    <t>12510</t>
  </si>
  <si>
    <t>1822587601</t>
  </si>
  <si>
    <t>вул. Якубовського, 4</t>
  </si>
  <si>
    <t>(04130)71230</t>
  </si>
  <si>
    <t>Харитонівська загальноосвітня школа І-ІІ ступенів Коростишівського райну, Житомирської області</t>
  </si>
  <si>
    <t>1822587901</t>
  </si>
  <si>
    <t>Харитонівка</t>
  </si>
  <si>
    <t>(0412)76230</t>
  </si>
  <si>
    <t>Шахворостівська загальноосвітня школа І-ІІІ ступенів Коростишівського району Житомирської області</t>
  </si>
  <si>
    <t>12535</t>
  </si>
  <si>
    <t>1822588401</t>
  </si>
  <si>
    <t>Шахворостівка</t>
  </si>
  <si>
    <t>вул. 8-Березня, 2</t>
  </si>
  <si>
    <t>0413076240</t>
  </si>
  <si>
    <t>Щигліївська загальноосвітня школа І-ІІІ ступенів Коростишівської міської ради Житомирської області</t>
  </si>
  <si>
    <t>12534</t>
  </si>
  <si>
    <t>1822588701</t>
  </si>
  <si>
    <t>Щигліївка</t>
  </si>
  <si>
    <t>вул. Шевченка, 33</t>
  </si>
  <si>
    <t>22066583</t>
  </si>
  <si>
    <t>Гімназія імені В.П. Фількова Лугинської селищної ради Лугинського району Житомирської області</t>
  </si>
  <si>
    <t>11301</t>
  </si>
  <si>
    <t>1822855100</t>
  </si>
  <si>
    <t>Лугини</t>
  </si>
  <si>
    <t>вул. М. Грушевського, 18</t>
  </si>
  <si>
    <t>(04161)9-12-69</t>
  </si>
  <si>
    <t>Лугинська загальноосвітня школа І-ІІІ ступенів № 2, Лугинської селищної ради, Лугинського району, Житомирської області.</t>
  </si>
  <si>
    <t>вул. Церковна, 12</t>
  </si>
  <si>
    <t>(04161)91083, (097)7219158</t>
  </si>
  <si>
    <t>Миролюбівська загальноосвітня школа І - ІІІ ступенів</t>
  </si>
  <si>
    <t>11310</t>
  </si>
  <si>
    <t>1822856000</t>
  </si>
  <si>
    <t>Миролюбів</t>
  </si>
  <si>
    <t>(04161)9-36-28</t>
  </si>
  <si>
    <t>Бовсунівський НВК"Школа-дитячий садок" імені Павла Пилилиповича Бовсунівського</t>
  </si>
  <si>
    <t>11323</t>
  </si>
  <si>
    <t>1822880401</t>
  </si>
  <si>
    <t>Бовсуни</t>
  </si>
  <si>
    <t>вул. Центральна, 87А</t>
  </si>
  <si>
    <t>0933738257</t>
  </si>
  <si>
    <t>Радогощанський навчально-виховний комплекс "Загальноосвітній навчальний заклад І-ІІІ ступенів -дошкільний навчальний заклад" Лугинської селищної ради Лугинського району Житомирської області</t>
  </si>
  <si>
    <t>1822880803</t>
  </si>
  <si>
    <t>Радогоща</t>
  </si>
  <si>
    <t>(04161)93221</t>
  </si>
  <si>
    <t>Великодивлинський навчально-виховний комплекс "Загальноосвітній навчальний заклад І-ІІІ ступенів - дошкільний навчальний заклад"</t>
  </si>
  <si>
    <t>11331</t>
  </si>
  <si>
    <t>1822881301</t>
  </si>
  <si>
    <t>Великий Дивлин</t>
  </si>
  <si>
    <t>вул. Леніна, 58</t>
  </si>
  <si>
    <t>(04161)94749</t>
  </si>
  <si>
    <t>Жеревецький навчально-виховний комплекс "Загальноосвітній навчальний заклад І-ІІІ ступенів - дошкільний навчальний заклад" Лугинського району Житомирської області</t>
  </si>
  <si>
    <t>11312</t>
  </si>
  <si>
    <t>1822881601</t>
  </si>
  <si>
    <t>Жеревці</t>
  </si>
  <si>
    <t>(04161)94616</t>
  </si>
  <si>
    <t>Калинівський навчально-виховний комплекс "Загальноосвітній навчальний заклад І-ІІІ ступенів - Дошкільний навчальний заклад" Лугинської селищної ради Лугинського району Житомирської області</t>
  </si>
  <si>
    <t>11340</t>
  </si>
  <si>
    <t>1822882001</t>
  </si>
  <si>
    <t>(04161)95331</t>
  </si>
  <si>
    <t>Красноставський навчально- виховний комплекс "Загальноосвітній навчальний заклад І-ІІ ступенів - дошкільний навчальний заклад" Лугинської селищної ради Лугинського району Житомирської області</t>
  </si>
  <si>
    <t>11335</t>
  </si>
  <si>
    <t>1822882401</t>
  </si>
  <si>
    <t>вул. Зелена, 25А</t>
  </si>
  <si>
    <t>Кремненська ЗОШ І-ІІІ ступенів Лугинської районної ради Житомирської області</t>
  </si>
  <si>
    <t>11334</t>
  </si>
  <si>
    <t>1822882701</t>
  </si>
  <si>
    <t>Кремне</t>
  </si>
  <si>
    <t>Літківський НВК "Загальноосвітній навчальний заклад І-ІІ ступенів - дошкільний навчальний заклад"</t>
  </si>
  <si>
    <t>11325</t>
  </si>
  <si>
    <t>1822883001</t>
  </si>
  <si>
    <t>Літки</t>
  </si>
  <si>
    <t>ал. Новостройка, 31</t>
  </si>
  <si>
    <t>95433</t>
  </si>
  <si>
    <t>Липниківська загальноосвітня школа І-ІІІ ступенів</t>
  </si>
  <si>
    <t>11320</t>
  </si>
  <si>
    <t>1822883201</t>
  </si>
  <si>
    <t>Липники</t>
  </si>
  <si>
    <t>вул. Миколи Жука, 10А</t>
  </si>
  <si>
    <t>Остапівський навчально-виховний комплекс "Загальноосвітній навчальний заклад І-ІІІ ступенів - Дошкільний навчальний заклад" Лугинської селищної ради Лугинського району Житомирської області</t>
  </si>
  <si>
    <t>11343</t>
  </si>
  <si>
    <t>1822884001</t>
  </si>
  <si>
    <t>Остапи</t>
  </si>
  <si>
    <t>(04161)95130</t>
  </si>
  <si>
    <t>Повчанська загальноосвітня школа І- ІІ ступенів Лугинського району Житомирської області</t>
  </si>
  <si>
    <t>11321</t>
  </si>
  <si>
    <t>1822884401</t>
  </si>
  <si>
    <t>Повч</t>
  </si>
  <si>
    <t>Путиловецький НВК "ДНЗ-ЗНЗ І-ІІІ ступенів" Лугинської районної ради Житомирської області</t>
  </si>
  <si>
    <t>11333</t>
  </si>
  <si>
    <t>1822884801</t>
  </si>
  <si>
    <t>Путиловичі</t>
  </si>
  <si>
    <t>вул. Шевченка, 63</t>
  </si>
  <si>
    <t>0987017413</t>
  </si>
  <si>
    <t>Степанівська загальноосвітня школа І-ІІ ступенів Лугинської районної ради Житомирської області</t>
  </si>
  <si>
    <t>11322</t>
  </si>
  <si>
    <t>1822885401</t>
  </si>
  <si>
    <t>(04161)95736</t>
  </si>
  <si>
    <t>Топільнянський навчально-виховний комплекс "Загальноосвітній навчальний заклад І ступеня-дошкільний навчальний заклад"</t>
  </si>
  <si>
    <t>11311</t>
  </si>
  <si>
    <t>1822886501</t>
  </si>
  <si>
    <t>Топільня</t>
  </si>
  <si>
    <t>вул. Центральна, 57</t>
  </si>
  <si>
    <t>0660095026</t>
  </si>
  <si>
    <t>Червоноволоцька загальноосвітня школа І-ІІІ ступенів</t>
  </si>
  <si>
    <t>11313</t>
  </si>
  <si>
    <t>1822887601</t>
  </si>
  <si>
    <t>Червона Волока</t>
  </si>
  <si>
    <t>вул. Т.Г.Шевченка, 69А</t>
  </si>
  <si>
    <t>(04161)94188</t>
  </si>
  <si>
    <t>Любарська гімназія № 1 Любарської районної ради Житомирської області</t>
  </si>
  <si>
    <t>13100</t>
  </si>
  <si>
    <t>1823155100</t>
  </si>
  <si>
    <t>Любар</t>
  </si>
  <si>
    <t>(04147)21055, (04147)21489</t>
  </si>
  <si>
    <t>http://lubar-gm1.narod.ru/</t>
  </si>
  <si>
    <t>Любарська спеціальна загальноосвітня школа-інтернат Житомирської обласної ради</t>
  </si>
  <si>
    <t>13101</t>
  </si>
  <si>
    <t>вул. Райради, 1</t>
  </si>
  <si>
    <t>(04147)21772, (04147)21309</t>
  </si>
  <si>
    <t>13578054</t>
  </si>
  <si>
    <t>Авратинська загальноосвітня школа І-ІІ ступенів</t>
  </si>
  <si>
    <t>13141</t>
  </si>
  <si>
    <t>1823180201</t>
  </si>
  <si>
    <t>Авратин</t>
  </si>
  <si>
    <t>вул. Березівська, 13</t>
  </si>
  <si>
    <t>(041)4795328</t>
  </si>
  <si>
    <t>Кириївська загальноосвітня школа І - ІІІ ступенів Любарської районної ради Житомирської області</t>
  </si>
  <si>
    <t>1823180202</t>
  </si>
  <si>
    <t>Кириївка</t>
  </si>
  <si>
    <t>(0414795340)9-53-40</t>
  </si>
  <si>
    <t>Березівська загальноосвітня школа І-ІІІ ступенів Березівської сільської ради Любарського району Житомирської області</t>
  </si>
  <si>
    <t>13152</t>
  </si>
  <si>
    <t>1823180401</t>
  </si>
  <si>
    <t>вул. Леніна, 8</t>
  </si>
  <si>
    <t>(04147)97240</t>
  </si>
  <si>
    <t>Горопаївська загальноосвітня школа І - ІІ ступенів Любарського району Житомирської області</t>
  </si>
  <si>
    <t>13111</t>
  </si>
  <si>
    <t>1823180701</t>
  </si>
  <si>
    <t>Горопаї</t>
  </si>
  <si>
    <t>вул. Першотравнева, 4</t>
  </si>
  <si>
    <t>(04147)9-75-40</t>
  </si>
  <si>
    <t>Бичівська загальноосвітня школа І-ІІІ ступенів</t>
  </si>
  <si>
    <t>13153</t>
  </si>
  <si>
    <t>1823180801</t>
  </si>
  <si>
    <t>Бичева</t>
  </si>
  <si>
    <t>вул. Лесі Українки, 10</t>
  </si>
  <si>
    <t>(04147)9-54-54</t>
  </si>
  <si>
    <t>Великоволицька загальноосвітня школа І-ІІ ступенів Любарського району Житомирської області</t>
  </si>
  <si>
    <t>13151</t>
  </si>
  <si>
    <t>1823181501</t>
  </si>
  <si>
    <t>Велика Волиця</t>
  </si>
  <si>
    <t>9-64-10</t>
  </si>
  <si>
    <t>Великодеревичівська ЗОШ І-ІІІ ступенів Любарського району Житомирської області</t>
  </si>
  <si>
    <t>13126</t>
  </si>
  <si>
    <t>1823181801</t>
  </si>
  <si>
    <t>Великі Деревичі</t>
  </si>
  <si>
    <t>(04147)96631</t>
  </si>
  <si>
    <t>Веселківська загальноосвітня школа І-ІІ ступенів Любарського району Житомирської області</t>
  </si>
  <si>
    <t>13115</t>
  </si>
  <si>
    <t>1823182101</t>
  </si>
  <si>
    <t>Веселка</t>
  </si>
  <si>
    <t>(04147)93140</t>
  </si>
  <si>
    <t>Вигнанська загальноосвітня школа І-ІІ ступенів Любарського району Житомирської області</t>
  </si>
  <si>
    <t>13145</t>
  </si>
  <si>
    <t>1823182401</t>
  </si>
  <si>
    <t>Вигнанка</t>
  </si>
  <si>
    <t>вул. Перемоги, 40</t>
  </si>
  <si>
    <t>(04147)9-73-40</t>
  </si>
  <si>
    <t>https://sites.google.com/site/vignanskazosiiistupeniv/home</t>
  </si>
  <si>
    <t>Гізівщинська загальноосвітня школа І-ІІ ступенів імені В.М.Максимчука Любарського району Житомирської області</t>
  </si>
  <si>
    <t>13130</t>
  </si>
  <si>
    <t>1823182901</t>
  </si>
  <si>
    <t>Гізівщина</t>
  </si>
  <si>
    <t>(04147)95240</t>
  </si>
  <si>
    <t>Житинецька загальноосвітня школа І ступеня Любарського району Житомирської області</t>
  </si>
  <si>
    <t>1823182903</t>
  </si>
  <si>
    <t>Житинці</t>
  </si>
  <si>
    <t>(068)0022171</t>
  </si>
  <si>
    <t>Глезненська ЗОШ І-ІІІ ступенів Любарського району Житомирської області</t>
  </si>
  <si>
    <t>13124</t>
  </si>
  <si>
    <t>1823183201</t>
  </si>
  <si>
    <t>Глезне</t>
  </si>
  <si>
    <t>(04147)20000</t>
  </si>
  <si>
    <t>Коростківський навчально-виховний комплекс "Загальноосвітній навчальний заклад І-ІІ ступенів - дошкільний навчальний заклад" Любарського району Житомирської області</t>
  </si>
  <si>
    <t>13121</t>
  </si>
  <si>
    <t>1823183401</t>
  </si>
  <si>
    <t>Коростки</t>
  </si>
  <si>
    <t>(04147)93740</t>
  </si>
  <si>
    <t>http://http//www.korostki_school.at.ua</t>
  </si>
  <si>
    <t>Опорна Липненська загальноосвітня школа І-ІІІ ступенів Любарського району Житомирської області</t>
  </si>
  <si>
    <t>13114</t>
  </si>
  <si>
    <t>1823183601</t>
  </si>
  <si>
    <t>(04147)93296</t>
  </si>
  <si>
    <t>Малобраталівська ЗОШ І-ІІ ст. Любарського району Житомирської області</t>
  </si>
  <si>
    <t>13142</t>
  </si>
  <si>
    <t>1823184001</t>
  </si>
  <si>
    <t>Малий Браталів</t>
  </si>
  <si>
    <t>(04147)9-34-16</t>
  </si>
  <si>
    <t>Гринівецький навчально-виховний комплекс "загальноосвітній навчальний заклад І-ІІ ступенів - дошкільний навчальний заклад" Любарської районної ради Житомирської області</t>
  </si>
  <si>
    <t>13143</t>
  </si>
  <si>
    <t>1823184002</t>
  </si>
  <si>
    <t>Гринівці</t>
  </si>
  <si>
    <t>5</t>
  </si>
  <si>
    <t>(04147)2-15-16</t>
  </si>
  <si>
    <t>Меленецька філія Липненської опорної загальноосвітньої школи І-ІІІ ступенів Любарського району Житомирської області</t>
  </si>
  <si>
    <t>13112</t>
  </si>
  <si>
    <t>1823184301</t>
  </si>
  <si>
    <t>Меленці</t>
  </si>
  <si>
    <t>(04147)93630</t>
  </si>
  <si>
    <t>Мотовилівська загальноосвітня школа І-ІІІ ступенів імені І.М.Мороза Любарського району Житомирської області</t>
  </si>
  <si>
    <t>13150</t>
  </si>
  <si>
    <t>1823184601</t>
  </si>
  <si>
    <t>Мотовилівка</t>
  </si>
  <si>
    <t>(04147)93521, (04147)93573</t>
  </si>
  <si>
    <t>http://www.mot-school.at.ua</t>
  </si>
  <si>
    <t>Семенівська загальноосвітня школа І ступеня Любарського району Житомирської області</t>
  </si>
  <si>
    <t>1823184602</t>
  </si>
  <si>
    <t>вул. Мотовилівська, 2</t>
  </si>
  <si>
    <t>(097)3801239</t>
  </si>
  <si>
    <t>Новочорторийська загальноосвітня школа І-ІІІ ступенів Любарського району Житомирської області</t>
  </si>
  <si>
    <t>13120</t>
  </si>
  <si>
    <t>1823185001</t>
  </si>
  <si>
    <t>Нова Чортория</t>
  </si>
  <si>
    <t>вул. Незалежності, 9</t>
  </si>
  <si>
    <t>(804147)96240</t>
  </si>
  <si>
    <t>Коваленківська загальноосвітня школа І-ІІ ступенів Любарського району Житомирської області</t>
  </si>
  <si>
    <t>13140</t>
  </si>
  <si>
    <t>1823185402</t>
  </si>
  <si>
    <t>Коваленки</t>
  </si>
  <si>
    <t>(04147)97637</t>
  </si>
  <si>
    <t>Пединківська загальноосвітня школа І-ІІІ ступенів Любарський район Житомирська область</t>
  </si>
  <si>
    <t>13144</t>
  </si>
  <si>
    <t>1823185701</t>
  </si>
  <si>
    <t>Пединка</t>
  </si>
  <si>
    <t>(04147)93347</t>
  </si>
  <si>
    <t>Привітівська загальноосвітня школа І-ІІІ ступенів Любарського району Житомирської області</t>
  </si>
  <si>
    <t>13110</t>
  </si>
  <si>
    <t>1823186001</t>
  </si>
  <si>
    <t>Привітів</t>
  </si>
  <si>
    <t>вул. шкільна, 17</t>
  </si>
  <si>
    <t>(04141)95631</t>
  </si>
  <si>
    <t>Старочорторийська загальноосвітня школа І-ІІ ступенів Любарського району Житомирської області</t>
  </si>
  <si>
    <t>13122</t>
  </si>
  <si>
    <t>1823186401</t>
  </si>
  <si>
    <t>Стара Чортория</t>
  </si>
  <si>
    <t>вул. Коваля, 6</t>
  </si>
  <si>
    <t>(04147)97440</t>
  </si>
  <si>
    <t>Борушківецький НВК Любарської районної ради Житомирської області</t>
  </si>
  <si>
    <t>13123</t>
  </si>
  <si>
    <t>1823186402</t>
  </si>
  <si>
    <t>Борушківці</t>
  </si>
  <si>
    <t>вул. Леніна, 82</t>
  </si>
  <si>
    <t>(04147)96617</t>
  </si>
  <si>
    <t>с. Стрижівка Любарського району, Житомирської області, Стрижівська ЗОШ І-ІІІ ступенів</t>
  </si>
  <si>
    <t>13132</t>
  </si>
  <si>
    <t>1823186601</t>
  </si>
  <si>
    <t>(04147)21402</t>
  </si>
  <si>
    <t>угорська</t>
  </si>
  <si>
    <t>Юрівський навчально-виховний комплекс "Загальноосвітній навчальний заклад І-ІІст -дошкільний навчальний заклад" Любарської районної ради Житомирської області</t>
  </si>
  <si>
    <t>13105</t>
  </si>
  <si>
    <t>1823187301</t>
  </si>
  <si>
    <t>ал. вулиця Шкільна, 11</t>
  </si>
  <si>
    <t>(04147)23202</t>
  </si>
  <si>
    <t>Любарська загальноосвітня школа І-ІІІ ступенів № 2 Житомирської області</t>
  </si>
  <si>
    <t>1823187303</t>
  </si>
  <si>
    <t>Новий Любар</t>
  </si>
  <si>
    <t>вул. Бердичівська, 4</t>
  </si>
  <si>
    <t>(04147)21013</t>
  </si>
  <si>
    <t>Гранітнянська ЗОШ І-ІІІ ступенів Малинського району Житомирської області</t>
  </si>
  <si>
    <t>11634</t>
  </si>
  <si>
    <t>1823455200</t>
  </si>
  <si>
    <t>вул. Чехова, 43</t>
  </si>
  <si>
    <t>(04133)92311</t>
  </si>
  <si>
    <t>Чоповицький загальноосвітній навчально-виховний комплекс "Гімназія - загальноосвітній навчальний заклад І-ІІІ ступенів - дошкільний навчальний заклад" Малинського району Житомирської області</t>
  </si>
  <si>
    <t>11620</t>
  </si>
  <si>
    <t>1823455400</t>
  </si>
  <si>
    <t>Чоповичі</t>
  </si>
  <si>
    <t>вул. Соборна, 39</t>
  </si>
  <si>
    <t>(04133)73146</t>
  </si>
  <si>
    <t>http://www.chopschool.at.ua</t>
  </si>
  <si>
    <t>Горинська загальноосвітня школа І-ІІ ступенів Малинського району Житомирської області</t>
  </si>
  <si>
    <t>11651</t>
  </si>
  <si>
    <t>1823480801</t>
  </si>
  <si>
    <t>Горинь</t>
  </si>
  <si>
    <t>380980120966</t>
  </si>
  <si>
    <t>Луківська загальноосвітня школа І-ІІІ ступенів Малинського району Житомирської області</t>
  </si>
  <si>
    <t>11654</t>
  </si>
  <si>
    <t>1823481401</t>
  </si>
  <si>
    <t>Луки</t>
  </si>
  <si>
    <t>(3804133)95440</t>
  </si>
  <si>
    <t>Владівський навчально-виховний комплекс "Дошкільний навчальний заклад-загальноосвітній навчальний заклад І-ІІ ступенів"</t>
  </si>
  <si>
    <t>11616</t>
  </si>
  <si>
    <t>1823481801</t>
  </si>
  <si>
    <t>Владівка</t>
  </si>
  <si>
    <t>вул. Щорса, 23</t>
  </si>
  <si>
    <t>(04133)63330</t>
  </si>
  <si>
    <t>Ворсівський НВК "ДНЗ-ЗНЗ I-II ступеня" Малинського району Житомирської області</t>
  </si>
  <si>
    <t>1823482201</t>
  </si>
  <si>
    <t>Ворсівка</t>
  </si>
  <si>
    <t>Головківська загальноосвітня школа І-ІІ ступенів Малинського району Житомирської області</t>
  </si>
  <si>
    <t>11640</t>
  </si>
  <si>
    <t>1823482801</t>
  </si>
  <si>
    <t>Головки</t>
  </si>
  <si>
    <t>(044133)96273</t>
  </si>
  <si>
    <t>Дубрівська загальноосвітня школа І-ІІ ступенів Малинського району Житомирської області</t>
  </si>
  <si>
    <t>11615</t>
  </si>
  <si>
    <t>1823483201</t>
  </si>
  <si>
    <t>вул. Малинська, 3</t>
  </si>
  <si>
    <t>(04133)90340</t>
  </si>
  <si>
    <t>Іванівська загальноосвітня школа І-ІІ ступенів Малинського району Житомирської області</t>
  </si>
  <si>
    <t>11656</t>
  </si>
  <si>
    <t>1823483601</t>
  </si>
  <si>
    <t>4</t>
  </si>
  <si>
    <t>(233)95710</t>
  </si>
  <si>
    <t>Йосипівський навчально-виховний комплекс "Дошкільний навчальний заклад-загальноосвітній навчальний заклад І-ІІ ступенів"Малинського району Житомирської області</t>
  </si>
  <si>
    <t>1823484001</t>
  </si>
  <si>
    <t>вул. Єгорова, 16</t>
  </si>
  <si>
    <t>(04133)99340</t>
  </si>
  <si>
    <t>Ксаверівський навчально - виховний комплекс "Дошкільний навчальний заклад - загальноосвітній навчальний заклад І - ІІ ступенів" Малинського району Житомирської області</t>
  </si>
  <si>
    <t>11612</t>
  </si>
  <si>
    <t>1823484601</t>
  </si>
  <si>
    <t>Ксаверів</t>
  </si>
  <si>
    <t>пров. Перемоги, 12</t>
  </si>
  <si>
    <t>(04133)95540</t>
  </si>
  <si>
    <t>Любовицький навчально - виховний комплекс "Дошкільний навчальний заклад - загальноосвітній навчальний заклад І ступеня"</t>
  </si>
  <si>
    <t>11632</t>
  </si>
  <si>
    <t>1823484801</t>
  </si>
  <si>
    <t>Любовичі</t>
  </si>
  <si>
    <t>ал. Героїв України, 91</t>
  </si>
  <si>
    <t>Малинівський навчально-виховний комплекс "Дошкільний навчальний заклад - загальноосвітній навчальний заклад І-ІІІ ступенів"</t>
  </si>
  <si>
    <t>11642</t>
  </si>
  <si>
    <t>1823485201</t>
  </si>
  <si>
    <t>вул. Молодіжна, 3</t>
  </si>
  <si>
    <t>(04133)5-25-36</t>
  </si>
  <si>
    <t>Морозівська загальноосвітня школа І-ІІ ступенів Малинського району Житомирської області</t>
  </si>
  <si>
    <t>11614</t>
  </si>
  <si>
    <t>1823485501</t>
  </si>
  <si>
    <t>вул. Мічуріна, 11</t>
  </si>
  <si>
    <t>(04133)63440</t>
  </si>
  <si>
    <t>Недашківський навчально - виховний комплекс "Дошкільний навчальний заклад - загальноосвітній навчальний заклад І-ІІІ ступенів" Малинського району Житомирської області</t>
  </si>
  <si>
    <t>11610</t>
  </si>
  <si>
    <t>1823485801</t>
  </si>
  <si>
    <t>Недашки</t>
  </si>
  <si>
    <t>(04133)95140</t>
  </si>
  <si>
    <t>Нововороб'ївський навчально-виховний комплекс "Дошкільний навчальний заклад - загальноосвітній навчальний заклад І-ІІІ ступенів"</t>
  </si>
  <si>
    <t>11630</t>
  </si>
  <si>
    <t>1823486201</t>
  </si>
  <si>
    <t>Нові Вороб'ї</t>
  </si>
  <si>
    <t>Пиріжківський навчально-виховний комплекс " Дошкільний навчальний заклад-Загальноосвітній навчальний заклад І-ІІІ ступенів" Малинського району Житомирської області</t>
  </si>
  <si>
    <t>11641</t>
  </si>
  <si>
    <t>1823486801</t>
  </si>
  <si>
    <t>Пиріжки</t>
  </si>
  <si>
    <t>вул. Соборна (Леніна), 41</t>
  </si>
  <si>
    <t>Скуратівська загальноосвітня школа І-ІІІ ступенів Малинського району Житомирської області</t>
  </si>
  <si>
    <t>11613</t>
  </si>
  <si>
    <t>1823487201</t>
  </si>
  <si>
    <t>Скурати</t>
  </si>
  <si>
    <t>ал. Дружби, 4</t>
  </si>
  <si>
    <t>(04133)63340</t>
  </si>
  <si>
    <t>Слобідська загальноосвітня школа І-ІІ ступенів Малинського району Житомирської області</t>
  </si>
  <si>
    <t>11643</t>
  </si>
  <si>
    <t>1823487401</t>
  </si>
  <si>
    <t>вул. Центральна, 58А</t>
  </si>
  <si>
    <t>(04133)63636</t>
  </si>
  <si>
    <t>Щербатівська загальноосвітня школа І-ІІ ступенів Малинського району Житомирської області</t>
  </si>
  <si>
    <t>11644</t>
  </si>
  <si>
    <t>1823487403</t>
  </si>
  <si>
    <t>Щербатівка</t>
  </si>
  <si>
    <t>вул. Дружби (Щорса), 82</t>
  </si>
  <si>
    <t>97-2-18</t>
  </si>
  <si>
    <t>Українківська загальноосвітня школа І-ІІІ ступенів Малинського району Житомирської області</t>
  </si>
  <si>
    <t>11633</t>
  </si>
  <si>
    <t>1823487801</t>
  </si>
  <si>
    <t>вул. Садова, 17 б</t>
  </si>
  <si>
    <t>(04133)65235</t>
  </si>
  <si>
    <t>Федорівський навчально-виховний комплекс "дошкільний навчальний заклад-загальноосвітній навчальний заклад Іступеня" Малинської РДА Житомирсьської області</t>
  </si>
  <si>
    <t>11690</t>
  </si>
  <si>
    <t>1823488401</t>
  </si>
  <si>
    <t>ал. Центральна, 17А</t>
  </si>
  <si>
    <t>(04133)69230</t>
  </si>
  <si>
    <t>Народицька гімназія Житомирської області</t>
  </si>
  <si>
    <t>11400</t>
  </si>
  <si>
    <t>1823755100</t>
  </si>
  <si>
    <t>Народичі</t>
  </si>
  <si>
    <t>вул. Гагаріна, 9</t>
  </si>
  <si>
    <t>(04140)21009</t>
  </si>
  <si>
    <t>Базарський навчально-виховний комплекс "Загальноосвітній начальний заклад І-ІІІ ступенів - дошкільний навчальний заклад"</t>
  </si>
  <si>
    <t>11452</t>
  </si>
  <si>
    <t>1823780401</t>
  </si>
  <si>
    <t>Базар</t>
  </si>
  <si>
    <t>(04140)94368</t>
  </si>
  <si>
    <t>Болотницька загальноосвітня школа І-ІІ ступенів</t>
  </si>
  <si>
    <t>11430</t>
  </si>
  <si>
    <t>1823780801</t>
  </si>
  <si>
    <t>Болотниця</t>
  </si>
  <si>
    <t>(04140)9-32-18</t>
  </si>
  <si>
    <t>Заліський навчально-виховний комплекс "Загальноосвітній навчальний заклад I-III ступенів - Дошкільний навчальний заклад" Народицького району Житомирської області</t>
  </si>
  <si>
    <t>11414</t>
  </si>
  <si>
    <t>1823783401</t>
  </si>
  <si>
    <t>вул. Ватутіна, 83</t>
  </si>
  <si>
    <t>(04140)96123</t>
  </si>
  <si>
    <t>Закусилівська загальноосвітня школа І-ІІІ ступенів Народицького району Житомирської області</t>
  </si>
  <si>
    <t>11431</t>
  </si>
  <si>
    <t>1823783601</t>
  </si>
  <si>
    <t>Закусили</t>
  </si>
  <si>
    <t>(04140)9-32-25</t>
  </si>
  <si>
    <t>Ласківська загальноосвітня школа І-ІІІ ступенів Народицького району Житомирської області</t>
  </si>
  <si>
    <t>11424</t>
  </si>
  <si>
    <t>1823784401</t>
  </si>
  <si>
    <t>Ласки</t>
  </si>
  <si>
    <t>(04140)95449</t>
  </si>
  <si>
    <t>Новодорогинська загальноосвітня школа І-ІІІ ступенів</t>
  </si>
  <si>
    <t>11421</t>
  </si>
  <si>
    <t>1823786601</t>
  </si>
  <si>
    <t>Новий Дорогинь</t>
  </si>
  <si>
    <t>вул. Мисюка, 50А</t>
  </si>
  <si>
    <t>(04140)9-36-21</t>
  </si>
  <si>
    <t>Норинцівська загальноосвітня школа І-ІІІ ступенів Народицького району Житомирської області</t>
  </si>
  <si>
    <t>11420</t>
  </si>
  <si>
    <t>1823787001</t>
  </si>
  <si>
    <t>Норинці</t>
  </si>
  <si>
    <t>(04140)9-31-64</t>
  </si>
  <si>
    <t>Новорадчанська загальноосвітня школа І-ІІІ ступенів Народицького району Житомирської області</t>
  </si>
  <si>
    <t>11412</t>
  </si>
  <si>
    <t>1823787205</t>
  </si>
  <si>
    <t>Нова Радча</t>
  </si>
  <si>
    <t>вул. Зої Космодем'янської, 13</t>
  </si>
  <si>
    <t>(04140)93317</t>
  </si>
  <si>
    <t>Селецька філія І ступеня Народицької гімназії Житомирської області</t>
  </si>
  <si>
    <t>11406</t>
  </si>
  <si>
    <t>1823787401</t>
  </si>
  <si>
    <t>вул. Радянська, 196</t>
  </si>
  <si>
    <t>Латашівська загальноосвітня школа І-ІІ ступенів</t>
  </si>
  <si>
    <t>11423</t>
  </si>
  <si>
    <t>1823787802</t>
  </si>
  <si>
    <t>Латаші</t>
  </si>
  <si>
    <t>вул. Північна, 4</t>
  </si>
  <si>
    <t>(04140)9-31-51</t>
  </si>
  <si>
    <t>Опорний навчальний заклад "Городницька загальноосвітня школа І-ІІІ ступенів Городницької селищної ради Новоград-Волинського району Житомирської області"</t>
  </si>
  <si>
    <t>11714</t>
  </si>
  <si>
    <t>1824055600</t>
  </si>
  <si>
    <t>Городниця</t>
  </si>
  <si>
    <t>(04141)65244</t>
  </si>
  <si>
    <t>Барвинівська загальноосвітня школа І-ІІІ ступенів</t>
  </si>
  <si>
    <t>11783</t>
  </si>
  <si>
    <t>1824080201</t>
  </si>
  <si>
    <t>Барвинівка</t>
  </si>
  <si>
    <t>вул. Шевчуків, 57</t>
  </si>
  <si>
    <t>(04141)60433</t>
  </si>
  <si>
    <t>Брониківська загальноосвітня школа І-ІІ ступенів Новоград-Волинської районної ради Житомирської області</t>
  </si>
  <si>
    <t>11772</t>
  </si>
  <si>
    <t>1824080401</t>
  </si>
  <si>
    <t>Броники</t>
  </si>
  <si>
    <t>вул. Шосейна, 15</t>
  </si>
  <si>
    <t>(04141)69434</t>
  </si>
  <si>
    <t>http://bronuku.at.ua/</t>
  </si>
  <si>
    <t>Броницькогутянська загальноосвітня школа І - ІІІ ступенів</t>
  </si>
  <si>
    <t>11711</t>
  </si>
  <si>
    <t>1824080501</t>
  </si>
  <si>
    <t>Броницька Гута</t>
  </si>
  <si>
    <t>(64)131, (64)148</t>
  </si>
  <si>
    <t>Великогорбашівська загальноосвітня школа І-ІІ ступенів Новоград-Волинської районної ради Житомирської області</t>
  </si>
  <si>
    <t>11767</t>
  </si>
  <si>
    <t>1824080601</t>
  </si>
  <si>
    <t>Велика Горбаша</t>
  </si>
  <si>
    <t>вул. Перемоги, 41</t>
  </si>
  <si>
    <t>(04141)68222</t>
  </si>
  <si>
    <t>Великомолодьківська загальноосвітня школа І-ІІІ ступенів Новоград-Волинського району Житомирської області</t>
  </si>
  <si>
    <t>11761</t>
  </si>
  <si>
    <t>1824080801</t>
  </si>
  <si>
    <t>Великий Молодьків</t>
  </si>
  <si>
    <t>вул. Шевченка, 16 Г</t>
  </si>
  <si>
    <t>(04141)69145</t>
  </si>
  <si>
    <t>Гульська загальноосвітня школа І-ІІІ ступенів Новоград-Волинська районна рада Житомирської області</t>
  </si>
  <si>
    <t>11782</t>
  </si>
  <si>
    <t>1824081001</t>
  </si>
  <si>
    <t>Гульськ</t>
  </si>
  <si>
    <t>(04141)66523</t>
  </si>
  <si>
    <t>Дідовицька загальноосвітня школа І-ІІ ступенів</t>
  </si>
  <si>
    <t>11736</t>
  </si>
  <si>
    <t>1824081201</t>
  </si>
  <si>
    <t>Дідовичі</t>
  </si>
  <si>
    <t>(04141)60140</t>
  </si>
  <si>
    <t>http://didovichi.ucoz.ua/</t>
  </si>
  <si>
    <t>Борисівська загальноосвітня школа I ступеня Новоград-Волинського району Житомирської області</t>
  </si>
  <si>
    <t>11737</t>
  </si>
  <si>
    <t>1824081202</t>
  </si>
  <si>
    <t>вул. Карла Маркса, 17</t>
  </si>
  <si>
    <t>(04141)60164</t>
  </si>
  <si>
    <t>Жолобненська загальноосвітня школа І - ІІІ ступенів Новоград-Волинського району Житомирської області</t>
  </si>
  <si>
    <t>11765</t>
  </si>
  <si>
    <t>1824081401</t>
  </si>
  <si>
    <t>Жолобне</t>
  </si>
  <si>
    <t>вул. Шевченка, 54</t>
  </si>
  <si>
    <t>(04141)62230</t>
  </si>
  <si>
    <t>Варварівська загальноосвітня школа І-ІІ ступенів Новоград-Волинської районної ради Житомирської області</t>
  </si>
  <si>
    <t>11780</t>
  </si>
  <si>
    <t>1824081703</t>
  </si>
  <si>
    <t>вул. Рад, 11</t>
  </si>
  <si>
    <t>(04141)62-740</t>
  </si>
  <si>
    <t>http://varvariyka.at.ua/</t>
  </si>
  <si>
    <t>Киківська загальноосвітня школа І-ІІІ ступенів Новоград-Волинської районної ради Житомирської області</t>
  </si>
  <si>
    <t>11787</t>
  </si>
  <si>
    <t>1824081801</t>
  </si>
  <si>
    <t>Кикова</t>
  </si>
  <si>
    <t>вул. миру, 10</t>
  </si>
  <si>
    <t>(04141)64-6-33</t>
  </si>
  <si>
    <t>http://kikova-znz.at.ua</t>
  </si>
  <si>
    <t>Немильнянська загальноосвітня школа І-ІІ ступенів Новоград-Волинського районої ради Житомирської області</t>
  </si>
  <si>
    <t>11788</t>
  </si>
  <si>
    <t>1824081802</t>
  </si>
  <si>
    <t>Немильня</t>
  </si>
  <si>
    <t>(04141)64614</t>
  </si>
  <si>
    <t>Киянська загальноосвітня школа І-ІІ ступенів Новоград-Волинської райдержадміністрації Житомирської області</t>
  </si>
  <si>
    <t>11786</t>
  </si>
  <si>
    <t>1824082001</t>
  </si>
  <si>
    <t>вул. Шкільна, 18А</t>
  </si>
  <si>
    <t>(04141)62549, (04141)62530</t>
  </si>
  <si>
    <t>http://kiyanka-school.at.ua/</t>
  </si>
  <si>
    <t>Кленівська філія Городницької ЗОШ І-ІІІ ступенів Новоград-Волинського району Житомирської області.</t>
  </si>
  <si>
    <t>11712</t>
  </si>
  <si>
    <t>1824082201</t>
  </si>
  <si>
    <t>Кленова</t>
  </si>
  <si>
    <t>(4141)64-194</t>
  </si>
  <si>
    <t>Броницька філія ОНЗ "Городницька загальноосвітня школа І - ІІІ ступенів" відділу освіти Городницької селищної ради Новоград-Волинської району Житомирської області</t>
  </si>
  <si>
    <t>1824082202</t>
  </si>
  <si>
    <t>вул. Лесі Українки, 13</t>
  </si>
  <si>
    <t>(04141)64123</t>
  </si>
  <si>
    <t>Колодянська загальноосвітня школа І-ІІІ ступенів Колодянської сільської ради Новоград-Волинського району Житомирської області</t>
  </si>
  <si>
    <t>11790</t>
  </si>
  <si>
    <t>1824082401</t>
  </si>
  <si>
    <t>Колодянка</t>
  </si>
  <si>
    <t>(04141)69315, (098)8295402</t>
  </si>
  <si>
    <t>Косенівська загальноосвітня школа І - ІІІ ступенів Новоград-Волинського району, Житомирської області</t>
  </si>
  <si>
    <t>11753</t>
  </si>
  <si>
    <t>1824082501</t>
  </si>
  <si>
    <t>Косенів</t>
  </si>
  <si>
    <t>вул. Зарічна, 3</t>
  </si>
  <si>
    <t>(04141)61247, (04141)61230</t>
  </si>
  <si>
    <t>Красилівська загальноосвітня школа І-ІІІ ступенів Красилівської сільської ради, Новоград-Волинського району, Житомирської області</t>
  </si>
  <si>
    <t>11723</t>
  </si>
  <si>
    <t>1824082601</t>
  </si>
  <si>
    <t>Красилівка</t>
  </si>
  <si>
    <t>(041)60332</t>
  </si>
  <si>
    <t>Таращанська загальноосвітня школа І-ІІ ступенів Чижівська сільська рада Новоград-Волинського району Житомирської області</t>
  </si>
  <si>
    <t>11770</t>
  </si>
  <si>
    <t>1824082605</t>
  </si>
  <si>
    <t>Таращанка</t>
  </si>
  <si>
    <t>(04141)60340</t>
  </si>
  <si>
    <t>Курчицька загальноосвітня школа І-ІІ ступенів Чижівської сільської ради Житомирської області</t>
  </si>
  <si>
    <t>11721</t>
  </si>
  <si>
    <t>1824082801</t>
  </si>
  <si>
    <t>Курчиця</t>
  </si>
  <si>
    <t>вул. дружби, 2</t>
  </si>
  <si>
    <t>(04141)60543</t>
  </si>
  <si>
    <t>http://kurchica.at.ua</t>
  </si>
  <si>
    <t>Курчицькогутянська загальноосвітня школа І - ІІ ступенів, Чижівська ОТГ,Новоград-Волинський район, Житомирська область</t>
  </si>
  <si>
    <t>1824082802</t>
  </si>
  <si>
    <t>Курчицька Гута</t>
  </si>
  <si>
    <t>вул. Заводська, 22</t>
  </si>
  <si>
    <t>(04141)6-05-20</t>
  </si>
  <si>
    <t>Яворівська загальноосвітня школа І-ІІ ступенів Новоград-Волинської районної ради Житомирської області</t>
  </si>
  <si>
    <t>11784</t>
  </si>
  <si>
    <t>1824083003</t>
  </si>
  <si>
    <t>(04141)60647</t>
  </si>
  <si>
    <t>Лучицька філія опорного навчального закладу "Городницька ЗОШ І-ІІІ ступенів" Новоград-Волинського району Житомирської області</t>
  </si>
  <si>
    <t>11715</t>
  </si>
  <si>
    <t>1824083201</t>
  </si>
  <si>
    <t>Лучиця</t>
  </si>
  <si>
    <t>(61)646</t>
  </si>
  <si>
    <t>Майстрівська загальноосвітня школа І ступеня Майстрівської сільської ради Новоград-Волинського району Житомирської області</t>
  </si>
  <si>
    <t>11740</t>
  </si>
  <si>
    <t>1824083401</t>
  </si>
  <si>
    <t>Майстрів</t>
  </si>
  <si>
    <t>вул. Полянського, 7</t>
  </si>
  <si>
    <t>(04141)62149</t>
  </si>
  <si>
    <t>Майстровольська ЗОШ</t>
  </si>
  <si>
    <t>11743</t>
  </si>
  <si>
    <t>1824083402</t>
  </si>
  <si>
    <t>Майстрова Воля</t>
  </si>
  <si>
    <t>(04141)63110</t>
  </si>
  <si>
    <t>Маковицька ЗОШ І ступеня Новоград-Волинського району Житомирської області</t>
  </si>
  <si>
    <t>1824083403</t>
  </si>
  <si>
    <t>Маковиці</t>
  </si>
  <si>
    <t>(04141)69-787</t>
  </si>
  <si>
    <t>Малоцвілянська загальноосвітня школа І-ІІ ступенів Чижівської ОТГ Житомирської області</t>
  </si>
  <si>
    <t>11722</t>
  </si>
  <si>
    <t>1824083601</t>
  </si>
  <si>
    <t>Мала Цвіля</t>
  </si>
  <si>
    <t>(04141)61730</t>
  </si>
  <si>
    <t>http://malacvilya.ucoz.es</t>
  </si>
  <si>
    <t>Наталівська загальноосвітня школа І-ІІ ступенів Новоград-Волинської районної ради Житомирської області</t>
  </si>
  <si>
    <t>11742</t>
  </si>
  <si>
    <t>1824083701</t>
  </si>
  <si>
    <t>Наталівка</t>
  </si>
  <si>
    <t>пров. Шкільний, 3</t>
  </si>
  <si>
    <t>(04141)69891</t>
  </si>
  <si>
    <t>http://natalivka.at.ua</t>
  </si>
  <si>
    <t>Несолонська загальноосвітня школа І-ІІІ ступенів Новоград-Волинської районної ради Житомирської області</t>
  </si>
  <si>
    <t>11771</t>
  </si>
  <si>
    <t>1824083801</t>
  </si>
  <si>
    <t>Несолонь</t>
  </si>
  <si>
    <t>(04141)68530</t>
  </si>
  <si>
    <t>Новороманівська загальноосвітня школа І-ІІІ ступенів, Новоград-Волинська районна рада, Житомирська область</t>
  </si>
  <si>
    <t>11744</t>
  </si>
  <si>
    <t>1824084001</t>
  </si>
  <si>
    <t>Нова Романівка</t>
  </si>
  <si>
    <t>(04141)67696</t>
  </si>
  <si>
    <t>Слободороманівська гімназія Новороманівської сільської ради Новоград-Волинського району Житомирської області</t>
  </si>
  <si>
    <t>11716</t>
  </si>
  <si>
    <t>1824084005</t>
  </si>
  <si>
    <t>Слобода-Романівська</t>
  </si>
  <si>
    <t>вул. 40-річчя Перемоги, 4</t>
  </si>
  <si>
    <t>(04141)61491</t>
  </si>
  <si>
    <t>http://www.sloboda.at.ua</t>
  </si>
  <si>
    <t>37273992</t>
  </si>
  <si>
    <t>Орепівська загальноосвітня школа І-ІІІ ступенів Орепівської сільської ради Новоград-Волинського району Житомирської області</t>
  </si>
  <si>
    <t>11764</t>
  </si>
  <si>
    <t>1824084201</t>
  </si>
  <si>
    <t>Орепи</t>
  </si>
  <si>
    <t>вул. Степана Дем'янчука, 64</t>
  </si>
  <si>
    <t>(04141)62340</t>
  </si>
  <si>
    <t>http://schoolorepysayt.ucoz.ru</t>
  </si>
  <si>
    <t>Пилиповицька загальноосвітня школа І - ІІІ ступенів Новоград-Волинської районної ради Житомирської області</t>
  </si>
  <si>
    <t>11760</t>
  </si>
  <si>
    <t>1824084401</t>
  </si>
  <si>
    <t>Пилиповичі</t>
  </si>
  <si>
    <t>(04141)67-143</t>
  </si>
  <si>
    <t>http://pilipovichi.at.ua/</t>
  </si>
  <si>
    <t>Піщівська загальноосвітня школа І-ІІІ ступенів Новоград-Волонського району Житомирської області</t>
  </si>
  <si>
    <t>11733</t>
  </si>
  <si>
    <t>1824084601</t>
  </si>
  <si>
    <t>Піщів</t>
  </si>
  <si>
    <t>(04141)6-74-46</t>
  </si>
  <si>
    <t>http://pischiv.ucoz.ua/</t>
  </si>
  <si>
    <t>Повчинська загальноосвітня школа І-ІІІ ступенів Новоград-Волинського району Житомирської області</t>
  </si>
  <si>
    <t>11730</t>
  </si>
  <si>
    <t>1824084801</t>
  </si>
  <si>
    <t>Повчине</t>
  </si>
  <si>
    <t>(04141)6-87-14</t>
  </si>
  <si>
    <t>Калинівська загальноосвітня школа І-ІІ ступенів Новоград-Волинської районної ради Житомирської області</t>
  </si>
  <si>
    <t>11732</t>
  </si>
  <si>
    <t>1824084802</t>
  </si>
  <si>
    <t>(04141)6-87-27</t>
  </si>
  <si>
    <t>http://kalin-shkola.at.ua/</t>
  </si>
  <si>
    <t>Поліянівська загальноосвітня школа І-ІІ ступенів Новоград-Волинської районної ради Житомирської області</t>
  </si>
  <si>
    <t>1824085001</t>
  </si>
  <si>
    <t>Поліянівка</t>
  </si>
  <si>
    <t>(04141)60230</t>
  </si>
  <si>
    <t>Середньодеражнянська загальноосвітня школа I-II ступенів Новоград-Волинської районної ради Житомирської області</t>
  </si>
  <si>
    <t>11750</t>
  </si>
  <si>
    <t>1824085201</t>
  </si>
  <si>
    <t>Середня Деражня</t>
  </si>
  <si>
    <t>вул. Центральна, 4/3</t>
  </si>
  <si>
    <t>(04141)62647</t>
  </si>
  <si>
    <t>http://sderazhnya.at.ua/</t>
  </si>
  <si>
    <t>Стрієвська загальноосвітня школа І - ІІ ступенів Новоград-Волинської районної ради Житомирської області</t>
  </si>
  <si>
    <t>11777</t>
  </si>
  <si>
    <t>1824085401</t>
  </si>
  <si>
    <t>Стриєва</t>
  </si>
  <si>
    <t>вул. Баранівська, 2А</t>
  </si>
  <si>
    <t>(04141)68631</t>
  </si>
  <si>
    <t>Суслівська загальнооосвітня школа І-ІІІ ступенів Новоград-Волинської районної ради Житомирської області</t>
  </si>
  <si>
    <t>11775</t>
  </si>
  <si>
    <t>1824085601</t>
  </si>
  <si>
    <t>Сусли</t>
  </si>
  <si>
    <t>вул. Радянська, 51</t>
  </si>
  <si>
    <t>(04141)68-667</t>
  </si>
  <si>
    <t>http://susly.at.ua</t>
  </si>
  <si>
    <t>Івашківська загальноосвітня школа І - ІІ ступенів Новоград-Волинської районної ради Житомирської області</t>
  </si>
  <si>
    <t>11776</t>
  </si>
  <si>
    <t>1824085602</t>
  </si>
  <si>
    <t>Івашківка</t>
  </si>
  <si>
    <t>(04141)3-70-21</t>
  </si>
  <si>
    <t>http://ivashkivka10.wix.com/ivashkivka</t>
  </si>
  <si>
    <t>Суховільська загальноосвітня школа І-ІІ ступенів Новоград-Волинської районної ради Житомирської області</t>
  </si>
  <si>
    <t>11731</t>
  </si>
  <si>
    <t>1824085801</t>
  </si>
  <si>
    <t>вул. Юрія Ковальського, 1</t>
  </si>
  <si>
    <t>(04141)68978</t>
  </si>
  <si>
    <t>http://suhovolya.at.ua</t>
  </si>
  <si>
    <t>Токарівська загальноосвітня школа І-ІІІ ступенів</t>
  </si>
  <si>
    <t>11754</t>
  </si>
  <si>
    <t>1824086001</t>
  </si>
  <si>
    <t>Токарів</t>
  </si>
  <si>
    <t>вул. Шевченка, 17</t>
  </si>
  <si>
    <t>(64)3-49, (64)3-30</t>
  </si>
  <si>
    <t>Тупалецька загальноосвітня школа І-ІІ ступенів Новоград-Волинської РДА Житомирської області</t>
  </si>
  <si>
    <t>11747</t>
  </si>
  <si>
    <t>1824086201</t>
  </si>
  <si>
    <t>Тупальці</t>
  </si>
  <si>
    <t>вул. Перемоги, 23</t>
  </si>
  <si>
    <t>(04141)64-583</t>
  </si>
  <si>
    <t>Федорівська загальноосвітня школа І-ІІ ступенів Федорівської сільської ради Новоград-Волинського району Житомирської області</t>
  </si>
  <si>
    <t>11746</t>
  </si>
  <si>
    <t>1824086401</t>
  </si>
  <si>
    <t>вул. Перемоги, 10</t>
  </si>
  <si>
    <t>(04141)68330</t>
  </si>
  <si>
    <t>http://fedorivka.at.ua</t>
  </si>
  <si>
    <t>Червоновільська загальноосвітня школа І-ІІ ступенів відділу освіти Городницької селищної ради Новоград-Волинського району Житомирської області</t>
  </si>
  <si>
    <t>11710</t>
  </si>
  <si>
    <t>1824086601</t>
  </si>
  <si>
    <t>Червона Воля</t>
  </si>
  <si>
    <t>0967886885</t>
  </si>
  <si>
    <t>Чижівська загальноосвітня школа І - ІІІ ступенів, Чижівська сільська рада, Новоград-Волинський район, Житомирська область</t>
  </si>
  <si>
    <t>11725</t>
  </si>
  <si>
    <t>1824086801</t>
  </si>
  <si>
    <t>Чижівка</t>
  </si>
  <si>
    <t>вул. Шевченка, 33А</t>
  </si>
  <si>
    <t>(04141)68444</t>
  </si>
  <si>
    <t>Ярунська загальноосвітня школа І-ІІІ ступенів</t>
  </si>
  <si>
    <t>11762</t>
  </si>
  <si>
    <t>1824087401</t>
  </si>
  <si>
    <t>Ярунь</t>
  </si>
  <si>
    <t>вул. Гірківська, 3</t>
  </si>
  <si>
    <t>(04141)63255</t>
  </si>
  <si>
    <t>Гірківська загальноосвітня школа І-ІІ ступенів Ярунської сільської ради, Новоград-Волинської районної ради, Житомирської області</t>
  </si>
  <si>
    <t>11763</t>
  </si>
  <si>
    <t>1824087402</t>
  </si>
  <si>
    <t>вул. Шкільна, №1</t>
  </si>
  <si>
    <t>63-160</t>
  </si>
  <si>
    <t>http://girki.at.ua/</t>
  </si>
  <si>
    <t>Загальноосвітня школа І-ІІІ ступенів № 3 Овруцького району Житомирської області</t>
  </si>
  <si>
    <t>11100</t>
  </si>
  <si>
    <t>1824210100</t>
  </si>
  <si>
    <t>Овруч</t>
  </si>
  <si>
    <t>вул. Замкова, 13</t>
  </si>
  <si>
    <t>(04148)4-33-59, (04148)4-27-46</t>
  </si>
  <si>
    <t>06670575</t>
  </si>
  <si>
    <t>НВК "Овруцька гімназія імені А. Малишка - ЗОШ І ступеня" Овруцького району Житомирської області</t>
  </si>
  <si>
    <t>11101</t>
  </si>
  <si>
    <t>вул. Івана Франка, 7</t>
  </si>
  <si>
    <t>(04148)42561, (04148)44692</t>
  </si>
  <si>
    <t>Опорний навчальний заклад «Овруцька загальноосвітня школа I-III ступенів № 1»</t>
  </si>
  <si>
    <t>вул. Івана Франка, 33</t>
  </si>
  <si>
    <t>(04148)42531</t>
  </si>
  <si>
    <t>06670552</t>
  </si>
  <si>
    <t>Овруцька загальноосвітня школа І-ІІІ ступенів № 4 Овруцької міської ради Житомирської області</t>
  </si>
  <si>
    <t>вул. Князя Олега, 11</t>
  </si>
  <si>
    <t>(04148)42712</t>
  </si>
  <si>
    <t>Першотравнева загальноосвітня школа І-ІІІ ступенів Овруцького району Житомирськоїобласті</t>
  </si>
  <si>
    <t>11114</t>
  </si>
  <si>
    <t>1824255400</t>
  </si>
  <si>
    <t>вул. Кварцитників, 32</t>
  </si>
  <si>
    <t>(04148)67388</t>
  </si>
  <si>
    <t>Бігунська загальноосвітня школа І - ІІІ ступенів Овруцького району Житомирської області</t>
  </si>
  <si>
    <t>11124</t>
  </si>
  <si>
    <t>1824280301</t>
  </si>
  <si>
    <t>Бігунь</t>
  </si>
  <si>
    <t>вул. Механізаторів, 4</t>
  </si>
  <si>
    <t>(04148)54283</t>
  </si>
  <si>
    <t>Бондарівська загальноосвітня школа І-ІІІ ступенів Овруцького району Житомирської області</t>
  </si>
  <si>
    <t>11152</t>
  </si>
  <si>
    <t>1824280601</t>
  </si>
  <si>
    <t>Бондарі</t>
  </si>
  <si>
    <t>(04148)77167</t>
  </si>
  <si>
    <t>Великофоснянська загальноосвітня школа І-ІІІ ступенів Овруцького району Житомирської області</t>
  </si>
  <si>
    <t>11161</t>
  </si>
  <si>
    <t>1824280901</t>
  </si>
  <si>
    <t>Велика Фосня</t>
  </si>
  <si>
    <t>(04148)6-21-39</t>
  </si>
  <si>
    <t>Великохайчанська загальноосвітня школа І -ІІІ ступенів Овруцького району Житомирської області</t>
  </si>
  <si>
    <t>11150</t>
  </si>
  <si>
    <t>1824281101</t>
  </si>
  <si>
    <t>Велика Хайча</t>
  </si>
  <si>
    <t>вул. Миколи Ващука, 47</t>
  </si>
  <si>
    <t>76-1-19</t>
  </si>
  <si>
    <t>Великочернігвська загальноосвітня школа І-ІІІ ступенів Овруцького району Житомирської області</t>
  </si>
  <si>
    <t>11117</t>
  </si>
  <si>
    <t>1824281301</t>
  </si>
  <si>
    <t>Велика Чернігівка</t>
  </si>
  <si>
    <t>вул. Житомирська, 5</t>
  </si>
  <si>
    <t>(04148)23740</t>
  </si>
  <si>
    <t>Гладковицька загальноосвітня школа І-ІІІ ступенів Овруцького району Житомирської області</t>
  </si>
  <si>
    <t>11115</t>
  </si>
  <si>
    <t>1824281901</t>
  </si>
  <si>
    <t>Гладковичі</t>
  </si>
  <si>
    <t>вул. Київська, 80</t>
  </si>
  <si>
    <t>(04148)79153</t>
  </si>
  <si>
    <t>Городецька загальноосвітня школа І-ІІ ступенів Овруцького району Житомирської області</t>
  </si>
  <si>
    <t>11125</t>
  </si>
  <si>
    <t>1824282101</t>
  </si>
  <si>
    <t>Городець</t>
  </si>
  <si>
    <t>0676892899</t>
  </si>
  <si>
    <t>Сирницька загальноосвітня школа І-ІІ ступенів Овруцького району Житомирської області</t>
  </si>
  <si>
    <t>11189</t>
  </si>
  <si>
    <t>1824282103</t>
  </si>
  <si>
    <t>Сирниця</t>
  </si>
  <si>
    <t>(04148)4-53-11</t>
  </si>
  <si>
    <t>Гошівська загальноосвітня школа І-ІІІ ступенів Овруцького району Житомирської області</t>
  </si>
  <si>
    <t>11155</t>
  </si>
  <si>
    <t>1824282201</t>
  </si>
  <si>
    <t>Гошів</t>
  </si>
  <si>
    <t>(04148)65130</t>
  </si>
  <si>
    <t>Ігнатпільська школа ЗОШ І-ІІІ ступенів Овруцького району Житомирської області</t>
  </si>
  <si>
    <t>1824282701</t>
  </si>
  <si>
    <t>Ігнатпіль</t>
  </si>
  <si>
    <t>вул. Оександра Василенка, 16</t>
  </si>
  <si>
    <t>(11111111111111)11111111111111111111111</t>
  </si>
  <si>
    <t>Кирданівська ЗОШ І-ІІІ ступенів Овруцького району Житомирської області</t>
  </si>
  <si>
    <t>11102</t>
  </si>
  <si>
    <t>1824283001</t>
  </si>
  <si>
    <t>Кирдани</t>
  </si>
  <si>
    <t>вул. ім. Лесі Українки, 2</t>
  </si>
  <si>
    <t>(04148)44590</t>
  </si>
  <si>
    <t>Левковицька загальноосвітня школа І - ІІ ступенів Овруцького району Житомирської області</t>
  </si>
  <si>
    <t>11134</t>
  </si>
  <si>
    <t>1824283301</t>
  </si>
  <si>
    <t>Левковичі</t>
  </si>
  <si>
    <t>(04148)64190</t>
  </si>
  <si>
    <t>Листвинська загальноосвітня школа І- ІІІ ступенів Овруцького району Житомирської області</t>
  </si>
  <si>
    <t>11140</t>
  </si>
  <si>
    <t>1824284001</t>
  </si>
  <si>
    <t>Листвин</t>
  </si>
  <si>
    <t>(04148)51886</t>
  </si>
  <si>
    <t>Лучанківська загальноосвітня школа І-ІІІ ступенів Овруцького району Житомирської області</t>
  </si>
  <si>
    <t>11120</t>
  </si>
  <si>
    <t>1824284301</t>
  </si>
  <si>
    <t>Лучанки</t>
  </si>
  <si>
    <t>вул. Гора, 3</t>
  </si>
  <si>
    <t>(380)979745144, (380)986751290</t>
  </si>
  <si>
    <t>Можарівська ЗОШ І-ІІІ ступенів Овруцького району Житомирської області</t>
  </si>
  <si>
    <t>11130</t>
  </si>
  <si>
    <t>1824284701</t>
  </si>
  <si>
    <t>Можари</t>
  </si>
  <si>
    <t>(04148)64130</t>
  </si>
  <si>
    <t>Невгодівська загальноосвітня школа І-ІІ ступенів Овруцького району Житомирської області</t>
  </si>
  <si>
    <t>11162</t>
  </si>
  <si>
    <t>1824285001</t>
  </si>
  <si>
    <t>Невгоди</t>
  </si>
  <si>
    <t>(804148)62100</t>
  </si>
  <si>
    <t>Нововелідницька загальноосвітня школа І-ІІІ ступнів Овруцького району Житомирської області</t>
  </si>
  <si>
    <t>11143</t>
  </si>
  <si>
    <t>1824285201</t>
  </si>
  <si>
    <t>Нові Велідники</t>
  </si>
  <si>
    <t>(04148)73190</t>
  </si>
  <si>
    <t>Красилівська загальноосвітня школа І-ІІ ступенів Овруцького району Житомирської області</t>
  </si>
  <si>
    <t>11146</t>
  </si>
  <si>
    <t>1824285203</t>
  </si>
  <si>
    <t>вул. М. Подкура, 136</t>
  </si>
  <si>
    <t>(04148)73142</t>
  </si>
  <si>
    <t>Прибитківська загальноосвітня школа І-ІІ ступенів Овруцького району Житомирської області</t>
  </si>
  <si>
    <t>11145</t>
  </si>
  <si>
    <t>1824285204</t>
  </si>
  <si>
    <t>Прибитки</t>
  </si>
  <si>
    <t>(04148)73258</t>
  </si>
  <si>
    <t>Норинська загальноосвітня школа І-ІІІ ступенів Овруцького району Житомирської області</t>
  </si>
  <si>
    <t>11154</t>
  </si>
  <si>
    <t>1824285401</t>
  </si>
  <si>
    <t>Норинськ</t>
  </si>
  <si>
    <t>(04148)71130</t>
  </si>
  <si>
    <t>Піщаницька ЗОШ І-ІІІ ступенів Овруцького району Житомирської області</t>
  </si>
  <si>
    <t>11133</t>
  </si>
  <si>
    <t>1824285801</t>
  </si>
  <si>
    <t>Піщаниця</t>
  </si>
  <si>
    <t>вул. Базильчука, 3</t>
  </si>
  <si>
    <t>(04148)74130</t>
  </si>
  <si>
    <t>Покалівська загальноосвітня школа І-ІІІ ступенів Овруцького району Житомирської області</t>
  </si>
  <si>
    <t>11132</t>
  </si>
  <si>
    <t>1824286201</t>
  </si>
  <si>
    <t>Покалів</t>
  </si>
  <si>
    <t>вул. Шляхова, 28</t>
  </si>
  <si>
    <t>(04148)58-1-33</t>
  </si>
  <si>
    <t>Раківщинська загальноосвітня школа І-ІІІ ступенів Овруцького району Житомирської області</t>
  </si>
  <si>
    <t>11160</t>
  </si>
  <si>
    <t>1824286501</t>
  </si>
  <si>
    <t>Раківщина</t>
  </si>
  <si>
    <t>вул. 1-го Травня, 94</t>
  </si>
  <si>
    <t>(04148)66113</t>
  </si>
  <si>
    <t>Слобідська загальноосвітня школа І ступенів</t>
  </si>
  <si>
    <t>11121</t>
  </si>
  <si>
    <t>1824287001</t>
  </si>
  <si>
    <t>Слобода</t>
  </si>
  <si>
    <t>вул. Слобідська, 24</t>
  </si>
  <si>
    <t>(04148)68130</t>
  </si>
  <si>
    <t>Опорний навчальний заклад «Словечанська ЗОШ I-III ступенів»</t>
  </si>
  <si>
    <t>11122</t>
  </si>
  <si>
    <t>1824287301</t>
  </si>
  <si>
    <t>Словечне</t>
  </si>
  <si>
    <t>вул. Київська, 18</t>
  </si>
  <si>
    <t>(04148)5-11-91</t>
  </si>
  <si>
    <t>20407399</t>
  </si>
  <si>
    <t>Антоновицька філія «Загальноосвітня школа I-II ступенів» опорного навчального закладу «Словечанська ЗОШ I-III ступенів»</t>
  </si>
  <si>
    <t>1824287302</t>
  </si>
  <si>
    <t>Антоновичі</t>
  </si>
  <si>
    <t>(04148)5-13-16</t>
  </si>
  <si>
    <t>Тхоринська загальноосвітня школа І-ІІІ ступенів Овруцького району Житомирської області</t>
  </si>
  <si>
    <t>11123</t>
  </si>
  <si>
    <t>1824287305</t>
  </si>
  <si>
    <t>Тхорин</t>
  </si>
  <si>
    <t>вул. Поліська, 40</t>
  </si>
  <si>
    <t>(04148)51312</t>
  </si>
  <si>
    <t>Хлуплянська загальноосвітня школа І-ІІ ступенів Овруцького району Житомирської області</t>
  </si>
  <si>
    <t>11131</t>
  </si>
  <si>
    <t>1824287901</t>
  </si>
  <si>
    <t>Хлупляни</t>
  </si>
  <si>
    <t>(04148)70230</t>
  </si>
  <si>
    <t>Білківська загальноосвітня школа І-ІІ ступенів Овруцького району Житомирської області</t>
  </si>
  <si>
    <t>11142</t>
  </si>
  <si>
    <t>1824288202</t>
  </si>
  <si>
    <t>(4148)73-1-64</t>
  </si>
  <si>
    <t>Черепинська філія «Загальноосвітня школа I-II ступенів» опорного навчального закладу «Овруцька ЗОШ I-III ступенів № 1»</t>
  </si>
  <si>
    <t>11136</t>
  </si>
  <si>
    <t>1824288401</t>
  </si>
  <si>
    <t>Черепин</t>
  </si>
  <si>
    <t>вул. Центральна, 88</t>
  </si>
  <si>
    <t>57-1-32</t>
  </si>
  <si>
    <t>Шоломківська загальноосвітня школа І-ІІІ ступенів Житомирської області Овруцького району</t>
  </si>
  <si>
    <t>11151</t>
  </si>
  <si>
    <t>1824288801</t>
  </si>
  <si>
    <t>Шоломки</t>
  </si>
  <si>
    <t>вул. Центральна, 36/1</t>
  </si>
  <si>
    <t>(04148)72130</t>
  </si>
  <si>
    <t>Олевська гімназія Житомирської області</t>
  </si>
  <si>
    <t>11000</t>
  </si>
  <si>
    <t>1824410100</t>
  </si>
  <si>
    <t>Олевськ</t>
  </si>
  <si>
    <t>вул. Інтернаціональна, 34</t>
  </si>
  <si>
    <t>(235)21005</t>
  </si>
  <si>
    <t>Олевська загальноосвітня школа І-ІІІ ст. № 3</t>
  </si>
  <si>
    <t>вул. Пушкіна, 24Б</t>
  </si>
  <si>
    <t>(04135)21560</t>
  </si>
  <si>
    <t>Олевська загальноосвітня школа І-ІІІ ступенів № 2</t>
  </si>
  <si>
    <t>11001</t>
  </si>
  <si>
    <t>(04135)2-16-84</t>
  </si>
  <si>
    <t>Олевський міжшкільний навчально-виробничий комбінат трудового навчання і професійної орієнтації учнів</t>
  </si>
  <si>
    <t>III</t>
  </si>
  <si>
    <t>11002</t>
  </si>
  <si>
    <t>вул. Пушкіна, 9</t>
  </si>
  <si>
    <t>(04135)22404, (04135)21001</t>
  </si>
  <si>
    <t>Бучманівська загальноосвітня школа І-ІІ ступенів Білокоровицької сільської ради Житомирської області</t>
  </si>
  <si>
    <t>11056</t>
  </si>
  <si>
    <t>1824455200</t>
  </si>
  <si>
    <t>Бучмани</t>
  </si>
  <si>
    <t>(04135)99180</t>
  </si>
  <si>
    <t>Дружбівський навчально-виховний комплекс</t>
  </si>
  <si>
    <t>11024</t>
  </si>
  <si>
    <t>1824455400</t>
  </si>
  <si>
    <t>вул. Незалежна, 4</t>
  </si>
  <si>
    <t>(04135)99391</t>
  </si>
  <si>
    <t>Новоозерянський навчально-виховний комплекс</t>
  </si>
  <si>
    <t>11021</t>
  </si>
  <si>
    <t>1824456000</t>
  </si>
  <si>
    <t>Новоозерянка</t>
  </si>
  <si>
    <t>вул. Заводська, 5</t>
  </si>
  <si>
    <t>(04135)98443</t>
  </si>
  <si>
    <t>Озерянська загальноосвітня школа І-ІІ ступенів</t>
  </si>
  <si>
    <t>1824456001</t>
  </si>
  <si>
    <t>(095)1044981</t>
  </si>
  <si>
    <t>Новобілокоровицька загальноосвітня школа І-ІІІ ступенів № 2 Білокоровицької сільської ради Житомирської області</t>
  </si>
  <si>
    <t>11050</t>
  </si>
  <si>
    <t>1824456200</t>
  </si>
  <si>
    <t>Нові Білокоровичі</t>
  </si>
  <si>
    <t>(04135)63978</t>
  </si>
  <si>
    <t>Новобілокоровицька загальноосвітня школа І-ІІІ ступенів № 3 Білокоровицької сільської ради Житомирської області</t>
  </si>
  <si>
    <t>11054</t>
  </si>
  <si>
    <t>вул. Довженка, 2</t>
  </si>
  <si>
    <t>Білокоровицька загальноосвітня школа І-ІІІ ступенів № 1 Білокоровицької сільської ради Житомирської області</t>
  </si>
  <si>
    <t>11055</t>
  </si>
  <si>
    <t>1824480401</t>
  </si>
  <si>
    <t>Білокоровичі</t>
  </si>
  <si>
    <t>6-39-21</t>
  </si>
  <si>
    <t>Калинівська загальноосвітння школа І-ІІ ступенів</t>
  </si>
  <si>
    <t>11037</t>
  </si>
  <si>
    <t>1824481301</t>
  </si>
  <si>
    <t>вул. Кузнецова, 6</t>
  </si>
  <si>
    <t>(04135)9-75-40</t>
  </si>
  <si>
    <t>Жубровицька загальноосвітня школа І - ІІІ ступенів Олевського району Житомирської області</t>
  </si>
  <si>
    <t>11042</t>
  </si>
  <si>
    <t>1824481601</t>
  </si>
  <si>
    <t>Жубровичі</t>
  </si>
  <si>
    <t>Журжевицька загальноосвітня школа І-ІІ ступенів</t>
  </si>
  <si>
    <t>11013</t>
  </si>
  <si>
    <t>1824482001</t>
  </si>
  <si>
    <t>Журжевичі</t>
  </si>
  <si>
    <t>пл. Центральна, 8</t>
  </si>
  <si>
    <t>Замисловицька загальноосвітня школа І-ІІІ ступенів</t>
  </si>
  <si>
    <t>11020</t>
  </si>
  <si>
    <t>1824482401</t>
  </si>
  <si>
    <t>Замисловичі</t>
  </si>
  <si>
    <t>вул. Княгині Ольги, 3</t>
  </si>
  <si>
    <t>(04135)95440</t>
  </si>
  <si>
    <t>Зольнянська загальноосвітня школа І - ІІ ступенів</t>
  </si>
  <si>
    <t>11035</t>
  </si>
  <si>
    <t>1824482801</t>
  </si>
  <si>
    <t>Зольня</t>
  </si>
  <si>
    <t>пл. Перемоги, 2</t>
  </si>
  <si>
    <t>(04135)97340</t>
  </si>
  <si>
    <t>Сердюківська загальноосвітня школа І-ІІ ступенів</t>
  </si>
  <si>
    <t>1824482803</t>
  </si>
  <si>
    <t>Сердюки</t>
  </si>
  <si>
    <t>вул. Першотравнева, 17</t>
  </si>
  <si>
    <t>(4135)27334</t>
  </si>
  <si>
    <t>Зубковицька загальноосвітня школа І-ІІІ ступенів</t>
  </si>
  <si>
    <t>11043</t>
  </si>
  <si>
    <t>1824483201</t>
  </si>
  <si>
    <t>Зубковичі</t>
  </si>
  <si>
    <t>вул. Житомирська, 43</t>
  </si>
  <si>
    <t>96637</t>
  </si>
  <si>
    <t>Кам'янська загальноосвітня школа І-ІІІ ступенів</t>
  </si>
  <si>
    <t>11033</t>
  </si>
  <si>
    <t>1824483601</t>
  </si>
  <si>
    <t>(9)5340</t>
  </si>
  <si>
    <t>Кишинська загальноосвітня школа І-ІІІ ступенів</t>
  </si>
  <si>
    <t>11040</t>
  </si>
  <si>
    <t>1824484001</t>
  </si>
  <si>
    <t>Кишин</t>
  </si>
  <si>
    <t>вул. Житомирська, 63</t>
  </si>
  <si>
    <t>(04135)95140</t>
  </si>
  <si>
    <t>Болярська загальноосвітня школа І ступеня</t>
  </si>
  <si>
    <t>1824484002</t>
  </si>
  <si>
    <t>Болярка</t>
  </si>
  <si>
    <t>вул. Матросова, 1</t>
  </si>
  <si>
    <t>(096)7391501</t>
  </si>
  <si>
    <t>Забороченська загальноосвітня школа І ступеня</t>
  </si>
  <si>
    <t>1824484003</t>
  </si>
  <si>
    <t>Забороче</t>
  </si>
  <si>
    <t>(097)4982003</t>
  </si>
  <si>
    <t>Покровська загальноосвітня школа І-ІІІ ступенів</t>
  </si>
  <si>
    <t>11015</t>
  </si>
  <si>
    <t>1824484401</t>
  </si>
  <si>
    <t>(04135)96240</t>
  </si>
  <si>
    <t>Будківська загальноосвітня школа I ступеня</t>
  </si>
  <si>
    <t>1824484402</t>
  </si>
  <si>
    <t>(096)9115515</t>
  </si>
  <si>
    <t>Копищенська загальноосвітня школа І-ІІІ ступенів</t>
  </si>
  <si>
    <t>11010</t>
  </si>
  <si>
    <t>1824484801</t>
  </si>
  <si>
    <t>Копище</t>
  </si>
  <si>
    <t>вул. Партизанська, 31</t>
  </si>
  <si>
    <t>(04135)9-71-22</t>
  </si>
  <si>
    <t>Майдан-Копищенська загальноосвітня школа І-ІІ ступенів</t>
  </si>
  <si>
    <t>1824484802</t>
  </si>
  <si>
    <t>Майдан Копищенський</t>
  </si>
  <si>
    <t>вул. Шведа, 1</t>
  </si>
  <si>
    <t>(096)9004673</t>
  </si>
  <si>
    <t>Лопатицька загальноосвітня школа І-ІІІ ступенів</t>
  </si>
  <si>
    <t>11034</t>
  </si>
  <si>
    <t>1824485301</t>
  </si>
  <si>
    <t>Лопатичі</t>
  </si>
  <si>
    <t>вул. Гагаріна, 50</t>
  </si>
  <si>
    <t>9-52-40</t>
  </si>
  <si>
    <t>Майданська загальноосвітня школа І-ІІІ ст.</t>
  </si>
  <si>
    <t>11036</t>
  </si>
  <si>
    <t>1824485601</t>
  </si>
  <si>
    <t>вул. Національного Визволення, 57(б)</t>
  </si>
  <si>
    <t>97440</t>
  </si>
  <si>
    <t>Джерельська загальноосвітня школа І ступеня</t>
  </si>
  <si>
    <t>1824485602</t>
  </si>
  <si>
    <t>Джерело</t>
  </si>
  <si>
    <t>вул. М. Курильчука, 6</t>
  </si>
  <si>
    <t>(067)1898513</t>
  </si>
  <si>
    <t>Сарнівська загальноосвітня школа I ступеня</t>
  </si>
  <si>
    <t>1824485603</t>
  </si>
  <si>
    <t>Сарнівка</t>
  </si>
  <si>
    <t>вул. Леоніда Ступницького, 16</t>
  </si>
  <si>
    <t>(096)6122285</t>
  </si>
  <si>
    <t>Радовельська загальноосвітня школа І-ІІІ ступенів Олевського району Житомирської області</t>
  </si>
  <si>
    <t>11025</t>
  </si>
  <si>
    <t>1824486001</t>
  </si>
  <si>
    <t>Радовель</t>
  </si>
  <si>
    <t>вул. Київська, 5</t>
  </si>
  <si>
    <t>9-64-50</t>
  </si>
  <si>
    <t>Поясківська загальноосвітня школа І-ІІ ступенів Олевського району Житомирської області</t>
  </si>
  <si>
    <t>1824486003</t>
  </si>
  <si>
    <t>Пояски</t>
  </si>
  <si>
    <t>вул. Шкільна, 5А</t>
  </si>
  <si>
    <t>(098)9182264</t>
  </si>
  <si>
    <t>Варварівська загальноосвітня школа І - ІІІ ступенів</t>
  </si>
  <si>
    <t>11031</t>
  </si>
  <si>
    <t>1824486202</t>
  </si>
  <si>
    <t>96140</t>
  </si>
  <si>
    <t>Корощинська загальноосвітня школа І-ІІ ступенів</t>
  </si>
  <si>
    <t>11032</t>
  </si>
  <si>
    <t>1824486203</t>
  </si>
  <si>
    <t>Корощине</t>
  </si>
  <si>
    <t>вул. Катерини Зеленко, 1</t>
  </si>
  <si>
    <t>(04135)9-76-40</t>
  </si>
  <si>
    <t>Стовпинська загальноосвітня школа І - ІІ ступенів</t>
  </si>
  <si>
    <t>11041</t>
  </si>
  <si>
    <t>1824486401</t>
  </si>
  <si>
    <t>Стовпинка</t>
  </si>
  <si>
    <t>(04135)95240</t>
  </si>
  <si>
    <t>Сущанська загальноосвітня школа І-ІІ ступенів</t>
  </si>
  <si>
    <t>11016</t>
  </si>
  <si>
    <t>1824486801</t>
  </si>
  <si>
    <t>Сущани</t>
  </si>
  <si>
    <t>(04135)95540</t>
  </si>
  <si>
    <t>Андріївська загальноосвітня школа І ступеня</t>
  </si>
  <si>
    <t>1824486802</t>
  </si>
  <si>
    <t>Тепеницька загальноосвітня школа І-ІІІ ступенів</t>
  </si>
  <si>
    <t>11030</t>
  </si>
  <si>
    <t>1824487201</t>
  </si>
  <si>
    <t>Тепениця</t>
  </si>
  <si>
    <t>вул. Архипа Левчука, 27</t>
  </si>
  <si>
    <t>Хмелівська загальноосвітня школа першого ступеня</t>
  </si>
  <si>
    <t>1824487205</t>
  </si>
  <si>
    <t>вул. Лісова, 56</t>
  </si>
  <si>
    <t>(097)7122172</t>
  </si>
  <si>
    <t>Хочинська загальноосвітня школа І-ІІІ ступенів</t>
  </si>
  <si>
    <t>11011</t>
  </si>
  <si>
    <t>1824487601</t>
  </si>
  <si>
    <t>Хочине</t>
  </si>
  <si>
    <t>(04135)96740</t>
  </si>
  <si>
    <t>Перганська загальноосвітня школа І-ІІ ступенів</t>
  </si>
  <si>
    <t>11012</t>
  </si>
  <si>
    <t>1824487602</t>
  </si>
  <si>
    <t>Перга</t>
  </si>
  <si>
    <t>вул. Сидоренка, 3</t>
  </si>
  <si>
    <t>(04135)9-5640</t>
  </si>
  <si>
    <t>Юрівська загальноосвітня школа І- ІІ ступенів</t>
  </si>
  <si>
    <t>11014</t>
  </si>
  <si>
    <t>1824488001</t>
  </si>
  <si>
    <t>Юрове</t>
  </si>
  <si>
    <t>(04135)9-83-40</t>
  </si>
  <si>
    <t>Попільнянська гімназія № 1 Попільнянської селищної ради Житомирської області</t>
  </si>
  <si>
    <t>13501</t>
  </si>
  <si>
    <t>1824755100</t>
  </si>
  <si>
    <t>Попільня</t>
  </si>
  <si>
    <t>вул. Горького, 42</t>
  </si>
  <si>
    <t>(04137)51342</t>
  </si>
  <si>
    <t>Корнинський навчально-виховний комплекс "Загальноосвітня школа І ступеня-гімназія" Корнинської селищної ради</t>
  </si>
  <si>
    <t>13514</t>
  </si>
  <si>
    <t>1824755400</t>
  </si>
  <si>
    <t>Корнин</t>
  </si>
  <si>
    <t>пров. Студентський, 5</t>
  </si>
  <si>
    <t>(04137)64191</t>
  </si>
  <si>
    <t>http://kornynschool.mooo.com</t>
  </si>
  <si>
    <t>Корнинська загальноосвітня школа І-ІІІ ступенів № 2 Корнинської селищної ради Попільнянського району Житомирськоїобласті</t>
  </si>
  <si>
    <t>13516</t>
  </si>
  <si>
    <t>1824755402</t>
  </si>
  <si>
    <t>Корнинське</t>
  </si>
  <si>
    <t>1</t>
  </si>
  <si>
    <t>(04137)79605</t>
  </si>
  <si>
    <t>Андрушківська загальноосвітня школа І-ІІІ ступенів імені А.Н. Вітрука Попільнянської районної ради Житомирської області</t>
  </si>
  <si>
    <t>13543</t>
  </si>
  <si>
    <t>1824780301</t>
  </si>
  <si>
    <t>Андрушки</t>
  </si>
  <si>
    <t>(04137)76463</t>
  </si>
  <si>
    <t>Мохнацька загальноосвітня школа І-ІІ ступенів Попільнянської районної ради Житомирської області</t>
  </si>
  <si>
    <t>13518</t>
  </si>
  <si>
    <t>1824780602</t>
  </si>
  <si>
    <t>Мохначка</t>
  </si>
  <si>
    <t>вул. Карлова, 4</t>
  </si>
  <si>
    <t>(04137)74422</t>
  </si>
  <si>
    <t>Василівська загальноосвітня школа І-ІІ ступенів імені М.М. Глови Андрушківської сільської ради Попільнянського району Житомирської області.</t>
  </si>
  <si>
    <t>13541</t>
  </si>
  <si>
    <t>1824780901</t>
  </si>
  <si>
    <t>вул. Леніна, № 20</t>
  </si>
  <si>
    <t>(4137)70330</t>
  </si>
  <si>
    <t>Єрчицька загальноосвітня школа І - ІІ ступенів філія опорного навчального закладу "Квітнева ЗОШ І- ІІІ ступенів"Квітневої сільської ради Попільнянського району Житомирської області</t>
  </si>
  <si>
    <t>13530</t>
  </si>
  <si>
    <t>1824781801</t>
  </si>
  <si>
    <t>Єрчики</t>
  </si>
  <si>
    <t>вул. Шевченка, 9 А</t>
  </si>
  <si>
    <t>(04137)73230</t>
  </si>
  <si>
    <t>Опорний навчальний заклад "Квітнева загальноосвітня школа І-ІІІ ступенів" Квітневої сільської ради Попільнянського району Житомирської області</t>
  </si>
  <si>
    <t>13532</t>
  </si>
  <si>
    <t>1824782101</t>
  </si>
  <si>
    <t>(04137)72530</t>
  </si>
  <si>
    <t>http://zhovtnevaschool.ucoz.ua/</t>
  </si>
  <si>
    <t>Кам'янська загальноосвітня школа І-ІІ ступенів Попільнянської районної ради Житомирської області</t>
  </si>
  <si>
    <t>13504</t>
  </si>
  <si>
    <t>1824782201</t>
  </si>
  <si>
    <t>вул. Джерельна, 1</t>
  </si>
  <si>
    <t>(04137)78530</t>
  </si>
  <si>
    <t>Котлярська загальноосвітня школа І-ІІ ступенів Попільнянської селищної ради Житомирської області</t>
  </si>
  <si>
    <t>13523</t>
  </si>
  <si>
    <t>1824782401</t>
  </si>
  <si>
    <t>Котлярка</t>
  </si>
  <si>
    <t>вул. Гагаріна, 10</t>
  </si>
  <si>
    <t>(04137)71430</t>
  </si>
  <si>
    <t>Красногірська загальноосвітня школа І-ІІ ступенів Попільнянської районної ради Житомирської області</t>
  </si>
  <si>
    <t>13542</t>
  </si>
  <si>
    <t>1824782701</t>
  </si>
  <si>
    <t>Красногірка</t>
  </si>
  <si>
    <t>(22057472)0413778430</t>
  </si>
  <si>
    <t>Кривенська загальноосвітня школа І - ІІ ступенів імені Й.В.Юркевича</t>
  </si>
  <si>
    <t>13522</t>
  </si>
  <si>
    <t>1824783001</t>
  </si>
  <si>
    <t>Криве</t>
  </si>
  <si>
    <t>(04137)72730</t>
  </si>
  <si>
    <t>Липківська загальносвітня школа І-ІІІ ступенів імені. М.І. Шпака Попільнянської районної ради Житомирської області</t>
  </si>
  <si>
    <t>13521</t>
  </si>
  <si>
    <t>1824783301</t>
  </si>
  <si>
    <t>Липки</t>
  </si>
  <si>
    <t>вул. Шкільна,1, 1</t>
  </si>
  <si>
    <t>(04137)77-3-30</t>
  </si>
  <si>
    <t>Лисівська загальноосвітня школа І - ІІІ ступенів Корнинської селищної ради</t>
  </si>
  <si>
    <t>13511</t>
  </si>
  <si>
    <t>1824783701</t>
  </si>
  <si>
    <t>вул. Толкачова, 7</t>
  </si>
  <si>
    <t>(04137)71716</t>
  </si>
  <si>
    <t>Макарівська загальноосвітня школа І - ІІІ ступенів Андрушківської сільської ради Житомирської області</t>
  </si>
  <si>
    <t>13544</t>
  </si>
  <si>
    <t>1824783901</t>
  </si>
  <si>
    <t>Макарівка</t>
  </si>
  <si>
    <t>(237)76-3-77</t>
  </si>
  <si>
    <t>Миролюбівська загальноосвітня школа І-ІІІ ступенів Попільнянської селищної ради Житомироської області</t>
  </si>
  <si>
    <t>13524</t>
  </si>
  <si>
    <t>1824784101</t>
  </si>
  <si>
    <t>(237)75230</t>
  </si>
  <si>
    <t>Новоселицька загальноосвітня школа І-ІІ ступенів Попільнянської районної ради Житомирської області</t>
  </si>
  <si>
    <t>13537</t>
  </si>
  <si>
    <t>1824784501</t>
  </si>
  <si>
    <t>77-4-30</t>
  </si>
  <si>
    <t>Паволоцька загальноосвітня школа І-ІІІ ступенів Попільнянської районної ради Житомирської області</t>
  </si>
  <si>
    <t>13545</t>
  </si>
  <si>
    <t>1824784801</t>
  </si>
  <si>
    <t>Паволоч</t>
  </si>
  <si>
    <t>м-ко Містечко, 22</t>
  </si>
  <si>
    <t>(04137)78264</t>
  </si>
  <si>
    <t>Парипська загальноосвітня школа І-ІІІ ступенів Попільнянської селищної ради Житомирської області</t>
  </si>
  <si>
    <t>13536</t>
  </si>
  <si>
    <t>1824785101</t>
  </si>
  <si>
    <t>Парипси</t>
  </si>
  <si>
    <t>вул. Шевченка, 1В</t>
  </si>
  <si>
    <t>(04137)73630</t>
  </si>
  <si>
    <t>Попільняська загальноосвітня школа І-ІІІ ступенів № 2 Попільнянської селищної ради Житомирської області</t>
  </si>
  <si>
    <t>1824785301</t>
  </si>
  <si>
    <t>(04137)54411</t>
  </si>
  <si>
    <t>Почуйківська загальноосвітня школа І-ІІ ступенів - філія опорного навчального закладу "Квітнева ЗОШ І- ІІІ ступенів" Квітневої сільської ради Попільнянського району Житомирської області</t>
  </si>
  <si>
    <t>13534</t>
  </si>
  <si>
    <t>1824785501</t>
  </si>
  <si>
    <t>Почуйки</t>
  </si>
  <si>
    <t>(804137)73430</t>
  </si>
  <si>
    <t>Романівська загальноосвітня школа І-ІІІ ступенів ім. М.Т.Рильського</t>
  </si>
  <si>
    <t>13531</t>
  </si>
  <si>
    <t>1824785701</t>
  </si>
  <si>
    <t>вул. Рильського, 1</t>
  </si>
  <si>
    <t>(04137)71230</t>
  </si>
  <si>
    <t>Саверецька загальноосвітня школа І-ІІ ступенів</t>
  </si>
  <si>
    <t>13535</t>
  </si>
  <si>
    <t>1824786001</t>
  </si>
  <si>
    <t>Саверці</t>
  </si>
  <si>
    <t>вул. Бориса Семенова, №4</t>
  </si>
  <si>
    <t>74230</t>
  </si>
  <si>
    <t>Сокільчанська загальноосвітня школа І-ІІІ ступенів Попільнянської селищної ради Житомирської області</t>
  </si>
  <si>
    <t>13525</t>
  </si>
  <si>
    <t>1824786201</t>
  </si>
  <si>
    <t>Сокільча</t>
  </si>
  <si>
    <t>71330</t>
  </si>
  <si>
    <t>Строківська загальноосвітня школа І-ІІІ ступенів Попільянської селищної ради Житомирської області</t>
  </si>
  <si>
    <t>13546</t>
  </si>
  <si>
    <t>1824786701</t>
  </si>
  <si>
    <t>Строків</t>
  </si>
  <si>
    <t>(04137)76230</t>
  </si>
  <si>
    <t>Турбівська загальноосвітня школа І-ІІ ступенів Корнинської селищної ради</t>
  </si>
  <si>
    <t>13510</t>
  </si>
  <si>
    <t>1824787401</t>
  </si>
  <si>
    <t>Турбівка</t>
  </si>
  <si>
    <t>вул. Толкачова, 1</t>
  </si>
  <si>
    <t>(237)73-3-30</t>
  </si>
  <si>
    <t>Харліївська загальноосвітня школа I-III ступенів .Відділу освіти , культури, молоді та спорту Андрушківської сільської ради(ОТГ),Попільнянського району,Житомирської області</t>
  </si>
  <si>
    <t>13540</t>
  </si>
  <si>
    <t>1824787801</t>
  </si>
  <si>
    <t>Харліївка</t>
  </si>
  <si>
    <t>вул. Велика Житомирська, 53</t>
  </si>
  <si>
    <t>(04137)77253</t>
  </si>
  <si>
    <t>Ходорківська загальноосвітня школа І-ІІІ ступенів Попільнянської селищної ради Житомирської області</t>
  </si>
  <si>
    <t>13520</t>
  </si>
  <si>
    <t>1824788201</t>
  </si>
  <si>
    <t>Ходорків</t>
  </si>
  <si>
    <t>вул. Новобудова, 88</t>
  </si>
  <si>
    <t>(0413)779230</t>
  </si>
  <si>
    <t>Комунальни заклад "Радомишльська загальноосвітня санаторна школа-інтернат І-ІІІ ступенів" Житомирської обласної ради</t>
  </si>
  <si>
    <t>12201</t>
  </si>
  <si>
    <t>1825010100</t>
  </si>
  <si>
    <t>(04132)42573, (04132)42581, (04132)44365</t>
  </si>
  <si>
    <t>22067565</t>
  </si>
  <si>
    <t>Опорний загальноосвітній навчальний заклад Радомишльської гімназії Житомирської області</t>
  </si>
  <si>
    <t>вул. Петрівська, 32</t>
  </si>
  <si>
    <t>(04132)42429, (04132)42206</t>
  </si>
  <si>
    <t>http://rad-gym.edukit.zt.ua</t>
  </si>
  <si>
    <t>22066703</t>
  </si>
  <si>
    <t>Радомишльська загальноосвітня школа І-ІІІ ступенів № 3 Житомирської області</t>
  </si>
  <si>
    <t>пров. Шкільний, 14,15</t>
  </si>
  <si>
    <t>(04132)4-42-91</t>
  </si>
  <si>
    <t>http://zosh3.at.ua</t>
  </si>
  <si>
    <t>20420075</t>
  </si>
  <si>
    <t>Радомишльська загальноосвітня школа І-ІІІ ступенів № 5 імені В.М.Чорновола Житомирської області</t>
  </si>
  <si>
    <t>пл. Майдан Соборний, 6</t>
  </si>
  <si>
    <t>(04132)4-42-07, (04132)4-43-62</t>
  </si>
  <si>
    <t>20418799</t>
  </si>
  <si>
    <t>Радомишльський навчально-виховний комплекс "Загальноосвітня школа І-ІІІ ступенів № 4- дошкільний навчальний заклад" імені Івана Самоплавського Радомишльської районної ради Житомирської області</t>
  </si>
  <si>
    <t>вул. Карпенка, 5</t>
  </si>
  <si>
    <t>(04132)4-22-37</t>
  </si>
  <si>
    <t>20419758</t>
  </si>
  <si>
    <t>Радомишльський ліцей № 1 ім.Т.Г.Шевченка</t>
  </si>
  <si>
    <t>(04132)4-25-35</t>
  </si>
  <si>
    <t>http://liceum-rd.ho.ua</t>
  </si>
  <si>
    <t>20418871</t>
  </si>
  <si>
    <t>Білокриницька загальноосвітня школа І-ІІІ ступенів Радомишльського району Житомирської області</t>
  </si>
  <si>
    <t>12213</t>
  </si>
  <si>
    <t>1825055300</t>
  </si>
  <si>
    <t>Біла Криниця</t>
  </si>
  <si>
    <t>вул. Стадіонна, 17</t>
  </si>
  <si>
    <t>(04132)76294</t>
  </si>
  <si>
    <t>Городоцька загальноосвітня школа І-ІІІ ступенів Радомишльського району Житомирської області</t>
  </si>
  <si>
    <t>12265</t>
  </si>
  <si>
    <t>1825055500</t>
  </si>
  <si>
    <t>(097)8069688</t>
  </si>
  <si>
    <t>http://gorodok-school.edukit.zt.ua/</t>
  </si>
  <si>
    <t>22208600</t>
  </si>
  <si>
    <t>Борщівський навчально-виховний комплекс "Загальноосвітня школ 1-3 ступенів -дошкільний навчальний заклад"</t>
  </si>
  <si>
    <t>12251</t>
  </si>
  <si>
    <t>1825080601</t>
  </si>
  <si>
    <t>Борщів</t>
  </si>
  <si>
    <t>вул. Середня Шкільна, 20</t>
  </si>
  <si>
    <t>(0412)79249</t>
  </si>
  <si>
    <t>Великорацька загальноосвітня школа І-ІІІ ступенів</t>
  </si>
  <si>
    <t>12242</t>
  </si>
  <si>
    <t>1825080901</t>
  </si>
  <si>
    <t>Велика Рача</t>
  </si>
  <si>
    <t>вул. Поліська, 75</t>
  </si>
  <si>
    <t>(04132)7-52-14</t>
  </si>
  <si>
    <t>Малорацька загальноосвітня школа І-ІІ ступенів</t>
  </si>
  <si>
    <t>12244</t>
  </si>
  <si>
    <t>1825080902</t>
  </si>
  <si>
    <t>Мала Рача</t>
  </si>
  <si>
    <t>вул. Шевченка, 112</t>
  </si>
  <si>
    <t>0679315632</t>
  </si>
  <si>
    <t>Вепринський навчально -виховний комплекс "Загальноосвітня школа І ступеня-ДНЗ"</t>
  </si>
  <si>
    <t>12212</t>
  </si>
  <si>
    <t>1825081101</t>
  </si>
  <si>
    <t>Веприн</t>
  </si>
  <si>
    <t>вул. Лугова, 2</t>
  </si>
  <si>
    <t>(098)8795449</t>
  </si>
  <si>
    <t>Верлоцька загальноосвітня школа І-ІІ ступенів Радомишльської районної ради Житомирської області - філія опорного загальноосвітнього навчального закладу Радомишльської гімназії Житомирської області</t>
  </si>
  <si>
    <t>12252</t>
  </si>
  <si>
    <t>1825081201</t>
  </si>
  <si>
    <t>Верлок</t>
  </si>
  <si>
    <t>(04132)76430</t>
  </si>
  <si>
    <t>Вишевицька загальноосвітня школа I-III ступенів</t>
  </si>
  <si>
    <t>12214</t>
  </si>
  <si>
    <t>1825081801</t>
  </si>
  <si>
    <t>Вишевичі</t>
  </si>
  <si>
    <t>(04132)71268</t>
  </si>
  <si>
    <t>Комунальний навчальний заклад "Вишевицька спеціальна загальноосвітня школа-інтернат І-ІІступенів" Житомирської обласної ради</t>
  </si>
  <si>
    <t>(04132)71310, (04132)71282</t>
  </si>
  <si>
    <t>20419675</t>
  </si>
  <si>
    <t>Гуто-Потіївська загальноосвітня школа І-ІІ ступенів Радомишльського району Житомирської області</t>
  </si>
  <si>
    <t>12220</t>
  </si>
  <si>
    <t>1825082201</t>
  </si>
  <si>
    <t>Гута-Потіївка</t>
  </si>
  <si>
    <t>0977900272</t>
  </si>
  <si>
    <t>Заболотська загальноосвітня школа I-III ступенів, Радомишльського району, Житомирської області</t>
  </si>
  <si>
    <t>12234</t>
  </si>
  <si>
    <t>1825082901</t>
  </si>
  <si>
    <t>Заболоть</t>
  </si>
  <si>
    <t>(04132)72530</t>
  </si>
  <si>
    <t>Іршанська загальноосвітня школа І-ІІІ ступенів відділу освіти Радомишльської районної райдержадміністрації Житомирської області.</t>
  </si>
  <si>
    <t>12211</t>
  </si>
  <si>
    <t>1825084301</t>
  </si>
  <si>
    <t>Ірша</t>
  </si>
  <si>
    <t>7-15-27</t>
  </si>
  <si>
    <t>Кичкирівська загальноосвітня школа I-II ступенів Радомишльської районної ради Житомирської області - філія опорного загальноосвітнього навчального закладу Радомишльська гімназія Житомирської області</t>
  </si>
  <si>
    <t>12254</t>
  </si>
  <si>
    <t>1825084401</t>
  </si>
  <si>
    <t>Кичкирі</t>
  </si>
  <si>
    <t>вул. Шахарня, 10</t>
  </si>
  <si>
    <t>(38)0971088586</t>
  </si>
  <si>
    <t>Котівська загальноосвітня школа І ступеня - філія Радомишльської гімназії Житомирської області</t>
  </si>
  <si>
    <t>12233</t>
  </si>
  <si>
    <t>1825084601</t>
  </si>
  <si>
    <t>Котівка</t>
  </si>
  <si>
    <t>вул. Центральна, 89</t>
  </si>
  <si>
    <t>74523</t>
  </si>
  <si>
    <t>Житомирська область,Радомишльський район,Кочерівська загальноосвітня школа І-ІІІ ступенів</t>
  </si>
  <si>
    <t>12264</t>
  </si>
  <si>
    <t>1825084801</t>
  </si>
  <si>
    <t>Кочерів</t>
  </si>
  <si>
    <t>Краснобірська загальноосвітня школа І-ІІІ ст. Радомишльської районної ради Житомирської області</t>
  </si>
  <si>
    <t>12235</t>
  </si>
  <si>
    <t>1825085001</t>
  </si>
  <si>
    <t>Краснобірка</t>
  </si>
  <si>
    <t>вул. В'ячеслава Чорновола, 1</t>
  </si>
  <si>
    <t>Ставецька загальноосвітня школа І-ІІІ ступенів</t>
  </si>
  <si>
    <t>1825085201</t>
  </si>
  <si>
    <t>вул. Центральна, 156А</t>
  </si>
  <si>
    <t>0413273230</t>
  </si>
  <si>
    <t>Макалевицька Загальноосвітня школа І ступеня</t>
  </si>
  <si>
    <t>12210</t>
  </si>
  <si>
    <t>1825085801</t>
  </si>
  <si>
    <t>Макалевичі</t>
  </si>
  <si>
    <t>0674069129</t>
  </si>
  <si>
    <t>Межиріцький навчально-виховний комплекс (загальноосвітня школа І ступеня- дитячий навчальний заклад))</t>
  </si>
  <si>
    <t>12215</t>
  </si>
  <si>
    <t>1825086101</t>
  </si>
  <si>
    <t>Межирічка</t>
  </si>
  <si>
    <t>ал. вул.Космонавтів, 9</t>
  </si>
  <si>
    <t>Мірчанський навчально-виховний комплекс загальноосвітня школа І-ІІ ступенів - дошкільний навчальний заклад, Радомишльський район, Житомирська область</t>
  </si>
  <si>
    <t>12231</t>
  </si>
  <si>
    <t>1825086601</t>
  </si>
  <si>
    <t>Мірча</t>
  </si>
  <si>
    <t>вул. Меделівська, 1 А</t>
  </si>
  <si>
    <t>7-72-30</t>
  </si>
  <si>
    <t>Осичківська загальноосвітня школа І-ІІІ ступенів Радомишльского району Житомирської області</t>
  </si>
  <si>
    <t>12241</t>
  </si>
  <si>
    <t>1825087401</t>
  </si>
  <si>
    <t>Осички</t>
  </si>
  <si>
    <t>вул. Несененка, 60</t>
  </si>
  <si>
    <t>(096)4055250</t>
  </si>
  <si>
    <t>Пилиповицька загальноосвітня школа І-ІІ ступенів Радомишльського району Житомирської області</t>
  </si>
  <si>
    <t>12253</t>
  </si>
  <si>
    <t>1825087601</t>
  </si>
  <si>
    <t>(098)2012853</t>
  </si>
  <si>
    <t>КНЗ "Потіївська спеціальна загальноосвітня школа-інтернат І-ІІІ ступенів" Житомирської обласної ради</t>
  </si>
  <si>
    <t>12225</t>
  </si>
  <si>
    <t>1825087801</t>
  </si>
  <si>
    <t>Потіївка</t>
  </si>
  <si>
    <t>вул. 1-го Травня, 27</t>
  </si>
  <si>
    <t>(232)53-2-35, (232)53-2-36, (232)53-3-52</t>
  </si>
  <si>
    <t>http://http//www.medinternat.org.ua</t>
  </si>
  <si>
    <t>20407181</t>
  </si>
  <si>
    <t>Потіївська загальноосвітня школа І-ІІІ ступенів</t>
  </si>
  <si>
    <t>вул. 1 Травня, 24</t>
  </si>
  <si>
    <t>(04132)53272</t>
  </si>
  <si>
    <t>Чайківська загальноосвітня школа І-ІІІ ступенів</t>
  </si>
  <si>
    <t>12250</t>
  </si>
  <si>
    <t>1825088801</t>
  </si>
  <si>
    <t>Чайківка</t>
  </si>
  <si>
    <t>вул. Лузанівська, 1</t>
  </si>
  <si>
    <t>(04132)97630</t>
  </si>
  <si>
    <t>Ружинська гімназія</t>
  </si>
  <si>
    <t>13601</t>
  </si>
  <si>
    <t>1825255100</t>
  </si>
  <si>
    <t>вул. Леніна, 45</t>
  </si>
  <si>
    <t>(04138)31293</t>
  </si>
  <si>
    <t>Зарічанська загальноосвітня школа І-ІІ ступенів</t>
  </si>
  <si>
    <t>13605</t>
  </si>
  <si>
    <t>1825255101</t>
  </si>
  <si>
    <t>вул. Деркача, 2</t>
  </si>
  <si>
    <t>(04138)31496</t>
  </si>
  <si>
    <t>Білилівська гімназія</t>
  </si>
  <si>
    <t>13642</t>
  </si>
  <si>
    <t>1825280401</t>
  </si>
  <si>
    <t>Білилівка</t>
  </si>
  <si>
    <t>(04138)9-21-40</t>
  </si>
  <si>
    <t>http://bilulivka.ucoz.org</t>
  </si>
  <si>
    <t>Березянська загальноосвітня школа І-ІІІ ступенів Ружинської районної державної адміністрації Житомирської області</t>
  </si>
  <si>
    <t>13651</t>
  </si>
  <si>
    <t>1825280801</t>
  </si>
  <si>
    <t>Березянка</t>
  </si>
  <si>
    <t>(04138)94540</t>
  </si>
  <si>
    <t>Бистріївська загальноосвітня школа І-ІІ ступенів Ружинського району Житомирської області</t>
  </si>
  <si>
    <t>13612</t>
  </si>
  <si>
    <t>1825281201</t>
  </si>
  <si>
    <t>Бистріївка</t>
  </si>
  <si>
    <t>(04138)97240</t>
  </si>
  <si>
    <t>Бистрицька загальноомвітня школа І-ІІІ ступенів</t>
  </si>
  <si>
    <t>13635</t>
  </si>
  <si>
    <t>1825281401</t>
  </si>
  <si>
    <t>вул. ім.В.Матвійчука, 11</t>
  </si>
  <si>
    <t>(3804138)9-76-40</t>
  </si>
  <si>
    <t>Вербівська загальноосвітня школа І-ІІ ступенів Ружинського району Житомирської області</t>
  </si>
  <si>
    <t>13615</t>
  </si>
  <si>
    <t>1825281601</t>
  </si>
  <si>
    <t>(04138)95740</t>
  </si>
  <si>
    <t>Верхівнянська загальноосвітня школа І-ІІІ ступенів Ружинського району Житомирської області</t>
  </si>
  <si>
    <t>13613</t>
  </si>
  <si>
    <t>1825281801</t>
  </si>
  <si>
    <t>Верхівня</t>
  </si>
  <si>
    <t>(804138)95640</t>
  </si>
  <si>
    <t>Вільнопільська загальноосвітня школа І-ІІІ ступенів</t>
  </si>
  <si>
    <t>13634</t>
  </si>
  <si>
    <t>1825282201</t>
  </si>
  <si>
    <t>Вільнопілля</t>
  </si>
  <si>
    <t>(04138)96340</t>
  </si>
  <si>
    <t>Вчорайшенська загальноосвітня школа І-ІІІ ступенів</t>
  </si>
  <si>
    <t>13610</t>
  </si>
  <si>
    <t>1825282401</t>
  </si>
  <si>
    <t>Вчорайше</t>
  </si>
  <si>
    <t>(04138)93140</t>
  </si>
  <si>
    <t>Голубівська загальноосвітня школа І-ІІІ ступенів Ружинського району Житомирської області</t>
  </si>
  <si>
    <t>13645</t>
  </si>
  <si>
    <t>1825282601</t>
  </si>
  <si>
    <t>ал. Шкільна, 2</t>
  </si>
  <si>
    <t>Городоцька загальноосвітня школа І - ІІ ступенів, Житомирська область, Ружинський район.</t>
  </si>
  <si>
    <t>13648</t>
  </si>
  <si>
    <t>1825282801</t>
  </si>
  <si>
    <t>(04138)95540</t>
  </si>
  <si>
    <t>Дерганівська загальноосвітня школа І-ІІ ступенів</t>
  </si>
  <si>
    <t>13640</t>
  </si>
  <si>
    <t>1825283201</t>
  </si>
  <si>
    <t>Дерганівка</t>
  </si>
  <si>
    <t>(38)94150</t>
  </si>
  <si>
    <t>Чорнорудська загальноосвітня школа І-ІІІ ступенів</t>
  </si>
  <si>
    <t>13621</t>
  </si>
  <si>
    <t>1825283301</t>
  </si>
  <si>
    <t>Нова Чорнорудка</t>
  </si>
  <si>
    <t>вул. Пришкільна, 3</t>
  </si>
  <si>
    <t>(04138)98340</t>
  </si>
  <si>
    <t>http://chornorudka.ucoz.net</t>
  </si>
  <si>
    <t>Зарудинецька загальноосвітня школа І-ІІІ ступенів Ружинської районної ради Житомирської області</t>
  </si>
  <si>
    <t>13646</t>
  </si>
  <si>
    <t>1825283501</t>
  </si>
  <si>
    <t>Зарудинці</t>
  </si>
  <si>
    <t>вул. Кооперативна, 70</t>
  </si>
  <si>
    <t>(4138)96440, (067)1694554, (096)5347526</t>
  </si>
  <si>
    <t>Карабчиївська загальноосвітня школа І ступеня</t>
  </si>
  <si>
    <t>13630</t>
  </si>
  <si>
    <t>1825283801</t>
  </si>
  <si>
    <t>Карабчиїв</t>
  </si>
  <si>
    <t>вул. Кооперативна, 15</t>
  </si>
  <si>
    <t>0671944993</t>
  </si>
  <si>
    <t>Крилівська загальноосвітня школа І-ІІ ступенів</t>
  </si>
  <si>
    <t>13623</t>
  </si>
  <si>
    <t>1825284201</t>
  </si>
  <si>
    <t>(04138)94240</t>
  </si>
  <si>
    <t>Малочернявська загальноосвітня школа І-ІІ ступенів</t>
  </si>
  <si>
    <t>13622</t>
  </si>
  <si>
    <t>1825284401</t>
  </si>
  <si>
    <t>Мала Чернявка</t>
  </si>
  <si>
    <t>вул. Хрустицького, 41</t>
  </si>
  <si>
    <t>(04138)96740</t>
  </si>
  <si>
    <t>Мовчанівська загальноосвітня школа І-ІІІ ступенів Ружинського району Житомирської області</t>
  </si>
  <si>
    <t>13650</t>
  </si>
  <si>
    <t>1825284601</t>
  </si>
  <si>
    <t>Мовчанівка</t>
  </si>
  <si>
    <t>(04138)9-47-40</t>
  </si>
  <si>
    <t>Немиринецька загальноосвітня школа І-ІІІ ступенів Ружинського району Житомирської області</t>
  </si>
  <si>
    <t>13643</t>
  </si>
  <si>
    <t>1825284901</t>
  </si>
  <si>
    <t>Немиринці</t>
  </si>
  <si>
    <t>вул. Петра Дубика, 2</t>
  </si>
  <si>
    <t>(04138)96640</t>
  </si>
  <si>
    <t>Огіївська загальноосвітня школа І-ІІ ступенів</t>
  </si>
  <si>
    <t>13647</t>
  </si>
  <si>
    <t>1825285201</t>
  </si>
  <si>
    <t>Огіївка</t>
  </si>
  <si>
    <t>(067)9657451</t>
  </si>
  <si>
    <t>Роставицька загальноосвітня школа І-ІІІ ступенів</t>
  </si>
  <si>
    <t>13625</t>
  </si>
  <si>
    <t>1825285401</t>
  </si>
  <si>
    <t>Роставиця</t>
  </si>
  <si>
    <t>вул. 40-річчя Перемоги, 50</t>
  </si>
  <si>
    <t>(04138)91540</t>
  </si>
  <si>
    <t>Прибережненська загальноосвітня школа І-ІІ ступенів Ружинського району Житомирської області</t>
  </si>
  <si>
    <t>13035</t>
  </si>
  <si>
    <t>1825285801</t>
  </si>
  <si>
    <t>Прибережне</t>
  </si>
  <si>
    <t>наб. Набережна, 3</t>
  </si>
  <si>
    <t>(04138)97540</t>
  </si>
  <si>
    <t>Топорівська загальноосвітня школа І - ІІІ ст.</t>
  </si>
  <si>
    <t>13652</t>
  </si>
  <si>
    <t>1825286301</t>
  </si>
  <si>
    <t>Топори</t>
  </si>
  <si>
    <t>вул. Ружинська, 4</t>
  </si>
  <si>
    <t>(04138)96540</t>
  </si>
  <si>
    <t>Чорнорудська загальноосвітня школа І-ІІ ступенів</t>
  </si>
  <si>
    <t>13620</t>
  </si>
  <si>
    <t>1825286801</t>
  </si>
  <si>
    <t>Чорнорудка</t>
  </si>
  <si>
    <t>вул. свободи, 4</t>
  </si>
  <si>
    <t>80413898140</t>
  </si>
  <si>
    <t>Ягнятинська загальноосвітня школа І – ІІІ ступенів Ружинського району Житомирської області</t>
  </si>
  <si>
    <t>13631</t>
  </si>
  <si>
    <t>1825287901</t>
  </si>
  <si>
    <t>Ягнятин</t>
  </si>
  <si>
    <t>вул. Перемоги, 1 - А</t>
  </si>
  <si>
    <t>(04138)94340</t>
  </si>
  <si>
    <t>Пулинська загальноосвітня школа І-ІІІ ступенів</t>
  </si>
  <si>
    <t>12001</t>
  </si>
  <si>
    <t>1825455100</t>
  </si>
  <si>
    <t>Пулини</t>
  </si>
  <si>
    <t>вул. Шевченка, 158</t>
  </si>
  <si>
    <t>(04131)32170</t>
  </si>
  <si>
    <t>Андріївська загальноосвітня школа І-ІІІ ступенів</t>
  </si>
  <si>
    <t>12022</t>
  </si>
  <si>
    <t>1825480201</t>
  </si>
  <si>
    <t>(804131)65340</t>
  </si>
  <si>
    <t>Великолугівська загальноосвітня школа І-ІІІ ступенів Пулинського району Житомирської області</t>
  </si>
  <si>
    <t>12050</t>
  </si>
  <si>
    <t>1825480801</t>
  </si>
  <si>
    <t>Великий Луг</t>
  </si>
  <si>
    <t>(04131)66240</t>
  </si>
  <si>
    <t>Зеленополянський навчально -виховний комплекс "Загальноосвітня школа І-ІІ ступенів - дошкільний навчальний заклад" Пулинського району Житомирської області</t>
  </si>
  <si>
    <t>12010</t>
  </si>
  <si>
    <t>1825481501</t>
  </si>
  <si>
    <t>Зелена Поляна</t>
  </si>
  <si>
    <t>0413161240</t>
  </si>
  <si>
    <t>http://Gryntalschool.umi.ru</t>
  </si>
  <si>
    <t>Івановицька загальноосвітня школа І - ІІІ ступенів</t>
  </si>
  <si>
    <t>12040</t>
  </si>
  <si>
    <t>1825481801</t>
  </si>
  <si>
    <t>Івановичі</t>
  </si>
  <si>
    <t>(04131)91705</t>
  </si>
  <si>
    <t>Кошелівська загальноосвітня школа І-ІІІ ступенів</t>
  </si>
  <si>
    <t>12015</t>
  </si>
  <si>
    <t>1825482201</t>
  </si>
  <si>
    <t>Кошелівка</t>
  </si>
  <si>
    <t>ал. Володимерська, 1</t>
  </si>
  <si>
    <t>92-6-86</t>
  </si>
  <si>
    <t>Сколобівська загальноосвітня школа І-ІІ ступенів Пулинського району Житомирської області</t>
  </si>
  <si>
    <t>12016</t>
  </si>
  <si>
    <t>1825482206</t>
  </si>
  <si>
    <t>вул. О.Чернявського, 1</t>
  </si>
  <si>
    <t>(04131)64-240</t>
  </si>
  <si>
    <t>Курненська загальноосвітня школа І-ІІІ ступенів</t>
  </si>
  <si>
    <t>12031</t>
  </si>
  <si>
    <t>1825482601</t>
  </si>
  <si>
    <t>Курне</t>
  </si>
  <si>
    <t>0413164440</t>
  </si>
  <si>
    <t>Курненська загальноосвітня школа І-ІІ ступенів</t>
  </si>
  <si>
    <t>12030</t>
  </si>
  <si>
    <t>1825482603</t>
  </si>
  <si>
    <t>(04131)94227</t>
  </si>
  <si>
    <t>Мартинівська загальноосвітня школа І - ІІІ ступенів Пулинського району Житомирської області</t>
  </si>
  <si>
    <t>12041</t>
  </si>
  <si>
    <t>1825483001</t>
  </si>
  <si>
    <t>(04131)96240</t>
  </si>
  <si>
    <t>Новозаводська загальноосвітня школа І - ІІІ ступенів Новозаводської сільської ради Пулинського району Житомирської області</t>
  </si>
  <si>
    <t>12056</t>
  </si>
  <si>
    <t>1825483601</t>
  </si>
  <si>
    <t>Новий Завод</t>
  </si>
  <si>
    <t>(231)95-2-40</t>
  </si>
  <si>
    <t>Очеретянська загальноосвітня школа І-ІІ ступенів імені К.М.Новрузалієва Пулинського району Житомирської області</t>
  </si>
  <si>
    <t>12013</t>
  </si>
  <si>
    <t>1825483901</t>
  </si>
  <si>
    <t>Очеретянка</t>
  </si>
  <si>
    <t>(04131)62240</t>
  </si>
  <si>
    <t>Вацлавпільська гімназія Пулинського району Житомирської області</t>
  </si>
  <si>
    <t>12014</t>
  </si>
  <si>
    <t>1825483902</t>
  </si>
  <si>
    <t>Ясна Поляна</t>
  </si>
  <si>
    <t>(04131)93-5-40</t>
  </si>
  <si>
    <t>http://vaclavpil.at.ua</t>
  </si>
  <si>
    <t>Старомайданська загальноосвітня школа I-II ступенів Червоноармійського району Житомирської області</t>
  </si>
  <si>
    <t>12051</t>
  </si>
  <si>
    <t>1825484301</t>
  </si>
  <si>
    <t>Старий Майдан</t>
  </si>
  <si>
    <t>(04131)98640</t>
  </si>
  <si>
    <t>Стрибізька загальноосвітня школа І - ІІІ ступенів Пулинської районної держадміністрації Житомирської області</t>
  </si>
  <si>
    <t>12052</t>
  </si>
  <si>
    <t>1825484601</t>
  </si>
  <si>
    <t>Стрибіж</t>
  </si>
  <si>
    <t>(04131)97240</t>
  </si>
  <si>
    <t>Соколівська загальноосвітня школа І-ІІІ ступенів Червоноармійського району Житомирської області</t>
  </si>
  <si>
    <t>12021</t>
  </si>
  <si>
    <t>1825484901</t>
  </si>
  <si>
    <t>Соколів</t>
  </si>
  <si>
    <t>вул. К.маркса, 7</t>
  </si>
  <si>
    <t>(04131)63-240</t>
  </si>
  <si>
    <t>Теньківська загальноосвітня школа І-ІІ ступенів</t>
  </si>
  <si>
    <t>12020</t>
  </si>
  <si>
    <t>1825485101</t>
  </si>
  <si>
    <t>Теньківка</t>
  </si>
  <si>
    <t>ал. Партизанська, 7</t>
  </si>
  <si>
    <t>Тетірська загальноосвітня школа І-ІІІ ступенів</t>
  </si>
  <si>
    <t>12025</t>
  </si>
  <si>
    <t>1825485201</t>
  </si>
  <si>
    <t>Тетірка</t>
  </si>
  <si>
    <t>(04131)99-4-40</t>
  </si>
  <si>
    <t>Чернявська загальноосвітня школа І-ІІст. відділу освіти Червоноармійської РДА Житомирської області</t>
  </si>
  <si>
    <t>12012</t>
  </si>
  <si>
    <t>1825485702</t>
  </si>
  <si>
    <t>вул. Чапаєва, 45</t>
  </si>
  <si>
    <t>68257</t>
  </si>
  <si>
    <t>Староолександрівська загальноосвітня школа І-ІІ ступенів</t>
  </si>
  <si>
    <t>12044</t>
  </si>
  <si>
    <t>1825486204</t>
  </si>
  <si>
    <t>Стара Олександрівка</t>
  </si>
  <si>
    <t>вул. Ялинівська, 8</t>
  </si>
  <si>
    <t>Черняхівська гімназія</t>
  </si>
  <si>
    <t>12301</t>
  </si>
  <si>
    <t>1825655100</t>
  </si>
  <si>
    <t>Черняхів</t>
  </si>
  <si>
    <t>вул. Слобідська, 14</t>
  </si>
  <si>
    <t>(234)4-16-86</t>
  </si>
  <si>
    <t>Черняхівська загальноосвітня школа І - ІІІ ступенів</t>
  </si>
  <si>
    <t>вул. І. Франка, 14</t>
  </si>
  <si>
    <t>(04134)4-22-79</t>
  </si>
  <si>
    <t>Головинська гімназія</t>
  </si>
  <si>
    <t>12325</t>
  </si>
  <si>
    <t>1825655500</t>
  </si>
  <si>
    <t>Головине</t>
  </si>
  <si>
    <t>вул. Адміністративна, 5</t>
  </si>
  <si>
    <t>(04134)31202, (04134)31341</t>
  </si>
  <si>
    <t>12321</t>
  </si>
  <si>
    <t>1825680401</t>
  </si>
  <si>
    <t>вул. Черняхівська, 43</t>
  </si>
  <si>
    <t>(04134)97540</t>
  </si>
  <si>
    <t>Бежівська загальноосвітня школа І-ІІ ступенів Черняхівського району Житомирської області</t>
  </si>
  <si>
    <t>12326</t>
  </si>
  <si>
    <t>1825680801</t>
  </si>
  <si>
    <t>Бежів</t>
  </si>
  <si>
    <t>вул. Щорса, 1</t>
  </si>
  <si>
    <t>(04134)9-74-40</t>
  </si>
  <si>
    <t>Вільська загальноосвітня школа І - ІІІ ступенів Черняхівського району Житомирської області</t>
  </si>
  <si>
    <t>12334</t>
  </si>
  <si>
    <t>1825681201</t>
  </si>
  <si>
    <t>Вільськ</t>
  </si>
  <si>
    <t>вул. Житомирська, 14</t>
  </si>
  <si>
    <t>(0412)95440</t>
  </si>
  <si>
    <t>Видиборський ліцей інформаційних технологій</t>
  </si>
  <si>
    <t>12314</t>
  </si>
  <si>
    <t>1825681601</t>
  </si>
  <si>
    <t>Видибор</t>
  </si>
  <si>
    <t>(041234)99640</t>
  </si>
  <si>
    <t>http://vudubor-lit.blogspot.com</t>
  </si>
  <si>
    <t>Високівська гімназія Високівської сільської ради Черняхівського району Житомирської області</t>
  </si>
  <si>
    <t>12341</t>
  </si>
  <si>
    <t>1825682001</t>
  </si>
  <si>
    <t>96324</t>
  </si>
  <si>
    <t>Горбулівська загальноосвітня школа І-ІІІ ступенів ім. В. Н. Мартиненка Черняхівського району Житомирської області</t>
  </si>
  <si>
    <t>12316</t>
  </si>
  <si>
    <t>1825682401</t>
  </si>
  <si>
    <t>Горбулів</t>
  </si>
  <si>
    <t>вул. Чапаєва, 9</t>
  </si>
  <si>
    <t>(04134)95220</t>
  </si>
  <si>
    <t>Дівочківська загальноосвітня школа І-ІІ ступенів Черняхівського району Житомирської області</t>
  </si>
  <si>
    <t>12340</t>
  </si>
  <si>
    <t>1825683201</t>
  </si>
  <si>
    <t>Дівочки</t>
  </si>
  <si>
    <t>(04134)9-43-40</t>
  </si>
  <si>
    <t>Жадьківський колегіум</t>
  </si>
  <si>
    <t>12311</t>
  </si>
  <si>
    <t>1825683601</t>
  </si>
  <si>
    <t>Жадьки</t>
  </si>
  <si>
    <t>Забрідська загальноосвітня школа І-ІІІ ступенів Високівської сільської ради</t>
  </si>
  <si>
    <t>12344</t>
  </si>
  <si>
    <t>1825684001</t>
  </si>
  <si>
    <t>Забріддя</t>
  </si>
  <si>
    <t>вул. Леніна, 1А</t>
  </si>
  <si>
    <t>0976898891</t>
  </si>
  <si>
    <t>Зороківський козацький ліцей Черняхівського району Житомирської області</t>
  </si>
  <si>
    <t>12335</t>
  </si>
  <si>
    <t>1825684401</t>
  </si>
  <si>
    <t>Зороків</t>
  </si>
  <si>
    <t>вул. Перемоги, 46</t>
  </si>
  <si>
    <t>0969468820</t>
  </si>
  <si>
    <t>http://kozak-licey.org.ua</t>
  </si>
  <si>
    <t>Вишпільська загальноосвітня школа І-ІІ ступенів Черняхівського району Житомирської області</t>
  </si>
  <si>
    <t>12336</t>
  </si>
  <si>
    <t>1825684402</t>
  </si>
  <si>
    <t>Вишпіль</t>
  </si>
  <si>
    <t>вул. житомирська, 43</t>
  </si>
  <si>
    <t>(098)3281823</t>
  </si>
  <si>
    <t>Новопільська загальноосвітня школа І--ІІІ ступенів Черняхівського району Житомирської області</t>
  </si>
  <si>
    <t>12333</t>
  </si>
  <si>
    <t>1825686201</t>
  </si>
  <si>
    <t>Новопіль</t>
  </si>
  <si>
    <t>(04134)97724</t>
  </si>
  <si>
    <t>http://novopil-school.edukit.zt.ua/</t>
  </si>
  <si>
    <t>Житомирська обл.Черняхівський р-н.Пекарщинська загальноосвітня школа І-ступеня</t>
  </si>
  <si>
    <t>12330</t>
  </si>
  <si>
    <t>1825686801</t>
  </si>
  <si>
    <t>Пекарщина</t>
  </si>
  <si>
    <t>3</t>
  </si>
  <si>
    <t>0680865459</t>
  </si>
  <si>
    <t>Салівська загальноосвітня школа І-ІІ ступенів</t>
  </si>
  <si>
    <t>1825687001</t>
  </si>
  <si>
    <t>Сали</t>
  </si>
  <si>
    <t>9-57-40</t>
  </si>
  <si>
    <t>Селецька загальноосвітня школа І-ІІ ступенів Черняхівського району Житомирської області</t>
  </si>
  <si>
    <t>12312</t>
  </si>
  <si>
    <t>1825687201</t>
  </si>
  <si>
    <t>(38098)9290130</t>
  </si>
  <si>
    <t>Селянщинський спортивний ліцей імені Олесандра Голяченка Черняхівського району Житомирської області</t>
  </si>
  <si>
    <t>1825687401</t>
  </si>
  <si>
    <t>Селянщина</t>
  </si>
  <si>
    <t>вул. Творогова, 44</t>
  </si>
  <si>
    <t>(041234)97240</t>
  </si>
  <si>
    <t>Стиртівська загальноосвітня школа І-ІІ ступенів</t>
  </si>
  <si>
    <t>12322</t>
  </si>
  <si>
    <t>1825687901</t>
  </si>
  <si>
    <t>Стирти</t>
  </si>
  <si>
    <t>Троковицький природничо-екологічний ліцей Черняхівського району Житомирської області</t>
  </si>
  <si>
    <t>12345</t>
  </si>
  <si>
    <t>1825688201</t>
  </si>
  <si>
    <t>Троковичі</t>
  </si>
  <si>
    <t>(04134)93324</t>
  </si>
  <si>
    <t>Некрашівська загальноосвітня школа І-ІІ ступенів Черняхівського району Житомирської області</t>
  </si>
  <si>
    <t>12346</t>
  </si>
  <si>
    <t>1825688202</t>
  </si>
  <si>
    <t>Некраші</t>
  </si>
  <si>
    <t>вул. Високівська, 10</t>
  </si>
  <si>
    <t>(041234)93358</t>
  </si>
  <si>
    <t>Чуднівська гімназія Чуднівської районної ради Житомирської області</t>
  </si>
  <si>
    <t>13200</t>
  </si>
  <si>
    <t>1825810100</t>
  </si>
  <si>
    <t>Чуднів</t>
  </si>
  <si>
    <t>(04139)22094, (04139)22085</t>
  </si>
  <si>
    <t>Чуднівська загальноосвітня школа І-ІІІ ступенів № 2</t>
  </si>
  <si>
    <t>вул. Івана Рудніцького - воїна-героя АТО, 4</t>
  </si>
  <si>
    <t>(04139)21175</t>
  </si>
  <si>
    <t>Вакуленчуківська ЗОШ І-ІІІ ступенів Чуднівської районної ради Житомирської області</t>
  </si>
  <si>
    <t>13246</t>
  </si>
  <si>
    <t>1825855200</t>
  </si>
  <si>
    <t>Вакуленчук</t>
  </si>
  <si>
    <t>151</t>
  </si>
  <si>
    <t>(04139)98551</t>
  </si>
  <si>
    <t>http://vakulenchuk-zosh.edukit.zt.ua</t>
  </si>
  <si>
    <t>Великокоровинецька загальноосвітня школа І-ІІІ ступенів відділу освіти Чуднівської районної адміністрації Житомирської області</t>
  </si>
  <si>
    <t>13240</t>
  </si>
  <si>
    <t>1825855300</t>
  </si>
  <si>
    <t>Великі Коровинці</t>
  </si>
  <si>
    <t>вул. Горького, 4</t>
  </si>
  <si>
    <t>(04139)95330</t>
  </si>
  <si>
    <t>Іванопільська гімназія Чуднівської районної ради Житомирської області</t>
  </si>
  <si>
    <t>13253</t>
  </si>
  <si>
    <t>1825855600</t>
  </si>
  <si>
    <t>вул. Незалежності, 134</t>
  </si>
  <si>
    <t>(04139)44264</t>
  </si>
  <si>
    <t>Бабушківська загальноосвітня школа І-ІІ ступенів Чуднівська районна рада Чуднівського району Житомирської області</t>
  </si>
  <si>
    <t>13225</t>
  </si>
  <si>
    <t>1825880401</t>
  </si>
  <si>
    <t>Бабушки</t>
  </si>
  <si>
    <t>(04139)96340</t>
  </si>
  <si>
    <t>Будичанська загальноосвітня школа І-ІІІ ступенівЧуднівської районної ради Житмирської області</t>
  </si>
  <si>
    <t>13213</t>
  </si>
  <si>
    <t>1825880801</t>
  </si>
  <si>
    <t>Будичани</t>
  </si>
  <si>
    <t>вул. М. Бричника, 2А</t>
  </si>
  <si>
    <t>(04139)93440</t>
  </si>
  <si>
    <t>Галіївська загальноосвітня школа І-ІІІ ступенів Чуднівської районної ради Житомирської області</t>
  </si>
  <si>
    <t>13251</t>
  </si>
  <si>
    <t>1825881701</t>
  </si>
  <si>
    <t>Галіївка</t>
  </si>
  <si>
    <t>вул. Мазуркевича, 38А</t>
  </si>
  <si>
    <t>(04139)47145</t>
  </si>
  <si>
    <t>с.Дубище Дубищенська загальноосвітня школа І-ІІ ступенів Чуднівської районної ради Житомирської області</t>
  </si>
  <si>
    <t>13211</t>
  </si>
  <si>
    <t>1825882401</t>
  </si>
  <si>
    <t>вул. Миру, 66 А</t>
  </si>
  <si>
    <t>(04139)96140</t>
  </si>
  <si>
    <t>Дідковецька загальноосвітня школа І-ІІІ ступенів Чуднівської районної ради Житомирської області</t>
  </si>
  <si>
    <t>13212</t>
  </si>
  <si>
    <t>1825882402</t>
  </si>
  <si>
    <t>Дідківці</t>
  </si>
  <si>
    <t>вул. Івана Франка, 59</t>
  </si>
  <si>
    <t>Карповецька загальноосвітня школа І-ІІІ ст.</t>
  </si>
  <si>
    <t>13235</t>
  </si>
  <si>
    <t>1825883201</t>
  </si>
  <si>
    <t>Карпівці</t>
  </si>
  <si>
    <t>(04139)93222</t>
  </si>
  <si>
    <t>Волосівська загальноосвітня школа І-ІІ ступенів Чуднівської районнної ради Житомирської області</t>
  </si>
  <si>
    <t>13233</t>
  </si>
  <si>
    <t>1825883602</t>
  </si>
  <si>
    <t>Волосівка</t>
  </si>
  <si>
    <t>наб. Набережна</t>
  </si>
  <si>
    <t>22908, (067)4623047</t>
  </si>
  <si>
    <t>Красногірська загальноосвітня школа І-ІІ ступенів Чуднівської районної ради Житомирської області</t>
  </si>
  <si>
    <t>13230</t>
  </si>
  <si>
    <t>1825884001</t>
  </si>
  <si>
    <t>(04139)97240</t>
  </si>
  <si>
    <t>Краснопільська загальноосвітня школа І-ІІІ ступенів Краснопільської сільської ради Чуднівського району Житомирської області</t>
  </si>
  <si>
    <t>13264</t>
  </si>
  <si>
    <t>1825884401</t>
  </si>
  <si>
    <t>Краснопіль</t>
  </si>
  <si>
    <t>4-56-40</t>
  </si>
  <si>
    <t>Красносільська ЗОШ І-ІІІ ступенів Чуднівської районної ради Житомирської області.</t>
  </si>
  <si>
    <t>13234</t>
  </si>
  <si>
    <t>1825884801</t>
  </si>
  <si>
    <t>(04139)96240</t>
  </si>
  <si>
    <t>Маловолицька загальноосвітня школа І-ІІ ступенів Чуднівської районної ради Житомирської області</t>
  </si>
  <si>
    <t>13250</t>
  </si>
  <si>
    <t>1825885201</t>
  </si>
  <si>
    <t>Мала Волиця</t>
  </si>
  <si>
    <t>вул. Бердичівська, 2</t>
  </si>
  <si>
    <t>(041-39)-4-75-40</t>
  </si>
  <si>
    <t>Молочківська загальноосвітня школа І-ІІ ступенів Краснопільської сільської ради Чуднівського району Житомирської області</t>
  </si>
  <si>
    <t>13262</t>
  </si>
  <si>
    <t>1825885601</t>
  </si>
  <si>
    <t>Молочки</t>
  </si>
  <si>
    <t>(0413)9247240</t>
  </si>
  <si>
    <t>Носівська загальноосвітня школа І-ІІІ ступенів Краснопільської сільської ради Чуднівського району Житомирської області</t>
  </si>
  <si>
    <t>13266</t>
  </si>
  <si>
    <t>1825886001</t>
  </si>
  <si>
    <t>Носівки</t>
  </si>
  <si>
    <t>вул. Дубова, 3</t>
  </si>
  <si>
    <t>4-66-99</t>
  </si>
  <si>
    <t>Вільшанська середня загальноосвітня школа І-ІІІступенів Чуднівської районної ради</t>
  </si>
  <si>
    <t>13224</t>
  </si>
  <si>
    <t>1825886401</t>
  </si>
  <si>
    <t>9-43-33</t>
  </si>
  <si>
    <t>Пятківська загальноосвітня школа І- ІІІ ступенів Чуднівської районної ради Житомирської області</t>
  </si>
  <si>
    <t>1825886801</t>
  </si>
  <si>
    <t>П'ятка</t>
  </si>
  <si>
    <t>вул. Ждановського, 11</t>
  </si>
  <si>
    <t>(04139)9-37-40</t>
  </si>
  <si>
    <t>Рачківська загальноосвітня школа І-ІІ ступенів Чуднівської районної ради Житомирської області</t>
  </si>
  <si>
    <t>13245</t>
  </si>
  <si>
    <t>1825887201</t>
  </si>
  <si>
    <t>(4139)97340</t>
  </si>
  <si>
    <t>Стетковецька загальноосвітня школа І-ІІІ ступенів Краснопільської сільської ради Чуднівського району Житомирскої області</t>
  </si>
  <si>
    <t>13263</t>
  </si>
  <si>
    <t>1825887601</t>
  </si>
  <si>
    <t>Стетківці</t>
  </si>
  <si>
    <t>вул. Миру, 63А</t>
  </si>
  <si>
    <t>(04139)47340</t>
  </si>
  <si>
    <t>Стовпівська загальноосвітня школа І-ІІ ступенів Чуднівської районної ради Житомирської області</t>
  </si>
  <si>
    <t>13214</t>
  </si>
  <si>
    <t>1825887701</t>
  </si>
  <si>
    <t>Стовпів</t>
  </si>
  <si>
    <t>вул. Шевченка, 25А</t>
  </si>
  <si>
    <t>(04139)21318</t>
  </si>
  <si>
    <t>Трощанська загальнооосвітня школа І-ІІІ ступеніів Чуднівської районної ради Житомирської області</t>
  </si>
  <si>
    <t>13260</t>
  </si>
  <si>
    <t>1825887801</t>
  </si>
  <si>
    <t>вул. Чуднівська, 61</t>
  </si>
  <si>
    <t>48740</t>
  </si>
  <si>
    <t>Турчинівська загальноосвітня школа I ступеня Чуднівської райдержадміністрації Житомирської області</t>
  </si>
  <si>
    <t>13223</t>
  </si>
  <si>
    <t>1825888201</t>
  </si>
  <si>
    <t>Турчинівка</t>
  </si>
  <si>
    <t>(041)3921216</t>
  </si>
  <si>
    <t>Тютюнниківська середня загальноосвітня школа І-ІІІ ступенів Чуднівської районної ради Житомирської області</t>
  </si>
  <si>
    <t>13220</t>
  </si>
  <si>
    <t>1825888401</t>
  </si>
  <si>
    <t>Тютюнники</t>
  </si>
  <si>
    <t>(04139)9-65-40</t>
  </si>
  <si>
    <t>Малокоровинецька загальноосвітня школа І-І І ступенів Чуднівської районної ради Житомирської області</t>
  </si>
  <si>
    <t>13221</t>
  </si>
  <si>
    <t>1825888404</t>
  </si>
  <si>
    <t>Малі Коровинці</t>
  </si>
  <si>
    <t>вул. Вакуленчука, 33</t>
  </si>
  <si>
    <t>(04139)93614</t>
  </si>
  <si>
    <t>багатопрофільний ліцей "Інтелект"- ЗОШ І-ІІІ ступенів № 11</t>
  </si>
  <si>
    <t>88000</t>
  </si>
  <si>
    <t>2110100000</t>
  </si>
  <si>
    <t>Закарпатська область</t>
  </si>
  <si>
    <t>Ужгород</t>
  </si>
  <si>
    <t>наб. Православна, 25</t>
  </si>
  <si>
    <t>(03122)34336</t>
  </si>
  <si>
    <t>22110120</t>
  </si>
  <si>
    <t>Загальноосвітня школа I-III ступенів № 16 Ужгородської міської ради</t>
  </si>
  <si>
    <t>вул. Жатковича, 24</t>
  </si>
  <si>
    <t>(26465021)66-08-92</t>
  </si>
  <si>
    <t>Класична гімназія Ужгородської міської ради Закарпатської області</t>
  </si>
  <si>
    <t>88015</t>
  </si>
  <si>
    <t>вул. 8 Березня, 44</t>
  </si>
  <si>
    <t>(3122)662257</t>
  </si>
  <si>
    <t>http://www.gymnasium.uz.ua/</t>
  </si>
  <si>
    <t>22110002</t>
  </si>
  <si>
    <t>Лінгвістична гімназія ім. Т.Г. Шевченка Ужгородської міської ради Закарпатської області</t>
  </si>
  <si>
    <t>наб. Назалежності, 4</t>
  </si>
  <si>
    <t>(0312)630398</t>
  </si>
  <si>
    <t>22110048</t>
  </si>
  <si>
    <t>Навчально-виховний комплекс "Гармонія" Ужгородської міської ради Закарпатської області</t>
  </si>
  <si>
    <t>вул. Доманинська, 263</t>
  </si>
  <si>
    <t>(032)639414</t>
  </si>
  <si>
    <t>http://harmonija.uz.ua/</t>
  </si>
  <si>
    <t>22110031</t>
  </si>
  <si>
    <t>угорська,англійська,німецька</t>
  </si>
  <si>
    <t>навчально-виховний комплекс "Загальноосвітня школа І ступеня з угорською мовою навчання - угорськомовна гімназія"</t>
  </si>
  <si>
    <t>вул. Грушевського, 39 А</t>
  </si>
  <si>
    <t>(0312)662393</t>
  </si>
  <si>
    <t>http://www.udg.uz.ua</t>
  </si>
  <si>
    <t>33124989</t>
  </si>
  <si>
    <t>Ужгородська загальноосвітня школа І-ІІІ ступенів № 9 Ужгородської міської ради Закарпатської області</t>
  </si>
  <si>
    <t>пл. Шандора Петефі, 15</t>
  </si>
  <si>
    <t>3-51-42, 3-71-98</t>
  </si>
  <si>
    <t>http://economic-licey.at.ua/</t>
  </si>
  <si>
    <t>35231607</t>
  </si>
  <si>
    <t>Навчально-виховний комплекс" Загальноосвітня школа І ступеня - дошкільний навчальний заклад "Престиж" Ужгородської міської ради Закарпатської області</t>
  </si>
  <si>
    <t>вул. Комендаря, 48</t>
  </si>
  <si>
    <t>(03122)24435</t>
  </si>
  <si>
    <t>http://www.prestyzh.org.ua</t>
  </si>
  <si>
    <t>26530480</t>
  </si>
  <si>
    <t>Спеціалізована загальноосвітня школа І-ІІІ ст. № 4 із поглибленим вивченням словацької мови Ужгородської міської ради</t>
  </si>
  <si>
    <t>пл. Жупанатська, 10</t>
  </si>
  <si>
    <t>(1)61-42-14, (2)61-52-54</t>
  </si>
  <si>
    <t>http://szsh4uz.at.ua/</t>
  </si>
  <si>
    <t>37975680</t>
  </si>
  <si>
    <t>українська,словацька</t>
  </si>
  <si>
    <t>англійська,словацька</t>
  </si>
  <si>
    <t>Навчально-виховний комплекс "Первоцвіт" Ужгородської міської ради Закарпатської області</t>
  </si>
  <si>
    <t>88009</t>
  </si>
  <si>
    <t>вул. Ак. Корольова, 2</t>
  </si>
  <si>
    <t>(0312)66-31-76</t>
  </si>
  <si>
    <t>http://pervocvit-uzh.ucoz.ua</t>
  </si>
  <si>
    <t>33868992</t>
  </si>
  <si>
    <t>Навчально-виховний комплекс "Загальноосвітня школа І ступення - дошкільний навчальний заклад" "Ялинка" Ужгородської міської ради Закарпатської області</t>
  </si>
  <si>
    <t>88014</t>
  </si>
  <si>
    <t>вул. Нахімова, 3</t>
  </si>
  <si>
    <t>(88014)63-77-27</t>
  </si>
  <si>
    <t>33125042</t>
  </si>
  <si>
    <t>Спеціалізований навчально-виховний комплекс "загальноосвітня школа І ступеня - дошкільний навчальний заклад" з поглибленим вивченням англійської мови "Пролісок"</t>
  </si>
  <si>
    <t>просп. Свободи, 41</t>
  </si>
  <si>
    <t>(03122)26691</t>
  </si>
  <si>
    <t>http://prolisok.net</t>
  </si>
  <si>
    <t>26099102</t>
  </si>
  <si>
    <t>Ужгородська загальноосвітня спеціалізована школа-інтернат з поглибленим вивченням окремих предметів Закарпатської обласної ради</t>
  </si>
  <si>
    <t>88017</t>
  </si>
  <si>
    <t>вул. Загорська, 28</t>
  </si>
  <si>
    <t>(0312)641243</t>
  </si>
  <si>
    <t>33705574</t>
  </si>
  <si>
    <t>Ужгородська загальноосвітня школа І - ІІІ ст. № 6 ім. В.С. Гренджі - Донського</t>
  </si>
  <si>
    <t>88018</t>
  </si>
  <si>
    <t>вул. Польова, 22</t>
  </si>
  <si>
    <t>(03122)2-45-29</t>
  </si>
  <si>
    <t>22110427</t>
  </si>
  <si>
    <t>Ужгородська загальноосвітня школа І-ІІІ ст. № 8 Ужгородської міської ради Закарпатської області</t>
  </si>
  <si>
    <t>вул. Академіка Корольова, 4</t>
  </si>
  <si>
    <t>(03122)662920</t>
  </si>
  <si>
    <t>http://uzhoctavaschool.ucoz.ua</t>
  </si>
  <si>
    <t>22110114</t>
  </si>
  <si>
    <t>Ужгородська загальноосвітня школа І-ІІ ступенів № 13</t>
  </si>
  <si>
    <t>88007</t>
  </si>
  <si>
    <t>ал. Дендеші, 23</t>
  </si>
  <si>
    <t>(0312)668542</t>
  </si>
  <si>
    <t>Ужгородська загальноосвітня школа І-ІІ ступенів № 14 Ужгородської міської радиЗакарпатської області</t>
  </si>
  <si>
    <t>вул. Тімірязєва, 12</t>
  </si>
  <si>
    <t>(03122)34352</t>
  </si>
  <si>
    <t>Ужгородська загальноосвітня школа І-ІІІ ступенів № 10 з угорською мовою навчання імені Дойко Габора Ужгородської міської ради Закарпатської області</t>
  </si>
  <si>
    <t>вул. Православна набережна, 24</t>
  </si>
  <si>
    <t>(312)617101</t>
  </si>
  <si>
    <t>http://www.gabordayka.klasna.com</t>
  </si>
  <si>
    <t>22110404</t>
  </si>
  <si>
    <t>Ужгородська загальноосвітня школа І-ІІІ ступенів № 12 Ужгородської міської ради Закарпатської області</t>
  </si>
  <si>
    <t>вул. Заньковецької, 17А</t>
  </si>
  <si>
    <t>(03122)2-85-10, (03122)2-86-69</t>
  </si>
  <si>
    <t>http://zosh12.blogspot.com.</t>
  </si>
  <si>
    <t>22110083</t>
  </si>
  <si>
    <t>Ужгородська загальноосвітня школа І-ІІІ ступенів № 15 Ужгородської міської Ради Закарпатської області</t>
  </si>
  <si>
    <t>вул. Заньковецької, 13 А</t>
  </si>
  <si>
    <t>(03122)28534, (03122)28565</t>
  </si>
  <si>
    <t>http://uzh15scool.ucoz.ua</t>
  </si>
  <si>
    <t>20453494</t>
  </si>
  <si>
    <t>Ужгородська загальноосвітня школа І-ІІІ ступенів № 19 Ужгородської міської ради Закарпатської облоасті</t>
  </si>
  <si>
    <t>вул. Заньковецька, 66</t>
  </si>
  <si>
    <t>(0312)652777</t>
  </si>
  <si>
    <t>22110054</t>
  </si>
  <si>
    <t>Ужгородська загальноосвітня школа І-ІІІступенів № 20-ліцей "Лідер" Ужгородської міської ради Закарпатської області</t>
  </si>
  <si>
    <t>вул. Сільвая, 3</t>
  </si>
  <si>
    <t>0503721895</t>
  </si>
  <si>
    <t>22110410</t>
  </si>
  <si>
    <t>Ужгородська загальноосвітня школа І-ІІІ ступенів № 7 Ужгородської міської ради Закарпатської області</t>
  </si>
  <si>
    <t>вул. Дворжака, 41</t>
  </si>
  <si>
    <t>(3122)668455</t>
  </si>
  <si>
    <t>22110025</t>
  </si>
  <si>
    <t>Ужгородська спеціалізована загальноосвітня школа І ступеня № 1 з поглибленим вивченням англійської мови</t>
  </si>
  <si>
    <t>вул. Висок а, 4</t>
  </si>
  <si>
    <t>(03122)34270</t>
  </si>
  <si>
    <t>35335341</t>
  </si>
  <si>
    <t>Ужгородська спеціалізована загальноосвітня школа І-ІІІ ступенів № 2 з поглибленим вивченням окремих предметів Ужгородської міської ради Закарпатської області</t>
  </si>
  <si>
    <t>вул. Підгірна, 43</t>
  </si>
  <si>
    <t>(03122)61-27-07</t>
  </si>
  <si>
    <t>http://school2.in.ua</t>
  </si>
  <si>
    <t>38415136</t>
  </si>
  <si>
    <t>Ужгородська спеціалізована школа І-ІІІ ступенів № 3 з поглибленим виченням англійської мови Ужгородської міської ради Закарпатської області</t>
  </si>
  <si>
    <t>наб. Незалежності, 19</t>
  </si>
  <si>
    <t>(0312)34141</t>
  </si>
  <si>
    <t>22110060</t>
  </si>
  <si>
    <t>англійська,чешська</t>
  </si>
  <si>
    <t>Ужгородська спеціалізована школа І-ІІІ ступенів № 5 з поглибленим вивченням іноземних мов Ужгородської міської ради Закарпатської області</t>
  </si>
  <si>
    <t>наб. Київська, 16</t>
  </si>
  <si>
    <t>(03122)34067, (0312)613916, (0312)35172</t>
  </si>
  <si>
    <t>22110077</t>
  </si>
  <si>
    <t>Ужгородська спеціальна загальноосвітня школа-інтернат І-ІІІ ступенів Закарпатської обласної ради</t>
  </si>
  <si>
    <t>вул. Щедріна, 34</t>
  </si>
  <si>
    <t>(0312)64-15-24</t>
  </si>
  <si>
    <t>22111556</t>
  </si>
  <si>
    <t>Навчально-виховний комплекс "Веселка" Ужгородської міської ради Закарпатської області</t>
  </si>
  <si>
    <t>вул. Володимирська, 38</t>
  </si>
  <si>
    <t>(0312)613980</t>
  </si>
  <si>
    <t>35335425</t>
  </si>
  <si>
    <t>Берегівська вечірня (змінна) школа Берегівської міської ради Закарпатської області</t>
  </si>
  <si>
    <t>90202</t>
  </si>
  <si>
    <t>2110200000</t>
  </si>
  <si>
    <t>Берегове</t>
  </si>
  <si>
    <t>вул. Есе Томаша, 1</t>
  </si>
  <si>
    <t>(03141)24138</t>
  </si>
  <si>
    <t>33245162</t>
  </si>
  <si>
    <t>Берегівська гімназія Берегівської міської ради Закарпатської області</t>
  </si>
  <si>
    <t>вул. Стефаника, 22</t>
  </si>
  <si>
    <t>(03141)23550</t>
  </si>
  <si>
    <t>22098620</t>
  </si>
  <si>
    <t>Берегівська загальноосвітня школа I-III ступенів № 3 імені Зріні Ілони Берегівської міської ради Закарпатської області, місто Берегово</t>
  </si>
  <si>
    <t>90201</t>
  </si>
  <si>
    <t>(03141)23382</t>
  </si>
  <si>
    <t>26326638</t>
  </si>
  <si>
    <t>українська,угорська</t>
  </si>
  <si>
    <t>Берегівська загальноосвітня школа І-ІІ ступенів № 6 імені Ганни Горват Берегівської міської ради Закарпатської області</t>
  </si>
  <si>
    <t>вул. Шевченка, 25</t>
  </si>
  <si>
    <t>(03141)23101</t>
  </si>
  <si>
    <t>http://beregovoschool6.klasna.com</t>
  </si>
  <si>
    <t>26327425</t>
  </si>
  <si>
    <t>Берегівська загальноосвітня школа І-ІІ ступенів № 9 з угорською мовою навчання Берегівської міської ради Закарпатської області</t>
  </si>
  <si>
    <t>вул. Петефі, 30</t>
  </si>
  <si>
    <t>(03141)23875</t>
  </si>
  <si>
    <t>http://beregovoskol9.klasna.com</t>
  </si>
  <si>
    <t>26327448</t>
  </si>
  <si>
    <t>Берегівська загальноосвітня школа І-ІІІ ступенів № 1 Берегівської міської ради Закарпатської області</t>
  </si>
  <si>
    <t>(03141)23551</t>
  </si>
  <si>
    <t>http://beregovoschool1.klasna.com</t>
  </si>
  <si>
    <t>26212490</t>
  </si>
  <si>
    <t>Берегівська загальноосвітня школа І-ІІІ ступенів № 10 Берегівської міської ради Закарпатської області</t>
  </si>
  <si>
    <t>вул. Еккел Д'ердя, 3</t>
  </si>
  <si>
    <t>(3803141)2-43-28</t>
  </si>
  <si>
    <t>http://beregovoschool10.klasna.com</t>
  </si>
  <si>
    <t>російська,угорська</t>
  </si>
  <si>
    <t>угорська,англійська</t>
  </si>
  <si>
    <t>Берегівська загальноосвітня школа І-ІІІ ступенів № 4 з угорською мовою навчання імені Лайоша Кошута Берегівської міської ради Закарпатськ0ї області</t>
  </si>
  <si>
    <t>вул. Богдана Хмельницького, 18</t>
  </si>
  <si>
    <t>26394806</t>
  </si>
  <si>
    <t>Берегівська загальноосвітня школа І-ІІІ ступенів № 5 з поглибленим вивченням англійської мови імені Т.Г.Шевченка Берегівської міської ради Закарпатської області</t>
  </si>
  <si>
    <t>вул. Ессе Томаша, 1</t>
  </si>
  <si>
    <t>(03141)22154</t>
  </si>
  <si>
    <t>26327419</t>
  </si>
  <si>
    <t>Берегівська загальноосвітня школа І-ІІступенів № 7 з угорською мовою навчання Берегівської міської ради Закрпатської області</t>
  </si>
  <si>
    <t>вул. Рожошкерт, 130</t>
  </si>
  <si>
    <t>(03141)22132</t>
  </si>
  <si>
    <t>26327431</t>
  </si>
  <si>
    <t>Берегівська угорська гімназія імені Габора Бетлена</t>
  </si>
  <si>
    <t>вул. 25</t>
  </si>
  <si>
    <t>(3141)22076</t>
  </si>
  <si>
    <t>22094289</t>
  </si>
  <si>
    <t>Комунальна організація (установа, заклад) Берегівська спеціалізована школа-інтернат І-ІІІ ступенів</t>
  </si>
  <si>
    <t>22114454</t>
  </si>
  <si>
    <t>Закарпатський обласний ліцей-інтернат з посиленою військово-фізичною підготовкою</t>
  </si>
  <si>
    <t>89600</t>
  </si>
  <si>
    <t>2110400000</t>
  </si>
  <si>
    <t>Мукачеве</t>
  </si>
  <si>
    <t>вул. Духновича, 17</t>
  </si>
  <si>
    <t>(03131)38275, (03131)38265</t>
  </si>
  <si>
    <t>30444332</t>
  </si>
  <si>
    <t>Мукачівська загальноосвітня школа І- ІІІ ступенів № 2 ім. Т. Г. Шевченка Мукачівської міської ради Закарпатської області</t>
  </si>
  <si>
    <t>вул. Павлова Івана академіка, 14</t>
  </si>
  <si>
    <t>(03131)2-24-79</t>
  </si>
  <si>
    <t>22112389</t>
  </si>
  <si>
    <t>Муачівська загальноосвітня школа І-ІІ ступенів № 14 Мукачівської міської ради Закарпатської області</t>
  </si>
  <si>
    <t>вул. Цібере Василя, 72</t>
  </si>
  <si>
    <t>22112509</t>
  </si>
  <si>
    <t>Мукачівська загальноосвітня школа І-ІІІ ступенів № 7 Мукачівської міської ради Закарпатської області</t>
  </si>
  <si>
    <t>вул. Комарова, 35</t>
  </si>
  <si>
    <t>22112432</t>
  </si>
  <si>
    <t>Мукачівський навчально-виховний комплекс "Загальноосвітня школа І-ІІІ ст.-дошкільний навчальний заклад" № 10 Мукачівської міської ради Закарпатської області</t>
  </si>
  <si>
    <t>вул. Драгоманова Михайла, 66</t>
  </si>
  <si>
    <t>(3131)3-38-06, (3131)2-30-00</t>
  </si>
  <si>
    <t>http://mukzoch10.usite.pro</t>
  </si>
  <si>
    <t>22112478</t>
  </si>
  <si>
    <t>Мукачівська загальноосвітня школа І-ІІІ ступенів № 13 Мукачівської міської ради Закарпатської області</t>
  </si>
  <si>
    <t>вул. Росвигівська, 13</t>
  </si>
  <si>
    <t>(03131)52151</t>
  </si>
  <si>
    <t>22112426</t>
  </si>
  <si>
    <t>Мукачівська загальноосвітня школа І-ІІІ ступенів № 20 ім. О. Духновича Мукачівської міської ради Закарпатської області</t>
  </si>
  <si>
    <t>пл. О.Духновича, 17</t>
  </si>
  <si>
    <t>(03131)2-13-50</t>
  </si>
  <si>
    <t>http://mukach.ucoz.ua/</t>
  </si>
  <si>
    <t>22112538</t>
  </si>
  <si>
    <t>Мукачівська загальноосвітня школа І-ІІІ ступенів № 1 ім.О.С.Пушкіна Мукачівської міської ради Закарпатської області</t>
  </si>
  <si>
    <t>вул. Пушкіна, 23</t>
  </si>
  <si>
    <t>(03131)21587</t>
  </si>
  <si>
    <t>22112372</t>
  </si>
  <si>
    <t>Мукачівська спеціалізована школа I-III ступенів № 4 з поглибленим вивченням окремих предметів та курсів Мукачівської міської ради Закарпатської області</t>
  </si>
  <si>
    <t>вул. Ілони Зріні, 34</t>
  </si>
  <si>
    <t>(03131)2-21-21, (03131)4-21-43</t>
  </si>
  <si>
    <t>http://szosh4.com.ua</t>
  </si>
  <si>
    <t>22112403</t>
  </si>
  <si>
    <t>Мукачівська спеціалізована школа І-ІІІ ступенів № 16 з поглибленим вивченням окремих предметів та курсів Мукачівської міської ради Закарпатської області</t>
  </si>
  <si>
    <t>вул. Шевченка Тараса, 68</t>
  </si>
  <si>
    <t>(03131)22258</t>
  </si>
  <si>
    <t>http://school16.org.ua</t>
  </si>
  <si>
    <t>22112515</t>
  </si>
  <si>
    <t>Мукачівська спеціалізована школа І-ІІІ ступенів № 3 ім.Ф.Ракоці ІІ з поглибленим вивченням окремих предметів та курсів</t>
  </si>
  <si>
    <t>(031)54792, (031)21355</t>
  </si>
  <si>
    <t>22112395</t>
  </si>
  <si>
    <t>Мукачівська спеціальна загальноосвітня школа-інтернат І-ІІ ступенів Закарпатської обласної ради</t>
  </si>
  <si>
    <t>вул. Болгарська, 4</t>
  </si>
  <si>
    <t>(03131)2-32-53, (03131)3-34-04</t>
  </si>
  <si>
    <t>http://mukachevo-speczosh.edukit.uz.ua/</t>
  </si>
  <si>
    <t>22112567</t>
  </si>
  <si>
    <t>Мукачівськи ліцей імені Святого Іштвана з поглибленим навчанням інформатики та іноземних мов</t>
  </si>
  <si>
    <t>вул. Недецеї, 20</t>
  </si>
  <si>
    <t>26031434</t>
  </si>
  <si>
    <t>Мукачівський ліцей Мукачівської міської ради Закарпатської області</t>
  </si>
  <si>
    <t>вул. Пушкіна, 21</t>
  </si>
  <si>
    <t>22112610</t>
  </si>
  <si>
    <t>Мукачівський навчально-виховний комплекс "Дошкільний навчальний заклад - загальноосвітня школа I ступеня - гімназія" Мукачівської міської ради Закарпатської області</t>
  </si>
  <si>
    <t>вул. Єлизавети королеви, 22</t>
  </si>
  <si>
    <t>(03131)21568, (03131)42266</t>
  </si>
  <si>
    <t>Мукачівський навчально-виховний комплекс "Загальноосвітня школа І-ІІ ступенів - дошкільний навчальний комплекс "Первоцвіт"</t>
  </si>
  <si>
    <t>вул. Космонавтів, 31</t>
  </si>
  <si>
    <t>(03131)42379</t>
  </si>
  <si>
    <t>22112461</t>
  </si>
  <si>
    <t>Мукачівський навчально-виховний комплекс "Загальноосвітня школа І-ІІІ ступенів - дошкільний навчальний заклад" № 15 Мукачівської міської ради Закарпатської області</t>
  </si>
  <si>
    <t>(03131)24032</t>
  </si>
  <si>
    <t>http://15shkolamukachevo.jimdo.com/</t>
  </si>
  <si>
    <t>Мукачівський навчально-виховний комплекс "Загальноосвітня школа І-ІІІ ступенів - дошкільний навчальний заклад" № 11</t>
  </si>
  <si>
    <t>вул. Осипенка Олександра, 58</t>
  </si>
  <si>
    <t>(03131)51952</t>
  </si>
  <si>
    <t>22112490</t>
  </si>
  <si>
    <t>Мукачівський навчально-виховний комплекс "Загальноосвітня школа І-ІІІ ступенів - дошкільний навчальний заклад" № 6 Мукачівської міської ради Закарпатської області</t>
  </si>
  <si>
    <t>вул. Підгорянська, 76</t>
  </si>
  <si>
    <t>(03131)35680</t>
  </si>
  <si>
    <t>російська,англійська,чешська</t>
  </si>
  <si>
    <t>Мукачівський навчально-виховний комплекс "Загальноосвітня школа І-ІІІ ступенів- дошкільний навчальний заклад "Гармонія" Мукачівської міської ради Закарпатської області</t>
  </si>
  <si>
    <t>вул. Ужгородська, 27</t>
  </si>
  <si>
    <t>(03131)23079</t>
  </si>
  <si>
    <t>22112413</t>
  </si>
  <si>
    <t>Приватний навчально-виховний комплекс "дошкільний навчальний заклад-загальноосвітня школа І-ІІІ ступенів "Еммануїл"</t>
  </si>
  <si>
    <t>ал. Мічуріна, 3</t>
  </si>
  <si>
    <t>0506724743</t>
  </si>
  <si>
    <t>Навчально-реабілітаційний центр Хустської районної державної адміністрації</t>
  </si>
  <si>
    <t>90400</t>
  </si>
  <si>
    <t>2110800000</t>
  </si>
  <si>
    <t>Хуст</t>
  </si>
  <si>
    <t>вул. Карпатської України, 20</t>
  </si>
  <si>
    <t>(03142)51894</t>
  </si>
  <si>
    <t>37255310</t>
  </si>
  <si>
    <t>Хустська гімназія-інтернат</t>
  </si>
  <si>
    <t>гімназія-інтернат</t>
  </si>
  <si>
    <t>вул. Корятовича, 2</t>
  </si>
  <si>
    <t>(03142)4-35-53</t>
  </si>
  <si>
    <t>20453382</t>
  </si>
  <si>
    <t>Хустська загальноосвітня школа І-ІІ ступенів Хустської міської ради Закарпатської області</t>
  </si>
  <si>
    <t>вул. Слов'янська, 4</t>
  </si>
  <si>
    <t>(03142)51188</t>
  </si>
  <si>
    <t>26325870</t>
  </si>
  <si>
    <t>Хустська загальноосвітня школа І-ІІІ ступенів № 4 Хустської міської ради Закарпатської області</t>
  </si>
  <si>
    <t>вул. Керамічна, 17</t>
  </si>
  <si>
    <t>(03142)43652</t>
  </si>
  <si>
    <t>26325886</t>
  </si>
  <si>
    <t>Хустська загальноосвітня школа І-ІІІ ступенів № 5</t>
  </si>
  <si>
    <t>вул. Львівська, 70</t>
  </si>
  <si>
    <t>(03142)44159</t>
  </si>
  <si>
    <t>26325372</t>
  </si>
  <si>
    <t>Хустська загальноосвітня школа І-ІІІ ступенів № 2</t>
  </si>
  <si>
    <t>вул. Свободи, 10</t>
  </si>
  <si>
    <t>26325900</t>
  </si>
  <si>
    <t>Хустська спеціалізована школа I - III ступенів № 3 Хустської міської ради Закарпатської обасті</t>
  </si>
  <si>
    <t>вул. Степана Бандери, 1 а</t>
  </si>
  <si>
    <t>(03142)53274, (03142)53112</t>
  </si>
  <si>
    <t>26325892</t>
  </si>
  <si>
    <t>Хустська спеціалізована школа І-ІІІ ступенів № 1 ім. А. Волошина</t>
  </si>
  <si>
    <t>вул. Карпатської України, 16</t>
  </si>
  <si>
    <t>(03142)43116</t>
  </si>
  <si>
    <t>26325975</t>
  </si>
  <si>
    <t>Хустська спеціалізована школа І-ІІІ ступенів № 6 Хустської міської ради Закарпатської області</t>
  </si>
  <si>
    <t>вул. Карпатської Січі, 47</t>
  </si>
  <si>
    <t>(03142)43641</t>
  </si>
  <si>
    <t>26325774</t>
  </si>
  <si>
    <t>Хустська спеціальна школа-інтернат I-III ступенів Закарпатської обласної ради</t>
  </si>
  <si>
    <t>вул. Карпатської Січі, 48</t>
  </si>
  <si>
    <t>(03142)44366</t>
  </si>
  <si>
    <t>20453376</t>
  </si>
  <si>
    <t>Хустський навчально-виховний комплекс № 1 Хустської міської ради Закарпатської області</t>
  </si>
  <si>
    <t>(03142)45502</t>
  </si>
  <si>
    <t>http://nvk1.ucoz.ua/</t>
  </si>
  <si>
    <t>26325314</t>
  </si>
  <si>
    <t>Кірешська загальноосвітня школа І ступеня Хустської міської ради Закарпатської області</t>
  </si>
  <si>
    <t>2110890002</t>
  </si>
  <si>
    <t>Кіреші</t>
  </si>
  <si>
    <t>вул. І. Чендея, 49</t>
  </si>
  <si>
    <t>(03142)5960</t>
  </si>
  <si>
    <t>26325780</t>
  </si>
  <si>
    <t>Чопська загальноосвітня школа І-ІІІ ступенів № 1 Чопської міської ради Закарпатської області</t>
  </si>
  <si>
    <t>89502</t>
  </si>
  <si>
    <t>2111000000</t>
  </si>
  <si>
    <t>Чоп</t>
  </si>
  <si>
    <t>Чопська загальноосвітня школа І-ІІІ ступенів № 2 імені Іштвана Сечені Чопської міської ради Закарпатської області</t>
  </si>
  <si>
    <t>(0312)711462</t>
  </si>
  <si>
    <t>Батівська загальноосвітня школа І-ІІІ ступенів Берегівської рійонної ради Закарпатської області</t>
  </si>
  <si>
    <t>90212</t>
  </si>
  <si>
    <t>2120455400</t>
  </si>
  <si>
    <t>Батьово</t>
  </si>
  <si>
    <t>вул. Вашут, 52</t>
  </si>
  <si>
    <t>(03141)49343</t>
  </si>
  <si>
    <t>25998985</t>
  </si>
  <si>
    <t>загальгоосвітня школа сад І-ІІ ступуня смт. Батьово Берегівський район Закарпатська область</t>
  </si>
  <si>
    <t>(03141)49143</t>
  </si>
  <si>
    <t>25998979</t>
  </si>
  <si>
    <t>Астейська загальноосвітня школа І ступеня</t>
  </si>
  <si>
    <t>2120480101</t>
  </si>
  <si>
    <t>Астей</t>
  </si>
  <si>
    <t>вул. Дружба народів, 62</t>
  </si>
  <si>
    <t>26098901</t>
  </si>
  <si>
    <t>Батрадівська загальноосвітня школа 1 ступеня</t>
  </si>
  <si>
    <t>90213</t>
  </si>
  <si>
    <t>2120480401</t>
  </si>
  <si>
    <t>Батрадь</t>
  </si>
  <si>
    <t>ал. вул. Лесі Українки, 48</t>
  </si>
  <si>
    <t>0958723884</t>
  </si>
  <si>
    <t>26395312</t>
  </si>
  <si>
    <t>Батрадівська загальноосвітня школа І-ІІ ступенів Берегівської районної ради Закарпатської області</t>
  </si>
  <si>
    <t>вул. Сечені, 148</t>
  </si>
  <si>
    <t>(03141)65291</t>
  </si>
  <si>
    <t>26098870</t>
  </si>
  <si>
    <t>Горонглабський навчально-виховний комплекс " дошкільний навчальний заклад-загальноосвітня школа І-ІІ ст." Берегівської районної ради Закарпатської області</t>
  </si>
  <si>
    <t>90214</t>
  </si>
  <si>
    <t>2120480402</t>
  </si>
  <si>
    <t>Горонглаб</t>
  </si>
  <si>
    <t>050-2-19</t>
  </si>
  <si>
    <t>26098893</t>
  </si>
  <si>
    <t>Великоберезька загальноосвітня школа І-ІІІ ступенів Берегівської районньої ради Закарпатської області з українською та угорською мовами навчання</t>
  </si>
  <si>
    <t>90242</t>
  </si>
  <si>
    <t>2120480801</t>
  </si>
  <si>
    <t>Великі Береги</t>
  </si>
  <si>
    <t>вул. ІІ Раковці Ференца, 161/а</t>
  </si>
  <si>
    <t>(56)2-89</t>
  </si>
  <si>
    <t>Ліцей з гуманітарним та природничим профілем с. Великі Береги</t>
  </si>
  <si>
    <t>вул. Ф. Ракоці ІІ, 80</t>
  </si>
  <si>
    <t>(03141)42988, (03141)56296</t>
  </si>
  <si>
    <t>22100788</t>
  </si>
  <si>
    <t>Бадалівська загальноосвітня школа І-ІІ ступенів ім.Йожефа Гводані Берегівської районной рвди Закарпатської області</t>
  </si>
  <si>
    <t>90253</t>
  </si>
  <si>
    <t>2120481201</t>
  </si>
  <si>
    <t>Бадалово</t>
  </si>
  <si>
    <t>вул. мартирок, 107</t>
  </si>
  <si>
    <t>26098539</t>
  </si>
  <si>
    <t>Варівська загальноосвітня школа І-ІІІ ступенів з угорською мовою навчання ім. Ференца Ракоці ІІ Берегівської районної ради Закарпатської області</t>
  </si>
  <si>
    <t>90255</t>
  </si>
  <si>
    <t>2120481601</t>
  </si>
  <si>
    <t>Вари</t>
  </si>
  <si>
    <t>вул. Варошдерек, 57</t>
  </si>
  <si>
    <t>(00383141)73244</t>
  </si>
  <si>
    <t>http://variiskola.0fees.net/ua</t>
  </si>
  <si>
    <t>26212030</t>
  </si>
  <si>
    <t>Боржавська загальноосвітня школа І-ІІ ступенів з угорською мовою навчання Берегівської районної Ради Закарпатської області</t>
  </si>
  <si>
    <t>90256</t>
  </si>
  <si>
    <t>2120481701</t>
  </si>
  <si>
    <t>Боржава</t>
  </si>
  <si>
    <t>вул. Кошута, 136</t>
  </si>
  <si>
    <t>51-2-34</t>
  </si>
  <si>
    <t>26098858</t>
  </si>
  <si>
    <t>Великобийганська загальноосвітня школа І-ІІ ступенів Берегвської районної ради закарпатської області</t>
  </si>
  <si>
    <t>90232</t>
  </si>
  <si>
    <t>2120482001</t>
  </si>
  <si>
    <t>Велика Бийгань</t>
  </si>
  <si>
    <t>(03141)54234</t>
  </si>
  <si>
    <t>Малобийганська загальноосвітня школа І-ІІ ступенів Берегівської районної ради Закарпатської област</t>
  </si>
  <si>
    <t>2120482002</t>
  </si>
  <si>
    <t>Мала Бийгань</t>
  </si>
  <si>
    <t>вул. Визволення, 67</t>
  </si>
  <si>
    <t>26098628</t>
  </si>
  <si>
    <t>Галаборська загальноосвітня школа I -II ступенів Берегівської районної ради Закарпатської області</t>
  </si>
  <si>
    <t>90254</t>
  </si>
  <si>
    <t>2120482201</t>
  </si>
  <si>
    <t>Галабор</t>
  </si>
  <si>
    <t>вул. Велика, 129</t>
  </si>
  <si>
    <t>(380)955105884</t>
  </si>
  <si>
    <t>26098551</t>
  </si>
  <si>
    <t>Гутівська Загальноосвітня школа І-ІІ ступенів Берегівської районної ради ,Закарпатської областьі</t>
  </si>
  <si>
    <t>90230</t>
  </si>
  <si>
    <t>2120482401</t>
  </si>
  <si>
    <t>Гут</t>
  </si>
  <si>
    <t>6</t>
  </si>
  <si>
    <t>(314161)296</t>
  </si>
  <si>
    <t>26098545</t>
  </si>
  <si>
    <t>Гатянська загальноосвітня школа І-ІІІ ступенів імені Ковача Вільмоша Берегівської районної ради Закарпатської області</t>
  </si>
  <si>
    <t>90231</t>
  </si>
  <si>
    <t>2120482801</t>
  </si>
  <si>
    <t>Гать</t>
  </si>
  <si>
    <t>(031417)6153</t>
  </si>
  <si>
    <t>26326006</t>
  </si>
  <si>
    <t>Гечанська загальноосвітня школа І-ІІ ступенів з угорською мовою навчання Берегівського району Закарпатської області</t>
  </si>
  <si>
    <t>90251</t>
  </si>
  <si>
    <t>2120483201</t>
  </si>
  <si>
    <t>Геча</t>
  </si>
  <si>
    <t>вул. Світанкова, 42</t>
  </si>
  <si>
    <t>(03141)41448, (380)664437140, (380)997581894</t>
  </si>
  <si>
    <t>26098568</t>
  </si>
  <si>
    <t>Навчально-виховний комплекс "Дошкільний навчальний заклад - загальноосвітній навчальний заклад І ступеня Великобактянської сільської ради Берегівського району</t>
  </si>
  <si>
    <t>90252</t>
  </si>
  <si>
    <t>2120483301</t>
  </si>
  <si>
    <t>Велика Бакта</t>
  </si>
  <si>
    <t>0502809731</t>
  </si>
  <si>
    <t>Чомська загальноосвітня школа І-ІІІступенів Берегівської районної ради Закарпатської області</t>
  </si>
  <si>
    <t>90250</t>
  </si>
  <si>
    <t>2120483401</t>
  </si>
  <si>
    <t>Чома</t>
  </si>
  <si>
    <t>вул. Петефі, 47</t>
  </si>
  <si>
    <t>26098835</t>
  </si>
  <si>
    <t>Навчально-виховний комплекс "Дошкільний навчальний заклад- загальноосвітня школа І ступеня Берегівського району Закарпатської області"</t>
  </si>
  <si>
    <t>90243</t>
  </si>
  <si>
    <t>2120483501</t>
  </si>
  <si>
    <t>Кідьош</t>
  </si>
  <si>
    <t>вул. Петефі, 57</t>
  </si>
  <si>
    <t>26098580</t>
  </si>
  <si>
    <t>Дийдянська загальноосвітня школа І-ІІ ступенів</t>
  </si>
  <si>
    <t>90234</t>
  </si>
  <si>
    <t>2120483603</t>
  </si>
  <si>
    <t>Дийда</t>
  </si>
  <si>
    <t>вул. Спортивна, 7</t>
  </si>
  <si>
    <t>(31-41-68)2-82</t>
  </si>
  <si>
    <t>Шомівська загальноосвітня школа І-ІІ ступенів</t>
  </si>
  <si>
    <t>90220</t>
  </si>
  <si>
    <t>2120484001</t>
  </si>
  <si>
    <t>Шом</t>
  </si>
  <si>
    <t>72-3-34</t>
  </si>
  <si>
    <t>26098597</t>
  </si>
  <si>
    <t>Каштанівська загальноосвітня школа І-ступеня Берегівської районної ради Закарпатської області</t>
  </si>
  <si>
    <t>2120484002</t>
  </si>
  <si>
    <t>Каштаново</t>
  </si>
  <si>
    <t>вул. Визволення, 55</t>
  </si>
  <si>
    <t>72317</t>
  </si>
  <si>
    <t>26326880</t>
  </si>
  <si>
    <t>Бенянський навчально- виховний комплекс "загальноосвітня школа І-ІІ ступенів -дошкільний навчальний заклад " Берегівської районної ради Закарпатської області</t>
  </si>
  <si>
    <t>90261</t>
  </si>
  <si>
    <t>2120484401</t>
  </si>
  <si>
    <t>Бене</t>
  </si>
  <si>
    <t>вул. Ракоці, 83/а</t>
  </si>
  <si>
    <t>(74)244</t>
  </si>
  <si>
    <t>26098918</t>
  </si>
  <si>
    <t>Запсонська загальноосвітня школа І-ІІ ступенів з угорською мовою навчання Берегівської районної ради Закарпатської області</t>
  </si>
  <si>
    <t>90224</t>
  </si>
  <si>
    <t>2120484801</t>
  </si>
  <si>
    <t>Запсонь</t>
  </si>
  <si>
    <t>вул. Шандора Петефі, 1</t>
  </si>
  <si>
    <t>(90)224</t>
  </si>
  <si>
    <t>26098887</t>
  </si>
  <si>
    <t>Яношівська загальноосвітня школа І-ІІІ ступенів Берегівської районної ради Закарпатської області</t>
  </si>
  <si>
    <t>90233</t>
  </si>
  <si>
    <t>2120485201</t>
  </si>
  <si>
    <t>Яноші</t>
  </si>
  <si>
    <t>вул. Шевченка, 44</t>
  </si>
  <si>
    <t>(03141)78367</t>
  </si>
  <si>
    <t>26031920</t>
  </si>
  <si>
    <t>Яношівський ліцей сільськогосподарського профілю з наданням прфесійної підготовки</t>
  </si>
  <si>
    <t>вул. Церковна, 12/a</t>
  </si>
  <si>
    <t>((0-31-41-))78-3-88</t>
  </si>
  <si>
    <t>22088320</t>
  </si>
  <si>
    <t>Квасівська загальноосвітня школа І-ІІ ступенів Берегівської районної ради Закарпатської області</t>
  </si>
  <si>
    <t>90264</t>
  </si>
  <si>
    <t>2120485401</t>
  </si>
  <si>
    <t>Квасово</t>
  </si>
  <si>
    <t>вул. Головна, 2</t>
  </si>
  <si>
    <t>26098924</t>
  </si>
  <si>
    <t>Косоньська загальноосвітня школа І-ІІІ ст. з угорською мовою навчання</t>
  </si>
  <si>
    <t>90223</t>
  </si>
  <si>
    <t>2120485601</t>
  </si>
  <si>
    <t>Косонь</t>
  </si>
  <si>
    <t>вул. Бочкая, 16</t>
  </si>
  <si>
    <t>(314167)244</t>
  </si>
  <si>
    <t>Гунядівська загальноосвітня школа І ступеня Берегівської районної ради Закарпатської області</t>
  </si>
  <si>
    <t>2120486005</t>
  </si>
  <si>
    <t>Гуняді</t>
  </si>
  <si>
    <t>54</t>
  </si>
  <si>
    <t>0997374667</t>
  </si>
  <si>
    <t>26327247</t>
  </si>
  <si>
    <t>Мужіївська загальноосвітня школа І-ІІІ ступенів Берегівської районної ради Закарпатської області</t>
  </si>
  <si>
    <t>90260</t>
  </si>
  <si>
    <t>2120486401</t>
  </si>
  <si>
    <t>Мужієво</t>
  </si>
  <si>
    <t>(71)292</t>
  </si>
  <si>
    <t>Нижньореметівська загальноосвітня школа І-ІІ ступенів Берегівської районної ради Закарпатської області</t>
  </si>
  <si>
    <t>90241</t>
  </si>
  <si>
    <t>2120486801</t>
  </si>
  <si>
    <t>Нижні Ремети</t>
  </si>
  <si>
    <t>ал. Центральна, 166</t>
  </si>
  <si>
    <t>(066)5548253</t>
  </si>
  <si>
    <t>26098829</t>
  </si>
  <si>
    <t>Берегуйфалівська загальноосвітня школа І-ІІступенів Берегівської районної ради Закарпатської області</t>
  </si>
  <si>
    <t>90240</t>
  </si>
  <si>
    <t>2120487201</t>
  </si>
  <si>
    <t>Берегуйфалу</t>
  </si>
  <si>
    <t>ал. Виноградна, 23</t>
  </si>
  <si>
    <t>(64)2-34</t>
  </si>
  <si>
    <t>26098574</t>
  </si>
  <si>
    <t>ЗАГАЛЬНООСВІТНЯ ШКОЛА І-ІІ СТУПЕНІВ З УГОРСЬКОЮ МОВОЮ НАВЧАННЯ с. Оросієво</t>
  </si>
  <si>
    <t>90263</t>
  </si>
  <si>
    <t>2120487601</t>
  </si>
  <si>
    <t>Оросієво</t>
  </si>
  <si>
    <t>вул. Головна, № 77</t>
  </si>
  <si>
    <t>(3141)53-217</t>
  </si>
  <si>
    <t>26098611</t>
  </si>
  <si>
    <t>Попівська загальноосвітня школа І-ІІ ступенів з угорською мовою навчання Берегівської районної ради Закарпатської області</t>
  </si>
  <si>
    <t>90221</t>
  </si>
  <si>
    <t>2120488001</t>
  </si>
  <si>
    <t>Попово</t>
  </si>
  <si>
    <t>26326897</t>
  </si>
  <si>
    <t>Гетенська загальноосвітня школа І-ІІ ступенів з угорською мовою навчання Берегівської районної ради Закарпатської області</t>
  </si>
  <si>
    <t>90222</t>
  </si>
  <si>
    <t>2120488002</t>
  </si>
  <si>
    <t>Гетен</t>
  </si>
  <si>
    <t>(3141)66244</t>
  </si>
  <si>
    <t>26098605</t>
  </si>
  <si>
    <t>Рафайнівська загальноосвітня школа І-ІІ ст. Берегівська РДА</t>
  </si>
  <si>
    <t>90225</t>
  </si>
  <si>
    <t>2120488201</t>
  </si>
  <si>
    <t>Рафайново</t>
  </si>
  <si>
    <t>952536274</t>
  </si>
  <si>
    <t>26098841</t>
  </si>
  <si>
    <t>Свободянська загальноосвітня школа І ступеня</t>
  </si>
  <si>
    <t>90210</t>
  </si>
  <si>
    <t>2120488401</t>
  </si>
  <si>
    <t>Свобода</t>
  </si>
  <si>
    <t>вул. Миру, 57</t>
  </si>
  <si>
    <t>(03141)49682</t>
  </si>
  <si>
    <t>26394611</t>
  </si>
  <si>
    <t>Свободянська загальноосвітня школа І-ІІІ ступенів Берегівської районної ради Закарпатської області</t>
  </si>
  <si>
    <t>90211</t>
  </si>
  <si>
    <t>2120488403</t>
  </si>
  <si>
    <t>Бакош</t>
  </si>
  <si>
    <t>(03141)49509</t>
  </si>
  <si>
    <t>26098864</t>
  </si>
  <si>
    <t>російська,угорська,англійська</t>
  </si>
  <si>
    <t>Данилівська загальноосвітня школа І ступеня</t>
  </si>
  <si>
    <t>2120488404</t>
  </si>
  <si>
    <t>вул. Гагаріна, 66</t>
  </si>
  <si>
    <t>49-6-44</t>
  </si>
  <si>
    <t>Четфалвівська загальноосвітня школа І-ІІ ступенів з угорською мовою навчання Берегівської районної ради Закарпатської області</t>
  </si>
  <si>
    <t>90262</t>
  </si>
  <si>
    <t>2120489201</t>
  </si>
  <si>
    <t>Четфалва</t>
  </si>
  <si>
    <t>вул. Петефі, 94</t>
  </si>
  <si>
    <t>62-2-71</t>
  </si>
  <si>
    <t>26098516</t>
  </si>
  <si>
    <t>Великоберезнянська гімназія Великоберезнянської рвйонної ради Закарпатської області</t>
  </si>
  <si>
    <t>89000</t>
  </si>
  <si>
    <t>2120855100</t>
  </si>
  <si>
    <t>Великий Березний</t>
  </si>
  <si>
    <t>вул. Шевченка, 2А</t>
  </si>
  <si>
    <t>(03135)23122</t>
  </si>
  <si>
    <t>26327230</t>
  </si>
  <si>
    <t>Великоберезнянська загальноосвітня санаторна школа-інтернат І-ІІІ ступенів Закарпатської обласної ради</t>
  </si>
  <si>
    <t>вул. Штефаника, 126</t>
  </si>
  <si>
    <t>(03135)23156</t>
  </si>
  <si>
    <t>22107388</t>
  </si>
  <si>
    <t>Великоберезнянська загальноосвітня школа І-ІІІ ступенів Великоберезнянської районної ради Закарпатської області</t>
  </si>
  <si>
    <t>вул. Загородня, 70</t>
  </si>
  <si>
    <t>(03135)21972</t>
  </si>
  <si>
    <t>26326242</t>
  </si>
  <si>
    <t>Верховинобистрянська загальноосвітня школа І-ІІ ступенів Великоберезнянської районної ради Закарпатської області</t>
  </si>
  <si>
    <t>89015</t>
  </si>
  <si>
    <t>2120880801</t>
  </si>
  <si>
    <t>Верховина-Бистра</t>
  </si>
  <si>
    <t>56</t>
  </si>
  <si>
    <t>26326147</t>
  </si>
  <si>
    <t>Волосянківська загальноосвітня школа І ступеня Великоберезнянської районної ради Закарпатської області</t>
  </si>
  <si>
    <t>89030</t>
  </si>
  <si>
    <t>2120881301</t>
  </si>
  <si>
    <t>Волосянка</t>
  </si>
  <si>
    <t>55</t>
  </si>
  <si>
    <t>0954945505</t>
  </si>
  <si>
    <t>26327543</t>
  </si>
  <si>
    <t>Волосянківська загальноосвітня школа І-ІІІ ступенів Великоберезнянської районної ради Закарпатської області</t>
  </si>
  <si>
    <t>396</t>
  </si>
  <si>
    <t>(38)3-32</t>
  </si>
  <si>
    <t>26326070</t>
  </si>
  <si>
    <t>Вишківська загальноосвітня школа І-ІІ ступенів Великоберезнянської районної ради Закарпатської області</t>
  </si>
  <si>
    <t>89023</t>
  </si>
  <si>
    <t>2120881601</t>
  </si>
  <si>
    <t>Вишка</t>
  </si>
  <si>
    <t>224</t>
  </si>
  <si>
    <t>(30)2-36</t>
  </si>
  <si>
    <t>Забрідська загальноосвітня школа І-ІІ ступенів Великоберезнянської районної ради Закарпатської області</t>
  </si>
  <si>
    <t>89003</t>
  </si>
  <si>
    <t>2120881801</t>
  </si>
  <si>
    <t>Забрідь</t>
  </si>
  <si>
    <t>вул. Довбуша, 5</t>
  </si>
  <si>
    <t>(41)2-40</t>
  </si>
  <si>
    <t>Загорбська загальноосвітня школа I ступенів Великоберезнянської районної ради Закарпатської області</t>
  </si>
  <si>
    <t>89011</t>
  </si>
  <si>
    <t>2120882001</t>
  </si>
  <si>
    <t>Загорб</t>
  </si>
  <si>
    <t>148</t>
  </si>
  <si>
    <t>0958967959</t>
  </si>
  <si>
    <t>Жорнавська загальноосвітня школа І-ІІ ступенів Великоберезнянської районної ради Закарпатської області</t>
  </si>
  <si>
    <t>89012</t>
  </si>
  <si>
    <t>2120882002</t>
  </si>
  <si>
    <t>Жорнава</t>
  </si>
  <si>
    <t>146</t>
  </si>
  <si>
    <t>Костринська загальноосвітня спеціалізована школа-інтернат ІІ-ІІІ ступенів з поглибленим вивченням окремих предметів</t>
  </si>
  <si>
    <t>89022</t>
  </si>
  <si>
    <t>2120882401</t>
  </si>
  <si>
    <t>Кострина</t>
  </si>
  <si>
    <t>вул. без назви, 127</t>
  </si>
  <si>
    <t>(03135)37289</t>
  </si>
  <si>
    <t>Костринська загальноосвітня школа І ступеня Великоберезнянської районної ради Закарпатської області</t>
  </si>
  <si>
    <t>127</t>
  </si>
  <si>
    <t>(0313537)289</t>
  </si>
  <si>
    <t>Костринсько Розтоцька загальноосвітня школа I ст.дошкільний навчальний заклад</t>
  </si>
  <si>
    <t>2120882402</t>
  </si>
  <si>
    <t>Костринська Розтока</t>
  </si>
  <si>
    <t>ал. центральна, 59 А</t>
  </si>
  <si>
    <t>26213897</t>
  </si>
  <si>
    <t>Лютянська загальноосвітня школа І - ІІІ ступенів Великоберезнянської районної ради Закарпатської області</t>
  </si>
  <si>
    <t>89033</t>
  </si>
  <si>
    <t>2120883201</t>
  </si>
  <si>
    <t>Люта</t>
  </si>
  <si>
    <t>вул. центральна, 662</t>
  </si>
  <si>
    <t>(03135)39-2-32</t>
  </si>
  <si>
    <t>26326182</t>
  </si>
  <si>
    <t>Лютянська загальноосвітня школа І - ІІ ступенів, Великоберезнянської районної ради, Закарпатської області</t>
  </si>
  <si>
    <t>219</t>
  </si>
  <si>
    <t>(031)39-2-24</t>
  </si>
  <si>
    <t>Малоберезнянська загальноосвітня школа І-ІІІ ступенів Великоберезнянської районної ради Закарпатської області</t>
  </si>
  <si>
    <t>89040</t>
  </si>
  <si>
    <t>2120883601</t>
  </si>
  <si>
    <t>Малий Березний</t>
  </si>
  <si>
    <t>вул. Дружби, 28</t>
  </si>
  <si>
    <t>(0313531)2-15</t>
  </si>
  <si>
    <t>http://www.malbschool.ucoz.ua</t>
  </si>
  <si>
    <t>Мирчанська загальноосвітня школа І-ІІ ступенів Великоберезнянської районної ради Закарпатської області</t>
  </si>
  <si>
    <t>2120883603</t>
  </si>
  <si>
    <t>Мирча</t>
  </si>
  <si>
    <t>вул. Шевченка, 46</t>
  </si>
  <si>
    <t>380313544248</t>
  </si>
  <si>
    <t>26326167</t>
  </si>
  <si>
    <t>Розтоцько-Пастільська загальноосвітня школа І-ІІ ступенів Великоберезнянської районної ради Закарпатської області</t>
  </si>
  <si>
    <t>89041</t>
  </si>
  <si>
    <t>2120884001</t>
  </si>
  <si>
    <t>Розтоцька Пастіль</t>
  </si>
  <si>
    <t>42</t>
  </si>
  <si>
    <t>(03135)32232</t>
  </si>
  <si>
    <t>Бегендяцькопастільська загальноосвітня школа І ступеня Великоберезнянської районної ради Закарпатської області</t>
  </si>
  <si>
    <t>2120884002</t>
  </si>
  <si>
    <t>Бегендяцька Пастіль</t>
  </si>
  <si>
    <t>37</t>
  </si>
  <si>
    <t>0505682511</t>
  </si>
  <si>
    <t>Костевопастільська загальноосвітня школа І ступеня Великоберезнянської районної ради Закарпатської області</t>
  </si>
  <si>
    <t>2120884003</t>
  </si>
  <si>
    <t>Костева Пастіль</t>
  </si>
  <si>
    <t>380660177389</t>
  </si>
  <si>
    <t>26326236</t>
  </si>
  <si>
    <t>Смереківська загальноосвітня школа І - ІІ ступенів Великоберезнянської районної ради Закарпатської області</t>
  </si>
  <si>
    <t>89044</t>
  </si>
  <si>
    <t>2120884401</t>
  </si>
  <si>
    <t>Смереково</t>
  </si>
  <si>
    <t>вул. В.Мореки, 96</t>
  </si>
  <si>
    <t>(066)3259423</t>
  </si>
  <si>
    <t>26325834</t>
  </si>
  <si>
    <t>Солянська загальноосвітня школа І-ІІ ступенів Великоберезнянської районнної ради Закарпатської області</t>
  </si>
  <si>
    <t>89021</t>
  </si>
  <si>
    <t>2120884801</t>
  </si>
  <si>
    <t>Сіль</t>
  </si>
  <si>
    <t>17</t>
  </si>
  <si>
    <t>26325857</t>
  </si>
  <si>
    <t>Домашинська загальноосвітня школа І ступеня Великоберезнянської районної ради Закарпатської області</t>
  </si>
  <si>
    <t>2120884802</t>
  </si>
  <si>
    <t>Домашин</t>
  </si>
  <si>
    <t>28</t>
  </si>
  <si>
    <t>0667440912</t>
  </si>
  <si>
    <t>Ставненська загальноосвітня школа І-ІІІ ступенів Великоберезнянської районної ради Закарпатської області</t>
  </si>
  <si>
    <t>89014</t>
  </si>
  <si>
    <t>2120885201</t>
  </si>
  <si>
    <t>Ставне</t>
  </si>
  <si>
    <t>26326035</t>
  </si>
  <si>
    <t>Стричавська загальноосвітня школа І-ІІ ступенів Великоберезнянської районної ради Закарпатської області</t>
  </si>
  <si>
    <t>89020</t>
  </si>
  <si>
    <t>2120885601</t>
  </si>
  <si>
    <t>Стричава</t>
  </si>
  <si>
    <t>0503721303</t>
  </si>
  <si>
    <t>http://strychava-school.edukit.uz.ua</t>
  </si>
  <si>
    <t>Княгинянська загальноосвітня школа I ступеня Великоберезнянської районної ради Закарпатської області</t>
  </si>
  <si>
    <t>2120885602</t>
  </si>
  <si>
    <t>Княгиня</t>
  </si>
  <si>
    <t>0992949686</t>
  </si>
  <si>
    <t>26327253</t>
  </si>
  <si>
    <t>Стужицька загальноосвітня школа І ступеня Великоберезнянської районної ради Закарпатської області</t>
  </si>
  <si>
    <t>89010</t>
  </si>
  <si>
    <t>2120886001</t>
  </si>
  <si>
    <t>Стужиця</t>
  </si>
  <si>
    <t>216</t>
  </si>
  <si>
    <t>0988198979</t>
  </si>
  <si>
    <t>26327336</t>
  </si>
  <si>
    <t>Стужицька загальноосвітня школа І-ІІ ступенів Великоберезнянської районної ради Закарпатської області</t>
  </si>
  <si>
    <t>63</t>
  </si>
  <si>
    <t>(096)8507144</t>
  </si>
  <si>
    <t>26325840</t>
  </si>
  <si>
    <t>Тихівська загальноосвітня школа І-ІІ ступенів,Великоберезнянської районної ради Закарпатської області</t>
  </si>
  <si>
    <t>89032</t>
  </si>
  <si>
    <t>2120886401</t>
  </si>
  <si>
    <t>Тихий</t>
  </si>
  <si>
    <t>132</t>
  </si>
  <si>
    <t>0507363537</t>
  </si>
  <si>
    <t>Ужоцька загальноосвітня школа I-II ступенів</t>
  </si>
  <si>
    <t>89031</t>
  </si>
  <si>
    <t>2120886801</t>
  </si>
  <si>
    <t>Ужок</t>
  </si>
  <si>
    <t>157</t>
  </si>
  <si>
    <t>(095)4754394</t>
  </si>
  <si>
    <t>Чорноголівська загальноосвітня школа І-ІІІ ступенів Великоберезнянської районної ради Закарпатської області</t>
  </si>
  <si>
    <t>89042</t>
  </si>
  <si>
    <t>2120887201</t>
  </si>
  <si>
    <t>Чорноголова</t>
  </si>
  <si>
    <t>325</t>
  </si>
  <si>
    <t>26325863</t>
  </si>
  <si>
    <t>Виноградівська гімназія Виноградівської районної ради Закарпатської області</t>
  </si>
  <si>
    <t>90300</t>
  </si>
  <si>
    <t>2121210100</t>
  </si>
  <si>
    <t>Виноградів</t>
  </si>
  <si>
    <t>(043)26201</t>
  </si>
  <si>
    <t>https://sites.google.com/site/gimnaziasevlush/</t>
  </si>
  <si>
    <t>Виноградівська загальноосвітня школа І-ІІІ ст. № 4 Виноградівської районної ради Закарпатської області.</t>
  </si>
  <si>
    <t>пл. Миру, 33</t>
  </si>
  <si>
    <t>(03143)2-30-74</t>
  </si>
  <si>
    <t>Виноградівська загальноосвітня школа І-ІІІ ступенів № 1 Виноградівської районної ради Закарпатської області</t>
  </si>
  <si>
    <t>(03143)2-20-69</t>
  </si>
  <si>
    <t>http://vinog-zosh-1.at.ua</t>
  </si>
  <si>
    <t>Виноградівська загальноосвітня школа І-ІІІ ступенів № 2 Виноградівської районної ради Закарпатської області</t>
  </si>
  <si>
    <t>вул. Бейли Бартока, 16</t>
  </si>
  <si>
    <t>Виноградівська загальноосвітня школа І-ІІІ ступенів № 3 імені Жігмонда Перені Виноградівської районної ради Закарпатської області</t>
  </si>
  <si>
    <t>Виноградівська загальноосвітня школа І-ІІІ ступенів № 8 Виноградівської районної ради Закарпатської області</t>
  </si>
  <si>
    <t>вул. Корятовича, 8</t>
  </si>
  <si>
    <t>(03143)22030</t>
  </si>
  <si>
    <t>http://vunszh8.wixsite.com/vunszh8metaua</t>
  </si>
  <si>
    <t>Виноградівська ЗОШ І-ІІІ ступенів № 7 Виноградівської районної ради Закарпатської області</t>
  </si>
  <si>
    <t>вул. Північна, 25</t>
  </si>
  <si>
    <t>(03143)22146</t>
  </si>
  <si>
    <t>Виноградівська районна вечірня (змінна) школа ІІІ ступеня Виноградівської районної ради Закарпатської області</t>
  </si>
  <si>
    <t>вул. Б. Бартока, 19</t>
  </si>
  <si>
    <t>(096)6052689</t>
  </si>
  <si>
    <t>Навчально-виховний комплекс "Виноградівська загальноосвітня школа І-ІІ ступенів - дошкільний навчвльний заклад № 6" Виноградівської районної ради Закарпатської області.</t>
  </si>
  <si>
    <t>вул. Першотравнева, 85</t>
  </si>
  <si>
    <t>2-57-76</t>
  </si>
  <si>
    <t>Вилоцька загальноосвітня школа І-ІІІ ступенів № 1 Виноградівської районної ради Закарпатської області</t>
  </si>
  <si>
    <t>90351</t>
  </si>
  <si>
    <t>2121255300</t>
  </si>
  <si>
    <t>Вилок</t>
  </si>
  <si>
    <t>(03143)61433</t>
  </si>
  <si>
    <t>Вилоцька загальноосвітня школа І-ІІІ ступенів № 2 Виноградівської районної ради Закарпатської області</t>
  </si>
  <si>
    <t>вул. Ференца Раковці, 19</t>
  </si>
  <si>
    <t>http://Skolavilok2.webnode.com.ua</t>
  </si>
  <si>
    <t>Королівська загальноосвітня школа І - ІІІ ступенів № 2 Виноградівської районної ради Закарпатської області</t>
  </si>
  <si>
    <t>90332</t>
  </si>
  <si>
    <t>2121255600</t>
  </si>
  <si>
    <t>Королево</t>
  </si>
  <si>
    <t>вул. Б. Хмельницького, 1</t>
  </si>
  <si>
    <t>(03143)0505542414</t>
  </si>
  <si>
    <t>Королівська загальноосвітня школа І-ІІІ ступенів № 1 Виноградівської районної ради Закарпатської області</t>
  </si>
  <si>
    <t>вул. Тисова, 4</t>
  </si>
  <si>
    <t>031-43-4-12-18</t>
  </si>
  <si>
    <t>Навчально-виховний комплекс "Боржавська загальноосвітня школа І-ІІІ ступенів - дошкільний навчальний заклад" Виноградівської районної ради Закарпатської області</t>
  </si>
  <si>
    <t>90310</t>
  </si>
  <si>
    <t>2121280301</t>
  </si>
  <si>
    <t>Боржавське</t>
  </si>
  <si>
    <t>вул. Добровольців, 1</t>
  </si>
  <si>
    <t>(31)1-37</t>
  </si>
  <si>
    <t>Буківська загальноосвітня школа І-ІІІ ступенів Виноградівської районної ради Закарпатської області</t>
  </si>
  <si>
    <t>90315</t>
  </si>
  <si>
    <t>2121280601</t>
  </si>
  <si>
    <t>Букове</t>
  </si>
  <si>
    <t>вул. Миру, 86</t>
  </si>
  <si>
    <t>Великоком'ятівська загальноосвітня школа І-ІІ ступенів Виноградівської районної ради,Закарпатської області</t>
  </si>
  <si>
    <t>90312</t>
  </si>
  <si>
    <t>2121280901</t>
  </si>
  <si>
    <t>Великі Ком'яти</t>
  </si>
  <si>
    <t>вул. Ватутіна, 127</t>
  </si>
  <si>
    <t>51393</t>
  </si>
  <si>
    <t>Великокомятівська загальноосвітня школа І-ІІІ ступенів Виноградівського району Закарпатської області</t>
  </si>
  <si>
    <t>вул. А.Волошина, 31</t>
  </si>
  <si>
    <t>(03143)51403</t>
  </si>
  <si>
    <t>Великопаладська загальноосвітня школа І-ІІІ ступенів імені Жігмонда Моріца Виноградівської районної ради Закарпатської області</t>
  </si>
  <si>
    <t>90370</t>
  </si>
  <si>
    <t>2121281201</t>
  </si>
  <si>
    <t>Велика Паладь</t>
  </si>
  <si>
    <t>вул. Кошута, 45</t>
  </si>
  <si>
    <t>(03143)37244</t>
  </si>
  <si>
    <t>Фертешолмашська загальноосвітня школа І-ІІ ступенів Виноградівської районної ради Закарпатської області</t>
  </si>
  <si>
    <t>90371</t>
  </si>
  <si>
    <t>2121281202</t>
  </si>
  <si>
    <t>Фертешолмаш</t>
  </si>
  <si>
    <t>вул. Кошута, 37</t>
  </si>
  <si>
    <t>(3143)37648</t>
  </si>
  <si>
    <t>Великокопанська загальноосвітня школа І-ІІІ ступенів Виноградівської районної ради Закарпатської області</t>
  </si>
  <si>
    <t>90330</t>
  </si>
  <si>
    <t>2121281501</t>
  </si>
  <si>
    <t>Велика Копаня</t>
  </si>
  <si>
    <t>вул. Степана Вайди, 51 а</t>
  </si>
  <si>
    <t>(03143)34348</t>
  </si>
  <si>
    <t>Вербовецька загальноосвітня школа І-ІІІ ступенів Виноградівської районної ради Закарпатської області</t>
  </si>
  <si>
    <t>90322</t>
  </si>
  <si>
    <t>2121281801</t>
  </si>
  <si>
    <t>вул. Миру, 52</t>
  </si>
  <si>
    <t>(380)970343548, 37-434</t>
  </si>
  <si>
    <t>Веряцька загальноосвітня школа І-ІІ ступенів Виноградівської районної ради Закарпатської області</t>
  </si>
  <si>
    <t>90336</t>
  </si>
  <si>
    <t>2121281901</t>
  </si>
  <si>
    <t>Веряця</t>
  </si>
  <si>
    <t>вул. Карпатської Січі, 30</t>
  </si>
  <si>
    <t>(03143)4-13-48</t>
  </si>
  <si>
    <t>Горбківська загальноосвітня школа І-ІІ ступенів Виноградівської районної ради Закарпатської області</t>
  </si>
  <si>
    <t>2121281903</t>
  </si>
  <si>
    <t>Горбки</t>
  </si>
  <si>
    <t>вул. Заводська, 105</t>
  </si>
  <si>
    <t>41109</t>
  </si>
  <si>
    <t>Дротинська загальноосвітня школа І-ІІІ ступенів Виноградівської районної ради Закарпатської області</t>
  </si>
  <si>
    <t>2121282101</t>
  </si>
  <si>
    <t>Дротинці</t>
  </si>
  <si>
    <t>вул. Тисівська, 45В</t>
  </si>
  <si>
    <t>Дюлянська загальноосвітня школа І-ІІ ступенів Виноградівської районної ради Закарпатської області</t>
  </si>
  <si>
    <t>90364</t>
  </si>
  <si>
    <t>2121282301</t>
  </si>
  <si>
    <t>Дюла</t>
  </si>
  <si>
    <t>(3143)39350</t>
  </si>
  <si>
    <t>Навчально-виховний комплекс "Неветленфолівська загальноосвітня школи І-ІІІ ст.- дошкільний навчальний заклад" Виноградівської районної ради Закарпатської області</t>
  </si>
  <si>
    <t>90365</t>
  </si>
  <si>
    <t>2121282401</t>
  </si>
  <si>
    <t>Неветленфолу</t>
  </si>
  <si>
    <t>вул. Фогодо, 2</t>
  </si>
  <si>
    <t>(03143)46719</t>
  </si>
  <si>
    <t>Ботарська загальоосвітня школа І ступеня Виноградівської районної ради Закарпатської області</t>
  </si>
  <si>
    <t>2121282402</t>
  </si>
  <si>
    <t>Ботар</t>
  </si>
  <si>
    <t>вул. Головна, 121</t>
  </si>
  <si>
    <t>((031)43-46)6-21</t>
  </si>
  <si>
    <t>Навчально виховний комплекс "Оклівский дошкільний навчальний заклад-загаалноосвітня школа І-ступеню" Неветленфолівскої сільскої ради Виноградівського району Закаопатскої області</t>
  </si>
  <si>
    <t>2121282403</t>
  </si>
  <si>
    <t>Оклі</t>
  </si>
  <si>
    <t>вул. Горького, 35А</t>
  </si>
  <si>
    <t>380689967624</t>
  </si>
  <si>
    <t>Навчально-виховний комплекс "Оклігедьська загальноосвітня школа І-ІІ ступенів - дошкільний навчальний заклад" Виноградівської районної ради Закарпатської області</t>
  </si>
  <si>
    <t>2121282404</t>
  </si>
  <si>
    <t>Оклі Гедь</t>
  </si>
  <si>
    <t>вул. Чолнокі, 16</t>
  </si>
  <si>
    <t>(38031)7-4-7</t>
  </si>
  <si>
    <t>Матіївська загальноосвітня школа І - ІІ ступенів Виноградівської районної Ради Закарпатської області</t>
  </si>
  <si>
    <t>90326</t>
  </si>
  <si>
    <t>2121282501</t>
  </si>
  <si>
    <t>Матійово</t>
  </si>
  <si>
    <t>вул. Головна, 49</t>
  </si>
  <si>
    <t>0988525162</t>
  </si>
  <si>
    <t>Навчально-виховний комплекс "Малокопанська загальноосвітня школа І-ІІ ступенів - дошкільний навчальний заклад" Виноградівської районної ради Закарпатської області</t>
  </si>
  <si>
    <t>90331</t>
  </si>
  <si>
    <t>2121282601</t>
  </si>
  <si>
    <t>Мала Копаня</t>
  </si>
  <si>
    <t>(03143)26106</t>
  </si>
  <si>
    <t>Новоселицька загальноосвітня школа І-ІІ ступенів Виноградівської районної ради Закарпатської області</t>
  </si>
  <si>
    <t>90341</t>
  </si>
  <si>
    <t>2121282701</t>
  </si>
  <si>
    <t>вул. Шевченка, 96</t>
  </si>
  <si>
    <t>(03143)31940</t>
  </si>
  <si>
    <t>Навчально-виховний комплекс "Новосільська загальноосвітня школа І-ІІ ступенів - дошкільний навчальний заклад", Виноградівської районної ради, Закарпатської області</t>
  </si>
  <si>
    <t>90350</t>
  </si>
  <si>
    <t>2121283001</t>
  </si>
  <si>
    <t>Нове Село</t>
  </si>
  <si>
    <t>вул. Центральна, 146</t>
  </si>
  <si>
    <t>(03143)35544</t>
  </si>
  <si>
    <t>Олешницька загальноосвітня школа І-ІІІ ступенів Виноградівської районної ради Закарпатської області</t>
  </si>
  <si>
    <t>90324</t>
  </si>
  <si>
    <t>2121283301</t>
  </si>
  <si>
    <t>Олешник</t>
  </si>
  <si>
    <t>вул. Українська, 200</t>
  </si>
  <si>
    <t>(43)3-42</t>
  </si>
  <si>
    <t>Оноцька загальноосвітня школа І-ІІІ ступенів Виноградівської районної ради Закарпатської області</t>
  </si>
  <si>
    <t>90313</t>
  </si>
  <si>
    <t>2121283601</t>
  </si>
  <si>
    <t>Онок</t>
  </si>
  <si>
    <t>вул. Українська, 47</t>
  </si>
  <si>
    <t>(0314335)130</t>
  </si>
  <si>
    <t>Навчально-виховний комплекс "Перехрестівська загальноосвітня школа І-ІІ ступенів-дошкільний навчальний заклад" Виноградівської районної ради Закарпатської області</t>
  </si>
  <si>
    <t>90320</t>
  </si>
  <si>
    <t>2121283901</t>
  </si>
  <si>
    <t>Перехрестя</t>
  </si>
  <si>
    <t>вул. Кошута, 8</t>
  </si>
  <si>
    <t>(380)314336823</t>
  </si>
  <si>
    <t>Перехрестівська спеціальна загальноосвітня школа-інтернат І-ІІ ступеня Закарпатської обласної ради</t>
  </si>
  <si>
    <t>(03143)61151</t>
  </si>
  <si>
    <t>22086700</t>
  </si>
  <si>
    <t>Карачинський греко-католицький ліцей імені єписопа Олександра Стойки</t>
  </si>
  <si>
    <t>2121283902</t>
  </si>
  <si>
    <t>Карачин</t>
  </si>
  <si>
    <t>вул. Миру, 54/а</t>
  </si>
  <si>
    <t>(03143)36817</t>
  </si>
  <si>
    <t>32294884</t>
  </si>
  <si>
    <t>Пийтерфолвівська загальноосвітня школа І-ІІІ ступенів Виноградівської районної ради Закарпатської області</t>
  </si>
  <si>
    <t>90354</t>
  </si>
  <si>
    <t>2121284101</t>
  </si>
  <si>
    <t>Пийтерфолво</t>
  </si>
  <si>
    <t>вул. Спортивна, 36</t>
  </si>
  <si>
    <t>(32)3-41</t>
  </si>
  <si>
    <t>http://www.petrovozos.ucoz.ua</t>
  </si>
  <si>
    <t>Пийтерфолвівський ліцей благодійного фонду управління Закарпатської реформатської церкви</t>
  </si>
  <si>
    <t>вул. Кошута, 1</t>
  </si>
  <si>
    <t>(03143)32490</t>
  </si>
  <si>
    <t>22074329</t>
  </si>
  <si>
    <t>Тисобикеньська загальноосвітня школа І-ІІ ст., Виноградівської районної ради, Закарпатської області</t>
  </si>
  <si>
    <t>90355</t>
  </si>
  <si>
    <t>2121284102</t>
  </si>
  <si>
    <t>Тисобикень</t>
  </si>
  <si>
    <t>вул. Ілони Зріні, 95</t>
  </si>
  <si>
    <t>Форголанська загальноосвітня школа І-ІІ ступенів Виноградівської районної ради, Закарпатської області.</t>
  </si>
  <si>
    <t>2121284103</t>
  </si>
  <si>
    <t>Форголань</t>
  </si>
  <si>
    <t>вул. Зелена, 27/а</t>
  </si>
  <si>
    <t>(32)500</t>
  </si>
  <si>
    <t>Підвиноградівська Загальноосвітня школа І- ІІІ ступенів Виноградівської районної ради Закарпатської області</t>
  </si>
  <si>
    <t>2121284401</t>
  </si>
  <si>
    <t>Підвиноградів</t>
  </si>
  <si>
    <t>317</t>
  </si>
  <si>
    <t>Пушкінська загальноосвітня школа І- ІІ ст. Виноградівської районної ради Закарпатської області</t>
  </si>
  <si>
    <t>90321</t>
  </si>
  <si>
    <t>2121284501</t>
  </si>
  <si>
    <t>Пушкіно</t>
  </si>
  <si>
    <t>вул. Головна, 4</t>
  </si>
  <si>
    <t>36-8-35</t>
  </si>
  <si>
    <t>Сасівська загальноосвітня школа І-ІІІ ступенів Виноградівського району, Закарпатської області</t>
  </si>
  <si>
    <t>90360</t>
  </si>
  <si>
    <t>2121284701</t>
  </si>
  <si>
    <t>Сасово</t>
  </si>
  <si>
    <t>33-3-48</t>
  </si>
  <si>
    <t>Теківська загальноосвітня школа І-ІІ ступенів Виноградівської районної ради Закарпатської області</t>
  </si>
  <si>
    <t>90343</t>
  </si>
  <si>
    <t>2121285001</t>
  </si>
  <si>
    <t>Теково</t>
  </si>
  <si>
    <t>вул. Дружби, 207</t>
  </si>
  <si>
    <t>47314</t>
  </si>
  <si>
    <t>Фанчиківська загальноосвітня школа І-ІІІ ступенів Виноградівської районної ради Закарпатської області</t>
  </si>
  <si>
    <t>90352</t>
  </si>
  <si>
    <t>2121285301</t>
  </si>
  <si>
    <t>Фанчиково</t>
  </si>
  <si>
    <t>вул. Головна, 1</t>
  </si>
  <si>
    <t>(03143)30318</t>
  </si>
  <si>
    <t>Тросницька загальноосвітня школа І-ІІ ступенів Виноградівської районної ради Закарпатської області</t>
  </si>
  <si>
    <t>2121285303</t>
  </si>
  <si>
    <t>Тросник</t>
  </si>
  <si>
    <t>12А</t>
  </si>
  <si>
    <t>(30)3-16</t>
  </si>
  <si>
    <t>http://trocnuk.ucoz.ua</t>
  </si>
  <si>
    <t>Навчально-виховний комплекс "Хижанська загальноосвітня школа І-ІІІ ступенів - дошкільний навчальний заклад"</t>
  </si>
  <si>
    <t>90342</t>
  </si>
  <si>
    <t>2121285601</t>
  </si>
  <si>
    <t>Хижа</t>
  </si>
  <si>
    <t>(03143)3-14-15</t>
  </si>
  <si>
    <t>Навчально-виховний комплекс "Чепівська загальноосвітня школа І-ІІІ ступенів - дошкільний навчальний заклад" Виноградівської районної ради Закарпатської області</t>
  </si>
  <si>
    <t>90361</t>
  </si>
  <si>
    <t>2121285901</t>
  </si>
  <si>
    <t>Чепа</t>
  </si>
  <si>
    <t>вул. Фогороші, 31</t>
  </si>
  <si>
    <t>(031)4336392</t>
  </si>
  <si>
    <t>Затисівська загальноосвітня школа І ступеня Виноградівської районної ради Закарпатської області</t>
  </si>
  <si>
    <t>2121285903</t>
  </si>
  <si>
    <t>Затисівка</t>
  </si>
  <si>
    <t>0968138517</t>
  </si>
  <si>
    <t>Чорнотисівська загальноосвітня школа І-ІІІ ступенів Виноградівської районної ради Закарпатської області</t>
  </si>
  <si>
    <t>90363</t>
  </si>
  <si>
    <t>2121286201</t>
  </si>
  <si>
    <t>Чорнотисів</t>
  </si>
  <si>
    <t>(03143)39-3-18</t>
  </si>
  <si>
    <t>Холмовецька загальноосвітня школа І-ІІ ступенів, Виноградівської районної ради, Закарпатської області</t>
  </si>
  <si>
    <t>2121286202</t>
  </si>
  <si>
    <t>Холмовець</t>
  </si>
  <si>
    <t>вул. Миру, 155</t>
  </si>
  <si>
    <t>(38099)5077333</t>
  </si>
  <si>
    <t>Чернянська загальноосвітня школа I-III ступенів Виноградівської районної ради, Закарпатської області</t>
  </si>
  <si>
    <t>90340</t>
  </si>
  <si>
    <t>2121286501</t>
  </si>
  <si>
    <t>Черна</t>
  </si>
  <si>
    <t>ал. Миру, 89</t>
  </si>
  <si>
    <t>(03143)3-17-70</t>
  </si>
  <si>
    <t>Шаланківська загальноосвітня школа І-ІІІ ступенів Виноградівської районної ради Закарпатської області</t>
  </si>
  <si>
    <t>90311</t>
  </si>
  <si>
    <t>2121286801</t>
  </si>
  <si>
    <t>Шаланки</t>
  </si>
  <si>
    <t>вул. Февут, 17</t>
  </si>
  <si>
    <t>(031)4344438</t>
  </si>
  <si>
    <t>Навчально-виховний комплекс "Широківська загальноосвітня школа І-ІІ ступенів-дошкільний навчальний заклад" Виноградівської районної ради Закарпатської області</t>
  </si>
  <si>
    <t>90314</t>
  </si>
  <si>
    <t>2121287201</t>
  </si>
  <si>
    <t>вул. Івана Франка, 9</t>
  </si>
  <si>
    <t>(26213009)380983420030</t>
  </si>
  <si>
    <t>Широківська загальноосвітня школа І-ІІІ ступенів Виноградівської районної ради Закарпатської області</t>
  </si>
  <si>
    <t>вул. Миру, 46</t>
  </si>
  <si>
    <t>(03143)42-3-32, (096)8875062</t>
  </si>
  <si>
    <t>Воловецька загальноосвітня школа І-ІІІ ступенів Воловецької районної ради Закарпатської області</t>
  </si>
  <si>
    <t>89100</t>
  </si>
  <si>
    <t>2121555100</t>
  </si>
  <si>
    <t>Воловець</t>
  </si>
  <si>
    <t>вул. Карпатська, 31</t>
  </si>
  <si>
    <t>(03136)24009</t>
  </si>
  <si>
    <t>22098887</t>
  </si>
  <si>
    <t>Канорська ЗОШ 1-11 ступенів</t>
  </si>
  <si>
    <t>2121555101</t>
  </si>
  <si>
    <t>Канора</t>
  </si>
  <si>
    <t>вул. шкільна, 3</t>
  </si>
  <si>
    <t>22098962</t>
  </si>
  <si>
    <t>Жденіївська загальноосвітня школа І-ІІІ ступенів Воловецької районної ради Закарпатської області</t>
  </si>
  <si>
    <t>89120</t>
  </si>
  <si>
    <t>2121555300</t>
  </si>
  <si>
    <t>Жденієво</t>
  </si>
  <si>
    <t>вул. Шевченка, 135</t>
  </si>
  <si>
    <t>(03136)25631</t>
  </si>
  <si>
    <t>http://Jdenschool.ucoz.com</t>
  </si>
  <si>
    <t>22098910</t>
  </si>
  <si>
    <t>Абранська загальноосвітня школа І-ІІ ступенів Воловецької районної ради Закарпатської області</t>
  </si>
  <si>
    <t>89122</t>
  </si>
  <si>
    <t>2121580501</t>
  </si>
  <si>
    <t>Абранка</t>
  </si>
  <si>
    <t>123</t>
  </si>
  <si>
    <t>(03136)35246</t>
  </si>
  <si>
    <t>22098927</t>
  </si>
  <si>
    <t>Біласовицька загальноосвітня школа І-ІІ ступеня Воловецької районної ради Закарпатської області</t>
  </si>
  <si>
    <t>89111</t>
  </si>
  <si>
    <t>2121581001</t>
  </si>
  <si>
    <t>Біласовиця</t>
  </si>
  <si>
    <t>25</t>
  </si>
  <si>
    <t>22098933</t>
  </si>
  <si>
    <t>Буковецька загальноосвітня школа І-ІІ ступенів</t>
  </si>
  <si>
    <t>89114</t>
  </si>
  <si>
    <t>2121581501</t>
  </si>
  <si>
    <t>Буковець</t>
  </si>
  <si>
    <t>89</t>
  </si>
  <si>
    <t>25-7-49</t>
  </si>
  <si>
    <t>22098941</t>
  </si>
  <si>
    <t>Вербязька загальноосвітня школа І-ІІ ступенів</t>
  </si>
  <si>
    <t>89113</t>
  </si>
  <si>
    <t>2121582001</t>
  </si>
  <si>
    <t>Верб'яж</t>
  </si>
  <si>
    <t>45-3-21</t>
  </si>
  <si>
    <t>22098956</t>
  </si>
  <si>
    <t>Завадська загальноосвітня школа І-ІІ ступенів Воловецька районна рада Закарпатської області Україна</t>
  </si>
  <si>
    <t>2121582002</t>
  </si>
  <si>
    <t>Завадка</t>
  </si>
  <si>
    <t>(03136)39240</t>
  </si>
  <si>
    <t>http://zavadskaschool.at.ua</t>
  </si>
  <si>
    <t>22098985</t>
  </si>
  <si>
    <t>Верхньоворітська загальноосвітня школа І-ІІІ ступенів Воловецької районної ради Закарпатської області</t>
  </si>
  <si>
    <t>89132</t>
  </si>
  <si>
    <t>2121582501</t>
  </si>
  <si>
    <t>Верхні Ворота</t>
  </si>
  <si>
    <t>вул. Верховинська, 4</t>
  </si>
  <si>
    <t>(03136)31382</t>
  </si>
  <si>
    <t>Гукливська загальоноосвітня школа І-ІІ ступенів Воловецької районної ради Закарпатської області</t>
  </si>
  <si>
    <t>89140</t>
  </si>
  <si>
    <t>2121583001</t>
  </si>
  <si>
    <t>Гукливий</t>
  </si>
  <si>
    <t>201</t>
  </si>
  <si>
    <t>(03136)33223</t>
  </si>
  <si>
    <t>22098979</t>
  </si>
  <si>
    <t>Лазівська загальноосвітня школа І-ІІ ступенів</t>
  </si>
  <si>
    <t>89131</t>
  </si>
  <si>
    <t>2121584001</t>
  </si>
  <si>
    <t>Лази</t>
  </si>
  <si>
    <t>вул. Центральна, №106</t>
  </si>
  <si>
    <t>0992268504</t>
  </si>
  <si>
    <t>22099000</t>
  </si>
  <si>
    <t>Нижньоворітська загальноосвітня школа І-ІІІ ступенів</t>
  </si>
  <si>
    <t>89130</t>
  </si>
  <si>
    <t>2121584201</t>
  </si>
  <si>
    <t>Нижні Ворота</t>
  </si>
  <si>
    <t>вул. Центральна, 116</t>
  </si>
  <si>
    <t>(03136)41551</t>
  </si>
  <si>
    <t>http://nvorotaschool1.ucoz.ru/</t>
  </si>
  <si>
    <t>22098904</t>
  </si>
  <si>
    <t>Нижньоворітська загальноосвітня школа-інтернат І-ІІІ ступенів Воловецької районної ради Закарпатської області</t>
  </si>
  <si>
    <t>вул. Центральна, 104</t>
  </si>
  <si>
    <t>(03136)41368</t>
  </si>
  <si>
    <t>http://vorotainternat.at.ua/</t>
  </si>
  <si>
    <t>22115703</t>
  </si>
  <si>
    <t>Задільська загальноосвітня школа І тупеня Воловецької районної ради Закарпатської області</t>
  </si>
  <si>
    <t>2121584202</t>
  </si>
  <si>
    <t>Задільське</t>
  </si>
  <si>
    <t>23</t>
  </si>
  <si>
    <t>22099275</t>
  </si>
  <si>
    <t>Підполозянська загальноосвітня школа І-ІІ ступенів</t>
  </si>
  <si>
    <t>89121</t>
  </si>
  <si>
    <t>2121584501</t>
  </si>
  <si>
    <t>Підполоззя</t>
  </si>
  <si>
    <t>147</t>
  </si>
  <si>
    <t>0313625252</t>
  </si>
  <si>
    <t>Верхньограбівницька загальноосвітня школа І ступеня Воловецької районної ради Закарпатської області</t>
  </si>
  <si>
    <t>2121584502</t>
  </si>
  <si>
    <t>Верхня Грабівниця</t>
  </si>
  <si>
    <t>22099068</t>
  </si>
  <si>
    <t>Розтоцька загальноосвітня школа І ступеня- дошкільний навчальний заклад</t>
  </si>
  <si>
    <t>89141</t>
  </si>
  <si>
    <t>2121585001</t>
  </si>
  <si>
    <t>Розтока</t>
  </si>
  <si>
    <t>45</t>
  </si>
  <si>
    <t>36-1-55</t>
  </si>
  <si>
    <t>Кічернянська загальноосвітня школа І-ІІ ступенів</t>
  </si>
  <si>
    <t>2121585002</t>
  </si>
  <si>
    <t>Кічерний</t>
  </si>
  <si>
    <t>32</t>
  </si>
  <si>
    <t>(036)36-145</t>
  </si>
  <si>
    <t>22098991</t>
  </si>
  <si>
    <t>Перехреснянська загальноосвітня школа І ступеня-дошкільний навчальний заклад</t>
  </si>
  <si>
    <t>2121585003</t>
  </si>
  <si>
    <t>Перехресний</t>
  </si>
  <si>
    <t>70</t>
  </si>
  <si>
    <t>(36)156</t>
  </si>
  <si>
    <t>Скотарська загальноосвітня школа І-ІІ ступенів імені Руслана Ігнатишина Воловецька районна рада Закарпатської області</t>
  </si>
  <si>
    <t>89133</t>
  </si>
  <si>
    <t>2121585501</t>
  </si>
  <si>
    <t>Скотарське</t>
  </si>
  <si>
    <t>164</t>
  </si>
  <si>
    <t>(03136)32-2-48</t>
  </si>
  <si>
    <t>22099016</t>
  </si>
  <si>
    <t>Тишівська загальноосвітня школа І-ІІ ступеня Воловецької районної ради Закарпатської області</t>
  </si>
  <si>
    <t>89112</t>
  </si>
  <si>
    <t>2121586001</t>
  </si>
  <si>
    <t>Тишів</t>
  </si>
  <si>
    <t>Котельницька загальноосвітня школа І ступеня № 1 Воловецької районної ради Закарпатської області</t>
  </si>
  <si>
    <t>2121586002</t>
  </si>
  <si>
    <t>Котельниця</t>
  </si>
  <si>
    <t>Іршавська гімназія Іршавської районної ради Закарпатської області</t>
  </si>
  <si>
    <t>90100</t>
  </si>
  <si>
    <t>2121910100</t>
  </si>
  <si>
    <t>Іршава</t>
  </si>
  <si>
    <t>(03144)23474, (03144)23394</t>
  </si>
  <si>
    <t>Іршавська загальноосвітня школа І-ІІІ ступенів № 1 Іршавської районної ради Закарпатської області</t>
  </si>
  <si>
    <t>(097)6971789</t>
  </si>
  <si>
    <t>Іршавська загальноосвітня школа І-ІІІ ступенів № 2 Іршавської районної ради Закарпатської області</t>
  </si>
  <si>
    <t>(03144)22539</t>
  </si>
  <si>
    <t>Собатинська загальноосвітня школа І ступеня Іршавської районної ради Закарпатської області</t>
  </si>
  <si>
    <t>2121910101</t>
  </si>
  <si>
    <t>Собатин</t>
  </si>
  <si>
    <t>79</t>
  </si>
  <si>
    <t>(067)6828876</t>
  </si>
  <si>
    <t>Арданівська загальноосвітня школа І-ІІІ ступенів Іршавська районна рада Закарпатської області</t>
  </si>
  <si>
    <t>90120</t>
  </si>
  <si>
    <t>2121980401</t>
  </si>
  <si>
    <t>Арданово</t>
  </si>
  <si>
    <t>440</t>
  </si>
  <si>
    <t>(03144)48230</t>
  </si>
  <si>
    <t>Дунковицька загальноосвітня школа І -ІІ ступенів Іршавської районної ради Закарпатської області</t>
  </si>
  <si>
    <t>90121</t>
  </si>
  <si>
    <t>2121980402</t>
  </si>
  <si>
    <t>Дунковиця</t>
  </si>
  <si>
    <t>вул. Центральна, 98</t>
  </si>
  <si>
    <t>(44)32-2-21</t>
  </si>
  <si>
    <t>Мідяницька загальноосвітня школа І-ІІ ступенів Іршавської районної ради Закарпатської області</t>
  </si>
  <si>
    <t>90122</t>
  </si>
  <si>
    <t>2121980403</t>
  </si>
  <si>
    <t>Мідяниця</t>
  </si>
  <si>
    <t>175А</t>
  </si>
  <si>
    <t>(03144)48284</t>
  </si>
  <si>
    <t>Білки-Піньковицька загальноосвітня школа І ступеня</t>
  </si>
  <si>
    <t>90132</t>
  </si>
  <si>
    <t>2121980801</t>
  </si>
  <si>
    <t>вул. Зелена, 86</t>
  </si>
  <si>
    <t>(096)1050426</t>
  </si>
  <si>
    <t>Білки-Зовдуновицька загальноосвітня школа І ступеня Іршавської районної ради Закарпатської області</t>
  </si>
  <si>
    <t>вул. Шевченка, 52</t>
  </si>
  <si>
    <t>0964042742</t>
  </si>
  <si>
    <t>Білки-Новоселицька загальноосвітня школа І ступеня Іршавської райдержадміністрації</t>
  </si>
  <si>
    <t>вул. Ольги Кобилянської, 9</t>
  </si>
  <si>
    <t>0684939338</t>
  </si>
  <si>
    <t>Білківська загальноосвітня школа І-ІІІ ступенів № 2, Іршавський район, Закарпатська область</t>
  </si>
  <si>
    <t>вул. Конституції, 59</t>
  </si>
  <si>
    <t>(75)347</t>
  </si>
  <si>
    <t>Білківська загальноосвітня школа І-ІІІ ступенів, Іршавської районної ради Закарпатської області</t>
  </si>
  <si>
    <t>(03144)75368</t>
  </si>
  <si>
    <t>Брідська загальноосвітня школа І-ІІІ ступенів Іршавської районної ради Закарпатської області</t>
  </si>
  <si>
    <t>90115</t>
  </si>
  <si>
    <t>2121981201</t>
  </si>
  <si>
    <t>Брід</t>
  </si>
  <si>
    <t>вул. Центральна, 93</t>
  </si>
  <si>
    <t>(0443138)210</t>
  </si>
  <si>
    <t>Дешковицька загальноосвітня школа І ступеня Іршавської районної ради, Закарпатської області</t>
  </si>
  <si>
    <t>2121981202</t>
  </si>
  <si>
    <t>Дешковиця</t>
  </si>
  <si>
    <t>вул. Гагаріна, 47</t>
  </si>
  <si>
    <t>0672574342</t>
  </si>
  <si>
    <t>Броньківська загальноосвітня школа І-ІІІ ступенів Іршавськоїрайонної ради Закарпатської області</t>
  </si>
  <si>
    <t>90152</t>
  </si>
  <si>
    <t>2121981601</t>
  </si>
  <si>
    <t>Бронька</t>
  </si>
  <si>
    <t>(03144)74225</t>
  </si>
  <si>
    <t>Суха загальноосвітня школа І-ІІ ступенів 171 Іршавської районної ради Закарпатська область</t>
  </si>
  <si>
    <t>90153</t>
  </si>
  <si>
    <t>2121981602</t>
  </si>
  <si>
    <t>Суха</t>
  </si>
  <si>
    <t>вул. Центральна, 171</t>
  </si>
  <si>
    <t>Великораковецька загальноосвітня школа І-ІІ ступенів Іршавської районної ради Закарпатської області</t>
  </si>
  <si>
    <t>90143</t>
  </si>
  <si>
    <t>2121982001</t>
  </si>
  <si>
    <t>Великий Раковець</t>
  </si>
  <si>
    <t>вул. Святого Володимира, 4</t>
  </si>
  <si>
    <t>Великораковецька загальноосвітня школа І-ІІІ ступенів Іршавської районної ради Закарпатської області</t>
  </si>
  <si>
    <t>вул. Волошина, 6</t>
  </si>
  <si>
    <t>(096)6362723</t>
  </si>
  <si>
    <t>Заболотнянська загальноосвітня школа І ступеня, Іршавської районної ради Закарпатської області</t>
  </si>
  <si>
    <t>2121982002</t>
  </si>
  <si>
    <t>77</t>
  </si>
  <si>
    <t>0973850878</t>
  </si>
  <si>
    <t>Греблянська загальноосвітня школа І - ІІ ступенів Іршавської районної ради Закарпатської області</t>
  </si>
  <si>
    <t>90140</t>
  </si>
  <si>
    <t>2121982401</t>
  </si>
  <si>
    <t>Гребля</t>
  </si>
  <si>
    <t>131</t>
  </si>
  <si>
    <t>65-2-34</t>
  </si>
  <si>
    <t>Дубрівська загальноосвітня школа І - ІІІ ступенів, Іршавської районної ради Закарпатської області</t>
  </si>
  <si>
    <t>90133</t>
  </si>
  <si>
    <t>2121982801</t>
  </si>
  <si>
    <t>вул. -, 210</t>
  </si>
  <si>
    <t>57222</t>
  </si>
  <si>
    <t>Великорозтіцький навчально-виховний комплекс</t>
  </si>
  <si>
    <t>2121982802</t>
  </si>
  <si>
    <t>Велика Розтока</t>
  </si>
  <si>
    <t>43</t>
  </si>
  <si>
    <t>0673121220</t>
  </si>
  <si>
    <t>22099967</t>
  </si>
  <si>
    <t>Довжанська загальноосвітня школа І-ІІ ступенів Іршавської районної ради Закарпатської області</t>
  </si>
  <si>
    <t>90154</t>
  </si>
  <si>
    <t>2121983001</t>
  </si>
  <si>
    <t>Довге</t>
  </si>
  <si>
    <t>вул. Куклівська, 59</t>
  </si>
  <si>
    <t>(71)463</t>
  </si>
  <si>
    <t>Довжанська загальноосвітня школа І-ІІІ ступенів Іршавської районної ради Закарпатської області</t>
  </si>
  <si>
    <t>вул. Січових Стрільців, 1</t>
  </si>
  <si>
    <t>(031)4471281</t>
  </si>
  <si>
    <t>Доробратівська загальноосвітня школа І-ІІІ ступенів Іршавської районної ради Закарпатської області</t>
  </si>
  <si>
    <t>90113</t>
  </si>
  <si>
    <t>2121983201</t>
  </si>
  <si>
    <t>Доробратово</t>
  </si>
  <si>
    <t>(03144)35232</t>
  </si>
  <si>
    <t>http://dedu.ucoz.ua</t>
  </si>
  <si>
    <t>Комунальний заклад "Навчально-виховний комплекс Горбківська загальноосвітня школа І-ІІ ступенів - дошкільний навчальний заклад", Іршавської районної ради, Закарпатської області</t>
  </si>
  <si>
    <t>90111</t>
  </si>
  <si>
    <t>2121983202</t>
  </si>
  <si>
    <t>Горбок</t>
  </si>
  <si>
    <t>0688158512</t>
  </si>
  <si>
    <t>Загатська загальноосвітня школа І-ІІІ ступенів Іршавської районної ради Закарпатської області</t>
  </si>
  <si>
    <t>90112</t>
  </si>
  <si>
    <t>2121983601</t>
  </si>
  <si>
    <t>Загаття</t>
  </si>
  <si>
    <t>(36)234</t>
  </si>
  <si>
    <t>Колоднянська загальноосвітня школа І-ІІ ступенів Іршавської районної ради Закарпатської області</t>
  </si>
  <si>
    <t>вул. Колоднянська, 153</t>
  </si>
  <si>
    <t>Дубівська загальноосвітня школа І ступеня Іршавської районної ради Закарпатської області</t>
  </si>
  <si>
    <t>2121983602</t>
  </si>
  <si>
    <t>Дуби</t>
  </si>
  <si>
    <t>0978052133</t>
  </si>
  <si>
    <t>Івашковицька загальноосвітня школа І ступеня</t>
  </si>
  <si>
    <t>2121983603</t>
  </si>
  <si>
    <t>Івашковиця</t>
  </si>
  <si>
    <t>112</t>
  </si>
  <si>
    <t>(097)4376648</t>
  </si>
  <si>
    <t>Климовицька загальноосвітня школа Іршавської районної ради Закарпатської області</t>
  </si>
  <si>
    <t>2121983604</t>
  </si>
  <si>
    <t>Климовиця</t>
  </si>
  <si>
    <t>(097)6157603</t>
  </si>
  <si>
    <t>Зарічанська загальноосвітня школа І-ІІ ступеня Іршавської районної ради Закарпатської області</t>
  </si>
  <si>
    <t>90123</t>
  </si>
  <si>
    <t>2121984001</t>
  </si>
  <si>
    <t>вул. Комсомольська, 51</t>
  </si>
  <si>
    <t>(380)77-2-70</t>
  </si>
  <si>
    <t>Імстичівська загальноосвітня школа І ступеня Іршавської районної ради Закарпатської області</t>
  </si>
  <si>
    <t>90134</t>
  </si>
  <si>
    <t>2121984401</t>
  </si>
  <si>
    <t>Імстичово</t>
  </si>
  <si>
    <t>вул. Макаренка, 55</t>
  </si>
  <si>
    <t>(03144)40277</t>
  </si>
  <si>
    <t>Імстичівська загальноосвітня школа І-ІІІ ступенів Іршавської районної ради Закарпатської області</t>
  </si>
  <si>
    <t>(03144)40249</t>
  </si>
  <si>
    <t>Ільницька загальноосвітня школа І - ІІ ступенів Іршавської районної ради Закарпатської області</t>
  </si>
  <si>
    <t>90130</t>
  </si>
  <si>
    <t>2121984501</t>
  </si>
  <si>
    <t>Ільниця</t>
  </si>
  <si>
    <t>вул. Першотравнева, 62</t>
  </si>
  <si>
    <t>(03144)79899</t>
  </si>
  <si>
    <t>Ільницька загальноосвітня школа І ступеня</t>
  </si>
  <si>
    <t>вул. Українська, 117</t>
  </si>
  <si>
    <t>0978656234</t>
  </si>
  <si>
    <t>Ільницька загальноосвітня школа І-ІІІ ступенів Іршавської районної ради Закарпатської області</t>
  </si>
  <si>
    <t>вул. Радянська, 22</t>
  </si>
  <si>
    <t>(03144)79477</t>
  </si>
  <si>
    <t>Ільницька загальноосвітня школа-інтернат І-ІІІ ступенів Іршавської районної ради Закарпатської області</t>
  </si>
  <si>
    <t>вул. Шахтарська, 11</t>
  </si>
  <si>
    <t>((031)44)79346</t>
  </si>
  <si>
    <t>http://ilnschoolint.at.ua</t>
  </si>
  <si>
    <t>Ільницький спортивно-гуманітарний ліцей Іршавської районної ради Закарпатської області</t>
  </si>
  <si>
    <t>вул. Шахтарська, 14</t>
  </si>
  <si>
    <t>(03144)79-8-91</t>
  </si>
  <si>
    <t>http://ilnlicey.ucoz.ua</t>
  </si>
  <si>
    <t>Кам'янська загальноосвітння школа І-ІІІ ступенів Іршавської районної ради Закарпатської області</t>
  </si>
  <si>
    <t>90125</t>
  </si>
  <si>
    <t>2121984801</t>
  </si>
  <si>
    <t>вул. Мукачівська, 4</t>
  </si>
  <si>
    <t>(03144)47210</t>
  </si>
  <si>
    <t>Богаревицька загальноосвітня школа І ст.</t>
  </si>
  <si>
    <t>2121984802</t>
  </si>
  <si>
    <t>Богаревиця</t>
  </si>
  <si>
    <t>57</t>
  </si>
  <si>
    <t>0966582156</t>
  </si>
  <si>
    <t>Воловицька загальноосвітня школа І ступеня,Іршавської районної ради</t>
  </si>
  <si>
    <t>90126</t>
  </si>
  <si>
    <t>2121984803</t>
  </si>
  <si>
    <t>Воловиця</t>
  </si>
  <si>
    <t>29</t>
  </si>
  <si>
    <t>0666654443</t>
  </si>
  <si>
    <t>Хмільницька загальноосвітня школа І-ІІ ступенів Іршавської районної ради Закарпатської області</t>
  </si>
  <si>
    <t>2121984804</t>
  </si>
  <si>
    <t>122</t>
  </si>
  <si>
    <t>47-2-72</t>
  </si>
  <si>
    <t>http://khmilnyk-zosh.uz.sch.in.ua</t>
  </si>
  <si>
    <t>Кушницька загальноосвітня школа І-ІІІ ступенів Іршавської районної ради Закарпатської області</t>
  </si>
  <si>
    <t>90151</t>
  </si>
  <si>
    <t>2121985201</t>
  </si>
  <si>
    <t>Кушниця</t>
  </si>
  <si>
    <t>(031)4473393</t>
  </si>
  <si>
    <t>Лисичівська загальноосвітня школа І-ІІІ ступенів Іршавської районної ради Закарпатської області</t>
  </si>
  <si>
    <t>90150</t>
  </si>
  <si>
    <t>2121985601</t>
  </si>
  <si>
    <t>Лисичово</t>
  </si>
  <si>
    <t>269</t>
  </si>
  <si>
    <t>(3344)74541</t>
  </si>
  <si>
    <t>Лозянська загальноосвітня школа І-ІІ ступенів Іршавської районної ради Закарпатської області</t>
  </si>
  <si>
    <t>90157</t>
  </si>
  <si>
    <t>2121985701</t>
  </si>
  <si>
    <t>Лоза</t>
  </si>
  <si>
    <t>208А</t>
  </si>
  <si>
    <t>(03144)50232</t>
  </si>
  <si>
    <t>Луківська загальноосвітня школа І-ІІ ступенів Іршавської районної ради Закарпатської області</t>
  </si>
  <si>
    <t>90156</t>
  </si>
  <si>
    <t>2121985801</t>
  </si>
  <si>
    <t>Луково</t>
  </si>
  <si>
    <t>вул. Шевченка, 43</t>
  </si>
  <si>
    <t>(03144)58-2-42</t>
  </si>
  <si>
    <t>http://lucovoschool.at.ua</t>
  </si>
  <si>
    <t>Малораковецька загальноосвітня школа І ступеня</t>
  </si>
  <si>
    <t>90144</t>
  </si>
  <si>
    <t>2121986001</t>
  </si>
  <si>
    <t>Малий Раковець</t>
  </si>
  <si>
    <t>вул. Лісова, 15</t>
  </si>
  <si>
    <t>(096)7329205</t>
  </si>
  <si>
    <t>Малораковецька загальноосвітня школа І-ІІ ступенів Іршавської районної ради Закарпатської області</t>
  </si>
  <si>
    <t>Малораковецька загальноосвітня школа І-ІІІ ступенів Іршавської районної ради Закарпатської області</t>
  </si>
  <si>
    <t>Негрівська загальноосвітня школа І-ІІ ступенів Іршавської районної ради Закарпатської області</t>
  </si>
  <si>
    <t>90114</t>
  </si>
  <si>
    <t>2121986201</t>
  </si>
  <si>
    <t>Негрово</t>
  </si>
  <si>
    <t>35-2-12</t>
  </si>
  <si>
    <t>Вільхівська загальноосвітня школа І-ІІІ ступенів Іршавської районної ради Закарпатської області</t>
  </si>
  <si>
    <t>90141</t>
  </si>
  <si>
    <t>2121986401</t>
  </si>
  <si>
    <t>0976517510</t>
  </si>
  <si>
    <t>Нижньоболотнянська загальноосвітня школа І-ІІ ступенів Іршавської районної ради Закарпатської області</t>
  </si>
  <si>
    <t>90142</t>
  </si>
  <si>
    <t>2121986402</t>
  </si>
  <si>
    <t>Нижнє Болотне</t>
  </si>
  <si>
    <t>вул. Центральна, 32 А</t>
  </si>
  <si>
    <t>(55)233</t>
  </si>
  <si>
    <t>Осійська загальноосвітня школа І ступеня Іршавської районної ради Закарпатської області</t>
  </si>
  <si>
    <t>90131</t>
  </si>
  <si>
    <t>2121986501</t>
  </si>
  <si>
    <t>Осій</t>
  </si>
  <si>
    <t>вул. Лазянська, 45</t>
  </si>
  <si>
    <t>(380)971582615</t>
  </si>
  <si>
    <t>Осійська загальноосвітня школа І-ІІІ ступенів імені Федора Потушняка</t>
  </si>
  <si>
    <t>вул. Феодосія Злоцького, 42</t>
  </si>
  <si>
    <t>(031)4449334</t>
  </si>
  <si>
    <t>Приборжавська загальноосвітня школа І-ІІІ ступенів</t>
  </si>
  <si>
    <t>90155</t>
  </si>
  <si>
    <t>2121986801</t>
  </si>
  <si>
    <t>Приборжавське</t>
  </si>
  <si>
    <t>вул. Борканюка, 3</t>
  </si>
  <si>
    <t>(33)244</t>
  </si>
  <si>
    <t>Сілецька загальноосвітня школа І-ІІ ступенів Іршавської районної ради Закарпатської області</t>
  </si>
  <si>
    <t>90124</t>
  </si>
  <si>
    <t>2121987001</t>
  </si>
  <si>
    <t>(1)0968214570</t>
  </si>
  <si>
    <t>СІЛЕЦЬКА ЗАГАЛЬНООСВІТНЯ ШКОЛА І – ІІІ СТУПЕНІВ ІРШАВСЬКОЇ РАЙОННОЇ РАДИ ЗАКАРПАТСЬКОЇ ОБЛАСТІ</t>
  </si>
  <si>
    <t>(03144)77234</t>
  </si>
  <si>
    <t>Чорнопотіцька загальноосвітня школа І-ІІІ ступенів Іршавської районної ради Закарпатської області</t>
  </si>
  <si>
    <t>90110</t>
  </si>
  <si>
    <t>2121987201</t>
  </si>
  <si>
    <t>Чорний Потік</t>
  </si>
  <si>
    <t>вул. без назви, 137</t>
  </si>
  <si>
    <t>0968462176</t>
  </si>
  <si>
    <t>Підгірнянська загальноосвітня школа І-ІІ ступенів Іршавської районної ради Закарпатської області</t>
  </si>
  <si>
    <t>2121987204</t>
  </si>
  <si>
    <t>Підгірне</t>
  </si>
  <si>
    <t>(68)2-37</t>
  </si>
  <si>
    <t>Комунальний заклад навчально-виховний комплекс Смологовицька загальноосвітня школа І-ІІ ступенів - дитячий садок Іршавської районної ради Закарпатської області</t>
  </si>
  <si>
    <t>2121987205</t>
  </si>
  <si>
    <t>Смологовиця</t>
  </si>
  <si>
    <t>0989928078</t>
  </si>
  <si>
    <t>http://smologovytsia-school.edukit.uz.ua/</t>
  </si>
  <si>
    <t>22099625</t>
  </si>
  <si>
    <t>Міжгірська загальноосвітня школа І-ІІ ступенів Міжгірської районної ради Закарпатської області</t>
  </si>
  <si>
    <t>90000</t>
  </si>
  <si>
    <t>2122455100</t>
  </si>
  <si>
    <t>Міжгір'я</t>
  </si>
  <si>
    <t>вул. Хустська, 13</t>
  </si>
  <si>
    <t>(03146)23129</t>
  </si>
  <si>
    <t>25439470</t>
  </si>
  <si>
    <t>Міжгірська загальноосвітня школа І-ІІІ ступенів № 1 Міжгірської районної ради Закарпатської області</t>
  </si>
  <si>
    <t>25439375</t>
  </si>
  <si>
    <t>Міжгірська спеціалізована загальноосвітня школа І-ІІІ ступенів з поглибленим вивченням окремих предметів імені Августина Волошина Міжгірської районної ради Закарпатської області</t>
  </si>
  <si>
    <t>вул. Гагаріна, 30</t>
  </si>
  <si>
    <t>(03146)21988</t>
  </si>
  <si>
    <t>33614718</t>
  </si>
  <si>
    <t>Запереділянська загальноосвітня школа І-ІІ ступенів Міжгірської районної ради Закарпатської області</t>
  </si>
  <si>
    <t>90005</t>
  </si>
  <si>
    <t>2122455101</t>
  </si>
  <si>
    <t>Запереділля</t>
  </si>
  <si>
    <t>194</t>
  </si>
  <si>
    <t>(03146)24826</t>
  </si>
  <si>
    <t>Стригальнянський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</si>
  <si>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2122455103</t>
  </si>
  <si>
    <t>Стригальня</t>
  </si>
  <si>
    <t>0978643098</t>
  </si>
  <si>
    <t>25439547</t>
  </si>
  <si>
    <t>Буковецький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</si>
  <si>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90021</t>
  </si>
  <si>
    <t>2122480401</t>
  </si>
  <si>
    <t>вул. без назви, 221</t>
  </si>
  <si>
    <t>Верхньобистрянська ЗОШ І-ІІ ступенів Міжгірської районної ради Закарпатської області</t>
  </si>
  <si>
    <t>90025</t>
  </si>
  <si>
    <t>2122480601</t>
  </si>
  <si>
    <t>Верхній Бистрий</t>
  </si>
  <si>
    <t>вул. Гагаріна, 118</t>
  </si>
  <si>
    <t>(03146)25867</t>
  </si>
  <si>
    <t>25439626</t>
  </si>
  <si>
    <t>Вучківський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</si>
  <si>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90046</t>
  </si>
  <si>
    <t>2122480801</t>
  </si>
  <si>
    <t>Вучкове</t>
  </si>
  <si>
    <t>73</t>
  </si>
  <si>
    <t>(03146)20330</t>
  </si>
  <si>
    <t>25439607</t>
  </si>
  <si>
    <t>Голятинська загальноосвітня школа І-ІІІ ступенів Міжгірської районної ради Закарпатської області</t>
  </si>
  <si>
    <t>90023</t>
  </si>
  <si>
    <t>2122481201</t>
  </si>
  <si>
    <t>Голятин</t>
  </si>
  <si>
    <t>вул. без назви, 199</t>
  </si>
  <si>
    <t>(03146)20124</t>
  </si>
  <si>
    <t>Ізківська загальноосвітня школа І-ІІ ступенів Міжгірського району Закарпатської області</t>
  </si>
  <si>
    <t>90020</t>
  </si>
  <si>
    <t>2122481601</t>
  </si>
  <si>
    <t>Ізки</t>
  </si>
  <si>
    <t>вул. без назви, 167</t>
  </si>
  <si>
    <t>(03143)29101</t>
  </si>
  <si>
    <t>25439576</t>
  </si>
  <si>
    <t>Келечинський навчально- виховний комплекс "Загальноосвітній навчальний заклад І-ІІ ступенів- дошкільний навчальний заклад" Міжгірської районної ради Закарпатської області</t>
  </si>
  <si>
    <t>90022</t>
  </si>
  <si>
    <t>2122482001</t>
  </si>
  <si>
    <t>Келечин</t>
  </si>
  <si>
    <t>(03146)20530</t>
  </si>
  <si>
    <t>25439561</t>
  </si>
  <si>
    <t>Колочавська загальноосвітня школа І-ІІІ ступенів № 1 Міжгірської районної ради Закаратської області</t>
  </si>
  <si>
    <t>90043</t>
  </si>
  <si>
    <t>2122482101</t>
  </si>
  <si>
    <t>Колочава</t>
  </si>
  <si>
    <t>вул. Шевченка, 77</t>
  </si>
  <si>
    <t>(03146)24218</t>
  </si>
  <si>
    <t>25439369</t>
  </si>
  <si>
    <t>Колочавський навчально-виховний комплекс "загальноосвітній навчальний заклад І-ІІІ ступенів - дошкільний навчальний заклад" Міжгірської районної ради Закарпатської області</t>
  </si>
  <si>
    <t>90044</t>
  </si>
  <si>
    <t>вул. Дружби, 221</t>
  </si>
  <si>
    <t>(8031)4624507</t>
  </si>
  <si>
    <t>Колочавська гімназія Міжгірської районної ради Закарпатської області</t>
  </si>
  <si>
    <t>90045</t>
  </si>
  <si>
    <t>(03146)24507</t>
  </si>
  <si>
    <t>Горбівська загальноосвітня школа І-ІІ ступенів Міжгірської районної ради Закарпатської області</t>
  </si>
  <si>
    <t>2122482103</t>
  </si>
  <si>
    <t>Горб</t>
  </si>
  <si>
    <t>(03146)24273</t>
  </si>
  <si>
    <t>25439599</t>
  </si>
  <si>
    <t>Мерешорський навчально-виховний комплекс "Загальноосвітній навчально-виховний заклад І-ІІ ступенів - дошкільний навчальний заклад" Міжгірської районної ради Закарпатської області</t>
  </si>
  <si>
    <t>2122482105</t>
  </si>
  <si>
    <t>Мерешор</t>
  </si>
  <si>
    <t>(0038)0686168357</t>
  </si>
  <si>
    <t>25439464</t>
  </si>
  <si>
    <t>Лісковецький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</si>
  <si>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90012</t>
  </si>
  <si>
    <t>2122482801</t>
  </si>
  <si>
    <t>Лісковець</t>
  </si>
  <si>
    <t>172</t>
  </si>
  <si>
    <t>2-97-69</t>
  </si>
  <si>
    <t>25439441</t>
  </si>
  <si>
    <t>Лозянська загальноосвітня школа І-ІІ ступенів № 1 Міжгірської районної ради Закарпатської області</t>
  </si>
  <si>
    <t>90034</t>
  </si>
  <si>
    <t>2122483201</t>
  </si>
  <si>
    <t>Лозянський</t>
  </si>
  <si>
    <t>вул. без назви, 143</t>
  </si>
  <si>
    <t>(03146)2-56-23</t>
  </si>
  <si>
    <t>25439435</t>
  </si>
  <si>
    <t>Лозянський навчально-виховний заклад"Загальносвітній навчальний заклад І-ІІ ступенів - дошкільний навчальний заклад" Міжгірської районної ради Закарпатсбкої області</t>
  </si>
  <si>
    <t>вул. буз назви, 358</t>
  </si>
  <si>
    <t>(03146)25624</t>
  </si>
  <si>
    <t>25439429</t>
  </si>
  <si>
    <t>Майданська загальноосвітня школа І-ІІІ ступенів Міжгірської районної ради Закарпатської області</t>
  </si>
  <si>
    <t>90024</t>
  </si>
  <si>
    <t>2122483301</t>
  </si>
  <si>
    <t>вул. Верховинська, 56</t>
  </si>
  <si>
    <t>(03146)27021</t>
  </si>
  <si>
    <t>25439381</t>
  </si>
  <si>
    <t>Негровецький навчально-виховний комплекс "загальноосвітній навчальний заклад І-ІІІ ступенів - дошкільний навчальний заклад" імені Василя Росохи Міжгірської районної ради Закрапатської області</t>
  </si>
  <si>
    <t>90042</t>
  </si>
  <si>
    <t>2122484001</t>
  </si>
  <si>
    <t>Негровець</t>
  </si>
  <si>
    <t>25439398</t>
  </si>
  <si>
    <t>Нижньостуденівський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</si>
  <si>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90010</t>
  </si>
  <si>
    <t>2122484401</t>
  </si>
  <si>
    <t>Нижній Студений</t>
  </si>
  <si>
    <t>вул. без назви, 247А</t>
  </si>
  <si>
    <t>(03146)29358</t>
  </si>
  <si>
    <t>25439406</t>
  </si>
  <si>
    <t>Верхньостуденівський навчально-виховний комплекс"Загальноосвітній навчальний заклад І-ІІ ступенів- дошкільний навчальний заклад"Міжгірської районної ради Закарпатської області</t>
  </si>
  <si>
    <t>2122484402</t>
  </si>
  <si>
    <t>Верхній Студений</t>
  </si>
  <si>
    <t>552</t>
  </si>
  <si>
    <t>(031)4629405</t>
  </si>
  <si>
    <t>25439613</t>
  </si>
  <si>
    <t>Новоселицька загальноосвітня школа І - ІІІ ступенів Міжгірської районної ради Закарпатської області</t>
  </si>
  <si>
    <t>90013</t>
  </si>
  <si>
    <t>2122484801</t>
  </si>
  <si>
    <t>вул. Без назви, 174</t>
  </si>
  <si>
    <t>(03146)29748</t>
  </si>
  <si>
    <t>25439300</t>
  </si>
  <si>
    <t>Пилипецький навчально-виховний комплекс "загальноосвітній навчальний заклад 1 ступеня,дошкільний навчальний заклад" Міжгірської районної ради Закарпатської області</t>
  </si>
  <si>
    <t>90011</t>
  </si>
  <si>
    <t>2122485201</t>
  </si>
  <si>
    <t>Пилипець</t>
  </si>
  <si>
    <t>20</t>
  </si>
  <si>
    <t>0955507274</t>
  </si>
  <si>
    <t>Пилипецька спеціалізована загальноосвітня школа-інтернат з поглибленим вивченням окремих предметів ІІ-ІІІ ступенів Міжгірської районної ради Закарпатської області</t>
  </si>
  <si>
    <t>(03146)25153</t>
  </si>
  <si>
    <t>25439317</t>
  </si>
  <si>
    <t>Подобовецький навчально-виховний комплекс "Загальноосвітній навчальний заклад І-ІІ ступенів-дошкільний навчальний заклад" Міжгірської районоої ради Закарпатської області</t>
  </si>
  <si>
    <t>2122485202</t>
  </si>
  <si>
    <t>Подобовець</t>
  </si>
  <si>
    <t>(03146)25154</t>
  </si>
  <si>
    <t>25439487</t>
  </si>
  <si>
    <t>Розтоківський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</si>
  <si>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2122485203</t>
  </si>
  <si>
    <t>вул. без назви, 73</t>
  </si>
  <si>
    <t>(03146)25059</t>
  </si>
  <si>
    <t>25439524</t>
  </si>
  <si>
    <t>Присліпський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</si>
  <si>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90014</t>
  </si>
  <si>
    <t>2122485601</t>
  </si>
  <si>
    <t>Присліп</t>
  </si>
  <si>
    <t>60</t>
  </si>
  <si>
    <t>2-86-20</t>
  </si>
  <si>
    <t>25439493</t>
  </si>
  <si>
    <t>Репинський навчально-виховний комплекс "Загальноосвітній навчальний заклад І-ІІІ ступенів-дошкільний навчальний заклад" Міжгірської районної ради Закарпатської області</t>
  </si>
  <si>
    <t>90032</t>
  </si>
  <si>
    <t>2122486001</t>
  </si>
  <si>
    <t>Репинне</t>
  </si>
  <si>
    <t>вул. без назви, 135</t>
  </si>
  <si>
    <t>(03146)26569</t>
  </si>
  <si>
    <t>25439501</t>
  </si>
  <si>
    <t>Річківська загальноосвітня школа І-ІІ ступенів Міжгірської районної ради Закарпатської області</t>
  </si>
  <si>
    <t>2122486401</t>
  </si>
  <si>
    <t>Річка</t>
  </si>
  <si>
    <t>(03146)28831</t>
  </si>
  <si>
    <t>http://richkazosh.jimdo.com</t>
  </si>
  <si>
    <t>25439518</t>
  </si>
  <si>
    <t>Синевирська загальноосвітня школа І-ІІІ ступенів Міжгірської районної ради Закарпатської області</t>
  </si>
  <si>
    <t>90041</t>
  </si>
  <si>
    <t>2122486901</t>
  </si>
  <si>
    <t>Синевир</t>
  </si>
  <si>
    <t>907</t>
  </si>
  <si>
    <t>(03146)2-76-30</t>
  </si>
  <si>
    <t>25439323</t>
  </si>
  <si>
    <t>Синевирсько - Полянська загальноосвітня школа І - ІІІ ступенів Міжгірської районної ради Закарпатської області</t>
  </si>
  <si>
    <t>90040</t>
  </si>
  <si>
    <t>2122487201</t>
  </si>
  <si>
    <t>Синевирська Поляна</t>
  </si>
  <si>
    <t>143</t>
  </si>
  <si>
    <t>031-46-2-07-80</t>
  </si>
  <si>
    <t>25439332</t>
  </si>
  <si>
    <t>Соймівський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</si>
  <si>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90033</t>
  </si>
  <si>
    <t>2122487401</t>
  </si>
  <si>
    <t>Сойми</t>
  </si>
  <si>
    <t>103</t>
  </si>
  <si>
    <t>(031-46)2-60-94</t>
  </si>
  <si>
    <t>25439530</t>
  </si>
  <si>
    <t>Торуньська загальноосвітня школа І - ІІІ ступенів Міжгірської районної ради Закарпатської області</t>
  </si>
  <si>
    <t>90015</t>
  </si>
  <si>
    <t>2122487901</t>
  </si>
  <si>
    <t>Торунь</t>
  </si>
  <si>
    <t>вул. б н, 535</t>
  </si>
  <si>
    <t>(03146)28632</t>
  </si>
  <si>
    <t>25439346</t>
  </si>
  <si>
    <t>Лопушнянський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</si>
  <si>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2122487902</t>
  </si>
  <si>
    <t>Лопушне</t>
  </si>
  <si>
    <t>141</t>
  </si>
  <si>
    <t>0984389608</t>
  </si>
  <si>
    <t>25439458</t>
  </si>
  <si>
    <t>Тюшківська загальноосвітня школа І-ІІ ступенів Міжгірської районної ради Закарпатської області</t>
  </si>
  <si>
    <t>90031</t>
  </si>
  <si>
    <t>2122488001</t>
  </si>
  <si>
    <t>Тюшка</t>
  </si>
  <si>
    <t>111</t>
  </si>
  <si>
    <t>(03146)26450</t>
  </si>
  <si>
    <t>25439412</t>
  </si>
  <si>
    <t>Кольчинська загальноосвітня школа І-ІІІ ступенів Мукачівської районної ради Закарпатської області</t>
  </si>
  <si>
    <t>89636</t>
  </si>
  <si>
    <t>2122755300</t>
  </si>
  <si>
    <t>Кольчино</t>
  </si>
  <si>
    <t>вул. Фрідяшівська, 16</t>
  </si>
  <si>
    <t>(03131)71234</t>
  </si>
  <si>
    <t>http://Kolchynoschool.at.ua</t>
  </si>
  <si>
    <t>Жборівська загальноосвітня школа І ступеня Мукачівської районної ради Закарпатської області</t>
  </si>
  <si>
    <t>2122755301</t>
  </si>
  <si>
    <t>Жборівці</t>
  </si>
  <si>
    <t>(03131)71-2-66</t>
  </si>
  <si>
    <t>Кленовецька загальноосвітня школа І ступеня Мукачівської районної ради Закарпатської області</t>
  </si>
  <si>
    <t>2122755302</t>
  </si>
  <si>
    <t>Кленовець</t>
  </si>
  <si>
    <t>вул. Борканюка, 21</t>
  </si>
  <si>
    <t>Кленовецька загальноосвітня школа І-ІІ ступенів Мукачівської районної ради Закарпатської області</t>
  </si>
  <si>
    <t>вул. Корятовича, 1А</t>
  </si>
  <si>
    <t>(231)71-4-23</t>
  </si>
  <si>
    <t>Чинадіївська загальноосвітня школа І-ІІ ступенів Мукачівської районної ради Закарпатської області</t>
  </si>
  <si>
    <t>89640</t>
  </si>
  <si>
    <t>2122755500</t>
  </si>
  <si>
    <t>Чинадійово</t>
  </si>
  <si>
    <t>вул. Санаторна, 93</t>
  </si>
  <si>
    <t>(03131)62130</t>
  </si>
  <si>
    <t>Чинадіївська загальноосвітня школа І-ІІІ ступенів Мукачівської районної ради Закарпатської області</t>
  </si>
  <si>
    <t>вул. Волошина, 253</t>
  </si>
  <si>
    <t>(03131)62464</t>
  </si>
  <si>
    <t>Карпатський навчально-виховний комплекс "загальноосвітня школа-сад І ступеня" Чинадіївської селищної ради Мукачівського району Закарпатської області</t>
  </si>
  <si>
    <t>89641</t>
  </si>
  <si>
    <t>2122755501</t>
  </si>
  <si>
    <t>Карпати</t>
  </si>
  <si>
    <t>(03131)73-2-74</t>
  </si>
  <si>
    <t>Бабичівська загальноосвітня школа І-ІІ ступенів Мукачівської районної ради Закарпатської області</t>
  </si>
  <si>
    <t>89663</t>
  </si>
  <si>
    <t>2122780201</t>
  </si>
  <si>
    <t>Бабичі</t>
  </si>
  <si>
    <t>вул. Покутянська, 98</t>
  </si>
  <si>
    <t>(099)2583026</t>
  </si>
  <si>
    <t>Бобовищенська загальноосвітня школа I-III ступенів Мукачівської районної ради Закарпатської області</t>
  </si>
  <si>
    <t>89632</t>
  </si>
  <si>
    <t>2122780401</t>
  </si>
  <si>
    <t>Бобовище</t>
  </si>
  <si>
    <t>вул. Вул. Миру, 48</t>
  </si>
  <si>
    <t>79-2-34</t>
  </si>
  <si>
    <t>http://sch-bobovysche.ucoz.ru</t>
  </si>
  <si>
    <t>Брестівська загальноосвітня школа І-ІІ ступенів Мукачівської районної ради Закарпатської області</t>
  </si>
  <si>
    <t>89646</t>
  </si>
  <si>
    <t>2122780801</t>
  </si>
  <si>
    <t>Брестів</t>
  </si>
  <si>
    <t>вул. Садова, 77</t>
  </si>
  <si>
    <t>Лецовицька загальноосвітня школа І- ІІ ступенів Мукачівської районної ради Закарпатської області</t>
  </si>
  <si>
    <t>2122780802</t>
  </si>
  <si>
    <t>Лецовиця</t>
  </si>
  <si>
    <t>вул. Шкільна, 154</t>
  </si>
  <si>
    <t>http://lecovyca1school.ucoz.ru</t>
  </si>
  <si>
    <t>Плоскановицька загальноосвітня школа І ступеня Мукачівської районної ради Закарпатської області</t>
  </si>
  <si>
    <t>89645</t>
  </si>
  <si>
    <t>2122780803</t>
  </si>
  <si>
    <t>Плоскановиця</t>
  </si>
  <si>
    <t>вул. Зелена, 28</t>
  </si>
  <si>
    <t>Бистрицька загальноосвітня школа І-ІІ ступенів Мукачівської районної ради Закарпатської області</t>
  </si>
  <si>
    <t>2122781001</t>
  </si>
  <si>
    <t>Бистриця</t>
  </si>
  <si>
    <t>вул. І.Франка, 18</t>
  </si>
  <si>
    <t>(03131)77-2-34</t>
  </si>
  <si>
    <t>http://schbystryca.ucoz.com</t>
  </si>
  <si>
    <t>Вільховицький навчально-виховний комплекс "загальноосвітня школа - дитячий садок І ступеня" Бистрицької сільської ради Мукачівського району Закарпатської області</t>
  </si>
  <si>
    <t>2122781002</t>
  </si>
  <si>
    <t>Вільховиця</t>
  </si>
  <si>
    <t>вул. Івана Франка, 16</t>
  </si>
  <si>
    <t>(066)9057337</t>
  </si>
  <si>
    <t>Великолучківська загальноосвітня школа І-ІІ ступенів Мукачівської районної ради Закарпатської області</t>
  </si>
  <si>
    <t>89625</t>
  </si>
  <si>
    <t>2122781201</t>
  </si>
  <si>
    <t>Великі Лучки</t>
  </si>
  <si>
    <t>вул. Головна, 72</t>
  </si>
  <si>
    <t>(03131)6-14-54</t>
  </si>
  <si>
    <t>http://schnovluchky.ucoz.ua</t>
  </si>
  <si>
    <t>Великолучківська загальноосвітня школа І-ІІІ ступенів Мукачівської районної ради Закарпатської області</t>
  </si>
  <si>
    <t>вул. Гагаріна, 49</t>
  </si>
  <si>
    <t>(03131)61234</t>
  </si>
  <si>
    <t>Верхньовизницька загальноосвітня школа І-ІІІ ступенів Мукачівської районної ради Закарпатської області</t>
  </si>
  <si>
    <t>89644</t>
  </si>
  <si>
    <t>2122781401</t>
  </si>
  <si>
    <t>Верхня Визниця</t>
  </si>
  <si>
    <t>вул. Миру, 56</t>
  </si>
  <si>
    <t>(03131)70-4-12</t>
  </si>
  <si>
    <t>Верхньокоропецька загальноосвітня школа І-ІІІ ступенів Мукачівської районної ради Закарпатської області</t>
  </si>
  <si>
    <t>89660</t>
  </si>
  <si>
    <t>2122781601</t>
  </si>
  <si>
    <t>Верхній Коропець</t>
  </si>
  <si>
    <t>вул. Івана Франка, 8 Б</t>
  </si>
  <si>
    <t>(3131)66224</t>
  </si>
  <si>
    <t>Кучавська загальноосвітня школа І ступеня Мукачівської районної ради Закарпатської області</t>
  </si>
  <si>
    <t>2122781605</t>
  </si>
  <si>
    <t>Кучава</t>
  </si>
  <si>
    <t>вул. Миру, 77А</t>
  </si>
  <si>
    <t>(03131)66-6-40</t>
  </si>
  <si>
    <t>Куштановицька загальноосвітня школа І ступеня Мукачівської районної ради Закарпатської області</t>
  </si>
  <si>
    <t>89662</t>
  </si>
  <si>
    <t>2122781607</t>
  </si>
  <si>
    <t>Куштановиця</t>
  </si>
  <si>
    <t>вул. Миру, 25</t>
  </si>
  <si>
    <t>(050)9399437</t>
  </si>
  <si>
    <t>Горондівська загальноосвітня школа І-ІІІ ступенів Мукачівської районної ради Закарпатської області</t>
  </si>
  <si>
    <t>89656</t>
  </si>
  <si>
    <t>2122781801</t>
  </si>
  <si>
    <t>Горонда</t>
  </si>
  <si>
    <t>вул. Духновича, 68</t>
  </si>
  <si>
    <t>(03131)60624</t>
  </si>
  <si>
    <t>Дерценська загальноосвітня школа І-ІІІ ступенів з угорською мовою навчання Мукачівської районної ради Закарпатської області</t>
  </si>
  <si>
    <t>89671</t>
  </si>
  <si>
    <t>2122782001</t>
  </si>
  <si>
    <t>Дерцен</t>
  </si>
  <si>
    <t>вул. Ракоці, 103</t>
  </si>
  <si>
    <t>0997751037</t>
  </si>
  <si>
    <t>http://dertsen-scool.at.ua/</t>
  </si>
  <si>
    <t>Жнятинська загальноосвітня школа І-ІІ ступенів № 1 Мукачівської районної ради Закарпатської області</t>
  </si>
  <si>
    <t>89657</t>
  </si>
  <si>
    <t>2122782201</t>
  </si>
  <si>
    <t>Жнятино</t>
  </si>
  <si>
    <t>вул. Віктора Дудинського, 33(а)</t>
  </si>
  <si>
    <t>(03131)78-4-41</t>
  </si>
  <si>
    <t>Жнятинська загальноосвітня школа І-ІІ ступенів № 2 з угорською мовою навчання Мукачівської районної ради Закарпатської області</t>
  </si>
  <si>
    <t>вул. миру, 127 А</t>
  </si>
  <si>
    <t>(78)445</t>
  </si>
  <si>
    <t>http://zhnyatyno2.ucoz.com</t>
  </si>
  <si>
    <t>Жуківська загальноосвітня школа І ступенів Мукачівської районної ради Закарпатської області</t>
  </si>
  <si>
    <t>89664</t>
  </si>
  <si>
    <t>2122782301</t>
  </si>
  <si>
    <t>Жуково</t>
  </si>
  <si>
    <t>(03131)60-3-81</t>
  </si>
  <si>
    <t>Завидівська загальноосвітня школа І-ІІ ступенів</t>
  </si>
  <si>
    <t>89667</t>
  </si>
  <si>
    <t>2122782401</t>
  </si>
  <si>
    <t>Завидово</t>
  </si>
  <si>
    <t>вул. Миру, 99</t>
  </si>
  <si>
    <t>0506747750</t>
  </si>
  <si>
    <t>Залужанська загальноосвітня школа І-ІІІ ступенів Мукачівської районної ради Закарпатської області</t>
  </si>
  <si>
    <t>89675</t>
  </si>
  <si>
    <t>2122782601</t>
  </si>
  <si>
    <t>(0313169)2-04</t>
  </si>
  <si>
    <t>http://zaluzhia-school.edukit.uz.ua/</t>
  </si>
  <si>
    <t>Залужанський міжшкільний навчально-виробничий комбінат Мукачівського району Закарпатської області</t>
  </si>
  <si>
    <t>вул. Духновича, 22</t>
  </si>
  <si>
    <t>(03131)23166</t>
  </si>
  <si>
    <t>Зняцівська загальноосвітня школа І-ІІІ ступенів Мукачівської районної ради Закарпатської області</t>
  </si>
  <si>
    <t>89650</t>
  </si>
  <si>
    <t>2122782801</t>
  </si>
  <si>
    <t>Зняцьово</t>
  </si>
  <si>
    <t>вул. Гойди, 2</t>
  </si>
  <si>
    <t>Драгинський навчально-виховний комплекс загальноосвітня школа-сад І-ІІ ступенів Мукачівської районної ради Закарпатської області</t>
  </si>
  <si>
    <t>2122782803</t>
  </si>
  <si>
    <t>Драгиня</t>
  </si>
  <si>
    <t>33Б</t>
  </si>
  <si>
    <t>Червенівська загальноосвітня школа І ступеня Мукачівської районної ради Закарпатської області</t>
  </si>
  <si>
    <t>89651</t>
  </si>
  <si>
    <t>2122782805</t>
  </si>
  <si>
    <t>Червеньово</t>
  </si>
  <si>
    <t>вул. Дружби, б/н</t>
  </si>
  <si>
    <t>(050)6954057</t>
  </si>
  <si>
    <t>Червенівська загальноосвітня школа І-ІІ ступенів Мукачівської районої ради Закарпатської області</t>
  </si>
  <si>
    <t>вул. Шевченка, 138</t>
  </si>
  <si>
    <t>0952149338</t>
  </si>
  <si>
    <t>Зубівський навчально-виховний комплекс "загальноосвітня школа - дитячий садок І ступеня" Зубівської сільської ради Мукачівського району Закарпатської області</t>
  </si>
  <si>
    <t>2122783001</t>
  </si>
  <si>
    <t>Зубівка</t>
  </si>
  <si>
    <t>вул. Миру, 51</t>
  </si>
  <si>
    <t>Софіївська загальноосвітня школа І ступеня Мукачівської районної ради Закарпатської області</t>
  </si>
  <si>
    <t>2122783002</t>
  </si>
  <si>
    <t>Софія</t>
  </si>
  <si>
    <t>вул. Духновича, 73</t>
  </si>
  <si>
    <t>Івановецька загальноосвітня школа І-ІІ ступенів Мукачівської районної ради Закарпатської області</t>
  </si>
  <si>
    <t>89622</t>
  </si>
  <si>
    <t>2122783201</t>
  </si>
  <si>
    <t>вул. Вакарова, 5</t>
  </si>
  <si>
    <t>(03131)60482</t>
  </si>
  <si>
    <t>http://sch-ivanivci.ucoz.com</t>
  </si>
  <si>
    <t>Клячанівська загальноосвітня школа І-ІІІ ступенів Мукачівської районної ради Закарпатської області</t>
  </si>
  <si>
    <t>89623</t>
  </si>
  <si>
    <t>2122783202</t>
  </si>
  <si>
    <t>Клячаново</t>
  </si>
  <si>
    <t>вул. Мукачівська, 1</t>
  </si>
  <si>
    <t>(03131)60434</t>
  </si>
  <si>
    <t>Стародавидківська ЗОШ І ступеня Мукачівської районної ради Закарпатської області</t>
  </si>
  <si>
    <t>2122783203</t>
  </si>
  <si>
    <t>Старе Давидково</t>
  </si>
  <si>
    <t>вул. Миру, 54А</t>
  </si>
  <si>
    <t>(03131)6-66-40</t>
  </si>
  <si>
    <t>Кальницька загальноосвітня школа I-III ступенів Мукачівської районної ради Закарпатської області</t>
  </si>
  <si>
    <t>89633</t>
  </si>
  <si>
    <t>2122783401</t>
  </si>
  <si>
    <t>вул. Миру, 2А</t>
  </si>
  <si>
    <t>http://kalnykshc.ucoz.ua/</t>
  </si>
  <si>
    <t>Медведівська загальноосвітня школа І-ІІ ступенів Мукачівської районної ради Закарпатської області</t>
  </si>
  <si>
    <t>2122783403</t>
  </si>
  <si>
    <t>Медведівці</t>
  </si>
  <si>
    <t>(03131)76-2-55</t>
  </si>
  <si>
    <t>http://schmedvedivci.ucoz.ua/</t>
  </si>
  <si>
    <t>Ключарківська загальноосвітня школа І-ІІ ступенів Мукачівської районної ради Закарпатської області</t>
  </si>
  <si>
    <t>89626</t>
  </si>
  <si>
    <t>2122783801</t>
  </si>
  <si>
    <t>Ключарки</t>
  </si>
  <si>
    <t>(03131)68246</t>
  </si>
  <si>
    <t>Копиновецька загальноосвітня школа І-ІІ ступенів Мукачівської районної ради Закарпатської області</t>
  </si>
  <si>
    <t>89631</t>
  </si>
  <si>
    <t>2122784201</t>
  </si>
  <si>
    <t>Копинівці</t>
  </si>
  <si>
    <t>(79)2-14</t>
  </si>
  <si>
    <t>Микулівська загальноосвітня школа І ступеня Мукачівської районної ради Закаропатської області</t>
  </si>
  <si>
    <t>2122784202</t>
  </si>
  <si>
    <t>Микулівці</t>
  </si>
  <si>
    <t>(03131)79-2-23</t>
  </si>
  <si>
    <t>Щасливецька загальноосвітня школа І ступеня Мукачівської районної ради Закарпатської області</t>
  </si>
  <si>
    <t>2122784204</t>
  </si>
  <si>
    <t>Щасливе</t>
  </si>
  <si>
    <t>50</t>
  </si>
  <si>
    <t>(03131)79-2-76</t>
  </si>
  <si>
    <t>Лавківська загальноосвітня школа І-ІІ ступенів Мукачівської районної ради Закарпатської області</t>
  </si>
  <si>
    <t>89635</t>
  </si>
  <si>
    <t>2122784801</t>
  </si>
  <si>
    <t>Лавки</t>
  </si>
  <si>
    <t>вул. Миру, 31</t>
  </si>
  <si>
    <t>0951243330</t>
  </si>
  <si>
    <t>Лалівська загальноосвітня школа І-ІІ ступенів Мукачівської районної ради Закарпатської області</t>
  </si>
  <si>
    <t>2122785001</t>
  </si>
  <si>
    <t>Лалово</t>
  </si>
  <si>
    <t>вул. Шкільна, 81А</t>
  </si>
  <si>
    <t>(69)634</t>
  </si>
  <si>
    <t>Лохівська загальноосвітня школа І-ІІІ ступенів імені Юрія Герца Мукачівської районної ради Закарпатської області</t>
  </si>
  <si>
    <t>89634</t>
  </si>
  <si>
    <t>2122785201</t>
  </si>
  <si>
    <t>Лохово</t>
  </si>
  <si>
    <t>(03131)79-4-34</t>
  </si>
  <si>
    <t>Форношська загальноосвітня школа І-ІІ ступенів з угорською мовою навчання Мукачівської районної ради Закарпатської області</t>
  </si>
  <si>
    <t>89672</t>
  </si>
  <si>
    <t>2122785301</t>
  </si>
  <si>
    <t>Форнош</t>
  </si>
  <si>
    <t>вул. Беке 149</t>
  </si>
  <si>
    <t>0669011318</t>
  </si>
  <si>
    <t>Макарівська загальноосвітня школа І-ІІІ ступенів Мукачівської районної ради Закарпатської області</t>
  </si>
  <si>
    <t>89676</t>
  </si>
  <si>
    <t>2122785401</t>
  </si>
  <si>
    <t>Макарьово</t>
  </si>
  <si>
    <t>(050)5488543, (095)1809509</t>
  </si>
  <si>
    <t>Барбівська загальноосвітня школа І-ІІ ступенів Мукачівської районної ради Закарпатської області</t>
  </si>
  <si>
    <t>89677</t>
  </si>
  <si>
    <t>2122785402</t>
  </si>
  <si>
    <t>Барбово</t>
  </si>
  <si>
    <t>(03131)67232</t>
  </si>
  <si>
    <t>Нижньокоропецька загальноосвітня школа І-ІІ ступенів Мукачівської районної ради Закарпатської області</t>
  </si>
  <si>
    <t>89670</t>
  </si>
  <si>
    <t>2122785601</t>
  </si>
  <si>
    <t>Нижній Коропець</t>
  </si>
  <si>
    <t>(03131)68616</t>
  </si>
  <si>
    <t>http://koropec.at.ua/</t>
  </si>
  <si>
    <t>Новодавидківська загальноосвітня школа I-ІІI ступенів Мукачівської районної ради Закарпатської області</t>
  </si>
  <si>
    <t>89624</t>
  </si>
  <si>
    <t>2122785801</t>
  </si>
  <si>
    <t>Нове Давидково</t>
  </si>
  <si>
    <t>наб. Набережна, 99</t>
  </si>
  <si>
    <t>(03131)68417</t>
  </si>
  <si>
    <t>Обавська загальноосвітня школа І-ІІ ступенів Мукачівської районної ради Закарпатської області</t>
  </si>
  <si>
    <t>89643</t>
  </si>
  <si>
    <t>2122786201</t>
  </si>
  <si>
    <t>Обава</t>
  </si>
  <si>
    <t>(03131)77-6-32</t>
  </si>
  <si>
    <t>Дубинська загальноосвітня школа І ступеня Мукачівської районної ради Закарпатської області</t>
  </si>
  <si>
    <t>2122786203</t>
  </si>
  <si>
    <t>Дубино</t>
  </si>
  <si>
    <t>вул. Жовтнева, 38</t>
  </si>
  <si>
    <t>Косинська загальноосвітня школа І ступеня Мукачівської районної ради Закарпатської області</t>
  </si>
  <si>
    <t>2122786205</t>
  </si>
  <si>
    <t>Косино</t>
  </si>
  <si>
    <t>вул. Садова, 25</t>
  </si>
  <si>
    <t>Павшинська загальноосвітня школа І ступеня Мукачівської районної ради Закарпатської області</t>
  </si>
  <si>
    <t>89627</t>
  </si>
  <si>
    <t>2122786301</t>
  </si>
  <si>
    <t>Павшино</t>
  </si>
  <si>
    <t>вул. Лесі Українки, 89</t>
  </si>
  <si>
    <t>(03131)3-20-70</t>
  </si>
  <si>
    <t>Пістрялівська загальноосвітня школа І-ІІ ступенів Мукачівської районної ради Закарпатської області</t>
  </si>
  <si>
    <t>89673</t>
  </si>
  <si>
    <t>2122786401</t>
  </si>
  <si>
    <t>Пістрялово</t>
  </si>
  <si>
    <t>(03131)77125</t>
  </si>
  <si>
    <t>Пузняковецька загальноосвітня школа І-ІІІ ступенів Мукачівської районної ради Закарпатської області</t>
  </si>
  <si>
    <t>89630</t>
  </si>
  <si>
    <t>2122786601</t>
  </si>
  <si>
    <t>Пузняківці</t>
  </si>
  <si>
    <t>вул. Миру, 72,б</t>
  </si>
  <si>
    <t>(03131)70-2-34</t>
  </si>
  <si>
    <t>Ракошинська загальноосвітня школа І-ІІ ступенів з угорською мовою навчання Мукачівської районної ради Закарпатської області</t>
  </si>
  <si>
    <t>89620</t>
  </si>
  <si>
    <t>2122786801</t>
  </si>
  <si>
    <t>Ракошино</t>
  </si>
  <si>
    <t>вул. Дружби, 11</t>
  </si>
  <si>
    <t>(03131)74244, 0661963271</t>
  </si>
  <si>
    <t>http://www.rakosialtiskola.ucoz.ua</t>
  </si>
  <si>
    <t>Ракошинська загальноосвітня школа І-ІІІ ступенів Мукачівської районної ради Закарпатської області</t>
  </si>
  <si>
    <t>вул. Кольки, 2</t>
  </si>
  <si>
    <t>(03131)74334</t>
  </si>
  <si>
    <t>Домбоківська спеціальна школа-інтернат I-II ступенів Закапратської обласної ради</t>
  </si>
  <si>
    <t>2122786805</t>
  </si>
  <si>
    <t>Домбоки</t>
  </si>
  <si>
    <t>вул. Макаренка, 7</t>
  </si>
  <si>
    <t>74-2-27</t>
  </si>
  <si>
    <t>22115086</t>
  </si>
  <si>
    <t>Руськівська загальноосвітня школа І-ІІ ступенів Мукачівської районної ради Закарпатської області</t>
  </si>
  <si>
    <t>2122786809</t>
  </si>
  <si>
    <t>Руське</t>
  </si>
  <si>
    <t>вул. Борканюка, 32А</t>
  </si>
  <si>
    <t>Чопівський навчально-виховний комплекс "загальноосвітня школа - сад І ступеня" Ракошинської сільської ради Мукачівського району Закарпатської області</t>
  </si>
  <si>
    <t>2122786811</t>
  </si>
  <si>
    <t>Чопівці</t>
  </si>
  <si>
    <t>вул. Виноградна, 2</t>
  </si>
  <si>
    <t>Сернянська загальноосвітня школа І-ІІ ступенів з угорською мовою навчання Мукачівської районної ради Закарпатської області</t>
  </si>
  <si>
    <t>89653</t>
  </si>
  <si>
    <t>2122787001</t>
  </si>
  <si>
    <t>Серне</t>
  </si>
  <si>
    <t>вул. Леніна, 96</t>
  </si>
  <si>
    <t>(78)201, 0504323666</t>
  </si>
  <si>
    <t>Баркасівська загальноосвітня школа І-ІІІ ступенів з угорською мовою навчання Мукачівської районної ради Закарпатської області</t>
  </si>
  <si>
    <t>89654</t>
  </si>
  <si>
    <t>2122787002</t>
  </si>
  <si>
    <t>Баркасово</t>
  </si>
  <si>
    <t>вул. Сечені, 84</t>
  </si>
  <si>
    <t>(380)0506478704</t>
  </si>
  <si>
    <t>Станівська загальноосвітня школа І-ІІІ ступенів, Мукачівської районної ради Закарпатської області</t>
  </si>
  <si>
    <t>89668</t>
  </si>
  <si>
    <t>2122787201</t>
  </si>
  <si>
    <t>Станово</t>
  </si>
  <si>
    <t>вул. Шевченка, 265</t>
  </si>
  <si>
    <t>(03131)69143</t>
  </si>
  <si>
    <t>Гандеровицький навчально-виховний комплекс "загальноосвітня школа І ступеня - дошкільний навчальний заклад" Мукачівської районної ради Закарпатської області</t>
  </si>
  <si>
    <t>89666</t>
  </si>
  <si>
    <t>2122787202</t>
  </si>
  <si>
    <t>Гандеровиця</t>
  </si>
  <si>
    <t>вул. Миру, 43</t>
  </si>
  <si>
    <t>(095)2167555</t>
  </si>
  <si>
    <t>Страбичівська загальноосвітня школа І-ІІІ ступенів Мукачівської районної ради Закарпатської області</t>
  </si>
  <si>
    <t>89655</t>
  </si>
  <si>
    <t>2122787401</t>
  </si>
  <si>
    <t>Страбичово</t>
  </si>
  <si>
    <t>вул. Центральна, 197А</t>
  </si>
  <si>
    <t>(03131)65266</t>
  </si>
  <si>
    <t>http://schstrabychovo.ucoz.ua/</t>
  </si>
  <si>
    <t>Чомонинська загальноосвітня школа І-ІІ ступенів з угорською мовою навчання Мукачівської районної ради Закарпатської області</t>
  </si>
  <si>
    <t>89652</t>
  </si>
  <si>
    <t>2122787801</t>
  </si>
  <si>
    <t>Чомонин</t>
  </si>
  <si>
    <t>вул. Миру, 91</t>
  </si>
  <si>
    <t>(03131)78194</t>
  </si>
  <si>
    <t>http://chomonin-school.ucoz.ua</t>
  </si>
  <si>
    <t>Яблунівський навчально-виховний комплекс "загальноосвітня школа-сад І ступеня" Яблунівської сільської ради Мукачівського району Закарпатської області</t>
  </si>
  <si>
    <t>2122788201</t>
  </si>
  <si>
    <t>Яблунів</t>
  </si>
  <si>
    <t>вул. Миру, 50</t>
  </si>
  <si>
    <t>(095)2554832</t>
  </si>
  <si>
    <t>Новоселицька загальноосвітня школа І ступеня Мукачівської районної ради Закарпатської області</t>
  </si>
  <si>
    <t>2122788202</t>
  </si>
  <si>
    <t>Перечинська гімназія ІІ-ІІІ ступенів суспільно-гуманітарного напрямку Закарпатської області</t>
  </si>
  <si>
    <t>89200</t>
  </si>
  <si>
    <t>2123210100</t>
  </si>
  <si>
    <t>Перечин</t>
  </si>
  <si>
    <t>вул. Жовтнева, 25</t>
  </si>
  <si>
    <t>(03145)23248</t>
  </si>
  <si>
    <t>26463157</t>
  </si>
  <si>
    <t>Перечинська загальноосвітня школа І-ІІІ ступенів Закарпатської області</t>
  </si>
  <si>
    <t>вул. Червоноармійська, 21</t>
  </si>
  <si>
    <t>(03145)21541</t>
  </si>
  <si>
    <t>26463140</t>
  </si>
  <si>
    <t>Перечинська загальноосвітня школа-інтернат І-ІІ ступенів Закарпатської області</t>
  </si>
  <si>
    <t>вул. Ломоносова, 1</t>
  </si>
  <si>
    <t>(03145)22351</t>
  </si>
  <si>
    <t>22114106</t>
  </si>
  <si>
    <t>Ворочівська загальноосвітня школа І ступеня</t>
  </si>
  <si>
    <t>89220</t>
  </si>
  <si>
    <t>2123280501</t>
  </si>
  <si>
    <t>Ворочово</t>
  </si>
  <si>
    <t>113А</t>
  </si>
  <si>
    <t>(03145)48293</t>
  </si>
  <si>
    <t>http://vorochivska_zosh.klasna.com/</t>
  </si>
  <si>
    <t>Дубринич-Березька загальноосвітня школа І ступеня</t>
  </si>
  <si>
    <t>89210</t>
  </si>
  <si>
    <t>2123281001</t>
  </si>
  <si>
    <t>Дубриничі</t>
  </si>
  <si>
    <t>Берег, 60</t>
  </si>
  <si>
    <t>(03145)53325, (095)7935416</t>
  </si>
  <si>
    <t>http://dubrunuch_bereh_school.klasna.com/</t>
  </si>
  <si>
    <t>Дубриницька загальноосвітня школа І-ІІІ ступенів Перечинського району Закарпатської області</t>
  </si>
  <si>
    <t>(03145)53293</t>
  </si>
  <si>
    <t>26463281</t>
  </si>
  <si>
    <t>Пастілківська загальноосвітня школа І ступеня</t>
  </si>
  <si>
    <t>2123281002</t>
  </si>
  <si>
    <t>Пастілки</t>
  </si>
  <si>
    <t>(03145)53259, (099)3452242</t>
  </si>
  <si>
    <t>http://pastilkivska_zosh.klasna.com/</t>
  </si>
  <si>
    <t>Зарічівська загальноосвітня школа І-ІІ ступенів</t>
  </si>
  <si>
    <t>89212</t>
  </si>
  <si>
    <t>2123281501</t>
  </si>
  <si>
    <t>Зарічово</t>
  </si>
  <si>
    <t>вул. Шевченка, 4А</t>
  </si>
  <si>
    <t>(03145)42224, (050)1502071</t>
  </si>
  <si>
    <t>http://school_zarichevo.klasna.com/</t>
  </si>
  <si>
    <t>Новоселицька загальноосвітня школа І-ІІ ступенів - дошкільний навчальний заклад</t>
  </si>
  <si>
    <t>89211</t>
  </si>
  <si>
    <t>2123282001</t>
  </si>
  <si>
    <t>(03145)52271, (066)2707725</t>
  </si>
  <si>
    <t>http://novoselutska_school.klasna.com/</t>
  </si>
  <si>
    <t>Вільшинківський навчально-виховний комплекс загальноосвітня школа І-ІІ ступенів - дошкільний навчальний заклад</t>
  </si>
  <si>
    <t>89214</t>
  </si>
  <si>
    <t>2123282501</t>
  </si>
  <si>
    <t>Вільшинки</t>
  </si>
  <si>
    <t>90</t>
  </si>
  <si>
    <t>(03145)51583, (095)8742713</t>
  </si>
  <si>
    <t>http://school_vilshanku.klasna.com/</t>
  </si>
  <si>
    <t>Присліпська загальноосвітня школа І ступеня</t>
  </si>
  <si>
    <t>Присліп, 37</t>
  </si>
  <si>
    <t>(099)9642328</t>
  </si>
  <si>
    <t>http://pruslip_school.klasna.com/</t>
  </si>
  <si>
    <t>Порошківська загальноосвітня школа І-ІІІ ступенів Перечинського району Закарпатської області</t>
  </si>
  <si>
    <t>89230</t>
  </si>
  <si>
    <t>2123283001</t>
  </si>
  <si>
    <t>Порошково</t>
  </si>
  <si>
    <t>вул. Центральна, 82</t>
  </si>
  <si>
    <t>(03145)77226</t>
  </si>
  <si>
    <t>26463298</t>
  </si>
  <si>
    <t>Мокрянська загальноосвітня школа І ступеня</t>
  </si>
  <si>
    <t>2123283003</t>
  </si>
  <si>
    <t>Мокра</t>
  </si>
  <si>
    <t>68</t>
  </si>
  <si>
    <t>(03145)76640, (066)5651079</t>
  </si>
  <si>
    <t>http://mokrjanska_school.klasna.com/</t>
  </si>
  <si>
    <t>Сімерківська загальноосвітня школа І-ІІ ступенів</t>
  </si>
  <si>
    <t>89213</t>
  </si>
  <si>
    <t>2123283501</t>
  </si>
  <si>
    <t>Сімерки</t>
  </si>
  <si>
    <t>(03145)45244</t>
  </si>
  <si>
    <t>http://sim127.klasna.com/</t>
  </si>
  <si>
    <t>Сімерська загальноосвітня школа І-ІІ ступенів</t>
  </si>
  <si>
    <t>89203</t>
  </si>
  <si>
    <t>2123283601</t>
  </si>
  <si>
    <t>Сімер</t>
  </si>
  <si>
    <t>вул. Карпатьска, 79</t>
  </si>
  <si>
    <t>(03145)43248, (099)4020957</t>
  </si>
  <si>
    <t>http://school_simer.klasna.com/</t>
  </si>
  <si>
    <t>Турицька загальноосвітня школа І-ІІ ступенів Перечинського району Закарпатської області</t>
  </si>
  <si>
    <t>89222</t>
  </si>
  <si>
    <t>2123284001</t>
  </si>
  <si>
    <t>Туриця</t>
  </si>
  <si>
    <t>(03145)46224</t>
  </si>
  <si>
    <t>26463186</t>
  </si>
  <si>
    <t>Туричківська загальноосвітня школа І-ІІ ступенів</t>
  </si>
  <si>
    <t>89215</t>
  </si>
  <si>
    <t>2123284501</t>
  </si>
  <si>
    <t>Турички</t>
  </si>
  <si>
    <t>(03145)44237, (095)2015053</t>
  </si>
  <si>
    <t>http://school_tyruchku.klasna.com/</t>
  </si>
  <si>
    <t>Липовецька загальноосвітня школа І ступеня</t>
  </si>
  <si>
    <t>2123284502</t>
  </si>
  <si>
    <t>вул. Полонинська, 23</t>
  </si>
  <si>
    <t>(050)1822153</t>
  </si>
  <si>
    <t>http://lupovetska_school.klasna.com/</t>
  </si>
  <si>
    <t>Тур'я Бистрянська загальноосвітня школа І-ІІ ступенів Перечинського району Закарпатської області</t>
  </si>
  <si>
    <t>89231</t>
  </si>
  <si>
    <t>2123285001</t>
  </si>
  <si>
    <t>Тур'я Бистра</t>
  </si>
  <si>
    <t>вул. Духновича, 66</t>
  </si>
  <si>
    <t>(03145)76424</t>
  </si>
  <si>
    <t>Тур'я Пасіцька загальноосвітня школа І-ІІІ ступенів</t>
  </si>
  <si>
    <t>89223</t>
  </si>
  <si>
    <t>2123285501</t>
  </si>
  <si>
    <t>Тур'я Пасіка</t>
  </si>
  <si>
    <t>вул. Турянська, 34</t>
  </si>
  <si>
    <t>(03145)47224, (050)1517399</t>
  </si>
  <si>
    <t>http://pasykask.klasna.com/</t>
  </si>
  <si>
    <t>89224</t>
  </si>
  <si>
    <t>2123285503</t>
  </si>
  <si>
    <t>Раково</t>
  </si>
  <si>
    <t>(03145)41236, (066)0800091</t>
  </si>
  <si>
    <t>http://school188.klasna.com/</t>
  </si>
  <si>
    <t>Тур'я Полянська загальноосвітня школа І-ІІ ступенів Перечинського району Закарпатської області</t>
  </si>
  <si>
    <t>89232</t>
  </si>
  <si>
    <t>2123286201</t>
  </si>
  <si>
    <t>Тур'я Поляна</t>
  </si>
  <si>
    <t>(03145)76253</t>
  </si>
  <si>
    <t>26463192</t>
  </si>
  <si>
    <t>Поляно-Гутянська загальноосвітня школа І-ІІ ступенів Перечинського району Закарпатської області</t>
  </si>
  <si>
    <t>2123286202</t>
  </si>
  <si>
    <t>Полянська Гута</t>
  </si>
  <si>
    <t>вул. Центральна, 117</t>
  </si>
  <si>
    <t>(03145)76232</t>
  </si>
  <si>
    <t>26463217</t>
  </si>
  <si>
    <t>Тур'я-Реметівська загальноосвітня школа І-ІІІ ступенів Перечинського району Закарпатської області</t>
  </si>
  <si>
    <t>89221</t>
  </si>
  <si>
    <t>2123286301</t>
  </si>
  <si>
    <t>Тур'ї Ремети</t>
  </si>
  <si>
    <t>вул. Центральна, 24/а</t>
  </si>
  <si>
    <t>(03145)51223</t>
  </si>
  <si>
    <t>26395645</t>
  </si>
  <si>
    <t>Рахівська загальноосвітня школа І-ІІІ ст. № 2 Рахівської районної ради Закарпатської області</t>
  </si>
  <si>
    <t>90600</t>
  </si>
  <si>
    <t>2123610100</t>
  </si>
  <si>
    <t>Рахів</t>
  </si>
  <si>
    <t>вул. Шевченка, 180</t>
  </si>
  <si>
    <t>(03132)25549</t>
  </si>
  <si>
    <t>26326259</t>
  </si>
  <si>
    <t>Рахівська загальноосвітня школа І-ІІІ ступенів № 1 Рахівської районної ради Закарпатської області</t>
  </si>
  <si>
    <t>(03132)22159</t>
  </si>
  <si>
    <t>http://rachiv-zosh1.ucoz.ua</t>
  </si>
  <si>
    <t>26326265</t>
  </si>
  <si>
    <t>Рахівська загальноосвітня школа І-ІІІ ступенів № 3 Рахівської районної ради Закарпатської області</t>
  </si>
  <si>
    <t>(03132)2-54-10, (03132)2-12-26</t>
  </si>
  <si>
    <t>http://rakhiv-zosh-3.ukoz.net</t>
  </si>
  <si>
    <t>26325395</t>
  </si>
  <si>
    <t>Рахівська загальноосвітня школа І-ІІІ ступенів № 4 Рахівської районної ради Закарпатської області</t>
  </si>
  <si>
    <t>вул. Б. Хмельницького, 93</t>
  </si>
  <si>
    <t>(03132)2-26-90, (03132)2-29-20</t>
  </si>
  <si>
    <t>26326271</t>
  </si>
  <si>
    <t>Великобичківська загальноосвітня школа І-ІІ ступенів № 3 ,Рахівської районної ради Закарпатської області</t>
  </si>
  <si>
    <t>90615</t>
  </si>
  <si>
    <t>2123655500</t>
  </si>
  <si>
    <t>Великий Бичків</t>
  </si>
  <si>
    <t>ал. Пушкіна, 2</t>
  </si>
  <si>
    <t>(03132)33175</t>
  </si>
  <si>
    <t>26326302</t>
  </si>
  <si>
    <t>Великобичківська загальноосвітня школа І-ІІІ ступенів № 2 Рахівської районної ради Закарпатської області</t>
  </si>
  <si>
    <t>вул. Борканюка, 35</t>
  </si>
  <si>
    <t>(03132)33929</t>
  </si>
  <si>
    <t>http://zos2.com.ua/</t>
  </si>
  <si>
    <t>Великобичківська загальноосвітня школа І-ІІІ ступенів № 1 Рахівської районної ради Закарпатської області</t>
  </si>
  <si>
    <t>вул. Крушник, 5</t>
  </si>
  <si>
    <t>(03132)33260</t>
  </si>
  <si>
    <t>26326288</t>
  </si>
  <si>
    <t>Великобичківська загальноосвітня школа-інтернат І-ІІІ ступенів Рахівської районної ради Закарпатської області</t>
  </si>
  <si>
    <t>вул. Грушевського, 16</t>
  </si>
  <si>
    <t>(03132)33280</t>
  </si>
  <si>
    <t>26326549</t>
  </si>
  <si>
    <t>Кобилецько-Полянська загальноосвітня школа І-ІІІ ступенів Рахівської районної ради Закарпатської області</t>
  </si>
  <si>
    <t>90620</t>
  </si>
  <si>
    <t>2123655800</t>
  </si>
  <si>
    <t>Кобилецька Поляна</t>
  </si>
  <si>
    <t>вул. Павлюка, 112</t>
  </si>
  <si>
    <t>32766</t>
  </si>
  <si>
    <t>26326124</t>
  </si>
  <si>
    <t>Ясінянська загальноосвітня школа І-ІІ ступеня № 3 Рахівської районної ради Закарпатської області</t>
  </si>
  <si>
    <t>90630</t>
  </si>
  <si>
    <t>2123656200</t>
  </si>
  <si>
    <t>Ясіня</t>
  </si>
  <si>
    <t>вул. Визволення, 170</t>
  </si>
  <si>
    <t>(098)8214492</t>
  </si>
  <si>
    <t>26326495</t>
  </si>
  <si>
    <t>Ясінянська загальноосвітня школа І-ІІІ ступенів № 2 Рахівської районної ради Закарпатської області</t>
  </si>
  <si>
    <t>(03132)42358</t>
  </si>
  <si>
    <t>26326118</t>
  </si>
  <si>
    <t>Ясінянська загальноосвітня школа І-ІІІ ступенів № 1 Рахівської районної ради Закарпатської області</t>
  </si>
  <si>
    <t>вул. Грушевського, 3</t>
  </si>
  <si>
    <t>(03132)42246</t>
  </si>
  <si>
    <t>25447819</t>
  </si>
  <si>
    <t>Ясінянська загальноосвітня школа І ступеня № 4 Рахівської районної ради Закарпатської області</t>
  </si>
  <si>
    <t>вул. Возз'єднання, 99</t>
  </si>
  <si>
    <t>(098)9241555</t>
  </si>
  <si>
    <t>26326489</t>
  </si>
  <si>
    <t>Ясінянська загальноосвітня школа І ступеня № 5 Рахівської районної ради Закарпатської області</t>
  </si>
  <si>
    <t>2123656201</t>
  </si>
  <si>
    <t>Стебний</t>
  </si>
  <si>
    <t>вул. Стебний, 126</t>
  </si>
  <si>
    <t>(097)5773693</t>
  </si>
  <si>
    <t>26326472</t>
  </si>
  <si>
    <t>Білинська загальноосвітня школа І-ІІІ ступенів Рахівської районної ради Закарпатської області</t>
  </si>
  <si>
    <t>90643</t>
  </si>
  <si>
    <t>2123680501</t>
  </si>
  <si>
    <t>вул. -, 78</t>
  </si>
  <si>
    <t>(03132)32124</t>
  </si>
  <si>
    <t>http://www.bilun-zosh.ru</t>
  </si>
  <si>
    <t>26325389</t>
  </si>
  <si>
    <t>Білоцерківська загальноосвітня школа І-ІІІ ступенів Рахівської районної ради Закарпатської області</t>
  </si>
  <si>
    <t>90614</t>
  </si>
  <si>
    <t>2123681001</t>
  </si>
  <si>
    <t>Біла Церква</t>
  </si>
  <si>
    <t>вул. Марамуреська, 112</t>
  </si>
  <si>
    <t>(3142)30340</t>
  </si>
  <si>
    <t>26326101</t>
  </si>
  <si>
    <t>українська,румунська</t>
  </si>
  <si>
    <t>Богданська загальноосвітня школа І-ІІІ ступенів Рахівської районної ради Закарпатської області</t>
  </si>
  <si>
    <t>90645</t>
  </si>
  <si>
    <t>2123681301</t>
  </si>
  <si>
    <t>Богдан</t>
  </si>
  <si>
    <t>(03132)32222</t>
  </si>
  <si>
    <t>26211898</t>
  </si>
  <si>
    <t>Верхньоводянська загальноосвітня школа І-ступеня № 2 Рахівської районної ради Закарпатської області</t>
  </si>
  <si>
    <t>90611</t>
  </si>
  <si>
    <t>2123681501</t>
  </si>
  <si>
    <t>Верхнє Водяне</t>
  </si>
  <si>
    <t>вул. Полонинська, 24А</t>
  </si>
  <si>
    <t>(380)966956054</t>
  </si>
  <si>
    <t>26326354</t>
  </si>
  <si>
    <t>Верхньоводянська загальноосвітня школа І-ІІІступенів № 1Рахівської районної ради Закарпатської області</t>
  </si>
  <si>
    <t>вул. Макаренка, 11</t>
  </si>
  <si>
    <t>(03132)38523</t>
  </si>
  <si>
    <t>26326087</t>
  </si>
  <si>
    <t>Річанська загальноосвітня школа І-ІІІ ступенів Рахівської районної ради Закарпатської області</t>
  </si>
  <si>
    <t>вул. 70-річчя Жовтня, 99</t>
  </si>
  <si>
    <t>(03132)38244</t>
  </si>
  <si>
    <t>26326526</t>
  </si>
  <si>
    <t>Стримбівська загальноосвітня школа І-ІІІ ступенів Рахівської районної ради Закарпатської області</t>
  </si>
  <si>
    <t>2123681502</t>
  </si>
  <si>
    <t>Стримба</t>
  </si>
  <si>
    <t>вул. Першотравнева, 29 А</t>
  </si>
  <si>
    <t>(38)101</t>
  </si>
  <si>
    <t>Водицька загальноосвітня школа І-ІІІ ступенів № 1 Рахівської районної ради Закарпатської обл.</t>
  </si>
  <si>
    <t>90610</t>
  </si>
  <si>
    <t>2123682001</t>
  </si>
  <si>
    <t>Водиця</t>
  </si>
  <si>
    <t>вул. Шкілька, 2</t>
  </si>
  <si>
    <t>(03132)35290, (380)969193582</t>
  </si>
  <si>
    <t>26326093</t>
  </si>
  <si>
    <t>Плаюцька загальноосвітня школа І-ІІІ ступенів Рахівської районної ради Закарпатської області</t>
  </si>
  <si>
    <t>2123682002</t>
  </si>
  <si>
    <t>Плаюць</t>
  </si>
  <si>
    <t>вул. Калинська, 5</t>
  </si>
  <si>
    <t>(03132)35245</t>
  </si>
  <si>
    <t>https://sites.google.com/site/plaiuts/</t>
  </si>
  <si>
    <t>26326515</t>
  </si>
  <si>
    <t>румунська</t>
  </si>
  <si>
    <t>Видричанська загальноосвітня школа І-ІІІ ступенів Рахівської районної ради Закарпаської області</t>
  </si>
  <si>
    <t>90646</t>
  </si>
  <si>
    <t>2123682201</t>
  </si>
  <si>
    <t>Видричка</t>
  </si>
  <si>
    <t>вул. Л.Українки, 94</t>
  </si>
  <si>
    <t>(03132)31324</t>
  </si>
  <si>
    <t>26326408</t>
  </si>
  <si>
    <t>угорська,англійська,французька</t>
  </si>
  <si>
    <t>Діловецька загальноосвітня школа І-ІІІ ступенів Рахівської районної ради Закарпатської області</t>
  </si>
  <si>
    <t>90625</t>
  </si>
  <si>
    <t>2123682501</t>
  </si>
  <si>
    <t>Ділове</t>
  </si>
  <si>
    <t>вул. Трибушанська, 14</t>
  </si>
  <si>
    <t>(03132)32316</t>
  </si>
  <si>
    <t>http://diloveschool.com.ua</t>
  </si>
  <si>
    <t>26326420</t>
  </si>
  <si>
    <t>Хмелівська загальноосвітня школа І ступеня Рахівської районної ради Закарпатської області</t>
  </si>
  <si>
    <t>2123682503</t>
  </si>
  <si>
    <t>Хмелів</t>
  </si>
  <si>
    <t>380984816454</t>
  </si>
  <si>
    <t>26326437</t>
  </si>
  <si>
    <t>Квасівська загальноосвітня школа І-ІІІ ступенів Рахівської районної ради Закарпатської області</t>
  </si>
  <si>
    <t>90640</t>
  </si>
  <si>
    <t>2123683001</t>
  </si>
  <si>
    <t>Кваси</t>
  </si>
  <si>
    <t>вул. Колонія, 95</t>
  </si>
  <si>
    <t>(03132)3-24-50</t>
  </si>
  <si>
    <t>26326383</t>
  </si>
  <si>
    <t>Косівсько - Полянська загальноосвітня школа І-ІІ ступенів № 2 Рахівської районної ради, Закарпатська область, Рахівський район</t>
  </si>
  <si>
    <t>90621</t>
  </si>
  <si>
    <t>2123683501</t>
  </si>
  <si>
    <t>Косівська Поляна</t>
  </si>
  <si>
    <t>711</t>
  </si>
  <si>
    <t>(03132)37117</t>
  </si>
  <si>
    <t>26326396</t>
  </si>
  <si>
    <t>Косівсько-Полянська загальноосвітня школа І ступеня № 3 Рахівської районної ради Закарпатської області</t>
  </si>
  <si>
    <t>758</t>
  </si>
  <si>
    <t>0634797694</t>
  </si>
  <si>
    <t>26326377</t>
  </si>
  <si>
    <t>Косівсько-Полянська загальноосвітня школа І-ІІІ ступанів № 1 Рахівської районної ради Закарпатської області</t>
  </si>
  <si>
    <t>401</t>
  </si>
  <si>
    <t>0638589773</t>
  </si>
  <si>
    <t>26326319</t>
  </si>
  <si>
    <t>Вільховатська загальноосвітня школа 1 ступеня Рахівської районної ради Закарпатської області</t>
  </si>
  <si>
    <t>90623</t>
  </si>
  <si>
    <t>2123684001</t>
  </si>
  <si>
    <t>Костилівка</t>
  </si>
  <si>
    <t>ал. в.16 Липня, 43</t>
  </si>
  <si>
    <t>0680915218</t>
  </si>
  <si>
    <t>26326450</t>
  </si>
  <si>
    <t>Костилівська загальноосвітня школа І-ІІІ ступенів Рахівської районної ради Закарпатської області</t>
  </si>
  <si>
    <t>(03132)32516</t>
  </si>
  <si>
    <t>26326360</t>
  </si>
  <si>
    <t>Лазещинська загальноосвітня школа І - ІІІ ступенів Рахівської районної ради Закарпатської області</t>
  </si>
  <si>
    <t>90633</t>
  </si>
  <si>
    <t>2123684501</t>
  </si>
  <si>
    <t>Лазещина</t>
  </si>
  <si>
    <t>922</t>
  </si>
  <si>
    <t>(03132)44016, (03132)44017</t>
  </si>
  <si>
    <t>26326555</t>
  </si>
  <si>
    <t>Лугівська загальноосвітня школа І-ІІІ ступенів Рахівської районної ради Закарпатської області</t>
  </si>
  <si>
    <t>90647</t>
  </si>
  <si>
    <t>2123685001</t>
  </si>
  <si>
    <t>(098)9082756</t>
  </si>
  <si>
    <t>26326503</t>
  </si>
  <si>
    <t>Лужанська загальноосвітня школа І-ІІІ ступенів Рахівської районої ради Закарпатської області</t>
  </si>
  <si>
    <t>90616</t>
  </si>
  <si>
    <t>2123685501</t>
  </si>
  <si>
    <t>Луг</t>
  </si>
  <si>
    <t>135А</t>
  </si>
  <si>
    <t>(03132)36129</t>
  </si>
  <si>
    <t>http://lugzos.com.ua/</t>
  </si>
  <si>
    <t>26326561</t>
  </si>
  <si>
    <t>Розтоківська загальноосвітня школа І-ІІІ ступенів Рахівської районної ради Закарпатської області</t>
  </si>
  <si>
    <t>90644</t>
  </si>
  <si>
    <t>2123686001</t>
  </si>
  <si>
    <t>Розтоки</t>
  </si>
  <si>
    <t>152</t>
  </si>
  <si>
    <t>(03132)3-11-91</t>
  </si>
  <si>
    <t>26326348</t>
  </si>
  <si>
    <t>Росішківська загальноосвітня школа І-ІІІ ступенів Рахівської районної ради Закарпатської області</t>
  </si>
  <si>
    <t>90622</t>
  </si>
  <si>
    <t>2123686501</t>
  </si>
  <si>
    <t>Росішка</t>
  </si>
  <si>
    <t>198</t>
  </si>
  <si>
    <t>26325403</t>
  </si>
  <si>
    <t>Середньоводянська загальноосвітня школа І-ІІІ ступенів,Рахівської районної ради,Закарпатської області</t>
  </si>
  <si>
    <t>90612</t>
  </si>
  <si>
    <t>2123687001</t>
  </si>
  <si>
    <t>Середнє Водяне</t>
  </si>
  <si>
    <t>вул. Дечебал, 10</t>
  </si>
  <si>
    <t>(03132)3-43-40</t>
  </si>
  <si>
    <t>26326331</t>
  </si>
  <si>
    <t>Добрічанська загальноосвітня школа І-ІІ ступенів Рахівської районної ради Закарпатської області</t>
  </si>
  <si>
    <t>90613</t>
  </si>
  <si>
    <t>2123687002</t>
  </si>
  <si>
    <t>Добрік</t>
  </si>
  <si>
    <t>вул. Добрік, 80</t>
  </si>
  <si>
    <t>(380)965334295</t>
  </si>
  <si>
    <t>26326443</t>
  </si>
  <si>
    <t>Чорнотисянська загальноосвітня школа І-ІІІ ступенів Рахівської районної ради Закарпатської області</t>
  </si>
  <si>
    <t>90632</t>
  </si>
  <si>
    <t>2123687501</t>
  </si>
  <si>
    <t>Чорна Тиса</t>
  </si>
  <si>
    <t>вул. Центральна, 201</t>
  </si>
  <si>
    <t>(03132)44194</t>
  </si>
  <si>
    <t>http://www.ch-tysa-school1.at.ua</t>
  </si>
  <si>
    <t>26326325</t>
  </si>
  <si>
    <t>Свалявська гімназія Свалявської районної ради Закарпатської області</t>
  </si>
  <si>
    <t>89300</t>
  </si>
  <si>
    <t>2124010100</t>
  </si>
  <si>
    <t>Свалява</t>
  </si>
  <si>
    <t>вул. Верховинська, 89</t>
  </si>
  <si>
    <t>(03133)22269</t>
  </si>
  <si>
    <t>Свалявська загальноосвітня школа № 6 I ступеня Свалявської районної ради Закарпатської області</t>
  </si>
  <si>
    <t>вул. Драчинська, 22</t>
  </si>
  <si>
    <t>(3803133)63040</t>
  </si>
  <si>
    <t>Свалявська загальноосвітня школа І-ІІ ступенів № 4 Свалявської районної ради Закарпатської області</t>
  </si>
  <si>
    <t>вул. Грушевського, 15</t>
  </si>
  <si>
    <t>2-47-13</t>
  </si>
  <si>
    <t>http://zosh4.ucoz.ua/news/sajt_svaljavskoji_zosh_i_ii_st_4/2012-03-26-1</t>
  </si>
  <si>
    <t>Свалявська загальноосвітня школа І-ІІІ ступенів № 1 Свалявської районної ради Закарпатської області</t>
  </si>
  <si>
    <t>вул. Визволення, 21</t>
  </si>
  <si>
    <t>(03133)21043</t>
  </si>
  <si>
    <t>http://skola1-svl.ucoz.ua</t>
  </si>
  <si>
    <t>угорська,англійська,німецька,французька,чешська</t>
  </si>
  <si>
    <t>Свалявська загальноосвітня школа І-ІІІ ступенів № 2 Свалявської районної ради Закарпатської області</t>
  </si>
  <si>
    <t>(03133)2-28-26</t>
  </si>
  <si>
    <t>Свалявська загальноосвітня школа І-ІІІ ступенів № 3 Свалявської районної ради Закарпатської області</t>
  </si>
  <si>
    <t>вул. Головна, 19</t>
  </si>
  <si>
    <t>(03133)22396</t>
  </si>
  <si>
    <t>http://www.svl-zosh3.ucoz.ua</t>
  </si>
  <si>
    <t>Свалявська загальноосвітня школа І ступеня № 5 Свалявської районної ради Закарпатської області</t>
  </si>
  <si>
    <t>вул. Верховинська, 28</t>
  </si>
  <si>
    <t>Свалявський навчально-виховний комплекс № 10 Свалявської міської ради Закарпатської області</t>
  </si>
  <si>
    <t>вул. Шерегія, 5</t>
  </si>
  <si>
    <t>0958085858</t>
  </si>
  <si>
    <t>Свалявський навчально-виховний комплекс № 12 Свалявської міської ради Закарпатської області</t>
  </si>
  <si>
    <t>вул. Ломоносова, 14А</t>
  </si>
  <si>
    <t>0992604754</t>
  </si>
  <si>
    <t>Березниківська загальноосвітня школа І-ІІІ ступенів Свалявської районної ради Закарпатської області</t>
  </si>
  <si>
    <t>89335</t>
  </si>
  <si>
    <t>2124080301</t>
  </si>
  <si>
    <t>217А</t>
  </si>
  <si>
    <t>(03133)47245</t>
  </si>
  <si>
    <t>http://skolaberezniki.ucoz.ua</t>
  </si>
  <si>
    <t>Ганьковицька загальноосвітня школа І-ІІ ступенів Свалявської районної ради Закарпатської області</t>
  </si>
  <si>
    <t>89312</t>
  </si>
  <si>
    <t>2124080801</t>
  </si>
  <si>
    <t>Ганьковиця</t>
  </si>
  <si>
    <t>7-43-69</t>
  </si>
  <si>
    <t>Голубинська загальноосвітня школа І-ІІ ступенів Свалявської районної ради Закарпатської області</t>
  </si>
  <si>
    <t>89320</t>
  </si>
  <si>
    <t>2124081601</t>
  </si>
  <si>
    <t>Голубине</t>
  </si>
  <si>
    <t>404</t>
  </si>
  <si>
    <t>(03133)63120</t>
  </si>
  <si>
    <t>Дусинська загальноосвітня школа І-ІІІ ступенів Свалявської районної ради Закарпатської області</t>
  </si>
  <si>
    <t>89332</t>
  </si>
  <si>
    <t>2124082301</t>
  </si>
  <si>
    <t>Дусино</t>
  </si>
  <si>
    <t>вул. Миру, 85</t>
  </si>
  <si>
    <t>(3133)3-72-32</t>
  </si>
  <si>
    <t>Плав'янська загальноосвітня школа І ступеня Свалявської районної ради Закарпатської області</t>
  </si>
  <si>
    <t>2124082305</t>
  </si>
  <si>
    <t>Плав'я</t>
  </si>
  <si>
    <t>вул. Визволення, 95</t>
  </si>
  <si>
    <t>РОСОШАНСЬКА ЗАГАЛЬНООСВІТНЯ ШКОЛА І-ІІ СТУПЕНІВ СВАЛЯВСЬКОЇ РАЙОННОЇ РАДИ ЗАКАРПАТСЬКОЇ ОБЛАСТІ</t>
  </si>
  <si>
    <t>89333</t>
  </si>
  <si>
    <t>2124082307</t>
  </si>
  <si>
    <t>Росош</t>
  </si>
  <si>
    <t>(03133)45463</t>
  </si>
  <si>
    <t>Керецьківська загальноосвітня школа І-ІІІ ступенів Свалявської районної ради Закарпатської області</t>
  </si>
  <si>
    <t>89334</t>
  </si>
  <si>
    <t>2124082901</t>
  </si>
  <si>
    <t>Керецьки</t>
  </si>
  <si>
    <t>вул. Головна, 54</t>
  </si>
  <si>
    <t>(03133)53634, (03133)53614</t>
  </si>
  <si>
    <t>Неліпинська загальноосвітня школа І-ІІІступенів Свалявської районної ради Закарпатської області</t>
  </si>
  <si>
    <t>89308</t>
  </si>
  <si>
    <t>2124083501</t>
  </si>
  <si>
    <t>Неліпино</t>
  </si>
  <si>
    <t>вул. Головна, 180</t>
  </si>
  <si>
    <t>(03133)33164</t>
  </si>
  <si>
    <t>Сасівська загальноосвітня школа І-ІІ ступенів Свалявської районної ради Закарпатської області</t>
  </si>
  <si>
    <t>89309</t>
  </si>
  <si>
    <t>2124083503</t>
  </si>
  <si>
    <t>Сасівка</t>
  </si>
  <si>
    <t>вул. Миколи Павлишинця, №1</t>
  </si>
  <si>
    <t>(03133)44225</t>
  </si>
  <si>
    <t>Плосківська загальноосвітня школа І-ІІІ ступенів Полянської сільської ради Свалявського району Закарпатської області</t>
  </si>
  <si>
    <t>89311</t>
  </si>
  <si>
    <t>2124084201</t>
  </si>
  <si>
    <t>Плоске</t>
  </si>
  <si>
    <t>266</t>
  </si>
  <si>
    <t>(03133)41283</t>
  </si>
  <si>
    <t>Оленівська загальноосвітня школа I ступеня</t>
  </si>
  <si>
    <t>2124084202</t>
  </si>
  <si>
    <t>Оленьово</t>
  </si>
  <si>
    <t>61</t>
  </si>
  <si>
    <t>(03133)4-11-20</t>
  </si>
  <si>
    <t>Павлівський навчально-виховний комплекс Полянської сільської ради Свалявського району Закарпатської області</t>
  </si>
  <si>
    <t>2124084203</t>
  </si>
  <si>
    <t>Павлово</t>
  </si>
  <si>
    <t>Яківська загальноосвітня школа І ступеня</t>
  </si>
  <si>
    <t>2124084205</t>
  </si>
  <si>
    <t>Яківське</t>
  </si>
  <si>
    <t>78</t>
  </si>
  <si>
    <t>Полянська загальноосвітня школа І-ІІІ ступенів Полянської сільської ради Свалявського району Закарпатської області</t>
  </si>
  <si>
    <t>89313</t>
  </si>
  <si>
    <t>2124084401</t>
  </si>
  <si>
    <t>Поляна</t>
  </si>
  <si>
    <t>ал. Духновича, 59</t>
  </si>
  <si>
    <t>(03133)7-42-53</t>
  </si>
  <si>
    <t>Родниківська загальноосвітня школа І-ІІ ступенів Полянської сільської ради Свалявського району Закарпатської області</t>
  </si>
  <si>
    <t>89310</t>
  </si>
  <si>
    <t>2124085001</t>
  </si>
  <si>
    <t>Родниківка</t>
  </si>
  <si>
    <t>Родниковогутський навчально-виховний комплекс Полянської сільської ради Свалявського району Закарпатської області</t>
  </si>
  <si>
    <t>2124085002</t>
  </si>
  <si>
    <t>Родникова Гута</t>
  </si>
  <si>
    <t>74</t>
  </si>
  <si>
    <t>0955595203</t>
  </si>
  <si>
    <t>Солочинська загальноосвітня школа І-ІІ ступенів Свалявської районної ради Закарпатської області</t>
  </si>
  <si>
    <t>89321</t>
  </si>
  <si>
    <t>2124085601</t>
  </si>
  <si>
    <t>Солочин</t>
  </si>
  <si>
    <t>(03133)32651</t>
  </si>
  <si>
    <t>Стройненська загальноосвітня школа І-ІІ ступенів Свалявської районної ради Закарпатської області</t>
  </si>
  <si>
    <t>2124085801</t>
  </si>
  <si>
    <t>Стройне</t>
  </si>
  <si>
    <t>40</t>
  </si>
  <si>
    <t>4-22-61</t>
  </si>
  <si>
    <t>Черниківська загальноосвітня школа І ступеня Свалявської районної ради Закарпатської області</t>
  </si>
  <si>
    <t>89331</t>
  </si>
  <si>
    <t>2124085802</t>
  </si>
  <si>
    <t>Черник</t>
  </si>
  <si>
    <t>40А</t>
  </si>
  <si>
    <t>(03133)2-23-62</t>
  </si>
  <si>
    <t>Сусківська загальноосвітня школа І-ІІ ступенів Свалявської районної ради Закарпатської області</t>
  </si>
  <si>
    <t>89322</t>
  </si>
  <si>
    <t>2124086901</t>
  </si>
  <si>
    <t>Сусково</t>
  </si>
  <si>
    <t>89А</t>
  </si>
  <si>
    <t>3-42-52</t>
  </si>
  <si>
    <t>Пасіцька загальноосвітня школа І-ІІ ступенів Свалявської районної ради Закарпатської області</t>
  </si>
  <si>
    <t>89323</t>
  </si>
  <si>
    <t>2124086902</t>
  </si>
  <si>
    <t>Пасіка</t>
  </si>
  <si>
    <t>30А</t>
  </si>
  <si>
    <t>(3133)4-32-36</t>
  </si>
  <si>
    <t>Тибавська загальноосвітня школа І-ІІ ступенів</t>
  </si>
  <si>
    <t>29330</t>
  </si>
  <si>
    <t>2124087201</t>
  </si>
  <si>
    <t>Тибава</t>
  </si>
  <si>
    <t>129А</t>
  </si>
  <si>
    <t>(03133)39212</t>
  </si>
  <si>
    <t>http://tibavaucoz.ua</t>
  </si>
  <si>
    <t>Маломартинківський навчально - виховний комплекс Свалявської районної ради Закарпатської області</t>
  </si>
  <si>
    <t>89330</t>
  </si>
  <si>
    <t>2124087203</t>
  </si>
  <si>
    <t>Мала Мартинка</t>
  </si>
  <si>
    <t>188</t>
  </si>
  <si>
    <t>(031333)39212</t>
  </si>
  <si>
    <t>Тячівська загальноосвітня школа І-ІІІ ступенів № 1 ім. В.Гренджі - Донського Тячівської міської ради Закарпатської області</t>
  </si>
  <si>
    <t>90500</t>
  </si>
  <si>
    <t>2124410100</t>
  </si>
  <si>
    <t>Тячів</t>
  </si>
  <si>
    <t>вул. Вайди, 13</t>
  </si>
  <si>
    <t>0313432825, 0313432508</t>
  </si>
  <si>
    <t>26213325</t>
  </si>
  <si>
    <t>Тячівська загальноосвітня школа І-ІІІ ступенів № 2 Тячівської міської ради Закарпатської області</t>
  </si>
  <si>
    <t>вул. Партизанська, 26</t>
  </si>
  <si>
    <t>(03134)22053</t>
  </si>
  <si>
    <t>http://tch2school.ucoz.ua</t>
  </si>
  <si>
    <t>25449161</t>
  </si>
  <si>
    <t>Тячівська Загальноосвітня Школа І-ІІІ ступенів з угорською мовою навчання ім. Шімона Голлоші Тячівської міської ради Закарпатської області</t>
  </si>
  <si>
    <t>(03134)21356</t>
  </si>
  <si>
    <t>Тячівський ліцей-інтернат з угорською мовою навчання Тячівської районної ради Закарпатської області</t>
  </si>
  <si>
    <t>(03134)21254</t>
  </si>
  <si>
    <t>25448121</t>
  </si>
  <si>
    <t>ПРИВАТНИЙ НАВЧАЛЬНО-ВИХОВНИЙ КОМПЛЕКС "ДОШКІЛЬНИЙ НАВЧАЛЬНИЙ ЗАКЛАД-ЗАГАЛЬНООСВІТНЯ ШКОЛА I-III СТУПЕНІВ "ЩАСЛИВЕ МІСТО"</t>
  </si>
  <si>
    <t>вул. Польова, 3/Б</t>
  </si>
  <si>
    <t>(097)6189037, (068)6906820</t>
  </si>
  <si>
    <t>http://tiachiv-pnvk.uz.sch.in.ua</t>
  </si>
  <si>
    <t>Тячівківська загальноосвітня школа І-ІІ ступенів Тячівської міської ради Закарпатської області</t>
  </si>
  <si>
    <t>90509</t>
  </si>
  <si>
    <t>2124410101</t>
  </si>
  <si>
    <t>Тячівка</t>
  </si>
  <si>
    <t>(03134)46321</t>
  </si>
  <si>
    <t>26326911</t>
  </si>
  <si>
    <t>Буштинська гімназія-інтернат гуманітарного профілю I-III ступенів Буштинської селищної ради Тячівського району Закарпатської області</t>
  </si>
  <si>
    <t>90556</t>
  </si>
  <si>
    <t>2124455300</t>
  </si>
  <si>
    <t>Буштино</t>
  </si>
  <si>
    <t>вул. Б.Хмельницького, 86</t>
  </si>
  <si>
    <t>(03134)69326</t>
  </si>
  <si>
    <t>http://bushtyno-gymnasium.edukit.uz.ua/</t>
  </si>
  <si>
    <t>22114862</t>
  </si>
  <si>
    <t>Буштинська загальноосвітня школа І-ІІІ ступенів Буштинської селищної ради Тячівського району Закарпатської області</t>
  </si>
  <si>
    <t>(03134)60601, (03134)60607</t>
  </si>
  <si>
    <t>http://bushtino-sch1.com.ua</t>
  </si>
  <si>
    <t>25452447</t>
  </si>
  <si>
    <t>Дубівська загальноосвітня школа І-ІІ ступенів № 1 Дубівської селищної ради Тячівського району Закарпатської області</t>
  </si>
  <si>
    <t>90531</t>
  </si>
  <si>
    <t>2124455600</t>
  </si>
  <si>
    <t>вул. Горького, 204</t>
  </si>
  <si>
    <t>031-34-7-28-71</t>
  </si>
  <si>
    <t>http://dubove-school1.edukit.uz.ua</t>
  </si>
  <si>
    <t>25452571</t>
  </si>
  <si>
    <t>Дубівська загальноосвітня школа І-ІІ ступенів № 2 Дубівської селищної ради Тячівського району Закарпатської області</t>
  </si>
  <si>
    <t>вул. Заводська, 107</t>
  </si>
  <si>
    <t>(03134)72468</t>
  </si>
  <si>
    <t>http://viternaschool.klasna.com</t>
  </si>
  <si>
    <t>26326973</t>
  </si>
  <si>
    <t>Дубівська загальноосвітня школа І-ІІІ ступенів Дубівської селищної ради Тячівського району Закарпатської області</t>
  </si>
  <si>
    <t>вул. Миру, 124</t>
  </si>
  <si>
    <t>(03134)72333</t>
  </si>
  <si>
    <t>http://dubove-school.edukit.uz.ua/</t>
  </si>
  <si>
    <t>25452513</t>
  </si>
  <si>
    <t>Нижньо-Дубівська загальноосвітня школа І ступеня Дубівської селищної ради Тячівського району Закарпатської області</t>
  </si>
  <si>
    <t>вул. Шевченка, 139</t>
  </si>
  <si>
    <t>Солотвинська загальноосвітня школа І-ІІІ ступенів № 1 Солотвинської селищної ради Тячівського району Закарпатської області</t>
  </si>
  <si>
    <t>90575</t>
  </si>
  <si>
    <t>2124455900</t>
  </si>
  <si>
    <t>Солотвино</t>
  </si>
  <si>
    <t>вул. Возз'єднання (Залізнична), 5</t>
  </si>
  <si>
    <t>(03134)56551</t>
  </si>
  <si>
    <t>26326963</t>
  </si>
  <si>
    <t>Солотвинська загальноосвітня школа І-ІІІ ступенів № 2 з румунською мовою навчання Солотвинської селищної ради Тячівського району Закарпатської області</t>
  </si>
  <si>
    <t>пл. Народна, 11</t>
  </si>
  <si>
    <t>(3134)56477</t>
  </si>
  <si>
    <t>26213259</t>
  </si>
  <si>
    <t>Солотвинська загальноосвітня школа І-ІІІ ступенів № 3 імені Яноша Бойоі Солотвинської селищної ради Тячівського району Закарпатської області</t>
  </si>
  <si>
    <t>вул. Європейська, 18</t>
  </si>
  <si>
    <t>(3134)56075</t>
  </si>
  <si>
    <t>26326905</t>
  </si>
  <si>
    <t>Солотвинська спеціальна загальноосвітня школа-інтернат І-ІІступеня Закарпатської ОДА</t>
  </si>
  <si>
    <t>вул. Емінеску, 5</t>
  </si>
  <si>
    <t>(03134)56336</t>
  </si>
  <si>
    <t>22095596</t>
  </si>
  <si>
    <t>Солотвинський ліцей-інтернат з румунською мовою навчання імені М.Емінеску Солотвинської селищної ради Тячівського району Закарпатської області</t>
  </si>
  <si>
    <t>вул. Репіна, 2-4</t>
  </si>
  <si>
    <t>26324817</t>
  </si>
  <si>
    <t>Тересвянська загальноосвітня школа І-ІІІ ступенів Тересвянської селищної ради Тячівського району Закарпатської області</t>
  </si>
  <si>
    <t>90564</t>
  </si>
  <si>
    <t>2124456200</t>
  </si>
  <si>
    <t>Тересва</t>
  </si>
  <si>
    <t>(03134)51173</t>
  </si>
  <si>
    <t>http://www.teresva.at.ua</t>
  </si>
  <si>
    <t>26326940</t>
  </si>
  <si>
    <t>Усть-Чорнянська загальноосвітня школа І-ІІІ ступенів Усть-Чорнянської селищної ради Тячівського району Закарпатської області</t>
  </si>
  <si>
    <t>90520</t>
  </si>
  <si>
    <t>2124456500</t>
  </si>
  <si>
    <t>Усть-Чорна</t>
  </si>
  <si>
    <t>вул. Верховинська, 213</t>
  </si>
  <si>
    <t>(03134)36149</t>
  </si>
  <si>
    <t>22114448</t>
  </si>
  <si>
    <t>Бедевлянська загальноосвітня школа І-ІІІ ступенів Бедевлянської сільської ради Тячівського району</t>
  </si>
  <si>
    <t>90561</t>
  </si>
  <si>
    <t>2124480401</t>
  </si>
  <si>
    <t>Бедевля</t>
  </si>
  <si>
    <t>вул. Волошина, 49</t>
  </si>
  <si>
    <t>(3134)35110</t>
  </si>
  <si>
    <t>25452430</t>
  </si>
  <si>
    <t>Рунівська загальноосвітня школа І-ІІ ступенів, Бедевлянської сільської ради, Тячівського району, Закарпатської області</t>
  </si>
  <si>
    <t>вул. Руня-Садова, 75</t>
  </si>
  <si>
    <t>(067)3918558</t>
  </si>
  <si>
    <t>25998896</t>
  </si>
  <si>
    <t>Біловарська загальноосвітня школа І-ІІ ступенів Біловарської сільської ради Тячівського району Закарпатської області</t>
  </si>
  <si>
    <t>90562</t>
  </si>
  <si>
    <t>2124480501</t>
  </si>
  <si>
    <t>Біловарці</t>
  </si>
  <si>
    <t>вул. Біловарська, 131</t>
  </si>
  <si>
    <t>(03134)41-770</t>
  </si>
  <si>
    <t>25452536</t>
  </si>
  <si>
    <t>Великоугольська загальноосвітня школа І - ІІІ ступенів Великоугольської сілької ради Тячівського району Закарпатської області</t>
  </si>
  <si>
    <t>90515</t>
  </si>
  <si>
    <t>2124480601</t>
  </si>
  <si>
    <t>Велика Уголька</t>
  </si>
  <si>
    <t>вул. Центральна, 189</t>
  </si>
  <si>
    <t>(03134)31720</t>
  </si>
  <si>
    <t>26098962</t>
  </si>
  <si>
    <t>Вонігівська загальноосвітня школа І-ІІІ ступенів Вонігівської сільської ради Тячівського району Закарпатської області</t>
  </si>
  <si>
    <t>90553</t>
  </si>
  <si>
    <t>2124480801</t>
  </si>
  <si>
    <t>Вонігове</t>
  </si>
  <si>
    <t>вул. Головна, 203</t>
  </si>
  <si>
    <t>(48)131</t>
  </si>
  <si>
    <t>25452460</t>
  </si>
  <si>
    <t>Ганичівська загальноосвітня школа І-ІІІ ступенів Ганичівської сільської ради Тячівського району Закарпатської області</t>
  </si>
  <si>
    <t>90535</t>
  </si>
  <si>
    <t>2124481201</t>
  </si>
  <si>
    <t>Ганичі</t>
  </si>
  <si>
    <t>вул. Народна, 271</t>
  </si>
  <si>
    <t>(097)3546020</t>
  </si>
  <si>
    <t>http://ganichi-school.com.ua</t>
  </si>
  <si>
    <t>25998889</t>
  </si>
  <si>
    <t>Солонівська загальноосвітня школа І-ІІ ступенів Ганичівської сільської ради Тячівського району Закарпатської області</t>
  </si>
  <si>
    <t>вул. Садова, 112</t>
  </si>
  <si>
    <t>(03134)41-0-04</t>
  </si>
  <si>
    <t>http://soloneschool.klasna.com/</t>
  </si>
  <si>
    <t>26326934</t>
  </si>
  <si>
    <t>Глибокопотіцької загальноосвітньої школи І-ІІ ступенів № 2 Глибокопотіцької сільської ради Тячівського району Закарпатської області</t>
  </si>
  <si>
    <t>90574</t>
  </si>
  <si>
    <t>2124481601</t>
  </si>
  <si>
    <t>Глибокий Потік</t>
  </si>
  <si>
    <t>вул. Великий Боуц, 71</t>
  </si>
  <si>
    <t>((380))689616154</t>
  </si>
  <si>
    <t>25452559</t>
  </si>
  <si>
    <t>Глибокопотіцька загальноосвітня школа І-ІІ ступенів № 1 Глибокопотіцької сільської ради Тячівського району Закарпатської області</t>
  </si>
  <si>
    <t>вул. Карбунешть, 72</t>
  </si>
  <si>
    <t>(097)3840616</t>
  </si>
  <si>
    <t>Глибокопотіцька загальноосвітня школа І-ІІІ ступенів Глибокопотіцької сільської ради Тячівського району Закарпатської області</t>
  </si>
  <si>
    <t>45-3-30</t>
  </si>
  <si>
    <t>25452453</t>
  </si>
  <si>
    <t>Глибокопотіцька ЗОШ І-ІІ ступенів № 3 Глибокопотіцької сільської ради Тячівського району Закарпатскьої області</t>
  </si>
  <si>
    <t>вул. М.Боуц, 172</t>
  </si>
  <si>
    <t>(067)3122454</t>
  </si>
  <si>
    <t>Грушівська загальноосвітня школа І ступеня Грушівської сільської ради Тячівського району Закарпатської області</t>
  </si>
  <si>
    <t>90570</t>
  </si>
  <si>
    <t>2124482001</t>
  </si>
  <si>
    <t>Грушово</t>
  </si>
  <si>
    <t>вул. Головна, 58</t>
  </si>
  <si>
    <t>(38)0988437079</t>
  </si>
  <si>
    <t>26327201</t>
  </si>
  <si>
    <t>Грушівська загальноосвітня школа І-ІІІ ступенів Грушівської сільської ради Тячівського району Закарпатської області</t>
  </si>
  <si>
    <t>вул. Головна, 99</t>
  </si>
  <si>
    <t>(803134)53323</t>
  </si>
  <si>
    <t>25452482</t>
  </si>
  <si>
    <t>Нижньоапшанська ЗОШ І - ІІІ ступенів Нижньоапшанської сільської ради Тячівського району Закарпатської області</t>
  </si>
  <si>
    <t>90571</t>
  </si>
  <si>
    <t>2124482401</t>
  </si>
  <si>
    <t>Нижня Апша</t>
  </si>
  <si>
    <t>(3134)44318</t>
  </si>
  <si>
    <t>25452499</t>
  </si>
  <si>
    <t>українська,російська,румунська</t>
  </si>
  <si>
    <t>Нижньоапшаньска загальноосвітня школа І-ІІ ступенів Нижньоапшанської сільської ради Тячівського району Закарпатської області</t>
  </si>
  <si>
    <t>вул. Валя Малулуй, 37</t>
  </si>
  <si>
    <t>(098)7079002</t>
  </si>
  <si>
    <t>25998838</t>
  </si>
  <si>
    <t>Подішорська загальноосвітня школа І-ІІ ступенів Нижньоапшанської сільскої ради Тячівського району Закарпатської області</t>
  </si>
  <si>
    <t>2124482403</t>
  </si>
  <si>
    <t>Подішор</t>
  </si>
  <si>
    <t>вул. Подішор, 28</t>
  </si>
  <si>
    <t>(380)673122434</t>
  </si>
  <si>
    <t>Добрянська загальноосвітня школа І-ІІІ ступенів Вільховецької сільської ради Тячівського району Закарпатської області</t>
  </si>
  <si>
    <t>90560</t>
  </si>
  <si>
    <t>2124482501</t>
  </si>
  <si>
    <t>Добрянське</t>
  </si>
  <si>
    <t>(38)150</t>
  </si>
  <si>
    <t>25452507</t>
  </si>
  <si>
    <t>Дулівська загальноосвітня школа І-ІІ ступенів імені Степана Вайди Дулівської сільської ради Тячівського району Закарпатської області</t>
  </si>
  <si>
    <t>90513</t>
  </si>
  <si>
    <t>2124482601</t>
  </si>
  <si>
    <t>Дулово</t>
  </si>
  <si>
    <t>вул. Вайди, 77</t>
  </si>
  <si>
    <t>26394568</t>
  </si>
  <si>
    <t>Калинівська загальноосвітня школа І-ІІ ступенів Калинівської сільської ради Тячівського району Закарпатської області</t>
  </si>
  <si>
    <t>90532</t>
  </si>
  <si>
    <t>2124482801</t>
  </si>
  <si>
    <t>Калини</t>
  </si>
  <si>
    <t>вул. Залізнична, 36/а</t>
  </si>
  <si>
    <t>(03134)74628</t>
  </si>
  <si>
    <t>25452588</t>
  </si>
  <si>
    <t>Калинівська загальноосвітня школа І-ІІІ ступенів Калинівської сільської ради Тячівського району Закарпатської області</t>
  </si>
  <si>
    <t>вул. Дж. Леннона, 147</t>
  </si>
  <si>
    <t>(03134)74463</t>
  </si>
  <si>
    <t>25452358</t>
  </si>
  <si>
    <t>Колодненська загальноосвітня школа І-ІІІ ступенів Колодненської сільської ради Тячівського району Закарпатської області</t>
  </si>
  <si>
    <t>90512</t>
  </si>
  <si>
    <t>2124483001</t>
  </si>
  <si>
    <t>Колодне</t>
  </si>
  <si>
    <t>вул. Горького, 45</t>
  </si>
  <si>
    <t>(03134)31205</t>
  </si>
  <si>
    <t>25452594</t>
  </si>
  <si>
    <t>Краснянська загальноосвітня школа І-ІІІ ступенів Краснянської сільської ради Тячівського району Закарпатської області</t>
  </si>
  <si>
    <t>90523</t>
  </si>
  <si>
    <t>2124483201</t>
  </si>
  <si>
    <t>Красна</t>
  </si>
  <si>
    <t>вул. Миру, 193</t>
  </si>
  <si>
    <t>(03134)76-246</t>
  </si>
  <si>
    <t>25452619</t>
  </si>
  <si>
    <t>Кривська загальноосвітня школа І ступеня Кривської сільської ради Тячівського району Закарпатської області</t>
  </si>
  <si>
    <t>90563</t>
  </si>
  <si>
    <t>2124483401</t>
  </si>
  <si>
    <t>Крива</t>
  </si>
  <si>
    <t>ал. Б.Хмельницького, 14</t>
  </si>
  <si>
    <t>380975867093</t>
  </si>
  <si>
    <t>Кривська загальноосвітня школа І - ІІ ступенів Кривської сільської ради Тячівського району Закарпатської області</t>
  </si>
  <si>
    <t>вул. Народна, 136</t>
  </si>
  <si>
    <t>(03134)55230</t>
  </si>
  <si>
    <t>Кричівська загальноосвітня школа І-ІІІ ступенів Кричівської сільської ради Тячівського району Закарпатської області</t>
  </si>
  <si>
    <t>90511</t>
  </si>
  <si>
    <t>2124483601</t>
  </si>
  <si>
    <t>Кричово</t>
  </si>
  <si>
    <t>вул. Центральна, 94</t>
  </si>
  <si>
    <t>(03134)30163</t>
  </si>
  <si>
    <t>25452525</t>
  </si>
  <si>
    <t>Лазівська загальноосвітня школа І-ІІІ ступенів Тячівської міської ради Закарпатської області</t>
  </si>
  <si>
    <t>90554</t>
  </si>
  <si>
    <t>2124484001</t>
  </si>
  <si>
    <t>вул. Перемоги, 156</t>
  </si>
  <si>
    <t>(096)8479425</t>
  </si>
  <si>
    <t>25452370</t>
  </si>
  <si>
    <t>Округлянська загальноосвітня школа І-ІІ ступенів Тячівської міської ради, Тячівського району, Закарпатської області</t>
  </si>
  <si>
    <t>90555</t>
  </si>
  <si>
    <t>2124484002</t>
  </si>
  <si>
    <t>Округла</t>
  </si>
  <si>
    <t>(0313447)362</t>
  </si>
  <si>
    <t>25998850</t>
  </si>
  <si>
    <t>Лопухівська загальноосвітня школа І-ІІІ ступенів Лопухівської сільської ради Тячівського району Закарпатської області</t>
  </si>
  <si>
    <t>90522</t>
  </si>
  <si>
    <t>2124484401</t>
  </si>
  <si>
    <t>Лопухів</t>
  </si>
  <si>
    <t>вул. Верховинська, 18</t>
  </si>
  <si>
    <t>36-5-36</t>
  </si>
  <si>
    <t>25443460</t>
  </si>
  <si>
    <t>Прочківський навчально-виховний комплекс "Загальноосвітня школа I ступеня - Дошкільний навчальний заклад" Лопухівської сільської ради Тячівського району Закарпатської області</t>
  </si>
  <si>
    <t>вул. Борканюка, 6</t>
  </si>
  <si>
    <t>0978389421</t>
  </si>
  <si>
    <t>26327170</t>
  </si>
  <si>
    <t>Яблунецький навчально-виховний комплекс "Дошкільно-навчальний заклад загальноосвітня школа І ступеня Лопухівської сільської ради Тячівського району Закарпатської області</t>
  </si>
  <si>
    <t>вул. Полонинська, 95</t>
  </si>
  <si>
    <t>0989105081</t>
  </si>
  <si>
    <t>Нересницька загальноосвітня школа І-ІІІ ступенів Нересницької сільської ради Тячівського району Закарпатської області</t>
  </si>
  <si>
    <t>90540</t>
  </si>
  <si>
    <t>2124484801</t>
  </si>
  <si>
    <t>Нересниця</t>
  </si>
  <si>
    <t>вул. Грушевського, 48</t>
  </si>
  <si>
    <t>0689972883</t>
  </si>
  <si>
    <t>26327000</t>
  </si>
  <si>
    <t>Підплешанська загальноосвтня школа І - ІІ ступенв Нересницької сільської ради Тячівського району Закарпатської області</t>
  </si>
  <si>
    <t>90541</t>
  </si>
  <si>
    <t>2124484802</t>
  </si>
  <si>
    <t>Підплеша</t>
  </si>
  <si>
    <t>вул. Народна, 122</t>
  </si>
  <si>
    <t>(66)8-20</t>
  </si>
  <si>
    <t>26394574</t>
  </si>
  <si>
    <t>Новобарівська загальноосвітня школа І-ІІ ступенів Новобарівської сільської ради Тячівського району Закарпатської області</t>
  </si>
  <si>
    <t>90552</t>
  </si>
  <si>
    <t>2124485001</t>
  </si>
  <si>
    <t>Новобарово</t>
  </si>
  <si>
    <t>вул. Рущака, 153</t>
  </si>
  <si>
    <t>(40)030</t>
  </si>
  <si>
    <t>Новоселицька загальноосвітня школа І-ІІІ ступенів Новоселицької сільської ради Тячівського району Закарпатської області</t>
  </si>
  <si>
    <t>90533</t>
  </si>
  <si>
    <t>2124485301</t>
  </si>
  <si>
    <t>вул. Борканюка, 144</t>
  </si>
  <si>
    <t>(03134)63-3-58</t>
  </si>
  <si>
    <t>25452387</t>
  </si>
  <si>
    <t>Тисалівська загальноосвітня школа І-ІІ ступенів Новоселицької сільської ради Тячівського району Закарпатської області</t>
  </si>
  <si>
    <t>90534</t>
  </si>
  <si>
    <t>2124485302</t>
  </si>
  <si>
    <t>Тисалово</t>
  </si>
  <si>
    <t>вул. Шевченка, 103</t>
  </si>
  <si>
    <t>Вільховецька загальноосвітня школа І-ІІІ ступенів Вільховецької сільської ради Тячівського району Закарпатської області</t>
  </si>
  <si>
    <t>90542</t>
  </si>
  <si>
    <t>2124485801</t>
  </si>
  <si>
    <t>Вільхівці</t>
  </si>
  <si>
    <t>вул. Центральна, 59А</t>
  </si>
  <si>
    <t>(03134)49576</t>
  </si>
  <si>
    <t>26326957</t>
  </si>
  <si>
    <t>Вільхівчиківська загальноосвітня школа І-ІІ ступенів Вільховецької сільської ради Тячівського району Закарпатської області</t>
  </si>
  <si>
    <t>90543</t>
  </si>
  <si>
    <t>2124485802</t>
  </si>
  <si>
    <t>Вільхівчик</t>
  </si>
  <si>
    <t>412</t>
  </si>
  <si>
    <t>0679033942</t>
  </si>
  <si>
    <t>25452542</t>
  </si>
  <si>
    <t>Вільховецько - Лазівська загальноосвітня школа І - ІІІ ступенів Вільховецької сільської ради, Тячівського району, Закарпатської області</t>
  </si>
  <si>
    <t>90544</t>
  </si>
  <si>
    <t>2124485901</t>
  </si>
  <si>
    <t>Вільхівці-Лази</t>
  </si>
  <si>
    <t>вул. Шевченка, 156</t>
  </si>
  <si>
    <t>(03134)34171</t>
  </si>
  <si>
    <t>25452476</t>
  </si>
  <si>
    <t>Вільховецько - Лазівська загальноосвітня школа І ступеня, Вільховецької сільської ради, Тячівського району, Закарпатської області</t>
  </si>
  <si>
    <t>вул. Шевченка, 120</t>
  </si>
  <si>
    <t>(34)34510</t>
  </si>
  <si>
    <t>Раківська загальноосвітня школа І-ІІ ступенів Вільховецької сільської ради Тячівського району Закарпатської області</t>
  </si>
  <si>
    <t>2124485902</t>
  </si>
  <si>
    <t>Ракове</t>
  </si>
  <si>
    <t>вул. Незалежності, 37</t>
  </si>
  <si>
    <t>(03134)34152</t>
  </si>
  <si>
    <t>26326928</t>
  </si>
  <si>
    <t>Руськомокрянська загальноосвітня школа І-ІІ ступенів Руськомокрянської сільської ради Тячівського району Закарпатської області</t>
  </si>
  <si>
    <t>90521</t>
  </si>
  <si>
    <t>2124486101</t>
  </si>
  <si>
    <t>Руська Мокра</t>
  </si>
  <si>
    <t>вул. Миру, 97</t>
  </si>
  <si>
    <t>(03134)36903</t>
  </si>
  <si>
    <t>http://mokra-sch.at.ua</t>
  </si>
  <si>
    <t>Німецькомокрянська загальноосвітня школа І-ІІ ступенів Руськомокрянської сільської ради Тячівського району Закарпатської області</t>
  </si>
  <si>
    <t>2124486102</t>
  </si>
  <si>
    <t>Німецька Мокра</t>
  </si>
  <si>
    <t>(3134)36834</t>
  </si>
  <si>
    <t>25452602</t>
  </si>
  <si>
    <t>Руськополівська загальноосвітня школа І-ІІІ ступенів Тячівської міської ради Закарпатської області</t>
  </si>
  <si>
    <t>90551</t>
  </si>
  <si>
    <t>2124486201</t>
  </si>
  <si>
    <t>Руське Поле</t>
  </si>
  <si>
    <t>(0(3134))37701</t>
  </si>
  <si>
    <t>26326986</t>
  </si>
  <si>
    <t>Тарасівська загальноосвітня школа І-ІІІ ступенів Тарасівської сільської ради Тячівського району Закарпатської області</t>
  </si>
  <si>
    <t>90530</t>
  </si>
  <si>
    <t>2124486601</t>
  </si>
  <si>
    <t>вул. Центральна, 164</t>
  </si>
  <si>
    <t>(64)150</t>
  </si>
  <si>
    <t>25452424</t>
  </si>
  <si>
    <t>Тереблянська загальноосвітня школа І ступеня Тереблянської сільської ради Тячівського району Закарпатської області</t>
  </si>
  <si>
    <t>90550</t>
  </si>
  <si>
    <t>2124487001</t>
  </si>
  <si>
    <t>Теребля</t>
  </si>
  <si>
    <t>(03134)65-065</t>
  </si>
  <si>
    <t>25452393</t>
  </si>
  <si>
    <t>Тереблянський навчально-виховний комплекс "Загальноосвітня школа І-ІІІ ступенів - дошкільний навчальний заклад" Тячівської районної ради Тячівського району Закарпатської області</t>
  </si>
  <si>
    <t>вул. Ярослава Мудрого, 6</t>
  </si>
  <si>
    <t>http://tereblia-nvk.edukit.uz.ua/</t>
  </si>
  <si>
    <t>38850870</t>
  </si>
  <si>
    <t>Тернівська загальноосвітня школа І-ІІІ ступенів Тернівської сільської ради Тячівського району Закарпатської області</t>
  </si>
  <si>
    <t>90545</t>
  </si>
  <si>
    <t>2124487401</t>
  </si>
  <si>
    <t>Терново</t>
  </si>
  <si>
    <t>(03134)62333</t>
  </si>
  <si>
    <t>25452401</t>
  </si>
  <si>
    <t>Вишоватська загальноосвітня школа І - ІІ ступенів Тернівської сільської ради тячівського району Закарпатської області</t>
  </si>
  <si>
    <t>90546</t>
  </si>
  <si>
    <t>2124487402</t>
  </si>
  <si>
    <t>Вишоватий</t>
  </si>
  <si>
    <t>вул. Партизанська, 65</t>
  </si>
  <si>
    <t>(380)977907672</t>
  </si>
  <si>
    <t>26327218</t>
  </si>
  <si>
    <t>Петрушівська загальноосвітня школа І-ІІ ступенів Тернівської сільської ради Тячівського району Закарпатської області</t>
  </si>
  <si>
    <t>2124487403</t>
  </si>
  <si>
    <t>Петрушів</t>
  </si>
  <si>
    <t>вул. Петрушівська, 40</t>
  </si>
  <si>
    <t>(03134)62-033</t>
  </si>
  <si>
    <t>25452648</t>
  </si>
  <si>
    <t>Топчинська загальноосвітня школа І-ІІ ступенів Топчинської сільської ради Тячівського району Закарпатської області</t>
  </si>
  <si>
    <t>90573</t>
  </si>
  <si>
    <t>2124487501</t>
  </si>
  <si>
    <t>Топчино</t>
  </si>
  <si>
    <t>вул. Центральна, 301</t>
  </si>
  <si>
    <t>43-3-32</t>
  </si>
  <si>
    <t>Бобівська ЗОШ І ст. Углянської сільської ради Тячівського району Закарпатської області</t>
  </si>
  <si>
    <t>90514</t>
  </si>
  <si>
    <t>2124487601</t>
  </si>
  <si>
    <t>Угля</t>
  </si>
  <si>
    <t>вул. Бобове, 24</t>
  </si>
  <si>
    <t>(098)0721241</t>
  </si>
  <si>
    <t>26327193</t>
  </si>
  <si>
    <t>Углянська загальноосвітня школа І-ІІІ ступенів Угляської сільської ради Тячівського району Закарпатської області</t>
  </si>
  <si>
    <t>25452418</t>
  </si>
  <si>
    <t>Углянський навчально-виховний комплекс "Дошкільний навчальний заклад - загальноосвітня школа першого ступеня" "Первоцвіт"</t>
  </si>
  <si>
    <t>вул. Колюшева, 2</t>
  </si>
  <si>
    <t>0985772446</t>
  </si>
  <si>
    <t>Груниківська загальноосвітня школа І-ІІ ступенів Углянської сільської ради Тячівського району Закарпатської області</t>
  </si>
  <si>
    <t>2124487603</t>
  </si>
  <si>
    <t>Груники</t>
  </si>
  <si>
    <t>вул. Груники, 3</t>
  </si>
  <si>
    <t>(59)3-84</t>
  </si>
  <si>
    <t>Малоугольківська ЗОШ І-ІІ ступенів № 1 Углянської сільської ради Тячівського району Закарпатської області</t>
  </si>
  <si>
    <t>90517</t>
  </si>
  <si>
    <t>2124487604</t>
  </si>
  <si>
    <t>Мала Уголька</t>
  </si>
  <si>
    <t>220</t>
  </si>
  <si>
    <t>0974076519</t>
  </si>
  <si>
    <t>25452625</t>
  </si>
  <si>
    <t>Малоугольківська загальноосвітня школа І-ІІ ступенів № 2 імені Олександра Шимона Углянської сільської ради Тячівського району Закарпатської області</t>
  </si>
  <si>
    <t>0989874087</t>
  </si>
  <si>
    <t>http://malaugolka-zosh2.uz.sch.in.ua</t>
  </si>
  <si>
    <t>Чумалівська загальноосвітня школа І-ІІІ ступенів Чумалівської сільської ради Тячівського району Закарпатської області</t>
  </si>
  <si>
    <t>90510</t>
  </si>
  <si>
    <t>2124488001</t>
  </si>
  <si>
    <t>Чумальово</t>
  </si>
  <si>
    <t>(03134)30628</t>
  </si>
  <si>
    <t>http://chumalivska-zosh.uz.sch.in.ua/</t>
  </si>
  <si>
    <t>25998873</t>
  </si>
  <si>
    <t>Широколузька загальноосвітня школа І-ІІІ ступенів Широколузької сільської ради Тячівського району Закарпатської області</t>
  </si>
  <si>
    <t>90516</t>
  </si>
  <si>
    <t>2124488401</t>
  </si>
  <si>
    <t>Широкий Луг</t>
  </si>
  <si>
    <t>вул. Шевченка, 162</t>
  </si>
  <si>
    <t>(380)964673759, (380)974561564</t>
  </si>
  <si>
    <t>25452364</t>
  </si>
  <si>
    <t>Фонтеняська загальноосвітня школа І-ІІ ступенів Широколузької сільської ради Тячівського району Закарпатської області</t>
  </si>
  <si>
    <t>2124488403</t>
  </si>
  <si>
    <t>Фонтиняси</t>
  </si>
  <si>
    <t>вул. Фонтеняська, 36</t>
  </si>
  <si>
    <t>26395160</t>
  </si>
  <si>
    <t>Середнянська загальноосвітня школа І-ІІІ ступенів Ужгородської районної ради Закарпатської області</t>
  </si>
  <si>
    <t>89452</t>
  </si>
  <si>
    <t>2124855500</t>
  </si>
  <si>
    <t>Середнє</t>
  </si>
  <si>
    <t>вул. Лікарняна, 2</t>
  </si>
  <si>
    <t>(0312)721481</t>
  </si>
  <si>
    <t>http://seredneschool.at.ua</t>
  </si>
  <si>
    <t>22097247</t>
  </si>
  <si>
    <t>Вовковецький НВК "ДНЗ-ЗОШ І ступеня" Середнянської селищної ради Ужгородського району Закарпатської області</t>
  </si>
  <si>
    <t>2124855501</t>
  </si>
  <si>
    <t>Вовкове</t>
  </si>
  <si>
    <t>вул. Перемоги, 31</t>
  </si>
  <si>
    <t>(0312)722179</t>
  </si>
  <si>
    <t>22098241</t>
  </si>
  <si>
    <t>Баранинська ЗОШ І ступеня Ужгородської районної ради Закарпатської області</t>
  </si>
  <si>
    <t>89425</t>
  </si>
  <si>
    <t>2124880301</t>
  </si>
  <si>
    <t>Баранинці</t>
  </si>
  <si>
    <t>(0312)734242</t>
  </si>
  <si>
    <t>22097684</t>
  </si>
  <si>
    <t>Барвінківська заганьноосвітня школа І ступеня Ужгородської районної ради Закарпатської області</t>
  </si>
  <si>
    <t>2124880302</t>
  </si>
  <si>
    <t>Барвінок</t>
  </si>
  <si>
    <t>вул. Е. Егана, 26</t>
  </si>
  <si>
    <t>(0312)728650</t>
  </si>
  <si>
    <t>22098057</t>
  </si>
  <si>
    <t>Довгопільський навчально-виховний комплекс "Докільний навчальний заклад- загальноосвітня школа І ступеня" комунальної власності Баранинської сльської ради Ужгородського району Закарпатської області</t>
  </si>
  <si>
    <t>89434</t>
  </si>
  <si>
    <t>2124880303</t>
  </si>
  <si>
    <t>Довге Поле</t>
  </si>
  <si>
    <t>(0312)730357</t>
  </si>
  <si>
    <t>Підгорбський НВК "Веселка" Баранинської сільської ради Ужгородського району Закарпатської області</t>
  </si>
  <si>
    <t>2124880304</t>
  </si>
  <si>
    <t>Підгорб</t>
  </si>
  <si>
    <t>(0312)737202</t>
  </si>
  <si>
    <t>Великогеєвецька загальноосвітня школа І-ІІ ступенів Ужгородської районної ради Закарпатької області</t>
  </si>
  <si>
    <t>2124880601</t>
  </si>
  <si>
    <t>Великі Геївці</t>
  </si>
  <si>
    <t>вул. Гагаріна, 21</t>
  </si>
  <si>
    <t>(0312)730125</t>
  </si>
  <si>
    <t>Малогеєвецький НВК "ДНЗ-ЗОШ І-ІІІ ступенів" ім.Ференца Егрі Ужгородської районної ради Закарпатської області.</t>
  </si>
  <si>
    <t>2124880602</t>
  </si>
  <si>
    <t>Малі Геївці</t>
  </si>
  <si>
    <t>вул. Ф.Егрі, 38</t>
  </si>
  <si>
    <t>(0312)730235</t>
  </si>
  <si>
    <t>22103551</t>
  </si>
  <si>
    <t>Великодобронська загальноосвітня школа І-ІІІ ступенів Ужгородської районної ради Закарпатської області</t>
  </si>
  <si>
    <t>89463</t>
  </si>
  <si>
    <t>2124880901</t>
  </si>
  <si>
    <t>Велика Добронь</t>
  </si>
  <si>
    <t>вул. Малодобронська, 131</t>
  </si>
  <si>
    <t>(0312)714321</t>
  </si>
  <si>
    <t>http://velikadobronzos.com.ua</t>
  </si>
  <si>
    <t>22110137</t>
  </si>
  <si>
    <t>Ліцей з біолого-хімічним та фізико-математичним профілем навчання с.Велика Добронь</t>
  </si>
  <si>
    <t>вул. Алвег, 5</t>
  </si>
  <si>
    <t>(0312)714298, (0312)714310</t>
  </si>
  <si>
    <t>ВЕЛИКОЛАЗІВСЬКА ЗАГАЛЬНООСВІТНЯ ШКОЛА І-ІІІ СТУПЕНІВ УЖГОРОДСЬКОЇ РАЙОННОЇ РАДИ ЗАКАРПАТСЬКОЇ ОБЛАСТІ</t>
  </si>
  <si>
    <t>89440</t>
  </si>
  <si>
    <t>2124881201</t>
  </si>
  <si>
    <t>Великі Лази</t>
  </si>
  <si>
    <t>вул. Вознесенська, б/н</t>
  </si>
  <si>
    <t>(0312)723821</t>
  </si>
  <si>
    <t>22097783</t>
  </si>
  <si>
    <t>ЦИГАНІВСЬКА ЗАГАЛЬНООСВІТНЯ ШКОЛА І СТУПЕНЯ УЖГОРОДСЬКОЇ РАЙОННОЇ РАДИ ЗАКАРПАТСЬКОЇ ОБЛАСТІ</t>
  </si>
  <si>
    <t>2124881202</t>
  </si>
  <si>
    <t>Циганівці</t>
  </si>
  <si>
    <t>вул. Миру, б/н</t>
  </si>
  <si>
    <t>(0312)72-45-45</t>
  </si>
  <si>
    <t>22098092</t>
  </si>
  <si>
    <t>Галоцький НВК"ДНЗ-ЗОШ І ступеня" Галоцької сільської ради Ужгородського району Закарпатської області</t>
  </si>
  <si>
    <t>89430</t>
  </si>
  <si>
    <t>2124881501</t>
  </si>
  <si>
    <t>Галоч</t>
  </si>
  <si>
    <t>вул. Центральна, 130/а</t>
  </si>
  <si>
    <t>(0312)733190</t>
  </si>
  <si>
    <t>Глибоцька загальноосвітня школа I ступеня Ужгородської районної ради Закарпатської області</t>
  </si>
  <si>
    <t>88441</t>
  </si>
  <si>
    <t>2124881801</t>
  </si>
  <si>
    <t>Глибоке</t>
  </si>
  <si>
    <t>вул. Центральна, 92</t>
  </si>
  <si>
    <t>(0312)738155</t>
  </si>
  <si>
    <t>22097224</t>
  </si>
  <si>
    <t>Нижньосолотвинський НВК "ДНЗ-ЗОШ І ступеня" Руськомарівської сільської ради Ужгородського району Закарпатської області</t>
  </si>
  <si>
    <t>89412</t>
  </si>
  <si>
    <t>2124881802</t>
  </si>
  <si>
    <t>Нижнє Солотвино</t>
  </si>
  <si>
    <t>(0312)738271</t>
  </si>
  <si>
    <t>22097218</t>
  </si>
  <si>
    <t>Руськокомарівська загальноосвітня школа І-ІІІ ступенів Ужгородської районної ради Закарпатської області</t>
  </si>
  <si>
    <t>89443</t>
  </si>
  <si>
    <t>2124881803</t>
  </si>
  <si>
    <t>Руські Комарівці</t>
  </si>
  <si>
    <t>(0312)737441</t>
  </si>
  <si>
    <t>22098206</t>
  </si>
  <si>
    <t>Дубрівська загальноосвітня школа I - II ступенів Ужгородського районної ради Закарпатської області</t>
  </si>
  <si>
    <t>89455</t>
  </si>
  <si>
    <t>2124882401</t>
  </si>
  <si>
    <t>вул. Центральна, 101</t>
  </si>
  <si>
    <t>720542</t>
  </si>
  <si>
    <t>22097081</t>
  </si>
  <si>
    <t>Ірлявська загальноосвітня школа I ступеня ,Ужгородської районної ради Закарпатської обл.</t>
  </si>
  <si>
    <t>2124882701</t>
  </si>
  <si>
    <t>Ірлява</t>
  </si>
  <si>
    <t>(0312)720494</t>
  </si>
  <si>
    <t>22098608</t>
  </si>
  <si>
    <t>Чабанівська загальноосвітня школа І-ІІ ступенів Ужгородської районної ради Закарпатської області</t>
  </si>
  <si>
    <t>2124882703</t>
  </si>
  <si>
    <t>Чабанівка</t>
  </si>
  <si>
    <t>вул. Лесі Українки, 38</t>
  </si>
  <si>
    <t>(0312)720-442</t>
  </si>
  <si>
    <t>22098459</t>
  </si>
  <si>
    <t>Кам'яницька загальноосвітня школа І-ІІІ ступенів Ужгородсько ї районної ради Закарпатської області</t>
  </si>
  <si>
    <t>89411</t>
  </si>
  <si>
    <t>2124882901</t>
  </si>
  <si>
    <t>Кам'яниця</t>
  </si>
  <si>
    <t>с.Кам'яниця, вул.Ужанська, 22</t>
  </si>
  <si>
    <t>(0312)731642</t>
  </si>
  <si>
    <t>22097299</t>
  </si>
  <si>
    <t>Киблярівська загальноосвітня школа І-ІІ ступенів Ужгородської районної ради Закарпатської області</t>
  </si>
  <si>
    <t>89450</t>
  </si>
  <si>
    <t>2124883001</t>
  </si>
  <si>
    <t>Кибляри</t>
  </si>
  <si>
    <t>173</t>
  </si>
  <si>
    <t>(0312)729479</t>
  </si>
  <si>
    <t>22097595</t>
  </si>
  <si>
    <t>Гайдоський навчально-виховний комплекс "Дошкльний навчальний заклад- загальноосвітня школа І ступеня" комунальної власності Киблярвської сільської ради Ужгородського району Закарпатської області</t>
  </si>
  <si>
    <t>2124883002</t>
  </si>
  <si>
    <t>Гайдош</t>
  </si>
  <si>
    <t>вул. Головна, 156</t>
  </si>
  <si>
    <t>(0312)729-418</t>
  </si>
  <si>
    <t>Лінцівська загальноосвітня школа І-ІІІ ступенів Ужгородської районної ради Закарпатської області</t>
  </si>
  <si>
    <t>2124883003</t>
  </si>
  <si>
    <t>Лінці</t>
  </si>
  <si>
    <t>вул. Головна, без номера</t>
  </si>
  <si>
    <t>(031)729410</t>
  </si>
  <si>
    <t>22110151</t>
  </si>
  <si>
    <t>Паладь-Комарівецька загальноосвітня школа І-ІІ ступенів Ужгородської районної ради Закарпатської області</t>
  </si>
  <si>
    <t>89431</t>
  </si>
  <si>
    <t>2124883301</t>
  </si>
  <si>
    <t>Паладь-Комарівці</t>
  </si>
  <si>
    <t>вул. Перемоги, 13</t>
  </si>
  <si>
    <t>(0312)735642</t>
  </si>
  <si>
    <t>22103545</t>
  </si>
  <si>
    <t>КОРИТНЯНСЬКА ЗАГАЛЬНООСВІТНЯ ШКОЛА І-ІІІ СТУПЕНІВ УЖГОРОДСЬКОЇ РАЙОННОЇ РАДИ ЗАКАРПАТСЬКОЇ ОБЛАСТІ</t>
  </si>
  <si>
    <t>89435</t>
  </si>
  <si>
    <t>2124883601</t>
  </si>
  <si>
    <t>Коритняни</t>
  </si>
  <si>
    <t>вул. Духновича, 66Г</t>
  </si>
  <si>
    <t>(0312)730742</t>
  </si>
  <si>
    <t>http://korytnjanyskol.at.ua/</t>
  </si>
  <si>
    <t>22110396</t>
  </si>
  <si>
    <t>Малодоброньська загальньоосвітня школа І-ІІІ ступенів Ужгородської районної ради Закарпатської області</t>
  </si>
  <si>
    <t>89464</t>
  </si>
  <si>
    <t>2124883901</t>
  </si>
  <si>
    <t>Мала Добронь</t>
  </si>
  <si>
    <t>вул. Кошута, 30</t>
  </si>
  <si>
    <t>(0312)715062</t>
  </si>
  <si>
    <t>http://kki.at.ua</t>
  </si>
  <si>
    <t>22097325</t>
  </si>
  <si>
    <t>Демечівський НВК "ДНЗ-НВК І ступеня" Малодобронської сільської ради Ужгородського району Закарпатської області</t>
  </si>
  <si>
    <t>2124883902</t>
  </si>
  <si>
    <t>Демечі</t>
  </si>
  <si>
    <t>(0312)715113</t>
  </si>
  <si>
    <t>22097276</t>
  </si>
  <si>
    <t>Тисаашванська загальноосвітня школа І-ІІ ступенів Ужгородської районної ради Закарпатської області</t>
  </si>
  <si>
    <t>2124884201</t>
  </si>
  <si>
    <t>Тисаашвань</t>
  </si>
  <si>
    <t>вул. Петефі, 49</t>
  </si>
  <si>
    <t>(0312)712234</t>
  </si>
  <si>
    <t>Невицький навчально-виховний комплекс "Дошкільний навчальний заклад- загальноосвітня школа І ступеня" комунальної власності Невицької сільської ради Ужгородського району Закарпатської області</t>
  </si>
  <si>
    <t>89410</t>
  </si>
  <si>
    <t>2124884501</t>
  </si>
  <si>
    <t>Невицьке</t>
  </si>
  <si>
    <t>вул. Садова, 124</t>
  </si>
  <si>
    <t>(0312)731790</t>
  </si>
  <si>
    <t>Оноківська загальноосвітня школа І-ІІІ ступенів Ужгородської районної ради Закарпатської області</t>
  </si>
  <si>
    <t>2124884801</t>
  </si>
  <si>
    <t>Оноківці</t>
  </si>
  <si>
    <t>(739)642</t>
  </si>
  <si>
    <t>22097738</t>
  </si>
  <si>
    <t>Оріховицька загальноосвітня школа I ступеня Ужгородської районної ради Закарпатської області</t>
  </si>
  <si>
    <t>89413</t>
  </si>
  <si>
    <t>2124884802</t>
  </si>
  <si>
    <t>Оріховиця</t>
  </si>
  <si>
    <t>вул. А.Ігната, 39</t>
  </si>
  <si>
    <t>739142</t>
  </si>
  <si>
    <t>22097767</t>
  </si>
  <si>
    <t>Пацканівська загальноосвітня школа І-ІІ ступенів Ужгородської районної ради Закарпатської області</t>
  </si>
  <si>
    <t>89451</t>
  </si>
  <si>
    <t>2124885101</t>
  </si>
  <si>
    <t>Пацканьово</t>
  </si>
  <si>
    <t>вул. немає, без номера</t>
  </si>
  <si>
    <t>(0312)729146</t>
  </si>
  <si>
    <t>http://Packanivska-zos.uz.at.ua</t>
  </si>
  <si>
    <t>22097661</t>
  </si>
  <si>
    <t>Ратівецька загальноосвітня школа І-ІІ ступенів Ужгородської районої ради Закарпатської області</t>
  </si>
  <si>
    <t>89433</t>
  </si>
  <si>
    <t>2124885401</t>
  </si>
  <si>
    <t>Ратівці</t>
  </si>
  <si>
    <t>вул. Ракоці, 81</t>
  </si>
  <si>
    <t>(0312)725842</t>
  </si>
  <si>
    <t>http://rati-iskola.ucoz.ua/</t>
  </si>
  <si>
    <t>22097388</t>
  </si>
  <si>
    <t>Соловківська загальноосвітня школа І-ІІ ступенів Ужгородської районної ради Закарпатської області</t>
  </si>
  <si>
    <t>89462</t>
  </si>
  <si>
    <t>2124885901</t>
  </si>
  <si>
    <t>Соловка</t>
  </si>
  <si>
    <t>(0312)716720</t>
  </si>
  <si>
    <t>http://solovkivskazos.com.ua</t>
  </si>
  <si>
    <t>22097862</t>
  </si>
  <si>
    <t>Петрівський навчально-виховний комплекс "Докільний навчальний заклад- загальноосвітна школа І ступеня" комунальної власності Соловківської сільської ради Ужгородського району Закарпатської області</t>
  </si>
  <si>
    <t>89461</t>
  </si>
  <si>
    <t>2124885902</t>
  </si>
  <si>
    <t>вул. Т.Г. Шевченка, б/н</t>
  </si>
  <si>
    <t>Соломонівська загальноосвітня школа І-ІІ ступенів Ужгородського району Закарпатської області</t>
  </si>
  <si>
    <t>2124886201</t>
  </si>
  <si>
    <t>Соломоново</t>
  </si>
  <si>
    <t>вул. Тисова, 2</t>
  </si>
  <si>
    <t>(0312)716274</t>
  </si>
  <si>
    <t>Сторожницька загальноосвітня школа І-ІІІ ступенів Ужгородської районної ради Закарпатської області</t>
  </si>
  <si>
    <t>89421</t>
  </si>
  <si>
    <t>2124886301</t>
  </si>
  <si>
    <t>Сторожниця</t>
  </si>
  <si>
    <t>вул. Ужанська, 2</t>
  </si>
  <si>
    <t>(0312)732431</t>
  </si>
  <si>
    <t>22097773</t>
  </si>
  <si>
    <t>англійська,німецька,словацька</t>
  </si>
  <si>
    <t>Сюртівська загальноосвітня школа І-ІІІ ступенів Ужгородського району Закарпатської області</t>
  </si>
  <si>
    <t>89432</t>
  </si>
  <si>
    <t>2124886401</t>
  </si>
  <si>
    <t>Сюрте</t>
  </si>
  <si>
    <t>вул. Раковці, № 150</t>
  </si>
  <si>
    <t>(0312)735-342</t>
  </si>
  <si>
    <t>22098318</t>
  </si>
  <si>
    <t>ШИШЛІВСЬКА ЗАГАЛЬНООСВІТНЯ ШКОЛА І-ІІІ СТУПЕНІВ УЖГОРОДСЬКОЇ РАЙОННОЇ РАДИ ЗАКАРПАТСЬКОЇ ОБЛАСТІ</t>
  </si>
  <si>
    <t>89420</t>
  </si>
  <si>
    <t>2124886804</t>
  </si>
  <si>
    <t>Шишлівці</t>
  </si>
  <si>
    <t>вул. Добо Іштвана, 2</t>
  </si>
  <si>
    <t>(0312)733443</t>
  </si>
  <si>
    <t>http://sislivskazos.at.ua/</t>
  </si>
  <si>
    <t>22098181</t>
  </si>
  <si>
    <t>Тисаагтелекська загальноосвітня школа І-ІІ ступенів Ужгородського району Закарпатської області</t>
  </si>
  <si>
    <t>2124887001</t>
  </si>
  <si>
    <t>Тисаагтелек</t>
  </si>
  <si>
    <t>вул. Головна, 10,56</t>
  </si>
  <si>
    <t>(0312)715153</t>
  </si>
  <si>
    <t>22097371</t>
  </si>
  <si>
    <t>Холмецька загальнооосвітня школа І ступеня Ужгородської районної ради Закарпатської області</t>
  </si>
  <si>
    <t>89444</t>
  </si>
  <si>
    <t>2124887301</t>
  </si>
  <si>
    <t>Холмець</t>
  </si>
  <si>
    <t>вул. Дружби, 33</t>
  </si>
  <si>
    <t>(0312)737297</t>
  </si>
  <si>
    <t>22098376</t>
  </si>
  <si>
    <t>Холмківська загальноосвітня школа І-ІІ ступенів Ужгородської районної ради Закарпатської області</t>
  </si>
  <si>
    <t>89422</t>
  </si>
  <si>
    <t>2124887401</t>
  </si>
  <si>
    <t>Холмок</t>
  </si>
  <si>
    <t>вул. Кільцева, 12</t>
  </si>
  <si>
    <t>(0312)723243</t>
  </si>
  <si>
    <t>http://holmkivska-zos.at.ua</t>
  </si>
  <si>
    <t>22097359</t>
  </si>
  <si>
    <t>КОНЦІВСЬКА ЗАГАЛЬНООСВІТНЯ ШКОЛА І-ІІІ СТУПЕНІВ УЖГОРОДСЬКОЇ РАЙОННОЇ РАДИ ЗАКАРПАТСЬКОЇ ОБЛАСТІ</t>
  </si>
  <si>
    <t>89423</t>
  </si>
  <si>
    <t>2124887402</t>
  </si>
  <si>
    <t>Концово</t>
  </si>
  <si>
    <t>(0312)727-054</t>
  </si>
  <si>
    <t>http://koncovo-school.at.ua</t>
  </si>
  <si>
    <t>22097431</t>
  </si>
  <si>
    <t>Минайська загальноосвітня школа І ступеня Ужгородської районної ради Закарпатської області</t>
  </si>
  <si>
    <t>89427</t>
  </si>
  <si>
    <t>2124887403</t>
  </si>
  <si>
    <t>Минай</t>
  </si>
  <si>
    <t>вул. Борканюка, 2</t>
  </si>
  <si>
    <t>(0312)667150</t>
  </si>
  <si>
    <t>Худлівська загальноосвітня школа І-ІІІ ступенів Ужгородської районної ради Закарпатської області</t>
  </si>
  <si>
    <t>89415</t>
  </si>
  <si>
    <t>2124887601</t>
  </si>
  <si>
    <t>Худльово</t>
  </si>
  <si>
    <t>вул. Підгірна, 44</t>
  </si>
  <si>
    <t>(0312)720234</t>
  </si>
  <si>
    <t>22097342</t>
  </si>
  <si>
    <t>Анталовська загальноосвітня школа I-II ступенів Ужгородської районної ради з поглибленим вивченням окремих предметів (словацької мови) Закарпатської області</t>
  </si>
  <si>
    <t>89471</t>
  </si>
  <si>
    <t>2124887602</t>
  </si>
  <si>
    <t>Анталовці</t>
  </si>
  <si>
    <t>вул. Перемоги, 28</t>
  </si>
  <si>
    <t>(0312)720-048</t>
  </si>
  <si>
    <t>Верхньосолотвинський НВК "ДНЗ-ЗОШ І ступеня" Худлівської сільської ради Ужгородського району Закарпатської області</t>
  </si>
  <si>
    <t>2124887603</t>
  </si>
  <si>
    <t>Верхня Солотвина</t>
  </si>
  <si>
    <t>6Б</t>
  </si>
  <si>
    <t>(0312)720240</t>
  </si>
  <si>
    <t>Чертезька загальноосвітня школа І - ІІ ступенів Ужгородської районної ради Закарпатської області</t>
  </si>
  <si>
    <t>2124887605</t>
  </si>
  <si>
    <t>Чертеж</t>
  </si>
  <si>
    <t>вул. Миру, 37</t>
  </si>
  <si>
    <t>(0312)721987</t>
  </si>
  <si>
    <t>22097158</t>
  </si>
  <si>
    <t>Чертезька спеціальна загальноосвітня школа-інтернат I-II ступенів Закарпатської обласної ради</t>
  </si>
  <si>
    <t>(0312)722-013</t>
  </si>
  <si>
    <t>http://www.cssi.org.ua</t>
  </si>
  <si>
    <t>22110485</t>
  </si>
  <si>
    <t>Часлівецька загальноосвітня школа-інтернат І-ІІ ступенів Закарпатської обласної ради</t>
  </si>
  <si>
    <t>2124887701</t>
  </si>
  <si>
    <t>Часлівці</t>
  </si>
  <si>
    <t>вул. Сентмігалі, 74</t>
  </si>
  <si>
    <t>(0312)730852, (0312)730732</t>
  </si>
  <si>
    <t>http://chaslovci-inter.ucoz.ua</t>
  </si>
  <si>
    <t>22110255</t>
  </si>
  <si>
    <t>Часлівецький НВК "ДНЗ-ЗОШ І ступеня" Часлівецької сільської ради Ужгородського району Закарпатської області</t>
  </si>
  <si>
    <t>вул. Сентмігалі, 33А</t>
  </si>
  <si>
    <t>(0312)443910</t>
  </si>
  <si>
    <t>Червонівська загальноосвітня школа I-III ступенів Ужгородської районної ради Закарпатської області</t>
  </si>
  <si>
    <t>89400</t>
  </si>
  <si>
    <t>2124887801</t>
  </si>
  <si>
    <t>(0312)715576</t>
  </si>
  <si>
    <t>22097260</t>
  </si>
  <si>
    <t>Есенська загальноосвітня школа І-ІІІ ступенів Ужгородської районної ради Закарпатської області</t>
  </si>
  <si>
    <t>2124888001</t>
  </si>
  <si>
    <t>Есень</t>
  </si>
  <si>
    <t>вул. Мала, 78</t>
  </si>
  <si>
    <t>(0312)716650</t>
  </si>
  <si>
    <t>22110373</t>
  </si>
  <si>
    <t>Яроцька загальноосвітня школа І-ІІступенів Ужгородської районої ради Закарпатської області</t>
  </si>
  <si>
    <t>89414</t>
  </si>
  <si>
    <t>2124888201</t>
  </si>
  <si>
    <t>Ярок</t>
  </si>
  <si>
    <t>вул. Центральна, 164 а</t>
  </si>
  <si>
    <t>(0312)724142</t>
  </si>
  <si>
    <t>22097796</t>
  </si>
  <si>
    <t>Стрипський навчально-виховний комплекс "Докільний навчальний заклад- загальноосвітня школа І ступеня" комунальної власності Яроцької сльської ради Ужгородського району Закарпатської оласті</t>
  </si>
  <si>
    <t>2124888202</t>
  </si>
  <si>
    <t>Стрипа</t>
  </si>
  <si>
    <t>вул. Ценральна, б/н</t>
  </si>
  <si>
    <t>(0312)724044</t>
  </si>
  <si>
    <t>Вишківська загальноосвітня школа І ступеня Хустської районної державної адміністрації</t>
  </si>
  <si>
    <t>90454</t>
  </si>
  <si>
    <t>2125355300</t>
  </si>
  <si>
    <t>Вишково</t>
  </si>
  <si>
    <t>вул. Шевчанка, б/н</t>
  </si>
  <si>
    <t>(097)1903582</t>
  </si>
  <si>
    <t>Вишківська загальноосвітня школа І-ІІІ ступенів № 1 Хустської районної державної адміністрації</t>
  </si>
  <si>
    <t>вул. Тиса, 7</t>
  </si>
  <si>
    <t>(03142)57489</t>
  </si>
  <si>
    <t>34901019</t>
  </si>
  <si>
    <t>Вишківський навчально-виховний комплекс " Загальноосвітня школа І-ІІІ ступенів - Дошкільний навчальний заклад ім. Ференца Келчеі" Хустської районної державної адміністрації</t>
  </si>
  <si>
    <t>ал. Велика, 53</t>
  </si>
  <si>
    <t>(096)7460830</t>
  </si>
  <si>
    <t>25447386</t>
  </si>
  <si>
    <t>Ракошська загальноосвітня школа І-ІІ ступенів Хустської районної державної адміністрації</t>
  </si>
  <si>
    <t>2125355302</t>
  </si>
  <si>
    <t>Ракош</t>
  </si>
  <si>
    <t>вул. Грушова, 95</t>
  </si>
  <si>
    <t>(03142)57314</t>
  </si>
  <si>
    <t>34900991</t>
  </si>
  <si>
    <t>Шаянський навчально-виховний комплекс І ступеня Хустської районної державної адміністрації</t>
  </si>
  <si>
    <t>90457</t>
  </si>
  <si>
    <t>2125355303</t>
  </si>
  <si>
    <t>Шаян</t>
  </si>
  <si>
    <t>(096)6050268</t>
  </si>
  <si>
    <t>Яблунівська загальноосвітня школа І-ІІІ ступенів Хустської районної державної адміністрації</t>
  </si>
  <si>
    <t>90458</t>
  </si>
  <si>
    <t>2125355304</t>
  </si>
  <si>
    <t>вул. Незалежності, 108</t>
  </si>
  <si>
    <t>(03142)57464</t>
  </si>
  <si>
    <t>Олександрівська загальноосвітня школа І-ІІІ ступенів Хустської районної державної адміністрації</t>
  </si>
  <si>
    <t>90444</t>
  </si>
  <si>
    <t>2125380201</t>
  </si>
  <si>
    <t>(03142)63171</t>
  </si>
  <si>
    <t>26213236</t>
  </si>
  <si>
    <t>Березівська загальноосвітня школа І-ІІІ ступенів Хустської районної державної адміністрації</t>
  </si>
  <si>
    <t>90426</t>
  </si>
  <si>
    <t>2125380601</t>
  </si>
  <si>
    <t>Березово</t>
  </si>
  <si>
    <t>100</t>
  </si>
  <si>
    <t>(03142)64124</t>
  </si>
  <si>
    <t>34901036</t>
  </si>
  <si>
    <t>Боронявська загальноосвітня школа І-ІІІ ступенів Хустської районної державної адміністрації</t>
  </si>
  <si>
    <t>90442</t>
  </si>
  <si>
    <t>2125381001</t>
  </si>
  <si>
    <t>Боронява</t>
  </si>
  <si>
    <t>вул. ЦЕНТРАЛЬНА, 129</t>
  </si>
  <si>
    <t>(03142)68136</t>
  </si>
  <si>
    <t>Велятинська загальноосвітня школа І-ІІІ ступенів Хустської районної державної адміністрації</t>
  </si>
  <si>
    <t>90453</t>
  </si>
  <si>
    <t>2125381401</t>
  </si>
  <si>
    <t>Велятин</t>
  </si>
  <si>
    <t>(097)5006357</t>
  </si>
  <si>
    <t>34900984</t>
  </si>
  <si>
    <t>Горінчівська загальноосвітня школа І-ІІІ ступенів Хустської районної державної адміністрації</t>
  </si>
  <si>
    <t>90430</t>
  </si>
  <si>
    <t>2125382201</t>
  </si>
  <si>
    <t>Горінчово</t>
  </si>
  <si>
    <t>вул. 30 років Визволення, 3А</t>
  </si>
  <si>
    <t>(03142)62171</t>
  </si>
  <si>
    <t>34901024</t>
  </si>
  <si>
    <t>Сюрюкська загальноосвітня школа І ступеня Хустської районної державної адміністрації</t>
  </si>
  <si>
    <t>2125382205</t>
  </si>
  <si>
    <t>Сюрюк</t>
  </si>
  <si>
    <t>11В</t>
  </si>
  <si>
    <t>(096)0765554</t>
  </si>
  <si>
    <t>Данилівський навчально-виховний комплекс "Загальноосвітня школа І-ІІІ ступенів -ДНЗ" Хустської районної державної адміністрації</t>
  </si>
  <si>
    <t>90443</t>
  </si>
  <si>
    <t>2125382601</t>
  </si>
  <si>
    <t>Данилово</t>
  </si>
  <si>
    <t>34440724</t>
  </si>
  <si>
    <t>Драгівська загальноосвітня школа І-ІІІ ступенів Хустської районної державної</t>
  </si>
  <si>
    <t>90432</t>
  </si>
  <si>
    <t>2125382801</t>
  </si>
  <si>
    <t>Драгово</t>
  </si>
  <si>
    <t>(097)5093673</t>
  </si>
  <si>
    <t>34901071</t>
  </si>
  <si>
    <t>Забережська загальноосвітня школа І ступеня Хустської районної державної адміністрації</t>
  </si>
  <si>
    <t>2125382802</t>
  </si>
  <si>
    <t>Забереж</t>
  </si>
  <si>
    <t>вул. В. Івасюка, 74</t>
  </si>
  <si>
    <t>(068)0918545</t>
  </si>
  <si>
    <t>35007324</t>
  </si>
  <si>
    <t>Кічерельська загальноосвітня школа І-ІІ ступенів Хустської районної державної адміністрації</t>
  </si>
  <si>
    <t>2125382803</t>
  </si>
  <si>
    <t>Кічерели</t>
  </si>
  <si>
    <t>(096)3785117</t>
  </si>
  <si>
    <t>34901160</t>
  </si>
  <si>
    <t>Становецька загальноосвітня школа І ступеня Хустської районної державної адміністрації</t>
  </si>
  <si>
    <t>2125382804</t>
  </si>
  <si>
    <t>Становець</t>
  </si>
  <si>
    <t>106</t>
  </si>
  <si>
    <t>(097)7559937</t>
  </si>
  <si>
    <t>35007319</t>
  </si>
  <si>
    <t>Забрідська загальноосвітня школа І-ІІІ ступенів Хустської районної державної адміністрації</t>
  </si>
  <si>
    <t>90428</t>
  </si>
  <si>
    <t>2125383001</t>
  </si>
  <si>
    <t>вул. Грушевського, 174</t>
  </si>
  <si>
    <t>(068)2492759</t>
  </si>
  <si>
    <t>34901155</t>
  </si>
  <si>
    <t>Золотарівська загальноосвітня школа І-ІІІ ступенів Хустської районної державної адміністрації</t>
  </si>
  <si>
    <t>90441</t>
  </si>
  <si>
    <t>2125383201</t>
  </si>
  <si>
    <t>Золотарьово</t>
  </si>
  <si>
    <t>вул. Цетральна, 68</t>
  </si>
  <si>
    <t>(70)118</t>
  </si>
  <si>
    <t>25448210</t>
  </si>
  <si>
    <t>Ізянська загальноосвітня школа І-ІІІ ступенів Хустської районної державної адміністрації</t>
  </si>
  <si>
    <t>90436</t>
  </si>
  <si>
    <t>2125383601</t>
  </si>
  <si>
    <t>Іза</t>
  </si>
  <si>
    <t>34901087</t>
  </si>
  <si>
    <t>Копашнівська загальноосвітня школа І-ІІІ ступенів Хустської районної державної адміністрації</t>
  </si>
  <si>
    <t>90433</t>
  </si>
  <si>
    <t>2125384001</t>
  </si>
  <si>
    <t>Копашново</t>
  </si>
  <si>
    <t>вул. Центральна, 155</t>
  </si>
  <si>
    <t>(098)7725970</t>
  </si>
  <si>
    <t>34901092</t>
  </si>
  <si>
    <t>Лунківська загальноосвітня школа І ступеня Хустської районної державної адміністрації</t>
  </si>
  <si>
    <t>90434</t>
  </si>
  <si>
    <t>2125384002</t>
  </si>
  <si>
    <t>Лунка</t>
  </si>
  <si>
    <t>вул. В. Лунка, 12</t>
  </si>
  <si>
    <t>(068)0812388</t>
  </si>
  <si>
    <t>34901244</t>
  </si>
  <si>
    <t>Лунківський навчально-виховний комплекс дошкільний навчальний заклад загальноосвітній навчальний заклад І ступеня "Радість" Копашнівської сільської рди</t>
  </si>
  <si>
    <t>вул. М.Лунка, 35</t>
  </si>
  <si>
    <t>(03142)72276</t>
  </si>
  <si>
    <t>35355405</t>
  </si>
  <si>
    <t>Хустецька загальноосвітня школа І ступеня Хустської районної державної адміністрації</t>
  </si>
  <si>
    <t>2125384004</t>
  </si>
  <si>
    <t>Хустець</t>
  </si>
  <si>
    <t>вул. Хустець, 79</t>
  </si>
  <si>
    <t>4672890</t>
  </si>
  <si>
    <t>34901197</t>
  </si>
  <si>
    <t>Кошелівська загальноосвітня школа І-ІІІ ступенів Хустської районної державної адміністрації</t>
  </si>
  <si>
    <t>90413</t>
  </si>
  <si>
    <t>2125384201</t>
  </si>
  <si>
    <t>Кошельово</t>
  </si>
  <si>
    <t>(03142)66549</t>
  </si>
  <si>
    <t>Заломська загальноосвітня школа І-ІІ ступенів Хустської районної державної адміністрації</t>
  </si>
  <si>
    <t>90414</t>
  </si>
  <si>
    <t>2125384202</t>
  </si>
  <si>
    <t>Залом</t>
  </si>
  <si>
    <t>126</t>
  </si>
  <si>
    <t>(097)6125273</t>
  </si>
  <si>
    <t>25438430</t>
  </si>
  <si>
    <t>Кошелівська загальноосвітня школа І-ІІ ступенів Хустської районної державної адміністрації</t>
  </si>
  <si>
    <t>505А</t>
  </si>
  <si>
    <t>(097)6125271</t>
  </si>
  <si>
    <t>25451809</t>
  </si>
  <si>
    <t>Крайниківська загальноосвітня школа І-ІІІ ступенів Хустської районної державної адміністрації</t>
  </si>
  <si>
    <t>90452</t>
  </si>
  <si>
    <t>2125384401</t>
  </si>
  <si>
    <t>Крайниково</t>
  </si>
  <si>
    <t>65246</t>
  </si>
  <si>
    <t>26099763</t>
  </si>
  <si>
    <t>Кривський навчально-виховний комплекс "Загальноосвітній навчальний заклад І-ІІІ ступенів - дошкільний навчальний заклад" Хустської районної державної адміністрації</t>
  </si>
  <si>
    <t>90412</t>
  </si>
  <si>
    <t>2125384601</t>
  </si>
  <si>
    <t>(067)7843030</t>
  </si>
  <si>
    <t>34901253</t>
  </si>
  <si>
    <t>Липецькополянська загальноосвітня школа І-ІІІ ступенів Хустської районної державної адміністрації</t>
  </si>
  <si>
    <t>90425</t>
  </si>
  <si>
    <t>2125384801</t>
  </si>
  <si>
    <t>Липецька Поляна</t>
  </si>
  <si>
    <t>(098)8883805</t>
  </si>
  <si>
    <t>34901181</t>
  </si>
  <si>
    <t>Липовецька загальноосвітня школа І-ІІІ ступенів Хустської районної державної адміністрації</t>
  </si>
  <si>
    <t>90416</t>
  </si>
  <si>
    <t>2125385001</t>
  </si>
  <si>
    <t>(096)8288050</t>
  </si>
  <si>
    <t>34901050</t>
  </si>
  <si>
    <t>Липчанська загальноосвітня школа І-ІІІ ступенів Хустської районної державної адміністрації</t>
  </si>
  <si>
    <t>90415</t>
  </si>
  <si>
    <t>2125385201</t>
  </si>
  <si>
    <t>Липча</t>
  </si>
  <si>
    <t>(03142)61116</t>
  </si>
  <si>
    <t>34901134</t>
  </si>
  <si>
    <t>Монастирецький навчально-виховний комплекс "загальноосвітній навчальний заклад І-ІІІ ступенів - дошкільний навчальний заклад"</t>
  </si>
  <si>
    <t>90427</t>
  </si>
  <si>
    <t>2125385601</t>
  </si>
  <si>
    <t>Монастирець</t>
  </si>
  <si>
    <t>11</t>
  </si>
  <si>
    <t>(65)156</t>
  </si>
  <si>
    <t>34440735</t>
  </si>
  <si>
    <t>Поточанський навчально-виховний комплекс І ступеня Хустської районної державної адміністрації</t>
  </si>
  <si>
    <t>2125385604</t>
  </si>
  <si>
    <t>Поточок</t>
  </si>
  <si>
    <t>(068)5315346</t>
  </si>
  <si>
    <t>Нанківська загальноосвітня школа І-ІІІ ступенів Хустської районної державної адміністрації</t>
  </si>
  <si>
    <t>90435</t>
  </si>
  <si>
    <t>2125386001</t>
  </si>
  <si>
    <t>Нанково</t>
  </si>
  <si>
    <t>вул. Миру, 233</t>
  </si>
  <si>
    <t>66417</t>
  </si>
  <si>
    <t>34901129</t>
  </si>
  <si>
    <t>Нижньобистрівська загальноосвітня школа І-ІІІ ступенів ім. В.Вовчка Хустської районної державної адміністрації</t>
  </si>
  <si>
    <t>90420</t>
  </si>
  <si>
    <t>2125386201</t>
  </si>
  <si>
    <t>Нижній Бистрий</t>
  </si>
  <si>
    <t>423</t>
  </si>
  <si>
    <t>(64)418</t>
  </si>
  <si>
    <t>33767473</t>
  </si>
  <si>
    <t>Нижньобистрівська загальноосвітня школа-інтернат І-ІІ ступенів Хустської районної державної адміністрації</t>
  </si>
  <si>
    <t>90421</t>
  </si>
  <si>
    <t>730</t>
  </si>
  <si>
    <t>(03142)65430</t>
  </si>
  <si>
    <t>22102729</t>
  </si>
  <si>
    <t>Широцька загальноосвітня школа І-ІІ ступенів Хустської районної державної адміністрації</t>
  </si>
  <si>
    <t>2125386203</t>
  </si>
  <si>
    <t>276</t>
  </si>
  <si>
    <t>(097)0507951</t>
  </si>
  <si>
    <t>34901176</t>
  </si>
  <si>
    <t>Нижньоселищенська загальноосвітня школа І-ІІІ ступенів Хустської районної державної адміністрації</t>
  </si>
  <si>
    <t>90440</t>
  </si>
  <si>
    <t>2125386601</t>
  </si>
  <si>
    <t>Нижнє Селище</t>
  </si>
  <si>
    <t>(03142)75175</t>
  </si>
  <si>
    <t>34901003</t>
  </si>
  <si>
    <t>Вільшанська загальноосвітня школа І-ІІ ступенів Хустської районної державної адміністрації</t>
  </si>
  <si>
    <t>90424</t>
  </si>
  <si>
    <t>2125386901</t>
  </si>
  <si>
    <t>Вільшани</t>
  </si>
  <si>
    <t>(03142)65519</t>
  </si>
  <si>
    <t>34901066</t>
  </si>
  <si>
    <t>Рокосівська загальноосвітня школа І-ІІІ ступенів Хустської районної державної адміністрації</t>
  </si>
  <si>
    <t>90410</t>
  </si>
  <si>
    <t>2125387101</t>
  </si>
  <si>
    <t>Рокосово</t>
  </si>
  <si>
    <t>(03142)50137</t>
  </si>
  <si>
    <t>34901108</t>
  </si>
  <si>
    <t>Вертепський навчально-виховний комплекс І ступеня</t>
  </si>
  <si>
    <t>2125387103</t>
  </si>
  <si>
    <t>Вертеп</t>
  </si>
  <si>
    <t>(097)2197497</t>
  </si>
  <si>
    <t>26463772</t>
  </si>
  <si>
    <t>Сокирницька загальноосвітня школа І-ІІІ ступенів з поглибленим вивченням французької мови Хустської районної державної адміністрації</t>
  </si>
  <si>
    <t>90450</t>
  </si>
  <si>
    <t>2125387401</t>
  </si>
  <si>
    <t>Сокирниця</t>
  </si>
  <si>
    <t>34901045</t>
  </si>
  <si>
    <t>Стеблівська загальноосвітня школа І-ІІІ ступенів Хустської районної державної адміністрації</t>
  </si>
  <si>
    <t>90451</t>
  </si>
  <si>
    <t>2125387801</t>
  </si>
  <si>
    <t>Стеблівка</t>
  </si>
  <si>
    <t>вул. Салдобошська, 156</t>
  </si>
  <si>
    <t>(03142)69134</t>
  </si>
  <si>
    <t>34901113</t>
  </si>
  <si>
    <t>Загальноосвітня санаторна школа-інтернат І-ІІІ ступенів комунального вищого навчального закладу "Хортицька національна навчально-реабілітаційна академія" Запорізької обласної ради</t>
  </si>
  <si>
    <t>69017</t>
  </si>
  <si>
    <t>2310100000</t>
  </si>
  <si>
    <t>Запорізька область</t>
  </si>
  <si>
    <t>вул. Наукове містечко, 59</t>
  </si>
  <si>
    <t>(061)2865304</t>
  </si>
  <si>
    <t>http://www.khnnra.zp.ua</t>
  </si>
  <si>
    <t>Запорізька гімназія № 50 Запорізької міської ради Запорізької області</t>
  </si>
  <si>
    <t>69006</t>
  </si>
  <si>
    <t>вул. Богдана Хмельницького, 22</t>
  </si>
  <si>
    <t>(061)236-73-27</t>
  </si>
  <si>
    <t>http://gymnasium50.zp.sch.in.ua/</t>
  </si>
  <si>
    <t>англійська,французька,іспанська</t>
  </si>
  <si>
    <t>Запорізька гімназія № 8 Запорізької міської ради Запорізької області</t>
  </si>
  <si>
    <t>69104</t>
  </si>
  <si>
    <t>вул. Європейська, 14А</t>
  </si>
  <si>
    <t>(061)769-80-26</t>
  </si>
  <si>
    <t>http://school8.zp.ua</t>
  </si>
  <si>
    <t>Запорізька гімназія № 93 Запорізької міської ради Запорізької області</t>
  </si>
  <si>
    <t>69098</t>
  </si>
  <si>
    <t>вул. Полякова, 9</t>
  </si>
  <si>
    <t>(0612)67-44-15</t>
  </si>
  <si>
    <t>http://g93.osvita.zp.ua</t>
  </si>
  <si>
    <t>Запорізька гімназія № 46 Запорізької міської ради Запорізької області</t>
  </si>
  <si>
    <t>69009</t>
  </si>
  <si>
    <t>вул. Павлокічкаська, 29</t>
  </si>
  <si>
    <t>(061)7082350</t>
  </si>
  <si>
    <t>http://gimnazy46.wix.com/school</t>
  </si>
  <si>
    <t>Запорізька гімназія № 47 Запорізької міської ради Запорізької області</t>
  </si>
  <si>
    <t>69106</t>
  </si>
  <si>
    <t>вул. Павлокічкаська, 9</t>
  </si>
  <si>
    <t>(061)2365606, (061)2365627, (061)2365617</t>
  </si>
  <si>
    <t>http://zp47.blogspot.com/</t>
  </si>
  <si>
    <t>Запорізька загальноосвітня вечірня школа № 31 II-III ступенів Запорізької міської ради Запорізької області</t>
  </si>
  <si>
    <t>вул. Північне шосе, 37</t>
  </si>
  <si>
    <t>(061)2364652</t>
  </si>
  <si>
    <t>Запорізька загальноосвітня санаторна школа-інтернат № 7 І-ІІ ступенів Запорізької обласної ради</t>
  </si>
  <si>
    <t>96096</t>
  </si>
  <si>
    <t>вул. Ленська, 1А</t>
  </si>
  <si>
    <t>(061)286-97-58</t>
  </si>
  <si>
    <t>http://internat7zp.at.ua</t>
  </si>
  <si>
    <t>20509042</t>
  </si>
  <si>
    <t>Запорізька загальноосвітня школа I-III ступенів № 88 Запорізької міської ради Запорізької області</t>
  </si>
  <si>
    <t>69083</t>
  </si>
  <si>
    <t>вул. Музична, 2</t>
  </si>
  <si>
    <t>(061)769-80-53</t>
  </si>
  <si>
    <t>http://zschool88.wix.com/zp88</t>
  </si>
  <si>
    <t>Запорізька загальноосвітня школа І-ІІІ ступенів № 12 Запорізької міської ради Запорізької області</t>
  </si>
  <si>
    <t>69068</t>
  </si>
  <si>
    <t>просп. Моторобудівників, 60</t>
  </si>
  <si>
    <t>0612650114</t>
  </si>
  <si>
    <t>http://zpschool12.narod.ru</t>
  </si>
  <si>
    <t>Запорізька загальноосвітня школа І-ІІІ ступенів № 81 Запорізької міської ради Запорізької області</t>
  </si>
  <si>
    <t>69089</t>
  </si>
  <si>
    <t>вул. Істоміна, 18</t>
  </si>
  <si>
    <t>(061)223-62-88, (061)223-62-87</t>
  </si>
  <si>
    <t>http://znz81.zp.ua/index.php</t>
  </si>
  <si>
    <t>Запорізька загальноосвітня школа І-ІІІ ступенів № 86 Запорізької міської ради Запорізької області</t>
  </si>
  <si>
    <t>69093</t>
  </si>
  <si>
    <t>вул. Дегтярьова, 5Б</t>
  </si>
  <si>
    <t>061-224-78-47, 061-224-78-24, 061-223-62-60</t>
  </si>
  <si>
    <t>http://school86.at.ua</t>
  </si>
  <si>
    <t>Запорізька загальноосвітня школа І-ІІІ ступенів № 14 Запорізької міської ради Запорізької області</t>
  </si>
  <si>
    <t>69040</t>
  </si>
  <si>
    <t>вул. Святоволодимирівська, 90</t>
  </si>
  <si>
    <t>(061)769-80-28</t>
  </si>
  <si>
    <t>http://zosch14.jimdo.com</t>
  </si>
  <si>
    <t>Запорізька загальноосвітня школа І-ІІІ ступенів № 24 Запорізької міської ради Запорізької області</t>
  </si>
  <si>
    <t>69097</t>
  </si>
  <si>
    <t>вул. Василя Сергієнка, 12А</t>
  </si>
  <si>
    <t>(061)2869131</t>
  </si>
  <si>
    <t>Запорізька загальноосвітня школа І-ІІІ ступенів № 52 Запорізької міської ради Запорізької області</t>
  </si>
  <si>
    <t>69007</t>
  </si>
  <si>
    <t>вул. Шевченка, 241В</t>
  </si>
  <si>
    <t>(0612)653048, (0612)650363</t>
  </si>
  <si>
    <t>http://shkola52zp.jimdo.com/</t>
  </si>
  <si>
    <t>Запорізька загальноосвітня школа І-ІІІ ступенів № 61 Запорізької міської ради Запорізької області</t>
  </si>
  <si>
    <t>69069</t>
  </si>
  <si>
    <t>вул. Братська, 15</t>
  </si>
  <si>
    <t>(061)224-77-08</t>
  </si>
  <si>
    <t>http://zpschool61.16mb.com/</t>
  </si>
  <si>
    <t>Запорізька загальноосвітня школа І-ІІІ ступенів № 84 Запорізької міської ради Запорізької області</t>
  </si>
  <si>
    <t>вул. Північнокільцева, 16А</t>
  </si>
  <si>
    <t>(061)7698034, (061)7698036</t>
  </si>
  <si>
    <t>http://school84.zp.ua</t>
  </si>
  <si>
    <t>Запорізька приватна класична гімназія "Інтелект" Запорізької області</t>
  </si>
  <si>
    <t>69005</t>
  </si>
  <si>
    <t>б-р Центральний, 15А</t>
  </si>
  <si>
    <t>(061)279-66-92</t>
  </si>
  <si>
    <t>Запорізький колегіум "Мала гуманітарна академія" Запорізької міської ради Запорізької області</t>
  </si>
  <si>
    <t>69114</t>
  </si>
  <si>
    <t>вул. Героїв 93-ї бригади, 13</t>
  </si>
  <si>
    <t>(061)224-93-02</t>
  </si>
  <si>
    <t>http://mga.in.ua</t>
  </si>
  <si>
    <t>20522373</t>
  </si>
  <si>
    <t>Запорізький навчально - виховний комплекс № 64 Запорізької міської ради Запорізької області</t>
  </si>
  <si>
    <t>69060</t>
  </si>
  <si>
    <t>вул. Молочна, 36</t>
  </si>
  <si>
    <t>(061)7879829</t>
  </si>
  <si>
    <t>http://school64.ucoz.ua/</t>
  </si>
  <si>
    <t>Запорізький навчально-виховний комплекс № 109 Запорізької міської ради Запорізької області</t>
  </si>
  <si>
    <t>69121</t>
  </si>
  <si>
    <t>вул. Дніпровські пороги, 29</t>
  </si>
  <si>
    <t>(061) 283-62-52</t>
  </si>
  <si>
    <t>http://znvk109.in.ua/</t>
  </si>
  <si>
    <t>Запорізький навчально-виховний комплекс № 42 Запорізької міської ради Запорізької області</t>
  </si>
  <si>
    <t>вул. Шевченка, 277А</t>
  </si>
  <si>
    <t>(0612)65-32-48</t>
  </si>
  <si>
    <t>http://znvk42.jimdo.com</t>
  </si>
  <si>
    <t>Запорізький навчально-виховний комплекс № 60 Запорізької міської ради Запорізької області</t>
  </si>
  <si>
    <t>вул. Героїв 55 Бригади, 27</t>
  </si>
  <si>
    <t>(0612)650134</t>
  </si>
  <si>
    <t>Комунальний заклад "Запорізька спеціальна загальноосвітня школа-інтернат "Світанок" Запорізької обласної ради</t>
  </si>
  <si>
    <t>вул. Перспективна, 8</t>
  </si>
  <si>
    <t>(061)236-59-31, (061)236-59-32, (061)283-48-66, (061)283-48-6</t>
  </si>
  <si>
    <t>http://int-Svitanok.zp.ua</t>
  </si>
  <si>
    <t>20520836</t>
  </si>
  <si>
    <t>Комунальний заклад "Запорізька спеціальна загальноосвітня школа-інтернат № 1" Запорізької обласної ради</t>
  </si>
  <si>
    <t>69096</t>
  </si>
  <si>
    <t>вул. Котельникова, 16</t>
  </si>
  <si>
    <t>(061)286-96-15</t>
  </si>
  <si>
    <t>http://zp-inter1.klasna.com</t>
  </si>
  <si>
    <t>20511659</t>
  </si>
  <si>
    <t>Комунальний заклад "Запорізький обласний ліцей-інтернат з посиленою військово-фізичною підготовкою "Захисник" Запорізької обласної ради</t>
  </si>
  <si>
    <t>69013</t>
  </si>
  <si>
    <t>вул. Військбуд, 570</t>
  </si>
  <si>
    <t>(061) 227-00-57, (061) 226-20-04, (061) 226-23-53</t>
  </si>
  <si>
    <t>25821241</t>
  </si>
  <si>
    <t>Товариство з обмеженою відповідальністю "Навчально-виховний комплекс "Ліцей економіки та інформаційних технологій"</t>
  </si>
  <si>
    <t>69041</t>
  </si>
  <si>
    <t>вул. Кияшка, 16 б</t>
  </si>
  <si>
    <t>(061)2399008</t>
  </si>
  <si>
    <t>Запорізька вечірня школа ІІ-ІІІ ступенів № 12 Запорізької міської ради Запорізької області</t>
  </si>
  <si>
    <t>69095</t>
  </si>
  <si>
    <t>2310136300</t>
  </si>
  <si>
    <t>Запоріжжя, Олександрівський район</t>
  </si>
  <si>
    <t>просп. Соборний, 154 Г</t>
  </si>
  <si>
    <t>(0612)622082</t>
  </si>
  <si>
    <t>http://zvh121.wix.com/zvh12</t>
  </si>
  <si>
    <t>Запорізька гімназія № 11 Запорізької міської ради Запорізької області</t>
  </si>
  <si>
    <t>69063</t>
  </si>
  <si>
    <t>вул. Поштова, 4</t>
  </si>
  <si>
    <t>http://www.gymnasium11.zp.ua/</t>
  </si>
  <si>
    <t>Запорізька гімназія № 2 ім.Лесі Українки Запорізької міської ради Запорізької області</t>
  </si>
  <si>
    <t>69002</t>
  </si>
  <si>
    <t>(061)632842</t>
  </si>
  <si>
    <t>http://zg2-zp.e-schools.info</t>
  </si>
  <si>
    <t>Запорізька загальноосвітня школа І-ІІІ ступенів № 15 Запорізької міської ради Запорізької області</t>
  </si>
  <si>
    <t>вул. Фортечна, 68</t>
  </si>
  <si>
    <t>(061)7641312, (061)7645555, (0612)637844, (061)7202203</t>
  </si>
  <si>
    <t>https://sites.google.com/site/school15zp/</t>
  </si>
  <si>
    <t>Запорізька загальноосвітня школа І-ІІІ ступенів № 3 Запорізької міської ради, Запорізької області</t>
  </si>
  <si>
    <t>(061)2638553, (061)2638615</t>
  </si>
  <si>
    <t>http://school3zp.klasna.in.ua/uk/site/index.html</t>
  </si>
  <si>
    <t>Запорізька загальноосвітня школа І-ІІІ ступенів № 5 Запорізької міської ради Запорізької області</t>
  </si>
  <si>
    <t>вул. Тургенєва, 33</t>
  </si>
  <si>
    <t>(061)764-28-47</t>
  </si>
  <si>
    <t>http://school5.edukit.zp.ua</t>
  </si>
  <si>
    <t>Запорізька загальноосвітня школа І-ІІІ ступенів № 76 Запорізької міської ради Запорізької області</t>
  </si>
  <si>
    <t>просп. Соборний, 154Г</t>
  </si>
  <si>
    <t>0612-63-77-50</t>
  </si>
  <si>
    <t>http://znz76.pp.ua</t>
  </si>
  <si>
    <t>Запорізька загальноосвітня школа І-ІІІ ступенів № 1 імені Т.Г.Шевченка Запорізької міської ради Запорізької області</t>
  </si>
  <si>
    <t>061262-40-62, 061262-40-61</t>
  </si>
  <si>
    <t>http://school1.edukit.zp.ua/</t>
  </si>
  <si>
    <t>Запорізький Академічний ліцей Запорізької міської ради Запорізької області</t>
  </si>
  <si>
    <t>вул. Гоголя, 155</t>
  </si>
  <si>
    <t>0612623461</t>
  </si>
  <si>
    <t>http://academlyceum.org.ua</t>
  </si>
  <si>
    <t>Запорізький колегіум № 98 Запорізької міської ради Запорізької області</t>
  </si>
  <si>
    <t>вул. Запорізька, 1А</t>
  </si>
  <si>
    <t>(0612)636163</t>
  </si>
  <si>
    <t>http://98.zp.ua</t>
  </si>
  <si>
    <t>Запорізький ліцей № 105 Запорізької міської ради Запорізької області</t>
  </si>
  <si>
    <t>вул. Запорізька, 13А</t>
  </si>
  <si>
    <t>(061)2891337</t>
  </si>
  <si>
    <t>http://lyceum105.ucoz.ua</t>
  </si>
  <si>
    <t>Запорізький приватний навчально-виховний комплекс І-ІІІ ступенів "РЕАЛ" Запорізької області</t>
  </si>
  <si>
    <t>(061)7876267</t>
  </si>
  <si>
    <t>http://real-school.zp.ua</t>
  </si>
  <si>
    <t>Запорізький технічний ліцей Запорізької міської ради Запорізької області</t>
  </si>
  <si>
    <t>вул. Залізнична/Інститутська, 11/2</t>
  </si>
  <si>
    <t>(0612)65-21-16, (061)720-33-35, (061)720-22-23</t>
  </si>
  <si>
    <t>http://www.ztl.zp.ua</t>
  </si>
  <si>
    <t>Загальноосвітня школа І-ІІ ст. № 85 Запорізької міської ради Запорізької області</t>
  </si>
  <si>
    <t>69021</t>
  </si>
  <si>
    <t>2310136600</t>
  </si>
  <si>
    <t>Запоріжжя, Заводський район</t>
  </si>
  <si>
    <t>пров. Економічний, 5</t>
  </si>
  <si>
    <t>(061)212-67-76, (061)214-90-25</t>
  </si>
  <si>
    <t>Запорізька загальноосвітня школа І - ІІІ ступенів № 36 Запорізької міської ради Запорізької області</t>
  </si>
  <si>
    <t>69034</t>
  </si>
  <si>
    <t>вул. Билкіна, 12</t>
  </si>
  <si>
    <t>(061)7697249</t>
  </si>
  <si>
    <t>http://scool-36.narod.ru</t>
  </si>
  <si>
    <t>Запорізька загальноосвітня школа І-ІІ ступенів № 21 Запорізької міської ради Запорізької області</t>
  </si>
  <si>
    <t>вул. Машинна, 117</t>
  </si>
  <si>
    <t>(061)213-02-90</t>
  </si>
  <si>
    <t>Запорізький навчально-виховний комплекс № 13 Запорізької міської ради Запорізької області</t>
  </si>
  <si>
    <t>вул. Селищна, 50</t>
  </si>
  <si>
    <t>(061)2897500</t>
  </si>
  <si>
    <t>Запорізька загальноосвітня школа І-ІІІ ступенів № 33 Запорізької міської ради Запорізької області</t>
  </si>
  <si>
    <t>69067</t>
  </si>
  <si>
    <t>вул. Ніжинська, 40</t>
  </si>
  <si>
    <t>(061) 236-56-08</t>
  </si>
  <si>
    <t>http://33school.zp.ua/</t>
  </si>
  <si>
    <t>Запорізька загальноосвітня школа І-ІІІ ступенів № 54 Запорізької міської ради Запорізької області</t>
  </si>
  <si>
    <t>вул. Соснова, 24</t>
  </si>
  <si>
    <t>(061)2365615, (061)2229232</t>
  </si>
  <si>
    <t>http://school54.in.ua</t>
  </si>
  <si>
    <t>Запорізька загальноосвітня школа І-ІІІ ступенів № 75 Запорізької міської ради Запорізької області</t>
  </si>
  <si>
    <t>вул. Історична, 92</t>
  </si>
  <si>
    <t>(061)2365610, (061)2365632</t>
  </si>
  <si>
    <t>http://zpschool75.at.ua</t>
  </si>
  <si>
    <t>Запорізький навчально-виховний комплекс "Барвінок" Запорізької міської ради Запорізької області</t>
  </si>
  <si>
    <t>вул. Історична, 67А</t>
  </si>
  <si>
    <t>(061) 2365620, (061)2120256</t>
  </si>
  <si>
    <t>http://nvkbarvinok.at.ua</t>
  </si>
  <si>
    <t>Запорізький навчально-виховний комплекс № 67 Запорізької міської ради Запорізької області</t>
  </si>
  <si>
    <t>вул. Радіаторна, 26</t>
  </si>
  <si>
    <t>(061)2898098, (061)2365618</t>
  </si>
  <si>
    <t>http://www.znvk67.zp.ua</t>
  </si>
  <si>
    <t>Комунальний заклад "Запорізка спеціальна загальноосвітня школа- інтернат "Оберіг" Запорізької обласної ради</t>
  </si>
  <si>
    <t>вул. Олександра Невського, 87А</t>
  </si>
  <si>
    <t>(061)35-02-63</t>
  </si>
  <si>
    <t>20520842</t>
  </si>
  <si>
    <t>Запорізька гімназія № 107 Запорізької міської ради Запорізької області</t>
  </si>
  <si>
    <t>69118</t>
  </si>
  <si>
    <t>2310136700</t>
  </si>
  <si>
    <t>Запоріжжя, Комунарський район</t>
  </si>
  <si>
    <t>просп. 40-річчя Перемоги, 59</t>
  </si>
  <si>
    <t>(061)2799368, (061)2793620</t>
  </si>
  <si>
    <t>http://planeta107.zp.ua</t>
  </si>
  <si>
    <t>20507913</t>
  </si>
  <si>
    <t>Запорізька гімназія № 6 Запорізької міської ради Запорізької області</t>
  </si>
  <si>
    <t>вул. Олімпійська, 2</t>
  </si>
  <si>
    <t>(061)7698033</t>
  </si>
  <si>
    <t>http://www.gymnasium6.zp.ua/</t>
  </si>
  <si>
    <t>Запорізька загальноосвітня школа I-III ступенів № 23 Запорізької міської ради Запорізької області</t>
  </si>
  <si>
    <t>69059</t>
  </si>
  <si>
    <t>вул. Парамонова, 6А</t>
  </si>
  <si>
    <t>(061)769-80-27</t>
  </si>
  <si>
    <t>http://znvk23.zp.ua</t>
  </si>
  <si>
    <t>Запорізька загальноосвітня школа I-III ступенів № 83 Запорізької міської ради Запорізької області</t>
  </si>
  <si>
    <t>69027</t>
  </si>
  <si>
    <t>вул. Барикадна, 2</t>
  </si>
  <si>
    <t>(0612)764-47-24</t>
  </si>
  <si>
    <t>Запорізька загальноосвітня школа І - ІІІ ступенів № 17 Запорізької міської ради Запорізької області</t>
  </si>
  <si>
    <t>вул. Освітянська, 20</t>
  </si>
  <si>
    <t>(061)7698046</t>
  </si>
  <si>
    <t>http://school17.zp.ua</t>
  </si>
  <si>
    <t>Запорізька загальноосвітня школа І-ІІІ ступенів № 80 Запорізької міської ради Запорізької області</t>
  </si>
  <si>
    <t>вул. Магара, 5 а</t>
  </si>
  <si>
    <t>(061)7698025, (061)7698018</t>
  </si>
  <si>
    <t>http://school80.at.ua</t>
  </si>
  <si>
    <t>Запорізька загальноосвітня школа І-ІІІ ступенів № 103 Запорізької міської ради Запорізької області</t>
  </si>
  <si>
    <t>вул. Новокузнецька, 18А</t>
  </si>
  <si>
    <t>(061)2799592</t>
  </si>
  <si>
    <t>http://gradum103.zp.ua/</t>
  </si>
  <si>
    <t>Запорізька загальноосвітня школа І-ІІІ ступенів № 38 Запорізької міської ради Запорізької області</t>
  </si>
  <si>
    <t>вул. Парамонова, 7А</t>
  </si>
  <si>
    <t>(061)7698019</t>
  </si>
  <si>
    <t>http://school38.zp.ua</t>
  </si>
  <si>
    <t>Запорізький навчально-виховний комплекс № 90 Запорізької міської ради Запорізької області</t>
  </si>
  <si>
    <t>вул. Чумаченка, 13Б</t>
  </si>
  <si>
    <t>(061)7698039</t>
  </si>
  <si>
    <t>http://school90zp.esy.es</t>
  </si>
  <si>
    <t>Запорізька загальноосвітня школа І-Ш ступенів № 97 Запорізької міської ради Запорізької області</t>
  </si>
  <si>
    <t>просп. 40-річчя Перемоги, 27</t>
  </si>
  <si>
    <t>(0612)798255, (0612)186973</t>
  </si>
  <si>
    <t>http://school97.zp.ua/</t>
  </si>
  <si>
    <t>Запорізька спеціалізована школа з поглибленим вивченням іноземної мови № 7 Запорізької міської ради Запорізької області</t>
  </si>
  <si>
    <t>вул. Північнокільцева, 21</t>
  </si>
  <si>
    <t>(061)7698037</t>
  </si>
  <si>
    <t>http://school7.zp.ua</t>
  </si>
  <si>
    <t>Запорізький навчально-виховний комплекс № 70 Запорізької міської ради Запорізької області</t>
  </si>
  <si>
    <t>вул. Снайперська, 1</t>
  </si>
  <si>
    <t>(061)7698050, (061)7698042</t>
  </si>
  <si>
    <t>http://zp-school70.at.ua</t>
  </si>
  <si>
    <t>Запорізький навчально-виховний оздоровчий комплекс № 110 Запорізької міської ради Запорізької області</t>
  </si>
  <si>
    <t>вул. Стешенка, 19</t>
  </si>
  <si>
    <t>(061)289-78-15</t>
  </si>
  <si>
    <t>http://school110.zp.ua/</t>
  </si>
  <si>
    <t>Запорізька гімназія № 31 Запорізької міської ради Запорізької області</t>
  </si>
  <si>
    <t>2310136900</t>
  </si>
  <si>
    <t>Запоріжжя, Дніпровський район</t>
  </si>
  <si>
    <t>вул. Добролюбова, 4</t>
  </si>
  <si>
    <t>(061) 283-09-41</t>
  </si>
  <si>
    <t>http://gymnasium31.zp.sch.in.ua/</t>
  </si>
  <si>
    <t>Запорізька загальноосвітня школа І - ІІІ ступенів № 22 Запорізької міської ради Запорізької області</t>
  </si>
  <si>
    <t>вул. Трегубова, 18</t>
  </si>
  <si>
    <t>(061)224-77-60, (061)224-77-49</t>
  </si>
  <si>
    <t>http://school22.zp.sch.in.ua/</t>
  </si>
  <si>
    <t>Запорізька загальноосвітня школа І-ІІІ ступенів № 104 Запорізької міської ради Запорізької області</t>
  </si>
  <si>
    <t>вул. Кремлівська, 65В</t>
  </si>
  <si>
    <t>(061)239-17-58, (061)239-17-59, (061)239-17-60</t>
  </si>
  <si>
    <t>http://znz104.at.ua/</t>
  </si>
  <si>
    <t>Запорізька загальноосвітня школа І-ІІІ ступенів № 30 Запорізької міської ради Запорізької області</t>
  </si>
  <si>
    <t>вул. Парковий бульвар, 4</t>
  </si>
  <si>
    <t>(061)2368771</t>
  </si>
  <si>
    <t>http://zosh30.at.ua</t>
  </si>
  <si>
    <t>Запорізька загальноосвітня школа І-ІІІ ступенів № 69 Запорізької міської ради Запорізької області</t>
  </si>
  <si>
    <t>вул. Ладозька, 2</t>
  </si>
  <si>
    <t>(061)7013967</t>
  </si>
  <si>
    <t>http://school69.zp.sch.in.ua</t>
  </si>
  <si>
    <t>Запорізька загальноосвітня школа І-ІІІ ступенів № 87 Запорізької міської ради Запорізької області</t>
  </si>
  <si>
    <t>вул. Хакаська, 3Б</t>
  </si>
  <si>
    <t>061-223-63-21, 061-222-66-78</t>
  </si>
  <si>
    <t>http://school87.org.ua</t>
  </si>
  <si>
    <t>Запорізька загальноосвітня школа І-ІІІ ступенів № 89 Запорізької міської ради Запорізької області</t>
  </si>
  <si>
    <t>69065</t>
  </si>
  <si>
    <t>вул. Михайлова, 15</t>
  </si>
  <si>
    <t>(061)224-77-10</t>
  </si>
  <si>
    <t>http://school89zp.at.ua/</t>
  </si>
  <si>
    <t>російська,англійська,німецька,китайська</t>
  </si>
  <si>
    <t>Запорізька загальноосвітня школа І-ІІІ ступенів № 29 Запорізької міської ради Запорізької області</t>
  </si>
  <si>
    <t>вул. Академіка Александрова, 7</t>
  </si>
  <si>
    <t>(061)2236729</t>
  </si>
  <si>
    <t>http://zzs29.at.ua</t>
  </si>
  <si>
    <t>Запорізька загальноосвітня школа І-ІІІ ступенів № 66 Запорізької міської ради Запорізької області</t>
  </si>
  <si>
    <t>69032</t>
  </si>
  <si>
    <t>вул. Рекордна, 1</t>
  </si>
  <si>
    <t>(061)236-97-34</t>
  </si>
  <si>
    <t>http://www.school66.zp.org</t>
  </si>
  <si>
    <t>Запорізька загальноосвітня школа І-ІІІ ступенів № 73 Запорізької міської ради Запорізької області</t>
  </si>
  <si>
    <t>вул. Дудикіна, 16</t>
  </si>
  <si>
    <t>(061)2247762</t>
  </si>
  <si>
    <t>http://school73.zp.sch.in.ua</t>
  </si>
  <si>
    <t>Запорізька спеціалізована школа I-III ступенів № 100 Запорізької міської ради Запорізької області</t>
  </si>
  <si>
    <t>вул. Ладозька, 2А</t>
  </si>
  <si>
    <t>http://schkola100-zaporozhye.jimdo.com/</t>
  </si>
  <si>
    <t>Запорізька спеціалізована школа І-ІІІ ступенів № 59 з поглибленим вивченням англійської мови Запорізької міської ради Запорізької області</t>
  </si>
  <si>
    <t>вул. Сергія Синенка, 10</t>
  </si>
  <si>
    <t>612247723</t>
  </si>
  <si>
    <t>http://school59.zp.sch.in.ua</t>
  </si>
  <si>
    <t>Запорізький багатопрофільний ліцей № 62 Запорізької міської ради Запорізької області</t>
  </si>
  <si>
    <t>вул. Незалежної України, 9</t>
  </si>
  <si>
    <t>(061)2368970</t>
  </si>
  <si>
    <t>http://lyceum62.zp.sch.in.ua/</t>
  </si>
  <si>
    <t>Запорізький колегіум "Елінт" Запорізької міської ради Запорізької області</t>
  </si>
  <si>
    <t>вул. Професора Толока, 29</t>
  </si>
  <si>
    <t>(612)707-50-13</t>
  </si>
  <si>
    <t>http://elint.com.ua</t>
  </si>
  <si>
    <t>Запорізький навчально-виховний комплекс "Еврика" Запорізької міської ради Запорізької області</t>
  </si>
  <si>
    <t>вул. Дудикіна, 20А</t>
  </si>
  <si>
    <t>(061)2248405, (061)2247754, (061)2247779</t>
  </si>
  <si>
    <t>Запорізький навчально-виховний комплекс ІІ-ІІІ ступенів № 82 з виробничим навчанням Запорізької міської ради Запорізької області</t>
  </si>
  <si>
    <t>вул. Істоміна, 16</t>
  </si>
  <si>
    <t>(061)283-96-89</t>
  </si>
  <si>
    <t>Комунальний заклад "Запорізька спеціалізована школа-інтернат ІІ-ІІІ ступенів "Козацький ліцей" Запорізької обласної ради</t>
  </si>
  <si>
    <t>вул. Щаслива, 2</t>
  </si>
  <si>
    <t>(0612)52-62-83</t>
  </si>
  <si>
    <t>http://inter4.zp.ua/</t>
  </si>
  <si>
    <t>20508841</t>
  </si>
  <si>
    <t>Спеціалізована школа "Хабад Любавич" з поглибленим вивченням івриту та англійської мови</t>
  </si>
  <si>
    <t>вул. Бородінська, 9А</t>
  </si>
  <si>
    <t>(061)2397101, (061)2397102</t>
  </si>
  <si>
    <t>http://khabad.inf.ua/</t>
  </si>
  <si>
    <t>Комунальний заклад "Запорізька спеціалізована загальноосвітня школа-інтернат спортивного профілю" Запорізької обласної ради</t>
  </si>
  <si>
    <t>69001</t>
  </si>
  <si>
    <t>2310137200</t>
  </si>
  <si>
    <t>Запоріжжя, Вознесенівський район</t>
  </si>
  <si>
    <t>вул. Патріотична, 7</t>
  </si>
  <si>
    <t>(0612)326650</t>
  </si>
  <si>
    <t>http://www.zapisp.com</t>
  </si>
  <si>
    <t>26530675</t>
  </si>
  <si>
    <t>Запорізька гімназія "Контакт" Запорізької міської ради Запорізької області</t>
  </si>
  <si>
    <t>69035</t>
  </si>
  <si>
    <t>вул. Сєдова, 1В</t>
  </si>
  <si>
    <t>0612330537</t>
  </si>
  <si>
    <t>http://www.znvk-kontakt.zp.ua</t>
  </si>
  <si>
    <t>Запорізька гімназія № 25 гуманітарного профілю Запорізької міської ради Запорізької області</t>
  </si>
  <si>
    <t>вул. Патріотична, 76</t>
  </si>
  <si>
    <t>(061)2209643, (061)7019027</t>
  </si>
  <si>
    <t>http://gymnasium25.zp.ua/</t>
  </si>
  <si>
    <t>Запорізька гімназія № 28 Запорізької міської ради Запорізької області</t>
  </si>
  <si>
    <t>вул. Лермонтова, 16</t>
  </si>
  <si>
    <t>(061)233-51-25, (061)233-25-53</t>
  </si>
  <si>
    <t>http://www.s28.zp.ua</t>
  </si>
  <si>
    <t>Запорізька гімназія № 71 з поглибленим вивченням іноземної мови Запорізької міської ради Запорізької області</t>
  </si>
  <si>
    <t>вул. Маяковського, 8</t>
  </si>
  <si>
    <t>(061)233-71-32, (061)233-87-11</t>
  </si>
  <si>
    <t>http://school-71.zp.ua</t>
  </si>
  <si>
    <t>Запорізька єврейська гімназія "ОРТ-Алєф" Запорізької міської ради Запорізької області</t>
  </si>
  <si>
    <t>просп. Маяковського, 14</t>
  </si>
  <si>
    <t>(061)2398533</t>
  </si>
  <si>
    <t>http://zportalef.at.ua/</t>
  </si>
  <si>
    <t>Запорізька загальноосвітня школа І-ІІІ ступенів "ОСНОВА" Запорізької міської ради Запорізької області</t>
  </si>
  <si>
    <t>вул. Якова Новицького, 9</t>
  </si>
  <si>
    <t>(061)2331477, (0612)340104</t>
  </si>
  <si>
    <t>https://sites.google.com/site/znvkosnova/</t>
  </si>
  <si>
    <t>Запорізька загальноосвітня школа І-ІІІ ступенів № 20 екологічного профілю Запорізької міської ради Запорізької області</t>
  </si>
  <si>
    <t>69091</t>
  </si>
  <si>
    <t>б-р Шевченка,, 49</t>
  </si>
  <si>
    <t>(0612)326360, (0612)326226, (0612)325929</t>
  </si>
  <si>
    <t>http://znvk20.klasna.com</t>
  </si>
  <si>
    <t>Запорізький навчально-виховний комплекс № 41 Запорізької міської ради Запорізької області</t>
  </si>
  <si>
    <t>69037</t>
  </si>
  <si>
    <t>вул. Миру, 6</t>
  </si>
  <si>
    <t>0612321435, 0612243390</t>
  </si>
  <si>
    <t>Запорізька загальноосвітня школа І-ІІІ ступенів № 58 Запорізької міської ради Запорізької області</t>
  </si>
  <si>
    <t>вул. Поточна, 7</t>
  </si>
  <si>
    <t>(0612)326581</t>
  </si>
  <si>
    <t>http://school58.zp.sch.in.ua</t>
  </si>
  <si>
    <t>Запорізька загальноосвітня школа І-ІІІ ступенів № 78 Запорізької міської ради Запорізької області</t>
  </si>
  <si>
    <t>б-р Центральний, 12А</t>
  </si>
  <si>
    <t>(061)2333197</t>
  </si>
  <si>
    <t>http://www.School-78zp.ho.ua</t>
  </si>
  <si>
    <t>Запорізька загальноосвітня школа І-ІІІ ступенів № 94 Запорізької міської ради Запорізької області</t>
  </si>
  <si>
    <t>69057</t>
  </si>
  <si>
    <t>вул. Яценка, 3А</t>
  </si>
  <si>
    <t>(061)279-75-21</t>
  </si>
  <si>
    <t>Запорізька загальноосвітня школа І-ІІІ ступенів № 37 Запорізької міської ради Запорізької області</t>
  </si>
  <si>
    <t>вул. Кронштадтська, 17</t>
  </si>
  <si>
    <t>(0612)326002</t>
  </si>
  <si>
    <t>http://zp37.at.ua</t>
  </si>
  <si>
    <t>Запорізька загальноосвітня школа І-ІІІ ступенів № 39 Запорізької міської ради Запорізької області</t>
  </si>
  <si>
    <t>вул. О.Матросова, 16</t>
  </si>
  <si>
    <t>(061)2336114</t>
  </si>
  <si>
    <t>http://site-school-39.umi.ru</t>
  </si>
  <si>
    <t>Запорізька спеціалізована школа І-ІІІ ступенів № 72 з поглибленим вивченням хімії та біології Запорізької міської ради Запорізької області</t>
  </si>
  <si>
    <t>69000</t>
  </si>
  <si>
    <t>вул. Лермонтова, 21</t>
  </si>
  <si>
    <t>((061))2334110, ((061))2334409</t>
  </si>
  <si>
    <t>http://72s.pp.ua/</t>
  </si>
  <si>
    <t>Запорізька суспільно-гуманітарна гімназія № 27 Запорізької міської ради Запорізької області</t>
  </si>
  <si>
    <t>(061)279-66-92, (061)279-54-33</t>
  </si>
  <si>
    <t>http://gimnaziya27.at.ua</t>
  </si>
  <si>
    <t>Запорізький класичний ліцей запорізької міської ради запорізької області</t>
  </si>
  <si>
    <t>вул. Жаботинського, 23</t>
  </si>
  <si>
    <t>2331144</t>
  </si>
  <si>
    <t>Запорізький ліцей "Логос" Запорізької міської ради Запорізької області</t>
  </si>
  <si>
    <t>вул. Рекордна, 29А</t>
  </si>
  <si>
    <t>(061)2398162</t>
  </si>
  <si>
    <t>http://www.zllogos.zp.ua</t>
  </si>
  <si>
    <t>Запорізький навчально-виховний комплекс "Запорізька Січ" військово-спортивного профілю Запорізької міської ради Запорізької області</t>
  </si>
  <si>
    <t>вул. Січі, 3</t>
  </si>
  <si>
    <t>(061)2865394</t>
  </si>
  <si>
    <t>http://www.zaporizka-sich.at.ua</t>
  </si>
  <si>
    <t>Комунальний заклад "Запорізька спеціальна загальноосвітня школа-інтернат "Орієнтир" Запорізької обласної ради</t>
  </si>
  <si>
    <t>вул. Кронштадська, 17</t>
  </si>
  <si>
    <t>(061)2240535, (061)2240534, (061)2240533</t>
  </si>
  <si>
    <t>http://int5.ucoz.ua</t>
  </si>
  <si>
    <t>20518733</t>
  </si>
  <si>
    <t>Приватний комплекс безперервної освіти "Школа "ЕйдоС"</t>
  </si>
  <si>
    <t>вул. Нижньодніпровська, 4А</t>
  </si>
  <si>
    <t>(061)2209004</t>
  </si>
  <si>
    <t>http://www.eidos.zp.ua/</t>
  </si>
  <si>
    <t>Запорізька гімназія № 45 Запорізької міської ради Запорізької області</t>
  </si>
  <si>
    <t>69076</t>
  </si>
  <si>
    <t>2310137300</t>
  </si>
  <si>
    <t>Запоріжжя, Хортицький район</t>
  </si>
  <si>
    <t>просп. Ювілейний, 30А</t>
  </si>
  <si>
    <t>(061)277-32-21</t>
  </si>
  <si>
    <t>https://sites.google.com/a/zgym45.com/zaporizka-gimnazia-no45/</t>
  </si>
  <si>
    <t>Запорізька загальноосвітня школа І-ІІІ ступенів № 32 Запорізької міської ради Запорізької області</t>
  </si>
  <si>
    <t>69123</t>
  </si>
  <si>
    <t>вул. 14 Жовтня, 13</t>
  </si>
  <si>
    <t>(061)2788909</t>
  </si>
  <si>
    <t>http://school32zp.wix.com/school32zp</t>
  </si>
  <si>
    <t>Запорізька загальноосвітня школа І-ІІІ ступенів № 51Запорізької міської ради Запорізької області</t>
  </si>
  <si>
    <t>вул. Воронезька, 4</t>
  </si>
  <si>
    <t>(061)224-92-53</t>
  </si>
  <si>
    <t>http://school51zp.ucoz.ua</t>
  </si>
  <si>
    <t>Запорізька загальноосвітня школа І-ІІІ ступенів № 91 Запорізької міської ради Запорізької області</t>
  </si>
  <si>
    <t>вул. Лахтінська, 6А</t>
  </si>
  <si>
    <t>(061)2869130</t>
  </si>
  <si>
    <t>http://www.school91.inf.ua</t>
  </si>
  <si>
    <t>Запорізька загальноосвітня школа І-ІІІ ступенів № 92 Запорізької міської ради Запорізької області</t>
  </si>
  <si>
    <t>вул. Лахтінська, 9</t>
  </si>
  <si>
    <t>(061) 277-24-65, (061) 286-91-34</t>
  </si>
  <si>
    <t>http://92school.at.ua/</t>
  </si>
  <si>
    <t>Запорізька загальноосвітня школа І-ІІІ ступенів № 49 Запорізької міської ради Запорізької області</t>
  </si>
  <si>
    <t>вул. Cвітла, 16А</t>
  </si>
  <si>
    <t>(061)286-91-92</t>
  </si>
  <si>
    <t>http://school49.zp.sch.in.ua/</t>
  </si>
  <si>
    <t>Запорізька спеціалізована школа I-III ступенів № 40 з поглибленим вивченням англійської мови Запорізької міської ради Запорізької області</t>
  </si>
  <si>
    <t>вул. Героїв 93-ої бригади, 18А</t>
  </si>
  <si>
    <t>(061)286-91-36, (061)283-75-71</t>
  </si>
  <si>
    <t>http://school40.zp.ua</t>
  </si>
  <si>
    <t>Запорізький багатопрофільний ліцей № 99 Запорізької міської ради Запорізької області</t>
  </si>
  <si>
    <t>вул. Героїв 93-ї Бригади, 13А</t>
  </si>
  <si>
    <t>061224-93-09</t>
  </si>
  <si>
    <t>http://litsey-99.at.ua</t>
  </si>
  <si>
    <t>20524478</t>
  </si>
  <si>
    <t>Запорізький загальноосвітній багатопрофільний навчально-виховний комплекс № 106 Запорізької міської ради Запорізької області</t>
  </si>
  <si>
    <t>69124</t>
  </si>
  <si>
    <t>вул. Рубана, 9</t>
  </si>
  <si>
    <t>(061)2366930</t>
  </si>
  <si>
    <t>http://zzbnvk106.zz.mu</t>
  </si>
  <si>
    <t>Запорізький загальноосвітній навчально-виховний комплекс "Молодь" Запорізької міської ради Запорізької області</t>
  </si>
  <si>
    <t>вул. 14 Жовтня, 15</t>
  </si>
  <si>
    <t>(061)278-81-79</t>
  </si>
  <si>
    <t>http://znvk-molod.ucoz.ua</t>
  </si>
  <si>
    <t>Запорізький загальноосвітній навчально-виховний комплекс № 108 Запорізької міської ради Запорізької області</t>
  </si>
  <si>
    <t>вул. Дорошенко, 1</t>
  </si>
  <si>
    <t>(061)2788475</t>
  </si>
  <si>
    <t>http://sites.google.com/site/zznvk108/</t>
  </si>
  <si>
    <t>Запорізький загальноосвітній навчально-виховний комплекс санаторного типу "Злагода" Запорізької міської ради Запорізької області</t>
  </si>
  <si>
    <t>вул. пр. Інженера Преображенського, 9Б</t>
  </si>
  <si>
    <t>(061)2249252</t>
  </si>
  <si>
    <t>Запорізький навчально-виховний комплекс "Гармонія-плюс" Запорізької міської ради Запорізької області</t>
  </si>
  <si>
    <t>вул. Новгородська, 26А</t>
  </si>
  <si>
    <t>(061)2780755</t>
  </si>
  <si>
    <t>http://zpgarmoniya-plus.jimdo.com/</t>
  </si>
  <si>
    <t>Комунальний заклад "Запорізька спеціалізована школа-інтернат ІІ-ІІІ ступенів "Січовий колегіум" Запорізької обласної ради</t>
  </si>
  <si>
    <t>вул. Ювілейний, 19</t>
  </si>
  <si>
    <t>(061)2862080</t>
  </si>
  <si>
    <t>http://zski.com.ua</t>
  </si>
  <si>
    <t>20520233</t>
  </si>
  <si>
    <t>Запорізька загальноосвітня школа I-III ступенів № 95 Запорізької міської ради Запорізької області</t>
  </si>
  <si>
    <t>69120</t>
  </si>
  <si>
    <t>2310137500</t>
  </si>
  <si>
    <t>Запоріжжя, Шевченківський район</t>
  </si>
  <si>
    <t>вул. Богдана Завади, 16</t>
  </si>
  <si>
    <t>(0612)670217</t>
  </si>
  <si>
    <t>http://school95zp.klasna.com/</t>
  </si>
  <si>
    <t>Запорізька загальноосвітня школа І - ІІІ ступенів № 65 Запорізької міської ради Запорізької області</t>
  </si>
  <si>
    <t>вул. пр.Моторобудівників, 26,</t>
  </si>
  <si>
    <t>(061)2783591</t>
  </si>
  <si>
    <t>http://school65.zp.ua</t>
  </si>
  <si>
    <t>Запорізька загальноосвітня школа І ст. "Прогрес" з поглибленим вивченням англійської мови Запорізької міської ради Запорізької області</t>
  </si>
  <si>
    <t>69071</t>
  </si>
  <si>
    <t>вул. Бочарова, 5А</t>
  </si>
  <si>
    <t>(0612)67-76-12, (0612)67-75-16</t>
  </si>
  <si>
    <t>Запорізька загальноосвітня школа І-ІІІ ступенів № 101 Запорізької міської ради Запорізької області</t>
  </si>
  <si>
    <t>вул. Бочарова, 10Б</t>
  </si>
  <si>
    <t>0612-67-33-88</t>
  </si>
  <si>
    <t>http://sites.google.com/site/zaporizkaschool101/</t>
  </si>
  <si>
    <t>Запорізька загальноосвітня школа І-ІІІ ступенів № 77 Запорізької міської ради Запорізької області</t>
  </si>
  <si>
    <t>69081</t>
  </si>
  <si>
    <t>вул. Памірська, 91</t>
  </si>
  <si>
    <t>(0612)68-80-39</t>
  </si>
  <si>
    <t>http://znvk77.ucoz.ua/</t>
  </si>
  <si>
    <t>Запорізька загальноосвітня школа І-ІІІ ступенів № 4 Запорізької міської ради Запорізької області</t>
  </si>
  <si>
    <t>69014</t>
  </si>
  <si>
    <t>вул. Волзька, 30</t>
  </si>
  <si>
    <t>(061)2708039</t>
  </si>
  <si>
    <t>http://s4.osvita.zp.ua</t>
  </si>
  <si>
    <t>Запорізька загальноосвітня школа І-ІІІ ступенів № 55 Запорізької міської ради Запорізької області</t>
  </si>
  <si>
    <t>69026</t>
  </si>
  <si>
    <t>вул. Передатна, 17А</t>
  </si>
  <si>
    <t>(0612)67-91-98</t>
  </si>
  <si>
    <t>http://schoolz55.klasna.com</t>
  </si>
  <si>
    <t>Запорізька спеціалізована школа фізичної культури І-ІІІ ступенів № 18 Запорізької міської ради Запорізької області</t>
  </si>
  <si>
    <t>вул. Вороніхіна, 8А</t>
  </si>
  <si>
    <t>(0612) 65-41-42, (0612) 65-22-74</t>
  </si>
  <si>
    <t>http://sport18.zp.ua</t>
  </si>
  <si>
    <t>Запорізький багатопрофільний ліцей "Перспектива" Запорізької міської ради Запорізької області</t>
  </si>
  <si>
    <t>вул. Героїв 55-ї бригади, 3Б</t>
  </si>
  <si>
    <t>0617071625, 0612653159, 0612872031</t>
  </si>
  <si>
    <t>https://www.perspectivazp.com/</t>
  </si>
  <si>
    <t>Запорізький ліцей № 34 Запорізької міської ради Запорізької області</t>
  </si>
  <si>
    <t>вул. Богдана Завади, 8</t>
  </si>
  <si>
    <t>(061)267-04-16</t>
  </si>
  <si>
    <t>http://zplicey34.at.ua</t>
  </si>
  <si>
    <t>Запорізький навчально-виховний комплекс "Вибір" Запорізької міської ради Запорізької області</t>
  </si>
  <si>
    <t>вул. Пархоменка, 19</t>
  </si>
  <si>
    <t>(0612)674775</t>
  </si>
  <si>
    <t>http://vybor.zp.ua</t>
  </si>
  <si>
    <t>Запорізький навчально-виховний комплекс "Мрія" ім.О.М.Поради Запорізької міської ради Запорізької області</t>
  </si>
  <si>
    <t>69084</t>
  </si>
  <si>
    <t>вул. М Корищенка, 38А</t>
  </si>
  <si>
    <t>(061)2787530</t>
  </si>
  <si>
    <t>Запорізький навчально-виховний комплекс № 111 Запорізької міської ради Запорізької області</t>
  </si>
  <si>
    <t>69061</t>
  </si>
  <si>
    <t>0617874185</t>
  </si>
  <si>
    <t>http://nvk111.edukit.zp.ua</t>
  </si>
  <si>
    <t>Запорізький навчально-виховний комплекс № 19 Запорізької міської ради Запорізької області</t>
  </si>
  <si>
    <t>вул. Військбуд, 13</t>
  </si>
  <si>
    <t>(061)227-05-64, (061)227-05-53</t>
  </si>
  <si>
    <t>http://school19.zp.ua</t>
  </si>
  <si>
    <t>25493179</t>
  </si>
  <si>
    <t>Запорізький навчально-виховний комплекс № 63 Запорізької міської ради Запорізької області</t>
  </si>
  <si>
    <t>вул. Пархоменка, 12А</t>
  </si>
  <si>
    <t>+38(0612)678016</t>
  </si>
  <si>
    <t>http://zpschool63.ucoz.ua</t>
  </si>
  <si>
    <t>Запорізький навчально-виховний комплекс № 68 Запорізької міської ради Запорізької області</t>
  </si>
  <si>
    <t>вул. Харчова, 35</t>
  </si>
  <si>
    <t>(061)7076829</t>
  </si>
  <si>
    <t>http://znvk68.ucoz.ua</t>
  </si>
  <si>
    <t>26316657</t>
  </si>
  <si>
    <t>Запорізький навчально-виховний комплекс І ступеня "Світанок" Запорізької міської ради Запорізької області</t>
  </si>
  <si>
    <t>вул. Фортечна, 92,а,</t>
  </si>
  <si>
    <t>(061)720-36-50</t>
  </si>
  <si>
    <t>http://znvk-svitanok.in.ua</t>
  </si>
  <si>
    <t>Комунальний заклад "Запорізька спеціальна загальноосвітня школа-інтернат "Джерело" Запорізької обласної ради</t>
  </si>
  <si>
    <t>вул. Червонополянська, 2</t>
  </si>
  <si>
    <t>(061)707-55-15</t>
  </si>
  <si>
    <t>http://znrcdjerelo.ucoz.ru/</t>
  </si>
  <si>
    <t>20509415</t>
  </si>
  <si>
    <t>Комунальний заклад "Запорізька спеціальна загальноосвітня школа-інтернат № 2" Запорізької обласної ради</t>
  </si>
  <si>
    <t>вул. І. Сікорського, 267</t>
  </si>
  <si>
    <t>(0612)650938, (061)7690321</t>
  </si>
  <si>
    <t>http://zshi2.org.ua/</t>
  </si>
  <si>
    <t>20508858</t>
  </si>
  <si>
    <t>Бердянська багатопрофільна гімназія № 2 Бердянської міської ради Запорізької області</t>
  </si>
  <si>
    <t>71100</t>
  </si>
  <si>
    <t>2310400000</t>
  </si>
  <si>
    <t>Бердянськ</t>
  </si>
  <si>
    <t>вул. Волонтерів, 61</t>
  </si>
  <si>
    <t>0615322160, 0615322460</t>
  </si>
  <si>
    <t>http://gymnazia2.at.ua</t>
  </si>
  <si>
    <t>Бердянська гімназія № 1 "Надія" Бердянської міської ради Запорізької області</t>
  </si>
  <si>
    <t>71112</t>
  </si>
  <si>
    <t>вул. Шмідта, 12</t>
  </si>
  <si>
    <t>(06153)70021</t>
  </si>
  <si>
    <t>http://www.nadiya.info</t>
  </si>
  <si>
    <t>Бердянська гімназія № 3 "Сузір'я" Бердянської міської ради Запорізької області</t>
  </si>
  <si>
    <t>71114</t>
  </si>
  <si>
    <t>вул. Потійська, 13</t>
  </si>
  <si>
    <t>(06153)2-26-60</t>
  </si>
  <si>
    <t>http://gymnasium3-brd.blogspot.com/</t>
  </si>
  <si>
    <t>Бердянська загальноосвітня школа I-III ступенів № 5 Бердянської міської ради Запорізької області</t>
  </si>
  <si>
    <t>вул. Руденко, 15</t>
  </si>
  <si>
    <t>0615322321</t>
  </si>
  <si>
    <t>http://www.school-5.ucoz.ua</t>
  </si>
  <si>
    <t>Бердянська загальноосвітня школа І-ІІ ступенів № 13 Бердянської міської ради Запорізької області</t>
  </si>
  <si>
    <t>71107</t>
  </si>
  <si>
    <t>вул. Фестивальна, 58/38</t>
  </si>
  <si>
    <t>0615378460</t>
  </si>
  <si>
    <t>Бердянська загальноосвітня школа І-ІІІ ступенів № 1 Бердянської міської ради Запорізької області</t>
  </si>
  <si>
    <t>вул. Італійська, 83</t>
  </si>
  <si>
    <t>(06153)7-25-21, (06153)7-13-13</t>
  </si>
  <si>
    <t>http://berdschool1.ucoz.ua</t>
  </si>
  <si>
    <t>Бердянська загальноосвітня школа І-ІІІ ступенів № 20 Бердянської міської ради Запорізької області</t>
  </si>
  <si>
    <t>71111</t>
  </si>
  <si>
    <t>вул. Франко, 103</t>
  </si>
  <si>
    <t>(06153)4-36-64</t>
  </si>
  <si>
    <t>http://schoolbrd20.blogspot.com/</t>
  </si>
  <si>
    <t>Бердянська загальноосвітня школа І-ІІІ ступенів № 3 Бердянської міської ради Запорізької області</t>
  </si>
  <si>
    <t>вул. Волонтерів, 162</t>
  </si>
  <si>
    <t>06153-51156</t>
  </si>
  <si>
    <t>http://berdschool3.ucoz.ru</t>
  </si>
  <si>
    <t>Бердянська загальноосвітня школа І-ІІІ ступенів № 7 Бердянської міської ради Запорізької області</t>
  </si>
  <si>
    <t>вул. Херсонська, 1/90,</t>
  </si>
  <si>
    <t>(06153)77-270, (06153)78-270</t>
  </si>
  <si>
    <t>http://brd-school7.ucoz.ua</t>
  </si>
  <si>
    <t>Бердянська загальноосвітня школа І-ІІІ ступенів № 11 Бердянської міської ради Запорізької області</t>
  </si>
  <si>
    <t>71116</t>
  </si>
  <si>
    <t>б-р Шевченко, 9</t>
  </si>
  <si>
    <t>06153-2-30-42, 06153-2-13-18</t>
  </si>
  <si>
    <t>http://berdschool11.at.ua</t>
  </si>
  <si>
    <t>Бердянська загальноосвітня школа І-ІІІ ступенів № 2 Бердянської міської ради Запорізької області</t>
  </si>
  <si>
    <t>просп. Азовський, 45/2</t>
  </si>
  <si>
    <t>0615333482, 0615338468, 0615347401</t>
  </si>
  <si>
    <t>http://berdiansk-school2.zp.sch.in.ua/</t>
  </si>
  <si>
    <t>Бердянська загальноосвітня школа І-ІІІ ступенів № 4 Бердянської міської ради Запорізької області</t>
  </si>
  <si>
    <t>71113</t>
  </si>
  <si>
    <t>вул. Петровський шлях, 62</t>
  </si>
  <si>
    <t>(06153) 36394</t>
  </si>
  <si>
    <t>http://brdsc4.at.ua</t>
  </si>
  <si>
    <t>Бердянська загальноосвітня школа І-ІІІ ступенів № 6 Бердянської міської ради Запорізької області</t>
  </si>
  <si>
    <t>вул. Запорізьких козаків (Жовтнева), 9/97</t>
  </si>
  <si>
    <t>0615341774</t>
  </si>
  <si>
    <t>http://brdsc6.ucoz.ru</t>
  </si>
  <si>
    <t>Бердянська загальноосвітня школа І-ІІІступенів № 9 Бердянської міської ради Запорізької області</t>
  </si>
  <si>
    <t>просп. Західний, 4</t>
  </si>
  <si>
    <t>http://school9brd.pp.ua/</t>
  </si>
  <si>
    <t>Бердянська спеціалізована школа І-ІІІ ступенів № 16 з поглибленим вивченням іноземних мов Бердянської міської радиЗапорізької області</t>
  </si>
  <si>
    <t>вул. Лієпайська, 45</t>
  </si>
  <si>
    <t>0615343855, 0615343294</t>
  </si>
  <si>
    <t>http://school16.com.ua</t>
  </si>
  <si>
    <t>Бердянський муніципальний ліцей Бердянської міської ради Запорізької області</t>
  </si>
  <si>
    <t>вул. Чехова, 65</t>
  </si>
  <si>
    <t>0615335393</t>
  </si>
  <si>
    <t>http://liceybml.tk</t>
  </si>
  <si>
    <t>Бердянський приватний навчально - виховний комплекс "дошкільний навчальний заклад - загальноосвітній навчальний заклад І ступеня "Капітошка" ПрАТ "Бердянський райагропромпостач" Запорізької області</t>
  </si>
  <si>
    <t>вул. Волонтерів, 164</t>
  </si>
  <si>
    <t>(06153)29909</t>
  </si>
  <si>
    <t>Комунальний заклад "Бердянська загальноосвітня санаторна школа-інтернат І-ІІІ ступенів" Запорізької обласної ради</t>
  </si>
  <si>
    <t>вул. Степанянця, 13</t>
  </si>
  <si>
    <t>(06153)22400</t>
  </si>
  <si>
    <t>http://www.kids.berdyansk.net</t>
  </si>
  <si>
    <t>20510312</t>
  </si>
  <si>
    <t>Бердянський навчально-виховний комплекс "Загальноосвітній нвчальний заклад - дошкільний навчальний заклад" № 1 "Мрія" Бердянської міської ради Запорізької області</t>
  </si>
  <si>
    <t>71128</t>
  </si>
  <si>
    <t>2310494001</t>
  </si>
  <si>
    <t>0615394240</t>
  </si>
  <si>
    <t>http://sites.google.com/site/berdschool12/</t>
  </si>
  <si>
    <t>Комунальний заклад "Мелітопольська загальноосвітня санаторна школа-інтернат І-ІІІ ступенів" Запорізької обласної ради</t>
  </si>
  <si>
    <t>72301</t>
  </si>
  <si>
    <t>2310700000</t>
  </si>
  <si>
    <t>Мелітополь</t>
  </si>
  <si>
    <t>вул. Героїв Крут, 14/1</t>
  </si>
  <si>
    <t>0-619-44-84-90, 0-619-42-37-35, 0-619-44-89-46</t>
  </si>
  <si>
    <t>http://internat1-mlt.at.ua/</t>
  </si>
  <si>
    <t>20516042</t>
  </si>
  <si>
    <t>Комунальний заклад "Мелітопольська спеціалізована школа-інтернат ІІІ ступеня "Творчість" Запорізької обласної ради</t>
  </si>
  <si>
    <t>72309</t>
  </si>
  <si>
    <t>вул. Івана Алексєєва (Крупської), 9</t>
  </si>
  <si>
    <t>0619261046</t>
  </si>
  <si>
    <t>http://www.tvorchist.mirshkol.com</t>
  </si>
  <si>
    <t>20502264</t>
  </si>
  <si>
    <t>Комунальний заклад "Мелітопольська спеціальна загальноосвітня школа-інтернат "Гармонія"Запорізької обласної ради</t>
  </si>
  <si>
    <t>72319</t>
  </si>
  <si>
    <t>вул. Крупської, 22</t>
  </si>
  <si>
    <t>0676121237, 0619436551</t>
  </si>
  <si>
    <t>20519856</t>
  </si>
  <si>
    <t>Мелітопольська гімназія № 9 Мелітопольської міської ради Запорізької області</t>
  </si>
  <si>
    <t>72316</t>
  </si>
  <si>
    <t>вул. Гагаріна, 9А</t>
  </si>
  <si>
    <t>0619271331</t>
  </si>
  <si>
    <t>http://www.gimnaziya9.zp.ua</t>
  </si>
  <si>
    <t>Мелітопольська гімназія № 10 Мелітопольської міської ради Запорізької області</t>
  </si>
  <si>
    <t>вул. Івана Алексєєва, 3</t>
  </si>
  <si>
    <t>(0619)42-26-90</t>
  </si>
  <si>
    <t>http://www.g10.at.ua</t>
  </si>
  <si>
    <t>Мелітопольська гімназія № 19 Мелітопольської міської ради Запорізької області</t>
  </si>
  <si>
    <t>72313</t>
  </si>
  <si>
    <t>вул. Ломоносова, 151</t>
  </si>
  <si>
    <t>(06192)51097</t>
  </si>
  <si>
    <t>http://www.melg19.blogspot.com</t>
  </si>
  <si>
    <t>Мелітопольська гімназія № 5 Мелітопольської міської ради Запорізької області</t>
  </si>
  <si>
    <t>72312</t>
  </si>
  <si>
    <t>вул. Бейбулатова, 12,</t>
  </si>
  <si>
    <t>(0619)422320</t>
  </si>
  <si>
    <t>http://planeta5.at.ua</t>
  </si>
  <si>
    <t>Мелітопольська загальноосвітня школа I ступеня № 3 Мелітопольської міської ради Запорізької області</t>
  </si>
  <si>
    <t>вул. Фролова, 42</t>
  </si>
  <si>
    <t>(0619)421242</t>
  </si>
  <si>
    <t>http://website-school3.ucoz.ua/</t>
  </si>
  <si>
    <t>Мелітопольська загальноосвітня школа I-III ступенів № 7 Мелітопольської міської ради Запорізької області</t>
  </si>
  <si>
    <t>вул. Інтеркультурна, 400,а</t>
  </si>
  <si>
    <t>0619271438</t>
  </si>
  <si>
    <t>http://www.znz7.ucoz.ua</t>
  </si>
  <si>
    <t>Мелітопольська загальноосвітня школа І ступеня № 17 Мелітопольської міської ради Запорізької області</t>
  </si>
  <si>
    <t>вул. Робоча, 59</t>
  </si>
  <si>
    <t>(0619)42-22-85</t>
  </si>
  <si>
    <t>http://znz17melitopol.ucoz.ua/</t>
  </si>
  <si>
    <t>Мелітопольська загальноосвітня школа І-ІІІ ступенів № 14 Мелітопольської міської ради Запорізької області</t>
  </si>
  <si>
    <t>вул. Гризодубової, 49</t>
  </si>
  <si>
    <t>(06192)-5-80-48</t>
  </si>
  <si>
    <t>http://school14m.at.ua</t>
  </si>
  <si>
    <t>Мелітопольська загальноосвітня школа І-ІІІ ступенів № 20 Мелітопольської міської ради Запорізької області</t>
  </si>
  <si>
    <t>72318</t>
  </si>
  <si>
    <t>вул. Сєрова, 62А</t>
  </si>
  <si>
    <t>0619250202</t>
  </si>
  <si>
    <t>http://www.znz20melitopol.ucoz.ru</t>
  </si>
  <si>
    <t>Мелітопольська загальноосвітня школа І-ІІІ ступенів № 4 Мелітопольської міської ради Запорізької області</t>
  </si>
  <si>
    <t>вул. Пушкіна, 77</t>
  </si>
  <si>
    <t>(0619)44-89-40</t>
  </si>
  <si>
    <t>http://melznz4.ucoz.ru</t>
  </si>
  <si>
    <t>Мелітопольська загальноосвітня школа І-ІІІ ступенів № 6 Мелітопольської міської ради Запорізької області</t>
  </si>
  <si>
    <t>вул. Монастирська (Воровського), 185</t>
  </si>
  <si>
    <t>(0619)436055</t>
  </si>
  <si>
    <t>http://www.melznz6.at.ua</t>
  </si>
  <si>
    <t>Мелітопольська загальноосвітня школа І-ІІІ ступенів № 11 Мелітопольської міської ради Запорізької області</t>
  </si>
  <si>
    <t>вул. Петра Дорошенка, 38</t>
  </si>
  <si>
    <t>(0619)42-13-07</t>
  </si>
  <si>
    <t>http://www.znz11.ucoz.ru</t>
  </si>
  <si>
    <t>Мелітопольська загальноосвітня школа І-ІІІ ступенів № 13 Мелітопольської міської ради Запорізької області</t>
  </si>
  <si>
    <t>72302</t>
  </si>
  <si>
    <t>вул. Вишнева, 84</t>
  </si>
  <si>
    <t>(06192)7-16-07</t>
  </si>
  <si>
    <t>http://melschool13.ucoz.ru</t>
  </si>
  <si>
    <t>Мелітопольська загальноосвітня школа І-ІІІ ступенів № 15 Мелітопольської міської ради Запорізької області</t>
  </si>
  <si>
    <t>вул. Гризодубової, 54</t>
  </si>
  <si>
    <t>0619251258</t>
  </si>
  <si>
    <t>http://15schoolhealth.at.ua</t>
  </si>
  <si>
    <t>Мелітопольська загальноосвітня школа І-ІІІ ступенів № 22 Мелітопольської міської ради Запорізької області</t>
  </si>
  <si>
    <t>72304</t>
  </si>
  <si>
    <t>вул. 2 пров. Лютневий, 32</t>
  </si>
  <si>
    <t>(0619)477412</t>
  </si>
  <si>
    <t>http://wkola22mel.ucoz.org/</t>
  </si>
  <si>
    <t>Мелітопольська загальноосвітня школа І-ІІІ ступенів № 24 Мелітопольської міської ради Запорізької області</t>
  </si>
  <si>
    <t>вул. Садова (Бронзоса), 47</t>
  </si>
  <si>
    <t>(0619)428731</t>
  </si>
  <si>
    <t>http://shkola24.ucoz.ua</t>
  </si>
  <si>
    <t>26317272</t>
  </si>
  <si>
    <t>Мелітопольська загальноосвітня школа І-ІІІ ступенів № 8 Мелітопольської міської ради Запорізької області</t>
  </si>
  <si>
    <t>72306</t>
  </si>
  <si>
    <t>вул. М. Оратовського, 147</t>
  </si>
  <si>
    <t>0619437805</t>
  </si>
  <si>
    <t>http://www.znz8melitopol.at.ua</t>
  </si>
  <si>
    <t>Мелітопольська загальноосвітня школа ІІ-ІІІ ступенів № 28 Запорізької області Міністерства освіти і науки України</t>
  </si>
  <si>
    <t>72314</t>
  </si>
  <si>
    <t>вул. Олександра Невського, 81</t>
  </si>
  <si>
    <t>(0619)444674</t>
  </si>
  <si>
    <t>Мелітопольська загальноосвтіня школа І ступеня № 2 Мелітопольської міської ради Запорізької області</t>
  </si>
  <si>
    <t>72307</t>
  </si>
  <si>
    <t>вул. Гвардійська, 5/1</t>
  </si>
  <si>
    <t>(0619)416127</t>
  </si>
  <si>
    <t>http://znz2melitopol.wix.com/znz2melitopol</t>
  </si>
  <si>
    <t>Мелітопольська загальносвітня школа І-ІІІ ступенів № 1 Мелітопольської міської ради Запорізької області</t>
  </si>
  <si>
    <t>вул. Ярослава Мудрого, 13</t>
  </si>
  <si>
    <t>(0619)421883</t>
  </si>
  <si>
    <t>http://www.znz1-melitopol.at.ua</t>
  </si>
  <si>
    <t>Мелітопольська спеціалізована школа І-ІІІ ступенів № 23 Мелітопольської міської ради Запорізької області</t>
  </si>
  <si>
    <t>вул. Гетьмана Сагайдачного, 262</t>
  </si>
  <si>
    <t>(06192) 5-02-46</t>
  </si>
  <si>
    <t>http://mel-school23.at.ua</t>
  </si>
  <si>
    <t>Мелітопольська спеціалізована школа І-ІІІ ступенів № 25 Мелітопольської міської ради Запорізької області</t>
  </si>
  <si>
    <t>вул. Гетьманська, 93</t>
  </si>
  <si>
    <t>(0619)444620</t>
  </si>
  <si>
    <t>http://sc25.org.ua/</t>
  </si>
  <si>
    <t>Мелітопольський навчально-виховний комплекс № 16 "ЗОШ І-ІІІ ст.- гімназія" Мелітопольської міської ради Запорізької області</t>
  </si>
  <si>
    <t>вул. Сопіна, 200</t>
  </si>
  <si>
    <t>(06192) 5-70-88, (06192) 5-00-99</t>
  </si>
  <si>
    <t>http://nvk16.com.ua</t>
  </si>
  <si>
    <t>26123606</t>
  </si>
  <si>
    <t>Комунальний заклад "Токмацька спеціальна загальноосвітня школа - інтернат" Запорізької обласної ради</t>
  </si>
  <si>
    <t>71702</t>
  </si>
  <si>
    <t>2311000000</t>
  </si>
  <si>
    <t>Токмак</t>
  </si>
  <si>
    <t>вул. Серьогіна, 4</t>
  </si>
  <si>
    <t>06(178)22090, 06(178)20163, 06(178)43451</t>
  </si>
  <si>
    <t>http://tokmatska.ucoz.ua</t>
  </si>
  <si>
    <t>20522083</t>
  </si>
  <si>
    <t>Токмацька загальноосвітня школа I -III ступенів № 5 Токмацької міської ради Запорізької області</t>
  </si>
  <si>
    <t>71700</t>
  </si>
  <si>
    <t>(06178) 2-33-90, (06178) 2-17-94</t>
  </si>
  <si>
    <t>http://tokmak5s.ucoz.ua</t>
  </si>
  <si>
    <t>Токмацька загальноосвітня школа І - ІІІ ступенів № 6 Токмацької міської ради Запорізької області.</t>
  </si>
  <si>
    <t>71709</t>
  </si>
  <si>
    <t>вул. Ковальська, 15</t>
  </si>
  <si>
    <t>0617822190, 0617828646</t>
  </si>
  <si>
    <t>http://www.tokmak-school6.edukit.zp.ua</t>
  </si>
  <si>
    <t>Токмацька загальноосвітня школа І-ІІ ступенів № 4 імені Віри Назарівни Нерез Токмацької міської ради Запорізької області</t>
  </si>
  <si>
    <t>вул. Серьогіна, 2</t>
  </si>
  <si>
    <t>06178-2-22-81</t>
  </si>
  <si>
    <t>http://school-04.wix.com/tokmak-school-04</t>
  </si>
  <si>
    <t>Токмацька загальноосвітня школа І-ІІІ ступенів № 1 Токмацької міської ради Запорізької області</t>
  </si>
  <si>
    <t>(0617)843942</t>
  </si>
  <si>
    <t>http://myschool1.klasna.com</t>
  </si>
  <si>
    <t>Токмацька загальноосвітня школа І-ІІІ ступенів № 2 імені Олексія Миколайовича Кота Токмацької міської ради Запорізької області</t>
  </si>
  <si>
    <t>(06178)23589</t>
  </si>
  <si>
    <t>http://school2tokmak.ucoz.ru</t>
  </si>
  <si>
    <t>Токмацький навчально – виховний комплекс «Дошкільний навчальний заклад – загальноосвітня школа І-ІІ ступенів № 11» Токмацької міської ради Запорізької області</t>
  </si>
  <si>
    <t>71703</t>
  </si>
  <si>
    <t>вул. Вишиваного, 690</t>
  </si>
  <si>
    <t>(06178)46130</t>
  </si>
  <si>
    <t>http://tokmaknvk11.klasna.com</t>
  </si>
  <si>
    <t>Токмацький навчально-виховний комплекс"Дошкільний навчальний заклад-загальноосвітня школа І-ІІ ступенів № 12 " Токмацької міської ради Запорізької області</t>
  </si>
  <si>
    <t>71706</t>
  </si>
  <si>
    <t>вул. Привокзальна, 31</t>
  </si>
  <si>
    <t>(06178)22492</t>
  </si>
  <si>
    <t>http://tokmaknvk12.ucoz.net</t>
  </si>
  <si>
    <t>Енергодарська багатопрофільна гімназія "Гармонія" Енергодарської міської ради Запорізької області</t>
  </si>
  <si>
    <t>71504</t>
  </si>
  <si>
    <t>2312500000</t>
  </si>
  <si>
    <t>Енергодар</t>
  </si>
  <si>
    <t>вул. Українська, 25А</t>
  </si>
  <si>
    <t>(06139)3-13-61</t>
  </si>
  <si>
    <t>http://www.ebggarmoniya.at.ua</t>
  </si>
  <si>
    <t>Енергодарська загальноосвітня школа І-ІІІ ступенів № 2 Енергодарської міської ради Запорізької області</t>
  </si>
  <si>
    <t>71503</t>
  </si>
  <si>
    <t>вул. Енергетиків, 6</t>
  </si>
  <si>
    <t>(06139)6-34-98</t>
  </si>
  <si>
    <t>http://rymarvalery.wixsite.com/en-school-2</t>
  </si>
  <si>
    <t>26251449</t>
  </si>
  <si>
    <t>Енергодарська загальноосвітня школа І-ІІІ ступенів № 4 Енергодарської міської ради Запорізької області</t>
  </si>
  <si>
    <t>71502</t>
  </si>
  <si>
    <t>вул. Лісова, 21</t>
  </si>
  <si>
    <t>(06139)3-16-56, (06139)6-21-26, (06139)3-18-21</t>
  </si>
  <si>
    <t>http://oosh-4.ucoz.ru</t>
  </si>
  <si>
    <t>26251426</t>
  </si>
  <si>
    <t>Енергодарська загальноосвітня школа І-ІІІ ступенів № 7 Енергодарської міської ради Запорізької області</t>
  </si>
  <si>
    <t>б-р Каштановий, 1</t>
  </si>
  <si>
    <t>(06139)6-77-46</t>
  </si>
  <si>
    <t>http://ezosh7.klasna.com</t>
  </si>
  <si>
    <t>25969647</t>
  </si>
  <si>
    <t>Енергодарський багатопрофільний ліцей Енергодарської міської ради Запорізької області</t>
  </si>
  <si>
    <t>(06139)40107</t>
  </si>
  <si>
    <t>http://enlicey.org.ua</t>
  </si>
  <si>
    <t>26316999</t>
  </si>
  <si>
    <t>Енергодарський навчально - виховний комплекс № 1 Енергодарської міської ради Запорізької області</t>
  </si>
  <si>
    <t>просп. Енергетиків, 7</t>
  </si>
  <si>
    <t>(06139)3-26-13, (06139)3-17-12, (06139)3-16-17</t>
  </si>
  <si>
    <t>http://envk1.3dn.ru/</t>
  </si>
  <si>
    <t>26251432</t>
  </si>
  <si>
    <t>Енергодарський навчально- виховний комплекс "дошкільний навчальний заклад-загальноосвітній навчальний заклад " № 9 Енергодарської міської ради Запорізької області</t>
  </si>
  <si>
    <t>вул. Лісова, 11</t>
  </si>
  <si>
    <t>(06139)6-18-72, (06139)3-29-54</t>
  </si>
  <si>
    <t>http://dnzznz9.at.ua</t>
  </si>
  <si>
    <t>33268813</t>
  </si>
  <si>
    <t>Енергодарський навчально-виховний комплекс "Загальноосвітній навчальний заклад І ступеня-дошкільний навчальний заклад" № 6 Енергодарської міської ради Запорізької області</t>
  </si>
  <si>
    <t>просп. Будівельників, 14</t>
  </si>
  <si>
    <t>(06139)3-30-31</t>
  </si>
  <si>
    <t>http://envk6.klasna.com</t>
  </si>
  <si>
    <t>33268792</t>
  </si>
  <si>
    <t>Енергодарський навчально-виховний комплекс "Загальноосвітній навчальний заклад ІІ - ІІІ ступенів - міжшкільний навчально-виробничий комбінат" Енергодарської міської ради Запорізької області</t>
  </si>
  <si>
    <t>вул. Пр. Будівельників, 8</t>
  </si>
  <si>
    <t>(06139) 3-21-26, (06139) 6-20-52</t>
  </si>
  <si>
    <t>http://encoppm.wix.com/envk</t>
  </si>
  <si>
    <t>20528341</t>
  </si>
  <si>
    <t>Енергодарський навчально-виховний комплекс № 5 Енергодарської міської ради Запорізької області</t>
  </si>
  <si>
    <t>вул. Воїнів-Інтернаціоналістів, 32,</t>
  </si>
  <si>
    <t>(06139)6-48-37</t>
  </si>
  <si>
    <t>http://uvk5.at.ua</t>
  </si>
  <si>
    <t>25716165</t>
  </si>
  <si>
    <t>Навчально-виховний комплекс "Якимівська гімназія" Якимівської районної ради Запорізької області</t>
  </si>
  <si>
    <t>72503</t>
  </si>
  <si>
    <t>2320355100</t>
  </si>
  <si>
    <t>06131 9 20 51</t>
  </si>
  <si>
    <t>http://yakimgimnazia.at.ua</t>
  </si>
  <si>
    <t>Якимівська загальноосвітня школа I-III ступенів № 1 Якимівської районної ради Запорізької області</t>
  </si>
  <si>
    <t>вул. Леніна, 73</t>
  </si>
  <si>
    <t>(06131)9-11-04</t>
  </si>
  <si>
    <t>http://akimoosh1.klasna.com/uk/</t>
  </si>
  <si>
    <t>Якимівська загальноосвітня школа I-III ступенів № 2 Якимівської районної ради Запорізької області</t>
  </si>
  <si>
    <t>вул. Пушкіна, 22А</t>
  </si>
  <si>
    <t>0613191267</t>
  </si>
  <si>
    <t>http://yakim-school2.edukit.zp.ua</t>
  </si>
  <si>
    <t>Азовська загальноосвітня школа І-ІІІ ступенів Якимівської районної ради Запорізької області</t>
  </si>
  <si>
    <t>72564</t>
  </si>
  <si>
    <t>2320355400</t>
  </si>
  <si>
    <t>просп. Азовський, 23</t>
  </si>
  <si>
    <t>0613169040</t>
  </si>
  <si>
    <t>http://aschool.ucoz.ua</t>
  </si>
  <si>
    <t>Кирилівська загальноосвітня школа 1 ступеня садок "Золота рибка" Якимівської районної ради Запорізької області</t>
  </si>
  <si>
    <t>72563</t>
  </si>
  <si>
    <t>вул. Фольварочного, 1</t>
  </si>
  <si>
    <t>06131-69647</t>
  </si>
  <si>
    <t>26338216</t>
  </si>
  <si>
    <t>Атманайська загальноосвітня школа І - ІІІ ступенів Якимівської районної ради Запорізької області</t>
  </si>
  <si>
    <t>72552</t>
  </si>
  <si>
    <t>2320380201</t>
  </si>
  <si>
    <t>Атманай</t>
  </si>
  <si>
    <t>вул. Матросова, 3 а</t>
  </si>
  <si>
    <t>06131-9-77-92, 0996774467</t>
  </si>
  <si>
    <t>Володимирівська загальноосвітня школа І-ІІІ ступенів Якимівської районної ради Запорізької області</t>
  </si>
  <si>
    <t>72530</t>
  </si>
  <si>
    <t>2320380801</t>
  </si>
  <si>
    <t>вул. Миру, 70</t>
  </si>
  <si>
    <t>0613197544</t>
  </si>
  <si>
    <t>http://vladimirovka07.jimdo.com</t>
  </si>
  <si>
    <t>Горьківська загальноосвітня школа І-ІІІ ступенів Якимівської районної ради Запорізької області</t>
  </si>
  <si>
    <t>72514</t>
  </si>
  <si>
    <t>2320381001</t>
  </si>
  <si>
    <t>Максима Горького</t>
  </si>
  <si>
    <t>вул. Максима Горького, 14/а</t>
  </si>
  <si>
    <t>0613197183</t>
  </si>
  <si>
    <t>Давидівська ЗОШ І - ІІІ ступенів Якимівської районної ради Запорізької області</t>
  </si>
  <si>
    <t>72550</t>
  </si>
  <si>
    <t>2320381201</t>
  </si>
  <si>
    <t>(06131)9-51-47</t>
  </si>
  <si>
    <t>https://davydivkazosh.e-schools.info</t>
  </si>
  <si>
    <t>Вовчанська загальноосвітня школа І-ІІІ ступенів Якимівської районної ради Запорізької області</t>
  </si>
  <si>
    <t>72551</t>
  </si>
  <si>
    <t>2320381205</t>
  </si>
  <si>
    <t>Вовчанське</t>
  </si>
  <si>
    <t>(06131)9-41-28</t>
  </si>
  <si>
    <t>http://www.voshe.ucoz.ru</t>
  </si>
  <si>
    <t>Новоданилівська загальноосвітня школа І-ІІІ ступенів Якимівської районної ради Запорізької області</t>
  </si>
  <si>
    <t>72520</t>
  </si>
  <si>
    <t>2320382401</t>
  </si>
  <si>
    <t>Новоданилівка</t>
  </si>
  <si>
    <t>8(06131)93473</t>
  </si>
  <si>
    <t>http://novjdanilivka.ucoz.ua/</t>
  </si>
  <si>
    <t>Великотернівська загальноосвітня школа І-ІІІ ступенів Якимівської районної ради Запорізької області</t>
  </si>
  <si>
    <t>72522</t>
  </si>
  <si>
    <t>2320382403</t>
  </si>
  <si>
    <t>Велика Тернівка</t>
  </si>
  <si>
    <t>(06131)99-67-92</t>
  </si>
  <si>
    <t>http://vternivka.edukit.zp.ua</t>
  </si>
  <si>
    <t>Охрімівська загальноосвітня школа І-ІІІ ступенів Якимівської районної ради Запорізької області</t>
  </si>
  <si>
    <t>72562</t>
  </si>
  <si>
    <t>2320382901</t>
  </si>
  <si>
    <t>Охрімівка</t>
  </si>
  <si>
    <t>06131 93268</t>
  </si>
  <si>
    <t>http://rodnayschool.ucoz.net/</t>
  </si>
  <si>
    <t>Переможненська загальноосвітня школа І-ІІІ ступенів, Якимівської районной ради, Запорізької області</t>
  </si>
  <si>
    <t>72513</t>
  </si>
  <si>
    <t>2320383601</t>
  </si>
  <si>
    <t>Переможне</t>
  </si>
  <si>
    <t>(06131)9-53-48</t>
  </si>
  <si>
    <t>http://peremznoe.at.ua</t>
  </si>
  <si>
    <t>Розівська загальноосвітня школа І-ІІІ ступенів Якимівської районної ради Запорізької області</t>
  </si>
  <si>
    <t>72541</t>
  </si>
  <si>
    <t>2320385701</t>
  </si>
  <si>
    <t>Розівка</t>
  </si>
  <si>
    <t>вул. Черняховського, 47</t>
  </si>
  <si>
    <t>(06131)96584</t>
  </si>
  <si>
    <t>http://rozivka.edukit.zp.ua</t>
  </si>
  <si>
    <t>Радивонівська загальноосвітня школа І-ІІІ ступенів Якимівської районної ради Запорізької області</t>
  </si>
  <si>
    <t>72532</t>
  </si>
  <si>
    <t>2320385801</t>
  </si>
  <si>
    <t>Радивонівка</t>
  </si>
  <si>
    <t>вул. Центральна, 152А</t>
  </si>
  <si>
    <t>0613193525</t>
  </si>
  <si>
    <t>http://radivonovka-school.jimdo.com</t>
  </si>
  <si>
    <t>Мирненська загальноосвітня школа І-ІІІ ступенів Якимівської районної ради Запорізької області</t>
  </si>
  <si>
    <t>72533</t>
  </si>
  <si>
    <t>2320385805</t>
  </si>
  <si>
    <t>вул. Шкільна, 77</t>
  </si>
  <si>
    <t>(06131)9-62-24, 0987862642</t>
  </si>
  <si>
    <t>http://leninskaysch.ucoz.ru</t>
  </si>
  <si>
    <t>Таврійська загальноосвітня школа І-ІІІ ступенів Якимівської районної ради Запорізької області</t>
  </si>
  <si>
    <t>72540</t>
  </si>
  <si>
    <t>2320386901</t>
  </si>
  <si>
    <t>Таврійське</t>
  </si>
  <si>
    <t>(06131)9-45-29</t>
  </si>
  <si>
    <t>http://chervonoarmiysk.jimdo.com/</t>
  </si>
  <si>
    <t>Чорноземненська загальноосвітня школа І-ІІІ ступенів Якимівської районної ради Запорізької області</t>
  </si>
  <si>
    <t>72511</t>
  </si>
  <si>
    <t>2320387001</t>
  </si>
  <si>
    <t>Чорноземне</t>
  </si>
  <si>
    <t>(06131)9-54-19</t>
  </si>
  <si>
    <t>http://mich.at.ua</t>
  </si>
  <si>
    <t>Шелюгівська загальноосвітня школа І - ІІІ ступенів Якимівської райради Запорізької області</t>
  </si>
  <si>
    <t>72560</t>
  </si>
  <si>
    <t>2320387601</t>
  </si>
  <si>
    <t>Шелюги</t>
  </si>
  <si>
    <t>вул. Зої Космодем'янської, 6</t>
  </si>
  <si>
    <t>(06131)95283</t>
  </si>
  <si>
    <t>http://shelugivskazosh.ucoz.ru</t>
  </si>
  <si>
    <t>Андріївська спеціалізована різнопрофільна школа І-ІІІ ступенів Бердянської районної ради Запорізької області</t>
  </si>
  <si>
    <t>71140</t>
  </si>
  <si>
    <t>2320655200</t>
  </si>
  <si>
    <t>вул. Микули, 14</t>
  </si>
  <si>
    <t>0615391139</t>
  </si>
  <si>
    <t>http://andreevkaschool.at.ua</t>
  </si>
  <si>
    <t>26292307</t>
  </si>
  <si>
    <t>Успенівська загальноосвітня школа І - ІІ ступенів Бердянської районної ради Запорізької області</t>
  </si>
  <si>
    <t>71141</t>
  </si>
  <si>
    <t>2320655206</t>
  </si>
  <si>
    <t>вул. Миру, 74</t>
  </si>
  <si>
    <t>(06153)96540</t>
  </si>
  <si>
    <t>http://uspenovkschool.wix.com/uspenovkaschool1</t>
  </si>
  <si>
    <t>26292201</t>
  </si>
  <si>
    <t>Андрівська загальноосвітня школа І-ІІІ спупенів Бердянської районої ради Запорізької області</t>
  </si>
  <si>
    <t>71150</t>
  </si>
  <si>
    <t>2320680501</t>
  </si>
  <si>
    <t>Андрівка</t>
  </si>
  <si>
    <t>вул. Шкільна, 82</t>
  </si>
  <si>
    <t>(099)6045179, (066)5811825</t>
  </si>
  <si>
    <t>26292299</t>
  </si>
  <si>
    <t>Троянська загальноосвітня школа І-ІІІ ступенів Бердянської районної ради Запорізької області</t>
  </si>
  <si>
    <t>71151</t>
  </si>
  <si>
    <t>2320680503</t>
  </si>
  <si>
    <t>Трояни</t>
  </si>
  <si>
    <t>вул. Шкільна, 65</t>
  </si>
  <si>
    <t>(06153)95-3-40</t>
  </si>
  <si>
    <t>http://www.trojanyshkola.at.ua</t>
  </si>
  <si>
    <t>26292313</t>
  </si>
  <si>
    <t>Берестівська загальноосвітня школа І-ІІІ ступенів Берестівської сільської ради Бердянського району Запорізької області</t>
  </si>
  <si>
    <t>71130</t>
  </si>
  <si>
    <t>2320681001</t>
  </si>
  <si>
    <t>вул. Миру, 108</t>
  </si>
  <si>
    <t>(06153)96-3-30</t>
  </si>
  <si>
    <t>Дмитрівська загальноосвітня школа І-ІІІ ступенів Бердянської районної ради Запорізької області</t>
  </si>
  <si>
    <t>71153</t>
  </si>
  <si>
    <t>2320681501</t>
  </si>
  <si>
    <t>вул. Покровська, 1Г</t>
  </si>
  <si>
    <t>(06153)94640</t>
  </si>
  <si>
    <t>http://dmitrovka.zp.ua</t>
  </si>
  <si>
    <t>26292253</t>
  </si>
  <si>
    <t>Долинська загальноосвітня школа І-ІІІ ступенів Бердянської районної ради Запорізької області</t>
  </si>
  <si>
    <t>71145</t>
  </si>
  <si>
    <t>2320682001</t>
  </si>
  <si>
    <t>(06153)90610</t>
  </si>
  <si>
    <t>http://dolinsk.at.ua</t>
  </si>
  <si>
    <t>26292247</t>
  </si>
  <si>
    <t>Шевченківська загальноосвітня школа І-ІІ ступенів Бердянської районної ради Запорізької області</t>
  </si>
  <si>
    <t>71147</t>
  </si>
  <si>
    <t>2320682005</t>
  </si>
  <si>
    <t>вул. Смірнова, 83</t>
  </si>
  <si>
    <t>(06153)95-7-40</t>
  </si>
  <si>
    <t>26292193</t>
  </si>
  <si>
    <t>Троїцька загальноосвітня школа І-ІІІ ступенів Берестівської сільської ради Бердянського району Запорізької області</t>
  </si>
  <si>
    <t>71133</t>
  </si>
  <si>
    <t>2320682501</t>
  </si>
  <si>
    <t>(06153)97104</t>
  </si>
  <si>
    <t>http://kmarksa-school.edukit.zp.ua</t>
  </si>
  <si>
    <t>Азовська загальноосвітня школа І-ІІІ ступенів Бердянської районної ради Запорізької області</t>
  </si>
  <si>
    <t>71154</t>
  </si>
  <si>
    <t>2320683001</t>
  </si>
  <si>
    <t>Азовське</t>
  </si>
  <si>
    <t>вул. Молодіжна, 92</t>
  </si>
  <si>
    <t>(06153)92540</t>
  </si>
  <si>
    <t>http://lunacharsk-oosh.ucoz.ru</t>
  </si>
  <si>
    <t>26292359</t>
  </si>
  <si>
    <t>Миколаївська загальноосвітня школа І-ІІІ ступенів Берестівської сільської ради Бердянського району Запорізької області</t>
  </si>
  <si>
    <t>71135</t>
  </si>
  <si>
    <t>2320683501</t>
  </si>
  <si>
    <t>(06153)96640</t>
  </si>
  <si>
    <t>http://mykolaivka-ber.edukit.zp.ua/</t>
  </si>
  <si>
    <t>Новопетрівська загальноосвітня школа І-ІІІ ступенів Осипенківської сільської ради Бердянського району Запорізької області</t>
  </si>
  <si>
    <t>71162</t>
  </si>
  <si>
    <t>2320684501</t>
  </si>
  <si>
    <t>(06153)98154</t>
  </si>
  <si>
    <t>http://petrovka-school.at.ua</t>
  </si>
  <si>
    <t>26292327</t>
  </si>
  <si>
    <t>Старопетрівська загальноосвітня школа І-ІІ ступенів Осипенківської сільської ради Запорізької області</t>
  </si>
  <si>
    <t>71163</t>
  </si>
  <si>
    <t>2320684503</t>
  </si>
  <si>
    <t>Старопетрівка</t>
  </si>
  <si>
    <t>вул. Жигуліних, 49</t>
  </si>
  <si>
    <t>(06153)98426</t>
  </si>
  <si>
    <t>http://staropetrovka.ucoz.ua</t>
  </si>
  <si>
    <t>26292230</t>
  </si>
  <si>
    <t>Новотроїцька загальноосвітня школа І - ІІІ ступенів Бердянської районної ради Запорізької області</t>
  </si>
  <si>
    <t>71144</t>
  </si>
  <si>
    <t>2320685001</t>
  </si>
  <si>
    <t>вул. Лактіонова, 45</t>
  </si>
  <si>
    <t>0615397540</t>
  </si>
  <si>
    <t>http://novotroitskaya.blogspot.com/</t>
  </si>
  <si>
    <t>26292336</t>
  </si>
  <si>
    <t>Осипенківська загальносвітня школа І-ІІІ ступенів Осипенківської сільської ради Бердянського району Запорізької області</t>
  </si>
  <si>
    <t>71160</t>
  </si>
  <si>
    <t>2320685501</t>
  </si>
  <si>
    <t>Осипенко</t>
  </si>
  <si>
    <t>вул. Новоспасівська, 6</t>
  </si>
  <si>
    <t>(06153)99-5-40</t>
  </si>
  <si>
    <t>http://osipenko-school.at.ua</t>
  </si>
  <si>
    <t>25820129</t>
  </si>
  <si>
    <t>Червонопільська загальноосвітня школа І-ІІІ ступенів Осипенківської сільської ради Бердянського району Запорізької області</t>
  </si>
  <si>
    <t>71170</t>
  </si>
  <si>
    <t>2320686001</t>
  </si>
  <si>
    <t>Червоне Поле</t>
  </si>
  <si>
    <t>вул. Центральна, 131</t>
  </si>
  <si>
    <t>0615395140</t>
  </si>
  <si>
    <t>http://cpschool.at.ua</t>
  </si>
  <si>
    <t>26292224</t>
  </si>
  <si>
    <t>Бердянська загальноосвітня школа І-ІІ ступенів Осипенківської сільської ради Бердянського району Запорізької області</t>
  </si>
  <si>
    <t>71172</t>
  </si>
  <si>
    <t>2320686002</t>
  </si>
  <si>
    <t>(06153)96140</t>
  </si>
  <si>
    <t>26292282</t>
  </si>
  <si>
    <t>Комунальний заклад "Василівська вечірня (змінна) школа" Василівської районної ради Запорізької області</t>
  </si>
  <si>
    <t>71600</t>
  </si>
  <si>
    <t>2320910100</t>
  </si>
  <si>
    <t>(06175)72867</t>
  </si>
  <si>
    <t>http://vechernya-vas.at.ua/</t>
  </si>
  <si>
    <t>Комунальний заклад "Василівська загальноосвітня школа І-ІІІ ступенів № 1" Василівської районної ради Запорізької області</t>
  </si>
  <si>
    <t>(06175)7-48-93, (06175)7-48-54</t>
  </si>
  <si>
    <t>http://vasschool1.ucoz.ru</t>
  </si>
  <si>
    <t>25483100</t>
  </si>
  <si>
    <t>Комунальний заклад "Василівська загальноосвітня школа І-ІІІ ступенів № 3" Василівської районної ради Запорізької області</t>
  </si>
  <si>
    <t>вул. Стадіонна, 23</t>
  </si>
  <si>
    <t>(06175)7-35-51</t>
  </si>
  <si>
    <t>http://vassite3.at.ua/</t>
  </si>
  <si>
    <t>26291928</t>
  </si>
  <si>
    <t>Комунальний заклад "Василівська спеціальна загальноосвітня школа-інтернат" Запорізької обласної ради</t>
  </si>
  <si>
    <t>71601</t>
  </si>
  <si>
    <t>(06175)7-36-06, (06175)7-21-71</t>
  </si>
  <si>
    <t>http://vas-internat.ucoz.ua</t>
  </si>
  <si>
    <t>20518963</t>
  </si>
  <si>
    <t>Комунальний заклад"Василівська гімназія "Сузір'я"- загальноосвітня школа І-ІІІ спупенів" Василівської районної ради Запорізької області</t>
  </si>
  <si>
    <t>(06175)-7-32-21</t>
  </si>
  <si>
    <t>http://suzirya.do.am</t>
  </si>
  <si>
    <t>26073676</t>
  </si>
  <si>
    <t>Комунальний заклад "Дніпрорудненська гімназія "Софія" - загальноосвітня школа І-ІІІ ступенів № 1" Василівської районної ради Запорізької області</t>
  </si>
  <si>
    <t>71630</t>
  </si>
  <si>
    <t>2320910400</t>
  </si>
  <si>
    <t>Дніпрорудне</t>
  </si>
  <si>
    <t>вул. Героїв праці, 7</t>
  </si>
  <si>
    <t>(06175)6-18-14</t>
  </si>
  <si>
    <t>http://sofiya-dn.at.ua/</t>
  </si>
  <si>
    <t>25765436</t>
  </si>
  <si>
    <t>Комунальний заклад "Дніпрорудненська загалноосвітня школа І-ІІ ступенів" Василівської районної ради Запорізької області</t>
  </si>
  <si>
    <t>71632</t>
  </si>
  <si>
    <t>(061 75)6-26-34, (061 75) 6-19-84</t>
  </si>
  <si>
    <t>http://dnepschool.ucoz.ru</t>
  </si>
  <si>
    <t>25479794</t>
  </si>
  <si>
    <t>Комунальний заклад "Дніпрорудненська спеціалізована школа І - ІІІ ступенів "Талант" Василівської районної ради Запорізької області</t>
  </si>
  <si>
    <t>вул. Героїв праці, 25</t>
  </si>
  <si>
    <t>(06175)61881, (06175)61898, (06175)63824, (06175)62666</t>
  </si>
  <si>
    <t>http://talant.zp.ua</t>
  </si>
  <si>
    <t>19278264</t>
  </si>
  <si>
    <t>Комунальний заклад "Дніпрорудненська спеціалізована школа І-ІІІ ступенів "Світоч" Василівської районної ради Запорізької області</t>
  </si>
  <si>
    <t>вул. Шахтарська, 38</t>
  </si>
  <si>
    <t>(06175)63900</t>
  </si>
  <si>
    <t>http://www.svitoch.ucoz.ru</t>
  </si>
  <si>
    <t>25476784</t>
  </si>
  <si>
    <t>Комунальний заклад "Степногірська загальноосвітня школа І-ІІІ ступенів" Василівської райради Запорізької області</t>
  </si>
  <si>
    <t>71611</t>
  </si>
  <si>
    <t>2320955700</t>
  </si>
  <si>
    <t>Степногірськ</t>
  </si>
  <si>
    <t>(06175)57-3-97</t>
  </si>
  <si>
    <t>http://stepnschool.ucoz.ru</t>
  </si>
  <si>
    <t>26251299</t>
  </si>
  <si>
    <t>Комунальний заклад "Балківська загальноосвітня школа І-ІІ ступенів" Василівської районної ради Запорізької області</t>
  </si>
  <si>
    <t>71635</t>
  </si>
  <si>
    <t>2320981101</t>
  </si>
  <si>
    <t>вул. Миру, 256</t>
  </si>
  <si>
    <t>(06175) 53 6 67</t>
  </si>
  <si>
    <t>http://balky-zosh.zp.sch.in.ua</t>
  </si>
  <si>
    <t>Комунальний заклад "Балківська загальноосвітня школа І-ІІІ ступенів" Василівської районної ради Запорізької області</t>
  </si>
  <si>
    <t>вул. Каховська, 28А</t>
  </si>
  <si>
    <t>(06175)53-0-20</t>
  </si>
  <si>
    <t>http://www.balkiscool1.ucoz.ru</t>
  </si>
  <si>
    <t>Комунальний заклад "Кам'янська загальноосвітня школа І - ІІІ ступенів" Василівської районної ради Запорізької області</t>
  </si>
  <si>
    <t>71612</t>
  </si>
  <si>
    <t>2320982201</t>
  </si>
  <si>
    <t>(06175)56-2-91</t>
  </si>
  <si>
    <t>http://kamschooll.ucoz.ru</t>
  </si>
  <si>
    <t>комунальний заклад "Кам'янська спеціальна загальноосвітня школа-інтернат" Запорізької обласної ради</t>
  </si>
  <si>
    <t>вул. Семеренка, 1</t>
  </si>
  <si>
    <t>(06175) 56-2-68</t>
  </si>
  <si>
    <t>http://kaminternat.com</t>
  </si>
  <si>
    <t>20519520</t>
  </si>
  <si>
    <t>Верхньокриничанський навчально-виховний комплекс "загальноосвітня школа І-ІІ ступенів - дошкільний навчальний заклад" Василівської районної ради Запорізької області</t>
  </si>
  <si>
    <t>71622</t>
  </si>
  <si>
    <t>2320983001</t>
  </si>
  <si>
    <t>Верхня Криниця</t>
  </si>
  <si>
    <t>вул. Калинова, 160</t>
  </si>
  <si>
    <t>(06175)51420</t>
  </si>
  <si>
    <t>26292000</t>
  </si>
  <si>
    <t>Комунальний заклад "Малобілозерська загальноосвітня школа І-ІІ ступенів № 2 " Василівської районної ради Запорізької області</t>
  </si>
  <si>
    <t>71671</t>
  </si>
  <si>
    <t>2320983301</t>
  </si>
  <si>
    <t>Мала Білозерка</t>
  </si>
  <si>
    <t>вул. Солодка, 1</t>
  </si>
  <si>
    <t>0617554540</t>
  </si>
  <si>
    <t>http://2malschool27.at.ua/</t>
  </si>
  <si>
    <t>26292141</t>
  </si>
  <si>
    <t>Комунальний заклад "Малобілозерська загальноосвітня школа І-ІІ ступенів" Василівської районної ради Запорізької області</t>
  </si>
  <si>
    <t>71673</t>
  </si>
  <si>
    <t>вул. Таврійська, 60 Б</t>
  </si>
  <si>
    <t>(06175)54-1-96</t>
  </si>
  <si>
    <t>https://sites.google.com/site/kzmalobilozerskazosiiistupeniv/home</t>
  </si>
  <si>
    <t>Комунальний заклад "Малобілозерська загальноосвітня школа І-ІІІ ступенів № 1" Василівської районної ради Запорізької області</t>
  </si>
  <si>
    <t>71670</t>
  </si>
  <si>
    <t>вул. Гвардійська, 23</t>
  </si>
  <si>
    <t>(06175)54-8-31</t>
  </si>
  <si>
    <t>https://sites.google.com/site/belozerka12011</t>
  </si>
  <si>
    <t>25678341</t>
  </si>
  <si>
    <t>Комунальний заклад "Малобілозерська спеціалізована естетична школа-інтернат ІІ-ІІІ ступенів "Дивосвіт" Запорізької обласної ради</t>
  </si>
  <si>
    <t>71672</t>
  </si>
  <si>
    <t>вул. Шахтарська, 95</t>
  </si>
  <si>
    <t>(06175)5-46-92</t>
  </si>
  <si>
    <t>http://dyvosvit.info</t>
  </si>
  <si>
    <t>25679381</t>
  </si>
  <si>
    <t>Комунальний заклад "Орлянська загальноосвітня школа І-ІІІ ступенів" Василівської районної ради Запорізької області</t>
  </si>
  <si>
    <t>71660</t>
  </si>
  <si>
    <t>2320984401</t>
  </si>
  <si>
    <t>Орлянське</t>
  </si>
  <si>
    <t>061-75-52-3-91</t>
  </si>
  <si>
    <t>http://www.orlianske-zosh.edukit.zp.ua</t>
  </si>
  <si>
    <t>Комунальний заклад "Тополинська загальноосвітня школа І-ІІІ ступенів" Василівської районної ради Запорізької області</t>
  </si>
  <si>
    <t>71664</t>
  </si>
  <si>
    <t>2320984403</t>
  </si>
  <si>
    <t>(06175)52140</t>
  </si>
  <si>
    <t>http://topolinschool.ucoz.ru</t>
  </si>
  <si>
    <t>Комунальний заклад "Підгірненська загальноосвітня школа І-ІІ ступенів" Василівської районної ради Запорізької області</t>
  </si>
  <si>
    <t>71652</t>
  </si>
  <si>
    <t>2320985301</t>
  </si>
  <si>
    <t>вул. Чкалова, 82</t>
  </si>
  <si>
    <t>(06175)55225</t>
  </si>
  <si>
    <t>http://pids.space/</t>
  </si>
  <si>
    <t>Комунальний заклад "Приморська загальноосвітня школа І-ІІІ ступенів" Василівської районної ради Запорізької області</t>
  </si>
  <si>
    <t>71615</t>
  </si>
  <si>
    <t>2320985501</t>
  </si>
  <si>
    <t>Приморське</t>
  </si>
  <si>
    <t>вул. Східна, 76</t>
  </si>
  <si>
    <t>(061)7556420</t>
  </si>
  <si>
    <t>http://primorscscool.jimdo.com</t>
  </si>
  <si>
    <t>26292017</t>
  </si>
  <si>
    <t>Приморський навчально-виховний комплекс "Загальноосвітня школа І-ІІ ступенів - дошкільний навчальний заклад"Василівської районної ради Запорізької області</t>
  </si>
  <si>
    <t>71610</t>
  </si>
  <si>
    <t>вул. Весела, 66</t>
  </si>
  <si>
    <t>0617556486</t>
  </si>
  <si>
    <t>http://primschool1.wix.com/primschool1</t>
  </si>
  <si>
    <t>26291905</t>
  </si>
  <si>
    <t>Комунальний заклад "П'ятихатська загальноосвітня школа I-II ступенів" Василівської районної ради Запорізької області</t>
  </si>
  <si>
    <t>71621</t>
  </si>
  <si>
    <t>2320985801</t>
  </si>
  <si>
    <t>(06175)55-7-25</t>
  </si>
  <si>
    <t>http://hatschool.ел</t>
  </si>
  <si>
    <t>Комунальний заклад"Скельківська загальноосвітня школа І-ІІІ ступенів" Василівської районної ради Запорізької області</t>
  </si>
  <si>
    <t>71640</t>
  </si>
  <si>
    <t>2320986601</t>
  </si>
  <si>
    <t>Скельки</t>
  </si>
  <si>
    <t>вул. Стадіонна, 2</t>
  </si>
  <si>
    <t>(06175)59-7-25</t>
  </si>
  <si>
    <t>https://sites.googie.com/site/skelschool</t>
  </si>
  <si>
    <t>26292023</t>
  </si>
  <si>
    <t>Комунальний заклад "Шевченківська загальноосвітня школа І-ІІ ступенів" Василівської районної ради Запорізької області.</t>
  </si>
  <si>
    <t>71643</t>
  </si>
  <si>
    <t>2320986605</t>
  </si>
  <si>
    <t>вул. Щаслива, 39</t>
  </si>
  <si>
    <t>(06175)5-94-32</t>
  </si>
  <si>
    <t>Комунальний заклад "Широківська загальноосвітня школа І-ІІ ступенів" Василівської районної ради Запорізької області</t>
  </si>
  <si>
    <t>71650</t>
  </si>
  <si>
    <t>2320988801</t>
  </si>
  <si>
    <t>вул. Миру, 48Б</t>
  </si>
  <si>
    <t>(06175)55-5-25</t>
  </si>
  <si>
    <t>http://shirschool.ucoz.ru</t>
  </si>
  <si>
    <t>Комунальний заклад"Долинська загальноосвітня школа І-ІІ ступенів" Василівської районної ради Запорізької області</t>
  </si>
  <si>
    <t>71651</t>
  </si>
  <si>
    <t>2320988808</t>
  </si>
  <si>
    <t>0617555431</t>
  </si>
  <si>
    <t>http://www.chervarmschool.ucoz.ru</t>
  </si>
  <si>
    <t>Великобілозерська загальноосвітня школа І-ІІ ступенів № 6 Великобілозерської районної ради Запорізької області</t>
  </si>
  <si>
    <t>71400</t>
  </si>
  <si>
    <t>2321180101</t>
  </si>
  <si>
    <t>Велика Білозерка(частина 1 Села)</t>
  </si>
  <si>
    <t>вул. Травнева, 53</t>
  </si>
  <si>
    <t>025620560</t>
  </si>
  <si>
    <t>Великобілозерський навчально-виховний комплекс № 1 Великобілозерської районної ради Запорізької області</t>
  </si>
  <si>
    <t>вул. Щорса, 5 а</t>
  </si>
  <si>
    <t>8 (06156) 20078</t>
  </si>
  <si>
    <t>Гюнівська загальноосвітня школа І-ІІ ступенів № 1 Великобілозерської районної ради Запорізької області</t>
  </si>
  <si>
    <t>71410</t>
  </si>
  <si>
    <t>2321183501</t>
  </si>
  <si>
    <t>Гюнівка</t>
  </si>
  <si>
    <t>(0-6156)26-1-31</t>
  </si>
  <si>
    <t>Великобілозерська загальносвітня школа І-ІІ ступенів № 4 Великобілозерської районної ради Запорізької області</t>
  </si>
  <si>
    <t>71402</t>
  </si>
  <si>
    <t>2321186502</t>
  </si>
  <si>
    <t>Велика Білозерка(частина 2 Села)</t>
  </si>
  <si>
    <t>вул. Центральна, 290</t>
  </si>
  <si>
    <t>0615622146</t>
  </si>
  <si>
    <t>Великобілозерська загальноосвітня школа І-ІІ ступенів № 3 Великобілозерської районної ради Запорізької області</t>
  </si>
  <si>
    <t>2321187401</t>
  </si>
  <si>
    <t>Велика Білозерка(частина 3 Села)</t>
  </si>
  <si>
    <t>0615625181</t>
  </si>
  <si>
    <t>Великобілозерська загальноосвітня школа І-ІІ ступенів № 2 Великобілозерської районної ради Запорізької області</t>
  </si>
  <si>
    <t>71401</t>
  </si>
  <si>
    <t>2321188401</t>
  </si>
  <si>
    <t>Велика Білозерка(частина 4 Села)</t>
  </si>
  <si>
    <t>вул. Червонофлотська, 12</t>
  </si>
  <si>
    <t>(06156)2-31-22</t>
  </si>
  <si>
    <t>Великобілозерська загальноосвітня школа І-ІІ ступенів № 5 Великобілозерської районної ради Запорізької області</t>
  </si>
  <si>
    <t>71404</t>
  </si>
  <si>
    <t>вул. Пархоменка, 65</t>
  </si>
  <si>
    <t>0615624141</t>
  </si>
  <si>
    <t>Комунальний заклад "Веселівська загальноосвітня школа І-ІІІ ступенів № 1 Веселівської селищної ради"</t>
  </si>
  <si>
    <t>72202</t>
  </si>
  <si>
    <t>2321255100</t>
  </si>
  <si>
    <t>вул. Пушкіна, 16</t>
  </si>
  <si>
    <t>(06136)2-18-70</t>
  </si>
  <si>
    <t>http://www.s1vesele.ucoz.net</t>
  </si>
  <si>
    <t>26318030</t>
  </si>
  <si>
    <t>Комунальний заклад "Веселівська загальноосвітня школа І-ІІІ ступенів № 2" Веселівської селищної ради</t>
  </si>
  <si>
    <t>вул. Продольна, №59</t>
  </si>
  <si>
    <t>(06136)2-15-94</t>
  </si>
  <si>
    <t>http://vesschool2.ucoz.ua</t>
  </si>
  <si>
    <t>26318047</t>
  </si>
  <si>
    <t>Комунальний заклад "Веселівська районна різнопрофільна гімназія" Веселівської селищної ради</t>
  </si>
  <si>
    <t>вул. Макаренка, 4</t>
  </si>
  <si>
    <t>(06136) 2-16-32, (06136) 2-19-23</t>
  </si>
  <si>
    <t>http://vesele-gimnaz.ucoz.ua/</t>
  </si>
  <si>
    <t>33552924</t>
  </si>
  <si>
    <t>Комунальний заклад "Новоолександрівська загальноосвітня школа І - ІІ ступені" Веселівської селищної ради.</t>
  </si>
  <si>
    <t>72205</t>
  </si>
  <si>
    <t>2321255102</t>
  </si>
  <si>
    <t>71-1-25</t>
  </si>
  <si>
    <t>26318082</t>
  </si>
  <si>
    <t>Комунальний заклад "Маломихайлівська загальноосвітня школа І-ІІІ ступенів"Веселівської селищної ради Запорізької області</t>
  </si>
  <si>
    <t>72252</t>
  </si>
  <si>
    <t>2321280501</t>
  </si>
  <si>
    <t>Мала Михайлівка</t>
  </si>
  <si>
    <t>06136(75-1-25)</t>
  </si>
  <si>
    <t>26318018</t>
  </si>
  <si>
    <t>Комунальний заклад "Запорізька загальноосвітня школа І-ІІІ ступенів Веселівської районної ради Запорізької області"</t>
  </si>
  <si>
    <t>72240</t>
  </si>
  <si>
    <t>2321281201</t>
  </si>
  <si>
    <t>вул. Гагаріна, 12</t>
  </si>
  <si>
    <t>0613676325</t>
  </si>
  <si>
    <t>http://sapshkola.ucoz.ua</t>
  </si>
  <si>
    <t>Комунальний заклад "Зеленогаївська загальноосвітня школа І-ІІ ступенів Веселевської районної ради Запорізької області"</t>
  </si>
  <si>
    <t>72231</t>
  </si>
  <si>
    <t>2321281401</t>
  </si>
  <si>
    <t>(06136)75349</t>
  </si>
  <si>
    <t>https://sites.google.com/site/kzzelenogaievskazosiiistupeniv/</t>
  </si>
  <si>
    <t>КЗ "Калинівська загальноосвітня школа І-ІІІ ступенів Веселівської районної ради Запорізької області"</t>
  </si>
  <si>
    <t>72210</t>
  </si>
  <si>
    <t>2321282301</t>
  </si>
  <si>
    <t>0613672525</t>
  </si>
  <si>
    <t>http://kzkalinowka.webnode.com.ua/</t>
  </si>
  <si>
    <t>Комунальний заклад "Корніївська загальноосвітня школа І-ІІІступенів Веселівської районної ради Запорізької області"</t>
  </si>
  <si>
    <t>72213</t>
  </si>
  <si>
    <t>2321282501</t>
  </si>
  <si>
    <t>Корніївка</t>
  </si>
  <si>
    <t>вул. Леніна, 123В</t>
  </si>
  <si>
    <t>73 3 23</t>
  </si>
  <si>
    <t>Комунальний заклад "Матвіївська загальноосвітня школа І-ІІІ ступенів Веселівської районної ради Запорізької області"</t>
  </si>
  <si>
    <t>72222</t>
  </si>
  <si>
    <t>2321283401</t>
  </si>
  <si>
    <t>Матвіївка</t>
  </si>
  <si>
    <t>вул. Першого травня, 48</t>
  </si>
  <si>
    <t>(06136)77-5-42</t>
  </si>
  <si>
    <t>Комунальний заклад "Менчикурівська загальноосвітня школа I-III ступенів" Веселівської районної ради Запорізької області</t>
  </si>
  <si>
    <t>72215</t>
  </si>
  <si>
    <t>2321284001</t>
  </si>
  <si>
    <t>Менчикури</t>
  </si>
  <si>
    <t>вул. Пушкіна, 34</t>
  </si>
  <si>
    <t>0613672332</t>
  </si>
  <si>
    <t>Комунальний заклад"Новоуспенівська загальноосвітня школа І-ІІІ ступенів Веселівської районної ради Запорізької області"</t>
  </si>
  <si>
    <t>72220</t>
  </si>
  <si>
    <t>2321285701</t>
  </si>
  <si>
    <t>Новоуспенівка</t>
  </si>
  <si>
    <t>06136-76-5-25</t>
  </si>
  <si>
    <t>Комунальний заклад "Таврійська загальносвітня школа І-ІІІ ступенів Веселівської районної ради Запорізької області"</t>
  </si>
  <si>
    <t>72242</t>
  </si>
  <si>
    <t>2321286301</t>
  </si>
  <si>
    <t>Таврія</t>
  </si>
  <si>
    <t>0-6136-76-1-25</t>
  </si>
  <si>
    <t>Комунальний заклад "Веселівська загальноосвітня школа І - ІІІ ступенів Веселівської районної ради Запорізької області"</t>
  </si>
  <si>
    <t>72241</t>
  </si>
  <si>
    <t>2321286303</t>
  </si>
  <si>
    <t>(06136)77-1-25</t>
  </si>
  <si>
    <t>Комунальний заклад "Чкаловська загальноосвітня школа І-ІІІ ступенів Веселівської районної ради Запорізької області"</t>
  </si>
  <si>
    <t>72212</t>
  </si>
  <si>
    <t>2321286801</t>
  </si>
  <si>
    <t>вул. Черняховського, 1</t>
  </si>
  <si>
    <t>(06136)74525</t>
  </si>
  <si>
    <t>http://chkalove-zosh.zp.sch.in.ua</t>
  </si>
  <si>
    <t>Комунальний заклад "Широківська загальноосвітня школа І-ІІІ ступенів" Веселівської селищної ради</t>
  </si>
  <si>
    <t>72250</t>
  </si>
  <si>
    <t>2321287901</t>
  </si>
  <si>
    <t>вул. Шкільна, 44А</t>
  </si>
  <si>
    <t>0613675525</t>
  </si>
  <si>
    <t>26318171</t>
  </si>
  <si>
    <t>Вільнянська гімназія "Світоч" Вільнянської районної ради Запорізької області</t>
  </si>
  <si>
    <t>70002</t>
  </si>
  <si>
    <t>2321510100</t>
  </si>
  <si>
    <t>Вільнянськ</t>
  </si>
  <si>
    <t>вул. Бочарова, 14</t>
  </si>
  <si>
    <t>0614341653</t>
  </si>
  <si>
    <t>http://www.svitoch2013.ucoz.ua</t>
  </si>
  <si>
    <t>33364009</t>
  </si>
  <si>
    <t>Вільнянська загальноосвітня школа І-ІІІ ступенів № 3 Вільнянської районної ради Запорізької області</t>
  </si>
  <si>
    <t>вул. Бочарова, 11</t>
  </si>
  <si>
    <t>(06143)41405, (06143)41076</t>
  </si>
  <si>
    <t>http://www.vlnzosh3.ucoz.ua</t>
  </si>
  <si>
    <t>26337872</t>
  </si>
  <si>
    <t>Вільнянська загальноосвітня школа І-ІІІ ступенів № 1 Вільнянської районної ради Запорізької області</t>
  </si>
  <si>
    <t>вул. Космодем'янської, 3А</t>
  </si>
  <si>
    <t>(06143)4-16-72</t>
  </si>
  <si>
    <t>http://school1voln.ucoz.ru</t>
  </si>
  <si>
    <t>26337866</t>
  </si>
  <si>
    <t>Вільнянська загальноосвітня школа І-ІІІ ступенів № 2 Вільнянської районної ради Запорізької області</t>
  </si>
  <si>
    <t>пров. Новий, 7</t>
  </si>
  <si>
    <t>(06143)44786</t>
  </si>
  <si>
    <t>http://www.volnskola2.ucoz.ua</t>
  </si>
  <si>
    <t>25741068</t>
  </si>
  <si>
    <t>Комунальний заклад "Вільнянська спеціальна загальноосвітня школа-інтернат" Запорізької обласної ради</t>
  </si>
  <si>
    <t>пров. Шкільний, 5</t>
  </si>
  <si>
    <t>(06143)45034</t>
  </si>
  <si>
    <t>http://vhint.pe.hu/</t>
  </si>
  <si>
    <t>20516295</t>
  </si>
  <si>
    <t>Кам'янська загальноосвітня школа І - ІІ ступенів Вільнянської районної ради Запорізької області</t>
  </si>
  <si>
    <t>70050</t>
  </si>
  <si>
    <t>2321555300</t>
  </si>
  <si>
    <t>Кам'яне</t>
  </si>
  <si>
    <t>вул. Центральна, 7 а</t>
  </si>
  <si>
    <t>0614397189</t>
  </si>
  <si>
    <t>http://kamjanskazosch.ucoz.ru</t>
  </si>
  <si>
    <t>26337843</t>
  </si>
  <si>
    <t>Антонівський навчально-виховний комплекс Вільнянської районної ради Запорізької області</t>
  </si>
  <si>
    <t>70040</t>
  </si>
  <si>
    <t>2321580501</t>
  </si>
  <si>
    <t>(06143)99-5-17</t>
  </si>
  <si>
    <t>http://nvkantonivka.ucoz.ua/</t>
  </si>
  <si>
    <t>26337748</t>
  </si>
  <si>
    <t>Гнаровська загальноосвітня школа І ступеня Вільнянської районної ради Запорізької області</t>
  </si>
  <si>
    <t>70017</t>
  </si>
  <si>
    <t>2321581001</t>
  </si>
  <si>
    <t>Гнаровське</t>
  </si>
  <si>
    <t>(06143)95246, 0939937681</t>
  </si>
  <si>
    <t>http://gnarovzoch.blogspot.com/</t>
  </si>
  <si>
    <t>26337777</t>
  </si>
  <si>
    <t>Дніпровська загальноосвітня школа І-ІІІ ступенів Вільнянської районної ради Запорізької області</t>
  </si>
  <si>
    <t>70014</t>
  </si>
  <si>
    <t>2321581301</t>
  </si>
  <si>
    <t>Дніпровка</t>
  </si>
  <si>
    <t>вул. Паторжинського, 42Г</t>
  </si>
  <si>
    <t>061-43-9-95-3-43</t>
  </si>
  <si>
    <t>http://dneprovka.ucoz.ru/</t>
  </si>
  <si>
    <t>26337760</t>
  </si>
  <si>
    <t>Дружелюбівський навчально-виховний комплекс Вільнянської районної ради Запорізької області</t>
  </si>
  <si>
    <t>70053</t>
  </si>
  <si>
    <t>2321581401</t>
  </si>
  <si>
    <t>вул. Олімпійська, 5</t>
  </si>
  <si>
    <t>(06143)97666</t>
  </si>
  <si>
    <t>http://druzhzosh-nvk.ucoz.ua</t>
  </si>
  <si>
    <t>26337725</t>
  </si>
  <si>
    <t>Семененківський навчально-виховний комплекс Вільнянської районної ради Запорізької області</t>
  </si>
  <si>
    <t>70026</t>
  </si>
  <si>
    <t>2321582001</t>
  </si>
  <si>
    <t>Семененкове</t>
  </si>
  <si>
    <t>(06143)98524</t>
  </si>
  <si>
    <t>http://smo.ucoz.ua</t>
  </si>
  <si>
    <t>26337702</t>
  </si>
  <si>
    <t>Купріянівський навчально-виховний комплекс Вільнянської районної ради Запорізької області</t>
  </si>
  <si>
    <t>70054</t>
  </si>
  <si>
    <t>2321582201</t>
  </si>
  <si>
    <t>Купріянівка</t>
  </si>
  <si>
    <t>06143-98-328</t>
  </si>
  <si>
    <t>http://kuprizosh.ucoz.ru</t>
  </si>
  <si>
    <t>26337797</t>
  </si>
  <si>
    <t>Любимівський навчально-виховний комплекс (дошкільний навчальний заклад-загальноосвтній навчальний заклад) Вільнянської районної ради Запорізької області</t>
  </si>
  <si>
    <t>70033</t>
  </si>
  <si>
    <t>2321582501</t>
  </si>
  <si>
    <t>вул. Центральна, 95А</t>
  </si>
  <si>
    <t>+380614390540</t>
  </si>
  <si>
    <t>http://lubimvol.ucoz.ru</t>
  </si>
  <si>
    <t>26337694</t>
  </si>
  <si>
    <t>Люцернянський навчально-виховний комплекс Вільнянської районної ради Запорізької області</t>
  </si>
  <si>
    <t>70037</t>
  </si>
  <si>
    <t>2321582701</t>
  </si>
  <si>
    <t>Люцерна</t>
  </si>
  <si>
    <t>вул. Шкільна, 1Е</t>
  </si>
  <si>
    <t>(06143)-96-7-21</t>
  </si>
  <si>
    <t>http://lucernazosh.ucoz.ru/</t>
  </si>
  <si>
    <t>26337808</t>
  </si>
  <si>
    <t>Максимівський навчально-виховний комплекс Вільнянської районної ради Запорізької області</t>
  </si>
  <si>
    <t>70024</t>
  </si>
  <si>
    <t>2321583001</t>
  </si>
  <si>
    <t>0614398156</t>
  </si>
  <si>
    <t>http://www.maxoosh.ucoz.ua/</t>
  </si>
  <si>
    <t>26337837</t>
  </si>
  <si>
    <t>Комунальний заклад "Матвіївська загальноосвітня санаторна школа-інтернат І-ІІІ ступенів" Запорізької обласної ради</t>
  </si>
  <si>
    <t>70035</t>
  </si>
  <si>
    <t>2321583601</t>
  </si>
  <si>
    <t>(06143)94308, (06143)94110, (06143)94503</t>
  </si>
  <si>
    <t>http://matveevkaschool.wixsite.com/internat</t>
  </si>
  <si>
    <t>20520196</t>
  </si>
  <si>
    <t>Матвіївський загальноосвітній навчально-виховний комплекс "Всесвіт" Вільнянської районної ради Запорізької області</t>
  </si>
  <si>
    <t>вул. Центральна, 73 А</t>
  </si>
  <si>
    <t>0614394310, 0614394574</t>
  </si>
  <si>
    <t>http://znvkvsesvit.zp.ua</t>
  </si>
  <si>
    <t>24910178</t>
  </si>
  <si>
    <t>Михайлівський навчально-виховний комплекс ім. О.Т. Слободчикова Вільнянської районної ради Запорізької області</t>
  </si>
  <si>
    <t>70030</t>
  </si>
  <si>
    <t>2321584001</t>
  </si>
  <si>
    <t>38А</t>
  </si>
  <si>
    <t>0614393508</t>
  </si>
  <si>
    <t>http://mihailivsk-nvk.ucoz.ru</t>
  </si>
  <si>
    <t>20521190</t>
  </si>
  <si>
    <t>Вільноандріївська загальноосвітня школа І-ІІ ступенів Вільнянської районної ради Запорізької області</t>
  </si>
  <si>
    <t>70032</t>
  </si>
  <si>
    <t>2321584004</t>
  </si>
  <si>
    <t>Вільноандріївка</t>
  </si>
  <si>
    <t>вул. Дніпровська, 84Б</t>
  </si>
  <si>
    <t>(061)4396336</t>
  </si>
  <si>
    <t>http://vilnandrsite.ucoz.ru/</t>
  </si>
  <si>
    <t>26337903</t>
  </si>
  <si>
    <t>Соколівський навчально-виховний комплекс (дошкільний навчальний заклад - загальноосвітній навчальний заклад) Вільнянської районної ради Запорізької області</t>
  </si>
  <si>
    <t>70031</t>
  </si>
  <si>
    <t>2321584011</t>
  </si>
  <si>
    <t>вул. Першотравнева, 49</t>
  </si>
  <si>
    <t>(061)43-96-525</t>
  </si>
  <si>
    <t>http://sokzosh.ucoz.ua</t>
  </si>
  <si>
    <t>26337820</t>
  </si>
  <si>
    <t>Михайло-Лукашівська загальноосвітня школа І-ІІІ ступенів Вільнянської районної ради Запорізької області</t>
  </si>
  <si>
    <t>70042</t>
  </si>
  <si>
    <t>2321584501</t>
  </si>
  <si>
    <t>Михайло-Лукашеве</t>
  </si>
  <si>
    <t>вул. Космічна, 55</t>
  </si>
  <si>
    <t>0614399137</t>
  </si>
  <si>
    <t>http://mloos.ucoz.ru</t>
  </si>
  <si>
    <t>25742323</t>
  </si>
  <si>
    <t>Московський навчально-виховний комплекс Вільнянської районної ради Запорізької області</t>
  </si>
  <si>
    <t>70044</t>
  </si>
  <si>
    <t>2321585001</t>
  </si>
  <si>
    <t>Московка</t>
  </si>
  <si>
    <t>(061)4390122</t>
  </si>
  <si>
    <t>http://www.nvkmoskovskij.ucoz.ru</t>
  </si>
  <si>
    <t>26337671</t>
  </si>
  <si>
    <t>Новогупалівський навчально-виховний комплекс Вільнянської районної ради Запорізької області</t>
  </si>
  <si>
    <t>70020</t>
  </si>
  <si>
    <t>2321585601</t>
  </si>
  <si>
    <t>Новогупалівка</t>
  </si>
  <si>
    <t>(06143)96144</t>
  </si>
  <si>
    <t>http://novogupalivka.ucoz.ru</t>
  </si>
  <si>
    <t>26337754</t>
  </si>
  <si>
    <t>Нововасилівський навчально-виховний комплекс Вільнянської районної ради Запорізької області</t>
  </si>
  <si>
    <t>70005</t>
  </si>
  <si>
    <t>2321586107</t>
  </si>
  <si>
    <t>вул. Польова, 18А</t>
  </si>
  <si>
    <t>(06143)90-3-69</t>
  </si>
  <si>
    <t>http://novovasilevka-z.ucoz.ru</t>
  </si>
  <si>
    <t>26337814</t>
  </si>
  <si>
    <t>Петро-Михайлівська загальноосвітня школа І-ІІІ ступенів Вільнянської районної ради Запорізької області</t>
  </si>
  <si>
    <t>70015</t>
  </si>
  <si>
    <t>2321586801</t>
  </si>
  <si>
    <t>Петро-Михайлівка</t>
  </si>
  <si>
    <t>0614395546</t>
  </si>
  <si>
    <t>http://www.pmshkola.ucoz.ua</t>
  </si>
  <si>
    <t>26337731</t>
  </si>
  <si>
    <t>Привільненський навчально-виховний комплекс Вільнянської районної ради Запорізької області</t>
  </si>
  <si>
    <t>70022</t>
  </si>
  <si>
    <t>2321587001</t>
  </si>
  <si>
    <t>0614398744</t>
  </si>
  <si>
    <t>http://privilzosh.ucoz.ru</t>
  </si>
  <si>
    <t>26337783</t>
  </si>
  <si>
    <t>Солоненський навчально-виховний комплекс Вільнянської районної ради Запорізької області</t>
  </si>
  <si>
    <t>70021</t>
  </si>
  <si>
    <t>2321587201</t>
  </si>
  <si>
    <t>вул. Лесі Українки, 1В</t>
  </si>
  <si>
    <t>(06143)99448</t>
  </si>
  <si>
    <t>http://www.soloosh.ucoz.ua</t>
  </si>
  <si>
    <t>26337851</t>
  </si>
  <si>
    <t>Тернівський навчально-виховний комплекс Вільнянської районної ради Запорізької області</t>
  </si>
  <si>
    <t>70010</t>
  </si>
  <si>
    <t>2321587301</t>
  </si>
  <si>
    <t>вул. Зачиняєва, 1А</t>
  </si>
  <si>
    <t>(06143)95144</t>
  </si>
  <si>
    <t>http://www.ternovka.ucoz.ru</t>
  </si>
  <si>
    <t>26337688</t>
  </si>
  <si>
    <t>Комунальний заклад "Гуляйпільська загальноосвітня школа І-ІІІ ступенів № 1" Гуляйпільської районної ради</t>
  </si>
  <si>
    <t>70200</t>
  </si>
  <si>
    <t>2321810100</t>
  </si>
  <si>
    <t>вул. Соборна, 48</t>
  </si>
  <si>
    <t>(061)45-4-11-08, (061)45-4-11-03, (061)45-4-10-95, (061)45-4-</t>
  </si>
  <si>
    <t>http://gpzosh1.klasna.com/</t>
  </si>
  <si>
    <t>26073447</t>
  </si>
  <si>
    <t>Комунальний заклад "Гуляйпільська загальноосвітня школа І-ІІІ ступенів № 2" Гуляйпільської районної ради</t>
  </si>
  <si>
    <t>70203</t>
  </si>
  <si>
    <t>вул. Вербова, 2</t>
  </si>
  <si>
    <t>(095)9335727</t>
  </si>
  <si>
    <t>http://zosch2.blogspot.com/</t>
  </si>
  <si>
    <t>26316812</t>
  </si>
  <si>
    <t>Комунальний заклад "Гуляйпільська спеціалізована загальноосвітня школа І-ІІІ ступенів" Гуляйпільської районної ради</t>
  </si>
  <si>
    <t>вул. Захисників України, 11</t>
  </si>
  <si>
    <t>(06145)4-15-46</t>
  </si>
  <si>
    <t>http://szosch.ucoz.net/</t>
  </si>
  <si>
    <t>26316829</t>
  </si>
  <si>
    <t>Комунальний заклад «Гуляйпільський колегіум «Лідер» Гуляйпільської районної ради</t>
  </si>
  <si>
    <t>вул. Цвітна, 5</t>
  </si>
  <si>
    <t>(061)45-4-19-09, (061)45-4-16-61, (061)45-4-21-83</t>
  </si>
  <si>
    <t>http://gplider.at.ua</t>
  </si>
  <si>
    <t>25891980</t>
  </si>
  <si>
    <t>Комунальний заклад "Гуляйпільська спеціальна загальноосвітня школа-інтернат" Запорізької обласної ради</t>
  </si>
  <si>
    <t>70231</t>
  </si>
  <si>
    <t>2321855300</t>
  </si>
  <si>
    <t>Залізничне</t>
  </si>
  <si>
    <t>вул. Школа-інтернат, 2</t>
  </si>
  <si>
    <t>(06145)4-13-47</t>
  </si>
  <si>
    <t>http://www.glp-internat.zp.ua</t>
  </si>
  <si>
    <t>20515410</t>
  </si>
  <si>
    <t>Комунальний заклад "Залізнична загальноосвітня школа І-ІІ ступенів" Гуляйпільської районної ради</t>
  </si>
  <si>
    <t>0662079224</t>
  </si>
  <si>
    <t>http://zlscholl.ucoz.net/</t>
  </si>
  <si>
    <t>26316924</t>
  </si>
  <si>
    <t>Комунальний заклад "Верхньотерсянська загальноосвітня школа І-ІІІ ступенів" Гуляйпільської районної ради</t>
  </si>
  <si>
    <t>70224</t>
  </si>
  <si>
    <t>2321880501</t>
  </si>
  <si>
    <t>Верхня Терса</t>
  </si>
  <si>
    <t>вул. Центральна, 68</t>
  </si>
  <si>
    <t>(061) 45 95125</t>
  </si>
  <si>
    <t>http://vtersa-school.zp.sch.in.ua</t>
  </si>
  <si>
    <t>26316976</t>
  </si>
  <si>
    <t>Комунальний заклад "Воздвижівська загальноосвітня школа І-ІІІ ступенів" Гуляйпільської районної ради</t>
  </si>
  <si>
    <t>70220</t>
  </si>
  <si>
    <t>2321881001</t>
  </si>
  <si>
    <t>Воздвижівка</t>
  </si>
  <si>
    <t>вул. Леніна, 40</t>
  </si>
  <si>
    <t>(061)45-96-5-37</t>
  </si>
  <si>
    <t>http://vozdvyzhivka-school.edukit.zp.ua</t>
  </si>
  <si>
    <t>26316918</t>
  </si>
  <si>
    <t>Комунальний заклад "Добропільська загальноосвітня школа І-ІІІ ступенів" Гуляйпільської районної ради</t>
  </si>
  <si>
    <t>70221</t>
  </si>
  <si>
    <t>2321881501</t>
  </si>
  <si>
    <t>вул. Перемоги, 50А</t>
  </si>
  <si>
    <t>(06145)97125, 0958690882</t>
  </si>
  <si>
    <t>http://dobropillia-zosh.edukit.zp.ua</t>
  </si>
  <si>
    <t>26316835</t>
  </si>
  <si>
    <t>Комунальний заклад "Долинська загальноосвітня школа І-ІІІ ступенів" Гуляйпільської районної ради</t>
  </si>
  <si>
    <t>70223</t>
  </si>
  <si>
    <t>2321882001</t>
  </si>
  <si>
    <t>(099)2711089</t>
  </si>
  <si>
    <t>http://dolinka_schol.klasna.com</t>
  </si>
  <si>
    <t>26316901</t>
  </si>
  <si>
    <t>Комунальний заклад "Гуляйпільська загальноосвітня школа І-ІІІ ступенів" Гуляйпільської районної ради</t>
  </si>
  <si>
    <t>70232</t>
  </si>
  <si>
    <t>2321883001</t>
  </si>
  <si>
    <t>Гуляйпільське</t>
  </si>
  <si>
    <t>вул. Лавренкова, 28</t>
  </si>
  <si>
    <t>(061)45-97-5-67, (095)32-51-459</t>
  </si>
  <si>
    <t>http://knvc.klasna.com</t>
  </si>
  <si>
    <t>26316953</t>
  </si>
  <si>
    <t>Комунальний заклад "Любимівська загальноосвітня школа І-ІІІ ступенів " Гуляйпільської районної ради</t>
  </si>
  <si>
    <t>70245</t>
  </si>
  <si>
    <t>2321883501</t>
  </si>
  <si>
    <t>вул. Калініна, 24</t>
  </si>
  <si>
    <t>(061)45-99-1-25</t>
  </si>
  <si>
    <t>26316841</t>
  </si>
  <si>
    <t>Комунальний заклад "Малинівська загальноосвітня школа І-ІІІ ступенів" Гуляйпільської районної ради</t>
  </si>
  <si>
    <t>70242</t>
  </si>
  <si>
    <t>2321884001</t>
  </si>
  <si>
    <t>вул. Космічна, 21</t>
  </si>
  <si>
    <t>(06145)96-1-98</t>
  </si>
  <si>
    <t>http://malynivka-school.edukit.zp.ua/</t>
  </si>
  <si>
    <t>26316960</t>
  </si>
  <si>
    <t>Комунальний заклад "Мирненська загальноосвітня школа І-ІІІ ступенів" Гуляйпільської районної ради</t>
  </si>
  <si>
    <t>70233</t>
  </si>
  <si>
    <t>2321884201</t>
  </si>
  <si>
    <t>(06145)97-7-23</t>
  </si>
  <si>
    <t>http://mirnvc.klasna.com</t>
  </si>
  <si>
    <t>26316858</t>
  </si>
  <si>
    <t>Комунальний заклад "Новозлатопільська загальноосвітня школа І-ІІІ ступенів" Гуляйпільської районної ради</t>
  </si>
  <si>
    <t>70244</t>
  </si>
  <si>
    <t>2321884501</t>
  </si>
  <si>
    <t>Новозлатопіль</t>
  </si>
  <si>
    <t>вул. Леніна, 80</t>
  </si>
  <si>
    <t>(098)6520895</t>
  </si>
  <si>
    <t>http://zlato-zosch.blogspot.com</t>
  </si>
  <si>
    <t>26316864</t>
  </si>
  <si>
    <t>Комунальний заклад «Полтавська загальноосвітня школа І-ІІІ ступенів» Гуляйпільської районної ради</t>
  </si>
  <si>
    <t>70240</t>
  </si>
  <si>
    <t>2321885501</t>
  </si>
  <si>
    <t>Полтавка</t>
  </si>
  <si>
    <t>вул. Санжарівська, 44</t>
  </si>
  <si>
    <t>(06145)95-3-10, (067)66-52-975</t>
  </si>
  <si>
    <t>http://poltavska-zosh.at.ua</t>
  </si>
  <si>
    <t>26316870</t>
  </si>
  <si>
    <t>Комунальний заклад "Приютненська загальноосвітня школа І-ІІІ ступенів" Гуляйпільської районної ради</t>
  </si>
  <si>
    <t>70241</t>
  </si>
  <si>
    <t>2321886001</t>
  </si>
  <si>
    <t>Приютне</t>
  </si>
  <si>
    <t>(061)45-90-3-25</t>
  </si>
  <si>
    <t>26316887</t>
  </si>
  <si>
    <t>Комунальний заклад "Темирівська загальноосвітня школа І-ІІІ ступенів" Гуляйпільської районної ради</t>
  </si>
  <si>
    <t>70210</t>
  </si>
  <si>
    <t>2321887001</t>
  </si>
  <si>
    <t>Темирівка</t>
  </si>
  <si>
    <t>(06145)90-5-25</t>
  </si>
  <si>
    <t>http://temyrivka-school.zp.sch.in.ua</t>
  </si>
  <si>
    <t>26316947</t>
  </si>
  <si>
    <t>Комунальний заклад "Успенівська загальноосвітня школа І-ІІІ ступенів" Гуляйпільської районної ради</t>
  </si>
  <si>
    <t>70211</t>
  </si>
  <si>
    <t>2321887501</t>
  </si>
  <si>
    <t>вул. Перемоги, 20</t>
  </si>
  <si>
    <t>(061)45-99-4-25</t>
  </si>
  <si>
    <t>http://uspenivka-school.pp.ua</t>
  </si>
  <si>
    <t>26316893</t>
  </si>
  <si>
    <t>Комунальний заклад "Червоненська загальноосвітня школа І-ІІІ ступенів" Гуляйпільської районної ради</t>
  </si>
  <si>
    <t>70243</t>
  </si>
  <si>
    <t>2321888001</t>
  </si>
  <si>
    <t>(099)4684205</t>
  </si>
  <si>
    <t>http://chervonenvk.wixsite.com/schoolred</t>
  </si>
  <si>
    <t>26316930</t>
  </si>
  <si>
    <t>Балабинський навчально-виховний комплекс "школа І-Ш ступенів - гімназія "Престиж" Запорізького району Запорізької області</t>
  </si>
  <si>
    <t>70435</t>
  </si>
  <si>
    <t>2322155300</t>
  </si>
  <si>
    <t>Балабине</t>
  </si>
  <si>
    <t>вул. Престижна, 2А</t>
  </si>
  <si>
    <t>(061)2233132, (0612)2233319</t>
  </si>
  <si>
    <t>http://balabino.ucoz.com</t>
  </si>
  <si>
    <t>25741714</t>
  </si>
  <si>
    <t>Кушугумський навчально-виховний комплекс "школа І-ІІІ ступенів - гімназія "Інтелект" Запорізького району Запорізької області</t>
  </si>
  <si>
    <t>70450</t>
  </si>
  <si>
    <t>2322155600</t>
  </si>
  <si>
    <t>Кушугум</t>
  </si>
  <si>
    <t>вул. Шевченка, 71</t>
  </si>
  <si>
    <t>(061)223-42-25, (061)223-42-06</t>
  </si>
  <si>
    <t>http://kushugum-intelekt.edukit.zp.ua</t>
  </si>
  <si>
    <t>20504151</t>
  </si>
  <si>
    <t>Малокатеринівський навчально-виховний комплекс "школа І-ІІІ ступенів- гімназія "Мрія" Запорізького району Запорізької області</t>
  </si>
  <si>
    <t>70454</t>
  </si>
  <si>
    <t>2322155900</t>
  </si>
  <si>
    <t>Малокатеринівка</t>
  </si>
  <si>
    <t>вул. Юності, 33</t>
  </si>
  <si>
    <t>(061)2877130</t>
  </si>
  <si>
    <t>http://mkaterynivka-nvk.edukit.zp.ua/</t>
  </si>
  <si>
    <t>13634930</t>
  </si>
  <si>
    <t>Августинівська загальноосвітня школа І-ІІІ ступенів Запорізького району Запорізької області</t>
  </si>
  <si>
    <t>70403</t>
  </si>
  <si>
    <t>2322180401</t>
  </si>
  <si>
    <t>Августинівка</t>
  </si>
  <si>
    <t>вул. Молодіжна, 63</t>
  </si>
  <si>
    <t>((061))223-11-37</t>
  </si>
  <si>
    <t>http://avgschkola.umi.ru/</t>
  </si>
  <si>
    <t>26404232</t>
  </si>
  <si>
    <t>Відраднівська загальноосвітня школа І - ІІІ ступенів Запорізького району, Запорізької області</t>
  </si>
  <si>
    <t>70406</t>
  </si>
  <si>
    <t>2322180402</t>
  </si>
  <si>
    <t>Відрадне</t>
  </si>
  <si>
    <t>вул. Перемоги, 2,</t>
  </si>
  <si>
    <t>287-46-41</t>
  </si>
  <si>
    <t>http://vidradne-school.e-schools.info</t>
  </si>
  <si>
    <t>26404214</t>
  </si>
  <si>
    <t>Біленьківська вечірня (змінна) загальноосвітня школа ІІ-ІІІ ступенів Біленьківської сільської ради Запорізького району Запорізької області</t>
  </si>
  <si>
    <t>70441</t>
  </si>
  <si>
    <t>2322180801</t>
  </si>
  <si>
    <t>вул. Запорізька, 32</t>
  </si>
  <si>
    <t>(061)2873703</t>
  </si>
  <si>
    <t>26404120</t>
  </si>
  <si>
    <t>Біленьківська загальноосвітня школа І-ІІІ ступенів Біленьківської сільської ради Запорізького району Запорізької області</t>
  </si>
  <si>
    <t>(061)2873160</t>
  </si>
  <si>
    <t>http://schollbilenke.blogspot.com</t>
  </si>
  <si>
    <t>26404114</t>
  </si>
  <si>
    <t>Петропільський навчально-виховний комплекс "загальноосвітній навчальний заклад-дошкільний навчальний заклад" Запорізького району Запорізької області</t>
  </si>
  <si>
    <t>70405</t>
  </si>
  <si>
    <t>2322181306</t>
  </si>
  <si>
    <t>Петропіль</t>
  </si>
  <si>
    <t>0612875941</t>
  </si>
  <si>
    <t>http://petropolschool.klasna.com</t>
  </si>
  <si>
    <t>26404108</t>
  </si>
  <si>
    <t>Володимирівський навчально-виховний комплекс "школа І-ІІІ ступенів - гімназія "Успіх"" Запорізького району Запорізької області</t>
  </si>
  <si>
    <t>70411</t>
  </si>
  <si>
    <t>2322181601</t>
  </si>
  <si>
    <t>Володимирівське</t>
  </si>
  <si>
    <t>вул. Шкільна, 13,</t>
  </si>
  <si>
    <t>061-223-19-31</t>
  </si>
  <si>
    <t>http://www.uspekh.ucoz.ua</t>
  </si>
  <si>
    <t>26404054</t>
  </si>
  <si>
    <t>Григорівський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</si>
  <si>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70452</t>
  </si>
  <si>
    <t>2322182401</t>
  </si>
  <si>
    <t>вул. Радісна, 50</t>
  </si>
  <si>
    <t>(061)287-75-37</t>
  </si>
  <si>
    <t>http://grigorievskynvk.at.ua</t>
  </si>
  <si>
    <t>26405355</t>
  </si>
  <si>
    <t>Веселянський навчально-виховний комплекс "загальноосвітній навчальний заклад-дошкільний навчальний заклад" Запорізького району Запорізької області</t>
  </si>
  <si>
    <t>70453</t>
  </si>
  <si>
    <t>2322182402</t>
  </si>
  <si>
    <t>Веселянка</t>
  </si>
  <si>
    <t>вул. Центральна, 81А</t>
  </si>
  <si>
    <t>(061)287-76-19</t>
  </si>
  <si>
    <t>http://veselnvk.at.ua</t>
  </si>
  <si>
    <t>26405547</t>
  </si>
  <si>
    <t>Новозапорізька загальноосвітня школа І - ІІІ ступенів, село Нове Запоріжжя, Долинська сільська рада Запорізький район, Запорізька область</t>
  </si>
  <si>
    <t>70422</t>
  </si>
  <si>
    <t>2322183505</t>
  </si>
  <si>
    <t>Нове Запоріжжя</t>
  </si>
  <si>
    <t>0612232893</t>
  </si>
  <si>
    <t>http://nz-school.zp.ua/</t>
  </si>
  <si>
    <t>26404095</t>
  </si>
  <si>
    <t>Лукашівський навчально - виховний комплекс "загальноосвітній навчальний заклад - дошкільний навчальний заклад"Запорізького району Запорізької області</t>
  </si>
  <si>
    <t>70410</t>
  </si>
  <si>
    <t>2322184601</t>
  </si>
  <si>
    <t>Лукашеве</t>
  </si>
  <si>
    <t>8(0612)23-78-13</t>
  </si>
  <si>
    <t>http://lukashivskiynvk.ucoz.com/</t>
  </si>
  <si>
    <t>26404048</t>
  </si>
  <si>
    <t>Лисогірський навчально-виховний комплекс "загальноосвітній навчальний заклад - дошкільний навчальний заклад" Біленьківської сільської ради Запорізького району Запорізької області</t>
  </si>
  <si>
    <t>70443</t>
  </si>
  <si>
    <t>2322184901</t>
  </si>
  <si>
    <t>Лисогірка</t>
  </si>
  <si>
    <t>вул. 8 Березня, 15  Б</t>
  </si>
  <si>
    <t>0612875625</t>
  </si>
  <si>
    <t>http://lysogorka.wix.com/school</t>
  </si>
  <si>
    <t>26404143</t>
  </si>
  <si>
    <t>Мар'ївський навчально-виховний комплекс "загальноосвітній навчальний заклад - дошкільний навчальний заклад" Біленьківської сільської ради Запорізького району Запорізької області</t>
  </si>
  <si>
    <t>70440</t>
  </si>
  <si>
    <t>2322185701</t>
  </si>
  <si>
    <t>(061)287-51-27</t>
  </si>
  <si>
    <t>http://schoolmarievka.klasna.com/</t>
  </si>
  <si>
    <t>26404226</t>
  </si>
  <si>
    <t>Наталівський навчально - виховний комплекс "загальноосвітній навчальний заклад - дошкільний навчальний заклад" Запорізького району Запорізької області</t>
  </si>
  <si>
    <t>70430</t>
  </si>
  <si>
    <t>2322186801</t>
  </si>
  <si>
    <t>вул. Ювілейна, 10</t>
  </si>
  <si>
    <t>(0612)878923</t>
  </si>
  <si>
    <t>http://natalnvk.simplesite.com/</t>
  </si>
  <si>
    <t>26404309</t>
  </si>
  <si>
    <t>Лежинський навчально-виховний комплекс "загальноовітній навчальний заклад - дошкільний навчальний заклад" Запорізького району Запорізької області</t>
  </si>
  <si>
    <t>70431</t>
  </si>
  <si>
    <t>2322186803</t>
  </si>
  <si>
    <t>Лежине</t>
  </si>
  <si>
    <t>(0612)878106</t>
  </si>
  <si>
    <t>http://lezhenska.ucoz.ua</t>
  </si>
  <si>
    <t>26404290</t>
  </si>
  <si>
    <t>Миколай-Пільський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</si>
  <si>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70401</t>
  </si>
  <si>
    <t>2322187201</t>
  </si>
  <si>
    <t>Миколай-Поле</t>
  </si>
  <si>
    <t>вул. Центральна, 87</t>
  </si>
  <si>
    <t>(061)287-43-36</t>
  </si>
  <si>
    <t>http://mykolaypole-school.edukit.zp.ua</t>
  </si>
  <si>
    <t>26404189</t>
  </si>
  <si>
    <t>Новопетрівський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</si>
  <si>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70402</t>
  </si>
  <si>
    <t>2322187206</t>
  </si>
  <si>
    <t>вул. Центральна, 119</t>
  </si>
  <si>
    <t>(061)287-69-53</t>
  </si>
  <si>
    <t>http://novopetrivka119.ucoz.net/</t>
  </si>
  <si>
    <t>26404195</t>
  </si>
  <si>
    <t>Новоолександрівська загальноосвітня школа І-ІІІ ступенів Запорізького району Запорізької області</t>
  </si>
  <si>
    <t>70433</t>
  </si>
  <si>
    <t>2322187901</t>
  </si>
  <si>
    <t>(061)2879183</t>
  </si>
  <si>
    <t>http://novole-school.at.ua/</t>
  </si>
  <si>
    <t>26404203</t>
  </si>
  <si>
    <t>Юльївський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</si>
  <si>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70434</t>
  </si>
  <si>
    <t>2322187903</t>
  </si>
  <si>
    <t>Юльївка</t>
  </si>
  <si>
    <t>вул. Дружби, 8А</t>
  </si>
  <si>
    <t>0612878717</t>
  </si>
  <si>
    <t>http://unvk.at.ua</t>
  </si>
  <si>
    <t>26374366</t>
  </si>
  <si>
    <t>Розумівська загальноосвітня школа І-ІІІ ступенів Долинської сільської ради Запорізького району Запорізької області</t>
  </si>
  <si>
    <t>70424</t>
  </si>
  <si>
    <t>2322188401</t>
  </si>
  <si>
    <t>Розумівка</t>
  </si>
  <si>
    <t>вул. Кузнечна, 3А</t>
  </si>
  <si>
    <t>(061)2232334</t>
  </si>
  <si>
    <t>http://rozumivka.at.ua/</t>
  </si>
  <si>
    <t>26404083</t>
  </si>
  <si>
    <t>Степненська загальноосвітня школа І-ІІІ ступенів Степненської сільської ради Запорізького району Запорізької області</t>
  </si>
  <si>
    <t>70432</t>
  </si>
  <si>
    <t>2322188601</t>
  </si>
  <si>
    <t>вул. Першотравнева, 52</t>
  </si>
  <si>
    <t>06122878525</t>
  </si>
  <si>
    <t>http://stepnenska-s.ucoz.ua/</t>
  </si>
  <si>
    <t>26404137</t>
  </si>
  <si>
    <t>Широківська загальноосвітня школа І-ІІІ ступенів Запорізького району Запорізької області</t>
  </si>
  <si>
    <t>70413</t>
  </si>
  <si>
    <t>2322189005</t>
  </si>
  <si>
    <t>вул. Радянська, 7</t>
  </si>
  <si>
    <t>2231440</t>
  </si>
  <si>
    <t>http://shurokezsh.pp.ua</t>
  </si>
  <si>
    <t>26405533</t>
  </si>
  <si>
    <t>Кам'янсько-Дніпровська загальноосвітня школа І-ІІІ ступенів № 3 Кам'янсько-Дніпровської районної ради Запорізької області</t>
  </si>
  <si>
    <t>71304</t>
  </si>
  <si>
    <t>2322410100</t>
  </si>
  <si>
    <t>Кам'янка-Дніпровська</t>
  </si>
  <si>
    <t>вул. Каховська, 207</t>
  </si>
  <si>
    <t>(06138)21554</t>
  </si>
  <si>
    <t>http://kd3.pp.ua</t>
  </si>
  <si>
    <t>Кам’янсько-Дніпровська районна гімназія "Скіфія" Кам’янсько-Дніпровської районної ради Запорізької області</t>
  </si>
  <si>
    <t>вул. Ярослава Мудрого, 101</t>
  </si>
  <si>
    <t>061-38-2-33-95</t>
  </si>
  <si>
    <t>http://Kam-skifiya.at.ua</t>
  </si>
  <si>
    <t>Комунальний заклад "Кам’янсько-Дніпровська загальноосвітня санаторна школа-інтернат" Запорізької обласної ради</t>
  </si>
  <si>
    <t>71300</t>
  </si>
  <si>
    <t>вул. Калініна, 2</t>
  </si>
  <si>
    <t>(06138)2-28-65, (06138)2-13-12</t>
  </si>
  <si>
    <t>http://kam-internat.at.ua</t>
  </si>
  <si>
    <t>20514209</t>
  </si>
  <si>
    <t>Навчально-виховний комплекс "Дитячий садок - загальноосвітня школа І-ІІІ ступенів" Кам'янсько-Дніпровської міської ради Запорізької області</t>
  </si>
  <si>
    <t>вул. Гоголя, 40</t>
  </si>
  <si>
    <t>06138223923</t>
  </si>
  <si>
    <t>http://nvk.ucoz.ua</t>
  </si>
  <si>
    <t>Благовіщенська загальноосвітня школа І-ІІІ ступенів Кам'янсько-Дніпровської районної ради Запорізької області</t>
  </si>
  <si>
    <t>2322480501</t>
  </si>
  <si>
    <t>Благовіщенка</t>
  </si>
  <si>
    <t>пров. Ценральний, 5</t>
  </si>
  <si>
    <t>06123896616, 06123896533</t>
  </si>
  <si>
    <t>http://www.blagschool.ucoz.ua</t>
  </si>
  <si>
    <t>Великознам'янська загальноосвітня школа І-ІІ ступенів № 2 Кам'янсько-Дніпровської районної ради Запорізької області</t>
  </si>
  <si>
    <t>71311</t>
  </si>
  <si>
    <t>2322481801</t>
  </si>
  <si>
    <t>Велика Знам'янка</t>
  </si>
  <si>
    <t>вул. Центральна (Леніна), 162</t>
  </si>
  <si>
    <t>(06138)2-12-31</t>
  </si>
  <si>
    <t>http://znamenskaya2.at.ua</t>
  </si>
  <si>
    <t>Великознам'янська загальноосвітня школа І-ІІ ступенів № 4 Кам’янсько - Дніпровської районної ради Запорізької області</t>
  </si>
  <si>
    <t>71312</t>
  </si>
  <si>
    <t>вул. Центральна (Леніна), 596</t>
  </si>
  <si>
    <t>(06138)93749</t>
  </si>
  <si>
    <t>http://vzschool4.ucoz.ua/</t>
  </si>
  <si>
    <t>Великознам'янська загальноосвітня школа І-ІІІ ступенів № 1 Кам'янсько-Дніпровської районної ради</t>
  </si>
  <si>
    <t>вул. Соборна, 7</t>
  </si>
  <si>
    <t>(06138)93-7-36</t>
  </si>
  <si>
    <t>Великознам'янська загальноосвітня школа І-ІІІ ступенів № 3 Кам'янсько-Дніпровської районної ради Запорізької області</t>
  </si>
  <si>
    <t>71313</t>
  </si>
  <si>
    <t>вул. Шкільна, 105</t>
  </si>
  <si>
    <t>(06138)93-5-51</t>
  </si>
  <si>
    <t>http://vznamenska3.at.ua</t>
  </si>
  <si>
    <t>Водянська загальноосвітня школа І-ІІІ ступенів № 1 ім.Ф.О.Окатенка Кам'янсько - Дніпровської районної ради Запорізької області</t>
  </si>
  <si>
    <t>71316</t>
  </si>
  <si>
    <t>2322482401</t>
  </si>
  <si>
    <t>вул. Миру, 149А</t>
  </si>
  <si>
    <t>0613851024</t>
  </si>
  <si>
    <t>http://vodschool1.at.ua</t>
  </si>
  <si>
    <t>Водянська загальноосвітня школа І-ІІІ ступенів № 2 Кам'янсько-Дніпровської районної ради Запорізької області</t>
  </si>
  <si>
    <t>71317</t>
  </si>
  <si>
    <t>пров. Морський, 8А</t>
  </si>
  <si>
    <t>0613851066</t>
  </si>
  <si>
    <t>Дніпровська загальноосвітня школа І-ІІІ ступенів № 1 Кам 'янсько-Дніпровської районної ради Запорізької області</t>
  </si>
  <si>
    <t>71321</t>
  </si>
  <si>
    <t>2322484601</t>
  </si>
  <si>
    <t>(06138)95748</t>
  </si>
  <si>
    <t>http://dniproschool1.io.ua/</t>
  </si>
  <si>
    <t>Дніпровська загальноосвітня школа І-ІІІ ступенів № 2 Кам'янсько-Дніпровської районної ради Запорізької области</t>
  </si>
  <si>
    <t>пров. Партизанський, 35</t>
  </si>
  <si>
    <t>(06138)95-7-06, (06138)95-7-44</t>
  </si>
  <si>
    <t>http://dniproschool2.at.ua</t>
  </si>
  <si>
    <t>Заповітненська загальноосвітня школа І - ІІІ ступенів Кам'янсько - Дніпровської районної ради Запорізької області</t>
  </si>
  <si>
    <t>71333</t>
  </si>
  <si>
    <t>2322485501</t>
  </si>
  <si>
    <t>Заповітне</t>
  </si>
  <si>
    <t>0613899332</t>
  </si>
  <si>
    <t>http://zapovitne.ucoz.ru</t>
  </si>
  <si>
    <t>Іванівський навчально-виховний комплекс "Загальноосвітня школа I-III ступенів - дитячий садок" Кам'янсько-Дніпровської районної ради Запорізької області</t>
  </si>
  <si>
    <t>71320</t>
  </si>
  <si>
    <t>2322485701</t>
  </si>
  <si>
    <t>вул. Леніна, 97</t>
  </si>
  <si>
    <t>06138-94-1-26</t>
  </si>
  <si>
    <t>Нововодянська загальноосвітня школа І-ІІІ ступенів Кам'янсько-Дніпровської районної ради Запорізької області</t>
  </si>
  <si>
    <t>71322</t>
  </si>
  <si>
    <t>2322486501</t>
  </si>
  <si>
    <t>вул. Кир'яненка, 52</t>
  </si>
  <si>
    <t>(06138)98-3-93</t>
  </si>
  <si>
    <t>https://sites.google.com/site/novovodanskazosiiiistupeniv/pedagogicnij-kolektiv</t>
  </si>
  <si>
    <t>Новодніпровська загальноосвітня школа І-ІІІступенів Кам'янсько-Дніпровської районної ради Запорізької області</t>
  </si>
  <si>
    <t>71331</t>
  </si>
  <si>
    <t>2322486801</t>
  </si>
  <si>
    <t>Новодніпровка</t>
  </si>
  <si>
    <t>(06138)90-570</t>
  </si>
  <si>
    <t>http://novodniprovska.klasna.com</t>
  </si>
  <si>
    <t>Більмацька загальноосвітня школа І-ІІІ ступенів Більмацької районної ради Запорізької області</t>
  </si>
  <si>
    <t>71001</t>
  </si>
  <si>
    <t>2322755100</t>
  </si>
  <si>
    <t>Більмак</t>
  </si>
  <si>
    <t>06147 2-09-70</t>
  </si>
  <si>
    <t>http://kuib-school2.at.ua/</t>
  </si>
  <si>
    <t>Більмацька спеціалізована загальноосвітня школа І-ІІІ ступенів "Інтелект" Більмацької районної ради Запорізької області</t>
  </si>
  <si>
    <t>0614721942</t>
  </si>
  <si>
    <t>http://intelektzosh.at.ua</t>
  </si>
  <si>
    <t>Комиш-Зорянська загальноосвітня школа І-ІІІ ступенів Комиш-Зорянської селищної ради Більмацького району Запорізької області</t>
  </si>
  <si>
    <t>71030</t>
  </si>
  <si>
    <t>2322755400</t>
  </si>
  <si>
    <t>Комиш-Зоря</t>
  </si>
  <si>
    <t>вул. Вокзальна, 7</t>
  </si>
  <si>
    <t>(06147)73249</t>
  </si>
  <si>
    <t>http://kzschool.at.ua</t>
  </si>
  <si>
    <t>Білоцерківська загальноосвітня школа I-III ступенів Комиш-Зорянської селищної ради Більмацького району Запорізької області</t>
  </si>
  <si>
    <t>71053</t>
  </si>
  <si>
    <t>2322780801</t>
  </si>
  <si>
    <t>Білоцерківка</t>
  </si>
  <si>
    <t>вул. Петра Ребра, 28</t>
  </si>
  <si>
    <t>(061)477-52-46</t>
  </si>
  <si>
    <t>http://bcschool.at.ua</t>
  </si>
  <si>
    <t>Благовіщенська загальноосвітня школа І-ІІІ ступенів Комиш-Зорянської селищної ради Більмацького району Запорізької області</t>
  </si>
  <si>
    <t>71050</t>
  </si>
  <si>
    <t>2322781801</t>
  </si>
  <si>
    <t>вул. Шевченка, 117</t>
  </si>
  <si>
    <t>(061)4775430</t>
  </si>
  <si>
    <t>http://BlagowischenkaS.ucoz.ua</t>
  </si>
  <si>
    <t>Вершинський навчально - виховний комплекс "Загальноосвітня школа I ступеня - дошкільний навчальний заклад" Більмацької районної ради Запорізької області</t>
  </si>
  <si>
    <t>71014</t>
  </si>
  <si>
    <t>2322782001</t>
  </si>
  <si>
    <t>Вершина</t>
  </si>
  <si>
    <t>вул. Свободи, 5</t>
  </si>
  <si>
    <t>0614776333</t>
  </si>
  <si>
    <t>Гусарківський навчально-виховний комплекс "Загальноосвітня школа І ступеня - дошкільний навчальний заклад" Більмацької районної ради Запорізької області</t>
  </si>
  <si>
    <t>71020</t>
  </si>
  <si>
    <t>2322782701</t>
  </si>
  <si>
    <t>Гусарка</t>
  </si>
  <si>
    <t>0614774238</t>
  </si>
  <si>
    <t>http://gysnvk.wixsite.com/elena</t>
  </si>
  <si>
    <t>Мар’янівська загальноосвітня школа І-ІІІ ступенів Більмацької районної ради Запорізької області</t>
  </si>
  <si>
    <t>71013</t>
  </si>
  <si>
    <t>2322784401</t>
  </si>
  <si>
    <t>вул. Українська, 43</t>
  </si>
  <si>
    <t>(061)4776524</t>
  </si>
  <si>
    <t>http://maryanovka-zosh.ucoz.ru</t>
  </si>
  <si>
    <t>Новоукраїнська загальноосвітня школа І-ІІІ ступенів Більмацької районної ради Запорізької області</t>
  </si>
  <si>
    <t>71012</t>
  </si>
  <si>
    <t>2322785401</t>
  </si>
  <si>
    <t>вул. Снитка, 52</t>
  </si>
  <si>
    <t>(06147) 7-56-30</t>
  </si>
  <si>
    <t>http://novoykrainkazoh.ucoz.ua/</t>
  </si>
  <si>
    <t>Олексіївський навчально-виховний комплекс "Загальноосвітня школа І-ІІІ ступенів - дошкільний навчальний заклад" Смирновської сільської ради Більмацького району Запорізької області</t>
  </si>
  <si>
    <t>70667</t>
  </si>
  <si>
    <t>2322787003</t>
  </si>
  <si>
    <t>вул. Юрченка, 11</t>
  </si>
  <si>
    <t>0614774395</t>
  </si>
  <si>
    <t>http://oleksiivka-school.edukit.zp.ua</t>
  </si>
  <si>
    <t>Шевченківська загальноосвітня школа І-ІІІ ступенів Комиш-Зорянської селищної ради Більмацького району Запорізької області</t>
  </si>
  <si>
    <t>71031</t>
  </si>
  <si>
    <t>2322788001</t>
  </si>
  <si>
    <t>вул. Шевченка, 14</t>
  </si>
  <si>
    <t>(061)47796-30</t>
  </si>
  <si>
    <t>http://shevchenkivska.ucoz.ua</t>
  </si>
  <si>
    <t>Мирненська загальноосвітня школа І-ІІІ ступенів Мелітопольської районної ради Запорізької області</t>
  </si>
  <si>
    <t>72350</t>
  </si>
  <si>
    <t>2323055500</t>
  </si>
  <si>
    <t>(0619)494736</t>
  </si>
  <si>
    <t>http://myrne.ucoz.ua</t>
  </si>
  <si>
    <t>26372992</t>
  </si>
  <si>
    <t>Астраханська загальноосвітня школа І-ІІІ ступенів Мелітопольської районної ради Запорізької області</t>
  </si>
  <si>
    <t>72344</t>
  </si>
  <si>
    <t>2323080401</t>
  </si>
  <si>
    <t>Астраханка</t>
  </si>
  <si>
    <t>вул. Біляєва, 4</t>
  </si>
  <si>
    <t>(0619)49-51-45</t>
  </si>
  <si>
    <t>http://astrahanka.ucoz.ua</t>
  </si>
  <si>
    <t>26373033</t>
  </si>
  <si>
    <t>Вознесенська гімназія "Орієнтир" Мелітопольської районної ради Запорізької області</t>
  </si>
  <si>
    <t>72360</t>
  </si>
  <si>
    <t>2323080801</t>
  </si>
  <si>
    <t>Вознесенка</t>
  </si>
  <si>
    <t>вул. ім. Г.М.Зубенка, 110Г</t>
  </si>
  <si>
    <t>(0619)492514</t>
  </si>
  <si>
    <t>http://orientir.ucoz.ua</t>
  </si>
  <si>
    <t>26373023</t>
  </si>
  <si>
    <t>Вознесенська загальноосвітня школа I-III ступенів Мелітопольської районної ради Запорізької області</t>
  </si>
  <si>
    <t>вул. Шкільна, 23Б</t>
  </si>
  <si>
    <t>(0619)492225</t>
  </si>
  <si>
    <t>http://vozsh.at.ua</t>
  </si>
  <si>
    <t>26316491</t>
  </si>
  <si>
    <t>Костянтинівська спеціалізована різнопрофільна школа І-ІІІ ступенів "ПРОМЕТЕЙ" з поглибленим вивченням предметів Мелітопольської районної ради Запорізької області</t>
  </si>
  <si>
    <t>72364</t>
  </si>
  <si>
    <t>2323081201</t>
  </si>
  <si>
    <t>вул. Маяковського, 22</t>
  </si>
  <si>
    <t>(0619) 44-71-73</t>
  </si>
  <si>
    <t>http://ksrsch-prometej.at.ua</t>
  </si>
  <si>
    <t>Костянтинівське районне навчально-виховне об'єднання "Гімназія - Мала академія наук № 1 "Таврія" Мелітопольської районної ради Запорізької області</t>
  </si>
  <si>
    <t>вул. Шкільна, 147</t>
  </si>
  <si>
    <t>0619441285</t>
  </si>
  <si>
    <t>http://nvotavriya.at.ua</t>
  </si>
  <si>
    <t>26316485</t>
  </si>
  <si>
    <t>Костянтинівський ліцей "Ерудит" Мелітопольської районної ради Запорізької області</t>
  </si>
  <si>
    <t>72365</t>
  </si>
  <si>
    <t>пров. Ковпака, 2/1</t>
  </si>
  <si>
    <t>(0619)441343</t>
  </si>
  <si>
    <t>http://www.lyceum-erudite.at.ua</t>
  </si>
  <si>
    <t>26372874</t>
  </si>
  <si>
    <t>Мордвинівська загальноосвітня школа І-ІІІ ступенів Мелітопольської районної ради Запорізької області</t>
  </si>
  <si>
    <t>72362</t>
  </si>
  <si>
    <t>2323081501</t>
  </si>
  <si>
    <t>Мордвинівка</t>
  </si>
  <si>
    <t>вул. Центральна, 1/2</t>
  </si>
  <si>
    <t>(0619)496548</t>
  </si>
  <si>
    <t>http://mordvinovkam.ucoz.ru</t>
  </si>
  <si>
    <t>26372975</t>
  </si>
  <si>
    <t>Новгородківська загальноосвітня школа І-ІІІ ступенів Мелітопольської районної ради Запорізької області</t>
  </si>
  <si>
    <t>72370</t>
  </si>
  <si>
    <t>2323081601</t>
  </si>
  <si>
    <t>Новгородківка</t>
  </si>
  <si>
    <t>вул. Нестеренка, 92</t>
  </si>
  <si>
    <t>(0619)497125</t>
  </si>
  <si>
    <t>https://novgorodkovka2017.wixsite.com/hkola</t>
  </si>
  <si>
    <t>26372957</t>
  </si>
  <si>
    <t>Високівська загальноосвітня школа І - ІІІ ступенів Мелітопольської районної ради Запорізької області</t>
  </si>
  <si>
    <t>72371</t>
  </si>
  <si>
    <t>2323081603</t>
  </si>
  <si>
    <t>(0619)495425</t>
  </si>
  <si>
    <t>http://vysoke.at.ua</t>
  </si>
  <si>
    <t>26373000</t>
  </si>
  <si>
    <t>Новенська загальноосвітня школа І ступеня Мелітопольської районної ради Запорізької області</t>
  </si>
  <si>
    <t>72380</t>
  </si>
  <si>
    <t>2323081801</t>
  </si>
  <si>
    <t>вул. Продольна, 2/1</t>
  </si>
  <si>
    <t>(097)6218673</t>
  </si>
  <si>
    <t>http://novenskaja.klasna.com/</t>
  </si>
  <si>
    <t>Данило-Іванівська загальноосвітня школа І-ІІІ ступенів Мелітопольської районної ради Запорізької області</t>
  </si>
  <si>
    <t>72384</t>
  </si>
  <si>
    <t>2323081802</t>
  </si>
  <si>
    <t>Данило-Іванівка</t>
  </si>
  <si>
    <t>вул. Шкільна, 21А</t>
  </si>
  <si>
    <t>(0619)499825</t>
  </si>
  <si>
    <t>http://dischool.klasna.com/</t>
  </si>
  <si>
    <t>26373046</t>
  </si>
  <si>
    <t>Садовська загальноосвітня школа І ступеня Мелітопольської районної ради Запорізької області</t>
  </si>
  <si>
    <t>72382</t>
  </si>
  <si>
    <t>2323081807</t>
  </si>
  <si>
    <t>пров. Західний, 42 а</t>
  </si>
  <si>
    <t>0978416048</t>
  </si>
  <si>
    <t>http://sadoveznz.ucoz.ru</t>
  </si>
  <si>
    <t>Новобогданівська загальноосвітня школа І-ІІІ ступенів Мелітопольської районної ради Запорізької області</t>
  </si>
  <si>
    <t>72330</t>
  </si>
  <si>
    <t>2323082001</t>
  </si>
  <si>
    <t>Новобогданівка</t>
  </si>
  <si>
    <t>(0619)44-65-90</t>
  </si>
  <si>
    <t>http://novobogdanivska.at.ua/</t>
  </si>
  <si>
    <t>26372963</t>
  </si>
  <si>
    <t>Відродженська загальноосвітня школа І-ІІ ступенів Мелітопольської районної ради Запорізької області</t>
  </si>
  <si>
    <t>72331</t>
  </si>
  <si>
    <t>2323082002</t>
  </si>
  <si>
    <t>Відродження</t>
  </si>
  <si>
    <t>(0619)445340</t>
  </si>
  <si>
    <t>http://vidrodgensh.ucoz.net/</t>
  </si>
  <si>
    <t>26373017</t>
  </si>
  <si>
    <t>Троїцька загальноосвітня школа I ступеня Мелітопольської районної ради Запорізької області</t>
  </si>
  <si>
    <t>72375</t>
  </si>
  <si>
    <t>2323082005</t>
  </si>
  <si>
    <t>вул. Миру, 49/1</t>
  </si>
  <si>
    <t>0671195645</t>
  </si>
  <si>
    <t>http://troickamal.ucoz.ua</t>
  </si>
  <si>
    <t>36832183</t>
  </si>
  <si>
    <t>КЗ"Новомиколаївська загальноосвітня школа - інтернат І - ІІ ступенів"ЗОР</t>
  </si>
  <si>
    <t>72353</t>
  </si>
  <si>
    <t>2323082401</t>
  </si>
  <si>
    <t>(067)9034323, (061)498448</t>
  </si>
  <si>
    <t>http://novomukolaivka1.jimdo.com</t>
  </si>
  <si>
    <t>20518940</t>
  </si>
  <si>
    <t>Новомиколаївська загальноосвітня школа І-ІІІ ступенів Мелітопольської районної ради Запорізької області</t>
  </si>
  <si>
    <t>0619-498-445</t>
  </si>
  <si>
    <t>http://novom-shkola.jimdo.com</t>
  </si>
  <si>
    <t>26372928</t>
  </si>
  <si>
    <t>Трудівська загальноосвітня школа І-ІІІ ступенів Мелітопольської районної ради Запорізької області</t>
  </si>
  <si>
    <t>72354</t>
  </si>
  <si>
    <t>2323082407</t>
  </si>
  <si>
    <t>Трудове</t>
  </si>
  <si>
    <t>(0619)49-74-42</t>
  </si>
  <si>
    <t>http://trydowoezh.jimdo.com</t>
  </si>
  <si>
    <t>26373075</t>
  </si>
  <si>
    <t>Новопилипівська загальноосвітня школа І-ІІІ ступенів Мелітопольської районної ради Запорізької області</t>
  </si>
  <si>
    <t>72351</t>
  </si>
  <si>
    <t>2323082801</t>
  </si>
  <si>
    <t>Новопилипівка</t>
  </si>
  <si>
    <t>(0619)-49-76-40</t>
  </si>
  <si>
    <t>http://novopylypivka.ucoz.ua</t>
  </si>
  <si>
    <t>26372986</t>
  </si>
  <si>
    <t>Тихонівська загальноосвітня школа І-ІІ ступенів Мелітопольської районної ради Запорізької області</t>
  </si>
  <si>
    <t>72352</t>
  </si>
  <si>
    <t>2323082804</t>
  </si>
  <si>
    <t>Тихонівка</t>
  </si>
  <si>
    <t>вул. Пушкіна, 40А</t>
  </si>
  <si>
    <t>0619496840</t>
  </si>
  <si>
    <t>http://tihonovkaznz.ucoz.ua</t>
  </si>
  <si>
    <t>26372911</t>
  </si>
  <si>
    <t>Полянівська загальноосвітня школа І-ІІІ ступенів Мелітопольської районної ради Запорізької області</t>
  </si>
  <si>
    <t>72372</t>
  </si>
  <si>
    <t>2323083501</t>
  </si>
  <si>
    <t>Полянівка</t>
  </si>
  <si>
    <t>(0619)49-88-25</t>
  </si>
  <si>
    <t>http://poljanovkaschool.klasna.com/uk</t>
  </si>
  <si>
    <t>26372940</t>
  </si>
  <si>
    <t>Лазурненська загальноосвітня школа І ступеня Мелітопольської районної ради Запорізької області</t>
  </si>
  <si>
    <t>72373</t>
  </si>
  <si>
    <t>2323083507</t>
  </si>
  <si>
    <t>Лазурне</t>
  </si>
  <si>
    <t>(061)498125</t>
  </si>
  <si>
    <t>http://zplazurne88.ucoz.net</t>
  </si>
  <si>
    <t>Світлодолинська загальноосвітня школа І-ІІІ ступенів Мелітопольської районної ради Запорізької області</t>
  </si>
  <si>
    <t>2323083901</t>
  </si>
  <si>
    <t>Світлодолинське</t>
  </si>
  <si>
    <t>(0619)497325</t>
  </si>
  <si>
    <t>http://svit-znz.ucoz.ua</t>
  </si>
  <si>
    <t>26372868</t>
  </si>
  <si>
    <t>Орлівська загальноосвітня школа І-ІІІ ступенів Мелітопольської районної ради Запорізької області</t>
  </si>
  <si>
    <t>72341</t>
  </si>
  <si>
    <t>2323083903</t>
  </si>
  <si>
    <t>Орлове</t>
  </si>
  <si>
    <t>(0619)496166</t>
  </si>
  <si>
    <t>http://orlovo2011.klasna.com</t>
  </si>
  <si>
    <t>26372934</t>
  </si>
  <si>
    <t>Травнева загальноосвітня школа I-II ступенів,Мелітопольської районної ради Запорізької області</t>
  </si>
  <si>
    <t>72336</t>
  </si>
  <si>
    <t>2323083905</t>
  </si>
  <si>
    <t>Травневе</t>
  </si>
  <si>
    <t>вул. Травнева, 33</t>
  </si>
  <si>
    <t>(0619)4-95-795</t>
  </si>
  <si>
    <t>http://travneva-zw.at.ua/</t>
  </si>
  <si>
    <t>26372905</t>
  </si>
  <si>
    <t>Семенівська загальноосвітня школа І-ІІІ ступенів Мелітопольської районної ради Запорізької області</t>
  </si>
  <si>
    <t>72355</t>
  </si>
  <si>
    <t>2323084001</t>
  </si>
  <si>
    <t>(0619)449130</t>
  </si>
  <si>
    <t>http://semenivska-zh.at.ua/</t>
  </si>
  <si>
    <t>26373069</t>
  </si>
  <si>
    <t>Комунальний заклад"Терпіннівська спеціальна загальноосвітня школа-інтернат" Запорізької обласної ради</t>
  </si>
  <si>
    <t>72333</t>
  </si>
  <si>
    <t>2323085101</t>
  </si>
  <si>
    <t>Терпіння</t>
  </si>
  <si>
    <t>вул. Леніна, 66</t>
  </si>
  <si>
    <t>(0619)443283</t>
  </si>
  <si>
    <t>http://www.terpenie.at.ua</t>
  </si>
  <si>
    <t>20521043</t>
  </si>
  <si>
    <t>Терпіннівська загальноосвітня школа І-ІІІ ступенів Мелітопольської районної ради Запорізької області</t>
  </si>
  <si>
    <t>вул. Сізова, 41А</t>
  </si>
  <si>
    <t>(0619)443343</t>
  </si>
  <si>
    <t>http://terpinnia-zosh.zp.sch.in.ua</t>
  </si>
  <si>
    <t>26372897</t>
  </si>
  <si>
    <t>Терпіннівський колегіум "Джерело" Мелітопольської районної ради Запорізької області</t>
  </si>
  <si>
    <t>вул. Таврійська, 7</t>
  </si>
  <si>
    <t>0619443227</t>
  </si>
  <si>
    <t>http://dzherelo.ucoz.ua</t>
  </si>
  <si>
    <t>26373098</t>
  </si>
  <si>
    <t>Зарічнянська загальноосвітня школа І ступеня Мелітопольської районної ради Запорізької області</t>
  </si>
  <si>
    <t>2323085103</t>
  </si>
  <si>
    <t>вул. Першотравнева, 47</t>
  </si>
  <si>
    <t>0983775966</t>
  </si>
  <si>
    <t>http://zari4na-shkola.ucoz.com/</t>
  </si>
  <si>
    <t>Спаська загальноосвітня школа І - ІІІ ступенів Мелітопольської районної ради Запорізької області</t>
  </si>
  <si>
    <t>72334</t>
  </si>
  <si>
    <t>2323085109</t>
  </si>
  <si>
    <t>вул. Вишнева, 67А</t>
  </si>
  <si>
    <t>(0619)445-8-26</t>
  </si>
  <si>
    <t>http://www.spasskaya.ucoz.ua</t>
  </si>
  <si>
    <t>26373052</t>
  </si>
  <si>
    <t>Федорівська загальоосвітня школа І ступеня Мелітопольської районної ради Запорізької області</t>
  </si>
  <si>
    <t>72335</t>
  </si>
  <si>
    <t>2323085111</t>
  </si>
  <si>
    <t>вул. Шкільна, 20 а</t>
  </si>
  <si>
    <t>(0619)44-98-18</t>
  </si>
  <si>
    <t>http://fedorivka-schoo.ucoz.ua/</t>
  </si>
  <si>
    <t>26372851</t>
  </si>
  <si>
    <t>Промінівська загальноосвітня школа І-ІІ ступенів Мелітопольської районної ради Запорізької області</t>
  </si>
  <si>
    <t>72343</t>
  </si>
  <si>
    <t>2323086201</t>
  </si>
  <si>
    <t>вул. Миру, 72</t>
  </si>
  <si>
    <t>(0619)497510</t>
  </si>
  <si>
    <t>http://prominivska-50.ucoz.ua</t>
  </si>
  <si>
    <t>26372845</t>
  </si>
  <si>
    <t>Яснівська загальноосвітня школа І-ІІІ ступенів Мелітопольської районної ради Запорізької області</t>
  </si>
  <si>
    <t>72342</t>
  </si>
  <si>
    <t>2323086215</t>
  </si>
  <si>
    <t>вул. Кобецької, 51/3</t>
  </si>
  <si>
    <t>(0619) 499617</t>
  </si>
  <si>
    <t>http://yasnoe-sckool.at.ua</t>
  </si>
  <si>
    <t>26373106</t>
  </si>
  <si>
    <t>Фруктовська загальноосвітня школа І-ІІІ ступенів Мелітопольської районної ради Запорізької області</t>
  </si>
  <si>
    <t>72383</t>
  </si>
  <si>
    <t>2323086701</t>
  </si>
  <si>
    <t>Фруктове</t>
  </si>
  <si>
    <t>(38)(0619)49-86-34</t>
  </si>
  <si>
    <t>http://fschool.pp.ua</t>
  </si>
  <si>
    <t>26373081</t>
  </si>
  <si>
    <t>Долинська загальноосвітня школа І-ІІ ступенів Мелітопольскої районої ради Запорізької області</t>
  </si>
  <si>
    <t>72381</t>
  </si>
  <si>
    <t>2323086703</t>
  </si>
  <si>
    <t>вул. Широка, 74</t>
  </si>
  <si>
    <t>(0619)495625</t>
  </si>
  <si>
    <t>http://znzdolinskoe.ucoz.ua/</t>
  </si>
  <si>
    <t>Комунальний заклад "Михайлівська загальноосвітня школа І-ІІ ступенів" Михайлівської районної ради Запорізької області</t>
  </si>
  <si>
    <t>72000</t>
  </si>
  <si>
    <t>2323355100</t>
  </si>
  <si>
    <t>вул. Пушкіна, 129</t>
  </si>
  <si>
    <t>(06132)2-19-70</t>
  </si>
  <si>
    <t>http://mihzosh.edukit.zp.ua</t>
  </si>
  <si>
    <t>26316574</t>
  </si>
  <si>
    <t>Комунальний заклад "Михайлівська загальноосвітня школа І-ІІІ ступенів № 3" Михайлівської районної ради Запорізької області</t>
  </si>
  <si>
    <t>72002</t>
  </si>
  <si>
    <t>вул. Пушкіна, 106</t>
  </si>
  <si>
    <t>(06132)21437</t>
  </si>
  <si>
    <t>http://mihalzosh3.ucoz.ua</t>
  </si>
  <si>
    <t>26316522</t>
  </si>
  <si>
    <t>Комунальний заклад "Михайлівський навчально-виховний комплекс "загальноосвітня школа І-ІІІ ст.- гімназія " ім. Героя Радянського Союзу І.А. Найдьонова"</t>
  </si>
  <si>
    <t>вул. Шкільна, 143 а</t>
  </si>
  <si>
    <t>(06132)2-16-20, (06132)2-15-52</t>
  </si>
  <si>
    <t>http://mihgimnazium.wixsite.com/kznvk</t>
  </si>
  <si>
    <t>26290969</t>
  </si>
  <si>
    <t>Комунальний заклад «Михайлівський навчально-виховний комплекс І-ІІ ступенів «дошкільний навчальний заклад - загальноосвітня школа»» Михайлівської районної ради Запорізької області</t>
  </si>
  <si>
    <t>72001</t>
  </si>
  <si>
    <t>вул. Маяковського, 63</t>
  </si>
  <si>
    <t>8061322-02-66</t>
  </si>
  <si>
    <t>http://mihzosh2.ucoz.ru</t>
  </si>
  <si>
    <t>25711558</t>
  </si>
  <si>
    <t>Комунальний заклад "Пришибська загальноосвітня школа І-ІІІ ступенів імені М.А. Шаламова" Михайлівської районної ради Запорізької області</t>
  </si>
  <si>
    <t>72013</t>
  </si>
  <si>
    <t>2323355400</t>
  </si>
  <si>
    <t>Пришиб</t>
  </si>
  <si>
    <t>вул. Шкільна, 14,</t>
  </si>
  <si>
    <t>(061)32----9-32-25</t>
  </si>
  <si>
    <t>http://pryshybschool.at.ua</t>
  </si>
  <si>
    <t>26316551</t>
  </si>
  <si>
    <t>Комунальний заклад "Бурчацька загальноосвітня школа І-ІІІ ступенів імені Героя Радянського Союзу Є.І. Носаль" Михайлівської районної ради Запорізької області</t>
  </si>
  <si>
    <t>72010</t>
  </si>
  <si>
    <t>2323381101</t>
  </si>
  <si>
    <t>Бурчак</t>
  </si>
  <si>
    <t>(061)3226105, (061)3226195</t>
  </si>
  <si>
    <t>http://djerelo.ucoz.ua</t>
  </si>
  <si>
    <t>26316628</t>
  </si>
  <si>
    <t>Комунальний заклад "Високівська загальноосвітня школа І - ІІІ ступенів" Михайлівської районної ради Запорізької області</t>
  </si>
  <si>
    <t>72020</t>
  </si>
  <si>
    <t>2323382201</t>
  </si>
  <si>
    <t>вул. 40 років Перемоги, 70</t>
  </si>
  <si>
    <t>0613294119</t>
  </si>
  <si>
    <t>http://vissscool.ucoz.ua</t>
  </si>
  <si>
    <t>26316611</t>
  </si>
  <si>
    <t>Комунальний заклад "Любимівська загальноосвітня школа І-ІІІ ступенів" Михайлівської районної ради Запорізької області</t>
  </si>
  <si>
    <t>72011</t>
  </si>
  <si>
    <t>2323383301</t>
  </si>
  <si>
    <t>вул. Дружби, 67</t>
  </si>
  <si>
    <t>(06132)25352</t>
  </si>
  <si>
    <t>http://lubimovkazosh1.jimdo.com</t>
  </si>
  <si>
    <t>26316597</t>
  </si>
  <si>
    <t>Комунальний заклад "Мар'янівський навчально-виховний комплекс І-ІІ ступенів "загальноосвітній навчальний заклад - дошкільний навчальний заклад" Михайлівської районної ради Запорізької області</t>
  </si>
  <si>
    <t>72043</t>
  </si>
  <si>
    <t>2323384401</t>
  </si>
  <si>
    <t>вул. Молодіжна, 1А</t>
  </si>
  <si>
    <t>(06132)26712</t>
  </si>
  <si>
    <t>26316580</t>
  </si>
  <si>
    <t>Комунальний заклад "Плодородненський навчально-виховний комплекс І-ІІІ ступенів "Загальноосвітній навчальний заклад - дитячий дошкільний заклад"" Михайлівської районної ради Запорізької області</t>
  </si>
  <si>
    <t>72040</t>
  </si>
  <si>
    <t>2323385501</t>
  </si>
  <si>
    <t>Плодородне</t>
  </si>
  <si>
    <t>вул. Генкіна, 32</t>
  </si>
  <si>
    <t>(06132)95125, (06132)95182</t>
  </si>
  <si>
    <t>26316568</t>
  </si>
  <si>
    <t>Комунальний заклад "Роздольська загальноосвітня школа І-ІІІ ступенів" Михайлівської районної ради Запорізької області</t>
  </si>
  <si>
    <t>72012</t>
  </si>
  <si>
    <t>2323386601</t>
  </si>
  <si>
    <t>Роздол</t>
  </si>
  <si>
    <t>вул. 40 років Перемоги, 55</t>
  </si>
  <si>
    <t>061-232-2-80-25</t>
  </si>
  <si>
    <t>http://rozdol.ucoz.ua/</t>
  </si>
  <si>
    <t>26316545</t>
  </si>
  <si>
    <t>Комунальний заклад Старобогданівський навчально-виховний комплекс І-ІІ ступенів "загальноосвітній навчальний заклад - дошкільний навчальний заклад" Михайлівської районної ради Запорізької області</t>
  </si>
  <si>
    <t>72044</t>
  </si>
  <si>
    <t>2323387701</t>
  </si>
  <si>
    <t>Старобогданівка</t>
  </si>
  <si>
    <t>вул. Миру, 79</t>
  </si>
  <si>
    <t>(38)0613225065</t>
  </si>
  <si>
    <t>26316539</t>
  </si>
  <si>
    <t>Комунальний заклад "Тимошівська загальноосвітня школа І-ІІІ ступенів" Михайлівської районної ради Запорізької області</t>
  </si>
  <si>
    <t>72030</t>
  </si>
  <si>
    <t>2323388801</t>
  </si>
  <si>
    <t>Тимошівка</t>
  </si>
  <si>
    <t>вул. Пушкіна, 57</t>
  </si>
  <si>
    <t>(06132)25668</t>
  </si>
  <si>
    <t>http://tymoshivka-zosh.edukit.zp.ua/</t>
  </si>
  <si>
    <t>26316516</t>
  </si>
  <si>
    <t>Комунальний заклад "Новомиколаївська спеціальна загальноосвітня школа-інтернат "Паросток" Запорізької обласної ради</t>
  </si>
  <si>
    <t>70100</t>
  </si>
  <si>
    <t>2323655100</t>
  </si>
  <si>
    <t>вул. Соборності, 194</t>
  </si>
  <si>
    <t>061-44-9-16-81, 061-44-9-14-52</t>
  </si>
  <si>
    <t>http://nparostok.ucoz.ru</t>
  </si>
  <si>
    <t>20510387</t>
  </si>
  <si>
    <t>опорний навчальний заклад Новомиколаївська спеціалізована загальноосвітня школа І-ІІІ ст № 1 Новомиколаївської районної ради Запорізької області</t>
  </si>
  <si>
    <t>70101</t>
  </si>
  <si>
    <t>(06144)9-17-18</t>
  </si>
  <si>
    <t>http://novonikolaevka.pp.ua</t>
  </si>
  <si>
    <t>Комунальний заклад "Тернуватський навчально-виховний комплекс "загальноосвітній навчальний заклад І-ІІІ ступенів - дошкільний навчальний заклад" Новомиколаївської районної ради Запорізької області"</t>
  </si>
  <si>
    <t>70150</t>
  </si>
  <si>
    <t>2323655500</t>
  </si>
  <si>
    <t>Тернувате</t>
  </si>
  <si>
    <t>(06144)94574</t>
  </si>
  <si>
    <t>http://terschool.blogspot.com</t>
  </si>
  <si>
    <t>Веселогаївська загальноосвітня школа І-ІІ ступенів Новомиколаївського району Запорізької області</t>
  </si>
  <si>
    <t>70120</t>
  </si>
  <si>
    <t>2323680801</t>
  </si>
  <si>
    <t>Веселий Гай</t>
  </si>
  <si>
    <t>вул. Першотравнева, 21</t>
  </si>
  <si>
    <t>0614498546</t>
  </si>
  <si>
    <t>http://veselogaivska-zosh.zp.sch.in.ua</t>
  </si>
  <si>
    <t>Комунальний заклад "Шевченківська загальноосвітня школа І - ІІ ступенів" Новомиколаївської районної ради Запорізької області</t>
  </si>
  <si>
    <t>70140</t>
  </si>
  <si>
    <t>2323681306</t>
  </si>
  <si>
    <t>(1111)(061)4496733</t>
  </si>
  <si>
    <t>http://shevschool-2015.wix.com/shevschool</t>
  </si>
  <si>
    <t>Любицька загальноосвітня школа I-III ступенів Новомиколаївського району Запорізької області</t>
  </si>
  <si>
    <t>70153</t>
  </si>
  <si>
    <t>2323682401</t>
  </si>
  <si>
    <t>Любицьке</t>
  </si>
  <si>
    <t>06144-96-5-47</t>
  </si>
  <si>
    <t>http://lubschool.ucoz.ua</t>
  </si>
  <si>
    <t>Підгірненська загальноосвітня школа І-ІІІ ступенів Новомиколаївського району Запорізької області</t>
  </si>
  <si>
    <t>70121</t>
  </si>
  <si>
    <t>2323684001</t>
  </si>
  <si>
    <t>0614495144</t>
  </si>
  <si>
    <t>https://sites.google.com/a/podschool.com.ua/pidgirnenska-skola/</t>
  </si>
  <si>
    <t>Комунальний заклад "Софіївський навчально-виховний комплекс "загальноосвітній навчальний заклад І-ІІІ ступенів - дошкільний навчальний заклад" Новомиколаївської районної ради Запорізької області</t>
  </si>
  <si>
    <t>70113</t>
  </si>
  <si>
    <t>2323685901</t>
  </si>
  <si>
    <t>вул. Українська, 19</t>
  </si>
  <si>
    <t>06144-98324</t>
  </si>
  <si>
    <t>http://sophiaec.jimdo.com/</t>
  </si>
  <si>
    <t>комунальний заклад "Сторчівський навчально-виховний комплекс "загальноосвітній навчальний заклад I-III ступенів - дошкільний навчальний заклад" Новомиколаївської районної ради Запорізької області</t>
  </si>
  <si>
    <t>70112</t>
  </si>
  <si>
    <t>2323686201</t>
  </si>
  <si>
    <t>Сторчове</t>
  </si>
  <si>
    <t>(06144)95-3-98</t>
  </si>
  <si>
    <t>http://storchove-nvk.edukit.zp.ua</t>
  </si>
  <si>
    <t>Комунальний заклад "Терсянський навчально - виховний комплекс "загальноосвітній навчальний заклад І - ІІІступенів - дошкільний навчальний заклад" Новомиколаївської районної ради Запорізької областіобласті</t>
  </si>
  <si>
    <t>70132</t>
  </si>
  <si>
    <t>2323686601</t>
  </si>
  <si>
    <t>Терсянка</t>
  </si>
  <si>
    <t>0614499195</t>
  </si>
  <si>
    <t>http://tersianka-nm-nvk.edukit.zp.ua</t>
  </si>
  <si>
    <t>Трудова загальноосвітня школа І-ІІІ ступенів Новомиколаївського району Запорізької області</t>
  </si>
  <si>
    <t>70130</t>
  </si>
  <si>
    <t>2323687201</t>
  </si>
  <si>
    <t>(06144)998173</t>
  </si>
  <si>
    <t>http://trudove-school.zp.sch.in.ua</t>
  </si>
  <si>
    <t>Комунальний заклад "Оріхівська загальноосвітня школа І-ІІ ступенів № 3" Оріхівської районної ради Запорізької області</t>
  </si>
  <si>
    <t>70504</t>
  </si>
  <si>
    <t>2323910100</t>
  </si>
  <si>
    <t>Оріхів</t>
  </si>
  <si>
    <t>вул. Покровська, 71</t>
  </si>
  <si>
    <t>(06141)43727, (06141)43555</t>
  </si>
  <si>
    <t>http://orekhovschool3.at.ua/</t>
  </si>
  <si>
    <t>Комунальний заклад "Оріхівська загальноосвітня школа І-ІІ ступенів № 5" Оріхівської районної ради Запорізької області</t>
  </si>
  <si>
    <t>70500</t>
  </si>
  <si>
    <t>вул. Гетьмана Сагайдачного, 109</t>
  </si>
  <si>
    <t>(06141)43656</t>
  </si>
  <si>
    <t>http://school5.url.ph/</t>
  </si>
  <si>
    <t>Комунальний заклад "Оріхівська гімназія № 1 "Сузір'я" Оріхівської районної ради Запорізької області</t>
  </si>
  <si>
    <t>70501</t>
  </si>
  <si>
    <t>вул. Героїв Крут, 1А</t>
  </si>
  <si>
    <t>(06141)43281</t>
  </si>
  <si>
    <t>http://suzirya.at.ua</t>
  </si>
  <si>
    <t>20523929</t>
  </si>
  <si>
    <t>Комунальний заклад "Оріхівський навчально-виховний комплекс № 2 імені академіка В.А Лазаряна" Оріхівської районної ради Запорізької області</t>
  </si>
  <si>
    <t>(06141)43478</t>
  </si>
  <si>
    <t>http://nvk-2.at.ua</t>
  </si>
  <si>
    <t>Комунальний заклад "Навчально-виховний комплекс "Джерело" Комишуваської селищної ради Оріхівського району Запорізької області</t>
  </si>
  <si>
    <t>70530</t>
  </si>
  <si>
    <t>2323955400</t>
  </si>
  <si>
    <t>Комишуваха</t>
  </si>
  <si>
    <t>(06141)60273</t>
  </si>
  <si>
    <t>Комунальний заклад " Зарічненська загальноосвітня школа I-III ступенів" Комишуваської селищної ради Оріхівського району Запорізької області</t>
  </si>
  <si>
    <t>70534</t>
  </si>
  <si>
    <t>2323981301</t>
  </si>
  <si>
    <t>вул. Мельникова, 1</t>
  </si>
  <si>
    <t>(06141)65169</t>
  </si>
  <si>
    <t>КОМУНАЛЬНИЙ ЗАКЛАД "НАВЧАЛЬНО - ВИХОВНИЙ КОМПЛЕКС "ПЕРСПЕКТИВА" ТАВРІЙСЬКОЇ СІЛЬСЬКОЇ РАДИ ОРІХІВСЬКОГО РАЙОНУ ЗАПОРІЗЬКОЇ ОБЛАСТІ</t>
  </si>
  <si>
    <t>70540</t>
  </si>
  <si>
    <t>2323981501</t>
  </si>
  <si>
    <t>вул. Запорізька, 128</t>
  </si>
  <si>
    <t>0614147331</t>
  </si>
  <si>
    <t>Комунальний заклад "Малотокмачанська загальноосвітня школа І-ІІІ ступенів" Малотокмачанської сільської ради Оріхівського району Запорізької області</t>
  </si>
  <si>
    <t>70550</t>
  </si>
  <si>
    <t>2323982501</t>
  </si>
  <si>
    <t>Мала Токмачка</t>
  </si>
  <si>
    <t>вул. Денисенка, 6</t>
  </si>
  <si>
    <t>0614146280</t>
  </si>
  <si>
    <t>http://www.mtschool.com.ua</t>
  </si>
  <si>
    <t>Комунальний заклад "Мирненська загальноосвітня школа І-ІІІ ступенів імені воїна-інтернаціоналіста Сергія Володимировича Падалки" Оріхівської районної ради Запорізької області</t>
  </si>
  <si>
    <t>70560</t>
  </si>
  <si>
    <t>2323983001</t>
  </si>
  <si>
    <t>вул. Яссана, 4</t>
  </si>
  <si>
    <t>0614149636</t>
  </si>
  <si>
    <t>http://shkola-mirnoye.ucoz.ua</t>
  </si>
  <si>
    <t>Комунальний заклад "Нестерянська спеціалізована різнопрофільна загальноосвітня школа І-ІІІ ступенів Оріхівської районної ради Запорізької області"</t>
  </si>
  <si>
    <t>70561</t>
  </si>
  <si>
    <t>2323983301</t>
  </si>
  <si>
    <t>Нестерянка</t>
  </si>
  <si>
    <t>0614149281</t>
  </si>
  <si>
    <t>https://sites.google.com/site/sckilnipodij/</t>
  </si>
  <si>
    <t>20523958</t>
  </si>
  <si>
    <t>Комунальний заклад "Новопавлівська загальноосвітня школа I-II ступенів" Оріхівської районної ради Запорізької області</t>
  </si>
  <si>
    <t>70544</t>
  </si>
  <si>
    <t>2323984001</t>
  </si>
  <si>
    <t>вул. Галуст`яна, 1</t>
  </si>
  <si>
    <t>((061))4140732</t>
  </si>
  <si>
    <t>Комунальний заклад "Новоданилівська загальноосвітня школа І - ІІ ступенів" Оріхівської районної ради Запорізької області</t>
  </si>
  <si>
    <t>70505</t>
  </si>
  <si>
    <t>2323984501</t>
  </si>
  <si>
    <t>вул. Хрусталькова, 147 - А</t>
  </si>
  <si>
    <t>(26337642)(06141)40445</t>
  </si>
  <si>
    <t>Новоіванівська філія комунального закладу "Навчально-виховний комплекс "Джерело" Комишуваської селищної ради Оріхівського району Запорізької області</t>
  </si>
  <si>
    <t>70513</t>
  </si>
  <si>
    <t>2323985001</t>
  </si>
  <si>
    <t>вул. Патріотична, 13А</t>
  </si>
  <si>
    <t>0614162196</t>
  </si>
  <si>
    <t>http://nivan.ucoz.ua</t>
  </si>
  <si>
    <t>КЗ "Новотавричеська загальноосвітня школа І-ІІІ ступенів" Комишуваської селищної ради Оріхівського району Запорізької області</t>
  </si>
  <si>
    <t>70510</t>
  </si>
  <si>
    <t>2323985701</t>
  </si>
  <si>
    <t>Новотавричеське</t>
  </si>
  <si>
    <t>вул. Шкільна, 97</t>
  </si>
  <si>
    <t>0614167295</t>
  </si>
  <si>
    <t>http://zavuch.ucoz.ua/</t>
  </si>
  <si>
    <t>Комунальний заклад "Оленівський навчально-виховний комплекс "Школа І ступеня - дитячий садок" Новотавричеської сільської ради Оріхівського району Запорізької області</t>
  </si>
  <si>
    <t>70511</t>
  </si>
  <si>
    <t>2323985706</t>
  </si>
  <si>
    <t>вул. Колгоспна, 101 а</t>
  </si>
  <si>
    <t>67-1-40</t>
  </si>
  <si>
    <t>Новояковлівська філія "Навчально-виховний комплекс "Джерело" Комишуваської селищної ради Оріхівського району Запорізької області</t>
  </si>
  <si>
    <t>70536</t>
  </si>
  <si>
    <t>2323986501</t>
  </si>
  <si>
    <t>Новояковлівка</t>
  </si>
  <si>
    <t>0614169243</t>
  </si>
  <si>
    <t>Магдалинівська філія КЗ «НВК «Джерело»</t>
  </si>
  <si>
    <t>70537</t>
  </si>
  <si>
    <t>2323986503</t>
  </si>
  <si>
    <t>вул. Шевченка, 64</t>
  </si>
  <si>
    <t>06141 69 2 44</t>
  </si>
  <si>
    <t>Комунальний заклад "Навчально-виховний комплекс "Основа" Преображенської сільської ради Оріхівського району Запорізької області</t>
  </si>
  <si>
    <t>70545</t>
  </si>
  <si>
    <t>2323987801</t>
  </si>
  <si>
    <t>0614141216, 0614141564</t>
  </si>
  <si>
    <t>http://preobr-nvk.at.ua/</t>
  </si>
  <si>
    <t>20527353</t>
  </si>
  <si>
    <t>Щасливська філія КЗ «НВК «Джерело»</t>
  </si>
  <si>
    <t>70514</t>
  </si>
  <si>
    <t>2323987901</t>
  </si>
  <si>
    <t>вул. Блакитна, 51</t>
  </si>
  <si>
    <t>0614163144</t>
  </si>
  <si>
    <t>Комунальний заклад "Яснополянська загальноосвітня школа І-ІІІ ступенів" Комишуваської селищної ради Оріхівського району Запорізької області</t>
  </si>
  <si>
    <t>70512</t>
  </si>
  <si>
    <t>2323988501</t>
  </si>
  <si>
    <t>0614164445</t>
  </si>
  <si>
    <t>Комунальна установа "Пологівська гімназія "Основа" Пологівської районної ради Запорізької області</t>
  </si>
  <si>
    <t>70600</t>
  </si>
  <si>
    <t>2324210100</t>
  </si>
  <si>
    <t>вул. Щаслива, 83/МТС,2</t>
  </si>
  <si>
    <t>0616523815</t>
  </si>
  <si>
    <t>http://polohy-osnova.zp.sch.in.ua/</t>
  </si>
  <si>
    <t>Комунальна установа "Пологівський колегіум № 1" Пологівської районної ради Запорізької області</t>
  </si>
  <si>
    <t>вул. Державна, 18</t>
  </si>
  <si>
    <t>0616522413</t>
  </si>
  <si>
    <t>http://pologi-kolegium.at.ua/</t>
  </si>
  <si>
    <t>КУ "Пологівська спеціалізована різнопрофільна школа І-ІІІ ступенів № 2" Пологівської районної ради Запорізької області</t>
  </si>
  <si>
    <t>70605</t>
  </si>
  <si>
    <t>0616550008, 0616555850</t>
  </si>
  <si>
    <t>http://polohy-school2.edukit.zp.ua</t>
  </si>
  <si>
    <t>Пологівська загальноосвітня школа І-ІІ ступенів № 6 Пологівської районної ради Запорізької області</t>
  </si>
  <si>
    <t>70607</t>
  </si>
  <si>
    <t>вул. Волошкова, 7</t>
  </si>
  <si>
    <t>(06165)2-35-03</t>
  </si>
  <si>
    <t>http://pology-school-6.ucoz.ua</t>
  </si>
  <si>
    <t>КУ "Пологівська загальноосвітня школа І-ІІІ ступанів № 4" Пологівської районної ради Запорізької області</t>
  </si>
  <si>
    <t>вул. Героя України Сацького, 3</t>
  </si>
  <si>
    <t>06165-2-26-19, 06165-5-00-07</t>
  </si>
  <si>
    <t>http://school4pology1.ucoz.ru</t>
  </si>
  <si>
    <t>Комунальна установа "Басаньська загальноосвітня школа І-ІІІ ступенів" Пологівської районної ради Запорізької області</t>
  </si>
  <si>
    <t>70640</t>
  </si>
  <si>
    <t>2324280501</t>
  </si>
  <si>
    <t>Басань</t>
  </si>
  <si>
    <t>0616536525</t>
  </si>
  <si>
    <t>http://basan-school.at.ua/</t>
  </si>
  <si>
    <t>Комунальна установа "Вербівська загальноосвітня школа І-ІІІ ступенів" Пологівської районної ради Запорізької області</t>
  </si>
  <si>
    <t>70633</t>
  </si>
  <si>
    <t>2324281201</t>
  </si>
  <si>
    <t>Вербове</t>
  </si>
  <si>
    <t>0616538140</t>
  </si>
  <si>
    <t>http://verbschool.narod.ru</t>
  </si>
  <si>
    <t>Комунальна установа "Григорівська загальноосвітня школа І - ІІІ ступенів" Пологівської районої ради Запорізької області</t>
  </si>
  <si>
    <t>70661</t>
  </si>
  <si>
    <t>2324281401</t>
  </si>
  <si>
    <t>вул. Миру, 44А</t>
  </si>
  <si>
    <t>0616531426</t>
  </si>
  <si>
    <t>http://grigoriwka.at.ua</t>
  </si>
  <si>
    <t>Комунальна установа "Інженерненська загальноосвітня школа І-ІІІ ступенів" Пологівської районної ради Запорізької області</t>
  </si>
  <si>
    <t>70631</t>
  </si>
  <si>
    <t>2324281901</t>
  </si>
  <si>
    <t>Інженерне</t>
  </si>
  <si>
    <t>вул. Центральна, 93Б</t>
  </si>
  <si>
    <t>0616535940</t>
  </si>
  <si>
    <t>http://inzhenerne-school.edukit.zp.ua</t>
  </si>
  <si>
    <t>Комунальна установа "Новокарлівська загальноосвітня школа І - ІІІ ступенів" Пологівської районної ради Запорізької області</t>
  </si>
  <si>
    <t>70630</t>
  </si>
  <si>
    <t>2324281903</t>
  </si>
  <si>
    <t>Новокарлівка</t>
  </si>
  <si>
    <t>вул. Конєва, 11            а</t>
  </si>
  <si>
    <t>06165-35-7-22</t>
  </si>
  <si>
    <t>http://novokarlivka.at.ua</t>
  </si>
  <si>
    <t>Комунальна установа Новофедорівська загальноосвітня школа І-ІІ ступенів Пологівської районної ради Запорізької області</t>
  </si>
  <si>
    <t>70632</t>
  </si>
  <si>
    <t>2324281904</t>
  </si>
  <si>
    <t>Новофедорівка</t>
  </si>
  <si>
    <t>вул. Молодіжна, 100</t>
  </si>
  <si>
    <t>06165-36-7-40</t>
  </si>
  <si>
    <t>http://novofedorivka-zosh.edukit.zp.ua</t>
  </si>
  <si>
    <t>Комунальна установа "Кінськороздорівський навчально-виховний комплекс "загальноосвітній навчальний заклад - дошкільний навчальний заклад" Воскресенської сільської ради Пологівського району Запорізької області</t>
  </si>
  <si>
    <t>70651</t>
  </si>
  <si>
    <t>2324282401</t>
  </si>
  <si>
    <t>Кінські Роздори</t>
  </si>
  <si>
    <t>вул. Бердянська, 83</t>
  </si>
  <si>
    <t>(06165) 35-3-72, (06165) 35-3-40</t>
  </si>
  <si>
    <t>http://krozdory-nvk.edukit.zp.ua</t>
  </si>
  <si>
    <t>Комунальна установа "Новоселівська загальноосвітня школа І - ІІІ ступенів" Пологівської районної ради Запорізької області</t>
  </si>
  <si>
    <t>70620</t>
  </si>
  <si>
    <t>2324283501</t>
  </si>
  <si>
    <t>вул. Гагаріна, 81</t>
  </si>
  <si>
    <t>(061)6539140</t>
  </si>
  <si>
    <t>http://novosel1974.ucoz.ru</t>
  </si>
  <si>
    <t>КУ "Костянтинівська загальноосвітня школа І-ІІІ ступенів" Пологівської районної ради Запорізької області</t>
  </si>
  <si>
    <t>70618</t>
  </si>
  <si>
    <t>2324284601</t>
  </si>
  <si>
    <t>вул. Перемоги, 44</t>
  </si>
  <si>
    <t>(06165)39740</t>
  </si>
  <si>
    <t>http://konstanschool.at.ua</t>
  </si>
  <si>
    <t>Комунальна установа "Пологівський навчально-виховний комплекс «загальноосвітній навчальний заклад - дошкільний навчальний заклад» Пологівської районної ради, Запорізької області</t>
  </si>
  <si>
    <t>70615</t>
  </si>
  <si>
    <t>2324285001</t>
  </si>
  <si>
    <t>вул. Центральна, 188,</t>
  </si>
  <si>
    <t>0616550030, 0616532268</t>
  </si>
  <si>
    <t>http://pologi-nvk.jimdo.com/</t>
  </si>
  <si>
    <t>Комунальна установа "Семенівський навчально-виховний комплекс "Загальноосвітній навчальний заклад-дошкільний навчальний заклад" Пологівської районної ради Запорізької області.</t>
  </si>
  <si>
    <t>70660</t>
  </si>
  <si>
    <t>2324285701</t>
  </si>
  <si>
    <t>вул. Кирилівська, 5</t>
  </si>
  <si>
    <t>(06165) 31-5-30</t>
  </si>
  <si>
    <t>http://www.semenivka-zos.at.ua</t>
  </si>
  <si>
    <t>Комунальна установа "Тарасівська загальноосвітня школа І-ІІ ступенів" Пологівської районної ради Запорізької області</t>
  </si>
  <si>
    <t>2324286801</t>
  </si>
  <si>
    <t>вул. Миру, 78</t>
  </si>
  <si>
    <t>((06165))36426</t>
  </si>
  <si>
    <t>http://Tarassc.zz.mu</t>
  </si>
  <si>
    <t>Комунальна установа "Шевченківська загальноосвітня школа І-ІІІ ступенів " Пологівської районної ради Запорізької області</t>
  </si>
  <si>
    <t>70642</t>
  </si>
  <si>
    <t>2324286804</t>
  </si>
  <si>
    <t>вул. М. Горького, 34А</t>
  </si>
  <si>
    <t>(06165)38-7-05</t>
  </si>
  <si>
    <t>http://shevchenkivska.at.ua/</t>
  </si>
  <si>
    <t>Комунальна установа ''Воскресенська загальноосвітня школа І-ІІ ступенів Воскресенської сільської ради Пологівського району Запорізької області''</t>
  </si>
  <si>
    <t>70624</t>
  </si>
  <si>
    <t>2324287901</t>
  </si>
  <si>
    <t>Воскресенка</t>
  </si>
  <si>
    <t>вул. Перемоги, 70</t>
  </si>
  <si>
    <t>0616533567</t>
  </si>
  <si>
    <t>http://chapsc.url.ph/index.php</t>
  </si>
  <si>
    <t>Воскресенський навчально-виховний комплекс "спеціалізована школа І-ІІІ ступенів - дошкільний навчальний заклад" Воскресенської сільської ради Пологівського району Запорізької області</t>
  </si>
  <si>
    <t>вул. Матросова, 2</t>
  </si>
  <si>
    <t>0616533522</t>
  </si>
  <si>
    <t>http://chapaievka-spschool.edukit.zp.ua/</t>
  </si>
  <si>
    <t>КУ "Федорівська загальноосвітня школа І-ІІІ ступенів" Пологівської районної ради Запорізької області</t>
  </si>
  <si>
    <t>70627</t>
  </si>
  <si>
    <t>2324288201</t>
  </si>
  <si>
    <t>0616537340</t>
  </si>
  <si>
    <t>http://chub-school.narod.ru</t>
  </si>
  <si>
    <t>Дочірнє підприємство «Загальноосвітня школа-інтернат з дошкільним відділенням «Надія» товариства з обмеженою відповідальністю «Еммаус»</t>
  </si>
  <si>
    <t>72401</t>
  </si>
  <si>
    <t>2324555100</t>
  </si>
  <si>
    <t>вул. Зарічна, 30</t>
  </si>
  <si>
    <t>(06133)24187</t>
  </si>
  <si>
    <t>Опорний навчальний заклад Приазовська спеціалізована школа І-ІІІ ступенів "Азимут" Приазовської районної ради Запорізької області</t>
  </si>
  <si>
    <t>вул. Горького, 74</t>
  </si>
  <si>
    <t>0613322870</t>
  </si>
  <si>
    <t>Гамівський навчально-виховний комплекс "загальноосвітній навчальний заклад І ступеня - дошкільний навчальний заклад"</t>
  </si>
  <si>
    <t>72406</t>
  </si>
  <si>
    <t>2324555103</t>
  </si>
  <si>
    <t>Гамівка</t>
  </si>
  <si>
    <t>(06133)93-5-93</t>
  </si>
  <si>
    <t>Опорний навчальний заклад Нововасилівський навчально-виховний комплекс "Спеціалізована школа І-ІІІ ступенів - позашкільний навчальний заклад "Гармонія"Приазовської районної ради Запорізької області</t>
  </si>
  <si>
    <t>72420</t>
  </si>
  <si>
    <t>2324555400</t>
  </si>
  <si>
    <t>(06133) 52352</t>
  </si>
  <si>
    <t>http://novovasylivka.edukit.zp.ua</t>
  </si>
  <si>
    <t>Олександрівська загальноосвітня школа І-ІІІ ступенів Олександрівської сільської ради Приазовського району Запорізької області</t>
  </si>
  <si>
    <t>72445</t>
  </si>
  <si>
    <t>2324580301</t>
  </si>
  <si>
    <t>(061)339-16-41</t>
  </si>
  <si>
    <t>http://olexprz.osvita.zp.ua</t>
  </si>
  <si>
    <t>Ганнівський навчально-виховний комплекс "Загальноосвітній начальний заклад І-ІІІ ступенів -дошкільний навчальний заклад" Приазовської районної ради Запорізької області"</t>
  </si>
  <si>
    <t>72415</t>
  </si>
  <si>
    <t>2324580601</t>
  </si>
  <si>
    <t>806123397645</t>
  </si>
  <si>
    <t>Ганно-Опанлинський навчально-виховний комплекс «загальноосвітній навчальний заклад і-ііі ступенів - дошкільний навчальний заклад» Приазовської районної ради Запорізької області</t>
  </si>
  <si>
    <t>72411</t>
  </si>
  <si>
    <t>2324580803</t>
  </si>
  <si>
    <t>Ганно-Опанлинка</t>
  </si>
  <si>
    <t>(0613)398542</t>
  </si>
  <si>
    <t>http://gapnvk.at.ua/</t>
  </si>
  <si>
    <t>Богданівський навчально-виховний комплекс "Загальноосвітній навчальний заклад І-ІІІ ступенів - дошкільний навчальний заклад" Приазовської районної ради Запорізької області</t>
  </si>
  <si>
    <t>72430</t>
  </si>
  <si>
    <t>2324580901</t>
  </si>
  <si>
    <t>вул. Центральна, 210</t>
  </si>
  <si>
    <t>0613398147, 0613398160</t>
  </si>
  <si>
    <t>http://bognvk.blogspot.com</t>
  </si>
  <si>
    <t>Комунальна організація (установа, заклад) Ботіївська загальноосвітня школа І-ІІІ ступенів Ботіївської сільської ради Запорізької області</t>
  </si>
  <si>
    <t>72431</t>
  </si>
  <si>
    <t>2324581401</t>
  </si>
  <si>
    <t>Ботієве</t>
  </si>
  <si>
    <t>вул. Незалежності, 72</t>
  </si>
  <si>
    <t>0613391145, 0613391141</t>
  </si>
  <si>
    <t>http://botieve-zosh.zp.sch.in.ua/</t>
  </si>
  <si>
    <t>Гірсівська загальноосвітня школа І - ІІІ ступенів Гірсівської сільської ради Запорізької області</t>
  </si>
  <si>
    <t>72440</t>
  </si>
  <si>
    <t>2324582701</t>
  </si>
  <si>
    <t>Гірсівка</t>
  </si>
  <si>
    <t>(06133)93-2-19</t>
  </si>
  <si>
    <t>http://girs.at.ua</t>
  </si>
  <si>
    <t>Дунаївська загальноосвітня школа І - ІІІ ступенів Гірсівської сільської ради Запорізької області</t>
  </si>
  <si>
    <t>72446</t>
  </si>
  <si>
    <t>2324583001</t>
  </si>
  <si>
    <t>Дунаївка</t>
  </si>
  <si>
    <t>0-61-33-91-4-40</t>
  </si>
  <si>
    <t>Дівнинська загальноосвітня школа І-ІІІ ступенів Дівнинської сільської ради Приазовського району Запорізької області</t>
  </si>
  <si>
    <t>72442</t>
  </si>
  <si>
    <t>2324583401</t>
  </si>
  <si>
    <t>Дівнинське</t>
  </si>
  <si>
    <t>вул. Шкільна, 31</t>
  </si>
  <si>
    <t>0612396124</t>
  </si>
  <si>
    <t>http://devnensk.890m.com/</t>
  </si>
  <si>
    <t>Надеждинський навчально - виховний комплекс загальноосвітній навчальний заклад І-ІІІ ступенів - дошкільний навчальний заклад Гірсівської сільської Ради Запорізької області</t>
  </si>
  <si>
    <t>72441</t>
  </si>
  <si>
    <t>2324583801</t>
  </si>
  <si>
    <t>Надеждине</t>
  </si>
  <si>
    <t>вул. Цигулярова, 65</t>
  </si>
  <si>
    <t>(06133)93-3-45</t>
  </si>
  <si>
    <t>Новокостянтинівська загальноосвітня школа І-ІІ ступенів Новокостянтинівської сільської ради Приазовського району Запорізької області</t>
  </si>
  <si>
    <t>72452</t>
  </si>
  <si>
    <t>2324583901</t>
  </si>
  <si>
    <t>Новокостянтинівка</t>
  </si>
  <si>
    <t>вул. Першотравнева, 35</t>
  </si>
  <si>
    <t>(06133)(96)-5-23</t>
  </si>
  <si>
    <t>http://schooltubal.a5.ru</t>
  </si>
  <si>
    <t>Новоспаська загальноосвітня школа І-ІІІ ступенів Приазовської районої ради Запорізької області</t>
  </si>
  <si>
    <t>72412</t>
  </si>
  <si>
    <t>2324584601</t>
  </si>
  <si>
    <t>Новоспаське</t>
  </si>
  <si>
    <t>пров. Шкільнний, 1</t>
  </si>
  <si>
    <t>(06133)99410, (06133)99397</t>
  </si>
  <si>
    <t>http://novospas-znz0.ucoz.ua/</t>
  </si>
  <si>
    <t>Степанівська Перша загальноосвітня школа І-ІІІ ступенів Степанівської Першої сільської ради Приазовського району Запорізької області</t>
  </si>
  <si>
    <t>72454</t>
  </si>
  <si>
    <t>2324586201</t>
  </si>
  <si>
    <t>Степанівка Перша</t>
  </si>
  <si>
    <t>вул. Мартинова, 1</t>
  </si>
  <si>
    <t>(096)3246898</t>
  </si>
  <si>
    <t>http://stepanovka1.ucoz.ua</t>
  </si>
  <si>
    <t>Чкаловський навчально-виховний комплекс "Загальноосвітній навчальний заклад І-ІІІ ступенів - дошкільній навчальний заклад ім. Ф. Конюхова" Приазовської районної ради Запорізької області</t>
  </si>
  <si>
    <t>72453</t>
  </si>
  <si>
    <t>2324586801</t>
  </si>
  <si>
    <t>вул. Вишнева, 76</t>
  </si>
  <si>
    <t>(0613397147)</t>
  </si>
  <si>
    <t>http://chkalovo.ucoz.ua</t>
  </si>
  <si>
    <t>Шевченківська загальноосвітня школа І-ІІІступенів Шевченківської сільської ради Приазовського району Запорізької області</t>
  </si>
  <si>
    <t>72450</t>
  </si>
  <si>
    <t>2324587301</t>
  </si>
  <si>
    <t>(06133)93445</t>
  </si>
  <si>
    <t>http://pryaz-shevchenko-zosh.edukit.zp.ua</t>
  </si>
  <si>
    <t>Комунальний заклад "Загальноосвітня школа № 2 І-ІІІступенів м.Приморськ" Приморської міської ради Приморського району Запорізької області</t>
  </si>
  <si>
    <t>72102</t>
  </si>
  <si>
    <t>2324810100</t>
  </si>
  <si>
    <t>Приморськ</t>
  </si>
  <si>
    <t>вул. Морська, 65</t>
  </si>
  <si>
    <t>(06137)73606</t>
  </si>
  <si>
    <t>http://prim2school.ucoz.ua/</t>
  </si>
  <si>
    <t>26291348</t>
  </si>
  <si>
    <t>Комунальний заклад "Приморська загальноосвітня школа I - II ступенів № 3" Приморської міської ради Приморського району Запорізької області</t>
  </si>
  <si>
    <t>72101</t>
  </si>
  <si>
    <t>вул. Шкільна, 110</t>
  </si>
  <si>
    <t>(06137)74219</t>
  </si>
  <si>
    <t>http://primschool3.ucoz.com/</t>
  </si>
  <si>
    <t>26291259</t>
  </si>
  <si>
    <t>Комунальний заклад "Спеціалізована школа - загальноосвітній навчальний заклад № 1 І-ІІІ ступенів м.Приморська з поглибленим вивченням окремих предметів та курсів" Приморської районної ради Запорізької області</t>
  </si>
  <si>
    <t>вул. Калинова, 106</t>
  </si>
  <si>
    <t>(06137)72139</t>
  </si>
  <si>
    <t>http://prim1school.at.ua</t>
  </si>
  <si>
    <t>26291199</t>
  </si>
  <si>
    <t>Комунальний заклад "Приморський регіональний українсько - болгарський багатопрофільний ліцей ІІ-ІІІ ступенів" Приморської міської ради Приморського району Запорізької області</t>
  </si>
  <si>
    <t>вул. Соборна, 93</t>
  </si>
  <si>
    <t>(06137)73547</t>
  </si>
  <si>
    <t>http://primlicey.ucoz.ua</t>
  </si>
  <si>
    <t>20527488</t>
  </si>
  <si>
    <t>російська,англійська,болгарська</t>
  </si>
  <si>
    <t>Комунальний заклад "Банівська загальноосвітня школа І-ІІ ступенів Приморської районної ради Запорізької області</t>
  </si>
  <si>
    <t>72103</t>
  </si>
  <si>
    <t>2324880101</t>
  </si>
  <si>
    <t>Банівка</t>
  </si>
  <si>
    <t>вул. Маяковського, №43 ,б</t>
  </si>
  <si>
    <t>(06137)75452</t>
  </si>
  <si>
    <t>http://banovka.ucoz.ua</t>
  </si>
  <si>
    <t>26291408</t>
  </si>
  <si>
    <t>Комунальний заклад "Борисівська загальноосвітня школа І-ІІІступенів" Приморської районної ради Запорізької області</t>
  </si>
  <si>
    <t>72151</t>
  </si>
  <si>
    <t>2324880201</t>
  </si>
  <si>
    <t>(06137)76469</t>
  </si>
  <si>
    <t>http://schoolborisovka.ucoz.ru</t>
  </si>
  <si>
    <t>26291265</t>
  </si>
  <si>
    <t>Комунальний заклад "Вячеславська загальноосвітня школа І-ІІІ ступенів" Приморської районної ради Запорізької області</t>
  </si>
  <si>
    <t>72132</t>
  </si>
  <si>
    <t>2324880401</t>
  </si>
  <si>
    <t>Вячеславка</t>
  </si>
  <si>
    <t>вул. Миру, 62</t>
  </si>
  <si>
    <t>(06137)64122</t>
  </si>
  <si>
    <t>http://vyacheslavka9.wix.com/version2</t>
  </si>
  <si>
    <t>26291354</t>
  </si>
  <si>
    <t>Комунальний заклад "Маринівська багатопрофільна загальноосвітня школа І-ІІІ ступенів" Приморської районної ради Запорізької області</t>
  </si>
  <si>
    <t>72133</t>
  </si>
  <si>
    <t>2324880402</t>
  </si>
  <si>
    <t>Маринівка</t>
  </si>
  <si>
    <t>(06137)66410</t>
  </si>
  <si>
    <t>http://mzosh.ucoz.ua</t>
  </si>
  <si>
    <t>26291319</t>
  </si>
  <si>
    <t>Комунальний заклад "Радолівська загальноосвітня школа I-III ступенів " Приморської районної ради Запорізької області</t>
  </si>
  <si>
    <t>72155</t>
  </si>
  <si>
    <t>2324880802</t>
  </si>
  <si>
    <t>Радолівка</t>
  </si>
  <si>
    <t>(06137)67340</t>
  </si>
  <si>
    <t>http://kz-radolovka.ucoz.ru</t>
  </si>
  <si>
    <t>26291414</t>
  </si>
  <si>
    <t>Комунальний заклад "Навчально-виховний комплекс "Єлизаветівська загальноосвітня школа I-III ступенів - дошкільний навчальний заклад" Приморської районної ради Запорізької області</t>
  </si>
  <si>
    <t>72134</t>
  </si>
  <si>
    <t>2324881302</t>
  </si>
  <si>
    <t>(06137)71744</t>
  </si>
  <si>
    <t>http://elizavetovkakz.at.ua</t>
  </si>
  <si>
    <t>26291294</t>
  </si>
  <si>
    <t>Комунальний заклад "Навчально - виховний комплекс "Єлисеївська загальноосвітня школа І - ІІІ ступенів - дошкільний навчальний заклад" Приморської районної ради Запорізької області</t>
  </si>
  <si>
    <t>2324881601</t>
  </si>
  <si>
    <t>Єлисеївка</t>
  </si>
  <si>
    <t>вул. Мічуріна, 79</t>
  </si>
  <si>
    <t>(06137)76868</t>
  </si>
  <si>
    <t>http://nvkeleseevka.at.ua/</t>
  </si>
  <si>
    <t>26291213</t>
  </si>
  <si>
    <t>Комунальний заклад "Зеленівська загальноосвітня школа І-ІІІ ступенів природничо - математичного напряму" Приморської районної ради Запорізької області</t>
  </si>
  <si>
    <t>72113</t>
  </si>
  <si>
    <t>2324882001</t>
  </si>
  <si>
    <t>Зеленівка</t>
  </si>
  <si>
    <t>вул. Ковачових, 1А</t>
  </si>
  <si>
    <t>(06137)62141</t>
  </si>
  <si>
    <t>http://zelenovka.ucoz.ru</t>
  </si>
  <si>
    <t>26291383</t>
  </si>
  <si>
    <t>Комунальний заклад "Нельгівська загальноосвітня школа І-ІІІ ступенів" Приморської районної ради Запорізької області</t>
  </si>
  <si>
    <t>72114</t>
  </si>
  <si>
    <t>2324882003</t>
  </si>
  <si>
    <t>Нельгівка</t>
  </si>
  <si>
    <t>(06137)63430</t>
  </si>
  <si>
    <t>http://nelgivka-school.ucoz.ua</t>
  </si>
  <si>
    <t>26291223</t>
  </si>
  <si>
    <t>Комунальний заклад "Інзівська загальноосвітня школа І-ІІІ ступенів" Приморської районної ради Запорізької області</t>
  </si>
  <si>
    <t>72142</t>
  </si>
  <si>
    <t>2324882601</t>
  </si>
  <si>
    <t>Інзівка</t>
  </si>
  <si>
    <t>вул. Першотравнева, 54,</t>
  </si>
  <si>
    <t>(06137)75678</t>
  </si>
  <si>
    <t>http://inzovka-zosh.ucoz.ua</t>
  </si>
  <si>
    <t>26291288</t>
  </si>
  <si>
    <t>Комунальний заклад "Навчально-виховний комплекс "Коларівська загальноосвітня школа І-ІІІ ступенів - Дошкільний навчальний заклад"Приморської районної ради Запорізької області</t>
  </si>
  <si>
    <t>72131</t>
  </si>
  <si>
    <t>2324882801</t>
  </si>
  <si>
    <t>Болгарка</t>
  </si>
  <si>
    <t>(06137)67192</t>
  </si>
  <si>
    <t>http://kznvk-kolarovka.ucoz.ua</t>
  </si>
  <si>
    <t>26291360</t>
  </si>
  <si>
    <t>Комунальний заклад "Мануйлівська загальноосвітня школа І-ІІІ ступенів "Приморської районної ради Запорізької області</t>
  </si>
  <si>
    <t>72121</t>
  </si>
  <si>
    <t>2324883401</t>
  </si>
  <si>
    <t>Мануйлівка</t>
  </si>
  <si>
    <t>вул. Гагаріна, 31</t>
  </si>
  <si>
    <t>(06137)63674</t>
  </si>
  <si>
    <t>http://manoilovka.ucoz.ua</t>
  </si>
  <si>
    <t>26291331</t>
  </si>
  <si>
    <t>Комунальний заклад "Петрівська загальноосвітня школа І - ІІ ступенів" Приморської районної ради Запорізької області</t>
  </si>
  <si>
    <t>72123</t>
  </si>
  <si>
    <t>2324883403</t>
  </si>
  <si>
    <t>(06137)63552</t>
  </si>
  <si>
    <t>http://kzpetrivkazosh.ucoz.ua</t>
  </si>
  <si>
    <t>26291236</t>
  </si>
  <si>
    <t>Комунальний заклад "Навчально-виховний комплекс "Новоолексіївська загальноосвітня школа І-ІІІ ступенів-дошкільний навчальний заклад" Приморської районної ради Запорізької області</t>
  </si>
  <si>
    <t>72140</t>
  </si>
  <si>
    <t>2324883901</t>
  </si>
  <si>
    <t>пров. Зелений, 27</t>
  </si>
  <si>
    <t>(06137)76268</t>
  </si>
  <si>
    <t>http://nvknovoaleks.ucoz.ua/</t>
  </si>
  <si>
    <t>26291325</t>
  </si>
  <si>
    <t>Комунальний заклад "Орлівська загальноосвітня школа I-III ступенів" Приморської районної ради Запорізької області</t>
  </si>
  <si>
    <t>72143</t>
  </si>
  <si>
    <t>2324884201</t>
  </si>
  <si>
    <t>вул. Шкільна, 53</t>
  </si>
  <si>
    <t>(06137)61143</t>
  </si>
  <si>
    <t>http://orlovkaschool.ucoz.net</t>
  </si>
  <si>
    <t>26291242</t>
  </si>
  <si>
    <t>Комунальний заклад "Партизанська загальноосвітня школа І-ІІІ ступенів" Приморської районної ради Запорізької області</t>
  </si>
  <si>
    <t>72150</t>
  </si>
  <si>
    <t>2324884601</t>
  </si>
  <si>
    <t>вул. Пр-кт Перемоги, 5</t>
  </si>
  <si>
    <t>(06137)68146</t>
  </si>
  <si>
    <t>http://partizan-school.ucoz.ua</t>
  </si>
  <si>
    <t>26291302</t>
  </si>
  <si>
    <t>Комунальний заклад "Преславська багатопрофільна загальноосвітня школа І-ІІІ ступенів" Приморської міської ради Приморського раойну Запорізької області</t>
  </si>
  <si>
    <t>72145</t>
  </si>
  <si>
    <t>2324884801</t>
  </si>
  <si>
    <t>Преслав</t>
  </si>
  <si>
    <t>вул. Варбанського, 56Д</t>
  </si>
  <si>
    <t>(06137)76132</t>
  </si>
  <si>
    <t>http://kz-preslavzoh.ucoz.ua</t>
  </si>
  <si>
    <t>26291437</t>
  </si>
  <si>
    <t>Комунальний заклад "Преславська спеціальна загальноосвітня школа-інтернат" Запорізької обласної ради</t>
  </si>
  <si>
    <t>вул. Варбанського, 81А</t>
  </si>
  <si>
    <t>0237 7-61-49</t>
  </si>
  <si>
    <t>https://preslavsi17.e-schools.info</t>
  </si>
  <si>
    <t>20510358</t>
  </si>
  <si>
    <t>Комунальний заклад "Юр'ївська багатопрофільна загальноосвітня школа І-ІІІ ступенів" Приморської районної ради Запорізької області</t>
  </si>
  <si>
    <t>72120</t>
  </si>
  <si>
    <t>2324886301</t>
  </si>
  <si>
    <t>вул. Молодіжна, 13</t>
  </si>
  <si>
    <t>(06137)63171</t>
  </si>
  <si>
    <t>http://ubzh.ucoz.ua</t>
  </si>
  <si>
    <t>26291271</t>
  </si>
  <si>
    <t>Розівська загальноосвітня школа № 1 І-ІІІ ступенів Розівської районної ради Запорізької області</t>
  </si>
  <si>
    <t>70301</t>
  </si>
  <si>
    <t>2324955100</t>
  </si>
  <si>
    <t>(06162)97-3-31</t>
  </si>
  <si>
    <t>http://rozovkashool.ucoz.ua/</t>
  </si>
  <si>
    <t>25218549</t>
  </si>
  <si>
    <t>Розівська загальноосвітня школа № 2 I-III ст. Розівської районної ради Запорізької області</t>
  </si>
  <si>
    <t>70300</t>
  </si>
  <si>
    <t>вул. Пушкіна, 72</t>
  </si>
  <si>
    <t>(06162)97-2-34</t>
  </si>
  <si>
    <t>http://rozovskaychool2.ucoz.ua</t>
  </si>
  <si>
    <t>26292840</t>
  </si>
  <si>
    <t>Азовська загальноосвітня школа І-ІІІ ступенів Розівської районної ради Запорізької області</t>
  </si>
  <si>
    <t>70330</t>
  </si>
  <si>
    <t>2324980201</t>
  </si>
  <si>
    <t>Азов</t>
  </si>
  <si>
    <t>(06162)99-2-25</t>
  </si>
  <si>
    <t>http://azovschool.at.ua/</t>
  </si>
  <si>
    <t>26292804</t>
  </si>
  <si>
    <t>Вишнюватський навчально - виховний комплекс "загальноосвітня школа І ступеня - дошкільний навчальний заклад" Розівської районної ради Запорізької області</t>
  </si>
  <si>
    <t>70331</t>
  </si>
  <si>
    <t>2324981201</t>
  </si>
  <si>
    <t>Вишнювате</t>
  </si>
  <si>
    <t>0-61-62-99-130</t>
  </si>
  <si>
    <t>https://vichna-nvk.e-schools.info/</t>
  </si>
  <si>
    <t>39952822</t>
  </si>
  <si>
    <t>Карл-Лібкнехтський навчально-виховний комплекс "загальноосвітня школа І-ІІІ ступенів - дошкільний навчальний заклад" Розівської районної ради Запорізької області</t>
  </si>
  <si>
    <t>70312</t>
  </si>
  <si>
    <t>2324981801</t>
  </si>
  <si>
    <t>вул. Інтернаціональна, 61</t>
  </si>
  <si>
    <t>(06162)98430</t>
  </si>
  <si>
    <t>http://karlalib-zosh.zp.sch.in.ua/</t>
  </si>
  <si>
    <t>39953370</t>
  </si>
  <si>
    <t>Пролетарський навчально-виховний комплекс "Загальноосвітня школа І-ІІІ ступенів-дошкільний навчальний заклад" Розівської районної ради Зап. обл.</t>
  </si>
  <si>
    <t>70313</t>
  </si>
  <si>
    <t>2324984001</t>
  </si>
  <si>
    <t>http://proletarsknvk.ucoz.ua</t>
  </si>
  <si>
    <t>39953365</t>
  </si>
  <si>
    <t>Солодководненський начально виховний комплекс "Загальноосвітня школа І-ІІ ступенів - дошкільний навчальний заклад" Розівської районної ради Запорізької області</t>
  </si>
  <si>
    <t>70310</t>
  </si>
  <si>
    <t>2324984801</t>
  </si>
  <si>
    <t>Солодководне</t>
  </si>
  <si>
    <t>вул. Новоселів, 2</t>
  </si>
  <si>
    <t>0612-99-6-66</t>
  </si>
  <si>
    <t>26292750</t>
  </si>
  <si>
    <t>Комунальний заклад "Молочанська спеціальна загальноосвітня школа-інтернат" Запорізької обласної ради</t>
  </si>
  <si>
    <t>71717</t>
  </si>
  <si>
    <t>2325210100</t>
  </si>
  <si>
    <t>Молочанськ</t>
  </si>
  <si>
    <t>вул. Осипенко, 6</t>
  </si>
  <si>
    <t>(06178)47406</t>
  </si>
  <si>
    <t>http://detiintermol.blogspot.com/</t>
  </si>
  <si>
    <t>20511613</t>
  </si>
  <si>
    <t>Молочанська загальноосвітня школа І-ІІІ ступенів Токмацької районної ради Запорізької області</t>
  </si>
  <si>
    <t>71716</t>
  </si>
  <si>
    <t>вул. Шкільна, 63</t>
  </si>
  <si>
    <t>(06178)40471</t>
  </si>
  <si>
    <t>http://molschool.com</t>
  </si>
  <si>
    <t>26373738</t>
  </si>
  <si>
    <t>Молочанський НВК "Загальноосвітня школа І-ІІІ ступенів - гімназія" Токмацької районної ради Запорізької області</t>
  </si>
  <si>
    <t>(06178) 4-05-82</t>
  </si>
  <si>
    <t>26373744</t>
  </si>
  <si>
    <t>Балківська загальноосвітня школа І - ІІІ ступенів Токмацької районної ради Запорізької області</t>
  </si>
  <si>
    <t>71772</t>
  </si>
  <si>
    <t>2325280401</t>
  </si>
  <si>
    <t>Балкове</t>
  </si>
  <si>
    <t>вул. Миру, 75</t>
  </si>
  <si>
    <t>(06178) 98-1-32</t>
  </si>
  <si>
    <t>26373595</t>
  </si>
  <si>
    <t>Виноградненський навчально - виховний комплекс "Загальноосвітня школа І-ІІ ступенів - дошкільний навчальний заклад"</t>
  </si>
  <si>
    <t>71761</t>
  </si>
  <si>
    <t>2325280501</t>
  </si>
  <si>
    <t>Виноградне</t>
  </si>
  <si>
    <t>вул. Гришина, 44</t>
  </si>
  <si>
    <t>(06178)97332</t>
  </si>
  <si>
    <t>Покровська загальноосвітня школа І-ІІ ступенів Токмацької районної ради Запорізької області</t>
  </si>
  <si>
    <t>71740</t>
  </si>
  <si>
    <t>2325281201</t>
  </si>
  <si>
    <t>вул. Антипенка, 69А</t>
  </si>
  <si>
    <t>(06178) 31566</t>
  </si>
  <si>
    <t>Кіровська загальноосвітня школа І-ІІІ ступенів Токмацької районної ради Запорізької області</t>
  </si>
  <si>
    <t>71774</t>
  </si>
  <si>
    <t>2325281601</t>
  </si>
  <si>
    <t>Лагідне</t>
  </si>
  <si>
    <t>0617898666</t>
  </si>
  <si>
    <t>26373566</t>
  </si>
  <si>
    <t>Коханівський навчально-виховний комплекс "Загальноосвітня школа І-ІІІ ступенів - дошкільний навчальний заклад" імені Героя Радянського Союзу І.В. Ткаченка Токмацької районної ради Запорізької області</t>
  </si>
  <si>
    <t>71733</t>
  </si>
  <si>
    <t>2325282001</t>
  </si>
  <si>
    <t>Кохане</t>
  </si>
  <si>
    <t>вул. Червона, №104 Г</t>
  </si>
  <si>
    <t>(06178)98-2-30</t>
  </si>
  <si>
    <t>26373589</t>
  </si>
  <si>
    <t>Новенська загальноосвітня школа І-ІІІ ступенів Токмацької районної ради Запорізької області</t>
  </si>
  <si>
    <t>71724</t>
  </si>
  <si>
    <t>2325282401</t>
  </si>
  <si>
    <t>0617897438</t>
  </si>
  <si>
    <t>http://novoeshkola.ucoz.net/</t>
  </si>
  <si>
    <t>Чистопільська загальноосвітня школа І ступеня Токмацької районної ради Запорізької області</t>
  </si>
  <si>
    <t>71725</t>
  </si>
  <si>
    <t>2325282406</t>
  </si>
  <si>
    <t>Чистопілля</t>
  </si>
  <si>
    <t>(06178)97-1-32</t>
  </si>
  <si>
    <t>Новомиколаївський навчально-виховний комплекс " Загальноосвітня школа І-ІІІ ступенів.- дошкільний навчальний заклад"Токмацької районної ради, Запорізької області</t>
  </si>
  <si>
    <t>71771</t>
  </si>
  <si>
    <t>2325282801</t>
  </si>
  <si>
    <t>вул. Космічна, 1А</t>
  </si>
  <si>
    <t>(06178)96-6-29</t>
  </si>
  <si>
    <t>26373678</t>
  </si>
  <si>
    <t>Запорізька загальноосвітня школа І-ІІІ ступенів Токмацької районної ради Запорізької області</t>
  </si>
  <si>
    <t>71770</t>
  </si>
  <si>
    <t>2325282803</t>
  </si>
  <si>
    <t>(06178)96324</t>
  </si>
  <si>
    <t>26373572</t>
  </si>
  <si>
    <t>Новопрокопівський навчально-виховний комплекс "Загальноосвітня школа І-ІІІ ступенів - дошкільний навчальний заклад" Токмацької районної ради Запорізької області</t>
  </si>
  <si>
    <t>71721</t>
  </si>
  <si>
    <t>2325283201</t>
  </si>
  <si>
    <t>Новопрокопівка</t>
  </si>
  <si>
    <t>вул. Нова, 25</t>
  </si>
  <si>
    <t>(06178) 98-3-38</t>
  </si>
  <si>
    <t>http://novoprokopovka.klasna.com/</t>
  </si>
  <si>
    <t>26373632</t>
  </si>
  <si>
    <t>Остриківська загальноосвітня школа І-ІІІ ступенів Токмацької районної ради Запорізької області</t>
  </si>
  <si>
    <t>71752</t>
  </si>
  <si>
    <t>2325283601</t>
  </si>
  <si>
    <t>Остриківка</t>
  </si>
  <si>
    <t>вул. Жовтнева, 50</t>
  </si>
  <si>
    <t>(06178)97614</t>
  </si>
  <si>
    <t>26373721</t>
  </si>
  <si>
    <t>Урожайнівський навчально-виховний комплекс "Загальноосвітня школа І-ІІІ ступенів - дошкільний навчальний заклад" Токмацької районної ради Запорізької області</t>
  </si>
  <si>
    <t>71755</t>
  </si>
  <si>
    <t>2325283606</t>
  </si>
  <si>
    <t>Урожайне</t>
  </si>
  <si>
    <t>0617897747</t>
  </si>
  <si>
    <t>26373556</t>
  </si>
  <si>
    <t>Очеретуватська загальноосвітня школа І -ІІІ ступенів Токмацької районної ради Запорізької області</t>
  </si>
  <si>
    <t>71750</t>
  </si>
  <si>
    <t>2325284001</t>
  </si>
  <si>
    <t>0617897234</t>
  </si>
  <si>
    <t>Таврійський навчально-виховний комплекс "Загальноосвітня школа І-ІІІ ступенів - Дошкільний навчальний заклад" Токмацької районної ради Запорізької області</t>
  </si>
  <si>
    <t>71730</t>
  </si>
  <si>
    <t>2325284401</t>
  </si>
  <si>
    <t>вул. Дружби, 17А</t>
  </si>
  <si>
    <t>(06178)96280</t>
  </si>
  <si>
    <t>26373603</t>
  </si>
  <si>
    <t>Новогорівська загальноосвітня школа І-ІІІ ступенів Токмацької районної ради Запорізької області</t>
  </si>
  <si>
    <t>71731</t>
  </si>
  <si>
    <t>2325284404</t>
  </si>
  <si>
    <t>Новогорівка</t>
  </si>
  <si>
    <t>(06178)96780</t>
  </si>
  <si>
    <t>20515663</t>
  </si>
  <si>
    <t>Комунальний заклад "Чернігівська загальноосвітня школа-інтернат І-ІІІ ступенів" Запорізької обласної ради</t>
  </si>
  <si>
    <t>71202</t>
  </si>
  <si>
    <t>2325555100</t>
  </si>
  <si>
    <t>Чернігівка</t>
  </si>
  <si>
    <t>вул. Леніна, 409</t>
  </si>
  <si>
    <t>(06140)9-12-89, (06140)9-13-50</t>
  </si>
  <si>
    <t>http://cherint.at.ua</t>
  </si>
  <si>
    <t>24904155</t>
  </si>
  <si>
    <t>Опорний навчально-виховний заклад Чернігівська загальноосвітня школа імені Героя Радянського Союзу А.М.Темника Чернігівської районної ради Запорізької області</t>
  </si>
  <si>
    <t>вул. Соборна, 412А</t>
  </si>
  <si>
    <t>(06140)91771</t>
  </si>
  <si>
    <t>http://school-temnika.edukit.zp.ua</t>
  </si>
  <si>
    <t>Філія Чернігівська загальноосвітня школа І-ІІ ступенів опорного навчально-виховного закладу Чернігівська загальноосвітня школа І-ІІІ ступенів імені Героя Радянського Союзу А.М. Темника Чернігівської районної ради Запорізької області</t>
  </si>
  <si>
    <t>71201</t>
  </si>
  <si>
    <t>вул. Соборна, 155</t>
  </si>
  <si>
    <t>(06140)95123</t>
  </si>
  <si>
    <t>http://chernihivka-zosh.edukit.zp.ua</t>
  </si>
  <si>
    <t>Чернігівська загальноосвітня школа І-ІІІ ступенів Чернігівської районної ради Запорізької області</t>
  </si>
  <si>
    <t>вул. Бабенка, 9</t>
  </si>
  <si>
    <t>(06140)91662</t>
  </si>
  <si>
    <t>http://schoolnadia.ucoz.org</t>
  </si>
  <si>
    <t>Богданівська загальноосвітня школа І-ІІІ ступенів Чернігівської районної ради Запорізької області</t>
  </si>
  <si>
    <t>71240</t>
  </si>
  <si>
    <t>2325580501</t>
  </si>
  <si>
    <t>(06140)96123</t>
  </si>
  <si>
    <t>http://bogdanivka-zosh.zp.sch.in.ua/</t>
  </si>
  <si>
    <t>Верхньотокмацька загальноосвітня школа І-ІІІ ступенів Чернігівської районної ради Запорізької області</t>
  </si>
  <si>
    <t>71230</t>
  </si>
  <si>
    <t>2325581201</t>
  </si>
  <si>
    <t>Верхній Токмак</t>
  </si>
  <si>
    <t>вул. Центральна, 9,</t>
  </si>
  <si>
    <t>(06140)97323</t>
  </si>
  <si>
    <t>http://vtokmak-school.zp.sch.in.ua</t>
  </si>
  <si>
    <t>Владівська загальноосвітня школа І-ІІІ ступенів Чернігівської районної ради Запорізької області</t>
  </si>
  <si>
    <t>71221</t>
  </si>
  <si>
    <t>2325581901</t>
  </si>
  <si>
    <t>(06140)95625</t>
  </si>
  <si>
    <t>http://vladivska.klasna.com/uk/site/index.html</t>
  </si>
  <si>
    <t>Новоказанкуватський навчально - виховний комплекс Чернігівської районної ради Запорізької області</t>
  </si>
  <si>
    <t>71211</t>
  </si>
  <si>
    <t>2325582901</t>
  </si>
  <si>
    <t>Новоказанкувате</t>
  </si>
  <si>
    <t>(06140)94323</t>
  </si>
  <si>
    <t>Новомихайлівський навчально-виховний комплекс Чернігівської районної ради Запорізької області</t>
  </si>
  <si>
    <t>71210</t>
  </si>
  <si>
    <t>2325583501</t>
  </si>
  <si>
    <t>(06140)94538</t>
  </si>
  <si>
    <t>http://novomikhajl-vs-kij-nvk.webnode.com.ua/</t>
  </si>
  <si>
    <t>Новополтавська загальноосвітня школа І-ІІІ ступенів Чернігівської районної ради Запорізької області</t>
  </si>
  <si>
    <t>71214</t>
  </si>
  <si>
    <t>2325584601</t>
  </si>
  <si>
    <t>Новополтавка</t>
  </si>
  <si>
    <t>(06140)94-2-23</t>
  </si>
  <si>
    <t>Обіточненська загальноосвітня школа І-ІІ ступенів Чернігівської районної ради Запорізької області</t>
  </si>
  <si>
    <t>71231</t>
  </si>
  <si>
    <t>2325585001</t>
  </si>
  <si>
    <t>Обіточне</t>
  </si>
  <si>
    <t>вул. Миру, 37 б</t>
  </si>
  <si>
    <t>(06140)97123</t>
  </si>
  <si>
    <t>Ільїнський навчально-виховний комплекс Чернігівської районної ради Запорізької області</t>
  </si>
  <si>
    <t>71244</t>
  </si>
  <si>
    <t>2325585701</t>
  </si>
  <si>
    <t>Ільїне</t>
  </si>
  <si>
    <t>вул. Південна, 13</t>
  </si>
  <si>
    <t>(06140)96523</t>
  </si>
  <si>
    <t>Просторівська загальноосвітня школа І-ІІІ ступенів Чернігівської районної ради Запорізької області</t>
  </si>
  <si>
    <t>71242</t>
  </si>
  <si>
    <t>2325586801</t>
  </si>
  <si>
    <t>Просторе</t>
  </si>
  <si>
    <t>вул. Супетенка, 11</t>
  </si>
  <si>
    <t>(06140)96323</t>
  </si>
  <si>
    <t>Довгинський навчально-виховний комплекс Чернігівської районної ради Запорізької області</t>
  </si>
  <si>
    <t>71243</t>
  </si>
  <si>
    <t>2325586802</t>
  </si>
  <si>
    <t>вул. Зелена, 112</t>
  </si>
  <si>
    <t>(06140)96723</t>
  </si>
  <si>
    <t>філія Стульневський навчально - виховний комплекс опорного навчально-виховного закладу Чернігівська загальноосвітня школа І-ІІІ ступенів імені Гроя Радянського Союзу А.М. Темника Чернігівської районної ради Запорізької області</t>
  </si>
  <si>
    <t>71220</t>
  </si>
  <si>
    <t>2325587201</t>
  </si>
  <si>
    <t>Стульневе</t>
  </si>
  <si>
    <t>вул. Перемоги, 102.</t>
  </si>
  <si>
    <t>0614094723</t>
  </si>
  <si>
    <t>http://stulnevska.klasna.com/uk/</t>
  </si>
  <si>
    <t>Хмельницький навчально - виховний комплекс Чернігівської районної ради Запорізької області</t>
  </si>
  <si>
    <t>71223</t>
  </si>
  <si>
    <t>2325587905</t>
  </si>
  <si>
    <t>Хмельницьке</t>
  </si>
  <si>
    <t>((061)40)95-3-23</t>
  </si>
  <si>
    <t>Загальноосвітня школа І-ІІІ ступенів № 3 Івано-Франківської міської ради Івано-Франківської області</t>
  </si>
  <si>
    <t>76000</t>
  </si>
  <si>
    <t>2610100000</t>
  </si>
  <si>
    <t>Івано-Франківська область</t>
  </si>
  <si>
    <t>Івано-Франківськ</t>
  </si>
  <si>
    <t>вул. Франка, 14</t>
  </si>
  <si>
    <t>750558</t>
  </si>
  <si>
    <t>російська,польська</t>
  </si>
  <si>
    <t>загальноосвітня школа І-ІІІ ступенів № 18 Івано-Франківської міської ради Івано-Франківської області</t>
  </si>
  <si>
    <t>76008</t>
  </si>
  <si>
    <t>вул. Тролейбусна, 7</t>
  </si>
  <si>
    <t>(0342)583861</t>
  </si>
  <si>
    <t>Івано-Франківська ЗШС № 3 І ступеня з групами цілодобового перебування дітей</t>
  </si>
  <si>
    <t>76019</t>
  </si>
  <si>
    <t>вул. Набережна, 32 а</t>
  </si>
  <si>
    <t>545050</t>
  </si>
  <si>
    <t>Івано - Франківська загальноосвітня школа І ступеня № 8 Івано - Франківської міської ради Івано - Франківської області</t>
  </si>
  <si>
    <t>76009</t>
  </si>
  <si>
    <t>вул. Коломийська, 9</t>
  </si>
  <si>
    <t>(0342)56-29-66</t>
  </si>
  <si>
    <t>Івано- Франківська загальноосвітня школа I-III ступеня № 22</t>
  </si>
  <si>
    <t>вул. Івана Павла 2, 24</t>
  </si>
  <si>
    <t>(03422)60644</t>
  </si>
  <si>
    <t>20558833</t>
  </si>
  <si>
    <t>Івано-Франківська вечірня школа ІІ-ІІІ ступенів № 1 Івано-Франківської міської ради Івано-Франківської області</t>
  </si>
  <si>
    <t>76015</t>
  </si>
  <si>
    <t>вул. Дністровська, 63А</t>
  </si>
  <si>
    <t>(0342)549149</t>
  </si>
  <si>
    <t>23805829</t>
  </si>
  <si>
    <t>Івано-Франківська гімназія № 2 Івано-Франківської міської ради Івано-Франківської області</t>
  </si>
  <si>
    <t>76014</t>
  </si>
  <si>
    <t>вул. Шухевичів, 35</t>
  </si>
  <si>
    <t>(0342)534211</t>
  </si>
  <si>
    <t>26264185</t>
  </si>
  <si>
    <t>Івано-Франківська загальноосвітня школа І ступеня № 9 Івано-Франківської міської ради Івано-Франківської області</t>
  </si>
  <si>
    <t>76026</t>
  </si>
  <si>
    <t>вул. Гетьмана Мазепи, 169, корп. 4</t>
  </si>
  <si>
    <t>Івано-Франківська загальноосвітня школа І ступеня № 26 Івано-Франківської міської ради Івано-Франківської області</t>
  </si>
  <si>
    <t>07614</t>
  </si>
  <si>
    <t>вул. Шухевичів, 27А</t>
  </si>
  <si>
    <t>(03422)22513</t>
  </si>
  <si>
    <t>26264191</t>
  </si>
  <si>
    <t>Івано-Франківська загальноосвітня школа І-ІІІ ступенів № 13 Івано-Франківської міської ради Івано-Франківської області</t>
  </si>
  <si>
    <t>вул. Галицька, 65</t>
  </si>
  <si>
    <t>(0342)785322</t>
  </si>
  <si>
    <t>Івано-Франківська загальноосвітня школа І-ІІІ ступенів № 16 Івано-Франківської міської ради Івано-Франківської області</t>
  </si>
  <si>
    <t>76006</t>
  </si>
  <si>
    <t>вул. Вовчинецька, 103</t>
  </si>
  <si>
    <t>(0342)786735</t>
  </si>
  <si>
    <t>20558902</t>
  </si>
  <si>
    <t>Івано-Франківська загальноосвітня школа І-ІІІ ступенів № 19 Івано-Франківської міської ради Івано-Франківської області</t>
  </si>
  <si>
    <t>76002</t>
  </si>
  <si>
    <t>вул. Гната Хоткевича, 56</t>
  </si>
  <si>
    <t>(0342)755215, (0342)551550</t>
  </si>
  <si>
    <t>Івано-Франківська загальноосвітня школа І-ІІІ ступенів № 25 Івано-Франківської міської ради Івано-Франківської області</t>
  </si>
  <si>
    <t>вул. 24 Серпня, 13</t>
  </si>
  <si>
    <t>(03422)69646</t>
  </si>
  <si>
    <t>Івано-Франківська загальноосвітня школа І-ІІІ ступенів № 7 Івано-Франківської міської ради Івано-Франківської області</t>
  </si>
  <si>
    <t>(0322)720970</t>
  </si>
  <si>
    <t>Івано-Франківська загальноосвітня школа І-ІІІ ступенів № 10 Івано-Франківської міської ради Івано-Франківської області</t>
  </si>
  <si>
    <t>вул. Вовчинецька, 196 б</t>
  </si>
  <si>
    <t>(03422)64573</t>
  </si>
  <si>
    <t>Івано-Франківська загальноосвітня школа І-ІІІ ступенів № 12 імені Івана Франка Івано-Франківської міської ради Івано-Франківської області</t>
  </si>
  <si>
    <t>вул. Національної Гвардії, 13</t>
  </si>
  <si>
    <t>(0342)789019</t>
  </si>
  <si>
    <t>http://if-school12.hol.es</t>
  </si>
  <si>
    <t>Івано-Франківська загальноосвітня школа І-ІІІ ступенів № 15 Івано-Франківської міської ради Івано-Франківської області</t>
  </si>
  <si>
    <t>вул. Незалежності, 207</t>
  </si>
  <si>
    <t>(03422)23856</t>
  </si>
  <si>
    <t>Івано-Франківська загальноосвітня школа І-ІІІ ступенів № 17 Івано-Франківської міської ради Івано-Франківської області</t>
  </si>
  <si>
    <t>наб. Набережна імені В.Стефаника, 16 А</t>
  </si>
  <si>
    <t>(0342)545595</t>
  </si>
  <si>
    <t>20551357</t>
  </si>
  <si>
    <t>Івано-Франківська загальноосвітня школа І-ІІІ ступенів № 21</t>
  </si>
  <si>
    <t>вул. Сахарова, 36А</t>
  </si>
  <si>
    <t>(03422)24859</t>
  </si>
  <si>
    <t>Івано-Франківська загальноосвітня школа І-ІІІ ступенів № 24 Івано-Франківської міської ради Івано-Франківської області</t>
  </si>
  <si>
    <t>вул. Хіміків, 1</t>
  </si>
  <si>
    <t>(0342)581955, (0342)582677</t>
  </si>
  <si>
    <t>http://shc24if.in.ua</t>
  </si>
  <si>
    <t>Івано-Франківська загальноосвітня школа І-ІІІ ступенів № 28 Івано-Франківської міської ради Івано-Франківської області</t>
  </si>
  <si>
    <t>76005</t>
  </si>
  <si>
    <t>вул. Чорновола, 130</t>
  </si>
  <si>
    <t>(0342)757891</t>
  </si>
  <si>
    <t>02136382</t>
  </si>
  <si>
    <t>Івано-Франківська загальноосвітня школа І-ІІІ ступенів № 4 Івано-Франківської міської ради Івано-Франківської області</t>
  </si>
  <si>
    <t>76010</t>
  </si>
  <si>
    <t>вул. Південний бульвар, 24</t>
  </si>
  <si>
    <t>(0342)546492</t>
  </si>
  <si>
    <t>http://school_4if.webnode.com.ua</t>
  </si>
  <si>
    <t>Івано-Франківська загальноосвітня школа І-ІІІ ступенів № 6 імені Івана Ревчука Івано-Франківської міської ради Івано-Франківської області</t>
  </si>
  <si>
    <t>вул. Джерельна, 2А</t>
  </si>
  <si>
    <t>(0342)759188</t>
  </si>
  <si>
    <t>Івано-Франківська загальноосвітня школа ІІ-ІІІ ступенів № 2 Івано-Франківської міської ради Івано-Франківської області</t>
  </si>
  <si>
    <t>вул. Дорошенка, 29</t>
  </si>
  <si>
    <t>(0342)757499</t>
  </si>
  <si>
    <t>http://ifschool2.ucoz.ua</t>
  </si>
  <si>
    <t>25802373</t>
  </si>
  <si>
    <t>Івано-Франківська загальноосвітня школа-садок І ступеня № 6 Івано-Франківської міської ради Івано-Франківської області</t>
  </si>
  <si>
    <t>(0342)580512</t>
  </si>
  <si>
    <t>23806220</t>
  </si>
  <si>
    <t>Івано-Франківська загальноосвітня школа-садок І ступеня імені Софії Русової Івано-Франківської міської ради Івано-Франківської області</t>
  </si>
  <si>
    <t>76018</t>
  </si>
  <si>
    <t>вул. Василіянок, 28</t>
  </si>
  <si>
    <t>(03422)548048</t>
  </si>
  <si>
    <t>Івано-Франківська приватна загальноосвітня школа І-ІІІ ступенів „Католицька школа святого Василія Великого”</t>
  </si>
  <si>
    <t>вул. Василіянок, 17</t>
  </si>
  <si>
    <t>(03422)40335</t>
  </si>
  <si>
    <t>26263777</t>
  </si>
  <si>
    <t>Івано-Франківська спеціалізована школа І-ІІІ ступенів № 5 з поглибленим вивченням німецької мови</t>
  </si>
  <si>
    <t>вул. Франка, 19</t>
  </si>
  <si>
    <t>(0342)50-85-55, (0342)75-01-62</t>
  </si>
  <si>
    <t>20559092</t>
  </si>
  <si>
    <t>Івано-Франківська спеціалізована школа І-ІІІ ступенів № 1 з поглибленим вивченням англійської мови Івано-Франківської міської ради Івано-Франківської області</t>
  </si>
  <si>
    <t>вул. Довга, 37</t>
  </si>
  <si>
    <t>(03422)42555</t>
  </si>
  <si>
    <t>20559175</t>
  </si>
  <si>
    <t>Івано-Франківська спеціалізована школа І-ІІІ ступенів № 11 з поглибленим вивченням англійської мови Івано-Франківської міської ради Івано-Франківської області</t>
  </si>
  <si>
    <t>вул. Богдана Лепкого, 9</t>
  </si>
  <si>
    <t>(0342)533112, (0342)531529</t>
  </si>
  <si>
    <t>Івано-Франківський навчально-виховний комплекс "Школа-гімназія № 3" І - ІІІ ступенів</t>
  </si>
  <si>
    <t>вул. Гоголя, 10</t>
  </si>
  <si>
    <t>(03422)6-05-73</t>
  </si>
  <si>
    <t>Івано-Франківський навчально-реабілітаційний центр</t>
  </si>
  <si>
    <t>вул. Гната Хоткевича, 52 А</t>
  </si>
  <si>
    <t>(03422)781313, (03422)550524</t>
  </si>
  <si>
    <t>Івано-Франківський природничо-математичний ліцей Івано-Франківської міської ради Івано-Франківської області</t>
  </si>
  <si>
    <t>вул. Франка, 33</t>
  </si>
  <si>
    <t>(03422)533847</t>
  </si>
  <si>
    <t>25714640</t>
  </si>
  <si>
    <t>Навчально-виховний комплекс "Загальноосвітня школа-ліцей № 23 Прикарпатського національного університету імені Василя Стефаника" Івано-Франківської міської ради Івано-Франківської області</t>
  </si>
  <si>
    <t>вул. Мазепи, 90</t>
  </si>
  <si>
    <t>(0342)750981</t>
  </si>
  <si>
    <t>20559040</t>
  </si>
  <si>
    <t>Приватна школа-садок "Перша ластівка"</t>
  </si>
  <si>
    <t>вул. Биха, 10</t>
  </si>
  <si>
    <t>(0342)530302</t>
  </si>
  <si>
    <t>http://www.first-lastivka.if.ua</t>
  </si>
  <si>
    <t>24686829</t>
  </si>
  <si>
    <t>Українська гімназія № 1 Івано-Франківської міської ради Івано-Франківської області</t>
  </si>
  <si>
    <t>вул. Калуське шосе, 1</t>
  </si>
  <si>
    <t>(0342)583746</t>
  </si>
  <si>
    <t>http://gimnazia1.if.ua</t>
  </si>
  <si>
    <t>20556745</t>
  </si>
  <si>
    <t>Івано-Франківський приватний навчально-виховний комплекс "Католицька загальноосвітня школа ІІ-ІІІ ступенів-гімназія святого Василія Великого"</t>
  </si>
  <si>
    <t>Вовчинецька загальноосвітня школа І-ІІ ступенів Івано-Франківської міської ради Івано-Франківської області</t>
  </si>
  <si>
    <t>76491</t>
  </si>
  <si>
    <t>2610190501</t>
  </si>
  <si>
    <t>вул. Гайова, 10</t>
  </si>
  <si>
    <t>(03422)6-14-61</t>
  </si>
  <si>
    <t>Крихівецька загальноосвітня школа І-ІІІ ступенів Івано-Франківської міської ради Івано-Франківської області</t>
  </si>
  <si>
    <t>76493</t>
  </si>
  <si>
    <t>2610192001</t>
  </si>
  <si>
    <t>Крихівці</t>
  </si>
  <si>
    <t>вул. 22 Січня, 141А</t>
  </si>
  <si>
    <t>(0342)78-20-08</t>
  </si>
  <si>
    <t>Приватний заклад " Навчально - виховний комплекс"Українська Монтессорі-школа Смайлика" села Крихівці Івано-Франківської міської ради</t>
  </si>
  <si>
    <t>вул. Двірська, 20</t>
  </si>
  <si>
    <t>(099)0516664, (098)5135569</t>
  </si>
  <si>
    <t>Івано-Франківський академічний ліцей-інтернат Івано-Франківської обласної ради</t>
  </si>
  <si>
    <t>76492</t>
  </si>
  <si>
    <t>2610193001</t>
  </si>
  <si>
    <t>Микитинці</t>
  </si>
  <si>
    <t>вул. Юності, 13</t>
  </si>
  <si>
    <t>554495</t>
  </si>
  <si>
    <t>http://lyceum.if.ua/</t>
  </si>
  <si>
    <t>30475109</t>
  </si>
  <si>
    <t>Микитинецька загальноосвітня школа І-ІІІ ступенів Івано-Франківської міської ради Івано-Франківської області</t>
  </si>
  <si>
    <t>76494</t>
  </si>
  <si>
    <t>вул. Просвіти, 2</t>
  </si>
  <si>
    <t>(0342)554099</t>
  </si>
  <si>
    <t>Івано-Франківський навчально-реабілітаційний центр Івано-Франківської обласної ради</t>
  </si>
  <si>
    <t>2610196601</t>
  </si>
  <si>
    <t>Угорники</t>
  </si>
  <si>
    <t>вул. Тополина, 6</t>
  </si>
  <si>
    <t>(0342)787412</t>
  </si>
  <si>
    <t>04544300</t>
  </si>
  <si>
    <t>Івано-Франківський фізико-технічний ліцей-інтернат Івано-Франківської обласної ради Івано-Франківської області</t>
  </si>
  <si>
    <t>(0342)554691</t>
  </si>
  <si>
    <t>http://ftl.if.ua</t>
  </si>
  <si>
    <t>13659054</t>
  </si>
  <si>
    <t>Угорницька загальноосвітня школа І-ІІІ ступенів Івано-Франківської міської ради Івано-Франківської області</t>
  </si>
  <si>
    <t>вул. Тополина, 22</t>
  </si>
  <si>
    <t>(0342)787410</t>
  </si>
  <si>
    <t>Хриплинська загальноосвітня школа І-ІІ ступенів Івано-Франківської міської ради Івано-Франківської області</t>
  </si>
  <si>
    <t>76495</t>
  </si>
  <si>
    <t>2610197401</t>
  </si>
  <si>
    <t>Хриплин</t>
  </si>
  <si>
    <t>вул. Героїв УПА, 2</t>
  </si>
  <si>
    <t>0342787325</t>
  </si>
  <si>
    <t>Болехівська загальноосвітня школа І-ІІІ ступенів № 1 Болехівської міської ради Івано-Франківської області</t>
  </si>
  <si>
    <t>77200</t>
  </si>
  <si>
    <t>2610200000</t>
  </si>
  <si>
    <t>Болехів</t>
  </si>
  <si>
    <t>(034373)4562</t>
  </si>
  <si>
    <t>Болехівська загальноосвітня школа І-ІІІ ступенів № 2 Болехівської міської ради Івано-Франківської області</t>
  </si>
  <si>
    <t>77202</t>
  </si>
  <si>
    <t>вул. Ю.Гагаріна, 12</t>
  </si>
  <si>
    <t>(03437)35152, (03437)35352</t>
  </si>
  <si>
    <t>Гузіївська загальноосвітня школа І-ІІІ ступенів Болехівської міської ради Івано-Франківської області</t>
  </si>
  <si>
    <t>77211</t>
  </si>
  <si>
    <t>2610290601</t>
  </si>
  <si>
    <t>Гузіїв</t>
  </si>
  <si>
    <t>(03437)39349</t>
  </si>
  <si>
    <t>Козаківська загальноосвітня школа І-ІІІ ступенів ім.Катерини Мандрик-Куйбіди Болехівської міської ради Івано-Франківської області</t>
  </si>
  <si>
    <t>77222</t>
  </si>
  <si>
    <t>2610291001</t>
  </si>
  <si>
    <t>Козаківка</t>
  </si>
  <si>
    <t>вул. Богдана Мандрика, 2</t>
  </si>
  <si>
    <t>(03437)36738</t>
  </si>
  <si>
    <t>Міжрічанська загальноосвітня школа І-ІІІ ступенів Болехівської міської ради Івано-Франківської області</t>
  </si>
  <si>
    <t>77210</t>
  </si>
  <si>
    <t>2610291401</t>
  </si>
  <si>
    <t>Міжріччя</t>
  </si>
  <si>
    <t>(03437)31349</t>
  </si>
  <si>
    <t>Підберезька загальноосвітня школа І-ІІ ступенів Болехівської міської ради Івано-Франківської області</t>
  </si>
  <si>
    <t>77212</t>
  </si>
  <si>
    <t>2610291501</t>
  </si>
  <si>
    <t>Підбережжя</t>
  </si>
  <si>
    <t>вул. Б.Хмельницького, 76 б</t>
  </si>
  <si>
    <t>(03437)39341</t>
  </si>
  <si>
    <t>Поляницька загальноосвітня школа І-ІІІ ступенів Болехівської міської ради Івано-Франківської області</t>
  </si>
  <si>
    <t>77221</t>
  </si>
  <si>
    <t>2610291601</t>
  </si>
  <si>
    <t>Поляниця</t>
  </si>
  <si>
    <t>вул. Івана-Франка, 59</t>
  </si>
  <si>
    <t>(03437)36330</t>
  </si>
  <si>
    <t>Тисівська загальноосвітня школа І-ІІІ ступенів Болехівської міської ради Івано-Франківської області</t>
  </si>
  <si>
    <t>77220</t>
  </si>
  <si>
    <t>2610292001</t>
  </si>
  <si>
    <t>Тисів</t>
  </si>
  <si>
    <t>вул. Грушевського, 63</t>
  </si>
  <si>
    <t>(803437)32343</t>
  </si>
  <si>
    <t>Бурштинська гімназія Бурштинскьої міської ради Івано-Франківської області</t>
  </si>
  <si>
    <t>77111</t>
  </si>
  <si>
    <t>2610300000</t>
  </si>
  <si>
    <t>Бурштин</t>
  </si>
  <si>
    <t>вул. Січових Стрільців, 31</t>
  </si>
  <si>
    <t>(097)5786045, (097)2435090</t>
  </si>
  <si>
    <t>23922593</t>
  </si>
  <si>
    <t>Бурштинська загальноосвітня школа І-ІІІ ступенів № 1 Бурштинської міської ради Івано-Франківської області</t>
  </si>
  <si>
    <t>вул. С. Бандери, 54</t>
  </si>
  <si>
    <t>(03438)42730</t>
  </si>
  <si>
    <t>Бурштинська загальноосвітня школа І-ІІІ ступенів № 2 Бурштинської міської ради Івано-Франківської області</t>
  </si>
  <si>
    <t>вул. Січових Стрільців, 18</t>
  </si>
  <si>
    <t>(03438)45567</t>
  </si>
  <si>
    <t>http://burshtyn-school2.if.sch.in.ua</t>
  </si>
  <si>
    <t>Бурштинська загальноосвітня школа І-ІІІ ступенів № 3 Бурштинської міської ради</t>
  </si>
  <si>
    <t>вул. Є.Коновальця, 1</t>
  </si>
  <si>
    <t>Бурштинський міжшкільний навчально-виробничий комбінат</t>
  </si>
  <si>
    <t>вул. Степана Бандери, 58</t>
  </si>
  <si>
    <t>(03438)45745, (03438)45213</t>
  </si>
  <si>
    <t>Бурштинський навчально- виховний комплекс Бурштинської міської ради Івано-Франківської області</t>
  </si>
  <si>
    <t>вул. Січових Стрільців, 33</t>
  </si>
  <si>
    <t>Вигівський навчально-виховний комплекс Бурштинської міської ради Івано-Франківської області</t>
  </si>
  <si>
    <t>2610300001</t>
  </si>
  <si>
    <t>Вигівка</t>
  </si>
  <si>
    <t>Калуська гімназія імені Дмитра Бахматюка Калуської міської ради Івано-Франківської області</t>
  </si>
  <si>
    <t>77300</t>
  </si>
  <si>
    <t>2610400000</t>
  </si>
  <si>
    <t>Калуш</t>
  </si>
  <si>
    <t>вул. Біласа і Данилишина, 15</t>
  </si>
  <si>
    <t>(03472)6-62-24</t>
  </si>
  <si>
    <t>http://kalushgimnazium.in.ua</t>
  </si>
  <si>
    <t>Калуська загальноосвітня школа I-II ступенів № 9 Калуської міської ради Івано-Франківської області</t>
  </si>
  <si>
    <t>вул. Й.Сліпого, 30</t>
  </si>
  <si>
    <t>(03472)64215</t>
  </si>
  <si>
    <t>Калуська загальноосвітня школа І - ІІ ступенів № 8 Калуської міської ради Івано - Франківської області</t>
  </si>
  <si>
    <t>вул. Івано - Франківська, 78</t>
  </si>
  <si>
    <t>(03472)63307, (097)3307092</t>
  </si>
  <si>
    <t>Калуська загальноосвітня школа І ступеня № 11Калуської міської ради Івано-Франківської області</t>
  </si>
  <si>
    <t>(03472)62308</t>
  </si>
  <si>
    <t>Калуська загальноосвітня школа І-ІІІ ступенів № 1</t>
  </si>
  <si>
    <t>77301</t>
  </si>
  <si>
    <t>вул. І.Франка, 6</t>
  </si>
  <si>
    <t>(03472)6-61-93</t>
  </si>
  <si>
    <t>Калуська загальноосвітня школа І-ІІІ ступенів № 3</t>
  </si>
  <si>
    <t>вул. Дзвонарська, 4</t>
  </si>
  <si>
    <t>(03472)6-64-49</t>
  </si>
  <si>
    <t>Калуська загальноосвітня школа І-ІІІ ступенів № 4 Калуської міської ради Івано-Франківської області</t>
  </si>
  <si>
    <t>вул. Коновальця, 4</t>
  </si>
  <si>
    <t>(03472)23137</t>
  </si>
  <si>
    <t>Калуська загальноосвітня школа І-ІІІ ступенів № 5 Калуської міської ради Івано-Франківської області</t>
  </si>
  <si>
    <t>вул. Хіміків, 20</t>
  </si>
  <si>
    <t>(03472)62873</t>
  </si>
  <si>
    <t>Калуська загальноосвітня школа І-ІІІ ступенів № 6 Калуської міської ради</t>
  </si>
  <si>
    <t>вул. В.Стуса, 13</t>
  </si>
  <si>
    <t>(03472)66425</t>
  </si>
  <si>
    <t>http://sites.google.com/site/kzosh6</t>
  </si>
  <si>
    <t>Калуська загальноосвітня школа І-ІІІ ступенів № 7 Калуської міської ради</t>
  </si>
  <si>
    <t>вул. Б. Хмельницького, 8А</t>
  </si>
  <si>
    <t>(03472)28099</t>
  </si>
  <si>
    <t>Калуська спеціалізована школа І-ІІІ ступенів № 2 з поглибленим вивченням англійської мови Калуської міської ради Івано-Франківської області</t>
  </si>
  <si>
    <t>просп. Лесі Українки, 11</t>
  </si>
  <si>
    <t>(03472)62922</t>
  </si>
  <si>
    <t>http://electronicsengineer.wix.com/kalushschool2</t>
  </si>
  <si>
    <t>Калуська спеціальна загальноосвітня школа-інтернат І-ІІІ ст. № 1</t>
  </si>
  <si>
    <t>вул. Львівська, 23</t>
  </si>
  <si>
    <t>(03472)6-32-08</t>
  </si>
  <si>
    <t>23922729</t>
  </si>
  <si>
    <t>Калуська спеціальна загальноосвітня школа-інтернат І-ІІІ ступенів № 2 Івано-Франківської обласної ради</t>
  </si>
  <si>
    <t>вул. С.Бандери, 26</t>
  </si>
  <si>
    <t>((03472))6-29-31</t>
  </si>
  <si>
    <t>https://sites.google.com/site/kalushinternat2</t>
  </si>
  <si>
    <t>23922736</t>
  </si>
  <si>
    <t>Калуський навчально-виховний комплекс "Загальноосвітня школа І-ІІІ ступенів № 10-ліцей" Калуської міської ради Івано-Франківської області</t>
  </si>
  <si>
    <t>вул. Євшана, 17</t>
  </si>
  <si>
    <t>(03472)66473</t>
  </si>
  <si>
    <t>Коломийська гімназія імені М. Грушевського Коломийської міської ради Івано-Франківської області</t>
  </si>
  <si>
    <t>78200</t>
  </si>
  <si>
    <t>2610600000</t>
  </si>
  <si>
    <t>Коломия</t>
  </si>
  <si>
    <t>http://kolgym.if.ua/</t>
  </si>
  <si>
    <t>20553669</t>
  </si>
  <si>
    <t>Коломийська загальноосвітня школа І-ІІ ст. № 10 Коломийської міської ради</t>
  </si>
  <si>
    <t>вул. Січових Стрільців, 30</t>
  </si>
  <si>
    <t>(03433)21610</t>
  </si>
  <si>
    <t>http://kolomyia-school10.edukit.if.ua/</t>
  </si>
  <si>
    <t>20560923</t>
  </si>
  <si>
    <t>Коломийська загальноосвітня школа І-ІІ ступенів № 7 Коломийської міської ради Івано-Франківської області</t>
  </si>
  <si>
    <t>вул. Карпатська, 74</t>
  </si>
  <si>
    <t>(03433)46098, (03433)22555</t>
  </si>
  <si>
    <t>http://7school-kolomyi.ucoz.ua</t>
  </si>
  <si>
    <t>35766309</t>
  </si>
  <si>
    <t>Коломийська загальноосвітня школа І-ІІІ ступенів № 2 Коломийської міської ради Івано-Франківської області</t>
  </si>
  <si>
    <t>(03433)2-08-93, (03433)2-74-36, (03433)2-08-21</t>
  </si>
  <si>
    <t>20561002</t>
  </si>
  <si>
    <t>Коломийська загальноосвітня школа І-ІІІ ступенів № 3 Коломийської міської ради Івано-Франківської області</t>
  </si>
  <si>
    <t>вул. Гетьмана Івана Мазепи, 132,а</t>
  </si>
  <si>
    <t>http://kolomyia-school3.edukit.if.ua/</t>
  </si>
  <si>
    <t>20560988</t>
  </si>
  <si>
    <t>Коломийська загальноосвітня школа І-ІІІ ступенів № 4 ім. Сергія Лисенка Коломийської міської ради Івано-Франківської області</t>
  </si>
  <si>
    <t>вул. Заньковецької, 11</t>
  </si>
  <si>
    <t>(03433)40144</t>
  </si>
  <si>
    <t>http://school4.if.ua</t>
  </si>
  <si>
    <t>20561019</t>
  </si>
  <si>
    <t>Коломийська загальноосвітня школа І-ІІІ ступенів № 5 імені Т.Г.Шевченка Коломийської міської ради Івано-Франківської області</t>
  </si>
  <si>
    <t>просп. Грушевського, 64</t>
  </si>
  <si>
    <t>(03433)23854, (03433)27493</t>
  </si>
  <si>
    <t>http://kolomiya5.jimdo.com</t>
  </si>
  <si>
    <t>20560971</t>
  </si>
  <si>
    <t>Коломийська загальноосвітня школа І-ІІІ ступенів № 6 ім. Героя України Тараса Сенюка Коломийської міської ради Івано- Франківська область</t>
  </si>
  <si>
    <t>78203</t>
  </si>
  <si>
    <t>вул. Леонтовича, 14</t>
  </si>
  <si>
    <t>(03433)48643</t>
  </si>
  <si>
    <t>http://schoolsix.ucoz.ua/</t>
  </si>
  <si>
    <t>20560965</t>
  </si>
  <si>
    <t>Коломийська загальноосвітня школа І-ІІІ ступенів № 8 Коломийської міської ради Івано-Франківської області</t>
  </si>
  <si>
    <t>вул. Коновальця, 10</t>
  </si>
  <si>
    <t>(03433)26514</t>
  </si>
  <si>
    <t>https://sites.google.com/site/kolschool8/</t>
  </si>
  <si>
    <t>20560942</t>
  </si>
  <si>
    <t>Коломийська спеціалізована школа № 1 I-III ступенів імені В.Стефаника</t>
  </si>
  <si>
    <t>вул. Міцкевича, 3</t>
  </si>
  <si>
    <t>(03433)22514, (03433)26608</t>
  </si>
  <si>
    <t>http://koloschool1.ucoz.ua</t>
  </si>
  <si>
    <t>20560994</t>
  </si>
  <si>
    <t>Коломийський навчально - виховний комплекс "дошкільний навчальний заклад - загальноосвітній навчальний заклад" І ступеня № 20 "Світлячок"</t>
  </si>
  <si>
    <t>вул. Маковея, 16А</t>
  </si>
  <si>
    <t>(03433)5-15-85</t>
  </si>
  <si>
    <t>20561166</t>
  </si>
  <si>
    <t>Коломийський навчально-виховний комплекс № 9 "Школа-природничо-математичний ліцей" Коломийської міської ради Івано-Франківської області</t>
  </si>
  <si>
    <t>вул. Драгоманова, 1</t>
  </si>
  <si>
    <t>(03433)23648</t>
  </si>
  <si>
    <t>20560936</t>
  </si>
  <si>
    <t>Яремчанська загальноосвітня школа I-II ст. № 3 Яремчанської міської ради Івано-Франківської області</t>
  </si>
  <si>
    <t>78500</t>
  </si>
  <si>
    <t>2611000000</t>
  </si>
  <si>
    <t>Яремче</t>
  </si>
  <si>
    <t>316</t>
  </si>
  <si>
    <t>(03434)3-13-37, (03434)3-13-42</t>
  </si>
  <si>
    <t>20556136</t>
  </si>
  <si>
    <t>Яремчанська загальноосвітня школа І-ІІІ ступенів № 1 Яремчанської міської ради Івано-Франківської області</t>
  </si>
  <si>
    <t>вул. Свободи, 164</t>
  </si>
  <si>
    <t>(03434)21404, (03434)21401</t>
  </si>
  <si>
    <t>http://school1-yar.if.ua</t>
  </si>
  <si>
    <t>20556113</t>
  </si>
  <si>
    <t>Яремчанська загальноосвітня школа І-ІІІ ступенів № 2 Яремчанської міської ради Івано-Франківської області</t>
  </si>
  <si>
    <t>вул. Свободи, 89</t>
  </si>
  <si>
    <t>(03434)22190</t>
  </si>
  <si>
    <t>20556128</t>
  </si>
  <si>
    <t>Ворохтянська загальноосвітня школа І-ІІІ ступенів Яремчанської міської ради Івано-Франківської області</t>
  </si>
  <si>
    <t>78595</t>
  </si>
  <si>
    <t>2611040300</t>
  </si>
  <si>
    <t>Ворохта</t>
  </si>
  <si>
    <t>вул. Данила Галицького, 79</t>
  </si>
  <si>
    <t>(03434)41961</t>
  </si>
  <si>
    <t>http://vorohta-school.ucoz.ua/</t>
  </si>
  <si>
    <t>20556165</t>
  </si>
  <si>
    <t>Татарівська загальноосвітня школа І-ІІ ступенів, Яремчанської міської ради, Івано-Франківської області</t>
  </si>
  <si>
    <t>78596</t>
  </si>
  <si>
    <t>2611091201</t>
  </si>
  <si>
    <t>Татарів</t>
  </si>
  <si>
    <t>вул. Незалежності, 679</t>
  </si>
  <si>
    <t>(03434)35218</t>
  </si>
  <si>
    <t>20556159</t>
  </si>
  <si>
    <t>Микуличинська загальноосвітня школа І-ІІІ ступенів Яремчанської міської ради Івано-Франківської області</t>
  </si>
  <si>
    <t>78590</t>
  </si>
  <si>
    <t>2611091501</t>
  </si>
  <si>
    <t>Микуличин</t>
  </si>
  <si>
    <t>(03434)39294, (03434)39234</t>
  </si>
  <si>
    <t>http://testuvannya.com.ua/schoolsite/IvFr.Yarem.Mykulychyn.sc</t>
  </si>
  <si>
    <t>20556142</t>
  </si>
  <si>
    <t>Микуличинська спеціальна загальноосвітня школа - інтернат</t>
  </si>
  <si>
    <t>вул. Грушевського, 92</t>
  </si>
  <si>
    <t>(03434)3-93-80</t>
  </si>
  <si>
    <t>20559666</t>
  </si>
  <si>
    <t>Яремчанський міжшкільний навчально-виробничий комбінат Яремчанської міської ради Івано-Франківської області</t>
  </si>
  <si>
    <t>вул. Грушевського, 7</t>
  </si>
  <si>
    <t>(03434)39578</t>
  </si>
  <si>
    <t>Поляницька загальноосвітня школа І-ІІ ступенів Яремчанської міської ради Івано-Франківської області</t>
  </si>
  <si>
    <t>78593</t>
  </si>
  <si>
    <t>2611092001</t>
  </si>
  <si>
    <t>вул. Карпатська, 2А</t>
  </si>
  <si>
    <t>(03434)3-72-19</t>
  </si>
  <si>
    <t>http://poljanutsja-edu.ucoz.ua/</t>
  </si>
  <si>
    <t>20556188</t>
  </si>
  <si>
    <t>Яблуницька загальноосвітня школа І-ІІІ ступенів Яремчанської міської ради Івано-Франківської області</t>
  </si>
  <si>
    <t>78592</t>
  </si>
  <si>
    <t>2611093001</t>
  </si>
  <si>
    <t>Яблуниця</t>
  </si>
  <si>
    <t>вул. Село, 123 Б</t>
  </si>
  <si>
    <t>(03434)36280</t>
  </si>
  <si>
    <t>http://yablunitsia.ucoz.ua</t>
  </si>
  <si>
    <t>20556171</t>
  </si>
  <si>
    <t>Вороненківська загальноосвітня школа І ступеня Яремчанської міськради Івано-Франківської області</t>
  </si>
  <si>
    <t>2611093003</t>
  </si>
  <si>
    <t>Вороненко</t>
  </si>
  <si>
    <t>548Б</t>
  </si>
  <si>
    <t>(03434)44205</t>
  </si>
  <si>
    <t>20556248</t>
  </si>
  <si>
    <t>Богородчанська вечірня (змінна) школа ІІІ ступеня Богродчанської районної ради Івано-Франківської області</t>
  </si>
  <si>
    <t>77701</t>
  </si>
  <si>
    <t>2620455100</t>
  </si>
  <si>
    <t>Богородчани</t>
  </si>
  <si>
    <t>вул. Щевченка, 56</t>
  </si>
  <si>
    <t>Богородчанська загальноосвітня школа І - ІІІ ступенів № 1 Богородчанської районної ради Івано-Франківської області</t>
  </si>
  <si>
    <t>вул. Грушевського, 12</t>
  </si>
  <si>
    <t>034-71-2-45-86</t>
  </si>
  <si>
    <t>Богородчанська загальноосвітня школа І - ІІІ ступенів № 2 Богородчанської районної ради Івано - Франківської області</t>
  </si>
  <si>
    <t>вул. Ярослава Мудрого, 14</t>
  </si>
  <si>
    <t>(03471)25187</t>
  </si>
  <si>
    <t>Богородчанський міжшкільний навчально-виробничий комбінат Богородчанського району Івано-Франківської області</t>
  </si>
  <si>
    <t>вул. Шевченка, 53</t>
  </si>
  <si>
    <t>Солотвинська загальноосвітня санаторна школа-інтернат І-ІІІ ступенів</t>
  </si>
  <si>
    <t>77753</t>
  </si>
  <si>
    <t>2620455500</t>
  </si>
  <si>
    <t>Солотвин</t>
  </si>
  <si>
    <t>вул. Грушевського, 17</t>
  </si>
  <si>
    <t>(03471)41-3-61</t>
  </si>
  <si>
    <t>23802920</t>
  </si>
  <si>
    <t>Солотвинський навчально-виховний комплекс "Загальноосвітня школа І-ІІІ ступенів-ліцей" Богородчанської районної ради Івано-Франківської області</t>
  </si>
  <si>
    <t>(03471)41-147</t>
  </si>
  <si>
    <t>http://solotvyn-school.if.ua</t>
  </si>
  <si>
    <t>Бабченський навчально-виховний комплекс Богородчанської районної ради Івано-Франківської області</t>
  </si>
  <si>
    <t>77771</t>
  </si>
  <si>
    <t>2620480401</t>
  </si>
  <si>
    <t>Бабче</t>
  </si>
  <si>
    <t>(034261)244</t>
  </si>
  <si>
    <t>Богрівський навчально-виховний комплекс (загальноосвітня школа І-ІІ ступенів - дошкільний навчальний заклад) Богородчанської районної ради Івано-Франківської області</t>
  </si>
  <si>
    <t>77741</t>
  </si>
  <si>
    <t>2620480601</t>
  </si>
  <si>
    <t>Богрівка</t>
  </si>
  <si>
    <t>вул. Гароїв, 28</t>
  </si>
  <si>
    <t>65-7-15</t>
  </si>
  <si>
    <t>Глибоківська загальноосвітня школа І-ІІ ступенів Богородчанської районної ради Івано-Франківської області</t>
  </si>
  <si>
    <t>77720</t>
  </si>
  <si>
    <t>2620480801</t>
  </si>
  <si>
    <t>Глибока</t>
  </si>
  <si>
    <t>вул. Шевченка, 98</t>
  </si>
  <si>
    <t>(03471)39244</t>
  </si>
  <si>
    <t>http://glubokashkola.at.ua</t>
  </si>
  <si>
    <t>Глибівський навчально-виховний комплекс (загальноосвітня школа І-ІІ ступенів-дошкільний навчальний заклад) Богородчанської районної ради Івано-Франківської області</t>
  </si>
  <si>
    <t>77718</t>
  </si>
  <si>
    <t>2620480901</t>
  </si>
  <si>
    <t>Глибівка</t>
  </si>
  <si>
    <t>(03472)32680</t>
  </si>
  <si>
    <t>Горохолинська загальноосвітня школа І-ІІІ ступенів Богородчанської районної ради Івано-Франківської області</t>
  </si>
  <si>
    <t>77760</t>
  </si>
  <si>
    <t>2620481201</t>
  </si>
  <si>
    <t>Горохолина</t>
  </si>
  <si>
    <t>вул. Українська, 321 а</t>
  </si>
  <si>
    <t>(03471)53234</t>
  </si>
  <si>
    <t>Горохолинська ЗОШ І ступеня Богородчанського району Івано-Франківської області</t>
  </si>
  <si>
    <t>77761</t>
  </si>
  <si>
    <t>2620481202</t>
  </si>
  <si>
    <t>Горохолин Ліс</t>
  </si>
  <si>
    <t>вул. Чорновола, 37</t>
  </si>
  <si>
    <t>(03471)68029</t>
  </si>
  <si>
    <t>Грабовецька загальноосвітня школа І-ІІ ступенів, Богородчанської районної ради, Івано-Франківської області</t>
  </si>
  <si>
    <t>77762</t>
  </si>
  <si>
    <t>2620481601</t>
  </si>
  <si>
    <t>Грабовець</t>
  </si>
  <si>
    <t>вул. Бойчука, 4</t>
  </si>
  <si>
    <t>(0347132)444</t>
  </si>
  <si>
    <t>Грабовецький навчально-виховний комплекс Богородчанського району Івано-Франківської області</t>
  </si>
  <si>
    <t>наб. Набережна, 22</t>
  </si>
  <si>
    <t>Гутівський навчально-виховний комплекс (загальноосвітня школа І-ІІІ ступенів - дошкільний навчальний заклад) Богородчанської районної ради Івано-Франківської області</t>
  </si>
  <si>
    <t>77745</t>
  </si>
  <si>
    <t>2620482001</t>
  </si>
  <si>
    <t>33-4-44</t>
  </si>
  <si>
    <t>Дзвиняцька загальноосвітня школа І-ІІІ ступенів Богородчанської районної ради Івано-Франківської області</t>
  </si>
  <si>
    <t>77750</t>
  </si>
  <si>
    <t>2620482401</t>
  </si>
  <si>
    <t>Дзвиняч</t>
  </si>
  <si>
    <t>(03471)30-2-88</t>
  </si>
  <si>
    <t>Жураківська загальноосвітня школа І - ІІ ступенів Богородчанської районної ради Івано - Франківської області</t>
  </si>
  <si>
    <t>77751</t>
  </si>
  <si>
    <t>2620482801</t>
  </si>
  <si>
    <t>Жураки</t>
  </si>
  <si>
    <t>вул. Грушевського, 1</t>
  </si>
  <si>
    <t>(3471)35231</t>
  </si>
  <si>
    <t>Заберезький навчально-виховний комплекс (загальноосвітня школа І-ІІ ступенів-дошкільний навчальний заклад) Богородчанської районної ради Івано-Франківської області</t>
  </si>
  <si>
    <t>2620482901</t>
  </si>
  <si>
    <t>Забережжя</t>
  </si>
  <si>
    <t>(03471)38546</t>
  </si>
  <si>
    <t>Іваниківська загальноосвітня школа І-ІІІ ступенів Богородчанської районної ради Івано-Франківської області</t>
  </si>
  <si>
    <t>77714</t>
  </si>
  <si>
    <t>2620483201</t>
  </si>
  <si>
    <t>Іваниківка</t>
  </si>
  <si>
    <t>вул. Івана Франка, 52</t>
  </si>
  <si>
    <t>(034)7138244</t>
  </si>
  <si>
    <t>Космацька загальноосвітня школа І-ІІ ступенів Богородчанської районної ради Івано - Франківської області</t>
  </si>
  <si>
    <t>77731</t>
  </si>
  <si>
    <t>2620483601</t>
  </si>
  <si>
    <t>Космач</t>
  </si>
  <si>
    <t>(03471)33244</t>
  </si>
  <si>
    <t>Кривецька загальноосвітня школа І - ІІ ступенів Богородчанського району Івано - Франківської області</t>
  </si>
  <si>
    <t>77733</t>
  </si>
  <si>
    <t>2620483801</t>
  </si>
  <si>
    <t>Кривець</t>
  </si>
  <si>
    <t>вул. Івасюка, 81</t>
  </si>
  <si>
    <t>Кричківський навчально-виховний комплекс (загальноосвітня школа І-ІІ ступенів-дошкільний навчальний заклад) Богородчанської районної ради Івано-франківської області</t>
  </si>
  <si>
    <t>77744</t>
  </si>
  <si>
    <t>2620484001</t>
  </si>
  <si>
    <t>Кричка</t>
  </si>
  <si>
    <t>вул. Карпатська, 242А</t>
  </si>
  <si>
    <t>(71)67734</t>
  </si>
  <si>
    <t>Луквицька загальноосвітня школа І-ІІ ступенів Богородчанської районної ради Івано-Франківської області</t>
  </si>
  <si>
    <t>77740</t>
  </si>
  <si>
    <t>2620484401</t>
  </si>
  <si>
    <t>Луквиця</t>
  </si>
  <si>
    <t>(03471)45601</t>
  </si>
  <si>
    <t>Манявська загальноосвітня школа І ступеня Богродчанської районної ради Івано-Франківської області</t>
  </si>
  <si>
    <t>77772</t>
  </si>
  <si>
    <t>2620484801</t>
  </si>
  <si>
    <t>Манява</t>
  </si>
  <si>
    <t>вул. Очеретова, 37</t>
  </si>
  <si>
    <t>Манявський навчально-виховний комплекс (дошкільний заклад-середня загальноосвітня школа І-ІІІ ступенів-міжшкільний навчально-виробничий комбінат) Богородчанської районної ради Івано-Франківської області</t>
  </si>
  <si>
    <t>вул. Незалежності, 10</t>
  </si>
  <si>
    <t>(0347168)044</t>
  </si>
  <si>
    <t>Марківська загальноосвітня школа І-ІІІ ступенів Богородчанської районної ради Івано-Франківської області</t>
  </si>
  <si>
    <t>77770</t>
  </si>
  <si>
    <t>2620485201</t>
  </si>
  <si>
    <t>Маркова</t>
  </si>
  <si>
    <t>вул. Шептицького, 35А</t>
  </si>
  <si>
    <t>(03471)46434</t>
  </si>
  <si>
    <t>Міжгірський навчально-виховний комплекс (загальноосвітня школа І-ІІ ступенів - дошкільний навчальний заклад) Богородчанської районної ради Івано-Франківської області</t>
  </si>
  <si>
    <t>77730</t>
  </si>
  <si>
    <t>2620485601</t>
  </si>
  <si>
    <t>вул. Грушевського, 42А</t>
  </si>
  <si>
    <t>(034-71)36-6-70</t>
  </si>
  <si>
    <t>Монастирчанський навчально-виховний комплекс (загальноосвітня школа І-ІІ ступенів - дошкільний навчальний заклад) Богородчанської районної ради Івано - Франківської області</t>
  </si>
  <si>
    <t>77752</t>
  </si>
  <si>
    <t>2620486401</t>
  </si>
  <si>
    <t>Монастирчани</t>
  </si>
  <si>
    <t>(03471)42338</t>
  </si>
  <si>
    <t>Нивочинський навчально-виховний комплекс ( загальноосвітня школа І-ІІ ступенів-- дошкільний начальний заклад) Старобогородчанської сільської ради ОТГ Богородчанської району Івано-Франківської області</t>
  </si>
  <si>
    <t>77710</t>
  </si>
  <si>
    <t>2620486801</t>
  </si>
  <si>
    <t>Нивочин</t>
  </si>
  <si>
    <t>(931)4-94</t>
  </si>
  <si>
    <t>Гринівська загальноосвітня школа І-ІІступенів Старобогородчанської сільської ради об'єднаної територіальної громади Богородчанського району Івано - Франківської області</t>
  </si>
  <si>
    <t>2620486802</t>
  </si>
  <si>
    <t>Гринівка</t>
  </si>
  <si>
    <t>вул. Яцківа, 155</t>
  </si>
  <si>
    <t>Лесівський навчально-виховний комплекс (загальноосвітня школа І стиупеня-дошкільний навчальний заклад) Старобогородчанської обєднаної територіальної громади, Богородчанського району, Івано-Франківської області</t>
  </si>
  <si>
    <t>2620486803</t>
  </si>
  <si>
    <t>Лесівка</t>
  </si>
  <si>
    <t>вул. Лесі Українки, 86</t>
  </si>
  <si>
    <t>(03471)31774</t>
  </si>
  <si>
    <t>Підгірська загальноосвітня школа І-ІІ ступенів Богородчанської районної ради Івано-Франківської області</t>
  </si>
  <si>
    <t>77706</t>
  </si>
  <si>
    <t>2620487201</t>
  </si>
  <si>
    <t>вул. Шевченка, 66</t>
  </si>
  <si>
    <t>(03471)57284</t>
  </si>
  <si>
    <t>Порогівська загальноосвітня школа І-ІІІ ступенів Богородчанської районної ради Івано-Франківської області</t>
  </si>
  <si>
    <t>77743</t>
  </si>
  <si>
    <t>2620487601</t>
  </si>
  <si>
    <t>вул. Січових Стрільців, 94</t>
  </si>
  <si>
    <t>Похівська ЗОШ І-ІІ ступенів Богородчанської районної ради</t>
  </si>
  <si>
    <t>77716</t>
  </si>
  <si>
    <t>2620487801</t>
  </si>
  <si>
    <t>Похівка</t>
  </si>
  <si>
    <t>вул. Шевченка, 66 А</t>
  </si>
  <si>
    <t>(03471)31635</t>
  </si>
  <si>
    <t>Раковецький навчально-виховний комплекс (загальноосвітня школа І-ІІ ступенів, дошкільний заклад )</t>
  </si>
  <si>
    <t>77732</t>
  </si>
  <si>
    <t>2620488001</t>
  </si>
  <si>
    <t>Раковець</t>
  </si>
  <si>
    <t>вул. Стефаника, 27</t>
  </si>
  <si>
    <t>0347145230</t>
  </si>
  <si>
    <t>Росільнянська загальноосвітня школа І - ІІІ ступенів Богородчанської районної ради Івано - Франківської області</t>
  </si>
  <si>
    <t>77722</t>
  </si>
  <si>
    <t>2620488201</t>
  </si>
  <si>
    <t>Росільна</t>
  </si>
  <si>
    <t>вул. Шевченка, 155</t>
  </si>
  <si>
    <t>(03471)36244</t>
  </si>
  <si>
    <t>Саджавська загальноосвітня школа І-ІІІ ступенів Богородчанської районної ради Івано-Франківської області</t>
  </si>
  <si>
    <t>77717</t>
  </si>
  <si>
    <t>2620488401</t>
  </si>
  <si>
    <t>Саджава</t>
  </si>
  <si>
    <t>(03471)37234</t>
  </si>
  <si>
    <t>Старобогородчанська загальноосвітня школа І-ІІІ ступенів Старобогородчанської сільської ради об'єднаної територіальної громади Івано-Франківської області</t>
  </si>
  <si>
    <t>77712</t>
  </si>
  <si>
    <t>2620488601</t>
  </si>
  <si>
    <t>Старі Богородчани</t>
  </si>
  <si>
    <t>вул. Данила Галицького, 1</t>
  </si>
  <si>
    <t>(03471)51218</t>
  </si>
  <si>
    <t>Старобогородчанський НВК Старобогородчанської ОТГ</t>
  </si>
  <si>
    <t>77713</t>
  </si>
  <si>
    <t>2620488602</t>
  </si>
  <si>
    <t>Скобичівка</t>
  </si>
  <si>
    <t>вул. Грушевського, 2</t>
  </si>
  <si>
    <t>Старунський навчально -виховний комплекс (загальноосвітня школа І-ІІІ ступенів-дошкільний навчальний заклад) Богородчанської районної ради Івано- Франківської області</t>
  </si>
  <si>
    <t>77763</t>
  </si>
  <si>
    <t>2620488801</t>
  </si>
  <si>
    <t>Старуня</t>
  </si>
  <si>
    <t>34-3-32</t>
  </si>
  <si>
    <t>Ластівецький навчально-виховний комплекс (Загальноосвітня школа І-ІІ ступенів - дошкільний навчальний заклад) Богородчанської районної ради Івано-Франківської області</t>
  </si>
  <si>
    <t>2620488802</t>
  </si>
  <si>
    <t>Ластівці</t>
  </si>
  <si>
    <t>вул. Лесі Українки, 62</t>
  </si>
  <si>
    <t>(03471)34294</t>
  </si>
  <si>
    <t>Хмелівська загальноосвітня школа І-ІІ ступенів Богородчанської районної ради Івано-Франківської області</t>
  </si>
  <si>
    <t>77721</t>
  </si>
  <si>
    <t>2620489001</t>
  </si>
  <si>
    <t>39698</t>
  </si>
  <si>
    <t>Яблунська загальноосвітня школа І-ІІІ ст.Богородчанської районної ради Івано-Франківської області</t>
  </si>
  <si>
    <t>77742</t>
  </si>
  <si>
    <t>2620489201</t>
  </si>
  <si>
    <t>Яблунька</t>
  </si>
  <si>
    <t>вул. Могильницького, 87</t>
  </si>
  <si>
    <t>(03471)65345</t>
  </si>
  <si>
    <t>Верховинська вечірня школа Верховинської районної ради Івано-Франківської області</t>
  </si>
  <si>
    <t>78700</t>
  </si>
  <si>
    <t>2620855100</t>
  </si>
  <si>
    <t>Верховина</t>
  </si>
  <si>
    <t>вул. Франка, 5</t>
  </si>
  <si>
    <t>(03432)21548</t>
  </si>
  <si>
    <t>Верховинська загальноосвітня школа І-ІІІ ступенів Верховинської районної ради Івано-Франківської області</t>
  </si>
  <si>
    <t>вул. Франка, 7</t>
  </si>
  <si>
    <t>(03432)21338</t>
  </si>
  <si>
    <t>Верховинська загальноосвітня школа-інтернат І-ІІІ ступенів</t>
  </si>
  <si>
    <t>вул. В. Стуса, 6</t>
  </si>
  <si>
    <t>(03432)21376</t>
  </si>
  <si>
    <t>20558483</t>
  </si>
  <si>
    <t>Верховинський ліцей Верховинської районної ради Івано-Франківської області</t>
  </si>
  <si>
    <t>вул. Івана Франка, 7 а</t>
  </si>
  <si>
    <t>(03432)21023</t>
  </si>
  <si>
    <t>Верховинський навчально-виховнй комплекс</t>
  </si>
  <si>
    <t>(03432)2-52-34</t>
  </si>
  <si>
    <t>Синицька загальноосвітня школа І ступеня Верховинської районної ради</t>
  </si>
  <si>
    <t>вул. присілок Синиці</t>
  </si>
  <si>
    <t>0671534714</t>
  </si>
  <si>
    <t>Білоберізька загальноосвітня школа І-ІІІ ступенів Білоберізької сільської ради об'єднаної територіальної громади Верховинського району Івано-Франківської області</t>
  </si>
  <si>
    <t>78713</t>
  </si>
  <si>
    <t>2620880501</t>
  </si>
  <si>
    <t>Білоберізка</t>
  </si>
  <si>
    <t>(03432)3-45-25</t>
  </si>
  <si>
    <t>Бистрецька загальноосвітня школа І-ІІ ступенів Верховинської районної ради Івано-Франківської області</t>
  </si>
  <si>
    <t>78707</t>
  </si>
  <si>
    <t>2620881001</t>
  </si>
  <si>
    <t>Бистрець</t>
  </si>
  <si>
    <t>(03432)33528</t>
  </si>
  <si>
    <t>Буковецька загальноосвітня школа I-II ступенів</t>
  </si>
  <si>
    <t>78711</t>
  </si>
  <si>
    <t>2620881301</t>
  </si>
  <si>
    <t>(034-32)5-34-56</t>
  </si>
  <si>
    <t>Верхньоясенівська загальноосвітня школа І-ІІІ ступенів</t>
  </si>
  <si>
    <t>78712</t>
  </si>
  <si>
    <t>2620881501</t>
  </si>
  <si>
    <t>Верхній Ясенів</t>
  </si>
  <si>
    <t>(03432)53458</t>
  </si>
  <si>
    <t>Головівська загальноосвітня школа І-ІІ ступенів Верховинської районної ради Івано-Франківської області</t>
  </si>
  <si>
    <t>78723</t>
  </si>
  <si>
    <t>2620882001</t>
  </si>
  <si>
    <t>Голови</t>
  </si>
  <si>
    <t>(03432)7-66-67</t>
  </si>
  <si>
    <t>Чорнорічанська загальноосвітня школа I ступеня</t>
  </si>
  <si>
    <t>78716</t>
  </si>
  <si>
    <t>2620882002</t>
  </si>
  <si>
    <t>Чорна Річка</t>
  </si>
  <si>
    <t>Голошинська загальноосвітня школа І ступеня Верховинської районної ради Івано-Франківської області</t>
  </si>
  <si>
    <t>78735</t>
  </si>
  <si>
    <t>2620882201</t>
  </si>
  <si>
    <t>Голошина</t>
  </si>
  <si>
    <t>вул. центр</t>
  </si>
  <si>
    <t>(03432)66732</t>
  </si>
  <si>
    <t>Гринявська загальноосвітня школа І-ІІІ ступенів Верховинської районної ради Івано-Франківської області</t>
  </si>
  <si>
    <t>78734</t>
  </si>
  <si>
    <t>2620882501</t>
  </si>
  <si>
    <t>Гринява</t>
  </si>
  <si>
    <t>вул. -</t>
  </si>
  <si>
    <t>(03432)6-65-38</t>
  </si>
  <si>
    <t>Білорічанська загальноосвітня школа І ступеня</t>
  </si>
  <si>
    <t>78731</t>
  </si>
  <si>
    <t>2620882502</t>
  </si>
  <si>
    <t>Біла Річка</t>
  </si>
  <si>
    <t>(03432)64250</t>
  </si>
  <si>
    <t>Довгопільська загальноосвітня школа І-ІІІ ступенів Верховинської районної ради Івано-Франківської області</t>
  </si>
  <si>
    <t>78725</t>
  </si>
  <si>
    <t>2620883001</t>
  </si>
  <si>
    <t>Довгополе</t>
  </si>
  <si>
    <t>(03432)34367</t>
  </si>
  <si>
    <t>Замагорівська загальноосвітня школа І-ІІІ ступенів Верховинської районної ради Івано-Франківської області</t>
  </si>
  <si>
    <t>78720</t>
  </si>
  <si>
    <t>2620883501</t>
  </si>
  <si>
    <t>Замагора</t>
  </si>
  <si>
    <t>(03432)34142</t>
  </si>
  <si>
    <t>Зеленська загальноосвітня школа І- ІІІ ступенів</t>
  </si>
  <si>
    <t>78730</t>
  </si>
  <si>
    <t>2620884001</t>
  </si>
  <si>
    <t>вул. Центр</t>
  </si>
  <si>
    <t>Явірницька загальноосвітня школа І ступеня Верховинської районної ради Івано-Франківської області</t>
  </si>
  <si>
    <t>78733</t>
  </si>
  <si>
    <t>2620884004</t>
  </si>
  <si>
    <t>Явірник</t>
  </si>
  <si>
    <t>(067)2988446</t>
  </si>
  <si>
    <t>Ільцівська загальноосвітня школа І-ІІІ ступенів Верховинської районної ради Івано-Франківської області</t>
  </si>
  <si>
    <t>78704</t>
  </si>
  <si>
    <t>2620884101</t>
  </si>
  <si>
    <t>Ільці</t>
  </si>
  <si>
    <t>вул. Т. Кисілевського</t>
  </si>
  <si>
    <t>(03432)4-71-34, (03432)4-71-45</t>
  </si>
  <si>
    <t>http://schooliltsi.jimdo.com</t>
  </si>
  <si>
    <t>Великоходацька загальноосвітня школа I-II ступенів Верховинської районної ради Івано-Франківської області</t>
  </si>
  <si>
    <t>2620884103</t>
  </si>
  <si>
    <t>Великий Ходак</t>
  </si>
  <si>
    <t>(03432)47194</t>
  </si>
  <si>
    <t>http://hodak.jimdo.com</t>
  </si>
  <si>
    <t>Красницька загальноосвітня школа І-ІІ ступенів Верховинської районної ради Івано - Франківської області</t>
  </si>
  <si>
    <t>78705</t>
  </si>
  <si>
    <t>2620884301</t>
  </si>
  <si>
    <t>Красник</t>
  </si>
  <si>
    <t>вул. Івана Франка, 37</t>
  </si>
  <si>
    <t>(146-66-494-47--1)3-35-91</t>
  </si>
  <si>
    <t>http://romanyuk81.wix.com/krasnukshkola</t>
  </si>
  <si>
    <t>Красноїльська загальноосвітня школа І-ІІІ ступенів Верховинської районної ради Івано-Франківської оьласті</t>
  </si>
  <si>
    <t>2620884501</t>
  </si>
  <si>
    <t>Красноїлля</t>
  </si>
  <si>
    <t>вул. 0, 0</t>
  </si>
  <si>
    <t>(03432)7-66-80</t>
  </si>
  <si>
    <t>http://school.krasnoillia.if.ua</t>
  </si>
  <si>
    <t>20558454</t>
  </si>
  <si>
    <t>Кривопільська загальноосвітня школа І-ІІІ ступенів Верховинської районної ради Івано-Франківської області</t>
  </si>
  <si>
    <t>78706</t>
  </si>
  <si>
    <t>2620885001</t>
  </si>
  <si>
    <t>Кривопілля</t>
  </si>
  <si>
    <t>(03432)33345</t>
  </si>
  <si>
    <t>Криворівнянська загальноосвітня школа І-ІІІ ступенів імені Михайла Грушевського</t>
  </si>
  <si>
    <t>78710</t>
  </si>
  <si>
    <t>2620885501</t>
  </si>
  <si>
    <t>Криворівня</t>
  </si>
  <si>
    <t>(03432)5-34-43</t>
  </si>
  <si>
    <t>Бережницька загальноосвітня школа І ступеня</t>
  </si>
  <si>
    <t>2620885502</t>
  </si>
  <si>
    <t>(097)7726340</t>
  </si>
  <si>
    <t>Перехреснянська загальноосвітня школа І-ІІ ступенів</t>
  </si>
  <si>
    <t>2620886001</t>
  </si>
  <si>
    <t>Перехресне</t>
  </si>
  <si>
    <t>((03432))7-66-61</t>
  </si>
  <si>
    <t>Пробійнівська загальноосвітня школа І-ІІ ступенів Верховинської райдержадміністрації Івано-Франківської області.</t>
  </si>
  <si>
    <t>78736</t>
  </si>
  <si>
    <t>2620886501</t>
  </si>
  <si>
    <t>Пробійнівка</t>
  </si>
  <si>
    <t>(03432)6-63-33</t>
  </si>
  <si>
    <t>Грамітнянська загальноосвітня школа І-ІІ ступенів Верховинської районної ради</t>
  </si>
  <si>
    <t>78737</t>
  </si>
  <si>
    <t>2620886502</t>
  </si>
  <si>
    <t>Грамотне</t>
  </si>
  <si>
    <t>вул. немає, немає</t>
  </si>
  <si>
    <t>(20558477)6-63-12</t>
  </si>
  <si>
    <t>Стебнівська загальноосвітня школа І-ІІ ступенів Верховинської районної ради Івано-Франківської області</t>
  </si>
  <si>
    <t>78722</t>
  </si>
  <si>
    <t>2620887001</t>
  </si>
  <si>
    <t>Стебні</t>
  </si>
  <si>
    <t>(03432)34735</t>
  </si>
  <si>
    <t>Устеріківська загальноосвітня школа І-ІІ ступенів Білоберізької сільської ради об'єднаної територіальної громади Верховинського району Івано-Франківської області</t>
  </si>
  <si>
    <t>78715</t>
  </si>
  <si>
    <t>2620887501</t>
  </si>
  <si>
    <t>Устеріки</t>
  </si>
  <si>
    <t>(03432)34725</t>
  </si>
  <si>
    <t>Хороцівський навчально-виховний комплекс Білоберізької сільської ради об'єднаної територіальної громади Верховинського району Івано-Франківської області</t>
  </si>
  <si>
    <t>78714</t>
  </si>
  <si>
    <t>2620887701</t>
  </si>
  <si>
    <t>Хороцеве</t>
  </si>
  <si>
    <t>Барвінківська загальноосвітня школа І ступеня Білоберізької сільської ради об'єднаної територіальної громади Верховинського району Івано-Франківської області</t>
  </si>
  <si>
    <t>2620887702</t>
  </si>
  <si>
    <t>Барвінків</t>
  </si>
  <si>
    <t>(03432)34556</t>
  </si>
  <si>
    <t>Яблуницький навчально-виховний комплекс Верховинської районної ради Івано-Франківської області</t>
  </si>
  <si>
    <t>2620888001</t>
  </si>
  <si>
    <t>(03432)64104</t>
  </si>
  <si>
    <t>Черемошнянська загальноосвітня школа І-ІІІ ступенів Верховинської районної ради Верховинського району Івано-Франківської області</t>
  </si>
  <si>
    <t>78732</t>
  </si>
  <si>
    <t>2620888003</t>
  </si>
  <si>
    <t>Черемошна</t>
  </si>
  <si>
    <t>вул. Черемошна</t>
  </si>
  <si>
    <t>(03432)64244</t>
  </si>
  <si>
    <t>Галицька гімназія Галицької районної ради Івано-Франківської області</t>
  </si>
  <si>
    <t>77100</t>
  </si>
  <si>
    <t>2621210100</t>
  </si>
  <si>
    <t>Галич</t>
  </si>
  <si>
    <t>вул. Винниченка, 6</t>
  </si>
  <si>
    <t>(03431)23024</t>
  </si>
  <si>
    <t>Галицька загальноосвітня школа № 2 Галицької районної ради Івано-Франківської області</t>
  </si>
  <si>
    <t>вул. Львівська, 3</t>
  </si>
  <si>
    <t>(03431)22515</t>
  </si>
  <si>
    <t>Галицька загальноосвітня школа І-ІІІ ступенів № 1 Галицької районної ради Івано-Франківської області</t>
  </si>
  <si>
    <t>(03431)21442, (03431)21712</t>
  </si>
  <si>
    <t>Більшівцівська загальноосвітня школа І-ІІІ ступенів Більшівцівської селищної ради ОТГ Івано-Франківської області</t>
  </si>
  <si>
    <t>77146</t>
  </si>
  <si>
    <t>2621255300</t>
  </si>
  <si>
    <t>Більшівці</t>
  </si>
  <si>
    <t>вул. Стрілецька, 5</t>
  </si>
  <si>
    <t>(03431)61105</t>
  </si>
  <si>
    <t>Блюдниківська загальноосвітня школа І-ІІІ ступенів Галицької районної ради Івано-Франківської області</t>
  </si>
  <si>
    <t>77161</t>
  </si>
  <si>
    <t>2621280301</t>
  </si>
  <si>
    <t>Блюдники</t>
  </si>
  <si>
    <t>вул. Галицька, 50</t>
  </si>
  <si>
    <t>((034)31)31-684</t>
  </si>
  <si>
    <t>Бовшівська загальноосвітня школа I-II ступенів Галицької районної ради Івано-Франківської області</t>
  </si>
  <si>
    <t>77132</t>
  </si>
  <si>
    <t>2621280601</t>
  </si>
  <si>
    <t>Бовшів</t>
  </si>
  <si>
    <t>вул. Шевченка, 18 а</t>
  </si>
  <si>
    <t>(03431)77245</t>
  </si>
  <si>
    <t>Бринська загальноосвітня школа І-ІІ ступенів Галицької районної ради Івано-Франківської області</t>
  </si>
  <si>
    <t>77165</t>
  </si>
  <si>
    <t>2621280901</t>
  </si>
  <si>
    <t>Бринь</t>
  </si>
  <si>
    <t>вул. Галицька, 66</t>
  </si>
  <si>
    <t>((03431))37-752</t>
  </si>
  <si>
    <t>Вікторівська загальноосвітня школа І - ІІІ ступенів Галицької районної ради Івано-Франківської області</t>
  </si>
  <si>
    <t>77166</t>
  </si>
  <si>
    <t>2621281201</t>
  </si>
  <si>
    <t>Вікторів</t>
  </si>
  <si>
    <t>вул. Федика, 169</t>
  </si>
  <si>
    <t>0343134301</t>
  </si>
  <si>
    <t>Вікторівська загальноосвітня школа І-ІІ ступенів Галицької районної ради Івано-Франківької області</t>
  </si>
  <si>
    <t>вул. Федика, 347</t>
  </si>
  <si>
    <t>34-313</t>
  </si>
  <si>
    <t>Височанська загальноосвітня школа І ступеня Галицької районної ради Івано-Франківської області</t>
  </si>
  <si>
    <t>2621281301</t>
  </si>
  <si>
    <t>Височанка</t>
  </si>
  <si>
    <t>вул. Височана, 67</t>
  </si>
  <si>
    <t>(03431)34255</t>
  </si>
  <si>
    <t>Деліївська загальноосвітня школа І-ІІІ ступенів Галицької районної ради Івано-Франківської області</t>
  </si>
  <si>
    <t>77173</t>
  </si>
  <si>
    <t>2621281501</t>
  </si>
  <si>
    <t>Делієве</t>
  </si>
  <si>
    <t>(03431)35-595</t>
  </si>
  <si>
    <t>Демешківський навчально-виховний комплекс,Демешківської сільської ради, Івано-Франківської області</t>
  </si>
  <si>
    <t>77136</t>
  </si>
  <si>
    <t>2621281801</t>
  </si>
  <si>
    <t>Демешківці</t>
  </si>
  <si>
    <t>(097)3497477</t>
  </si>
  <si>
    <t>Німшинська загальноосвітня школа I-II ступенів Галицької районної ради Івано-Франківської області</t>
  </si>
  <si>
    <t>77134</t>
  </si>
  <si>
    <t>2621281802</t>
  </si>
  <si>
    <t>Німшин</t>
  </si>
  <si>
    <t>вул. Зарічна</t>
  </si>
  <si>
    <t>(03431)79217</t>
  </si>
  <si>
    <t>http://nimscool.ucoz.ua/</t>
  </si>
  <si>
    <t>Придністровська загальноосвітня школа І-ІІ ступенів Галицької районної ради Івано-Франківської області</t>
  </si>
  <si>
    <t>2621281804</t>
  </si>
  <si>
    <t>Придністров'я</t>
  </si>
  <si>
    <t>0983607340</t>
  </si>
  <si>
    <t>Дем'янівська загальноосвітня школа І - ІІ ступенів Галицької районної ради Івано-Франківської області</t>
  </si>
  <si>
    <t>77131</t>
  </si>
  <si>
    <t>2621282001</t>
  </si>
  <si>
    <t>Дем'янів</t>
  </si>
  <si>
    <t>вул. 1 Травня, 41</t>
  </si>
  <si>
    <t>(03438)58373</t>
  </si>
  <si>
    <t>Дитятинська загальноосвітня школа І-ІІ ступенів Галицької районної ради Івано-Франківської області</t>
  </si>
  <si>
    <t>77140</t>
  </si>
  <si>
    <t>2621282401</t>
  </si>
  <si>
    <t>Дитятин</t>
  </si>
  <si>
    <t>(03431)7-62-22</t>
  </si>
  <si>
    <t>Дорогівська загальноосвітня школа І-ІІІ ступенів Галицької районної ради Івано-Франківської області</t>
  </si>
  <si>
    <t>77152</t>
  </si>
  <si>
    <t>2621282601</t>
  </si>
  <si>
    <t>Дорогів</t>
  </si>
  <si>
    <t>вул. Центральна, 25 А</t>
  </si>
  <si>
    <t>36-634</t>
  </si>
  <si>
    <t>Колодіївський навчально-виховний комплекс Дорогівської сільської ради Івано-Франківської області</t>
  </si>
  <si>
    <t>77153</t>
  </si>
  <si>
    <t>2621282602</t>
  </si>
  <si>
    <t>Колодіїв</t>
  </si>
  <si>
    <t>(03431)36658</t>
  </si>
  <si>
    <t>Дубовецька загальноосвітня школа І-ІІІ ступенів Галицької районної ради Івано-Франківської області</t>
  </si>
  <si>
    <t>77172</t>
  </si>
  <si>
    <t>2621282901</t>
  </si>
  <si>
    <t>Дубівці</t>
  </si>
  <si>
    <t>пл. Незалежності, 5</t>
  </si>
  <si>
    <t>(03431)31424</t>
  </si>
  <si>
    <t>http://dubivzi.ga/</t>
  </si>
  <si>
    <t>Жалиборівський навчально - виховний комплекс "Загальноосвітня школа І-ІІ ступенів - дошкільний навчальний заклад" Більшівцівської селищної ради об'єднаної територіальної громади Галицького району Івано-Франківської області</t>
  </si>
  <si>
    <t>77126</t>
  </si>
  <si>
    <t>2621283001</t>
  </si>
  <si>
    <t>Жалибори</t>
  </si>
  <si>
    <t>вул. Івана Франка, 47</t>
  </si>
  <si>
    <t>(03431)71252</t>
  </si>
  <si>
    <t>Задністрянська загальноосвітня школа Галицької районної ради Івано-Франківської області</t>
  </si>
  <si>
    <t>77133</t>
  </si>
  <si>
    <t>2621283201</t>
  </si>
  <si>
    <t>Задністрянське</t>
  </si>
  <si>
    <t>(03431)74493</t>
  </si>
  <si>
    <t>Залуквянська загальноосвітня школа І-ІІІ ступенів імені Іванни Блажкевич Галицької районної ради Івано-Франківської області</t>
  </si>
  <si>
    <t>77160</t>
  </si>
  <si>
    <t>2621283301</t>
  </si>
  <si>
    <t>Залуква</t>
  </si>
  <si>
    <t>(03431)30419</t>
  </si>
  <si>
    <t>Кінашівська загальноосвітня школа І-ІІІ ступенів Більшівцівської селищної ради об'єднаної територіальної громади Галицького району Івано-Франківської області</t>
  </si>
  <si>
    <t>77125</t>
  </si>
  <si>
    <t>2621283701</t>
  </si>
  <si>
    <t>Кінашів</t>
  </si>
  <si>
    <t>вул. Січових Стрільців, 9 А</t>
  </si>
  <si>
    <t>(03431)71256</t>
  </si>
  <si>
    <t>Комарівська загальноосвітня школа І-ІІІ ступенів Галицької районної ради Івано-Франківської області</t>
  </si>
  <si>
    <t>77164</t>
  </si>
  <si>
    <t>2621284201</t>
  </si>
  <si>
    <t>вул. Ворони, 217В</t>
  </si>
  <si>
    <t>(03431)34214</t>
  </si>
  <si>
    <t>Крилоська загальноосвітня школа І-ІІІ ступенів, Галицької районної ради Івано-Франківської області</t>
  </si>
  <si>
    <t>77162</t>
  </si>
  <si>
    <t>2621284801</t>
  </si>
  <si>
    <t>Крилос</t>
  </si>
  <si>
    <t>(03431)31241</t>
  </si>
  <si>
    <t>Загірська загальноосвітня школа І-ІІ ступенів Більшівцівська селищна рада об'єднаної територіальної громади Галицький район Івано - Франківська область</t>
  </si>
  <si>
    <t>77143</t>
  </si>
  <si>
    <t>2621285102</t>
  </si>
  <si>
    <t>Загір'я Кукільницьке</t>
  </si>
  <si>
    <t>(03431)73243</t>
  </si>
  <si>
    <t>Маріямпільська загаьноосвітня школа І-ІІІ ступенів Галицької районної ради Івано-Франківської області</t>
  </si>
  <si>
    <t>77181</t>
  </si>
  <si>
    <t>2621285301</t>
  </si>
  <si>
    <t>Маріямпіль</t>
  </si>
  <si>
    <t>вул. Галицька, 4</t>
  </si>
  <si>
    <t>Медухівська загальноосвітня школа І-ІІ ступенів Галицької районної ради Івано-Франківської області</t>
  </si>
  <si>
    <t>77145</t>
  </si>
  <si>
    <t>2621285401</t>
  </si>
  <si>
    <t>Медуха</t>
  </si>
  <si>
    <t>вул. Д. Вітовського, 2</t>
  </si>
  <si>
    <t>38-348</t>
  </si>
  <si>
    <t>Мединський навчально-виховний комплекс "Загальноосвітня школа І-ІІІ ступенів - дошкільний навчальний заклад" Галицької районної ради Івано-Франківської області</t>
  </si>
  <si>
    <t>77163</t>
  </si>
  <si>
    <t>2621285501</t>
  </si>
  <si>
    <t>Мединя</t>
  </si>
  <si>
    <t>вул. Чорновола, 101</t>
  </si>
  <si>
    <t>Насташинська загальноосвітня школа І-ІІступенів Галицької районної ради Івано-Франківської області</t>
  </si>
  <si>
    <t>77110</t>
  </si>
  <si>
    <t>2621285701</t>
  </si>
  <si>
    <t>Насташине</t>
  </si>
  <si>
    <t>(03834)53342</t>
  </si>
  <si>
    <t>Новоскоморохівська загальноосвітня школа І-ІІ ступенів Галицької районної ради Івано-Франківської області</t>
  </si>
  <si>
    <t>77123</t>
  </si>
  <si>
    <t>2621285801</t>
  </si>
  <si>
    <t>Нові Скоморохи</t>
  </si>
  <si>
    <t>ал. Церковна, 40</t>
  </si>
  <si>
    <t>Слобідський навчально виховний комплекс "Загальноосвітня школа I-II ступенів - дошкільний навчальний заклад" Галицької районної ради Івано-Франківської області</t>
  </si>
  <si>
    <t>77120</t>
  </si>
  <si>
    <t>2621286003</t>
  </si>
  <si>
    <t>вул. І. Франка, 3</t>
  </si>
  <si>
    <t>(03431)52235</t>
  </si>
  <si>
    <t>Межигорецька загальноосвітня школа І-ІІ ступенів, Галицької районної ради, Івано- Франківської області</t>
  </si>
  <si>
    <t>77171</t>
  </si>
  <si>
    <t>2621286101</t>
  </si>
  <si>
    <t>Межигірці</t>
  </si>
  <si>
    <t>вул. Городецька, 8</t>
  </si>
  <si>
    <t>(33)404</t>
  </si>
  <si>
    <t>Сапогівський навчально-виховний комплекс Сапогівської сільської ради Івано-Франківської області</t>
  </si>
  <si>
    <t>2621286501</t>
  </si>
  <si>
    <t>Сапогів</t>
  </si>
  <si>
    <t>(03431)37758</t>
  </si>
  <si>
    <t>Старомартинівська загальноосвітня школа І-ІІ ступенів Галицької районної ради Івано-Франківської області</t>
  </si>
  <si>
    <t>77130</t>
  </si>
  <si>
    <t>2621286601</t>
  </si>
  <si>
    <t>Старий Мартинів</t>
  </si>
  <si>
    <t>вул. Шевченка, 58А</t>
  </si>
  <si>
    <t>(03431)55231</t>
  </si>
  <si>
    <t>Новомартинівський навчально-виховний комплекс "Загальноосвітня школа І-ІІ ступенів - дошкільний навчальний заклад" Галицької районної ради Івано-Франківської області</t>
  </si>
  <si>
    <t>77116</t>
  </si>
  <si>
    <t>2621287002</t>
  </si>
  <si>
    <t>Новий Мартинів</t>
  </si>
  <si>
    <t>вул. Шевченка</t>
  </si>
  <si>
    <t>Тумирська загальноосвітня школа І-ІІ ступенів Галицької районної ради Івано-Франківської області</t>
  </si>
  <si>
    <t>77182</t>
  </si>
  <si>
    <t>2621287201</t>
  </si>
  <si>
    <t>Тумир</t>
  </si>
  <si>
    <t>вул. Центральна, 180</t>
  </si>
  <si>
    <t>(03431)355506</t>
  </si>
  <si>
    <t>Тустанська загальноосвітня школа І-ІІІ ступенів Галицької районної ради Івано-Франківської області</t>
  </si>
  <si>
    <t>77170</t>
  </si>
  <si>
    <t>2621287301</t>
  </si>
  <si>
    <t>Тустань</t>
  </si>
  <si>
    <t>(03431)33472</t>
  </si>
  <si>
    <t>Городенківська гімназія ім. А. Крушельницького Городенківської районної ради Івано - Франківської області</t>
  </si>
  <si>
    <t>78100</t>
  </si>
  <si>
    <t>2621610100</t>
  </si>
  <si>
    <t>Городенка</t>
  </si>
  <si>
    <t>вул. Шевченка, 55</t>
  </si>
  <si>
    <t>(03430)28267</t>
  </si>
  <si>
    <t>Городенківська загальноосвітня школа І-ІІІ ступенів № 1 Городенківської районної ради Івано-Франківської області</t>
  </si>
  <si>
    <t>(03430)21382</t>
  </si>
  <si>
    <t>http://gorodenka1.at.ua</t>
  </si>
  <si>
    <t>Городенківська загальноосвітня школа І-ІІІ ступенів № 2 Городенківської районної ради Івано-Франківської області</t>
  </si>
  <si>
    <t>вул. Ринкова, 5</t>
  </si>
  <si>
    <t>(034-30)2-22-78</t>
  </si>
  <si>
    <t>Чернелицька загальноосвітня школа І-ІІІ ступенів Городенківської районної ради Івано-Франківської області</t>
  </si>
  <si>
    <t>78112</t>
  </si>
  <si>
    <t>2621655700</t>
  </si>
  <si>
    <t>Чернелиця</t>
  </si>
  <si>
    <t>(03430)55291</t>
  </si>
  <si>
    <t>Вербівцівський навчально-виховний комплекс Городенківської ройонної ради Івано-Франківської області</t>
  </si>
  <si>
    <t>78160</t>
  </si>
  <si>
    <t>2621680101</t>
  </si>
  <si>
    <t>Вербівці</t>
  </si>
  <si>
    <t>вул. Тараса Шевченка, 3</t>
  </si>
  <si>
    <t>(03430)34297</t>
  </si>
  <si>
    <t>Виноградська загальноосвітня школа І-ІІІ ступенів Городенківської районної ради Івано-Франківської області</t>
  </si>
  <si>
    <t>78153</t>
  </si>
  <si>
    <t>2621680201</t>
  </si>
  <si>
    <t>Виноград</t>
  </si>
  <si>
    <t>вул. Миру, 83</t>
  </si>
  <si>
    <t>(32)217</t>
  </si>
  <si>
    <t>Глушківський навчально-виховний комплекс Городенківської районної ради Івано-Франківської області</t>
  </si>
  <si>
    <t>78127</t>
  </si>
  <si>
    <t>2621680401</t>
  </si>
  <si>
    <t>Глушків</t>
  </si>
  <si>
    <t>(03430)5-22-41</t>
  </si>
  <si>
    <t>Городницька загальноосвітня школа І-ІІ ступенів Городенківської районної ради Івано-Франківської області</t>
  </si>
  <si>
    <t>78140</t>
  </si>
  <si>
    <t>2621680501</t>
  </si>
  <si>
    <t>вул. Галицька, 22</t>
  </si>
  <si>
    <t>(03430)54234</t>
  </si>
  <si>
    <t>Далешівська загальноосвітня школа І-ІІІ ступенів Городенківської районної ради Івано-Франківської області</t>
  </si>
  <si>
    <t>78130</t>
  </si>
  <si>
    <t>2621680801</t>
  </si>
  <si>
    <t>Далешове</t>
  </si>
  <si>
    <t>(03430)56255</t>
  </si>
  <si>
    <t>Дубківська загальноосвітня школа І - ІІ ступенів Городенківської районої ради Івано-Франківської області</t>
  </si>
  <si>
    <t>78131</t>
  </si>
  <si>
    <t>2621680803</t>
  </si>
  <si>
    <t>Дубка</t>
  </si>
  <si>
    <t>вул. Богдана Хмельницького, 54</t>
  </si>
  <si>
    <t>(56)246</t>
  </si>
  <si>
    <t>Копачинський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</si>
  <si>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78110</t>
  </si>
  <si>
    <t>2621681301</t>
  </si>
  <si>
    <t>Копачинці</t>
  </si>
  <si>
    <t>вул. Вільна Україна, 33</t>
  </si>
  <si>
    <t>(67)209</t>
  </si>
  <si>
    <t>Корнівський навчально-виховний комплекс І-ІІ ступенів Городенківської районнолї ради Івано-Франківської області</t>
  </si>
  <si>
    <t>78116</t>
  </si>
  <si>
    <t>2621681501</t>
  </si>
  <si>
    <t>Корнів</t>
  </si>
  <si>
    <t>(03430)53230</t>
  </si>
  <si>
    <t>Кунисівський НВК І-ІІ ступенів Городенківської районної Ради Івано-Франківської області</t>
  </si>
  <si>
    <t>78111</t>
  </si>
  <si>
    <t>2621681701</t>
  </si>
  <si>
    <t>Кунисівці</t>
  </si>
  <si>
    <t>вул. М. Грушевського, 17</t>
  </si>
  <si>
    <t>(49)2-49</t>
  </si>
  <si>
    <t>Луківський навчально-виховний комплекс Городенківської районної ради Івано-Франківської області</t>
  </si>
  <si>
    <t>78117</t>
  </si>
  <si>
    <t>2621682001</t>
  </si>
  <si>
    <t>(03430)63117</t>
  </si>
  <si>
    <t>Чортовецька загальноосвітня школа І-ІІІ ступенів Городенківської районної ради Івано-Франківської області</t>
  </si>
  <si>
    <t>78123</t>
  </si>
  <si>
    <t>2621682101</t>
  </si>
  <si>
    <t>Чортовець</t>
  </si>
  <si>
    <t>вул. Галицька, 26</t>
  </si>
  <si>
    <t>(03430)41246, (03430)41260</t>
  </si>
  <si>
    <t>http://chortovetskazoh.at.ua</t>
  </si>
  <si>
    <t>Михальчівський навчально-виховний комплекс "загальноосвітня школа І-ІІ ступенів-дошкільний навчальний заклад" Городенківської районної ради Івано-ФранківськоЇ області</t>
  </si>
  <si>
    <t>78134</t>
  </si>
  <si>
    <t>2621682201</t>
  </si>
  <si>
    <t>Михальче</t>
  </si>
  <si>
    <t>вул. Грушевського, 57</t>
  </si>
  <si>
    <t>(03430)40214</t>
  </si>
  <si>
    <t>Незвиський навчально-виховний комплекс Городенківської районної ради Івано-Франківської області</t>
  </si>
  <si>
    <t>78118</t>
  </si>
  <si>
    <t>2621682301</t>
  </si>
  <si>
    <t>Незвисько</t>
  </si>
  <si>
    <t>вул. Галицька, 24</t>
  </si>
  <si>
    <t>(03430)61231</t>
  </si>
  <si>
    <t>Вікнянський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</si>
  <si>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78125</t>
  </si>
  <si>
    <t>2621682601</t>
  </si>
  <si>
    <t>Вікно</t>
  </si>
  <si>
    <t>(03430)58-2-10</t>
  </si>
  <si>
    <t>Олієво-Королівська загальноосвітня школа І-ІІ ступенів Городенківської районної ради Івано-Франківської області</t>
  </si>
  <si>
    <t>78120</t>
  </si>
  <si>
    <t>2621682901</t>
  </si>
  <si>
    <t>Олієво-Королівка</t>
  </si>
  <si>
    <t>вул. Галицька, 85А</t>
  </si>
  <si>
    <t>(03430)46260</t>
  </si>
  <si>
    <t>Вільхівський навчально-виховний комплекс Городенківської районної ради Івано-Франківської області</t>
  </si>
  <si>
    <t>78113</t>
  </si>
  <si>
    <t>2621683001</t>
  </si>
  <si>
    <t>(03430)47330</t>
  </si>
  <si>
    <t>Острівецький навчально-виховний комплекс Городенківської районної ради Івано-Франківської області</t>
  </si>
  <si>
    <t>78150</t>
  </si>
  <si>
    <t>2621683101</t>
  </si>
  <si>
    <t>Острівець</t>
  </si>
  <si>
    <t>(03430)69151</t>
  </si>
  <si>
    <t>Рогинський навчально-виховний комплекс Городенківської районної ради Івано-Франківської області.</t>
  </si>
  <si>
    <t>2621683102</t>
  </si>
  <si>
    <t>Рогиня</t>
  </si>
  <si>
    <t>вул. Українська, 13</t>
  </si>
  <si>
    <t>(03430)69203</t>
  </si>
  <si>
    <t>Поточищенська загальноосвітня школа І- ІІІ ступенів Городенківської районної ради Івано-Франківської області</t>
  </si>
  <si>
    <t>78135</t>
  </si>
  <si>
    <t>2621683401</t>
  </si>
  <si>
    <t>Поточище</t>
  </si>
  <si>
    <t>вул. Колодзінського, 2</t>
  </si>
  <si>
    <t>(03430)5-12-32</t>
  </si>
  <si>
    <t>Раковецький навчально-виховний комплекс "Загальноосвітня школа І-ІІІ ступенів - дошкільний навчальний заклад" Городенківської районної ради Івано-Франківської області</t>
  </si>
  <si>
    <t>78114</t>
  </si>
  <si>
    <t>2621683701</t>
  </si>
  <si>
    <t>вул. Щерби, 1</t>
  </si>
  <si>
    <t>(03430)62219</t>
  </si>
  <si>
    <t>Семенівський навчально-виховний комплекс "загальноосвітня школа І-ІІ ступенів- дошкільний навчальний заклад" Городенківської районної ради Івано-Франківської області</t>
  </si>
  <si>
    <t>78115</t>
  </si>
  <si>
    <t>2621683703</t>
  </si>
  <si>
    <t>вул. Галицька, 54</t>
  </si>
  <si>
    <t>62-2-31</t>
  </si>
  <si>
    <t>Рашківський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</si>
  <si>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78122</t>
  </si>
  <si>
    <t>2621684001</t>
  </si>
  <si>
    <t>Рашків</t>
  </si>
  <si>
    <t>(65)2-43</t>
  </si>
  <si>
    <t>Росохацька загальноосвітня школа І-ІІІ ступенів Городенківської районної ради</t>
  </si>
  <si>
    <t>78151</t>
  </si>
  <si>
    <t>2621684301</t>
  </si>
  <si>
    <t>Росохач</t>
  </si>
  <si>
    <t>вул. українська, 99 а</t>
  </si>
  <si>
    <t>Семаківська загальноосвітня школа І-ІІІ ступенів Городенківської районної ради Івано-Франківської області</t>
  </si>
  <si>
    <t>78133</t>
  </si>
  <si>
    <t>2621684601</t>
  </si>
  <si>
    <t>Семаківці</t>
  </si>
  <si>
    <t>вул. Шевченка, 28</t>
  </si>
  <si>
    <t>(03430)44217</t>
  </si>
  <si>
    <t>Серафинецька загальноосвітня школа І-ІІІ ступенів Городенківської районної ради Івано-Франківської області</t>
  </si>
  <si>
    <t>78142</t>
  </si>
  <si>
    <t>2621684901</t>
  </si>
  <si>
    <t>Серафинці</t>
  </si>
  <si>
    <t>вул. Сагайдачного, 7</t>
  </si>
  <si>
    <t>(03430)50297</t>
  </si>
  <si>
    <t>Слобідський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</si>
  <si>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78155</t>
  </si>
  <si>
    <t>2621685201</t>
  </si>
  <si>
    <t>вул. Кривого, 1</t>
  </si>
  <si>
    <t>(03430)31246</t>
  </si>
  <si>
    <t>Сороківська загальноосвітня школа І-ІІІ ступенів Городенківської районної ради Івано-Франківської області</t>
  </si>
  <si>
    <t>78154</t>
  </si>
  <si>
    <t>2621685401</t>
  </si>
  <si>
    <t>Сороки</t>
  </si>
  <si>
    <t>(034)3031269</t>
  </si>
  <si>
    <t>Стрільченська загальноосвітня школа І-ІІ ступенів Городенківської районної ради Івано-Франківської області</t>
  </si>
  <si>
    <t>78141</t>
  </si>
  <si>
    <t>2621685501</t>
  </si>
  <si>
    <t>вул. Степана Бандрери, 51</t>
  </si>
  <si>
    <t>(03430)45-2-10</t>
  </si>
  <si>
    <t>Топорівська загальноосвітня школа І-ІІІ ступенів Городенківської районної ради Івано-Франківської області</t>
  </si>
  <si>
    <t>78162</t>
  </si>
  <si>
    <t>2621685701</t>
  </si>
  <si>
    <t>Топорівці</t>
  </si>
  <si>
    <t>(03430)35237</t>
  </si>
  <si>
    <t>Торговицький навчально - виховний комплекс "загальноосвітня школа І - ІІІ ступенів - дошкільний навчальний заклад" імені Леся Мартовича Городенківської районної ради Івано - Франківської області</t>
  </si>
  <si>
    <t>78161</t>
  </si>
  <si>
    <t>2621685801</t>
  </si>
  <si>
    <t>Торговиця</t>
  </si>
  <si>
    <t>вул. Шевченка, 61</t>
  </si>
  <si>
    <t>(03430)59218</t>
  </si>
  <si>
    <t>Тишківський навчально - виховний комплекс "загальноосвітня школа І-ІІІ ст. - дошкільний навчальний заклад"Городенківська районна рада Івано-Франківська область</t>
  </si>
  <si>
    <t>78124</t>
  </si>
  <si>
    <t>2621686201</t>
  </si>
  <si>
    <t>Тишківці</t>
  </si>
  <si>
    <t>(03430)42-2-96</t>
  </si>
  <si>
    <t>Чернятинська загальноосвітня школа І-ІІІ ступенів Городенківської районної ради Івано-Франківської області</t>
  </si>
  <si>
    <t>78126</t>
  </si>
  <si>
    <t>2621687001</t>
  </si>
  <si>
    <t>вул. Грушевського, 27</t>
  </si>
  <si>
    <t>(03430)27242</t>
  </si>
  <si>
    <t>Ясеневопільнівська загальноосвітня школа І-ІІІ ступенів Городенківської районної ради Івано-Франківської області</t>
  </si>
  <si>
    <t>78143</t>
  </si>
  <si>
    <t>2621688601</t>
  </si>
  <si>
    <t>Ясенів-Пільний</t>
  </si>
  <si>
    <t>вул. Січових  Стрільців, 55</t>
  </si>
  <si>
    <t>(03430)57-2-41</t>
  </si>
  <si>
    <t>Долинська гімназія № 1 Долинської районної ради Івано-Франківської області</t>
  </si>
  <si>
    <t>77500</t>
  </si>
  <si>
    <t>2622010100</t>
  </si>
  <si>
    <t>вул. Пачовського, 3</t>
  </si>
  <si>
    <t>(03477)20081, (03477)20092</t>
  </si>
  <si>
    <t>Долинська загальноосвітня вечірня (змінна) школа 2-3 ступенів</t>
  </si>
  <si>
    <t>вул. Медична, 3</t>
  </si>
  <si>
    <t>(03477)2-62-49</t>
  </si>
  <si>
    <t>Долинська загальноосвітня школа І-ІІІ ступенів № 4 Долинської районної ради Івано-Франківської області</t>
  </si>
  <si>
    <t>вул. Обліски, 16</t>
  </si>
  <si>
    <t>(03477)25277</t>
  </si>
  <si>
    <t>http://dolzow4.at.ua/</t>
  </si>
  <si>
    <t>Долинська загальноосвітня школа І-ІІІ ступенів № 5 Долинської районної ради Івано-Франківської області</t>
  </si>
  <si>
    <t>вул. Грушевського, 24 Б</t>
  </si>
  <si>
    <t>(03477)25899</t>
  </si>
  <si>
    <t>http://www.zosh5.jimdo.com</t>
  </si>
  <si>
    <t>Долинська загальноосвітня школа І-ІІІ ступенів № 7 Долинської районної ради Івано-Франківської області</t>
  </si>
  <si>
    <t>77504</t>
  </si>
  <si>
    <t>вул. Ст. Бандери, 12</t>
  </si>
  <si>
    <t>(03477)2-88-64, (03477)2-88-63</t>
  </si>
  <si>
    <t>http://dolschool7.jimdo.com</t>
  </si>
  <si>
    <t>Долинська спеціалізована школа І-ІІІ ступенів № 6</t>
  </si>
  <si>
    <t>вул. С. Бандери, 8</t>
  </si>
  <si>
    <t>(03477)29365</t>
  </si>
  <si>
    <t>Долинська спеціалізована школа-інтернат І-ІІІ ступенів Долинської районної ради Івано-Франківської області</t>
  </si>
  <si>
    <t>вул. Грушевського, 24</t>
  </si>
  <si>
    <t>(03477)25853, (03477)25891, (03477)25892</t>
  </si>
  <si>
    <t>20555378</t>
  </si>
  <si>
    <t>Долинський дитячий будинок "Теплий дім" Івано-Франківської обласної ради</t>
  </si>
  <si>
    <t>вул. Івасюка, 16</t>
  </si>
  <si>
    <t>(03477)2-03-70</t>
  </si>
  <si>
    <t>20563876</t>
  </si>
  <si>
    <t>Долинський міжшкільний навчально-виробничий комбінат Долинської районної ради Івано-Франківської області</t>
  </si>
  <si>
    <t>вул. Степана Бандери, 2А</t>
  </si>
  <si>
    <t>(03477)29316</t>
  </si>
  <si>
    <t>20555504</t>
  </si>
  <si>
    <t>Долинський навчально-виховний комплекс № 2</t>
  </si>
  <si>
    <t>77502</t>
  </si>
  <si>
    <t>вул. В.Івасюка, 14</t>
  </si>
  <si>
    <t>(03477)21852</t>
  </si>
  <si>
    <t>http://doluna-nvk2.at.ua</t>
  </si>
  <si>
    <t>Долинський природничо-математичний ліцей Долинської районної ради Івано-Франківської області</t>
  </si>
  <si>
    <t>вул. Чорновола, 6А</t>
  </si>
  <si>
    <t>(03477)27028</t>
  </si>
  <si>
    <t>Вигодська загальноосвітня школа І-ІІІ ступенів Долинської районної ради Івано-Франківської області</t>
  </si>
  <si>
    <t>77552</t>
  </si>
  <si>
    <t>2622055300</t>
  </si>
  <si>
    <t>Вигода</t>
  </si>
  <si>
    <t>вул. Василя Стуса, 3</t>
  </si>
  <si>
    <t>(03477)61304</t>
  </si>
  <si>
    <t>http://vygoda-zosh.at.ua/</t>
  </si>
  <si>
    <t>Вигодський навчально-реабілітаційний центр Івано-Франківської обласної ради</t>
  </si>
  <si>
    <t>вул. Данила Галицького, 7</t>
  </si>
  <si>
    <t>(03477)61247, (03477)61246</t>
  </si>
  <si>
    <t>http://vygoda-ecrc.if.ua</t>
  </si>
  <si>
    <t>20564845</t>
  </si>
  <si>
    <t>Белеївська загальноосвітня школа І-ІІступенів</t>
  </si>
  <si>
    <t>77511</t>
  </si>
  <si>
    <t>2622080101</t>
  </si>
  <si>
    <t>Белеїв</t>
  </si>
  <si>
    <t>(03477)93377</t>
  </si>
  <si>
    <t>http://beleyivska-zosh.blogspot.com</t>
  </si>
  <si>
    <t>Великотур'янський навчально-виховний комплекс "Загальноосвітня школа І-ІІІ ступенів - дошкільний навчальний заклад" Долинської районної ради Івано-Франківської області</t>
  </si>
  <si>
    <t>77510</t>
  </si>
  <si>
    <t>2622080201</t>
  </si>
  <si>
    <t>Велика Тур'я</t>
  </si>
  <si>
    <t>просп. Тараса Шевченка, 33 А</t>
  </si>
  <si>
    <t>(03477)93240</t>
  </si>
  <si>
    <t>http://vturjanska-zow.at.ua</t>
  </si>
  <si>
    <t>Витвицька сільська рада об'єднана територіальна громада Долинського району Івано-Франківської області Витвицька загальноосвітня школа І-ІІІ ступенів</t>
  </si>
  <si>
    <t>77533</t>
  </si>
  <si>
    <t>2622080501</t>
  </si>
  <si>
    <t>Витвиця</t>
  </si>
  <si>
    <t>вул. З.Красівського, 83</t>
  </si>
  <si>
    <t>(03477)35316</t>
  </si>
  <si>
    <t>Вишківська загальноосвітня школа І-ІІІ ступенів</t>
  </si>
  <si>
    <t>77563</t>
  </si>
  <si>
    <t>2622080801</t>
  </si>
  <si>
    <t>Вишків</t>
  </si>
  <si>
    <t>вул. Шубинця, 82</t>
  </si>
  <si>
    <t>(3477)90248</t>
  </si>
  <si>
    <t>Гошівська загальноосвітня школа І-ІІІ ступенів Гошівської сільської ради Долинського району Івано-Франківської області</t>
  </si>
  <si>
    <t>77520</t>
  </si>
  <si>
    <t>2622081101</t>
  </si>
  <si>
    <t>вул. Т.Шевченка, 5</t>
  </si>
  <si>
    <t>(03477)30-3-54</t>
  </si>
  <si>
    <t>Кальнянська загальноосвітня школа І-ІІІ ступенів Витвицької сільської ради об'єднаної територіальної громади Долинського району Івано-Франківської області</t>
  </si>
  <si>
    <t>77534</t>
  </si>
  <si>
    <t>2622082101</t>
  </si>
  <si>
    <t>Кальна</t>
  </si>
  <si>
    <t>вул. Шевченка, 143А</t>
  </si>
  <si>
    <t>(803477)33346</t>
  </si>
  <si>
    <t>Княжолуцька загальноосвітня школа І-ІІІ ступенів Івано-Франківська обл. Долинський район</t>
  </si>
  <si>
    <t>77540</t>
  </si>
  <si>
    <t>2622082401</t>
  </si>
  <si>
    <t>Княжолука</t>
  </si>
  <si>
    <t>0501013963</t>
  </si>
  <si>
    <t>Кропивницький навчально-виховний комплекс "Загальноосвітня школа І-ІІ ступенів - дошкільний навчальний заклад" імені М.Тимочка Долинської районної ради Івано-Франківської області</t>
  </si>
  <si>
    <t>77542</t>
  </si>
  <si>
    <t>2622082601</t>
  </si>
  <si>
    <t>Кропивник</t>
  </si>
  <si>
    <t>вул. Т.Шевченка, 69</t>
  </si>
  <si>
    <t>(03477)62142</t>
  </si>
  <si>
    <t>Лолинська загальноосвітня школа І-ІІ ступенів Долинської районної ради Івано-Франківської області</t>
  </si>
  <si>
    <t>77560</t>
  </si>
  <si>
    <t>2622082901</t>
  </si>
  <si>
    <t>Лолин</t>
  </si>
  <si>
    <t>вул. Івана Франка, 87</t>
  </si>
  <si>
    <t>(03477)53237</t>
  </si>
  <si>
    <t>Малотур’янський навчально-виховний комплекс "Загальноосвітня школа І-ІІІ ступенів -дошкільний навчальний заклад"</t>
  </si>
  <si>
    <t>77551</t>
  </si>
  <si>
    <t>2622083001</t>
  </si>
  <si>
    <t>Мала Тур'я</t>
  </si>
  <si>
    <t>вул. Тур’янська, 38</t>
  </si>
  <si>
    <t>(03477)54380</t>
  </si>
  <si>
    <t>Надіївська загальноосвітня школа I-III ступенів</t>
  </si>
  <si>
    <t>77515</t>
  </si>
  <si>
    <t>2622083401</t>
  </si>
  <si>
    <t>Надіїв</t>
  </si>
  <si>
    <t>вул. Шевченка, 48</t>
  </si>
  <si>
    <t>(03477)98244</t>
  </si>
  <si>
    <t>Новоселицька загальноосвітня школа I ступеня Долинського району Івано - Франківської області</t>
  </si>
  <si>
    <t>77541</t>
  </si>
  <si>
    <t>2622083901</t>
  </si>
  <si>
    <t>вул. Грушевського, 14</t>
  </si>
  <si>
    <t>0501038053</t>
  </si>
  <si>
    <t>Новошинська загальноосвітня школа І-ІІ ступенів</t>
  </si>
  <si>
    <t>77554</t>
  </si>
  <si>
    <t>2622084201</t>
  </si>
  <si>
    <t>Новошин</t>
  </si>
  <si>
    <t>вул. Фрасуляка, 7</t>
  </si>
  <si>
    <t>(03477)53252</t>
  </si>
  <si>
    <t>Пшеничниківський навчально-виховний комплекс "Загальноосвітня школа І-ІІ ступенів-дошкільний навчальний заклад"</t>
  </si>
  <si>
    <t>77555</t>
  </si>
  <si>
    <t>2622084202</t>
  </si>
  <si>
    <t>Пшеничники</t>
  </si>
  <si>
    <t>(03477)53238</t>
  </si>
  <si>
    <t>Оболонська загальноосвітня школа І-ІІІ ступенів Долинської районної ради Івано-Франківської області</t>
  </si>
  <si>
    <t>77550</t>
  </si>
  <si>
    <t>2622084501</t>
  </si>
  <si>
    <t>Оболоння</t>
  </si>
  <si>
    <t>вул. Одиниця, 28</t>
  </si>
  <si>
    <t>(03477)20007</t>
  </si>
  <si>
    <t>Оболонський навчально-виховний комплекс "загальноосвітня школа І ступеня - дошкільний навчальний заклад"</t>
  </si>
  <si>
    <t>(03477)20340</t>
  </si>
  <si>
    <t>Підлісківська загальноосвітня школа I-II ст Долинської районної ради Івано-Франківської області</t>
  </si>
  <si>
    <t>77561</t>
  </si>
  <si>
    <t>2622084601</t>
  </si>
  <si>
    <t>Підліски</t>
  </si>
  <si>
    <t>(03477)53243</t>
  </si>
  <si>
    <t>Раківська загальноосвітня школа І-ІІІ ступенів Долинської районної ради Івано-Франківської області</t>
  </si>
  <si>
    <t>77516</t>
  </si>
  <si>
    <t>2622085001</t>
  </si>
  <si>
    <t>Раків</t>
  </si>
  <si>
    <t>(03477)97245</t>
  </si>
  <si>
    <t>Рахинянський навчально-виховний комплекс "загальноосвітня школа І,ІІ ступенів - дошкільний навчальний заклад"</t>
  </si>
  <si>
    <t>77514</t>
  </si>
  <si>
    <t>2622085201</t>
  </si>
  <si>
    <t>Рахиня</t>
  </si>
  <si>
    <t>(03477)94-2-16</t>
  </si>
  <si>
    <t>Розточківський навчально-виховний комплекс "загальноосвітня школа І-ІІ ступенів, дошкільний навчальний заклад"</t>
  </si>
  <si>
    <t>77535</t>
  </si>
  <si>
    <t>2622085301</t>
  </si>
  <si>
    <t>Розточки</t>
  </si>
  <si>
    <t>(803477)33393</t>
  </si>
  <si>
    <t>Сенечівська загальноосвітня школа І-ІІ ступенів Долинської районної ради</t>
  </si>
  <si>
    <t>77564</t>
  </si>
  <si>
    <t>2622085401</t>
  </si>
  <si>
    <t>Сенечів</t>
  </si>
  <si>
    <t>вул. Центральна, 142</t>
  </si>
  <si>
    <t>(3477)90256</t>
  </si>
  <si>
    <t>Слободоболехівський навчально-виховний комплекс "Загальноосвітня школа І-ІІ ступенів - дошкільний навчальний заклад" імені Дмитра Квецка Витвицької сільської ради об'єднаної територіальної громади Долинського району Івано-Франківської області</t>
  </si>
  <si>
    <t>77530</t>
  </si>
  <si>
    <t>2622085601</t>
  </si>
  <si>
    <t>Слобода-Болехівська</t>
  </si>
  <si>
    <t>(03477)35367</t>
  </si>
  <si>
    <t>http://slobodabolua.ucoz.ru</t>
  </si>
  <si>
    <t>Липівська загальноосвітня школа I ступеня Витвицької сільської ради об'єднаної територіальної громади Долинського району Івано - Франківської обл</t>
  </si>
  <si>
    <t>2622085602</t>
  </si>
  <si>
    <t>Липа</t>
  </si>
  <si>
    <t>0969722956</t>
  </si>
  <si>
    <t>Лужківська загальноосвітня школа I ступеня Витвицької сільської ради об'єднаної територіальної громади Долинського району Івано-Франківської області</t>
  </si>
  <si>
    <t>2622085603</t>
  </si>
  <si>
    <t>Лужки</t>
  </si>
  <si>
    <t>вул. Ярослава Лесіва</t>
  </si>
  <si>
    <t>0504334916</t>
  </si>
  <si>
    <t>Солуківська загальноосвітня школа І-ІІІ ступенів Долинської районної ради Івано-Франківської області</t>
  </si>
  <si>
    <t>77523</t>
  </si>
  <si>
    <t>2622086001</t>
  </si>
  <si>
    <t>Солуків</t>
  </si>
  <si>
    <t>(03477)51504</t>
  </si>
  <si>
    <t>http://solykivzow.ucoz.net/</t>
  </si>
  <si>
    <t>Якубівська загальноосвітня школа I ступеня Долинського району Івано - Франківської області</t>
  </si>
  <si>
    <t>2622086004</t>
  </si>
  <si>
    <t>Якубів</t>
  </si>
  <si>
    <t>0952072612</t>
  </si>
  <si>
    <t>Станківецький навчально-виховний комлпекс "загальноосвітня школа І ступеня - дошкільний навчальний заклад" імені В. Дорошенка Витвицької об'єднаної територіальної громади Долинського району Івано- Франківської області</t>
  </si>
  <si>
    <t>77531</t>
  </si>
  <si>
    <t>2622086101</t>
  </si>
  <si>
    <t>Станківці</t>
  </si>
  <si>
    <t>вул. Василя Дорошенка, 70 А</t>
  </si>
  <si>
    <t>(03477)35392</t>
  </si>
  <si>
    <t>Церківнянська загальноосвітня школа І-ІІ ступенів Витвицької сільської ради об’єднаної територіальної громади</t>
  </si>
  <si>
    <t>2622086102</t>
  </si>
  <si>
    <t>Церковна</t>
  </si>
  <si>
    <t>вул. Івана Франка, 110</t>
  </si>
  <si>
    <t>(03477)35-3-85</t>
  </si>
  <si>
    <t>http://zerkivna-shool.at.ua</t>
  </si>
  <si>
    <t>Старомізунська загальноосвітня школа І-ІІІ ступенів імені Василя Верховинця Долинської районної ради Івано-Франківської області</t>
  </si>
  <si>
    <t>77543</t>
  </si>
  <si>
    <t>2622086201</t>
  </si>
  <si>
    <t>Старий Мізунь</t>
  </si>
  <si>
    <t>вул. Січових Стрільців, 82</t>
  </si>
  <si>
    <t>(03477)61674</t>
  </si>
  <si>
    <t>http://mizunschool.ucoz.ua/</t>
  </si>
  <si>
    <t>Новомізунська загальноосвітня школа I ступеня Долинської районної державної адміністрації</t>
  </si>
  <si>
    <t>2622086202</t>
  </si>
  <si>
    <t>Новий Мізунь</t>
  </si>
  <si>
    <t>0967404784</t>
  </si>
  <si>
    <t>Тростянецька загальноосвітня школа І-ІІІ ступенів Долинської районної ради</t>
  </si>
  <si>
    <t>77512</t>
  </si>
  <si>
    <t>2622086901</t>
  </si>
  <si>
    <t>вул. Шевченка, 75 А</t>
  </si>
  <si>
    <t>(03477)96-2-74</t>
  </si>
  <si>
    <t>http://TrostjaneckaZOW.jimbo.com</t>
  </si>
  <si>
    <t>Слобододолинська ЗОШ І-ІІ ступенів Долинської РДА, Долинського району, Івано - Франківської області</t>
  </si>
  <si>
    <t>77513</t>
  </si>
  <si>
    <t>2622086902</t>
  </si>
  <si>
    <t>Слобода-Долинська</t>
  </si>
  <si>
    <t>вул. Братів Гошовських</t>
  </si>
  <si>
    <t>(03477)96-2-06</t>
  </si>
  <si>
    <t>Тяпчанський навчально-виховний комплекс "Загальноосвітня школа І-ІІІ ступенів - дошкільний навчальний заклад" імені Ольги Дучимінської</t>
  </si>
  <si>
    <t>77522</t>
  </si>
  <si>
    <t>2622087101</t>
  </si>
  <si>
    <t>Тяпче</t>
  </si>
  <si>
    <t>(03477)52337</t>
  </si>
  <si>
    <t>http://tjapchenvk.ucoz.ru</t>
  </si>
  <si>
    <t>Шевченківська загальноосвітня школа І-ІІІ ступенів</t>
  </si>
  <si>
    <t>77556</t>
  </si>
  <si>
    <t>2622087601</t>
  </si>
  <si>
    <t>(03477)53401</t>
  </si>
  <si>
    <t>https://sites.google.com/site/shevchshkola/</t>
  </si>
  <si>
    <t>Мислівський навчально-виховний комплекс</t>
  </si>
  <si>
    <t>77557</t>
  </si>
  <si>
    <t>2622087602</t>
  </si>
  <si>
    <t>Мислівка</t>
  </si>
  <si>
    <t>вул. Ростока, 59</t>
  </si>
  <si>
    <t>(03477)9-12-36</t>
  </si>
  <si>
    <t>Яворівська загальноосвітня школа І-ІІ ступенів Долинської районної ради Івано-Франківської області</t>
  </si>
  <si>
    <t>77524</t>
  </si>
  <si>
    <t>2622088001</t>
  </si>
  <si>
    <t>Яворів</t>
  </si>
  <si>
    <t>вул. Коляджена, 28</t>
  </si>
  <si>
    <t>(03477)51230</t>
  </si>
  <si>
    <t>http://javor-zosh.jimdo.com</t>
  </si>
  <si>
    <t>опорний навчальний заклад Войнилівська загально-освітня школа І-ІІІ ступенів Калуської районної ради Івано-Франківської області</t>
  </si>
  <si>
    <t>77316</t>
  </si>
  <si>
    <t>2622855300</t>
  </si>
  <si>
    <t>Войнилів</t>
  </si>
  <si>
    <t>вул. Шевченка, 108</t>
  </si>
  <si>
    <t>(03472)96436</t>
  </si>
  <si>
    <t>http://voiniliv.wordpress.com</t>
  </si>
  <si>
    <t>Довпотівська загальноосвітня школа I-IІ ступенів Калуської районної ради Івано-Франківської області</t>
  </si>
  <si>
    <t>77315</t>
  </si>
  <si>
    <t>2622855301</t>
  </si>
  <si>
    <t>Довпотів</t>
  </si>
  <si>
    <t>вул. Стефаника, 15</t>
  </si>
  <si>
    <t>(03472)98-4-24</t>
  </si>
  <si>
    <t>Дубовицька ЗОШ І ступеня</t>
  </si>
  <si>
    <t>77314</t>
  </si>
  <si>
    <t>2622855302</t>
  </si>
  <si>
    <t>Дубовиця</t>
  </si>
  <si>
    <t>вул. Я.Гаврилюка</t>
  </si>
  <si>
    <t>92735</t>
  </si>
  <si>
    <t>Середнянська загальноосвітня школа І-ІІ ступенів Калуської районної ради Івано-Франківської області</t>
  </si>
  <si>
    <t>77312</t>
  </si>
  <si>
    <t>2622855303</t>
  </si>
  <si>
    <t>Середня</t>
  </si>
  <si>
    <t>вул. 40-річчя Перемоги, 21</t>
  </si>
  <si>
    <t>(03472)96490</t>
  </si>
  <si>
    <t>Боднарівська загальноосвітня школа І - ІІІ ступенів Калуської районної ради Івано - Франківської області</t>
  </si>
  <si>
    <t>77350</t>
  </si>
  <si>
    <t>2622880101</t>
  </si>
  <si>
    <t>Боднарів</t>
  </si>
  <si>
    <t>(03472)94266</t>
  </si>
  <si>
    <t>Верхнянська загальноосвітня школа І-ІІІ ступенів Верхнянської сільської ради об'єднаної територіальної громади Калуського району Івано-Франківської області</t>
  </si>
  <si>
    <t>77324</t>
  </si>
  <si>
    <t>2622880801</t>
  </si>
  <si>
    <t>Верхня</t>
  </si>
  <si>
    <t>вул. Шевченка, 102</t>
  </si>
  <si>
    <t>(03472)93532</t>
  </si>
  <si>
    <t>Вістівський навчально-виховний комплекс І-ІІ ступенів Калуської районної ради</t>
  </si>
  <si>
    <t>77351</t>
  </si>
  <si>
    <t>2622881201</t>
  </si>
  <si>
    <t>Вістова</t>
  </si>
  <si>
    <t>вул. Січових Стрільців, 70</t>
  </si>
  <si>
    <t>(03472)93367</t>
  </si>
  <si>
    <t>Голинська загальноосвітня школа І-ІІІ ступенів Калуської районної ради Івано-Франківської області</t>
  </si>
  <si>
    <t>77343</t>
  </si>
  <si>
    <t>2622881601</t>
  </si>
  <si>
    <t>Голинь</t>
  </si>
  <si>
    <t>вул. Коновальця, 13</t>
  </si>
  <si>
    <t>(03472)90641</t>
  </si>
  <si>
    <t>Добровлянський навчально-виховний комплекс I-IIIступенів Калуської районної ради Івано-Франківської області</t>
  </si>
  <si>
    <t>77361</t>
  </si>
  <si>
    <t>2622881901</t>
  </si>
  <si>
    <t>Добровляни</t>
  </si>
  <si>
    <t>вул. С. Бандери, 51А</t>
  </si>
  <si>
    <t>(03472)98541</t>
  </si>
  <si>
    <t>http://dbrs.com.ua</t>
  </si>
  <si>
    <t>Довговойнилівський навчально-виховний комплекс І-ІІІ ступенів Верхнянської сільської ради об'єднаної територіальної громади Калуського району Івано-Франківської області</t>
  </si>
  <si>
    <t>77320</t>
  </si>
  <si>
    <t>2622882001</t>
  </si>
  <si>
    <t>Довгий Войнилів</t>
  </si>
  <si>
    <t>(03472)92366</t>
  </si>
  <si>
    <t>http://www.dvschool.wordpress.com</t>
  </si>
  <si>
    <t>Завадківська загальноосвітня школа І-ІІ ступенів Верхнянської сільскої ради об'єднаної територіальної громади Калуського району Івано-Франківськоїобласті</t>
  </si>
  <si>
    <t>77323</t>
  </si>
  <si>
    <t>2622882401</t>
  </si>
  <si>
    <t>вул. Івана-франка, 117</t>
  </si>
  <si>
    <t>(03472)95734</t>
  </si>
  <si>
    <t>http://kalush19r.school.if.ua</t>
  </si>
  <si>
    <t>Степанівський НВК І ступеня ,Верхнянської сільської ради ОТГ,Калуського району,Івано-Франківської області</t>
  </si>
  <si>
    <t>2622882403</t>
  </si>
  <si>
    <t>вул. Івана-Франка, 10</t>
  </si>
  <si>
    <t>(03472)95737</t>
  </si>
  <si>
    <t>http://stepanivskiynvk.at.ua</t>
  </si>
  <si>
    <t>Завійська загальноосвітня школа І-ІІ ступенів Калуської районної ради Івано-Франківської області</t>
  </si>
  <si>
    <t>77356</t>
  </si>
  <si>
    <t>2622882801</t>
  </si>
  <si>
    <t>Завій</t>
  </si>
  <si>
    <t>вул. Данила Галицького, 215</t>
  </si>
  <si>
    <t>(03472)99197</t>
  </si>
  <si>
    <t>Грабівський НВК І-ІІ ступенів Калускої районної ради Івано-Франківської області</t>
  </si>
  <si>
    <t>77357</t>
  </si>
  <si>
    <t>2622882802</t>
  </si>
  <si>
    <t>Грабівка</t>
  </si>
  <si>
    <t>(803472)99-1-71</t>
  </si>
  <si>
    <t>Зборянський навчально-виховний комплекс I-II ступенів Верхнянської сільської ради об'єднаної територіальної громади Івано-Франківської області</t>
  </si>
  <si>
    <t>77322</t>
  </si>
  <si>
    <t>2622883201</t>
  </si>
  <si>
    <t>Збора</t>
  </si>
  <si>
    <t>(03472)93242</t>
  </si>
  <si>
    <t>Кадобнянська загальноосвітня школа І-ІІ ст Калуської районної ради Івано-Франківської області</t>
  </si>
  <si>
    <t>77341</t>
  </si>
  <si>
    <t>2622883401</t>
  </si>
  <si>
    <t>Кадобна</t>
  </si>
  <si>
    <t>вул. Івана Франка, 149</t>
  </si>
  <si>
    <t>(03472)94861</t>
  </si>
  <si>
    <t>Копанківська загальноосвітня школа І-ІІ ступенів Калуської районної ради Івано-Франківської області</t>
  </si>
  <si>
    <t>77330</t>
  </si>
  <si>
    <t>2622883601</t>
  </si>
  <si>
    <t>Копанки</t>
  </si>
  <si>
    <t>вул. Степана Бандери, 5</t>
  </si>
  <si>
    <t>(91)158</t>
  </si>
  <si>
    <t>Кропивницька загальноосвітня школа І-ІІ ступенів Калуської районної ради</t>
  </si>
  <si>
    <t>77340</t>
  </si>
  <si>
    <t>2622884001</t>
  </si>
  <si>
    <t>(03472)94645</t>
  </si>
  <si>
    <t>Мостищанська загальноосвітня школа І-ІІ ступенів Калуської районної ради Івано-Франківської області</t>
  </si>
  <si>
    <t>77331</t>
  </si>
  <si>
    <t>2622884301</t>
  </si>
  <si>
    <t>вул. Робітнича, 1</t>
  </si>
  <si>
    <t>(03472)91317</t>
  </si>
  <si>
    <t>http://mostschool.jimdo.com</t>
  </si>
  <si>
    <t>Негівський навчально-виховний комплекс І-ІІ ступенів Верхнянської сільської ради об'єднаної територіальної громади Калуського району Івано-Франківської області</t>
  </si>
  <si>
    <t>77325</t>
  </si>
  <si>
    <t>2622884401</t>
  </si>
  <si>
    <t>Негівці</t>
  </si>
  <si>
    <t>вул. Підгірна, 65</t>
  </si>
  <si>
    <t>(03472)92124</t>
  </si>
  <si>
    <t>Новицький навчально-виховний комплекс Калуської районної ради Івано-Франківської області</t>
  </si>
  <si>
    <t>77360</t>
  </si>
  <si>
    <t>2622884801</t>
  </si>
  <si>
    <t>Новиця</t>
  </si>
  <si>
    <t>вул. Шевченка, 57</t>
  </si>
  <si>
    <t>(03472)97287</t>
  </si>
  <si>
    <t>http://novnvk.wordpress.com</t>
  </si>
  <si>
    <t>20565313</t>
  </si>
  <si>
    <t>Перевозецька загальноосвітня школа І-ІІ ступенів Калуської районної державної адміністрації Івано-франківської області</t>
  </si>
  <si>
    <t>77332</t>
  </si>
  <si>
    <t>2622885101</t>
  </si>
  <si>
    <t>Перевозець</t>
  </si>
  <si>
    <t>(03472)95517</t>
  </si>
  <si>
    <t>Кудлатівська загальноосвітня школа I ступеня Калуської районної ради Івано-Франківської області</t>
  </si>
  <si>
    <t>2622885102</t>
  </si>
  <si>
    <t>Кудлатівка</t>
  </si>
  <si>
    <t>вул. Лесі Українки, 5</t>
  </si>
  <si>
    <t>(03472)95548</t>
  </si>
  <si>
    <t>Пійлівська ЗОШ І-ІІІ ступенів Калуської районної ради Івано-Франківської області</t>
  </si>
  <si>
    <t>77344</t>
  </si>
  <si>
    <t>2622885201</t>
  </si>
  <si>
    <t>Пійло</t>
  </si>
  <si>
    <t>вул. Грушевського, 75</t>
  </si>
  <si>
    <t>(03472)99563</t>
  </si>
  <si>
    <t>Довга-Калуська загальноосвітня школа І ступеня Калуської районної ради Івано-Франківської області</t>
  </si>
  <si>
    <t>77345</t>
  </si>
  <si>
    <t>2622885202</t>
  </si>
  <si>
    <t>Довге-Калуське</t>
  </si>
  <si>
    <t>(067)7996236</t>
  </si>
  <si>
    <t>Підмихайлівський навчально-виховний комплекс І-ІІІ ступенів Калуської районної ради Івано-Франківської області</t>
  </si>
  <si>
    <t>77352</t>
  </si>
  <si>
    <t>2622885601</t>
  </si>
  <si>
    <t>Підмихайля</t>
  </si>
  <si>
    <t>вул. Скородинського, 142</t>
  </si>
  <si>
    <t>(03472)91828</t>
  </si>
  <si>
    <t>Бережницька загальноосвітня школа І-ІІ ступенів Калуської районної ради Івано-Франківської області</t>
  </si>
  <si>
    <t>77353</t>
  </si>
  <si>
    <t>2622885602</t>
  </si>
  <si>
    <t>(03472)91850</t>
  </si>
  <si>
    <t>http://berschool.wordpress.com</t>
  </si>
  <si>
    <t>Ріп'янська загальноосвітня школа I-III ступенів Калуської районної ради</t>
  </si>
  <si>
    <t>77354</t>
  </si>
  <si>
    <t>2622886001</t>
  </si>
  <si>
    <t>Ріп'янка</t>
  </si>
  <si>
    <t>вул. Шевченка, 91</t>
  </si>
  <si>
    <t>(03472)92681</t>
  </si>
  <si>
    <t>Сівка-Войнилівський навчально-виховний комплекс І-ІІІ ступенів Калуської районної ради Івано-Франківської області.</t>
  </si>
  <si>
    <t>77311</t>
  </si>
  <si>
    <t>2622886601</t>
  </si>
  <si>
    <t>Сівка-Войнилівська</t>
  </si>
  <si>
    <t>(03472)95216</t>
  </si>
  <si>
    <t>Староугринівська загальноосвітня школа І-ІІІ ступенів Калуської районної ради Івано-Франківської області</t>
  </si>
  <si>
    <t>77363</t>
  </si>
  <si>
    <t>2622886702</t>
  </si>
  <si>
    <t>Старий Угринів</t>
  </si>
  <si>
    <t>вул. Саєвича, 49</t>
  </si>
  <si>
    <t>(03472)97502</t>
  </si>
  <si>
    <t>Станьківська загальноосвітня школа І-ІІ ступенів Верхнянської сільської ради ОТГІвано-Франківської області</t>
  </si>
  <si>
    <t>77321</t>
  </si>
  <si>
    <t>2622886801</t>
  </si>
  <si>
    <t>Станькова</t>
  </si>
  <si>
    <t>вул. Галицька, 221</t>
  </si>
  <si>
    <t>(03472)97766</t>
  </si>
  <si>
    <t>Сівка-Калуський навчально-виховний комплекс Калуської районної ради Івано-Франківської області</t>
  </si>
  <si>
    <t>77342</t>
  </si>
  <si>
    <t>2622886901</t>
  </si>
  <si>
    <t>Сівка-Калуська</t>
  </si>
  <si>
    <t>(03472)94056</t>
  </si>
  <si>
    <t>20565201</t>
  </si>
  <si>
    <t>Студінська загальносвітня школа І-ІІ ступенів Калуської районної ради Івано-Франківської області</t>
  </si>
  <si>
    <t>77334</t>
  </si>
  <si>
    <t>2622887401</t>
  </si>
  <si>
    <t>Студінка</t>
  </si>
  <si>
    <t>(03472)90285</t>
  </si>
  <si>
    <t>Томашівська загальноосвітня школа І-ІІ ступенів Калуської районної ради Івано-Франківської області</t>
  </si>
  <si>
    <t>77327</t>
  </si>
  <si>
    <t>2622887801</t>
  </si>
  <si>
    <t>Томашівці</t>
  </si>
  <si>
    <t>вул. Анатолія Гургули, 18</t>
  </si>
  <si>
    <t>(03472)95316</t>
  </si>
  <si>
    <t>Перекосівський НВК Калуської районної ради Івано-Франківської області</t>
  </si>
  <si>
    <t>77328</t>
  </si>
  <si>
    <t>2622887802</t>
  </si>
  <si>
    <t>Перекоси</t>
  </si>
  <si>
    <t>вул. Шевченка 1, 1</t>
  </si>
  <si>
    <t>Тужилівський навчально-виховний комплекс Калуської районної ради Івано-Франківської області</t>
  </si>
  <si>
    <t>77346</t>
  </si>
  <si>
    <t>2622888201</t>
  </si>
  <si>
    <t>Тужилів</t>
  </si>
  <si>
    <t>вул. Якубіва, 5</t>
  </si>
  <si>
    <t>(03472)90686</t>
  </si>
  <si>
    <t>20565267</t>
  </si>
  <si>
    <t>Гвіздецька загальносвітня школа І-ІІІ ступенів Коломийської районної ради Івано-Франківської області</t>
  </si>
  <si>
    <t>78260</t>
  </si>
  <si>
    <t>2623255200</t>
  </si>
  <si>
    <t>Гвіздець</t>
  </si>
  <si>
    <t>вул. Франка, 43</t>
  </si>
  <si>
    <t>(03433)61380</t>
  </si>
  <si>
    <t>Гвіздецька спеціальна загальноосвітня школа-інтернат для дітей, які потребують корекції фізичного та (або) розумового розвитку</t>
  </si>
  <si>
    <t>вул. Івана Франка, 34</t>
  </si>
  <si>
    <t>(03433)6-13-98, (03433)6-13-07</t>
  </si>
  <si>
    <t>20564727</t>
  </si>
  <si>
    <t>Отинійська загальноосвітня школа І-ІІІ ступенів Коломийської районної ради</t>
  </si>
  <si>
    <t>78223</t>
  </si>
  <si>
    <t>2623255400</t>
  </si>
  <si>
    <t>Отинія</t>
  </si>
  <si>
    <t>вул. Свободи, 18</t>
  </si>
  <si>
    <t>(03433)62140</t>
  </si>
  <si>
    <t>Грабицька загальноосвітня школа І-ІІ ступенів Коломийської районної ради Івано-Франківської області</t>
  </si>
  <si>
    <t>78225</t>
  </si>
  <si>
    <t>2623255403</t>
  </si>
  <si>
    <t>Грабич</t>
  </si>
  <si>
    <t>6-23-41</t>
  </si>
  <si>
    <t>Печеніжинська загальноосвітня школа І-ІІІ ступенів Печеніжинської селищної ради об'єднаної територіальної громади Коломийського району Івано-Франківської області</t>
  </si>
  <si>
    <t>78274</t>
  </si>
  <si>
    <t>2623255700</t>
  </si>
  <si>
    <t>Печеніжин</t>
  </si>
  <si>
    <t>(03433)64437</t>
  </si>
  <si>
    <t>http://pechenizynzos.at.ua</t>
  </si>
  <si>
    <t>Печеніжинська спеціальна загальноосвітня школа-інтернат</t>
  </si>
  <si>
    <t>вул. Незалежності, 11, 12</t>
  </si>
  <si>
    <t>(03433)64-4-93, (03433)64-0-44, (03433)64-4-87</t>
  </si>
  <si>
    <t>20563403</t>
  </si>
  <si>
    <t>Великокам'янський навчально-виховний комплекс "Загальноосвітня школа І-ІІІ ступенів - дошкільний навчальний заклад" П'ядицької сільської ради ОТГ Коломийського району Івано-Франківської області</t>
  </si>
  <si>
    <t>78244</t>
  </si>
  <si>
    <t>2623280201</t>
  </si>
  <si>
    <t>Велика Кам'янка</t>
  </si>
  <si>
    <t>вул. Січових Стрільців, 37 а</t>
  </si>
  <si>
    <t>(03433)98085</t>
  </si>
  <si>
    <t>Великоключівська загальноосвітня школа І-ІІІ ступенів Нижньовербізької сільської ради об'єднаної територіальної громади Коломийського району Івано-Франківської області</t>
  </si>
  <si>
    <t>78276</t>
  </si>
  <si>
    <t>2623280401</t>
  </si>
  <si>
    <t>Великий Ключів</t>
  </si>
  <si>
    <t>вул. Відродження, №3</t>
  </si>
  <si>
    <t>(03433)96238</t>
  </si>
  <si>
    <t>Виноградський навчально-виховний комплекс "Загальноосвітня школа І-ІІІ ступенів- дошкільний навчальний заклад "Коломийської районної ради</t>
  </si>
  <si>
    <t>78220</t>
  </si>
  <si>
    <t>2623280801</t>
  </si>
  <si>
    <t>вул. Українська, 17</t>
  </si>
  <si>
    <t>(03433)67217</t>
  </si>
  <si>
    <t>Воронська загальноосвітня школа І-ІІІ ступенів Коломийської районної ради</t>
  </si>
  <si>
    <t>78222</t>
  </si>
  <si>
    <t>2623280901</t>
  </si>
  <si>
    <t>вул. Марійки Підгірянки, 1</t>
  </si>
  <si>
    <t>(03433)67403</t>
  </si>
  <si>
    <t>Воскресінцівська ЗОШ І-ІІІст.</t>
  </si>
  <si>
    <t>78213</t>
  </si>
  <si>
    <t>2623281001</t>
  </si>
  <si>
    <t>Воскресинці</t>
  </si>
  <si>
    <t>(03433)27657</t>
  </si>
  <si>
    <t>Годи-Добровідська ЗОШ І-ІІ ступенів П'ядицької сільської ради об'єднаної територіальної громади Івано-Франківської області</t>
  </si>
  <si>
    <t>78246</t>
  </si>
  <si>
    <t>2623281201</t>
  </si>
  <si>
    <t>Годи-Добровідка</t>
  </si>
  <si>
    <t>вул. Ольги Кобилянської, 1А</t>
  </si>
  <si>
    <t>(03433)94338</t>
  </si>
  <si>
    <t>Голосківська загальноосвітня школа І-ІІ ступенів Коломийської районної ради</t>
  </si>
  <si>
    <t>78231</t>
  </si>
  <si>
    <t>2623281401</t>
  </si>
  <si>
    <t>Голосків</t>
  </si>
  <si>
    <t>вул. Довбуша, 2</t>
  </si>
  <si>
    <t>(03433)6-21-48</t>
  </si>
  <si>
    <t>Дебеславцівська загальноосвітня школа І-ІІ ступенів</t>
  </si>
  <si>
    <t>78290</t>
  </si>
  <si>
    <t>2623281801</t>
  </si>
  <si>
    <t>Дебеславці</t>
  </si>
  <si>
    <t>(03433)92-102</t>
  </si>
  <si>
    <t>Ганнівська загальноосвітня школа І ступеня Матеївецької сільської ради обєднаної територіальної громади Коломийського району Івано-Франківської області</t>
  </si>
  <si>
    <t>78283</t>
  </si>
  <si>
    <t>2623281802</t>
  </si>
  <si>
    <t>Ганнів</t>
  </si>
  <si>
    <t>Залучанський НВК"ЗОШ Іст.-ДНЗ"</t>
  </si>
  <si>
    <t>78284</t>
  </si>
  <si>
    <t>2623281803</t>
  </si>
  <si>
    <t>Залуччя</t>
  </si>
  <si>
    <t>(03433)92-1-43</t>
  </si>
  <si>
    <t>Джурківський навчально-виховний комплекс"Загальноосвітня школа І-ІІ ступенів-дошкільний навчальний заклад"</t>
  </si>
  <si>
    <t>78252</t>
  </si>
  <si>
    <t>2623282001</t>
  </si>
  <si>
    <t>Джурків</t>
  </si>
  <si>
    <t>вул. Українська, 75</t>
  </si>
  <si>
    <t>(03433)95248</t>
  </si>
  <si>
    <t>http://schooldz.ucoz.ua</t>
  </si>
  <si>
    <t>Жукотинська загальноосвітня школа І-ІІ ступенів Коломийської районної ради Івано-Франківської області</t>
  </si>
  <si>
    <t>78237</t>
  </si>
  <si>
    <t>2623282201</t>
  </si>
  <si>
    <t>Жукотин</t>
  </si>
  <si>
    <t>вул. Лесі Українки, 8</t>
  </si>
  <si>
    <t>(03433)66488</t>
  </si>
  <si>
    <t>http://zukotinschool.at.ua</t>
  </si>
  <si>
    <t>Богородичинська загальноосвітня школа І ступеня Коломийської районної ради Івано - Франківської області</t>
  </si>
  <si>
    <t>78238</t>
  </si>
  <si>
    <t>2623282202</t>
  </si>
  <si>
    <t>Богородичин</t>
  </si>
  <si>
    <t>вул. Т.Г. Шевченка, 23</t>
  </si>
  <si>
    <t>(380)975822616</t>
  </si>
  <si>
    <t>Загайпільська загальноосвітня школа І-ІІ ступенів Коломийського районної ради Івано-Франківської області</t>
  </si>
  <si>
    <t>78264</t>
  </si>
  <si>
    <t>2623282401</t>
  </si>
  <si>
    <t>Загайпіль</t>
  </si>
  <si>
    <t>вул. Українська, 13А</t>
  </si>
  <si>
    <t>(03433)65347</t>
  </si>
  <si>
    <t>Назірнянська загальноосвітня школа І ступеня Коломийської районної ради Івано-Франківської області</t>
  </si>
  <si>
    <t>2623282403</t>
  </si>
  <si>
    <t>Назірна</t>
  </si>
  <si>
    <t>вул. Шевченка, 1 А</t>
  </si>
  <si>
    <t>(03433)6-52-83</t>
  </si>
  <si>
    <t>Іванівецький навчально-виховний комлекс " Загальноосвітня школа І-ІІІ ступенів - дошкільний навчальний заклад" Коломийської районної ради Івано-Франківської області</t>
  </si>
  <si>
    <t>78251</t>
  </si>
  <si>
    <t>2623282501</t>
  </si>
  <si>
    <t>(03433)91224</t>
  </si>
  <si>
    <t>Ковалівська загальноосвітня школа І-ІІІ ступенів</t>
  </si>
  <si>
    <t>78293</t>
  </si>
  <si>
    <t>2623282601</t>
  </si>
  <si>
    <t>(03433)93245</t>
  </si>
  <si>
    <t>Корницька середня загальноосвітня школа І-ІІІ ступенів</t>
  </si>
  <si>
    <t>2623282801</t>
  </si>
  <si>
    <t>Корнич</t>
  </si>
  <si>
    <t>(03334)92445</t>
  </si>
  <si>
    <t>Коршівська загальноосвітня школа І-ІІІ ступенів Коломийської районної ради Івано-Франківської області</t>
  </si>
  <si>
    <t>78240</t>
  </si>
  <si>
    <t>2623283001</t>
  </si>
  <si>
    <t>вул. Незалежності, 2/А</t>
  </si>
  <si>
    <t>(03433)66491</t>
  </si>
  <si>
    <t>http://korshivzosh.ucoz.ua</t>
  </si>
  <si>
    <t>Лісківський навчально-виховний комплекс "Загальноосвітня школа І - ІІ ст - дошкільний навчальний заклад"</t>
  </si>
  <si>
    <t>2623283003</t>
  </si>
  <si>
    <t>Ліски</t>
  </si>
  <si>
    <t>вул. Сагайдачного, 1Б</t>
  </si>
  <si>
    <t>(034)3366545</t>
  </si>
  <si>
    <t>Ліснослобідська загальноосвітня школа І-ІІ ступенів</t>
  </si>
  <si>
    <t>78257</t>
  </si>
  <si>
    <t>2623283401</t>
  </si>
  <si>
    <t>Лісна Слобідка</t>
  </si>
  <si>
    <t>(03433)99248</t>
  </si>
  <si>
    <t>Ліснохлібичинська загальноосвітня школа І-ІІІ ступенів Коломийської районної ради Івано-Франківської області</t>
  </si>
  <si>
    <t>78234</t>
  </si>
  <si>
    <t>2623283601</t>
  </si>
  <si>
    <t>Лісний Хлібичин</t>
  </si>
  <si>
    <t>вул. Грушевського, 61</t>
  </si>
  <si>
    <t>(03433)62391</t>
  </si>
  <si>
    <t>Малокам'янський навчально-виховний комплекс "загальноосвітня школа І-ІІ ступенів - дошкільний навчальний заклад" П 'ядицької сільської ради ОТГ</t>
  </si>
  <si>
    <t>78247</t>
  </si>
  <si>
    <t>2623283701</t>
  </si>
  <si>
    <t>Мала Кам'янка</t>
  </si>
  <si>
    <t>(03433)94225</t>
  </si>
  <si>
    <t>Малоключівська загальноосвітня школа І-ІІ ступенів Печеніжинської селищної ради об'єднаної територіальної громади Коломийського району Івано-Франківської області</t>
  </si>
  <si>
    <t>78277</t>
  </si>
  <si>
    <t>2623283801</t>
  </si>
  <si>
    <t>Малий Ключів</t>
  </si>
  <si>
    <t>(03433)95-3-15</t>
  </si>
  <si>
    <t>Марківська загальноосвітня школа І-ІІ ступенів Печеніжинської селищної ради об'єднаної територіальної громади Коломийського району, Івано-Франківської області</t>
  </si>
  <si>
    <t>78273</t>
  </si>
  <si>
    <t>2623284001</t>
  </si>
  <si>
    <t>вул. Січових Стрільців, 124</t>
  </si>
  <si>
    <t>(03433)95010</t>
  </si>
  <si>
    <t>Матеївецький НВК "ЗОШ І-ІІ ст. - ДНЗ"</t>
  </si>
  <si>
    <t>78267</t>
  </si>
  <si>
    <t>2623284201</t>
  </si>
  <si>
    <t>Матеївці</t>
  </si>
  <si>
    <t>(03433)92223</t>
  </si>
  <si>
    <t>Молодятинський навчально-виховний комплекс "Загальноосвітня школа І-ІІ ступенів-дошкільний навчальний заклад" Печеніжинської селищної ради об'єднаної територіальної громади Коломийського району Івано-Франківської області</t>
  </si>
  <si>
    <t>78271</t>
  </si>
  <si>
    <t>2623284401</t>
  </si>
  <si>
    <t>Молодятин</t>
  </si>
  <si>
    <t>вул. Січових Стрільців, 86</t>
  </si>
  <si>
    <t>(0-34-33)69-0-20</t>
  </si>
  <si>
    <t>Мишинська загальноосвітня школа І-ІІ ступенів Нижньовербізької сільської ради об'єднаної територіальної громади</t>
  </si>
  <si>
    <t>78280</t>
  </si>
  <si>
    <t>2623284601</t>
  </si>
  <si>
    <t>Мишин</t>
  </si>
  <si>
    <t>вул. Січових Стрільців, 96</t>
  </si>
  <si>
    <t>(03433)60131</t>
  </si>
  <si>
    <t>Нижньовербізька загальноосвітня школа І-ІІІ ступенів Нижньовербізької сільської ради обєєднаної територіальної громади Коломийського району Івано-Франківської області</t>
  </si>
  <si>
    <t>78218</t>
  </si>
  <si>
    <t>2623284801</t>
  </si>
  <si>
    <t>Нижній Вербіж</t>
  </si>
  <si>
    <t>вул. Українська, 113А</t>
  </si>
  <si>
    <t>(03433)90149, (03433)90431</t>
  </si>
  <si>
    <t>Княждвірський навчально-виховний комплекс "Загальноосвітня школа І-ІІІ ступенів - дошкільний навчальний заклад" Печеніжинської ОТГ Коломийського району Івано-Франківської області</t>
  </si>
  <si>
    <t>78294</t>
  </si>
  <si>
    <t>2623285001</t>
  </si>
  <si>
    <t>Княждвір</t>
  </si>
  <si>
    <t>(03433)63015</t>
  </si>
  <si>
    <t>Кийданецька загальноосвітня школа І-ІІ ступенів Печеніжинської селищної ради об'єднаної територіальної громади Коломийського району Івано-Франківської області</t>
  </si>
  <si>
    <t>78270</t>
  </si>
  <si>
    <t>2623285003</t>
  </si>
  <si>
    <t>Кийданці</t>
  </si>
  <si>
    <t>(03433)63020</t>
  </si>
  <si>
    <t>Рунгурський навчально-виховний комплекс "Загальноосвітня школа І-ІІІ ступенів-дошкільний навчальний заклад" Печеніжинської селищної ради об'єднаної територіальної громади Коломийського району Івано - Франківської області Івано-Франківськоїобласті</t>
  </si>
  <si>
    <t>78272</t>
  </si>
  <si>
    <t>2623285201</t>
  </si>
  <si>
    <t>Рунгури</t>
  </si>
  <si>
    <t>вул. Шевченка, 65</t>
  </si>
  <si>
    <t>(03433)96642</t>
  </si>
  <si>
    <t>Пилипівський навчально- виховний комплекс "загальноосвітня школа І-ІІ ст - дошкільний навчальний заклад" Коломийської районної ради</t>
  </si>
  <si>
    <t>78281</t>
  </si>
  <si>
    <t>2623285401</t>
  </si>
  <si>
    <t>Пилипи</t>
  </si>
  <si>
    <t>вул. Українська, 52</t>
  </si>
  <si>
    <t>(03433)92-1-59</t>
  </si>
  <si>
    <t>Тростянецька загальноосвітня школа І ступеня Матеївецької сільської ради обєднаної тереторіальної громади Коломийського району Івано-Франківської області</t>
  </si>
  <si>
    <t>78286</t>
  </si>
  <si>
    <t>2623285404</t>
  </si>
  <si>
    <t>вул. І.Франка, 35</t>
  </si>
  <si>
    <t>(03433)92149</t>
  </si>
  <si>
    <t>Підгайчиківська загальноосвітня школа І - ІІІ ступенів Коломийської районної ради Івано - Франківської області</t>
  </si>
  <si>
    <t>78256</t>
  </si>
  <si>
    <t>2623285601</t>
  </si>
  <si>
    <t>Підгайчики</t>
  </si>
  <si>
    <t>(03433)65369</t>
  </si>
  <si>
    <t>П'ядицька загальноосвітня школа І-ІІІ ступенів імені Степана Мельничука П'ядицької сільської ради ОТГ Коломийського району Івано-Франківської області</t>
  </si>
  <si>
    <t>78254</t>
  </si>
  <si>
    <t>2623285801</t>
  </si>
  <si>
    <t>П'ядики</t>
  </si>
  <si>
    <t>вул. Кринички, 1</t>
  </si>
  <si>
    <t>(03433)97349, (03433)97248, (03433)97287</t>
  </si>
  <si>
    <t>Раківчицька загальноосвітня школа І-ІІІ ступенів Коломийської районної ради Івано-Франківської області</t>
  </si>
  <si>
    <t>78248</t>
  </si>
  <si>
    <t>2623286001</t>
  </si>
  <si>
    <t>Раківчик</t>
  </si>
  <si>
    <t>вул. Височана, 2</t>
  </si>
  <si>
    <t>(03433)99247</t>
  </si>
  <si>
    <t>Сідлищенська загальноосвітня школа І-ІІ ступенів Коломийської районної ради Івано-Франківської області</t>
  </si>
  <si>
    <t>78233</t>
  </si>
  <si>
    <t>2623286201</t>
  </si>
  <si>
    <t>Сідлище</t>
  </si>
  <si>
    <t>вул. Молодіжна, 45</t>
  </si>
  <si>
    <t>(03433)6-20-61</t>
  </si>
  <si>
    <t>Молодилівська загальноосвітня школа I ступеня Коломийської районної ради Івано-Франківської області</t>
  </si>
  <si>
    <t>78232</t>
  </si>
  <si>
    <t>2623286205</t>
  </si>
  <si>
    <t>Молодилів</t>
  </si>
  <si>
    <t>0988085037</t>
  </si>
  <si>
    <t>Замулинецький навчально-виховний комплекс "Загальноосвітня школа І-ІІІ ступенів - дошкільний навчальний заклад"</t>
  </si>
  <si>
    <t>78292</t>
  </si>
  <si>
    <t>2623286402</t>
  </si>
  <si>
    <t>Замулинці</t>
  </si>
  <si>
    <t>(03433)68105</t>
  </si>
  <si>
    <t>Слобідський навчально-виховний комплекс "Загальноосвітня школа І-ІІ ступенів - дошкільний навчальний заклад" Печеніжинської селищної ради об’єднаної територіальної громади Коломийського району Івано-Франківської області</t>
  </si>
  <si>
    <t>78278</t>
  </si>
  <si>
    <t>2623286601</t>
  </si>
  <si>
    <t>вул. Івана Франка, 43 А</t>
  </si>
  <si>
    <t>(03433)63515, (03433)63708</t>
  </si>
  <si>
    <t>Старогвіздецький навчально-виховний комплекс "загальноосвітня школа І-ІІ ступенів - дошкільний навчальний заклад" Коломийської районної ради Івано-Франківської області</t>
  </si>
  <si>
    <t>78261</t>
  </si>
  <si>
    <t>2623286701</t>
  </si>
  <si>
    <t>Старий Гвіздець</t>
  </si>
  <si>
    <t>вул. Січових Стрільців, 13 А</t>
  </si>
  <si>
    <t>(03433)68546</t>
  </si>
  <si>
    <t>Струпківська загальноосвітня школа І - ІІІ ступенів Коломийської районної ради Івано-Франківської області</t>
  </si>
  <si>
    <t>78227</t>
  </si>
  <si>
    <t>2623286801</t>
  </si>
  <si>
    <t>Струпків</t>
  </si>
  <si>
    <t>(03433)6-24-05</t>
  </si>
  <si>
    <t>Сопівська загальноосвітня школа І-ІІІ ступенів Печеніжинської селищної ради об'єднаної територіальної громади Коломийського району Івано-Франківської області</t>
  </si>
  <si>
    <t>78217</t>
  </si>
  <si>
    <t>2623286901</t>
  </si>
  <si>
    <t>Сопів</t>
  </si>
  <si>
    <t>(03433)91452</t>
  </si>
  <si>
    <t>Спаська загальноосвітня школа І-ІІ ступенів</t>
  </si>
  <si>
    <t>78219</t>
  </si>
  <si>
    <t>2623287001</t>
  </si>
  <si>
    <t>Спас</t>
  </si>
  <si>
    <t>вул. Шашкевича, 308 Б</t>
  </si>
  <si>
    <t>(03433)9-36-14</t>
  </si>
  <si>
    <t>Спаський навчально-виховний комплекс імені Івана Франка "Загальноосвітня школа І-ІІІ ступенів - дошкільний навчальний заклад"</t>
  </si>
  <si>
    <t>вул. Шашкевича, 98</t>
  </si>
  <si>
    <t>(233)93648</t>
  </si>
  <si>
    <t>Товмачицька вечірня (змінна) ЗОШ ІІ-ІІІ ступенів коломийської районної ради Іваног-Франківської оласті</t>
  </si>
  <si>
    <t>78250</t>
  </si>
  <si>
    <t>2623287201</t>
  </si>
  <si>
    <t>Товмачик</t>
  </si>
  <si>
    <t>вул. Івана Франка, 1А</t>
  </si>
  <si>
    <t>(03433)91230</t>
  </si>
  <si>
    <t>Товмачицька загальноосвітня школа І-ІІІ ступенів Коломийської районної ради</t>
  </si>
  <si>
    <t>(03433)91-230</t>
  </si>
  <si>
    <t>Торговицька загальноосвітня школа І-ІІІ ступенів Коломийської районної ради Івано-Франківської області</t>
  </si>
  <si>
    <t>78226</t>
  </si>
  <si>
    <t>2623287401</t>
  </si>
  <si>
    <t>пл. Площа Героїв, 3</t>
  </si>
  <si>
    <t>(034)3367349</t>
  </si>
  <si>
    <t>Закрівецька загальноосвітня школа першого ступеня Коломийської районної ради</t>
  </si>
  <si>
    <t>2623287402</t>
  </si>
  <si>
    <t>Закрівці</t>
  </si>
  <si>
    <t>(20566360)96314</t>
  </si>
  <si>
    <t>Турківська загальноосвітня школа І-ІІІ ступенів П'ядицької сільської ради ОТГ Коломийського району Івано-Франківської області</t>
  </si>
  <si>
    <t>78253</t>
  </si>
  <si>
    <t>2623287601</t>
  </si>
  <si>
    <t>Турка</t>
  </si>
  <si>
    <t>вул. Галицька, 2</t>
  </si>
  <si>
    <t>(03433)91-6-31</t>
  </si>
  <si>
    <t>http://turka-zosh.if.sch.in.ua</t>
  </si>
  <si>
    <t>Угорницька загальноосвітня школа І-ІІ ступенів Коломийської районної ради</t>
  </si>
  <si>
    <t>78230</t>
  </si>
  <si>
    <t>2623287801</t>
  </si>
  <si>
    <t>вул. Тараса Шевченка, 30</t>
  </si>
  <si>
    <t>(03433)62348</t>
  </si>
  <si>
    <t>Ценявська загальноосвітня школа І-ІІ ступенів</t>
  </si>
  <si>
    <t>78255</t>
  </si>
  <si>
    <t>2623288201</t>
  </si>
  <si>
    <t>Ценява</t>
  </si>
  <si>
    <t>65-7-46</t>
  </si>
  <si>
    <t>Черемхівська загальноосвітня школа І-ІІ ступенів Коломийської районної ради</t>
  </si>
  <si>
    <t>78236</t>
  </si>
  <si>
    <t>2623288601</t>
  </si>
  <si>
    <t>Черемхів</t>
  </si>
  <si>
    <t>вул. Українська, 39</t>
  </si>
  <si>
    <t>(03433)66-6-44</t>
  </si>
  <si>
    <t>https://sites.google.com/site/cheremhivschool/</t>
  </si>
  <si>
    <t>Шепарівцівська загальноосвітня школа І-ІІ ступенів</t>
  </si>
  <si>
    <t>78249</t>
  </si>
  <si>
    <t>2623288701</t>
  </si>
  <si>
    <t>Шепарівці</t>
  </si>
  <si>
    <t>вул. Шевченка, 70</t>
  </si>
  <si>
    <t>(03433)99501</t>
  </si>
  <si>
    <t>Косівська вечірня (змінна) загальноосвітня школа ІІІ ступеня Косівської районної ради Івано-Франківської області</t>
  </si>
  <si>
    <t>78600</t>
  </si>
  <si>
    <t>2623610100</t>
  </si>
  <si>
    <t>Косів</t>
  </si>
  <si>
    <t>(20564294)(03478)21333</t>
  </si>
  <si>
    <t>Косівська загальноосвітня школа І-ІІІ ст. № 2</t>
  </si>
  <si>
    <t>(03478)21063</t>
  </si>
  <si>
    <t>http://kosiv-school2.edukit.if.ua</t>
  </si>
  <si>
    <t>Косівська загальноосвітня школа І-ІІІ ступенів № 1 з класами поглибленого вивчення англійської мови Косівської районної ради Івано-Франківської області</t>
  </si>
  <si>
    <t>вул. Ярослава Мудрого, 3</t>
  </si>
  <si>
    <t>(03478)23510, (03478)21456</t>
  </si>
  <si>
    <t>Косівський навчально-виховний комплекс "Загальноосвітня школа першого ступеня-гімназія-інтернат"</t>
  </si>
  <si>
    <t>(03478)2-48-84</t>
  </si>
  <si>
    <t>http://Kosiv-gymnasium.edukit.if.ua.</t>
  </si>
  <si>
    <t>20552782</t>
  </si>
  <si>
    <t>Косівський НВК "Загальноосвтній навчальний заклад І ступеня - дошкільний навчальний заклад"</t>
  </si>
  <si>
    <t>вул. Зарічна, 5</t>
  </si>
  <si>
    <t>(03478)23801</t>
  </si>
  <si>
    <t>http://kosiv-nvk.ucoz.ru</t>
  </si>
  <si>
    <t>20564271</t>
  </si>
  <si>
    <t>Кутська загальноосвітня школа І-ІІІ ступенів Косівської районної ради Івано-Франківської області</t>
  </si>
  <si>
    <t>78665</t>
  </si>
  <si>
    <t>2623655400</t>
  </si>
  <si>
    <t>Кути</t>
  </si>
  <si>
    <t>(03478)4-51-85</t>
  </si>
  <si>
    <t>Яблунівська загальноосвітня школа I-III ступенів Косівської районної ради Івано-Франківської області</t>
  </si>
  <si>
    <t>78621</t>
  </si>
  <si>
    <t>2623655800</t>
  </si>
  <si>
    <t>вул. Франка, 54</t>
  </si>
  <si>
    <t>(03478)36294</t>
  </si>
  <si>
    <t>http://www.yablunivschool.org.ua</t>
  </si>
  <si>
    <t>Яблунівська спеціальна загальноосвітня школа-інтернат</t>
  </si>
  <si>
    <t>вул. Франка, 68</t>
  </si>
  <si>
    <t>(03478)36181</t>
  </si>
  <si>
    <t>20553014</t>
  </si>
  <si>
    <t>Яблунівський міжшкільний навчально-виробничий комбінат Косівської районної ради Івано-Франківської області</t>
  </si>
  <si>
    <t>вул. Франка, 18</t>
  </si>
  <si>
    <t>26054909</t>
  </si>
  <si>
    <t>Акрешірська загальноосвітна школа І-ІІ ступенів</t>
  </si>
  <si>
    <t>78618</t>
  </si>
  <si>
    <t>2623680401</t>
  </si>
  <si>
    <t>Акрешори</t>
  </si>
  <si>
    <t>(03478)3-82-90</t>
  </si>
  <si>
    <t>Бабинська загальноосвітня школа І-ІІ ступенів Косівської районнної ради Івано-Франківської області</t>
  </si>
  <si>
    <t>78651</t>
  </si>
  <si>
    <t>2623680801</t>
  </si>
  <si>
    <t>(03478)68241</t>
  </si>
  <si>
    <t>Баня - Березівська загальноосвітня школа І - ІІ ступенів Косівської районної ради Івано - Франківської області</t>
  </si>
  <si>
    <t>78610</t>
  </si>
  <si>
    <t>2623681201</t>
  </si>
  <si>
    <t>Баня-Березів</t>
  </si>
  <si>
    <t>(03478)5-90-02</t>
  </si>
  <si>
    <t>Брустурівська загальноосвітня школа І-ІІІ ступенів Косівської районної ради Івано-Франківської області</t>
  </si>
  <si>
    <t>78641</t>
  </si>
  <si>
    <t>2623681601</t>
  </si>
  <si>
    <t>Брустурів</t>
  </si>
  <si>
    <t>вул. Село</t>
  </si>
  <si>
    <t>5-95-42</t>
  </si>
  <si>
    <t>http://brustury-school.edukit.if.ua</t>
  </si>
  <si>
    <t>Великорожинська загальноосвітня школа І-ІІ ступенів Косівської районної ради Івано-Франківської області</t>
  </si>
  <si>
    <t>78654</t>
  </si>
  <si>
    <t>2623682001</t>
  </si>
  <si>
    <t>Великий Рожин</t>
  </si>
  <si>
    <t>(097)2625138</t>
  </si>
  <si>
    <t>Великорожинський навчально-виховний комплекс "Загальноосвітня школа І-ІІІ ступенів - Дошкільний навчальний заклад" Косівської районної ради Івано-Франківської області</t>
  </si>
  <si>
    <t>вул. Назарія Яремчука, 100</t>
  </si>
  <si>
    <t>(03478)46619</t>
  </si>
  <si>
    <t>Вербовецька загальоосвітня школа І-ІІ степенів Косівської районної ради Івано-Франківської області</t>
  </si>
  <si>
    <t>68705</t>
  </si>
  <si>
    <t>2623682401</t>
  </si>
  <si>
    <t>вул. Миру, 71</t>
  </si>
  <si>
    <t>(03478)5-28-48</t>
  </si>
  <si>
    <t>http://verbovets-school.edukit.if.ua</t>
  </si>
  <si>
    <t>Старокосівська загальноосвітня школа І-ІІІ ступенів Косівської районної ради Івано-Франківської області</t>
  </si>
  <si>
    <t>78605</t>
  </si>
  <si>
    <t>вул. Миру, 61</t>
  </si>
  <si>
    <t>(03478)52801</t>
  </si>
  <si>
    <t>http://starokosivska-zosh.if.sch.in.ua/</t>
  </si>
  <si>
    <t>Вижньоберезівський НВК "Загальноосвітня школа І-ІІ ступенів-ДНЗ"</t>
  </si>
  <si>
    <t>78613</t>
  </si>
  <si>
    <t>2623682801</t>
  </si>
  <si>
    <t>Вижній Березів</t>
  </si>
  <si>
    <t>вул. Голинського, 60А</t>
  </si>
  <si>
    <t>(03478)3-77-25</t>
  </si>
  <si>
    <t>Городянська загальноосвітня школа І-ІІ ступенів Косівської районної ради Івано-Франківської області</t>
  </si>
  <si>
    <t>78652</t>
  </si>
  <si>
    <t>2623683001</t>
  </si>
  <si>
    <t>Город</t>
  </si>
  <si>
    <t>вул. Незалежності, 56 а</t>
  </si>
  <si>
    <t>(03478)6-75-19</t>
  </si>
  <si>
    <t>http://gorod-school.edukit.if.ua</t>
  </si>
  <si>
    <t>Кобаківська загальноосвітня школа І-ІІІ ступенів імені Марка Черемшини Косівської районної ради Івано-Франківської області</t>
  </si>
  <si>
    <t>78660</t>
  </si>
  <si>
    <t>2623683601</t>
  </si>
  <si>
    <t>Кобаки</t>
  </si>
  <si>
    <t>вул. Шкільна, 5 - А</t>
  </si>
  <si>
    <t>(03478)25232</t>
  </si>
  <si>
    <t>Космацька загальноосвітня школа І-ІІІ ступенів Косівської районної ради Івано-Франківської області</t>
  </si>
  <si>
    <t>78640</t>
  </si>
  <si>
    <t>2623684001</t>
  </si>
  <si>
    <t>(03478)5-77-52</t>
  </si>
  <si>
    <t>Космач - Рушірська загальноосвітня школа І - ІІ ступенів Івано-Франківська область, Косівський район, с. Космач</t>
  </si>
  <si>
    <t>вул. Рушірська</t>
  </si>
  <si>
    <t>(03478)57728</t>
  </si>
  <si>
    <t>Космач - Ставницька загальноосвітня школа І-ІІступенів</t>
  </si>
  <si>
    <t>вул. Ставницька, 94 А</t>
  </si>
  <si>
    <t>(278)5-77-14</t>
  </si>
  <si>
    <t>Космач- Ведмежівська ЗОШ- I ступеня</t>
  </si>
  <si>
    <t>вул. Ведмежа, 70</t>
  </si>
  <si>
    <t>0971554631</t>
  </si>
  <si>
    <t>Космач-Банівська загальноосвітня школа І-ІІ ступенів</t>
  </si>
  <si>
    <t>вул. Банівська, 4</t>
  </si>
  <si>
    <t>5-77-05</t>
  </si>
  <si>
    <t>Космач-Завоєлівська загальноосвітня школа І-ІІ ступенів Косівської районної ради Івано-Франківської області</t>
  </si>
  <si>
    <t>вул. Завоєлівська</t>
  </si>
  <si>
    <t>(57)7-78</t>
  </si>
  <si>
    <t>Космач-Плаюцька загальноосвітня школа І ступеня Косівської районної ради Івано - Франківської області</t>
  </si>
  <si>
    <t>вул. Плаюцька, 21 а</t>
  </si>
  <si>
    <t>(097)8682837</t>
  </si>
  <si>
    <t>Лючанський навчально-виховний комплекс "Загальноосвітня школа І-ІІ ступенів - дошкільний навчальний заклад" Косівської районної ради Івано-Франківської області</t>
  </si>
  <si>
    <t>78616</t>
  </si>
  <si>
    <t>2623684101</t>
  </si>
  <si>
    <t>Люча</t>
  </si>
  <si>
    <t>вул. Шевченка, 19</t>
  </si>
  <si>
    <t>(03478)38522</t>
  </si>
  <si>
    <t>Нижньоберезівська загальноосвітня школа І - ІІ ступенів</t>
  </si>
  <si>
    <t>78615</t>
  </si>
  <si>
    <t>2623684201</t>
  </si>
  <si>
    <t>Нижній Березів</t>
  </si>
  <si>
    <t>вул. Шевченка, 1А</t>
  </si>
  <si>
    <t>(03478)37511</t>
  </si>
  <si>
    <t>Микитинецька загальноосвітня школа І-ІІ ступенів Косівської районної ради Івано-Франківської області</t>
  </si>
  <si>
    <t>78634</t>
  </si>
  <si>
    <t>2623684301</t>
  </si>
  <si>
    <t>(03478)29126</t>
  </si>
  <si>
    <t>Пістинська загальноосвітня школа І-ІІІ ступенів Косівської районної ради Івано-Франківської області</t>
  </si>
  <si>
    <t>78633</t>
  </si>
  <si>
    <t>2623684401</t>
  </si>
  <si>
    <t>Пістинь</t>
  </si>
  <si>
    <t>вул. 30 років Перемоги, 33 А</t>
  </si>
  <si>
    <t>(03478)28344</t>
  </si>
  <si>
    <t>Пістинь-Царинська загальноосвітня школа І ступеня</t>
  </si>
  <si>
    <t>вул. Букатчука, 15А</t>
  </si>
  <si>
    <t>0684277544</t>
  </si>
  <si>
    <t>Малорожинський навчально-виховний комплекс " Загальноосвітня школа І-ІІ ступенів - дошкільний навчальний заклад" Косівської районної ради Івано-Франківської області</t>
  </si>
  <si>
    <t>78655</t>
  </si>
  <si>
    <t>2623684501</t>
  </si>
  <si>
    <t>Малий Рожин</t>
  </si>
  <si>
    <t>(20552641)4-63-89</t>
  </si>
  <si>
    <t>Прокуравська загальноосвітня школа І-ІІ ступенів Космацької сільської ради об'єднаної територіальної громади Косівського району Івано-Франківської області</t>
  </si>
  <si>
    <t>78625</t>
  </si>
  <si>
    <t>2623684601</t>
  </si>
  <si>
    <t>Прокурава</t>
  </si>
  <si>
    <t>(03478)52173</t>
  </si>
  <si>
    <t>Лючківська загальноосвітня школа І-ІІ ступенів Косівської районної ради</t>
  </si>
  <si>
    <t>78612</t>
  </si>
  <si>
    <t>2623684701</t>
  </si>
  <si>
    <t>Лючки</t>
  </si>
  <si>
    <t>(03478)59050</t>
  </si>
  <si>
    <t>Річківський навчально-виховний комплекс “Загальноосвітня школа І-ІІІ ступенів - дошкільний навчальний заклад”</t>
  </si>
  <si>
    <t>78643</t>
  </si>
  <si>
    <t>2623684801</t>
  </si>
  <si>
    <t>(03478)69231</t>
  </si>
  <si>
    <t>http://richkanvk.ucoz.ua/</t>
  </si>
  <si>
    <t>Рибненська загальноосвітня школа І-ІІ ступенів</t>
  </si>
  <si>
    <t>78661</t>
  </si>
  <si>
    <t>2623684901</t>
  </si>
  <si>
    <t>Рибне</t>
  </si>
  <si>
    <t>(03478)2-96-16</t>
  </si>
  <si>
    <t>Рожнівський навчально-виховний комплекс "Гуцульщина" ім.Ф.Погребенника НаУКМА</t>
  </si>
  <si>
    <t>78635</t>
  </si>
  <si>
    <t>2623685201</t>
  </si>
  <si>
    <t>Рожнів</t>
  </si>
  <si>
    <t>вул. Бойчука, 9</t>
  </si>
  <si>
    <t>(03478)26112</t>
  </si>
  <si>
    <t>http://nvk.kosiv.info</t>
  </si>
  <si>
    <t>Розтоківська загальноосвітня школа І-ІІІ ступенів Косівської районної ради Івано - Франківської області</t>
  </si>
  <si>
    <t>78656</t>
  </si>
  <si>
    <t>2623685601</t>
  </si>
  <si>
    <t>вул. Луги, 776</t>
  </si>
  <si>
    <t>(03478)4-68-42</t>
  </si>
  <si>
    <t>http://rozkotky-school.edukit.if.ua.</t>
  </si>
  <si>
    <t>Слобідська загальноосвітня школа І ступеня Косівської районної ради Івано-Франківської області</t>
  </si>
  <si>
    <t>77662</t>
  </si>
  <si>
    <t>2623685701</t>
  </si>
  <si>
    <t>вул. Головна</t>
  </si>
  <si>
    <t>(03478)48010</t>
  </si>
  <si>
    <t>Смоднянська загальноосвітня санаторна школа-інтернат І-ІІ ступенів.</t>
  </si>
  <si>
    <t>78607</t>
  </si>
  <si>
    <t>2623685801</t>
  </si>
  <si>
    <t>Смодна</t>
  </si>
  <si>
    <t>вул. Ірчана, 292А</t>
  </si>
  <si>
    <t>(03478)49648, (03478)49343</t>
  </si>
  <si>
    <t>20553184</t>
  </si>
  <si>
    <t>Смоднянський навчально-виховний комплекс "Загальноосвітній навчальний заклад I ступеня-дошкільний навчальний заклад "Косівської районної ради Івано-Франківської області</t>
  </si>
  <si>
    <t>вул. Перемоги, 24 а</t>
  </si>
  <si>
    <t>(03478)49439</t>
  </si>
  <si>
    <t>20552635</t>
  </si>
  <si>
    <t>Снідавська загальньоосвітня школа І-ІІ ступенів</t>
  </si>
  <si>
    <t>78645</t>
  </si>
  <si>
    <t>2623686001</t>
  </si>
  <si>
    <t>Снідавка</t>
  </si>
  <si>
    <t>(03478)6-93-40</t>
  </si>
  <si>
    <t>http://snidavka-school.edukit.if.ua</t>
  </si>
  <si>
    <t>Соколівська загальноосвітня школа І-ІІ ступенів Косівської районної ради Івано-Франківської області</t>
  </si>
  <si>
    <t>78650</t>
  </si>
  <si>
    <t>2623686301</t>
  </si>
  <si>
    <t>(03478)62183</t>
  </si>
  <si>
    <t>http://sokolivka-skhool.edukit.if.ua</t>
  </si>
  <si>
    <t>Середньоберезівська загальноосвітня школа І-ІІІ ступенів</t>
  </si>
  <si>
    <t>78614</t>
  </si>
  <si>
    <t>2623686501</t>
  </si>
  <si>
    <t>Середній Березів</t>
  </si>
  <si>
    <t>вул. Центр, 11</t>
  </si>
  <si>
    <t>37616</t>
  </si>
  <si>
    <t>Пеньківський навчально-виховний комплекс " загальноосвітній навчальний заклад - дошкільний навчальний заклад"</t>
  </si>
  <si>
    <t>78663</t>
  </si>
  <si>
    <t>2623687001</t>
  </si>
  <si>
    <t>Старі Кути</t>
  </si>
  <si>
    <t>вул. Лесі Українки, 83</t>
  </si>
  <si>
    <t>(03478)45541</t>
  </si>
  <si>
    <t>20552960</t>
  </si>
  <si>
    <t>Старокутська загальноосвітня школа І-ІІІ ступенів Косівської районної державної адміністрації Івано-Франківської області</t>
  </si>
  <si>
    <t>вул. Шкільна, 73</t>
  </si>
  <si>
    <t>(03478)45293</t>
  </si>
  <si>
    <t>Стопчатівська загальносвітня школа І-ІІІ ступенів Косівської районної ради Івано-Франківської області</t>
  </si>
  <si>
    <t>78620</t>
  </si>
  <si>
    <t>2623687201</t>
  </si>
  <si>
    <t>Стопчатів</t>
  </si>
  <si>
    <t>(03478)36232</t>
  </si>
  <si>
    <t>http://stopchativ-school.edukit.if.ua</t>
  </si>
  <si>
    <t>Текучанська загальноосвітня школа І-ІІ ступенів Косівської районної ради Івано-Франківської області</t>
  </si>
  <si>
    <t>78617</t>
  </si>
  <si>
    <t>2623687401</t>
  </si>
  <si>
    <t>Текуче</t>
  </si>
  <si>
    <t>3-81-21</t>
  </si>
  <si>
    <t>Трацька загальноосвітня школа І-ІІІ ступенів Косівської районної ради Івано-Франківської області</t>
  </si>
  <si>
    <t>78631</t>
  </si>
  <si>
    <t>2623687601</t>
  </si>
  <si>
    <t>Трач</t>
  </si>
  <si>
    <t>вул. Центральна, 95Б</t>
  </si>
  <si>
    <t>(78)27231</t>
  </si>
  <si>
    <t>Тюдівська загальноосвітня школа І-ІІІ ступенів Косівської районної ради Івано-Франківської області</t>
  </si>
  <si>
    <t>78653</t>
  </si>
  <si>
    <t>2623687901</t>
  </si>
  <si>
    <t>Тюдів</t>
  </si>
  <si>
    <t>(03478)46712</t>
  </si>
  <si>
    <t>http://tiudiv-school.edukit.if.ua</t>
  </si>
  <si>
    <t>Уторопське навчально-виховне об'єднання, Косівської районної ради, Івано-Франківської області</t>
  </si>
  <si>
    <t>78622</t>
  </si>
  <si>
    <t>2623688001</t>
  </si>
  <si>
    <t>Уторопи</t>
  </si>
  <si>
    <t>вул. мала Гора, -</t>
  </si>
  <si>
    <t>(03478)37323</t>
  </si>
  <si>
    <t>http://utoropy-nvo.edukit.if.ua</t>
  </si>
  <si>
    <t>Хімчинська загальноосвітня школа І-ІІІ ступенів Косівської районної ради Івано-Франківської області</t>
  </si>
  <si>
    <t>78632</t>
  </si>
  <si>
    <t>2623688201</t>
  </si>
  <si>
    <t>Химчин</t>
  </si>
  <si>
    <t>(03478)27319</t>
  </si>
  <si>
    <t>http://www.khimchyn-school.edukit.if.ua</t>
  </si>
  <si>
    <t>Черганівська загальноосвітня школа І -ІІ ступенів Косівької районної ради Івано-Франківської області</t>
  </si>
  <si>
    <t>78664</t>
  </si>
  <si>
    <t>2623688301</t>
  </si>
  <si>
    <t>Черганівка</t>
  </si>
  <si>
    <t>вул. Косівська, 10</t>
  </si>
  <si>
    <t>(03478)48631</t>
  </si>
  <si>
    <t>http://cherganivska-zosh.if.sch.in.ua</t>
  </si>
  <si>
    <t>Шепітська загальноосвітня школа І - ІІ ступенів Косівської районної ради Івано-Франківської області</t>
  </si>
  <si>
    <t>78642</t>
  </si>
  <si>
    <t>2623688501</t>
  </si>
  <si>
    <t>Шепіт</t>
  </si>
  <si>
    <t>(03478)57216</t>
  </si>
  <si>
    <t>Шешорська загальноосвітня школа І-ІІ ступенів імені В'ячеслава Чорновола Косівської районної ради Івано-Франківської області</t>
  </si>
  <si>
    <t>78623</t>
  </si>
  <si>
    <t>2623688801</t>
  </si>
  <si>
    <t>Шешори</t>
  </si>
  <si>
    <t>вул. Шевченка, 134</t>
  </si>
  <si>
    <t>(1111)5-85-11</t>
  </si>
  <si>
    <t>Шешорський навчально-виховний комплекс "Загальноосвітний навчальний заклад І ступеня-дошкільний навчальний заклад" .</t>
  </si>
  <si>
    <t>вул. Шевченка, 263</t>
  </si>
  <si>
    <t>52189</t>
  </si>
  <si>
    <t>20552629</t>
  </si>
  <si>
    <t>Яворів-Безульківська загальноосвітня школа І-ІІ ступенів Косівської районної ради Івано-Франківської області</t>
  </si>
  <si>
    <t>78644</t>
  </si>
  <si>
    <t>2623689101</t>
  </si>
  <si>
    <t>мрн. Безулька 1</t>
  </si>
  <si>
    <t>(03478)69704</t>
  </si>
  <si>
    <t>Яворівська загальноосвітня школа І-ІІІ ступенів Косівської районної ради Івано-Франківської області</t>
  </si>
  <si>
    <t>мрн. Стоянів</t>
  </si>
  <si>
    <t>(03478)69772</t>
  </si>
  <si>
    <t>http://yavorivska-zosh.if.sch.in.ua</t>
  </si>
  <si>
    <t>Надвірнянська вечірня (змінна) школа Надвірнянської районної ради Івано-Франківської області</t>
  </si>
  <si>
    <t>78432</t>
  </si>
  <si>
    <t>2624010100</t>
  </si>
  <si>
    <t>Надвірна</t>
  </si>
  <si>
    <t>вул. Мазепи, 17</t>
  </si>
  <si>
    <t>0973345665</t>
  </si>
  <si>
    <t>Надвірнянська загальноосвітня школа I-III ступенів № 1 Надвірнянської районної ради Івано-Франківської області</t>
  </si>
  <si>
    <t>78405</t>
  </si>
  <si>
    <t>вул. В. Чорновола, 15</t>
  </si>
  <si>
    <t>http://ychitel.org/nadvirna1school/</t>
  </si>
  <si>
    <t>Надвірнянська загальноосвітня школа І-ІІІ ступенів № 2 Надвірнянської районної ради Івано-Франківської області</t>
  </si>
  <si>
    <t>вул. Мазепи, 18</t>
  </si>
  <si>
    <t>22303, 25396</t>
  </si>
  <si>
    <t>Надвірнянська загальноосвітня школа І-ІІІ ступенів № 3 Надвірнянської районної ради Івано-Франківської області</t>
  </si>
  <si>
    <t>вул. Володимира Великого, 11</t>
  </si>
  <si>
    <t>0347522636, 2-93-48</t>
  </si>
  <si>
    <t>http://nadvschool3.at.ua</t>
  </si>
  <si>
    <t>Надвірнянська загальноосвітня школа І-ІІІ ступенів № 4 Надвірнянської районної ради Івано-Франківської області</t>
  </si>
  <si>
    <t>вул. Ломоносова, 7</t>
  </si>
  <si>
    <t>(03475)23685</t>
  </si>
  <si>
    <t>http://nadvirna4.jimdo.com</t>
  </si>
  <si>
    <t>Надвірнянська загальноосвітня школа-інтернат І-ІІІ ступенів Надвірнянської районної ради Івано-Франківської області</t>
  </si>
  <si>
    <t>(03475)22556, (03475)23569</t>
  </si>
  <si>
    <t>20563490</t>
  </si>
  <si>
    <t>Надвірнянський ліцей Надвірнянської районної ради Івано-Франківської області</t>
  </si>
  <si>
    <t>78400</t>
  </si>
  <si>
    <t>вул. Петрушевича, 12</t>
  </si>
  <si>
    <t>(03475)29124, (03475)22247, (03475)25154</t>
  </si>
  <si>
    <t>20548639</t>
  </si>
  <si>
    <t>Надвірнянський міжшкільний навчально-виробничий комбінат</t>
  </si>
  <si>
    <t>вул. Шевченка, 1 б</t>
  </si>
  <si>
    <t>(03475)25057, (03475)29019</t>
  </si>
  <si>
    <t>Прикарпатський військово-спортивний ліцей-інтернат Івано-Франківської обласної ради</t>
  </si>
  <si>
    <t>вул. Сірика, 1А</t>
  </si>
  <si>
    <t>(03475)29030</t>
  </si>
  <si>
    <t>http://pvsli.if.ua/</t>
  </si>
  <si>
    <t>20568493</t>
  </si>
  <si>
    <t>Битківська загальноосвітня школа І ступеня № 1 Надвірнянської районної ради</t>
  </si>
  <si>
    <t>78430</t>
  </si>
  <si>
    <t>2624055300</t>
  </si>
  <si>
    <t>Битків</t>
  </si>
  <si>
    <t>вул. Промислова, 6</t>
  </si>
  <si>
    <t>0966577076</t>
  </si>
  <si>
    <t>Битківська загальноосвітня школа І ступеня, Надвірнянської районної ради, Івано-Франківської області.</t>
  </si>
  <si>
    <t>вул. Михайлюка, 13</t>
  </si>
  <si>
    <t>(03475)61202</t>
  </si>
  <si>
    <t>Битківська загальноосвітня школа І-ІІІ ступенів № 1 Надвірнянської районної ради Івано-Франківської області.</t>
  </si>
  <si>
    <t>вул. Шевченка, 291</t>
  </si>
  <si>
    <t>(03475)61210</t>
  </si>
  <si>
    <t>Делятинська загальноосвітня школа І ступеня Надвірнянської районної ради Івано-Франківської області</t>
  </si>
  <si>
    <t>78442</t>
  </si>
  <si>
    <t>2624055900</t>
  </si>
  <si>
    <t>Делятин</t>
  </si>
  <si>
    <t>вул. Любіжня, 130</t>
  </si>
  <si>
    <t>(03475)43123</t>
  </si>
  <si>
    <t>Делятинська загальноосвітня школа І-ІІ ступенів Надвірнянської районної ради Івано-Франківської області.</t>
  </si>
  <si>
    <t>вул. Шевелівська, 21</t>
  </si>
  <si>
    <t>(03475)4-35-48</t>
  </si>
  <si>
    <t>Делятинська загальноосвітня школа І-ІІІ ступенів № 1 Надвірнянської районної ради Івано- Франківської області</t>
  </si>
  <si>
    <t>вул. 16 Липня, 261</t>
  </si>
  <si>
    <t>(03475)43137</t>
  </si>
  <si>
    <t>Делятинська загальноосвітня школа І-ІІІ ступенів № 3 Надвірнянської районної ради Івано-Франківської області</t>
  </si>
  <si>
    <t>вул. Авіаційна, 4</t>
  </si>
  <si>
    <t>(11033)0955114479</t>
  </si>
  <si>
    <t>Делятинський навчально - виховний комплекс Надвірнянської районної ради Івано-Франківської області</t>
  </si>
  <si>
    <t>вул. 16 Липня, 113В</t>
  </si>
  <si>
    <t>(03475)43163</t>
  </si>
  <si>
    <t>Ланчинська загальноосвітня школа І - ІІ ступенів Надвірнянської районної ради Івано - Франківської області</t>
  </si>
  <si>
    <t>78455</t>
  </si>
  <si>
    <t>2624056200</t>
  </si>
  <si>
    <t>Ланчин</t>
  </si>
  <si>
    <t>вул. Українська, 2 А</t>
  </si>
  <si>
    <t>(03475)32430</t>
  </si>
  <si>
    <t>Ланчинська загальноосвітня школа І-ІІІ ступенів Надвірнянської районної ради Івано-Франківської області</t>
  </si>
  <si>
    <t>вул. Карпатська, 6</t>
  </si>
  <si>
    <t>(03475)3-21-75</t>
  </si>
  <si>
    <t>http://lanchynschool1.at.ua</t>
  </si>
  <si>
    <t>Білоославська загальноосвітня школа І-ІІІ ступенів імені Марійки Підгірянки Надвірнянської районної ради Івано-Франківської області</t>
  </si>
  <si>
    <t>78460</t>
  </si>
  <si>
    <t>2624080301</t>
  </si>
  <si>
    <t>Білі Ослави</t>
  </si>
  <si>
    <t>вул. М.Підгірянки, 97</t>
  </si>
  <si>
    <t>(03475)65234</t>
  </si>
  <si>
    <t>http://www.bilioslavy-zosh.edukit.if.ua/</t>
  </si>
  <si>
    <t>Бистрицька загальноосвітня школа І-ІІІ ступенів Надвірнянської районної ради Івано-Франківської області</t>
  </si>
  <si>
    <t>78436</t>
  </si>
  <si>
    <t>2624080601</t>
  </si>
  <si>
    <t>вул. Центр, 104А</t>
  </si>
  <si>
    <t>(62)7-44</t>
  </si>
  <si>
    <t>Верхньомайданська загальноосвітня школа І-ІІ ступенів Надвірнянської районної ради Івано-Франківської області</t>
  </si>
  <si>
    <t>78452</t>
  </si>
  <si>
    <t>2624080801</t>
  </si>
  <si>
    <t>Верхній Майдан</t>
  </si>
  <si>
    <t>вул. Грушевського, 55</t>
  </si>
  <si>
    <t>(03475)60-2-27</t>
  </si>
  <si>
    <t>Волосівський навчально - виховний комплекс Надвірнянської районної ради Івано - Франківської області</t>
  </si>
  <si>
    <t>78412</t>
  </si>
  <si>
    <t>2624080901</t>
  </si>
  <si>
    <t>Волосів</t>
  </si>
  <si>
    <t>вул. Грушевського, 10</t>
  </si>
  <si>
    <t>(0347568)518</t>
  </si>
  <si>
    <t>Гаврилівська загальноосвітня школа І-ІІІ ступенів Надвірнянської районної ради Івано-Франківської області</t>
  </si>
  <si>
    <t>78414</t>
  </si>
  <si>
    <t>2624081201</t>
  </si>
  <si>
    <t>вул. Українська, 78</t>
  </si>
  <si>
    <t>(03475)62235</t>
  </si>
  <si>
    <t>http://gavrylivka.klasna.com</t>
  </si>
  <si>
    <t>Гвіздська загальноосвітня школа І-ІІІ ступенів Надвірнянської районної ради Івано-Франківської області</t>
  </si>
  <si>
    <t>78423</t>
  </si>
  <si>
    <t>2624081501</t>
  </si>
  <si>
    <t>Гвізд</t>
  </si>
  <si>
    <t>вул. Д. Синяка, 1 б</t>
  </si>
  <si>
    <t>(03475)61532</t>
  </si>
  <si>
    <t>http://gvizd-zosh.nethouse.ua</t>
  </si>
  <si>
    <t>Добротівський навчально-виховний комплекс Надвірнянської районної ради Івано-Франківської області</t>
  </si>
  <si>
    <t>78454</t>
  </si>
  <si>
    <t>2624081601</t>
  </si>
  <si>
    <t>Добротів</t>
  </si>
  <si>
    <t>(03475)34324</t>
  </si>
  <si>
    <t>Зарічанська загальноосвітня школа І- ІІІ ступенів</t>
  </si>
  <si>
    <t>78445</t>
  </si>
  <si>
    <t>2624081801</t>
  </si>
  <si>
    <t>вул. Церковна, 39</t>
  </si>
  <si>
    <t>(03475)66-3-46</t>
  </si>
  <si>
    <t>Зеленська загальноосвітня школа І ступеня Надвірнянської районної ради Івано-Франківської області</t>
  </si>
  <si>
    <t>78433</t>
  </si>
  <si>
    <t>2624082101</t>
  </si>
  <si>
    <t>вул. Фентераль</t>
  </si>
  <si>
    <t>Зеленська загальноосвітня школа І-ІІІ ступенів Надвірнянської районної ради Івано-Франківської області</t>
  </si>
  <si>
    <t>вул. Хрипелів, 955А</t>
  </si>
  <si>
    <t>61718</t>
  </si>
  <si>
    <t>Максимецька загальноосвітня школа І-ІІ ступенів Надвірнянської районної ради Івано-Франківської області</t>
  </si>
  <si>
    <t>2624082102</t>
  </si>
  <si>
    <t>Максимець</t>
  </si>
  <si>
    <t>(05018)37665</t>
  </si>
  <si>
    <t>Черниківська загальноосвітня школа І-ІІ ступенів Надвірнянської районної ради Івано-Франківської області</t>
  </si>
  <si>
    <t>2624082103</t>
  </si>
  <si>
    <t>вул. Центр, 706А</t>
  </si>
  <si>
    <t>(03475)61-7-65</t>
  </si>
  <si>
    <t>Каміннецька ЗОШ І-ІІ ст. Надвірнянської районної ради Івано-Франківської області</t>
  </si>
  <si>
    <t>78411</t>
  </si>
  <si>
    <t>2624082501</t>
  </si>
  <si>
    <t>Камінне</t>
  </si>
  <si>
    <t>вул. Мазепи, 4А</t>
  </si>
  <si>
    <t>Краснянська загальноосвітня школа І-ІІІ ступенів Надвірнянської районної ради Івано-Франківської області</t>
  </si>
  <si>
    <t>78451</t>
  </si>
  <si>
    <t>2624082701</t>
  </si>
  <si>
    <t>вул. Шевченка, 147</t>
  </si>
  <si>
    <t>60249</t>
  </si>
  <si>
    <t>Ліснотарновицький навчально-виховний комплекс Надвірнянської районної ради Івано-Франківської області</t>
  </si>
  <si>
    <t>78422</t>
  </si>
  <si>
    <t>2624083201</t>
  </si>
  <si>
    <t>Лісна Тарновиця</t>
  </si>
  <si>
    <t>(64)2-70</t>
  </si>
  <si>
    <t>Лоївська загальноосвітня школа І-ІІІ ступенів Надвірнянської районної ради Івано-Франківської області</t>
  </si>
  <si>
    <t>78440</t>
  </si>
  <si>
    <t>2624083401</t>
  </si>
  <si>
    <t>Лоєва</t>
  </si>
  <si>
    <t>вул. Стуса, 18</t>
  </si>
  <si>
    <t>(03475)63430</t>
  </si>
  <si>
    <t>Молодківська загальноосвітня школа І-ІІІ ступенів Надвірнянської районної ради Івано-Франківської області</t>
  </si>
  <si>
    <t>78424</t>
  </si>
  <si>
    <t>2624083701</t>
  </si>
  <si>
    <t>Молодків</t>
  </si>
  <si>
    <t>вул. Черемшини, 1</t>
  </si>
  <si>
    <t>68218</t>
  </si>
  <si>
    <t>Назавизівська загальноосвітня школа І-ІІІ ступенів Надвірнянської районної ради Івано-Франківської області</t>
  </si>
  <si>
    <t>78425</t>
  </si>
  <si>
    <t>2624084201</t>
  </si>
  <si>
    <t>Назавизів</t>
  </si>
  <si>
    <t>вул. Грушевського, 53</t>
  </si>
  <si>
    <t>65-5-22</t>
  </si>
  <si>
    <t>Мирненська загальноосвітня школа І ступеня Надвірнянської районної ради Івано-Франківської області</t>
  </si>
  <si>
    <t>2624084202</t>
  </si>
  <si>
    <t>вул. Соборна, 1В</t>
  </si>
  <si>
    <t>65655</t>
  </si>
  <si>
    <t>Парищенська загальноосвітня школа І-ІІІ ступенів Надвірнянської районної ради Івано-Франківської області</t>
  </si>
  <si>
    <t>78426</t>
  </si>
  <si>
    <t>2624084601</t>
  </si>
  <si>
    <t>Парище</t>
  </si>
  <si>
    <t>вул. Шевченка, 77А</t>
  </si>
  <si>
    <t>(03475)62247</t>
  </si>
  <si>
    <t>Лісновелесницька загальноосвітня школа І ступеня Надвірнянської районної ради Івано-Франківської області</t>
  </si>
  <si>
    <t>78456</t>
  </si>
  <si>
    <t>2624084602</t>
  </si>
  <si>
    <t>Лісна Велесниця</t>
  </si>
  <si>
    <t>вул. Грушевського, 16 а</t>
  </si>
  <si>
    <t>22201</t>
  </si>
  <si>
    <t>Пасічнянська загальноовітня школа І ступеня № 1 Надвірнянської районної ради Івано-Франківської області</t>
  </si>
  <si>
    <t>2624085001</t>
  </si>
  <si>
    <t>Пасічна</t>
  </si>
  <si>
    <t>вул. С. Галечко, 21</t>
  </si>
  <si>
    <t>0988041141</t>
  </si>
  <si>
    <t>Пасічнянська загальноосвітня школа І ступеня № 3</t>
  </si>
  <si>
    <t>вул. Франка, 2</t>
  </si>
  <si>
    <t>0505943510</t>
  </si>
  <si>
    <t>Пасічнянська загальноосвітня школа І ступеня № 4 Надвірнянської районної ради Івано-Франківської області</t>
  </si>
  <si>
    <t>вул. Бухтівець</t>
  </si>
  <si>
    <t>Пасічнянська загальноосвітня школа І-ІІІ ступенів Надвірнянської районної ради Івано-Франківської області</t>
  </si>
  <si>
    <t>вул. Софії Галечко, 129</t>
  </si>
  <si>
    <t>http://www.pasichnaja.at.ua</t>
  </si>
  <si>
    <t>Пасічнянська загальноосвітня школа І ступенів № 2 Надвірнянської районної ради Івано-Франківської області</t>
  </si>
  <si>
    <t>2624085003</t>
  </si>
  <si>
    <t>Постоята</t>
  </si>
  <si>
    <t>вул. Постоята</t>
  </si>
  <si>
    <t>Переріслянська загальноосвітня школа І - ІІІ ступенів Надвірнянської районної ради Івано - Франківської області</t>
  </si>
  <si>
    <t>78420</t>
  </si>
  <si>
    <t>2624085301</t>
  </si>
  <si>
    <t>Перерісль</t>
  </si>
  <si>
    <t>вул. Січових Стрільці, 23</t>
  </si>
  <si>
    <t>(03475)64375</t>
  </si>
  <si>
    <t>Пнівська загальноосвітня школа І-ІІІ ступенів Надвірнянської районної ради Івано-Франківської області</t>
  </si>
  <si>
    <t>78431</t>
  </si>
  <si>
    <t>2624085601</t>
  </si>
  <si>
    <t>Пнів</t>
  </si>
  <si>
    <t>вул. Українських Січових Стрільців, 90</t>
  </si>
  <si>
    <t>(03475)67174</t>
  </si>
  <si>
    <t>Білозоринська загальноосвітня школа І-ІІ ступенів Надвірнянської районної ради Івано-Франківської області</t>
  </si>
  <si>
    <t>2624085602</t>
  </si>
  <si>
    <t>Білозорина</t>
  </si>
  <si>
    <t>вул. Плоснина, 27</t>
  </si>
  <si>
    <t>(03475)67044</t>
  </si>
  <si>
    <t>Саджавська загальноосвітня школа І-ІІІ ступенів Надвірнянської районної ради Івано-Франківської області</t>
  </si>
  <si>
    <t>78453</t>
  </si>
  <si>
    <t>2624086001</t>
  </si>
  <si>
    <t>Саджавка</t>
  </si>
  <si>
    <t>вул. Українська, 77А</t>
  </si>
  <si>
    <t>(03475)35742</t>
  </si>
  <si>
    <t>Середньомайданська загальноосвітня школа І-ІІІ ступенів Надвірнянської районної ради Івано-Франківської області</t>
  </si>
  <si>
    <t>78450</t>
  </si>
  <si>
    <t>2624086401</t>
  </si>
  <si>
    <t>Середній Майдан</t>
  </si>
  <si>
    <t>66</t>
  </si>
  <si>
    <t>(36)2-30</t>
  </si>
  <si>
    <t>Стримбівська загальноосвітня школа І-ІІ ступенів Надвірнянської районної ради Івано-Франківської області</t>
  </si>
  <si>
    <t>78441</t>
  </si>
  <si>
    <t>2624086501</t>
  </si>
  <si>
    <t>вул. Підкови, 2</t>
  </si>
  <si>
    <t>(03475)20518</t>
  </si>
  <si>
    <t>Тисменичанська загальноосвітня школа І-ІІІ ступенів Надвірнянської районної ради Івано-Франківської області</t>
  </si>
  <si>
    <t>78410</t>
  </si>
  <si>
    <t>2624086801</t>
  </si>
  <si>
    <t>Тисменичани</t>
  </si>
  <si>
    <t>(03475)60494</t>
  </si>
  <si>
    <t>Фитьківська загальноосвітня школа І-ІІІ ступенів Надвірнянської районної ради Івано-Франківської області</t>
  </si>
  <si>
    <t>78421</t>
  </si>
  <si>
    <t>2624086901</t>
  </si>
  <si>
    <t>Фитьків</t>
  </si>
  <si>
    <t>вул. С.Стрільців, 76</t>
  </si>
  <si>
    <t>0347577500</t>
  </si>
  <si>
    <t>Цуцилівський навчально-виховний комплекс Надвірнянської районної ради Івано-Франківської області</t>
  </si>
  <si>
    <t>78413</t>
  </si>
  <si>
    <t>2624087001</t>
  </si>
  <si>
    <t>Цуцилів</t>
  </si>
  <si>
    <t>вул. Братів Бойчуків, 57В</t>
  </si>
  <si>
    <t>((03475))63-1-41</t>
  </si>
  <si>
    <t>Чорноославська загальноосвітня школа І-ІІІ ступенів Надвірнянської районної ради Івано-Франківської області</t>
  </si>
  <si>
    <t>78462</t>
  </si>
  <si>
    <t>2624087101</t>
  </si>
  <si>
    <t>Чорні Ослави</t>
  </si>
  <si>
    <t>(03475)68501</t>
  </si>
  <si>
    <t>Чорнопотоківська загальноосвітня школа I-III ступенів Надвірнянської районної ради Івано-Франківської області</t>
  </si>
  <si>
    <t>78461</t>
  </si>
  <si>
    <t>2624087401</t>
  </si>
  <si>
    <t>вул. Б. Хмельницького</t>
  </si>
  <si>
    <t>(034)7565713</t>
  </si>
  <si>
    <t>Рогатинська гімназія імені Володимира Великого</t>
  </si>
  <si>
    <t>77000</t>
  </si>
  <si>
    <t>2624410100</t>
  </si>
  <si>
    <t>Рогатин</t>
  </si>
  <si>
    <t>http://www.givv.org.ua</t>
  </si>
  <si>
    <t>Рогатинська загальноосвітня школа І-ІІІ ступенів № 2 Рогатинської районної ради Івано-Франківської області</t>
  </si>
  <si>
    <t>(03435)21339, (03435)24307, (03435)21449</t>
  </si>
  <si>
    <t>Рогатинська спеціалізована загальноосвітня школа І-ІІІ ст. № 1 з поглибленим вивченям іноземної мови</t>
  </si>
  <si>
    <t>вул. Шевченка, 71, а</t>
  </si>
  <si>
    <t>(03435)24319</t>
  </si>
  <si>
    <t>http://rogschool1.at.ua</t>
  </si>
  <si>
    <t>Рогатинська спеціальна загальноосвітня школа - інтернат</t>
  </si>
  <si>
    <t>вул. Коцюбинського, 3</t>
  </si>
  <si>
    <t>(03435)2-30-04</t>
  </si>
  <si>
    <t>23804422</t>
  </si>
  <si>
    <t>Букачівська загальноосвітня школа I-III ступенів Рогатинської районної ради Івано-Франківської області</t>
  </si>
  <si>
    <t>77065</t>
  </si>
  <si>
    <t>2624455300</t>
  </si>
  <si>
    <t>Букачівці</t>
  </si>
  <si>
    <t>вул. Чорновола, 59</t>
  </si>
  <si>
    <t>(03435)41219, (067)1501687</t>
  </si>
  <si>
    <t>Бабухівський навчально-виховний комплекс</t>
  </si>
  <si>
    <t>77037</t>
  </si>
  <si>
    <t>2624480301</t>
  </si>
  <si>
    <t>Бабухів</t>
  </si>
  <si>
    <t>вул. Степана Бандери, 53</t>
  </si>
  <si>
    <t>(03435)34680, (097)9107720</t>
  </si>
  <si>
    <t>Васючинська загальноосвітня школа І-ІІІ ступенів Рогатинської районної ради</t>
  </si>
  <si>
    <t>77033</t>
  </si>
  <si>
    <t>2624480601</t>
  </si>
  <si>
    <t>Васючин</t>
  </si>
  <si>
    <t>вул. Шевченка, 50А</t>
  </si>
  <si>
    <t>(03435)56334</t>
  </si>
  <si>
    <t>Вербилівська філія І ступеня Рогатинської спеціалізованої загальноосвітньої школи № 1 Рогатинської районної ради Івано-Франківської області</t>
  </si>
  <si>
    <t>77005</t>
  </si>
  <si>
    <t>2624480801</t>
  </si>
  <si>
    <t>Вербилівці</t>
  </si>
  <si>
    <t>вул. Чорновола, 5</t>
  </si>
  <si>
    <t>(03435)33224</t>
  </si>
  <si>
    <t>Обельницька загальноосвітня школа І ступеня Рогатинської районної ради Івано-Франківської області</t>
  </si>
  <si>
    <t>77047</t>
  </si>
  <si>
    <t>(03435)34663</t>
  </si>
  <si>
    <t>Опорний заклад Верхньолипицька загальноосвітня школа І-ІІІ ступенів Рогатинської районної ради Івано-Франківської області</t>
  </si>
  <si>
    <t>77043</t>
  </si>
  <si>
    <t>2624481001</t>
  </si>
  <si>
    <t>Верхня Липиця</t>
  </si>
  <si>
    <t>(03435)63440</t>
  </si>
  <si>
    <t>Зеленівська філія І ст. Верхньолипицької ЗОШ І-ІІІ ст. Рогатинської районної ради Івано-Франківської області</t>
  </si>
  <si>
    <t>2624481004</t>
  </si>
  <si>
    <t>Зеленів</t>
  </si>
  <si>
    <t>(03435)63446</t>
  </si>
  <si>
    <t>Лопушнянська філія Верхньолипицької ЗОШ І-ІІІ ст. Рогатинської районної ради Івано-Франківської області</t>
  </si>
  <si>
    <t>77044</t>
  </si>
  <si>
    <t>2624481005</t>
  </si>
  <si>
    <t>Лопушня</t>
  </si>
  <si>
    <t>(03435)60645</t>
  </si>
  <si>
    <t>Малинівська філія Верхньолипицької ЗОШ І-ІІІ ст. Рогатинської районної ради Івано-Франківської області</t>
  </si>
  <si>
    <t>2624481006</t>
  </si>
  <si>
    <t>(03435)63438</t>
  </si>
  <si>
    <t>Липівський навчально-виховний комплекс імені Стефана Качали Рогатинської районної ради Івано-Франківської області</t>
  </si>
  <si>
    <t>77020</t>
  </si>
  <si>
    <t>2624481103</t>
  </si>
  <si>
    <t>вул. Шевченка, 80</t>
  </si>
  <si>
    <t>(03435)43489</t>
  </si>
  <si>
    <t>Любшанська філія І-ІІ ст. Черченської ЗОШ І-ІІІ ст. Рогатинської районної ради Івано-Франківської області</t>
  </si>
  <si>
    <t>77010</t>
  </si>
  <si>
    <t>2624481203</t>
  </si>
  <si>
    <t>Любша</t>
  </si>
  <si>
    <t>вул. Зелена, 59А</t>
  </si>
  <si>
    <t>(03435)79322</t>
  </si>
  <si>
    <t>Вишнівська загальноосвітня школа I-III ступенів, Рогатинської районої ради Івано -Франківської області</t>
  </si>
  <si>
    <t>77063</t>
  </si>
  <si>
    <t>2624481301</t>
  </si>
  <si>
    <t>вул. Гора, 228</t>
  </si>
  <si>
    <t>43132</t>
  </si>
  <si>
    <t>Воскресинцівський навчально-виховний комплекс Рогатинської районної ради Івано-Франківської області</t>
  </si>
  <si>
    <t>77034</t>
  </si>
  <si>
    <t>2624481401</t>
  </si>
  <si>
    <t>вул. Л.Українки, 34</t>
  </si>
  <si>
    <t>(03435)56358</t>
  </si>
  <si>
    <t>http://nwkwos.ucoz.ru</t>
  </si>
  <si>
    <t>Григорівська загальноосвітня школа І-ІІ ступенів</t>
  </si>
  <si>
    <t>77053</t>
  </si>
  <si>
    <t>2624481501</t>
  </si>
  <si>
    <t>Григорів</t>
  </si>
  <si>
    <t>вул. Шевченка, 9А</t>
  </si>
  <si>
    <t>(067)8708938</t>
  </si>
  <si>
    <t>Дичківська філія I-II ступенів Рогатинської спеціалізованої загальноосвітньої школи І-ІІІ ступенів № 1 Рогатинської районної ради івано-Франківської області</t>
  </si>
  <si>
    <t>77012</t>
  </si>
  <si>
    <t>2624481701</t>
  </si>
  <si>
    <t>Дички</t>
  </si>
  <si>
    <t>ал. Шкільна, 9</t>
  </si>
  <si>
    <t>(3435)79341</t>
  </si>
  <si>
    <t>Добринівська загальноосвітня школа І-ІІ ступенів Рогатинської районної ради Івано-Франківської області</t>
  </si>
  <si>
    <t>77025</t>
  </si>
  <si>
    <t>2624481901</t>
  </si>
  <si>
    <t>Добринів</t>
  </si>
  <si>
    <t>(03435)68405</t>
  </si>
  <si>
    <t>Долинянська загальноосвітня школа І-ІІІ ступенів Рогатинської районної ради Івано-Франківської області</t>
  </si>
  <si>
    <t>77017</t>
  </si>
  <si>
    <t>2624482101</t>
  </si>
  <si>
    <t>Долиняни</t>
  </si>
  <si>
    <t>вул. Кривуля, 60</t>
  </si>
  <si>
    <t>(03435)72411</t>
  </si>
  <si>
    <t>Жовчівська загальноосвітня школа І-ІІІ ступенів Рогатинської районної ради Івано-Франківської області</t>
  </si>
  <si>
    <t>77045</t>
  </si>
  <si>
    <t>2624482201</t>
  </si>
  <si>
    <t>Жовчів</t>
  </si>
  <si>
    <t>(03435)65522</t>
  </si>
  <si>
    <t>Заланівська загальноосвітня школа І-ІІ ступенів Рогатинської районної ради Івано-Франківської облласті</t>
  </si>
  <si>
    <t>77013</t>
  </si>
  <si>
    <t>2624482301</t>
  </si>
  <si>
    <t>Заланів</t>
  </si>
  <si>
    <t>вул. Центральна, 12А</t>
  </si>
  <si>
    <t>(03435)79390</t>
  </si>
  <si>
    <t>Кліщівнянська загальноосвітня школа І-ІІ ступенів Рогатинської районної ради Івано-Франківської області</t>
  </si>
  <si>
    <t>77021</t>
  </si>
  <si>
    <t>2624482401</t>
  </si>
  <si>
    <t>Кліщівна</t>
  </si>
  <si>
    <t>(03435)43422</t>
  </si>
  <si>
    <t>Княгиницький навчально-виховний комплекс Рогатинської районної ради Івано-Франківської області</t>
  </si>
  <si>
    <t>77030</t>
  </si>
  <si>
    <t>2624482501</t>
  </si>
  <si>
    <t>Княгиничі</t>
  </si>
  <si>
    <t>вул. Р.Шухевича, 6</t>
  </si>
  <si>
    <t>(03435)65214</t>
  </si>
  <si>
    <t>Козарівський навчально-виховний комплекс I-II ступенів, Рогатинської районної ради, Івано-Франківської області</t>
  </si>
  <si>
    <t>77064</t>
  </si>
  <si>
    <t>2624482701</t>
  </si>
  <si>
    <t>Козарі</t>
  </si>
  <si>
    <t>вул. Приозерна-1, 1</t>
  </si>
  <si>
    <t>(03435)41255</t>
  </si>
  <si>
    <t>Колоколинська філія I-II ступенів Букачівської ЗОШ І-ІІІ ступенів Рогатинської районної ради Івано-Франківської області</t>
  </si>
  <si>
    <t>77060</t>
  </si>
  <si>
    <t>2624482901</t>
  </si>
  <si>
    <t>Колоколин</t>
  </si>
  <si>
    <t>(03435)43119</t>
  </si>
  <si>
    <t>Конюшківська загальноосвітня школа I-III ступенів Рогатинської районної ради Івано-Франківської області</t>
  </si>
  <si>
    <t>77036</t>
  </si>
  <si>
    <t>2624483101</t>
  </si>
  <si>
    <t>Конюшки</t>
  </si>
  <si>
    <t>вул. Галицька, 75, а</t>
  </si>
  <si>
    <t>(03435)56243</t>
  </si>
  <si>
    <t>Луковець-Вишнівська загальноосвітня школа І-ІІ ступенів Рогатинської районної ради Івано-Франківської області</t>
  </si>
  <si>
    <t>77052</t>
  </si>
  <si>
    <t>2624483701</t>
  </si>
  <si>
    <t>Луковець-Вишнівський</t>
  </si>
  <si>
    <t>(03435)47549</t>
  </si>
  <si>
    <t>Лучинецький навчально-виховний комплекс Рогатинська районна рада Івано-Франківської області</t>
  </si>
  <si>
    <t>77046</t>
  </si>
  <si>
    <t>2624483901</t>
  </si>
  <si>
    <t>Лучинці</t>
  </si>
  <si>
    <t>вул. Лесі  Українки, 41,а</t>
  </si>
  <si>
    <t>(03435)3-44-47</t>
  </si>
  <si>
    <t>http://rogatyn28.school.if.ua</t>
  </si>
  <si>
    <t>Нижньолипицький навчально-виховний комплекс І-ІІ ступенів Рогатинської районної ради Івано-Франківської області</t>
  </si>
  <si>
    <t>77071</t>
  </si>
  <si>
    <t>2624484101</t>
  </si>
  <si>
    <t>Нижня Липиця</t>
  </si>
  <si>
    <t>вул. Л. Українки, 95</t>
  </si>
  <si>
    <t>(03435)63415</t>
  </si>
  <si>
    <t>Підвинська філія І ступеня Рогатинської СЗОШ І-ІІІ ступенів № 1Рогатинської районної ради Івано-Франківської області</t>
  </si>
  <si>
    <t>2624484301</t>
  </si>
  <si>
    <t>Підвиння</t>
  </si>
  <si>
    <t>(03435)34200</t>
  </si>
  <si>
    <t>Підгородська загальноосвітня школа І-ІІ ступенів Рогатинська районнна рада Івано-Франківської області</t>
  </si>
  <si>
    <t>77003</t>
  </si>
  <si>
    <t>2624484401</t>
  </si>
  <si>
    <t>Підгороддя</t>
  </si>
  <si>
    <t>пл. Шевченка, 15</t>
  </si>
  <si>
    <t>(03435)21916</t>
  </si>
  <si>
    <t>Рудинська філія І ступення Рогатинської спеціалізованої загальноосвітньої школи І-ІІІ ступенів № 1Рогатинської районної ради Івано-Франківської області</t>
  </si>
  <si>
    <t>77024</t>
  </si>
  <si>
    <t>2624484403</t>
  </si>
  <si>
    <t>(03435)21012</t>
  </si>
  <si>
    <t>Потіцька загальноосвітня школа І ступеня Рогатинської районної ради Івано-Франківської області</t>
  </si>
  <si>
    <t>77016</t>
  </si>
  <si>
    <t>2624484501</t>
  </si>
  <si>
    <t>Потік</t>
  </si>
  <si>
    <t>вул. Роксолани, 12</t>
  </si>
  <si>
    <t>(03435)33669</t>
  </si>
  <si>
    <t>Підмихайлівська загальноосвітня школа І-ІІ ступенів Рогатинської районної ради Івано-Франківської області</t>
  </si>
  <si>
    <t>77050</t>
  </si>
  <si>
    <t>2624484901</t>
  </si>
  <si>
    <t>Підмихайлівці</t>
  </si>
  <si>
    <t>вул. Т.Г. Шевченка, 14А</t>
  </si>
  <si>
    <t>(03435)56667</t>
  </si>
  <si>
    <t>Журівська філія I-II ступенів Рогатинської спеціалізованої загальноосвітньої школи І-ІІІ ступенів № 1 з поглибленим вивченням іноземної мови Рогатинської районної ради Івано-Франківської області</t>
  </si>
  <si>
    <t>77051</t>
  </si>
  <si>
    <t>2624484902</t>
  </si>
  <si>
    <t>Журів</t>
  </si>
  <si>
    <t>вул. Шевченка, 19 А</t>
  </si>
  <si>
    <t>(03435)43123</t>
  </si>
  <si>
    <t>Помонятська загальноосвітня школа І-ІІст. Рогатинської районної ради Івано-Франківської області</t>
  </si>
  <si>
    <t>77032</t>
  </si>
  <si>
    <t>2624485001</t>
  </si>
  <si>
    <t>Помонята</t>
  </si>
  <si>
    <t>(03435)65232</t>
  </si>
  <si>
    <t>Підкамінська загальноосвітня школа I-II ступенів Рогатинської районної ради Івано-Франківської області</t>
  </si>
  <si>
    <t>77014</t>
  </si>
  <si>
    <t>2624485101</t>
  </si>
  <si>
    <t>Підкамінь</t>
  </si>
  <si>
    <t>вул. Сагайдачного, 25</t>
  </si>
  <si>
    <t>(3435)77-2-34</t>
  </si>
  <si>
    <t>Приозерненська загальноосвітня школа І-ІІ ступенів Рогатинської районної ради Івано-Франківської області</t>
  </si>
  <si>
    <t>77018</t>
  </si>
  <si>
    <t>2624485203</t>
  </si>
  <si>
    <t>Приозерне</t>
  </si>
  <si>
    <t>(03435)72487, (067)7108175</t>
  </si>
  <si>
    <t>Пуківська загальноосвітня школа І-ІІІ ступенів Рогатинської районної ради Івано-Франківської області</t>
  </si>
  <si>
    <t>77041</t>
  </si>
  <si>
    <t>2624485401</t>
  </si>
  <si>
    <t>Пуків</t>
  </si>
  <si>
    <t>вул. Шевченка, 406А</t>
  </si>
  <si>
    <t>(03435)64267</t>
  </si>
  <si>
    <t>Путятинська загальноосвітня школа І-ІІ ступенів Рогатинської районної ради Івано-Франківської області</t>
  </si>
  <si>
    <t>77040</t>
  </si>
  <si>
    <t>2624485601</t>
  </si>
  <si>
    <t>Путятинці</t>
  </si>
  <si>
    <t>(03435)34715</t>
  </si>
  <si>
    <t>Сарниківська філія І-ІІ ст. Верхньолипицької ЗОШ І-ІІІ ст. Рогатинської районної ради Івано-Франківської області</t>
  </si>
  <si>
    <t>77072</t>
  </si>
  <si>
    <t>2624485801</t>
  </si>
  <si>
    <t>Сарники</t>
  </si>
  <si>
    <t>0977535258, 0989209064</t>
  </si>
  <si>
    <t>Світанківська Загальноосвітня школа І - ІІІ ступенів Рогатинська районна рада Івано - Франківської області</t>
  </si>
  <si>
    <t>77074</t>
  </si>
  <si>
    <t>2624486001</t>
  </si>
  <si>
    <t>Світанок</t>
  </si>
  <si>
    <t>(03435)3-31-34</t>
  </si>
  <si>
    <t>Стратинська загальноосвітня школа I-II ступенів Рогатинської районної ради Івано-Франківської області</t>
  </si>
  <si>
    <t>77022</t>
  </si>
  <si>
    <t>2624486201</t>
  </si>
  <si>
    <t>Стратин</t>
  </si>
  <si>
    <t>(03435)68432</t>
  </si>
  <si>
    <t>Уїздівська філія I ст. Жовчівської ЗОШ І-ІІІ ст. Рогатинської районної ради Івано-Франківської області</t>
  </si>
  <si>
    <t>2624486401</t>
  </si>
  <si>
    <t>Уїзд</t>
  </si>
  <si>
    <t>вул. Центральна, 70 А</t>
  </si>
  <si>
    <t>(03435)65552, 0968372620, (03435)65690</t>
  </si>
  <si>
    <t>Фразька загальноосвітня школа І-ІІ ступенів Рогатинської районної ради Івано-Франківської області</t>
  </si>
  <si>
    <t>77011</t>
  </si>
  <si>
    <t>2624486501</t>
  </si>
  <si>
    <t>Фрага</t>
  </si>
  <si>
    <t>вул. Львівська, 35А</t>
  </si>
  <si>
    <t>(03435)77236</t>
  </si>
  <si>
    <t>Беньківська загальноосвітня школа I-ступення Рогатинської районної ради Івано-Франківської області</t>
  </si>
  <si>
    <t>2624486502</t>
  </si>
  <si>
    <t>Беньківці</t>
  </si>
  <si>
    <t>вул. Галицька, 2А</t>
  </si>
  <si>
    <t>Чагрівський навчально-виховний комплекс Рогатинської районної ради Івано-Франківської області</t>
  </si>
  <si>
    <t>77061</t>
  </si>
  <si>
    <t>2624486601</t>
  </si>
  <si>
    <t>Чагрів</t>
  </si>
  <si>
    <t>вул. Б. Хмельницького, 19</t>
  </si>
  <si>
    <t>(03435)43162</t>
  </si>
  <si>
    <t>Чернівський навчально-виховний комплекс Рогатинського району Івано-Чернівський навчально-виховний комплекс Рогатинського району Івано-Франківської області</t>
  </si>
  <si>
    <t>77062</t>
  </si>
  <si>
    <t>2624486901</t>
  </si>
  <si>
    <t>Чернів</t>
  </si>
  <si>
    <t>(03435)43106</t>
  </si>
  <si>
    <t>Черченська загальноосвітня школа I-III ступенів Рогатинської районної ради Івано-Франківської області</t>
  </si>
  <si>
    <t>77015</t>
  </si>
  <si>
    <t>2624487201</t>
  </si>
  <si>
    <t>(03435)71214</t>
  </si>
  <si>
    <t>Черченський обласний навчально-реабілітаційний центр Івано-Франківської обласної ради</t>
  </si>
  <si>
    <t>вул. Шевченка, 58 а</t>
  </si>
  <si>
    <t>(03435)71191, (03435)71192, (03435)71193</t>
  </si>
  <si>
    <t>37684548</t>
  </si>
  <si>
    <t>Чесниківський навчально-виховний комплекс</t>
  </si>
  <si>
    <t>77042</t>
  </si>
  <si>
    <t>2624487301</t>
  </si>
  <si>
    <t>Чесники</t>
  </si>
  <si>
    <t>вул. кінець, 1</t>
  </si>
  <si>
    <t>(03435)60693</t>
  </si>
  <si>
    <t>Юнашківська загальноосвітня школа І-ІІ ступенів Рогатинської районної ради Івано-Франківської області</t>
  </si>
  <si>
    <t>2624487501</t>
  </si>
  <si>
    <t>Юнашків</t>
  </si>
  <si>
    <t>ал. Ігоря Кліща, 7А</t>
  </si>
  <si>
    <t>Явченська загальноосвітня школа І-ІІ ступенів</t>
  </si>
  <si>
    <t>77035</t>
  </si>
  <si>
    <t>2624487801</t>
  </si>
  <si>
    <t>Явче</t>
  </si>
  <si>
    <t>вул. Левицького, 8</t>
  </si>
  <si>
    <t>(03435)56740</t>
  </si>
  <si>
    <t>Рожнятівська вечірня (змінна) загальноосвітня школа ІІІ ступеня Рожнятівської районної ради Івано-Франківська області</t>
  </si>
  <si>
    <t>77600</t>
  </si>
  <si>
    <t>2624855100</t>
  </si>
  <si>
    <t>Рожнятів</t>
  </si>
  <si>
    <t>(03474)20270</t>
  </si>
  <si>
    <t>Рожнятівська загальноосвітня школа І-ІІІ ступенів Рожнятіської районної ради Івано-Франківської області</t>
  </si>
  <si>
    <t>77601</t>
  </si>
  <si>
    <t>(03474)20281</t>
  </si>
  <si>
    <t>Брошнів - Осадська загальноосвітня школа І-ІІІ ступенів Рожнятівської районної ради Івано-Франківської області</t>
  </si>
  <si>
    <t>77611</t>
  </si>
  <si>
    <t>2624855400</t>
  </si>
  <si>
    <t>Брошнів-Осада</t>
  </si>
  <si>
    <t>вул. 22 Січня, 55</t>
  </si>
  <si>
    <t>(03474)46-2-16</t>
  </si>
  <si>
    <t>Перегінська загальноосвітня школа І - ІІІ ступенів № 2 Рожнятівської районної ради Івано-Франківської області</t>
  </si>
  <si>
    <t>2624855800</t>
  </si>
  <si>
    <t>Перегінське</t>
  </si>
  <si>
    <t>вул. Радова Права, 28 а</t>
  </si>
  <si>
    <t>(03474)98-3-17</t>
  </si>
  <si>
    <t>Перегінська загальноосвітня школа І-ІІІ ступенів № 1 Рожнятівської районної ради Івано-Франківської області</t>
  </si>
  <si>
    <t>(03474)98531</t>
  </si>
  <si>
    <t>http://Peregshool.if.ua</t>
  </si>
  <si>
    <t>Перегінська спеціальна загальноосвітня школа-інтернат</t>
  </si>
  <si>
    <t>вул. Січових Стрільців, 11</t>
  </si>
  <si>
    <t>(03474)98-1-82</t>
  </si>
  <si>
    <t>23922311</t>
  </si>
  <si>
    <t>Перегінський міжшкільний навчально-виробничий комбінат Рожнятівської районної ради Івано-Франківської області</t>
  </si>
  <si>
    <t>вул. Сотенного Довбуша, 4</t>
  </si>
  <si>
    <t>(03474)98614</t>
  </si>
  <si>
    <t>http://www.mnvk-p.at.ua</t>
  </si>
  <si>
    <t>Закерничанська загальноосвітня школа I-II ступенів Рожнятівської районної ради Івано-Франківської області</t>
  </si>
  <si>
    <t>2624855802</t>
  </si>
  <si>
    <t>Закерничне</t>
  </si>
  <si>
    <t>вул. Шевченка, 34А</t>
  </si>
  <si>
    <t>(1111)98-5-23</t>
  </si>
  <si>
    <t>Берлогівська загальноосвітня школа І-ІІ ступенів Рожнятівської районної ради Івано-Франківської області</t>
  </si>
  <si>
    <t>77630</t>
  </si>
  <si>
    <t>2624880301</t>
  </si>
  <si>
    <t>Берлоги</t>
  </si>
  <si>
    <t>вул. Левицького, 6</t>
  </si>
  <si>
    <t>(03474)39355</t>
  </si>
  <si>
    <t>http://berlogzosh.ucoz.ua</t>
  </si>
  <si>
    <t>Брошнівська загальноосвітня школа І-ІІ ступенів Рожнятівської районної ради Івано-Франківської області</t>
  </si>
  <si>
    <t>77614</t>
  </si>
  <si>
    <t>2624880401</t>
  </si>
  <si>
    <t>Брошнів</t>
  </si>
  <si>
    <t>(03474)46765</t>
  </si>
  <si>
    <t>Вербівська загальноосвітня школа І-ІІ ступенів Рожнятівської районної ради Івано - Франківської області</t>
  </si>
  <si>
    <t>77634</t>
  </si>
  <si>
    <t>2624880601</t>
  </si>
  <si>
    <t>вул. Грушевського, 11</t>
  </si>
  <si>
    <t>(03474)30382</t>
  </si>
  <si>
    <t>Топільська загальноосвітня школа І ступеня Рожнятівської районної ради Івано-Франківської області</t>
  </si>
  <si>
    <t>77631</t>
  </si>
  <si>
    <t>2624880602</t>
  </si>
  <si>
    <t>Топільське</t>
  </si>
  <si>
    <t>вул. С.Бандери, 76</t>
  </si>
  <si>
    <t>(097)8402241</t>
  </si>
  <si>
    <t>Верхньострутинська загальноосвітня школа І-ІІ ступенів Рожнятівської районної ради Івано-Франківської області</t>
  </si>
  <si>
    <t>77621</t>
  </si>
  <si>
    <t>2624880901</t>
  </si>
  <si>
    <t>Верхній Струтинь</t>
  </si>
  <si>
    <t>вул. Січових Стрільців, 35</t>
  </si>
  <si>
    <t>Грабівська загальноосвітня школа І-ІІ ступенів Рожнятівської районної ради Івано-Франківської області</t>
  </si>
  <si>
    <t>77623</t>
  </si>
  <si>
    <t>2624881101</t>
  </si>
  <si>
    <t>Грабів</t>
  </si>
  <si>
    <t>вул. Івана Франка, 178</t>
  </si>
  <si>
    <t>Дубівська загальноосвітня школа І-ІІІ ступенів Рожнятівської районної ради Івано-Франківської області</t>
  </si>
  <si>
    <t>77644</t>
  </si>
  <si>
    <t>2624881301</t>
  </si>
  <si>
    <t>Дуба</t>
  </si>
  <si>
    <t>вул. Лесі Українки, 49</t>
  </si>
  <si>
    <t>39630</t>
  </si>
  <si>
    <t>Ілемнянська загальноосвітня школа І-ІІІ ступенів</t>
  </si>
  <si>
    <t>77650</t>
  </si>
  <si>
    <t>2624881501</t>
  </si>
  <si>
    <t>Ілемня</t>
  </si>
  <si>
    <t>вул. Шевченка, 187</t>
  </si>
  <si>
    <t>Лугівська загально освітня школа І-ІІ ступенів Рожнятівської районної ради Івано-Франківської області</t>
  </si>
  <si>
    <t>77651</t>
  </si>
  <si>
    <t>2624881601</t>
  </si>
  <si>
    <t>(03474)3-10</t>
  </si>
  <si>
    <t>Камінська загальноосвітня школа І-ІІ ступенів Рожнятівської районної ради Івано-Франківської області</t>
  </si>
  <si>
    <t>77633</t>
  </si>
  <si>
    <t>2624881801</t>
  </si>
  <si>
    <t>вул. Довбуша, 139</t>
  </si>
  <si>
    <t>Князівська загальноосвітня школа І- ІІ ступеня Рожнятівської районної ради Івано- Франківської області</t>
  </si>
  <si>
    <t>77642</t>
  </si>
  <si>
    <t>2624882101</t>
  </si>
  <si>
    <t>Князівське</t>
  </si>
  <si>
    <t>(03474)34237</t>
  </si>
  <si>
    <t>Красненська загальноосвітня школа І-ІІІ ступенів Рожнятівської районної ради Івано-Франківської області</t>
  </si>
  <si>
    <t>77660</t>
  </si>
  <si>
    <t>2624882401</t>
  </si>
  <si>
    <t>вул. Незалежності, 16</t>
  </si>
  <si>
    <t>(03474)32-5-14</t>
  </si>
  <si>
    <t>Креховицька загальноосвітня школа І-ІІ ступенів Рожнятівської районної ради Івано-Франківської області</t>
  </si>
  <si>
    <t>77610</t>
  </si>
  <si>
    <t>2624882601</t>
  </si>
  <si>
    <t>Креховичі</t>
  </si>
  <si>
    <t>(03474)45700</t>
  </si>
  <si>
    <t>Липовицька загальноосвітня школа І-ІІІ ступенів Рожнятівської районної ради Івано-Франківської області</t>
  </si>
  <si>
    <t>77653</t>
  </si>
  <si>
    <t>2624882901</t>
  </si>
  <si>
    <t>Липовиця</t>
  </si>
  <si>
    <t>Лоп'янська загальноосвітня школа І-ІІІ ступенів Рожнятівської районної ради Івано-Франківської області</t>
  </si>
  <si>
    <t>77622</t>
  </si>
  <si>
    <t>2624883201</t>
  </si>
  <si>
    <t>Лоп'янка</t>
  </si>
  <si>
    <t>вул. Шевченка, 229</t>
  </si>
  <si>
    <t>(03474)34110</t>
  </si>
  <si>
    <t>http://www.lopscool.at.ua</t>
  </si>
  <si>
    <t>Небилівська загальноосвітня школа І-ІІІ ступенів Рожнятівської районної ради Івано-Франківської області</t>
  </si>
  <si>
    <t>77670</t>
  </si>
  <si>
    <t>2624883601</t>
  </si>
  <si>
    <t>Небилів</t>
  </si>
  <si>
    <t>вул. Шевченка, 35А</t>
  </si>
  <si>
    <t>(03474)38559</t>
  </si>
  <si>
    <t>Слободо - Небилівська загальноосвітня школа Іступеня Рожнятівської районної ради Івано - Франківської області</t>
  </si>
  <si>
    <t>2624883604</t>
  </si>
  <si>
    <t>Слобода-Небилівська</t>
  </si>
  <si>
    <t>Нижньострутинська загальноосвітня школа І-ІІІ ступенів Рожнятівської районної ради Івано-Франківської області</t>
  </si>
  <si>
    <t>77620</t>
  </si>
  <si>
    <t>2624883901</t>
  </si>
  <si>
    <t>Нижній Струтинь</t>
  </si>
  <si>
    <t>вул. Грушевського, 116</t>
  </si>
  <si>
    <t>(03474)31-2-66</t>
  </si>
  <si>
    <t>Вільхівська загальноосвітня школа І-ІІ ступенів Рожнятівської районної ради Івано-Франківської області</t>
  </si>
  <si>
    <t>77666</t>
  </si>
  <si>
    <t>2624884001</t>
  </si>
  <si>
    <t>(03474)39686</t>
  </si>
  <si>
    <t>Гриньківська заальноосвітня школа І ступеня Рожнятівської районної ради Івано - Франківської області</t>
  </si>
  <si>
    <t>77672</t>
  </si>
  <si>
    <t>2624884102</t>
  </si>
  <si>
    <t>Гриньків</t>
  </si>
  <si>
    <t>вул. І.Франка, 47</t>
  </si>
  <si>
    <t>(097)0971851817</t>
  </si>
  <si>
    <t>Петранківська загальноосвітня школа І - ІІ ступенів Рожнятівської районної ради Івано-Франківської області</t>
  </si>
  <si>
    <t>77635</t>
  </si>
  <si>
    <t>2624884401</t>
  </si>
  <si>
    <t>Петранка</t>
  </si>
  <si>
    <t>(03474)38258</t>
  </si>
  <si>
    <t>Петранківська загальноосвітня школа І-ІІІ ступенів Рожнятівської районної ради Івано-Франківської області</t>
  </si>
  <si>
    <t>(03474)38235</t>
  </si>
  <si>
    <t>http://petrankaschool.if.ua</t>
  </si>
  <si>
    <t>Ріпненська загальноосвітня школа І-ІІІ ступенів Рожнятівської районної ради Івано-Франківської області</t>
  </si>
  <si>
    <t>77661</t>
  </si>
  <si>
    <t>2624884601</t>
  </si>
  <si>
    <t>Ріпне</t>
  </si>
  <si>
    <t>(03474)39566</t>
  </si>
  <si>
    <t>http://ripneschool.at.ua/</t>
  </si>
  <si>
    <t>Рівнянська загальоосвітня школа І-ІІІ ступенів Рожнятівської районної ради, Івано - Франківської області</t>
  </si>
  <si>
    <t>2624884801</t>
  </si>
  <si>
    <t>Рівня</t>
  </si>
  <si>
    <t>вул. Січових Стрільців, 28А</t>
  </si>
  <si>
    <t>(03474)21700</t>
  </si>
  <si>
    <t>http://www.rivnyazosh.at.ua</t>
  </si>
  <si>
    <t>Сваричівська загальноосвітня школа І-ІІІ ступенів, Рожнятівської районної ради Івано-Франківської області</t>
  </si>
  <si>
    <t>77605</t>
  </si>
  <si>
    <t>2624885101</t>
  </si>
  <si>
    <t>Сваричів</t>
  </si>
  <si>
    <t>вул. Довга, 126А</t>
  </si>
  <si>
    <t>(03474)45234</t>
  </si>
  <si>
    <t>Сливківська загальноосвітня школа І-ІІ ступенів Рожнятівської районної ради Івано - Франківської області</t>
  </si>
  <si>
    <t>77671</t>
  </si>
  <si>
    <t>2624885201</t>
  </si>
  <si>
    <t>Сливки</t>
  </si>
  <si>
    <t>вул. Шевченка, 157</t>
  </si>
  <si>
    <t>(03474)36615</t>
  </si>
  <si>
    <t>Спаська загальноосвітня школа І-ІІІ ступенів Рожнятівської районної ради Івано-Франківської області</t>
  </si>
  <si>
    <t>77624</t>
  </si>
  <si>
    <t>2624885501</t>
  </si>
  <si>
    <t>вул. Січових Стрільців, 61</t>
  </si>
  <si>
    <t>(03474)34155</t>
  </si>
  <si>
    <t>http://spaschool.at.ua</t>
  </si>
  <si>
    <t>Погорілецька загальноосвітня школа І ступеня Рожнятівської районної ради Івано-Франківської області</t>
  </si>
  <si>
    <t>2624885503</t>
  </si>
  <si>
    <t>Погорілець</t>
  </si>
  <si>
    <t>Суходільська загальноосвітня школа І-ІІ ступенів Рожнятівської районної ради, Івано-Франківської області</t>
  </si>
  <si>
    <t>77652</t>
  </si>
  <si>
    <t>2624885901</t>
  </si>
  <si>
    <t>Суходіл</t>
  </si>
  <si>
    <t>вул. Лесі Українки, 78</t>
  </si>
  <si>
    <t>0971594932</t>
  </si>
  <si>
    <t>Цінівська загальноосвітня школа І - ІІІ ступенів Рожнятівської районної ради Івано - Франківської області</t>
  </si>
  <si>
    <t>77640</t>
  </si>
  <si>
    <t>2624886201</t>
  </si>
  <si>
    <t>Цінева</t>
  </si>
  <si>
    <t>вул. Залужна, 3</t>
  </si>
  <si>
    <t>(03474)33315</t>
  </si>
  <si>
    <t>Ясеновецька загальноосвітня школа І-ІІ ступенів Рожнятівської районної ради Івано-Франківської області</t>
  </si>
  <si>
    <t>77641</t>
  </si>
  <si>
    <t>2624886601</t>
  </si>
  <si>
    <t>Ясеновець</t>
  </si>
  <si>
    <t>вул. Незалежності, 67</t>
  </si>
  <si>
    <t>(03474)33-3-20</t>
  </si>
  <si>
    <t>Ясенська загальноосвітня школа І ступеня № 1 Рожнятівської районної ради Івано-Франківської області</t>
  </si>
  <si>
    <t>77673</t>
  </si>
  <si>
    <t>2624886701</t>
  </si>
  <si>
    <t>Ясень</t>
  </si>
  <si>
    <t>вул. Вагилевича, 620</t>
  </si>
  <si>
    <t>0974023059</t>
  </si>
  <si>
    <t>Ясенська загальноосвітня школа І ступеня № 2 Рожнятівської районної ради Івано - Франківської області</t>
  </si>
  <si>
    <t>вул. Вагилевича, 79</t>
  </si>
  <si>
    <t>(03474)36310</t>
  </si>
  <si>
    <t>Ясенська загальноосвітня школа І-ІІІ ступенів Рожнятівської районної ради Івано-Франківської області</t>
  </si>
  <si>
    <t>вул. Вагилевича, 370</t>
  </si>
  <si>
    <t>(03474)36241</t>
  </si>
  <si>
    <t>Навчально-виховний комплекс "Снятинська зальноосвітня школа І-ІІІступенів-ліцей" Снятинської районної ради Івано-Франківської області</t>
  </si>
  <si>
    <t>78300</t>
  </si>
  <si>
    <t>2625210100</t>
  </si>
  <si>
    <t>Снятин</t>
  </si>
  <si>
    <t>вул. Воєводи  Коснятина, 81</t>
  </si>
  <si>
    <t>(03476)25076</t>
  </si>
  <si>
    <t>20556774</t>
  </si>
  <si>
    <t>Снятинська вечірня (змінна) школа Снятинської районної ради Івано-Франківської області</t>
  </si>
  <si>
    <t>вул. Лотоцького, 13</t>
  </si>
  <si>
    <t>(03476)21838</t>
  </si>
  <si>
    <t>Снятинська гімназія Снятинської районної ради Івано-Франківської області</t>
  </si>
  <si>
    <t>вул. Лотоцького, 22</t>
  </si>
  <si>
    <t>(03476)22839</t>
  </si>
  <si>
    <t>Снятинська загальноосвітня школа № 2 І-ІІІ ступенів Снятинської районної ради Івано-Франківської області</t>
  </si>
  <si>
    <t>вул. Шевченка, 331</t>
  </si>
  <si>
    <t>(03476)22410</t>
  </si>
  <si>
    <t>Снятинська загальноосвітня школа І-ІІІ ступенів ім.В.Стефаника Снятинської районної ради Івано-Франківської області</t>
  </si>
  <si>
    <t>(03476)21236</t>
  </si>
  <si>
    <t>Заболотівська загальноосвітня школа І-ІІІ ступенів Снятинської районної ради Івано-Франківської області</t>
  </si>
  <si>
    <t>78315</t>
  </si>
  <si>
    <t>2625255300</t>
  </si>
  <si>
    <t>Заболотів</t>
  </si>
  <si>
    <t>вул. Б. Хмельницького, 18</t>
  </si>
  <si>
    <t>(03476)43630</t>
  </si>
  <si>
    <t>Заболотівський міжшкільний навчально-виробничий комбінат</t>
  </si>
  <si>
    <t>Будилівська загальноосвітня школа І-ІІ ступенів Снятинської районної ради Івано-Франківської області</t>
  </si>
  <si>
    <t>78346</t>
  </si>
  <si>
    <t>2625280201</t>
  </si>
  <si>
    <t>Будилів</t>
  </si>
  <si>
    <t>вул. Грушевського, 13</t>
  </si>
  <si>
    <t>36805</t>
  </si>
  <si>
    <t>http://budschol13.klasna.com</t>
  </si>
  <si>
    <t>Балинцівська загальноосвітня школа І-ІІІ ступенів Снятинської районної ради Івано-франківської області</t>
  </si>
  <si>
    <t>78312</t>
  </si>
  <si>
    <t>2625280301</t>
  </si>
  <si>
    <t>Балинці</t>
  </si>
  <si>
    <t>ал. Франка, 48</t>
  </si>
  <si>
    <t>(03476)4-72-07</t>
  </si>
  <si>
    <t>Белелуйська загальноосвітня школа І-ІІ ступенів Снятинської районної ради Івано-Франківської області</t>
  </si>
  <si>
    <t>78332</t>
  </si>
  <si>
    <t>2625280401</t>
  </si>
  <si>
    <t>Белелуя</t>
  </si>
  <si>
    <t>вул. Кобринської, 1</t>
  </si>
  <si>
    <t>(03476)2-14-53, (097)819-30-82</t>
  </si>
  <si>
    <t>Борщівська ЗОШ І ступеня</t>
  </si>
  <si>
    <t>2625280601</t>
  </si>
  <si>
    <t>Хлібичинська загальноосвітня школа І-ІІ ступенів Снятинської районної ради Івано-Франківської області</t>
  </si>
  <si>
    <t>78317</t>
  </si>
  <si>
    <t>2625280603</t>
  </si>
  <si>
    <t>Хлібичин</t>
  </si>
  <si>
    <t>(3476)43649</t>
  </si>
  <si>
    <t>Видинівська загальноосвітня школа І-ІІ ступенів Снятинської районної ради Івано-Франківської області</t>
  </si>
  <si>
    <t>78349</t>
  </si>
  <si>
    <t>2625280801</t>
  </si>
  <si>
    <t>Видинів</t>
  </si>
  <si>
    <t>0958705876</t>
  </si>
  <si>
    <t>Вовчківська загальноосвітня школа І-ІІІ ступенів Снятинської районної ради Івано-Франківської області</t>
  </si>
  <si>
    <t>78341</t>
  </si>
  <si>
    <t>2625280901</t>
  </si>
  <si>
    <t>Вовчківці</t>
  </si>
  <si>
    <t>(03476)51438</t>
  </si>
  <si>
    <t>Ганьківська загальноосвітня школа І-ІІІ ступенів Снятинська районна рада Івано-Франківська область</t>
  </si>
  <si>
    <t>78320</t>
  </si>
  <si>
    <t>2625281201</t>
  </si>
  <si>
    <t>Ганьківці</t>
  </si>
  <si>
    <t>Горішньозалучанська загальноосвітня школа І-ІІ ступенів Снятинської районної ради Івано-Франківської області</t>
  </si>
  <si>
    <t>78362</t>
  </si>
  <si>
    <t>2625281501</t>
  </si>
  <si>
    <t>Горішнє Залуччя</t>
  </si>
  <si>
    <t>ал. вулиця Шкільна, 1</t>
  </si>
  <si>
    <t>0968516459</t>
  </si>
  <si>
    <t>Долішньозалучанська загальноосвітня школа І-ІІІ ступенів Снятинської районної ради Івано-Франківської області</t>
  </si>
  <si>
    <t>78363</t>
  </si>
  <si>
    <t>2625281502</t>
  </si>
  <si>
    <t>Долішнє Залуччя</t>
  </si>
  <si>
    <t>вул. Шевченка, 64А</t>
  </si>
  <si>
    <t>(03476)33272</t>
  </si>
  <si>
    <t>Джурівська загальноосвітня школа І-ІІІ ступенів Снятинської районної ради Івано-Франківської області</t>
  </si>
  <si>
    <t>78354</t>
  </si>
  <si>
    <t>2625281801</t>
  </si>
  <si>
    <t>Джурів</t>
  </si>
  <si>
    <t>вул. Івана Франка, 58</t>
  </si>
  <si>
    <t>(03476)52376</t>
  </si>
  <si>
    <t>http://dzhuriv-school.at.ua</t>
  </si>
  <si>
    <t>Завальська загальноосвітня школа І-ІІ ступенів Снятинської районної ради Івано-Франківської області</t>
  </si>
  <si>
    <t>78364</t>
  </si>
  <si>
    <t>2625282101</t>
  </si>
  <si>
    <t>Завалля</t>
  </si>
  <si>
    <t>вул. Перемоги, 69</t>
  </si>
  <si>
    <t>(03476)37124</t>
  </si>
  <si>
    <t>Задубрівська загальноосвітня школа I-III ступенів Снятинської районної ради Івано-Франківської області</t>
  </si>
  <si>
    <t>78331</t>
  </si>
  <si>
    <t>2625282201</t>
  </si>
  <si>
    <t>Задубрівці</t>
  </si>
  <si>
    <t>вул. Грушевського, 95</t>
  </si>
  <si>
    <t>(03476)38157</t>
  </si>
  <si>
    <t>Іллінецька загальноосвітня школа І-ІІІ ступенів Снятинської районної ради Івано-Франківської області</t>
  </si>
  <si>
    <t>78351</t>
  </si>
  <si>
    <t>2625282301</t>
  </si>
  <si>
    <t>(03476)44369</t>
  </si>
  <si>
    <t>Княженська загальноосвітня школа I-III ступенів Снятинської районної ради Івано-Франківської області</t>
  </si>
  <si>
    <t>78360</t>
  </si>
  <si>
    <t>2625282601</t>
  </si>
  <si>
    <t>Княже</t>
  </si>
  <si>
    <t>вул. М. Грушевського</t>
  </si>
  <si>
    <t>(096)6245448, (097)4052719, (03476)35568</t>
  </si>
  <si>
    <t>Драгасимівський навчально-виховний комплекс (загальноосвітня школа І ступеня - садок) Снятинської районної ради</t>
  </si>
  <si>
    <t>2625282602</t>
  </si>
  <si>
    <t>Драгасимів</t>
  </si>
  <si>
    <t>вул. Шевченка, 16А</t>
  </si>
  <si>
    <t>(380)975804188</t>
  </si>
  <si>
    <t>Красноставська загальноосвітня школа І-ІІ ступенів Снятинської районної ради Івано-Франківської області</t>
  </si>
  <si>
    <t>78330</t>
  </si>
  <si>
    <t>2625282801</t>
  </si>
  <si>
    <t>Красноставці</t>
  </si>
  <si>
    <t>(03476)3-64-51</t>
  </si>
  <si>
    <t>Кулачківська загальноосвітня школа І-ІІ ступенів Снятинської районної ради Івано-Франківської області</t>
  </si>
  <si>
    <t>78310</t>
  </si>
  <si>
    <t>2625283301</t>
  </si>
  <si>
    <t>Кулачківці</t>
  </si>
  <si>
    <t>вул. Січових Стрільців, №42</t>
  </si>
  <si>
    <t>(03476)47483</t>
  </si>
  <si>
    <t>Хом'яківська загальноосвітня школа І ступпеня Снятинської районної ради</t>
  </si>
  <si>
    <t>78311</t>
  </si>
  <si>
    <t>2625283302</t>
  </si>
  <si>
    <t>Хом'яківка</t>
  </si>
  <si>
    <t>вул. Івана Франка, 105</t>
  </si>
  <si>
    <t>(03476)47461</t>
  </si>
  <si>
    <t>Новоселицька загальноосвітня школа І-ІІ ступенів Снятинської районної ради Івано-Франківської області</t>
  </si>
  <si>
    <t>78355</t>
  </si>
  <si>
    <t>2625283501</t>
  </si>
  <si>
    <t>вул. Івана Франка, 23</t>
  </si>
  <si>
    <t>(03476)52323</t>
  </si>
  <si>
    <t>Олешківська загальноосвітня школа І-ІІ ступенів Снятинської районної ради Івано-Франківської області</t>
  </si>
  <si>
    <t>78342</t>
  </si>
  <si>
    <t>2625283601</t>
  </si>
  <si>
    <t>Олешків</t>
  </si>
  <si>
    <t>вул. Новонарізна, 4</t>
  </si>
  <si>
    <t>(03476)46684</t>
  </si>
  <si>
    <t>Любківський навчально - виховний комплекс "дошкільний навчальний заклад - загальноосвітній навчальний заклад І ступеня" Снятинської районної ради Івано - Франківської області</t>
  </si>
  <si>
    <t>78343</t>
  </si>
  <si>
    <t>2625283602</t>
  </si>
  <si>
    <t>Любківці</t>
  </si>
  <si>
    <t>(03476)51653</t>
  </si>
  <si>
    <t>Підвисоцька загальноосвітня школа І-ІІІ ступенів Снятинської районної ради Івано-Франківської області</t>
  </si>
  <si>
    <t>78321</t>
  </si>
  <si>
    <t>2625283901</t>
  </si>
  <si>
    <t>Підвисоке</t>
  </si>
  <si>
    <t>вул. Січових Стрільців, 93</t>
  </si>
  <si>
    <t>0987097130</t>
  </si>
  <si>
    <t>Попельниківська загальноосвітня школа І-ІІІ ступенів Снятинської районної ради Івано-Франківської області</t>
  </si>
  <si>
    <t>78356</t>
  </si>
  <si>
    <t>2625284101</t>
  </si>
  <si>
    <t>Попельники</t>
  </si>
  <si>
    <t>вул. Шевченка, 42</t>
  </si>
  <si>
    <t>(03476)3-92-18</t>
  </si>
  <si>
    <t>Потічківський навчально-виховний комплекс (загальноосвітня школа І-ІІступенів-садок) Снятинської районної ради Івано-Франківської області</t>
  </si>
  <si>
    <t>78334</t>
  </si>
  <si>
    <t>2625284301</t>
  </si>
  <si>
    <t>Потічок</t>
  </si>
  <si>
    <t>ал. Незалежності, 59</t>
  </si>
  <si>
    <t>(03476)34134</t>
  </si>
  <si>
    <t>Прутівська ЗОШ І-ІІІ ступенів імені Володимира Самійленка Снятинської районної ради Івано -Франківської області</t>
  </si>
  <si>
    <t>78348</t>
  </si>
  <si>
    <t>2625284501</t>
  </si>
  <si>
    <t>Прутівка</t>
  </si>
  <si>
    <t>вул. Січових  Стрільців, 12</t>
  </si>
  <si>
    <t>(03476)35330</t>
  </si>
  <si>
    <t>Рудниківська загальноосвітня школа І-ІІІ ступенів Снятинської районної ради Івано-Франківської області</t>
  </si>
  <si>
    <t>78352</t>
  </si>
  <si>
    <t>2625284801</t>
  </si>
  <si>
    <t>(03476)48169</t>
  </si>
  <si>
    <t>Русівський навчально-виховний комплекс (загальноосвітня школа І-ІІ ступенів-садок) імені Івана Федорака Снятинської районної ради Івано-Франківської області</t>
  </si>
  <si>
    <t>78335</t>
  </si>
  <si>
    <t>2625284901</t>
  </si>
  <si>
    <t>Русів</t>
  </si>
  <si>
    <t>(8276)2-40-47</t>
  </si>
  <si>
    <t>Стецівська загальноосвітня школа І-ІІІ ступенів Снятинської районної ради Івано-Франківської області</t>
  </si>
  <si>
    <t>78333</t>
  </si>
  <si>
    <t>2625285101</t>
  </si>
  <si>
    <t>Стецева</t>
  </si>
  <si>
    <t>(03476)61152</t>
  </si>
  <si>
    <t>Стецівський міжшкільний навчально-виробничий комбінат</t>
  </si>
  <si>
    <t>Троїцька загальноосвітня школа І-ІІІ ступенів Снятинської районної ради Івано-Франківської області</t>
  </si>
  <si>
    <t>78350</t>
  </si>
  <si>
    <t>2625285401</t>
  </si>
  <si>
    <t>Троїця</t>
  </si>
  <si>
    <t>вул. Головна, 130А</t>
  </si>
  <si>
    <t>(03476)46153</t>
  </si>
  <si>
    <t>Тростянецька загальноосвітня школа І-ІІ ступенів Снятинської районної ради Івано-Франківської області</t>
  </si>
  <si>
    <t>78353</t>
  </si>
  <si>
    <t>2625285601</t>
  </si>
  <si>
    <t>(03476)49341</t>
  </si>
  <si>
    <t>Тулуківська загальноосвітня школа І-ІІ ступенів Снятинської районної ради Івано-Франківської області</t>
  </si>
  <si>
    <t>78340</t>
  </si>
  <si>
    <t>2625285901</t>
  </si>
  <si>
    <t>Тулуків</t>
  </si>
  <si>
    <t>вул. Василя Стуса</t>
  </si>
  <si>
    <t>(03476)46628</t>
  </si>
  <si>
    <t>http://tulukiv-zosh.if.sch.in.ua</t>
  </si>
  <si>
    <t>Келихівська загальноосвітня школа І ступеня</t>
  </si>
  <si>
    <t>07834</t>
  </si>
  <si>
    <t>2625285902</t>
  </si>
  <si>
    <t>Келихів</t>
  </si>
  <si>
    <t>вул. Л. Українки, 58</t>
  </si>
  <si>
    <t>(38)0976755009</t>
  </si>
  <si>
    <t>Тучапська загальноосвітня школа І ступеня Тучапської сільської ради Снятинського району Івано-Франківської області</t>
  </si>
  <si>
    <t>78357</t>
  </si>
  <si>
    <t>2625286001</t>
  </si>
  <si>
    <t>Тучапи</t>
  </si>
  <si>
    <t>вул. Шевченка, 40</t>
  </si>
  <si>
    <t>(097)0065188</t>
  </si>
  <si>
    <t>Устянська загальносвітня школа І-ІІІ ступенів Снятинської районної ради Івано-Франківської області</t>
  </si>
  <si>
    <t>78344</t>
  </si>
  <si>
    <t>2625286301</t>
  </si>
  <si>
    <t>(03476)54285</t>
  </si>
  <si>
    <t>Орелецька загальноосвітня школа І-ІІ ступенів Снятинської районної ради Івано-Франківської області</t>
  </si>
  <si>
    <t>78345</t>
  </si>
  <si>
    <t>2625286303</t>
  </si>
  <si>
    <t>Орелець</t>
  </si>
  <si>
    <t>(03476)3-13-33, (098)7054133</t>
  </si>
  <si>
    <t>Тулівська загальноосвітня школа І ступеня Снятинської районної ради Івано-Франківської області</t>
  </si>
  <si>
    <t>78347</t>
  </si>
  <si>
    <t>2625286304</t>
  </si>
  <si>
    <t>Тулова</t>
  </si>
  <si>
    <t>вул. Толока, 17</t>
  </si>
  <si>
    <t>(03476)31458</t>
  </si>
  <si>
    <t>Хутір-Будилівська загальноосвітня школа І-ІІ ступенів Снятинської районної ради Івано-Франківської області</t>
  </si>
  <si>
    <t>78302</t>
  </si>
  <si>
    <t>2625286401</t>
  </si>
  <si>
    <t>Хутір-Будилів</t>
  </si>
  <si>
    <t>вул. Баронська, 1, А</t>
  </si>
  <si>
    <t>Шевченківський навчально-виховний комплекс</t>
  </si>
  <si>
    <t>2625287401</t>
  </si>
  <si>
    <t>0978262213</t>
  </si>
  <si>
    <t>Зібранівська загальноосвітня школа І-ІІ ступенів Снятинської районної ради Івано-Франківської області</t>
  </si>
  <si>
    <t>78324</t>
  </si>
  <si>
    <t>2625287402</t>
  </si>
  <si>
    <t>Зібранівка</t>
  </si>
  <si>
    <t>вул. В.Боратинського</t>
  </si>
  <si>
    <t>(098)6700949</t>
  </si>
  <si>
    <t>Рожневопільська загальноосвітня школа І ступеня Снятинської районної ради Івано-Франківської області</t>
  </si>
  <si>
    <t>2625287403</t>
  </si>
  <si>
    <t>Рожневі Поля</t>
  </si>
  <si>
    <t>(098)7050112</t>
  </si>
  <si>
    <t>Тлумацька гімназія Тлумацької міської ради обєднаної територіальної громади Тлумацького району Івоно-Франківської області</t>
  </si>
  <si>
    <t>78000</t>
  </si>
  <si>
    <t>2625610100</t>
  </si>
  <si>
    <t>Тлумач</t>
  </si>
  <si>
    <t>(03479)22355</t>
  </si>
  <si>
    <t>20562020</t>
  </si>
  <si>
    <t>Тлумацька загальноосвітня школа І-ІІІ ступенів Тлумацької міської ради об'єднаної територіальної громади Тлумацького району Івано-Франківської області</t>
  </si>
  <si>
    <t>вул. Макуха, 11</t>
  </si>
  <si>
    <t>(03479)21434, (03479)21335</t>
  </si>
  <si>
    <t>Тлумацька спеціальна загальноосвітня школа-інтернат</t>
  </si>
  <si>
    <t>(03479)22394, (03479)21267</t>
  </si>
  <si>
    <t>http://tlumach-internat.blogspot.com</t>
  </si>
  <si>
    <t>20562071</t>
  </si>
  <si>
    <t>Обертинська загальноосвітня школа І-ІІІ ступенів Тлумацької районної ради Івано-Франківської області</t>
  </si>
  <si>
    <t>78060</t>
  </si>
  <si>
    <t>2625655400</t>
  </si>
  <si>
    <t>Обертин</t>
  </si>
  <si>
    <t>вул. Хотимирська, 2</t>
  </si>
  <si>
    <t>(03479)43334</t>
  </si>
  <si>
    <t>http://www.obertyn-zosh.if.sch.in.ua/</t>
  </si>
  <si>
    <t>Гончарівський навчально-виховний комплекс ( загальноосвітня школа І-ІІ ступенів - дошкільний навчальний заклад ) Тлумацької районної ради Івано-Франківської області</t>
  </si>
  <si>
    <t>78063</t>
  </si>
  <si>
    <t>2625655401</t>
  </si>
  <si>
    <t>Гончарів</t>
  </si>
  <si>
    <t>вул. Січових Стрільців, 92</t>
  </si>
  <si>
    <t>46234</t>
  </si>
  <si>
    <t>Бортниківський навчально-виховний комплекс (загальноосвітня школа І - ІІІ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</si>
  <si>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78033</t>
  </si>
  <si>
    <t>2625680401</t>
  </si>
  <si>
    <t>(03479)62-3-17</t>
  </si>
  <si>
    <t>Братишівський навчально-виховний комплекс ( загальноосвітня школа I-II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</si>
  <si>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78014</t>
  </si>
  <si>
    <t>2625680801</t>
  </si>
  <si>
    <t>Братишів</t>
  </si>
  <si>
    <t>вул. Гора, 28</t>
  </si>
  <si>
    <t>(03479)68285</t>
  </si>
  <si>
    <t>Будзинська загальноосвітня школа І-ІІ ступенів Тлумацької районної ради Івано-Франківської області</t>
  </si>
  <si>
    <t>78022</t>
  </si>
  <si>
    <t>2625681001</t>
  </si>
  <si>
    <t>Будзин</t>
  </si>
  <si>
    <t>вул. Т.Шевченка, 10</t>
  </si>
  <si>
    <t>(03479)3-37-54</t>
  </si>
  <si>
    <t>Вікнянський навчально-виховний комплекс (загальноосвітня школа І-ІІ ступенів - дошкільний навчальний заклад) Тлумацької міської ради об'днаної територіальної громади Тлумацького району Івано-Франківської області</t>
  </si>
  <si>
    <t>78021</t>
  </si>
  <si>
    <t>2625681101</t>
  </si>
  <si>
    <t>Вікняни</t>
  </si>
  <si>
    <t>вул. Марійки Підгірянки, 79</t>
  </si>
  <si>
    <t>(03479)61419</t>
  </si>
  <si>
    <t>Гавриляцька загальноосвітня школа І-ІІ ступенів Тлумацької районної ради Івано-Франківської області</t>
  </si>
  <si>
    <t>78052</t>
  </si>
  <si>
    <t>2625681201</t>
  </si>
  <si>
    <t>Гавриляк</t>
  </si>
  <si>
    <t>вул. Лесі Українки, 69</t>
  </si>
  <si>
    <t>(03479)45232</t>
  </si>
  <si>
    <t>Гарасимівська загальноосвітня школа І-ІІІ ступенів Тлумацької районної ради Івано-Франківської області</t>
  </si>
  <si>
    <t>78051</t>
  </si>
  <si>
    <t>2625681301</t>
  </si>
  <si>
    <t>Гарасимів</t>
  </si>
  <si>
    <t>вул. Українська, 44А</t>
  </si>
  <si>
    <t>(03479)48231</t>
  </si>
  <si>
    <t>http://garasymiwschool.at.ua</t>
  </si>
  <si>
    <t>Гостівська загальноосвітня школа І-ІІІ ступенів Тлумацької районної ради Івано-Франківської області</t>
  </si>
  <si>
    <t>78032</t>
  </si>
  <si>
    <t>2625681701</t>
  </si>
  <si>
    <t>Гостів</t>
  </si>
  <si>
    <t>вул. 24 серпня, 10</t>
  </si>
  <si>
    <t>http://gostiv-school.if.sch.in.ua</t>
  </si>
  <si>
    <t>Гринівецька загальноосвітня школа І-ІІ ступенів Тлумацької міської ради об'єднаної територіальної громади Тлумацького району Івано-Франківської області</t>
  </si>
  <si>
    <t>78006</t>
  </si>
  <si>
    <t>2625682101</t>
  </si>
  <si>
    <t>вул. Грушевського, 51</t>
  </si>
  <si>
    <t>(034279)67232</t>
  </si>
  <si>
    <t>Грушківський навчально - виховний комплекс (загальноосвітня школа І - ІІІступенів- дошкільний навчальний заклад) Тлумацької районної ради Івано- Франківської області</t>
  </si>
  <si>
    <t>78043</t>
  </si>
  <si>
    <t>2625682501</t>
  </si>
  <si>
    <t>Грушка</t>
  </si>
  <si>
    <t>вул. Шкромиди, 1А</t>
  </si>
  <si>
    <t>(0(279))6-16-30</t>
  </si>
  <si>
    <t>Делівська загальноосвітня школа І-ІІІ ступенів Тлумацької районної ради Івано - Франківської області</t>
  </si>
  <si>
    <t>78023</t>
  </si>
  <si>
    <t>2625682901</t>
  </si>
  <si>
    <t>Делева</t>
  </si>
  <si>
    <t>(03479)33717</t>
  </si>
  <si>
    <t>http://deleva.klasna.com</t>
  </si>
  <si>
    <t>Долинський навчально-виховний комплекс (загальноосвітня школа І-ІІ ступенів - дошкільний навчальний заклад) Тлумацької районної ради Івано-Франківської області</t>
  </si>
  <si>
    <t>78024</t>
  </si>
  <si>
    <t>2625683301</t>
  </si>
  <si>
    <t>(03479)65246</t>
  </si>
  <si>
    <t>Живачівський навчально-виховний комлекс (загальноосвітня школа І-ІІ ступенів - дошкільний навчальний заклад) Тлумацької районної ради Івано-Франківської області</t>
  </si>
  <si>
    <t>78044</t>
  </si>
  <si>
    <t>2625683701</t>
  </si>
  <si>
    <t>Живачів</t>
  </si>
  <si>
    <t>ал. Незалежності, 29 а</t>
  </si>
  <si>
    <t>(03479)55236</t>
  </si>
  <si>
    <t>Жуківська загальноосвітня школа І-ІІ ступенівТлумацької районної ради Івано-Франківської області</t>
  </si>
  <si>
    <t>78053</t>
  </si>
  <si>
    <t>2625684001</t>
  </si>
  <si>
    <t>Жуків</t>
  </si>
  <si>
    <t>(034)4-66-23</t>
  </si>
  <si>
    <t>Ісаківський навчально-виховний комплекс (загальноосвітня школа 1-2 ступенів-дошкільний навчальний заклад). Тлумацької районної ради</t>
  </si>
  <si>
    <t>78042</t>
  </si>
  <si>
    <t>2625684301</t>
  </si>
  <si>
    <t>Ісаків</t>
  </si>
  <si>
    <t>вул. Івана Франка, 20</t>
  </si>
  <si>
    <t>(03479)51634</t>
  </si>
  <si>
    <t>Колінцівський навчально-виховний комплекс (загальнооосвітня школа І-ІІ ступенів - дошкільний навчальний заклад) Тлумацької районної ради Івано-Франківської області</t>
  </si>
  <si>
    <t>78005</t>
  </si>
  <si>
    <t>2625684501</t>
  </si>
  <si>
    <t>Колінці</t>
  </si>
  <si>
    <t>вул. січових стрільців, 4</t>
  </si>
  <si>
    <t>(03479)69235</t>
  </si>
  <si>
    <t>http://www.kolintsi-nvk.if.sch.in.ua/</t>
  </si>
  <si>
    <t>Королівська загальноосвітня школа І-ІІІ ступенів Тлумацької міської ради об'єднаної територіальної громади Тлумацького району Івано-Франківської області</t>
  </si>
  <si>
    <t>78030</t>
  </si>
  <si>
    <t>2625684801</t>
  </si>
  <si>
    <t>вул. Люлька, 1</t>
  </si>
  <si>
    <t>(03479)62468</t>
  </si>
  <si>
    <t>Кутищенський навчально-виховний комплекс (загальноосвітня школа І-ІІІ ступенів-дошкільний навчальний заклад) Тлумацької районної ради Івано-Франківської області</t>
  </si>
  <si>
    <t>78020</t>
  </si>
  <si>
    <t>2625685001</t>
  </si>
  <si>
    <t>Кутище</t>
  </si>
  <si>
    <t>вул. Центральна, 87 а</t>
  </si>
  <si>
    <t>(03479)63122</t>
  </si>
  <si>
    <t>http://cms.kutychescool.webnode.com.ua.</t>
  </si>
  <si>
    <t>Надорожнянський навчально-виховний комплекс (загальноосвітня школа І-ІІ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</si>
  <si>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78016</t>
  </si>
  <si>
    <t>2625685301</t>
  </si>
  <si>
    <t>Надорожна</t>
  </si>
  <si>
    <t>вул. Гостинець, 37</t>
  </si>
  <si>
    <t>(03479)66232</t>
  </si>
  <si>
    <t>https://nadorozhna.at.ua</t>
  </si>
  <si>
    <t>Нижнівський навчально-виховний комплекс (загальноосвітня школа І-ІІІ ступенів - дошкільний навчальний заклад) Тлумацької районної ради Івано -Франківської області</t>
  </si>
  <si>
    <t>78013</t>
  </si>
  <si>
    <t>2625685601</t>
  </si>
  <si>
    <t>Нижнів</t>
  </si>
  <si>
    <t>вул. Дністерська, 9</t>
  </si>
  <si>
    <t>0347962727</t>
  </si>
  <si>
    <t>Озерянський навчально-виховний комплекс (загальноосвітня школа I-II ступенів-дошкільний навчальний заклад) Тлумацької районної ради Івано-Франківської області</t>
  </si>
  <si>
    <t>78045</t>
  </si>
  <si>
    <t>2625685701</t>
  </si>
  <si>
    <t>(03479)5-14-33</t>
  </si>
  <si>
    <t>Олешанська загальноосвітня школа І-ІІІ ступенів Тлумацької районної ради Івано-Франківської області</t>
  </si>
  <si>
    <t>78040</t>
  </si>
  <si>
    <t>2625686201</t>
  </si>
  <si>
    <t>Олеша</t>
  </si>
  <si>
    <t>вул. Грушевського, 83</t>
  </si>
  <si>
    <t>(03479)63559</t>
  </si>
  <si>
    <t>http://olesha-shool.at.ua</t>
  </si>
  <si>
    <t>Олешівський навчально-виховний комплекс (загальноосвітня школа І-ІІ ступенів - дошкільний навчальний заклад) Тлумацької районної ради Івано-Франківської області</t>
  </si>
  <si>
    <t>78011</t>
  </si>
  <si>
    <t>2625686401</t>
  </si>
  <si>
    <t>Олешів</t>
  </si>
  <si>
    <t>вул. Центральна, 19,а</t>
  </si>
  <si>
    <t>(03479)54224</t>
  </si>
  <si>
    <t>Остринська загальноосвітня школа І-ІІ ступенів Тлумацької міської ради об'єднаної територіальної громади Тлумацького району Івано-Франківської області</t>
  </si>
  <si>
    <t>78012</t>
  </si>
  <si>
    <t>2625686601</t>
  </si>
  <si>
    <t>Остриня</t>
  </si>
  <si>
    <t>вул. Братів Саракунових, 5</t>
  </si>
  <si>
    <t>(03479)54258</t>
  </si>
  <si>
    <t>http://ostrynya.ucoz.ua/</t>
  </si>
  <si>
    <t>Палагицький навчально-виховний комплекс (загальноосвітня школа І-ІІ ступенів - дошкільний навчальний заклад) Тлумацької районної ради Івано-Франківської області</t>
  </si>
  <si>
    <t>78015</t>
  </si>
  <si>
    <t>2625686901</t>
  </si>
  <si>
    <t>Палагичі</t>
  </si>
  <si>
    <t>вул. Центральна, 80</t>
  </si>
  <si>
    <t>(03479)6-45-23</t>
  </si>
  <si>
    <t>http://palagychi-nvk.if.sch.in.ua</t>
  </si>
  <si>
    <t>Петрилівський навчально-виховний комплекс (загальноосвітня школа І-ІІ ступенів - дошкільний навчальний заклад) Тлумальцької районної ради Івано-Франківської області</t>
  </si>
  <si>
    <t>78010</t>
  </si>
  <si>
    <t>2625687201</t>
  </si>
  <si>
    <t>Петрилів</t>
  </si>
  <si>
    <t>вул. Незалежності, 19</t>
  </si>
  <si>
    <t>http://petrulivnvk.esy.es</t>
  </si>
  <si>
    <t>Петрівська загальноосвітня школа І-ІІІ ступенів Тлумацької районної ради Івано-Франківської області</t>
  </si>
  <si>
    <t>78041</t>
  </si>
  <si>
    <t>2625687601</t>
  </si>
  <si>
    <t>Петрів</t>
  </si>
  <si>
    <t>вул. Незалежності, 02</t>
  </si>
  <si>
    <t>(03479)51816</t>
  </si>
  <si>
    <t>http://petriv-school.at.ua</t>
  </si>
  <si>
    <t>Підвербцівський навчально-виховний комплекс (загальноосвітня школа І-ІІ ступенів- дошкільний навчальний заклад)</t>
  </si>
  <si>
    <t>78046</t>
  </si>
  <si>
    <t>2625687701</t>
  </si>
  <si>
    <t>Підвербці</t>
  </si>
  <si>
    <t>вул. Шевченка, 78</t>
  </si>
  <si>
    <t>(034)7951232</t>
  </si>
  <si>
    <t>Прибилівський навчально-виховний комплекс (загальноосвітня школа І-ІІ ступенів - дошкільний навчальний заклад) Тлумацької міської ради об'єднаної територіальної громади</t>
  </si>
  <si>
    <t>78031</t>
  </si>
  <si>
    <t>2625687801</t>
  </si>
  <si>
    <t>Прибилів</t>
  </si>
  <si>
    <t>Пужниківський навчально-виховний комплекс (загальноосвітня школа І-ІІ ступенів-дошкільний навчальний заклад) Тлумацької міської ради об'єднаної територіальної громади Тлумацькогго району Івано - Франківської області</t>
  </si>
  <si>
    <t>78034</t>
  </si>
  <si>
    <t>2625688001</t>
  </si>
  <si>
    <t>Пужники</t>
  </si>
  <si>
    <t>(03479)6-23-58</t>
  </si>
  <si>
    <t>https://sites.google.com/site/pujnykivskinvk/</t>
  </si>
  <si>
    <t>Хотимирський навчально-виховний комплекс (загальноосвітня школа І-ІІ ступенів - дошкільний навчальний заклад) Тлумацької районної ради Івано-Франківської області</t>
  </si>
  <si>
    <t>78050</t>
  </si>
  <si>
    <t>2625688201</t>
  </si>
  <si>
    <t>Хотимир</t>
  </si>
  <si>
    <t>вул. Осередок, 49</t>
  </si>
  <si>
    <t>(03479)45746</t>
  </si>
  <si>
    <t>Яківська загальноосвітня школа І-ІІ ступенів Тлумацької районної ради Івано-Франківської області</t>
  </si>
  <si>
    <t>78064</t>
  </si>
  <si>
    <t>2625688601</t>
  </si>
  <si>
    <t>Яківка</t>
  </si>
  <si>
    <t>(03479)47510</t>
  </si>
  <si>
    <t>http://yakivka-school.edukit.if.ua</t>
  </si>
  <si>
    <t>Тисменицька спеціалізована школа І-ІІІ ступенів з поглибленим вивченням окремих предметів Тисменицької районної ради Івано-Франківської області</t>
  </si>
  <si>
    <t>77440</t>
  </si>
  <si>
    <t>2625810100</t>
  </si>
  <si>
    <t>Тисмениця</t>
  </si>
  <si>
    <t>вул. Липова, 9</t>
  </si>
  <si>
    <t>(03436)24113</t>
  </si>
  <si>
    <t>Єзупільський навчально-виховний комплекс "Загальноосвітня школа І - ІІІ ступенів - дошкільний навчальний заклад" Тисменицької районної ради Івано-Франківської області</t>
  </si>
  <si>
    <t>77411</t>
  </si>
  <si>
    <t>2625855300</t>
  </si>
  <si>
    <t>Єзупіль</t>
  </si>
  <si>
    <t>вул. Степана Бандери, 21</t>
  </si>
  <si>
    <t>(03436)51231, (03436)51338</t>
  </si>
  <si>
    <t>Лисецький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</si>
  <si>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77455</t>
  </si>
  <si>
    <t>2625855600</t>
  </si>
  <si>
    <t>Лисець</t>
  </si>
  <si>
    <t>вул. Січових Стрільців, 50</t>
  </si>
  <si>
    <t>(03436)41135</t>
  </si>
  <si>
    <t>Березівська загальноосвітня школа І-ІІІступенів Тисменицької районної ради Івано-Франківської області</t>
  </si>
  <si>
    <t>77461</t>
  </si>
  <si>
    <t>2625880101</t>
  </si>
  <si>
    <t>(03836)61426</t>
  </si>
  <si>
    <t>Братковецька загальноосвітня школа І-ІІІ ступенів Тисменицької районної ради Івано-Фраківської області</t>
  </si>
  <si>
    <t>77462</t>
  </si>
  <si>
    <t>2625880201</t>
  </si>
  <si>
    <t>Братківці</t>
  </si>
  <si>
    <t>0343633685</t>
  </si>
  <si>
    <t>Драгомирчанська загальноосвітня школа І-ІІ ступенів Тисменицької районної ради Івано-Франківської області</t>
  </si>
  <si>
    <t>77454</t>
  </si>
  <si>
    <t>2625880901</t>
  </si>
  <si>
    <t>Драгомирчани</t>
  </si>
  <si>
    <t>(03436)41224</t>
  </si>
  <si>
    <t>Довгівський навчально-виховний комплекс "Загальноосвітня школа І-ІІ ступенів - дошкільний навчальний заклад" Тисменицької районної ради Івано-Франківської області</t>
  </si>
  <si>
    <t>77433</t>
  </si>
  <si>
    <t>2625881001</t>
  </si>
  <si>
    <t>(03634)31-3-29</t>
  </si>
  <si>
    <t>Загвіздянська загальноосвітня школа І-ІІІ ступенів Тисменицької районної ради Івано-Франківської області</t>
  </si>
  <si>
    <t>77450</t>
  </si>
  <si>
    <t>2625881101</t>
  </si>
  <si>
    <t>Загвіздя</t>
  </si>
  <si>
    <t>вул. Підгірка, 5А</t>
  </si>
  <si>
    <t>(03436)44212</t>
  </si>
  <si>
    <t>Клубовецька загальноосвітня школа І-ІІІ ступенів Тисменицької районної ради Івано-Франківської області</t>
  </si>
  <si>
    <t>77443</t>
  </si>
  <si>
    <t>2625881501</t>
  </si>
  <si>
    <t>Клубівці</t>
  </si>
  <si>
    <t>вул. Стародорожна, 1</t>
  </si>
  <si>
    <t>(03436)31764</t>
  </si>
  <si>
    <t>http://kluedu.if.ua</t>
  </si>
  <si>
    <t>Козинська загальноосвітня школа І-ІІ ступенів Тисменицької районної ради Івано-Франківської області</t>
  </si>
  <si>
    <t>77410</t>
  </si>
  <si>
    <t>2625881801</t>
  </si>
  <si>
    <t>Козина</t>
  </si>
  <si>
    <t>(03436)51258</t>
  </si>
  <si>
    <t>Колодіївська загальноосвітня школа І-ІІ ступенів Тисменицької районної ради Івано-Франківської області</t>
  </si>
  <si>
    <t>77435</t>
  </si>
  <si>
    <t>2625881901</t>
  </si>
  <si>
    <t>Колодіївка</t>
  </si>
  <si>
    <t>вул. Шепаровича, 2</t>
  </si>
  <si>
    <t>(03436)32441</t>
  </si>
  <si>
    <t>Липівська загальноосвітня школа І-ІІІ ступенів Тисменицької районної ради Івано-Франківської області</t>
  </si>
  <si>
    <t>77463</t>
  </si>
  <si>
    <t>2625882401</t>
  </si>
  <si>
    <t>(03436)3-36-89</t>
  </si>
  <si>
    <t>http://schooloflypivka.at.ua</t>
  </si>
  <si>
    <t>Майданський навчально-виховний комплекс «Загальноосвітня школа І-ІІ ступенів - дошкільний навчальний заклад» Тисменицької районної ради Івано-Франківської області</t>
  </si>
  <si>
    <t>77420</t>
  </si>
  <si>
    <t>2625882701</t>
  </si>
  <si>
    <t>вул. Січових стрільців, 1</t>
  </si>
  <si>
    <t>(03436)42618</t>
  </si>
  <si>
    <t>Марковецький навчально-виховний комплекс "Загальноосвітня школа І-ІІІ ступенів - дошкільний виховний заклад"</t>
  </si>
  <si>
    <t>77470</t>
  </si>
  <si>
    <t>2625882901</t>
  </si>
  <si>
    <t>Марківці</t>
  </si>
  <si>
    <t>(03436)35222</t>
  </si>
  <si>
    <t>Одаївська загальноосвітня школа І-ІІ ступенів Тисменицької районної ради Івано-Франківської області</t>
  </si>
  <si>
    <t>2625882903</t>
  </si>
  <si>
    <t>(035)2-33</t>
  </si>
  <si>
    <t>Милуванський навчально-виховний комплекс "Загальноосвітня школа І - ІІ ступенів-дошкільний навчальний заклад" Тисменицької районної ради Івано-Франківської області</t>
  </si>
  <si>
    <t>77437</t>
  </si>
  <si>
    <t>2625883001</t>
  </si>
  <si>
    <t>Милування</t>
  </si>
  <si>
    <t>вул. Просвіти, 23</t>
  </si>
  <si>
    <t>(03436)31270, (066)3589406</t>
  </si>
  <si>
    <t>Новокривотульська загальноосвітня школа І-ІІ ступенів Тисменицької районної ради Івано-Франківської області</t>
  </si>
  <si>
    <t>77473</t>
  </si>
  <si>
    <t>2625883201</t>
  </si>
  <si>
    <t>Нові Кривотули</t>
  </si>
  <si>
    <t>вул. М. Грушевського, 46А</t>
  </si>
  <si>
    <t>(034)3636218</t>
  </si>
  <si>
    <t>Терновицький навчально-виховний комплекс Тисменицької районної ради Івано-Франківської області</t>
  </si>
  <si>
    <t>2625883203</t>
  </si>
  <si>
    <t>Терновиця</t>
  </si>
  <si>
    <t>вул. Центральна, 16А</t>
  </si>
  <si>
    <t>(03436)36340</t>
  </si>
  <si>
    <t>Вільшаницька загальноосвітня школа І-ІІІ ступенів Тисменицької районної ради Івано-Франківської області</t>
  </si>
  <si>
    <t>2625883501</t>
  </si>
  <si>
    <t>Вільшаниця</t>
  </si>
  <si>
    <t>вул. Осередок, 103</t>
  </si>
  <si>
    <t>(03436)33419</t>
  </si>
  <si>
    <t>Павлівський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</si>
  <si>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77421</t>
  </si>
  <si>
    <t>2625883801</t>
  </si>
  <si>
    <t>вул. П.Когуча, 4</t>
  </si>
  <si>
    <t>(03436)47221</t>
  </si>
  <si>
    <t>Поберезький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</si>
  <si>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77430</t>
  </si>
  <si>
    <t>2625884101</t>
  </si>
  <si>
    <t>Побережжя</t>
  </si>
  <si>
    <t>вул. Б.Хмельницького, 11</t>
  </si>
  <si>
    <t>(034-36)40-2-30</t>
  </si>
  <si>
    <t>Підлузька загальноосвітня школа І-ІІ ступенів Тисменицької районної ради Івано-Франківської області</t>
  </si>
  <si>
    <t>77442</t>
  </si>
  <si>
    <t>2625884201</t>
  </si>
  <si>
    <t>Підлужжя</t>
  </si>
  <si>
    <t>вул. Шевченка, 35</t>
  </si>
  <si>
    <t>(03436)32268</t>
  </si>
  <si>
    <t>Підпечерівська загальноосвітня школа І-ІІІ ступенів Тисменицької районної ради Івано-Франківської області</t>
  </si>
  <si>
    <t>77441</t>
  </si>
  <si>
    <t>2625884301</t>
  </si>
  <si>
    <t>Підпечери</t>
  </si>
  <si>
    <t>вул. Січових стрільців, 8</t>
  </si>
  <si>
    <t>(03436)32218</t>
  </si>
  <si>
    <t>http://pidpecherys.ucoz.com/</t>
  </si>
  <si>
    <t>Підліська загальноосвітня школа І-ІІІ ступенів Тисменицької районної ради Івано-Франківської області</t>
  </si>
  <si>
    <t>77451</t>
  </si>
  <si>
    <t>2625884401</t>
  </si>
  <si>
    <t>Підлісся</t>
  </si>
  <si>
    <t>вул. Т.Шевченка, 103</t>
  </si>
  <si>
    <t>(03436)44037</t>
  </si>
  <si>
    <t>Пшеничниківський навчально-виховний комплекс "Загальноосвітня школа І-ІІ ступенів - дошкільний навчальний заклад" Тисменицької районної ради Івано-Франківської області</t>
  </si>
  <si>
    <t>77407</t>
  </si>
  <si>
    <t>2625884501</t>
  </si>
  <si>
    <t>вул. Івана Франка, 12</t>
  </si>
  <si>
    <t>(03436)38293</t>
  </si>
  <si>
    <t>Радчанська загальноосвітня школа I-III ступенів Тисменицької районної ради Івано-Франкіської області</t>
  </si>
  <si>
    <t>77457</t>
  </si>
  <si>
    <t>2625884701</t>
  </si>
  <si>
    <t>Радча</t>
  </si>
  <si>
    <t>(36034)(36034)46271</t>
  </si>
  <si>
    <t>http://radchaschool.at.ua/</t>
  </si>
  <si>
    <t>Рошнівський навчально-виховний комплекс "Загальноосвітня школа І-ІІІ ступенів-дошкільний навчальний заклад" Тисменицької районної ради Івано-Франківської області</t>
  </si>
  <si>
    <t>77436</t>
  </si>
  <si>
    <t>2625884901</t>
  </si>
  <si>
    <t>Рошнів</t>
  </si>
  <si>
    <t>вул. Гостинець, 153 А</t>
  </si>
  <si>
    <t>(8-236)31-2-71</t>
  </si>
  <si>
    <t>Сілецький навчально-виховний комплекс "Загальноосвітня школа І-ІІ ступенів - дошкільний навчальний заклад" Тисменицької районної ради Івано-Франківської області</t>
  </si>
  <si>
    <t>77414</t>
  </si>
  <si>
    <t>2625885201</t>
  </si>
  <si>
    <t>Сілець</t>
  </si>
  <si>
    <t>вул. Зузука, 2</t>
  </si>
  <si>
    <t>(03436)51262</t>
  </si>
  <si>
    <t>Слобідська загальноосвітня школа І-ІІ ступенів Тисменицької районної ради Івано-Франківської області</t>
  </si>
  <si>
    <t>77472</t>
  </si>
  <si>
    <t>2625885401</t>
  </si>
  <si>
    <t>вул. Незалежності, 53</t>
  </si>
  <si>
    <t>(03436)35-2-85</t>
  </si>
  <si>
    <t>Старокривотульська загальносвітня школа І-ІІІ ступенів Тисменицької районної ради Івано-Франківської області</t>
  </si>
  <si>
    <t>77474</t>
  </si>
  <si>
    <t>2625885501</t>
  </si>
  <si>
    <t>Старі Кривотули</t>
  </si>
  <si>
    <t>вул. Лесі Українки, 9</t>
  </si>
  <si>
    <t>(36)36238</t>
  </si>
  <si>
    <t>Красилівська загальноосвітня школа І ступеня Тисменицької районної ради Івано-Франківської області</t>
  </si>
  <si>
    <t>77475</t>
  </si>
  <si>
    <t>2625885503</t>
  </si>
  <si>
    <t>вул. І.Франка, 1</t>
  </si>
  <si>
    <t>(03436)36210</t>
  </si>
  <si>
    <t>Старолисецька загальноосвітня школа І-ІІІ ступенів Тисменицької районної ради Івано-Франківської області</t>
  </si>
  <si>
    <t>77452</t>
  </si>
  <si>
    <t>2625885801</t>
  </si>
  <si>
    <t>Старий Лисець</t>
  </si>
  <si>
    <t>(03436)45-2-62</t>
  </si>
  <si>
    <t>Стебницька загальноосвітня школа І - ІІ ступенів Тисменицької районної ради Івано-Франківської області</t>
  </si>
  <si>
    <t>77453</t>
  </si>
  <si>
    <t>2625885901</t>
  </si>
  <si>
    <t>Стебник</t>
  </si>
  <si>
    <t>Стриганецький навчально-виховний комплекс "Загальноосвітня школа I-II ступенів - дошкільний навчальний заклад" Тисменицької районної ради Івано-Франківської області</t>
  </si>
  <si>
    <t>77432</t>
  </si>
  <si>
    <t>2625886001</t>
  </si>
  <si>
    <t>Стриганці</t>
  </si>
  <si>
    <t>(03436)31273</t>
  </si>
  <si>
    <t>http://nvk-strigantsi.if.ua/</t>
  </si>
  <si>
    <t>Тязівська загальноосвітня школа І - ІІ ступенів Тисменицької районної ради Івано-Франківської області</t>
  </si>
  <si>
    <t>77415</t>
  </si>
  <si>
    <t>2625886301</t>
  </si>
  <si>
    <t>Тязів</t>
  </si>
  <si>
    <t>вул. Галицька, 6</t>
  </si>
  <si>
    <t>(034)42116</t>
  </si>
  <si>
    <t>Угринівська загальноосвітня школа І - ІІ ступенів Тисменицької районної ради Івано-Франківської області</t>
  </si>
  <si>
    <t>77423</t>
  </si>
  <si>
    <t>2625886801</t>
  </si>
  <si>
    <t>вул. Незалежності, 188А</t>
  </si>
  <si>
    <t>(03436)49221</t>
  </si>
  <si>
    <t>Угринівський навчально-виховний комплекс (загальноосвітня школа I-III ступенів - дошкільний навчальний заклад) Тисменицької районної ради Івано-Франківської області</t>
  </si>
  <si>
    <t>(03436)49336, (0342)734709</t>
  </si>
  <si>
    <t>http://uhrynivschool.at.ua/</t>
  </si>
  <si>
    <t>Узинська загальноосвтня школа І-ІІ ступенів Тисменицької районної ради Івано-Франківської області</t>
  </si>
  <si>
    <t>77434</t>
  </si>
  <si>
    <t>2625887001</t>
  </si>
  <si>
    <t>Узин</t>
  </si>
  <si>
    <t>вул. Молодіжна, 14А</t>
  </si>
  <si>
    <t>(03436)32430</t>
  </si>
  <si>
    <t>Хом'яківська загальноосвітня школа І ступеня Тисменицької районної ради Івано-Франківської області</t>
  </si>
  <si>
    <t>77408</t>
  </si>
  <si>
    <t>2625887301</t>
  </si>
  <si>
    <t>38-2-13</t>
  </si>
  <si>
    <t>Черніївська загальноосвітня школа І-ІІІ ступенів Тисменицької районної ради Івано-Франківської області</t>
  </si>
  <si>
    <t>77460</t>
  </si>
  <si>
    <t>2625887801</t>
  </si>
  <si>
    <t>Черніїв</t>
  </si>
  <si>
    <t>(03436)61417</t>
  </si>
  <si>
    <t>Чорнолізька загальноосвітня школа І-ІІІ ступенів Тисменицької районної ради Івано-Франківської області</t>
  </si>
  <si>
    <t>77471</t>
  </si>
  <si>
    <t>2625888101</t>
  </si>
  <si>
    <t>Чорнолізці</t>
  </si>
  <si>
    <t>(80343634)255</t>
  </si>
  <si>
    <t>Чукалівська загальноосвітня школа І ступеня Тисменецької районної ради</t>
  </si>
  <si>
    <t>77458</t>
  </si>
  <si>
    <t>2625888301</t>
  </si>
  <si>
    <t>Чукалівка</t>
  </si>
  <si>
    <t>вул. Довбуша, 1</t>
  </si>
  <si>
    <t>Ямницький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</si>
  <si>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77422</t>
  </si>
  <si>
    <t>2625888601</t>
  </si>
  <si>
    <t>Ямниця</t>
  </si>
  <si>
    <t>вул. Галицька, 55</t>
  </si>
  <si>
    <t>(03436)53221</t>
  </si>
  <si>
    <t>Білоцерківська вечірня (змінна) загальноосвітня школа ІІ-ІІІ ступенів № 2 Білоцерківської міської ради Київської області</t>
  </si>
  <si>
    <t>09109</t>
  </si>
  <si>
    <t>3210300000</t>
  </si>
  <si>
    <t>Київська область</t>
  </si>
  <si>
    <t>вул. Василя Симоненка, 16</t>
  </si>
  <si>
    <t>(04563)52668</t>
  </si>
  <si>
    <t>Білоцерківська вечірня (змінна) загальноосвітня школа ІІ-ІІІ ступенів № 1 Білоцерківської міської ради Київської області</t>
  </si>
  <si>
    <t>вул. Василя Симоненка, 20</t>
  </si>
  <si>
    <t>(04563)51210, (04563)53214</t>
  </si>
  <si>
    <t>http://bilatserkavechirnyal.edukit.kiev.ua</t>
  </si>
  <si>
    <t>Білоцерківська гімназія № 2 Білоцерківської міської ради Київської області</t>
  </si>
  <si>
    <t>09117</t>
  </si>
  <si>
    <t>вул. Гетьманська, 25</t>
  </si>
  <si>
    <t>((04563))90284</t>
  </si>
  <si>
    <t>http://gymnasium2bc.at.ua</t>
  </si>
  <si>
    <t>26147924</t>
  </si>
  <si>
    <t>Білоцерківська загальноосвітня школа І - ІІІ ступенів № 20 Білоцерківської міської ради Київської області</t>
  </si>
  <si>
    <t>09100</t>
  </si>
  <si>
    <t>вул. Некрасова, 121</t>
  </si>
  <si>
    <t>(04563)387603</t>
  </si>
  <si>
    <t>http://bc-school20.at.ua/</t>
  </si>
  <si>
    <t>Білоцерківська загальноосвітня школа І ступеня № 23 Білоцерківської міської ради Київської області</t>
  </si>
  <si>
    <t>09114</t>
  </si>
  <si>
    <t>вул. Івана Кожедуба, 195</t>
  </si>
  <si>
    <t>(04563)84088</t>
  </si>
  <si>
    <t>http://bilatserkva-school23.edukit.kiev.ua.</t>
  </si>
  <si>
    <t>Білоцерківська загальноосвітня школа І-ІІІ ступенів № 18 Білоцерківської міської ради Київської області</t>
  </si>
  <si>
    <t>(04563)51038</t>
  </si>
  <si>
    <t>http://bc-school18.at.ua/</t>
  </si>
  <si>
    <t>22208072</t>
  </si>
  <si>
    <t>Білоцерківська загальноосвітня школа І-ІІІ ступенів № 22 Білоцерківської міської ради Київської області</t>
  </si>
  <si>
    <t>09106</t>
  </si>
  <si>
    <t>вул. Таращанська, 167</t>
  </si>
  <si>
    <t>http://bcschool22.at.ua</t>
  </si>
  <si>
    <t>25658255</t>
  </si>
  <si>
    <t>Білоцерківська загальноосвітня школа І-ІІІ ступенів № 5 Білоцерківської міської ради Київської області</t>
  </si>
  <si>
    <t>09113</t>
  </si>
  <si>
    <t>вул. Крижанівського, 7</t>
  </si>
  <si>
    <t>(04563)47330</t>
  </si>
  <si>
    <t>http://bcschool5.at.ua</t>
  </si>
  <si>
    <t>25297403</t>
  </si>
  <si>
    <t>Білоцерківська загальноосвітня школа І-ІІІ ступенів № 7 ІМЕНІ ГЕНЕРАЛ-ПОЛКОВНИКА ГЕННАДІЯ ВОРОБЙОВА Білоцерківської міської ради Київської області</t>
  </si>
  <si>
    <t>б-р Олександрійський, 40</t>
  </si>
  <si>
    <t>(04563)83589</t>
  </si>
  <si>
    <t>http://www.bilatserkva-school7.edukit.kiev.ua/</t>
  </si>
  <si>
    <t>22204186</t>
  </si>
  <si>
    <t>Білоцерківська загальноосвітня школа І-ІІІ ступенів № 11 Білоцерківської міської ради Київської області</t>
  </si>
  <si>
    <t>09108</t>
  </si>
  <si>
    <t>вул. Східна, 20</t>
  </si>
  <si>
    <t>(04563)71007, (04563)71092</t>
  </si>
  <si>
    <t>http://bcschool11.at.ua</t>
  </si>
  <si>
    <t>Білоцерківське навчально-виховне об'єднання "Загальноосвітня школа І-ІІІ ступенів № 15 - дитячо-юнацький спортивно-оздоровчий клуб" Білоцерківської міської ради Київської області</t>
  </si>
  <si>
    <t>вул. Польова, 70</t>
  </si>
  <si>
    <t>(04563)67254</t>
  </si>
  <si>
    <t>http://bcschool15.at.ua</t>
  </si>
  <si>
    <t>20579114</t>
  </si>
  <si>
    <t>Білоцерківська загальноосвітня школа І-ІІІ ступенів № 17 Білоцерківської міської ради Київської області</t>
  </si>
  <si>
    <t>09111</t>
  </si>
  <si>
    <t>вул. Зарічанська, 42</t>
  </si>
  <si>
    <t>(04563)55416</t>
  </si>
  <si>
    <t>http://school17.klasna.com</t>
  </si>
  <si>
    <t>Білоцерківська загальноосвітня школа І-ІІІ ступенів № 21 Білоцерківської міської ради Київської області</t>
  </si>
  <si>
    <t>вул. Некрасова, 127</t>
  </si>
  <si>
    <t>(04563)71324</t>
  </si>
  <si>
    <t>http://bcschool21.pp.ua</t>
  </si>
  <si>
    <t>Білоцерківська загальноосвітня школа І-ІІІ ступенів № 3 ім. Т.Г.Шевченка Білоцерківської міської ради Київської області</t>
  </si>
  <si>
    <t>09107</t>
  </si>
  <si>
    <t>вул. Павліченко, 22</t>
  </si>
  <si>
    <t>(04563)59448</t>
  </si>
  <si>
    <t>http://bilatserkva-school3.edukit.kiev.ua/</t>
  </si>
  <si>
    <t>22208356</t>
  </si>
  <si>
    <t>Білоцерківська загальноосвітня школа І-ІІІ ступенів № 4 Білоцерківської міської ради Київської області</t>
  </si>
  <si>
    <t>вул. Молодіжна, 12</t>
  </si>
  <si>
    <t>(04563)71339, (04563)71012, (04563)71053</t>
  </si>
  <si>
    <t>http://bc-school4.do.am</t>
  </si>
  <si>
    <t>22207434</t>
  </si>
  <si>
    <t>Білоцерківська загальноосвітня школа І-ІІІ ступенів № 6 Білоцерківської міської ради Київської області</t>
  </si>
  <si>
    <t>вул. Вячеслава Чорновола, 6</t>
  </si>
  <si>
    <t>(04563)61471, (04563)64497, (04563)66114</t>
  </si>
  <si>
    <t>http://bc-school6.at.ua</t>
  </si>
  <si>
    <t>Білоцерківська спеціалізована природничо-математична школа І-ІІІ ступенів № 16 ім. М.О. Кириленка Білоцерківської міської ради Київської області</t>
  </si>
  <si>
    <t>09112</t>
  </si>
  <si>
    <t>вул. Зелена, 21</t>
  </si>
  <si>
    <t>(04563)66201, (04563)65024</t>
  </si>
  <si>
    <t>http://school16.org</t>
  </si>
  <si>
    <t>25293724</t>
  </si>
  <si>
    <t>Білоцерківська спеціалізована школа І-ІІІ ступенів № 1 з поглибленим вивченням слов'янських мов Білоцерківської міської ради Київської області</t>
  </si>
  <si>
    <t>вул. Логінова, 28</t>
  </si>
  <si>
    <t>(04563)51322</t>
  </si>
  <si>
    <t>http://bcslavicschool.at.ua</t>
  </si>
  <si>
    <t>російська,польська,англійська,болгарська</t>
  </si>
  <si>
    <t>Білоцерківська спеціалізована школа І-ІІІ ступенів № 12 з поглибленим вивченням інформаційних технологій Білоцерківської міської ради Київської області</t>
  </si>
  <si>
    <t>б-р Княгині Ольги, 11</t>
  </si>
  <si>
    <t>(04563)86545</t>
  </si>
  <si>
    <t>http://bcschool12.at.ua</t>
  </si>
  <si>
    <t>20602327</t>
  </si>
  <si>
    <t>Білоцерківська спеціалізована школа І-ІІІ ступенів № 9 з поглибленим вивченням іноземних мов Білоцерківської міської ради Київської області</t>
  </si>
  <si>
    <t>вул. Водопійна, 22</t>
  </si>
  <si>
    <t>(04563)98597, (04563)56486</t>
  </si>
  <si>
    <t>https://sites.google.com/site/specialschool9bc</t>
  </si>
  <si>
    <t>23573856</t>
  </si>
  <si>
    <t>Білоцерківська спеціальна загальноосвітня школа № 19 Білоцерківської міської ради Київської області</t>
  </si>
  <si>
    <t>вул. Левка Симиренка, 49</t>
  </si>
  <si>
    <t>(04563)53889, (04563)53789</t>
  </si>
  <si>
    <t>http://www.bilatserkva-school19.edukit.kiev.ua</t>
  </si>
  <si>
    <t>Білоцерківське навчально-виховне об'єднання "Звитяга" Білоцерківської міської ради Київської області</t>
  </si>
  <si>
    <t>09104</t>
  </si>
  <si>
    <t>вул. Гайок, б/н</t>
  </si>
  <si>
    <t>(04563)34743</t>
  </si>
  <si>
    <t>http://bilatserkva-school8.edukit.kiev.ua</t>
  </si>
  <si>
    <t>Білоцерківське навчально-виховне об'єднання "Ліцей - Мала академія наук" Білоцерківської міської ради Київської області</t>
  </si>
  <si>
    <t>вул. Павліченко, 30</t>
  </si>
  <si>
    <t>(04563)94131</t>
  </si>
  <si>
    <t>http://statelic.kiev.ua/</t>
  </si>
  <si>
    <t>Білоцерківське навчально-виховне об'єднання «Перша Білоцерківська гімназія - школа І ступеня» Білоцерківської міської ради Київської області</t>
  </si>
  <si>
    <t>вул. Ярослава Мудрого, 54</t>
  </si>
  <si>
    <t>(04563)51977</t>
  </si>
  <si>
    <t>http://www.gimnasi1-biltse.com.ua</t>
  </si>
  <si>
    <t>22207457</t>
  </si>
  <si>
    <t>Білоцерківський колегіум Білоцерківської міської ради Київської області</t>
  </si>
  <si>
    <t>б-р 50-річчя Перемоги, 149</t>
  </si>
  <si>
    <t>(04563)60390</t>
  </si>
  <si>
    <t>http://bckolegium.com.ua</t>
  </si>
  <si>
    <t>Білоцерківський навчально-виховний комплекс "Загальноосвітня школа І-ІІІ ступенів № 13 - дошкільний навчальний комплекс"Білоцерківської міської ради Київської області</t>
  </si>
  <si>
    <t>вул. Таращанська, 18</t>
  </si>
  <si>
    <t>(04563)54026</t>
  </si>
  <si>
    <t>http://www.bcschool13.org.ua</t>
  </si>
  <si>
    <t>Комунальний заклад Київської обласної ради "Білоцерківський багатопрофільний навчально-реабілітаційний центр"</t>
  </si>
  <si>
    <t>б-р Олександрійський, 90</t>
  </si>
  <si>
    <t>(04563)61332, (04563)61513</t>
  </si>
  <si>
    <t>22201897</t>
  </si>
  <si>
    <t>Комунальний заклад Київської обласної ради "Київський обласний ліцей-інтернат фізичної культури і спорту", м. Біла Церква</t>
  </si>
  <si>
    <t>вул. Леваневського, 52/4</t>
  </si>
  <si>
    <t>(04563)73940, (04563)77446</t>
  </si>
  <si>
    <t>http://kolifks.kiev.ua</t>
  </si>
  <si>
    <t>23568329</t>
  </si>
  <si>
    <t>Приватний навчально-виховний комплекс "Загальноосвітня школа І-ІІІ ступеня - дитячий садок "Міцва-613"</t>
  </si>
  <si>
    <t>http://www.mitsva.org.ua</t>
  </si>
  <si>
    <t>російська,англійська,івріт</t>
  </si>
  <si>
    <t>Білоцерківський міжшкільний навчально-виробничий комбінат Білоцерківської міської ради Київської області</t>
  </si>
  <si>
    <t>вул. Гризодубової, 84</t>
  </si>
  <si>
    <t>(04563)71606, (04563)71347</t>
  </si>
  <si>
    <t>https://sites.google.com/site/bsmnvk/</t>
  </si>
  <si>
    <t>20608910</t>
  </si>
  <si>
    <t>Білоцерківський навчально-виховний комплекс "Казка" Білоцерківської міської ради Київської області</t>
  </si>
  <si>
    <t>вул. Таращанська, 167А</t>
  </si>
  <si>
    <t>Березанська загальноосвітня школа І-ІІІ ступенів № 1</t>
  </si>
  <si>
    <t>07540</t>
  </si>
  <si>
    <t>3210400000</t>
  </si>
  <si>
    <t>Березань</t>
  </si>
  <si>
    <t>вул. Шевченків шлях, 135</t>
  </si>
  <si>
    <t>(04576)63637</t>
  </si>
  <si>
    <t>Березанська загальноосвітня школа І-ІІІ ступенів № 2</t>
  </si>
  <si>
    <t>вул. Горького, 3</t>
  </si>
  <si>
    <t>(04576)64960</t>
  </si>
  <si>
    <t>Березанська загальноосвітня школа І-ІІІ ступенів № 4 Березанської міської ради Київської області</t>
  </si>
  <si>
    <t>вул. Академіка Дородніцина, 8</t>
  </si>
  <si>
    <t>http://www.berezan-school4.edukit.kiev.ua</t>
  </si>
  <si>
    <t>Березанський навчально-виховний комплекс</t>
  </si>
  <si>
    <t>07541</t>
  </si>
  <si>
    <t>вул. Набережна, 118</t>
  </si>
  <si>
    <t>(04576)62846</t>
  </si>
  <si>
    <t>Бориспільська загальноосвітня школа І-ІІІ ступенів № 3 Бориспільської міської ради Київської області</t>
  </si>
  <si>
    <t>08300</t>
  </si>
  <si>
    <t>3210500000</t>
  </si>
  <si>
    <t>Бориспіль</t>
  </si>
  <si>
    <t>вул. Глибоцька, 122</t>
  </si>
  <si>
    <t>(04595)66506</t>
  </si>
  <si>
    <t>Бориспільська загальноосвітня школа І-ІІІ ступенів № 8 Бориспільської міської ради Київської області</t>
  </si>
  <si>
    <t>08303</t>
  </si>
  <si>
    <t>(04595)6-42-40</t>
  </si>
  <si>
    <t>http://www.boryspilschool-8.pp.ua</t>
  </si>
  <si>
    <t>Бориспільська загальноосвітня школа І-ІІІ ступенів № 1 імені Юрія Головатого Бориспільської міської ради Київської області</t>
  </si>
  <si>
    <t>вул. Героїв Небесної Сотні, 1</t>
  </si>
  <si>
    <t>(04595)6-16-44</t>
  </si>
  <si>
    <t>http://boryspil-school1.edukit.kiev.ua/</t>
  </si>
  <si>
    <t>Бориспільська загальноосвітня школа І-ІІІ ступенів № 6 Бориспільської міської ради Київської області</t>
  </si>
  <si>
    <t>вул. Головатого, 19</t>
  </si>
  <si>
    <t>(04595)62348</t>
  </si>
  <si>
    <t>http://bor-school6.com.ua/</t>
  </si>
  <si>
    <t>Бориспільська загальноосвітня школа І-ІІІ ступенів № 7 Бориспільської міської ради Київської області</t>
  </si>
  <si>
    <t>08304</t>
  </si>
  <si>
    <t>вул. Михайла Калмикова, 7</t>
  </si>
  <si>
    <t>(04595)7-21-94, (04595)7-21-03, (04595)7-17-18</t>
  </si>
  <si>
    <t>Бориспільський навчально-виховний комплекс "Гімназія "Перспектива"- загальноосвітня школа І-ІІ ступенів" імені Володимира Мономаха Бориспільської міської ради Київської області</t>
  </si>
  <si>
    <t>вул. Київський Шлях, 97А</t>
  </si>
  <si>
    <t>(045-95)6-12-33</t>
  </si>
  <si>
    <t>Бориспільський навчально-виховний комплекс "Ліцей "Дизайн-освіта" імені Павла Чубинського - спеціалізована школа І-ІІІ ступенів" Бориспільської міської ради Київської області</t>
  </si>
  <si>
    <t>08302</t>
  </si>
  <si>
    <t>вул. Головатого, 32А</t>
  </si>
  <si>
    <t>(04595)62090, (04595)63351</t>
  </si>
  <si>
    <t>http://www.lyceumdo.klasna.com</t>
  </si>
  <si>
    <t>22202922</t>
  </si>
  <si>
    <t>Бориспільський навчально-виховний комплекс "Спеціалізована школа І-ІІІ ступенів - загальноосвітня школа І-ІІІ ступенів" імені Костянтина Могилка Бориспільської міської ради Київської області</t>
  </si>
  <si>
    <t>вул. Володимира Момота, 1</t>
  </si>
  <si>
    <t>http://lingvaschool.kiev.edukit.ua</t>
  </si>
  <si>
    <t>22201963</t>
  </si>
  <si>
    <t>Броварська гімназія ім. С.І. Олійника Броварської міської ради Київської області</t>
  </si>
  <si>
    <t>07403</t>
  </si>
  <si>
    <t>3210600000</t>
  </si>
  <si>
    <t>Бровари</t>
  </si>
  <si>
    <t>вул. Красовського, 3</t>
  </si>
  <si>
    <t>(04594)67172</t>
  </si>
  <si>
    <t>http://gymnasium.netschool.net.ua/</t>
  </si>
  <si>
    <t>Броварська загальноосвітня школа І - ІІІ ступенів № 3 Броварської міської ради Київської області</t>
  </si>
  <si>
    <t>07400</t>
  </si>
  <si>
    <t>(04596)48235, (04596)48735</t>
  </si>
  <si>
    <t>http://brovary-school3.edukit.kiev.ua/</t>
  </si>
  <si>
    <t>Броварська загальноосвітня школа І-ІІІ ступенів № 1 Броварської міської ради Київської області</t>
  </si>
  <si>
    <t>вул. Київська, 153</t>
  </si>
  <si>
    <t>(09445)4-04-68</t>
  </si>
  <si>
    <t>http://brovary-osvita.edukit.kiev.ua/</t>
  </si>
  <si>
    <t>Броварська загальноосвітня школа І-ІІІ ступенів № 10 Броварської міської ради Київської області</t>
  </si>
  <si>
    <t>вул. Петлюри Симона, 17Б</t>
  </si>
  <si>
    <t>(04594)56128</t>
  </si>
  <si>
    <t>http://brovary-school10.edukit.kiev.ua/</t>
  </si>
  <si>
    <t>Броварська загальноосвітня школа І-ІІІ ступенів № 6 Броварської міської ради Київської області</t>
  </si>
  <si>
    <t>вул. Герцена, 3</t>
  </si>
  <si>
    <t>(04594)42163</t>
  </si>
  <si>
    <t>http://brovary-school6.edukit.kiev.ua</t>
  </si>
  <si>
    <t>Броварська загальноосвітня школа І-ІІІ ступенів № 2 Броварської міської ради Київської області</t>
  </si>
  <si>
    <t>вул. Володимира Великого, 6</t>
  </si>
  <si>
    <t>(04594)5-40-55, (04594)4-69-28</t>
  </si>
  <si>
    <t>http://www.zosh02.com.ua</t>
  </si>
  <si>
    <t>22208480</t>
  </si>
  <si>
    <t>Броварська загальноосвітня школа І-ІІІ ступенів № 9 Київської області</t>
  </si>
  <si>
    <t>вул. Возз'єднання , 13</t>
  </si>
  <si>
    <t>(04594)5-30-90</t>
  </si>
  <si>
    <t>http://wwwbrovary-school9.edukit.kiev.ua</t>
  </si>
  <si>
    <t>Броварська спеціалізована школа І-ІІІ ступенів № 5 Броварської міської ради Київської області</t>
  </si>
  <si>
    <t>вул. Київська, 306А</t>
  </si>
  <si>
    <t>(04594)5-02-22</t>
  </si>
  <si>
    <t>http://brovary-school5.edukit.kiev.ua</t>
  </si>
  <si>
    <t>Броварська спеціалізована школа І-ІІІ ступенів № 7 Броварської міської ради, Київської області</t>
  </si>
  <si>
    <t>вул. Гагаріна, 23А</t>
  </si>
  <si>
    <t>(04594)5-22-33</t>
  </si>
  <si>
    <t>http://bsch7.org.ua/</t>
  </si>
  <si>
    <t>22208853</t>
  </si>
  <si>
    <t>Броварське навчально-виховне об'єднання Броварської міської ради Київської області</t>
  </si>
  <si>
    <t>вул. М.Лагунової, 17А</t>
  </si>
  <si>
    <t>(04594)6-13-14</t>
  </si>
  <si>
    <t>http://bnvo.com.ua</t>
  </si>
  <si>
    <t>22201590</t>
  </si>
  <si>
    <t>Броварський навчально-виховний комплекс</t>
  </si>
  <si>
    <t>вул. Лагунової, 11А</t>
  </si>
  <si>
    <t>(04594)52034</t>
  </si>
  <si>
    <t>http://schoolnvk.at.ua/</t>
  </si>
  <si>
    <t>Загальноосвітня школа І-ІІ ступенів Броварського навчально-виховного об'єднання Броварської міської ради Київської області</t>
  </si>
  <si>
    <t>Загальноосвітня школа І-ІІІ ступенів "Фортуна"</t>
  </si>
  <si>
    <t>вул. Енгельса, 8А</t>
  </si>
  <si>
    <t>(04594)64747</t>
  </si>
  <si>
    <t>Комунальний вищий навчальний заклад Київської обласної ради "Броварське вище училище фізичної культури",</t>
  </si>
  <si>
    <t>http://www.bvufk.kiev.ua</t>
  </si>
  <si>
    <t>22208066</t>
  </si>
  <si>
    <t>Ліцей Броварського навчально-виховного комплексу Броварської міської ради</t>
  </si>
  <si>
    <t>Ліцей технологічного профілю Броварського навчально-виховного об'єднання Броварської міської ради Київської області</t>
  </si>
  <si>
    <t>Спеціалізована школа І-ІІ ступенів з поглибленим вивченням окремих предметів Броварського навчально-виховного комплексу</t>
  </si>
  <si>
    <t>Товариство з обмеженою відповідальність"Навчально-реабілітаційній центр "Мозаїка"</t>
  </si>
  <si>
    <t>(04594)4-41-64, (067)769-47-04</t>
  </si>
  <si>
    <t>Школа екстернів Броварського навчально-виховного об'єднання Броварської міської ради Київської області</t>
  </si>
  <si>
    <t>Товариство з обмеженою відповідальністю "Центр корекції та розвитку дитини "Сіалія"</t>
  </si>
  <si>
    <t>0672724572</t>
  </si>
  <si>
    <t>Васильківська Загальноосвітня Школа I-III ступенів № 2</t>
  </si>
  <si>
    <t>08600</t>
  </si>
  <si>
    <t>3210700000</t>
  </si>
  <si>
    <t>Васильків</t>
  </si>
  <si>
    <t>вул. Покровська, 2</t>
  </si>
  <si>
    <t>2-25-30</t>
  </si>
  <si>
    <t>Васильківська загальноосвітня школа І - ІІІ ступенів № 7 Васильківської міської ради Київської області</t>
  </si>
  <si>
    <t>вул. Першого травня, 25</t>
  </si>
  <si>
    <t>(045)7122539</t>
  </si>
  <si>
    <t>http://vasylkiv-school7.edukit.kiev.ua</t>
  </si>
  <si>
    <t>Васильківський НВК "Гімназія-загальноосвітня школа І-ІІІ ступенів № 8",Васильківської міської ради Київської області</t>
  </si>
  <si>
    <t>08606</t>
  </si>
  <si>
    <t>вул. в/м-11</t>
  </si>
  <si>
    <t>0457164012</t>
  </si>
  <si>
    <t>Васильківська загальноосвітня школа І-ІІІ ступенів № 9 Васильківської міської ради Київської області</t>
  </si>
  <si>
    <t>вул. Декабристів, 135</t>
  </si>
  <si>
    <t>(04571)62666</t>
  </si>
  <si>
    <t>Васильківська загальноосвітня школа І-ІІІ ступенів № 3 Васильківської міської ради Київської області</t>
  </si>
  <si>
    <t>вул. Шевченко, 46</t>
  </si>
  <si>
    <t>0457122535</t>
  </si>
  <si>
    <t>Васильківська загальноосвітня школа І-ІІІ ступенів № 6</t>
  </si>
  <si>
    <t>08602</t>
  </si>
  <si>
    <t>вул. Гетьмана Сагайдачного, 34</t>
  </si>
  <si>
    <t>(045-71)2-66-82</t>
  </si>
  <si>
    <t>Васильківська загальноосвітня школа І-ІІІ ступнів № 1 Васильківської міської ради Київської області</t>
  </si>
  <si>
    <t>вул. Гоголя, 16</t>
  </si>
  <si>
    <t>0457122526</t>
  </si>
  <si>
    <t>Васильківський навчально-виховний комплекс "Загальноосвітня школа I-III ступенів - дошкільний навчальний заклад" № 4 Васильківської міської ради Київської області</t>
  </si>
  <si>
    <t>вул. Тракторна, 53</t>
  </si>
  <si>
    <t>(04571)43447</t>
  </si>
  <si>
    <t>http://vasylkiv-nvk4.ucoz.ua</t>
  </si>
  <si>
    <t>24221556</t>
  </si>
  <si>
    <t>КЗ КОР "Васильківська спеціальна загальноосвітня школа-інтернат І-ІІ ступенів"</t>
  </si>
  <si>
    <t>вул. Преображенська, 1</t>
  </si>
  <si>
    <t>(04571)22533</t>
  </si>
  <si>
    <t>http://vinter.kiev.ua</t>
  </si>
  <si>
    <t>22204335</t>
  </si>
  <si>
    <t>Бучанський НВК "СЗОШ І-ІІІ ст. - ЗОШ І-ІІІ ст" № 4</t>
  </si>
  <si>
    <t>08292</t>
  </si>
  <si>
    <t>3210800000</t>
  </si>
  <si>
    <t>Буча</t>
  </si>
  <si>
    <t>вул. Енергетиків, 2</t>
  </si>
  <si>
    <t>(04597)25509</t>
  </si>
  <si>
    <t>http://school4.in.ua</t>
  </si>
  <si>
    <t>Бучанська загальноосвітня школа І-ІІІ ступенів № 1 Бучанської міської ради Київської області</t>
  </si>
  <si>
    <t>вул. Михайловського, 74</t>
  </si>
  <si>
    <t>(04597)29571</t>
  </si>
  <si>
    <t>Бучанський навчально-виховний комплекс "спеціалізована загальноосвітня школа І-ІІІ ступенів - загальноосвітня школа І-ІІІ ступенів" № 2 Бучанської міської ради Київської області</t>
  </si>
  <si>
    <t>(04597)29662</t>
  </si>
  <si>
    <t>http://2school.pp.ua</t>
  </si>
  <si>
    <t>Бучанський навчально - виховний комплекс "спеціалізована загальноосвітня школа І-ІІІ ступенів - загальноосвітня школа І-ІІІ ступенів " № 3 Бучанської міської ради Київської області</t>
  </si>
  <si>
    <t>вул. Вокзальна, 46А</t>
  </si>
  <si>
    <t>(04597)98798</t>
  </si>
  <si>
    <t>http://3school.pp.ua</t>
  </si>
  <si>
    <t>Бучанська спеціалізована загальноосвітня школа І-ІІІ ступенів № 5 з поглибленим вивченням іноземних мов</t>
  </si>
  <si>
    <t>вул. Вокзальна, 104</t>
  </si>
  <si>
    <t>(04597)48630</t>
  </si>
  <si>
    <t>22208965</t>
  </si>
  <si>
    <t>Бучанська Українська гімназія</t>
  </si>
  <si>
    <t>09282</t>
  </si>
  <si>
    <t>(04597)41849</t>
  </si>
  <si>
    <t>російська,польська,англійська,німецька,іспанська</t>
  </si>
  <si>
    <t>Навчально-виховний комплекс "Загальноосвітня школа І ступеня - дошкільний навчальний заклад "Берізка" Бучанської міської ради Київської області</t>
  </si>
  <si>
    <t>08294</t>
  </si>
  <si>
    <t>вул. Яблунська, 13</t>
  </si>
  <si>
    <t>(04597)90140</t>
  </si>
  <si>
    <t>Міжшкільний навчально-виробничий комбінат м.Ірпеня</t>
  </si>
  <si>
    <t>вул. Яблунська, 129</t>
  </si>
  <si>
    <t>(04597)96-1-30</t>
  </si>
  <si>
    <t>Приватний навчально-виховний комплекс "Загальноосвітня школа І-ІІІ ступенів - дошкільний навчальний заклад "Академія мудрості"</t>
  </si>
  <si>
    <t>вул. Інститутська, 14</t>
  </si>
  <si>
    <t>(063)3320777</t>
  </si>
  <si>
    <t>ІРПІНСЬКА ВЕЧІРНЯ ЗАГАЛЬНООСВІТНЯ ШКОЛА ІІ-ІІІ СТУПЕНІВ ІРПІНСЬКОЇ МІСЬКОЇ РАДИ КИЇВСЬКОЇ ОБЛАСТІ</t>
  </si>
  <si>
    <t>08200</t>
  </si>
  <si>
    <t>3210900000</t>
  </si>
  <si>
    <t>Ірпінь</t>
  </si>
  <si>
    <t>вул. Тургенівська, 17</t>
  </si>
  <si>
    <t>(04597)67769</t>
  </si>
  <si>
    <t>http://irpin-vschool.org.ua/</t>
  </si>
  <si>
    <t>Ірпінська загальноосвітня школа І-ІІІ ст. № 3 Ірпінської міської ради Київської області</t>
  </si>
  <si>
    <t>08203</t>
  </si>
  <si>
    <t>вул. Северинівська, 129А</t>
  </si>
  <si>
    <t>(04597)94539</t>
  </si>
  <si>
    <t>Ірпінська загальноосвітня школа І-ІІІступенів № 17 Ірпінської міської ради Київської області</t>
  </si>
  <si>
    <t>вул. Тищенка, 10</t>
  </si>
  <si>
    <t>(04597)63869, (04597)63333</t>
  </si>
  <si>
    <t>http://irpin-school17.edukit.kiev.ua/</t>
  </si>
  <si>
    <t>Ірпінська спеціалізована загальноосвітня школа І-ІІІ ст. художнього профілю № 1 ім. А.С.Макаренка Ірпінської міської ради Київської області</t>
  </si>
  <si>
    <t>вул. ТУРГЕНІВСЬКА, 17</t>
  </si>
  <si>
    <t>(04597)63002</t>
  </si>
  <si>
    <t>http://irpin-school1.org.ua</t>
  </si>
  <si>
    <t>Ірпінська спеціалізована загальноосвітня школа І-ІІІ ст. № 12 з вивченням іноземних мов ( школа лінгвістики) Ірпінської міської ради Київської області</t>
  </si>
  <si>
    <t>вул. З.Алієвої, 64</t>
  </si>
  <si>
    <t>(04597)54-031</t>
  </si>
  <si>
    <t>російська,польська,англійська,німецька,французька,іспанська,італійська</t>
  </si>
  <si>
    <t>Ірпінська спеціалізована загальноосвітня школа І-ІІІ ступенів з поглибленим вивченням економіки та права № 2 Ірпінської міської ради Київської області</t>
  </si>
  <si>
    <t>вул. Тургенєвська, 28</t>
  </si>
  <si>
    <t>(04597)67815, (04597)67867</t>
  </si>
  <si>
    <t>Ірпінське навчально-виховне об'єднання "Освіта" Ірпінської міської ради Київської області</t>
  </si>
  <si>
    <t>вул. Привокзальна площа, 5</t>
  </si>
  <si>
    <t>(04597)61499</t>
  </si>
  <si>
    <t>http://nvoosvita.com.ua</t>
  </si>
  <si>
    <t>Ірпінське навчально-виховне обєднання "Ірпінський ліцей інноваційних технологій - Мала академія наук" Ірпінської міської ради Київської області</t>
  </si>
  <si>
    <t>вул. З.Алієвої, 61/1</t>
  </si>
  <si>
    <t>(067)5895244</t>
  </si>
  <si>
    <t>Приватний заклад освіти "Навчально-виховне об'єдання "Ірпінська християнська гімназія"</t>
  </si>
  <si>
    <t>вул. Федорова, 11</t>
  </si>
  <si>
    <t>(097)4774545</t>
  </si>
  <si>
    <t>Товариство з обмеженою відповідальністю "Спеціалізований навчально-виховний комплекс "Нова освіта"</t>
  </si>
  <si>
    <t>вул. Пушкінська, 62Г</t>
  </si>
  <si>
    <t>(097)0153043</t>
  </si>
  <si>
    <t>Ірпінська загальноосвітня школа І ступеня № 11 Ірпінської міської ради Київської області</t>
  </si>
  <si>
    <t>08296</t>
  </si>
  <si>
    <t>3210945600</t>
  </si>
  <si>
    <t>Ворзель</t>
  </si>
  <si>
    <t>вул. Кірова, 5</t>
  </si>
  <si>
    <t>(04597)46-149</t>
  </si>
  <si>
    <t>Ірпінська загальноосвітня школа І-ІІІ ступенів № 5 Ірпінської міської ради Київської області</t>
  </si>
  <si>
    <t>вул. Курортна, 37</t>
  </si>
  <si>
    <t>(04597)46310, (04597)46545</t>
  </si>
  <si>
    <t>Товариство з обмеженою відповідальністю "Загальноосвітній навчальний заклад І-ІІІ ступенів школа "Світограй"</t>
  </si>
  <si>
    <t>вул. Кленова, 11Б</t>
  </si>
  <si>
    <t>(098)292-33-70</t>
  </si>
  <si>
    <t>Ірпінська загальноосвітня школа І ступеня № 16 Ірпінської міської ради Київської області</t>
  </si>
  <si>
    <t>08290</t>
  </si>
  <si>
    <t>3210945900</t>
  </si>
  <si>
    <t>Гостомель</t>
  </si>
  <si>
    <t>вул. Кулішова, 14</t>
  </si>
  <si>
    <t>(04597)31250</t>
  </si>
  <si>
    <t>Ірпінська загальноосвітня школа І ступеня № 15 Ірпінської міської ради Київської області</t>
  </si>
  <si>
    <t>(04597)99952</t>
  </si>
  <si>
    <t>Ірпінська загальноосвітня школа І-ІІІ ступенів № 13 Ірпінської міської ради Київської області</t>
  </si>
  <si>
    <t>вул. Рекунова, 11А</t>
  </si>
  <si>
    <t>(04597)32800</t>
  </si>
  <si>
    <t>26025227</t>
  </si>
  <si>
    <t>Ірпінська загальноосвітня школа І-ІІІ ступенів № 14 Ірпінської міської ради Київської області</t>
  </si>
  <si>
    <t>08291</t>
  </si>
  <si>
    <t>вул. Проскурівська, 15</t>
  </si>
  <si>
    <t>(04597)99550</t>
  </si>
  <si>
    <t>Ірпінська загальноосвітня школа І-ІІІ ступенів № 18 Ірпінської міської ради Київської області</t>
  </si>
  <si>
    <t>08298</t>
  </si>
  <si>
    <t>3210946200</t>
  </si>
  <si>
    <t>Коцюбинське</t>
  </si>
  <si>
    <t>вул. Пономарьова, 6/4</t>
  </si>
  <si>
    <t>(04597)72-968</t>
  </si>
  <si>
    <t>Ірпінський навчально-виховний комплекс "Школа І-ІІ ступенів-Коцюбинський гуманітарний ліцей" Ірпінської міської ради Київської області</t>
  </si>
  <si>
    <t>вул. Бакала, 1</t>
  </si>
  <si>
    <t>(04597)72-2-33</t>
  </si>
  <si>
    <t>Комунальний заклад Київської обласної ради "Переяслав-Хмельницький ліцей-інтернат "Патріот"</t>
  </si>
  <si>
    <t>08404</t>
  </si>
  <si>
    <t>3211000000</t>
  </si>
  <si>
    <t>Переяслав-Хмельницький</t>
  </si>
  <si>
    <t>вул. Грушевського, 49</t>
  </si>
  <si>
    <t>(04567)5-13-25, (04567)5-53-25</t>
  </si>
  <si>
    <t>http://school-inter.com.ua</t>
  </si>
  <si>
    <t>24218703</t>
  </si>
  <si>
    <t>Переяслав - Хмельницька загальноосвітня школа І-ІІІ ступенів № 2</t>
  </si>
  <si>
    <t>08400</t>
  </si>
  <si>
    <t>вул. Московська, 4</t>
  </si>
  <si>
    <t>(08400)5-25-97</t>
  </si>
  <si>
    <t>http://bestschool.pp.ua</t>
  </si>
  <si>
    <t>Переяслав-Хмельницька гімназія Переяслав-Хмельницької міської ради Київської області</t>
  </si>
  <si>
    <t>(04567)51413</t>
  </si>
  <si>
    <t>http://gymnasium.pe.hu</t>
  </si>
  <si>
    <t>25823435</t>
  </si>
  <si>
    <t>Переяслав-Хмельницька загальноосвітня школа І ступеня № 6 Переяслав-Хмельницької міської ради Київської області</t>
  </si>
  <si>
    <t>Переяслав-Хмельницька загальноосвітня школа І-ІІІ ступенів № 1 Переяслав-Хмельницької міської ради Київської області</t>
  </si>
  <si>
    <t>вул. Гімназійна, 4</t>
  </si>
  <si>
    <t>(04567)51407</t>
  </si>
  <si>
    <t>http://phmzosh1.at.ua</t>
  </si>
  <si>
    <t>Переяслав-Хмельницька загальноосвітня школа І-ІІІ ступенів № 3 Переяслав-Хмельницької міської ради, Київської області</t>
  </si>
  <si>
    <t>вул. Ярмаркова, 31</t>
  </si>
  <si>
    <t>(04567)54675</t>
  </si>
  <si>
    <t>Переяслав-Хмельницька загальноосвітня школа І-ІІІ ступенів № 5</t>
  </si>
  <si>
    <t>08403</t>
  </si>
  <si>
    <t>вул. Космонавтів, 22</t>
  </si>
  <si>
    <t>(04567)72149, (04567)51321</t>
  </si>
  <si>
    <t>Переяслав-Хмельницька загальноосвітня школа І-ІІІ ступенів № 7 Переяслав-Хмельницької міської ради Київської області</t>
  </si>
  <si>
    <t>вул. Пугачова, 2</t>
  </si>
  <si>
    <t>Переяслав-Хмельницька ЗОШ I-III ступенів № 4 Переяслав-Хмельницької міської ради Київської області</t>
  </si>
  <si>
    <t>вул. Новокиївське шосе, 2</t>
  </si>
  <si>
    <t>(04567)51305</t>
  </si>
  <si>
    <t>http://zosh4pereyaslav.at.ua</t>
  </si>
  <si>
    <t>Комунальний заклад Київської обласної ради "Фастівський ліцей-інтернат"</t>
  </si>
  <si>
    <t>08503</t>
  </si>
  <si>
    <t>3211200000</t>
  </si>
  <si>
    <t>Фастів</t>
  </si>
  <si>
    <t>вул. Великоснітинська, 63</t>
  </si>
  <si>
    <t>(045)6566204</t>
  </si>
  <si>
    <t>22200952</t>
  </si>
  <si>
    <t>КОМУНАЛЬНИЙ ЗАКЛАД ФАСТІВСЬКОЇ МІСЬКОЇ РАДИ КИЇВСЬКОЇ ОБЛАСТІ"ФАСТІВСЬКИЙ НАВЧАЛЬНО-ВИХОВНИЙ КОМПЛЕКС"ДОШКІЛЬНИЙ НАВЧАЛЬНИЙ ЗАКЛАД-ЗАГАЛЬНООСВІТНЯ ШКОЛА І-ІІ СТЕПЕНІВ № 12"</t>
  </si>
  <si>
    <t>08500</t>
  </si>
  <si>
    <t>вул. Зінченка, 5</t>
  </si>
  <si>
    <t>(04565)65275</t>
  </si>
  <si>
    <t>http://fastiv-school12.edukit.kiev.ua.</t>
  </si>
  <si>
    <t>Фастівська вечірня загальноосвітня школа ІІ-ІІІ ступенів Фастівської міської ради Київської області</t>
  </si>
  <si>
    <t>вул. Галафєєва, 77</t>
  </si>
  <si>
    <t>Фастівська загальноосвітня школа І-ІІІ ст. № 10 міської ради Київської області</t>
  </si>
  <si>
    <t>вул. Якубовського, 14</t>
  </si>
  <si>
    <t>(04565)66038</t>
  </si>
  <si>
    <t>http://fastiv-school10.edukit.kiev.ua/</t>
  </si>
  <si>
    <t>Фастівська загальноосвітня школа І-ІІІ ступенів № 1 Фастівської міської ради Київської області</t>
  </si>
  <si>
    <t>вул. Льва Толстого, 9</t>
  </si>
  <si>
    <t>(04565)54223, (04565)54483</t>
  </si>
  <si>
    <t>http://fastiv-school1.edukit.kiev.ua</t>
  </si>
  <si>
    <t>Фастівська загальноосвітня школа І-ІІІ ступенів № 5 Фастівської міської ради Київської області</t>
  </si>
  <si>
    <t>вул. Івана Ступака, 10</t>
  </si>
  <si>
    <t>(04565)51019, (04565)51453</t>
  </si>
  <si>
    <t>Фастівська загальноосвітня школа І-ІІІ ступенів № 2 виконавчого комітету Фастівської міської ради</t>
  </si>
  <si>
    <t>вул. Ярослава Мудрого, 44</t>
  </si>
  <si>
    <t>Фастівська загальноосвітня школа І-ІІІ ступенів № 3 Фастівської міської ради Київської області</t>
  </si>
  <si>
    <t>вул. С.Васильченка, 21</t>
  </si>
  <si>
    <t>(04565)54515</t>
  </si>
  <si>
    <t>Фастівський навчально-виховний комплекс загальноосвітня школа І-ІІІ ступенів № 7 "Гарт" Фастівської міської ради Київської області</t>
  </si>
  <si>
    <t>вул. Гетьманська, 79 а</t>
  </si>
  <si>
    <t>(04465)61004</t>
  </si>
  <si>
    <t>http://fastivschoole7.at.ua</t>
  </si>
  <si>
    <t>Фастівська спеціалізована загальноосвітня школа І-ІІІ ступенів № 4 з поглибленим вивченням іноземних мов Фастівської міської ради Київської області</t>
  </si>
  <si>
    <t>(04565)61410</t>
  </si>
  <si>
    <t>http://www.fastiv4.itschool.com.ua</t>
  </si>
  <si>
    <t>Фастівський навчально-виховний комплекс "Дошкільний навчальний заклад - загальноосвітня школа І ступеня № 11"</t>
  </si>
  <si>
    <t>вул. Тітова, 95</t>
  </si>
  <si>
    <t>0654551029</t>
  </si>
  <si>
    <t>Фастівський навчально-виховний комплекс "Ліцей інформаційних технологій-Спеціалізована загальноосвітня школа І-ІІІ ступенів № 9" Фастівської міської ради Київської області</t>
  </si>
  <si>
    <t>вул. Шевченка, 51</t>
  </si>
  <si>
    <t>(04465)51023</t>
  </si>
  <si>
    <t>Ржищівська загальноосвітня школа І-ІІ ступенів Ржищівської міської ради Київської області</t>
  </si>
  <si>
    <t>09230</t>
  </si>
  <si>
    <t>3211300000</t>
  </si>
  <si>
    <t>вул. Адмірала Петренка, 2</t>
  </si>
  <si>
    <t>(04573)2-15-84</t>
  </si>
  <si>
    <t>Ржищівська загальноосвітня школа І-ІІІ ступенів імені Героя Радянського Союзу Олега Кошового Ржищівської міської ради Київської області</t>
  </si>
  <si>
    <t>вул. 1 Травня, 10</t>
  </si>
  <si>
    <t>(04573)21571</t>
  </si>
  <si>
    <t>http://rzhyschiv-school1.edukit.kiev.ua</t>
  </si>
  <si>
    <t>Славутицька загальноосвітня школа І-ІІІ ступенів № 2 Славутицької міської ради Київської області</t>
  </si>
  <si>
    <t>07101</t>
  </si>
  <si>
    <t>3211500000</t>
  </si>
  <si>
    <t>Славутич</t>
  </si>
  <si>
    <t>вул. Курчатова, 17</t>
  </si>
  <si>
    <t>(04579)21610</t>
  </si>
  <si>
    <t>http://slavutich-sch2.ucoz.ru/</t>
  </si>
  <si>
    <t>Славутицька загальноосвітня школа І-ІІІ ступенів № 4 Славутицької міської ради Київської області</t>
  </si>
  <si>
    <t>вул. Героїв Дніпра, 8</t>
  </si>
  <si>
    <t>(04579)2-08-70</t>
  </si>
  <si>
    <t>http://slav4.at.ua</t>
  </si>
  <si>
    <t>Славутицька загальноосвітня школа І-ІІІ ступенів № 1 Славутицької міської ради Київської області</t>
  </si>
  <si>
    <t>07100</t>
  </si>
  <si>
    <t>просп. Дружби народів, 19</t>
  </si>
  <si>
    <t>(04579)2-38-56, (04579)2-38-57</t>
  </si>
  <si>
    <t>http://www.coolschool1.at.ua/</t>
  </si>
  <si>
    <t>Славутицька загальноосвітня школа І-ІІІ ступенів № 3 Славутицької міської ради Київської області</t>
  </si>
  <si>
    <t>вул. Дружби Народів, 1</t>
  </si>
  <si>
    <t>(04579)2-20-04</t>
  </si>
  <si>
    <t>http://mirka2000.ucoz.ru</t>
  </si>
  <si>
    <t>Славутицький ліцей Славутицької міської ради Київської області</t>
  </si>
  <si>
    <t>вул. Героїв Дніпра, 6</t>
  </si>
  <si>
    <t>(04579)22260</t>
  </si>
  <si>
    <t>http://www.sliceum.at.ua</t>
  </si>
  <si>
    <t>Загальноосвітня школа І-ІІІ ступенів № 2 Обухівської міської ради Київської області</t>
  </si>
  <si>
    <t>08700</t>
  </si>
  <si>
    <t>3211600000</t>
  </si>
  <si>
    <t>вул. Козацький Шлях, 1</t>
  </si>
  <si>
    <t>http://school2obuchiv.ucoz.net</t>
  </si>
  <si>
    <t>Навчально-виховне об'єднання "Загальноосвітня школа І-ІІІ ступенів № 4 - Центр військово-патріотичного виховання та допризовної підготовки" Обухівської міської ради Київської області</t>
  </si>
  <si>
    <t>08701</t>
  </si>
  <si>
    <t>вул. П.Осипенко, 26</t>
  </si>
  <si>
    <t>(04572)69171, (04572)69393</t>
  </si>
  <si>
    <t>http://www.obukhiv-school4.edukit.kiev.ua</t>
  </si>
  <si>
    <t>Навчально-виховний комплекс "Гімназія-загальноосвітній навчальний заклад І ступеня міста Обухова імені Володимира Мельника"</t>
  </si>
  <si>
    <t>вул. 8-го листопада, 42</t>
  </si>
  <si>
    <t>(04572)53621</t>
  </si>
  <si>
    <t>Навчально-виховний комплекс "загальноосвітня школа І-ІІІ ступенів № 3 - ліцей" Обухівської міської ради Київської області</t>
  </si>
  <si>
    <t>08702</t>
  </si>
  <si>
    <t>(04572)65191, (04572)65040</t>
  </si>
  <si>
    <t>http://obukhiv-school3.edukit.kiev.ua</t>
  </si>
  <si>
    <t>Навчально-виховний комплекс "Спеціалізована загальноосвітня школа І-Ш ступенів № 5 з поглибленим вивченням іноземних мов - загальноосвітня школа І-Ш ступенів № 5" Обухівської міської ради Київської області</t>
  </si>
  <si>
    <t>08703</t>
  </si>
  <si>
    <t>вул. Лермонтова, 24</t>
  </si>
  <si>
    <t>(04572)65508</t>
  </si>
  <si>
    <t>http://obukhiv-school5.edukit.kiev.ua</t>
  </si>
  <si>
    <t>Навчально-виховний комплекс «спеціалізована загальноосвітня школа І-ІІІ ступенів № 1 з поглибленим вивченням української мови та літератури - загальноосвітня школа І-ІІІ ступенів № 1 імені А. С. Малишка Обухівської міської ради Київської області»</t>
  </si>
  <si>
    <t>(04572)51854, (04572)51981</t>
  </si>
  <si>
    <t>http://obukhivsch1.ucoz.ua/</t>
  </si>
  <si>
    <t>Баришівська загальноосвітня школа I-III ступенів імені Миколи Зерова Баришівської районної ради Київської області</t>
  </si>
  <si>
    <t>07500</t>
  </si>
  <si>
    <t>3220255100</t>
  </si>
  <si>
    <t>Баришівка</t>
  </si>
  <si>
    <t>(04576)51546</t>
  </si>
  <si>
    <t>http://2school.com.ua</t>
  </si>
  <si>
    <t>Баришівський НВК "гімназія-загальноосвітня школа І-ІІІ ступенів" Баришівської районної ради Київської області</t>
  </si>
  <si>
    <t>вул. Добра, 17</t>
  </si>
  <si>
    <t>http://nvk.in.ua</t>
  </si>
  <si>
    <t>Бзівський навчально-виховний комплекс "загальноосвітня школа І-ІІ ступенів -- дитячий садок" Баришівської районної ради Київської області</t>
  </si>
  <si>
    <t>07527</t>
  </si>
  <si>
    <t>3220280401</t>
  </si>
  <si>
    <t>Бзів</t>
  </si>
  <si>
    <t>вул. Свято-Миколаївська, 30</t>
  </si>
  <si>
    <t>(04576)30218</t>
  </si>
  <si>
    <t>Веселинівський навчально-виховний комплекс "загальноосвітня школа І-ІІ ступенів-дитячий садок" Баришівської районної ради Київської області</t>
  </si>
  <si>
    <t>07560</t>
  </si>
  <si>
    <t>3220280801</t>
  </si>
  <si>
    <t>Веселинівка</t>
  </si>
  <si>
    <t>вул. Богдана Хмельницького, 90</t>
  </si>
  <si>
    <t>(04576)3-73-34</t>
  </si>
  <si>
    <t>Волошинівський опорний навчально-виховний комплекс "загальноосвітня школа І-ІІІ ступенів - дитячий садок" імені Героя України Руслана Лужевського</t>
  </si>
  <si>
    <t>07545</t>
  </si>
  <si>
    <t>3220281701</t>
  </si>
  <si>
    <t>Волошинівка</t>
  </si>
  <si>
    <t>(04576)36330</t>
  </si>
  <si>
    <t>http://voloshynivka.in.ua</t>
  </si>
  <si>
    <t>Коржівська загальноосвітня школа І -- ІІІ ступенів</t>
  </si>
  <si>
    <t>07544</t>
  </si>
  <si>
    <t>3220282801</t>
  </si>
  <si>
    <t>Коржі</t>
  </si>
  <si>
    <t>пл. Незалежності, 2</t>
  </si>
  <si>
    <t>(04576)22-3-88, (04576)22-4-87</t>
  </si>
  <si>
    <t>http://korzhi-school.edukit.kiev.ua/</t>
  </si>
  <si>
    <t>Лехнівська загальноосвітня школа І-ІІІ ступенів Баришівської районної ради Киїівської оласті</t>
  </si>
  <si>
    <t>07532</t>
  </si>
  <si>
    <t>3220283001</t>
  </si>
  <si>
    <t>Лехнівка</t>
  </si>
  <si>
    <t>пров. Парковий, 1</t>
  </si>
  <si>
    <t>Лукашівський НВК "загальноосвітня школа І-ІІІ ступенів - дитячий садок"</t>
  </si>
  <si>
    <t>07513</t>
  </si>
  <si>
    <t>3220283401</t>
  </si>
  <si>
    <t>Лукаші</t>
  </si>
  <si>
    <t>(04576)38240</t>
  </si>
  <si>
    <t>http://lukashi-nvk.edukit.kiev.ua</t>
  </si>
  <si>
    <t>Морозівський навчально-виховний комплекс "спеціалізована загальноосвітня школа І - ІІІ ступенів з поглибленим вивченням окремих предметів - ясла-садок" імені Дениса Поповича Баришівської райдержадміністрації Київської області</t>
  </si>
  <si>
    <t>07526</t>
  </si>
  <si>
    <t>3220284901</t>
  </si>
  <si>
    <t>вул. Садова, 15А</t>
  </si>
  <si>
    <t>http://morozivka-nvk.edukit.kiev.ua/</t>
  </si>
  <si>
    <t>Недрянський навчально - виховний комплекс "загальноосвітня школа І-ІІІ ступенів - дитячий садок" Баришівської районної ради Київської області</t>
  </si>
  <si>
    <t>07533</t>
  </si>
  <si>
    <t>3220285101</t>
  </si>
  <si>
    <t>Недра</t>
  </si>
  <si>
    <t>вул. Шевченка, 12А</t>
  </si>
  <si>
    <t>(04567)35484</t>
  </si>
  <si>
    <t>Гостролуцький навчально-виховний комплекс "загальноосвітня школа І-ІІІ ступенів-дитячий садок" Баришівської райдержадмінстраці</t>
  </si>
  <si>
    <t>07520</t>
  </si>
  <si>
    <t>3220285301</t>
  </si>
  <si>
    <t>Гостролуччя</t>
  </si>
  <si>
    <t>вул. Якова Богдана, 10</t>
  </si>
  <si>
    <t>(045)24569</t>
  </si>
  <si>
    <t>Паришківський навчально-виховний комплекс "загальноосвітня школа І-ІІ ступенів - дитячий садок" Баришівської районної ради Київської області</t>
  </si>
  <si>
    <t>07522</t>
  </si>
  <si>
    <t>3220285701</t>
  </si>
  <si>
    <t>Паришків</t>
  </si>
  <si>
    <t>(04576)3-2317</t>
  </si>
  <si>
    <t>http://www.paryshkiv-nvk-kiev.sch.in.ua</t>
  </si>
  <si>
    <t>Перемозький навчально-виховний комплекс "загальноосвітня школа І-ІІІ ступенів - дитячий садок" Баришівської районної ради Київської області</t>
  </si>
  <si>
    <t>07510</t>
  </si>
  <si>
    <t>3220286101</t>
  </si>
  <si>
    <t>вул. Старокиївська, 8</t>
  </si>
  <si>
    <t>(045)7634338</t>
  </si>
  <si>
    <t>Пилипчанський навчально-виховний комплекс "загальноосвітня школа І-ІІ ступенів -дитячий садок" Баришівської районної ради Київської області</t>
  </si>
  <si>
    <t>07531</t>
  </si>
  <si>
    <t>3220286301</t>
  </si>
  <si>
    <t>Пилипче</t>
  </si>
  <si>
    <t>вул. Шевчанка, 2А</t>
  </si>
  <si>
    <t>(045)7631147</t>
  </si>
  <si>
    <t>http://www.pylypche-nvk.edukit.kiev.ua</t>
  </si>
  <si>
    <t>Подільський навчально - виховний комплекс "загальноосвітня школа I-II ступенів - дитячий садок"</t>
  </si>
  <si>
    <t>07561</t>
  </si>
  <si>
    <t>3220286401</t>
  </si>
  <si>
    <t>Поділля</t>
  </si>
  <si>
    <t>Рудницький навчально-виховний комплекс "загальноосвітня школа І-ІІІ ступенів -дитячий садок" Баришівської районної ради Київської області</t>
  </si>
  <si>
    <t>07512</t>
  </si>
  <si>
    <t>3220286501</t>
  </si>
  <si>
    <t>вул. вулиця  Шевченка, 4 а</t>
  </si>
  <si>
    <t>Садова загальноосвітня школа І-ІІІ ступенів Баришівської районної ради Київської області</t>
  </si>
  <si>
    <t>07534</t>
  </si>
  <si>
    <t>3220286601</t>
  </si>
  <si>
    <t>(04576)20230</t>
  </si>
  <si>
    <t>http://sadove-school.edukit.kiev.ua</t>
  </si>
  <si>
    <t>Сезенківський навчально-виховний комплекс «загальноосвітня школа І-ІІ ступенів - дитячий садок"</t>
  </si>
  <si>
    <t>07524</t>
  </si>
  <si>
    <t>3220286701</t>
  </si>
  <si>
    <t>Сезенків</t>
  </si>
  <si>
    <t>(04576)27266</t>
  </si>
  <si>
    <t>Селищанський навчально-виховний комплекс "загальноосвітня школа І-ІІІ ступенів-дитячий садок" Баришівської районної ради Київської області</t>
  </si>
  <si>
    <t>07521</t>
  </si>
  <si>
    <t>3220287001</t>
  </si>
  <si>
    <t>вул. Паризької Комуни, 21</t>
  </si>
  <si>
    <t>(04576)28273</t>
  </si>
  <si>
    <t>http://http..//Selysche-nvk.edukit.kiev.ua</t>
  </si>
  <si>
    <t>Селичівський навчально-виховний комплекс "загальноосвітня школа І-ІІ ступенів - дитячий садок" Баришівської районної ради Київської області</t>
  </si>
  <si>
    <t>07525</t>
  </si>
  <si>
    <t>3220287101</t>
  </si>
  <si>
    <t>Селичівка</t>
  </si>
  <si>
    <t>вул. Незалежності, 47Б</t>
  </si>
  <si>
    <t>Семенівська загальноосвітня школа І-ІІІ ступенів Баришівської районної ради Київської області</t>
  </si>
  <si>
    <t>07552</t>
  </si>
  <si>
    <t>3220287301</t>
  </si>
  <si>
    <t>(04576)29325</t>
  </si>
  <si>
    <t>http://semenivka-bar-school.edukit.kiev.ua/</t>
  </si>
  <si>
    <t>Яблунева загальносвітня школа І-ІІІ ступенів Баришівської районної ради Київської області</t>
  </si>
  <si>
    <t>07550</t>
  </si>
  <si>
    <t>3220288701</t>
  </si>
  <si>
    <t>Яблуневе</t>
  </si>
  <si>
    <t>вул. Шевченка, 1/3</t>
  </si>
  <si>
    <t>(04576)26236</t>
  </si>
  <si>
    <t>http://yabluneve-school.edukit.kiev.ua/</t>
  </si>
  <si>
    <t>Ярешківський навчально- виховний комплекс "загальноосвітня школа І - ІІ ступенів - дитячий садок" Баришівської районної ради Київської області</t>
  </si>
  <si>
    <t>07530</t>
  </si>
  <si>
    <t>3220288801</t>
  </si>
  <si>
    <t>Ярешки</t>
  </si>
  <si>
    <t>22</t>
  </si>
  <si>
    <t>(04576)33233</t>
  </si>
  <si>
    <t>Навчально-виховний комплекс "Узинська гімназія"</t>
  </si>
  <si>
    <t>09161</t>
  </si>
  <si>
    <t>3220410500</t>
  </si>
  <si>
    <t>(4563)21452</t>
  </si>
  <si>
    <t>http://uzingimnazium.at.ua</t>
  </si>
  <si>
    <t>Узинська загальноосвітня школа І-ІІІ ступенів № 1</t>
  </si>
  <si>
    <t>вул. Ярослава Мудрого, 11 а</t>
  </si>
  <si>
    <t>(04563)23771</t>
  </si>
  <si>
    <t>Узинська загальноосвітня школа І-ІІ ступенів № 5</t>
  </si>
  <si>
    <t>вул. Висока, 8</t>
  </si>
  <si>
    <t>(04563)2-11-54</t>
  </si>
  <si>
    <t>http://Uzin-zosh5.at.ua</t>
  </si>
  <si>
    <t>Узинська загальноосвітня школа І-ІІІ ступенів № 2</t>
  </si>
  <si>
    <t>вул. Лесі Українки, 64А</t>
  </si>
  <si>
    <t>(04563)22477</t>
  </si>
  <si>
    <t>http://uzinzosh2.ucoz.ru</t>
  </si>
  <si>
    <t>Терезинське навчально-виховне об'єднання "Загальноосвітня школа І - ІІІ ступенів-дитячий садок"</t>
  </si>
  <si>
    <t>09133</t>
  </si>
  <si>
    <t>3220455500</t>
  </si>
  <si>
    <t>Терезине</t>
  </si>
  <si>
    <t>(04463)31394</t>
  </si>
  <si>
    <t>http://terezino-nvo.at.ua</t>
  </si>
  <si>
    <t>Вільнотарасівське навчально-виховне об,єднання "загальноосвітня школа І ступеня - дошкільний навчальний заклад"</t>
  </si>
  <si>
    <t>09132</t>
  </si>
  <si>
    <t>3220481001</t>
  </si>
  <si>
    <t>Вільна Тарасівка</t>
  </si>
  <si>
    <t>2</t>
  </si>
  <si>
    <t>32-91-30</t>
  </si>
  <si>
    <t>Глушківське навчально-виховне об'єднання "Загальноосвітня школа І-ІІ ступенів - дитячий садок"</t>
  </si>
  <si>
    <t>09135</t>
  </si>
  <si>
    <t>3220481101</t>
  </si>
  <si>
    <t>Глушки</t>
  </si>
  <si>
    <t>2-99-37, 0681204917</t>
  </si>
  <si>
    <t>http://glushky-nvo.edukit.kiev.ua/</t>
  </si>
  <si>
    <t>Дроздівська загальноосвітня школа І-ІІІ ступенів Дроздівської сільської ради Білоцерківського району Київської області</t>
  </si>
  <si>
    <t>09130</t>
  </si>
  <si>
    <t>3220481301</t>
  </si>
  <si>
    <t>Дрозди</t>
  </si>
  <si>
    <t>Іванівський навчально-виховний комплекс "Загальноосвітня школа І-ІІІ ступенів - дитячий садок"</t>
  </si>
  <si>
    <t>09145</t>
  </si>
  <si>
    <t>3220481601</t>
  </si>
  <si>
    <t>321324</t>
  </si>
  <si>
    <t>Макіївське навчально-виховне об'єднання "Загальноосвітня школа І-ІІІ ступенів - дитячий садок"</t>
  </si>
  <si>
    <t>09140</t>
  </si>
  <si>
    <t>3220482901</t>
  </si>
  <si>
    <t>Макіївка</t>
  </si>
  <si>
    <t>(04563)24537</t>
  </si>
  <si>
    <t>http://makiivkaschool.at.ua</t>
  </si>
  <si>
    <t>Малоантонівське навчально-виховне об'єднання " загальноосвітня школа І-ІІІ ступенів - дитячий садок"</t>
  </si>
  <si>
    <t>09138</t>
  </si>
  <si>
    <t>3220483101</t>
  </si>
  <si>
    <t>Мала Антонівка</t>
  </si>
  <si>
    <t>вул. Володимира Козака, 3</t>
  </si>
  <si>
    <t>(04563)24021</t>
  </si>
  <si>
    <t>Маловільшанська загальноосвітня школа І-ІІІ ступенів № 2</t>
  </si>
  <si>
    <t>09175</t>
  </si>
  <si>
    <t>3220483301</t>
  </si>
  <si>
    <t>Мала Вільшанка</t>
  </si>
  <si>
    <t>вул. Молодіжна, 16А</t>
  </si>
  <si>
    <t>(04563)325407</t>
  </si>
  <si>
    <t>http://supershkola.ucoz.ru/</t>
  </si>
  <si>
    <t>Маловільшанський навчально - виховний комплекс "Загальноосвітня школа І-ІІІ ступенів - дитячий садок"</t>
  </si>
  <si>
    <t>(04563)32-51-32</t>
  </si>
  <si>
    <t>http://vilshnkanvk.ucoz.ua/</t>
  </si>
  <si>
    <t>Матюшівська загальноосвітня школа І-ІІ ступенів</t>
  </si>
  <si>
    <t>09151</t>
  </si>
  <si>
    <t>3220483501</t>
  </si>
  <si>
    <t>Матюші</t>
  </si>
  <si>
    <t>(0456)342609</t>
  </si>
  <si>
    <t>http://school.bila.in.ua</t>
  </si>
  <si>
    <t>Озернянська загальноосвітня школа I-II ступенів № 1</t>
  </si>
  <si>
    <t>09128</t>
  </si>
  <si>
    <t>3220484101</t>
  </si>
  <si>
    <t>Озерна</t>
  </si>
  <si>
    <t>вул. Свердлова, 2</t>
  </si>
  <si>
    <t>(04563)327472</t>
  </si>
  <si>
    <t>http://ozerna1.ucoz.com</t>
  </si>
  <si>
    <t>Озернянська загальноосвітня школа І-ІІІ ступенів</t>
  </si>
  <si>
    <t>09183</t>
  </si>
  <si>
    <t>(0456)327361</t>
  </si>
  <si>
    <t>Острійківська загальноосвітня школа І-ІІІ ступенів</t>
  </si>
  <si>
    <t>09164</t>
  </si>
  <si>
    <t>3220484601</t>
  </si>
  <si>
    <t>Острійки</t>
  </si>
  <si>
    <t>(04563)20299</t>
  </si>
  <si>
    <t>http://ostrjkivska.ucoz.com/</t>
  </si>
  <si>
    <t>Піщанське навчально-виховне об'єднання "Загальноосвітня школа І-ІІІ ступенів - дитячий садок" Білоцерківської районної державної адміністрації Київської області</t>
  </si>
  <si>
    <t>09160</t>
  </si>
  <si>
    <t>3220484902</t>
  </si>
  <si>
    <t>Піщана</t>
  </si>
  <si>
    <t>вул. 50-річчя жовтня, 74</t>
  </si>
  <si>
    <t>(04563)20319</t>
  </si>
  <si>
    <t>http://www.psch.com.ua/</t>
  </si>
  <si>
    <t>Пилипчанський навчально-виховний комплекс "Загальноосвітня школа І-ІІІ ступенів - дошкільний навчальний заклад"</t>
  </si>
  <si>
    <t>09153</t>
  </si>
  <si>
    <t>3220485101</t>
  </si>
  <si>
    <t>Пилипча</t>
  </si>
  <si>
    <t>(04563)25941</t>
  </si>
  <si>
    <t>http://pylypcha.ucoz.ua</t>
  </si>
  <si>
    <t>Поправське навчально-виховне об'єднання "Загальноосвітня шклола І-ІІІ ступенів - дитячий садок" Білоцерківської районної адміністрації</t>
  </si>
  <si>
    <t>09181</t>
  </si>
  <si>
    <t>3220485301</t>
  </si>
  <si>
    <t>Поправка</t>
  </si>
  <si>
    <t>вул. Прозорівська, 4</t>
  </si>
  <si>
    <t>(04563)28326</t>
  </si>
  <si>
    <t>Потіївське навчально - виховне обєднання "Загальноосвітня школа І-ІІІ ступенів - дитячий садок"</t>
  </si>
  <si>
    <t>09184</t>
  </si>
  <si>
    <t>3220485601</t>
  </si>
  <si>
    <t>(04563)28530</t>
  </si>
  <si>
    <t>http://potievka.ucoz.ua</t>
  </si>
  <si>
    <t>Розаліївське навчально-виховне об"єднання "Загальноосвітня школа І-ІІІ ступенів - дитячий садок"</t>
  </si>
  <si>
    <t>09144</t>
  </si>
  <si>
    <t>3220485801</t>
  </si>
  <si>
    <t>Розаліївка</t>
  </si>
  <si>
    <t>вул. Народна, 69 а</t>
  </si>
  <si>
    <t>(04563)2-47-33</t>
  </si>
  <si>
    <t>Сорокотязьке навчально - виховне об'єднання "Загальноосвітня школа І - ІІ ступенів - дитячий садок"</t>
  </si>
  <si>
    <t>09155</t>
  </si>
  <si>
    <t>3220486201</t>
  </si>
  <si>
    <t>Сорокотяги</t>
  </si>
  <si>
    <t>(04563)33-18-76</t>
  </si>
  <si>
    <t>http://sorokotyaginvo.ucoz.com/</t>
  </si>
  <si>
    <t>Сухоліський навчально-виховний комплекс "ЗОШ І-ІІ ступенів - дитячий садок"Київська область Білоцерківський район с.Сухоліси</t>
  </si>
  <si>
    <t>09173</t>
  </si>
  <si>
    <t>3220486501</t>
  </si>
  <si>
    <t>Сухоліси</t>
  </si>
  <si>
    <t>(04563)324623</t>
  </si>
  <si>
    <t>Чепиліївський навчально-виховний комплекс "Загальноосвітня школа I-III ступенів-дитячий садок"</t>
  </si>
  <si>
    <t>09174</t>
  </si>
  <si>
    <t>3220486502</t>
  </si>
  <si>
    <t>Чепиліївка</t>
  </si>
  <si>
    <t>324610</t>
  </si>
  <si>
    <t>http://chepilievka.ucoz.ru</t>
  </si>
  <si>
    <t>Тарасівський навчально-виховний комплекс "Загальноосвітня школа І-ІІІ ступенів - дитячий садок"</t>
  </si>
  <si>
    <t>09166</t>
  </si>
  <si>
    <t>3220486901</t>
  </si>
  <si>
    <t>(04563)2-41-16</t>
  </si>
  <si>
    <t>Томилівське навчально-виховне об'єднання "Загальноосвітня школа І-ІІІ ступенів - дитячий садок"</t>
  </si>
  <si>
    <t>09172</t>
  </si>
  <si>
    <t>3220487201</t>
  </si>
  <si>
    <t>Томилівка</t>
  </si>
  <si>
    <t>ал. Центральна, 95</t>
  </si>
  <si>
    <t>(04463)29781</t>
  </si>
  <si>
    <t>Трушківська загальноосвітня школа І-ІІІ ступенів</t>
  </si>
  <si>
    <t>09152</t>
  </si>
  <si>
    <t>3220487401</t>
  </si>
  <si>
    <t>Трушки</t>
  </si>
  <si>
    <t>пл. Центральна, 2</t>
  </si>
  <si>
    <t>(0456)328124, (0456)328122</t>
  </si>
  <si>
    <t>http://trushki.net.ua</t>
  </si>
  <si>
    <t>Фастівське навчально-виховне об'єднання "Загальноосвітня школа І-ІІ ступенів - дитячий садок"</t>
  </si>
  <si>
    <t>09157</t>
  </si>
  <si>
    <t>3220487701</t>
  </si>
  <si>
    <t>Фастівка</t>
  </si>
  <si>
    <t>(04563)25333</t>
  </si>
  <si>
    <t>Фурсівська загальноосвітня школа І-ІІІ ступенів Білоцерквської районної держадміністрації Київської області</t>
  </si>
  <si>
    <t>09150</t>
  </si>
  <si>
    <t>3220488301</t>
  </si>
  <si>
    <t>Фурси</t>
  </si>
  <si>
    <t>(04563)38822</t>
  </si>
  <si>
    <t>Скребишівське навчально-виховне об'єднання "Загальноосвітня школа І-ІІ ступенів - дошкільний навчальний заклад"</t>
  </si>
  <si>
    <t>09136</t>
  </si>
  <si>
    <t>3220488603</t>
  </si>
  <si>
    <t>Скребиші</t>
  </si>
  <si>
    <t>(04563)29042</t>
  </si>
  <si>
    <t>http://skrebshool1905ucoz.com</t>
  </si>
  <si>
    <t>Чупирянське навчально-виховне обєднання "Загальноосвітня школа I-II ступенів - дитячий садок"</t>
  </si>
  <si>
    <t>09185</t>
  </si>
  <si>
    <t>3220489201</t>
  </si>
  <si>
    <t>Чупира</t>
  </si>
  <si>
    <t>(04563)328921, (04563)28922</t>
  </si>
  <si>
    <t>http://chypurawkola.ucoz.com</t>
  </si>
  <si>
    <t>Опорний навчальний заклад Шкарівська ЗОШ І-ІІІ ступенів Білоцерківської районної ради Київської області</t>
  </si>
  <si>
    <t>09170</t>
  </si>
  <si>
    <t>3220489501</t>
  </si>
  <si>
    <t>Шкарівка</t>
  </si>
  <si>
    <t>(04563)20523</t>
  </si>
  <si>
    <t>http://osvitabc.ucoz.com</t>
  </si>
  <si>
    <t>Яблунівський навчально-виховний комплекс "Загальноосвітня школа І-ІІІ ступенів-дитячий садок"</t>
  </si>
  <si>
    <t>09154</t>
  </si>
  <si>
    <t>3220489701</t>
  </si>
  <si>
    <t>вул. Окружна, 1</t>
  </si>
  <si>
    <t>(04563)25642</t>
  </si>
  <si>
    <t>Богуславська загальноосвітня школа I-III ступенів № 2 Богуславської районної ради Київської області</t>
  </si>
  <si>
    <t>09700</t>
  </si>
  <si>
    <t>3220610100</t>
  </si>
  <si>
    <t>вул. А. Зозулі, 11</t>
  </si>
  <si>
    <t>(04561)55520</t>
  </si>
  <si>
    <t>Богуславський навчально-виховний комплекс "Загальноосвітня школа І-ІІІ ступенів № 3-гімназія" Богуславської районної ради Київської області</t>
  </si>
  <si>
    <t>вул. Святогірська, 54</t>
  </si>
  <si>
    <t>(04561)51106, (04561)42578</t>
  </si>
  <si>
    <t>http://schoolboguslav3.at.ua</t>
  </si>
  <si>
    <t>Богуславська спеціалізована школа № 1 - загальноосвітній навчальний заклад І-ІІІ ступенів з поглибленим вивченням окремих предметів Богуславської районної ради Київської області</t>
  </si>
  <si>
    <t>09701</t>
  </si>
  <si>
    <t>вул. Миколаївська, 72</t>
  </si>
  <si>
    <t>(04561)51476</t>
  </si>
  <si>
    <t>http://bgschool1.ucoz.ua</t>
  </si>
  <si>
    <t>25300281</t>
  </si>
  <si>
    <t>Бранепільський навчально-виховний комплекс "Загальноосвітня школа І-ІІ ступенів - дитячий садок" Богуславської районної ради Київської області</t>
  </si>
  <si>
    <t>09731</t>
  </si>
  <si>
    <t>3220680701</t>
  </si>
  <si>
    <t>Бране Поле</t>
  </si>
  <si>
    <t>вул. 30 Перемоги, 12 а</t>
  </si>
  <si>
    <t>(04561)46587</t>
  </si>
  <si>
    <t>http://nvk-branepole.at.ua/</t>
  </si>
  <si>
    <t>Дибинецький навчально - виховний комплекс"Загальноосвітня школа І-ІІІ ступенів - дитячий садок" Богуславської районної ради Київської області</t>
  </si>
  <si>
    <t>09714</t>
  </si>
  <si>
    <t>3220681401</t>
  </si>
  <si>
    <t>Дибинці</t>
  </si>
  <si>
    <t>(04561)33330, (099)3631855</t>
  </si>
  <si>
    <t>Опорний навчальний заклад Іванівський навчально-виховний комплекс "Загальноосвітня школа І-ІІІст.-дитячий садок" Богуславської районної ради Київської області</t>
  </si>
  <si>
    <t>09724</t>
  </si>
  <si>
    <t>3220681801</t>
  </si>
  <si>
    <t>вул. Центральна, 192/а</t>
  </si>
  <si>
    <t>(04561)34330</t>
  </si>
  <si>
    <t>Ісайківський навчально-виховний комплекс "Загальноосвітня школа І-ІІІ ступенів-дитячий садок" Богуславської районної ради Київської області</t>
  </si>
  <si>
    <t>09730</t>
  </si>
  <si>
    <t>3220682201</t>
  </si>
  <si>
    <t>Ісайки</t>
  </si>
  <si>
    <t>(04561)35331</t>
  </si>
  <si>
    <t>Киданівський навчально-виховний комплекс "Загальноосвітня школа І-ІІ ст. дитячий садочок" Богуславської районної ради Київської області</t>
  </si>
  <si>
    <t>09743</t>
  </si>
  <si>
    <t>3220682701</t>
  </si>
  <si>
    <t>Киданівка</t>
  </si>
  <si>
    <t>вул. Ковалівка, 26</t>
  </si>
  <si>
    <t>(04561)31-6-30</t>
  </si>
  <si>
    <t>Медвинська загальноосвітня школа І-ІІІ ступенів Богуславської районної ради Київської області</t>
  </si>
  <si>
    <t>09751</t>
  </si>
  <si>
    <t>3220683201</t>
  </si>
  <si>
    <t>Медвин</t>
  </si>
  <si>
    <t>вул. Олександра Василенка, 11</t>
  </si>
  <si>
    <t>(04561)36432</t>
  </si>
  <si>
    <t>http://schoolmedvin.ucoz.ru/</t>
  </si>
  <si>
    <t>Мисайлівський навчально-виховний комплекс "Загальноосвітня школа І-ІІ ступенів - дитячий садок" Богуславської районної ради Київської області</t>
  </si>
  <si>
    <t>09712</t>
  </si>
  <si>
    <t>3220683601</t>
  </si>
  <si>
    <t>Мисайлівка</t>
  </si>
  <si>
    <t>вул. Бондаренка</t>
  </si>
  <si>
    <t>30-3-30</t>
  </si>
  <si>
    <t>http://schoolmysailivk.ucoz.ua/</t>
  </si>
  <si>
    <t>Побережківський навчально-виховний комплекс "Загальноосвітня школа І - ІІІ ступенів-дитячий садок" Богуславської районної ради Київської області"</t>
  </si>
  <si>
    <t>09732</t>
  </si>
  <si>
    <t>3220685801</t>
  </si>
  <si>
    <t>Побережка</t>
  </si>
  <si>
    <t>вул. Ярослава Мудрого, 55</t>
  </si>
  <si>
    <t>(044)4-30</t>
  </si>
  <si>
    <t>Розкопанецька загальноосвітня школа І-ІІ ступенів Богуславської районної ради Київської області</t>
  </si>
  <si>
    <t>09715</t>
  </si>
  <si>
    <t>3220686201</t>
  </si>
  <si>
    <t>Розкопанці</t>
  </si>
  <si>
    <t>0964815522</t>
  </si>
  <si>
    <t>http://school-roz.at.ua</t>
  </si>
  <si>
    <t>Саварський навчально-виховний комплекс "загальноосвітня школа І-ІІІ ступенів - дитячий садок" ім. А.М. Люльки Богуславської районної ради Київської області</t>
  </si>
  <si>
    <t>09710</t>
  </si>
  <si>
    <t>3220686601</t>
  </si>
  <si>
    <t>Саварка</t>
  </si>
  <si>
    <t>(39)310</t>
  </si>
  <si>
    <t>Тептіївський навчально-виховний комплекс "Загальноосвітня школа І-ІІ ступенів - дитячий садок" Богуславської районної ради Київської області</t>
  </si>
  <si>
    <t>09722</t>
  </si>
  <si>
    <t>3220687301</t>
  </si>
  <si>
    <t>Тептіївка</t>
  </si>
  <si>
    <t>вул. Корсунська, 62,а</t>
  </si>
  <si>
    <t>(04561)43330</t>
  </si>
  <si>
    <t>http://teptiivka-nvk.edukit.kiev.ua.</t>
  </si>
  <si>
    <t>Хохітвянський навчально-виховний комплекс "Загальноосвітня школа І-ІІ ступенів - дитячий садок" Богуславської районної ради Київської області</t>
  </si>
  <si>
    <t>09740</t>
  </si>
  <si>
    <t>3220687601</t>
  </si>
  <si>
    <t>Хохітва</t>
  </si>
  <si>
    <t>http://hohitva-school.at.ua</t>
  </si>
  <si>
    <t>Шупиківський навчально-виховний комплекс "Загальноосвітня школа І-ІІ ступенів -дитячий садок" Богуславської районної ради Київської області</t>
  </si>
  <si>
    <t>09720</t>
  </si>
  <si>
    <t>3220688001</t>
  </si>
  <si>
    <t>Шупики</t>
  </si>
  <si>
    <t>вул. Кирилівська, 2</t>
  </si>
  <si>
    <t>(04561)31130</t>
  </si>
  <si>
    <t>http://shupykynvk.at.ua/</t>
  </si>
  <si>
    <t>Великоолександрівська загальноосвітня школа І-ІІІ ступенів Бориспільської міської ради Київської області</t>
  </si>
  <si>
    <t>08320</t>
  </si>
  <si>
    <t>3220880901</t>
  </si>
  <si>
    <t>Велика Олександрівка</t>
  </si>
  <si>
    <t>22203229</t>
  </si>
  <si>
    <t>Вишенська загальноосвітня школа I-III ступенів Бориспільської районної ради Київської області</t>
  </si>
  <si>
    <t>08341</t>
  </si>
  <si>
    <t>3220881301</t>
  </si>
  <si>
    <t>Вишеньки</t>
  </si>
  <si>
    <t>вул. Леніна, 150</t>
  </si>
  <si>
    <t>(045)9539423</t>
  </si>
  <si>
    <t>22203206</t>
  </si>
  <si>
    <t>ТОВ "Навчально-виховний комплекс"Золоче", Департамент освіти і науки Київської обласної державної адміністрації</t>
  </si>
  <si>
    <t>вул. Набережна, 28А</t>
  </si>
  <si>
    <t>0674021407</t>
  </si>
  <si>
    <t>Опорний навчальний заклад "Вороньківська загальноосвітня школа І-ІІІ ступенів Бориспільської районної ради Київської області"</t>
  </si>
  <si>
    <t>08352</t>
  </si>
  <si>
    <t>3220881701</t>
  </si>
  <si>
    <t>Вороньків</t>
  </si>
  <si>
    <t>вул. Київська, 1</t>
  </si>
  <si>
    <t>(95)36669</t>
  </si>
  <si>
    <t>http://voronkiv-school.at.ua/</t>
  </si>
  <si>
    <t>22203212</t>
  </si>
  <si>
    <t>Глибоцька загальноосвітня школа І-ІІІ ступенів Бориспільської районної ради Київської області</t>
  </si>
  <si>
    <t>08350</t>
  </si>
  <si>
    <t>3220882201</t>
  </si>
  <si>
    <t>(04595)31236</t>
  </si>
  <si>
    <t>22203353</t>
  </si>
  <si>
    <t>Гнідинська загальноосвітня школа I-III ступенів імені Петра Яцика Бориспільської районної ради Київської області</t>
  </si>
  <si>
    <t>08340</t>
  </si>
  <si>
    <t>3220882601</t>
  </si>
  <si>
    <t>Гнідин</t>
  </si>
  <si>
    <t>вул. Заводська, 7</t>
  </si>
  <si>
    <t>(04595)41143</t>
  </si>
  <si>
    <t>22203362</t>
  </si>
  <si>
    <t>Головурівська загальносвітня школа І-ІІІ ступенів Бориспільської районної ради Київської області</t>
  </si>
  <si>
    <t>08353</t>
  </si>
  <si>
    <t>3220882901</t>
  </si>
  <si>
    <t>Головурів</t>
  </si>
  <si>
    <t>вул. Гарфункіна, 11</t>
  </si>
  <si>
    <t>(044)3-32-27</t>
  </si>
  <si>
    <t>http://golovyrovs.ukoz.ua</t>
  </si>
  <si>
    <t>22203347</t>
  </si>
  <si>
    <t>Кийлівське навчально-виховне обєднання "Загальноосвітня школа І-ІІ ступенів - дитячий садок" Бориспільської районної ради Київської області</t>
  </si>
  <si>
    <t>08354</t>
  </si>
  <si>
    <t>3220882903</t>
  </si>
  <si>
    <t>Кийлів</t>
  </si>
  <si>
    <t>вул. Дніпровська, 91</t>
  </si>
  <si>
    <t>(04595)55394</t>
  </si>
  <si>
    <t>Гірська загальноосвітня школа І-ІІІ ступенів Бориспільської районної ради Київської області</t>
  </si>
  <si>
    <t>08324</t>
  </si>
  <si>
    <t>3220883201</t>
  </si>
  <si>
    <t>Гора</t>
  </si>
  <si>
    <t>(04595)36526</t>
  </si>
  <si>
    <t>22203235</t>
  </si>
  <si>
    <t>Дударківська загальноосвітня школа І-ІІІ ступенів Бориспільської районної ради Київської області</t>
  </si>
  <si>
    <t>08330</t>
  </si>
  <si>
    <t>3220883601</t>
  </si>
  <si>
    <t>Дударків</t>
  </si>
  <si>
    <t>вул. Гоголя, 37</t>
  </si>
  <si>
    <t>(045)9539523</t>
  </si>
  <si>
    <t>http://dudschool.ucoz.ru</t>
  </si>
  <si>
    <t>22203241</t>
  </si>
  <si>
    <t>Іванківська загальноосвітня школа І-ІІІ ступенів Бориспільської районної ради Київської області</t>
  </si>
  <si>
    <t>08335</t>
  </si>
  <si>
    <t>3220884001</t>
  </si>
  <si>
    <t>0459538439</t>
  </si>
  <si>
    <t>38891116</t>
  </si>
  <si>
    <t>Кучаківська загальноосвітня школа І-ІІІ ступенів імені гетьмана Івана Сулими Бориспільської районної ради Київської області</t>
  </si>
  <si>
    <t>08333</t>
  </si>
  <si>
    <t>3220884401</t>
  </si>
  <si>
    <t>Кучаків</t>
  </si>
  <si>
    <t>вул. Гетьмана Івана Сулими, 69А</t>
  </si>
  <si>
    <t>(04595)39177</t>
  </si>
  <si>
    <t>http://kirove-school.at.ua/</t>
  </si>
  <si>
    <t>22203264</t>
  </si>
  <si>
    <t>Любарецька ЗОШ І-ІІІ ступенів Бориспільської районної ради Київськоїобласті</t>
  </si>
  <si>
    <t>08360</t>
  </si>
  <si>
    <t>3220884801</t>
  </si>
  <si>
    <t>Любарці</t>
  </si>
  <si>
    <t>(04595)32242</t>
  </si>
  <si>
    <t>22203270</t>
  </si>
  <si>
    <t>Мартусівське навчально-виховне об'єднання "загальноосвітня школа І ступеня-дитячий садок" Мартусівської сільської ради Бориспільського району Київської області</t>
  </si>
  <si>
    <t>08343</t>
  </si>
  <si>
    <t>3220885001</t>
  </si>
  <si>
    <t>Мартусівка</t>
  </si>
  <si>
    <t>вул. Бориспільська, 7</t>
  </si>
  <si>
    <t>(04595)37521</t>
  </si>
  <si>
    <t>Мирненська загальноосвітня школа І – ІІІ ступенів Бориспільської районної ради Київської області</t>
  </si>
  <si>
    <t>08361</t>
  </si>
  <si>
    <t>3220885701</t>
  </si>
  <si>
    <t>пл. Віктора Луценка, 2</t>
  </si>
  <si>
    <t>(4595)31311</t>
  </si>
  <si>
    <t>http://mirnoes.com.ua/</t>
  </si>
  <si>
    <t>22203287</t>
  </si>
  <si>
    <t>Процівська загальноосвітня школа І ступеня Бориспільської районної ради Київської області</t>
  </si>
  <si>
    <t>08344</t>
  </si>
  <si>
    <t>3220886001</t>
  </si>
  <si>
    <t>Проців</t>
  </si>
  <si>
    <t>вул. Дружби, 2Б</t>
  </si>
  <si>
    <t>(04495)32693</t>
  </si>
  <si>
    <t>http://protsiv-school.at.ua</t>
  </si>
  <si>
    <t>Ревнівська загальноосвітня школа І-ІІІ ступенів Бориспільської районної ради Київської області</t>
  </si>
  <si>
    <t>08342</t>
  </si>
  <si>
    <t>3220886201</t>
  </si>
  <si>
    <t>Ревне</t>
  </si>
  <si>
    <t>(04595)3-76-63</t>
  </si>
  <si>
    <t>25301955</t>
  </si>
  <si>
    <t>Рогозівська загальноосвітня школа І - ІІІ ступенів Бориспільської районної ради Київської області</t>
  </si>
  <si>
    <t>08351</t>
  </si>
  <si>
    <t>3220886401</t>
  </si>
  <si>
    <t>Рогозів</t>
  </si>
  <si>
    <t>(04595)3-42-30</t>
  </si>
  <si>
    <t>http://rogozivshool.at.ua</t>
  </si>
  <si>
    <t>22203293</t>
  </si>
  <si>
    <t>Сеньківська загальноосвітня школа І-ІІІ ступенів Бориспільської районної ради Київської області</t>
  </si>
  <si>
    <t>08371</t>
  </si>
  <si>
    <t>3220886701</t>
  </si>
  <si>
    <t>Сеньківка</t>
  </si>
  <si>
    <t>вул. Миру, 11А</t>
  </si>
  <si>
    <t>(04595)33635</t>
  </si>
  <si>
    <t>22203301</t>
  </si>
  <si>
    <t>Сошниківська загальноосвітня школа І-ІІІ ступенів Бориспільської районної ради Київської області</t>
  </si>
  <si>
    <t>08363</t>
  </si>
  <si>
    <t>3220887001</t>
  </si>
  <si>
    <t>Сошників</t>
  </si>
  <si>
    <t>ал. Іванова, 1</t>
  </si>
  <si>
    <t>22203376</t>
  </si>
  <si>
    <t>Старинська загальноосвітня школа І-ІІІ ступенів Бориспільської районної ради Київської області</t>
  </si>
  <si>
    <t>08362</t>
  </si>
  <si>
    <t>3220887601</t>
  </si>
  <si>
    <t>Старе</t>
  </si>
  <si>
    <t>(04595)33327</t>
  </si>
  <si>
    <t>22203324</t>
  </si>
  <si>
    <t>Щасливський навчально-виховний комплекс «ліцей - загальноосвітня школа І-ІІІ ступенів» Бориспільської районної ради Київської області</t>
  </si>
  <si>
    <t>08325</t>
  </si>
  <si>
    <t>3220888001</t>
  </si>
  <si>
    <t>(045)9535582</t>
  </si>
  <si>
    <t>http://www.nvk-schaslyve.com.ua/</t>
  </si>
  <si>
    <t>22203330</t>
  </si>
  <si>
    <t>Комунальна організація (установа, заклад) Пролісківське навчально-виховне об'єднання "Загальноосвітня школа І ступеня - дитячий садок"</t>
  </si>
  <si>
    <t>08222</t>
  </si>
  <si>
    <t>3220888003</t>
  </si>
  <si>
    <t>Проліски</t>
  </si>
  <si>
    <t>вул. П.Морозова, 1Д</t>
  </si>
  <si>
    <t>(04595)35273</t>
  </si>
  <si>
    <t>Бородянська загальноосвітня школа І-ІІ ступенів</t>
  </si>
  <si>
    <t>07805</t>
  </si>
  <si>
    <t>3221055100</t>
  </si>
  <si>
    <t>Бородянка</t>
  </si>
  <si>
    <t>вул. Привокзальна, 2</t>
  </si>
  <si>
    <t>(04577)5-69-33</t>
  </si>
  <si>
    <t>http://www.borodianka-school3.edukit.kiev.ua</t>
  </si>
  <si>
    <t>Бородянська спеціалізована школа - загальноосвітній заклад І-ІІІ ступенів № 2 з поглибленим вивченням окремих предметів</t>
  </si>
  <si>
    <t>07801</t>
  </si>
  <si>
    <t>вул. Паркова, 5</t>
  </si>
  <si>
    <t>(04577)51035, (04577)51034</t>
  </si>
  <si>
    <t>Бородянська спеціалізована школа - загальноосвітній заклад І-ІІІ ступенів № 1 з поглибленим вивченням окремих предметів</t>
  </si>
  <si>
    <t>вул. Центральна, 222</t>
  </si>
  <si>
    <t>(04577)5-15-76</t>
  </si>
  <si>
    <t>http://www.borodianka-school1.edukit.kiev.ua</t>
  </si>
  <si>
    <t>Бабинецька загальноосвітня школа І-ІІІ ступенів</t>
  </si>
  <si>
    <t>07832</t>
  </si>
  <si>
    <t>3221055300</t>
  </si>
  <si>
    <t>Бабинці</t>
  </si>
  <si>
    <t>вул. Травнева, 70А</t>
  </si>
  <si>
    <t>(04577)71266</t>
  </si>
  <si>
    <t>http://babinci-school.org.ua</t>
  </si>
  <si>
    <t>Клавдіївська загальноосвітня школа І-ІІІ ступенів імені Олександра Рибалка</t>
  </si>
  <si>
    <t>07850</t>
  </si>
  <si>
    <t>3221055500</t>
  </si>
  <si>
    <t>Клавдієво-Тарасове</t>
  </si>
  <si>
    <t>вул. Франка, 9</t>
  </si>
  <si>
    <t>(04577)26473</t>
  </si>
  <si>
    <t>Пісківська гуманітарна гімназія Бородянської районної державної адміністрації Київської області</t>
  </si>
  <si>
    <t>07820</t>
  </si>
  <si>
    <t>3221055600</t>
  </si>
  <si>
    <t>Пісківка</t>
  </si>
  <si>
    <t>вул. Н.Сосніної, 12А</t>
  </si>
  <si>
    <t>(04577)33-2-53</t>
  </si>
  <si>
    <t>Пісківське навчально-виховне об'єднання "спеціалізована школа І-ІІІ ступенів-загальноосвітня школа І-ІІІ ступенів -дитячий садок"</t>
  </si>
  <si>
    <t>(804577)33244</t>
  </si>
  <si>
    <t>https://piskivske-nvo.e-schools.info/m/</t>
  </si>
  <si>
    <t>Тетерівська загальноосвітня школа І-ІІІ ступенів імені Ніни Сосніної</t>
  </si>
  <si>
    <t>вул. Піонерська, 33</t>
  </si>
  <si>
    <t>(04577)33247</t>
  </si>
  <si>
    <t>http://teterivschool.ucoz.ua</t>
  </si>
  <si>
    <t>Немішаївський навчально-виховний комплекс "Спеціалізова школа ІІ - ІІІ ступенів - загальноосвітня школа І - ІІІ ступенів"</t>
  </si>
  <si>
    <t>07853</t>
  </si>
  <si>
    <t>3221055900</t>
  </si>
  <si>
    <t>Немішаєве</t>
  </si>
  <si>
    <t>http://nemishaieve-zosh2.edukit.kiev.ua/</t>
  </si>
  <si>
    <t>Немішаївська загальноосвітня школа І-ІІІ ступенів № 1</t>
  </si>
  <si>
    <t>вул. Заводська, 45</t>
  </si>
  <si>
    <t>(045)7741760, (045)7741277</t>
  </si>
  <si>
    <t>http://nemishaieve-school1.edukit.kiev.ua/</t>
  </si>
  <si>
    <t>Блиставицька загальноосвітня школа І-ІІІ ступенів</t>
  </si>
  <si>
    <t>07835</t>
  </si>
  <si>
    <t>3221080501</t>
  </si>
  <si>
    <t>Блиставиця</t>
  </si>
  <si>
    <t>вул. Соборна, 27</t>
  </si>
  <si>
    <t>(045)7739242</t>
  </si>
  <si>
    <t>http://blystavytsia-school.edukit.kiev.ua</t>
  </si>
  <si>
    <t>Дружнянська загальноосвітня школа I-II ступенів</t>
  </si>
  <si>
    <t>07807</t>
  </si>
  <si>
    <t>3221081001</t>
  </si>
  <si>
    <t>Дружня</t>
  </si>
  <si>
    <t>вул. Петровського, 58</t>
  </si>
  <si>
    <t>(04577)30240</t>
  </si>
  <si>
    <t>Опорний загальноосвітній навчальний заклад Загальцівське навчально-виховне об'єднання "Загальноосвітня школа І-ІІІ ступеннів - дитячий садок" Бородянської районної ради Київської області</t>
  </si>
  <si>
    <t>07823</t>
  </si>
  <si>
    <t>3221082001</t>
  </si>
  <si>
    <t>Загальці</t>
  </si>
  <si>
    <t>вул. Незалежності, 140А</t>
  </si>
  <si>
    <t>(04577)35216</t>
  </si>
  <si>
    <t>Новобудська філія ОЗНЗ Загальцівського НВО "Загальноосвітня школа І-ІІІ ступенів - дитячий садок"</t>
  </si>
  <si>
    <t>3221082004</t>
  </si>
  <si>
    <t>Нова Буда</t>
  </si>
  <si>
    <t>вул. Піонерська, 27</t>
  </si>
  <si>
    <t>(097)5748846</t>
  </si>
  <si>
    <t>Опорний загальноосвітній навчальний заклад Новозаліське навчально-виховне обєднання "загальноосвітня школа І-ІІІ ступенів-дошкільний навчальний заклад" Бородянської районної ради Київської області</t>
  </si>
  <si>
    <t>07811</t>
  </si>
  <si>
    <t>3221082201</t>
  </si>
  <si>
    <t>Нове Залісся</t>
  </si>
  <si>
    <t>вул. Чорноморська, 2</t>
  </si>
  <si>
    <t>(04577)36231</t>
  </si>
  <si>
    <t>Здвижівське навчально-виховне об'єднання "загальноосвітня школа І-ІІ ступенів - дошкільний навчальний заклад"</t>
  </si>
  <si>
    <t>07830</t>
  </si>
  <si>
    <t>3221082501</t>
  </si>
  <si>
    <t>Здвижівка</t>
  </si>
  <si>
    <t>(77)7-02-35</t>
  </si>
  <si>
    <t>http://zdvyzhivka-school.edukit.kiev.ua.</t>
  </si>
  <si>
    <t>Качалівська філія ОЗНЗ Загальцівського НВО "Загальноосвітня школа І-ІІІ ступенів - дитячий садок"</t>
  </si>
  <si>
    <t>07813</t>
  </si>
  <si>
    <t>3221083001</t>
  </si>
  <si>
    <t>Качали</t>
  </si>
  <si>
    <t>(04577)3-22-38</t>
  </si>
  <si>
    <t>Козинцівська загальноосвітня школа І-ІІ ступенів</t>
  </si>
  <si>
    <t>3221083501</t>
  </si>
  <si>
    <t>вул. Шкільна, 33А</t>
  </si>
  <si>
    <t>Новокорогодське навчально-виховне об'єднання "загальноосвітня школа І-ІІ ступенів - дитячий садок"</t>
  </si>
  <si>
    <t>07843</t>
  </si>
  <si>
    <t>3221083701</t>
  </si>
  <si>
    <t>Новий Корогод</t>
  </si>
  <si>
    <t>вул. Харківська, 34</t>
  </si>
  <si>
    <t>(045)7775282</t>
  </si>
  <si>
    <t>http://www.novyi-korogod.edukit.riev.ua/ru</t>
  </si>
  <si>
    <t>Луб'янська загальноосвітня школа І-ІІ ступенів</t>
  </si>
  <si>
    <t>07831</t>
  </si>
  <si>
    <t>3221084001</t>
  </si>
  <si>
    <t>(04577)38243</t>
  </si>
  <si>
    <t>http://www.lubiyanka-school.edukit.kiev.ua</t>
  </si>
  <si>
    <t>Майданівська загальноосвітня школа І-ІІ ступенів</t>
  </si>
  <si>
    <t>07824</t>
  </si>
  <si>
    <t>3221084501</t>
  </si>
  <si>
    <t>Майданівка</t>
  </si>
  <si>
    <t>(045)7731240</t>
  </si>
  <si>
    <t>http://www.maydanivka-school.edukit.kiev.ua/ru</t>
  </si>
  <si>
    <t>Мигалківське навчально-виховне обєднання "загальноолсвітня школа І-ІІІ ступенів - дитячий садок"</t>
  </si>
  <si>
    <t>3221085001</t>
  </si>
  <si>
    <t>Мигалки</t>
  </si>
  <si>
    <t>вул. Покровська, 1</t>
  </si>
  <si>
    <t>(04577)33381</t>
  </si>
  <si>
    <t>Микулицька загальноосвітня школа І-ІІІ ступенів</t>
  </si>
  <si>
    <t>07852</t>
  </si>
  <si>
    <t>3221085501</t>
  </si>
  <si>
    <t>вул. Яковенка, 10</t>
  </si>
  <si>
    <t>(04577)41423</t>
  </si>
  <si>
    <t>Мирчанське навчально - виховне об'єднання "загальноосвітня школа І - ІІ ступенів - дитячий садок"</t>
  </si>
  <si>
    <t>07810</t>
  </si>
  <si>
    <t>3221085901</t>
  </si>
  <si>
    <t>(04477)73234</t>
  </si>
  <si>
    <t>Новогребельський навчально-виховний комплекс "загальноосвітня школа І-ІІ ступенів - дошкільний навчальний заклад"</t>
  </si>
  <si>
    <t>07842</t>
  </si>
  <si>
    <t>3221086801</t>
  </si>
  <si>
    <t>(045)7737240</t>
  </si>
  <si>
    <t>Озерське навчально-виховне об'єднання "загальноосвітня школа І-ІІ ступенів -дитячий садок"</t>
  </si>
  <si>
    <t>3221087001</t>
  </si>
  <si>
    <t>Озера</t>
  </si>
  <si>
    <t>(04577)38306</t>
  </si>
  <si>
    <t>http://ozera-nvo.edukit.kiev.ua</t>
  </si>
  <si>
    <t>Пилиповицька загальноосвітня школа І - ІІ ступенів</t>
  </si>
  <si>
    <t>07840</t>
  </si>
  <si>
    <t>3221087501</t>
  </si>
  <si>
    <t>вул. Шевченка, 133</t>
  </si>
  <si>
    <t>(045)74293</t>
  </si>
  <si>
    <t>Шибенська філія ОЗНЗ Новозаліського НВО "загальноосвіня школа І-ІІ ступенів - дошкільний навчальний заклад"</t>
  </si>
  <si>
    <t>07812</t>
  </si>
  <si>
    <t>3221088601</t>
  </si>
  <si>
    <t>Шибене</t>
  </si>
  <si>
    <t>вул. Кооперативна, 34А</t>
  </si>
  <si>
    <t>(277)34235</t>
  </si>
  <si>
    <t>Великодимерське навчально-виховне об’єднання Броварського району Київської області</t>
  </si>
  <si>
    <t>07442</t>
  </si>
  <si>
    <t>3221255200</t>
  </si>
  <si>
    <t>Велика Димерка</t>
  </si>
  <si>
    <t>вул. Заліська, 3</t>
  </si>
  <si>
    <t>(04594)67623, (04594)67620</t>
  </si>
  <si>
    <t>http://vel-dymerka-nvk.edukit.kiev.ua/</t>
  </si>
  <si>
    <t>22207996</t>
  </si>
  <si>
    <t>Ліцей Великодимерського навчально-виховного об'єднання Броварського району Київської області</t>
  </si>
  <si>
    <t>(04594)67622</t>
  </si>
  <si>
    <t>Калитянська загальноосвітня школа І-ІІІ ступенів</t>
  </si>
  <si>
    <t>07420</t>
  </si>
  <si>
    <t>3221255500</t>
  </si>
  <si>
    <t>Калита</t>
  </si>
  <si>
    <t>пров. Ювілейний, 2</t>
  </si>
  <si>
    <t>(04594)68-6-81</t>
  </si>
  <si>
    <t>http://kalitaschool.jimdo.com</t>
  </si>
  <si>
    <t>25299069</t>
  </si>
  <si>
    <t>Калинівська загальноосвітня школа І - ІІІ ступенів Броварського району Київської області</t>
  </si>
  <si>
    <t>07443</t>
  </si>
  <si>
    <t>3221255600</t>
  </si>
  <si>
    <t>вул. Котовського (Шкільна), 8</t>
  </si>
  <si>
    <t>(04594)78215, (04594)78153</t>
  </si>
  <si>
    <t>Комунальний заклад "Броварська районна вечірня загальноосвітня школа ІІ-ІІІ ступенів із заочною формою навчання Броварського району Київської області"</t>
  </si>
  <si>
    <t>вул. Котовського, 4</t>
  </si>
  <si>
    <t>(066)1830668</t>
  </si>
  <si>
    <t>http://www.wechirka-zosh.ucoz.ua/</t>
  </si>
  <si>
    <t>Бобрицька загальноосвітня школа І-ІІІ ступенів.</t>
  </si>
  <si>
    <t>07431</t>
  </si>
  <si>
    <t>3221280401</t>
  </si>
  <si>
    <t>Бобрик</t>
  </si>
  <si>
    <t>вул. Ентузіастів, 2</t>
  </si>
  <si>
    <t>(04594)28217</t>
  </si>
  <si>
    <t>http://bobrykshkola.in.ua</t>
  </si>
  <si>
    <t>Богданівська загальноосвітня школа І-ІІІ ступенів</t>
  </si>
  <si>
    <t>07433</t>
  </si>
  <si>
    <t>3221280801</t>
  </si>
  <si>
    <t>вул. Богдана Хмельницького, 148</t>
  </si>
  <si>
    <t>((45))94-33-2-41</t>
  </si>
  <si>
    <t>http://bogdanivka.ucoz.ua/</t>
  </si>
  <si>
    <t>23567867</t>
  </si>
  <si>
    <t>Гоголівська філія Гоголівської загальноосвітньої школа І-ІІ ступенів Броварського району Київської області</t>
  </si>
  <si>
    <t>07452</t>
  </si>
  <si>
    <t>3221281601</t>
  </si>
  <si>
    <t>Гоголів</t>
  </si>
  <si>
    <t>(04594)27224</t>
  </si>
  <si>
    <t>http://gogoliv-school2Kiev.sch.in.ua</t>
  </si>
  <si>
    <t>Опорний навчальний заклад Гоголівська загальноосвітня школа І-ІІІ ступенів</t>
  </si>
  <si>
    <t>вул. Київська, 167</t>
  </si>
  <si>
    <t>(04594)27395</t>
  </si>
  <si>
    <t>http://gogoliv-school.ucoz.ru</t>
  </si>
  <si>
    <t>Тарасівський навчально-виховний комплекс "Загальноосвітня школа І-ІІІ ступенів - дошкільний навчальний заклад" Броварського району Київської області</t>
  </si>
  <si>
    <t>07441</t>
  </si>
  <si>
    <t>3221282009</t>
  </si>
  <si>
    <t>вул. 9 Січня, 1</t>
  </si>
  <si>
    <t>(04594)20276</t>
  </si>
  <si>
    <t>http://nvk-tarasivska.ucoz.ua</t>
  </si>
  <si>
    <t>25301292</t>
  </si>
  <si>
    <t>ЗАВОРИЦЬКИЙ НАВЧАЛЬНО-ВИХОВНИЙ КОМПЛЕКС "ЗАГАЛЬНООСВІТНЯ ШКОЛА І-ІІІ СТУПЕНІВ - ДОШКІЛЬНИЙ НАВЧАЛЬНИЙ ЗАКЛАД" БРОВАРСЬКОГО РАЙОНУ КИЇВСЬКОЇ ОБЛАСТІ</t>
  </si>
  <si>
    <t>07424</t>
  </si>
  <si>
    <t>3221282401</t>
  </si>
  <si>
    <t>Заворичі</t>
  </si>
  <si>
    <t>вул. Шкільна, 89</t>
  </si>
  <si>
    <t>(044294)37451</t>
  </si>
  <si>
    <t>http://zavorotich980.ucoz.ua</t>
  </si>
  <si>
    <t>25300944</t>
  </si>
  <si>
    <t>Зазимський навчально-виховний комплекс "Загальноосвітня школа І-ІІІ ступенів - дошкільний навчальний заклад" Броварського району Київської області</t>
  </si>
  <si>
    <t>07415</t>
  </si>
  <si>
    <t>3221282801</t>
  </si>
  <si>
    <t>Зазим'я</t>
  </si>
  <si>
    <t>вул. Лісова, 61</t>
  </si>
  <si>
    <t>(04594)29346</t>
  </si>
  <si>
    <t>http://zazymia-nvk.kiev.sch.in.ua/</t>
  </si>
  <si>
    <t>25300648</t>
  </si>
  <si>
    <t>Княжицька загальноосвітня школа І-ІІІ ступенів</t>
  </si>
  <si>
    <t>07455</t>
  </si>
  <si>
    <t>3221284001</t>
  </si>
  <si>
    <t>Княжичі</t>
  </si>
  <si>
    <t>(04594)330</t>
  </si>
  <si>
    <t>Красилівська загальноосвітня школа І-ІІІ ступенів Броварського району Київської області</t>
  </si>
  <si>
    <t>07451</t>
  </si>
  <si>
    <t>3221284401</t>
  </si>
  <si>
    <t>(04594)74396</t>
  </si>
  <si>
    <t>Літківська загальноосвітня школа І-ІІІ ступенів ім. М.П. Стельмаха Броварського району Київської області</t>
  </si>
  <si>
    <t>07411</t>
  </si>
  <si>
    <t>3221284801</t>
  </si>
  <si>
    <t>ал. Шевченка, 67</t>
  </si>
  <si>
    <t>(04594)24565</t>
  </si>
  <si>
    <t>http://litky-zosh.kiev.sch.in.ua</t>
  </si>
  <si>
    <t>Мокрецький навчально-виховний комплекс "Загально-освітня школа І-ІІІ ступенів- дошкільний навчальний заклад"</t>
  </si>
  <si>
    <t>07425</t>
  </si>
  <si>
    <t>3221285601</t>
  </si>
  <si>
    <t>вул. Нова, 2А</t>
  </si>
  <si>
    <t>(094)31275</t>
  </si>
  <si>
    <t>25299336</t>
  </si>
  <si>
    <t>Комунальний заклад Плосківське навчально-виховне об'єднання "Загальноосвітня школа І-ІІІ ступенів - дошкільний навчальний заклад"</t>
  </si>
  <si>
    <t>07450</t>
  </si>
  <si>
    <t>3221286001</t>
  </si>
  <si>
    <t>(04594)32-2-44</t>
  </si>
  <si>
    <t>http://ploskivskenvo.ucoz.ua</t>
  </si>
  <si>
    <t>Погребська загальноосвітня школа І-ІІІ ступенів Броварського району Київської області</t>
  </si>
  <si>
    <t>07416</t>
  </si>
  <si>
    <t>3221286401</t>
  </si>
  <si>
    <t>Погреби</t>
  </si>
  <si>
    <t>(04594)76267</t>
  </si>
  <si>
    <t>http://pogrebuzosh.ucoz.ua</t>
  </si>
  <si>
    <t>Пухівська загальноосвітня школа І-ІІІ ступенів Броварського району Київської області</t>
  </si>
  <si>
    <t>07413</t>
  </si>
  <si>
    <t>3221286801</t>
  </si>
  <si>
    <t>Пухівка</t>
  </si>
  <si>
    <t>вул. Поштова, 14</t>
  </si>
  <si>
    <t>(04594)26233</t>
  </si>
  <si>
    <t>Рожнівський навчально-виховний комплекс "Загальноосвітня школа І-ІІ ступенів - дошкільний навчальний заклад"</t>
  </si>
  <si>
    <t>07412</t>
  </si>
  <si>
    <t>3221287201</t>
  </si>
  <si>
    <t>Рожни</t>
  </si>
  <si>
    <t>вул. Свободи, 70</t>
  </si>
  <si>
    <t>(04594)2-51-91</t>
  </si>
  <si>
    <t>Руднянська загальноосвітня школа І-ІІІ ступенів Броварського району Київської області</t>
  </si>
  <si>
    <t>07430</t>
  </si>
  <si>
    <t>3221287601</t>
  </si>
  <si>
    <t>Рудня</t>
  </si>
  <si>
    <t>Русанівський навчально-виховний комплекс "Загальноосвітня школа I-III ступенів - дошкільний навчальний заклад"</t>
  </si>
  <si>
    <t>07453</t>
  </si>
  <si>
    <t>3221288001</t>
  </si>
  <si>
    <t>Русанів</t>
  </si>
  <si>
    <t>вул. Київська, 105</t>
  </si>
  <si>
    <t>(04594)35267</t>
  </si>
  <si>
    <t>http://rusaniv-nvk.edukit.kiev.ua</t>
  </si>
  <si>
    <t>Комунальний заклад Світильнянський навчально-виховний комплекс "Загальноосвітня школа І-ІІІ ступенів - дошкільний навчальний заклад"</t>
  </si>
  <si>
    <t>07444</t>
  </si>
  <si>
    <t>3221288401</t>
  </si>
  <si>
    <t>Світильня</t>
  </si>
  <si>
    <t>вул. Макаренка, 16А</t>
  </si>
  <si>
    <t>(04594)30-2-17</t>
  </si>
  <si>
    <t>http://svit-nvk.wix.com/svitylnia</t>
  </si>
  <si>
    <t>Семиполківський Навчально-виховний комплекс "Загальноосвітня школа І-ІІІ ступенів дошкільний навчальний заклад" Калитянської селищної ради Броварського району Київської області</t>
  </si>
  <si>
    <t>07423</t>
  </si>
  <si>
    <t>3221288801</t>
  </si>
  <si>
    <t>Семиполки</t>
  </si>
  <si>
    <t>(04594)23-2-16</t>
  </si>
  <si>
    <t>http://www.semypolky-nvk.edukit.kiev.ua/</t>
  </si>
  <si>
    <t>23570556</t>
  </si>
  <si>
    <t>Требухівська загальноосвітня школа І-ІІІ ступенів Броварського району Київської області</t>
  </si>
  <si>
    <t>07454</t>
  </si>
  <si>
    <t>3221289001</t>
  </si>
  <si>
    <t>Требухів</t>
  </si>
  <si>
    <t>вул. Броварська, 16</t>
  </si>
  <si>
    <t>(04594)71280</t>
  </si>
  <si>
    <t>http://Trebukhivschool.ucoz.ua</t>
  </si>
  <si>
    <t>22204915</t>
  </si>
  <si>
    <t>Шевченківська загальносвітня школа І-ІІІ ступенів Броварського району Київської області</t>
  </si>
  <si>
    <t>07434</t>
  </si>
  <si>
    <t>3221289501</t>
  </si>
  <si>
    <t>http://shevchenkiv-soh.ucoz.ru/</t>
  </si>
  <si>
    <t>Глевахівська загальноосвітня школа І-ІІІ ступенів Васильківської РДА Київської області</t>
  </si>
  <si>
    <t>08630</t>
  </si>
  <si>
    <t>3221455300</t>
  </si>
  <si>
    <t>Глеваха</t>
  </si>
  <si>
    <t>вул. Вокзальна, 20</t>
  </si>
  <si>
    <t>(04571)32085</t>
  </si>
  <si>
    <t>http://schoolglevaha.at.ua/</t>
  </si>
  <si>
    <t>Гребінківська гімназія Васильківського району Київської області</t>
  </si>
  <si>
    <t>08662</t>
  </si>
  <si>
    <t>3221455500</t>
  </si>
  <si>
    <t>Гребінки</t>
  </si>
  <si>
    <t>просп. Науки, 5</t>
  </si>
  <si>
    <t>(04571)72016</t>
  </si>
  <si>
    <t>Опорно навчальний заклад Гребінківський навчально-виховний комплекс "ЗОШ І-ІІІ ступенів- дошкільний навчальний заклад" та Вільшансько-Новоселицька філія</t>
  </si>
  <si>
    <t>просп. Науки, 23</t>
  </si>
  <si>
    <t>(04571)71492</t>
  </si>
  <si>
    <t>Дослідницька загальноосвітня школа І-Ш ступенів Васильківського району Київської області</t>
  </si>
  <si>
    <t>08654</t>
  </si>
  <si>
    <t>3221455600</t>
  </si>
  <si>
    <t>Дослідницьке</t>
  </si>
  <si>
    <t>вул. Вчених, 1</t>
  </si>
  <si>
    <t>(04571)3-36-40</t>
  </si>
  <si>
    <t>Калинівська загальноосвітня школа І-ІІІ ступенів № 1 Васильківського району Київської області</t>
  </si>
  <si>
    <t>08623</t>
  </si>
  <si>
    <t>3221455800</t>
  </si>
  <si>
    <t>(04571)41833</t>
  </si>
  <si>
    <t>Калинівська загальноосвітня школа I-IIIст. № 2 Васильківського району Київської області</t>
  </si>
  <si>
    <t>(04571)41885</t>
  </si>
  <si>
    <t>http://kalinovka-school_2.net</t>
  </si>
  <si>
    <t>Барахтівський навчально-виховний комплекс "загальноосвітня школа І-ІІІ ступенів - дошкільний навчальний заклад" Васильківського району Київської області</t>
  </si>
  <si>
    <t>08646</t>
  </si>
  <si>
    <t>3221480201</t>
  </si>
  <si>
    <t>Барахти</t>
  </si>
  <si>
    <t>вул. Михайлівська (Леніна), 38</t>
  </si>
  <si>
    <t>(04571)4-76-41</t>
  </si>
  <si>
    <t>http://barahtu-nvk.jimdo.com</t>
  </si>
  <si>
    <t>Великобугаївський навчально-виховний комплекс "загальноосвітня школа І-ІІ ступенів-дошкільний навчальний заклад"</t>
  </si>
  <si>
    <t>08636</t>
  </si>
  <si>
    <t>3221480501</t>
  </si>
  <si>
    <t>Велика Бугаївка</t>
  </si>
  <si>
    <t>(04571)4-83-37</t>
  </si>
  <si>
    <t>Великовільшанський навчально-виховний комплекс "загальноосвітня школа І-ІІІ ступенів-дошкільний навчальний заклад" Васильківського району Київської області</t>
  </si>
  <si>
    <t>08671</t>
  </si>
  <si>
    <t>3221480701</t>
  </si>
  <si>
    <t>Велика Вільшанка</t>
  </si>
  <si>
    <t>(04571)47221</t>
  </si>
  <si>
    <t>Великосолтанівська загальноосвітня школа І-ІІ ступенів Васильківського району Київської області</t>
  </si>
  <si>
    <t>08641</t>
  </si>
  <si>
    <t>3221480901</t>
  </si>
  <si>
    <t>Велика Солтанівка</t>
  </si>
  <si>
    <t>вул. Свободи, 36</t>
  </si>
  <si>
    <t>(04571)40343</t>
  </si>
  <si>
    <t>Вінницько - Ставський навчально-виховний комплекс "загальноосвітня школа І-ІІ ступенів - дошкільний навчальний заклад" Васильківського району Київської області</t>
  </si>
  <si>
    <t>08651</t>
  </si>
  <si>
    <t>3221481201</t>
  </si>
  <si>
    <t>Вінницькі Стави</t>
  </si>
  <si>
    <t>(04571)76938</t>
  </si>
  <si>
    <t>Гвоздівський навчально-виховний комплекс "загальноосвітня школа І-ІІ ступенів-дошкільний навчальний заклад" Васильківського району Київської області</t>
  </si>
  <si>
    <t>08634</t>
  </si>
  <si>
    <t>3221481501</t>
  </si>
  <si>
    <t>Гвоздів</t>
  </si>
  <si>
    <t>вул. Ковніра, 1</t>
  </si>
  <si>
    <t>(04571)49230</t>
  </si>
  <si>
    <t>Данилівська загальноосвітня школа І-ІІІ ступенів Васильківського районного відділу освіти Київської області</t>
  </si>
  <si>
    <t>08621</t>
  </si>
  <si>
    <t>3221482001</t>
  </si>
  <si>
    <t>вул. Щорса, 88</t>
  </si>
  <si>
    <t>(04571)4-08-89</t>
  </si>
  <si>
    <t>Кожухівська загальнооосвітня школа І-ІІ ступенів Васильківського району Київської області</t>
  </si>
  <si>
    <t>3221482003</t>
  </si>
  <si>
    <t>(04571)40618</t>
  </si>
  <si>
    <t>Дзвінківський навчальний виховний комплекс "загальнооссвітня школа І-ІІ ступенів-дошкільний навчальний заклад" Васильківського району Київської області</t>
  </si>
  <si>
    <t>08620</t>
  </si>
  <si>
    <t>3221482201</t>
  </si>
  <si>
    <t>Дзвінкове</t>
  </si>
  <si>
    <t>вул. Грушевського, 34</t>
  </si>
  <si>
    <t>(04571)46672</t>
  </si>
  <si>
    <t>Застугнянська загальноосвітня школа I-III ступенів Васильківського району Київської області</t>
  </si>
  <si>
    <t>08628</t>
  </si>
  <si>
    <t>3221482805</t>
  </si>
  <si>
    <t>вул. Васильківська, 1</t>
  </si>
  <si>
    <t>(04571)2-32-57</t>
  </si>
  <si>
    <t>Здорівський навчально-виховний комплекс "загальноосвітня школа І-ІІІ ступенів-дошкільний навчальний заклад" Васильківського району Київської області</t>
  </si>
  <si>
    <t>08626</t>
  </si>
  <si>
    <t>3221483001</t>
  </si>
  <si>
    <t>Здорівка</t>
  </si>
  <si>
    <t>вул. Пушкінська, 28</t>
  </si>
  <si>
    <t>(04571)26667</t>
  </si>
  <si>
    <t>Іванковичівський НВК" Загальноосвітня школа І-ІІІ ступенів - ДНЗ" Васильківського району Київської області</t>
  </si>
  <si>
    <t>08632</t>
  </si>
  <si>
    <t>3221483301</t>
  </si>
  <si>
    <t>Іванковичі</t>
  </si>
  <si>
    <t>(04571)3-66-18</t>
  </si>
  <si>
    <t>Навчально-виховний комплекс "Ковалівська гімназія"</t>
  </si>
  <si>
    <t>08652</t>
  </si>
  <si>
    <t>3221483601</t>
  </si>
  <si>
    <t>вул. Фастівська, 23</t>
  </si>
  <si>
    <t>(04571)78195</t>
  </si>
  <si>
    <t>Кодаківська ЗОШ І-ІІІ ступенів Васильківського району Київської області</t>
  </si>
  <si>
    <t>08645</t>
  </si>
  <si>
    <t>3221483801</t>
  </si>
  <si>
    <t>Кодаки</t>
  </si>
  <si>
    <t>пл. Свободи, 4</t>
  </si>
  <si>
    <t>(04571)3-94-21</t>
  </si>
  <si>
    <t>Крушинська загальноосвітня школа І-ІІІ ступенів Васильківського району Київької області</t>
  </si>
  <si>
    <t>08635</t>
  </si>
  <si>
    <t>3221484005</t>
  </si>
  <si>
    <t>Зелений Бір</t>
  </si>
  <si>
    <t>вул. Освіти, 11</t>
  </si>
  <si>
    <t>49225</t>
  </si>
  <si>
    <t>Ксаверівська загальноосвітня школа І-ІІІступенів Васильківської районної державної адміністрації Київської області</t>
  </si>
  <si>
    <t>08660</t>
  </si>
  <si>
    <t>3221484301</t>
  </si>
  <si>
    <t>вул. Київська, 94</t>
  </si>
  <si>
    <t>(04571)7-94-37</t>
  </si>
  <si>
    <t>Лосятинська загальноосвітня школа І-ІІІ ступенів</t>
  </si>
  <si>
    <t>08667</t>
  </si>
  <si>
    <t>3221484601</t>
  </si>
  <si>
    <t>Лосятин</t>
  </si>
  <si>
    <t>вул. Леніна, 23</t>
  </si>
  <si>
    <t>(04571)70322</t>
  </si>
  <si>
    <t>http://losyatinscool.ucoz.ru</t>
  </si>
  <si>
    <t>Малосолтанівська загальноосвітня школа І-ІІІ ступенів Васильківського району Київської області</t>
  </si>
  <si>
    <t>08640</t>
  </si>
  <si>
    <t>3221484901</t>
  </si>
  <si>
    <t>Мала Солтанівка</t>
  </si>
  <si>
    <t>(04571)46244</t>
  </si>
  <si>
    <t>http://msoltan-sch.ucoz.ua</t>
  </si>
  <si>
    <t>Марянівський навчально-виховний комплекс "загальноосвітня школа І-ІІІ ступенів-дошкільний навчальний заклад" Васильківського району Київської області</t>
  </si>
  <si>
    <t>08665</t>
  </si>
  <si>
    <t>3221485401</t>
  </si>
  <si>
    <t>(04571)70748</t>
  </si>
  <si>
    <t>Мархалівський навчально-виховний комплекс "загальноосвітня школа І-ІІІ ступенів-дошкільний навчальний заклад" Васильківського району Київської області</t>
  </si>
  <si>
    <t>08633</t>
  </si>
  <si>
    <t>3221485501</t>
  </si>
  <si>
    <t>Мархалівка</t>
  </si>
  <si>
    <t>(04571)43395</t>
  </si>
  <si>
    <t>Митницький навчально-виховний комплекс "загальноосвітня школа І-ІІІступенів - дошкільний навчальний заклад" Васильківського району Київської області</t>
  </si>
  <si>
    <t>08643</t>
  </si>
  <si>
    <t>3221485601</t>
  </si>
  <si>
    <t>Митниця</t>
  </si>
  <si>
    <t>вул. 1 Травня, 2 а</t>
  </si>
  <si>
    <t>(04571)45322</t>
  </si>
  <si>
    <t>Плесецька загальноосвітня школа І-ІІІ ступенів Васильківського району Київської області</t>
  </si>
  <si>
    <t>3221486201</t>
  </si>
  <si>
    <t>Плесецьке</t>
  </si>
  <si>
    <t>(04571)46634</t>
  </si>
  <si>
    <t>Погребівська філія Путрівського навчально-виховний комплекс "гімназія -загальноосвітня школа І-ІІІ ступенів - дошкільний навчальний заклад"</t>
  </si>
  <si>
    <t>08637</t>
  </si>
  <si>
    <t>3221486501</t>
  </si>
  <si>
    <t>(04571)48223</t>
  </si>
  <si>
    <t>http://pogrebu-nvk.at.ua</t>
  </si>
  <si>
    <t>Пологівський навчально-виховний комплекс "загальноосвітня школа І-ІІІ ступенів - дошкільний навчальний заклад" Васильківсього району Київської області</t>
  </si>
  <si>
    <t>08656</t>
  </si>
  <si>
    <t>3221486701</t>
  </si>
  <si>
    <t>вул. Білоцерківська, 27</t>
  </si>
  <si>
    <t>(04571)70100</t>
  </si>
  <si>
    <t>http://pology-school.kiev.ua</t>
  </si>
  <si>
    <t>Порадівська загальноосвітня школа І-ІІ ступенів Васильківського району Київської області</t>
  </si>
  <si>
    <t>08642</t>
  </si>
  <si>
    <t>3221486901</t>
  </si>
  <si>
    <t>Порадівка</t>
  </si>
  <si>
    <t>(04571)46431</t>
  </si>
  <si>
    <t>Путрівський навчально-виховний комплекс"Гімназія - загальноосвітня школа І-ІІІ ступенів-дошкільний навчальний заклад" Васильківського району Київської області</t>
  </si>
  <si>
    <t>08625</t>
  </si>
  <si>
    <t>3221487001</t>
  </si>
  <si>
    <t>Путрівка</t>
  </si>
  <si>
    <t>вул. Леніна, 156</t>
  </si>
  <si>
    <t>(04471)28046</t>
  </si>
  <si>
    <t>Саливінківська загальноосвітня школа І-ІІІ ступенів Васильківського району Київської області</t>
  </si>
  <si>
    <t>3221487101</t>
  </si>
  <si>
    <t>Саливонки</t>
  </si>
  <si>
    <t>(04571)77031</t>
  </si>
  <si>
    <t>Пшеничненський навчально-виховний комплекс "загальноосвітня школа І-ІІІ ступенів - дошкільний навчальний заклад" Васильківського району Київської області</t>
  </si>
  <si>
    <t>08644</t>
  </si>
  <si>
    <t>3221487201</t>
  </si>
  <si>
    <t>Пшеничне</t>
  </si>
  <si>
    <t>(04571)44517</t>
  </si>
  <si>
    <t>http://pshenuchnenvk.jimdo.com</t>
  </si>
  <si>
    <t>Тростинський навчально-виховний комплекс "загальноосвітня школа І-ІІІ ступенів-дошкільний навчальний заклад" Васильківського району Київської області</t>
  </si>
  <si>
    <t>08670</t>
  </si>
  <si>
    <t>3221487801</t>
  </si>
  <si>
    <t>Тростинка</t>
  </si>
  <si>
    <t>Устимівська загальноосвітня школа І - ІІІ ступенів Васильківського району Київської області</t>
  </si>
  <si>
    <t>08653</t>
  </si>
  <si>
    <t>3221488101</t>
  </si>
  <si>
    <t>Устимівка</t>
  </si>
  <si>
    <t>вул. Тромси, 12</t>
  </si>
  <si>
    <t>(04471)7-85-33</t>
  </si>
  <si>
    <t>http://ustymivska-school.kiev4me.kiev.ua</t>
  </si>
  <si>
    <t>Яцьківський навчально-виховний комплекс "загальноосвітня школа І-ІІІ ступенів - дошкільний навчальний заклад"</t>
  </si>
  <si>
    <t>08673</t>
  </si>
  <si>
    <t>3221489001</t>
  </si>
  <si>
    <t>Яцьки</t>
  </si>
  <si>
    <t>ал. Володимирська, 08</t>
  </si>
  <si>
    <t>(04571)44625</t>
  </si>
  <si>
    <t>Комунальний заклад "Володарська загальноосвітня школа І-ІІІ ступенів № 2 імені В.П. Мельника" Володарської районної ради Київської області</t>
  </si>
  <si>
    <t>09301</t>
  </si>
  <si>
    <t>3221655100</t>
  </si>
  <si>
    <t>Володарка</t>
  </si>
  <si>
    <t>вул. Кооперативна, 25</t>
  </si>
  <si>
    <t>(04569)51587</t>
  </si>
  <si>
    <t>http://volodschool2.org.ua</t>
  </si>
  <si>
    <t>КОМУНАЛЬНИЙ ЗАКЛАД "ВОЛОДАРСЬКА ЗАГАЛЬНООСВІТНЯ ШКОЛА І-ІІІ СТУПЕНІВ № 1" ВОЛОДАРСЬКОЇ РАЙОННОЇ РАДИ КИЇВСЬКОЇ ОБЛАСТІ</t>
  </si>
  <si>
    <t>вул. Коцюбинського, 44</t>
  </si>
  <si>
    <t>(04569)51252</t>
  </si>
  <si>
    <t>http://volodschool1.org.ua</t>
  </si>
  <si>
    <t>Комунальний заклад Київської обласної ради "Володарська спеціалізована загальноосвітня школа - інтернат ІІ-ІІІ ступенів - Центр реабілітації"</t>
  </si>
  <si>
    <t>09300</t>
  </si>
  <si>
    <t>вул. Зарічна, 102В</t>
  </si>
  <si>
    <t>(04569)50276, (04569)50334, (04569)50280, (04569)51576</t>
  </si>
  <si>
    <t>http://www.volsi.kiev.ua</t>
  </si>
  <si>
    <t>22203815</t>
  </si>
  <si>
    <t>польська,англійська,іспанська</t>
  </si>
  <si>
    <t>Комунальний заклад "Березнянський навчально-виховний комплекс "Загальноосвітня школа І-ІІ ступенів - дитячий садок" Володарської районної ради Київської області</t>
  </si>
  <si>
    <t>09320</t>
  </si>
  <si>
    <t>3221680801</t>
  </si>
  <si>
    <t>вул. Академіка А.П.Комара, 125</t>
  </si>
  <si>
    <t>(04569)55876</t>
  </si>
  <si>
    <t>http://bereznaschool.inf.ua/</t>
  </si>
  <si>
    <t>Комунальний заклад "Гайворонський навчально - виховний комплекс "Загальноосвітня школа І-ІІ ступенів - дитячий садок" Володарської районної ради Київської області</t>
  </si>
  <si>
    <t>09312</t>
  </si>
  <si>
    <t>3221681201</t>
  </si>
  <si>
    <t>Гайворон</t>
  </si>
  <si>
    <t>(04569)57415</t>
  </si>
  <si>
    <t>Комунальний заклад "Городище-Пустоварівська загальноосвітня школа І-ІІІ ступенів Володарської районної ради Київської області</t>
  </si>
  <si>
    <t>09310</t>
  </si>
  <si>
    <t>3221681601</t>
  </si>
  <si>
    <t>Городище-Пустоварівське</t>
  </si>
  <si>
    <t>ал. вул.Гагаріна, 12</t>
  </si>
  <si>
    <t>0456958112</t>
  </si>
  <si>
    <t>http://gorschool.at.ua</t>
  </si>
  <si>
    <t>КОМУНАЛЬНИЙ ЗАКЛАД "ЗАВАДІВСЬКИЙ НАВЧАЛЬНО-ВИХОВНИЙ КОМПЛЕКС "ЗАГАЛЬНООСВІТНЯ ШКОЛА І-ІІІ СТУПЕНІВ-ДИТЯЧИЙ САДОК" ВОЛОДАРСЬКОЇ РАЙОННОЇ РАДИ КИЇВСЬКОЇ ОБЛАСТІ</t>
  </si>
  <si>
    <t>09350</t>
  </si>
  <si>
    <t>3221682001</t>
  </si>
  <si>
    <t>(04469)5-78-41</t>
  </si>
  <si>
    <t>http://zav.esy.es</t>
  </si>
  <si>
    <t>КОМУНАЛЬНИЙ ЗАКЛАД "КОСІВСЬКИЙ НАВЧАЛЬНО-ВИХОВНИЙ КОМПЛЕКС "ЗАГАЛЬНООСВІТНЯ ШКОЛА І-ІІ СТУПЕНІВ - ДИТЯЧИЙ САДОК" ВОЛОДАРСЬКОЇ РАЙОННОЇ РАДИ КИЇВСЬКОЇ ОБЛАСТІ</t>
  </si>
  <si>
    <t>09353</t>
  </si>
  <si>
    <t>3221683201</t>
  </si>
  <si>
    <t>Косівка</t>
  </si>
  <si>
    <t>вул. Перемоги, 54А</t>
  </si>
  <si>
    <t>23319</t>
  </si>
  <si>
    <t>КОМУНАЛЬНИЙ ЗАКЛАД "ЛОБАЧІВСЬКИЙ НАВЧАЛЬНО-ВИХОВНИЙ КОМПЛЕКС "ЗАГАЛЬНООСВІТНЯ ШКОЛА І-ІІІ СТУПЕНІВ - ДИТЯЧИЙ САДОК" ВОЛОДАРСЬКОЇ РАЙОННОЇ РАДИ КИЇВСЬКОЇ ОБЛАСТІ</t>
  </si>
  <si>
    <t>09355</t>
  </si>
  <si>
    <t>3221683601</t>
  </si>
  <si>
    <t>Лобачів</t>
  </si>
  <si>
    <t>(04569)58459</t>
  </si>
  <si>
    <t>http://www.lobachiv-nvo.edukit.kiev.ua/</t>
  </si>
  <si>
    <t>КОМУНАЛЬНИЙ ЗАКЛАД "ЛОГВИНСЬКИЙ НАВЧАЛЬНО-ВИХОВНИЙ КОМПЛЕКС "ЗАГАЛЬНООСВІТНЯ ШКОЛА І-ІІ СТУПЕНІВ - ДИТЯЧИЙ САДОК" ВОЛОДАРСЬКОЇ РАЙОННОЇ РАДИ КИЇВСЬКОЇ ОБЛАСТІ</t>
  </si>
  <si>
    <t>09321</t>
  </si>
  <si>
    <t>3221684001</t>
  </si>
  <si>
    <t>Логвин</t>
  </si>
  <si>
    <t>вул. Армійська, 1Б</t>
  </si>
  <si>
    <t>(04569)56837</t>
  </si>
  <si>
    <t>КОМУНАЛЬНИЙ ЗАКЛАД"МАРМУЛІЇВСЬКИЙ НАВЧАЛЬНО-ВИХОВНИЙ КОМПЛЕКС "ЗАГАЛЬНООСВІТНЯ ШКОЛА І-ІІ СТУПЕНІВ - ДИТЯЧИЙ САДОК" ВОЛОДАРСЬКОЇ РАЙОННОЇ РАДИ КИЇВСЬКОЇ ОБЛАСТІ</t>
  </si>
  <si>
    <t>09341</t>
  </si>
  <si>
    <t>3221684401</t>
  </si>
  <si>
    <t>Мармуліївка</t>
  </si>
  <si>
    <t>(04569)36145</t>
  </si>
  <si>
    <t>Матвіїський навчально-виховний комплекс "заальноосвітня школа І-ІІ ступенів -дошкільний навчальний заклад"</t>
  </si>
  <si>
    <t>3221684801</t>
  </si>
  <si>
    <t>Матвіїха</t>
  </si>
  <si>
    <t>Комунальний заклад" Пархомівський навчально-виховний комплекс"Загальноосвітня школа І - ІІІ ступенів - дитячий садок"Володарської районної ради Київської області</t>
  </si>
  <si>
    <t>09331</t>
  </si>
  <si>
    <t>3221685601</t>
  </si>
  <si>
    <t>Пархомівка</t>
  </si>
  <si>
    <t>вул. Свято-Покровська, 90</t>
  </si>
  <si>
    <t>(04569)57136</t>
  </si>
  <si>
    <t>http://parkhomivka-nvk.edukit.kiev.ua</t>
  </si>
  <si>
    <t>Комунальний заклад "Рогізнянський навчально-виховний комплекс "Загальноосвітня школа І-ІІ ступенів - дитячий садок"</t>
  </si>
  <si>
    <t>09314</t>
  </si>
  <si>
    <t>3221686401</t>
  </si>
  <si>
    <t>вул. Армійська, 5</t>
  </si>
  <si>
    <t>(04569)58626</t>
  </si>
  <si>
    <t>Комунальний заклад "Рубченківський навчально-виховний комплекс "Загально-освітня школа І-ІІ ступенів- дитячий садок" Володарської районної ради Київської області</t>
  </si>
  <si>
    <t>09313</t>
  </si>
  <si>
    <t>3221686801</t>
  </si>
  <si>
    <t>Рубченки</t>
  </si>
  <si>
    <t>вул. Плугатаря, 4</t>
  </si>
  <si>
    <t>(04569)56348</t>
  </si>
  <si>
    <t>Комунальний заклад "Рудосільський навчально-виховний комплекс "Загальноосвітня школа І-ІІІ ступенів - дитячий садок" Володарської районної ради Київської області</t>
  </si>
  <si>
    <t>09342</t>
  </si>
  <si>
    <t>3221687201</t>
  </si>
  <si>
    <t>Руде Село</t>
  </si>
  <si>
    <t>ал. Вілінського, 3</t>
  </si>
  <si>
    <t>(25295054)0456956670</t>
  </si>
  <si>
    <t>Комунальний заклад "Тадіївський навчально-виховний комплекс "Загальноосвітня школа І-ІІ ступенів - дитячий садок" Володарської районної ради Київської області</t>
  </si>
  <si>
    <t>09330</t>
  </si>
  <si>
    <t>3221687601</t>
  </si>
  <si>
    <t>Тадіївка</t>
  </si>
  <si>
    <t>(04569)31918</t>
  </si>
  <si>
    <t>http://Tadiivka-nvk.edukit.kiev.ua</t>
  </si>
  <si>
    <t>Тарганська філія Комунального закладу "Пархомівський навчально-виховний комплекс "Загальноосвітня школа І-ІІІ ст. - дитячий садок"</t>
  </si>
  <si>
    <t>09362</t>
  </si>
  <si>
    <t>3221688001</t>
  </si>
  <si>
    <t>Тарган</t>
  </si>
  <si>
    <t>(04569)56070</t>
  </si>
  <si>
    <t>http://targan-nvk.edukit.kiev.ua</t>
  </si>
  <si>
    <t>Вишгородська загальноосвітня школа І-ІІІ ступенів № 1</t>
  </si>
  <si>
    <t>07300</t>
  </si>
  <si>
    <t>3221810100</t>
  </si>
  <si>
    <t>Вишгород</t>
  </si>
  <si>
    <t>вул. І. Мазепи, 7А</t>
  </si>
  <si>
    <t>(04596)52003</t>
  </si>
  <si>
    <t>13729211</t>
  </si>
  <si>
    <t>Вишгородська районна спеціальна загальноосвітня школа "Надія"</t>
  </si>
  <si>
    <t>вул. І.Мазепи, 6А</t>
  </si>
  <si>
    <t>(04596)54922</t>
  </si>
  <si>
    <t>Вишгородська спеціалізована школа "Сузір'я"</t>
  </si>
  <si>
    <t>вул. Кургузова, 15</t>
  </si>
  <si>
    <t>(045-96)5-41-99, (045-96)5-39-67</t>
  </si>
  <si>
    <t>http://suzirya.org.ua</t>
  </si>
  <si>
    <t>13737082</t>
  </si>
  <si>
    <t>Навчально-виховний комплекс "Вишгородська районна гімназія "Інтелект" - загальноосвітня школа І ступеня" Київської області</t>
  </si>
  <si>
    <t>(04596)25282</t>
  </si>
  <si>
    <t>http://vg-intelekt.at.ua</t>
  </si>
  <si>
    <t>20579479</t>
  </si>
  <si>
    <t>Технічний ліцей НТУУ "КПІ" Вишгородської міськради Вишгородського району Київської області</t>
  </si>
  <si>
    <t>вул. Симоненка, 3А</t>
  </si>
  <si>
    <t>(04596)22-341</t>
  </si>
  <si>
    <t>http://liceumkri.at.ua</t>
  </si>
  <si>
    <t>25293730</t>
  </si>
  <si>
    <t>Димерська загальноосвітня школа І-ІІІ ступенів № 1</t>
  </si>
  <si>
    <t>07330</t>
  </si>
  <si>
    <t>3221855300</t>
  </si>
  <si>
    <t>Димер</t>
  </si>
  <si>
    <t>вул. Бударіна, 9</t>
  </si>
  <si>
    <t>(1111)3-15-76</t>
  </si>
  <si>
    <t>Навчально-виховний комплекс "Димерська гімназія - загальноосвітня школа І ступеня" Вишгородської районної ради Київської області</t>
  </si>
  <si>
    <t>вул. Соборна, 21</t>
  </si>
  <si>
    <t>(04596)3-13-88</t>
  </si>
  <si>
    <t>25301027</t>
  </si>
  <si>
    <t>Гаврилівська загальноосвітня школа І-ІІІ ступенів</t>
  </si>
  <si>
    <t>07350</t>
  </si>
  <si>
    <t>3221882001</t>
  </si>
  <si>
    <t>вул. Садова, 21</t>
  </si>
  <si>
    <t>(04596)34244</t>
  </si>
  <si>
    <t>19404579</t>
  </si>
  <si>
    <t>Глібівська загальноосвітня школа І - ІІ ступенів</t>
  </si>
  <si>
    <t>07333</t>
  </si>
  <si>
    <t>3221882201</t>
  </si>
  <si>
    <t>Глібівка</t>
  </si>
  <si>
    <t>(04596)49541</t>
  </si>
  <si>
    <t>Демидівська загальноосвітня школа І-ІІІ ступенів Вишгородської районної ради Київської області</t>
  </si>
  <si>
    <t>07335</t>
  </si>
  <si>
    <t>3221882401</t>
  </si>
  <si>
    <t>Демидів</t>
  </si>
  <si>
    <t>вул. Фастова, 5</t>
  </si>
  <si>
    <t>(04596)33385</t>
  </si>
  <si>
    <t>http://demydiv-specschool.edukit.kiev.ua</t>
  </si>
  <si>
    <t>Опорний загальноосвітній навчальний заклад Жукинська загальноосвітня школа І-ІІІ ступенів</t>
  </si>
  <si>
    <t>07341</t>
  </si>
  <si>
    <t>3221882801</t>
  </si>
  <si>
    <t>Жукин</t>
  </si>
  <si>
    <t>вул. Чубінідзе, 4</t>
  </si>
  <si>
    <t>(04596)43-3-05, (04596)43-3-65</t>
  </si>
  <si>
    <t>Опорний загальноосвітній навчальний заклад Катюжанська загальноосвітня школа І-ІІІ ступенів</t>
  </si>
  <si>
    <t>07313</t>
  </si>
  <si>
    <t>3221883201</t>
  </si>
  <si>
    <t>Катюжанка</t>
  </si>
  <si>
    <t>вул. Біла, 60</t>
  </si>
  <si>
    <t>(04596)32299</t>
  </si>
  <si>
    <t>23567422</t>
  </si>
  <si>
    <t>Козаровицька загальноосвітня школа І-ІІІ ступенів Козаровицької сільської ради Вишгородського району Київської області</t>
  </si>
  <si>
    <t>07332</t>
  </si>
  <si>
    <t>3221883601</t>
  </si>
  <si>
    <t>Козаровичі</t>
  </si>
  <si>
    <t>вул. Соборна, 47</t>
  </si>
  <si>
    <t>Лебедівська загальноосвітня школа І-ІІІ ступенів Вишгородської районної ради Київської області</t>
  </si>
  <si>
    <t>07360</t>
  </si>
  <si>
    <t>3221884001</t>
  </si>
  <si>
    <t>Лебедівка</t>
  </si>
  <si>
    <t>вул. Сваромська, 2</t>
  </si>
  <si>
    <t>(045)964-73-11</t>
  </si>
  <si>
    <t>http://lebedivka-school.edukit.kiev.ua/</t>
  </si>
  <si>
    <t>Литвинівська загальноосвітня школа І-ІІІ ступенів</t>
  </si>
  <si>
    <t>07334</t>
  </si>
  <si>
    <t>3221884401</t>
  </si>
  <si>
    <t>Литвинівка</t>
  </si>
  <si>
    <t>вул. Червона Слобода, 85А</t>
  </si>
  <si>
    <t>(04596)39182</t>
  </si>
  <si>
    <t>http://litvinovka.at.ua</t>
  </si>
  <si>
    <t>Любимівська загальноосвітня школа І-ІІІ ступенів Вишгородської районної ради Київської області</t>
  </si>
  <si>
    <t>3221884801</t>
  </si>
  <si>
    <t>(097)9390074</t>
  </si>
  <si>
    <t>Лютізька загальноосвітня школа І - ІІІ ступенів Вишгородської районної ради Київської області</t>
  </si>
  <si>
    <t>07352</t>
  </si>
  <si>
    <t>3221885201</t>
  </si>
  <si>
    <t>Лютіж</t>
  </si>
  <si>
    <t>вул. Визволителів, 51</t>
  </si>
  <si>
    <t>http://lutizhschool.hol.es</t>
  </si>
  <si>
    <t>Нижчедубечанська загальноосвітня школа І-ІІІ ступенів</t>
  </si>
  <si>
    <t>07361</t>
  </si>
  <si>
    <t>3221885601</t>
  </si>
  <si>
    <t>Нижча Дубечня</t>
  </si>
  <si>
    <t>(04596)21533</t>
  </si>
  <si>
    <t>http://school-nd.sdv.com.ua</t>
  </si>
  <si>
    <t>Новопетрівська загальноосвітня школа І-ІІ ступенів № 2</t>
  </si>
  <si>
    <t>07354</t>
  </si>
  <si>
    <t>3221886001</t>
  </si>
  <si>
    <t>Нові Петрівці</t>
  </si>
  <si>
    <t>вул. Свято-Покровська, 270</t>
  </si>
  <si>
    <t>(04596)45208</t>
  </si>
  <si>
    <t>Новопетрівська загальноосвітня школа І-ІІ ступенів № 3 Вишгородської районної ради Київської області</t>
  </si>
  <si>
    <t>вул. Свято-Покровська, 52</t>
  </si>
  <si>
    <t>(0496)45205</t>
  </si>
  <si>
    <t>Новопетрівська загальносвітня школа І-ІІІ ступенів № 1</t>
  </si>
  <si>
    <t>(04596)45279</t>
  </si>
  <si>
    <t>19404409</t>
  </si>
  <si>
    <t>Новосілківська загальнооавітня щкола І-ІІ ступенів Вишгородської районної ради Київської області</t>
  </si>
  <si>
    <t>07362</t>
  </si>
  <si>
    <t>3221886401</t>
  </si>
  <si>
    <t>вул. Київська, 73</t>
  </si>
  <si>
    <t>(04596)49310, (063)4734074</t>
  </si>
  <si>
    <t>Вищедубечанська загальноосвітня школа І-ІІІ ступенів Вишгородського району Київської області</t>
  </si>
  <si>
    <t>07342</t>
  </si>
  <si>
    <t>3221886801</t>
  </si>
  <si>
    <t>Пірнове</t>
  </si>
  <si>
    <t>вул. Шкільна, 01</t>
  </si>
  <si>
    <t>(04596)48382</t>
  </si>
  <si>
    <t>Ровівська загальноосвітня школа І-І ступенів</t>
  </si>
  <si>
    <t>07371</t>
  </si>
  <si>
    <t>3221887001</t>
  </si>
  <si>
    <t>Рови</t>
  </si>
  <si>
    <t>(4596)38474</t>
  </si>
  <si>
    <t>Синяківська загальноосвітня школа І-ІІ ступенів Вишгородської районної ради Київської області</t>
  </si>
  <si>
    <t>07351</t>
  </si>
  <si>
    <t>3221887501</t>
  </si>
  <si>
    <t>Синяк</t>
  </si>
  <si>
    <t>вул. Київська, 49А</t>
  </si>
  <si>
    <t>(045-96)35-2-45</t>
  </si>
  <si>
    <t>http://sinyak-school.at.ua</t>
  </si>
  <si>
    <t>Старопетрівська загальноосвітня школа І-ІІІ ступенів</t>
  </si>
  <si>
    <t>07353</t>
  </si>
  <si>
    <t>3221887801</t>
  </si>
  <si>
    <t>Старі Петрівці</t>
  </si>
  <si>
    <t>вул. Князя Святослава, 171</t>
  </si>
  <si>
    <t>(04596)44592</t>
  </si>
  <si>
    <t>25565312</t>
  </si>
  <si>
    <t>Хотянівська загальноосвітня школа І-ІІ ступенів</t>
  </si>
  <si>
    <t>07363</t>
  </si>
  <si>
    <t>3221888801</t>
  </si>
  <si>
    <t>Хотянівка</t>
  </si>
  <si>
    <t>вул. Київська, 20</t>
  </si>
  <si>
    <t>(04596)21113</t>
  </si>
  <si>
    <t>Ясногородська загальноосвітня школа І-ІІІ ступенів</t>
  </si>
  <si>
    <t>07324</t>
  </si>
  <si>
    <t>3221889001</t>
  </si>
  <si>
    <t>Ясногородка</t>
  </si>
  <si>
    <t>вул. Колективна, 20 б</t>
  </si>
  <si>
    <t>(04596)39516</t>
  </si>
  <si>
    <t>Згурівська загальноосвітня школа І-ІІІ ступенів Згурівської селишної ради Згурівського району</t>
  </si>
  <si>
    <t>07600</t>
  </si>
  <si>
    <t>3221955100</t>
  </si>
  <si>
    <t>Згурівка</t>
  </si>
  <si>
    <t>(04570)51678</t>
  </si>
  <si>
    <t>Згурівський навчально-виховний комплекс "Гімназія-загальноосвітня школа І ступеня" Згурівської районної ради Київської області</t>
  </si>
  <si>
    <t>вул. Українська, 61</t>
  </si>
  <si>
    <t>(04570)51666</t>
  </si>
  <si>
    <t>http://gimnazia.klasna.com/</t>
  </si>
  <si>
    <t>Аркадіївський навчально-виховний комплекс "загальноосвітня школа І - ІІІ ступенів - дитячий садок" Згурівської районної ради Згурівського району</t>
  </si>
  <si>
    <t>07611</t>
  </si>
  <si>
    <t>3221980301</t>
  </si>
  <si>
    <t>Аркадіївка</t>
  </si>
  <si>
    <t>(04570)53140</t>
  </si>
  <si>
    <t>http://arkadiivka.klasna.com/</t>
  </si>
  <si>
    <t>Безуглівська загальноосвітня школа І - ІІ ступенів Згурівської районної ради Згурівського району</t>
  </si>
  <si>
    <t>07640</t>
  </si>
  <si>
    <t>3221980601</t>
  </si>
  <si>
    <t>Безуглівка</t>
  </si>
  <si>
    <t>вул. Крикуна, 4</t>
  </si>
  <si>
    <t>(04570)3-06-94</t>
  </si>
  <si>
    <t>http://bezuglivka-school.edukit.kiev.ua/</t>
  </si>
  <si>
    <t>Великокрупільський НВК "Загальноосвітня школа І-ІІ ступенів-дитячий садок" Згурівської районної ради Згурівського району</t>
  </si>
  <si>
    <t>07620</t>
  </si>
  <si>
    <t>3221981001</t>
  </si>
  <si>
    <t>Великий Крупіль</t>
  </si>
  <si>
    <t>(045)705-33-91</t>
  </si>
  <si>
    <t>http://vkrupilschool.klasna.com/</t>
  </si>
  <si>
    <t>Войтівський навчально-виховний комплекс "Загальноосвітня школа І-ІІІ ступенів - дитячий садок" Згурівської районної ради Згурівського району</t>
  </si>
  <si>
    <t>07621</t>
  </si>
  <si>
    <t>3221981301</t>
  </si>
  <si>
    <t>Войтове</t>
  </si>
  <si>
    <t>вул. Чкалова, 2</t>
  </si>
  <si>
    <t>(04570)5-79-40</t>
  </si>
  <si>
    <t>http://voikove-nvk.edukit.kiev.ua/</t>
  </si>
  <si>
    <t>Вознесенське навчально виховне обєднання «ЗОШ І ступеня - дитячий сад» Згурівської районної ради Згурівського району</t>
  </si>
  <si>
    <t>3221982001</t>
  </si>
  <si>
    <t>Вознесенське</t>
  </si>
  <si>
    <t>(099)3708505</t>
  </si>
  <si>
    <t>http://zhovtnevenvo.klasna.com/</t>
  </si>
  <si>
    <t>Жуківський навчально-виховний комплекс "Загальноосвітня школа І-ІІІ ступенів-дитячий садок" Згурівської районної ради Київської області</t>
  </si>
  <si>
    <t>07643</t>
  </si>
  <si>
    <t>3221982301</t>
  </si>
  <si>
    <t>Жуківка</t>
  </si>
  <si>
    <t>(04570)45926</t>
  </si>
  <si>
    <t>http://guk-nvc.org.ua/</t>
  </si>
  <si>
    <t>Любомирівський навчально-виховний комплекс "загальноосвітня школа І-ІІ ступенів - дитячий садок"Згурівської районної ради Згурівського району</t>
  </si>
  <si>
    <t>07651</t>
  </si>
  <si>
    <t>3221982701</t>
  </si>
  <si>
    <t>Любомирівка</t>
  </si>
  <si>
    <t>(04570)55940</t>
  </si>
  <si>
    <t>http://pravogovtnya.klasna.com/</t>
  </si>
  <si>
    <t>Лизогубовослобідський навчально-виховний комплекс "Загальноосвітня школа І-ІІІ ступенів - дитячий садок" Згурівської районної ради Згурівського району</t>
  </si>
  <si>
    <t>07650</t>
  </si>
  <si>
    <t>3221983301</t>
  </si>
  <si>
    <t>Лизогубова Слобода</t>
  </si>
  <si>
    <t>(045)7056340</t>
  </si>
  <si>
    <t>http://lizogubovasloboda.klasna.com/</t>
  </si>
  <si>
    <t>Опорний загальноосвітній навчальний заклад Новоолександрівський навчально-виховний комплекс "Загальноосвітня школа І-ІІІ ступенів - дитячий садок" Згурівської районної ради Згурівського району Київської області</t>
  </si>
  <si>
    <t>07623</t>
  </si>
  <si>
    <t>3221984201</t>
  </si>
  <si>
    <t>Нова Олександрівка</t>
  </si>
  <si>
    <t>(045)7058601</t>
  </si>
  <si>
    <t>http://nvknova.ucoz.ua</t>
  </si>
  <si>
    <t>Середівський навчально-виховний комплекс " Загальноосвітня школа І - ІІ ступенів - дитячий садок" Згурівської районної ради Згурівського району</t>
  </si>
  <si>
    <t>07610</t>
  </si>
  <si>
    <t>3221985501</t>
  </si>
  <si>
    <t>Середівка</t>
  </si>
  <si>
    <t>вул. Дідика, 30</t>
  </si>
  <si>
    <t>(04470)53640</t>
  </si>
  <si>
    <t>http://seredivka-nvk.edukit.kiev.ua/</t>
  </si>
  <si>
    <t>Старооржицький навчально-виховний комплекс "загальноосвітня школа І-ІІ ступенів - дитячий садок" Згурівської районної ради Згурівського району Київської області</t>
  </si>
  <si>
    <t>07632</t>
  </si>
  <si>
    <t>3221985801</t>
  </si>
  <si>
    <t>Стара Оржиця</t>
  </si>
  <si>
    <t>(045)70-5-54-40</t>
  </si>
  <si>
    <t>http://staroorzosh.wen9.com</t>
  </si>
  <si>
    <t>Турівський навчально- виховний комплекс "загальноосвітня школа І-ІІ ступенів - дитячий садок" Згурівської районної ради Київської області</t>
  </si>
  <si>
    <t>07631</t>
  </si>
  <si>
    <t>3221986401</t>
  </si>
  <si>
    <t>Турівка</t>
  </si>
  <si>
    <t>вул. Київська, 13</t>
  </si>
  <si>
    <t>(04570)57204</t>
  </si>
  <si>
    <t>http://turovka.klasna.com/</t>
  </si>
  <si>
    <t>Усівський навчально-виховний комплекс "Загальноосвітня школа І-ІІІ ступенів - дитячий садок" Згурівської районної ради Згурівського району</t>
  </si>
  <si>
    <t>07613</t>
  </si>
  <si>
    <t>3221986901</t>
  </si>
  <si>
    <t>Усівка</t>
  </si>
  <si>
    <t>(04570)57340</t>
  </si>
  <si>
    <t>http://usivka-nvk.edukit.kiev.ua/</t>
  </si>
  <si>
    <t>Іванківська загальноосвітня школа І-ІІІ ступенів № 2</t>
  </si>
  <si>
    <t>07201</t>
  </si>
  <si>
    <t>3222055100</t>
  </si>
  <si>
    <t>вул. І. Проскури, 49</t>
  </si>
  <si>
    <t>(04591)5-14-03, (04591)5-14-77, (04591)5-43-53</t>
  </si>
  <si>
    <t>http://ivankiv-school2.at.ua</t>
  </si>
  <si>
    <t>Іванківська загальноосвітня школа І-ІІІ ступенів № 1</t>
  </si>
  <si>
    <t>вул. Ярова, 6</t>
  </si>
  <si>
    <t>(04591)51416</t>
  </si>
  <si>
    <t>http://www.ivankivzosh1.at.ua</t>
  </si>
  <si>
    <t>Іванківський районний ліцей</t>
  </si>
  <si>
    <t>(04591)51405</t>
  </si>
  <si>
    <t>http://www.lyceum.net.ua</t>
  </si>
  <si>
    <t>Запрудське навчально-виховне об'єднання "Загальноосвітня школа І-ІІ ступенів - дитячий садок"</t>
  </si>
  <si>
    <t>07200</t>
  </si>
  <si>
    <t>3222055102</t>
  </si>
  <si>
    <t>Запрудка</t>
  </si>
  <si>
    <t>(04591)51974</t>
  </si>
  <si>
    <t>http://zaprudkanvo.at.ua/</t>
  </si>
  <si>
    <t>Блідчанське навчально-виховне об'єднання "Загальноосвітня школа I-II ступенів - дитячий садок"</t>
  </si>
  <si>
    <t>07261</t>
  </si>
  <si>
    <t>3222080301</t>
  </si>
  <si>
    <t>Блідча</t>
  </si>
  <si>
    <t>вул. Шкільна, 3В</t>
  </si>
  <si>
    <t>(045-91)31-230</t>
  </si>
  <si>
    <t>http://zochblidcha.at.ua</t>
  </si>
  <si>
    <t>Варівська загальноосвітня школа І-ІІ ступенів</t>
  </si>
  <si>
    <t>07233</t>
  </si>
  <si>
    <t>3222080601</t>
  </si>
  <si>
    <t>Варівськ</t>
  </si>
  <si>
    <t>26-2-92</t>
  </si>
  <si>
    <t>Горностайпільське навчально-виховне об'єднання "Загальноосвітня школа І-ІІІ ступенів - дитячий садок"</t>
  </si>
  <si>
    <t>07222</t>
  </si>
  <si>
    <t>3222080701</t>
  </si>
  <si>
    <t>Горностайпіль</t>
  </si>
  <si>
    <t>вул. Леніна, 9</t>
  </si>
  <si>
    <t>(0459147)219</t>
  </si>
  <si>
    <t>http://gornostaipilnvo.at.ua</t>
  </si>
  <si>
    <t>Жміївська загальноосвітня школа І-ІІ ступенів</t>
  </si>
  <si>
    <t>07230</t>
  </si>
  <si>
    <t>3222081201</t>
  </si>
  <si>
    <t>Жміївка</t>
  </si>
  <si>
    <t>вул. Дзержинського, 10</t>
  </si>
  <si>
    <t>(04591)21242</t>
  </si>
  <si>
    <t>Страхоліське навчально-виховне об'єднання "Загальноосвітня школа І ступеня- дитячий садок"</t>
  </si>
  <si>
    <t>07225</t>
  </si>
  <si>
    <t>3222081401</t>
  </si>
  <si>
    <t>Страхолісся</t>
  </si>
  <si>
    <t>вул. Бикова, 43</t>
  </si>
  <si>
    <t>(2-91)48-2-99</t>
  </si>
  <si>
    <t>Кропивнянська загальноосвітня школа І-ІІ ступенів</t>
  </si>
  <si>
    <t>07234</t>
  </si>
  <si>
    <t>3222081601</t>
  </si>
  <si>
    <t>вул. Поліська, 58</t>
  </si>
  <si>
    <t>(097)7748904</t>
  </si>
  <si>
    <t>http://kropyvnia-ua.ucoz.ua</t>
  </si>
  <si>
    <t>Кухарське навчально-виховне об'єднання "Загальноосвітня школа І-ІІІ ступенів - дитячий садок"</t>
  </si>
  <si>
    <t>07245</t>
  </si>
  <si>
    <t>3222081901</t>
  </si>
  <si>
    <t>Кухарі</t>
  </si>
  <si>
    <t>(0459136)2-72</t>
  </si>
  <si>
    <t>http://kuharivska-zosh.at.ua</t>
  </si>
  <si>
    <t>Сукачівське навчально-виховне об'єднання "Загальноосвітня школа І-ІІІ ступенів - дитячий садок"</t>
  </si>
  <si>
    <t>07205</t>
  </si>
  <si>
    <t>3222082002</t>
  </si>
  <si>
    <t>вул. Леніна, 69</t>
  </si>
  <si>
    <t>(091)51912</t>
  </si>
  <si>
    <t>http://Sukachivskenvo.at.ua</t>
  </si>
  <si>
    <t>Макарівське навчально-виховне об'єднання "Загальноосвітня школа I-II ступенів - дитячий садок"</t>
  </si>
  <si>
    <t>07251</t>
  </si>
  <si>
    <t>3222082101</t>
  </si>
  <si>
    <t>вул. Центральна, 20 а</t>
  </si>
  <si>
    <t>(0459132)230</t>
  </si>
  <si>
    <t>http://makarivkaschool.at.ua/</t>
  </si>
  <si>
    <t>Русаківська філія опорного навчального закладу Прибірське навчально-виховне об'єднання "ЗОШ І-ІІІ ступенів - дитячий садок"</t>
  </si>
  <si>
    <t>07252</t>
  </si>
  <si>
    <t>3222082104</t>
  </si>
  <si>
    <t>Русаки</t>
  </si>
  <si>
    <t>(097)3031829</t>
  </si>
  <si>
    <t>http://rusakivskenvo.ucoz.ua/</t>
  </si>
  <si>
    <t>Мусійківська загальноосвітня школа І-ІІІ ступенів</t>
  </si>
  <si>
    <t>07211</t>
  </si>
  <si>
    <t>3222082401</t>
  </si>
  <si>
    <t>Мусійки</t>
  </si>
  <si>
    <t>(04591)25234</t>
  </si>
  <si>
    <t>Обуховицьке навчально - виховне об'єднання "Загальноосвітня школа І - ІІІ ступенів - дитячий садок" Іванківської районної державної адміністрації Київської області</t>
  </si>
  <si>
    <t>07254</t>
  </si>
  <si>
    <t>3222082701</t>
  </si>
  <si>
    <t>Обуховичі</t>
  </si>
  <si>
    <t>вул. Шляхова, 1</t>
  </si>
  <si>
    <t>(04591)33-2-30</t>
  </si>
  <si>
    <t>http://obuhivichinvo.at.ua</t>
  </si>
  <si>
    <t>Оливське навчально-виховне об'єднання "Загальноосвітня школа І-ІІ ступенів - дитячий садок" Іванківської районної державної адміністрації Київської області</t>
  </si>
  <si>
    <t>07242</t>
  </si>
  <si>
    <t>3222082901</t>
  </si>
  <si>
    <t>Олива</t>
  </si>
  <si>
    <t>(045)9130296</t>
  </si>
  <si>
    <t>http://nvo-oliva.at.ua</t>
  </si>
  <si>
    <t>Олізарівська загальноосвітня школа І-ІІІ ступенів</t>
  </si>
  <si>
    <t>07231</t>
  </si>
  <si>
    <t>3222083001</t>
  </si>
  <si>
    <t>Олізарівка</t>
  </si>
  <si>
    <t>пров. Шевченка, 12</t>
  </si>
  <si>
    <t>(04591)26-2-88</t>
  </si>
  <si>
    <t>http://olizarivka-zosh.at.ua/</t>
  </si>
  <si>
    <t>Оранська філія опорного навчального закладу Прибірське навчально-виховне об'єднання "ЗОШ І-ІІІ ступенів - дитячий садок"</t>
  </si>
  <si>
    <t>07250</t>
  </si>
  <si>
    <t>3222083201</t>
  </si>
  <si>
    <t>Оране</t>
  </si>
  <si>
    <t>вул. Червоний шлях, 146 - 148</t>
  </si>
  <si>
    <t>(0459129)2-63</t>
  </si>
  <si>
    <t>http://oranezosh.at.ua</t>
  </si>
  <si>
    <t>Опорний навчальний заклад "Прибірське навчально-виховне об'єднання "Загальноосвітня школа I-III ступенів-дитячий садок"</t>
  </si>
  <si>
    <t>07253</t>
  </si>
  <si>
    <t>3222083901</t>
  </si>
  <si>
    <t>Прибірськ</t>
  </si>
  <si>
    <t>(04591)35230</t>
  </si>
  <si>
    <t>http://prybirsk-nvo.edukit.kiev.ua</t>
  </si>
  <si>
    <t>Розважівська загальноосвітня школа І-ІІІ ступенів Іванківської районної державної адміністрації Київської області</t>
  </si>
  <si>
    <t>07241</t>
  </si>
  <si>
    <t>3222084201</t>
  </si>
  <si>
    <t>Розважів</t>
  </si>
  <si>
    <t>(045)37491</t>
  </si>
  <si>
    <t>http://rozschool.ucoz.ua</t>
  </si>
  <si>
    <t>Термахівська загальноосвітня школа І-ІІ ступенів</t>
  </si>
  <si>
    <t>07240</t>
  </si>
  <si>
    <t>3222085601</t>
  </si>
  <si>
    <t>Термахівка</t>
  </si>
  <si>
    <t>вул. Поліська, 15</t>
  </si>
  <si>
    <t>(09145)38-2-48</t>
  </si>
  <si>
    <t>http://termahivka.ucoz.ua</t>
  </si>
  <si>
    <t>Феневицьке навчально-виховне об'єднання "Загальноосвітня школа І-ІІІ ступенів - дитячий садок"</t>
  </si>
  <si>
    <t>07263</t>
  </si>
  <si>
    <t>3222086401</t>
  </si>
  <si>
    <t>Феневичі</t>
  </si>
  <si>
    <t>(04591)34330</t>
  </si>
  <si>
    <t>http://fenevichy-nvo.at.ua</t>
  </si>
  <si>
    <t>Руднє - Тальська загальноосвітня школа І - ІІ ступенів</t>
  </si>
  <si>
    <t>3222086402</t>
  </si>
  <si>
    <t>Рудня-Тальська</t>
  </si>
  <si>
    <t>(04591)34-3-13</t>
  </si>
  <si>
    <t>Шпилівська загальноосвітня школа І-ІІІ ступенів</t>
  </si>
  <si>
    <t>07260</t>
  </si>
  <si>
    <t>3222086801</t>
  </si>
  <si>
    <t>Шпилі</t>
  </si>
  <si>
    <t>(045)9139230</t>
  </si>
  <si>
    <t>http://spilyzosch.at.ua</t>
  </si>
  <si>
    <t>Кагарлицька загальноосвітня школа І-ІІІ ст. № 2 ім. В.П. Дашенка</t>
  </si>
  <si>
    <t>09200</t>
  </si>
  <si>
    <t>3222210100</t>
  </si>
  <si>
    <t>Кагарлик</t>
  </si>
  <si>
    <t>вул. Паркова, 26</t>
  </si>
  <si>
    <t>(04573)6-08-17</t>
  </si>
  <si>
    <t>Кагарлицька загальноосвітня школа І-ІІІ ступенів № 1</t>
  </si>
  <si>
    <t>вул. Паркова, 8</t>
  </si>
  <si>
    <t>(04573)51862</t>
  </si>
  <si>
    <t>Кагарлицька загальноосвітня школа І-ІІІ ступенів № 3</t>
  </si>
  <si>
    <t>вул. 97 Стрілецької дивізії, 6</t>
  </si>
  <si>
    <t>(04573)61241</t>
  </si>
  <si>
    <t>Кагарлицький навчально-виховний комплекс "загальноосвітня школа І-ІІ ступенів-ліцей"</t>
  </si>
  <si>
    <t>вул. Паркова, 1</t>
  </si>
  <si>
    <t>(04573)51001</t>
  </si>
  <si>
    <t>http://kagarlicey.ucoz.ua</t>
  </si>
  <si>
    <t>Балико-Щучинська загальноосвітня школа І-ІІ ступенів Балико-Щучинської сільської ради Кагарлицького району Київської області</t>
  </si>
  <si>
    <t>09234</t>
  </si>
  <si>
    <t>3222280401</t>
  </si>
  <si>
    <t>Балико-Щучинка</t>
  </si>
  <si>
    <t>вул. Героїв Дніпра, 13А</t>
  </si>
  <si>
    <t>(04573)41234</t>
  </si>
  <si>
    <t>http://balyko-schuchynka.edukit.kiev.ua</t>
  </si>
  <si>
    <t>Буртівська загальноосвітня школа І - ІІІ ступенів</t>
  </si>
  <si>
    <t>09254</t>
  </si>
  <si>
    <t>3222281201</t>
  </si>
  <si>
    <t>Бурти</t>
  </si>
  <si>
    <t>(04573)32390</t>
  </si>
  <si>
    <t>Великопріцьківська загальноосвітня школа І-ІІ ступенів</t>
  </si>
  <si>
    <t>09236</t>
  </si>
  <si>
    <t>3222281601</t>
  </si>
  <si>
    <t>Великі Прицьки</t>
  </si>
  <si>
    <t>(04573)70724</t>
  </si>
  <si>
    <t>Горохуватська загальноосвітня школа І-ІІ ступенів</t>
  </si>
  <si>
    <t>09242</t>
  </si>
  <si>
    <t>3222282002</t>
  </si>
  <si>
    <t>вул. Перемоги, 120</t>
  </si>
  <si>
    <t>(04573)72154</t>
  </si>
  <si>
    <t>Гребенівський навчально-виховний комплекс " Загальноосвітня школа І ступеня - дитячий садок"</t>
  </si>
  <si>
    <t>09211</t>
  </si>
  <si>
    <t>3222282801</t>
  </si>
  <si>
    <t>Гребені</t>
  </si>
  <si>
    <t>ал. Вулиця Нова, 155А</t>
  </si>
  <si>
    <t>8-045-73-3-01-25</t>
  </si>
  <si>
    <t>Демівщинський навчально виховний комплекс "Загальноосвітня школа І ступеня - дитячий садок"</t>
  </si>
  <si>
    <t>09215</t>
  </si>
  <si>
    <t>3222283201</t>
  </si>
  <si>
    <t>Демівщина</t>
  </si>
  <si>
    <t>вул. Джерельна, 1Б</t>
  </si>
  <si>
    <t>(04573)38219</t>
  </si>
  <si>
    <t>http://demivschyna-school.edukit.kiev.ua</t>
  </si>
  <si>
    <t>Кадомська загальноосвітня школа І-ІІ ступенів</t>
  </si>
  <si>
    <t>09253</t>
  </si>
  <si>
    <t>3222284001</t>
  </si>
  <si>
    <t>Кадомка</t>
  </si>
  <si>
    <t>вул. Олексієнка, 4</t>
  </si>
  <si>
    <t>(04573)7-41-42</t>
  </si>
  <si>
    <t>Кузьминецька загальноосвітня школа І-ІІ ступенів</t>
  </si>
  <si>
    <t>09232</t>
  </si>
  <si>
    <t>3222284401</t>
  </si>
  <si>
    <t>вул. Василя Путаненка, 11</t>
  </si>
  <si>
    <t>(04573)4-06-49</t>
  </si>
  <si>
    <t>http://kuzmyntsischool.at.ua/</t>
  </si>
  <si>
    <t>Опорний загальноосвітній навчальний заклад Мирівська загальноосвітня школа І-ІІІ ступенів</t>
  </si>
  <si>
    <t>09241</t>
  </si>
  <si>
    <t>3222285601</t>
  </si>
  <si>
    <t>Мирівка</t>
  </si>
  <si>
    <t>вул. Гагаріна, 25</t>
  </si>
  <si>
    <t>(273)36231</t>
  </si>
  <si>
    <t>http://myrivka-school.edukit.kiev.ua</t>
  </si>
  <si>
    <t>Переселенська загальноосвітня школа І-ІІІ ступенів</t>
  </si>
  <si>
    <t>09246</t>
  </si>
  <si>
    <t>3222286001</t>
  </si>
  <si>
    <t>Переселення</t>
  </si>
  <si>
    <t>Півецька загальноосвітня школа І - ІІ ступенів</t>
  </si>
  <si>
    <t>09251</t>
  </si>
  <si>
    <t>3222286401</t>
  </si>
  <si>
    <t>Півці</t>
  </si>
  <si>
    <t>ал. Центральна, 6</t>
  </si>
  <si>
    <t>(04573)41349</t>
  </si>
  <si>
    <t>Слобідська загальноосвітня школа І-ІІІ ступенів Слобідської сільської ради Кагарлицького району Київської області</t>
  </si>
  <si>
    <t>09250</t>
  </si>
  <si>
    <t>3222286801</t>
  </si>
  <si>
    <t>пл. Площа Слави, 83</t>
  </si>
  <si>
    <t>(04573)32533</t>
  </si>
  <si>
    <t>http://sloboda-school.edukit.kiev.ua/</t>
  </si>
  <si>
    <t>Ставівська загальноосвітня школа І - ІІІ ступенів Ставівської сільської ради Кагарлицького району Київської області</t>
  </si>
  <si>
    <t>09245</t>
  </si>
  <si>
    <t>3222287201</t>
  </si>
  <si>
    <t>Стави</t>
  </si>
  <si>
    <t>(04573)31434</t>
  </si>
  <si>
    <t>http://www.stavy.edukit.kiev.ua</t>
  </si>
  <si>
    <t>Стайківська загальноосвітня школа І-ІІІ ступенів Стайківської сільської ради Кагарлицького району Київської області</t>
  </si>
  <si>
    <t>09210</t>
  </si>
  <si>
    <t>3222287601</t>
  </si>
  <si>
    <t>Стайки</t>
  </si>
  <si>
    <t>(045)30751</t>
  </si>
  <si>
    <t>Стрітівська загальноосвітня школа І- ІІ ступенів</t>
  </si>
  <si>
    <t>09212</t>
  </si>
  <si>
    <t>3222287801</t>
  </si>
  <si>
    <t>Стрітівка</t>
  </si>
  <si>
    <t>вул. Шевченка, 24</t>
  </si>
  <si>
    <t>(0457371)254</t>
  </si>
  <si>
    <t>http://www.stritivka-school.edukit.kiev.ua</t>
  </si>
  <si>
    <t>09240</t>
  </si>
  <si>
    <t>3222288201</t>
  </si>
  <si>
    <t>Халчанська загальноосвітня школа І-ІІ ступенів</t>
  </si>
  <si>
    <t>09213</t>
  </si>
  <si>
    <t>3222288601</t>
  </si>
  <si>
    <t>Халча</t>
  </si>
  <si>
    <t>(04573)30531</t>
  </si>
  <si>
    <t>Черняхівська загальноосвітня школа І-ІІІ ступенів</t>
  </si>
  <si>
    <t>09220</t>
  </si>
  <si>
    <t>3222288801</t>
  </si>
  <si>
    <t>вул. В.Чухрая, 1</t>
  </si>
  <si>
    <t>(04573)39319</t>
  </si>
  <si>
    <t>Шубівська загальноосвітня школа І - ІІІ ступенів</t>
  </si>
  <si>
    <t>09264</t>
  </si>
  <si>
    <t>3222289201</t>
  </si>
  <si>
    <t>Шубівка</t>
  </si>
  <si>
    <t>вул. Воробчук, 6</t>
  </si>
  <si>
    <t>(04573)31223</t>
  </si>
  <si>
    <t>ТОВ " Приватна загальноосвітня школа І-ІІ ступенів для хлопчиків "КАДЕТСТВО"</t>
  </si>
  <si>
    <t>08150</t>
  </si>
  <si>
    <t>3222410300</t>
  </si>
  <si>
    <t>Боярка</t>
  </si>
  <si>
    <t>вул. 50-річчя Жовтня, 63</t>
  </si>
  <si>
    <t>(067)4016765</t>
  </si>
  <si>
    <t>Товариство з обмеженою відповідальністю "Приватний загальноосвітній навчальний заклад ІІІ ступеня "Ліцей "МІжнародний вимір"</t>
  </si>
  <si>
    <t>08153</t>
  </si>
  <si>
    <t>вул. Молодіжна, 84</t>
  </si>
  <si>
    <t>(04598)40-853, (067)326-03-50</t>
  </si>
  <si>
    <t>Боярська вечірня загальноосвітня школа ІІ-ІІІ ступенів Києво-Святошинської районної державної адміністрації Київської області</t>
  </si>
  <si>
    <t>08151</t>
  </si>
  <si>
    <t>(04598)43786</t>
  </si>
  <si>
    <t>Боярська загальноосвітня школа І - ІІІ ступенів № 1 Києво-Святошинської районної державної адміністрації Київської області</t>
  </si>
  <si>
    <t>вул. Лисенка, 11/23</t>
  </si>
  <si>
    <t>(04598)36950</t>
  </si>
  <si>
    <t>Боярська загальноосвітня школа І-ІІІ ступенів № 4 Києво-Святошинської районної державної адміністрації Київської області</t>
  </si>
  <si>
    <t>(04598)42236</t>
  </si>
  <si>
    <t>http://boyarka-school4.edukit.kiev.ua</t>
  </si>
  <si>
    <t>Боярська загальноосвітня школа І-ІІІ ступенів № 5 Києво-Святошинської районної державної адміністрації Київської області</t>
  </si>
  <si>
    <t>вул. Б. Хмельницького, 57А</t>
  </si>
  <si>
    <t>(045)984-07-00</t>
  </si>
  <si>
    <t>http://www.boyarka-school5.edukit.kiev.ua</t>
  </si>
  <si>
    <t>Боярська загальноосвітня школа І-ІІІ ступенів № 2 Києво - Святошинської районної державної адміністрації Київської області</t>
  </si>
  <si>
    <t>http://boyarka-school2.edukit.kiev.ua</t>
  </si>
  <si>
    <t>Боярське Навчально-виховне обє'днання "Загальоосвітня школа І ступеня-дитячий садок"</t>
  </si>
  <si>
    <t>08152</t>
  </si>
  <si>
    <t>вул. сільгосптехнікум, 2</t>
  </si>
  <si>
    <t>26374933</t>
  </si>
  <si>
    <t>Боярський навчально-виховний комплекс "Гімназія - загальноосвітня школа І ступеня"</t>
  </si>
  <si>
    <t>вул. Сєдова, 7</t>
  </si>
  <si>
    <t>(04498)46-805</t>
  </si>
  <si>
    <t>http://gymnasium-boyarka.in.ua</t>
  </si>
  <si>
    <t>Боярський навчально-виховний комплекс "Колегіум - загальноосвітня школа І-ІІІ ступенів № 3" Києво-Святошинської районної державної адміністрації Київської області</t>
  </si>
  <si>
    <t>вул. П.Сагайдачного, 62</t>
  </si>
  <si>
    <t>(04598)41900, (04598)40548</t>
  </si>
  <si>
    <t>http://boyarka-school3.edukit.kiev.ua/</t>
  </si>
  <si>
    <t>Комунальний заклад Київської обласної ради "Боярська спеціальна загальноосвітня школа-інтернат І-ІІ ступенів"</t>
  </si>
  <si>
    <t>вул. І Піщана, 1</t>
  </si>
  <si>
    <t>22205047</t>
  </si>
  <si>
    <t>ПРИВАТНЕ ПІДПРИЄМСТВО "ЗАГАЛЬООСВІТНЯ ШКОЛА І-ІІІ СТУПЕНІВ "ВИНОГРАДНИК"</t>
  </si>
  <si>
    <t>вул. Анатолія Пастернака, 105</t>
  </si>
  <si>
    <t>(067)6027710</t>
  </si>
  <si>
    <t>Товариство з обмеженою відповідальністю "Приватна спеціалізована загальноосвітня школа І-ІІІ ступенів з поглибленим вивченням англійської мови "Школа шляхетних дівчаток "Леді"</t>
  </si>
  <si>
    <t>(04598)40853</t>
  </si>
  <si>
    <t>Вишнівська загальноосвітня школа І-ІІІ ступенів № 1 Києво-Святошинської районної державної адміністрації Київської області</t>
  </si>
  <si>
    <t>08133</t>
  </si>
  <si>
    <t>3222410600</t>
  </si>
  <si>
    <t>вул. Освіти, 9</t>
  </si>
  <si>
    <t>(04598)50762</t>
  </si>
  <si>
    <t>Вишнівська загальноосвітня школа І-ІІІ ступенів № 4 Києво-Святошинської районної державної адміністрації Київської області</t>
  </si>
  <si>
    <t>08132</t>
  </si>
  <si>
    <t>вул. Машинобудівників, 3</t>
  </si>
  <si>
    <t>(04598)5-16-04</t>
  </si>
  <si>
    <t>http://vyshneve-school4.edukit.kiev.ua/</t>
  </si>
  <si>
    <t>Вишнівська загальноосвітня школа І-ІІІ ступенів № 2 Києво-Святошинської районної державної адміністрації Київської області</t>
  </si>
  <si>
    <t>вул. Остапа Вишні, 2</t>
  </si>
  <si>
    <t>(04598)5-28-30</t>
  </si>
  <si>
    <t>http://vyshneve-school2.edukit.kiev.ua</t>
  </si>
  <si>
    <t>Вишнівська загальноосвітня школа І-ІІІ ступенів № 3 Києво-Святошинської районної державної адміністрації Київської області</t>
  </si>
  <si>
    <t>вул. Святошинська, 44</t>
  </si>
  <si>
    <t>(04598)52890</t>
  </si>
  <si>
    <t>Новосілківська загальноосвітня школа І-ІІІ ступенів Києво-Святошинської районної державної адміністрації Київської області</t>
  </si>
  <si>
    <t>03027</t>
  </si>
  <si>
    <t>3222457401</t>
  </si>
  <si>
    <t>(044)5262281, (044)5262220, (044)5262280</t>
  </si>
  <si>
    <t>Білогородська загальноосвітня школа № 2 Києво-Святошинської районної державної адміністрації Київської області</t>
  </si>
  <si>
    <t>08140</t>
  </si>
  <si>
    <t>3222480401</t>
  </si>
  <si>
    <t>Білогородка</t>
  </si>
  <si>
    <t>вул. Володимирська, 96</t>
  </si>
  <si>
    <t>(04598)53107</t>
  </si>
  <si>
    <t>http://bilohorodka-school2.edukit.kiev.ua</t>
  </si>
  <si>
    <t>Білогородська загальноосвітня школа І-ІІІ ступенів № 1 Києво-Святошинської районної держадміністрації Київської області</t>
  </si>
  <si>
    <t>вул. Сосніних, 2</t>
  </si>
  <si>
    <t>(04598)77040</t>
  </si>
  <si>
    <t>Бобрицька загальноосвітня школа І ступеня Києво-Святошинської районної державної адміністрації Київської області</t>
  </si>
  <si>
    <t>08142</t>
  </si>
  <si>
    <t>3222480601</t>
  </si>
  <si>
    <t>Бобриця</t>
  </si>
  <si>
    <t>(04598)58496</t>
  </si>
  <si>
    <t>Бузівська загальноосвітня школа І-ІІІ ступенів Києво-Святошинської районної державної адміністрації Київської області</t>
  </si>
  <si>
    <t>08120</t>
  </si>
  <si>
    <t>3222480801</t>
  </si>
  <si>
    <t>Бузова</t>
  </si>
  <si>
    <t>(04598)33192</t>
  </si>
  <si>
    <t>Товаривство з обмеженою відповідальністю "Спеціалізований загальноосвітній навчальний заклад "Британіка Скул"</t>
  </si>
  <si>
    <t>08170</t>
  </si>
  <si>
    <t>3222481201</t>
  </si>
  <si>
    <t>Віта-Поштова</t>
  </si>
  <si>
    <t>вул. Садова, 2А</t>
  </si>
  <si>
    <t>0672125055</t>
  </si>
  <si>
    <t>Юрівська загальноосвітня школа І-ІІІ ступенів Києво-Святошинської районної державної адміністрації Київської області</t>
  </si>
  <si>
    <t>3222481202</t>
  </si>
  <si>
    <t>(098)32623</t>
  </si>
  <si>
    <t>Гатнянська загальноосвітня школа I-III ступенів Києво-Святошинської районної державної адміністрації Київської області</t>
  </si>
  <si>
    <t>08160</t>
  </si>
  <si>
    <t>3222481601</t>
  </si>
  <si>
    <t>Гатне</t>
  </si>
  <si>
    <t>вул. Космонавтів, 1</t>
  </si>
  <si>
    <t>(096)140-67-31</t>
  </si>
  <si>
    <t>http://gatne-school.edukit.kiev.ua</t>
  </si>
  <si>
    <t>Гореницька загальноосвітня школа І - ІІІ ступенів Києво-Святошинської районної державної адміністрації Київської області</t>
  </si>
  <si>
    <t>08114</t>
  </si>
  <si>
    <t>3222482001</t>
  </si>
  <si>
    <t>Гореничі</t>
  </si>
  <si>
    <t>вул. Соборна, 150</t>
  </si>
  <si>
    <t>(04598)77516</t>
  </si>
  <si>
    <t>http://gorenychi.edukit.kiev.ua</t>
  </si>
  <si>
    <t>Приватний навчально-виховний комплекс "Загальноосвітня школа I-III ступеня - дитячий садок "Міцва-613"</t>
  </si>
  <si>
    <t>3222482002</t>
  </si>
  <si>
    <t>дорога 14 км автомобільної дороги Р 04 Київ-Фастів</t>
  </si>
  <si>
    <t>(044)2218456</t>
  </si>
  <si>
    <t>Горенська загальноосвітня школа І-ІІІ ступенів Києво-Святошинської районної державної адміністрації Київської області</t>
  </si>
  <si>
    <t>08105</t>
  </si>
  <si>
    <t>3222482401</t>
  </si>
  <si>
    <t>Горенка</t>
  </si>
  <si>
    <t>вул. Київська, 66</t>
  </si>
  <si>
    <t>Мощунська загальноосвітня школа І-ІІ ступенів Києво- Святошинськоїрайонної державної адміністрації Київської області</t>
  </si>
  <si>
    <t>08106</t>
  </si>
  <si>
    <t>3222482402</t>
  </si>
  <si>
    <t>Мощун</t>
  </si>
  <si>
    <t>(04598)5-96-45</t>
  </si>
  <si>
    <t>Забірська середня загальноосвітня школа І-ІІІ ст. Києво-Святошинської державної адміністрації Київської області</t>
  </si>
  <si>
    <t>08145</t>
  </si>
  <si>
    <t>3222483201</t>
  </si>
  <si>
    <t>Забір'я</t>
  </si>
  <si>
    <t>вул. Грисюка, 2</t>
  </si>
  <si>
    <t>(04498)34336</t>
  </si>
  <si>
    <t>Княжицька загальноосвітня школа І-ІІ ступенів Києво-Святошинської районної державної адміністрації Київської області</t>
  </si>
  <si>
    <t>08146</t>
  </si>
  <si>
    <t>3222483601</t>
  </si>
  <si>
    <t>вул. Отамана Косаря, 2</t>
  </si>
  <si>
    <t>(045)32-448</t>
  </si>
  <si>
    <t>http://kniazhychi-ks-school.edukit.kiev.ua</t>
  </si>
  <si>
    <t>КРЮКІВЩИНСЬКА ЗАГАЛЬНООСВІТНЯ ШКОЛА І-ІІІ СТУПЕНІВ КИЄВО-СВЯТОШИНСЬКОЇ РАЙОННОЇ ДЕРЖАВНОЇ АДМІНІСТРАЦІЇ КИЇВСЬКОЇ ОБЛАСТІ</t>
  </si>
  <si>
    <t>08136</t>
  </si>
  <si>
    <t>3222484001</t>
  </si>
  <si>
    <t>Крюківщина</t>
  </si>
  <si>
    <t>вул. Мічуріна, 12 А</t>
  </si>
  <si>
    <t>(04598)52717</t>
  </si>
  <si>
    <t>ТОВ "НВК "ЗНЗ І-ІІІ ст. "Міжнародна інноваційна школа" - дитячий садок "Хеппі Нест".</t>
  </si>
  <si>
    <t>вул. Освіти, 6</t>
  </si>
  <si>
    <t>(098)8963012</t>
  </si>
  <si>
    <t>Малютянська загальноосвітня школа І-ІІ ступенів Києво-Святошинської районної державної адміністрації Київської області</t>
  </si>
  <si>
    <t>08158</t>
  </si>
  <si>
    <t>3222484201</t>
  </si>
  <si>
    <t>Малютянка</t>
  </si>
  <si>
    <t>вул. Перемоги, 34</t>
  </si>
  <si>
    <t>(04598)39736</t>
  </si>
  <si>
    <t>Дмитрівська загальноосвітня школа І-ІІІ ступенів, Києво-Святошинської районної адміністрації, Київської області</t>
  </si>
  <si>
    <t>08112</t>
  </si>
  <si>
    <t>3222484401</t>
  </si>
  <si>
    <t>вул. Лісна, 42</t>
  </si>
  <si>
    <t>(044238)79118</t>
  </si>
  <si>
    <t>http://dmytrivka.edukit.kiev.ua</t>
  </si>
  <si>
    <t>Лісниківська загальноосвітня школа І-ІІІ ступенів імені Михайла Грушевського Києво-Святошинської районної державної адміністрації Київської області</t>
  </si>
  <si>
    <t>08172</t>
  </si>
  <si>
    <t>3222484501</t>
  </si>
  <si>
    <t>Лісники</t>
  </si>
  <si>
    <t>вул. Ватутіна, 40</t>
  </si>
  <si>
    <t>(04598)96904</t>
  </si>
  <si>
    <t>http://lisnyky-zoch.kiev.sch.in.ua</t>
  </si>
  <si>
    <t>Мироцька загальноосвітня школа І-ІІ ступенів відділу освіти Києво-Святошинської районної державної адміністрації Київської області</t>
  </si>
  <si>
    <t>08104</t>
  </si>
  <si>
    <t>3222484801</t>
  </si>
  <si>
    <t>Мироцьке</t>
  </si>
  <si>
    <t>вул. Соборна, 127</t>
  </si>
  <si>
    <t>0662246784</t>
  </si>
  <si>
    <t>http://myrotske.edukit.kiev.ua</t>
  </si>
  <si>
    <t>Михайлівсько-Рубежівська загальноосвітня школа І-ІІІ ступенів Києво-Святошинської районної державної адміністрації Київської області</t>
  </si>
  <si>
    <t>08110</t>
  </si>
  <si>
    <t>3222485201</t>
  </si>
  <si>
    <t>Михайлівка-Рубежівка</t>
  </si>
  <si>
    <t>вул. Церковна, 25, Б</t>
  </si>
  <si>
    <t>http://mrubezhivka-school.edukit.kiev.ua/</t>
  </si>
  <si>
    <t>Музичанська загальноосвітня школа І-ІІІ ступенів Києво-Святошинської районної державної адміністрації Київської області</t>
  </si>
  <si>
    <t>08125</t>
  </si>
  <si>
    <t>3222485501</t>
  </si>
  <si>
    <t>Музичі</t>
  </si>
  <si>
    <t>(045)9833389</t>
  </si>
  <si>
    <t>http://muzychi-school.edukit.kiev.ua</t>
  </si>
  <si>
    <t>ТОВ "НВК"Загальньоосвітня школа І ступеня - гімназія - дитячий садок"Умка Гранд"</t>
  </si>
  <si>
    <t>08141</t>
  </si>
  <si>
    <t>3222485801</t>
  </si>
  <si>
    <t>Святопетрівське</t>
  </si>
  <si>
    <t>б-р Т.Шевченка, 12</t>
  </si>
  <si>
    <t>(067)5553838</t>
  </si>
  <si>
    <t>Святопетрівська загальноосвітня школа І-ІІІ ступенів Києво-Святошинської районної державної адміністрацїї Київської області</t>
  </si>
  <si>
    <t>вул. Центральна, 138 А</t>
  </si>
  <si>
    <t>(04598)59034, (04598)58908</t>
  </si>
  <si>
    <t>http://www.petrivske-ks-school.edukit.kiev.ua/</t>
  </si>
  <si>
    <t>Петропавлівсько-Борщагівська загальоосвітня школа І-ІІІ ступенів</t>
  </si>
  <si>
    <t>08130</t>
  </si>
  <si>
    <t>3222485901</t>
  </si>
  <si>
    <t>Петропавлівська Борщагівка</t>
  </si>
  <si>
    <t>вул. Соборна, 30</t>
  </si>
  <si>
    <t>http://pp-borschahivka-school.edukit.kiev.ua/</t>
  </si>
  <si>
    <t>Петропавлівсько-Борщагівська ЗОШ І стуеня с.Чайки</t>
  </si>
  <si>
    <t>08135</t>
  </si>
  <si>
    <t>3222485903</t>
  </si>
  <si>
    <t>Чайки</t>
  </si>
  <si>
    <t>вул. Лобановського, 21/3</t>
  </si>
  <si>
    <t>(044)5934321, (044)5934395</t>
  </si>
  <si>
    <t>НВК «ЗНЗ «Європейська школа “МИХАЇЛ” І-ІІІ ст. - ясла-садок»</t>
  </si>
  <si>
    <t>вул. Лобановського, 8 (7 км від метро Житомирська)</t>
  </si>
  <si>
    <t>(044)5934461, (044)5934462</t>
  </si>
  <si>
    <t>Товариство з обмеженою відповідальністю «Навчально-виховний комплекс «Загальноосвітній навчальний заклад І-ІІІ ступенів «Новософіївська школа» - дитячий садок «Мозайка»</t>
  </si>
  <si>
    <t>08131</t>
  </si>
  <si>
    <t>3222486201</t>
  </si>
  <si>
    <t>Софіївська Борщагівка</t>
  </si>
  <si>
    <t>вул. Академіка Шалімова, 69А</t>
  </si>
  <si>
    <t>0682558855</t>
  </si>
  <si>
    <t>Софіївсько-Борщагівський навчально-виховний комплекс "Спеціалізована школа І-ІІІ ступенів - загальноосвітня школа І-ІІІ ступенів"</t>
  </si>
  <si>
    <t>пров. Шкільний, 1В</t>
  </si>
  <si>
    <t>(04598)56155</t>
  </si>
  <si>
    <t>Товариство з обмеженою відповідальністю «НАВЧАЛЬНО-ВИХОВНИЙ КОМПЛЕКС «ДОШКІЛЬНИЙ НАВЧАЛЬНИЙ ЗАКЛАД - СПЕЦІАЛІЗОВАНА ЗАГАЛЬНООСВІТНЯ ШКОЛА І СТУПЕНЯ - ГІМНАЗІЯ «СОФІЯ»</t>
  </si>
  <si>
    <t>(067)3438210</t>
  </si>
  <si>
    <t>Загальноосвітній навчальний заклад І-ІІІ ступенів "Центр дистанційної освіти "Джерело"</t>
  </si>
  <si>
    <t>вул. Дімітрова, 2</t>
  </si>
  <si>
    <t>(097)7705030, (099)7705030</t>
  </si>
  <si>
    <t>Тарасівська загальноосвітня школа І-ІІІ ступенів Києво-Святошинської районної державної адміністрації Київської області</t>
  </si>
  <si>
    <t>08161</t>
  </si>
  <si>
    <t>3222486601</t>
  </si>
  <si>
    <t>(298)31778</t>
  </si>
  <si>
    <t>http://tarasivskazosh.ucoz.ua</t>
  </si>
  <si>
    <t>Ходосівська загальноосвітня школа І-ІІІ ступенів Києво-Святошинської районної державної адміністрації Київської області</t>
  </si>
  <si>
    <t>08173</t>
  </si>
  <si>
    <t>3222487001</t>
  </si>
  <si>
    <t>Ходосівка</t>
  </si>
  <si>
    <t>вул. Соборна, 20</t>
  </si>
  <si>
    <t>(04598)9-64-44</t>
  </si>
  <si>
    <t>http://www.khodosivka.edukit.kiev.ua</t>
  </si>
  <si>
    <t>Хотівський навчально-виховний комплекс "Загальноосвітня школа І-ІІІ ступенів - гімназія" Києво-Святошинської районної державної адміністрації Київської області</t>
  </si>
  <si>
    <t>08171</t>
  </si>
  <si>
    <t>3222487201</t>
  </si>
  <si>
    <t>Хотів</t>
  </si>
  <si>
    <t>пл. Паширова, 1</t>
  </si>
  <si>
    <t>http://www.khotiv-nvk.edukit.kiev.ua</t>
  </si>
  <si>
    <t>Шпитьківська загальноосвітня школа І-ІІІ ступенів Києво-Святошинської районної державної адміністрації Київської області</t>
  </si>
  <si>
    <t>08122</t>
  </si>
  <si>
    <t>3222488201</t>
  </si>
  <si>
    <t>Шпитьки</t>
  </si>
  <si>
    <t>вул. Покровська, 24</t>
  </si>
  <si>
    <t>http://www.shpytky-school.edukit.kiev.ua/</t>
  </si>
  <si>
    <t>Макарівський навчально-виховний комплекс "Загальноосвітня школа І-ІІІ ступенів - природничо-математичний ліцей" Макарівського району Київської області</t>
  </si>
  <si>
    <t>08001</t>
  </si>
  <si>
    <t>3222755100</t>
  </si>
  <si>
    <t>Макарів</t>
  </si>
  <si>
    <t>вул. Піонерська, 3</t>
  </si>
  <si>
    <t>(04578)5-12-33</t>
  </si>
  <si>
    <t>Макарівський навчально–виховний комплекс «Загальноосвітня школа І ступеня - районна гімназія» Макарівської районної ради Київської області</t>
  </si>
  <si>
    <t>08000</t>
  </si>
  <si>
    <t>вул. Ватутіна, 10</t>
  </si>
  <si>
    <t>52668</t>
  </si>
  <si>
    <t>http://makgymnasia.at.ua/</t>
  </si>
  <si>
    <t>Кодрянське навчально-виховне об'єднання "Загальноосвітня школа І-ІІІ ступенів - дитячий садок" Макарівської районної ради Київської області</t>
  </si>
  <si>
    <t>08010</t>
  </si>
  <si>
    <t>3222755400</t>
  </si>
  <si>
    <t>Кодра</t>
  </si>
  <si>
    <t>вул. Ковпака, 44</t>
  </si>
  <si>
    <t>(04578)43940</t>
  </si>
  <si>
    <t>http://kodryanskenvo.ucoz.net</t>
  </si>
  <si>
    <t>Андріївське навчально-виховне об'єднання "Загальноосвітня школа І-ІІ ступенів - дитячий садок" Макарівського району Київської області</t>
  </si>
  <si>
    <t>08013</t>
  </si>
  <si>
    <t>3222780201</t>
  </si>
  <si>
    <t>(04578)36240</t>
  </si>
  <si>
    <t>Борівське навчально-виховне об'єднання "Загальноосвітня школа І-ІІ ступенів - дитячий садок" Макарівського району Київської області</t>
  </si>
  <si>
    <t>08023</t>
  </si>
  <si>
    <t>3222780401</t>
  </si>
  <si>
    <t>вул. Центральна, 32Б</t>
  </si>
  <si>
    <t>(04578)3-26-40</t>
  </si>
  <si>
    <t>http://borivka.ucoz.ua/</t>
  </si>
  <si>
    <t>Опорний загальноосвітній навчальний заклад Бишівська загальноосвітня школа І - ІІІ ступенів Макарівського району Київської області</t>
  </si>
  <si>
    <t>08072</t>
  </si>
  <si>
    <t>3222780601</t>
  </si>
  <si>
    <t>Бишів</t>
  </si>
  <si>
    <t>вул. Захистників України, 6</t>
  </si>
  <si>
    <t>(045-78)2-11-96</t>
  </si>
  <si>
    <t>Великокарашинська загальноосвітня школа І-ІІІ ступенів Макарівського району Київської області</t>
  </si>
  <si>
    <t>08050</t>
  </si>
  <si>
    <t>3222780901</t>
  </si>
  <si>
    <t>Великий Карашин</t>
  </si>
  <si>
    <t>(04578)39240</t>
  </si>
  <si>
    <t>Вільнянська загальноосвітня школа І-ІІ ступенів Макарівського району Київської області</t>
  </si>
  <si>
    <t>08055</t>
  </si>
  <si>
    <t>3222781501</t>
  </si>
  <si>
    <t>вул. Тернопільська, 2</t>
  </si>
  <si>
    <t>(04578)22137</t>
  </si>
  <si>
    <t>http://vilno-school.edukit.kiev.ua</t>
  </si>
  <si>
    <t>Гавронщинська загальноосвітня школа І ступеня</t>
  </si>
  <si>
    <t>08003</t>
  </si>
  <si>
    <t>3222781801</t>
  </si>
  <si>
    <t>Гавронщина</t>
  </si>
  <si>
    <t>вул. Київська, 17А</t>
  </si>
  <si>
    <t>(04578)41840</t>
  </si>
  <si>
    <t>Гружчанське навчально-виховне об'єднання "Загальноосвітня школа І-ІІІ ступенів - дитячий садок" Макарівської районної ради Київської області</t>
  </si>
  <si>
    <t>08052</t>
  </si>
  <si>
    <t>3222782101</t>
  </si>
  <si>
    <t>вул. Піонерська, 16</t>
  </si>
  <si>
    <t>(04578)2-37-40</t>
  </si>
  <si>
    <t>http://shkola3538.webnode.com.ua</t>
  </si>
  <si>
    <t>Забуянська загальноосвітня школа І - ІІІ ступенів Макарівського району Київської області</t>
  </si>
  <si>
    <t>08011</t>
  </si>
  <si>
    <t>3222782301</t>
  </si>
  <si>
    <t>Забуяння</t>
  </si>
  <si>
    <t>вул. Незалежності, 75А</t>
  </si>
  <si>
    <t>(04578)35240</t>
  </si>
  <si>
    <t>http://zabschool.at.ua</t>
  </si>
  <si>
    <t>Козичанське навчально-виховне обєднання "загальноосвітня школа І-ІІ ступенів - дитячий садок" Макарівської районної ради Київської області</t>
  </si>
  <si>
    <t>08053</t>
  </si>
  <si>
    <t>3222782401</t>
  </si>
  <si>
    <t>Козичанка</t>
  </si>
  <si>
    <t>вул. Вишнева (Леніна), 8</t>
  </si>
  <si>
    <t>(04578)2-42-40</t>
  </si>
  <si>
    <t>Колонщинська загальноосвітня школа І-ІІІ ступенів Макарівського району Київської області</t>
  </si>
  <si>
    <t>08032</t>
  </si>
  <si>
    <t>3222782601</t>
  </si>
  <si>
    <t>Колонщина</t>
  </si>
  <si>
    <t>(04578)42240</t>
  </si>
  <si>
    <t>Комарівське навчально-виховне обєднання "Загальноосвітня школа І-ІІІ ступенів -дитячий садок"</t>
  </si>
  <si>
    <t>08020</t>
  </si>
  <si>
    <t>3222782901</t>
  </si>
  <si>
    <t>вул. Дружби народфі, 4</t>
  </si>
  <si>
    <t>Копилівська загальноосвітня школа І-ІІІ ступенів Макарівського району Київської області</t>
  </si>
  <si>
    <t>08033</t>
  </si>
  <si>
    <t>3222783201</t>
  </si>
  <si>
    <t>Копилів</t>
  </si>
  <si>
    <t>вул. Жовтнева, 84</t>
  </si>
  <si>
    <t>(04578)30240</t>
  </si>
  <si>
    <t>http://koschool.org.ua</t>
  </si>
  <si>
    <t>Королівська загальноосвітня школа І-ІІІ ступенів Макарівського району Київської області</t>
  </si>
  <si>
    <t>08012</t>
  </si>
  <si>
    <t>3222783501</t>
  </si>
  <si>
    <t>вул. Клубна, 2</t>
  </si>
  <si>
    <t>(087)31240</t>
  </si>
  <si>
    <t>Липівське навчально-виховне об"єднання "Загальноосвітня школа І-ІІІ ступенів - дитячий садок" Макарівського району Київської області</t>
  </si>
  <si>
    <t>08014</t>
  </si>
  <si>
    <t>3222783801</t>
  </si>
  <si>
    <t>(04578)31540</t>
  </si>
  <si>
    <t>http://lypnvo.at.ua</t>
  </si>
  <si>
    <t>Лишнянське навчально-виховне об'єднання "загальноосвітня школа І-ІІІ ступенів-дитячий садок"</t>
  </si>
  <si>
    <t>08063</t>
  </si>
  <si>
    <t>3222784201</t>
  </si>
  <si>
    <t>Лишня</t>
  </si>
  <si>
    <t>вул. Київська, 12А</t>
  </si>
  <si>
    <t>(045)23440</t>
  </si>
  <si>
    <t>Мар'янівське навчально-виховне об'єднання "Загальноосвітня школа І-ІІ ступенів-дитячий садок, Макарівської районної ради, Київської області</t>
  </si>
  <si>
    <t>08051</t>
  </si>
  <si>
    <t>3222784501</t>
  </si>
  <si>
    <t>(04578)33-2-40</t>
  </si>
  <si>
    <t>http://marianivka-school.edukit.kiev.ua</t>
  </si>
  <si>
    <t>Маковищанське навчально-виховне об"єднання "загальноосвітня школа І ступеня - дитячий садок"</t>
  </si>
  <si>
    <t>08034</t>
  </si>
  <si>
    <t>3222784601</t>
  </si>
  <si>
    <t>Маковище</t>
  </si>
  <si>
    <t>(04578)4-16-47</t>
  </si>
  <si>
    <t>http://sajt-makovishchanskogo-nvo.webnode.com.ua</t>
  </si>
  <si>
    <t>Комунальний заклад Київської обласної ради "Мостищенська спеціальна загальноосвітня школа-інтернат І-ІІ ступенів"</t>
  </si>
  <si>
    <t>08071</t>
  </si>
  <si>
    <t>3222784701</t>
  </si>
  <si>
    <t>вул. Квітнева, 10</t>
  </si>
  <si>
    <t>http://mostishche.in.ua/</t>
  </si>
  <si>
    <t>22201414</t>
  </si>
  <si>
    <t>Мотижинська загальноосвітня школа І-ІІІ ступенів Макарівського району Київської області</t>
  </si>
  <si>
    <t>08060</t>
  </si>
  <si>
    <t>3222784801</t>
  </si>
  <si>
    <t>Мотижин</t>
  </si>
  <si>
    <t>вул. В.Довгича, 2</t>
  </si>
  <si>
    <t>(045-78)38-240</t>
  </si>
  <si>
    <t>http://motyz.at.ua</t>
  </si>
  <si>
    <t>25667627</t>
  </si>
  <si>
    <t>Наливайківське навчально-виховне об'єднання "Загальноосвітня школа І-ІІ ступенів - дитячий садок" Макарівського району Київської області</t>
  </si>
  <si>
    <t>08022</t>
  </si>
  <si>
    <t>3222785201</t>
  </si>
  <si>
    <t>Наливайківка</t>
  </si>
  <si>
    <t>вул. Центральна, 117Б</t>
  </si>
  <si>
    <t>http://naluv-school.at.ua</t>
  </si>
  <si>
    <t>Небелицьке НВО"Загальноосвітня школа І ступеня- дитячий садок"</t>
  </si>
  <si>
    <t>08024</t>
  </si>
  <si>
    <t>3222785501</t>
  </si>
  <si>
    <t>Небелиця</t>
  </si>
  <si>
    <t>вул. 1 травня, 13</t>
  </si>
  <si>
    <t>Ніжиловицьке навчально-виховне об'єднання "Загальноосвітня школа І-ІІІ ступенів - дитячий садок" Макарівського району Київської області</t>
  </si>
  <si>
    <t>08021</t>
  </si>
  <si>
    <t>3222785801</t>
  </si>
  <si>
    <t>Ніжиловичі</t>
  </si>
  <si>
    <t>(04578)41140</t>
  </si>
  <si>
    <t>http://nizhilovichi.at.ua/</t>
  </si>
  <si>
    <t>Новосілківська загальноосвітня школа І-ІІІ ступенів Макарівського району Київської області</t>
  </si>
  <si>
    <t>08070</t>
  </si>
  <si>
    <t>3222786101</t>
  </si>
  <si>
    <t>(04578)24540</t>
  </si>
  <si>
    <t>http://www.novosilky-school.edukit.kiev.ua/</t>
  </si>
  <si>
    <t>Пашківська загальноосвітня школа І-ІІІ ступенів Макарівського району Київської області</t>
  </si>
  <si>
    <t>08062</t>
  </si>
  <si>
    <t>3222786501</t>
  </si>
  <si>
    <t>Пашківка</t>
  </si>
  <si>
    <t>(04578)22740</t>
  </si>
  <si>
    <t>Плахтянське навчально - виховне об'єднання "загальноосвітня школа І - ІІ ступенів - дитячий садок" Макарівського району Київської області</t>
  </si>
  <si>
    <t>08030</t>
  </si>
  <si>
    <t>3222786801</t>
  </si>
  <si>
    <t>Плахтянка</t>
  </si>
  <si>
    <t>вул. Кавказька, 34</t>
  </si>
  <si>
    <t>(04578)34240</t>
  </si>
  <si>
    <t>Ситняківське навчально-виховне об’єднання "Загальноосвітня школа І-ІІІ ступенів - дитячий садок" Н Макарівського району Київської області</t>
  </si>
  <si>
    <t>08040</t>
  </si>
  <si>
    <t>3222787401</t>
  </si>
  <si>
    <t>Ситняки</t>
  </si>
  <si>
    <t>(04578)33440</t>
  </si>
  <si>
    <t>http://sytschool.at.ua</t>
  </si>
  <si>
    <t>Соснівська загальноосвітня школа І-ІІ ступенів Макарівської районної ради Київської області</t>
  </si>
  <si>
    <t>08054</t>
  </si>
  <si>
    <t>3222787701</t>
  </si>
  <si>
    <t>вул. Соборна, 103</t>
  </si>
  <si>
    <t>(04578)23540</t>
  </si>
  <si>
    <t>Фасівська загальноосвітня школа І-ІІ ступенів Макарівського району Київської області</t>
  </si>
  <si>
    <t>08044</t>
  </si>
  <si>
    <t>3222788001</t>
  </si>
  <si>
    <t>(04578)31440</t>
  </si>
  <si>
    <t>http://fasova-school1.at.ua/</t>
  </si>
  <si>
    <t>Опорний загальноосвітній навчальний заклад "Червонослобідська загальноосвітня школа І-ІІІ ступенів" Макарівської районної ради</t>
  </si>
  <si>
    <t>08042</t>
  </si>
  <si>
    <t>3222788201</t>
  </si>
  <si>
    <t>Червона Слобода</t>
  </si>
  <si>
    <t>вул. Заводська, 2</t>
  </si>
  <si>
    <t>(04578)90161</t>
  </si>
  <si>
    <t>Чорногородська філія опорногоро навчального закладу Бишівської загальноосвітньої школи І-ІІІ ступенів Макарівської районної ради</t>
  </si>
  <si>
    <t>08074</t>
  </si>
  <si>
    <t>3222788301</t>
  </si>
  <si>
    <t>Чорногородка</t>
  </si>
  <si>
    <t>вул. Ірпінська, 69</t>
  </si>
  <si>
    <t>(04578)24340</t>
  </si>
  <si>
    <t>http://www.tschornogorodka.ucoz.ua</t>
  </si>
  <si>
    <t>Яблунівське НВО "ЗОШ I-II ступенів - дитячий садочок"</t>
  </si>
  <si>
    <t>08073</t>
  </si>
  <si>
    <t>3222788901</t>
  </si>
  <si>
    <t>вул. Грушевського, 130</t>
  </si>
  <si>
    <t>(804578)22440</t>
  </si>
  <si>
    <t>http://yablunivska-zosh.webnode.com.ua</t>
  </si>
  <si>
    <t>Ясногородське навчально-виховне об'єднання "загальноосвітня школа I-II ступенів - дитячий садок" Ясногородської сільської ради Київської області</t>
  </si>
  <si>
    <t>08061</t>
  </si>
  <si>
    <t>3222789201</t>
  </si>
  <si>
    <t>Комунальний заклад Миронівська загальноосвітня школа І-ІІІ ступенів № 1 Миронівської районної ради Київської області</t>
  </si>
  <si>
    <t>08800</t>
  </si>
  <si>
    <t>3222910100</t>
  </si>
  <si>
    <t>вул. Чкалова, 54</t>
  </si>
  <si>
    <t>(04574)51331</t>
  </si>
  <si>
    <t>http://mzosh-1.at.ua/</t>
  </si>
  <si>
    <t>Комунальний заклад Миронівська загальноосвітня школа І-ІІІступенів № 3 Миронівської районної ради Київської області</t>
  </si>
  <si>
    <t>вул. Перемоги, 33</t>
  </si>
  <si>
    <t>(04574)57162</t>
  </si>
  <si>
    <t>http://myronivka-school3.edukit.kiev.ua</t>
  </si>
  <si>
    <t>Комунальний заклад Миронівський навчально-виховний комплекс "Загальноосвітня школа І-ІІІ ступенів - ліцей" Миронівської районної ради Київської області</t>
  </si>
  <si>
    <t>08801</t>
  </si>
  <si>
    <t>вул. Захарченка, 134</t>
  </si>
  <si>
    <t>(74)5-24-55</t>
  </si>
  <si>
    <t>http://mnvk.in.ua</t>
  </si>
  <si>
    <t>Комунальний заклад Вікторівський навчально-виховний комплекс "загальноосвітня школа І-ІІ ступенів - дошкільний навчальний заклад" Мироніського району Київської області</t>
  </si>
  <si>
    <t>08830</t>
  </si>
  <si>
    <t>3222980901</t>
  </si>
  <si>
    <t>Вікторівка</t>
  </si>
  <si>
    <t>(274)37540</t>
  </si>
  <si>
    <t>http://viktorivka-school.edukit.kiev.ua</t>
  </si>
  <si>
    <t>Комунальний заклад Владиславська загальноосвітня школа І-ІІ ступенів Миронівської районної ради Київської області</t>
  </si>
  <si>
    <t>08842</t>
  </si>
  <si>
    <t>3222981201</t>
  </si>
  <si>
    <t>Владиславка</t>
  </si>
  <si>
    <t>вул. Центральна, 199</t>
  </si>
  <si>
    <t>http://vladyslavka-myr.edukit.kiev.ua</t>
  </si>
  <si>
    <t>Комунальний заклад Грушівський навчально-виховний комплекс "Загальноосвітня школа І-ІІ ступенів-дошкільний навчальний заклад" Миронівської районної ради Київської області</t>
  </si>
  <si>
    <t>08812</t>
  </si>
  <si>
    <t>3222981501</t>
  </si>
  <si>
    <t>(04574)36-5-90</t>
  </si>
  <si>
    <t>Комунальний заклад Ємчиська загальноосвітня школа І-ІІ ступенів ім. К. Панікарського Миронівської районної ради Київської області</t>
  </si>
  <si>
    <t>08852</t>
  </si>
  <si>
    <t>3222981801</t>
  </si>
  <si>
    <t>Ємчиха</t>
  </si>
  <si>
    <t>(04574)33-5-75</t>
  </si>
  <si>
    <t>http://emchiha.ucoz.com</t>
  </si>
  <si>
    <t>КОМУНАЛЬНИЙ ЗАКЛАД ЗЕЛЕНЬКІВСЬКА ЗАГАЛЬНООСВІТНЯ ШКОЛА І-ІІІ СТУПЕНІВ МИРОНІВСЬКОЇ РАЙОННОЇ РАДИ КИЇВСЬКОЇ ОБЛАСТІ</t>
  </si>
  <si>
    <t>08832</t>
  </si>
  <si>
    <t>3222982201</t>
  </si>
  <si>
    <t>Зеленьки</t>
  </si>
  <si>
    <t>(044)37-3-17</t>
  </si>
  <si>
    <t>http://zelenky-school.edukit.kiev.ua</t>
  </si>
  <si>
    <t>Комунальний заклад Карапишівська загальноосвітня школа І-ІІІ ступенів Миронівської районної ради Київської області</t>
  </si>
  <si>
    <t>08841</t>
  </si>
  <si>
    <t>3222982601</t>
  </si>
  <si>
    <t>Карапиші</t>
  </si>
  <si>
    <t>(045)7431242</t>
  </si>
  <si>
    <t>http://www.karapishi-zosh.at.ua</t>
  </si>
  <si>
    <t>Комунальний заклад Козинська загальноосвітня школа І-ІІІ ступенів Миронівської районної ради Київської області</t>
  </si>
  <si>
    <t>08851</t>
  </si>
  <si>
    <t>3222983301</t>
  </si>
  <si>
    <t>Козин</t>
  </si>
  <si>
    <t>вул. Самарка, 94А</t>
  </si>
  <si>
    <t>(04574)33140</t>
  </si>
  <si>
    <t>http://www.kozyn-myr-school.edukit.kiev.ua</t>
  </si>
  <si>
    <t>Комунальний заклад Македонський навчально-виховний комплекс "Загальноосвітня школа І-ІІ ступенів - дошкільний навчальний заклад"</t>
  </si>
  <si>
    <t>08820</t>
  </si>
  <si>
    <t>3222983601</t>
  </si>
  <si>
    <t>Македони</t>
  </si>
  <si>
    <t>32-2-32</t>
  </si>
  <si>
    <t>http://makedony-school.edukit.kiev.ua</t>
  </si>
  <si>
    <t>Комунальний заклад Маслівська загальноосвітня школа І-ІІІ ступенів Миронівської районної ради Київської області</t>
  </si>
  <si>
    <t>08850</t>
  </si>
  <si>
    <t>3222984301</t>
  </si>
  <si>
    <t>Маслівка</t>
  </si>
  <si>
    <t>вул. Незалежності, 113</t>
  </si>
  <si>
    <t>(045)7433340</t>
  </si>
  <si>
    <t>http://maslivka-school.edukit.kiev.ua</t>
  </si>
  <si>
    <t>Комунальний заклад Піївська загальноосвітня школа І-ІІІ ступенів Миронівської районної ради Київської області</t>
  </si>
  <si>
    <t>08811</t>
  </si>
  <si>
    <t>3222985401</t>
  </si>
  <si>
    <t>Пії</t>
  </si>
  <si>
    <t>вул. Підгірна, 22</t>
  </si>
  <si>
    <t>(04574)34497</t>
  </si>
  <si>
    <t>http://pii-zosh.webnode.com.ua</t>
  </si>
  <si>
    <t>Опорний комунальний заклад Потіцька загальноосвітня школа І-ІІІ ступенів Миронівської районної ради Київської області</t>
  </si>
  <si>
    <t>08824</t>
  </si>
  <si>
    <t>3222985901</t>
  </si>
  <si>
    <t>вул. Васильченка, 1</t>
  </si>
  <si>
    <t>(04574)3-13-71</t>
  </si>
  <si>
    <t>http://potoki-zosh.ucoz.ua/</t>
  </si>
  <si>
    <t>Комунальний заклад Пустовітська загальноосвітня школа І-ІІI ступенів Миронівської районної ради Київської області</t>
  </si>
  <si>
    <t>08840</t>
  </si>
  <si>
    <t>3222986301</t>
  </si>
  <si>
    <t>Пустовіти</t>
  </si>
  <si>
    <t>вул. Івана  Франка, 24</t>
  </si>
  <si>
    <t>(274)44-3-40</t>
  </si>
  <si>
    <t>http://www.pustovity-school.edukit.kiev.ua</t>
  </si>
  <si>
    <t>Комунальний заклад Росавська загальноосвітня школа І-ІІІ ступенів Миронівської районної ради Київської області</t>
  </si>
  <si>
    <t>08835</t>
  </si>
  <si>
    <t>3222986701</t>
  </si>
  <si>
    <t>Росава</t>
  </si>
  <si>
    <t>вул. Центральна, 55 а</t>
  </si>
  <si>
    <t>(04574)51984</t>
  </si>
  <si>
    <t>http://rzosh.at.ua/</t>
  </si>
  <si>
    <t>Комунальний заклад Центральненська загальньоосвітня школа І - ІІІ ступенів Миронівської районної ради Київської області</t>
  </si>
  <si>
    <t>08853</t>
  </si>
  <si>
    <t>3222988301</t>
  </si>
  <si>
    <t>Центральне</t>
  </si>
  <si>
    <t>(04574)74140, (04574)74406</t>
  </si>
  <si>
    <t>http://tsentralne-school.edukit.kiev.ua/</t>
  </si>
  <si>
    <t>Комунальний заклад Шандрівська загальноосвітня школа І-ІІІ ступенів Миронівської районної ради Київської області</t>
  </si>
  <si>
    <t>08823</t>
  </si>
  <si>
    <t>3222988401</t>
  </si>
  <si>
    <t>Шандра</t>
  </si>
  <si>
    <t>вул. Тараса Шевченка, 95</t>
  </si>
  <si>
    <t>(04574)38175</t>
  </si>
  <si>
    <t>http://shandra-school.ucoz.ua</t>
  </si>
  <si>
    <t>Комунальний заклад Юхнівський навчально-виховний комплекс "Загальноосвітня школа І-ІІ ступенів - дошкільний навчальний заклад" Миронівської районної ради Київської області</t>
  </si>
  <si>
    <t>08843</t>
  </si>
  <si>
    <t>3222988801</t>
  </si>
  <si>
    <t>Юхни</t>
  </si>
  <si>
    <t>вул. Першотравнева, 6</t>
  </si>
  <si>
    <t>(04574)45440</t>
  </si>
  <si>
    <t>http://yukhny-school.edukit.kiev.ua.</t>
  </si>
  <si>
    <t>Комунальний заклад Яхнівська загальноосвітня школа І-ІІ ступенів Миронівської районної ради Київської області</t>
  </si>
  <si>
    <t>08854</t>
  </si>
  <si>
    <t>3222989101</t>
  </si>
  <si>
    <t>Яхни</t>
  </si>
  <si>
    <t>вул. Дерибасівська, 49</t>
  </si>
  <si>
    <t>(04574)47140</t>
  </si>
  <si>
    <t>http://yakhny-school.edukit.kiev.ua</t>
  </si>
  <si>
    <t>Українська спеціалізована загальноосвітня школа І-ІІІ ступенів № 1 з поглибленим вивченням окремих предметів Обухівської районної ради Київської області</t>
  </si>
  <si>
    <t>08720</t>
  </si>
  <si>
    <t>3223110500</t>
  </si>
  <si>
    <t>вул. Юності, 7</t>
  </si>
  <si>
    <t>(04572)21134</t>
  </si>
  <si>
    <t>Українська спеціалізована загальноосвітня школа І-ІІІ ступенів № 2 Обухівської районної ради Київської області</t>
  </si>
  <si>
    <t>вул. Юності, 21</t>
  </si>
  <si>
    <t>(04572)21099</t>
  </si>
  <si>
    <t>Козинська загальноосвітня школа І-ІІІ ступенів Обухівської районної ради Київської області</t>
  </si>
  <si>
    <t>08711</t>
  </si>
  <si>
    <t>3223155400</t>
  </si>
  <si>
    <t>вул. Партизанська, 3</t>
  </si>
  <si>
    <t>(04572)39434</t>
  </si>
  <si>
    <t>http://www.kozyn-obukh-school.edukit.kiev.ua</t>
  </si>
  <si>
    <t>НВК "Розумка"</t>
  </si>
  <si>
    <t>вул. Старокиївська, 30/1-30/4</t>
  </si>
  <si>
    <t>(044)5610050</t>
  </si>
  <si>
    <t>Приватна організація "Загальноосвітній навчальний заклад - школа І ступеня "Школа Конча - Заспа""</t>
  </si>
  <si>
    <t>вул. Юності, 1</t>
  </si>
  <si>
    <t>Великодмитровицька загальноосвітня школа І-ІІІ ступенів Обухівської районної ради Київської області</t>
  </si>
  <si>
    <t>08713</t>
  </si>
  <si>
    <t>3223180501</t>
  </si>
  <si>
    <t>Великі Дмитровичі</t>
  </si>
  <si>
    <t>Витачівська загальноосвітня школа І-ІІ ступенів Обухівської районної ради Київської області</t>
  </si>
  <si>
    <t>08740</t>
  </si>
  <si>
    <t>3223181501</t>
  </si>
  <si>
    <t>Витачів</t>
  </si>
  <si>
    <t>вул. Воздвиженська, 57</t>
  </si>
  <si>
    <t>http://vytachiv-school.edukit.kiev.ua</t>
  </si>
  <si>
    <t>Опорна загальноосвітня школа "Григорівська загальноосвітня школа І-ІІІ ступенів" Обухівської районної ради Київської області</t>
  </si>
  <si>
    <t>08750</t>
  </si>
  <si>
    <t>3223182001</t>
  </si>
  <si>
    <t>вул. Героїв  Майдану, 31</t>
  </si>
  <si>
    <t>(04572)38598</t>
  </si>
  <si>
    <t>http://hryhorivka-obukh.edukit.kiev.ua</t>
  </si>
  <si>
    <t>Дерев'янська загальноосвітня школа І-ІІ ступенів Обухівської районної ради Київської області</t>
  </si>
  <si>
    <t>08724</t>
  </si>
  <si>
    <t>3223182501</t>
  </si>
  <si>
    <t>Дерев'яна</t>
  </si>
  <si>
    <t>(04472)36422</t>
  </si>
  <si>
    <t>http://derznz.at.ua/</t>
  </si>
  <si>
    <t>Долинянська загальноосвітня школа І-ІІ ступенів Обухівської районної ради Київської області</t>
  </si>
  <si>
    <t>08743</t>
  </si>
  <si>
    <t>3223183401</t>
  </si>
  <si>
    <t>вул. Жовтнева, 6А</t>
  </si>
  <si>
    <t>(04572)36222</t>
  </si>
  <si>
    <t>http://dolyna-school.edukit.kiev.ua</t>
  </si>
  <si>
    <t>Жуківцівська загальноосвітня школа І-ІІ ступенів Обухівської районної ради Київської області</t>
  </si>
  <si>
    <t>08742</t>
  </si>
  <si>
    <t>3223183801</t>
  </si>
  <si>
    <t>(045)723-03-33</t>
  </si>
  <si>
    <t>http://zhukivtsi-school.edukit.kiev.ua/</t>
  </si>
  <si>
    <t>Копачівська загальноосвітня школа І-ІІ ступенів Обухівської районної ради Київської області</t>
  </si>
  <si>
    <t>08715</t>
  </si>
  <si>
    <t>3223184201</t>
  </si>
  <si>
    <t>Копачів</t>
  </si>
  <si>
    <t>0457232749</t>
  </si>
  <si>
    <t>http://www.kopachiv-school.edukit.kiev.ua</t>
  </si>
  <si>
    <t>Германівська гімназія Обухівської районної ради Київської області</t>
  </si>
  <si>
    <t>08753</t>
  </si>
  <si>
    <t>3223184601</t>
  </si>
  <si>
    <t>Германівка</t>
  </si>
  <si>
    <t>вул. Богдана Хмельницького, 30</t>
  </si>
  <si>
    <t>(045)7234330</t>
  </si>
  <si>
    <t>http://germanivka-gumnasium.edukit.kiev.ua</t>
  </si>
  <si>
    <t>Германівська загальноосвітня школа І - ІІІ ступенів імені братів Гетьманів Обухівської районної ради Київської області</t>
  </si>
  <si>
    <t>вул. Олени Ковальчук, 36</t>
  </si>
  <si>
    <t>http://germanivka-school.edukit.kiev.ua/</t>
  </si>
  <si>
    <t>Краснослобідська загальноосвітня школа І - ІІІ ступенів Обухівської районної ради Київської області</t>
  </si>
  <si>
    <t>08751</t>
  </si>
  <si>
    <t>3223185601</t>
  </si>
  <si>
    <t>Красна Слобідка</t>
  </si>
  <si>
    <t>вул. І. Кабанця, 2</t>
  </si>
  <si>
    <t>(04572)44-233</t>
  </si>
  <si>
    <t>Маловільшанська загальноосвітня школа І-ІІ ступенів. Обухівської районної ради Київської області</t>
  </si>
  <si>
    <t>08730</t>
  </si>
  <si>
    <t>3223186001</t>
  </si>
  <si>
    <t>вул. Васильківська, 39</t>
  </si>
  <si>
    <t>380986438821</t>
  </si>
  <si>
    <t>http://mvilshanka-obukh-school.edukit.kiev.ua/</t>
  </si>
  <si>
    <t>Підгірцівська загальноосвітня школа І - ІІІ ступенів Обухівського районної ради Київської області</t>
  </si>
  <si>
    <t>08710</t>
  </si>
  <si>
    <t>3223186801</t>
  </si>
  <si>
    <t>Підгірці</t>
  </si>
  <si>
    <t>вул. Васильківська, 39/1</t>
  </si>
  <si>
    <t>(04572)44885</t>
  </si>
  <si>
    <t>http://pidgircizosh.at.ua</t>
  </si>
  <si>
    <t>Семенівська загальноосвітня школа I-III ступенів Обухівської районної ради Київської області</t>
  </si>
  <si>
    <t>08752</t>
  </si>
  <si>
    <t>3223187201</t>
  </si>
  <si>
    <t>http://semenivka-school.edukit.kiev.ua</t>
  </si>
  <si>
    <t>Старобезрадичівська опорна загальноосвітня школа І-ІІI ступенів Обухівської районної ради Київської області</t>
  </si>
  <si>
    <t>08714</t>
  </si>
  <si>
    <t>3223187701</t>
  </si>
  <si>
    <t>Старі Безрадичі</t>
  </si>
  <si>
    <t>наб. Набережна, 2</t>
  </si>
  <si>
    <t>(04572)42418</t>
  </si>
  <si>
    <t>http://stari-bezradychi.edukit.kiev.ua/</t>
  </si>
  <si>
    <t>Комунальний заклад Київської обласної ради "Трипільський навчально-реабілітаційний центр" Обухівський р-н</t>
  </si>
  <si>
    <t>08722</t>
  </si>
  <si>
    <t>3223188001</t>
  </si>
  <si>
    <t>Трипілля</t>
  </si>
  <si>
    <t>вул. Корнійчука, 1</t>
  </si>
  <si>
    <t>(0(4572))33-427</t>
  </si>
  <si>
    <t>http://trypsi.ho.ua</t>
  </si>
  <si>
    <t>22202684</t>
  </si>
  <si>
    <t>Трипільська опорна загальноосвітня школа І-ІІІ ступенів Обухівської районної ради Київської області</t>
  </si>
  <si>
    <t>(04572)33216</t>
  </si>
  <si>
    <t>http://trypillia-school.edukit.kiev.ua</t>
  </si>
  <si>
    <t>Великокаратульська загальноосвітня школа І - ІІІ ступенів</t>
  </si>
  <si>
    <t>08440</t>
  </si>
  <si>
    <t>3223380401</t>
  </si>
  <si>
    <t>Велика Каратуль</t>
  </si>
  <si>
    <t>вул. Сахна, 22/а</t>
  </si>
  <si>
    <t>(04567)3-41-68</t>
  </si>
  <si>
    <t>http://velkar.at.ua</t>
  </si>
  <si>
    <t>Вовчківське навчально - виховне обєднання " загальноосвітня школа І-ІІ ступенів - - дошкільний навчальний заклад"</t>
  </si>
  <si>
    <t>08411</t>
  </si>
  <si>
    <t>3223380501</t>
  </si>
  <si>
    <t>Вовчків</t>
  </si>
  <si>
    <t>вул. Лесі Українки, 58</t>
  </si>
  <si>
    <t>(04567)2-52-77</t>
  </si>
  <si>
    <t>Виповзьке навчально-виховне об'єднання "загальноосвітня школа І-ІІ ступенів - дошкільний навчальний заклад", Переяслав-Хмельницького району, Київської області</t>
  </si>
  <si>
    <t>08443</t>
  </si>
  <si>
    <t>3223380601</t>
  </si>
  <si>
    <t>Виповзки</t>
  </si>
  <si>
    <t>ал. Шевченка, 52</t>
  </si>
  <si>
    <t>(04567)38241</t>
  </si>
  <si>
    <t>Гайшинське навчально-виховне об'єднання "Загальноосвітня школа І - ІІ ст. - дошкільний навчальний заклад"</t>
  </si>
  <si>
    <t>08412</t>
  </si>
  <si>
    <t>3223380801</t>
  </si>
  <si>
    <t>Гайшин</t>
  </si>
  <si>
    <t>045-67-3-33-67</t>
  </si>
  <si>
    <t>Гланишівське навчально-виховне об'єднання "загальноосвітня школа І-ІІ ступенів - дошкільний навчальний заклад" Гланишівської сільської ради Переяслав-Хмельницького району Київської області</t>
  </si>
  <si>
    <t>08413</t>
  </si>
  <si>
    <t>3223381101</t>
  </si>
  <si>
    <t>Гланишів</t>
  </si>
  <si>
    <t>вул. Покровська, 22</t>
  </si>
  <si>
    <t>(04567)29339</t>
  </si>
  <si>
    <t>Горбанівське НВО "ЗОШ І-ІІ ст. - ДНЗ", Переяслав-Хмельницької РДА, Київської області</t>
  </si>
  <si>
    <t>08464</t>
  </si>
  <si>
    <t>3223381401</t>
  </si>
  <si>
    <t>Горбані</t>
  </si>
  <si>
    <t>0456721117</t>
  </si>
  <si>
    <t>Дівичківське навчально-виховне об'єднання "Загальноосвітня школа I-III ступенів - дошкільний навчальний заклад" Переяслав-Хмельницького району Київської області</t>
  </si>
  <si>
    <t>08456</t>
  </si>
  <si>
    <t>3223382001</t>
  </si>
  <si>
    <t>Дівички</t>
  </si>
  <si>
    <t>вул. Космонавтів, 1А</t>
  </si>
  <si>
    <t>((04567))2-31-27</t>
  </si>
  <si>
    <t>http://divichky-school.at.ua</t>
  </si>
  <si>
    <t>Дем'янецька загальноосвітня школа І-ІІІ ступенів</t>
  </si>
  <si>
    <t>08431</t>
  </si>
  <si>
    <t>3223382401</t>
  </si>
  <si>
    <t>Дем'янці</t>
  </si>
  <si>
    <t>(25657853)0456733113</t>
  </si>
  <si>
    <t>Єрківецьке навчально - виховне обєнання "Загальноосвітня школа І-ІІІ ступенів дошкільний навчальний заклад</t>
  </si>
  <si>
    <t>3223383201</t>
  </si>
  <si>
    <t>Єрківці</t>
  </si>
  <si>
    <t>0986037736</t>
  </si>
  <si>
    <t>Опорний навчальний заклад Студениківський навчально-виховний комплекс "Загальноосвітня школа І-ІІІ ступенів - дошкільний навчальний заклад"</t>
  </si>
  <si>
    <t>08421</t>
  </si>
  <si>
    <t>3223383701</t>
  </si>
  <si>
    <t>Студеники</t>
  </si>
  <si>
    <t>(04567)27192</t>
  </si>
  <si>
    <t>http://zhovtnevazosh.ucoz.ua/</t>
  </si>
  <si>
    <t>Ковалинське навчально-виховне об'єднання "Загальноосвітня школа І-ІІ ступенів- дошкільний навчальний заклад" Переяслав-Хмельнипцького району Київської області</t>
  </si>
  <si>
    <t>08435</t>
  </si>
  <si>
    <t>3223384101</t>
  </si>
  <si>
    <t>Ковалин</t>
  </si>
  <si>
    <t>(04567)23112</t>
  </si>
  <si>
    <t>Лецьківське навчально-виховне об'єднання "загальноосвітня школаІ-ІІІ ступенів - дошкільний навчальний заклад"</t>
  </si>
  <si>
    <t>08451</t>
  </si>
  <si>
    <t>3223384201</t>
  </si>
  <si>
    <t>Лецьки</t>
  </si>
  <si>
    <t>вул. Мостового, 1</t>
  </si>
  <si>
    <t>(04567)3-53-49</t>
  </si>
  <si>
    <t>Малокаратульське навчально - виховне об'єднання "загальноосвітня школа І -ІІ ступенів - дошкільний навчальний заклад</t>
  </si>
  <si>
    <t>08450</t>
  </si>
  <si>
    <t>3223384601</t>
  </si>
  <si>
    <t>Мала Каратуль</t>
  </si>
  <si>
    <t>Переяславське навчально-виховне об"єднання "загальноосвітня школа І-ІІ ступенів-дошкільний навчальний заклад"</t>
  </si>
  <si>
    <t>08420</t>
  </si>
  <si>
    <t>3223385001</t>
  </si>
  <si>
    <t>Переяславське</t>
  </si>
  <si>
    <t>вул. Привокзальна, 24</t>
  </si>
  <si>
    <t>(04567)2-81-68</t>
  </si>
  <si>
    <t>Полого-Вергунівське навчально-виховне обєднання "Загальноосвітня школа І-ІІІ ступенів - дошкільний навчальний заклад"</t>
  </si>
  <si>
    <t>08463</t>
  </si>
  <si>
    <t>3223385301</t>
  </si>
  <si>
    <t>Пологи-Вергуни</t>
  </si>
  <si>
    <t>вул. Макаренка, 13</t>
  </si>
  <si>
    <t>(04567)36247</t>
  </si>
  <si>
    <t>http://pvzosh.at.ua/</t>
  </si>
  <si>
    <t>Пристромська загальноосвітня школа І-ІІІ ступенів</t>
  </si>
  <si>
    <t>08410</t>
  </si>
  <si>
    <t>3223386401</t>
  </si>
  <si>
    <t>Пристроми</t>
  </si>
  <si>
    <t>вул. Черняховського, 52</t>
  </si>
  <si>
    <t>(04467)26140</t>
  </si>
  <si>
    <t>Світанківське навчально - виховне обєднання " загальноосвітня школа І-ІІ ступенів - дошкільний навчальний заклад"</t>
  </si>
  <si>
    <t>08472</t>
  </si>
  <si>
    <t>3223386501</t>
  </si>
  <si>
    <t>вул. Жовтнева, 15</t>
  </si>
  <si>
    <t>(04567)2-31-77</t>
  </si>
  <si>
    <t>Соснівське навчально-виховне об'єднання "загальноосвітня школа І-ІІІ ступенів -дошкільний навчальний заклад"</t>
  </si>
  <si>
    <t>08423</t>
  </si>
  <si>
    <t>3223386801</t>
  </si>
  <si>
    <t>Соснова</t>
  </si>
  <si>
    <t>(04567)39221</t>
  </si>
  <si>
    <t>http://snvo.at.ua</t>
  </si>
  <si>
    <t>Стовп"язьке навчально-виховне об'єднання "Загальноосвітня школа І-ІІІ ступенів-дошкільний навчальний заклад" Переяслав-Хмельницького району Київської області</t>
  </si>
  <si>
    <t>08436</t>
  </si>
  <si>
    <t>3223387201</t>
  </si>
  <si>
    <t>Стовп'яги</t>
  </si>
  <si>
    <t>вул. Дружби, 22</t>
  </si>
  <si>
    <t>(04567)26581</t>
  </si>
  <si>
    <t>Ташанське навчально-виховне обєднання"Загальноосвітня школа І-ІІІ ступенів-дошкільний навчальний заклад"</t>
  </si>
  <si>
    <t>08460</t>
  </si>
  <si>
    <t>3223387401</t>
  </si>
  <si>
    <t>Ташань</t>
  </si>
  <si>
    <t>вул. Леніна, 10 А</t>
  </si>
  <si>
    <t>(04567)20318</t>
  </si>
  <si>
    <t>http://tashan-nvo.at.ua</t>
  </si>
  <si>
    <t>Улянівське навчально-виховне об'єднання "Загальноосвітня школа І-ІІІ ступенів - дошкільний навчальний заклад" Переяслав-Хмельницької районної державної адміністрації Київської області</t>
  </si>
  <si>
    <t>08471</t>
  </si>
  <si>
    <t>3223387601</t>
  </si>
  <si>
    <t>Улянівка</t>
  </si>
  <si>
    <t>вул. Шкільна, 58А</t>
  </si>
  <si>
    <t>(04567)30230</t>
  </si>
  <si>
    <t>Хоцьківська загальноосвітня школа І-ІІІ ступенів Переяслав -Хмельницької районної державної адміністрації Київської області</t>
  </si>
  <si>
    <t>08473</t>
  </si>
  <si>
    <t>3223387801</t>
  </si>
  <si>
    <t>Хоцьки</t>
  </si>
  <si>
    <t>вул. Вишнева, 20</t>
  </si>
  <si>
    <t>(04567)3-22-86</t>
  </si>
  <si>
    <t>Циблівська загальноосвітня школа І-ІІІ ступенів</t>
  </si>
  <si>
    <t>08454</t>
  </si>
  <si>
    <t>3223388201</t>
  </si>
  <si>
    <t>Циблі</t>
  </si>
  <si>
    <t>(25657882)380978522275</t>
  </si>
  <si>
    <t>Опорний навчалиний заклад Красятицьке НВО "Загальноосвітня школа І-ІІІ ступенів - дитячий садок" Поліської Районної Ради</t>
  </si>
  <si>
    <t>07053</t>
  </si>
  <si>
    <t>3223556100</t>
  </si>
  <si>
    <t>Красятичі</t>
  </si>
  <si>
    <t>вул. Воздвиженська, 78</t>
  </si>
  <si>
    <t>(04592)51696</t>
  </si>
  <si>
    <t>Володарське навчально-виховне обєднання "загальноосвітня школа І-ІІ ступенів-дошкільний навчальний заклад" Поліського району Київської області</t>
  </si>
  <si>
    <t>07052</t>
  </si>
  <si>
    <t>3223581501</t>
  </si>
  <si>
    <t>вул. Першотравнева, 57</t>
  </si>
  <si>
    <t>0975545434, 0973512041</t>
  </si>
  <si>
    <t>Вовчківське НВО "ЗОШ І-ІІІ ст.-ДНЗ"</t>
  </si>
  <si>
    <t>07044</t>
  </si>
  <si>
    <t>3223581601</t>
  </si>
  <si>
    <t>вул. Яблунева, 39</t>
  </si>
  <si>
    <t>(04592)20146</t>
  </si>
  <si>
    <t>Луговицьке навчально-виховне об'єднання "загальноосвітня школа І-ІІІ ступенів - дошкільний навчальний заклад</t>
  </si>
  <si>
    <t>07031</t>
  </si>
  <si>
    <t>3223585201</t>
  </si>
  <si>
    <t>Луговики</t>
  </si>
  <si>
    <t>Максимовицьке НВО "ЗОШ- І-ІІст. - ДНЗ"</t>
  </si>
  <si>
    <t>07040</t>
  </si>
  <si>
    <t>3223585601</t>
  </si>
  <si>
    <t>Максимовичі</t>
  </si>
  <si>
    <t>вул. Миру, 119</t>
  </si>
  <si>
    <t>(045)9231117</t>
  </si>
  <si>
    <t>Опорний навчальний заклад Марянівське навчально виховне обєднання "Загальноосвітня школа І-ІІІ - дитячий садок"</t>
  </si>
  <si>
    <t>07034</t>
  </si>
  <si>
    <t>3223586401</t>
  </si>
  <si>
    <t>(045)9229124</t>
  </si>
  <si>
    <t>Радинське навчально-виховне об'єднання "загальгоосвітня школа І-ІІІ ступенів дошкільний навчальний заклад"</t>
  </si>
  <si>
    <t>07024</t>
  </si>
  <si>
    <t>3223588001</t>
  </si>
  <si>
    <t>Радинка</t>
  </si>
  <si>
    <t>вул. Тараса Шевченка, 25</t>
  </si>
  <si>
    <t>(045292)21196</t>
  </si>
  <si>
    <t>http://radynka-nvo.edukit.kiev.ua</t>
  </si>
  <si>
    <t>Рокитнянська загальноосвітня школа І-ІІ ступенів № 5 Рокитнянської районної державної адміністрації Київської області</t>
  </si>
  <si>
    <t>09600</t>
  </si>
  <si>
    <t>3223755100</t>
  </si>
  <si>
    <t>Рокитне</t>
  </si>
  <si>
    <t>вул. Піщана, 6</t>
  </si>
  <si>
    <t>(04562)53606</t>
  </si>
  <si>
    <t>http://rokytne-zosh5.kiev.sch.in.ua/</t>
  </si>
  <si>
    <t>Рокитнянська загальноосвітня школа І-ІІ ступенів № 4 Рокитнянської районної державної адміністрації Київської області</t>
  </si>
  <si>
    <t>09602</t>
  </si>
  <si>
    <t>вул. Юннатів, 4</t>
  </si>
  <si>
    <t>(04562)24248</t>
  </si>
  <si>
    <t>http://rokitneschool4.ucoz.ua</t>
  </si>
  <si>
    <t>Рокитнянська загальноосвітня школа І-ІІІ ступенів № 2 Рокитнянської державної адміністрації Київської області</t>
  </si>
  <si>
    <t>вул. Кірова, 1</t>
  </si>
  <si>
    <t>(04562)61168</t>
  </si>
  <si>
    <t>Рокитнянська загальноосвітня школа І-ІІІ ступенів № 1Рокитнянської районної державної адміністрації Київської області</t>
  </si>
  <si>
    <t>вул. Вокзальна, 46</t>
  </si>
  <si>
    <t>(04562)5-18-71</t>
  </si>
  <si>
    <t>Рокитнянська загальноосвітня школа І-ІІІ ступенів № 3 Рокитнянської районної державної адміністрації Київської області</t>
  </si>
  <si>
    <t>вул. Леніна, 13</t>
  </si>
  <si>
    <t>(04562)51143</t>
  </si>
  <si>
    <t>Рокитнянський районний ліцей Рокитнянської районної ради Київської області</t>
  </si>
  <si>
    <t>(04562)51244</t>
  </si>
  <si>
    <t>Житньогірська загальноосвітня школа І-ІІІ ступенів Рокитнянської районної державної адміністрації Київської області</t>
  </si>
  <si>
    <t>09611</t>
  </si>
  <si>
    <t>3223781501</t>
  </si>
  <si>
    <t>Житні Гори</t>
  </si>
  <si>
    <t>(04562)26247</t>
  </si>
  <si>
    <t>http://zhytnigory.ucoz.ua</t>
  </si>
  <si>
    <t>Запрудянське навчально-виховне об'єднання "загальноосвітня школа І-ІІІ ступенів - дитячий садок"</t>
  </si>
  <si>
    <t>09620</t>
  </si>
  <si>
    <t>3223782001</t>
  </si>
  <si>
    <t>Запруддя</t>
  </si>
  <si>
    <t>(04562)23249</t>
  </si>
  <si>
    <t>http://zaprudyanskenvo.ucoz.ru</t>
  </si>
  <si>
    <t>Маківський навчально-виховний комплекс "загальноосвітня школа І-ІІ ступенів-дитячий садок"</t>
  </si>
  <si>
    <t>09621</t>
  </si>
  <si>
    <t>3223783001</t>
  </si>
  <si>
    <t>Маківка</t>
  </si>
  <si>
    <t>вул. Білоцерківська, 1</t>
  </si>
  <si>
    <t>(04462)2-72-25</t>
  </si>
  <si>
    <t>http://makivka-nvk.at.ua</t>
  </si>
  <si>
    <t>Насташівська загальноосвітня школа І-ІІІ ступенів Рокитнянської районної державної адміністрації Київської області</t>
  </si>
  <si>
    <t>09633</t>
  </si>
  <si>
    <t>3223783501</t>
  </si>
  <si>
    <t>Насташка</t>
  </si>
  <si>
    <t>(04562)20249</t>
  </si>
  <si>
    <t>http://nastashka-school.edukit.kiev.ua</t>
  </si>
  <si>
    <t>Ольшаницька загальноосвітня школа І-ІІІ ступенів Рокитнянської районної державної адміністрації Київської області</t>
  </si>
  <si>
    <t>09635</t>
  </si>
  <si>
    <t>3223784001</t>
  </si>
  <si>
    <t>Ольшаниця</t>
  </si>
  <si>
    <t>(04562)22330</t>
  </si>
  <si>
    <t>http://www.dikvik2009.ucoz.ua</t>
  </si>
  <si>
    <t>Острівська загальноосвітня школа І-ІІІ ступенів Рокитнянської районної державної адміністрації Київської області</t>
  </si>
  <si>
    <t>09631</t>
  </si>
  <si>
    <t>3223784501</t>
  </si>
  <si>
    <t>Острів</t>
  </si>
  <si>
    <t>вул. Вербова, 63А</t>
  </si>
  <si>
    <t>(044)622-52-30</t>
  </si>
  <si>
    <t>http://ostrivschool.ucoz.ua</t>
  </si>
  <si>
    <t>Ромашківська загальноосвітня школа І-ІІІ ступенів Рокитнянської районної державної адміністрації Київської області</t>
  </si>
  <si>
    <t>09623</t>
  </si>
  <si>
    <t>3223785001</t>
  </si>
  <si>
    <t>Ромашки</t>
  </si>
  <si>
    <t>(045)6223645</t>
  </si>
  <si>
    <t>http://romashky-scool.at.ua</t>
  </si>
  <si>
    <t>Савинецьке навчально - виховне об'єднання "загально освітня школа І- ІІ ступенів - дитячий садок"</t>
  </si>
  <si>
    <t>09610</t>
  </si>
  <si>
    <t>3223785501</t>
  </si>
  <si>
    <t>(04562)29242</t>
  </si>
  <si>
    <t>http://savyntsi-nvo.edukit.kiev.ua</t>
  </si>
  <si>
    <t>Опорний навчальний заклад Синявський навчально-виховний комплекс "загальноосвітній навчальний заклад І-ІІІ ступенів - дошкільний навчальний заклад" Рокитнянської районної державної адміністрації Київської області</t>
  </si>
  <si>
    <t>09634</t>
  </si>
  <si>
    <t>3223786001</t>
  </si>
  <si>
    <t>Синява</t>
  </si>
  <si>
    <t>вул. Шевченка, 1Б</t>
  </si>
  <si>
    <t>(04562)28210</t>
  </si>
  <si>
    <t>Телешівське навчально-виховне об"єднання "загальноосвітня школа І-ІІІ ступенів - дитячий садок"</t>
  </si>
  <si>
    <t>09622</t>
  </si>
  <si>
    <t>3223786501</t>
  </si>
  <si>
    <t>Телешівка</t>
  </si>
  <si>
    <t>(04562)2-12-82</t>
  </si>
  <si>
    <t>http://Teleshivka-nvo.edukit.kiev.ua</t>
  </si>
  <si>
    <t>Шарківський навчальновиховний комплекс "загальноосвітня школа І-ІІ ступенів-дитячий садок" Рокитнянської районної державної адміністрації Київської області</t>
  </si>
  <si>
    <t>09638</t>
  </si>
  <si>
    <t>3223787001</t>
  </si>
  <si>
    <t>Шарки</t>
  </si>
  <si>
    <t>(04562)2-35-30</t>
  </si>
  <si>
    <t>http://sharky--school.ucoz.ua</t>
  </si>
  <si>
    <t>Навчально-виховний комплекс «Сквирський ліцей - загальноосвітня школа І-ІІ ступенів» Сквирської районної ради Київської області</t>
  </si>
  <si>
    <t>09000</t>
  </si>
  <si>
    <t>3224010100</t>
  </si>
  <si>
    <t>Сквира</t>
  </si>
  <si>
    <t>вул. Незалежності, 63</t>
  </si>
  <si>
    <t>(04568)52632</t>
  </si>
  <si>
    <t>http://www.lyceum.in.ua</t>
  </si>
  <si>
    <t>Сквирська загальноосвітня школа І - ІІІ ступенів № 2 Київської області</t>
  </si>
  <si>
    <t>пров. Каштановий, 2</t>
  </si>
  <si>
    <t>(04568)51488, (04568)51536</t>
  </si>
  <si>
    <t>http://skvschool2.at.ua/</t>
  </si>
  <si>
    <t>Сквирське навчально-виховне об'єднання "загальноосвітня школа І-ІІІ ступенів № 5 - дошкільний навчальний заклад" Сквирської районної ради Київської області</t>
  </si>
  <si>
    <t>вул. Слобідська, 35</t>
  </si>
  <si>
    <t>(0568)54425</t>
  </si>
  <si>
    <t>Сквирська загальноосвітня школа І-ІІІ ступенів № 1 ім. М. Ольшевського Сквирської районної ради Київської області</t>
  </si>
  <si>
    <t>вул. Громова, 4</t>
  </si>
  <si>
    <t>(04568)51470</t>
  </si>
  <si>
    <t>http://zosh1.ucoz.net/</t>
  </si>
  <si>
    <t>Сквирська загальноосвітня школа І-ІІІ ступенів № 3 імені Петра Тисьменецького Сквирської районної ради Київської області</t>
  </si>
  <si>
    <t>5-17-49</t>
  </si>
  <si>
    <t>http://skvira-school3.at.ua</t>
  </si>
  <si>
    <t>Сквирський навчально-виховний комплекс "Загальноосвітня школа І-ІІІ ступенів № 4 - дитячий садок" Київської області</t>
  </si>
  <si>
    <t>вул. Соборна, 32</t>
  </si>
  <si>
    <t>(04568)51789</t>
  </si>
  <si>
    <t>Антонівське навчально-виховне об’єднання «ЗОШ І-ІІІ ступенів –дошкільний навчальний заклад» Сквирської районної ради Київської області</t>
  </si>
  <si>
    <t>09052</t>
  </si>
  <si>
    <t>3224080301</t>
  </si>
  <si>
    <t>Антонів</t>
  </si>
  <si>
    <t>(04568)27644</t>
  </si>
  <si>
    <t>Буківський навчально - виховний комплекс "Загальньоосвітня школа І-ІІІ ступенів - дитячий садок" Сквирського району Київської області</t>
  </si>
  <si>
    <t>09022</t>
  </si>
  <si>
    <t>3224080601</t>
  </si>
  <si>
    <t>Буки</t>
  </si>
  <si>
    <t>(04568)22644</t>
  </si>
  <si>
    <t>http://buky-nvk.edukit.kiev.ua/</t>
  </si>
  <si>
    <t>Великополовецький навчально-виховний комплекс "Загальноосвітня школа І-ІІІ ступенів - дитячий садок"</t>
  </si>
  <si>
    <t>09030</t>
  </si>
  <si>
    <t>3224081201</t>
  </si>
  <si>
    <t>Великополовецьке</t>
  </si>
  <si>
    <t>35844</t>
  </si>
  <si>
    <t>Комунальний заклад Київської обласної ради "Великополовецька спеціальна загальноосвітня школа-інтернат І-ІІ ступенів"</t>
  </si>
  <si>
    <t>22207411</t>
  </si>
  <si>
    <t>Горобіївський навчально-виховний комплекс "Загальноосвітня школа І-ІІІ ступенів - дитячий садок" Сквирського району Київської області</t>
  </si>
  <si>
    <t>09053</t>
  </si>
  <si>
    <t>3224081501</t>
  </si>
  <si>
    <t>Горобіївка</t>
  </si>
  <si>
    <t>(045)6835144</t>
  </si>
  <si>
    <t>Дулицьке навчально-виховне об'єднання "Загальноосвітня школа І-ІІІ ступенів - дошкільний навчальний заклад" Сквирської районної ради Київської області</t>
  </si>
  <si>
    <t>09025</t>
  </si>
  <si>
    <t>3224082101</t>
  </si>
  <si>
    <t>Дулицьке</t>
  </si>
  <si>
    <t>(04568)28-6-44</t>
  </si>
  <si>
    <t>Кам'яногребельський НВК"ЗОШ І-ІІ ступенів - дитячий садок" Сквирського району Київської області</t>
  </si>
  <si>
    <t>09004</t>
  </si>
  <si>
    <t>3224082401</t>
  </si>
  <si>
    <t>Кам'яна Гребля</t>
  </si>
  <si>
    <t>(04568)28844</t>
  </si>
  <si>
    <t>http://kgreblya.at.ua</t>
  </si>
  <si>
    <t>Кривошиїнське навчально-визовне об'єднання "загальноосвітня школа І-ІІІ ступенів - дошкільний навчальний заклад" Сквирської районної ради Київської області</t>
  </si>
  <si>
    <t>09013</t>
  </si>
  <si>
    <t>3224083201</t>
  </si>
  <si>
    <t>Кривошиїнці</t>
  </si>
  <si>
    <t>(04568)27114</t>
  </si>
  <si>
    <t>Малолисовецький навчально - виховний комплекс "Загальноосвітня школа І-ІІ ступенів - дитячий садок" Сквирського району Київської області</t>
  </si>
  <si>
    <t>09011</t>
  </si>
  <si>
    <t>3224084301</t>
  </si>
  <si>
    <t>Малі Лисівці</t>
  </si>
  <si>
    <t>(04568)32144</t>
  </si>
  <si>
    <t>http://lusovzi.ucoz.ru</t>
  </si>
  <si>
    <t>Оріховецький навчально-виховний комплекс "Загальноосвітня школа І-ІІІ ступенів-дитячий садок" Сквирського району Київської області</t>
  </si>
  <si>
    <t>09044</t>
  </si>
  <si>
    <t>3224085201</t>
  </si>
  <si>
    <t>Оріховець</t>
  </si>
  <si>
    <t>05344</t>
  </si>
  <si>
    <t>Пищиківська загальноосвітня школа І-ІІІ ступенів Сквирської районної ради Київської області</t>
  </si>
  <si>
    <t>09031</t>
  </si>
  <si>
    <t>3224085601</t>
  </si>
  <si>
    <t>Пищики</t>
  </si>
  <si>
    <t>вул. Миру, 122</t>
  </si>
  <si>
    <t>(04568)32344</t>
  </si>
  <si>
    <t>http://pyschykyschool.ucoz.ua/</t>
  </si>
  <si>
    <t>Пустоварівський навчально-виховний комплекс "Загальноосвітня школа І-ІІІ ступенів - дитячий садок" Сквирського району Київської області</t>
  </si>
  <si>
    <t>09051</t>
  </si>
  <si>
    <t>3224085901</t>
  </si>
  <si>
    <t>Пустоварівка</t>
  </si>
  <si>
    <t>(3804568)22144</t>
  </si>
  <si>
    <t>http://pustovarivka-nvk.edukit.kiev.ua/</t>
  </si>
  <si>
    <t>Рогізнянський НВК "Загальноосвітня школа І-ІІ ступенів - дитячий садок" Сквирського району Київської області</t>
  </si>
  <si>
    <t>09020</t>
  </si>
  <si>
    <t>3224086201</t>
  </si>
  <si>
    <t>(4568)28144</t>
  </si>
  <si>
    <t>Самгородоцька загальноосвітня школа І-ІІІ ступенів Сквирської районної ради Київської області</t>
  </si>
  <si>
    <t>09040</t>
  </si>
  <si>
    <t>3224086601</t>
  </si>
  <si>
    <t>(04568)27344</t>
  </si>
  <si>
    <t>Чубинецький навчально-виховний комплекс "Загальноосвітня школа І-ІІ ступенів - дитячий садок" Сквирського району Київської області</t>
  </si>
  <si>
    <t>09023</t>
  </si>
  <si>
    <t>3224087202</t>
  </si>
  <si>
    <t>Чубинці</t>
  </si>
  <si>
    <t>(04568)22745</t>
  </si>
  <si>
    <t>http://scool23.ucoz.ru</t>
  </si>
  <si>
    <t>Тхорівський навчально-виховний комплекс "Загальноосвітня школа I-II ступенів - дитячий садок" Сквирського району Київської області</t>
  </si>
  <si>
    <t>09050</t>
  </si>
  <si>
    <t>3224087501</t>
  </si>
  <si>
    <t>Тхорівка</t>
  </si>
  <si>
    <t>(04568)22344</t>
  </si>
  <si>
    <t>http://thorivkanvk.at.ua</t>
  </si>
  <si>
    <t>Шамраївський навчально- виховний комплекс "Загальноосвітня школа I-III ступенів-дошкільний навчальний заклад" Сквирської районної ради Київської області</t>
  </si>
  <si>
    <t>09034</t>
  </si>
  <si>
    <t>3224088201</t>
  </si>
  <si>
    <t>Шамраївка</t>
  </si>
  <si>
    <t>(04568)55094</t>
  </si>
  <si>
    <t>Шапіївський навчально-виховний комплекс "Загальноосвітня школа І - ІІ ступенів - дитячий садок" Сквирського району Київської області</t>
  </si>
  <si>
    <t>09041</t>
  </si>
  <si>
    <t>3224088601</t>
  </si>
  <si>
    <t>Шапіївка</t>
  </si>
  <si>
    <t>(04568)33544</t>
  </si>
  <si>
    <t>Ставищенський навчально - виховний комплекс " загальноосвітня школа І - ІІІ ступенів - юридичний ліцей" № 2 ім. О. С. Паланського. Ставищенської районної ради Київської області</t>
  </si>
  <si>
    <t>09400</t>
  </si>
  <si>
    <t>3224255100</t>
  </si>
  <si>
    <t>вул. Цимбала Сергія, 53</t>
  </si>
  <si>
    <t>(04564)5-23-32</t>
  </si>
  <si>
    <t>http://stavysche-nvk2.edukit.kiev.ua</t>
  </si>
  <si>
    <t>Ставищенський навчально-виховний комплекс “загальноосвітня школа І-ІІІ ступенів-педагогічний ліцей” № 1 Ставищенської районної ради Київської області</t>
  </si>
  <si>
    <t>вул. Цимбала С., 31</t>
  </si>
  <si>
    <t>(04564)22961</t>
  </si>
  <si>
    <t>http://stavysche-nvk1.edukit.kiev.ua</t>
  </si>
  <si>
    <t>Антонівський навчально-виховний комплекс "загальноосвітня школа І ступеня - дитячий садок" Ставищенської районної ради Київської області</t>
  </si>
  <si>
    <t>09433</t>
  </si>
  <si>
    <t>3224280401</t>
  </si>
  <si>
    <t>(04564)24549</t>
  </si>
  <si>
    <t>Бесідський навчально-виховний комплекс "загальноосвітня школа І-ІІІ ступенів - дитячий садок" Ставищенської районної ради Київської області</t>
  </si>
  <si>
    <t>09444</t>
  </si>
  <si>
    <t>3224280801</t>
  </si>
  <si>
    <t>Бесідка</t>
  </si>
  <si>
    <t>(045)27233</t>
  </si>
  <si>
    <t>Брилівський навчально-виховний комплекс "загальноосвітня школа І-ІІ ступенів - дитячий садок" Ставищенської районної ради Київської області</t>
  </si>
  <si>
    <t>09434</t>
  </si>
  <si>
    <t>3224281201</t>
  </si>
  <si>
    <t>Брилівка</t>
  </si>
  <si>
    <t>(04564)23449</t>
  </si>
  <si>
    <t>Василиська загальноосвітня школа І-ІІ ступенів Ставищенської районної ради Київської області</t>
  </si>
  <si>
    <t>09411</t>
  </si>
  <si>
    <t>3224281601</t>
  </si>
  <si>
    <t>Василиха</t>
  </si>
  <si>
    <t>вул. Наумова, 12</t>
  </si>
  <si>
    <t>(04564)24130</t>
  </si>
  <si>
    <t>http://vasylykha-school.edukit.kiev.ua</t>
  </si>
  <si>
    <t>Винарівський навчально-виховний комплекс "загальноосвітня школа I-II ступенів-дитячий садок" Ставищенської районної ради Київської області.</t>
  </si>
  <si>
    <t>09422</t>
  </si>
  <si>
    <t>3224282001</t>
  </si>
  <si>
    <t>Винарівка</t>
  </si>
  <si>
    <t>(04564)24231</t>
  </si>
  <si>
    <t>http://vynarivka-nvo.edukit.kiev.ua/</t>
  </si>
  <si>
    <t>Гейсиська загальноосвітня школа І-ІІІ ступенів Ставищенської районої ради Київської області</t>
  </si>
  <si>
    <t>09441</t>
  </si>
  <si>
    <t>3224282401</t>
  </si>
  <si>
    <t>Гейсиха</t>
  </si>
  <si>
    <t>(04564)23524</t>
  </si>
  <si>
    <t>http://heisyha-school.edukit.kiev.ua</t>
  </si>
  <si>
    <t>Журавлиська загальноосвітня школа І-ІІІ ступенів Ставищенської районної ради Київської області</t>
  </si>
  <si>
    <t>09432</t>
  </si>
  <si>
    <t>3224282801</t>
  </si>
  <si>
    <t>Журавлиха</t>
  </si>
  <si>
    <t>вул. 40-річчя Перемоги, 15</t>
  </si>
  <si>
    <t>(04564)27346</t>
  </si>
  <si>
    <t>http://zhuravlyha-school.edukit.kiev.ua</t>
  </si>
  <si>
    <t>Опорний загальноосвітній навчальний заклад "Іванівський навчально-виховний комплекс "загальноосвітня школа І - ІІІ ступенів - дитячий садок" Ставищенської районної ради Київської області</t>
  </si>
  <si>
    <t>09412</t>
  </si>
  <si>
    <t>3224283201</t>
  </si>
  <si>
    <t>вул. сімї Клименків, 45</t>
  </si>
  <si>
    <t>(264)2-37-39</t>
  </si>
  <si>
    <t>http://ivanivka-stav-school.edukit.kiev.ua</t>
  </si>
  <si>
    <t>Красилівський навчально-виховний комплекс "загальноосвітня школа І-ІІІ ступенів - агротехнічний ліцей" ім М.І.Савельєва Ставищенської районної ради Київської області</t>
  </si>
  <si>
    <t>09445</t>
  </si>
  <si>
    <t>3224283601</t>
  </si>
  <si>
    <t>вул. Голощапова, 12</t>
  </si>
  <si>
    <t>http://krasylivka.edukit.kiev.ua</t>
  </si>
  <si>
    <t>Кривецька загальноосвітня школа І-ІІ ступенів Ставищенської районної ради Київської області</t>
  </si>
  <si>
    <t>09414</t>
  </si>
  <si>
    <t>3224284001</t>
  </si>
  <si>
    <t>вул. Шевченка, 27</t>
  </si>
  <si>
    <t>(264)2-46-30</t>
  </si>
  <si>
    <t>http://kryvets-school.edukit.kiev.ua/</t>
  </si>
  <si>
    <t>Гостромогильський навчально-виховний комплекс "загальноосвітня школа І-ІІІ ступенів - дитячий садок" Ставищенської районної ради Київської області</t>
  </si>
  <si>
    <t>09410</t>
  </si>
  <si>
    <t>3224284401</t>
  </si>
  <si>
    <t>Гостра Могила</t>
  </si>
  <si>
    <t>(04564)23318</t>
  </si>
  <si>
    <t>Попружнянський навчально-виховний комплекс "загальноосвітня школа І ступеня - дитячий садок" Ставищенської районної ради Київської області</t>
  </si>
  <si>
    <t>09435</t>
  </si>
  <si>
    <t>3224284801</t>
  </si>
  <si>
    <t>Попружна</t>
  </si>
  <si>
    <t>(04564)2-63-18</t>
  </si>
  <si>
    <t>http://popruzhna-nvk.edukit.kiev.ua/</t>
  </si>
  <si>
    <t>Розумницький навчально-виховний комплекс "загальноосвітня школа І ступеня - дитячий садок" Ставищенської районної ради Київської області</t>
  </si>
  <si>
    <t>09443</t>
  </si>
  <si>
    <t>3224285201</t>
  </si>
  <si>
    <t>Розумниця</t>
  </si>
  <si>
    <t>(04564)27530</t>
  </si>
  <si>
    <t>Розкішнянська загальноосвітня школа І-ІІІ ступенів-медичний ліцей Ставищенської районної ради Київської області</t>
  </si>
  <si>
    <t>09440</t>
  </si>
  <si>
    <t>3224285601</t>
  </si>
  <si>
    <t>Розкішна</t>
  </si>
  <si>
    <t>вул. Галянта Віталія, 7</t>
  </si>
  <si>
    <t>(044)54375</t>
  </si>
  <si>
    <t>Сніжківський навчально- виховний комплекс " загальноосвітня школа І ступеня- дитячий садок" Ставищенської районної ради Київської області</t>
  </si>
  <si>
    <t>09423</t>
  </si>
  <si>
    <t>3224286001</t>
  </si>
  <si>
    <t>Сніжки</t>
  </si>
  <si>
    <t>(04564)2-78-27</t>
  </si>
  <si>
    <t>Станіславчицький навчально-виховний комплекс "загальноосвітня школа I-II ступенів дитячий садок" Ставищенської районної ради Київської області</t>
  </si>
  <si>
    <t>09442</t>
  </si>
  <si>
    <t>3224286401</t>
  </si>
  <si>
    <t>вул. Комсомольська, 35</t>
  </si>
  <si>
    <t>(04564)27475</t>
  </si>
  <si>
    <t>http://stanislavchyk-nvo.edukit.kiev.ua/</t>
  </si>
  <si>
    <t>Стрижавська загальноосвітня школа І-ІІІ ступенів Ставищенської районної ради Київської області</t>
  </si>
  <si>
    <t>09420</t>
  </si>
  <si>
    <t>3224286801</t>
  </si>
  <si>
    <t>(04564)24466</t>
  </si>
  <si>
    <t>http://www.strijavka.org.ua</t>
  </si>
  <si>
    <t>Торчицький навчально - виховний комплекс "загальноосвітня школа І-ІІ ступенів- дитячий садок" Ставищенської районної ради Київської області</t>
  </si>
  <si>
    <t>09413</t>
  </si>
  <si>
    <t>3224287201</t>
  </si>
  <si>
    <t>Торчиця</t>
  </si>
  <si>
    <t>(04564)24330</t>
  </si>
  <si>
    <t>Юрківський навчально - виховний комплекс "загальноосвітня школа І ступеня -дитячий садок" Ставищенської районної ради Київської області</t>
  </si>
  <si>
    <t>09424</t>
  </si>
  <si>
    <t>3224287601</t>
  </si>
  <si>
    <t>вул. Жовтнева, 19 а</t>
  </si>
  <si>
    <t>(04564)2-31-49</t>
  </si>
  <si>
    <t>Ясенівська загальноосвітня школа І-ІІ ступенів Ставищенської районної ради Київської області</t>
  </si>
  <si>
    <t>09430</t>
  </si>
  <si>
    <t>3224288001</t>
  </si>
  <si>
    <t>вул. Миру, 64</t>
  </si>
  <si>
    <t>(04564)27710</t>
  </si>
  <si>
    <t>Комунальний заклад Київської обласної ради "Таращанський навчально-реабілітаційний центр"</t>
  </si>
  <si>
    <t>09500</t>
  </si>
  <si>
    <t>3224410100</t>
  </si>
  <si>
    <t>Тараща</t>
  </si>
  <si>
    <t>вул. Білоцерківська, 78</t>
  </si>
  <si>
    <t>(04566)51632, (04566)51635</t>
  </si>
  <si>
    <t>22204068</t>
  </si>
  <si>
    <t>Таращанська загальноосвітня школа І-ІІ ступенів № 3 Таращанської районної ради Київської області</t>
  </si>
  <si>
    <t>вул. Зарічна, 20</t>
  </si>
  <si>
    <t>(04566)5-21-08</t>
  </si>
  <si>
    <t>http://Tarzosh3.bl.ee</t>
  </si>
  <si>
    <t>Таращанська загальноосвітня школа І-ІІІ ступенів № 2 Таращанської районної ради Київської області</t>
  </si>
  <si>
    <t>(04566)52268</t>
  </si>
  <si>
    <t>Таращанський навчально-виховний комплекс "Гімназія "Ерудит" - загальноосвітня школа І ступеня" Таращанської районної ради Київської області</t>
  </si>
  <si>
    <t>((04566))5-23-01</t>
  </si>
  <si>
    <t>http://erudite.at.ua</t>
  </si>
  <si>
    <t>24882690</t>
  </si>
  <si>
    <t>Великоберезянська загальноосвітня школа І-ІІІ ступенів Таращанської районної ради Київської області</t>
  </si>
  <si>
    <t>09550</t>
  </si>
  <si>
    <t>3224480501</t>
  </si>
  <si>
    <t>Велика Березянка</t>
  </si>
  <si>
    <t>вул. Михайлівська, 2</t>
  </si>
  <si>
    <t>(045)34489</t>
  </si>
  <si>
    <t>http://vbschool.in.ua</t>
  </si>
  <si>
    <t>Великововнянський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</si>
  <si>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09532</t>
  </si>
  <si>
    <t>3224481001</t>
  </si>
  <si>
    <t>Велика Вовнянка</t>
  </si>
  <si>
    <t>24-3-23</t>
  </si>
  <si>
    <t>http://Velikovovnyansk.klasna.com</t>
  </si>
  <si>
    <t>Володимирівська загальноосвітня школа I-III ступенів Таращанської районної ради Київської області</t>
  </si>
  <si>
    <t>09514</t>
  </si>
  <si>
    <t>3224481101</t>
  </si>
  <si>
    <t>(04566)41324</t>
  </si>
  <si>
    <t>http://volodimirivska-sh.klasna.com</t>
  </si>
  <si>
    <t>Веселокутський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</si>
  <si>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09553</t>
  </si>
  <si>
    <t>3224481201</t>
  </si>
  <si>
    <t>Веселий Кут</t>
  </si>
  <si>
    <t>вул. Рибалка, 2</t>
  </si>
  <si>
    <t>(04566)29482</t>
  </si>
  <si>
    <t>http://veselokutskynec.ucoz.ua/</t>
  </si>
  <si>
    <t>Дубівський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</si>
  <si>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09534</t>
  </si>
  <si>
    <t>3224481301</t>
  </si>
  <si>
    <t>Дубівка</t>
  </si>
  <si>
    <t>Кирданівська загальноосвітня школа І - ІІ ступенів Таращанської районної ради Київської області</t>
  </si>
  <si>
    <t>09522</t>
  </si>
  <si>
    <t>3224481501</t>
  </si>
  <si>
    <t>(0456626)3-25</t>
  </si>
  <si>
    <t>http://kurdanu.klasna.com/</t>
  </si>
  <si>
    <t>Кислівський навчально - виховний комплекс " Загальноосвітня школа І - ІІ ступенів - дошкільний навчальний заклад" Таращанської районної ради Київської області</t>
  </si>
  <si>
    <t>09525</t>
  </si>
  <si>
    <t>3224481701</t>
  </si>
  <si>
    <t>Кислівка</t>
  </si>
  <si>
    <t>(04566)33600</t>
  </si>
  <si>
    <t>http://www.kyslivka-osvita.at.ua</t>
  </si>
  <si>
    <t>Опорний загальноосвітній навчальний заклад "Ківшоватський навчально- виховний комплекс "Загальноосвітня школа І-ІІІ ступенів - дошкільний навчальний заклад" Таращанської районної ради Київської області"</t>
  </si>
  <si>
    <t>09543</t>
  </si>
  <si>
    <t>3224481901</t>
  </si>
  <si>
    <t>Ківшовата</t>
  </si>
  <si>
    <t>вул. Свободи, 71</t>
  </si>
  <si>
    <t>(0456647)561</t>
  </si>
  <si>
    <t>http://kivshzosh.klasna.com</t>
  </si>
  <si>
    <t>Косяківська загальноосвітня школа І-ІІІ ступенів Таращанської районної ради Київської області</t>
  </si>
  <si>
    <t>09552</t>
  </si>
  <si>
    <t>3224482301</t>
  </si>
  <si>
    <t>Косяківка</t>
  </si>
  <si>
    <t>вул. Шкільна, 5 б</t>
  </si>
  <si>
    <t>(04566)38-3-77</t>
  </si>
  <si>
    <t>http://kocshola.at.ua</t>
  </si>
  <si>
    <t>Лісовицька загальноосвітня школа І-ІІІ ступенів Таращанської районної ради Київської області</t>
  </si>
  <si>
    <t>09513</t>
  </si>
  <si>
    <t>3224483201</t>
  </si>
  <si>
    <t>Лісовичі</t>
  </si>
  <si>
    <t>(04566)33473</t>
  </si>
  <si>
    <t>https://sites.google.com/site/lzoshorg/</t>
  </si>
  <si>
    <t>Лук'янівський навчально-виховний комплекс "Загальноосвітня школа І-ІІ ступенів - дошкільний навчальний заклад" ім. О.С. Левади Таращанського району Київської області</t>
  </si>
  <si>
    <t>09540</t>
  </si>
  <si>
    <t>3224483601</t>
  </si>
  <si>
    <t>Лук'янівка</t>
  </si>
  <si>
    <t>вул. Центральна, 34 а</t>
  </si>
  <si>
    <t>(23)325</t>
  </si>
  <si>
    <t>Лучанська загальноосвітня школа І-ІІІ ступенів Таращанської районної ради Київської області</t>
  </si>
  <si>
    <t>09544</t>
  </si>
  <si>
    <t>3224484001</t>
  </si>
  <si>
    <t>вул. Просвіти, 40А</t>
  </si>
  <si>
    <t>(04566)27645</t>
  </si>
  <si>
    <t>http://lukaschool64.ucoz.ua</t>
  </si>
  <si>
    <t>Юшківорізька загальноосвітня школа І-ІІІ ступенів Таращанської районної ради Київської області</t>
  </si>
  <si>
    <t>09531</t>
  </si>
  <si>
    <t>3224484401</t>
  </si>
  <si>
    <t>Юшків Ріг</t>
  </si>
  <si>
    <t>вул. Травнева, 3</t>
  </si>
  <si>
    <t>(04566)30324</t>
  </si>
  <si>
    <t>http://petr-school.at.ua</t>
  </si>
  <si>
    <t>Плосківський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</si>
  <si>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09530</t>
  </si>
  <si>
    <t>3224484801</t>
  </si>
  <si>
    <t>вул. Садова, 28</t>
  </si>
  <si>
    <t>(04466)36-3-25</t>
  </si>
  <si>
    <t>http://ploskeschool.klasna.com</t>
  </si>
  <si>
    <t>Ріжківський навчально-виховний комплекс "Загальноосвітня школа I-II ступенів-дошкільний навчальний заклад" Таращанської районної ради Київської області</t>
  </si>
  <si>
    <t>09512</t>
  </si>
  <si>
    <t>3224485201</t>
  </si>
  <si>
    <t>Ріжки</t>
  </si>
  <si>
    <t>(04566)25-3-24</t>
  </si>
  <si>
    <t>Салиська загальноосвітня школа І-ІІІ ступенів Таращанської районної ради Київської області</t>
  </si>
  <si>
    <t>09520</t>
  </si>
  <si>
    <t>3224486001</t>
  </si>
  <si>
    <t>Салиха</t>
  </si>
  <si>
    <t>вул. Сергеєва, 6</t>
  </si>
  <si>
    <t>22318</t>
  </si>
  <si>
    <t>Северинівський навчально-виховний комплекс " Загальноосвітня школа І-ІІІ ступенів- дошкільний навчальний заклад" Таращанської районної ради Київської області</t>
  </si>
  <si>
    <t>09510</t>
  </si>
  <si>
    <t>3224486401</t>
  </si>
  <si>
    <t>(4566-35)3-47</t>
  </si>
  <si>
    <t>http://severinovkanvk.klasna.com</t>
  </si>
  <si>
    <t>Станишівський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</si>
  <si>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09541</t>
  </si>
  <si>
    <t>3224486901</t>
  </si>
  <si>
    <t>(04566)21-3-24</t>
  </si>
  <si>
    <t>Степківський навчально-виховний комплекс "Загальноосвітня школа І - ІІ ступенів - дошкільний навчальний заклад" Таращанської районної ради Київської області</t>
  </si>
  <si>
    <t>09523</t>
  </si>
  <si>
    <t>3224487201</t>
  </si>
  <si>
    <t>39-3-33</t>
  </si>
  <si>
    <t>Калиновецька загальноосвітня школа І-ІІІ ступенів Таращанської районної ради Київської області</t>
  </si>
  <si>
    <t>09533</t>
  </si>
  <si>
    <t>3224487701</t>
  </si>
  <si>
    <t>Калинове</t>
  </si>
  <si>
    <t>(04466)31389</t>
  </si>
  <si>
    <t>http://chapzosh.klasna.com/</t>
  </si>
  <si>
    <t>Тетіївська вечірня (змінна) загальноосвітня школа ІІ-ІІІ ступенів Тетіївської районної ради Київської області</t>
  </si>
  <si>
    <t>09800</t>
  </si>
  <si>
    <t>3224610100</t>
  </si>
  <si>
    <t>Тетіїв</t>
  </si>
  <si>
    <t>(04560)51752</t>
  </si>
  <si>
    <t>Тетіївська загальноосвітня школа І-ІІІ ступенів № 1 Тетіївської районної ради Київської області</t>
  </si>
  <si>
    <t>09802</t>
  </si>
  <si>
    <t>вул. Карла Маркса, 107</t>
  </si>
  <si>
    <t>(04560)55354, (04560)55355</t>
  </si>
  <si>
    <t>https://sites.google.com/site/tetiievskazosno1/</t>
  </si>
  <si>
    <t>Тетіївська загальноосвітня школа І-ІІІ ступенів № 3 Тетіївської районної ради Київської області</t>
  </si>
  <si>
    <t>вул. Академіка Байраківського, 49</t>
  </si>
  <si>
    <t>(04460)6-26-03</t>
  </si>
  <si>
    <t>http://sh3.tetiiv.net</t>
  </si>
  <si>
    <t>Тетіївський навчально-виховний комплекс "Гімназія - загальноосвітня школа І-ІІІ ступенів" Тетіївської районної ради Київської області</t>
  </si>
  <si>
    <t>вул. Кірова, 1/1</t>
  </si>
  <si>
    <t>(04560)5-13-97</t>
  </si>
  <si>
    <t>http://tetiiv4school.com.ua</t>
  </si>
  <si>
    <t>Тетіївський навчально-виховний комплекс "Загальноосвітня школа І-ІІІ ступенів - природничо-математичний ліцей" Тетіївської районної ради Київської області</t>
  </si>
  <si>
    <t>вул. Леніна, 32</t>
  </si>
  <si>
    <t>(04560)52532</t>
  </si>
  <si>
    <t>http://www.nvktetiiv.org.ua</t>
  </si>
  <si>
    <t>Бурковецьке навчально-виховне об'єднання "Загальноосвітня школа І-ІІ ступенів - дитячий садок" Тетіївської районної ради Київської області</t>
  </si>
  <si>
    <t>09811</t>
  </si>
  <si>
    <t>3224680401</t>
  </si>
  <si>
    <t>Бурківці</t>
  </si>
  <si>
    <t>вул. Зацерква, 7</t>
  </si>
  <si>
    <t>Височанське навчально-виховне об'єднання "Загальноосвітня школа I-III ступенів - дитячий садок" Тетіївської районної ради Київської області</t>
  </si>
  <si>
    <t>09851</t>
  </si>
  <si>
    <t>3224680801</t>
  </si>
  <si>
    <t>вул. Дружби, 8</t>
  </si>
  <si>
    <t>((045)260)3-07-46</t>
  </si>
  <si>
    <t>http://Vusokeshkola.ucoz.ua</t>
  </si>
  <si>
    <t>Галайківське навчально-виховне об'єднання "Загальноосвітня школа І-ІІ ступенів - дитячий садок" Тетіївської районної ради Київської області</t>
  </si>
  <si>
    <t>09840</t>
  </si>
  <si>
    <t>3224681201</t>
  </si>
  <si>
    <t>Галайки</t>
  </si>
  <si>
    <t>Голодьківська загальноосвітня школа І-ІІІ ступенів Тетіївської районної ради Київської області</t>
  </si>
  <si>
    <t>09833</t>
  </si>
  <si>
    <t>3224681601</t>
  </si>
  <si>
    <t>(09)2-91-93</t>
  </si>
  <si>
    <t>Горошківське навчально-виховне об 'єднання "Загальноосвітня школа І-ІІІ ступенів-дитячий садок" Тетіївської районної ради Київської області</t>
  </si>
  <si>
    <t>09852</t>
  </si>
  <si>
    <t>3224682001</t>
  </si>
  <si>
    <t>Горошків</t>
  </si>
  <si>
    <t>(04560)2-12-17</t>
  </si>
  <si>
    <t>Денихівська загальноосвітня школа І-ІІІ ступенів Тетіївської районної ради Київської області</t>
  </si>
  <si>
    <t>09832</t>
  </si>
  <si>
    <t>3224682401</t>
  </si>
  <si>
    <t>Денихівка</t>
  </si>
  <si>
    <t>(04560)35563</t>
  </si>
  <si>
    <t>Дзвеняцьке навчально-виховне об'єднання "Загальноосвітня школа I-II ступенів-дитячий садок" Тетіївської районної ради Київської області</t>
  </si>
  <si>
    <t>09820</t>
  </si>
  <si>
    <t>3224682801</t>
  </si>
  <si>
    <t>Дзвеняче</t>
  </si>
  <si>
    <t>(04560)2-04-30</t>
  </si>
  <si>
    <t>https://sites.google.com/site/dzvenackenvozos/home</t>
  </si>
  <si>
    <t>ДібрівськеНВО І-ІІступнів-дитячий садокТетіївської районної ради Київської області</t>
  </si>
  <si>
    <t>09838</t>
  </si>
  <si>
    <t>3224683201</t>
  </si>
  <si>
    <t>Дібрівка</t>
  </si>
  <si>
    <t>ал. Степова, 2</t>
  </si>
  <si>
    <t>Комунальний заклад Кашперівське навчально-виховне об'єднання "Загальноосвітня школа І-ІІІ ступенів - дитячий садок" Тетіївської районної ради Київської області</t>
  </si>
  <si>
    <t>09812</t>
  </si>
  <si>
    <t>3224683601</t>
  </si>
  <si>
    <t>вул. Київська, 9</t>
  </si>
  <si>
    <t>(04560)2-63-83</t>
  </si>
  <si>
    <t>http://kashperivka-zosh.kiev.sch.in.ua/</t>
  </si>
  <si>
    <t>Клюківське навчально-виховне об'єднання "Загальноосвітня школа І-ІІ ступенів - дитячий садок" Тетіївської районної ради Київської області</t>
  </si>
  <si>
    <t>09853</t>
  </si>
  <si>
    <t>3224684001</t>
  </si>
  <si>
    <t>Клюки</t>
  </si>
  <si>
    <t>вул. Миру (Леніна), 1</t>
  </si>
  <si>
    <t>http://klukyvskenvo.webnode.com.ua</t>
  </si>
  <si>
    <t>Кошівська загальноосвітня школа І-ІІ ступенів Тетіївської районної ради Київської області</t>
  </si>
  <si>
    <t>09810</t>
  </si>
  <si>
    <t>3224684401</t>
  </si>
  <si>
    <t>Кошів</t>
  </si>
  <si>
    <t>(04560)23346</t>
  </si>
  <si>
    <t>Ненадихівське навчально виховне об'єднання "Загаьноосвітня школа І-ІІ ступенів - дитячий садок" Тетіївської районної ради Київської області</t>
  </si>
  <si>
    <t>09843</t>
  </si>
  <si>
    <t>3224684801</t>
  </si>
  <si>
    <t>Ненадиха</t>
  </si>
  <si>
    <t>вул. Шевченка, 9</t>
  </si>
  <si>
    <t>(260)36-246</t>
  </si>
  <si>
    <t>П'ятигірська загальноосвітня школа І-ІІІ ступенів Тетіївської районної ради Київської області</t>
  </si>
  <si>
    <t>09841</t>
  </si>
  <si>
    <t>3224685301</t>
  </si>
  <si>
    <t>П'ятигори</t>
  </si>
  <si>
    <t>вул. Київська, 40</t>
  </si>
  <si>
    <t>(04560)4-22-32</t>
  </si>
  <si>
    <t>https://www.sites.google.com/site/pyatyhirskazosh/</t>
  </si>
  <si>
    <t>Росішківська загальноосвітня школа І-ІІ ступенів Тетіївської районної ради Київської області</t>
  </si>
  <si>
    <t>09830</t>
  </si>
  <si>
    <t>3224685801</t>
  </si>
  <si>
    <t>Росішки</t>
  </si>
  <si>
    <t>27431</t>
  </si>
  <si>
    <t>Стадницьке навчально-виховне обєднання "Загальноосвітня школа І-ІІІ ступенів-дитячий садок" Тетіївської районної ради Київської області</t>
  </si>
  <si>
    <t>09834</t>
  </si>
  <si>
    <t>3224686601</t>
  </si>
  <si>
    <t>(04560)3-43-57</t>
  </si>
  <si>
    <t>Степівське навчально-виховне об'єднання "Загальноосвітня школа І-ІІ ступенів - дитячий садок" Тетіївської районної ради Київської області</t>
  </si>
  <si>
    <t>09844</t>
  </si>
  <si>
    <t>3224687001</t>
  </si>
  <si>
    <t>пл. Слави, 1</t>
  </si>
  <si>
    <t>(04560)3-11-22</t>
  </si>
  <si>
    <t>Теліжинецьке навчально-виховне об'єднання "Загальноосвітня школа І-ІІІ ступенів - дитячий садок" Тетіївської районної ради Київської області</t>
  </si>
  <si>
    <t>09822</t>
  </si>
  <si>
    <t>3224687801</t>
  </si>
  <si>
    <t>Теліжинці</t>
  </si>
  <si>
    <t>(04560)28146</t>
  </si>
  <si>
    <t>ЧЕРЕПИНСЬКЕ НАВЧАЛЬНО-ВИХОВНЕ ОБ'ЄДНАННЯ "ЗАГАЛЬНООСВІТНЯ ШКОЛА І-ІІІ СТУПЕНІВ - ДИТЯЧИЙ САДОК" ТЕТІЇВСЬКОЇ РАЙОННОЇ РАДИ КИЇВСЬКОЇ ОБЛАСТІ</t>
  </si>
  <si>
    <t>09814</t>
  </si>
  <si>
    <t>3224688201</t>
  </si>
  <si>
    <t>вул. Макаренка, 8</t>
  </si>
  <si>
    <t>(04560)38118</t>
  </si>
  <si>
    <t>https://sites.google.com/site/cerepinnvo</t>
  </si>
  <si>
    <t>08520</t>
  </si>
  <si>
    <t>3224955300</t>
  </si>
  <si>
    <t>Борова</t>
  </si>
  <si>
    <t>вул. Пушкіна, 68</t>
  </si>
  <si>
    <t>0456542179</t>
  </si>
  <si>
    <t>Борівська загальноосвітня школа І-ІІІ ст. Фастівської райдержадміністрації Київської області</t>
  </si>
  <si>
    <t>(04565)41101</t>
  </si>
  <si>
    <t>Кожанська загальноосвітня школа I-III ступенів Фастівського району, Київської області</t>
  </si>
  <si>
    <t>08550</t>
  </si>
  <si>
    <t>3224955600</t>
  </si>
  <si>
    <t>вул. Шевченка, 171</t>
  </si>
  <si>
    <t>(04565)43912</t>
  </si>
  <si>
    <t>Кожанська ЗОШ І-ІІ ступенів Фастівської районної державної адміністрації</t>
  </si>
  <si>
    <t>43724</t>
  </si>
  <si>
    <t>Великоснітинська загальноосвітня школа І-ІІІ ступенів</t>
  </si>
  <si>
    <t>08540</t>
  </si>
  <si>
    <t>3224981201</t>
  </si>
  <si>
    <t>Велика Снітинка</t>
  </si>
  <si>
    <t>(1111)44766</t>
  </si>
  <si>
    <t>Опорний загальноосвітній навчальний заклад Веприцька загальноосвітня школа І - ІІІ ступенів Фастівської районної ради Київської області</t>
  </si>
  <si>
    <t>08531</t>
  </si>
  <si>
    <t>3224981601</t>
  </si>
  <si>
    <t>Веприк</t>
  </si>
  <si>
    <t>вул. Стеценко, 3</t>
  </si>
  <si>
    <t>(04565)45430</t>
  </si>
  <si>
    <t>Дідівщинський навчально-виховний комплекс "загальноосвітня школа І-ІІІ ступенів дитячий садок"</t>
  </si>
  <si>
    <t>08514</t>
  </si>
  <si>
    <t>3224982401</t>
  </si>
  <si>
    <t>Дідівщина</t>
  </si>
  <si>
    <t>(04465)45330</t>
  </si>
  <si>
    <t>Півнянська загальноосвітня школа І-ІІІ ступенів відділу освіти Фастівської РДА Київської області</t>
  </si>
  <si>
    <t>08533</t>
  </si>
  <si>
    <t>3224982801</t>
  </si>
  <si>
    <t>вул. Кільцева, 20</t>
  </si>
  <si>
    <t>(04565)46443</t>
  </si>
  <si>
    <t>http://pivniscyool.at.ua</t>
  </si>
  <si>
    <t>Дорогинська загальноосвітня школа І-ІІІ ступенів Фастівської районної державної адміністрації Київської області</t>
  </si>
  <si>
    <t>08512</t>
  </si>
  <si>
    <t>3224983301</t>
  </si>
  <si>
    <t>Дорогинка</t>
  </si>
  <si>
    <t>43323</t>
  </si>
  <si>
    <t>Малополовецька загально-освітня школа І-ІІІ ступенів Фастівської районної державної адміністрації Київської області</t>
  </si>
  <si>
    <t>08555</t>
  </si>
  <si>
    <t>3224984001</t>
  </si>
  <si>
    <t>Малополовецьке</t>
  </si>
  <si>
    <t>(04465)47148</t>
  </si>
  <si>
    <t>http://malopolovetske-school.edukit.kiev.ua/</t>
  </si>
  <si>
    <t>Малоснітинська загальноосвітня школа І - ІІІ ступенів</t>
  </si>
  <si>
    <t>08523</t>
  </si>
  <si>
    <t>3224984201</t>
  </si>
  <si>
    <t>Мала Снітинка</t>
  </si>
  <si>
    <t>вул. Гагаріна, 117</t>
  </si>
  <si>
    <t>0456546122</t>
  </si>
  <si>
    <t>Мотовилівськослобідська загальноосвітня школа І-ІІ ступенів Фастівської районної державної адміністрації Київської області</t>
  </si>
  <si>
    <t>08524</t>
  </si>
  <si>
    <t>3224984501</t>
  </si>
  <si>
    <t>Мотовилівська Слобідка</t>
  </si>
  <si>
    <t>(04565)47331</t>
  </si>
  <si>
    <t>http://mslobidka.at.ua</t>
  </si>
  <si>
    <t>Оленівське навчально-виховне об''єднання "Загальноосвітня школа І - ІІ ступенів - дитячий садок"</t>
  </si>
  <si>
    <t>08525</t>
  </si>
  <si>
    <t>3224984801</t>
  </si>
  <si>
    <t>вул. Варвари Ханенко, 2А</t>
  </si>
  <si>
    <t>(04565)46618</t>
  </si>
  <si>
    <t>ОЗНЗ Пилипівський НВК "ЗОШ І-ІІІ ступенів - дитячий садок" Фастівської районної ради Київської області</t>
  </si>
  <si>
    <t>08553</t>
  </si>
  <si>
    <t>3224985401</t>
  </si>
  <si>
    <t>Пилипівка</t>
  </si>
  <si>
    <t>вул. Святомихайлівська, 63</t>
  </si>
  <si>
    <t>(045)45144</t>
  </si>
  <si>
    <t>http://pylypivka.ucoz.ru</t>
  </si>
  <si>
    <t>Скригалівська загальноосвітня школа I-II ступенів, філія ОЗНЗ Веприцька ЗОШ І-ІІІ ст. Фастівської районної ради Київської області</t>
  </si>
  <si>
    <t>08530</t>
  </si>
  <si>
    <t>3224985901</t>
  </si>
  <si>
    <t>Скригалівка</t>
  </si>
  <si>
    <t>(04565)43197</t>
  </si>
  <si>
    <t>Томашівське навчально-виховне об'єднання "Загальноосвітня школа І-ІІІ ступенів-дитячий садок'' Томашівської сільської ради Фастівського району Київської області</t>
  </si>
  <si>
    <t>08510</t>
  </si>
  <si>
    <t>3224986201</t>
  </si>
  <si>
    <t>Томашівка</t>
  </si>
  <si>
    <t>вул. Рибенка, 19</t>
  </si>
  <si>
    <t>45-6-69</t>
  </si>
  <si>
    <t>http://tomashivka-zosh.at.ua</t>
  </si>
  <si>
    <t>Триліська загальноосвітня школа І-ІІІ ступенів ім. Ю.С.Коваленка Фастівської районної державної адміністрації Київської області</t>
  </si>
  <si>
    <t>08552</t>
  </si>
  <si>
    <t>3224986601</t>
  </si>
  <si>
    <t>Триліси</t>
  </si>
  <si>
    <t>43-5-32</t>
  </si>
  <si>
    <t>Фастівецька загальноосвітня школа І-ІІІступенів Фастівецької сільської ради Фастівського району, Київської області</t>
  </si>
  <si>
    <t>08541</t>
  </si>
  <si>
    <t>3224986901</t>
  </si>
  <si>
    <t>Фастівець</t>
  </si>
  <si>
    <t>вул. Дружби, 132</t>
  </si>
  <si>
    <t>(04565)44321</t>
  </si>
  <si>
    <t>http://Fastivetsschool.at.ua</t>
  </si>
  <si>
    <t>Червоненський НВК "Загальноосвітня школа І-ІІ ступенів - дитячий садок" Фастівської районної державної адміністрації Київської області</t>
  </si>
  <si>
    <t>08543</t>
  </si>
  <si>
    <t>3224987101</t>
  </si>
  <si>
    <t>(04465)44163</t>
  </si>
  <si>
    <t>http://chervone-school.ucoz.ua</t>
  </si>
  <si>
    <t>Мотовилівська загальноосвітня школа І-ІІ ступенів Мотовилівської сільської ради Фастівського району Київської області</t>
  </si>
  <si>
    <t>08522</t>
  </si>
  <si>
    <t>3224987201</t>
  </si>
  <si>
    <t>(04565)47346</t>
  </si>
  <si>
    <t>Великомотовилівське навчально-виховне об'єднання "загальноосвітня школа І-ІІІ ступенів-дитячий садок" Фастівської районної державної адміністрації Київської області</t>
  </si>
  <si>
    <t>3224987202</t>
  </si>
  <si>
    <t>Велика Мотовилівка</t>
  </si>
  <si>
    <t>(04565)47324</t>
  </si>
  <si>
    <t>http://www.vm-school.org.ua</t>
  </si>
  <si>
    <t>Яхнівський навчально-виховний комплекс "Загальноосвітня школа І-ІІступенів - дитячий садок" Яхнівської сільської ради Фастівського району Київської області</t>
  </si>
  <si>
    <t>08556</t>
  </si>
  <si>
    <t>3224987601</t>
  </si>
  <si>
    <t>0456546341</t>
  </si>
  <si>
    <t>http://www.schoolofyakhny.ucoz.net</t>
  </si>
  <si>
    <t>загальноосвітня школа І-ІІІ ступенів № 1 Яготинської районної ради Київської області</t>
  </si>
  <si>
    <t>07700</t>
  </si>
  <si>
    <t>3225510100</t>
  </si>
  <si>
    <t>Яготин</t>
  </si>
  <si>
    <t>вул. Шевченка, 86</t>
  </si>
  <si>
    <t>(04575)51685</t>
  </si>
  <si>
    <t>Яготинський навчально-виховний комплекс "Спеціалізована школа - загальноосвітня школа І-ІІІ ступенів № 3" Яготинської районної ради Київської області</t>
  </si>
  <si>
    <t>вул. Незалежності, 105</t>
  </si>
  <si>
    <t>(04475)54986, (04475)54985</t>
  </si>
  <si>
    <t>Яготинський навчально-виховний комплекс "Спеціалізована школа - загальноосвітня школа І-ІІІ ступенів № 2" Яготинської районної ради, Київської області</t>
  </si>
  <si>
    <t>вул. Богдана Хмельницького, 1</t>
  </si>
  <si>
    <t>(04575)51947</t>
  </si>
  <si>
    <t>24892121</t>
  </si>
  <si>
    <t>Богданівський навчально - виховний комплекс -" Загальноосвітня школа І - ІІІ ступенів -дошкільний навчальний заклад ( ясла - садок)"</t>
  </si>
  <si>
    <t>07742</t>
  </si>
  <si>
    <t>3225580901</t>
  </si>
  <si>
    <t>вул. Бондаренка, 93</t>
  </si>
  <si>
    <t>(04575)34116</t>
  </si>
  <si>
    <t>с. Двірківщина. Двірківщинський навчально - виховний комплекс "Загальноосвітня школа І-ІІІ ступенів - дошкільний навчальний заклад (ясла-садок)" Яготинської районої ради Київської області</t>
  </si>
  <si>
    <t>07740</t>
  </si>
  <si>
    <t>3225581401</t>
  </si>
  <si>
    <t>Двірківщина</t>
  </si>
  <si>
    <t>(04575)5-26-25</t>
  </si>
  <si>
    <t>Опорний загальноосвітній навчальний заклад "Жоравська загальноосвітня школа І - ІІІ ступенів" Яготинської районної ради Київської області</t>
  </si>
  <si>
    <t>07733</t>
  </si>
  <si>
    <t>3225581601</t>
  </si>
  <si>
    <t>Жоравка</t>
  </si>
  <si>
    <t>(04575)33-5-40</t>
  </si>
  <si>
    <t>Засупоївський навчально-виховний комплекс "загальноосвітня школа І-ІІ -ступенів -дошкільний навчальний заклад ( ясла-садок)"</t>
  </si>
  <si>
    <t>07714</t>
  </si>
  <si>
    <t>3225581801</t>
  </si>
  <si>
    <t>Засупоївка</t>
  </si>
  <si>
    <t>(04575)36140</t>
  </si>
  <si>
    <t>Капустинський навчально-виховний комплекс "Загальноосвітня школа І-ІІІ ступенів-дошкільний навчальний заклад (ясла-садок)" Яготинської районної ради</t>
  </si>
  <si>
    <t>07754</t>
  </si>
  <si>
    <t>3225582101</t>
  </si>
  <si>
    <t>Капустинці</t>
  </si>
  <si>
    <t>вул. Столбова, 3</t>
  </si>
  <si>
    <t>(04575)33140</t>
  </si>
  <si>
    <t>Лемешівська загальноосвітня школа І-ІІІ ступенів Яготинської районної ради Київської області</t>
  </si>
  <si>
    <t>07730</t>
  </si>
  <si>
    <t>3225583001</t>
  </si>
  <si>
    <t>вул. Центральна, 203</t>
  </si>
  <si>
    <t>(04575)36540</t>
  </si>
  <si>
    <t>Лозовоярівський навчально-виховний комплекс "Загальноосвітня школа І-ІІІ мступенів - дошкільний навчальний заклад (ясла-садок)" Яготинської районної ради Київської області</t>
  </si>
  <si>
    <t>07720</t>
  </si>
  <si>
    <t>3225583601</t>
  </si>
  <si>
    <t>Лозовий Яр</t>
  </si>
  <si>
    <t>Ничипорівський навчально-виховний комплекс "Загальноосвітня школа І-ІІІ ступенів-дошкільний навчальний заклад (ясла-садок)" Яготинської районної ради Київської області</t>
  </si>
  <si>
    <t>07702</t>
  </si>
  <si>
    <t>3225584201</t>
  </si>
  <si>
    <t>Ничипорівка</t>
  </si>
  <si>
    <t>вул. Андрія Бобира, 64</t>
  </si>
  <si>
    <t>(04575)3-71-40</t>
  </si>
  <si>
    <t>Панфильський НВК "ЗОШ І-ІІ ступенів - ДНЗ (ясла-садок)"</t>
  </si>
  <si>
    <t>07750</t>
  </si>
  <si>
    <t>3225585201</t>
  </si>
  <si>
    <t>Панфили</t>
  </si>
  <si>
    <t>вул. центральна, 65</t>
  </si>
  <si>
    <t>(275)35140</t>
  </si>
  <si>
    <t>Сотниківський навчально-виховний комплекс "Загальноосвітня школа І-ІІІ ступенів-дошкільний навчальний заклад (ясла-садок) Яготинської районної ради Київської області</t>
  </si>
  <si>
    <t>07711</t>
  </si>
  <si>
    <t>3225586501</t>
  </si>
  <si>
    <t>Сотниківка</t>
  </si>
  <si>
    <t>вул. Миру, 58</t>
  </si>
  <si>
    <t>(04575)35789</t>
  </si>
  <si>
    <t>Сулимівський Навчально-виховний комплекс "Загальноосвітня Школа І-ІІІ ступенів-Дитячий навчальний Заклад (ясла-садок)"</t>
  </si>
  <si>
    <t>07722</t>
  </si>
  <si>
    <t>3225587201</t>
  </si>
  <si>
    <t>Сулимівка</t>
  </si>
  <si>
    <t>вул. Кравченка, 110</t>
  </si>
  <si>
    <t>(04575)37334</t>
  </si>
  <si>
    <t>Супоївський НВК "Загальноосвітня школа І-ІІІ ступенів (ясла-садок)" Яготинської районної ради</t>
  </si>
  <si>
    <t>3225587401</t>
  </si>
  <si>
    <t>Супоївка</t>
  </si>
  <si>
    <t>вул. Вітовецька, 100</t>
  </si>
  <si>
    <t>(04575)35386</t>
  </si>
  <si>
    <t>Фарбованський навчально-виховний комплекс "Загальноосвітня школа І-ІІІ ступенів - Дошкільний навчальний заклад (ясла-садок)"</t>
  </si>
  <si>
    <t>07753</t>
  </si>
  <si>
    <t>3225588201</t>
  </si>
  <si>
    <t>Фарбоване</t>
  </si>
  <si>
    <t>ал. вул. Піонерська, 25</t>
  </si>
  <si>
    <t>(04575)34540</t>
  </si>
  <si>
    <t>Черняхівський навчально-виховний комплекс "Загальноосвітня школа І-ІІІ ступенів-дошкільний навчальний заклад (ясла-садок)"</t>
  </si>
  <si>
    <t>07741</t>
  </si>
  <si>
    <t>3225589001</t>
  </si>
  <si>
    <t>Черняхівка</t>
  </si>
  <si>
    <t>(04575)32140</t>
  </si>
  <si>
    <t>Комунальний заклад "Навчально-виховне об'єднання І-ІІІ ступенів "Мрія" Кіровоградської міської ради Кіровоградської області"</t>
  </si>
  <si>
    <t>25030</t>
  </si>
  <si>
    <t>3510100000</t>
  </si>
  <si>
    <t>Кіровоградська область</t>
  </si>
  <si>
    <t>Кропивницький</t>
  </si>
  <si>
    <t>вул. Бєляєва, 23</t>
  </si>
  <si>
    <t>(0522)56-31-75</t>
  </si>
  <si>
    <t>http://nvo_mriya.klasna.com/</t>
  </si>
  <si>
    <t>Загальноосвітня школа І-ІІ ступенів № 12 Кіровоградської міської ради Кіровоградської області</t>
  </si>
  <si>
    <t>25004</t>
  </si>
  <si>
    <t>вул. Павла Луньова, 9</t>
  </si>
  <si>
    <t>(0522)36-44-41</t>
  </si>
  <si>
    <t>http://www.school12.com.ua</t>
  </si>
  <si>
    <t>Загальноосвітня школа І-ІІІ ступенів № 4 Кіровоградської міської ради Кіровоградської області</t>
  </si>
  <si>
    <t>25006</t>
  </si>
  <si>
    <t>вул. Шульгіних, 38</t>
  </si>
  <si>
    <t>(0522)24-27-97</t>
  </si>
  <si>
    <t>http://skhool4.klasna.com</t>
  </si>
  <si>
    <t>Загальноосвітня школа І-ІІІ ступенів № 23 Кіровоградської міської ради Кіровоградської області</t>
  </si>
  <si>
    <t>25014</t>
  </si>
  <si>
    <t>вул. Івана Франка, 18</t>
  </si>
  <si>
    <t>(0522)56-73-93</t>
  </si>
  <si>
    <t>http://school23.klasna.com</t>
  </si>
  <si>
    <t>Загальноосвітня школа І-ІІІ ступенів № 7 ім. О.С. Пушкіна Кіровоградської міської ради Кіровоградської області</t>
  </si>
  <si>
    <t>25009</t>
  </si>
  <si>
    <t>вул. Генерала Шумілова, 30</t>
  </si>
  <si>
    <t>(0522)24-39-61</t>
  </si>
  <si>
    <t>http://pushkin7.klasna.com</t>
  </si>
  <si>
    <t>Загальноосвітня школа ІІ-ІІІ ступенів № 10 Кіровоградської міської ради Кіровоградської області</t>
  </si>
  <si>
    <t>25491</t>
  </si>
  <si>
    <t>вул. Металургів, 33А</t>
  </si>
  <si>
    <t>(0522)30-23-55</t>
  </si>
  <si>
    <t>http://schooll10.klasna.com</t>
  </si>
  <si>
    <t>Комунальний заклад "Навчально - виховне об'єднання "Загальноосвітня школа І-ІІІ ступенів- ліцей № 19 - позашкільний центр Кіровоградської міської ради Кіровоградської області"</t>
  </si>
  <si>
    <t>25031</t>
  </si>
  <si>
    <t>вул. Волкова, 24</t>
  </si>
  <si>
    <t>(0522)55-82-97</t>
  </si>
  <si>
    <t>http://nvo19.klasna.com</t>
  </si>
  <si>
    <t>Комунальний заклад "Навчально-виховне об'єднання "Загальноосвітня школа-інтернат І-ІІІ ступенів, ліцей "Сокіл", центр позашкільного виховання Кіровоградської міської ради Кіровоградської області"</t>
  </si>
  <si>
    <t>25005</t>
  </si>
  <si>
    <t>вул. Короленка, 46</t>
  </si>
  <si>
    <t>(0522)34-52-52</t>
  </si>
  <si>
    <t>http://school-internat.at.ua/</t>
  </si>
  <si>
    <t>02136560</t>
  </si>
  <si>
    <t>Комунальний заклад "Навчально-виховне об'єднання "Спеціальна загальноосвітня школа І-ІІ ступенів № 1 - дошкільний навчальний заклад Кіровоградської міської ради Кіровоградської області"</t>
  </si>
  <si>
    <t>вул. Волкова, 2-Д</t>
  </si>
  <si>
    <t>(0522)55-12-04</t>
  </si>
  <si>
    <t>http://specialschool.jimdo.com</t>
  </si>
  <si>
    <t>Комунальний заклад "Навчально-виховне об"єднання -- Загальноосвітня школа І-ІІІ ступенів № 31 з гімназійними класами, центр дитячої та юнацької творчості "Сузір"я" Кіровоградської міської ради Кіровоградської області"</t>
  </si>
  <si>
    <t>вул. Космонавта Попова, 11/А</t>
  </si>
  <si>
    <t>(0522)55-83-55</t>
  </si>
  <si>
    <t>http://www.school-31.org.ua</t>
  </si>
  <si>
    <t>Комунальний заклад "Навчально-виховне об"єднання № 25 "Загальноосвітня школа І-ІІІ ступенів, природничо-математичний ліцей, центр позашкільного виховання "Ліра" Кіровоградської міської ради Кіровоградської області"</t>
  </si>
  <si>
    <t>вул. Леваневського, 2Б</t>
  </si>
  <si>
    <t>(0522)34-52-57</t>
  </si>
  <si>
    <t>http://nvo25.klassna.com</t>
  </si>
  <si>
    <t>13745701</t>
  </si>
  <si>
    <t>Комунальний заклад "Навчально-виховне обєднання природничо-економіко-правовий ліцей - спеціалізована школа І-ІІІ ступенів № 8 - позашкільний центр Кіровградської міської ради Кіровоградської області"</t>
  </si>
  <si>
    <t>вул. Бєляєва, 1</t>
  </si>
  <si>
    <t>(0522)56-13-11</t>
  </si>
  <si>
    <t>http://lyceum_school_8.klasna.com</t>
  </si>
  <si>
    <t>Комунальний заклад "Навчально-виховний комплекс "Спеціалізований загальноосвітній навчальний заклад І-ІІІ ступенів № 26 - дошкільний навчальний заклад - дитячий юнацький центр "Зорецвіт" Кіровоградської міської ради Кіровоградської області"</t>
  </si>
  <si>
    <t>25015</t>
  </si>
  <si>
    <t>Студентський бульвар, 21</t>
  </si>
  <si>
    <t>(0522)22-17-94</t>
  </si>
  <si>
    <t>http://nvk26.klasna.com</t>
  </si>
  <si>
    <t>Комунальний заклад "Педагогічний ліцей Кіровоградської міської ради Кіровоградської області"</t>
  </si>
  <si>
    <t>(0522)22-58-43</t>
  </si>
  <si>
    <t>http://www2.kspu.kr.ua/litcey/</t>
  </si>
  <si>
    <t>Комунальний заклад «Навчально-виховне об'єднання «Спеціалізований загальноосвітній заклад І ступеня «Гармонія» - Гімназія імені Тараса Шевченка - центр позашкільного виховання «Контакт» Кіровоградської міської ради Кіровоградської області»</t>
  </si>
  <si>
    <t>вул. В.Чорновола, 15</t>
  </si>
  <si>
    <t>(0522)24-45-90</t>
  </si>
  <si>
    <t>http://gimnaziya_im_shevchenka.klasna.com</t>
  </si>
  <si>
    <t>22217869</t>
  </si>
  <si>
    <t>Навчально-виховний комплекс "Кіровоградський колегіум-спеціалізований загальноосвітній навчальний заклад І-ІІІ ступенів-дошкільний навчальний заклад-центр естетичного виховання" Кіровоградської міської ради Кіровоградської області</t>
  </si>
  <si>
    <t>вул. Арсенія Тарковського, 25</t>
  </si>
  <si>
    <t>(0522)24-98-25</t>
  </si>
  <si>
    <t>http://www.collegium.kr.ua</t>
  </si>
  <si>
    <t>Приватне навчально-виховне об’єднання «Дошкільний навчальний заклад - спеціалізована школа І-ІІ ступенів - ліцей «Школа Ор-Авнер»</t>
  </si>
  <si>
    <t>вул. Беляєва, 72</t>
  </si>
  <si>
    <t>(0522)27-90-42</t>
  </si>
  <si>
    <t>Спеціалізована загальноосвітня школа І-ІІІ ступенів № 14 Кіровоградської міської ради Кіровоградської області</t>
  </si>
  <si>
    <t>вул. Вокзальна, 19</t>
  </si>
  <si>
    <t>(0522)34-59-76</t>
  </si>
  <si>
    <t>http://school14-krd.klasna.com</t>
  </si>
  <si>
    <t>Спеціальна загальноосвітня школа № 2 Кіровоградської міської ради Кіровоградської області</t>
  </si>
  <si>
    <t>25026</t>
  </si>
  <si>
    <t>вул. Колгоспна, 73</t>
  </si>
  <si>
    <t>(0522)34-99-01</t>
  </si>
  <si>
    <t>Кропивницька гімназія № 9 Кіровоградської міської ради Кіровоградської області</t>
  </si>
  <si>
    <t>3510136300</t>
  </si>
  <si>
    <t>Кропивницький, Кіровський район</t>
  </si>
  <si>
    <t>вул. Академіка Корольова, 27/21</t>
  </si>
  <si>
    <t>(0522)56-32-75</t>
  </si>
  <si>
    <t>http://gymnasium9.pp.ua</t>
  </si>
  <si>
    <t>Загальноосвітня школа І-ІІІ ступенів № 29 Кіровоградської міської ради Кіроворградської області</t>
  </si>
  <si>
    <t>вул. Василя Нікітіна, 27А</t>
  </si>
  <si>
    <t>(0522)34-08-42</t>
  </si>
  <si>
    <t>http://school29.klasna.com</t>
  </si>
  <si>
    <t>Кіровоградська гімназія нових технологій навчання Кіровоградської міської ради Кіровоградської області</t>
  </si>
  <si>
    <t>(0522)56-57-95</t>
  </si>
  <si>
    <t>http://gntn.kr.ua</t>
  </si>
  <si>
    <t>Комунальний заклад "Загальноосвітня школа І-ІІІ ступенів № 3 Кіровоградської міської ради Кіровоградської області імені Олени Журливої"</t>
  </si>
  <si>
    <t>вул. Авіаційна, 64</t>
  </si>
  <si>
    <t>(0522)34-53-24</t>
  </si>
  <si>
    <t>http://kirovogradschool3.klasna.com</t>
  </si>
  <si>
    <t>Комунальний заклад „Навчально-виховне об’єднання „Багатопрофільний ліцей - фізико-математична школа - загальноосвітня школа І-ІІІ ступенів № 18 – центр дитячої та юнацької творчості „Надія” Кіровоградської міської ради Кіровоградської області”</t>
  </si>
  <si>
    <t>вул. Юрія Коваленка, 9А</t>
  </si>
  <si>
    <t>(0522)55-72-40</t>
  </si>
  <si>
    <t>http://18.kr.ua</t>
  </si>
  <si>
    <t>Комунальний заклад "Навчально-виховне об’єднання № 35 "Загальноосвітня школа І-ІІІ ступенів, позашкільний центр Кіровоградської міської ради Кіровоградської області"</t>
  </si>
  <si>
    <t>вул. Космонавта Попова, 28/20</t>
  </si>
  <si>
    <t>(0522)55-83-69</t>
  </si>
  <si>
    <t>http://school35kir.klasna.com</t>
  </si>
  <si>
    <t>Комунальний заклад "Навчально-виховне об'єднання № 32 "Спеціалізована загальноосвітня школа І-ІІІ ступенів, позашкільний центр "Школа мистецтв" Кіровоградської міської ради Кіровоградської області"</t>
  </si>
  <si>
    <t>(0522)33-01-33</t>
  </si>
  <si>
    <t>http://sh32.klasna.com/uk/site/index.html</t>
  </si>
  <si>
    <t>24149698</t>
  </si>
  <si>
    <t>Комунальний заклад "Навчально-виховне об'єднання ліцей-школа-дощкільний навчальний заклад "Вікторія-П" Кіровоградської міської ради Кіровоградської області"</t>
  </si>
  <si>
    <t>просп. Правди, 20</t>
  </si>
  <si>
    <t>(0522)56-32-68</t>
  </si>
  <si>
    <t>http://viktoria-p.klasna.com</t>
  </si>
  <si>
    <t>23227835</t>
  </si>
  <si>
    <t>Комунальний заклад «Навчально - виховне об'єднання «Школа козацько - лицарського виховання І-ІІ ступенів № 21- суспільно-гуманітарний ліцей - дошкільний навчальний заклад Кіровоградської міської ради Кіровоградської області»»</t>
  </si>
  <si>
    <t>вул. Берегова, 1</t>
  </si>
  <si>
    <t>(0522)56-90-11</t>
  </si>
  <si>
    <t>http://nvo21.klasna.com</t>
  </si>
  <si>
    <t>Комунальний заклад «Навчально-виховне об’єднання «Загальноосвітній навчальний заклад І-ІІІ ступенів № 20 – дитячий юнацький центр «Сузір’я» Кіровоградської міської ради Кіровоградської області»</t>
  </si>
  <si>
    <t>25002</t>
  </si>
  <si>
    <t>просп. Перемоги, 16</t>
  </si>
  <si>
    <t>(0522)24-85-52</t>
  </si>
  <si>
    <t>http://20school.org.ua/</t>
  </si>
  <si>
    <t>Комунальний заклад «Навчально-виховне об'єднання «Загальноосвітня школа І-ІІІ ступенів № 17 - центр естетичного виховання "Калинка" Кіровоградської міської ради Кіровоградської області</t>
  </si>
  <si>
    <t>вул. Комарова, 54</t>
  </si>
  <si>
    <t>(0522)33-64-42</t>
  </si>
  <si>
    <t>http://school17.kr.ua</t>
  </si>
  <si>
    <t>30285684</t>
  </si>
  <si>
    <t>Комунальний заклад «Навчально-виховне об'єднання № 15 «Загальноосвітня школа І-ІІІ ступенів, дошкільний навчальний заклад комбінованого типу, дитячий юнацький центр «Явір» Кіровоградської міської ради Кіровоградської області»</t>
  </si>
  <si>
    <t>25020</t>
  </si>
  <si>
    <t>вул. Казанська, 13</t>
  </si>
  <si>
    <t>(0522)37-49-84</t>
  </si>
  <si>
    <t>http://nvo-znz-15.klasna.com</t>
  </si>
  <si>
    <t>Вечірня загальноосвітня школа № 38 Кіровоградської міської ради Кіровоградської області</t>
  </si>
  <si>
    <t>25000</t>
  </si>
  <si>
    <t>3510136600</t>
  </si>
  <si>
    <t>Кропивницький, Ленінський район</t>
  </si>
  <si>
    <t>вул. Яновського, 50</t>
  </si>
  <si>
    <t>(0522)24-43-92</t>
  </si>
  <si>
    <t>Загальнооосвітня школа І-ІІІ ступенів № 30 Кіровоградської міської ради Кіровоградської області</t>
  </si>
  <si>
    <t>вул. Вознесенська, 97</t>
  </si>
  <si>
    <t>(0522)22-08-17</t>
  </si>
  <si>
    <t>http://kirschool30.kirovedu.com</t>
  </si>
  <si>
    <t>Загальноосвітня школа І-ІІІ ступенів № 2 Кіровоградської міської ради Кіровоградської області</t>
  </si>
  <si>
    <t>25011</t>
  </si>
  <si>
    <t>вул. Новгородська, 41</t>
  </si>
  <si>
    <t>(0522)24-02-60</t>
  </si>
  <si>
    <t>http://krschool2.klasna.com</t>
  </si>
  <si>
    <t>Загальноосвітня школа І-ІІІ ступенів № 22 Кіровоградської міської ради Кіровоградської області</t>
  </si>
  <si>
    <t>25019</t>
  </si>
  <si>
    <t>вул. 6-а лінія, 30</t>
  </si>
  <si>
    <t>(0522)27-45-30</t>
  </si>
  <si>
    <t>http://my-school.kr.ua</t>
  </si>
  <si>
    <t>Кіровоградський обласний навчально-виховний комплекс (гімназія-інтернат - школа мистецтв)</t>
  </si>
  <si>
    <t>вул. Дворцова, 7</t>
  </si>
  <si>
    <t>(0522)22-17-52</t>
  </si>
  <si>
    <t>13763076</t>
  </si>
  <si>
    <t>Комунальний заклад "Навчально-виховне об'єднання "Загальноосвітній навчальний заклад І-ІІІ ступенів № 1 - дитячий юнацький центр "Перлинка"Кіровоградської міської ради Кіровоградської області"</t>
  </si>
  <si>
    <t>вул. Таврійська, 29/32</t>
  </si>
  <si>
    <t>(0522)32-25-31</t>
  </si>
  <si>
    <t>http://shcool1.klasna.com/uk/site/index.html</t>
  </si>
  <si>
    <t>Комунальний заклад "Навчально-виховне об'єднання "Загальноосвітня школа І-ІІІ ступенів № 24 - центр дитячої та юнацької творчості "Оберіг" Кіровоградської міської ради Кіровоградської області"</t>
  </si>
  <si>
    <t>вул. Тараса Карпи, 85</t>
  </si>
  <si>
    <t>(0522)22-56-10</t>
  </si>
  <si>
    <t>http://nvo_school24.klasna.com</t>
  </si>
  <si>
    <t>Комунальний заклад "Навчально-виховне об'єднання № 33 "Загальноосвітня школа І-ІІІ ступенів, дошкільний навчальний заклад Кіровоградської міської ради Кіровоградської області"</t>
  </si>
  <si>
    <t>вул. Микитенка, 35/21</t>
  </si>
  <si>
    <t>(0522)22-46-93</t>
  </si>
  <si>
    <t>http://www.33school.ua</t>
  </si>
  <si>
    <t>Комунальний заклад "Навчально-виховне об'єднання № 6 "Спеціалізована загальноосвітня школа І-ІІІ ступенів, центр естетичного виховання "Натхнення" Кіровоградської міської ради Кіровоградської області"</t>
  </si>
  <si>
    <t>вул. Велика Перспективна, 39/63</t>
  </si>
  <si>
    <t>(0522)24-09-74</t>
  </si>
  <si>
    <t>http://www.school6kr.org.ua</t>
  </si>
  <si>
    <t>Комунальний заклад "Навчально-виховне об'єднання № 3 "Спеціальна загальноосвітня школа І-ІІІ ступенів - дитячий садок" Кіровоградської міської ради Кіровоградської області"</t>
  </si>
  <si>
    <t>вул. Куропятникова, 19</t>
  </si>
  <si>
    <t>(0522)33-93-27</t>
  </si>
  <si>
    <t>http://specialschool3.edukit.kr.ua/</t>
  </si>
  <si>
    <t>Комунальний заклад "Навчально-виховне об'єднання Загальноосвітній навчальний заклад І-ІІІ ступенів № 16 - дитячий юнацький центр "Лідер" Кіровоградської міської ради Кіровоградської області</t>
  </si>
  <si>
    <t>пров. Фортечний, 7</t>
  </si>
  <si>
    <t>(0522)33-15-20</t>
  </si>
  <si>
    <t>http://kirovogradschool16.klasna.com/</t>
  </si>
  <si>
    <t>Комунальний заклад "Навчально-виховний комплекс загальноосвітня школа І-ІІ ступенів № 34 - економіко-правовий ліцей "Сучасник" - дитячо-юнацький центр" Кіровоградської міської ради Кіровоградської області</t>
  </si>
  <si>
    <t>Студентський бульвар, 11А</t>
  </si>
  <si>
    <t>(0522)22-77-13</t>
  </si>
  <si>
    <t>http://nvk34kg.klasna.com</t>
  </si>
  <si>
    <t>Загальноосвітня школа І ступеня № 37 Кіровоградської міської ради Кіровоградської області</t>
  </si>
  <si>
    <t>3510166900</t>
  </si>
  <si>
    <t>вул. Металургів, 22А</t>
  </si>
  <si>
    <t>(0522)30-23-13</t>
  </si>
  <si>
    <t>http://kirovograd-school37.klasna.com</t>
  </si>
  <si>
    <t>Загальноосвітній навчальний заклад І - ІІ ступенів № 8 Олександрійської міської ради Кіровоградської області</t>
  </si>
  <si>
    <t>28001</t>
  </si>
  <si>
    <t>3510300000</t>
  </si>
  <si>
    <t>Олександрія</t>
  </si>
  <si>
    <t>вул. Культурна, 86</t>
  </si>
  <si>
    <t>(05235)77721</t>
  </si>
  <si>
    <t>http://aleksandria_school8.klasna.com</t>
  </si>
  <si>
    <t>24145743</t>
  </si>
  <si>
    <t>Загальноосвітній навчальний заклад І - ІІІ ступенів № 10</t>
  </si>
  <si>
    <t>28006</t>
  </si>
  <si>
    <t>вул. Звєрєва, 13</t>
  </si>
  <si>
    <t>(05235)69383</t>
  </si>
  <si>
    <t>24145766</t>
  </si>
  <si>
    <t>Загальноосвітній навчальний заклад І-ІІ ступенів № 7 Олександрійської міської ради Кіровоградської області</t>
  </si>
  <si>
    <t>вул. Трудових Резервів, 4</t>
  </si>
  <si>
    <t>(068)9101456</t>
  </si>
  <si>
    <t>24145737</t>
  </si>
  <si>
    <t>Загальноосвітній навчальний заклад І-ІІІ ступенів № 15 Олександрійської міської ради Кіровоградської області</t>
  </si>
  <si>
    <t>28000</t>
  </si>
  <si>
    <t>вул. Ярмаркова (Семашка), 63А</t>
  </si>
  <si>
    <t>(05235)73840</t>
  </si>
  <si>
    <t>http://oleksandria-znz15.edukit.kr.ua</t>
  </si>
  <si>
    <t>24145815</t>
  </si>
  <si>
    <t>Загальноосвітній навчальний заклад І-ІІІ ступенів № 6 Олександрійської міської ради</t>
  </si>
  <si>
    <t>вул. Знам'янська, 1</t>
  </si>
  <si>
    <t>(05235)4-08-96</t>
  </si>
  <si>
    <t>24145720</t>
  </si>
  <si>
    <t>загальноосвітній навчальний заклад І-Ш ступенів № 2 імені М.Горького Олександрійської міської ради Кіровоградської області</t>
  </si>
  <si>
    <t>вул. Святомиколаївська, 1</t>
  </si>
  <si>
    <t>(05235)7-17-10</t>
  </si>
  <si>
    <t>24145677</t>
  </si>
  <si>
    <t>Навчально - виховний комплекс "Ліцей інформаційних технологій - спеціалізована школа ІІ ступеня" Олександрійської міської ради Кіровоградської області</t>
  </si>
  <si>
    <t>вул. Григорія Усика, 39</t>
  </si>
  <si>
    <t>(05235)76226, (05235)76227</t>
  </si>
  <si>
    <t>http://licey-it.co.ua</t>
  </si>
  <si>
    <t>32637378</t>
  </si>
  <si>
    <t>Навчально-виховний комплекс "Загальноосвітній навчальний заклад I-III ступенів № 19-дошкільний навчальний заклад "Лісова казка" Олександрійськой міськой ради Кіровоградськой області</t>
  </si>
  <si>
    <t>вул. Дiброви, 91</t>
  </si>
  <si>
    <t>(05235)72437</t>
  </si>
  <si>
    <t>24145832</t>
  </si>
  <si>
    <t>Навчально-виховний комплекс "Загальноосвітній навчальний заклад І-ІІІ ступенів № 9 - спеціалізована школа"</t>
  </si>
  <si>
    <t>вул. пр. Соборний, 82</t>
  </si>
  <si>
    <t>(05235)7-38-55</t>
  </si>
  <si>
    <t>http://ouz9.com.ua</t>
  </si>
  <si>
    <t>24145750</t>
  </si>
  <si>
    <t>Навчально-виховний комплекс "Олександрійський колегіум - спеціалізована школа" Олександрійської міської ради.</t>
  </si>
  <si>
    <t>вул. 6-го Грудня, 97</t>
  </si>
  <si>
    <t>(05235)7-70-75</t>
  </si>
  <si>
    <t>http://oleksandria-collegium.kr.sch.in.ua/</t>
  </si>
  <si>
    <t>23230339</t>
  </si>
  <si>
    <t>Новопразька загальноосвітня школа І-ІІ ступенів</t>
  </si>
  <si>
    <t>28042</t>
  </si>
  <si>
    <t>вул. Садова, 116</t>
  </si>
  <si>
    <t>0976180820</t>
  </si>
  <si>
    <t>Олександрійська загальноосвітня школа - інтернат І-ІІІ ступенів Кіровоградської обласної ради</t>
  </si>
  <si>
    <t>28023</t>
  </si>
  <si>
    <t>0950708386</t>
  </si>
  <si>
    <t>24146151</t>
  </si>
  <si>
    <t>Олександрійський навчально-виховний комплекс (ЗНЗ І-ІІ ст. № 17-ліцей)</t>
  </si>
  <si>
    <t>просп. пр. Соборний, 130</t>
  </si>
  <si>
    <t>(05235)35485</t>
  </si>
  <si>
    <t>24145826</t>
  </si>
  <si>
    <t>Олександрійський спеціальний загальноосвітній навчальний заклад І-ІІ ступенів № 4 ім.М.Олефіренка</t>
  </si>
  <si>
    <t>вул. І.Чиркіна, 6</t>
  </si>
  <si>
    <t>(05235)74791</t>
  </si>
  <si>
    <t>http://oleksandria-znz4.edukit.kr.ua</t>
  </si>
  <si>
    <t>24145708</t>
  </si>
  <si>
    <t>Навчально-виховне об’єднання “Олександрійська гімназія імені Т.Г.Шевченка - ЗНЗ І-ІІ ступенів - школа мистецтв”</t>
  </si>
  <si>
    <t>вул. Івана Чиркіна, 19</t>
  </si>
  <si>
    <t>7-80-64</t>
  </si>
  <si>
    <t>23695559</t>
  </si>
  <si>
    <t>Навчально-виховний комплекс "Загальноосвітній навчальний заклад І-ІІІ ступенів № 12 - дошкільний навчальний заклад Олександрійської міської ради Кіровоградської області"</t>
  </si>
  <si>
    <t>28040</t>
  </si>
  <si>
    <t>3510345300</t>
  </si>
  <si>
    <t>Олександрійське</t>
  </si>
  <si>
    <t>вул. Дружби, 16</t>
  </si>
  <si>
    <t>24145772</t>
  </si>
  <si>
    <t>Загальноосвітній навчальний заклад І-ІІІ ступенів № 16</t>
  </si>
  <si>
    <t>3510345600</t>
  </si>
  <si>
    <t>Пантаївка</t>
  </si>
  <si>
    <t>30282217</t>
  </si>
  <si>
    <t>Навчально-виховний комплекс " Звенигородський ЗНЗ І-ІІІ ступенів -ДНЗ" Олександрійської міської ради</t>
  </si>
  <si>
    <t>28025</t>
  </si>
  <si>
    <t>3510390401</t>
  </si>
  <si>
    <t>Звенигородка</t>
  </si>
  <si>
    <t>вул. Братів Петриченків, 53</t>
  </si>
  <si>
    <t>(066)8885018</t>
  </si>
  <si>
    <t>23232440</t>
  </si>
  <si>
    <t>Навчально - виховний комплекс "Марто - Іванівський загальноосвітній навчальний заклад - дошкільний навчальний заклад Олександрійськойської міської ради"</t>
  </si>
  <si>
    <t>28024</t>
  </si>
  <si>
    <t>3510390407</t>
  </si>
  <si>
    <t>Марто-Іванівка</t>
  </si>
  <si>
    <t>вул. Конєва, 22</t>
  </si>
  <si>
    <t>0997926833</t>
  </si>
  <si>
    <t>24145849</t>
  </si>
  <si>
    <t>Знам'янська загальноосвітня школа І-ІІІ ступенів № 4 Знам'янської міської ради Кіровоградської області</t>
  </si>
  <si>
    <t>27405</t>
  </si>
  <si>
    <t>3510600000</t>
  </si>
  <si>
    <t>Знам'янка</t>
  </si>
  <si>
    <t>вул. Свободи (Примакова), 2/15</t>
  </si>
  <si>
    <t>(05233)21847</t>
  </si>
  <si>
    <t>Знам'янська загальноосвітня школа І-ІІІ ступенів № 1 ім.Т.Шевченка</t>
  </si>
  <si>
    <t>27403</t>
  </si>
  <si>
    <t>вул. Олени Теліги, 69</t>
  </si>
  <si>
    <t>(05233)21749</t>
  </si>
  <si>
    <t>Знам'янська загальноосвітня школа-інтернат І-ІІІ ступенів Кіровоградської обласної ради</t>
  </si>
  <si>
    <t>27406</t>
  </si>
  <si>
    <t>вул. Фрунзе (В.Голого), 89</t>
  </si>
  <si>
    <t>(05233)32072</t>
  </si>
  <si>
    <t>22215095</t>
  </si>
  <si>
    <t>Навчально-виховний комплекс "Знам'янська загальноосвітня школа І-ІІІ ступенів № 2- ліцей"</t>
  </si>
  <si>
    <t>27400</t>
  </si>
  <si>
    <t>просп. Шкільний, 9</t>
  </si>
  <si>
    <t>(05233)22110</t>
  </si>
  <si>
    <t>НВК "Загальноосвітня школа І-ІІІ ступенів № 3 -гімназія" Знам'янської міської ради</t>
  </si>
  <si>
    <t>вул. Чорновола, 2</t>
  </si>
  <si>
    <t>(05233)31130</t>
  </si>
  <si>
    <t>Знам"янська загальноосвітня школа І-ІІІ ступенів № 7 Знам"янської міської ради Кіровоградської області</t>
  </si>
  <si>
    <t>27410</t>
  </si>
  <si>
    <t>вул. 1 Травня, 9</t>
  </si>
  <si>
    <t>(05233)49-5-14</t>
  </si>
  <si>
    <t>Знам'янська загальноосвітня школа І-ІІІ ступенів № 6 Знам'янської міської ради Кіровоградської області</t>
  </si>
  <si>
    <t>3510645300</t>
  </si>
  <si>
    <t>Знам'янка Друга</t>
  </si>
  <si>
    <t>(05233)49245</t>
  </si>
  <si>
    <t>http://znamianka-school6.edukit.kr.ua/</t>
  </si>
  <si>
    <t>Загальноосвіня вечірня школа ІІ-ІІІ ступенів Світловодської міської ради Кіровоградської області</t>
  </si>
  <si>
    <t>3510900000</t>
  </si>
  <si>
    <t>Світловодськ</t>
  </si>
  <si>
    <t>вул. Героїв України, 55</t>
  </si>
  <si>
    <t>(05236)24759</t>
  </si>
  <si>
    <t>Загальноосвітня школа І-ІІІ ступенів № 10 Світловодської міської ради Кіровоградської області</t>
  </si>
  <si>
    <t>27500</t>
  </si>
  <si>
    <t>(05236)2-26-37, (05236)2-26-19</t>
  </si>
  <si>
    <t>http://sch10.at.ua</t>
  </si>
  <si>
    <t>Навчально-виховний комплекс "Гімназія-загальноосвітня школа І-ІІІ ступенів № 4" Світловодської міської ради Кіровоградської області</t>
  </si>
  <si>
    <t>вул. Героїв України, 56</t>
  </si>
  <si>
    <t>(05236)2-42-06, (05236)2-24-15</t>
  </si>
  <si>
    <t>Світловодська загальноосвітня санаторна школа - інтернат І-ІІ ступенів № 2</t>
  </si>
  <si>
    <t>вул. Богуна, 24</t>
  </si>
  <si>
    <t>(05236)25242, (05236)20930, (05236)25321</t>
  </si>
  <si>
    <t>22219348</t>
  </si>
  <si>
    <t>Світловодська загальноосвітня школа І-ІІІ ступенів № 2 Світловодської міської ради Кіровоградської області</t>
  </si>
  <si>
    <t>27501</t>
  </si>
  <si>
    <t>вул. Героїв України, 36</t>
  </si>
  <si>
    <t>(05236)25311, (05236)25214</t>
  </si>
  <si>
    <t>Світловодська загальноосвітня школа І-ІІІ ступенів № 5 Світловодської міської ради Кіровоградської області</t>
  </si>
  <si>
    <t>27502</t>
  </si>
  <si>
    <t>(0536)2-36-21</t>
  </si>
  <si>
    <t>Світловодська загальноосвітня школа І-ІІІ ступенів № 9 Кіровоградської області</t>
  </si>
  <si>
    <t>27507</t>
  </si>
  <si>
    <t>вул. Робітнича, 2</t>
  </si>
  <si>
    <t>(05236)71695, (05236)71696</t>
  </si>
  <si>
    <t>http://svitlovodsk-school9.edukit.kr.ua</t>
  </si>
  <si>
    <t>Світловодська спеціальна загальноосвітня школа-інтернат І-ІІІ ступенів № 1</t>
  </si>
  <si>
    <t>(05236)24215</t>
  </si>
  <si>
    <t>22219354</t>
  </si>
  <si>
    <t>Спеціалізована загальноосвітня школа І - ІІІ ступенів № 3 Світловодської міської ради Кіровоградської області</t>
  </si>
  <si>
    <t>вул. Героїв України, 33</t>
  </si>
  <si>
    <t>(05236)2-42-51</t>
  </si>
  <si>
    <t>Спеціалізована загальносвітня школа І - ІІІ ступенів № 7 Світловодської міської ради Кіровоградської області</t>
  </si>
  <si>
    <t>вул. Приморська, 70 а</t>
  </si>
  <si>
    <t>(05236)26449, (05236)23682</t>
  </si>
  <si>
    <t>Управління освіти виконавчого комітету Світловодської міської ради загальноосвітня школа І-ІІІ ступенів № 1 ім. Героя Радянського Союзу І.К.Конька</t>
  </si>
  <si>
    <t>вул. В.Бойка, 8</t>
  </si>
  <si>
    <t>(05236)72723, (05236)72823</t>
  </si>
  <si>
    <t>Загальноосвітня школа І-ІІІ ступенів № 8 Світловодської міської ради Кіровоградської області</t>
  </si>
  <si>
    <t>3510945300</t>
  </si>
  <si>
    <t>Власівка</t>
  </si>
  <si>
    <t>вул. Труда, 86</t>
  </si>
  <si>
    <t>(05236)52500, (05236)53160</t>
  </si>
  <si>
    <t>Новопразьке навчально-виховне об'єднання "Загальноосвітня школа І-ІІІ ступенів - дошкільний навчальний заклад - позашкільний центр" Олександрійської районної ради Кіровоградської області</t>
  </si>
  <si>
    <t>3520355400</t>
  </si>
  <si>
    <t>Нова Прага</t>
  </si>
  <si>
    <t>вул. Миру, 101</t>
  </si>
  <si>
    <t>0523561830</t>
  </si>
  <si>
    <t>НОВОПРАЗЬКА СПЕЦІАЛЬНА ЗАГАЛЬНООСВІТНЯ ШКОЛА-ІНТЕРНТ І-ІІ СТУПЕНІВ</t>
  </si>
  <si>
    <t>вул. ТІТАРЕНКА, 24</t>
  </si>
  <si>
    <t>(235)6-120-6</t>
  </si>
  <si>
    <t>22215959</t>
  </si>
  <si>
    <t>Новопразький навчально-виховний комплекс</t>
  </si>
  <si>
    <t>0523561291</t>
  </si>
  <si>
    <t>Користівська загальноосвітня школа І-ІІІ ступенів Олександрійської районної ради Кіровоградської області</t>
  </si>
  <si>
    <t>28034</t>
  </si>
  <si>
    <t>3520355800</t>
  </si>
  <si>
    <t>Приютівка</t>
  </si>
  <si>
    <t>0523564424</t>
  </si>
  <si>
    <t>Цукрозаводський навчально-виховний комплекс "загальноосвітня школа І-ІІІ ступенів - центр художньо-естетичної творчості учнівської молоді" Олександрійської районної ради Кіровоградської області</t>
  </si>
  <si>
    <t>28030</t>
  </si>
  <si>
    <t>0523567317</t>
  </si>
  <si>
    <t>http://pryiutivka-cznvk.edukit.kr.ua/</t>
  </si>
  <si>
    <t>Олександрівська загальноосвітня школа І-ІІІ ступенів Олександрійської районної державної адміністрації Кіровоградської області</t>
  </si>
  <si>
    <t>28051</t>
  </si>
  <si>
    <t>3520380401</t>
  </si>
  <si>
    <t>вул. Зелена, 21/а</t>
  </si>
  <si>
    <t>(05235)65446</t>
  </si>
  <si>
    <t>Андріївська ЗОШ І-ІІ ступенів</t>
  </si>
  <si>
    <t>28053</t>
  </si>
  <si>
    <t>3520380801</t>
  </si>
  <si>
    <t>наб. Набережна, 2А</t>
  </si>
  <si>
    <t>66-7-30</t>
  </si>
  <si>
    <t>Ясинуватська загальноосвітня школа І-ІІ ступенів</t>
  </si>
  <si>
    <t>28037</t>
  </si>
  <si>
    <t>3520381304</t>
  </si>
  <si>
    <t>Ясинуватка</t>
  </si>
  <si>
    <t>вул. Леніна, 59</t>
  </si>
  <si>
    <t>6-53-29</t>
  </si>
  <si>
    <t>Войнівська загальноосвітня школа І - ІІІ ступенів</t>
  </si>
  <si>
    <t>28021</t>
  </si>
  <si>
    <t>3520381801</t>
  </si>
  <si>
    <t>Войнівка</t>
  </si>
  <si>
    <t>вул. Центральна, 117 а</t>
  </si>
  <si>
    <t>0523566625</t>
  </si>
  <si>
    <t>Головківський навчально-виховний комплекс "Загальноосвітня школа І-ІІІ ступенів - дошкільний навчальний заклад"</t>
  </si>
  <si>
    <t>28043</t>
  </si>
  <si>
    <t>3520382101</t>
  </si>
  <si>
    <t>Головківка</t>
  </si>
  <si>
    <t>вул. Жовтнева, 40</t>
  </si>
  <si>
    <t>0523562743</t>
  </si>
  <si>
    <t>Добронадіївська загальноосвітня школа І-ІІІ ступенів Олександрійської районної ради Кіровоградської області</t>
  </si>
  <si>
    <t>28054</t>
  </si>
  <si>
    <t>3520382601</t>
  </si>
  <si>
    <t>Добронадіївка</t>
  </si>
  <si>
    <t>0523566142</t>
  </si>
  <si>
    <t>Ізмайлівська загальноосвітня школа І - ІІІ ступенів</t>
  </si>
  <si>
    <t>28056</t>
  </si>
  <si>
    <t>3520383501</t>
  </si>
  <si>
    <t>Ізмайлівка</t>
  </si>
  <si>
    <t>(05235)6-51-18</t>
  </si>
  <si>
    <t>http://izmailivka.edukit.kr.ua/</t>
  </si>
  <si>
    <t>Новоселівський навчально-виховний комплекс "загальноосвітня школа І-ІІІ ступенів -дошкільний навчальний заклад</t>
  </si>
  <si>
    <t>28022</t>
  </si>
  <si>
    <t>3520383701</t>
  </si>
  <si>
    <t>вул. Шкільна, 3/а</t>
  </si>
  <si>
    <t>0523565219</t>
  </si>
  <si>
    <t>"Бутівський навчально-виховний комплекс "загальноосвітня школа І-ІІ ступенів - дошкільний навчальний заклад"</t>
  </si>
  <si>
    <t>28031</t>
  </si>
  <si>
    <t>3520383802</t>
  </si>
  <si>
    <t>Бутівське</t>
  </si>
  <si>
    <t>0523568172</t>
  </si>
  <si>
    <t>Косівське навчально-виховне об'єднання "загальноосвітня школа І-ІІІ ступенів - позашкільний центр"</t>
  </si>
  <si>
    <t>3520384101</t>
  </si>
  <si>
    <t>вул. Культури, 31</t>
  </si>
  <si>
    <t>(05235)66342</t>
  </si>
  <si>
    <t>http://kosovkaschool.at.ua</t>
  </si>
  <si>
    <t>Куколівський навчольно-виховний комплекс "загальноосвітня школа І-ІІІ ступенів" - дошкільний навчальний заклад Олександрійської районної ради Кіровоградської області</t>
  </si>
  <si>
    <t>28052</t>
  </si>
  <si>
    <t>3520384401</t>
  </si>
  <si>
    <t>Куколівка</t>
  </si>
  <si>
    <t>вул. Червоноармійська, 4</t>
  </si>
  <si>
    <t>http://kukolivkaschool.ucoz.com</t>
  </si>
  <si>
    <t>Лікарівський навчально-виховний комплекс "загальноосвітня школа І-ІІІ ступенів - дошкільний навчальний заклад"</t>
  </si>
  <si>
    <t>28032</t>
  </si>
  <si>
    <t>3520384601</t>
  </si>
  <si>
    <t>Лікарівка</t>
  </si>
  <si>
    <t>вул. Кооперативна, 5</t>
  </si>
  <si>
    <t>0523566255</t>
  </si>
  <si>
    <t>Недогарський навчально-виховний комплекс "загальноосвітня школа І-ІІІ ступенів - дошкільний заклад"</t>
  </si>
  <si>
    <t>28033</t>
  </si>
  <si>
    <t>3520385201</t>
  </si>
  <si>
    <t>Недогарки</t>
  </si>
  <si>
    <t>0523565738</t>
  </si>
  <si>
    <t>http://www.nedogarky-school.edukit.kr.ua/</t>
  </si>
  <si>
    <t>Попельнастівська загальноосвітня школа І-ІІІ ступенів Олексанрійської районної ради Кіровоградської області</t>
  </si>
  <si>
    <t>28062</t>
  </si>
  <si>
    <t>3520385501</t>
  </si>
  <si>
    <t>Попельнасте</t>
  </si>
  <si>
    <t>0523567675</t>
  </si>
  <si>
    <t>Протопопівська загальноосвітня школа І-ІІІ ступенів</t>
  </si>
  <si>
    <t>3520386201</t>
  </si>
  <si>
    <t>Протопопівка</t>
  </si>
  <si>
    <t>вул. Кононова, 18</t>
  </si>
  <si>
    <t>0523562132</t>
  </si>
  <si>
    <t>Щасливська загальноосвітня школа I-II ступенів</t>
  </si>
  <si>
    <t>28055</t>
  </si>
  <si>
    <t>3520386701</t>
  </si>
  <si>
    <t>(26505231)05235-6-41-42</t>
  </si>
  <si>
    <t>Улянівська загальноосвітня школа І-ІІІ ступенів</t>
  </si>
  <si>
    <t>28065</t>
  </si>
  <si>
    <t>3520386801</t>
  </si>
  <si>
    <t>вул. Жовтнева, 5А</t>
  </si>
  <si>
    <t>0523562322</t>
  </si>
  <si>
    <t>Червонокам"янське навчально-виховне обєднання "загальноосвітня школа І-ІІІ ступенів - дошкільний навчальний заклад - позашкільний центр" Олександрійської районної ради Кіровоградської області</t>
  </si>
  <si>
    <t>3520386901</t>
  </si>
  <si>
    <t>Червона Кам'янка</t>
  </si>
  <si>
    <t>вул. Гаценка, 2</t>
  </si>
  <si>
    <t>63-4-86, 63-4-74</t>
  </si>
  <si>
    <t>Шарівський навчально-виховний комплекс "загальноосвітня школа І-ІІІ ступенів - дошкільний навчальний заклад"</t>
  </si>
  <si>
    <t>28044</t>
  </si>
  <si>
    <t>3520387301</t>
  </si>
  <si>
    <t>Шарівка</t>
  </si>
  <si>
    <t>0523562673</t>
  </si>
  <si>
    <t>http://sharivskasama.klasna.com</t>
  </si>
  <si>
    <t>Комунальний заклад "Олександрівське навчально-виховне об'єднання № 1" Олександрівської районної ради Кіровоградської області</t>
  </si>
  <si>
    <t>27300</t>
  </si>
  <si>
    <t>3520555100</t>
  </si>
  <si>
    <t>вул. Вишнева, 18</t>
  </si>
  <si>
    <t>(05242)32162</t>
  </si>
  <si>
    <t>http://school1.olexandrivka.info</t>
  </si>
  <si>
    <t>Олександрівська філія КЗ "Олександрівське НВО № 1" Олександрівської районної державної адміністрації Кіровоградської області</t>
  </si>
  <si>
    <t>(242)32784</t>
  </si>
  <si>
    <t>http://school3.net</t>
  </si>
  <si>
    <t>Олександрівський навчально-виховний комплекс № 2 "Олександрівське навчально-виховне обєднання № 2" Олександрівської районної ради Кіровоградської одласті</t>
  </si>
  <si>
    <t>вул. Незалежності України, 89</t>
  </si>
  <si>
    <t>(05242)32621</t>
  </si>
  <si>
    <t>http://alexschooln2.ukoz.ua</t>
  </si>
  <si>
    <t>Єлизаветградківська загальноосвітня школа І-ІІІ ступенів Олександрівської районної державної адміністрації Кіровоградської області</t>
  </si>
  <si>
    <t>27341</t>
  </si>
  <si>
    <t>3520555400</t>
  </si>
  <si>
    <t>Єлизаветградка</t>
  </si>
  <si>
    <t>(05242)90340</t>
  </si>
  <si>
    <t>http://yelyzavetgradka-school.edukit.kr.ua</t>
  </si>
  <si>
    <t>Лісівська філія комунального закладу "Михайлівське навчально-виховне об'єднання" Олександрівської районної ради Кіровоградської області</t>
  </si>
  <si>
    <t>27346</t>
  </si>
  <si>
    <t>3520555500</t>
  </si>
  <si>
    <t>вул. Тітова, 215</t>
  </si>
  <si>
    <t>Бірківська філія КЗ "Олександрівське навчально-виховне об'єднання № 2" Олександрівської районної ради Кіровоградської області</t>
  </si>
  <si>
    <t>27321</t>
  </si>
  <si>
    <t>3520580301</t>
  </si>
  <si>
    <t>(05242)63503</t>
  </si>
  <si>
    <t>http://birkynvk.ucoz.ua</t>
  </si>
  <si>
    <t>Бовтиська філія комунального закладу "Олександрівське навчально-виховне об'єднання № 2" Олександрівської районної ради Кіровоградської області</t>
  </si>
  <si>
    <t>27335</t>
  </si>
  <si>
    <t>3520580501</t>
  </si>
  <si>
    <t>Бовтишка</t>
  </si>
  <si>
    <t>вул. Раєвського, 10</t>
  </si>
  <si>
    <t>(05242)61340</t>
  </si>
  <si>
    <t>Вищеверещаківська філія комунального закладу "Красносільське навчально-виховне об'єднання" Олександрівської районної ради Кіровоградської області</t>
  </si>
  <si>
    <t>27315</t>
  </si>
  <si>
    <t>3520582001</t>
  </si>
  <si>
    <t>Вищі Верещаки</t>
  </si>
  <si>
    <t>(05242)72340</t>
  </si>
  <si>
    <t>http://schuleww.ucoz.ua</t>
  </si>
  <si>
    <t>Голиківський навчально виховний комплекс "загальноосвітня школа I-III ступенів - дошкільний навчальний заклад" Олександрівської районної державної адміністрації Кіровоградської області</t>
  </si>
  <si>
    <t>27333</t>
  </si>
  <si>
    <t>3520582501</t>
  </si>
  <si>
    <t>Голикове</t>
  </si>
  <si>
    <t>Леніна</t>
  </si>
  <si>
    <t>(05242)93340</t>
  </si>
  <si>
    <t>Кримківський навчально-виховний комплекс " Загальноосвітній навчальний заклад І-ІІ ступенів - дошкільний навчальний заклад" Олександрівської районної державної адміністрації Кіровоградської області</t>
  </si>
  <si>
    <t>27334</t>
  </si>
  <si>
    <t>3520582502</t>
  </si>
  <si>
    <t>Кримки</t>
  </si>
  <si>
    <t>Івангородська філія КЗ "Олександрівське НВО № 2" Олександрівської районної ради Кіровоградської області</t>
  </si>
  <si>
    <t>27324</t>
  </si>
  <si>
    <t>3520583001</t>
  </si>
  <si>
    <t>Івангород</t>
  </si>
  <si>
    <t>(05242)94340</t>
  </si>
  <si>
    <t>http://ivangorod-zosh.kr.sch.in.ua/</t>
  </si>
  <si>
    <t>Красносілківська загальноосвітня школа І-ІІІ ступенів комунального закладу "Красносілківське навчально-виховне об'єднання" Олександрівської районної ради Кіровоградської області Олександрівська районна державна адміністрація Кіровоградської області</t>
  </si>
  <si>
    <t>27330</t>
  </si>
  <si>
    <t>3520583501</t>
  </si>
  <si>
    <t>вул. А.Дейнека, 15</t>
  </si>
  <si>
    <t>(05242)97340</t>
  </si>
  <si>
    <t>http://krasnosilka-school.educit.kr.ua</t>
  </si>
  <si>
    <t>Комунальний заклад "Красносільське навчально-виховне об'єднання"Олександрывської районної ради Кіровоградської області</t>
  </si>
  <si>
    <t>27326</t>
  </si>
  <si>
    <t>3520584001</t>
  </si>
  <si>
    <t>Красносілля</t>
  </si>
  <si>
    <t>(05242)74340</t>
  </si>
  <si>
    <t>http://krasnosillya-nvo.e-schools.info</t>
  </si>
  <si>
    <t>Михайлівська загальноосвітня школа І-ІІІ ступенів комунального закладу "Михайлівське навчально-виховне об'єднання" Олександрівської районної ради Кіровоградської області</t>
  </si>
  <si>
    <t>27340</t>
  </si>
  <si>
    <t>3520584501</t>
  </si>
  <si>
    <t>(05242)95340</t>
  </si>
  <si>
    <t>Несватківська філія комунального закладу "Олександрівське навчально-виховне об'єднання № 2" Олександрівської районної ради Кіровоградської області</t>
  </si>
  <si>
    <t>27308</t>
  </si>
  <si>
    <t>3520584701</t>
  </si>
  <si>
    <t>Несваткове</t>
  </si>
  <si>
    <t>вул. Третя, 1</t>
  </si>
  <si>
    <t>(05242)64-3-40</t>
  </si>
  <si>
    <t>Підлісненська філія комунального закладу "Олександрівське навчально-виховне об'єднання № 2" Олександрівської районної ради Кіровоградської області</t>
  </si>
  <si>
    <t>27342</t>
  </si>
  <si>
    <t>3520585001</t>
  </si>
  <si>
    <t>вул. Авдієвського, 1</t>
  </si>
  <si>
    <t>(05242)96340</t>
  </si>
  <si>
    <t>Розумівська філія КЗ "Олександрівське НВО № 2" Олександрівської районної державної адміністрації Кіровоградської області</t>
  </si>
  <si>
    <t>27336</t>
  </si>
  <si>
    <t>3520585501</t>
  </si>
  <si>
    <t>(05242)71340</t>
  </si>
  <si>
    <t>Родниківська загальноосвітня школа І - ІІІ ступенів Олександрівської районної державної адміністрації Кіровоградської області</t>
  </si>
  <si>
    <t>27343</t>
  </si>
  <si>
    <t>3520586001</t>
  </si>
  <si>
    <t>вул. Молодіжна, 15</t>
  </si>
  <si>
    <t>(05242)76354</t>
  </si>
  <si>
    <t>Соснівська філія КЗ "Красносільське навчально-виховне об'єднання"</t>
  </si>
  <si>
    <t>27322</t>
  </si>
  <si>
    <t>3520586501</t>
  </si>
  <si>
    <t>70352</t>
  </si>
  <si>
    <t>Ставидлянська філія КЗ "Красносілківське НВО"</t>
  </si>
  <si>
    <t>27332</t>
  </si>
  <si>
    <t>3520587001</t>
  </si>
  <si>
    <t>Ставидла</t>
  </si>
  <si>
    <t>(98)340</t>
  </si>
  <si>
    <t>Староосотська загальноосвітня школа І-ІІІ ступенів Олександрівської районної державної адміністрації Кіровоградської області</t>
  </si>
  <si>
    <t>27311</t>
  </si>
  <si>
    <t>3520587501</t>
  </si>
  <si>
    <t>Стара Осота</t>
  </si>
  <si>
    <t>вул. Лісняка, 30</t>
  </si>
  <si>
    <t>(05242)91340</t>
  </si>
  <si>
    <t>Новоосотська філія комунального закладу "Олександрівське навчально-виховне об'єднання № 1" Олександрівської районної ради Кіровоградської області</t>
  </si>
  <si>
    <t>27314</t>
  </si>
  <si>
    <t>3520587503</t>
  </si>
  <si>
    <t>Нова Осота</t>
  </si>
  <si>
    <t>(05242)31723</t>
  </si>
  <si>
    <t>Триліський навчально -виховний комплекс "загальноосвітній навчальний заклад І-ІІ ступенів - дошкільний навчальний заклад" Олександрівської районної державної адміністрації Кіровоградської області</t>
  </si>
  <si>
    <t>27310</t>
  </si>
  <si>
    <t>3520588001</t>
  </si>
  <si>
    <t>(05242)78340</t>
  </si>
  <si>
    <t>http://trilisi.klasna.com</t>
  </si>
  <si>
    <t>Цвітненська філія комунальний заклад"Красносільське навчально-виховне обєднання"</t>
  </si>
  <si>
    <t>27320</t>
  </si>
  <si>
    <t>3520588501</t>
  </si>
  <si>
    <t>Цвітне</t>
  </si>
  <si>
    <t>(052)73340</t>
  </si>
  <si>
    <t>http://tsvitna.ucoz.com</t>
  </si>
  <si>
    <t>Бобринецька спеціальна загальноосвітня школа-інтернат І-ІІ ступенів Кіровоградської обласної ради</t>
  </si>
  <si>
    <t>27200</t>
  </si>
  <si>
    <t>3520810100</t>
  </si>
  <si>
    <t>Бобринець</t>
  </si>
  <si>
    <t>вул. Каштанова, 2</t>
  </si>
  <si>
    <t>35145</t>
  </si>
  <si>
    <t>06688167</t>
  </si>
  <si>
    <t>"Філія № 1 - ЗШ І-ІІ ступенів" комунального закладу «Бобринецьке навчально-виховне об’єднання «Навчально-виховний комплекс «Гімназія – загальноосвітня школа І-ІІІ ступенів № 1» Бобринецької міської ради Кіровоградської області</t>
  </si>
  <si>
    <t>вул. Воїнів-інтернаціоналістів, 56</t>
  </si>
  <si>
    <t>(05257)3-70-65</t>
  </si>
  <si>
    <t>"Філія № 2 - ЗШ І-ІІ ступенів" комунального закладу «Бобринецьке навчально-виховне об’єднання «Навчально-виховний комплекс «Гімназія – загальноосвітня школа І-ІІІ ступенів № 1» Бобринецької міської ради Кіровоградської області</t>
  </si>
  <si>
    <t>вул. Ломоносова, 19</t>
  </si>
  <si>
    <t>(05257)2-01-44</t>
  </si>
  <si>
    <t>Комунальний заклад "Загальноосвітня школа І-ІІІ ступенів № 5" Бобринецької міської ради Кіровоградської області</t>
  </si>
  <si>
    <t>(05257)3-46-48</t>
  </si>
  <si>
    <t>http://bssh5.at.ua/</t>
  </si>
  <si>
    <t>Комунальний заклад "Бобринецьке навчально - виховне об'єднання "Навчально - виховний комплекс "Гімназія - загальноосвітня школа І - ІІІ ступенів № 1" Бобринецької міської ради Кіровоградської області</t>
  </si>
  <si>
    <t>вул. Миколаївська, 64</t>
  </si>
  <si>
    <t>(05257)34777</t>
  </si>
  <si>
    <t>http://bobrynets-nvk1.edukit.kr.ua/</t>
  </si>
  <si>
    <t>Олексіївська загальноосвітня школа І-ІІІ ступенів Бобринецької районної ради Кіровоградської область</t>
  </si>
  <si>
    <t>27213</t>
  </si>
  <si>
    <t>3520880301</t>
  </si>
  <si>
    <t>вул. Олексіївська, 6</t>
  </si>
  <si>
    <t>(05257)45121</t>
  </si>
  <si>
    <t>Бобринківська загальноосвітня школа І-ІІ ступенів</t>
  </si>
  <si>
    <t>27233</t>
  </si>
  <si>
    <t>3520880801</t>
  </si>
  <si>
    <t>Бобринка</t>
  </si>
  <si>
    <t>(38066)7665702</t>
  </si>
  <si>
    <t>Буховецька загальноосвітня школа І-ІІІ ступенів Бобринецької районної ради. Кіровоградської області</t>
  </si>
  <si>
    <t>27254</t>
  </si>
  <si>
    <t>3520881201</t>
  </si>
  <si>
    <t>Буховецьке</t>
  </si>
  <si>
    <t>ал. вул.Степова, 4</t>
  </si>
  <si>
    <t>52-3-40</t>
  </si>
  <si>
    <t>Василівська загальноосвітня школа І-ІІІ ступенів Бобринецької районної ради Кіровоградської області</t>
  </si>
  <si>
    <t>27244</t>
  </si>
  <si>
    <t>3520881601</t>
  </si>
  <si>
    <t>вул. Леніни Топор, 59</t>
  </si>
  <si>
    <t>0525743346</t>
  </si>
  <si>
    <t>Верхньоінгульська загальноосвітня школа І - ІІІ ступенів</t>
  </si>
  <si>
    <t>27214</t>
  </si>
  <si>
    <t>3520882401</t>
  </si>
  <si>
    <t>Верхньоінгульське</t>
  </si>
  <si>
    <t>(05257)45116</t>
  </si>
  <si>
    <t>Веселівська загальноосвітня школа І-ІІІ ступенів Бобринецької районної ради Кіровоградської області</t>
  </si>
  <si>
    <t>27261</t>
  </si>
  <si>
    <t>3520882801</t>
  </si>
  <si>
    <t>(05257)45446</t>
  </si>
  <si>
    <t>Витязівська загальноосвітня школа І-ІІІ ступенів Бобринецької районної ради Кіровоградської області</t>
  </si>
  <si>
    <t>27232</t>
  </si>
  <si>
    <t>3520883201</t>
  </si>
  <si>
    <t>Витязівка</t>
  </si>
  <si>
    <t>вул. Осадчого, 24А</t>
  </si>
  <si>
    <t>(05257)51169</t>
  </si>
  <si>
    <t>Володимиро-Ілінська загальноосвітня школа І- ІІ ступенів</t>
  </si>
  <si>
    <t>27253</t>
  </si>
  <si>
    <t>3520883601</t>
  </si>
  <si>
    <t>Апрелівське</t>
  </si>
  <si>
    <t>вул. Куліша, 44А</t>
  </si>
  <si>
    <t>(096)2963513</t>
  </si>
  <si>
    <t>Кетрисанівська загальноосвітня школа І-ІІІ ступенів Бобринецької районної ради Кіровоградської області</t>
  </si>
  <si>
    <t>27247</t>
  </si>
  <si>
    <t>3520883801</t>
  </si>
  <si>
    <t>Кетрисанівка</t>
  </si>
  <si>
    <t>(05257)43518</t>
  </si>
  <si>
    <t>http://ketrysanivka-school.edukit.kr.ua</t>
  </si>
  <si>
    <t>Костомарівська загальноосвітня школа І-ІІІ ступенів Бобринецької районної ради</t>
  </si>
  <si>
    <t>27260</t>
  </si>
  <si>
    <t>3520884001</t>
  </si>
  <si>
    <t>Костомарівка</t>
  </si>
  <si>
    <t>вул. Каті Мельничук, 3</t>
  </si>
  <si>
    <t>(05257)44541</t>
  </si>
  <si>
    <t>http://kostomarivka-sc.ucoz.ua</t>
  </si>
  <si>
    <t>Куйбишевська загальноосвітня школа І-ІІІ ступенів Бобринецької районної ради Кіровоградської області</t>
  </si>
  <si>
    <t>27222</t>
  </si>
  <si>
    <t>3520884201</t>
  </si>
  <si>
    <t>(052)5745398</t>
  </si>
  <si>
    <t>Кіровська загальноосвятня школа І ступеня Бобринецької районної ради Кіроаоградської області</t>
  </si>
  <si>
    <t>27221</t>
  </si>
  <si>
    <t>3520884203</t>
  </si>
  <si>
    <t>0506816614</t>
  </si>
  <si>
    <t>Мар'янівська загальноосвітня школа І ступеня Бобринецької районної ради Кіровоградської області</t>
  </si>
  <si>
    <t>27220</t>
  </si>
  <si>
    <t>3520884401</t>
  </si>
  <si>
    <t>(099)5078372</t>
  </si>
  <si>
    <t>Миколо-Бабанська загальноосвітня школа І-ІІ ступенів Бобринецька районна рада Кіровоградська область</t>
  </si>
  <si>
    <t>27250</t>
  </si>
  <si>
    <t>3520884801</t>
  </si>
  <si>
    <t>Миколо-Бабанка</t>
  </si>
  <si>
    <t>вул. Лаврова, 7</t>
  </si>
  <si>
    <t>(05257)52435</t>
  </si>
  <si>
    <t>Новоградівська загальноосвітня школа І - ІІІ ступенів Бобринецької районної ради Кіровоградської області</t>
  </si>
  <si>
    <t>27251</t>
  </si>
  <si>
    <t>3520885601</t>
  </si>
  <si>
    <t>Новоградівка</t>
  </si>
  <si>
    <t>вул. Молодіжна, 50</t>
  </si>
  <si>
    <t>(52)586</t>
  </si>
  <si>
    <t>http://novogradovka.ucoz.ua</t>
  </si>
  <si>
    <t>Новомиколаївська загальноосвітня школа І ступеня Бобринецької районної ради Кіровоградської області</t>
  </si>
  <si>
    <t>27248</t>
  </si>
  <si>
    <t>3520885801</t>
  </si>
  <si>
    <t>(068)5443243</t>
  </si>
  <si>
    <t>Павлогірківська загальноосвітня школа І-ІІ ступенів Бобринецької районної ради Кіровоградської області</t>
  </si>
  <si>
    <t>27224</t>
  </si>
  <si>
    <t>3520886001</t>
  </si>
  <si>
    <t>Павлогірківка</t>
  </si>
  <si>
    <t>ал. Шкільна, 4</t>
  </si>
  <si>
    <t>Рощахівська загальноосвітня школа І-ІІІ ступенів Бобринецька районна рада Кіровоградська область</t>
  </si>
  <si>
    <t>27252</t>
  </si>
  <si>
    <t>3520886401</t>
  </si>
  <si>
    <t>Рощахівка</t>
  </si>
  <si>
    <t>(52)3-21</t>
  </si>
  <si>
    <t>Свердловська загальноосвітня школа І-ІІ ступенів Бобринецької районної ради Кіровоградської області</t>
  </si>
  <si>
    <t>27210</t>
  </si>
  <si>
    <t>3520886801</t>
  </si>
  <si>
    <t>Златопілля</t>
  </si>
  <si>
    <t>(05257)43249</t>
  </si>
  <si>
    <t>Сугокліївська загальноосвітня школа І -ІІ ступенів</t>
  </si>
  <si>
    <t>27216</t>
  </si>
  <si>
    <t>3520887001</t>
  </si>
  <si>
    <t>Сугокліївка</t>
  </si>
  <si>
    <t>вул. Рози Люксембург, 27</t>
  </si>
  <si>
    <t>Тарасівська загальноосвітня школа І-ІІІ ступенів відділу освіти, молоді та спорту Бобринецької районної державної адміністрації</t>
  </si>
  <si>
    <t>27240</t>
  </si>
  <si>
    <t>3520887201</t>
  </si>
  <si>
    <t>45-5-31</t>
  </si>
  <si>
    <t>http://tarasivka-bob-school.edukit.ua</t>
  </si>
  <si>
    <t>Червонопільська загальноосвтня школла І-ІІ ступенів Бобринецької районної ради Кріровоградської області</t>
  </si>
  <si>
    <t>27243</t>
  </si>
  <si>
    <t>3520887207</t>
  </si>
  <si>
    <t>Червонопілля</t>
  </si>
  <si>
    <t>вул. Перемоги, 45</t>
  </si>
  <si>
    <t>(05257)43-5-09</t>
  </si>
  <si>
    <t>Федіївська загальноосвітня школа І-ІІІ ступенів Бобринецької районної ради Кіровоградської області</t>
  </si>
  <si>
    <t>27230</t>
  </si>
  <si>
    <t>3520887601</t>
  </si>
  <si>
    <t>Федіївка</t>
  </si>
  <si>
    <t>вул. Яницького, 90</t>
  </si>
  <si>
    <t>(05257)52249</t>
  </si>
  <si>
    <t>Чарівнянська загльноосвітня школа І-ІІІ ступенів Бобринецької районної ради Кіровоградської області</t>
  </si>
  <si>
    <t>27241</t>
  </si>
  <si>
    <t>3520887801</t>
  </si>
  <si>
    <t>Чарівне</t>
  </si>
  <si>
    <t>(05257)43725</t>
  </si>
  <si>
    <t>Мирнівська загальноосвітня школа I-II ступенів Бобринецької районної ради Кіровоградської області</t>
  </si>
  <si>
    <t>27242</t>
  </si>
  <si>
    <t>3520887805</t>
  </si>
  <si>
    <t>вул. Попова, 54</t>
  </si>
  <si>
    <t>Червонозорівська загальноосвітня школа І-ІІ ступенів Бобринецької районної ради Кіровоградської області</t>
  </si>
  <si>
    <t>27225</t>
  </si>
  <si>
    <t>3520888001</t>
  </si>
  <si>
    <t>Кривоносове</t>
  </si>
  <si>
    <t>вул. Центральна, 41А</t>
  </si>
  <si>
    <t>(067)5976217</t>
  </si>
  <si>
    <t>Філія № 2 Гайворонське НВО № 2 "Загальноосвітня школа-гімназія І-ІІІ ступенів"</t>
  </si>
  <si>
    <t>26300</t>
  </si>
  <si>
    <t>3521110100</t>
  </si>
  <si>
    <t>(05254)5-11-26</t>
  </si>
  <si>
    <t>Гайворонське навчально-виховне об'єднання № 1 "Загальноосвітня школа І-ІІІ ступенів"</t>
  </si>
  <si>
    <t>(05254)21762</t>
  </si>
  <si>
    <t>Гайворонська філія № 1 Гайворонського навчально-виховного об"єднання № 2 "Загальноосвітня школа-гімназія І-ІІІ ступенів" Гайворонської районної державної адміністрації Кіровоградської області</t>
  </si>
  <si>
    <t>26330</t>
  </si>
  <si>
    <t>вул. Фестивальна, 2</t>
  </si>
  <si>
    <t>(05254)22690</t>
  </si>
  <si>
    <t>Гайворонське навчально - виховне об"єднання № 2 "Загальноосвітня школа - гімназія І - ІІІ ступенів" Гайворонської районної державної адміністрації Кіровоградської області</t>
  </si>
  <si>
    <t>вул. Небесної Сотні, 39</t>
  </si>
  <si>
    <t>(05254)2-27-92</t>
  </si>
  <si>
    <t>Заваллівська філія Заваллівського навчально-виховного об'єднання "Загальноосвітня школа І-ІІІ ступенів"</t>
  </si>
  <si>
    <t>26334</t>
  </si>
  <si>
    <t>3521155300</t>
  </si>
  <si>
    <t>вул. Соборна, 64</t>
  </si>
  <si>
    <t>(05254)73108</t>
  </si>
  <si>
    <t>13761568</t>
  </si>
  <si>
    <t>Заваллівське навчально-виховне об'єднання "Загальноосвітня школа І-ІІІ ступенів" Гайворонської районної державної адміністрації Кіровоградської області</t>
  </si>
  <si>
    <t>вул. 40 років Перемоги, 21</t>
  </si>
  <si>
    <t>(098)4222146</t>
  </si>
  <si>
    <t>Сальківська філія Заваллівського навчально-виховного об'єднання "Загальноовітня школа І-ІІІ ступенів" Гайворонського району Кіровоградської області</t>
  </si>
  <si>
    <t>26332</t>
  </si>
  <si>
    <t>3521155600</t>
  </si>
  <si>
    <t>Салькове</t>
  </si>
  <si>
    <t>33119</t>
  </si>
  <si>
    <t>Загальноосвітня школа І-ІІІ ступенів с. Бандурове Гайворонського району Кіровоградської області</t>
  </si>
  <si>
    <t>26325</t>
  </si>
  <si>
    <t>3521180401</t>
  </si>
  <si>
    <t>Бандурове</t>
  </si>
  <si>
    <t>(35)1-40</t>
  </si>
  <si>
    <t>Навчально-виховний комплекс "загальноосвітній навчальний заклад І-ІІ ступенів - дошкільний навчальний заклад" с.Берестяги, Гайворонський р-н, Кіровоградська обл.</t>
  </si>
  <si>
    <t>26311</t>
  </si>
  <si>
    <t>3521180801</t>
  </si>
  <si>
    <t>Берестяги</t>
  </si>
  <si>
    <t>вул. Центральна, 100/2</t>
  </si>
  <si>
    <t>(37)3-40</t>
  </si>
  <si>
    <t>Долинівська філія Гайворонського навчально-виховного об"єднання № 1 "Загальноосвітня школа І-ІІІ ступенів" Гайворонської районної державної адміністрації Кіровоградської області</t>
  </si>
  <si>
    <t>26313</t>
  </si>
  <si>
    <t>3521181301</t>
  </si>
  <si>
    <t>Долинівка</t>
  </si>
  <si>
    <t>(25437)140</t>
  </si>
  <si>
    <t>загальноосвітня школа І-ІІІ ступенів с. Казавчин Гайворонського району Кіровоградського області</t>
  </si>
  <si>
    <t>26322</t>
  </si>
  <si>
    <t>3521182401</t>
  </si>
  <si>
    <t>Казавчин</t>
  </si>
  <si>
    <t>(31)2-40</t>
  </si>
  <si>
    <t>http://kazavchyn-school.edukit.kr.ua/</t>
  </si>
  <si>
    <t>Покровська філія Гайворонського навчально-виховного об"єднання № 1 "Загальноосвітня школа І-ІІІ ступенів "</t>
  </si>
  <si>
    <t>26324</t>
  </si>
  <si>
    <t>3521182801</t>
  </si>
  <si>
    <t>вул. Котовського, 74</t>
  </si>
  <si>
    <t>(05254)34440</t>
  </si>
  <si>
    <t>Загальноосвітня школа І-ІІІ ступенів с. Могильне Гайворонського району Кіровоградської області</t>
  </si>
  <si>
    <t>26333</t>
  </si>
  <si>
    <t>3521183601</t>
  </si>
  <si>
    <t>Могильне</t>
  </si>
  <si>
    <t>пров. Папаніна, 1</t>
  </si>
  <si>
    <t>(05254)32540</t>
  </si>
  <si>
    <t>Навчально - виховний комплекс "загальноосвітній навчальний заклад І-ІІ ступенів - дошкільний навчальний заклад" с.Мощене, Гайворонського району, Кіровоградської області</t>
  </si>
  <si>
    <t>3521184001</t>
  </si>
  <si>
    <t>Мощене</t>
  </si>
  <si>
    <t>(05254)3-74-40</t>
  </si>
  <si>
    <t>Загальноосвітня школа І - ІІІ ступенів с. Вікнина Гайворонський район Кіровоградська область</t>
  </si>
  <si>
    <t>26310</t>
  </si>
  <si>
    <t>3521184401</t>
  </si>
  <si>
    <t>Вікнина</t>
  </si>
  <si>
    <t>(05254)37740</t>
  </si>
  <si>
    <t>Солгутівська загальноосвітня школа І-ІІІ ступенів Гайворонського району Кіровоградської області</t>
  </si>
  <si>
    <t>26320</t>
  </si>
  <si>
    <t>3521184901</t>
  </si>
  <si>
    <t>Солгутове</t>
  </si>
  <si>
    <t>(05254)31740</t>
  </si>
  <si>
    <t>Соломіївська філія Гайворонського навчально-виховного об"єднання № 1 "Загальноосвітня школа І-ІІІ ступенів"</t>
  </si>
  <si>
    <t>26321</t>
  </si>
  <si>
    <t>3521185102</t>
  </si>
  <si>
    <t>Соломія</t>
  </si>
  <si>
    <t>(05254)37-5-40</t>
  </si>
  <si>
    <t>Загальноосвітня школа І - ІІІ ступенів с. Таужне Гайворонський район Кіровоградська область</t>
  </si>
  <si>
    <t>3521186001</t>
  </si>
  <si>
    <t>Таужне</t>
  </si>
  <si>
    <t>0525436140</t>
  </si>
  <si>
    <t>Навчально-виховний комплекс "загальноосвітній навчальний заклад І-ІІ ступенів - дошкільний навчальний заклад" с. Тополі Гайворонського району Кіровоградської області</t>
  </si>
  <si>
    <t>26315</t>
  </si>
  <si>
    <t>3521186201</t>
  </si>
  <si>
    <t>Тополі</t>
  </si>
  <si>
    <t>(805254)50778</t>
  </si>
  <si>
    <t>Загальноосвітня школа І-ІІІ ступенів села Хащувате Гайворонського району Кіровоградської області</t>
  </si>
  <si>
    <t>26331</t>
  </si>
  <si>
    <t>3521186801</t>
  </si>
  <si>
    <t>Хащувате</t>
  </si>
  <si>
    <t>пров. Солгутовського, 1</t>
  </si>
  <si>
    <t>(805254)34608</t>
  </si>
  <si>
    <t>https://sites.google.com/site/sajthasuvatskoieskoli/</t>
  </si>
  <si>
    <t>загальноосвітня школа І-ІІІ ступенів с.Чемерпіль Гайворонського району Кіровоградської області</t>
  </si>
  <si>
    <t>26335</t>
  </si>
  <si>
    <t>3521187601</t>
  </si>
  <si>
    <t>Чемерпіль</t>
  </si>
  <si>
    <t>(05254)77118</t>
  </si>
  <si>
    <t>Загальноосвітня школа І-ІІІ ступенів с. Червоне Гайворонського району Кіровоградської області</t>
  </si>
  <si>
    <t>26312</t>
  </si>
  <si>
    <t>3521188301</t>
  </si>
  <si>
    <t>(05254)31-3-40</t>
  </si>
  <si>
    <t>http://www.chervone-hay.edukit.kr.ua/</t>
  </si>
  <si>
    <t>Навчально-виховний комплекс "Голованівська загальноосвітня школа І-ІІІ ступенів ім. Т.Г.Шевченка-гімназія" Голованівської районної ради Кіровоградської області</t>
  </si>
  <si>
    <t>26500</t>
  </si>
  <si>
    <t>3521455100</t>
  </si>
  <si>
    <t>Голованівськ</t>
  </si>
  <si>
    <t>(05252)21638</t>
  </si>
  <si>
    <t>філія навчально - виховного комплексу "Голованівська загальноосвітня школа І - ІІІ ступенів ім. Т.Г.Шевченка - гімназія "Голованівська загальноосвітня школа ім. Г.В.Міклея"</t>
  </si>
  <si>
    <t>26508</t>
  </si>
  <si>
    <t>3521455101</t>
  </si>
  <si>
    <t>вул. Радянська, 50</t>
  </si>
  <si>
    <t>(05252)2-15-67</t>
  </si>
  <si>
    <t>Побузька загальноосвітня школа І-ІІІ ступенів Голованівської районної ради Кіровоградської області</t>
  </si>
  <si>
    <t>26555</t>
  </si>
  <si>
    <t>3521455500</t>
  </si>
  <si>
    <t>Побузьке</t>
  </si>
  <si>
    <t>(05252)51594</t>
  </si>
  <si>
    <t>33351162</t>
  </si>
  <si>
    <t>Філія Навчально-виховного комплексу "Голованівська загальноосвітня школа І - ІІІ ступенів ім.Т.Г. Шевченка - гімназія "Вербівська загальноосвітна школа - дошкільний навчальний заклад"</t>
  </si>
  <si>
    <t>26509</t>
  </si>
  <si>
    <t>3521480501</t>
  </si>
  <si>
    <t>42-5-56</t>
  </si>
  <si>
    <t>філія навчально - виховного комплексу "Голованівська загальноосвітня школа І - ІІІ ступенів ім. Т.Г.Шевченка - гімназія "Грузька загальноосвітня школа"</t>
  </si>
  <si>
    <t>26526</t>
  </si>
  <si>
    <t>3521480801</t>
  </si>
  <si>
    <t>(05252)42-140</t>
  </si>
  <si>
    <t>Філія навчально-виховного комплексу "Голованівська загальноосвітня школа І-ІІІ ступенів ім.Т.Г.Шевченка - гімназія "Ємилівська загальноосвітня школа - дошкільний навчальний заклад № 1"</t>
  </si>
  <si>
    <t>26532</t>
  </si>
  <si>
    <t>3521481301</t>
  </si>
  <si>
    <t>Ємилівка</t>
  </si>
  <si>
    <t>вул. Дружби, 21</t>
  </si>
  <si>
    <t>(05252)43614</t>
  </si>
  <si>
    <t>філія навчально - виховного комплексу "Голованівська загальноосвітня школа І-ІІІ ступенів імені Т.Г. Шевченка - гімназія "Ємилівська загальноосвітня школа - дошкільний навчальний заклад № 2"</t>
  </si>
  <si>
    <t>26533</t>
  </si>
  <si>
    <t>3521481302</t>
  </si>
  <si>
    <t>(05252)43-4-40</t>
  </si>
  <si>
    <t>Філія навчально-виховного комплексу "Голованівська загальноосвітня школа І - ІІІ ступенів ім. Т.Г.Шевченка - гімназія "Журавлинська загальноосвітня школа - дошкільний навчальний заклад"</t>
  </si>
  <si>
    <t>26531</t>
  </si>
  <si>
    <t>3521481801</t>
  </si>
  <si>
    <t>Журавлинка</t>
  </si>
  <si>
    <t>вул. Шкільна, 30 - А</t>
  </si>
  <si>
    <t>(05252)44424</t>
  </si>
  <si>
    <t>23232546</t>
  </si>
  <si>
    <t>філія Побузької загальноосвітньої школи І-ІІІ ступенів "Капітанська загальноосвітня школа - дошкільний навчальний заклад"</t>
  </si>
  <si>
    <t>25554</t>
  </si>
  <si>
    <t>3521482301</t>
  </si>
  <si>
    <t>Капітанка</t>
  </si>
  <si>
    <t>(052-52)5-41-40</t>
  </si>
  <si>
    <t>філія навчально-виховного комплексу "Голованівська загальноосвітня школа І-ІІІст. ім Т.Г.Шевченка "Клинівська загальноосвітня школа"</t>
  </si>
  <si>
    <t>26525</t>
  </si>
  <si>
    <t>3521482801</t>
  </si>
  <si>
    <t>ал. Б.Хмельницького, 26</t>
  </si>
  <si>
    <t>(05252)42312</t>
  </si>
  <si>
    <t>Філія НВК "Голованівська загальноосвітня школа І-ІІІ ступенів ім. Т.Г. Шевченка - гімназія "Красногірська загальноосвітня школа"</t>
  </si>
  <si>
    <t>26540</t>
  </si>
  <si>
    <t>3521483201</t>
  </si>
  <si>
    <t>(05252)44212</t>
  </si>
  <si>
    <t>Філія навчально-виховного комплексу "Перегонівська загальноосвітня школа І-ІІІ ступенів - дошкільний навчальний заклад "Крутеньківська загальноосвітня школа - дошкільний навчальний заклад"</t>
  </si>
  <si>
    <t>26520</t>
  </si>
  <si>
    <t>3521483901</t>
  </si>
  <si>
    <t>Крутеньке</t>
  </si>
  <si>
    <t>філія навчально-виховного комплексу "Перегонівська загальноосвітня школа І-ІІІ ступенів-дошкільний навчальний заклад "Лебединська загальноосвітня школа - дошкільний навчальний заклад"</t>
  </si>
  <si>
    <t>26524</t>
  </si>
  <si>
    <t>3521484201</t>
  </si>
  <si>
    <t>Лебединка</t>
  </si>
  <si>
    <t>(05252)44516</t>
  </si>
  <si>
    <t>Філія Побузької загальноосвітньої школи І-ІІІ ступенів "Липовеньківська загальноосвітня школа- дошкільний навчальний заклад"</t>
  </si>
  <si>
    <t>26552</t>
  </si>
  <si>
    <t>3521484601</t>
  </si>
  <si>
    <t>Липовеньке</t>
  </si>
  <si>
    <t>пров. Попова, 1</t>
  </si>
  <si>
    <t>(068)0660516</t>
  </si>
  <si>
    <t>Філія Побузької загальноосвітньої школи І-ІІІ ступенів "Люшнюватська загальноосвітня школа - дошкільний навчальний заклад"</t>
  </si>
  <si>
    <t>26544</t>
  </si>
  <si>
    <t>3521484801</t>
  </si>
  <si>
    <t>Люшнювате</t>
  </si>
  <si>
    <t>(05252)44640</t>
  </si>
  <si>
    <t>Філія навчально-виховного комплексу "Голованівська загальноосвітня школа І-ІІІ ступенів ім Т.Г.Шевченка - гімназія "Межирічківська загальноосвітня школа"</t>
  </si>
  <si>
    <t>26510</t>
  </si>
  <si>
    <t>3521485201</t>
  </si>
  <si>
    <t>вул. Чкалова, 5 А</t>
  </si>
  <si>
    <t>(05252)43040</t>
  </si>
  <si>
    <t>філія Побузької загальноосвітньої школи І-ІІІ ступенів "Молдовська загальноосвітня школа - дошкільний навчальний заклад"</t>
  </si>
  <si>
    <t>26543</t>
  </si>
  <si>
    <t>3521485601</t>
  </si>
  <si>
    <t>Молдовка</t>
  </si>
  <si>
    <t>вул. Суворова, 69</t>
  </si>
  <si>
    <t>(05252)44-1-40</t>
  </si>
  <si>
    <t>Філія навчально - виховного комплексу "Голованівська загальноосвітня школа І-ІІІ ступенів ім. Т.Г.Шевченка - гімназія "Наливайківська загальноосвітня школа"</t>
  </si>
  <si>
    <t>26512</t>
  </si>
  <si>
    <t>3521485801</t>
  </si>
  <si>
    <t>Наливайка</t>
  </si>
  <si>
    <t>44348</t>
  </si>
  <si>
    <t>Навчально-виховний комплекс "Перегонівська загальноосвітня школа І-ІІІ ступенів - дошкільний навчальний заклад" Голованівської районної ради Кіровоградської області</t>
  </si>
  <si>
    <t>26522</t>
  </si>
  <si>
    <t>3521486001</t>
  </si>
  <si>
    <t>Перегонівка</t>
  </si>
  <si>
    <t>(05252)24101</t>
  </si>
  <si>
    <t>http://nvk-perehonivka.at.ua</t>
  </si>
  <si>
    <t>32932925</t>
  </si>
  <si>
    <t>Філія Побузької загальноосвітньої школи І-ІІІ ступенів «Пушківська загальноосвітня школа – дошкільний навчальний заклад»</t>
  </si>
  <si>
    <t>26553</t>
  </si>
  <si>
    <t>3521486201</t>
  </si>
  <si>
    <t>Пушкове</t>
  </si>
  <si>
    <t>вул. Данилюка, 11</t>
  </si>
  <si>
    <t>(05252)21994</t>
  </si>
  <si>
    <t>Філія Побузької загальноосвітньої щколи І-ІІІ ступенів "Роздольська загальноосвітня школа-дошкільний навчальний заклад"</t>
  </si>
  <si>
    <t>26541</t>
  </si>
  <si>
    <t>3521486301</t>
  </si>
  <si>
    <t>43314</t>
  </si>
  <si>
    <t>Філія навчально-виховного комплексу "Голованівська загальноосвітня школа І-ІІІ ступенів ім. Т. Г. Шевченка - гімназія "Розкішненська загальноосвітня школа - дошкільний навчальний заклад</t>
  </si>
  <si>
    <t>26550</t>
  </si>
  <si>
    <t>3521486501</t>
  </si>
  <si>
    <t>Розкішне</t>
  </si>
  <si>
    <t>33</t>
  </si>
  <si>
    <t>0989805123</t>
  </si>
  <si>
    <t>Філія навчально-виховного комплексу "Голованівська загальноосвітня школа І-ІІІ ступенів ім. Т.Г.Шевченка – гімназія "Новосільська загальноосвітня школа -дошкільний навчальний заклад"</t>
  </si>
  <si>
    <t>26551</t>
  </si>
  <si>
    <t>3521486505</t>
  </si>
  <si>
    <t>Новосілка</t>
  </si>
  <si>
    <t>(25252)25-3-20</t>
  </si>
  <si>
    <t>Філія навчально-виховного комплексу "Голованівська загальноосвітня школа І-ІІІ ступенів ім. Т.Г.Шевченка - гімназія "Свірнівська загальноосвітня школа - дошкільний навчальний заклад"</t>
  </si>
  <si>
    <t>26542</t>
  </si>
  <si>
    <t>3521487001</t>
  </si>
  <si>
    <t>Свірневе</t>
  </si>
  <si>
    <t>(05252)43719</t>
  </si>
  <si>
    <t>філія навчально - виховного комплексу «Перегонівська загальноосвітня школа І-ІІІ ступенів -дошкільний навчальний заклад «Семидубська загальноосвітня школа –дошкільний навчальний заклад»</t>
  </si>
  <si>
    <t>26521</t>
  </si>
  <si>
    <t>3521487301</t>
  </si>
  <si>
    <t>Семидуби</t>
  </si>
  <si>
    <t>ал. Шкільна, 3</t>
  </si>
  <si>
    <t>філія навчальновиховного комплексу "Голованівська загальноосвітня школа І -ІІІ ступенів ім. Т.Г. Шевченка - гімназія "Троянська загальноосвітня школа "</t>
  </si>
  <si>
    <t>26530</t>
  </si>
  <si>
    <t>3521487701</t>
  </si>
  <si>
    <t>Троянка</t>
  </si>
  <si>
    <t>(05252)43240</t>
  </si>
  <si>
    <t>Філія навчально-виховного комплексу "Голованівська загальноосвітня школа І-ІІІ ступенів ім.Т.Г.Шевченка - гімназія "Шепилівська загальноосвітня школа - дошкільний навчальний заклад"</t>
  </si>
  <si>
    <t>26534</t>
  </si>
  <si>
    <t>3521488301</t>
  </si>
  <si>
    <t>Шепилове</t>
  </si>
  <si>
    <t>(05252)43540</t>
  </si>
  <si>
    <t>Помічнянська загальноосвітня школа І-ІІІ ступенів № 1 Добровеличківської районної державної адміністрації Кіровоградської області імені Героя України Березняка Євгена Степановича</t>
  </si>
  <si>
    <t>27030</t>
  </si>
  <si>
    <t>3521710300</t>
  </si>
  <si>
    <t>Помічна</t>
  </si>
  <si>
    <t>вул. Чехова, 2</t>
  </si>
  <si>
    <t>(05253)27226</t>
  </si>
  <si>
    <t>Помічнянська загальноосвітня школа І-ІІІ ступенів № 2 Добровеличківської районної державної адміністрації Кіровоградської області</t>
  </si>
  <si>
    <t>вул. Кірова, 211</t>
  </si>
  <si>
    <t>(05253)27120</t>
  </si>
  <si>
    <t>Помічнянська загальноосвітня школа І-ІІІ ступенів № 3 Добровеличківської районної державної адміністрації Кіровоградської області</t>
  </si>
  <si>
    <t>вул. Виноградна, 107</t>
  </si>
  <si>
    <t>(05253)27227</t>
  </si>
  <si>
    <t>Добровеличківська загальноосвітня школа I-III ступенів № 1 Добровеличківської районної державної адміністрації Кіровоградської області</t>
  </si>
  <si>
    <t>27000</t>
  </si>
  <si>
    <t>3521755100</t>
  </si>
  <si>
    <t>Добровеличківка</t>
  </si>
  <si>
    <t>вул. Фрунзе, 121</t>
  </si>
  <si>
    <t>(05253)51667</t>
  </si>
  <si>
    <t>http://zosh1.dv.kr.ua/</t>
  </si>
  <si>
    <t>Комунальний заклад "Добровеличківське навчально-виховне об'єднання "спеціалізована загальноосвітня школа-інтернат І-ІІІ ступенів - загальноосвітня школа І-ІІІ ступенів - дошкільний навчальний заклад "</t>
  </si>
  <si>
    <t>(02523)51243, (05253)51241</t>
  </si>
  <si>
    <t>http://internat.dv.kr.ua/</t>
  </si>
  <si>
    <t>23228183</t>
  </si>
  <si>
    <t>Добровеличківський навчально-виховний комплекс "загальноосвітня школа І-ІІІ ступенів № 2 - гімназія" Добровеличківської районної державної адміністрації Кіровоградської області</t>
  </si>
  <si>
    <t>вул. Європейська, 135</t>
  </si>
  <si>
    <t>Олександрівська загальноосвітня школа І-ІІІ ступенів Добровеличківської районної державної адміністрації Кіровоградської області</t>
  </si>
  <si>
    <t>27012</t>
  </si>
  <si>
    <t>3521780301</t>
  </si>
  <si>
    <t>(05253)24235</t>
  </si>
  <si>
    <t>Олексіївська загальноосвітня школа І-ІІ ступенів Добровеличківської районної державної адміністрації Кіровоградської області</t>
  </si>
  <si>
    <t>27036</t>
  </si>
  <si>
    <t>3521780601</t>
  </si>
  <si>
    <t>вул. Молодіжна, 22А</t>
  </si>
  <si>
    <t>(05253)24520</t>
  </si>
  <si>
    <t>http://oleksiivka-school.edukit.kr.ua/</t>
  </si>
  <si>
    <t>Гаївський навчально-виховний комплекс "загальноосвітня школа І-ІІІ ступенів-дошкільний навчальний заклад"</t>
  </si>
  <si>
    <t>27010</t>
  </si>
  <si>
    <t>3521781001</t>
  </si>
  <si>
    <t>Гаївка</t>
  </si>
  <si>
    <t>вул. Шевченка22</t>
  </si>
  <si>
    <t>(05253)2-44-41</t>
  </si>
  <si>
    <t>Глинянський навчально-виховний комплекс "загальноосвітня школа І-ІІ ступенів - дошкільний навчальний заклад" Добровеличківської районної державної адміністрації Кіровоградської області</t>
  </si>
  <si>
    <t>27041</t>
  </si>
  <si>
    <t>3521781203</t>
  </si>
  <si>
    <t>Новоглиняне</t>
  </si>
  <si>
    <t>(05253)23525</t>
  </si>
  <si>
    <t>Гнатівський навчально-виховний комплекс "загальноосвітня школа І-ІІІ ступенів - дошкільний навчальний заклад Мрія"</t>
  </si>
  <si>
    <t>27025</t>
  </si>
  <si>
    <t>3521781501</t>
  </si>
  <si>
    <t>(05253)23332</t>
  </si>
  <si>
    <t>Дружелюбівський навчально-виховний комплекс "загальноосвітня школа І-ІІІ ступенів,дошкільний навчальний заклад"</t>
  </si>
  <si>
    <t>27007</t>
  </si>
  <si>
    <t>3521781901</t>
  </si>
  <si>
    <t>вул. Інтернаціональна, 11</t>
  </si>
  <si>
    <t>30987679881</t>
  </si>
  <si>
    <t>Карбівська загальноосвітня школа І-ІІ ступенів Добровеличківської державної адміністрації Кіровоградської області</t>
  </si>
  <si>
    <t>27017</t>
  </si>
  <si>
    <t>3521782401</t>
  </si>
  <si>
    <t>ал. вул. Миру</t>
  </si>
  <si>
    <t>23-7-19</t>
  </si>
  <si>
    <t>http://www.karbivka-zosh.kr.sch.in.ua/</t>
  </si>
  <si>
    <t>Липнязька загальноосвітня школа І-ІІІ ступенів Добровеличківської районної ради Кіровоградської області</t>
  </si>
  <si>
    <t>27015</t>
  </si>
  <si>
    <t>3521782701</t>
  </si>
  <si>
    <t>Липняжка</t>
  </si>
  <si>
    <t>вул. Юрія Обжеляна, 17</t>
  </si>
  <si>
    <t>(05253)28216</t>
  </si>
  <si>
    <t>http://lypniazhka-school1.edukit.kr.ua/</t>
  </si>
  <si>
    <t>Любомирський навчально-виховний комплекс "загальноосвітня школа І ступеня-дошкільний навчальний заклад"</t>
  </si>
  <si>
    <t>27040</t>
  </si>
  <si>
    <t>3521783001</t>
  </si>
  <si>
    <t>(05253)24717</t>
  </si>
  <si>
    <t>Марківський навчально-виховний комплекс "загальноосвітня школа І-ІІ ступенів-дошкільний навчальний заклад" Добровеличківської районної державної адміністрації Кіровоградської області</t>
  </si>
  <si>
    <t>27011</t>
  </si>
  <si>
    <t>3521783501</t>
  </si>
  <si>
    <t>(066)0179746</t>
  </si>
  <si>
    <t>Миколаївський навчально - виховний комплекс "загальноосвітня школа І - ІІ ступенів- дошкільний навчальний заклад"</t>
  </si>
  <si>
    <t>27042</t>
  </si>
  <si>
    <t>3521784001</t>
  </si>
  <si>
    <t>(068)9946889</t>
  </si>
  <si>
    <t>Новолутківський навчальн-виховний комплекс "загальноосвітня школа І ступенів- дошкільний навчальний заклад" Добровеличківської районної державної адміністрації Кіровоградської області</t>
  </si>
  <si>
    <t>27022</t>
  </si>
  <si>
    <t>3521784401</t>
  </si>
  <si>
    <t>Новолутківка</t>
  </si>
  <si>
    <t>(05253)51975</t>
  </si>
  <si>
    <t>Перчунівська ЗШ І-ІІІ ступенів Добровеличківської районної державної адміністрації Кіровоградської області</t>
  </si>
  <si>
    <t>3521784801</t>
  </si>
  <si>
    <t>Перчунове</t>
  </si>
  <si>
    <t>(805253)29-245</t>
  </si>
  <si>
    <t>http://www.perchunove-school.edukit.kr.ua</t>
  </si>
  <si>
    <t>Піщанобрідська загальноосвітня школа</t>
  </si>
  <si>
    <t>27037</t>
  </si>
  <si>
    <t>3521785301</t>
  </si>
  <si>
    <t>Піщаний Брід</t>
  </si>
  <si>
    <t>вул. Поповича, 23</t>
  </si>
  <si>
    <t>Піщанобрідська спеціальна загальноосвітня школа-інтернат І-ІІ ст</t>
  </si>
  <si>
    <t>(05253)25282</t>
  </si>
  <si>
    <t>23896967</t>
  </si>
  <si>
    <t>Піщанобрідський навчально-виховний комплекс "загальноосвітня школа І-ІІ ступенів - дошкільний навчальний заклад" Добровеличківської районної державної адміністрації Кіровоградської області</t>
  </si>
  <si>
    <t>вул. Україна, 1</t>
  </si>
  <si>
    <t>(05253)25572</t>
  </si>
  <si>
    <t>Тернівський навчально-виховний комплекс "загальноосвітня школа І-ІІІ ступенів - дошкільний навчальний заклад" Добровеличківської районної ради Кіровоградської області</t>
  </si>
  <si>
    <t>27023</t>
  </si>
  <si>
    <t>3521785701</t>
  </si>
  <si>
    <t>Тернове</t>
  </si>
  <si>
    <t>0982213652</t>
  </si>
  <si>
    <t>Тишківська загальноосвітня школа І - ІІІ ступенів № 2 Добровеличківської районної державної адміністрації Кіровоградської області</t>
  </si>
  <si>
    <t>27013</t>
  </si>
  <si>
    <t>3521786001</t>
  </si>
  <si>
    <t>Тишківка</t>
  </si>
  <si>
    <t>вул. Суворова, 8</t>
  </si>
  <si>
    <t>(05253)55230</t>
  </si>
  <si>
    <t>Тишківська загальноосвітня школа І-ІІІ ступенів № 1 Добровеличківької районної ради Кіровоградської області</t>
  </si>
  <si>
    <t>(05253)55130, (05253)55590</t>
  </si>
  <si>
    <t>Андріївський навчально-виховний комплекс "загальноосвітня школа І ступеня-дошкільний навчальний заклад" Добровеличківської районної державної адміністрації Кіровоградської області</t>
  </si>
  <si>
    <t>27014</t>
  </si>
  <si>
    <t>3521786002</t>
  </si>
  <si>
    <t>Федорівський навчально-виховний комплекс "загальноосвітня школа І-ІІ ст-дошкільний навчальний заклад" Добровеличківської райдержадміністрації Кіровоградської області</t>
  </si>
  <si>
    <t>27020</t>
  </si>
  <si>
    <t>3521786701</t>
  </si>
  <si>
    <t>ал. Лісова, 10</t>
  </si>
  <si>
    <t>0525326137</t>
  </si>
  <si>
    <t>Червонополянський навчально-виховний комплекс "загальноосвітня школа І-ІІІ ступенів - дошкільний навчальний заклад" Добровеличківської районної державної адміністрації Кіровоградської області Добровеличківського району село Червона Поляна</t>
  </si>
  <si>
    <t>27038</t>
  </si>
  <si>
    <t>3521786801</t>
  </si>
  <si>
    <t>Червона Поляна</t>
  </si>
  <si>
    <t>Комунальний заклад "Долинська загальноосвітня школа І-ІІІ ступенів № 1 Долинської районної ради"</t>
  </si>
  <si>
    <t>28500</t>
  </si>
  <si>
    <t>3521910100</t>
  </si>
  <si>
    <t>Долинська</t>
  </si>
  <si>
    <t>вул. Сонячна, 4А</t>
  </si>
  <si>
    <t>(05234)51606</t>
  </si>
  <si>
    <t>Комунальний заклад "Долинська загальноосвітня школа І-ІІІ ступенів № 2 ім. А.С.Макаренка Долинської районної ради"</t>
  </si>
  <si>
    <t>(05234)31793</t>
  </si>
  <si>
    <t>Комунальний заклад "Долинська загальноосвітня школа І-ІІІ ступенів № 4 Долинської районної ради"</t>
  </si>
  <si>
    <t>вул. Ольгерда Бочковського, 1</t>
  </si>
  <si>
    <t>(05234)51233</t>
  </si>
  <si>
    <t>Комунальний заклад "Навчально-виховний комплекс "Долинська гімназія - загальноосвітня школа І-ІІІ ступенів № 3 Долинської районної ради"</t>
  </si>
  <si>
    <t>вул. Жовтнева, 13</t>
  </si>
  <si>
    <t>(05234)54034</t>
  </si>
  <si>
    <t>http://www.dolynska-nvk3.edukit.kr.ua/</t>
  </si>
  <si>
    <t>Комунальний заклад "Молодіжненська загальноосвітня школа І-ІІІ ступенів Долинської районної ради"</t>
  </si>
  <si>
    <t>28524</t>
  </si>
  <si>
    <t>3521955400</t>
  </si>
  <si>
    <t>вул. Дубініна, 7</t>
  </si>
  <si>
    <t>Комунальний заклад "Олександрівська загальноосвітня школа І-ІІІ ступенів Долинської районної ради"</t>
  </si>
  <si>
    <t>28531</t>
  </si>
  <si>
    <t>3521980401</t>
  </si>
  <si>
    <t>(05234)61433</t>
  </si>
  <si>
    <t>Комунальний заклад "Братолюбівська загальноосвітня школа І-ІІІ ступенів Долинської районної ради"</t>
  </si>
  <si>
    <t>28512</t>
  </si>
  <si>
    <t>3521980801</t>
  </si>
  <si>
    <t>Братолюбівка</t>
  </si>
  <si>
    <t>(05234)60237</t>
  </si>
  <si>
    <t>Комунальний заклад "Гурівська загальноосввітня школа І-ІІІ ступенів Долинської районної ради"</t>
  </si>
  <si>
    <t>28540</t>
  </si>
  <si>
    <t>3521982501</t>
  </si>
  <si>
    <t>Гурівка</t>
  </si>
  <si>
    <t>вул. Визволителів, 6</t>
  </si>
  <si>
    <t>(05234)62449</t>
  </si>
  <si>
    <t>34200940</t>
  </si>
  <si>
    <t>Комунальний заклад "Боківська загальноосвітня школа І-ІІІ ступенів Долинської районної ради"</t>
  </si>
  <si>
    <t>28514</t>
  </si>
  <si>
    <t>3521984401</t>
  </si>
  <si>
    <t>Бокове</t>
  </si>
  <si>
    <t>(05234)60473</t>
  </si>
  <si>
    <t>Ганнівський навчально-виховний комплекс "Загальноосвітній навчальний заклад І-ІІ ступенів - дошкільний навчальний заклад"</t>
  </si>
  <si>
    <t>3521984403</t>
  </si>
  <si>
    <t>вул. Гоголя, 34</t>
  </si>
  <si>
    <t>(05234)60510</t>
  </si>
  <si>
    <t>Комунальний заклад "Маловодянська загальноосвітня школа І-ІІІ ступенів" Долинської районної ради</t>
  </si>
  <si>
    <t>28505</t>
  </si>
  <si>
    <t>3521984901</t>
  </si>
  <si>
    <t>Маловодяне</t>
  </si>
  <si>
    <t>вул. пр.Транспортний, 1А</t>
  </si>
  <si>
    <t>(05234)31883</t>
  </si>
  <si>
    <t>Комунальний заклад"Червоноозерська загальноосвітня школа І-ІІ ступенів Долинської районної ради"</t>
  </si>
  <si>
    <t>3521984908</t>
  </si>
  <si>
    <t>Червоне Озеро</t>
  </si>
  <si>
    <t>Комунальний заклад "Новогригорівська Друга загальноосвітня школа І - ІІ ступенів Долинської районної ради"</t>
  </si>
  <si>
    <t>28541</t>
  </si>
  <si>
    <t>3521986401</t>
  </si>
  <si>
    <t>Новогригорівка Друга</t>
  </si>
  <si>
    <t>Комунальний заклад "Новогригорівська Перша загальноосвітня школа І-ІІІ ступенів Долинської районної ради"</t>
  </si>
  <si>
    <t>28522</t>
  </si>
  <si>
    <t>3521986901</t>
  </si>
  <si>
    <t>Новогригорівка Перша</t>
  </si>
  <si>
    <t>вул. 30-річчя  Перемоги, 66</t>
  </si>
  <si>
    <t>(05234)64346</t>
  </si>
  <si>
    <t>Комунальний заклад "Суходільська загальноосвітня школа І-ІІ ступенів Долинської районної ради"</t>
  </si>
  <si>
    <t>28520</t>
  </si>
  <si>
    <t>3521987801</t>
  </si>
  <si>
    <t>Суходільське</t>
  </si>
  <si>
    <t>вул. Гвардійська, 15</t>
  </si>
  <si>
    <t>(05234)31096</t>
  </si>
  <si>
    <t>Опорний навчальний заклад "Богданівська загальноосвітня школа І-ІІІ ступенів ім. І. Г. Ткаченка" Знам’янської районної ради, Кіровоградської області</t>
  </si>
  <si>
    <t>3522280401</t>
  </si>
  <si>
    <t>вул. Миру, 14</t>
  </si>
  <si>
    <t>(05233)73002</t>
  </si>
  <si>
    <t>Опорний навчальний заклад "Дмитрівська загальноосвітня школа І-ІІІ ступенів імені Т.Г.Шевченка Знам'янської районної ради Кіровоградської області"</t>
  </si>
  <si>
    <t>27422</t>
  </si>
  <si>
    <t>3522281501</t>
  </si>
  <si>
    <t>вул. Поштова, 10</t>
  </si>
  <si>
    <t>(05233)70303</t>
  </si>
  <si>
    <t>Опорний навчальний заклад "Мошоринська загальноосвітня школа I-III ступенів Знам'янської районної ради Кіровоградської області"</t>
  </si>
  <si>
    <t>27453</t>
  </si>
  <si>
    <t>3522284201</t>
  </si>
  <si>
    <t>Мошорине</t>
  </si>
  <si>
    <t>(45)2-38</t>
  </si>
  <si>
    <t>Опорний навчальний заклад "Петрівський начально-виховний комплекс "Дошкільний навчальний заклад-загальноосвітня школа І-ІІІ ступенів" Знамянської районної ради Кіровоградської області</t>
  </si>
  <si>
    <t>27450</t>
  </si>
  <si>
    <t>3522285401</t>
  </si>
  <si>
    <t>Петрове</t>
  </si>
  <si>
    <t>вул. Викреста, 14А</t>
  </si>
  <si>
    <t>(052333)72059</t>
  </si>
  <si>
    <t>Опорний навчальний заклад "Суботцівська загальноосвітня школа І-ІІІ ступенів" Знам'янської районної ради Кіровоградської області</t>
  </si>
  <si>
    <t>27444</t>
  </si>
  <si>
    <t>3522286301</t>
  </si>
  <si>
    <t>Суботці</t>
  </si>
  <si>
    <t>(05233)46248</t>
  </si>
  <si>
    <t>http://www.subottsi.com.ua</t>
  </si>
  <si>
    <t>Опорний навчальний заклад "Трепівська загальноосвітня школа І-ІІІ ступенів" Знам'янської районної ради, Кіровоградської області</t>
  </si>
  <si>
    <t>27440</t>
  </si>
  <si>
    <t>3522287401</t>
  </si>
  <si>
    <t>Трепівка</t>
  </si>
  <si>
    <t>47275</t>
  </si>
  <si>
    <t>http://tr.rmkzn.com.ua</t>
  </si>
  <si>
    <t>Аджамська загальноосвітня школа І-ІІІ ступенів</t>
  </si>
  <si>
    <t>27620</t>
  </si>
  <si>
    <t>3522580301</t>
  </si>
  <si>
    <t>Аджамка</t>
  </si>
  <si>
    <t>вул. Виставочна, 6</t>
  </si>
  <si>
    <t>(0522)311446</t>
  </si>
  <si>
    <t>Олексіївська загальноосвітня школа І-ІІІ ступенів Кіровоградської районної державної адміністрації Кіровоградської області</t>
  </si>
  <si>
    <t>27614</t>
  </si>
  <si>
    <t>3522580601</t>
  </si>
  <si>
    <t>вул. Ушакова, 59</t>
  </si>
  <si>
    <t>(0522)315653</t>
  </si>
  <si>
    <t>Комунальний заклад "Бережинська загальноосвітня школа І-ІІІ ступенів" Кіровоградської районної ради Кіровоградської області</t>
  </si>
  <si>
    <t>27605</t>
  </si>
  <si>
    <t>3522580901</t>
  </si>
  <si>
    <t>Бережинка</t>
  </si>
  <si>
    <t>(0522)316359</t>
  </si>
  <si>
    <t>http://berezhynka-kir.edukit.kr.ua/</t>
  </si>
  <si>
    <t>Комунальний заклад "Великосеверинівська загальноосвітня школа І - ІІІ ступенів" Кіровоградської районної ради Кіровоградської області</t>
  </si>
  <si>
    <t>27613</t>
  </si>
  <si>
    <t>3522581201</t>
  </si>
  <si>
    <t>Велика Северинка</t>
  </si>
  <si>
    <t>(0522)312148</t>
  </si>
  <si>
    <t>Веселівський навчально-виховний комплекс "загальноосвітня школа І-ІІІ ступенів - дошкільний навчальний заклад"</t>
  </si>
  <si>
    <t>27603</t>
  </si>
  <si>
    <t>3522581501</t>
  </si>
  <si>
    <t>(0522)316642</t>
  </si>
  <si>
    <t>http://veselivka-kir.edukit.ua</t>
  </si>
  <si>
    <t>Вишняківська загальноосвітня філія комунального закладу "Карлівське навчально-виховне об'єднання "загальноосвітня школа І - ІІІ ступенів. Позашкільний центр" Кіровоградського району Кіровоградської області</t>
  </si>
  <si>
    <t>27645</t>
  </si>
  <si>
    <t>3522581601</t>
  </si>
  <si>
    <t>Вишняківка</t>
  </si>
  <si>
    <t>(0522)31-43-47</t>
  </si>
  <si>
    <t>Володимирівська загальноосвітня школа І-ІІІ ступенів Кіровоградської районної державної адміністрації Кіровоградської області</t>
  </si>
  <si>
    <t>27611</t>
  </si>
  <si>
    <t>3522581801</t>
  </si>
  <si>
    <t>(0522)313132</t>
  </si>
  <si>
    <t>http://vol-school.at.ua/</t>
  </si>
  <si>
    <t>Вільненська загальноосвітня школа І-ІІІ ступенів Кіровоградської районної державної адміністрації Кіровоградської області</t>
  </si>
  <si>
    <t>27640</t>
  </si>
  <si>
    <t>3522581901</t>
  </si>
  <si>
    <t>(066)5956109</t>
  </si>
  <si>
    <t>Високобайрацький навчально-виховний комплекс "загальноосвітня школа І-ІІІ ступенів - дошкільний навчальний заклад" Кіровоградської районної державної адміністрації Кіровоградської області</t>
  </si>
  <si>
    <t>27661</t>
  </si>
  <si>
    <t>3522582101</t>
  </si>
  <si>
    <t>Високі Байраки</t>
  </si>
  <si>
    <t>(0522)316541</t>
  </si>
  <si>
    <t>http://vysoki-bairaky.com.ua/</t>
  </si>
  <si>
    <t>Гаївська загальноосвітня школа І-ІІ ступенів - філія комунального закладу "Бережинська загальноосвітня школа І-ІІІ ступенів"</t>
  </si>
  <si>
    <t>27604</t>
  </si>
  <si>
    <t>3522582401</t>
  </si>
  <si>
    <t>ал. Центральна, 44</t>
  </si>
  <si>
    <t>Грузьківський навчально-виховний комплекс "загальноосвітня школа І-ІІІ ступенів - дошкільний навчальний заклад" Кіровоградської районної державної адміністрації Кіровоградської області</t>
  </si>
  <si>
    <t>27632</t>
  </si>
  <si>
    <t>3522582801</t>
  </si>
  <si>
    <t>вул. Сабліна, 32В</t>
  </si>
  <si>
    <t>Іванівська загальноосвітня філія комунального закладу "Соколівське навчально-виховне об'єднання "загальноосвітня школа І - ІІІ ступенів. Позашкільний центр" Кіровоградського району Кіровоградської області</t>
  </si>
  <si>
    <t>27655</t>
  </si>
  <si>
    <t>3522583201</t>
  </si>
  <si>
    <t>вул. Миру, 58Б</t>
  </si>
  <si>
    <t>(0522)317726</t>
  </si>
  <si>
    <t>http://ivanovka-school.at.ua/</t>
  </si>
  <si>
    <t>Івано-Благодатненський навчально-виховний комплекс "загальноосвітня школа І - ІІІ ступенів - дошкільний навчальний заклад" Кіровоградської районної державної адміністрації Кіровоградської області</t>
  </si>
  <si>
    <t>27635</t>
  </si>
  <si>
    <t>3522583302</t>
  </si>
  <si>
    <t>Івано-Благодатне</t>
  </si>
  <si>
    <t>вул. Миру, 33А</t>
  </si>
  <si>
    <t>http://ivblagodatne-nvk.edukit.kr.ua.</t>
  </si>
  <si>
    <t>Калинівська загальноосвітня школа І-ІІІ ступенів Кіровоградського району Кіровоградської області</t>
  </si>
  <si>
    <t>27653</t>
  </si>
  <si>
    <t>3522583601</t>
  </si>
  <si>
    <t>вул. Степова, 8</t>
  </si>
  <si>
    <t>(0522)313932</t>
  </si>
  <si>
    <t>Клинцівська загальноосвітня школа І-ІІ ступенів - філія комунального закладу "Бережинська загальноосвітня школа І-ІІІ ступенів"</t>
  </si>
  <si>
    <t>27651</t>
  </si>
  <si>
    <t>3522583901</t>
  </si>
  <si>
    <t>Клинці</t>
  </si>
  <si>
    <t>(0522)313753</t>
  </si>
  <si>
    <t>Комунальний заклад "Карлівське навчально-виховне об'єднання "Загальноосвітня школа І-ІІІ ступенів, Позашкільний центр" Соколівської сільської ради Кіровоградського району Кіровоградської області"</t>
  </si>
  <si>
    <t>27643</t>
  </si>
  <si>
    <t>3522584201</t>
  </si>
  <si>
    <t>Карлівка</t>
  </si>
  <si>
    <t>вул. Шабанова, 40</t>
  </si>
  <si>
    <t>314307</t>
  </si>
  <si>
    <t>Могутненський навчально-виховний комплекс «загальноосвітня школа І-ІІІ ступенів - дошкільний навчальний заклад" "Кіровоградської районної державної адміністрації (районної ради) Кіровоградської області</t>
  </si>
  <si>
    <t>27612</t>
  </si>
  <si>
    <t>3522584501</t>
  </si>
  <si>
    <t>Могутнє</t>
  </si>
  <si>
    <t>(0522)314531</t>
  </si>
  <si>
    <t>Назарівська загальноосвітня філія комунального закладу "Карлівське навчально-виховне об'єднання "загальноосвітня школа І - ІІІ ступенів. Позашкільний центр" Кіровоградського району Кіровоградської області</t>
  </si>
  <si>
    <t>27642</t>
  </si>
  <si>
    <t>3522584801</t>
  </si>
  <si>
    <t>Назарівка</t>
  </si>
  <si>
    <t>пров. Слави, 1А</t>
  </si>
  <si>
    <t>(0522)274037</t>
  </si>
  <si>
    <t>Комунальний заклад "Миколаївське навчально-виховне об'єднання "загальноосвітня школа І-ІІІ ступенів - дошкільний навчальний заклад" Кіровоградської районної ради Кіровоградської області</t>
  </si>
  <si>
    <t>27634</t>
  </si>
  <si>
    <t>3522585001</t>
  </si>
  <si>
    <t>вул. Романа Майстерюка, 44</t>
  </si>
  <si>
    <t>http://the-mykolaivka-school.blogspot.com</t>
  </si>
  <si>
    <t>Олено-Косогорівська філія - навчально-виховний комплекс "загальноосвітня школа І-ІІІ ступенів-дошкільний навчальний заклад" комунального закладу "Миколаївське навчально-виховне обєднання" Кіровоградської районної ради Кіровоградської області</t>
  </si>
  <si>
    <t>27636</t>
  </si>
  <si>
    <t>3522585003</t>
  </si>
  <si>
    <t>Олено-Косогорівка</t>
  </si>
  <si>
    <t>вул. Туристична, 26А</t>
  </si>
  <si>
    <t>(0522)312737</t>
  </si>
  <si>
    <t>http://olkocogor.at.ua</t>
  </si>
  <si>
    <t>Катеринівська загальноосвітня школа І-ІІІ ступенів Кіровоградської райдержадміністрації Кіровоградської області</t>
  </si>
  <si>
    <t>27631</t>
  </si>
  <si>
    <t>3522585802</t>
  </si>
  <si>
    <t>(0522)302862</t>
  </si>
  <si>
    <t>Оситнязька загальноосвітня школа І-ІІ ступенів - філія КЗ "Великосеверинівська ЗШ І-ІІІ ступенів" Кіровоградської районної ради Кіровоградської області</t>
  </si>
  <si>
    <t>27610</t>
  </si>
  <si>
    <t>3522586401</t>
  </si>
  <si>
    <t>Оситняжка</t>
  </si>
  <si>
    <t>(0522)312505</t>
  </si>
  <si>
    <t>http://osytniazhka-kir.edukit.kr.ua/</t>
  </si>
  <si>
    <t>КЗ "Первозванівське навчально-виховне об'єднання "загальноосвітня школа І-ІІІ ступенів - дошкільний навчальний заклад" Первозванівська загальноосвітня школа І - ІІІ ступенів Кіровоградської районної ради Кірововоградської області</t>
  </si>
  <si>
    <t>27652</t>
  </si>
  <si>
    <t>3522586601</t>
  </si>
  <si>
    <t>Первозванівка</t>
  </si>
  <si>
    <t>вул. Гагаріна, 2 а</t>
  </si>
  <si>
    <t>http://pervozvanivka.klasna.com</t>
  </si>
  <si>
    <t>Покровська загальноосвітня школа І-ІІ ступенів - філія комунального закладу "Бережинська загальноосвітня школа І-ІІІ ступенів"</t>
  </si>
  <si>
    <t>27650</t>
  </si>
  <si>
    <t>3522586901</t>
  </si>
  <si>
    <t>вул. Покровська, 7</t>
  </si>
  <si>
    <t>(0522)317128</t>
  </si>
  <si>
    <t>Созонівський навчально-виховний комплекс "Загальноосвітня школа І-ІІІ ступенів - дошкільний навчальний заклад" Кіровоградської районної державної адміністрації Кіровоградської області</t>
  </si>
  <si>
    <t>27602</t>
  </si>
  <si>
    <t>3522587001</t>
  </si>
  <si>
    <t>Созонівка</t>
  </si>
  <si>
    <t>вул. Академічна, 1</t>
  </si>
  <si>
    <t>(0522)315535</t>
  </si>
  <si>
    <t>Комунальний заклад "Соколівське навчально-виховне обєднання "Загальноосвітня школа І-ІІІ ступенів. Позашкільний центр." Соколівської сільської ради Кіровоградського району Кіровоградської області</t>
  </si>
  <si>
    <t>27641</t>
  </si>
  <si>
    <t>3522587201</t>
  </si>
  <si>
    <t>Соколівське</t>
  </si>
  <si>
    <t>вул. пр. Соколівський, 1</t>
  </si>
  <si>
    <t>(0522)310413</t>
  </si>
  <si>
    <t>Степова філія - навчально-виховний комплекс "загальноосвітня школа І-ІІ ступенів - дошкільний навчальний заклад" комунального закладу "Первозванівське навчально-виховне об'єднання"</t>
  </si>
  <si>
    <t>27656</t>
  </si>
  <si>
    <t>3522587401</t>
  </si>
  <si>
    <t>(0522)315836</t>
  </si>
  <si>
    <t>http://stepove-nvk.edukit.kr.ua</t>
  </si>
  <si>
    <t>Федорівський навчально-виховний комплекс "Загальноосвітня школа І-ІІІ ступенів - дошкільний навчальний заклад" Кіровоградської районної державної адміністрації Кіровоградської області</t>
  </si>
  <si>
    <t>27654</t>
  </si>
  <si>
    <t>3522587601</t>
  </si>
  <si>
    <t>вул. Леоніда Кравчука, 70</t>
  </si>
  <si>
    <t>(0522)315021</t>
  </si>
  <si>
    <t>Червоноярський навчально-виховний комплекс "загальноосвітня школа І-ІІІ ступенів - дошкільний навчальний заклад" Кіровоградської районної державної адміністрації Кіровоградської області</t>
  </si>
  <si>
    <t>27622</t>
  </si>
  <si>
    <t>3522587901</t>
  </si>
  <si>
    <t>Червоний Яр</t>
  </si>
  <si>
    <t>(0522)317537</t>
  </si>
  <si>
    <t>http://redscol.ucoz.ua</t>
  </si>
  <si>
    <t>Живанівське відділення комунального закладу "Компаніївське навчально-виховне об'єднання" Компаніївської районної ради Кіровоградської області</t>
  </si>
  <si>
    <t>28401</t>
  </si>
  <si>
    <t>3522855100</t>
  </si>
  <si>
    <t>Компаніївка</t>
  </si>
  <si>
    <t>Компаніївська загальноосвітня школа І-ІІ ступенів Компаніївської районної ради Кіровоградської області</t>
  </si>
  <si>
    <t>28400</t>
  </si>
  <si>
    <t>вул. Лугова, 67</t>
  </si>
  <si>
    <t>(05240)20393</t>
  </si>
  <si>
    <t>Комунальний заклад "Компаніївське навчально-виховне об''єднання" Компаніївської районної ради Кіровоградської області</t>
  </si>
  <si>
    <t>3522855102</t>
  </si>
  <si>
    <t>Живанівка</t>
  </si>
  <si>
    <t>(05240)20272</t>
  </si>
  <si>
    <t>40796120</t>
  </si>
  <si>
    <t>Навчально-виховний комплекс "Виноградівська загальноосвітня школа І-ІІІ ступенів - дошкільний навчальний заклад"</t>
  </si>
  <si>
    <t>28421</t>
  </si>
  <si>
    <t>3522880901</t>
  </si>
  <si>
    <t>Водянська загальноосвітня школа І-ІІ ступенів Компаніївської районної ради Кіровоградської області</t>
  </si>
  <si>
    <t>28424</t>
  </si>
  <si>
    <t>3522881101</t>
  </si>
  <si>
    <t>вул. лейтенанта Шевченка, 28А</t>
  </si>
  <si>
    <t>33957516</t>
  </si>
  <si>
    <t>Гарманівська загальноосвітня школа І-ІІ ступенів Компаніївської районної ради Кіровоградської області</t>
  </si>
  <si>
    <t>28412</t>
  </si>
  <si>
    <t>3522881401</t>
  </si>
  <si>
    <t>Гарманівка</t>
  </si>
  <si>
    <t>9-33-17</t>
  </si>
  <si>
    <t>Голубієвицька загальноосвітня школа І - ІІІ ступенів Компаніївської районної ради Кіровоградської області</t>
  </si>
  <si>
    <t>28441</t>
  </si>
  <si>
    <t>3522881501</t>
  </si>
  <si>
    <t>Голубієвичі</t>
  </si>
  <si>
    <t>0982820476</t>
  </si>
  <si>
    <t>Губівська загальноосвітня школа І-ІІІ ступенів імені Д.Бєдного Компаніївської районної ради Кіровоградської області</t>
  </si>
  <si>
    <t>28413</t>
  </si>
  <si>
    <t>3522881601</t>
  </si>
  <si>
    <t>Губівка</t>
  </si>
  <si>
    <t>(095)2219207</t>
  </si>
  <si>
    <t>Лозуватська загальноосвітня школа І - ІІІ ступенів Компаніївської районної ради Кіровоградської області</t>
  </si>
  <si>
    <t>28432</t>
  </si>
  <si>
    <t>3522882301</t>
  </si>
  <si>
    <t>(067)3551833</t>
  </si>
  <si>
    <t>Мар'ївська загальноосвітня школа І-ІІІ ступенів</t>
  </si>
  <si>
    <t>28410</t>
  </si>
  <si>
    <t>3522883001</t>
  </si>
  <si>
    <t>вул. Прогрес, 1</t>
  </si>
  <si>
    <t>(099)7799901</t>
  </si>
  <si>
    <t>Зеленівська загальноосвітня школа І-ІІ ступенів Компаніївської районної ради</t>
  </si>
  <si>
    <t>28411</t>
  </si>
  <si>
    <t>3522883002</t>
  </si>
  <si>
    <t>вул. Зої Космодем'янської, 14</t>
  </si>
  <si>
    <t>Нечаївська загальноосвітня школа І-ІІІ ступенів ім. Ю. І. Яновського Компаніївської районної ради Кіровоградської області</t>
  </si>
  <si>
    <t>28420</t>
  </si>
  <si>
    <t>3522883801</t>
  </si>
  <si>
    <t>Нечаївка</t>
  </si>
  <si>
    <t>вул. Шкільна, 43А</t>
  </si>
  <si>
    <t>(05240)98431</t>
  </si>
  <si>
    <t>Першотравенська загальноосвітня школа І-ІІІ ступенів Компаніївської районної ради Кіровоградської Області</t>
  </si>
  <si>
    <t>28431</t>
  </si>
  <si>
    <t>3522884301</t>
  </si>
  <si>
    <t>(05240)98315</t>
  </si>
  <si>
    <t>Петрівська загальноосвітня школа І-ІІІ ступенів</t>
  </si>
  <si>
    <t>28430</t>
  </si>
  <si>
    <t>3522884601</t>
  </si>
  <si>
    <t>вул. Садова, 1 А</t>
  </si>
  <si>
    <t>(096)1721077</t>
  </si>
  <si>
    <t>Полтавська загальноосвітня школа І-ІІІ ступенів Компаніївської районної ради Кіровоградської області</t>
  </si>
  <si>
    <t>28425</t>
  </si>
  <si>
    <t>3522885001</t>
  </si>
  <si>
    <t>вул. Центральна, 23А</t>
  </si>
  <si>
    <t>(05240)93222</t>
  </si>
  <si>
    <t>Навчально-виховний комплекс "Сасівська загальноосвітня школа І-ІІІ ступенів -дошкільний навчальний заклад"</t>
  </si>
  <si>
    <t>28416</t>
  </si>
  <si>
    <t>3522885301</t>
  </si>
  <si>
    <t>(05240)93132</t>
  </si>
  <si>
    <t>Софіївська загальноосвітня школа І-ІІ ступенів Компаніївської районної ради Кіровоградської області</t>
  </si>
  <si>
    <t>28422</t>
  </si>
  <si>
    <t>3522885401</t>
  </si>
  <si>
    <t>096424933</t>
  </si>
  <si>
    <t>Червонослобідська загальноосвітня школа І-ІІ ступенів Компаніївської районної ради Кіровоградської області</t>
  </si>
  <si>
    <t>28433</t>
  </si>
  <si>
    <t>3522885801</t>
  </si>
  <si>
    <t>вул. Молодіжна, 45А</t>
  </si>
  <si>
    <t>0978082803</t>
  </si>
  <si>
    <t>Червоновершська загальноосвітня школа І-ІІІ ступенів Компаніївської районної ради Кіровоградської області</t>
  </si>
  <si>
    <t>28414</t>
  </si>
  <si>
    <t>3522885901</t>
  </si>
  <si>
    <t>Червоновершка</t>
  </si>
  <si>
    <t>вул. Лісна, 1</t>
  </si>
  <si>
    <t>(066)3764223</t>
  </si>
  <si>
    <t>Маловисківська гімназія Маловисківської міської ради Кіровоградської області</t>
  </si>
  <si>
    <t>26200</t>
  </si>
  <si>
    <t>3523110100</t>
  </si>
  <si>
    <t>Мала Виска</t>
  </si>
  <si>
    <t>вул. Князька, 76</t>
  </si>
  <si>
    <t>(258)52490</t>
  </si>
  <si>
    <t>http://mv-gimnazium.at.ua/</t>
  </si>
  <si>
    <t>Маловисківська загальноосвітня школа № 3 І-ІІІ ступенів Маловисківської міської ради Кіровоградської області</t>
  </si>
  <si>
    <t>(05258)5-32-31</t>
  </si>
  <si>
    <t>Маловисківська загальноосвітня школа № 4 І-ІІІ ступенів</t>
  </si>
  <si>
    <t>вул. Європейська, 17</t>
  </si>
  <si>
    <t>(05258)51441</t>
  </si>
  <si>
    <t>Маловисківська загальноосвітня школа-інтернат І-ІІІ ступенів Маловисківської районної ради</t>
  </si>
  <si>
    <t>вул. Велігіна, 4/82А</t>
  </si>
  <si>
    <t>(05258)51170</t>
  </si>
  <si>
    <t>13760824</t>
  </si>
  <si>
    <t>Смолінська загальноосвітня школа № 1 І-ІІІ ступенів Маловисківської районної ради Кіровоградської області</t>
  </si>
  <si>
    <t>26222</t>
  </si>
  <si>
    <t>3523155700</t>
  </si>
  <si>
    <t>Смоліне</t>
  </si>
  <si>
    <t>(05258)32381</t>
  </si>
  <si>
    <t>Смолінське навчально-виховне об'єднання "Загальноосвітня школа І-ІІІ ступенів-гімназія-позашкільний навчальний заклад"</t>
  </si>
  <si>
    <t>26223</t>
  </si>
  <si>
    <t>вул. Казакова, 42</t>
  </si>
  <si>
    <t>(05258)32081</t>
  </si>
  <si>
    <t>Якимівський навчально-виховний комплекс "Загальноосвітня школа І-ІІІ ступенів - дошкільний навчальний заклад" Маловисківської районної ради Кіровоградської області</t>
  </si>
  <si>
    <t>26220</t>
  </si>
  <si>
    <t>3523180301</t>
  </si>
  <si>
    <t>вул. Молодіжна, 8 б</t>
  </si>
  <si>
    <t>3-38-48</t>
  </si>
  <si>
    <t>Олександрівський навчально-виховний комплекс "Загальноосвітня школа І-ІІ ступенів - дошкільний навчальний заклад" Маловисківської міської ради Кіровоградської області</t>
  </si>
  <si>
    <t>26243</t>
  </si>
  <si>
    <t>3523180601</t>
  </si>
  <si>
    <t>Великовисківська загальноосвітня школа І-ІІІ ступенів Маловисківської районної ради Кіровоградської області</t>
  </si>
  <si>
    <t>26241</t>
  </si>
  <si>
    <t>3523181201</t>
  </si>
  <si>
    <t>Велика Виска</t>
  </si>
  <si>
    <t>(05258)43168</t>
  </si>
  <si>
    <t>Злинський навчально-виховний комплекс "Загальноосвітня школа І-ІІІ ступенів - дошкільний навчальний заклад" Маловисківської районної ради Кіровоградської області</t>
  </si>
  <si>
    <t>26232</t>
  </si>
  <si>
    <t>3523181601</t>
  </si>
  <si>
    <t>Злинка</t>
  </si>
  <si>
    <t>вул. Центральна (Жовтнева), 238</t>
  </si>
  <si>
    <t>380685338757</t>
  </si>
  <si>
    <t>Злинська загальноосвітня школа № 1 І - ІІІ ступенів Маловисківської районної ради Кіровоградської області</t>
  </si>
  <si>
    <t>Миролюбівська загально-освітня школа І-ІІ ступенів Маловисківської районної ради Кіровоградської області</t>
  </si>
  <si>
    <t>26213</t>
  </si>
  <si>
    <t>3523182001</t>
  </si>
  <si>
    <t>вул. Південна, 6</t>
  </si>
  <si>
    <t>(05258)45741</t>
  </si>
  <si>
    <t>Копанська загальноосвітня школа І- ІІІ ступенів Маловисківської районної ради Кіровоградської області</t>
  </si>
  <si>
    <t>26212</t>
  </si>
  <si>
    <t>3523182402</t>
  </si>
  <si>
    <t>(05258)44633</t>
  </si>
  <si>
    <t>http://kopanskazosh.nethouse.ua</t>
  </si>
  <si>
    <t>Лозуватська загальноосвітня школа І-ІІ ступенів Маловисківської районної ради Кіровоградської області</t>
  </si>
  <si>
    <t>26230</t>
  </si>
  <si>
    <t>3523182801</t>
  </si>
  <si>
    <t>пров. Шкільний, 1А</t>
  </si>
  <si>
    <t>Мануйлівський навчально-виховний комплекс "Загальноосвітня школа І-ІІІ ступенів дошкільний навчальний заклад"</t>
  </si>
  <si>
    <t>26207</t>
  </si>
  <si>
    <t>3523183201</t>
  </si>
  <si>
    <t>вул. Водолазко, 70</t>
  </si>
  <si>
    <t>(05852)4-53-46</t>
  </si>
  <si>
    <t>Мар'янівська загальноосвітня школа І-ІІІ ступенів Маловисківської районної ради Кіровоградської області</t>
  </si>
  <si>
    <t>26240</t>
  </si>
  <si>
    <t>3523183601</t>
  </si>
  <si>
    <t>просп. Шатного, 28</t>
  </si>
  <si>
    <t>Оникіївська загальноосвітня школа І--ІІІ ступенів Маловисківської районної ради Кіровоградської області</t>
  </si>
  <si>
    <t>26244</t>
  </si>
  <si>
    <t>3523184001</t>
  </si>
  <si>
    <t>Оникієве</t>
  </si>
  <si>
    <t>(05258)44367</t>
  </si>
  <si>
    <t>Паліївський навчально - виховний комплекс "Загальноосвітня школа I - II ступенів - дошкільний навчальний заклад"</t>
  </si>
  <si>
    <t>26206</t>
  </si>
  <si>
    <t>3523184401</t>
  </si>
  <si>
    <t>Паліївка</t>
  </si>
  <si>
    <t>0993520134</t>
  </si>
  <si>
    <t>Плетеноташлицька загальноосвітня школа І-ІІІ ступенів Маловисківської районної ради Кіровоградської області</t>
  </si>
  <si>
    <t>26245</t>
  </si>
  <si>
    <t>3523185201</t>
  </si>
  <si>
    <t>Плетений Ташлик</t>
  </si>
  <si>
    <t>(05258)45613</t>
  </si>
  <si>
    <t>Розсохуватська загальноосвітня школа І-ІІст. Маловисківської районної ради Кіровоградської області</t>
  </si>
  <si>
    <t>26231</t>
  </si>
  <si>
    <t>3523185701</t>
  </si>
  <si>
    <t>Розсохуватка</t>
  </si>
  <si>
    <t>(05258)46657</t>
  </si>
  <si>
    <t>Хмелівське навчально-виховне об'єднання Маловисківської районної ради Кіровоградської області</t>
  </si>
  <si>
    <t>26225</t>
  </si>
  <si>
    <t>3523186801</t>
  </si>
  <si>
    <t>Хмельове</t>
  </si>
  <si>
    <t>(05258)38436</t>
  </si>
  <si>
    <t>Новопавлівська загальноосвітня школа І-ІІ ступенів Маловисківська районна рада Кіровоградської області</t>
  </si>
  <si>
    <t>26228</t>
  </si>
  <si>
    <t>3523186805</t>
  </si>
  <si>
    <t>ал. Шкільна, 11</t>
  </si>
  <si>
    <t>0662230103</t>
  </si>
  <si>
    <t>Комунальний заклад "Новгородківський навчально-виховний комплекс "Загальноосвітня школа I-III ступенів - дошкільний навчальний заклад" Новгородківської районної ради Кіровоградської області</t>
  </si>
  <si>
    <t>28200</t>
  </si>
  <si>
    <t>3523455100</t>
  </si>
  <si>
    <t>Новгородка</t>
  </si>
  <si>
    <t>вул. Авер’янова, 2</t>
  </si>
  <si>
    <t>(05241)20365</t>
  </si>
  <si>
    <t>КЗ "Новгородківський навчально-виховний комплекс імені звслуженого вчителя України П.Ф.Козуля "Загальноосвітня школа І-ІІІст.-дошкільний навчальний заклад" Новгородківської районної ради Кіровоградської області</t>
  </si>
  <si>
    <t>вул. Миру, 199</t>
  </si>
  <si>
    <t>(241)2-11-21</t>
  </si>
  <si>
    <t>Новгородківська філія комунального закладу «Новгородківський навчально-виховний комплекс «Загальноосвітня школа І-ІІІ ступенів – дошкільний навчальний заклад» Новгородківської районної ради Кіровоградської області»</t>
  </si>
  <si>
    <t>вул. Квітнева (Радянська), 74</t>
  </si>
  <si>
    <t>(05241)20376</t>
  </si>
  <si>
    <t>Великочечеліївська філія комунального закладу «Новгородківський навчально-виховний комплекс «Загальноосвітня школа І-ІІІ ступенів – дошкільний навчальний заклад» Новгородківської районної ради Кіровоградської області»</t>
  </si>
  <si>
    <t>28205</t>
  </si>
  <si>
    <t>3523455101</t>
  </si>
  <si>
    <t>Велика Чечеліївка</t>
  </si>
  <si>
    <t>вул. Шосейна, 19</t>
  </si>
  <si>
    <t>(05241)95751</t>
  </si>
  <si>
    <t>http://vchecheliivka-zosh.kr.sch.in.ua</t>
  </si>
  <si>
    <t>Комунальний заклад "Верблюзький навчально-виховний комплекс"Загальноосвітня школа І-ІІІ ступенів - дошкільний навчальний заклад - центр позашкільної освіти" Новгородківської районної ради Кіровоградської області</t>
  </si>
  <si>
    <t>28223</t>
  </si>
  <si>
    <t>3523480401</t>
  </si>
  <si>
    <t>Верблюжка</t>
  </si>
  <si>
    <t>вул. Бєляєва, 95</t>
  </si>
  <si>
    <t>(05241)93224</t>
  </si>
  <si>
    <t>http://verbluzkiynvk.at.ua</t>
  </si>
  <si>
    <t>Вершино-Кам'янська філія комунального закладу "Новгородківський навчально-виховний комплекс "Загальноосвітня школа І-ІІІ ступенів-дошкільний навчальний заклад" Новгородківської районної ради Кіровоградської області"</t>
  </si>
  <si>
    <t>28211</t>
  </si>
  <si>
    <t>3523480801</t>
  </si>
  <si>
    <t>Вершино-Кам'янка</t>
  </si>
  <si>
    <t>(05241)94119</t>
  </si>
  <si>
    <t>Інгуло-Кам'янська філія комунального закладу «Новгородківський навчально-виховний комплекс імені заслуженого вчителя України П.Ф. Козуля «Загальноосвітня школа І-ІІІ ступенів – дошкільний навчальний заклад» Новгородківської районної ради Кіровоградської області»</t>
  </si>
  <si>
    <t>02821</t>
  </si>
  <si>
    <t>3523481301</t>
  </si>
  <si>
    <t>Інгуло-Кам'янка</t>
  </si>
  <si>
    <t>Білозернівська філія комунального закладу «Новгородківський навчально-виховний комплекс «Загальноосвітня школа І-ІІІ ступенів – дошкільний навчальний заклад» Новгородківської районної ради Кіровоградської області»</t>
  </si>
  <si>
    <t>28228</t>
  </si>
  <si>
    <t>3523482402</t>
  </si>
  <si>
    <t>Білозерне</t>
  </si>
  <si>
    <t>(805241)95141</t>
  </si>
  <si>
    <t>http://bilozerne.kirovedu.com</t>
  </si>
  <si>
    <t>Митрофанівська філія комунального закладу «Новгородківський навчально-виховний комплекс «Загальноосвітня школа І-ІІІ ступенів – дошкільний навчальний заклад» Новгородківської районної ради Кіровоградської області»</t>
  </si>
  <si>
    <t>28210</t>
  </si>
  <si>
    <t>3523482901</t>
  </si>
  <si>
    <t>Митрофанівка</t>
  </si>
  <si>
    <t>(05241)9-42-18</t>
  </si>
  <si>
    <t>Новоандріївська філія комунального закладу "Новгородківський навчально-виховний комплекс імені заслужено вчителя України П.Ф.Козуля "Загальноосвітня школа І-ІІІ ступенів - дошкільний навчальний заклад" Новгородківської районної ради Кіровоградської області</t>
  </si>
  <si>
    <t>28212</t>
  </si>
  <si>
    <t>3523483601</t>
  </si>
  <si>
    <t>вул. Молодіжна, 48</t>
  </si>
  <si>
    <t>0672018204</t>
  </si>
  <si>
    <t>https://novoandriivka.wixsite.com/novoandriivka</t>
  </si>
  <si>
    <t>Петрокорбівський навчально-виховний комплекс "Загальноосвітня школа І-ІІІ ступенів-дошкільний навчальний заклад" Новгородківської районної ради Кіровоградської області</t>
  </si>
  <si>
    <t>28220</t>
  </si>
  <si>
    <t>3523484701</t>
  </si>
  <si>
    <t>Петрокорбівка</t>
  </si>
  <si>
    <t>0524195515</t>
  </si>
  <si>
    <t>Тарасівська філія комунального закладу «Новгородківський навчально-виховний комплекс імені заслуженого вчителя України П.Ф. Козуля «Загальноосвітня школа І-ІІІ ступенів – дошкільний навчальний заклад» Новгородківської районної ради Кіровоградської області»</t>
  </si>
  <si>
    <t>28214</t>
  </si>
  <si>
    <t>3523486901</t>
  </si>
  <si>
    <t>вул. Шкільна1, 1</t>
  </si>
  <si>
    <t>(05241)95214</t>
  </si>
  <si>
    <t>http://tarasivka.klasna.com</t>
  </si>
  <si>
    <t>Новоархангельська загальноосвітня школа І - ІІІ ступенів Новоархангельського навчально-виховного об'єднання № 2 Новоархангельської районної ради Кіровоградської області</t>
  </si>
  <si>
    <t>26100</t>
  </si>
  <si>
    <t>3523655100</t>
  </si>
  <si>
    <t>Новоархангельськ</t>
  </si>
  <si>
    <t>вул. Козацька, 112</t>
  </si>
  <si>
    <t>(05255)22138, (05255)21379</t>
  </si>
  <si>
    <t>40782448</t>
  </si>
  <si>
    <t>Новоархангельський навчально-виховний комплекс "загальноосвітня школа І-ІІІ ступенів - гімназія" Новоархангельського навчально-виховного об'єднання № 1 Новоархангельської районної ради Кіровоградської області</t>
  </si>
  <si>
    <t>(25555)21754</t>
  </si>
  <si>
    <t>40779964</t>
  </si>
  <si>
    <t>Синюхінський навчально-виховний комплекс "загальноосвітня школа І - ІІ ступенів - дошкільний навчальний заклад" Новоархангельського навчально-виховного обєднання № 2 Новоархангельської районної ради Кіровоградської області</t>
  </si>
  <si>
    <t>26105</t>
  </si>
  <si>
    <t>3523655104</t>
  </si>
  <si>
    <t>Синюха</t>
  </si>
  <si>
    <t>(05255)21572</t>
  </si>
  <si>
    <t>Ганнівська загальноосвітня школа І-ІІ ступенів Новоархангельського навчально-виховного об'єднання № 2 Новоархангельської районої ради Кіровоградської області</t>
  </si>
  <si>
    <t>26142</t>
  </si>
  <si>
    <t>3523680401</t>
  </si>
  <si>
    <t>(05255)39-1-40</t>
  </si>
  <si>
    <t>http://hannivkaschool.at.ua/</t>
  </si>
  <si>
    <t>Іванівський навчально-виховний комплекс "загальноосвітня школа І-ІІ ступенів - дошкільний навчальний заклад" Надлацького навчально-виховного об'єднання Новоархангельської районної ради Кіровоградської області</t>
  </si>
  <si>
    <t>26151</t>
  </si>
  <si>
    <t>3523681001</t>
  </si>
  <si>
    <t>(40)1-93</t>
  </si>
  <si>
    <t>Кальниболотська загальноосвітня школа І-ІІІ ступенів Надлацького навчально - виховного обєднання Новоархангельської районної ради Кіровоградської області</t>
  </si>
  <si>
    <t>26111</t>
  </si>
  <si>
    <t>3523681201</t>
  </si>
  <si>
    <t>Кальниболота</t>
  </si>
  <si>
    <t>0525531-1-40</t>
  </si>
  <si>
    <t>23231831</t>
  </si>
  <si>
    <t>Кам'янецька загальноосвітня школа І-ІІІ ступенів Торговицького навчально-виховного об'єднання Новоархангельської районної ради Кіровоградської області</t>
  </si>
  <si>
    <t>26110</t>
  </si>
  <si>
    <t>3523681801</t>
  </si>
  <si>
    <t>Кам'янече</t>
  </si>
  <si>
    <t>вул. Лисова, 53 а</t>
  </si>
  <si>
    <t>(05255)34140</t>
  </si>
  <si>
    <t>Копенкуватська загальноосвітня школа І-ІІІ ступенів</t>
  </si>
  <si>
    <t>26123</t>
  </si>
  <si>
    <t>3523682201</t>
  </si>
  <si>
    <t>Копенкувате</t>
  </si>
  <si>
    <t>(05255)45-3-13</t>
  </si>
  <si>
    <t>Мар'янівська загальноосвітня школа Новоархангельського навчально-виховного об'єднання № 1 Новоархангельської районної ради Кіровоградської області</t>
  </si>
  <si>
    <t>26141</t>
  </si>
  <si>
    <t>3523682701</t>
  </si>
  <si>
    <t>https://maryanivkaschool.wixsite/maryanivka</t>
  </si>
  <si>
    <t>Надлацька загальноосвітня школа І-ІІІ ступенів Надлацького навчально-виховного об'єднання Новоархангельської районної ради Кіровоградської області</t>
  </si>
  <si>
    <t>26150</t>
  </si>
  <si>
    <t>3523682901</t>
  </si>
  <si>
    <t>Надлак</t>
  </si>
  <si>
    <t>(05255)26197</t>
  </si>
  <si>
    <t>40780765</t>
  </si>
  <si>
    <t>Тимофіївський навчально-виховний комплекс "дошкільний навчальний заклад-загальноосвітня школа І ступеня" Надлацької сільської ради Кіровоградської області</t>
  </si>
  <si>
    <t>26152</t>
  </si>
  <si>
    <t>3523682907</t>
  </si>
  <si>
    <t>Тимофіївка</t>
  </si>
  <si>
    <t>ал. вул.Шкільна, 1</t>
  </si>
  <si>
    <t>26-3-09</t>
  </si>
  <si>
    <t>Небелівська загальноосвітня школа І - ІІ ступенів ім. П.С.Гришка Торговицького навчально-виховного обєднання Новоархангельської районної ради Кіровоградської області</t>
  </si>
  <si>
    <t>3523683201</t>
  </si>
  <si>
    <t>Небелівка</t>
  </si>
  <si>
    <t>(05255)46-4-33</t>
  </si>
  <si>
    <t>Нерубайська загальноосвітня школа І - ІІ ступенів Торговицького навчально-виховного об'єднання Новоархангельської районної ради Кіровоградської області</t>
  </si>
  <si>
    <t>26120</t>
  </si>
  <si>
    <t>3523683601</t>
  </si>
  <si>
    <t>Нерубайка</t>
  </si>
  <si>
    <t>(33)540</t>
  </si>
  <si>
    <t>Вільшанська загальноосвітня школа І-ІІ ступенів, Новоархангельського навчально-виховного об'єднання № 1 Новоархангельської районної ради Кіровоградської області</t>
  </si>
  <si>
    <t>26153</t>
  </si>
  <si>
    <t>3523683901</t>
  </si>
  <si>
    <t>вул. Козацька, 45</t>
  </si>
  <si>
    <t>38-1-40</t>
  </si>
  <si>
    <t>Підвисоцька загальноосвітня школа І-ІІІ ступенів ім. Т.Г.Шевченка Підвисоцького навчально-виховного об'єднання Новоархангельської районної ради Кіровоградської області</t>
  </si>
  <si>
    <t>26122</t>
  </si>
  <si>
    <t>3523684201</t>
  </si>
  <si>
    <t>40781161</t>
  </si>
  <si>
    <t>Покотилівська загальноосвітня школа І-ІІ ступенів Підвисоцького навчально-виховного об'єднання Новоархангельської районної ради Кіровоградської області</t>
  </si>
  <si>
    <t>26132</t>
  </si>
  <si>
    <t>3523684601</t>
  </si>
  <si>
    <t>Покотилове</t>
  </si>
  <si>
    <t>вул. Будьонного, 6</t>
  </si>
  <si>
    <t>(0525544)2-36</t>
  </si>
  <si>
    <t>Розсохуватецький навчально-виховний комплекс "дошкільний навчальний заклад - загальноосвітня школа І ступеня" Підвисоцького навчально-виховного об'єднання Новоархангельської районної ради Кіровоградської області</t>
  </si>
  <si>
    <t>3523685001</t>
  </si>
  <si>
    <t>Розсохуватець</t>
  </si>
  <si>
    <t>ал. Миру, 7</t>
  </si>
  <si>
    <t>Свердликівська загальноосвітня школа І-ІІ ступенів Торговицького навчально-виховного об'єднання Новоаорхангельської районної ради Кіровоградської області</t>
  </si>
  <si>
    <t>26113</t>
  </si>
  <si>
    <t>3523685601</t>
  </si>
  <si>
    <t>Свердликове</t>
  </si>
  <si>
    <t>вул. Широкий шлях, 9</t>
  </si>
  <si>
    <t>(35)113</t>
  </si>
  <si>
    <t>http://0000aaaa1111.jimdo.com/</t>
  </si>
  <si>
    <t>Скалівський навчально - виховний комплекс "загальноосвітня школа І- ІІступенів - дошкільний навчальний заклад" Новоархангельського навчально-виховного об'єднання № 1Новоархангельської районної ради Кіровоградської області</t>
  </si>
  <si>
    <t>26112</t>
  </si>
  <si>
    <t>3523686001</t>
  </si>
  <si>
    <t>Скалева</t>
  </si>
  <si>
    <t>вул. Молодіжна, 39</t>
  </si>
  <si>
    <t>(05255)36-1-10</t>
  </si>
  <si>
    <t>Скалівсько-Хутірська загальноосвітня школа І-ІІ ступенів Новоархангельського НВО № 2 Новоархангельської районної ради Кіровоградської області</t>
  </si>
  <si>
    <t>26140</t>
  </si>
  <si>
    <t>3523686501</t>
  </si>
  <si>
    <t>Скалівські Хутори</t>
  </si>
  <si>
    <t>(052)5537129</t>
  </si>
  <si>
    <t>http://skalhutora.at.ua</t>
  </si>
  <si>
    <t>Тернівська загальноосвітня школа I-II ступенів Новоархангельського району Кіровоградської області</t>
  </si>
  <si>
    <t>26131</t>
  </si>
  <si>
    <t>3523687001</t>
  </si>
  <si>
    <t>вул. Сонячна, 4</t>
  </si>
  <si>
    <t>Торговицька загальноосвітня школа І-ІІІ ступенів ім. Є.Ф.Маланюка Торговицького навчально-виховного об'єднання Новоархангельської районної ради Кіровоградської області</t>
  </si>
  <si>
    <t>26106</t>
  </si>
  <si>
    <t>3523687701</t>
  </si>
  <si>
    <t>вул. Івана Сірка, 17</t>
  </si>
  <si>
    <t>(05255)22131</t>
  </si>
  <si>
    <t>40782500</t>
  </si>
  <si>
    <t>Ятранська загальноосвітня школа I -II Підвисоцького навчально-виховного об'днання Новоархангельської районної ради Кіровоградської області</t>
  </si>
  <si>
    <t>26134</t>
  </si>
  <si>
    <t>3523688501</t>
  </si>
  <si>
    <t>Ятрань</t>
  </si>
  <si>
    <t>вул. Т. Шевченка, 38</t>
  </si>
  <si>
    <t>Златопільська гімназія м. Новомиргорода Новомиргородська районна рада Кіровоградської області</t>
  </si>
  <si>
    <t>26001</t>
  </si>
  <si>
    <t>3523810100</t>
  </si>
  <si>
    <t>Новомиргород</t>
  </si>
  <si>
    <t>вул. Миколи Зерова, 20</t>
  </si>
  <si>
    <t>(256)4-30-10</t>
  </si>
  <si>
    <t>Навчально-виховне об’єднання "Новомиргородська загальноосвітня школа I-IIIступенів № 3 - ДНЗ" Новомиргородської районної ради Кіровоградської області</t>
  </si>
  <si>
    <t>26000</t>
  </si>
  <si>
    <t>вул. Соборності, 43</t>
  </si>
  <si>
    <t>(05256)42086</t>
  </si>
  <si>
    <t>http://novomyrgorod-school3.edukit.kr.ua/</t>
  </si>
  <si>
    <t>Новомиргородська загальноосвітня школа І-ІІІ ступенів № 1 Новомиргородської районої ради Кіровоградської області</t>
  </si>
  <si>
    <t>вул. Миколи Зерова, 3</t>
  </si>
  <si>
    <t>(05256)43191</t>
  </si>
  <si>
    <t>http://novomyrgorod-school1.edukit.kr.ua/</t>
  </si>
  <si>
    <t>Новомиргородська загальноосвітня школа І-ІІІ ступенів № 2 Новомиргородської районної ради Кіровоградської області</t>
  </si>
  <si>
    <t>вул. Соборності, 107</t>
  </si>
  <si>
    <t>(05256)4-15-03, (05256)4-19-66</t>
  </si>
  <si>
    <t>http://novomyrgorod-school2.kr.sch.in.ua</t>
  </si>
  <si>
    <t>молдовська,англійська</t>
  </si>
  <si>
    <t>Новомиргородська спеціальна загальноосвітня школа-інтернат І-ІІ ступенів Кіровоградської обласної ради</t>
  </si>
  <si>
    <t>вул. Соборності, 163</t>
  </si>
  <si>
    <t>(05256)41403, (05256)41203</t>
  </si>
  <si>
    <t>20644099</t>
  </si>
  <si>
    <t>Новомиргородська спеціальна загальноосвітня школа-інтернат І-ІІІ ступенів Кіровоградської обласної ради</t>
  </si>
  <si>
    <t>вул. Маяковського, 20</t>
  </si>
  <si>
    <t>(0256)4-19-10</t>
  </si>
  <si>
    <t>23095180</t>
  </si>
  <si>
    <t>Капітанівська загальноосвітня школа І-ІІІ ступенів Новомиргородської районної ради Кіровоградської області</t>
  </si>
  <si>
    <t>26010</t>
  </si>
  <si>
    <t>3523855400</t>
  </si>
  <si>
    <t>Капітанівка</t>
  </si>
  <si>
    <t>вул. Смілянська, 55</t>
  </si>
  <si>
    <t>(05256)42672</t>
  </si>
  <si>
    <t>http://kapitanivskashkola.jimdo.com/</t>
  </si>
  <si>
    <t>Шпаківська загальноосвітня школа І-ІІ ступенів, Новомиргородської районної ради, Кіровоградської області</t>
  </si>
  <si>
    <t>26022</t>
  </si>
  <si>
    <t>3523880401</t>
  </si>
  <si>
    <t>Шпакове</t>
  </si>
  <si>
    <t>(05256)94534</t>
  </si>
  <si>
    <t>Дібрівський навчально - виховний комплекс "Загальноосвітня школа І - ІІ ступенів - дошкільний навчальний заклад" Новомиргородської районної ради Кіровоградської області</t>
  </si>
  <si>
    <t>26021</t>
  </si>
  <si>
    <t>3523881301</t>
  </si>
  <si>
    <t>0974684481</t>
  </si>
  <si>
    <t>Миролюбівська філія І-ІІ ступенів НВО "Новомиргородська ЗШ І-ІІІ ступенів -ДНЗ". Миролюбівської сільської ради Новомиргородського району Кіроиоградської області</t>
  </si>
  <si>
    <t>26016</t>
  </si>
  <si>
    <t>3523881801</t>
  </si>
  <si>
    <t>вул. Молодіжна, 67</t>
  </si>
  <si>
    <t>(96)4-37</t>
  </si>
  <si>
    <t>Йосипівський навчально-виховний комплекс "Загальноосвітня школа І-ІІІ ступенів - дошкільний навчальний заклад" Новомргородської районної ради Кіровоградської області</t>
  </si>
  <si>
    <t>26030</t>
  </si>
  <si>
    <t>3523882501</t>
  </si>
  <si>
    <t>(97)1-22</t>
  </si>
  <si>
    <t>http://yosypivka-nvk.kr.sch.in.ua</t>
  </si>
  <si>
    <t>Кам'янська філія І-ІІ ступенів Новомиргородської ЗШ І-ІІІ ступенів № 2 Новомиргородської районної ради Кіровоградської області</t>
  </si>
  <si>
    <t>26032</t>
  </si>
  <si>
    <t>3523882901</t>
  </si>
  <si>
    <t>(97)3-34</t>
  </si>
  <si>
    <t>http://kamyanka.ucoz.ru</t>
  </si>
  <si>
    <t>Канізька ЗШ І-ІІІ ступенів Новомиргородської районної ради Кіровоградської області</t>
  </si>
  <si>
    <t>26035</t>
  </si>
  <si>
    <t>3523883201</t>
  </si>
  <si>
    <t>Каніж</t>
  </si>
  <si>
    <t>(05256)97519</t>
  </si>
  <si>
    <t>Відділ освіти Новомиргородської районної державної адміністрації Кіровоградської області Коробчинська загальноосвітня школа І-ІІІ ступенів</t>
  </si>
  <si>
    <t>26014</t>
  </si>
  <si>
    <t>3523883601</t>
  </si>
  <si>
    <t>Коробчине</t>
  </si>
  <si>
    <t>Листопадівська загальноосвітня школа І - ІІ ступенів Новомиргородської районної ради Кіровоградської області</t>
  </si>
  <si>
    <t>26012</t>
  </si>
  <si>
    <t>3523884001</t>
  </si>
  <si>
    <t>Листопадове</t>
  </si>
  <si>
    <t>вул. Соборна, 59</t>
  </si>
  <si>
    <t>(05259)97241</t>
  </si>
  <si>
    <t>Мартоніська загальноосвітня школа І-ІІІ ступенів Новомиргородської районної ради Кіровоградської області</t>
  </si>
  <si>
    <t>26033</t>
  </si>
  <si>
    <t>3523884401</t>
  </si>
  <si>
    <t>Мартоноша</t>
  </si>
  <si>
    <t>вул. Молодіжна, 22</t>
  </si>
  <si>
    <t>Оситнязький НВК "Загальноосвітня школа І-ІІ ступенів - дошкільний навчальний заклад" Новомиргородської районної ради Кіровоградської області</t>
  </si>
  <si>
    <t>26020</t>
  </si>
  <si>
    <t>3523885201</t>
  </si>
  <si>
    <t>http://osytniazhka-nm.edukit.kr.ua</t>
  </si>
  <si>
    <t>Оситнянська загальноосвітня школа І-ІІ ступенів</t>
  </si>
  <si>
    <t>26043</t>
  </si>
  <si>
    <t>3523885601</t>
  </si>
  <si>
    <t>Оситна</t>
  </si>
  <si>
    <t>вул. Шкільна 1</t>
  </si>
  <si>
    <t>0963556036</t>
  </si>
  <si>
    <t>Панчівська загальноосвітня школа І-ІІІ ступенів Новомиргородської районної ради Кіровоградської області</t>
  </si>
  <si>
    <t>26034</t>
  </si>
  <si>
    <t>3523885801</t>
  </si>
  <si>
    <t>Панчеве</t>
  </si>
  <si>
    <t>(05256)95-184</t>
  </si>
  <si>
    <t>Петроострівська філія І-ІІ ступенів НВО "Новомиргородська загальноосвітня школа І-ІІІ ступенів № 3-ДНЗ" Новомиргородської районної ради Кіровоградської області</t>
  </si>
  <si>
    <t>26015</t>
  </si>
  <si>
    <t>3523886001</t>
  </si>
  <si>
    <t>Петроострів</t>
  </si>
  <si>
    <t>94-6-18</t>
  </si>
  <si>
    <t>Пурпурівський навчально-виховний комплекс "Загальноосвітня школа І ступеня - дошкільний навчальний заклад" Новомиргородської районної ради Кіровоградської області</t>
  </si>
  <si>
    <t>26040</t>
  </si>
  <si>
    <t>3523886501</t>
  </si>
  <si>
    <t>Пурпурівка</t>
  </si>
  <si>
    <t>навчально-виховне об'єднання "Тишківська загальноосвітня школа І-ІІІ ступенів - дошкільний навчальний заклад" Новомиргородської районної ради Кіровоградської області</t>
  </si>
  <si>
    <t>3523887301</t>
  </si>
  <si>
    <t>вул. Перемоги, 126</t>
  </si>
  <si>
    <t>(05256)97474</t>
  </si>
  <si>
    <t>http://nvo-tyshkyvka.ucoz.ua</t>
  </si>
  <si>
    <t>Туріянська загальноосвітня школа І-ІІІ ступенів Новомиргородської районної ради Кіровоградської області</t>
  </si>
  <si>
    <t>26011</t>
  </si>
  <si>
    <t>3523887601</t>
  </si>
  <si>
    <t>Турія</t>
  </si>
  <si>
    <t>http://schoolturia.kirovedu.com</t>
  </si>
  <si>
    <t>Філія "Загальноосвітня школа № 3" Новоукраїнської загальноосвітньої школи І - ІІІ ступенів № 6 Новоукраїнської міської ради Кіровоградської області</t>
  </si>
  <si>
    <t>27100</t>
  </si>
  <si>
    <t>3524010100</t>
  </si>
  <si>
    <t>вул. Миколи Вороного, 169</t>
  </si>
  <si>
    <t>(05251)2-19-78</t>
  </si>
  <si>
    <t>http://novoukrainka-school3.edukit.kr.ua/</t>
  </si>
  <si>
    <t>Новоукраїнська загальноосвітня школа І-ІІІ ст. № 4 Новоукраїнської міської ради Кіровоградської області</t>
  </si>
  <si>
    <t>27102</t>
  </si>
  <si>
    <t>вул. Толстого, 7</t>
  </si>
  <si>
    <t>(05251)2-50-40</t>
  </si>
  <si>
    <t>http://novoukr-school4.at.ua</t>
  </si>
  <si>
    <t>Новоукраїнська загальноосвітня школа І-ІІІ ступенів № 6 Новоукраїнської міської ради Кіровоградської області</t>
  </si>
  <si>
    <t>вул. Соборна, 75/3</t>
  </si>
  <si>
    <t>0525122050</t>
  </si>
  <si>
    <t>http://novzosh6.ucoz.ua</t>
  </si>
  <si>
    <t>Новоукраїнський навчально-виховний комплекс № 8 "Загальноосвітня школа І-ІІІ ступенів - дошкільний навчальний заклад" Новоукраїнської міської ради Кіровоградської області</t>
  </si>
  <si>
    <t>вул. Павлівська, 14</t>
  </si>
  <si>
    <t>(05251)22950</t>
  </si>
  <si>
    <t>http://www.novoukrainka-school8.edukit.kr.ua/</t>
  </si>
  <si>
    <t>Філія "Загальноосвітня школа № 1" Новоукраїнської загальноосвітньої школи І-ІІІ ступенів № 6 Новоукраїнської міської ради Кіровоградської області</t>
  </si>
  <si>
    <t>вул. Мокряка, 24</t>
  </si>
  <si>
    <t>2-17-50</t>
  </si>
  <si>
    <t>http://novoukrainka-school1.edukit.kr.ua/</t>
  </si>
  <si>
    <t>Новоукраїнський навчально-виховний комплекс "Загальноосвітня школа І ступеня з поглибленим вивченням англійської мови - гімназія "Лідер", Новоукраїнської міської ради Кіровоградської області</t>
  </si>
  <si>
    <t>(05251)22150</t>
  </si>
  <si>
    <t>Ганнівська загальноосвітня школа І-ІІІ ступенів Ноукраїнської районної ради Кіровоградської області</t>
  </si>
  <si>
    <t>27165</t>
  </si>
  <si>
    <t>3524080301</t>
  </si>
  <si>
    <t>(251)45-2-10</t>
  </si>
  <si>
    <t>Глодоська загальноосвітня школа І-ІІІ ступенів Новоукраїнської районної ради</t>
  </si>
  <si>
    <t>27110</t>
  </si>
  <si>
    <t>3524080601</t>
  </si>
  <si>
    <t>Глодоси</t>
  </si>
  <si>
    <t>(0251)36-5-21</t>
  </si>
  <si>
    <t>Іванівське навчально-виховне обєднання "загальноосвітня школа І-ІІІ ступенів - дошкільний навчальний заклад" Новоукраїнської районної ради Кровоградської області</t>
  </si>
  <si>
    <t>27130</t>
  </si>
  <si>
    <t>3524081801</t>
  </si>
  <si>
    <t>(050)4573028</t>
  </si>
  <si>
    <t>Комишуватська загальноосвітня школа І - ІІІ ступенів Новоукраїнської районної ради Кіровоградської області</t>
  </si>
  <si>
    <t>27152</t>
  </si>
  <si>
    <t>3524082401</t>
  </si>
  <si>
    <t>пров. Провулок Шкільний, 1</t>
  </si>
  <si>
    <t>Мар'янопільська філія Новоукраїнського НВК № 8 "Загальноосвітня школа І-ІІІ ступенів - дошкільний навчальний заклад" Новоукраїнської міської ради, Кіровоградська область.</t>
  </si>
  <si>
    <t>27123</t>
  </si>
  <si>
    <t>3524083601</t>
  </si>
  <si>
    <t>Мар'янопіль</t>
  </si>
  <si>
    <t>Рівнянська загальноосвітня школа І-ІІІ ступенів № 2 НОвоукраїнської районної ради Кіровоградської області</t>
  </si>
  <si>
    <t>27160</t>
  </si>
  <si>
    <t>3524085601</t>
  </si>
  <si>
    <t>вул. Покровська, 228</t>
  </si>
  <si>
    <t>(05251)41385</t>
  </si>
  <si>
    <t>Рівнянська загальноосвітня школа І-ІІІ ступенів № 5 Новоукраїнської районної ради Кіровоградської області</t>
  </si>
  <si>
    <t>(251)41363</t>
  </si>
  <si>
    <t>Рівнянська спеціальна загальноосвітня школа-інтернат І-ІІ ступенів Новоукраїнського району</t>
  </si>
  <si>
    <t>вул. Гагаріна, 20</t>
  </si>
  <si>
    <t>(05251)4-13-60</t>
  </si>
  <si>
    <t>13760801</t>
  </si>
  <si>
    <t>Воронівська філія Новоукраїнського навчально - виховного комплесу № 8 "Загальноосвітня школа І - ІІІ степенів - дошкільний навчальний заклад" Новоукраїнської міської ради Кіровоградської області</t>
  </si>
  <si>
    <t>27126</t>
  </si>
  <si>
    <t>3524086403</t>
  </si>
  <si>
    <t>Воронівка</t>
  </si>
  <si>
    <t>вул. Квітневва, 2</t>
  </si>
  <si>
    <t>(05251)36633</t>
  </si>
  <si>
    <t>Вільшанська загальноосвітня школа І-ІІІ ступенів (опорний навчальний заклад) Вільшанської районної ради Кіровоградської області</t>
  </si>
  <si>
    <t>26600</t>
  </si>
  <si>
    <t>3524355100</t>
  </si>
  <si>
    <t>(05250)97545</t>
  </si>
  <si>
    <t>http://www.vlscool.at.ua</t>
  </si>
  <si>
    <t>Добрянська ЗШ І-ІІІ ступенів (опорний навчальний заклад) Вільшанської районної ради Кіровоградської області</t>
  </si>
  <si>
    <t>26612</t>
  </si>
  <si>
    <t>3524380801</t>
  </si>
  <si>
    <t>вул. Леніна, 71</t>
  </si>
  <si>
    <t>Березовобалківська загальноосвітня школа І-ІІІ ступенів ім.Т.Г. Шевченка(опорний навчальний заклад) Вільшанської районної ради Кіровоградської області</t>
  </si>
  <si>
    <t>26623</t>
  </si>
  <si>
    <t>3524381301</t>
  </si>
  <si>
    <t>Березова Балка</t>
  </si>
  <si>
    <t>вул. Квітнева, 55</t>
  </si>
  <si>
    <t>(05250)93324</t>
  </si>
  <si>
    <t>Сухоташлицький навчально -виховний комплекс "Загальноосвітній навчальний заклад І-ІІІ ступенів -дошкільний навчальний заклад" (опорний навчальний заклад)</t>
  </si>
  <si>
    <t>26630</t>
  </si>
  <si>
    <t>3524384201</t>
  </si>
  <si>
    <t>Сухий Ташлик</t>
  </si>
  <si>
    <t>вул. Рибаківка, 5</t>
  </si>
  <si>
    <t>0683171004</t>
  </si>
  <si>
    <t>Онуфріївська загальноосвітня школа І-ІІІ ступенів смт Онуфріївка Онуфріївської районної ради Кіровоградської області</t>
  </si>
  <si>
    <t>28100</t>
  </si>
  <si>
    <t>3524655100</t>
  </si>
  <si>
    <t>Онуфріївка</t>
  </si>
  <si>
    <t>(05238)91269</t>
  </si>
  <si>
    <t>http://www.onufriivka-school.edukit.kr.ua/</t>
  </si>
  <si>
    <t>Навчально - виховний комплекс "Павлиська загальноосвітня школа І - ІІ ступенів № 2 - дошкільний навчальний заклад"</t>
  </si>
  <si>
    <t>28110</t>
  </si>
  <si>
    <t>3524655400</t>
  </si>
  <si>
    <t>Павлиш</t>
  </si>
  <si>
    <t>вул. Перемоги, 187А</t>
  </si>
  <si>
    <t>(05238)22515</t>
  </si>
  <si>
    <t>Навчально-виховний комплекс "Павлиська загальноосвітня школа І - ІІІ ступенів - ліцей імені В.О.Сухомлинського" Онуфріївської районної ради Кіровоградської області</t>
  </si>
  <si>
    <t>вул. Сухомлинського, 4</t>
  </si>
  <si>
    <t>(05238)22356, (05238)22179</t>
  </si>
  <si>
    <t>Василівська загальноосвітня школа І-ІІІ ступенів Онуфріївської районної ради Кіровоградської області</t>
  </si>
  <si>
    <t>28115</t>
  </si>
  <si>
    <t>3524680401</t>
  </si>
  <si>
    <t>95-7-35</t>
  </si>
  <si>
    <t>Вишнівцівська загальноосвітня школа І-ІІ ступенів. Онуфріївської районної ради Кіровоградської області</t>
  </si>
  <si>
    <t>28130</t>
  </si>
  <si>
    <t>3524680801</t>
  </si>
  <si>
    <t>Вишнівці</t>
  </si>
  <si>
    <t>Навчально-виховний комплекс "Деріївська загальноосвітня школа І-ІІІ ступенів - дошкільний навчальний заклад" Онуфріївської районної ради Кіроовоградської області</t>
  </si>
  <si>
    <t>28121</t>
  </si>
  <si>
    <t>3524681301</t>
  </si>
  <si>
    <t>Деріївка</t>
  </si>
  <si>
    <t>вул. Риндака, 1</t>
  </si>
  <si>
    <t>(05238)94290</t>
  </si>
  <si>
    <t>http://deriivka-nvk.at.ua</t>
  </si>
  <si>
    <t>Зибківська загальноосвітня школа І-ІІІ ступенів Онуфріївської районної ради Кіровоградської області</t>
  </si>
  <si>
    <t>28131</t>
  </si>
  <si>
    <t>3524681901</t>
  </si>
  <si>
    <t>Зибкове</t>
  </si>
  <si>
    <t>вул. Шкільна, 70</t>
  </si>
  <si>
    <t>(05238)96131</t>
  </si>
  <si>
    <t>Камбурліївка загальноосвітня школа І-ІІІ ступенів Онуфріївська районна рада Кіровоградська область</t>
  </si>
  <si>
    <t>28113</t>
  </si>
  <si>
    <t>3524682501</t>
  </si>
  <si>
    <t>Камбурліївка</t>
  </si>
  <si>
    <t>(05238)95345</t>
  </si>
  <si>
    <t>http://kamburliivka-school.edukit.kr.ua</t>
  </si>
  <si>
    <t>Навчально-виховний комплекс "Куцеволівська загальноосвітня школа І - ІІІ ступенів - дошкільний навчальний заклад"</t>
  </si>
  <si>
    <t>28122</t>
  </si>
  <si>
    <t>3524683601</t>
  </si>
  <si>
    <t>Куцеволівка</t>
  </si>
  <si>
    <t>вул. Шевченка, 121</t>
  </si>
  <si>
    <t>(05238)94158</t>
  </si>
  <si>
    <t>Млинківська загальноосвітня школа І-ІІІ ступенів Онуфріївської районної ради Кіровоградської області</t>
  </si>
  <si>
    <t>28123</t>
  </si>
  <si>
    <t>3524684701</t>
  </si>
  <si>
    <t>Млинок</t>
  </si>
  <si>
    <t>вул. Лесі Українки, 24</t>
  </si>
  <si>
    <t>(05238)96744</t>
  </si>
  <si>
    <t>http://mlinok-school.at.ua</t>
  </si>
  <si>
    <t>Навчально-виховний комплекс "Омельницька загальноосвітня школа І-ІІІ ступенів - дошкільний навчальний заклад" Онуфріївської районної ради Кіровоградської області</t>
  </si>
  <si>
    <t>28114</t>
  </si>
  <si>
    <t>3524685801</t>
  </si>
  <si>
    <t>Омельник</t>
  </si>
  <si>
    <t>вул. Воровченка, 27</t>
  </si>
  <si>
    <t>http://omelnyk-school.edykit.kr.ua</t>
  </si>
  <si>
    <t>Навчально-виховний комплекс "Попівська загальноосвітня школа І-ІІ ступенів-дошкільний навчальний заклад" Онуфріївської районної ради Кіровоградської області</t>
  </si>
  <si>
    <t>28104</t>
  </si>
  <si>
    <t>3524686201</t>
  </si>
  <si>
    <t>вул. Петропавлівська, 75 А</t>
  </si>
  <si>
    <t>(05238)95542</t>
  </si>
  <si>
    <t>Успенська загальноосвітня школа І-ІІІ ступенів Онуфріївської районної ради Кіровоградської області</t>
  </si>
  <si>
    <t>28120</t>
  </si>
  <si>
    <t>3524687701</t>
  </si>
  <si>
    <t>Успенка</t>
  </si>
  <si>
    <t>94438</t>
  </si>
  <si>
    <t>Комунальний заклад "Петрівське навчально-виховне об'єднання "загальноосвітня школа І-ІІІ ступенів - гімназія" Петрівської районної ради Кіровоградської області</t>
  </si>
  <si>
    <t>28300</t>
  </si>
  <si>
    <t>3524955100</t>
  </si>
  <si>
    <t>вул. Літвінова, 18</t>
  </si>
  <si>
    <t>(05237)97323</t>
  </si>
  <si>
    <t>Петрівська загальноосвітня школа І ступеня, філія комунального закладу "Петрівське навчально-виховне об'єднання "загальноосвітня школа І-ІІІ ступенів - гімназія" Петрівської районної ради Кіровоградської області</t>
  </si>
  <si>
    <t>вул. Літвінова, 12 а</t>
  </si>
  <si>
    <t>(05237)9-75-01</t>
  </si>
  <si>
    <t>http://petrove-petr-school.edukit.kr.ua</t>
  </si>
  <si>
    <t>Балахівська загальноосвітня школа І-ІІ ступенів, філія Новостародубської ЗШ І-ІІІ ступенів Петрівської районної ради Кіровоградської області</t>
  </si>
  <si>
    <t>28314</t>
  </si>
  <si>
    <t>3524955300</t>
  </si>
  <si>
    <t>Балахівка</t>
  </si>
  <si>
    <t>(05237)92359</t>
  </si>
  <si>
    <t>http://balakhivka-school.edukit.kr.ua</t>
  </si>
  <si>
    <t>Ганнівська загальноосвітня школа І-ІІІ ступенів Петрівської районної ради Кіровоградської області</t>
  </si>
  <si>
    <t>3524980401</t>
  </si>
  <si>
    <t>вул. Вереснева, 46</t>
  </si>
  <si>
    <t>Володимирівська загальноосвітня школа І - ІІ ступенів, філія Ганнівської загальноосвітньої школи І-ІІІ ступенів Петрівської районної ради Кіровоградської області</t>
  </si>
  <si>
    <t>28326</t>
  </si>
  <si>
    <t>3524980402</t>
  </si>
  <si>
    <t>(05237)94294</t>
  </si>
  <si>
    <t>http://volodumurivka.jimdo.com</t>
  </si>
  <si>
    <t>Богданівська загальноосвітня школа І-ІІ ступенів, філія комунального закладу "Петрівське навчально-виховне об'єднання "загальноосвітня школа І-ІІІ ступенів-гімназія" Петрівської районної ради Петрівського району Кіровоградської області</t>
  </si>
  <si>
    <t>28332</t>
  </si>
  <si>
    <t>3524980801</t>
  </si>
  <si>
    <t>(05237)94738</t>
  </si>
  <si>
    <t>https://sites.google.com/site/bogdanivskazosiiistupeniv/</t>
  </si>
  <si>
    <t>Водянський навчально-виховний комплекс "дошкільний навчальний заклад - загальноосвітня школа І ступеня" Водянської сільської ради</t>
  </si>
  <si>
    <t>28330</t>
  </si>
  <si>
    <t>3524981301</t>
  </si>
  <si>
    <t>вул. Засядько, 5</t>
  </si>
  <si>
    <t>(05237)94623</t>
  </si>
  <si>
    <t>Зеленська загальноосвітня школа І - ІІ ступенів, філія Петрівської загальноосвітньої школи І - ІІІ ступенів Петрівської районної ради Кіровоградської області</t>
  </si>
  <si>
    <t>28320</t>
  </si>
  <si>
    <t>3524981901</t>
  </si>
  <si>
    <t>http://greenford.jimdo.com/</t>
  </si>
  <si>
    <t>Іскрівська загальноосвітня школа І-ІІІ ступенів, філія Ганнівської загальноосвітньої школи І-ІІІ ступенів Петрівської районної ради Кіровоградської області</t>
  </si>
  <si>
    <t>28337</t>
  </si>
  <si>
    <t>3524982901</t>
  </si>
  <si>
    <t>Іскрівка</t>
  </si>
  <si>
    <t>пров. Шкільний, 2А</t>
  </si>
  <si>
    <t>(05237)9-47-23</t>
  </si>
  <si>
    <t>Луганська загальноосвітня школа І-ІІІ ступенів Петрівської районної ради Кіровоградської області</t>
  </si>
  <si>
    <t>28335</t>
  </si>
  <si>
    <t>3524983101</t>
  </si>
  <si>
    <t>Луганка</t>
  </si>
  <si>
    <t>92418</t>
  </si>
  <si>
    <t>http://luganka-school.edukit.kr.ua</t>
  </si>
  <si>
    <t>Новостародубська загальноосвітня школа І-ІІІ ступенів Петрівської районної ради Кіровоградської області</t>
  </si>
  <si>
    <t>28310</t>
  </si>
  <si>
    <t>3524983701</t>
  </si>
  <si>
    <t>Новий Стародуб</t>
  </si>
  <si>
    <t>вул. Степняка-Кравчинського, 7</t>
  </si>
  <si>
    <t>(05237)9-41-69</t>
  </si>
  <si>
    <t>http://novyi-starodub.edukit.kr.ua./</t>
  </si>
  <si>
    <t>Петрівська загальноосвітня школа І-ІІІ ступенів Петрівської районної ради Кіровоградської області</t>
  </si>
  <si>
    <t>28322</t>
  </si>
  <si>
    <t>3524984801</t>
  </si>
  <si>
    <t>Козацьке</t>
  </si>
  <si>
    <t>вул. Молодіжна, 55</t>
  </si>
  <si>
    <t>(05237)9-26-93</t>
  </si>
  <si>
    <t>http://hutorschool.ucoz.ua</t>
  </si>
  <si>
    <t>Червонокостянтинівська загальноосвітня школа І-ІІІ ступенів Петрівської районної ради Кіровоградської області</t>
  </si>
  <si>
    <t>28333</t>
  </si>
  <si>
    <t>3524985901</t>
  </si>
  <si>
    <t>Червонокостянтинівка</t>
  </si>
  <si>
    <t>(05237)94532</t>
  </si>
  <si>
    <t>Чечеліївська загальноосвітня школа І-ІІІ ступенів, філія Новостародубської загальноосвітньої школи І-ІІІ ступенів Петрівської районної ради Кіровоградської області</t>
  </si>
  <si>
    <t>28315</t>
  </si>
  <si>
    <t>3524986601</t>
  </si>
  <si>
    <t>Чечеліївка</t>
  </si>
  <si>
    <t>(05(237))95422</t>
  </si>
  <si>
    <t>http://chechel_school.klasha.com</t>
  </si>
  <si>
    <t>Навчально-виховний комплекс "Загальноосвітня школа І- ІІІ ступенів - дошкільний навчальний заклад" Великоандрусівської сільської ради Світловодського райдону Кіровоградської області</t>
  </si>
  <si>
    <t>27520</t>
  </si>
  <si>
    <t>3525280501</t>
  </si>
  <si>
    <t>Велика Андрусівка</t>
  </si>
  <si>
    <t>Великоскельовська загальноосвітня школа І-ІІ ступенів Комунальний заклад "Павлівське навчально-виховне об'єднання "Загальноосвітня школа І-ІІІ ступенів-дошкільний навчальний заклад" Світловодської районної ради Кіровоградської області</t>
  </si>
  <si>
    <t>27541</t>
  </si>
  <si>
    <t>3525280701</t>
  </si>
  <si>
    <t>Велика Скельова</t>
  </si>
  <si>
    <t>(05236)50124</t>
  </si>
  <si>
    <t>Комунальний заклад "Глинське навчально виховне об'єднання "Загальноосвітня школа І - ІІІ ступенів-дошкільний навчальний заклад" Світловодської районної ради Кіровоградської області</t>
  </si>
  <si>
    <t>27532</t>
  </si>
  <si>
    <t>3525281201</t>
  </si>
  <si>
    <t>Григорівська загальноосвітня школа І-ІІІ ступенів Світловодської районної державної адміністрації Кіровоградської області</t>
  </si>
  <si>
    <t>27533</t>
  </si>
  <si>
    <t>3525281801</t>
  </si>
  <si>
    <t>(05236)51119</t>
  </si>
  <si>
    <t>http://hryhorivka-svitlovod.edukit.kr.ua</t>
  </si>
  <si>
    <t>Захарівський навчально -виховний комплекс"Загальноосвітня школа І-ІІІ ступенів - дошкільний навчальний заклад" Комунальний заклад "Глинське навчально-виховне об'єднання "Загальноосвітня школа І-ІІІ ступенів-дошкільний навчальний заклад" Світловодської районної ради Кіровоградської області</t>
  </si>
  <si>
    <t>27545</t>
  </si>
  <si>
    <t>3525282401</t>
  </si>
  <si>
    <t>Захарівка</t>
  </si>
  <si>
    <t>0523654799</t>
  </si>
  <si>
    <t>http://zaharivka-sv-school.edukit.kr.ua.</t>
  </si>
  <si>
    <t>Іванівська загальноосвітня шкла І - ІІ ступенів Світловодської РДА Кіровоградської області</t>
  </si>
  <si>
    <t>27544</t>
  </si>
  <si>
    <t>3525283501</t>
  </si>
  <si>
    <t>ал. Центральна, 118</t>
  </si>
  <si>
    <t>Миронівська загальноосвітня школа І-ІІ ступенів Світловодської районної державної адміністрації Кіровоградської області</t>
  </si>
  <si>
    <t>27540</t>
  </si>
  <si>
    <t>3525284601</t>
  </si>
  <si>
    <t>вул. Гагаріна, 176</t>
  </si>
  <si>
    <t>(236)74158</t>
  </si>
  <si>
    <t>http://myronivka-sv.edukit.kr.ua/</t>
  </si>
  <si>
    <t>Микільська загальноосвітня школа І-ІІІ ступенів Світловодської районної державної адміністрації Кіровоградської області</t>
  </si>
  <si>
    <t>27530</t>
  </si>
  <si>
    <t>3525285201</t>
  </si>
  <si>
    <t>вул. Паркова, 13</t>
  </si>
  <si>
    <t>(05236)50343</t>
  </si>
  <si>
    <t>Озерський навчально-виховний комплекс «Загальноосвітня школа І-ІІІ ступенів-дошкільний навчальний заклад» Світловодської районної державної адміністрації Кіровоградської області</t>
  </si>
  <si>
    <t>27542</t>
  </si>
  <si>
    <t>3525285801</t>
  </si>
  <si>
    <t>(05236)51717</t>
  </si>
  <si>
    <t>Комунальний заклад "Павлівське навчально-виховне об'єднання "Загальноосвітня школа І-ІІІ ступенів - дошкільний навчальний заклад" Світловодської районної ради Кіровоградської області"</t>
  </si>
  <si>
    <t>27519</t>
  </si>
  <si>
    <t>3525286901</t>
  </si>
  <si>
    <t>пров. Шкільний, 9А</t>
  </si>
  <si>
    <t>(5236)51374</t>
  </si>
  <si>
    <t>Вільнянська загальноосвітня школа І ступеня Комунальний заклад "Павлівське навчально-виховне об'єднання "Загальноосвітня школа І-ІІІ ст.-дошкільний навчальний заклад" Світловодської районної ради Кіровоградської області</t>
  </si>
  <si>
    <t>3525286902</t>
  </si>
  <si>
    <t>вул. Свердлова, 108А</t>
  </si>
  <si>
    <t>(05236)24564</t>
  </si>
  <si>
    <t>Подорожненський навчально - виховний комплекс "Загальноосвітня школа І-ІІІ ступенів - дошкільний навчальний заклад" Великоандрусівської сільської ради</t>
  </si>
  <si>
    <t>27522</t>
  </si>
  <si>
    <t>3525287601</t>
  </si>
  <si>
    <t>Подорожнє</t>
  </si>
  <si>
    <t>(05236)54312</t>
  </si>
  <si>
    <t>Федірківський навчально - виховний комплекс " Загальноосвітня школа І - ІІ ступенів - дошкільний навчальний заклад" Світловодської районної державної адміністрації Кіровоградської області</t>
  </si>
  <si>
    <t>27535</t>
  </si>
  <si>
    <t>3525288101</t>
  </si>
  <si>
    <t>Федірки</t>
  </si>
  <si>
    <t>(096)9787501</t>
  </si>
  <si>
    <t>http://fedirky-school.edukit.kr.ua./</t>
  </si>
  <si>
    <t>Благовіщенський навчально-виховний комплекс № 1 "Гімназія - загальноосвітня школа І-ІІІ ступенів - дошкільний навчальний заклад "Сонечко" Благовіщенської районної ради</t>
  </si>
  <si>
    <t>26400</t>
  </si>
  <si>
    <t>3525510100</t>
  </si>
  <si>
    <t>Благовіщенське</t>
  </si>
  <si>
    <t>(05259)21953</t>
  </si>
  <si>
    <t>33333913</t>
  </si>
  <si>
    <t>Благовіщенський навчально-виховний комплекс № 2 "Загальноосвітня школа І-ІІІ ступенів - дошкільний навчальний заклад "Дивоцвіт" Благовіщенської районної ради</t>
  </si>
  <si>
    <t>вул. Гагаріна, 89/59</t>
  </si>
  <si>
    <t>(05259)21783</t>
  </si>
  <si>
    <t>38884563</t>
  </si>
  <si>
    <t>Великотроянівська загальноосвітня школа І-ІІІ ступенів Благовіщенської районної ради</t>
  </si>
  <si>
    <t>26413</t>
  </si>
  <si>
    <t>3525580801</t>
  </si>
  <si>
    <t>Великі Трояни</t>
  </si>
  <si>
    <t>вул. Поворознюка, 10А</t>
  </si>
  <si>
    <t>(05259)25530</t>
  </si>
  <si>
    <t>33333960</t>
  </si>
  <si>
    <t>Грушківський навчально-виховний комплекс "Загальноосвітня школа І-ІІІ ступенів - дошкільний навчальний заклад" Благовіщенської районної ради</t>
  </si>
  <si>
    <t>26420</t>
  </si>
  <si>
    <t>3525581301</t>
  </si>
  <si>
    <t>(05259)27130</t>
  </si>
  <si>
    <t>32806301</t>
  </si>
  <si>
    <t>ДАНИЛОВО-БАЛКІВСЬКИЙ НАВЧАЛЬНО-ВИХОВНИЙ КОМПЛЕКС «Загальноосвітня школа І-ІІІ ступенів - дошкільний навчальний заклад» Благовіщенської районної ради</t>
  </si>
  <si>
    <t>26440</t>
  </si>
  <si>
    <t>3525581901</t>
  </si>
  <si>
    <t>Данилова Балка</t>
  </si>
  <si>
    <t>(05259)23132</t>
  </si>
  <si>
    <t>33333940</t>
  </si>
  <si>
    <t>Йосипівська загальноосвітня школа І-ІІІ ступенів Благовіщенської районної ради</t>
  </si>
  <si>
    <t>26414</t>
  </si>
  <si>
    <t>3525582501</t>
  </si>
  <si>
    <t>0525928130</t>
  </si>
  <si>
    <t>34856794</t>
  </si>
  <si>
    <t>Кам'янобрідська загальноосвітня школа І-ІІ ступенів Благовіщенської районної ради</t>
  </si>
  <si>
    <t>26430</t>
  </si>
  <si>
    <t>3525583601</t>
  </si>
  <si>
    <t>вул. Соборності, 64</t>
  </si>
  <si>
    <t>(05259)24133</t>
  </si>
  <si>
    <t>32806322</t>
  </si>
  <si>
    <t>Кам'янокриничанська загальноосвітня школа І-ІІІ ступенів Благовіщенської районної ради</t>
  </si>
  <si>
    <t>26412</t>
  </si>
  <si>
    <t>3525584201</t>
  </si>
  <si>
    <t>Кам'яна Криниця</t>
  </si>
  <si>
    <t>вул. Центральна, 120</t>
  </si>
  <si>
    <t>(05259)26530</t>
  </si>
  <si>
    <t>33333934</t>
  </si>
  <si>
    <t>Лозуватська загальноосвітня школа І-ІІІ ступенів Благовіщенської районної ради</t>
  </si>
  <si>
    <t>26441</t>
  </si>
  <si>
    <t>3525584801</t>
  </si>
  <si>
    <t>Лозувата</t>
  </si>
  <si>
    <t>вул. Зоряна, 20</t>
  </si>
  <si>
    <t>(0525)2-66-87</t>
  </si>
  <si>
    <t>http://lozuvateznz.klasna.com</t>
  </si>
  <si>
    <t>32806317</t>
  </si>
  <si>
    <t>Луполівська загальноосвітня школа І-ІІІ ступенів Благовіщенської районної ради</t>
  </si>
  <si>
    <t>26443</t>
  </si>
  <si>
    <t>3525585201</t>
  </si>
  <si>
    <t>Луполове</t>
  </si>
  <si>
    <t>вул. Сонячна, 112,а</t>
  </si>
  <si>
    <t>2-56-30</t>
  </si>
  <si>
    <t>33333981</t>
  </si>
  <si>
    <t>Мечиславський навчально - виховний комплекс "Загальноосвітня школа І - ІІ ступенів - дошкільний навчальний заклад "Орлятко"Благовіщенської районної ради</t>
  </si>
  <si>
    <t>26415</t>
  </si>
  <si>
    <t>3525585501</t>
  </si>
  <si>
    <t>Мечиславка</t>
  </si>
  <si>
    <t>вул. Лесі Українки, 37</t>
  </si>
  <si>
    <t>(05259)23433</t>
  </si>
  <si>
    <t>Новоселицька загальноосвітня школа І-ІІІ ступенів Благовіщенської районної ради</t>
  </si>
  <si>
    <t>26423</t>
  </si>
  <si>
    <t>3525586001</t>
  </si>
  <si>
    <t>(05259)27323</t>
  </si>
  <si>
    <t>33914194</t>
  </si>
  <si>
    <t>Вільхівська загальноосвітня школа І-ІІІ ступенів імені Леоніда Васильовича Куценка Благовіщенської районної ради</t>
  </si>
  <si>
    <t>26410</t>
  </si>
  <si>
    <t>3525587101</t>
  </si>
  <si>
    <t>Вільхове</t>
  </si>
  <si>
    <t>(05259)925130</t>
  </si>
  <si>
    <t>33333929</t>
  </si>
  <si>
    <t>Розношенська загальноосвітня школа І-ІІ ступенів Благовіщенської районної ради</t>
  </si>
  <si>
    <t>26422</t>
  </si>
  <si>
    <t>3525588201</t>
  </si>
  <si>
    <t>Розношенське</t>
  </si>
  <si>
    <t>вул. Шевченка, 130</t>
  </si>
  <si>
    <t>(05259)26430</t>
  </si>
  <si>
    <t>26504809</t>
  </si>
  <si>
    <t>Сабатинівська загальноосвітня школа І-ІІІ ступенів Благовіщенської районної ради</t>
  </si>
  <si>
    <t>26434</t>
  </si>
  <si>
    <t>3525588601</t>
  </si>
  <si>
    <t>Сабатинівка</t>
  </si>
  <si>
    <t>вул. Центральна, 154</t>
  </si>
  <si>
    <t>(05259)25430</t>
  </si>
  <si>
    <t>32806275</t>
  </si>
  <si>
    <t>Шамраївська загальноосвітня школа І-ІІІ ступенів Благовіщенської районної ради</t>
  </si>
  <si>
    <t>26452</t>
  </si>
  <si>
    <t>3525589701</t>
  </si>
  <si>
    <t>Шамраєве</t>
  </si>
  <si>
    <t>вул. Чернишевського, 6</t>
  </si>
  <si>
    <t>(05259)21627</t>
  </si>
  <si>
    <t>33333976</t>
  </si>
  <si>
    <t>Синьківська загальноосвітня школа І-ІІ ступенів Благовіщенської районної ради</t>
  </si>
  <si>
    <t>26411</t>
  </si>
  <si>
    <t>3525589901</t>
  </si>
  <si>
    <t>Синьки</t>
  </si>
  <si>
    <t>вул. Покровська, 8</t>
  </si>
  <si>
    <t>(0525)926330</t>
  </si>
  <si>
    <t>http://synkyznz.klasna.com</t>
  </si>
  <si>
    <t>33333955</t>
  </si>
  <si>
    <t>філія "Устинівська загальноосвітня школа І-ІІ ступенів" комунального закладу "Устинівське навчально-виховне об'єднання "Загальноосвітня школа І-ІІІ ступенів" Устинівської районної ради Кіровоградської лбласті</t>
  </si>
  <si>
    <t>28600</t>
  </si>
  <si>
    <t>3525855100</t>
  </si>
  <si>
    <t>Устинівка</t>
  </si>
  <si>
    <t>вул. Кошового, 8</t>
  </si>
  <si>
    <t>(05239)41392</t>
  </si>
  <si>
    <t>Комунальний заклад "Устинівське навчально-виховне об"єднання "Загальноосвітня школа І-ІІІ ступенів" Устинівської районної ради Кіровоградської області"</t>
  </si>
  <si>
    <t>вул. Ювілейна, 16</t>
  </si>
  <si>
    <t>Олександрівська загальноосвітня школа І-ІІступенів Устинівської райдержадміністрації Кіровоградської області.</t>
  </si>
  <si>
    <t>28621</t>
  </si>
  <si>
    <t>3525880201</t>
  </si>
  <si>
    <t>вул. Гаркавого, 24</t>
  </si>
  <si>
    <t>філія "Березівський навчально-виховний комплекс "Загальноосвітня школа І-ІІ ступенів - дошкільний навчальний заклад" комунального закладу "Інгульське навчально-виховне об'єднання "Загальноосвітня школа І-ІІІ ступенів" Устинівської районної ради Кіровоградської області</t>
  </si>
  <si>
    <t>28625</t>
  </si>
  <si>
    <t>3525881201</t>
  </si>
  <si>
    <t>(0523934)34117</t>
  </si>
  <si>
    <t>Комунальний заклад "Димитровське навчально- виховне об'єднання "Загальноосвітня школа І-ІІІ ступенів" Устинівської районної ради Кіровоградської області"</t>
  </si>
  <si>
    <t>3525882301</t>
  </si>
  <si>
    <t>Новоігорівка</t>
  </si>
  <si>
    <t>Докучаєвська загальноосвітня школа І-ІІІ ступенів Устинівської райдержадміністрації Кіровоградської області</t>
  </si>
  <si>
    <t>28631</t>
  </si>
  <si>
    <t>3525884401</t>
  </si>
  <si>
    <t>Докучаєве</t>
  </si>
  <si>
    <t>вул. Віталія Федитника, 1</t>
  </si>
  <si>
    <t>3-13-40</t>
  </si>
  <si>
    <t>філія "Жовтнева загальноосвітня школа І-ІІ ступенів" комунального закладу "Устинівське навчально-виховне об'єднання "Загальноосвітня школа І-ІІІ ступенів" Устинівської районної ради Кіровоградської області</t>
  </si>
  <si>
    <t>28613</t>
  </si>
  <si>
    <t>3525884701</t>
  </si>
  <si>
    <t>Лебедине</t>
  </si>
  <si>
    <t>(05239)33144</t>
  </si>
  <si>
    <t>Комунальний заклад "Інгульське навчально-виховне об'єднання" "Загальноосвітня школа І-ІІІ ступенів" Устинівської районної ради Кіровоградської області</t>
  </si>
  <si>
    <t>28624</t>
  </si>
  <si>
    <t>3525884901</t>
  </si>
  <si>
    <t>Інгульське</t>
  </si>
  <si>
    <t>Криничуватський навчально - виховний комплекс загальноосвітня школа І - ІІІ ступенів - дошкільний навчальний заклад Устинівської районної ради Кіровоградської області</t>
  </si>
  <si>
    <t>28612</t>
  </si>
  <si>
    <t>3525885601</t>
  </si>
  <si>
    <t>Криничуватка</t>
  </si>
  <si>
    <t>Криничненська загальноосвітня школа І-ІІІ ступенів Устинівської районної державної адміністрації Кіровоградської області</t>
  </si>
  <si>
    <t>28630</t>
  </si>
  <si>
    <t>3525886701</t>
  </si>
  <si>
    <t>Седнівський навчально-виховний комплекс "Загальноосвітня школа І-ІІІ ступенів - дошкільний навчальний заклад"</t>
  </si>
  <si>
    <t>28620</t>
  </si>
  <si>
    <t>3525887801</t>
  </si>
  <si>
    <t>Седнівка</t>
  </si>
  <si>
    <t>https://sites.google.com/site/sednivska382/home</t>
  </si>
  <si>
    <t>філія "Степавнівська загальноосвітня школа I-II ступенів" КЗ "Устинівське навчально-виховне об'єднання "Загальноосвітня школа І-ІІІ ступенів" Устинівської районної ради Кіровоградської області</t>
  </si>
  <si>
    <t>02861</t>
  </si>
  <si>
    <t>3525888301</t>
  </si>
  <si>
    <t>ал. Шкільна, 10</t>
  </si>
  <si>
    <t>0976175219</t>
  </si>
  <si>
    <t>http://stepansvka-school.edukid.vk.ua</t>
  </si>
  <si>
    <t>Комунальний заклад " Лисичанська спеціалізована школа І-ІІІ ступенів № 8 Лисичанської міської ради Луганської області"</t>
  </si>
  <si>
    <t>93100</t>
  </si>
  <si>
    <t>4411800000</t>
  </si>
  <si>
    <t>Луганська область</t>
  </si>
  <si>
    <t>Лисичанськ</t>
  </si>
  <si>
    <t>(06451)73633</t>
  </si>
  <si>
    <t>http://93100sch8.co.ua</t>
  </si>
  <si>
    <t>Комунальний заклад "Лисичанська загальноосвітня школа І - ІІІ ступенів № 5 Лисичанської міської ради Луганської області"</t>
  </si>
  <si>
    <t>93112</t>
  </si>
  <si>
    <t>вул. Мічуріна, 16А</t>
  </si>
  <si>
    <t>Комунальний заклад "Лисичанська загальноосвітня школа І-ІІ ступенів № 18 Лисичанської міської ради Луганської області"</t>
  </si>
  <si>
    <t>93106</t>
  </si>
  <si>
    <t>вул. Маресьєва, 12А</t>
  </si>
  <si>
    <t>Комунальний заклад "Лисичанська загальноосвітня школа І-ІІІ ступенів № 13 Лисичанської міської ради Луганської області"</t>
  </si>
  <si>
    <t>93118</t>
  </si>
  <si>
    <t>кв. 40 років Перемоги, 19</t>
  </si>
  <si>
    <t>(06451)54108</t>
  </si>
  <si>
    <t>Комунальний заклад "Лисичанська спеціалізована школа І-ІІІ ступенів № 27 Лисичанської міської ради Луганської області"</t>
  </si>
  <si>
    <t>93107</t>
  </si>
  <si>
    <t>кв. Дружби народів, 31</t>
  </si>
  <si>
    <t>(06451)54172</t>
  </si>
  <si>
    <t>Комунальний заклад "Навчально-виховний комплекс школа І-ІІ ступенів-ліцей "Гарант" Лисичанської міської ради Луганської області"</t>
  </si>
  <si>
    <t>93120</t>
  </si>
  <si>
    <t>вул. Московська, 282</t>
  </si>
  <si>
    <t>http://shkola28.at.ua</t>
  </si>
  <si>
    <t>Лисичанська багатопрофільна гімназія Лисичанської міської ради Луганської області</t>
  </si>
  <si>
    <t>вул. Могілевського, 5</t>
  </si>
  <si>
    <t>(06451)75389</t>
  </si>
  <si>
    <t>http://lysychansk-ghymnasium.edukit.lg.ua/</t>
  </si>
  <si>
    <t>англійська,французька,латинська</t>
  </si>
  <si>
    <t>Лисичанська загальноосвітня школа І - ІІІ ступенів № 14 Лисичанської міської ради Луганської області</t>
  </si>
  <si>
    <t>вул. Гарибальді, 13</t>
  </si>
  <si>
    <t>(066)7134905</t>
  </si>
  <si>
    <t>Лисичанська загальноосвітня школа І-ІІ ступенів № 24 Лисичанської міської ради в Луганської області</t>
  </si>
  <si>
    <t>93110</t>
  </si>
  <si>
    <t>вул. Філатова, 21</t>
  </si>
  <si>
    <t>Лисичанська загальноосвітня школа І-ІІ ступенів № 9 Лисичанської міської ради Луганської області</t>
  </si>
  <si>
    <t>вул. Докучаєва, 7</t>
  </si>
  <si>
    <t>(06451)70674</t>
  </si>
  <si>
    <t>https://9lisschool.wixsite.com/school</t>
  </si>
  <si>
    <t>КЗ "Лисичанська загальноосвітня школа І-ІІІ ступенів № 12 Лисичансьокї міської ради Луганської області"</t>
  </si>
  <si>
    <t>кв. Центральний, 26</t>
  </si>
  <si>
    <t>(06451)53812</t>
  </si>
  <si>
    <t>http://school12-lis.org.ua</t>
  </si>
  <si>
    <t>Лисичанська загальноосвітня школа І-ІІІ ступенів № 4 Лисичанської міської ради Луганської області</t>
  </si>
  <si>
    <t>93108</t>
  </si>
  <si>
    <t>вул. Жовтнева, 271</t>
  </si>
  <si>
    <t>(06451)38671</t>
  </si>
  <si>
    <t>http://lschool4.ucoz.ua/</t>
  </si>
  <si>
    <t>Лисичанська загальноосвітня школа І-ІІІ ступенів № 2 Лисичанської міської ради Луганської області</t>
  </si>
  <si>
    <t>93105</t>
  </si>
  <si>
    <t>вул. Жовтнева, 64</t>
  </si>
  <si>
    <t>(251)74354</t>
  </si>
  <si>
    <t>Лисичанська загальноосвітня школа І-ІІІ ступенів № 26 Лисичанської міської ради Луганської області</t>
  </si>
  <si>
    <t>пров. Гірницький, 21</t>
  </si>
  <si>
    <t>(06451)72390</t>
  </si>
  <si>
    <t>http://lisschool26.ukoz.net</t>
  </si>
  <si>
    <t>Комунальний заклад "Лисичанський навчально-виховний комплекс загальноосвітня школа І-ІІІ ступенів № 3 - Дошкільний навчальний заклад "Барвінок"Лисичанської міської ради Луганської області"</t>
  </si>
  <si>
    <t>вул. Сметаніна, 15</t>
  </si>
  <si>
    <t>(06451)74317</t>
  </si>
  <si>
    <t>КОМУНАЛЬНИЙ ЗАКЛАД "ЛИСИЧАНСЬКА ЗАГАЛЬНООСВІТНЯ ШКОЛА І-ІІІ СТУПЕНІВ № 30 ЛИСИЧАНСЬКОЇ МІСЬКОЇ РАДИ ЛУГАНСЬКОЇ ОБЛАСТІ"</t>
  </si>
  <si>
    <t>кв. Східний, 40</t>
  </si>
  <si>
    <t>(06451)53201</t>
  </si>
  <si>
    <t>http://lisschool30.at.ua</t>
  </si>
  <si>
    <t>Лисичанський багатопрофільний ліцей Лисичанської міської ради Луганської області</t>
  </si>
  <si>
    <t>вул. ім. В. Сосюри, 277</t>
  </si>
  <si>
    <t>(06451)7-00-82</t>
  </si>
  <si>
    <t>http://llisiceum.org.ua</t>
  </si>
  <si>
    <t>Лисичанська загальноосвітня школа І - ІІІ ступенів № 25 Лисичанської міської ради Луганської області</t>
  </si>
  <si>
    <t>93193</t>
  </si>
  <si>
    <t>4411870400</t>
  </si>
  <si>
    <t>Новодружеськ</t>
  </si>
  <si>
    <t>вул. Шевченко, 2 А</t>
  </si>
  <si>
    <t>(06451)28202</t>
  </si>
  <si>
    <t>Лисичанська загальноосвітня школа І-ІІІ ступенів № 6 Лисичанської міської ради Луганської області</t>
  </si>
  <si>
    <t>(06451)28346</t>
  </si>
  <si>
    <t>http://lisschool6.ucoz.ua</t>
  </si>
  <si>
    <t>Комунальний заклад "Лисичанська загальноосвітня школа І - ІІ ступенів № 29 Лисичанської міської ради Луганської області"</t>
  </si>
  <si>
    <t>93191</t>
  </si>
  <si>
    <t>4411870700</t>
  </si>
  <si>
    <t>(06451)26171</t>
  </si>
  <si>
    <t>Комунальний заклад "Лисичанська загальноосвітня школа І-ІІІ ступенів № 7 Лисичанської міської ради Луганської області"</t>
  </si>
  <si>
    <t>вул. Шахтарська, 7А</t>
  </si>
  <si>
    <t>(06451)26557</t>
  </si>
  <si>
    <t>Гірська загальноосвітня школа І-ІІ ступенів № 15 Попаснянської районної ради Луганської області</t>
  </si>
  <si>
    <t>93293</t>
  </si>
  <si>
    <t>4412100000</t>
  </si>
  <si>
    <t>Первомайськ</t>
  </si>
  <si>
    <t>вул. Первомайська, 88</t>
  </si>
  <si>
    <t>Комунальний заклад "Рубіжанська обласна загальноосвітня санаторна школа інтернат I-III ступенів"</t>
  </si>
  <si>
    <t>93009</t>
  </si>
  <si>
    <t>4412500000</t>
  </si>
  <si>
    <t>Рубіжне</t>
  </si>
  <si>
    <t>вул. Менделєєва, 1</t>
  </si>
  <si>
    <t>(06453)6-32-98, (06453)6-32-88</t>
  </si>
  <si>
    <t>http://ww.rourc.h12.ru</t>
  </si>
  <si>
    <t>20156810</t>
  </si>
  <si>
    <t>Комунальний заклад "Рубіжанський навчально-реабілітаційний центр "Кришталик"</t>
  </si>
  <si>
    <t>вул. Будівельників, 27</t>
  </si>
  <si>
    <t>(06453)50198, (06453)50196</t>
  </si>
  <si>
    <t>20152663</t>
  </si>
  <si>
    <t>Комунальний навчально - виховний комплекс "загальноосвітня школа І - ІІ ступенів № 5 - дошкільний навчальний заклад (дитячий садок)" Рубіжанської міської ради Луганської області</t>
  </si>
  <si>
    <t>93008</t>
  </si>
  <si>
    <t>вул. В.Сосюри, 9</t>
  </si>
  <si>
    <t>(06453)63969</t>
  </si>
  <si>
    <t>http://knvk5rub.klasna.com</t>
  </si>
  <si>
    <t>Комунальний навчально-виховний комплекс "Рубіжанський ліцей" Рубіжанської міської ради Луганської області</t>
  </si>
  <si>
    <t>вул. Володимирська, 19</t>
  </si>
  <si>
    <t>(06453)63918, (06453)63914</t>
  </si>
  <si>
    <t>40761056</t>
  </si>
  <si>
    <t>Рубіжанська загальноосвітня школа І - ІІІ ступенів № 9 Рубіжанської міської ради Луганської області</t>
  </si>
  <si>
    <t>93010</t>
  </si>
  <si>
    <t>(06453)72010</t>
  </si>
  <si>
    <t>http://rubizhne-school9.klasna.com</t>
  </si>
  <si>
    <t>Рубіжанська загальноосвітня школа І-ІІ ступенів № 1Рубіжанської міської ради Луганської області</t>
  </si>
  <si>
    <t>93003</t>
  </si>
  <si>
    <t>вул. Смирнова, 27</t>
  </si>
  <si>
    <t>(06453)63817</t>
  </si>
  <si>
    <t>http://schoolnomer1.klasna.com</t>
  </si>
  <si>
    <t>Рубіжанська загальноосвітня школа І-ІІІ ступенів № 3 Рубіжанської міської ради Луганської області</t>
  </si>
  <si>
    <t>вул. Студентська, 30</t>
  </si>
  <si>
    <t>(06453)63930</t>
  </si>
  <si>
    <t>http://scool3.jimdo.com/</t>
  </si>
  <si>
    <t>Рубіжанська загальноосвітня школа І-ІІІ ступенів № 8 Рубіжанської міської ради Луганської області</t>
  </si>
  <si>
    <t>вул. Менделєєва, 35</t>
  </si>
  <si>
    <t>(06453)76823</t>
  </si>
  <si>
    <t>http://rubizhne-school8.edukit.lg.ua</t>
  </si>
  <si>
    <t>Рубіжанська загальноосвітня школа І-ІІІ ступенів № 4 Рубіжанської міської ради Луганської області</t>
  </si>
  <si>
    <t>93001</t>
  </si>
  <si>
    <t>вул. Чехова, 3</t>
  </si>
  <si>
    <t>(06453)93598</t>
  </si>
  <si>
    <t>http://rubizhne-school4.edukit.lg.ua/</t>
  </si>
  <si>
    <t>Рубіжанська спеціалізована школа I-III ступенів № 2 Рубіжанської міської ради Луганської області</t>
  </si>
  <si>
    <t>93011</t>
  </si>
  <si>
    <t>просп. Переможців, 28</t>
  </si>
  <si>
    <t>(06453)76082</t>
  </si>
  <si>
    <t>http://www.rubizhne-school2.edukit.lg.ua</t>
  </si>
  <si>
    <t>Рубіжанська спеціалізована школа І-ІІІ ступенів № 7 Рубіжанської міської ради Луганської області</t>
  </si>
  <si>
    <t>вул. Визволителів, 53</t>
  </si>
  <si>
    <t>(06453)6-38-51</t>
  </si>
  <si>
    <t>http://rub_school7.klasna.com/</t>
  </si>
  <si>
    <t>Рубіжанська спеціалізована школа І-ІІІ ступенів № 10 Рубіжанської міської ради Луганської області</t>
  </si>
  <si>
    <t>93012</t>
  </si>
  <si>
    <t>вул. Будівельників, 28</t>
  </si>
  <si>
    <t>(06453)71373, (06453)70376</t>
  </si>
  <si>
    <t>http://rubizhne-school10.lg.sch.in.ua.</t>
  </si>
  <si>
    <t>"Комунальний заклад Сєвєродонецька обласна загальноосвітня школа-інтернат І-ІІІ ступенів"</t>
  </si>
  <si>
    <t>93400</t>
  </si>
  <si>
    <t>4412900000</t>
  </si>
  <si>
    <t>Сєвєродонецьк</t>
  </si>
  <si>
    <t>вул. Донецька, 1</t>
  </si>
  <si>
    <t>(06452)4-05-45</t>
  </si>
  <si>
    <t>http://sevinter.klasna.com</t>
  </si>
  <si>
    <t>20152692</t>
  </si>
  <si>
    <t>Навчально-виховний комплекс "ГАРМОНІЯ" (загальноосвітній навчальний заклад І-ІІ ступенів - дошкільний навчальний заклад (дитячий садок)) міста Сєвєродонецька Луганської області</t>
  </si>
  <si>
    <t>(06452)4-02-54</t>
  </si>
  <si>
    <t>Середня загальноосвітня школа I - III ступенів № 16 м. Сєвєродонецька Луганської області</t>
  </si>
  <si>
    <t>93412</t>
  </si>
  <si>
    <t>вул. Гагарина, 97</t>
  </si>
  <si>
    <t>(06452)33053, (06452)34232</t>
  </si>
  <si>
    <t>Середня загальноосвітня школа № 15 І-ІІІ ступенів м. Сєвєродонецька Луганської області</t>
  </si>
  <si>
    <t>вул. Федоренка, 39</t>
  </si>
  <si>
    <t>(06452)4-35-37</t>
  </si>
  <si>
    <t>http://seversh15.fo.ru</t>
  </si>
  <si>
    <t>Середня загальноосвітня школа І-ІІІ ступенів № 10 м.Сєвєродонецька Луганської області</t>
  </si>
  <si>
    <t>93404</t>
  </si>
  <si>
    <t>вул. б-р Дружби народів, 47</t>
  </si>
  <si>
    <t>(06452)41385</t>
  </si>
  <si>
    <t>Середня загальноосвітня школа І-ІІІ ступенів № 18 міста Сєвєродонецька Луганської області</t>
  </si>
  <si>
    <t>93416</t>
  </si>
  <si>
    <t>вул. Курчатова, 27Б</t>
  </si>
  <si>
    <t>(06452)2-87-90, (06452)2-87-89</t>
  </si>
  <si>
    <t>Середня загальноосвітня школа І-ІІІ ступенів № 4 м. Сєвєродонецька Луганської області</t>
  </si>
  <si>
    <t>вул. Гагаріна, 90</t>
  </si>
  <si>
    <t>(06452)31315, (06452)31318, (06452)50782</t>
  </si>
  <si>
    <t>Середня загальноосвітня школа І-ІІІ ступенів № 6 м. Сєвєродонецька Луганської області</t>
  </si>
  <si>
    <t>93408</t>
  </si>
  <si>
    <t>вул. Маяковського, 9</t>
  </si>
  <si>
    <t>(06452)42458</t>
  </si>
  <si>
    <t>Середня загальноосвітня школа І-ІІІ ступенів № 1 міста Сєвєродонецька Луганської області</t>
  </si>
  <si>
    <t>вул. пр. Хіміків, 7</t>
  </si>
  <si>
    <t>(06452)42586</t>
  </si>
  <si>
    <t>Середня загальноосвітня школа І-ІІІ ступенів № 11 м. Сєвєродонецька Луганської області</t>
  </si>
  <si>
    <t>93406</t>
  </si>
  <si>
    <t>просп. Гвардійський, 25</t>
  </si>
  <si>
    <t>(06452)27785</t>
  </si>
  <si>
    <t>середня загальноосвітня школа І-ІІІ ступенів № 12 міста Сєвєродонецька Луганської області</t>
  </si>
  <si>
    <t>просп. Гвардійський, 9</t>
  </si>
  <si>
    <t>(06452)702626</t>
  </si>
  <si>
    <t>http://severshkola12.ucoz.ru</t>
  </si>
  <si>
    <t>Середня загальноосвітня школа І-ІІІ ступенів № 13 міста Сєвєродонецька Луганської області</t>
  </si>
  <si>
    <t>вул. Маяковського, 19</t>
  </si>
  <si>
    <t>(06452)23045</t>
  </si>
  <si>
    <t>http://13th-school.16mb.com</t>
  </si>
  <si>
    <t>середня загальноосвітня школа І-ІІІ ступенів № 20 міста Сєвєродонецька Луганської області</t>
  </si>
  <si>
    <t>вул. Гагаріна, 113</t>
  </si>
  <si>
    <t>(06452)34265</t>
  </si>
  <si>
    <t>http://shko-20.jimdo.com</t>
  </si>
  <si>
    <t>Середня загальноосвітня школа І-ІІІ ступенів № 5 міста Сєвєродонецька Луганської області</t>
  </si>
  <si>
    <t>вул. пр. Хіміків, 18</t>
  </si>
  <si>
    <t>(0645)70-30-14</t>
  </si>
  <si>
    <t>Середня загальноосвітня школа І-ІІІ ступенів № 8 міста Сєвєродонецька Луганської області</t>
  </si>
  <si>
    <t>вул. Вілєсова, 10</t>
  </si>
  <si>
    <t>(06452)28001</t>
  </si>
  <si>
    <t>Сєвєродонецька гуманітарно-естетична гімназія Сєвєродонецької міської ради Луганської області</t>
  </si>
  <si>
    <t>вул. Науки, 5А</t>
  </si>
  <si>
    <t>(06452)27674, (06452)27675, (06452)27967</t>
  </si>
  <si>
    <t>http://sev-gym.lg.ua</t>
  </si>
  <si>
    <t>Сєвєродонецька загальноосвітня школа І-ІІІ ступенів № 14 Сєвєродонецької міської ради Луганської області</t>
  </si>
  <si>
    <t>вул. Гагаріна, 111</t>
  </si>
  <si>
    <t>(06452)34168</t>
  </si>
  <si>
    <t>Сєвєродонецький багатопрофільний ліцей Сєвєродонецької міської ради Луганської області</t>
  </si>
  <si>
    <t>вул. в. Гагаріна, 97</t>
  </si>
  <si>
    <t>(06452)33203, (06452)33051</t>
  </si>
  <si>
    <t>http://litsey.sd.ua/</t>
  </si>
  <si>
    <t>Сєвєродонецький міжшкільний навчально-виробничий комбінат</t>
  </si>
  <si>
    <t>просп. Гвардійський, 22Б</t>
  </si>
  <si>
    <t>(06452)54881, (06452)27234</t>
  </si>
  <si>
    <t>http://sevmupk.nethouse.ua/</t>
  </si>
  <si>
    <t>Сєвєродонецький навчально-виховний комплекс "Спеціалізована школа-колегіум Національного університету "Києво-Могилянська академія" Сєвєродонецької міської ради Луганської області</t>
  </si>
  <si>
    <t>(06452)43420, (06452)41368</t>
  </si>
  <si>
    <t>http://severodonetsk-nvk.lg.sch.in.ua</t>
  </si>
  <si>
    <t>Спеціалізована середня школа № 17 І-ІІІ ступенів з поглибленим вивченням іноземних мов м. Сєвєродонецька Луганської області</t>
  </si>
  <si>
    <t>93414</t>
  </si>
  <si>
    <t>вул. Курчатова, 34</t>
  </si>
  <si>
    <t>(06452)28490</t>
  </si>
  <si>
    <t>http://school17.com.ua</t>
  </si>
  <si>
    <t>Борівський навчально-виховний комплекс (загальноосвітній навчальний заклад І-ІІІ ступенів - дошкільний навчальний заклад (ясла-садок)) Сєвєродонецької міської ради Луганської області</t>
  </si>
  <si>
    <t>93493</t>
  </si>
  <si>
    <t>4412945200</t>
  </si>
  <si>
    <t>Борівське</t>
  </si>
  <si>
    <t>(06452)9-98-65</t>
  </si>
  <si>
    <t>Середня загальноосвітня школа І-ІІ ступенів № 7 міста Сєвєродонецька Луганської області</t>
  </si>
  <si>
    <t>93490</t>
  </si>
  <si>
    <t>4412945900</t>
  </si>
  <si>
    <t>Сиротине</t>
  </si>
  <si>
    <t>(06452)28184</t>
  </si>
  <si>
    <t>http://school7sirotino.jimdo.com/</t>
  </si>
  <si>
    <t>Біловодська гімназія</t>
  </si>
  <si>
    <t>92801</t>
  </si>
  <si>
    <t>4420655100</t>
  </si>
  <si>
    <t>Біловодськ</t>
  </si>
  <si>
    <t>вул. Біловодська, 148А</t>
  </si>
  <si>
    <t>(06466)92540</t>
  </si>
  <si>
    <t>https://belgym.e-schools.info</t>
  </si>
  <si>
    <t>Біловодська загальноосвітня школа І-ІІІ ступенів</t>
  </si>
  <si>
    <t>92800</t>
  </si>
  <si>
    <t>вул. Центральна (Леніна), 93</t>
  </si>
  <si>
    <t>(06466)9-12-40</t>
  </si>
  <si>
    <t>http://92800bsh.co.ua</t>
  </si>
  <si>
    <t>Бараниківська загальноосвітня школа I-III ступенів Біловодської районної ради Луганської області</t>
  </si>
  <si>
    <t>92830</t>
  </si>
  <si>
    <t>4420681101</t>
  </si>
  <si>
    <t>Бараниківка</t>
  </si>
  <si>
    <t>вул. Юрченко, 21</t>
  </si>
  <si>
    <t>(06466)97540</t>
  </si>
  <si>
    <t>Зеликівський навчально-виховний комплекс "Мрія" (загальноосвітня школа І-ІІ ст - дошкільнийнавчальний заклад) Біловодської районної ради Луганської області</t>
  </si>
  <si>
    <t>92831</t>
  </si>
  <si>
    <t>4420681102</t>
  </si>
  <si>
    <t>Зелеківка</t>
  </si>
  <si>
    <t>вул. Єлісєєва, 01</t>
  </si>
  <si>
    <t>(06466)9-93-40</t>
  </si>
  <si>
    <t>Городищенська загальноосвітня школа І-ІІІ ступенів Біловодської районної ради Луганської області</t>
  </si>
  <si>
    <t>92835</t>
  </si>
  <si>
    <t>4420683301</t>
  </si>
  <si>
    <t>9-76-40</t>
  </si>
  <si>
    <t>Новодеркульська загальноосвітня школа І-ІІІ ступенів імені А.В. Пастухова</t>
  </si>
  <si>
    <t>92833</t>
  </si>
  <si>
    <t>4420684405</t>
  </si>
  <si>
    <t>Новодеркул</t>
  </si>
  <si>
    <t>вул. Пастухова, 9</t>
  </si>
  <si>
    <t>(06466)94227</t>
  </si>
  <si>
    <t>Євсузький навчально-виховний комплекс "Веселка" (загальноосвітня школа І-ІІІ ступенів - дошкільний навчальний заклад)</t>
  </si>
  <si>
    <t>92820</t>
  </si>
  <si>
    <t>4420685501</t>
  </si>
  <si>
    <t>Євсуг</t>
  </si>
  <si>
    <t>вул. Старобільська, 36</t>
  </si>
  <si>
    <t>(06466)9-53-40</t>
  </si>
  <si>
    <t>http://evsugschkola.klasna.com</t>
  </si>
  <si>
    <t>Кононівський навчально-виховний комплекс "Барвінок"(дошкільний навчальний заклад - загальноосвітня школа І-ІІ ступенів</t>
  </si>
  <si>
    <t>92810</t>
  </si>
  <si>
    <t>4420686601</t>
  </si>
  <si>
    <t>Кононівка</t>
  </si>
  <si>
    <t>(266)9-94-90</t>
  </si>
  <si>
    <t>Литвинівська загальноосвітня школа І - ІІІ ступенів Біловодської районної ради Луганської області</t>
  </si>
  <si>
    <t>92815</t>
  </si>
  <si>
    <t>4420687701</t>
  </si>
  <si>
    <t>(06466)96140</t>
  </si>
  <si>
    <t>Новоолександрівська загальноосвітня школа І- ІІІ ступенів Біловодської районної ради Луганської області</t>
  </si>
  <si>
    <t>92823</t>
  </si>
  <si>
    <t>4420688801</t>
  </si>
  <si>
    <t>вул. Чаговця, 1</t>
  </si>
  <si>
    <t>(06466)9-55-40</t>
  </si>
  <si>
    <t>Новолимарівська загальноосвітня школа І-ІІ ступенів Біловодської районної ради Луганської області</t>
  </si>
  <si>
    <t>92813</t>
  </si>
  <si>
    <t>4420688901</t>
  </si>
  <si>
    <t>Новолимарівка</t>
  </si>
  <si>
    <t>ал. Шкільна, 55</t>
  </si>
  <si>
    <t>(06466)96540</t>
  </si>
  <si>
    <t>Новоспасівська філія І-ІІ ступенів Біловодської загальноосвітньої школи І-ІІІ ступенів</t>
  </si>
  <si>
    <t>92806</t>
  </si>
  <si>
    <t>4420689201</t>
  </si>
  <si>
    <t>Плугатар</t>
  </si>
  <si>
    <t>вул. Комарова, 3</t>
  </si>
  <si>
    <t>(06466)9-66-40</t>
  </si>
  <si>
    <t>Білокуракинська загальноосвітня школа І-ІІІ ст. № 2 Білокуракинської районної ради Луганської області</t>
  </si>
  <si>
    <t>92200</t>
  </si>
  <si>
    <t>4420955100</t>
  </si>
  <si>
    <t>Білокуракине</t>
  </si>
  <si>
    <t>(06462)21665</t>
  </si>
  <si>
    <t>Білокуракинська загальноосвітня школа І-ІІІ ступенів № 1 Білокуракинської селищної ради Луганської області</t>
  </si>
  <si>
    <t>вул. Історична, 57</t>
  </si>
  <si>
    <t>((06462))21843</t>
  </si>
  <si>
    <t>Лозно-Олександрівська загальноосвітня школа І-ІІІ ступенів Білокуракинської районної ради Луганської області</t>
  </si>
  <si>
    <t>92211</t>
  </si>
  <si>
    <t>4420955700</t>
  </si>
  <si>
    <t>Лозно-Олександрівка</t>
  </si>
  <si>
    <t>(06462)93215</t>
  </si>
  <si>
    <t>Олександропільська загальноосвітня школа І-ІІ ступенів Білокуракинської селищної ради Луганської області</t>
  </si>
  <si>
    <t>92220</t>
  </si>
  <si>
    <t>4420981001</t>
  </si>
  <si>
    <t>вул. Соколовського, 4</t>
  </si>
  <si>
    <t>0646295335</t>
  </si>
  <si>
    <t>Олексіївська загальноосвітня школа І-ІІ ступенів Білокуракинської селищної ради Луганської області</t>
  </si>
  <si>
    <t>92242</t>
  </si>
  <si>
    <t>4420981501</t>
  </si>
  <si>
    <t>(06462)9-24-36</t>
  </si>
  <si>
    <t>Луб'янська загальноосвітня школа І-ІІ ступенів Білокуракинської селищної ради Луганської області</t>
  </si>
  <si>
    <t>92243</t>
  </si>
  <si>
    <t>4420981503</t>
  </si>
  <si>
    <t>(06462)97622</t>
  </si>
  <si>
    <t>Дем'янівська загальноосвітня школа I-II ступенів Білокуракинської селищної ради Луганської області</t>
  </si>
  <si>
    <t>92240</t>
  </si>
  <si>
    <t>4420983401</t>
  </si>
  <si>
    <t>вул. Молодіжна, 2А</t>
  </si>
  <si>
    <t>(062462)9-44-36</t>
  </si>
  <si>
    <t>Курячівська загальноосвітня школа І-ІІІ ступенів Білокуракинської селищної ради Луганської області</t>
  </si>
  <si>
    <t>92232</t>
  </si>
  <si>
    <t>4420985501</t>
  </si>
  <si>
    <t>Курячівка</t>
  </si>
  <si>
    <t>(06462)96746</t>
  </si>
  <si>
    <t>http://kuriachivka-zosh.lg.sch.in.ua</t>
  </si>
  <si>
    <t>Лизінська загальноосвітня школа І-ІІ ступенів Білокуракинської селищної ради Луганської області</t>
  </si>
  <si>
    <t>92250</t>
  </si>
  <si>
    <t>4420986601</t>
  </si>
  <si>
    <t>Лизине</t>
  </si>
  <si>
    <t>вул. Пушкіна, 34Б</t>
  </si>
  <si>
    <t>(06462)92321</t>
  </si>
  <si>
    <t>Шапарська загальноосвітня школа І - ІІ ступенів Білокуракинської селищної ради Луганської області</t>
  </si>
  <si>
    <t>4420986603</t>
  </si>
  <si>
    <t>Шапарівка</t>
  </si>
  <si>
    <t>пров. Провулок Шкільний, 2А</t>
  </si>
  <si>
    <t>(06462)97237</t>
  </si>
  <si>
    <t>Нещеретівська загальноосвітня школа І-ІІІ ступенів Білокуракинської селищної ради Луганської області</t>
  </si>
  <si>
    <t>92252</t>
  </si>
  <si>
    <t>4420986901</t>
  </si>
  <si>
    <t>Нещеретове</t>
  </si>
  <si>
    <t>вул. шкільна, 11</t>
  </si>
  <si>
    <t>(06462)96341</t>
  </si>
  <si>
    <t>http://nzs.ucoz.ua</t>
  </si>
  <si>
    <t>Паньківська загальноосвітня школа І-ІІ ступенів Білокуракинської селищної ради Луганської області</t>
  </si>
  <si>
    <t>92253</t>
  </si>
  <si>
    <t>4420986903</t>
  </si>
  <si>
    <t>Паньківка</t>
  </si>
  <si>
    <t>Павлівська загальноосвітня школа І-ІІІ ступенів Білокуракинської районної ради Луганської області</t>
  </si>
  <si>
    <t>92222</t>
  </si>
  <si>
    <t>4420987201</t>
  </si>
  <si>
    <t>пл. Центральна, 3</t>
  </si>
  <si>
    <t>(06462)9-41-44</t>
  </si>
  <si>
    <t>http://pavl-zosh.wix.com/04092015</t>
  </si>
  <si>
    <t>Просторівська загальноосвітня школа І-ІІІ ступенів Білокуракинської районної ради Луганської області</t>
  </si>
  <si>
    <t>92230</t>
  </si>
  <si>
    <t>4420987701</t>
  </si>
  <si>
    <t>вул. Радянська, 10</t>
  </si>
  <si>
    <t>(06462)9-51-34</t>
  </si>
  <si>
    <t>Солідарнівська загальноосвітня школа І-ІІ ступенів Білокуракинської районної ради Луганської області</t>
  </si>
  <si>
    <t>92213</t>
  </si>
  <si>
    <t>4420987810</t>
  </si>
  <si>
    <t>Солідарне</t>
  </si>
  <si>
    <t>(06462)9-96-60</t>
  </si>
  <si>
    <t>Тимошанська загальноосвітня школа І-ІІ ступенів Білокуракинської районної ради Луганської області</t>
  </si>
  <si>
    <t>92215</t>
  </si>
  <si>
    <t>4420988001</t>
  </si>
  <si>
    <t>Тимошине</t>
  </si>
  <si>
    <t>(06463)95546</t>
  </si>
  <si>
    <t>Мирненська загальноосвітня школа І-ІІІ ступенів Білокуракинської районної ради Луганської області</t>
  </si>
  <si>
    <t>92212</t>
  </si>
  <si>
    <t>4420988201</t>
  </si>
  <si>
    <t>(06462)9-92-11</t>
  </si>
  <si>
    <t>Шарівська загальноосвітня школа І-ІІІ ступенів Білокуракинської районної ради Луганської області</t>
  </si>
  <si>
    <t>92210</t>
  </si>
  <si>
    <t>4420988801</t>
  </si>
  <si>
    <t>Комунальний заклад" Луганський обласний ліцей-інтернат з посиленою військово-фізичною підготовкою"Кадетський корпус імені героїв Молодої гвардії"</t>
  </si>
  <si>
    <t>92900</t>
  </si>
  <si>
    <t>4421610100</t>
  </si>
  <si>
    <t>Кремінна</t>
  </si>
  <si>
    <t>вул. Мічуріна, 18</t>
  </si>
  <si>
    <t>0956366377</t>
  </si>
  <si>
    <t>http://Lugakadet.at.ua</t>
  </si>
  <si>
    <t>08166817</t>
  </si>
  <si>
    <t>Комунальний заклад "Луганський обласний ліцей-інтернат фізичної культури і спорту"</t>
  </si>
  <si>
    <t>вул. Піддубна, 18</t>
  </si>
  <si>
    <t>http://lolifks-krem.at.ua</t>
  </si>
  <si>
    <t>40694163</t>
  </si>
  <si>
    <t>Кремінська загальноосвітня школа І-ІІІ ступенів № 1 Кремінської міської ради Луганської області</t>
  </si>
  <si>
    <t>(06454)32450</t>
  </si>
  <si>
    <t>Кремінська загальноосвітня школа І-ІІІ ступенів № 4 Кремінської районної ради Луганської області</t>
  </si>
  <si>
    <t>вул. Радіщева, 2</t>
  </si>
  <si>
    <t>(06454)21582</t>
  </si>
  <si>
    <t>Кремінська загальноосвітня школа І-ІІІступенів № 2 Кремінської районної ради Луганської області</t>
  </si>
  <si>
    <t>вул. Тітова, 18</t>
  </si>
  <si>
    <t>(06454)2-13-87</t>
  </si>
  <si>
    <t>Кремінська обласна загальноосвітня санаторна школа-інтернат І-ІІІ ступенів. Луганська область</t>
  </si>
  <si>
    <t>92902</t>
  </si>
  <si>
    <t>вул. Декабристів, 1Б</t>
  </si>
  <si>
    <t>20153177</t>
  </si>
  <si>
    <t>Кремінська обласна спеціальна загальноосвітня школа-інтернат</t>
  </si>
  <si>
    <t>(06454)2-13-38</t>
  </si>
  <si>
    <t>http://specinternat.at.ua</t>
  </si>
  <si>
    <t>20151882</t>
  </si>
  <si>
    <t>Кремінська школа-гімназія Кремінської районої ради Луганської області</t>
  </si>
  <si>
    <t>92905</t>
  </si>
  <si>
    <t>вул. Урицького, 18</t>
  </si>
  <si>
    <t>(06454)21458</t>
  </si>
  <si>
    <t>навчально-виховний комплекс "Кремінська загальноосвітня школа І-ІІІ ступенів № 3 - дошкільний навчальний заклад" Кремінської районної ради Луганської області</t>
  </si>
  <si>
    <t>вул. Донецька, 96</t>
  </si>
  <si>
    <t>(06454)22922</t>
  </si>
  <si>
    <t>Житлівська загальноосвітня школа І-ІІ ступенів Кремінської районної ради Луганської області</t>
  </si>
  <si>
    <t>92906</t>
  </si>
  <si>
    <t>4421610101</t>
  </si>
  <si>
    <t>Житлівка</t>
  </si>
  <si>
    <t>вул. Кооперативна, 4</t>
  </si>
  <si>
    <t>(06454)98556</t>
  </si>
  <si>
    <t>Красноріченська загальноосвітня школа І-ІІІ ступенів Кремінської районної ради Луганської області</t>
  </si>
  <si>
    <t>92913</t>
  </si>
  <si>
    <t>4421655400</t>
  </si>
  <si>
    <t>Красноріченське</t>
  </si>
  <si>
    <t>кв. Верстатобудівників, 5</t>
  </si>
  <si>
    <t>(06454)93157</t>
  </si>
  <si>
    <t>http://www.redriverschool.at.ua</t>
  </si>
  <si>
    <t>Бараниківська загальноосвітня школа І-ІІІ ступенів Кремінської районної ради Луганської області</t>
  </si>
  <si>
    <t>92922</t>
  </si>
  <si>
    <t>4421680201</t>
  </si>
  <si>
    <t>кв. Гагаріна</t>
  </si>
  <si>
    <t>(06454)9-62-37</t>
  </si>
  <si>
    <t>http://baranikovka.at.ua</t>
  </si>
  <si>
    <t>навчально - виховний комплекс "Боровенська загальноосвітня школа І-ІІ ступенів - дошкільний навчальний заклад" Кремінської районної ради Луганської області</t>
  </si>
  <si>
    <t>92943</t>
  </si>
  <si>
    <t>4421680401</t>
  </si>
  <si>
    <t>Боровеньки</t>
  </si>
  <si>
    <t>вул. Миру (Леніна), 29А</t>
  </si>
  <si>
    <t>95-3-23</t>
  </si>
  <si>
    <t>Навчально-виховний комплекс "Булгаківська загальноосвітня школа І-ІІ ступенів - дошкільний навчальний заклад" Кремінської районної ради,Луганської області</t>
  </si>
  <si>
    <t>92930</t>
  </si>
  <si>
    <t>4421680701</t>
  </si>
  <si>
    <t>Булгаківка</t>
  </si>
  <si>
    <t>вул. Центральна (Совєтська), 22</t>
  </si>
  <si>
    <t>(06454)94540</t>
  </si>
  <si>
    <t>http://bulgakovka.ucoz.ua</t>
  </si>
  <si>
    <t>Варварівська загальноосвітня школа І-ІІІ ступенів Кремінської районної ради Луганської області</t>
  </si>
  <si>
    <t>92934</t>
  </si>
  <si>
    <t>4421681001</t>
  </si>
  <si>
    <t>вул. Комсомольська, 1</t>
  </si>
  <si>
    <t>(06454)95730</t>
  </si>
  <si>
    <t>Навчально-виховний комплекс "Голубівська загальноосвітня школа І-ІІІ ступенів -дошкільний навчальний заклад" Кремінської районної ради Луганської області</t>
  </si>
  <si>
    <t>92920</t>
  </si>
  <si>
    <t>4421681301</t>
  </si>
  <si>
    <t>вул. Шкільна (70 років Жовтня), 14</t>
  </si>
  <si>
    <t>(06454)99420</t>
  </si>
  <si>
    <t>http://golubivkaschool.ucoz.net</t>
  </si>
  <si>
    <t>Навчально-виховний комплекс "Єпіфанівська загальноосвітня школа І - ІІ ступенів - дошкільний навчальний заклад" Кремінської районної ради Луганської області</t>
  </si>
  <si>
    <t>92942</t>
  </si>
  <si>
    <t>4421681601</t>
  </si>
  <si>
    <t>Єпіфанівка</t>
  </si>
  <si>
    <t>вул. Джерельна, 1А</t>
  </si>
  <si>
    <t>(264)94-4-19, 0500434994</t>
  </si>
  <si>
    <t>Кудряшівська загальноосвітня школа І-ІІ ступенів Кремінської районної ради Луганської області</t>
  </si>
  <si>
    <t>92931</t>
  </si>
  <si>
    <t>4421681901</t>
  </si>
  <si>
    <t>Кудряшівка</t>
  </si>
  <si>
    <t>(06454)95-6-25</t>
  </si>
  <si>
    <t>Макіївська загальноосвітня школа І-ІІІ ступенів Кремінської районної ради Луганської області</t>
  </si>
  <si>
    <t>92911</t>
  </si>
  <si>
    <t>4421682201</t>
  </si>
  <si>
    <t>(06454)99535</t>
  </si>
  <si>
    <t>навчально-виховний комплекс "Невська загальноосвітня школа І-ІІ ступенів - дошкільний навчальний заклад" Кремінської районної ради Луганської області</t>
  </si>
  <si>
    <t>92917</t>
  </si>
  <si>
    <t>4421683201</t>
  </si>
  <si>
    <t>Невське</t>
  </si>
  <si>
    <t>вул. Центральна (Леніна)</t>
  </si>
  <si>
    <t>(066)2009946</t>
  </si>
  <si>
    <t>Навчально-виховний комплекс "Новоастраханська загальноосвітня школа І - ІІІ ступенів - дошкільний навчальний заклад"Кремінської районної ради Луганської області</t>
  </si>
  <si>
    <t>92940</t>
  </si>
  <si>
    <t>4421684301</t>
  </si>
  <si>
    <t>Нова Астрахань</t>
  </si>
  <si>
    <t>вул. Центральна (Леніна), 45</t>
  </si>
  <si>
    <t>(06454)94142</t>
  </si>
  <si>
    <t>http://naschool.ucoz.ua</t>
  </si>
  <si>
    <t>Навчально-виховний комплекс "Новокраснянська загальноосвітня школа І-ІІІ ступенів - дошкільний навчальний заклад" Кремінської районної ради Луганської області</t>
  </si>
  <si>
    <t>92923</t>
  </si>
  <si>
    <t>4421685401</t>
  </si>
  <si>
    <t>Новокраснянка</t>
  </si>
  <si>
    <t>(06454)95444</t>
  </si>
  <si>
    <t>Навчально-виховний комплекс "Новомикільська загальноосвітня школа І-ІІІ ступенів - дошкільний навчальний заклад" Кремінської районної ради Луганської області</t>
  </si>
  <si>
    <t>92910</t>
  </si>
  <si>
    <t>4421686501</t>
  </si>
  <si>
    <t>Новомикільське</t>
  </si>
  <si>
    <t>(06454)99146</t>
  </si>
  <si>
    <t>Навчально-виховний комплекс "Червонопопівська загальноосвітня школа І-ІІ ступенів - дошкільний навчальний заклад" Кремінської районної ради Луганської області</t>
  </si>
  <si>
    <t>92924</t>
  </si>
  <si>
    <t>4421687301</t>
  </si>
  <si>
    <t>Червонопопівка</t>
  </si>
  <si>
    <t>(06454)95228</t>
  </si>
  <si>
    <t>Марківська гімназія Марківської районної державної адміністрації Луганської області</t>
  </si>
  <si>
    <t>92400</t>
  </si>
  <si>
    <t>4422555100</t>
  </si>
  <si>
    <t>(06464)91373</t>
  </si>
  <si>
    <t>Марківська загальноосвітня школа І-ІІ ступенів № 1 Марківської районної державної адміністрації Луганської області</t>
  </si>
  <si>
    <t>вул. Задорожнього, 9</t>
  </si>
  <si>
    <t>(06464)91979</t>
  </si>
  <si>
    <t>Бондарівська гімназія Марківської районної державної адміністрації Луганської області</t>
  </si>
  <si>
    <t>92443</t>
  </si>
  <si>
    <t>4422581101</t>
  </si>
  <si>
    <t>Бондарівка</t>
  </si>
  <si>
    <t>вул. Дружби, 53</t>
  </si>
  <si>
    <t>(06464)94290</t>
  </si>
  <si>
    <t>Курячівська загальноосвітня школа І - ІІ ступенів Марківської районної державної адміністрації Луганської області</t>
  </si>
  <si>
    <t>92444</t>
  </si>
  <si>
    <t>4422581102</t>
  </si>
  <si>
    <t>пл. Центральна, 1Б</t>
  </si>
  <si>
    <t>(099)9090355</t>
  </si>
  <si>
    <t>Кабичівська загальноосвітня школа І - ІІІ ступенів Марківської районної державної адміністрації Луганської області</t>
  </si>
  <si>
    <t>92422</t>
  </si>
  <si>
    <t>4422583301</t>
  </si>
  <si>
    <t>Кабичівка</t>
  </si>
  <si>
    <t>вул. Покровська, 118</t>
  </si>
  <si>
    <t>(06464)94469</t>
  </si>
  <si>
    <t>Навчально-виховний комплекс "Веселівська загальноосвітня школа І-ІІ ступенів - дошкільний навчальний заклад" Марківської районнної державної адміністрації Луганської області</t>
  </si>
  <si>
    <t>92423</t>
  </si>
  <si>
    <t>4422583302</t>
  </si>
  <si>
    <t>вул. 40 років Перемоги, 50</t>
  </si>
  <si>
    <t>(06464)94523</t>
  </si>
  <si>
    <t>Краснопільська загальноосвітня школа І-ІІІ ступенів Марківської районної державної адміністрації Луганської області</t>
  </si>
  <si>
    <t>92410</t>
  </si>
  <si>
    <t>4422584401</t>
  </si>
  <si>
    <t>Красне Поле</t>
  </si>
  <si>
    <t>(06464)9-32-75</t>
  </si>
  <si>
    <t>Височинівська загальноосвітня школа І-ІІ ступенів Марківської районної державної адміністрації Луганської області</t>
  </si>
  <si>
    <t>92411</t>
  </si>
  <si>
    <t>4422584402</t>
  </si>
  <si>
    <t>Височинівка</t>
  </si>
  <si>
    <t>(06464)9-31-37</t>
  </si>
  <si>
    <t>Кризька загальноосвітня школа І-ІІІ ступенів Марківської районної державної адміністрації Луганської області</t>
  </si>
  <si>
    <t>92424</t>
  </si>
  <si>
    <t>4422585501</t>
  </si>
  <si>
    <t>Кризьке</t>
  </si>
  <si>
    <t>вул. Миру, 12А</t>
  </si>
  <si>
    <t>0646494144</t>
  </si>
  <si>
    <t>Ліснополянська загальноосвітня школа І - ІІІ ступенів Марківської районної державної адміністрації Луганської області</t>
  </si>
  <si>
    <t>92430</t>
  </si>
  <si>
    <t>4422586601</t>
  </si>
  <si>
    <t>Лісна Поляна</t>
  </si>
  <si>
    <t>вул. Власа Погребенка, 1</t>
  </si>
  <si>
    <t>(06464)93642</t>
  </si>
  <si>
    <t>http://lisnapoliana-school.edukit.lg.ua</t>
  </si>
  <si>
    <t>Сичанська загальноосвітня школа І-ІІІ ступенів Марківської районної державної адміністрації Луганської області</t>
  </si>
  <si>
    <t>92440</t>
  </si>
  <si>
    <t>4422588801</t>
  </si>
  <si>
    <t>Сичанське</t>
  </si>
  <si>
    <t>вул. Єременка, 1</t>
  </si>
  <si>
    <t>9-51-45</t>
  </si>
  <si>
    <t>Караван-Солодківська загальноосвітня школа І-ІІІ ступенів Марківської районної державної адміністрації Луганської області</t>
  </si>
  <si>
    <t>92441</t>
  </si>
  <si>
    <t>4422588805</t>
  </si>
  <si>
    <t>Караван-Солодкий</t>
  </si>
  <si>
    <t>(06464)9-35-93</t>
  </si>
  <si>
    <t>http://karavan-info.at.ua</t>
  </si>
  <si>
    <t>Міловська гімназія Міловської районної ради Луганської області</t>
  </si>
  <si>
    <t>92500</t>
  </si>
  <si>
    <t>4422855100</t>
  </si>
  <si>
    <t>Мілове</t>
  </si>
  <si>
    <t>(06465)2-16-94, (06465)2-15-94</t>
  </si>
  <si>
    <t>Міловська загальноосвітня школа І-ІІІ ступенів Міловської районної ради Луганської області</t>
  </si>
  <si>
    <t>вул. Козацька, 8</t>
  </si>
  <si>
    <t>(06465)21102, (06465)21202</t>
  </si>
  <si>
    <t>http://melovoe-school2.at.ua</t>
  </si>
  <si>
    <t>Великоцька загальноосвітня школа І-ІІІ ступенів Міловської районної ради Луганської області</t>
  </si>
  <si>
    <t>92505</t>
  </si>
  <si>
    <t>4422881101</t>
  </si>
  <si>
    <t>Великоцьк</t>
  </si>
  <si>
    <t>вул. Красногорська, 1</t>
  </si>
  <si>
    <t>(06465)93791, (06465)93801</t>
  </si>
  <si>
    <t>Зориківська загальноосвітня школа І-ІІІ ступенів Міловської районної ради Луганської області</t>
  </si>
  <si>
    <t>92523</t>
  </si>
  <si>
    <t>4422882201</t>
  </si>
  <si>
    <t>Зориківка</t>
  </si>
  <si>
    <t>(06465)93219</t>
  </si>
  <si>
    <t>http://zorikivka.at.ua</t>
  </si>
  <si>
    <t>Морозівська загальноосвітня школа І-ІІІ ступенів Міловської районної ради Луганської області</t>
  </si>
  <si>
    <t>92520</t>
  </si>
  <si>
    <t>4422883301</t>
  </si>
  <si>
    <t>вул. Центральна, 24А</t>
  </si>
  <si>
    <t>(06465)93418</t>
  </si>
  <si>
    <t>Комунальний заклад "Мусіївський навчально-виховний комплекс "Дошкільний навчальний заклад "Калинка" - Мусіївська загальноосвітня школа І-ІІІ ступенів" Міловської районної ради Луганської області"</t>
  </si>
  <si>
    <t>92533</t>
  </si>
  <si>
    <t>4422883601</t>
  </si>
  <si>
    <t>Мусіївка</t>
  </si>
  <si>
    <t>(06465)9-43-71</t>
  </si>
  <si>
    <t>http://schoolnvk.ucoz.ua</t>
  </si>
  <si>
    <t>Микільська загальноосвітня школа І-ІІІ ступенів</t>
  </si>
  <si>
    <t>92510</t>
  </si>
  <si>
    <t>4422884401</t>
  </si>
  <si>
    <t>вул. Леніна, 72А</t>
  </si>
  <si>
    <t>(064)95540</t>
  </si>
  <si>
    <t>Навчально-виховний комплекс "Дошкільний навчальний заклад "Сонечко" - Новострільцівська загальноосвітня школа I-III ступенів" Міловської районної ради Луганської області</t>
  </si>
  <si>
    <t>92540</t>
  </si>
  <si>
    <t>4422885501</t>
  </si>
  <si>
    <t>Новострільцівка</t>
  </si>
  <si>
    <t>вул. Леніна, 54</t>
  </si>
  <si>
    <t>(06465)9-66-71, (06465)9-66-73</t>
  </si>
  <si>
    <t>Стрільцівська загальноосвітня школа I-II ступенів Міловської районної ради Луганської області</t>
  </si>
  <si>
    <t>99530</t>
  </si>
  <si>
    <t>4422886601</t>
  </si>
  <si>
    <t>Стрільцівка</t>
  </si>
  <si>
    <t>(06465)9-42-48</t>
  </si>
  <si>
    <t>http://strillschool.ucoz.ua/</t>
  </si>
  <si>
    <t>"Калмиківська загальноосвітня школа І-ІІ ступенів Міловської районної ради Луганської області"</t>
  </si>
  <si>
    <t>92532</t>
  </si>
  <si>
    <t>4422886602</t>
  </si>
  <si>
    <t>Калмиківка</t>
  </si>
  <si>
    <t>Щастинська загальноосвітня школа I-III ступенів № 2 Новоайдарської районної ради Луганської області</t>
  </si>
  <si>
    <t>91480</t>
  </si>
  <si>
    <t>4423110100</t>
  </si>
  <si>
    <t>Щастя</t>
  </si>
  <si>
    <t>кв. Енергетиків, 16</t>
  </si>
  <si>
    <t>(0642)960083</t>
  </si>
  <si>
    <t>http://school46sh.ucoz.ru/</t>
  </si>
  <si>
    <t>39469224</t>
  </si>
  <si>
    <t>Щастинська загальноосвітня школа І-ІІІ ступенів № 1 імені Костянтина Кутового Новоайдарської районної ради Луганської області</t>
  </si>
  <si>
    <t>вул. Донецька, 83</t>
  </si>
  <si>
    <t>(0642)96-25-14</t>
  </si>
  <si>
    <t>39469266</t>
  </si>
  <si>
    <t>Щастинська обласна загальноосвітня санаторна школа-інтернат І-ІІ ступенів</t>
  </si>
  <si>
    <t>вул. Республиканська, 55</t>
  </si>
  <si>
    <t>(0642)960090</t>
  </si>
  <si>
    <t>http://chastyeintern.ucoz.ua</t>
  </si>
  <si>
    <t>20156483</t>
  </si>
  <si>
    <t>Комунальний Заклад "Новоайдарська обласна загальноосвітня санаторна школа-інтернат І-ІІІ ступенів"</t>
  </si>
  <si>
    <t>93500</t>
  </si>
  <si>
    <t>4423155100</t>
  </si>
  <si>
    <t>Новоайдар</t>
  </si>
  <si>
    <t>вул. В. П'ятьоркіна, 3</t>
  </si>
  <si>
    <t>20151675</t>
  </si>
  <si>
    <t>навчально-виховний комплекс Новоайдарська школа-гімназія Новоайдарської районної ради Луганської області</t>
  </si>
  <si>
    <t>26447046</t>
  </si>
  <si>
    <t>навчально-виховний комплекс Олексіївська школа-гімназія Новоайдарської районної ради Луганської області</t>
  </si>
  <si>
    <t>93522</t>
  </si>
  <si>
    <t>4423180501</t>
  </si>
  <si>
    <t>(06445)9-71-49</t>
  </si>
  <si>
    <t>Михайлюківська загальноосвітня школа І-ІІ ступенів Новоайдарської районної ради Луганської області</t>
  </si>
  <si>
    <t>93524</t>
  </si>
  <si>
    <t>4423180502</t>
  </si>
  <si>
    <t>Михайлюки</t>
  </si>
  <si>
    <t>вул. Центральна площа, 1</t>
  </si>
  <si>
    <t>(06445)97319</t>
  </si>
  <si>
    <t>Бахмутівська загальноосвітня школа І-ІІІ ступенів Новоайдарської районної ради Луганської області</t>
  </si>
  <si>
    <t>93541</t>
  </si>
  <si>
    <t>4423180701</t>
  </si>
  <si>
    <t>Бахмутівка</t>
  </si>
  <si>
    <t>(06445)9-62-35</t>
  </si>
  <si>
    <t>Гречишкінська ЗОШ І- ІІІ ступенів Новоайдарської районної ради Луганської області</t>
  </si>
  <si>
    <t>93533</t>
  </si>
  <si>
    <t>4423181201</t>
  </si>
  <si>
    <t>Гречишкине</t>
  </si>
  <si>
    <t>вул. Істрашкіна, 55</t>
  </si>
  <si>
    <t>(06445)9-96-30</t>
  </si>
  <si>
    <t>Денежниківська загальноосвітня школа І-ІІІ ступенів Новоайдарської районної ради Луганської області</t>
  </si>
  <si>
    <t>93511</t>
  </si>
  <si>
    <t>4423181601</t>
  </si>
  <si>
    <t>Денежникове</t>
  </si>
  <si>
    <t>вул. Центральна, 27/б</t>
  </si>
  <si>
    <t>9-61-96</t>
  </si>
  <si>
    <t>НВК Дмитрівська загальноосвітня школа І-ІІІ ступенів - ДНЗ Новоайдарської районної ради Луганської області</t>
  </si>
  <si>
    <t>93540</t>
  </si>
  <si>
    <t>4423182301</t>
  </si>
  <si>
    <t>(06445)96439</t>
  </si>
  <si>
    <t>Навчально-виховний комплекс Вовкодаївська загальноосвітня школа І-ІІ ступенів - дошкільний навчальний заклад Новоайдарської районної ради Луганської області</t>
  </si>
  <si>
    <t>93521</t>
  </si>
  <si>
    <t>4423183402</t>
  </si>
  <si>
    <t>Вовкодаєве</t>
  </si>
  <si>
    <t>вул. Мостова, 6</t>
  </si>
  <si>
    <t>(06445)97724</t>
  </si>
  <si>
    <t>Навчально-виховний комплекс Кримська загальноосвітня школа І-ІІІ ступенів - дошкільний навчальний заклад</t>
  </si>
  <si>
    <t>93713</t>
  </si>
  <si>
    <t>4423183601</t>
  </si>
  <si>
    <t>Кримське</t>
  </si>
  <si>
    <t>вул. Миру, 27</t>
  </si>
  <si>
    <t>Навчально-виховний комплекс Муратівська загальноосвітня школа І-ІІІ ступенів - дошкільний навчальний заклад</t>
  </si>
  <si>
    <t>93535</t>
  </si>
  <si>
    <t>4423184501</t>
  </si>
  <si>
    <t>Муратове</t>
  </si>
  <si>
    <t>(06445)96712, (050)0592925</t>
  </si>
  <si>
    <t>Навчально-виховний комплекс Новоохтирська загальноосвітня школа І-ІІІ ступенів - дошкільний навчальний заклад Новоайдарської районної ради Луганської області</t>
  </si>
  <si>
    <t>93530</t>
  </si>
  <si>
    <t>4423185601</t>
  </si>
  <si>
    <t>Новоохтирка</t>
  </si>
  <si>
    <t>(06445)95449</t>
  </si>
  <si>
    <t>Райгородська загальноосвітня школа І-ІІІ ступенів Новоайдарської районної ради</t>
  </si>
  <si>
    <t>93543</t>
  </si>
  <si>
    <t>4423186701</t>
  </si>
  <si>
    <t>Райгородка</t>
  </si>
  <si>
    <t>(806445)9-65-30</t>
  </si>
  <si>
    <t>НВК Смолянинівська ЗОШ І-ІІІ ступенів-ДНЗ Новоайдарської районної ради Луганської області</t>
  </si>
  <si>
    <t>93532</t>
  </si>
  <si>
    <t>4423187101</t>
  </si>
  <si>
    <t>Смолянинове</t>
  </si>
  <si>
    <t>вул. Миру, 96</t>
  </si>
  <si>
    <t>(06445)9-52-25</t>
  </si>
  <si>
    <t>Трьохізбенська загальноосвітня школа І-ІІІ ступенів Новоайдарської районної ради Луганської області</t>
  </si>
  <si>
    <t>93710</t>
  </si>
  <si>
    <t>4423187701</t>
  </si>
  <si>
    <t>Трьохізбенка</t>
  </si>
  <si>
    <t>http://triohizbenka-school.edukit.lg.ua/</t>
  </si>
  <si>
    <t>Чабанівська загальноосвітня школа І - ІІІ ступенів Новоайдарської районної ради Луганської області</t>
  </si>
  <si>
    <t>93513</t>
  </si>
  <si>
    <t>4423188001</t>
  </si>
  <si>
    <t>(06445)95320</t>
  </si>
  <si>
    <t>Штормівська загальноосвітня школа І-ІІІ ступенів Новоайдарської районної ради Луганської області</t>
  </si>
  <si>
    <t>93510</t>
  </si>
  <si>
    <t>4423188501</t>
  </si>
  <si>
    <t>Штормове</t>
  </si>
  <si>
    <t>(06445)99747</t>
  </si>
  <si>
    <t>Новопсковська газопроводська загальноосвітня школа І-ІІІ ступенів Новопсковської районної ради Луганської області</t>
  </si>
  <si>
    <t>92301</t>
  </si>
  <si>
    <t>4423355100</t>
  </si>
  <si>
    <t>Новопсков</t>
  </si>
  <si>
    <t>вул. Магістральна, 307</t>
  </si>
  <si>
    <t>(06463)97440</t>
  </si>
  <si>
    <t>http://novopskov-gaszosh.edukit.lg.ua</t>
  </si>
  <si>
    <t>Новопсковська загальноосвітня школа І - ІІІ ступенів Новопсковської районної ради Луганської області</t>
  </si>
  <si>
    <t>92303</t>
  </si>
  <si>
    <t>(06463)2-10-74</t>
  </si>
  <si>
    <t>http://novopskovschool.pt.ht</t>
  </si>
  <si>
    <t>Білолуцька гімназія Новопсковської районної ради Луганської області</t>
  </si>
  <si>
    <t>92322</t>
  </si>
  <si>
    <t>4423355300</t>
  </si>
  <si>
    <t>Білолуцьк</t>
  </si>
  <si>
    <t>вул. Чернишової, 15 а</t>
  </si>
  <si>
    <t>(06463)92707, (06463)92181</t>
  </si>
  <si>
    <t>Білолуцька загальноосвітня школа І-ІІ ступенів Новопсковської районної ради Луганської області</t>
  </si>
  <si>
    <t>(06463)92642</t>
  </si>
  <si>
    <t>Ганусівська загальноосвітня школа І-ІІ ступенів Новопсковської районної ради Луганської області</t>
  </si>
  <si>
    <t>92330</t>
  </si>
  <si>
    <t>4423380701</t>
  </si>
  <si>
    <t>Ганусівка</t>
  </si>
  <si>
    <t>(06463)96122</t>
  </si>
  <si>
    <t>http://ganusiv-school.at.ua</t>
  </si>
  <si>
    <t>Донцівська загальноосвітня школа І-ІІ ступенів Новопсковської районної ради Луганської області</t>
  </si>
  <si>
    <t>92334</t>
  </si>
  <si>
    <t>4423381101</t>
  </si>
  <si>
    <t>Донцівка</t>
  </si>
  <si>
    <t>вул. Тараса Шевченка, 55</t>
  </si>
  <si>
    <t>(06463)9-63-15, 80985042338</t>
  </si>
  <si>
    <t>Заайдарівська загальноосвітня школа І-ІІ ступенів Новопсковської районної ради Луганської області</t>
  </si>
  <si>
    <t>92340</t>
  </si>
  <si>
    <t>4423381501</t>
  </si>
  <si>
    <t>Заайдарівка</t>
  </si>
  <si>
    <t>вул. Первомайська, 38</t>
  </si>
  <si>
    <t>(06463)98238</t>
  </si>
  <si>
    <t>http://zaajdarivka.lg.ua</t>
  </si>
  <si>
    <t>Закотненська загальноосвітня школа І-ІІ ступенів Новопсковської районної ради Луганської області</t>
  </si>
  <si>
    <t>92352</t>
  </si>
  <si>
    <t>4423382001</t>
  </si>
  <si>
    <t>Закотне</t>
  </si>
  <si>
    <t>(06463)9-44-39, 0995542093</t>
  </si>
  <si>
    <t>Лисогорівська загальноосвітня школа І-ІІ ступенів</t>
  </si>
  <si>
    <t>4423382002</t>
  </si>
  <si>
    <t>Лисогорівка</t>
  </si>
  <si>
    <t>59А</t>
  </si>
  <si>
    <t>Кам'янська загальноосвітня школа І-ІІІ ступенів Новопсковської районної ради Луганської області</t>
  </si>
  <si>
    <t>92332</t>
  </si>
  <si>
    <t>4423382501</t>
  </si>
  <si>
    <t>вул. Пульного, 11</t>
  </si>
  <si>
    <t>(06463)9-62-20</t>
  </si>
  <si>
    <t>Козлівська загальноосвітня школа І-ІІ ступенів Новопсковської районної ради Луганської області</t>
  </si>
  <si>
    <t>92311</t>
  </si>
  <si>
    <t>4423382801</t>
  </si>
  <si>
    <t>Козлове</t>
  </si>
  <si>
    <t>(6463)93743</t>
  </si>
  <si>
    <t>Можняківська загальноосвітня школа І-ІІІ ступенів Новопсковської районної ради Луганської області</t>
  </si>
  <si>
    <t>92326</t>
  </si>
  <si>
    <t>4423383201</t>
  </si>
  <si>
    <t>Можняківка</t>
  </si>
  <si>
    <t>вул. Паркова, 24</t>
  </si>
  <si>
    <t>(06463)93471</t>
  </si>
  <si>
    <t>Новобілянська ЗОШ І-ІІІ ступенів Новопсковської районної ради Луганської області</t>
  </si>
  <si>
    <t>92310</t>
  </si>
  <si>
    <t>4423383501</t>
  </si>
  <si>
    <t>Новобіла</t>
  </si>
  <si>
    <t>(06463)93127, (06463)93157</t>
  </si>
  <si>
    <t>Новорозсошанська загальноосвітня школа І-ІІІ ступенів Новопсковської районної ради Луганської області</t>
  </si>
  <si>
    <t>92335</t>
  </si>
  <si>
    <t>4423384001</t>
  </si>
  <si>
    <t>Новорозсош</t>
  </si>
  <si>
    <t>вул. Ювілейна, 17</t>
  </si>
  <si>
    <t>(06463)9-45-07</t>
  </si>
  <si>
    <t>Осинівська загальноосвітня школа № 1 І-ІІ ступенів Новопсковської районної ради Луганської області</t>
  </si>
  <si>
    <t>92342</t>
  </si>
  <si>
    <t>4423384701</t>
  </si>
  <si>
    <t>Осинове</t>
  </si>
  <si>
    <t>вул. Слобожанська, 1</t>
  </si>
  <si>
    <t>(06463)94792</t>
  </si>
  <si>
    <t>Осинівська загальноосвітня школа № 2 І-ІІ ступенів Новопсковської районної ради Луганської області</t>
  </si>
  <si>
    <t>92343</t>
  </si>
  <si>
    <t>вул. Лісна, 2А</t>
  </si>
  <si>
    <t>9-65-19</t>
  </si>
  <si>
    <t>http://osinivska-zosh-2.webmode.com.ua</t>
  </si>
  <si>
    <t>Макартетинська загальноосвітня школа І- ІІ ступенів Новопсковської районної ради Луганської області</t>
  </si>
  <si>
    <t>92346</t>
  </si>
  <si>
    <t>4423384703</t>
  </si>
  <si>
    <t>Макартетине</t>
  </si>
  <si>
    <t>вул. Тихонівська, 42 Д</t>
  </si>
  <si>
    <t>(06463)9-85-47</t>
  </si>
  <si>
    <t>Павленківська ЗОШ І-ІІ ступенів Новопсковської районної ради Луганської області</t>
  </si>
  <si>
    <t>92320</t>
  </si>
  <si>
    <t>4423385301</t>
  </si>
  <si>
    <t>Павленкове</t>
  </si>
  <si>
    <t>(06463)95510</t>
  </si>
  <si>
    <t>Пісківська загальноосвітня школа І-ІІІ ступенів Новопсковської районної ради Луганської області</t>
  </si>
  <si>
    <t>92354</t>
  </si>
  <si>
    <t>4423385901</t>
  </si>
  <si>
    <t>(06463)94141</t>
  </si>
  <si>
    <t>Булавинівська загальноосвітня школа І-ІІ ступенів Новопсковської районної ради Луганської області</t>
  </si>
  <si>
    <t>92355</t>
  </si>
  <si>
    <t>4423385902</t>
  </si>
  <si>
    <t>Булавинівка</t>
  </si>
  <si>
    <t>вул. Айдарська, 11</t>
  </si>
  <si>
    <t>(06463)9-64-30</t>
  </si>
  <si>
    <t>Риб'янцівська загальноосвітня школа І-ІІІ ступенів Новопсковської районної ради Луганської області</t>
  </si>
  <si>
    <t>92350</t>
  </si>
  <si>
    <t>4423386601</t>
  </si>
  <si>
    <t>Риб'янцеве</t>
  </si>
  <si>
    <t>вул. Миру, 28 А</t>
  </si>
  <si>
    <t>(06463)96748, (06463)96730</t>
  </si>
  <si>
    <t>Писарівська загальноосвітня школа І-ІІ ступенів Новопсковської районної ради Луганської області</t>
  </si>
  <si>
    <t>92351</t>
  </si>
  <si>
    <t>4423386602</t>
  </si>
  <si>
    <t>(06463)98356</t>
  </si>
  <si>
    <t>Рогівська загальноосвітня школа І-ІІ ступенів Новопсковської районної ради Луганської області</t>
  </si>
  <si>
    <t>92341</t>
  </si>
  <si>
    <t>4423387001</t>
  </si>
  <si>
    <t>Рогове</t>
  </si>
  <si>
    <t>(064-63)9-66-33</t>
  </si>
  <si>
    <t>Танюшівська загальноосвітня школа І-ІІІ ступенів Новопсковської районної ради Луганської області</t>
  </si>
  <si>
    <t>92312</t>
  </si>
  <si>
    <t>4423388201</t>
  </si>
  <si>
    <t>Танюшівка</t>
  </si>
  <si>
    <t>(06463)93325</t>
  </si>
  <si>
    <t>Березівська загальноосвітня школа І-ІІ ступенів Новопсковської районної ради Луганської області</t>
  </si>
  <si>
    <t>92314</t>
  </si>
  <si>
    <t>4423388202</t>
  </si>
  <si>
    <t>вул. Побєди, 29</t>
  </si>
  <si>
    <t>(06463)95646</t>
  </si>
  <si>
    <t>Золотівська загальноосвітня школа І-ІІІ ступенів № 5 Попаснянської районної ради Луганської області</t>
  </si>
  <si>
    <t>93295</t>
  </si>
  <si>
    <t>4423810100</t>
  </si>
  <si>
    <t>Попасна</t>
  </si>
  <si>
    <t>вул. Коцюбинського, 28</t>
  </si>
  <si>
    <t>Попаснянська багатопрофільна гімназія № 25 Попаснянської районної ради Луганської області</t>
  </si>
  <si>
    <t>93302</t>
  </si>
  <si>
    <t>вул. О. Кошового, № 31</t>
  </si>
  <si>
    <t>(06474)32645</t>
  </si>
  <si>
    <t>http://oosh-25.at.ua</t>
  </si>
  <si>
    <t>33224980</t>
  </si>
  <si>
    <t>Попаснянська гімназія № 20 Попаснянської районної ради Луганської області</t>
  </si>
  <si>
    <t>93301</t>
  </si>
  <si>
    <t>вул. Вокзальна, 25</t>
  </si>
  <si>
    <t>(06474)20061</t>
  </si>
  <si>
    <t>http://gimnazia20.ucoz.com</t>
  </si>
  <si>
    <t>33225020</t>
  </si>
  <si>
    <t>Попаснянська загальноосвітня школа І-ІІІ ступенів № 24 Попаснянської районної ради Луганської області</t>
  </si>
  <si>
    <t>93304</t>
  </si>
  <si>
    <t>пров. Лермонтова, 14</t>
  </si>
  <si>
    <t>(06474)21380</t>
  </si>
  <si>
    <t>http://school-24.ucoz.ua/</t>
  </si>
  <si>
    <t>33224996</t>
  </si>
  <si>
    <t>Попаснянська загальноосвітня школа І-ІІІ ступенів № 1 Попаснянської районної ради Луганської області</t>
  </si>
  <si>
    <t>93300</t>
  </si>
  <si>
    <t>вул. Донецька, 2А</t>
  </si>
  <si>
    <t>(06474)20490</t>
  </si>
  <si>
    <t>33225015</t>
  </si>
  <si>
    <t>Попаснянська загальноосвітня школа І-ІІІ ступенів № 21 Попаснянської районної ради Луганської області</t>
  </si>
  <si>
    <t>вул. Чехова, 7</t>
  </si>
  <si>
    <t>(06474)20242</t>
  </si>
  <si>
    <t>33225007</t>
  </si>
  <si>
    <t>Гірська багатопрофільна гімназія Попаснянської районної ради</t>
  </si>
  <si>
    <t>93292</t>
  </si>
  <si>
    <t>4423810500</t>
  </si>
  <si>
    <t>Гірське</t>
  </si>
  <si>
    <t>вул. Гагаріна, 19</t>
  </si>
  <si>
    <t>35205624</t>
  </si>
  <si>
    <t>Гірська обласна спеціальна загальноосвітня школа-інтернат</t>
  </si>
  <si>
    <t>вул. Центральна, 30</t>
  </si>
  <si>
    <t>(06455)4-35-02, (06455)4-35-50, (06455)4-32-44</t>
  </si>
  <si>
    <t>20153303</t>
  </si>
  <si>
    <t>Золотівська багатопрофільна гімназія Попаснянської районної ради Луганської області</t>
  </si>
  <si>
    <t>4423810800</t>
  </si>
  <si>
    <t>Золоте</t>
  </si>
  <si>
    <t>кв. Сонячний, 12</t>
  </si>
  <si>
    <t>(06455)43067</t>
  </si>
  <si>
    <t>35205633</t>
  </si>
  <si>
    <t>Золотівська загальноосвітня школа І-ІІ ступенів № 14 Попаснянської районної ради Луганської області</t>
  </si>
  <si>
    <t>93297</t>
  </si>
  <si>
    <t>вул. Театральна, 2А</t>
  </si>
  <si>
    <t>095-897-36-31</t>
  </si>
  <si>
    <t>Золотівська загальноосвітня школа І-ІІ ступенів № 7 Попаснянської районної ради Луганської області</t>
  </si>
  <si>
    <t>93298</t>
  </si>
  <si>
    <t>(380)682870880</t>
  </si>
  <si>
    <t>Золотівська загальноосвітня школа І-ІІІ ступенів № 4 Первомайської міської ради Луганської області</t>
  </si>
  <si>
    <t>93299</t>
  </si>
  <si>
    <t>вул. Войкова, 3</t>
  </si>
  <si>
    <t>(064-55)3-32-26</t>
  </si>
  <si>
    <t>Білогорівська загальноосвітня школа І-ІІІ ступенів Попаснянської районної ради Луганської області</t>
  </si>
  <si>
    <t>93310</t>
  </si>
  <si>
    <t>4423855300</t>
  </si>
  <si>
    <t>Білогорівка</t>
  </si>
  <si>
    <t>(06474)93723</t>
  </si>
  <si>
    <t>http://bilogorivskaz.ucoz.ua</t>
  </si>
  <si>
    <t>Золотарівський навчально-виховний комплекс "Дошкільний навчальний заклад-Загальноосвітній навчальний заклад" Попаснянської районної ради Луганської області</t>
  </si>
  <si>
    <t>93312</t>
  </si>
  <si>
    <t>4423855302</t>
  </si>
  <si>
    <t>Золотарівка</t>
  </si>
  <si>
    <t>(095)0343469</t>
  </si>
  <si>
    <t>Шипилівська середня загальноосвітня школа І ступеня Попаснянської районної ради Луганської області</t>
  </si>
  <si>
    <t>93311</t>
  </si>
  <si>
    <t>4423855303</t>
  </si>
  <si>
    <t>Шипилівка</t>
  </si>
  <si>
    <t>(068)3976147</t>
  </si>
  <si>
    <t>Вовчоярівський навчально-виховний комплекс "загальноосвітній навчальний заклад І-ІІ ступенів - дошкільний навчальний заклад (дитячий садок)" Попаснянської районної ради Луганської області</t>
  </si>
  <si>
    <t>93315</t>
  </si>
  <si>
    <t>4423855900</t>
  </si>
  <si>
    <t>Вовчоярівка</t>
  </si>
  <si>
    <t>(06474)92599</t>
  </si>
  <si>
    <t>http://skola-v.ucoz.ru</t>
  </si>
  <si>
    <t>Врубівська загальноосвітня школа І - ІІІ ступенів Попаснянської районної ради Луганської області</t>
  </si>
  <si>
    <t>93330</t>
  </si>
  <si>
    <t>4423856200</t>
  </si>
  <si>
    <t>Врубівка</t>
  </si>
  <si>
    <t>(06474)92268</t>
  </si>
  <si>
    <t>Новоіванівська загальоосвітня школа І - ІІ ступенів Попаснянської районної ради Луганської області</t>
  </si>
  <si>
    <t>93332</t>
  </si>
  <si>
    <t>4423856202</t>
  </si>
  <si>
    <t>вул. Первомайська, 1</t>
  </si>
  <si>
    <t>0997961118, (06474)2-45</t>
  </si>
  <si>
    <t>Калинівська загальноосвітня школа І-ІІІ ступенів Попаснянської районної ради Луганської області</t>
  </si>
  <si>
    <t>93350</t>
  </si>
  <si>
    <t>4423856500</t>
  </si>
  <si>
    <t>(06474)92319</t>
  </si>
  <si>
    <t>Комишуваський навчально-виховний комплекс "загальноосвітній навчальний заклад I-II ступенів - дошкільний навчальний заклад (дитячий садок)" Попаснянської районної ради Луганської області</t>
  </si>
  <si>
    <t>93341</t>
  </si>
  <si>
    <t>4423856900</t>
  </si>
  <si>
    <t>(095)5132601</t>
  </si>
  <si>
    <t>Комишуваський навчально-виховний комплекс "загальноосвітній навчальний заклад І-ІІІ ступенів - дошкільний навчальний заклад (ясла-садок)"-Н, Попаснянскої районної ради Луганської області</t>
  </si>
  <si>
    <t>93340</t>
  </si>
  <si>
    <t>вул. Крамнична, 1А</t>
  </si>
  <si>
    <t>(099)7650605</t>
  </si>
  <si>
    <t>ЗОШ І-ІІІ ступенів, селища Лисичанського, Попаснянської районної ради, Луганської області</t>
  </si>
  <si>
    <t>93314</t>
  </si>
  <si>
    <t>4423857201</t>
  </si>
  <si>
    <t>Лисичанський</t>
  </si>
  <si>
    <t>вул. Ювілейна, 17А</t>
  </si>
  <si>
    <t>(38050)5720517, (38050)4707961, (38066)9852201</t>
  </si>
  <si>
    <t>http://zoshlisich.ucoz.ua</t>
  </si>
  <si>
    <t>Мирнодолинська загальноосвітня школа І-ІІІ ступенів Попаснянської районної ради Луганської області</t>
  </si>
  <si>
    <t>93321</t>
  </si>
  <si>
    <t>4423857500</t>
  </si>
  <si>
    <t>вул. Совхозна, 51</t>
  </si>
  <si>
    <t>0953064615</t>
  </si>
  <si>
    <t>Нижнєнський навчально-виховний комплекс "Дошкільний навчальний заклад- загальноосвітній навчальний заклад" № 36 Попаснянської районної ради Луганської області</t>
  </si>
  <si>
    <t>93290</t>
  </si>
  <si>
    <t>4423857700</t>
  </si>
  <si>
    <t>Нижнє</t>
  </si>
  <si>
    <t>вул. Шевченко, 6</t>
  </si>
  <si>
    <t>(06455)41331</t>
  </si>
  <si>
    <t>http://school36.ucoz.ua</t>
  </si>
  <si>
    <t>Нижнєнський навчально-виховний комплекс "Загальноосвітній навчальний заклад- дошкільний навчальний заклад" № 35, Попаснянської районної ради , Луганської області</t>
  </si>
  <si>
    <t>93291</t>
  </si>
  <si>
    <t>ал. Шкільна, 16</t>
  </si>
  <si>
    <t>(095)3648723</t>
  </si>
  <si>
    <t>Новотошківський навчально - виховний комплекс "Загальноосвітній навчальний заклад І - ІІІ ступенів дошкільний навчальний заклад (ясла - садок)" № 10 Попаснянської районної ради № 10 Луганської області</t>
  </si>
  <si>
    <t>93891</t>
  </si>
  <si>
    <t>4423857900</t>
  </si>
  <si>
    <t>Новотошківське</t>
  </si>
  <si>
    <t>вул. Куйбишева, 10</t>
  </si>
  <si>
    <t>Тошківський навчально-виховний комплекс "Загальноосвітній навчальний заклад - Дошкільний навчальний заклад" Попаснянської районної ради Луганської області</t>
  </si>
  <si>
    <t>93281</t>
  </si>
  <si>
    <t>4423858200</t>
  </si>
  <si>
    <t>Тошківка</t>
  </si>
  <si>
    <t>вул. Цуприка, 5 б</t>
  </si>
  <si>
    <t>0501802766</t>
  </si>
  <si>
    <t>Тошківська загальноосвітня школа І-ІІ ступенів № 23 Попаснянської районної ради Луганської області</t>
  </si>
  <si>
    <t>93280</t>
  </si>
  <si>
    <t>Чорнухинська загальноосвітня школа І-ІІ ступенів № 35</t>
  </si>
  <si>
    <t>94340</t>
  </si>
  <si>
    <t>4423858500</t>
  </si>
  <si>
    <t>Чорнухине</t>
  </si>
  <si>
    <t>вул. Дивізіонна, 104</t>
  </si>
  <si>
    <t>(64441)4-11-41</t>
  </si>
  <si>
    <t>Чорнухинська загальноосвітня школа І-ІІІ ступенів № 22 Перевальської районної ради Луганської області</t>
  </si>
  <si>
    <t>пров. Студентський, 1</t>
  </si>
  <si>
    <t>(064)4141768</t>
  </si>
  <si>
    <t>Загальноосвітня школа I-III ступенів с.Молодіжного</t>
  </si>
  <si>
    <t>93345</t>
  </si>
  <si>
    <t>4423881103</t>
  </si>
  <si>
    <t>вул. Врожайна, 7</t>
  </si>
  <si>
    <t>(06474)91549</t>
  </si>
  <si>
    <t>Голубівська загальноосвітня школа І-ІІ ступенів Попаснянської районної ради Луганської області</t>
  </si>
  <si>
    <t>93335</t>
  </si>
  <si>
    <t>4423881501</t>
  </si>
  <si>
    <t>Голубівське</t>
  </si>
  <si>
    <t>(06474)93255</t>
  </si>
  <si>
    <t>Троїцька загальноосвітня школа І-ІІІ ступенів Попаснянської районної ради Луганської області</t>
  </si>
  <si>
    <t>93354</t>
  </si>
  <si>
    <t>4423885201</t>
  </si>
  <si>
    <t>вул. Красна, 1А</t>
  </si>
  <si>
    <t>(066)5127130</t>
  </si>
  <si>
    <t>Комунальний заклад "Навчально-виховний комплекс Сватівська загальноосвітня школа І ступеня-гімназія"</t>
  </si>
  <si>
    <t>92600</t>
  </si>
  <si>
    <t>4424010100</t>
  </si>
  <si>
    <t>Сватове</t>
  </si>
  <si>
    <t>пл. 50-річчя Перемоги, 35</t>
  </si>
  <si>
    <t>(06471)33903</t>
  </si>
  <si>
    <t>Сватівська загальнооосвітня школа І-ІІІ ступенів № 2 Сватівської районної ради Луганської області</t>
  </si>
  <si>
    <t>92603</t>
  </si>
  <si>
    <t>вул. Весела, 2</t>
  </si>
  <si>
    <t>(06471)3-40-14</t>
  </si>
  <si>
    <t>Сватівська загальноосвітня школа І-ІІІ ступенів № 8 Сватівської районної ради Луганської області</t>
  </si>
  <si>
    <t>пров. Промисловий, 15</t>
  </si>
  <si>
    <t>(06471)34421, (06471)34420</t>
  </si>
  <si>
    <t>http://www.svatove-school8.edukit.lg.ua</t>
  </si>
  <si>
    <t>Сватівська загальноосвітня школа І-ІІІ ступенів № 1 Сватівської районної ради Луганської області</t>
  </si>
  <si>
    <t>пл. Шевченка, 26</t>
  </si>
  <si>
    <t>(06471)3-20-52</t>
  </si>
  <si>
    <t>Сватівська загальноосвітня школа І-ІІІ ступенів № 6 Сватівської районної ради Луганської області</t>
  </si>
  <si>
    <t>(06471)3-20-48, (06471)3-11-45</t>
  </si>
  <si>
    <t>Сватівська обласна спеціальна загальноосвітня школа-інтернат 1-Ш ступенів</t>
  </si>
  <si>
    <t>вул. Водопьянова, 67</t>
  </si>
  <si>
    <t>(06471)33200</t>
  </si>
  <si>
    <t>20152812</t>
  </si>
  <si>
    <t>Нижньодуванська загальноосвітня школа І-ІІІ ступенів Сватівської районної ради Луганської області</t>
  </si>
  <si>
    <t>92612</t>
  </si>
  <si>
    <t>4424055400</t>
  </si>
  <si>
    <t>Нижня Дуванка</t>
  </si>
  <si>
    <t>вул. Леніна, 64</t>
  </si>
  <si>
    <t>(06471)98235</t>
  </si>
  <si>
    <t>http://nyzhnia-duvanka.edukit.lg.ua</t>
  </si>
  <si>
    <t>Верхньодуванська загальноосвітня школа І - ІІІ ступенів Сватівської районної ради Луганської області</t>
  </si>
  <si>
    <t>92610</t>
  </si>
  <si>
    <t>4424080501</t>
  </si>
  <si>
    <t>Верхня Дуванка</t>
  </si>
  <si>
    <t>(06471)99-7-40</t>
  </si>
  <si>
    <t>Гончарівська загальноосвітня школа І - ІІІ ступенів Сватівської районної ради Луганської області</t>
  </si>
  <si>
    <t>92631</t>
  </si>
  <si>
    <t>4424081001</t>
  </si>
  <si>
    <t>Гончарівка</t>
  </si>
  <si>
    <t>вул. Гаєвого, 47</t>
  </si>
  <si>
    <t>2746197140</t>
  </si>
  <si>
    <t>Навчально-виховний комплекс "Ковалівська загальноосвітня школа І-ІІІ ступенів - дошкільний навчальний заклад" Сватівської районної ради Луганської області</t>
  </si>
  <si>
    <t>92625</t>
  </si>
  <si>
    <t>4424081501</t>
  </si>
  <si>
    <t>вул. Жовтнева, 30</t>
  </si>
  <si>
    <t>(06471)96340</t>
  </si>
  <si>
    <t>Коломийчиська загальноосвітня школа І-ІІІ ступенів Сватівської районної ради Луганської області</t>
  </si>
  <si>
    <t>92622</t>
  </si>
  <si>
    <t>4424082001</t>
  </si>
  <si>
    <t>Коломийчиха</t>
  </si>
  <si>
    <t>вул. Польова, 36</t>
  </si>
  <si>
    <t>(06471)94340</t>
  </si>
  <si>
    <t>http://kolomyichyha.edukit.lg.ua</t>
  </si>
  <si>
    <t>Куземівська загальноосвітня школа І-ІІІ ступенів Сватівської районної ради Луганської області</t>
  </si>
  <si>
    <t>92620</t>
  </si>
  <si>
    <t>4424082501</t>
  </si>
  <si>
    <t>Куземівка</t>
  </si>
  <si>
    <t>95340</t>
  </si>
  <si>
    <t>http://kuzemivka.edukit.lg.ua.</t>
  </si>
  <si>
    <t>Мілуватська загальноосвітня школа І-ІІІ ступенів Сватівської районної ради Луганської області</t>
  </si>
  <si>
    <t>92633</t>
  </si>
  <si>
    <t>4424083501</t>
  </si>
  <si>
    <t>Мілуватка</t>
  </si>
  <si>
    <t>вул. Слобожанська, 45</t>
  </si>
  <si>
    <t>(064)71-93-1-86</t>
  </si>
  <si>
    <t>Містківська загальноосвітня школа І-ІІ ступенів Сватівської районної ради Луганської області</t>
  </si>
  <si>
    <t>92654</t>
  </si>
  <si>
    <t>4424084001</t>
  </si>
  <si>
    <t>Містки</t>
  </si>
  <si>
    <t>вул. Дзержинського, 1</t>
  </si>
  <si>
    <t>(06471)90-3-62</t>
  </si>
  <si>
    <t>Містківська загальноосвітня школа І-ІІІ ступенів Сватівської районної ради Луганської області</t>
  </si>
  <si>
    <t>вул. Степова, 1А</t>
  </si>
  <si>
    <t>(06471)90173</t>
  </si>
  <si>
    <t>Навчально-виховний комплекс "Оборотнівська загальноосвітня школа І-ІІІ ступенів - дошкільний навчальний заклад" Сватівської районної ради Луганської області</t>
  </si>
  <si>
    <t>92614</t>
  </si>
  <si>
    <t>4424084501</t>
  </si>
  <si>
    <t>Оборотнівка</t>
  </si>
  <si>
    <t>вул. Михайлівська, 38</t>
  </si>
  <si>
    <t>(06471)99640</t>
  </si>
  <si>
    <t>Навчально-виховний комплекс "Петрівська загальноосвтня школа І-ІІІ ступенів-дошкільний навчальний заклад" Сватівської районної ради Луганської оласті</t>
  </si>
  <si>
    <t>92652</t>
  </si>
  <si>
    <t>4424085501</t>
  </si>
  <si>
    <t>Коржове</t>
  </si>
  <si>
    <t>(06471)9-65-40</t>
  </si>
  <si>
    <t>Навчально-виховний комплекс "Преображенська загальноосвітня школа І-ІІ ступенів - дошкільний навчальний заклад" Сватівської районної ради Луганської області</t>
  </si>
  <si>
    <t>92630</t>
  </si>
  <si>
    <t>4424086001</t>
  </si>
  <si>
    <t>Преображенне</t>
  </si>
  <si>
    <t>вул. Шевченка (Октябрська), 5</t>
  </si>
  <si>
    <t>(06471)99140</t>
  </si>
  <si>
    <t>Навчально-виховний комплекс "Райгородська загальноосвітня школа І-ІІ ступенів - дошкільний навчальний заклад"</t>
  </si>
  <si>
    <t>92624</t>
  </si>
  <si>
    <t>4424086501</t>
  </si>
  <si>
    <t>вул. Конопліна, 4</t>
  </si>
  <si>
    <t>(06471)95240</t>
  </si>
  <si>
    <t>http://svatovo.ws/rayono/raygorodka/</t>
  </si>
  <si>
    <t>Навчально-виховний комплекс "Рудівська загальноосвітня школа І- ІІ ступенів - дошкільний навчальний заклад Сватівської районної ради Луганської області"</t>
  </si>
  <si>
    <t>92650</t>
  </si>
  <si>
    <t>4424087001</t>
  </si>
  <si>
    <t>Рудівка</t>
  </si>
  <si>
    <t>((06471))9-77-22</t>
  </si>
  <si>
    <t>Навчально-виховний комплекс "Свистунівська загальноосвітня школа І-ІІІ ступенів - дошкільний навчальний заклад Сватівської районної ради Луганської області"</t>
  </si>
  <si>
    <t>92642</t>
  </si>
  <si>
    <t>4424087501</t>
  </si>
  <si>
    <t>Свистунівка</t>
  </si>
  <si>
    <t>(06471)94740</t>
  </si>
  <si>
    <t>навчально-виховний комплекс "Стельмахівська загальноосвітня школа І-ІІ ступенів - дошкільний навчальний заклад"</t>
  </si>
  <si>
    <t>92623</t>
  </si>
  <si>
    <t>4424087801</t>
  </si>
  <si>
    <t>Стельмахівка</t>
  </si>
  <si>
    <t>96-4-17</t>
  </si>
  <si>
    <t>Комунальний заклад "Станично - Луганська спеціалізована школа № 2 I-III ступенів з поглибленим вивченням окремих предметів та курсів імені П.В.Балабуєва"Станично - Луганського району, Луганської області</t>
  </si>
  <si>
    <t>93600</t>
  </si>
  <si>
    <t>4424855100</t>
  </si>
  <si>
    <t>Станиця Луганська</t>
  </si>
  <si>
    <t>(06472)31718</t>
  </si>
  <si>
    <t>http://st-school2.at.ua/</t>
  </si>
  <si>
    <t>Комунальний заклад "Станично-Луганська загальноосвітня школа І-ІІІ ступенів № 1" Станично-Луганського району, Луганської області</t>
  </si>
  <si>
    <t>93601</t>
  </si>
  <si>
    <t>кв. Молодіжний, 19</t>
  </si>
  <si>
    <t>(06472)21-5-94</t>
  </si>
  <si>
    <t>http://schoolstanitsa1.at.ua</t>
  </si>
  <si>
    <t>Комунальний заклад"Кіндрашівська загальноосвітня школа І-ІІІ ступенів Станично-Луганського району Луганської області"</t>
  </si>
  <si>
    <t>93602</t>
  </si>
  <si>
    <t>(06472-5)24-05, (06472-5)24-01, (06472)35-1-58</t>
  </si>
  <si>
    <t>Комунальний заклад "Петропавлівська загальноосвітня школа № 1 І-ІІІ ступенів Станично-Луганського району Луганської області"</t>
  </si>
  <si>
    <t>93613</t>
  </si>
  <si>
    <t>4424855400</t>
  </si>
  <si>
    <t>вул. Зоряна, 4</t>
  </si>
  <si>
    <t>http://www.petrivka-school1.edukit.lg.ua</t>
  </si>
  <si>
    <t>Комунальний заклад "Петропавлівська спеціалізована школа № 2 І-ІІІ ступенів з поглибленим вивченням окремих предметів та курсів Станично-Луганського району Луганської області "</t>
  </si>
  <si>
    <t>вул. Миру, 64 а</t>
  </si>
  <si>
    <t>((06472))36-3-39</t>
  </si>
  <si>
    <t>Комунальний заклад "Валуйська загальноосвітня школа I-III ступенів № 2 Станично-Луганського району Луганської області"</t>
  </si>
  <si>
    <t>93650</t>
  </si>
  <si>
    <t>4424880501</t>
  </si>
  <si>
    <t>Валуйське</t>
  </si>
  <si>
    <t>(06472)21848</t>
  </si>
  <si>
    <t>Комунальний заклад "Валуйська загальноосвітня школа № 1 І-ІІІ ступенів Станично-Луганського району Луганської області"</t>
  </si>
  <si>
    <t>вул. Совєтська, 305</t>
  </si>
  <si>
    <t>http://valuyskaya1.klasna.com/</t>
  </si>
  <si>
    <t>Комунальний заклад "Вільхівська загальноосвітня школа І-ІІІ ступенів Станично - Луганського району Луганської області"</t>
  </si>
  <si>
    <t>93653</t>
  </si>
  <si>
    <t>4424880503</t>
  </si>
  <si>
    <t>вул. Шкільна, 50</t>
  </si>
  <si>
    <t>(06472)38624</t>
  </si>
  <si>
    <t>http://Vilhivskaschool.klasna.com</t>
  </si>
  <si>
    <t>Великочернігівська спеціалізована школа І-ІІІ ступенів з поглибленим вивченням окремих предметів та курсів Станично-Луганського району Луганської області</t>
  </si>
  <si>
    <t>93611</t>
  </si>
  <si>
    <t>4424881001</t>
  </si>
  <si>
    <t>вул. Робоча, 6 А</t>
  </si>
  <si>
    <t>(064)94614</t>
  </si>
  <si>
    <t>Комунальний заклад "Верхньобогданівський навчально-виховний комплекс Станично-Луганського району Луганської облаті"</t>
  </si>
  <si>
    <t>93610</t>
  </si>
  <si>
    <t>4424881501</t>
  </si>
  <si>
    <t>Верхньобогданівка</t>
  </si>
  <si>
    <t>пл. Миру, 2</t>
  </si>
  <si>
    <t>Комунальний заклад " Гарасимівський навчально - виховний комплекс Станично - Луганського району Луганської області</t>
  </si>
  <si>
    <t>93640</t>
  </si>
  <si>
    <t>4424882001</t>
  </si>
  <si>
    <t>Гарасимівка</t>
  </si>
  <si>
    <t>0982085644</t>
  </si>
  <si>
    <t>Комунальний заклад «Комишненський навчально-виховний комплекс Станично-Луганського району Луганської області»</t>
  </si>
  <si>
    <t>93644</t>
  </si>
  <si>
    <t>4424882501</t>
  </si>
  <si>
    <t>Комишне</t>
  </si>
  <si>
    <t>Комунальний заклад " Красноталівський навчально - виховний комплекс Станично - Луганського району Луганської області"</t>
  </si>
  <si>
    <t>93621</t>
  </si>
  <si>
    <t>4424883001</t>
  </si>
  <si>
    <t>Красна Талівка</t>
  </si>
  <si>
    <t>просп. Перемоги, 1</t>
  </si>
  <si>
    <t>(06472)96258</t>
  </si>
  <si>
    <t>Комунальний заклад "Нижньотеплівська загальноосвітня школа І-ІІІ ступенів Станично-Луганського району Луганської області"</t>
  </si>
  <si>
    <t>93632</t>
  </si>
  <si>
    <t>4424883501</t>
  </si>
  <si>
    <t>Нижньотепле</t>
  </si>
  <si>
    <t>(06472)35730</t>
  </si>
  <si>
    <t>Комунальний заклад "Артемівський навчально-виховний комплекс Станично-Луганського району Луганської області"</t>
  </si>
  <si>
    <t>4424883502</t>
  </si>
  <si>
    <t>Артема</t>
  </si>
  <si>
    <t>вул. Сонячна, 48А</t>
  </si>
  <si>
    <t>(06472)99625</t>
  </si>
  <si>
    <t>Комунальний заклад «Нижньовільхівський навчально-виховний комплекс Станично-Луганського району Луганської області»</t>
  </si>
  <si>
    <t>93641</t>
  </si>
  <si>
    <t>4424884501</t>
  </si>
  <si>
    <t>Нижня Вільхова</t>
  </si>
  <si>
    <t>вул. Гагаріна, 51</t>
  </si>
  <si>
    <t>(06472)96339</t>
  </si>
  <si>
    <t>http://nyzoh.io.ua</t>
  </si>
  <si>
    <t>Комунальний заклад "Плотинський навчально - виховний комплекс Станично-Луганського району Луганської області"</t>
  </si>
  <si>
    <t>93643</t>
  </si>
  <si>
    <t>4424884504</t>
  </si>
  <si>
    <t>Плотина</t>
  </si>
  <si>
    <t>вул. Івана Франка, 38 а</t>
  </si>
  <si>
    <t>(06472)96724</t>
  </si>
  <si>
    <t>Комунальний заклад " Передільська загальноосвітня школа І-ІІІ ступенів Станично-Луганського району Луганської області"</t>
  </si>
  <si>
    <t>93615</t>
  </si>
  <si>
    <t>4424885001</t>
  </si>
  <si>
    <t>Передільське</t>
  </si>
  <si>
    <t>(34274257)0647294419</t>
  </si>
  <si>
    <t>Комунальний заклад "Розквітненський навчально-виховний комплекс Станично-Луганського району Луганської області"</t>
  </si>
  <si>
    <t>93625</t>
  </si>
  <si>
    <t>4424885101</t>
  </si>
  <si>
    <t>Розквіт</t>
  </si>
  <si>
    <t>Комунальний заклад "Талівський навчально-виховний комплекс Станично-Луганського району Луганської області"</t>
  </si>
  <si>
    <t>93623</t>
  </si>
  <si>
    <t>4424885301</t>
  </si>
  <si>
    <t>Талове</t>
  </si>
  <si>
    <t>пров. Клубний, 3</t>
  </si>
  <si>
    <t>(06472)95130</t>
  </si>
  <si>
    <t>Комунальний заклад "Теплівська загальноосвітня школа І-ІІІ ступенів Станично-Луганського району Луганської області"</t>
  </si>
  <si>
    <t>93630</t>
  </si>
  <si>
    <t>4424885501</t>
  </si>
  <si>
    <t>Тепле</t>
  </si>
  <si>
    <t>0506067094</t>
  </si>
  <si>
    <t>Комунальний заклад "Сотенський Навчально-виховний комплекс, Станично-Луганського району, Луганської області"</t>
  </si>
  <si>
    <t>93612</t>
  </si>
  <si>
    <t>4424886001</t>
  </si>
  <si>
    <t>Сотенне</t>
  </si>
  <si>
    <t>вул. Центральна, 1 в</t>
  </si>
  <si>
    <t>(06472)99353</t>
  </si>
  <si>
    <t>Комунальний заклад "Чугинська загальноосвітня школа І-ІІІ ст.Станично-Луганського району Луганської області"</t>
  </si>
  <si>
    <t>93620</t>
  </si>
  <si>
    <t>4424886501</t>
  </si>
  <si>
    <t>Чугинка</t>
  </si>
  <si>
    <t>вул. Шкільна, 1Б</t>
  </si>
  <si>
    <t>(064)7297236</t>
  </si>
  <si>
    <t>Комунальний заклад "Широківська загальноосвітня школа І - ІІІ ступенів Станично - Луганського району Луганської області"</t>
  </si>
  <si>
    <t>93624</t>
  </si>
  <si>
    <t>4424887001</t>
  </si>
  <si>
    <t>Широкий</t>
  </si>
  <si>
    <t>вул. Водолазкіна, 13</t>
  </si>
  <si>
    <t>Старобільська гімназія Старобільської районної ради Луганської області</t>
  </si>
  <si>
    <t>92703</t>
  </si>
  <si>
    <t>4425110100</t>
  </si>
  <si>
    <t>Старобільськ</t>
  </si>
  <si>
    <t>вул. Руднєва, 25</t>
  </si>
  <si>
    <t>(06461)20254</t>
  </si>
  <si>
    <t>Старобільська загальноосвітня школа І ступеня № 1 Старобільської районної ради Луганської області</t>
  </si>
  <si>
    <t>92704</t>
  </si>
  <si>
    <t>кв. Ватутіна, 63</t>
  </si>
  <si>
    <t>(06461)32092</t>
  </si>
  <si>
    <t>Старобільська загальноосвітня школа І ступеня № 2 Старобільської районної ради Луганської області</t>
  </si>
  <si>
    <t>92700</t>
  </si>
  <si>
    <t>вул. Трудова, 27</t>
  </si>
  <si>
    <t>(06461)2-41-38</t>
  </si>
  <si>
    <t>Старобільська загальноосвітня школа І-ІІ ступенів № 1 Старобільської районної ради Луганської області</t>
  </si>
  <si>
    <t>92701</t>
  </si>
  <si>
    <t>вул. Андрющенка, 118</t>
  </si>
  <si>
    <t>(06461)22862</t>
  </si>
  <si>
    <t>Старобільська загальноосвітня школа ІІ-ІІІ ступенів № 2 Старобільської районної ради Луганської області</t>
  </si>
  <si>
    <t>пл. Гоголя, 3А</t>
  </si>
  <si>
    <t>(06461)(06461)22304</t>
  </si>
  <si>
    <t>Старобільська загальноосвітня школа ІІ-ІІІ ступенів № 4 Старобільської районної ради Луганської області</t>
  </si>
  <si>
    <t>вул. Ватутіна, 53А</t>
  </si>
  <si>
    <t>(06461)3-20-34</t>
  </si>
  <si>
    <t>http://starschool.at.ua</t>
  </si>
  <si>
    <t>Старобільська спеціалізована загальоосвітня школа І-ІІІ ступенів № 3 Старобільської районної ради Луганської області</t>
  </si>
  <si>
    <t>вул. Гімназична, 23</t>
  </si>
  <si>
    <t>(06461)22094</t>
  </si>
  <si>
    <t>Байдівська загальноосвітня школа І - ІІ ступенів Старобільської районної ради Луганської області</t>
  </si>
  <si>
    <t>92763</t>
  </si>
  <si>
    <t>4425180101</t>
  </si>
  <si>
    <t>Байдівка</t>
  </si>
  <si>
    <t>вул. Красна, 1</t>
  </si>
  <si>
    <t>(06461)97634</t>
  </si>
  <si>
    <t>http://baydivka.at.ua/</t>
  </si>
  <si>
    <t>Бутівська загальноосвітня школа І-ІІІ ступенів Чмирівської сільської ради Старобільського району Луганської області</t>
  </si>
  <si>
    <t>92762</t>
  </si>
  <si>
    <t>4425180201</t>
  </si>
  <si>
    <t>Бутове</t>
  </si>
  <si>
    <t>(06461)3-12-89</t>
  </si>
  <si>
    <t>Петрівська загальноосвітня школа І-ІІІ ступенів Старобільської районної ради Луганської області</t>
  </si>
  <si>
    <t>92733</t>
  </si>
  <si>
    <t>4425180301</t>
  </si>
  <si>
    <t>(06461)95139</t>
  </si>
  <si>
    <t>Верхньопокровська загальноосвітня школа І-ІІ ступенів Старобільської районної ради Луганської області</t>
  </si>
  <si>
    <t>92713</t>
  </si>
  <si>
    <t>4425180501</t>
  </si>
  <si>
    <t>Верхня Покровка</t>
  </si>
  <si>
    <t>(06461)97724</t>
  </si>
  <si>
    <t>Вишневська загальноосвітня школа І-ІІІ ступенів Чмирівської сільської ради Старобільського району Луганської області</t>
  </si>
  <si>
    <t>72942</t>
  </si>
  <si>
    <t>4425180601</t>
  </si>
  <si>
    <t>вул. Новобудівельна, 11</t>
  </si>
  <si>
    <t>(06461)9-54-34, (093)3835302</t>
  </si>
  <si>
    <t>Калмиківська загальноосвітня школа Старобільської районної ради Луганської області</t>
  </si>
  <si>
    <t>92711</t>
  </si>
  <si>
    <t>4425181001</t>
  </si>
  <si>
    <t>вул. Аграрна, 71 а</t>
  </si>
  <si>
    <t>(261)96122</t>
  </si>
  <si>
    <t>Бондарівська загальноосвітня школа І - ІІ ступенів Старобільської районної ради Луганської області</t>
  </si>
  <si>
    <t>92731</t>
  </si>
  <si>
    <t>4425181504</t>
  </si>
  <si>
    <t>Бондареве</t>
  </si>
  <si>
    <t>9-53-36</t>
  </si>
  <si>
    <t>Курячівська загальноосвітня школа І-ІІ ступенів Старобільської районної ради Луганської області</t>
  </si>
  <si>
    <t>92724</t>
  </si>
  <si>
    <t>4425181701</t>
  </si>
  <si>
    <t>(06461)96831</t>
  </si>
  <si>
    <t>http://kurschool.ucoz.ua</t>
  </si>
  <si>
    <t>Лиманська загальноосвітня школа І - ІІІ ступенів Старобільської районної ради Луганської області</t>
  </si>
  <si>
    <t>92720</t>
  </si>
  <si>
    <t>4425182001</t>
  </si>
  <si>
    <t>вул. Піщана, 1</t>
  </si>
  <si>
    <t>(06461)97583</t>
  </si>
  <si>
    <t>Проїжджанська загальноосвітня школа І-ІІ ступенів Старобільської районної ради Луганської області</t>
  </si>
  <si>
    <t>92722</t>
  </si>
  <si>
    <t>4425182004</t>
  </si>
  <si>
    <t>Проїждже</t>
  </si>
  <si>
    <t>96799</t>
  </si>
  <si>
    <t>Нижньопокровська загальноосвітня школа І-ІІІ ступенів Старобільської районної ради Луганської області</t>
  </si>
  <si>
    <t>92714</t>
  </si>
  <si>
    <t>4425182501</t>
  </si>
  <si>
    <t>Нижньопокровка</t>
  </si>
  <si>
    <t>вул. Чернишова, 1</t>
  </si>
  <si>
    <t>(06461)96324</t>
  </si>
  <si>
    <t>http://npokrovka.ucoz.ua</t>
  </si>
  <si>
    <t>Орловська загальноосвтіня школа І-ІІ ступенів Старобільської райнної ради Луганської області</t>
  </si>
  <si>
    <t>92755</t>
  </si>
  <si>
    <t>4425183501</t>
  </si>
  <si>
    <t>Малохатка</t>
  </si>
  <si>
    <t>вул. Новостройна, 14</t>
  </si>
  <si>
    <t>(38099)5043039</t>
  </si>
  <si>
    <t>http://orlovska.at.ua</t>
  </si>
  <si>
    <t>Підгорівська загальноосвітня школа І-ІІІ ступенів Старобільської районної ради Луганської області</t>
  </si>
  <si>
    <t>92723</t>
  </si>
  <si>
    <t>4425184001</t>
  </si>
  <si>
    <t>Підгорівка</t>
  </si>
  <si>
    <t>2-26-40</t>
  </si>
  <si>
    <t>http://pidgorivska-stb.at.ua</t>
  </si>
  <si>
    <t>Опорний навчальний заклад "Половинкинська загальноосвітня школа І - ІІІ ступенів Старобільської районної ради Луганської області"</t>
  </si>
  <si>
    <t>92760</t>
  </si>
  <si>
    <t>4425184501</t>
  </si>
  <si>
    <t>Половинкине</t>
  </si>
  <si>
    <t>пл. Дружби, 19</t>
  </si>
  <si>
    <t>(6461)33369</t>
  </si>
  <si>
    <t>Садківська загальноосвітня школа І-ІІ ступенів Старобільської районної ради Луганської області</t>
  </si>
  <si>
    <t>92732</t>
  </si>
  <si>
    <t>4425184801</t>
  </si>
  <si>
    <t>вул. Миру, 49 а</t>
  </si>
  <si>
    <t>(06461)95539</t>
  </si>
  <si>
    <t>Світлівська загальноосвітня школа І ступеня Старобільської районної ради Луганської області</t>
  </si>
  <si>
    <t>92710</t>
  </si>
  <si>
    <t>4425185001</t>
  </si>
  <si>
    <t>(099)4707572</t>
  </si>
  <si>
    <t>Титарівська філія ОНЗ "Половинкинська ЗОШ І - ІІІ ст." Старобільської районної ради Луганської області</t>
  </si>
  <si>
    <t>92750</t>
  </si>
  <si>
    <t>4425185501</t>
  </si>
  <si>
    <t>Титарівка</t>
  </si>
  <si>
    <t>(06461)23796</t>
  </si>
  <si>
    <t>Хворостянівська загальноосвітня школа І-ІІ ступенів Старобільської районної ради Луганської області</t>
  </si>
  <si>
    <t>92752</t>
  </si>
  <si>
    <t>4425186001</t>
  </si>
  <si>
    <t>Хворостянівка</t>
  </si>
  <si>
    <t>(95)742</t>
  </si>
  <si>
    <t>Чмирівський навчально - виховний комплекс "Школа І ступеня-гімназія" Чмирівської сільської ради Старобільського району Луганської області</t>
  </si>
  <si>
    <t>92740</t>
  </si>
  <si>
    <t>4425186501</t>
  </si>
  <si>
    <t>Чмирівка</t>
  </si>
  <si>
    <t>вул. Запорізька, 15А</t>
  </si>
  <si>
    <t>(06461)97291</t>
  </si>
  <si>
    <t>http://chmirovkanvk.cc.ua/</t>
  </si>
  <si>
    <t>Шпотинська загальноосвітня школа І-ІІ ступенів Старобільської районної ради Луганської області</t>
  </si>
  <si>
    <t>92744</t>
  </si>
  <si>
    <t>4425187001</t>
  </si>
  <si>
    <t>Шпотине</t>
  </si>
  <si>
    <t>(06461)95622</t>
  </si>
  <si>
    <t>Шульгинська загальноосвітня школа І-ІІІ ступенів Старобільської районної ради Луганської області</t>
  </si>
  <si>
    <t>92764</t>
  </si>
  <si>
    <t>4425187501</t>
  </si>
  <si>
    <t>Шульгинка</t>
  </si>
  <si>
    <t>вул. Садова, 10А</t>
  </si>
  <si>
    <t>(06461)96220</t>
  </si>
  <si>
    <t>http://shulha.at.ua</t>
  </si>
  <si>
    <t>Троїцька вечірня (змінна) загальноосвітня школа ІІ-ІІІ ступенів Троїцької районної ради Луганської області</t>
  </si>
  <si>
    <t>92100</t>
  </si>
  <si>
    <t>4425455100</t>
  </si>
  <si>
    <t>пров. Шкільний, 17 - А</t>
  </si>
  <si>
    <t>2-41-05</t>
  </si>
  <si>
    <t>Троїцька гімназія Троїцької районної ради Луганської області</t>
  </si>
  <si>
    <t>(056)2-32-35</t>
  </si>
  <si>
    <t>Троїцька загальноосвітня школа І ступеня Троїцької районної ради Луганської області</t>
  </si>
  <si>
    <t>вул. Пушкіна</t>
  </si>
  <si>
    <t>(066)1138154</t>
  </si>
  <si>
    <t>Троїцька загальноосвітня школа І-ІІІ ступенів Троїцької районної ради Луганської області</t>
  </si>
  <si>
    <t>пров. Шкільний, 17А</t>
  </si>
  <si>
    <t>(06456)24105</t>
  </si>
  <si>
    <t>Арапівська загальноосвітня школа І-ІІ ступенів Троїцької районної ради Луганської області</t>
  </si>
  <si>
    <t>92136</t>
  </si>
  <si>
    <t>4425480501</t>
  </si>
  <si>
    <t>Арапівка</t>
  </si>
  <si>
    <t>(06456)93-4-07</t>
  </si>
  <si>
    <t>Багачанська загальноосвітня школа І-ІІ ступенів Троїцької районної ради Луганської області</t>
  </si>
  <si>
    <t>92112</t>
  </si>
  <si>
    <t>4425481001</t>
  </si>
  <si>
    <t>Багачка</t>
  </si>
  <si>
    <t>(06456)99455</t>
  </si>
  <si>
    <t>Воєводська загальноосвітня школа І-ІІ Троїцької районної ради Луганської області</t>
  </si>
  <si>
    <t>92121</t>
  </si>
  <si>
    <t>4425481501</t>
  </si>
  <si>
    <t>Воєводське</t>
  </si>
  <si>
    <t>вул. Шевченка, 6А</t>
  </si>
  <si>
    <t>(06456)94136</t>
  </si>
  <si>
    <t>Дьомино-Олександрівська загальноосвітня школа І-ІІІ ступенів Троїцької районної ради Луганської області</t>
  </si>
  <si>
    <t>92110</t>
  </si>
  <si>
    <t>4425482001</t>
  </si>
  <si>
    <t>Демино-Олександрівка</t>
  </si>
  <si>
    <t>(06456)94322</t>
  </si>
  <si>
    <t>Сиротинська загальноосвітня школа І-ІІ ступенів Троїцької районної ради Луганської області</t>
  </si>
  <si>
    <t>92111</t>
  </si>
  <si>
    <t>4425482002</t>
  </si>
  <si>
    <t>(06456)96-5-16</t>
  </si>
  <si>
    <t>Лантратівська загальноосвітня школа І-ІІІ ступенів Троїцької районної ради Луганської області</t>
  </si>
  <si>
    <t>92114</t>
  </si>
  <si>
    <t>4425482501</t>
  </si>
  <si>
    <t>Лантратівка</t>
  </si>
  <si>
    <t>(06456)94724</t>
  </si>
  <si>
    <t>Новознам'янська загальноосвітня школа І-ІІ ступенів Троїцької районної ради Луганської області</t>
  </si>
  <si>
    <t>92131</t>
  </si>
  <si>
    <t>4425483201</t>
  </si>
  <si>
    <t>Новознам'янка</t>
  </si>
  <si>
    <t>(06456)95441</t>
  </si>
  <si>
    <t>Новочервонівська загальноосвітня школа І-ІІІ ступенів Троїцької районної ради Луганської області</t>
  </si>
  <si>
    <t>92145</t>
  </si>
  <si>
    <t>4425483501</t>
  </si>
  <si>
    <t>Новочервоне</t>
  </si>
  <si>
    <t>вул. 30 років Перемоги, 28</t>
  </si>
  <si>
    <t>(06456)99733</t>
  </si>
  <si>
    <t>Вівчарівська загальноосвітня школа І-ІІ ступенів Троїцької районної ради Луганської області</t>
  </si>
  <si>
    <t>92124</t>
  </si>
  <si>
    <t>4425484001</t>
  </si>
  <si>
    <t>Вівчарове</t>
  </si>
  <si>
    <t>(380)952276504</t>
  </si>
  <si>
    <t>Покровська загальноосвітня школа І-ІІІ ступенів Троїцької районної ради Луганської області</t>
  </si>
  <si>
    <t>4425484501</t>
  </si>
  <si>
    <t>вул. Радянська</t>
  </si>
  <si>
    <t>(06456)93440</t>
  </si>
  <si>
    <t>http://zoshpokrovsk.at.ua</t>
  </si>
  <si>
    <t>Привільська загальноосвітня школа І - ІІІ ступенів Троїцької районної ради Луганської області</t>
  </si>
  <si>
    <t>92123</t>
  </si>
  <si>
    <t>4425485001</t>
  </si>
  <si>
    <t>вул. Спортивна, 2</t>
  </si>
  <si>
    <t>(06456)95617</t>
  </si>
  <si>
    <t>Розпасіївська загальноосвітня школа І-ІІ ступенів Троїцької районної ради Луганської області</t>
  </si>
  <si>
    <t>92140</t>
  </si>
  <si>
    <t>4425485501</t>
  </si>
  <si>
    <t>Розпасіївка</t>
  </si>
  <si>
    <t>(06456)2-30-48</t>
  </si>
  <si>
    <t>Розсипнянська загальноосвітня школа І-ІІ ступенів Троїцької районної ради Луганської області</t>
  </si>
  <si>
    <t>92120</t>
  </si>
  <si>
    <t>4425486001</t>
  </si>
  <si>
    <t>Розсипне</t>
  </si>
  <si>
    <t>вул. ім. О.Г. Попугаєва, 3</t>
  </si>
  <si>
    <t>(06456)95382</t>
  </si>
  <si>
    <t>Тарасівська загальноосвітня школа І-ІІІ ступенів Троїцької районної ради Луганської області</t>
  </si>
  <si>
    <t>92144</t>
  </si>
  <si>
    <t>4425486501</t>
  </si>
  <si>
    <t>вул. Леніна, 72</t>
  </si>
  <si>
    <t>(06456)99534</t>
  </si>
  <si>
    <t>Тимонівська загальноосвітня школа І-ІІІ ступенів Троїцької районної ради Луганської області</t>
  </si>
  <si>
    <t>92142</t>
  </si>
  <si>
    <t>4425487001</t>
  </si>
  <si>
    <t>Тимонове</t>
  </si>
  <si>
    <t>вул. Шкільна, 7А</t>
  </si>
  <si>
    <t>(06456)94545</t>
  </si>
  <si>
    <t>Топольська загальноосвітня школа І-ІІІ ступенів Троїцької районної ради Луганської області</t>
  </si>
  <si>
    <t>92130</t>
  </si>
  <si>
    <t>4425487501</t>
  </si>
  <si>
    <t>вул. Радянська, 18</t>
  </si>
  <si>
    <t>0645695540</t>
  </si>
  <si>
    <t>Яменська загальноосвітня школа І - ІІІ ступенів Троїцької районної ради Луганської області</t>
  </si>
  <si>
    <t>92141</t>
  </si>
  <si>
    <t>4425488001</t>
  </si>
  <si>
    <t>Ями</t>
  </si>
  <si>
    <t>(06456)95158</t>
  </si>
  <si>
    <t>Вечірня (змінна) середня загальноосвітня школа № 19 з очною та заочною формою навчання</t>
  </si>
  <si>
    <t>79039</t>
  </si>
  <si>
    <t>4610100000</t>
  </si>
  <si>
    <t>Львівська область</t>
  </si>
  <si>
    <t>Львів</t>
  </si>
  <si>
    <t>(098)0847420</t>
  </si>
  <si>
    <t>Львівська спеціалізована школа І-ІІІ ступеню "Спеціалізована школа І-ІІІ ступенів "Креативна Міжнародна Дитяча Школа" м.Львів Відділ освіти Сихівського та Личаківського районів УО ДГП ЛМР Львівська область</t>
  </si>
  <si>
    <t>79034</t>
  </si>
  <si>
    <t>вул. Героїв Крут, 1В</t>
  </si>
  <si>
    <t>КОМУНАЛЬНИЙ ЗАКЛАД ЛЬВІВСЬКОЇ ОБЛАСНОЇ РАДИ " ЛЬВІВСЬКА СПЕЦІАЛЬНА ЗАГАЛЬНООСВІТНЯ ШКОЛА-ІНТЕРНАТ № 100 І-ІІІ СТУПЕНІВ"</t>
  </si>
  <si>
    <t>79011</t>
  </si>
  <si>
    <t>вул. Івана Франка, 119</t>
  </si>
  <si>
    <t>(032)2760762</t>
  </si>
  <si>
    <t>http://internat100.lviv.sch.in.ua</t>
  </si>
  <si>
    <t>22336060</t>
  </si>
  <si>
    <t>Комунальний заклад Львівської обласної ради "Навчально-реабілітаційний центр І-ІІ ступенів "Оберіг"</t>
  </si>
  <si>
    <t>70008</t>
  </si>
  <si>
    <t>вул. Пекарська, 19</t>
  </si>
  <si>
    <t>(032)2756734</t>
  </si>
  <si>
    <t>23887431</t>
  </si>
  <si>
    <t>Комунальний заклад Львівської обласної ради Навчально-реабілітаційний центр "Мрія" І-ІІ ступенів</t>
  </si>
  <si>
    <t>79008</t>
  </si>
  <si>
    <t>вул. Лисенка, 53</t>
  </si>
  <si>
    <t>275-57-09, 275-76-36</t>
  </si>
  <si>
    <t>23887448</t>
  </si>
  <si>
    <t>Комунальний навчально-виховний комплекс школа-садок № 94 м. Львова</t>
  </si>
  <si>
    <t>79069</t>
  </si>
  <si>
    <t>вул. Брюховицька, 99</t>
  </si>
  <si>
    <t>(032)2911806</t>
  </si>
  <si>
    <t>Львівська загальноосвітня школа "Первоцвіт" І ст відділ освіти Сихівського району УО ДГП ЛМР Львівська область</t>
  </si>
  <si>
    <t>79066</t>
  </si>
  <si>
    <t>вул. Манастирського А., 9</t>
  </si>
  <si>
    <t>(032)2223343</t>
  </si>
  <si>
    <t>22370559</t>
  </si>
  <si>
    <t>Львівська загальноосвітня школа І-ІІІ ступенів № 24 ім. М. Конопницької Львівської міської ради Львівської області</t>
  </si>
  <si>
    <t>79005</t>
  </si>
  <si>
    <t>вул. Кониського, 4</t>
  </si>
  <si>
    <t>(32)2756662</t>
  </si>
  <si>
    <t>23887282</t>
  </si>
  <si>
    <t>польська</t>
  </si>
  <si>
    <t>Львівська загальноосвітня школа І-ІІІ ступенів № 43 Львівської міської ради Львівської області</t>
  </si>
  <si>
    <t>79020</t>
  </si>
  <si>
    <t>вул. Масарика, 9</t>
  </si>
  <si>
    <t>(032)2520300</t>
  </si>
  <si>
    <t>Львівська загальноосвітня школа І-ІІІ ступенів № 60 Львівської міської ради Львівської області</t>
  </si>
  <si>
    <t>79022</t>
  </si>
  <si>
    <t>вул. Петра Полтави, 32</t>
  </si>
  <si>
    <t>(032)2624006, (032)2620232, (032)2620233</t>
  </si>
  <si>
    <t>http://www.lvivschool60.ucoz.ru</t>
  </si>
  <si>
    <t>Львівська загальноосвітня школа І-ІІІ ступенів № 74 ЛМР ЛО</t>
  </si>
  <si>
    <t>79493</t>
  </si>
  <si>
    <t>вул. Огієнка, 9</t>
  </si>
  <si>
    <t>(032)2978792</t>
  </si>
  <si>
    <t>22350217</t>
  </si>
  <si>
    <t>Львівська загальноосвітня школа І-ІІІ ступенів № 82 Львівської міської ради Львівської області</t>
  </si>
  <si>
    <t>79032</t>
  </si>
  <si>
    <t>вул. Шафарика, 13</t>
  </si>
  <si>
    <t>(032)2706341</t>
  </si>
  <si>
    <t>23887359</t>
  </si>
  <si>
    <t>Львівська правнича гімназія</t>
  </si>
  <si>
    <t>79007</t>
  </si>
  <si>
    <t>вул. Леонтовича, 2</t>
  </si>
  <si>
    <t>23888519</t>
  </si>
  <si>
    <t>СЕРЕДНЯ ЗАГАЛЬНООСВІТНЯ ШКОЛА І-ІІІ СТУПЕНЯ № 78</t>
  </si>
  <si>
    <t>79019</t>
  </si>
  <si>
    <t>вул. Замарстинівська, 132</t>
  </si>
  <si>
    <t>(032)2522542</t>
  </si>
  <si>
    <t>Львівська середня загальноосвітня Школа І-ІІІ ступеня № 20 Відділу освіти Шевченківського району управління освіти департаменту гуманітарної політики Львівської міської ради</t>
  </si>
  <si>
    <t>вул. К.Скидана, 18</t>
  </si>
  <si>
    <t>(032)2520484</t>
  </si>
  <si>
    <t>Львівська спеціалізована загальноосвітня школа І ступеня № 53 з поглибленим вивченням англійської мови</t>
  </si>
  <si>
    <t>просп. Вячеслава Чорновола, 6</t>
  </si>
  <si>
    <t>(032)2554308</t>
  </si>
  <si>
    <t>http://school53.lviv.ua</t>
  </si>
  <si>
    <t>35664603</t>
  </si>
  <si>
    <t>Львівська спеціалізована школа І ступеня № 4 з поглибеним вивчення англійської мови</t>
  </si>
  <si>
    <t>вул. Дзиндри, 7</t>
  </si>
  <si>
    <t>34711730</t>
  </si>
  <si>
    <t>Львівська спеціалізована школа І-ІІІ-го ступенів № 15 з поглибленим вивченням англійської та французької мов Львівської міської ради</t>
  </si>
  <si>
    <t>79040</t>
  </si>
  <si>
    <t>вул. Патона, 7</t>
  </si>
  <si>
    <t>Львівський навчально - виховний комплекс школа-садок "Один, два, три"</t>
  </si>
  <si>
    <t>79054</t>
  </si>
  <si>
    <t>вул. Любінська, 89В</t>
  </si>
  <si>
    <t>(032)2622012</t>
  </si>
  <si>
    <t>Львівський навчально-виховний комплекс ім В. Стуса "спеціалізована школа І ступеня - гімназія міжнародних відносин"</t>
  </si>
  <si>
    <t>79057</t>
  </si>
  <si>
    <t>вул. Повстанська, 14</t>
  </si>
  <si>
    <t>(032)2377972</t>
  </si>
  <si>
    <t>20834405</t>
  </si>
  <si>
    <t>Львівський навчально-виховний комплекс садок-школа "Дзвіночок"</t>
  </si>
  <si>
    <t>79010</t>
  </si>
  <si>
    <t>вул. Некрасова, 31</t>
  </si>
  <si>
    <t>(032)2759778</t>
  </si>
  <si>
    <t>Навчально-виховний комплекс "Загальноосвітня середня школа І ступеня - дошкільний навчальний заклад "Дивосвіт" м.Львова , Залізничного та Франківсьного районів</t>
  </si>
  <si>
    <t>79071</t>
  </si>
  <si>
    <t>вул. Щирецька, 36</t>
  </si>
  <si>
    <t>(032)2958327</t>
  </si>
  <si>
    <t>Навчально-виховний комплекс "Школа-гімназія "Галицька"</t>
  </si>
  <si>
    <t>вул. Замкова, 4</t>
  </si>
  <si>
    <t>(068)7637398</t>
  </si>
  <si>
    <t>23888525</t>
  </si>
  <si>
    <t>Навчально-виховний комплекс "Школа-гімназія І-ІІІ ступенів блаженного Климентія та Андрея Шептицьких"</t>
  </si>
  <si>
    <t>79070</t>
  </si>
  <si>
    <t>вул. Хоткевича, 16</t>
  </si>
  <si>
    <t>0322230239</t>
  </si>
  <si>
    <t>23270713</t>
  </si>
  <si>
    <t>Навчально-виховний комплекс "Школа-ліцей "Європейський"</t>
  </si>
  <si>
    <t>79021</t>
  </si>
  <si>
    <t>вул. Кульпарківська, 99</t>
  </si>
  <si>
    <t>(032)292-87-08</t>
  </si>
  <si>
    <t>25231545</t>
  </si>
  <si>
    <t>Навчально-виховний комплекс "Школа-садок "Софія" Львівської міської ради Львівської області</t>
  </si>
  <si>
    <t>вул. Героїв Крут, 27</t>
  </si>
  <si>
    <t>(032)270-47-13</t>
  </si>
  <si>
    <t>22336367</t>
  </si>
  <si>
    <t>НВК"Школа-садок І-ІІІ ступенів № 38 м. Львова"</t>
  </si>
  <si>
    <t>вул. Порічкова, 4А</t>
  </si>
  <si>
    <t>2913307</t>
  </si>
  <si>
    <t>22350232</t>
  </si>
  <si>
    <t>Приватна середня загальноосвітня школа "Перспектива"</t>
  </si>
  <si>
    <t>вул. Юрія Липи, 33</t>
  </si>
  <si>
    <t>(032)2522938</t>
  </si>
  <si>
    <t>Приватна середня загальноосвітня школа-гімназія "Відродження"</t>
  </si>
  <si>
    <t>вул. Липинського, 16</t>
  </si>
  <si>
    <t>(032)2510301</t>
  </si>
  <si>
    <t>22334492</t>
  </si>
  <si>
    <t>Приватний навчально-виховний комплекс "Школа-гімназія"</t>
  </si>
  <si>
    <t>79004</t>
  </si>
  <si>
    <t>вул. Личаківська, 148</t>
  </si>
  <si>
    <t>2226579</t>
  </si>
  <si>
    <t>26056854</t>
  </si>
  <si>
    <t>Приватний середній загальноосвітній навчально-виховний комплекс "Живе Слово"</t>
  </si>
  <si>
    <t>79041</t>
  </si>
  <si>
    <t>вул. І. Багряного, 36А</t>
  </si>
  <si>
    <t>(032)2537508</t>
  </si>
  <si>
    <t>http://zhyveslovo.com.ua</t>
  </si>
  <si>
    <t>36501207</t>
  </si>
  <si>
    <t>сердня загальноосвітня школа № 54</t>
  </si>
  <si>
    <t>79059</t>
  </si>
  <si>
    <t>вул. Хвильового, 16</t>
  </si>
  <si>
    <t>23888620</t>
  </si>
  <si>
    <t>Середня загальноосвітня школа № 10 м.Львова ім.св. Марії Магдалени</t>
  </si>
  <si>
    <t>79013</t>
  </si>
  <si>
    <t>вул. генерала Чупринки, 1</t>
  </si>
  <si>
    <t>(032)2389493</t>
  </si>
  <si>
    <t>http://szkola10-lviv.ucoz.com/</t>
  </si>
  <si>
    <t>20834196</t>
  </si>
  <si>
    <t>Середня загальноосвітня школа № 34 ім.М.Шашкевича м.Львова</t>
  </si>
  <si>
    <t>79016</t>
  </si>
  <si>
    <t>вул. Замкнена, 8</t>
  </si>
  <si>
    <t>(032)2615979</t>
  </si>
  <si>
    <t>22350261</t>
  </si>
  <si>
    <t>Середня загальноосвітня школа № 23 м. Львова</t>
  </si>
  <si>
    <t>вул. Варшавська, 126</t>
  </si>
  <si>
    <t>(032)2523226</t>
  </si>
  <si>
    <t>Середня загальноосвітня школа № 27 м.Львова імені героя Небесної Сотні Юрія Вербицького</t>
  </si>
  <si>
    <t>вул. Іл. Свєнціцького, 15</t>
  </si>
  <si>
    <t>(032)276-18-52</t>
  </si>
  <si>
    <t>22336019</t>
  </si>
  <si>
    <t>середня загальноосвітня школа № 84 імені Блаженної Йосафати Гордашевської</t>
  </si>
  <si>
    <t>вул. Зубрівська, 30</t>
  </si>
  <si>
    <t>2223349</t>
  </si>
  <si>
    <t>20823778</t>
  </si>
  <si>
    <t>Середня загальноосвітня школа № 87 м.Львова</t>
  </si>
  <si>
    <t>вул. Замарстинівська, 11</t>
  </si>
  <si>
    <t>0322358535</t>
  </si>
  <si>
    <t>23888672</t>
  </si>
  <si>
    <t>Середня загальноосвітня школа І-ІІІ ступенів "Лідер"з різними формами навчання</t>
  </si>
  <si>
    <t>79014</t>
  </si>
  <si>
    <t>вул. Некрасова М., 59</t>
  </si>
  <si>
    <t>(032)2768476</t>
  </si>
  <si>
    <t>Середня загальноосвітня школа І-ІІІ ступенів № 17 міста Львова</t>
  </si>
  <si>
    <t>79044</t>
  </si>
  <si>
    <t>вул. Мельника, 1-3</t>
  </si>
  <si>
    <t>(032)2372181</t>
  </si>
  <si>
    <t>20834204</t>
  </si>
  <si>
    <t>Середня загальноосвітня школа І-ІІІ ступенів № 48 м.Львова</t>
  </si>
  <si>
    <t>79026</t>
  </si>
  <si>
    <t>вул. Рубчака, 8</t>
  </si>
  <si>
    <t>20834345</t>
  </si>
  <si>
    <t>Середня загальноосвітня школа І-ІІІ ступенів № 50 м. Львова</t>
  </si>
  <si>
    <t>79012</t>
  </si>
  <si>
    <t>вул. Комаринця, 2</t>
  </si>
  <si>
    <t>20834351</t>
  </si>
  <si>
    <t>Середня загальноосвітня школа І-ІІІ ступенів № 72</t>
  </si>
  <si>
    <t>вул. Зубрівська, 1</t>
  </si>
  <si>
    <t>(032)221-82-75</t>
  </si>
  <si>
    <t>20781471</t>
  </si>
  <si>
    <t>середня загальноосвітня школа № 95</t>
  </si>
  <si>
    <t>вул. Кавалерідзе І., 15</t>
  </si>
  <si>
    <t>(0322)216830</t>
  </si>
  <si>
    <t>22336278</t>
  </si>
  <si>
    <t>Середня загальноосвітня школа І-ІІІ ступенів № 51 ім.Івана Франка з поглибленим вивченням англійської мови м.Львова</t>
  </si>
  <si>
    <t>79015</t>
  </si>
  <si>
    <t>вул. Скісна, 1</t>
  </si>
  <si>
    <t>(032)2383458, (032)2383451</t>
  </si>
  <si>
    <t>Середня загальноосвітня школа І-ІІІ ступенів № 98 Львівської міської ради Львівської області</t>
  </si>
  <si>
    <t>79049</t>
  </si>
  <si>
    <t>вул. К.Трильовського, 12</t>
  </si>
  <si>
    <t>(032)2226571</t>
  </si>
  <si>
    <t>22335936</t>
  </si>
  <si>
    <t>Середня загальноосвітня школа № 62</t>
  </si>
  <si>
    <t>79000</t>
  </si>
  <si>
    <t>вул. пр.Свободи, 16</t>
  </si>
  <si>
    <t>(032)235-89-87</t>
  </si>
  <si>
    <t>22336611</t>
  </si>
  <si>
    <t>Середня школа № 21 м . Львова</t>
  </si>
  <si>
    <t>вул. Кониського, 8</t>
  </si>
  <si>
    <t>(032)2756530</t>
  </si>
  <si>
    <t>23887276</t>
  </si>
  <si>
    <t>Львівський художній ліцей при Львівській національній академії мистецтв</t>
  </si>
  <si>
    <t>79018</t>
  </si>
  <si>
    <t>ал. Хотинська, 4,6</t>
  </si>
  <si>
    <t>(032)2383853</t>
  </si>
  <si>
    <t>Приватна школа "Ерудит"</t>
  </si>
  <si>
    <t>79035</t>
  </si>
  <si>
    <t>вул. Зелена, 95А</t>
  </si>
  <si>
    <t>(032)243-24-65</t>
  </si>
  <si>
    <t>31073943</t>
  </si>
  <si>
    <t>Товариство з обмеженою відповідальністю "Школа вільних та небайдужих"</t>
  </si>
  <si>
    <t>вул. Клепарівська, 39А</t>
  </si>
  <si>
    <t>(032)2360432, (066)2664485</t>
  </si>
  <si>
    <t>Львівський навчально-виховний комплекс школа-садок "Арніка"</t>
  </si>
  <si>
    <t>4610136300</t>
  </si>
  <si>
    <t>Львів, Залізничний район</t>
  </si>
  <si>
    <t>вул. Комарова, 12</t>
  </si>
  <si>
    <t>(032)239-52-19, (032)239-50-43</t>
  </si>
  <si>
    <t>Львівська гімназія "Євшан"</t>
  </si>
  <si>
    <t>вул. Любінська, 93 А</t>
  </si>
  <si>
    <t>(032)262-20-36</t>
  </si>
  <si>
    <t>http://www.yevshan.com.ua</t>
  </si>
  <si>
    <t>Львівська загальноосвітня школа І ступеня "Світанок"</t>
  </si>
  <si>
    <t>вул. С.Петлюри, 43А</t>
  </si>
  <si>
    <t>(032)2920457</t>
  </si>
  <si>
    <t>Львівська українська гімназія імені Олени Степанів з поглибленим вивченням українознавства та англійської мови</t>
  </si>
  <si>
    <t>вул. Олени Степанівни, 13</t>
  </si>
  <si>
    <t>0322-33-04-33</t>
  </si>
  <si>
    <t>Львіський фізико-математичний ліцей-інтернат при Львівському національному університеті імені Івана Франка</t>
  </si>
  <si>
    <t>вул. Караджича, 29</t>
  </si>
  <si>
    <t>(032)2620068</t>
  </si>
  <si>
    <t>Навчально-виховний комплекс "Школа І ступеня-гімназія "Гроно" м. Львова</t>
  </si>
  <si>
    <t>79052</t>
  </si>
  <si>
    <t>вул. Вигода, 27</t>
  </si>
  <si>
    <t>(032)2676551, (032)2676540</t>
  </si>
  <si>
    <t>Середня загальноосвітня школа № 67 м. Львова</t>
  </si>
  <si>
    <t>79025</t>
  </si>
  <si>
    <t>вул. Сяйво, 18</t>
  </si>
  <si>
    <t>(032)2673612, (032)2673591</t>
  </si>
  <si>
    <t>середня загальноосвітня школа № 77 м. Львова</t>
  </si>
  <si>
    <t>вул. Виговчького, 7А</t>
  </si>
  <si>
    <t>(032)2621700, (032)2620060</t>
  </si>
  <si>
    <t>Середня загальноосвітня школа № 40</t>
  </si>
  <si>
    <t>вул. Любінська, 93Б</t>
  </si>
  <si>
    <t>(032)2626321</t>
  </si>
  <si>
    <t>Середня загальноосвітня школа № 65 м. Львова</t>
  </si>
  <si>
    <t>вул. Роксолани, 35</t>
  </si>
  <si>
    <t>(032)2670571, (032)2670632</t>
  </si>
  <si>
    <t>http://65school.at.ua</t>
  </si>
  <si>
    <t>Середня загальноосвітня школа № 68 м. Львова</t>
  </si>
  <si>
    <t>вул. Дозвільна, 3</t>
  </si>
  <si>
    <t>(032)2625381, (032)2620106</t>
  </si>
  <si>
    <t>http://school-68-lviv.ucoz.ua</t>
  </si>
  <si>
    <t>Спеціалізована загальноосвітня школа І-ІІІ ступенів № 75 ім.Лесі Українки м.Львова з поглибленим вивченням англійської мови з першого класу</t>
  </si>
  <si>
    <t>вул. Караджича, 7</t>
  </si>
  <si>
    <t>(22)2620082</t>
  </si>
  <si>
    <t>http://school75.at.ua</t>
  </si>
  <si>
    <t>Спеціалізована середня загальноосвітня школа з поглибленим вивченням англійської мови № 18 м. Львова</t>
  </si>
  <si>
    <t>вул. О. Кульчицької, 18</t>
  </si>
  <si>
    <t>(032)2924412</t>
  </si>
  <si>
    <t>http://lvivshkola18.at.ua</t>
  </si>
  <si>
    <t>Львівська академічна гімназія при Національному університеті "Львівська політехніка"</t>
  </si>
  <si>
    <t>4610136600</t>
  </si>
  <si>
    <t>Львів, Галицький район</t>
  </si>
  <si>
    <t>вул. Степана Бандери, 14</t>
  </si>
  <si>
    <t>20821733</t>
  </si>
  <si>
    <t>Львівська державна комунальна середня загальноосвітня школа № 3</t>
  </si>
  <si>
    <t>вул. С.Бандери, 11</t>
  </si>
  <si>
    <t>(032)237-94-92</t>
  </si>
  <si>
    <t>20834173</t>
  </si>
  <si>
    <t>Львівська лінгвістична гімназія</t>
  </si>
  <si>
    <t>вул. Кирила і Мефодія, 17А</t>
  </si>
  <si>
    <t>(032)2600416</t>
  </si>
  <si>
    <t>http://llg.lviv.ua</t>
  </si>
  <si>
    <t>34711678</t>
  </si>
  <si>
    <t>Львівська середня загальноосвітня школа східних мов та східних бойових мистецтв "Будокан" з поглибленим вивченням іноземних мов</t>
  </si>
  <si>
    <t>вул. Шухевича, 2</t>
  </si>
  <si>
    <t>(032)2354713</t>
  </si>
  <si>
    <t>http://budokan.lviv.ua</t>
  </si>
  <si>
    <t>22336025</t>
  </si>
  <si>
    <t>польська,англійська,японська,китайська</t>
  </si>
  <si>
    <t>Львівська спеціалізована середня загальноосвітня школа I-III ступенів № 28 з поглибленим вивченням німецької мови</t>
  </si>
  <si>
    <t>вул. Тютюників, 2</t>
  </si>
  <si>
    <t>(032)2761152</t>
  </si>
  <si>
    <t>23266976</t>
  </si>
  <si>
    <t>Львівська українська приватна гімназія</t>
  </si>
  <si>
    <t>вул. Ярославенка, 3</t>
  </si>
  <si>
    <t>(032)2709145</t>
  </si>
  <si>
    <t>13798732</t>
  </si>
  <si>
    <t>Навчально-виховний комплекс "Школа компютерних технологій-Львівський технологічний ліцей"</t>
  </si>
  <si>
    <t>вул. Таманська, 11</t>
  </si>
  <si>
    <t>(032)2553150</t>
  </si>
  <si>
    <t>Приватний навчально -виховний комплекс " Школа -гімназія святої Софіі"</t>
  </si>
  <si>
    <t>вул. Вічева, 2</t>
  </si>
  <si>
    <t>(0322)297-51-92</t>
  </si>
  <si>
    <t>25263382</t>
  </si>
  <si>
    <t>середня загальноосвітня школа № 9 м. Львова</t>
  </si>
  <si>
    <t>вул. Коперника, 40</t>
  </si>
  <si>
    <t>(032)2613263</t>
  </si>
  <si>
    <t>http://www.shkola9-lv.at.ua</t>
  </si>
  <si>
    <t>22336887</t>
  </si>
  <si>
    <t>Спеціалізована середня загальноосвітня школа № 52 ім. М. Лобачевського</t>
  </si>
  <si>
    <t>вул. Гоголя, 17</t>
  </si>
  <si>
    <t>2555200</t>
  </si>
  <si>
    <t>22350396</t>
  </si>
  <si>
    <t>загальноосвітня Авторська школа "Тривіта"м.Львова</t>
  </si>
  <si>
    <t>4610136800</t>
  </si>
  <si>
    <t>Львів, Сихівський район</t>
  </si>
  <si>
    <t>(032)2454546</t>
  </si>
  <si>
    <t>Загальноосвітня школа "Дивосвіт" з поглибленим вивченням англійської мови</t>
  </si>
  <si>
    <t>вул. Трильовського, 24</t>
  </si>
  <si>
    <t>(032)2227100, (032)2216885</t>
  </si>
  <si>
    <t>25558358</t>
  </si>
  <si>
    <t>Львівська спеціалізована школа І-ІІІ ступенів № 69 Львівської міської ради Львівської області</t>
  </si>
  <si>
    <t>вул. Запорізька, 20</t>
  </si>
  <si>
    <t>(032)2704716</t>
  </si>
  <si>
    <t>22336048</t>
  </si>
  <si>
    <t>Львівський навчально-виховний комплекс "Школа-ліцей "Оріяна" Львівської міської ради Львівської області</t>
  </si>
  <si>
    <t>вул. Чукаріна, 3</t>
  </si>
  <si>
    <t>(032)2220462, (032)2224105</t>
  </si>
  <si>
    <t>20822052</t>
  </si>
  <si>
    <t>Львіська середня загальноосвітня школа № 73 м. Львова Львівської області</t>
  </si>
  <si>
    <t>вул. Дністерська, 5</t>
  </si>
  <si>
    <t>(032)2708502</t>
  </si>
  <si>
    <t>22336031</t>
  </si>
  <si>
    <t>Навчально-виховний комплекс "Школа-гімназія "Сихівська" Львівської міської ради Львівської області</t>
  </si>
  <si>
    <t>вул. Гната Хоткевича, 48</t>
  </si>
  <si>
    <t>(032)22-28-45</t>
  </si>
  <si>
    <t>22335988</t>
  </si>
  <si>
    <t>польська,англійська,німецька,іспанська</t>
  </si>
  <si>
    <t>середня загальноосвітня школа № 96 МЖК-1 Львівської міської ради Львівської області</t>
  </si>
  <si>
    <t>вул. О. Довженка, 13</t>
  </si>
  <si>
    <t>(032)2222842</t>
  </si>
  <si>
    <t>20821532</t>
  </si>
  <si>
    <t>середня загальноосвітня школа № 1 м.Львова</t>
  </si>
  <si>
    <t>вул. Трильовського, 17</t>
  </si>
  <si>
    <t>(032)225838</t>
  </si>
  <si>
    <t>http://school1lviv.at.ua</t>
  </si>
  <si>
    <t>25224864</t>
  </si>
  <si>
    <t>Середня загальноосвітня школа № 13</t>
  </si>
  <si>
    <t>вул. Драгана, 7</t>
  </si>
  <si>
    <t>(032)222-18-62</t>
  </si>
  <si>
    <t>22336508</t>
  </si>
  <si>
    <t>Середня загальноосвітня школа № 32</t>
  </si>
  <si>
    <t>79031</t>
  </si>
  <si>
    <t>вул. Я.Гашека, 13</t>
  </si>
  <si>
    <t>(032)234-53-88</t>
  </si>
  <si>
    <t>http://school32lv.at.ua</t>
  </si>
  <si>
    <t>20834306</t>
  </si>
  <si>
    <t>Середня загальноосвітня школа І-ІІІ ст. № 86 м. Львова</t>
  </si>
  <si>
    <t>вул. Скорини, 34</t>
  </si>
  <si>
    <t>(032)223-14-78</t>
  </si>
  <si>
    <t>http://lvivschool86.ucoz.ua/</t>
  </si>
  <si>
    <t>20834434</t>
  </si>
  <si>
    <t>Середня загальноосвітня школа № 90 Львівської міської ради Львівської області</t>
  </si>
  <si>
    <t>вул. Ант. Давидовича, 2</t>
  </si>
  <si>
    <t>(0322)223484</t>
  </si>
  <si>
    <t>22336054</t>
  </si>
  <si>
    <t>Середня спеціалізована загальноосвітня школа № 93 з поглибленим вивченням англійської мови Львівської міської ради Львівської області</t>
  </si>
  <si>
    <t>вул. Кос-Анатольського, 10</t>
  </si>
  <si>
    <t>(032)2223795</t>
  </si>
  <si>
    <t>http://lvschool93.at.ua/</t>
  </si>
  <si>
    <t>22337332</t>
  </si>
  <si>
    <t>Приватний навчально-виховний комплекс "Садок-школа-ліцей "Еколенд" м. Львів</t>
  </si>
  <si>
    <t>вул. Скрипника, 11</t>
  </si>
  <si>
    <t>(032)2273200</t>
  </si>
  <si>
    <t>37831374</t>
  </si>
  <si>
    <t>Середня загальноосвітня школа І-ІІІ ступенів № 55 м.Львова</t>
  </si>
  <si>
    <t>4610136900</t>
  </si>
  <si>
    <t>Львів, Франківський район</t>
  </si>
  <si>
    <t>вул. С. Бандери, 91</t>
  </si>
  <si>
    <t>(032)2374669</t>
  </si>
  <si>
    <t>20834374</t>
  </si>
  <si>
    <t>Відокремлений підрозділ "Гімназія Львівського університету бізнесу та права"</t>
  </si>
  <si>
    <t>(032)2927855</t>
  </si>
  <si>
    <t>КЗ ЛОР "Львівська загальноосвітня санаторна школа-інтернат № 1 І-ІІІ ст. імені Б.-І.Антонича</t>
  </si>
  <si>
    <t>вул. Остроградських, 1</t>
  </si>
  <si>
    <t>(032)2385218</t>
  </si>
  <si>
    <t>http://sanatorna-school.com.ua</t>
  </si>
  <si>
    <t>04545280</t>
  </si>
  <si>
    <t>Класична гімназія при Львівському національному університеті імені Івана Франка</t>
  </si>
  <si>
    <t>вул. Порохова, 3</t>
  </si>
  <si>
    <t>(032)2372168</t>
  </si>
  <si>
    <t>http://cg-lviv.org</t>
  </si>
  <si>
    <t>25251996</t>
  </si>
  <si>
    <t>польська,англійська,німецька,латинська,грецька</t>
  </si>
  <si>
    <t>Комунальний заклад Львівської обласної ради "Навчально-реабілітаційний центр "Левеня"</t>
  </si>
  <si>
    <t>79053</t>
  </si>
  <si>
    <t>вул. Володимира Великого, 87А</t>
  </si>
  <si>
    <t>(032)2634172</t>
  </si>
  <si>
    <t>http://www.lewenia.Lviv.ua</t>
  </si>
  <si>
    <t>20833854</t>
  </si>
  <si>
    <t>Львівська середня загальноосвітня школа І-ІІ ступеня "Школа радості" з поглибленим вивченням англійської мови</t>
  </si>
  <si>
    <t>вул. Пулюя, 10</t>
  </si>
  <si>
    <t>(032)2633336</t>
  </si>
  <si>
    <t>Львівська середня загальноосвітня школа І ступеня "Джерельце" з поглибленим вивченням англійської мови</t>
  </si>
  <si>
    <t>вул. ак. Сахарова, 80</t>
  </si>
  <si>
    <t>(032)2389768</t>
  </si>
  <si>
    <t>20834285</t>
  </si>
  <si>
    <t>Середня загальноосвітня школа І-ІІІ ступенів № 83 міста Львова</t>
  </si>
  <si>
    <t>вул. Івана Пулюя, 16</t>
  </si>
  <si>
    <t>(032)263-82-27</t>
  </si>
  <si>
    <t>http://www.lvivschool83.at.ua</t>
  </si>
  <si>
    <t>20834411</t>
  </si>
  <si>
    <t>Львівська спеціалізована середня загальноосвітня школа № 2 І-ІІІ з поглибленим вивченням англійської мови</t>
  </si>
  <si>
    <t>вул. В. Великого, 55 А</t>
  </si>
  <si>
    <t>(032)2633055, (032)2633100</t>
  </si>
  <si>
    <t>http://lvschool2.org.ua</t>
  </si>
  <si>
    <t>20834090</t>
  </si>
  <si>
    <t>Львівська спеціалізована середня загальноосвітня школа І-ІІІ ступенів № 45 з поглибленим вивченням англійської мови</t>
  </si>
  <si>
    <t>79060</t>
  </si>
  <si>
    <t>вул. Наукова, 25</t>
  </si>
  <si>
    <t>(032)2636263</t>
  </si>
  <si>
    <t>http://school45lviv.ucoz.ua</t>
  </si>
  <si>
    <t>20834322</t>
  </si>
  <si>
    <t>Львівська спеціалізована середня загальноосвітня школа І-ІІІ ступенів № 5 ім. Іванни та Іллі Кокорудзів з поглибленим вивченням англійської мови</t>
  </si>
  <si>
    <t>вул. Кокорудзів, 9</t>
  </si>
  <si>
    <t>(032)238-96-56, (032)238-71-47</t>
  </si>
  <si>
    <t>http://school5.lviv.sch.in.ua/</t>
  </si>
  <si>
    <t>Львівська спеціалізована школа "Надія" з поглибленим вивченням предметів еколого-правового профілю</t>
  </si>
  <si>
    <t>вул. Наукова, 60</t>
  </si>
  <si>
    <t>(032)2635148, (032)2630247</t>
  </si>
  <si>
    <t>http://www.nadiya.lviv.ua</t>
  </si>
  <si>
    <t>26412763</t>
  </si>
  <si>
    <t>Львівський навчально-виховний комплекс імені В.Симоненка з поглибленим вивченням німецької мови "спеціалізована школа І-ступеня-гімнгазія"</t>
  </si>
  <si>
    <t>вул. В.Симоненка, 6</t>
  </si>
  <si>
    <t>(032)2642257</t>
  </si>
  <si>
    <t>20834428</t>
  </si>
  <si>
    <t>англійська,німецька,латинська</t>
  </si>
  <si>
    <t>Львівський навчально-виховний комплекс садок-школа "Малюк"</t>
  </si>
  <si>
    <t>вул. В.Великого, 41А</t>
  </si>
  <si>
    <t>(032)2632444</t>
  </si>
  <si>
    <t>Середня загальноосвітня школа I-III ступенів № 36 м.Львова</t>
  </si>
  <si>
    <t>вул. Володимира Великого, 55Б</t>
  </si>
  <si>
    <t>(032)2635366</t>
  </si>
  <si>
    <t>20834316</t>
  </si>
  <si>
    <t>Середня загальноосвітня школа І-ІІІ ступенів № 31 м. Львова</t>
  </si>
  <si>
    <t>вул. Княгині Ольги, 104</t>
  </si>
  <si>
    <t>(032)2634181</t>
  </si>
  <si>
    <t>20834291</t>
  </si>
  <si>
    <t>Спеціалізована середня загальноосвітня школа № 46 з поглибленим вивченням англійської мови ім.Вячеслава Чорновола м. Львова</t>
  </si>
  <si>
    <t>вул. Наукова, 90</t>
  </si>
  <si>
    <t>(032)263-83-63</t>
  </si>
  <si>
    <t>Спеціалізована середня загальноосвітня школа І-ІІІ ступенів № 66 з поглибленим вивченням англійської мови та інформаційних технологій м.Львова</t>
  </si>
  <si>
    <t>вул. Наукова, 92</t>
  </si>
  <si>
    <t>(032)2637909</t>
  </si>
  <si>
    <t>http://school66lviv.at.ua</t>
  </si>
  <si>
    <t>Комунальний заклад Львівської обласної ради "Львівський державний ліцей з посиленою військово-фізичною підготовкою імені Героїв Крут"</t>
  </si>
  <si>
    <t>79038</t>
  </si>
  <si>
    <t>4610137200</t>
  </si>
  <si>
    <t>Львів, Личаківський район</t>
  </si>
  <si>
    <t>вул. Пасічна, 68</t>
  </si>
  <si>
    <t>(032)2718122</t>
  </si>
  <si>
    <t>25556649</t>
  </si>
  <si>
    <t>Комунальний заклад Львівської обласної ради Львівська спеціальна загальноосвітня школа-інернат «Марії Покрови»</t>
  </si>
  <si>
    <t>вул. Личаківська, 35</t>
  </si>
  <si>
    <t>(032)275-52-84</t>
  </si>
  <si>
    <t>23887425</t>
  </si>
  <si>
    <t>Комунальний заклад Львівської обласної ради Навчально-реабілітаційний центр І-ІІ ступенів "Довіра"</t>
  </si>
  <si>
    <t>вул. Короленка, 1</t>
  </si>
  <si>
    <t>(032)2758121</t>
  </si>
  <si>
    <t>23887419</t>
  </si>
  <si>
    <t>Львівська загальноосвітня школа-інтернат № 2 Львівської міської ради Львівської області</t>
  </si>
  <si>
    <t>вул. Просвіти, 2-4</t>
  </si>
  <si>
    <t>(032)261-51-80</t>
  </si>
  <si>
    <t>http://schoolint2.url.ph</t>
  </si>
  <si>
    <t>23887402</t>
  </si>
  <si>
    <t>Львівська середня загальноосвітня школа I-III ступенів № 71</t>
  </si>
  <si>
    <t>79067</t>
  </si>
  <si>
    <t>вул. Дорога Кривчицька, 92</t>
  </si>
  <si>
    <t>23887394</t>
  </si>
  <si>
    <t>Львівська середня загальноосвітня школа І-ІІІ ступенів № 7 Львівської міської ради</t>
  </si>
  <si>
    <t>79024</t>
  </si>
  <si>
    <t>вул. Хмельницького Б., 132</t>
  </si>
  <si>
    <t>(032)2522006</t>
  </si>
  <si>
    <t>23887253</t>
  </si>
  <si>
    <t>Львівська середня спеціалізована музична школа-інтернат імені Соломії Крушельницької</t>
  </si>
  <si>
    <t>вул. Зелена, 10</t>
  </si>
  <si>
    <t>(032)2762412</t>
  </si>
  <si>
    <t>02214231</t>
  </si>
  <si>
    <t>Львівська спеціалізована загальноосвітня школа І-ІІІ ступенів № 8 з поглибленим вивченням німецької мови</t>
  </si>
  <si>
    <t>вул. Підвальна, 2</t>
  </si>
  <si>
    <t>(032)2765163, (032)2975540, (032)2762556</t>
  </si>
  <si>
    <t>23887112</t>
  </si>
  <si>
    <t>Львівський навчально-виховний комплекс "Школа І ступеня-гімназія"</t>
  </si>
  <si>
    <t>вул. Лисеницька, 3</t>
  </si>
  <si>
    <t>(032)2514019</t>
  </si>
  <si>
    <t>23887365</t>
  </si>
  <si>
    <t>Львівський навчально-виховний комплекс школа-дитячий садок "Провесінь" Львівської міської ради</t>
  </si>
  <si>
    <t>вул. Тракт Глинянський, 151 б</t>
  </si>
  <si>
    <t>(032)2250056</t>
  </si>
  <si>
    <t>25547142</t>
  </si>
  <si>
    <t>Середня загальноосвітня початкова приватна школа "Альфа"</t>
  </si>
  <si>
    <t>вул. Некрасова, 59</t>
  </si>
  <si>
    <t>23889269</t>
  </si>
  <si>
    <t>Середня загальноосвітня школа № 42 м.Львова</t>
  </si>
  <si>
    <t>вул. Каштанова, 9</t>
  </si>
  <si>
    <t>(032)2712226</t>
  </si>
  <si>
    <t>23887307</t>
  </si>
  <si>
    <t>Середня загальноосвітня школа № 63 м. Львова</t>
  </si>
  <si>
    <t>вул. Личаківська, 171</t>
  </si>
  <si>
    <t>(0322)763837</t>
  </si>
  <si>
    <t>http://school63.ucoz.ua</t>
  </si>
  <si>
    <t>23887336</t>
  </si>
  <si>
    <t>Середня загальноосвітня школа № 70 м. Львова</t>
  </si>
  <si>
    <t>вул. Дорога Кривчицька, 1</t>
  </si>
  <si>
    <t>(032)2240574</t>
  </si>
  <si>
    <t>23887342</t>
  </si>
  <si>
    <t>Середня загальноосвітня школа І-ІІІ ступенів № 49</t>
  </si>
  <si>
    <t>79017</t>
  </si>
  <si>
    <t>вул. О.Басараб, 4</t>
  </si>
  <si>
    <t>275-22-85, 2767991</t>
  </si>
  <si>
    <t>23887320</t>
  </si>
  <si>
    <t>Середня загальноосвітня школа І-ІІІ ступенів № 6 м. Львова</t>
  </si>
  <si>
    <t>вул. Зелена, 22</t>
  </si>
  <si>
    <t>(032)275-62-00, (032)275-64-29</t>
  </si>
  <si>
    <t>http://school6.lviv.ua/</t>
  </si>
  <si>
    <t>23887247</t>
  </si>
  <si>
    <t>Спеціалізована середня загальноосвітня школа № 37 з поглибленим вивченням французької мови</t>
  </si>
  <si>
    <t>вул. Солодова, 6</t>
  </si>
  <si>
    <t>(032)2759436</t>
  </si>
  <si>
    <t>23887129</t>
  </si>
  <si>
    <t>Приватна Християнська Школа "Перлина"</t>
  </si>
  <si>
    <t>4610137500</t>
  </si>
  <si>
    <t>Львів, Шевченківський район</t>
  </si>
  <si>
    <t>вул. Лемківська, 3</t>
  </si>
  <si>
    <t>(032)252-68-42</t>
  </si>
  <si>
    <t>26205351</t>
  </si>
  <si>
    <t>Львівська гімназія "Престиж" з поглибленим вивченням іноземних мов.</t>
  </si>
  <si>
    <t>вул. Ветеранів, 11</t>
  </si>
  <si>
    <t>(032)233-33-02</t>
  </si>
  <si>
    <t>35664577</t>
  </si>
  <si>
    <t>Львівська середня загальноосвітня школа І-ІІІ ступенів № 44 ім. Т.Г.Шевченка</t>
  </si>
  <si>
    <t>вул. Пстрака, 1</t>
  </si>
  <si>
    <t>(032)2333316</t>
  </si>
  <si>
    <t>Львівська спеціалізована середня загальноосвітня школа І-ІІІ ступенів № 81 ім.П.Сагайдачного з поглибленим вивченням англійської мови</t>
  </si>
  <si>
    <t>79068</t>
  </si>
  <si>
    <t>вул. Мазепи І. гетьм., 1А</t>
  </si>
  <si>
    <t>(032)2940844, (032)2940826, (032)2940823</t>
  </si>
  <si>
    <t>23888666</t>
  </si>
  <si>
    <t>Львівська спеціалізована школа І-ІІІ ступенів № 57 ім. Короля Данила</t>
  </si>
  <si>
    <t>вул. Жовківська, 6</t>
  </si>
  <si>
    <t>(032)2525081</t>
  </si>
  <si>
    <t>23888637</t>
  </si>
  <si>
    <t>Навчально-виховний комплекс "Інженерно-економічна школа - Львівський економічний ліцей"</t>
  </si>
  <si>
    <t>вул. Хвильового, 35</t>
  </si>
  <si>
    <t>(032)2930972</t>
  </si>
  <si>
    <t>22366871</t>
  </si>
  <si>
    <t>Середня загальноосвітня школа № 100 м. Львова</t>
  </si>
  <si>
    <t>79002</t>
  </si>
  <si>
    <t>вул. Величковського, 58</t>
  </si>
  <si>
    <t>(032)2915752, (032)2915755</t>
  </si>
  <si>
    <t>http://www.school100.lviv.ua</t>
  </si>
  <si>
    <t>22350203</t>
  </si>
  <si>
    <t>Львівська середня загальноосвітня школа № 33</t>
  </si>
  <si>
    <t>70016</t>
  </si>
  <si>
    <t>2520256</t>
  </si>
  <si>
    <t>середня загальноосвітня школа № 92 м.Львова</t>
  </si>
  <si>
    <t>вул. Шевченка, 390</t>
  </si>
  <si>
    <t>(032)291-14-84</t>
  </si>
  <si>
    <t>22350367</t>
  </si>
  <si>
    <t>Середня загальноосвітня школа № 99 м. Львова</t>
  </si>
  <si>
    <t>79037</t>
  </si>
  <si>
    <t>вул. Творча, 1</t>
  </si>
  <si>
    <t>(23888695)294-33-38</t>
  </si>
  <si>
    <t>23888695</t>
  </si>
  <si>
    <t>Середня загальноосвітня школа № 22 ім. В.С. Стефаника</t>
  </si>
  <si>
    <t>вул. Хімічна, 7</t>
  </si>
  <si>
    <t>(032)520221</t>
  </si>
  <si>
    <t>23888548</t>
  </si>
  <si>
    <t>Середня загальноосвітня школа № 30 м. Львова</t>
  </si>
  <si>
    <t>вул. Гетьмана Мазепи, 31</t>
  </si>
  <si>
    <t>(032)294-28-30</t>
  </si>
  <si>
    <t>23888560</t>
  </si>
  <si>
    <t>Середня загальноосвітня школа № 97 м.Львова</t>
  </si>
  <si>
    <t>вул. І.Миколайчука, 18</t>
  </si>
  <si>
    <t>(8032)2943722</t>
  </si>
  <si>
    <t>23888703</t>
  </si>
  <si>
    <t>середня загальноосвітня школа І-ІІІ ступенів № 91 м. Львова</t>
  </si>
  <si>
    <t>вул. Варшавська, 58</t>
  </si>
  <si>
    <t>(032)231-64-01</t>
  </si>
  <si>
    <t>Загальноосвітня школа "Берегиня" м. Львова</t>
  </si>
  <si>
    <t>79495</t>
  </si>
  <si>
    <t>4610160300</t>
  </si>
  <si>
    <t>Винники</t>
  </si>
  <si>
    <t>вул. Галицька, 38</t>
  </si>
  <si>
    <t>(032)2960554</t>
  </si>
  <si>
    <t>23887388</t>
  </si>
  <si>
    <t>КЗ ЛОР "Винниківська загальноосвітня санаторна школа-інтернат І-ІІІ ступенів"</t>
  </si>
  <si>
    <t>вул. Галицька, 88А</t>
  </si>
  <si>
    <t>(032)2960467</t>
  </si>
  <si>
    <t>04545328</t>
  </si>
  <si>
    <t>Середня загальноосвітня школа І-ІІІ ступенів № 29 м.Львова</t>
  </si>
  <si>
    <t>вул. Сухомлинського, 6</t>
  </si>
  <si>
    <t>(0322)960594</t>
  </si>
  <si>
    <t>23887299</t>
  </si>
  <si>
    <t>Середня загальноосвітня школа І-ІІІ ступенів № 47 м.Львова</t>
  </si>
  <si>
    <t>296-03-63</t>
  </si>
  <si>
    <t>23887313</t>
  </si>
  <si>
    <t>Комунальний заклад Львівської обласної ради "навчпльно-реабілітаційний центр І-ІІ ступенів"Святого Миколая"</t>
  </si>
  <si>
    <t>79491</t>
  </si>
  <si>
    <t>4610166300</t>
  </si>
  <si>
    <t>Брюховичі</t>
  </si>
  <si>
    <t>вул. Незалежності України, 1</t>
  </si>
  <si>
    <t>(032)2347196, (032)2346577</t>
  </si>
  <si>
    <t>Середня загальноосвітня школа № 41 м. Львова</t>
  </si>
  <si>
    <t>вул. Макаренка, 19</t>
  </si>
  <si>
    <t>(032)2346802</t>
  </si>
  <si>
    <t>23888583</t>
  </si>
  <si>
    <t>Бориславська державна гімназія</t>
  </si>
  <si>
    <t>82300</t>
  </si>
  <si>
    <t>4610300000</t>
  </si>
  <si>
    <t>Борислав</t>
  </si>
  <si>
    <t>вул. Грушевського, 29</t>
  </si>
  <si>
    <t>22401656</t>
  </si>
  <si>
    <t>Бориславська загальноосвітня школа № 9 І-ІІ ступенів № 9 Бориславської міської ради Львівської області</t>
  </si>
  <si>
    <t>вул. Дрогобицька, 415</t>
  </si>
  <si>
    <t>(248)50859, (063)6226873</t>
  </si>
  <si>
    <t>Бориславська загальноосвітня школа I-III ступенів № 1 Бориславської міської ради Львівської області</t>
  </si>
  <si>
    <t>(03248)4-11-85</t>
  </si>
  <si>
    <t>Бориславська загальноосвітня школа І-ІІІ ступенів № 3 Бориславської міської ради Львівської області</t>
  </si>
  <si>
    <t>(248)5-28-55</t>
  </si>
  <si>
    <t>Бориславська загальноосвітня школа І-ІІІ ступенів № 4 Бориславської міської ради Львівської області</t>
  </si>
  <si>
    <t>вул. Зелена, 44</t>
  </si>
  <si>
    <t>(03248)41330</t>
  </si>
  <si>
    <t>Бориславська загальноосвітня школа І-ІІІ ступенів № 5 Бориславської міської ради</t>
  </si>
  <si>
    <t>вул. Трускавецька, 124</t>
  </si>
  <si>
    <t>(248)4-12-54</t>
  </si>
  <si>
    <t>Бориславська загальноосвітня школа І-ІІІ ступенів № 7 Бориславської міської ради Львівської області</t>
  </si>
  <si>
    <t>вул. Володимира Великого, 14</t>
  </si>
  <si>
    <t>(248)54154, (248)56979</t>
  </si>
  <si>
    <t>Бориславська ЗОШ І-ІІІ ступенів № 8 Бориславської міської ради Львівської області</t>
  </si>
  <si>
    <t>вул. Січових Стрільців, 28</t>
  </si>
  <si>
    <t>(03248)54062</t>
  </si>
  <si>
    <t>Комунальний заклад Львівської обласної ради "Бориславська загальноосвітня санаторна школа-інтернат І-ІІІ ст"</t>
  </si>
  <si>
    <t>вул. Коновальця, 2</t>
  </si>
  <si>
    <t>(03248)50852, (098)4360086</t>
  </si>
  <si>
    <t>22401745</t>
  </si>
  <si>
    <t>Комунальний заклад Львівської обласної ради "Навчально-реабілітаційний центр І-ІІІ ступенів "ГАРМОНІЯ"</t>
  </si>
  <si>
    <t>вул. Короленка, 6</t>
  </si>
  <si>
    <t>(03248)52535</t>
  </si>
  <si>
    <t>Навчально-виховний комплекс "Бориславська загальноосвітня школа І-ІІ ступенів № 6 - дошкільний навчальний заклад"</t>
  </si>
  <si>
    <t>вул. Степана Бандери, 102</t>
  </si>
  <si>
    <t>(248)50046</t>
  </si>
  <si>
    <t>Східницька загальноосвітня школа І-ІІІ ступенів № 2</t>
  </si>
  <si>
    <t>82391</t>
  </si>
  <si>
    <t>4610345400</t>
  </si>
  <si>
    <t>Східниця</t>
  </si>
  <si>
    <t>(08248)48013</t>
  </si>
  <si>
    <t>Дрогобицька вечірня (змінна) школа ІІ-ІІІ ступенів № 1 Дрогобицької міської ради Львівської області</t>
  </si>
  <si>
    <t>82100</t>
  </si>
  <si>
    <t>4610600000</t>
  </si>
  <si>
    <t>Дрогобич</t>
  </si>
  <si>
    <t>вул. Івана Франка, 14</t>
  </si>
  <si>
    <t>(3244)31365</t>
  </si>
  <si>
    <t>Дрогобицька гімназія імені Богдана Лепкого Дрогобицької міської ради Львівської області</t>
  </si>
  <si>
    <t>вул. Б.Лепкого, 19</t>
  </si>
  <si>
    <t>(03244)38545</t>
  </si>
  <si>
    <t>англійська,німецька,французька,латинська</t>
  </si>
  <si>
    <t>Дрогбицька загальноосвітня школа І-ІІІ ступенів № 17</t>
  </si>
  <si>
    <t>вул. Самбірська, 70</t>
  </si>
  <si>
    <t>Дрогобицька загальноосвітня школа І-ІІ ступенів № 9 Дрогобицької міської ради Львівської області</t>
  </si>
  <si>
    <t>вул. Фабрична, 63</t>
  </si>
  <si>
    <t>(03244)21388</t>
  </si>
  <si>
    <t>Дрогобицька загальноосвітня школа І-ІІ ступнів № 8</t>
  </si>
  <si>
    <t>ал. Симоненка, 5</t>
  </si>
  <si>
    <t>(244)415601, 0967553207</t>
  </si>
  <si>
    <t>Дрогобицька загальноосвітня школа І-ІІІ ступенів № 15 Дрогобицької міської ради Львівської області</t>
  </si>
  <si>
    <t>(03244)38457</t>
  </si>
  <si>
    <t>Дрогобицька загальноосвітня школа І-ІІІ ступенів № 10 Дрогобицької міської ради Львівської області</t>
  </si>
  <si>
    <t>вул. Коновальця, 11</t>
  </si>
  <si>
    <t>0972396936</t>
  </si>
  <si>
    <t>http://drohobych-school10.edukit.lviv.ua</t>
  </si>
  <si>
    <t>Дрогобицька загальноосвітня школа І-ІІІ ступенів № 14 Дрогобицької міської ради Львівської області</t>
  </si>
  <si>
    <t>вул. Грушевського, 87</t>
  </si>
  <si>
    <t>Дрогобицька загальноосвітня школа І-ІІІ ступенів № 3 Дрогобицької міської ради Львівської області</t>
  </si>
  <si>
    <t>вул. Завалля, 12</t>
  </si>
  <si>
    <t>(244)22135</t>
  </si>
  <si>
    <t>Дрогобицька загальноосвітня школа І-ІІІ ступенів № 4 Дрогобицької міської ради Львівської області</t>
  </si>
  <si>
    <t>вул. Стрийська, 28</t>
  </si>
  <si>
    <t>(098)5845432</t>
  </si>
  <si>
    <t>Дрогобицька загальноосвітня школа І-ІІІ ступенів № 5 Дрогобицької міської ради Львівської області</t>
  </si>
  <si>
    <t>вул. Зварицька, 57</t>
  </si>
  <si>
    <t>(03244)23134</t>
  </si>
  <si>
    <t>Дрогобицька загальноосвітня школа І-ІІІ ступенів № 1 імені Івана Франка</t>
  </si>
  <si>
    <t>вул. Сагайдачного, 19</t>
  </si>
  <si>
    <t>(244)2-33-71</t>
  </si>
  <si>
    <t>Дрогобицька спеціалізована школа І-ІІІ ступенів № 16 Дрогобицької міської ради Львівської області</t>
  </si>
  <si>
    <t>вул. М.Грушевського, 136</t>
  </si>
  <si>
    <t>24723530</t>
  </si>
  <si>
    <t>Дрогобицька спеціалізована школа І-ІІІ ступенів № 2 Дрогобицької міської ради Львівської області</t>
  </si>
  <si>
    <t>вул. Козловського, 17</t>
  </si>
  <si>
    <t>(03244)20386</t>
  </si>
  <si>
    <t>http://dr-school2.at.ua/</t>
  </si>
  <si>
    <t>Дрогобицький ліцей Дрогобицької міської ради Львівської області при Дрогобицькому державному педагогічному університеті імені Івана Франка</t>
  </si>
  <si>
    <t>вул. Івана Франка, 36</t>
  </si>
  <si>
    <t>(0324)410466</t>
  </si>
  <si>
    <t>Загальноосвітня школа І ступеня № 13</t>
  </si>
  <si>
    <t>82172</t>
  </si>
  <si>
    <t>4610670500</t>
  </si>
  <si>
    <t>вул. Уляни Кравченко, 1</t>
  </si>
  <si>
    <t>(032)442391</t>
  </si>
  <si>
    <t>Стебницька загальноосвітня школа І-ІІІ ступенів № 18 Дрогобицької міської ради Львівської області</t>
  </si>
  <si>
    <t>вул. Дорошенка, 1</t>
  </si>
  <si>
    <t>(03244)40761</t>
  </si>
  <si>
    <t>Стебницька загальноосвітня школа І-ІІІ ступенів № 11 імені Тараса Зозулі Дрогобицької міської ради Львівської області</t>
  </si>
  <si>
    <t>вул. П.Куліша, 3</t>
  </si>
  <si>
    <t>0975757197</t>
  </si>
  <si>
    <t>Стебницька загальноосвітня школа І-ІІІ ступенів № 6 Дрогобицької міської ради</t>
  </si>
  <si>
    <t>(244)40492</t>
  </si>
  <si>
    <t>Стебницька спеціалізована школа І-ІІІ ступенів № 7</t>
  </si>
  <si>
    <t>(0324)440424</t>
  </si>
  <si>
    <t>НВК “Середня загальноосвітня школа-ліцей” м. Моршина Львівської області</t>
  </si>
  <si>
    <t>82482</t>
  </si>
  <si>
    <t>4610700000</t>
  </si>
  <si>
    <t>Моршин</t>
  </si>
  <si>
    <t>(03260)62324, (03260)60393</t>
  </si>
  <si>
    <t>30298033</t>
  </si>
  <si>
    <t>Навчально-виховний комплекс імені Володимира Труша "гімназія-загальноосвітня школа І ступеня з поглибленим вивченням англійської мови"</t>
  </si>
  <si>
    <t>81652</t>
  </si>
  <si>
    <t>4610800000</t>
  </si>
  <si>
    <t>Новий Розділ</t>
  </si>
  <si>
    <t>Новороздільська загальноосвітня школа І-ІІІ ступенів № 2 Новороздільської міської ради Львівської області</t>
  </si>
  <si>
    <t>вул. Шевченка, 11В</t>
  </si>
  <si>
    <t>Новороздільська загальноосвітня школа І-ІІІ ступенів № 5 Новороздільської міської ради Львівської області</t>
  </si>
  <si>
    <t>(261)2-44-69</t>
  </si>
  <si>
    <t>Новороздільська ЗШ І-ІІІ ступенів № 3 з поглибленим вивченням інформатики Новороздільської міської ради Львівської області</t>
  </si>
  <si>
    <t>вул. Винниченка, 35</t>
  </si>
  <si>
    <t>(03261)24460</t>
  </si>
  <si>
    <t>http://school3z.at.ua</t>
  </si>
  <si>
    <t>Новороздільська спеціалізована школа І-ІІІст. № 4 Новороздільської міської ради Львівської області</t>
  </si>
  <si>
    <t>(261)2-45-84</t>
  </si>
  <si>
    <t>Комунальний заклад Львівської обласної ради "Самбірська спеціальна загальноосвітня школа-інтернат І-ІІ ступенів "Берегиня"</t>
  </si>
  <si>
    <t>81400</t>
  </si>
  <si>
    <t>4610900000</t>
  </si>
  <si>
    <t>Самбір</t>
  </si>
  <si>
    <t>(236)32252</t>
  </si>
  <si>
    <t>04589797</t>
  </si>
  <si>
    <t>Початкова школа № 2 м. Самбора</t>
  </si>
  <si>
    <t>вул. Филипчака, 34</t>
  </si>
  <si>
    <t>(236)32895</t>
  </si>
  <si>
    <t>Самбірська гімназія</t>
  </si>
  <si>
    <t>вул. Січових Стрільців, 10</t>
  </si>
  <si>
    <t>(3)32-81</t>
  </si>
  <si>
    <t>Самбірська школа-ліцей імені Андрія Струся</t>
  </si>
  <si>
    <t>вул. Генерала Шухевича, 45Б</t>
  </si>
  <si>
    <t>(03236)33049, (03236)33050</t>
  </si>
  <si>
    <t>Середня загальноосвітня школа № 4 І-ІІІ ступенів міста Самбора Львівської області</t>
  </si>
  <si>
    <t>вул. Середня, 78</t>
  </si>
  <si>
    <t>(03236)66064</t>
  </si>
  <si>
    <t>http://www.sambir-school4.edukit.lviv.ua</t>
  </si>
  <si>
    <t>Середня школа № 7 м. Самбора Львівської області</t>
  </si>
  <si>
    <t>вул. Коперніка, 12</t>
  </si>
  <si>
    <t>(03236)32368</t>
  </si>
  <si>
    <t>Середня школа № 1 ім.Т.Г.Шевченка м.Самбора Львівської області</t>
  </si>
  <si>
    <t>вул. Івана Франка, 15</t>
  </si>
  <si>
    <t>(03236)33171</t>
  </si>
  <si>
    <t>Середня школа № 10 м. Самбір Львівської області</t>
  </si>
  <si>
    <t>вул. В. Стуса, 8</t>
  </si>
  <si>
    <t>(03236)34593</t>
  </si>
  <si>
    <t>середня школа № 3 імені Володимира Юричка м. Самбора Львівської області</t>
  </si>
  <si>
    <t>вул. Володимира Юричка, 1</t>
  </si>
  <si>
    <t>(03236)3-3184</t>
  </si>
  <si>
    <t>Спеціалізована школа І - ІІІ ступенів № 8 з поглибленим вивченням англійської мови м. Самбора</t>
  </si>
  <si>
    <t>(03236)32854, (03236)32348</t>
  </si>
  <si>
    <t>НВК "Школа І ст. - гімназія ім. Митрополита А.Шептицького м. Стрия"</t>
  </si>
  <si>
    <t>82400</t>
  </si>
  <si>
    <t>4611200000</t>
  </si>
  <si>
    <t>Стрий</t>
  </si>
  <si>
    <t>вул. Гайдамацька, 11</t>
  </si>
  <si>
    <t>(03245)5-81-50</t>
  </si>
  <si>
    <t>http://greenschool.ucoz.ua</t>
  </si>
  <si>
    <t>20773804</t>
  </si>
  <si>
    <t>Середня загальноосвітня школа № 3 І-ІІІ ступенів імені І.Я.Франка м.Стрия Львівської області</t>
  </si>
  <si>
    <t>вул. 50-річчя УПА, 2</t>
  </si>
  <si>
    <t>(03245)57543</t>
  </si>
  <si>
    <t>22414274</t>
  </si>
  <si>
    <t>Стрийська загальноосвітня школа I ступеня № 11 Стрийської міської ради Львівської області</t>
  </si>
  <si>
    <t>вул. Cічових Стрільців, 12Б</t>
  </si>
  <si>
    <t>(03245)5854</t>
  </si>
  <si>
    <t>22414216</t>
  </si>
  <si>
    <t>Стрийська загальноосвітня школа І - ІІІ ступенів № 6 Стрийської Міської ради у Львівській області</t>
  </si>
  <si>
    <t>вул. Коперніка, 1</t>
  </si>
  <si>
    <t>(03245)52587, (03245)58141</t>
  </si>
  <si>
    <t>22414280</t>
  </si>
  <si>
    <t>Стрийська загальноосвітня школа І - ІІІ ступенів № 7 Стрийської міської ради Львівської області</t>
  </si>
  <si>
    <t>вул. Ф.Колесси, 12</t>
  </si>
  <si>
    <t>(03245)71296</t>
  </si>
  <si>
    <t>22414848</t>
  </si>
  <si>
    <t>Стрийська загальноосвітня школа І-ІІІ ступенів № 8 Стрийської міської ради Львівської області</t>
  </si>
  <si>
    <t>вул. Вузька, 9</t>
  </si>
  <si>
    <t>(03245)52300, (03245)52280</t>
  </si>
  <si>
    <t>22414436</t>
  </si>
  <si>
    <t>Стрийська загальноосвітня школа І-ІІІ ступенів № 1 Стрийської міської ради Львівської області</t>
  </si>
  <si>
    <t>вул. Незалежності, 11</t>
  </si>
  <si>
    <t>(03245)71221, (03245)71119</t>
  </si>
  <si>
    <t>22414529</t>
  </si>
  <si>
    <t>Стрийська загальноосвітня школа І-ІІІ ступенів № 10 Стрийської міської ради Львівської області</t>
  </si>
  <si>
    <t>вул. Красівського, 31</t>
  </si>
  <si>
    <t>(03245)52391, (03245)54724</t>
  </si>
  <si>
    <t>22414570</t>
  </si>
  <si>
    <t>Стрийська загальноосвітня школа І-ІІІ ступенів № 2</t>
  </si>
  <si>
    <t>(03245)53064</t>
  </si>
  <si>
    <t>22414207</t>
  </si>
  <si>
    <t>Стрийська загальноосвітня школа І-ІІІ ступенів № 5 імені Василя Стасюка</t>
  </si>
  <si>
    <t>(03245)52533</t>
  </si>
  <si>
    <t>22414268</t>
  </si>
  <si>
    <t>Стрийська загальоосвітня школа І-ІІІ ступенів № 9 Стрийської міської ради Львівської області</t>
  </si>
  <si>
    <t>вул. Грабовецька, 23</t>
  </si>
  <si>
    <t>(03245)55719</t>
  </si>
  <si>
    <t>22416155</t>
  </si>
  <si>
    <t>Стрийська спеціалізована школа № 4 І-ІІІ ступенів</t>
  </si>
  <si>
    <t>вул. Бобикевича, 3</t>
  </si>
  <si>
    <t>(03245)70741, (03245)70644</t>
  </si>
  <si>
    <t>22414423</t>
  </si>
  <si>
    <t>Стрийський міжшкільний навчально-виробничий комбінат</t>
  </si>
  <si>
    <t>вул. Степана Бандери, 51</t>
  </si>
  <si>
    <t>(03245)5-33-74</t>
  </si>
  <si>
    <t>Стрийський навчально-виховний комплекс ".загальноосвітній навчальний заклад І ст. № 12 - дошкільний навчальний заклад" Стрийської міської ради Львівської області</t>
  </si>
  <si>
    <t>вул. Головацького, 5</t>
  </si>
  <si>
    <t>(245)47738</t>
  </si>
  <si>
    <t>01116408</t>
  </si>
  <si>
    <t>Навчально-виховний комплекс "Середня загальноосвітня школа № 2 - гімназія"</t>
  </si>
  <si>
    <t>82200</t>
  </si>
  <si>
    <t>4611500000</t>
  </si>
  <si>
    <t>Трускавець</t>
  </si>
  <si>
    <t>вул. Данилишиних, 19</t>
  </si>
  <si>
    <t>(03247)51184</t>
  </si>
  <si>
    <t>http://nvk2g.com.ua</t>
  </si>
  <si>
    <t>Середня загальноосвітня школа № 1 м.Трускавець</t>
  </si>
  <si>
    <t>(247)51386</t>
  </si>
  <si>
    <t>Середня загальноосвітня школа № 3</t>
  </si>
  <si>
    <t>вул. Стебницька, 98</t>
  </si>
  <si>
    <t>(032)24753210</t>
  </si>
  <si>
    <t>Комунальний заклад Львівської обласної ради Навчально-реабілітаційний центр "Світанок"</t>
  </si>
  <si>
    <t>80100</t>
  </si>
  <si>
    <t>4611800000</t>
  </si>
  <si>
    <t>Червоноград</t>
  </si>
  <si>
    <t>вул. В. Івасюка, 10</t>
  </si>
  <si>
    <t>(03249)3-62-40</t>
  </si>
  <si>
    <t>http://svitanok-1.lvivedu.com/</t>
  </si>
  <si>
    <t>20831890</t>
  </si>
  <si>
    <t>Червоноградська гімназія Червоноградської міської ради Львівської області</t>
  </si>
  <si>
    <t>вул. С.Бандери, 17А</t>
  </si>
  <si>
    <t>(03249)31270, (03249)38257</t>
  </si>
  <si>
    <t>http://chergym.org.ua</t>
  </si>
  <si>
    <t>Червоноградська загальноосвітня школа І ступеня № 11 Червоноградської міської ради Львівської області</t>
  </si>
  <si>
    <t>80106</t>
  </si>
  <si>
    <t>вул. Степана Бандери, 3</t>
  </si>
  <si>
    <t>((249))3-63-54</t>
  </si>
  <si>
    <t>Червоноградська загальноосвітня школа І-ІІІ ступенів № 1 Червоноградської міської ради Львівської області</t>
  </si>
  <si>
    <t>80103</t>
  </si>
  <si>
    <t>вул. Клюсівська, 19</t>
  </si>
  <si>
    <t>(249)32855, (249)38322</t>
  </si>
  <si>
    <t>Червоноградська загальноосвітня школа І-ІІІ ступенів № 2 Червоноградської міської ради Львівської області</t>
  </si>
  <si>
    <t>80109</t>
  </si>
  <si>
    <t>вул. Клюсівська, 3</t>
  </si>
  <si>
    <t>(03249)31597, (03249)38329</t>
  </si>
  <si>
    <t>http://chervonograd-school2.lviv.sch.in.ua</t>
  </si>
  <si>
    <t>Червоноградська загальноосвітня школа І-ІІІ ступенів № 9 Червоноградської міської ради Львівської області</t>
  </si>
  <si>
    <t>вул. Шептицького, 17</t>
  </si>
  <si>
    <t>(249)21435</t>
  </si>
  <si>
    <t>Червоноградська загальноосвітня школа І-ІІІ ступенів № 12 Червоноградської міської ради Львівської області</t>
  </si>
  <si>
    <t>вул. Степана Бандери, 17</t>
  </si>
  <si>
    <t>(03249)31551</t>
  </si>
  <si>
    <t>Червоноградська загальноосвітня школа І-ІІІ ступенів № 4 Червоноградської міської ради Львівської області</t>
  </si>
  <si>
    <t>(03249)39879, (03249)39878</t>
  </si>
  <si>
    <t>Червоноградська загальноосвітня школа І-ІІІ ступенів № 5 Червоноградської міської ради Львівської області</t>
  </si>
  <si>
    <t>вул. Грінченка, 9</t>
  </si>
  <si>
    <t>(03249)22541</t>
  </si>
  <si>
    <t>Червоноградська спеціалізована школа І-ІІІ ступенів № 8 Червоноградської міської ради Львівської області</t>
  </si>
  <si>
    <t>вул. Шептицького, 15</t>
  </si>
  <si>
    <t>(3803249)31321</t>
  </si>
  <si>
    <t>Червоноградський навчально - виховний комплекс № 10 Червоноградської міської ради Львівської області</t>
  </si>
  <si>
    <t>вул. Шухевича1</t>
  </si>
  <si>
    <t>(03249)22372, (03249)24497</t>
  </si>
  <si>
    <t>Червоноградський навчально-виховний комплекс "Спеціалізована школа І-ІІ ступенів-колегіум" № 3 Червоноградської міської ради Львівської області</t>
  </si>
  <si>
    <t>80108</t>
  </si>
  <si>
    <t>вул. Корольова, 11</t>
  </si>
  <si>
    <t>(03249)38458</t>
  </si>
  <si>
    <t>Червоноградська міська рада Львівської області Червоноградська загальноосвітня школа І-ІІІ ступенів № 6</t>
  </si>
  <si>
    <t>80191</t>
  </si>
  <si>
    <t>4611845300</t>
  </si>
  <si>
    <t>вул. Шахтарська, 8</t>
  </si>
  <si>
    <t>(03249)35119</t>
  </si>
  <si>
    <t>Червоноградська загальноосвітня школа І - ІІІ ступенів № 14 Червоноградської міської ради Львівської області</t>
  </si>
  <si>
    <t>80193</t>
  </si>
  <si>
    <t>4611870400</t>
  </si>
  <si>
    <t>вул. Галицька, 3</t>
  </si>
  <si>
    <t>(03249)34358</t>
  </si>
  <si>
    <t>Червоноградська загальноосвітня школа І-ІІІ ступенів № 7 Червоноградської міської ради Львівської області</t>
  </si>
  <si>
    <t>вул. Шептицького, 2</t>
  </si>
  <si>
    <t>(03249)34212, (03249)34222</t>
  </si>
  <si>
    <t>http://sc7cherv.org.ua</t>
  </si>
  <si>
    <t>Червоноградський навчально - виховний комплекс № 13 Червоноградської міської ради Львівської області</t>
  </si>
  <si>
    <t>вул. Театральна, 14А</t>
  </si>
  <si>
    <t>(03249)34309</t>
  </si>
  <si>
    <t>Бродівська гімназія імені Івана Труша Бродівської районної ради Львівської області</t>
  </si>
  <si>
    <t>80600</t>
  </si>
  <si>
    <t>4620310100</t>
  </si>
  <si>
    <t>вул. М.Коцюбинського, 2</t>
  </si>
  <si>
    <t>(03266)27593</t>
  </si>
  <si>
    <t>Бродівська загальноосвітня школа І ступеня № 1 Бродівської районної ради Львівської області</t>
  </si>
  <si>
    <t>вул. Коцюбинського, 8</t>
  </si>
  <si>
    <t>(03266)27933</t>
  </si>
  <si>
    <t>Опорний заклад ''Бродівська загальноосвітня школа І-ІІІ ступенів № 3 Бродівської районної ради Львівської області''</t>
  </si>
  <si>
    <t>(03266)27529</t>
  </si>
  <si>
    <t>Бродівська загальноосвітня школа І-ІІІ ступенів № 4 Бродівської районної ради Львівської області</t>
  </si>
  <si>
    <t>вул. Старобрідська, 11</t>
  </si>
  <si>
    <t>(03266)27353</t>
  </si>
  <si>
    <t>Бродівська спеціалізована загальноосвітня школа І-ІІІ ступенів № 2 з вивченням англійської мови з 1 класу Бродівської районної ради Львівської області</t>
  </si>
  <si>
    <t>вул. Бузова, 5</t>
  </si>
  <si>
    <t>(03266)27493</t>
  </si>
  <si>
    <t>Опорний заклад ''Підкамінська загальноосвітня школа І-ІІІ ступенів Бродівської районної ради Львівської області''</t>
  </si>
  <si>
    <t>80670</t>
  </si>
  <si>
    <t>4620355400</t>
  </si>
  <si>
    <t>ал. Зелена, 1</t>
  </si>
  <si>
    <t>(03266)21232</t>
  </si>
  <si>
    <t>Обласний комунальний заклад Львівської обласної ради "Підкамінський навчально-реабілітаційний центр І-ІІІ ступенів з поглибленою професійною підготовкою"</t>
  </si>
  <si>
    <t>(03266)31-3-73</t>
  </si>
  <si>
    <t>22338461</t>
  </si>
  <si>
    <t>Батьківська загальноосвітня школа І ступеня Батьківської сільської ради Бродівського району Львівської області</t>
  </si>
  <si>
    <t>80665</t>
  </si>
  <si>
    <t>4620380401</t>
  </si>
  <si>
    <t>Батьків</t>
  </si>
  <si>
    <t>(03266)32324</t>
  </si>
  <si>
    <t>Звиженська загальноосвітня школа І-ІІ ступенів Бродівської районної ради Львівської області</t>
  </si>
  <si>
    <t>4620380402</t>
  </si>
  <si>
    <t>Звижень</t>
  </si>
  <si>
    <t>(03266)32289</t>
  </si>
  <si>
    <t>Орихівчицький навчально - виховний комплекс загальноосвітня школа І-ІІ ступенів - дошкільний навчальний заклад Бродівської районної ради Львівської області</t>
  </si>
  <si>
    <t>80674</t>
  </si>
  <si>
    <t>4620380703</t>
  </si>
  <si>
    <t>Орихівчик</t>
  </si>
  <si>
    <t>(03266)38630</t>
  </si>
  <si>
    <t>Маркопільська загальноосвітня школа І-ІІІ ступенів Бродівської районної ради Львівськоїобласті</t>
  </si>
  <si>
    <t>4620380801</t>
  </si>
  <si>
    <t>Маркопіль</t>
  </si>
  <si>
    <t>наб. Набережна, 4</t>
  </si>
  <si>
    <t>(03266)0991940885</t>
  </si>
  <si>
    <t>Гаївський навчально - виховний комплекс'' загальноосвітня школа І-ІІ ступенів-дошкільний навчальний заклад'' Бродівської районної ради Львівської області</t>
  </si>
  <si>
    <t>80650</t>
  </si>
  <si>
    <t>4620381301</t>
  </si>
  <si>
    <t>Гаї</t>
  </si>
  <si>
    <t>(03266)39534</t>
  </si>
  <si>
    <t>Гаї -Дітковецький навчально - виховний комплекс '' загальноосвітня школа І-ІІ ступенів - дошкільний навчальний заклад'' Бродівської районної ради Львівської області</t>
  </si>
  <si>
    <t>80651</t>
  </si>
  <si>
    <t>4620381302</t>
  </si>
  <si>
    <t>Гаї-Дітковецькі</t>
  </si>
  <si>
    <t>(03266)33861</t>
  </si>
  <si>
    <t>Гаї-Смоленська загальноосвітня школа І-ІІ ступенів Бродівської районної ради Львівсько їобласті</t>
  </si>
  <si>
    <t>4620381303</t>
  </si>
  <si>
    <t>Гаї-Смоленські</t>
  </si>
  <si>
    <t>(03266)0665665830</t>
  </si>
  <si>
    <t>Голубицька загальноосвітня школа І-ІІ ступенів Бродівської районної ради Львівської області</t>
  </si>
  <si>
    <t>80675</t>
  </si>
  <si>
    <t>4620381601</t>
  </si>
  <si>
    <t>Голубиця</t>
  </si>
  <si>
    <t>(03266)32512</t>
  </si>
  <si>
    <t>Заболотцівська загальноосвітня школа І-ІІІ ступенів</t>
  </si>
  <si>
    <t>80630</t>
  </si>
  <si>
    <t>4620382001</t>
  </si>
  <si>
    <t>(03266)36283</t>
  </si>
  <si>
    <t>Висоцька загальноосвітня школа І ступеня</t>
  </si>
  <si>
    <t>4620382004</t>
  </si>
  <si>
    <t>Висоцько</t>
  </si>
  <si>
    <t>(25558080)36404</t>
  </si>
  <si>
    <t>с Лугове Лугівська загальноосвітня школа I-II ступенів Заболотцівської сільської ради Львівської області</t>
  </si>
  <si>
    <t>80631</t>
  </si>
  <si>
    <t>4620382006</t>
  </si>
  <si>
    <t>Лугове</t>
  </si>
  <si>
    <t>ал. Центральна, 84</t>
  </si>
  <si>
    <t>(266)36451</t>
  </si>
  <si>
    <t>Комарівська загальноосвітня школа І-ІІ ступенів Бродівської районної ради Львівської області</t>
  </si>
  <si>
    <t>80610</t>
  </si>
  <si>
    <t>4620382401</t>
  </si>
  <si>
    <t>(03266)37248</t>
  </si>
  <si>
    <t>Корсівська загальноосвітня школа І-ІІ ступенівБродівської районної ради Львівської області</t>
  </si>
  <si>
    <t>80611</t>
  </si>
  <si>
    <t>4620382407</t>
  </si>
  <si>
    <t>Корсів</t>
  </si>
  <si>
    <t>(03266)37313</t>
  </si>
  <si>
    <t>Лешнівська загальноосвітня школа І-ІІІ ступенів Бродівської районної ради Львівської області</t>
  </si>
  <si>
    <t>80613</t>
  </si>
  <si>
    <t>4620383201</t>
  </si>
  <si>
    <t>Лешнів</t>
  </si>
  <si>
    <t>(03266)37572</t>
  </si>
  <si>
    <t>Пісківська загальноосвітня школа І ступеня Бродівської районної ради Львівської області</t>
  </si>
  <si>
    <t>80614</t>
  </si>
  <si>
    <t>4620383205</t>
  </si>
  <si>
    <t>(03266)37465</t>
  </si>
  <si>
    <t>Наквашанська загальноосвітня школа І-ІІІ ступенів Бродівської районної ради Львівської області</t>
  </si>
  <si>
    <t>80654</t>
  </si>
  <si>
    <t>4620383601</t>
  </si>
  <si>
    <t>Накваша</t>
  </si>
  <si>
    <t>вул. Зелена, 5</t>
  </si>
  <si>
    <t>(03266)38136</t>
  </si>
  <si>
    <t>Микитівська загальноосвітня школа І ступеня Бродівської районної ради Львівської області</t>
  </si>
  <si>
    <t>4620383603</t>
  </si>
  <si>
    <t>Микити</t>
  </si>
  <si>
    <t>(03266)38187</t>
  </si>
  <si>
    <t>Паликоровівський навчально -виховний комплекс''загальноосвітня школа І-ІІ ступенів - дошкільний навчальний заклад'' Бродівської районної ради Львівської області</t>
  </si>
  <si>
    <t>80672</t>
  </si>
  <si>
    <t>4620384001</t>
  </si>
  <si>
    <t>Паликорови</t>
  </si>
  <si>
    <t>(03266)31885</t>
  </si>
  <si>
    <t>Пеняківський навчально - виховний комплекс '' загальноосвітня школа І-ІІІ ступенів - дошкільний навчальний заклад'' Бродівської районної ради Львівської області</t>
  </si>
  <si>
    <t>80664</t>
  </si>
  <si>
    <t>4620384401</t>
  </si>
  <si>
    <t>Пеняки</t>
  </si>
  <si>
    <t>вул. Бічна, 1</t>
  </si>
  <si>
    <t>(03266)32524</t>
  </si>
  <si>
    <t>Чепелівська загальноосвітня школа І ступеня Бродівської районної ради Львівської області</t>
  </si>
  <si>
    <t>4620384404</t>
  </si>
  <si>
    <t>Чепелі</t>
  </si>
  <si>
    <t>(03266)0958921408</t>
  </si>
  <si>
    <t>Підгорецький навчально - виховний комплекс ''загальноосвітня школа І-ІІступенів - дошкільний навчальний заклад''Бродівської районної ради Львівської області</t>
  </si>
  <si>
    <t>80660</t>
  </si>
  <si>
    <t>4620384801</t>
  </si>
  <si>
    <t>(03266)30754</t>
  </si>
  <si>
    <t>Пониквянська загальноосвітня школа І-ІІІ ступенів Бродівської районної ради Львівської області</t>
  </si>
  <si>
    <t>80644</t>
  </si>
  <si>
    <t>4620385301</t>
  </si>
  <si>
    <t>Пониква</t>
  </si>
  <si>
    <t>(03266)30546</t>
  </si>
  <si>
    <t>Боратинський навчально - виховний комплекс''загальноосвітня школа І-ІІ ступенів - дошкільний навчальний заклад''Бродівської районної ради Львівської області</t>
  </si>
  <si>
    <t>80645</t>
  </si>
  <si>
    <t>4620385303</t>
  </si>
  <si>
    <t>(03266)30000</t>
  </si>
  <si>
    <t>Підгірянська загальноосвітня школа І ступеня Бродівської районної ради Львівської області</t>
  </si>
  <si>
    <t>4620385315</t>
  </si>
  <si>
    <t>(03266)30564</t>
  </si>
  <si>
    <t>Пониковицька загальноосвітня школа Бродівської районної ради Львівської області</t>
  </si>
  <si>
    <t>80640</t>
  </si>
  <si>
    <t>4620385801</t>
  </si>
  <si>
    <t>Пониковиця</t>
  </si>
  <si>
    <t>вул. Бічна, 4</t>
  </si>
  <si>
    <t>(03266)33501</t>
  </si>
  <si>
    <t>Голосковицький навчально - виховний комплекс ''загальноосвітня школа І-ІІ ступенів - дошкільний навчальний заклад''Бродівської районної ради Львівської області</t>
  </si>
  <si>
    <t>80648</t>
  </si>
  <si>
    <t>4620385803</t>
  </si>
  <si>
    <t>Голосковичі</t>
  </si>
  <si>
    <t>(03266)33328</t>
  </si>
  <si>
    <t>Суходільська загальноосвітня школа І ступеня Бродівської районної ради Львівської області</t>
  </si>
  <si>
    <t>80641</t>
  </si>
  <si>
    <t>4620385809</t>
  </si>
  <si>
    <t>(03266)30238</t>
  </si>
  <si>
    <t>Поповецька загальноосвітня школа І-ІІ ступенів Бродівської районної ради Львівської області</t>
  </si>
  <si>
    <t>80655</t>
  </si>
  <si>
    <t>4620386201</t>
  </si>
  <si>
    <t>(03266)0671216026</t>
  </si>
  <si>
    <t>Нем'ячівський навчально - виховний комплекс ''загальноосвітня школа І-ІІ ступенів - дошкільний заклад'' Бродівської районної ради Львівської області</t>
  </si>
  <si>
    <t>80656</t>
  </si>
  <si>
    <t>4620386204</t>
  </si>
  <si>
    <t>Нем'яч</t>
  </si>
  <si>
    <t>(03266)31223</t>
  </si>
  <si>
    <t>Станіславчицький навчально - виховний комплекс''загальноосвітня школа І-ІІ ступенів - дошкільний навчальний заклад''Бродівської районної ради Львівської області</t>
  </si>
  <si>
    <t>80622</t>
  </si>
  <si>
    <t>4620386601</t>
  </si>
  <si>
    <t>(03266)34754</t>
  </si>
  <si>
    <t>Суховільська загальноосвітня школа І-ІІІ ступенів Бродівської районної ради Львівської області</t>
  </si>
  <si>
    <t>80652</t>
  </si>
  <si>
    <t>4620387001</t>
  </si>
  <si>
    <t>вул. Зелена, 1</t>
  </si>
  <si>
    <t>(03266)39526</t>
  </si>
  <si>
    <t>Салащанська загальноосвітня школа І ступеня Бродівської районної ради Львівської області</t>
  </si>
  <si>
    <t>4620387003</t>
  </si>
  <si>
    <t>Салашка</t>
  </si>
  <si>
    <t>(03266)34529</t>
  </si>
  <si>
    <t>Черницький навчально - виховний комплекс ''загальноосвітня школа І-ІІ ступенів -дошкільний навчальний заклад''Бродівської районної ради Львівської області</t>
  </si>
  <si>
    <t>80653</t>
  </si>
  <si>
    <t>4620388001</t>
  </si>
  <si>
    <t>Черниця</t>
  </si>
  <si>
    <t>(03266)32716</t>
  </si>
  <si>
    <t>Шнирівська загальноосвітня школа І-ІІІ ступенів Бродівської районної ради Львівської області</t>
  </si>
  <si>
    <t>80620</t>
  </si>
  <si>
    <t>4620388401</t>
  </si>
  <si>
    <t>Шнирів</t>
  </si>
  <si>
    <t>(03266)37738</t>
  </si>
  <si>
    <t>Білявецький навчально - виховний комплекс ''загальноосвітня школа І-ІІ ступенів - дошкільний навчальний заклад ''Бродівської районної ради Львівської області</t>
  </si>
  <si>
    <t>80621</t>
  </si>
  <si>
    <t>4620388402</t>
  </si>
  <si>
    <t>Білявці</t>
  </si>
  <si>
    <t>(03266)37752</t>
  </si>
  <si>
    <t>Бовдурівська загальноосвітня школа І ступеня Бродівської районної ради Львівської області</t>
  </si>
  <si>
    <t>4620388403</t>
  </si>
  <si>
    <t>Бовдури</t>
  </si>
  <si>
    <t>(03266)37729</t>
  </si>
  <si>
    <t>Клекотівська загальноосвітня школа І ступеня Бродівської районної ради Львівської області</t>
  </si>
  <si>
    <t>80623</t>
  </si>
  <si>
    <t>4620388404</t>
  </si>
  <si>
    <t>Клекотів</t>
  </si>
  <si>
    <t>(03266)37702</t>
  </si>
  <si>
    <t>Конюшківська загальноосвітня школа І-ІІ ступенів Бродівської районної ради Львівської області</t>
  </si>
  <si>
    <t>80624</t>
  </si>
  <si>
    <t>4620388602</t>
  </si>
  <si>
    <t>Конюшків</t>
  </si>
  <si>
    <t>(03266)39760</t>
  </si>
  <si>
    <t>Берлинська загальноосвітня школа І-ІІІ ступенів Бродівської районної радиЛьвівської області</t>
  </si>
  <si>
    <t>80612</t>
  </si>
  <si>
    <t>4620388605</t>
  </si>
  <si>
    <t>Берлин</t>
  </si>
  <si>
    <t>(03266)39335</t>
  </si>
  <si>
    <t>Ясенівська загальноосвітня школаІ-ІІІ ступенів Бродівської районної ради Львівської області</t>
  </si>
  <si>
    <t>80661</t>
  </si>
  <si>
    <t>4620388801</t>
  </si>
  <si>
    <t>Ясенів</t>
  </si>
  <si>
    <t>вул. Бічна, 6</t>
  </si>
  <si>
    <t>(03266)35301</t>
  </si>
  <si>
    <t>Дуб'євський навчально - виховний комплекс ''загальноосвітня школа І-ІІ ступенів - дошкільний навчальний заклад'' Бродівської районної ради Львівської області</t>
  </si>
  <si>
    <t>4620388802</t>
  </si>
  <si>
    <t>Дуб'є</t>
  </si>
  <si>
    <t>(03266)35831</t>
  </si>
  <si>
    <t>Дубинівська загальноосвітня школа І ступеня Бродівської районної ради Львівської області</t>
  </si>
  <si>
    <t>4620388803</t>
  </si>
  <si>
    <t>Дубина</t>
  </si>
  <si>
    <t>(03266)35182</t>
  </si>
  <si>
    <t>Лучківська загальноосвітня школа І-ІІ ступенів Бродівської районної ради Львівської області</t>
  </si>
  <si>
    <t>80662</t>
  </si>
  <si>
    <t>4620388804</t>
  </si>
  <si>
    <t>Лучківці</t>
  </si>
  <si>
    <t>(03266)35713</t>
  </si>
  <si>
    <t>Буська загальноосвітня школа І-ІІІ ступенів № 2 Буської районної ради Львівської області.</t>
  </si>
  <si>
    <t>80500</t>
  </si>
  <si>
    <t>4620610100</t>
  </si>
  <si>
    <t>Буськ</t>
  </si>
  <si>
    <t>0326421516, 0326421793</t>
  </si>
  <si>
    <t>Буська загальноосвітя школа І-ІІІ ст. № 1 Буської районної ради Львівської області</t>
  </si>
  <si>
    <t>вул. Є.Петрушевича, 41</t>
  </si>
  <si>
    <t>2-13-80, 2-13-98</t>
  </si>
  <si>
    <t>Навчально-виховний комплекс "Буська загальноосвітня школа І ступеня - гімназія-інтернат імені Євгена Петрушевича при Львівському національному університеті імені Івана Франка"</t>
  </si>
  <si>
    <t>вул. Є.Петрушевича, 4</t>
  </si>
  <si>
    <t>0326421201</t>
  </si>
  <si>
    <t>Красненська загальноосвітня школа І-ІІІ ступенів № 2 Буської районної Ради Львівської області</t>
  </si>
  <si>
    <t>80560</t>
  </si>
  <si>
    <t>4620655300</t>
  </si>
  <si>
    <t>вул. Заводська, 12</t>
  </si>
  <si>
    <t>0326422713</t>
  </si>
  <si>
    <t>Красненська загальноосвітня школа І-ІІІ ступенів № 1 смт Красне Буського районної ради Львівської області</t>
  </si>
  <si>
    <t>вул. Золочівська, 5</t>
  </si>
  <si>
    <t>(03264)22169</t>
  </si>
  <si>
    <t>Олеська загальноосвітня середня школа I-III ступенів Буської районної ради Львівської області</t>
  </si>
  <si>
    <t>80533</t>
  </si>
  <si>
    <t>4620655600</t>
  </si>
  <si>
    <t>Олесько</t>
  </si>
  <si>
    <t>вул. Шевченка, 81</t>
  </si>
  <si>
    <t>026425163</t>
  </si>
  <si>
    <t>Андріївський навчально-виховний комплекс "Загальноосвітня школа І-ІІІ ступенів" Буської районної ради Львівської області</t>
  </si>
  <si>
    <t>80563</t>
  </si>
  <si>
    <t>4620680401</t>
  </si>
  <si>
    <t>Мармузовичі</t>
  </si>
  <si>
    <t>вул. Центральна, 102А</t>
  </si>
  <si>
    <t>0326434322</t>
  </si>
  <si>
    <t>Острівчицька загальноосвітня школа І ступеня Буської районної ради Львівської області</t>
  </si>
  <si>
    <t>80264</t>
  </si>
  <si>
    <t>4620680402</t>
  </si>
  <si>
    <t>Острівчик-Пильний</t>
  </si>
  <si>
    <t>0326433745</t>
  </si>
  <si>
    <t>Петричівський навчально-виховний комплекс" Загальноосвітня школа І-ІІ ступенів"Буської районної ради Львівської області</t>
  </si>
  <si>
    <t>80574</t>
  </si>
  <si>
    <t>4620680403</t>
  </si>
  <si>
    <t>Петричі</t>
  </si>
  <si>
    <t>(03264)33733</t>
  </si>
  <si>
    <t>Балучинська загальноосвітня школа І-ІІ ступенів Буської районної ради Львівської області</t>
  </si>
  <si>
    <t>80565</t>
  </si>
  <si>
    <t>4620680801</t>
  </si>
  <si>
    <t>Балучин</t>
  </si>
  <si>
    <t>вул. Головна, 24</t>
  </si>
  <si>
    <t>26433532</t>
  </si>
  <si>
    <t>Навчально-виховний комплекс "Боложинівська загальноосвітня школа І-ІІ ступенів - дошкільний навчальний заклад"</t>
  </si>
  <si>
    <t>80527</t>
  </si>
  <si>
    <t>4620681201</t>
  </si>
  <si>
    <t>Боложинів</t>
  </si>
  <si>
    <t>(03264)44358</t>
  </si>
  <si>
    <t>Гумниська загальноосвітня школа І-ІІ ступенів Буської районної ради Львівської області</t>
  </si>
  <si>
    <t>80531</t>
  </si>
  <si>
    <t>4620681513</t>
  </si>
  <si>
    <t>Гумниська</t>
  </si>
  <si>
    <t>(03264)43146</t>
  </si>
  <si>
    <t>Заводська загальноосвітня школа І-ІІІ ступенів Буської райдержадміністрації Львівської області</t>
  </si>
  <si>
    <t>80522</t>
  </si>
  <si>
    <t>4620681701</t>
  </si>
  <si>
    <t>Заводське</t>
  </si>
  <si>
    <t>0976578529</t>
  </si>
  <si>
    <t>Навчально-виховний комплекс "Задвір'янська загальноосвітня школа І-ІІІ ступенів - ДНЗ" Буської районної Ради</t>
  </si>
  <si>
    <t>80552</t>
  </si>
  <si>
    <t>4620682001</t>
  </si>
  <si>
    <t>Задвір'я</t>
  </si>
  <si>
    <t>(03264)41568, (03264)41598</t>
  </si>
  <si>
    <t>Навчально-виховний комплекс "Полоницька загальноосвітня школа І-ІІ ступенів-дошкільний навчальний заклад"</t>
  </si>
  <si>
    <t>80553</t>
  </si>
  <si>
    <t>4620682003</t>
  </si>
  <si>
    <t>Полоничі</t>
  </si>
  <si>
    <t>вул. 50-річчя Воз'єднання, 5</t>
  </si>
  <si>
    <t>(03264)415-13</t>
  </si>
  <si>
    <t>Кізлівська загальноосвітня школа І - ІІ ступенів</t>
  </si>
  <si>
    <t>4620682301</t>
  </si>
  <si>
    <t>Кізлів</t>
  </si>
  <si>
    <t>264-41225</t>
  </si>
  <si>
    <t>Навчально-виховний заклад "Ракобовтівська загальноосвітня школа І-ІІ ступенів-Дошкільний навчальний заклад"</t>
  </si>
  <si>
    <t>50515</t>
  </si>
  <si>
    <t>4620682402</t>
  </si>
  <si>
    <t>Ракобовти</t>
  </si>
  <si>
    <t>46111</t>
  </si>
  <si>
    <t>Навчально-виховний комплекс "Куткірська загально-освітня школа І-ІІ ступенів" Буської районної ради Львівської області</t>
  </si>
  <si>
    <t>4620682801</t>
  </si>
  <si>
    <t>Куткір</t>
  </si>
  <si>
    <t>вул. Софії Караффи-Корбут, 8</t>
  </si>
  <si>
    <t>(0264)34637</t>
  </si>
  <si>
    <t>Безбродівська загальноосвітня школа І ступенів Буської районної ради Львівської області</t>
  </si>
  <si>
    <t>80551</t>
  </si>
  <si>
    <t>4620682802</t>
  </si>
  <si>
    <t>Безброди</t>
  </si>
  <si>
    <t>0326434651</t>
  </si>
  <si>
    <t>Кутівська загальноосвітня школа I - II ступенів Буської районої Ради Львівської області</t>
  </si>
  <si>
    <t>80532</t>
  </si>
  <si>
    <t>4620683201</t>
  </si>
  <si>
    <t>вул. Довга, 1</t>
  </si>
  <si>
    <t>03226437773</t>
  </si>
  <si>
    <t>Новомилятинська загальноосвітня школа І-ІІІ ступенів Буської районної ради Львівської області</t>
  </si>
  <si>
    <t>80543</t>
  </si>
  <si>
    <t>4620683601</t>
  </si>
  <si>
    <t>Новий Милятин</t>
  </si>
  <si>
    <t>03226442222, 03226442272</t>
  </si>
  <si>
    <t>Ріпнівська загальноосвітня школа І ступеня Буської районної ради Львівської області</t>
  </si>
  <si>
    <t>4620683603</t>
  </si>
  <si>
    <t>Ріпнів</t>
  </si>
  <si>
    <t>7007007</t>
  </si>
  <si>
    <t>Навчально-виховний комплекс імені Маркіяна Шашкевича "Новосілківська загальноосвітня школа імені Маркіяна Шашкевича"</t>
  </si>
  <si>
    <t>80544</t>
  </si>
  <si>
    <t>4620684001</t>
  </si>
  <si>
    <t>вул. М.Шашкевича, 96</t>
  </si>
  <si>
    <t>(03264)43422, (03264)43435</t>
  </si>
  <si>
    <t>Кудрявецька загальноосвітня школа І ступеня Буської районної ради Львівської області</t>
  </si>
  <si>
    <t>4620684003</t>
  </si>
  <si>
    <t>Кудирявці</t>
  </si>
  <si>
    <t>Ожидівська загальноосвітня школа І-ІІІ ступенів Буської районної ради Львівської області</t>
  </si>
  <si>
    <t>80530</t>
  </si>
  <si>
    <t>4620684401</t>
  </si>
  <si>
    <t>Ожидів</t>
  </si>
  <si>
    <t>вул. Шашкевича, 2</t>
  </si>
  <si>
    <t>0326446589</t>
  </si>
  <si>
    <t>Йосипівська загальноосвітня школа І ступеня Буської районної ради Львівської області</t>
  </si>
  <si>
    <t>4620684406</t>
  </si>
  <si>
    <t>0326445534</t>
  </si>
  <si>
    <t>Переволочнянський навчально-виховний комплекс "Загальноосвітня школа І-ІІ ступенів" Буської районної ради Львівської області</t>
  </si>
  <si>
    <t>80526</t>
  </si>
  <si>
    <t>4620684601</t>
  </si>
  <si>
    <t>Переволочна</t>
  </si>
  <si>
    <t>(03264)36405</t>
  </si>
  <si>
    <t>Навчально-виховний комплекс "Полтвівська загальноосвітня школа І-ІІ ступенів - дошкільний навчальний заклад"</t>
  </si>
  <si>
    <t>80554</t>
  </si>
  <si>
    <t>4620684801</t>
  </si>
  <si>
    <t>Полтва</t>
  </si>
  <si>
    <t>(03264)35000</t>
  </si>
  <si>
    <t>Побужанська загальноосвітня школа І-ІІІ ступенів Буської районної ради Львівської області</t>
  </si>
  <si>
    <t>80513</t>
  </si>
  <si>
    <t>4620685063</t>
  </si>
  <si>
    <t>Побужани</t>
  </si>
  <si>
    <t>вул. Шкільна, 128</t>
  </si>
  <si>
    <t>0326448191</t>
  </si>
  <si>
    <t>Навчально- виховний комплекс "Соколівська загальноосвітня школа І-ІІ ступенів - дошкільний навчальний заклад імені Володимира Кальби" Буської районної ради Львівської області</t>
  </si>
  <si>
    <t>80525</t>
  </si>
  <si>
    <t>4620685301</t>
  </si>
  <si>
    <t>вул. Бродівська, 4</t>
  </si>
  <si>
    <t>3-64-46</t>
  </si>
  <si>
    <t>навчально-виховний комплекс "Соколянська загальноосвітня школа І-ІІ ступенів - дошкільний навчальний заклад" Буської районної ради Львівської області</t>
  </si>
  <si>
    <t>80510</t>
  </si>
  <si>
    <t>4620685801</t>
  </si>
  <si>
    <t>Соколя</t>
  </si>
  <si>
    <t>вул. Лесі Українки, 50 а</t>
  </si>
  <si>
    <t>(1)0326442734</t>
  </si>
  <si>
    <t>Волицька загальноосвітня школа І ступеня Буської районної ради Львівської області</t>
  </si>
  <si>
    <t>4620685803</t>
  </si>
  <si>
    <t>Волиця-Деревлянська</t>
  </si>
  <si>
    <t>Грабівська загальноосвітня школа І ступеня Буської районної ради Львівської області</t>
  </si>
  <si>
    <t>4620685804</t>
  </si>
  <si>
    <t>Грабова</t>
  </si>
  <si>
    <t>0326448178</t>
  </si>
  <si>
    <t>Сторонибабська загальноосвітня школа І-ІІІ ступенів</t>
  </si>
  <si>
    <t>80562</t>
  </si>
  <si>
    <t>4620685972</t>
  </si>
  <si>
    <t>Сторонибаби</t>
  </si>
  <si>
    <t>0326448636, 0326448628</t>
  </si>
  <si>
    <t>Топорівський навчально-виховний комплекс "Загальноосвітня школа І-ІІІ ступенів"</t>
  </si>
  <si>
    <t>80520</t>
  </si>
  <si>
    <t>4620686201</t>
  </si>
  <si>
    <t>Топорів</t>
  </si>
  <si>
    <t>0326444637</t>
  </si>
  <si>
    <t>Тур'янський навчально-виховний комплекс "загальноосвітня школа І-ІІІ ступенів" Буської районної ради Львівської області</t>
  </si>
  <si>
    <t>80523</t>
  </si>
  <si>
    <t>4620686601</t>
  </si>
  <si>
    <t>Тур'я</t>
  </si>
  <si>
    <t>026435641</t>
  </si>
  <si>
    <t>Гутисько-Тур'янська загальноосвітня школа І ступенів Буської районної ради Львівської області</t>
  </si>
  <si>
    <t>80524</t>
  </si>
  <si>
    <t>4620686604</t>
  </si>
  <si>
    <t>Гутисько-Тур'янське</t>
  </si>
  <si>
    <t>0326435651</t>
  </si>
  <si>
    <t>Утішківська загальноосвітня школа І-ІІ ступенів Буської районної ради Львівської області</t>
  </si>
  <si>
    <t>80561</t>
  </si>
  <si>
    <t>4620686801</t>
  </si>
  <si>
    <t>Утішків</t>
  </si>
  <si>
    <t>вул. Головна, 77</t>
  </si>
  <si>
    <t>(264)45451</t>
  </si>
  <si>
    <t>Навчально-виховний заклад "Чанизька загальноосвітня школа І-ІІ ступенів - дошкільний навчальний заклад" Буського району Львівської області</t>
  </si>
  <si>
    <t>4620687001</t>
  </si>
  <si>
    <t>Чаниж</t>
  </si>
  <si>
    <t>(264)47785</t>
  </si>
  <si>
    <t>Стовпинська загальноосвітня школа І ступеня Буської районної ради Львівської області</t>
  </si>
  <si>
    <t>4620687005</t>
  </si>
  <si>
    <t>Стовпин</t>
  </si>
  <si>
    <t>032644768</t>
  </si>
  <si>
    <t>Навчально-виховний комплекс "Яблунівська загальноосвітня школа І-ІІ ступенів - дошкільний навчальний заклад"</t>
  </si>
  <si>
    <t>80512</t>
  </si>
  <si>
    <t>4620687401</t>
  </si>
  <si>
    <t>0964354414</t>
  </si>
  <si>
    <t>Городоцька вечірня загальноосвітня школа ІІ-ІІІ ступенів</t>
  </si>
  <si>
    <t>81500</t>
  </si>
  <si>
    <t>4620910100</t>
  </si>
  <si>
    <t>вул. Джерельна, 16</t>
  </si>
  <si>
    <t>Городоцька загальноосвітня школа № 3 І-ІІІ ступенів імені Героя України Івана Бльока Городоцької районної ради Львівської області</t>
  </si>
  <si>
    <t>вул. Перемишльська, 28</t>
  </si>
  <si>
    <t>(0231)33151, (0231)30267</t>
  </si>
  <si>
    <t>Городоцька загальноосвітня школа І-ІІІ ступенів № 4 Городоцької районної ради Львівської області</t>
  </si>
  <si>
    <t>81554</t>
  </si>
  <si>
    <t>вул. Авіаційна, 122</t>
  </si>
  <si>
    <t>опорний заклад - Городоцький навчально-виховний комплекс № 5 "загальноосвітній навчальний заклад - дошкільний навчальний заклад" Городоцької районної ради Львівської області</t>
  </si>
  <si>
    <t>вул. Чорновола, 8 А</t>
  </si>
  <si>
    <t>(231)30371</t>
  </si>
  <si>
    <t>Городоцький НВК № 2 "Загальноосвітня школа І ступеня-гімназія"</t>
  </si>
  <si>
    <t>вул. Леся Мартовича, 1</t>
  </si>
  <si>
    <t>(231)30360</t>
  </si>
  <si>
    <t>Комарнівська загальноосвітня школа І-ІІІ ступенів Городоцької районної ради Львівської області</t>
  </si>
  <si>
    <t>81562</t>
  </si>
  <si>
    <t>4620910400</t>
  </si>
  <si>
    <t>Комарно</t>
  </si>
  <si>
    <t>вул. Львівська, 2</t>
  </si>
  <si>
    <t>(067)6790423</t>
  </si>
  <si>
    <t>Опорний навчальний заклад "Великолюбінська загальноосвітня школа І-ІІІ ступенів Городоцької районної ради Львівської області"</t>
  </si>
  <si>
    <t>81555</t>
  </si>
  <si>
    <t>4620955300</t>
  </si>
  <si>
    <t>Великий Любінь</t>
  </si>
  <si>
    <t>вул. Січових Стрільців, 2</t>
  </si>
  <si>
    <t>(03231)24243, (03231)24300</t>
  </si>
  <si>
    <t>Комунальний заклад Львівської обласної Ради "Великолюбінський навчально-реабілітаційний центр І-ІІ ступенів"</t>
  </si>
  <si>
    <t>вул. Замкова, 5</t>
  </si>
  <si>
    <t>(032)23154213</t>
  </si>
  <si>
    <t>http://www.vliubin-internat.lviv.sch.in.ua</t>
  </si>
  <si>
    <t>22345283</t>
  </si>
  <si>
    <t>Чуловицька загальноосвітня школа І-ІІ ступенів Городоцької районної ради Львівської області</t>
  </si>
  <si>
    <t>4620955305</t>
  </si>
  <si>
    <t>Чуловичі</t>
  </si>
  <si>
    <t>Новосільський навчально-виховний комплекс "загальноосвітній навчальний заклад - дошкільний навчальний заклад" Городоцької районної ради Львівської області</t>
  </si>
  <si>
    <t>81573</t>
  </si>
  <si>
    <t>4620980701</t>
  </si>
  <si>
    <t>вул. Дрогобицька, 448 а</t>
  </si>
  <si>
    <t>(0231)97624</t>
  </si>
  <si>
    <t>Березецька загальноосвітня школа І - ІІІ ступенів</t>
  </si>
  <si>
    <t>81570</t>
  </si>
  <si>
    <t>4620980702</t>
  </si>
  <si>
    <t>Березець</t>
  </si>
  <si>
    <t>вул. Театральна</t>
  </si>
  <si>
    <t>27741</t>
  </si>
  <si>
    <t>Бартатівський навчально-виховний комплекс "Загальноосвітній навчальний заклад - дошкільний навчальний заклад"</t>
  </si>
  <si>
    <t>81551</t>
  </si>
  <si>
    <t>4620980801</t>
  </si>
  <si>
    <t>Бартатів</t>
  </si>
  <si>
    <t>(03231)31192</t>
  </si>
  <si>
    <t>Братковицька загальноосвітня школа І-ІІступенів</t>
  </si>
  <si>
    <t>81524</t>
  </si>
  <si>
    <t>4620981001</t>
  </si>
  <si>
    <t>Братковичі</t>
  </si>
  <si>
    <t>вул. шкільна, 33</t>
  </si>
  <si>
    <t>0677415994</t>
  </si>
  <si>
    <t>Бучалівська загальноосвітня школа І-ІІ ступенів, Городоцкий р-н, Львівська обл.</t>
  </si>
  <si>
    <t>81560</t>
  </si>
  <si>
    <t>4620981101</t>
  </si>
  <si>
    <t>Бучали</t>
  </si>
  <si>
    <t>0985780354</t>
  </si>
  <si>
    <t>Вишнянська загальноосвітня школа І-ІІ ступенів. Городоцька районна рада, Львівська обл.</t>
  </si>
  <si>
    <t>81540</t>
  </si>
  <si>
    <t>4620981401</t>
  </si>
  <si>
    <t>Вишня</t>
  </si>
  <si>
    <t>0674276619</t>
  </si>
  <si>
    <t>Галичанівський навчально-виховний комплекс</t>
  </si>
  <si>
    <t>81523</t>
  </si>
  <si>
    <t>4620981801</t>
  </si>
  <si>
    <t>(231)96649</t>
  </si>
  <si>
    <t>Дроздовицька ЗОШ I-II ст. ім.Назарія Попадика Городоцької районної ради Львівської області</t>
  </si>
  <si>
    <t>4620981803</t>
  </si>
  <si>
    <t>Дроздовичі</t>
  </si>
  <si>
    <t>вул. Сонячна, 61</t>
  </si>
  <si>
    <t>(22345188)30221</t>
  </si>
  <si>
    <t>Градівська ЗОШ І - ІІІ ступенів Городоцького району Львівської області</t>
  </si>
  <si>
    <t>81532</t>
  </si>
  <si>
    <t>4620982201</t>
  </si>
  <si>
    <t>Градівка</t>
  </si>
  <si>
    <t>(26)422</t>
  </si>
  <si>
    <t>Грімненська загальноосвітня школа І- ІІІ ступенів Городоцько районної ради Львівської області</t>
  </si>
  <si>
    <t>81565</t>
  </si>
  <si>
    <t>4620982301</t>
  </si>
  <si>
    <t>Грімне</t>
  </si>
  <si>
    <t>вул. Нова, 17</t>
  </si>
  <si>
    <t>(97)536</t>
  </si>
  <si>
    <t>Добрянський навчально-виховний комплекс</t>
  </si>
  <si>
    <t>81530</t>
  </si>
  <si>
    <t>4620983001</t>
  </si>
  <si>
    <t>Добряни</t>
  </si>
  <si>
    <t>вул. Зелена, 15</t>
  </si>
  <si>
    <t>(03231)25621</t>
  </si>
  <si>
    <t>Долинянська загальноосвітня школа І-ІІ ступенів</t>
  </si>
  <si>
    <t>81506</t>
  </si>
  <si>
    <t>4620983301</t>
  </si>
  <si>
    <t>вул. Сонячна</t>
  </si>
  <si>
    <t>(26)140</t>
  </si>
  <si>
    <t>Вовчухівська загальноосвітня школа І-ІІ ступенів Городоцької районної ради Львівської області</t>
  </si>
  <si>
    <t>81507</t>
  </si>
  <si>
    <t>4620983302</t>
  </si>
  <si>
    <t>Вовчухи</t>
  </si>
  <si>
    <t>41А</t>
  </si>
  <si>
    <t>26124</t>
  </si>
  <si>
    <t>Дубаневицька загальноосвітня школа І-ІІ ступенів імені Івана АльбертаГородоцької районної ради Львівської області</t>
  </si>
  <si>
    <t>81541</t>
  </si>
  <si>
    <t>4620983401</t>
  </si>
  <si>
    <t>Дубаневичі</t>
  </si>
  <si>
    <t>вул. Передміська, 91</t>
  </si>
  <si>
    <t>(231)26455</t>
  </si>
  <si>
    <t>Завидовицький навчально-виховний комплекс</t>
  </si>
  <si>
    <t>81533</t>
  </si>
  <si>
    <t>4620983601</t>
  </si>
  <si>
    <t>Завидовичі</t>
  </si>
  <si>
    <t>вул. Підгірна, 54</t>
  </si>
  <si>
    <t>(231)26-230</t>
  </si>
  <si>
    <t>Зашковицька загальноосвітня школа I ступеня</t>
  </si>
  <si>
    <t>4620983603</t>
  </si>
  <si>
    <t>Зашковичі</t>
  </si>
  <si>
    <t>вул. Підгайська, 20</t>
  </si>
  <si>
    <t>Порічненська загальноосвітня школа І-ІІ ступенів Городоцької районної Ради Львівської області</t>
  </si>
  <si>
    <t>4620983605</t>
  </si>
  <si>
    <t>Поріччя Задвірне</t>
  </si>
  <si>
    <t>вул. ЗЕЛЕНА, 22</t>
  </si>
  <si>
    <t>0974059280</t>
  </si>
  <si>
    <t>Керницький навчально-виховний комплекс "Загальноосвітній навчальний заклад I-III ступенів - дошкільний навчальний заклад" Городоцької районної ради Львівської області</t>
  </si>
  <si>
    <t>81550</t>
  </si>
  <si>
    <t>4620983901</t>
  </si>
  <si>
    <t>Керниця</t>
  </si>
  <si>
    <t>(03231)27265</t>
  </si>
  <si>
    <t>Мавковицький навчально-виховний комплекс "дошкільний навчальний заклад - загальноосвітній навчальний заклад"</t>
  </si>
  <si>
    <t>81552</t>
  </si>
  <si>
    <t>4620983907</t>
  </si>
  <si>
    <t>Мавковичі</t>
  </si>
  <si>
    <t>ал. вулиця Лугова, 32</t>
  </si>
  <si>
    <t>(03231)28320</t>
  </si>
  <si>
    <t>Кліцківська загальноосвітня школа I-II ст.</t>
  </si>
  <si>
    <t>81564</t>
  </si>
  <si>
    <t>4620984201</t>
  </si>
  <si>
    <t>Кліцько</t>
  </si>
  <si>
    <t>вул. Річна, 38</t>
  </si>
  <si>
    <t>Коропузький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</si>
  <si>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>81542</t>
  </si>
  <si>
    <t>4620984501</t>
  </si>
  <si>
    <t>Коропуж</t>
  </si>
  <si>
    <t>(231)26538</t>
  </si>
  <si>
    <t>Мильчицька загальноосвітня школа І-ІІІ ступенів Городоцької районної ради Львівської області</t>
  </si>
  <si>
    <t>81531</t>
  </si>
  <si>
    <t>4620984901</t>
  </si>
  <si>
    <t>Мильчиці</t>
  </si>
  <si>
    <t>(097)4022908</t>
  </si>
  <si>
    <t>Путятицька загальноосвітня школа І ступеня</t>
  </si>
  <si>
    <t>4620984904</t>
  </si>
  <si>
    <t>Путятичі</t>
  </si>
  <si>
    <t>вул. Весела, 48</t>
  </si>
  <si>
    <t>Монастирецька ЗОШ І-ІІ ступенів Городоцької районної ради Львівської області</t>
  </si>
  <si>
    <t>81557</t>
  </si>
  <si>
    <t>4620985201</t>
  </si>
  <si>
    <t>Мостівська загальноосвітня школа І ступеня</t>
  </si>
  <si>
    <t>4620985202</t>
  </si>
  <si>
    <t>Мости</t>
  </si>
  <si>
    <t>0984912957</t>
  </si>
  <si>
    <t>Мшанський навчально-виховний комплекс "загальноосвітній навчальний заклад-дошкільний навчальний заклад" імені Степана Тисляка</t>
  </si>
  <si>
    <t>81512</t>
  </si>
  <si>
    <t>4620985601</t>
  </si>
  <si>
    <t>Мшана</t>
  </si>
  <si>
    <t>вул. Січових Стрільців, 25А</t>
  </si>
  <si>
    <t>0964066480</t>
  </si>
  <si>
    <t>Переможенська ЗОШ І-ІІІ ступенів Городоцької районної ради Львівської області</t>
  </si>
  <si>
    <t>81561</t>
  </si>
  <si>
    <t>4620985901</t>
  </si>
  <si>
    <t>вул. Шевчека, 3</t>
  </si>
  <si>
    <t>Повітненська загальноосвітня школа І-ІІ ступенів Городоцької районної державної адміністрації</t>
  </si>
  <si>
    <t>81510</t>
  </si>
  <si>
    <t>4620986201</t>
  </si>
  <si>
    <t>Повітно</t>
  </si>
  <si>
    <t>вул. Шевченка, 41</t>
  </si>
  <si>
    <t>Заверещицький навчально-виховний комплекс "Берегиня" І-ІІІ ступенів Городоцької РДА Львівської області</t>
  </si>
  <si>
    <t>81511</t>
  </si>
  <si>
    <t>4620986202</t>
  </si>
  <si>
    <t>Заверешиця</t>
  </si>
  <si>
    <t>вул. Січових Стрільців, 17</t>
  </si>
  <si>
    <t>(231)25599</t>
  </si>
  <si>
    <t>Підзвіринецька загальноосвітня школа І-ІІІ ступенів Городоцької районної ради Львівської області</t>
  </si>
  <si>
    <t>81574</t>
  </si>
  <si>
    <t>4620986601</t>
  </si>
  <si>
    <t>Підзвіринець</t>
  </si>
  <si>
    <t>27418</t>
  </si>
  <si>
    <t>Речичанська ЗОШ І-ІІ ст, Городоцького району, Львівської обл</t>
  </si>
  <si>
    <t>81520</t>
  </si>
  <si>
    <t>4620987201</t>
  </si>
  <si>
    <t>Речичани</t>
  </si>
  <si>
    <t>ал. Центральна</t>
  </si>
  <si>
    <t>0981242635</t>
  </si>
  <si>
    <t>Лісновицька загальноосвітня школа І-ІІ ступенів</t>
  </si>
  <si>
    <t>4620987202</t>
  </si>
  <si>
    <t>Лісновичі</t>
  </si>
  <si>
    <t>0975587982</t>
  </si>
  <si>
    <t>Родатицький навчально-виховний комплекс (ЗНЗ-ДНЗ) Городоцької районної ради Львівської області</t>
  </si>
  <si>
    <t>81521</t>
  </si>
  <si>
    <t>4620987601</t>
  </si>
  <si>
    <t>Родатичі</t>
  </si>
  <si>
    <t>(3231)26-340</t>
  </si>
  <si>
    <t>Суховільська загальноосвітня школа І-ІІІ ступенів Городоцької районної ради Львівської області</t>
  </si>
  <si>
    <t>81513</t>
  </si>
  <si>
    <t>4620987701</t>
  </si>
  <si>
    <t>(231)2950688</t>
  </si>
  <si>
    <t>Татаринівський навчально-виховний комплекс " Загальноосвітній навчальний заклад - дошкільний навчальний заклад" Городоцької районної ради Львівської області</t>
  </si>
  <si>
    <t>81571</t>
  </si>
  <si>
    <t>4620987801</t>
  </si>
  <si>
    <t>Татаринів</t>
  </si>
  <si>
    <t>вул. Воїнів Повстанців, 49</t>
  </si>
  <si>
    <t>Тулиголівська загальноосвітня школа І-ІІ ступенів</t>
  </si>
  <si>
    <t>81572</t>
  </si>
  <si>
    <t>4620987978</t>
  </si>
  <si>
    <t>Тулиголове</t>
  </si>
  <si>
    <t>вул. Весела, 11А</t>
  </si>
  <si>
    <t>(096)7427635</t>
  </si>
  <si>
    <t>Угрівський навчально-виховний комплекс I-II ступенів</t>
  </si>
  <si>
    <t>81553</t>
  </si>
  <si>
    <t>4620988001</t>
  </si>
  <si>
    <t>Угри</t>
  </si>
  <si>
    <t>вул. Піддублянська, 31</t>
  </si>
  <si>
    <t>(032231)26748</t>
  </si>
  <si>
    <t>Стоділківська загальноосвітня школа І ступеня</t>
  </si>
  <si>
    <t>4620988002</t>
  </si>
  <si>
    <t>Стоділки</t>
  </si>
  <si>
    <t>вул. Оріхова, 42 а</t>
  </si>
  <si>
    <t>0973565818</t>
  </si>
  <si>
    <t>Шоломиницька загальноосвітня школа І-ІІст., Городоцького району Львівської області</t>
  </si>
  <si>
    <t>4620989001</t>
  </si>
  <si>
    <t>Шоломиничі</t>
  </si>
  <si>
    <t>0985786497</t>
  </si>
  <si>
    <t>Меденицька середня загальноосвітня школа І-ІІІ ст. Дрогобицького району</t>
  </si>
  <si>
    <t>82160</t>
  </si>
  <si>
    <t>4621255400</t>
  </si>
  <si>
    <t>Меденичі</t>
  </si>
  <si>
    <t>(03244)70551</t>
  </si>
  <si>
    <t>http://medenychi-zosh.lviv.sch.in.ua/</t>
  </si>
  <si>
    <t>Комунальний заклад Львівської обласної ради "Підбузька спеціалізована школа-інтернат мистецького профілю І-ІІІ ст. "Мала академія мистецтв ім. Е. Миська"</t>
  </si>
  <si>
    <t>82180</t>
  </si>
  <si>
    <t>4621255700</t>
  </si>
  <si>
    <t>Підбуж</t>
  </si>
  <si>
    <t>20829094</t>
  </si>
  <si>
    <t>Підбузький навчально-виховний комплекс "Загальноосвітній навчальний заклад І-ІІІ ст.-дошкільний навчальний заклад"</t>
  </si>
  <si>
    <t>вул. Церковна, 5</t>
  </si>
  <si>
    <t>Сторонянська середня загальноосвітня школа І-ІІ ст. Дрогобицького району</t>
  </si>
  <si>
    <t>4621255701</t>
  </si>
  <si>
    <t>Сторона</t>
  </si>
  <si>
    <t>вул. Лесі Українки</t>
  </si>
  <si>
    <t>0989042111</t>
  </si>
  <si>
    <t>Болехівська середня загальноосвітня школа І-ІІ ст. Дрогобицького району Львівської області</t>
  </si>
  <si>
    <t>82170</t>
  </si>
  <si>
    <t>4621280301</t>
  </si>
  <si>
    <t>Болехівці</t>
  </si>
  <si>
    <t>(0324)494635</t>
  </si>
  <si>
    <t>Броницька середня загальноосвітня школа І-ІІступенів Дрогобицького району</t>
  </si>
  <si>
    <t>82120</t>
  </si>
  <si>
    <t>4621280601</t>
  </si>
  <si>
    <t>вул. Дрогобицька, 61</t>
  </si>
  <si>
    <t>0974794538</t>
  </si>
  <si>
    <t>Бистрицька середня загальноосвітня школа І-ІІ ст. Дрогобицького району</t>
  </si>
  <si>
    <t>82122</t>
  </si>
  <si>
    <t>4621280801</t>
  </si>
  <si>
    <t>вул. І.Франка, 155</t>
  </si>
  <si>
    <t>(096)3703486</t>
  </si>
  <si>
    <t>Биківська середня загальноосвітня школа І-ІІ ступенів Дрогобицького району</t>
  </si>
  <si>
    <t>4621280802</t>
  </si>
  <si>
    <t>вул. Зелена, 25</t>
  </si>
  <si>
    <t>(03244)75190</t>
  </si>
  <si>
    <t>Новошицька середня загальноосвітня школа І ст. Дрогобицького району</t>
  </si>
  <si>
    <t>4621280805</t>
  </si>
  <si>
    <t>Новошичі</t>
  </si>
  <si>
    <t>вул. Шевченка, 110</t>
  </si>
  <si>
    <t>Ортиницька середня загальноосвітня школа І ст. Дрогобицького району</t>
  </si>
  <si>
    <t>4621280807</t>
  </si>
  <si>
    <t>Ортиничі</t>
  </si>
  <si>
    <t>(098)4571157</t>
  </si>
  <si>
    <t>Верхньогаівський навчально-виховний комплекс "Загальноосвітній навчальний заклад І-ІІ ст. - дошкільний навчальний заклад" Дрогобицького району Львівської області</t>
  </si>
  <si>
    <t>82169</t>
  </si>
  <si>
    <t>4621281001</t>
  </si>
  <si>
    <t>Верхні Гаї</t>
  </si>
  <si>
    <t>Верхньодорожівська середня загальноосвітня школа І-ІІІ ст. Дрогобицького району</t>
  </si>
  <si>
    <t>82131</t>
  </si>
  <si>
    <t>4621281201</t>
  </si>
  <si>
    <t>Верхній Дорожів</t>
  </si>
  <si>
    <t>(097)8781479</t>
  </si>
  <si>
    <t>Волощанський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</si>
  <si>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82130</t>
  </si>
  <si>
    <t>4621281501</t>
  </si>
  <si>
    <t>Волоща</t>
  </si>
  <si>
    <t>вул. Дрогобицька, 19</t>
  </si>
  <si>
    <t>0965197210</t>
  </si>
  <si>
    <t>Волянська середня загальноосвітня школа I ст. Дрогобицького району</t>
  </si>
  <si>
    <t>82134</t>
  </si>
  <si>
    <t>4621281701</t>
  </si>
  <si>
    <t>Воля Якубова</t>
  </si>
  <si>
    <t>вул. Волянська, 138</t>
  </si>
  <si>
    <t>Вороблевицька середня загальноосвітня школа І-ІІІ ст. Дрогобицького району</t>
  </si>
  <si>
    <t>82150</t>
  </si>
  <si>
    <t>4621281801</t>
  </si>
  <si>
    <t>Вороблевичі</t>
  </si>
  <si>
    <t>вул. 30-років Перемоги</t>
  </si>
  <si>
    <t>(3244)94256</t>
  </si>
  <si>
    <t>Нижньогаївський навчально-виховний комплекс "Загальноосвітній навчальний заклад І-ІІІ ст.-дошкільний навчальний заклад" Дрогобицького району Львівської області</t>
  </si>
  <si>
    <t>82168</t>
  </si>
  <si>
    <t>4621282101</t>
  </si>
  <si>
    <t>Нижні Гаї</t>
  </si>
  <si>
    <t>(067)4198027</t>
  </si>
  <si>
    <t>Гаї Бійницька середня загальноосвітня школа I ст. Дрогобицького району</t>
  </si>
  <si>
    <t>4621282102</t>
  </si>
  <si>
    <t>Бійничі</t>
  </si>
  <si>
    <t>вул. В.Николяка</t>
  </si>
  <si>
    <t>(380)677262421</t>
  </si>
  <si>
    <t>Грушівська середня загальноосвітня школа І-ІІ ст. Дрогобицького району</t>
  </si>
  <si>
    <t>82132</t>
  </si>
  <si>
    <t>4621282401</t>
  </si>
  <si>
    <t>вул. Чаповського, 73</t>
  </si>
  <si>
    <t>(380)674929767</t>
  </si>
  <si>
    <t>Грушівська середня загальноосвітня школа І-ІІІ ст. Дрогобицького району</t>
  </si>
  <si>
    <t>0972267985</t>
  </si>
  <si>
    <t>Тинівська середня загальноосвітня школа І ст. Дрогобицького району</t>
  </si>
  <si>
    <t>4621282407</t>
  </si>
  <si>
    <t>Тинів</t>
  </si>
  <si>
    <t>вул. Л. Українки, 46</t>
  </si>
  <si>
    <t>(097)5146032</t>
  </si>
  <si>
    <t>Дережицька середня загальноосвітня школа І-ІІ ст. Дрогобицького району</t>
  </si>
  <si>
    <t>82185</t>
  </si>
  <si>
    <t>4621282701</t>
  </si>
  <si>
    <t>Дережичі</t>
  </si>
  <si>
    <t>http://dereguchischooll.jimdo.com</t>
  </si>
  <si>
    <t>Добрівлянський навчально-виховний комплекс "Загально-освітній навчальний заклад І-ІІІ ст.- дошкільний навчальний заклад" Дрогобицького району Львівської області</t>
  </si>
  <si>
    <t>4621283001</t>
  </si>
  <si>
    <t>Добрівляни</t>
  </si>
  <si>
    <t>0984395904</t>
  </si>
  <si>
    <t>Доброгостівська середня загальноосвітня школа І-ІІІ ст.ім. Івана Боберського Дрогобицького району Львівської області</t>
  </si>
  <si>
    <t>82176</t>
  </si>
  <si>
    <t>4621283301</t>
  </si>
  <si>
    <t>Доброгостів</t>
  </si>
  <si>
    <t>вул. Стебницька</t>
  </si>
  <si>
    <t>0678410429, 0972447606</t>
  </si>
  <si>
    <t>Довжанський навчально-виховний комплекс "Загальноосвітній заклад Іст.-дошкільний навчальний заклад" Дрогобицького району Львівської області</t>
  </si>
  <si>
    <t>82164</t>
  </si>
  <si>
    <t>4621283601</t>
  </si>
  <si>
    <t>Залокотський навчально-виховний комплекс "Загально-освітній навчальний заклад I-II ст. - дошкільний навчальний заклад ім.Миколи Фриза" Дрогобицького району Львівської області</t>
  </si>
  <si>
    <t>82192</t>
  </si>
  <si>
    <t>4621283701</t>
  </si>
  <si>
    <t>Залокоть</t>
  </si>
  <si>
    <t>вул. Миру, 123</t>
  </si>
  <si>
    <t>Довжанський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</si>
  <si>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82195</t>
  </si>
  <si>
    <t>4621283801</t>
  </si>
  <si>
    <t>0979765845</t>
  </si>
  <si>
    <t>Комунальний заклад Львівської обласної ради "Нагуєвицька спеціальна загальноосвітня школа-інтернат І-ІІ ступенів"</t>
  </si>
  <si>
    <t>82126</t>
  </si>
  <si>
    <t>4621283901</t>
  </si>
  <si>
    <t>Нагуєвичі</t>
  </si>
  <si>
    <t>20829864</t>
  </si>
  <si>
    <t>Нагуєвицька середня загальноосвітня школа І-ІІІ ст. ім. І.Франка Дрогобицького району Львівської області</t>
  </si>
  <si>
    <t>Долішньолужецька середня загальноосвітня школа І-ІІ ст. Дрогобицького району</t>
  </si>
  <si>
    <t>82121</t>
  </si>
  <si>
    <t>4621284001</t>
  </si>
  <si>
    <t>Долішній Лужок</t>
  </si>
  <si>
    <t>вул. Лесі Українки, 132</t>
  </si>
  <si>
    <t>(94)76808</t>
  </si>
  <si>
    <t>Летнянський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</si>
  <si>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82162</t>
  </si>
  <si>
    <t>4621284301</t>
  </si>
  <si>
    <t>Летня</t>
  </si>
  <si>
    <t>вул. Богдана Хмельницького, 6</t>
  </si>
  <si>
    <t>475490, 0962642054</t>
  </si>
  <si>
    <t>Літинський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</si>
  <si>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82133</t>
  </si>
  <si>
    <t>4621284501</t>
  </si>
  <si>
    <t>Літиня</t>
  </si>
  <si>
    <t>вул. 22 січня, 25</t>
  </si>
  <si>
    <t>Лішнянський навчально-виховний комплекс "Загальноосвітній навчальний заклад І-ІІІ ст.-дошкішльний навчальний заклад" Дрогобицького району Львівської області</t>
  </si>
  <si>
    <t>82127</t>
  </si>
  <si>
    <t>4621284801</t>
  </si>
  <si>
    <t>Лішня</t>
  </si>
  <si>
    <t>вул. Івана Франка, 2</t>
  </si>
  <si>
    <t>(03244)476432</t>
  </si>
  <si>
    <t>Монастир-Лішнянська середня загальноосвітня школа І ст. Дрогобицького району</t>
  </si>
  <si>
    <t>4621284803</t>
  </si>
  <si>
    <t>Монастир-Лішнянський</t>
  </si>
  <si>
    <t>вул. Медвежанська, 41</t>
  </si>
  <si>
    <t>Модрицький навчально-виховний комплекс "Загальноосвітній навчальний заклад І-ІІІ ступенів-дошкільний навчальний заклад" Дрогобицького району Львівської області</t>
  </si>
  <si>
    <t>82186</t>
  </si>
  <si>
    <t>4621284947</t>
  </si>
  <si>
    <t>Модричі</t>
  </si>
  <si>
    <t>Медвежанський навчально-виховний комплекс "Загальноосвітній навчальний заклад І-ІІ ступенів-дошкільний навчальний заклад" ім.М.Біласа</t>
  </si>
  <si>
    <t>82129</t>
  </si>
  <si>
    <t>4621285001</t>
  </si>
  <si>
    <t>вул. Долішня, 2</t>
  </si>
  <si>
    <t>(3803244)77716</t>
  </si>
  <si>
    <t>Новокропивницький навчально-виховний комплекс "Загальноосвітній навчальний заклад І-ІІІ ст.- дошкільний навчальний заклад" Дрогобицького району Львівської області</t>
  </si>
  <si>
    <t>82194</t>
  </si>
  <si>
    <t>4621285101</t>
  </si>
  <si>
    <t>Новий Кропивник</t>
  </si>
  <si>
    <t>вул. Довбуша, 133</t>
  </si>
  <si>
    <t>(032)4474327</t>
  </si>
  <si>
    <t>Опаківський навчально-виховний комплекс "Загальноосвітній навчальний заклад Іі-ІІІст.-дошкільний навчальний заклад" Дрогобицького району Львівської області</t>
  </si>
  <si>
    <t>82191</t>
  </si>
  <si>
    <t>4621285401</t>
  </si>
  <si>
    <t>Опака</t>
  </si>
  <si>
    <t>вул. Шевченка, 240</t>
  </si>
  <si>
    <t>0324471324</t>
  </si>
  <si>
    <t>Опарівський навчально-виховний комплекс "Загальноосвітній навчальний заклад І-ІІ ст. дошкільний навчальний заклад" Дрогобицького району Львівської області</t>
  </si>
  <si>
    <t>4621285701</t>
  </si>
  <si>
    <t>Опори</t>
  </si>
  <si>
    <t>(03244)78346</t>
  </si>
  <si>
    <t>Попелівський навчально-виховний комплекс "Загальноосвітній навчальний заклад І-ІІІ ступенів-дошкільний навчальний заклад"</t>
  </si>
  <si>
    <t>82184</t>
  </si>
  <si>
    <t>4621285901</t>
  </si>
  <si>
    <t>Попелі</t>
  </si>
  <si>
    <t>вул. Сонячна, 35</t>
  </si>
  <si>
    <t>(03248)49200</t>
  </si>
  <si>
    <t>http://popelischool.ucoz.com</t>
  </si>
  <si>
    <t>Ролівська середня загальноосвітня школа І-ІІ ст.Дрогобицького району Львівської області</t>
  </si>
  <si>
    <t>82135</t>
  </si>
  <si>
    <t>4621286201</t>
  </si>
  <si>
    <t>Ролів</t>
  </si>
  <si>
    <t>(097)4821890</t>
  </si>
  <si>
    <t>Рихтицька середня загальноосвітня школа І-ІІІ ст. Дрогобицького району</t>
  </si>
  <si>
    <t>82151</t>
  </si>
  <si>
    <t>4621286301</t>
  </si>
  <si>
    <t>Рихтичі</t>
  </si>
  <si>
    <t>(03244)91285</t>
  </si>
  <si>
    <t>Ріпчицька середня загальноосвітня школа І ст. Дрогобицького району</t>
  </si>
  <si>
    <t>82165</t>
  </si>
  <si>
    <t>4621286401</t>
  </si>
  <si>
    <t>Ріпчиці</t>
  </si>
  <si>
    <t>(068)0356754</t>
  </si>
  <si>
    <t>Майданська середня загальноосвітня школа І ст. Дрогобицького району</t>
  </si>
  <si>
    <t>4621286540</t>
  </si>
  <si>
    <t>(097)1194604</t>
  </si>
  <si>
    <t>Рибницька середня загальноосвітня школа І-ІІ ст.</t>
  </si>
  <si>
    <t>4621286566</t>
  </si>
  <si>
    <t>Рибник</t>
  </si>
  <si>
    <t>вул. Завирська, 5</t>
  </si>
  <si>
    <t>(244)474542</t>
  </si>
  <si>
    <t>Смільнянська середня загальноосвітня школа І-ІІ ст. Дрогобицького району Львівської області</t>
  </si>
  <si>
    <t>82190</t>
  </si>
  <si>
    <t>4621286601</t>
  </si>
  <si>
    <t>Смільна</t>
  </si>
  <si>
    <t>Снятинський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</si>
  <si>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82155</t>
  </si>
  <si>
    <t>4621286801</t>
  </si>
  <si>
    <t>Снятинка</t>
  </si>
  <si>
    <t>0977494472</t>
  </si>
  <si>
    <t>Залужанська середня загальноосвітня школа I ступеня Дрогобицького району Львівської області</t>
  </si>
  <si>
    <t>82152</t>
  </si>
  <si>
    <t>4621286802</t>
  </si>
  <si>
    <t>Залужани</t>
  </si>
  <si>
    <t>вул. Верховина, 105</t>
  </si>
  <si>
    <t>Старосільська середня загальноосвітня школа І ст. Дрогобицького району</t>
  </si>
  <si>
    <t>82154</t>
  </si>
  <si>
    <t>4621286805</t>
  </si>
  <si>
    <t>Старе Село</t>
  </si>
  <si>
    <t>(068)0443579</t>
  </si>
  <si>
    <t>Солонська середня загальноосвітня школа І-ІІ ст. Дрогобицького району</t>
  </si>
  <si>
    <t>82166</t>
  </si>
  <si>
    <t>4621287201</t>
  </si>
  <si>
    <t>Солонське</t>
  </si>
  <si>
    <t>(03244)94523</t>
  </si>
  <si>
    <t>Далявська середня загальноосвітня школа І ст</t>
  </si>
  <si>
    <t>4621287202</t>
  </si>
  <si>
    <t>Далява</t>
  </si>
  <si>
    <t>(098)0225312</t>
  </si>
  <si>
    <t>Станильський навчально - виховний комплекс "загальноосвітній навчальний заклад Іст. - дошкільний навчальний заклад"</t>
  </si>
  <si>
    <t>82183</t>
  </si>
  <si>
    <t>4621287401</t>
  </si>
  <si>
    <t>Станиля</t>
  </si>
  <si>
    <t>Старокропивницький навчально-виховний комплекс "Загальноосвітній навчальний заклад І-ІІ ст.-Дошкільний начальний заклад" Дрогобицького району, Львівської області</t>
  </si>
  <si>
    <t>82193</t>
  </si>
  <si>
    <t>4621287501</t>
  </si>
  <si>
    <t>Старий Кропивник</t>
  </si>
  <si>
    <t>вул. Першотравнева, 47А</t>
  </si>
  <si>
    <t>(096)9887986</t>
  </si>
  <si>
    <t>Ступницька середня загальноосвітня школа І-ІІ ступенів Дрогобицького району</t>
  </si>
  <si>
    <t>82123</t>
  </si>
  <si>
    <t>4621287801</t>
  </si>
  <si>
    <t>Ступниця</t>
  </si>
  <si>
    <t>вул. Дрогобицька, 14</t>
  </si>
  <si>
    <t>(096)6552634</t>
  </si>
  <si>
    <t>Сілецька середня загальноосвітня школа І ст. Дрогобицького району</t>
  </si>
  <si>
    <t>4621287803</t>
  </si>
  <si>
    <t>Уличненська середня загальноосвітня школа І-ІІІ ст. Дрогобицького району</t>
  </si>
  <si>
    <t>82177</t>
  </si>
  <si>
    <t>4621288201</t>
  </si>
  <si>
    <t>Уличне</t>
  </si>
  <si>
    <t>вул. Прикарпатська, 3</t>
  </si>
  <si>
    <t>0324497095</t>
  </si>
  <si>
    <t>Унятицький навчально-виховний комплекс "Загальноосвітній навчальний заклад І-ІІст.-дошкільний навчальний заклад" Дрогобицького району Львівської області</t>
  </si>
  <si>
    <t>82128</t>
  </si>
  <si>
    <t>4621288401</t>
  </si>
  <si>
    <t>Унятичі</t>
  </si>
  <si>
    <t>вул. І. Франка, 50</t>
  </si>
  <si>
    <t>496630</t>
  </si>
  <si>
    <t>Урізький навчально-виховний комплекс "Загальноосвітній навчальний заклад І-ІІІ ст.-дошкільний навчальний заклад" Дрогобицького району Львівської області</t>
  </si>
  <si>
    <t>82124</t>
  </si>
  <si>
    <t>4621288601</t>
  </si>
  <si>
    <t>Уріж</t>
  </si>
  <si>
    <t>(471)791, (38)0678342908</t>
  </si>
  <si>
    <t>Винниківська середня загальноосвітня школа І ст. Дрогобицького району</t>
  </si>
  <si>
    <t>82125</t>
  </si>
  <si>
    <t>4621288602</t>
  </si>
  <si>
    <t>вул. Берегова</t>
  </si>
  <si>
    <t>Мокрянська середня загальноосвітня школа I ст. Дрогобицького району Львівської області</t>
  </si>
  <si>
    <t>4621288603</t>
  </si>
  <si>
    <t>Мокряни</t>
  </si>
  <si>
    <t>Підмонастирецька середня загальноосвітня школа І ст. Дрогобицького району</t>
  </si>
  <si>
    <t>4621288605</t>
  </si>
  <si>
    <t>Підмонастирок</t>
  </si>
  <si>
    <t>Ясенице-Сільнянський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</si>
  <si>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4621288901</t>
  </si>
  <si>
    <t>Ясениця-Сільна</t>
  </si>
  <si>
    <t>вул. Шевченка, 12, а</t>
  </si>
  <si>
    <t>(244)78224</t>
  </si>
  <si>
    <t>Михайлевицька середня загальноосвітня школа І-ІІ ст. Дрогобицького району</t>
  </si>
  <si>
    <t>82153</t>
  </si>
  <si>
    <t>4621289001</t>
  </si>
  <si>
    <t>Михайлевичі</t>
  </si>
  <si>
    <t>вул. Дрогобицька, 23</t>
  </si>
  <si>
    <t>(03244)91217</t>
  </si>
  <si>
    <t>Опорний заклад та його філії "Жидачівська загальноосвітя школа I-III ступенів № 2" Жидачівської районної ради Львівської області</t>
  </si>
  <si>
    <t>81700</t>
  </si>
  <si>
    <t>4621510100</t>
  </si>
  <si>
    <t>Жидачів</t>
  </si>
  <si>
    <t>вул. Грушевського, 38</t>
  </si>
  <si>
    <t>(03239)31949</t>
  </si>
  <si>
    <t>Жидачівський навчально-виховний комплекс "загальноосвітній навчальний заклад - дошкільний навчальний заклад"</t>
  </si>
  <si>
    <t>Жидачівський навчально-виховний комплекс "Початкова школа - гімназія ім. О. Партицького"</t>
  </si>
  <si>
    <t>вул. І. Франка, 7</t>
  </si>
  <si>
    <t>(03239)31375</t>
  </si>
  <si>
    <t>Комунальний навчальний заклад Ходорівської міської ради Львівської області Загальноосвітня школа І-ІІІ ступенів № 1, м.Ходорів</t>
  </si>
  <si>
    <t>81750</t>
  </si>
  <si>
    <t>4621510500</t>
  </si>
  <si>
    <t>Ходорів</t>
  </si>
  <si>
    <t>(03239)53889</t>
  </si>
  <si>
    <t>Комунальний навчальний заклад Ходорівської міської ради Львівської області загальноосвітня школа І- ІІІ ступенів № 2 м.Ходорів</t>
  </si>
  <si>
    <t>вул. Замкова, 1</t>
  </si>
  <si>
    <t>(03239)53421</t>
  </si>
  <si>
    <t>Комунальний навчальний заклад Ходорівської міської ради Львівської області загальноосвітня школа І-ІІІ ступенів № 3 імені Героя України Романа Точина м. Ходорів</t>
  </si>
  <si>
    <t>(03239)53559</t>
  </si>
  <si>
    <t>Гніздичівська загальноосвітня школа І - ІІІ ступенів Гніздичівської селишної ради.</t>
  </si>
  <si>
    <t>81740</t>
  </si>
  <si>
    <t>4621555300</t>
  </si>
  <si>
    <t>Гніздичів</t>
  </si>
  <si>
    <t>(03239)48-879</t>
  </si>
  <si>
    <t>Гніздичівська загальноосвітня школа І ступеня Гніздичівської селищної ради</t>
  </si>
  <si>
    <t>вул. Садова, 7</t>
  </si>
  <si>
    <t>0979850564</t>
  </si>
  <si>
    <t>Покрівецька загальноосвітня школа І-ІІступеня Гніздичівська селищна рада Львівська область</t>
  </si>
  <si>
    <t>81742</t>
  </si>
  <si>
    <t>4621555302</t>
  </si>
  <si>
    <t>Покрівці</t>
  </si>
  <si>
    <t>вул. Івана Франка, 96</t>
  </si>
  <si>
    <t>380679277318</t>
  </si>
  <si>
    <t>Комунальний заклад Львівська обласна рада обласний дитячий протитуберкульозний санаторій Журавно</t>
  </si>
  <si>
    <t>81784</t>
  </si>
  <si>
    <t>4621555600</t>
  </si>
  <si>
    <t>Журавно</t>
  </si>
  <si>
    <t>ал. вулиця Зелена, 2</t>
  </si>
  <si>
    <t>(0239)45440</t>
  </si>
  <si>
    <t>20760931</t>
  </si>
  <si>
    <t>Опорний заклад та його філія Журавнівський навчально-виховний комплекс"середня загальноосвітня школа-ліцей" Жидачівського району, Львівської області</t>
  </si>
  <si>
    <t>81780</t>
  </si>
  <si>
    <t>вул. Валова, 13</t>
  </si>
  <si>
    <t>(0239)72495</t>
  </si>
  <si>
    <t>Новошинська загальноосвітня школа І-ІІ ступенів Жидачівський район Львівська область</t>
  </si>
  <si>
    <t>81782</t>
  </si>
  <si>
    <t>4621555601</t>
  </si>
  <si>
    <t>Новошини</t>
  </si>
  <si>
    <t>ал. Шевченка, 45</t>
  </si>
  <si>
    <t>Новострілищанська загальноосвітня школа І-ІІІ ступенів Новострілищанська селищна рада Жидачівський рацон Львівська область</t>
  </si>
  <si>
    <t>81714</t>
  </si>
  <si>
    <t>4621555900</t>
  </si>
  <si>
    <t>Нові Стрілища</t>
  </si>
  <si>
    <t>(03239)69160</t>
  </si>
  <si>
    <t>Баківсько-Квітневий навчально-виховний комплекс "загальноосвітній навчальний заклад I-II ступенів - дошкільний навчальний заклад"</t>
  </si>
  <si>
    <t>81712</t>
  </si>
  <si>
    <t>4621580303</t>
  </si>
  <si>
    <t>вул. 1 Травня, 36</t>
  </si>
  <si>
    <t>0963823751</t>
  </si>
  <si>
    <t>Бережницька середня загальноосвітня школа I - III ступенів</t>
  </si>
  <si>
    <t>81743</t>
  </si>
  <si>
    <t>4621580601</t>
  </si>
  <si>
    <t>вул. Дорошенка, 22</t>
  </si>
  <si>
    <t>(03239)46160</t>
  </si>
  <si>
    <t>Журавківська загальноосвітня школа 1 ступеня, Жтдачівського району. Львівської області</t>
  </si>
  <si>
    <t>4621580602</t>
  </si>
  <si>
    <t>Журавків</t>
  </si>
  <si>
    <t>вул. Лісна, 37А</t>
  </si>
  <si>
    <t>Заболотівецька загальноосвітня школа І-ІІ ступенів Жидачівського району Львівської області</t>
  </si>
  <si>
    <t>81744</t>
  </si>
  <si>
    <t>4621580603</t>
  </si>
  <si>
    <t>Заболотівці</t>
  </si>
  <si>
    <t>вул. Миру, 94</t>
  </si>
  <si>
    <t>0982580994</t>
  </si>
  <si>
    <t>Рогізненська загальноосвітня школа І - ІІ ступенів Жидачівської районної ради Львівської області</t>
  </si>
  <si>
    <t>81745</t>
  </si>
  <si>
    <t>4621580605</t>
  </si>
  <si>
    <t>Рогізно</t>
  </si>
  <si>
    <t>вул. Л. Українки, 74 а</t>
  </si>
  <si>
    <t>(03239)44524</t>
  </si>
  <si>
    <t>Комунальний навчальний заклад Ходорівської міської ради Львівської області загальноосвітня школа І-ІІІ ступенів № 4 с. Бортники імені Золотаря</t>
  </si>
  <si>
    <t>81763</t>
  </si>
  <si>
    <t>4621581201</t>
  </si>
  <si>
    <t>ал. Івана Франка, 51</t>
  </si>
  <si>
    <t>(3255)311643</t>
  </si>
  <si>
    <t>Приватна середня загальноосвітня школа " Школа імені Святих Бориса і Гліба"</t>
  </si>
  <si>
    <t>вул. І.Франка, 49</t>
  </si>
  <si>
    <t>Комунальний навчальний заклад Ходорівської міської ради виконавчого комітету загальноосвітня школа І ступеня № 13 с. Вербиця</t>
  </si>
  <si>
    <t>81760</t>
  </si>
  <si>
    <t>4621581501</t>
  </si>
  <si>
    <t>Вербиця</t>
  </si>
  <si>
    <t>0969934310</t>
  </si>
  <si>
    <t>Комунальний навчальний заклад Ходорівської міської ради Львівської області загальноосвітня школа І - ІІ ступенів № 14 с. Вовчатичі</t>
  </si>
  <si>
    <t>81761</t>
  </si>
  <si>
    <t>4621581502</t>
  </si>
  <si>
    <t>Вовчатичі</t>
  </si>
  <si>
    <t>0962175428</t>
  </si>
  <si>
    <t>Комунальний навчальний заклад Ходорівської міської ради Львівської області загальноосвітня школа № 20 с.Сугрів</t>
  </si>
  <si>
    <t>81762</t>
  </si>
  <si>
    <t>4621581504</t>
  </si>
  <si>
    <t>Сугрів</t>
  </si>
  <si>
    <t>Комунальний навчальний заклад Ходорівської міської ради Львівської області загальноосвітня школа І-ІІІ ступенів № 8 с.Вибранівка</t>
  </si>
  <si>
    <t>81710</t>
  </si>
  <si>
    <t>4621581801</t>
  </si>
  <si>
    <t>Вибранівка</t>
  </si>
  <si>
    <t>0973706769</t>
  </si>
  <si>
    <t>Комунальний навчальний заклад Ходорівської міської ради Львівської області загальноосвітня школа І-ІІІ ступінів № 5 с. Грусятичі</t>
  </si>
  <si>
    <t>81717</t>
  </si>
  <si>
    <t>4621582101</t>
  </si>
  <si>
    <t>Грусятичі</t>
  </si>
  <si>
    <t>(03239)61236</t>
  </si>
  <si>
    <t>Загальноосвітня школа І-ІІступенів с.Ліщин</t>
  </si>
  <si>
    <t>81718</t>
  </si>
  <si>
    <t>4621582102</t>
  </si>
  <si>
    <t>Ліщини</t>
  </si>
  <si>
    <t>вул. Зелена, 6</t>
  </si>
  <si>
    <t>(098)7857566</t>
  </si>
  <si>
    <t>Комунальний навчальний заклад Ходорівської міської ради Львівської області загальноосвітня школа І-ІІІ ступенів № 6 с. Дев'ятники</t>
  </si>
  <si>
    <t>81711</t>
  </si>
  <si>
    <t>4621582401</t>
  </si>
  <si>
    <t>Дев'ятники</t>
  </si>
  <si>
    <t>(03239)62495</t>
  </si>
  <si>
    <t>Комунальний навчальний заклад Ходорівської міської ради Львівської області загальноосвітня школа І-ІІ ступенів № 7 с.Жирова</t>
  </si>
  <si>
    <t>81726</t>
  </si>
  <si>
    <t>4621582701</t>
  </si>
  <si>
    <t>Жирова</t>
  </si>
  <si>
    <t>вул. Коваленка, 3</t>
  </si>
  <si>
    <t>0975889328</t>
  </si>
  <si>
    <t>КОМУНАЛЬНИЙ НАВЧАЛЬНИЙ ЗАКЛАД ХОДОРІВСЬКОЇ МІСЬКОЇ РАДИ ЛЬВІВСЬКОЇ ОБЛАСТІ ЗАГАЛЬНООСВІТНЯ ШКОЛА № 15 С. ГОРОДИЩЕ</t>
  </si>
  <si>
    <t>81727</t>
  </si>
  <si>
    <t>4621582703</t>
  </si>
  <si>
    <t>вул. ПЕРЕМОГИ, 18</t>
  </si>
  <si>
    <t>(03239)55312</t>
  </si>
  <si>
    <t>Комунальний навчальний заклад виконавчого комітету Ходорівської міської ради Львівської області загальноосвітня школа І-ІІ ступенів № 21 с. Заліски</t>
  </si>
  <si>
    <t>81728</t>
  </si>
  <si>
    <t>4621582704</t>
  </si>
  <si>
    <t>Заліски</t>
  </si>
  <si>
    <t>вул. Л. Українки, 23</t>
  </si>
  <si>
    <t>0962915724</t>
  </si>
  <si>
    <t>Комунальний навчальний заклад Ходорівської міської ради Львівської області загальноосвітня школа І-ІІ ст. № 22 с. Загірочко</t>
  </si>
  <si>
    <t>81754</t>
  </si>
  <si>
    <t>4621583001</t>
  </si>
  <si>
    <t>Загірочко</t>
  </si>
  <si>
    <t>0964612388</t>
  </si>
  <si>
    <t>Комунальний навчальний заклад Ходорівської міської ради Львівсбкої області загальноосвітня школа І ступеня № 25 с. Добрівляни</t>
  </si>
  <si>
    <t>81152</t>
  </si>
  <si>
    <t>4621583002</t>
  </si>
  <si>
    <t>Зарічанська загальноосвітня школа І-ІІ ступеня</t>
  </si>
  <si>
    <t>81730</t>
  </si>
  <si>
    <t>4621583301</t>
  </si>
  <si>
    <t>вул. Січових Стрільців, 19</t>
  </si>
  <si>
    <t>(239)34240</t>
  </si>
  <si>
    <t>Дем'янко-Ліснянська загальноосвітня школа І ступеня Жидачівського району Львівської області</t>
  </si>
  <si>
    <t>81731</t>
  </si>
  <si>
    <t>4621583302</t>
  </si>
  <si>
    <t>Дем'янка-Лісна</t>
  </si>
  <si>
    <t>(098)2583180</t>
  </si>
  <si>
    <t>Межирічанська загальноосвітня школа І-ІІ ступенів Жидачівського району Львівської області</t>
  </si>
  <si>
    <t>81732</t>
  </si>
  <si>
    <t>4621583304</t>
  </si>
  <si>
    <t>Межиріччя</t>
  </si>
  <si>
    <t>ал. шевченка, 37</t>
  </si>
  <si>
    <t>45-726</t>
  </si>
  <si>
    <t>Лисківський навчально-виховний комплекс загальноосвітній навчальний заклад-дошкільний навчальний заклад Жидачівсько районно ради Львівсько області</t>
  </si>
  <si>
    <t>81796</t>
  </si>
  <si>
    <t>4621583604</t>
  </si>
  <si>
    <t>Лисків</t>
  </si>
  <si>
    <t>ал. Й.Ключика, 17</t>
  </si>
  <si>
    <t>(0239)71160</t>
  </si>
  <si>
    <t>Комунальний заклад Львіської обласної ради "Лівчицька спеціальна загальноосвітня школа інтернат І-ІІ ступенів"</t>
  </si>
  <si>
    <t>81771</t>
  </si>
  <si>
    <t>4621584201</t>
  </si>
  <si>
    <t>Лівчиці</t>
  </si>
  <si>
    <t>вул. Т.Шевченка, 13</t>
  </si>
  <si>
    <t>(03239)41187</t>
  </si>
  <si>
    <t>22351964</t>
  </si>
  <si>
    <t>Лівчицька загальноосвітня школа І-ІІ ступенів Гніздичівської селищної ради</t>
  </si>
  <si>
    <t>0968655240</t>
  </si>
  <si>
    <t>Любшанська загальноосвітня школа І-ІІ ступенів Жидачівського району Львівської області</t>
  </si>
  <si>
    <t>81776</t>
  </si>
  <si>
    <t>4621584401</t>
  </si>
  <si>
    <t>(0239)71595</t>
  </si>
  <si>
    <t>Антонівський навчально-виховний комплекс " Загальноосвітній навчальний заклад-дошкільний навчальний заклад " Жидачівського району Львівської області</t>
  </si>
  <si>
    <t>4621584402</t>
  </si>
  <si>
    <t>ал. вул І.Франка, 75</t>
  </si>
  <si>
    <t>(03239)71511</t>
  </si>
  <si>
    <t>Мельницька загальноосвітня школа І ступеня Жидачівського району Львівської області</t>
  </si>
  <si>
    <t>81785</t>
  </si>
  <si>
    <t>4621584701</t>
  </si>
  <si>
    <t>Мельнич</t>
  </si>
  <si>
    <t>вул. Смердова, 4</t>
  </si>
  <si>
    <t>(0239)74718</t>
  </si>
  <si>
    <t>Буянівська загальноосвітня школа І-ІІ ступенів Жидачівської районної ради Львівської області</t>
  </si>
  <si>
    <t>81792</t>
  </si>
  <si>
    <t>4621584702</t>
  </si>
  <si>
    <t>Буянів</t>
  </si>
  <si>
    <t>ал. Лесі Українки, 4</t>
  </si>
  <si>
    <t>0969684545</t>
  </si>
  <si>
    <t>Млиниський навчально-виховний комплекс "Загальноосвітній навчальний заклад - дошкільний навчальний заклад"</t>
  </si>
  <si>
    <t>81772</t>
  </si>
  <si>
    <t>4621584901</t>
  </si>
  <si>
    <t>Млиниська</t>
  </si>
  <si>
    <t>(0239)76295</t>
  </si>
  <si>
    <t>Комунальний навчальний заклад Ходорівської міської ради Львівської області загальноосвітня школа I-II ступенів № 18 с.Новосільці</t>
  </si>
  <si>
    <t>81765</t>
  </si>
  <si>
    <t>4621585002</t>
  </si>
  <si>
    <t>Новосільці</t>
  </si>
  <si>
    <t>вул. С.Бандери, 5</t>
  </si>
  <si>
    <t>0986164852</t>
  </si>
  <si>
    <t>Монастирецький навчально-виховний комплекс "Загальноосвітній навчальний заклад - дошкільний навчальний заклад" ім.Володимира Поповича Жидачівської районної ради Львівської області</t>
  </si>
  <si>
    <t>4621585301</t>
  </si>
  <si>
    <t>ал. центральна, 1</t>
  </si>
  <si>
    <t>0974341494, 0969684545</t>
  </si>
  <si>
    <t>Которинська загальноосвітня школа І ступеня Жидачівського району Львівської області</t>
  </si>
  <si>
    <t>4621585302</t>
  </si>
  <si>
    <t>Которини</t>
  </si>
  <si>
    <t>вул. Зелена, 4</t>
  </si>
  <si>
    <t>(0239)75203</t>
  </si>
  <si>
    <t>Протесівська загальноосвітня школа I-II ступенів Жидачівського району,Львівської області</t>
  </si>
  <si>
    <t>27393</t>
  </si>
  <si>
    <t>4621585303</t>
  </si>
  <si>
    <t>Протеси</t>
  </si>
  <si>
    <t>вул. садова, 35</t>
  </si>
  <si>
    <t>(067)7984288</t>
  </si>
  <si>
    <t>Старосільська загальноосвітня школа І ступеня</t>
  </si>
  <si>
    <t>4621585304</t>
  </si>
  <si>
    <t>ал. Б. Хмельницького, 19</t>
  </si>
  <si>
    <t>380680120977</t>
  </si>
  <si>
    <t>Новосільська загальноосвітня школа І-ІІ ступенів</t>
  </si>
  <si>
    <t>81774</t>
  </si>
  <si>
    <t>4621585607</t>
  </si>
  <si>
    <t>вул. Шевченка, 107</t>
  </si>
  <si>
    <t>(097)3817107</t>
  </si>
  <si>
    <t>Волице - Гніздичівська загальноосвітня школа I - II ступенів Жидачівського району, Львівської області</t>
  </si>
  <si>
    <t>81733</t>
  </si>
  <si>
    <t>4621585902</t>
  </si>
  <si>
    <t>Волиця-Гніздичівська</t>
  </si>
  <si>
    <t>(096)4658487</t>
  </si>
  <si>
    <t>Іванівцівська загальноосвітня школа І ступеня Жидачівського району Львівської області</t>
  </si>
  <si>
    <t>4621585903</t>
  </si>
  <si>
    <t>Пчанська загальноосвітня школа І ступеня Жидачівського району Львівської області</t>
  </si>
  <si>
    <t>81734</t>
  </si>
  <si>
    <t>4621585904</t>
  </si>
  <si>
    <t>Пчани</t>
  </si>
  <si>
    <t>вул. Шашкевича, 5</t>
  </si>
  <si>
    <t>(03239)44394</t>
  </si>
  <si>
    <t>Тейсарівська загальноосвітня школа І-ІІ ступенів Жидачівської районної ради Львівської області</t>
  </si>
  <si>
    <t>81736</t>
  </si>
  <si>
    <t>4621585910</t>
  </si>
  <si>
    <t>Тейсарів</t>
  </si>
  <si>
    <t>вул. Коновальця, 1</t>
  </si>
  <si>
    <t>(03239)46391</t>
  </si>
  <si>
    <t>Турадівська загальноосвітня школа І ступеня Жидачівського району Львівської області</t>
  </si>
  <si>
    <t>4621585913</t>
  </si>
  <si>
    <t>Туради</t>
  </si>
  <si>
    <t>(03239)41432</t>
  </si>
  <si>
    <t>Комунальний навчальний заклад Ходорівської міської ради Львівської області загальоосвітня школа I-II ступенів № 9 с. Отиневичі</t>
  </si>
  <si>
    <t>81724</t>
  </si>
  <si>
    <t>4621587201</t>
  </si>
  <si>
    <t>Отиневичі</t>
  </si>
  <si>
    <t>пл. Свободи, 2</t>
  </si>
  <si>
    <t>0679457100</t>
  </si>
  <si>
    <t>Комунальний навчальний заклад Ходорівської міської ради загальноосвітня школа І ступеня № 24 с. Городищенське</t>
  </si>
  <si>
    <t>4621587202</t>
  </si>
  <si>
    <t>Городищенське</t>
  </si>
  <si>
    <t>0989032792</t>
  </si>
  <si>
    <t>Комунальний навчальний заклад Ходорівської міської ради Львівської області. Загальноосвітня школа І-ІІ ступенів № 16 с. Дуліби</t>
  </si>
  <si>
    <t>81725</t>
  </si>
  <si>
    <t>4621587203</t>
  </si>
  <si>
    <t>0974058164</t>
  </si>
  <si>
    <t>КОМУНАЛЬНИЙ НАВЧАЛЬНО-ВИХОВНИЙ КОМПЛЕКС "ЗАГАЛЬНООСВІТНІЙ НАВЧАЛЬНИЙ ЗАКЛАД-ДОШКІЛЬНИЙ НАВЧАЛЬНИЙ ЗАКЛАД" ХОДОРІВСЬКОЇ МІСЬКОЇ РАДИ ЛЬВІВСЬКОЇ ОБЛАСТІ № 10 ІМЕНІ БРАТІВ ОЛІЙНИКІВ С. ПІДДНІСТРЯНИ</t>
  </si>
  <si>
    <t>81722</t>
  </si>
  <si>
    <t>4621587501</t>
  </si>
  <si>
    <t>Піддністряни</t>
  </si>
  <si>
    <t>вул. Ходорівська, 5</t>
  </si>
  <si>
    <t>(56)636</t>
  </si>
  <si>
    <t>Комунальний навчально - виховний комплекс "Загальноосвітній навчальний заклад - дошкільний навчальний заклад" Ходорівської міської ради Львівської області № 23 с.Кам'яне</t>
  </si>
  <si>
    <t>81723</t>
  </si>
  <si>
    <t>4621587502</t>
  </si>
  <si>
    <t>вул. Ходорівська, 54А</t>
  </si>
  <si>
    <t>(0239)56659, (38)0678406527</t>
  </si>
  <si>
    <t>Комунальний навчальний заклад Ходорівської міської ради Львівської області загальноосвітня школа І ступеня № 19 с. Рудківці</t>
  </si>
  <si>
    <t>4621587503</t>
  </si>
  <si>
    <t>Рудківці</t>
  </si>
  <si>
    <t>Володимирцівська загальноосвітня школа І-ІІ ступенів Жидачівського району Львівської області</t>
  </si>
  <si>
    <t>4621587801</t>
  </si>
  <si>
    <t>Володимирці</t>
  </si>
  <si>
    <t>(0239)72638</t>
  </si>
  <si>
    <t>Подорожненська загальноосвітня школа І-ІІ ступенів Жидачівський район Львівська область</t>
  </si>
  <si>
    <t>4621587804</t>
  </si>
  <si>
    <t>вул. Головатого, 1</t>
  </si>
  <si>
    <t>(38097)2490409</t>
  </si>
  <si>
    <t>Рудянська загальноосвітня школа І-ІІІ ступенів Гніздичівської селищної ради</t>
  </si>
  <si>
    <t>81770</t>
  </si>
  <si>
    <t>4621588101</t>
  </si>
  <si>
    <t>(068)0120968</t>
  </si>
  <si>
    <t>Сулятицька середня загальноосвітня школа І - ІІІ ст</t>
  </si>
  <si>
    <t>81791</t>
  </si>
  <si>
    <t>4621588303</t>
  </si>
  <si>
    <t>Сулятичі</t>
  </si>
  <si>
    <t>(067)7433853</t>
  </si>
  <si>
    <t>Соколівська загальноосвітня школа І-ІІ ступеня Жидачівської районної ради Львівської області</t>
  </si>
  <si>
    <t>81713</t>
  </si>
  <si>
    <t>4621588501</t>
  </si>
  <si>
    <t>(097)4083246</t>
  </si>
  <si>
    <t>Комунальний навчально-виховний комплекс "Загальноосвітній навчальний заклад-дошкільний навчальний заклад" Ходорівської міської ради Львівської області № 11 с. Чорний Острів</t>
  </si>
  <si>
    <t>81720</t>
  </si>
  <si>
    <t>4621589101</t>
  </si>
  <si>
    <t>Чорний Острів</t>
  </si>
  <si>
    <t>вул. Галицька, 84</t>
  </si>
  <si>
    <t>0685172090</t>
  </si>
  <si>
    <t>Комунальний навчальний заклад Ходорівської міської ради Львівської області загальноосвітня школа І-ІІ ступенів № 12 с.Бориничі</t>
  </si>
  <si>
    <t>81721</t>
  </si>
  <si>
    <t>4621589102</t>
  </si>
  <si>
    <t>Бориничі</t>
  </si>
  <si>
    <t>ал. Сагайдачного, 47</t>
  </si>
  <si>
    <t>0684291358</t>
  </si>
  <si>
    <t>Чертізька загальноосвітня школа І ступеня, Жидачівського району, Львівської області</t>
  </si>
  <si>
    <t>81798</t>
  </si>
  <si>
    <t>4621589201</t>
  </si>
  <si>
    <t>Чертіж</t>
  </si>
  <si>
    <t>вул. Цетральна, 83</t>
  </si>
  <si>
    <t>(0239)75105</t>
  </si>
  <si>
    <t>Дубравська загальноосвітня школа І ступеня Жидачівського району Львівської області</t>
  </si>
  <si>
    <t>81795</t>
  </si>
  <si>
    <t>4621589202</t>
  </si>
  <si>
    <t>Дубравка</t>
  </si>
  <si>
    <t>вул. Чорновола, 11</t>
  </si>
  <si>
    <t>(3239)25119</t>
  </si>
  <si>
    <t>Золочівська загальноосвітня школа І-ІІІ ступенів № 2 імені Маркіяна Шашкевича</t>
  </si>
  <si>
    <t>80700</t>
  </si>
  <si>
    <t>4621810100</t>
  </si>
  <si>
    <t>Золочів</t>
  </si>
  <si>
    <t>вул. СІчових Стрільців, 2</t>
  </si>
  <si>
    <t>(03265)42003</t>
  </si>
  <si>
    <t>Золочівська загальноосвітня школа І-ІІІ ступенів № 1 імені Степана Тудора Золочівської районної ради Львівської області</t>
  </si>
  <si>
    <t>вул. Чайковського, 4А</t>
  </si>
  <si>
    <t>(03265)42595</t>
  </si>
  <si>
    <t>https://sites.google.com/site/zolschn1</t>
  </si>
  <si>
    <t>Золочівська загальноосвітня школа І-ІІІ ступенів № 3 Золочівської районної ради Львівської області</t>
  </si>
  <si>
    <t>б-р Сковороди, 7</t>
  </si>
  <si>
    <t>(03265)42272, (03265)42202</t>
  </si>
  <si>
    <t>http://zolochiv-school3.edukit.lviv.ua</t>
  </si>
  <si>
    <t>Золочівська загальноосвітня школа І-ІІІ ступенів № 4 Золочівської районної ради Львівської області</t>
  </si>
  <si>
    <t>вул. Ак.Павлова, 68</t>
  </si>
  <si>
    <t>(265)42041</t>
  </si>
  <si>
    <t>Золочівський економічний ліцей Золочівської районної ради Львівської області</t>
  </si>
  <si>
    <t>вул. Січових Стрільців, 7</t>
  </si>
  <si>
    <t>(03265)70355</t>
  </si>
  <si>
    <t>Золочівський навчально-виховний комплекс "загальноосвітній навчальний заклад І- ІІ ступенів "Школа радості" - дошкільний навчальний заклад" Золочівської районної ради Львівської області</t>
  </si>
  <si>
    <t>вул. Академіка Павлова, 68</t>
  </si>
  <si>
    <t>(03265)4-35-92</t>
  </si>
  <si>
    <t>http://zolochiv-nvk.edukit.lviv.ua/</t>
  </si>
  <si>
    <t>Опорний заклад Глинянська загальноосвітня школа І-ІІІ ступенів Золочівської районної ради Львівської області</t>
  </si>
  <si>
    <t>80720</t>
  </si>
  <si>
    <t>4621810200</t>
  </si>
  <si>
    <t>Глиняни</t>
  </si>
  <si>
    <t>(03265)42224</t>
  </si>
  <si>
    <t>Поморянська загальноосвітня школа І-ІІІ ступенів Золочівської районної ради Львівської області</t>
  </si>
  <si>
    <t>4621855600</t>
  </si>
  <si>
    <t>Поморяни</t>
  </si>
  <si>
    <t>Білокамінський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</si>
  <si>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80710</t>
  </si>
  <si>
    <t>4621880401</t>
  </si>
  <si>
    <t>пл. Центральна, 1</t>
  </si>
  <si>
    <t>Бужківська загальноосвітня школа І ступеня Золочівської районної ради Львівської області</t>
  </si>
  <si>
    <t>4621880402</t>
  </si>
  <si>
    <t>Бужок</t>
  </si>
  <si>
    <t>вул. Д. Особи, 24 а</t>
  </si>
  <si>
    <t>Бортківська загальноосвітня школа І-ІІ ступенів Золочівської районної ради Львівської області</t>
  </si>
  <si>
    <t>80730</t>
  </si>
  <si>
    <t>4621881201</t>
  </si>
  <si>
    <t>Бортків</t>
  </si>
  <si>
    <t>вул. Головна, 61</t>
  </si>
  <si>
    <t>(03265)42122</t>
  </si>
  <si>
    <t>Скнилівська загальноосвітня школа І-ІІ ступенів Золочівської районної ради Львівської області</t>
  </si>
  <si>
    <t>4621881203</t>
  </si>
  <si>
    <t>Скнилів</t>
  </si>
  <si>
    <t>вул. Плугова, 25</t>
  </si>
  <si>
    <t>Великовільшаницька загальноосвітня школа І - ІІІ ступенів Золочівської районнної ради Львівської області</t>
  </si>
  <si>
    <t>80732</t>
  </si>
  <si>
    <t>4621881501</t>
  </si>
  <si>
    <t>Велика Вільшаниця</t>
  </si>
  <si>
    <t>вул. Незалежності, 55</t>
  </si>
  <si>
    <t>(03265)56132</t>
  </si>
  <si>
    <t>Трудовацька загальноосвітня школа І ступеня Золочівської районної ради Львівської області</t>
  </si>
  <si>
    <t>4621881504</t>
  </si>
  <si>
    <t>Трудовач</t>
  </si>
  <si>
    <t>вул. Марії Бутенко, 12</t>
  </si>
  <si>
    <t>Вороняцька загальноосвітня школа І-ІІІ ступенів Золочівської районної ради Львівської області</t>
  </si>
  <si>
    <t>80751</t>
  </si>
  <si>
    <t>4621881801</t>
  </si>
  <si>
    <t>Вороняки</t>
  </si>
  <si>
    <t>вул. Гнучка, 34</t>
  </si>
  <si>
    <t>(03265)57544</t>
  </si>
  <si>
    <t>Заставненський навчально-виховний комплекс "загальноосвітній навчальний заклад І-ІІІ ступенів - дошкільний навчальний заклад" Золочівської районної ради</t>
  </si>
  <si>
    <t>4621882201</t>
  </si>
  <si>
    <t>Розворянська загальноосвітня школа І-ІІ ступенів Золочівської районної ради Львівської області</t>
  </si>
  <si>
    <t>4621882207</t>
  </si>
  <si>
    <t>Розворяни</t>
  </si>
  <si>
    <t>Гологірський навчально-виховний комплекс "загальноосвітній навчальний заклад І-ІІІ ступенів-дошкільний навчальний заклад" Золочівської районної ради Львівської області</t>
  </si>
  <si>
    <t>80736</t>
  </si>
  <si>
    <t>4621882601</t>
  </si>
  <si>
    <t>Гологори</t>
  </si>
  <si>
    <t>вул. Головна, 14</t>
  </si>
  <si>
    <t>(03265)56-322</t>
  </si>
  <si>
    <t>Гончарівська загальноосвітня школа І-ІІ ступенів Золочівської районної ради Львівської області</t>
  </si>
  <si>
    <t>80715</t>
  </si>
  <si>
    <t>4621882701</t>
  </si>
  <si>
    <t>Єлиховицька загальноосвітня школа І ступеня Золочівської районної ради Львівської області</t>
  </si>
  <si>
    <t>80716</t>
  </si>
  <si>
    <t>4621882801</t>
  </si>
  <si>
    <t>Єлиховичі</t>
  </si>
  <si>
    <t>вул. Зозулівська, 4</t>
  </si>
  <si>
    <t>Городилівська загальноосвітня школа І ступеня Золочівської районної ради Львівської області</t>
  </si>
  <si>
    <t>4621882802</t>
  </si>
  <si>
    <t>Городилів</t>
  </si>
  <si>
    <t>вул. Весела, 12</t>
  </si>
  <si>
    <t>Зозулівський навчально-виховний комплекс „Загальноосвітній навчальний заклад І-ІІІ ступенів - Дошкільний начальний заклад” Золочівської районної ради Львівської області</t>
  </si>
  <si>
    <t>80717</t>
  </si>
  <si>
    <t>4621882803</t>
  </si>
  <si>
    <t>Зозулі</t>
  </si>
  <si>
    <t>вул. Підбір, 32</t>
  </si>
  <si>
    <t>(03265)55922</t>
  </si>
  <si>
    <t>Жуківська загальноосвітня школа І-ІІ ступенів Золочівської районної ради Львівської області</t>
  </si>
  <si>
    <t>80754</t>
  </si>
  <si>
    <t>4621883201</t>
  </si>
  <si>
    <t>(03265)54429</t>
  </si>
  <si>
    <t>Княжівська загальноосвітня школа І ступеня Золочівської районної ради Львівської області</t>
  </si>
  <si>
    <t>80733</t>
  </si>
  <si>
    <t>4621883301</t>
  </si>
  <si>
    <t>вул. Золочівська, 8</t>
  </si>
  <si>
    <t>Колтівська загальноосвітня школа І-ІІІ ступенів Золочівської районної ради Львівської області</t>
  </si>
  <si>
    <t>80741</t>
  </si>
  <si>
    <t>4621883601</t>
  </si>
  <si>
    <t>Колтів</t>
  </si>
  <si>
    <t>вул. Головна, 30</t>
  </si>
  <si>
    <t>(03265)57244</t>
  </si>
  <si>
    <t>Філія опорного закладу Сасівського навчально-виховного комплексу Верхобузька загальноосвітня школа І-ІІ ступенів Золочівської районної ради Львівської області</t>
  </si>
  <si>
    <t>80742</t>
  </si>
  <si>
    <t>4621883602</t>
  </si>
  <si>
    <t>Верхобуж</t>
  </si>
  <si>
    <t>вул. Шкільна, 3А</t>
  </si>
  <si>
    <t>(03265)42272</t>
  </si>
  <si>
    <t>Кругівська загальноосвітня школа І ступеня Золочівської районної ради Львівської області</t>
  </si>
  <si>
    <t>4621883603</t>
  </si>
  <si>
    <t>Кругів</t>
  </si>
  <si>
    <t>вул. Головна, 2А</t>
  </si>
  <si>
    <t>Куровицька загальноосвітня школа І-ІІІ ступенів Золочівської районної ради Львівської області</t>
  </si>
  <si>
    <t>80725</t>
  </si>
  <si>
    <t>4621883901</t>
  </si>
  <si>
    <t>Куровичі</t>
  </si>
  <si>
    <t>(53)345</t>
  </si>
  <si>
    <t>http://www.kurovychi-zosh.lviv.sch.in.ua/</t>
  </si>
  <si>
    <t>Новосілківська загальноосвітня школа І-ІІ ступенів Золочівської районної ради Львівської області</t>
  </si>
  <si>
    <t>80374</t>
  </si>
  <si>
    <t>4621884301</t>
  </si>
  <si>
    <t>ал. вул.Шкільна, 2</t>
  </si>
  <si>
    <t>0965191503</t>
  </si>
  <si>
    <t>Митулинська загальноосвітня школа І ступеня Золочівської районної ради Львівської області</t>
  </si>
  <si>
    <t>80735</t>
  </si>
  <si>
    <t>4621884302</t>
  </si>
  <si>
    <t>Митулин</t>
  </si>
  <si>
    <t>Філія ОЗ Сасівського НВК - Руда-Колтівська ЗОШ І ст. Золочівської районної ради Львівської області</t>
  </si>
  <si>
    <t>4621884601</t>
  </si>
  <si>
    <t>Руда-Колтівська</t>
  </si>
  <si>
    <t>вул. Нова, 7</t>
  </si>
  <si>
    <t>філія опорного закладу Глинянська ЗОШ І-ІІІ ступенів - Перегноївська ЗОШ І-ІІ ступенів</t>
  </si>
  <si>
    <t>80722</t>
  </si>
  <si>
    <t>4621884801</t>
  </si>
  <si>
    <t>Перегноїв</t>
  </si>
  <si>
    <t>(265)53657</t>
  </si>
  <si>
    <t>Підгайчиківська загальноосвітня школа І-ІІ ступенів Золочівської районної ради Львівської області</t>
  </si>
  <si>
    <t>80726</t>
  </si>
  <si>
    <t>4621884901</t>
  </si>
  <si>
    <t>вул. Щастя, 47</t>
  </si>
  <si>
    <t>0672688499</t>
  </si>
  <si>
    <t>Підгородненська загальноосвітня школа І ступеня Золочівської районної ради Львівської області</t>
  </si>
  <si>
    <t>4621885001</t>
  </si>
  <si>
    <t>Підлипецька загальноосвітня школа І-ІІ ступенів Золочівської районної ради Львівськоїобласті</t>
  </si>
  <si>
    <t>4621885201</t>
  </si>
  <si>
    <t>Підлипці</t>
  </si>
  <si>
    <t>Новоселищна загальноосвітня школа І-ІІ ст</t>
  </si>
  <si>
    <t>80745</t>
  </si>
  <si>
    <t>4621885204</t>
  </si>
  <si>
    <t>Новоселище</t>
  </si>
  <si>
    <t>вул. Шашкевича, 17</t>
  </si>
  <si>
    <t>(59)428</t>
  </si>
  <si>
    <t>Плугівський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Львіської області</t>
  </si>
  <si>
    <t>4621885206</t>
  </si>
  <si>
    <t>Плугів</t>
  </si>
  <si>
    <t>Тростянецька загальноосвітня школа І-ІІ ступенів Золочівської районної ради Львівської області</t>
  </si>
  <si>
    <t>4621885208</t>
  </si>
  <si>
    <t>вул. Лісок, 32</t>
  </si>
  <si>
    <t>(03265)59452</t>
  </si>
  <si>
    <t>http://trostianets-school.edukit.lviv.ua/</t>
  </si>
  <si>
    <t>Полянський навчально-виховний комплекс ' Загальноосвітній навчальний заклад І-ІІІ ступенів-дошкільний навчальний заклад" Золочівської районної ради Львівської області</t>
  </si>
  <si>
    <t>80752</t>
  </si>
  <si>
    <t>4621885501</t>
  </si>
  <si>
    <t>Поляни</t>
  </si>
  <si>
    <t>52138</t>
  </si>
  <si>
    <t>Жуличівська загальноосвітня школа І-ІІ ступенів Золочівської районної ради Львівської області</t>
  </si>
  <si>
    <t>80714</t>
  </si>
  <si>
    <t>4621885803</t>
  </si>
  <si>
    <t>Жуличі</t>
  </si>
  <si>
    <t>(03265)54707</t>
  </si>
  <si>
    <t>http://www.zhulychi-school.ucoz.ua</t>
  </si>
  <si>
    <t>Ремезівцівський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</si>
  <si>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80755</t>
  </si>
  <si>
    <t>4621886101</t>
  </si>
  <si>
    <t>Ремезівці</t>
  </si>
  <si>
    <t>вул. вул . Шкільна, 1</t>
  </si>
  <si>
    <t>(03265)54285</t>
  </si>
  <si>
    <t>Опорний заклад Сасівський навчально-виховний комплекс "загальноосвітній навчальний заклад І-ІІІ ступенів-дошкільний навчальний заклад" Золочівської районної ради Львівської області</t>
  </si>
  <si>
    <t>4621886401</t>
  </si>
  <si>
    <t>Сасів</t>
  </si>
  <si>
    <t>вул. Колтівська, 1</t>
  </si>
  <si>
    <t>(03265)42154</t>
  </si>
  <si>
    <t>Філія ОЗ Сасівського НВК - Ушнянська загальноосвітня школа І-ІІ ступенів Золочівської районної ради Львівської області</t>
  </si>
  <si>
    <t>80713</t>
  </si>
  <si>
    <t>4621886407</t>
  </si>
  <si>
    <t>Ушня</t>
  </si>
  <si>
    <t>вул. Головна, 38</t>
  </si>
  <si>
    <t>(03265)52351</t>
  </si>
  <si>
    <t>Скварявська загальноосвітня школа І- ІІІ ступенів Золочівської районної ради Львівської області</t>
  </si>
  <si>
    <t>80712</t>
  </si>
  <si>
    <t>4621886701</t>
  </si>
  <si>
    <t>Скварява</t>
  </si>
  <si>
    <t>(03265)57-322</t>
  </si>
  <si>
    <t>Совітський навчально-виховний комплекс "загальноосвітній навчальний заклад І-ІІІ ст. - дошкільний навчальний заклад" Золочівської районної ради Львівської області</t>
  </si>
  <si>
    <t>4621886901</t>
  </si>
  <si>
    <t>Словіта</t>
  </si>
  <si>
    <t>вул. Львівська, 9 а</t>
  </si>
  <si>
    <t>(03265)55888</t>
  </si>
  <si>
    <t>Сновицький навчально-виховний комплекс І-ІІІ ступенів</t>
  </si>
  <si>
    <t>80753</t>
  </si>
  <si>
    <t>4621887201</t>
  </si>
  <si>
    <t>Сновичі</t>
  </si>
  <si>
    <t>(03265)52234</t>
  </si>
  <si>
    <t>Струтинська загальноосвітня школа І-ІІ ступенів Золочівської районної ради Львівської області</t>
  </si>
  <si>
    <t>80743</t>
  </si>
  <si>
    <t>4621887601</t>
  </si>
  <si>
    <t>Струтин</t>
  </si>
  <si>
    <t>вул. Солтівського, 3</t>
  </si>
  <si>
    <t>(03265)56-644</t>
  </si>
  <si>
    <t>Червоненська загальноосвітня школа І-ІІІ ступенів Золочівської районної ради Львівської області</t>
  </si>
  <si>
    <t>4621888001</t>
  </si>
  <si>
    <t>вул. Скалецьких, 2</t>
  </si>
  <si>
    <t>(03265)54549</t>
  </si>
  <si>
    <t>Шпиколоський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</si>
  <si>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80756</t>
  </si>
  <si>
    <t>4621888201</t>
  </si>
  <si>
    <t>Шпиколоси</t>
  </si>
  <si>
    <t>(03265)54368</t>
  </si>
  <si>
    <t>ЯСЕНОВЕЦЬКИЙ НАВЧАЛЬНО-ВИХОВНИЙ КОМПЛЕКС "ЗАГАЛЬНООСВІТНІЙ НАВЧАЛЬНИЙ ЗАКЛАД І-ІІ СТУПЕНІВ-ДОШКІЛЬНИЙ НАВЧАЛЬНИЙ ЗАКЛАД" ЗОЛОЧІВСЬКОЇ РАЙОННОЇ РАДИ ЛЬВІВСЬКОЇ ОБЛАСТІ</t>
  </si>
  <si>
    <t>80750</t>
  </si>
  <si>
    <t>4621888501</t>
  </si>
  <si>
    <t>Ясенівці</t>
  </si>
  <si>
    <t>(03265)52518</t>
  </si>
  <si>
    <t>Заліська загальноосвітня школа І ступеня Золочівської районної ради Львівської області</t>
  </si>
  <si>
    <t>4621888503</t>
  </si>
  <si>
    <t>опорний заклад Загальноосвітня школа І-ІІІ ст. № 1 ім. Івана Франка міста Кам'янка-Бузька Львівської оласті</t>
  </si>
  <si>
    <t>80400</t>
  </si>
  <si>
    <t>4622110100</t>
  </si>
  <si>
    <t>Кам'янка-Бузька</t>
  </si>
  <si>
    <t>вул. Незалежності, 66</t>
  </si>
  <si>
    <t>(0354)51147</t>
  </si>
  <si>
    <t>ЗАГАЛЬНООСВІТНЯ ШКОЛА І-ІІІ СТУПЕНІВ № 2 ІМ. Г. ТЮТЮННИКА М. КАМ’ЯНКА -БУЗЬКА</t>
  </si>
  <si>
    <t>(03254)5-16-96</t>
  </si>
  <si>
    <t>Кам'янка-Бузька загальноосвітня І-ІІІ ст. № 3</t>
  </si>
  <si>
    <t>(254)51645</t>
  </si>
  <si>
    <t>Загальноосвітня школа І ступенів села Тадані</t>
  </si>
  <si>
    <t>4622110103</t>
  </si>
  <si>
    <t>Тадані</t>
  </si>
  <si>
    <t>(254)23751</t>
  </si>
  <si>
    <t>Загальноосвітня школа І-ІІІ ступенів смт. Добротвора</t>
  </si>
  <si>
    <t>80411</t>
  </si>
  <si>
    <t>4622155300</t>
  </si>
  <si>
    <t>Добротвір</t>
  </si>
  <si>
    <t>(03254)31435</t>
  </si>
  <si>
    <t>Загальноосвітня школа І - ІІІ ступенів смт Запитів Кам'янка-Бузького району Львівської області</t>
  </si>
  <si>
    <t>80461</t>
  </si>
  <si>
    <t>4622155400</t>
  </si>
  <si>
    <t>Запитів</t>
  </si>
  <si>
    <t>вул. Київська, 119</t>
  </si>
  <si>
    <t>(03254)35156</t>
  </si>
  <si>
    <t>http://www.zapytivshkola.jimdo.com</t>
  </si>
  <si>
    <t>Опорний заклад загальноосвітня школа І-ІІІ ст. смт Новий Яричів, Кам’янка-Бузького району, Львівської області</t>
  </si>
  <si>
    <t>80465</t>
  </si>
  <si>
    <t>4622155600</t>
  </si>
  <si>
    <t>Новий Яричів</t>
  </si>
  <si>
    <t>Загальноосвітня школа І-ІІ ступенів села Банюнин, Кам'янка-Бузбкого району, Львівської області</t>
  </si>
  <si>
    <t>80454</t>
  </si>
  <si>
    <t>4622180401</t>
  </si>
  <si>
    <t>Банюнин</t>
  </si>
  <si>
    <t>вул. Комарова, 32</t>
  </si>
  <si>
    <t>(03254)67188</t>
  </si>
  <si>
    <t>Загальноосвітня школа І - ІІІ ступенів с. Батятичі</t>
  </si>
  <si>
    <t>80423</t>
  </si>
  <si>
    <t>4622180801</t>
  </si>
  <si>
    <t>Батятичі</t>
  </si>
  <si>
    <t>вул. Ів.Франка, 187</t>
  </si>
  <si>
    <t>Великоколоднівський навчально-виховний комплекс "загально-освітній навчальний заклад І-ІІІ ступенів-дошкільний навчальний заклад"</t>
  </si>
  <si>
    <t>80434</t>
  </si>
  <si>
    <t>4622181201</t>
  </si>
  <si>
    <t>Велике Колодно</t>
  </si>
  <si>
    <t>вул. Євгена Козака, 2А</t>
  </si>
  <si>
    <t>(03254)53347</t>
  </si>
  <si>
    <t>Новоставський навчально-виховний комплекс "загальноосвітній навчальний заклад І-ІІступенів - дошкільний навчальний заклад"</t>
  </si>
  <si>
    <t>80435</t>
  </si>
  <si>
    <t>4622181202</t>
  </si>
  <si>
    <t>Новий Став</t>
  </si>
  <si>
    <t>вул. Грабовського, 1</t>
  </si>
  <si>
    <t>(067)2719756</t>
  </si>
  <si>
    <t>Загальноосвітня школа І-ІІ ступенів села Печихвости</t>
  </si>
  <si>
    <t>80436</t>
  </si>
  <si>
    <t>4622181203</t>
  </si>
  <si>
    <t>(380)978456916</t>
  </si>
  <si>
    <t>Великосілківський навчально-виховний комплекс "загальноосвітній заклад І-ІІІ ступенів - дошкільний заклад" Кам'янка-Бузької районної ради Львівської області</t>
  </si>
  <si>
    <t>80453</t>
  </si>
  <si>
    <t>4622181601</t>
  </si>
  <si>
    <t>Великосілки</t>
  </si>
  <si>
    <t>(03254)67523, (03254)67543</t>
  </si>
  <si>
    <t>Соколівська загальноосвітня школа І ступеня, Кам'янко-Бузького району, Львівської області</t>
  </si>
  <si>
    <t>4622181604</t>
  </si>
  <si>
    <t>(063)8610724</t>
  </si>
  <si>
    <t>Філія опорно закладу Загальноосвітня школа І-ІІ ступенів села Вирів</t>
  </si>
  <si>
    <t>80441</t>
  </si>
  <si>
    <t>4622182001</t>
  </si>
  <si>
    <t>Вирів</t>
  </si>
  <si>
    <t>(380)969173539</t>
  </si>
  <si>
    <t>Горпинський навчальновиховний комплекс "Загальноосвітній навчальний заклад І-ІІ ступенів - дошкільний навчальний заклад"</t>
  </si>
  <si>
    <t>80442</t>
  </si>
  <si>
    <t>4622182002</t>
  </si>
  <si>
    <t>Горпин</t>
  </si>
  <si>
    <t>(0254)967529</t>
  </si>
  <si>
    <t>Дідилівський НВК "ЗНЗ І-ІІІ ст-ДНЗ"</t>
  </si>
  <si>
    <t>80462</t>
  </si>
  <si>
    <t>4622182301</t>
  </si>
  <si>
    <t>Дідилів</t>
  </si>
  <si>
    <t>(254)65666</t>
  </si>
  <si>
    <t>Дернівський навчально-виховний комплекс "Загально-освітній навчальний заклад І-ІІ ступенів - Дошкільний навчальний заклад"</t>
  </si>
  <si>
    <t>80406</t>
  </si>
  <si>
    <t>4622182601</t>
  </si>
  <si>
    <t>Дернів</t>
  </si>
  <si>
    <t>(032254)62316</t>
  </si>
  <si>
    <t>Желдецький навчально-виховний комплекс загальоосвітній заклад І-ІІІ ступенів - дошкільний заклад</t>
  </si>
  <si>
    <t>80424</t>
  </si>
  <si>
    <t>4622183001</t>
  </si>
  <si>
    <t>Желдець</t>
  </si>
  <si>
    <t>вул. Підгірна, 5</t>
  </si>
  <si>
    <t>(03254)63743</t>
  </si>
  <si>
    <t>Жовтанецька загальноосвітня школа І-ІІІ ступенів Жовтанецької сільської ради Львівської області</t>
  </si>
  <si>
    <t>80431</t>
  </si>
  <si>
    <t>4622183301</t>
  </si>
  <si>
    <t>Жовтанці</t>
  </si>
  <si>
    <t>вул. 30-річчя Перемоги, 1</t>
  </si>
  <si>
    <t>(254)3-31-32</t>
  </si>
  <si>
    <t>http://zovnvk.at.ua/</t>
  </si>
  <si>
    <t>Жовтанецький навчально-виховний комплекс "Загальноосвітній навчальний заклад І-ІІ ступенів - дошкільний навчальний заклад" Кам'янка-Бузького району Львівської області</t>
  </si>
  <si>
    <t>вул. Загаївська, 143</t>
  </si>
  <si>
    <t>(067)4750761</t>
  </si>
  <si>
    <t>Філія опорного закладу Загальноосвітня школа І ст. с. Вихопні</t>
  </si>
  <si>
    <t>4622183302</t>
  </si>
  <si>
    <t>Вихопні</t>
  </si>
  <si>
    <t>вул. Грабовецька, 4</t>
  </si>
  <si>
    <t>(254)51348</t>
  </si>
  <si>
    <t>загальноосвітня школа І-ІІ ступенів села Колоденці</t>
  </si>
  <si>
    <t>4622183304</t>
  </si>
  <si>
    <t>Колоденці</t>
  </si>
  <si>
    <t>13</t>
  </si>
  <si>
    <t>Зубівмостівський навчально-виховний комплекс "Загальноосвітній навчальний заклад І-ІІ ступенів - дошкільний навчальний заклад"</t>
  </si>
  <si>
    <t>80421</t>
  </si>
  <si>
    <t>4622183501</t>
  </si>
  <si>
    <t>Зубів Міст</t>
  </si>
  <si>
    <t>вул. Широка, 23</t>
  </si>
  <si>
    <t>Незнанівський навчально-виховний комплекс " Загальноосвітній навчальний заклад I-II ступенів - дошкільний навчальний заклад"</t>
  </si>
  <si>
    <t>80415</t>
  </si>
  <si>
    <t>4622184601</t>
  </si>
  <si>
    <t>Незнанів</t>
  </si>
  <si>
    <t>0687621156</t>
  </si>
  <si>
    <t>ЗОШ І-ІІ ст. с. Неслухів</t>
  </si>
  <si>
    <t>80455</t>
  </si>
  <si>
    <t>4622184701</t>
  </si>
  <si>
    <t>Неслухів</t>
  </si>
  <si>
    <t>вул. Наукова, 9</t>
  </si>
  <si>
    <t>Полоничнівський НВК ' ЗНЗ-ДНЗ' Кам'янко- Бузького району, Львівської області</t>
  </si>
  <si>
    <t>80416</t>
  </si>
  <si>
    <t>4622184801</t>
  </si>
  <si>
    <t>Полонична</t>
  </si>
  <si>
    <t>(032)5466215, (068)7637545</t>
  </si>
  <si>
    <t>Ременівська школа І-ІІІ ст.Кам'янка-Бузького р-ну Львівської області</t>
  </si>
  <si>
    <t>4622185201</t>
  </si>
  <si>
    <t>Ременів</t>
  </si>
  <si>
    <t>вул. Перемоги</t>
  </si>
  <si>
    <t>Загальноосвітня школа с. Вислобоки</t>
  </si>
  <si>
    <t>4622185202</t>
  </si>
  <si>
    <t>Вислобоки</t>
  </si>
  <si>
    <t>вул. Січових Стрільців, 26</t>
  </si>
  <si>
    <t>(254)23753</t>
  </si>
  <si>
    <t>Загальноосвітня школа І-ІІ ступенів с. Сілець</t>
  </si>
  <si>
    <t>80413</t>
  </si>
  <si>
    <t>4622185601</t>
  </si>
  <si>
    <t>вул. Надбужна, 16</t>
  </si>
  <si>
    <t>загальноосвітня школа І-ІІІ ступенів села Старий Добротвір Кам'янка-Бузького району Львівської області</t>
  </si>
  <si>
    <t>80410</t>
  </si>
  <si>
    <t>4622185901</t>
  </si>
  <si>
    <t>Старий Добротвір</t>
  </si>
  <si>
    <t>03(254)66327</t>
  </si>
  <si>
    <t>Загальноосвітня школа 1 ступеня села Старий Яричів</t>
  </si>
  <si>
    <t>4622186201</t>
  </si>
  <si>
    <t>Старий Яричів</t>
  </si>
  <si>
    <t>вул. Галицька, 34</t>
  </si>
  <si>
    <t>(03254)65129</t>
  </si>
  <si>
    <t>Руданецький навчально-виховний комплекс " Загальноосвітній навчальний заклад I-II ступенів - дошкільний навчальний заклад"</t>
  </si>
  <si>
    <t>80464</t>
  </si>
  <si>
    <t>4622186203</t>
  </si>
  <si>
    <t>Руданці</t>
  </si>
  <si>
    <t>(254)6-51-04</t>
  </si>
  <si>
    <t>Загальноосвітня школа с. Цеперів</t>
  </si>
  <si>
    <t>4622186204</t>
  </si>
  <si>
    <t>Цеперів</t>
  </si>
  <si>
    <t>вул. Т.Шевченка, 2</t>
  </si>
  <si>
    <t>(254)65105</t>
  </si>
  <si>
    <t>Стрептівський навчально-виховний комплекс "Загальноосвітній навчальний заклад І-ІІ ступенів - Дошкільний навчальний заклад"</t>
  </si>
  <si>
    <t>80451</t>
  </si>
  <si>
    <t>4622186601</t>
  </si>
  <si>
    <t>Стрептів</t>
  </si>
  <si>
    <t>вул. 1-го Грудня, 1</t>
  </si>
  <si>
    <t>(032)546671</t>
  </si>
  <si>
    <t>Деревлянський навчально-виховний комплекс "Загальноосвітній навчальний заклад І-ІІ ступенів - Дошкільний навчальний заклад"</t>
  </si>
  <si>
    <t>80452</t>
  </si>
  <si>
    <t>4622186602</t>
  </si>
  <si>
    <t>Деревляни</t>
  </si>
  <si>
    <t>вул. Шевченка, 92</t>
  </si>
  <si>
    <t>(0254)66628</t>
  </si>
  <si>
    <t>Загальноосвітня школа І ступеня села Спас</t>
  </si>
  <si>
    <t>4622186603</t>
  </si>
  <si>
    <t>(254)0634209320</t>
  </si>
  <si>
    <t>Мостиська загальноосвітня школа № 1 І-ІІІ ступенів</t>
  </si>
  <si>
    <t>81300</t>
  </si>
  <si>
    <t>4622410100</t>
  </si>
  <si>
    <t>Мостиська</t>
  </si>
  <si>
    <t>вул. Міцкевица, 7</t>
  </si>
  <si>
    <t>(03234)41170</t>
  </si>
  <si>
    <t>Мостиська загальноосвітня школа № 2 І-ІІІ ступенів</t>
  </si>
  <si>
    <t>(234)4-11-24</t>
  </si>
  <si>
    <t>Мостиська загальноосвітня школа І - ІІ ступенів Мостиської міської ради Львівської області</t>
  </si>
  <si>
    <t>вул. Рудниківська, 152</t>
  </si>
  <si>
    <t>41578</t>
  </si>
  <si>
    <t>Мостиська середня загальноосвітня школа № 3 І-ІІІ ступенів Мостиської міської ради Львівської області</t>
  </si>
  <si>
    <t>вул. Сагайдачного, 9</t>
  </si>
  <si>
    <t>(03234)25136</t>
  </si>
  <si>
    <t>Судововишнянська загальноосвітня школа І ступеня</t>
  </si>
  <si>
    <t>81340</t>
  </si>
  <si>
    <t>4622410500</t>
  </si>
  <si>
    <t>Судова Вишня</t>
  </si>
  <si>
    <t>вул. Передмістя, 59А</t>
  </si>
  <si>
    <t>0985151532</t>
  </si>
  <si>
    <t>Опорний заклад Судововишнянський навчально-виховний комплекс " Загальноосвітній навчальний заклад І-ІІІ ступенів - дошкільний навчальний заклад" Судововишнянської міської ради Львівської області</t>
  </si>
  <si>
    <t>вул. Гончара, 1</t>
  </si>
  <si>
    <t>(03234)37420</t>
  </si>
  <si>
    <t>Арламівськоволянська загальноосвітня школа І-ІІ ступенів Мостиської районної ради Львівської області</t>
  </si>
  <si>
    <t>81315</t>
  </si>
  <si>
    <t>4622480201</t>
  </si>
  <si>
    <t>Арламівська Воля</t>
  </si>
  <si>
    <t>вул. Березівка, 23</t>
  </si>
  <si>
    <t>(234)27219</t>
  </si>
  <si>
    <t>http://zosharlam.int.ua</t>
  </si>
  <si>
    <t>Балицький навчально-виховний комплекс "загальноосвітній навчальний заклад І-ІІІ ступенів - дошкільний навчальний заклад" Шегинівської сільської ради Мостиського району Львівської області</t>
  </si>
  <si>
    <t>81325</t>
  </si>
  <si>
    <t>4622480401</t>
  </si>
  <si>
    <t>Баличі</t>
  </si>
  <si>
    <t>вул. Зелена, 38</t>
  </si>
  <si>
    <t>6-64-26</t>
  </si>
  <si>
    <t>Берегівський навчально-виховний комплекс "загальноосвітній навчальний заклад І-ІІ ступенів - дошкільний навчальний заклад" Мостиської міської ради Львівської області</t>
  </si>
  <si>
    <t>81334</t>
  </si>
  <si>
    <t>4622480801</t>
  </si>
  <si>
    <t>вул. Миру, 113</t>
  </si>
  <si>
    <t>(03234)33448</t>
  </si>
  <si>
    <t>Зарічанська загальноосвітня школа І ступеня</t>
  </si>
  <si>
    <t>81335</t>
  </si>
  <si>
    <t>4622480802</t>
  </si>
  <si>
    <t>вул. Лісова, 82/а</t>
  </si>
  <si>
    <t>Годинівська загальноосвітня школа І-ІІ ступенів Мостиської міської ради Львівської області</t>
  </si>
  <si>
    <t>81301</t>
  </si>
  <si>
    <t>4622481001</t>
  </si>
  <si>
    <t>Годині</t>
  </si>
  <si>
    <t>вул. В.Івасюка, 46</t>
  </si>
  <si>
    <t>(0234)66647</t>
  </si>
  <si>
    <t>Гостинцівська загальноосвітня школа І-ІІ ступенів Мостиської районної ради Львівської області</t>
  </si>
  <si>
    <t>81332</t>
  </si>
  <si>
    <t>4622481201</t>
  </si>
  <si>
    <t>Гостинцеве</t>
  </si>
  <si>
    <t>(03234)62674</t>
  </si>
  <si>
    <t>Підгатська загальноосвітня школа І ступеня Мостиської районної ради Львівської області</t>
  </si>
  <si>
    <t>4622481203</t>
  </si>
  <si>
    <t>Підгать</t>
  </si>
  <si>
    <t>вул. Бережанська, 8</t>
  </si>
  <si>
    <t>(38096)6085542</t>
  </si>
  <si>
    <t>Гусаківський навчально - виховний комплекс "загальноосвітній навчальний заклад І-ІІІ ступенів - дошкільний навчальний заклад" Шегинівської сільської ради Мостиського району Львівської області</t>
  </si>
  <si>
    <t>81353</t>
  </si>
  <si>
    <t>4622481601</t>
  </si>
  <si>
    <t>Гусаків</t>
  </si>
  <si>
    <t>(03234)6-47-19</t>
  </si>
  <si>
    <t>Радохінська загальноосвітня школа I-II ступенів Шегинівської сільської ради Мостиського райоу Львівської області</t>
  </si>
  <si>
    <t>81354</t>
  </si>
  <si>
    <t>4622481604</t>
  </si>
  <si>
    <t>Радохинці</t>
  </si>
  <si>
    <t>вул. Б. Хмельницького, 153</t>
  </si>
  <si>
    <t>Вовчищовицький навчально-виховний комплекс "Загальноосвітній навчальний заклад І-ІІІ ступенів - дошкільний навчальний заклад" Мостиського району Львівської області</t>
  </si>
  <si>
    <t>4622482003</t>
  </si>
  <si>
    <t>Вовчищовичі</t>
  </si>
  <si>
    <t>0989795297</t>
  </si>
  <si>
    <t>http://vovch-nvk.lviv.sch.in.ua</t>
  </si>
  <si>
    <t>Дмитровицький навчально-виховний комплекс "Загальноосвітній навчальний заклад І-ІІ ступенів - дошкільний навчальний заклад"</t>
  </si>
  <si>
    <t>81383</t>
  </si>
  <si>
    <t>4622482201</t>
  </si>
  <si>
    <t>Дмитровичі</t>
  </si>
  <si>
    <t>(03234)36133</t>
  </si>
  <si>
    <t>Філія "Волостківська загальноосвітня школа ІІ ступеня" ОЗ Судововишнянського НВК</t>
  </si>
  <si>
    <t>81370</t>
  </si>
  <si>
    <t>4622482203</t>
  </si>
  <si>
    <t>Волостків</t>
  </si>
  <si>
    <t>Довгомостиський навчально-виховний комплекс Судововишнянської міської ради Львівської області</t>
  </si>
  <si>
    <t>81342</t>
  </si>
  <si>
    <t>4622482401</t>
  </si>
  <si>
    <t>Довгомостиська</t>
  </si>
  <si>
    <t>вул. Зелена, 96</t>
  </si>
  <si>
    <t>(234)34657</t>
  </si>
  <si>
    <t>Бортятинський навчально-виховний комплекс "загальноосвітній навчальний заклад І-ІІ ступенів - дошкільний навчальний заклад, Судововишнянської міської ради, Львівської області</t>
  </si>
  <si>
    <t>81343</t>
  </si>
  <si>
    <t>4622482402</t>
  </si>
  <si>
    <t>Бортятин</t>
  </si>
  <si>
    <t>(0234)34-046</t>
  </si>
  <si>
    <t>Княжомостівська загальноосвітня школа І ступеня</t>
  </si>
  <si>
    <t>81344</t>
  </si>
  <si>
    <t>4622482403</t>
  </si>
  <si>
    <t>Княжий Міст</t>
  </si>
  <si>
    <t>0680093738</t>
  </si>
  <si>
    <t>Зав'язанцівський навчально-виховний комплекс "загальноосвітній навчальний заклад І-ІІІступенів - дошкільний навчальний заклад"</t>
  </si>
  <si>
    <t>81384</t>
  </si>
  <si>
    <t>4622482801</t>
  </si>
  <si>
    <t>Зав'язанці</t>
  </si>
  <si>
    <t>вул. Центральна, 67А</t>
  </si>
  <si>
    <t>Золотковицька загальноосвітня школа І-ІІ ступенів Мостиської районної ради Львівської області</t>
  </si>
  <si>
    <t>81355</t>
  </si>
  <si>
    <t>4622483201</t>
  </si>
  <si>
    <t>Золотковичі</t>
  </si>
  <si>
    <t>(03234)0973970759</t>
  </si>
  <si>
    <t>Боляновицька загальноосвітня школа І-ІІ ступенів</t>
  </si>
  <si>
    <t>4622483202</t>
  </si>
  <si>
    <t>Боляновичі</t>
  </si>
  <si>
    <t>вул. Бічна, 33</t>
  </si>
  <si>
    <t>(234)65228</t>
  </si>
  <si>
    <t>Крукеницька загальноосвітня школа І-ІІІ ступенів-ліцей Мостиської районної ради Львівської області</t>
  </si>
  <si>
    <t>81364</t>
  </si>
  <si>
    <t>4622483601</t>
  </si>
  <si>
    <t>Крукеничі</t>
  </si>
  <si>
    <t>20925</t>
  </si>
  <si>
    <t>http://kr.school.mostyska.com.ua</t>
  </si>
  <si>
    <t>Крисовицька загальноосвітня школа І ступенія Мостиської міської ради Львівської області</t>
  </si>
  <si>
    <t>81360</t>
  </si>
  <si>
    <t>4622483901</t>
  </si>
  <si>
    <t>Крисовичі</t>
  </si>
  <si>
    <t>вул. Стрілецька, 2</t>
  </si>
  <si>
    <t>(66)2-42</t>
  </si>
  <si>
    <t>Липниківська загальноосвітня школа І-ІІ ступенів Мостиської міської ради Львівської області</t>
  </si>
  <si>
    <t>81371</t>
  </si>
  <si>
    <t>4622484001</t>
  </si>
  <si>
    <t>вул. Шевченка, 113</t>
  </si>
  <si>
    <t>(234)65117</t>
  </si>
  <si>
    <t>Стрілецький навчально-виховний комплекс "загальноосвітній навчальний заклад І-ІІ ступенів-дошкільний навчальний заклад" Мостиської міської ради Львівської області</t>
  </si>
  <si>
    <t>4622484005</t>
  </si>
  <si>
    <t>Стрілецьке</t>
  </si>
  <si>
    <t>65194</t>
  </si>
  <si>
    <t>Великомокрянська загальноосвітня школа І-ІІ ступенів Мостиської районної ради Львівської області</t>
  </si>
  <si>
    <t>81385</t>
  </si>
  <si>
    <t>4622484403</t>
  </si>
  <si>
    <t>Великі Мокряни</t>
  </si>
  <si>
    <t>(03234)34512</t>
  </si>
  <si>
    <t>Малнівськоволянська загальноосвітня школа І-ІІ ст</t>
  </si>
  <si>
    <t>81310</t>
  </si>
  <si>
    <t>4622484501</t>
  </si>
  <si>
    <t>Малнівська Воля</t>
  </si>
  <si>
    <t>вул. Івана Дуцька, 84</t>
  </si>
  <si>
    <t>(234)64060</t>
  </si>
  <si>
    <t>Малнівський навчально-виховний комплекс "Загальноосвітній навчальний заклад І-ІІІступенів - дошкільний навчальний заклад" Мостиської районної ради Львівської області</t>
  </si>
  <si>
    <t>4622484601</t>
  </si>
  <si>
    <t>Малнів</t>
  </si>
  <si>
    <t>вул. Зелена, 25/А</t>
  </si>
  <si>
    <t>0323464573</t>
  </si>
  <si>
    <t>http://malnskool.ucoz.com/</t>
  </si>
  <si>
    <t>Мелешківська загальноосвітня школа І ступеня Мостиської ради Львівської області</t>
  </si>
  <si>
    <t>4622484607</t>
  </si>
  <si>
    <t>Мелешки</t>
  </si>
  <si>
    <t>вул. Широка, 94</t>
  </si>
  <si>
    <t>(03234)0964561053</t>
  </si>
  <si>
    <t>Мостиська Друга загальноосвітня школа І-ІІ ступенів</t>
  </si>
  <si>
    <t>81320</t>
  </si>
  <si>
    <t>4622484701</t>
  </si>
  <si>
    <t>Мостиська Другі</t>
  </si>
  <si>
    <t>(03234)61282</t>
  </si>
  <si>
    <t>Мишлятицький навчально-виховний комплекс "Загальноосвітній навчальний заклад І-ІІ ступенів- дошкільний навчальний заклад"</t>
  </si>
  <si>
    <t>81352</t>
  </si>
  <si>
    <t>4622484901</t>
  </si>
  <si>
    <t>Мишлятичі</t>
  </si>
  <si>
    <t>(03234)63230</t>
  </si>
  <si>
    <t>Підлісецька загальноосвітня школа І-ІІ ступенів Мостиської міської ради Львівської області</t>
  </si>
  <si>
    <t>81373</t>
  </si>
  <si>
    <t>4622485101</t>
  </si>
  <si>
    <t>(80234)53359</t>
  </si>
  <si>
    <t>Пнікутський НВК "Загальноосвітній навчальний заклад І-ІІ ступенів-дошкільний навчальний заклад" Мостиської міської ради Львівської області</t>
  </si>
  <si>
    <t>81362</t>
  </si>
  <si>
    <t>4622485201</t>
  </si>
  <si>
    <t>Пнікут</t>
  </si>
  <si>
    <t>вул. Миру, 125</t>
  </si>
  <si>
    <t>(03234)62549</t>
  </si>
  <si>
    <t>Буховицька загальноосвітня школа І ступеня Мостиської міської ради Львівської області</t>
  </si>
  <si>
    <t>4622485202</t>
  </si>
  <si>
    <t>Буховичі</t>
  </si>
  <si>
    <t>вул. Tарасівка, 1</t>
  </si>
  <si>
    <t>http://buhovychi-scool.jimdo.com</t>
  </si>
  <si>
    <t>Поповицький навчально-виховний комплекс " загальноосвітній навчальний заклад І-ІІ ступенів - дошкільний навчальний заклад" Шегинівської сільської ради Мостиського району Львівської області</t>
  </si>
  <si>
    <t>81350</t>
  </si>
  <si>
    <t>4622485601</t>
  </si>
  <si>
    <t>(3234)6-35-34</t>
  </si>
  <si>
    <t>Раденицький навчально-виховний комплекс "Загальноосвітній навчальний заклад І-ІІ ступенів - дошкільний навчальний заклад" Мостиської міської ради Львівської області</t>
  </si>
  <si>
    <t>81372</t>
  </si>
  <si>
    <t>4622485901</t>
  </si>
  <si>
    <t>Раденичі</t>
  </si>
  <si>
    <t>вул. Сонячна, 75</t>
  </si>
  <si>
    <t>(03234)63342</t>
  </si>
  <si>
    <t>Соколянський навчально-виховний комплекс "Загальноосвітній навчальний заклад І-ІІІ ступенів - дошкільний навчальний заклад"</t>
  </si>
  <si>
    <t>81314</t>
  </si>
  <si>
    <t>4622486401</t>
  </si>
  <si>
    <t>(0234)65718</t>
  </si>
  <si>
    <t>Мистицька загальноосвітня школа I-II ступенів</t>
  </si>
  <si>
    <t>4622486602</t>
  </si>
  <si>
    <t>Мистичі</t>
  </si>
  <si>
    <t>вул. Мостова, 117 а</t>
  </si>
  <si>
    <t>(096)5150019</t>
  </si>
  <si>
    <t>Твіржанський навчально-виховний комплекс "Загальноосвітній навчальний заклад I-III ступенів - дошкільний навчальний заклад" Мостиської міської ради Львівської області</t>
  </si>
  <si>
    <t>81330</t>
  </si>
  <si>
    <t>4622486901</t>
  </si>
  <si>
    <t>Твіржа</t>
  </si>
  <si>
    <t>(0234)33233</t>
  </si>
  <si>
    <t>Хоросницька загальноосвітня школа І-ІІ ступенів Мостиської міської ради Львівської області</t>
  </si>
  <si>
    <t>81333</t>
  </si>
  <si>
    <t>4622486905</t>
  </si>
  <si>
    <t>Хоросниця</t>
  </si>
  <si>
    <t>Волицький навчально-виховний комплекс "загальноосвітній навчальний заклад І-ІІІ ступенів-дошкільний навчальний заклад"</t>
  </si>
  <si>
    <t>81324</t>
  </si>
  <si>
    <t>4622487202</t>
  </si>
  <si>
    <t>(234)66322</t>
  </si>
  <si>
    <t>Чернівський навчально виховний комплекс імені Т.Г.Шевченка "загальноосвітній навчальний заклад І-ІІІ ступенів дошкільний навчальний заклад" Мостиської Районної Ради Львівської області</t>
  </si>
  <si>
    <t>81312</t>
  </si>
  <si>
    <t>4622487601</t>
  </si>
  <si>
    <t>Черневе</t>
  </si>
  <si>
    <t>вул. Шашкевича, 9</t>
  </si>
  <si>
    <t>(03234)65322</t>
  </si>
  <si>
    <t>Старявська загальноосвітня школа І-ІІ ступенів Мостиського району Львівської області</t>
  </si>
  <si>
    <t>81313</t>
  </si>
  <si>
    <t>4622487604</t>
  </si>
  <si>
    <t>Старява</t>
  </si>
  <si>
    <t>вул. О.Шибуньки, 3</t>
  </si>
  <si>
    <t>(03234)64876</t>
  </si>
  <si>
    <t>Шегинівська загальноосвітня школа І- ІІІ ступенів Шегинівської сільської ради Мостиського району Львівської області</t>
  </si>
  <si>
    <t>81321</t>
  </si>
  <si>
    <t>4622487901</t>
  </si>
  <si>
    <t>Шегині</t>
  </si>
  <si>
    <t>вул. Дружби, 59</t>
  </si>
  <si>
    <t>(03234)63-113</t>
  </si>
  <si>
    <t>Буцівська загальноосвітня школа І-ІІступенів Шегинівської сільської ради</t>
  </si>
  <si>
    <t>81322</t>
  </si>
  <si>
    <t>4622487903</t>
  </si>
  <si>
    <t>Буців</t>
  </si>
  <si>
    <t>Судковицька загальноосвітня школа І - ІІ ступенів</t>
  </si>
  <si>
    <t>81366</t>
  </si>
  <si>
    <t>4622488902</t>
  </si>
  <si>
    <t>Судковичі</t>
  </si>
  <si>
    <t>вул. центральна</t>
  </si>
  <si>
    <t>0989297595</t>
  </si>
  <si>
    <t>Хідновицький навчально - виховний комплекс "загальноосвітній навчальний заклад I-II ступенів - дошкільний навчальний заклад" Мостиської районної ради Львівської області</t>
  </si>
  <si>
    <t>81351</t>
  </si>
  <si>
    <t>4622489001</t>
  </si>
  <si>
    <t>Хідновичі</t>
  </si>
  <si>
    <t>вул. Ів.Франка, 10</t>
  </si>
  <si>
    <t>(234)67-132</t>
  </si>
  <si>
    <t>Жовківська загальноосвітня школа № 2 I-III ступенів Жовківської районної ради Львівської області</t>
  </si>
  <si>
    <t>80300</t>
  </si>
  <si>
    <t>4622710100</t>
  </si>
  <si>
    <t>Жовква</t>
  </si>
  <si>
    <t>вул. Львівська, 37А</t>
  </si>
  <si>
    <t>(032)61445</t>
  </si>
  <si>
    <t>Жовківська загальноосвітня школа І-ІІІ ступенів № 1 Жовківської районної ради Львівської області</t>
  </si>
  <si>
    <t>(03252)21957, (03252)61210</t>
  </si>
  <si>
    <t>https://sites.google.com/site/school1zhovkva/</t>
  </si>
  <si>
    <t>Жовківська загальноосвітня школа І-ІІІ ступенів № 3 Жовківської районної ради</t>
  </si>
  <si>
    <t>вул. Набережна, 2</t>
  </si>
  <si>
    <t>(03252)61270</t>
  </si>
  <si>
    <t>Комунальний заклад Львівської обласної ради "Жовківський навчально-реабілітаційний центр І-ІІІ ступенів "Злагода"</t>
  </si>
  <si>
    <t>вул. Є. Коновальця, 3</t>
  </si>
  <si>
    <t>(03252)21-689</t>
  </si>
  <si>
    <t>22357085</t>
  </si>
  <si>
    <t>Дублянська загальноосвітня школа І - ІІІ ступенів імені Анатолія Жаловаги Жовківської районної ради</t>
  </si>
  <si>
    <t>80381</t>
  </si>
  <si>
    <t>4622710200</t>
  </si>
  <si>
    <t>Дубляни</t>
  </si>
  <si>
    <t>2242290</t>
  </si>
  <si>
    <t>Малопідлісківська загальноосвітня школа І ступеня, Жовківської районної ради Львівської області</t>
  </si>
  <si>
    <t>80382</t>
  </si>
  <si>
    <t>4622710203</t>
  </si>
  <si>
    <t>Малі Підліски</t>
  </si>
  <si>
    <t>вул. Чорновола, 2А</t>
  </si>
  <si>
    <t>Навчально-виховний комплекс "Рава-Руська школа-гімназія" Жовківської районної ради Львівської області</t>
  </si>
  <si>
    <t>80316</t>
  </si>
  <si>
    <t>4622710400</t>
  </si>
  <si>
    <t>Рава-Руська</t>
  </si>
  <si>
    <t>вул. Сірка, 1</t>
  </si>
  <si>
    <t>(03252)4-20-71</t>
  </si>
  <si>
    <t>Опорний навчальний заклад "Рава-Руська загальноосвітня школа № 1 І-ІІІ ступенів"</t>
  </si>
  <si>
    <t>вул. Грушевського, 18</t>
  </si>
  <si>
    <t>Рава-Руська загальноосвітня школа І-ІІІ ступенів № 2 Жовківської районної ради Львівської області</t>
  </si>
  <si>
    <t>ал. Сонячна, 7</t>
  </si>
  <si>
    <t>Спеціалізована школа-інтернат І-ІІІ ступенів м. Рава-Руська</t>
  </si>
  <si>
    <t>вул. Львівська, 68</t>
  </si>
  <si>
    <t>(03252)43383</t>
  </si>
  <si>
    <t>22357335</t>
  </si>
  <si>
    <t>Куликівська загальньоосвітня школа I-III ступенів № 1 Жовківської міської ради Львівської області</t>
  </si>
  <si>
    <t>80362</t>
  </si>
  <si>
    <t>4622755600</t>
  </si>
  <si>
    <t>Куликів</t>
  </si>
  <si>
    <t>вул. Винниченка, 1А</t>
  </si>
  <si>
    <t>Мервичівська загальноосвітня школа I-II ступенів Жовківської районної ради</t>
  </si>
  <si>
    <t>80370</t>
  </si>
  <si>
    <t>4622755607</t>
  </si>
  <si>
    <t>Мервичі</t>
  </si>
  <si>
    <t>вул. Залізнична, 1</t>
  </si>
  <si>
    <t>(03252)31532</t>
  </si>
  <si>
    <t>Опорний навчальний заклад "Магерівська загальноосвітня школа І - ІІІ ступенів Жовківської районної ради Львівської області"</t>
  </si>
  <si>
    <t>80327</t>
  </si>
  <si>
    <t>4622755900</t>
  </si>
  <si>
    <t>Магерів</t>
  </si>
  <si>
    <t>вул. Жовківська, 34</t>
  </si>
  <si>
    <t>(03252)46233, (03252)46266</t>
  </si>
  <si>
    <t>Артасівська загальноосвітня школа I-II ступенів Жовківської ради Львівської області</t>
  </si>
  <si>
    <t>4622780202</t>
  </si>
  <si>
    <t>Артасів</t>
  </si>
  <si>
    <t>ал. Яремчука, 124</t>
  </si>
  <si>
    <t>Боянецька загальноосвітня школа І-ІІ ступенів Жовківської районної ради Львівської області</t>
  </si>
  <si>
    <t>80340</t>
  </si>
  <si>
    <t>4622780401</t>
  </si>
  <si>
    <t>Боянець</t>
  </si>
  <si>
    <t>вул. Івана Франка, 3</t>
  </si>
  <si>
    <t>67526</t>
  </si>
  <si>
    <t>Бишківська загальноосвітня школа I-III ступенів Жовківської районної ради Львівської області</t>
  </si>
  <si>
    <t>80333</t>
  </si>
  <si>
    <t>4622780801</t>
  </si>
  <si>
    <t>Бишків</t>
  </si>
  <si>
    <t>(03252)0325269575</t>
  </si>
  <si>
    <t>https://sites.google.com/site/bushkivschool/</t>
  </si>
  <si>
    <t>Боброїдська ЗОШ</t>
  </si>
  <si>
    <t>80334</t>
  </si>
  <si>
    <t>4622780802</t>
  </si>
  <si>
    <t>Боброїди</t>
  </si>
  <si>
    <t>Великодорошівська загальноосвітня школа І-ІІ ступенів Жовківської районної ради Львівської області</t>
  </si>
  <si>
    <t>4622781001</t>
  </si>
  <si>
    <t>Великий Дорошів</t>
  </si>
  <si>
    <t>вул. Лисенка, 1Б</t>
  </si>
  <si>
    <t>(03252)31794</t>
  </si>
  <si>
    <t>Воля-Висоцький загальноосвітній навчальний заклад І-ІІ ступенів</t>
  </si>
  <si>
    <t>80350</t>
  </si>
  <si>
    <t>4622781201</t>
  </si>
  <si>
    <t>Воля-Висоцька</t>
  </si>
  <si>
    <t>вул. Польова, 6</t>
  </si>
  <si>
    <t>Волицька загальноосвітня школа І - ІІІ ступенів Жовківської районної ради, Львівської області</t>
  </si>
  <si>
    <t>80315</t>
  </si>
  <si>
    <t>4622781401</t>
  </si>
  <si>
    <t>вул. академіка Возняка 239, 239</t>
  </si>
  <si>
    <t>(03252)41106</t>
  </si>
  <si>
    <t>Гійченська загальноосвітня школа І-ІІІ ступенів Жовківської районної ради Львівської області</t>
  </si>
  <si>
    <t>80314</t>
  </si>
  <si>
    <t>4622782001</t>
  </si>
  <si>
    <t>Гійче</t>
  </si>
  <si>
    <t>(03252)41731</t>
  </si>
  <si>
    <t>http://www.school.hiiche.com</t>
  </si>
  <si>
    <t>Глинський навчально-виховний комплекс "загальноосвітній заклад І-ІІІ ст. - дошкільний заклад"</t>
  </si>
  <si>
    <t>80351</t>
  </si>
  <si>
    <t>4622782101</t>
  </si>
  <si>
    <t>(03252)68-588</t>
  </si>
  <si>
    <t>Великогрибовицька загальноосвітня школа І-ІІІ ступенів Жовківської районної ради Львівської області</t>
  </si>
  <si>
    <t>80380</t>
  </si>
  <si>
    <t>4622782301</t>
  </si>
  <si>
    <t>Великі Грибовичі</t>
  </si>
  <si>
    <t>вул. Стуса, 1А</t>
  </si>
  <si>
    <t>(252)33344</t>
  </si>
  <si>
    <t>Малогрибовицька загальноосвітня школа І ступеня Жовківської районної ради Львівської області</t>
  </si>
  <si>
    <t>4622782305</t>
  </si>
  <si>
    <t>Малі Грибовичі</t>
  </si>
  <si>
    <t>2944687</t>
  </si>
  <si>
    <t>Грядівська загальноосвітня школа І-ІІ ступенів Жовківської Районної Ради Львівської області</t>
  </si>
  <si>
    <t>4622782501</t>
  </si>
  <si>
    <t>Гряда</t>
  </si>
  <si>
    <t>(03252)33321</t>
  </si>
  <si>
    <t>Дев'ятирська загальноосвітня школа І-ІІ ступенів Жовківської районної ради Львівської області</t>
  </si>
  <si>
    <t>80321</t>
  </si>
  <si>
    <t>4622783001</t>
  </si>
  <si>
    <t>Дев'ятир</t>
  </si>
  <si>
    <t>Деревнянська загальноосвітня школа І-ІІІ ступенів Жовківської районної ради Львівської області</t>
  </si>
  <si>
    <t>80343</t>
  </si>
  <si>
    <t>4622783101</t>
  </si>
  <si>
    <t>Деревня</t>
  </si>
  <si>
    <t>вул. Л. Українки, 7А</t>
  </si>
  <si>
    <t>(252)66177</t>
  </si>
  <si>
    <t>Добросинська загальноосвітня школа I -III ступенів Жовківської районної ради Львівської області</t>
  </si>
  <si>
    <t>80337</t>
  </si>
  <si>
    <t>4622783201</t>
  </si>
  <si>
    <t>Добросин</t>
  </si>
  <si>
    <t>вул. Учительська, 40 А</t>
  </si>
  <si>
    <t>(032)5260363</t>
  </si>
  <si>
    <t>Пилівська загальноосвітня школа I ступеня Жовської районної ради Львівської області</t>
  </si>
  <si>
    <t>4622783211</t>
  </si>
  <si>
    <t>Пили</t>
  </si>
  <si>
    <t>вул. Шкільна, 59Б</t>
  </si>
  <si>
    <t>(096)3688483</t>
  </si>
  <si>
    <t>Забірська загальноосвітня школа І-ІІ ступенів</t>
  </si>
  <si>
    <t>80313</t>
  </si>
  <si>
    <t>4622783501</t>
  </si>
  <si>
    <t>(03252)45771</t>
  </si>
  <si>
    <t>Синьковицька загальноосвітня школа І-ІІ ступенів</t>
  </si>
  <si>
    <t>4622783502</t>
  </si>
  <si>
    <t>Синьковичі</t>
  </si>
  <si>
    <t>вул. Клубна, 17</t>
  </si>
  <si>
    <t>(032-52)45102</t>
  </si>
  <si>
    <t>Замківська загальноосвітня школа І-ІІІ ступенів Жовківської районної ради Львівсько області</t>
  </si>
  <si>
    <t>80322</t>
  </si>
  <si>
    <t>4622783801</t>
  </si>
  <si>
    <t>Замок</t>
  </si>
  <si>
    <t>(03252)46730</t>
  </si>
  <si>
    <t>Монастироцька загальноосвітня школа І ступеня Жовківської районної ради Львівської області</t>
  </si>
  <si>
    <t>80326</t>
  </si>
  <si>
    <t>4622783813</t>
  </si>
  <si>
    <t>Монастирок</t>
  </si>
  <si>
    <t>(252)46713</t>
  </si>
  <si>
    <t>Замочківська загальноосвітня школа I-II стуренів Жовківської районної ради Львівської області</t>
  </si>
  <si>
    <t>80338</t>
  </si>
  <si>
    <t>4622783901</t>
  </si>
  <si>
    <t>Замочок</t>
  </si>
  <si>
    <t>вул. Шевченка, 89Г</t>
  </si>
  <si>
    <t>(03252)65519</t>
  </si>
  <si>
    <t>https://sites.google.com/site/zoshzamochok/</t>
  </si>
  <si>
    <t>Зашківська загальноосвітня школа I-III ступенів ім. Є.Коновальця Жовківської районної ради Львівської області</t>
  </si>
  <si>
    <t>80375</t>
  </si>
  <si>
    <t>4622784101</t>
  </si>
  <si>
    <t>Зашків</t>
  </si>
  <si>
    <t>вул. Є.Коновальця, 146</t>
  </si>
  <si>
    <t>34250</t>
  </si>
  <si>
    <t>Зарудцівська загальноосвітня школа, I-II ступенів, Жовківської районної ради</t>
  </si>
  <si>
    <t>4622784103</t>
  </si>
  <si>
    <t>Зарудці</t>
  </si>
  <si>
    <t>вул. Івана Франка, 116</t>
  </si>
  <si>
    <t>Кам'яногірська загальньоосвітня школа І-ІІ ступенів Жовківської районної ради</t>
  </si>
  <si>
    <t>80324</t>
  </si>
  <si>
    <t>4622784201</t>
  </si>
  <si>
    <t>Кам'яна Гора</t>
  </si>
  <si>
    <t>вул. Б. Хмельницького, 58,а</t>
  </si>
  <si>
    <t>(03252)45516</t>
  </si>
  <si>
    <t>Крехівська загальноосвітня школа І-ІІ ступенів Жовківської районної ради</t>
  </si>
  <si>
    <t>80352</t>
  </si>
  <si>
    <t>4622784401</t>
  </si>
  <si>
    <t>Крехів</t>
  </si>
  <si>
    <t>вул. Б.Хмельницького, 42</t>
  </si>
  <si>
    <t>(252)66-431</t>
  </si>
  <si>
    <t>Майданська загальноосвітня школа І ступеня Жовківської районної ради Львівської області</t>
  </si>
  <si>
    <t>4622784404</t>
  </si>
  <si>
    <t>вул. С.Бандери, 55</t>
  </si>
  <si>
    <t>Руда-Крехівська загальноосвітня школа І ступеня Жовківської районної ради Львівської області</t>
  </si>
  <si>
    <t>4622784407</t>
  </si>
  <si>
    <t>Руда-Крехівська</t>
  </si>
  <si>
    <t>вул. Л . Українки, 31</t>
  </si>
  <si>
    <t>(098)2630330</t>
  </si>
  <si>
    <t>Кулявська загальноосвітня школа І ступеня Жовківської районної ради Львівської області</t>
  </si>
  <si>
    <t>80332</t>
  </si>
  <si>
    <t>4622784501</t>
  </si>
  <si>
    <t>Кулява</t>
  </si>
  <si>
    <t>вул. Богдана Хмельницького</t>
  </si>
  <si>
    <t>(098)1247616</t>
  </si>
  <si>
    <t>Кунинська загальноосвітня школа І-ІІ ступенів Жовківської районної ради Львівської області</t>
  </si>
  <si>
    <t>80339</t>
  </si>
  <si>
    <t>4622784601</t>
  </si>
  <si>
    <t>Кунин</t>
  </si>
  <si>
    <t>вул. Богдана Хмельницького, 80</t>
  </si>
  <si>
    <t>(03252)69477</t>
  </si>
  <si>
    <t>http://www.kunyn-zosh.edukit.lviv.ua/</t>
  </si>
  <si>
    <t>Хитрейківська загальноосвітня школа І-ІІ ступенів Жовківської районної ради Львівської області</t>
  </si>
  <si>
    <t>4622784605</t>
  </si>
  <si>
    <t>Хитрейки</t>
  </si>
  <si>
    <t>вул. Шкільна, 74</t>
  </si>
  <si>
    <t>(098)8133327</t>
  </si>
  <si>
    <t>Купичвільська загальноосвітня школа І-ІІ ступенів Жовківської районної ради Львівської області</t>
  </si>
  <si>
    <t>80341</t>
  </si>
  <si>
    <t>4622784701</t>
  </si>
  <si>
    <t>Купичволя</t>
  </si>
  <si>
    <t>вул. Свободи, 13</t>
  </si>
  <si>
    <t>(097)111568</t>
  </si>
  <si>
    <t>Лавриківська загальноосвітня школа І-ІІІ ступенів Жовківської районної ради Львівської області</t>
  </si>
  <si>
    <t>80335</t>
  </si>
  <si>
    <t>4622784801</t>
  </si>
  <si>
    <t>Лавриків</t>
  </si>
  <si>
    <t>вул. Клубна, 32</t>
  </si>
  <si>
    <t>Городжівська загальноосвітня школа І ступеня Жовківської районної ради Львівської області</t>
  </si>
  <si>
    <t>80336</t>
  </si>
  <si>
    <t>4622784806</t>
  </si>
  <si>
    <t>Городжів</t>
  </si>
  <si>
    <t>Кіптівська загальноосвітня школа І ступеня Жовківської районної ради Львівської області</t>
  </si>
  <si>
    <t>4622784807</t>
  </si>
  <si>
    <t>Кіпті</t>
  </si>
  <si>
    <t>вул. Кіпті, 2</t>
  </si>
  <si>
    <t>Липницька загальноосвітня школа І-ІІІ ступенів Жовківської районної ради Львівської області</t>
  </si>
  <si>
    <t>80318</t>
  </si>
  <si>
    <t>4622785201</t>
  </si>
  <si>
    <t>Липник</t>
  </si>
  <si>
    <t>вул. Гайові, 101</t>
  </si>
  <si>
    <t>(03252)41220</t>
  </si>
  <si>
    <t>Голокам'янська загальноосвітня школа І ступеня</t>
  </si>
  <si>
    <t>4622785203</t>
  </si>
  <si>
    <t>Голокам'янка</t>
  </si>
  <si>
    <t>вул. Голокам'янка, 1</t>
  </si>
  <si>
    <t>0672980058</t>
  </si>
  <si>
    <t>Дубрівська загальноосвітня школа І ступеня Жовківської районної ради</t>
  </si>
  <si>
    <t>4622785205</t>
  </si>
  <si>
    <t>вул. Дубрівка</t>
  </si>
  <si>
    <t>Равська загальноосвітня школа І-ІІ ступенів Жовківської районної ради Львівської області</t>
  </si>
  <si>
    <t>4622785215</t>
  </si>
  <si>
    <t>Равське</t>
  </si>
  <si>
    <t>вул. Равська, 56</t>
  </si>
  <si>
    <t>(252)41313</t>
  </si>
  <si>
    <t>Старосільська загальноосвітня школа І-ІІ ступенів Жовківської районної ради Львівської області</t>
  </si>
  <si>
    <t>4622785217</t>
  </si>
  <si>
    <t>вул. Гончарі, 37</t>
  </si>
  <si>
    <t>Любельська загальноосвітня школа I-III ступенів Жовківської районної ради Львівської області</t>
  </si>
  <si>
    <t>80331</t>
  </si>
  <si>
    <t>4622785501</t>
  </si>
  <si>
    <t>Любеля</t>
  </si>
  <si>
    <t>вул. Шевченка, 52Б</t>
  </si>
  <si>
    <t>(66)741</t>
  </si>
  <si>
    <t>https://sites.google.com/site/romankochut/liubeliaschool</t>
  </si>
  <si>
    <t>Малехівська загальноосвітня школа I - II ступенів Жовківської районної ради Львівської області</t>
  </si>
  <si>
    <t>80383</t>
  </si>
  <si>
    <t>4622785701</t>
  </si>
  <si>
    <t>Малехів</t>
  </si>
  <si>
    <t>вул. Коновальця, 7</t>
  </si>
  <si>
    <t>(032)2245763</t>
  </si>
  <si>
    <t>Мацошинська ЗОШ І-ІІ ступенів Жовківської районної ради</t>
  </si>
  <si>
    <t>80357</t>
  </si>
  <si>
    <t>4622785840</t>
  </si>
  <si>
    <t>Мацошин</t>
  </si>
  <si>
    <t>(03252)67665</t>
  </si>
  <si>
    <t>Мокротинська загальноосвітня школа І-ІІІ ступенів Жовківської районної ради Львівської області</t>
  </si>
  <si>
    <t>80355</t>
  </si>
  <si>
    <t>4622785901</t>
  </si>
  <si>
    <t>Мокротин</t>
  </si>
  <si>
    <t>вул. Лозинка, 1</t>
  </si>
  <si>
    <t>(90325265)223</t>
  </si>
  <si>
    <t>Гребінцівська загальноосвітня школа І-ІІ ступенів Надичівської сільської ради Жовківського району Львівської області</t>
  </si>
  <si>
    <t>4622786403</t>
  </si>
  <si>
    <t>Гребінці</t>
  </si>
  <si>
    <t>(0252)31-436</t>
  </si>
  <si>
    <t>Звертівська загальноосвітня школа Жовківської районної ради Львівської області</t>
  </si>
  <si>
    <t>4622786404</t>
  </si>
  <si>
    <t>Звертів</t>
  </si>
  <si>
    <t>0674287496</t>
  </si>
  <si>
    <t>Стронятинська загальноосвітня школа І-ІІ ступенів Жовківської районної ради</t>
  </si>
  <si>
    <t>4622786407</t>
  </si>
  <si>
    <t>Стронятин</t>
  </si>
  <si>
    <t>вул. Підланки, 62</t>
  </si>
  <si>
    <t>Сулимівська загальноосвітня школа І-ІІ ступенів Жовківської районної ради Львівської області</t>
  </si>
  <si>
    <t>08037</t>
  </si>
  <si>
    <t>4622786408</t>
  </si>
  <si>
    <t>Сулимів</t>
  </si>
  <si>
    <t>(03252)35511</t>
  </si>
  <si>
    <t>Новокам'янська загальноосвітня школа I-III ступенів Жовківської районної ради Львівської області</t>
  </si>
  <si>
    <t>80330</t>
  </si>
  <si>
    <t>4622786701</t>
  </si>
  <si>
    <t>Нова Кам'янка</t>
  </si>
  <si>
    <t>вул. Лесі Українки, 4</t>
  </si>
  <si>
    <t>(03252)45438</t>
  </si>
  <si>
    <t>http://novakamjanka.at.ua</t>
  </si>
  <si>
    <t>Новоскварявська загальноосвітня школа І-ІІІ ступенів Жовківської районної ради Львівської області</t>
  </si>
  <si>
    <t>80353</t>
  </si>
  <si>
    <t>4622787101</t>
  </si>
  <si>
    <t>Нова Скварява</t>
  </si>
  <si>
    <t>(252)67-358</t>
  </si>
  <si>
    <t>http://novoskvariavska-zosh.iviv.sch.in.ua</t>
  </si>
  <si>
    <t>Зіболківська загальноосвітня школа I-III ступенів Жовківської ради Львівської області</t>
  </si>
  <si>
    <t>80360</t>
  </si>
  <si>
    <t>4622787201</t>
  </si>
  <si>
    <t>Зіболки</t>
  </si>
  <si>
    <t>(03252)68-266</t>
  </si>
  <si>
    <t>Малопередримихівська загальноосвітня школа І-ІІ степенів Жовківської районної ради</t>
  </si>
  <si>
    <t>4622787207</t>
  </si>
  <si>
    <t>Малі Передримихи</t>
  </si>
  <si>
    <t>(03252)-68278</t>
  </si>
  <si>
    <t>https://sites.google.com/site/maliperedrymyhy/</t>
  </si>
  <si>
    <t>Погариська загальноовітня школа І ступеня Жовківської районної ради Львівської області</t>
  </si>
  <si>
    <t>80325</t>
  </si>
  <si>
    <t>4622787301</t>
  </si>
  <si>
    <t>Погарисько</t>
  </si>
  <si>
    <t>вул. І.Франка, 33А</t>
  </si>
  <si>
    <t>45873</t>
  </si>
  <si>
    <t>Думичівська загальноосвітня школа І ступеня Жовківської районної ради Львівської області</t>
  </si>
  <si>
    <t>4622787303</t>
  </si>
  <si>
    <t>Думичі</t>
  </si>
  <si>
    <t>вул. Л. Українки, 35. а</t>
  </si>
  <si>
    <t>(03252)45872</t>
  </si>
  <si>
    <t>Зубейківська загальноосвітня школа І ступеня Жовківської районної ради Львівської області</t>
  </si>
  <si>
    <t>4622787402</t>
  </si>
  <si>
    <t>Зубейки</t>
  </si>
  <si>
    <t>вул. Леся Мартовича</t>
  </si>
  <si>
    <t>Потелицька загальноосвітня школа І-ІІІ ступенів Жовківської районної ради Львівської області</t>
  </si>
  <si>
    <t>80320</t>
  </si>
  <si>
    <t>4622787601</t>
  </si>
  <si>
    <t>Потелич</t>
  </si>
  <si>
    <t>вул. Центральна, 120А</t>
  </si>
  <si>
    <t>(252)41-435</t>
  </si>
  <si>
    <t>Гута-Обединська загальноосвітня школа І ступеня Жовківського району львівської області</t>
  </si>
  <si>
    <t>4622787619</t>
  </si>
  <si>
    <t>Гута Обединська</t>
  </si>
  <si>
    <t>вул. Лугова, 30</t>
  </si>
  <si>
    <t>(097)5443903</t>
  </si>
  <si>
    <t>Річківська загальноосвітня школа І-ІІ ступенів Жовківської районної ради Львівської області</t>
  </si>
  <si>
    <t>80310</t>
  </si>
  <si>
    <t>4622787901</t>
  </si>
  <si>
    <t>Річки</t>
  </si>
  <si>
    <t>(03252)45335</t>
  </si>
  <si>
    <t>https://skolarichky.wordpress.com</t>
  </si>
  <si>
    <t>Смереківський загальноосвітній навчальний заклад І-ІІ ст. Жовківської районної ради Львівської області</t>
  </si>
  <si>
    <t>80358</t>
  </si>
  <si>
    <t>4622788501</t>
  </si>
  <si>
    <t>Смереків</t>
  </si>
  <si>
    <t>(03252)67076</t>
  </si>
  <si>
    <t>Сопошинська загальноосвітня школа І-ІІІ ступенів Жовківської районної ради Львівської області</t>
  </si>
  <si>
    <t>80356</t>
  </si>
  <si>
    <t>4622788801</t>
  </si>
  <si>
    <t>Сопошин</t>
  </si>
  <si>
    <t>вул. Василя Стуса, 4</t>
  </si>
  <si>
    <t>(03252)67615, (03252)67655</t>
  </si>
  <si>
    <t>Староскварявська ЗОШ І-ІІІ ступенів Жовківської районної ради Львівської області</t>
  </si>
  <si>
    <t>80354</t>
  </si>
  <si>
    <t>4622789001</t>
  </si>
  <si>
    <t>Стара Скварява</t>
  </si>
  <si>
    <t>вул. Т.Шевченка, 6</t>
  </si>
  <si>
    <t>(03252)21223</t>
  </si>
  <si>
    <t>Туринківська загальноосвітня школа І-ІІІ ступенів Жовківської районної ради Львівської області</t>
  </si>
  <si>
    <t>80342</t>
  </si>
  <si>
    <t>4622789201</t>
  </si>
  <si>
    <t>Туринка</t>
  </si>
  <si>
    <t>вул. Б. Хмельницького, 23</t>
  </si>
  <si>
    <t>В'язівська ЗОШ І-ІІ ступенів Жовківської районної ради Львівської області</t>
  </si>
  <si>
    <t>4622789202</t>
  </si>
  <si>
    <t>В'язова</t>
  </si>
  <si>
    <t>вул. Шевчекнка, 1</t>
  </si>
  <si>
    <t>(1)0979819571</t>
  </si>
  <si>
    <t>Миколаївська гімназія Миколаївської районної ради Львівської області</t>
  </si>
  <si>
    <t>81600</t>
  </si>
  <si>
    <t>4623010100</t>
  </si>
  <si>
    <t>Миколаїв</t>
  </si>
  <si>
    <t>пл. Ринок, 23</t>
  </si>
  <si>
    <t>(241)51143, (241)51380</t>
  </si>
  <si>
    <t>http://mykgimnazija.at.ua</t>
  </si>
  <si>
    <t>Миколаївська загальноосвітня школа І ступеня</t>
  </si>
  <si>
    <t>(241)50-143</t>
  </si>
  <si>
    <t>Миколаївська загальгоосвітня школа І-ІІІ ступенів № 1 Миколаївської районної ради Львівської області</t>
  </si>
  <si>
    <t>вул. Львівська, 15</t>
  </si>
  <si>
    <t>0324151274, 0324151737</t>
  </si>
  <si>
    <t>Миколаївський навчально-виховний комплекс "Загальноосвітній навчальний заклад І-ІІІ ст. - дошкільний навчальний заклад" Миколаївської районної ради Львівської області</t>
  </si>
  <si>
    <t>вул. І.Мазепи, 15</t>
  </si>
  <si>
    <t>(241)51693</t>
  </si>
  <si>
    <t>http://mukolaiv-sh2.at.ua</t>
  </si>
  <si>
    <t>Роздільська загальноосвітня школа І-ІІІ ступенів Миколаївської районної ради Львівської області</t>
  </si>
  <si>
    <t>81650</t>
  </si>
  <si>
    <t>4623055400</t>
  </si>
  <si>
    <t>Розділ</t>
  </si>
  <si>
    <t>вул. Січових Стрільців, 44</t>
  </si>
  <si>
    <t>(03241)64197</t>
  </si>
  <si>
    <t>Гранки-Кутівська загальноосвітня школа І-ІІ ступенів Миколаївської районної ради Львівської області</t>
  </si>
  <si>
    <t>81658</t>
  </si>
  <si>
    <t>4623080402</t>
  </si>
  <si>
    <t>Гранки-Кути</t>
  </si>
  <si>
    <t>(03261)29182</t>
  </si>
  <si>
    <t>Березинська загальноосвітня школа І-ІІІ ступенів імені А. Марунчака Миколаївської районної ради Львівської області</t>
  </si>
  <si>
    <t>81616</t>
  </si>
  <si>
    <t>4623080601</t>
  </si>
  <si>
    <t>(241)64251</t>
  </si>
  <si>
    <t>http://www.berezunaschool.ucoz.ua/</t>
  </si>
  <si>
    <t>Більченський навчально-виховний комплекс (загальноосвітній навчальний заклад - дошкільний навчальний заклад) Миколаївської районної ради Львівської області</t>
  </si>
  <si>
    <t>81644</t>
  </si>
  <si>
    <t>4623080801</t>
  </si>
  <si>
    <t>Більче</t>
  </si>
  <si>
    <t>(03241)60741</t>
  </si>
  <si>
    <t>http://bilchenskij-nvk.webnode.com.ua/</t>
  </si>
  <si>
    <t>Болонська загальносвітня школа І ступеня</t>
  </si>
  <si>
    <t>61644</t>
  </si>
  <si>
    <t>4623080802</t>
  </si>
  <si>
    <t>Болоня</t>
  </si>
  <si>
    <t>(60)724</t>
  </si>
  <si>
    <t>Бродківська загальноосвітня школа І-ІІ ступенів Миколаївського району Львівської області</t>
  </si>
  <si>
    <t>81612</t>
  </si>
  <si>
    <t>4623081201</t>
  </si>
  <si>
    <t>Бродки</t>
  </si>
  <si>
    <t>вул. Липова, 5</t>
  </si>
  <si>
    <t>(03241)63236</t>
  </si>
  <si>
    <t>Тростянецький навчально-виховний комплекс (загальноосвітній навчальний заклад-дошкільний навчальний заклад) Миколаївського району Львівської області</t>
  </si>
  <si>
    <t>81614</t>
  </si>
  <si>
    <t>4623081205</t>
  </si>
  <si>
    <t>вул. Ів.Франка, 17</t>
  </si>
  <si>
    <t>(03241)66131</t>
  </si>
  <si>
    <t>Великогорожаннівська загальноосвітня школа І-ІІІ ступенів Миколаївської районної ради Львівської області</t>
  </si>
  <si>
    <t>81620</t>
  </si>
  <si>
    <t>4623081601</t>
  </si>
  <si>
    <t>Велика Горожанна</t>
  </si>
  <si>
    <t>(241)63140</t>
  </si>
  <si>
    <t>Веринська загальноосвітня школа І-ІІ ступенів Миколаївської районної ради Львівської області</t>
  </si>
  <si>
    <t>81635</t>
  </si>
  <si>
    <t>4623081801</t>
  </si>
  <si>
    <t>Верин</t>
  </si>
  <si>
    <t>вул. Біласа і Данилишина, 5</t>
  </si>
  <si>
    <t>(241)68-245</t>
  </si>
  <si>
    <t>Дроговизький навчально-виховний комплекс "загальноосвітній навчальний заклад-дошкільний навчальний заклад" Миколаївської районної ради Львівської області</t>
  </si>
  <si>
    <t>81632</t>
  </si>
  <si>
    <t>4623082001</t>
  </si>
  <si>
    <t>Дроговиж</t>
  </si>
  <si>
    <t>(241)65-578, (241)65-508</t>
  </si>
  <si>
    <t>http://sdrogovyzhschool.blogspot.com/</t>
  </si>
  <si>
    <t>Устянська загальноосвітня школа І-ІІ ступенів Миколаївської районної ради Львівської області</t>
  </si>
  <si>
    <t>81633</t>
  </si>
  <si>
    <t>4623082002</t>
  </si>
  <si>
    <t>(063)333</t>
  </si>
  <si>
    <t>http://ustya.ucoz.ua</t>
  </si>
  <si>
    <t>Вербізька загальноосвітня школа І - ІІ ступеня Миколаївської районної ради Львівської області</t>
  </si>
  <si>
    <t>81631</t>
  </si>
  <si>
    <t>4623082402</t>
  </si>
  <si>
    <t>Вербіж</t>
  </si>
  <si>
    <t>вул. 24 серпня, 5</t>
  </si>
  <si>
    <t>(03241)61623</t>
  </si>
  <si>
    <t>Горішненська загальноосвітня школа І-ІІ ступенів Миколаївської районної ради Львівської області</t>
  </si>
  <si>
    <t>81656</t>
  </si>
  <si>
    <t>4623082801</t>
  </si>
  <si>
    <t>(241)21598</t>
  </si>
  <si>
    <t>http://school-horishne.ucoz.ua</t>
  </si>
  <si>
    <t>Гірський навчально-виховний комплекс (загальноосвітня школа І-ІІІ ступенів - дошкільний навчальний заклад) Миколаївської районної ради Львівської області</t>
  </si>
  <si>
    <t>81625</t>
  </si>
  <si>
    <t>4623083201</t>
  </si>
  <si>
    <t>(241)66-520</t>
  </si>
  <si>
    <t>http://girskij-nvk.webnode.com.ua</t>
  </si>
  <si>
    <t>Держівська загальноосвітня школа І-ІІ ступенів Миколаївської районної ради Львівської області</t>
  </si>
  <si>
    <t>81645</t>
  </si>
  <si>
    <t>4623083601</t>
  </si>
  <si>
    <t>Держів</t>
  </si>
  <si>
    <t>(03241)67-807, (03241)67-855</t>
  </si>
  <si>
    <t>Демнянський навчально-виховний комплекс (загальноосвітній навчальний заклад - дошкільний навчальний заклад) Миколаївського району Львівської області</t>
  </si>
  <si>
    <t>81613</t>
  </si>
  <si>
    <t>4623084001</t>
  </si>
  <si>
    <t>Демня</t>
  </si>
  <si>
    <t>(03241)62348</t>
  </si>
  <si>
    <t>http://www.demnyanvk.at.ua</t>
  </si>
  <si>
    <t>Київецький навчально-виховний комплекс "загальноосвітня школа І - ІІІ ст.-дошкільний навчальний заклад" Миколаївської районної ради Львівської області</t>
  </si>
  <si>
    <t>81646</t>
  </si>
  <si>
    <t>4623084201</t>
  </si>
  <si>
    <t>Київець</t>
  </si>
  <si>
    <t>(245)67431</t>
  </si>
  <si>
    <t>Колодрубівська ЗОШ І-ІІІ ступенів Миколаївської районної ради Львівської області</t>
  </si>
  <si>
    <t>81624</t>
  </si>
  <si>
    <t>4623084401</t>
  </si>
  <si>
    <t>Колодруби</t>
  </si>
  <si>
    <t>вул. Івана Франка, 24</t>
  </si>
  <si>
    <t>0324160052</t>
  </si>
  <si>
    <t>Криницька загальноосвітня школа І-ІІ ступенів Миколаївської районної ради Львівської області</t>
  </si>
  <si>
    <t>81642</t>
  </si>
  <si>
    <t>4623085201</t>
  </si>
  <si>
    <t>Криниця</t>
  </si>
  <si>
    <t>вул. Дрогобицька, 45</t>
  </si>
  <si>
    <t>(096)9524841</t>
  </si>
  <si>
    <t>Крупська загальнооосвітня школа І-ІІ ступенів Миколаївської районної ради Львівської області</t>
  </si>
  <si>
    <t>81636</t>
  </si>
  <si>
    <t>4623085401</t>
  </si>
  <si>
    <t>Крупське</t>
  </si>
  <si>
    <t>вул. Володимира Великого, 130</t>
  </si>
  <si>
    <t>(03241)62436</t>
  </si>
  <si>
    <t>http://krupskaschool.jimdo.com</t>
  </si>
  <si>
    <t>Новосілко-Опарська загальноосвітня школа І-ІІІ ступенів Миколаївської районної ради Львівської області</t>
  </si>
  <si>
    <t>81621</t>
  </si>
  <si>
    <t>4623086001</t>
  </si>
  <si>
    <t>Новосілки-Опарські</t>
  </si>
  <si>
    <t>(03241)68633</t>
  </si>
  <si>
    <t>http://novosilkaschool.ucoz.ua</t>
  </si>
  <si>
    <t>Малогорожанківська загальноосвітня школа І-ІІ ступенів Миколаївської районної ради Львівської області</t>
  </si>
  <si>
    <t>81622</t>
  </si>
  <si>
    <t>4623086005</t>
  </si>
  <si>
    <t>Мала Горожанна</t>
  </si>
  <si>
    <t>вул. Січових стрільців, 48</t>
  </si>
  <si>
    <t>(03241)68-683</t>
  </si>
  <si>
    <t>http://mgschool.ucoz.ua</t>
  </si>
  <si>
    <t>Надітицька загальноосвітня школа І ступеня</t>
  </si>
  <si>
    <t>81640</t>
  </si>
  <si>
    <t>4623086403</t>
  </si>
  <si>
    <t>Надітичі</t>
  </si>
  <si>
    <t>вул. І. Франка, 12</t>
  </si>
  <si>
    <t>Черницький начально-виховний комплекс "загальноосвітній навчальний заклад І-ІІІ ст. - дошкільний навчальний заклад" Миколаївської районної ради Львівської області</t>
  </si>
  <si>
    <t>81641</t>
  </si>
  <si>
    <t>4623086407</t>
  </si>
  <si>
    <t>вул. Майдан УСС, 5</t>
  </si>
  <si>
    <t>0324161029</t>
  </si>
  <si>
    <t>http://chernytsya.ucoz.ua</t>
  </si>
  <si>
    <t>Раделицький навчально-виховний комплекс (загальноосвітній навчальний заклад - дошкільний навчальний заклад) Миколаївської районної ради Львівської області</t>
  </si>
  <si>
    <t>81626</t>
  </si>
  <si>
    <t>4623086601</t>
  </si>
  <si>
    <t>Раделичі</t>
  </si>
  <si>
    <t>(03241)66625</t>
  </si>
  <si>
    <t>http://radeluchi-nvk.ucoz.ua/</t>
  </si>
  <si>
    <t>Розвадівська загальноосвітня школа І-ІІІ ступенів Миколаївської районної ради Львівської області</t>
  </si>
  <si>
    <t>81634</t>
  </si>
  <si>
    <t>4623086801</t>
  </si>
  <si>
    <t>Розвадів</t>
  </si>
  <si>
    <t>вул. Біласа і Данилишина, 16</t>
  </si>
  <si>
    <t>(241)69-666</t>
  </si>
  <si>
    <t>http://rozvadivschool.at.ua</t>
  </si>
  <si>
    <t>РУДНИКІВСЬКИЙ НАВЧАЛЬНО-ВИХОВНИЙ КОМПЛЕКС "ЗАГАЛЬНООСВІТНІЙ НАВЧАЛЬНИЙ ЗАКЛАД І-ІІІ СТ.-ДОШКІЛЬНИЙ НАВЧАЛЬНИЙ ЗАКЛАД" МИКОЛАЇВСЬКОЇ РАЙОННОЇ РАДИ ЛЬВІВСЬКОЇ ОБЛАСТІ</t>
  </si>
  <si>
    <t>4623087201</t>
  </si>
  <si>
    <t>(241)65251</t>
  </si>
  <si>
    <t>Тужанівська загальноосвітня школа І-ІІ ступенів Миколаївської районної ради Львівської області</t>
  </si>
  <si>
    <t>81657</t>
  </si>
  <si>
    <t>4623087405</t>
  </si>
  <si>
    <t>Тужанівці</t>
  </si>
  <si>
    <t>вул. Наддністрянська, 23</t>
  </si>
  <si>
    <t>(03261)29326</t>
  </si>
  <si>
    <t>http://tyzhanivtsizosh.ucoz.ua/</t>
  </si>
  <si>
    <t>Стільський навчально - виховний комплекс (загальноосвітній навчальний заклад - дошкільний навчальний заклад) Миколаївського району Львівської області</t>
  </si>
  <si>
    <t>81615</t>
  </si>
  <si>
    <t>4623087601</t>
  </si>
  <si>
    <t>Стільсько</t>
  </si>
  <si>
    <t>(0324163)438</t>
  </si>
  <si>
    <t>http://stilskoschool.at.ua</t>
  </si>
  <si>
    <t>Тернопільська загальноосвітня школа І-ІІІ ступенів Миколаївського району Львівської області</t>
  </si>
  <si>
    <t>81610</t>
  </si>
  <si>
    <t>4623088001</t>
  </si>
  <si>
    <t>Тернопілля</t>
  </si>
  <si>
    <t>вул. Устияновича, 13</t>
  </si>
  <si>
    <t>http://ternohillia.ucoz.ua</t>
  </si>
  <si>
    <t>Липівська загальноосвітня школа І-ІІІ ступенів Миколаївського району Львівської області</t>
  </si>
  <si>
    <t>81605</t>
  </si>
  <si>
    <t>4623088201</t>
  </si>
  <si>
    <t>вул. Сихівська, 10</t>
  </si>
  <si>
    <t>(03241)49275, (03241)49314</t>
  </si>
  <si>
    <t>http://lypivkaschool.at.ua/</t>
  </si>
  <si>
    <t>Опорний загальноосвітній навчальний заклад "Перемишлянська загальноосвітня школа-гімназія І-ІІІ ступенів" Перемишлянської районної ради Львівської області</t>
  </si>
  <si>
    <t>81200</t>
  </si>
  <si>
    <t>4623310100</t>
  </si>
  <si>
    <t>Перемишляни</t>
  </si>
  <si>
    <t>вул. Привокзальна, 11</t>
  </si>
  <si>
    <t>(067)7293819</t>
  </si>
  <si>
    <t>Опорний загальноосвітній навчальний заклад "Перемишлянська загальноосвітня школа І-ІІІ ступенів імені Омеляна Ковча" Перемишлянської районної ради, Львіської області</t>
  </si>
  <si>
    <t>вул. Галицька, 32</t>
  </si>
  <si>
    <t>(3263)21206, (3263)21866</t>
  </si>
  <si>
    <t>ОЗНЗ "Бібрська ЗОШ І-ІІІ ст. імені Уляни Кравченко"</t>
  </si>
  <si>
    <t>81220</t>
  </si>
  <si>
    <t>4623310300</t>
  </si>
  <si>
    <t>Бібрка</t>
  </si>
  <si>
    <t>вул. Уляни Кравченко, 2</t>
  </si>
  <si>
    <t>(263)43115</t>
  </si>
  <si>
    <t>Навчально- виховний комплекс "загальноосвітній заклад І-ІІ ступенів - дошкільний навчальний заклад" с.Бачів Перемишлянської районної ради</t>
  </si>
  <si>
    <t>81264</t>
  </si>
  <si>
    <t>4623380306</t>
  </si>
  <si>
    <t>Бачів</t>
  </si>
  <si>
    <t>53316</t>
  </si>
  <si>
    <t>Білецька загальноосвітня школа І-ІІ ст.</t>
  </si>
  <si>
    <t>81235</t>
  </si>
  <si>
    <t>4623380401</t>
  </si>
  <si>
    <t>Біле</t>
  </si>
  <si>
    <t>вул. Батьківщина, 1</t>
  </si>
  <si>
    <t>Новосілківська загальноосвітня школа ІступеняПеремишлянської районної ради Львівської області</t>
  </si>
  <si>
    <t>4623380402</t>
  </si>
  <si>
    <t>0952043266</t>
  </si>
  <si>
    <t>Добряницька загальноосвітня школа І-ІІ ступенів</t>
  </si>
  <si>
    <t>81252</t>
  </si>
  <si>
    <t>4623380601</t>
  </si>
  <si>
    <t>Добряничі</t>
  </si>
  <si>
    <t>(096)2457854</t>
  </si>
  <si>
    <t>Тучненська загальноосвітня школа І-ІІ ст.Перемишлянської районної ради Львівської області</t>
  </si>
  <si>
    <t>81253</t>
  </si>
  <si>
    <t>4623380603</t>
  </si>
  <si>
    <t>Тучне</t>
  </si>
  <si>
    <t>(38)0973847281</t>
  </si>
  <si>
    <t>Болотнянська загальноосвітня школа І-ІІІ ступенів Перемишлянської районної ради Львівської області</t>
  </si>
  <si>
    <t>81261</t>
  </si>
  <si>
    <t>4623380701</t>
  </si>
  <si>
    <t>Болотня</t>
  </si>
  <si>
    <t>(03263)5-02-49</t>
  </si>
  <si>
    <t>Боршівська загальноосвітня школа І - ІІ ступенів Перемишлянської районної ради Львівської оласті</t>
  </si>
  <si>
    <t>81232</t>
  </si>
  <si>
    <t>4623381001</t>
  </si>
  <si>
    <t>вул. отця Боднара, 85</t>
  </si>
  <si>
    <t>(3263)22153</t>
  </si>
  <si>
    <t>Навчально-виховний комплекс "загально-освітній навчальний заклад І-ІІІ ступенів - дошкільний навчальний заклад" с.Костенів Перемишлянської районної ради Львівської області</t>
  </si>
  <si>
    <t>81245</t>
  </si>
  <si>
    <t>4623381403</t>
  </si>
  <si>
    <t>Костенів</t>
  </si>
  <si>
    <t>(263)55535</t>
  </si>
  <si>
    <t>Великоглібовицька загальноосвітня школа І - ІІІ ступенів імені Юліана Головінського Перемишлянської районної ради Львівської області</t>
  </si>
  <si>
    <t>81228</t>
  </si>
  <si>
    <t>4623381801</t>
  </si>
  <si>
    <t>Великі Глібовичі</t>
  </si>
  <si>
    <t>(263)44330</t>
  </si>
  <si>
    <t>Великоглібовицька загальноосвітня школа І ступеня Перемишлянської районної ради Львівської області</t>
  </si>
  <si>
    <t>(067)2637627</t>
  </si>
  <si>
    <t>Підмонастирська загальноосвітня школа І ступеня Перемишлянської районної ради Львівської області</t>
  </si>
  <si>
    <t>4623381803</t>
  </si>
  <si>
    <t>Підмонастир</t>
  </si>
  <si>
    <t>(097)1130609</t>
  </si>
  <si>
    <t>Вишнівчицька загальноосвітня школа І-ІІ ступенів Перемишлянської районної ради Львівської області</t>
  </si>
  <si>
    <t>81231</t>
  </si>
  <si>
    <t>4623382201</t>
  </si>
  <si>
    <t>Вишнівчик</t>
  </si>
  <si>
    <t>вул. Колгоспна</t>
  </si>
  <si>
    <t>0991636636</t>
  </si>
  <si>
    <t>Вовківська загальноосвітня школа І-ІІ ступенів Перемишлянської районної ради Львівської області</t>
  </si>
  <si>
    <t>81241</t>
  </si>
  <si>
    <t>4623382501</t>
  </si>
  <si>
    <t>Вовків</t>
  </si>
  <si>
    <t>Дунаївська загльноосвітня школа І-ІІІ ступенів Перемишлянської районної ради Львівської області</t>
  </si>
  <si>
    <t>81234</t>
  </si>
  <si>
    <t>4623382901</t>
  </si>
  <si>
    <t>Дунаїв</t>
  </si>
  <si>
    <t>пл. Шевченка, 1</t>
  </si>
  <si>
    <t>0680571197</t>
  </si>
  <si>
    <t>Дусанівська загальноосвітня школа І-ІІ ступенів Перемишлянської районної ради Львіської області</t>
  </si>
  <si>
    <t>81263</t>
  </si>
  <si>
    <t>4623383201</t>
  </si>
  <si>
    <t>Дусанів</t>
  </si>
  <si>
    <t>вул. М.Бунта, 18</t>
  </si>
  <si>
    <t>(03263)21633</t>
  </si>
  <si>
    <t>Іванівський навчально-виховний комплекс "Загальноосвітній навчальний заклад І-ІІ ступенів - дошкільний навчальний заклад" Перемишлянської районної ради Львівської області</t>
  </si>
  <si>
    <t>81262</t>
  </si>
  <si>
    <t>4623383501</t>
  </si>
  <si>
    <t>вул. Львівська, 43</t>
  </si>
  <si>
    <t>(03263)53452</t>
  </si>
  <si>
    <t>Навчально-виховний комплекс "Загальноосвітній навчальний заклад І-ІІ ст. - дошкільний навчальний заклад" с. Кореличі Перемишлянської районної ради Львівської області</t>
  </si>
  <si>
    <t>81254</t>
  </si>
  <si>
    <t>4623383601</t>
  </si>
  <si>
    <t>Кореличі</t>
  </si>
  <si>
    <t>вул. Перемоги, 93</t>
  </si>
  <si>
    <t>Короснянська загальноосвітня школа І-ІІ ступенів Перемишлянської районної ради Львівської області</t>
  </si>
  <si>
    <t>4623383901</t>
  </si>
  <si>
    <t>Коросне</t>
  </si>
  <si>
    <t>(096)6206428</t>
  </si>
  <si>
    <t>Унівська загальноосвітня школа І-ІІ ступенів Перемишлянської районної ради Львівської області</t>
  </si>
  <si>
    <t>81216</t>
  </si>
  <si>
    <t>4623383903</t>
  </si>
  <si>
    <t>Унів</t>
  </si>
  <si>
    <t>Лагодівська загальноосвітня школа І-ІІ ступенів Перемишлянської районної ради Львівської області</t>
  </si>
  <si>
    <t>81212</t>
  </si>
  <si>
    <t>4623384201</t>
  </si>
  <si>
    <t>Лагодів</t>
  </si>
  <si>
    <t>0673970917, 0984971976</t>
  </si>
  <si>
    <t>Навчально-виховний комплекс "Загальноосвітній навчальний заклад І-ІІ ступенів - дошкільний навчальний заклад" с. Лани Перемишлянської районної ради Львівської області</t>
  </si>
  <si>
    <t>81250</t>
  </si>
  <si>
    <t>4623384501</t>
  </si>
  <si>
    <t>Лани</t>
  </si>
  <si>
    <t>вул. Шевченка, 84</t>
  </si>
  <si>
    <t>(067)7879971</t>
  </si>
  <si>
    <t>Навчально-виховний комплекс "Загальноосвітній навчальний заклад І-ІІІ ступенів - дошкільний навчальний заклад" с. Липівці Перемишлянської районної ради Львівської області</t>
  </si>
  <si>
    <t>81230</t>
  </si>
  <si>
    <t>4623384901</t>
  </si>
  <si>
    <t>Липівці</t>
  </si>
  <si>
    <t>вул. Зацерквинська, 2</t>
  </si>
  <si>
    <t>(03263)52136</t>
  </si>
  <si>
    <t>Осталовицька загальноосвітня школа І-ІІІ ступенів Перемишлянської районної ради Львівської області</t>
  </si>
  <si>
    <t>81243</t>
  </si>
  <si>
    <t>4623385601</t>
  </si>
  <si>
    <t>Осталовичі</t>
  </si>
  <si>
    <t>(38)0687634370</t>
  </si>
  <si>
    <t>Розсохівська загальноосвітня школа І ступеня Перемишлянської райдержадміністрації Львівської області</t>
  </si>
  <si>
    <t>4623385602</t>
  </si>
  <si>
    <t>Розсохи</t>
  </si>
  <si>
    <t>(098)9474802</t>
  </si>
  <si>
    <t>Подусівська загальноосвітня школа І-ІІ ступенів Перемишлянської районної ради Львівської області</t>
  </si>
  <si>
    <t>81260</t>
  </si>
  <si>
    <t>4623385801</t>
  </si>
  <si>
    <t>Подусів</t>
  </si>
  <si>
    <t>вул. Володимира</t>
  </si>
  <si>
    <t>(263)55553</t>
  </si>
  <si>
    <t>Подусільнянська загальноосвітня школа І ступеня, Перемишлянської районної ради, Львівської області</t>
  </si>
  <si>
    <t>4623385901</t>
  </si>
  <si>
    <t>Подусільна</t>
  </si>
  <si>
    <t>(097)6865672</t>
  </si>
  <si>
    <t>Навчально - виховний комплекс "Загальноосвітній навчальний заклад І-ІІІ ступенів - дошкільний навчальний заклад" с.Романів Перемишлянської районної ради Львіської області</t>
  </si>
  <si>
    <t>81213</t>
  </si>
  <si>
    <t>4623386001</t>
  </si>
  <si>
    <t>(03263)46342</t>
  </si>
  <si>
    <t>Підгородищенська загальноосвітня школа І ступеня Перемишлянської районної ради Львівської області</t>
  </si>
  <si>
    <t>81214</t>
  </si>
  <si>
    <t>4623386002</t>
  </si>
  <si>
    <t>Підгородище</t>
  </si>
  <si>
    <t>(098)9059016</t>
  </si>
  <si>
    <t>Свірзька загальноосвітня школа І-ІІІ ступенів Перемишлянської районної ради Львівської області</t>
  </si>
  <si>
    <t>81225</t>
  </si>
  <si>
    <t>4623386401</t>
  </si>
  <si>
    <t>Свірж</t>
  </si>
  <si>
    <t>вул. Перша, 55</t>
  </si>
  <si>
    <t>Глібовицька загальноосвітня школа І-ІІ ступенів Перемишлянської районної ради Львівської області</t>
  </si>
  <si>
    <t>4623386402</t>
  </si>
  <si>
    <t>Глібовичі</t>
  </si>
  <si>
    <t>55358</t>
  </si>
  <si>
    <t>Станимирська загальноосвітня школа І-ІІ ступенів Перемишлянської районної ради Львівської області</t>
  </si>
  <si>
    <t>4623386801</t>
  </si>
  <si>
    <t>Станимир</t>
  </si>
  <si>
    <t>(03263)757</t>
  </si>
  <si>
    <t>Ганачівська загальноосвітня школа І-ІІ ст. Перемишлянської районної ради Львівської області</t>
  </si>
  <si>
    <t>81221</t>
  </si>
  <si>
    <t>4623386802</t>
  </si>
  <si>
    <t>Ганачівка</t>
  </si>
  <si>
    <t>вул. Г. Кузневича</t>
  </si>
  <si>
    <t>(096)6054492</t>
  </si>
  <si>
    <t>Навчально-виховний комплекс "загальноосвітній навчальний заклад І -ІІ ступенів - дошкільний навчальний заклад" села Стоки</t>
  </si>
  <si>
    <t>81224</t>
  </si>
  <si>
    <t>4623387206</t>
  </si>
  <si>
    <t>Стоки</t>
  </si>
  <si>
    <t>вул. У. Кравченко, 7</t>
  </si>
  <si>
    <t>0976561076</t>
  </si>
  <si>
    <t>Суходільська загальноосвітня школа І-ІІ ступенів Перемишлянської районної ради Львівської області</t>
  </si>
  <si>
    <t>81227</t>
  </si>
  <si>
    <t>4623387601</t>
  </si>
  <si>
    <t>(03263)44624, (068)0355908, (097)4788163</t>
  </si>
  <si>
    <t>Вільховецька загальноосвітня школа І ступеня Перемишлянської районної ради Львівської області</t>
  </si>
  <si>
    <t>4623387602</t>
  </si>
  <si>
    <t>Вільховець</t>
  </si>
  <si>
    <t>вул. Габрусевича, 2</t>
  </si>
  <si>
    <t>0984611740</t>
  </si>
  <si>
    <t>Кимирська загальноосвітня школа І-ІІ ступеня Перемишлянської районної ради Львівської області</t>
  </si>
  <si>
    <t>81240</t>
  </si>
  <si>
    <t>4623388002</t>
  </si>
  <si>
    <t>Кимир</t>
  </si>
  <si>
    <t>(03263)5-92-27</t>
  </si>
  <si>
    <t>Чемеринецька загальноосвітня школа I-II ступеня Перемишлянської районної ради Львівської області</t>
  </si>
  <si>
    <t>81233</t>
  </si>
  <si>
    <t>4623388301</t>
  </si>
  <si>
    <t>Чемеринці</t>
  </si>
  <si>
    <t>0996041721</t>
  </si>
  <si>
    <t>Пустомитівська загальноосвітня школа І-ІІI ступенів № 1 Пустомитівського району Львівської області</t>
  </si>
  <si>
    <t>81100</t>
  </si>
  <si>
    <t>4623610100</t>
  </si>
  <si>
    <t>вул. Паркова, 2</t>
  </si>
  <si>
    <t>Пустомитівська загальноосвітня школа І-ІІI ступенів № 2 імені В.Кучабського</t>
  </si>
  <si>
    <t>вул. Д.Дяченко, 17</t>
  </si>
  <si>
    <t>4-13-18</t>
  </si>
  <si>
    <t>Наварійська загальноосвітня школа І-ІІІ ступенів - гімназія Пустомитівського району Львівської області</t>
  </si>
  <si>
    <t>81105</t>
  </si>
  <si>
    <t>4623610101</t>
  </si>
  <si>
    <t>Наварія</t>
  </si>
  <si>
    <t>вул. Львівська, 1</t>
  </si>
  <si>
    <t>2-20-46</t>
  </si>
  <si>
    <t>Щирецька загальноосвітня школа І-ІІI ступенів № 1 імені Героя України Богдана Ільківа</t>
  </si>
  <si>
    <t>81160</t>
  </si>
  <si>
    <t>4623655500</t>
  </si>
  <si>
    <t>Щирець</t>
  </si>
  <si>
    <t>вул. Сагайдачного, 47</t>
  </si>
  <si>
    <t>6-71-49</t>
  </si>
  <si>
    <t>Щирецька загальноосвітня школа І-ІІI ступенів № 2</t>
  </si>
  <si>
    <t>вул. Адермаха, 22</t>
  </si>
  <si>
    <t>(096)9557556</t>
  </si>
  <si>
    <t>Сердицький навчально-виховний комплекс І-ІІ ступенів</t>
  </si>
  <si>
    <t>4623655503</t>
  </si>
  <si>
    <t>Сердиця</t>
  </si>
  <si>
    <t>вул. М.Кураха, 202</t>
  </si>
  <si>
    <t>6-71-12</t>
  </si>
  <si>
    <t>Борщовицький навчально-виховний комплекс "загальноосвітній навчальний заклад І-ІІІ ст. - дошкільний навчальний заклад"</t>
  </si>
  <si>
    <t>81124</t>
  </si>
  <si>
    <t>4623680401</t>
  </si>
  <si>
    <t>Борщовичі</t>
  </si>
  <si>
    <t>(0230)73222</t>
  </si>
  <si>
    <t>Верхньобілківська загальноосвітня школа І-ІІІ ступенів</t>
  </si>
  <si>
    <t>81141</t>
  </si>
  <si>
    <t>4623680801</t>
  </si>
  <si>
    <t>Верхня Білка</t>
  </si>
  <si>
    <t>Нижньобілківська загальноосвітня школа І-ІІ ступенів Пустомитівського району Львівської області</t>
  </si>
  <si>
    <t>4623680802</t>
  </si>
  <si>
    <t>Нижня Білка</t>
  </si>
  <si>
    <t>вул. Тракт Глинянський, 3</t>
  </si>
  <si>
    <t>Винничківський загальноосвітній навчально-виховний комплекс І-ІІ ступенів - дошкільний навчальний заклад Пустомитівського району Львівської області</t>
  </si>
  <si>
    <t>81150</t>
  </si>
  <si>
    <t>4623681201</t>
  </si>
  <si>
    <t>Виннички</t>
  </si>
  <si>
    <t>Гончарівська загальноосвітня школа І ступеня Пустомитівського району Львівської області</t>
  </si>
  <si>
    <t>4623681202</t>
  </si>
  <si>
    <t>Гончари</t>
  </si>
  <si>
    <t>Дмитровичівська загальноосвітня школа І ступеня Пустомитівського району Львівської області</t>
  </si>
  <si>
    <t>4623681203</t>
  </si>
  <si>
    <t>Зимноводівська загальноосвітня школа І-ІІI ступенів № 1</t>
  </si>
  <si>
    <t>81110</t>
  </si>
  <si>
    <t>4623681601</t>
  </si>
  <si>
    <t>Зимна Вода</t>
  </si>
  <si>
    <t>вул. Мазепи, 2</t>
  </si>
  <si>
    <t>Зимноводівська загальноосвітня школа І-ІІI ступенів № 2</t>
  </si>
  <si>
    <t>вул. Сірка, 75</t>
  </si>
  <si>
    <t>295-77-93</t>
  </si>
  <si>
    <t>Загір'янський навчально-виховний комплекс І-ІІ ступенів Пустомитівського району Львівської області</t>
  </si>
  <si>
    <t>81139</t>
  </si>
  <si>
    <t>4623681803</t>
  </si>
  <si>
    <t>Загір'я</t>
  </si>
  <si>
    <t>Гамаліївська загальноосвітня школа І-ІІ ступенів Пустомитівського району Львівської області</t>
  </si>
  <si>
    <t>81123</t>
  </si>
  <si>
    <t>4623681915</t>
  </si>
  <si>
    <t>Гамаліївка</t>
  </si>
  <si>
    <t>7-13-61</t>
  </si>
  <si>
    <t>Годовицька загальноосвітня школа І-ІІІ ступенів</t>
  </si>
  <si>
    <t>81117</t>
  </si>
  <si>
    <t>4623682001</t>
  </si>
  <si>
    <t>Годовиця</t>
  </si>
  <si>
    <t>(067)8627602</t>
  </si>
  <si>
    <t>Басівська загальноосвітня школа І ступеня Пустомитівського району Львівської області</t>
  </si>
  <si>
    <t>81116</t>
  </si>
  <si>
    <t>4623682003</t>
  </si>
  <si>
    <t>Басівка</t>
  </si>
  <si>
    <t>67440</t>
  </si>
  <si>
    <t>Ланівська загальноосвітня школа І-ІІ ступенів Пустомитівського району Львівської області</t>
  </si>
  <si>
    <t>81173</t>
  </si>
  <si>
    <t>4623682202</t>
  </si>
  <si>
    <t>Давидівська загальноосвітня школа І-ІІІ ступенів імені Т.Г.Шевченка</t>
  </si>
  <si>
    <t>81151</t>
  </si>
  <si>
    <t>4623682401</t>
  </si>
  <si>
    <t>Давидів</t>
  </si>
  <si>
    <t>ал. Галицька, 4А</t>
  </si>
  <si>
    <t>Дмитрівська загальноосвітня школа І-ІІ ступенів Пустомитівського району Львівської області</t>
  </si>
  <si>
    <t>81174</t>
  </si>
  <si>
    <t>4623682601</t>
  </si>
  <si>
    <t>Дмитре</t>
  </si>
  <si>
    <t>6-66-31</t>
  </si>
  <si>
    <t>Горбачівський навчально-виховний комплекс І-ІІ ступенів Пустомитівського району Львівської області</t>
  </si>
  <si>
    <t>81175</t>
  </si>
  <si>
    <t>4623682602</t>
  </si>
  <si>
    <t>Горбачі</t>
  </si>
  <si>
    <t>6-66-54</t>
  </si>
  <si>
    <t>Попелянська загальноосвітня школа І ступеня Пустомитівського району Львівської області</t>
  </si>
  <si>
    <t>81176</t>
  </si>
  <si>
    <t>4623682603</t>
  </si>
  <si>
    <t>Попеляни</t>
  </si>
  <si>
    <t>Жирівський навчально - виховний комплекс І-ІІ ступенів Пустиомитівського району Львівської області</t>
  </si>
  <si>
    <t>81138</t>
  </si>
  <si>
    <t>4623682801</t>
  </si>
  <si>
    <t>Жирівка</t>
  </si>
  <si>
    <t>вул. Зарічна, 8,Б</t>
  </si>
  <si>
    <t>(067)6731921</t>
  </si>
  <si>
    <t>Милятичівська загальноосвітня школа І-ІІI ступенів</t>
  </si>
  <si>
    <t>4623682803</t>
  </si>
  <si>
    <t>Милятичі</t>
  </si>
  <si>
    <t>2-51-40</t>
  </si>
  <si>
    <t>Звенигородська загальноосвітня школа І-ІІI ступенів</t>
  </si>
  <si>
    <t>81156</t>
  </si>
  <si>
    <t>4623683101</t>
  </si>
  <si>
    <t>Звенигород</t>
  </si>
  <si>
    <t>Відниківська загальноосвітня школа І-ІІ ступенів Пустомитівського району Львівської області</t>
  </si>
  <si>
    <t>81157</t>
  </si>
  <si>
    <t>4623683102</t>
  </si>
  <si>
    <t>Відники</t>
  </si>
  <si>
    <t>Шоломинська загальноосвітня школа І-ІІ ступенів</t>
  </si>
  <si>
    <t>4623683105</t>
  </si>
  <si>
    <t>Шоломинь</t>
  </si>
  <si>
    <t>(097)4337545</t>
  </si>
  <si>
    <t>Зубрянський навчально -виховний комплекс"загальноосвітній навчальний заклад І-ІІІ ступенів - дошкільний навчальний заклад"</t>
  </si>
  <si>
    <t>81135</t>
  </si>
  <si>
    <t>4623683301</t>
  </si>
  <si>
    <t>Зубра</t>
  </si>
  <si>
    <t>Конопницька загальноосвітня школа І ступеня Пустомитівського району Львівської області</t>
  </si>
  <si>
    <t>81111</t>
  </si>
  <si>
    <t>4623683401</t>
  </si>
  <si>
    <t>Конопниця</t>
  </si>
  <si>
    <t>вул. Городоцька, 2</t>
  </si>
  <si>
    <t>Кротошинська загальноосвітня школа І-ІІI ступенів</t>
  </si>
  <si>
    <t>81136</t>
  </si>
  <si>
    <t>4623683501</t>
  </si>
  <si>
    <t>Кротошин</t>
  </si>
  <si>
    <t>ал. Княгині Ольги, 50</t>
  </si>
  <si>
    <t>Лапаївська загальноосвітня школа І-ІІI ступенів імені Героя України Георгія Кірпи</t>
  </si>
  <si>
    <t>81113</t>
  </si>
  <si>
    <t>4623683701</t>
  </si>
  <si>
    <t>Лапаївка</t>
  </si>
  <si>
    <t>вул. Геофізиків, 23</t>
  </si>
  <si>
    <t>(067)1366404</t>
  </si>
  <si>
    <t>Лисиничівська загальноосвітня школа І-ІІ ступенів Пустомитівського району Львівської області</t>
  </si>
  <si>
    <t>81126</t>
  </si>
  <si>
    <t>4623683801</t>
  </si>
  <si>
    <t>Лисиничі</t>
  </si>
  <si>
    <t>Підбірцівська загальноосвітня школа І-ІІI ступенів</t>
  </si>
  <si>
    <t>81127</t>
  </si>
  <si>
    <t>4623683802</t>
  </si>
  <si>
    <t>Підбірці</t>
  </si>
  <si>
    <t>вул. Просвіти, 12</t>
  </si>
  <si>
    <t>225-36-64</t>
  </si>
  <si>
    <t>Миклашівський навчально -виховний комплекс"загальноосвітній навчальний заклад І-ІІІ ступенів - дошкільний навчальний заклад"</t>
  </si>
  <si>
    <t>81140</t>
  </si>
  <si>
    <t>4623684001</t>
  </si>
  <si>
    <t>Миклашів</t>
  </si>
  <si>
    <t>Містківська загальноосвітня школа І-ІІI ступенів</t>
  </si>
  <si>
    <t>81119</t>
  </si>
  <si>
    <t>4623684201</t>
  </si>
  <si>
    <t>2-56-66</t>
  </si>
  <si>
    <t>Гаївський навчально - виховний комплекс І ступеня Пустомитівського району Львівської області</t>
  </si>
  <si>
    <t>81153</t>
  </si>
  <si>
    <t>4623684402</t>
  </si>
  <si>
    <t>Городиславицький навчально-виховний комплекс І-ІІ ступенів Пустомитівського району Львівської області</t>
  </si>
  <si>
    <t>4623684403</t>
  </si>
  <si>
    <t>Городиславичі</t>
  </si>
  <si>
    <t>Соколівський навчально -виховний комплекс"загальноосвітній навчальний заклад І-ІІ ступенів - дошкільний навчальний заклад"</t>
  </si>
  <si>
    <t>81171</t>
  </si>
  <si>
    <t>4623684601</t>
  </si>
  <si>
    <t>6-67-36</t>
  </si>
  <si>
    <t>Оброшинська загальноосвітня школа І-ІІI ступенів імені Л.Шанковського</t>
  </si>
  <si>
    <t>81115</t>
  </si>
  <si>
    <t>4623684901</t>
  </si>
  <si>
    <t>Оброшине</t>
  </si>
  <si>
    <t>239-63-15</t>
  </si>
  <si>
    <t>Пасіки-Зубрицька загальноосвітня школа І-ІІ ступенів Пустомитівського району Львівської області</t>
  </si>
  <si>
    <t>81137</t>
  </si>
  <si>
    <t>4623685101</t>
  </si>
  <si>
    <t>Пасіки-Зубрицькі</t>
  </si>
  <si>
    <t>ал. Лесі Українки, 70А</t>
  </si>
  <si>
    <t>Пикуловицький навчально -виховний комплекс"загальноосвітній навчальний заклад І-ІІІ ступенів - дошкільний навчальний заклад"</t>
  </si>
  <si>
    <t>81125</t>
  </si>
  <si>
    <t>4623685201</t>
  </si>
  <si>
    <t>Пикуловичі</t>
  </si>
  <si>
    <t>(063)4667211</t>
  </si>
  <si>
    <t>Підберізцівський навчально -виховний комплекс"загальноосвітній навчальний заклад І-ІІІ ступенів - дошкільний навчальний заклад"</t>
  </si>
  <si>
    <t>81146</t>
  </si>
  <si>
    <t>4623685301</t>
  </si>
  <si>
    <t>Підберізці</t>
  </si>
  <si>
    <t>Поршнянська навчально - виховний комплекс І-ІІ ступенів Пустомитівського району Львівської області</t>
  </si>
  <si>
    <t>81133</t>
  </si>
  <si>
    <t>4623685501</t>
  </si>
  <si>
    <t>Поршна</t>
  </si>
  <si>
    <t>4-15-18</t>
  </si>
  <si>
    <t>Раковецький навчально-виховний комплекс-школа сад І ступеня Пустомитівського району Львівської області</t>
  </si>
  <si>
    <t>81164</t>
  </si>
  <si>
    <t>4623685601</t>
  </si>
  <si>
    <t>(097)1960122</t>
  </si>
  <si>
    <t>Хороснянський навчально-виховний комплекс І-ІІ ступенів</t>
  </si>
  <si>
    <t>4623685605</t>
  </si>
  <si>
    <t>Хоросно</t>
  </si>
  <si>
    <t>2-61-30</t>
  </si>
  <si>
    <t>Семенівська загальноосвітня школа І-ІІI ступенів</t>
  </si>
  <si>
    <t>81162</t>
  </si>
  <si>
    <t>4623685901</t>
  </si>
  <si>
    <t>Скнилівський навчально-виховний комплекс "загальноосвітній навчальний заклад І-ІІ ступенів - дошкільний навчальний заклад"</t>
  </si>
  <si>
    <t>81114</t>
  </si>
  <si>
    <t>4623686201</t>
  </si>
  <si>
    <t>229-90-81</t>
  </si>
  <si>
    <t>Сокільницька загальноосвітня школа І-ІІI ступенів імені Івана Франка</t>
  </si>
  <si>
    <t>81130</t>
  </si>
  <si>
    <t>4623686401</t>
  </si>
  <si>
    <t>Сокільники</t>
  </si>
  <si>
    <t>вул. Д.Галицького, 16</t>
  </si>
  <si>
    <t>227-08-00</t>
  </si>
  <si>
    <t>Солонківська загальноосвітня школа І-ІІI ступенів імені Героя України Миколи Паньківа</t>
  </si>
  <si>
    <t>81131</t>
  </si>
  <si>
    <t>4623686601</t>
  </si>
  <si>
    <t>Солонка</t>
  </si>
  <si>
    <t>227-15-52</t>
  </si>
  <si>
    <t>Малечковичівський навчально-виховний комплекс І ступеня Пустомитівського району Львівської області</t>
  </si>
  <si>
    <t>4623686604</t>
  </si>
  <si>
    <t>Малечковичі</t>
  </si>
  <si>
    <t>Сороки-Львівська загальноосвітня школа І-ІІ ступенів</t>
  </si>
  <si>
    <t>81120</t>
  </si>
  <si>
    <t>4623686901</t>
  </si>
  <si>
    <t>Сороки-Львівські</t>
  </si>
  <si>
    <t>вул. Лукашевичів, 201</t>
  </si>
  <si>
    <t>225-43-91</t>
  </si>
  <si>
    <t>Мурованська загальноосвітня школа І-ІІI ступенів</t>
  </si>
  <si>
    <t>81121</t>
  </si>
  <si>
    <t>4623686902</t>
  </si>
  <si>
    <t>Муроване</t>
  </si>
  <si>
    <t>229-49-87</t>
  </si>
  <si>
    <t>Ставчанський навчально -виховний комплекс"загальноосвітній навчальний заклад І-ІІІ ступенів - дошкільний навчальний заклад"</t>
  </si>
  <si>
    <t>81118</t>
  </si>
  <si>
    <t>4623687001</t>
  </si>
  <si>
    <t>Ставчани</t>
  </si>
  <si>
    <t>вул. Шашкевича, 41</t>
  </si>
  <si>
    <t>Старосільська загальноосвітня школа І-ІІI ступенів</t>
  </si>
  <si>
    <t>81154</t>
  </si>
  <si>
    <t>4623687101</t>
  </si>
  <si>
    <t>вул. 1 Травня, 6</t>
  </si>
  <si>
    <t>2-94-46</t>
  </si>
  <si>
    <t>Будьківська загальноосвітня школа І-ІІ ст. Пустомитівського району Львівської області</t>
  </si>
  <si>
    <t>81155</t>
  </si>
  <si>
    <t>4623687102</t>
  </si>
  <si>
    <t>Будьків</t>
  </si>
  <si>
    <t>29457</t>
  </si>
  <si>
    <t>Чорнушовицький навчально -виховний комплекс"загальноосвітній навчальний заклад І-ІІ ступенів - дошкільний навчальний заклад"</t>
  </si>
  <si>
    <t>81143</t>
  </si>
  <si>
    <t>4623687601</t>
  </si>
  <si>
    <t>Чорнушовичі</t>
  </si>
  <si>
    <t>7-96-44</t>
  </si>
  <si>
    <t>Чижиківська загальноосвітня школа І-ІІI ступенів</t>
  </si>
  <si>
    <t>81145</t>
  </si>
  <si>
    <t>4623687901</t>
  </si>
  <si>
    <t>Чижиків</t>
  </si>
  <si>
    <t>7-41-66</t>
  </si>
  <si>
    <t>Чишківська загальноосвітня школа І-ІІI ступенів</t>
  </si>
  <si>
    <t>81144</t>
  </si>
  <si>
    <t>4623688201</t>
  </si>
  <si>
    <t>Чишки</t>
  </si>
  <si>
    <t>ал. Шевченка, 116</t>
  </si>
  <si>
    <t>Ямпільський НВК " загальноосвітній навчальний заклад І-ІІI ступенів - дошкільний навчальний заклад"</t>
  </si>
  <si>
    <t>81122</t>
  </si>
  <si>
    <t>4623688601</t>
  </si>
  <si>
    <t>7-13-37</t>
  </si>
  <si>
    <t>Загальноосвітня школа І-ІІІ ст. № 1 м.Радехів</t>
  </si>
  <si>
    <t>80200</t>
  </si>
  <si>
    <t>4623910100</t>
  </si>
  <si>
    <t>вул. А.Шептицького, 4</t>
  </si>
  <si>
    <t>(255)22653</t>
  </si>
  <si>
    <t>Загальносвітня школа І,ІІ,ІІІ ст. № 2 м.Радехова</t>
  </si>
  <si>
    <t>вул. Селезінків, 1</t>
  </si>
  <si>
    <t>(255)21138</t>
  </si>
  <si>
    <t>Радехівська спеціалізована середня школа з поглибленим вивченням іноземної мови І-ІІІ ст. № 3</t>
  </si>
  <si>
    <t>(255)21535</t>
  </si>
  <si>
    <t>Комунальний заклад Львівської обласної ради " Лопатинська спеціальна загальноосвітня школа-інтернат І-ІІ ст.навчання"</t>
  </si>
  <si>
    <t>80261</t>
  </si>
  <si>
    <t>4623955400</t>
  </si>
  <si>
    <t>Лопатин</t>
  </si>
  <si>
    <t>вул. Січових Стрільців, 20</t>
  </si>
  <si>
    <t>(255)36390</t>
  </si>
  <si>
    <t>22375384</t>
  </si>
  <si>
    <t>Лопатинська загальносвітня школа І-ІІІ ступенів навчання</t>
  </si>
  <si>
    <t>(255)36444</t>
  </si>
  <si>
    <t>Барилівська загальноосвітня школа І-ІІ ст</t>
  </si>
  <si>
    <t>80231</t>
  </si>
  <si>
    <t>4623980401</t>
  </si>
  <si>
    <t>Барилів</t>
  </si>
  <si>
    <t>(255)78318</t>
  </si>
  <si>
    <t>Загальноосвітня школа І-ІІІ ст. с.Березівка</t>
  </si>
  <si>
    <t>80260</t>
  </si>
  <si>
    <t>4623980601</t>
  </si>
  <si>
    <t>(255)77188</t>
  </si>
  <si>
    <t>Загальноосвітня школа І-ІІ ст. с.Грицеволя</t>
  </si>
  <si>
    <t>4623980603</t>
  </si>
  <si>
    <t>Грицеволя</t>
  </si>
  <si>
    <t>(255)77151</t>
  </si>
  <si>
    <t>Бишівська загальносвітня школа І-ІІІ ст</t>
  </si>
  <si>
    <t>80210</t>
  </si>
  <si>
    <t>4623980901</t>
  </si>
  <si>
    <t>вул. Гостинна, 57</t>
  </si>
  <si>
    <t>(255)95001</t>
  </si>
  <si>
    <t>Торківська загальноосвітня школа І ступеня</t>
  </si>
  <si>
    <t>4623980904</t>
  </si>
  <si>
    <t>Торки</t>
  </si>
  <si>
    <t>(255)75111</t>
  </si>
  <si>
    <t>Дмитрівський навчально-виховний-комплекс</t>
  </si>
  <si>
    <t>80254</t>
  </si>
  <si>
    <t>4623981201</t>
  </si>
  <si>
    <t>Дмитрів</t>
  </si>
  <si>
    <t>(255)74248</t>
  </si>
  <si>
    <t>Загальноосвітня школа І ступеня с.Завидче</t>
  </si>
  <si>
    <t>80233</t>
  </si>
  <si>
    <t>4623981401</t>
  </si>
  <si>
    <t>Завидче</t>
  </si>
  <si>
    <t>(255)78164</t>
  </si>
  <si>
    <t>Загальноосвітня школа І-ІІ-ІІІ ст. с.Корчин</t>
  </si>
  <si>
    <t>80271</t>
  </si>
  <si>
    <t>4623981601</t>
  </si>
  <si>
    <t>Корчин</t>
  </si>
  <si>
    <t>вул. Возз’єднання, 67</t>
  </si>
  <si>
    <t>(255)72226</t>
  </si>
  <si>
    <t>Гоголівський навчально-виховний комплекс "Загальноосвітня школа І ступеня - дошкільний навчальний заклад"</t>
  </si>
  <si>
    <t>4623981603</t>
  </si>
  <si>
    <t>вул. І.Франка, 3</t>
  </si>
  <si>
    <t>(255)72112</t>
  </si>
  <si>
    <t>Радванцівський навчально-виховний комплекс "Загальноосвітня школа І-ІІ ступенів - дошкільний навчальний заклад"</t>
  </si>
  <si>
    <t>4623981604</t>
  </si>
  <si>
    <t>Радванці</t>
  </si>
  <si>
    <t>вул. І.Франка, 7</t>
  </si>
  <si>
    <t>(255)73501</t>
  </si>
  <si>
    <t>Кривецький навчально-виховний комплекс "Загальносвітня школа І-ІІ ступенів-дошкільний навчальний заклад"</t>
  </si>
  <si>
    <t>80255</t>
  </si>
  <si>
    <t>4623981701</t>
  </si>
  <si>
    <t>(255)74697</t>
  </si>
  <si>
    <t>Куликівський навчально-виховний комплекс "Загальносвітня школа І-ІІ ступенів - дошкільний заклад"</t>
  </si>
  <si>
    <t>80244</t>
  </si>
  <si>
    <t>4623981901</t>
  </si>
  <si>
    <t>(255)76174</t>
  </si>
  <si>
    <t>Кустинський навчально-виховний комплекс "Загальносвітня школа І-ІІ ступенів-дошкільний навчальний заклад"</t>
  </si>
  <si>
    <t>80242</t>
  </si>
  <si>
    <t>4623982201</t>
  </si>
  <si>
    <t>Кустин</t>
  </si>
  <si>
    <t>(255)77387</t>
  </si>
  <si>
    <t>Немилівський навчально-виховний комплекс "Загальноосвітня школа І-ІІ ступенів - дитячий навчальний заклад"</t>
  </si>
  <si>
    <t>80241</t>
  </si>
  <si>
    <t>4623982501</t>
  </si>
  <si>
    <t>Немилів</t>
  </si>
  <si>
    <t>(255)75349</t>
  </si>
  <si>
    <t>Загальноосвітня школа І-ІІ ступеня с.Нивиці</t>
  </si>
  <si>
    <t>80263</t>
  </si>
  <si>
    <t>4623982801</t>
  </si>
  <si>
    <t>Нивиці</t>
  </si>
  <si>
    <t>(255)95027</t>
  </si>
  <si>
    <t>Миколаївський навчально-виховний комплекс "ЗНЗ І-ІІІ ст.-ДНЗ"</t>
  </si>
  <si>
    <t>80232</t>
  </si>
  <si>
    <t>4623983001</t>
  </si>
  <si>
    <t>(255)78166</t>
  </si>
  <si>
    <t>Загальносвітня школа І-ІІІ ст. с.Новий Витків</t>
  </si>
  <si>
    <t>80217</t>
  </si>
  <si>
    <t>4623983401</t>
  </si>
  <si>
    <t>Новий Витків</t>
  </si>
  <si>
    <t>вул. Корчинська, 1</t>
  </si>
  <si>
    <t>(255)73245</t>
  </si>
  <si>
    <t>ЗОШ І-ІІІ ст. с.Оглядів</t>
  </si>
  <si>
    <t>80256</t>
  </si>
  <si>
    <t>4623983801</t>
  </si>
  <si>
    <t>Оглядів</t>
  </si>
  <si>
    <t>(255)71149</t>
  </si>
  <si>
    <t>Загальноосвітня школа І ступеня с.Опліцько</t>
  </si>
  <si>
    <t>4623983805</t>
  </si>
  <si>
    <t>Опліцько</t>
  </si>
  <si>
    <t>(255)71155</t>
  </si>
  <si>
    <t>Загальноосвітня школа І-ІІ-ІІІ ступенів с.Павлів</t>
  </si>
  <si>
    <t>80250</t>
  </si>
  <si>
    <t>4623984201</t>
  </si>
  <si>
    <t>Павлів</t>
  </si>
  <si>
    <t>вул. Джерельна, 4</t>
  </si>
  <si>
    <t>(255)35168</t>
  </si>
  <si>
    <t>Пиратинський навчально-виховний комплекс "Загальноосвітня школа І-ІІ ступенів - дошкільний навчальний заклад"</t>
  </si>
  <si>
    <t>80223</t>
  </si>
  <si>
    <t>4623984301</t>
  </si>
  <si>
    <t>Пиратин</t>
  </si>
  <si>
    <t>(255)75513</t>
  </si>
  <si>
    <t>Поздимирський навчально-виховний комплекс "Загальноосвітня школа І-ІІ ступенів - дошкільний навчальний заклад"</t>
  </si>
  <si>
    <t>80216</t>
  </si>
  <si>
    <t>4623984401</t>
  </si>
  <si>
    <t>Поздимир</t>
  </si>
  <si>
    <t>(255)72500</t>
  </si>
  <si>
    <t>Половецький навчально-виховний комплекс "Загальноосвітній навчальний заклад І ступеня - дошкільний навчальний заклад"</t>
  </si>
  <si>
    <t>80218</t>
  </si>
  <si>
    <t>4623984501</t>
  </si>
  <si>
    <t>Полове</t>
  </si>
  <si>
    <t>(255)73176</t>
  </si>
  <si>
    <t>Загальноосвітня школа І-ІІ ступеня с.Розжалів</t>
  </si>
  <si>
    <t>80211</t>
  </si>
  <si>
    <t>4623984601</t>
  </si>
  <si>
    <t>Розжалів</t>
  </si>
  <si>
    <t>(255)72666</t>
  </si>
  <si>
    <t>Синьківський навчально-виховний комплекс "Загальноосвітній навчальний заклад І-ІІІ ступенів - дошкільний навчальний заклад"</t>
  </si>
  <si>
    <t>80222</t>
  </si>
  <si>
    <t>4623984901</t>
  </si>
  <si>
    <t>Синьків</t>
  </si>
  <si>
    <t>(255)75597</t>
  </si>
  <si>
    <t>Середпільцівський навчально-виховний комплекс "Загальноосвітня школа І-ІІ ступенів - дошкільний навчальний заклад"</t>
  </si>
  <si>
    <t>80240</t>
  </si>
  <si>
    <t>4623985201</t>
  </si>
  <si>
    <t>Середпільці</t>
  </si>
  <si>
    <t>(255)22319</t>
  </si>
  <si>
    <t>Загальноосвітня школа І-ІІІ ст. с.Сморжів</t>
  </si>
  <si>
    <t>80234</t>
  </si>
  <si>
    <t>4623985501</t>
  </si>
  <si>
    <t>Сморжів</t>
  </si>
  <si>
    <t>(255)77744</t>
  </si>
  <si>
    <t>Загальноосвітня школа І-ІІ ступеня с.Щуровичі</t>
  </si>
  <si>
    <t>80236</t>
  </si>
  <si>
    <t>4623985505</t>
  </si>
  <si>
    <t>Щуровичі</t>
  </si>
  <si>
    <t>(255)77708</t>
  </si>
  <si>
    <t>Загальноосвітня школа І-ІІ ступенів с.Станин</t>
  </si>
  <si>
    <t>4623985701</t>
  </si>
  <si>
    <t>Станин</t>
  </si>
  <si>
    <t>(255)35310</t>
  </si>
  <si>
    <t>Стоянівська загальноосвітня школа І-ІІІ ступенів</t>
  </si>
  <si>
    <t>80220</t>
  </si>
  <si>
    <t>4623985801</t>
  </si>
  <si>
    <t>Стоянів</t>
  </si>
  <si>
    <t>вул. Стуса, 14</t>
  </si>
  <si>
    <t>(255)34130</t>
  </si>
  <si>
    <t>Стремільченський навчально-виховний комплекс "Загальноосвітній навчальний заклад І ступеня - дошкільний навчальний заклад"</t>
  </si>
  <si>
    <t>80235</t>
  </si>
  <si>
    <t>4623985901</t>
  </si>
  <si>
    <t>Стремільче</t>
  </si>
  <si>
    <t>(255)77174</t>
  </si>
  <si>
    <t>Сушнівський навчально-виховний комплекс "Загальноосвітня школа І-ІІ ступенів - дошкільний навчальний заклад"</t>
  </si>
  <si>
    <t>80214</t>
  </si>
  <si>
    <t>4623986201</t>
  </si>
  <si>
    <t>Сушно</t>
  </si>
  <si>
    <t>(255)73732</t>
  </si>
  <si>
    <t>Середня загальноосвітня школа І-ІІІ ступенів с.Тетевчиці</t>
  </si>
  <si>
    <t>80221</t>
  </si>
  <si>
    <t>4623986601</t>
  </si>
  <si>
    <t>Тетевчиці</t>
  </si>
  <si>
    <t>(255)76431</t>
  </si>
  <si>
    <t>Вузлівський опорний навчально-виховний комплекс "Загальноосвітня школа І-ІІІ ступенів - ліцей"</t>
  </si>
  <si>
    <t>80252</t>
  </si>
  <si>
    <t>4623987201</t>
  </si>
  <si>
    <t>Вузлове</t>
  </si>
  <si>
    <t>вул. Львівська, 57</t>
  </si>
  <si>
    <t>(255)31168</t>
  </si>
  <si>
    <t>22374922</t>
  </si>
  <si>
    <t>Загальносвітня школа І-ІІ ст. с.Бабичі</t>
  </si>
  <si>
    <t>80253</t>
  </si>
  <si>
    <t>4623987202</t>
  </si>
  <si>
    <t>(255)31128</t>
  </si>
  <si>
    <t>Нестаничівський навчально-виховний комплекс "Загальносвітній навчальний заклад І ступеня - Дошкільний навчальний заклад"</t>
  </si>
  <si>
    <t>4623987203</t>
  </si>
  <si>
    <t>Нестаничі</t>
  </si>
  <si>
    <t>вул. Шашкевича, 96</t>
  </si>
  <si>
    <t>(255)31154</t>
  </si>
  <si>
    <t>22375321</t>
  </si>
  <si>
    <t>Загальноосвітня школа І ступеня с.Хмільно</t>
  </si>
  <si>
    <t>4623987601</t>
  </si>
  <si>
    <t>Хмільно</t>
  </si>
  <si>
    <t>(255)77592</t>
  </si>
  <si>
    <t>Загальносвітня школа І-ІІ ступеня с.Яструбичі</t>
  </si>
  <si>
    <t>80215</t>
  </si>
  <si>
    <t>4623988401</t>
  </si>
  <si>
    <t>Яструбичі</t>
  </si>
  <si>
    <t>вул. Зелена, 93</t>
  </si>
  <si>
    <t>(255)72151</t>
  </si>
  <si>
    <t>Новокалинівський навчально - виховний комплекс "Середня загальноосвітня школа І-ІІІ ступенів- дошкільний навчальний заклад" Самбірського району Львівської області</t>
  </si>
  <si>
    <t>81464</t>
  </si>
  <si>
    <t>4624210300</t>
  </si>
  <si>
    <t>Новий Калинів</t>
  </si>
  <si>
    <t>пл. Авіації, 25</t>
  </si>
  <si>
    <t>2-24-50</t>
  </si>
  <si>
    <t>https://sites.google.com/site/novokalinivskijnvk/</t>
  </si>
  <si>
    <t>Рудківська гімназія</t>
  </si>
  <si>
    <t>81440</t>
  </si>
  <si>
    <t>4624210400</t>
  </si>
  <si>
    <t>Рудки</t>
  </si>
  <si>
    <t>пл. Відродження, 27</t>
  </si>
  <si>
    <t>(380)679156732</t>
  </si>
  <si>
    <t>Опорний заклад "Рудківська середня загальноосвітня школа І-ІІІ ступенів імені Володимира Жеребного Самбірського району Львівської області"</t>
  </si>
  <si>
    <t>вул. Лісна, 2</t>
  </si>
  <si>
    <t>(236)45-386</t>
  </si>
  <si>
    <t>http://www.rudkyschool.ucoz.ua</t>
  </si>
  <si>
    <t>Дублянська середня загальноосвітня школа І ступеня Самбірського району Львівської області</t>
  </si>
  <si>
    <t>81470</t>
  </si>
  <si>
    <t>4624255300</t>
  </si>
  <si>
    <t>вул. І.Франка, 289</t>
  </si>
  <si>
    <t>(03236)48579</t>
  </si>
  <si>
    <t>Дублянська середня загальноосвітня школа І-ІІІ ступенів Самбірського району Львівської області</t>
  </si>
  <si>
    <t>вул. С.Стрільців, 13</t>
  </si>
  <si>
    <t>(03236)48-579</t>
  </si>
  <si>
    <t>http://dubliany-sam.edukit.lviv.ua</t>
  </si>
  <si>
    <t>Бабинська середня загальноосвітня школа І-ІІІ ступенів Самбірського району Львівської області</t>
  </si>
  <si>
    <t>81455</t>
  </si>
  <si>
    <t>4624280301</t>
  </si>
  <si>
    <t>Бабина</t>
  </si>
  <si>
    <t>(03236)41517</t>
  </si>
  <si>
    <t>Берегівська середня загальноосвітня школа І ступеня Бабинської сільської ради Самбірського району Львівської області</t>
  </si>
  <si>
    <t>4624280302</t>
  </si>
  <si>
    <t>Береги</t>
  </si>
  <si>
    <t>Пинянська середня загальноосвітня школа І-ІІІ ступенів Самбірського району Львівської області</t>
  </si>
  <si>
    <t>81456</t>
  </si>
  <si>
    <t>4624280303</t>
  </si>
  <si>
    <t>Пиняни</t>
  </si>
  <si>
    <t>вул. Героїв Майдану, 8А</t>
  </si>
  <si>
    <t>(236)41504</t>
  </si>
  <si>
    <t>Бісковицька середня загальноосвітня школа І-ІІІ ступенів Бісковицької сільської ради Самбірського району Львівської області</t>
  </si>
  <si>
    <t>81457</t>
  </si>
  <si>
    <t>4624280601</t>
  </si>
  <si>
    <t>Бісковичі</t>
  </si>
  <si>
    <t>вул. Шкільна, 29А</t>
  </si>
  <si>
    <t>Блажівський навчально-виховний комплекс "Середня загальноосвітня школа І-ІІ ступенів - дошкільний навчальний заклад" Самбірського району Львіської області</t>
  </si>
  <si>
    <t>81482</t>
  </si>
  <si>
    <t>4624280901</t>
  </si>
  <si>
    <t>Блажів</t>
  </si>
  <si>
    <t>(236)4033</t>
  </si>
  <si>
    <t>http://blazivnvk.ucoz.ua</t>
  </si>
  <si>
    <t>Воле - Блажівська середня загальноосвітня школа І ступеня</t>
  </si>
  <si>
    <t>4624280902</t>
  </si>
  <si>
    <t>Воля-Блажівська</t>
  </si>
  <si>
    <t>вул. Карпатська, 68 б</t>
  </si>
  <si>
    <t>(098)6541465</t>
  </si>
  <si>
    <t>Звірська середня загальноосвітня школа І-ІІступенів Самбірського району Львівської області</t>
  </si>
  <si>
    <t>81484</t>
  </si>
  <si>
    <t>4624280904</t>
  </si>
  <si>
    <t>Звір</t>
  </si>
  <si>
    <t>(032)3640365</t>
  </si>
  <si>
    <t>Верховецький навчально-виховний комплекс "Середня загальноосвітня школа І-ІІ ступенів - дошкільний навчальний заклад (ДНЗ)" Самбірського району Львівської області</t>
  </si>
  <si>
    <t>81421</t>
  </si>
  <si>
    <t>4624281401</t>
  </si>
  <si>
    <t>Верхівці</t>
  </si>
  <si>
    <t>0975852480</t>
  </si>
  <si>
    <t>http://verhivtsi-zosh.edukit.lviv.ua</t>
  </si>
  <si>
    <t>Рогізненська середня загальноосвітня школа І ступеня Самбірського району Львівської області</t>
  </si>
  <si>
    <t>4624281402</t>
  </si>
  <si>
    <t>Волебаранецька середня загальноосвітня школа І-ІІ ступенів Воле-Баранецької сільської ради, Самбірського району, Львівської області</t>
  </si>
  <si>
    <t>81422</t>
  </si>
  <si>
    <t>4624281601</t>
  </si>
  <si>
    <t>Воля-Баранецька</t>
  </si>
  <si>
    <t>вул. Цимбрили, 35, 1</t>
  </si>
  <si>
    <t>(380-3236)41-110</t>
  </si>
  <si>
    <t>http://www.vbaranetska-zosh.lviv.sch.in.ua</t>
  </si>
  <si>
    <t>Баранівецький навчально-виховний комплекс "Середня загальноосвітня школа І-ІІІ ступенів - дошкільний навчальний заклад" Самбірського району Львівської області</t>
  </si>
  <si>
    <t>81424</t>
  </si>
  <si>
    <t>4624281602</t>
  </si>
  <si>
    <t>Баранівці</t>
  </si>
  <si>
    <t>вул. Василенко, 90</t>
  </si>
  <si>
    <t>(067)3701701</t>
  </si>
  <si>
    <t>http://www.baranivci.org.ua</t>
  </si>
  <si>
    <t>Берестянська середня загальноосвітня школа І-ІІ ступенів Самбірського району Львівської області</t>
  </si>
  <si>
    <t>81423</t>
  </si>
  <si>
    <t>4624281603</t>
  </si>
  <si>
    <t>Берестяни</t>
  </si>
  <si>
    <t>Вощанцівський навчально-виховний комплекс "Середня загальноосвітня школа І-ІІ ступенів - дошкільний навчальний заклад" Самбірського району Львівської області</t>
  </si>
  <si>
    <t>81432</t>
  </si>
  <si>
    <t>4624281901</t>
  </si>
  <si>
    <t>Вощанці</t>
  </si>
  <si>
    <t>(03632)47-732</t>
  </si>
  <si>
    <t>http://voschantsi-zosh.edukit.lviv.ua</t>
  </si>
  <si>
    <t>Воютицька середня загальноосвітня школа І-ІІІ ступенів імені Ігоря Добровольського</t>
  </si>
  <si>
    <t>81453</t>
  </si>
  <si>
    <t>4624282201</t>
  </si>
  <si>
    <t>Воютичі</t>
  </si>
  <si>
    <t>с-ще Воютичі, 12</t>
  </si>
  <si>
    <t>Викотівська середня загальноосвітня школа І-ІІІ ступенів Бісковицької сільської ради Самбірського району Львівської області</t>
  </si>
  <si>
    <t>81454</t>
  </si>
  <si>
    <t>4624282301</t>
  </si>
  <si>
    <t>Викоти</t>
  </si>
  <si>
    <t>(03236)49940</t>
  </si>
  <si>
    <t>http://vykoty-zosh.edukit.lviv.ua</t>
  </si>
  <si>
    <t>Гординянська середня загальноосвітня школа І - ІІ ступенів Самбірського району Львівської області</t>
  </si>
  <si>
    <t>81466</t>
  </si>
  <si>
    <t>4624282501</t>
  </si>
  <si>
    <t>Гординя</t>
  </si>
  <si>
    <t>вул. І.Франка, 335</t>
  </si>
  <si>
    <t>Городищенський навчально-виховний комплекс "Середня загальноосвітня школа І-ІІ ступенів - дошкільний навчальний заклад" Самбірського району Львівської області</t>
  </si>
  <si>
    <t>81477</t>
  </si>
  <si>
    <t>4624282801</t>
  </si>
  <si>
    <t>вул. Ставна, 2</t>
  </si>
  <si>
    <t>(03236)49-319</t>
  </si>
  <si>
    <t>http://gorodysche-nvk.edukit.lviv.ua</t>
  </si>
  <si>
    <t>Сідівська середня загальноосвітня школа І степеня Самбірського району Львівської області</t>
  </si>
  <si>
    <t>4624282804</t>
  </si>
  <si>
    <t>Сіде</t>
  </si>
  <si>
    <t>вул. Заставна, 1</t>
  </si>
  <si>
    <t>(066)1072874</t>
  </si>
  <si>
    <t>Корналовицький навчально-виховний комплекс "Середня загальноосвітня школа І-ІІ ступенів -дошкільний навчальний заклад" Львівської області Самбірського району</t>
  </si>
  <si>
    <t>81463</t>
  </si>
  <si>
    <t>4624283101</t>
  </si>
  <si>
    <t>Корналовичі</t>
  </si>
  <si>
    <t>вул. Грушевського, 6</t>
  </si>
  <si>
    <t>(032)42830</t>
  </si>
  <si>
    <t>Корницька середня загальноосвітня школа І - ІІ ступенів Самбірського району Львівської області</t>
  </si>
  <si>
    <t>4624283401</t>
  </si>
  <si>
    <t>Корничі</t>
  </si>
  <si>
    <t>(067)9265660</t>
  </si>
  <si>
    <t>Кульчицький навчально - виховний комплекс "Середня загальноосвітня школа І - ІІІ ступенів - дошкільний навчальний заклад " Самбірського ройону Львівської області</t>
  </si>
  <si>
    <t>81476</t>
  </si>
  <si>
    <t>4624283701</t>
  </si>
  <si>
    <t>Кульчиці</t>
  </si>
  <si>
    <t>вул. Данила Поливки, 196</t>
  </si>
  <si>
    <t>(49)568, (067)8104844</t>
  </si>
  <si>
    <t>http://kulchytsyschool.ucoz.ua</t>
  </si>
  <si>
    <t>Купновицька середня загальноосвітня школа І ступеня</t>
  </si>
  <si>
    <t>81433</t>
  </si>
  <si>
    <t>4624284001</t>
  </si>
  <si>
    <t>Купновичі</t>
  </si>
  <si>
    <t>вул. Стрілецька, 13</t>
  </si>
  <si>
    <t>Ваньковицька середня загальноосвітня школа І-ІІ ступенів</t>
  </si>
  <si>
    <t>4624284002</t>
  </si>
  <si>
    <t>Ваньковичі</t>
  </si>
  <si>
    <t>ал. Стрілецька, 8</t>
  </si>
  <si>
    <t>(38)0960424602</t>
  </si>
  <si>
    <t>Луківський навчально-виховний комплекс "Середня загальноосвітня школа І - ІІІ ступенів - дошкільний навчальний заклад" Самбірського району Львівської області</t>
  </si>
  <si>
    <t>81435</t>
  </si>
  <si>
    <t>4624284301</t>
  </si>
  <si>
    <t>Острівська середня загальноосвітня школа І ступеня Самбірського району Львівської області</t>
  </si>
  <si>
    <t>4624284305</t>
  </si>
  <si>
    <t>Чернихівська середня загальноосвітня школа І-ІІ ступенів Самбірського району Львівської області</t>
  </si>
  <si>
    <t>4624284307</t>
  </si>
  <si>
    <t>Чернихів</t>
  </si>
  <si>
    <t>http://chernyhiv-school.edukit.lviv.ua</t>
  </si>
  <si>
    <t>Містковицька середня загальноосвітня школа І-ІІ ступенів</t>
  </si>
  <si>
    <t>81426</t>
  </si>
  <si>
    <t>4624284601</t>
  </si>
  <si>
    <t>Містковичі</t>
  </si>
  <si>
    <t>31</t>
  </si>
  <si>
    <t>Михайлевицька середня загальноосвітня школа І-ІІІ ступенів Самбірського району Львівської області</t>
  </si>
  <si>
    <t>81434</t>
  </si>
  <si>
    <t>4624284901</t>
  </si>
  <si>
    <t>(47)323</t>
  </si>
  <si>
    <t>http://myhailevychi.ucoz.ua/</t>
  </si>
  <si>
    <t>Монастирецька середня загальноосвітня школа І - ІІІ ступенів Самбірського району Львівської області</t>
  </si>
  <si>
    <t>81485</t>
  </si>
  <si>
    <t>4624285201</t>
  </si>
  <si>
    <t>(0236)41-717</t>
  </si>
  <si>
    <t>http://monastirec.ucoz.net</t>
  </si>
  <si>
    <t>Спринська середня загальноосвітня школа І ступеня Самбірського району Львівської області</t>
  </si>
  <si>
    <t>4624285205</t>
  </si>
  <si>
    <t>Сприня</t>
  </si>
  <si>
    <t>(096)7346025</t>
  </si>
  <si>
    <t>Никловицька середня зогальноосвітня школа І ступеня Самбірського району Львівської області</t>
  </si>
  <si>
    <t>81430</t>
  </si>
  <si>
    <t>4624285601</t>
  </si>
  <si>
    <t>Никловичі</t>
  </si>
  <si>
    <t>http://nyklovychi-zosh.lviv.sch.in.ua/</t>
  </si>
  <si>
    <t>Орховицька середня загальноосвітня школа І-ІІ ступенів Самбірського району Львівської області</t>
  </si>
  <si>
    <t>4624285603</t>
  </si>
  <si>
    <t>Орховичі</t>
  </si>
  <si>
    <t>вул. Шкільна, 58</t>
  </si>
  <si>
    <t>(097)6947446</t>
  </si>
  <si>
    <t>Вільшаницька середня загальноосвітня школа І-ІІІ ступенів Самбірського району Львівської області</t>
  </si>
  <si>
    <t>81481</t>
  </si>
  <si>
    <t>4624286301</t>
  </si>
  <si>
    <t>Вільшаник</t>
  </si>
  <si>
    <t>вул. І.Франка, 1А</t>
  </si>
  <si>
    <t>(236)46881</t>
  </si>
  <si>
    <t>Черхавська середня загальноосвітня школа І-ІІ ступенів</t>
  </si>
  <si>
    <t>4624286304</t>
  </si>
  <si>
    <t>Черхава</t>
  </si>
  <si>
    <t>46853</t>
  </si>
  <si>
    <t>Погірцівська середня загальноосвітня школа І-ІІІ ступенів Самбірського району Львівської області</t>
  </si>
  <si>
    <t>81445</t>
  </si>
  <si>
    <t>4624286601</t>
  </si>
  <si>
    <t>Погірці</t>
  </si>
  <si>
    <t>(380)0677673348</t>
  </si>
  <si>
    <t>http://pohirci-school.org</t>
  </si>
  <si>
    <t>Конюшко-Тулиголівська середня загальноосвітня школа І-ІІ ступенів Самбірського району Львівської області</t>
  </si>
  <si>
    <t>81447</t>
  </si>
  <si>
    <t>4624286603</t>
  </si>
  <si>
    <t>Конюшки-Тулиголівські</t>
  </si>
  <si>
    <t>вул. Рівна-Бічна, 3</t>
  </si>
  <si>
    <t>(097)4426286</t>
  </si>
  <si>
    <t>Підгайчиківська середня загальноосвітня школа І-ІІІ ступенів Самбірського району Льівської області</t>
  </si>
  <si>
    <t>81444</t>
  </si>
  <si>
    <t>4624286701</t>
  </si>
  <si>
    <t>http://pidgajchyky.ucoz.ua</t>
  </si>
  <si>
    <t>П'яновицька середня загальноосвітня школа І-ІІІ ступенів Бісковицької сільської ради Самбірського району Львівської області</t>
  </si>
  <si>
    <t>81450</t>
  </si>
  <si>
    <t>4624286901</t>
  </si>
  <si>
    <t>П'яновичі</t>
  </si>
  <si>
    <t>(03236)44735</t>
  </si>
  <si>
    <t>http://pyanovychi-zosh.edukit.lviv.ua</t>
  </si>
  <si>
    <t>Лановицька середня загальноосвітня школа І ступеня Бісковицької сільської ради Самбірського району Львівської області</t>
  </si>
  <si>
    <t>81452</t>
  </si>
  <si>
    <t>4624286902</t>
  </si>
  <si>
    <t>Лановичі</t>
  </si>
  <si>
    <t>Максимовицька середня загальноосвітня школа І ступеня Бісковицької сільської ради Самбірського району Львівської області</t>
  </si>
  <si>
    <t>81451</t>
  </si>
  <si>
    <t>4624286903</t>
  </si>
  <si>
    <t>(096)9670360</t>
  </si>
  <si>
    <t>Ралівська середня загальноосвітня школа І-ІІІступенів імені Івана Франка, Ралівської сільської ради,Самбірського району, Львівської області</t>
  </si>
  <si>
    <t>81473</t>
  </si>
  <si>
    <t>4624287201</t>
  </si>
  <si>
    <t>Ралівка</t>
  </si>
  <si>
    <t>вул. Галицька, 1</t>
  </si>
  <si>
    <t>0677835438</t>
  </si>
  <si>
    <t>http://ralivka-school.edukit.lviv.ua/</t>
  </si>
  <si>
    <t>Нагірненська середня загальноосвітня школа І-ІІІ ступенів Самбірського району Львівської області</t>
  </si>
  <si>
    <t>81475</t>
  </si>
  <si>
    <t>4624287203</t>
  </si>
  <si>
    <t>Нагірне</t>
  </si>
  <si>
    <t>4-34-26</t>
  </si>
  <si>
    <t>http://nagirne.ucoz.ua</t>
  </si>
  <si>
    <t>Садковицька середня загальноосвітня школа І-ІІ ступенів Воле-Баранецької сільської ради Самбірського району Львівської області</t>
  </si>
  <si>
    <t>81420</t>
  </si>
  <si>
    <t>4624287601</t>
  </si>
  <si>
    <t>Садковичі</t>
  </si>
  <si>
    <t>0964242944</t>
  </si>
  <si>
    <t>http://sadkovychi.edukit.lviv.ua</t>
  </si>
  <si>
    <t>Вербівська середня загальноосвітня школа І ступеня Самбірського району Львівської області</t>
  </si>
  <si>
    <t>4624287602</t>
  </si>
  <si>
    <t>(380)673701701</t>
  </si>
  <si>
    <t>Стрілковцька середня загальноосвітня школа І-ІІ ступенів'</t>
  </si>
  <si>
    <t>81460</t>
  </si>
  <si>
    <t>4624287901</t>
  </si>
  <si>
    <t>Стрілковичі</t>
  </si>
  <si>
    <t>118</t>
  </si>
  <si>
    <t>(032)48189, (380)986029074</t>
  </si>
  <si>
    <t>Ваньовицька середня загальноосвітня школа І-ІІІ ступенів Самбірського району Львівської області</t>
  </si>
  <si>
    <t>81461</t>
  </si>
  <si>
    <t>4624287903</t>
  </si>
  <si>
    <t>Ваньовичі</t>
  </si>
  <si>
    <t>вул. Сонячна, 113</t>
  </si>
  <si>
    <t>(236)135</t>
  </si>
  <si>
    <t>http://vanovychi-zosh.lviv.sch.in.ua</t>
  </si>
  <si>
    <t>Дубрівська середня загальноосвітня школа І-ІІ ступенів Самбірського району Львівської області</t>
  </si>
  <si>
    <t>81462</t>
  </si>
  <si>
    <t>4624287904</t>
  </si>
  <si>
    <t>(096)4572155</t>
  </si>
  <si>
    <t>Сусолівська середня загальноосвітня школа І-ІІ ступенів Самбірського району Львівської області</t>
  </si>
  <si>
    <t>81448</t>
  </si>
  <si>
    <t>4624288201</t>
  </si>
  <si>
    <t>Сусолів</t>
  </si>
  <si>
    <t>вул. 1Травня, 115</t>
  </si>
  <si>
    <t>(236)47516</t>
  </si>
  <si>
    <t>http://susoliv-zosh.lviv.sch.in.ua</t>
  </si>
  <si>
    <t>Задністрянська середня загальноосвітня школа І ступеня Самбірського району Львівської області</t>
  </si>
  <si>
    <t>4624288202</t>
  </si>
  <si>
    <t>Задністряни</t>
  </si>
  <si>
    <t>(380)972487984</t>
  </si>
  <si>
    <t>Новосілківський навчально-виховний комплекс "Середня загальноосвітня школа І-ІІІ ступенів - дошкільний навчальний заклад" Самбірського району Львівської області</t>
  </si>
  <si>
    <t>81438</t>
  </si>
  <si>
    <t>4624288601</t>
  </si>
  <si>
    <t>Новосілки-Гостинні</t>
  </si>
  <si>
    <t>вул. Нова, 16</t>
  </si>
  <si>
    <t>46-311</t>
  </si>
  <si>
    <t>Долобівська середя загальноосвітня школа І ступеня Самбірського району Львівської області</t>
  </si>
  <si>
    <t>81437</t>
  </si>
  <si>
    <t>4624288603</t>
  </si>
  <si>
    <t>Долобів</t>
  </si>
  <si>
    <t>вул. Шевченка, 69</t>
  </si>
  <si>
    <t>380679258019</t>
  </si>
  <si>
    <t>Хлопчицька середня загальноосвітня школа І-ІІІ ступенів Самбірського району Львівської області</t>
  </si>
  <si>
    <t>81436</t>
  </si>
  <si>
    <t>4624288605</t>
  </si>
  <si>
    <t>Хлопчиці</t>
  </si>
  <si>
    <t>вул. вуллиця Весела, 7</t>
  </si>
  <si>
    <t>(46)369</t>
  </si>
  <si>
    <t>Чайковицький навчально-виховний комплекс "Середня загальноосвітня школа І-ІІІ ступенів - дошкільний навчальний заклад"</t>
  </si>
  <si>
    <t>81442</t>
  </si>
  <si>
    <t>4624288901</t>
  </si>
  <si>
    <t>Чайковичі</t>
  </si>
  <si>
    <t>вул. Січових Стрільців, 22</t>
  </si>
  <si>
    <t>(097)4741205</t>
  </si>
  <si>
    <t>Колбаєвицька середня загальноосвітня школа І ступення</t>
  </si>
  <si>
    <t>81443</t>
  </si>
  <si>
    <t>4624288902</t>
  </si>
  <si>
    <t>Колбаєвичі</t>
  </si>
  <si>
    <t>вул. Зелена, 17</t>
  </si>
  <si>
    <t>(097)4089060</t>
  </si>
  <si>
    <t>Чукв'янська середня загальноосвітня школа І-ІІІ ступенів Самбірського району Львівської області</t>
  </si>
  <si>
    <t>81480</t>
  </si>
  <si>
    <t>4624289201</t>
  </si>
  <si>
    <t>Чуква</t>
  </si>
  <si>
    <t>(40)616</t>
  </si>
  <si>
    <t>http://chukva.ucoz.ua</t>
  </si>
  <si>
    <t>Бережницька середня загальноосвітня школа І ступеня</t>
  </si>
  <si>
    <t>4624289202</t>
  </si>
  <si>
    <t>вул. Сонячна, 6</t>
  </si>
  <si>
    <t>0673377315</t>
  </si>
  <si>
    <t>Сколівська академічна гімназія при Національному університеті "Львівська політехніка" Сколівської районної ради Львівської області</t>
  </si>
  <si>
    <t>82600</t>
  </si>
  <si>
    <t>4624510100</t>
  </si>
  <si>
    <t>Сколе</t>
  </si>
  <si>
    <t>вул. Степана Бандери, 2</t>
  </si>
  <si>
    <t>Сколівська загальноосвітня школа І ступеня Сколівської районної ради Львівької області</t>
  </si>
  <si>
    <t>03251-2-13-94</t>
  </si>
  <si>
    <t>Сколівська загальноосвітня школа І-ІІІ ступенів Сколівської районної ради Львівської області</t>
  </si>
  <si>
    <t>(03251)21398</t>
  </si>
  <si>
    <t>Сколівська загальноосвітня школа-інтернат І-ІІІступенів Сколівської районної ради Львської області</t>
  </si>
  <si>
    <t>вул. Кн. Святослава, 40</t>
  </si>
  <si>
    <t>(251)21357</t>
  </si>
  <si>
    <t>Верхньосиньовидненська загальноосвітня школа І-ІІІ ступенів Сколівської районної ради Львівської області</t>
  </si>
  <si>
    <t>82613</t>
  </si>
  <si>
    <t>4624555300</t>
  </si>
  <si>
    <t>Верхнє Синьовидне</t>
  </si>
  <si>
    <t>(03251)24-0-28</t>
  </si>
  <si>
    <t>Комунальний заклад Львівської обласної ради "Верхньосиньовидненська спеціальна загальноосвітня школа-інтернат І-ІІ ступенів "НАДІЯ"</t>
  </si>
  <si>
    <t>вул. Січових Стрільців, 186</t>
  </si>
  <si>
    <t>(03251)24131, 0684228146</t>
  </si>
  <si>
    <t>04589886</t>
  </si>
  <si>
    <t>Славська загальноосвітня школа І-ІІІ ступенів Сколівської районної ради Львівської області</t>
  </si>
  <si>
    <t>82660</t>
  </si>
  <si>
    <t>4624555700</t>
  </si>
  <si>
    <t>Славське</t>
  </si>
  <si>
    <t>вул. С. Бандери, 1</t>
  </si>
  <si>
    <t>(251)42274</t>
  </si>
  <si>
    <t>Верхнячківський навчально-виховний комплекс "Загальноосвітня школа І-ІІІ ступенів - дошкільний навчальний заклад" Сколівської районної ради Львівської області</t>
  </si>
  <si>
    <t>82654</t>
  </si>
  <si>
    <t>4624580401</t>
  </si>
  <si>
    <t>Верхнячка</t>
  </si>
  <si>
    <t>вул. Шевченка, 115</t>
  </si>
  <si>
    <t>(380)672839571</t>
  </si>
  <si>
    <t>Волосянківська загальноосвітня школа І - ІІ ступенів, Сколівської РДА, Львівської області</t>
  </si>
  <si>
    <t>82663</t>
  </si>
  <si>
    <t>4624580801</t>
  </si>
  <si>
    <t>вул. Шевченка, 48Б</t>
  </si>
  <si>
    <t>Решітська загальноосвітня школа І ступеня Сколівської районної ради Львівської області</t>
  </si>
  <si>
    <t>0974503867</t>
  </si>
  <si>
    <t>Хащованська загальноосвітня школа І-ІІ ступенів Сколівської районної ради Львівської області</t>
  </si>
  <si>
    <t>82662</t>
  </si>
  <si>
    <t>4624580802</t>
  </si>
  <si>
    <t>Хащованя</t>
  </si>
  <si>
    <t>47351, (098)5315112</t>
  </si>
  <si>
    <t>Ялинкуватська загальноосвітня школа І-ІІ ступенів Сколівської районної ради Львівської області</t>
  </si>
  <si>
    <t>4624580803</t>
  </si>
  <si>
    <t>Ялинкувате</t>
  </si>
  <si>
    <t>вул. Л. Українки, 40</t>
  </si>
  <si>
    <t>Головецька загальноосвітня школа І-ІІІ ступеня Сколівської районної ради Львівської області</t>
  </si>
  <si>
    <t>82641</t>
  </si>
  <si>
    <t>4624581201</t>
  </si>
  <si>
    <t>Головецько</t>
  </si>
  <si>
    <t>вул. Брязького, 7</t>
  </si>
  <si>
    <t>0675279148</t>
  </si>
  <si>
    <t>Пшонецька загальноосвітня школа I ступеня вулиця Тростянецька,32</t>
  </si>
  <si>
    <t>4624581203</t>
  </si>
  <si>
    <t>Пшонець</t>
  </si>
  <si>
    <t>вул. Тростянецька, 32</t>
  </si>
  <si>
    <t>380964457206</t>
  </si>
  <si>
    <t>Гребенівська загальноосвітня школа І-ІІ ступенів Сколівської районної ради Львівськоі області</t>
  </si>
  <si>
    <t>82634</t>
  </si>
  <si>
    <t>4624581401</t>
  </si>
  <si>
    <t>Гребенів</t>
  </si>
  <si>
    <t>(251)37236</t>
  </si>
  <si>
    <t>Довжківська загальноосвітня школа І-ІІ ступенів Сколівської районної ради Львівської області</t>
  </si>
  <si>
    <t>82623</t>
  </si>
  <si>
    <t>4624581601</t>
  </si>
  <si>
    <t>Довжки</t>
  </si>
  <si>
    <t>(0-3251)38313</t>
  </si>
  <si>
    <t>Крив 'янська загальноосвітня школа І ступеня Сколівської районної ради Львівської області</t>
  </si>
  <si>
    <t>4624581602</t>
  </si>
  <si>
    <t>вул. І.Франка, 67</t>
  </si>
  <si>
    <t>0666520512</t>
  </si>
  <si>
    <t>Жупанська загальноосвітня школа І-ІІ ступенів</t>
  </si>
  <si>
    <t>82651</t>
  </si>
  <si>
    <t>4624582001</t>
  </si>
  <si>
    <t>Жупани</t>
  </si>
  <si>
    <t>вул. І.Франка, 4</t>
  </si>
  <si>
    <t>Завадківська загальноосвітня школа І-ІІІ ступенів Сколівської районної ради Львівської області</t>
  </si>
  <si>
    <t>82620</t>
  </si>
  <si>
    <t>4624582301</t>
  </si>
  <si>
    <t>Задільська загальноосвітня школа І - ІІІ ступенів Сколівської районної ради Львівської області</t>
  </si>
  <si>
    <t>82621</t>
  </si>
  <si>
    <t>4624582432</t>
  </si>
  <si>
    <t>вул. Івана Франка, 67</t>
  </si>
  <si>
    <t>0955716206</t>
  </si>
  <si>
    <t>Кам'янська загальноосвітня школа І-ІІ ступенів Сколівської районної ради Львівської області</t>
  </si>
  <si>
    <t>4624582501</t>
  </si>
  <si>
    <t>0668214629</t>
  </si>
  <si>
    <t>Климецька загальноосвітня школа I ступеня</t>
  </si>
  <si>
    <t>82650</t>
  </si>
  <si>
    <t>4624582701</t>
  </si>
  <si>
    <t>Климець</t>
  </si>
  <si>
    <t>вул. Лесі Українки, 51</t>
  </si>
  <si>
    <t>0675876914</t>
  </si>
  <si>
    <t>Навчально - виховний комплекс "Середня загальоосвітня школа - ліцей" с. Козьови при Львівському національному університеті імені І.Франка Сколівської районної ради</t>
  </si>
  <si>
    <t>82631</t>
  </si>
  <si>
    <t>4624583001</t>
  </si>
  <si>
    <t>Козьова</t>
  </si>
  <si>
    <t>вул. Європейська, 31</t>
  </si>
  <si>
    <t>Коростівська загальноосвітня школа І-ІІ ступенів Сколівської районної ради Львівської області</t>
  </si>
  <si>
    <t>82630</t>
  </si>
  <si>
    <t>4624583301</t>
  </si>
  <si>
    <t>Коростів</t>
  </si>
  <si>
    <t>вул. Лесі Українки, 77, 79</t>
  </si>
  <si>
    <t>(251)34719</t>
  </si>
  <si>
    <t>Корчинська загальноосвітня школа І-ІІІ ступенів Сколівської районної ради Львівської області</t>
  </si>
  <si>
    <t>82616</t>
  </si>
  <si>
    <t>4624583601</t>
  </si>
  <si>
    <t>вул. Т. Шевченка, 100</t>
  </si>
  <si>
    <t>(3251)57331</t>
  </si>
  <si>
    <t>Крушельницький навчально-виховний комплекс "Загальноосвітня школа І-ІІ ступенів-дошкільний навчальний заклад" Сколівської районної ради Львівської області</t>
  </si>
  <si>
    <t>82617</t>
  </si>
  <si>
    <t>4624583801</t>
  </si>
  <si>
    <t>Крушельниця</t>
  </si>
  <si>
    <t>(251)31-1-18</t>
  </si>
  <si>
    <t>Лавочненська загальноосвітня школа І-ІІ ступенів № 1 Сколівської районної ради Львівської області</t>
  </si>
  <si>
    <t>82652</t>
  </si>
  <si>
    <t>4624584001</t>
  </si>
  <si>
    <t>Лавочне</t>
  </si>
  <si>
    <t>вул. Шевченка, 97</t>
  </si>
  <si>
    <t>(251)48-3-28</t>
  </si>
  <si>
    <t>Лавочненська загальноосвітня школа І-ІІ ступенів № 2 Сколівської районної ради Львівської області</t>
  </si>
  <si>
    <t>вул. Вокзальна, 63</t>
  </si>
  <si>
    <t>(099)0881451, (067)1785798</t>
  </si>
  <si>
    <t>Тернавська загальноосвітня школа I-II ступенів Сколівської районної ради Львівської області</t>
  </si>
  <si>
    <t>82653</t>
  </si>
  <si>
    <t>4624584002</t>
  </si>
  <si>
    <t>Тернавка</t>
  </si>
  <si>
    <t>(068)0354884</t>
  </si>
  <si>
    <t>Либохорівський навчально-виховний комплекс "Загальноосвітня школа І-ІІ ступенів-дошкільний навчальний заклад" Сколівської районної ради Львівської області</t>
  </si>
  <si>
    <t>82633</t>
  </si>
  <si>
    <t>4624584101</t>
  </si>
  <si>
    <t>Либохора</t>
  </si>
  <si>
    <t>вул. Т.Шевченка, 9</t>
  </si>
  <si>
    <t>(251)36117</t>
  </si>
  <si>
    <t>Нижньорожанківська загальноосвітня школа І-ІІ ступенів Сколівської районної ради Львівської області</t>
  </si>
  <si>
    <t>4624584301</t>
  </si>
  <si>
    <t>Нижня Рожанка</t>
  </si>
  <si>
    <t>вул. Устияновича, 37</t>
  </si>
  <si>
    <t>(067)7840135</t>
  </si>
  <si>
    <t>Верхньорожанківська загальноосвітня школа І-ІІ ступенів Сколівської районної ради Львівської області</t>
  </si>
  <si>
    <t>82665</t>
  </si>
  <si>
    <t>4624584302</t>
  </si>
  <si>
    <t>Верхня Рожанка</t>
  </si>
  <si>
    <t>0672968938</t>
  </si>
  <si>
    <t>Нижньосиньовидненська загальноосвітня школа І-ІІ ступенів Сколівської районної ради Львівської області</t>
  </si>
  <si>
    <t>82615</t>
  </si>
  <si>
    <t>4624584501</t>
  </si>
  <si>
    <t>Нижнє Синьовидне</t>
  </si>
  <si>
    <t>вул. Данила Галицького, 28</t>
  </si>
  <si>
    <t>(251)27533</t>
  </si>
  <si>
    <t>Опорецька загальноосвітня школа I-II ступенів Сколівської районної ради Львівської області</t>
  </si>
  <si>
    <t>82655</t>
  </si>
  <si>
    <t>4624584901</t>
  </si>
  <si>
    <t>Опорець</t>
  </si>
  <si>
    <t>0982346029, (380(3251))48304</t>
  </si>
  <si>
    <t>Орівська загальноосвітня школа І-ІІ ступенів Сколівської районної ради Львівської області</t>
  </si>
  <si>
    <t>82610</t>
  </si>
  <si>
    <t>4624585201</t>
  </si>
  <si>
    <t>Орів</t>
  </si>
  <si>
    <t>вул. Шевченка, 677</t>
  </si>
  <si>
    <t>(097)4113693</t>
  </si>
  <si>
    <t>Орівська загальноосвітня школа І-ІІІ ступенів Сколівської районної ради Львівської області</t>
  </si>
  <si>
    <t>вул. Шевченка, 253</t>
  </si>
  <si>
    <t>Орявська загальноосвітня школа І-ІІ ступенів Сколівської районної ради Львівської області</t>
  </si>
  <si>
    <t>82640</t>
  </si>
  <si>
    <t>4624585501</t>
  </si>
  <si>
    <t>Орява</t>
  </si>
  <si>
    <t>0686245418</t>
  </si>
  <si>
    <t>Погарський навчально-виховний комплекс "Загальноосвітня школа І ступеня-дошкільний навчальний заклад" Сколівської районної ради Львівської області</t>
  </si>
  <si>
    <t>4624585502</t>
  </si>
  <si>
    <t>Погар</t>
  </si>
  <si>
    <t>вул. Кобилянської, 17</t>
  </si>
  <si>
    <t>(0325135)615, (050)8781090</t>
  </si>
  <si>
    <t>Плав'я-Бринівська загальноосвітня школа І-ІІ ступенів Сколівської районної ради Львівської області</t>
  </si>
  <si>
    <t>82643</t>
  </si>
  <si>
    <t>4624585901</t>
  </si>
  <si>
    <t>вул. Бринівка, 56</t>
  </si>
  <si>
    <t>0976613775</t>
  </si>
  <si>
    <t>Плав'я-Вадрусівський навчально-виховний комплекс "Загальноосвітня школа I-II ступенів - дошкільний навчальний заклад"</t>
  </si>
  <si>
    <t>вул. Вадрусівка, 309</t>
  </si>
  <si>
    <t>(032)251-3-13-14</t>
  </si>
  <si>
    <t>Підгородецька загальноосвітня школа І-ІІІ ступенів Сколівської районної ради Львівської області</t>
  </si>
  <si>
    <t>82612</t>
  </si>
  <si>
    <t>4624586401</t>
  </si>
  <si>
    <t>Підгородці</t>
  </si>
  <si>
    <t>вул. Степана Бандери, 37</t>
  </si>
  <si>
    <t>(251)37515</t>
  </si>
  <si>
    <t>Сопітська загальноосвітня школа І-ІІ ступенів Сколівської районної ради Львівської області</t>
  </si>
  <si>
    <t>4624586402</t>
  </si>
  <si>
    <t>Сопіт</t>
  </si>
  <si>
    <t>025136616</t>
  </si>
  <si>
    <t>Риківська загальноосвітня школа І-ІІ ступенів Сколівської районної ради Львівської області</t>
  </si>
  <si>
    <t>4624586701</t>
  </si>
  <si>
    <t>Риків</t>
  </si>
  <si>
    <t>вул. Лісова, 5</t>
  </si>
  <si>
    <t>Росохацька загальноосвітня школа І-ІІІ ступенів Сколівської районної ради Львівської області</t>
  </si>
  <si>
    <t>82622</t>
  </si>
  <si>
    <t>4624586901</t>
  </si>
  <si>
    <t>(380)977525683</t>
  </si>
  <si>
    <t>Сможенська загальноосвітня школа I-II ступенів Сколівської районної ради Львівської області</t>
  </si>
  <si>
    <t>82642</t>
  </si>
  <si>
    <t>4624587201</t>
  </si>
  <si>
    <t>Сможе</t>
  </si>
  <si>
    <t>33-5-31</t>
  </si>
  <si>
    <t>Долинівська загальноосвітня школа І ступеня Сколівської районної ради Львівської області</t>
  </si>
  <si>
    <t>4624587202</t>
  </si>
  <si>
    <t>вул. Л. Українки, 76 а</t>
  </si>
  <si>
    <t>(251)32-2-32</t>
  </si>
  <si>
    <t>Труханівська загальноосвітня школа І-ІІІ ступенів Сколівської районної ради Львівської області</t>
  </si>
  <si>
    <t>82618</t>
  </si>
  <si>
    <t>4624587401</t>
  </si>
  <si>
    <t>Труханів</t>
  </si>
  <si>
    <t>(251)27724</t>
  </si>
  <si>
    <t>Побуцька загальноосвітня школа I ступення Сколівської районної ради Львівської області</t>
  </si>
  <si>
    <t>4624587403</t>
  </si>
  <si>
    <t>Побук</t>
  </si>
  <si>
    <t>вул. Л Українки, 31</t>
  </si>
  <si>
    <t>380978693102</t>
  </si>
  <si>
    <t>Тухлянський навчально-виховний комплекс "Середня загальноосвітня школа-гімназія" Сколівської районної ради Львівської області</t>
  </si>
  <si>
    <t>82632</t>
  </si>
  <si>
    <t>4624587801</t>
  </si>
  <si>
    <t>Тухля</t>
  </si>
  <si>
    <t>вул. І.Франка, 53А</t>
  </si>
  <si>
    <t>Тухольківський навчально-виховний комплекс "загальноосвітня школа I-III ступенів - дошкільний навчальний заклад" Сколівської районної ради Львівської області</t>
  </si>
  <si>
    <t>82644</t>
  </si>
  <si>
    <t>4624588301</t>
  </si>
  <si>
    <t>Тухолька</t>
  </si>
  <si>
    <t>вул. Нагірна, 2</t>
  </si>
  <si>
    <t>(3803251)32121</t>
  </si>
  <si>
    <t>Хітарська загальноосвітня школа І-ІІ ступенів Сколівської районної ради Львівської області</t>
  </si>
  <si>
    <t>4624588501</t>
  </si>
  <si>
    <t>Хітар</t>
  </si>
  <si>
    <t>(251)31384</t>
  </si>
  <si>
    <t>Кальненська загальноосвітня школа І ступеня Сколівської районної ради Львівської оласті</t>
  </si>
  <si>
    <t>4624588503</t>
  </si>
  <si>
    <t>Кальне</t>
  </si>
  <si>
    <t>31-3-85</t>
  </si>
  <si>
    <t>Ямельницька загальноосвітня школа І-ІІ ступенів Сколівської районної ради Львівської області</t>
  </si>
  <si>
    <t>82611</t>
  </si>
  <si>
    <t>4624588601</t>
  </si>
  <si>
    <t>Ямельниця</t>
  </si>
  <si>
    <t>вул. Нижній кінець, 83</t>
  </si>
  <si>
    <t>0676854697</t>
  </si>
  <si>
    <t>Комунальний заклад Львівської обласної ради "Сокальська загальноосвітня санаторна школа-інтернат І-ІІІ ст. імені Т. Шевченка"</t>
  </si>
  <si>
    <t>80001</t>
  </si>
  <si>
    <t>4624810100</t>
  </si>
  <si>
    <t>Сокаль</t>
  </si>
  <si>
    <t>вул. Тартаківська, 10</t>
  </si>
  <si>
    <t>http://sokal-internat.lviv.sch.in.ua</t>
  </si>
  <si>
    <t>04545340</t>
  </si>
  <si>
    <t>Сокальський навчально-виховний комплекс "Загальноосвітня школа І ступеня - гімназія" імені Олега Романіва Сокальської районної ради Львівської області</t>
  </si>
  <si>
    <t>вул. Шептицького, 88</t>
  </si>
  <si>
    <t>(03257)7-33-82</t>
  </si>
  <si>
    <t>Сокальська загальноосвітня школа І-ІІІ ступенів № 2 Сокальської районної ради Львівської області</t>
  </si>
  <si>
    <t>80000</t>
  </si>
  <si>
    <t>вул. Шептицького, 104</t>
  </si>
  <si>
    <t>(03257)73796</t>
  </si>
  <si>
    <t>http://sokalschool2.at.ua</t>
  </si>
  <si>
    <t>Сокальська загальноосвітня школа І-ІІІ ступенів № 4 Сокальської районної ради</t>
  </si>
  <si>
    <t>вул. Героїв УПА, 68</t>
  </si>
  <si>
    <t>(03(257))7-32-56, (03(257))7-37-31</t>
  </si>
  <si>
    <t>Сокальська загальноосвітня школа І-ІІІ ступенів № 5</t>
  </si>
  <si>
    <t>вул. Сонячна, 1</t>
  </si>
  <si>
    <t>7-32-85</t>
  </si>
  <si>
    <t>Сокальська спеціалізована школа І-ІІІст. № 3 Сокальської районної ради Львівської області</t>
  </si>
  <si>
    <t>вул. Героїв УПА, 18</t>
  </si>
  <si>
    <t>(03257)73226</t>
  </si>
  <si>
    <t>Белзька загальноосвітня школа І-ІІІ стоупенів</t>
  </si>
  <si>
    <t>80062</t>
  </si>
  <si>
    <t>4624810300</t>
  </si>
  <si>
    <t>Белз</t>
  </si>
  <si>
    <t>пл. України, 2</t>
  </si>
  <si>
    <t>(803257)54152</t>
  </si>
  <si>
    <t>Великомостівська загальноосвітня школа І-ІІІ ступенів</t>
  </si>
  <si>
    <t>80074</t>
  </si>
  <si>
    <t>4624810600</t>
  </si>
  <si>
    <t>Великі Мости</t>
  </si>
  <si>
    <t>вул. Шевченка, 30А</t>
  </si>
  <si>
    <t>(03257)6-44-51, (03257)6-44-71</t>
  </si>
  <si>
    <t>http://vnvklicei.at.ua/</t>
  </si>
  <si>
    <t>Борівський навчально-виховний комплекс"загальноосвітня школа Іступеня-дитячий садок"</t>
  </si>
  <si>
    <t>80076</t>
  </si>
  <si>
    <t>4624810601</t>
  </si>
  <si>
    <t>Борове</t>
  </si>
  <si>
    <t>вул. Піщана, 14</t>
  </si>
  <si>
    <t>Куличківський навчально-виховний комплекс "Загальноосвітня школа І-ІІ ст.-дитячий садок" Сокальський район Львівська область</t>
  </si>
  <si>
    <t>80077</t>
  </si>
  <si>
    <t>4624810602</t>
  </si>
  <si>
    <t>Куличків</t>
  </si>
  <si>
    <t>вул. Ващишина, 1</t>
  </si>
  <si>
    <t>(095)8505677, (093)7485774</t>
  </si>
  <si>
    <t>Угнівська загальноосвітня школа І-ІІІ ступенів Сокальської районної ради Львівської області</t>
  </si>
  <si>
    <t>80064</t>
  </si>
  <si>
    <t>4624810900</t>
  </si>
  <si>
    <t>Угнів</t>
  </si>
  <si>
    <t>вул. Кос-Анатольського, 8</t>
  </si>
  <si>
    <t>0968132213</t>
  </si>
  <si>
    <t>Жвирківська загальноосвітня школа І-ІІІ ступенів</t>
  </si>
  <si>
    <t>80040</t>
  </si>
  <si>
    <t>4624855300</t>
  </si>
  <si>
    <t>Жвирка</t>
  </si>
  <si>
    <t>вул. Б.Хмельницького, 39</t>
  </si>
  <si>
    <t>(03257)74719</t>
  </si>
  <si>
    <t>Завишенський навчально - виховний комплекс "загальноосвітня школа І ступеня - дитячий садок"</t>
  </si>
  <si>
    <t>4624855301</t>
  </si>
  <si>
    <t>Завишень</t>
  </si>
  <si>
    <t>вул. Івана Франка, 82</t>
  </si>
  <si>
    <t>(38)0631963974</t>
  </si>
  <si>
    <t>Боб'ятинський навчально-виховний комплекс " Загальноосвітня школа І-ІІ ступенів - дитячий садок"</t>
  </si>
  <si>
    <t>80030</t>
  </si>
  <si>
    <t>4624880201</t>
  </si>
  <si>
    <t>Боб'ятин</t>
  </si>
  <si>
    <t>вул. Куток, 62</t>
  </si>
  <si>
    <t>(03257)58631</t>
  </si>
  <si>
    <t>http://bobiatyn-shkola.ucoz.ua/</t>
  </si>
  <si>
    <t>Лещатівський навчально-виховний комплекс "Загальноосвітня школа I ступеня-дитячий садок"</t>
  </si>
  <si>
    <t>4624880202</t>
  </si>
  <si>
    <t>Лещатів</t>
  </si>
  <si>
    <t>вул. Ярка, 17</t>
  </si>
  <si>
    <t>0962121554</t>
  </si>
  <si>
    <t>Бутинський навчально-виховний комплекс "Загальноосвтня школа І-ІІІ ступенів-дитячий садок" Сокальської районної ради Львівської області</t>
  </si>
  <si>
    <t>80071</t>
  </si>
  <si>
    <t>4624880601</t>
  </si>
  <si>
    <t>Бутини</t>
  </si>
  <si>
    <t>вул. Травнева, 22</t>
  </si>
  <si>
    <t>(067)3090077</t>
  </si>
  <si>
    <t>http://bytunuschool.klasna.com/</t>
  </si>
  <si>
    <t>Пристанський навчально-виховний комплекс" Загальноосвітня школа І-ІІ ступенів - дошкільний навчальний заклад" Сокальської районної ради Львівської області</t>
  </si>
  <si>
    <t>80072</t>
  </si>
  <si>
    <t>4624880603</t>
  </si>
  <si>
    <t>Пристань</t>
  </si>
  <si>
    <t>вул. Січових Стрільців, 38</t>
  </si>
  <si>
    <t>0979252119</t>
  </si>
  <si>
    <t>Ванівський навчально-виховний комплекс "Загальноосвітня школа І-ІІ ступенів - дитячий садок"</t>
  </si>
  <si>
    <t>80054</t>
  </si>
  <si>
    <t>4624880901</t>
  </si>
  <si>
    <t>Ванів</t>
  </si>
  <si>
    <t>вул. Липнева, 26</t>
  </si>
  <si>
    <t>http://vanivschool.klasna.com/</t>
  </si>
  <si>
    <t>Глухівський навчально-виховний комплекс "Загальноосвітня школа I ступеня-дитячий садок" Сокальський район Львівська область</t>
  </si>
  <si>
    <t>4624880902</t>
  </si>
  <si>
    <t>Глухів</t>
  </si>
  <si>
    <t>Низівська загальноосвітня школа І - ІІ ступенів</t>
  </si>
  <si>
    <t>80055</t>
  </si>
  <si>
    <t>4624880903</t>
  </si>
  <si>
    <t>Низи</t>
  </si>
  <si>
    <t>(257)54328</t>
  </si>
  <si>
    <t>Волицька загальноосвітня школа І-ІІІ ступенів Сокальського району Львівської області</t>
  </si>
  <si>
    <t>80080</t>
  </si>
  <si>
    <t>4624881101</t>
  </si>
  <si>
    <t>(03257)56266</t>
  </si>
  <si>
    <t>Комарівська загальноосвітня школа І ступеня</t>
  </si>
  <si>
    <t>4624881102</t>
  </si>
  <si>
    <t>вул. М. Грушевського, 32</t>
  </si>
  <si>
    <t>0971243294</t>
  </si>
  <si>
    <t>Волсвинська загальноосвітня школа І-ІІ ступенів</t>
  </si>
  <si>
    <t>80085</t>
  </si>
  <si>
    <t>4624881301</t>
  </si>
  <si>
    <t>Волсвин</t>
  </si>
  <si>
    <t>0982570497</t>
  </si>
  <si>
    <t>Двірцівський навчально-виховний комплекс «Загальноосвітня школа І-ІІІ ступенів - дитячий садок»</t>
  </si>
  <si>
    <t>80073</t>
  </si>
  <si>
    <t>4624881801</t>
  </si>
  <si>
    <t>Двірці</t>
  </si>
  <si>
    <t>http://schooldvirtsi.at.ua</t>
  </si>
  <si>
    <t>Домашівська ЗШ І-ІІ ступенів</t>
  </si>
  <si>
    <t>80067</t>
  </si>
  <si>
    <t>4624882001</t>
  </si>
  <si>
    <t>(257)56640</t>
  </si>
  <si>
    <t>Дібровський навчально-виховний комплекс "Загальноосвітня школа І-ІІ ступенів-дитячий садок" Сокальської районної ради Львівської області</t>
  </si>
  <si>
    <t>80068</t>
  </si>
  <si>
    <t>4624882003</t>
  </si>
  <si>
    <t>вул. Травнева, 17</t>
  </si>
  <si>
    <t>(03257)5-52-31</t>
  </si>
  <si>
    <t>Жужелянська загальноосвітня школа І ступеня</t>
  </si>
  <si>
    <t>80046</t>
  </si>
  <si>
    <t>4624882101</t>
  </si>
  <si>
    <t>Жужеляни</t>
  </si>
  <si>
    <t>0973413002</t>
  </si>
  <si>
    <t>Перемисловицький навчально-виховний комплекс "Загальноосвітня школа І ступеня - дитячий садок"</t>
  </si>
  <si>
    <t>4624882104</t>
  </si>
  <si>
    <t>Перемисловичі</t>
  </si>
  <si>
    <t>(098)2963250</t>
  </si>
  <si>
    <t>Цеблівська загальноосвітня школа І ступеня Жужелянської сільської ради Сокальського району Львівської області</t>
  </si>
  <si>
    <t>4624882105</t>
  </si>
  <si>
    <t>Цеблів</t>
  </si>
  <si>
    <t>вул. Зелена, 11</t>
  </si>
  <si>
    <t>0673494468</t>
  </si>
  <si>
    <t>Карівська загальноосвітня школа І-ІІ ступенів</t>
  </si>
  <si>
    <t>80066</t>
  </si>
  <si>
    <t>4624882401</t>
  </si>
  <si>
    <t>Карів</t>
  </si>
  <si>
    <t>(097)2473678</t>
  </si>
  <si>
    <t>Княжівська загальноосвітня школа І-ІІІ ступенів</t>
  </si>
  <si>
    <t>80036</t>
  </si>
  <si>
    <t>4624882601</t>
  </si>
  <si>
    <t>(3257)50633</t>
  </si>
  <si>
    <t>http://knyazheschool.klasna.com/</t>
  </si>
  <si>
    <t>Стаївська загальноосвітня школа І-ІІ ступенів імені Осипа Лещука</t>
  </si>
  <si>
    <t>80061</t>
  </si>
  <si>
    <t>4624882802</t>
  </si>
  <si>
    <t>Стаївка</t>
  </si>
  <si>
    <t>вул. Нова, 61</t>
  </si>
  <si>
    <t>(257)54761</t>
  </si>
  <si>
    <t>Телязька загальноосвітня школа І-ІІ ступенів Сокальської районної ради Львівської області</t>
  </si>
  <si>
    <t>80015</t>
  </si>
  <si>
    <t>4624883101</t>
  </si>
  <si>
    <t>Теляж</t>
  </si>
  <si>
    <t>вул. Ланковецька, 71А</t>
  </si>
  <si>
    <t>((8-03257))57537</t>
  </si>
  <si>
    <t>Ульвівський навчально-виховний комплекс "Загальноосвітня школа І - ІІ ступенів - дитячий садок"</t>
  </si>
  <si>
    <t>80020</t>
  </si>
  <si>
    <t>4624883102</t>
  </si>
  <si>
    <t>Ульвівок</t>
  </si>
  <si>
    <t>вул. Над Бугом, 43</t>
  </si>
  <si>
    <t>(257)57538</t>
  </si>
  <si>
    <t>Лучицький навчально-виховний комплекс "Загальноосвітня школа І-ІІІ ступенів - дитячий садок"</t>
  </si>
  <si>
    <t>80031</t>
  </si>
  <si>
    <t>4624883201</t>
  </si>
  <si>
    <t>Лучиці</t>
  </si>
  <si>
    <t>вул. Прибережна, 48</t>
  </si>
  <si>
    <t>Шарпанецьказагальноосвітня школа І ступеня</t>
  </si>
  <si>
    <t>4624883203</t>
  </si>
  <si>
    <t>Шарпанці</t>
  </si>
  <si>
    <t>вул. Б.Хмельницького, 22</t>
  </si>
  <si>
    <t>Межирічанський навчально-виховний комплекс "Загальноосвітня школа І-ІІ ступенів - дитячий садок"</t>
  </si>
  <si>
    <t>80084</t>
  </si>
  <si>
    <t>4624883501</t>
  </si>
  <si>
    <t>0976188986</t>
  </si>
  <si>
    <t>Мурованський навчально-виховний комплекс "Загальноосвітня школа І-ІІ ступенів - дитячий садок"</t>
  </si>
  <si>
    <t>80050</t>
  </si>
  <si>
    <t>4624883701</t>
  </si>
  <si>
    <t>вул. Л.Українки, 2Г</t>
  </si>
  <si>
    <t>2-45-12</t>
  </si>
  <si>
    <t>Себечівський навчально-виховний комплекс"Загальноосвітня школа І-ІІ ступенів- дитячий садок"</t>
  </si>
  <si>
    <t>80045</t>
  </si>
  <si>
    <t>4624883703</t>
  </si>
  <si>
    <t>Себечів</t>
  </si>
  <si>
    <t>0962753857</t>
  </si>
  <si>
    <t>Варязька загальноосвітня школа І-ІІІ ступенів</t>
  </si>
  <si>
    <t>80014</t>
  </si>
  <si>
    <t>4624883901</t>
  </si>
  <si>
    <t>Варяж</t>
  </si>
  <si>
    <t>(8-03257))51-2-37</t>
  </si>
  <si>
    <t>http://variazh-school.klasna.com/</t>
  </si>
  <si>
    <t>Острівський навчально-виховний комплекс "Загальноосвітня школа І-ІІІ ступенів-дитячий садок"</t>
  </si>
  <si>
    <t>80051</t>
  </si>
  <si>
    <t>4624884201</t>
  </si>
  <si>
    <t>вул. Cадова</t>
  </si>
  <si>
    <t>(03257)52168</t>
  </si>
  <si>
    <t>http://ostrivschool.at.ua/</t>
  </si>
  <si>
    <t>Борятинський навчально-виховний комплекс "Загальноосвітня школа І-ІІ ступенів-дитячий садок" Сокальської районної ради Львівської області</t>
  </si>
  <si>
    <t>80052</t>
  </si>
  <si>
    <t>4624884203</t>
  </si>
  <si>
    <t>Борятин</t>
  </si>
  <si>
    <t>вул. Шкільна, 30 а</t>
  </si>
  <si>
    <t>(068)5030985, (095)6895831</t>
  </si>
  <si>
    <t>http://boriatyn-nvk.webnode.com.ua</t>
  </si>
  <si>
    <t>Спасівська загальноосвітня школа І-ІІ ступенів імені Василя Сидора - Шелеста Сокальської районної ради Львівської області</t>
  </si>
  <si>
    <t>80035</t>
  </si>
  <si>
    <t>4624884402</t>
  </si>
  <si>
    <t>Спасів</t>
  </si>
  <si>
    <t>ал. М.Панаса, 10</t>
  </si>
  <si>
    <t>(03257)50441</t>
  </si>
  <si>
    <t>Опільський навчально-виховний комплекс "Загальноосвітня школа І ступеня - дитячий садок"Опільської сільської ради Сокальського району Львівської області</t>
  </si>
  <si>
    <t>80027</t>
  </si>
  <si>
    <t>4624884601</t>
  </si>
  <si>
    <t>Опільсько</t>
  </si>
  <si>
    <t>0961220019</t>
  </si>
  <si>
    <t>Бояницький навчально-виховний комплекс " Загальноосвітня школа І ступеня - дошкільний навчальний заклад"</t>
  </si>
  <si>
    <t>80044</t>
  </si>
  <si>
    <t>4624884602</t>
  </si>
  <si>
    <t>Бояничі</t>
  </si>
  <si>
    <t>вул. Зелена верхня, 30</t>
  </si>
  <si>
    <t>0979884874</t>
  </si>
  <si>
    <t>Забузька загальноосвітня школа І-ІІІ ступенів</t>
  </si>
  <si>
    <t>80028</t>
  </si>
  <si>
    <t>4624884604</t>
  </si>
  <si>
    <t>вул. І. Франка, 55</t>
  </si>
  <si>
    <t>(257)2-51-27</t>
  </si>
  <si>
    <t>Переспівська загальноосвітня школа І - ІІ ступенів</t>
  </si>
  <si>
    <t>80082</t>
  </si>
  <si>
    <t>4624884801</t>
  </si>
  <si>
    <t>вул. Шевченка, 28А</t>
  </si>
  <si>
    <t>(032)5759372</t>
  </si>
  <si>
    <t>Зубківський навчально-виховний комплекс"Загальноосвітня школа І ст.-дитячий садок"</t>
  </si>
  <si>
    <t>80083</t>
  </si>
  <si>
    <t>4624884802</t>
  </si>
  <si>
    <t>Зубків</t>
  </si>
  <si>
    <t>380676060496</t>
  </si>
  <si>
    <t>Поторицька загальноосвітня школа І-ІІІ ступенів Сокальської районної ради Львівської області</t>
  </si>
  <si>
    <t>80038</t>
  </si>
  <si>
    <t>4624885501</t>
  </si>
  <si>
    <t>Поториця</t>
  </si>
  <si>
    <t>вул. Зелена, 136</t>
  </si>
  <si>
    <t>(03257)23935</t>
  </si>
  <si>
    <t>Горбківська загальноосвітня школа І-ІІ ступенів</t>
  </si>
  <si>
    <t>4624885503</t>
  </si>
  <si>
    <t>Горбків</t>
  </si>
  <si>
    <t>(257)75412</t>
  </si>
  <si>
    <t>Хоробрівська загальноосвітня школа І - ІІІ ступенів Сокальської районної ради Львівської області</t>
  </si>
  <si>
    <t>80013</t>
  </si>
  <si>
    <t>4624885701</t>
  </si>
  <si>
    <t>Хоробрів</t>
  </si>
  <si>
    <t>Угринівська загальноосвітня школа І-ІІ ступенів Сокальської районної ради Львівської області</t>
  </si>
  <si>
    <t>80012</t>
  </si>
  <si>
    <t>4624885702</t>
  </si>
  <si>
    <t>(03257)55346</t>
  </si>
  <si>
    <t>Реклинецька загальноосвітня школа І-ІІІ ступенів</t>
  </si>
  <si>
    <t>80078</t>
  </si>
  <si>
    <t>4624885901</t>
  </si>
  <si>
    <t>Реклинець</t>
  </si>
  <si>
    <t>ал. Нова, 10</t>
  </si>
  <si>
    <t>Стремінський навчально виховний комплекс "Загальноосвітня школа І ступеня - дитячий садок"</t>
  </si>
  <si>
    <t>4624885902</t>
  </si>
  <si>
    <t>Стремінь</t>
  </si>
  <si>
    <t>САВЧИНСЬКА ЗАГАЛЬНООСВІТНЯ ШКОЛА І-ІІІ СТУПЕНІВ</t>
  </si>
  <si>
    <t>4624886201</t>
  </si>
  <si>
    <t>Савчин</t>
  </si>
  <si>
    <t>вул. Шептицького, 28</t>
  </si>
  <si>
    <t>https://sites.google.com/site/shkolasavchyn/</t>
  </si>
  <si>
    <t>Ільковицький навчально- виховний комплекс "загальноосвітня школа І-ІІІступенів - дитячий садок"</t>
  </si>
  <si>
    <t>80026</t>
  </si>
  <si>
    <t>4624886402</t>
  </si>
  <si>
    <t>Ільковичі</t>
  </si>
  <si>
    <t>(03257)51637</t>
  </si>
  <si>
    <t>Суховільська загальноосвітня школа І ступеня Свитазівської сільської ради Сокальського району Львівської області</t>
  </si>
  <si>
    <t>4624886404</t>
  </si>
  <si>
    <t>вул. Першотравнева, 39</t>
  </si>
  <si>
    <t>0972483275</t>
  </si>
  <si>
    <t>Сілецька загальноосвітня школа І-ІІІ ступенів імені Івана Климіва-Легенди Сокальської районної ради Львівської області</t>
  </si>
  <si>
    <t>80086</t>
  </si>
  <si>
    <t>4624886601</t>
  </si>
  <si>
    <t>(03257)65713</t>
  </si>
  <si>
    <t>http://www.silets.at.ua</t>
  </si>
  <si>
    <t>Скоморохівська загальноосвітня школа І ступеня Скоморохівської сільської ради Сокальського району Львівської області</t>
  </si>
  <si>
    <t>80022</t>
  </si>
  <si>
    <t>4624886801</t>
  </si>
  <si>
    <t>Скоморохи</t>
  </si>
  <si>
    <t>(097)6099354</t>
  </si>
  <si>
    <t>Перетіцький навчально-виховний комплекс "Загальноосвітня школа І - ІІІ ступенів - дитячий садок"</t>
  </si>
  <si>
    <t>80023</t>
  </si>
  <si>
    <t>4624886802</t>
  </si>
  <si>
    <t>Перетоки</t>
  </si>
  <si>
    <t>вул. Волинська, 1</t>
  </si>
  <si>
    <t>0977473557</t>
  </si>
  <si>
    <t>Матівська загальноосвітня школа І - ІІ ступенів Сокальської РДА Львівської області</t>
  </si>
  <si>
    <t>80032</t>
  </si>
  <si>
    <t>4624886904</t>
  </si>
  <si>
    <t>Матів</t>
  </si>
  <si>
    <t>(03257)59225</t>
  </si>
  <si>
    <t>Стенятинська загальноосвітня школа І-ІІІ ступенів Сокальської районної ради Львівської області</t>
  </si>
  <si>
    <t>80024</t>
  </si>
  <si>
    <t>4624887201</t>
  </si>
  <si>
    <t>Стенятин</t>
  </si>
  <si>
    <t>0975108369</t>
  </si>
  <si>
    <t>Тартаківський навчально-виховний комплекс " Загальноосвітня школа І- ІІІ ступенів-дошкільний навчальний заклад імені Петра Саноцького"</t>
  </si>
  <si>
    <t>80033</t>
  </si>
  <si>
    <t>4624887401</t>
  </si>
  <si>
    <t>Тартаків</t>
  </si>
  <si>
    <t>вул. Т. Шевченка, 1</t>
  </si>
  <si>
    <t>(257)58425</t>
  </si>
  <si>
    <t>http://tartakovschool.ucoz.ua</t>
  </si>
  <si>
    <t>Романівський навчально-виховний комплекс "Загальноосвітня школа І ступеня-дитячий садок"</t>
  </si>
  <si>
    <t>4624887404</t>
  </si>
  <si>
    <t>вул. Тараса Шевченка, 12</t>
  </si>
  <si>
    <t>(03257)58202</t>
  </si>
  <si>
    <t>Тудорковицький навчально- виховний комплекс " Загальноосвітня школа І - ІІ ступенів - дитячий садок"</t>
  </si>
  <si>
    <t>80010</t>
  </si>
  <si>
    <t>4624887801</t>
  </si>
  <si>
    <t>Тудорковичі</t>
  </si>
  <si>
    <t>вул. В. Матюка, 42</t>
  </si>
  <si>
    <t>http://tudorkovychi.at.ua</t>
  </si>
  <si>
    <t>Войславицька загальноосвітня школа І-ІІ ступенів</t>
  </si>
  <si>
    <t>80011</t>
  </si>
  <si>
    <t>4624887802</t>
  </si>
  <si>
    <t>Войславичі</t>
  </si>
  <si>
    <t>вул. Хмельницького, 37</t>
  </si>
  <si>
    <t>(03257)0686297895</t>
  </si>
  <si>
    <t>Хлівчанська загальноосвітня школа І - ІІІ ступенів Сокальської районної ради Львівської області</t>
  </si>
  <si>
    <t>80070</t>
  </si>
  <si>
    <t>4624888201</t>
  </si>
  <si>
    <t>Хлівчани</t>
  </si>
  <si>
    <t>вул. І. Сайко, 2</t>
  </si>
  <si>
    <t>(03527)52614</t>
  </si>
  <si>
    <t>Тяглівська загальноосвітня школа І ступеня</t>
  </si>
  <si>
    <t>4624888202</t>
  </si>
  <si>
    <t>Тяглів</t>
  </si>
  <si>
    <t>0673554214</t>
  </si>
  <si>
    <t>Старосамбірська загальноосвітня середня школа № 2 І-ІІІ ступеня</t>
  </si>
  <si>
    <t>82000</t>
  </si>
  <si>
    <t>4625110100</t>
  </si>
  <si>
    <t>Старий Самбір</t>
  </si>
  <si>
    <t>вул. Дашо, 5</t>
  </si>
  <si>
    <t>(03238)21205</t>
  </si>
  <si>
    <t>Опорний загальноосвітній навчальний заклад - "Старосамбірська загальноосвітня школа І-ІІІ ступенів № 1 імені Героя України Богдана Сольчаника Львівської області"</t>
  </si>
  <si>
    <t>(03238)21398</t>
  </si>
  <si>
    <t>Загальноосвітня середня школа I-III ступенів м. Добромиль Старосамбірського району Львівської області</t>
  </si>
  <si>
    <t>82042</t>
  </si>
  <si>
    <t>4625110300</t>
  </si>
  <si>
    <t>Добромиль</t>
  </si>
  <si>
    <t>вул. Галицька, 36</t>
  </si>
  <si>
    <t>(238)33090</t>
  </si>
  <si>
    <t>Комунальний заклад Львівської обласної ради "Добромильська спеціальна загальноосвітня школа-інтернат І-ІІ ступенів"</t>
  </si>
  <si>
    <t>(032)33153</t>
  </si>
  <si>
    <t>04589900</t>
  </si>
  <si>
    <t>Опорний загальноосвітній навчальний заклад - "Загальноосвітня середня школа І-ІІІ ступенів м. Хирів Старосамбірського району Львівської області</t>
  </si>
  <si>
    <t>82060</t>
  </si>
  <si>
    <t>4625110700</t>
  </si>
  <si>
    <t>Хирів</t>
  </si>
  <si>
    <t>вул. Гоголя, 6</t>
  </si>
  <si>
    <t>(03238)24468</t>
  </si>
  <si>
    <t>Хирівська школа-інтернат Владики Івана Хоми</t>
  </si>
  <si>
    <t>вул. Добромильська, 23</t>
  </si>
  <si>
    <t>04545334</t>
  </si>
  <si>
    <t>Нижанковицька загальноосвітня середня школа І-ІІІ ступенів, Нижанковицької селищної ради, Нижанковицької ОТГ Львіської області</t>
  </si>
  <si>
    <t>82011</t>
  </si>
  <si>
    <t>4625155400</t>
  </si>
  <si>
    <t>Нижанковичі</t>
  </si>
  <si>
    <t>вул. Костюшко, 24</t>
  </si>
  <si>
    <t>(03238)31442</t>
  </si>
  <si>
    <t>Старосолянський навчально-виховний комплекс "Загальноосвітній навчальний заклад І-ІІІ ступенів - дошкільний навчальний заклад"</t>
  </si>
  <si>
    <t>82066</t>
  </si>
  <si>
    <t>4625155700</t>
  </si>
  <si>
    <t>Стара Сіль</t>
  </si>
  <si>
    <t>(03238)63221</t>
  </si>
  <si>
    <t>Загальноосвітня середня школа І-ІІ ступенів с. Стара ропа</t>
  </si>
  <si>
    <t>4625155701</t>
  </si>
  <si>
    <t>Стара Ропа</t>
  </si>
  <si>
    <t>Загальноосвітня середня школа І ст. с.Біличі Старосамбірського району Львівської області</t>
  </si>
  <si>
    <t>82026</t>
  </si>
  <si>
    <t>4625180201</t>
  </si>
  <si>
    <t>ал. Шкільна, 18</t>
  </si>
  <si>
    <t>Загальноосвітня середня школа І-ІІ ступенів с.Біличі Старосамбірський район Львівська область</t>
  </si>
  <si>
    <t>82070</t>
  </si>
  <si>
    <t>0985383483</t>
  </si>
  <si>
    <t>Загальноосвітня середня школа І-ІІ ступенів с.Болозів Новоміської сільської ради Старосамбірського району Львівської області</t>
  </si>
  <si>
    <t>82024</t>
  </si>
  <si>
    <t>4625180401</t>
  </si>
  <si>
    <t>Болозів</t>
  </si>
  <si>
    <t>(238)34189</t>
  </si>
  <si>
    <t>Загальноосвітня середня школа І ступеня селя Нижня Вовча Новоміської сільської ради Старосамбірського району Львівської області</t>
  </si>
  <si>
    <t>4625180403</t>
  </si>
  <si>
    <t>Нижня Вовча</t>
  </si>
  <si>
    <t>вул. Радичанка, 65</t>
  </si>
  <si>
    <t>Боршевицька загальноосвітня середня школа І-ІІ ступенів</t>
  </si>
  <si>
    <t>4625180501</t>
  </si>
  <si>
    <t>Боршевичі</t>
  </si>
  <si>
    <t>Навчально-виховний комплекс "Загальноосвітній навчальний заклад І-ІІІ ступенів - дошкільний навчальний заклад с. Велика Лінина Старосамбірського району Львівської області"</t>
  </si>
  <si>
    <t>82076</t>
  </si>
  <si>
    <t>4625180601</t>
  </si>
  <si>
    <t>Велика Лінина</t>
  </si>
  <si>
    <t>загальноосвітня середня школа Iступеня села Лаврів Старосамбірського району Львівської області</t>
  </si>
  <si>
    <t>4625180602</t>
  </si>
  <si>
    <t>вул. Л. Українки, 2</t>
  </si>
  <si>
    <t>0984509443</t>
  </si>
  <si>
    <t>Загальноосвітня середня школа І-ІІ ступенів с. Великосілля Старосамбірського району Львівської області</t>
  </si>
  <si>
    <t>82074</t>
  </si>
  <si>
    <t>4625180901</t>
  </si>
  <si>
    <t>Великосілля</t>
  </si>
  <si>
    <t>(03238)61-111</t>
  </si>
  <si>
    <t>Загальноосвітня середня школа І-ІІ ступенів с. Велика Сушиця Старосамбірського району Львівської області</t>
  </si>
  <si>
    <t>82062</t>
  </si>
  <si>
    <t>4625181101</t>
  </si>
  <si>
    <t>Велика Сушиця</t>
  </si>
  <si>
    <t>0988395284</t>
  </si>
  <si>
    <t>Верхньолужецька середня школа І-ІІ ступенів с. Верхній Лужок</t>
  </si>
  <si>
    <t>82084</t>
  </si>
  <si>
    <t>4625181301</t>
  </si>
  <si>
    <t>Верхній Лужок</t>
  </si>
  <si>
    <t>вул. Центральна, 25А</t>
  </si>
  <si>
    <t>Загальноосвітня середня школа І-ІІ ступенів с Бусовисько Старосамбірського району Львівської області</t>
  </si>
  <si>
    <t>82073</t>
  </si>
  <si>
    <t>4625181302</t>
  </si>
  <si>
    <t>Бусовисько</t>
  </si>
  <si>
    <t>вул. Придністрянська, 270</t>
  </si>
  <si>
    <t>0973322697</t>
  </si>
  <si>
    <t>Волошинівська загальноосвітня середня школа І ступеня</t>
  </si>
  <si>
    <t>82072</t>
  </si>
  <si>
    <t>4625181501</t>
  </si>
  <si>
    <t>Волошиново</t>
  </si>
  <si>
    <t>вул. Галицька, 125</t>
  </si>
  <si>
    <t>0673531352</t>
  </si>
  <si>
    <t>Загальносвітня середня школа І ступеня с. Росохи</t>
  </si>
  <si>
    <t>4625181502</t>
  </si>
  <si>
    <t>Росохи</t>
  </si>
  <si>
    <t>0987269321</t>
  </si>
  <si>
    <t>Загальноосвітня середня школа І-ІІ ступенів с.Воля Старосамбірського району Львівської області</t>
  </si>
  <si>
    <t>82083</t>
  </si>
  <si>
    <t>4625181701</t>
  </si>
  <si>
    <t>Воля</t>
  </si>
  <si>
    <t>(238)62313</t>
  </si>
  <si>
    <t>ЗСШ І - ІІІ ступенів села Головецько Старосамбірського району Львівської області</t>
  </si>
  <si>
    <t>82096</t>
  </si>
  <si>
    <t>4625181901</t>
  </si>
  <si>
    <t>вул. Івана Франка, 19/А</t>
  </si>
  <si>
    <t>Головецько - Бабинська загальноосвітня школа І ступеня Старосамбірського району Львівської області</t>
  </si>
  <si>
    <t>82094</t>
  </si>
  <si>
    <t>4625181902</t>
  </si>
  <si>
    <t>Бабино</t>
  </si>
  <si>
    <t>вул. Підгірна</t>
  </si>
  <si>
    <t>(096)4729469</t>
  </si>
  <si>
    <t>Головецько - Золотнівська загальноосвітня школа І ступеня Старосамбірського району Львівської області</t>
  </si>
  <si>
    <t>4625181907</t>
  </si>
  <si>
    <t>Гвоздець</t>
  </si>
  <si>
    <t>(098)5893843</t>
  </si>
  <si>
    <t>Загальноосвітня середня школа I-II ступенів села Грозьово Старосамбірського району Львівської області</t>
  </si>
  <si>
    <t>82093</t>
  </si>
  <si>
    <t>4625182101</t>
  </si>
  <si>
    <t>Грозьово</t>
  </si>
  <si>
    <t>Загальноосвітня середня школа І-ІІ ступенів с.Грушатичі,Новоміська сільська рада,Старосамбірський район,Львівська область</t>
  </si>
  <si>
    <t>82020</t>
  </si>
  <si>
    <t>4625182301</t>
  </si>
  <si>
    <t>Грушатичі</t>
  </si>
  <si>
    <t>Загальноосвітня середня школа І-ІІ ступенів с. Чижки Новоміської сільської ради Старосамбірського району Львівської області</t>
  </si>
  <si>
    <t>82021</t>
  </si>
  <si>
    <t>4625182304</t>
  </si>
  <si>
    <t>Чижки</t>
  </si>
  <si>
    <t>ал. вул.Центральна, 21А</t>
  </si>
  <si>
    <t>0679267668</t>
  </si>
  <si>
    <t>Дроздовицька загальноосвітня середня школа І ступеня</t>
  </si>
  <si>
    <t>82010</t>
  </si>
  <si>
    <t>4625182601</t>
  </si>
  <si>
    <t>102</t>
  </si>
  <si>
    <t>Загальноосвітня середня школа І-ІІ ступенів с. Княжпіль імені Дмитра Хадая</t>
  </si>
  <si>
    <t>82044</t>
  </si>
  <si>
    <t>4625182901</t>
  </si>
  <si>
    <t>Княжпіль</t>
  </si>
  <si>
    <t>вул. Галицька</t>
  </si>
  <si>
    <t>(238)33528</t>
  </si>
  <si>
    <t>Мігівська загальноосвітня середня школа І-ІІ ступеня село Мігово Львівської області Старосамбірського району</t>
  </si>
  <si>
    <t>82045</t>
  </si>
  <si>
    <t>4625182904</t>
  </si>
  <si>
    <t>Мігово</t>
  </si>
  <si>
    <t>вул. Івана Франка, 25</t>
  </si>
  <si>
    <t>0676881263</t>
  </si>
  <si>
    <t>Загальноосвітня середня школа І-ІІ ступенів с. Конів Новоміської сільської ради , Старосамбірського району , Львівської області</t>
  </si>
  <si>
    <t>82025</t>
  </si>
  <si>
    <t>4625183001</t>
  </si>
  <si>
    <t>Конів</t>
  </si>
  <si>
    <t>вул. Бічна, 3</t>
  </si>
  <si>
    <t>(097)4005913</t>
  </si>
  <si>
    <t>загальноосвітня середня школа І-ІІІ ступенів с.Лютовисько Старосамбірського району Львівської області</t>
  </si>
  <si>
    <t>82030</t>
  </si>
  <si>
    <t>4625183101</t>
  </si>
  <si>
    <t>Лютовиська</t>
  </si>
  <si>
    <t>Загальноосвітня середня школа І-ІІ ступенів с. Биличі Старосамбірського району Львівської області</t>
  </si>
  <si>
    <t>82033</t>
  </si>
  <si>
    <t>4625183102</t>
  </si>
  <si>
    <t>Биличі</t>
  </si>
  <si>
    <t>вул. Центральна, 168</t>
  </si>
  <si>
    <t>(03238)34-6-02</t>
  </si>
  <si>
    <t>Загальноосвітня середня школа І-ІІ ступеня с. Буково Старосамбірського району Львівської області</t>
  </si>
  <si>
    <t>4625183103</t>
  </si>
  <si>
    <t>Букова</t>
  </si>
  <si>
    <t>(238)26043</t>
  </si>
  <si>
    <t>Раківська загальноосвітня школа І - ІІ ступеня Старосамбірського району Львівської області</t>
  </si>
  <si>
    <t>82032</t>
  </si>
  <si>
    <t>4625183104</t>
  </si>
  <si>
    <t>НВК "Загальноосвітній навчальний заклад І-ІІІ ступенів - дошкільний навчальний заклад - учнівське лісництво ім. о.І.Могильницького" с.Міженець</t>
  </si>
  <si>
    <t>82013</t>
  </si>
  <si>
    <t>4625183301</t>
  </si>
  <si>
    <t>Міженець</t>
  </si>
  <si>
    <t>Загальноосвітня середня школа І-ІІ ступенів с. Муроване Старосамбірського району Львівської області</t>
  </si>
  <si>
    <t>82055</t>
  </si>
  <si>
    <t>4625183501</t>
  </si>
  <si>
    <t>Загальноосвітня середня школа І - ІІІ ступенів села Нове Місто Новоміської сільської ради Старосамбірського району Львівської області</t>
  </si>
  <si>
    <t>82022</t>
  </si>
  <si>
    <t>4625183901</t>
  </si>
  <si>
    <t>Нове Місто</t>
  </si>
  <si>
    <t>Загальноосвітня середня школа І-ІІ ступенів с. Боневичі Новоміської сільської ради Старосамбірського району Львівської області</t>
  </si>
  <si>
    <t>4625183902</t>
  </si>
  <si>
    <t>Боневичі</t>
  </si>
  <si>
    <t>вул. Л. Українки, 65</t>
  </si>
  <si>
    <t>(238)33585</t>
  </si>
  <si>
    <t>http://bonevychi-skola.blogspot.com</t>
  </si>
  <si>
    <t>загальноосвітня середня школа I-II ступенів с.Передільниця Старосамбірського району Львівської області</t>
  </si>
  <si>
    <t>82015</t>
  </si>
  <si>
    <t>4625184105</t>
  </si>
  <si>
    <t>Передільниця</t>
  </si>
  <si>
    <t>Загальноосвітня середня школа І - ІІ ступенів с. Ріп’яно Старосамбірського району Львівської області</t>
  </si>
  <si>
    <t>4625184301</t>
  </si>
  <si>
    <t>Ріп'яна</t>
  </si>
  <si>
    <t>вул. Сільська</t>
  </si>
  <si>
    <t>65527</t>
  </si>
  <si>
    <t>ЗСШ І ступеня села Дністрик Старосамбірського району Львівської області</t>
  </si>
  <si>
    <t>4625184302</t>
  </si>
  <si>
    <t>Дністрик</t>
  </si>
  <si>
    <t>(096)2121498</t>
  </si>
  <si>
    <t>Загальноосвітня школа І ступення села Смеречка Старосамбірського району Львівськлї області</t>
  </si>
  <si>
    <t>4625184303</t>
  </si>
  <si>
    <t>Смеречка</t>
  </si>
  <si>
    <t>(068)5293272</t>
  </si>
  <si>
    <t>Навчально-виховний комплекс "Загальноосвітній навчальний заклад І-ІІІ ступенів - дошкільний навчальний заклад с. Скелівка Старосамбрського району Львівської області"</t>
  </si>
  <si>
    <t>82052</t>
  </si>
  <si>
    <t>4625184501</t>
  </si>
  <si>
    <t>Скелівка</t>
  </si>
  <si>
    <t>вул. Центральна, 150</t>
  </si>
  <si>
    <t>61-3-93</t>
  </si>
  <si>
    <t>Загальноосвітня середня школа І-ІІ ступенів с. Городовичі Старосамбірського району Львівської області</t>
  </si>
  <si>
    <t>82051</t>
  </si>
  <si>
    <t>4625184702</t>
  </si>
  <si>
    <t>Городовичі</t>
  </si>
  <si>
    <t>вул. Самбірська, 66А</t>
  </si>
  <si>
    <t>(067)2654875</t>
  </si>
  <si>
    <t>Загальноосвітня середня школа І-ІІ ступенів ім.Б.Цицика с.Солянуватки Старосамбірського району Львівської області</t>
  </si>
  <si>
    <t>82040</t>
  </si>
  <si>
    <t>4625184901</t>
  </si>
  <si>
    <t>Солянуватка</t>
  </si>
  <si>
    <t>0674985396</t>
  </si>
  <si>
    <t>Губицька загальноосвітня школа І ступеня Старосамбірської райдержадміністрації Львівської області</t>
  </si>
  <si>
    <t>82041</t>
  </si>
  <si>
    <t>4625184902</t>
  </si>
  <si>
    <t>Губичі</t>
  </si>
  <si>
    <t>Загальноосвітня середня школа І-ІІ ступенів с. Сусідовичі</t>
  </si>
  <si>
    <t>82053</t>
  </si>
  <si>
    <t>4625185101</t>
  </si>
  <si>
    <t>Сусідовичі</t>
  </si>
  <si>
    <t>(238)121</t>
  </si>
  <si>
    <t>Загальноосвітня середня школа І-ІІ ступенів села Надиби</t>
  </si>
  <si>
    <t>82054</t>
  </si>
  <si>
    <t>4625185102</t>
  </si>
  <si>
    <t>Надиби</t>
  </si>
  <si>
    <t>вул. Центральна, 115</t>
  </si>
  <si>
    <t>62115</t>
  </si>
  <si>
    <t>Навчально- виховний комплекс " Загальноосвітній навчальний заклад І-ІІІ ступенів -дошкільний навчальний заклад с. Стар'ява Старосамбірського району Львівської області."</t>
  </si>
  <si>
    <t>4625185301</t>
  </si>
  <si>
    <t>(038)25721</t>
  </si>
  <si>
    <t>Катинська загальноосвітня середня школа І ступеня</t>
  </si>
  <si>
    <t>82063</t>
  </si>
  <si>
    <t>4625185302</t>
  </si>
  <si>
    <t>Катина</t>
  </si>
  <si>
    <t>вул. І. Франка, 40А</t>
  </si>
  <si>
    <t>(03238)25747</t>
  </si>
  <si>
    <t>Загальноосвітня середня школа І-ІІ ступенів с. Лопушниця</t>
  </si>
  <si>
    <t>4625185303</t>
  </si>
  <si>
    <t>Лопушниця</t>
  </si>
  <si>
    <t>(0238)25047</t>
  </si>
  <si>
    <t>Загальноосвітня середня школа I-II ступенів с.Страшевичі Старосамбірського району Львівської області</t>
  </si>
  <si>
    <t>82081</t>
  </si>
  <si>
    <t>4625185501</t>
  </si>
  <si>
    <t>Страшевичі</t>
  </si>
  <si>
    <t>(238)65749</t>
  </si>
  <si>
    <t>Середня загальноосвітня школа І-ІІ ступеня с. Кобло Старосамбірського району Львівської області</t>
  </si>
  <si>
    <t>4625185502</t>
  </si>
  <si>
    <t>Кобло</t>
  </si>
  <si>
    <t>380974339539</t>
  </si>
  <si>
    <t>Опорний загальноосвітній навчальний заклад - "Загальноосвітня середня школа І-ІІІ ступенів ім. о. Михайла Вербицького с.Стрілки"</t>
  </si>
  <si>
    <t>82092</t>
  </si>
  <si>
    <t>4625185701</t>
  </si>
  <si>
    <t>Стрілки</t>
  </si>
  <si>
    <t>вул. Вербицького, 10</t>
  </si>
  <si>
    <t>(238)66-2-38</t>
  </si>
  <si>
    <t>Стрілківська школа-інтернат І-ІІІ ступенів</t>
  </si>
  <si>
    <t>вул. Сагайдачного, 21</t>
  </si>
  <si>
    <t>02137051</t>
  </si>
  <si>
    <t>Загальноосвітня середня школа І-ІІ ступенів с.Лопушанка-Хомина Старосамбірського району Львівської області</t>
  </si>
  <si>
    <t>4625185702</t>
  </si>
  <si>
    <t>Лопушанка-Хомина</t>
  </si>
  <si>
    <t>66299</t>
  </si>
  <si>
    <t>Загальноосвітня середня школа І-ІІІ ступенів с.Стрільбичі Старосамбірського району Львівської області</t>
  </si>
  <si>
    <t>82071</t>
  </si>
  <si>
    <t>4625185901</t>
  </si>
  <si>
    <t>Стрільбичі</t>
  </si>
  <si>
    <t>вул. Яблунева, 206</t>
  </si>
  <si>
    <t>62537, (380)989297579</t>
  </si>
  <si>
    <t>Терлівська загальноосвітня середня школа І-ІІ ступеня</t>
  </si>
  <si>
    <t>82069</t>
  </si>
  <si>
    <t>4625186101</t>
  </si>
  <si>
    <t>Терло</t>
  </si>
  <si>
    <t>(03238)25803</t>
  </si>
  <si>
    <t>Лібухівська загальноосвітня середня школа І ступеня</t>
  </si>
  <si>
    <t>4625186103</t>
  </si>
  <si>
    <t>Лібухова</t>
  </si>
  <si>
    <t>(0038)0977739592</t>
  </si>
  <si>
    <t>Загальноосвітня середня школа І-ІІ ст с.Тернава Старосамбірського району Львівської області</t>
  </si>
  <si>
    <t>82046</t>
  </si>
  <si>
    <t>4625186301</t>
  </si>
  <si>
    <t>Тернава</t>
  </si>
  <si>
    <t>вул. Замкова</t>
  </si>
  <si>
    <t>(22385696)323833625</t>
  </si>
  <si>
    <t>Загальноосвітня середня школа І-ІІ ступенів с.П’ятниця Старосамбірського району Львівської області</t>
  </si>
  <si>
    <t>82047</t>
  </si>
  <si>
    <t>4625186303</t>
  </si>
  <si>
    <t>П'ятниця</t>
  </si>
  <si>
    <t>Загальноосвітня середня школа І-ІІ ступенів імені Степана Петрівського с.Тершів Старосамбірського району Львівської області</t>
  </si>
  <si>
    <t>4625186601</t>
  </si>
  <si>
    <t>Тершів</t>
  </si>
  <si>
    <t>(238)62417</t>
  </si>
  <si>
    <t>Загальноосвітня середня школа І-ІІ ступенів с. Спас Старосамбірського району Львівської області</t>
  </si>
  <si>
    <t>4625186603</t>
  </si>
  <si>
    <t>(03238)65188</t>
  </si>
  <si>
    <t>Тисовицька загальноосвітня школа I-II ст.</t>
  </si>
  <si>
    <t>82091</t>
  </si>
  <si>
    <t>4625186801</t>
  </si>
  <si>
    <t>Тисовиця</t>
  </si>
  <si>
    <t>(067)2663267</t>
  </si>
  <si>
    <t>Топільницький навчально-виховний комплекс “Загальноосвітній навчальний заклад I-II ступенів - дошкільний навчальний заклад ”</t>
  </si>
  <si>
    <t>82086</t>
  </si>
  <si>
    <t>4625187201</t>
  </si>
  <si>
    <t>Топільниця</t>
  </si>
  <si>
    <t>вул. Монастирська, 5</t>
  </si>
  <si>
    <t>09776918921</t>
  </si>
  <si>
    <t>загальноосвітня середня школа І-ІІ ступенів с.Торчиновичі</t>
  </si>
  <si>
    <t>82080</t>
  </si>
  <si>
    <t>4625187401</t>
  </si>
  <si>
    <t>Торчиновичі</t>
  </si>
  <si>
    <t>Навчально-виховний комплекс "Загальноосвітній навчальний заклад І-ІІ ступенів - дошкільний навчальний заклад імені Дмитра Петрини с. Торгановичі"</t>
  </si>
  <si>
    <t>4625187411</t>
  </si>
  <si>
    <t>Торгановичі</t>
  </si>
  <si>
    <t>0967418057</t>
  </si>
  <si>
    <t>Тур'є-Горішнянська загальноосвітня середня школа І ступеня Старосамбірської РДА Львівської області</t>
  </si>
  <si>
    <t>82087</t>
  </si>
  <si>
    <t>4625187801</t>
  </si>
  <si>
    <t>Тур'є</t>
  </si>
  <si>
    <t>вул. Горішня</t>
  </si>
  <si>
    <t>(068)0079279</t>
  </si>
  <si>
    <t>Загальноосвітня середня школа І-ІІІ ст. с. Тур'є</t>
  </si>
  <si>
    <t>(032)3863630</t>
  </si>
  <si>
    <t>Загальноосвітня середня школа І-ІІ ступенів с. Чаплі Старосамбірського району Львівської області</t>
  </si>
  <si>
    <t>82056</t>
  </si>
  <si>
    <t>4625188201</t>
  </si>
  <si>
    <t>Чаплі</t>
  </si>
  <si>
    <t>ал. вул.Шкільна, 4</t>
  </si>
  <si>
    <t>0674555361</t>
  </si>
  <si>
    <t>Загальноосвітня середня школа І - ІІ ступенів с. Гуманець Старосамбірсього району Львівської області</t>
  </si>
  <si>
    <t>4625188203</t>
  </si>
  <si>
    <t>Гуманець</t>
  </si>
  <si>
    <t>(098)8785911</t>
  </si>
  <si>
    <t>Загальноосвітня середня школа I-II ступенів с. Ясениця-Замкова</t>
  </si>
  <si>
    <t>82097</t>
  </si>
  <si>
    <t>4625188701</t>
  </si>
  <si>
    <t>Ясениця-Замкова</t>
  </si>
  <si>
    <t>Опорний навчально-виховний комплекс "Дашавський загальноосвітній навчальний заклад І - ІІІ ступенів - дошкільний навчальний заклад"</t>
  </si>
  <si>
    <t>82443</t>
  </si>
  <si>
    <t>4625355300</t>
  </si>
  <si>
    <t>Дашава</t>
  </si>
  <si>
    <t>(03245)37137</t>
  </si>
  <si>
    <t>Олексицька середня загальноосвітня школа І-ІІ ступенів</t>
  </si>
  <si>
    <t>82442</t>
  </si>
  <si>
    <t>4625355303</t>
  </si>
  <si>
    <t>Олексичі</t>
  </si>
  <si>
    <t>(03245)34750</t>
  </si>
  <si>
    <t>Навчально-виховний комплекс "Братківський загальноосвітній навчальний заклад І-ІІІ ступенів - дошкільний навчальний заклад"</t>
  </si>
  <si>
    <t>82465</t>
  </si>
  <si>
    <t>4625380101</t>
  </si>
  <si>
    <t>майдан Незалежності, 2</t>
  </si>
  <si>
    <t>(03245)68402</t>
  </si>
  <si>
    <t>Начально-виховний комплекс "Вівнянський загальноосвітній навчальний заклад І-ІІ ступенів - дошкільний навчальний заклад"</t>
  </si>
  <si>
    <t>82425</t>
  </si>
  <si>
    <t>4625380201</t>
  </si>
  <si>
    <t>Вівня</t>
  </si>
  <si>
    <t>вул. Незалежності, 31</t>
  </si>
  <si>
    <t>(03245)30789</t>
  </si>
  <si>
    <t>Навчально- виховний комплекс "Волезадеревацький загальноосвітній навчальний заклад І - ІІІступенів - дошкільний навчальний заклад"</t>
  </si>
  <si>
    <t>82489</t>
  </si>
  <si>
    <t>4625380301</t>
  </si>
  <si>
    <t>Воля-Задеревацька</t>
  </si>
  <si>
    <t>вул. І.Франка, 26</t>
  </si>
  <si>
    <t>(03245)35118</t>
  </si>
  <si>
    <t>Навчально-виховний комплекс "Гірненський загальноосвітній навчальний заклад І-ІІІ ступенів - дошкільний навчальний заклад", відділ освіти Стрийської районної державної адміністрації, Львівська область</t>
  </si>
  <si>
    <t>82468</t>
  </si>
  <si>
    <t>4625380401</t>
  </si>
  <si>
    <t>Гірне</t>
  </si>
  <si>
    <t>вул. Шевченка, 288</t>
  </si>
  <si>
    <t>((03245))31-0-80, ((03245))31-2-60</t>
  </si>
  <si>
    <t>Голобутівська середня загальноосвітня школа І-ІІ ступенів</t>
  </si>
  <si>
    <t>82432</t>
  </si>
  <si>
    <t>4625380501</t>
  </si>
  <si>
    <t>Голобутів</t>
  </si>
  <si>
    <t>0324539395</t>
  </si>
  <si>
    <t>Великодідушицька загальноосвітня школа I-III ступенів</t>
  </si>
  <si>
    <t>82484</t>
  </si>
  <si>
    <t>4625380801</t>
  </si>
  <si>
    <t>Великі Дідушичі</t>
  </si>
  <si>
    <t>вул. Гошівська, 155</t>
  </si>
  <si>
    <t>(03245)69941, (03245)69948</t>
  </si>
  <si>
    <t>22387732</t>
  </si>
  <si>
    <t>Навчально-виховний комплекс "Малодідушицький загальноосвітній навчальний заклад І-ІІ ступенів - дошкільний навчальний заклад"</t>
  </si>
  <si>
    <t>82485</t>
  </si>
  <si>
    <t>4625380802</t>
  </si>
  <si>
    <t>Малі Дідушичі</t>
  </si>
  <si>
    <t>вул. О.Бобикевича, 14</t>
  </si>
  <si>
    <t>0-32-45-33-666</t>
  </si>
  <si>
    <t>Угільнянська середня загально- освітня школа І ступеня</t>
  </si>
  <si>
    <t>4625380803</t>
  </si>
  <si>
    <t>Угільня</t>
  </si>
  <si>
    <t>вул. Сонячна, 7</t>
  </si>
  <si>
    <t>0989231787</t>
  </si>
  <si>
    <t>Добрівлянська середня загальноосвітня школа І ступеня</t>
  </si>
  <si>
    <t>82426</t>
  </si>
  <si>
    <t>4625380901</t>
  </si>
  <si>
    <t>вул. Довга, 117</t>
  </si>
  <si>
    <t>Добрянська середня загальноосвітня школа І -ІІ ст.</t>
  </si>
  <si>
    <t>82427</t>
  </si>
  <si>
    <t>4625381001</t>
  </si>
  <si>
    <t>вул. Т. Шевченка, 28</t>
  </si>
  <si>
    <t>(03245)69527</t>
  </si>
  <si>
    <t>Довголуцька середня загальноосвітня школа І-ІІ ступенів</t>
  </si>
  <si>
    <t>82453</t>
  </si>
  <si>
    <t>4625381201</t>
  </si>
  <si>
    <t>Довголука</t>
  </si>
  <si>
    <t>(03245)34966</t>
  </si>
  <si>
    <t>Воледовголуцька середня загальоосвітня школа І ступеня</t>
  </si>
  <si>
    <t>4625381202</t>
  </si>
  <si>
    <t>Воля-Довголуцька</t>
  </si>
  <si>
    <t>(03245)66840</t>
  </si>
  <si>
    <t>Долішненська середня загальноосвітня школа І-ІІ ступенів</t>
  </si>
  <si>
    <t>82480</t>
  </si>
  <si>
    <t>4625381601</t>
  </si>
  <si>
    <t>Долішнє</t>
  </si>
  <si>
    <t>((03)245)66-1-82</t>
  </si>
  <si>
    <t>Горішненська середня загальноосвітня школа І ступеня</t>
  </si>
  <si>
    <t>82481</t>
  </si>
  <si>
    <t>4625381603</t>
  </si>
  <si>
    <t>вул. Болехівська, 14</t>
  </si>
  <si>
    <t>(03245)66284</t>
  </si>
  <si>
    <t>Нижньолукавицька загальноосвітня школа І-ІІ ступенів Стрийської РДА, Львівської області</t>
  </si>
  <si>
    <t>4625381604</t>
  </si>
  <si>
    <t>Нижня Лукавиця</t>
  </si>
  <si>
    <t>вул. Лесі Українки, 45</t>
  </si>
  <si>
    <t>(03245)66300</t>
  </si>
  <si>
    <t>Навчально-виховний комплекс "Дулібський загальноосвітній навчальний заклад І-ІІ ступенів -- дошкільний навчальний заклад"</t>
  </si>
  <si>
    <t>82434</t>
  </si>
  <si>
    <t>4625382001</t>
  </si>
  <si>
    <t>вул. Заводська, 14</t>
  </si>
  <si>
    <t>(03245)36174, (03245)46498</t>
  </si>
  <si>
    <t>Навчально-виховний комплекс "Середня загальноосвітня школа-гімназія імені М. Шашкевича" с. Дуліби</t>
  </si>
  <si>
    <t>(03245)67243</t>
  </si>
  <si>
    <t>Жулинська середня загальноосвітня школа І-ІІ ступенів</t>
  </si>
  <si>
    <t>82470</t>
  </si>
  <si>
    <t>4625382401</t>
  </si>
  <si>
    <t>Жулин</t>
  </si>
  <si>
    <t>вул. Стрийська, 32</t>
  </si>
  <si>
    <t>(032245)65389</t>
  </si>
  <si>
    <t>Завадівська середня загальноосвітня школа І-ІІ ступенів</t>
  </si>
  <si>
    <t>82433</t>
  </si>
  <si>
    <t>4625382601</t>
  </si>
  <si>
    <t>Завадів</t>
  </si>
  <si>
    <t>(0245)39555</t>
  </si>
  <si>
    <t>Загірненська середня загальноосвітня школа І-ІІ ступенів</t>
  </si>
  <si>
    <t>82446</t>
  </si>
  <si>
    <t>4625382701</t>
  </si>
  <si>
    <t>Загірне</t>
  </si>
  <si>
    <t>вул. Ясенівецька, 15</t>
  </si>
  <si>
    <t>(3803245)64849</t>
  </si>
  <si>
    <t>Навчально-виховний комплекс "Кавський загальноосвітній навчальний заклад І-ІІІ ступенів - дошкільний навчальний заклад"</t>
  </si>
  <si>
    <t>82420</t>
  </si>
  <si>
    <t>4625382801</t>
  </si>
  <si>
    <t>Кавське</t>
  </si>
  <si>
    <t>вул. Нова, 3А</t>
  </si>
  <si>
    <t>(03245)38566</t>
  </si>
  <si>
    <t>Навчально- виховний комплекс "Конюхівський загальноосвітній заклад І-ІІІ ступенів- дошкільний навчальний заклад"</t>
  </si>
  <si>
    <t>82436</t>
  </si>
  <si>
    <t>4625383001</t>
  </si>
  <si>
    <t>Конюхів</t>
  </si>
  <si>
    <t>вул. О.Гасина, 108</t>
  </si>
  <si>
    <t>67437</t>
  </si>
  <si>
    <t>Ланівська середня загальноосвітня школа І-ІІІ ступенів</t>
  </si>
  <si>
    <t>82430</t>
  </si>
  <si>
    <t>4625383201</t>
  </si>
  <si>
    <t>Ланівка</t>
  </si>
  <si>
    <t>(03245)64406</t>
  </si>
  <si>
    <t>Навчально-виховний комплекс "Лисятицький загальноосвітній навчальний заклад І-ІІІ ступенів - дошкільний навчальний заклад"</t>
  </si>
  <si>
    <t>82421</t>
  </si>
  <si>
    <t>4625383601</t>
  </si>
  <si>
    <t>Лисятичі</t>
  </si>
  <si>
    <t>вул. І.Франка, 22</t>
  </si>
  <si>
    <t>(03245)32-1-46</t>
  </si>
  <si>
    <t>Лугівська середня загальноосвітня школа І ступеня Стрийського району Львівської області</t>
  </si>
  <si>
    <t>4625383603</t>
  </si>
  <si>
    <t>(245)32202</t>
  </si>
  <si>
    <t>Навчально-виховний комплекс "Лисовицька середня загальноосвітня школа I-III ст.-ліцей"</t>
  </si>
  <si>
    <t>82486</t>
  </si>
  <si>
    <t>4625384001</t>
  </si>
  <si>
    <t>Лисовичі</t>
  </si>
  <si>
    <t>(03245)68322</t>
  </si>
  <si>
    <t>Навчально-виховний комплекс "Любинцівський загальноосвітній навчальний заклад І-III ступенів-дошкільний навчальний заклад" відділу освіти Стрийської районної державної адміністрації Львівської області</t>
  </si>
  <si>
    <t>82456</t>
  </si>
  <si>
    <t>4625384401</t>
  </si>
  <si>
    <t>Любинці</t>
  </si>
  <si>
    <t>(245)35-3-40</t>
  </si>
  <si>
    <t>навчально-виховний комплекс "Миртюківський спеціалізований загальноосвітній навчальний заклад І-ІІІ ступенів з поглибленим вивченням іноземних мов - дошкільний навальний заклад" Стрийського району Львівської області</t>
  </si>
  <si>
    <t>82463</t>
  </si>
  <si>
    <t>4625384601</t>
  </si>
  <si>
    <t>Миртюки</t>
  </si>
  <si>
    <t>(03245)32530, (03245)32531</t>
  </si>
  <si>
    <t>Нежухівська середня загальноосвітня школа І-ІІІ ступенів Стрийського району Львівської області</t>
  </si>
  <si>
    <t>82431</t>
  </si>
  <si>
    <t>4625384801</t>
  </si>
  <si>
    <t>Нежухів</t>
  </si>
  <si>
    <t>вул. Дрогобицька, 3</t>
  </si>
  <si>
    <t>(03245)67047</t>
  </si>
  <si>
    <t>22387910</t>
  </si>
  <si>
    <t>Нижньостинавська середня загальноосвітня школа І-ІІ ступенів Нижньостинавської сільської ради, Стрийького району, Львівської області</t>
  </si>
  <si>
    <t>82455</t>
  </si>
  <si>
    <t>4625385001</t>
  </si>
  <si>
    <t>Нижня Стинава</t>
  </si>
  <si>
    <t>вул. І.Франка, 27</t>
  </si>
  <si>
    <t>(380)666374510</t>
  </si>
  <si>
    <t>КЗ ЛОР "Підгірцівська спеціальна загальноосвітня школа-інтернат І-ІІІ ст."</t>
  </si>
  <si>
    <t>82440</t>
  </si>
  <si>
    <t>4625385201</t>
  </si>
  <si>
    <t>вул. Стрийська, 6</t>
  </si>
  <si>
    <t>(245)34160, (245)34135</t>
  </si>
  <si>
    <t>22390316</t>
  </si>
  <si>
    <t>Підгірцівська загальноовітня середня школа І ступеня Стрийського району Львівської області</t>
  </si>
  <si>
    <t>вул. Стрийська, 8А</t>
  </si>
  <si>
    <t>(03245)34186</t>
  </si>
  <si>
    <t>Верчанська середня загальноосвітня школа І-ІІ ступенів, Стрийського району, Львівської області</t>
  </si>
  <si>
    <t>82441</t>
  </si>
  <si>
    <t>4625385202</t>
  </si>
  <si>
    <t>Верчани</t>
  </si>
  <si>
    <t>вул. Стрийська, 64</t>
  </si>
  <si>
    <t>(03245)31951</t>
  </si>
  <si>
    <t>Комарівська середня загальноосвітня школа І ступеня</t>
  </si>
  <si>
    <t>4625385203</t>
  </si>
  <si>
    <t>(03245)68903</t>
  </si>
  <si>
    <t>Ярушицька середня загальноосвітня школа І ступеня</t>
  </si>
  <si>
    <t>4625385206</t>
  </si>
  <si>
    <t>Ярушичі</t>
  </si>
  <si>
    <t>вул. Сонячна, 20Г</t>
  </si>
  <si>
    <t>(097)5225743</t>
  </si>
  <si>
    <t>Подорожненська середня загальноосвітня школа І-ІІІ ступенів</t>
  </si>
  <si>
    <t>82450</t>
  </si>
  <si>
    <t>4625385601</t>
  </si>
  <si>
    <t>(245)30-3-33</t>
  </si>
  <si>
    <t>Зарічненська середня загальноосвітня школа І-ІІ ступенів</t>
  </si>
  <si>
    <t>82451</t>
  </si>
  <si>
    <t>4625385602</t>
  </si>
  <si>
    <t>(245)30338</t>
  </si>
  <si>
    <t>Львівська область загальноосвітня школа І - ІІ ступенів НВК "П'ятничанська ЗНЗ І - ІІ ступенів - ДНЗ" відділ освіти Стрийської РДА</t>
  </si>
  <si>
    <t>82423</t>
  </si>
  <si>
    <t>4625385801</t>
  </si>
  <si>
    <t>П'ятничани</t>
  </si>
  <si>
    <t>(03245)38933</t>
  </si>
  <si>
    <t>Навчально виховний комплекс"Розгірченський загальноосвітній заклад І ст. -дошкільний навчальний заклад"</t>
  </si>
  <si>
    <t>82472</t>
  </si>
  <si>
    <t>4625385901</t>
  </si>
  <si>
    <t>Розгірче</t>
  </si>
  <si>
    <t>0974802427</t>
  </si>
  <si>
    <t>Семигинівська середня загальноосвітня школа І-ІІІ ступенів</t>
  </si>
  <si>
    <t>82471</t>
  </si>
  <si>
    <t>4625386001</t>
  </si>
  <si>
    <t>Семигинів</t>
  </si>
  <si>
    <t>вул. Івана Франка, 73</t>
  </si>
  <si>
    <t>(03245)38723</t>
  </si>
  <si>
    <t>Навчально виховний комплекс "Станківський загальноосвітній навчальний заклад І - ІІІ ст. - дошкільний навчальний заклад"</t>
  </si>
  <si>
    <t>82464</t>
  </si>
  <si>
    <t>4625386401</t>
  </si>
  <si>
    <t>Станків</t>
  </si>
  <si>
    <t>вул. Січових Стрільців, 24</t>
  </si>
  <si>
    <t>(03245)6-58-45, (03245)6-58-40</t>
  </si>
  <si>
    <t>Довгівська середня загальноосвітня школа І-ІІ ступенів</t>
  </si>
  <si>
    <t>82466</t>
  </si>
  <si>
    <t>4625386403</t>
  </si>
  <si>
    <t>вул. І. Франка, 13</t>
  </si>
  <si>
    <t>6-28-02</t>
  </si>
  <si>
    <t>Стрілківська середня загальноосвітня шкла І-ІІІ ступенів</t>
  </si>
  <si>
    <t>82460</t>
  </si>
  <si>
    <t>4625386801</t>
  </si>
  <si>
    <t>Стрілків</t>
  </si>
  <si>
    <t>(03245)34334</t>
  </si>
  <si>
    <t>Навчально- виховний комплекс "Бережницький Загальноосвітній навчальний заклад І-ІІ ступенів - дошкільний навчальний заклад"</t>
  </si>
  <si>
    <t>82461</t>
  </si>
  <si>
    <t>4625386802</t>
  </si>
  <si>
    <t>39891</t>
  </si>
  <si>
    <t>Лотатницька середня загальноосвітня школа І ступеня</t>
  </si>
  <si>
    <t>4625386803</t>
  </si>
  <si>
    <t>Лотатники</t>
  </si>
  <si>
    <t>(03245)34782</t>
  </si>
  <si>
    <t>Стриганцівської середньої загальноосвітньої школи І ступеня</t>
  </si>
  <si>
    <t>82429</t>
  </si>
  <si>
    <t>4625387001</t>
  </si>
  <si>
    <t>0957331467</t>
  </si>
  <si>
    <t>Навчально-виховний комплекс "Верхньостинавський загальноосвітній навчальний заклад І-ІІ ступенів - дошкільний навчальний заклад"</t>
  </si>
  <si>
    <t>82454</t>
  </si>
  <si>
    <t>4625387201</t>
  </si>
  <si>
    <t>Верхня Стинава</t>
  </si>
  <si>
    <t>вул. І. Франка, 70А</t>
  </si>
  <si>
    <t>(0245)35424</t>
  </si>
  <si>
    <t>Сихівська середня загальноосвітня школа I-II ступенів Стрийського району Львівської області</t>
  </si>
  <si>
    <t>82447</t>
  </si>
  <si>
    <t>4625387601</t>
  </si>
  <si>
    <t>Сихів</t>
  </si>
  <si>
    <t>ал. І.Франка, 79</t>
  </si>
  <si>
    <t>(245)35858</t>
  </si>
  <si>
    <t>Навчально-виховний комплекс "Ходовицький загальноосвітній навчальний заклад І - ІІступенів - дошкільний навчальний заклад" відділ освіти Стрийської райдержадміністрації, Львівської області</t>
  </si>
  <si>
    <t>82428</t>
  </si>
  <si>
    <t>4625388001</t>
  </si>
  <si>
    <t>Ходовичі</t>
  </si>
  <si>
    <t>(03245)33967</t>
  </si>
  <si>
    <t>Піщанська середня загальноосвітня школа І ступеня</t>
  </si>
  <si>
    <t>4625388002</t>
  </si>
  <si>
    <t>Піщани</t>
  </si>
  <si>
    <t>(098)9664167</t>
  </si>
  <si>
    <t>Угерська середня загальноосвітня школа І-ІІІ ступенів</t>
  </si>
  <si>
    <t>82424</t>
  </si>
  <si>
    <t>4625388401</t>
  </si>
  <si>
    <t>Угерсько</t>
  </si>
  <si>
    <t>вул. Івана Франка, 35А</t>
  </si>
  <si>
    <t>(03245)33121</t>
  </si>
  <si>
    <t>Йосиповицька середня загальньоосвітня школа І ступеня</t>
  </si>
  <si>
    <t>82445</t>
  </si>
  <si>
    <t>4625388901</t>
  </si>
  <si>
    <t>Йосиповичі</t>
  </si>
  <si>
    <t>вул. шевченка 56</t>
  </si>
  <si>
    <t>(03245)37584</t>
  </si>
  <si>
    <t>Турківська загальноосвітня школа І-ІІІ ступенів № 1 Турківської районної ради Львівської області</t>
  </si>
  <si>
    <t>82500</t>
  </si>
  <si>
    <t>4625510100</t>
  </si>
  <si>
    <t>вул. Василя Стуса, 16</t>
  </si>
  <si>
    <t>(03269)31531</t>
  </si>
  <si>
    <t>Турківська загальноосвітня школа-інтернат І-ІІ ступенів Турківської районної ради Львівської області</t>
  </si>
  <si>
    <t>вул. В. Стуса, 4</t>
  </si>
  <si>
    <t>(03269)32547</t>
  </si>
  <si>
    <t>Турківський навчально-виховний комплекс (НВК) "Загальноосвітній навчальний заклад І-ІІІ ступенів - дошкільниий навчальний заклад" Турківської районної ради Львівської області</t>
  </si>
  <si>
    <t>вул. Молодіжна, 68</t>
  </si>
  <si>
    <t>(03269)32266</t>
  </si>
  <si>
    <t>Турківський навчально-виховний комплекс № 1 (Загальноосвітній навчальний заклад I - II ступенів- дошкільний навчальний заклад) Турківської районної ради Львівської області</t>
  </si>
  <si>
    <t>вул. Середня, 1</t>
  </si>
  <si>
    <t>(03269)32044</t>
  </si>
  <si>
    <t>Боринський навчально -виховний комплекс (НВК) "Загальноосвітній навчальний заклад І-ІІІ ступенів-дошкільний навчальний заклад" Турківського району Львівської області</t>
  </si>
  <si>
    <t>82547</t>
  </si>
  <si>
    <t>4625555300</t>
  </si>
  <si>
    <t>Бориня</t>
  </si>
  <si>
    <t>вул. Івана Франка, 10</t>
  </si>
  <si>
    <t>(032)6934183</t>
  </si>
  <si>
    <t>Бітлянський навчально-виховний комплекс "Загальноосвітній навчальний заклад І-ІІІ ст. - дошкільний навчальний заклад" Турківської районної ради Львівської області.</t>
  </si>
  <si>
    <t>82551</t>
  </si>
  <si>
    <t>4625580301</t>
  </si>
  <si>
    <t>Бітля</t>
  </si>
  <si>
    <t>вул. Центральна, 139А</t>
  </si>
  <si>
    <t>(03269)37731</t>
  </si>
  <si>
    <t>Сигловатський навчально-виховний комплекс Турківської районної ради Львівської області</t>
  </si>
  <si>
    <t>82552</t>
  </si>
  <si>
    <t>4625580305</t>
  </si>
  <si>
    <t>Сигловате</t>
  </si>
  <si>
    <t>вул. Ровенська, 413</t>
  </si>
  <si>
    <t>Боберківський навчально-виховний комплекс І-ІІІ ст. Турківської районної ради Львівської області</t>
  </si>
  <si>
    <t>82514</t>
  </si>
  <si>
    <t>4625580601</t>
  </si>
  <si>
    <t>Боберка</t>
  </si>
  <si>
    <t>вул. Центральна, 200А</t>
  </si>
  <si>
    <t>(097)5840054</t>
  </si>
  <si>
    <t>Дністрик Дубівська загальноосвітня школа І ступеня Турківської районної ради Львівської області</t>
  </si>
  <si>
    <t>4625580602</t>
  </si>
  <si>
    <t>Дністрик-Дубовий</t>
  </si>
  <si>
    <t>вул. Монастирська, 69</t>
  </si>
  <si>
    <t>(095)3347526</t>
  </si>
  <si>
    <t>Верхньовисоцький навчально-виховний комплекс "Загальноосвітній навчально-виховний заклад - дошкільний заклад" І-ІІІ ступенів Турківської районної ради Львівської області</t>
  </si>
  <si>
    <t>82554</t>
  </si>
  <si>
    <t>4625581301</t>
  </si>
  <si>
    <t>Верхнє Висоцьке</t>
  </si>
  <si>
    <t>вул. Ів. Франка, 1</t>
  </si>
  <si>
    <t>(03269)36516</t>
  </si>
  <si>
    <t>ВЕРХНЬОГУСНЕНСЬКИЙ НАВЧАЛЬНО-ВИХОВНИЙ КОМПЛЕКС "ЗАГАЛЬНООСВІТНІЙ НАВЧАЛЬНИЙ ЗАКЛАД І-ІІІ СТУПЕНІВ-ДОШКІЛЬНИЙ НАВЧАЛЬНИЙ ЗАКЛАД ТУРКІВСЬКОЇ РАЙОННОЇ РАДИ ЛЬВІВСЬКОЇ ОБЛАСТІ</t>
  </si>
  <si>
    <t>82564</t>
  </si>
  <si>
    <t>4625581601</t>
  </si>
  <si>
    <t>Верхнє Гусне</t>
  </si>
  <si>
    <t>вул. Центральна, 318</t>
  </si>
  <si>
    <t>380972378431</t>
  </si>
  <si>
    <t>Верхненський навчально-виховний комплекс (Загальноосвітній навчальний заклад І-ІІІ ступенів - дошкільний навчальний заклад) Турківської районної ради Львівської області</t>
  </si>
  <si>
    <t>82534</t>
  </si>
  <si>
    <t>4625581901</t>
  </si>
  <si>
    <t>Верхнє</t>
  </si>
  <si>
    <t>вул. Центральна, 117/1</t>
  </si>
  <si>
    <t>(097)250-51-42</t>
  </si>
  <si>
    <t>Нижненська загальноосвітня школа I-II ст., Турківської районної ради Львівської оласті</t>
  </si>
  <si>
    <t>82535</t>
  </si>
  <si>
    <t>4625581903</t>
  </si>
  <si>
    <t>9-3-36-34</t>
  </si>
  <si>
    <t>Яворівська загальноосвітня школа І-ІІ ступеня Турківської районної ради, Львівської області</t>
  </si>
  <si>
    <t>82537</t>
  </si>
  <si>
    <t>4625581905</t>
  </si>
  <si>
    <t>вул. І. Франка</t>
  </si>
  <si>
    <t>(269)33629</t>
  </si>
  <si>
    <t>ВЕРХНЬОЯБЛУНСЬКИЙ НАВЧАЛЬНО-ВИХОВНИЙ КОМПЛЕКС ( НВК) "Загальноосвітній навчальний заклад" І-ІІІ ступенів - дошкільний навчальний заклад Турківської районної ради Львівської області</t>
  </si>
  <si>
    <t>82530</t>
  </si>
  <si>
    <t>4625582201</t>
  </si>
  <si>
    <t>Верхня Яблунька</t>
  </si>
  <si>
    <t>(03-269)3-82-16</t>
  </si>
  <si>
    <t>http://vjablunka.at.ua</t>
  </si>
  <si>
    <t>Головська загальноосвітня школа І-ІІ ступенів Турківської районної ради Львівської області</t>
  </si>
  <si>
    <t>82543</t>
  </si>
  <si>
    <t>4625582601</t>
  </si>
  <si>
    <t>Головське</t>
  </si>
  <si>
    <t>(068)0113566</t>
  </si>
  <si>
    <t>Завадівський навчально-виховний комплекс І-ІІ ступенів Турківської районної ради Львівської обасті</t>
  </si>
  <si>
    <t>82540</t>
  </si>
  <si>
    <t>4625582901</t>
  </si>
  <si>
    <t>(0269)38625</t>
  </si>
  <si>
    <t>http://zavadivkanvk.jimdo.com</t>
  </si>
  <si>
    <t>Лосинецька загальноосвітня школа І-ІІ ступенів Турківської районної ради Львівської області</t>
  </si>
  <si>
    <t>82541</t>
  </si>
  <si>
    <t>4625582902</t>
  </si>
  <si>
    <t>Лосинець</t>
  </si>
  <si>
    <t>35</t>
  </si>
  <si>
    <t>Мельничненська загальноосвітня школа І-ІІ ступенів Турківської районної ради Львівсько області</t>
  </si>
  <si>
    <t>4625582903</t>
  </si>
  <si>
    <t>Мельничне</t>
  </si>
  <si>
    <t>0997507725</t>
  </si>
  <si>
    <t>Ільницький навчально-виховний комплекс (НВК) "Загальноосвітній навчальний заклад І-ІІІ ступенів - дошкільний навчальний заклад" Турківської районної ради Львівської області</t>
  </si>
  <si>
    <t>82544</t>
  </si>
  <si>
    <t>4625583201</t>
  </si>
  <si>
    <t>Ільник</t>
  </si>
  <si>
    <t>Ільник-Закіпчанська загальноосвітня школа І ступеня Турківської районної ради Львівської області</t>
  </si>
  <si>
    <t>82546</t>
  </si>
  <si>
    <t>4625583203</t>
  </si>
  <si>
    <t>Закіпці</t>
  </si>
  <si>
    <t>Радицька загальноосвітня школа I-II ступенів Турківської районної ради Львівської області</t>
  </si>
  <si>
    <t>82545</t>
  </si>
  <si>
    <t>4625583207</t>
  </si>
  <si>
    <t>Радич</t>
  </si>
  <si>
    <t>вул. Потік, 58</t>
  </si>
  <si>
    <t>(269)38686</t>
  </si>
  <si>
    <t>http://radych-zosh.lviv.sch.in.ua.</t>
  </si>
  <si>
    <t>Ісаївський навчально - виховний комплекс (Загальноосвітній навчальний заклад І-ІІ ступенів - дошкільний навчальний заклад) Турківської районної ради Львівської області</t>
  </si>
  <si>
    <t>82520</t>
  </si>
  <si>
    <t>4625583401</t>
  </si>
  <si>
    <t>Ісаї</t>
  </si>
  <si>
    <t>(03269)36217</t>
  </si>
  <si>
    <t>Карпатський навчально - виховний комплекс (загальноосвітній навчальний заклад І-ІІ ступенів -дошкільний навчальний заклад) імені Михайла Іваничка Турківської районної ради Львівської області</t>
  </si>
  <si>
    <t>82553</t>
  </si>
  <si>
    <t>4625583701</t>
  </si>
  <si>
    <t>Карпатське</t>
  </si>
  <si>
    <t>Комарницький навчально-виховний комплекс (загальноосвітній навчальний заклад I-II ступенів-дошкільний навчальний заклад) Турківської районної ради Львівської області</t>
  </si>
  <si>
    <t>82550</t>
  </si>
  <si>
    <t>4625583901</t>
  </si>
  <si>
    <t>Комарники</t>
  </si>
  <si>
    <t>(03-269)3-63-37</t>
  </si>
  <si>
    <t>Буковинська загальноосвітня школа І-ІІ ступенів, Турківської районної ради Львівської області</t>
  </si>
  <si>
    <t>08255</t>
  </si>
  <si>
    <t>4625583903</t>
  </si>
  <si>
    <t>Буковинка</t>
  </si>
  <si>
    <t>вул. Центральна, 490</t>
  </si>
  <si>
    <t>(098)6407955</t>
  </si>
  <si>
    <t>Красненська ЗОШ І-ІІ ступенів Турківської районної ради Львівської області</t>
  </si>
  <si>
    <t>82562</t>
  </si>
  <si>
    <t>4625584201</t>
  </si>
  <si>
    <t>вул. Л. Укаїнки, 32</t>
  </si>
  <si>
    <t>(269)3-14-54</t>
  </si>
  <si>
    <t>Кривківська загальноосвітня школа І-ІІ ступеня Турківської районної ради Львівської області</t>
  </si>
  <si>
    <t>4625584401</t>
  </si>
  <si>
    <t>Кривка</t>
  </si>
  <si>
    <t>(096)4340394</t>
  </si>
  <si>
    <t>Ластівківський навчально-виховний комплекс "Загальноосвітній навчальний заклад І-ІІ ступенів - дошкільний навчальний заклад з короткотривалим режимом роботи" Турківської районної ради Львівської області</t>
  </si>
  <si>
    <t>82521</t>
  </si>
  <si>
    <t>4625584601</t>
  </si>
  <si>
    <t>Ластівка</t>
  </si>
  <si>
    <t>(099)7420177</t>
  </si>
  <si>
    <t>Либохорська загальноосвітня школа І-ІІ ступенів Турківської районної ради Львівської області</t>
  </si>
  <si>
    <t>82555</t>
  </si>
  <si>
    <t>4625584901</t>
  </si>
  <si>
    <t>вул. Центральна, 495А</t>
  </si>
  <si>
    <t>(0269)33855</t>
  </si>
  <si>
    <t>Либохорська загальноосвітня школа І-ІІІ ст. Турківської районної ради Львівської області</t>
  </si>
  <si>
    <t>вул. Центральна, 287</t>
  </si>
  <si>
    <t>(03269)33813</t>
  </si>
  <si>
    <t>Лімнянський навчально-виховний комплекс (загальноосвітній навчальний заклад І-ІІІ ступенів-дошкільний навчальний заклад) імені Романа Мотичака Турківської районної ради Львівської області</t>
  </si>
  <si>
    <t>82511</t>
  </si>
  <si>
    <t>4625585101</t>
  </si>
  <si>
    <t>Лімна</t>
  </si>
  <si>
    <t>80326935648</t>
  </si>
  <si>
    <t>Жукотинська загальноосвітня школа І-ІІ ступенів Турківської районної ради Львівської обл.</t>
  </si>
  <si>
    <t>82566</t>
  </si>
  <si>
    <t>4625585105</t>
  </si>
  <si>
    <t>вул. Центральна, 123</t>
  </si>
  <si>
    <t>35672</t>
  </si>
  <si>
    <t>Риківська загальноосвітня школа І-ІІ ступенів Турківської районної ради Львівської області</t>
  </si>
  <si>
    <t>82548</t>
  </si>
  <si>
    <t>4625585601</t>
  </si>
  <si>
    <t>вул. Зарічна, 28</t>
  </si>
  <si>
    <t>(095)6686277</t>
  </si>
  <si>
    <t>Матківський навчально-виховний комплекс (загальноосвітній навчальний заклад І-ІІ ступенів - дошкільний навчальний заклад) Турківської районної ради Львівської області</t>
  </si>
  <si>
    <t>82563</t>
  </si>
  <si>
    <t>4625585703</t>
  </si>
  <si>
    <t>Матків</t>
  </si>
  <si>
    <t>вул. Пукеци, 23</t>
  </si>
  <si>
    <t>(032)6935105</t>
  </si>
  <si>
    <t>Нижньовисоцький навчальнь-виховний комплекс Загальноосвітній навчальний заклад І-ІІ ст.-дошкільний навчальний заклад Турківської районної ради Львівської області</t>
  </si>
  <si>
    <t>82560</t>
  </si>
  <si>
    <t>4625585901</t>
  </si>
  <si>
    <t>Нижнє Висоцьке</t>
  </si>
  <si>
    <t>вул. Купинська, 133 а</t>
  </si>
  <si>
    <t>0501570264</t>
  </si>
  <si>
    <t>Яблунівська загальноосвітня школа І-ІІ ступеня Турківської районної ради Львівської області</t>
  </si>
  <si>
    <t>4625585911</t>
  </si>
  <si>
    <t>вул. Потік, 87А</t>
  </si>
  <si>
    <t>Нижньотурівський навчально-виховний комплекс І-ІІ ступенів Турківської районної ради Львівської області</t>
  </si>
  <si>
    <t>82533</t>
  </si>
  <si>
    <t>4625586201</t>
  </si>
  <si>
    <t>Нижній Турів</t>
  </si>
  <si>
    <t>вул. Дорошенка, 6</t>
  </si>
  <si>
    <t>Нижньояблунська загальноосвітня школа І стуреня Турківської районної ради Львівської області</t>
  </si>
  <si>
    <t>82532</t>
  </si>
  <si>
    <t>4625586501</t>
  </si>
  <si>
    <t>Нижня Яблунька</t>
  </si>
  <si>
    <t>вул. Обшар, 560</t>
  </si>
  <si>
    <t>(096)6409463</t>
  </si>
  <si>
    <t>Нижньояблунський навчально-виховний комплекс "Загальноосвітній навчальний заклад І-ІІ ступенів -дошкільний навчальний заклад з короткотривалим режимом роботи" Турківської районної ради Львівської області</t>
  </si>
  <si>
    <t>вул. Шкільна, 259</t>
  </si>
  <si>
    <t>(03269)39745</t>
  </si>
  <si>
    <t>https://lv.isuo.org/schools/view/id/13520</t>
  </si>
  <si>
    <t>Присліпський навчально-виховний комплекс (Загальноосвітній навчальний заклад І-ІІ ступенів-дошкільний навчальний заклад) Турківської районної ради Львівської області</t>
  </si>
  <si>
    <t>82515</t>
  </si>
  <si>
    <t>4625586701</t>
  </si>
  <si>
    <t>вул. Зарічанська, 146А</t>
  </si>
  <si>
    <t>Розлуцький навчально-виховний комплекс (загальноосвітній навчальний заклад І-ІІ ст. дошкільний навчальний заклад)</t>
  </si>
  <si>
    <t>82512</t>
  </si>
  <si>
    <t>4625586901</t>
  </si>
  <si>
    <t>Розлуч</t>
  </si>
  <si>
    <t>вул. Лесі Українки, 113 А</t>
  </si>
  <si>
    <t>(269)3-74-74</t>
  </si>
  <si>
    <t>Вовченський Навчально Виховний Комплекс І-ІІІ ступенів-дошкільний навчальний заклад Турківської районної ради, Львівської області</t>
  </si>
  <si>
    <t>82513</t>
  </si>
  <si>
    <t>4625587001</t>
  </si>
  <si>
    <t>Вовче</t>
  </si>
  <si>
    <t>вул. Центральна, 202А</t>
  </si>
  <si>
    <t>(269)35543</t>
  </si>
  <si>
    <t>Сянківська загальноосвітня школа І-ІІ ступенів Турківської районної ради Львівської області</t>
  </si>
  <si>
    <t>4625587101</t>
  </si>
  <si>
    <t>Сянки</t>
  </si>
  <si>
    <t>((2269))53624</t>
  </si>
  <si>
    <t>Хащівська загальноосвітня школа І-ІІ ступенів Турківської районної ради Львівської області</t>
  </si>
  <si>
    <t>82510</t>
  </si>
  <si>
    <t>4625587201</t>
  </si>
  <si>
    <t>Хащів</t>
  </si>
  <si>
    <t>вул. Середня, 107</t>
  </si>
  <si>
    <t>0684818749</t>
  </si>
  <si>
    <t>ШАНДРОВЕЦЬКИЙ НАВЧАЛЬНО-ВИХОВНИЙ КОМПЛЕКС ІМЕНІ ВАСИЛЯ БОРУТИ (ЗАГАЛЬНООСВІТНІЙ НАВЧАЛЬНИЙ ЗАКЛАД І-ІІ СТУПЕНІВ-ДОШКІЛЬНИЙ НАВЧАЛЬНИЙ ЗАКЛАД) ТУРКІВСЬКОЇ РАЙОННОЇ РАДИ ЛЬВІВСЬКОЇ ОБЛАСТІ</t>
  </si>
  <si>
    <t>82531</t>
  </si>
  <si>
    <t>4625587301</t>
  </si>
  <si>
    <t>Шандровець</t>
  </si>
  <si>
    <t>вул. Центральна, 158</t>
  </si>
  <si>
    <t>(3269)37257</t>
  </si>
  <si>
    <t>Шум'яцька загальноосвітня школа І-ІІ ступенів Турківської районної ради Львівської області</t>
  </si>
  <si>
    <t>82516</t>
  </si>
  <si>
    <t>4625587401</t>
  </si>
  <si>
    <t>Шум'яч</t>
  </si>
  <si>
    <t>вул. Середня, 15</t>
  </si>
  <si>
    <t>(0269)37112</t>
  </si>
  <si>
    <t>Явірський навчально-виховний комплекс (загальноосвітній навчальний заклад І- ІІІ ступенів - дошкільний навчальний заклад) Турківської районної ради Львівської області</t>
  </si>
  <si>
    <t>82522</t>
  </si>
  <si>
    <t>4625587801</t>
  </si>
  <si>
    <t>Явора</t>
  </si>
  <si>
    <t>(03269)39137</t>
  </si>
  <si>
    <t>Ясеницький навчально-виховний комплекс "Загальноосвітній навчальний заклад І-ІІІ ступенів - дошкільний навчальний заклад" Турківської районної ради Львівської області</t>
  </si>
  <si>
    <t>82523</t>
  </si>
  <si>
    <t>4625588201</t>
  </si>
  <si>
    <t>Ясениця</t>
  </si>
  <si>
    <t>(03269)39-486</t>
  </si>
  <si>
    <t>http://yasinkanvk.lvivedu.com</t>
  </si>
  <si>
    <t>Яворівська гімназія ім.Осипа Маковея</t>
  </si>
  <si>
    <t>81000</t>
  </si>
  <si>
    <t>4625810100</t>
  </si>
  <si>
    <t>вул. Львівська, 18</t>
  </si>
  <si>
    <t>(03259)21160</t>
  </si>
  <si>
    <t>http://gimnaziya-yavor.at.ua</t>
  </si>
  <si>
    <t>Яворівська загальноосвітня школа І ступеня</t>
  </si>
  <si>
    <t>(81000)0974484300</t>
  </si>
  <si>
    <t>Яворівська загальноосвітня школа І-ІІІ ступенів № 2</t>
  </si>
  <si>
    <t>вул. Львівська, 16</t>
  </si>
  <si>
    <t>0974570487</t>
  </si>
  <si>
    <t>Яворівська загальноосвітня школа І-ІІІ ступенів № 3 ім. Тараса Шевченка Яворівської районної ради Львівської області</t>
  </si>
  <si>
    <t>вул. Святоюрська, 28</t>
  </si>
  <si>
    <t>(03259)21951</t>
  </si>
  <si>
    <t>https://sites.google.com/site/yavorivsc3/</t>
  </si>
  <si>
    <t>Яворівський навчально-виховний комплекс "дошкільний навчальний заклад-загальноосвітня школа І ступеня"</t>
  </si>
  <si>
    <t>вул. Ів. Хрестителя, 54</t>
  </si>
  <si>
    <t>((03259))79226</t>
  </si>
  <si>
    <t>30909763</t>
  </si>
  <si>
    <t>Новояворівська загальноосвітня школа I ступеня</t>
  </si>
  <si>
    <t>4625810500</t>
  </si>
  <si>
    <t>Новояворівськ</t>
  </si>
  <si>
    <t>вул. Шухевича, 3</t>
  </si>
  <si>
    <t>42201</t>
  </si>
  <si>
    <t>Новояворівська загальноосвітня школа І-ІІІ ступенів № 1 Яворівської районної ради Львівської області</t>
  </si>
  <si>
    <t>81054</t>
  </si>
  <si>
    <t>вул. Січових Стрільців, 9</t>
  </si>
  <si>
    <t>(03256)41551</t>
  </si>
  <si>
    <t>Новояворівська загальноосвітня школа І-ІІІ ступенів № 2</t>
  </si>
  <si>
    <t>81053</t>
  </si>
  <si>
    <t>Новояворівська загальноосвітня школа І-ІІІ ступенів № 3 Яворівської районної ради Львівської області</t>
  </si>
  <si>
    <t>вул. Шухевича, 5</t>
  </si>
  <si>
    <t>http://njvoyavschool3.at.ua</t>
  </si>
  <si>
    <t>Новояворівський навчально-виховний комплекс "загальноосвітня школа ІІ ступеня-ліцей"</t>
  </si>
  <si>
    <t>вул. Січових Стрільців, 8</t>
  </si>
  <si>
    <t>(256)40732</t>
  </si>
  <si>
    <t>Івано - Франківська загальноосвітня школа імені Івана Франка Яворівської районної ради Львівської області</t>
  </si>
  <si>
    <t>81070</t>
  </si>
  <si>
    <t>4625855300</t>
  </si>
  <si>
    <t>Івано-Франкове</t>
  </si>
  <si>
    <t>КЗ ЛОР " Краковецький навчально-реабілітаційний центр І - ІІ ступенів з поглибленою професійною підготовкою"</t>
  </si>
  <si>
    <t>81033</t>
  </si>
  <si>
    <t>4625855600</t>
  </si>
  <si>
    <t>Краковець</t>
  </si>
  <si>
    <t>пл. Шухевича, 21</t>
  </si>
  <si>
    <t>(259)26-1-68, 77-5-23</t>
  </si>
  <si>
    <t>22400349</t>
  </si>
  <si>
    <t>Краковецька загальноосвітня школа І-ІІІступенів імені Романа Шухевича Яворівської районної ради Львівської області</t>
  </si>
  <si>
    <t>пл. Шухевича5, 5</t>
  </si>
  <si>
    <t>(259)26182</t>
  </si>
  <si>
    <t>Глиницький навчально-виховний комплекс "загальноосвітня школа І - ІІІ ступенів - дошкільний навчальний заклад</t>
  </si>
  <si>
    <t>4625855602</t>
  </si>
  <si>
    <t>Глиниці</t>
  </si>
  <si>
    <t>(259)26193</t>
  </si>
  <si>
    <t>Морянецька загальноосвітня школа І ступеня Яворівської районної ради Львівської області</t>
  </si>
  <si>
    <t>81036</t>
  </si>
  <si>
    <t>4625855603</t>
  </si>
  <si>
    <t>Мор'янці</t>
  </si>
  <si>
    <t>380678961559</t>
  </si>
  <si>
    <t>Немирівська загальноосвітня школа І-ІІІ ступенів Яворівської районої ради Львівської області</t>
  </si>
  <si>
    <t>81013</t>
  </si>
  <si>
    <t>4625855900</t>
  </si>
  <si>
    <t>вул. І. Франка, 15</t>
  </si>
  <si>
    <t>Салашівська загальноосвітня школа І-ІІ ступенів Яворівської районної ради Львівської області</t>
  </si>
  <si>
    <t>4625855904</t>
  </si>
  <si>
    <t>Салаші</t>
  </si>
  <si>
    <t>(0259)2-73-15</t>
  </si>
  <si>
    <t>Шклівська середня загальноосвітня школа І-ІІІ ступенів</t>
  </si>
  <si>
    <t>81050</t>
  </si>
  <si>
    <t>4625856500</t>
  </si>
  <si>
    <t>Шкло</t>
  </si>
  <si>
    <t>(03259)50532</t>
  </si>
  <si>
    <t>Бердихівський навчально-виховний комплекс "Загальноосвітня школа І-ІІІ ступенів - дошкільний навчальний заклад" Яворівської районної ради Львівської області</t>
  </si>
  <si>
    <t>81066</t>
  </si>
  <si>
    <t>4625880403</t>
  </si>
  <si>
    <t>0325669240</t>
  </si>
  <si>
    <t>Бірківський навчально-виховний комплекс "Загальноосвітня школа І-ІІІ ступенів - дошкільний навчальний заклад" імені Тараса Шевченка Яворівської районної ради Львівської області</t>
  </si>
  <si>
    <t>81092</t>
  </si>
  <si>
    <t>4625880801</t>
  </si>
  <si>
    <t>вул. Польова, 8А</t>
  </si>
  <si>
    <t>Рокитнянська загальноосвітня школа 1 ступеня</t>
  </si>
  <si>
    <t>4625880818</t>
  </si>
  <si>
    <t>(0259)36521</t>
  </si>
  <si>
    <t>Бунівська загальноосвітня школа І-ІІ ступенів імені Юрія Липи</t>
  </si>
  <si>
    <t>81040</t>
  </si>
  <si>
    <t>4625881301</t>
  </si>
  <si>
    <t>Бунів</t>
  </si>
  <si>
    <t>(259)69622</t>
  </si>
  <si>
    <t>Великопільський навчально-виховний комплекс "загальноосвітня школа І-ІІ ступенів-дошкільний навчальний заклад" Яворівської районної ради Львівської обасті</t>
  </si>
  <si>
    <t>81075</t>
  </si>
  <si>
    <t>4625881601</t>
  </si>
  <si>
    <t>Великополе</t>
  </si>
  <si>
    <t>вул. Садова, 29</t>
  </si>
  <si>
    <t>(03259)38240</t>
  </si>
  <si>
    <t>Верблянський навчально-виховний комплекс " загальноосвітня школа І-ІІІ ступенів - дошкільний навчальний заклад" Яворівської районної ради Львівської області</t>
  </si>
  <si>
    <t>81017</t>
  </si>
  <si>
    <t>4625881901</t>
  </si>
  <si>
    <t>Вербляни</t>
  </si>
  <si>
    <t>0973249947</t>
  </si>
  <si>
    <t>Дацьківська загальноосвітня школа І-ІІ ступенів Яворівського району Львівської області</t>
  </si>
  <si>
    <t>4625881903</t>
  </si>
  <si>
    <t>Дацьки</t>
  </si>
  <si>
    <t>0967499527</t>
  </si>
  <si>
    <t>Котівська загальноосвітня школа І-ІІ ступенів імені Михайла Логина</t>
  </si>
  <si>
    <t>4625881907</t>
  </si>
  <si>
    <t>Коти</t>
  </si>
  <si>
    <t>Віжомлянський навчально-виховний комплекс " загальноосвітня школа І-ІІІступенів імені Івана Севери - дошкільний навчальний заклад</t>
  </si>
  <si>
    <t>81067</t>
  </si>
  <si>
    <t>4625882201</t>
  </si>
  <si>
    <t>Віжомля</t>
  </si>
  <si>
    <t>вул. Д.Галицького, 42</t>
  </si>
  <si>
    <t>0962580268</t>
  </si>
  <si>
    <t>Вороцівський навчально-виховний комплекс "загальноосвітня школа І-ІІІ ступенів - дошкільний навчальний заклад"</t>
  </si>
  <si>
    <t>81086</t>
  </si>
  <si>
    <t>4625882901</t>
  </si>
  <si>
    <t>Вороців</t>
  </si>
  <si>
    <t>вул. Миру, 10 а</t>
  </si>
  <si>
    <t>Середня Загальноосвітня школа I ступеня с. Поланки</t>
  </si>
  <si>
    <t>4625882903</t>
  </si>
  <si>
    <t>Паланки</t>
  </si>
  <si>
    <t>вул. Польова, 10 А</t>
  </si>
  <si>
    <t>(032)0682888341</t>
  </si>
  <si>
    <t>Добростанська загальноосвітня школа І-ІІ ступенів Яворівського району Львівської області</t>
  </si>
  <si>
    <t>81091</t>
  </si>
  <si>
    <t>4625883201</t>
  </si>
  <si>
    <t>Добростани</t>
  </si>
  <si>
    <t>вул. Героїв Майдану, 71</t>
  </si>
  <si>
    <t>Воледобростанська загальноосвітня школа І - ІІ ступенів</t>
  </si>
  <si>
    <t>81073</t>
  </si>
  <si>
    <t>4625883202</t>
  </si>
  <si>
    <t>Воля-Добростанська</t>
  </si>
  <si>
    <t>вул. Пилипи, 31</t>
  </si>
  <si>
    <t>(259)52-4-15</t>
  </si>
  <si>
    <t>Домажирська загальноосвітня школа І-ІІІ ступенів Яворівської районної ради Львівської області</t>
  </si>
  <si>
    <t>81083</t>
  </si>
  <si>
    <t>4625883601</t>
  </si>
  <si>
    <t>Домажир</t>
  </si>
  <si>
    <t>0(259)35-3-78</t>
  </si>
  <si>
    <t>Дрогомишлянський навчально - виховний комплекс " середня загальноосвітня школа І - ІІІ ступенів - дошкільний навчальний заклад" імені Петра Василихи Яворівської районної ради Львівської області</t>
  </si>
  <si>
    <t>81022</t>
  </si>
  <si>
    <t>4625883901</t>
  </si>
  <si>
    <t>Дрогомишль</t>
  </si>
  <si>
    <t>((03259))66380</t>
  </si>
  <si>
    <t>Грушівська загальноосвітня школа І-ІІ ступенів</t>
  </si>
  <si>
    <t>81016</t>
  </si>
  <si>
    <t>4625883903</t>
  </si>
  <si>
    <t>вул. Прикордонна, 133</t>
  </si>
  <si>
    <t>0967728065</t>
  </si>
  <si>
    <t>Завадівська загальноосвітня школа І-ІІІ ступенів Яворівського району Львівської області</t>
  </si>
  <si>
    <t>81020</t>
  </si>
  <si>
    <t>4625884201</t>
  </si>
  <si>
    <t>(03259)61441</t>
  </si>
  <si>
    <t>Залузька загальноосвітня школа І-ІІ ступенів Яворівської районної ради Львівської області</t>
  </si>
  <si>
    <t>81023</t>
  </si>
  <si>
    <t>4625884501</t>
  </si>
  <si>
    <t>вул. М.Вербицького, 84</t>
  </si>
  <si>
    <t>0972551330</t>
  </si>
  <si>
    <t>Новинська загальноосвітня школа І-ІІ ступенів імені Тараса Пазина</t>
  </si>
  <si>
    <t>81024</t>
  </si>
  <si>
    <t>4625884508</t>
  </si>
  <si>
    <t>Новини</t>
  </si>
  <si>
    <t>вул. Володимира Великого, 62</t>
  </si>
  <si>
    <t>Староярська загальноосвітня школа І-ІІ ступенів, Яворівська РДА, Львівська обл.</t>
  </si>
  <si>
    <t>81025</t>
  </si>
  <si>
    <t>4625884509</t>
  </si>
  <si>
    <t>Старий Яр</t>
  </si>
  <si>
    <t>вул. Незалежності, 131</t>
  </si>
  <si>
    <t>Калинівська загальноосвітня школа І-ІІ ступенів Яворівської районної ради Львіської області</t>
  </si>
  <si>
    <t>81042</t>
  </si>
  <si>
    <t>4625884701</t>
  </si>
  <si>
    <t>вул. Дорошенка, 3</t>
  </si>
  <si>
    <t>(067)4291621</t>
  </si>
  <si>
    <t>Кам'янобрідська загальноосвітня школа І - ІІІ ступенів імені Петра Андрусіва Яворівської районної ради Львівської області</t>
  </si>
  <si>
    <t>81074</t>
  </si>
  <si>
    <t>4625884801</t>
  </si>
  <si>
    <t>Кам'янобрід</t>
  </si>
  <si>
    <t>вул. Петра Андрусіва, 1А</t>
  </si>
  <si>
    <t>(03259)52412</t>
  </si>
  <si>
    <t>Лозинський навчально-виховний комплекс "загальноосвітня школа І-ІІ ступенів - дошкільний навчальний заклад"</t>
  </si>
  <si>
    <t>81080</t>
  </si>
  <si>
    <t>4625885201</t>
  </si>
  <si>
    <t>Лозино</t>
  </si>
  <si>
    <t>вул. Кутець, 2А</t>
  </si>
  <si>
    <t>(032256)35140</t>
  </si>
  <si>
    <t>Дубровицька загальноосвітня школа І-ІІ ступенів Яворівської районної ради Львівської області</t>
  </si>
  <si>
    <t>81081</t>
  </si>
  <si>
    <t>4625885204</t>
  </si>
  <si>
    <t>вул. Середина, 10А</t>
  </si>
  <si>
    <t>(22400036)35113</t>
  </si>
  <si>
    <t>Мальчицький навчально-виховний комплекс "загальноосвітня школа школа І-ІІ ступенів-дошкільний навчальний заклад" Яворівської районної ради Львівської області</t>
  </si>
  <si>
    <t>81077</t>
  </si>
  <si>
    <t>4625885501</t>
  </si>
  <si>
    <t>Мальчиці</t>
  </si>
  <si>
    <t>вул. Центральна, 220</t>
  </si>
  <si>
    <t>Мужиловицький навчально-виховний комплекс "загальноосвітня школа першого-другого ступенів - дошкільний навчальний заклад"</t>
  </si>
  <si>
    <t>81063</t>
  </si>
  <si>
    <t>4625885701</t>
  </si>
  <si>
    <t>Мужиловичі</t>
  </si>
  <si>
    <t>68-1-37</t>
  </si>
  <si>
    <t>Нагачівська ЗОШ І-ІІІ ступенів</t>
  </si>
  <si>
    <t>81021</t>
  </si>
  <si>
    <t>4625886001</t>
  </si>
  <si>
    <t>Нагачів</t>
  </si>
  <si>
    <t>вул. Л.Українки, 8</t>
  </si>
  <si>
    <t>61341</t>
  </si>
  <si>
    <t>Семирівська загальноосвітня школа І-ІІ ступенів імені Юрія Прихода</t>
  </si>
  <si>
    <t>4625886005</t>
  </si>
  <si>
    <t>Семирівка</t>
  </si>
  <si>
    <t>вул. Івана Богослова, 110</t>
  </si>
  <si>
    <t>(03259)61312</t>
  </si>
  <si>
    <t>Наконечнянська загальноосвітня школа І-ІІ ступенів імені Героя України Романа Сеника Яворівської районної ради Львівської області</t>
  </si>
  <si>
    <t>81031</t>
  </si>
  <si>
    <t>4625886101</t>
  </si>
  <si>
    <t>Наконечне Друге</t>
  </si>
  <si>
    <t>вул. С. Бандери, 12</t>
  </si>
  <si>
    <t>(03259)77802</t>
  </si>
  <si>
    <t>Наконечнянська загальноосвітня школа І-ІІІ ступенів Яворівської райдержадміністрації</t>
  </si>
  <si>
    <t>81032</t>
  </si>
  <si>
    <t>4625886102</t>
  </si>
  <si>
    <t>Наконечне Перше</t>
  </si>
  <si>
    <t>63640</t>
  </si>
  <si>
    <t>Порічанський навчально-виховний комплекс"загальноосвітня школа І-ІІ ступенів - дошкільний навчальний заклад"</t>
  </si>
  <si>
    <t>4625886401</t>
  </si>
  <si>
    <t>Поріччя</t>
  </si>
  <si>
    <t>03237546</t>
  </si>
  <si>
    <t>Прилбицька загальноосвітня школа І-ІІІ ступенів імені Митрополита Андрея Шептицького Яворівської районної ради Львівської області</t>
  </si>
  <si>
    <t>81062</t>
  </si>
  <si>
    <t>4625886701</t>
  </si>
  <si>
    <t>Прилбичі</t>
  </si>
  <si>
    <t>вул. А.Шептицького, 67</t>
  </si>
  <si>
    <t>(03259)68178</t>
  </si>
  <si>
    <t>Рогізненський навчально-виховний комплекс "загальоноосвітня школа І-ІІІ ступенів - дошкільний навчальний заклад"</t>
  </si>
  <si>
    <t>81043</t>
  </si>
  <si>
    <t>4625887001</t>
  </si>
  <si>
    <t>вул. Зелена, 283</t>
  </si>
  <si>
    <t>(259)62047</t>
  </si>
  <si>
    <t>Оселівський навчально-виховний комплекс "Загальноосвітня школа І-ІІ ступенів" дошкільний навчальний заклад</t>
  </si>
  <si>
    <t>4625887003</t>
  </si>
  <si>
    <t>Оселя</t>
  </si>
  <si>
    <t>(03259)22407</t>
  </si>
  <si>
    <t>Черчицький навчально-виховний комплекс "загальноосвітня школа І-ІІ ступенів - дошкільний навчальний заклад"</t>
  </si>
  <si>
    <t>81045</t>
  </si>
  <si>
    <t>4625887004</t>
  </si>
  <si>
    <t>Черчик</t>
  </si>
  <si>
    <t>вул. Воля, 1</t>
  </si>
  <si>
    <t>Рясне-Руський Навчально-виховний комплес "Загальноосвітня школа І-ІІІ ступенів - дошкільний навчальний заклад"</t>
  </si>
  <si>
    <t>81085</t>
  </si>
  <si>
    <t>4625887501</t>
  </si>
  <si>
    <t>Рясне-Руське</t>
  </si>
  <si>
    <t>вул. Наукова, 2</t>
  </si>
  <si>
    <t>3-71-45</t>
  </si>
  <si>
    <t>Сарнівська загальноосвітня школа І-ІІ ступенів Яворівського району Львівської області</t>
  </si>
  <si>
    <t>81037</t>
  </si>
  <si>
    <t>4625887601</t>
  </si>
  <si>
    <t>Сарни</t>
  </si>
  <si>
    <t>0986568658</t>
  </si>
  <si>
    <t>Волелюбинська загальноосвітня школа І ступеня Яворівської районної ради Львівської області</t>
  </si>
  <si>
    <t>4625887603</t>
  </si>
  <si>
    <t>Воля Любинська</t>
  </si>
  <si>
    <t>вул. Червоної калини, 39</t>
  </si>
  <si>
    <t>0680551645</t>
  </si>
  <si>
    <t>Любинська загальноосвітня школа І-ІІІ ступенів</t>
  </si>
  <si>
    <t>4625887609</t>
  </si>
  <si>
    <t>Любині</t>
  </si>
  <si>
    <t>вул. Середина, 3</t>
  </si>
  <si>
    <t>(62)643</t>
  </si>
  <si>
    <t>Свидницький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</si>
  <si>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81006</t>
  </si>
  <si>
    <t>4625887801</t>
  </si>
  <si>
    <t>Свидниця</t>
  </si>
  <si>
    <t>(03259)62150</t>
  </si>
  <si>
    <t>Коханівська загальноосвітня школа І-ІІ ступенів Яворівської райдержадміністрації Львівської області</t>
  </si>
  <si>
    <t>81007</t>
  </si>
  <si>
    <t>4625887803</t>
  </si>
  <si>
    <t>Коханівка</t>
  </si>
  <si>
    <t>вул. Червоної Калини, 11</t>
  </si>
  <si>
    <t>(0259)62111</t>
  </si>
  <si>
    <t>http://kohanivka-s.at.ua</t>
  </si>
  <si>
    <t>Середкевицький навчально-виховний комплекс "загальноосвітня школа І-ІІІ ступенів - дошкільний навчальний заклад"</t>
  </si>
  <si>
    <t>81012</t>
  </si>
  <si>
    <t>4625888201</t>
  </si>
  <si>
    <t>Середкевичі</t>
  </si>
  <si>
    <t>66-723</t>
  </si>
  <si>
    <t>Смолинський навчально-виховний комплекс загальноосвітня школа I-III ступенів - дошкільний навчальний заклад Яворівської районної ради Львівської області</t>
  </si>
  <si>
    <t>81010</t>
  </si>
  <si>
    <t>4625888401</t>
  </si>
  <si>
    <t>Смолин</t>
  </si>
  <si>
    <t>вул. Т. Шевченка, 70</t>
  </si>
  <si>
    <t>0974918306</t>
  </si>
  <si>
    <t>Вороблячинська ЗОШ І-ІІ ступенів імені Героя України Віталія Коцюби</t>
  </si>
  <si>
    <t>81011</t>
  </si>
  <si>
    <t>4625888403</t>
  </si>
  <si>
    <t>Вороблячин</t>
  </si>
  <si>
    <t>вул. І.Франка, 12</t>
  </si>
  <si>
    <t>(259)66456</t>
  </si>
  <si>
    <t>http://Vorobljachynschool.at.ua</t>
  </si>
  <si>
    <t>Старицька загальноосвітня школа І ступеня</t>
  </si>
  <si>
    <t>81052</t>
  </si>
  <si>
    <t>4625888501</t>
  </si>
  <si>
    <t>Старичі</t>
  </si>
  <si>
    <t>вул. Шептицького, 1</t>
  </si>
  <si>
    <t>Старицька загальноосвітня школа І-ІІІ ступенів</t>
  </si>
  <si>
    <t>вул. Маковея, 1</t>
  </si>
  <si>
    <t>Терновицький навчально-виховний коплекс "загальноосвітня школа І-ІІ ступенів - дошкільний навчальний заклад" Яворівської районної ради Львівської області</t>
  </si>
  <si>
    <t>81060</t>
  </si>
  <si>
    <t>4625888601</t>
  </si>
  <si>
    <t>вул. Визволителів України, 65</t>
  </si>
  <si>
    <t>(259)68323</t>
  </si>
  <si>
    <t>Чолгинська загальноосвітня школа І-ІІ ступенів</t>
  </si>
  <si>
    <t>81061</t>
  </si>
  <si>
    <t>4625888604</t>
  </si>
  <si>
    <t>Чолгині</t>
  </si>
  <si>
    <t>ал. Центральна, 98</t>
  </si>
  <si>
    <t>Чернилявська загальноосвітня школа І-ІІІ ступенів ім. Теодора Перуна Яворівської районної ради Львівської області</t>
  </si>
  <si>
    <t>81030</t>
  </si>
  <si>
    <t>4625888801</t>
  </si>
  <si>
    <t>Чернилява</t>
  </si>
  <si>
    <t>(03259)63140</t>
  </si>
  <si>
    <t>Ясниський навчально - виховний комплекс "Загальноосвітня школа І - ІІІступенів імені Памви Беринди- дошкільний навчальний заклад "Яворівської районної ради Львівської області</t>
  </si>
  <si>
    <t>81082</t>
  </si>
  <si>
    <t>4625889201</t>
  </si>
  <si>
    <t>Ясниська</t>
  </si>
  <si>
    <t>36-5-24</t>
  </si>
  <si>
    <t>Миколаївська вечірня школа № 1 Миколаївської міської рали Миколаївської області</t>
  </si>
  <si>
    <t>54050</t>
  </si>
  <si>
    <t>4810100000</t>
  </si>
  <si>
    <t>Миколаївська область</t>
  </si>
  <si>
    <t>вул. Гетьмана Сагайдачного, 92</t>
  </si>
  <si>
    <t>(0512)64-49-08, (0512)64-53-18</t>
  </si>
  <si>
    <t>Миколаївська гїмназїя № 2 Миколаївської міської ради Миколаївської області</t>
  </si>
  <si>
    <t>54001</t>
  </si>
  <si>
    <t>вул. Адміральська, 24</t>
  </si>
  <si>
    <t>(0512)372246</t>
  </si>
  <si>
    <t>http://gymnasiya2.org.ua/</t>
  </si>
  <si>
    <t>20917605</t>
  </si>
  <si>
    <t>Миколаївська загальноосвітня санаторна школа-інтернат І-ІІІ ступенів № 7 Миколаївської обласної ради</t>
  </si>
  <si>
    <t>54038</t>
  </si>
  <si>
    <t>вул. Бутоми, 14А</t>
  </si>
  <si>
    <t>(0512)341139</t>
  </si>
  <si>
    <t>04589998</t>
  </si>
  <si>
    <t>Миколаївська загальноосвітня школа I-III ступенів № 61Миколаївської міської ради</t>
  </si>
  <si>
    <t>54036</t>
  </si>
  <si>
    <t>вул. О.Матросова, 2</t>
  </si>
  <si>
    <t>(0512)481548</t>
  </si>
  <si>
    <t>Миколаївська загальноосвітня школа І - ІІІ ступенів № 32 Миколаївської міської ради Миколаївської області</t>
  </si>
  <si>
    <t>54025</t>
  </si>
  <si>
    <t>вул. Оберегова, 1</t>
  </si>
  <si>
    <t>(0512)423961</t>
  </si>
  <si>
    <t>Миколаївська загальноосвітня школа І - ІІІ ступенів № 33 Миколаївської міської ради Миколаївської області</t>
  </si>
  <si>
    <t>54052</t>
  </si>
  <si>
    <t>вул. Океанівська, 12</t>
  </si>
  <si>
    <t>(0512)64-04-03, (0512)64-11-72</t>
  </si>
  <si>
    <t>Миколаївська загальноосвітня школа І-ІІ ступенів № 64 Миколаївської міської ради Миколаївської області</t>
  </si>
  <si>
    <t>54046</t>
  </si>
  <si>
    <t>вул. Архітектора Старова, 6Г</t>
  </si>
  <si>
    <t>(0512)571175</t>
  </si>
  <si>
    <t>Миколаївська загальноосвітня школа І-ІІІ ступенів № 11 Миколаївської міської ради Миколаївської області</t>
  </si>
  <si>
    <t>54056</t>
  </si>
  <si>
    <t>вул. Китобоїв, 3</t>
  </si>
  <si>
    <t>(0512)446610</t>
  </si>
  <si>
    <t>24780273</t>
  </si>
  <si>
    <t>Миколаївська загальноосвітня школа І-ІІІ ступенів № 12 Миколаївської міської ради Миколаївської області</t>
  </si>
  <si>
    <t>54039</t>
  </si>
  <si>
    <t>вул. І Екіпажна, 2</t>
  </si>
  <si>
    <t>24-10-21</t>
  </si>
  <si>
    <t>Миколаївська загальноосвітня школа І-ІІІ ступенів № 18 Миколаївської міської ради Миколаївської області</t>
  </si>
  <si>
    <t>вул. Дачна, 2</t>
  </si>
  <si>
    <t>(0512)341157, (0512)343016</t>
  </si>
  <si>
    <t>Миколаївська загальноосвітня школа І-ІІІ ступенів № 28 Миколаївської міської ради Миколаївської області</t>
  </si>
  <si>
    <t>54018</t>
  </si>
  <si>
    <t>вул. Чайковського, 30</t>
  </si>
  <si>
    <t>(0512)558342</t>
  </si>
  <si>
    <t>http://school28.com.ua</t>
  </si>
  <si>
    <t>Миколаївська загальноосвітня школа І-ІІІ ступенів № 36 Миколаївської міської ради Миколаївської області</t>
  </si>
  <si>
    <t>54055</t>
  </si>
  <si>
    <t>вул. Погранична, 143</t>
  </si>
  <si>
    <t>24-81-98</t>
  </si>
  <si>
    <t>http://skola36.ucoz.ru</t>
  </si>
  <si>
    <t>Миколаївська загальноосвітня школа І-ІІІ ступенів № 53 Миколаївської міської ради Миколаївської області</t>
  </si>
  <si>
    <t>54003</t>
  </si>
  <si>
    <t>вул. Потьомкінська, 154</t>
  </si>
  <si>
    <t>(0512)24-41-66, (0512)57-50-86, (0512)24-51-90</t>
  </si>
  <si>
    <t>Миколаївська загальноосвітня школа І-ІІІ ступенів № 7 Миколаївської міської ради Миколаївської області</t>
  </si>
  <si>
    <t>вул. Потьомкінська, 45/47</t>
  </si>
  <si>
    <t>(0512)47-66-43, (0512)36-12-58</t>
  </si>
  <si>
    <t>http://school.edukit.mk.ua</t>
  </si>
  <si>
    <t>Миколаївська загальноосвітня школа І-ІІІ ступенів № 9 Миколаївської міської ради Миколаївської області</t>
  </si>
  <si>
    <t>вул. 2 Воєнна, 22</t>
  </si>
  <si>
    <t>(0512)551728</t>
  </si>
  <si>
    <t>Миколаївська загальноосвітня школа І-ІІІ ступенів № 16 Миколаївської міської ради Миколаївської області</t>
  </si>
  <si>
    <t>вул. Христо Ботєва, 41</t>
  </si>
  <si>
    <t>(0512)423433</t>
  </si>
  <si>
    <t>http://mzosh16.at.ua</t>
  </si>
  <si>
    <t>Миколаївська загальноосвітня школа І-ІІІ ступенів № 37 Миколаївська міська рада Миколаївської області</t>
  </si>
  <si>
    <t>вул. Даля, 11А</t>
  </si>
  <si>
    <t>(0152)473229</t>
  </si>
  <si>
    <t>Миколаївська загальноосвітня школа І-ІІІ ступенів № 52 Миколаївська міська рада Миколаївської області</t>
  </si>
  <si>
    <t>вул. Крилова, 42</t>
  </si>
  <si>
    <t>(0512)34-61-04</t>
  </si>
  <si>
    <t>Миколаївська загальноосвітня школа І-ІІІ ступенів № 54 Миколаївської міської ради Миколаївської області</t>
  </si>
  <si>
    <t>просп. Корабелів, 10</t>
  </si>
  <si>
    <t>0512641247</t>
  </si>
  <si>
    <t>Миколаївська загальноосвітня школа І-ІІІ ступенів № 57 імені Тараса Григоровича Шевченка Миколаївської міської ради Миколаївської області</t>
  </si>
  <si>
    <t>54058</t>
  </si>
  <si>
    <t>вул. Лазурна, 46</t>
  </si>
  <si>
    <t>(0512)413344</t>
  </si>
  <si>
    <t>Миколаївська загальноосвітня школа І-ІІІ ступенів № 6 Миколаївської міської ради Миколаївської області</t>
  </si>
  <si>
    <t>вул. Курортна, 2А</t>
  </si>
  <si>
    <t>(0512)40-04-47</t>
  </si>
  <si>
    <t>Миколаївська загальноосвітня школа-інтернат І-ІІІ ступенів № 3 Миколаївської обласної ради</t>
  </si>
  <si>
    <t>вул. 1 Слобідська, 74</t>
  </si>
  <si>
    <t>(0512)535673</t>
  </si>
  <si>
    <t>24779790</t>
  </si>
  <si>
    <t>Миколаївська міська вечірня загальноосвітня школа ІІІ ступеня з заочною формою навчання Миколаївської міської ради</t>
  </si>
  <si>
    <t>54020</t>
  </si>
  <si>
    <t>вул. Пушкінська, 73А</t>
  </si>
  <si>
    <t>(0512)765350</t>
  </si>
  <si>
    <t>Миколаївська спеціалізована школа І ступеня № 59 з поглибленим вивченням іноземної мови</t>
  </si>
  <si>
    <t>(0512)372463</t>
  </si>
  <si>
    <t>Миколаївська спеціальна загальноосвітня школа - інтернат № 2 Миколаївської обласної ради</t>
  </si>
  <si>
    <t>54049</t>
  </si>
  <si>
    <t>вул. Рибна, 91</t>
  </si>
  <si>
    <t>(0512)60-60-08</t>
  </si>
  <si>
    <t>04590104</t>
  </si>
  <si>
    <t>Миколаївська спеціальна загальноосвітня школа - інтернат № 3</t>
  </si>
  <si>
    <t>вул. Котельна, 117</t>
  </si>
  <si>
    <t>(0512)767080</t>
  </si>
  <si>
    <t>http://internats3.ucoz.ua/</t>
  </si>
  <si>
    <t>04590116</t>
  </si>
  <si>
    <t>Миколаївська спеціальна загальноосвітня школа Миколаївської обласної ради</t>
  </si>
  <si>
    <t>54029</t>
  </si>
  <si>
    <t>вул. 8 Березня, 53</t>
  </si>
  <si>
    <t>(0512)36-02-42, (0512)36-23-15, (0512)47-76-51, (0512)47-99-3</t>
  </si>
  <si>
    <t>30083547</t>
  </si>
  <si>
    <t>Миколаївська спеціальна загальноосвітня школа-інтернат І-ІІІ ступенів № 6</t>
  </si>
  <si>
    <t>вул. Рибна, 95</t>
  </si>
  <si>
    <t>(0512)58-93-11</t>
  </si>
  <si>
    <t>37585597</t>
  </si>
  <si>
    <t>Миколаївське вище училище фізичної культури</t>
  </si>
  <si>
    <t>вул. Чигрина, 41</t>
  </si>
  <si>
    <t>(0512)47-99-21, (0512)36-10-75, (0512)36-21-05</t>
  </si>
  <si>
    <t>http://mvufk.edukit.mk.ua</t>
  </si>
  <si>
    <t>22440981</t>
  </si>
  <si>
    <t>Миколаївський класичний ліцей Миколаївської міської ради</t>
  </si>
  <si>
    <t>(0512)424511</t>
  </si>
  <si>
    <t>Миколаївський муніципальний колегіум імені Володимира Дмитровича Чайки Миколаївської міської ради Миколаївської області</t>
  </si>
  <si>
    <t>вул. Котельна, 8</t>
  </si>
  <si>
    <t>(0512)583071, (0512)583074</t>
  </si>
  <si>
    <t>Миколаївський спеціальний навчально-виховний комплекс для дітей зі зниженим зором Миколаївської міської ради Миколаївської області</t>
  </si>
  <si>
    <t>просп. Миру, 21В</t>
  </si>
  <si>
    <t>(0512)212127</t>
  </si>
  <si>
    <t>Миколаївська загальноосвітня школа І-ІІІ ступенів № 49 Миколаївської міської ради Миколаївської області</t>
  </si>
  <si>
    <t>54051</t>
  </si>
  <si>
    <t>вул. Уборевича, 15</t>
  </si>
  <si>
    <t>(0512)643764</t>
  </si>
  <si>
    <t>Миколаївська загальноосвітня школа І-ІІІ ступенів № 50 ім. Г.Л.Дівіної Миколаївської міської ради Миколаївської області</t>
  </si>
  <si>
    <t>просп. Миру, 50</t>
  </si>
  <si>
    <t>(0512)214104</t>
  </si>
  <si>
    <t>Миколаївська гімназія № 4 Миколаївської міської ради Миколаївської області</t>
  </si>
  <si>
    <t>4810136300</t>
  </si>
  <si>
    <t>Миколаїв, Заводський район</t>
  </si>
  <si>
    <t>вул. Лазурна, 48</t>
  </si>
  <si>
    <t>(0512)417408, (0512)411644</t>
  </si>
  <si>
    <t>http://g4.mk.ua</t>
  </si>
  <si>
    <t>Миколаївська загальноосвітня школа I-III ступенів № 4 ім.Молчанова Б.І. Миколаївської міської ради Миколаївської області</t>
  </si>
  <si>
    <t>54017</t>
  </si>
  <si>
    <t>вул. Мала Морська, 78</t>
  </si>
  <si>
    <t>(0512)478675</t>
  </si>
  <si>
    <t>Миколаївська загальноосвітня школа І - ІІІ ст. № 17 Миколаївської міської ради Миколаївської області</t>
  </si>
  <si>
    <t>вул. Крилова, 12/6</t>
  </si>
  <si>
    <t>(0512)340125</t>
  </si>
  <si>
    <t>Миколаївська загальноосвітня школа І ступеня № 65 Миколаївської міської ради Миколаївської області</t>
  </si>
  <si>
    <t>(0512)411639</t>
  </si>
  <si>
    <t>Миколаївська загальноосвітня школа І-ІІ ступенів № 21 Миколаївської міської ради Миколаївської області</t>
  </si>
  <si>
    <t>54059</t>
  </si>
  <si>
    <t>вул. Молдавська, 7</t>
  </si>
  <si>
    <t>(0512)514324</t>
  </si>
  <si>
    <t>Миколаївська загальноосвітня школа І-ІІІ ступенів № 25 Миколаївської міської ради Миколаївської області</t>
  </si>
  <si>
    <t>вул. Защука, 2А</t>
  </si>
  <si>
    <t>(0512)470972, (0512)477768, (0512)478194</t>
  </si>
  <si>
    <t>Миколаївська загальноосвітня школа І-ІІІ ступенів № 34 Миколаївської міської ради Миколаївської області</t>
  </si>
  <si>
    <t>вул. Лягіна, 28</t>
  </si>
  <si>
    <t>(0512)47-89-25, (0512)47-69-50</t>
  </si>
  <si>
    <t>Миколаївська загальноосвітня школа І-ІІІ ступенів № 35 Миколаївської міської ради Миколаївської області</t>
  </si>
  <si>
    <t>вул. Морехідна, 10А</t>
  </si>
  <si>
    <t>(0512)34-61-46, (0512)34-61-47</t>
  </si>
  <si>
    <t>http://school35.mykolayiv.com</t>
  </si>
  <si>
    <t>Миколаївська загальноосвітня школа І-ІІІ ступенів № 39 імені Ю.І.Макарова Миколаївської міської ради Миколаївської області</t>
  </si>
  <si>
    <t>54030</t>
  </si>
  <si>
    <t>вул. Нікольська, 6</t>
  </si>
  <si>
    <t>(0512)447839, (0512)362421, (0512)447549, (0512)446991</t>
  </si>
  <si>
    <t>Миколаївська загальноосвітня школа І-ІІІ ступенів № 31 Миколаївської міської ради Миколаївської області</t>
  </si>
  <si>
    <t>вул. 1 Слобідська, 42</t>
  </si>
  <si>
    <t>(0512)249002</t>
  </si>
  <si>
    <t>Миколаївська область, м. Миколаїв, Заводський район,загальноосвітня школа І-ІІІ ступенів № 23, Миколаївської міської ради, Миколаївської області</t>
  </si>
  <si>
    <t>57156</t>
  </si>
  <si>
    <t>вул. Гарнізонна, 10</t>
  </si>
  <si>
    <t>(0512)48-50-23</t>
  </si>
  <si>
    <t>Миколаївська спеціалізована І-ІІІ ступенів школа № 22 з поглибленим вивченням англійської мови з 1 класу</t>
  </si>
  <si>
    <t>вул. Робоча, 8</t>
  </si>
  <si>
    <t>(0512)589870, (0512)589871</t>
  </si>
  <si>
    <t>Миколаївський економічний ліцей № 2 Миколаївської міськой ради міста Миколаєва</t>
  </si>
  <si>
    <t>54015</t>
  </si>
  <si>
    <t>вул. Робоча, 2</t>
  </si>
  <si>
    <t>(0512)56-40-41</t>
  </si>
  <si>
    <t>http://liceum2.mk.ua/</t>
  </si>
  <si>
    <t>23038011</t>
  </si>
  <si>
    <t>Миколаївська гімназія № 3 Миколаївської міської ради Миколаївської області</t>
  </si>
  <si>
    <t>4810136600</t>
  </si>
  <si>
    <t>Миколаїв, Корабельний район</t>
  </si>
  <si>
    <t>просп. Корабелів, 12Г</t>
  </si>
  <si>
    <t>(0512)63-53-67</t>
  </si>
  <si>
    <t>Миколаївська загальноосвітня школа I-III ступенів № 1 імені Олега Ольжича Миколаївської міської ради Миколаївської області.</t>
  </si>
  <si>
    <t>вул. Айвазовського, 8</t>
  </si>
  <si>
    <t>(0512)63-45-54, (0512)63-45-57</t>
  </si>
  <si>
    <t>http://mzoch1-olzhich.ucoz.ua</t>
  </si>
  <si>
    <t>20917657</t>
  </si>
  <si>
    <t>Миколаївська загальноосвітня школа І-ІІІ ступенів № 14 імені Героя Радянського Союзу Пшеніцина Г.О. Миколаївської міської ради Миколаївської області</t>
  </si>
  <si>
    <t>54037</t>
  </si>
  <si>
    <t>вул. Свободна, 38</t>
  </si>
  <si>
    <t>(0512)604551, (067)9984026, (099)2977337</t>
  </si>
  <si>
    <t>Миколаївська загальноосвітня школа І-ІІІ ступенів № 29 Миколаївської міської ради Миколаївської області</t>
  </si>
  <si>
    <t>вул. Сагайдачного, 124</t>
  </si>
  <si>
    <t>(0512)252330</t>
  </si>
  <si>
    <t>Миколаївська загальноосвітня школа І-ІІІ ступенів № 40 Миколаївської міської ради Миколаївської області</t>
  </si>
  <si>
    <t>вул. Металургів, 97/1</t>
  </si>
  <si>
    <t>(0512)64-62-56</t>
  </si>
  <si>
    <t>Миколаївська загальноосвітня школа І-ІІІ ступенів № 43 імені К.Ф.Ольшанського Миколаївської міської ради Миколаївської області</t>
  </si>
  <si>
    <t>просп. Богоявленський, 291</t>
  </si>
  <si>
    <t>0512646160</t>
  </si>
  <si>
    <t>Миколаївська загальноосвітня школа І-ІІІ ступенів № 44 Миколаївської міської ради Миколаївської області</t>
  </si>
  <si>
    <t>вул. Знаменська, 2/6</t>
  </si>
  <si>
    <t>(0512)601462, (0512)601468</t>
  </si>
  <si>
    <t>http://school44.edukit.mk.ua/</t>
  </si>
  <si>
    <t>Миколаївська загальнооосвітня школа І-ІІІ ступенів № 47 Миколаївської міської ради Миколаївської області</t>
  </si>
  <si>
    <t>вул. Торгова, 72</t>
  </si>
  <si>
    <t>(0512)64-49-42</t>
  </si>
  <si>
    <t>Миколаївська загальноосвітня школа І-ІІІ ступенів № 48 Миколаївської міської ради Миколаївської області</t>
  </si>
  <si>
    <t>вул. Генерала Попеля, 164</t>
  </si>
  <si>
    <t>(0512)640284</t>
  </si>
  <si>
    <t>http://zosh48mk.at.ua</t>
  </si>
  <si>
    <t>Миколаївський економічний ліцей № 1 Миколаївської міської ради Миколаївської області</t>
  </si>
  <si>
    <t>вул. Океанівська, 9</t>
  </si>
  <si>
    <t>(0512)64-14-07, (0512)64-13-79</t>
  </si>
  <si>
    <t>http://www.econom-lyceum1.edukit.mk.ua/</t>
  </si>
  <si>
    <t>Комунальний заклад "Загальноосвітня школа-інтернат І-ІІІ ступенів-центр загальної і профільної освіти та комплексної реабілітації" Миколаївської обласної ради</t>
  </si>
  <si>
    <t>54044</t>
  </si>
  <si>
    <t>4810136900</t>
  </si>
  <si>
    <t>Миколаїв, Інгульський район</t>
  </si>
  <si>
    <t>просп. Миру, 15</t>
  </si>
  <si>
    <t>213171</t>
  </si>
  <si>
    <t>04589981</t>
  </si>
  <si>
    <t>Миколаївська гімназія № 41 Миколаївської міської ради Миколаївської області</t>
  </si>
  <si>
    <t>вул. Театральна, 41</t>
  </si>
  <si>
    <t>(0512)221041</t>
  </si>
  <si>
    <t>http://nikgimnazia41.ucoz.ua</t>
  </si>
  <si>
    <t>Миколаївська загальноосвітня школа I-III ступенів № 56 Миколаївської міської ради Миколаївської області</t>
  </si>
  <si>
    <t>54031</t>
  </si>
  <si>
    <t>вул. Космонавтів, 138А</t>
  </si>
  <si>
    <t>(0512)23-60-33</t>
  </si>
  <si>
    <t>Миколаївська загальноосвітня школа І-ІІІ ступенів № 26 Миклоаївської міської ради Миколаївської області</t>
  </si>
  <si>
    <t>54034</t>
  </si>
  <si>
    <t>вул. Чайковського, 11А</t>
  </si>
  <si>
    <t>(0512)221065</t>
  </si>
  <si>
    <t>Миколаївська загальноосвітня школа І-ІІІ ступенів № 27 Миколаївської міської ради Миколаївської області</t>
  </si>
  <si>
    <t>54007</t>
  </si>
  <si>
    <t>вул. О.Янати, 70</t>
  </si>
  <si>
    <t>(0512)231158</t>
  </si>
  <si>
    <t>Миколаївська загальноосвітня школа І-ІІІ ступенів № 42 Миколаївської міської ради Миколаївської області</t>
  </si>
  <si>
    <t>вул. Електронна, 73</t>
  </si>
  <si>
    <t>(0512)236516</t>
  </si>
  <si>
    <t>http://school42.org.ua</t>
  </si>
  <si>
    <t>Миколаївська загальноосвітня школа І-ІІІ ступенів № 45 Миколаївської міської ради Миколаївської області</t>
  </si>
  <si>
    <t>54028</t>
  </si>
  <si>
    <t>вул. 4-а Поздовжня, 58</t>
  </si>
  <si>
    <t>(0512)233110</t>
  </si>
  <si>
    <t>Миколаївська загальноосвітня школа І-ІІІ ступенів № 46 Миколаївської міської ради Миколаївської області</t>
  </si>
  <si>
    <t>вул. 9 Поздовжня, 10</t>
  </si>
  <si>
    <t>(0512)232001, (0512)560085, (0512)230057</t>
  </si>
  <si>
    <t>http://shool-46mk.ucoz.ua</t>
  </si>
  <si>
    <t>Миколаївська загальноосвітня школа І-ІІІ ступенів № 10 Миколаївської міської ради Миколаївської області</t>
  </si>
  <si>
    <t>просп. Богоявленський, 20/б</t>
  </si>
  <si>
    <t>(0512)442008</t>
  </si>
  <si>
    <t>Миколаївська загальноосвітня школа І-ІІІ ступенів № 19 Миколаївської міської ради</t>
  </si>
  <si>
    <t>вул. Передова, 11А</t>
  </si>
  <si>
    <t>(0512)22-51-80</t>
  </si>
  <si>
    <t>http://mzosh19.org.ua</t>
  </si>
  <si>
    <t>24780190</t>
  </si>
  <si>
    <t>Миколаївська загальноосвітня школа І-ІІІ ступенів № 20 Миколаївської міської ради Миколаївської області</t>
  </si>
  <si>
    <t>вул. Космонавтів, 70</t>
  </si>
  <si>
    <t>(0512)215169</t>
  </si>
  <si>
    <t>http://school20.edukit.mk.ua</t>
  </si>
  <si>
    <t>Миколаївська загальноосвітня школа І-ІІІ ступенів № 30 Миколаївської міської ради Миколаївської області</t>
  </si>
  <si>
    <t>вул. Квітнева, 50</t>
  </si>
  <si>
    <t>(0512)230031</t>
  </si>
  <si>
    <t>http://mkschool30.at.ua</t>
  </si>
  <si>
    <t>Миколаївська спеціалізована школа І - ІІІ ступенів мистецтв і прикладних ремесел експериментальний навчальний заклад всеукраїнського рівня «Академія дитячої творчості» Миколаївської міської ради Миколаївської області</t>
  </si>
  <si>
    <t>вул. Олійника, 36</t>
  </si>
  <si>
    <t>(0512)22-13-29</t>
  </si>
  <si>
    <t>Миколаївський юридичний ліцей Миколаївської міської ради Миколаївської області</t>
  </si>
  <si>
    <t>просп. Миру, 23Г</t>
  </si>
  <si>
    <t>(0512)21-10-42</t>
  </si>
  <si>
    <t>http://ur-liceum.com.ua</t>
  </si>
  <si>
    <t>Миколаївська загальноосвітня санаторна школа-інтернат І-ІІІ ступенів № 4 Миколаївської обласної ради</t>
  </si>
  <si>
    <t>4810137200</t>
  </si>
  <si>
    <t>Миколаїв, Центральний район</t>
  </si>
  <si>
    <t>вул. Адміральська, 4Б</t>
  </si>
  <si>
    <t>(0512)37-81-96</t>
  </si>
  <si>
    <t>22442081</t>
  </si>
  <si>
    <t>Миколаївська загальноосвітня школа I-III ступенів № 13 Миколаївської міської ради Миколаївської області</t>
  </si>
  <si>
    <t>просп. Центральний, 84</t>
  </si>
  <si>
    <t>(0512)36-00-69, (0512)36-00-36, (0512)47-75-34</t>
  </si>
  <si>
    <t>Миколаївська загальноосвітня школа І-ІІІ ступенів № 51 Миколаївської міської ради Миколаївської області</t>
  </si>
  <si>
    <t>пров. Парусний, 3А</t>
  </si>
  <si>
    <t>(0512)423742</t>
  </si>
  <si>
    <t>http://www.school-51.ucoz.ru</t>
  </si>
  <si>
    <t>Миколаївська загальноосвітня школа І-ІІІ ступенів № 15 Миколаївської міської ради Миколаївської області</t>
  </si>
  <si>
    <t>вул. Потьомкінська, 22А</t>
  </si>
  <si>
    <t>(0512)379149</t>
  </si>
  <si>
    <t>Миколаївська загальноосвітня школа І-ІІІ ступенів № 24 Миколаївської міської ради Миколаївської області</t>
  </si>
  <si>
    <t>54048</t>
  </si>
  <si>
    <t>(0512)429055</t>
  </si>
  <si>
    <t>Миколаївська загальноосвітня школа І-ІІІ ступенів № 3 Миколаївської міської ради Миколаївської області</t>
  </si>
  <si>
    <t>вул. Чкалова, 114</t>
  </si>
  <si>
    <t>(0512)55-43-34, (0512)55-43-35</t>
  </si>
  <si>
    <t>Миколаївська загальноосвітня школа І-ІІІ ступенів № 60 Миколаївської міської ради Миколаївської області</t>
  </si>
  <si>
    <t>вул. Чорноморська, 1А</t>
  </si>
  <si>
    <t>(0512)48-08-64</t>
  </si>
  <si>
    <t>Миколаївська приватна загальноосвітня школа І-ІІІ ступенів «Гіпаніс-ЕОС» Миколаївської області</t>
  </si>
  <si>
    <t>вул. Котельна, 2</t>
  </si>
  <si>
    <t>Миколаївська спеціалізована приватна школа І-ІІІ ступенів "Ор Менахем" Миколаївської області</t>
  </si>
  <si>
    <t>вул. Чкалова, 110/1</t>
  </si>
  <si>
    <t>(0152)55-43-37</t>
  </si>
  <si>
    <t>Миколаївський морський ліцей імені професора М.Александрова Миколаївської міської ради Миколаївської області</t>
  </si>
  <si>
    <t>вул. Потьомкінська, 138А</t>
  </si>
  <si>
    <t>(0512)249015, (0512)248082</t>
  </si>
  <si>
    <t>http://ml-nikolaev.at.ua</t>
  </si>
  <si>
    <t>23086607</t>
  </si>
  <si>
    <t>Перша українська гімназія імені Миколи Аркаса Миколаївської міської ради Миколаївської області</t>
  </si>
  <si>
    <t>вул. Нікольська, 34</t>
  </si>
  <si>
    <t>(0512)378606</t>
  </si>
  <si>
    <t>Вознесенська гімназія № 1 Вознеснської міської ради Миколаївської області</t>
  </si>
  <si>
    <t>4810200000</t>
  </si>
  <si>
    <t>Вознесенськ</t>
  </si>
  <si>
    <t>43190</t>
  </si>
  <si>
    <t>20907860</t>
  </si>
  <si>
    <t>Вознесенський навчально - виховний комплекс "Загальноосвітній навчальний заклад І-ІІІ ступенів - дошкільний навчальний заклад" № 3 Вознесенської міської ради</t>
  </si>
  <si>
    <t>56500</t>
  </si>
  <si>
    <t>вул. Тітова, 4</t>
  </si>
  <si>
    <t>(05134)43245</t>
  </si>
  <si>
    <t>http://voznesensk-school3.edukit.mk.ua/</t>
  </si>
  <si>
    <t>25877342</t>
  </si>
  <si>
    <t>Вознесенська загальноосвітня школа І-ІІІ ст. № 5 Вознесенської міської ради Миколаївської області</t>
  </si>
  <si>
    <t>вул. Матросова, 205</t>
  </si>
  <si>
    <t>805134-37735</t>
  </si>
  <si>
    <t>http://zosch5.at.ua</t>
  </si>
  <si>
    <t>25877566</t>
  </si>
  <si>
    <t>Вознесенська загальноосвітня школа І-ІІІ ступенів № 10 Вознесенської міської ради Миколаївської області</t>
  </si>
  <si>
    <t>пров. Костенка, 1</t>
  </si>
  <si>
    <t>(05134)44725</t>
  </si>
  <si>
    <t>25877359</t>
  </si>
  <si>
    <t>Вознесенська загальноосвітня школа І-ІІІ ступенів № 2 Вознесенської міської ради Миколаївської області (класи з заочною формою навчання)</t>
  </si>
  <si>
    <t>41018</t>
  </si>
  <si>
    <t>http://vzosh2.comuv.com/</t>
  </si>
  <si>
    <t>25877321</t>
  </si>
  <si>
    <t>Вознесенська загальноосвітня школа І-ІІІ ступенів № 6 Вознесенської міської ради Миколаївської області</t>
  </si>
  <si>
    <t>56507</t>
  </si>
  <si>
    <t>вул. Героїв України, 5</t>
  </si>
  <si>
    <t>(05134)54436</t>
  </si>
  <si>
    <t>http://voznesensk-school6.edukit.mk.ua/</t>
  </si>
  <si>
    <t>20907794</t>
  </si>
  <si>
    <t>Вознесенська загальноосвітня школа І-ІІІ ступенів № 8 Вознесенської міської ради Миколаївської області</t>
  </si>
  <si>
    <t>вул. Сухомлинського, 8</t>
  </si>
  <si>
    <t>0513452403</t>
  </si>
  <si>
    <t>http://voznesensk-school8.mirshkol.com</t>
  </si>
  <si>
    <t>22428299</t>
  </si>
  <si>
    <t>Вознесенська загальноосвітня школа І-ІІІ ступенів № 4 Вознесенської міської ради Миколаївської області</t>
  </si>
  <si>
    <t>(05134)3-80-42, (05134)3-81-42</t>
  </si>
  <si>
    <t>http://voznesensk-school4.edukit.mk.ua/</t>
  </si>
  <si>
    <t>25877454</t>
  </si>
  <si>
    <t>Вознесенська загальноосвітня школа І-ІІІ ступенів № 7 Вознесенської міської ради Миколаївської області</t>
  </si>
  <si>
    <t>(05134)4-34-66</t>
  </si>
  <si>
    <t>http://voznesensk-school7.edukit.mk.ua</t>
  </si>
  <si>
    <t>25877460</t>
  </si>
  <si>
    <t>Вознесенська загальноосвітня школа-інтернат І-ІІІ ступенів "Обдарованість" Миколаївської обласної ради</t>
  </si>
  <si>
    <t>вул. Леніна, 20</t>
  </si>
  <si>
    <t>(05134)43169, (05134)45534</t>
  </si>
  <si>
    <t>04590010</t>
  </si>
  <si>
    <t>Вознесенська районна вечірня загальноосвітня школа II-III ступенів Вознесенської районної ради Миколаївської області</t>
  </si>
  <si>
    <t>вул. Синякова, 5 А</t>
  </si>
  <si>
    <t>(05134)32463</t>
  </si>
  <si>
    <t>Вознесенська спеціалізована школа І ступеня № 1 Вознесенської міської ради Миколаївської області</t>
  </si>
  <si>
    <t>(05134)44565</t>
  </si>
  <si>
    <t>25381842</t>
  </si>
  <si>
    <t>Вознесенська спеціальна загальноосвітня школа-інтернат Миколаївської обласної ради</t>
  </si>
  <si>
    <t>56501</t>
  </si>
  <si>
    <t>вул. Пушкінська, 30</t>
  </si>
  <si>
    <t>(05134)4-26-29</t>
  </si>
  <si>
    <t>http://specinternat.ucoz.com/</t>
  </si>
  <si>
    <t>04590139</t>
  </si>
  <si>
    <t>Вознесенський ліцей "Інсайт" Вознесенської міської ради</t>
  </si>
  <si>
    <t>(05134)57032</t>
  </si>
  <si>
    <t>26231903</t>
  </si>
  <si>
    <t>Вознесенський навчально - виховний комплекс " Загальноосвітній навчальний заклад 1 ст. № 9 дошкільний навчальний заклад № 16</t>
  </si>
  <si>
    <t>вул. Поповича, 2</t>
  </si>
  <si>
    <t>(05134)9-17-17, (066)7166236</t>
  </si>
  <si>
    <t>25956030</t>
  </si>
  <si>
    <t>Навчально-виховний комплекс "Сонечко"</t>
  </si>
  <si>
    <t>57508</t>
  </si>
  <si>
    <t>4810300000</t>
  </si>
  <si>
    <t>Очаків</t>
  </si>
  <si>
    <t>вул. Будівельників, 29/4</t>
  </si>
  <si>
    <t>(05154)37197</t>
  </si>
  <si>
    <t>Очаківська загальноосвітня санаторна школа - інтернат І-ІІІ ступенів Миколаїївської обласної ради</t>
  </si>
  <si>
    <t>вул. Лоцманська, 56</t>
  </si>
  <si>
    <t>(05154)30317</t>
  </si>
  <si>
    <t>04590004</t>
  </si>
  <si>
    <t>Очаківська загальноосвітня школа І-ІІІ ступенів № 2 імені П.П.Шмідта Очаківської міської ради Миколаївської області</t>
  </si>
  <si>
    <t>вул. Шевченко, 4</t>
  </si>
  <si>
    <t>8(05154)2-40-01</t>
  </si>
  <si>
    <t>http://www.ochakiv-school.mk.sch.in.ua</t>
  </si>
  <si>
    <t>Очаківська загальноосвітня школа І-ІІІ ступенів № 1 Очаківської міської ради Миколаївської області</t>
  </si>
  <si>
    <t>вул. Суворова, 41</t>
  </si>
  <si>
    <t>(05154)2-21-36</t>
  </si>
  <si>
    <t>Очаківська загальноосвітня школа І-ІІІ ступенів № 4 Очаківської міської ради Миколаївської області</t>
  </si>
  <si>
    <t>вул. Будівельників, 35</t>
  </si>
  <si>
    <t>37490</t>
  </si>
  <si>
    <t>навчально-виховний комплекс "дошкільний навчальний заклад- ясла-садок-загальноосвітня школа І ступеня № 2"</t>
  </si>
  <si>
    <t>55201</t>
  </si>
  <si>
    <t>4810400000</t>
  </si>
  <si>
    <t>вул. Пилипа Орлика, 34</t>
  </si>
  <si>
    <t>(05161)4-30-37</t>
  </si>
  <si>
    <t>Первомайська вечірня школа Первомайської міської ради Миколаївської області</t>
  </si>
  <si>
    <t>55213</t>
  </si>
  <si>
    <t>вул. Герцена, 10</t>
  </si>
  <si>
    <t>(05161)42425</t>
  </si>
  <si>
    <t>Первомайська гімназія Первомайської міської ради Миколаївської області</t>
  </si>
  <si>
    <t>55200</t>
  </si>
  <si>
    <t>вул. Театральна, 26/1</t>
  </si>
  <si>
    <t>0516142614</t>
  </si>
  <si>
    <t>Первомайська загальноосвітня школа І ступеня № 11 Первомайської міської ради</t>
  </si>
  <si>
    <t>вул. Театральна, 26/2</t>
  </si>
  <si>
    <t>(05161)44737</t>
  </si>
  <si>
    <t>Первоамйська загальноосвітня школа І-ІІ ступенів № 7 Первомайської міської ради Миколаївської області</t>
  </si>
  <si>
    <t>55209</t>
  </si>
  <si>
    <t>вул. 1 Травня, 62</t>
  </si>
  <si>
    <t>(05161)58395</t>
  </si>
  <si>
    <t>Первомайська загальноосвітня школа І-ІІ ступенів № 8 Первомайської міської ради Миколаївської області</t>
  </si>
  <si>
    <t>вул. Голтянська, 106</t>
  </si>
  <si>
    <t>(4422)0966689087</t>
  </si>
  <si>
    <t>Первомайська загальноосвітня школа І-ІІІ ст № 17 ім.Миколи Вінграновського Первомайської міської ради Миколаївської області</t>
  </si>
  <si>
    <t>55207</t>
  </si>
  <si>
    <t>вул. Шолом Алейхема, 56</t>
  </si>
  <si>
    <t>(05161)4-23-77</t>
  </si>
  <si>
    <t>Первомайська загальноосвітня школа І-ІІІ ст. № 4 Первомайської міської ради Миколаївської області</t>
  </si>
  <si>
    <t>вул. Київська, 76</t>
  </si>
  <si>
    <t>(05161)31223</t>
  </si>
  <si>
    <t>http://pervomaysk-school4.edukit.mk.ua/</t>
  </si>
  <si>
    <t>Первомайська загальноосвітня школа І-ІІІ ступенів № 1 Первомайської міської ради Миколаївської області</t>
  </si>
  <si>
    <t>вул. Лейтенанта Шмідта, 25</t>
  </si>
  <si>
    <t>(05161)42373</t>
  </si>
  <si>
    <t>http://bestschool.at.ua/</t>
  </si>
  <si>
    <t>Первомайська загальноосвітня школа І-ІІІ ступенів № 12 Первомайської міської ради Миколаївської області</t>
  </si>
  <si>
    <t>вул. Чкалова, 19</t>
  </si>
  <si>
    <t>(05161)4-20-54</t>
  </si>
  <si>
    <t>http://sch12in.ua</t>
  </si>
  <si>
    <t>Первомайська загальноосвітня школа І-ІІІ ступенів № 16 імені Героя Радянського Союзу Я.М.Лобова Первомайської міської ради Миколаївської області</t>
  </si>
  <si>
    <t>вул. Одеська, 109</t>
  </si>
  <si>
    <t>(05161)4-34-57</t>
  </si>
  <si>
    <t>Первомайська загальноосвітня школа І-ІІІ ступенів № 3 Первомайської міської ради Миколаївської області</t>
  </si>
  <si>
    <t>вул. Олени Пчілки, 155</t>
  </si>
  <si>
    <t>05161-5-84-41</t>
  </si>
  <si>
    <t>http://pervomaysk-school3.edukit.mk.ua</t>
  </si>
  <si>
    <t>Первомайська загальноосвітня школа І-ІІІ ступенів № 5 Первомайської міської ради Миколаївської області</t>
  </si>
  <si>
    <t>55210</t>
  </si>
  <si>
    <t>вул. Корабельна, 4А</t>
  </si>
  <si>
    <t>(05161)31153</t>
  </si>
  <si>
    <t>http://pervomaysk-zosh5.mk.sch.in.ua/</t>
  </si>
  <si>
    <t>Первомайська загальноосвітня школа І-ІІІ ступенів № 6 Первомайської міської ради Миколаївської області</t>
  </si>
  <si>
    <t>55211</t>
  </si>
  <si>
    <t>вул. Павла Тичини, 50</t>
  </si>
  <si>
    <t>0516133261</t>
  </si>
  <si>
    <t>Первомайська загальноосвітня школа І-ІІІ ступенів № 9 Первомайської міської ради Миколаївської області</t>
  </si>
  <si>
    <t>55204</t>
  </si>
  <si>
    <t>0516150164</t>
  </si>
  <si>
    <t>http://www.pervomaysk-school9.edukit.mk.ua/</t>
  </si>
  <si>
    <t>Первомайська спеціальна загальноосвітня школа - інтернат Миколаївської обласної ради</t>
  </si>
  <si>
    <t>вул. Богопільська, 25</t>
  </si>
  <si>
    <t>(05161)42331</t>
  </si>
  <si>
    <t>04590145</t>
  </si>
  <si>
    <t>Первомайський навчально виховний комплекс (загальноосвітня школа I-II ступенів № 15 - колегіум) Первомайської міської ради Миколаївської області.</t>
  </si>
  <si>
    <t>55202</t>
  </si>
  <si>
    <t>вул. Коротченко, 18А</t>
  </si>
  <si>
    <t>0516172548</t>
  </si>
  <si>
    <t>Южноукраїнська гімназія № 1 Южноукраїнської міської ради Миколаївської області</t>
  </si>
  <si>
    <t>55001</t>
  </si>
  <si>
    <t>4810800000</t>
  </si>
  <si>
    <t>Южноукраїнськ</t>
  </si>
  <si>
    <t>б-р Курчатова, 6</t>
  </si>
  <si>
    <t>(05136)22180</t>
  </si>
  <si>
    <t>http://g1.5136.in.ua</t>
  </si>
  <si>
    <t>Южноукраїнська загальноосвітня школа I-III ступенів № 4 Южноукраїнської міської ради Миколаївської області</t>
  </si>
  <si>
    <t>55000</t>
  </si>
  <si>
    <t>вул. Незалежності(Леніна), 16</t>
  </si>
  <si>
    <t>58391</t>
  </si>
  <si>
    <t>Южноукраїнська загальноосвітня школа І-ІІІ ступенів № 2 Южноукраїнської міської ради Миколаївської області</t>
  </si>
  <si>
    <t>55002</t>
  </si>
  <si>
    <t>б-р Шкільний, 3</t>
  </si>
  <si>
    <t>0513621496, 0513624595</t>
  </si>
  <si>
    <t>http://yuzhschool2.ucoz.ua/</t>
  </si>
  <si>
    <t>Южноукраїнська загальноосвітня школа І-ІІІ ступенів № 1 імені Захисників Вітчизни Южноукраїнської міської ради Миколаївської області</t>
  </si>
  <si>
    <t>б-р Курчатова, 8</t>
  </si>
  <si>
    <t>(05136)54483</t>
  </si>
  <si>
    <t>Южноукраїнська загальноосвітня школа І-ІІІ ступенів № 3 Южноукраїнської міської ради Миколаївської області</t>
  </si>
  <si>
    <t>вул. бул. Цвіточний, 5</t>
  </si>
  <si>
    <t>(05136)57099</t>
  </si>
  <si>
    <t>Арбузинська загальноосвітня школа I-III ступенів № 2 імені Т. Г. Шевченка Арбузинської районної ради Миколаївської області</t>
  </si>
  <si>
    <t>55301</t>
  </si>
  <si>
    <t>4820355100</t>
  </si>
  <si>
    <t>Арбузинка</t>
  </si>
  <si>
    <t>вул. Шевченка, 191</t>
  </si>
  <si>
    <t>(05132)30120</t>
  </si>
  <si>
    <t>Арбузинська загальноосвітня школа І-ІІІ ступенів № 1 Арбузинської районної ради Миколаївської області</t>
  </si>
  <si>
    <t>вул. Шкільна, 96</t>
  </si>
  <si>
    <t>(097)9631210</t>
  </si>
  <si>
    <t>Арбузинський навчально -виховний комплекс "загальноосвітній навчальний заклад І ступеня - дошкільний навчальний заклад "Пролісок" Арбузинської селищної ради Миколаївської області</t>
  </si>
  <si>
    <t>вул. Садова, 80</t>
  </si>
  <si>
    <t>(05132)30492, (05132)30631</t>
  </si>
  <si>
    <t>Полянська загальноосвітня школа І-ІІ ступенів Арбузинської Районної Ради Миколаївської області</t>
  </si>
  <si>
    <t>55311</t>
  </si>
  <si>
    <t>4820355103</t>
  </si>
  <si>
    <t>0661893527</t>
  </si>
  <si>
    <t>Костянтинівська загальноосвітня школа І-ІІІ ступенів Арбузинської районної ради Миколаївської області</t>
  </si>
  <si>
    <t>55340</t>
  </si>
  <si>
    <t>4820355700</t>
  </si>
  <si>
    <t>(05132)9-66-18</t>
  </si>
  <si>
    <t>Агрономійська загальноосвітня школа І - ІІІ ступенів Арбузинської районної ради Миколаївської області</t>
  </si>
  <si>
    <t>55353</t>
  </si>
  <si>
    <t>4820380101</t>
  </si>
  <si>
    <t>Агрономія</t>
  </si>
  <si>
    <t>(051329)3623</t>
  </si>
  <si>
    <t>Благодатненська загальноосвітня школа І-ІІІ ступенів Благодатненської сільської ради Арбузинського району Миколаївської області</t>
  </si>
  <si>
    <t>55325</t>
  </si>
  <si>
    <t>4820380401</t>
  </si>
  <si>
    <t>вул. Дяченка, 7</t>
  </si>
  <si>
    <t>31189</t>
  </si>
  <si>
    <t>Воєводська загальноосвітня школа І-ІІІ ступенів Благодатненської сільської ради Миколаївської області</t>
  </si>
  <si>
    <t>55320</t>
  </si>
  <si>
    <t>4820380701</t>
  </si>
  <si>
    <t>(05132)9-45-23</t>
  </si>
  <si>
    <t>Іванівська загальноосвітня школа І-ІІІ ступенів Арбузинської районної ради Миколаївської області</t>
  </si>
  <si>
    <t>55332</t>
  </si>
  <si>
    <t>4820381001</t>
  </si>
  <si>
    <t>(05132)9-31-35</t>
  </si>
  <si>
    <t>Кавунівська філія опорного навчального закладу Арбузинська загальноосвітня школа І-ІІІ ступенів ім.Т.Г.Шевченка Арбузинської Районної Ради Миколаївської області</t>
  </si>
  <si>
    <t>55310</t>
  </si>
  <si>
    <t>4820381501</t>
  </si>
  <si>
    <t>Кавуни</t>
  </si>
  <si>
    <t>вул. Шкільна, 62</t>
  </si>
  <si>
    <t>(05132)30395</t>
  </si>
  <si>
    <t>Новокрасненська загальноосвітня школа І - ІІІ ступенів Арбузинської районної ради Миколаївської області</t>
  </si>
  <si>
    <t>55323</t>
  </si>
  <si>
    <t>4820382201</t>
  </si>
  <si>
    <t>Новокрасне</t>
  </si>
  <si>
    <t>вул. Величка, 23</t>
  </si>
  <si>
    <t>(05132)93237</t>
  </si>
  <si>
    <t>Новоселівська загальноосвітня школа І-ІІІ ступенів</t>
  </si>
  <si>
    <t>55350</t>
  </si>
  <si>
    <t>4820382601</t>
  </si>
  <si>
    <t>Рябоконівська загальноосвітня школа І-ІІІ ступенів Благодатненської сільської ради Миколаївської області</t>
  </si>
  <si>
    <t>55322</t>
  </si>
  <si>
    <t>4820383001</t>
  </si>
  <si>
    <t>Рябоконеве</t>
  </si>
  <si>
    <t>ал. Набережна, 2</t>
  </si>
  <si>
    <t>(05132)94412</t>
  </si>
  <si>
    <t>http://riabokoneve-zosh.mk.sch.in.ua</t>
  </si>
  <si>
    <t>Садівська середня загальноосвітня школа І-ІІІ ступенів Благодатненської сільської ради Миколаївської області</t>
  </si>
  <si>
    <t>55312</t>
  </si>
  <si>
    <t>4820383801</t>
  </si>
  <si>
    <t>(05132)94119</t>
  </si>
  <si>
    <t>Семенівська загальноосвітня школа І-ІІІ ступенів Благодатненської сільської ради Миколаївської області</t>
  </si>
  <si>
    <t>55330</t>
  </si>
  <si>
    <t>4820384201</t>
  </si>
  <si>
    <t>Баштанська гімназія Баштанської міської ради Миколаївської області</t>
  </si>
  <si>
    <t>56101</t>
  </si>
  <si>
    <t>4820610100</t>
  </si>
  <si>
    <t>Баштанка</t>
  </si>
  <si>
    <t>вул. Семена Бойченка, 53</t>
  </si>
  <si>
    <t>(05158)27323</t>
  </si>
  <si>
    <t>Баштанська загальноосвітня школа І-ІІІ ступенів № 2</t>
  </si>
  <si>
    <t>вул. Ювійлейна, 102</t>
  </si>
  <si>
    <t>Баштанська ЗОШ І-ІІІ ступенів № 1 Баштанської міської ради Миколаївської області</t>
  </si>
  <si>
    <t>вул. Баштанської Республіки, 32</t>
  </si>
  <si>
    <t>0515827565</t>
  </si>
  <si>
    <t>http://bsh01.at.ua</t>
  </si>
  <si>
    <t>Добренська загальноосвітня школа I-III ступенів Баштанської міської ради Миколаївської області</t>
  </si>
  <si>
    <t>56156</t>
  </si>
  <si>
    <t>4820680501</t>
  </si>
  <si>
    <t>0515896298</t>
  </si>
  <si>
    <t>Новоєгорівська загальноосвітня школа І - ІІІ ступенів Баштанської міської ради Миколаївської області</t>
  </si>
  <si>
    <t>4820680502</t>
  </si>
  <si>
    <t>Новоєгорівка</t>
  </si>
  <si>
    <t>вул. Лесі Українки, 40</t>
  </si>
  <si>
    <t>96239</t>
  </si>
  <si>
    <t>Доброкриничанська загальноосвітня школа І-ІІІ ступенів</t>
  </si>
  <si>
    <t>56172</t>
  </si>
  <si>
    <t>4820680701</t>
  </si>
  <si>
    <t>Добра Криниця</t>
  </si>
  <si>
    <t>93548</t>
  </si>
  <si>
    <t>Мар'янівська середня загальноосвітня школа І ступеня</t>
  </si>
  <si>
    <t>4820680703</t>
  </si>
  <si>
    <t>9-88-75</t>
  </si>
  <si>
    <t>http://maryanivkazosh.org</t>
  </si>
  <si>
    <t>Єрмолівська загальноосвітня школа І ступеня Баштанської районної ради Миколаївської області</t>
  </si>
  <si>
    <t>56120</t>
  </si>
  <si>
    <t>4820680801</t>
  </si>
  <si>
    <t>Єрмолівка</t>
  </si>
  <si>
    <t>95510</t>
  </si>
  <si>
    <t>Новоукраїнська загальноосвітня школа 1 ступеня Баштанської районної ради Миколаївської області</t>
  </si>
  <si>
    <t>56121</t>
  </si>
  <si>
    <t>4820680804</t>
  </si>
  <si>
    <t>9-81-25</t>
  </si>
  <si>
    <t>Інгульська загальноосвітня школа І-ІІІ ступенів Баштанської районної ради Миколаївської області</t>
  </si>
  <si>
    <t>56170</t>
  </si>
  <si>
    <t>4820681201</t>
  </si>
  <si>
    <t>Інгулка</t>
  </si>
  <si>
    <t>вул. Садова, 49</t>
  </si>
  <si>
    <t>997230</t>
  </si>
  <si>
    <t>http://inhulka-zosh.at.ua</t>
  </si>
  <si>
    <t>Кашперо-Миколаївська загальноосвітня школа І-ІІІ ступенів Баштанської районної ради</t>
  </si>
  <si>
    <t>56140</t>
  </si>
  <si>
    <t>4820681801</t>
  </si>
  <si>
    <t>Кашперо-Миколаївка</t>
  </si>
  <si>
    <t>0515893245</t>
  </si>
  <si>
    <t>Костичівська загальноосвітня школа І-ІІІ ступенів Баштанської районної ради Миколаївської області</t>
  </si>
  <si>
    <t>56160</t>
  </si>
  <si>
    <t>4820682201</t>
  </si>
  <si>
    <t>Костичі</t>
  </si>
  <si>
    <t>0515893946</t>
  </si>
  <si>
    <t>Лук'янівська загальноосвітня школа І-ІІІ ступенів Баштанської районної ради Миколаївської області</t>
  </si>
  <si>
    <t>56123</t>
  </si>
  <si>
    <t>4820682601</t>
  </si>
  <si>
    <t>вул. Щербака, 13</t>
  </si>
  <si>
    <t>0972481167, 0672721665, 0515893068</t>
  </si>
  <si>
    <t>Лоцкинська загальноосвітня школа І-ІІІ ступенів Баштанської районної ради Миколаївської області</t>
  </si>
  <si>
    <t>56180</t>
  </si>
  <si>
    <t>4820683001</t>
  </si>
  <si>
    <t>Лоцкине</t>
  </si>
  <si>
    <t>95484</t>
  </si>
  <si>
    <t>Перемозька загальноосвітня школа І ступеня Баштанської районної ради Миколаївської області</t>
  </si>
  <si>
    <t>56181</t>
  </si>
  <si>
    <t>4820683005</t>
  </si>
  <si>
    <t>вул. Пр. Чорноморський 1, 1</t>
  </si>
  <si>
    <t>9-52-47</t>
  </si>
  <si>
    <t>Мар’ївська загальноосвітня школа І - ІІІ ступенів Баштанської районної ради Миколаївської області</t>
  </si>
  <si>
    <t>56174</t>
  </si>
  <si>
    <t>4820683401</t>
  </si>
  <si>
    <t>(05158)9-57-19</t>
  </si>
  <si>
    <t>Виноградівська загальноосвітня школа І - ІІІ ступенів, Баштанська районна рада, Миколаївська область</t>
  </si>
  <si>
    <t>56175</t>
  </si>
  <si>
    <t>4820683402</t>
  </si>
  <si>
    <t>(051158)92-91-35</t>
  </si>
  <si>
    <t>Новоолександрівська загальноосвітня школа І-ІІІ ступенів Баштанської районної ради Миколаївської області</t>
  </si>
  <si>
    <t>56182</t>
  </si>
  <si>
    <t>4820683701</t>
  </si>
  <si>
    <t>вул. О.Сизоненка, 56А</t>
  </si>
  <si>
    <t>(05158)9-34-69</t>
  </si>
  <si>
    <t>Новоіванівська загальноосвітня школа І-ІІ ступенів Баштанської міської ради Миколаївської області</t>
  </si>
  <si>
    <t>56153</t>
  </si>
  <si>
    <t>4820683901</t>
  </si>
  <si>
    <t>вул. Одеська, 1</t>
  </si>
  <si>
    <t>0515893717</t>
  </si>
  <si>
    <t>Новопавлівська загальноосвітня школа І - ІІІ ступенів Баштанської міської ради Миколаївської області</t>
  </si>
  <si>
    <t>56137</t>
  </si>
  <si>
    <t>4820684201</t>
  </si>
  <si>
    <t>(4321)0515893143</t>
  </si>
  <si>
    <t>Новосергіївська загальноосвітня школа І-ІІ ступенів Баштанської міської ради Миколаївської області</t>
  </si>
  <si>
    <t>56134</t>
  </si>
  <si>
    <t>4820684401</t>
  </si>
  <si>
    <t>Новосергіївка</t>
  </si>
  <si>
    <t>0515895617</t>
  </si>
  <si>
    <t>Пісківська загальноосвітня школа І-ІІІ ступенів Баштанської міської ради Миколаївської області</t>
  </si>
  <si>
    <t>56150</t>
  </si>
  <si>
    <t>4820684601</t>
  </si>
  <si>
    <t>(05158)93690</t>
  </si>
  <si>
    <t>Плющівська загальноосвітня школа І-ІІІ ступенів Баштанської міської ради Миколаївської області</t>
  </si>
  <si>
    <t>56143</t>
  </si>
  <si>
    <t>4820684901</t>
  </si>
  <si>
    <t>Плющівка</t>
  </si>
  <si>
    <t>93832</t>
  </si>
  <si>
    <t>Привільненська загальноосвітня школа І-ІІІ ступенів Баштанської районної ради Миколаївської області</t>
  </si>
  <si>
    <t>56130</t>
  </si>
  <si>
    <t>4820685301</t>
  </si>
  <si>
    <t>вул. Перемоги, 245</t>
  </si>
  <si>
    <t>(05158)94357</t>
  </si>
  <si>
    <t>Привільненська спеціальна загальноосвітня школа-інтернат Баштанського району, Миколаївської обласної ради</t>
  </si>
  <si>
    <t>вул. Перемоги, 248</t>
  </si>
  <si>
    <t>(05158)94171</t>
  </si>
  <si>
    <t>04590085</t>
  </si>
  <si>
    <t>Старогороженська загальноосвітня школа І-ІІІ ступенів Баштанської районної ради Миколаївської області</t>
  </si>
  <si>
    <t>56135</t>
  </si>
  <si>
    <t>4820685601</t>
  </si>
  <si>
    <t>Старогорожене</t>
  </si>
  <si>
    <t>вул. Привільненська, 2</t>
  </si>
  <si>
    <t>95972</t>
  </si>
  <si>
    <t>Христофорівська загальноосвітня школа І - ІІІ ступенів Баштанської міської ради Миколаївської області</t>
  </si>
  <si>
    <t>56162</t>
  </si>
  <si>
    <t>4820685901</t>
  </si>
  <si>
    <t>вул. Приінгульська, 94</t>
  </si>
  <si>
    <t>(05158)95382</t>
  </si>
  <si>
    <t>Явкинська загальноосвітня школа І - ІІІ ступенів Баштанської міської ради Миколаївської області</t>
  </si>
  <si>
    <t>56165</t>
  </si>
  <si>
    <t>4820686501</t>
  </si>
  <si>
    <t>Явкине</t>
  </si>
  <si>
    <t>вул. Грушевського, 30</t>
  </si>
  <si>
    <t>(0515)895023</t>
  </si>
  <si>
    <t>Березанська ЗОШ І - ІІІ ступенів Березанської районної ради Миколаївської області</t>
  </si>
  <si>
    <t>57400</t>
  </si>
  <si>
    <t>4820955100</t>
  </si>
  <si>
    <t>Березанка</t>
  </si>
  <si>
    <t>(05153)2-11-94</t>
  </si>
  <si>
    <t>Малахівська загальноосвітня школа Березанської районної ради Миколаївської області</t>
  </si>
  <si>
    <t>54113</t>
  </si>
  <si>
    <t>4820955102</t>
  </si>
  <si>
    <t>Малахове</t>
  </si>
  <si>
    <t>0515393518</t>
  </si>
  <si>
    <t>Анатолівська загальньоосвітня школа І-ІІІ ступенів Березанської районної ради</t>
  </si>
  <si>
    <t>57450</t>
  </si>
  <si>
    <t>4820980301</t>
  </si>
  <si>
    <t>Анатолівка</t>
  </si>
  <si>
    <t>94319</t>
  </si>
  <si>
    <t>54112</t>
  </si>
  <si>
    <t>4820980901</t>
  </si>
  <si>
    <t>(05153)93611</t>
  </si>
  <si>
    <t>Дмитрівська загальноосвітня школа І-ІІ Березанської районної ради</t>
  </si>
  <si>
    <t>57420</t>
  </si>
  <si>
    <t>4820981201</t>
  </si>
  <si>
    <t>(5153)9-84-25</t>
  </si>
  <si>
    <t>57421</t>
  </si>
  <si>
    <t>4820981206</t>
  </si>
  <si>
    <t>вул. Слави, 64</t>
  </si>
  <si>
    <t>(05153)97240</t>
  </si>
  <si>
    <t>с.Калинівка,Калинівська загальноосвітня школа І-ІІІ ступенів Березанської райдержадміністрації Миколаївської області</t>
  </si>
  <si>
    <t>57440</t>
  </si>
  <si>
    <t>4820981801</t>
  </si>
  <si>
    <t>ал. Шкільна, 12</t>
  </si>
  <si>
    <t>9-45-76</t>
  </si>
  <si>
    <t>Коблівська загальноосвітня школа І-ІІІ ступенів Березанської районної ради Миколаївської області</t>
  </si>
  <si>
    <t>57453</t>
  </si>
  <si>
    <t>4820982201</t>
  </si>
  <si>
    <t>Коблеве</t>
  </si>
  <si>
    <t>0515396140</t>
  </si>
  <si>
    <t>https://sites.google.com/site/koblevosch/</t>
  </si>
  <si>
    <t>Краснопільська загальноосвітня школа І - ІІІ ступенів Березанської районної ради Миколаївської області</t>
  </si>
  <si>
    <t>57434</t>
  </si>
  <si>
    <t>4820982401</t>
  </si>
  <si>
    <t>Краснопілля</t>
  </si>
  <si>
    <t>93422</t>
  </si>
  <si>
    <t>Березанська вечірня (змінна) школа ІІІ ступенів Березанської районної ради Миколаївської області</t>
  </si>
  <si>
    <t>57412</t>
  </si>
  <si>
    <t>4820982530</t>
  </si>
  <si>
    <t>вул. Одеська, 1А</t>
  </si>
  <si>
    <t>0515395416</t>
  </si>
  <si>
    <t>Краснянська загальноосвітня школа І-ІІІ ступенів Березанської районної ради Миколаївської області</t>
  </si>
  <si>
    <t>9-54-16</t>
  </si>
  <si>
    <t>Лиманівська загальноосвітня школа І-ІІІ ступенів Березанської районної ради Миколаївської області</t>
  </si>
  <si>
    <t>57464</t>
  </si>
  <si>
    <t>4820982701</t>
  </si>
  <si>
    <t>Лимани</t>
  </si>
  <si>
    <t>(05153)94147</t>
  </si>
  <si>
    <t>Матіясівська загальноосвітня школа І ступеня Березанської районної ради Миколаївської області</t>
  </si>
  <si>
    <t>57445</t>
  </si>
  <si>
    <t>4820983201</t>
  </si>
  <si>
    <t>Матіясове</t>
  </si>
  <si>
    <t>(05153)93116</t>
  </si>
  <si>
    <t>Новофедорівська ЗОШ І-ІІІ ступенів Березанської районної ради Миколаївської обл.</t>
  </si>
  <si>
    <t>57437</t>
  </si>
  <si>
    <t>4820983501</t>
  </si>
  <si>
    <t>вул. Приморська, 30</t>
  </si>
  <si>
    <t>(05153)94623</t>
  </si>
  <si>
    <t>Рибаківська загальноосвітня школа І-ІІІступенів Березанської районної ради Миколаївської області</t>
  </si>
  <si>
    <t>57460</t>
  </si>
  <si>
    <t>4820983901</t>
  </si>
  <si>
    <t>Рибаківка</t>
  </si>
  <si>
    <t>вул. Поштова, 7</t>
  </si>
  <si>
    <t>0515399168</t>
  </si>
  <si>
    <t>Ташинська загальноосвітня школа І - ІІ ступенів Березанської районної ради Миколаївської області</t>
  </si>
  <si>
    <t>57430</t>
  </si>
  <si>
    <t>4820985001</t>
  </si>
  <si>
    <t>Ташине</t>
  </si>
  <si>
    <t>9-33-42</t>
  </si>
  <si>
    <t>Прогресівська загальноосвітня школа ІІ ступеня</t>
  </si>
  <si>
    <t>57433</t>
  </si>
  <si>
    <t>4820985004</t>
  </si>
  <si>
    <t>Прогресівка</t>
  </si>
  <si>
    <t>(05153)98733</t>
  </si>
  <si>
    <t>Тузлівська загальноосвітня школа І-ІІІ ступенів Березанської районної ради</t>
  </si>
  <si>
    <t>57436</t>
  </si>
  <si>
    <t>4820985401</t>
  </si>
  <si>
    <t>Тузли</t>
  </si>
  <si>
    <t>0515393726</t>
  </si>
  <si>
    <t>Щасливська загальноосвітня школа I-III ступенів Березанської районної ради Миколаївської області</t>
  </si>
  <si>
    <t>57441</t>
  </si>
  <si>
    <t>4820986001</t>
  </si>
  <si>
    <t>0515395156</t>
  </si>
  <si>
    <t>Українська ЗОШ І - ІІІ ступенів Березанської районної ради</t>
  </si>
  <si>
    <t>57451</t>
  </si>
  <si>
    <t>4820986301</t>
  </si>
  <si>
    <t>вул. Новосельська, 1А</t>
  </si>
  <si>
    <t>94456</t>
  </si>
  <si>
    <t>Березнегуватська загальноосвітня школа І-ІІ ступенів № 1 Березнегуватської районної ради Миколаївської області</t>
  </si>
  <si>
    <t>56203</t>
  </si>
  <si>
    <t>4821155100</t>
  </si>
  <si>
    <t>Березнегувате</t>
  </si>
  <si>
    <t>(05168)91505</t>
  </si>
  <si>
    <t>http://berezskolan1.at.ua/</t>
  </si>
  <si>
    <t>Березнегуватська загальноосвітня школа І-ІІ ступенів № 2, Березнегуватської районної ради, Миклаївської області</t>
  </si>
  <si>
    <t>9-17-20</t>
  </si>
  <si>
    <t>Березнегуватська загальносвітня школа І-ІІІ ступенів Березнегуватська районна ради Миколаївської області</t>
  </si>
  <si>
    <t>вул. Партизанська, 18</t>
  </si>
  <si>
    <t>91070</t>
  </si>
  <si>
    <t>Червонопільська загальноосвітня школа І ступеня Березнегуватської районної ради Миколаївської області</t>
  </si>
  <si>
    <t>56200</t>
  </si>
  <si>
    <t>4821155104</t>
  </si>
  <si>
    <t>0962319773</t>
  </si>
  <si>
    <t>Білокриницька загальноосвітня школа І-ІІ ступенів Березнегуватська районна рада Миколаївської області</t>
  </si>
  <si>
    <t>56254</t>
  </si>
  <si>
    <t>4821180401</t>
  </si>
  <si>
    <t>вул. ім. Філя, 47</t>
  </si>
  <si>
    <t>0516893597</t>
  </si>
  <si>
    <t>Висунська ЗОШ І-ІІІ ступенів Березнегуватська районна рада Миколаївської області</t>
  </si>
  <si>
    <t>56240</t>
  </si>
  <si>
    <t>4821180701</t>
  </si>
  <si>
    <t>Висунськ</t>
  </si>
  <si>
    <t>(05168)95184</t>
  </si>
  <si>
    <t>Калузька загальноосвітня школа І-ІІІ ступенів, Березнегуватської районної ради, Миколаївської області</t>
  </si>
  <si>
    <t>56232</t>
  </si>
  <si>
    <t>4821181301</t>
  </si>
  <si>
    <t>Калуга</t>
  </si>
  <si>
    <t>93294</t>
  </si>
  <si>
    <t>http://kaluga-school.edukit.mk.ua</t>
  </si>
  <si>
    <t>Лепетиська загальноосвітня школа І-ІІІ ступенів Березнегуватської районної ради Миколаївської області</t>
  </si>
  <si>
    <t>56234</t>
  </si>
  <si>
    <t>4821181701</t>
  </si>
  <si>
    <t>Лепетиха</t>
  </si>
  <si>
    <t>93619</t>
  </si>
  <si>
    <t>Веселівська загальноосвітня школа 1 ст.</t>
  </si>
  <si>
    <t>4821181703</t>
  </si>
  <si>
    <t>вул. Ентузіастів, 32</t>
  </si>
  <si>
    <t>Кавказька загальноосвітня школа І-ІІІ ступенів Березнегуватської районної ради Миколаївської області</t>
  </si>
  <si>
    <t>4821181705</t>
  </si>
  <si>
    <t>Кавказ</t>
  </si>
  <si>
    <t>0958112059</t>
  </si>
  <si>
    <t>Червоноярська загальноосвітня школа І ступеня Березнегуватська районна рада Миколаївської області</t>
  </si>
  <si>
    <t>4821181713</t>
  </si>
  <si>
    <t>вул. Степанова, 45</t>
  </si>
  <si>
    <t>0993508448</t>
  </si>
  <si>
    <t>Любомирівська загальноосвітня школа І - ІІІ ступенів Березнегуватської районної ради Миколаївської області</t>
  </si>
  <si>
    <t>56250</t>
  </si>
  <si>
    <t>4821182201</t>
  </si>
  <si>
    <t>05168-9-44-69</t>
  </si>
  <si>
    <t>Маліївська загальноосвітня школа І - ІІІ ступенів Березнегуватської районної ради Миколаївської області</t>
  </si>
  <si>
    <t>56214</t>
  </si>
  <si>
    <t>4821182601</t>
  </si>
  <si>
    <t>Маліївка</t>
  </si>
  <si>
    <t>0516894334</t>
  </si>
  <si>
    <t>Мурахвська загальноосвітня школа І - ІІІ ступенів</t>
  </si>
  <si>
    <t>56243</t>
  </si>
  <si>
    <t>4821183001</t>
  </si>
  <si>
    <t>Мурахівка</t>
  </si>
  <si>
    <t>вул. Центральна, 40 А</t>
  </si>
  <si>
    <t>Нововолодимирівська загальноосвітня школа І-ІІ ступенів Березнегуватської районної ради Миколаївської області</t>
  </si>
  <si>
    <t>56217</t>
  </si>
  <si>
    <t>4821183550</t>
  </si>
  <si>
    <t>Нововолодимирівка</t>
  </si>
  <si>
    <t>(05168)9-33-71</t>
  </si>
  <si>
    <t>Новоочаківська загальноосвітня школа І-ІІІступенів</t>
  </si>
  <si>
    <t>56212</t>
  </si>
  <si>
    <t>4821183801</t>
  </si>
  <si>
    <t>Новоочаків</t>
  </si>
  <si>
    <t>вул. Степова, 1</t>
  </si>
  <si>
    <t>9-34-57</t>
  </si>
  <si>
    <t>Новосевастопольська загальноосвітня школа І - ІІІ ступенів Березнегуватської районної ради Миколаївської області</t>
  </si>
  <si>
    <t>56230</t>
  </si>
  <si>
    <t>4821184201</t>
  </si>
  <si>
    <t>Новосевастополь</t>
  </si>
  <si>
    <t>вул. Центральна, 5А</t>
  </si>
  <si>
    <t>05168-94143</t>
  </si>
  <si>
    <t>http://novosevastopol-school.edukit.mk.ua</t>
  </si>
  <si>
    <t>Новоукраїнська загальноосвітня школа І-ІІІ ступенів Березнегуватської районної ради Миколаївської області</t>
  </si>
  <si>
    <t>56220</t>
  </si>
  <si>
    <t>4821184601</t>
  </si>
  <si>
    <t>0516896696</t>
  </si>
  <si>
    <t>Озерівська загальноосвітня школа І-ІІІ ступенів, Березнегуватської районої ради, Миколаївської області</t>
  </si>
  <si>
    <t>56224</t>
  </si>
  <si>
    <t>4821184801</t>
  </si>
  <si>
    <t>Озерівка</t>
  </si>
  <si>
    <t>0984942715</t>
  </si>
  <si>
    <t>Сергіївська загальноосвітня школа І-ІІІ ступенів Березнегуватської районної ради Миколаївської області</t>
  </si>
  <si>
    <t>56223</t>
  </si>
  <si>
    <t>4821185101</t>
  </si>
  <si>
    <t>(05168)9-42-59</t>
  </si>
  <si>
    <t>Федорівська загально освітня школа I-IIступенів</t>
  </si>
  <si>
    <t>4821186080</t>
  </si>
  <si>
    <t>0516892726</t>
  </si>
  <si>
    <t>Братська загальноосвітня школа І ступеня Братської районної ради Миколаївської області</t>
  </si>
  <si>
    <t>55401</t>
  </si>
  <si>
    <t>4821455100</t>
  </si>
  <si>
    <t>вул. Лікарняна, 36</t>
  </si>
  <si>
    <t>(5131)9-11-08</t>
  </si>
  <si>
    <t>Братська загальноосвітня школа І-ІІІ ступенів</t>
  </si>
  <si>
    <t>вул. Живковича, 17</t>
  </si>
  <si>
    <t>http://bratska-school.org.ua</t>
  </si>
  <si>
    <t>гімназія селища Братське Братської районної ради Миколаївської області</t>
  </si>
  <si>
    <t>вул. Сухомлинського, 30</t>
  </si>
  <si>
    <t>(05131)91344</t>
  </si>
  <si>
    <t>Кам'януватська загальноосвітня школа І-ІІ ступенів Братської районної ради Миколаївської області</t>
  </si>
  <si>
    <t>55411</t>
  </si>
  <si>
    <t>4821455104</t>
  </si>
  <si>
    <t>Кам'януватка</t>
  </si>
  <si>
    <t>Ганнівська загальноосвітня школа І-ІІІ ступенів Братської районної ради Миколаївської області</t>
  </si>
  <si>
    <t>55430</t>
  </si>
  <si>
    <t>4821480401</t>
  </si>
  <si>
    <t>0513193740</t>
  </si>
  <si>
    <t>Григорівська загальноосвітня школа І-ІІ ступенів Братської районної ради Миколаївської області</t>
  </si>
  <si>
    <t>55420</t>
  </si>
  <si>
    <t>4821480801</t>
  </si>
  <si>
    <t>вул. Степова, 11</t>
  </si>
  <si>
    <t>(05131)94140</t>
  </si>
  <si>
    <t>Михайло - Жуківська загальноосвітня школа І ступеня Братської районної ради Миколаївської області</t>
  </si>
  <si>
    <t>55423</t>
  </si>
  <si>
    <t>4821480804</t>
  </si>
  <si>
    <t>Михайло-Жукове</t>
  </si>
  <si>
    <t>наб. Набережна, 71</t>
  </si>
  <si>
    <t>(05131)93179</t>
  </si>
  <si>
    <t>Іванівська загальноосвітня школа І - ІІ ступенів Братської районної ради Миколаївської області імені Миколи Олексійовича Дробітька</t>
  </si>
  <si>
    <t>55472</t>
  </si>
  <si>
    <t>4821481001</t>
  </si>
  <si>
    <t>вул. Набережна, 26</t>
  </si>
  <si>
    <t>(05131)93840</t>
  </si>
  <si>
    <t>Кам'яно-Костуватська загальноосвітня школа І-ІІ ступенів Братської районної ради Миколаївської області</t>
  </si>
  <si>
    <t>55442</t>
  </si>
  <si>
    <t>4821481301</t>
  </si>
  <si>
    <t>Кам'яно-Костувате</t>
  </si>
  <si>
    <t>9-44-40</t>
  </si>
  <si>
    <t>Костуватська загальноосвітня школа І-ІІ ступенів</t>
  </si>
  <si>
    <t>55434</t>
  </si>
  <si>
    <t>4821481701</t>
  </si>
  <si>
    <t>Костувате</t>
  </si>
  <si>
    <t>вул. Шкільна, 48</t>
  </si>
  <si>
    <t>9-33-55</t>
  </si>
  <si>
    <t>Кривопустоська загальноосвітня школа І - ІІ ступенів Братскої районної ради Миколаївської області</t>
  </si>
  <si>
    <t>55450</t>
  </si>
  <si>
    <t>4821482201</t>
  </si>
  <si>
    <t>Крива Пустош</t>
  </si>
  <si>
    <t>вул. Хмеленка, 32</t>
  </si>
  <si>
    <t>(5131)94340</t>
  </si>
  <si>
    <t>Миролоюбівська загальноосвітня школа I-III ступенів Братської районної ради Миколаївської області</t>
  </si>
  <si>
    <t>55444</t>
  </si>
  <si>
    <t>4821482401</t>
  </si>
  <si>
    <t>вул. Щорса, 36</t>
  </si>
  <si>
    <t>0513193240</t>
  </si>
  <si>
    <t>Миколаївська загальноосвітня школа І-ІІ ступенів Братської районної ради Миколаївської області</t>
  </si>
  <si>
    <t>55460</t>
  </si>
  <si>
    <t>4821482601</t>
  </si>
  <si>
    <t>(05131)9-61-40</t>
  </si>
  <si>
    <t>Новоолександрівська Загальноосвітня Школа I-II ст. Братської районної ради, Миколаївської області.</t>
  </si>
  <si>
    <t>55440</t>
  </si>
  <si>
    <t>4821483001</t>
  </si>
  <si>
    <t>(05131)94740</t>
  </si>
  <si>
    <t>Новокостянтинівська загальноосвітня школа І-ІІІ ступенів</t>
  </si>
  <si>
    <t>55482</t>
  </si>
  <si>
    <t>4821483401</t>
  </si>
  <si>
    <t>Новомар'ївська загальноосвітня школа І-ІІІ ступенів Братської районної ради Миколаївської області</t>
  </si>
  <si>
    <t>55424</t>
  </si>
  <si>
    <t>4821483901</t>
  </si>
  <si>
    <t>вул. Шкільний, 8</t>
  </si>
  <si>
    <t>(05131)93432</t>
  </si>
  <si>
    <t>http://novomarschool.at.ua</t>
  </si>
  <si>
    <t>Петропавлівська загальноосвітня школа І-ІІ ступенів Братської районної ради Миколаївської області</t>
  </si>
  <si>
    <t>55462</t>
  </si>
  <si>
    <t>4821484301</t>
  </si>
  <si>
    <t>(05131)94540</t>
  </si>
  <si>
    <t>Сергіївська загальноосвітня школа Братської районної ради Миколаївської області</t>
  </si>
  <si>
    <t>4821484601</t>
  </si>
  <si>
    <t>(05131)95180</t>
  </si>
  <si>
    <t>Улянівська загальноосвітня школа І-ІІ ступенів Братської районної ради</t>
  </si>
  <si>
    <t>55017</t>
  </si>
  <si>
    <t>4821484801</t>
  </si>
  <si>
    <t>вул. Гагаріна, 10 а</t>
  </si>
  <si>
    <t>0513194640</t>
  </si>
  <si>
    <t>Соколівська загальноосвітня школа І-ІІ ступенів Братської районної ради Миколаївської області</t>
  </si>
  <si>
    <t>55453</t>
  </si>
  <si>
    <t>4821484803</t>
  </si>
  <si>
    <t>вул. Шматченка, 4</t>
  </si>
  <si>
    <t>(05131)9-43-10</t>
  </si>
  <si>
    <t>Шевченківська загальноосвітня школа І-ІІ ступенів Братської районної ради Миколаївської області</t>
  </si>
  <si>
    <t>55470</t>
  </si>
  <si>
    <t>4821485101</t>
  </si>
  <si>
    <t>(05131)94240</t>
  </si>
  <si>
    <t>Веселинівська загальноосвітня школа І-ІІІ ступнів опорний навчальний заклад Веселинівської селищної ради Миколаївської області</t>
  </si>
  <si>
    <t>57001</t>
  </si>
  <si>
    <t>4821755100</t>
  </si>
  <si>
    <t>Веселинове</t>
  </si>
  <si>
    <t>вул. Київська, 6</t>
  </si>
  <si>
    <t>05163-2-24-90</t>
  </si>
  <si>
    <t>http://vesvid.org.uaves</t>
  </si>
  <si>
    <t>Веселинівська гуманітарна гімназія імені Б.М.Мозолевського</t>
  </si>
  <si>
    <t>вул. Мозолевського, 42</t>
  </si>
  <si>
    <t>Колосівська загальноосвітня школа І-ІІІ ступенів Веселинівської селищної ради Миколаївської області</t>
  </si>
  <si>
    <t>57030</t>
  </si>
  <si>
    <t>4821755500</t>
  </si>
  <si>
    <t>Токарівка</t>
  </si>
  <si>
    <t>0516323756</t>
  </si>
  <si>
    <t>Бондарівська філія Колосівської ЗОШ І-ІІІступенів</t>
  </si>
  <si>
    <t>56511</t>
  </si>
  <si>
    <t>4821755501</t>
  </si>
  <si>
    <t>0678357027</t>
  </si>
  <si>
    <t>Михайлівська філія Колосівської загальноосвітньої школи І-ІІІ ступенів</t>
  </si>
  <si>
    <t>4821755506</t>
  </si>
  <si>
    <t>051632-35-35</t>
  </si>
  <si>
    <t>Варюшинська загальноосвітня школа І - ІІІ ступенів Варюшинської сільської ради Веселинівського району Миколаївської області</t>
  </si>
  <si>
    <t>57047</t>
  </si>
  <si>
    <t>4821780201</t>
  </si>
  <si>
    <t>Варюшине</t>
  </si>
  <si>
    <t>вул. Тополина, 30</t>
  </si>
  <si>
    <t>http://www.vesvid.org.ua/var</t>
  </si>
  <si>
    <t>Зеленівська філія Колосівської ЗОШ І-ІІІ ст.</t>
  </si>
  <si>
    <t>4821780301</t>
  </si>
  <si>
    <t>(05163)2044053</t>
  </si>
  <si>
    <t>Катеринівська загальноосвітня школа І - ІІІ ступенів Веселинівської районної ради Миколаївської області</t>
  </si>
  <si>
    <t>54430</t>
  </si>
  <si>
    <t>4821780601</t>
  </si>
  <si>
    <t>вул. миру, 43</t>
  </si>
  <si>
    <t>(05163)24416</t>
  </si>
  <si>
    <t>Новокатеринівська загальноосвітня школа І- ІІІ ступенів Веселинівської районної ради Миколаївської області</t>
  </si>
  <si>
    <t>57061</t>
  </si>
  <si>
    <t>4821780603</t>
  </si>
  <si>
    <t>Новокатеринівка</t>
  </si>
  <si>
    <t>0964296342, 0500763107</t>
  </si>
  <si>
    <t>Кубряцька загальноосвітня школа І-ІІІ ступенів Кубряцької сільської ради Веселинівського району Миколаївської області</t>
  </si>
  <si>
    <t>57070</t>
  </si>
  <si>
    <t>4821781201</t>
  </si>
  <si>
    <t>Кубряки</t>
  </si>
  <si>
    <t>9-43-18</t>
  </si>
  <si>
    <t>Луб'янська філія Веселинівської ЗОШ І-ІІІ ступенів</t>
  </si>
  <si>
    <t>57024</t>
  </si>
  <si>
    <t>4821782001</t>
  </si>
  <si>
    <t>0967607844</t>
  </si>
  <si>
    <t>Нововоскресенська філія Веселинівс ької ЗОШ І-ІІІ ст. Веселинівської селищної ради</t>
  </si>
  <si>
    <t>4821782005</t>
  </si>
  <si>
    <t>Нововоскресенка</t>
  </si>
  <si>
    <t>Новосвітлівська загальноосвітня школа І-ІІІ ступенів Веселинівської районної ради Миколаївської області</t>
  </si>
  <si>
    <t>57055</t>
  </si>
  <si>
    <t>4821783001</t>
  </si>
  <si>
    <t>Новосвітлівка</t>
  </si>
  <si>
    <t>(05163)27136</t>
  </si>
  <si>
    <t>Подільська загальноосвітня школа І-ІІІ ст.</t>
  </si>
  <si>
    <t>57040</t>
  </si>
  <si>
    <t>4821783401</t>
  </si>
  <si>
    <t>(05163)24510</t>
  </si>
  <si>
    <t>Покровська загальноосвітня школа І-ІІІ ступенів Веселинівської районної ради Миколаївської області</t>
  </si>
  <si>
    <t>57045</t>
  </si>
  <si>
    <t>4821783801</t>
  </si>
  <si>
    <t>вул. Авангардна, 1</t>
  </si>
  <si>
    <t>(05163)27522</t>
  </si>
  <si>
    <t>http://vesvid.org.ua/pok</t>
  </si>
  <si>
    <t>Порічанська філія Веселинівської загальноосвітньої школа І-ІІІ ступенів Веселинівської селищної ради Миколаївської обл</t>
  </si>
  <si>
    <t>57013</t>
  </si>
  <si>
    <t>4821784201</t>
  </si>
  <si>
    <t>вул. Молодіжна, 49</t>
  </si>
  <si>
    <t>24121</t>
  </si>
  <si>
    <t>Градівська філія Веселинівської ЗОШ І-ІІІІ</t>
  </si>
  <si>
    <t>57012</t>
  </si>
  <si>
    <t>4821784202</t>
  </si>
  <si>
    <t>0516326654</t>
  </si>
  <si>
    <t>Ставківська ЗОШ І-ІІІ ступенів Веселинівської районної ради Миколаївської області</t>
  </si>
  <si>
    <t>57050</t>
  </si>
  <si>
    <t>4821785001</t>
  </si>
  <si>
    <t>0516323125</t>
  </si>
  <si>
    <t>Староолексіївська загальноосвітня школа І ст Веселинівської районної ради Миколаївської обл</t>
  </si>
  <si>
    <t>4821785005</t>
  </si>
  <si>
    <t>Староолексіївка</t>
  </si>
  <si>
    <t>вул. Центрвльна, 14</t>
  </si>
  <si>
    <t>Федорівська загальноосвітня школа І ступеня Веселинівської районної ради Миколаївської обл</t>
  </si>
  <si>
    <t>4821785006</t>
  </si>
  <si>
    <t>вул. Корабелів, 13</t>
  </si>
  <si>
    <t>(05163)23634</t>
  </si>
  <si>
    <t>Штукарська загальноосвітня школа І ступеня Веселинівської районної ради Миколаївської обл</t>
  </si>
  <si>
    <t>57051</t>
  </si>
  <si>
    <t>4821785007</t>
  </si>
  <si>
    <t>Штукар</t>
  </si>
  <si>
    <t>(05163)26236</t>
  </si>
  <si>
    <t>Широколанівська загальноосвітня школа І-ІІІ ступенів Веселинівської районної ради Миколаївської області</t>
  </si>
  <si>
    <t>57063</t>
  </si>
  <si>
    <t>4821785601</t>
  </si>
  <si>
    <t>Широколанівка</t>
  </si>
  <si>
    <t>вул. Театральна, 1</t>
  </si>
  <si>
    <t>(05163)2-51-61</t>
  </si>
  <si>
    <t>Широколанівська спеціальна загальноосвітня школа-інтернат І-ІІ ступенів Миколаївської обласної ради Миколаївської області</t>
  </si>
  <si>
    <t>вул. Вишнева, 3</t>
  </si>
  <si>
    <t>(051)6325174</t>
  </si>
  <si>
    <t>http://landau.internat.mk.ua/</t>
  </si>
  <si>
    <t>04590174</t>
  </si>
  <si>
    <t>Піщанобрідська загальноосвітня школа І - ІІ ступенів Веселинівської районної ради Миколаївської області</t>
  </si>
  <si>
    <t>57064</t>
  </si>
  <si>
    <t>4821785602</t>
  </si>
  <si>
    <t>Олександрівська загальноосвітня школа І-ІІІ ступенів імені Т. Г. Шевченка Олександрівської селищної ради Вознесенського району Миколаївської області</t>
  </si>
  <si>
    <t>56530</t>
  </si>
  <si>
    <t>4822055200</t>
  </si>
  <si>
    <t>вул. Генерала Подзігуна, 244</t>
  </si>
  <si>
    <t>8(05134)96186</t>
  </si>
  <si>
    <t>http://olsosh.zz.mu</t>
  </si>
  <si>
    <t>Білоусівська загальноосвітня школа І-ІІІ ступенів Вознесенської районної ради Миколаївської області</t>
  </si>
  <si>
    <t>56576</t>
  </si>
  <si>
    <t>4822080401</t>
  </si>
  <si>
    <t>вул. Димитрова, 11</t>
  </si>
  <si>
    <t>(05134)92290</t>
  </si>
  <si>
    <t>Бузька загальноосвітня школа І-ІІІ ступенів Вознесенської районної ради Миколаївської області</t>
  </si>
  <si>
    <t>56541</t>
  </si>
  <si>
    <t>4822080801</t>
  </si>
  <si>
    <t>Бузьке</t>
  </si>
  <si>
    <t>вул. Отамана Григор'єва, 423</t>
  </si>
  <si>
    <t>(05134)94622</t>
  </si>
  <si>
    <t>Вознесенська загальноосвітня школа I-III ступенів Вознесенської районної ради Миколаївської області</t>
  </si>
  <si>
    <t>56543</t>
  </si>
  <si>
    <t>4822081201</t>
  </si>
  <si>
    <t>0513499648</t>
  </si>
  <si>
    <t>Рацинська спеціальна загальноосвітня школа-інтернат</t>
  </si>
  <si>
    <t>4822081205</t>
  </si>
  <si>
    <t>Рацинська Дача</t>
  </si>
  <si>
    <t>вул. Вчительська, 6</t>
  </si>
  <si>
    <t>(05134)9-96-42</t>
  </si>
  <si>
    <t>04590168</t>
  </si>
  <si>
    <t>Воронівська загальноосвітня школа І-ІІІ ступенів Олександрівської селищної ради Вознесенського району Миколаївської області</t>
  </si>
  <si>
    <t>56540</t>
  </si>
  <si>
    <t>4822081501</t>
  </si>
  <si>
    <t>вул. Вознесенська, 1</t>
  </si>
  <si>
    <t>(05134)93528, (05134)93540</t>
  </si>
  <si>
    <t>http://voronivka.edukit.mk.ua</t>
  </si>
  <si>
    <t>Григорівський навчально-виховний комплекс "Загальноосвітній навчальний заклад І-ІІІ ступенів-дошкільний навчальний заклад"</t>
  </si>
  <si>
    <t>56550</t>
  </si>
  <si>
    <t>4822081701</t>
  </si>
  <si>
    <t>Григорівське</t>
  </si>
  <si>
    <t>0513495548</t>
  </si>
  <si>
    <t>http://Grigorivka.jimdo.com</t>
  </si>
  <si>
    <t>Дмитрівська загальноосвітня школа І-ІІ ступенів</t>
  </si>
  <si>
    <t>56571</t>
  </si>
  <si>
    <t>4822082001</t>
  </si>
  <si>
    <t>(05134)94566</t>
  </si>
  <si>
    <t>Дорошівська загальноосвітня школа І - ІІІ ступенів</t>
  </si>
  <si>
    <t>56570</t>
  </si>
  <si>
    <t>4822082601</t>
  </si>
  <si>
    <t>Дорошівка</t>
  </si>
  <si>
    <t>вул. Свірьопкіна, 113</t>
  </si>
  <si>
    <t>(94)1-19</t>
  </si>
  <si>
    <t>Новогригорівська загальноосвітня школа І - ІІІ ступенів Вознесенської районної ради Миколаївської області</t>
  </si>
  <si>
    <t>56522</t>
  </si>
  <si>
    <t>4822083201</t>
  </si>
  <si>
    <t>вул. Садова, 37А</t>
  </si>
  <si>
    <t>(05134)95123</t>
  </si>
  <si>
    <t>http://ngrigorivka-zosh.mk.sch.in.ua</t>
  </si>
  <si>
    <t>Новосілківська загальноосвітня школа І-ІІІ ступенів</t>
  </si>
  <si>
    <t>56560</t>
  </si>
  <si>
    <t>4822083401</t>
  </si>
  <si>
    <t>(05134)99313</t>
  </si>
  <si>
    <t>Прибужанівська загальноосвітня школа І-ІІІ ступенів Прибужанівської сільської ради Вознесенського району Миколаївської області</t>
  </si>
  <si>
    <t>56523</t>
  </si>
  <si>
    <t>4822083801</t>
  </si>
  <si>
    <t>Прибужани</t>
  </si>
  <si>
    <t>вул. Братів Бреславських, 3</t>
  </si>
  <si>
    <t>(051341)42255</t>
  </si>
  <si>
    <t>Мартинівська ЗОШ І- ІІІ ступенів</t>
  </si>
  <si>
    <t>56525</t>
  </si>
  <si>
    <t>4822083807</t>
  </si>
  <si>
    <t>Мартинівське</t>
  </si>
  <si>
    <t>15А</t>
  </si>
  <si>
    <t>(05134)93621</t>
  </si>
  <si>
    <t>Таборівська загальноосвітня школа І - ІІІ ступенів</t>
  </si>
  <si>
    <t>56520</t>
  </si>
  <si>
    <t>4822084201</t>
  </si>
  <si>
    <t>Таборівка</t>
  </si>
  <si>
    <t>вул. Центральна, 85</t>
  </si>
  <si>
    <t>(05134)95333</t>
  </si>
  <si>
    <t>Тімірязєвська загальноосвітня школа І-ІІІ ступенів Прибужанівської сільської ради Вознесенського району Миколаївської області</t>
  </si>
  <si>
    <t>56575</t>
  </si>
  <si>
    <t>4822084501</t>
  </si>
  <si>
    <t>Тімірязєвка</t>
  </si>
  <si>
    <t>(05134)99193</t>
  </si>
  <si>
    <t>Трикратська загальноосвітня школа І - ІІІ ступенів Олександрівської селищної ради Вознесенського району Миколаївської області</t>
  </si>
  <si>
    <t>56535</t>
  </si>
  <si>
    <t>4822085001</t>
  </si>
  <si>
    <t>Трикрати</t>
  </si>
  <si>
    <t>вул. Скаржинського, 56</t>
  </si>
  <si>
    <t>(05134)92-4-26</t>
  </si>
  <si>
    <t>http://www.trykrateschool.at.ua</t>
  </si>
  <si>
    <t>Актовська загальноосвітня школа І-ІІ ступенів Олександрівської селищної ради Вознесенського району Миколаївської області</t>
  </si>
  <si>
    <t>56537</t>
  </si>
  <si>
    <t>4822085003</t>
  </si>
  <si>
    <t>Актове</t>
  </si>
  <si>
    <t>Щербанівська загальноосвітня школа І-ІІІ ступенів ім. М.М.Рябошапки</t>
  </si>
  <si>
    <t>56553</t>
  </si>
  <si>
    <t>4822085401</t>
  </si>
  <si>
    <t>Щербані</t>
  </si>
  <si>
    <t>(05134)93213</t>
  </si>
  <si>
    <t>http://scherbani.edukit.mk.ua</t>
  </si>
  <si>
    <t>російська,німецька,арабська</t>
  </si>
  <si>
    <t>Троїцька загальноосвітня школа І ступеня</t>
  </si>
  <si>
    <t>56555</t>
  </si>
  <si>
    <t>4822085405</t>
  </si>
  <si>
    <t>(097)7750103</t>
  </si>
  <si>
    <t>Шевченківська загальноосвтня школа І ступеня</t>
  </si>
  <si>
    <t>56554</t>
  </si>
  <si>
    <t>4822085407</t>
  </si>
  <si>
    <t>вул. Молодіжна, 28</t>
  </si>
  <si>
    <t>(05134)95508</t>
  </si>
  <si>
    <t>Яструбинівська загальноосвітня школа I-III ступенів Прибужанівської сільської ради Миколаївської області</t>
  </si>
  <si>
    <t>56564</t>
  </si>
  <si>
    <t>4822085801</t>
  </si>
  <si>
    <t>Яструбинове</t>
  </si>
  <si>
    <t>вул. Центральна, 128</t>
  </si>
  <si>
    <t>80513491362</t>
  </si>
  <si>
    <t>Врадіївська загальноосвітня школа І-ІІІ ст № 3 Врадіївської районної ради Миколаївської області</t>
  </si>
  <si>
    <t>56301</t>
  </si>
  <si>
    <t>4822355100</t>
  </si>
  <si>
    <t>Врадіївка</t>
  </si>
  <si>
    <t>80513596618</t>
  </si>
  <si>
    <t>Врадіївська загальноосвітня школа І-ІІІ ступенів № 1 Врадіївської районної ради Миколаївської області</t>
  </si>
  <si>
    <t>вул. Гоголя, 12</t>
  </si>
  <si>
    <t>9-15-52</t>
  </si>
  <si>
    <t>Врадіївська районна гімназія Врадіївської районної ради Миколаївської області</t>
  </si>
  <si>
    <t>вул. Івана Врадія, 112</t>
  </si>
  <si>
    <t>80513596559</t>
  </si>
  <si>
    <t>Адамівська загальноосвітня школа І-ІІІ ступенів Врадіївської районної ради Миколаївської області</t>
  </si>
  <si>
    <t>56316</t>
  </si>
  <si>
    <t>4822380110</t>
  </si>
  <si>
    <t>(05135)93436</t>
  </si>
  <si>
    <t>Великовеселівська загальноосвітня школа І-ІІІ ступенів Врадіївської районної ради Миколаївської області</t>
  </si>
  <si>
    <t>56340</t>
  </si>
  <si>
    <t>4822380401</t>
  </si>
  <si>
    <t>Великовеселе</t>
  </si>
  <si>
    <t>Покровська загальноосвітня школа І-ІІІ ступенів Врадіївської районної ради Миколаївської області</t>
  </si>
  <si>
    <t>55205</t>
  </si>
  <si>
    <t>4822380801</t>
  </si>
  <si>
    <t>(05135)9-31-21</t>
  </si>
  <si>
    <t>Доброжанівська загальноосвітня школа І-ІІІ ступенів Врадіївської районної ради Миколаївської області</t>
  </si>
  <si>
    <t>56312</t>
  </si>
  <si>
    <t>4822381301</t>
  </si>
  <si>
    <t>Доброжанівка</t>
  </si>
  <si>
    <t>(05135)94181</t>
  </si>
  <si>
    <t>http://dobrozhanivka.edukit.mk.ua</t>
  </si>
  <si>
    <t>Богемський НВК загальньоосвітня школа І ступеня - дошкільний заклад Врадіївської Районної ради Миколаївської області</t>
  </si>
  <si>
    <t>4822381302</t>
  </si>
  <si>
    <t>Богемка</t>
  </si>
  <si>
    <t>(05135)93519</t>
  </si>
  <si>
    <t>Новомихайлівська загальноосвітня школа І-ІІ ступенів Врадіїївської районної ради Миколаївської області</t>
  </si>
  <si>
    <t>56303</t>
  </si>
  <si>
    <t>4822381701</t>
  </si>
  <si>
    <t>Новомихайлівське</t>
  </si>
  <si>
    <t>9-42-31</t>
  </si>
  <si>
    <t>Іванівська загальноосвітня школа І ступеня Врадіївської районної ради Миколаївської області</t>
  </si>
  <si>
    <t>56330</t>
  </si>
  <si>
    <t>4822382201</t>
  </si>
  <si>
    <t>(26108574)93225</t>
  </si>
  <si>
    <t>Захарівська загальноосвітня школа І - ІІІ ступенів Врадіївської районної ради Миколаївської області</t>
  </si>
  <si>
    <t>4822382203</t>
  </si>
  <si>
    <t>9-32-43</t>
  </si>
  <si>
    <t>Краснопільська загальноосвітня школа І-ІІ ступенів Врадіївської районної ради Миколаївської області</t>
  </si>
  <si>
    <t>56320</t>
  </si>
  <si>
    <t>4822382601</t>
  </si>
  <si>
    <t>0664351286</t>
  </si>
  <si>
    <t>Федорівська загальноосвітня школа І-ІІ ступенів Врадіївської районної ради Миколаївської області</t>
  </si>
  <si>
    <t>4822382605</t>
  </si>
  <si>
    <t>вул. Ценральна, 20</t>
  </si>
  <si>
    <t>(05135)94342</t>
  </si>
  <si>
    <t>Кумарівська загальноосвітня школа І-ІІ ступенів Врадіївської районної ради Миколаївської області</t>
  </si>
  <si>
    <t>4822383001</t>
  </si>
  <si>
    <t>Кумарі</t>
  </si>
  <si>
    <t>(5135)9-46-54</t>
  </si>
  <si>
    <t>Нововасилівська загальноосвітня школа І-ІІІ ступенів Врадіївської районної ради Миколаївської області</t>
  </si>
  <si>
    <t>4822383601</t>
  </si>
  <si>
    <t>(05135)93331</t>
  </si>
  <si>
    <t>Новопавлівська загальноосвітня школа І-ІІІ ступенів Врадіївської районної ради Миколаївської області</t>
  </si>
  <si>
    <t>56341</t>
  </si>
  <si>
    <t>4822383801</t>
  </si>
  <si>
    <t>вул. Центральна, 38А</t>
  </si>
  <si>
    <t>(3-235)9-51-52</t>
  </si>
  <si>
    <t>Сирівський навчально-виховний комплекс "Загальноосвітня школа І-ІІІ ступенів - дошкільний навчальний заклад" Врадіївської районної ради Миколаївської області</t>
  </si>
  <si>
    <t>56310</t>
  </si>
  <si>
    <t>4822384501</t>
  </si>
  <si>
    <t>Сирове</t>
  </si>
  <si>
    <t>вул. Центральна, 132 В</t>
  </si>
  <si>
    <t>0513594744</t>
  </si>
  <si>
    <t>http://sirovezosh.ucoz.ua</t>
  </si>
  <si>
    <t>Доманівська загальноосвітня школа I-III ступенів № 2 Доманівської селищної ради Миколаївської області</t>
  </si>
  <si>
    <t>56401</t>
  </si>
  <si>
    <t>4822755100</t>
  </si>
  <si>
    <t>Доманівка</t>
  </si>
  <si>
    <t>0515291208</t>
  </si>
  <si>
    <t>20893916</t>
  </si>
  <si>
    <t>Доманівський навчально-виховний комплекс "Доманівська загальноосвітня школа І-ІІІ ступенів № 1-Центр дитячої та юнацької творчості" Доманівської селищної ради Миколаївської області</t>
  </si>
  <si>
    <t>0515291668</t>
  </si>
  <si>
    <t>http://domanivkarnvk.at.ua/</t>
  </si>
  <si>
    <t>37822438</t>
  </si>
  <si>
    <t>Цвітківська загальноосвітня школа І - ІІ ступенів</t>
  </si>
  <si>
    <t>56445</t>
  </si>
  <si>
    <t>4822780303</t>
  </si>
  <si>
    <t>Цвіткове</t>
  </si>
  <si>
    <t>9-31-71</t>
  </si>
  <si>
    <t>http://zhovtneve-school.edukit.mk.ua</t>
  </si>
  <si>
    <t>Олександрівська загальноосвітня школа І - ІІ ступенів Мостівської сільської ради Миколаївської області</t>
  </si>
  <si>
    <t>4822780501</t>
  </si>
  <si>
    <t>(5152)9-66-28</t>
  </si>
  <si>
    <t>Богданівська ЗОШ І-ІІІ ступенів Доманівської районної ради Миколаївської області</t>
  </si>
  <si>
    <t>56419</t>
  </si>
  <si>
    <t>4822780901</t>
  </si>
  <si>
    <t>вул. К.Острозького, 34</t>
  </si>
  <si>
    <t>(05152)93422</t>
  </si>
  <si>
    <t>http://bohdanivka-domaniv.edukit.mk.ua</t>
  </si>
  <si>
    <t>23087009</t>
  </si>
  <si>
    <t>Володимирівський навчально-виховний комплекс "Дошкільний навчальний заклад-загальноосвітня школа І ступеня" Володимирівської сільської ради Доманівського району Миколаївської області</t>
  </si>
  <si>
    <t>56455</t>
  </si>
  <si>
    <t>4822781201</t>
  </si>
  <si>
    <t>0665461583</t>
  </si>
  <si>
    <t>Новоолександрівська філія Доманівської загальноосвітньої школи І-ІІІ ступенів № 2 Доманівської селищної ради Миколаївської області</t>
  </si>
  <si>
    <t>4822781205</t>
  </si>
  <si>
    <t>(05152)96740</t>
  </si>
  <si>
    <t>Зеленоярська філія Доманівської ЗОШ І-ІІІ ступенів № 2 Доманівської селищної ради Миколаївської області</t>
  </si>
  <si>
    <t>56437</t>
  </si>
  <si>
    <t>4822781501</t>
  </si>
  <si>
    <t>(0512)93538</t>
  </si>
  <si>
    <t>23087216</t>
  </si>
  <si>
    <t>Козубівська філія Доманівської ЗОШ І-ІІІ ступенів № 2 Доманівської селищної ради Миколаївської області</t>
  </si>
  <si>
    <t>56450</t>
  </si>
  <si>
    <t>4822782001</t>
  </si>
  <si>
    <t>Козубівка</t>
  </si>
  <si>
    <t>(038)0500637824</t>
  </si>
  <si>
    <t>23043851</t>
  </si>
  <si>
    <t>Маринівська загальноосвітня школа І - ІІІ ступенів Доманівської районної ради Миколаївської області</t>
  </si>
  <si>
    <t>56425</t>
  </si>
  <si>
    <t>4822783201</t>
  </si>
  <si>
    <t>051-52-9-36-37</t>
  </si>
  <si>
    <t>http://marynivka-school1.edukit.mk.ua.</t>
  </si>
  <si>
    <t>31596743</t>
  </si>
  <si>
    <t>Маринівська загальноосвітня школа І ступенів Доманівської районної ради Миколаївської області</t>
  </si>
  <si>
    <t>вул. Механізаторів, 30 а</t>
  </si>
  <si>
    <t>(05152)9-37-50</t>
  </si>
  <si>
    <t>Мостівський навчально - виховний комплекс "загальноосвітній навчальний заклад І-ІІІ ступенів - дошкільний навчальний заклад" Мостівської сільської ради Миколаївської області</t>
  </si>
  <si>
    <t>56470</t>
  </si>
  <si>
    <t>4822783501</t>
  </si>
  <si>
    <t>вул. Степова, 69</t>
  </si>
  <si>
    <t>(05152)9-41-83</t>
  </si>
  <si>
    <t>http://mostove-domaniv.edukit.mk.ua</t>
  </si>
  <si>
    <t>23044135</t>
  </si>
  <si>
    <t>Прибузька загальноосвітня школа І-ІІІ ступенів Доманівської районної ради Миколаївської області</t>
  </si>
  <si>
    <t>4822784001</t>
  </si>
  <si>
    <t>Прибужжя</t>
  </si>
  <si>
    <t>вул. Соборна, 52А</t>
  </si>
  <si>
    <t>(05152)95538</t>
  </si>
  <si>
    <t>http://prybuzhia-school.edukit.mk.ua</t>
  </si>
  <si>
    <t>20893891</t>
  </si>
  <si>
    <t>Сухобалківська загальноосвітня школа І-ІІІ ступенів Мостівської сільської ради Миколаївської області</t>
  </si>
  <si>
    <t>56509</t>
  </si>
  <si>
    <t>4822784401</t>
  </si>
  <si>
    <t>Суха Балка</t>
  </si>
  <si>
    <t>(05152)9-31-41</t>
  </si>
  <si>
    <t>http://suhabalka-school.edukit.mk.ua/</t>
  </si>
  <si>
    <t>20894175</t>
  </si>
  <si>
    <t>Лідіївська загальноосвітня школа І-ІІ ступенів Мостівської сільської ради Миколаївської області</t>
  </si>
  <si>
    <t>56462</t>
  </si>
  <si>
    <t>4822784404</t>
  </si>
  <si>
    <t>Лідіївка</t>
  </si>
  <si>
    <t>вул. Шкiльна, 9</t>
  </si>
  <si>
    <t>(05152)9-68-16</t>
  </si>
  <si>
    <t>http://lidiivka-school.edukit.mk.ua</t>
  </si>
  <si>
    <t>Кузнецівська загальноосвітня школа І-ІІІ ступенів імені героя АТО Матвієнка А.В. Доманівської районної ради Миколаївської області</t>
  </si>
  <si>
    <t>56418</t>
  </si>
  <si>
    <t>4822784604</t>
  </si>
  <si>
    <t>Кузнецове</t>
  </si>
  <si>
    <t>9-62-20</t>
  </si>
  <si>
    <t>http://kuznetsove-school.edukit.mk.ua</t>
  </si>
  <si>
    <t>23043687</t>
  </si>
  <si>
    <t>Петропавлівська філія Доманівського навчально-виховного комплексу "Доманівська загальноосвітня школа І-ІІІ ступенів № 1 - Центр дитячої та юнацької творчості" Доманівської селищної ради Миколаївської області</t>
  </si>
  <si>
    <t>56435</t>
  </si>
  <si>
    <t>4822784901</t>
  </si>
  <si>
    <t>(05152)96532</t>
  </si>
  <si>
    <t>http://frunze-school.edukit.mk.ua</t>
  </si>
  <si>
    <t>Царедарівська філія Доманівського навчально - виховного комплексу "Доманівська загальноосвітня школа І - ІІІ ступенів № 1 - Центр дитячої та юнацької творчості" Доманівської селищної ради Миколаївської області</t>
  </si>
  <si>
    <t>56429</t>
  </si>
  <si>
    <t>4822785201</t>
  </si>
  <si>
    <t>Царедарівка</t>
  </si>
  <si>
    <t>(05152)9-64-25</t>
  </si>
  <si>
    <t>http://tsaredarivka-school.edukit.mk.ua</t>
  </si>
  <si>
    <t>Єланецька гуманітарна гімназія Єланецької районної ради Миколаївської області</t>
  </si>
  <si>
    <t>55501</t>
  </si>
  <si>
    <t>4823055100</t>
  </si>
  <si>
    <t>Єланець</t>
  </si>
  <si>
    <t>вул. Паркова, 25</t>
  </si>
  <si>
    <t>(05159)9-13-39</t>
  </si>
  <si>
    <t>http://yel-gimnaziya.mk.ua</t>
  </si>
  <si>
    <t>Єланецька загальноосвіня школа І - ІІІ ступенів Єланецької районної ради Миколаївської області</t>
  </si>
  <si>
    <t>просп. Незалежності, 5</t>
  </si>
  <si>
    <t>(05159)9-11-64</t>
  </si>
  <si>
    <t>Братолюбівська загальноосвітня школа І-ІІ ступенів Єланецької районної ради Миколаївської області</t>
  </si>
  <si>
    <t>55508</t>
  </si>
  <si>
    <t>4823055101</t>
  </si>
  <si>
    <t>вул. Садова, 60</t>
  </si>
  <si>
    <t>0515992050</t>
  </si>
  <si>
    <t>http://bratoliubivka-school.edukit.mk.ua/</t>
  </si>
  <si>
    <t>Великосербулівська загальноосвітня школа І-ІІІ ступенів Єланецької районної ради Миколаївської області</t>
  </si>
  <si>
    <t>55530</t>
  </si>
  <si>
    <t>4823080401</t>
  </si>
  <si>
    <t>Великосербулівка</t>
  </si>
  <si>
    <t>0938099088, 0973370066</t>
  </si>
  <si>
    <t>Нововолодимирівська загальноосвітня школа І-ІІ ступенів Єланецької районної ради Миколаївської області</t>
  </si>
  <si>
    <t>55533</t>
  </si>
  <si>
    <t>4823080404</t>
  </si>
  <si>
    <t>(5159)9-62-76</t>
  </si>
  <si>
    <t>Водяно-Лоринська загальноосвітня школа І-ІІ ступенів Єланецької районної радиї Миколаївської області</t>
  </si>
  <si>
    <t>55560</t>
  </si>
  <si>
    <t>4823080701</t>
  </si>
  <si>
    <t>Водяно-Лорине</t>
  </si>
  <si>
    <t>(051-59)9-38-54</t>
  </si>
  <si>
    <t>http://vodiano-loryne.edukit.mk.</t>
  </si>
  <si>
    <t>Возсіятська загальноосвітня школа І - ІІІ ступенів Єланецької районної ради Миколаївської області</t>
  </si>
  <si>
    <t>55542</t>
  </si>
  <si>
    <t>4823081001</t>
  </si>
  <si>
    <t>Возсіятське</t>
  </si>
  <si>
    <t>0515994154</t>
  </si>
  <si>
    <t>http://vozsiyatske-school.edukit.mk.ua.</t>
  </si>
  <si>
    <t>Калинівська загальноосвітня школа І-ІІІступенів Єланецької районної ради Миколаївської області</t>
  </si>
  <si>
    <t>55553</t>
  </si>
  <si>
    <t>4823081701</t>
  </si>
  <si>
    <t>вул. Спеціалістів, 1</t>
  </si>
  <si>
    <t>(05159)9-71-21</t>
  </si>
  <si>
    <t>http://kalinovka55553.ucoz.ua</t>
  </si>
  <si>
    <t>Новоолександрівська ЗОШ І-ІІІ ступенів Єланецької районної ради Миколаївської обл</t>
  </si>
  <si>
    <t>55555</t>
  </si>
  <si>
    <t>4823081703</t>
  </si>
  <si>
    <t>(05159)9-93-27</t>
  </si>
  <si>
    <t>http://novooleks-elan.edukit.mk.ua</t>
  </si>
  <si>
    <t>Куйбишевська загальноосвітня школа І-ІІІ ступенів. Єланецької районної ради. Миколаївської області.</t>
  </si>
  <si>
    <t>55534</t>
  </si>
  <si>
    <t>4823082201</t>
  </si>
  <si>
    <t>Велика Солона</t>
  </si>
  <si>
    <t>вул. ЦЕНТРАЛЬНА, 4</t>
  </si>
  <si>
    <t>(05159)96483</t>
  </si>
  <si>
    <t>Малодворянська загальноосвітня школа І-ІІ ступенів Єланецької районної ради Миколаївської області</t>
  </si>
  <si>
    <t>55523</t>
  </si>
  <si>
    <t>4823082301</t>
  </si>
  <si>
    <t>Малодворянка</t>
  </si>
  <si>
    <t>вул. Дворянська, 72</t>
  </si>
  <si>
    <t>(05159)9-34-03</t>
  </si>
  <si>
    <t>Маложенівська загальноосвітня школа І - ІІІ ступенів Єланецької районної ради Миколаївської області</t>
  </si>
  <si>
    <t>55550</t>
  </si>
  <si>
    <t>4823082401</t>
  </si>
  <si>
    <t>Маложенівка</t>
  </si>
  <si>
    <t>вул. Розкидного, 3</t>
  </si>
  <si>
    <t>(05159)95157</t>
  </si>
  <si>
    <t>Малоукраїнська загальноосвітня школа І-ІІІ ступенів Єланецької районної ради Миколаївської області</t>
  </si>
  <si>
    <t>55540</t>
  </si>
  <si>
    <t>4823082601</t>
  </si>
  <si>
    <t>Малоукраїнка</t>
  </si>
  <si>
    <t>(05159)9-37-20</t>
  </si>
  <si>
    <t>http://maloukrainka-school.edukit.mk.ua.</t>
  </si>
  <si>
    <t>Нововасилівська загальноосвітня школа І-ІІІ ступенів Єланецької районної ради Миколаївської області</t>
  </si>
  <si>
    <t>55520</t>
  </si>
  <si>
    <t>4823083001</t>
  </si>
  <si>
    <t>(05159)93237</t>
  </si>
  <si>
    <t>Ольгопольська загальноосвітня школа І - ІІІ ступенів Єланецької районної ради Миколаївської області</t>
  </si>
  <si>
    <t>55525</t>
  </si>
  <si>
    <t>4823083501</t>
  </si>
  <si>
    <t>(05159)9-52-14</t>
  </si>
  <si>
    <t>Ясногородська загальноосвітня школа І-ІІІ ступенів Єланецької районної ради Миколаївської області</t>
  </si>
  <si>
    <t>55510</t>
  </si>
  <si>
    <t>4823084201</t>
  </si>
  <si>
    <t>(05159)93121</t>
  </si>
  <si>
    <t>Воскресенська загальноосвітня школа І-ІІІ ступенів Воскресенської селищної ради Вітовського району Миколаївської області</t>
  </si>
  <si>
    <t>57210</t>
  </si>
  <si>
    <t>4823355300</t>
  </si>
  <si>
    <t>Воскресенське</t>
  </si>
  <si>
    <t>вул. Горького, 66</t>
  </si>
  <si>
    <t>0512681142</t>
  </si>
  <si>
    <t>http://taniaret1.fo.ru/</t>
  </si>
  <si>
    <t>Первомайська загальноосвітня школа І-ІІІ ступенів Вітовської районної ради Миколаївської області</t>
  </si>
  <si>
    <t>57232</t>
  </si>
  <si>
    <t>4823355700</t>
  </si>
  <si>
    <t>вул. Ювілейна, 13</t>
  </si>
  <si>
    <t>(0512)68-31-79</t>
  </si>
  <si>
    <t>Засільська філія Первомайської загальноосвітньої школи І-ІІІ ступенів Вітовської районної ради Миколаївської області</t>
  </si>
  <si>
    <t>4823355701</t>
  </si>
  <si>
    <t>Засілля</t>
  </si>
  <si>
    <t>68-61-85, 7007007</t>
  </si>
  <si>
    <t>Квітневий навчально-виховний комплекс "загальноосвітня школа І-ІІ ступенів-дошкільний навчальний заклад" Вітовської районної ради Миколаївської області</t>
  </si>
  <si>
    <t>57202</t>
  </si>
  <si>
    <t>4823355702</t>
  </si>
  <si>
    <t>0991590154</t>
  </si>
  <si>
    <t>Новоселівська філія Первомайської загальноосвітньої школи І-ІІІ ступенів Вітовської районної ради Миколаївської області</t>
  </si>
  <si>
    <t>57237</t>
  </si>
  <si>
    <t>4823355703</t>
  </si>
  <si>
    <t>вул. Пушкінська, 14</t>
  </si>
  <si>
    <t>683-128</t>
  </si>
  <si>
    <t>Білозірська загальноосвітня школа І-ІІІ ступенів Вітовської районной ради Миколаївської області</t>
  </si>
  <si>
    <t>57230</t>
  </si>
  <si>
    <t>4823380401</t>
  </si>
  <si>
    <t>Білозірка</t>
  </si>
  <si>
    <t>вул. Соборна, 61</t>
  </si>
  <si>
    <t>684747</t>
  </si>
  <si>
    <t>http://barmashovo-zosh.mk.sch.in.ua</t>
  </si>
  <si>
    <t>Галицинівська загальноосвітня школа І-ІІІ ступенів Галицинівської сільської ради Вітовського району Миколаївської області</t>
  </si>
  <si>
    <t>57286</t>
  </si>
  <si>
    <t>4823380601</t>
  </si>
  <si>
    <t>Галицинове</t>
  </si>
  <si>
    <t>вул. -Миру, 23</t>
  </si>
  <si>
    <t>685766</t>
  </si>
  <si>
    <t>http://galicinovo.ucoz.ru</t>
  </si>
  <si>
    <t>Грейгівська загальноосвітня школа І-ІІІ ступенів Вітовської районної ради Миколаївської області</t>
  </si>
  <si>
    <t>57223</t>
  </si>
  <si>
    <t>4823380701</t>
  </si>
  <si>
    <t>Грейгове</t>
  </si>
  <si>
    <t>вул. 14 Гвардійської дивізії, 3</t>
  </si>
  <si>
    <t>(0512)682169</t>
  </si>
  <si>
    <t>http://sites.google.com/site/greygovskaschool/</t>
  </si>
  <si>
    <t>Степівська загальноосвітня школа І-ІІ ступенів Вітовської районної ради Миколаївської області</t>
  </si>
  <si>
    <t>4823380702</t>
  </si>
  <si>
    <t>вул. Космонавтів, 23</t>
  </si>
  <si>
    <t>(512)692-144</t>
  </si>
  <si>
    <t>Червонянська загальноосвітня школа І-ІІ ступенів Вітовської районної ради Миколаївської області</t>
  </si>
  <si>
    <t>57226</t>
  </si>
  <si>
    <t>4823380704</t>
  </si>
  <si>
    <t>0663482876</t>
  </si>
  <si>
    <t>http://chervone.trapezenko</t>
  </si>
  <si>
    <t>Зеленогайська загальноосвітня школа І-ІІІ ступенів Шевченківської сільської ради Вітовського району Миколаївської області</t>
  </si>
  <si>
    <t>4823381001</t>
  </si>
  <si>
    <t>(0512)680421</t>
  </si>
  <si>
    <t>http://zgay-zosh.mk.sch.in.ua</t>
  </si>
  <si>
    <t>Калинівська загальноосвітня школа І-ІІІ ступенів Воскресенської селищної ради Вітовського району Миколаївської області</t>
  </si>
  <si>
    <t>57212</t>
  </si>
  <si>
    <t>4823381301</t>
  </si>
  <si>
    <t>(0512)688453</t>
  </si>
  <si>
    <t>http://kalunivka2010.wixsite.com/kalunivskazosh</t>
  </si>
  <si>
    <t>Каравелівська загальноосвітня школа І-ІІ ступенів Вітовської районної ради</t>
  </si>
  <si>
    <t>57242</t>
  </si>
  <si>
    <t>4823381701</t>
  </si>
  <si>
    <t>Каравелове</t>
  </si>
  <si>
    <t>вул. Парникова, 6</t>
  </si>
  <si>
    <t>0993307782</t>
  </si>
  <si>
    <t>Капустинський навчально-виховний комплекс"загальноосвітня школа І ступеня - дошкільний навчальний заклад"Коларівської сільської ради Вітовського району Миколаївської області</t>
  </si>
  <si>
    <t>57243</t>
  </si>
  <si>
    <t>4823381704</t>
  </si>
  <si>
    <t>Капустине</t>
  </si>
  <si>
    <t>вул. Радгоспна, 10</t>
  </si>
  <si>
    <t>Котляревська загальноосвітня школа І-ІІІ ступенів відділу освіти молоді та спорту Шевченківської сільської ради Вітовського району Миколаївської області</t>
  </si>
  <si>
    <t>57260</t>
  </si>
  <si>
    <t>4823382001</t>
  </si>
  <si>
    <t>Котляреве</t>
  </si>
  <si>
    <t>вул. Комарова, 21</t>
  </si>
  <si>
    <t>683692</t>
  </si>
  <si>
    <t>http://kotliareve-school.edukit.mk.ua</t>
  </si>
  <si>
    <t>Лиманівська загальноосвітня школа І-ІІІ ступенів Галицинівської сільської ради Вітовського району Миколаївської області</t>
  </si>
  <si>
    <t>57284</t>
  </si>
  <si>
    <t>4823382601</t>
  </si>
  <si>
    <t>вул. Центральна, 149</t>
  </si>
  <si>
    <t>(0512)685549</t>
  </si>
  <si>
    <t>Лупарівська загальноосвітня школа І-ІІІ ступенів Галицинівської сільської ради Вітовського району Миколаївської області</t>
  </si>
  <si>
    <t>54124</t>
  </si>
  <si>
    <t>4823382603</t>
  </si>
  <si>
    <t>Лупареве</t>
  </si>
  <si>
    <t>(0512)68-62-49</t>
  </si>
  <si>
    <t>Мішково-Погорілівська загальноосвітня санаторна школа-інтернат I-III ступенів</t>
  </si>
  <si>
    <t>57214</t>
  </si>
  <si>
    <t>4823383001</t>
  </si>
  <si>
    <t>Мішково-Погорілове</t>
  </si>
  <si>
    <t>вул. Маяковського, 129</t>
  </si>
  <si>
    <t>(0512)609993</t>
  </si>
  <si>
    <t>04590079</t>
  </si>
  <si>
    <t>Мішково-Погорілівська загальноосвітня школа І-ІІ ступенів Вітовської районної ради Миколаївської області</t>
  </si>
  <si>
    <t>вул. Інгульська, 78</t>
  </si>
  <si>
    <t>(0512)686-429</t>
  </si>
  <si>
    <t>http://meshkovka-school.mk.ua</t>
  </si>
  <si>
    <t>Мішково-Погорілівська загальноосвітня школа І-ІІІ ступенів Вітовської районної ради Миколаївської області</t>
  </si>
  <si>
    <t>вул. Валі Котика, 26</t>
  </si>
  <si>
    <t>0506313076</t>
  </si>
  <si>
    <t>http://mpogorilivska.wix.com/mpogorilivska</t>
  </si>
  <si>
    <t>Мирнівський навчально-виховний комплекс "загальноосвітня школа І-ІІ ступенів - дошкільний навчальний заклад" Шевченківської сільської ради Вітовської району Миколаївської області</t>
  </si>
  <si>
    <t>57273</t>
  </si>
  <si>
    <t>4823383101</t>
  </si>
  <si>
    <t>вул. Зелена, 30</t>
  </si>
  <si>
    <t>680834</t>
  </si>
  <si>
    <t>Миколаївська ЗОШ І-ІІІ ступенів Вітовської районної ради Миколаївської області</t>
  </si>
  <si>
    <t>54401</t>
  </si>
  <si>
    <t>4823383201</t>
  </si>
  <si>
    <t>Миколаївське</t>
  </si>
  <si>
    <t>(0512)68-06-21</t>
  </si>
  <si>
    <t>http://mikolaivska.at.ua</t>
  </si>
  <si>
    <t>Михайло-Ларинська загальноосвітня школа І-ІІІ ступенів Вітовської районної ради Миколаївської області</t>
  </si>
  <si>
    <t>4823383301</t>
  </si>
  <si>
    <t>Михайло-Ларине</t>
  </si>
  <si>
    <t>682-504</t>
  </si>
  <si>
    <t>Новомиколаївська загальноосвітня школа І-ІІІ ступенів Вітовської районної ради Миколаївської області</t>
  </si>
  <si>
    <t>57250</t>
  </si>
  <si>
    <t>4823383401</t>
  </si>
  <si>
    <t>683843</t>
  </si>
  <si>
    <t>http://novoschool1984.ucoz.ru</t>
  </si>
  <si>
    <t>Костянтинівський навчально-виховний комплекс "загальноосвітня школа І-ІІ ступенів - дошкільний навчальний заклад" Вітовської Районної Ради Миколаївської області</t>
  </si>
  <si>
    <t>4823383407</t>
  </si>
  <si>
    <t>(0512)68-48-52</t>
  </si>
  <si>
    <t>Партизанський навчально-виховний комплекс "загальноосвітня школа І-ІІ ступенів-дошкільний навчальний заклад" Вітовської районної ради Миколаївської області</t>
  </si>
  <si>
    <t>57240</t>
  </si>
  <si>
    <t>4823383701</t>
  </si>
  <si>
    <t>(0512)680119</t>
  </si>
  <si>
    <t>Благодатненська філія Первомайської загальноосвітньої школи І-ІІІ ступенів Вітовської районної ради Миколаївської області</t>
  </si>
  <si>
    <t>4823383702</t>
  </si>
  <si>
    <t>(0512)680108</t>
  </si>
  <si>
    <t>Пересадівська загальноосвітня школа І-ІІІ ступенів Воскресенської селищної ради Вітовського району Миколаївської області</t>
  </si>
  <si>
    <t>57220</t>
  </si>
  <si>
    <t>4823383901</t>
  </si>
  <si>
    <t>Пересадівка</t>
  </si>
  <si>
    <t>вул. Шевченка, 160</t>
  </si>
  <si>
    <t>(0512)682704</t>
  </si>
  <si>
    <t>Полігонівська загальноосвітня школа I-III ступенів Шевченківської сільської ради Вітовського району Миколаївської області</t>
  </si>
  <si>
    <t>57217</t>
  </si>
  <si>
    <t>4823384101</t>
  </si>
  <si>
    <t>Полігон</t>
  </si>
  <si>
    <t>вул. Тимірязєва, 1</t>
  </si>
  <si>
    <t>(0512)687242</t>
  </si>
  <si>
    <t>http://poligonschool.org.ua</t>
  </si>
  <si>
    <t>Прибузька загальноосвітня школа І-ІІІ ступенів Галицинівської сільської ради Вітовського району Миколаївської області</t>
  </si>
  <si>
    <t>57280</t>
  </si>
  <si>
    <t>4823384201</t>
  </si>
  <si>
    <t>вул. Шкільна, 39</t>
  </si>
  <si>
    <t>(0512)687722</t>
  </si>
  <si>
    <t>Українківська загальноосвітня школа I-III ступенів Галицинівської сільської ради Вітовського району Миколаївської області</t>
  </si>
  <si>
    <t>57281</t>
  </si>
  <si>
    <t>4823384401</t>
  </si>
  <si>
    <t>685212</t>
  </si>
  <si>
    <t>http://ukrschool.at.ua/</t>
  </si>
  <si>
    <t>Шевченківська загальноосвітня школа І-ІІІ ступенів Шевченківської сільської ради Вітовського району Миколаївської області</t>
  </si>
  <si>
    <t>57263</t>
  </si>
  <si>
    <t>4823384701</t>
  </si>
  <si>
    <t>(0512)684-238</t>
  </si>
  <si>
    <t>http://shevchenkoschool.wix.com/shsch</t>
  </si>
  <si>
    <t>Шевченківська загальноосвітня школа-інтернат І-ІІ ступенів Вітовського району Миколаївської обласної ради</t>
  </si>
  <si>
    <t>68-45-46, 68-42-81</t>
  </si>
  <si>
    <t>04590062</t>
  </si>
  <si>
    <t>Лучівська загальноосвітня школа І - ІІІ ступенів Шевченківської сільської ради Вітовського району Миколаївської області</t>
  </si>
  <si>
    <t>57272</t>
  </si>
  <si>
    <t>4823384703</t>
  </si>
  <si>
    <t>Луч</t>
  </si>
  <si>
    <t>вул. Лучівська, 22</t>
  </si>
  <si>
    <t>(0512)71-56-38</t>
  </si>
  <si>
    <t>Новогригорівська загальноосвітня школа І-ІІ ступенів Шевченківської сільської ради Вітовського району Миколаївської області</t>
  </si>
  <si>
    <t>57271</t>
  </si>
  <si>
    <t>4823384705</t>
  </si>
  <si>
    <t>0512684305</t>
  </si>
  <si>
    <t>Казанківська гуманітарна гімназія Казанківської районної ради Миколаївської області</t>
  </si>
  <si>
    <t>56000</t>
  </si>
  <si>
    <t>4823655100</t>
  </si>
  <si>
    <t>Казанка</t>
  </si>
  <si>
    <t>(05164)91193</t>
  </si>
  <si>
    <t>http://kazanka-gymnasium.edukit.mk.ua/</t>
  </si>
  <si>
    <t>Казанківська загальноосвітня школа І-ІІІ ступенів № 1 Казанківської районної ради Миколаївської області</t>
  </si>
  <si>
    <t>56002</t>
  </si>
  <si>
    <t>вул. Петровського, 192</t>
  </si>
  <si>
    <t>(05164)9-11-52</t>
  </si>
  <si>
    <t>http://kazanka-school1.at.ua</t>
  </si>
  <si>
    <t>Казанківська загальноосвітня школа І-ІІІ ступенів № 2 Казанківської районної ради Миколаївської області</t>
  </si>
  <si>
    <t>вул. Миру, 245</t>
  </si>
  <si>
    <t>0516491542</t>
  </si>
  <si>
    <t>http://kazanka2.at.ua/</t>
  </si>
  <si>
    <t>Казанківська загальноосвітня школа І-ІІІ ступенів № 4 Казанківської районної ради Миколаївської області</t>
  </si>
  <si>
    <t>вул. Петровського, 76</t>
  </si>
  <si>
    <t>0516491518</t>
  </si>
  <si>
    <t>http://kazanka-school4.at.ua/</t>
  </si>
  <si>
    <t>Великоолександрівська ЗОШ І-ІІ ступенів Казанківської районної ради Миколаївської області</t>
  </si>
  <si>
    <t>56040</t>
  </si>
  <si>
    <t>4823680801</t>
  </si>
  <si>
    <t>вул. Гагаріна, 46</t>
  </si>
  <si>
    <t>93675</t>
  </si>
  <si>
    <t>http://velol.at.ua</t>
  </si>
  <si>
    <t>Веселобалківська загальноосвітня школа І-ІІ ст. Казанківської районної ради Миколаївської області</t>
  </si>
  <si>
    <t>56030</t>
  </si>
  <si>
    <t>4823681101</t>
  </si>
  <si>
    <t>Весела Балка</t>
  </si>
  <si>
    <t>94620</t>
  </si>
  <si>
    <t>Володимирівська загальноосвітня школа-інтернатІ-ІІ ступенів Казанківського району Миколаївської обласної</t>
  </si>
  <si>
    <t>56065</t>
  </si>
  <si>
    <t>4823681401</t>
  </si>
  <si>
    <t>380516496138, 380516496130</t>
  </si>
  <si>
    <t>https://sites.google.com/site/volodumurivkaznz/</t>
  </si>
  <si>
    <t>04590040</t>
  </si>
  <si>
    <t>Володимирівська ЗОШ І-ІІІ ст. Казанківської районної ради Миколаївської області</t>
  </si>
  <si>
    <t>вул. Сєднєва, 83</t>
  </si>
  <si>
    <t>(051)64-96-126</t>
  </si>
  <si>
    <t>http://volodymyrivka.ucoz.com</t>
  </si>
  <si>
    <t>Каширівська загальноосвітня школа І-ІІ ступенів, Казанківського району в Миколаївській області</t>
  </si>
  <si>
    <t>56010</t>
  </si>
  <si>
    <t>4823682201</t>
  </si>
  <si>
    <t>Каширівка</t>
  </si>
  <si>
    <t>95132</t>
  </si>
  <si>
    <t>Михайлівська загальноосвітня школа І - ІІІ ступенів Казанківської районної ради Миколаївської області</t>
  </si>
  <si>
    <t>56035</t>
  </si>
  <si>
    <t>4823683201</t>
  </si>
  <si>
    <t>(05164)94451</t>
  </si>
  <si>
    <t>https://sites.google.com/site/mihajlivskazagosvitskola/</t>
  </si>
  <si>
    <t>Новоданилівська загальноосвітня школа І- ІІІ ступенів Казанківської районної ради Миколаївської області</t>
  </si>
  <si>
    <t>56022</t>
  </si>
  <si>
    <t>4823683501</t>
  </si>
  <si>
    <t>(05164)9-85-13</t>
  </si>
  <si>
    <t>Миколаївська загальноосвітня школа І-ІІступенів Казанківської районноїради Миколаївької області</t>
  </si>
  <si>
    <t>56009</t>
  </si>
  <si>
    <t>4823683901</t>
  </si>
  <si>
    <t>вул. Андрія Горбаня, 242</t>
  </si>
  <si>
    <t>9-41-50</t>
  </si>
  <si>
    <t>http://mykolaivka-kaz-school.edukit.mk.ua</t>
  </si>
  <si>
    <t>Миколо - Гулаківська загальноосвітня школа І - ІІІ ступеня Казанківської районної ради Миколаївської області</t>
  </si>
  <si>
    <t>56023</t>
  </si>
  <si>
    <t>4823684201</t>
  </si>
  <si>
    <t>Миколо-Гулак</t>
  </si>
  <si>
    <t>9051644390</t>
  </si>
  <si>
    <t>http://mgulak-school.edukit.mk.ua</t>
  </si>
  <si>
    <t>Новолазарівська ЗОШ І-ІІІ ступенів Казанківської районної ради Миколаївської області</t>
  </si>
  <si>
    <t>55603</t>
  </si>
  <si>
    <t>4823684501</t>
  </si>
  <si>
    <t>Новолазарівка</t>
  </si>
  <si>
    <t>(05164)93241</t>
  </si>
  <si>
    <t>https://sites.google.com/site/novolazarivskazosiiiistupeniv/</t>
  </si>
  <si>
    <t>Новофедорівська загальноосвітня школа І - ІІ ступенів Казанківської районної ради Миколаївської області</t>
  </si>
  <si>
    <t>56032</t>
  </si>
  <si>
    <t>4823684801</t>
  </si>
  <si>
    <t>9-45-22</t>
  </si>
  <si>
    <t>Троїцько-Сафонівська загальноосвітня школа І-ІІІ ступенів Казанківської районної ради Миколаївської області</t>
  </si>
  <si>
    <t>56050</t>
  </si>
  <si>
    <t>4823685701</t>
  </si>
  <si>
    <t>Троїцько-Сафонове</t>
  </si>
  <si>
    <t>0516493145</t>
  </si>
  <si>
    <t>http://www.safonovoschoolsite.jimdo.com</t>
  </si>
  <si>
    <t>Кривоозерська загальноосвітня школа І ступеня Кривоозерської районної ради Миколаївської області</t>
  </si>
  <si>
    <t>55104</t>
  </si>
  <si>
    <t>4823955100</t>
  </si>
  <si>
    <t>Криве Озеро</t>
  </si>
  <si>
    <t>вул. Тельмана, 44</t>
  </si>
  <si>
    <t>0513324234</t>
  </si>
  <si>
    <t>Кривоозерська загальноосвітня школа І-ІІІ ступенів № 1 Кривоозерської районної ради Миколаївської області</t>
  </si>
  <si>
    <t>вул. Центральна, 153А</t>
  </si>
  <si>
    <t>(05133)22050</t>
  </si>
  <si>
    <t>http://kryveozero-school1.edukit.mk.ua</t>
  </si>
  <si>
    <t>Березківська загальноосвітня школа I-II ступенів Кривоозерської районної ради Миколаївської області</t>
  </si>
  <si>
    <t>55114</t>
  </si>
  <si>
    <t>4823980201</t>
  </si>
  <si>
    <t>Берізки</t>
  </si>
  <si>
    <t>вул. 45 років Перемоги, 1</t>
  </si>
  <si>
    <t>(05133)94523</t>
  </si>
  <si>
    <t>http://berizky-zosh.edukit.mk.ua</t>
  </si>
  <si>
    <t>Комунальний заклад "Берізківський навчально-виховний - комплекс "Загальноосвітня школа-інтернат-ліцей I-III ступенів" Миколаївської обласної ради</t>
  </si>
  <si>
    <t>вул. Ковальського, 10</t>
  </si>
  <si>
    <t>(05133)24614</t>
  </si>
  <si>
    <t>26108433</t>
  </si>
  <si>
    <t>Багачівська загальноосвітня школа І-ІІІ ступенів Кривоозерської районної ради Миколаївської області</t>
  </si>
  <si>
    <t>55206</t>
  </si>
  <si>
    <t>4823980401</t>
  </si>
  <si>
    <t>Багачівка</t>
  </si>
  <si>
    <t>(05133)98342</t>
  </si>
  <si>
    <t>Бурилівська загальноосвітнія школа І-ІІІ ступенів Кривоозерської районної ради Миколаївської області</t>
  </si>
  <si>
    <t>55150</t>
  </si>
  <si>
    <t>4823980701</t>
  </si>
  <si>
    <t>Бурилове</t>
  </si>
  <si>
    <t>вул. Молодіжна, 83</t>
  </si>
  <si>
    <t>0513394221</t>
  </si>
  <si>
    <t>Великомечетнянська загальноосвітня школа І-ІІІ ступенів Кривоозерської районної ради Миколаївської обл</t>
  </si>
  <si>
    <t>55130</t>
  </si>
  <si>
    <t>4823981001</t>
  </si>
  <si>
    <t>Велика Мечетня</t>
  </si>
  <si>
    <t>вул. Голімбієвського, 70</t>
  </si>
  <si>
    <t>93445</t>
  </si>
  <si>
    <t>http://vel-mechetnia.edukit.mk.ua/</t>
  </si>
  <si>
    <t>Красненьківська загальноосвітня школа І-ІІІ ступенів Кривоозерської районної ради Миколаївської області</t>
  </si>
  <si>
    <t>55121</t>
  </si>
  <si>
    <t>4823981501</t>
  </si>
  <si>
    <t>вул. Центральна, 10,В</t>
  </si>
  <si>
    <t>0513394659</t>
  </si>
  <si>
    <t>Кривоозерська загальноосвітня школа І-ІІ ступенів № 1</t>
  </si>
  <si>
    <t>55101</t>
  </si>
  <si>
    <t>4823981601</t>
  </si>
  <si>
    <t>Криве Озеро Друге</t>
  </si>
  <si>
    <t>0513320030</t>
  </si>
  <si>
    <t>http://www.kryveozero2-school1</t>
  </si>
  <si>
    <t>Кривоозерська загальноосвітня школа І-ІІ ступенів № 2 Кривоозерської районної ради Миколаївської області</t>
  </si>
  <si>
    <t>55103</t>
  </si>
  <si>
    <t>вул. Горького, 365</t>
  </si>
  <si>
    <t>0971317582, 0513320746</t>
  </si>
  <si>
    <t>Кривоозерська загальноосвітня школа І-ІІІст. № 2 Кривоозерської районної ради Миколаївської області</t>
  </si>
  <si>
    <t>вул. Горького, 252</t>
  </si>
  <si>
    <t>(05133)20641</t>
  </si>
  <si>
    <t>http://kryveozero-school2.edukit.mk.ua/</t>
  </si>
  <si>
    <t>Курячелозівська загальноосвітня школа І - ІІІ ступенів Кривоозерської районної ради, Миколаївської області</t>
  </si>
  <si>
    <t>55120</t>
  </si>
  <si>
    <t>4823981701</t>
  </si>
  <si>
    <t>Курячі Лози</t>
  </si>
  <si>
    <t>вул. Центральна, 60 а</t>
  </si>
  <si>
    <t>(05133)96323</t>
  </si>
  <si>
    <t>Гойдаївський навчально-виховний комплекс Кривоозерської районної ради Миколаївської області</t>
  </si>
  <si>
    <t>55151</t>
  </si>
  <si>
    <t>4823982001</t>
  </si>
  <si>
    <t>Гойдаї</t>
  </si>
  <si>
    <t>вул. К.Петровського, 1</t>
  </si>
  <si>
    <t>0513394430</t>
  </si>
  <si>
    <t>Луканівський навчально-виховний комплекс "Загальноосвітня школа І-ІІІ ступенів-дитячий садок" Кривоозерської районної ради Миколаївської області</t>
  </si>
  <si>
    <t>55113</t>
  </si>
  <si>
    <t>4823982201</t>
  </si>
  <si>
    <t>Луканівка</t>
  </si>
  <si>
    <t>вул. Степова, 94</t>
  </si>
  <si>
    <t>(05133)93630</t>
  </si>
  <si>
    <t>https://sites.google.com/site/lukzosh/cover-page</t>
  </si>
  <si>
    <t>Мазурівський навчально-виховний комплекс "Загальноосвітня школа І-ІІ ступенів - дитячий садок" Кривоозерської районної ради Миколаївської області</t>
  </si>
  <si>
    <t>55110</t>
  </si>
  <si>
    <t>4823982601</t>
  </si>
  <si>
    <t>Мазурове</t>
  </si>
  <si>
    <t>вул. Польова, 27</t>
  </si>
  <si>
    <t>(05133)96199</t>
  </si>
  <si>
    <t>http://mazurivskazosh.klasna.com</t>
  </si>
  <si>
    <t>Маломечетнянська загальноосвітня школа I-II ступенів Кривоозерської районної ради Миколаївської області</t>
  </si>
  <si>
    <t>55122</t>
  </si>
  <si>
    <t>4823982901</t>
  </si>
  <si>
    <t>Мала Мечетня</t>
  </si>
  <si>
    <t>0573394109</t>
  </si>
  <si>
    <t>http://mala-mechetnia.edukit.mk.ua.</t>
  </si>
  <si>
    <t>Голосківська загальноосвітня школа І-ІІІ ступенів Кривоозерської районної ради Миколаївської області</t>
  </si>
  <si>
    <t>55123</t>
  </si>
  <si>
    <t>4823983101</t>
  </si>
  <si>
    <t>Ониськове</t>
  </si>
  <si>
    <t>0513394136</t>
  </si>
  <si>
    <t>Очеретнянський навчально-виховний комплекс</t>
  </si>
  <si>
    <t>55111</t>
  </si>
  <si>
    <t>4823983301</t>
  </si>
  <si>
    <t>0513393730</t>
  </si>
  <si>
    <t>Секретарська загальноосвітня школа I-III ступенів Кривоозерської районної ради Миколаївської області</t>
  </si>
  <si>
    <t>55142</t>
  </si>
  <si>
    <t>4823983801</t>
  </si>
  <si>
    <t>Секретарка</t>
  </si>
  <si>
    <t>(05133)94534</t>
  </si>
  <si>
    <t>Тридубська загальноосвітня школа І-ІІІ ступенів Кривоозерської районної ради Миколаївської області</t>
  </si>
  <si>
    <t>55140</t>
  </si>
  <si>
    <t>4823984201</t>
  </si>
  <si>
    <t>Тридуби</t>
  </si>
  <si>
    <t>вул. 1 Травня, 47</t>
  </si>
  <si>
    <t>(26108344)8-051-33-95-1-16</t>
  </si>
  <si>
    <t>http://tryduby-school.edukit.mk.ua.</t>
  </si>
  <si>
    <t>Ольшанська вечірня загальноосвітня школа ІІ-ІІІ ступенів Ольшанської селищної ради Миколаївського району Миколаївської області</t>
  </si>
  <si>
    <t>57113</t>
  </si>
  <si>
    <t>4824255600</t>
  </si>
  <si>
    <t>Ольшанське</t>
  </si>
  <si>
    <t>вул. Промислова, 1</t>
  </si>
  <si>
    <t>(063)7815138</t>
  </si>
  <si>
    <t>Ольшанська загальноосвітня школа І-ІІІ ступенів Ольшанської селищної ради Миколаївського району Миколаївської області</t>
  </si>
  <si>
    <t>вул. Костянтина Ольшанського, 8А</t>
  </si>
  <si>
    <t>516789</t>
  </si>
  <si>
    <t>http://olshan1.ho.ua</t>
  </si>
  <si>
    <t>Шуринська загальноосвітня школа І-ІІІ ступенів Миколаївської районної ради Миколаївської області</t>
  </si>
  <si>
    <t>57171</t>
  </si>
  <si>
    <t>4824280209</t>
  </si>
  <si>
    <t>Шурине</t>
  </si>
  <si>
    <t>Веснянська загальноосвітня школа І-ІІІступенів Веснянської сільської ради</t>
  </si>
  <si>
    <t>57134</t>
  </si>
  <si>
    <t>4824280401</t>
  </si>
  <si>
    <t>Весняне</t>
  </si>
  <si>
    <t>вул. Степова, 28А</t>
  </si>
  <si>
    <t>51-46-72</t>
  </si>
  <si>
    <t>Кіровська загальноосвітня школа І-ІІІ ступенів Миколаївської районної ради Миколаївської області</t>
  </si>
  <si>
    <t>57164</t>
  </si>
  <si>
    <t>4824280701</t>
  </si>
  <si>
    <t>489191</t>
  </si>
  <si>
    <t>http://kirove.edukit.mk.ua</t>
  </si>
  <si>
    <t>Кир'яківська загальноосвітня школа І-ІІІ ступенів Миколаївської районної ради Миколаївської області</t>
  </si>
  <si>
    <t>54107</t>
  </si>
  <si>
    <t>4824280901</t>
  </si>
  <si>
    <t>Кир'яківка</t>
  </si>
  <si>
    <t>0512515724</t>
  </si>
  <si>
    <t>http://kyriakivka-school.edukit.mk.ua/</t>
  </si>
  <si>
    <t>Петровосолониська загальноосвітня школа І-ІІ ступенів Миколаївської районної ради Миколаївської області</t>
  </si>
  <si>
    <t>4824280904</t>
  </si>
  <si>
    <t>Петрово-Солониха</t>
  </si>
  <si>
    <t>вул. Шкільна, 15А</t>
  </si>
  <si>
    <t>(095)3242437</t>
  </si>
  <si>
    <t>Ковалівська загальноосвітня школа І-ІІІ ступенів Миколаївської районної ради Миколаївської області</t>
  </si>
  <si>
    <t>57102</t>
  </si>
  <si>
    <t>4824281201</t>
  </si>
  <si>
    <t>вул. Першотравнева, 41</t>
  </si>
  <si>
    <t>(0512)519673</t>
  </si>
  <si>
    <t>http://kovalivka-myk-zosh.educit.mk.ua</t>
  </si>
  <si>
    <t>Благодарівська загальноосвітня школа І-ІІІ ступенів Нечаянської сільської ради</t>
  </si>
  <si>
    <t>4824281501</t>
  </si>
  <si>
    <t>Благодарівка</t>
  </si>
  <si>
    <t>вул. Молодіжна, 40,а</t>
  </si>
  <si>
    <t>(0512)515240</t>
  </si>
  <si>
    <t>http://komzosh.at.ua</t>
  </si>
  <si>
    <t>Кривобалківська загальноосвітня школа І-ІІІ ступенів Миколаївської районої ради Миколаївської області</t>
  </si>
  <si>
    <t>54122</t>
  </si>
  <si>
    <t>4824282001</t>
  </si>
  <si>
    <t>Крива Балка</t>
  </si>
  <si>
    <t>514511</t>
  </si>
  <si>
    <t>http://kbalka-zosh.mk.sch.in.ua</t>
  </si>
  <si>
    <t>Криничанська загальноосвітня школа І-ІІІ ступенів</t>
  </si>
  <si>
    <t>57121</t>
  </si>
  <si>
    <t>4824282301</t>
  </si>
  <si>
    <t>вул. Поштова, 2</t>
  </si>
  <si>
    <t>51-93-87</t>
  </si>
  <si>
    <t>Надбузька загальноосвітня середня школа І-ІІ ступенів Веснянської сільської ради Миколаївського району Миколаївської області</t>
  </si>
  <si>
    <t>57130</t>
  </si>
  <si>
    <t>4824282501</t>
  </si>
  <si>
    <t>Надбузьке</t>
  </si>
  <si>
    <t>вул. П.Глазового, 1</t>
  </si>
  <si>
    <t>0968025047</t>
  </si>
  <si>
    <t>Нечаянська загальноосвітня школа І-ІІІ ступенів Нечаянської сільської ради</t>
  </si>
  <si>
    <t>57140</t>
  </si>
  <si>
    <t>4824282701</t>
  </si>
  <si>
    <t>Нечаяне</t>
  </si>
  <si>
    <t>(0512)510166</t>
  </si>
  <si>
    <t>http://nechzosh.jimdo.com</t>
  </si>
  <si>
    <t>Іванівська загальноосвітня школа І-ІІІ ступенів Нечаянської сілької ради Миколаївський район Миколаївська область</t>
  </si>
  <si>
    <t>57145</t>
  </si>
  <si>
    <t>4824282702</t>
  </si>
  <si>
    <t>вул. Шкільна, 27А</t>
  </si>
  <si>
    <t>(0512)0664947095</t>
  </si>
  <si>
    <t>Петрівська загальноосвітня школа І - ІІ ступенів Миколаївської районної ради Миколаївської області</t>
  </si>
  <si>
    <t>57135</t>
  </si>
  <si>
    <t>4824283201</t>
  </si>
  <si>
    <t>вул. В. Бондаренка, 6</t>
  </si>
  <si>
    <t>(0512)-51-42-21</t>
  </si>
  <si>
    <t>Зеленоярська загальноосвітня школа І-ІІІ ступенів Миколаївської районної ради Миколаївської області</t>
  </si>
  <si>
    <t>4824283202</t>
  </si>
  <si>
    <t>514139</t>
  </si>
  <si>
    <t>Радсадівська загальноосвітня школа І-ІІІ ступенів Миколаївської районної ради Миколаївської області</t>
  </si>
  <si>
    <t>57160</t>
  </si>
  <si>
    <t>4824283801</t>
  </si>
  <si>
    <t>Радісний Сад</t>
  </si>
  <si>
    <t>вул. Шкільна, 41 б</t>
  </si>
  <si>
    <t>(0512)518303</t>
  </si>
  <si>
    <t>http://pedrada.ucoz.ua</t>
  </si>
  <si>
    <t>Новобогданівська загальноосвітня школа І-ІІІ ступенів Миколаївської районної ради Миколаївської області</t>
  </si>
  <si>
    <t>57162</t>
  </si>
  <si>
    <t>4824283802</t>
  </si>
  <si>
    <t>76-54-24</t>
  </si>
  <si>
    <t>Степівська загальноосвітня школа І - ІІІ ступенів Миколаївської районної ради Миколаївської області</t>
  </si>
  <si>
    <t>57107</t>
  </si>
  <si>
    <t>4824284001</t>
  </si>
  <si>
    <t>(0512)51-14-40, (0512)51-13-40</t>
  </si>
  <si>
    <t>Зеленогайська загальноосвітня школа І-ІІ ступенів Миколаївської районної ради Миколаївської області</t>
  </si>
  <si>
    <t>57108</t>
  </si>
  <si>
    <t>4824284002</t>
  </si>
  <si>
    <t>вул. Учительська, 1</t>
  </si>
  <si>
    <t>511249</t>
  </si>
  <si>
    <t>Трихатська загальноосвітня школа І-ІІІ ступенів Ольшанської селищної ради Миколаївського району Миколаївської області</t>
  </si>
  <si>
    <t>57120</t>
  </si>
  <si>
    <t>4824284201</t>
  </si>
  <si>
    <t>Трихати</t>
  </si>
  <si>
    <t>вул. Валентини Степанової, 41</t>
  </si>
  <si>
    <t>(0512)519283</t>
  </si>
  <si>
    <t>http://trihaty-school.at.ua</t>
  </si>
  <si>
    <t>Михайлівська загальноосвітня школа І-ІІІ ступенів Михайлівської сільської ради Миколаївського району Миколаївської області</t>
  </si>
  <si>
    <t>57116</t>
  </si>
  <si>
    <t>4824284601</t>
  </si>
  <si>
    <t>513935</t>
  </si>
  <si>
    <t>http://wwwuliazosh.se-ua.net</t>
  </si>
  <si>
    <t>Червонополянська загальноосвітня школа І ступеня Михайлівської сільської ради Миколаївського району Миколаївської області</t>
  </si>
  <si>
    <t>4824284602</t>
  </si>
  <si>
    <t>вул. Клубна, 10</t>
  </si>
  <si>
    <t>Шостаківська загальноосвітня школа І-ІІІ ступенів Миколаївської районної ради Миколаївської області</t>
  </si>
  <si>
    <t>57110</t>
  </si>
  <si>
    <t>4824285001</t>
  </si>
  <si>
    <t>Шостакове</t>
  </si>
  <si>
    <t>519532</t>
  </si>
  <si>
    <t>Новоандріївська ЗОШ І-ІІ ступенів Миколаївської районної ради Миколаївської області</t>
  </si>
  <si>
    <t>54106</t>
  </si>
  <si>
    <t>4824286050</t>
  </si>
  <si>
    <t>(0512)711992</t>
  </si>
  <si>
    <t>Новобузька гімназія загальноосвітній навчальний заклад ІІ - ІІІ ступенів Новобузкої районної ради Миколаївської області</t>
  </si>
  <si>
    <t>55601</t>
  </si>
  <si>
    <t>4824510100</t>
  </si>
  <si>
    <t>Новий Буг</t>
  </si>
  <si>
    <t>вул. Тополина, 7</t>
  </si>
  <si>
    <t>(05151)9-16-87</t>
  </si>
  <si>
    <t>http://novyibuh-gymnasium.edukit.mk.ua/</t>
  </si>
  <si>
    <t>Новобузька загальноосвітня школа І-ІІ ступенів № 4</t>
  </si>
  <si>
    <t>55600</t>
  </si>
  <si>
    <t>вул. Малиновського, 65</t>
  </si>
  <si>
    <t>(05151)9-13-51</t>
  </si>
  <si>
    <t>http://nbgschool4.at.ua/</t>
  </si>
  <si>
    <t>Новобузька загальноосвітня школа І-ІІ ступенів № 9</t>
  </si>
  <si>
    <t>вул. Польова, 17</t>
  </si>
  <si>
    <t>(05151)9-26-34</t>
  </si>
  <si>
    <t>Новобузька загальноосвітня школа І-ІІІ ступенів № 1 Новобузької районної ради Миколаївської області</t>
  </si>
  <si>
    <t>вул. Гребеннікова, 27</t>
  </si>
  <si>
    <t>0515191089, 0515191447</t>
  </si>
  <si>
    <t>http://novibyg1.ucoz.ru/</t>
  </si>
  <si>
    <t>23405188</t>
  </si>
  <si>
    <t>Новобузька загальноосвітня школа І-ІІІ ступенів № 10 Новобузької районної ради Миколаївської області</t>
  </si>
  <si>
    <t>55602</t>
  </si>
  <si>
    <t>вул. ІІ П`ятирічка, 1</t>
  </si>
  <si>
    <t>0515191207</t>
  </si>
  <si>
    <t>http://novibyg10.at.ua</t>
  </si>
  <si>
    <t>23405194</t>
  </si>
  <si>
    <t>Новобузька загальноосвітня школа І-ІІІ ступенів № 7 м.Нового Бугу, Миколаївської області</t>
  </si>
  <si>
    <t>вул. Широка площа, 10</t>
  </si>
  <si>
    <t>(05151)9-13-59</t>
  </si>
  <si>
    <t>23405202</t>
  </si>
  <si>
    <t>Баратівська загальноосвітня школа І-ІІІ ступенів Новобузької районної ради Миколаївської області</t>
  </si>
  <si>
    <t>55604</t>
  </si>
  <si>
    <t>4824580401</t>
  </si>
  <si>
    <t>Баратівка</t>
  </si>
  <si>
    <t>0515194316</t>
  </si>
  <si>
    <t>Ганнівська загальноосвітня школа І - ІІ ступенів Новобузької районної ради Миколаївської області</t>
  </si>
  <si>
    <t>4824580404</t>
  </si>
  <si>
    <t>вул. 70 років Жовтня, 48</t>
  </si>
  <si>
    <t>0515194425</t>
  </si>
  <si>
    <t>http://gannivka-zosh.mk.sch.in.ua</t>
  </si>
  <si>
    <t>Майорівська загальноосвітня школа І-ІІ ступенів Новобузької районної ради Миколаївської області</t>
  </si>
  <si>
    <t>4824580405</t>
  </si>
  <si>
    <t>Майорівка</t>
  </si>
  <si>
    <t>0982231191, 0515197638</t>
  </si>
  <si>
    <t>http://mayorivka-zosh.edukit.mk.ua</t>
  </si>
  <si>
    <t>Березнегуватська загальноосвітня школа І-ІІІ ступенів Новобузької районної ради Миколаївської області</t>
  </si>
  <si>
    <t>55620</t>
  </si>
  <si>
    <t>4824580701</t>
  </si>
  <si>
    <t>Березнегуватське</t>
  </si>
  <si>
    <t>(096)4274415</t>
  </si>
  <si>
    <t>Вільнозапорізька загальноосвітня школа І-ІІІ ступенів Новобузької районної ради Миколаївської області</t>
  </si>
  <si>
    <t>55650</t>
  </si>
  <si>
    <t>4824581201</t>
  </si>
  <si>
    <t>Вільне Запоріжжя</t>
  </si>
  <si>
    <t>вул. Москаленка, 12</t>
  </si>
  <si>
    <t>9-9-72-42</t>
  </si>
  <si>
    <t>http://vz-zapschool.ucoz.ru/</t>
  </si>
  <si>
    <t>Кам'янська загальноосвітня школа І-ІІ ступенів Новобузької районної ради Миколаївської області</t>
  </si>
  <si>
    <t>55622</t>
  </si>
  <si>
    <t>4824581501</t>
  </si>
  <si>
    <t>ал. Шкільна, 23А</t>
  </si>
  <si>
    <t>(05151)9-46-44</t>
  </si>
  <si>
    <t>Новомихайлівська загальноосвітня школа І-ІІ ступенів</t>
  </si>
  <si>
    <t>55623</t>
  </si>
  <si>
    <t>4824581901</t>
  </si>
  <si>
    <t>9-73-30</t>
  </si>
  <si>
    <t>Новодмитрівська загальноосвітня школа І-ІІІ ступенів</t>
  </si>
  <si>
    <t>55625</t>
  </si>
  <si>
    <t>4824581905</t>
  </si>
  <si>
    <t>вул. Військова, 5</t>
  </si>
  <si>
    <t>05151-9-40-34</t>
  </si>
  <si>
    <t>http://dmitrovkaschool.nethouse.ua/</t>
  </si>
  <si>
    <t>Новомиколаївська загальноосвітня школа І - ІІІ ступенів Новобузької районної ради Миколаївської області</t>
  </si>
  <si>
    <t>55605</t>
  </si>
  <si>
    <t>4824582201</t>
  </si>
  <si>
    <t>9-71-89</t>
  </si>
  <si>
    <t>Новополтавська загальноосвітня школа І-ІІІ ступенів, Новобузької районної ради, Миколаївської області</t>
  </si>
  <si>
    <t>55642</t>
  </si>
  <si>
    <t>4824582601</t>
  </si>
  <si>
    <t>вул. Мельнична, 3</t>
  </si>
  <si>
    <t>0974700729, 0515195442</t>
  </si>
  <si>
    <t>http://npshkola.org.ua</t>
  </si>
  <si>
    <t>Новохристофорівська загальноосвітня школа І - ІІІ ступенів Новобузької районної ради Миколаївської області</t>
  </si>
  <si>
    <t>55654</t>
  </si>
  <si>
    <t>4824583001</t>
  </si>
  <si>
    <t>Новохристофорівка</t>
  </si>
  <si>
    <t>9-75-27</t>
  </si>
  <si>
    <t>http://hrisschool.klasna.com</t>
  </si>
  <si>
    <t>Новоюр'ївська загальноосвітня школа І-ІІІ ступенів Новобузької районної ради Миколаївської області</t>
  </si>
  <si>
    <t>55640</t>
  </si>
  <si>
    <t>4824583401</t>
  </si>
  <si>
    <t>Новоюр'ївка</t>
  </si>
  <si>
    <t>997749</t>
  </si>
  <si>
    <t>Софіївська загальноосвітня школа І-ІІІ ступенів Новобузької районної ради, Миколаївської області</t>
  </si>
  <si>
    <t>55632</t>
  </si>
  <si>
    <t>4824585001</t>
  </si>
  <si>
    <t>0515197145</t>
  </si>
  <si>
    <t>Улянівська загальноосвітня школа І-ІІ ступенів Новобузького району Миколаївської області</t>
  </si>
  <si>
    <t>4824585004</t>
  </si>
  <si>
    <t>(05151)97197</t>
  </si>
  <si>
    <t>Червонобаштанська загальноосвітня школа І-ІІІ ступенів</t>
  </si>
  <si>
    <t>4824586001</t>
  </si>
  <si>
    <t>9-45-80</t>
  </si>
  <si>
    <t>Новоодеська гуманітарна гімназія Новоодеської районної ради Миколаївської області</t>
  </si>
  <si>
    <t>56602</t>
  </si>
  <si>
    <t>4824810100</t>
  </si>
  <si>
    <t>Нова Одеса</t>
  </si>
  <si>
    <t>вул. Спаська, 75</t>
  </si>
  <si>
    <t>0516721125</t>
  </si>
  <si>
    <t>http://neugimnazia.ucoz.ru</t>
  </si>
  <si>
    <t>Новоодеська загальноосвітня школа І-ІІІ ступенів № 1 Новоодеської районної ради Миколаївської області</t>
  </si>
  <si>
    <t>(05167)21280</t>
  </si>
  <si>
    <t>http://nzoshn1.at.ua</t>
  </si>
  <si>
    <t>Новоодеська загальноосвітня школа І-ІІІ ступенів № 2 Новоодеської районної ради Миколаївської області</t>
  </si>
  <si>
    <t>56600</t>
  </si>
  <si>
    <t>вул. Центральна, 198</t>
  </si>
  <si>
    <t>0516791075</t>
  </si>
  <si>
    <t>http://nodesash2.ucoz.com</t>
  </si>
  <si>
    <t>Новоодеська загальноосвітня школа І-ІІІ ступенів № 3 Новоодеської районної ради Миколаївської області</t>
  </si>
  <si>
    <t>56601</t>
  </si>
  <si>
    <t>вул. Гайдамацька, 7</t>
  </si>
  <si>
    <t>(05167)28330</t>
  </si>
  <si>
    <t>http://novaodesasch3.ucoz.ru</t>
  </si>
  <si>
    <t>Антонівська загальноосвітня школа-інтернат І-ІІІ ступенів Миколаївської обласної ради</t>
  </si>
  <si>
    <t>54105</t>
  </si>
  <si>
    <t>4824880201</t>
  </si>
  <si>
    <t>(05167)2-43-25</t>
  </si>
  <si>
    <t>04590056</t>
  </si>
  <si>
    <t>Баловненська загальноосвітня школа І - ІІІ ступенів Новоодеської районної ради Миколаївської області</t>
  </si>
  <si>
    <t>56664</t>
  </si>
  <si>
    <t>4824880401</t>
  </si>
  <si>
    <t>Баловне</t>
  </si>
  <si>
    <t>вул. Миру, 93, б</t>
  </si>
  <si>
    <t>(05167)2-51-30</t>
  </si>
  <si>
    <t>Бузька загальноосвітня школа І-ІІІ ступенів Новоодеської районної ради Миколаївської області</t>
  </si>
  <si>
    <t>56636</t>
  </si>
  <si>
    <t>4824880801</t>
  </si>
  <si>
    <t>0516724064</t>
  </si>
  <si>
    <t>http://buska-chkola.ucoz.ru</t>
  </si>
  <si>
    <t>Улянівська загальноосвітня школа І-ІІІ ступенів Новоодеської районної ради Миколаївської області</t>
  </si>
  <si>
    <t>56644</t>
  </si>
  <si>
    <t>4824881603</t>
  </si>
  <si>
    <t>0671268779</t>
  </si>
  <si>
    <t>Червоноволодимирівська загальноосвітня школа І - ІІ ступенів Новоодеської районної ради Миколаївської області</t>
  </si>
  <si>
    <t>56645</t>
  </si>
  <si>
    <t>4824881604</t>
  </si>
  <si>
    <t>Червоноволодимирівка</t>
  </si>
  <si>
    <t>вул. Першотравнева, 51</t>
  </si>
  <si>
    <t>(05267)24251</t>
  </si>
  <si>
    <t>Гур'ївська загальноосвітня школа І-ІІІ ступенів Новоодеської районної ради Миколаївської області</t>
  </si>
  <si>
    <t>56660</t>
  </si>
  <si>
    <t>4824882001</t>
  </si>
  <si>
    <t>Гур'ївка</t>
  </si>
  <si>
    <t>(05167)26130</t>
  </si>
  <si>
    <t>http://gurivka-school.edukit.mk.ua</t>
  </si>
  <si>
    <t>Дільнична загальноосвітня школа І - ІІІ ступенів Новоодеської районної ради Миколаївської області</t>
  </si>
  <si>
    <t>4824882301</t>
  </si>
  <si>
    <t>Дільниче</t>
  </si>
  <si>
    <t>вул. Лесі Українки, 14</t>
  </si>
  <si>
    <t>(05167)24586</t>
  </si>
  <si>
    <t>http://dilniche-school.edukit.mk.ua</t>
  </si>
  <si>
    <t>Димівська загальноосвітня школа І-ІІІ ступенів Новоодеської районної ради Миколаївської області</t>
  </si>
  <si>
    <t>56622</t>
  </si>
  <si>
    <t>4824882601</t>
  </si>
  <si>
    <t>Димівське</t>
  </si>
  <si>
    <t>(05167)25494</t>
  </si>
  <si>
    <t>Артемівська загальноосвітня школа І-ІІІ ступенів Новоодеської районної ради Миколаївської області</t>
  </si>
  <si>
    <t>56624</t>
  </si>
  <si>
    <t>4824882602</t>
  </si>
  <si>
    <t>вул. Миру, 70 а</t>
  </si>
  <si>
    <t>0516725530</t>
  </si>
  <si>
    <t>http://artemivka.edukit.mk.ua</t>
  </si>
  <si>
    <t>Кандибинська загальноосвітня школа І-ІІІ ступенів Новоодеської районної ради Миколаївської області</t>
  </si>
  <si>
    <t>56654</t>
  </si>
  <si>
    <t>4824883201</t>
  </si>
  <si>
    <t>Кандибине</t>
  </si>
  <si>
    <t>0516726430</t>
  </si>
  <si>
    <t>http://www.zoshkandybino.io.ua</t>
  </si>
  <si>
    <t>Новоінгульська загальноосвітня школа І - ІІІ ступенів Новоодеської районної ради Миколаївської області</t>
  </si>
  <si>
    <t>56655</t>
  </si>
  <si>
    <t>4824883202</t>
  </si>
  <si>
    <t>Новоінгулка</t>
  </si>
  <si>
    <t>(05167)2-44-49</t>
  </si>
  <si>
    <t>http://novoingulska.ucoz.ru</t>
  </si>
  <si>
    <t>Костянтинівська загальноосвітня школа І-ІІІ ступенів Новоодеської районної ради Миколаївської області</t>
  </si>
  <si>
    <t>56663</t>
  </si>
  <si>
    <t>4824883401</t>
  </si>
  <si>
    <t>вул. Дмитра Куроп'ятника, 9</t>
  </si>
  <si>
    <t>0516726193</t>
  </si>
  <si>
    <t>http://Kost-school.ucoz.com</t>
  </si>
  <si>
    <t>Михайлівська загальноосвітня школа І-ІІ ступенів Новоодеської районної ради Миколаївської області</t>
  </si>
  <si>
    <t>56611</t>
  </si>
  <si>
    <t>4824883740</t>
  </si>
  <si>
    <t>вул. Хомченко, 98</t>
  </si>
  <si>
    <t>(096)9238341</t>
  </si>
  <si>
    <t>http://mykhaylivka-nov-school.edukit.mk.ua</t>
  </si>
  <si>
    <t>Новопетрівська загальноосвітня школа І-ІІІ ступенів Новоодеської районної ради Миколаївської області</t>
  </si>
  <si>
    <t>56650</t>
  </si>
  <si>
    <t>4824883901</t>
  </si>
  <si>
    <t>Новопетрівське</t>
  </si>
  <si>
    <t>0516729330</t>
  </si>
  <si>
    <t>http://novopetrovka1.ucoz.ua</t>
  </si>
  <si>
    <t>Новосафронівська загальноосвітня школа І-ІІІ ступенів Новоодеської районної ради Миколаївської області</t>
  </si>
  <si>
    <t>56620</t>
  </si>
  <si>
    <t>4824884201</t>
  </si>
  <si>
    <t>Новосафронівка</t>
  </si>
  <si>
    <t>вул. Христина, 21</t>
  </si>
  <si>
    <t>0516726225</t>
  </si>
  <si>
    <t>http://novosafronivka.ukoz.ua</t>
  </si>
  <si>
    <t>Новошмидтівська загальноосвітня школа І-ІІ ступенів Новоодеської районної ради Миколаївської області</t>
  </si>
  <si>
    <t>56642</t>
  </si>
  <si>
    <t>4824884401</t>
  </si>
  <si>
    <t>Новошмідтівка</t>
  </si>
  <si>
    <t>05167-2-52-30</t>
  </si>
  <si>
    <t>Підлісненська загальноосвітня школа І-ІІІ ступенів Новоодеської районної ради Миколаївської області</t>
  </si>
  <si>
    <t>56633</t>
  </si>
  <si>
    <t>4824884601</t>
  </si>
  <si>
    <t>0680827902</t>
  </si>
  <si>
    <t>Себинська загальноосвітня школа І-ІІІ ступенів Новоодеської районної ради Миколаївської області</t>
  </si>
  <si>
    <t>54123</t>
  </si>
  <si>
    <t>4824884801</t>
  </si>
  <si>
    <t>Себине</t>
  </si>
  <si>
    <t>0516726530</t>
  </si>
  <si>
    <t>http://Sebinezosh.ucoz.ua</t>
  </si>
  <si>
    <t>Сухоєланецька загальноосвітня школа I-III ступенів Новоодеської районної ради Миколаївської області</t>
  </si>
  <si>
    <t>56640</t>
  </si>
  <si>
    <t>4824885201</t>
  </si>
  <si>
    <t>Сухий Єланець</t>
  </si>
  <si>
    <t>вул. Каганова, 19</t>
  </si>
  <si>
    <t>0516728130</t>
  </si>
  <si>
    <t>http://suhzosh.ucoz.ua</t>
  </si>
  <si>
    <t>Суворівський навчально-виховний комплекс "Загальноосвітній навчальний заклад І-ІІ ступенів-дошкільний навчальний заклад" Новоодеської районної ради Миколаївської області</t>
  </si>
  <si>
    <t>4824885202</t>
  </si>
  <si>
    <t>Суворовка</t>
  </si>
  <si>
    <t>(8)0978364413</t>
  </si>
  <si>
    <t>http://suvorivschool.ucoz.ua</t>
  </si>
  <si>
    <t>Троїцька загальноосвітня школа І-ІІІ ступенів Новоодеської районної ради Миколаївської області</t>
  </si>
  <si>
    <t>4824885801</t>
  </si>
  <si>
    <t>(05167)2-56-68</t>
  </si>
  <si>
    <t>http://troickashool.at.ua</t>
  </si>
  <si>
    <t>Дмитрівський навчально - виховний комплекс "загальноосвітня школа І - ІІІ ступенів - дошкільний навчальний заклад"</t>
  </si>
  <si>
    <t>57545</t>
  </si>
  <si>
    <t>4825180501</t>
  </si>
  <si>
    <t>вул. Очаківська, 42</t>
  </si>
  <si>
    <t>http://dmitrivskazoch.at.ua</t>
  </si>
  <si>
    <t>Іванівська ЗОШ І-ІІІ ступенів імені І.Рачкова Куцурубської сільської ради обєднаної територіальної громади Очаківського району Миколаївської області</t>
  </si>
  <si>
    <t>57552</t>
  </si>
  <si>
    <t>4825180701</t>
  </si>
  <si>
    <t>40210814</t>
  </si>
  <si>
    <t>Кам'янська загальноосвітня школа І-ІІІ ступенів Очаківського району Миколаївської області</t>
  </si>
  <si>
    <t>57520</t>
  </si>
  <si>
    <t>4825181201</t>
  </si>
  <si>
    <t>вул. І.Шевченка, 53Г</t>
  </si>
  <si>
    <t>0515495240</t>
  </si>
  <si>
    <t>26117584</t>
  </si>
  <si>
    <t>Козирська загальноосвітня школа І- ІІІ ступенів Очаківської районної ради Миколаївської області</t>
  </si>
  <si>
    <t>57525</t>
  </si>
  <si>
    <t>4825181601</t>
  </si>
  <si>
    <t>Козирка</t>
  </si>
  <si>
    <t>(05154)97-2-40</t>
  </si>
  <si>
    <t>http://ksschool.org.ua</t>
  </si>
  <si>
    <t>20903773</t>
  </si>
  <si>
    <t>Куцурубська ЗОШ І-ІІІ ступенів імені Т.Г. Шевченка Куцурубської сільської ради ОТГ Очаківського району Миколаївської області</t>
  </si>
  <si>
    <t>57550</t>
  </si>
  <si>
    <t>4825182201</t>
  </si>
  <si>
    <t>Куцуруб</t>
  </si>
  <si>
    <t>вул. Очаківська, 123</t>
  </si>
  <si>
    <t>(05154)94240</t>
  </si>
  <si>
    <t>http://www.kutsurubschool.at.ua</t>
  </si>
  <si>
    <t>40210767</t>
  </si>
  <si>
    <t>Острівський навчально-виховний комплекс "Загальноосвітня школа І-ІІІ ступенів - дошкільний навчальний заклад" Куцурубської сільської ради об'єднаної територіальної громади Очаківського району Миколаївської області</t>
  </si>
  <si>
    <t>57546</t>
  </si>
  <si>
    <t>4825182601</t>
  </si>
  <si>
    <t>Острівка</t>
  </si>
  <si>
    <t>вул. Москаленка, 21</t>
  </si>
  <si>
    <t>0515493822</t>
  </si>
  <si>
    <t>http://ostrivskazoch.ucoz.ua/</t>
  </si>
  <si>
    <t>Парутинська загальноосвітня школа І-ІІІ ступенів Куцурубської сільської ради ОТГ Очаківського району Миколаївської області</t>
  </si>
  <si>
    <t>57540</t>
  </si>
  <si>
    <t>4825182801</t>
  </si>
  <si>
    <t>Парутине</t>
  </si>
  <si>
    <t>вул. Миколаївська, 12А</t>
  </si>
  <si>
    <t>(05154)92-594</t>
  </si>
  <si>
    <t>26117538</t>
  </si>
  <si>
    <t>Покровська загальноосвітня школа І ступеня Очаківської районної ради Миколаївської області</t>
  </si>
  <si>
    <t>57555</t>
  </si>
  <si>
    <t>4825183201</t>
  </si>
  <si>
    <t>вул. Морозівська, 29</t>
  </si>
  <si>
    <t>(05154)91640</t>
  </si>
  <si>
    <t>Василівська загальноосітня школа І - ІІІ ст. Очаківської районної ради Миколаївської області</t>
  </si>
  <si>
    <t>4825183202</t>
  </si>
  <si>
    <t>(05154)91440</t>
  </si>
  <si>
    <t>Рівненська загальноосвітня школа І-ІІІ ступенів Чорноморської сільської ради Очаківського району Миколаївської області</t>
  </si>
  <si>
    <t>57530</t>
  </si>
  <si>
    <t>4825183701</t>
  </si>
  <si>
    <t>(05154)91240</t>
  </si>
  <si>
    <t>Благодатненський навчально-виховний комплекс "загальноосвітня школа І ступеню -дошкільний навчальний заклад" Чорноморської сільської ради Очаківського району Миколаївської області</t>
  </si>
  <si>
    <t>57532</t>
  </si>
  <si>
    <t>4825183703</t>
  </si>
  <si>
    <t>Солончаківський навчально - виховний комплекс "Загальноосвітня школа І-ІІ ступенів - дошкільний навчальний заклад" Куцурубської сільської ради обєднаної територіальної громади Очаківського району Миколаївської області</t>
  </si>
  <si>
    <t>57543</t>
  </si>
  <si>
    <t>4825184001</t>
  </si>
  <si>
    <t>Солончаки</t>
  </si>
  <si>
    <t>вул. Очаківська, 25</t>
  </si>
  <si>
    <t>(05154)99240</t>
  </si>
  <si>
    <t>Чорноморська загальноосвітня школа І-ІІІ ступенів</t>
  </si>
  <si>
    <t>57515</t>
  </si>
  <si>
    <t>4825184801</t>
  </si>
  <si>
    <t>Чорноморка</t>
  </si>
  <si>
    <t>вул. Суворова, 111</t>
  </si>
  <si>
    <t>(05154)96317</t>
  </si>
  <si>
    <t>Підгороднянська загальноосвітня школа І - ІІІ ступенів Первомайської районної ради Миколаївської області</t>
  </si>
  <si>
    <t>55222</t>
  </si>
  <si>
    <t>4825455400</t>
  </si>
  <si>
    <t>Підгородна</t>
  </si>
  <si>
    <t>вул. Шкільна, 88</t>
  </si>
  <si>
    <t>0516166107</t>
  </si>
  <si>
    <t>http://www.pidgorschool.ucoz.ua</t>
  </si>
  <si>
    <t>Станіславчицька загальноосвітня школа І-ІІ ступенів Первомайської районної ради Миколаївської області</t>
  </si>
  <si>
    <t>55216</t>
  </si>
  <si>
    <t>4825480402</t>
  </si>
  <si>
    <t>0507656744</t>
  </si>
  <si>
    <t>Грушівська загальноосвітня школа І-ІІ ступенів Первомайської районної ради Миколаївської області</t>
  </si>
  <si>
    <t>55225</t>
  </si>
  <si>
    <t>4825480801</t>
  </si>
  <si>
    <t>(05161)67252</t>
  </si>
  <si>
    <t>Довгопристанська ЗОШ І -ІІІ ступенів Первомайської районної ради Миколаївської області</t>
  </si>
  <si>
    <t>55240</t>
  </si>
  <si>
    <t>4825481201</t>
  </si>
  <si>
    <t>Довга Пристань</t>
  </si>
  <si>
    <t>0516164640</t>
  </si>
  <si>
    <t>http://dovgapr.at.ua</t>
  </si>
  <si>
    <t>Кам'яномостівська загальноосвітня школа І - ІІІ ступенів Кам'яномостівської сільської ради Первомайського району Миколаївської області</t>
  </si>
  <si>
    <t>55232</t>
  </si>
  <si>
    <t>4825482201</t>
  </si>
  <si>
    <t>Кам'яний Міст</t>
  </si>
  <si>
    <t>вул. Шевченка, 22 - а</t>
  </si>
  <si>
    <t>(05161)62619</t>
  </si>
  <si>
    <t>Катеринківський навчально - виховний комплекс " дошкільний навчальний заклад- загальноосвітній навчальний заклад І-ІІ ступенів " імені Героя Радянського Союзу С.Т. Паламарчука</t>
  </si>
  <si>
    <t>05526</t>
  </si>
  <si>
    <t>4825482202</t>
  </si>
  <si>
    <t>Катеринка</t>
  </si>
  <si>
    <t>(05161)62347</t>
  </si>
  <si>
    <t>Кам'яномостівська загальноосвітня школа І-ІІ ступенів Кам'яномостівської сільської ради Миколаївської області</t>
  </si>
  <si>
    <t>4825482601</t>
  </si>
  <si>
    <t>0673186567</t>
  </si>
  <si>
    <t>http://kmist-school.edukit.mk.ua/</t>
  </si>
  <si>
    <t>Кінецьпільська загальноосвітня школа І-ІІІ ступенів Первомайської районної ради Миколаївської області</t>
  </si>
  <si>
    <t>55230</t>
  </si>
  <si>
    <t>4825482801</t>
  </si>
  <si>
    <t>Кінецьпіль</t>
  </si>
  <si>
    <t>(05161)66820</t>
  </si>
  <si>
    <t>http://www.kinetspil-school.edukit.mk.ua</t>
  </si>
  <si>
    <t>Кримківська ордена "Знак Пошани" ЗОШ І-ІІІ ступенів ім. "Партизанської іскри" Кам'яномостівської сільської ради Миколаївської області</t>
  </si>
  <si>
    <t>55261</t>
  </si>
  <si>
    <t>4825483201</t>
  </si>
  <si>
    <t>Кримка</t>
  </si>
  <si>
    <t>вул. Моргуненка, 7</t>
  </si>
  <si>
    <t>0516166771, 0988470378</t>
  </si>
  <si>
    <t>http://krymkaschool.at.ua/</t>
  </si>
  <si>
    <t>Кумарівська загальноосвітня школа І-ІІІ ступенів Первомайської районної ради Миколаївської області</t>
  </si>
  <si>
    <t>55260</t>
  </si>
  <si>
    <t>4825483801</t>
  </si>
  <si>
    <t>0516161780</t>
  </si>
  <si>
    <t>http://www.kumari-perv.edukit.mk.ua</t>
  </si>
  <si>
    <t>Чаусівський навчально-виховний комплекс № 2 "дошкільний навчальний заклад - загальноосвітній навчальний заклад І - ІІ ступенів" Первомайської районної ради Миколаївської області</t>
  </si>
  <si>
    <t>55234</t>
  </si>
  <si>
    <t>4825484090</t>
  </si>
  <si>
    <t>Чаусове Друге</t>
  </si>
  <si>
    <t>0516166924</t>
  </si>
  <si>
    <t>http://chausove-nvk2.edukit.mk.ua</t>
  </si>
  <si>
    <t>Лукашівський навчально-виховний комплекс" Дошкільний навчальний заклад-загальноосвітній навчальний заклад I-II ст."</t>
  </si>
  <si>
    <t>4825484201</t>
  </si>
  <si>
    <t>вул. Садова, 4</t>
  </si>
  <si>
    <t>0516165440</t>
  </si>
  <si>
    <t>Лисогірська загальноосвітня школа І-ІІІ ступенів № 1Первомайської районної ради Миколаївської області</t>
  </si>
  <si>
    <t>55250</t>
  </si>
  <si>
    <t>4825484601</t>
  </si>
  <si>
    <t>вул. Велика, 66</t>
  </si>
  <si>
    <t>0516163216</t>
  </si>
  <si>
    <t>http://lysogirska.at.ua</t>
  </si>
  <si>
    <t>Лисогірська спеціальна загальноосвітня школа-інтернат Первомайського району Миколаївської областної ради</t>
  </si>
  <si>
    <t>вул. Велика, 100А</t>
  </si>
  <si>
    <t>0516163421, 0516163503</t>
  </si>
  <si>
    <t>20904732</t>
  </si>
  <si>
    <t>Мигіївська загальноосвітня школа І-ІІІ ступенів</t>
  </si>
  <si>
    <t>55223</t>
  </si>
  <si>
    <t>4825485101</t>
  </si>
  <si>
    <t>Мигія</t>
  </si>
  <si>
    <t>0516161540</t>
  </si>
  <si>
    <t>http://myhiya.edukit.mk.ua/</t>
  </si>
  <si>
    <t>Полтавський навчально-виховний комплекс "дошкільний навчальний заклад - загальноосвітній навчальний заклад І-ІІ ступенів"</t>
  </si>
  <si>
    <t>55264</t>
  </si>
  <si>
    <t>4825485501</t>
  </si>
  <si>
    <t>(05161)66340</t>
  </si>
  <si>
    <t>http://poltavka-shkola.ucoz.ua</t>
  </si>
  <si>
    <t>Романовобалківська загальноосвітня школа І - ІІІ ступенів Первомайської районної ради Миколаївської області</t>
  </si>
  <si>
    <t>55270</t>
  </si>
  <si>
    <t>4825485701</t>
  </si>
  <si>
    <t>Романова Балка</t>
  </si>
  <si>
    <t>(05161)61-240</t>
  </si>
  <si>
    <t>Синюхинобрідська загальноосвітня школа І-ІІІ ступенів Первомайської районної ради Миколаївської області</t>
  </si>
  <si>
    <t>55243</t>
  </si>
  <si>
    <t>4825486301</t>
  </si>
  <si>
    <t>Синюхин Брід</t>
  </si>
  <si>
    <t>0516164140</t>
  </si>
  <si>
    <t>http://synbrid-school.edukit.mk.ua/</t>
  </si>
  <si>
    <t>Софіївська загальноосвятня школа І-ІІІ ступенів Первомайської районної ради Миколаївської області</t>
  </si>
  <si>
    <t>55253</t>
  </si>
  <si>
    <t>4825486701</t>
  </si>
  <si>
    <t>380516162176</t>
  </si>
  <si>
    <t>http://sofiivka-pm.edukit.mk.ua/</t>
  </si>
  <si>
    <t>Бандурський навчально-виховний комплекс "дошкільний навчальний заклад-загальноосвітній навчальний заклад І-ІІІ ступенів" Первомайської районної ради Миколаївської області</t>
  </si>
  <si>
    <t>55247</t>
  </si>
  <si>
    <t>4825486702</t>
  </si>
  <si>
    <t>Бандурка</t>
  </si>
  <si>
    <t>0516161123</t>
  </si>
  <si>
    <t>http://bandurka-nvk.edukit.mk.ua</t>
  </si>
  <si>
    <t>Степківська загальноосвітня школа І-ІІІ ступенів Первомайської районної ради Миколаївської області</t>
  </si>
  <si>
    <t>55274</t>
  </si>
  <si>
    <t>4825487001</t>
  </si>
  <si>
    <t>Степківка</t>
  </si>
  <si>
    <t>вул. Первомайська, 5</t>
  </si>
  <si>
    <t>(051)61-65-140</t>
  </si>
  <si>
    <t>http://stepkivka-school.edukit.mk.ua</t>
  </si>
  <si>
    <t>Жовтнева загальноосвітня школа І-ІІ ступенів Первомайської районної ради Миколаївської області</t>
  </si>
  <si>
    <t>55275</t>
  </si>
  <si>
    <t>4825487002</t>
  </si>
  <si>
    <t>0516164330</t>
  </si>
  <si>
    <t>http://zhovtneve-perv.edukit.mk.ua</t>
  </si>
  <si>
    <t>Зеленокошарська загальноосвітня школа І-ІІ ступенів Первомайської районної ради Миколаївської області</t>
  </si>
  <si>
    <t>55276</t>
  </si>
  <si>
    <t>4825487003</t>
  </si>
  <si>
    <t>Зелені Кошари</t>
  </si>
  <si>
    <t>вул. Ювілейна 40, 40</t>
  </si>
  <si>
    <t>67-609</t>
  </si>
  <si>
    <t>Тарасівський навчально-виховний комплекс " дошкільний навчальний заклад - загальноосвітній навчальний заклад І-ІІ ступенів"</t>
  </si>
  <si>
    <t>55244</t>
  </si>
  <si>
    <t>4825487601</t>
  </si>
  <si>
    <t>Чаусівський навчально - виховний комплекс № 1 " дошкільний навчальний заклад - загальноосвітній навчальний заклад І - ІІІ ступенів" Первомайської районної ради Миколаївської області</t>
  </si>
  <si>
    <t>4825488201</t>
  </si>
  <si>
    <t>Чаусове</t>
  </si>
  <si>
    <t>0516164540</t>
  </si>
  <si>
    <t>http://chausivsky-nvk1.at.ua</t>
  </si>
  <si>
    <t>Снігурівська загальноосвітня школа І - ІІІ ступенів № 3 Снігурівської районної ради Миколаївської області</t>
  </si>
  <si>
    <t>57301</t>
  </si>
  <si>
    <t>4825710100</t>
  </si>
  <si>
    <t>Снігурівка</t>
  </si>
  <si>
    <t>вул. Чайковського, 55</t>
  </si>
  <si>
    <t>05162-2-18-28</t>
  </si>
  <si>
    <t>http://snigzosh3.ucoz.ru</t>
  </si>
  <si>
    <t>Снігурівська загальноосвітня школа І ступеня № 2 Снігурівської районної ради Миколаївської області</t>
  </si>
  <si>
    <t>57300</t>
  </si>
  <si>
    <t>пров. Шкільний, 14</t>
  </si>
  <si>
    <t>(26117343)0976548586</t>
  </si>
  <si>
    <t>Снігурівська загальноосвітня школа І-ІІІ ступенів № 1 Снігурівської районної ради Миколаївської області</t>
  </si>
  <si>
    <t>вул. Центральна, 138</t>
  </si>
  <si>
    <t>(05162)21936, (05162)3-44-15</t>
  </si>
  <si>
    <t>http://profit-group.com.ua/brilliance</t>
  </si>
  <si>
    <t>Снігурівська загальноосвітня школа І-ІІІ ступенів № 4</t>
  </si>
  <si>
    <t>вул. Суворова, 17</t>
  </si>
  <si>
    <t>05162-32162</t>
  </si>
  <si>
    <t>Снігурівська районна гімназія ім. Т.Г. Шевченка Снігурівської районної ради Миколаївської області</t>
  </si>
  <si>
    <t>57303</t>
  </si>
  <si>
    <t>вул. Шкільний, 14</t>
  </si>
  <si>
    <t>3-18-83, 3-16-82</t>
  </si>
  <si>
    <t>Олександрівська загальноосвітня школа І-ІІІ ступенів Снігурівської районної ради Миколаївської області</t>
  </si>
  <si>
    <t>57375</t>
  </si>
  <si>
    <t>4825780401</t>
  </si>
  <si>
    <t>0503961897</t>
  </si>
  <si>
    <t>http://oleksandrivka-sn.edukit.mk.ua.</t>
  </si>
  <si>
    <t>Юріївський начально-виховний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 Н</t>
  </si>
  <si>
    <t>57341</t>
  </si>
  <si>
    <t>4825780503</t>
  </si>
  <si>
    <t>0516223213</t>
  </si>
  <si>
    <t>Баратівська загальноосвітня школа І-ІІІ ступенів Снігурівської районної ради Миколаївської області</t>
  </si>
  <si>
    <t>57370</t>
  </si>
  <si>
    <t>4825780701</t>
  </si>
  <si>
    <t>0955321062, 2-74-20</t>
  </si>
  <si>
    <t>Новософіївська загальноосвітня школа І - ІІ ступенів Снігурівської Районної Ради</t>
  </si>
  <si>
    <t>57374</t>
  </si>
  <si>
    <t>4825780704</t>
  </si>
  <si>
    <t>вул. Гагаріна, 26 б</t>
  </si>
  <si>
    <t>Промінський навчально-виховний комплекс "Загальноосвітній навчальний заклад І-ІІ ступенів - дошкільний навчальний заклад" Снігурівської районної ради Миколаївської області(Н)</t>
  </si>
  <si>
    <t>57307</t>
  </si>
  <si>
    <t>4825780707</t>
  </si>
  <si>
    <t>34А</t>
  </si>
  <si>
    <t>0516227759</t>
  </si>
  <si>
    <t>http://ch-promin.ucoz.ru</t>
  </si>
  <si>
    <t>Василівська загальноосвітня школа І-ІІ ступенів Снігурівської районної ради Миколаївської області</t>
  </si>
  <si>
    <t>57310</t>
  </si>
  <si>
    <t>4825781201</t>
  </si>
  <si>
    <t>2-33-23</t>
  </si>
  <si>
    <t>Євгенівський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 (Н)</t>
  </si>
  <si>
    <t>57311</t>
  </si>
  <si>
    <t>4825781203</t>
  </si>
  <si>
    <t>Євгенівка</t>
  </si>
  <si>
    <t>(05162)2-76-27</t>
  </si>
  <si>
    <t>Горохівська загальноосвітня школа І-ІІІ ступенів Снігурівської районної ради Миколаївської області</t>
  </si>
  <si>
    <t>57356</t>
  </si>
  <si>
    <t>4825781401</t>
  </si>
  <si>
    <t>Горохівське</t>
  </si>
  <si>
    <t>0516224330</t>
  </si>
  <si>
    <t>Садова загальноосвітня школа І-ІІІ ступенів Снігурівської районної ради Миколаївської області</t>
  </si>
  <si>
    <t>57359</t>
  </si>
  <si>
    <t>4825781405</t>
  </si>
  <si>
    <t>27747</t>
  </si>
  <si>
    <t>http://sadovazosh.ucoz.ru</t>
  </si>
  <si>
    <t>Киселівська загальноосвітня школа І-ІІІ ступенів Снігурівської районної ради Миколаївської області</t>
  </si>
  <si>
    <t>57334</t>
  </si>
  <si>
    <t>4825781701</t>
  </si>
  <si>
    <t>Киселівка</t>
  </si>
  <si>
    <t>вул. Нова, 6</t>
  </si>
  <si>
    <t>http://kyselivka-school.edukit.mk.ua</t>
  </si>
  <si>
    <t>Кобзарцівська ЗОШ І - ІІІ ступенів Снігурівської районної ради Миколаївської області</t>
  </si>
  <si>
    <t>57325</t>
  </si>
  <si>
    <t>4825782001</t>
  </si>
  <si>
    <t>Кобзарці</t>
  </si>
  <si>
    <t>099-056-2091</t>
  </si>
  <si>
    <t>Новопавлівська загальноосвітня школа І-ІІ ступенів Снігурівської районної ради</t>
  </si>
  <si>
    <t>57327</t>
  </si>
  <si>
    <t>4825782002</t>
  </si>
  <si>
    <t>Новопавлівське</t>
  </si>
  <si>
    <t>0516223554</t>
  </si>
  <si>
    <t>Любомирівський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</t>
  </si>
  <si>
    <t>57360</t>
  </si>
  <si>
    <t>4825782201</t>
  </si>
  <si>
    <t>(05162)24759</t>
  </si>
  <si>
    <t>Калинівський навчально-виховний комплекс "загальноосвітній навчальний заклад І-ІІІ ступенів -дошкільний навчальний заклад" Снігурівської районної ради Миколаївської області</t>
  </si>
  <si>
    <t>4825782501</t>
  </si>
  <si>
    <t>0516221712</t>
  </si>
  <si>
    <t>Нововасилівська загальноосвітня школа І - ІІІ ступенів Снігурівської районної ради Миколаївської області</t>
  </si>
  <si>
    <t>57340</t>
  </si>
  <si>
    <t>4825782701</t>
  </si>
  <si>
    <t>0665448173</t>
  </si>
  <si>
    <t>Галаганівський навчально-виховний комплекс"загальноосвітній навчальний заклад І-ІІІ ступенів - дошкільний навчальний заклад"</t>
  </si>
  <si>
    <t>57372</t>
  </si>
  <si>
    <t>4825782703</t>
  </si>
  <si>
    <t>Галаганівка</t>
  </si>
  <si>
    <t>Новокиївська загальноосвітня школа І-ІІІступенів Снігурівської районної ради Миколаївської області</t>
  </si>
  <si>
    <t>57364</t>
  </si>
  <si>
    <t>4825782901</t>
  </si>
  <si>
    <t>Новокиївка</t>
  </si>
  <si>
    <t>вул. Степова, 22</t>
  </si>
  <si>
    <t>0954888033</t>
  </si>
  <si>
    <t>Новопетрівська загальноосвітня школа І-ІІІ ступенів Снігурівської районної ради Миколаївської області</t>
  </si>
  <si>
    <t>54427</t>
  </si>
  <si>
    <t>4825783201</t>
  </si>
  <si>
    <t>92-58-39</t>
  </si>
  <si>
    <t>https://sites.google.com/site/novopetrivskazos/administracia-skoli</t>
  </si>
  <si>
    <t>Новопетрівська спеціальна загальноосвітня школа-інтернат</t>
  </si>
  <si>
    <t>57330</t>
  </si>
  <si>
    <t>вул. Coборна, 38</t>
  </si>
  <si>
    <t>2-58-54, 2-12-84</t>
  </si>
  <si>
    <t>04590151</t>
  </si>
  <si>
    <t>Павлівський навчально-виховний комплекс Снігурівської районної ради Миколаївської області</t>
  </si>
  <si>
    <t>57313</t>
  </si>
  <si>
    <t>4825783701</t>
  </si>
  <si>
    <t>0958740783</t>
  </si>
  <si>
    <t>Першотравнева загальноосвітня школа І-ІІІ ступенів Снігурівської районної ради Миколаївської області</t>
  </si>
  <si>
    <t>57350</t>
  </si>
  <si>
    <t>4825783901</t>
  </si>
  <si>
    <t>вул. Вишнева</t>
  </si>
  <si>
    <t>2-31-90</t>
  </si>
  <si>
    <t>http://pershotravneve.edukit.mk.ua</t>
  </si>
  <si>
    <t>Тамаринська загальноосвітня школа І-ІІІ ступенів Снігурівської районної ради Миколаївської області</t>
  </si>
  <si>
    <t>57316</t>
  </si>
  <si>
    <t>4825784201</t>
  </si>
  <si>
    <t>Тамарине</t>
  </si>
  <si>
    <t>вул. Центральна, 12/1</t>
  </si>
  <si>
    <t>0516223747</t>
  </si>
  <si>
    <t>Центральна загальноосвітня школа І-ІІІ ступенів Снігурівської районної ради Миколаївської області</t>
  </si>
  <si>
    <t>57361</t>
  </si>
  <si>
    <t>4825784701</t>
  </si>
  <si>
    <t>Вавилівська загальноосвітня школа І ступеня Снігурівської районної ради Миколаївської області</t>
  </si>
  <si>
    <t>57336</t>
  </si>
  <si>
    <t>4825784702</t>
  </si>
  <si>
    <t>Вавилове</t>
  </si>
  <si>
    <t>Знам'янська загальноосвітня школа І-ІІ ступенів Снігурівської районної ради Миколаївської області</t>
  </si>
  <si>
    <t>57362</t>
  </si>
  <si>
    <t>4825784703</t>
  </si>
  <si>
    <t>вул. Ольшанського, 16</t>
  </si>
  <si>
    <t>Червонодолинська загальноосвітня школа І - ІІІ ступенів Снігурівської районної ради Миколаївської області</t>
  </si>
  <si>
    <t>57320</t>
  </si>
  <si>
    <t>4825785001</t>
  </si>
  <si>
    <t>Червона Долина</t>
  </si>
  <si>
    <t>(0512)24149</t>
  </si>
  <si>
    <t>Широківська загальноосвітня школа І-ІІІ ступенів Снігурівської районної ради Миколаївської області</t>
  </si>
  <si>
    <t>57324</t>
  </si>
  <si>
    <t>4825785005</t>
  </si>
  <si>
    <t>вул. Садова, 36</t>
  </si>
  <si>
    <t>2-46-39</t>
  </si>
  <si>
    <t>Суворська загальноосвітня школа І-ІІІ ст. Снігурівської районної ради Миколаївської області</t>
  </si>
  <si>
    <t>57355</t>
  </si>
  <si>
    <t>4825785201</t>
  </si>
  <si>
    <t>Суворе</t>
  </si>
  <si>
    <t>ДЗ «Дитячий спеціалізований (спеціальний) клінічний санаторій «Зелена гірка»</t>
  </si>
  <si>
    <t>5110100000</t>
  </si>
  <si>
    <t>Одеська область</t>
  </si>
  <si>
    <t>Одеса</t>
  </si>
  <si>
    <t>вул. Дача Ковалевского, 89</t>
  </si>
  <si>
    <t>786-57-95</t>
  </si>
  <si>
    <t>ДЗ "Дитячий спеціальзований (спеціальний) санаторій "Люстдорф"</t>
  </si>
  <si>
    <t>65037</t>
  </si>
  <si>
    <t>вул. З. Космодемьянскої, 1</t>
  </si>
  <si>
    <t>(067)7418722</t>
  </si>
  <si>
    <t>ДЗ «Дитячий спеціалізований (спеціальний) клінічний санаторій «Хаджибей»</t>
  </si>
  <si>
    <t>65044</t>
  </si>
  <si>
    <t>пров. Каркалиждзе, 2</t>
  </si>
  <si>
    <t>7281012</t>
  </si>
  <si>
    <t>Загальноосвітня школа І- ІІІ ступенів Державного підприємства "Український"</t>
  </si>
  <si>
    <t>дорога Миколаївська, 172</t>
  </si>
  <si>
    <t>756-43-03, (066)1645305</t>
  </si>
  <si>
    <t>Комунальний заклад "Одеська спеціальна загальноосвітня школа-інтернат № 87 І-ІІ ступенів"</t>
  </si>
  <si>
    <t>65016</t>
  </si>
  <si>
    <t>вул. Львівська, 5</t>
  </si>
  <si>
    <t>(048)7474693</t>
  </si>
  <si>
    <t>http://school87.od.ua</t>
  </si>
  <si>
    <t>25428667</t>
  </si>
  <si>
    <t>Комунальний заклад "Рішельєвський ліцей"</t>
  </si>
  <si>
    <t>65082</t>
  </si>
  <si>
    <t>вул. Єлісаветинська, 5</t>
  </si>
  <si>
    <t>(048)7238006, (048)7233580</t>
  </si>
  <si>
    <t>20991369</t>
  </si>
  <si>
    <t>Приватний навчальний заклад Загальноосвітня школа І ступені ім. Теофіла Ріхтера</t>
  </si>
  <si>
    <t>65023</t>
  </si>
  <si>
    <t>вул. Новосельського, 68/2</t>
  </si>
  <si>
    <t>(048)7599386</t>
  </si>
  <si>
    <t>Одеська вечірня (змінна) загальноосвітня школа № 25 ІІ-ІІІ ступенів Одеської міської ради Одеської області</t>
  </si>
  <si>
    <t>вул. Cтаропортофранківська, 45 а</t>
  </si>
  <si>
    <t>723-35-20</t>
  </si>
  <si>
    <t>Одеська вечірня загальноосвітня школа № 24 ІІ-ІІІ ступенів Одеської міської ради Одеської області</t>
  </si>
  <si>
    <t>65080</t>
  </si>
  <si>
    <t>вул. Ак. Філатова, 13 - В</t>
  </si>
  <si>
    <t>(048)7255631</t>
  </si>
  <si>
    <t>Одеська гімназія № 5 Одеської міської ради Одеської області</t>
  </si>
  <si>
    <t>65059</t>
  </si>
  <si>
    <t>вул. Малиновського, 29 А</t>
  </si>
  <si>
    <t>(0482)641231</t>
  </si>
  <si>
    <t>Одеська загальноосвітня школа № 1 І - ІІІ ступенів Одеської міської ради Одеської області</t>
  </si>
  <si>
    <t>65005</t>
  </si>
  <si>
    <t>пл. Михайлівська, 10</t>
  </si>
  <si>
    <t>(048)7316277</t>
  </si>
  <si>
    <t>Одеська загальноосвітня школа № 100 І-ІІІ ступенів Одеської міської ради Одеської області</t>
  </si>
  <si>
    <t>65065</t>
  </si>
  <si>
    <t>вул. Варненська, 12</t>
  </si>
  <si>
    <t>(048)765-55-24, (048)765-54-36</t>
  </si>
  <si>
    <t>http://mrvo.od.ua/school/s100</t>
  </si>
  <si>
    <t>Одеська загальноосвітня школа № 103 І-ІІІ ступенів Одеської міської ради Одеської області</t>
  </si>
  <si>
    <t>65007</t>
  </si>
  <si>
    <t>вул. Болгарська, 31</t>
  </si>
  <si>
    <t>(048)721-67-04</t>
  </si>
  <si>
    <t>http://mrvo.od.ua/school/s103</t>
  </si>
  <si>
    <t>Одеська загальноосвітня школа № 11 І-ІІІ ступенів Одеської міської ради Одеської області</t>
  </si>
  <si>
    <t>65031</t>
  </si>
  <si>
    <t>вул. Академіка Воробйова, 6</t>
  </si>
  <si>
    <t>(048)7216718</t>
  </si>
  <si>
    <t>Одеська загальноосвітня школа № 127 І-ІІІ ступенів Одеської міської ради Одеської області</t>
  </si>
  <si>
    <t>65041</t>
  </si>
  <si>
    <t>вул. Хаджибеївська дорога, 34</t>
  </si>
  <si>
    <t>http://srvo.od.ua/school/s127/thermo.edit</t>
  </si>
  <si>
    <t>Одеська загальноосвітня школа № 14 І-ІІІ ступенів Одеської міської ради Одеської області</t>
  </si>
  <si>
    <t>65069</t>
  </si>
  <si>
    <t>вул. Кримська, 56 А</t>
  </si>
  <si>
    <t>755-39-12</t>
  </si>
  <si>
    <t>Одеська загальноосвітня школа № 18 І-ІІІ ступенів Одеської міської ради Одеської області</t>
  </si>
  <si>
    <t>вул. Прохоровська, 46</t>
  </si>
  <si>
    <t>(048)7216706, (048)7216708</t>
  </si>
  <si>
    <t>Одеська загальноосвітня школа № 33 І-ІІІ ступенів Одеської міської ради Одеської області</t>
  </si>
  <si>
    <t>65101</t>
  </si>
  <si>
    <t>вул. Космонавта Комарова, 8</t>
  </si>
  <si>
    <t>(048)765-36-33</t>
  </si>
  <si>
    <t>Одеська загальноосвітня школа № 41 І-ІІІ ступенів Одеської міської ради Одеської області</t>
  </si>
  <si>
    <t>65042</t>
  </si>
  <si>
    <t>пл. Мічуріна, 9</t>
  </si>
  <si>
    <t>((048))7203264</t>
  </si>
  <si>
    <t>Одеська загальноосвітня школа № 48 І-ІІІ ступенів Одеської міської ради Одеської області</t>
  </si>
  <si>
    <t>вул. 11 -та Суворовська, 2</t>
  </si>
  <si>
    <t>(048)7559348, (048)7559360</t>
  </si>
  <si>
    <t>Одеська загальноосвітня школа № 51 І-ІІІ ступенів Одеської міської ради Одеської області</t>
  </si>
  <si>
    <t>вул. Люстдорфська дор., 60</t>
  </si>
  <si>
    <t>(048)7666416</t>
  </si>
  <si>
    <t>http://krvo.od.ua/school/s51/</t>
  </si>
  <si>
    <t>Одеська загальноосвітня школа № 60 І-ІІІ ступенів Одеської міської ради Одеської області</t>
  </si>
  <si>
    <t>65091</t>
  </si>
  <si>
    <t>вул. Комітетська, 5</t>
  </si>
  <si>
    <t>(048)7326948</t>
  </si>
  <si>
    <t>Одеська загальноосвітня школа № 61 І-ІІІ ступенів Одеської міської ради Одеської області</t>
  </si>
  <si>
    <t>вул. Академіка Воробйова, 20/1</t>
  </si>
  <si>
    <t>(048)7202114</t>
  </si>
  <si>
    <t>Одеська загальноосвітня школа № 113 І-ІІІ ступенів Одеської міської ради Одеської області</t>
  </si>
  <si>
    <t>65003</t>
  </si>
  <si>
    <t>вул. Чорноморського козацтва, 7</t>
  </si>
  <si>
    <t>(048)723-32-16</t>
  </si>
  <si>
    <t>Одеська загальноосвітня школа № 118 І-ІІІ ступенів Одеської міської ради Одеської області</t>
  </si>
  <si>
    <t>вул. Приморський р-н, Преображенська, 75</t>
  </si>
  <si>
    <t>(048)7220060</t>
  </si>
  <si>
    <t>Одеська загальноосвітня школа № 120 І-ІІІ ступенів Одеської міської ради Одеської області</t>
  </si>
  <si>
    <t>вул. Дальницька, 58</t>
  </si>
  <si>
    <t>(048)7316285, (048)7424915</t>
  </si>
  <si>
    <t>Одеська загальноосвітня школа № 15 І- ІІІ ступенів Одеської міської ради Одеської області</t>
  </si>
  <si>
    <t>65025</t>
  </si>
  <si>
    <t>вул. Кримська, 80А</t>
  </si>
  <si>
    <t>(048)716-68-22</t>
  </si>
  <si>
    <t>Одеська загальноосвітня школа № 19 І-ІІІ ступенів Одеської міської ради Одеської області</t>
  </si>
  <si>
    <t>65085</t>
  </si>
  <si>
    <t>вул. Кустанайська, 3</t>
  </si>
  <si>
    <t>(048)7212031</t>
  </si>
  <si>
    <t>Одеська загальноосвітня школа № 30 І-ІІІ ступенів Одеської міської ради Одеської області</t>
  </si>
  <si>
    <t>65013</t>
  </si>
  <si>
    <t>вул. Чорноморського козацтва, 175</t>
  </si>
  <si>
    <t>(048)7786417</t>
  </si>
  <si>
    <t>http://www.srvo.od.ua/school/s30</t>
  </si>
  <si>
    <t>Одеська загальноосвітня школа № 44 І-ІІІ ступенів Одеської міської ради Одеської області</t>
  </si>
  <si>
    <t>вул. Героїв Сталінграду, 36</t>
  </si>
  <si>
    <t>(048)7559270, (048)7559208</t>
  </si>
  <si>
    <t>http://www.srvo.od.ua/school/s44/</t>
  </si>
  <si>
    <t>Одеська загальноосвітня школа № 5 І-ІІІ ступенів Одеської міської ради Одеської області</t>
  </si>
  <si>
    <t>65006</t>
  </si>
  <si>
    <t>вул. Балківська, 42/1</t>
  </si>
  <si>
    <t>(048)731-04-16</t>
  </si>
  <si>
    <t>Одеська загальноосвітня школа № 71 І-ІІІ ступенів Одеської міської ради Одеської області</t>
  </si>
  <si>
    <t>65111</t>
  </si>
  <si>
    <t>вул. Паустовського, 17А</t>
  </si>
  <si>
    <t>Одеська загальноосвітня школа № 82 І - ІІІ ступенів Одеської міської ради Одеської області</t>
  </si>
  <si>
    <t>65121</t>
  </si>
  <si>
    <t>просп. Маршала Жукова, 12 - А</t>
  </si>
  <si>
    <t>(048)7619646</t>
  </si>
  <si>
    <t>http://www.krvo.od.ua/school/s82</t>
  </si>
  <si>
    <t>Одеська загальноосвітня школа № 89 I-III ступенів Одеської міської ради Одеської області</t>
  </si>
  <si>
    <t>65122</t>
  </si>
  <si>
    <t>вул. Ільфа і Петрова, 45</t>
  </si>
  <si>
    <t>(048)7494201</t>
  </si>
  <si>
    <t>http://www.krvo.od.ua/school/s89/</t>
  </si>
  <si>
    <t>Одеська загальноосвітня школа-інтернат № 5 І-ІІІ ступенів Одеської міської ради Одеської області</t>
  </si>
  <si>
    <t>65038</t>
  </si>
  <si>
    <t>вул. Дача Ковалевського, 85</t>
  </si>
  <si>
    <t>(048)7865452</t>
  </si>
  <si>
    <t>Одеська загальносвітня школа № 76 І-ІІІ ступенів Одеської міської ради Одеської області</t>
  </si>
  <si>
    <t>вул. Академіка Воробйова, 24</t>
  </si>
  <si>
    <t>(048)7200906, (048)7200053</t>
  </si>
  <si>
    <t>Одеська приватна загальноосвітня школа І-ІІІ ступенів "Крок"</t>
  </si>
  <si>
    <t>вул. Анни Ахматової, 34</t>
  </si>
  <si>
    <t>(048)746-25-30</t>
  </si>
  <si>
    <t>Одеська середня спеціалізована музична школа-інтернат імені професора П.С. Столярського</t>
  </si>
  <si>
    <t>65026</t>
  </si>
  <si>
    <t>вул. Сабанєєв міст, 1</t>
  </si>
  <si>
    <t>(048)722-18-86</t>
  </si>
  <si>
    <t>http://stolyarsky.od.ua/</t>
  </si>
  <si>
    <t>02214260</t>
  </si>
  <si>
    <t>Одеська спеціалізована школа № 111 І - ІІІ ступенів Одеської міської ради Одеської області</t>
  </si>
  <si>
    <t>пл. Молоді, 17</t>
  </si>
  <si>
    <t>(048)7200720</t>
  </si>
  <si>
    <t>25428153</t>
  </si>
  <si>
    <t>Одеська спеціалізована школа № 86 І-ІІІ ступенів з поглибленим вивченням англійської мови Одеської міської ради Одеської області</t>
  </si>
  <si>
    <t>вул. Академіка Вільямса, 79</t>
  </si>
  <si>
    <t>(048)749-39-42, (048)746-71-99</t>
  </si>
  <si>
    <t>http://krvo.od.ua/school/s86/ru/about/about/</t>
  </si>
  <si>
    <t>Одеська спеціалізована школа № 32 I- III ступенів Одеської міської ради Одеської області</t>
  </si>
  <si>
    <t>65070</t>
  </si>
  <si>
    <t>вул. Космонавтів, 60</t>
  </si>
  <si>
    <t>(048)7654828</t>
  </si>
  <si>
    <t>Одеська спеціалізована школа № 50 І-ІІІ ступенів з поглибленим вивченням іноземних мов Одеської міської ради Одеської області</t>
  </si>
  <si>
    <t>вул. Кінна, 46</t>
  </si>
  <si>
    <t>(048)7235576</t>
  </si>
  <si>
    <t>http://www.prvo.od.ua/school/s50/</t>
  </si>
  <si>
    <t>Одеська спеціалізована школа № 54 І ступеня з поглибленим вивченням англійської мови Одеської міської ради Одеської області</t>
  </si>
  <si>
    <t>65072</t>
  </si>
  <si>
    <t>вул. Генерала Петрова, 58А</t>
  </si>
  <si>
    <t>(048)7627439</t>
  </si>
  <si>
    <t>http://mrvo.od.ua/school/s54/</t>
  </si>
  <si>
    <t>Одеська спеціалізована школа І-ІІІ ступенів "Освітні ресурси та технологічний тренінг" № 94 з поглибленим вивченням івриту та інформатики імені Володимира (Зеєва) Жаботинського Одеської міської ради Одеської області</t>
  </si>
  <si>
    <t>65014</t>
  </si>
  <si>
    <t>вул. Маразліївська, 60</t>
  </si>
  <si>
    <t>(38048)7254976</t>
  </si>
  <si>
    <t>Одеська спеціалізована школа-інтернат № 2 І-ІІІ ступенів з поглибленим вивченням англійської мови Одеської міської ради Одеської області</t>
  </si>
  <si>
    <t>просп. Гагаріна, 6</t>
  </si>
  <si>
    <t>(048)776-20-97</t>
  </si>
  <si>
    <t>http://odsint2.com</t>
  </si>
  <si>
    <t>20991961</t>
  </si>
  <si>
    <t>Одеська спеціальна загальноосвітня школа -інтернат № 7 І-ІІ ступенів Одеська обласна рада</t>
  </si>
  <si>
    <t>вул. Авдєєва-Чорноморського, 23</t>
  </si>
  <si>
    <t>((048))63-43-24, ((048))63-43-25, ((048))746-65-41</t>
  </si>
  <si>
    <t>25428101</t>
  </si>
  <si>
    <t>Одеська спеціальна школа № 75 І-ІІ ступенів Одеської міської ради Одеської області</t>
  </si>
  <si>
    <t>(048)7266965, (048)7265606, (048)7266323</t>
  </si>
  <si>
    <t>http://www.prvo.od.ua/school/spec75/</t>
  </si>
  <si>
    <t>Одеський міжшкільний навчально-виробничий комбінат № 2 Одеської міської ради Одеської області</t>
  </si>
  <si>
    <t>вул. Калантаєвська, 52</t>
  </si>
  <si>
    <t>(048)7326679</t>
  </si>
  <si>
    <t>Одеський навчально - виховний комплекс № 310 "Дошкільний навчальний заклад (ясла - садок) комбінованого типу - спеціальна загальноосвітня школа І ступеня" Одеської міської ради Одеської області</t>
  </si>
  <si>
    <t>65089</t>
  </si>
  <si>
    <t>вул. Академіка  Вільямса, 85</t>
  </si>
  <si>
    <t>47-46-01</t>
  </si>
  <si>
    <t>Одеський навчально-виховний комплекс "Гармонія" "Загальноосвітня школа І-ІІ ступенів - гімназія № 6" Одеської міської ради Одеської області</t>
  </si>
  <si>
    <t>65088</t>
  </si>
  <si>
    <t>вул. Олександра Невського, 43 корпус 2А</t>
  </si>
  <si>
    <t>(048)7492940, (048)7492969</t>
  </si>
  <si>
    <t>http://krvo.od.ua/school/gim6/</t>
  </si>
  <si>
    <t>Одеський навчально-виховний комплекс № 49 «Спеціалізована школа - загальноосвітня школа I-III ступенів» Одеської міської ради Одеської області</t>
  </si>
  <si>
    <t>вул. Давида Ойстраха, 12</t>
  </si>
  <si>
    <t>(048)7512093</t>
  </si>
  <si>
    <t>http://srvo.od.ua/school/s49/</t>
  </si>
  <si>
    <t>Одеський приватний навчально-виховний комплекс "Дошкільний навчальний заклад-спеціалізована загальноосвітня школа І-ІІІ ступенів "Ор Самеах" Одеської області.</t>
  </si>
  <si>
    <t>вул. Торгова, 22</t>
  </si>
  <si>
    <t>(048)777-15-64</t>
  </si>
  <si>
    <t>Одеський приватний навчально-виховний комплекс "Дошкільний навчальний заклад -- спеціалізована загальноосвітня школа І-ІІІ ступенів "Хабад""</t>
  </si>
  <si>
    <t>вул. Водопровідна, 13</t>
  </si>
  <si>
    <t>(048)7282159</t>
  </si>
  <si>
    <t>НВК "Загальноосвітня школа I-III ступенів з поглибленням вивченням іноземних мов - дошкільний навчальний заклад "Антартика"</t>
  </si>
  <si>
    <t>65113</t>
  </si>
  <si>
    <t>вул. Корольова, 37Б</t>
  </si>
  <si>
    <t>744-22-91</t>
  </si>
  <si>
    <t>Одеський приватний навчально-виховний комплекс "Загальноосвітня школа І-ІІІ ступенів - дошкільний навчальний заклад "Неугомон" (діяльність призупинена)</t>
  </si>
  <si>
    <t>Товариство з обмеженою відповідальністю "Одеський приватний навчально-виховний комплекс "Загальноосвітня школа І-ІІІ ступенів-ліцей" "Просвіта"</t>
  </si>
  <si>
    <t>вул. Варненська, 13А</t>
  </si>
  <si>
    <t>(048)7199507</t>
  </si>
  <si>
    <t>Одеський спеціальний навчально-виховний комплекс № 241 "Волошки" "Дошкільний навчальний заклад компенсуючого типу - загальноосвітня школа І ступеня" Одеської міської ради Одеської області</t>
  </si>
  <si>
    <t>вул. Махачкалінська, 5А</t>
  </si>
  <si>
    <t>7511277</t>
  </si>
  <si>
    <t>Одеський юридичний ліцей Одеської міської ради Одеської області</t>
  </si>
  <si>
    <t>65012</t>
  </si>
  <si>
    <t>вул. Приморський район, Катерининська, 64</t>
  </si>
  <si>
    <t>(048)7221001</t>
  </si>
  <si>
    <t>http://yurlicey.ukoz.net/</t>
  </si>
  <si>
    <t>Товариство з обмежеою відповідальністю "Одеська загальноосвітня приватна школа 1-3 ступенів "Светоч"</t>
  </si>
  <si>
    <t>вул. Космонавтів, 21/5</t>
  </si>
  <si>
    <t>(048)7154199</t>
  </si>
  <si>
    <t>Комунальний заклад "Одеська спеціальна загальноосвітня школа-інтернат № 34 І-ІІ ступенів"</t>
  </si>
  <si>
    <t>(048)747-01-75, (048)747-03-03</t>
  </si>
  <si>
    <t>25428420</t>
  </si>
  <si>
    <t>Одеська вечірня (змінна) загальноосвітня школа № 3 ІІ-ІІІ ступенів Одеської міської ради Одеської області</t>
  </si>
  <si>
    <t>вул. Б. Хмельницького, 92</t>
  </si>
  <si>
    <t>(048)7322746</t>
  </si>
  <si>
    <t>http://www.mrvo.od.ua/school/s3/</t>
  </si>
  <si>
    <t>Одеський навчально-виховний комплекс № 300 "Спеціалізована школа 1 ступеню - дошкільний навчальний заклад"</t>
  </si>
  <si>
    <t>65058</t>
  </si>
  <si>
    <t>вул. Маршала Говорова, 5</t>
  </si>
  <si>
    <t>(0482)638414</t>
  </si>
  <si>
    <t>Одеська загальноосвітня школа № 106 І-ІІІ ступенів Одеської міської ради Одеської області</t>
  </si>
  <si>
    <t>5110136900</t>
  </si>
  <si>
    <t>Одеса, Київський район</t>
  </si>
  <si>
    <t>пров. Дачний, 1</t>
  </si>
  <si>
    <t>Військово-морський ліцей</t>
  </si>
  <si>
    <t>65049</t>
  </si>
  <si>
    <t>вул. Фонтанська дорога, 14</t>
  </si>
  <si>
    <t>(048)7481060</t>
  </si>
  <si>
    <t>http://www.vml.org.ua</t>
  </si>
  <si>
    <t>26605396</t>
  </si>
  <si>
    <t>Комунальний Заклад "Одеська загальноосвітня санаторна школа-інтернат № 3 І-ІІ ступенів"</t>
  </si>
  <si>
    <t>вул. Дача Ковалевського, 18</t>
  </si>
  <si>
    <t>25428124</t>
  </si>
  <si>
    <t>Комунальний заклад "Одеська спеціальна загальноосвітня школа - інтернат № 91 I-III ступенів"</t>
  </si>
  <si>
    <t>вул. Рєпіна, 1</t>
  </si>
  <si>
    <t>(0482)630242, (0482)630342</t>
  </si>
  <si>
    <t>25427277</t>
  </si>
  <si>
    <t>Комунальний заклад "Одеська спеціальна загальноосвітня школа-інтернат № 97 І-ІІ ступенів"</t>
  </si>
  <si>
    <t>вул. 411 Батареї, 2</t>
  </si>
  <si>
    <t>(0482)360543</t>
  </si>
  <si>
    <t>25428093</t>
  </si>
  <si>
    <t>Комунальний заклад "Одеська спеціальна загальноосвітня школа-інтернат № 88 І-ІІ ступенів"</t>
  </si>
  <si>
    <t>просп. Проспект Свободи, 97</t>
  </si>
  <si>
    <t>25428130</t>
  </si>
  <si>
    <t>Навчально-виховний комплекс "Загальноосвітній навчальний заклад І-ІІІ ступеню-дошкільний навчальний заклад "Інтелект" у вигляді товариства з обмеженою відповідальністю</t>
  </si>
  <si>
    <t>65104</t>
  </si>
  <si>
    <t>вул. Ак. Корольова, 58А</t>
  </si>
  <si>
    <t>(048)7445070</t>
  </si>
  <si>
    <t>http://www.intellekt.od.ua</t>
  </si>
  <si>
    <t>Одеська гімназія № 9 Одеської міської ради Одеської області</t>
  </si>
  <si>
    <t>просп. Академіка Глушка, 1Г</t>
  </si>
  <si>
    <t>http://krvo.od.ua/school/gim9/</t>
  </si>
  <si>
    <t>Одеська загальноосвітня школа № 63 I-III ступенів Одеської міської ради Одеської області</t>
  </si>
  <si>
    <t>вул. Академіка Корольова, 12</t>
  </si>
  <si>
    <t>(048)7445309</t>
  </si>
  <si>
    <t>http://www.krvo.od.ua/school/s63</t>
  </si>
  <si>
    <t>Одеська загальноосвітня школа № 27 І-ІІІ ступенів Одеської міської ради Одеської області</t>
  </si>
  <si>
    <t>вул. Люстдорфська дорога, 33</t>
  </si>
  <si>
    <t>(048)7-66-61-34</t>
  </si>
  <si>
    <t>Одеська загальноосвітня школа № 55 І-ІІІ ступенів Одеської міської ради Одеської області</t>
  </si>
  <si>
    <t>вул. Ільфа і Петрова, 25</t>
  </si>
  <si>
    <t>(0482)44-43-41</t>
  </si>
  <si>
    <t>Одеська загальноосвітня школа № 65 І-ІІІ ступенів Одеської міської ради Одеської області</t>
  </si>
  <si>
    <t>вул. Ак.Корольова, 90</t>
  </si>
  <si>
    <t>(48)744-42-73</t>
  </si>
  <si>
    <t>Одеська загальноосвітня школа № 72 І-ІІІ ступенів Одеської міської ради Одеської області</t>
  </si>
  <si>
    <t>вул. Ільфа і Петрова, 15А</t>
  </si>
  <si>
    <t>(0482)444161, (0482)444172</t>
  </si>
  <si>
    <t>http://krvo.od.ua/school/s72/ru/about/about/</t>
  </si>
  <si>
    <t>Одеська загальноосвітня школа № 78 І-ІІІ ступенів Одеської міської ради Одеської області</t>
  </si>
  <si>
    <t>вул. Люстдорфська дорога, 152</t>
  </si>
  <si>
    <t>(048)7447022, (048)7448041</t>
  </si>
  <si>
    <t>Одеська загальноосвітня школа № 81 І-ІІІ ступенів Одеської міської ради Одеської області</t>
  </si>
  <si>
    <t>вул. Фонтанська дорога, 26</t>
  </si>
  <si>
    <t>(0482)634328, (0482)681780</t>
  </si>
  <si>
    <t>Одеська загальноосвітя школа № 80 І-ІІІ ступенів Одеської міської ради Одеської області</t>
  </si>
  <si>
    <t>65114</t>
  </si>
  <si>
    <t>вул. Ільфа і Петрова, 13/1</t>
  </si>
  <si>
    <t>(0487)44-55-31</t>
  </si>
  <si>
    <t>Одеська загальосвітня школа № 28 I-III ступенів Одеської міської ради Одеської області</t>
  </si>
  <si>
    <t>вул. Академіка Філатова, 13В</t>
  </si>
  <si>
    <t>(048)7662071</t>
  </si>
  <si>
    <t>Одеська згальноосвітня школа № 85 І - ІІІ ступенів Одеської міської ради Одеської області</t>
  </si>
  <si>
    <t>просп. Свободи, 91</t>
  </si>
  <si>
    <t>(0482)360-521</t>
  </si>
  <si>
    <t>http://www.krvo.od.ua/school/s85/</t>
  </si>
  <si>
    <t>Одеський економічний ліцей Одеської міської ради Одеської області</t>
  </si>
  <si>
    <t>(0482)679955</t>
  </si>
  <si>
    <t>http://www.krvo.od.ua/school/licec</t>
  </si>
  <si>
    <t>Одеський міжшкільний навчально-виробничий комбінат № 1 Одеської міської ради Одеської області</t>
  </si>
  <si>
    <t>вул. Ільфа і Петрова, 13Б</t>
  </si>
  <si>
    <t>(048)7445432</t>
  </si>
  <si>
    <t>Одеський навчально-виховний комплекс “Надія” “Загальноосвітня школа І-ІІІ ступенів-дошкільний заклад № 275” Одеської міської ради Одеської області</t>
  </si>
  <si>
    <t>вул. Архитекторська, 20/2</t>
  </si>
  <si>
    <t>(048)7493644, (048)7493967</t>
  </si>
  <si>
    <t>http://nadiya275.odessa.ua/</t>
  </si>
  <si>
    <t>Одеський навчально-виховний комплекс № 263 "Спеціалізована школа І ступеня з поглибленим вивченням англійської мови-дошкільний заклад" Одеської міської ради Одеської області</t>
  </si>
  <si>
    <t>вул. Ак. Вільямса, 54А</t>
  </si>
  <si>
    <t>(048)7452329, (048)7458991</t>
  </si>
  <si>
    <t>http://www.krvo.od.ua/school/s263/</t>
  </si>
  <si>
    <t>Одеський навчально-виховний комплекс № 84 "Спеціалізована школа І-ІІІ ступенів з поглибленим вивченням іноземних мов - загальноосвітня школа І-ІІІ ступенів" Одеської міської ради Одеськї області</t>
  </si>
  <si>
    <t>вул. пр.Академіка Глушка, 1/6</t>
  </si>
  <si>
    <t>(0482)476778, (0482)453623, (0482)450040</t>
  </si>
  <si>
    <t>http://nvk84.org</t>
  </si>
  <si>
    <t>Приватна установа "Одеський навчально-виховний комплекс "Ступені" (загальноосвітня вальдоріська школа І-ІІІ ступенів - дитячий садок)</t>
  </si>
  <si>
    <t>вул. Ільфа і Петрова, 31А</t>
  </si>
  <si>
    <t>(048)7470542</t>
  </si>
  <si>
    <t>Приватний закклад "Одеська приватна спеціалізована школа І-ІІІ ступенів "Гармонія", Департамент освіти та науки Одеської обласної державної адміністрації</t>
  </si>
  <si>
    <t>вул. Корольова, 67</t>
  </si>
  <si>
    <t>http://harmony-school.com.ua</t>
  </si>
  <si>
    <t>англійська,німецька,єврейська</t>
  </si>
  <si>
    <t>Приватний заклад "Одеська приватна загальноосвітня школа І - ІІІ ступенів - ліцей "Чорноморський"</t>
  </si>
  <si>
    <t>вул. Варненська, 3А</t>
  </si>
  <si>
    <t>(048)7662112, (048)7662005</t>
  </si>
  <si>
    <t>Комунальний заклад "Одеська спеціальна загальноосвітня школа-інтернат № 93 I-III ступенів з дошкільними групами корекційного та реабілітаційного спрямування"</t>
  </si>
  <si>
    <t>65078</t>
  </si>
  <si>
    <t>5110137300</t>
  </si>
  <si>
    <t>Одеса, Малиновський район</t>
  </si>
  <si>
    <t>вул. Терешкової, 25А</t>
  </si>
  <si>
    <t>(048)7654217</t>
  </si>
  <si>
    <t>http://school93.od.ua</t>
  </si>
  <si>
    <t>25428118</t>
  </si>
  <si>
    <t>Одеська гімназія № 4 Одеської міської ради Одеської області</t>
  </si>
  <si>
    <t>вул. Болгарська, 88</t>
  </si>
  <si>
    <t>(048)731-82-58</t>
  </si>
  <si>
    <t>Одеська гімназія № 8 Одеської міської ради Одеської області</t>
  </si>
  <si>
    <t>вул. Іцхака Рабіна, 8</t>
  </si>
  <si>
    <t>(048)7623962</t>
  </si>
  <si>
    <t>http://mrvo.od.ua/school/gim8</t>
  </si>
  <si>
    <t>Одеська загальноосвітня школа № 20 І-ІІІ ступенів Одеської міської ради Одеської області</t>
  </si>
  <si>
    <t>вул. В.Терешкової, 48</t>
  </si>
  <si>
    <t>(38048)7621092, (38048)7621123</t>
  </si>
  <si>
    <t>http://www.mrvo.od.ua/school/s20/</t>
  </si>
  <si>
    <t>Одеська загальноосвітня школа № 25 I-III ступенів Одеської міської ради Одеської області</t>
  </si>
  <si>
    <t>вул. Академіка Філатова, 23Б</t>
  </si>
  <si>
    <t>(048)7662901, (048)7663006</t>
  </si>
  <si>
    <t>http://www.mrvo.od.ua/school/s25/</t>
  </si>
  <si>
    <t>Одеська загальноосвітня школа № 31 І-ІІІ ступенів Одеської міської ради Одеської області</t>
  </si>
  <si>
    <t>65033</t>
  </si>
  <si>
    <t>вул. Гастелло, 90А</t>
  </si>
  <si>
    <t>(048)7616168</t>
  </si>
  <si>
    <t>Одеська загальноосвітня школа № 45 І-ІІІ ступенів Одеської міської ради Одеської області</t>
  </si>
  <si>
    <t>вул. Літакова, 5</t>
  </si>
  <si>
    <t>(048)740-27-27, (048)727-96-92</t>
  </si>
  <si>
    <t>http://www.mrvo.od.ua/school/s45</t>
  </si>
  <si>
    <t>Одеська загальноосвітня школа № 46 І-ІІІ ступенів з професійним навчанням Одеської міської ради Одеської області</t>
  </si>
  <si>
    <t>Одеська загальноосвітня школа № 95 І ступеня Одеської міської ради Одеської області</t>
  </si>
  <si>
    <t>65074</t>
  </si>
  <si>
    <t>вул. Туристська, 29А</t>
  </si>
  <si>
    <t>(048)7495045</t>
  </si>
  <si>
    <t>http://mrvo.od.ua/school/s95</t>
  </si>
  <si>
    <t>Одеська загальноосвітня школа № 110 І-ІІІ ступенів Одеської міської ради Одеської області</t>
  </si>
  <si>
    <t>вул. Василя Стуса, 10</t>
  </si>
  <si>
    <t>(048)7326293</t>
  </si>
  <si>
    <t>Одеська загальноосвітня школа № 130 І-ІІІ ступенів Одеської міської ради Одеської області</t>
  </si>
  <si>
    <t>вул. Обнорського, 56</t>
  </si>
  <si>
    <t>(048)7402845</t>
  </si>
  <si>
    <t>Одеська загальноосвітня школа № 8 І-ІІІ ступенів Одеської міської ради Одеської області</t>
  </si>
  <si>
    <t>65017</t>
  </si>
  <si>
    <t>вул. Бреуса, 59</t>
  </si>
  <si>
    <t>Одеська приватна загальноосвітня школа І-ІІІ ступенів С.Русової</t>
  </si>
  <si>
    <t>вул. Запорізька, 30</t>
  </si>
  <si>
    <t>(048)762-29-68</t>
  </si>
  <si>
    <t>Одеська спеціалізована школа № 96 I ступення з поглибленим вивченням англійської мови Одеської міської ради Одеської області</t>
  </si>
  <si>
    <t>вул. Гайдара, 29А</t>
  </si>
  <si>
    <t>(048)7612287</t>
  </si>
  <si>
    <t>Одеська спеціалізована школа № 53 І ступеня з поглибленим вивченням англійської мови Одеської міської ради Оджеської області</t>
  </si>
  <si>
    <t>вул. Терешкової, 35/б</t>
  </si>
  <si>
    <t>(048)7613565</t>
  </si>
  <si>
    <t>Одеська спеціалізована школа № 64 I ступеня з поглибленним вивченням англійської мови Одеської міської ради Одеської області</t>
  </si>
  <si>
    <t>вул. Малиновського, 23</t>
  </si>
  <si>
    <t>(0482)649667</t>
  </si>
  <si>
    <t>Одеська спеціалізована школа № 69 І-ІІІ ступенів з поглибленим вивченням англійскої мови Одеської міської міської ради Одеської області</t>
  </si>
  <si>
    <t>вул. Іцхака Рабіна, 45</t>
  </si>
  <si>
    <t>(0482)379994, (0482)492485</t>
  </si>
  <si>
    <t>http://mrvo.od.ua/school/s69</t>
  </si>
  <si>
    <t>Одеська спеціалізована школа № 99 I ступеня з поглибленим вивченням англійської мови Одеської міської ради Одеської області</t>
  </si>
  <si>
    <t>вул. Старопортофранківська, 40/42</t>
  </si>
  <si>
    <t>Одеський ліцей з посиленою військово-фізичною підготовкою Одеської міської ради Одеської області</t>
  </si>
  <si>
    <t>вул. Профспілкова, 9</t>
  </si>
  <si>
    <t>(048)7616861</t>
  </si>
  <si>
    <t>http://odvl.at.ua</t>
  </si>
  <si>
    <t>Одеський міжшкільний навчально-виробничий комбінат № 3 Одеської міської ради Одеської області</t>
  </si>
  <si>
    <t>(048)7258370</t>
  </si>
  <si>
    <t>Одеський навчально-виховний комплекс № 4 "Загальноосвітня школа І-ІІІ ступенів - гімназія" Одеської міської ради Одеської області</t>
  </si>
  <si>
    <t>просп. Адміральський, 32</t>
  </si>
  <si>
    <t>Одеський навчально-виховний комплекс № 53 «Загальноосвітня школа І-ІІІ ступенів - ліцей» Одеської міської ради Одеської області</t>
  </si>
  <si>
    <t>вул. Генерала Петрова, 34</t>
  </si>
  <si>
    <t>(048)7626253</t>
  </si>
  <si>
    <t>Одеський приватний навчально - виховний комплекс "Загальноосвітня школа І ступеня - дошкільний навчальний заклад "Нарнія"</t>
  </si>
  <si>
    <t>вул. Маршала Малиновського, 35 А</t>
  </si>
  <si>
    <t>(048)770-44-24, (093)7233296</t>
  </si>
  <si>
    <t>http://narnia.sdb.org.ua</t>
  </si>
  <si>
    <t>ОПНВК "Дошкільний навчальний заклад-загальноосвітня школа І-ІІІ ступенів "Гармонія -ХХІ століття"</t>
  </si>
  <si>
    <t>вул. Ак.Філатова, 84А</t>
  </si>
  <si>
    <t>((048)2)371131</t>
  </si>
  <si>
    <t>Приватне підприємство загальноосвітня школа "Майбуття" І - ІІІ ступенів</t>
  </si>
  <si>
    <t>65076</t>
  </si>
  <si>
    <t>вул. Радісна, 21А</t>
  </si>
  <si>
    <t>(048)7624490, (048)7157593</t>
  </si>
  <si>
    <t>Приватний заклад Одеський приватний навчально-виховний комплекс Загальноосвітня школа І ступеня - ДНЗ " Творення особистості"</t>
  </si>
  <si>
    <t>сквер Г.Гамова, 3</t>
  </si>
  <si>
    <t>(048)7434416</t>
  </si>
  <si>
    <t>Навчально - виховний комплекс "Дошкільний навчальний заклад - загальноосвітня школа 1 ступеня" у формі товариства з обмеженою відповідальністю "Чорноморський Центр Освіти"</t>
  </si>
  <si>
    <t>5110137500</t>
  </si>
  <si>
    <t>Одеса, Приморський район</t>
  </si>
  <si>
    <t>вул. Танкерна, 2</t>
  </si>
  <si>
    <t>(048)7853276</t>
  </si>
  <si>
    <t>Комунальний заклад "Одеська загальноосвітня санаторна школа-інтернат № 6 I-II ступенів"</t>
  </si>
  <si>
    <t>65020</t>
  </si>
  <si>
    <t>вул. Ясіновського, 3А</t>
  </si>
  <si>
    <t>(048)731-62-80</t>
  </si>
  <si>
    <t>20986121</t>
  </si>
  <si>
    <t>Одеська вечірня (змінна) загальноосвітня школа № 19 ІІ-ІІІ ступенів Одеської міської ради Одеської області</t>
  </si>
  <si>
    <t>вул. Троїцька, 28</t>
  </si>
  <si>
    <t>(048)7228771</t>
  </si>
  <si>
    <t>http://www.prvo.od.ua/school/s19/</t>
  </si>
  <si>
    <t>Одеська гімназія № 1 імені А.П.Бистріної Одеської міської ради Одеської області</t>
  </si>
  <si>
    <t>65045</t>
  </si>
  <si>
    <t>вул. Олександрівський проспект, 11</t>
  </si>
  <si>
    <t>(048)7227000</t>
  </si>
  <si>
    <t>російська,англійська,німецька,французька,китайська</t>
  </si>
  <si>
    <t>Одеська загальноосвітня приватна I-III ступенів художньо - естетичного профілю школа "Костанді"</t>
  </si>
  <si>
    <t>пров. Лютеранський, 3</t>
  </si>
  <si>
    <t>(048)726-37-89</t>
  </si>
  <si>
    <t>Одеська загальноосвітня школа № 105 І-ІІІ ступенів Одеської міської ради Одеської області</t>
  </si>
  <si>
    <t>вул. Пастера, 17</t>
  </si>
  <si>
    <t>(048)7232488</t>
  </si>
  <si>
    <t>http://www.prvo.od.ua/school/s105</t>
  </si>
  <si>
    <t>Одеська загальноосвітня школа № 16 І-ІІІ ступенів Одеської міської ради Одеської області</t>
  </si>
  <si>
    <t>вул. Пироговська, 25</t>
  </si>
  <si>
    <t>(048)7225083, (048)7274282</t>
  </si>
  <si>
    <t>Одеська загальноосвітня школа № 37 І-ІІІ ступенів Одеської міської ради Одеської області</t>
  </si>
  <si>
    <t>вул. Софіївська, 26</t>
  </si>
  <si>
    <t>(048)7233506</t>
  </si>
  <si>
    <t>http://www.prvo.od.ua/school/s37/</t>
  </si>
  <si>
    <t>Одеська загальноосвітня школа № 39 І-ІІІ ступенів Одеської міської ради Одеської області</t>
  </si>
  <si>
    <t>65125</t>
  </si>
  <si>
    <t>(048)722-11-01, (048)724-66-87</t>
  </si>
  <si>
    <t>Одеська загальноосвітня школа № 47 I - III ступенів Одеської міської ради Одеської області</t>
  </si>
  <si>
    <t>вул. Льва Толстого, № 8</t>
  </si>
  <si>
    <t>(048)7269780</t>
  </si>
  <si>
    <t>Одеська загальноосвітня школа № 56 І-ІІІ ступенів Одеської міської ради Одеської області</t>
  </si>
  <si>
    <t>65009</t>
  </si>
  <si>
    <t>вул. Тіниста, 1</t>
  </si>
  <si>
    <t>(0482)638267, (0482)681863</t>
  </si>
  <si>
    <t>Одеська загальноосвітня школа № 58 І-ІІІ ступенів Одеської міської ради Одеської області</t>
  </si>
  <si>
    <t>вул. Тираспольська, 14</t>
  </si>
  <si>
    <t>726-68-66</t>
  </si>
  <si>
    <t>Одеська загальноосвітня школа № 68 І-ІІІ ступенів Одеської міської ради Одеської області</t>
  </si>
  <si>
    <t>65011</t>
  </si>
  <si>
    <t>вул. Успенська, 58</t>
  </si>
  <si>
    <t>(048)722-442-54</t>
  </si>
  <si>
    <t>Одеська загальноосвітня школа № 77 І - ІІІ ступенів Одеської міської ради Одеської області</t>
  </si>
  <si>
    <t>65039</t>
  </si>
  <si>
    <t>вул. Транспортна, 12</t>
  </si>
  <si>
    <t>(048)7762542</t>
  </si>
  <si>
    <t>Одеська загальноосвітня школа № 101 І-ІІІ ступенів Одеської міської ради Одеської області</t>
  </si>
  <si>
    <t>вул. Велика Арнаутська, 9</t>
  </si>
  <si>
    <t>(048)722-13-82</t>
  </si>
  <si>
    <t>Одеська загальноосвітня школа № 107 І-ІІІ ступенів Одеської міської ради Одеської області</t>
  </si>
  <si>
    <t>вул. Льва Толстого, 30</t>
  </si>
  <si>
    <t>(048)7268770, (048)7268771</t>
  </si>
  <si>
    <t>http://prvo.od.ua/school/s107/ru/about/about/</t>
  </si>
  <si>
    <t>Одеська загальноосвітня школа № 26 І-ІІІ ступенів Одеської міської ради Одеської області</t>
  </si>
  <si>
    <t>вул. Старопортофранківська, 32</t>
  </si>
  <si>
    <t>Одеська загальноосвітня школа № 38 I-III ступенів Одеської міської ради Одеської області</t>
  </si>
  <si>
    <t>вул. Одеська область,м.Одеса, Приморський район, Ф, 37</t>
  </si>
  <si>
    <t>(0482)685984</t>
  </si>
  <si>
    <t>Одеська загальноосвітня школа № 43 І-ІІІ ступенів Одеської міської ради Одеської області</t>
  </si>
  <si>
    <t>(048)7238368</t>
  </si>
  <si>
    <t>http://www.prvo.od.ua/school/s43</t>
  </si>
  <si>
    <t>російська,англійська,італійська</t>
  </si>
  <si>
    <t>Одеська загальноосвітня школа № 52 І-ІІІ ступенів Одеської міської ради Одеської області</t>
  </si>
  <si>
    <t>вул. Троїцька, 49/51</t>
  </si>
  <si>
    <t>7281099</t>
  </si>
  <si>
    <t>Одеська загальноосвітня школа № 57 І-ІІІ ступенів імені Героя Радянського Союзу О.М. Орлікова Одеської міської ради Одеської області</t>
  </si>
  <si>
    <t>вул. Ямчитського, 7</t>
  </si>
  <si>
    <t>(047)725-34-20</t>
  </si>
  <si>
    <t>Одеська загальноосвітня школа № 62 І-ІІІ ступенів Одеської міської ради Одеської області</t>
  </si>
  <si>
    <t>просп. Проспект Шевченка, 10</t>
  </si>
  <si>
    <t>(048)689160</t>
  </si>
  <si>
    <t>Одеська загальноосвітня школа № 79 І-ІІІ ступенів Одеської міської ради Одеської області</t>
  </si>
  <si>
    <t>(048)722-42-43</t>
  </si>
  <si>
    <t>http://prvo.od.ua/school/s79/</t>
  </si>
  <si>
    <t>Одеська зальноосвітня школа № 122 І-ІІІ ступенів Одеської міської ради Одеської області</t>
  </si>
  <si>
    <t>62023</t>
  </si>
  <si>
    <t>вул. Старопортрофранківська, 45</t>
  </si>
  <si>
    <t>(048)723-55-72</t>
  </si>
  <si>
    <t>http://www.od_school_122.sitecity.ru.ru</t>
  </si>
  <si>
    <t>Одеська Маріїнська гімназія Одеської міської ради Одеської області</t>
  </si>
  <si>
    <t>(048)7265979</t>
  </si>
  <si>
    <t>Одеська приватна гімназія "Мрія"</t>
  </si>
  <si>
    <t>б-р Французький, 60</t>
  </si>
  <si>
    <t>(063)7351211</t>
  </si>
  <si>
    <t>Одеська приватна загальноосвітня І-ІІІ ступенів школа "Вєда"</t>
  </si>
  <si>
    <t>65029</t>
  </si>
  <si>
    <t>вул. Мечникова, 32 А</t>
  </si>
  <si>
    <t>(048)7322335</t>
  </si>
  <si>
    <t>Одеська спеціалізована школа № 117 І-ІІІ ступенів Одеської міської ради Одеської області</t>
  </si>
  <si>
    <t>вул. Ришельєвська, 18</t>
  </si>
  <si>
    <t>(048)7258352</t>
  </si>
  <si>
    <t>http://prvo.od.ua/school/s117</t>
  </si>
  <si>
    <t>Одеська спеціалізована школа № 121 І-ІІІ ступенів з поглибленим вивченням іноземних мов Одеської міської ради Одеської області</t>
  </si>
  <si>
    <t>вул. Льва Толстого, 1</t>
  </si>
  <si>
    <t>(048)7265994</t>
  </si>
  <si>
    <t>http://prvo.od.ua/school/s121/</t>
  </si>
  <si>
    <t>Одеська спеціалізована школа № 35 І-ІІІ ступенів з поглибленим вивченням англійської мови Одеської міської ради Одеської області</t>
  </si>
  <si>
    <t>просп. Гагаріна, 3</t>
  </si>
  <si>
    <t>(048)725-84-84</t>
  </si>
  <si>
    <t>Одеська спеціалізована школа № 59 I-III ступенів олімпійского резерву Одеської міської ради Одеської Області</t>
  </si>
  <si>
    <t>вул. Канатна, 89</t>
  </si>
  <si>
    <t>(048)7221800</t>
  </si>
  <si>
    <t>Одеська спеціалізована школа № 10 І-ІІІ ступенів імені льотчиків-космонавтів Г.Т.Добровольського та Г.С.Шоніна</t>
  </si>
  <si>
    <t>вул. 10 квітня, 22</t>
  </si>
  <si>
    <t>(048)7267680</t>
  </si>
  <si>
    <t>Одеська спеціалізована школа № 119 І ступеня з поглибленим вивченням англійської мови Одеської міської ради Одеської області</t>
  </si>
  <si>
    <t>вул. Жуковського, 39</t>
  </si>
  <si>
    <t>(2246274)7268862</t>
  </si>
  <si>
    <t>Одеська спеціалізована школа № 21 І-ІІІ ступенів спортивного напряму Одеської міської ради Одеської області</t>
  </si>
  <si>
    <t>пров. Старокінний, 9</t>
  </si>
  <si>
    <t>(048)7216731</t>
  </si>
  <si>
    <t>Одеський ліцей "Приморський" Одеської міської ради Одеської області</t>
  </si>
  <si>
    <t>просп. Гагаріна, 14</t>
  </si>
  <si>
    <t>(048)7761375</t>
  </si>
  <si>
    <t>Одеський навчально-виховний комплекс “Гімназія № 2” - спеціалізована школа І ступеня з поглибленим вивченням англійської мови Одеської міської ради Одеської області</t>
  </si>
  <si>
    <t>вул. Гаванна, 5А</t>
  </si>
  <si>
    <t>(048)7230398</t>
  </si>
  <si>
    <t>http://prvo.od.ua/school/gim2</t>
  </si>
  <si>
    <t>Одеський навчально-виховний комплекс № 90 ім. О. С. Пушкіна "Спеціалізована школа І-ІІІ ступенів-дошкільний навчальний заклад" Одеської міської ради Одеської області</t>
  </si>
  <si>
    <t>вул. Велика Арнаутська, 2 б</t>
  </si>
  <si>
    <t>(048)7221022</t>
  </si>
  <si>
    <t>Одеський приватний навчально-виховний комплекс "Загальноосвітня школа І ступеня з поглибленим вивченням іноземних мов-дошкільний навчальний заклад Мрія"</t>
  </si>
  <si>
    <t>б-р Французский, 60</t>
  </si>
  <si>
    <t>063-735-12-11</t>
  </si>
  <si>
    <t>Приватний заклад "Одеська приватна загальноосвітня школа І-ІІІ ступенів "Ніка-М"</t>
  </si>
  <si>
    <t>(048)7051013</t>
  </si>
  <si>
    <t>Приватний-навчально-виховний комплекс "Вільна школа "АСТР" м. Одеса</t>
  </si>
  <si>
    <t>вул. Фонтанська дорога, 25</t>
  </si>
  <si>
    <t>(048)7480542</t>
  </si>
  <si>
    <t>Товариство з обмеженною відповідальністю " Навчально-виховний комплекс : загальноосвітня школа I ступеня - дошкільний навчальний заклад " Престиж"</t>
  </si>
  <si>
    <t>вул. Спиридонівська, 23</t>
  </si>
  <si>
    <t>(048)7224296</t>
  </si>
  <si>
    <t>Одеська загальноосвітня школа № 12 І-ІІІ ступенів Одеської міської ради Одеської області</t>
  </si>
  <si>
    <t>5110137600</t>
  </si>
  <si>
    <t>Одеса, Суворовський район</t>
  </si>
  <si>
    <t>вул. Марсельська, 6</t>
  </si>
  <si>
    <t>(048)755-16-91</t>
  </si>
  <si>
    <t>http://www.srvo.od.ua/school/s12/</t>
  </si>
  <si>
    <t>Одеська загальноосвітня школа № 23 І-ІІІ ступенів Одеської міської ради Одеської області</t>
  </si>
  <si>
    <t>65102</t>
  </si>
  <si>
    <t>вул. Миколаївська дорога, 283</t>
  </si>
  <si>
    <t>(048)7565662</t>
  </si>
  <si>
    <t>Одеська загальноосвітня школа № 66 І-ІІІ ступенів Одеської міської ради Одеської області</t>
  </si>
  <si>
    <t>вул. Отамана Головатого, 94</t>
  </si>
  <si>
    <t>Одеська загальноосвітня школа № 73 І-ІІІ ступенів Одеської міської ради Одеської області</t>
  </si>
  <si>
    <t>65086</t>
  </si>
  <si>
    <t>вул. Висоцького, 16</t>
  </si>
  <si>
    <t>(048)7516892, (0482)524279</t>
  </si>
  <si>
    <t>Одеська загальноосвітня школа № 92 I-III ступенів Одеської міської ради Одеської області</t>
  </si>
  <si>
    <t>вул. Генерала Бочарова, 67</t>
  </si>
  <si>
    <t>(048)7849194, (048)7516898, (048)7849199</t>
  </si>
  <si>
    <t>http://srvo.od.ua/school/s92</t>
  </si>
  <si>
    <t>Одеська загальноосвітня школа № 125 І-ІІІ ступенів Одеської міської ради Одеської області</t>
  </si>
  <si>
    <t>65055</t>
  </si>
  <si>
    <t>вул. Кругова, 1</t>
  </si>
  <si>
    <t>(048)778-16-50</t>
  </si>
  <si>
    <t>http://www.srvo.od.ua/school/s125/</t>
  </si>
  <si>
    <t>Одеська загальноосвітня школа № 22 І-ІІІ ступенів Одеської міської ради Одеської області</t>
  </si>
  <si>
    <t>вул. Махачкалинська, 4</t>
  </si>
  <si>
    <t>(048)7523445</t>
  </si>
  <si>
    <t>Одеська спеціалізована школа № 40 І-ІІІ ступенів Одеської міської ради Одеської області</t>
  </si>
  <si>
    <t>вул. Давида Ойстраха, 15 А</t>
  </si>
  <si>
    <t>(0482)523440</t>
  </si>
  <si>
    <t>Одеська спеціалізована школа № 17 І - ІІІ ступенів з поглибленим вивченням англійської мови Одеської міської ради Одеської області</t>
  </si>
  <si>
    <t>вул. Махачкалинська, 7</t>
  </si>
  <si>
    <t>(048)7063275, (048)529941, (048)528728</t>
  </si>
  <si>
    <t>http://srvo.od.ua/school/s17</t>
  </si>
  <si>
    <t>Одеський навчально-виховний комплекс "Гімназія № 7-спеціалізована школа І ступеня з поглибленим вивченням англійської мови" Одеської міської ради Одеської області</t>
  </si>
  <si>
    <t>вул. Ростовська, 4А</t>
  </si>
  <si>
    <t>http://www.srvo.od.ua/school/gim7/</t>
  </si>
  <si>
    <t>Одеський навчально-виховний комплекс "Морський ліцей-загальноосвітня школа № 24 І-ІІІ ступенів" Одеської міської ради Одеської області</t>
  </si>
  <si>
    <t>вул. Академіка Заболотного, 38А</t>
  </si>
  <si>
    <t>(0482)543616</t>
  </si>
  <si>
    <t>Одеський навчально-виховний комплекс № 187 "Дошкільний навчальний заклад-загальноосвітня школа І ступеня" Одеської міської ради Одеської області</t>
  </si>
  <si>
    <t>65096</t>
  </si>
  <si>
    <t>вул. Посівна, 11</t>
  </si>
  <si>
    <t>(048)720-32-96, (048)720-32-96</t>
  </si>
  <si>
    <t>Одеський навчально-виховний комплекс № 292 "Дошкільний навчальний заклад - спеціалізована школа І ступеня з поглибленим вивченням англійської мови" Одеської міської ради Одеської області</t>
  </si>
  <si>
    <t>вул. Заболотного, 35А</t>
  </si>
  <si>
    <t>(048)755-88-01</t>
  </si>
  <si>
    <t>http://www.srvo.od.ua/school/s292/</t>
  </si>
  <si>
    <t>Одеський навчально-виховний комплекс № 13 "Загальноосвітня школа І-ІІІ ступенів - гімназія" Одеської міської ради Одеської області</t>
  </si>
  <si>
    <t>вул. Кримська, 62А</t>
  </si>
  <si>
    <t>(0482)52-25-38, (048)758-33-22</t>
  </si>
  <si>
    <t>http://srvo.od.ua/school/gim13</t>
  </si>
  <si>
    <t>Одеський навчально-виховний комплекс № 67 "Загальноосвітня школа І-ІІІ ступенів - ліцей" Одеської міської ради Одеської області</t>
  </si>
  <si>
    <t>вул. генерала Бочарова, 14А</t>
  </si>
  <si>
    <t>(048)7581856, (048)7581845</t>
  </si>
  <si>
    <t>Одеський санаторний навчально - виховний комплекс № 313 "Дошкільний навчальний заклад компенсуючого типу - загальноосвітня школа І ступеня" Одеської міської ради Одеської області</t>
  </si>
  <si>
    <t>вул. Капітана Кузнєцова, 101</t>
  </si>
  <si>
    <t>(048)755-28-23</t>
  </si>
  <si>
    <t>Комунальний заклад "Балтська загальноосвітня школа- інтернат № 2 І-ІІ ступенів"</t>
  </si>
  <si>
    <t>66100</t>
  </si>
  <si>
    <t>5110200000</t>
  </si>
  <si>
    <t>Балта</t>
  </si>
  <si>
    <t>вул. Уварова, 85</t>
  </si>
  <si>
    <t>(04866)22254</t>
  </si>
  <si>
    <t>20954902</t>
  </si>
  <si>
    <t>Комунальний заклад "Балтська спеціальна загальноосвітня школа-інтернат № 1 І-ІІ ступенів"</t>
  </si>
  <si>
    <t>66101</t>
  </si>
  <si>
    <t>(04866)2-12-51</t>
  </si>
  <si>
    <t>22495775</t>
  </si>
  <si>
    <t>Навчально-виховний комплекс "Балтська загальноосвітня школа І-ІІІ ступенів № 1 імені Олеся Гончара-ліцей" Балтської міської ради Одеської області</t>
  </si>
  <si>
    <t>вул. Любомирська, 296</t>
  </si>
  <si>
    <t>(04866)2-2945</t>
  </si>
  <si>
    <t>http://balta-school1.od.sch.in.ua/</t>
  </si>
  <si>
    <t>26470944</t>
  </si>
  <si>
    <t>НАВЧАЛЬНО-ВИХОВНИЙ КОМПЛЕКС "БАЛТСЬКА ЗАГАЛЬНООСВІТНЯ ШКОЛА І-ІІІ СТУПЕНІВ № 2 - ГІМНАЗІЯ" БАЛТСЬКОЇ МІСЬКОЇ РАДИ ОДЕСЬКОЇ ОБЛАСТІ</t>
  </si>
  <si>
    <t>(04866)21105</t>
  </si>
  <si>
    <t>http://baltaschool2g.ucoz.ua</t>
  </si>
  <si>
    <t>26470938</t>
  </si>
  <si>
    <t>Навчально-виховний комплекс "Балтська загальноосвітня школа І-ІІІ ступенів № 3 - колегіум" Балтської міської ради Одеської області</t>
  </si>
  <si>
    <t>вул. Уварова, 96</t>
  </si>
  <si>
    <t>(04866)22660</t>
  </si>
  <si>
    <t>http://balzosh3.odessaedu.net</t>
  </si>
  <si>
    <t>34010891</t>
  </si>
  <si>
    <t>Білгород-Дністровська вечірня (змінна) школа Одеської області</t>
  </si>
  <si>
    <t>67700</t>
  </si>
  <si>
    <t>5110300000</t>
  </si>
  <si>
    <t>Білгород-Дністровський</t>
  </si>
  <si>
    <t>вул. Михайлівська, 66</t>
  </si>
  <si>
    <t>(04849)27107</t>
  </si>
  <si>
    <t>http://bdnistrvehirnz.odessaedu.net</t>
  </si>
  <si>
    <t>Білгород-Дністровська загальноосвітня школа І-ІІІ ступенів № 11 Одеської області</t>
  </si>
  <si>
    <t>вул. Південна, 25</t>
  </si>
  <si>
    <t>(04849)6-52-65</t>
  </si>
  <si>
    <t>http://bdnistrznz11.odessaedu.net</t>
  </si>
  <si>
    <t>Білгород-Дністровська загальноосвітня школа І-ІІІ ступенів № 3 Одеської області</t>
  </si>
  <si>
    <t>67707</t>
  </si>
  <si>
    <t>(04849)22515, (04849)28291</t>
  </si>
  <si>
    <t>Білгород-Дністровська загальноосвітня школа І-ІІІ ступенів № 5 Одеської області</t>
  </si>
  <si>
    <t>вул. Комсомольська, 18</t>
  </si>
  <si>
    <t>(04849)27109</t>
  </si>
  <si>
    <t>Білгорд-Дністровський навчально-виховний комплекс "загальноосвітня школа ІІ ступеня-ліцей"</t>
  </si>
  <si>
    <t>вул. Маяковського, 29</t>
  </si>
  <si>
    <t>Білгород-Дністровський районний ліцей</t>
  </si>
  <si>
    <t>((04849))3-19-17</t>
  </si>
  <si>
    <t>Загальноосвітня школа I-III ступенів № 6 м.Білгорода-Дністровського Одеськой області</t>
  </si>
  <si>
    <t>вул. Кишинівська, 74</t>
  </si>
  <si>
    <t>(04849)22169, (04849)28170</t>
  </si>
  <si>
    <t>Загальноосвітня школа І-ІІІ ступенів № 1 м. Білгорода-Дністровського Одеської області</t>
  </si>
  <si>
    <t>67701</t>
  </si>
  <si>
    <t>(04849)2-24-08</t>
  </si>
  <si>
    <t>Загальноосвітня школа І-ІІІ ступенів № 4 м. Білгорода-Дністровського Одеської області</t>
  </si>
  <si>
    <t>вул. Ізмаїльська, 130</t>
  </si>
  <si>
    <t>(04849)35931</t>
  </si>
  <si>
    <t>КЗ "Білгород-Дністровська спеціальна загальноосвітня школа-інтернат № 10 І-ІІ ступенів "</t>
  </si>
  <si>
    <t>вул. Кутузова, 6</t>
  </si>
  <si>
    <t>(04849)22624</t>
  </si>
  <si>
    <t>20992363</t>
  </si>
  <si>
    <t>Комунальний заклад "Білгород-Дністровський дитячий будинок змішаного типу для дітей дошкільного та шкільного віку"</t>
  </si>
  <si>
    <t>67708</t>
  </si>
  <si>
    <t>вул. Сонячна, 14А</t>
  </si>
  <si>
    <t>(04849)25060</t>
  </si>
  <si>
    <t>Комунальний заклад "Навчально-виховний комплекс "Дошкільний навчальний заклад - загальноосвітня школа І ступеня" імені С.О. Морозової"</t>
  </si>
  <si>
    <t>вул. Театральна, 14</t>
  </si>
  <si>
    <t>(04849)6-55-53</t>
  </si>
  <si>
    <t>Комунальний заклад "Навчально-виховний комплекс "Загальноосвітня школа І-ІІІ ступенів - гімназія" м.Білгорода-Дністровського Одеської області</t>
  </si>
  <si>
    <t>вул. Московська, 37</t>
  </si>
  <si>
    <t>(04849)60753</t>
  </si>
  <si>
    <t>Затоківська загальноосвітня школа І-ІІІ ступенів № 9</t>
  </si>
  <si>
    <t>67772</t>
  </si>
  <si>
    <t>5110345300</t>
  </si>
  <si>
    <t>Затока</t>
  </si>
  <si>
    <t>вул. Зарипова, 2</t>
  </si>
  <si>
    <t>(04849)71-240</t>
  </si>
  <si>
    <t>Сергіївська загальноосвітня школа I-III ступенів № 8 м. Білгорода-Дністровського Одеської області</t>
  </si>
  <si>
    <t>67780</t>
  </si>
  <si>
    <t>5110345700</t>
  </si>
  <si>
    <t>(04849)47884</t>
  </si>
  <si>
    <t>http://sergznz8.odessaedu.net</t>
  </si>
  <si>
    <t>Біляївська загальноосвітня школа І - ІІІ ступенів № 3 Біляївського району Одеської області</t>
  </si>
  <si>
    <t>67601</t>
  </si>
  <si>
    <t>5110500000</t>
  </si>
  <si>
    <t>Біляївка</t>
  </si>
  <si>
    <t>вул. Садова, 13</t>
  </si>
  <si>
    <t>Біляївська загальноосвітня школа І-ІІІ ступенів № 1 Біляївської міської ради Одеської області</t>
  </si>
  <si>
    <t>67600</t>
  </si>
  <si>
    <t>вул. Костіна, 1</t>
  </si>
  <si>
    <t>(04852)25446, (04852)25242</t>
  </si>
  <si>
    <t>http://bilbilznz1.odessaedu.net</t>
  </si>
  <si>
    <t>Біляївська загальноосвітня школа І-ІІІ ступенів № 2 Біляївської міської ради Одеської області</t>
  </si>
  <si>
    <t>67602</t>
  </si>
  <si>
    <t>пров. І Шевченка, 18</t>
  </si>
  <si>
    <t>(04852)25852, (04852)25584</t>
  </si>
  <si>
    <t>Загальноосвітній політехнічний ліцей ІІ-ІІІ ступенів м. Ізмаїл Одеської області</t>
  </si>
  <si>
    <t>68600</t>
  </si>
  <si>
    <t>5110600000</t>
  </si>
  <si>
    <t>Ізмаїл</t>
  </si>
  <si>
    <t>просп. Суворова, 53</t>
  </si>
  <si>
    <t>(241)2-01-28</t>
  </si>
  <si>
    <t>http://www.ipl.net.ua</t>
  </si>
  <si>
    <t>23210728</t>
  </si>
  <si>
    <t>загальноосвітня вечірня школа ІІ-ІІІ ступенів міста Ізмаїл Одеської області</t>
  </si>
  <si>
    <t>вул. Адмірала Холостякова, 79</t>
  </si>
  <si>
    <t>(04841)20548</t>
  </si>
  <si>
    <t>26249464</t>
  </si>
  <si>
    <t>Загальноосвітня школа № 10 І-ІІІ ступенів міста Ізмаїл Одеської області</t>
  </si>
  <si>
    <t>вул. Івана Франка, 17</t>
  </si>
  <si>
    <t>(04841)57513, (04841)57422</t>
  </si>
  <si>
    <t>19044307</t>
  </si>
  <si>
    <t>Загальноосвітня школа № 14 І-ІІІ ступенів міста Ізмаїл Одеської області</t>
  </si>
  <si>
    <t>68602</t>
  </si>
  <si>
    <t>вул. Нижньо-Садова, 5А</t>
  </si>
  <si>
    <t>(04841)7-92-23, (04841)7-91-96</t>
  </si>
  <si>
    <t>24543685</t>
  </si>
  <si>
    <t>Загальноосвітня школа № 2 І-ІІІ ступенів міста Ізмаїл Одеської області</t>
  </si>
  <si>
    <t>вул. Бендерська, 28</t>
  </si>
  <si>
    <t>(04841)22724, (04841)22712, (04841)22713</t>
  </si>
  <si>
    <t>http://izmailschool2.at.ua</t>
  </si>
  <si>
    <t>24772902</t>
  </si>
  <si>
    <t>ЗАГАЛЬНООСВІТНЯ ШКОЛА № 6 І-ІІІ СТУПЕНІВ МІСТА ІЗМАЇЛ ОДЕСЬКОЇ ОБЛАСТІ</t>
  </si>
  <si>
    <t>(04841)203-48</t>
  </si>
  <si>
    <t>24772931</t>
  </si>
  <si>
    <t>Загальноосвітня школа № 9 І-ІІІ ступенів міста Ізмаїл Одеської області</t>
  </si>
  <si>
    <t>вул. Івана Франка, 8</t>
  </si>
  <si>
    <t>(04841)53835</t>
  </si>
  <si>
    <t>http://school-izm9.ucoz.ua/</t>
  </si>
  <si>
    <t>22499879</t>
  </si>
  <si>
    <t>Загальноосвітня школа № 11 І-ІІІ ступенів міста Ізмаїл Одеської області</t>
  </si>
  <si>
    <t>просп. Суворова, 186</t>
  </si>
  <si>
    <t>24772925</t>
  </si>
  <si>
    <t>Загальноосвітня школа № 3 І-ІІІ ступенів міста Ізмаїл Одеської області</t>
  </si>
  <si>
    <t>вул. Пушкіна, 123</t>
  </si>
  <si>
    <t>(04841)34385</t>
  </si>
  <si>
    <t>26249429</t>
  </si>
  <si>
    <t>Загальноосвітня школа № 4 І-ІІІ ступенів міста Ізмаїл Одеської області</t>
  </si>
  <si>
    <t>вул. Героїв-Сталінграду, 25</t>
  </si>
  <si>
    <t>(04841)6-21-79</t>
  </si>
  <si>
    <t>http://school-izm4.at.ua</t>
  </si>
  <si>
    <t>26249197</t>
  </si>
  <si>
    <t>Загальноосвітня школа № 7 І-ІІІ ступенів міста Ізмаїл Одеської області</t>
  </si>
  <si>
    <t>вул. Горького, 1 - а</t>
  </si>
  <si>
    <t>http://school7.pp.ua/</t>
  </si>
  <si>
    <t>24537325</t>
  </si>
  <si>
    <t>Загальноосвітня школа № 8 І-ІІІ ступенів міста Ізмаїл Одеської області</t>
  </si>
  <si>
    <t>68603</t>
  </si>
  <si>
    <t>вул. Нахімова, 411</t>
  </si>
  <si>
    <t>(04841)7-08-74</t>
  </si>
  <si>
    <t>24772948</t>
  </si>
  <si>
    <t>КЗ "Ізмаїльська спеціалізована школа-інтернат-військово-морський ліцей з посиленою військово-фізичною підготовкою"</t>
  </si>
  <si>
    <t>вул. Фанагорійська, 7</t>
  </si>
  <si>
    <t>23209719</t>
  </si>
  <si>
    <t>КОМУНАЛЬНИЙ ЗАКЛАД "ІЗМАЇЛЬСЬКА СПЕЦІАЛЬНА ЗАГАЛЬНООСВІТНЯ ШКОЛА № 5 І-ІІ СТУПЕНІВ"</t>
  </si>
  <si>
    <t>вул. Шкільна, 131</t>
  </si>
  <si>
    <t>(04841)20564, (04841)20576</t>
  </si>
  <si>
    <t>23208890</t>
  </si>
  <si>
    <t>Приватний загальноосвітній навчальний заклад-школа І-ІІ ступенів "Стежинка"</t>
  </si>
  <si>
    <t>68609</t>
  </si>
  <si>
    <t>вул. Телеграфна, 76</t>
  </si>
  <si>
    <t>(04841)75088</t>
  </si>
  <si>
    <t>Спеціалізована загальноосвітня школа № 16 І-ІІІ ступенів з поглибленим вивченням німецької мови міста Ізмаїл Одеської області.</t>
  </si>
  <si>
    <t>вул. Авраамівська, 102</t>
  </si>
  <si>
    <t>(04841)23036</t>
  </si>
  <si>
    <t>24772888</t>
  </si>
  <si>
    <t>спеціалізована загальноосвітня школа № 1 ім.О.В.Суворова І-ІІІ ступенів з поглибленим вивченням англійської мови міста Ізмаїл Одеської області</t>
  </si>
  <si>
    <t>(04841)22464</t>
  </si>
  <si>
    <t>http://1Sch.net</t>
  </si>
  <si>
    <t>24766698</t>
  </si>
  <si>
    <t>Чорноморська гімназія № 1 Чорноморської міської ради Одеської області</t>
  </si>
  <si>
    <t>68002</t>
  </si>
  <si>
    <t>5110800000</t>
  </si>
  <si>
    <t>Чорноморськ</t>
  </si>
  <si>
    <t>(04868)62206</t>
  </si>
  <si>
    <t>Чорноморська загальноосвітня школа І-ІІІ ступенів № 7 Чорноморської міської ради Одеської області</t>
  </si>
  <si>
    <t>68003</t>
  </si>
  <si>
    <t>просп. Миру, 43А</t>
  </si>
  <si>
    <t>(04868)64038, (04868)93467, (04868)69357</t>
  </si>
  <si>
    <t>Чорноморська загальноосвітня школа І-ІІІ ступенів № 1 Чорноморської міської ради Одеської області</t>
  </si>
  <si>
    <t>(04868)6-02-67, (04868)6-02-10, (04868)6-25-91</t>
  </si>
  <si>
    <t>Чорноморська загальноосвітня школа І-ІІІ ступенів № 2 Чорноморської міської ради Одеської області</t>
  </si>
  <si>
    <t>68001</t>
  </si>
  <si>
    <t>просп. Миру, 17А</t>
  </si>
  <si>
    <t>(04868)6-14-60</t>
  </si>
  <si>
    <t>Чорноморська загальноосвітня школа І-ІІІ ступенів № 4 Чорноморської міської ради Одеської області</t>
  </si>
  <si>
    <t>вул. 1 Травня, 9А</t>
  </si>
  <si>
    <t>(04868)62491, (04868)60211</t>
  </si>
  <si>
    <t>http://ilizosh4.odessaedu.net/</t>
  </si>
  <si>
    <t>Чорноморська загальноосвітня школа І-ІІІ ступенів № 3 Чорноморської міської ради Одеської області</t>
  </si>
  <si>
    <t>вул. Паркова, 10А</t>
  </si>
  <si>
    <t>(04868)6-11-47</t>
  </si>
  <si>
    <t>Чорноморська загальноосвітня школа І-ІІІ ступенів № 6 Чорноморської міської ради Одеської області</t>
  </si>
  <si>
    <t>вул. Спортивна, 3 А</t>
  </si>
  <si>
    <t>(04868)61286, (04868)65276</t>
  </si>
  <si>
    <t>http://ilschool6.com</t>
  </si>
  <si>
    <t>Чорноморський навчально-виховний комплекс "спеціальна загальноосвітня школа І-ІІ ступенів - дошкільний навчальний заклад компенсуючого типу" Чорноморської міської ради Одеської області</t>
  </si>
  <si>
    <t>вул. Пляжна, 3</t>
  </si>
  <si>
    <t>(04868)65253</t>
  </si>
  <si>
    <t>http://illichivsk-nvk.edukit.od.ua/</t>
  </si>
  <si>
    <t>Чорноморська вечірня загальноосвітня школа ІІ-ІІІ ступенів Чорноморської міської ради Одеської області</t>
  </si>
  <si>
    <t>просп. Миру, 17 А</t>
  </si>
  <si>
    <t>(04868)61071</t>
  </si>
  <si>
    <t>Олександрівська загальноосвітня школа І-ІІІ ступенів Чорноморської міської ради</t>
  </si>
  <si>
    <t>68091</t>
  </si>
  <si>
    <t>5110845200</t>
  </si>
  <si>
    <t>(04868)65286, (04868)24529</t>
  </si>
  <si>
    <t>Бурлачобалківська загальноосвітня школа І-ІІ ступенів Чорноморської міської ради Одеської області</t>
  </si>
  <si>
    <t>68094</t>
  </si>
  <si>
    <t>5110890101</t>
  </si>
  <si>
    <t>Бурлача Балка</t>
  </si>
  <si>
    <t>вул. Інститутська, 22</t>
  </si>
  <si>
    <t>(04868)9-35-80</t>
  </si>
  <si>
    <t>Малодолинська загальноосвітня школа І-ІІІ ступенів Чорноморської міської ради Одеської області</t>
  </si>
  <si>
    <t>68093</t>
  </si>
  <si>
    <t>5110890301</t>
  </si>
  <si>
    <t>Малодолинське</t>
  </si>
  <si>
    <t>вул. Зелена, 1А</t>
  </si>
  <si>
    <t>(067)9958791</t>
  </si>
  <si>
    <t>вечірня загальноосвітня школа ІІ-ІІІ ступенів м.Котовська Одеської області</t>
  </si>
  <si>
    <t>66300</t>
  </si>
  <si>
    <t>5111200000</t>
  </si>
  <si>
    <t>Подільськ</t>
  </si>
  <si>
    <t>б-р Бірзульський, 14</t>
  </si>
  <si>
    <t>(04862)7-37-20</t>
  </si>
  <si>
    <t>Загальноосвітня школа І-ІІ ступенів № 8 м. Подільська Одеської області</t>
  </si>
  <si>
    <t>(04862)55847</t>
  </si>
  <si>
    <t>загальноосвітня школа І-ІІІ ступенів № 4 м.Подільська Одеської області</t>
  </si>
  <si>
    <t>б-р Бірзульський, 14А</t>
  </si>
  <si>
    <t>(04862)25461</t>
  </si>
  <si>
    <t>загальноосвітня школа І-ІІІ ступенів № 2 м. Подільська Одеської області</t>
  </si>
  <si>
    <t>0486222254, 0486221297</t>
  </si>
  <si>
    <t>Загальноосвітня школа І-ІІІ ступенів № 5 м. Подільська Одеської області</t>
  </si>
  <si>
    <t>66302</t>
  </si>
  <si>
    <t>пров. Незалежності, 2</t>
  </si>
  <si>
    <t>(04862)22554</t>
  </si>
  <si>
    <t>Загальноосвітня школа І-ІІІ ступенів № 6 м. Подільська Одеської області</t>
  </si>
  <si>
    <t>вул. бульвар Бірзульський, 48</t>
  </si>
  <si>
    <t>(04862)73420</t>
  </si>
  <si>
    <t>загальноосвітня школа І-ІІІ ступенів № 9 міста Подільська Одеської області</t>
  </si>
  <si>
    <t>просп. Перемоги, 9А</t>
  </si>
  <si>
    <t>3-37-83</t>
  </si>
  <si>
    <t>Загальноосвітня школа І-ІІІ ступенів № 1 міста Подільська Одеської області</t>
  </si>
  <si>
    <t>(04862)2-13-54</t>
  </si>
  <si>
    <t>Комунальний заклад "Подільська спеціалізована загальноосвітня школа-інтернат І-ІІІ ступенів - ліцей інформаційних технологій"</t>
  </si>
  <si>
    <t>66303</t>
  </si>
  <si>
    <t>вул. Бочковича, 1</t>
  </si>
  <si>
    <t>(04862)30176</t>
  </si>
  <si>
    <t>20987480</t>
  </si>
  <si>
    <t>Навчально - виховний комплекс "Загальноосвітня школа І - ІІІ ступенів - ліцей" м. Подільська Одеської області</t>
  </si>
  <si>
    <t>вул. Гетьманська, 63</t>
  </si>
  <si>
    <t>(04862)40019</t>
  </si>
  <si>
    <t>Навчально - виховний комплекс "Загальноосвітня школа І ступеня - гімназія" м. Подільська Одеської області</t>
  </si>
  <si>
    <t>просп. Шевченка, 39</t>
  </si>
  <si>
    <t>((04862))25592, ((04862))23519</t>
  </si>
  <si>
    <t>Вечірня загальноосвітня школа ІІ-ІІІ ступенів</t>
  </si>
  <si>
    <t>Теплодарська загальноосвітня школа І-ІІІ ступенів Теплодарської міської ради Одеської області</t>
  </si>
  <si>
    <t>65490</t>
  </si>
  <si>
    <t>5111500000</t>
  </si>
  <si>
    <t>Теплодар</t>
  </si>
  <si>
    <t>вул. Комунальна, 1</t>
  </si>
  <si>
    <t>(048502)6089, (048502)6098</t>
  </si>
  <si>
    <t>26249122</t>
  </si>
  <si>
    <t>Комунальний заклад "Южненська загальноосвітня школа І-ІІІ ступенів № 1 Южненської міської ради Одеської області"</t>
  </si>
  <si>
    <t>65481</t>
  </si>
  <si>
    <t>5111700000</t>
  </si>
  <si>
    <t>Южне</t>
  </si>
  <si>
    <t>просп. Миру, 19А</t>
  </si>
  <si>
    <t>(04842)21974</t>
  </si>
  <si>
    <t>http://school1-yuzhny.at.ua/</t>
  </si>
  <si>
    <t>22492682</t>
  </si>
  <si>
    <t>Комунальний заклад "Южненський навчально-виховний комплекс (загальноосвітня спеціалізована школа І-ІІІ ступенів № 2 - центр позашкільної освіти - професійно-технічне училище) Южненської міської ради Одеської області"</t>
  </si>
  <si>
    <t>просп. п-т Миру, 18</t>
  </si>
  <si>
    <t>(04842)2-30-64, (04842)2-21-37</t>
  </si>
  <si>
    <t>22491754</t>
  </si>
  <si>
    <t>Комунальний заклад Южненський навчально-виховний комплекс імені В'ячеслава Чорновола (гімназія-загальноосвітня школа I- ступеня) Южненської міської ради Одеської області</t>
  </si>
  <si>
    <t>просп. Григорівського десанту, 24А</t>
  </si>
  <si>
    <t>(04842)30114</t>
  </si>
  <si>
    <t>40736061</t>
  </si>
  <si>
    <t>Комунальний заклад "Южненська Авторська експериментальна спеціалізована загальноосвітня школа-комплекс І-ІІІ ступенів Южненської міської ради Одеської області"</t>
  </si>
  <si>
    <t>вул. Хіміків, 10А</t>
  </si>
  <si>
    <t>(04842)21975</t>
  </si>
  <si>
    <t>24537265</t>
  </si>
  <si>
    <t>Комунальний заклад "Ананьївська загальноосвітня школа-інтернат І-ІІІ ступенів", Одеськая область, Ананьївський район, місто Ананьїв</t>
  </si>
  <si>
    <t>66400</t>
  </si>
  <si>
    <t>5120210100</t>
  </si>
  <si>
    <t>Ананьїв</t>
  </si>
  <si>
    <t>20994698</t>
  </si>
  <si>
    <t>навчально-виховний комплекс "Загальноосвітня школа І-ІІІ ступенів-гімназія" № 1 м.Ананьєва Одеської обл.</t>
  </si>
  <si>
    <t>вул. Пушкіна, 36</t>
  </si>
  <si>
    <t>(63)2-20-31</t>
  </si>
  <si>
    <t>Навчально-виховний комплекс "Загальноосвітня школа І-ІІІ ступенів-ліцей " місто Ананьїв</t>
  </si>
  <si>
    <t>вул. в.Пушкіна, 52</t>
  </si>
  <si>
    <t>(04863)21564</t>
  </si>
  <si>
    <t>Байтальський навчально-виховний комплекс "Загальноосвітня школа І-ІІ ступенів - дошкільний навчальний заклад"</t>
  </si>
  <si>
    <t>66412</t>
  </si>
  <si>
    <t>5120280701</t>
  </si>
  <si>
    <t>Байтали</t>
  </si>
  <si>
    <t>вул. Тараса Шевченка, 51</t>
  </si>
  <si>
    <t>(04863)52422</t>
  </si>
  <si>
    <t>загальноосвітня школа І-ІІІ ступенів № 1 С.Гандрабури Ананьївського раону, Одеської області</t>
  </si>
  <si>
    <t>66428</t>
  </si>
  <si>
    <t>5120281001</t>
  </si>
  <si>
    <t>Гандрабури</t>
  </si>
  <si>
    <t>вул. Леніна, 170</t>
  </si>
  <si>
    <t>Навчально-виховний комплекс "Загальноосвітня школа І - ІІ ступенів - дошкільний навчальний заклад" № 2 с. Гандрабури</t>
  </si>
  <si>
    <t>вул. Котовського, 15</t>
  </si>
  <si>
    <t>Долинський навчально-виховний комплекс "Загальноосвітня школа І-ІІІ ступенів - гімназія", Ананьївського району, Одеської області</t>
  </si>
  <si>
    <t>66442</t>
  </si>
  <si>
    <t>5120281401</t>
  </si>
  <si>
    <t>вул. Грушевського, 5</t>
  </si>
  <si>
    <t>(04863)71541</t>
  </si>
  <si>
    <t>Загальноосвітня школа І-ІІІ ступенів № 2 с. Жеребкове Ананьївського району Одеської області</t>
  </si>
  <si>
    <t>66410</t>
  </si>
  <si>
    <t>5120282001</t>
  </si>
  <si>
    <t>Жеребкове</t>
  </si>
  <si>
    <t>вул. Пушкіна, 38</t>
  </si>
  <si>
    <t>((048)6365)257</t>
  </si>
  <si>
    <t>Загальноосвітня школа І-ІІІ ступенів № 1 с. Жеребкове</t>
  </si>
  <si>
    <t>вул. М. Грушевського, 43</t>
  </si>
  <si>
    <t>(0263)65-122</t>
  </si>
  <si>
    <t>Загальноосвітня школа І-ІІ ступенів с. Шелехове</t>
  </si>
  <si>
    <t>66431</t>
  </si>
  <si>
    <t>5120282803</t>
  </si>
  <si>
    <t>Шелехове</t>
  </si>
  <si>
    <t>вул. Лесі Українки, 189</t>
  </si>
  <si>
    <t>(097)1411725</t>
  </si>
  <si>
    <t>Новоолександрівський навчально-виховний комплекс "Загальноосвітня школа І-ІІ ступенів. Дошкільний навчальний заклад"</t>
  </si>
  <si>
    <t>66434</t>
  </si>
  <si>
    <t>5120283901</t>
  </si>
  <si>
    <t>(263)51247</t>
  </si>
  <si>
    <t>Новогеоргіївський навчально-виховний комплекс "Загальноосвітня школа І-ІІІ ступенів - дошкільний навчальний заклад" Ананьївської районної ради Одеської області</t>
  </si>
  <si>
    <t>66420</t>
  </si>
  <si>
    <t>5120284601</t>
  </si>
  <si>
    <t>Новогеоргіївка</t>
  </si>
  <si>
    <t>вул. Радянська, 69А</t>
  </si>
  <si>
    <t>(04863)50240</t>
  </si>
  <si>
    <t>Новоселівський навчально-виховний комплекс "Загальноосвітня школа І-ІІ ступенів - дошкільний навчальний заклад"</t>
  </si>
  <si>
    <t>66441</t>
  </si>
  <si>
    <t>5120284801</t>
  </si>
  <si>
    <t>65340</t>
  </si>
  <si>
    <t>Загальноосвітня школа І - ІІІ ступенів с. Романівка</t>
  </si>
  <si>
    <t>66433</t>
  </si>
  <si>
    <t>5120285001</t>
  </si>
  <si>
    <t>(04863)62140</t>
  </si>
  <si>
    <t>Точилівський навчально-виховний комплекс "Загальноосвітня школа І-ІІІ ступенів - дошкільний навчальний заклад" Ананьївської районної ради Одеської області</t>
  </si>
  <si>
    <t>66413</t>
  </si>
  <si>
    <t>5120285101</t>
  </si>
  <si>
    <t>Точилове</t>
  </si>
  <si>
    <t>(096)0508593</t>
  </si>
  <si>
    <t>молдовська,французька</t>
  </si>
  <si>
    <t>Шимківський Навчально - виховний комплекс "Загальноосвітня школа І-ІІ ст. - дошкільний навчальний заклад"</t>
  </si>
  <si>
    <t>66432</t>
  </si>
  <si>
    <t>5120285601</t>
  </si>
  <si>
    <t>Шимкове</t>
  </si>
  <si>
    <t>(04863)64567</t>
  </si>
  <si>
    <t>Арцизька вечірня (змінна) загальноосвітня школа ІІ-ІІІ ступенів Арцизької районної ради Одеської області</t>
  </si>
  <si>
    <t>68400</t>
  </si>
  <si>
    <t>5120410100</t>
  </si>
  <si>
    <t>Арциз</t>
  </si>
  <si>
    <t>вул. Трудова, 5</t>
  </si>
  <si>
    <t>(04845)31347</t>
  </si>
  <si>
    <t>Арцизька загальноосвітня школа І - ІІ ст. № 3 Арцизької районної ради Одеської області</t>
  </si>
  <si>
    <t>вул. Лугова, 92</t>
  </si>
  <si>
    <t>(045)3-18-91</t>
  </si>
  <si>
    <t>Арцизька загальноосвітня школа І-ІІІ ступенів № 5 Арцизької районної ради Одеської області</t>
  </si>
  <si>
    <t>вул. 28 Червня, 115</t>
  </si>
  <si>
    <t>(04845)3-16-91</t>
  </si>
  <si>
    <t>Арцизький навчально-виховний комплекс "Загальноосвітня школа І-ІІІ ступенів № 4 - ліцей" Арцизької районної ради Одеської області</t>
  </si>
  <si>
    <t>68402</t>
  </si>
  <si>
    <t>вул. Калмикова, 44</t>
  </si>
  <si>
    <t>(04845)3-34-89</t>
  </si>
  <si>
    <t>опорний навчальний заклад "Арцизький навчально-виховний комплекс "Загальноосвітня школа І-ІІІ ступенів № 1-гімназія-міжшкільний навчально-виробничий комбінат-дошкільний навчальний заклад" Арцизької районної ради Одеської області</t>
  </si>
  <si>
    <t>68404</t>
  </si>
  <si>
    <t>вул. Будівельників, 15</t>
  </si>
  <si>
    <t>(04845)3-21-31, (04845)3-21-32</t>
  </si>
  <si>
    <t>Веселокутська загальноосвітня школа І-ІІІ ступенів Арцизької районної ради Одеської області</t>
  </si>
  <si>
    <t>68420</t>
  </si>
  <si>
    <t>5120480501</t>
  </si>
  <si>
    <t>вул. Комарова, 4</t>
  </si>
  <si>
    <t>(04845)56245</t>
  </si>
  <si>
    <t>Рощанський навчально-виховний комплес "Загальноосвітня школа I ступеню - дошкільний навчальний заклад" Арцизької районної ради Одеської області</t>
  </si>
  <si>
    <t>5120480502</t>
  </si>
  <si>
    <t>Роща</t>
  </si>
  <si>
    <t>вул. Мічуріна, 62</t>
  </si>
  <si>
    <t>(04845)6-08-57</t>
  </si>
  <si>
    <t>Виноградівська загальноосвітня школа І-ІІІ ступенів Арцизької районної ради Одеської області</t>
  </si>
  <si>
    <t>68452</t>
  </si>
  <si>
    <t>5120480701</t>
  </si>
  <si>
    <t>(26418719)(04845)6-52-71</t>
  </si>
  <si>
    <t>http://znzvunograd.odessaedu.net</t>
  </si>
  <si>
    <t>англійська,французька,болгарська</t>
  </si>
  <si>
    <t>Плоцький навчально-виховний комплекс "Загальноосвітня школа І-ІІ ступенів-дошкільний навчальний заклад" Арцизької районної ради Одеської області</t>
  </si>
  <si>
    <t>68453</t>
  </si>
  <si>
    <t>5120480703</t>
  </si>
  <si>
    <t>Плоцьк</t>
  </si>
  <si>
    <t>вул. Дружби, 45</t>
  </si>
  <si>
    <t>(048)6-53-30</t>
  </si>
  <si>
    <t>Вознесенський навчально-виховний комплекс "Загальноосвітня школа І-ІІІ ступенів-дошкільний навчальний заклад" Арцизької районної ради Одеської області</t>
  </si>
  <si>
    <t>68411</t>
  </si>
  <si>
    <t>5120481001</t>
  </si>
  <si>
    <t>Вознесенка Перша</t>
  </si>
  <si>
    <t>вул. Сергія Єлькіна, 58</t>
  </si>
  <si>
    <t>(245)4-31-44</t>
  </si>
  <si>
    <t>Вишняківський навчально-виховний комплекс "Загальноосвітня школа І-ІІ ступенів - дошкільний навчальний заклад"опорного навчального закладу "Арцизький навчально-виховний комплекс "Загальноосвітня школа І-ІІІ ступенів № 1 - гімназія - міжшкільний навчально-виробничий комбінат -- дошкіль</t>
  </si>
  <si>
    <t>68412</t>
  </si>
  <si>
    <t>5120481002</t>
  </si>
  <si>
    <t>Вишняки</t>
  </si>
  <si>
    <t>вул. 28  червня, 52</t>
  </si>
  <si>
    <t>(04845)21341</t>
  </si>
  <si>
    <t>Главанська загальноосвітня школа І-ІІІ ступенів Арцизької районної ради Одеської області</t>
  </si>
  <si>
    <t>68434</t>
  </si>
  <si>
    <t>5120481401</t>
  </si>
  <si>
    <t>Главані</t>
  </si>
  <si>
    <t>(04845)57422</t>
  </si>
  <si>
    <t>англійська,болгарська</t>
  </si>
  <si>
    <t>Деленська загальноосвітня школа І-ІІІ ступенів Арцизької районої ради Одеської області</t>
  </si>
  <si>
    <t>68431</t>
  </si>
  <si>
    <t>5120481901</t>
  </si>
  <si>
    <t>Делень</t>
  </si>
  <si>
    <t>вул. Миру, 62, корпус А</t>
  </si>
  <si>
    <t>(04845)57142</t>
  </si>
  <si>
    <t>англійська,німецька,болгарська</t>
  </si>
  <si>
    <t>Новоселівський навчально-виховний комплекс "Загальноосвітня школа І ступеня - дошкільний навчальний заклад" Арцизької районної ради Одеської області</t>
  </si>
  <si>
    <t>68432</t>
  </si>
  <si>
    <t>5120481902</t>
  </si>
  <si>
    <t>вул. Шевченко, 59</t>
  </si>
  <si>
    <t>(04845)2-11-57</t>
  </si>
  <si>
    <t>http://novoselnvkdnz.odessaedu.net</t>
  </si>
  <si>
    <t>Долинівський навчально-виховний комплекс "Загальноосвітня школа І-ІІ ступенів - дошкільний навчальний заклад" опорного навчально-виховного комплексу Арцизької районної ради Одеської області</t>
  </si>
  <si>
    <t>68451</t>
  </si>
  <si>
    <t>5120482101</t>
  </si>
  <si>
    <t>вул. Богданова, 39</t>
  </si>
  <si>
    <t>(04845)4-33-44</t>
  </si>
  <si>
    <t>Задунаївська загальноосвітня школа І - ІІІ ступенів Арцизької районної ради Одеської області</t>
  </si>
  <si>
    <t>68433</t>
  </si>
  <si>
    <t>5120482401</t>
  </si>
  <si>
    <t>Задунаївка</t>
  </si>
  <si>
    <t>(04845)23-3-42</t>
  </si>
  <si>
    <t>французька,болгарська</t>
  </si>
  <si>
    <t>Кам'янська загальноосвітня школа І - ІІІ ступенів Арцизької районної ради Одеської області</t>
  </si>
  <si>
    <t>68441</t>
  </si>
  <si>
    <t>5120482701</t>
  </si>
  <si>
    <t>вул. Бориса Топора, 52</t>
  </si>
  <si>
    <t>(04845)41167</t>
  </si>
  <si>
    <t>Мирнопільська загальноосвітня школа І-ІІІ ступенів Арцизької районної ради Одеської області</t>
  </si>
  <si>
    <t>68413</t>
  </si>
  <si>
    <t>5120483401</t>
  </si>
  <si>
    <t>Мирнопілля</t>
  </si>
  <si>
    <t>(04845)54191, (097)4175284</t>
  </si>
  <si>
    <t>Надеждівська загальноосвітня школа І-ІІІ ступенів Арцизької районної ради Одеської області</t>
  </si>
  <si>
    <t>68454</t>
  </si>
  <si>
    <t>5120483701</t>
  </si>
  <si>
    <t>(04845)5-43-49</t>
  </si>
  <si>
    <t>Новоіванівська загальноосвітня школа І - ІІІ ступенів Арцизької районної ради Одеської області</t>
  </si>
  <si>
    <t>68430</t>
  </si>
  <si>
    <t>5120483901</t>
  </si>
  <si>
    <t>Нова Іванівка</t>
  </si>
  <si>
    <t>вул. Кооперативна, 27</t>
  </si>
  <si>
    <t>(0484522)564</t>
  </si>
  <si>
    <t>Новокапланська загальноосвітня школа І-ІІ ступенів Арцизької районної ради Одеської області</t>
  </si>
  <si>
    <t>68410</t>
  </si>
  <si>
    <t>5120484201</t>
  </si>
  <si>
    <t>Нові Каплани</t>
  </si>
  <si>
    <t>(245)5-61-34</t>
  </si>
  <si>
    <t>німецька,болгарська</t>
  </si>
  <si>
    <t>Василівський навчально-виховний комплекс "Загальноосвітня школа І ступеня - дошкільний навчальний заклад" Арцизької районної ради Одеської області</t>
  </si>
  <si>
    <t>68415</t>
  </si>
  <si>
    <t>5120484203</t>
  </si>
  <si>
    <t>(45)56417</t>
  </si>
  <si>
    <t>Острівненська загальноосвітня школа І-ІІ ступенів Арцизької районної ради Одеської області</t>
  </si>
  <si>
    <t>68442</t>
  </si>
  <si>
    <t>5120484701</t>
  </si>
  <si>
    <t>Острівне</t>
  </si>
  <si>
    <t>вул. Костянтина Дімітрова, 98</t>
  </si>
  <si>
    <t>804824521242</t>
  </si>
  <si>
    <t>Павлівська загальноосвітня школа І-ІІІ ступенів Арцизької районної ради Одеської області</t>
  </si>
  <si>
    <t>68450</t>
  </si>
  <si>
    <t>5120485201</t>
  </si>
  <si>
    <t>вул. Суворова, 170</t>
  </si>
  <si>
    <t>(04845)2-43-42</t>
  </si>
  <si>
    <t>Прямобалківська загальноосвітня школа І-ІІІ ступенів Арцизької районної ради Одеської області</t>
  </si>
  <si>
    <t>68440</t>
  </si>
  <si>
    <t>5120485401</t>
  </si>
  <si>
    <t>Прямобалка</t>
  </si>
  <si>
    <t>вул. Покровська, 38А</t>
  </si>
  <si>
    <t>Теплицька загальноосвітня школа І-ІІІ ступенів Арцизької районної ради Одеської області</t>
  </si>
  <si>
    <t>68421</t>
  </si>
  <si>
    <t>5120485901</t>
  </si>
  <si>
    <t>Теплиця</t>
  </si>
  <si>
    <t>вул. Верхня, 114</t>
  </si>
  <si>
    <t>(04845)2-41-19</t>
  </si>
  <si>
    <t>http://znztepl.ucoz.net</t>
  </si>
  <si>
    <t>Садовська загальноосвітня школа І-ІІ ступенів Арцизької районної ради Одеської області</t>
  </si>
  <si>
    <t>68422</t>
  </si>
  <si>
    <t>5120485902</t>
  </si>
  <si>
    <t>вул. Акімова, 72</t>
  </si>
  <si>
    <t>(8(048)45)2-31-21</t>
  </si>
  <si>
    <t>Холмська загальноосвітня школа І-ІІІ ступенів Арцизької районної ради Одеської області</t>
  </si>
  <si>
    <t>68443</t>
  </si>
  <si>
    <t>5120486401</t>
  </si>
  <si>
    <t>Холмське</t>
  </si>
  <si>
    <t>вул. Соборна, 55</t>
  </si>
  <si>
    <t>(04845)41481</t>
  </si>
  <si>
    <t>Березівська загальноосвітня школа І-ІІІ ступенів Балтської міської ради Одеської області Навчально виховний комплекс "Борсуківська загальноосвітня школа І ступеню - дошкільний навчальний заклад"</t>
  </si>
  <si>
    <t>5120680501</t>
  </si>
  <si>
    <t>Борсуки</t>
  </si>
  <si>
    <t>Навчально-виховний комплекс "Білинська загальноосвітня школа І - ІІІ ступенів - дошкільний навчальний заклад" Балтської міської ради Одеської області</t>
  </si>
  <si>
    <t>66161</t>
  </si>
  <si>
    <t>5120680801</t>
  </si>
  <si>
    <t>Білине</t>
  </si>
  <si>
    <t>вул. Привокзальна, 69</t>
  </si>
  <si>
    <t>(04866)99142</t>
  </si>
  <si>
    <t>Бендзарівська загальноосвітня школа І-ІІІ ступенів імені Т. П. Боднар Балтської міської ради Одеської області</t>
  </si>
  <si>
    <t>66150</t>
  </si>
  <si>
    <t>5120681101</t>
  </si>
  <si>
    <t>Бендзари</t>
  </si>
  <si>
    <t>(04866)94-3-44</t>
  </si>
  <si>
    <t>Гольмянська загальноосвітня школа І -ІІІ ступенів Балтської міської ради Одеської області</t>
  </si>
  <si>
    <t>66154</t>
  </si>
  <si>
    <t>5120681601</t>
  </si>
  <si>
    <t>Гольма</t>
  </si>
  <si>
    <t>(04866)96340</t>
  </si>
  <si>
    <t>Філія опорного закладу Березівськоі загальноосвітньоі школи I-III ступенів Балтськоі міськоі ради Одеськоі області НВК"Кармалюківська загальноосвітня школа I ступеню-ДНЗ"</t>
  </si>
  <si>
    <t>66141</t>
  </si>
  <si>
    <t>5120682201</t>
  </si>
  <si>
    <t>Кармалюківка</t>
  </si>
  <si>
    <t>(95)1-46</t>
  </si>
  <si>
    <t>КОЗАЧАНСЬКА ЗАГАЛЬНООСВІТНЯ ШКОЛА І-ІІ СТУПЕНІВ БАЛТСЬКОЇ МІСЬКОЇ РАДИ ОДЕСЬКОЇ ОБЛАСТІ</t>
  </si>
  <si>
    <t>66131</t>
  </si>
  <si>
    <t>5120682450</t>
  </si>
  <si>
    <t>вул. ШКІЛЬНА, 7</t>
  </si>
  <si>
    <t>Коритненська загальноосвітня школа І-ІІ ступенів Балтської міської ради Одеської області</t>
  </si>
  <si>
    <t>66130</t>
  </si>
  <si>
    <t>5120682601</t>
  </si>
  <si>
    <t>Коритне</t>
  </si>
  <si>
    <t>вул. шевченка, 89А</t>
  </si>
  <si>
    <t>(048)6692154</t>
  </si>
  <si>
    <t>Філія опорного навчального закладу-навчально-виховний комплекс "Балтська загальноосвітня школа І-ІІІ ступенів № 1 імені О.Гончара-ліцей"Балтської міської ради Одеської області навчально-виховний комплекс "Лісничівська загальноосвітня школа І ступеню - дошкільний навчальний заклад"</t>
  </si>
  <si>
    <t>66127</t>
  </si>
  <si>
    <t>5120683201</t>
  </si>
  <si>
    <t>Лісничівка</t>
  </si>
  <si>
    <t>Березівська загальноосвітня школа І-ІІІ ступенів Балтської міської ради Одеської області</t>
  </si>
  <si>
    <t>66140</t>
  </si>
  <si>
    <t>5120684402</t>
  </si>
  <si>
    <t>вул. Шкільна1</t>
  </si>
  <si>
    <t>(04866)98123</t>
  </si>
  <si>
    <t>ФІЛІЯ ОПОРНОГО НАВЧАЛЬНОГО ЗАКЛАДУ - НАВЧАЛЬНО-ВИХОВНИЙ КОМПЛЕКС "БАЛТСЬКА ЗАГАЛЬНООСВІТНЯ ШКОЛА І-ІІІ СТУПЕНІВ № 1 ІМЕНІ ОЛЕСЯ ГОНЧАРА - ЛІЦЕЙ" БАЛТСЬКОЇ МІСЬКОЇ РАДИ ОДЕСЬКОЇ ОБЛАСТІ ОЛЕНІВСЬКА ЗАГАЛЬНООСВІТНЯ ШКОЛА І-ІІ СТУПЕНІВ</t>
  </si>
  <si>
    <t>66143</t>
  </si>
  <si>
    <t>5120685001</t>
  </si>
  <si>
    <t>(04866)95117</t>
  </si>
  <si>
    <t>Навчально-виховний комплекс "Пасатська загальноосвітня школа першого ступеню - дошкільний навчальний заклад" Балтської міської ради Одеської області</t>
  </si>
  <si>
    <t>66132</t>
  </si>
  <si>
    <t>5120685401</t>
  </si>
  <si>
    <t>Пасат</t>
  </si>
  <si>
    <t>вул. Дмитра Мазура, 83</t>
  </si>
  <si>
    <t>(04866)73-1-40</t>
  </si>
  <si>
    <t>Пасицелівська загальноосвітня школа І - ІІІ ступенів Балтської міської ради Одеської області</t>
  </si>
  <si>
    <t>66162</t>
  </si>
  <si>
    <t>5120685701</t>
  </si>
  <si>
    <t>Пасицели</t>
  </si>
  <si>
    <t>вул. С.Олійника, 66</t>
  </si>
  <si>
    <t>(048)78-1-34</t>
  </si>
  <si>
    <t>Навчально-виховний комплекс "Переймська загальноосвітня школа І ступеню - дошкільний навчальний заклад" Балтської міської ради Одеської області</t>
  </si>
  <si>
    <t>66124</t>
  </si>
  <si>
    <t>5120686301</t>
  </si>
  <si>
    <t>Перейма</t>
  </si>
  <si>
    <t>вул. Шевченка, 111</t>
  </si>
  <si>
    <t>(04866)90124</t>
  </si>
  <si>
    <t>Немирівська загальноосвітня школа I-III ступенів Балтської міської ради Одеської області</t>
  </si>
  <si>
    <t>66153</t>
  </si>
  <si>
    <t>5120686602</t>
  </si>
  <si>
    <t>Немирівське</t>
  </si>
  <si>
    <t>вул. Лесі Українки, 53Б</t>
  </si>
  <si>
    <t>97-1-40</t>
  </si>
  <si>
    <t>Комунальний заклад "Піщанська спеціальна загальноосвітня школа-інтернат І-ІІ ступенів"</t>
  </si>
  <si>
    <t>66110</t>
  </si>
  <si>
    <t>5120686901</t>
  </si>
  <si>
    <t>вул. Лесі Українки, 2 А</t>
  </si>
  <si>
    <t>(04866)25745</t>
  </si>
  <si>
    <t>22495858</t>
  </si>
  <si>
    <t>Піщанська загальноосвітня школа І-ІІІ ступенів Балтської районної ради Одеської області</t>
  </si>
  <si>
    <t>вул. Капітана Стефанчука, 1</t>
  </si>
  <si>
    <t>(04866)2-57-36</t>
  </si>
  <si>
    <t>НАВЧАЛЬНО-ВИХОВНИЙ КОМПЛЕКС "ПЛОСКІВСЬКА ЗАГАЛЬНООСВІТНЯ ШКОЛА І-ІІ СТУПЕНІВ - ДОШКІЛЬНИЙ НАВЧАЛЬНИЙ ЗАКЛАД"</t>
  </si>
  <si>
    <t>66133</t>
  </si>
  <si>
    <t>5120687201</t>
  </si>
  <si>
    <t>вул. Кудрявцева, 152</t>
  </si>
  <si>
    <t>(04866)76240</t>
  </si>
  <si>
    <t>Навчально-виховний комплекс "Пужайківська загальноосвітня школа I-III ступенів - дошкільний навчальний заклад" (опорний заклад) Балтської районної ради Одеської області</t>
  </si>
  <si>
    <t>66112</t>
  </si>
  <si>
    <t>5120687501</t>
  </si>
  <si>
    <t>Пужайкове</t>
  </si>
  <si>
    <t>(04866)79474</t>
  </si>
  <si>
    <t>Саражинська загальноосвітня школа І-ІІІ ступенів Балтської міської ради Одеської області</t>
  </si>
  <si>
    <t>66123</t>
  </si>
  <si>
    <t>5120687901</t>
  </si>
  <si>
    <t>Саражинка</t>
  </si>
  <si>
    <t>вул. Богдана Хмельницького, 154</t>
  </si>
  <si>
    <t>(04866)77-1-40</t>
  </si>
  <si>
    <t>Навчально - виховний комплекс "Сінненська загальноосвітня школа І-ІІ ступенів - дошкільний навчальний заклад" Балтської районної ради Одеської області</t>
  </si>
  <si>
    <t>66160</t>
  </si>
  <si>
    <t>5120688201</t>
  </si>
  <si>
    <t>Сінне</t>
  </si>
  <si>
    <t>(04866)62032</t>
  </si>
  <si>
    <t>Новопольська загальноосвітня школа І-ІІ ступенів Балтської районної ради Одеської області</t>
  </si>
  <si>
    <t>66114</t>
  </si>
  <si>
    <t>5120688801</t>
  </si>
  <si>
    <t>Новополь</t>
  </si>
  <si>
    <t>вул. Довженка, 8</t>
  </si>
  <si>
    <t>(095)8740331</t>
  </si>
  <si>
    <t>Навчально-виховний комплекс "Чернеченська загальноосвітня школа І-ІІІ ступенів - дошкільний навчальний заклад" Балтської районної ради Одеської області</t>
  </si>
  <si>
    <t>66125</t>
  </si>
  <si>
    <t>5120689101</t>
  </si>
  <si>
    <t>Чернече</t>
  </si>
  <si>
    <t>(04866)75186</t>
  </si>
  <si>
    <t>Адамівська загальноосвітня школа І-ІІ ступеня</t>
  </si>
  <si>
    <t>67790</t>
  </si>
  <si>
    <t>5120880301</t>
  </si>
  <si>
    <t>(04849)76326</t>
  </si>
  <si>
    <t>Андріївська загальноосвітня школа І-ІІІ ступенів Білгород-Дністровського району Одеської області</t>
  </si>
  <si>
    <t>67742</t>
  </si>
  <si>
    <t>5120880701</t>
  </si>
  <si>
    <t>вул. Центральна, 76</t>
  </si>
  <si>
    <t>(04849)44-3-27</t>
  </si>
  <si>
    <t>Розкішнянська загальноосвітня школа І- ІІ ступеня</t>
  </si>
  <si>
    <t>5120880703</t>
  </si>
  <si>
    <t>вул. Леніна, 27</t>
  </si>
  <si>
    <t>(096)2414499</t>
  </si>
  <si>
    <t>Бритівська загальноосвіня школа І-ІІІ ступенів Білгород-Дністровського районну Одеської області</t>
  </si>
  <si>
    <t>67755</t>
  </si>
  <si>
    <t>5120881201</t>
  </si>
  <si>
    <t>Бритівка</t>
  </si>
  <si>
    <t>вул. Артільна, 29</t>
  </si>
  <si>
    <t>(04849)46640</t>
  </si>
  <si>
    <t>Вигінська загальноосвітня школа І-ІІ ступеня Білгород-Дністровського району Одеської області</t>
  </si>
  <si>
    <t>67727</t>
  </si>
  <si>
    <t>5120881203</t>
  </si>
  <si>
    <t>Вигон</t>
  </si>
  <si>
    <t>вул. Шкільна, 35А</t>
  </si>
  <si>
    <t>0484943340, 0675580711</t>
  </si>
  <si>
    <t>http://bilgvugznz.odessaedu.net</t>
  </si>
  <si>
    <t>Комунальний заклад "Черкеський навчально - виховний комплекс "Загальноосвітня школа І-ІІ ступенів - дошкільний навчальний заклад імені старшого прапорщика Горчака Г.Ф. Білгород - Дністровської районної ради Одеської області ""</t>
  </si>
  <si>
    <t>5120881207</t>
  </si>
  <si>
    <t>Черкеси</t>
  </si>
  <si>
    <t>вул. Суворова, 36</t>
  </si>
  <si>
    <t>(04849)44140</t>
  </si>
  <si>
    <t>Філія "Великомар'янівський навчально-виховний комплекс I ступеня-дошкільний навчальний заклад" Широківського навчально-виховного комплексу "Загальноосвітній навчальний заклад I-III ступенів - дошкільний навчальний заклад"Маразліївської сільської ради</t>
  </si>
  <si>
    <t>67762</t>
  </si>
  <si>
    <t>5120881601</t>
  </si>
  <si>
    <t>Великомар'янівка</t>
  </si>
  <si>
    <t>вул. Шкільна, 113</t>
  </si>
  <si>
    <t>0484977-6-40, 0686348171</t>
  </si>
  <si>
    <t>Філія Долинівський навчально-виховний комплекс "загальноосвітній навчальний заклад I ступеня-дошкільний навчальний заклад" 15507 Широківського навчально-виховного комплексу "загальноосвітній начальний заклад I-III ступенів - дошкільний навчальний заклад"</t>
  </si>
  <si>
    <t>67763</t>
  </si>
  <si>
    <t>5120881602</t>
  </si>
  <si>
    <t>(04849)78-440, 0973023686</t>
  </si>
  <si>
    <t>Чистоводненська загальноосвітня школа I-II ступеня, Білгород-Дністровської районної державної адміністрації, Одеської області</t>
  </si>
  <si>
    <t>67720</t>
  </si>
  <si>
    <t>5120881803</t>
  </si>
  <si>
    <t>Чистоводне</t>
  </si>
  <si>
    <t>(34169224)80484957327</t>
  </si>
  <si>
    <t>Випаснянська загальноосвітня школа І-ІІ ступеня Білгород-Дністровського району Одеської області</t>
  </si>
  <si>
    <t>67752</t>
  </si>
  <si>
    <t>5120882001</t>
  </si>
  <si>
    <t>Випасне</t>
  </si>
  <si>
    <t>вул. Леніна, 178А</t>
  </si>
  <si>
    <t>((04849))42540</t>
  </si>
  <si>
    <t>Випаснянська загальноосвітня школа І-ІІІ ступенів № 1 Білгород-Дністровського району Одеської області</t>
  </si>
  <si>
    <t>вул. Кишинівська, 83</t>
  </si>
  <si>
    <t>(04849)62636</t>
  </si>
  <si>
    <t>Випаснянська загальноосвітня школа І-ІІІ ступенів № 2 Білгород-Дністровської району Одеської області</t>
  </si>
  <si>
    <t>вул. Кишинівська, 208</t>
  </si>
  <si>
    <t>(04849)74133</t>
  </si>
  <si>
    <t>http://bilgvupznz2.odessaedu.net</t>
  </si>
  <si>
    <t>Козацька загальноосвітня школа І-ІІІ ступенів, Білгород-Дністровський район, Одеська область</t>
  </si>
  <si>
    <t>67733</t>
  </si>
  <si>
    <t>5120882801</t>
  </si>
  <si>
    <t>вул. Міщенко, 11</t>
  </si>
  <si>
    <t>(04849)57140</t>
  </si>
  <si>
    <t>http://shkola-kozacke.at.ua</t>
  </si>
  <si>
    <t>Карналіївська загальноосвітня школа І-ІІ ступеня Білгород-Дністровського району Одеської області</t>
  </si>
  <si>
    <t>67740</t>
  </si>
  <si>
    <t>5120883201</t>
  </si>
  <si>
    <t>Карналіївка</t>
  </si>
  <si>
    <t>вул. Гастелло, 16</t>
  </si>
  <si>
    <t>(04849)43540</t>
  </si>
  <si>
    <t>http://Karznz.odessaedu.net</t>
  </si>
  <si>
    <t>Краснокосянська загальноосвітня школа І-ІІ ступеня Білгород-Дністровського району Одеської області</t>
  </si>
  <si>
    <t>67734</t>
  </si>
  <si>
    <t>5120883601</t>
  </si>
  <si>
    <t>Красна Коса</t>
  </si>
  <si>
    <t>(04849)58140</t>
  </si>
  <si>
    <t>Крутоярівстка загальноосвітня школа І-ІІІ ступенів Білгород-Дністровського району Одеської області</t>
  </si>
  <si>
    <t>67722</t>
  </si>
  <si>
    <t>5120883801</t>
  </si>
  <si>
    <t>Крутоярівка</t>
  </si>
  <si>
    <t>вул. Котовського, 89А</t>
  </si>
  <si>
    <t>(04849)55140</t>
  </si>
  <si>
    <t>українська,молдовська</t>
  </si>
  <si>
    <t>російська,молдовська,англійська,французька</t>
  </si>
  <si>
    <t>філія "Маразліївський навчально-виховний комплекс І ступеня - дошкільний навчальний заклад"Широківського навчально-виховного комплексу"Зогальноосвітній навчальний заклад І- ІІІ ступенів- дошкільний навчальний заклад" Маразліївської сільської ради.</t>
  </si>
  <si>
    <t>67760</t>
  </si>
  <si>
    <t>5120884201</t>
  </si>
  <si>
    <t>Маразліївка</t>
  </si>
  <si>
    <t>0978980683</t>
  </si>
  <si>
    <t>філія"Олексіївська загальноосвітня школа І-ІІ ступенів" Широківського навчально-виховного комплексу"Загальноосвітній навчальний заклад І-ІІІ ступенів- дошкільний навчальний заклад" Маразліївської сільської ради Білгород-Дністровський район Одеська область</t>
  </si>
  <si>
    <t>67761</t>
  </si>
  <si>
    <t>5120884205</t>
  </si>
  <si>
    <t>вул. Центральна, 6Б</t>
  </si>
  <si>
    <t>(04849)45-5-48</t>
  </si>
  <si>
    <t>Молозька загальноосвітня школа І-ІІІ ступенів Білгород-Дністровського району Одеської області</t>
  </si>
  <si>
    <t>67751</t>
  </si>
  <si>
    <t>5120884401</t>
  </si>
  <si>
    <t>Молога</t>
  </si>
  <si>
    <t>вул. Кишинівська, 310</t>
  </si>
  <si>
    <t>(04849)76-5-40</t>
  </si>
  <si>
    <t>http://bilgmolznz.odessaedu.net</t>
  </si>
  <si>
    <t>Бикізький навчально-виховний комплекс "Загальноосвітній навчальний заклад І-ІІ ступенів - дошкільний навчальний заклад"</t>
  </si>
  <si>
    <t>5120884402</t>
  </si>
  <si>
    <t>Бикоза</t>
  </si>
  <si>
    <t>вул. Польова, 24</t>
  </si>
  <si>
    <t>(804849)4-63-67</t>
  </si>
  <si>
    <t>Монашський навчально-виховний комплекс"Загальноосвітній навчальний заклад I-II ступенів-дошкільний навчальний заклад"</t>
  </si>
  <si>
    <t>67744</t>
  </si>
  <si>
    <t>5120884601</t>
  </si>
  <si>
    <t>Монаші</t>
  </si>
  <si>
    <t>вул. Комсомольська (Шкільна), 126</t>
  </si>
  <si>
    <t>(380)962605819, (304849)45640</t>
  </si>
  <si>
    <t>Миколаївський навчально-виховний комплекс "Загальноосвітня школа І-ІІІ ступенів - міжшкільний навчально-виробничий комбінат"</t>
  </si>
  <si>
    <t>67794</t>
  </si>
  <si>
    <t>5120885101</t>
  </si>
  <si>
    <t>вул. Леніна, 43 а</t>
  </si>
  <si>
    <t>(04849)45-2-40</t>
  </si>
  <si>
    <t>Новоцаричанська загальноосвітня школа І-ІІ ступеня Новоцаричанська загальноосвітня школа І-ІІ ступеня</t>
  </si>
  <si>
    <t>67724</t>
  </si>
  <si>
    <t>5120885201</t>
  </si>
  <si>
    <t>Нова Царичанка</t>
  </si>
  <si>
    <t>вул. Леніна, 63А</t>
  </si>
  <si>
    <t>04849-53-140</t>
  </si>
  <si>
    <t>Петрівська загальноосвітня школа I-II ступенів</t>
  </si>
  <si>
    <t>67732</t>
  </si>
  <si>
    <t>5120885401</t>
  </si>
  <si>
    <t>вул. Бориса Звягінцева, 6</t>
  </si>
  <si>
    <t>(0484959)140</t>
  </si>
  <si>
    <t>Підгорненська загальноосвітня школа І-ІІ ступеня</t>
  </si>
  <si>
    <t>67741</t>
  </si>
  <si>
    <t>5120885501</t>
  </si>
  <si>
    <t>(04849)54-5-40</t>
  </si>
  <si>
    <t>Приморська загальноосвітня школа І-ІІІ ступенів відділу освіти, науки, молоді та спорту Білгород-Дністровьскої РДА</t>
  </si>
  <si>
    <t>67792</t>
  </si>
  <si>
    <t>5120885601</t>
  </si>
  <si>
    <t>(04849)42340</t>
  </si>
  <si>
    <t>Курортненська загальноосвітня школа І ступеня</t>
  </si>
  <si>
    <t>67793</t>
  </si>
  <si>
    <t>5120885604</t>
  </si>
  <si>
    <t>Курортне</t>
  </si>
  <si>
    <t>Руськоіванівська загальноосвітня школа І-ІІІ ступенів Білгород-Дністровського району Одеської області</t>
  </si>
  <si>
    <t>67721</t>
  </si>
  <si>
    <t>5120886001</t>
  </si>
  <si>
    <t>Руськоіванівка</t>
  </si>
  <si>
    <t>(04849)51140</t>
  </si>
  <si>
    <t>Семенівська загальноосвітня школа І-ІІ ступеня Білгород-Дністровської районної ради Одеської області</t>
  </si>
  <si>
    <t>67750</t>
  </si>
  <si>
    <t>5120886401</t>
  </si>
  <si>
    <t>(04849)77340</t>
  </si>
  <si>
    <t>Салганська загальноосвітня школа І-ІІ ступеня</t>
  </si>
  <si>
    <t>67725</t>
  </si>
  <si>
    <t>5120886601</t>
  </si>
  <si>
    <t>Салгани</t>
  </si>
  <si>
    <t>ал. Кутузова, 49</t>
  </si>
  <si>
    <t>0484977127</t>
  </si>
  <si>
    <t>Софіївська загальноосвітня школа І-ІІ ступеня</t>
  </si>
  <si>
    <t>5120886701</t>
  </si>
  <si>
    <t>вул. 28 Червня, 75</t>
  </si>
  <si>
    <t>(04849)76255</t>
  </si>
  <si>
    <t>Старокозацький навчально-виховний комплекс "загальноосвітня школа І-ІІІ ступенів-гімназія" Білгород-Дністровського району Одеської області</t>
  </si>
  <si>
    <t>67730</t>
  </si>
  <si>
    <t>5120886801</t>
  </si>
  <si>
    <t>Старокозаче</t>
  </si>
  <si>
    <t>(04849)50540</t>
  </si>
  <si>
    <t>23991223</t>
  </si>
  <si>
    <t>Староцаричанська загальноосвітня школа І - ІІІ ступенів Білгород - Дністровського району Одеської області</t>
  </si>
  <si>
    <t>67723</t>
  </si>
  <si>
    <t>5120887201</t>
  </si>
  <si>
    <t>Стара Царичанка</t>
  </si>
  <si>
    <t>вул. Леніна, 139</t>
  </si>
  <si>
    <t>(04849)52140</t>
  </si>
  <si>
    <t>Удобненська загальноосвітня школа І-ІІІ ступенів Білгород-Дністровського району Одеської області</t>
  </si>
  <si>
    <t>67731</t>
  </si>
  <si>
    <t>5120887401</t>
  </si>
  <si>
    <t>Удобне</t>
  </si>
  <si>
    <t>вул. Кочубинського, 59</t>
  </si>
  <si>
    <t>((048)49)56140</t>
  </si>
  <si>
    <t>http://bilgydobznz.odessaedu.net</t>
  </si>
  <si>
    <t>Шабська загальноосвітня школа І - ІІІ ступенів № 1 Білгород-Дністровського району Одеської області</t>
  </si>
  <si>
    <t>67770</t>
  </si>
  <si>
    <t>5120887701</t>
  </si>
  <si>
    <t>Шабо</t>
  </si>
  <si>
    <t>вул. Шанцера, 1</t>
  </si>
  <si>
    <t>0677675945</t>
  </si>
  <si>
    <t>http://bilgshabznz1.odessaedu.net/uk/site/page/view</t>
  </si>
  <si>
    <t>Шабський начально-виховний комплекс "Загальноосвітня школа І-ІІІ ступенів - гімназія"</t>
  </si>
  <si>
    <t>вул. Леніна, 15</t>
  </si>
  <si>
    <t>(04849)40340</t>
  </si>
  <si>
    <t>Біленьківська загальноосвітня школа І-ІІ ступенів, Білгород-Дністровського району, Одеської області,</t>
  </si>
  <si>
    <t>67771</t>
  </si>
  <si>
    <t>5120887702</t>
  </si>
  <si>
    <t>вул. Вільна, 48</t>
  </si>
  <si>
    <t>(04849)42-1-40</t>
  </si>
  <si>
    <t>Широківський навчально - виховний комплекс "Загальноосвітній навчальний заклад І - ІІІ ступенів - дошкільний навчальний заклад" Маразліївської сільської ради (опорна школа)</t>
  </si>
  <si>
    <t>67764</t>
  </si>
  <si>
    <t>5120888201</t>
  </si>
  <si>
    <t>(04849)78-1-17</t>
  </si>
  <si>
    <t>Хлібодарська ЗОШ І-ІІІ ступенів Білівського району Одеської області</t>
  </si>
  <si>
    <t>67667</t>
  </si>
  <si>
    <t>5121056800</t>
  </si>
  <si>
    <t>Хлібодарське</t>
  </si>
  <si>
    <t>вул. Маяцька дорога, 28</t>
  </si>
  <si>
    <t>Августівська загальноосвітня школа І-ІІІ ступенів Біляївського району Одеської області</t>
  </si>
  <si>
    <t>67632</t>
  </si>
  <si>
    <t>5121080301</t>
  </si>
  <si>
    <t>Августівка</t>
  </si>
  <si>
    <t>(048252)39230</t>
  </si>
  <si>
    <t>Міжлиманська загальноосвітня школа І-ІІІ ступенів Біляївського району Одеської області</t>
  </si>
  <si>
    <t>67633</t>
  </si>
  <si>
    <t>5121080303</t>
  </si>
  <si>
    <t>Набережне</t>
  </si>
  <si>
    <t>вул. Єлісеєва, 20</t>
  </si>
  <si>
    <t>(04852)308-720</t>
  </si>
  <si>
    <t>Березанська загальноосвітня школа І - ІІІ ступенів Біляївської районної адміністрації Одеської області</t>
  </si>
  <si>
    <t>67622</t>
  </si>
  <si>
    <t>5121080701</t>
  </si>
  <si>
    <t>(098)3476036</t>
  </si>
  <si>
    <t>Петрівська загальноосвітня школа I-III ступенів Біляївського району Одеської області</t>
  </si>
  <si>
    <t>67623</t>
  </si>
  <si>
    <t>5121080706</t>
  </si>
  <si>
    <t>вул. Молодіжна, 26</t>
  </si>
  <si>
    <t>066-332-66-36</t>
  </si>
  <si>
    <t>Василівська загальноосвітня школа І - ІІІ ступенів Біляївського району Одеської області</t>
  </si>
  <si>
    <t>67613</t>
  </si>
  <si>
    <t>5121081001</t>
  </si>
  <si>
    <t>вул. Леніна, 64А</t>
  </si>
  <si>
    <t>Великодальницька загальноосвітня школа І-ІІІ ступенів № 2, Біляївського району, Одеської області</t>
  </si>
  <si>
    <t>67668</t>
  </si>
  <si>
    <t>5121081401</t>
  </si>
  <si>
    <t>Великий Дальник</t>
  </si>
  <si>
    <t>вул. Покровська, 38</t>
  </si>
  <si>
    <t>62330</t>
  </si>
  <si>
    <t>Великодальницький навчально-виховний комплекс "Школа-гімназія" Біляївського району Одеської області</t>
  </si>
  <si>
    <t>вул. Б. Хмельницького, 54</t>
  </si>
  <si>
    <t>(04852)62230</t>
  </si>
  <si>
    <t>Розселенська загальноосвітня школа І ступеня, Біляївського району, Одеської області</t>
  </si>
  <si>
    <t>5121081403</t>
  </si>
  <si>
    <t>Розселенець</t>
  </si>
  <si>
    <t>39748</t>
  </si>
  <si>
    <t>Вигодянська загальноосвітня школа І - ІІІ ступенів Біляївського району Одеської області</t>
  </si>
  <si>
    <t>67620</t>
  </si>
  <si>
    <t>5121081701</t>
  </si>
  <si>
    <t>Паліївська загальноосвітня школа І - ІІ ступенів Вигодянської сільської ради Біляївського району Одеської області</t>
  </si>
  <si>
    <t>67621</t>
  </si>
  <si>
    <t>5121081703</t>
  </si>
  <si>
    <t>вул. Іжаковського, 1,а</t>
  </si>
  <si>
    <t>(04852)51405</t>
  </si>
  <si>
    <t>Граденицька загальноосвітня школа І-ІІІ ступенів</t>
  </si>
  <si>
    <t>67640</t>
  </si>
  <si>
    <t>5121082001</t>
  </si>
  <si>
    <t>Градениці</t>
  </si>
  <si>
    <t>(04852)34330</t>
  </si>
  <si>
    <t>Граденицька ЗОШ І-ІІ ступенів</t>
  </si>
  <si>
    <t>вул. Широка, 29</t>
  </si>
  <si>
    <t>(4852)34360</t>
  </si>
  <si>
    <t>Дачненська загальноосвітня школа № 1 І-ІІІ ступенів Біляївського району Одеської області</t>
  </si>
  <si>
    <t>67625</t>
  </si>
  <si>
    <t>5121082401</t>
  </si>
  <si>
    <t>вул. Клубна, 2А</t>
  </si>
  <si>
    <t>(8-252)37230</t>
  </si>
  <si>
    <t>Дачненський навчально-виховний комплекс "Школа-гімназія"</t>
  </si>
  <si>
    <t>67624</t>
  </si>
  <si>
    <t>(04852)37297</t>
  </si>
  <si>
    <t>Іллінська загальноосвітня школа І-ІІІ ступенів Біляївського району Одеської області</t>
  </si>
  <si>
    <t>67630</t>
  </si>
  <si>
    <t>5121082801</t>
  </si>
  <si>
    <t>Іллінка</t>
  </si>
  <si>
    <t>вул. Шкільний, 3 а</t>
  </si>
  <si>
    <t>39130</t>
  </si>
  <si>
    <t>Кагарлицька загальноосвітня школа І-ІІІ ступенів Біляївського району Одеської області</t>
  </si>
  <si>
    <t>67614</t>
  </si>
  <si>
    <t>5121083001</t>
  </si>
  <si>
    <t>(095)7738405</t>
  </si>
  <si>
    <t>Кам'янська загальноосвітня школа І-ІІІ ступенів Біляївського району Одеської області</t>
  </si>
  <si>
    <t>67610</t>
  </si>
  <si>
    <t>5121083201</t>
  </si>
  <si>
    <t>(52)30330</t>
  </si>
  <si>
    <t>Майорівська загальноосвітня школа І-ІІІ ступенів Біляївської міської ради Одеської області</t>
  </si>
  <si>
    <t>67650</t>
  </si>
  <si>
    <t>5121083701</t>
  </si>
  <si>
    <t>Майори</t>
  </si>
  <si>
    <t>вул. Лесі Українки, 9 а</t>
  </si>
  <si>
    <t>(04852)25091</t>
  </si>
  <si>
    <t>Маринівська загальноосвітня школа І - ІІІ ступенів Біляївського району Одеської області</t>
  </si>
  <si>
    <t>67631</t>
  </si>
  <si>
    <t>5121083801</t>
  </si>
  <si>
    <t>25055</t>
  </si>
  <si>
    <t>Маяківська загальноосвітня школа І-ІІІ ступенів Біляївського району Одеської області</t>
  </si>
  <si>
    <t>67654</t>
  </si>
  <si>
    <t>5121083901</t>
  </si>
  <si>
    <t>вул. Преображенська, 69 А</t>
  </si>
  <si>
    <t>(04852)33319</t>
  </si>
  <si>
    <t>Мирненська загальноосвітня школа І-ІІІ ступенів</t>
  </si>
  <si>
    <t>67652</t>
  </si>
  <si>
    <t>5121084101</t>
  </si>
  <si>
    <t>пров. Шкільний, 11</t>
  </si>
  <si>
    <t>Широкобалківська загальноосвітня школа І-ІІ ступенів</t>
  </si>
  <si>
    <t>67653</t>
  </si>
  <si>
    <t>5121084102</t>
  </si>
  <si>
    <t>Широка Балка</t>
  </si>
  <si>
    <t>вул. Центральна, 21Б</t>
  </si>
  <si>
    <t>(050)950-30-51</t>
  </si>
  <si>
    <t>Нерубайська загальноосвітня школа № 2 І-ІІІ ступенів</t>
  </si>
  <si>
    <t>67661</t>
  </si>
  <si>
    <t>5121084201</t>
  </si>
  <si>
    <t>Нерубайське</t>
  </si>
  <si>
    <t>303764</t>
  </si>
  <si>
    <t>Нерубайський навчально-виховний комплекс "школа-гімназія" Біляївського району Одеської області</t>
  </si>
  <si>
    <t>вул. Радгоспна, 21</t>
  </si>
  <si>
    <t>Великобалкіська зашальноосвітня школа І-ІІ ступенів Біляївського району Одеської області</t>
  </si>
  <si>
    <t>67662</t>
  </si>
  <si>
    <t>5121084202</t>
  </si>
  <si>
    <t>Велика Балка</t>
  </si>
  <si>
    <t>вул. Леніна, 37</t>
  </si>
  <si>
    <t>Секретарівська загальноосвітня школа І-ІІ ступенів Біляївського району, Одеської області</t>
  </si>
  <si>
    <t>67611</t>
  </si>
  <si>
    <t>5121084501</t>
  </si>
  <si>
    <t>Секретарівка</t>
  </si>
  <si>
    <t>(04852)39930</t>
  </si>
  <si>
    <t>Троїцька загальноосвітня школа І-ІІІ ступенів Біляївського району Одеської області</t>
  </si>
  <si>
    <t>67641</t>
  </si>
  <si>
    <t>5121084801</t>
  </si>
  <si>
    <t>(04852)35280</t>
  </si>
  <si>
    <t>http://troschool.com.ua</t>
  </si>
  <si>
    <t>Усатівський НВК "школа-гімназія" ім. П.Д. Вернидуба</t>
  </si>
  <si>
    <t>67663</t>
  </si>
  <si>
    <t>5121085201</t>
  </si>
  <si>
    <t>Усатове</t>
  </si>
  <si>
    <t>вул. Гагаріна, 83</t>
  </si>
  <si>
    <t>(0482)308013</t>
  </si>
  <si>
    <t>Холоднобалківська загальноосвітня школа І-ІІІ ступенів Біляївського району Одеської області</t>
  </si>
  <si>
    <t>67660</t>
  </si>
  <si>
    <t>5121085401</t>
  </si>
  <si>
    <t>Холодна Балка</t>
  </si>
  <si>
    <t>(0482)303464</t>
  </si>
  <si>
    <t>Яськівська загальноосвітня школа I-III ступенів Одеської області Біляївського району</t>
  </si>
  <si>
    <t>67642</t>
  </si>
  <si>
    <t>5121085601</t>
  </si>
  <si>
    <t>Яськи</t>
  </si>
  <si>
    <t>(04852)38230</t>
  </si>
  <si>
    <t>Яськівська загальноосвітня школа І-ІІ ступенів Біляївського району Одеської області</t>
  </si>
  <si>
    <t>вул. Фрунзе, 85</t>
  </si>
  <si>
    <t>(04852)3-82-95</t>
  </si>
  <si>
    <t>Загальноосвітня школа І - ІІІ ступенів № 2 м. Березівка</t>
  </si>
  <si>
    <t>67300</t>
  </si>
  <si>
    <t>5121210100</t>
  </si>
  <si>
    <t>(04856)21240</t>
  </si>
  <si>
    <t>Загальноосвітня школа І - ІІІ ступенів № 1 м. Березівка</t>
  </si>
  <si>
    <t>вул. Побєди, 58</t>
  </si>
  <si>
    <t>(04856)20343</t>
  </si>
  <si>
    <t>загальноосвітня школа І-ІІІ стуупенів № 3 м.Березівка Березівського району Одеської ообласті</t>
  </si>
  <si>
    <t>вул. М.Грушевського, 5</t>
  </si>
  <si>
    <t>(04856)20663</t>
  </si>
  <si>
    <t>Навчально-виховний комплекс "Загальноосвітній навчальний заклад І ступеня - дошкільний навчальний заклад"</t>
  </si>
  <si>
    <t>(04856)21984</t>
  </si>
  <si>
    <t>Загальноосвітня школа І-ІІІ ст. смт Раухівка Березівського району Одеської області</t>
  </si>
  <si>
    <t>67308</t>
  </si>
  <si>
    <t>5121255600</t>
  </si>
  <si>
    <t>Раухівка</t>
  </si>
  <si>
    <t>вул. Євгена Кравця, 3А</t>
  </si>
  <si>
    <t>(048)5695660</t>
  </si>
  <si>
    <t>Анатолівський навчально - виховний комплекс "Загальноосвітня школа І - ІІІ ступенів - дошкільний навчальний заклад" Березівського району Одеської області</t>
  </si>
  <si>
    <t>67320</t>
  </si>
  <si>
    <t>5121280401</t>
  </si>
  <si>
    <t>(04856)97224</t>
  </si>
  <si>
    <t>Вікторівська загальноосвітня школа І-ІІ ст. Березівського району Одеської області</t>
  </si>
  <si>
    <t>67350</t>
  </si>
  <si>
    <t>5121280801</t>
  </si>
  <si>
    <t>вул. І. Франка, 45</t>
  </si>
  <si>
    <t>(95)2-23</t>
  </si>
  <si>
    <t>Виноградненська загальноосвітня школа І-ІІІ ступенів Березівського району Одеської області</t>
  </si>
  <si>
    <t>67341</t>
  </si>
  <si>
    <t>5121281001</t>
  </si>
  <si>
    <t>вул. Виноградна, 15/А</t>
  </si>
  <si>
    <t>0973775398</t>
  </si>
  <si>
    <t>Гуляївська загальноосвітня школа І-ІІ ступенів Березівської районної ради Одеської області</t>
  </si>
  <si>
    <t>67353</t>
  </si>
  <si>
    <t>5121281201</t>
  </si>
  <si>
    <t>Гуляївка</t>
  </si>
  <si>
    <t>вул. Гагаріна, -</t>
  </si>
  <si>
    <t>(24767516)0485698514</t>
  </si>
  <si>
    <t>Демидівська загальноосвітня школа І - ІІІ ступенів</t>
  </si>
  <si>
    <t>67312</t>
  </si>
  <si>
    <t>5121281601</t>
  </si>
  <si>
    <t>Демидове</t>
  </si>
  <si>
    <t>пров. Шкільний,, 1</t>
  </si>
  <si>
    <t>(04856)90553</t>
  </si>
  <si>
    <t>Заводівський навчально - виховний комплекс "Загальноосвітня школа І-ІІІ ступенів - дошкільний навчальний заклад" Березівської районної ради Одеської області</t>
  </si>
  <si>
    <t>67313</t>
  </si>
  <si>
    <t>5121282001</t>
  </si>
  <si>
    <t>Заводівка</t>
  </si>
  <si>
    <t>вул. Кондратенка, 55</t>
  </si>
  <si>
    <t>Чижевська неповна середня школа І-ІІ ступенів</t>
  </si>
  <si>
    <t>67315</t>
  </si>
  <si>
    <t>5121282005</t>
  </si>
  <si>
    <t>Чижове</t>
  </si>
  <si>
    <t>вул. Річна, 20</t>
  </si>
  <si>
    <t>(096)8808470</t>
  </si>
  <si>
    <t>Загальноосвітня школа І-ІІІ ступеня с.Златоустово Березівського району Одеської області</t>
  </si>
  <si>
    <t>67354</t>
  </si>
  <si>
    <t>5121282101</t>
  </si>
  <si>
    <t>Златоустове</t>
  </si>
  <si>
    <t>(04856)94332</t>
  </si>
  <si>
    <t>Загальноосвітня школа І-ІІІ ступенів с,Мариново</t>
  </si>
  <si>
    <t>67333</t>
  </si>
  <si>
    <t>5121282901</t>
  </si>
  <si>
    <t>Маринове</t>
  </si>
  <si>
    <t>вул. Леніна, 82Г</t>
  </si>
  <si>
    <t>(04856)97315</t>
  </si>
  <si>
    <t>Балайчуцький НВК "Загальноосвітня школа І ступеня ДНЗ з короткотривалим перебуванням дітей"</t>
  </si>
  <si>
    <t>67334</t>
  </si>
  <si>
    <t>5121282902</t>
  </si>
  <si>
    <t>Балайчук</t>
  </si>
  <si>
    <t>Михайло-Олександрівська загальноосвітня школа I-II ступенів Березівського району Одеської області</t>
  </si>
  <si>
    <t>67314</t>
  </si>
  <si>
    <t>5121283101</t>
  </si>
  <si>
    <t>Михайло-Олександрівка</t>
  </si>
  <si>
    <t>91-1-45</t>
  </si>
  <si>
    <t>Новоселівська загальноосвітня школа І-ІІ ступенів Березівського району, Одеської області.</t>
  </si>
  <si>
    <t>67330</t>
  </si>
  <si>
    <t>5121283401</t>
  </si>
  <si>
    <t>вул. Сонячна, 58</t>
  </si>
  <si>
    <t>0485692502</t>
  </si>
  <si>
    <t>Розквітівська загальноосвітня школаІ-ІІІ ступенів Розквітівської сільської ради об'єднаної територіальної громади Березівсського району Одеської області</t>
  </si>
  <si>
    <t>67324</t>
  </si>
  <si>
    <t>5121283601</t>
  </si>
  <si>
    <t>92-1-13</t>
  </si>
  <si>
    <t>Ряснопільський навчально-виховний комплекс "Загальноосвітня школа I -III ступенів - дошкільний навчальний заклад" Березівської районної ради Одеської області</t>
  </si>
  <si>
    <t>67360</t>
  </si>
  <si>
    <t>5121283801</t>
  </si>
  <si>
    <t>Ряснопіль</t>
  </si>
  <si>
    <t>вул. Фрунзе, 6</t>
  </si>
  <si>
    <t>90-2-18</t>
  </si>
  <si>
    <t>Петрівська загальноросвітня школа школа І - ІІ ступенів Березівської районної ради Одеської області</t>
  </si>
  <si>
    <t>5121283806</t>
  </si>
  <si>
    <t>Ставківська загальноосвітня школа І-ІІІ ступенів Розквітівської сільської ради об'єднаної територіальної громади Березівського району Одеської області</t>
  </si>
  <si>
    <t>67322</t>
  </si>
  <si>
    <t>5121284901</t>
  </si>
  <si>
    <t>Ставкове</t>
  </si>
  <si>
    <t>(048)96-2-30</t>
  </si>
  <si>
    <t>загальноосвітня школа І-ІІ ступенів с, Чорногірка</t>
  </si>
  <si>
    <t>67352</t>
  </si>
  <si>
    <t>5121285115</t>
  </si>
  <si>
    <t>Чорногірка</t>
  </si>
  <si>
    <t>вул. Щорса, 74</t>
  </si>
  <si>
    <t>Новокальчевська загальноосвітня школа І-ІІІ ступенів</t>
  </si>
  <si>
    <t>67340</t>
  </si>
  <si>
    <t>5121285601</t>
  </si>
  <si>
    <t>Новокальчеве</t>
  </si>
  <si>
    <t>Семихатський НВК</t>
  </si>
  <si>
    <t>5121285604</t>
  </si>
  <si>
    <t>Семихатки</t>
  </si>
  <si>
    <t>(096)0126089</t>
  </si>
  <si>
    <t>Михайлівська загальноосвітня школа І-ІІ ступенів Березівського району Одеської області</t>
  </si>
  <si>
    <t>67311</t>
  </si>
  <si>
    <t>5121285701</t>
  </si>
  <si>
    <t>(04856)99515</t>
  </si>
  <si>
    <t>Шевченківська загальноосвітня школа I-II ступенів Березівського району Одеської області</t>
  </si>
  <si>
    <t>67331</t>
  </si>
  <si>
    <t>5121285801</t>
  </si>
  <si>
    <t>вул. стадіонна, 3</t>
  </si>
  <si>
    <t>(04856)99262</t>
  </si>
  <si>
    <t>загальноосвітня школа І-ІІст. с. Яснопілля Березівського р-ну Одеської обл.</t>
  </si>
  <si>
    <t>67310</t>
  </si>
  <si>
    <t>5121286101</t>
  </si>
  <si>
    <t>Яснопілля</t>
  </si>
  <si>
    <t>вул. Вишнева, 50</t>
  </si>
  <si>
    <t>0973488484</t>
  </si>
  <si>
    <t>Кудрявський навчально-виховний комплекс "Загальноосвітня школа І-ІІ ступенів-дошкільний навчальний заклад" Березівського району Одеської області</t>
  </si>
  <si>
    <t>5121286103</t>
  </si>
  <si>
    <t>Кудрявка</t>
  </si>
  <si>
    <t>вул. Одеська</t>
  </si>
  <si>
    <t>(068)0479939</t>
  </si>
  <si>
    <t>Болградська загальноосвітня школа І-ІІІ ступенів № 2 Болградської районної ради Одеськой області</t>
  </si>
  <si>
    <t>68702</t>
  </si>
  <si>
    <t>5121410100</t>
  </si>
  <si>
    <t>Болград</t>
  </si>
  <si>
    <t>пл. 28 Червня, 2</t>
  </si>
  <si>
    <t>(04846)42379</t>
  </si>
  <si>
    <t>24761011</t>
  </si>
  <si>
    <t>Болградська загальноосвітня школа І-ІІІ ступенів № 3 Болградської районної ради Одеської області</t>
  </si>
  <si>
    <t>вул. Ямбольська, 13</t>
  </si>
  <si>
    <t>(04846)42175, (04846)41768, (04846)41993</t>
  </si>
  <si>
    <t>24760997</t>
  </si>
  <si>
    <t>Болградський навчально-виховний комплекс "Спеціалізована школа І-ІІІ ступенів-ліцей" Болградської районної ради Одеської області</t>
  </si>
  <si>
    <t>вул. Ізмаїльська, 1А</t>
  </si>
  <si>
    <t>(04846)41326, (04846)41246</t>
  </si>
  <si>
    <t>http://bolgradlicei.ucoz.ru</t>
  </si>
  <si>
    <t>20993836</t>
  </si>
  <si>
    <t>Комунальний Заклад "Болградська спеціальна загальноосвітня школа-інтернат І-ІІІ ступенів з дошкільними групами корекційного та реабілітаційного спрямування"</t>
  </si>
  <si>
    <t>вул. Малевінського, 187</t>
  </si>
  <si>
    <t>(04846)4-32-23</t>
  </si>
  <si>
    <t>https://www.facebook.com/100015876468625</t>
  </si>
  <si>
    <t>20993307</t>
  </si>
  <si>
    <t>Обласний заклад "Спеціалізована загальноосвітня школа-інтернат "Болградська гімназія ім. Г.С.Раковського"</t>
  </si>
  <si>
    <t>пл. 28 червня, 1</t>
  </si>
  <si>
    <t>(04846)41307</t>
  </si>
  <si>
    <t>20993842</t>
  </si>
  <si>
    <t>Олександрівський навчально-виховний комплекс "Загальноосвітня школа І-ІІІ ступенів-дошкільний навчальний заклад Болградської районної ради Одеської області"</t>
  </si>
  <si>
    <t>68713</t>
  </si>
  <si>
    <t>5121480401</t>
  </si>
  <si>
    <t>вул. Шкільна, 98</t>
  </si>
  <si>
    <t>(246)33640</t>
  </si>
  <si>
    <t>російська,англійська,гагаузька</t>
  </si>
  <si>
    <t>Баннівська загальноосвітня школа І-ІІІ ступенів Болградської районної ради Одеської області</t>
  </si>
  <si>
    <t>68750</t>
  </si>
  <si>
    <t>5121480701</t>
  </si>
  <si>
    <t>Баннівка</t>
  </si>
  <si>
    <t>вул. Гагаріна, 59А</t>
  </si>
  <si>
    <t>(04846)34340</t>
  </si>
  <si>
    <t>Василівська загальноосвітня школа І-ІІІ ступенів Болградської районної ради Одеської області</t>
  </si>
  <si>
    <t>68752</t>
  </si>
  <si>
    <t>5121481001</t>
  </si>
  <si>
    <t>(04846)34280</t>
  </si>
  <si>
    <t>Виноградненська загальноосвітня школа І-ІІІ ступенів Болградської районної ради Одеської області</t>
  </si>
  <si>
    <t>68722</t>
  </si>
  <si>
    <t>5121481401</t>
  </si>
  <si>
    <t>(048(46))34-5-40</t>
  </si>
  <si>
    <t>Виноградівська загальноосвітня школа І-ІІІ ступенів імені О.О.Банєва Болградської районної ради Одеської області</t>
  </si>
  <si>
    <t>68733</t>
  </si>
  <si>
    <t>5121481601</t>
  </si>
  <si>
    <t>(04846)36549, (04846)36449</t>
  </si>
  <si>
    <t>англійська,французька,гагаузька</t>
  </si>
  <si>
    <t>Владиченська загальноосвітня школа І-ІІІ ступенів Болградської районної ради Одеської області</t>
  </si>
  <si>
    <t>68741</t>
  </si>
  <si>
    <t>5121482001</t>
  </si>
  <si>
    <t>Владичень</t>
  </si>
  <si>
    <t>вул. Дунайська, 10</t>
  </si>
  <si>
    <t>(38)240</t>
  </si>
  <si>
    <t>Голицький навчально-виховний комплекс " Загальноосвітня школа І-ІІ ступенів-Дошкільний навчальний заклад" Болградської районної ради Одеської області</t>
  </si>
  <si>
    <t>68724</t>
  </si>
  <si>
    <t>5121482401</t>
  </si>
  <si>
    <t>Голиця</t>
  </si>
  <si>
    <t>(39)250</t>
  </si>
  <si>
    <t>Городненська загальноосвітня школа I-III ступенів Болградської районної ради Одеської області</t>
  </si>
  <si>
    <t>68712</t>
  </si>
  <si>
    <t>5121482701</t>
  </si>
  <si>
    <t>(04846)37-2-12</t>
  </si>
  <si>
    <t>українська,болгарська</t>
  </si>
  <si>
    <t>Дмитрівський навчально-виховний комплекс "Загальноосвітня школа І-ІІІ ступенів - дошкільний навчальний заклад імені С.С.Курогло" Болградської районної ради Одеської області</t>
  </si>
  <si>
    <t>68710</t>
  </si>
  <si>
    <t>5121483001</t>
  </si>
  <si>
    <t>вул. Марангоза Миколи, 143</t>
  </si>
  <si>
    <t>(04846)33519</t>
  </si>
  <si>
    <t>Каракуртська загальноосвітня школа I- III ступенів Болградської районної ради Одеської області</t>
  </si>
  <si>
    <t>68751</t>
  </si>
  <si>
    <t>5121483601</t>
  </si>
  <si>
    <t>Каракурт</t>
  </si>
  <si>
    <t>вул. Шкільна, 81</t>
  </si>
  <si>
    <t>(04846)35-5-40</t>
  </si>
  <si>
    <t>Залізничненська загальноосвітня школа I - III ступенів Болградської районної ради Одеської області</t>
  </si>
  <si>
    <t>68731</t>
  </si>
  <si>
    <t>5121483801</t>
  </si>
  <si>
    <t>вул. Бессарабська, 95</t>
  </si>
  <si>
    <t>(33)240</t>
  </si>
  <si>
    <t>Калчевська загальноосвітня школа І-ІІІ ступенів Болградської районної ради Одеської області</t>
  </si>
  <si>
    <t>68723</t>
  </si>
  <si>
    <t>5121484101</t>
  </si>
  <si>
    <t>Калчева</t>
  </si>
  <si>
    <t>(046-39)4-52, (046-39)4-12</t>
  </si>
  <si>
    <t>Криничненська загальноосвітня школа І-ІІІ ступенів Болградської районної ради Одеської області</t>
  </si>
  <si>
    <t>68742</t>
  </si>
  <si>
    <t>5121484701</t>
  </si>
  <si>
    <t>вул. Інзовська, 113</t>
  </si>
  <si>
    <t>(04846)44021</t>
  </si>
  <si>
    <t>російська,англійська,французька,болгарська</t>
  </si>
  <si>
    <t>Новотроянівський навчально-виховний комплекс "Загальноосвітня школа І-ІІІ ступенів - ліцей - дошкільний навчальний заклад" Болградської районної ради Одеської області</t>
  </si>
  <si>
    <t>68711</t>
  </si>
  <si>
    <t>5121485301</t>
  </si>
  <si>
    <t>Нові Трояни</t>
  </si>
  <si>
    <t>вул. Шкільна, 71/Е</t>
  </si>
  <si>
    <t>(048)4633420</t>
  </si>
  <si>
    <t>Оксамитненська загальноосвітня школа І - ІІІ ступенів імені І.І.Булгарова Болградської районної ради Одеської області</t>
  </si>
  <si>
    <t>68740</t>
  </si>
  <si>
    <t>5121485501</t>
  </si>
  <si>
    <t>Оксамитне</t>
  </si>
  <si>
    <t>(04846)3-30-47</t>
  </si>
  <si>
    <t>Оріхівська загальноосвітня школа І-ІІІ ступенів Болградської районної ради Одеської області</t>
  </si>
  <si>
    <t>68721</t>
  </si>
  <si>
    <t>5121485701</t>
  </si>
  <si>
    <t>Оріхівка</t>
  </si>
  <si>
    <t>вул. Шкільна, 82/Б</t>
  </si>
  <si>
    <t>(04846)38-3-29</t>
  </si>
  <si>
    <t>Табаківська загальноосвітня школа І-ІІІ ступенів Болградської районної ради Одеської області</t>
  </si>
  <si>
    <t>68730</t>
  </si>
  <si>
    <t>5121486501</t>
  </si>
  <si>
    <t>Табаки</t>
  </si>
  <si>
    <t>вул. Гагаріна, 74</t>
  </si>
  <si>
    <t>(04846)33-3-31</t>
  </si>
  <si>
    <t>Кубейська загальноосвітня школа І-ІІІ ступенів імені академіка Олександра Теодорова-Балана Болградської районної ради Одеської області</t>
  </si>
  <si>
    <t>68720</t>
  </si>
  <si>
    <t>5121487001</t>
  </si>
  <si>
    <t>Кубей</t>
  </si>
  <si>
    <t>(04846)35-290</t>
  </si>
  <si>
    <t>Кубейський навчально-виховний комплекс "загальноосвітня школа I-III ступенів - ліцей" Болградської районної ради Одеської області</t>
  </si>
  <si>
    <t>вул. Сатірова Панаса Івановича, 138А</t>
  </si>
  <si>
    <t>(04846)35240</t>
  </si>
  <si>
    <t>англійська,французька,гагаузька,болгарська</t>
  </si>
  <si>
    <t>Навчально - виховний комплекс "Загальноосвітня школа І-ІІІ ступенів - дитячий садок" селища міського типу Велика Михайлівка Великомихайлівського району Одеської області</t>
  </si>
  <si>
    <t>67100</t>
  </si>
  <si>
    <t>5121655100</t>
  </si>
  <si>
    <t>Велика Михайлівка</t>
  </si>
  <si>
    <t>вул. Старомихайлівська, 26</t>
  </si>
  <si>
    <t>(04859)21346</t>
  </si>
  <si>
    <t>http://vm-school-n2.at.ua/</t>
  </si>
  <si>
    <t>Навчально-виховний комплекс "Загальноосвітня школа І-ІІІ ступенів-гімназія" смт Велика Михайлівка Великомихайлівського району Одеської області</t>
  </si>
  <si>
    <t>(04859)21458</t>
  </si>
  <si>
    <t>загальноосвітня школа І-ІІ ступенів смт.Цебрикове Великомихайлівського району Одеської області</t>
  </si>
  <si>
    <t>67130</t>
  </si>
  <si>
    <t>5121655500</t>
  </si>
  <si>
    <t>Цебрикове</t>
  </si>
  <si>
    <t>вул. Огородня, 3</t>
  </si>
  <si>
    <t>(04959)2-31-57</t>
  </si>
  <si>
    <t>загальноосвітня школа І-ІІІ ступенів смт. Цебрикове Великомихайлівський район Одеська область</t>
  </si>
  <si>
    <t>вул. Пушкінська, 2</t>
  </si>
  <si>
    <t>(04859)23141</t>
  </si>
  <si>
    <t>http://cebrikschool1.ucoz.1</t>
  </si>
  <si>
    <t>Загальноосвітня школа І ступеня села Великозименове Великомихайлівського району Одеської області</t>
  </si>
  <si>
    <t>67134</t>
  </si>
  <si>
    <t>5121680301</t>
  </si>
  <si>
    <t>Великозименове</t>
  </si>
  <si>
    <t>(04859)23638</t>
  </si>
  <si>
    <t>Навчально-виховний комплекс "Загальноосвітня школа І-ІІІ ступенів - дитячий садок"села Великокомарівка Великомихайлівського району Одеської області</t>
  </si>
  <si>
    <t>67114</t>
  </si>
  <si>
    <t>5121680501</t>
  </si>
  <si>
    <t>Великокомарівка</t>
  </si>
  <si>
    <t>вул. Шкільна, 68Б</t>
  </si>
  <si>
    <t>(04859)26198</t>
  </si>
  <si>
    <t>Загальноосвітня школа І-ІІ ступенів с. Великоплоске Великомихайлівського району Одеської області</t>
  </si>
  <si>
    <t>67140</t>
  </si>
  <si>
    <t>5121680801</t>
  </si>
  <si>
    <t>Великоплоске</t>
  </si>
  <si>
    <t>пров. Мельничний, 18</t>
  </si>
  <si>
    <t>(04859)28150</t>
  </si>
  <si>
    <t>Навчально-виховний комплекс "Загальноосвітня школа І-ІІІ ступенів - дитячий садок " с. Великоплоске Великомихайлівського району Одеської області</t>
  </si>
  <si>
    <t>вул. Партизанська, 77</t>
  </si>
  <si>
    <t>Загальноосвітня школа І-ІІІ ступенів села Гребеники Великомихайлівського району Одеської області</t>
  </si>
  <si>
    <t>67144</t>
  </si>
  <si>
    <t>5121681301</t>
  </si>
  <si>
    <t>Гребеники</t>
  </si>
  <si>
    <t>(04859)28312</t>
  </si>
  <si>
    <t>http://grebenykivska.at.ua/</t>
  </si>
  <si>
    <t>Загальноосвітня школа І-ІІ ступенів с. Вишневе Великомихайлівського району Одеської області</t>
  </si>
  <si>
    <t>67123</t>
  </si>
  <si>
    <t>5121681901</t>
  </si>
  <si>
    <t>(04859)2-38-25</t>
  </si>
  <si>
    <t>http://kirovsckhool.at.ua</t>
  </si>
  <si>
    <t>Загальноосвітня школа І-ІІ ст. с. Мигаї Великомихайлівського району Одеської області</t>
  </si>
  <si>
    <t>67151</t>
  </si>
  <si>
    <t>5121682601</t>
  </si>
  <si>
    <t>Мигаї</t>
  </si>
  <si>
    <t>(04859)29316</t>
  </si>
  <si>
    <t>загальноосвітня школа І-ІІ ступенів с. Новооолександрівка Великомихайлівського району Одеської області</t>
  </si>
  <si>
    <t>67112</t>
  </si>
  <si>
    <t>5121682801</t>
  </si>
  <si>
    <t>вул. Свердлова, 48</t>
  </si>
  <si>
    <t>(04859)26123</t>
  </si>
  <si>
    <t>загальноосвітня школа І-ІІІ ст. с. Новоборисівка Великомихайлівського району Одеської області</t>
  </si>
  <si>
    <t>67121</t>
  </si>
  <si>
    <t>5121683001</t>
  </si>
  <si>
    <t>Новоборисівка</t>
  </si>
  <si>
    <t>вул. Чкалова, 5</t>
  </si>
  <si>
    <t>(04859)2-41-62</t>
  </si>
  <si>
    <t>Загальноосвітня школа І-ІІІ ступенів села Новопетрівка Великомихайлівського району Одеської області</t>
  </si>
  <si>
    <t>67103</t>
  </si>
  <si>
    <t>5121683201</t>
  </si>
  <si>
    <t>вул. Леніна, 7А</t>
  </si>
  <si>
    <t>(04859)2-19-21</t>
  </si>
  <si>
    <t>Загальноосвітня школа І-ІІ ступенів села Новосавицьке Великомихайлівського району Одеської області</t>
  </si>
  <si>
    <t>67143</t>
  </si>
  <si>
    <t>5121683301</t>
  </si>
  <si>
    <t>Новосавицьке</t>
  </si>
  <si>
    <t>2-78-48</t>
  </si>
  <si>
    <t>Навчально-виховний комплекс "Загальноосвітня школа І-ІІІ ступенів - дитячий садок" села Новоселівка Великомихайлівського району Одеської області</t>
  </si>
  <si>
    <t>67150</t>
  </si>
  <si>
    <t>5121683401</t>
  </si>
  <si>
    <t>(04859)27740</t>
  </si>
  <si>
    <t>http://novsh.at.ua</t>
  </si>
  <si>
    <t>Загальноосвітня школа І-ІІІ ступенів с. Першотравневе Великомихайлівського району Одеської області</t>
  </si>
  <si>
    <t>67154</t>
  </si>
  <si>
    <t>5121683701</t>
  </si>
  <si>
    <t>(04859)28944</t>
  </si>
  <si>
    <t>Загальноосвітня школа І-ІІ ступенів с.Полішпакове Великомихайлівського району Одеської області</t>
  </si>
  <si>
    <t>67153</t>
  </si>
  <si>
    <t>5121683901</t>
  </si>
  <si>
    <t>Полішпакове</t>
  </si>
  <si>
    <t>(04859)29516</t>
  </si>
  <si>
    <t>http://petrivskash.ucoz.ua</t>
  </si>
  <si>
    <t>Загальноосвітня школа І-ІІІ ступенів с. Полезне Великомихайлівського району Одеської області</t>
  </si>
  <si>
    <t>67120</t>
  </si>
  <si>
    <t>5121684201</t>
  </si>
  <si>
    <t>Полезне</t>
  </si>
  <si>
    <t>(04859)5927533</t>
  </si>
  <si>
    <t>http://school-polezne.at.ua/</t>
  </si>
  <si>
    <t>Навчально-виховний комплекс "Загальноосвітня школа І-ІІІ ступенів - дитячий садок" села Слов'яносербка Великомихайлівського району Одеської області</t>
  </si>
  <si>
    <t>67142</t>
  </si>
  <si>
    <t>5121684601</t>
  </si>
  <si>
    <t>Слов'яносербка</t>
  </si>
  <si>
    <t>вул. Молодіжна, 59</t>
  </si>
  <si>
    <t>Загальноосвітня школа І-ІІІ ступенів с. Соше-Острівське Великомихайлівського району Одеської області</t>
  </si>
  <si>
    <t>67110</t>
  </si>
  <si>
    <t>5121685201</t>
  </si>
  <si>
    <t>Соше-Острівське</t>
  </si>
  <si>
    <t>(04859)27122</t>
  </si>
  <si>
    <t>http://soshe-ostrivska-zosh-i-iii-st.webnode.com.ua/</t>
  </si>
  <si>
    <t>Загальноосвітня школа I-II ступенів с. Стоянове Великомихайлівського району Одеської області</t>
  </si>
  <si>
    <t>67113</t>
  </si>
  <si>
    <t>5121685401</t>
  </si>
  <si>
    <t>Стояневе</t>
  </si>
  <si>
    <t>(04859)27445</t>
  </si>
  <si>
    <t>Загальноосвітня школа I-III ступенів с.Тростянець Великомихайлівського району Одеської області</t>
  </si>
  <si>
    <t>67141</t>
  </si>
  <si>
    <t>5121685801</t>
  </si>
  <si>
    <t>(04859)28418, (04858)28418</t>
  </si>
  <si>
    <t>http://trostschool.ed.ua</t>
  </si>
  <si>
    <t>Загальноосвітня школа І-ІІ ступенів с.Цибулівка Великомихайлівського району Одеської області</t>
  </si>
  <si>
    <t>67132</t>
  </si>
  <si>
    <t>5121686001</t>
  </si>
  <si>
    <t>вул. Куйбишева, 71</t>
  </si>
  <si>
    <t>(04859)23724</t>
  </si>
  <si>
    <t>http://cubylivka.ucoz.ua/</t>
  </si>
  <si>
    <t>Загальноосвітня школа І-ІІ ступенів с.Воробіївка Великомихайлівського району Одеської області</t>
  </si>
  <si>
    <t>67133</t>
  </si>
  <si>
    <t>5121686401</t>
  </si>
  <si>
    <t>Воробіївка</t>
  </si>
  <si>
    <t>0485923619</t>
  </si>
  <si>
    <t>Іванівська загальноосвітня школа І - ІІІ ступенів ім. Б. Ф. Дерев'янка Іванівської районної ради Одеської області</t>
  </si>
  <si>
    <t>67200</t>
  </si>
  <si>
    <t>5121855100</t>
  </si>
  <si>
    <t>вул. Новоселів, 18 - А</t>
  </si>
  <si>
    <t>(04854)3-13-75</t>
  </si>
  <si>
    <t>Петрівська загальноосвітня школа І - ІІІ ступенів № 2 Іванівської районної ради Одеської області</t>
  </si>
  <si>
    <t>67240</t>
  </si>
  <si>
    <t>5121855400</t>
  </si>
  <si>
    <t>вул. Калініна, 3</t>
  </si>
  <si>
    <t>(04854)48200</t>
  </si>
  <si>
    <t>Петрівська загальноосвітня школа І-ІІІ ступенів № 1 Іванівської районної ради Одеської області</t>
  </si>
  <si>
    <t>вул. Шкільна, 4А</t>
  </si>
  <si>
    <t>(04854)48240</t>
  </si>
  <si>
    <t>Радісненська загальноосвітня школа І-ІІІ ступенів Іванівської районної ради Одеської області</t>
  </si>
  <si>
    <t>67212</t>
  </si>
  <si>
    <t>5121855600</t>
  </si>
  <si>
    <t>Радісне</t>
  </si>
  <si>
    <t>(04854)61493</t>
  </si>
  <si>
    <t>Баранівська загальноосвітня школа І-ІІІ ступенів Іванівської районної ради Одеської області</t>
  </si>
  <si>
    <t>67230</t>
  </si>
  <si>
    <t>5121880401</t>
  </si>
  <si>
    <t>Баранове</t>
  </si>
  <si>
    <t>0665106000</t>
  </si>
  <si>
    <t>Білчанський навчально-виховний комплекс "Загальноосвітня школа І-ІІІ ступенів ім.О.Одарія - дитячий садок" Іванівської районної ради Одеської області</t>
  </si>
  <si>
    <t>67231</t>
  </si>
  <si>
    <t>5121880701</t>
  </si>
  <si>
    <t>вул. Стрекалова, 17</t>
  </si>
  <si>
    <t>(04854)51285</t>
  </si>
  <si>
    <t>Великобуялицька загальноосвітня школа І-ІІІ ступенів Іванівської районної ради Одеської області</t>
  </si>
  <si>
    <t>67224</t>
  </si>
  <si>
    <t>5121881001</t>
  </si>
  <si>
    <t>Великий Буялик</t>
  </si>
  <si>
    <t>вул. Шкільна, № 22</t>
  </si>
  <si>
    <t>(04854)44362</t>
  </si>
  <si>
    <t>Бузинівська загальноосвітня школа І-ІІ ступенів Іванівської районної ради Одеської області</t>
  </si>
  <si>
    <t>5121881201</t>
  </si>
  <si>
    <t>Бузинове</t>
  </si>
  <si>
    <t>вул. Анастасіївська, 120</t>
  </si>
  <si>
    <t>(04854)5-15-85</t>
  </si>
  <si>
    <t>Калинівська загальноосвітня школа І-ІІІ ступенів Коноплянської сільської ради</t>
  </si>
  <si>
    <t>67221</t>
  </si>
  <si>
    <t>5121881401</t>
  </si>
  <si>
    <t>вул. 30 років Перемоги, 24</t>
  </si>
  <si>
    <t>(04854)51131</t>
  </si>
  <si>
    <t>Гудевичівська загальноосвітня школа І-ІІ ступенів Коноплянської сільської ради</t>
  </si>
  <si>
    <t>67223</t>
  </si>
  <si>
    <t>5121881403</t>
  </si>
  <si>
    <t>Гудевичеве</t>
  </si>
  <si>
    <t>(04854)51140</t>
  </si>
  <si>
    <t>Джугастрівський навчально-виховний комплекс "Загальноосвітня школа І-ІІІ ступенів - дитячий садок" Коноплянської сільської ради</t>
  </si>
  <si>
    <t>67222</t>
  </si>
  <si>
    <t>5121881404</t>
  </si>
  <si>
    <t>Джугастрове</t>
  </si>
  <si>
    <t>вул. О.Чеського, 13</t>
  </si>
  <si>
    <t>опорний заклад "Коноплянська загальноосвітня школа І- ІІІ ступенів Коноплянської сільської ради"</t>
  </si>
  <si>
    <t>67220</t>
  </si>
  <si>
    <t>5121882001</t>
  </si>
  <si>
    <t>Конопляне</t>
  </si>
  <si>
    <t>вул. 30 річчя Перемоги, 43</t>
  </si>
  <si>
    <t>0959441589</t>
  </si>
  <si>
    <t>Богунівський навчально-виховний комплекс "Загальноосвітня школа І-ІІІ ступенів - дитячий садок" Коноплянської сільської ради</t>
  </si>
  <si>
    <t>67252</t>
  </si>
  <si>
    <t>5121882002</t>
  </si>
  <si>
    <t>Богунове</t>
  </si>
  <si>
    <t>вул. Садова, 11</t>
  </si>
  <si>
    <t>0485451310</t>
  </si>
  <si>
    <t>Михайлопільська загальноосвітня школа І - ІІ ступенів Коноплянської сільської ради</t>
  </si>
  <si>
    <t>67210</t>
  </si>
  <si>
    <t>5121882601</t>
  </si>
  <si>
    <t>Михайлопіль</t>
  </si>
  <si>
    <t>(048544)4-92-40</t>
  </si>
  <si>
    <t>Павлинський навчально- виховний комплекс "Загальноосвітня школа І-ІІІ ступенів - дитячий садок "Іванівської районної ради Одеської області</t>
  </si>
  <si>
    <t>67243</t>
  </si>
  <si>
    <t>5121883201</t>
  </si>
  <si>
    <t>Павлинка</t>
  </si>
  <si>
    <t>(8048)5446340</t>
  </si>
  <si>
    <t>Северинівський навчально - виховний комплекс "Загальноосвітня школа І- ІІІступенів - дитячий садок" Іванівської районної ради Одеської області</t>
  </si>
  <si>
    <t>67232</t>
  </si>
  <si>
    <t>5121883801</t>
  </si>
  <si>
    <t>вул. Каткова, 6</t>
  </si>
  <si>
    <t>47340</t>
  </si>
  <si>
    <t>Знам'янська загальноосвітня школа І-ІІІ ступенів Іванівської районної ради Одеської області</t>
  </si>
  <si>
    <t>67211</t>
  </si>
  <si>
    <t>5121884201</t>
  </si>
  <si>
    <t>(04854)43588</t>
  </si>
  <si>
    <t>Суворовська загальноосвітня школа І-ІІІ ступенів Ізмаїльскої районної ради Одеської області</t>
  </si>
  <si>
    <t>68640</t>
  </si>
  <si>
    <t>5122055400</t>
  </si>
  <si>
    <t>Суворове</t>
  </si>
  <si>
    <t>(04841)4-42-53</t>
  </si>
  <si>
    <t>Багатянська загальноосвітня школа І - ІІІ ступенів Ізмаїльської районної ради Одеської області</t>
  </si>
  <si>
    <t>68671</t>
  </si>
  <si>
    <t>5122080401</t>
  </si>
  <si>
    <t>(04841)46140</t>
  </si>
  <si>
    <t>http://bogate-school.edukit.od.ua</t>
  </si>
  <si>
    <t>Бросківська загальноосвітня школа І-ІІІ ступенів Ізмаїльської районної ради Одеської області</t>
  </si>
  <si>
    <t>68663</t>
  </si>
  <si>
    <t>5122080701</t>
  </si>
  <si>
    <t>Броска</t>
  </si>
  <si>
    <t>вул. Болградська, 90</t>
  </si>
  <si>
    <t>Каланчацька загальноосвітня школа І-ІІІ ступенів Ізмаїльської районної ради Одеської області</t>
  </si>
  <si>
    <t>68642</t>
  </si>
  <si>
    <t>5122081301</t>
  </si>
  <si>
    <t>Каланчак</t>
  </si>
  <si>
    <t>4-21-40</t>
  </si>
  <si>
    <t>"Кам'янський навчально виховний комплекс "Загальноосвітній навчальний заклад І-ІІІ ступенів-гімназія" Ізмаїльськой районной ради Одеської області"</t>
  </si>
  <si>
    <t>68643</t>
  </si>
  <si>
    <t>5122081701</t>
  </si>
  <si>
    <t>(04841)43240</t>
  </si>
  <si>
    <t>КОМИШІВСЬКА ЗАГАЛЬНООСВІТНЯ ШКОЛА І-ІІІ СТУПЕНІВ ІЗМАЇЛЬСЬКОЇ РАЙОННОЇ РАДИ ОДЕСЬКОЇ ОБЛАСТІ</t>
  </si>
  <si>
    <t>68653</t>
  </si>
  <si>
    <t>5122082001</t>
  </si>
  <si>
    <t>Комишівка</t>
  </si>
  <si>
    <t>вул. 28 червня, 9</t>
  </si>
  <si>
    <t>(04841)45221</t>
  </si>
  <si>
    <t>http://kamishovka.jimdo.com</t>
  </si>
  <si>
    <t>російська,молдовська,англійська</t>
  </si>
  <si>
    <t>Кирничанська загальноосвітня школа І-ІІІ ступенів</t>
  </si>
  <si>
    <t>68650</t>
  </si>
  <si>
    <t>5122082601</t>
  </si>
  <si>
    <t>Кирнички</t>
  </si>
  <si>
    <t>(048)46840</t>
  </si>
  <si>
    <t>Кислицька загальноосвітня школа І-ІІІ ступенів Ізмаїльської районної ради Одеської області</t>
  </si>
  <si>
    <t>68655</t>
  </si>
  <si>
    <t>5122082901</t>
  </si>
  <si>
    <t>Кислиця</t>
  </si>
  <si>
    <t>(098)5586879, (42)440</t>
  </si>
  <si>
    <t>Ларжанський навчально-виховний комплекс "Загальноосвітній навчальний заклад І-ІІІ ступенів - дошкільний навчальний заклад"</t>
  </si>
  <si>
    <t>68662</t>
  </si>
  <si>
    <t>5122083201</t>
  </si>
  <si>
    <t>Ларжанка</t>
  </si>
  <si>
    <t>(04841)47-1-40, (04841)47-1-19</t>
  </si>
  <si>
    <t>Лощинівська загальноосвітня школа І-ІІ ступенів Ізмаїльської районної ради Одеської області</t>
  </si>
  <si>
    <t>68644</t>
  </si>
  <si>
    <t>5122083401</t>
  </si>
  <si>
    <t>Лощинівка</t>
  </si>
  <si>
    <t>(04841)42240</t>
  </si>
  <si>
    <t>Матроський навчально-виховний комплекс "загальноосвітня школа І-ІІІ ступенів-дошкільний навчальний заклад"</t>
  </si>
  <si>
    <t>68664</t>
  </si>
  <si>
    <t>5122083601</t>
  </si>
  <si>
    <t>Матроска</t>
  </si>
  <si>
    <t>(04841)40119</t>
  </si>
  <si>
    <t>http://nvkmatroska.jimbo.com</t>
  </si>
  <si>
    <t>Муравлівська загальноосвітня школа І-ІІІ ступенів Ізмаїльської районної Ради Одеської області</t>
  </si>
  <si>
    <t>68652</t>
  </si>
  <si>
    <t>5122083801</t>
  </si>
  <si>
    <t>Муравлівка</t>
  </si>
  <si>
    <t>Новонекрасівська загальноосвітня школа І-ІІІ ступенів Ізмаїльської районної ради Одеської області</t>
  </si>
  <si>
    <t>68661</t>
  </si>
  <si>
    <t>5122084201</t>
  </si>
  <si>
    <t>Нова Некрасівка</t>
  </si>
  <si>
    <t>(04841)47340</t>
  </si>
  <si>
    <t>Новопокровська загальноосвітня школа І-ІІ ступенів</t>
  </si>
  <si>
    <t>68651</t>
  </si>
  <si>
    <t>5122084501</t>
  </si>
  <si>
    <t>Нова Покровка</t>
  </si>
  <si>
    <t>46-7-40</t>
  </si>
  <si>
    <t>Озернянська ЗОШ І - ІІІ ступенів Ізмаїльської районної ради Одеської області</t>
  </si>
  <si>
    <t>68660</t>
  </si>
  <si>
    <t>5122084801</t>
  </si>
  <si>
    <t>вул. 1 Травня, 29А</t>
  </si>
  <si>
    <t>(76)2-86, (76)5-20</t>
  </si>
  <si>
    <t>Першотравневська ЗОШ І-ІІІ ступенів Ізмаїльської районної ради Одеської області</t>
  </si>
  <si>
    <t>68654</t>
  </si>
  <si>
    <t>5122085301</t>
  </si>
  <si>
    <t>(04841)42840</t>
  </si>
  <si>
    <t>Саф'янська загальноосвітня школа І-ІІІ ступенів Ізмаїльської районної ради Одеської області</t>
  </si>
  <si>
    <t>68670</t>
  </si>
  <si>
    <t>5122085901</t>
  </si>
  <si>
    <t>Саф'яни</t>
  </si>
  <si>
    <t>вул. Я.Мудрого, 41А</t>
  </si>
  <si>
    <t>(04841)47540</t>
  </si>
  <si>
    <t>Старонекрасівська загальноосвітня школа І-ІІІ ступенів Ізмаїльської районної Ради Одеської області</t>
  </si>
  <si>
    <t>68672</t>
  </si>
  <si>
    <t>5122086301</t>
  </si>
  <si>
    <t>Стара Некрасівка</t>
  </si>
  <si>
    <t>вул. Ізмаїльська, 34</t>
  </si>
  <si>
    <t>(04841)49487</t>
  </si>
  <si>
    <t>КЗ "Утконосівська спеціальна загальноосвітня школа- інтернат І-ІІ ступенів"</t>
  </si>
  <si>
    <t>68645</t>
  </si>
  <si>
    <t>5122086901</t>
  </si>
  <si>
    <t>Утконосівка</t>
  </si>
  <si>
    <t>вул. Паркова, 16</t>
  </si>
  <si>
    <t>(04841)49222</t>
  </si>
  <si>
    <t>Утконосівська загальноосвітня школа І-ІІІ ступенів Ізмаїльської районної ради Одеської області</t>
  </si>
  <si>
    <t>49-1-40</t>
  </si>
  <si>
    <t>23208097</t>
  </si>
  <si>
    <t>Кілійська загальноосвітня школа І-ІІ ступенів № 6 Кілійської районної ради Одеської області</t>
  </si>
  <si>
    <t>68300</t>
  </si>
  <si>
    <t>5122310100</t>
  </si>
  <si>
    <t>Кілія</t>
  </si>
  <si>
    <t>вул. Лесі Українки, 120</t>
  </si>
  <si>
    <t>(04843)30640</t>
  </si>
  <si>
    <t>Кілійська загальноосвітня школа І-ІІІ ступенів № 2 Кілійської районної ради Одеської області</t>
  </si>
  <si>
    <t>(34211291)(04843)42085</t>
  </si>
  <si>
    <t>Кілійський навчально-виховний комплекс "Загальноосвітня школа І-ІІ ступенів - дитячий садок", Кілійська районна рада, Одеська область</t>
  </si>
  <si>
    <t>вул. Кірова, 108</t>
  </si>
  <si>
    <t>(04843)4-24-75</t>
  </si>
  <si>
    <t>Кілійський навчально-виховний комплекс "Загальноосвітня школа І-ІІІ ступенів № 1ліцей" Кілійської районної ради Одеської області</t>
  </si>
  <si>
    <t>68303</t>
  </si>
  <si>
    <t>вул. Гагарина, 46</t>
  </si>
  <si>
    <t>(04843)41802</t>
  </si>
  <si>
    <t>http://wkola1-licey.at.ua/</t>
  </si>
  <si>
    <t>Кілійський навчально-виховний комплекс "Загальоосвітня школа І-ІІІ ступенів № 3-ліцей" Кілійської районної ради Одеської області</t>
  </si>
  <si>
    <t>вул. Кіченко, 71</t>
  </si>
  <si>
    <t>0484341157, 0484341137</t>
  </si>
  <si>
    <t>http://school3kiliya.ucoz.ua</t>
  </si>
  <si>
    <t>Кілійський навчально-виховний комплекс"Загальноосвітня школа І-ІІІ ступенів-гімназія"Кілійської районної ради Одеської області</t>
  </si>
  <si>
    <t>вул. Вишнева, 62А</t>
  </si>
  <si>
    <t>(04843)40248</t>
  </si>
  <si>
    <t>Одеська обл. КЗ "Кілійська спеціальна загальноосвітня школа-інтернат І-ІІ ступенів"</t>
  </si>
  <si>
    <t>вул. Челюскіна, 10</t>
  </si>
  <si>
    <t>(3804843)42073</t>
  </si>
  <si>
    <t>http://internat-kiliya.ucoz.net</t>
  </si>
  <si>
    <t>20991955</t>
  </si>
  <si>
    <t>Вилківська загальноосвітня школа І-ІІІ ступенів № 1 Кілійської районної ради Одеської області</t>
  </si>
  <si>
    <t>68355</t>
  </si>
  <si>
    <t>5122310300</t>
  </si>
  <si>
    <t>Вилкове</t>
  </si>
  <si>
    <t>вул. Різдвяна, 62</t>
  </si>
  <si>
    <t>(04843)31935</t>
  </si>
  <si>
    <t>Вилківський навчально-виховний комплекс "Загальноосвітня школа І-ІІІ ступенів- ліцей" Кілійської районної ради Одеської області</t>
  </si>
  <si>
    <t>вул. Татарбунарського повстання, 40</t>
  </si>
  <si>
    <t>(04843)3-24-05</t>
  </si>
  <si>
    <t>Василівський навчально-виховний комплекс "Загальноосвітня школа І-ІІ ступенів-дитячий садок" Кілійської районної ради Одеської області</t>
  </si>
  <si>
    <t>68323</t>
  </si>
  <si>
    <t>5122380401</t>
  </si>
  <si>
    <t>(0484338)5-40</t>
  </si>
  <si>
    <t>Десантненська загальноосвітня школа І-ІІІ ступенів Кілійської районної ради Одеської області</t>
  </si>
  <si>
    <t>68341</t>
  </si>
  <si>
    <t>5122380801</t>
  </si>
  <si>
    <t>Десантне</t>
  </si>
  <si>
    <t>(04823)33-4-40</t>
  </si>
  <si>
    <t>http://shkolna37.ucoz.ru/</t>
  </si>
  <si>
    <t>Новомиколаївський навчально-виховний комплекс "Загальноосвітня школа І-ІІ ступенів - дитячий садок" Кілійської районної ради Одеської області</t>
  </si>
  <si>
    <t>68342</t>
  </si>
  <si>
    <t>5122380802</t>
  </si>
  <si>
    <t>вул. Дунайська, 34</t>
  </si>
  <si>
    <t>(04843)38480</t>
  </si>
  <si>
    <t>Дмитрівська загальноосвітня школа І-ІІІ ступенів Кілійської районної ради Одеської області</t>
  </si>
  <si>
    <t>68330</t>
  </si>
  <si>
    <t>5122381201</t>
  </si>
  <si>
    <t>вул. Шкільна, 91А</t>
  </si>
  <si>
    <t>(04843)37549</t>
  </si>
  <si>
    <t>http://dmitrivskazoch.ucoz.ua/</t>
  </si>
  <si>
    <t>Лісківська загальноосвітня школа І-ІІІ ступенів Кілійської районної ради Одеської області</t>
  </si>
  <si>
    <t>68354</t>
  </si>
  <si>
    <t>5122381901</t>
  </si>
  <si>
    <t>Мирнівська загальноосвітня школа І-ІІІ ступенів Кілійської районної ради Одеської області</t>
  </si>
  <si>
    <t>68340</t>
  </si>
  <si>
    <t>5122382201</t>
  </si>
  <si>
    <t>(04843)38421</t>
  </si>
  <si>
    <t>Новоселівська загальноосвітня школа І-ІІІ ступенів Кілійської районної ради Одеської області</t>
  </si>
  <si>
    <t>68320</t>
  </si>
  <si>
    <t>5122382601</t>
  </si>
  <si>
    <t>вул. Шкільльна, 16</t>
  </si>
  <si>
    <t>(43)35240</t>
  </si>
  <si>
    <t>http://novosel-school.ucoz.ru</t>
  </si>
  <si>
    <t>Приморська загальноосвітня школа І-ІІІ ступенів Кілійської районної ради Одеської області</t>
  </si>
  <si>
    <t>68350</t>
  </si>
  <si>
    <t>5122383001</t>
  </si>
  <si>
    <t>вул. Морська, 81</t>
  </si>
  <si>
    <t>(04843)34-697</t>
  </si>
  <si>
    <t>Приозерненська загальноосвітня школа І-ІІІ ступенів Кілійської районної ради Одеської області</t>
  </si>
  <si>
    <t>68312</t>
  </si>
  <si>
    <t>5122383401</t>
  </si>
  <si>
    <t>Старотроянівська загальноосвітня школа І-ІІІ ступенів Кілійської районної ради Одеської області</t>
  </si>
  <si>
    <t>68310</t>
  </si>
  <si>
    <t>5122383901</t>
  </si>
  <si>
    <t>Старі Трояни</t>
  </si>
  <si>
    <t>англійська,гагаузька</t>
  </si>
  <si>
    <t>Трудівська загальноосвітня школа І-ІІІ ступенів Кілійська районна рада Одеська область</t>
  </si>
  <si>
    <t>68331</t>
  </si>
  <si>
    <t>5122384601</t>
  </si>
  <si>
    <t>вул. Ушакова, 10</t>
  </si>
  <si>
    <t>http://trudivskashkola.ucoz.ua</t>
  </si>
  <si>
    <t>Фурманівська загальноосвітня школа Кілійської районної ради Одеської області</t>
  </si>
  <si>
    <t>68321</t>
  </si>
  <si>
    <t>5122385101</t>
  </si>
  <si>
    <t>Фурманівка</t>
  </si>
  <si>
    <t>(048)2-40</t>
  </si>
  <si>
    <t>Червоноярський навчально-виховний комплекс "Загальноосвітня школа І-ІІ ступенів - дитячий садок" Кілійської районної ради Одеської області</t>
  </si>
  <si>
    <t>68322</t>
  </si>
  <si>
    <t>5122385601</t>
  </si>
  <si>
    <t>вул. Шкільна, 30А</t>
  </si>
  <si>
    <t>(04843)30440</t>
  </si>
  <si>
    <t>Шевченківська загальноосвітня школа І-ІІІ ступенів № 2 Кілійської районної ради Одеської області</t>
  </si>
  <si>
    <t>68332</t>
  </si>
  <si>
    <t>5122385901</t>
  </si>
  <si>
    <t>вул. 8 Березня, 3</t>
  </si>
  <si>
    <t>(04843)3-72-70</t>
  </si>
  <si>
    <t>Шевченківська загальноосвітня школа І-ІІІ ступенів № 1 Шевченківська загальноосвітня школа І-ІІІ ступенів № 1 Шевченківська загальноосвітня школа І-ІІІ ступенів № 1</t>
  </si>
  <si>
    <t>вул. Музики, 75</t>
  </si>
  <si>
    <t>(04843)3-72-40</t>
  </si>
  <si>
    <t>Комунальний заклад " Кодимська загальноосвітня школа І-ІІІ ступенів" Кодимської районної ради Одеської області</t>
  </si>
  <si>
    <t>66000</t>
  </si>
  <si>
    <t>5122510100</t>
  </si>
  <si>
    <t>Кодима</t>
  </si>
  <si>
    <t>вул. Соборна, 113</t>
  </si>
  <si>
    <t>(04867)21338</t>
  </si>
  <si>
    <t>Комунальний заклад «Кодимський навчально-виховний комплекс «Загальноосвітня школа І-ІІІ ступенів - дошкільний навчальний заклад Кодимської районної ради Одеської області»</t>
  </si>
  <si>
    <t>вул. Героїв Ато, 11</t>
  </si>
  <si>
    <t>(3804867)21630</t>
  </si>
  <si>
    <t>http://kodyma-nvk2.edukit.od.ua</t>
  </si>
  <si>
    <t>Комунальний заклад "Слобідська загальноосвітня школа І-ІІІ ступенів" Кодимської районної ради Одеської області</t>
  </si>
  <si>
    <t>66050</t>
  </si>
  <si>
    <t>5122555500</t>
  </si>
  <si>
    <t>вул. Незалежності, 2О</t>
  </si>
  <si>
    <t>(04867)27121</t>
  </si>
  <si>
    <t>Комунальний заклад "Олексіївський НВК "ЗШ I-II ступенів - ДНЗ" Кодимської районної ради Одеської області</t>
  </si>
  <si>
    <t>66013</t>
  </si>
  <si>
    <t>5122580401</t>
  </si>
  <si>
    <t>вул. Кошового, 11</t>
  </si>
  <si>
    <t>Баштанківський навчально - виховний комплекс "Загальноосвітня школа І - ІІ ступенів - дошкільний навчальний заклад Кодимської районної ради Одеської області"</t>
  </si>
  <si>
    <t>66010</t>
  </si>
  <si>
    <t>5122580701</t>
  </si>
  <si>
    <t>Баштанків</t>
  </si>
  <si>
    <t>2-24-52</t>
  </si>
  <si>
    <t>http://bashtankiv.ucoz.ru</t>
  </si>
  <si>
    <t>комунальний заклад "Будеївський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</si>
  <si>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66022</t>
  </si>
  <si>
    <t>5122581201</t>
  </si>
  <si>
    <t>Будеї</t>
  </si>
  <si>
    <t>вул. Cоборна, 5</t>
  </si>
  <si>
    <t>(04867)24618</t>
  </si>
  <si>
    <t>Комунальний заклад "Грабівський навчально-виховний комплекс "Загальноосвітня школа І-ІІІ ступенів-дошкільний навчальний заклад" Кодимської районної ради Одеської області</t>
  </si>
  <si>
    <t>66030</t>
  </si>
  <si>
    <t>5122581601</t>
  </si>
  <si>
    <t>вул. Громазюка, 25</t>
  </si>
  <si>
    <t>(04867)22325</t>
  </si>
  <si>
    <t>http://Grabove.ucoz.ru</t>
  </si>
  <si>
    <t>Комунальний заклад "Сергіївський НВК "ЗШ І ст. - ДНЗ" Кодимської районної ради Одеської області</t>
  </si>
  <si>
    <t>66032</t>
  </si>
  <si>
    <t>5122581602</t>
  </si>
  <si>
    <t>вул. Пташенчука</t>
  </si>
  <si>
    <t>(04867)22316</t>
  </si>
  <si>
    <t>Комунальний заклад "Загнітківська загальноосвітня школа І-ІІІ ступенів" Кодимської районної ради Одеської області</t>
  </si>
  <si>
    <t>66012</t>
  </si>
  <si>
    <t>5122582201</t>
  </si>
  <si>
    <t>Загнітків</t>
  </si>
  <si>
    <t>вул. Партизанська, 12</t>
  </si>
  <si>
    <t>(04867)22560</t>
  </si>
  <si>
    <t>http://zagskola.at.ua</t>
  </si>
  <si>
    <t>Комунальний заклад "Івашківський НВК "ЗШ I-III ступенів - ДНЗ" Кодимської районної ради Одеської області"</t>
  </si>
  <si>
    <t>66020</t>
  </si>
  <si>
    <t>5122582601</t>
  </si>
  <si>
    <t>Івашків</t>
  </si>
  <si>
    <t>(04867)2-43-40</t>
  </si>
  <si>
    <t>Комунальний заклад "Крутівський навчально - виховний комплекс "Загальноосвітня школа І-ІІ ступенів - дошкільний навчальний заклад" Кодимської районної ради Одеської області</t>
  </si>
  <si>
    <t>66042</t>
  </si>
  <si>
    <t>5122583001</t>
  </si>
  <si>
    <t>Круті</t>
  </si>
  <si>
    <t>ал. Центральна, 101</t>
  </si>
  <si>
    <t>(04867)22732</t>
  </si>
  <si>
    <t>http://www.nvki-iiikruti.ucoz.ru</t>
  </si>
  <si>
    <t>комунальний заклад "Лабушненський навчально-виховний комплекс"Загальноосвітня школа І-ІІІ ступенів - дошкільний навчальний заклад" Кодимської районної ради Одеської області</t>
  </si>
  <si>
    <t>66033</t>
  </si>
  <si>
    <t>5122583401</t>
  </si>
  <si>
    <t>Лабушне</t>
  </si>
  <si>
    <t>2-21-80</t>
  </si>
  <si>
    <t>http://labushne-nvk.edukit.od.ua.</t>
  </si>
  <si>
    <t>Комунальний заклад" Лисогірський навчально-виховний комплекс "Загальноосвітня школа І-ІІ ступенів-дошкільний навчальний заклад"Кодимської районної ради Одеської області</t>
  </si>
  <si>
    <t>66004</t>
  </si>
  <si>
    <t>5122583601</t>
  </si>
  <si>
    <t>вул. Cушкевича, 1</t>
  </si>
  <si>
    <t>(04867)2-75-36</t>
  </si>
  <si>
    <t>Комунальний заклад Малослобідський НВК "Загальноосвітня школа І ступеня - дошкільний навчальний заклад" Кодимської районної ради Одеської області</t>
  </si>
  <si>
    <t>66051</t>
  </si>
  <si>
    <t>5122583701</t>
  </si>
  <si>
    <t>Мала Слобідка</t>
  </si>
  <si>
    <t>(04867)2-42-11</t>
  </si>
  <si>
    <t>Комунальний заклад Петрівський навчально-виховний комплекс "Загальноосвітня школа І-ІІ ступенів - дошкільний навчальний заклад" Кодимської районної ради Одеської області</t>
  </si>
  <si>
    <t>66040</t>
  </si>
  <si>
    <t>5122583901</t>
  </si>
  <si>
    <t>(04867)23440</t>
  </si>
  <si>
    <t>комунальний заклад Пиріжнянський навчально-виховний комплекс"Загальноосвітня школа I-IIІ ступенів - дошкільний навчальний заклад" Кодимська районна рада, Одеська область</t>
  </si>
  <si>
    <t>66021</t>
  </si>
  <si>
    <t>5122584101</t>
  </si>
  <si>
    <t>Пиріжна</t>
  </si>
  <si>
    <t>вул. Лесі Українки, 308</t>
  </si>
  <si>
    <t>(04867)2-22-33</t>
  </si>
  <si>
    <t>Комунальний заклад"Писарівський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</si>
  <si>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66031</t>
  </si>
  <si>
    <t>5122584301</t>
  </si>
  <si>
    <t>0486723233</t>
  </si>
  <si>
    <t>http://pisarivka.ucoz.ua</t>
  </si>
  <si>
    <t>комунальний заклад "Сербівська загальноосвітня школа І-ІІІ ступенів" Кодимської районної ради Одеської області</t>
  </si>
  <si>
    <t>66011</t>
  </si>
  <si>
    <t>5122584601</t>
  </si>
  <si>
    <t>(04867)2-47-18</t>
  </si>
  <si>
    <t>Комунальний заклад "Тимківський навчально-виховний комплекс " Загальноосвітня школа І-ІІ ступенів - дошкільний навчальний заклад" Кодимської районної ради Одеської області</t>
  </si>
  <si>
    <t>66052</t>
  </si>
  <si>
    <t>5122585001</t>
  </si>
  <si>
    <t>Тимкове</t>
  </si>
  <si>
    <t>(04867)2-41-54</t>
  </si>
  <si>
    <t>Комунальний заклад "Шершенецька загальноосвітня школа І-ІІІ ступенів" Кодимської районної ради Одеської області</t>
  </si>
  <si>
    <t>66034</t>
  </si>
  <si>
    <t>5122585601</t>
  </si>
  <si>
    <t>Шершенці</t>
  </si>
  <si>
    <t>вул. Ярослава Мудрого, 7</t>
  </si>
  <si>
    <t>(04867)23799</t>
  </si>
  <si>
    <t>Доброславський навчально-виховний комплекс "Загальноосвітня школа І-ІІІ ступенів-гімназія" Лиманської районної ради Одеської області</t>
  </si>
  <si>
    <t>67500</t>
  </si>
  <si>
    <t>5122755100</t>
  </si>
  <si>
    <t>Доброслав</t>
  </si>
  <si>
    <t>вул. 40-річчя Визволення, 10</t>
  </si>
  <si>
    <t>(04855)91946</t>
  </si>
  <si>
    <t>Вовківський навчльно-виховний комплекс"Загальноосвітня школа І-ІІ ступенів -дошкільний навчальний заклад''Лиманської районної ради Одеської області</t>
  </si>
  <si>
    <t>63500</t>
  </si>
  <si>
    <t>5122755101</t>
  </si>
  <si>
    <t>Вовківське</t>
  </si>
  <si>
    <t>ал. Центральна, 41</t>
  </si>
  <si>
    <t>Новобілярський навчально-виховний комплекс "Загальноосвітня школа І-ІІ ступенів - дошкільний навчальний заклад" Лиманської районної ради Одеської області</t>
  </si>
  <si>
    <t>67550</t>
  </si>
  <si>
    <t>5122755401</t>
  </si>
  <si>
    <t>Білярі</t>
  </si>
  <si>
    <t>(048)759-52-73</t>
  </si>
  <si>
    <t>Чорноморська загальноосвітня школа І-ІІІ ступенів Лиманської районної ради Одеської області</t>
  </si>
  <si>
    <t>67570</t>
  </si>
  <si>
    <t>5122755900</t>
  </si>
  <si>
    <t>Чорноморське</t>
  </si>
  <si>
    <t>вул. Гвардійська, 39/А</t>
  </si>
  <si>
    <t>Гвардійська загальноосвітня школа І-ІІ ступенів Лиманської районної ради Одеської області</t>
  </si>
  <si>
    <t>67554</t>
  </si>
  <si>
    <t>5122755903</t>
  </si>
  <si>
    <t>(067)7315111</t>
  </si>
  <si>
    <t>Олександрівська загальноосвітня школа І-ІІІ ступенів Лиманської районної ради Одеської області</t>
  </si>
  <si>
    <t>67513</t>
  </si>
  <si>
    <t>5122780201</t>
  </si>
  <si>
    <t>вул. Одеська, 2</t>
  </si>
  <si>
    <t>(048)750-35-21</t>
  </si>
  <si>
    <t>Світлівська загальноосвітня школа І ступеня Лиманської районної ради Одеської області</t>
  </si>
  <si>
    <t>5122780207</t>
  </si>
  <si>
    <t>вул. Комунальна, 35</t>
  </si>
  <si>
    <t>(093)7170123</t>
  </si>
  <si>
    <t>Визирська загальноосвітня школа І-ІІІ ст. Лиманської районної ради Одеської області</t>
  </si>
  <si>
    <t>67543</t>
  </si>
  <si>
    <t>5122780501</t>
  </si>
  <si>
    <t>Визирка</t>
  </si>
  <si>
    <t>вул. Олексія Ставніцера, 53</t>
  </si>
  <si>
    <t>(04855)95510</t>
  </si>
  <si>
    <t>Дмитрівський навчально - виховний комплекс "Загальноосвітня школа І - ІІ ступенів - дошкільний навчальний заклад" Лиманської районної ради Одеської області</t>
  </si>
  <si>
    <t>67532</t>
  </si>
  <si>
    <t>5122781301</t>
  </si>
  <si>
    <t>(048255)92613</t>
  </si>
  <si>
    <t>Каїрський навчально-виховний комплекс "загальноосвітня школа І-ІІ ступенів-дошкільний навчальний заклад" Лиманської районної ради Одеської області</t>
  </si>
  <si>
    <t>5122781501</t>
  </si>
  <si>
    <t>Каїри</t>
  </si>
  <si>
    <t>ал. Центральна, 12</t>
  </si>
  <si>
    <t>0973471063</t>
  </si>
  <si>
    <t>Калинівський навчально - виховний комплекс "Загальноосвітня школа І-ІІ ступенів - дошкільний навчальний заклад" Лиманської районної ради Одеської області</t>
  </si>
  <si>
    <t>67530</t>
  </si>
  <si>
    <t>5122781701</t>
  </si>
  <si>
    <t>вул. Новоселів, 1</t>
  </si>
  <si>
    <t>(04855)92734</t>
  </si>
  <si>
    <t>Трояндівська загальноосвітня школа І-ІІІ ступенів Лиманської районної ради Одеської області</t>
  </si>
  <si>
    <t>67520</t>
  </si>
  <si>
    <t>5122782201</t>
  </si>
  <si>
    <t>Трояндове</t>
  </si>
  <si>
    <t>(04855)66465</t>
  </si>
  <si>
    <t>Ониськівський навчальновиховний комплекс " Загальноосвітня школа І-ІІ ступенів-дошкільний навчальний заклад" Лиманської районної ради Одеської області</t>
  </si>
  <si>
    <t>67521</t>
  </si>
  <si>
    <t>5122782202</t>
  </si>
  <si>
    <t>(255)992242</t>
  </si>
  <si>
    <t>Кордонський навчально-виховний комплекс "загальноосвітня школа І - ІІ ступенів - дошкільний навчальний заклад" Лиманської районної ради Одеської області</t>
  </si>
  <si>
    <t>67531</t>
  </si>
  <si>
    <t>5122782401</t>
  </si>
  <si>
    <t>Кордон</t>
  </si>
  <si>
    <t>(04855)93489</t>
  </si>
  <si>
    <t>Красносільська загальноосвітня школа І-ІІІ ступенів Красносільської сільської ради Лиманського району Одеської області</t>
  </si>
  <si>
    <t>67560</t>
  </si>
  <si>
    <t>5122782601</t>
  </si>
  <si>
    <t>(048)7096130</t>
  </si>
  <si>
    <t>Корсунський навчально-виховному комплекс «Загальноосвітня школа І-ІІ ступенів-дошкільний навчальний заклад» Красносільської сільської ради Лиманського району Одеської області</t>
  </si>
  <si>
    <t>67583</t>
  </si>
  <si>
    <t>5122782603</t>
  </si>
  <si>
    <t>Корсунці</t>
  </si>
  <si>
    <t>вул. Лиманна1, 1</t>
  </si>
  <si>
    <t>0964570167</t>
  </si>
  <si>
    <t>Кубанська загальноосвітня школа I-II ступенів Красносільської сільської ради Лиманського району Одеської області</t>
  </si>
  <si>
    <t>67561</t>
  </si>
  <si>
    <t>5122782604</t>
  </si>
  <si>
    <t>Кубанка</t>
  </si>
  <si>
    <t>вул. Польова, 1А</t>
  </si>
  <si>
    <t>(048)7876745</t>
  </si>
  <si>
    <t>http://www.facebook.com/kubanskaschool</t>
  </si>
  <si>
    <t>Переможненська загальноосвітня школа І ступеня Красносільської сільської ради Лиманського району Одеської області</t>
  </si>
  <si>
    <t>67540</t>
  </si>
  <si>
    <t>5122782606</t>
  </si>
  <si>
    <t>(096)6336754</t>
  </si>
  <si>
    <t>Кремидівська загальноосвітня школа І-ІІІ ступенів Лиманської районної ради Одеської області</t>
  </si>
  <si>
    <t>5122783001</t>
  </si>
  <si>
    <t>Кремидівка</t>
  </si>
  <si>
    <t>(255)97347</t>
  </si>
  <si>
    <t>Благодатненська загальноосвітняшкола І ступеня Лиманської районної ради Одеської області</t>
  </si>
  <si>
    <t>5122783002</t>
  </si>
  <si>
    <t>(067)8127813</t>
  </si>
  <si>
    <t>Христо-Ботівська загальноосвітня школа І ступеня Лиманської районної ради Одеської області</t>
  </si>
  <si>
    <t>5122783003</t>
  </si>
  <si>
    <t>Христо-Ботеве</t>
  </si>
  <si>
    <t>ал. Центральна, 80</t>
  </si>
  <si>
    <t>(067)7965643</t>
  </si>
  <si>
    <t>Степова загальноосвітня школа І ступеня Лиманської районної ради Одеської області</t>
  </si>
  <si>
    <t>5122783005</t>
  </si>
  <si>
    <t>(067)721-84-16</t>
  </si>
  <si>
    <t>Крижанівський навчально-виховний комплекс "Загальноосвітня школа І-ІІІ ступенів-ліцей-дошкільний навчальний заклад" Лиманської районної ради Одеської області</t>
  </si>
  <si>
    <t>67562</t>
  </si>
  <si>
    <t>5122783201</t>
  </si>
  <si>
    <t>Крижанівка</t>
  </si>
  <si>
    <t>752-70-35</t>
  </si>
  <si>
    <t>Любопільський навчально-виховний комплекс "Загальноосвітня школа І-ІІ ступенів - дошкільний навчальний заклад" Лиманської районої ради</t>
  </si>
  <si>
    <t>67586</t>
  </si>
  <si>
    <t>5122783801</t>
  </si>
  <si>
    <t>Любопіль</t>
  </si>
  <si>
    <t>вул. Шкільна, 144</t>
  </si>
  <si>
    <t>(04855)93212</t>
  </si>
  <si>
    <t>Новодофінівська загальноосвітня школа І-ІІ ступенів Лиманської районної ради Одеської області</t>
  </si>
  <si>
    <t>67572</t>
  </si>
  <si>
    <t>5122783901</t>
  </si>
  <si>
    <t>Нова Дофінівка</t>
  </si>
  <si>
    <t>0673473767</t>
  </si>
  <si>
    <t>Новомиколаївська загальноосвітня школа І-ІІ ступенів Лиманської районної ради Одеської області</t>
  </si>
  <si>
    <t>67511</t>
  </si>
  <si>
    <t>5122784001</t>
  </si>
  <si>
    <t>(04855)93695</t>
  </si>
  <si>
    <t>Олександрівська загальноосвітня школа I-II ступенів Лиманської районної ради Одеської області</t>
  </si>
  <si>
    <t>5122784004</t>
  </si>
  <si>
    <t>(097)9969760</t>
  </si>
  <si>
    <t>Першотравневий навчально-виховний комплекс "ЗОШ І-ІІІ ступенів-ліцей" Лиманської районної ради Одеської області</t>
  </si>
  <si>
    <t>67541</t>
  </si>
  <si>
    <t>5122784201</t>
  </si>
  <si>
    <t>ал. Учительська, 3</t>
  </si>
  <si>
    <t>(04855)99347</t>
  </si>
  <si>
    <t>https://sites.google.com/site/nvkscholl/</t>
  </si>
  <si>
    <t>Курісовська загальноосвітня школа І - ІІІ ступенів Лиманської районної ради Одеської області</t>
  </si>
  <si>
    <t>67512</t>
  </si>
  <si>
    <t>5122784601</t>
  </si>
  <si>
    <t>Курісове</t>
  </si>
  <si>
    <t>(04855)94125</t>
  </si>
  <si>
    <t>http://school-petrivka.jimdo.com/</t>
  </si>
  <si>
    <t>Іванівський навчально-виховний комплекс "Загальноосвітня школа I-II ступенів - дошкільний навчальний заклад" Красносільської сільської ради Лиманського району Одеської області</t>
  </si>
  <si>
    <t>67542</t>
  </si>
  <si>
    <t>5122785101</t>
  </si>
  <si>
    <t>Іванове</t>
  </si>
  <si>
    <t>вул. Шкільна, 1Д</t>
  </si>
  <si>
    <t>(04855)63534</t>
  </si>
  <si>
    <t>Сербківська загальноосвітня школа І-ІІІ ступенів Лиманської районної ради Одеської області</t>
  </si>
  <si>
    <t>67510</t>
  </si>
  <si>
    <t>5122785501</t>
  </si>
  <si>
    <t>Сербка</t>
  </si>
  <si>
    <t>ал. Центральна, 76</t>
  </si>
  <si>
    <t>(04855)92441</t>
  </si>
  <si>
    <t>Сичавська загальноосвітня школа І-ІІІ ступенів Лиманської районної ради Одеської області</t>
  </si>
  <si>
    <t>67555</t>
  </si>
  <si>
    <t>5122785801</t>
  </si>
  <si>
    <t>Сичавка</t>
  </si>
  <si>
    <t>вул. Цвєтаєва, 1.д</t>
  </si>
  <si>
    <t>(04855)62386</t>
  </si>
  <si>
    <t>Фонтанський навчально-виховний комплекс "Загальноосвітня школа І - ІІІ ступенів - гімназія Лиманської районної ради Одеської області</t>
  </si>
  <si>
    <t>67571</t>
  </si>
  <si>
    <t>5122786401</t>
  </si>
  <si>
    <t>Фонтанка</t>
  </si>
  <si>
    <t>(048)7536918</t>
  </si>
  <si>
    <t>Шомполівський навчально-виховний комплекс "Загальноосвітня школа І-ІІ ступенів - дошкільний навчальний заклад" Лиманської районної ради Одеської області</t>
  </si>
  <si>
    <t>67522</t>
  </si>
  <si>
    <t>5122786901</t>
  </si>
  <si>
    <t>Старі Шомполи</t>
  </si>
  <si>
    <t>0972380229</t>
  </si>
  <si>
    <t>Олексіївська загальноосвітня школа І ступеню</t>
  </si>
  <si>
    <t>66342</t>
  </si>
  <si>
    <t>5122980401</t>
  </si>
  <si>
    <t>(04862)98172</t>
  </si>
  <si>
    <t>Глибочанський навчально-виховний комплекс "Загальноосвітня школа І-ІІ ступенів-дошкільний навчальний заклад"</t>
  </si>
  <si>
    <t>66343</t>
  </si>
  <si>
    <t>5122980402</t>
  </si>
  <si>
    <t>вул. МИРУ, 23</t>
  </si>
  <si>
    <t>0486298523</t>
  </si>
  <si>
    <t>Борщівський № 1 навчально-виховний комплекс "Загально-освітня школа І ступеню - дошкільний навчальний заклад"</t>
  </si>
  <si>
    <t>66321</t>
  </si>
  <si>
    <t>5122980801</t>
  </si>
  <si>
    <t>Борщі</t>
  </si>
  <si>
    <t>(04862)94194</t>
  </si>
  <si>
    <t>Борщівський навчально-виховний комплекс № 2 "Загальноосвітня школа І-ІІІ ступенів - дошкільний навчальний заклад"</t>
  </si>
  <si>
    <t>66320</t>
  </si>
  <si>
    <t>5122980802</t>
  </si>
  <si>
    <t>94230</t>
  </si>
  <si>
    <t>Дібровський навчально виховний комплекс "Загальноосвітня школа І ступеню - дошкільний навчальний заклад"</t>
  </si>
  <si>
    <t>66322</t>
  </si>
  <si>
    <t>5122980803</t>
  </si>
  <si>
    <t>(04862)99223</t>
  </si>
  <si>
    <t>Бочманівська загальноосвітня школа І - ІІІ ст.</t>
  </si>
  <si>
    <t>66361</t>
  </si>
  <si>
    <t>5122981001</t>
  </si>
  <si>
    <t>Бочманівка</t>
  </si>
  <si>
    <t>(04862)93544</t>
  </si>
  <si>
    <t>Гидеримська загальноосвітня школа І - ІІІ ступенів Подільського району Одеської області</t>
  </si>
  <si>
    <t>66324</t>
  </si>
  <si>
    <t>5122981302</t>
  </si>
  <si>
    <t>Гидерим</t>
  </si>
  <si>
    <t>(04862)98441</t>
  </si>
  <si>
    <t>Малофонтанськиий навчально-виховний комплекс "Загальноосвітня школа І-ІІІ ступенів - дошкільний навчальний заклад"</t>
  </si>
  <si>
    <t>66383</t>
  </si>
  <si>
    <t>5122981303</t>
  </si>
  <si>
    <t>Малий Фонтан</t>
  </si>
  <si>
    <t>(04862)93403</t>
  </si>
  <si>
    <t>Гоноратська загальноосвітня школа І - ІІ ступенів</t>
  </si>
  <si>
    <t>66325</t>
  </si>
  <si>
    <t>5122981701</t>
  </si>
  <si>
    <t>Гонората</t>
  </si>
  <si>
    <t>(04862)93147</t>
  </si>
  <si>
    <t>Качурівська загальноосвітня школа І-ІІІ ступенів</t>
  </si>
  <si>
    <t>66370</t>
  </si>
  <si>
    <t>5122982501</t>
  </si>
  <si>
    <t>Качурівка</t>
  </si>
  <si>
    <t>вул. Нагірна, 7</t>
  </si>
  <si>
    <t>(04862)91797</t>
  </si>
  <si>
    <t>Климентівський навчально - виховний комплекс "загальноосвітня школа І - ІІ ступенів - дошкільний навчальний заклад"</t>
  </si>
  <si>
    <t>66330</t>
  </si>
  <si>
    <t>5122983001</t>
  </si>
  <si>
    <t>Климентове</t>
  </si>
  <si>
    <t>(04862)95117</t>
  </si>
  <si>
    <t>Косівська загальноосвітня школа І-ІІ ступенів</t>
  </si>
  <si>
    <t>66344</t>
  </si>
  <si>
    <t>5122983401</t>
  </si>
  <si>
    <t>Коси</t>
  </si>
  <si>
    <t>вул. Грушевського, 9А</t>
  </si>
  <si>
    <t>(04862)90188</t>
  </si>
  <si>
    <t>Куяльницька загальноосвітня школа І-ІІІ ступенів</t>
  </si>
  <si>
    <t>66350</t>
  </si>
  <si>
    <t>5122983801</t>
  </si>
  <si>
    <t>Куяльник</t>
  </si>
  <si>
    <t>вул. Куяльницька, 65А</t>
  </si>
  <si>
    <t>04862-55004</t>
  </si>
  <si>
    <t>Олександрівська загальньоосвітня школа І ступеню</t>
  </si>
  <si>
    <t>66351</t>
  </si>
  <si>
    <t>5122983803</t>
  </si>
  <si>
    <t>Липецька № 2 загальноосвітня школа І-ІІ ступенів</t>
  </si>
  <si>
    <t>66352</t>
  </si>
  <si>
    <t>5122984201</t>
  </si>
  <si>
    <t>Липецьке</t>
  </si>
  <si>
    <t>96205</t>
  </si>
  <si>
    <t>Липецький № 1 навчально-виховний комплект "Загальноосвітня школа І-ІІ ступенів - дошкільний навчальний заклад"</t>
  </si>
  <si>
    <t>66353</t>
  </si>
  <si>
    <t>(04862)96154</t>
  </si>
  <si>
    <t>Липецький навчально-виховний комплекс "Загальноосвітня школа І-ІІІ ступенів-дошкільний навчальний заклад"</t>
  </si>
  <si>
    <t>вул. Центральна, 327Б</t>
  </si>
  <si>
    <t>(04862)96182</t>
  </si>
  <si>
    <t>Любомирський навчально-виховний комплекс "Загальноосвітня школа І-ІІ ступенів" - дошкільний навчальний заклад</t>
  </si>
  <si>
    <t>66340</t>
  </si>
  <si>
    <t>5122984601</t>
  </si>
  <si>
    <t>(04862)22298</t>
  </si>
  <si>
    <t>Мурованська загальноосвітня школа I-II ступенів</t>
  </si>
  <si>
    <t>66341</t>
  </si>
  <si>
    <t>5122984602</t>
  </si>
  <si>
    <t>Мурована</t>
  </si>
  <si>
    <t>(048)6292336</t>
  </si>
  <si>
    <t>Мардарівський навчально-виховний комплекс "Загальноосвітня школа І-ІІІ ступенів - дошкільний навчальний заклад"</t>
  </si>
  <si>
    <t>66373</t>
  </si>
  <si>
    <t>5122984840</t>
  </si>
  <si>
    <t>Мардарівка</t>
  </si>
  <si>
    <t>(04862)99325</t>
  </si>
  <si>
    <t>Нестоїтська загальноосвітня школа I-III ступенів</t>
  </si>
  <si>
    <t>66332</t>
  </si>
  <si>
    <t>5122985101</t>
  </si>
  <si>
    <t>Нестоїта</t>
  </si>
  <si>
    <t>(04862)95631</t>
  </si>
  <si>
    <t>66360</t>
  </si>
  <si>
    <t>5122985601</t>
  </si>
  <si>
    <t>Розалівський навчально-виховний комплекс «Загальноосвітня школа І-ІІ ступенів – дошкільний навчальний заклад»</t>
  </si>
  <si>
    <t>66398</t>
  </si>
  <si>
    <t>5122985606</t>
  </si>
  <si>
    <t>Розалівка</t>
  </si>
  <si>
    <t>(04862)97218</t>
  </si>
  <si>
    <t>Соболівський навчально - виховний комплекс "Загальноосвітня школа І - ІІ ступенів - дошкільний навчальний заклад"</t>
  </si>
  <si>
    <t>66381</t>
  </si>
  <si>
    <t>5122985607</t>
  </si>
  <si>
    <t>вул. Польова, 3</t>
  </si>
  <si>
    <t>(04862)99149</t>
  </si>
  <si>
    <t>Федорівський навчально-виховний комплекс "Загальноосвітня школа І-ІІ ступенів-дошкільний навчальний заклад"</t>
  </si>
  <si>
    <t>66363</t>
  </si>
  <si>
    <t>5122985608</t>
  </si>
  <si>
    <t>(04862)97117</t>
  </si>
  <si>
    <t>Петрівський навчально-виховний комплекс І-ІІ ступенів</t>
  </si>
  <si>
    <t>66371</t>
  </si>
  <si>
    <t>5122986001</t>
  </si>
  <si>
    <t>92-5-48</t>
  </si>
  <si>
    <t>Станіславський навчально-виховний комплекс "Загальноосвітня школа І-ІІІ ступенів - дошкільний навчальний заклад"</t>
  </si>
  <si>
    <t>66333</t>
  </si>
  <si>
    <t>5122986401</t>
  </si>
  <si>
    <t>Станіславка</t>
  </si>
  <si>
    <t>(804862)93721</t>
  </si>
  <si>
    <t>http://stanislavka.edukit.od.ua</t>
  </si>
  <si>
    <t>Старокульнянська середня загальноосвітня школа І-ІІІ ступенів</t>
  </si>
  <si>
    <t>5122986901</t>
  </si>
  <si>
    <t>Стара Кульна</t>
  </si>
  <si>
    <t>(04862)99610</t>
  </si>
  <si>
    <t>Вишнівська загальноосвітня школа І-ІІ ступенів</t>
  </si>
  <si>
    <t>66356</t>
  </si>
  <si>
    <t>5122987402</t>
  </si>
  <si>
    <t>вул. Центральна,</t>
  </si>
  <si>
    <t>92-1-55</t>
  </si>
  <si>
    <t>Комунальний загальноосвітній навчальний опорний заклад "Окнянська загальноосвітня школа І-ІІІ ступенів Окнянського району Одеської області"</t>
  </si>
  <si>
    <t>67900</t>
  </si>
  <si>
    <t>5123155100</t>
  </si>
  <si>
    <t>Окни</t>
  </si>
  <si>
    <t>(04861)21853</t>
  </si>
  <si>
    <t>Флоранська загальноосвітня школа І ступеня Окнянської загальноосвітньої школи І-ІІІ ступенів Окнянського району Одеської області</t>
  </si>
  <si>
    <t>67903</t>
  </si>
  <si>
    <t>5123155103</t>
  </si>
  <si>
    <t>Флора</t>
  </si>
  <si>
    <t>40140</t>
  </si>
  <si>
    <t>Антонівський навчально-виховний комплекс (загальноосвітня школа І - ІІІ ступенів - дошкільний навчальний заклад) Красноокнянскої районної ради Одеської області</t>
  </si>
  <si>
    <t>67941</t>
  </si>
  <si>
    <t>5123180401</t>
  </si>
  <si>
    <t>(04861)34140</t>
  </si>
  <si>
    <t>http://antonovka.ucoz.ua</t>
  </si>
  <si>
    <t>Володимирівський навчально-виховний комплекс (загальноосвітній навчальний заклад І ступеня - дошкільний навчальний заклад) Окнянського району Одеської області</t>
  </si>
  <si>
    <t>5123180402</t>
  </si>
  <si>
    <t>34192</t>
  </si>
  <si>
    <t>ГАВИНОСЬКИЙ НАВЧАЛЬНО-ВИХОВНИЙ КОМПЛЕКС (ЗАГАЛЬНООСВІТНЯ ШКОЛА І-ІІ СТУПЕНІВ -ДОШКІЛЬНИЙ НАВЧАЛЬНИЙ ЗАКЛАД)</t>
  </si>
  <si>
    <t>67912</t>
  </si>
  <si>
    <t>5123180601</t>
  </si>
  <si>
    <t>Гавиноси</t>
  </si>
  <si>
    <t>Гулянський навчально-виховний комплекс (загальноосвітня школа І-ІІІ ступенів - дошкільний навчальний заклад) Окнянського району Одеської області</t>
  </si>
  <si>
    <t>67950</t>
  </si>
  <si>
    <t>5123180801</t>
  </si>
  <si>
    <t>(04861)38140</t>
  </si>
  <si>
    <t>Триградський НВК (загальноосвітня школа І - ІІ ступенів - дошкільний навчальний навчальний заклад) Окнянського району Одеської області</t>
  </si>
  <si>
    <t>67951</t>
  </si>
  <si>
    <t>5123180805</t>
  </si>
  <si>
    <t>Тригради</t>
  </si>
  <si>
    <t>(04861)37140</t>
  </si>
  <si>
    <t>Довжанська загальноосвітня школа І -ІІІ ступенів Окнянського району Одеської області</t>
  </si>
  <si>
    <t>67930</t>
  </si>
  <si>
    <t>5123181301</t>
  </si>
  <si>
    <t>Довжанка</t>
  </si>
  <si>
    <t>47166</t>
  </si>
  <si>
    <t>Артирівський навчально-виховний комплекс (загальноосвітня школа І ступеня - дошкільний навчальний заклад) Окнянського району Одеської області</t>
  </si>
  <si>
    <t>67931</t>
  </si>
  <si>
    <t>5123181302</t>
  </si>
  <si>
    <t>Артирівка</t>
  </si>
  <si>
    <t>47135</t>
  </si>
  <si>
    <t>Дубівський навчально-виховний комплекс (загальноосвітня школа І ступеня-дошкільний навчальний заклад) Окнянського району Одеської області</t>
  </si>
  <si>
    <t>67933</t>
  </si>
  <si>
    <t>5123181701</t>
  </si>
  <si>
    <t>36125</t>
  </si>
  <si>
    <t>Ткаченківський навчально-виховний комплекс (загальноосвітня школа І-ІІІ ступенів - дошкільний навчальний заклад) Окнянського району Одеської області</t>
  </si>
  <si>
    <t>67914</t>
  </si>
  <si>
    <t>5123181704</t>
  </si>
  <si>
    <t>Ткаченка</t>
  </si>
  <si>
    <t>36140</t>
  </si>
  <si>
    <t>Малаївський аграрний ліцей Окнянського району Одеської області</t>
  </si>
  <si>
    <t>67932</t>
  </si>
  <si>
    <t>5123182301</t>
  </si>
  <si>
    <t>Малаївці</t>
  </si>
  <si>
    <t>(04861)56140</t>
  </si>
  <si>
    <t>http://Malaivci.at.ua</t>
  </si>
  <si>
    <t>Маяківська загальноосвітня школа І-ІІІ ступенів Окнянського району Одеської області</t>
  </si>
  <si>
    <t>67943</t>
  </si>
  <si>
    <t>5123182501</t>
  </si>
  <si>
    <t>5-01-40</t>
  </si>
  <si>
    <t>Новосамарська загальноосвітня школа І-ІІІ ступенів Окнянського району Одеської області</t>
  </si>
  <si>
    <t>67942</t>
  </si>
  <si>
    <t>5123183001</t>
  </si>
  <si>
    <t>Новосамарка</t>
  </si>
  <si>
    <t>(048)44141</t>
  </si>
  <si>
    <t>Римарівський навчально-виховний комплекс (загальноосвітня школа І-ІІ ступенів - дошкільний навчальний заклад) Окнянського району, Одеської області</t>
  </si>
  <si>
    <t>67952</t>
  </si>
  <si>
    <t>5123183401</t>
  </si>
  <si>
    <t>Римарівка</t>
  </si>
  <si>
    <t>Ставрівський навчально-виховний комплекс (загальноосвітня школа І-ІІІ ступенів - дошкільний навчальний заклад) Окнянського району Одеської області</t>
  </si>
  <si>
    <t>67940</t>
  </si>
  <si>
    <t>5123183701</t>
  </si>
  <si>
    <t>Ставрове</t>
  </si>
  <si>
    <t>(04861)42140</t>
  </si>
  <si>
    <t>http://www.stavrovo-school11.com.ua/</t>
  </si>
  <si>
    <t>Топалівська загальноосвітня школа І-ІІІ ступенів Окнянського району Одеської області</t>
  </si>
  <si>
    <t>67910</t>
  </si>
  <si>
    <t>5123184201</t>
  </si>
  <si>
    <t>Топали</t>
  </si>
  <si>
    <t>вул. Зюльковського</t>
  </si>
  <si>
    <t>Федосіївський навчально-виховний комплекс (загальноосвітня школа І-ІІ стуцпенів-дошкільний навчальний заклад) Окнянського району Одеської області</t>
  </si>
  <si>
    <t>67920</t>
  </si>
  <si>
    <t>5123184901</t>
  </si>
  <si>
    <t>Федосіївка</t>
  </si>
  <si>
    <t>Цеханівський навчально-виховний комплекс (загальноосвітня школа І-ІІ ступенів-дошкільний навчальний заклад) Окнянського району Одеської області</t>
  </si>
  <si>
    <t>67922</t>
  </si>
  <si>
    <t>5123185201</t>
  </si>
  <si>
    <t>Цеханівка</t>
  </si>
  <si>
    <t>30115</t>
  </si>
  <si>
    <t>комунальний заклад "Чорнянська спеціальна загальноосвітня школа-інтернат І-ІІ ступенів"</t>
  </si>
  <si>
    <t>67911</t>
  </si>
  <si>
    <t>5123185701</t>
  </si>
  <si>
    <t>Чорна</t>
  </si>
  <si>
    <t>20989125</t>
  </si>
  <si>
    <t>Чорнянська загальноосвітня школа І-ІІІ ступенів, Окнянського району, Одеської області</t>
  </si>
  <si>
    <t>(048)4-62-40</t>
  </si>
  <si>
    <t>Навчально-виховний комплекс "Загальноосвітня школа І-ІІІ ступенів - гімназія" смт. Любашівка</t>
  </si>
  <si>
    <t>66502</t>
  </si>
  <si>
    <t>5123355100</t>
  </si>
  <si>
    <t>Любашівка</t>
  </si>
  <si>
    <t>вул. Софіївська, 77</t>
  </si>
  <si>
    <t>(04864)22535</t>
  </si>
  <si>
    <t>Навчально-виховний комплекс "Загальноосвітня школа І-ІІІ ступенів-ліцей" смт. Любашівка</t>
  </si>
  <si>
    <t>вул. Князя Володимира, 152</t>
  </si>
  <si>
    <t>(04864)21540</t>
  </si>
  <si>
    <t>http://lublicey.at.ua</t>
  </si>
  <si>
    <t>Зеленогірська загальноосвітня школа І-ІІІ ступенів</t>
  </si>
  <si>
    <t>66513</t>
  </si>
  <si>
    <t>5123355300</t>
  </si>
  <si>
    <t>Зеленогірське</t>
  </si>
  <si>
    <t>(04864)3-44-46</t>
  </si>
  <si>
    <t>http://www.zelenogorsckaia.org</t>
  </si>
  <si>
    <t>Агафіївська загальноосвітня школа І-ІІ ступенів</t>
  </si>
  <si>
    <t>66550</t>
  </si>
  <si>
    <t>5123380301</t>
  </si>
  <si>
    <t>Агафіївка</t>
  </si>
  <si>
    <t>Бобрицька загальноосвітня школа І - ІІІ ступенів № 1 Любашівського району Одеської області</t>
  </si>
  <si>
    <t>66531</t>
  </si>
  <si>
    <t>5123380601</t>
  </si>
  <si>
    <t>Бобрик Перший</t>
  </si>
  <si>
    <t>(04864)35758</t>
  </si>
  <si>
    <t>Бобрицька загальноосвітня школа І-ІІІ ступенів</t>
  </si>
  <si>
    <t>66533</t>
  </si>
  <si>
    <t>5123380603</t>
  </si>
  <si>
    <t>Бобрик Другий</t>
  </si>
  <si>
    <t>пров. Шкільний, 7</t>
  </si>
  <si>
    <t>(04864)3-57-22</t>
  </si>
  <si>
    <t>Янишівська загальноосвітня школа І-ІІ ступенів</t>
  </si>
  <si>
    <t>66532</t>
  </si>
  <si>
    <t>5123380604</t>
  </si>
  <si>
    <t>Янишівка</t>
  </si>
  <si>
    <t>0677770745</t>
  </si>
  <si>
    <t>Боківський навчально-виховний комплекс "Загальноосвітня школа І-ІІІ ступенів - дошкільний навчальний заклад" Любашівської районної ради Одеської Області</t>
  </si>
  <si>
    <t>66542</t>
  </si>
  <si>
    <t>5123380901</t>
  </si>
  <si>
    <t>(804864)42125</t>
  </si>
  <si>
    <t>Петрівський навчально-виховний комплекс "загальноосвітня школа І стпеня - дошкільний навчальний заклад" Любашівської районної ради Одеської області</t>
  </si>
  <si>
    <t>66544</t>
  </si>
  <si>
    <t>5123380904</t>
  </si>
  <si>
    <t>вул. Молодіжна, 25</t>
  </si>
  <si>
    <t>4-11-42</t>
  </si>
  <si>
    <t>Гвоздавська загальноосвітня школа І - ІІІ ступенів</t>
  </si>
  <si>
    <t>66520</t>
  </si>
  <si>
    <t>5123381401</t>
  </si>
  <si>
    <t>Гвоздавка Друга</t>
  </si>
  <si>
    <t>вул. Свято - Михайлівська, 6</t>
  </si>
  <si>
    <t>(04864)3-23-42</t>
  </si>
  <si>
    <t>Шликарівський навчально-виховний комплекс "Загальноосвітня школа І-ІІ ступенів -дошкільний навчальний заклад" Любашівського району Одеської області</t>
  </si>
  <si>
    <t>66522</t>
  </si>
  <si>
    <t>5123381407</t>
  </si>
  <si>
    <t>Шликареве</t>
  </si>
  <si>
    <t>(264)3-22-64</t>
  </si>
  <si>
    <t>Іванівський навчально-виховний комплекс "Загальноосвітня школа І-ІІступенів - дитячий садок"</t>
  </si>
  <si>
    <t>66523</t>
  </si>
  <si>
    <t>5123381801</t>
  </si>
  <si>
    <t>вул. Центральна,32</t>
  </si>
  <si>
    <t>Кричунівський навчально-виховний комплекс "Загальноосвітня школа І-ІІІ ступенів - дошкільний навчальний заклад"</t>
  </si>
  <si>
    <t>66530</t>
  </si>
  <si>
    <t>5123382601</t>
  </si>
  <si>
    <t>Кричунове</t>
  </si>
  <si>
    <t>(04864)44621</t>
  </si>
  <si>
    <t>Великовасилівська загальноосвітня школа І-ІІ ступенів</t>
  </si>
  <si>
    <t>66564</t>
  </si>
  <si>
    <t>5123382902</t>
  </si>
  <si>
    <t>Велика Василівка</t>
  </si>
  <si>
    <t>(04864)333133</t>
  </si>
  <si>
    <t>Новокарбівська загальноосвітня школа І - ІІ ступенів</t>
  </si>
  <si>
    <t>66551</t>
  </si>
  <si>
    <t>5123383201</t>
  </si>
  <si>
    <t>Новокарбівка</t>
  </si>
  <si>
    <t>0665704507</t>
  </si>
  <si>
    <t>Новоселівська загальноосвітня школа І-ІІ ступенів Любашівського району Одеської області</t>
  </si>
  <si>
    <t>66540</t>
  </si>
  <si>
    <t>5123383401</t>
  </si>
  <si>
    <t>ал. Молодіжна, 4</t>
  </si>
  <si>
    <t>0685586266</t>
  </si>
  <si>
    <t>Демидівський навчально-виховний комплекс "загальноосвітня школа І-ІІ ступенів - дошкільний навчальний заклад" любашівської районної ради одеської області</t>
  </si>
  <si>
    <t>66541</t>
  </si>
  <si>
    <t>5123383402</t>
  </si>
  <si>
    <t>(048)6426508</t>
  </si>
  <si>
    <t>Покрівський навчально-виховний комплекс "Загальноосвітня школа І-ІІІ ступенів - дитячий садок"</t>
  </si>
  <si>
    <t>66562</t>
  </si>
  <si>
    <t>5123383501</t>
  </si>
  <si>
    <t>вул. Миру, 107</t>
  </si>
  <si>
    <t>(068)3293287</t>
  </si>
  <si>
    <t>Навчально-виховний комплекс " Загальноосвітня школа І-ІІІ ступенів-дитячий садок" с. Познанка Перша</t>
  </si>
  <si>
    <t>66511</t>
  </si>
  <si>
    <t>5123383601</t>
  </si>
  <si>
    <t>Познанка Перша</t>
  </si>
  <si>
    <t>(04864)49138</t>
  </si>
  <si>
    <t>Олександрівський навчально - виховний комплекс "Загальноосвітня школа І-ІІІ ступенів - дошкільний навчальний заклад" Любашівського району Одеської області</t>
  </si>
  <si>
    <t>66504</t>
  </si>
  <si>
    <t>5123383707</t>
  </si>
  <si>
    <t>(04864)47131</t>
  </si>
  <si>
    <t>комунальний заклад "Троїцька спеціальна загальноосвітня школа-інтернат І-ІІ ступенів"</t>
  </si>
  <si>
    <t>66560</t>
  </si>
  <si>
    <t>5123383801</t>
  </si>
  <si>
    <t>(063)9787272</t>
  </si>
  <si>
    <t>23210941</t>
  </si>
  <si>
    <t>Троїцька загальноосвітня школа І-ІІІ ступенів Любашівського району Одеської області</t>
  </si>
  <si>
    <t>вул. Павла Чібашова, 1</t>
  </si>
  <si>
    <t>(04864)33154</t>
  </si>
  <si>
    <t>Троїцький навчально-виховний комплекс " Загальноосвітня школа І ступеня - дошкільний навчальний заклад" Любашівського районної ради Одеської області</t>
  </si>
  <si>
    <t>вул. Незалежності, 25А</t>
  </si>
  <si>
    <t>(04864)33149</t>
  </si>
  <si>
    <t>Ясенівський навчально - виховний комплекс "Загальноосвітня школа І - ІІІ ступенів - дошкільний навчальний заклад" Любашівського району Одеської області</t>
  </si>
  <si>
    <t>66510</t>
  </si>
  <si>
    <t>5123384401</t>
  </si>
  <si>
    <t>Ясенове Друге</t>
  </si>
  <si>
    <t>вул. Суворова, 153</t>
  </si>
  <si>
    <t>(04864)32117, (04864)32173</t>
  </si>
  <si>
    <t>Комунальний заклад "Миколаївська спеціальна загальноосвітня школа - інтернат І - ІІ ступенів"</t>
  </si>
  <si>
    <t>67000</t>
  </si>
  <si>
    <t>5123555100</t>
  </si>
  <si>
    <t>вул. Калініна, 5</t>
  </si>
  <si>
    <t>(04857)22064, (04857)26130</t>
  </si>
  <si>
    <t>22509425</t>
  </si>
  <si>
    <t>Миколаївський навчально-виховний комплекс "Загальноосвітня школа І-ІІІ ступенів - дошкільний навчальний заклад" Миколаївської районної ради Одеської області</t>
  </si>
  <si>
    <t>(04857)22038</t>
  </si>
  <si>
    <t>Олексіївський навчально-виховний комплекс "Загальноосвітня школа І-ІІІ ступенів - дошкільний навчальний заклад" Миколаївської районної ради Одеської області</t>
  </si>
  <si>
    <t>67010</t>
  </si>
  <si>
    <t>5123580401</t>
  </si>
  <si>
    <t>(04857)26657</t>
  </si>
  <si>
    <t>Василівський навчально-виховний комплекс "загальноосвітня школа І-ІІ ступенів - дошкільний навчальний заклад" Миколаївської районної ради Одеської області</t>
  </si>
  <si>
    <t>67011</t>
  </si>
  <si>
    <t>5123580402</t>
  </si>
  <si>
    <t>(04857)92253</t>
  </si>
  <si>
    <t>Андрієво-Іванівська загальноосвітня школа-інтернат І-ІІ ступенів для дітей-сиріт і дітей, позбавлених батьківського піклування</t>
  </si>
  <si>
    <t>67021</t>
  </si>
  <si>
    <t>5123581001</t>
  </si>
  <si>
    <t>Андрієво-Іванівка</t>
  </si>
  <si>
    <t>20992771</t>
  </si>
  <si>
    <t>Андрієво-Іванівський навчально-виховний комплекс "Загальноосвітня школа І-ІІІ ступенів - дошкільний навчальний заклад" Миколаївської районної ради Одеської області</t>
  </si>
  <si>
    <t>(95)2-61</t>
  </si>
  <si>
    <t>Антонюківський навчально-виховний комплекс "Загальноосвітня школа I-III ступенів-дошкільний навчальний заклад" Миколаївської районної ради Одеської області</t>
  </si>
  <si>
    <t>67040</t>
  </si>
  <si>
    <t>5123581401</t>
  </si>
  <si>
    <t>Антонюки</t>
  </si>
  <si>
    <t>(04857)94264</t>
  </si>
  <si>
    <t>http://salomatinalex95.wix.com/schoolantonyku</t>
  </si>
  <si>
    <t>Амбарівський навчально-виховний комплекс "Загальноосвітня школа I-II ступенів - дошкільний навчальний заклад" Миколаївської районної ради Одеської області</t>
  </si>
  <si>
    <t>67042</t>
  </si>
  <si>
    <t>5123581402</t>
  </si>
  <si>
    <t>Амбарів</t>
  </si>
  <si>
    <t>пл. Миру, 12</t>
  </si>
  <si>
    <t>(048)5756248</t>
  </si>
  <si>
    <t>Ісаївський навчально-виховний комплекс "загальноосвітня школа I-II ступенів - дошкільний навчальний заклад" Миколаївської районної ради Одеської області</t>
  </si>
  <si>
    <t>67023</t>
  </si>
  <si>
    <t>5123581801</t>
  </si>
  <si>
    <t>Ісаєве</t>
  </si>
  <si>
    <t>(90)2-21</t>
  </si>
  <si>
    <t>Левадівський навчально-виховний комплекс "загальноосвітня школа І-ІІІ ступенів - дошкільний навчальний заклад" імені С. І. Олійника Миколаївської районної ради Одеської області</t>
  </si>
  <si>
    <t>67020</t>
  </si>
  <si>
    <t>5123582201</t>
  </si>
  <si>
    <t>Левадівка</t>
  </si>
  <si>
    <t>Настасіївський навчально-виховний комплекс "Загальноосвітня школа І - ІІ ступенів - дошкільний навчальний заклад"</t>
  </si>
  <si>
    <t>67022</t>
  </si>
  <si>
    <t>5123582801</t>
  </si>
  <si>
    <t>Настасіївка</t>
  </si>
  <si>
    <t>Новопетрівський навчально - виховний комплекс "Загальноосвітня школа І-ІІ ступенів- дошкільний навчальний заклад" Миколаївської районної ради Одеської області</t>
  </si>
  <si>
    <t>67030</t>
  </si>
  <si>
    <t>5123583001</t>
  </si>
  <si>
    <t>вул. Шкільна, 9А</t>
  </si>
  <si>
    <t>(0485755)2-16</t>
  </si>
  <si>
    <t>Переселенський навчально-виховний комплекс "Загальноосвітня школа I-II ступенів-дошкільний навчальний заклад" Миколаївської районної ради Одеської області</t>
  </si>
  <si>
    <t>67031</t>
  </si>
  <si>
    <t>5123583003</t>
  </si>
  <si>
    <t>Переселенці</t>
  </si>
  <si>
    <t>(0485758)243</t>
  </si>
  <si>
    <t>Петрівський навчально-виховний комплекс "Загальноосвітня школа І-ІІ ступенів- дошкільний навчальний комплекс" Миколаївської районної ради Одеської області</t>
  </si>
  <si>
    <t>67051</t>
  </si>
  <si>
    <t>5123583401</t>
  </si>
  <si>
    <t>(04857)92216</t>
  </si>
  <si>
    <t>Скосарівський навчально-виховний комплекс "Загальноосвітня школа І-ІІІ ступенів-дошкільний навчальний заклад" Миколаївської районної ради Одеської області</t>
  </si>
  <si>
    <t>67024</t>
  </si>
  <si>
    <t>5123583901</t>
  </si>
  <si>
    <t>Скосарівка</t>
  </si>
  <si>
    <t>вул. Терлецького, 23Б</t>
  </si>
  <si>
    <t>(048)5791257</t>
  </si>
  <si>
    <t>Стрюківська загальноосвітня школа І-ІІІ ступенів Миколаївського району Одеської області</t>
  </si>
  <si>
    <t>67050</t>
  </si>
  <si>
    <t>5123584501</t>
  </si>
  <si>
    <t>Стрюкове</t>
  </si>
  <si>
    <t>(257)92-2-31</t>
  </si>
  <si>
    <t>http://stryukivska-zagalnoosvitnya-sh.webnode.com.ua</t>
  </si>
  <si>
    <t>Ульяновський навчально - виховний комплекс "загальноосвітня школа І - ІІІ ступенів - дошкільний навчальний заклад" Миколаївської районної ради Одеської області</t>
  </si>
  <si>
    <t>67032</t>
  </si>
  <si>
    <t>5123585001</t>
  </si>
  <si>
    <t>Уляновка</t>
  </si>
  <si>
    <t>вул. Петренка, 1</t>
  </si>
  <si>
    <t>(048)5797263</t>
  </si>
  <si>
    <t>Шабельницький навчально-виховний комплекс "загальноосвітня школа 1-111 ступенів - дошкільний навчальний заклад" Миколаївської райради Одеської області</t>
  </si>
  <si>
    <t>67052</t>
  </si>
  <si>
    <t>5123585501</t>
  </si>
  <si>
    <t>Шабельники</t>
  </si>
  <si>
    <t>(04857)92343</t>
  </si>
  <si>
    <t>Овідіопольська загальноосвітня школа І-ІІІ ступенів № 2 Овідіопольського району Одеської області</t>
  </si>
  <si>
    <t>67801</t>
  </si>
  <si>
    <t>5123755100</t>
  </si>
  <si>
    <t>Овідіополь</t>
  </si>
  <si>
    <t>вул. Лесі Українки, 111</t>
  </si>
  <si>
    <t>(04851)31815</t>
  </si>
  <si>
    <t>Овідіопольський НВК"ЗОШ I-III ступенів-гімназія "Овідіопольського району Одеської області</t>
  </si>
  <si>
    <t>вул. Т.Шевченка, 212</t>
  </si>
  <si>
    <t>(04851)35477</t>
  </si>
  <si>
    <t>Авангардівський навчально-виховний комплекс "Дошкільний навчальний заклад (дитячий садок) загальноосвітня школа І ступеня" Авангардіська селищна рада</t>
  </si>
  <si>
    <t>67806</t>
  </si>
  <si>
    <t>5123755200</t>
  </si>
  <si>
    <t>Авангард</t>
  </si>
  <si>
    <t>вул. Добрянського, 26А</t>
  </si>
  <si>
    <t>740-16-15</t>
  </si>
  <si>
    <t>Великодолинська загальноосвітня школа І-ІІІ ступенів № 2 Овідіопольського району Одеської області</t>
  </si>
  <si>
    <t>67833</t>
  </si>
  <si>
    <t>5123755300</t>
  </si>
  <si>
    <t>Великодолинське</t>
  </si>
  <si>
    <t>вул. Мізікевича, 66</t>
  </si>
  <si>
    <t>(04851)41680</t>
  </si>
  <si>
    <t>Великодолинський навчально-виховний комплекс "Загальноосвітня школа І-ІІІ ступенів-гімназія" Овідіопольського району Одеської області</t>
  </si>
  <si>
    <t>67832</t>
  </si>
  <si>
    <t>(04851)4-13-96</t>
  </si>
  <si>
    <t>Великодолинський НВК "Загальноосвітня школа І-ІІІ ступенів - ліцей" Овідіопольського району Одеської області</t>
  </si>
  <si>
    <t>67802</t>
  </si>
  <si>
    <t>вул. Паркова, 38</t>
  </si>
  <si>
    <t>Таїровська загальноосвітня школа І-ІІІ ступенів Овідіопольського району Одеської області</t>
  </si>
  <si>
    <t>65496</t>
  </si>
  <si>
    <t>5123755800</t>
  </si>
  <si>
    <t>Таїрове</t>
  </si>
  <si>
    <t>вул. 40-річчя Перемоги, 24</t>
  </si>
  <si>
    <t>Приватний навчально-виховний комплекс "Ерудит" "Загальноосвітня школа І-ІІІ ступенів - дошкільний навчальний заклад" с. Мізікевича Овідіопольського району Одеської області</t>
  </si>
  <si>
    <t>5123755802</t>
  </si>
  <si>
    <t>Лиманка</t>
  </si>
  <si>
    <t>б-р Одеський, 1</t>
  </si>
  <si>
    <t>(0482)360168</t>
  </si>
  <si>
    <t>Загальноосвітня школа І-ІІІ ступенів с. Барабой Овідіопольського району</t>
  </si>
  <si>
    <t>67841</t>
  </si>
  <si>
    <t>5123780801</t>
  </si>
  <si>
    <t>Барабой</t>
  </si>
  <si>
    <t>ал. вул. Соборності, 102</t>
  </si>
  <si>
    <t>0677031374</t>
  </si>
  <si>
    <t>Дальницька загальноосвітня школа І - ІІІ ступенів Овідіопольського району Одеської області</t>
  </si>
  <si>
    <t>67842</t>
  </si>
  <si>
    <t>5123781301</t>
  </si>
  <si>
    <t>Дальник</t>
  </si>
  <si>
    <t>вул. Дружби, 128</t>
  </si>
  <si>
    <t>(048)25149240</t>
  </si>
  <si>
    <t>Санжійська загальноосвітня школа І ступеня Овідіопольського району Одеської області</t>
  </si>
  <si>
    <t>5123781303</t>
  </si>
  <si>
    <t>Санжійка</t>
  </si>
  <si>
    <t>вул. Новоселів, 2А</t>
  </si>
  <si>
    <t>(097)3517590, (093)7217995</t>
  </si>
  <si>
    <t>Доброолександрівська загальноосвітня школа І-ІІІ ступенів Овідіопольського району Одеської області</t>
  </si>
  <si>
    <t>67834</t>
  </si>
  <si>
    <t>5123781401</t>
  </si>
  <si>
    <t>Доброолександрівка</t>
  </si>
  <si>
    <t>Кароліно-Бугазька загальноосвітня школа І-ІІ ступенів Овідіапольский р-н Одеська обл</t>
  </si>
  <si>
    <t>67844</t>
  </si>
  <si>
    <t>5123781501</t>
  </si>
  <si>
    <t>Кароліно-Бугаз</t>
  </si>
  <si>
    <t>вул. Чорноморська, 5</t>
  </si>
  <si>
    <t>Комунальний заклад "Кароліно-Бугазька загальноосвітня санаторна школа-інтернат І-ІІ ступенів"</t>
  </si>
  <si>
    <t>вул. Приморська, 186</t>
  </si>
  <si>
    <t>0974040832</t>
  </si>
  <si>
    <t>http://karolbugaz-internat.od.sch.in.ua</t>
  </si>
  <si>
    <t>20988108</t>
  </si>
  <si>
    <t>Йосипівська загальноосвітня школа І-ІІІ ступенів Овідіопольського району Одеської області</t>
  </si>
  <si>
    <t>67811</t>
  </si>
  <si>
    <t>5123781601</t>
  </si>
  <si>
    <t>вул. Софіївська, 101</t>
  </si>
  <si>
    <t>(04851)44-2-70</t>
  </si>
  <si>
    <t>Калаглійська загальноосвітня школа I-III ступенів Овідіопольського району Одеської області</t>
  </si>
  <si>
    <t>67815</t>
  </si>
  <si>
    <t>5123781701</t>
  </si>
  <si>
    <t>Калаглія</t>
  </si>
  <si>
    <t>вул. Фрунзе, 25</t>
  </si>
  <si>
    <t>Мар'янівська загальноосвітня школа І - ІІІ ступенів Овідіопольського району Одеської області</t>
  </si>
  <si>
    <t>67831</t>
  </si>
  <si>
    <t>5123781801</t>
  </si>
  <si>
    <t>(04851)40340</t>
  </si>
  <si>
    <t>Молодіжненська загальноосвітня школа І-ІІІ ступенів Овідіопольського району Одеської області</t>
  </si>
  <si>
    <t>67840</t>
  </si>
  <si>
    <t>5123782001</t>
  </si>
  <si>
    <t>вул. Приморська, 9</t>
  </si>
  <si>
    <t>(04868)51081</t>
  </si>
  <si>
    <t>Надлиманська загальноосвітня школа І-ІІІ ступенів Овідіопольського району Одеської області</t>
  </si>
  <si>
    <t>67812</t>
  </si>
  <si>
    <t>5123782201</t>
  </si>
  <si>
    <t>Надлиманське</t>
  </si>
  <si>
    <t>вул. Б.Хмельницького, 140</t>
  </si>
  <si>
    <t>Миколаївська загальноосвітня школа І-ІІІ ступенів Овідіопольського району Одеської області</t>
  </si>
  <si>
    <t>67813</t>
  </si>
  <si>
    <t>5123782501</t>
  </si>
  <si>
    <t>(096)4146310</t>
  </si>
  <si>
    <t>Новоградківська загальноосвітня школа І-ІІІ ступенів</t>
  </si>
  <si>
    <t>67830</t>
  </si>
  <si>
    <t>5123783001</t>
  </si>
  <si>
    <t>Новоградківка</t>
  </si>
  <si>
    <t>(15482)47290</t>
  </si>
  <si>
    <t>Новодолинська загальноосвітня школа І - ІІІ ступенів,відділ освіти Овідіопольської РДА,Одеської</t>
  </si>
  <si>
    <t>67822</t>
  </si>
  <si>
    <t>5123783201</t>
  </si>
  <si>
    <t>Нова Долина</t>
  </si>
  <si>
    <t>Петродолинська загальноосвітня школа І-ІІІ ступенів Овідіопольського району Одеської області</t>
  </si>
  <si>
    <t>67810</t>
  </si>
  <si>
    <t>5123783401</t>
  </si>
  <si>
    <t>Петродолинське</t>
  </si>
  <si>
    <t>вул. Садова, 58</t>
  </si>
  <si>
    <t>(04851)62-148</t>
  </si>
  <si>
    <t>Прилиманська загальноосвітня школа І-ІІІ ступенів Овідіопольського району Одеської області</t>
  </si>
  <si>
    <t>67820</t>
  </si>
  <si>
    <t>5123783501</t>
  </si>
  <si>
    <t>Прилиманське</t>
  </si>
  <si>
    <t>(048)7402453</t>
  </si>
  <si>
    <t>Роксоланівська загальноосвітня школа І-ІІІ ступенів Овідіопольського району Одеської області</t>
  </si>
  <si>
    <t>67843</t>
  </si>
  <si>
    <t>5123783701</t>
  </si>
  <si>
    <t>Роксолани</t>
  </si>
  <si>
    <t>вул. Іщенка, 10</t>
  </si>
  <si>
    <t>0677482825</t>
  </si>
  <si>
    <t>Сухолиманська загальноосвітня школа І ступеня Овідіопольського району Одеської області</t>
  </si>
  <si>
    <t>67821</t>
  </si>
  <si>
    <t>5123784201</t>
  </si>
  <si>
    <t>Сухий Лиман</t>
  </si>
  <si>
    <t>вул. Чорноморців, 98</t>
  </si>
  <si>
    <t>0963061777</t>
  </si>
  <si>
    <t>Роздільнянська загальноосвітня школа І-ІІІ ступенів № 4 Роздільнянської районної ради Одеської області</t>
  </si>
  <si>
    <t>67400</t>
  </si>
  <si>
    <t>5123910100</t>
  </si>
  <si>
    <t>Роздільна</t>
  </si>
  <si>
    <t>вул. Муніципальна, 17</t>
  </si>
  <si>
    <t>(04853)3-29-01</t>
  </si>
  <si>
    <t>25037895</t>
  </si>
  <si>
    <t>Роздільнянський навчально-виховний комплекс "школа-гімназія" № 1</t>
  </si>
  <si>
    <t>(04853)3-28-52</t>
  </si>
  <si>
    <t>25036996</t>
  </si>
  <si>
    <t>Роздільнянська загальноосвітня школа І-ІІІ ступенів № 2 Роздільнянської районної ради</t>
  </si>
  <si>
    <t>вул. Щаслива, 54</t>
  </si>
  <si>
    <t>(04853)31664</t>
  </si>
  <si>
    <t>25038087</t>
  </si>
  <si>
    <t>Роздільнянська загальноосвітня школа І-ІІІ ступенів № 3 Роздільнянської районної ради Одеської області</t>
  </si>
  <si>
    <t>вул. Садова, 9</t>
  </si>
  <si>
    <t>(04853)3-18-10</t>
  </si>
  <si>
    <t>25038044</t>
  </si>
  <si>
    <t>Лиманська ЗОШ І-ІІІ ступенів № 2 Роздільнянської районної ради Одеської області</t>
  </si>
  <si>
    <t>67452</t>
  </si>
  <si>
    <t>5123955400</t>
  </si>
  <si>
    <t>Лиманське</t>
  </si>
  <si>
    <t>вул. Лиманна, 166</t>
  </si>
  <si>
    <t>3-41-85</t>
  </si>
  <si>
    <t>Лиманська Загальноосвітня школа І-ІІІ ступенів № 1</t>
  </si>
  <si>
    <t>вул. Гагаріна, 8</t>
  </si>
  <si>
    <t>(04253)34140</t>
  </si>
  <si>
    <t>Комунальний заклад "Лиманська спеціальна загальноосвітня школа-інтернат І-ІІ ступенів"</t>
  </si>
  <si>
    <t>вул. Лиманна, 206</t>
  </si>
  <si>
    <t>(04853)7530141</t>
  </si>
  <si>
    <t>20993173</t>
  </si>
  <si>
    <t>Бецилівська загальноосвітня школа І-ІІ ступенів</t>
  </si>
  <si>
    <t>5123980401</t>
  </si>
  <si>
    <t>Бецилове</t>
  </si>
  <si>
    <t>(0485)3-43-40</t>
  </si>
  <si>
    <t>25037903</t>
  </si>
  <si>
    <t>Новоселівська загальноосвітня школа І-ІІступенів</t>
  </si>
  <si>
    <t>67413</t>
  </si>
  <si>
    <t>5123980403</t>
  </si>
  <si>
    <t>(04853)44341</t>
  </si>
  <si>
    <t>25038015</t>
  </si>
  <si>
    <t>Буцинівська ЗОШ І-ІІІ ступенів</t>
  </si>
  <si>
    <t>67461</t>
  </si>
  <si>
    <t>5123980501</t>
  </si>
  <si>
    <t>Буцинівка</t>
  </si>
  <si>
    <t>вул. Наливаного, 61</t>
  </si>
  <si>
    <t>(04853)2-72-40</t>
  </si>
  <si>
    <t>Виноградарська загальноосвітня школа І-ІІІ ступенів Роздільнянської районної ради Одеської області</t>
  </si>
  <si>
    <t>67420</t>
  </si>
  <si>
    <t>5123980701</t>
  </si>
  <si>
    <t>Виноградар</t>
  </si>
  <si>
    <t>вул. Центральна, 207 В</t>
  </si>
  <si>
    <t>(048-53)4-06-40</t>
  </si>
  <si>
    <t>Гаївський навчально-виховний комплекс "Загальноосвітня школа І-ІІ ступенів - дошкільний навчальний заклад"</t>
  </si>
  <si>
    <t>67411</t>
  </si>
  <si>
    <t>5123981101</t>
  </si>
  <si>
    <t>вул. О.Пікула, 100А</t>
  </si>
  <si>
    <t>25037949</t>
  </si>
  <si>
    <t>ЄГОРІВСЬКА ЗАГАЛЬНООСВІТНЯ ШКОЛА І-ІІІ СТУПЕНІВ РОЗДІЛЬНЯНСЬКОЇ РАЙОННОЇ РАДИ ОДЕСЬКОЇ ОБЛАСТІ</t>
  </si>
  <si>
    <t>67470</t>
  </si>
  <si>
    <t>5123981401</t>
  </si>
  <si>
    <t>(04853)4-81-40</t>
  </si>
  <si>
    <t>25037926</t>
  </si>
  <si>
    <t>Болгарська загальноосвітня школа І-ІІІ ступенів Роздільнянської районної ради Одеської області</t>
  </si>
  <si>
    <t>67471</t>
  </si>
  <si>
    <t>5123981402</t>
  </si>
  <si>
    <t>вул. Софіївська, б/н</t>
  </si>
  <si>
    <t>25037990</t>
  </si>
  <si>
    <t>Єреміївський навчально-виховний комплекс "Загальноосвітня школа І-ІІІ ступенів - дошкільний навчальний заклад"</t>
  </si>
  <si>
    <t>67442</t>
  </si>
  <si>
    <t>5123981701</t>
  </si>
  <si>
    <t>Єреміївка</t>
  </si>
  <si>
    <t>0993173547</t>
  </si>
  <si>
    <t>Бурдівська загальноосвітня школа І-ІІІ ступенів Роздільнянської районної ради Одеської області</t>
  </si>
  <si>
    <t>67443</t>
  </si>
  <si>
    <t>5123981704</t>
  </si>
  <si>
    <t>Бурдівка</t>
  </si>
  <si>
    <t>(067)6039185</t>
  </si>
  <si>
    <t>Кам'янська загальноосвітня школа І-ІІІ ступенів Роздільнянської районної ради Одеської області</t>
  </si>
  <si>
    <t>67432</t>
  </si>
  <si>
    <t>5123982601</t>
  </si>
  <si>
    <t>(04853)40340</t>
  </si>
  <si>
    <t>25038050</t>
  </si>
  <si>
    <t>Калантаївська загальноосвітня школа І-ІІІ ступенів</t>
  </si>
  <si>
    <t>5123983005</t>
  </si>
  <si>
    <t>Калантаївка</t>
  </si>
  <si>
    <t>(04853)26640</t>
  </si>
  <si>
    <t>25038096</t>
  </si>
  <si>
    <t>Кошарська загальноосвітня школа І-ІІІ ступенів Роздільнянської районної ради Одеської області</t>
  </si>
  <si>
    <t>67423</t>
  </si>
  <si>
    <t>5123983201</t>
  </si>
  <si>
    <t>Кошари</t>
  </si>
  <si>
    <t>ал. центральна, 44</t>
  </si>
  <si>
    <t>(258037919)0485340440</t>
  </si>
  <si>
    <t>25037919</t>
  </si>
  <si>
    <t>Кучурганська загальноосвітня школа І-ІІІ ступенів імені П.М. Каплуна Роздільнянської районної ради Одеської області</t>
  </si>
  <si>
    <t>67450</t>
  </si>
  <si>
    <t>5123983401</t>
  </si>
  <si>
    <t>Кучурган</t>
  </si>
  <si>
    <t>вул. П.Каплуна, 177А</t>
  </si>
  <si>
    <t>25037843</t>
  </si>
  <si>
    <t>Марківська загальноосвітня школа І-ІІ ступенів Роздільнянської районної ради Одеської області</t>
  </si>
  <si>
    <t>67410</t>
  </si>
  <si>
    <t>5123983901</t>
  </si>
  <si>
    <t>(04853)23143</t>
  </si>
  <si>
    <t>25037932</t>
  </si>
  <si>
    <t>Новоукраїнська загальноосвітня школа І-ІІІ ступенів Роздільнянської районної ради Одеської області</t>
  </si>
  <si>
    <t>67441</t>
  </si>
  <si>
    <t>5123984201</t>
  </si>
  <si>
    <t>вул. Куртівська, 58</t>
  </si>
  <si>
    <t>(04853)4-62-40</t>
  </si>
  <si>
    <t>25037955</t>
  </si>
  <si>
    <t>Понятівський навчально - виховний комплекс "Загальноосвітня школа І - ІІІ ступенів - дошкільний навчальний заклад"</t>
  </si>
  <si>
    <t>67422</t>
  </si>
  <si>
    <t>5123984701</t>
  </si>
  <si>
    <t>Понятівка</t>
  </si>
  <si>
    <t>ал. вул. Пушкінська, 40</t>
  </si>
  <si>
    <t>(04853)40140</t>
  </si>
  <si>
    <t>25038038</t>
  </si>
  <si>
    <t>Старостинська загальноосвітня школа І-ІІ ступенів Роздільнянської районної ради Одеської області</t>
  </si>
  <si>
    <t>5123985201</t>
  </si>
  <si>
    <t>Старостине</t>
  </si>
  <si>
    <t>(04853)4-92-45, (095)7053797</t>
  </si>
  <si>
    <t>25037889</t>
  </si>
  <si>
    <t>Слобідський навчально-виховний комплекс «Загальноосвітня школа І-ІІІ ступенів-дошкільний навчальний заклад» Роздільнянської районої ради Одеської області</t>
  </si>
  <si>
    <t>67421</t>
  </si>
  <si>
    <t>5123985208</t>
  </si>
  <si>
    <t>(04853)4-92-37</t>
  </si>
  <si>
    <t>25037872</t>
  </si>
  <si>
    <t>Степова загальноосвітня школа І-ІІІ ступенів Роздільнянської районної ради Одеської області</t>
  </si>
  <si>
    <t>67451</t>
  </si>
  <si>
    <t>5123985301</t>
  </si>
  <si>
    <t>вул. Чернишова, 14</t>
  </si>
  <si>
    <t>Степанівська загальноосвітня школа I-III ступенів Роздільнянської районної ради Одеської області</t>
  </si>
  <si>
    <t>67430</t>
  </si>
  <si>
    <t>5123985401</t>
  </si>
  <si>
    <t>(253)3-47</t>
  </si>
  <si>
    <t>25038009</t>
  </si>
  <si>
    <t>Павлівська загальноосвітня школа І ступеня, Роздільнянської районної ради, Одеської області</t>
  </si>
  <si>
    <t>67431</t>
  </si>
  <si>
    <t>5123985404</t>
  </si>
  <si>
    <t>ал. вул.Шкільна, 57А</t>
  </si>
  <si>
    <t>(067)9975071, (066)5263772</t>
  </si>
  <si>
    <t>Щербанська загальноосвітня школа І-ІІІ ступенів Роздільнянської районної ради Одеської області</t>
  </si>
  <si>
    <t>67462</t>
  </si>
  <si>
    <t>5123985601</t>
  </si>
  <si>
    <t>Щербанка</t>
  </si>
  <si>
    <t>(04853)50292</t>
  </si>
  <si>
    <t>Яковлівська загальноосвітня школа І-ІІІ ступенів, Роздільнянської районної ради, Одеської області</t>
  </si>
  <si>
    <t>67412</t>
  </si>
  <si>
    <t>5123986401</t>
  </si>
  <si>
    <t>вул. Покровська, 116</t>
  </si>
  <si>
    <t>(04853)4-22-33</t>
  </si>
  <si>
    <t>25038104</t>
  </si>
  <si>
    <t>РЕНІЙСЬКА ЗАГАЛЬНООСВІТНЯ ШКОЛА I-III СТУПЕНІВ № 1 РЕНІЙСЬКОЇ РАЙОННОЇ РАДИ ОДЕСЬКОЇ ОБЛАСТІ</t>
  </si>
  <si>
    <t>68800</t>
  </si>
  <si>
    <t>5124110100</t>
  </si>
  <si>
    <t>Рені</t>
  </si>
  <si>
    <t>вул. Соборна, 46</t>
  </si>
  <si>
    <t>(04840)42203</t>
  </si>
  <si>
    <t>Ренійська загальноосвітня школа І - ІІІ ступенів № 5 Ренійської районної ради Одеської області</t>
  </si>
  <si>
    <t>вул. Анадольська, 25</t>
  </si>
  <si>
    <t>(04840)41683</t>
  </si>
  <si>
    <t>http://zosh5reni.odessaedu.net</t>
  </si>
  <si>
    <t>Ренійська загальноосвітня школа І-ІІІ ступенів № 3 Ренійської районної ради Одеської області</t>
  </si>
  <si>
    <t>вул. В.Дулоглу, 11</t>
  </si>
  <si>
    <t>(04840)41476</t>
  </si>
  <si>
    <t>Ренійська загальноосвітня школа І-ІІІ ступенів № 4 Ренійської районної ради Одеської області</t>
  </si>
  <si>
    <t>вул. Кагульська, 31</t>
  </si>
  <si>
    <t>(04840)41378</t>
  </si>
  <si>
    <t>Ренійський навчально-виховний комплекс "загальноосвітня школа І ступеня - гімназія" Ренійської районної ради Одеської області</t>
  </si>
  <si>
    <t>(04848)41136</t>
  </si>
  <si>
    <t>http://reni-gymnasium.edukit.od.ua</t>
  </si>
  <si>
    <t>Ренійський навчально-виховний комплекс "Загальноосвітня школа І-ІІІ ступенів - ліцей" Ренійської районної ради Одеської області</t>
  </si>
  <si>
    <t>вул. 28 Червня, 216</t>
  </si>
  <si>
    <t>(04840)4-29-54</t>
  </si>
  <si>
    <t>http://nvkreni.at.ua</t>
  </si>
  <si>
    <t>Долинська загальноосвітня школа І - ІІІ ступенів Ренійської районної ради Одеської області</t>
  </si>
  <si>
    <t>68810</t>
  </si>
  <si>
    <t>5124180501</t>
  </si>
  <si>
    <t>(3804840)32340</t>
  </si>
  <si>
    <t>російська,молдовська</t>
  </si>
  <si>
    <t>Котловинська загальноосвітня школа І-ІІІ ступенів Ренійської районної ради Одеської області</t>
  </si>
  <si>
    <t>68820</t>
  </si>
  <si>
    <t>5124181201</t>
  </si>
  <si>
    <t>Котловина</t>
  </si>
  <si>
    <t>(04840)33222</t>
  </si>
  <si>
    <t>http://renikotlovzosh.odessaedu.net/uk/</t>
  </si>
  <si>
    <t>Лиманська загальноосвітня школа I-III ступенів Ренійської районної ради Одеської області</t>
  </si>
  <si>
    <t>68811</t>
  </si>
  <si>
    <t>5124181701</t>
  </si>
  <si>
    <t>Нагірнянська загальноосвітня школа І-ІІІ ступенів Ренійської Районної Ради Одеської області</t>
  </si>
  <si>
    <t>68821</t>
  </si>
  <si>
    <t>5124182401</t>
  </si>
  <si>
    <t>вул. Шевченко, 2</t>
  </si>
  <si>
    <t>(04840)31240</t>
  </si>
  <si>
    <t>Новосільський навчально – виховний комплекс «загальноосвітня школа І-ІІІ ступенів – ліцей» Ренійської районної ради, Одеської області</t>
  </si>
  <si>
    <t>68830</t>
  </si>
  <si>
    <t>5124182901</t>
  </si>
  <si>
    <t>Новосільське</t>
  </si>
  <si>
    <t>вул. Михайла Кокош, 69</t>
  </si>
  <si>
    <t>(04840)(39)2-40</t>
  </si>
  <si>
    <t>http://reniliseinovosel.odessaedu.net</t>
  </si>
  <si>
    <t>українська,російська,молдовська</t>
  </si>
  <si>
    <t>Орлівська загальноосвітня школа І - ІІІ ступенів Ренійської районноі ради Одеської області</t>
  </si>
  <si>
    <t>68831</t>
  </si>
  <si>
    <t>5124183601</t>
  </si>
  <si>
    <t>вул. Мира, 55</t>
  </si>
  <si>
    <t>(04840)38240</t>
  </si>
  <si>
    <t>Плавнінська загальноосвітня школа I-III ступенів Ренійської районної ради Україна, Одеська область, Ренійський район, с.Плавні, Леніна, 131</t>
  </si>
  <si>
    <t>68822</t>
  </si>
  <si>
    <t>5124184001</t>
  </si>
  <si>
    <t>Плавні</t>
  </si>
  <si>
    <t>вул. Леніна, 131</t>
  </si>
  <si>
    <t>(04840)(35)240</t>
  </si>
  <si>
    <t>молдовська</t>
  </si>
  <si>
    <t>Савранська загальноосвітня школа І-ІІІ ступенів Савранського району Одеської області</t>
  </si>
  <si>
    <t>66200</t>
  </si>
  <si>
    <t>5124355100</t>
  </si>
  <si>
    <t>Саврань</t>
  </si>
  <si>
    <t>(04865)31328</t>
  </si>
  <si>
    <t>Байбузівський навчально-виховний комплекс"загальноосвітня школа І-ІІ ступенів -дошкільний навчальний заклад" Савранського району Одеської області</t>
  </si>
  <si>
    <t>66214</t>
  </si>
  <si>
    <t>5124380301</t>
  </si>
  <si>
    <t>Байбузівка</t>
  </si>
  <si>
    <t>вул. Шеченко, 19</t>
  </si>
  <si>
    <t>(04865)3-55-66</t>
  </si>
  <si>
    <t>Бакшанський навчально - виховний комплекс "загальноосвітня школа І - ІІІ ступенів - дошкільний навчальний заклад" Савранського району Одеської області</t>
  </si>
  <si>
    <t>66230</t>
  </si>
  <si>
    <t>5124380401</t>
  </si>
  <si>
    <t>Бакша</t>
  </si>
  <si>
    <t>(265)39180</t>
  </si>
  <si>
    <t>Йосипівський навчально-виховний комплекс "загальноосвітня школа І ступеню - дошкільний навчальний заклад"</t>
  </si>
  <si>
    <t>66231</t>
  </si>
  <si>
    <t>5124380402</t>
  </si>
  <si>
    <t>(048)35421</t>
  </si>
  <si>
    <t>Дубинівський навчально-виховний комплекс "загальноосвітня школа І-ІІІ ступенів - дошкільний навчальний заклад" Савранського району Одеської області</t>
  </si>
  <si>
    <t>66220</t>
  </si>
  <si>
    <t>5124380901</t>
  </si>
  <si>
    <t>Дубинове</t>
  </si>
  <si>
    <t>вул. героя радянського союзу Покотило І.Г., 27</t>
  </si>
  <si>
    <t>(04865)35135</t>
  </si>
  <si>
    <t>Слюсарівський навчально-виховний комплекс "загальноосвітня школа І-ІІ ступенів-дошкільний навчальний заклад"</t>
  </si>
  <si>
    <t>66222</t>
  </si>
  <si>
    <t>5124380903</t>
  </si>
  <si>
    <t>Слюсареве</t>
  </si>
  <si>
    <t>(068)5268390</t>
  </si>
  <si>
    <t>Кам'янський навчально-виховний комплекс "Загальноосвітня школа І-ІІ ступенів - дошкільний навчальний заклад"</t>
  </si>
  <si>
    <t>66210</t>
  </si>
  <si>
    <t>5124381301</t>
  </si>
  <si>
    <t>вул. Патріотична, 38</t>
  </si>
  <si>
    <t>(04865)37260</t>
  </si>
  <si>
    <t>Капустянський навчально-виховний комплекс "загальноосвітня школа І-ІІ ступенів - дошкільний навчальний заклад" Савранського району Одеської області</t>
  </si>
  <si>
    <t>66233</t>
  </si>
  <si>
    <t>5124381501</t>
  </si>
  <si>
    <t>Капустянка</t>
  </si>
  <si>
    <t>(04865)36357</t>
  </si>
  <si>
    <t>Концебівська загальноосвітня школа І-ІІІ ступенів</t>
  </si>
  <si>
    <t>66211</t>
  </si>
  <si>
    <t>5124382001</t>
  </si>
  <si>
    <t>Концеба</t>
  </si>
  <si>
    <t>вул. Гербенського, 13</t>
  </si>
  <si>
    <t>938164</t>
  </si>
  <si>
    <t>Неділківська загальноосвітня школа І-ІІ ступенів Савранського району Одеської області</t>
  </si>
  <si>
    <t>66232</t>
  </si>
  <si>
    <t>5124382601</t>
  </si>
  <si>
    <t>Неділкове</t>
  </si>
  <si>
    <t>(04865)34296</t>
  </si>
  <si>
    <t>Вільшанська загальноосвітня школа І-ІІ ступенів Савранського району Одеської області</t>
  </si>
  <si>
    <t>66221</t>
  </si>
  <si>
    <t>5124382701</t>
  </si>
  <si>
    <t>вул. Леніна, 119</t>
  </si>
  <si>
    <t>(048)6535734</t>
  </si>
  <si>
    <t>Осичківська загальноосвітня школа І-ІІІ ступенів Савранського району Одеської області</t>
  </si>
  <si>
    <t>66215</t>
  </si>
  <si>
    <t>5124382801</t>
  </si>
  <si>
    <t>(04865)3-87-82</t>
  </si>
  <si>
    <t>Полянецький навчально-виховний комплекс загальноосвітня школа І-ІІІ ступенів -дошкільний навчальний заклад Савранського району Одеської області</t>
  </si>
  <si>
    <t>66223</t>
  </si>
  <si>
    <t>5124383201</t>
  </si>
  <si>
    <t>Полянецьке</t>
  </si>
  <si>
    <t>(265)36267</t>
  </si>
  <si>
    <t>Саратська вечірня(змінна) загальньоосвітня школа ІІ-ІІІступенів Саратської районної ради Одеської області</t>
  </si>
  <si>
    <t>68200</t>
  </si>
  <si>
    <t>5124555100</t>
  </si>
  <si>
    <t>Сарата</t>
  </si>
  <si>
    <t>((048)48)2-19-75</t>
  </si>
  <si>
    <t>26600045</t>
  </si>
  <si>
    <t>Саратський навчально-виховний комплекс "Загальноосвітня школа І-ІІІ ступенів-гімназія" Саратської районної ради Одеської області</t>
  </si>
  <si>
    <t>вул. Крістіана Вернера, 85</t>
  </si>
  <si>
    <t>(04848)22289</t>
  </si>
  <si>
    <t>http://sarzonvkgimn.odessaedu.net/</t>
  </si>
  <si>
    <t>25814318</t>
  </si>
  <si>
    <t>Введенський навчально-виховний комплекс "Загальноосвітня школа І-ІІІ ступенів - дошкільний навчальний заклад (дитячий садок)" Саратської районної ради Одеської області</t>
  </si>
  <si>
    <t>68230</t>
  </si>
  <si>
    <t>5124580501</t>
  </si>
  <si>
    <t>Введенка</t>
  </si>
  <si>
    <t>(49)1-35</t>
  </si>
  <si>
    <t>Долинська загальноосвітня школа І - ІІІ ступенів Саратської районної ради</t>
  </si>
  <si>
    <t>68253</t>
  </si>
  <si>
    <t>5124580801</t>
  </si>
  <si>
    <t>вул. Виноградна, 9</t>
  </si>
  <si>
    <t>(04848)47451</t>
  </si>
  <si>
    <t>Забарський навчально-виховний комплекс "Загальноосвітня школа І-ІІ ступенів- дошкільний навчальний заклад (дитячий садок)" Саратської районної ради Одеської області</t>
  </si>
  <si>
    <t>68241</t>
  </si>
  <si>
    <t>5124580901</t>
  </si>
  <si>
    <t>Забари</t>
  </si>
  <si>
    <t>ЗОРЯНСЬКИЙ НАВЧАЛЬНО-ВИХОВНИЙ КОМПЛЕКС "ЗАГАЛЬНООСВІТНЯ ШКОЛА І-ІІІ СТУПЕНІВ - ЛІЦЕЙ" САРАТСЬКОЇ РАЙОННОЇ РАДИ ОДЕСЬКОЇ ОБЛАСТІ</t>
  </si>
  <si>
    <t>68251</t>
  </si>
  <si>
    <t>5124581101</t>
  </si>
  <si>
    <t>вул. Троїцька, 154</t>
  </si>
  <si>
    <t>(04848)56639</t>
  </si>
  <si>
    <t>25814347</t>
  </si>
  <si>
    <t>Кулевчанська загальноосвітня школа І-ІІІ ступенів Саратської районної ради Одеської області</t>
  </si>
  <si>
    <t>68261</t>
  </si>
  <si>
    <t>5124581730</t>
  </si>
  <si>
    <t>Кулевча</t>
  </si>
  <si>
    <t>44-3-40</t>
  </si>
  <si>
    <t>25814353</t>
  </si>
  <si>
    <t>Кривобалківська загальноосвітня школа І-ІІІ ступенів Саратської районної ради Одеської області</t>
  </si>
  <si>
    <t>68243</t>
  </si>
  <si>
    <t>5124582201</t>
  </si>
  <si>
    <t>вул. Шкільна, 123</t>
  </si>
  <si>
    <t>(04848)55-5-55</t>
  </si>
  <si>
    <t>Над'ярненська загальноосвітня школа І ступеня Саратської районної ради Одеської області</t>
  </si>
  <si>
    <t>5124582202</t>
  </si>
  <si>
    <t>Над'ярне</t>
  </si>
  <si>
    <t>вул. Крутоярівська, 44</t>
  </si>
  <si>
    <t>0975940213</t>
  </si>
  <si>
    <t>Міняйлівська загальноосвітня школа І-ІІ ступенів Саратської районної ради Одеської області</t>
  </si>
  <si>
    <t>68210</t>
  </si>
  <si>
    <t>5124582301</t>
  </si>
  <si>
    <t>Міняйлівка</t>
  </si>
  <si>
    <t>(04848)59230</t>
  </si>
  <si>
    <t>Фуратівіська загальноосвітня школа І - ІІ ступенів Саратської районної ради Одеської області</t>
  </si>
  <si>
    <t>5124582302</t>
  </si>
  <si>
    <t>Фуратівка</t>
  </si>
  <si>
    <t>(59)3-85</t>
  </si>
  <si>
    <t>Мирнопільська загальноосвітня школа І-ІІ ступенів Саратської районної ради Одеської області</t>
  </si>
  <si>
    <t>68223</t>
  </si>
  <si>
    <t>5124582401</t>
  </si>
  <si>
    <t>(04848)37156</t>
  </si>
  <si>
    <t>http://www/sarzomirnop/odessa.edu.net</t>
  </si>
  <si>
    <t>Комунальний заклад " Михайлівська спеціальна загальноосвітня школа І-ІІ ступенів" Саратського району Одеської області</t>
  </si>
  <si>
    <t>68252</t>
  </si>
  <si>
    <t>5124582601</t>
  </si>
  <si>
    <t>вул. Чаїри, 12</t>
  </si>
  <si>
    <t>04848-46-1-38</t>
  </si>
  <si>
    <t>23207146</t>
  </si>
  <si>
    <t>Михайлівський навчально-виховний комплекс "Загальноосвітня школа І-ІІІ ступенів-дошкільний навчальний заклад (ясла-садок)" Саратської районної ради Одеської області</t>
  </si>
  <si>
    <t>вул. Шкільна, 144 а</t>
  </si>
  <si>
    <t>(04848)46140</t>
  </si>
  <si>
    <t>Опорний заклад Надєждинська загальноосвітня школа І-ІІІступенів Саратської районної ради Одеської області</t>
  </si>
  <si>
    <t>68220</t>
  </si>
  <si>
    <t>5124583201</t>
  </si>
  <si>
    <t>Надежда</t>
  </si>
  <si>
    <t>вул. Незалежності, 47</t>
  </si>
  <si>
    <t>(41)2-28</t>
  </si>
  <si>
    <t>Миколаївко-Новоросійська загальноосвітня школа І-ІІІ ступенів Саратської районної ради Одеської області</t>
  </si>
  <si>
    <t>68244</t>
  </si>
  <si>
    <t>5124583601</t>
  </si>
  <si>
    <t>Миколаївка-Новоросійська</t>
  </si>
  <si>
    <t>вул. Першотравнева, 26</t>
  </si>
  <si>
    <t>(04848)42140</t>
  </si>
  <si>
    <t>Новоселівський навчально-виховний комплекс "Загальноосвітня школа І-ІІІ ступенів-ліцей" Саратської районної ради Одеської області</t>
  </si>
  <si>
    <t>68250</t>
  </si>
  <si>
    <t>5124583901</t>
  </si>
  <si>
    <t>(04848)52240</t>
  </si>
  <si>
    <t>25814494</t>
  </si>
  <si>
    <t>Петропавлівський НВК "ЗОШ І - ІІІ ступенів -ДНЗ (ясла - садок)"Саратської районої радди, Одеської області</t>
  </si>
  <si>
    <t>68211</t>
  </si>
  <si>
    <t>5124584601</t>
  </si>
  <si>
    <t>вул. Центральна, 113</t>
  </si>
  <si>
    <t>(04848)40134</t>
  </si>
  <si>
    <t>Плахтіївська загальноосвітня школа № 3 І-ІІІ ступенів Саратської районної ради Одеської області</t>
  </si>
  <si>
    <t>68232</t>
  </si>
  <si>
    <t>5124584901</t>
  </si>
  <si>
    <t>Плахтіївка</t>
  </si>
  <si>
    <t>вул. Центральна, 167</t>
  </si>
  <si>
    <t>(04848)63-307, (04848)63-377</t>
  </si>
  <si>
    <t>25814519</t>
  </si>
  <si>
    <t>Плахтіївський навчально-виховний комплекс "Загальноосвітня школа № 1 І-ІІ ступенів - дошкільний навчальний заклад (ясла-садок)" Саратської районної ради Одеської області</t>
  </si>
  <si>
    <t>вул. Центральна, 305</t>
  </si>
  <si>
    <t>(04848)63-4-40</t>
  </si>
  <si>
    <t>Плахтіївський НВК "ЗОШ № 2 І-ІІІ ступенів-гімназія" Саратської районної ради Одеської області</t>
  </si>
  <si>
    <t>(04848)63-4-33</t>
  </si>
  <si>
    <t>25814502</t>
  </si>
  <si>
    <t>Розівська загальноосвітня школа І-ІІ ступенів Саратської районної ради Одеської області</t>
  </si>
  <si>
    <t>68262</t>
  </si>
  <si>
    <t>5124585101</t>
  </si>
  <si>
    <t>(44)700</t>
  </si>
  <si>
    <t>Ройлянська загальноосвітня школа І-ІІІ ступенів Саратської районної ради Одеської області</t>
  </si>
  <si>
    <t>68240</t>
  </si>
  <si>
    <t>5124585201</t>
  </si>
  <si>
    <t>Ройлянка</t>
  </si>
  <si>
    <t>(04848)54258</t>
  </si>
  <si>
    <t>Світлодолинська загальноосвітня школа І-ІІ ступенів Саратської районної ради Одеської області</t>
  </si>
  <si>
    <t>68231</t>
  </si>
  <si>
    <t>5124585701</t>
  </si>
  <si>
    <t>(04848)48240</t>
  </si>
  <si>
    <t>Сергіївська загальноосвітня школа І-ІІІ ступенів Саратської районної ради Одеської області</t>
  </si>
  <si>
    <t>68263</t>
  </si>
  <si>
    <t>5124586201</t>
  </si>
  <si>
    <t>Старосільська загальноосвітня школа І-ІІІ ступенів Саратської районної ради Одеської області</t>
  </si>
  <si>
    <t>68212</t>
  </si>
  <si>
    <t>5124586401</t>
  </si>
  <si>
    <t>(04848)51213, 0982863209</t>
  </si>
  <si>
    <t>25814554</t>
  </si>
  <si>
    <t>Успенівська ЗОШ I-III ступенів Саратської районної ради Одеської області</t>
  </si>
  <si>
    <t>68242</t>
  </si>
  <si>
    <t>5124586801</t>
  </si>
  <si>
    <t>вул. Кишинівська, 69</t>
  </si>
  <si>
    <t>(58)140</t>
  </si>
  <si>
    <t>Фараонівський навчально-виховний комплекс "Загальноосвітня школа І-ІІІ ступенів - дошкільний навчальний заклад (ясла-садок)" Саратської районної ради Одеської області</t>
  </si>
  <si>
    <t>68213</t>
  </si>
  <si>
    <t>5124587201</t>
  </si>
  <si>
    <t>Фараонівка</t>
  </si>
  <si>
    <t>8024857441</t>
  </si>
  <si>
    <t>Пшеничнянська загальноосвітня школа І ступеня Саратської районної ради Одеської області</t>
  </si>
  <si>
    <t>68214</t>
  </si>
  <si>
    <t>5124587202</t>
  </si>
  <si>
    <t>Ярославська загальноосвітня школа І-ІІІ ступенів Саратської районної ради Одеської області</t>
  </si>
  <si>
    <t>68260</t>
  </si>
  <si>
    <t>5124587701</t>
  </si>
  <si>
    <t>Ярославка</t>
  </si>
  <si>
    <t>(0484853)146</t>
  </si>
  <si>
    <t>Тарутинський навчально-виховний комплекс "Загальноосвітня школа І-ІІІ ступенів-ліцей-дошкільний навчальний заклад"</t>
  </si>
  <si>
    <t>68500</t>
  </si>
  <si>
    <t>5124755100</t>
  </si>
  <si>
    <t>Тарутине</t>
  </si>
  <si>
    <t>(15423)04847-3-13-50</t>
  </si>
  <si>
    <t>22512781</t>
  </si>
  <si>
    <t>Березинський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</si>
  <si>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68542</t>
  </si>
  <si>
    <t>5124755300</t>
  </si>
  <si>
    <t>Березине</t>
  </si>
  <si>
    <t>(04847)77-1-13</t>
  </si>
  <si>
    <t>25830702</t>
  </si>
  <si>
    <t>Бородінський навчально-виховний комплекс "Загальноосвітня школа І-ІІІ ступенів - дошкільний навчальний заклад" Тарутинської районної ради Одеської області.</t>
  </si>
  <si>
    <t>68540</t>
  </si>
  <si>
    <t>5124755500</t>
  </si>
  <si>
    <t>Бородіно</t>
  </si>
  <si>
    <t>вул. Миру, 134</t>
  </si>
  <si>
    <t>2-14-37</t>
  </si>
  <si>
    <t>Серпневський навчально-виховний комплекс загальноосвітня школа І-ІІІ ступенів дошкільний навчальний заклад</t>
  </si>
  <si>
    <t>68522</t>
  </si>
  <si>
    <t>5124755900</t>
  </si>
  <si>
    <t>Серпневе</t>
  </si>
  <si>
    <t>вул. Молодіжна, 122</t>
  </si>
  <si>
    <t>(098)2948737</t>
  </si>
  <si>
    <t>Олександрівський навчально-виховний комплекс"Загальноосвітня школа І-ІІІ ступенів-дошкільний навчальний заклад" Тарутинської районної ради Одеської області</t>
  </si>
  <si>
    <t>68532</t>
  </si>
  <si>
    <t>5124780401</t>
  </si>
  <si>
    <t>вул. Покровська, 109</t>
  </si>
  <si>
    <t>(04847)50214</t>
  </si>
  <si>
    <t>25830470</t>
  </si>
  <si>
    <t>Веселодолинський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</si>
  <si>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68544</t>
  </si>
  <si>
    <t>5124780701</t>
  </si>
  <si>
    <t>Весела Долина</t>
  </si>
  <si>
    <t>вул. Світла, 43</t>
  </si>
  <si>
    <t>(04847)53281</t>
  </si>
  <si>
    <t>https://sites.google.com/site/veselodolinskijnvk</t>
  </si>
  <si>
    <t>Виноградівський навчально - виховний комплекс " Загальноосвітня школа І-ІІІ ступенів - дитячий навчальний заклад"</t>
  </si>
  <si>
    <t>68550</t>
  </si>
  <si>
    <t>5124781001</t>
  </si>
  <si>
    <t>вул. Тіниста, 92</t>
  </si>
  <si>
    <t>0484771242</t>
  </si>
  <si>
    <t>http://www.nvkvinogradovka.com.ua</t>
  </si>
  <si>
    <t>Вознесенський Другий навчально-виховний комплекс "Загальноосвітня школа І-ІІступенів - дошкільний навчальний заклад" Тарутинськкої районної ради Одеської області</t>
  </si>
  <si>
    <t>68514</t>
  </si>
  <si>
    <t>5124781401</t>
  </si>
  <si>
    <t>Вознесенка Друга</t>
  </si>
  <si>
    <t>вул. Верхня, 1</t>
  </si>
  <si>
    <t>Червоненський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</si>
  <si>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68558</t>
  </si>
  <si>
    <t>5124781405</t>
  </si>
  <si>
    <t>вул. Шкільна, 18 А</t>
  </si>
  <si>
    <t>Вільненський навчально-виховний комплекс загальноосвітня школа І-ІІІ ступенів-дошкільний навчальний заклад</t>
  </si>
  <si>
    <t>68556</t>
  </si>
  <si>
    <t>5124781701</t>
  </si>
  <si>
    <t>вул. Центральна, 70/3</t>
  </si>
  <si>
    <t>(04847)55-2-36</t>
  </si>
  <si>
    <t>російська,англійська,німецька,болгарська</t>
  </si>
  <si>
    <t>Височанський навчально - виховний комплекс "Загальноосвітня школа І - ІІІ ступенів - дошкільний навчальний заклад"</t>
  </si>
  <si>
    <t>68511</t>
  </si>
  <si>
    <t>5124782601</t>
  </si>
  <si>
    <t>Височанське</t>
  </si>
  <si>
    <t>(04847)62137</t>
  </si>
  <si>
    <t>Ганнівський навчально-виховний комплекс "Загальноосвітня школа І ступеня- дошкільний навчальний заклад"</t>
  </si>
  <si>
    <t>5124782815</t>
  </si>
  <si>
    <t>(096)3347216</t>
  </si>
  <si>
    <t>Ганнівський навчально-виховний комплекс "Загальноосвітня школа І-ІІ ступенів-дошкільний навчальний заклад" Тарутинської районної ради.Одеської области.</t>
  </si>
  <si>
    <t>68531</t>
  </si>
  <si>
    <t>вул. МОЛОДІЖНА, 2</t>
  </si>
  <si>
    <t>(098)7876805</t>
  </si>
  <si>
    <t>Євгенівський навчально-виховний комплекс"Загальноосвітня школа І-ІІІ ступенів - дошкільний навчальний заклад" Тарутинської районної ради Одеської області</t>
  </si>
  <si>
    <t>68515</t>
  </si>
  <si>
    <t>5124783001</t>
  </si>
  <si>
    <t>російська,німецька,болгарська</t>
  </si>
  <si>
    <t>КАЛАЧІВСЬКИЙ НАВЧАЛЬНО - ВИХОВНИЙ КОМПЛЕКС "ЗАГАЛЬНООСВІТНЯ ШКОЛА І СТУПЕНЯ - ДОШКІЛЬНИЙ НАВЧАЛЬНИЙ ЗАКЛАД " ТАРУТИНСЬКОЇ РАЙОННОЇ РАДИ ОДЕСЬКОЇ ОБЛАСТІ</t>
  </si>
  <si>
    <t>68521</t>
  </si>
  <si>
    <t>5124783801</t>
  </si>
  <si>
    <t>Калачівка</t>
  </si>
  <si>
    <t>(04847)52-2-18</t>
  </si>
  <si>
    <t>Слобідський навчально-виховний комплекс "Загальноосвітня школа І ступеня-дошкільний навчальний заклад"</t>
  </si>
  <si>
    <t>68525</t>
  </si>
  <si>
    <t>5124783802</t>
  </si>
  <si>
    <t>вул. Козацька, 34</t>
  </si>
  <si>
    <t>Красненський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</si>
  <si>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68552</t>
  </si>
  <si>
    <t>5124784201</t>
  </si>
  <si>
    <t>(04847)73135</t>
  </si>
  <si>
    <t>с. Ламбрівка Ламбрівський НВК "ЗОШ I - II ст. - ДНЗ "</t>
  </si>
  <si>
    <t>68534</t>
  </si>
  <si>
    <t>5124784430</t>
  </si>
  <si>
    <t>Ламбрівка</t>
  </si>
  <si>
    <t>вул. Садова, 43</t>
  </si>
  <si>
    <t>(04847)66-3-16</t>
  </si>
  <si>
    <t>Лісненський навчально-виховний комплекс "Загальноосвітня школа І-ІІІ ступенів - дошкільний заклад"</t>
  </si>
  <si>
    <t>68530</t>
  </si>
  <si>
    <t>5124784601</t>
  </si>
  <si>
    <t>Лісне</t>
  </si>
  <si>
    <t>вул. Зубко, 61</t>
  </si>
  <si>
    <t>(048)51242</t>
  </si>
  <si>
    <t>Малоярославецький Другий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</si>
  <si>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68551</t>
  </si>
  <si>
    <t>5124785001</t>
  </si>
  <si>
    <t>Малоярославець Другий</t>
  </si>
  <si>
    <t>вул. Центральна, 74 А</t>
  </si>
  <si>
    <t>(04847)61290</t>
  </si>
  <si>
    <t>Надрічненський навчально-виховний комплекс "Загальноосвітня школа І-ІІІ ступенів- дошкільний навчальний заклад" Тарутинської районної ради Одеської області</t>
  </si>
  <si>
    <t>5124785601</t>
  </si>
  <si>
    <t>Надрічне</t>
  </si>
  <si>
    <t>(04847)54-2-41</t>
  </si>
  <si>
    <t>Іванчанський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</si>
  <si>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5124785602</t>
  </si>
  <si>
    <t>Іванчанка</t>
  </si>
  <si>
    <t>(096)5583591</t>
  </si>
  <si>
    <t>Миколаївський навчально-виховний комплекс</t>
  </si>
  <si>
    <t>68535</t>
  </si>
  <si>
    <t>5124786001</t>
  </si>
  <si>
    <t>76-2-15</t>
  </si>
  <si>
    <t>Новотарутинський навчально-виховний комплекс "Загальноосвітня школа І-ІІ ступенів - дошкільний заклад"</t>
  </si>
  <si>
    <t>68512</t>
  </si>
  <si>
    <t>5124786401</t>
  </si>
  <si>
    <t>Нове Тарутине</t>
  </si>
  <si>
    <t>вул. Космонавтів, 2</t>
  </si>
  <si>
    <t>(04847)79-2-30</t>
  </si>
  <si>
    <t>Перемогівський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</si>
  <si>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68545</t>
  </si>
  <si>
    <t>5124786601</t>
  </si>
  <si>
    <t>вул. Дмитра Тера, 84</t>
  </si>
  <si>
    <t>0982490859</t>
  </si>
  <si>
    <t>Єлизаветівський Навчально- виховний комплекс "Загальноосвітня школа І ступеня - дошкільний навчальний заклад" Тарутинського району Одеської області</t>
  </si>
  <si>
    <t>5124786602</t>
  </si>
  <si>
    <t>вул. Мира, 39</t>
  </si>
  <si>
    <t>52-2-52</t>
  </si>
  <si>
    <t>Петрівський Другий навчально-виховний комплекс " Загальноосвітння школа І-ІІІ ступенів - дошкільний навчальний заклад" Тарутинської районної ради Одеської області</t>
  </si>
  <si>
    <t>68510</t>
  </si>
  <si>
    <t>5124786901</t>
  </si>
  <si>
    <t>вул. Шкільна, 76</t>
  </si>
  <si>
    <t>(04847)57273</t>
  </si>
  <si>
    <t>Матильдівський навчально-виховний комплекс "Загальноосвітня школа -дошкільний навчальний заклад"</t>
  </si>
  <si>
    <t>5124786902</t>
  </si>
  <si>
    <t>Матильдівка</t>
  </si>
  <si>
    <t>Новосілківська загальноосвітня школа І ступеня Тарутинської районної ради Одеської області</t>
  </si>
  <si>
    <t>5124786903</t>
  </si>
  <si>
    <t>вул. Франка, 35</t>
  </si>
  <si>
    <t>(05053)91920</t>
  </si>
  <si>
    <t>Петрівський Перший навчально-виховний комплекс "Загальноосвітня школа І-ІІІ ступенів-дошкільний навчальний заклад " Тарутинської районної ради Одеської області</t>
  </si>
  <si>
    <t>68513</t>
  </si>
  <si>
    <t>5124787201</t>
  </si>
  <si>
    <t>Петрівськ</t>
  </si>
  <si>
    <t>вул. Шкільна, 72А</t>
  </si>
  <si>
    <t>(64)2-21</t>
  </si>
  <si>
    <t>Підгірненський навчально-виховний комплекс "Загальноосвітня школа І-ІІІ ступенів- дошкільний навчальний заклад" Тарутинської районної ради Одеської області</t>
  </si>
  <si>
    <t>68524</t>
  </si>
  <si>
    <t>5124787601</t>
  </si>
  <si>
    <t>(04847)4-82-30</t>
  </si>
  <si>
    <t>25830547</t>
  </si>
  <si>
    <t>Рівненський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області.</t>
  </si>
  <si>
    <t>68555</t>
  </si>
  <si>
    <t>5124788001</t>
  </si>
  <si>
    <t>пл. Перемоги, 1</t>
  </si>
  <si>
    <t>Лужанський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</si>
  <si>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68516</t>
  </si>
  <si>
    <t>5124788002</t>
  </si>
  <si>
    <t>Лужанка</t>
  </si>
  <si>
    <t>вул. Тищенко, 56</t>
  </si>
  <si>
    <t>(04847)63234</t>
  </si>
  <si>
    <t>Богданівський навчально-виховний комплекс "Загальоосвітня школа І-ІІІ ступенів - дошкільний навчальний заклад" Тарутинської районної ради Одеської області</t>
  </si>
  <si>
    <t>68533</t>
  </si>
  <si>
    <t>5124789002</t>
  </si>
  <si>
    <t>вул. Шкільна 46</t>
  </si>
  <si>
    <t>(04847)21371</t>
  </si>
  <si>
    <t>Ярівський НВК "Загальноосвітня школа І-ІІІ ступенів-дошкільний навчальний заклад" Тарутинської районної ради Одеської області</t>
  </si>
  <si>
    <t>68553</t>
  </si>
  <si>
    <t>5124789401</t>
  </si>
  <si>
    <t>вул. Садова, 87</t>
  </si>
  <si>
    <t>(04847)74-5-23</t>
  </si>
  <si>
    <t>Малоярославецький Перший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</si>
  <si>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68554</t>
  </si>
  <si>
    <t>5124789402</t>
  </si>
  <si>
    <t>Малоярославець Перший</t>
  </si>
  <si>
    <t>(4847)59416</t>
  </si>
  <si>
    <t>Комунальний заклад "Татарбунарська загальноосвітня школа І-ІІІ ступенів № 1 імені В.З. Тура" Татарбунарської районної ради Одеської області</t>
  </si>
  <si>
    <t>68100</t>
  </si>
  <si>
    <t>5125010100</t>
  </si>
  <si>
    <t>Татарбунари</t>
  </si>
  <si>
    <t>вул. Барінова, 10</t>
  </si>
  <si>
    <t>(04844)3-24-89</t>
  </si>
  <si>
    <t>комунальний заклад "Татарбунарський навчально-виховний комплекс "Загальноосвітня школа І-ІІІ ступенів- гімназія" Татарбунарської районної ради Одеської області</t>
  </si>
  <si>
    <t>вул. Князєва, 5</t>
  </si>
  <si>
    <t>(04844)31352</t>
  </si>
  <si>
    <t>http://tatarschool2.ucoz.ru</t>
  </si>
  <si>
    <t>Комунальний заклад "Базар'янська загальноосвітня школа І-ІІІ ступенів" Татарбунарської районної ради Одеської області</t>
  </si>
  <si>
    <t>68162</t>
  </si>
  <si>
    <t>5125080201</t>
  </si>
  <si>
    <t>Базар'янка</t>
  </si>
  <si>
    <t>(04844)27258</t>
  </si>
  <si>
    <t>Комунальний заклад "Білоліська загальноосвітня школа І-ІІІ ступенів" Татарбунарської районної ради Одеської області</t>
  </si>
  <si>
    <t>68130</t>
  </si>
  <si>
    <t>5125080401</t>
  </si>
  <si>
    <t>Білолісся</t>
  </si>
  <si>
    <t>(04844)66-2-91</t>
  </si>
  <si>
    <t>Комунальний заклад "Баштанівський навчально-виховний комплекс "Загальноосвітня школа І-ІІІ ступенів-дошкільний навчальний заклад" Татарбунарської районної ради Одеської області</t>
  </si>
  <si>
    <t>68111</t>
  </si>
  <si>
    <t>5125080501</t>
  </si>
  <si>
    <t>Баштанівка</t>
  </si>
  <si>
    <t>вул. В.А. Вєтрогона, 48</t>
  </si>
  <si>
    <t>(04844)63546</t>
  </si>
  <si>
    <t>Комунальний заклад "Борисівська загальноосвітня школа І-ІІІ ступенів" Татарбунарської районної ради Одеської області</t>
  </si>
  <si>
    <t>68112</t>
  </si>
  <si>
    <t>5125080801</t>
  </si>
  <si>
    <t>(04844)92233</t>
  </si>
  <si>
    <t>Комунальний заклад "Вишнівський навчально-виховний комплекс "Загальноосвітня школа І-ІІІ ступенів - дошкільний навчальний заклад" Татарбунарського району Одеської області</t>
  </si>
  <si>
    <t>68131</t>
  </si>
  <si>
    <t>5125081201</t>
  </si>
  <si>
    <t>(64)3-54</t>
  </si>
  <si>
    <t>Комунальний заклад "Глибоківська загальноосвітня школа І-ІІІ ступенів" Татарбунарської районної ради Одеської області</t>
  </si>
  <si>
    <t>68113</t>
  </si>
  <si>
    <t>5125081401</t>
  </si>
  <si>
    <t>(04844)91-2-51</t>
  </si>
  <si>
    <t>молдовська,англійська,французька</t>
  </si>
  <si>
    <t>Комунальний заклад "Дивізійська загальноосвітня школа І-ІІІ ступенів" Татарбунарської районної ради Одеської області</t>
  </si>
  <si>
    <t>68150</t>
  </si>
  <si>
    <t>5125081601</t>
  </si>
  <si>
    <t>Дивізія</t>
  </si>
  <si>
    <t>вул. Лесі Українки, 134</t>
  </si>
  <si>
    <t>(04844)99-1-74</t>
  </si>
  <si>
    <t>http://trdivizosh.odessaedu.net</t>
  </si>
  <si>
    <t>Комунальний заклад "Дмитрівська загальноосвітня школа І-ІІІ ступенів" Татарбунарської районної ради Одеської області.</t>
  </si>
  <si>
    <t>68110</t>
  </si>
  <si>
    <t>5125081901</t>
  </si>
  <si>
    <t>Дельжилер</t>
  </si>
  <si>
    <t>115</t>
  </si>
  <si>
    <t>(93)2-82</t>
  </si>
  <si>
    <t>Комунальний заклад "Жовтоярська загальноосвітня школа І-ІІІ ступенів" Татарбунарської районної ради Одеської області</t>
  </si>
  <si>
    <t>68152</t>
  </si>
  <si>
    <t>5125082401</t>
  </si>
  <si>
    <t>Жовтий Яр</t>
  </si>
  <si>
    <t>(04844)6-11-41</t>
  </si>
  <si>
    <t>http://www.schoolyar.ucoz.net</t>
  </si>
  <si>
    <t>Комунальний заклад "Кочкуватський навчально-виховний комплекс "Загальноосвітня школа І ступеню - дошкільний навчальний заклад" Татарбунарської районної ради Одеської області</t>
  </si>
  <si>
    <t>68133</t>
  </si>
  <si>
    <t>5125082601</t>
  </si>
  <si>
    <t>Кочкувате</t>
  </si>
  <si>
    <t>(04844)68133</t>
  </si>
  <si>
    <t>Комунальний заклад"Лиманський навчально-виховний комплекс "Загальноосвітня школа І-ІІІ ступенів - дошкільний навчальний заклад" Татарбунарської районної ради Одеської області</t>
  </si>
  <si>
    <t>68141</t>
  </si>
  <si>
    <t>5125082701</t>
  </si>
  <si>
    <t>вул. Героїв України, 24</t>
  </si>
  <si>
    <t>(04844)94283</t>
  </si>
  <si>
    <t>Комунальний заклад "Нерушайська загальноосвітня школа І - ІІІ ступенів " Татарбунарської районної ради Одеської області</t>
  </si>
  <si>
    <t>68122</t>
  </si>
  <si>
    <t>5125083401</t>
  </si>
  <si>
    <t>Нерушай</t>
  </si>
  <si>
    <t>(62)2-33</t>
  </si>
  <si>
    <t>КЗ "Приморська загальноосвітня школа І-ІІІ ступенів" Татарбунарської районної ради Одеської області</t>
  </si>
  <si>
    <t>68142</t>
  </si>
  <si>
    <t>5125083901</t>
  </si>
  <si>
    <t>вул. Шкільна, 78</t>
  </si>
  <si>
    <t>(04844)90-3-35</t>
  </si>
  <si>
    <t>Комунальний заклад "Рибальський навчально-виховний комплекс "Загальноосвітня школа І-ІІІ ступенів - дошкільний навчальний заклад" Татарбунарської районної ради Одеської області</t>
  </si>
  <si>
    <t>68132</t>
  </si>
  <si>
    <t>5125084201</t>
  </si>
  <si>
    <t>Рибальське</t>
  </si>
  <si>
    <t>(04844)96319</t>
  </si>
  <si>
    <t>Комунальний заклад "Струмківський навчально-виховний комплекс "Загальноосвітня школа І-ІІІ ступенів - дошкільний навчальний заклад" Татарбунарського району Одеської області</t>
  </si>
  <si>
    <t>68120</t>
  </si>
  <si>
    <t>5125084701</t>
  </si>
  <si>
    <t>Струмок</t>
  </si>
  <si>
    <t>вул. Перемоги, 97</t>
  </si>
  <si>
    <t>(97)249</t>
  </si>
  <si>
    <t>Комунальний заклад "Спаська загальноосвітня школа І-ІІ ступенів" Татарбунарської районної ради Одеської області</t>
  </si>
  <si>
    <t>68121</t>
  </si>
  <si>
    <t>5125084703</t>
  </si>
  <si>
    <t>(04844)65-5-44</t>
  </si>
  <si>
    <t>Комунальний заклад "Трапівська загальноосвітня школа І-ІІІ ступенів" Татарбунарської районної ради Одеської області</t>
  </si>
  <si>
    <t>68140</t>
  </si>
  <si>
    <t>5125085201</t>
  </si>
  <si>
    <t>Трапівка</t>
  </si>
  <si>
    <t>вул. Миру, 132</t>
  </si>
  <si>
    <t>КЗ Тузлівський навчально-виховний комплекс "Загальноосвітня школа I-III ступенів-ліцей" Тулівської сільської ради</t>
  </si>
  <si>
    <t>68160</t>
  </si>
  <si>
    <t>5125085601</t>
  </si>
  <si>
    <t>вул. Завгороднього, 1</t>
  </si>
  <si>
    <t>(04844)25468</t>
  </si>
  <si>
    <t>http://trlistuzl.odessaedu.net</t>
  </si>
  <si>
    <t>20989007</t>
  </si>
  <si>
    <t>Навчально-виховний комплекс «Загальноосвітній навчальний заклад І-ІІІ ступенів - дошкільний навчальний заклад» смт.Фрунзівка Одеської області</t>
  </si>
  <si>
    <t>66700</t>
  </si>
  <si>
    <t>5125255100</t>
  </si>
  <si>
    <t>(04860)91174</t>
  </si>
  <si>
    <t>Комунальна установа "Навчально-виховний комплекс "загальноосвітній навчальний заклад І -ІІ ступенів - дошкільний заклад" с. Майорське Захарівського району Одеської області</t>
  </si>
  <si>
    <t>66705</t>
  </si>
  <si>
    <t>5125255111</t>
  </si>
  <si>
    <t>Майорське</t>
  </si>
  <si>
    <t>(04860)93183</t>
  </si>
  <si>
    <t>Комунальна установа " Навчально - виховний комплекс" Загальноосвітній навчальний заклад І - ІІ ступенів - дошкільний заклад" с. Новопавлівка Фрунзівського району Одеської області</t>
  </si>
  <si>
    <t>66703</t>
  </si>
  <si>
    <t>5125255113</t>
  </si>
  <si>
    <t>вул. Гагаріна</t>
  </si>
  <si>
    <t>(04860)9-20-30</t>
  </si>
  <si>
    <t>Навчально-виховний комплекс «Загальноосвітній навчальний заклад І-ІІІ ступенів - дошкільний заклад» смт. Затишшя Захарівського району Одеської області</t>
  </si>
  <si>
    <t>66740</t>
  </si>
  <si>
    <t>5125255400</t>
  </si>
  <si>
    <t>Затишшя</t>
  </si>
  <si>
    <t>пров. Шкільний, 9</t>
  </si>
  <si>
    <t>(04860)95332</t>
  </si>
  <si>
    <t>Василівська загальноосвітня школа І-ІІ ступенів с.Василівка Фрунзівського району Одеської області</t>
  </si>
  <si>
    <t>66730</t>
  </si>
  <si>
    <t>5125280503</t>
  </si>
  <si>
    <t>(04860)92324</t>
  </si>
  <si>
    <t>Войничівська загальноосвітня школа І-ІІ ступенів с. Войничеве Фрунзівського району Одеської області</t>
  </si>
  <si>
    <t>66744</t>
  </si>
  <si>
    <t>5125280901</t>
  </si>
  <si>
    <t>Войничеве</t>
  </si>
  <si>
    <t>(4860)92422</t>
  </si>
  <si>
    <t>Комунальна установа " Навчально-виховний комплекс " Загальноосвітній навчальний заклад І-ІІІ ступенів-дошкільний заклад" с. Йосипівка ,Фрунзівського району ,Одеської області</t>
  </si>
  <si>
    <t>66731</t>
  </si>
  <si>
    <t>5125281301</t>
  </si>
  <si>
    <t>0486092842</t>
  </si>
  <si>
    <t>Карабанівська загальноосвітня школа І - ІІ ступенів с. Карабанове Фрунзівського району Одеської області</t>
  </si>
  <si>
    <t>66711</t>
  </si>
  <si>
    <t>5125281901</t>
  </si>
  <si>
    <t>Карабанове</t>
  </si>
  <si>
    <t>(04860)93310</t>
  </si>
  <si>
    <t>навчально-виховний комплекс "Загальноосвітній навчальний заклад І-ІІІ ст. - дошкільний заклад" с. Леніне Фрунзівського району Одеської області</t>
  </si>
  <si>
    <t>66743</t>
  </si>
  <si>
    <t>5125282501</t>
  </si>
  <si>
    <t>Торосове</t>
  </si>
  <si>
    <t>(04860)9-35-40</t>
  </si>
  <si>
    <t>комунальна установа "Навчально-виховний комплекс "Загальноосвітній на-вчальний заклад І - ІІІ ступенів - дошкільний заклад" с.Оленівка Фрунзівського району Одеської області</t>
  </si>
  <si>
    <t>66710</t>
  </si>
  <si>
    <t>5125283005</t>
  </si>
  <si>
    <t>(04860)93742</t>
  </si>
  <si>
    <t>Комунальна установа "Навчально-виховний комплекс "Загальноосвітній навчальний заклад І - ІІ ступенів - дошкільний заклад " с. Новозаріцьке Фрунзівського району Одеської області</t>
  </si>
  <si>
    <t>66721</t>
  </si>
  <si>
    <t>5125283201</t>
  </si>
  <si>
    <t>Новозаріцьке</t>
  </si>
  <si>
    <t>(04860)93816</t>
  </si>
  <si>
    <t>Онилівська загальноосвітня школа I-II ступенів с. Онилове Фрунзівського району Одеської області</t>
  </si>
  <si>
    <t>66722</t>
  </si>
  <si>
    <t>5125283601</t>
  </si>
  <si>
    <t>Онилове</t>
  </si>
  <si>
    <t>(04860)93653</t>
  </si>
  <si>
    <t>Навчально-виховний комплекс "Загальноосвітній навчальний заклад I-III ст.-дошкільний заклад" с.Павлівка Фрунзівського району</t>
  </si>
  <si>
    <t>66733</t>
  </si>
  <si>
    <t>5125283801</t>
  </si>
  <si>
    <t>(04860)9-25-85</t>
  </si>
  <si>
    <t>Навчально-виховний комплекс "Загальноосвітній навчальний заклад І-ІІІ ступенів - дошкільний заклад" с.Перехрестове Фрунзівського району Одеської області</t>
  </si>
  <si>
    <t>66720</t>
  </si>
  <si>
    <t>5125284201</t>
  </si>
  <si>
    <t>Перехрестове</t>
  </si>
  <si>
    <t>Комунальна установа "Навчально виховний комплекс " Загальноосвітній навчальний заклад І - ІІІ ступенів - дошкільний заклад" с.Росіянівка Фрунзівського району Одеської області</t>
  </si>
  <si>
    <t>66706</t>
  </si>
  <si>
    <t>5125284501</t>
  </si>
  <si>
    <t>Росіянівка</t>
  </si>
  <si>
    <t>(060)92745</t>
  </si>
  <si>
    <t>Навчально-виховний комплекс "Олімп" "Загальноосвітня школа І-ІІІ ступенів - гімназія" смт. Ширяєве</t>
  </si>
  <si>
    <t>66800</t>
  </si>
  <si>
    <t>5125455100</t>
  </si>
  <si>
    <t>Ширяєве</t>
  </si>
  <si>
    <t>вул. Калініна, 72</t>
  </si>
  <si>
    <t>(04858)21181</t>
  </si>
  <si>
    <t>http://shir-olimp.at.ua</t>
  </si>
  <si>
    <t>Ширяївська загальноосвітня школа І,ІІ ступенів № 2 Ширяївської районної ради Одеської обалсті</t>
  </si>
  <si>
    <t>вул. Південна, 42</t>
  </si>
  <si>
    <t>(04858)2-16-31</t>
  </si>
  <si>
    <t>Ширяївська загальноосвітня школа І,ІІ ступенів № 3 Ширяївської районної ради Одеської області</t>
  </si>
  <si>
    <t>вул. Грушевського, 403</t>
  </si>
  <si>
    <t>(04858)2-13-37</t>
  </si>
  <si>
    <t>Олександрівський навчально-виховний комплекс "Загальноосвітня школа І-ІІІ ступенів-дитячий навчальний заклад" Ширяївської районної ради Одеської області</t>
  </si>
  <si>
    <t>66811</t>
  </si>
  <si>
    <t>5125480301</t>
  </si>
  <si>
    <t>(04858)23131</t>
  </si>
  <si>
    <t>Григорівська загальноосвітня школа І ступеня Ширяївської районної ради Одеської області</t>
  </si>
  <si>
    <t>66812</t>
  </si>
  <si>
    <t>5125480305</t>
  </si>
  <si>
    <t>вул. Сташека, 45А</t>
  </si>
  <si>
    <t>097-34-38-462</t>
  </si>
  <si>
    <t>Бранкованівська загальноосвітня школа І-ІІІ ступенів Ширяївської районної ради Одеської області</t>
  </si>
  <si>
    <t>66821</t>
  </si>
  <si>
    <t>5125480501</t>
  </si>
  <si>
    <t>Бранкованове</t>
  </si>
  <si>
    <t>Вікторівська загальноосвітня школа І-ІІІ ступенів Ширяївської районної ради Одеської області</t>
  </si>
  <si>
    <t>66813</t>
  </si>
  <si>
    <t>5125480701</t>
  </si>
  <si>
    <t>вул. Малиновського, 1</t>
  </si>
  <si>
    <t>(04858)22-9-34</t>
  </si>
  <si>
    <t>Петровірівський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</si>
  <si>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66860</t>
  </si>
  <si>
    <t>5125481001</t>
  </si>
  <si>
    <t>Петровірівка</t>
  </si>
  <si>
    <t>Комунальний заклад "Жовтнева загальноосвітня школа-інтернат I-II ступенів"</t>
  </si>
  <si>
    <t>(04858)26263, (04858)26118</t>
  </si>
  <si>
    <t>20992268</t>
  </si>
  <si>
    <t>Ревівська загальноосвітня школа І,ІІ ступенів Ширяївської районної ради Одеської області</t>
  </si>
  <si>
    <t>5125481005</t>
  </si>
  <si>
    <t>Ревова</t>
  </si>
  <si>
    <t>вул. Олімпіадівська, 18</t>
  </si>
  <si>
    <t>(04858)2-64-49</t>
  </si>
  <si>
    <t>Катерино-Платонівський навчально-виховний комплекс "Загальноосвітня школа І-ІІІ ступенів - дошкільний навчальний заклад" Ширяївської районної ради Одеської обалсті</t>
  </si>
  <si>
    <t>66861</t>
  </si>
  <si>
    <t>5125481401</t>
  </si>
  <si>
    <t>Катерино-Платонівка</t>
  </si>
  <si>
    <t>вул. Соборна, 162</t>
  </si>
  <si>
    <t>0989035876</t>
  </si>
  <si>
    <t>Маркевичевський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</si>
  <si>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66862</t>
  </si>
  <si>
    <t>5125481404</t>
  </si>
  <si>
    <t>Маркевичеве</t>
  </si>
  <si>
    <t>вул. Виноградна, 3Б</t>
  </si>
  <si>
    <t>(04858)27-6-50</t>
  </si>
  <si>
    <t>Макарівська загальноосвітня школа І-ІІІ ступенів Ширяївської районної ради Одеської області</t>
  </si>
  <si>
    <t>66840</t>
  </si>
  <si>
    <t>5125481901</t>
  </si>
  <si>
    <t>Макарове</t>
  </si>
  <si>
    <t>вул. Молодіжна, 7Б</t>
  </si>
  <si>
    <t>Малігонівська загальноосвітня школа І,ІІ ступенів Ширяївської районної ради Одеської обалсті</t>
  </si>
  <si>
    <t>66820</t>
  </si>
  <si>
    <t>5125482201</t>
  </si>
  <si>
    <t>Малігонове</t>
  </si>
  <si>
    <t>(04858)2-52-21</t>
  </si>
  <si>
    <t>Копійківська загальноосвітня школа І ступеня Ширяївської районної ради Одеської області</t>
  </si>
  <si>
    <t>5125482204</t>
  </si>
  <si>
    <t>Копійкове</t>
  </si>
  <si>
    <t>066-994-65-05</t>
  </si>
  <si>
    <t>Мар'янівська загальноосвітня школа І-ІІІ ступенів Ширяївської районної ради Одеської області</t>
  </si>
  <si>
    <t>66814</t>
  </si>
  <si>
    <t>5125482501</t>
  </si>
  <si>
    <t>вул. Балтська, 54</t>
  </si>
  <si>
    <t>(04858)24540</t>
  </si>
  <si>
    <t>Миколаївський навчально-виховний комплекс "Світанок" "Загальноосвітня школа І-ІІІ ступенів - дошкільний навчальний заклад" Ширяївської районної ради Одеської обалсті</t>
  </si>
  <si>
    <t>66810</t>
  </si>
  <si>
    <t>5125482901</t>
  </si>
  <si>
    <t>вул. Кучеряби, 128</t>
  </si>
  <si>
    <t>(04858)2-42-15</t>
  </si>
  <si>
    <t>Новоандріївська загальноосвітня школа І,ІІ ступенів Ширяївської районної ради Одеської області</t>
  </si>
  <si>
    <t>66831</t>
  </si>
  <si>
    <t>5125483401</t>
  </si>
  <si>
    <t>вул. Кар’єрна, 29</t>
  </si>
  <si>
    <t>Новоєлизаветівська загальноосвітня школа І-ІІІ ступенів Ширяївської районної ради Одеської області</t>
  </si>
  <si>
    <t>66863</t>
  </si>
  <si>
    <t>5125483601</t>
  </si>
  <si>
    <t>(04858)2-74-58</t>
  </si>
  <si>
    <t>Новосвітівська загальноосвітня школа І,ІІ ступенів Ширяївської районної ради Одеської області</t>
  </si>
  <si>
    <t>66851</t>
  </si>
  <si>
    <t>5125484001</t>
  </si>
  <si>
    <t>Новосвітівка</t>
  </si>
  <si>
    <t>095-794-81-75</t>
  </si>
  <si>
    <t>Армашівська загальноосвітня школа І-ІІІ ступенів Ширяївської районної ради Одеської обалсті</t>
  </si>
  <si>
    <t>5125484401</t>
  </si>
  <si>
    <t>Армашівка</t>
  </si>
  <si>
    <t>(04858)2-75-50</t>
  </si>
  <si>
    <t>Осинівський навчально-виховний комплекс "Загальноосвітня школа І-ІІІ ступенів-дошкільний навчальний заклакд" Ширяївської районної ради Одеської області</t>
  </si>
  <si>
    <t>66841</t>
  </si>
  <si>
    <t>5125484701</t>
  </si>
  <si>
    <t>Осинівка</t>
  </si>
  <si>
    <t>вул. Південна, 41</t>
  </si>
  <si>
    <t>(04858)2-41-01</t>
  </si>
  <si>
    <t>Саханська загальноосвітня школа І-ІІІ ступенів Ширяївської районної ради Одеської області</t>
  </si>
  <si>
    <t>66842</t>
  </si>
  <si>
    <t>5125485201</t>
  </si>
  <si>
    <t>Саханське</t>
  </si>
  <si>
    <t>097-35-37-400</t>
  </si>
  <si>
    <t>Старомаяківський навчально-виховний комплекс "Загальноосвітня школа І-ІІІ ступенів-дошкільний навчальний заклад" Ширяївської районної ради Одеської області</t>
  </si>
  <si>
    <t>66833</t>
  </si>
  <si>
    <t>5125485601</t>
  </si>
  <si>
    <t>Старі Маяки</t>
  </si>
  <si>
    <t>096-966-16-89</t>
  </si>
  <si>
    <t>Чогодарівський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</si>
  <si>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66823</t>
  </si>
  <si>
    <t>5125485901</t>
  </si>
  <si>
    <t>Чогодарівка</t>
  </si>
  <si>
    <t>(04858)2-52-22</t>
  </si>
  <si>
    <t>Чорнокутська загальноосвітня школа І-ІІІ ступенів Ширяївської районної ради Одеської області</t>
  </si>
  <si>
    <t>66830</t>
  </si>
  <si>
    <t>5125486001</t>
  </si>
  <si>
    <t>Чорний Кут</t>
  </si>
  <si>
    <t>096-601-30-40</t>
  </si>
  <si>
    <t>Преображенський навчально-виховний комплекс "Загальноосвітня школа І-ІІІ ступенів-дошкільний навчальний заклакд" Ширяївської районної ради Одеської області</t>
  </si>
  <si>
    <t>66832</t>
  </si>
  <si>
    <t>5125486006</t>
  </si>
  <si>
    <t>вул. Дорожна, 1</t>
  </si>
  <si>
    <t>(04858)2-53-01</t>
  </si>
  <si>
    <t>Комунальний заклад "Полтавська гімназія № 6 Полтавської міської ради Полтавської області "</t>
  </si>
  <si>
    <t>36003</t>
  </si>
  <si>
    <t>5310100000</t>
  </si>
  <si>
    <t>Полтавська область</t>
  </si>
  <si>
    <t>Полтава</t>
  </si>
  <si>
    <t>вул. В.Чорновола, 3</t>
  </si>
  <si>
    <t>(0532)562511</t>
  </si>
  <si>
    <t>http://gimnaziya6.com/</t>
  </si>
  <si>
    <t>Комунальний заклад "Полтавська гімназія № 32 Полтавської міської ради Полтавської області"</t>
  </si>
  <si>
    <t>36034</t>
  </si>
  <si>
    <t>вул. Курчатова, 8\9</t>
  </si>
  <si>
    <t>((0532))66-54-11</t>
  </si>
  <si>
    <t>http://gimnazia32.at.ua</t>
  </si>
  <si>
    <t>Комунальний заклад "Полтавська загальноосвітня школа I-II ступенів № 15 Полтавської міської ради Полтавської області"</t>
  </si>
  <si>
    <t>36018</t>
  </si>
  <si>
    <t>вул. Тунельна, 16</t>
  </si>
  <si>
    <t>(0532)52-82-59</t>
  </si>
  <si>
    <t>http://15pl.jimdo.com</t>
  </si>
  <si>
    <t>Комунальний заклад "Полтавська загальноосвітня школа І-ІІІ ступенів № 12 Полтавської міської ради Полтавської області"</t>
  </si>
  <si>
    <t>36020</t>
  </si>
  <si>
    <t>вул. Підмонастирська, 41</t>
  </si>
  <si>
    <t>(0532)602442</t>
  </si>
  <si>
    <t>Комунальний заклад "Полтавська загальноосвітня школа І-ІІІ ступенів № 19 Полтавської міської ради Полтавської області"</t>
  </si>
  <si>
    <t>36021</t>
  </si>
  <si>
    <t>вул. Івана Мазепи, 8</t>
  </si>
  <si>
    <t>(0532)683034</t>
  </si>
  <si>
    <t>http://school19.poltava.ua</t>
  </si>
  <si>
    <t>Комунальний заклад "Полтавська загальноосвітня школа І-ІІІ ступенів № 25 Полтавської міської ради Полтавської області"</t>
  </si>
  <si>
    <t>36039</t>
  </si>
  <si>
    <t>(05322)26863, (05322)79073</t>
  </si>
  <si>
    <t>https://sites.google.com/site/poltavascool25/</t>
  </si>
  <si>
    <t>Комунальний заклад "Полтавська загальноосвітня школа І-ІІІ ступенів № 38 Полтавської міської ради Полтавської області"</t>
  </si>
  <si>
    <t>36014</t>
  </si>
  <si>
    <t>вул. Пушкіна, 74</t>
  </si>
  <si>
    <t>(05322)2-88-33</t>
  </si>
  <si>
    <t>Комунальний заклад "Полтавська загальноосвітня школа І-ІІІ ступенів № 5 Полтавської міської ради Полтавської області"</t>
  </si>
  <si>
    <t>(0532)562837</t>
  </si>
  <si>
    <t>Комунальний заклад "Полтавська загальноосвітня школа І-ІІІ ступенів № 2 Полтавської міської ради Полтавської області"</t>
  </si>
  <si>
    <t>36022</t>
  </si>
  <si>
    <t>вул. Анатолія Кукоби, 10</t>
  </si>
  <si>
    <t>(0532)572073</t>
  </si>
  <si>
    <t>Комунальний заклад "Полтавська загальноосвітня школа І-ІІІ ступенів № 24 Полтавської міської ради Полтавської області"</t>
  </si>
  <si>
    <t>36013</t>
  </si>
  <si>
    <t>вул. Шведська Могила, 12</t>
  </si>
  <si>
    <t>(0532)673413</t>
  </si>
  <si>
    <t>http://school24.at.ua</t>
  </si>
  <si>
    <t>Комунальний заклад "Полтавська загальноосвітня школа І-ІІІ ступенів № 34 Полтавської міської ради Полтавської області"</t>
  </si>
  <si>
    <t>36023</t>
  </si>
  <si>
    <t>б-р Євгена Коновальця, 8</t>
  </si>
  <si>
    <t>(0532)589543</t>
  </si>
  <si>
    <t>http://school-34.at.ua/</t>
  </si>
  <si>
    <t>Комунальний заклад "Полтавська спеціалізована школа І-ІІІ ступенів № 3 Полтавської міської ради Полтавської області"</t>
  </si>
  <si>
    <t>36011</t>
  </si>
  <si>
    <t>вул. Чорновола, 4</t>
  </si>
  <si>
    <t>(05322)608105, (05322)608106</t>
  </si>
  <si>
    <t>http://www.spec-school3.com.ua</t>
  </si>
  <si>
    <t>англійська,німецька,французька,китайська</t>
  </si>
  <si>
    <t>Комунальний заклад "Полтавська спеціальна загальноосвітня школа № 40 Полтавської міської ради Полтавської області"</t>
  </si>
  <si>
    <t>пров. Космічний, 7</t>
  </si>
  <si>
    <t>(0532)66-44-46</t>
  </si>
  <si>
    <t>Комунальний заклад "Полтавський навчально-виховний комплекс (загальноосвітній навчальний заклад- дошкільний навчальний заклад) № 36 Полтавської міської ради Полтавської області"</t>
  </si>
  <si>
    <t>36042</t>
  </si>
  <si>
    <t>вул. Агітаційна, 2</t>
  </si>
  <si>
    <t>(0532)566840, (0532)566313</t>
  </si>
  <si>
    <t>http://school36.pl.ua</t>
  </si>
  <si>
    <t>Полтавська гімназія № 21 Полтавської міської ради Полтавської області</t>
  </si>
  <si>
    <t>36015</t>
  </si>
  <si>
    <t>вул. Сакко, 19А</t>
  </si>
  <si>
    <t>(0532)674333</t>
  </si>
  <si>
    <t>Полтавська загальноосвітня школа І-ІІІ ступенів № 9 Полтавської міської ради Полтавської області</t>
  </si>
  <si>
    <t>вул. Шведська, 3</t>
  </si>
  <si>
    <t>(05322)561757</t>
  </si>
  <si>
    <t>http://sc9poltava.at.ua/</t>
  </si>
  <si>
    <t>Полтавська спеціалізована школа-інтернат № 2 І-ІІІ ступенів Полтавської обласної ради</t>
  </si>
  <si>
    <t>просп. Першотравневий проспект, 26</t>
  </si>
  <si>
    <t>(05322)608742</t>
  </si>
  <si>
    <t>25167793</t>
  </si>
  <si>
    <t>Комунальний заклад "Полтавська спеціальна загальноосвітня школа № 39" Полтавської міської ради Полтавської області</t>
  </si>
  <si>
    <t>вул. Сінна, 30/80</t>
  </si>
  <si>
    <t>(0532)608577</t>
  </si>
  <si>
    <t>http://school39poltava.ucoz.ru</t>
  </si>
  <si>
    <t>Полтавська спеціальна загальноосвітня школа-інтернат І-ІІІ ступенів Полтавської обласної ради</t>
  </si>
  <si>
    <t>вул. Станіславського, № 6</t>
  </si>
  <si>
    <t>(0532)589385, (0532)596584</t>
  </si>
  <si>
    <t>http://www.poltava-sp-scoo.ucoz.ua</t>
  </si>
  <si>
    <t>23545676</t>
  </si>
  <si>
    <t>Полтавський навчально-виховний комплекс (ЗНЗ-ДНЗ) № 16 Полтавської міської ради Полтавської області</t>
  </si>
  <si>
    <t>вул. Щепотьєва, 16</t>
  </si>
  <si>
    <t>(05322)583613</t>
  </si>
  <si>
    <t>http://school16.poltava.ua</t>
  </si>
  <si>
    <t>Полтавський навчально-реабілітаційний центр Полтавської обласної ради</t>
  </si>
  <si>
    <t>36040</t>
  </si>
  <si>
    <t>вул. Героїв Сталінграда, 16</t>
  </si>
  <si>
    <t>(0532)660642</t>
  </si>
  <si>
    <t>25172280</t>
  </si>
  <si>
    <t>Полтавський приватний навчально-виховний комплекс "Паросток" Полтавської області (ЗНЗ-ДНЗ)</t>
  </si>
  <si>
    <t>36000</t>
  </si>
  <si>
    <t>вул. Опитна, 56</t>
  </si>
  <si>
    <t>((0532))65-49-65</t>
  </si>
  <si>
    <t>http://schoolparostok.com</t>
  </si>
  <si>
    <t>Полтавський спеціалізований навчально-виховний комплекс № 86 Полтавської міської ради Полтавської області</t>
  </si>
  <si>
    <t>вул. Ціолковського, 11</t>
  </si>
  <si>
    <t>(0532)589765</t>
  </si>
  <si>
    <t>Приватна школа "Чарівний світ"</t>
  </si>
  <si>
    <t>вул. Леваневського, 17</t>
  </si>
  <si>
    <t>(0532)561207</t>
  </si>
  <si>
    <t>Приватний навчально-виховний комплекс "Дошкільний навчальний заклад-спеціалізована школа" Оксани Данько</t>
  </si>
  <si>
    <t>пров. Промисловий, 6А</t>
  </si>
  <si>
    <t>(0532)566869</t>
  </si>
  <si>
    <t>Полтавська загальноосвітня школа І-ІІІ ступенів № 7 ім. Т.Г.Шевченка Полтавської міської ради Полтавської області</t>
  </si>
  <si>
    <t>вул. Балакіна, 2</t>
  </si>
  <si>
    <t>(0532)2-05-71</t>
  </si>
  <si>
    <t>http://school-7poltava.at.ua/</t>
  </si>
  <si>
    <t>Комунальний заклад "Полтавська вечірня (змінна) школа № 1 Полтавської міської ради Полтавської області"</t>
  </si>
  <si>
    <t>вул. Сакко, 14</t>
  </si>
  <si>
    <t>(0532)513011</t>
  </si>
  <si>
    <t>http://vzsh1poltava.ucoz.ua/</t>
  </si>
  <si>
    <t>Комунальний заклад "Полтавська загальноосвітня школа І-ІІ ступенів № 35 Полтавської міської ради Полтавської області"</t>
  </si>
  <si>
    <t>вул. Холодноярський майдан, 1</t>
  </si>
  <si>
    <t>(0532)674117</t>
  </si>
  <si>
    <t>http://www.35school.at.ua</t>
  </si>
  <si>
    <t>Комунальний заклад "Полтавська загальноосвітня школа І-ІІІ ступенів № 20 імені Бориса Серги Полтавської міської ради Полтавської області"</t>
  </si>
  <si>
    <t>вул. Анатолія Кукоби, 25</t>
  </si>
  <si>
    <t>(0532)689924</t>
  </si>
  <si>
    <t>http://znz20poltava.ucoz.ua</t>
  </si>
  <si>
    <t>Комунальний заклад "Полтавська загальноосвітня школа І-ІІІ ступенів № 22 Полтавської міської ради Полтавської області"</t>
  </si>
  <si>
    <t>вул. Низова, 8</t>
  </si>
  <si>
    <t>(0532)586136</t>
  </si>
  <si>
    <t>http://www.poltavaschool22.at.ua</t>
  </si>
  <si>
    <t>Полтавська гімназія № 17 Полтавської міської ради Полтавської області</t>
  </si>
  <si>
    <t>36004</t>
  </si>
  <si>
    <t>б-р Богдана  Хмельницького, 15</t>
  </si>
  <si>
    <t>(0532)520944</t>
  </si>
  <si>
    <t>Полтавська загальноосвітня школа І-ІІІ ступенів № 37 Полтавської міської ради Полтавської області</t>
  </si>
  <si>
    <t>б-р Б.Хмельницького, 20</t>
  </si>
  <si>
    <t>68-95-97, 68-95-96</t>
  </si>
  <si>
    <t>http://school37poltava.pp.ua</t>
  </si>
  <si>
    <t>Полтавський спеціалізований навчально-виховний комплекс № 3 "Червона калинонька" Полтавської міської ради Полтавської області</t>
  </si>
  <si>
    <t>пров. Давидовського, 12</t>
  </si>
  <si>
    <t>(0532)689655</t>
  </si>
  <si>
    <t>http://chervona-kalynonka.com.ua</t>
  </si>
  <si>
    <t>Комунальний заклад "Полтавська гімназія "Здоров'я" № 14 Полтавської міської ради Полтавської області"</t>
  </si>
  <si>
    <t>вул. Пилипа Орлика, 30</t>
  </si>
  <si>
    <t>(05322)75348</t>
  </si>
  <si>
    <t>Комунальний заклад "Полтавська загальноосвітня школа I-III ступенів № 28 Полтавської міської ради Полтавської області"</t>
  </si>
  <si>
    <t>вул. Івана Мазепи, 53</t>
  </si>
  <si>
    <t>(0532)633-202</t>
  </si>
  <si>
    <t>http://109.87.244.200</t>
  </si>
  <si>
    <t>Комунальний заклад "Полтавська загальноосвітня школа І-ІІІ ступенів № 26 Полтавської міської ради Полтавської області"</t>
  </si>
  <si>
    <t>вул. І. Мазепи, 18</t>
  </si>
  <si>
    <t>(0532)632519</t>
  </si>
  <si>
    <t>http://school26poltava.at.ua/</t>
  </si>
  <si>
    <t>Комунальний заклад "Полтавська загальноосвітня школа І-ІІІ ступенів № 8 імені Панаса Мирного Полтавської міської ради Полтавської області"</t>
  </si>
  <si>
    <t>вул. Патріарха Мстислава, 66</t>
  </si>
  <si>
    <t>(0532)608813</t>
  </si>
  <si>
    <t>http://school8poltava.ucoz.ru</t>
  </si>
  <si>
    <t>Комунальний заклад "Полтавська загальноосвітня школа І-ІІІ ступенів № 23 Полтавської міської ради Полтавської області"</t>
  </si>
  <si>
    <t>36008</t>
  </si>
  <si>
    <t>вул. Європейська, 122</t>
  </si>
  <si>
    <t>(0532)681101</t>
  </si>
  <si>
    <t>http://school23poltava.ucoz.ua</t>
  </si>
  <si>
    <t>Комунальний заклад "Полтавська загальноосвітня школа І-ІІІ ступенів № 27 Полтавської міської ради Полтавської області"</t>
  </si>
  <si>
    <t>36002</t>
  </si>
  <si>
    <t>вул. Європейська, 60</t>
  </si>
  <si>
    <t>(0532)569292</t>
  </si>
  <si>
    <t>http://www.poltavaschool27.ucoz.com</t>
  </si>
  <si>
    <t>Комунальний заклад "Полтавський спеціалізований навчально-виховний комплекс № 26 "Перші кроки" Полтавської міської ради Полтавської області"</t>
  </si>
  <si>
    <t>вул. Стрітенська, 20</t>
  </si>
  <si>
    <t>(0532)609393, (0532)609697</t>
  </si>
  <si>
    <t>http://step26.org.ua</t>
  </si>
  <si>
    <t>Полтавська гімназія № 33 Полтавської міської ради Полтавської області</t>
  </si>
  <si>
    <t>вул. Героїв Сталінграда, 20</t>
  </si>
  <si>
    <t>(0532)666222</t>
  </si>
  <si>
    <t>http://gimn33.ucoz.com</t>
  </si>
  <si>
    <t>Полтавська загальноосвітня школа І-ІІІ ступенів № 29 Полтавської міської ради Полтавської області</t>
  </si>
  <si>
    <t>вул. Алмазна, 1</t>
  </si>
  <si>
    <t>(0532)63-33-39</t>
  </si>
  <si>
    <t>https://sites.google.com/site/poltavaschool29/</t>
  </si>
  <si>
    <t>Полтавська загальноосвітня школа І-ІІІ ступенів № 10 ім. В.Г.Короленка Полтавської міської ради Полтавської області</t>
  </si>
  <si>
    <t>вул. Пушкіна, 20/23</t>
  </si>
  <si>
    <t>(05322)72512</t>
  </si>
  <si>
    <t>http://school10.edu.poltava.ua/</t>
  </si>
  <si>
    <t>Полтавська загальноосвітня школа І-ІІІ ступенів № 4 Полтавської міської ради Полтавської області</t>
  </si>
  <si>
    <t>(0532)607676</t>
  </si>
  <si>
    <t>Комунальний заклад "Полтавський міський багатопрофільний ліцей № 1 ім. І. П. Котляревського Полтавської міської ради Полтавської області"</t>
  </si>
  <si>
    <t>(0532)60-85-54</t>
  </si>
  <si>
    <t>http://liceyn1.at.ua</t>
  </si>
  <si>
    <t>22546780</t>
  </si>
  <si>
    <t>Полтавський спеціалізований навчально-виховний комплекс № 85 "Лебідка" Полтавської міської ради Полтавської області</t>
  </si>
  <si>
    <t>31400</t>
  </si>
  <si>
    <t>вул. Кагамлика, 35</t>
  </si>
  <si>
    <t>593522</t>
  </si>
  <si>
    <t>Комунальний заклад "Полтавська загальноосвітня школа І-ІІІ ступенів № 30 Полтавської міської ради Полтавської області"</t>
  </si>
  <si>
    <t>5310136400</t>
  </si>
  <si>
    <t>Полтава, Київський район</t>
  </si>
  <si>
    <t>вул. Курчатова, 16/12</t>
  </si>
  <si>
    <t>(0532)666006, (0532)669613</t>
  </si>
  <si>
    <t>http://school30.pl.ua</t>
  </si>
  <si>
    <t>Полтавська гімназія № 13 Полтавської міської ради Полтавської області</t>
  </si>
  <si>
    <t>36007</t>
  </si>
  <si>
    <t>вул. Кучеренка, 1/16</t>
  </si>
  <si>
    <t>(0532)677467</t>
  </si>
  <si>
    <t>http://sch13.pl.ua/</t>
  </si>
  <si>
    <t>Полтавська загальноосвітня школа І-ІІІ ступенів № 18 Полтавської міської ради Полтавської області</t>
  </si>
  <si>
    <t>36010</t>
  </si>
  <si>
    <t>вул. Горького, 56</t>
  </si>
  <si>
    <t>(0532)664467</t>
  </si>
  <si>
    <t>http://school.ipmedia.org.ua/html/about.html</t>
  </si>
  <si>
    <t>Комунальний заклад "Полтавська загальноосвітня школа І-ІІІ ступенів № 11 Полтавської міської ради Полтавської області"</t>
  </si>
  <si>
    <t>вул. Маршала Бірюзова, 64</t>
  </si>
  <si>
    <t>(0532)567826</t>
  </si>
  <si>
    <t>Полтавський спеціалізований навчально-виховний комплекс № 10 Полтавської міської ради Полтавської області</t>
  </si>
  <si>
    <t>36038</t>
  </si>
  <si>
    <t>вул. Уютна, 4</t>
  </si>
  <si>
    <t>(0532)562877</t>
  </si>
  <si>
    <t>Полтавська гімназія № 31 Полтавської міської ради Полтавської області</t>
  </si>
  <si>
    <t>5310137000</t>
  </si>
  <si>
    <t>Полтава, Октябрський район</t>
  </si>
  <si>
    <t>вул. Героїв Сталінграда, 5</t>
  </si>
  <si>
    <t>(0532)681062</t>
  </si>
  <si>
    <t>http://gimnazia31-pl.at.ua/</t>
  </si>
  <si>
    <t>Полтавська спеціалізована школа-інтернат № 1 I-III ступенів Полтавської обласної ради</t>
  </si>
  <si>
    <t>вул. Монастирська, 9А</t>
  </si>
  <si>
    <t>(0532)60-72-28</t>
  </si>
  <si>
    <t>http://pol-int1.pl.ua</t>
  </si>
  <si>
    <t>21062889</t>
  </si>
  <si>
    <t>Полтавський спеціалізований навчально-виховний комплекс № 45 Полтавської міської ради Полтавської області</t>
  </si>
  <si>
    <t>вул. Грушевського, 17 а</t>
  </si>
  <si>
    <t>(0532)633295</t>
  </si>
  <si>
    <t>Вечірня (змінна) школа ІІ-ІІІ ступенів Горішньоплавнівської міської ради Полтавської області</t>
  </si>
  <si>
    <t>39800</t>
  </si>
  <si>
    <t>5310200000</t>
  </si>
  <si>
    <t>Горішні Плавні</t>
  </si>
  <si>
    <t>(05348)22371</t>
  </si>
  <si>
    <t>23544228</t>
  </si>
  <si>
    <t>Загальноосвітня школа I-III ст. № 1 Горішньоплавнівської міської ради Полтавської області</t>
  </si>
  <si>
    <t>39801</t>
  </si>
  <si>
    <t>(05348)2-12-59</t>
  </si>
  <si>
    <t>23545541</t>
  </si>
  <si>
    <t>Загальноосвітня школа І-ІІІ ступенів № 2 Горішньоплавнівської міської ради Полтавської області</t>
  </si>
  <si>
    <t>(05348)61145, (05348)61506, (05348)33735</t>
  </si>
  <si>
    <t>http://zosh2kom.ucoz.ua/</t>
  </si>
  <si>
    <t>23545558</t>
  </si>
  <si>
    <t>Загальноосвітня школа І-ІІІ ступенів № 6 Горішньоплавнівської міської ради Полтавської області</t>
  </si>
  <si>
    <t>вул. Добровольського, 65</t>
  </si>
  <si>
    <t>(05348)26900</t>
  </si>
  <si>
    <t>23280315</t>
  </si>
  <si>
    <t>Спеціалізована загальноосвітня школа І-ІІІ ступенів № 4 з поглибленим вивченням англійської мови</t>
  </si>
  <si>
    <t>вул. Конституції, 20</t>
  </si>
  <si>
    <t>(05348)44522, (05348)44521</t>
  </si>
  <si>
    <t>http://sch4.at.ua</t>
  </si>
  <si>
    <t>23280309</t>
  </si>
  <si>
    <t>Спеціалізована загальноосвітня школа І-ІІІ ступенів № 3 імені В.О. Нижниченка з поглибленим вивченням предметів суспільно-гуманітарного циклу Горішньоплавнівської міської ради Полтавської області</t>
  </si>
  <si>
    <t>39803</t>
  </si>
  <si>
    <t>вул. Добровольського, 27</t>
  </si>
  <si>
    <t>(05348)4-45-16</t>
  </si>
  <si>
    <t>23279996</t>
  </si>
  <si>
    <t>Спеціалізована загальноосвітня школа І-ІІІ ступенів № 5 з поглибленим вивченням предметів природничо-математичного циклу ім.Л.І.Бугаєвської Горішньоплавнівської міської ради</t>
  </si>
  <si>
    <t>(05348)44510</t>
  </si>
  <si>
    <t>21064435</t>
  </si>
  <si>
    <t>Дмитрівська середня загальноосвітня школа І-ІІІ ступенів Дмитрівської сільської ради Полтавської області</t>
  </si>
  <si>
    <t>5310290301</t>
  </si>
  <si>
    <t>(05348)4-12-48</t>
  </si>
  <si>
    <t>http://dmitrov_school.at.ua</t>
  </si>
  <si>
    <t>23545535</t>
  </si>
  <si>
    <t>Гадяцька вечірня (змінна) школа Гадяцької міської ради Полтавської області</t>
  </si>
  <si>
    <t>37300</t>
  </si>
  <si>
    <t>5310300000</t>
  </si>
  <si>
    <t>Гадяч</t>
  </si>
  <si>
    <t>вул. Гетьманська, 31</t>
  </si>
  <si>
    <t>380957757356</t>
  </si>
  <si>
    <t>Гадяцька гімназія імені Олени Пчілки Гадяцької міської ради Полтавської області</t>
  </si>
  <si>
    <t>вул. Гетьманська, 35</t>
  </si>
  <si>
    <t>(05354)21755</t>
  </si>
  <si>
    <t>http://gimnasium1.in.ua/</t>
  </si>
  <si>
    <t>Гадяцька спеціалізована школа І-ІІІ ступенів № 2 імені Михайла Драгоманова Гадяцької міської ради Полтавської області</t>
  </si>
  <si>
    <t>(05354)2-34-17, (05354)3-26-23</t>
  </si>
  <si>
    <t>http://www.hadschool2.ucoz.ru</t>
  </si>
  <si>
    <t>Гадяцька спеціалізована школа І-ІІІ ступенів № 3 Гадяцької міської ради Полтавської області</t>
  </si>
  <si>
    <t>вул. Степаненка, 41</t>
  </si>
  <si>
    <t>(05354)20613</t>
  </si>
  <si>
    <t>http://hadiachschool3.ucoz.ru</t>
  </si>
  <si>
    <t>Гадяцька спеціалізована школа І-ІІІ ступенів № 4</t>
  </si>
  <si>
    <t>вул. Сергія Швидкого, №2</t>
  </si>
  <si>
    <t>2-16-29, 2-07-12</t>
  </si>
  <si>
    <t>http://hadiachschool4.ucoz.com/</t>
  </si>
  <si>
    <t>Гадяцька спеціалізована школа-інтернат I - III ступенів імені Є.П.Кочергіна Полтавської обласної ради</t>
  </si>
  <si>
    <t>(05354)22900</t>
  </si>
  <si>
    <t>04590636</t>
  </si>
  <si>
    <t>Кременчуцький навчально - виховний комплекс "Загальноосвітня школа І ступеня - різнопрофільна" гімназія № 5 імені Т.Г.Шевченка Кременчуцької міської ради Полтавської області</t>
  </si>
  <si>
    <t>39601</t>
  </si>
  <si>
    <t>5310400000</t>
  </si>
  <si>
    <t>Кременчук</t>
  </si>
  <si>
    <t>пров. Героїв Бреста, 65</t>
  </si>
  <si>
    <t>(0536)778941</t>
  </si>
  <si>
    <t>http://gimnasia5.at.ua/</t>
  </si>
  <si>
    <t>41280898</t>
  </si>
  <si>
    <t>Кременчуцька загальноосвітня школа І - ІІІ ступенів № 9 Кременчуцької міської ради Полтавської області</t>
  </si>
  <si>
    <t>39621</t>
  </si>
  <si>
    <t>вул. Івана Приходька, 38/5</t>
  </si>
  <si>
    <t>(05366)6-00-89</t>
  </si>
  <si>
    <t>23553925</t>
  </si>
  <si>
    <t>Кременчуцька загальноосвітня школа І- ІІІ ступенів № 28 Кременчуцької міської ради Полтавської області</t>
  </si>
  <si>
    <t>39631</t>
  </si>
  <si>
    <t>пров. Олега Кошового, 5 -А</t>
  </si>
  <si>
    <t>(05366)53613</t>
  </si>
  <si>
    <t>24826804</t>
  </si>
  <si>
    <t>Кременчуцька загальноосвітня школа І-ІІІ ступенів № 18 Кременчуцької міської ради Полтавської області</t>
  </si>
  <si>
    <t>39623</t>
  </si>
  <si>
    <t>вул. Ватутіна, 25</t>
  </si>
  <si>
    <t>(0536)773173</t>
  </si>
  <si>
    <t>24830456</t>
  </si>
  <si>
    <t>Кременчуцька загальноосвітня школа І-ІІІ ступенів № 29 Кременчуцької міської ради Полтавської області</t>
  </si>
  <si>
    <t>39625</t>
  </si>
  <si>
    <t>вул. Республіканська, 76</t>
  </si>
  <si>
    <t>(0536)759060, (0536)759005</t>
  </si>
  <si>
    <t>23554043</t>
  </si>
  <si>
    <t>Кременчуцька загальноосвітня школа І-ІІІ ступенів № 1 Кременчуцької міської ради Полтавської області</t>
  </si>
  <si>
    <t>вул. Чкалова, 1А</t>
  </si>
  <si>
    <t>(0536)747203</t>
  </si>
  <si>
    <t>http://firstschool.at.ua/</t>
  </si>
  <si>
    <t>23554020</t>
  </si>
  <si>
    <t>Кременчуцька загальноосвітня школа І-ІІІ ступенів № 19 Кременчуцької міської ради Полтавської області</t>
  </si>
  <si>
    <t>39600</t>
  </si>
  <si>
    <t>вул. Шевченка, 58/69</t>
  </si>
  <si>
    <t>((0536))74-13-68</t>
  </si>
  <si>
    <t>http://krem-school19.ucoz.ua</t>
  </si>
  <si>
    <t>23553960</t>
  </si>
  <si>
    <t>Кременчуцький навчально-виховний комплекс "Загальноосітня школа І-ІІІ ступенів - позашкільний навчальний заклад" № 2 Кременчуцької міської ради Полтавської області</t>
  </si>
  <si>
    <t>39603</t>
  </si>
  <si>
    <t>вул. Богдана Хмельницького, 66</t>
  </si>
  <si>
    <t>(05366)36196</t>
  </si>
  <si>
    <t>41281069</t>
  </si>
  <si>
    <t>Кременчуцька загальноосвітня школа І-ІІІ ступенів № 20 Кременчуцької міської ради Полтавської області</t>
  </si>
  <si>
    <t>вул. Академіка Маслова, 12</t>
  </si>
  <si>
    <t>(05366)23397</t>
  </si>
  <si>
    <t>http://znz20.com.ua/</t>
  </si>
  <si>
    <t>24830485</t>
  </si>
  <si>
    <t>Кременчуцька загальноосвітня школа І-ІІІ ступенів № 23 Кременчуцької міської ради Полтавської області</t>
  </si>
  <si>
    <t>вул. Олександрійська, 18</t>
  </si>
  <si>
    <t>(0536)739438</t>
  </si>
  <si>
    <t>23553983</t>
  </si>
  <si>
    <t>Кременчуцька загальноосвітня школа І-ІІІ ступенів № 31 Кременчуцької міської ради Полтавської області</t>
  </si>
  <si>
    <t>39622</t>
  </si>
  <si>
    <t>вул. Героїв України, 39А</t>
  </si>
  <si>
    <t>(05366)44008, (05366)41368</t>
  </si>
  <si>
    <t>24826822</t>
  </si>
  <si>
    <t>Кременчуцька спеціальна загальноосвітня школа-інтернат Полтавської обласної ради</t>
  </si>
  <si>
    <t>39619</t>
  </si>
  <si>
    <t>вул. Остапа Вишні, 29/38</t>
  </si>
  <si>
    <t>(0536)758196, (0536)758195, (0536)758197</t>
  </si>
  <si>
    <t>22533820</t>
  </si>
  <si>
    <t>Кременчуцький навчально-виховний комплекс "Загальноосвітня школа І ступеня - колегіум" № 25 Кременчуцької міської ради Полтавської області</t>
  </si>
  <si>
    <t>вул. Гвардійська, 16</t>
  </si>
  <si>
    <t>(05366)53882</t>
  </si>
  <si>
    <t>http://kollegium25.at.ua/</t>
  </si>
  <si>
    <t>24830516</t>
  </si>
  <si>
    <t>Кременчуцький навчально-виховний комплекс "Загальноосвітня школа І-ІІ ступенів - ліцей" № 4 Кременчуцької міської ради Полтавської області</t>
  </si>
  <si>
    <t>(05366)36034</t>
  </si>
  <si>
    <t>http://www.licey-4.at.ua</t>
  </si>
  <si>
    <t>25154081</t>
  </si>
  <si>
    <t>Кременчуцький навчально - виховний комплекс: загальноосвітня школа І ступеня № 15 - дошкільний навчальний заклад (ясла - садок) комбінованого типу Кременчуцької міської ради Полтавської області</t>
  </si>
  <si>
    <t>кв. 278, 11</t>
  </si>
  <si>
    <t>http://kremenschool15.blogspot.com/</t>
  </si>
  <si>
    <t>39973989</t>
  </si>
  <si>
    <t>Кременчуцька вечірня(змінна) школа № 3 Кременчуцької міської ради Полтавської області</t>
  </si>
  <si>
    <t>39620</t>
  </si>
  <si>
    <t>5310436100</t>
  </si>
  <si>
    <t>Кременчук, Автозаводський район</t>
  </si>
  <si>
    <t>вул. Маяковського, 3</t>
  </si>
  <si>
    <t>(0536)765512</t>
  </si>
  <si>
    <t>24826845</t>
  </si>
  <si>
    <t>Кременчуцька загальноосвітня школа І - ІІІ ступенів № 26 Кременчуцької міської ради Полтавської області</t>
  </si>
  <si>
    <t>39610</t>
  </si>
  <si>
    <t>пров. Грозненський, 4</t>
  </si>
  <si>
    <t>(05366)40353</t>
  </si>
  <si>
    <t>http://kr-school26.ucoz.ru</t>
  </si>
  <si>
    <t>24830500</t>
  </si>
  <si>
    <t>Кременчуцька загальноосвітня школа І-ІІІ ступенів № 17 " Вибір" імені М.Г. Неленя Кременчуцької міської ради Полтавської області</t>
  </si>
  <si>
    <t>вул. Тараса Бульби, 14</t>
  </si>
  <si>
    <t>(05366)4-02-60</t>
  </si>
  <si>
    <t>http://www.krem-school-17.ucoz.ru/</t>
  </si>
  <si>
    <t>22538987</t>
  </si>
  <si>
    <t>Кременчуцька загальноосвітня школа І-ІІІ ступенів № 27 Кременчуцької міської ради Полтавської області</t>
  </si>
  <si>
    <t>39602</t>
  </si>
  <si>
    <t>вул. проспект Свободи, 104</t>
  </si>
  <si>
    <t>(05366)53960, (0536)53378</t>
  </si>
  <si>
    <t>24830491</t>
  </si>
  <si>
    <t>Кременчуцька загальноосвітня школа І-ІІІ ступенів № 12 Кременчуцької міської ради Полтавської області</t>
  </si>
  <si>
    <t>вул. Володимира Великого, 52</t>
  </si>
  <si>
    <t>(0536)702660</t>
  </si>
  <si>
    <t>http://www.zosh12.com.ua/</t>
  </si>
  <si>
    <t>24827843</t>
  </si>
  <si>
    <t>Кременчуцька загальноосвітня школа І-ІІІ ступенів № 24 Кременчуцької міської ради Полтавської області</t>
  </si>
  <si>
    <t>39627</t>
  </si>
  <si>
    <t>просп. Полтавський, 13</t>
  </si>
  <si>
    <t>(0536)724590</t>
  </si>
  <si>
    <t>24830522</t>
  </si>
  <si>
    <t>Кременчуцька загальноосвітня школа І-ІІІ ступенів № 8 Кременчуцької міської ради Полтавської області</t>
  </si>
  <si>
    <t>вул. Тараса Бульби, 6</t>
  </si>
  <si>
    <t>(05366)40561</t>
  </si>
  <si>
    <t>http://sites.google.com/site/school8com</t>
  </si>
  <si>
    <t>24827827</t>
  </si>
  <si>
    <t>Кременчуцька загальноосвітня школа ІІ-ІІІ ступенів № 32 Полтавської області</t>
  </si>
  <si>
    <t>39617</t>
  </si>
  <si>
    <t>вул. Лікаря О. Богаєвського, 10/30</t>
  </si>
  <si>
    <t>(05366)23129</t>
  </si>
  <si>
    <t>Кременчуцька спеціалізована школа І-ІІІ ступенів № 10 з поглибленим вивченням англійської мови Кременчуцької міської ради Полтавської області</t>
  </si>
  <si>
    <t>вул. Лейтенанта Покладова, 8</t>
  </si>
  <si>
    <t>(05366)34130</t>
  </si>
  <si>
    <t>http://sch-10.at.ua/</t>
  </si>
  <si>
    <t>24827833</t>
  </si>
  <si>
    <t>Кременчуцька спеціалізована школа-інтернат І-ІІІ ступенів № 21 з поглибленим вивченням окремих предметів Кременчуцької міської ради Полтавської області</t>
  </si>
  <si>
    <t>вул. Чкалова, 217</t>
  </si>
  <si>
    <t>(0536)704140</t>
  </si>
  <si>
    <t>24830539</t>
  </si>
  <si>
    <t>Кременчуцький ліцей з посиленою військово-фізичною підготовкою Полтавської обласної ради</t>
  </si>
  <si>
    <t>вул. Ватутіна, 54/20</t>
  </si>
  <si>
    <t>(0536)77-35-38, (0536)77-34-14</t>
  </si>
  <si>
    <t>25867728</t>
  </si>
  <si>
    <t>Кременчуцький навчально-виховний комплекс "Загальноосвітня школа І-ІІ ступенів-ліцей" № 30 імені Н.М. Шевченко Кременчуцької міської ради Полтавської області</t>
  </si>
  <si>
    <t>пров. О. Кошового, 3</t>
  </si>
  <si>
    <t>(05366)53715</t>
  </si>
  <si>
    <t>http://lit30.at.ua</t>
  </si>
  <si>
    <t>24826816</t>
  </si>
  <si>
    <t>Кременчуцький міжшкільний навчально-виробничий комбінат № 2 Кременчуцької міської ради Полтавської області</t>
  </si>
  <si>
    <t>вул. Якова Петруся, 140</t>
  </si>
  <si>
    <t>(0536)750056</t>
  </si>
  <si>
    <t>http://kmnvk.org.ua</t>
  </si>
  <si>
    <t>24827856</t>
  </si>
  <si>
    <t>Полтавська обласна спеціалізована школа-інтернат ІІ-ІІІ ступенів з поглибленим вивченням окремих предметів та курсів при Кременчуцькому педагогічному коледжі імені А. С. Макаренка</t>
  </si>
  <si>
    <t>вул. Лізи Чайкіної, 33</t>
  </si>
  <si>
    <t>(05366)53301</t>
  </si>
  <si>
    <t>Кременчуцький навчально-виховний комплекс "Загальноосвітня школа І ступеня - різнопрофільна гімназія" № 6 Кременчуцької міської ради Полтавської області</t>
  </si>
  <si>
    <t>5310436500</t>
  </si>
  <si>
    <t>Кременчук, Крюківський район</t>
  </si>
  <si>
    <t>вул. Олександра Білаша, 32</t>
  </si>
  <si>
    <t>(05366)60154</t>
  </si>
  <si>
    <t>41280903</t>
  </si>
  <si>
    <t>Кременчуцька загальноосвітня школа І - ІІІ ступенів № 16 Кременчуцької міської ради Полтавської області</t>
  </si>
  <si>
    <t>вул. Велика набережна, 37</t>
  </si>
  <si>
    <t>(0536)758020, (0536)758024, (0536)758064</t>
  </si>
  <si>
    <t>http://school-16.klasna.com</t>
  </si>
  <si>
    <t>23554037</t>
  </si>
  <si>
    <t>Кременчуцька загальноосвітня школа І-ІІІ ступенів № 22 Кременчуцької міської ради Полтавської області</t>
  </si>
  <si>
    <t>(0536)701502</t>
  </si>
  <si>
    <t>23553977</t>
  </si>
  <si>
    <t>Кременчуцька загальноосвітня школа І-ІІІ ступенів № 3 Кременчуцької міської ради Полтавської області</t>
  </si>
  <si>
    <t>39618</t>
  </si>
  <si>
    <t>вул. Мічуріна, 28</t>
  </si>
  <si>
    <t>(0536)728580, (0536)728838</t>
  </si>
  <si>
    <t>22548922</t>
  </si>
  <si>
    <t>Кременчуцька спеціалізована школа - інтернат І-ІІІ ступенів імені А.С.Макаренка Полтавської обласної ради</t>
  </si>
  <si>
    <t>вул. 3-х Космонавтів, 2</t>
  </si>
  <si>
    <t>(05366)60043</t>
  </si>
  <si>
    <t>http://www.intmakarenko.ucoz.ua</t>
  </si>
  <si>
    <t>22531241</t>
  </si>
  <si>
    <t>Кременчуцька спеціалізована школа I-III ступенів № 7 з поглибленим вивченням фізичної культури та основ здоров'я Кременчуцької міської ради Полтавської області</t>
  </si>
  <si>
    <t>вул. Пiлотiв, 41Б</t>
  </si>
  <si>
    <t>(05366)62154, 60166</t>
  </si>
  <si>
    <t>23553919</t>
  </si>
  <si>
    <t>Кременчуцький навчально-виховний комплекс "Загальноосвітня школа I-II ступенів-ліцей" № 11 Кременчуцької міської ради Полтавської області</t>
  </si>
  <si>
    <t>вул. Першотравнева, 53</t>
  </si>
  <si>
    <t>(05366)2-30-48</t>
  </si>
  <si>
    <t>http://lyceum11.at.ua/</t>
  </si>
  <si>
    <t>23553931</t>
  </si>
  <si>
    <t>Лубенська загальноосвітня школа І - ІІІ ступенів № 10 Лубенської міської ради Полтавської області</t>
  </si>
  <si>
    <t>37500</t>
  </si>
  <si>
    <t>5310700000</t>
  </si>
  <si>
    <t>Лубни</t>
  </si>
  <si>
    <t>вул. генерала Ляскіна, 2</t>
  </si>
  <si>
    <t>(053615)2344</t>
  </si>
  <si>
    <t>http://zosh10.webnode.com.ua/</t>
  </si>
  <si>
    <t>25165765</t>
  </si>
  <si>
    <t>Лубенська загальноосвітня школа І-ІІІ ступенів № 4 Лубенської міської ради Полтавської області</t>
  </si>
  <si>
    <t>37503</t>
  </si>
  <si>
    <t>вул. Л.Толстого, 72</t>
  </si>
  <si>
    <t>(05361)62570</t>
  </si>
  <si>
    <t>25165966</t>
  </si>
  <si>
    <t>Лубенська загальноосвітня школа І-ІІІ ступенів № 8 Лубенської міської ради Полтавської області</t>
  </si>
  <si>
    <t>просп. Володимирський, 104/1</t>
  </si>
  <si>
    <t>(05361)77507</t>
  </si>
  <si>
    <t>25165877</t>
  </si>
  <si>
    <t>Лубенська загальноосвітня школа І-ІІІ ступенів № 1 Лубенської міської ради Полтавської області</t>
  </si>
  <si>
    <t>вул. Ярослава Мудрого, 25/1</t>
  </si>
  <si>
    <t>(053615)2675</t>
  </si>
  <si>
    <t>http://Lubnyzosh1.at.ua</t>
  </si>
  <si>
    <t>25165854</t>
  </si>
  <si>
    <t>Лубенська загальноосвітня школа І-ІІІ ступенів № 2 Лубенської міської ради Полтавської області</t>
  </si>
  <si>
    <t>просп. Володимирський, 62/1</t>
  </si>
  <si>
    <t>(05361)71774</t>
  </si>
  <si>
    <t>25165950</t>
  </si>
  <si>
    <t>Лубенська загальноосвітня школа І-ІІІ ступенів № 7 імені Героя України Віри Роїк Лубенської міської ради Полтавської області</t>
  </si>
  <si>
    <t>вул. Олександрівська, 40</t>
  </si>
  <si>
    <t>(05361)75529, (05361)75168</t>
  </si>
  <si>
    <t>25165860</t>
  </si>
  <si>
    <t>Лубенська загальноосвітня школа І-Ш ступенів № 3 Лубенської міської ради Полтавської області</t>
  </si>
  <si>
    <t>вул. Петра Слинька, 8/2</t>
  </si>
  <si>
    <t>6-18-52</t>
  </si>
  <si>
    <t>25165848</t>
  </si>
  <si>
    <t>Лубенська спеціалізована школа І-ІІІ ступенів № 6 Лубенської міської ради Полтавської області</t>
  </si>
  <si>
    <t>вул. Монастирська, 36</t>
  </si>
  <si>
    <t>(053615)2573</t>
  </si>
  <si>
    <t>24559947</t>
  </si>
  <si>
    <t>Лубенська спеціальна загальноосвітня школа інтернат Полтавської обласної ради</t>
  </si>
  <si>
    <t>вул. Лисенка, 8</t>
  </si>
  <si>
    <t>http://www.lub-spec-school.ucoz.ua</t>
  </si>
  <si>
    <t>22531560</t>
  </si>
  <si>
    <t>Лубенський навчально-виховний комплекс № 9 "Загальноосвітня школа 1 - 11 ступенів дошкільний навчальний заклад" Лубенської міської ради Полтавської області</t>
  </si>
  <si>
    <t>37504</t>
  </si>
  <si>
    <t>вул. Автомобільна, 4</t>
  </si>
  <si>
    <t>(053615)5624</t>
  </si>
  <si>
    <t>25165895</t>
  </si>
  <si>
    <t>Миргородська гімназія імені Т.Г.Шевченка Миргородської міської ради Полтавської області</t>
  </si>
  <si>
    <t>37600</t>
  </si>
  <si>
    <t>5310900000</t>
  </si>
  <si>
    <t>Миргород</t>
  </si>
  <si>
    <t>вул. Гоголя, 90</t>
  </si>
  <si>
    <t>(05355)52500</t>
  </si>
  <si>
    <t>http://mirgimnaziya.at.ua</t>
  </si>
  <si>
    <t>22548394</t>
  </si>
  <si>
    <t>Миргородська загальноосвітня школа I-III ступенів № 7 Миргородської міської ради Полтавської області</t>
  </si>
  <si>
    <t>37601</t>
  </si>
  <si>
    <t>вул. Багачанська, 51</t>
  </si>
  <si>
    <t>(05355)4-17-88</t>
  </si>
  <si>
    <t>http://mirgorod7.ucoz.ru</t>
  </si>
  <si>
    <t>23280522</t>
  </si>
  <si>
    <t>Миргородська загальноосвітня школа І-ІІІ ступенів № 9 імені Івана Андрійовича Зубковського Миргородської міської ради Полтавської області</t>
  </si>
  <si>
    <t>37604</t>
  </si>
  <si>
    <t>(05355)55040</t>
  </si>
  <si>
    <t>22548709</t>
  </si>
  <si>
    <t>Миргородська загальноосвітня школа І-ІІІступенів № 3 Миргородської міської ради Полтавської області</t>
  </si>
  <si>
    <t>(055)40038</t>
  </si>
  <si>
    <t>23280506</t>
  </si>
  <si>
    <t>Миргородська ЗОШ І-ІІІ ступенів № 1 імені Панаса Мирного</t>
  </si>
  <si>
    <t>37602</t>
  </si>
  <si>
    <t>вул. Гоголя, 173/2</t>
  </si>
  <si>
    <t>(05355)52456, (05355)52557</t>
  </si>
  <si>
    <t>http://school-1-mirg.at.ua</t>
  </si>
  <si>
    <t>23280485</t>
  </si>
  <si>
    <t>Миргородська спеціалізована школа І-ІІІ ступенів № 5 Миргородської міської ради Полтавської області</t>
  </si>
  <si>
    <t>вул. Івана Білика, 4</t>
  </si>
  <si>
    <t>(05355)52127, (05355)52583, (05355)53100</t>
  </si>
  <si>
    <t>22547070</t>
  </si>
  <si>
    <t>Миргородська спеціальна загальноосвітня школа-інтернат І-ІІІ ступенів Полтавської обласної ради</t>
  </si>
  <si>
    <t>вул. Старосвітська, 52/15</t>
  </si>
  <si>
    <t>(05355)5-23-51</t>
  </si>
  <si>
    <t>13929003</t>
  </si>
  <si>
    <t>Миргородський навчально-виховний комплес (дошкільний навчальний заклад - загальноосвітній навчальний заклад) "Гелікон" Миргородської міської ради Полтавської області</t>
  </si>
  <si>
    <t>вул. Кашинського, 9</t>
  </si>
  <si>
    <t>(05355)56204, (05355)53130</t>
  </si>
  <si>
    <t>24392447</t>
  </si>
  <si>
    <t>Великобагачанська загальноосвітня школа І-ІІІ ступенів Великобагачанської районної ради Полтавської області</t>
  </si>
  <si>
    <t>38300</t>
  </si>
  <si>
    <t>5320255100</t>
  </si>
  <si>
    <t>Велика Багачка</t>
  </si>
  <si>
    <t>(05345)91396, (05345)91191</t>
  </si>
  <si>
    <t>Байрацька загальноосвітня школа І-ІІ ступенів,Великобагачанської районної ради, Полтавської області</t>
  </si>
  <si>
    <t>38306</t>
  </si>
  <si>
    <t>5320255101</t>
  </si>
  <si>
    <t>Байрак</t>
  </si>
  <si>
    <t>(05345)9-62-40</t>
  </si>
  <si>
    <t>http://bayrak.at.ua</t>
  </si>
  <si>
    <t>Бутоводолинська загальноосвітня школа І ступеня Великобагачанської районної Ради Полтавської області</t>
  </si>
  <si>
    <t>5320255103</t>
  </si>
  <si>
    <t>Бутова Долина</t>
  </si>
  <si>
    <t>вул. Миру, 59</t>
  </si>
  <si>
    <t>9-18-62</t>
  </si>
  <si>
    <t>Довгалівська загальноосвітня школа І - ІІ ступенів</t>
  </si>
  <si>
    <t>38305</t>
  </si>
  <si>
    <t>5320255105</t>
  </si>
  <si>
    <t>вул. Шляхова, 7</t>
  </si>
  <si>
    <t>(05345)96540</t>
  </si>
  <si>
    <t>Гоголівська ЗОШ І-ІІІ ступенів Великобагачанської районної ради Полтавської області</t>
  </si>
  <si>
    <t>38310</t>
  </si>
  <si>
    <t>5320255400</t>
  </si>
  <si>
    <t>Гоголеве</t>
  </si>
  <si>
    <t>вул. С.Горєва, 12</t>
  </si>
  <si>
    <t>(05345)9-54-91</t>
  </si>
  <si>
    <t>Якимівська загальноосвітня школа І-ІІІ ступенів Великобагачанської районної ради Полтавської області</t>
  </si>
  <si>
    <t>38322</t>
  </si>
  <si>
    <t>5320280301</t>
  </si>
  <si>
    <t>Якимове</t>
  </si>
  <si>
    <t>(05345)9-36-40</t>
  </si>
  <si>
    <t>http://yazosch.ucoz.ua</t>
  </si>
  <si>
    <t>Балакліївський навчально-виховний комплекс "загальноосвітня школа І-ІІ ступенів-дошкільний навчальний заклад" Білоцерківської сільської ради Великобагачанського району Полтавської області</t>
  </si>
  <si>
    <t>38344</t>
  </si>
  <si>
    <t>5320280601</t>
  </si>
  <si>
    <t>Балаклія</t>
  </si>
  <si>
    <t>(05345)94140</t>
  </si>
  <si>
    <t>Багачанська Перша загальноосвітня школа І-ІІ ступенів Великобагачанської районної ради Полтавської області</t>
  </si>
  <si>
    <t>38330</t>
  </si>
  <si>
    <t>5320280901</t>
  </si>
  <si>
    <t>Багачка Перша</t>
  </si>
  <si>
    <t>96645</t>
  </si>
  <si>
    <t>Бірківський навчально-виховний комплекс "загальноосвітня школа І-ІІ ступенів - дошкільний навчальний заклад" Білоцерківської ОТГ Великобагачанського району Полтавської області</t>
  </si>
  <si>
    <t>38342</t>
  </si>
  <si>
    <t>5320281001</t>
  </si>
  <si>
    <t>http://www.birku2013.ucoz.net</t>
  </si>
  <si>
    <t>Білоцерківська загальноосвітня школа І-ІІІ ступенів</t>
  </si>
  <si>
    <t>38340</t>
  </si>
  <si>
    <t>5320281201</t>
  </si>
  <si>
    <t>(053-35)9-43929</t>
  </si>
  <si>
    <t>Красногорівська загальноосвітня школа І-ІІІ ступенів Білоцерківської сільської ради Полтавської області</t>
  </si>
  <si>
    <t>38341</t>
  </si>
  <si>
    <t>5320281209</t>
  </si>
  <si>
    <t>вул. Гоголя, 39</t>
  </si>
  <si>
    <t>993740</t>
  </si>
  <si>
    <t>http://www.kraschol.ucoz.ua</t>
  </si>
  <si>
    <t>Корнієнківська загальноосвітня школа І ступеня</t>
  </si>
  <si>
    <t>38350</t>
  </si>
  <si>
    <t>5320281801</t>
  </si>
  <si>
    <t>Корнієнки</t>
  </si>
  <si>
    <t>Мостовівщинська ЗОШ І-ІІ ступенів Великобагачанської районної ради Полтавської області</t>
  </si>
  <si>
    <t>38351</t>
  </si>
  <si>
    <t>5320281803</t>
  </si>
  <si>
    <t>Мостовівщина</t>
  </si>
  <si>
    <t>Попівська загальноосвітня школа І-ІІ ступенів Великобагачанської районної ради Полтавської ОДА</t>
  </si>
  <si>
    <t>38352</t>
  </si>
  <si>
    <t>5320281804</t>
  </si>
  <si>
    <t>Попове</t>
  </si>
  <si>
    <t>(05345)96134</t>
  </si>
  <si>
    <t>Відділ освіти, молоді та спорту Великобагачанської районної державної адміністрації Кротівщинська загальноосвітня школа І-ІІІ ступенів</t>
  </si>
  <si>
    <t>38321</t>
  </si>
  <si>
    <t>5320282201</t>
  </si>
  <si>
    <t>Кротівщина</t>
  </si>
  <si>
    <t>(05345)9-32-59</t>
  </si>
  <si>
    <t>Михайлівська загальноосвітня школа І ступеня Великобагачанської районної ради Полтавської області</t>
  </si>
  <si>
    <t>38312</t>
  </si>
  <si>
    <t>5320282601</t>
  </si>
  <si>
    <t>Матяшівська загальноосвітня школа І-ІІ ступенів Великобагачанської районної ради Полтавської області</t>
  </si>
  <si>
    <t>38314</t>
  </si>
  <si>
    <t>5320282901</t>
  </si>
  <si>
    <t>Матяшівка</t>
  </si>
  <si>
    <t>9-35-40</t>
  </si>
  <si>
    <t>Остап'євська загальноосвітня школа І-ІІІ ступенів Великобагачанської районної ради Полтавської області</t>
  </si>
  <si>
    <t>38354</t>
  </si>
  <si>
    <t>5320283601</t>
  </si>
  <si>
    <t>Остап'є</t>
  </si>
  <si>
    <t>(05345)93326</t>
  </si>
  <si>
    <t>http://ostap-scool.at.ua</t>
  </si>
  <si>
    <t>Подільська загальноосвітня школа І-ІІ ступенів</t>
  </si>
  <si>
    <t>38343</t>
  </si>
  <si>
    <t>5320284001</t>
  </si>
  <si>
    <t>Поділ</t>
  </si>
  <si>
    <t>вул. Дружби, 38</t>
  </si>
  <si>
    <t>Радивонівська загальноосвітня школа І - ІІІ ступенів Великобагачанської районної ради Полтавської області</t>
  </si>
  <si>
    <t>38333</t>
  </si>
  <si>
    <t>5320284301</t>
  </si>
  <si>
    <t>(05345)96452</t>
  </si>
  <si>
    <t>Рокитянська загальноосвітня школа І-ІІІ ступенів Великобагачанської районної ради Полтавської області</t>
  </si>
  <si>
    <t>38353</t>
  </si>
  <si>
    <t>5320284701</t>
  </si>
  <si>
    <t>вул. Зелена, 18</t>
  </si>
  <si>
    <t>(0532)96331</t>
  </si>
  <si>
    <t>Степанівська загальноосвітня школа І-ІІ ступенів Великобагачанської районної ради Полтавської області</t>
  </si>
  <si>
    <t>38332</t>
  </si>
  <si>
    <t>5320285001</t>
  </si>
  <si>
    <t>(05345)9-66-40</t>
  </si>
  <si>
    <t>Устивицька загальноосвітня школа І-ІІІ ступенів Великобагачанської районної ради Полтавської області</t>
  </si>
  <si>
    <t>38315</t>
  </si>
  <si>
    <t>5320285301</t>
  </si>
  <si>
    <t>Устивиця</t>
  </si>
  <si>
    <t>(05345)97161</t>
  </si>
  <si>
    <t>http://ustiv-school.at.ua</t>
  </si>
  <si>
    <t>Широкодолинська загальньоосвітня школа І ступеня</t>
  </si>
  <si>
    <t>38320</t>
  </si>
  <si>
    <t>5320285701</t>
  </si>
  <si>
    <t>Широка Долина</t>
  </si>
  <si>
    <t>(05345)91553</t>
  </si>
  <si>
    <t>Біленченківська загальноосвітня школа І-ІІ ступенів Гадяцької районної ради Полтавської області</t>
  </si>
  <si>
    <t>37306</t>
  </si>
  <si>
    <t>5320480401</t>
  </si>
  <si>
    <t>Біленченківка</t>
  </si>
  <si>
    <t>пл. 40-річчя Перемоги, 3</t>
  </si>
  <si>
    <t>Оснягівська загальноосвітня школа І ступеня Гадяцької районної ради Полтавської області</t>
  </si>
  <si>
    <t>37316</t>
  </si>
  <si>
    <t>5320480405</t>
  </si>
  <si>
    <t>Осняги</t>
  </si>
  <si>
    <t>вул. Комарова, 42</t>
  </si>
  <si>
    <t>(095)7761925</t>
  </si>
  <si>
    <t>Березоволуцька загальноосвітня І-ІІІ ступенів Гадяцької районної ради Полтавської області</t>
  </si>
  <si>
    <t>37342</t>
  </si>
  <si>
    <t>5320480701</t>
  </si>
  <si>
    <t>Березова Лука</t>
  </si>
  <si>
    <t>вул. Гагаріна, 4</t>
  </si>
  <si>
    <t>0535453340</t>
  </si>
  <si>
    <t>Бобрицька загальноосвітня школа І-ІІ ступенів Гадяцької районної ради</t>
  </si>
  <si>
    <t>37360</t>
  </si>
  <si>
    <t>5320481101</t>
  </si>
  <si>
    <t>вул. Лісова, 3</t>
  </si>
  <si>
    <t>(05354)56540</t>
  </si>
  <si>
    <t>Великобудищанська спеціалізована школа І-ІІІ ступенів Гадяцької районної ради Полтавської області</t>
  </si>
  <si>
    <t>37320</t>
  </si>
  <si>
    <t>5320481401</t>
  </si>
  <si>
    <t>Великі Будища</t>
  </si>
  <si>
    <t>(05354)56140</t>
  </si>
  <si>
    <t>Вельбівська загальноосвітня школа І-ІІ ступенів Гадяцької районної ради Полтавської області</t>
  </si>
  <si>
    <t>37350</t>
  </si>
  <si>
    <t>5320481701</t>
  </si>
  <si>
    <t>Вельбівка</t>
  </si>
  <si>
    <t>(05354)57140</t>
  </si>
  <si>
    <t>Веприцька загальноосвітня школа І-ІІІ ступенів імені Героя Радянського Союзу Сергія Трохимовича Васюти Гадяцької районної ради Полтавської області</t>
  </si>
  <si>
    <t>37362</t>
  </si>
  <si>
    <t>5320482001</t>
  </si>
  <si>
    <t>вул. Вулиця Васюти, 57</t>
  </si>
  <si>
    <t>(053)5459340</t>
  </si>
  <si>
    <t>http://veprykschool01/wix.com/school</t>
  </si>
  <si>
    <t>Гречанівська загальноосвітня школа І-ІІ ступенів Гадяцької районної ради Полтавської області</t>
  </si>
  <si>
    <t>37305</t>
  </si>
  <si>
    <t>5320482401</t>
  </si>
  <si>
    <t>Гречанівка</t>
  </si>
  <si>
    <t>вул. Сумська, 31</t>
  </si>
  <si>
    <t>(05354)55443</t>
  </si>
  <si>
    <t>Качанівська загальноосвітня школа І-ІІ ступенів Сергіївської сільської ради Полтавської області</t>
  </si>
  <si>
    <t>37331</t>
  </si>
  <si>
    <t>5320482601</t>
  </si>
  <si>
    <t>Качанове</t>
  </si>
  <si>
    <t>(05354)54319</t>
  </si>
  <si>
    <t>http://kachanovka.hmarka.net/</t>
  </si>
  <si>
    <t>Книшівська загальноосвітня школа І-ІІІ ступенів Гадяцької районної ради Полтавської області</t>
  </si>
  <si>
    <t>37322</t>
  </si>
  <si>
    <t>5320483001</t>
  </si>
  <si>
    <t>Книшівка</t>
  </si>
  <si>
    <t>(05354)55159</t>
  </si>
  <si>
    <t>http://www.knishovkazosh.ucoz.ua</t>
  </si>
  <si>
    <t>Сергіївська загальоосвітня школа І-ІІІ ступенів Сергіївської сільської ради</t>
  </si>
  <si>
    <t>37332</t>
  </si>
  <si>
    <t>5320483401</t>
  </si>
  <si>
    <t>(05354)54140</t>
  </si>
  <si>
    <t>http://kr-25.at.ua</t>
  </si>
  <si>
    <t>Краснолуцька загальноосвітня школа І-ІІ ступенів ім.Героя Радянського Союзу В. В. Овсяннікова Гадяцької районної ради Полтавської області</t>
  </si>
  <si>
    <t>37315</t>
  </si>
  <si>
    <t>5320483601</t>
  </si>
  <si>
    <t>Красна Лука</t>
  </si>
  <si>
    <t>(05354)57-3-40</t>
  </si>
  <si>
    <t>http://krlucjkashkola.ucoz.net</t>
  </si>
  <si>
    <t>Хитцівська загальноосвітня школа І-ІІ ступенів Гадяцької районної ради Полтавської області</t>
  </si>
  <si>
    <t>5320483603</t>
  </si>
  <si>
    <t>Хитці</t>
  </si>
  <si>
    <t>(05354)21570</t>
  </si>
  <si>
    <t>http://khutsivska3.ucoz.ru</t>
  </si>
  <si>
    <t>Лисівська загальноосвітня школа І - ІІ ступенів Гадяцької районної ради Полтавської області</t>
  </si>
  <si>
    <t>37344</t>
  </si>
  <si>
    <t>5320484101</t>
  </si>
  <si>
    <t>(05354)52-1-05</t>
  </si>
  <si>
    <t>http://lysivska-shkola.ucoz.ua</t>
  </si>
  <si>
    <t>Лютенська загальноосвітня школа І-ІІІ ступенів імені Героя Радянського Союзу М.Л.Величая Гадяцької районної ради Полтавської області</t>
  </si>
  <si>
    <t>37353</t>
  </si>
  <si>
    <t>5320484401</t>
  </si>
  <si>
    <t>Лютенька</t>
  </si>
  <si>
    <t>вул. Дружби, 61</t>
  </si>
  <si>
    <t>53-6-34</t>
  </si>
  <si>
    <t>Пирятинщинський навчально-виховний комплекс</t>
  </si>
  <si>
    <t>37311</t>
  </si>
  <si>
    <t>5320484603</t>
  </si>
  <si>
    <t>Пирятинщина</t>
  </si>
  <si>
    <t>пров. Шкільний, 2, 6</t>
  </si>
  <si>
    <t>(05354)54213</t>
  </si>
  <si>
    <t>Мартинівська загальноосвітня школа І-ІІІ ступенів Гадяцької районної ради Полтавської області</t>
  </si>
  <si>
    <t>5320484701</t>
  </si>
  <si>
    <t>(05354)56240</t>
  </si>
  <si>
    <t>http://martynovka.ukoz.ru</t>
  </si>
  <si>
    <t>Петрівсько-Роменська загальноосвітня школа І-ІІІ ступенів ім. Героя Радянського Союзу М.Є. Пігіди Гадяцької Районної Ради Полтавської області</t>
  </si>
  <si>
    <t>37333</t>
  </si>
  <si>
    <t>5320485201</t>
  </si>
  <si>
    <t>Петрівка-Роменська</t>
  </si>
  <si>
    <t>вул. Покровська, 17</t>
  </si>
  <si>
    <t>(05354)58540</t>
  </si>
  <si>
    <t>http://petrivka.in.ua/</t>
  </si>
  <si>
    <t>Плішивецька загальноосвітня школа І-ІІ ступенів Гадяцької районної ради Полтавської області</t>
  </si>
  <si>
    <t>37323</t>
  </si>
  <si>
    <t>5320485301</t>
  </si>
  <si>
    <t>Плішивець</t>
  </si>
  <si>
    <t>вул. Соборна, 33</t>
  </si>
  <si>
    <t>(54)4-40</t>
  </si>
  <si>
    <t>Рашівська загальноосвітня школа І-ІІІ ступенів Гадяцької районної ради Полтавської області</t>
  </si>
  <si>
    <t>37343</t>
  </si>
  <si>
    <t>5320485501</t>
  </si>
  <si>
    <t>Рашівка</t>
  </si>
  <si>
    <t>вул. Миру, 63</t>
  </si>
  <si>
    <t>http://rashivkazosh.ucoz.ua</t>
  </si>
  <si>
    <t>Розбишівська ЗОШ І-ІІІ ступенів Сергіївської сільської ради Полтавської області</t>
  </si>
  <si>
    <t>37330</t>
  </si>
  <si>
    <t>5320485901</t>
  </si>
  <si>
    <t>Розбишівка</t>
  </si>
  <si>
    <t>(05354)55315</t>
  </si>
  <si>
    <t>http://www.schkola.ucoz.com</t>
  </si>
  <si>
    <t>Розбишівська спеціальна загальноосвітня школа-інтернат Полтавської обласної ради</t>
  </si>
  <si>
    <t>вул. Першотравнева 44, 44</t>
  </si>
  <si>
    <t>(05354)55-3-58</t>
  </si>
  <si>
    <t>04590665</t>
  </si>
  <si>
    <t>Ручківська загальноосвітня школа І-ІІ ступенів Гадяцької районної ради Полтавської області</t>
  </si>
  <si>
    <t>37336</t>
  </si>
  <si>
    <t>5320486201</t>
  </si>
  <si>
    <t>Ручки</t>
  </si>
  <si>
    <t>вул. Чайки, 6</t>
  </si>
  <si>
    <t>(05354)53512</t>
  </si>
  <si>
    <t>Римарівська загальноосвітня школа І-ІІІ ступенів Гадяцької районної ради Полтавської області</t>
  </si>
  <si>
    <t>37314</t>
  </si>
  <si>
    <t>5320486501</t>
  </si>
  <si>
    <t>вул. Соборна, 63</t>
  </si>
  <si>
    <t>(5354)55-5-99</t>
  </si>
  <si>
    <t>http://schoolrymarovka.ucoz.ru</t>
  </si>
  <si>
    <t>Сарська спеціалізована школа І-ІІІ ступенів Гадяцької районної ради Полтавської області</t>
  </si>
  <si>
    <t>37340</t>
  </si>
  <si>
    <t>5320486901</t>
  </si>
  <si>
    <t>Сари</t>
  </si>
  <si>
    <t>(05354)5-95-46, (05354)5-96-34, (05354)5-95-66</t>
  </si>
  <si>
    <t>http://www.saryschool.at.ua</t>
  </si>
  <si>
    <t>Сватківська загальноосвітня школа І-ІІІ ступенів Гадяцької районної ради Полтавської області</t>
  </si>
  <si>
    <t>37312</t>
  </si>
  <si>
    <t>5320487201</t>
  </si>
  <si>
    <t>Сватки</t>
  </si>
  <si>
    <t>(05354)55-6-40</t>
  </si>
  <si>
    <t>http://svatky-shkola.ucoz.ua</t>
  </si>
  <si>
    <t>Середняківська загальноосвітня школа І-ІІ ступенів Гадяцької районної ради Полтавської області</t>
  </si>
  <si>
    <t>37334</t>
  </si>
  <si>
    <t>5320487501</t>
  </si>
  <si>
    <t>Середняки</t>
  </si>
  <si>
    <t>вул. Шляхова, 50</t>
  </si>
  <si>
    <t>(05354)57-2-40</t>
  </si>
  <si>
    <t>Соснівська загальноосвітня школа І-ІІ ступенів Гадяцької районної ради Полтавської області</t>
  </si>
  <si>
    <t>37352</t>
  </si>
  <si>
    <t>5320487801</t>
  </si>
  <si>
    <t>(05354)57-7-40</t>
  </si>
  <si>
    <t>http://sosnivska-shkol.ucoz.com</t>
  </si>
  <si>
    <t>Ціпківська загальноосвітня школа І-ІІ ступенів Гадяцької районної ради Полтавської області</t>
  </si>
  <si>
    <t>37321</t>
  </si>
  <si>
    <t>5320488501</t>
  </si>
  <si>
    <t>Ціпки</t>
  </si>
  <si>
    <t>вул. Ватутіна, 6</t>
  </si>
  <si>
    <t>(05354)57440</t>
  </si>
  <si>
    <t>http://cipkischool.ucoz.ua</t>
  </si>
  <si>
    <t>Глобинська гімназія № 1 ім. В.Є.Курченка Глобинської міської ради Полтавської області</t>
  </si>
  <si>
    <t>39000</t>
  </si>
  <si>
    <t>5320610100</t>
  </si>
  <si>
    <t>Глобине</t>
  </si>
  <si>
    <t>вул. Центральна, 240</t>
  </si>
  <si>
    <t>(05365)24284</t>
  </si>
  <si>
    <t>Глобинська загальноосвітня школа І -ІІ ступенів № 3</t>
  </si>
  <si>
    <t>39003</t>
  </si>
  <si>
    <t>вул. Гагаріна, 24/2</t>
  </si>
  <si>
    <t>(05365)24-1-41</t>
  </si>
  <si>
    <t>Глобинська загальноосвітня школа І-ІІ ступенів № 4</t>
  </si>
  <si>
    <t>Глобинська загальноосвітня школа І-ІІІ ступенів № 5 Глобинської міської ради Полтавської області</t>
  </si>
  <si>
    <t>39001</t>
  </si>
  <si>
    <t>вул. Героїв Краснодону, 2А</t>
  </si>
  <si>
    <t>(05365)26165</t>
  </si>
  <si>
    <t>Шепелівська загальноосвітня школа І-ІІ ступенів</t>
  </si>
  <si>
    <t>39007</t>
  </si>
  <si>
    <t>5320610108</t>
  </si>
  <si>
    <t>Шепелівка</t>
  </si>
  <si>
    <t>0669841844</t>
  </si>
  <si>
    <t>Градизька гімназія імені Героя України Олександра Білаша Глобинської районної ради Полтавської області</t>
  </si>
  <si>
    <t>39071</t>
  </si>
  <si>
    <t>5320655400</t>
  </si>
  <si>
    <t>Градизьк</t>
  </si>
  <si>
    <t>вул. Героїв Дніпра, 91/1</t>
  </si>
  <si>
    <t>(05365)34234</t>
  </si>
  <si>
    <t>Градизька загальноосвітня школа І-ІІ ступенів № 2</t>
  </si>
  <si>
    <t>39070</t>
  </si>
  <si>
    <t>(05365)34140</t>
  </si>
  <si>
    <t>Градизька загальноосвітня школа І-ІІІ ступенів № 1 Глобинської районної ради Полтавської області</t>
  </si>
  <si>
    <t>вул. Борисівська, 112</t>
  </si>
  <si>
    <t>(05365)34-2-36</t>
  </si>
  <si>
    <t>Градизька спеціальна загальноосвітня школа-інтернат Глобинського району Полтавської обласної ради</t>
  </si>
  <si>
    <t>вул. Гвардійська, 81/81</t>
  </si>
  <si>
    <t>(05365)34-2-76, (05365)34-1-86, (05365)34-1-50</t>
  </si>
  <si>
    <t>22533796</t>
  </si>
  <si>
    <t>Бабичівський навчально-виховний комплекс "Загальноосвітня школа І-ІІІ ступенів -дошкільний навчальний заклад" Глобинської міської ради Полтавської області</t>
  </si>
  <si>
    <t>39073</t>
  </si>
  <si>
    <t>5320680401</t>
  </si>
  <si>
    <t>Бабичівка</t>
  </si>
  <si>
    <t>31-6-12</t>
  </si>
  <si>
    <t>Броварківська загальноосвітня школа І-ІІІ ступенів Глобинської районної ради Полтавської області</t>
  </si>
  <si>
    <t>39026</t>
  </si>
  <si>
    <t>5320680701</t>
  </si>
  <si>
    <t>Броварки</t>
  </si>
  <si>
    <t>39256</t>
  </si>
  <si>
    <t>Бугаївська загальноосвітня школа І-ІІІ ступенів Глобинської районної ради Полтавської області</t>
  </si>
  <si>
    <t>39023</t>
  </si>
  <si>
    <t>5320681001</t>
  </si>
  <si>
    <t>Бугаївка</t>
  </si>
  <si>
    <t>Горбівський навчально-виховний комплекс (загальноосвітня школа І-ІІ ступенів - дошкільний навчальний заклад) Глобинської районної ради Полтавської області</t>
  </si>
  <si>
    <t>39024</t>
  </si>
  <si>
    <t>5320681401</t>
  </si>
  <si>
    <t>Горби</t>
  </si>
  <si>
    <t>(05365)33140</t>
  </si>
  <si>
    <t>Гриньківська загальноосвітня школа І-ІІІ ступенів Глобинської районної ради Полтавської області</t>
  </si>
  <si>
    <t>39022</t>
  </si>
  <si>
    <t>5320681701</t>
  </si>
  <si>
    <t>вул. Миколи Лисенка, 49Б</t>
  </si>
  <si>
    <t>0536531340</t>
  </si>
  <si>
    <t>http://grinky-school.ucoz.ua</t>
  </si>
  <si>
    <t>Жуківська філія "загальноосвітня школа І-ІІ ступенів" Глобинської загальноосвітньої школи І-ІІІ ступенів № 5 Глобинської міської ради Полтавської області</t>
  </si>
  <si>
    <t>39025</t>
  </si>
  <si>
    <t>5320682201</t>
  </si>
  <si>
    <t>Жуки</t>
  </si>
  <si>
    <t>(05365)31440</t>
  </si>
  <si>
    <t>Заможненський навчально-виховний комплекс "загальноосвітня школа І-ІІ ступенів -дошкільний навчальний заклад" Глобинської районної ради Полтавської області</t>
  </si>
  <si>
    <t>5320682501</t>
  </si>
  <si>
    <t>Заможне</t>
  </si>
  <si>
    <t>ал. Броварська, 1</t>
  </si>
  <si>
    <t>0966444596</t>
  </si>
  <si>
    <t>Землянківська загальноосвітня школа I-III ступенів імені народної артистки України Р.П.Кириченко</t>
  </si>
  <si>
    <t>39013</t>
  </si>
  <si>
    <t>5320682801</t>
  </si>
  <si>
    <t>Землянки</t>
  </si>
  <si>
    <t>вул. Р.Кириченко, 41</t>
  </si>
  <si>
    <t>Радалівський навчально-виховний комплекс "загальноосвітня школа І - ІІІ ступенів - дошкільний навчальний заклад" Глобинської районної ради Полтавської області</t>
  </si>
  <si>
    <t>39014</t>
  </si>
  <si>
    <t>5320682804</t>
  </si>
  <si>
    <t>Радалівка</t>
  </si>
  <si>
    <t>вул. Небесної сотні, 6</t>
  </si>
  <si>
    <t>0675250775</t>
  </si>
  <si>
    <t>Зубанівська загальноосвітня школа І-ІІІ ступенів Глобинської районної ради Полтавської області</t>
  </si>
  <si>
    <t>39010</t>
  </si>
  <si>
    <t>5320683201</t>
  </si>
  <si>
    <t>Зубані</t>
  </si>
  <si>
    <t>(05365)39740</t>
  </si>
  <si>
    <t>Івановоселищенська школа І-ІІІ ступенів Глобинської районної ради Полтавської області</t>
  </si>
  <si>
    <t>38010</t>
  </si>
  <si>
    <t>5320683601</t>
  </si>
  <si>
    <t>Іванове Селище</t>
  </si>
  <si>
    <t>(05365)38140</t>
  </si>
  <si>
    <t>Великокринківська загально-освітня школа І-ІІ ступенів Глобинської районної ради Полтавської області</t>
  </si>
  <si>
    <t>39032</t>
  </si>
  <si>
    <t>5320684601</t>
  </si>
  <si>
    <t>Великі Кринки</t>
  </si>
  <si>
    <t>вул. Раїси Кириченко, 1</t>
  </si>
  <si>
    <t>(05365)35152</t>
  </si>
  <si>
    <t>Великокринківська загальноосвітня школа І-ІІІ ступенів Глобинської районної ради Полтавської області</t>
  </si>
  <si>
    <t>вул. Незалежності, 139/2</t>
  </si>
  <si>
    <t>(05365)35352</t>
  </si>
  <si>
    <t>Веселодолинська загальноосвітня школа І-ІІ ступенів Глобинської районної ради, Полтавської області</t>
  </si>
  <si>
    <t>39033</t>
  </si>
  <si>
    <t>5320684602</t>
  </si>
  <si>
    <t>(05365)38722</t>
  </si>
  <si>
    <t>Куп'єватівська загальноосвітня школа І-ІІ ступенів Глобинської районної ради Полтавської області</t>
  </si>
  <si>
    <t>39034</t>
  </si>
  <si>
    <t>5320684901</t>
  </si>
  <si>
    <t>Куп'євате</t>
  </si>
  <si>
    <t>(05365)38347</t>
  </si>
  <si>
    <t>Манжеліївська загальноосвітня школа І - ІІІ ступенів імені Героя Радянського Союзу О.О.Чайки Глобинської райради Полтавської області</t>
  </si>
  <si>
    <t>39062</t>
  </si>
  <si>
    <t>5320685401</t>
  </si>
  <si>
    <t>Манжелія</t>
  </si>
  <si>
    <t>вул. Заярівська, 10</t>
  </si>
  <si>
    <t>(05365)36-3-40</t>
  </si>
  <si>
    <t>Обознівський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</si>
  <si>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39052</t>
  </si>
  <si>
    <t>5320685801</t>
  </si>
  <si>
    <t>Обознівка</t>
  </si>
  <si>
    <t>(05365)33740</t>
  </si>
  <si>
    <t>Опришківська загальноосвітня школа І-ІІІ ступенів Глобинської міської ради Полтавської області</t>
  </si>
  <si>
    <t>39044</t>
  </si>
  <si>
    <t>5320686001</t>
  </si>
  <si>
    <t>Опришки</t>
  </si>
  <si>
    <t>(05365)32540</t>
  </si>
  <si>
    <t>Петрівський НВК ( загальноосвітня школа - дошкільний навчальний заклад) Глобинської районної ради</t>
  </si>
  <si>
    <t>39030</t>
  </si>
  <si>
    <t>5320686101</t>
  </si>
  <si>
    <t>(053265)38440</t>
  </si>
  <si>
    <t>Пирогівська загальноосвітня школа І-ІІІ ступенів Глобинської міської ради Полтавської області</t>
  </si>
  <si>
    <t>39045</t>
  </si>
  <si>
    <t>5320686401</t>
  </si>
  <si>
    <t>Пироги</t>
  </si>
  <si>
    <t>вул. Чумацький шлях, 83А</t>
  </si>
  <si>
    <t>(05365)32240</t>
  </si>
  <si>
    <t>Погребівська загальноосвітня школа І - ІІІ ступенів. Глобинської районної ради Полтавської області</t>
  </si>
  <si>
    <t>39075</t>
  </si>
  <si>
    <t>5320686801</t>
  </si>
  <si>
    <t>вул. Поштова, 5</t>
  </si>
  <si>
    <t>32654</t>
  </si>
  <si>
    <t>Пронозівська ЗОШ І-ІІІ ст. Глобинської районної ради Полтавської обл.</t>
  </si>
  <si>
    <t>39040</t>
  </si>
  <si>
    <t>5320687201</t>
  </si>
  <si>
    <t>Пронозівка</t>
  </si>
  <si>
    <t>(05365)39040</t>
  </si>
  <si>
    <t>Кагамлицька загальноосвітня школа І-ІІ ступенів Глобинської районної ради Полтавської області</t>
  </si>
  <si>
    <t>39043</t>
  </si>
  <si>
    <t>5320687203</t>
  </si>
  <si>
    <t>Кагамлик</t>
  </si>
  <si>
    <t>вул. Шевченка, 53А</t>
  </si>
  <si>
    <t>0975120280</t>
  </si>
  <si>
    <t>Пузиківський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</si>
  <si>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39051</t>
  </si>
  <si>
    <t>5320687501</t>
  </si>
  <si>
    <t>Пузикове</t>
  </si>
  <si>
    <t>вул. Центральна, 4Б</t>
  </si>
  <si>
    <t>(05365)31518</t>
  </si>
  <si>
    <t>http://puzikivska.at.ua</t>
  </si>
  <si>
    <t>Пустовійтівська загальноосвітня школа І-ІІІ ступенів</t>
  </si>
  <si>
    <t>39050</t>
  </si>
  <si>
    <t>5320687601</t>
  </si>
  <si>
    <t>Пустовійтове</t>
  </si>
  <si>
    <t>(05365)31011</t>
  </si>
  <si>
    <t>Святилівська загальноовітня школа І-ІІІ Глобинської районної ради Полтавської області</t>
  </si>
  <si>
    <t>39020</t>
  </si>
  <si>
    <t>5320688101</t>
  </si>
  <si>
    <t>Святилівка</t>
  </si>
  <si>
    <t>(05365)37740</t>
  </si>
  <si>
    <t>Федорівська загальноосвітня школа І-ІІІ ступенів Глобинської районної ради Полтавської області</t>
  </si>
  <si>
    <t>39031</t>
  </si>
  <si>
    <t>5320688901</t>
  </si>
  <si>
    <t>вул. Прокопа Морозенка, 25</t>
  </si>
  <si>
    <t>Троїцька загальноосвітня школа І-ІІ ступенів</t>
  </si>
  <si>
    <t>39060</t>
  </si>
  <si>
    <t>5320689401</t>
  </si>
  <si>
    <t>вул. Дружби, 36</t>
  </si>
  <si>
    <t>(05365)36526</t>
  </si>
  <si>
    <t>Гребінківська гімназія Гребінківської районної ради Полтавської області</t>
  </si>
  <si>
    <t>37400</t>
  </si>
  <si>
    <t>5320810100</t>
  </si>
  <si>
    <t>Гребінка</t>
  </si>
  <si>
    <t>вул. Магістральна, 118</t>
  </si>
  <si>
    <t>(05359)91253</t>
  </si>
  <si>
    <t>http://gg3.ucoz.ua/</t>
  </si>
  <si>
    <t>Гребінківська загальноосвітня школа І-ІІІ ступенів № 1 Гребінківської районної ради Полтавської області</t>
  </si>
  <si>
    <t>вул. Магістральна, 4</t>
  </si>
  <si>
    <t>(05359)91081</t>
  </si>
  <si>
    <t>http://grsch1.ucoz.ru</t>
  </si>
  <si>
    <t>Гребінківська загальноосвітня школа І-ІІІ ступенів № 2 Гребінківської районної ради Полтавської області</t>
  </si>
  <si>
    <t>вул. Городищенська, 1</t>
  </si>
  <si>
    <t>(05359)91001</t>
  </si>
  <si>
    <t>Гребінківська загальноосвітня школа І-ІІІ ступенів № 4 Гребінківської районної ради Полтавської області</t>
  </si>
  <si>
    <t>вул. Петровського, 120</t>
  </si>
  <si>
    <t>(05359)91559</t>
  </si>
  <si>
    <t>Олександрівська загальноосвітня школа І-ІІ ступенів Гребінківської районної ради Полтавської області</t>
  </si>
  <si>
    <t>5320880401</t>
  </si>
  <si>
    <t>вул. Свободи, 39</t>
  </si>
  <si>
    <t>(05350)94425</t>
  </si>
  <si>
    <t>Березівська загальноосвітня школа І-ІІ ступенів Гребінківської районної ради Полтавської області</t>
  </si>
  <si>
    <t>37441</t>
  </si>
  <si>
    <t>5320880802</t>
  </si>
  <si>
    <t>(05359)94344</t>
  </si>
  <si>
    <t>Короваївська загальноосвітня школа І-ІІІ ступенів Гребінківської районної ради Полтавської області</t>
  </si>
  <si>
    <t>37430</t>
  </si>
  <si>
    <t>5320881901</t>
  </si>
  <si>
    <t>Короваї</t>
  </si>
  <si>
    <t>вул. Перемоги, 61</t>
  </si>
  <si>
    <t>http://school-korovai.at.ua</t>
  </si>
  <si>
    <t>Кулажинська загальноосвітня школа І-ІІІ ступенів Гребінківської районної ради Полтавської області</t>
  </si>
  <si>
    <t>36408</t>
  </si>
  <si>
    <t>5320882101</t>
  </si>
  <si>
    <t>Кулажинці</t>
  </si>
  <si>
    <t>вул. Шкільна, 16Б</t>
  </si>
  <si>
    <t>(053)93235</t>
  </si>
  <si>
    <t>http://kulazhenci.at.ua/</t>
  </si>
  <si>
    <t>Майорщинська загальноосвітня школа І-ІІІ ступенів Гребінківської районної ради Полтавської області</t>
  </si>
  <si>
    <t>37420</t>
  </si>
  <si>
    <t>5320882501</t>
  </si>
  <si>
    <t>Майорщина</t>
  </si>
  <si>
    <t>вул. Козацька, 1В</t>
  </si>
  <si>
    <t>380535993530</t>
  </si>
  <si>
    <t>Майорщинська спеціальна загальноосвітня школа -інтернат Гребінківського району , Полтавської обласної ради.</t>
  </si>
  <si>
    <t>вул. Козацька, 59</t>
  </si>
  <si>
    <t>(05359)93516</t>
  </si>
  <si>
    <t>04590659</t>
  </si>
  <si>
    <t>Сліпорід-Іванівська загальноосвітня школа І-ІІ ст., Гребінківського р-ну, Полтавської обл.</t>
  </si>
  <si>
    <t>37421</t>
  </si>
  <si>
    <t>5320882502</t>
  </si>
  <si>
    <t>Сліпорід-Іванівка</t>
  </si>
  <si>
    <t>вул. Шевченка, 130 А</t>
  </si>
  <si>
    <t>(05359)96316</t>
  </si>
  <si>
    <t>Мар'янівська загальноосвітня школа І-ІІІ ступенів імені Євгена Павловича Гребінки Гребінківської районної ради Полтавської області</t>
  </si>
  <si>
    <t>37412</t>
  </si>
  <si>
    <t>5320882801</t>
  </si>
  <si>
    <t>ал. вулиця Миру, 34А</t>
  </si>
  <si>
    <t>(05359)93-4-57</t>
  </si>
  <si>
    <t>Овсюківська загальноосвітня школа І-ІІІ ступенів Гребінківської районної ради Полтавської області</t>
  </si>
  <si>
    <t>37460</t>
  </si>
  <si>
    <t>5320883701</t>
  </si>
  <si>
    <t>Овсюки</t>
  </si>
  <si>
    <t>(05359)93716</t>
  </si>
  <si>
    <t>Сербинівська загальноосвітня школа I-III ступенів Гребінківської районної ради Полтавської області</t>
  </si>
  <si>
    <t>37444</t>
  </si>
  <si>
    <t>5320884201</t>
  </si>
  <si>
    <t>Сербинівка</t>
  </si>
  <si>
    <t>(05359)96223</t>
  </si>
  <si>
    <t>Рудківська загальноосвітня школа І-ІІІ ступенів Гребінківської районної ради Полтавської області</t>
  </si>
  <si>
    <t>37461</t>
  </si>
  <si>
    <t>5320884601</t>
  </si>
  <si>
    <t>(05359)98610</t>
  </si>
  <si>
    <t>Слободо-Петрівська загальноосвітня школа І-ІІІ ступенів Гребінківської районної ради Полтавської області</t>
  </si>
  <si>
    <t>37432</t>
  </si>
  <si>
    <t>5320884901</t>
  </si>
  <si>
    <t>Слободо-Петрівка</t>
  </si>
  <si>
    <t>ал. Перемоги, 85А</t>
  </si>
  <si>
    <t>(05359)94194</t>
  </si>
  <si>
    <t>Тарасівська загальноосвітня школа І-ІІІ ступенів Гребінківської районної ради Полтавської області</t>
  </si>
  <si>
    <t>37422</t>
  </si>
  <si>
    <t>5320886001</t>
  </si>
  <si>
    <t>(05359)94230</t>
  </si>
  <si>
    <t>http://tarasivka.ucoz.ua</t>
  </si>
  <si>
    <t>Почаївська загальноосвітня школа І-ІІІ ступенів Гребінківської районної ради Полтавської області</t>
  </si>
  <si>
    <t>37423</t>
  </si>
  <si>
    <t>5320886601</t>
  </si>
  <si>
    <t>Почаївка</t>
  </si>
  <si>
    <t>вул. Лесі Українки, 42</t>
  </si>
  <si>
    <t>(5359)96410</t>
  </si>
  <si>
    <t>http://ulschool.at.ua</t>
  </si>
  <si>
    <t>ОПОРНИЙ ЗАКЛАД "ДИКАНСЬКИЙ НАВЧАЛЬНО-ВИХОВНИЙ КОМПЛЕКС ІМЕНІ М.В.ГОГОЛЯ "ЗАГАЛЬНООСВІТНЯ ШКОЛА І-ІІІ СТУПЕНІВ - ДОШКІЛЬНИЙ НАВЧАЛЬНИЙ ЗАКЛАД" ДИКАНСЬКОЇ РАЙОННОЇ РАДИ ПОЛТАВСЬКОЇ ОБЛАСТІ</t>
  </si>
  <si>
    <t>38500</t>
  </si>
  <si>
    <t>5321055100</t>
  </si>
  <si>
    <t>Диканька</t>
  </si>
  <si>
    <t>(05351)91259</t>
  </si>
  <si>
    <t>http://gimnaziyagogoly.at.ua/</t>
  </si>
  <si>
    <t>Диканська загальноосвітня школа І-ІІІ ступенів Диканської районної ради Полтавської області</t>
  </si>
  <si>
    <t>вул. Незалежності, 6В</t>
  </si>
  <si>
    <t>(05351)98558, (05351)92471</t>
  </si>
  <si>
    <t>http://dikgimnaziya2.ucoz.ua</t>
  </si>
  <si>
    <t>Байрацька загальноосвітня школа І-ІІ ступенів Диканської районноїради Полтавської області</t>
  </si>
  <si>
    <t>38543</t>
  </si>
  <si>
    <t>5321080801</t>
  </si>
  <si>
    <t>(05351)94244</t>
  </si>
  <si>
    <t>Балясненська загальноосвітня школа І - ІІІ ступенів Диканської районної ради Полтавської області</t>
  </si>
  <si>
    <t>38512</t>
  </si>
  <si>
    <t>5321081301</t>
  </si>
  <si>
    <t>Балясне</t>
  </si>
  <si>
    <t>(05351)92240</t>
  </si>
  <si>
    <t>http://balyasne.ucoz.ua</t>
  </si>
  <si>
    <t>Великобудищанська загальноосвітня школа І - ІІІ ступенів Диканської районної ради Полтавської області</t>
  </si>
  <si>
    <t>38521</t>
  </si>
  <si>
    <t>5321081701</t>
  </si>
  <si>
    <t>вул. Свято - Миколаївська, 5</t>
  </si>
  <si>
    <t>(05351)9-62-40</t>
  </si>
  <si>
    <t>http://velukibudicha.ucoz.ua/</t>
  </si>
  <si>
    <t>Великорудківська загальноосвітня школа І-ІІІ ступенів Диканської районної ради Полтавської області</t>
  </si>
  <si>
    <t>38540</t>
  </si>
  <si>
    <t>5321082001</t>
  </si>
  <si>
    <t>Велика Рудка</t>
  </si>
  <si>
    <t>(05351)95130</t>
  </si>
  <si>
    <t>http://vrudkaschool.ucoz.ua</t>
  </si>
  <si>
    <t>Водянобалківська загальноосвітня школа І-ІІІ ступенів Диканської районної ради Полтавської області</t>
  </si>
  <si>
    <t>38520</t>
  </si>
  <si>
    <t>5321082601</t>
  </si>
  <si>
    <t>Водяна Балка</t>
  </si>
  <si>
    <t>вул. Визволителів, 14</t>
  </si>
  <si>
    <t>(05351)94440, 0500432833</t>
  </si>
  <si>
    <t>http://dyk-v-balka-sc.ucoz.ua</t>
  </si>
  <si>
    <t>Орданівська загальноосвітня школа І-ІІІ ступенів Диканської районної ради Полтавської області</t>
  </si>
  <si>
    <t>38510</t>
  </si>
  <si>
    <t>5321084201</t>
  </si>
  <si>
    <t>Орданівка</t>
  </si>
  <si>
    <t>(05351)94748</t>
  </si>
  <si>
    <t>Стасівська загальноосвітня школа І-ІІІ ступенів імені М. Башкирцевої Диканської районної ради Полтавської області</t>
  </si>
  <si>
    <t>38541</t>
  </si>
  <si>
    <t>5321084901</t>
  </si>
  <si>
    <t>Стасі</t>
  </si>
  <si>
    <t>вул. Яковенка, 25</t>
  </si>
  <si>
    <t>(05351)93611</t>
  </si>
  <si>
    <t>http://stasischool.at.ua</t>
  </si>
  <si>
    <t>Михайлівська загальноосвітня школа - інтернат Диканського району Полтавської обласної ради</t>
  </si>
  <si>
    <t>5321084905</t>
  </si>
  <si>
    <t>вул. Жовтнева, 68</t>
  </si>
  <si>
    <t>(05351)97259</t>
  </si>
  <si>
    <t>22532528</t>
  </si>
  <si>
    <t>Дібрівська загальноосвітня школа І-ІІІ ступенів Диканської районної ради Полтавської області</t>
  </si>
  <si>
    <t>38530</t>
  </si>
  <si>
    <t>5321085801</t>
  </si>
  <si>
    <t>(051)95740</t>
  </si>
  <si>
    <t>Зіньківська загальноосвітня школа І-ІІ ступенів № 3 Зіньківської районної ради Полтавської області</t>
  </si>
  <si>
    <t>38100</t>
  </si>
  <si>
    <t>5321310100</t>
  </si>
  <si>
    <t>Зіньків</t>
  </si>
  <si>
    <t>вул. Г. Северина, 1</t>
  </si>
  <si>
    <t>(05353)31419</t>
  </si>
  <si>
    <t>Зіньківська спеціалізована школа І-ІІІ ступенів № 2 Зіньківської районної ради Полтавської області</t>
  </si>
  <si>
    <t>вул. Воздвиженська, 20</t>
  </si>
  <si>
    <t>опорний заклад "Зіньківська спеціалізована школа I-III ступенів № 1 Зіньківської районної ради Полтавської області"</t>
  </si>
  <si>
    <t>вул. Соборності, 62</t>
  </si>
  <si>
    <t>Державна спеціалізована художня школа-інтернат І-ІІІ ступенів "Колегіум мистецтв у Опішні" імені Василя Кричевського</t>
  </si>
  <si>
    <t>38164</t>
  </si>
  <si>
    <t>5321355400</t>
  </si>
  <si>
    <t>Опішня</t>
  </si>
  <si>
    <t>вул. Партизанська, 21</t>
  </si>
  <si>
    <t>(05353)4-20-01, 4-22-34</t>
  </si>
  <si>
    <t>26399293</t>
  </si>
  <si>
    <t>Опішнянська спеціалізована школа І-ІІІ ступенів Зіньківської районної ради Полтаської області</t>
  </si>
  <si>
    <t>(05353)42188</t>
  </si>
  <si>
    <t>Артелярщинська загальноосвітня школа І-ІІ ступенів Зіньківської районної ради Полтавської області</t>
  </si>
  <si>
    <t>38140</t>
  </si>
  <si>
    <t>5321380401</t>
  </si>
  <si>
    <t>Артелярщина</t>
  </si>
  <si>
    <t>(05353)99475</t>
  </si>
  <si>
    <t>https://sites.google.com/site/artelarsinskazos</t>
  </si>
  <si>
    <t>Бірківська загальноосвітня школа I - III ступенів імені І.А.Цюпи Зіньківської районної ради Полтавської області</t>
  </si>
  <si>
    <t>38131</t>
  </si>
  <si>
    <t>5321381001</t>
  </si>
  <si>
    <t>(05353)96900</t>
  </si>
  <si>
    <t>Великопавлівська спеціалізована школа І-ІІІ ступенів Зіньківської районної ради Полтавської області</t>
  </si>
  <si>
    <t>38112</t>
  </si>
  <si>
    <t>5321381401</t>
  </si>
  <si>
    <t>Велика Павлівка</t>
  </si>
  <si>
    <t>вул. Олега Кошового, 10</t>
  </si>
  <si>
    <t>(85353)9-30-28</t>
  </si>
  <si>
    <t>філія "Високівська загальноосвітня школа Іступеня " опорного закладу "Зіньківська спеціалована школа І-ІІІ ступенів № 1 Зіньківської районої ради Полтавської області"</t>
  </si>
  <si>
    <t>38111</t>
  </si>
  <si>
    <t>5321381501</t>
  </si>
  <si>
    <t>9-66-40</t>
  </si>
  <si>
    <t>Філія "Власівська загальноосвітня школа І-ІІ ступенів" опорного закладу"Зіньківська спеціалізована школа І-ІІІ ступенів № 1 Зіньківської районної ради Полтавської області"</t>
  </si>
  <si>
    <t>38105</t>
  </si>
  <si>
    <t>5321381601</t>
  </si>
  <si>
    <t>(05353)97440</t>
  </si>
  <si>
    <t>Дейкалівська загальноосвітня школа I-III ступенів Зіньківської районної ради Полтавської області</t>
  </si>
  <si>
    <t>38132</t>
  </si>
  <si>
    <t>5321381701</t>
  </si>
  <si>
    <t>Дейкалівка</t>
  </si>
  <si>
    <t>вул. Миру, 66</t>
  </si>
  <si>
    <t>(05353)93677</t>
  </si>
  <si>
    <t>http://deykalivkazosh.ucoz.ua/</t>
  </si>
  <si>
    <t>Кирило-Ганнівська загальноосвітня школа І-ІІІ ступенів</t>
  </si>
  <si>
    <t>38151</t>
  </si>
  <si>
    <t>5321382701</t>
  </si>
  <si>
    <t>Кирило-Ганнівка</t>
  </si>
  <si>
    <t>вул. 40-річчя перемоги, 1</t>
  </si>
  <si>
    <t>(05353)9-87-51</t>
  </si>
  <si>
    <t>https://sites.google.com/site/kirilogannivskazos/</t>
  </si>
  <si>
    <t>Лютенськобудищанська загальноосвітня школа І-ІІІ ступенів Зіньківської районної ради Полтавської області</t>
  </si>
  <si>
    <t>38130</t>
  </si>
  <si>
    <t>5321383201</t>
  </si>
  <si>
    <t>Лютенські Будища</t>
  </si>
  <si>
    <t>вул. Гагаріна, 53</t>
  </si>
  <si>
    <t>(05353)99540</t>
  </si>
  <si>
    <t>Малобудищанська загальноосвітня школа І-ІІІ ступенів Зіньківської районної ради Полтавської області</t>
  </si>
  <si>
    <t>38163</t>
  </si>
  <si>
    <t>5321383601</t>
  </si>
  <si>
    <t>Малі Будища</t>
  </si>
  <si>
    <t>вул. Молодіжна, 5 Б</t>
  </si>
  <si>
    <t>(05353)92540</t>
  </si>
  <si>
    <t>Новоселівський НВК "загальноосвітня школа І ступеня - дошкільний навчальний заклад" Зіньківської райдержадміністрації</t>
  </si>
  <si>
    <t>38141</t>
  </si>
  <si>
    <t>5321383801</t>
  </si>
  <si>
    <t>9-73-32</t>
  </si>
  <si>
    <t>Шенгаріївська загальноосвітня школа І-ІІ ступенів Зіньківської районної ради Полтавської області</t>
  </si>
  <si>
    <t>38121</t>
  </si>
  <si>
    <t>5321384007</t>
  </si>
  <si>
    <t>Шенгаріївка</t>
  </si>
  <si>
    <t>вул. Остапа Вишні, 76</t>
  </si>
  <si>
    <t>(05353)96214</t>
  </si>
  <si>
    <t>http://sites.google.com/site/sengariievskaskola/</t>
  </si>
  <si>
    <t>Покровська загальноосвітня школа І-ІІ ступенів</t>
  </si>
  <si>
    <t>38142</t>
  </si>
  <si>
    <t>5321384401</t>
  </si>
  <si>
    <t>Василе-Устимівська загальноосвітня школа І ступеня</t>
  </si>
  <si>
    <t>5321384402</t>
  </si>
  <si>
    <t>Василе-Устимівка</t>
  </si>
  <si>
    <t>вул. В.Пилипенка, 45</t>
  </si>
  <si>
    <t>Попівська загальноосвітня школа І ступеня Зіньківської районної ради Полтавської області</t>
  </si>
  <si>
    <t>38161</t>
  </si>
  <si>
    <t>5321384801</t>
  </si>
  <si>
    <t>(05353)42610</t>
  </si>
  <si>
    <t>Заїченська загальноосвітня школа І ступенів Зіньківської районної ради, Полтавської обл.</t>
  </si>
  <si>
    <t>38162</t>
  </si>
  <si>
    <t>5321384805</t>
  </si>
  <si>
    <t>Заїченці</t>
  </si>
  <si>
    <t>вул. 40-річчя Перемоги, 22</t>
  </si>
  <si>
    <t>(053)98236</t>
  </si>
  <si>
    <t>https://sites.google.com./site/zaiecenskazosiiistupeniv/</t>
  </si>
  <si>
    <t>Проценківська загальноосвітня школа І-ІІІ ступенів Зіньківської районної ради Полтавської області</t>
  </si>
  <si>
    <t>38122</t>
  </si>
  <si>
    <t>5321385001</t>
  </si>
  <si>
    <t>Проценки</t>
  </si>
  <si>
    <t>вул. Тараса Шевченка, 23</t>
  </si>
  <si>
    <t>(05353)93789</t>
  </si>
  <si>
    <t>http://sites.google.com/site/procenkivskaschool/</t>
  </si>
  <si>
    <t>Пишненківська загальноосвітня школа І-ІІІ ступенів Зіньківської районної ради Полтавської області</t>
  </si>
  <si>
    <t>38143</t>
  </si>
  <si>
    <t>5321385301</t>
  </si>
  <si>
    <t>Пишненки</t>
  </si>
  <si>
    <t>(05353)98428</t>
  </si>
  <si>
    <t>https://sites.google.com/site/pisnenkivskazos/</t>
  </si>
  <si>
    <t>Ставківський навчально-виховний комплекс "Загальноосвітня школа І-ІІІ ступенів - дошкільний навчальний заклад" Зіньківської районної ради Полтавської області</t>
  </si>
  <si>
    <t>38152</t>
  </si>
  <si>
    <t>5321386001</t>
  </si>
  <si>
    <t>(05353)98529</t>
  </si>
  <si>
    <t>https://sites.google.com/site/stavkivskazagaskola</t>
  </si>
  <si>
    <t>Тарасівська загальноосвітня школа І-ІІІ ступенів Зіньківської районної ради Полтавської області</t>
  </si>
  <si>
    <t>38113</t>
  </si>
  <si>
    <t>5321386401</t>
  </si>
  <si>
    <t>(05353)97640</t>
  </si>
  <si>
    <t>Бобрівницька загальноосвітня школа І-ІІ ступенів Зіньківської районної ради Полтавської області</t>
  </si>
  <si>
    <t>38115</t>
  </si>
  <si>
    <t>5321386402</t>
  </si>
  <si>
    <t>Бобрівник</t>
  </si>
  <si>
    <t>Пірківська загальноосвітня школа І-ІІ ступенів</t>
  </si>
  <si>
    <t>38114</t>
  </si>
  <si>
    <t>5321386403</t>
  </si>
  <si>
    <t>Пірки</t>
  </si>
  <si>
    <t>(05353)9-32-40</t>
  </si>
  <si>
    <t>Удовиченківська філія опорного закладу "Зіньківська спеціалізована шкоа І-ІІІ ступенів № 1"</t>
  </si>
  <si>
    <t>38110</t>
  </si>
  <si>
    <t>5321386901</t>
  </si>
  <si>
    <t>Удовиченки</t>
  </si>
  <si>
    <t>Човно-Федорівська загалньоосвітня школа І - ІІІ ступенів Зіньківської районної ради Полтавської області</t>
  </si>
  <si>
    <t>38150</t>
  </si>
  <si>
    <t>5321387201</t>
  </si>
  <si>
    <t>Човно-Федорівка</t>
  </si>
  <si>
    <t>(05353)98640</t>
  </si>
  <si>
    <t>Шилівська загальноосвітня школа І-ІІІ ступенів Зіньківської районної ради Полтавської області</t>
  </si>
  <si>
    <t>38124</t>
  </si>
  <si>
    <t>5321387801</t>
  </si>
  <si>
    <t>(05353)9-33-40</t>
  </si>
  <si>
    <t>http://shilovkaschool.at.ua</t>
  </si>
  <si>
    <t>Карлівська гімназія імені Ніни Герасименко Карлівської районої ради Полтавської області</t>
  </si>
  <si>
    <t>39500</t>
  </si>
  <si>
    <t>5321610100</t>
  </si>
  <si>
    <t>вул. Гімназична, 2</t>
  </si>
  <si>
    <t>(05346)23863</t>
  </si>
  <si>
    <t>http://karl-gymnasium.at.ua/</t>
  </si>
  <si>
    <t>Карлівська загальноосвітня школа І - ІІІ ступенів № 3 Карлівської районної ради Полтавської області</t>
  </si>
  <si>
    <t>39501</t>
  </si>
  <si>
    <t>вул. Промислова, 43</t>
  </si>
  <si>
    <t>(05346)2-53-45</t>
  </si>
  <si>
    <t>http://school3karlovka.at.ua</t>
  </si>
  <si>
    <t>Карлівська загальноосвітня школа І-ІІІ ступенів № 1 Карлівської районної ради Полтавської області</t>
  </si>
  <si>
    <t>вул. Полтавський шлях, 64</t>
  </si>
  <si>
    <t>(05346)24526</t>
  </si>
  <si>
    <t>http://karl-scol1.ucoz.ru</t>
  </si>
  <si>
    <t>Карлівська загальноосвітня школа І-ІІІ ступенів № 4 Карлівської районної ради Полтавської області</t>
  </si>
  <si>
    <t>вул. Коцюбинського, 43</t>
  </si>
  <si>
    <t>(05346)22172</t>
  </si>
  <si>
    <t>Білухівський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</si>
  <si>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39511</t>
  </si>
  <si>
    <t>5321680401</t>
  </si>
  <si>
    <t>Білухівка</t>
  </si>
  <si>
    <t>вул. Кучеренка, 26</t>
  </si>
  <si>
    <t>(05346)96340</t>
  </si>
  <si>
    <t>http://bilzosh.at.ua</t>
  </si>
  <si>
    <t>Варварівська спеціальна загальноосвітня школа-інтернат Карлівського району Полтавської обласної ради</t>
  </si>
  <si>
    <t>39512</t>
  </si>
  <si>
    <t>5321680701</t>
  </si>
  <si>
    <t>(05346)93175</t>
  </si>
  <si>
    <t>22534110</t>
  </si>
  <si>
    <t>Варварівський навчально-виховний комплекс " загальноосвітня школа І-ІІІ ступенів - дошкільний навчальний заклад" Карлівської районної ради Полтавської області</t>
  </si>
  <si>
    <t>пл. Шкільна, 6</t>
  </si>
  <si>
    <t>(05346)93235</t>
  </si>
  <si>
    <t>Верхноланнівська загальноосвітня школа І- ІІ ступенів Карлівської районної ради Полтавської області</t>
  </si>
  <si>
    <t>5321681001</t>
  </si>
  <si>
    <t>Верхня Ланна</t>
  </si>
  <si>
    <t>(05346)97313</t>
  </si>
  <si>
    <t>Голобородьківський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</si>
  <si>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39508</t>
  </si>
  <si>
    <t>5321681201</t>
  </si>
  <si>
    <t>Голобородьківське</t>
  </si>
  <si>
    <t>Климівський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</si>
  <si>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39532</t>
  </si>
  <si>
    <t>5321681601</t>
  </si>
  <si>
    <t>Климівка</t>
  </si>
  <si>
    <t>вул. Кооперативна, 12</t>
  </si>
  <si>
    <t>(05346)97540</t>
  </si>
  <si>
    <t>http://atest.at.ua</t>
  </si>
  <si>
    <t>Ланнівська загальноосвітня школа І-ІІІ ступенів Карлівської районної ради Полтавської області</t>
  </si>
  <si>
    <t>39541</t>
  </si>
  <si>
    <t>5321682501</t>
  </si>
  <si>
    <t>Ланна</t>
  </si>
  <si>
    <t>(05346)99151</t>
  </si>
  <si>
    <t>Лип'янська загальноосвітня школа І-ІІІ ступенів Карлівської районної ради Полтавської області</t>
  </si>
  <si>
    <t>39530</t>
  </si>
  <si>
    <t>5321682901</t>
  </si>
  <si>
    <t>Лип'янка</t>
  </si>
  <si>
    <t>(053)4696538</t>
  </si>
  <si>
    <t>Максимівський навчально - виховний комплекс "загальноосвітня школа І -ІІІ ступенів - дошкільний навчальний заклад" Карлівської районної ради Полтавської області</t>
  </si>
  <si>
    <t>39510</t>
  </si>
  <si>
    <t>5321683401</t>
  </si>
  <si>
    <t>пров. Полтавський, 8</t>
  </si>
  <si>
    <t>(05346)9-67-40</t>
  </si>
  <si>
    <t>Нижньоланнівський навчально-виховний комплекс "загальноосвітня школа І-ІІ ступенів-дошкільний навчальний заклад" Карлівської районної ради Полтавської області</t>
  </si>
  <si>
    <t>5321683601</t>
  </si>
  <si>
    <t>Нижня Ланна</t>
  </si>
  <si>
    <t>(05346)95718</t>
  </si>
  <si>
    <t>http://nlannaschool.pp.ua/</t>
  </si>
  <si>
    <t>Попівський навчально-виховний комплекс № 1 "загальноосвітня школа І-ІІІ ступенів-дошкільний навчальний заклад" Кайрлівської районної ради Полтавської області</t>
  </si>
  <si>
    <t>39524</t>
  </si>
  <si>
    <t>5321683801</t>
  </si>
  <si>
    <t>вул. Поповича, 11</t>
  </si>
  <si>
    <t>(05346)94-3-99</t>
  </si>
  <si>
    <t>Попівський навчально-виховний копмплекс № 2 "загальносвітня школа І-ІІ ступенів - дошкільний навчальний заклад" Карлівської районної ради Полтавської області</t>
  </si>
  <si>
    <t>39523</t>
  </si>
  <si>
    <t>9-47-40</t>
  </si>
  <si>
    <t>Федорівський навчально-виховний комплекс "загальноосвітня школа І - ІІІ ступенів - дошкільний навчальний заклад" імені Г.Т.Берегового Карлівської районної ради Полтавської області</t>
  </si>
  <si>
    <t>39531</t>
  </si>
  <si>
    <t>5321684901</t>
  </si>
  <si>
    <t>(05346)96148, (05346)96140</t>
  </si>
  <si>
    <t>http://fedorivkazoh.ucoz.com/</t>
  </si>
  <si>
    <t>Мартинівська загальноосвітня школа І-ІІІ ступенів Карлівської районної ради Полтавської області</t>
  </si>
  <si>
    <t>39520</t>
  </si>
  <si>
    <t>5321685601</t>
  </si>
  <si>
    <t>вул. Б. Хмельницького, 14</t>
  </si>
  <si>
    <t>(05346)94680</t>
  </si>
  <si>
    <t>Мар'янівський навчально-виховний комплекс "загальноосвітня школа І-ІІ ступенів - дошкільний заклад" Карлівської районної ради Полтавської області</t>
  </si>
  <si>
    <t>39522</t>
  </si>
  <si>
    <t>5321685605</t>
  </si>
  <si>
    <t>вул. Першотравнева, 19</t>
  </si>
  <si>
    <t>(05346)097140</t>
  </si>
  <si>
    <t>Кобеляцька загальноосвітня школа І-ІІ ступенів № 3 Кобеляцької районної ради Полтавської області</t>
  </si>
  <si>
    <t>39200</t>
  </si>
  <si>
    <t>5321810100</t>
  </si>
  <si>
    <t>Кобеляки</t>
  </si>
  <si>
    <t>вул. 1 Травня, 43/2</t>
  </si>
  <si>
    <t>(805343)31337</t>
  </si>
  <si>
    <t>Кобеляцька загальноосвітня школа І-ІІІ ступенів № 2 імені Олеся Гончара Кобеляцької районної ради Полтавської області</t>
  </si>
  <si>
    <t>вул. Шевченка, 34/37</t>
  </si>
  <si>
    <t>(05343)31259</t>
  </si>
  <si>
    <t>http://kobelyakuschool.ucoz.ru/</t>
  </si>
  <si>
    <t>Кобеляцька спеціальна загальноосвітня школа - інтернат Полтавської обласної ради</t>
  </si>
  <si>
    <t>вул. Полтавська, 29</t>
  </si>
  <si>
    <t>22544166</t>
  </si>
  <si>
    <t>Кобеляцький навчально-виховний комплекс № 1 Кобеляцької районної ради Полтавської області</t>
  </si>
  <si>
    <t>вул. Кірова, 1\28</t>
  </si>
  <si>
    <t>(05343)3-22-69</t>
  </si>
  <si>
    <t>Філія "Білицька загальноосвітня школа І-ІІ ступенів № 4 імені Героя Радянського Союзу Ф.І. Марченка" опорного закладу "Білицька загальноосвітня школа І-ІІІ ступенів № 1 Кобеляцької районної ради Полтавської області"</t>
  </si>
  <si>
    <t>39220</t>
  </si>
  <si>
    <t>5321855300</t>
  </si>
  <si>
    <t>Білики</t>
  </si>
  <si>
    <t>вул. Марченка, 4</t>
  </si>
  <si>
    <t>(05343)9-42-40</t>
  </si>
  <si>
    <t>Філія "Білицька загальноосвітня школа І-ІІ ступенів № 2" опорного закладу "Білицька загальноосвітня школа І-ІІІ ступенів № 1 Кобеляцької районної ради Полтавської області"</t>
  </si>
  <si>
    <t>вул. Надворсклянська, 201,а</t>
  </si>
  <si>
    <t>(05343)94340</t>
  </si>
  <si>
    <t>Філія "Білицька загальноосвітня школа І - ІІ ступенів № 3" опорного закладу "Білицька загальноосвітня школа І - ІІІ ступенів № 1"</t>
  </si>
  <si>
    <t>39221</t>
  </si>
  <si>
    <t>(05343)9-42-55</t>
  </si>
  <si>
    <t>опорний заклад "Білицька загальноосвітня школа І-ІІІ ступенів № 1 Кобеляцької районної ради Полтавської області"</t>
  </si>
  <si>
    <t>http://bilyky-one.at.ua/</t>
  </si>
  <si>
    <t>Бродщинська загальноосвітня школа I-II ступенів Кобеляцької районної ради Полтавської області</t>
  </si>
  <si>
    <t>5321880401</t>
  </si>
  <si>
    <t>Бродщина</t>
  </si>
  <si>
    <t>0666393231</t>
  </si>
  <si>
    <t>Опорний заклад "Бутенківська загальноосвітня школа І-ІІІ ступенів імені Ю.П.Дольд-Михайлика Кобеляцької районної ради Полтавської області"</t>
  </si>
  <si>
    <t>39213</t>
  </si>
  <si>
    <t>5321880701</t>
  </si>
  <si>
    <t>Бутенки</t>
  </si>
  <si>
    <t>(05343)93340</t>
  </si>
  <si>
    <t>http://bytenku.ucoz.ua</t>
  </si>
  <si>
    <t>Філія "Бережнівська загальноосвітня школа I-II ступенів"опорного закладу "Бутенківська загальноосвітня школа І-ІІІ ступенів ім.Ю.П.Дольд-Михайлика" Кобеляцької районної ради Полтавської області</t>
  </si>
  <si>
    <t>5321880702</t>
  </si>
  <si>
    <t>Бережнівка</t>
  </si>
  <si>
    <t>(05343)93177</t>
  </si>
  <si>
    <t>Василівська загальноосвітня школа І - ІІ ступенів Кобеляцької районної ради Полтавської області</t>
  </si>
  <si>
    <t>39270</t>
  </si>
  <si>
    <t>5321880901</t>
  </si>
  <si>
    <t>96240</t>
  </si>
  <si>
    <t>Григоро-Бригадирівська загальноосвітня школа І-ІІ ступенів Кобеляцької районної ради Полтавської області</t>
  </si>
  <si>
    <t>39243</t>
  </si>
  <si>
    <t>5321881301</t>
  </si>
  <si>
    <t>Григоро-Бригадирівка</t>
  </si>
  <si>
    <t>9-70-40</t>
  </si>
  <si>
    <t>Солошинська загальноосвітня школа І-ІІ ступенів Кобеляцької районної ради Полтавської області</t>
  </si>
  <si>
    <t>39245</t>
  </si>
  <si>
    <t>5321881303</t>
  </si>
  <si>
    <t>Солошине</t>
  </si>
  <si>
    <t>(05343)92140</t>
  </si>
  <si>
    <t>Дашківська загальноосвітня школа І - ІІІ ступенів Кобеляцької районної ради Полтавської області</t>
  </si>
  <si>
    <t>39280</t>
  </si>
  <si>
    <t>5321881701</t>
  </si>
  <si>
    <t>Дашківка</t>
  </si>
  <si>
    <t>(05343)95840</t>
  </si>
  <si>
    <t>http://dashkivkaschool.ucoz.net</t>
  </si>
  <si>
    <t>Дрижиногреблянська ЗОШ І ступеня Кобеляцької районної ради Полтавської області</t>
  </si>
  <si>
    <t>39212</t>
  </si>
  <si>
    <t>5321881801</t>
  </si>
  <si>
    <t>Дрижина Гребля</t>
  </si>
  <si>
    <t>(05343)96640</t>
  </si>
  <si>
    <t>Філія "Жуківська загальноосвітня школа І ступеня" опорного закладу "Білицька загальноосвітня школа І-ІІІ ступенів № 1 Кобеляцької районної ради Полтавської області"</t>
  </si>
  <si>
    <t>39222</t>
  </si>
  <si>
    <t>5321882001</t>
  </si>
  <si>
    <t>вул. Лісова, 12</t>
  </si>
  <si>
    <t>(05343)9-84-40</t>
  </si>
  <si>
    <t>Золотарівська загальноосвітня школа І ступеня Кобеляцької районної ради Полтаської області</t>
  </si>
  <si>
    <t>39215</t>
  </si>
  <si>
    <t>5321882205</t>
  </si>
  <si>
    <t>Мідянівка</t>
  </si>
  <si>
    <t>вул. Вишнева, 2А</t>
  </si>
  <si>
    <t>Іванівська загальноосвітня школа І-ІІІ ступенів Кобеляцької районної ради Полтавської області</t>
  </si>
  <si>
    <t>39233</t>
  </si>
  <si>
    <t>5321882601</t>
  </si>
  <si>
    <t>(05343)98140</t>
  </si>
  <si>
    <t>Канавська загальноосвітня школа І-ІІ ступенів Кобеляцької районної ради Полтавської області</t>
  </si>
  <si>
    <t>39235</t>
  </si>
  <si>
    <t>5321883001</t>
  </si>
  <si>
    <t>Канави</t>
  </si>
  <si>
    <t>вул. Центральна, 96</t>
  </si>
  <si>
    <t>Лебединська загальноосвітня школа I-II ступенів Кобеляцької районної ради Полтавської області</t>
  </si>
  <si>
    <t>39250</t>
  </si>
  <si>
    <t>5321883201</t>
  </si>
  <si>
    <t>(05343)98640</t>
  </si>
  <si>
    <t>Перегонівський навчально-виховний комплекс "Перегонівська загальноосвітня школа І ступеня - дошкільний навчальний заклад "Сонечко" Кобеляцької районної ради Полтавської області</t>
  </si>
  <si>
    <t>39251</t>
  </si>
  <si>
    <t>5321883204</t>
  </si>
  <si>
    <t>(05343)9-54-40</t>
  </si>
  <si>
    <t>Дабинівська загальноосвітня школа І-ІІ ступенів Кобеляцької районної ради Полтавської області</t>
  </si>
  <si>
    <t>39241</t>
  </si>
  <si>
    <t>5321883802</t>
  </si>
  <si>
    <t>Дабинівка</t>
  </si>
  <si>
    <t>(05343)92253</t>
  </si>
  <si>
    <t>Красненська загальноосвітня школа І-ІІ ступенів Кобеляцької районної ради Полтавської області</t>
  </si>
  <si>
    <t>39236</t>
  </si>
  <si>
    <t>5321884201</t>
  </si>
  <si>
    <t>(05343)9-72-40</t>
  </si>
  <si>
    <t>Ліщинівська загальноосвітня школа І - ІІ ступенів Кобеляцької районної ради Полтавської області</t>
  </si>
  <si>
    <t>39224</t>
  </si>
  <si>
    <t>5321884401</t>
  </si>
  <si>
    <t>Кунівка</t>
  </si>
  <si>
    <t>(053)439-56-40</t>
  </si>
  <si>
    <t>Марківська загальноосвітня школа І-ІІ ступенів Кобеляцької районної ради Полтавської області</t>
  </si>
  <si>
    <t>39210</t>
  </si>
  <si>
    <t>5321884601</t>
  </si>
  <si>
    <t>(05343)95520</t>
  </si>
  <si>
    <t>Луценківська загальноосвітня школа І-ІІ ступенів Кобеляцької районної ради Полтавської області</t>
  </si>
  <si>
    <t>39211</t>
  </si>
  <si>
    <t>5321884604</t>
  </si>
  <si>
    <t>Свічкареве</t>
  </si>
  <si>
    <t>Озерська загальноосвітня школа І-ІІІ ступенів Кобеляцької районної ради Полтавської області</t>
  </si>
  <si>
    <t>39260</t>
  </si>
  <si>
    <t>5321885101</t>
  </si>
  <si>
    <t>36340</t>
  </si>
  <si>
    <t>Вільховатська загальноосвітня школа I-II ступенів Кобеляцької районної ради Полтавської області</t>
  </si>
  <si>
    <t>39272</t>
  </si>
  <si>
    <t>5321885401</t>
  </si>
  <si>
    <t>Вільховатка</t>
  </si>
  <si>
    <t>вул. Миру, 21</t>
  </si>
  <si>
    <t>(05343)97334</t>
  </si>
  <si>
    <t>https://sites.google.com/site/vilhovatskaskola/home</t>
  </si>
  <si>
    <t>Орлицька загальноосвітня школа І-ІІІ ступенів Кобеляцької районної ради Полтавської області</t>
  </si>
  <si>
    <t>39281</t>
  </si>
  <si>
    <t>5321885701</t>
  </si>
  <si>
    <t>Орлик</t>
  </si>
  <si>
    <t>вул. Центральна, 14/38</t>
  </si>
  <si>
    <t>(05343)9-76-48</t>
  </si>
  <si>
    <t>http://sites.google.com/site/orlickazos/</t>
  </si>
  <si>
    <t>Придніпрянська загальноосвітня школа І-ІІІ ступенів Кобеляцької районної ради Полтавської області</t>
  </si>
  <si>
    <t>39282</t>
  </si>
  <si>
    <t>5321886001</t>
  </si>
  <si>
    <t>Придніпрянське</t>
  </si>
  <si>
    <t>Світлогірська загальноосвітня школа I - III ступенів імені Антона Петровича Біленка Кобеляцької районної ради Полтавської області</t>
  </si>
  <si>
    <t>39262</t>
  </si>
  <si>
    <t>5321886401</t>
  </si>
  <si>
    <t>вул. Молодіжна, 40</t>
  </si>
  <si>
    <t>(05343)99540</t>
  </si>
  <si>
    <t>http://svschool.ucoz.ua</t>
  </si>
  <si>
    <t>Філія "Кустолово-Кущівська загальноосвітня школа І-ІІ ступенів" опорного закладу "Білицька загальноосвітня школа І-ІІІ ступенів № 1 Кобеляцької районної ради Полтавської області"</t>
  </si>
  <si>
    <t>5321886605</t>
  </si>
  <si>
    <t>Кустолові Кущі</t>
  </si>
  <si>
    <t>(05343)94592</t>
  </si>
  <si>
    <t>Шенгурівська загальноосвітня школа І-ІІІ ступенів Кобеляцької районної ради Полтавської області</t>
  </si>
  <si>
    <t>39252</t>
  </si>
  <si>
    <t>5321888001</t>
  </si>
  <si>
    <t>Шенгури</t>
  </si>
  <si>
    <t>вул. Павлова, 5</t>
  </si>
  <si>
    <t>(05343)92540</t>
  </si>
  <si>
    <t>Козельщинська загальноосвітня школа І-ІІІ ступенів Козельщинської районної ради Полтавської області</t>
  </si>
  <si>
    <t>39100</t>
  </si>
  <si>
    <t>5322055100</t>
  </si>
  <si>
    <t>Козельщина</t>
  </si>
  <si>
    <t>вул. Горького, 10А</t>
  </si>
  <si>
    <t>(05342)31643, (05342)31272</t>
  </si>
  <si>
    <t>Новогалещинська загальноосвітня школа І-ІІІ ступенів Козельщинської районної ради Полтавської області</t>
  </si>
  <si>
    <t>39140</t>
  </si>
  <si>
    <t>5322055500</t>
  </si>
  <si>
    <t>Нова Галещина</t>
  </si>
  <si>
    <t>(05342)97384</t>
  </si>
  <si>
    <t>http://www.scoolgal.ucoz.ua</t>
  </si>
  <si>
    <t>Бреусівська загальноосвітня школа І-ІІІ ст. Козельщинської районної ради Полтавської області</t>
  </si>
  <si>
    <t>39150</t>
  </si>
  <si>
    <t>5322080401</t>
  </si>
  <si>
    <t>Бреусівка</t>
  </si>
  <si>
    <t>вул. О. Гончара, 62</t>
  </si>
  <si>
    <t>(05342)9-81-72</t>
  </si>
  <si>
    <t>Василівська загальноосвітня школа І-ІІ ступенів Козельщинської районної ради Полтавської обасті</t>
  </si>
  <si>
    <t>39123</t>
  </si>
  <si>
    <t>5322080801</t>
  </si>
  <si>
    <t>вул. Горького, 5</t>
  </si>
  <si>
    <t>9-36-40</t>
  </si>
  <si>
    <t>Високовакулівська загальноосвітня школа І-ІІ ступенів Козельщинської районної ради Полтавської області</t>
  </si>
  <si>
    <t>5322081201</t>
  </si>
  <si>
    <t>Висока Вакулівка</t>
  </si>
  <si>
    <t>(05342)94650</t>
  </si>
  <si>
    <t>Лутовинівська загальноосвітня школа І-ІІ ступенів Козельщинської районної ради Полтавської області</t>
  </si>
  <si>
    <t>39132</t>
  </si>
  <si>
    <t>5322082501</t>
  </si>
  <si>
    <t>Лутовинівка</t>
  </si>
  <si>
    <t>вул. Короленка, 24</t>
  </si>
  <si>
    <t>(3805342)95244</t>
  </si>
  <si>
    <t>Задовжанська загальноосвітня школа I ступеня Козельщинської райлннлї ради Полтавської області</t>
  </si>
  <si>
    <t>39142</t>
  </si>
  <si>
    <t>5322082504</t>
  </si>
  <si>
    <t>Задовга</t>
  </si>
  <si>
    <t>Мануйлівська загальноосвітня школа І-ІІІ ступенів Козельщинської районної ради Полтавської області</t>
  </si>
  <si>
    <t>39120</t>
  </si>
  <si>
    <t>5322083001</t>
  </si>
  <si>
    <t>Верхня Мануйлівка</t>
  </si>
  <si>
    <t>вул. Горького, 38</t>
  </si>
  <si>
    <t>(05342)93140</t>
  </si>
  <si>
    <t>https://sites.google.com/site/manujlivs</t>
  </si>
  <si>
    <t>Оленівська загальноосвітня школа І-ІІІ ступенів Козельщинської районної ради Полтавської області</t>
  </si>
  <si>
    <t>39133</t>
  </si>
  <si>
    <t>5322083701</t>
  </si>
  <si>
    <t>(05342)99740</t>
  </si>
  <si>
    <t>Пригарівська загальноосвітня школа І-ІІІ ступенів Козельщинської районної ради Полтавської області</t>
  </si>
  <si>
    <t>5322084601</t>
  </si>
  <si>
    <t>Пригарівка</t>
  </si>
  <si>
    <t>(05342)94540</t>
  </si>
  <si>
    <t>Сушківська загальноосвітня школа I - II ступенів Полтавської області Козельщинського району с. Сушки</t>
  </si>
  <si>
    <t>39152</t>
  </si>
  <si>
    <t>5322084609</t>
  </si>
  <si>
    <t>вул. Лесі Українки, 63</t>
  </si>
  <si>
    <t>9-96-40</t>
  </si>
  <si>
    <t>Солоницька загальноосвітня школа І-ІІІ ступенів Козельщинської районної ради Полтавської області</t>
  </si>
  <si>
    <t>5322084901</t>
  </si>
  <si>
    <t>Солониця</t>
  </si>
  <si>
    <t>(05342)93755</t>
  </si>
  <si>
    <t>Хорішківська загальноосвітня школа І-ІІІступенів імені М.В.Остроградського</t>
  </si>
  <si>
    <t>39112</t>
  </si>
  <si>
    <t>5322085001</t>
  </si>
  <si>
    <t>Хорішки</t>
  </si>
  <si>
    <t>вул. Гончара, 2</t>
  </si>
  <si>
    <t>(05342)9-62-40</t>
  </si>
  <si>
    <t>Котелевська гімназія № 1 імені С.А. Ковпака Котелевської районної ради</t>
  </si>
  <si>
    <t>38600</t>
  </si>
  <si>
    <t>5322255100</t>
  </si>
  <si>
    <t>Котельва</t>
  </si>
  <si>
    <t>вул. Калантаївська, 1</t>
  </si>
  <si>
    <t>(05350)21871</t>
  </si>
  <si>
    <t>Котелевська загальноосвіня школа № 7 I ступеня Котелевської районної ради</t>
  </si>
  <si>
    <t>вул. Полтавський шлях, 73</t>
  </si>
  <si>
    <t>(05350)2-15-95</t>
  </si>
  <si>
    <t>Котелевська загальноосвітня школа I-III ступенів № 2 Котелевської районної ради</t>
  </si>
  <si>
    <t>вул. Маяковського, 90</t>
  </si>
  <si>
    <t>(05350)21533</t>
  </si>
  <si>
    <t>Котелевська загальноосвітня школа № 4 І-ІІІ ступенів Котелевської районної ради</t>
  </si>
  <si>
    <t>вул. Полтавський шлях, 288</t>
  </si>
  <si>
    <t>(05350)21209</t>
  </si>
  <si>
    <t>http://kotschool4.at.ua/</t>
  </si>
  <si>
    <t>Більська загальноосвітня школа І-ІІІ ступенів Котелевської районної ради</t>
  </si>
  <si>
    <t>38610</t>
  </si>
  <si>
    <t>5322280401</t>
  </si>
  <si>
    <t>Більськ</t>
  </si>
  <si>
    <t>(05350)94540</t>
  </si>
  <si>
    <t>Великорублівська загальноосвітня школа І-ІІІ ступенів Котелевської районної ради</t>
  </si>
  <si>
    <t>38623</t>
  </si>
  <si>
    <t>5322280801</t>
  </si>
  <si>
    <t>Велика Рублівка</t>
  </si>
  <si>
    <t>вул. Брикеля, 2</t>
  </si>
  <si>
    <t>(05350)9-41-42</t>
  </si>
  <si>
    <t>Деревківська загальноосвітня школа Котелевської районної ради</t>
  </si>
  <si>
    <t>38611</t>
  </si>
  <si>
    <t>5322281301</t>
  </si>
  <si>
    <t>Деревки</t>
  </si>
  <si>
    <t>(05350)9-35-40</t>
  </si>
  <si>
    <t>Ковалевський навчально-виховний комплекс "Казка" Котелевської районної ради</t>
  </si>
  <si>
    <t>38624</t>
  </si>
  <si>
    <t>5322281501</t>
  </si>
  <si>
    <t>Ковалеве</t>
  </si>
  <si>
    <t>(05350)93245</t>
  </si>
  <si>
    <t>Козлівщинська загальноосвітня школа І-ІІІ ступенів Котелевської районної ради</t>
  </si>
  <si>
    <t>38632</t>
  </si>
  <si>
    <t>5322281901</t>
  </si>
  <si>
    <t>Козлівщина</t>
  </si>
  <si>
    <t>(05350)93140</t>
  </si>
  <si>
    <t>Малорублівський навчально-виховний комплекс (школа І ступеня - дитячий садок) Котелевської районної ради</t>
  </si>
  <si>
    <t>38620</t>
  </si>
  <si>
    <t>5322282501</t>
  </si>
  <si>
    <t>Мала Рублівка</t>
  </si>
  <si>
    <t>вул. Ковпака, 22</t>
  </si>
  <si>
    <t>(05350)93740</t>
  </si>
  <si>
    <t>Милорадівська загальноосвітня школа I-III ступенів Котелевської районної ради</t>
  </si>
  <si>
    <t>5322283001</t>
  </si>
  <si>
    <t>Милорадове</t>
  </si>
  <si>
    <t>(095)6173603</t>
  </si>
  <si>
    <t>http://romahggf.wix.com/myloradivska-school</t>
  </si>
  <si>
    <t>Білецьківський навчально-виховний комплекс Кременчуцької районної ради Полтавської області</t>
  </si>
  <si>
    <t>39760</t>
  </si>
  <si>
    <t>5322480401</t>
  </si>
  <si>
    <t>Білецьківка</t>
  </si>
  <si>
    <t>(0536)734140</t>
  </si>
  <si>
    <t>https://sites.google.com/site/bileckivskijnvk/</t>
  </si>
  <si>
    <t>Чечелевська загальноосвітня школа І - ІІ ступенів Кременчуцької районної ради Полтавської області.</t>
  </si>
  <si>
    <t>39761</t>
  </si>
  <si>
    <t>5322480407</t>
  </si>
  <si>
    <t>Чечелеве</t>
  </si>
  <si>
    <t>вул. Соборна, 39 а</t>
  </si>
  <si>
    <t>(536)61469</t>
  </si>
  <si>
    <t>Зарудянська загальноосвітня школа І-ІІІ ступенів Кременчуцької районної ради Полтавської області</t>
  </si>
  <si>
    <t>39730</t>
  </si>
  <si>
    <t>5322480704</t>
  </si>
  <si>
    <t>вул. Миру, 22 А</t>
  </si>
  <si>
    <t>73-63-11</t>
  </si>
  <si>
    <t>Гориславський навчально-виховний комплекс "загальноосвітня школа-дошкільний навчальний заклад" Піщанської сільської ради</t>
  </si>
  <si>
    <t>39703</t>
  </si>
  <si>
    <t>5322480801</t>
  </si>
  <si>
    <t>Гориславці</t>
  </si>
  <si>
    <t>0536735140</t>
  </si>
  <si>
    <t>Кам’янопотоківська загальноосвітня школа І-ІІІ ступенів імені М.С.Новохатька Кременчуцької районної ради Полтавської області</t>
  </si>
  <si>
    <t>39763</t>
  </si>
  <si>
    <t>5322481701</t>
  </si>
  <si>
    <t>Кам'яні Потоки</t>
  </si>
  <si>
    <t>вул. Центральна, 405</t>
  </si>
  <si>
    <t>(0536)730693</t>
  </si>
  <si>
    <t>Садківська загальноосвітня школа І-ІІІ ступенів Кременчуцької районної ради Полтавської області</t>
  </si>
  <si>
    <t>39764</t>
  </si>
  <si>
    <t>5322481703</t>
  </si>
  <si>
    <t>(05366)6-68-02</t>
  </si>
  <si>
    <t>Майбородівська загальноосвітня школа І-ІІ ступенів Новознам'янської сільської ради Кременчуцького району Полтавської області</t>
  </si>
  <si>
    <t>39712</t>
  </si>
  <si>
    <t>5322482201</t>
  </si>
  <si>
    <t>Майбородівка</t>
  </si>
  <si>
    <t>(0536)735340</t>
  </si>
  <si>
    <t>Максимівський навчально-виховний комплекс Недогарківської сільської ради Кременчуцького району Полтавської області</t>
  </si>
  <si>
    <t>39720</t>
  </si>
  <si>
    <t>5322482601</t>
  </si>
  <si>
    <t>вул. Cоборності, 8</t>
  </si>
  <si>
    <t>(0536)73-74-40</t>
  </si>
  <si>
    <t>Недогарківська загальноосвітня школа І-ІІІ ступенів Недогарківської сільської ради</t>
  </si>
  <si>
    <t>39722</t>
  </si>
  <si>
    <t>5322482801</t>
  </si>
  <si>
    <t>вул. Приморська, 156</t>
  </si>
  <si>
    <t>(0536)781540</t>
  </si>
  <si>
    <t>Омельницький ліцей виконавчого комітету Омельницької сільської ради Кременчуцького району Полтавської області</t>
  </si>
  <si>
    <t>39713</t>
  </si>
  <si>
    <t>5322483201</t>
  </si>
  <si>
    <t>(0536)738871</t>
  </si>
  <si>
    <t>https://sites.google.com/site/omelninvk/</t>
  </si>
  <si>
    <t>Піщанська гімназія Піщанської сільської ради</t>
  </si>
  <si>
    <t>39701</t>
  </si>
  <si>
    <t>5322483801</t>
  </si>
  <si>
    <t>(380536)727085</t>
  </si>
  <si>
    <t>http://www.pishane.pp.ua</t>
  </si>
  <si>
    <t>Кривушівський навчально виховний комплекс "загальноосвітня школа - дошкільний навчальній заклад" виконавчого комітету Піщанської сільської ради</t>
  </si>
  <si>
    <t>39702</t>
  </si>
  <si>
    <t>5322483805</t>
  </si>
  <si>
    <t>Кривуші</t>
  </si>
  <si>
    <t>вул. Б. Хмельницького, 41</t>
  </si>
  <si>
    <t>(0536)759058</t>
  </si>
  <si>
    <t>Потоківська загальноосвітня школа І-ІІІ ступенів Кременчуцької районної ради Полтавської області</t>
  </si>
  <si>
    <t>39741</t>
  </si>
  <si>
    <t>5322484401</t>
  </si>
  <si>
    <t>(0536)781140</t>
  </si>
  <si>
    <t>Малокохнівська загальноосвітня школа І-ІІ ступенів Кременчуцької районної ради Полтавської області</t>
  </si>
  <si>
    <t>39742</t>
  </si>
  <si>
    <t>5322484403</t>
  </si>
  <si>
    <t>Мала Кохнівка</t>
  </si>
  <si>
    <t>Пришибська загальноосвітня школа І - ІІІ ступенів Пришибської сільської ради Кременчуцького району Полтавської області</t>
  </si>
  <si>
    <t>39750</t>
  </si>
  <si>
    <t>5322484801</t>
  </si>
  <si>
    <t>(0536)733740, (097)4042485</t>
  </si>
  <si>
    <t>Рокитненський навчально-виховний комплекс "Загальноосвітня школа І-ІІІ ступенів - дошкільний навчальний заклад" виконавчого комітету Омельницької сільської ради Кременчуцького району Полтавської області</t>
  </si>
  <si>
    <t>39740</t>
  </si>
  <si>
    <t>5322485101</t>
  </si>
  <si>
    <t>вул. Макаренка, 12</t>
  </si>
  <si>
    <t>(0536)784564</t>
  </si>
  <si>
    <t>Салівська загальноосвітня школа І-ІІІ ступенів Кременчуцької районної ради Полтавської області</t>
  </si>
  <si>
    <t>39752</t>
  </si>
  <si>
    <t>5322485601</t>
  </si>
  <si>
    <t>Салівка</t>
  </si>
  <si>
    <t>(0536)733312</t>
  </si>
  <si>
    <t>http://salschool.at.ua</t>
  </si>
  <si>
    <t>Новознам'янський навчально-виховний комплекс "загальноосвітня школа І-ІІ ступенів - дошкільний навчальний заклад" Новознам'янської сільської ради Кременчуцького району Полтавської області</t>
  </si>
  <si>
    <t>39704</t>
  </si>
  <si>
    <t>5322486301</t>
  </si>
  <si>
    <t>Нова Знам'янка</t>
  </si>
  <si>
    <t>(0536)732740</t>
  </si>
  <si>
    <t>Вільнотерешківська загальноосвітня школа І-ІІІ ступенів ім. І. М. Волочая Новознам'янської сільської ради Кременчуцького району Полтавської області</t>
  </si>
  <si>
    <t>39705</t>
  </si>
  <si>
    <t>5322486302</t>
  </si>
  <si>
    <t>Вільна Терешківка</t>
  </si>
  <si>
    <t>(0536)734710</t>
  </si>
  <si>
    <t>http://vilter2015.blogspot.com</t>
  </si>
  <si>
    <t>Ялинцівський навчально-виховний комплекс Кременчуцької районної ради Полтавської області</t>
  </si>
  <si>
    <t>39721</t>
  </si>
  <si>
    <t>5322487001</t>
  </si>
  <si>
    <t>Ялинці</t>
  </si>
  <si>
    <t>вул. Шкільна, 10А</t>
  </si>
  <si>
    <t>(097)3783294</t>
  </si>
  <si>
    <t>Лохвицька гімназія № 1 Лохвицької районної ради Полтавської області</t>
  </si>
  <si>
    <t>37200</t>
  </si>
  <si>
    <t>5322610100</t>
  </si>
  <si>
    <t>Лохвиця</t>
  </si>
  <si>
    <t>вул. Дружби, 10</t>
  </si>
  <si>
    <t>(05356)3-13-91</t>
  </si>
  <si>
    <t>Лохвицька загальноосвітня школа І-ІІІ ступенів № 2 Лохвицької районної ради Полтавської області</t>
  </si>
  <si>
    <t>(05356)31767</t>
  </si>
  <si>
    <t>http://school-2.in.ua</t>
  </si>
  <si>
    <t>Лохвицька загальноосвітня школа І-ІІІ ступенів № 3 Лохвицької районної ради Полтавської області</t>
  </si>
  <si>
    <t>(05356)3-14-52</t>
  </si>
  <si>
    <t>http://lokhvytsia-school3.edu.poltava.ua</t>
  </si>
  <si>
    <t>Заводська вечірня загальноосвітня школа ІІІ ступеня Лохвицької районної ради Полтавської області</t>
  </si>
  <si>
    <t>37240</t>
  </si>
  <si>
    <t>5322610600</t>
  </si>
  <si>
    <t>вул. Полтавська, 10/2</t>
  </si>
  <si>
    <t>(05356)35460</t>
  </si>
  <si>
    <t>Заводська загальноосвітня школа І-ІІІ ступенів № 1 Лохвицької районної ради Полтавської області</t>
  </si>
  <si>
    <t>(05356)35435</t>
  </si>
  <si>
    <t>http://chzosh1.ucoz.ua</t>
  </si>
  <si>
    <t>Заводська загальноосвітня школа І - ІІІ ступенів № 2 Лохвицької районної ради Полтавської області</t>
  </si>
  <si>
    <t>вул. Ватутіна, 46</t>
  </si>
  <si>
    <t>(0(5356))3-52-85</t>
  </si>
  <si>
    <t>Безсалівська загальноосвітня школа І - ІІІ ступенів Лохвицької районної ради Полтавської області</t>
  </si>
  <si>
    <t>37206</t>
  </si>
  <si>
    <t>5322680401</t>
  </si>
  <si>
    <t>Безсали</t>
  </si>
  <si>
    <t>вул. Єрмака, 2</t>
  </si>
  <si>
    <t>(05356)92168</t>
  </si>
  <si>
    <t>Білогорільська загальноосвітня школа І-ІІ ступенів Лохвицької районної ради Полтавської області</t>
  </si>
  <si>
    <t>37220</t>
  </si>
  <si>
    <t>5322680701</t>
  </si>
  <si>
    <t>Білогорілка</t>
  </si>
  <si>
    <t>вул. Молодіжна, 30</t>
  </si>
  <si>
    <t>(05653)95110</t>
  </si>
  <si>
    <t>Бодаквянський навчально- виховний комплекс " Загальноосвітня школа І-ІІІступенів - дошкільний навчальний заклад"</t>
  </si>
  <si>
    <t>37260</t>
  </si>
  <si>
    <t>5322681101</t>
  </si>
  <si>
    <t>Бодаква</t>
  </si>
  <si>
    <t>(05356)92313</t>
  </si>
  <si>
    <t>Васильківська загальноосвітня школа І-ІІ ступенів Лохвицької районної ради Полтавської області</t>
  </si>
  <si>
    <t>37243</t>
  </si>
  <si>
    <t>5322681501</t>
  </si>
  <si>
    <t>Васильки</t>
  </si>
  <si>
    <t>(05356)94612</t>
  </si>
  <si>
    <t>Вирішальненська загальноосвітня школа І-ІІІ ступенів Лохвицької районної ради Полтавської області</t>
  </si>
  <si>
    <t>37263</t>
  </si>
  <si>
    <t>5322681901</t>
  </si>
  <si>
    <t>Вирішальне</t>
  </si>
  <si>
    <t>вул. Перемоги, 49</t>
  </si>
  <si>
    <t>(05356)93712</t>
  </si>
  <si>
    <t>http://www.vyr.at.ua</t>
  </si>
  <si>
    <t>Гирявоїсковецька загальноосвітня школа І-ІІІ ступенів Лохвицької районної ради Полтавської області</t>
  </si>
  <si>
    <t>37223</t>
  </si>
  <si>
    <t>5322682401</t>
  </si>
  <si>
    <t>Гиряві Ісківці</t>
  </si>
  <si>
    <t>0535693145</t>
  </si>
  <si>
    <t>Млинівська загальноосвітня школа І - ІІ ступенів Лохвицької районної ради Полтавської області</t>
  </si>
  <si>
    <t>5322682405</t>
  </si>
  <si>
    <t>Млини</t>
  </si>
  <si>
    <t>(05356)36194</t>
  </si>
  <si>
    <t>Ісковецька загальноосвітня школа І-ІІІ ступенів Лохвицької районної ради Полтавської області</t>
  </si>
  <si>
    <t>37251</t>
  </si>
  <si>
    <t>5322682801</t>
  </si>
  <si>
    <t>Ісківці</t>
  </si>
  <si>
    <t>вул. М.П.Кирпоноса, 2А</t>
  </si>
  <si>
    <t>Корсунівська загальноосвітня школа І-ІІІ ступенів Лохвицької районної ради Полтавської області</t>
  </si>
  <si>
    <t>37262</t>
  </si>
  <si>
    <t>5322683401</t>
  </si>
  <si>
    <t>Корсунівка</t>
  </si>
  <si>
    <t>вул. Низова, 55</t>
  </si>
  <si>
    <t>(05356)96519</t>
  </si>
  <si>
    <t>http://korsunivka-zosh.pl.sch.in.ua/</t>
  </si>
  <si>
    <t>Жабківська загальноосвітня школа Лохвицької районної ради Полтавської області</t>
  </si>
  <si>
    <t>37210</t>
  </si>
  <si>
    <t>5322684001</t>
  </si>
  <si>
    <t>Жабки</t>
  </si>
  <si>
    <t>14</t>
  </si>
  <si>
    <t>(05356)9-27-38</t>
  </si>
  <si>
    <t>Лучанська загальноосвітня школа І-ІІІ ступенів Лохвицької районної ради Полтавської області</t>
  </si>
  <si>
    <t>37221</t>
  </si>
  <si>
    <t>5322684401</t>
  </si>
  <si>
    <t>(05356)9-51-92</t>
  </si>
  <si>
    <t>Пісківська загальноосвітня школа І-III ступенів Лохвицької районної ради Полтавської області</t>
  </si>
  <si>
    <t>37233</t>
  </si>
  <si>
    <t>5322684901</t>
  </si>
  <si>
    <t>(05356)97617, (05356)97679</t>
  </si>
  <si>
    <t>http://www.piskyschool.pp.ua</t>
  </si>
  <si>
    <t>Погарщинська загальноосвітня школа І-ІІІ ступенів Лохвицької районної ради Полтавської області</t>
  </si>
  <si>
    <t>37230</t>
  </si>
  <si>
    <t>5322685301</t>
  </si>
  <si>
    <t>Погарщина</t>
  </si>
  <si>
    <t>(05356)95445</t>
  </si>
  <si>
    <t>Ризький комунальний навчально - виховний комплекс "загальноосвітня школа І -ІІ ступенів - дошкільний навчальний заклад (дитячий садок)" Лохвицької районної ради Полтавської області</t>
  </si>
  <si>
    <t>37250</t>
  </si>
  <si>
    <t>5322685801</t>
  </si>
  <si>
    <t>Риги</t>
  </si>
  <si>
    <t>(05356)96340</t>
  </si>
  <si>
    <t>Свиридівська загальноосвітня школа І-ІІІ ступенів Лохвицької районної ради Полтавської області</t>
  </si>
  <si>
    <t>37213</t>
  </si>
  <si>
    <t>5322686201</t>
  </si>
  <si>
    <t>Свиридівка</t>
  </si>
  <si>
    <t>(5356)97345</t>
  </si>
  <si>
    <t>http://svyrydovka-zoch.pl.sch.in.ua</t>
  </si>
  <si>
    <t>Сенчанська загальноосвітня школа І-ІІІ ступенів Лохвицької районної ради Полтавської області</t>
  </si>
  <si>
    <t>37254</t>
  </si>
  <si>
    <t>5322686601</t>
  </si>
  <si>
    <t>Сенча</t>
  </si>
  <si>
    <t>вул. Героїв України, 4</t>
  </si>
  <si>
    <t>(05356)99542</t>
  </si>
  <si>
    <t>Токарівська загальноосвітня школа І-ІІІ ступенів Лохвицької районної ради Полтавської області</t>
  </si>
  <si>
    <t>37231</t>
  </si>
  <si>
    <t>5322687201</t>
  </si>
  <si>
    <t>Токарі</t>
  </si>
  <si>
    <t>(05356)3-62-84</t>
  </si>
  <si>
    <t>Гамаліївська загальноосвітня школа І -ІІ ступенів Лохвицької районної ради Полтавської області</t>
  </si>
  <si>
    <t>37232</t>
  </si>
  <si>
    <t>5322687202</t>
  </si>
  <si>
    <t>(05356)36270</t>
  </si>
  <si>
    <t>Харківецька загальноосвітня школа І - ІІ ступенів Лохвицького району Полтавської області</t>
  </si>
  <si>
    <t>37207</t>
  </si>
  <si>
    <t>5322687801</t>
  </si>
  <si>
    <t>Харківці</t>
  </si>
  <si>
    <t>вул. шкільна, 4\1</t>
  </si>
  <si>
    <t>Яхниківська загальноосвітня школа І-ІІІ ступенів Лохвицької районної ради Полтавської області</t>
  </si>
  <si>
    <t>37212</t>
  </si>
  <si>
    <t>5322688401</t>
  </si>
  <si>
    <t>Яхники</t>
  </si>
  <si>
    <t>вул. Сердюка, 50</t>
  </si>
  <si>
    <t>(05356)96640, (05356)96669</t>
  </si>
  <si>
    <t>Яхницька спеціальна загальноосвітня школа - інтернат для дітей які потребують корекції фізичного та (або) розумового розвитку</t>
  </si>
  <si>
    <t>вул. Сердюка, 83</t>
  </si>
  <si>
    <t>(05356)34903</t>
  </si>
  <si>
    <t>04590671</t>
  </si>
  <si>
    <t>Березівський навчально-виховний комплекс Засульської сільської ради Полтавської області (загальноосвітня школа І ступеня - дошкільний навчальний заклад)</t>
  </si>
  <si>
    <t>37563</t>
  </si>
  <si>
    <t>5322880301</t>
  </si>
  <si>
    <t>(05361)95756</t>
  </si>
  <si>
    <t>23547570</t>
  </si>
  <si>
    <t>Березотіцька загальноосвітня школа І-ІІІ ступенів, Лубенського району, Полтавської області</t>
  </si>
  <si>
    <t>37535</t>
  </si>
  <si>
    <t>5322880401</t>
  </si>
  <si>
    <t>Березоточа</t>
  </si>
  <si>
    <t>вул. Покровська, 106 А</t>
  </si>
  <si>
    <t>(05361)90640</t>
  </si>
  <si>
    <t>http://berezotocha.ucoz.ua</t>
  </si>
  <si>
    <t>23547161</t>
  </si>
  <si>
    <t>Вовчицький ліцей імені В.Ф. Мицика</t>
  </si>
  <si>
    <t>37533</t>
  </si>
  <si>
    <t>5322881101</t>
  </si>
  <si>
    <t>Вовчик</t>
  </si>
  <si>
    <t>вул. Іларіона Сухомлина, 32</t>
  </si>
  <si>
    <t>(05361)91159</t>
  </si>
  <si>
    <t>23547184</t>
  </si>
  <si>
    <t>Войнихівська загальноосвітня школа І-ІІІ ступенів Засульської сільської ради Полтавської області</t>
  </si>
  <si>
    <t>37554</t>
  </si>
  <si>
    <t>5322881201</t>
  </si>
  <si>
    <t>Войниха</t>
  </si>
  <si>
    <t>(05361)94640</t>
  </si>
  <si>
    <t>http://Voiniha.at.ua</t>
  </si>
  <si>
    <t>23547190</t>
  </si>
  <si>
    <t>Пісківська загальноосвітня школа І-ІІ ступенів Засульської сільської ради Полтавської області</t>
  </si>
  <si>
    <t>37551</t>
  </si>
  <si>
    <t>5322881205</t>
  </si>
  <si>
    <t>вул. П’ятикопа, 3</t>
  </si>
  <si>
    <t>(053)61</t>
  </si>
  <si>
    <t>http://pisky-lub.edu.poltava.ua</t>
  </si>
  <si>
    <t>23547439</t>
  </si>
  <si>
    <t>Вищебулатецька загальноосвітня школа І-ІІІ ступенів Засульської сільської ради Полтавської області</t>
  </si>
  <si>
    <t>37544</t>
  </si>
  <si>
    <t>5322881401</t>
  </si>
  <si>
    <t>Вищий Булатець</t>
  </si>
  <si>
    <t>вул. Халявицького, 12</t>
  </si>
  <si>
    <t>(05361)99240</t>
  </si>
  <si>
    <t>http://www.vbulatec.ucoz.ua</t>
  </si>
  <si>
    <t>23547178</t>
  </si>
  <si>
    <t>Нижчебулатецька загальноосвітня школа I-II ступенів Засульської сільської ради</t>
  </si>
  <si>
    <t>37545</t>
  </si>
  <si>
    <t>5322881404</t>
  </si>
  <si>
    <t>Нижній Булатець</t>
  </si>
  <si>
    <t>вул. Садова, 1 Б</t>
  </si>
  <si>
    <t>(05361)99265</t>
  </si>
  <si>
    <t>23547405</t>
  </si>
  <si>
    <t>Духівська загальноосвітня школа І-ІІІ ступенів імені П.М. Рака Лубенської районної ради Полтавської області</t>
  </si>
  <si>
    <t>37520</t>
  </si>
  <si>
    <t>5322881801</t>
  </si>
  <si>
    <t>Духове</t>
  </si>
  <si>
    <t>вул. Центральна, 38 а</t>
  </si>
  <si>
    <t>(05361)94171</t>
  </si>
  <si>
    <t>23547209</t>
  </si>
  <si>
    <t>Жданівський навчально-виховний комплекс (загальноосвітня школа І-ІІІ ступенів-дошкільний заклад)</t>
  </si>
  <si>
    <t>37510</t>
  </si>
  <si>
    <t>5322882201</t>
  </si>
  <si>
    <t>Ждани</t>
  </si>
  <si>
    <t>вул. Центральна, 1Б</t>
  </si>
  <si>
    <t>(05361)93740</t>
  </si>
  <si>
    <t>23547215</t>
  </si>
  <si>
    <t>Ісківська загальноосвітня школа І-ІІІ ступенів Лубенської районної ради Полтавської області</t>
  </si>
  <si>
    <t>37572</t>
  </si>
  <si>
    <t>5322882701</t>
  </si>
  <si>
    <t>вул. Центральна, 64В</t>
  </si>
  <si>
    <t>94-240</t>
  </si>
  <si>
    <t>23547238</t>
  </si>
  <si>
    <t>Опорний заклад "Калайдинцівська загальноосвітня школа І-ІІІ ступенів імені Ф.Д.Рубцова" Лубенської районної ради Полтавської області</t>
  </si>
  <si>
    <t>37525</t>
  </si>
  <si>
    <t>5322883201</t>
  </si>
  <si>
    <t>Калайдинці</t>
  </si>
  <si>
    <t>вул. Рубцова, 57</t>
  </si>
  <si>
    <t>(3805361)93140</t>
  </si>
  <si>
    <t>23547244</t>
  </si>
  <si>
    <t>Литвяківська загальноосвітня школа І - ІІІ ступенів Лубенської районної ради Полтавської області</t>
  </si>
  <si>
    <t>37531</t>
  </si>
  <si>
    <t>5322883901</t>
  </si>
  <si>
    <t>Литвяки</t>
  </si>
  <si>
    <t>(5361)94-4-40</t>
  </si>
  <si>
    <t>23547250</t>
  </si>
  <si>
    <t>Мацківська загальноосвітня школа І-ІІІ ступенів Засульської сільської ради Полтавської області</t>
  </si>
  <si>
    <t>37574</t>
  </si>
  <si>
    <t>5322884001</t>
  </si>
  <si>
    <t>Мацківці</t>
  </si>
  <si>
    <t>(05361)95140</t>
  </si>
  <si>
    <t>23547267</t>
  </si>
  <si>
    <t>Вільшанська загальноосвітня школа І-ІІ ступенів Засульської сільської ради Полтавської області</t>
  </si>
  <si>
    <t>37501</t>
  </si>
  <si>
    <t>5322884602</t>
  </si>
  <si>
    <t>(05361)99152</t>
  </si>
  <si>
    <t>http://vilshanka.edu.poltava.ua/</t>
  </si>
  <si>
    <t>23547379</t>
  </si>
  <si>
    <t>МИХНІВСЬКА ЗАГАЛЬНООСВІТНЯ ШКОЛА І-ІІІ СТУПЕНІВ ЗАСУЛЬСЬКОЇ СІЛЬСЬКОЇ РАДИЇ ПОЛТАВСЬКОЇ ОБЛАСТІ</t>
  </si>
  <si>
    <t>37575</t>
  </si>
  <si>
    <t>5322884901</t>
  </si>
  <si>
    <t>Михнівці</t>
  </si>
  <si>
    <t>(05361)97168</t>
  </si>
  <si>
    <t>http://sites.google.com/site/mihnivska</t>
  </si>
  <si>
    <t>23547273</t>
  </si>
  <si>
    <t>Новаківська загальноосвітня школа І-ІІІ ступенів ім. П.М. Щербаня Засульської сільської ради Полтавської області</t>
  </si>
  <si>
    <t>5322885101</t>
  </si>
  <si>
    <t>вул. Щербаня</t>
  </si>
  <si>
    <t>(05361)95340</t>
  </si>
  <si>
    <t>23547286</t>
  </si>
  <si>
    <t>Новооріхівська ЗШ І-ІІІ ступенів ім. О.Г.Лелеченка Лубенської районної ради Полтавської області</t>
  </si>
  <si>
    <t>37562</t>
  </si>
  <si>
    <t>5322885201</t>
  </si>
  <si>
    <t>Новооріхівка</t>
  </si>
  <si>
    <t>вул. Леонтовича, 16</t>
  </si>
  <si>
    <t>(05361)91-3-36</t>
  </si>
  <si>
    <t>23547296</t>
  </si>
  <si>
    <t>Оріхівська загальноосвітня школа І-ІІІ ступенів імені В.М.Леонтовича Засульської сільської ради Полтавської області</t>
  </si>
  <si>
    <t>37560</t>
  </si>
  <si>
    <t>5322885301</t>
  </si>
  <si>
    <t>вул. Агромістечко, 6</t>
  </si>
  <si>
    <t>(053)61998126</t>
  </si>
  <si>
    <t>23547304</t>
  </si>
  <si>
    <t>Снітинська загальноосвітня школа І-ІІІ ступенів Лубенської районної ради Полтавської області</t>
  </si>
  <si>
    <t>37530</t>
  </si>
  <si>
    <t>5322886201</t>
  </si>
  <si>
    <t>Снітин</t>
  </si>
  <si>
    <t>(05361)93340</t>
  </si>
  <si>
    <t>http://snitunscka.ucoz.ua</t>
  </si>
  <si>
    <t>23547310</t>
  </si>
  <si>
    <t>Опорний заклад "Засульська загальноосвітня школа І-ІІІ ступенів-гімназія Засульської сілської ради Полтавської області"</t>
  </si>
  <si>
    <t>37552</t>
  </si>
  <si>
    <t>5322886601</t>
  </si>
  <si>
    <t>Засулля</t>
  </si>
  <si>
    <t>вул. Молодіжна, 81А</t>
  </si>
  <si>
    <t>(05361)92249</t>
  </si>
  <si>
    <t>23547221</t>
  </si>
  <si>
    <t>Тарандинцівська загальноосвітня школа І-ІІІ ступенів імені В.А.Симоненка Лубенської районної ради Полтавської області</t>
  </si>
  <si>
    <t>37540</t>
  </si>
  <si>
    <t>5322887001</t>
  </si>
  <si>
    <t>Тарандинці</t>
  </si>
  <si>
    <t>(3805361)96140</t>
  </si>
  <si>
    <t>23547327</t>
  </si>
  <si>
    <t>Хорошківська загальноосвітня школа І-ІІІ ступенів Лубенської районної ради Полтавської області</t>
  </si>
  <si>
    <t>37512</t>
  </si>
  <si>
    <t>5322887901</t>
  </si>
  <si>
    <t>Хорошки</t>
  </si>
  <si>
    <t>(05361)97-640</t>
  </si>
  <si>
    <t>23547333</t>
  </si>
  <si>
    <t>Машівська вечірня (змінна) загальноосвітня школа ІІ-ІІІ ступенів Машівської районної ради Полтавської області</t>
  </si>
  <si>
    <t>39400</t>
  </si>
  <si>
    <t>5323055100</t>
  </si>
  <si>
    <t>Машівка</t>
  </si>
  <si>
    <t>вул. Юрія Печериці (Жовтнева), 9А</t>
  </si>
  <si>
    <t>(05364)91250</t>
  </si>
  <si>
    <t>Машівська спеціалізована школа І-ІІІ ступенів Машівської районної ради полтавської області</t>
  </si>
  <si>
    <t>вул. Жовтнева, 9А</t>
  </si>
  <si>
    <t>(05364)91085</t>
  </si>
  <si>
    <t>Абрамівський навчально-виховний комплекс "Загальноосвітній навчальний заклад - дошкільний навчальний заклад" Машівської районної ради Порлтавської області</t>
  </si>
  <si>
    <t>39441</t>
  </si>
  <si>
    <t>5323080201</t>
  </si>
  <si>
    <t>Абрамівка</t>
  </si>
  <si>
    <t>Андріївська загальноосвітня школа І-ІІ ступенів Машівської районної ради Полтавської області</t>
  </si>
  <si>
    <t>39442</t>
  </si>
  <si>
    <t>5323080401</t>
  </si>
  <si>
    <t>(05364)9-3617</t>
  </si>
  <si>
    <t>Базилівщинська загальноосвітня школа І-ІІ ступенів Машівської районної ради Полтавської області</t>
  </si>
  <si>
    <t>39420</t>
  </si>
  <si>
    <t>5323080701</t>
  </si>
  <si>
    <t>Базилівщина</t>
  </si>
  <si>
    <t>(05364)91355</t>
  </si>
  <si>
    <t>Дмитрівська загальноосвітня школа І-ІІІ ступенів Машівської районної ради Полтавської області</t>
  </si>
  <si>
    <t>39440</t>
  </si>
  <si>
    <t>5323081301</t>
  </si>
  <si>
    <t>(05364)96190</t>
  </si>
  <si>
    <t>https://sites.google.com/site/dmitrivskazosiiiistupeniv</t>
  </si>
  <si>
    <t>Кошманівський навчально-виховний комплекс"загальноосвітній навчальний заклад І-ІІІ ступенів-дошкільний навчальний заклад" Машівської районної ради Полтавської області</t>
  </si>
  <si>
    <t>39411</t>
  </si>
  <si>
    <t>5323082201</t>
  </si>
  <si>
    <t>Кошманівка</t>
  </si>
  <si>
    <t>(05364)9-51-24</t>
  </si>
  <si>
    <t>Кустолово-Суходільська загальноосвітня школа І-ІІІ ступенів Машівської районної ради Полтавської області</t>
  </si>
  <si>
    <t>39433</t>
  </si>
  <si>
    <t>5323082601</t>
  </si>
  <si>
    <t>Кустолово-Суходілка</t>
  </si>
  <si>
    <t>(05364)93518</t>
  </si>
  <si>
    <t>Михайлівський опорний навчальний заклад (загальноосвітня школа І-ІІІ ступенів) Машівської районної ради Полтавської області</t>
  </si>
  <si>
    <t>39443</t>
  </si>
  <si>
    <t>5323083801</t>
  </si>
  <si>
    <t>вул. Молодіжна, № 9</t>
  </si>
  <si>
    <t>(05364)9-41-85</t>
  </si>
  <si>
    <t>Новотагамлицький навчально-виховний комплекс "загальноосвітній навчальний заклад-дошкільний навчальний заклад" Машівської районної ради Полтавської області</t>
  </si>
  <si>
    <t>39432</t>
  </si>
  <si>
    <t>5323084401</t>
  </si>
  <si>
    <t>Новий Тагамлик</t>
  </si>
  <si>
    <t>вул. Староцерковна(Жовтнева), 2</t>
  </si>
  <si>
    <t>(05364)93324</t>
  </si>
  <si>
    <t>Ряськівський навчально-виховний комплекс "загальноосвітній навчальний заклад - дошкільний навчальний заклад" Машівської районної ради Полтавської області</t>
  </si>
  <si>
    <t>39453</t>
  </si>
  <si>
    <t>5323085601</t>
  </si>
  <si>
    <t>Ряське</t>
  </si>
  <si>
    <t>(05364)93444</t>
  </si>
  <si>
    <t>Сахнівщинський навчально-виховний комплекс "загальноосвітній навчальний заклад-дошкільний навчальний заклад"Машівської районної ради Полтавської області</t>
  </si>
  <si>
    <t>39421</t>
  </si>
  <si>
    <t>5323086201</t>
  </si>
  <si>
    <t>Сахнівщина</t>
  </si>
  <si>
    <t>вул. Українська( Жовтнева), 56</t>
  </si>
  <si>
    <t>(05364)96215</t>
  </si>
  <si>
    <t>Селещинська загальноосвітня школа І - ІІІ ступенів Машівської районої ради Полтавської області</t>
  </si>
  <si>
    <t>39430</t>
  </si>
  <si>
    <t>5323086601</t>
  </si>
  <si>
    <t>Селещина</t>
  </si>
  <si>
    <t>0536491692</t>
  </si>
  <si>
    <t>Сонячний навчально-виховний комплекс " загальноосвітній навчальний заклад- дошкільний навчальний заклад" Машівської районної ради Полтавської області</t>
  </si>
  <si>
    <t>39410</t>
  </si>
  <si>
    <t>5323087205</t>
  </si>
  <si>
    <t>(05364)95413</t>
  </si>
  <si>
    <t>https://sites.google.com/site/sonyacnijnvk</t>
  </si>
  <si>
    <t>Комишнянська загальноосвітня школа І - ІІІ ступенів Миргородської районної ради Полтавської області</t>
  </si>
  <si>
    <t>37613</t>
  </si>
  <si>
    <t>5323255400</t>
  </si>
  <si>
    <t>Комишня</t>
  </si>
  <si>
    <t>вул. Миру, 88</t>
  </si>
  <si>
    <t>(05355)36372</t>
  </si>
  <si>
    <t>Ромоданівська загальноосвітня школа І-ІІІ ступенів Миргородської районної ради Полтавської області</t>
  </si>
  <si>
    <t>37650</t>
  </si>
  <si>
    <t>5323255700</t>
  </si>
  <si>
    <t>Ромодан</t>
  </si>
  <si>
    <t>(05355)34440</t>
  </si>
  <si>
    <t>Біликівський навчально - виховний комплекс Миргородської районної ради Полтавської області</t>
  </si>
  <si>
    <t>37661</t>
  </si>
  <si>
    <t>5323280201</t>
  </si>
  <si>
    <t>(05355)53424</t>
  </si>
  <si>
    <t>Декабристівський навчально-виховний комплекс Миргородської районної ради Полтавської області</t>
  </si>
  <si>
    <t>37644</t>
  </si>
  <si>
    <t>5323280402</t>
  </si>
  <si>
    <t>Декабристів</t>
  </si>
  <si>
    <t>вул. Миру, 42</t>
  </si>
  <si>
    <t>(5323280402)30-4-97</t>
  </si>
  <si>
    <t>Великообухівська загальноосвітня школа І-ІІІ ступенів</t>
  </si>
  <si>
    <t>37640</t>
  </si>
  <si>
    <t>5323280701</t>
  </si>
  <si>
    <t>Велика Обухівка</t>
  </si>
  <si>
    <t>вул. Шкільна, 14 А</t>
  </si>
  <si>
    <t>(053-55)31-3-44</t>
  </si>
  <si>
    <t>Великосорочинська загальноосвітня санаторна школа-інтернат І-ІІІ ступенів Миргородського району Полтавської обласної ради</t>
  </si>
  <si>
    <t>37645</t>
  </si>
  <si>
    <t>5323281001</t>
  </si>
  <si>
    <t>Великі Сорочинці</t>
  </si>
  <si>
    <t>вул. Миргородська, 40</t>
  </si>
  <si>
    <t>(05355)31624</t>
  </si>
  <si>
    <t>22544812</t>
  </si>
  <si>
    <t>Великосорочинська загальноосвітня школа І-ІІІ ступенів Великосорочинської сільської ради Миргородського району Полтавської області</t>
  </si>
  <si>
    <t>(05355)31652, (05355)31851</t>
  </si>
  <si>
    <t>http://zoshvs.at.ua/</t>
  </si>
  <si>
    <t>Гаркушинська спеціалізована школа І-ІІІ ступенів Миргородської районної ради Полтавської області</t>
  </si>
  <si>
    <t>37670</t>
  </si>
  <si>
    <t>5323281401</t>
  </si>
  <si>
    <t>Гаркушинці</t>
  </si>
  <si>
    <t>вул. Полякова, 17</t>
  </si>
  <si>
    <t>(05355)30575</t>
  </si>
  <si>
    <t>http://garkschool.ucoz.ua</t>
  </si>
  <si>
    <t>Дібрівська загальноосвітня школа І-ІІІ ступенів Миргородської районної ради Полтавської області</t>
  </si>
  <si>
    <t>37622</t>
  </si>
  <si>
    <t>5323281801</t>
  </si>
  <si>
    <t>(05355)34337</t>
  </si>
  <si>
    <t>Зубівський навчально-виховний комплекс Миргородської районної ради Полтавської області</t>
  </si>
  <si>
    <t>37660</t>
  </si>
  <si>
    <t>5323282201</t>
  </si>
  <si>
    <t>вул. Давида Гурамішвілі, 1</t>
  </si>
  <si>
    <t>(05355)35-2-23</t>
  </si>
  <si>
    <t>Зуївцівська ЗОШ І-ІІІ ступенів Миргородської районної ради Полтавської області</t>
  </si>
  <si>
    <t>37630</t>
  </si>
  <si>
    <t>5323282401</t>
  </si>
  <si>
    <t>Зуївці</t>
  </si>
  <si>
    <t>(05355)37740</t>
  </si>
  <si>
    <t>http://zuyivzi-znz.ucoz.ua/</t>
  </si>
  <si>
    <t>Кибинська загальноосвітня школа І-ІІІ ступенів Полтавська область Миргородський район</t>
  </si>
  <si>
    <t>37654</t>
  </si>
  <si>
    <t>5323282801</t>
  </si>
  <si>
    <t>Кибинці</t>
  </si>
  <si>
    <t>вул. Чапаєва, 42</t>
  </si>
  <si>
    <t>0677755288</t>
  </si>
  <si>
    <t>Клюшниківська загальноосвітня школа І - ІІІ ступенів Миргородської районної ради Полтавської області</t>
  </si>
  <si>
    <t>37620</t>
  </si>
  <si>
    <t>5323283401</t>
  </si>
  <si>
    <t>Клюшниківка</t>
  </si>
  <si>
    <t>(05355)34669</t>
  </si>
  <si>
    <t>Остапівська загальноосвітня школа І-ІІІступенів Миргородської районної ради Полтавської області</t>
  </si>
  <si>
    <t>37610</t>
  </si>
  <si>
    <t>5323284601</t>
  </si>
  <si>
    <t>Остапівка</t>
  </si>
  <si>
    <t>(05355)37340</t>
  </si>
  <si>
    <t>Петрівцівська загальноосвітня школа І-ІІІ ступенів Миргородської районної ради Полтавської області</t>
  </si>
  <si>
    <t>37673</t>
  </si>
  <si>
    <t>5323285201</t>
  </si>
  <si>
    <t>Петрівці</t>
  </si>
  <si>
    <t>(05355)32-5-40</t>
  </si>
  <si>
    <t>http://petrivzi-scola.ucoz.ru/</t>
  </si>
  <si>
    <t>Полив'янський навчально-виховний комплекс Великосорочинської сільської ради Миргородського району Полтавської області</t>
  </si>
  <si>
    <t>37663</t>
  </si>
  <si>
    <t>5323285601</t>
  </si>
  <si>
    <t>Полив'яне</t>
  </si>
  <si>
    <t>(05355)30-2-40</t>
  </si>
  <si>
    <t>http://polskul2.ucoz.ru</t>
  </si>
  <si>
    <t>Попівська загальноосвітня школа І - ІІІ ступенів Миргородської районної ради Полтавської області</t>
  </si>
  <si>
    <t>36733</t>
  </si>
  <si>
    <t>5323286001</t>
  </si>
  <si>
    <t>(05355)37540</t>
  </si>
  <si>
    <t>Савинцівська загальноосвітня школа І - ІІІ ступенів Миргородської районної ради Полтавської області</t>
  </si>
  <si>
    <t>37642</t>
  </si>
  <si>
    <t>5323287201</t>
  </si>
  <si>
    <t>(05355)31285</t>
  </si>
  <si>
    <t>http://savynci-school.at.ua</t>
  </si>
  <si>
    <t>Опорний навчальний заклад "Хомутецька загальноосвітня школа І-ІІІ ступенів Миргородської районної ради Полтавської області"</t>
  </si>
  <si>
    <t>37634</t>
  </si>
  <si>
    <t>5323288201</t>
  </si>
  <si>
    <t>(05355)35540</t>
  </si>
  <si>
    <t>http://xomytes.at.ua</t>
  </si>
  <si>
    <t>Черкащанський навчально-виховний комплекс Миргородської районної ради Полтавської області</t>
  </si>
  <si>
    <t>37612</t>
  </si>
  <si>
    <t>5323288901</t>
  </si>
  <si>
    <t>Черкащани</t>
  </si>
  <si>
    <t>(05355)37240</t>
  </si>
  <si>
    <t>http://Cherkashan-hcol.at.ua</t>
  </si>
  <si>
    <t>Трудолюбівська загальноосвітня школа І-ІІІ ступенів Миргородської районної ради Полтавської області</t>
  </si>
  <si>
    <t>37653</t>
  </si>
  <si>
    <t>5323289206</t>
  </si>
  <si>
    <t>Трудолюб</t>
  </si>
  <si>
    <t>вул. Першотравнева, 9</t>
  </si>
  <si>
    <t>(05355)33631</t>
  </si>
  <si>
    <t>Новосанжарський навчально-виховний комплекс Новосанжарської районної ради Полтавської області</t>
  </si>
  <si>
    <t>39300</t>
  </si>
  <si>
    <t>5323455100</t>
  </si>
  <si>
    <t>Нові Санжари</t>
  </si>
  <si>
    <t>(05344)31907, (05344)31781</t>
  </si>
  <si>
    <t>13935778</t>
  </si>
  <si>
    <t>Богданівський навчально-виховний комплекс Новосанжарської районної ради Полтавської області</t>
  </si>
  <si>
    <t>39341</t>
  </si>
  <si>
    <t>5323480301</t>
  </si>
  <si>
    <t>вул. Трудова, 2</t>
  </si>
  <si>
    <t>Великокобелячківська загальноосвітня школа І - ІІІ ступенів Новосанжарської районної ради Полтавської області</t>
  </si>
  <si>
    <t>39331</t>
  </si>
  <si>
    <t>5323480401</t>
  </si>
  <si>
    <t>Великий Кобелячок</t>
  </si>
  <si>
    <t>(05344)9-43-40</t>
  </si>
  <si>
    <t>Великосолонцівська загальноосвітня школа І-ІІ ступенів Новосанжарської районної ради Полтавської області</t>
  </si>
  <si>
    <t>39342</t>
  </si>
  <si>
    <t>5323480701</t>
  </si>
  <si>
    <t>Великі Солонці</t>
  </si>
  <si>
    <t>вул. Першотравнева, 1А</t>
  </si>
  <si>
    <t>93440</t>
  </si>
  <si>
    <t>Мушиногреблянська загальноосвітня школа І ступеня Новосанжарської районної ради Полтавської області</t>
  </si>
  <si>
    <t>39344</t>
  </si>
  <si>
    <t>5323480905</t>
  </si>
  <si>
    <t>Мушина Гребля</t>
  </si>
  <si>
    <t>пров. Колгоспний, 2</t>
  </si>
  <si>
    <t>(05344)93759</t>
  </si>
  <si>
    <t>Драбинівський навчально-виховний комплекс "загальноосвітня школа І-ІІІ ступенів - дошкільний навчальний заклад" Новосанжарської районної ради Полтавської області</t>
  </si>
  <si>
    <t>39351</t>
  </si>
  <si>
    <t>5323481001</t>
  </si>
  <si>
    <t>Драбинівка</t>
  </si>
  <si>
    <t>(05344)9-47-40</t>
  </si>
  <si>
    <t>Зачепилівська загальноосвітня школа І-ІІ ступенів імені Бориса Олійника Новосанжарської районної ї ради Полтавської області</t>
  </si>
  <si>
    <t>5323481201</t>
  </si>
  <si>
    <t>Зачепилівка</t>
  </si>
  <si>
    <t>0534433757</t>
  </si>
  <si>
    <t>Крутобалківська загальноосвітня школа І-ІІІ ступенів Новосанжарської районної ради Полтавської області</t>
  </si>
  <si>
    <t>39350</t>
  </si>
  <si>
    <t>5323481801</t>
  </si>
  <si>
    <t>Крута Балка</t>
  </si>
  <si>
    <t>Кунцівська загальноосвітня школа I - III ступенів Новосанжарської районної ради Полтавської області</t>
  </si>
  <si>
    <t>39314</t>
  </si>
  <si>
    <t>5323482201</t>
  </si>
  <si>
    <t>Кунцеве</t>
  </si>
  <si>
    <t>вул. Полтавська, 2</t>
  </si>
  <si>
    <t>(05344)9-42-40</t>
  </si>
  <si>
    <t>http://kuncevo.ucoz.ru/</t>
  </si>
  <si>
    <t>Кустолівська загаьноосвітня школа І-ІІІ ступенів Новосанжарської районної ради</t>
  </si>
  <si>
    <t>39340</t>
  </si>
  <si>
    <t>5323482501</t>
  </si>
  <si>
    <t>Кустолове</t>
  </si>
  <si>
    <t>(05322)97240</t>
  </si>
  <si>
    <t>Лелюхівська загальноосвітня школа І-ІІ ступенів Новосанжарської районної ради Полтавської області</t>
  </si>
  <si>
    <t>39363</t>
  </si>
  <si>
    <t>5323482801</t>
  </si>
  <si>
    <t>Лелюхівка</t>
  </si>
  <si>
    <t>вул. Жовтнева, 27</t>
  </si>
  <si>
    <t>(05344)32940</t>
  </si>
  <si>
    <t>Лівенський навчально-виховний комплекс"загальноосвітня школа І-ІІ ступенів-дошкільний навчальний заклад"Новосанжарської районної ради Полтавської області</t>
  </si>
  <si>
    <t>39360</t>
  </si>
  <si>
    <t>5323483001</t>
  </si>
  <si>
    <t>Лівенське</t>
  </si>
  <si>
    <t>(05344)97529</t>
  </si>
  <si>
    <t>Малокобелячківська загальноосвітня школа І-ІІІ ступенів Новосанжарської районної ради Полтавської області</t>
  </si>
  <si>
    <t>39333</t>
  </si>
  <si>
    <t>5323483201</t>
  </si>
  <si>
    <t>Малий Кобелячок</t>
  </si>
  <si>
    <t>(05344)92140</t>
  </si>
  <si>
    <t>http://mkobeljachok.ucoz.ru/</t>
  </si>
  <si>
    <t>Малоперещепинська загальноосвітня школа І-ІІІ ступенів імені М.А. Клименка Новосанжарської районної ради Полтавської області</t>
  </si>
  <si>
    <t>39320</t>
  </si>
  <si>
    <t>5323483401</t>
  </si>
  <si>
    <t>Мала Перещепина</t>
  </si>
  <si>
    <t>вул. Клименка, 14</t>
  </si>
  <si>
    <t>(05344)9-52-09</t>
  </si>
  <si>
    <t>Пристанційнівська загальноосвітня школа І-ІІІ ступенів Новосанжарської районної ради Полтавської області</t>
  </si>
  <si>
    <t>39322</t>
  </si>
  <si>
    <t>5323483408</t>
  </si>
  <si>
    <t>Пристанційне</t>
  </si>
  <si>
    <t>вул. Шкільна, 53А</t>
  </si>
  <si>
    <t>(05344)9-52-57</t>
  </si>
  <si>
    <t>Маячківська загальноосвітня школа І - ІІІ ступенів імені академіків Левицьких Новосанжарської районної ради Полтавської області</t>
  </si>
  <si>
    <t>39362</t>
  </si>
  <si>
    <t>5323483701</t>
  </si>
  <si>
    <t>Маячка</t>
  </si>
  <si>
    <t>вул. Локшина, 2</t>
  </si>
  <si>
    <t>http://mschool.at.ua</t>
  </si>
  <si>
    <t>Нехворощанська загальноосвітня школа І-ІІІ ступенів Новосанжарської районної ради Полтавської області</t>
  </si>
  <si>
    <t>39354</t>
  </si>
  <si>
    <t>5323484201</t>
  </si>
  <si>
    <t>Нехвороща</t>
  </si>
  <si>
    <t>вул. Центральна, 36А</t>
  </si>
  <si>
    <t>(05344)96440, (05344)96540</t>
  </si>
  <si>
    <t>http://nehvschool.info/</t>
  </si>
  <si>
    <t>Писарівська загальноосвітня школа І ступеня Новосанжарської районної ради Новосанжарського району Полтавської області</t>
  </si>
  <si>
    <t>39321</t>
  </si>
  <si>
    <t>5323484301</t>
  </si>
  <si>
    <t>вул. Центральна, 182В</t>
  </si>
  <si>
    <t>(05344)35201</t>
  </si>
  <si>
    <t>Пологівський навчально-виховний компекс "загальноосвітня школа І-ІІ ступенів - дошкільний навчальний заклад" Новосанжарської районної ради Полтавської області</t>
  </si>
  <si>
    <t>5323484401</t>
  </si>
  <si>
    <t>вул. Тараса Шевченка, 1, а</t>
  </si>
  <si>
    <t>(05344)95334</t>
  </si>
  <si>
    <t>Полузірський навчально - виховний комплекс "дошкільний навчальний заклад - середня школа І - ІІІ ступенів " Новосанжарської районної ради Полтавської області</t>
  </si>
  <si>
    <t>39310</t>
  </si>
  <si>
    <t>5323484601</t>
  </si>
  <si>
    <t>Полузір'я</t>
  </si>
  <si>
    <t>вул. Соборності, 29</t>
  </si>
  <si>
    <t>(05344)9-33-40</t>
  </si>
  <si>
    <t>http://poluzirja.at.ua/</t>
  </si>
  <si>
    <t>Старосанжарська загальноосвітня школа І-ІІІ ступенів імені Оксани Мешко Новосанжарської районної ради Полтавської області</t>
  </si>
  <si>
    <t>39313</t>
  </si>
  <si>
    <t>5323485001</t>
  </si>
  <si>
    <t>Старі Санжари</t>
  </si>
  <si>
    <t>вул. Старосанжарська, 73</t>
  </si>
  <si>
    <t>(05344)93540</t>
  </si>
  <si>
    <t>http://sanjarizosh.ucoz.ua</t>
  </si>
  <si>
    <t>Опорний заклад "Руденківська загальноосвітня школа I-III ступенів" Новосанжарської районної ради Полтавської області</t>
  </si>
  <si>
    <t>39323</t>
  </si>
  <si>
    <t>5323485501</t>
  </si>
  <si>
    <t>Руденківка</t>
  </si>
  <si>
    <t>(05344)9-82-40</t>
  </si>
  <si>
    <t>http://rudenkovka.ucoz.ua</t>
  </si>
  <si>
    <t>Дубинівський навчально-виховний комплекс "Загальноосвітня школа І-ІІ ступенів — дошкільний навчальний заклад" Новосанжарської районної ради Полтавської області</t>
  </si>
  <si>
    <t>5323485502</t>
  </si>
  <si>
    <t>вул. Балівська, 4Б</t>
  </si>
  <si>
    <t>(05344)98426</t>
  </si>
  <si>
    <t>http://www.okta.v-teme.com/</t>
  </si>
  <si>
    <t>Соколовобалківська загальноосвітня школа І - ІІІ ступенів, Новосанжарської районної ради, Полтавської області</t>
  </si>
  <si>
    <t>39352</t>
  </si>
  <si>
    <t>5323486001</t>
  </si>
  <si>
    <t>Соколова Балка</t>
  </si>
  <si>
    <t>((805344))9-25-40</t>
  </si>
  <si>
    <t>Андріївська загальноосвітня санаторна школа-інтернат І-ІІ ступенів Новосанжарського району Полтавської обласної ради</t>
  </si>
  <si>
    <t>5323486002</t>
  </si>
  <si>
    <t>(05344)92526</t>
  </si>
  <si>
    <t>04590694</t>
  </si>
  <si>
    <t>Стовбинодолинський навчально-виховний комплекс "загальноосвітня школа І-ІІ ступенів - дошкільний навчальний заклад" Новосанжарської районної ради Полтавської області</t>
  </si>
  <si>
    <t>39312</t>
  </si>
  <si>
    <t>5323486401</t>
  </si>
  <si>
    <t>Стовбина Долина</t>
  </si>
  <si>
    <t>9-45-40</t>
  </si>
  <si>
    <t>http://stovbynodolynskyi-nvk.pl.sch.in.ua</t>
  </si>
  <si>
    <t>Супротивнобалківська загальноосвітня школа І-ІІ ступенів</t>
  </si>
  <si>
    <t>39330</t>
  </si>
  <si>
    <t>5323486801</t>
  </si>
  <si>
    <t>Супротивна Балка</t>
  </si>
  <si>
    <t>вул. Говтвянська, 12</t>
  </si>
  <si>
    <t>(05344)97740</t>
  </si>
  <si>
    <t>Сухомаячківська загальноосвітня школа І-ІІІ ступенів Новосанжарської районної ради Полтавської області</t>
  </si>
  <si>
    <t>39343</t>
  </si>
  <si>
    <t>5323487201</t>
  </si>
  <si>
    <t>Суха Маячка</t>
  </si>
  <si>
    <t>(05344)97440</t>
  </si>
  <si>
    <t>https://sites.google.com/site/suhomaackivskaskola/</t>
  </si>
  <si>
    <t>Шедіївська загальноосвітня школа І-ІІ ступенів ім. Віктора Ходака Новосанжарської районної ради Полтавської області</t>
  </si>
  <si>
    <t>39361</t>
  </si>
  <si>
    <t>5323487601</t>
  </si>
  <si>
    <t>Шедієве</t>
  </si>
  <si>
    <t>(05344)9-46-40</t>
  </si>
  <si>
    <t>Опорний заклад "Оржицька загальноосвітня щкола І-ІІІ ступенів імені І. Я. Франка Оржицької районної ради Полтавської області"</t>
  </si>
  <si>
    <t>37700</t>
  </si>
  <si>
    <t>5323655100</t>
  </si>
  <si>
    <t>Оржиця</t>
  </si>
  <si>
    <t>(05357)91456</t>
  </si>
  <si>
    <t>Опорний заклад "Новооржицька загальноосвітня школа І-ІІІ ступенів" Оржицької районної ради Полтавської області</t>
  </si>
  <si>
    <t>37714</t>
  </si>
  <si>
    <t>5323655600</t>
  </si>
  <si>
    <t>Новооржицьке</t>
  </si>
  <si>
    <t>вул. Освітня, 3</t>
  </si>
  <si>
    <t>(05357)92694</t>
  </si>
  <si>
    <t>http://novoorzhicka.ucoz.ua</t>
  </si>
  <si>
    <t>Воронинцівська загальноосвітня школа І-ІІ ступенів</t>
  </si>
  <si>
    <t>37711</t>
  </si>
  <si>
    <t>5323680401</t>
  </si>
  <si>
    <t>Воронинці</t>
  </si>
  <si>
    <t>вул. Центральна, 12В</t>
  </si>
  <si>
    <t>98-3-40</t>
  </si>
  <si>
    <t>Денисівська загальноосвітня школа І - ІІІ ступенів імені В.В. Лесевича</t>
  </si>
  <si>
    <t>37732</t>
  </si>
  <si>
    <t>5323680801</t>
  </si>
  <si>
    <t>Денисівка</t>
  </si>
  <si>
    <t>вул. Володимира Лесевича, 12</t>
  </si>
  <si>
    <t>(257)9-94-93</t>
  </si>
  <si>
    <t>Зарізька загальноосвітня школа І-ІІІ ступенів імені М. Т. Симонова (Номиса) Оржицької районної ради Полтавської області</t>
  </si>
  <si>
    <t>37740</t>
  </si>
  <si>
    <t>5323681301</t>
  </si>
  <si>
    <t>Заріг</t>
  </si>
  <si>
    <t>вул. Миру, 158</t>
  </si>
  <si>
    <t>(05357)97381</t>
  </si>
  <si>
    <t>Золотухівська Загальноосвітня школа І-ІІ ступенів Оржицької Районної ради Полтавської області</t>
  </si>
  <si>
    <t>5323681601</t>
  </si>
  <si>
    <t>Золотухи</t>
  </si>
  <si>
    <t>ал. Широка, 47</t>
  </si>
  <si>
    <t>(05357)98649</t>
  </si>
  <si>
    <t>Тарасенківська загальноосвітня школа І-ІІ ступенів Оржицької районної ради Полтавської області</t>
  </si>
  <si>
    <t>37734</t>
  </si>
  <si>
    <t>5323681602</t>
  </si>
  <si>
    <t>Тарасенкове</t>
  </si>
  <si>
    <t>вул. Шкільна, 17А</t>
  </si>
  <si>
    <t>(05357)93133</t>
  </si>
  <si>
    <t>Круподеринська загальноосвітня школа І-ІІІ ступенів Оржицької районної ради Полтавської області</t>
  </si>
  <si>
    <t>37721</t>
  </si>
  <si>
    <t>5323682201</t>
  </si>
  <si>
    <t>Круподеринці</t>
  </si>
  <si>
    <t>(05357)93-5-35, (05357)93-5-18</t>
  </si>
  <si>
    <t>Вишнівська загальноосвітня школа І-ІІІ ступенів Оржицької районної ради Полтавської області</t>
  </si>
  <si>
    <t>37712</t>
  </si>
  <si>
    <t>5323682601</t>
  </si>
  <si>
    <t>(05357)93444</t>
  </si>
  <si>
    <t>Величківська загальноосвітня школа І-ІІ ступенів Оржицької районної ради Полтавської області</t>
  </si>
  <si>
    <t>37710</t>
  </si>
  <si>
    <t>5323683001</t>
  </si>
  <si>
    <t>Лазірки</t>
  </si>
  <si>
    <t>ал. Панаса Мирного, 21</t>
  </si>
  <si>
    <t>(05753)94323</t>
  </si>
  <si>
    <t>Лазірківська загальноосвітня школа І-ІІІ ступенів імені В.О.Підпалого Оржицької районної ради Полтавської області</t>
  </si>
  <si>
    <t>(05357)94330</t>
  </si>
  <si>
    <t>http://shlazorki.ucoz.com</t>
  </si>
  <si>
    <t>Лукімська загальноосвітня школа І-ІІІ ступенів Оржицької районної ради Полтавської області</t>
  </si>
  <si>
    <t>37751</t>
  </si>
  <si>
    <t>5323683601</t>
  </si>
  <si>
    <t>Лукім'я</t>
  </si>
  <si>
    <t>(05357)93243</t>
  </si>
  <si>
    <t>http://lukimia.at.ua</t>
  </si>
  <si>
    <t>Онішківська загальноосвітня школа І-ІІ ступенів Оржицької районної ради Полтавської області</t>
  </si>
  <si>
    <t>37706</t>
  </si>
  <si>
    <t>5323683801</t>
  </si>
  <si>
    <t>Онішки</t>
  </si>
  <si>
    <t>(05357)96-6-90</t>
  </si>
  <si>
    <t>Плехівська загальноосвітня школа І-ІІ ступенів Оржицької районної ради Полтавської області</t>
  </si>
  <si>
    <t>37752</t>
  </si>
  <si>
    <t>5323684201</t>
  </si>
  <si>
    <t>Плехів</t>
  </si>
  <si>
    <t>вул. Нестеренка Богдана, 50</t>
  </si>
  <si>
    <t>(05357)964440</t>
  </si>
  <si>
    <t>Райозерська загальноосвтня школа І-ІІІ ступенів Оржицької районної ради Полтавської області</t>
  </si>
  <si>
    <t>37730</t>
  </si>
  <si>
    <t>5323684601</t>
  </si>
  <si>
    <t>Райозеро</t>
  </si>
  <si>
    <t>вул. Леніна, 92</t>
  </si>
  <si>
    <t>(05357)99136</t>
  </si>
  <si>
    <t>Савинська загальноосвітня школа І - ІІ ступенів імені Героя Радянського Союзу Д.І. Бабака</t>
  </si>
  <si>
    <t>37722</t>
  </si>
  <si>
    <t>5323685101</t>
  </si>
  <si>
    <t>вул. Кооперативна, 5А</t>
  </si>
  <si>
    <t>(05357)99614</t>
  </si>
  <si>
    <t>Великоселецька загальноосвітня школа І - ІІ ступенів Оржицької районної ради Полтавської області</t>
  </si>
  <si>
    <t>37750</t>
  </si>
  <si>
    <t>5323685901</t>
  </si>
  <si>
    <t>Великоселецьке</t>
  </si>
  <si>
    <t>вул. Першотравнева, 24</t>
  </si>
  <si>
    <t>(05357)95274</t>
  </si>
  <si>
    <t>Староіржавецька загальноосвітня школа І-ІІІ ступенів Оржицької районної ради Полтавської області</t>
  </si>
  <si>
    <t>37741</t>
  </si>
  <si>
    <t>5323686401</t>
  </si>
  <si>
    <t>Старий Іржавець</t>
  </si>
  <si>
    <t>(257)97557</t>
  </si>
  <si>
    <t>Чайківщинська загальноосвітня школа І-ІІ ступенів Оржицької районної ради Полтавської області</t>
  </si>
  <si>
    <t>37742</t>
  </si>
  <si>
    <t>5323686403</t>
  </si>
  <si>
    <t>Чайківщина</t>
  </si>
  <si>
    <t>вул. Шкільна, 47</t>
  </si>
  <si>
    <t>(05357)97124</t>
  </si>
  <si>
    <t>Чевельчанська загальноосвітня школа І-ІІІ ступенів Оржицької районної ради Полтавської області</t>
  </si>
  <si>
    <t>37724</t>
  </si>
  <si>
    <t>5323687001</t>
  </si>
  <si>
    <t>Чевельча</t>
  </si>
  <si>
    <t>(05357)9-93-701</t>
  </si>
  <si>
    <t>Хорошківська загальноосвітня школа І-ІІ ступенів Оржицької районної ради Полтавської області</t>
  </si>
  <si>
    <t>37713</t>
  </si>
  <si>
    <t>5323687404</t>
  </si>
  <si>
    <t>вул. Мухівська, 14</t>
  </si>
  <si>
    <t>(05357)98153</t>
  </si>
  <si>
    <t>Чутівська загальноосвітня школа І-ІІІ ступенів Оржицької районної ради Полтавської області</t>
  </si>
  <si>
    <t>37743</t>
  </si>
  <si>
    <t>5323687701</t>
  </si>
  <si>
    <t>Чутівка</t>
  </si>
  <si>
    <t>(05357)96240</t>
  </si>
  <si>
    <t>Яблунівська загальноосвітня школа І-ІІІ ступенів Оржицької районної ради Полтавської області</t>
  </si>
  <si>
    <t>37720</t>
  </si>
  <si>
    <t>5323688201</t>
  </si>
  <si>
    <t>вул. Центральна, 60 Б</t>
  </si>
  <si>
    <t>(05357)96540</t>
  </si>
  <si>
    <t>Пирятинська загальноосвітня школа І - ІІ ступенів № 1 Пирятинської міської ради Полтавської області</t>
  </si>
  <si>
    <t>37000</t>
  </si>
  <si>
    <t>5323810100</t>
  </si>
  <si>
    <t>Пирятин</t>
  </si>
  <si>
    <t>вул. Зоряна, 116</t>
  </si>
  <si>
    <t>(05358)20540</t>
  </si>
  <si>
    <t>Пирятинська загальноосвітня школа І-ІІІ ступенів № 4 Пирятинської міської ради Полтавської області</t>
  </si>
  <si>
    <t>вул. Європейська, 2</t>
  </si>
  <si>
    <t>(05358)22244</t>
  </si>
  <si>
    <t>Опорний заклад Пирятинська загальноосвітня школа І-ІІІ ступенів № 6 Пирятинської міської ради Полтавської області</t>
  </si>
  <si>
    <t>вул. Гагаріна, 84</t>
  </si>
  <si>
    <t>(05358)20538</t>
  </si>
  <si>
    <t>http://pirschool6.klasna.com/</t>
  </si>
  <si>
    <t>23543944</t>
  </si>
  <si>
    <t>Пирятинський ліцей Пирятинської міської ради Полтавської області</t>
  </si>
  <si>
    <t>вул. Визволення, 2А</t>
  </si>
  <si>
    <t>0535820642</t>
  </si>
  <si>
    <t>Олександрівська загальноосвітня школа І ступеня Пирятинської міської ради Полтавської області</t>
  </si>
  <si>
    <t>37004</t>
  </si>
  <si>
    <t>5323880101</t>
  </si>
  <si>
    <t>(05358)65184</t>
  </si>
  <si>
    <t>Березоворудська загальноосвітня школа І- ІІІ ступенів Пирятинської районної ради Полтавської області</t>
  </si>
  <si>
    <t>37040</t>
  </si>
  <si>
    <t>5323880701</t>
  </si>
  <si>
    <t>Березова Рудка</t>
  </si>
  <si>
    <t>вул. Луценка, 40</t>
  </si>
  <si>
    <t>(05358)66167</t>
  </si>
  <si>
    <t>Великокручанська загальноосвітня школа І-ІІІ ступенів Пирятинської райдержадміністрації Полтавської області</t>
  </si>
  <si>
    <t>37052</t>
  </si>
  <si>
    <t>5323881001</t>
  </si>
  <si>
    <t>Велика Круча</t>
  </si>
  <si>
    <t>вул. Героїв Майдану, 110</t>
  </si>
  <si>
    <t>(05358)68337</t>
  </si>
  <si>
    <t>Повстинська загальноосвітня школа І-ІІ ступенів Пирятинської райдержадміністрації Полтавської області</t>
  </si>
  <si>
    <t>37053</t>
  </si>
  <si>
    <t>5323881003</t>
  </si>
  <si>
    <t>Повстин</t>
  </si>
  <si>
    <t>вул. Михайлівська, 70</t>
  </si>
  <si>
    <t>(05358)41031</t>
  </si>
  <si>
    <t>Вікторійська загальноосвітня школа І-ІІІ ступенів Пирятинської райдержадміністрації Полтавської області</t>
  </si>
  <si>
    <t>37044</t>
  </si>
  <si>
    <t>5323881401</t>
  </si>
  <si>
    <t>Вікторія</t>
  </si>
  <si>
    <t>(05358)62596</t>
  </si>
  <si>
    <t>Давидівська загальноосвітня школа І - ІІІ ступенів Пирятинської райдержадміністрації Полтавської області</t>
  </si>
  <si>
    <t>37010</t>
  </si>
  <si>
    <t>5323882201</t>
  </si>
  <si>
    <t>вул. Ватутіна, 21</t>
  </si>
  <si>
    <t>0535861358</t>
  </si>
  <si>
    <t>Новомартиновицька загальноосвітня школа І-ІІІ ступенів Пирятинської районної ради Полтавської області</t>
  </si>
  <si>
    <t>37012</t>
  </si>
  <si>
    <t>5323882204</t>
  </si>
  <si>
    <t>Нові Мартиновичі</t>
  </si>
  <si>
    <t>вул. Шевченка, 89А</t>
  </si>
  <si>
    <t>(05358)64228</t>
  </si>
  <si>
    <t>http://novo-osvita.at.ua</t>
  </si>
  <si>
    <t>Дейманівська загальноосвітня школа I-II ступенів Пирятинської райдержадміністрації Полтавської області</t>
  </si>
  <si>
    <t>37050</t>
  </si>
  <si>
    <t>5323882601</t>
  </si>
  <si>
    <t>Дейманівка</t>
  </si>
  <si>
    <t>вул. Наглого, 48</t>
  </si>
  <si>
    <t>(05358)67239</t>
  </si>
  <si>
    <t>Малютинська загальноосвітня школа І-ІІ ступенів Пирятинської райдержадміністрації Полтавської області</t>
  </si>
  <si>
    <t>37043</t>
  </si>
  <si>
    <t>5323883801</t>
  </si>
  <si>
    <t>Малютинці</t>
  </si>
  <si>
    <t>(05358)64-518</t>
  </si>
  <si>
    <t>Сасинівська загальноосвітня школа І-ІІ ступенів Пирятинської райдержадміністрації Полтавської області</t>
  </si>
  <si>
    <t>37032</t>
  </si>
  <si>
    <t>5323884901</t>
  </si>
  <si>
    <t>Сасинівка</t>
  </si>
  <si>
    <t>(05358)67113</t>
  </si>
  <si>
    <t>http://sasun_sch.klasna.com/</t>
  </si>
  <si>
    <t>Смотриківська філія Теплівської загальноосвітньої школи І-ІІІ ступенів Пирятинської районної ради Полтавської області</t>
  </si>
  <si>
    <t>37042</t>
  </si>
  <si>
    <t>5323885201</t>
  </si>
  <si>
    <t>Смотрики</t>
  </si>
  <si>
    <t>вул. Грушевського, 40</t>
  </si>
  <si>
    <t>(05358)60-141</t>
  </si>
  <si>
    <t>Теплівська загальноосвітня школа І-ІІІ ступенів Пирятинської районної ради Полтавської області</t>
  </si>
  <si>
    <t>37045</t>
  </si>
  <si>
    <t>5323885801</t>
  </si>
  <si>
    <t>вул. Бідненка, 49</t>
  </si>
  <si>
    <t>(05358)63111</t>
  </si>
  <si>
    <t>Вишневецька загальноосвітня школа І-ІІІ ступенів Пирятинської райдержадміністрації Полтавської області</t>
  </si>
  <si>
    <t>37023</t>
  </si>
  <si>
    <t>5323886203</t>
  </si>
  <si>
    <t>(05358)62137</t>
  </si>
  <si>
    <t>Абазівська загальноосвітня школа І - ІІІ ступенів</t>
  </si>
  <si>
    <t>38715</t>
  </si>
  <si>
    <t>5324080101</t>
  </si>
  <si>
    <t>Абазівка</t>
  </si>
  <si>
    <t>(0532)555266</t>
  </si>
  <si>
    <t>Бричківський навчально-виховний комплекс, Полтавська районна рада, Полтавська область</t>
  </si>
  <si>
    <t>38722</t>
  </si>
  <si>
    <t>5324080201</t>
  </si>
  <si>
    <t>Бричківка</t>
  </si>
  <si>
    <t>вул. Леніна, 21А</t>
  </si>
  <si>
    <t>(0532)644137</t>
  </si>
  <si>
    <t>Валківська ЗОШ І-ІІІ ступенів, Полтавської районної ради, Полтавської області</t>
  </si>
  <si>
    <t>38711</t>
  </si>
  <si>
    <t>5324080301</t>
  </si>
  <si>
    <t>Валок</t>
  </si>
  <si>
    <t>Василівська загальноосвітня школа І-ІІІ ступенів Полтавської районної ради Полтавської області</t>
  </si>
  <si>
    <t>38743</t>
  </si>
  <si>
    <t>5324080501</t>
  </si>
  <si>
    <t>(05322)643699</t>
  </si>
  <si>
    <t>Гожулівський навчально-виховний комплекс Полтавської районної ради Полтавської області</t>
  </si>
  <si>
    <t>38713</t>
  </si>
  <si>
    <t>5324080701</t>
  </si>
  <si>
    <t>Гожули</t>
  </si>
  <si>
    <t>Ватажківська загальноосвітня школа І ступеня</t>
  </si>
  <si>
    <t>38772</t>
  </si>
  <si>
    <t>5324081002</t>
  </si>
  <si>
    <t>Ватажкове</t>
  </si>
  <si>
    <t>(0532)643550</t>
  </si>
  <si>
    <t>Головачанський навчально-виховний комплес Полтавської районної ради Полтавської області</t>
  </si>
  <si>
    <t>38774</t>
  </si>
  <si>
    <t>5324081003</t>
  </si>
  <si>
    <t>Головач</t>
  </si>
  <si>
    <t>вул. Кобзаря, 58</t>
  </si>
  <si>
    <t>(0532)64-35-49</t>
  </si>
  <si>
    <t>Калашниківський навчально-виховний комплекс Полтавської районної ради Полтавської області</t>
  </si>
  <si>
    <t>38753</t>
  </si>
  <si>
    <t>5324081301</t>
  </si>
  <si>
    <t>Калашники</t>
  </si>
  <si>
    <t>(0532)647488</t>
  </si>
  <si>
    <t>Пальчиківський навчально-виховний комплекс Полтавської Районної Ради Полтавської області</t>
  </si>
  <si>
    <t>38712</t>
  </si>
  <si>
    <t>5324081401</t>
  </si>
  <si>
    <t>Пальчиківка</t>
  </si>
  <si>
    <t>(0532)647623</t>
  </si>
  <si>
    <t>Ковалівська загальноосвітня школа І ступеня</t>
  </si>
  <si>
    <t>38701</t>
  </si>
  <si>
    <t>5324081901</t>
  </si>
  <si>
    <t>ал. Музей Макаренка, 1</t>
  </si>
  <si>
    <t>556737</t>
  </si>
  <si>
    <t>Полтавська обласна гімназія-інтернат для обдарованих дітей імені А.С. Макаренка Полтавської обласної ради</t>
  </si>
  <si>
    <t>вул. Музей Макаренка, 1</t>
  </si>
  <si>
    <t>(0532)556734</t>
  </si>
  <si>
    <t>http://pogim.at.ua/</t>
  </si>
  <si>
    <t>24567467</t>
  </si>
  <si>
    <t>Андрущанська загальноосвітня школа І ступеня Полтавської районної ради Полтавської області</t>
  </si>
  <si>
    <t>38703</t>
  </si>
  <si>
    <t>5324081902</t>
  </si>
  <si>
    <t>Верхолянська загальноосвітня школа I-II ступенів ,Полтавської районної ради,Полтавської області</t>
  </si>
  <si>
    <t>5324081904</t>
  </si>
  <si>
    <t>Верхоли</t>
  </si>
  <si>
    <t>(05322)645609</t>
  </si>
  <si>
    <t>Сем'янівський навчально-виховний комплекс Полтавської районної ради, Полтавської області</t>
  </si>
  <si>
    <t>38721</t>
  </si>
  <si>
    <t>5324082401</t>
  </si>
  <si>
    <t>Сем'янівка</t>
  </si>
  <si>
    <t>(0532)555-754</t>
  </si>
  <si>
    <t>Коломацька загальноосвітня школа І-ІІІ ступенів Полтавської районної ради, Полтавської області</t>
  </si>
  <si>
    <t>38742</t>
  </si>
  <si>
    <t>5324082701</t>
  </si>
  <si>
    <t>Коломацьке</t>
  </si>
  <si>
    <t>(0532)643664</t>
  </si>
  <si>
    <t>Степанівська загальноосвітня школа І-ІІ ступенів Полтавської районної ради Полтавської області</t>
  </si>
  <si>
    <t>03874</t>
  </si>
  <si>
    <t>5324082705</t>
  </si>
  <si>
    <t>ал. вул.Історична, 40</t>
  </si>
  <si>
    <t>(050)2874435</t>
  </si>
  <si>
    <t>Мачухівський навчально-виховний комплекс Полтавської районної ради Полтавської області</t>
  </si>
  <si>
    <t>38754</t>
  </si>
  <si>
    <t>5324083201</t>
  </si>
  <si>
    <t>Мачухи</t>
  </si>
  <si>
    <t>вул. Лялі Убийвовк, 3</t>
  </si>
  <si>
    <t>64-42-31</t>
  </si>
  <si>
    <t>http://machukhynvk.ucoz.ru</t>
  </si>
  <si>
    <t>Божківський навчально-виховний комплекс Полтавської районної ради Полтавської області</t>
  </si>
  <si>
    <t>38734</t>
  </si>
  <si>
    <t>5324083502</t>
  </si>
  <si>
    <t>Божківське</t>
  </si>
  <si>
    <t>вул. 40 років Перемоги</t>
  </si>
  <si>
    <t>0532554505</t>
  </si>
  <si>
    <t>Нестеренківська загальноосвітня школа І ступеня</t>
  </si>
  <si>
    <t>38731</t>
  </si>
  <si>
    <t>5324083701</t>
  </si>
  <si>
    <t>Нестеренки</t>
  </si>
  <si>
    <t>(0532)646556</t>
  </si>
  <si>
    <t>Мар'ївська загальноосвітня школа І ступеня Полтавської районної ради Полтавської області</t>
  </si>
  <si>
    <t>5324083711</t>
  </si>
  <si>
    <t>(0532)646128, 0666248673</t>
  </si>
  <si>
    <t>Микілський навчально-реабілітаційнй центр Полтавського району Полтавської обласнї ради</t>
  </si>
  <si>
    <t>38760</t>
  </si>
  <si>
    <t>5324083901</t>
  </si>
  <si>
    <t>вул. Лісна, 5</t>
  </si>
  <si>
    <t>(0532)553875</t>
  </si>
  <si>
    <t>04590642</t>
  </si>
  <si>
    <t>Полтавська область, Полтавський район,с.Ваці, вул.Миру 3 Вацівська ЗОШ І-ІІ ступенів імені Володі Тюріна</t>
  </si>
  <si>
    <t>5324083904</t>
  </si>
  <si>
    <t>Ваці</t>
  </si>
  <si>
    <t>Кашубівська Загальноосвітня школа І ступеня Полтавський район Полтавська область</t>
  </si>
  <si>
    <t>38763</t>
  </si>
  <si>
    <t>5324083906</t>
  </si>
  <si>
    <t>Кашубівка</t>
  </si>
  <si>
    <t>вул. центральна, 2</t>
  </si>
  <si>
    <t>(055)50-26</t>
  </si>
  <si>
    <t>38702</t>
  </si>
  <si>
    <t>5324084001</t>
  </si>
  <si>
    <t>вул. Олени Пчілки, 31</t>
  </si>
  <si>
    <t>(0532)556838</t>
  </si>
  <si>
    <t>Рунівщинська загальноосвітня школа І-ІІІ ступенів Полтавської районної ради Полтавської області</t>
  </si>
  <si>
    <t>38730</t>
  </si>
  <si>
    <t>5324084601</t>
  </si>
  <si>
    <t>Рунівщина</t>
  </si>
  <si>
    <t>вул. 40-річчя Перемоги, 1</t>
  </si>
  <si>
    <t>(0532)646192</t>
  </si>
  <si>
    <t>Степненський навчально-виховний комплекс Полтавської районної ради Полтавської області</t>
  </si>
  <si>
    <t>38744</t>
  </si>
  <si>
    <t>5324084901</t>
  </si>
  <si>
    <t>вул. Гараха, 1</t>
  </si>
  <si>
    <t>(0532)559624</t>
  </si>
  <si>
    <t>https://sites.google.com/site/stepnenskijnvk/</t>
  </si>
  <si>
    <t>Судіївська загальноосвітня школа І-ІІ ступенів Полтавської районної ради Полтавської області</t>
  </si>
  <si>
    <t>38755</t>
  </si>
  <si>
    <t>5324085001</t>
  </si>
  <si>
    <t>Судіївка</t>
  </si>
  <si>
    <t>вул. Соборності, 9</t>
  </si>
  <si>
    <t>Супрунівський навчально- виховний комплекс Полтавської районної ради Полтавської області</t>
  </si>
  <si>
    <t>38714</t>
  </si>
  <si>
    <t>5324085201</t>
  </si>
  <si>
    <t>Супрунівка</t>
  </si>
  <si>
    <t>(0532)557149</t>
  </si>
  <si>
    <t>Мильчанська загальноосвітня школа І ступеня Полтавської районної ради Полтавської області</t>
  </si>
  <si>
    <t>5324085207</t>
  </si>
  <si>
    <t>(0532)557184</t>
  </si>
  <si>
    <t>Тахтаулівський навчально-виховний комплекс Полтавської районної ради Полтавської області</t>
  </si>
  <si>
    <t>38720</t>
  </si>
  <si>
    <t>5324085701</t>
  </si>
  <si>
    <t>Тахтаулове</t>
  </si>
  <si>
    <t>Терешківська загальноосвітня школа І-ІІІ ступенів Полтавської районної ради Полтавської області</t>
  </si>
  <si>
    <t>38762</t>
  </si>
  <si>
    <t>5324085901</t>
  </si>
  <si>
    <t>(0532)553006</t>
  </si>
  <si>
    <t>Тростянецький навчально - виховний комплекс Полтавської районної ради Полтавської області</t>
  </si>
  <si>
    <t>38770</t>
  </si>
  <si>
    <t>5324086201</t>
  </si>
  <si>
    <t>Великий Тростянець</t>
  </si>
  <si>
    <t>(0532)647130</t>
  </si>
  <si>
    <t>Чорноглазівська загальноосвітня школа І-ІІ ступенів Полтавської районної ради Полтавської області</t>
  </si>
  <si>
    <t>38710</t>
  </si>
  <si>
    <t>5324086901</t>
  </si>
  <si>
    <t>Чорноглазівка</t>
  </si>
  <si>
    <t>http://shernoglasovka.ucoz.ua</t>
  </si>
  <si>
    <t>Щербанівський навчально-виховний комплекс Полтавської районної ради Полтавської області</t>
  </si>
  <si>
    <t>5324087701</t>
  </si>
  <si>
    <t>(0532)598126</t>
  </si>
  <si>
    <t>Горянська загальноосвітня школа І-ІІІ ступенів Полтавської районної ради Полтавської області</t>
  </si>
  <si>
    <t>38752</t>
  </si>
  <si>
    <t>5324087702</t>
  </si>
  <si>
    <t>вул. Нова, 1А</t>
  </si>
  <si>
    <t>(0532)57-24-64</t>
  </si>
  <si>
    <t>Розсошенська гімназія Полтавської районної ради Полтавської області</t>
  </si>
  <si>
    <t>38751</t>
  </si>
  <si>
    <t>5324087705</t>
  </si>
  <si>
    <t>Розсошенці</t>
  </si>
  <si>
    <t>(0532)590214</t>
  </si>
  <si>
    <t>http://rzsschool.ucoz.ua/</t>
  </si>
  <si>
    <t>Решетилівська гімназія імені І.Л. Олійника Решетилівської селищної ради Полтавської області</t>
  </si>
  <si>
    <t>38400</t>
  </si>
  <si>
    <t>5324255100</t>
  </si>
  <si>
    <t>Решетилівка</t>
  </si>
  <si>
    <t>вул. Покровська, 37</t>
  </si>
  <si>
    <t>0536321783</t>
  </si>
  <si>
    <t>http://reshetgimnazia.at.ua/</t>
  </si>
  <si>
    <t>Решетилівська загальноосвітня школа І ступеня Решетилівської селищної ради Полтавської області</t>
  </si>
  <si>
    <t>вул. Щаслива, 9</t>
  </si>
  <si>
    <t>0536321090</t>
  </si>
  <si>
    <t>http://reshschool1.ucoz.ua</t>
  </si>
  <si>
    <t>Решетилівська загальноосвітня школа І-ІІ ступенів Решетилівської районної ради Полтавської області</t>
  </si>
  <si>
    <t>0536321632</t>
  </si>
  <si>
    <t>Решетилівський навчально-виховний комплекс школа І ст.-дитячий садок Решетилівської селищної ради Полтавської області</t>
  </si>
  <si>
    <t>38401</t>
  </si>
  <si>
    <t>вул. Новоселівська, 13</t>
  </si>
  <si>
    <t>0536396334</t>
  </si>
  <si>
    <t>Колотіївська загальноосвітня школа І-ІІ ступенів Решетилівського району Полтавської області</t>
  </si>
  <si>
    <t>38404</t>
  </si>
  <si>
    <t>5324255104</t>
  </si>
  <si>
    <t>Колотії</t>
  </si>
  <si>
    <t>(05363)93140</t>
  </si>
  <si>
    <t>http://kolotiizosh.ucoz.ua</t>
  </si>
  <si>
    <t>Демидівська загальноосвітня школа І-ІІІ ступенів Решетилівської районної ради Полтавської області</t>
  </si>
  <si>
    <t>38440</t>
  </si>
  <si>
    <t>5324280501</t>
  </si>
  <si>
    <t>вул. Перемоги, 118</t>
  </si>
  <si>
    <t>0536394418</t>
  </si>
  <si>
    <t>"Опорний навчальний заклад Покровська загальноосвітня школа І-ІІІ ступенів Решетилівської районної ради Полтавської області"</t>
  </si>
  <si>
    <t>38413</t>
  </si>
  <si>
    <t>5324280901</t>
  </si>
  <si>
    <t>вул. Освітянська, 27</t>
  </si>
  <si>
    <t>(05363)95448</t>
  </si>
  <si>
    <t>http://zhovtnevijnvk.ucoz.ua/</t>
  </si>
  <si>
    <t>Калениківська загальноосвітня школа І-ІІІ ступенів Решетилівської районної ради Полтавської області</t>
  </si>
  <si>
    <t>38431</t>
  </si>
  <si>
    <t>5324281301</t>
  </si>
  <si>
    <t>Каленики</t>
  </si>
  <si>
    <t>вул. Благодатна, 3</t>
  </si>
  <si>
    <t>0536394731</t>
  </si>
  <si>
    <t>http://www.kalenyky.pl.ua</t>
  </si>
  <si>
    <t>Кукобівський навчально-виховний комплекс "Загальноосвітня школа І-ІІ ступенів - дитячий садок" Решетилівської районної ради Полтавської області</t>
  </si>
  <si>
    <t>38415</t>
  </si>
  <si>
    <t>5324281401</t>
  </si>
  <si>
    <t>Кукобівка</t>
  </si>
  <si>
    <t>вул. 40-річчя  Перемоги, 4/1</t>
  </si>
  <si>
    <t>(05363)98340</t>
  </si>
  <si>
    <t>Друголиманська загальноосвітня школа І - ІІ ступенів Решетилівської районної ради Полтавської області</t>
  </si>
  <si>
    <t>38421</t>
  </si>
  <si>
    <t>5324281501</t>
  </si>
  <si>
    <t>Лиман Другий</t>
  </si>
  <si>
    <t>0536394316</t>
  </si>
  <si>
    <t>http://www.2lyman-zosh.pl.sch.in.ua/</t>
  </si>
  <si>
    <t>Першолиманський навчально-виховний комплекс" Загальноосвітня школа І-ІІ ступенів -дитячий садок"Решетилівської районної ради Полтавської області</t>
  </si>
  <si>
    <t>38443</t>
  </si>
  <si>
    <t>5324281601</t>
  </si>
  <si>
    <t>Лиман Перший</t>
  </si>
  <si>
    <t>вул. Решетилівська, 4</t>
  </si>
  <si>
    <t>2-84-05</t>
  </si>
  <si>
    <t>http://liman-pershyi.edu.poltava.ua</t>
  </si>
  <si>
    <t>Лобачівський навчально -виховний комплекс "Загальноосвітня школа І-ІІ ступенів-дитячий садок" Решетилівської районної ради Полтавської області</t>
  </si>
  <si>
    <t>38420</t>
  </si>
  <si>
    <t>5324281901</t>
  </si>
  <si>
    <t>Лобачі</t>
  </si>
  <si>
    <t>94236</t>
  </si>
  <si>
    <t>http://Lobachi-school.at.ua</t>
  </si>
  <si>
    <t>Глибокобалківський навчально-виховний комплекс "Загальноосвітня школа І-ІІ ступенів-дитячий садок" Решетилівської районної ради Полтавської області</t>
  </si>
  <si>
    <t>38425</t>
  </si>
  <si>
    <t>5324281903</t>
  </si>
  <si>
    <t>Глибока Балка</t>
  </si>
  <si>
    <t>(05363)98140</t>
  </si>
  <si>
    <t>Малобакайська загальноосвітня школа І-ІІІ ступенів Решетилівської районної ради Полтавської області</t>
  </si>
  <si>
    <t>38423</t>
  </si>
  <si>
    <t>5324282201</t>
  </si>
  <si>
    <t>Малий Бакай</t>
  </si>
  <si>
    <t>0536394847, 0536394837</t>
  </si>
  <si>
    <t>М'якеньківський навчально-виховний комплекс "Загальноосвітня школа I-II ступенів - дитячий садок" Решетилівської районної ради Полтавської області</t>
  </si>
  <si>
    <t>38433</t>
  </si>
  <si>
    <t>5324282601</t>
  </si>
  <si>
    <t>М'якеньківка</t>
  </si>
  <si>
    <t>Михнівська загальноосвітня школа І ступеня Решетилівської районної ради Полтавської області</t>
  </si>
  <si>
    <t>38434</t>
  </si>
  <si>
    <t>5324282602</t>
  </si>
  <si>
    <t>Михнівка</t>
  </si>
  <si>
    <t>0536396617</t>
  </si>
  <si>
    <t>Новомихайлівська загальноосвітня школа І-ІІ ступенів Решетилівської районної ради Полтавської області</t>
  </si>
  <si>
    <t>38411</t>
  </si>
  <si>
    <t>5324282801</t>
  </si>
  <si>
    <t>Нова Михайлівка</t>
  </si>
  <si>
    <t>вул. Миру, 48</t>
  </si>
  <si>
    <t>Пащенківський навчально-виховний комплекс "Загальноосвітня школа І-ІІ ступенів-дитячий садок" Решетилівської районної ради Полтавської області</t>
  </si>
  <si>
    <t>38451</t>
  </si>
  <si>
    <t>5324283101</t>
  </si>
  <si>
    <t>Пащенки</t>
  </si>
  <si>
    <t>026393619</t>
  </si>
  <si>
    <t>Піщанська загальноосвітня школа І-ІІІ ступенів імені Л.М.Дудки Решетилівської районної ради Полтавської області</t>
  </si>
  <si>
    <t>38410</t>
  </si>
  <si>
    <t>5324283201</t>
  </si>
  <si>
    <t>0536396121</t>
  </si>
  <si>
    <t>https://sites.google.com/site/pisanskazagalnoosvitnaskola</t>
  </si>
  <si>
    <t>Плосківська загальноосвітня школа І-ІІІ ступенів Решетилівської районної ради Полтавської області</t>
  </si>
  <si>
    <t>38441</t>
  </si>
  <si>
    <t>5324283801</t>
  </si>
  <si>
    <t>вул. Красна, 2</t>
  </si>
  <si>
    <t>0536398716</t>
  </si>
  <si>
    <t>https://sites.google.com/site/ploskivskazosiiiistupeniv/</t>
  </si>
  <si>
    <t>Потічанський навчально-виховний комплекс " загальноосвітня школа І-ІІ ступенів - дитячий садок" Решетилівської селищної ради Полтавської області</t>
  </si>
  <si>
    <t>38442</t>
  </si>
  <si>
    <t>5324284201</t>
  </si>
  <si>
    <t>9-32-26</t>
  </si>
  <si>
    <t>http://potichokscool.sbuilder.org</t>
  </si>
  <si>
    <t>Сухорабівська загальноосвітня школа І - ІІІ ступенів Решетилівської районної ради Полтавської області</t>
  </si>
  <si>
    <t>38432</t>
  </si>
  <si>
    <t>5324285001</t>
  </si>
  <si>
    <t>Сухорабівка</t>
  </si>
  <si>
    <t>0536393340</t>
  </si>
  <si>
    <t>https://sites.google.com/site/suhorabivkazos</t>
  </si>
  <si>
    <t>Федіївська загальноосвітня школа І-ІІІ ступенів Решетилівської районної ради Полтавської області</t>
  </si>
  <si>
    <t>36498</t>
  </si>
  <si>
    <t>5324285401</t>
  </si>
  <si>
    <t>97140</t>
  </si>
  <si>
    <t>http://fediivka.edu.poltava.ua/</t>
  </si>
  <si>
    <t>Шевченківська загальноосвітня школа І-ІІІ ст імені академіка В.О.Пащенка Решетилівської районної ради Полтавської області</t>
  </si>
  <si>
    <t>38450</t>
  </si>
  <si>
    <t>5324285601</t>
  </si>
  <si>
    <t>(05363)9-76-45</t>
  </si>
  <si>
    <t>http://shevchenkovo-scool.sbuilder.org</t>
  </si>
  <si>
    <t>Шамраївський навчально-виховний комплекс "Загальноосвітня школа І-ІІ ступенів - дитячий садок", Решетилівської районної ради, Полтавської області.</t>
  </si>
  <si>
    <t>38452</t>
  </si>
  <si>
    <t>5324285608</t>
  </si>
  <si>
    <t>вул. Діброви, 44</t>
  </si>
  <si>
    <t>9-75-44</t>
  </si>
  <si>
    <t>https://sites.google.com/site/samraievskaskola/</t>
  </si>
  <si>
    <t>Шилівська загальноосвітня школа І-ІІ ступенів Решетилівської районної ради Полтавської області</t>
  </si>
  <si>
    <t>38430</t>
  </si>
  <si>
    <t>5324285701</t>
  </si>
  <si>
    <t>0(5363)93740</t>
  </si>
  <si>
    <t>Семенівський міжшкільний навчально-виробничий комбінат</t>
  </si>
  <si>
    <t>5324555100</t>
  </si>
  <si>
    <t>Семенівський навчально-виховний комплекс № 2</t>
  </si>
  <si>
    <t>38200</t>
  </si>
  <si>
    <t>вул. Поповича, 17</t>
  </si>
  <si>
    <t>(05341)92933</t>
  </si>
  <si>
    <t>http://semnvk2.pl.ua</t>
  </si>
  <si>
    <t>Семенівський навчально-виховний комплекс № 1 імені М.М.Хорунжого</t>
  </si>
  <si>
    <t>(805341)91765</t>
  </si>
  <si>
    <t>http://semenivka-nvk1.edu.poltava.ua/</t>
  </si>
  <si>
    <t>Біляківська загальноосвітня школа І-ІІІ ступенів Семенівської районної ради Полтавської області</t>
  </si>
  <si>
    <t>38253</t>
  </si>
  <si>
    <t>5324580401</t>
  </si>
  <si>
    <t>Біляки</t>
  </si>
  <si>
    <t>9-4-14</t>
  </si>
  <si>
    <t>http://biliaky-school.edu.poltava.ua</t>
  </si>
  <si>
    <t>Богданівська загальноосвітня школа І-ІІІ ступенів Семенівської районної ради Полтавської області</t>
  </si>
  <si>
    <t>38241</t>
  </si>
  <si>
    <t>5324580601</t>
  </si>
  <si>
    <t>(05341)96437</t>
  </si>
  <si>
    <t>Василівська загальноосвітня школа І-ІІ ступенів Семенівської районної ради Полтавської області</t>
  </si>
  <si>
    <t>38254</t>
  </si>
  <si>
    <t>5324580801</t>
  </si>
  <si>
    <t>(241)94240</t>
  </si>
  <si>
    <t>Веселоподільська загальноосвітня школа І - ІІІ ступенів</t>
  </si>
  <si>
    <t>38250</t>
  </si>
  <si>
    <t>5324581201</t>
  </si>
  <si>
    <t>Веселий Поділ</t>
  </si>
  <si>
    <t>вул. Миру, 17А</t>
  </si>
  <si>
    <t>Паніванівська загальноосвітня школа І-ІІ ступенів Семенівської районної ради Семенівського району Полтавської області</t>
  </si>
  <si>
    <t>5324581204</t>
  </si>
  <si>
    <t>Паніванівка</t>
  </si>
  <si>
    <t>вул. Перемоги, 42</t>
  </si>
  <si>
    <t>Горошинська загальноосвітня школа І-ІІІ ступенів</t>
  </si>
  <si>
    <t>38220</t>
  </si>
  <si>
    <t>5324581501</t>
  </si>
  <si>
    <t>Горошине</t>
  </si>
  <si>
    <t>вул. Гагаріна, 19 а</t>
  </si>
  <si>
    <t>(05341)996733</t>
  </si>
  <si>
    <t>Заїчинська загальноосвітня школа І-ІІІ ступенів Семенівської ради Полтавської області</t>
  </si>
  <si>
    <t>38252</t>
  </si>
  <si>
    <t>5324582401</t>
  </si>
  <si>
    <t>Заїчинці</t>
  </si>
  <si>
    <t>(05341)94540</t>
  </si>
  <si>
    <t>http://zaichyntsi-school.edu.poltava.ua</t>
  </si>
  <si>
    <t>Іванівська загальноосвітня школа І-ІІ ступенів, Семенівської районної ради, Полтавської області</t>
  </si>
  <si>
    <t>38260</t>
  </si>
  <si>
    <t>5324582701</t>
  </si>
  <si>
    <t>(05341)98553</t>
  </si>
  <si>
    <t>Криворудська загальноосвітня школа І-ІІІ ступенів Семенівської районної державноїадміністрації Полтавської області</t>
  </si>
  <si>
    <t>38262</t>
  </si>
  <si>
    <t>5324583201</t>
  </si>
  <si>
    <t>Крива Руда</t>
  </si>
  <si>
    <t>Наріжанська загальносвітня школа І ступеня Семенівської районної ради Полтавської області</t>
  </si>
  <si>
    <t>38211</t>
  </si>
  <si>
    <t>5324584601</t>
  </si>
  <si>
    <t>Наріжжя</t>
  </si>
  <si>
    <t>вул. Касяненка, 1А</t>
  </si>
  <si>
    <t>Оболонська загальноосвітня школа І-ІІІ ступенів Семенівської районної ради Полтавської області</t>
  </si>
  <si>
    <t>38230</t>
  </si>
  <si>
    <t>5324585101</t>
  </si>
  <si>
    <t>Оболонь</t>
  </si>
  <si>
    <t>вул. Аеродромна, 2</t>
  </si>
  <si>
    <t>(05341)95173</t>
  </si>
  <si>
    <t>http://OBOLON.UCOZ.UA</t>
  </si>
  <si>
    <t>Очеретуватська загальноосвітня школа І-ІІ ступенів Семенівської районної ради</t>
  </si>
  <si>
    <t>38270</t>
  </si>
  <si>
    <t>5324585601</t>
  </si>
  <si>
    <t>(05341)93540</t>
  </si>
  <si>
    <t>Погребняківська загальноосвітня школа І-ІІІ ступенів Семенівської районної ради Полтавської області</t>
  </si>
  <si>
    <t>38221</t>
  </si>
  <si>
    <t>5324586301</t>
  </si>
  <si>
    <t>Погребняки</t>
  </si>
  <si>
    <t>(05341)98-6-73</t>
  </si>
  <si>
    <t>Дем'янівська загальноосвітня школа I-II ступенів</t>
  </si>
  <si>
    <t>38223</t>
  </si>
  <si>
    <t>5324586303</t>
  </si>
  <si>
    <t>вул. Гагаріна, 26</t>
  </si>
  <si>
    <t>Пузирівська загальноосвітня школа І-ІІ ступенів Семенівської районної ради Полтавської області</t>
  </si>
  <si>
    <t>38213</t>
  </si>
  <si>
    <t>5324586701</t>
  </si>
  <si>
    <t>Пузирі</t>
  </si>
  <si>
    <t>вул. Зигіна, 2</t>
  </si>
  <si>
    <t>Степанівська загальноосвітня школа І-ІІІ ступенів Семенівської районної ради Семенівського району Полтавської області</t>
  </si>
  <si>
    <t>38261</t>
  </si>
  <si>
    <t>5324587201</t>
  </si>
  <si>
    <t>(05341)98713</t>
  </si>
  <si>
    <t>Товстівська загальноосвітня школа І-ІІступеня Семенівської районної ради Полтавської області</t>
  </si>
  <si>
    <t>38233</t>
  </si>
  <si>
    <t>5324587601</t>
  </si>
  <si>
    <t>Товсте</t>
  </si>
  <si>
    <t>(05341)9-31-40</t>
  </si>
  <si>
    <t>Новоселицька загальноосвітня школа І ступеня Семенівської РДА Полтавської області</t>
  </si>
  <si>
    <t>38234</t>
  </si>
  <si>
    <t>5324587609</t>
  </si>
  <si>
    <t>вул. Федорова, 40/41</t>
  </si>
  <si>
    <t>(068)1547611</t>
  </si>
  <si>
    <t>Устимівська загальноосвітня школа І-ІІІ ступенів Семенівської районної ради Полтавської області</t>
  </si>
  <si>
    <t>38271</t>
  </si>
  <si>
    <t>5324588001</t>
  </si>
  <si>
    <t>(053)4193637</t>
  </si>
  <si>
    <t>http://ustymivka-sem-zosh.edu.poltava.ua</t>
  </si>
  <si>
    <t>Вербківська загальноосвітня школа І ступеня Семенівської районної ради Полтавської області</t>
  </si>
  <si>
    <t>38272</t>
  </si>
  <si>
    <t>5324588003</t>
  </si>
  <si>
    <t>93740</t>
  </si>
  <si>
    <t>Худоліївська загальноосвітня школа І-ІІІ ступенів</t>
  </si>
  <si>
    <t>38210</t>
  </si>
  <si>
    <t>5324588801</t>
  </si>
  <si>
    <t>Худоліївка</t>
  </si>
  <si>
    <t>Хорольська гімназія Хорольської районної ради Полтавської області</t>
  </si>
  <si>
    <t>37800</t>
  </si>
  <si>
    <t>5324810100</t>
  </si>
  <si>
    <t>Хорол</t>
  </si>
  <si>
    <t>вул. Небесної Сотні, 33</t>
  </si>
  <si>
    <t>(05362)34591</t>
  </si>
  <si>
    <t>http://gymnazia.at.ua</t>
  </si>
  <si>
    <t>Хорольська спеціалізована школа І - ІІІ ступенів № 3 Хорольської районної ради Полтавської області</t>
  </si>
  <si>
    <t>вул. Миргородська, 70</t>
  </si>
  <si>
    <t>(05362)33107</t>
  </si>
  <si>
    <t>Хорольська спеціалізована школа І-ІІІ ступенів № 1 Хорольської районної ради Полтавської області</t>
  </si>
  <si>
    <t>вул. Незалежності, 110/3</t>
  </si>
  <si>
    <t>(05362)33585</t>
  </si>
  <si>
    <t>http://school1khorol.ucoz.ru/</t>
  </si>
  <si>
    <t>Хорольський навчально-виховний комплекс (загальноосвітній навчальний заклад І-ІІІ ступенів - дошкільний навчальний заклад) Хорольської районної ради Полтавської області</t>
  </si>
  <si>
    <t>вул. Молодіжна, 7 а</t>
  </si>
  <si>
    <t>(05362)31101</t>
  </si>
  <si>
    <t>Андріївська загальноосвітня школа І-ІІІ ступенів Хорольської районної ради Полтавської області</t>
  </si>
  <si>
    <t>37850</t>
  </si>
  <si>
    <t>5324880301</t>
  </si>
  <si>
    <t>(05362)97526</t>
  </si>
  <si>
    <t>http://aznz.ucoz.ru</t>
  </si>
  <si>
    <t>Вишняківська загальноосвітня школа І-ІІІ ступенів Хрольської районної ради Полтавської області</t>
  </si>
  <si>
    <t>37860</t>
  </si>
  <si>
    <t>5324881201</t>
  </si>
  <si>
    <t>(05362)94241</t>
  </si>
  <si>
    <t>Грушинська загальноосвітня школа І ступеня Новоаврамівської сільської ради Хорольського району Полтавської області</t>
  </si>
  <si>
    <t>37841</t>
  </si>
  <si>
    <t>5324881501</t>
  </si>
  <si>
    <t>Грушине</t>
  </si>
  <si>
    <t>(05362)97134</t>
  </si>
  <si>
    <t>https://sites.google.com/site/gruchenskaschool/home</t>
  </si>
  <si>
    <t>Клепачівський навчально-виховний комплекс "дошкільний навчальний заклад - загальноосвітній навчальний заклад І ступеня"</t>
  </si>
  <si>
    <t>37821</t>
  </si>
  <si>
    <t>5324881901</t>
  </si>
  <si>
    <t>Клепачі</t>
  </si>
  <si>
    <t>Вергунівська загальноосвітня школа І-ІІ ступенів Клепачівської сільської ради Хорольського району Полтавської області.</t>
  </si>
  <si>
    <t>37873</t>
  </si>
  <si>
    <t>5324881903</t>
  </si>
  <si>
    <t>Вергуни</t>
  </si>
  <si>
    <t>вул. Берегова, 9</t>
  </si>
  <si>
    <t>(05362)95815</t>
  </si>
  <si>
    <t>http://vergunzoh.wix.com/vergunzoh</t>
  </si>
  <si>
    <t>Ковалівська загальноосвітня школа І-ІІ ступенів Новоаврамівської сільської ради Хорольського району Полтавської області</t>
  </si>
  <si>
    <t>37840</t>
  </si>
  <si>
    <t>5324882601</t>
  </si>
  <si>
    <t>вул. Миру, 105/27</t>
  </si>
  <si>
    <t>(05362)95212</t>
  </si>
  <si>
    <t>http://kovalivska-zosh-i-ii-stupeniv.webnode.com.ua</t>
  </si>
  <si>
    <t>Мусіївська загальноосвітня школа І-ІІІ ступенів Хорольської районної ради Полтавської області</t>
  </si>
  <si>
    <t>37830</t>
  </si>
  <si>
    <t>5324883201</t>
  </si>
  <si>
    <t>(05362)96746</t>
  </si>
  <si>
    <t>http://musiivkaznz.umi.ru</t>
  </si>
  <si>
    <t>Новачиська загальноосвітня школа І-ІІ ступенів Клепачівської сільської ради Хорольського району Полтавської області</t>
  </si>
  <si>
    <t>37820</t>
  </si>
  <si>
    <t>5324883801</t>
  </si>
  <si>
    <t>Новачиха</t>
  </si>
  <si>
    <t>вул. Квіткова, 2</t>
  </si>
  <si>
    <t>(05362)95-4-20</t>
  </si>
  <si>
    <t>http://novznz.at.ua</t>
  </si>
  <si>
    <t>Новоаврамівська гімназія Новоаврамівської сільської ради Хорольського району Полтавської області</t>
  </si>
  <si>
    <t>37842</t>
  </si>
  <si>
    <t>5324884201</t>
  </si>
  <si>
    <t>Новоаврамівка</t>
  </si>
  <si>
    <t>вул. Шкільна, 39А</t>
  </si>
  <si>
    <t>(05362)98222</t>
  </si>
  <si>
    <t>http://www.gimnazi-nova.at.ua</t>
  </si>
  <si>
    <t>Петракіївський навчально-виховний комплекс Хорольської районної ради Полтавської області</t>
  </si>
  <si>
    <t>37805</t>
  </si>
  <si>
    <t>5324884401</t>
  </si>
  <si>
    <t>Петракіївка</t>
  </si>
  <si>
    <t>(05362)98460</t>
  </si>
  <si>
    <t>http://petrakeevschool.pp.ua</t>
  </si>
  <si>
    <t>Петрівський навчально-виховний комплекс Хорольської районної ради Полтавської області</t>
  </si>
  <si>
    <t>37853</t>
  </si>
  <si>
    <t>5324884601</t>
  </si>
  <si>
    <t>вул. Вокзальна, 4</t>
  </si>
  <si>
    <t>(05362)96116</t>
  </si>
  <si>
    <t>http://nvkpetrovka.at.ua</t>
  </si>
  <si>
    <t>Покровськобагачанська загальноосвітня І-ІІІ ступенів Покровськобагачанської сільської ради Хорольського району Полтавської області</t>
  </si>
  <si>
    <t>37812</t>
  </si>
  <si>
    <t>5324885001</t>
  </si>
  <si>
    <t>Покровська Багачка</t>
  </si>
  <si>
    <t>(05362)94806</t>
  </si>
  <si>
    <t>http://pbzs.at.ua</t>
  </si>
  <si>
    <t>Староаврамівська загальноосвітня школа І - ІІІ ступенів Хорольської районної ради Полтавської області</t>
  </si>
  <si>
    <t>37823</t>
  </si>
  <si>
    <t>5324885401</t>
  </si>
  <si>
    <t>Староаврамівка</t>
  </si>
  <si>
    <t>(05362)97310</t>
  </si>
  <si>
    <t>Тарасівська загальноосвітня школа I-II ступенів Покровськобагачанської сільської ради Полтавської області</t>
  </si>
  <si>
    <t>37810</t>
  </si>
  <si>
    <t>5324885701</t>
  </si>
  <si>
    <t>(05236)96540</t>
  </si>
  <si>
    <t>https://sites.google.com/site/tarasivkazosh/</t>
  </si>
  <si>
    <t>Трубайцівська загальноосвітня школа І-ІІ ступенів Хорольської районної ради Полтавської області</t>
  </si>
  <si>
    <t>37861</t>
  </si>
  <si>
    <t>5324886201</t>
  </si>
  <si>
    <t>Трубайці</t>
  </si>
  <si>
    <t>вул. Єршова, 77</t>
  </si>
  <si>
    <t>(05362)97784</t>
  </si>
  <si>
    <t>Хильківська загальноосвітня школа І-ІІ ступенів Хорольської районної ради Полтавської області</t>
  </si>
  <si>
    <t>37831</t>
  </si>
  <si>
    <t>5324886501</t>
  </si>
  <si>
    <t>Хильківка</t>
  </si>
  <si>
    <t>(05362)95145</t>
  </si>
  <si>
    <t>Шишаківська загальноосвітня школа І - ІІІ ступенів Клепачівської сільської ради Хорольського району Полтавської області</t>
  </si>
  <si>
    <t>37822</t>
  </si>
  <si>
    <t>5324887001</t>
  </si>
  <si>
    <t>Шишаки</t>
  </si>
  <si>
    <t>(05362)97-4-40</t>
  </si>
  <si>
    <t>Штомпелівська загальноосвітня школа І-ІІІ ступенів Хорольської районної ради Полтавської області</t>
  </si>
  <si>
    <t>37832</t>
  </si>
  <si>
    <t>5324887701</t>
  </si>
  <si>
    <t>Штомпелівка</t>
  </si>
  <si>
    <t>(05362)95640</t>
  </si>
  <si>
    <t>http://sht-school.at.ua</t>
  </si>
  <si>
    <t>Ялосовецька загальноосвітня школа І-ІІІ ступенів Хорольської районної ради Полтавської області</t>
  </si>
  <si>
    <t>37862</t>
  </si>
  <si>
    <t>5324888201</t>
  </si>
  <si>
    <t>Ялосовецьке</t>
  </si>
  <si>
    <t>(05362)96340</t>
  </si>
  <si>
    <t>Бригадирівська загальноосвітня школа І ступеня</t>
  </si>
  <si>
    <t>37871</t>
  </si>
  <si>
    <t>5324888205</t>
  </si>
  <si>
    <t>Бригадирівка</t>
  </si>
  <si>
    <t>(066)0682451</t>
  </si>
  <si>
    <t>Чорнухинська ЗОШ І - ІІІ ступенів імені Г.С.Сковороди Чорнухинської районної ради Полтавської області</t>
  </si>
  <si>
    <t>37100</t>
  </si>
  <si>
    <t>5325155100</t>
  </si>
  <si>
    <t>Чорнухи</t>
  </si>
  <si>
    <t>(05340)51433</t>
  </si>
  <si>
    <t>Білоусівський навчально-виховний комплекс "Загальноосвітня школа І ступеня - дошкільний навчальний заклад імені Героя Радянського Союзу В.П. Мележика" Чорнухинської районної ради Полтавської області.</t>
  </si>
  <si>
    <t>37110</t>
  </si>
  <si>
    <t>5325180401</t>
  </si>
  <si>
    <t>вул. Мележика, 52</t>
  </si>
  <si>
    <t>(05340)55640</t>
  </si>
  <si>
    <t>Вороньківський навчально - виховний комплекс імені Героя Радянського Союзу О.Д. Перелета Чорнухинської районної ради Полтавської області</t>
  </si>
  <si>
    <t>37140</t>
  </si>
  <si>
    <t>5325180801</t>
  </si>
  <si>
    <t>Вороньки</t>
  </si>
  <si>
    <t>вул. Перелета, 1</t>
  </si>
  <si>
    <t>(05340)53-3-40</t>
  </si>
  <si>
    <t>Гілецька загальноосвітня школа школа І - ІІІ ступенів Чорнухинської районної ради Полтавської області</t>
  </si>
  <si>
    <t>37112</t>
  </si>
  <si>
    <t>5325181301</t>
  </si>
  <si>
    <t>Гільці</t>
  </si>
  <si>
    <t>(05340)53540</t>
  </si>
  <si>
    <t>Кізлівська загальноосвітня школа І - ІІІ ступенів імені Героя Радянського Союзу В.П.Лугового Чорнухинської районної ради Полтавської області</t>
  </si>
  <si>
    <t>37130</t>
  </si>
  <si>
    <t>5325181701</t>
  </si>
  <si>
    <t>Кізлівка</t>
  </si>
  <si>
    <t>(05640)52414</t>
  </si>
  <si>
    <t>http://kizlivka-school.at.ua</t>
  </si>
  <si>
    <t>Куріньківська загальноосвітня школа І-ІІ ступенів Чорнухинської районної ради Полтавської області</t>
  </si>
  <si>
    <t>37124</t>
  </si>
  <si>
    <t>5325182101</t>
  </si>
  <si>
    <t>Курінька</t>
  </si>
  <si>
    <t>вул. Острянська, 12</t>
  </si>
  <si>
    <t>(05340)54316</t>
  </si>
  <si>
    <t>Мелехівський навчально-виховний комплекс "Загальноосвітня школа І-ІІ ступенів - дошкільний навчальний заклад"Чорнухинської районної ради Полтавської області</t>
  </si>
  <si>
    <t>37142</t>
  </si>
  <si>
    <t>5325182601</t>
  </si>
  <si>
    <t>Мелехи</t>
  </si>
  <si>
    <t>вул. Охріменка, 73</t>
  </si>
  <si>
    <t>(05340)53245</t>
  </si>
  <si>
    <t>Мокиївський навчально-виховний комплекс "Загальноосвітня школа І-ІІІ ступенів-дошкільний навчальний заклад" Чорнухинської районної ради, Полтавської області</t>
  </si>
  <si>
    <t>37120</t>
  </si>
  <si>
    <t>5325183201</t>
  </si>
  <si>
    <t>Мокіївка</t>
  </si>
  <si>
    <t>(05340)54140</t>
  </si>
  <si>
    <t>Харсіцька загальноосвітня школа І-ІІ ступенів Чорнухинської районної ради Полтавської області</t>
  </si>
  <si>
    <t>5325185401</t>
  </si>
  <si>
    <t>Харсіки</t>
  </si>
  <si>
    <t>вул. Сковороди, 58</t>
  </si>
  <si>
    <t>51302</t>
  </si>
  <si>
    <t>http://xarsiku.at.ua</t>
  </si>
  <si>
    <t>Хейлівщинський навчально-виховний комплекс "Загальноосвітня школа І-ІІ ступенів - дошкільний навчальний заклад" Чорнухинської районної ради Полтавської області.</t>
  </si>
  <si>
    <t>5325185501</t>
  </si>
  <si>
    <t>Хейлівщина</t>
  </si>
  <si>
    <t>вул. Галушко, 4</t>
  </si>
  <si>
    <t>(05340)55340</t>
  </si>
  <si>
    <t>Опорний заклад "Чутівська загальноосвітня школа І-ІІІ ступенів" Чутівської районної ради Полтавської області</t>
  </si>
  <si>
    <t>38800</t>
  </si>
  <si>
    <t>5325455100</t>
  </si>
  <si>
    <t>Чутове</t>
  </si>
  <si>
    <t>Водянська загальноосвітня школа І-ІІступенів філія опорного закладу Чутівської загальноосвітньої школи І-ІІІ ступенів Чутівської районної ради Полтавської області</t>
  </si>
  <si>
    <t>38804</t>
  </si>
  <si>
    <t>5325455101</t>
  </si>
  <si>
    <t>(05347)9-64-48</t>
  </si>
  <si>
    <t>Новофедорівська загальноосвітня школа І-ІІ ступенів філія опорного навчального закладу Чутівської загальноосвітньої школи І-ІІІ ступенів Чутовської районної ради Полтавсьокої області</t>
  </si>
  <si>
    <t>38805</t>
  </si>
  <si>
    <t>5325455107</t>
  </si>
  <si>
    <t>вул. Чкалова, 70</t>
  </si>
  <si>
    <t>(0(5347))9-63-40</t>
  </si>
  <si>
    <t>Скороходівська загальноосвітня школа І-ІІІ ступенів Скороходівської селищної ради Чутівського району Полтавської області</t>
  </si>
  <si>
    <t>38813</t>
  </si>
  <si>
    <t>5325455300</t>
  </si>
  <si>
    <t>Скороходове</t>
  </si>
  <si>
    <t>(05347)99227</t>
  </si>
  <si>
    <t>http://artemivkaschool.at.ua</t>
  </si>
  <si>
    <t>Василівська загальноосвітня школа І-ІІІ ступенів Чутівської районної ради Полтавської області</t>
  </si>
  <si>
    <t>38850</t>
  </si>
  <si>
    <t>5325480301</t>
  </si>
  <si>
    <t>(05347)97540</t>
  </si>
  <si>
    <t>Войнівська загальноосвітня школа І-ІІІ ступенів Чутівської районної ради Полтавської області</t>
  </si>
  <si>
    <t>38840</t>
  </si>
  <si>
    <t>5325480401</t>
  </si>
  <si>
    <t>вул. Короленка, 2</t>
  </si>
  <si>
    <t>(053)4794117</t>
  </si>
  <si>
    <t>Сторожівська загальноосвітня школа І-ІІІ ступенів Чутівської районної ради Полтавської області</t>
  </si>
  <si>
    <t>38841</t>
  </si>
  <si>
    <t>5325480403</t>
  </si>
  <si>
    <t>Сторожове</t>
  </si>
  <si>
    <t>(05347)96232</t>
  </si>
  <si>
    <t>Флорівська загальноосвітня школа І ступенів Чутівської районної ради Полтавської області</t>
  </si>
  <si>
    <t>38834</t>
  </si>
  <si>
    <t>5325480701</t>
  </si>
  <si>
    <t>Вільниця</t>
  </si>
  <si>
    <t>34В</t>
  </si>
  <si>
    <t>Гряківська загальноосвітня школа І-ІІІ ступенів, Чутівської районної ради, Полтавської області</t>
  </si>
  <si>
    <t>38851</t>
  </si>
  <si>
    <t>5325481201</t>
  </si>
  <si>
    <t>Грякове</t>
  </si>
  <si>
    <t>99-71-32</t>
  </si>
  <si>
    <t>Іскрівська загальноосвітня школа І-ІІ ступенів Скороходівської селищної ради Чутівського району Полтавської області</t>
  </si>
  <si>
    <t>38821</t>
  </si>
  <si>
    <t>5325481801</t>
  </si>
  <si>
    <t>вул. Незалежності, 1 б</t>
  </si>
  <si>
    <t>((05347))97719</t>
  </si>
  <si>
    <t>Новокочубеївська загальноосвітня школа І-ІІІ ступенів Чутівської районної ради Полтавської області</t>
  </si>
  <si>
    <t>38830</t>
  </si>
  <si>
    <t>5325482601</t>
  </si>
  <si>
    <t>Нова Кочубеївка</t>
  </si>
  <si>
    <t>вул. Комінника, 46</t>
  </si>
  <si>
    <t>(05347)96525</t>
  </si>
  <si>
    <t>http://novokochschool.at.ua</t>
  </si>
  <si>
    <t>Вільхуватська загальноосвітня школа І-ІІ ступенів Чутівської районної ради Полтавської області</t>
  </si>
  <si>
    <t>38852</t>
  </si>
  <si>
    <t>5325482701</t>
  </si>
  <si>
    <t>Вільхуватка</t>
  </si>
  <si>
    <t>ал. Ювілейна, 1</t>
  </si>
  <si>
    <t>(05347)97425</t>
  </si>
  <si>
    <t>Таверівська загальноосвітня школа І-ІІ ступенів Чутівської районної ради Полтавської області</t>
  </si>
  <si>
    <t>5325483201</t>
  </si>
  <si>
    <t>Таверівка</t>
  </si>
  <si>
    <t>ал. Шкільна, 7А</t>
  </si>
  <si>
    <t>997219</t>
  </si>
  <si>
    <t>Филенківська загальноосвітня школа І-ІІІ ступенівЧутівської районної ради Полтавської області</t>
  </si>
  <si>
    <t>38810</t>
  </si>
  <si>
    <t>5325483701</t>
  </si>
  <si>
    <t>Филенкове</t>
  </si>
  <si>
    <t>97698</t>
  </si>
  <si>
    <t>Петрівська загальноосвітня школа І-ІІІ ступенів Чутівської районної ради Чутівського району Полтавської області</t>
  </si>
  <si>
    <t>38832</t>
  </si>
  <si>
    <t>5325484001</t>
  </si>
  <si>
    <t>(05347)95116</t>
  </si>
  <si>
    <t>http://chapaevoschool.at.ua</t>
  </si>
  <si>
    <t>Черняківська загальноосвітня школа І-ІІ ступенів Чутівської районної ради Полтавської області</t>
  </si>
  <si>
    <t>38820</t>
  </si>
  <si>
    <t>5325484201</t>
  </si>
  <si>
    <t>Черняківка</t>
  </si>
  <si>
    <t>(053)4797321</t>
  </si>
  <si>
    <t>Кочубеївська загальноосвятня школа І-ІІІ ступенів Чутівської районної ради Полтавської області</t>
  </si>
  <si>
    <t>38822</t>
  </si>
  <si>
    <t>5325484204</t>
  </si>
  <si>
    <t>Кочубеївка</t>
  </si>
  <si>
    <t>0959019855</t>
  </si>
  <si>
    <t>Шишацька обласна гімназія-інтернат для обдарованих дітей</t>
  </si>
  <si>
    <t>38000</t>
  </si>
  <si>
    <t>5325755100</t>
  </si>
  <si>
    <t>вул. Павлика, 34</t>
  </si>
  <si>
    <t>(05352)92175</t>
  </si>
  <si>
    <t>23550016</t>
  </si>
  <si>
    <t>Шишацька спеціалізована школа ім. В. І. Вернадського Шишацької селищної ради Полтавської області</t>
  </si>
  <si>
    <t>вул. Небесної сотні, 9</t>
  </si>
  <si>
    <t>(05352)91142</t>
  </si>
  <si>
    <t>http://vernadskyschool.pl.ua/</t>
  </si>
  <si>
    <t>21064719</t>
  </si>
  <si>
    <t>Баранівська філія І - ІІ ступенів опорного навчального закладу "Шишацька спеціалізована школа ім. В.І. Вернадського Шишацької селищної ради Полтавської області"</t>
  </si>
  <si>
    <t>38021</t>
  </si>
  <si>
    <t>5325780301</t>
  </si>
  <si>
    <t>(05352)93738</t>
  </si>
  <si>
    <t>Великобузівський навчально-виховний комплекс "загальноосвітній навчальний заклад І - ІІІ ступенів - дошкільний навчальний заклад" Шишацької селищної ради Полтавської області</t>
  </si>
  <si>
    <t>38041</t>
  </si>
  <si>
    <t>5325780501</t>
  </si>
  <si>
    <t>Велика Бузова</t>
  </si>
  <si>
    <t>(05352)96440</t>
  </si>
  <si>
    <t>Великоперевізька філія Шишацької спеціалізованої школи ім. В.І. Вернадського Шишацької селищної ради</t>
  </si>
  <si>
    <t>38020</t>
  </si>
  <si>
    <t>5325780801</t>
  </si>
  <si>
    <t>Великий Перевіз</t>
  </si>
  <si>
    <t>вул. Шевченка, 65 а</t>
  </si>
  <si>
    <t>(05352)94815</t>
  </si>
  <si>
    <t>Воскобійницька загальноосвітня школа І - ІІІ ступенів Шишацької селищної ради Полтавської області</t>
  </si>
  <si>
    <t>38012</t>
  </si>
  <si>
    <t>5325781201</t>
  </si>
  <si>
    <t>Воскобійники</t>
  </si>
  <si>
    <t>Гоголівська загальноосвітня школа І - ІІІ ступенів імені М. В. Гоголя Шишацької селищної ради Полтавської області</t>
  </si>
  <si>
    <t>38040</t>
  </si>
  <si>
    <t>5325781601</t>
  </si>
  <si>
    <t>вул. Л. Вайнгорта, 6</t>
  </si>
  <si>
    <t>(05352)93818</t>
  </si>
  <si>
    <t>http://gogoleveshkola.ucoz.ua</t>
  </si>
  <si>
    <t>Жоржівська загальноосвітня школа І-ІІІ ступенів Шишацької селищної ради Полтавської області</t>
  </si>
  <si>
    <t>38022</t>
  </si>
  <si>
    <t>5325782001</t>
  </si>
  <si>
    <t>Жоржівка</t>
  </si>
  <si>
    <t>(05352)94340</t>
  </si>
  <si>
    <t>http://jorjivkashkola.ucoz.ua</t>
  </si>
  <si>
    <t>Ковалівська загальноосвітня школа І-ІІІ ступенів Шишацької районної ради Полтавської області</t>
  </si>
  <si>
    <t>5325782601</t>
  </si>
  <si>
    <t>(05352)96640</t>
  </si>
  <si>
    <t>Покровська загальноосвітня школа 1ступеня</t>
  </si>
  <si>
    <t>38011</t>
  </si>
  <si>
    <t>5325782701</t>
  </si>
  <si>
    <t>ал. Новоселівка 2, 12</t>
  </si>
  <si>
    <t>94611</t>
  </si>
  <si>
    <t>Ковердинобалківська філія І-ІІ ступенів Шишацької спеціалізованої школи імені В.І. Вернадського Шишацької селищної ради Полтавської області</t>
  </si>
  <si>
    <t>38014</t>
  </si>
  <si>
    <t>5325782801</t>
  </si>
  <si>
    <t>Ковердина Балка</t>
  </si>
  <si>
    <t>(5352)96-1-40</t>
  </si>
  <si>
    <t>Михайликівський навчально-виховний комплекс "загальноосвітній навчальний заклад І-ІІІ ступенів-дошкільний навчальний заклад" Шишацької селищної ради Полтавської області</t>
  </si>
  <si>
    <t>38013</t>
  </si>
  <si>
    <t>5325783201</t>
  </si>
  <si>
    <t>Михайлики</t>
  </si>
  <si>
    <t>(05352)97640, (05352)97642</t>
  </si>
  <si>
    <t>Пришибський навчально-виховний комплекс "загальноосвітній навчальний заклад І-ІІІ ступенів - дошкільний навчальний заклад"</t>
  </si>
  <si>
    <t>38023</t>
  </si>
  <si>
    <t>5325783801</t>
  </si>
  <si>
    <t>вул. Полтавська, 4</t>
  </si>
  <si>
    <t>(05352)94215</t>
  </si>
  <si>
    <t>Сагайдацький навчально-виховний комплекс "загальноосвітній навчальний заклад І-ІІІ ступенів - дошкільний навчальний заклад"Шишацької селищної ради Полтавської області</t>
  </si>
  <si>
    <t>38033</t>
  </si>
  <si>
    <t>5325784601</t>
  </si>
  <si>
    <t>Сагайдак</t>
  </si>
  <si>
    <t>(05352)98740</t>
  </si>
  <si>
    <t>http://shkolasahaidak.pl.ua/</t>
  </si>
  <si>
    <t>Федунський навчально-виховний комплекс "загальноосвітня школа І ступеня - дошкільний навчальний заклад"</t>
  </si>
  <si>
    <t>38032</t>
  </si>
  <si>
    <t>5325785201</t>
  </si>
  <si>
    <t>Федунка</t>
  </si>
  <si>
    <t>93-4-18</t>
  </si>
  <si>
    <t>Опорний заклад "Яреськівська загальноосвітня школа І-ІІІ ступенів імені Ф.П.Борідька Шишацької районної ради Полтавської області"</t>
  </si>
  <si>
    <t>38034</t>
  </si>
  <si>
    <t>5325786001</t>
  </si>
  <si>
    <t>Яреськи</t>
  </si>
  <si>
    <t>(05352)98153</t>
  </si>
  <si>
    <t>Загальноосвітня школа І-ІІІ ступенів № 18 Рівненської міської ради</t>
  </si>
  <si>
    <t>33018</t>
  </si>
  <si>
    <t>5610100000</t>
  </si>
  <si>
    <t>Рівненська область</t>
  </si>
  <si>
    <t>вул. Карпинського, 15А</t>
  </si>
  <si>
    <t>(0362)230039</t>
  </si>
  <si>
    <t>http://school18.rv.sch.in.ua/</t>
  </si>
  <si>
    <t>Комунальний заклад "Рівненський обласний навчально-реабілітаційний центр" Рівненської обласної ради</t>
  </si>
  <si>
    <t>33010</t>
  </si>
  <si>
    <t>вул. О.Олеся, 16</t>
  </si>
  <si>
    <t>(362)641150</t>
  </si>
  <si>
    <t>21081273</t>
  </si>
  <si>
    <t>Комунальний заклад "Школа-інтернат ІІ-ІІІ ступенів "Рівненський обласний ліцей" Рівненської обласної ради</t>
  </si>
  <si>
    <t>33028</t>
  </si>
  <si>
    <t>вул. Котляревського, 1</t>
  </si>
  <si>
    <t>(0362)23-60-41, (0362)23-60-54</t>
  </si>
  <si>
    <t>http://www.roli.ho.ua</t>
  </si>
  <si>
    <t>02137743</t>
  </si>
  <si>
    <t>Рівненська вечірня загальноосвітня школа ІІ-ІІІ ступенів Рівненської міської ради</t>
  </si>
  <si>
    <t>вул. Струтинської, 15</t>
  </si>
  <si>
    <t>(0362)680501</t>
  </si>
  <si>
    <t>Рівненська гімназія "Гармонія" Рівненської міської ради</t>
  </si>
  <si>
    <t>33022</t>
  </si>
  <si>
    <t>просп. Генерала Безручка, 26</t>
  </si>
  <si>
    <t>(0362)241241, (0362)240171</t>
  </si>
  <si>
    <t>Рівненська гуманітарна гімназія Рівненської міської ради</t>
  </si>
  <si>
    <t>33001</t>
  </si>
  <si>
    <t>вул. С.Ковалевської, 17</t>
  </si>
  <si>
    <t>(0362)620634, (0362)265984</t>
  </si>
  <si>
    <t>22554383</t>
  </si>
  <si>
    <t>Рівненська загальноосвітня школа I - III ступенів № 11 Рівненської міської ради</t>
  </si>
  <si>
    <t>вул. Д. Галицького, 14А</t>
  </si>
  <si>
    <t>(362)637995</t>
  </si>
  <si>
    <t>Рівненська загальноосвітня школа I-IIII ступенів № 25 Рівненської міської ради</t>
  </si>
  <si>
    <t>33016</t>
  </si>
  <si>
    <t>вул. Євгена Коновальця, 17</t>
  </si>
  <si>
    <t>(0362)648492, (0362)648451</t>
  </si>
  <si>
    <t>http://www.school25.rosvita.rv.ua</t>
  </si>
  <si>
    <t>Рівненська загальноосвітня школа І-ІІІ ступенів № 20 Рівненської міської ради</t>
  </si>
  <si>
    <t>33005</t>
  </si>
  <si>
    <t>вул. О. Теліги, 27А</t>
  </si>
  <si>
    <t>(0362)254084</t>
  </si>
  <si>
    <t>http://rivne20school.at.ua</t>
  </si>
  <si>
    <t>Рівненська загальноосвітня школа І-ІІІ ступенів № 5 імені О.О. Борисенка Рівненської міської ради</t>
  </si>
  <si>
    <t>33013</t>
  </si>
  <si>
    <t>вул. Негребецького, 20</t>
  </si>
  <si>
    <t>(0362)635839</t>
  </si>
  <si>
    <t>Рівненська загальноосвітня школа І-ІІІ ступенів № 9 Рівненської міської ради</t>
  </si>
  <si>
    <t>вул. Марка Вовчка, 29А</t>
  </si>
  <si>
    <t>(0362)231484</t>
  </si>
  <si>
    <t>Рівненська загальноосвітня школа І-ІІІ ступенів № 1 імені Володимира Короленка Рівненської міської ради</t>
  </si>
  <si>
    <t>вул. Литовська, 11</t>
  </si>
  <si>
    <t>(0362)621029, (0362)269579</t>
  </si>
  <si>
    <t>http://school-1.rv.ua/</t>
  </si>
  <si>
    <t>Рівненська загальноосвітня школа І-ІІІ ступенів № 10 Рівненської міської ради</t>
  </si>
  <si>
    <t>вул. Видумка, 26</t>
  </si>
  <si>
    <t>(0362)280822, (0362)288936</t>
  </si>
  <si>
    <t>Рівненська загальноосвітня школа І-ІІІ ступенів № 13 Рівненської міської ради</t>
  </si>
  <si>
    <t>(0362)241213</t>
  </si>
  <si>
    <t>http://13.rovno.ua</t>
  </si>
  <si>
    <t>Рівненська загальноосвітня школа І-ІІІ ступенів № 22 Рівненської міської ради</t>
  </si>
  <si>
    <t>вул. Князя Романа, 14А</t>
  </si>
  <si>
    <t>(0362)242042, (0362)240223</t>
  </si>
  <si>
    <t>Рівненська загальноосвітня школа І-ІІІ ступенів № 23 Рівненської міської ради</t>
  </si>
  <si>
    <t>33024</t>
  </si>
  <si>
    <t>вул. Вербова, 42</t>
  </si>
  <si>
    <t>Рівненська загальноосвітня школа І-ІІІ ступенів № 24 Рівненської міської ради</t>
  </si>
  <si>
    <t>33003</t>
  </si>
  <si>
    <t>вул. Гайдамацька, 15</t>
  </si>
  <si>
    <t>(0362)245520, (0362)245579</t>
  </si>
  <si>
    <t>http://zosh24-rivne.at.ua</t>
  </si>
  <si>
    <t>Рівненська загальноосвітня школа І-ІІІ ступенів № 27 Рівненської міської ради</t>
  </si>
  <si>
    <t>вул. Дубенська, 133</t>
  </si>
  <si>
    <t>(0362)628377</t>
  </si>
  <si>
    <t>http://school27.rv.ua</t>
  </si>
  <si>
    <t>Рівненська загальноосвітня школа І-ІІІ ступенів № 28 Рівненської міської ради</t>
  </si>
  <si>
    <t>вул. Євгена Коновальця, 19</t>
  </si>
  <si>
    <t>(0362)626462, (0362)623611</t>
  </si>
  <si>
    <t>http://zosh28.at.ua/</t>
  </si>
  <si>
    <t>Рівненська загальноосвітня школа І-ІІІ ступенів № 3 Рівненської міської ради</t>
  </si>
  <si>
    <t>вул. Якова Бичківського, 13</t>
  </si>
  <si>
    <t>(0362)269657</t>
  </si>
  <si>
    <t>http://school3.rosvita.rv.ua</t>
  </si>
  <si>
    <t>Рівненська загальноосвітня школа І-ІІІ ступенів № 4 Рівненської міської ради</t>
  </si>
  <si>
    <t>33002</t>
  </si>
  <si>
    <t>вул. Жуковського, 30</t>
  </si>
  <si>
    <t>(036)635175, (036)234025</t>
  </si>
  <si>
    <t>http://school4.rosvita.rv.ua</t>
  </si>
  <si>
    <t>Рівненська загальноосвітня школа І-ІІІ ступенів № 6 Рівненської міської ради</t>
  </si>
  <si>
    <t>вул. Олени Пчілки, 9</t>
  </si>
  <si>
    <t>(0362)633219</t>
  </si>
  <si>
    <t>http://6school.rv.ua/</t>
  </si>
  <si>
    <t>Рівненська загальноосвітня школа І-ІІІ ступенів № 8 Рівненської міської ради</t>
  </si>
  <si>
    <t>вул. Кн.Острозького, 20</t>
  </si>
  <si>
    <t>(0362)641307</t>
  </si>
  <si>
    <t>http://www.School8.rv.ua</t>
  </si>
  <si>
    <t>Рівненська загальноосвітня школа І-ІІступенів № 16 Рівненської міської ради</t>
  </si>
  <si>
    <t>(0362)681285, (098)2469239, (096)4346087</t>
  </si>
  <si>
    <t>Рівненська класична гімназія "Престиж" Рівненської міської ради</t>
  </si>
  <si>
    <t>вул. Данила Галицького, 15</t>
  </si>
  <si>
    <t>(0362)636845</t>
  </si>
  <si>
    <t>http://prestizh.rv.ua/</t>
  </si>
  <si>
    <t>33408716</t>
  </si>
  <si>
    <t>Рівненська спеціалізована школа І-ІІІ ступенів "Центр надії" ім. Надії Маринович Рівненської міської ради</t>
  </si>
  <si>
    <t>пров. І. Волошина, 12А</t>
  </si>
  <si>
    <t>(0362)26-25-12</t>
  </si>
  <si>
    <t>http://coh.rv.ua</t>
  </si>
  <si>
    <t>21080291</t>
  </si>
  <si>
    <t>Рівненська спеціалізована школа І-ІІІ ступенів № 15 Рівненської міської ради</t>
  </si>
  <si>
    <t>33000</t>
  </si>
  <si>
    <t>(0362)620916</t>
  </si>
  <si>
    <t>http://spschool15.rosvita.rv.ua</t>
  </si>
  <si>
    <t>Рівненська українська гімназія Рівненської міської ради</t>
  </si>
  <si>
    <t>вул. 24 Серпня, 2</t>
  </si>
  <si>
    <t>(0362)265725, (0362)635959</t>
  </si>
  <si>
    <t>http://www.rug.rv.ua</t>
  </si>
  <si>
    <t>22574960</t>
  </si>
  <si>
    <t>Рівненський економіко-правовий ліцей Рівненської міської ради</t>
  </si>
  <si>
    <t>вул. Гайдамацька, 7А</t>
  </si>
  <si>
    <t>(0362)24-43-66</t>
  </si>
  <si>
    <t>http://repl.rv.ua/</t>
  </si>
  <si>
    <t>Рівненський навчально-виховний комплекс "Загальноосвітній навчальний заклад І-ІІІ ступенів - дошкільний навчальний заклад № 14" Рівненської міської ради</t>
  </si>
  <si>
    <t>33025</t>
  </si>
  <si>
    <t>вул. Боженова, 59</t>
  </si>
  <si>
    <t>(0362)633522, (0362)633616</t>
  </si>
  <si>
    <t>http://nvk14.rv.ua</t>
  </si>
  <si>
    <t>Рівненський навчально-виховний комплекс "Загальноосвітня школа І-ІІІ ступенів - дошкільний навчальний заклад" № 17 Рівненської міської ради</t>
  </si>
  <si>
    <t>33004</t>
  </si>
  <si>
    <t>вул. Тиннівська, 82</t>
  </si>
  <si>
    <t>(0362)632341</t>
  </si>
  <si>
    <t>http://www.nvk17.edukit.rv.ua</t>
  </si>
  <si>
    <t>Рівненський навчально-виховний комплекс "Загальноосвітня школа І-ІІІ ступенів - ліцей" № 19 Рівненської міської ради</t>
  </si>
  <si>
    <t>вул. Макарова, 48</t>
  </si>
  <si>
    <t>(0362)256305, (0362)682375</t>
  </si>
  <si>
    <t>http://www.school19.rv.ua</t>
  </si>
  <si>
    <t>Рівненський навчально-виховний комплекс "Колегіум" Рівненської міської ради</t>
  </si>
  <si>
    <t>(0362)266934</t>
  </si>
  <si>
    <t>Рівненський навчально-виховний комплекс «Загальноосвітня школа І-ІІІ ступенів - спеціалізована спортивна школа» № 26 Рівненської міської ради</t>
  </si>
  <si>
    <t>вул. Павлюченка, 24</t>
  </si>
  <si>
    <t>(0362)5-92-07</t>
  </si>
  <si>
    <t>Рівненський навчально-виховний комплекс № 1 Рівненської міської ради</t>
  </si>
  <si>
    <t>33014</t>
  </si>
  <si>
    <t>вул. Княгині Ольги, 25</t>
  </si>
  <si>
    <t>230054</t>
  </si>
  <si>
    <t>Рівненський навчально-виховний комплекс № 12 Рівненської міської ради</t>
  </si>
  <si>
    <t>33027</t>
  </si>
  <si>
    <t>вул. Грушевського, 81</t>
  </si>
  <si>
    <t>(0362)28-55-92, (0362)28-26-33, (0362)28-77-65</t>
  </si>
  <si>
    <t>Рівненський навчально-виховний комплекс № 2 "Школа-Ліцей" Рівненської міської ради</t>
  </si>
  <si>
    <t>http://school2.rv.ua</t>
  </si>
  <si>
    <t>Рівненський навчально-виховний комплекс № 37 Рівненської міської ради</t>
  </si>
  <si>
    <t>вул. Й. Драганчука, 12</t>
  </si>
  <si>
    <t>(0362)233524</t>
  </si>
  <si>
    <t>http://nvk37.rv.ua</t>
  </si>
  <si>
    <t>23306227</t>
  </si>
  <si>
    <t>Рівненський навчально-реабілітаційний центр "Особлива дитина" Рівненської міської ради Рівненської області</t>
  </si>
  <si>
    <t>вул. Гурія Бухала, 3</t>
  </si>
  <si>
    <t>(0362)640431, (0362)683348, (0362)640436</t>
  </si>
  <si>
    <t>http://osbluvadutuna.pp.ua</t>
  </si>
  <si>
    <t>25949900</t>
  </si>
  <si>
    <t>Рівненський природничо-математичний ліцей "Елітар" Рівненської міської ради</t>
  </si>
  <si>
    <t>вул. Гайдамацька, 9А</t>
  </si>
  <si>
    <t>(0362)24-56-78</t>
  </si>
  <si>
    <t>22555862</t>
  </si>
  <si>
    <t>Дубенська гімназія № 2 Дубенської міської ради Рівненської області</t>
  </si>
  <si>
    <t>35604</t>
  </si>
  <si>
    <t>5610300000</t>
  </si>
  <si>
    <t>Дубно</t>
  </si>
  <si>
    <t>вул. Морозенка, 34</t>
  </si>
  <si>
    <t>(03656)22402</t>
  </si>
  <si>
    <t>Дубенська загальноосвітня школа І-ІІІ ступенів № 1</t>
  </si>
  <si>
    <t>35600</t>
  </si>
  <si>
    <t>(03656)43456</t>
  </si>
  <si>
    <t>Дубенська загальноосвітня школа І-ІІІ ступенів № 6</t>
  </si>
  <si>
    <t>вул. Грушевського, 182</t>
  </si>
  <si>
    <t>(03656)2-21-84</t>
  </si>
  <si>
    <t>Дубенська загальноосвітня школа І-ІІІ ступенів № 7 Дубенської міської ради Рівненської області</t>
  </si>
  <si>
    <t>35601</t>
  </si>
  <si>
    <t>(03656)3-33-74</t>
  </si>
  <si>
    <t>http://dubno-school7.at.ua</t>
  </si>
  <si>
    <t>Дубенська загальноосвітня школа ІІ-ІІІ ступенів № 9</t>
  </si>
  <si>
    <t>Дубенська спеціалізована загальноосвітня школа І-ІІІ ступенів № 5 з поглибленим вивченням іноземних мов Дубенської міської ради Рівненської області</t>
  </si>
  <si>
    <t>(03656)22256</t>
  </si>
  <si>
    <t>http://sznz5.at.ua</t>
  </si>
  <si>
    <t>Дубенський навчально - виховний комплекс "загальноосвітній навчальний заклад - дошкільний навчальний заклад".</t>
  </si>
  <si>
    <t>вул. Венецька, 11А</t>
  </si>
  <si>
    <t>(03656)46409</t>
  </si>
  <si>
    <t>Дубенський навчально- виховний комплекс "школа-гімназія"</t>
  </si>
  <si>
    <t>35660</t>
  </si>
  <si>
    <t>вул. Пекарська, 16 -А</t>
  </si>
  <si>
    <t>(03656)42469</t>
  </si>
  <si>
    <t>Загальноосвітня школа І-ІІІ ступенів № 3 Дубенської міської ради Рівненської області</t>
  </si>
  <si>
    <t>вул. Стара, 20</t>
  </si>
  <si>
    <t>(03656)43237</t>
  </si>
  <si>
    <t>Комунальний заклад "Дубенська спеціальна загальноосвітня школа-інтернат І-ІІ ступенів" Рівненської обласної ради</t>
  </si>
  <si>
    <t>вул. Фабрична, 6</t>
  </si>
  <si>
    <t>0365645222</t>
  </si>
  <si>
    <t>22569930</t>
  </si>
  <si>
    <t>Вараська гімназія Вараської міської ради</t>
  </si>
  <si>
    <t>34400</t>
  </si>
  <si>
    <t>5610700000</t>
  </si>
  <si>
    <t>Вараш</t>
  </si>
  <si>
    <t>майдан Вараш, 37</t>
  </si>
  <si>
    <t>(03636)2-20-94, (03636)2-19-49</t>
  </si>
  <si>
    <t>http://kuznetsovska-gimnazia.pp.ua</t>
  </si>
  <si>
    <t>Вараська загальноосвітня школа I-III ступенів № 5 Вараської міської ради, Рівненської області</t>
  </si>
  <si>
    <t>мрн. Вараш, 36</t>
  </si>
  <si>
    <t>(03636)23111, (03636)23208</t>
  </si>
  <si>
    <t>http://znz5.at.ua</t>
  </si>
  <si>
    <t>Вараська загальноосвітня школа I-III ступенів № 2 Вараської міської ради Рівненської області</t>
  </si>
  <si>
    <t>мрн. Будівельників, 56</t>
  </si>
  <si>
    <t>(03636)23827, (03636)2-27-45</t>
  </si>
  <si>
    <t>http://znz2.varashosvita.rv.ua/</t>
  </si>
  <si>
    <t>Вараська загальноосвітня школа І-ІІІ ступенів № 3 Вараської міської ради Рівненської області</t>
  </si>
  <si>
    <t>майдан Перемоги, 8</t>
  </si>
  <si>
    <t>(03636)35505, (03636)24441</t>
  </si>
  <si>
    <t>http://school3-kuzn.weebly.com</t>
  </si>
  <si>
    <t>Вараська загальноосвітня школа І-ІІІ ступенів № 1 Вараської міської ради Рівненської області</t>
  </si>
  <si>
    <t>мрн. Будівельників, 55</t>
  </si>
  <si>
    <t>(03636)2-26-37</t>
  </si>
  <si>
    <t>http://znz1.varashosvita.rv.ua/</t>
  </si>
  <si>
    <t>Вараська загальноосвітня школа І-ІІІ ступенів № 4 Вараської міської ради Рівненської області</t>
  </si>
  <si>
    <t>вул. Вараш, 39</t>
  </si>
  <si>
    <t>(03636)21322</t>
  </si>
  <si>
    <t>http://znz4.varashosvita.rv.ua</t>
  </si>
  <si>
    <t>Навчально - виховний комплекс "дошкільний навчальний заклад - загальноосвітня школа І ступеня " № 1</t>
  </si>
  <si>
    <t>майдан Будівельників, 41</t>
  </si>
  <si>
    <t>0363622630</t>
  </si>
  <si>
    <t>http://osvitanvk1.wix.com/nvk1</t>
  </si>
  <si>
    <t>Навчально-виховний комплекс "дошкільний навчальний заклад-загальноосвітня школа І ступеня" № 10 Вараської міської ради Рівненської області</t>
  </si>
  <si>
    <t>мрн. Вараш, 38</t>
  </si>
  <si>
    <t>(03636)22552</t>
  </si>
  <si>
    <t>http://nvkdnz10.varashosvita.rv.ua</t>
  </si>
  <si>
    <t>Комунальний заклад "Острозька спеціальна загальноосвітня школа - інтернат I - III ступенів " Рівненської обласної ради</t>
  </si>
  <si>
    <t>35801</t>
  </si>
  <si>
    <t>5610900000</t>
  </si>
  <si>
    <t>Острог</t>
  </si>
  <si>
    <t>вул. І. Вишенського, 42</t>
  </si>
  <si>
    <t>(03654)23940</t>
  </si>
  <si>
    <t>http://ostroh-internat.at.ua/</t>
  </si>
  <si>
    <t>21084314</t>
  </si>
  <si>
    <t>Комунальний заклад "Острозька спеціальна загальноосвітня школа-інтернат № 2 І-ІІ ступенів" Рівненської обласної ради</t>
  </si>
  <si>
    <t>вул. Вишенського, 9</t>
  </si>
  <si>
    <t>http://shkola-internat.rv.ua/</t>
  </si>
  <si>
    <t>21082597</t>
  </si>
  <si>
    <t>Комунальний заклад "Острозький обласний ліцей - інтернат з посиленою військово-фізичною підготовкою" Рівненської обласної ради</t>
  </si>
  <si>
    <t>35800</t>
  </si>
  <si>
    <t>просп. Незалежності, 62</t>
  </si>
  <si>
    <t>(03654)22485, (03654)30135</t>
  </si>
  <si>
    <t>http://vl.rv.ua</t>
  </si>
  <si>
    <t>26062852</t>
  </si>
  <si>
    <t>Острозька загальноосвітня школа І-ІІІ ступенів № 1 Острозької міської ради Рівненської області</t>
  </si>
  <si>
    <t>пл. Декабристів, 6А</t>
  </si>
  <si>
    <t>(03654)23850</t>
  </si>
  <si>
    <t>http://ostrogschool1.ucoz.ua</t>
  </si>
  <si>
    <t>Острозька загальноосвітня школа І-ІІІ ступенів № 3 Острозької міської ради</t>
  </si>
  <si>
    <t>вул. І. Вишенського, 3А</t>
  </si>
  <si>
    <t>(03654)2-34-03</t>
  </si>
  <si>
    <t>Острозький навчально-виховний комплекс- "Школа I-III ступенів-гімназія" Острозької міської ради Рівненської області</t>
  </si>
  <si>
    <t>вул. Площа Декабристів, 6</t>
  </si>
  <si>
    <t>2-20-86</t>
  </si>
  <si>
    <t>Березнівська гімназія Березнівської районної ради Рівненської області імені Миколи Буховича</t>
  </si>
  <si>
    <t>34600</t>
  </si>
  <si>
    <t>5620410100</t>
  </si>
  <si>
    <t>Березне</t>
  </si>
  <si>
    <t>(03653)56710</t>
  </si>
  <si>
    <t>http://www.bergimn.org.ua</t>
  </si>
  <si>
    <t>22569249</t>
  </si>
  <si>
    <t>Березнівська загальноосвітня школа I-III ступенів № 2 Березнівської районної ради Рівненської області</t>
  </si>
  <si>
    <t>вул. Будівельників, 4</t>
  </si>
  <si>
    <t>(03653)54915</t>
  </si>
  <si>
    <t>http://www.berezneschool2.at.ua</t>
  </si>
  <si>
    <t>22569373</t>
  </si>
  <si>
    <t>Березнівський навчально-виховний комплекс "Економіко-гуманітарний ліцей - загальноосвітня школа І-ІІ ступенів" Березнівської районної ради Рівненської області</t>
  </si>
  <si>
    <t>вул. Андріївська, 35</t>
  </si>
  <si>
    <t>(03653)54954, (03653)56243, (03653)54602</t>
  </si>
  <si>
    <t>http://berezne.com.ua/</t>
  </si>
  <si>
    <t>22578283</t>
  </si>
  <si>
    <t>Березнівський навчально-виховний комплекс "Загальноосвітня школа І ступеня - дошкільний навчальний заклад"</t>
  </si>
  <si>
    <t>(03653)54853, (03653)53209</t>
  </si>
  <si>
    <t>http://pochatkovadnz.usoz.ru</t>
  </si>
  <si>
    <t>35400326</t>
  </si>
  <si>
    <t>Березнівський навчально-виховний комплекс "Загальноосвітня школа І-ІІ ступенів - ліцей з професійним навчанням" Березнівської районної ради Рівненської області</t>
  </si>
  <si>
    <t>вул. Вишнева, 19</t>
  </si>
  <si>
    <t>(03653)5-43-65</t>
  </si>
  <si>
    <t>http://berezne-internat.rv.ua</t>
  </si>
  <si>
    <t>04590748</t>
  </si>
  <si>
    <t>Комунальний заклад "Березнівський ліцей-інтернат спортивного профілю" Березнівської районної ради Рівненської області</t>
  </si>
  <si>
    <t>вул. Ціолковського, 10</t>
  </si>
  <si>
    <t>26406604</t>
  </si>
  <si>
    <t>Соснівський навчально-виховний комплекс "Гімназія - загальноосвітня школа I ступеня" Березнівської районної ради Рівненської області</t>
  </si>
  <si>
    <t>34652</t>
  </si>
  <si>
    <t>5620455700</t>
  </si>
  <si>
    <t>(03653)27373</t>
  </si>
  <si>
    <t>http://sosnove.ucoz.ua</t>
  </si>
  <si>
    <t>22569226</t>
  </si>
  <si>
    <t>Балашівський навчально - виховний комплекс "Колегіум - загальноосвітня школа І - ІІ ступенів" Березнівської районної ради</t>
  </si>
  <si>
    <t>34640</t>
  </si>
  <si>
    <t>5620480401</t>
  </si>
  <si>
    <t>Балашівка</t>
  </si>
  <si>
    <t>вул. С.Тулуба, 18</t>
  </si>
  <si>
    <t>(3653)3-47-51</t>
  </si>
  <si>
    <t>http://www.балашівка.інтер.net</t>
  </si>
  <si>
    <t>24171083</t>
  </si>
  <si>
    <t>Лінчинська загальноосвітня школа І - ІІ ступенів Березнівської районної ради Рівненської області</t>
  </si>
  <si>
    <t>34664</t>
  </si>
  <si>
    <t>5620480402</t>
  </si>
  <si>
    <t>Лінчин</t>
  </si>
  <si>
    <t>Михалинська загальноосвітня школа І-ІІ ступенів Березнівської районної ради Рівненської області</t>
  </si>
  <si>
    <t>34666</t>
  </si>
  <si>
    <t>5620480403</t>
  </si>
  <si>
    <t>Михалин</t>
  </si>
  <si>
    <t>вул. Шкільна ,6, 6</t>
  </si>
  <si>
    <t>(03653)34870</t>
  </si>
  <si>
    <t>http://myhalin.webnode.com.ua</t>
  </si>
  <si>
    <t>Броннівська загальноосвітня школа І-ІІ ступенів Березнівської районної ради Рівненської області</t>
  </si>
  <si>
    <t>34611</t>
  </si>
  <si>
    <t>5620481401</t>
  </si>
  <si>
    <t>Бронне</t>
  </si>
  <si>
    <t>вул. Андріївська, 65Д</t>
  </si>
  <si>
    <t>(03653)3-56-35</t>
  </si>
  <si>
    <t>http://бронне.інтер.net</t>
  </si>
  <si>
    <t>Білківська загальноосвітня школа І-ІІ ступенів Березнівської районної ради Рівненської області</t>
  </si>
  <si>
    <t>34633</t>
  </si>
  <si>
    <t>5620481601</t>
  </si>
  <si>
    <t>(03653)35959</t>
  </si>
  <si>
    <t>http://bilkashkola.at.ua</t>
  </si>
  <si>
    <t>Бистрицький навчально-виховний комплекс “Загальноосвітня школа І-ІІІ ступенів - дошкільний навчальний заклад” Березнівської районної ради Рівненської області</t>
  </si>
  <si>
    <t>34644</t>
  </si>
  <si>
    <t>5620481801</t>
  </si>
  <si>
    <t>Бистричі</t>
  </si>
  <si>
    <t>вул. Надслучанська, 296</t>
  </si>
  <si>
    <t>(0362)61348</t>
  </si>
  <si>
    <t>http://bistrichi-nvk.wix.com/shkola</t>
  </si>
  <si>
    <t>35708226</t>
  </si>
  <si>
    <t>Великопільська загальноосвітня школа І-ІІ ступенів Березнівської районної ради Рівненської області</t>
  </si>
  <si>
    <t>34631</t>
  </si>
  <si>
    <t>5620482201</t>
  </si>
  <si>
    <t>Велике Поле</t>
  </si>
  <si>
    <t>(03653)35533</t>
  </si>
  <si>
    <t>http://velikepole.at.ua</t>
  </si>
  <si>
    <t>Яблунівська загальноосвітня школа І-ІІ ступенів Березнівської районної ради Рівненської області</t>
  </si>
  <si>
    <t>34630</t>
  </si>
  <si>
    <t>5620482204</t>
  </si>
  <si>
    <t>Яблунне</t>
  </si>
  <si>
    <t>вул. Рівненська, 8</t>
  </si>
  <si>
    <t>(03653)35555</t>
  </si>
  <si>
    <t>Вітковицький навчально-виховний комплекс "Загальноосвітня школа І-ІІІ ступенів - дошкільний навчальний заклад" Березнівської районної ради Рівненської області</t>
  </si>
  <si>
    <t>34622</t>
  </si>
  <si>
    <t>5620482701</t>
  </si>
  <si>
    <t>Вітковичі</t>
  </si>
  <si>
    <t>35708231</t>
  </si>
  <si>
    <t>Голубнівська загальноосвітня школа І-ІІІ ступенів Березнівської районної Ради Рівненської області</t>
  </si>
  <si>
    <t>34632</t>
  </si>
  <si>
    <t>5620483201</t>
  </si>
  <si>
    <t>Голубне</t>
  </si>
  <si>
    <t>(03653)33632</t>
  </si>
  <si>
    <t>http://golubneshkola.at.ua</t>
  </si>
  <si>
    <t>Городищенська загальноосвітня школа І-ІІІ ступенів Березнівської районної ради Рівненської області</t>
  </si>
  <si>
    <t>34607</t>
  </si>
  <si>
    <t>5620483601</t>
  </si>
  <si>
    <t>(03653)52234</t>
  </si>
  <si>
    <t>https://sites.google.com/site/schoolgorodishche/</t>
  </si>
  <si>
    <t>22578113</t>
  </si>
  <si>
    <t>Орлівська загальносвітня школа І - ІІІ ступенів Березнівської районної ради Рівненської області</t>
  </si>
  <si>
    <t>34608</t>
  </si>
  <si>
    <t>5620483602</t>
  </si>
  <si>
    <t>(03653)5-22-85</t>
  </si>
  <si>
    <t>http://orlivkaschool.wordpress.com</t>
  </si>
  <si>
    <t>Грушівська загальноосвітня школа І-ІІ ступенів Березнівської районної ради Рівненської області</t>
  </si>
  <si>
    <t>34651</t>
  </si>
  <si>
    <t>5620484001</t>
  </si>
  <si>
    <t>(03653)3-37-26</t>
  </si>
  <si>
    <t>Губківська загальноосвітня школа І-ІІ ступенів Березнівської районної ради Рівненської області</t>
  </si>
  <si>
    <t>34657</t>
  </si>
  <si>
    <t>5620484401</t>
  </si>
  <si>
    <t>Губків</t>
  </si>
  <si>
    <t>(03653)52945</t>
  </si>
  <si>
    <t>http://gubkiv.wix.com/shkola</t>
  </si>
  <si>
    <t>Друхівська загальноосвітня школа І-ІІІ ступенів Березнівської районної ради Рівненської області</t>
  </si>
  <si>
    <t>34643</t>
  </si>
  <si>
    <t>5620484801</t>
  </si>
  <si>
    <t>Друхів</t>
  </si>
  <si>
    <t>вул. Шевченка, 108 А</t>
  </si>
  <si>
    <t>(03653)34618</t>
  </si>
  <si>
    <t>Зірненська загальноосвітня школа І-ІІІ ступенів Березнівської районної ради Рівненської області</t>
  </si>
  <si>
    <t>34609</t>
  </si>
  <si>
    <t>5620485301</t>
  </si>
  <si>
    <t>Зірне</t>
  </si>
  <si>
    <t>(03653)4-15-12</t>
  </si>
  <si>
    <t>Кам'янська загальноосвітня школа І-ІІІ ступенів Березнівської районної ради Рівненської області</t>
  </si>
  <si>
    <t>5620485701</t>
  </si>
  <si>
    <t>вул. Ю. Ковтуна, 1</t>
  </si>
  <si>
    <t>(03653)33424</t>
  </si>
  <si>
    <t>http://kamyanka.rv.ua</t>
  </si>
  <si>
    <t>22569309</t>
  </si>
  <si>
    <t>Курганська загальноосвітня школа І-ІІ ступенів Березнівської районної ради Рівненської області</t>
  </si>
  <si>
    <t>34663</t>
  </si>
  <si>
    <t>5620485703</t>
  </si>
  <si>
    <t>Кургани</t>
  </si>
  <si>
    <t>(03653)3-44-45</t>
  </si>
  <si>
    <t>http://kurgani.ucoz.ua</t>
  </si>
  <si>
    <t>Малинська загальноосвітня школа І-ІІІ ступенів Березнівської районної ради Рівненської області</t>
  </si>
  <si>
    <t>34610</t>
  </si>
  <si>
    <t>5620486201</t>
  </si>
  <si>
    <t>Малинськ</t>
  </si>
  <si>
    <t>(03653)35423</t>
  </si>
  <si>
    <t>http://www.shool-malinsk.jimdo.com</t>
  </si>
  <si>
    <t>22569232</t>
  </si>
  <si>
    <t>Малушківська загальноосвітня школа І-ІІІ ступенів Березнівської районної ради Рівненської області</t>
  </si>
  <si>
    <t>34665</t>
  </si>
  <si>
    <t>5620486203</t>
  </si>
  <si>
    <t>Малушка</t>
  </si>
  <si>
    <t>вул. Кузнецова, 17А</t>
  </si>
  <si>
    <t>(036253)33840</t>
  </si>
  <si>
    <t>http://malushka.ucoz.ua</t>
  </si>
  <si>
    <t>Марининська загальноосвітня школа І-ІІІ ступенів Березнівської районної ради Рівненської області</t>
  </si>
  <si>
    <t>34655</t>
  </si>
  <si>
    <t>5620486601</t>
  </si>
  <si>
    <t>Маринин</t>
  </si>
  <si>
    <t>(03653)29818</t>
  </si>
  <si>
    <t>22569344</t>
  </si>
  <si>
    <t>Моквинський навчально-виховний комплекс "Гімназія - загальноосвітня школа І ступеня" Березнівської районної ради Рівненської області</t>
  </si>
  <si>
    <t>34634</t>
  </si>
  <si>
    <t>5620487010</t>
  </si>
  <si>
    <t>Моквин</t>
  </si>
  <si>
    <t>(03653)51349</t>
  </si>
  <si>
    <t>http://mokvin.rv.ua</t>
  </si>
  <si>
    <t>22578219</t>
  </si>
  <si>
    <t>Поліська загальноосвітня школа І-ІІІ ступенів Березнівської районної ради Рівненської області</t>
  </si>
  <si>
    <t>34650</t>
  </si>
  <si>
    <t>5620487601</t>
  </si>
  <si>
    <t>33730</t>
  </si>
  <si>
    <t>http://poliske-zoch.edukit.rv.ua</t>
  </si>
  <si>
    <t>Полянська загальноосвітня школа І-ІІІ ступенів Березнівської районної ради Рівненської області</t>
  </si>
  <si>
    <t>34612</t>
  </si>
  <si>
    <t>5620488001</t>
  </si>
  <si>
    <t>вул. Лесі Українки, 74</t>
  </si>
  <si>
    <t>(8(03653))33193</t>
  </si>
  <si>
    <t>http://polyanu2013.at.ua</t>
  </si>
  <si>
    <t>Прислуцький навчально-виховний комплекс "Загальноосвітня школа І-ІІІ ступенів - дитячий садок" Березнівської районної ради</t>
  </si>
  <si>
    <t>34642</t>
  </si>
  <si>
    <t>5620488301</t>
  </si>
  <si>
    <t>Прислуч</t>
  </si>
  <si>
    <t>вул. Андріївська, 91</t>
  </si>
  <si>
    <t>(03653)35721, (03653)35790</t>
  </si>
  <si>
    <t>24171387</t>
  </si>
  <si>
    <t>Колодязнівська загальноосвітня школа І-ІІ ступенів Березнівської районної ради Рівненської області</t>
  </si>
  <si>
    <t>34661</t>
  </si>
  <si>
    <t>5620488302</t>
  </si>
  <si>
    <t>Колодязне</t>
  </si>
  <si>
    <t>вул. Андріївська, 116</t>
  </si>
  <si>
    <t>(03653)35718</t>
  </si>
  <si>
    <t>Хотинська загальноосвітня школа І-ІІ ступенів Березнівської районної ради Рівненської області</t>
  </si>
  <si>
    <t>5620488303</t>
  </si>
  <si>
    <t>Хотин</t>
  </si>
  <si>
    <t>вул. Поліська, 72 А</t>
  </si>
  <si>
    <t>Тишицька загальноосвітня школа І-ІІІ ступенів Березнівської районної ради Рівненської області</t>
  </si>
  <si>
    <t>34620</t>
  </si>
  <si>
    <t>5620488601</t>
  </si>
  <si>
    <t>Тишиця</t>
  </si>
  <si>
    <t>вул. Незалежності, 91А</t>
  </si>
  <si>
    <t>(03653)3-51-43</t>
  </si>
  <si>
    <t>Богушівська загальноосвітня школа І - ІІІ ступенів Березнівської районної ради Рівненської області</t>
  </si>
  <si>
    <t>34621</t>
  </si>
  <si>
    <t>5620488602</t>
  </si>
  <si>
    <t>Богуші</t>
  </si>
  <si>
    <t>(03653)35117</t>
  </si>
  <si>
    <t>Князівський навчально-виховний комплекс "Загальноосвітня школа І-ІІІ ступенів - дошкільний навчальний заклад" Березнівської районної ради Рівненської області</t>
  </si>
  <si>
    <t>5620488603</t>
  </si>
  <si>
    <t>Князівка</t>
  </si>
  <si>
    <t>вул. Незалежності, 3</t>
  </si>
  <si>
    <t>(03653)35196</t>
  </si>
  <si>
    <t>http://knyazivka.at.ua</t>
  </si>
  <si>
    <t>24171686</t>
  </si>
  <si>
    <t>Великосовпівська загальноосвітня школа І-ІІ ступенів Березнівської районної ради Рівненської області</t>
  </si>
  <si>
    <t>34656</t>
  </si>
  <si>
    <t>5620488902</t>
  </si>
  <si>
    <t>Совпа</t>
  </si>
  <si>
    <t>вул. Межирицька, 1</t>
  </si>
  <si>
    <t>(803653)2-73-86</t>
  </si>
  <si>
    <t>Яринівська загальноосвітня школа І-ІІ ступенів Березнівської районної ради Рівненської області</t>
  </si>
  <si>
    <t>34613</t>
  </si>
  <si>
    <t>5620489501</t>
  </si>
  <si>
    <t>Яринівка</t>
  </si>
  <si>
    <t>вул. Л. Українки, 1</t>
  </si>
  <si>
    <t>(03653)33522</t>
  </si>
  <si>
    <t>http://yarinivka.at.ua</t>
  </si>
  <si>
    <t>Яцьковицька загальноосвітня школа І-ІІ ступенів</t>
  </si>
  <si>
    <t>34641</t>
  </si>
  <si>
    <t>5620489801</t>
  </si>
  <si>
    <t>Яцьковичі</t>
  </si>
  <si>
    <t>(03653)34710</t>
  </si>
  <si>
    <t>Володимирецька загальноосвітня школа І-ІІІ ступенів № 1</t>
  </si>
  <si>
    <t>34300</t>
  </si>
  <si>
    <t>5620855100</t>
  </si>
  <si>
    <t>Володимирець</t>
  </si>
  <si>
    <t>0363425194</t>
  </si>
  <si>
    <t>http://volodschool1.at.ua</t>
  </si>
  <si>
    <t>22567380</t>
  </si>
  <si>
    <t>Володимирецький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</si>
  <si>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вул. Горького, 2</t>
  </si>
  <si>
    <t>0343623068</t>
  </si>
  <si>
    <t>Володимирецький районний колегіум</t>
  </si>
  <si>
    <t>+38(03634) 2-51-39</t>
  </si>
  <si>
    <t>http://vrk3.org.ua</t>
  </si>
  <si>
    <t>22567807</t>
  </si>
  <si>
    <t>Рафалівська загальноосвітня школа І-ІІІ ступенів Володимирецької районної ради Рівненської області</t>
  </si>
  <si>
    <t>34371</t>
  </si>
  <si>
    <t>5620855400</t>
  </si>
  <si>
    <t>Рафалівка</t>
  </si>
  <si>
    <t>вул. Незалежності, 12</t>
  </si>
  <si>
    <t>0363453388</t>
  </si>
  <si>
    <t>04590760</t>
  </si>
  <si>
    <t>Рафалівська ЗОШ ІІ-ІІІ ступенів Володимирецької районної ради Рівненської області</t>
  </si>
  <si>
    <t>вул. Петропавлівська, 6</t>
  </si>
  <si>
    <t>0363453392, 0363453330</t>
  </si>
  <si>
    <t>Рафалівський НВК "ЗОШ І ст. - ДНЗ"</t>
  </si>
  <si>
    <t>(03634)53817</t>
  </si>
  <si>
    <t>25894582</t>
  </si>
  <si>
    <t>Антонівська загальноосвітня школа І - ІІІ ступенів, Володимирецької районної ради, Рівненської області</t>
  </si>
  <si>
    <t>34380</t>
  </si>
  <si>
    <t>5620880301</t>
  </si>
  <si>
    <t>(03634)6-12-42, (03634)6-11-24</t>
  </si>
  <si>
    <t>http://antonivkazosh.stenos.net</t>
  </si>
  <si>
    <t>22552869</t>
  </si>
  <si>
    <t>Балаховицький навчально- виховний комплекс "загальноосвітня школа І-ІІступенів - дошкільний навчальний заклад"</t>
  </si>
  <si>
    <t>34373</t>
  </si>
  <si>
    <t>5620880601</t>
  </si>
  <si>
    <t>Балаховичі</t>
  </si>
  <si>
    <t>вул. Єршова, 13</t>
  </si>
  <si>
    <t>(03634) 5-41-50</t>
  </si>
  <si>
    <t>22563732</t>
  </si>
  <si>
    <t>Біленський навчально-виховний комплекс "Загальноосвітня школа І - ІІІ ступенів - дошкільний навчальний заклад" Володимирецької районної ради Рівненської області</t>
  </si>
  <si>
    <t>34310</t>
  </si>
  <si>
    <t>5620880901</t>
  </si>
  <si>
    <t>вул. 17 Вересня, 17</t>
  </si>
  <si>
    <t>0363471132</t>
  </si>
  <si>
    <t>Малотелковицький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</si>
  <si>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34376</t>
  </si>
  <si>
    <t>5620880902</t>
  </si>
  <si>
    <t>Малі Телковичі</t>
  </si>
  <si>
    <t>вул. В. Сильмана, 66</t>
  </si>
  <si>
    <t>0363471135</t>
  </si>
  <si>
    <t>http://mtelkov-shol.ucoz.ua/</t>
  </si>
  <si>
    <t>24168661</t>
  </si>
  <si>
    <t>Більськовільський навчально-виховний комплекс "загальноосвітня школа І-ІІІ ступенів - дошкільний навчальний заклад", Володимирецької районної ради, Рівненської області</t>
  </si>
  <si>
    <t>34350</t>
  </si>
  <si>
    <t>5620881201</t>
  </si>
  <si>
    <t>Більська Воля</t>
  </si>
  <si>
    <t>22567983</t>
  </si>
  <si>
    <t>Рудківський навчально-виховний комплекс "Загальноосвітня школа І-ІІ ступенів - дошкільний навчальний заклад" с. Рудка, Володимирецького району Рівненської області</t>
  </si>
  <si>
    <t>5620881204</t>
  </si>
  <si>
    <t>(38)0686475920</t>
  </si>
  <si>
    <t>22563778</t>
  </si>
  <si>
    <t>Берестівський навчально-виховний комплекс "Загальноосвітня школа І-ІІ ступенів - дошкільний навчальний заклад" Володимирецької районної ради</t>
  </si>
  <si>
    <t>34361</t>
  </si>
  <si>
    <t>5620881301</t>
  </si>
  <si>
    <t>36130</t>
  </si>
  <si>
    <t>http://berestzoch.ucoz.ua</t>
  </si>
  <si>
    <t>22568008</t>
  </si>
  <si>
    <t>Великожолудський НВК "ЗОШ І-ІІІ ступенів - ДНЗ" Володимирецької районної Ради в Рівненській області</t>
  </si>
  <si>
    <t>34364</t>
  </si>
  <si>
    <t>5620881501</t>
  </si>
  <si>
    <t>Великий Жолудськ</t>
  </si>
  <si>
    <t>33267</t>
  </si>
  <si>
    <t>22578633</t>
  </si>
  <si>
    <t>Великотелковицька загальноосвітня школа І-ІІІ ступенів Володимирецької районної ради Рівненської області</t>
  </si>
  <si>
    <t>34312</t>
  </si>
  <si>
    <t>5620881801</t>
  </si>
  <si>
    <t>Великі Телковичі</t>
  </si>
  <si>
    <t>вул. Ленінська, 65</t>
  </si>
  <si>
    <t>72232</t>
  </si>
  <si>
    <t>Бишляцький навчально-виховний комплекс "Загальноосвітня школа І-ІІ ступенів - дошкільний навчальний заклад"</t>
  </si>
  <si>
    <t>5620881802</t>
  </si>
  <si>
    <t>Бишляк</t>
  </si>
  <si>
    <t>вул. 17 вересня, 54</t>
  </si>
  <si>
    <t>0363472253</t>
  </si>
  <si>
    <t>Великоцепцевицька загальноосвітня школа І-ІІІ ступенів Володимирецької районної ради</t>
  </si>
  <si>
    <t>34341</t>
  </si>
  <si>
    <t>5620882201</t>
  </si>
  <si>
    <t>Великі Цепцевичі</t>
  </si>
  <si>
    <t>0363466349</t>
  </si>
  <si>
    <t>22567960</t>
  </si>
  <si>
    <t>Воронківський навчально-виховний комплекс "загальноосвітня школа І-ІІ ступенів - дошкільний навчальний заклад" Володимирецької районної ради Рівненської області</t>
  </si>
  <si>
    <t>34330</t>
  </si>
  <si>
    <t>5620882601</t>
  </si>
  <si>
    <t>Воронки</t>
  </si>
  <si>
    <t>вул. Чкалова, 6</t>
  </si>
  <si>
    <t>7-44-18</t>
  </si>
  <si>
    <t>http://woronkyschool.ucoz.com</t>
  </si>
  <si>
    <t>22567954</t>
  </si>
  <si>
    <t>Городецький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</si>
  <si>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34381</t>
  </si>
  <si>
    <t>5620883001</t>
  </si>
  <si>
    <t>вул. Авеніра Коломийця, 154 а</t>
  </si>
  <si>
    <t>(03634) 6-25-24</t>
  </si>
  <si>
    <t>22563784</t>
  </si>
  <si>
    <t>Велихівський навчльно-виховний коплекс "Загальноосвітня школа І-ІІ ступенів- дошкільний навчальний заклад"Володимирецької районної ради Рівненської області</t>
  </si>
  <si>
    <t>5620883002</t>
  </si>
  <si>
    <t>Велихів</t>
  </si>
  <si>
    <t>6-25-08</t>
  </si>
  <si>
    <t>22563749</t>
  </si>
  <si>
    <t>Сваринівський навчально-виховний комплекс "Зогальноосвітня школа 1-2 ступенів - дошкільний навчальний заклад"</t>
  </si>
  <si>
    <t>5620883003</t>
  </si>
  <si>
    <t>Сварині</t>
  </si>
  <si>
    <t>вул. Радянська, 65</t>
  </si>
  <si>
    <t>0363464333</t>
  </si>
  <si>
    <t>22563755</t>
  </si>
  <si>
    <t>Довговільський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</si>
  <si>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34360</t>
  </si>
  <si>
    <t>5620883401</t>
  </si>
  <si>
    <t>Довговоля</t>
  </si>
  <si>
    <t>вул. Шевченка, 19В</t>
  </si>
  <si>
    <t>0363437315</t>
  </si>
  <si>
    <t>22552941</t>
  </si>
  <si>
    <t>Жовкинівська загальноосвітня школа І-ІІ ступенів, Володимирецької районної ради, Рівненської області</t>
  </si>
  <si>
    <t>34363</t>
  </si>
  <si>
    <t>5620883801</t>
  </si>
  <si>
    <t>Жовкині</t>
  </si>
  <si>
    <t>вул. Кузнецова, 22</t>
  </si>
  <si>
    <t>(03634)34534</t>
  </si>
  <si>
    <t>22578656</t>
  </si>
  <si>
    <t>Заболоттівська загальноосвітня школа І-ІІІ ступенів Володимирецької районної ради Рівненської області</t>
  </si>
  <si>
    <t>34372</t>
  </si>
  <si>
    <t>5620884201</t>
  </si>
  <si>
    <t>вул. Соборна, 8А</t>
  </si>
  <si>
    <t>0363456135</t>
  </si>
  <si>
    <t>22563844</t>
  </si>
  <si>
    <t>Каноницька загальноосвітня школа І - ІІІ ступенів володимирецької районної ради рівненської області</t>
  </si>
  <si>
    <t>34333</t>
  </si>
  <si>
    <t>5620884901</t>
  </si>
  <si>
    <t>Каноничі</t>
  </si>
  <si>
    <t>вул. Калініна, 48</t>
  </si>
  <si>
    <t>(111)1111</t>
  </si>
  <si>
    <t>Кідрівський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</si>
  <si>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34340</t>
  </si>
  <si>
    <t>5620885401</t>
  </si>
  <si>
    <t>Кідри</t>
  </si>
  <si>
    <t>вул. Поліська, 1</t>
  </si>
  <si>
    <t>(03634)34117</t>
  </si>
  <si>
    <t>22578811</t>
  </si>
  <si>
    <t>Красносільський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</si>
  <si>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34332</t>
  </si>
  <si>
    <t>5620885801</t>
  </si>
  <si>
    <t>0363430117</t>
  </si>
  <si>
    <t>http://krasnosyl.at.ua/</t>
  </si>
  <si>
    <t>22552935</t>
  </si>
  <si>
    <t>Зеленівська загальноосвітня школа І-ІІ ступенів Володимирецької районної ради Рівненської області</t>
  </si>
  <si>
    <t>5620885802</t>
  </si>
  <si>
    <t>0363430163</t>
  </si>
  <si>
    <t>http://zeleneznz2016.ucoz.ua</t>
  </si>
  <si>
    <t>22563815</t>
  </si>
  <si>
    <t>Лозківська загальноосвітня школа І-ІІ ступенів Володимирецької РДА</t>
  </si>
  <si>
    <t>34370</t>
  </si>
  <si>
    <t>5620886201</t>
  </si>
  <si>
    <t>Лозки</t>
  </si>
  <si>
    <t>вул. Вишнва, 80</t>
  </si>
  <si>
    <t>0363455445</t>
  </si>
  <si>
    <t>Суховільський навчально-виховний комплекс "Загальноосвітня школа І-ІІ стуренів - дошкільний навчальний заклад".</t>
  </si>
  <si>
    <t>5620886203</t>
  </si>
  <si>
    <t>вул. Кузнецова</t>
  </si>
  <si>
    <t>0363453420</t>
  </si>
  <si>
    <t>http://suchovolia.ucoz.ru/</t>
  </si>
  <si>
    <t>22563790</t>
  </si>
  <si>
    <t>Любахівська загальноосвітня школа I-III ступенів Володимирецької районної ради Рівненської області</t>
  </si>
  <si>
    <t>34362</t>
  </si>
  <si>
    <t>5620886601</t>
  </si>
  <si>
    <t>Любахи</t>
  </si>
  <si>
    <t>вул. Поліська, 20</t>
  </si>
  <si>
    <t>4-61-38</t>
  </si>
  <si>
    <t>Мульчицький НВК "ЗОШ І-ІІІ ст. - ДНЗ" Володимирецької районної ради Рівненської області</t>
  </si>
  <si>
    <t>34320</t>
  </si>
  <si>
    <t>5620886901</t>
  </si>
  <si>
    <t>Мульчиці</t>
  </si>
  <si>
    <t>вул. Центральна 18 А, 18 А</t>
  </si>
  <si>
    <t>9-34-46</t>
  </si>
  <si>
    <t>22563726</t>
  </si>
  <si>
    <t>Новаківський навчально-виховний комплекс "Загальноосвітня школа І-ІІІ ступенів - дошкільний навчальний заклад"</t>
  </si>
  <si>
    <t>34334</t>
  </si>
  <si>
    <t>5620887101</t>
  </si>
  <si>
    <t>80967040549</t>
  </si>
  <si>
    <t>http://www.novok.at.ua</t>
  </si>
  <si>
    <t>22552875</t>
  </si>
  <si>
    <t>Озерецький НВК "ЗОШ І-ІІ ступенів - ДНЗ" Володимирецької районної ради Рівненської області</t>
  </si>
  <si>
    <t>34321</t>
  </si>
  <si>
    <t>5620887401</t>
  </si>
  <si>
    <t>0913160306</t>
  </si>
  <si>
    <t>22567992</t>
  </si>
  <si>
    <t>Озерська загальноосвітня школа І-ІІІ ступенів Володимирецької районної ради Рівненської області</t>
  </si>
  <si>
    <t>34331</t>
  </si>
  <si>
    <t>5620887601</t>
  </si>
  <si>
    <t>0(3634)41745</t>
  </si>
  <si>
    <t>http://www.shkolaozero.at.ua</t>
  </si>
  <si>
    <t>22567842</t>
  </si>
  <si>
    <t>Полицька зальноосвітня школа І-ІІІ ступенів Володимирецької районної ради Рівненської області</t>
  </si>
  <si>
    <t>34374</t>
  </si>
  <si>
    <t>5620888001</t>
  </si>
  <si>
    <t>59383</t>
  </si>
  <si>
    <t>22563717</t>
  </si>
  <si>
    <t>Полицька вечірня школа ІІ-ІІІ ступенів Володимирецької районної ради Рівненської області</t>
  </si>
  <si>
    <t>34375</t>
  </si>
  <si>
    <t>5620888003</t>
  </si>
  <si>
    <t>Іванчі</t>
  </si>
  <si>
    <t>(067)9896212</t>
  </si>
  <si>
    <t>35193588</t>
  </si>
  <si>
    <t>Половлівський навчально-виховний комплекс "Загальноосвітня школа І-ІІ ступенів - ДНЗ"</t>
  </si>
  <si>
    <t>34351</t>
  </si>
  <si>
    <t>5620888301</t>
  </si>
  <si>
    <t>Половлі</t>
  </si>
  <si>
    <t>вул. Лесі Українки, 29Б</t>
  </si>
  <si>
    <t>(03634)35122</t>
  </si>
  <si>
    <t>22563761</t>
  </si>
  <si>
    <t>Ромейківський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</si>
  <si>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34382</t>
  </si>
  <si>
    <t>5620888601</t>
  </si>
  <si>
    <t>Ромейки</t>
  </si>
  <si>
    <t>(03634) 6-74-37</t>
  </si>
  <si>
    <t>http://romeyki-school.ucoz.ua</t>
  </si>
  <si>
    <t>22563809</t>
  </si>
  <si>
    <t>Собіщицька загальноосвітня школа І-ІІІ ступенів, Володимирецької районної ради, Рівненської області</t>
  </si>
  <si>
    <t>34353</t>
  </si>
  <si>
    <t>5620888901</t>
  </si>
  <si>
    <t>Собіщиці</t>
  </si>
  <si>
    <t>вул. Л. Коляди, 2</t>
  </si>
  <si>
    <t>63619</t>
  </si>
  <si>
    <t>Сопачівський навчально-виховний комплекс "загальноосвітня школа І-ІІІ ступенів - дошкільний навчальний заклад", Володимирецької районної ради, Рівненської області</t>
  </si>
  <si>
    <t>34352</t>
  </si>
  <si>
    <t>5620889101</t>
  </si>
  <si>
    <t>Сопачів</t>
  </si>
  <si>
    <t>вул. Івана Гузоватого, 10</t>
  </si>
  <si>
    <t>0343645132</t>
  </si>
  <si>
    <t>22563850</t>
  </si>
  <si>
    <t>Старорафалівська загальноосвітня школа І-ІІІ ступенів Володимирецької районної ради Рівненської області</t>
  </si>
  <si>
    <t>34354</t>
  </si>
  <si>
    <t>5620889301</t>
  </si>
  <si>
    <t>Стара Рафалівка</t>
  </si>
  <si>
    <t>0363448633</t>
  </si>
  <si>
    <t>http://stararafalivka.wix.com/school</t>
  </si>
  <si>
    <t>22563867</t>
  </si>
  <si>
    <t>Степангородський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</si>
  <si>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34314</t>
  </si>
  <si>
    <t>5620889501</t>
  </si>
  <si>
    <t>Степангород</t>
  </si>
  <si>
    <t>+38(03634)33543</t>
  </si>
  <si>
    <t>22552906</t>
  </si>
  <si>
    <t>Хиноцький навчально-виховний комплекс "Загальноосвітня школа І-ІІІ ступенів - дошкільний навчальний заклад"</t>
  </si>
  <si>
    <t>34313</t>
  </si>
  <si>
    <t>5620889801</t>
  </si>
  <si>
    <t>Хиночі</t>
  </si>
  <si>
    <t>0969144862, 0363476174</t>
  </si>
  <si>
    <t>22578923</t>
  </si>
  <si>
    <t>Гощанська загальноосвітня школа І-ІІІ ступенів Гощанської районної ради Гощанського району Рівненської області</t>
  </si>
  <si>
    <t>35400</t>
  </si>
  <si>
    <t>5621255100</t>
  </si>
  <si>
    <t>Гоща</t>
  </si>
  <si>
    <t>(03650)21341, (03650)21991, (03650)21880</t>
  </si>
  <si>
    <t>22557466</t>
  </si>
  <si>
    <t>Гощанська районна гімназія Гощанської районної ради Гощанського району Рівненської області</t>
  </si>
  <si>
    <t>http://grdg.info</t>
  </si>
  <si>
    <t>22558263</t>
  </si>
  <si>
    <t>Комунальний заклад "Бабинська загальноосвітня школа І-ІІІ ступенів" Бабинської сільської ради Гощанського району Рівненської області</t>
  </si>
  <si>
    <t>35431</t>
  </si>
  <si>
    <t>5621280401</t>
  </si>
  <si>
    <t>вул. Незалежності, 5</t>
  </si>
  <si>
    <t>34231</t>
  </si>
  <si>
    <t>22557625</t>
  </si>
  <si>
    <t>Бочаницький навчально 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</si>
  <si>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35409</t>
  </si>
  <si>
    <t>5621280801</t>
  </si>
  <si>
    <t>Бочаниця</t>
  </si>
  <si>
    <t>вул. Клімчука, 3</t>
  </si>
  <si>
    <t>(03650)38124</t>
  </si>
  <si>
    <t>22557476</t>
  </si>
  <si>
    <t>Комунальний заклад "Бугринський навчально-виховний комплекс: дошкільний навчальний заклад - загальноосвітня школа І-ІІ ступенів - агротехнічний ліцей" Бугринської сільської ради Гощанського району Рівненської області</t>
  </si>
  <si>
    <t>35442</t>
  </si>
  <si>
    <t>5621281201</t>
  </si>
  <si>
    <t>Бугрин</t>
  </si>
  <si>
    <t>(03650)42246, (03650)42631</t>
  </si>
  <si>
    <t>http://bugrnvk.kl.com.ua</t>
  </si>
  <si>
    <t>26009978</t>
  </si>
  <si>
    <t>Комунальний заклад "Вільгірський навчально-виховний комплекс: Загальноосвітня школа І-ІІ ступенів - дошкілний навчальний заклад" Бугринської сільської ради Гощанського району Рівненської області</t>
  </si>
  <si>
    <t>35444</t>
  </si>
  <si>
    <t>5621281203</t>
  </si>
  <si>
    <t>Вільгір</t>
  </si>
  <si>
    <t>вул. Євтушенка, 33</t>
  </si>
  <si>
    <t>(03650)42254</t>
  </si>
  <si>
    <t>Воскодавський навчально-виховний комплекс "Дошкільний навчальний заклад - загальноосвітня школа І-ІІІ ступенів" Гощанської районної ради Гощанського району Рівненської області.</t>
  </si>
  <si>
    <t>35423</t>
  </si>
  <si>
    <t>5621281501</t>
  </si>
  <si>
    <t>Воскодави</t>
  </si>
  <si>
    <t>вул. Молодіжна, 27</t>
  </si>
  <si>
    <t>(03650)56-1-46</t>
  </si>
  <si>
    <t>http://voskodavyscool.at.ua</t>
  </si>
  <si>
    <t>22557565</t>
  </si>
  <si>
    <t>Горбаківський навчально-виховний комплекс "Дошкільний навчальний заклад - загальноосвітня школа І - ІІІ ступенів" Гощанської районної ради Гощанського району Рівненської області</t>
  </si>
  <si>
    <t>35433</t>
  </si>
  <si>
    <t>5621282001</t>
  </si>
  <si>
    <t>Горбаків</t>
  </si>
  <si>
    <t>(03650)64148</t>
  </si>
  <si>
    <t>http://gorbakiv-school.edukit.rv.ua/</t>
  </si>
  <si>
    <t>22557944</t>
  </si>
  <si>
    <t>Дорогобузька загальноосвітня школа І-ІІ ступенів Гощанської районної ради Гощанського району Рівненської області</t>
  </si>
  <si>
    <t>35434</t>
  </si>
  <si>
    <t>5621282002</t>
  </si>
  <si>
    <t>Дорогобуж</t>
  </si>
  <si>
    <t>вул. Гудкова, 102</t>
  </si>
  <si>
    <t>(03650)62124</t>
  </si>
  <si>
    <t>Іллінський навчально-виховний комплекс "Дошкільний навчальний заклад - загальноосвітня школа І-ІІ ступенів" Гощанської районної ради Гощанського району Рівненської області</t>
  </si>
  <si>
    <t>35465</t>
  </si>
  <si>
    <t>5621282003</t>
  </si>
  <si>
    <t>Іллін</t>
  </si>
  <si>
    <t>(03650)63172</t>
  </si>
  <si>
    <t>Мнишинський навчально-виховний комплекс "Загальноосвітня школа І-ІІ ступенів - дошкільний навчальний заклад" Гощанської районної ради Гощанського району Рівненської області</t>
  </si>
  <si>
    <t>35472</t>
  </si>
  <si>
    <t>5621282004</t>
  </si>
  <si>
    <t>Мнишин</t>
  </si>
  <si>
    <t>(03650)64128</t>
  </si>
  <si>
    <t>Томахівський навчальновиховний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</si>
  <si>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35435</t>
  </si>
  <si>
    <t>5621282006</t>
  </si>
  <si>
    <t>Томахів</t>
  </si>
  <si>
    <t>Дроздівський навчально-виховний комплекс "Дошкільний навчальний заклад-загальноосвітня школа І-ІІ ступенів"</t>
  </si>
  <si>
    <t>35416</t>
  </si>
  <si>
    <t>5621282101</t>
  </si>
  <si>
    <t>Дроздів</t>
  </si>
  <si>
    <t>Жаврівський навчально-виховний комплекс "Дошкільний навчальний заклад-загальноосвітня школа І-ІІ ступенів" Гощанської районної ради Гощанського району Рівненської області</t>
  </si>
  <si>
    <t>35454</t>
  </si>
  <si>
    <t>5621282701</t>
  </si>
  <si>
    <t>Жаврів</t>
  </si>
  <si>
    <t>вул. Шкільна, 55</t>
  </si>
  <si>
    <t>Красносільська загальноосвітня школа І-ІІ ступенівГощанської районної ради Гощанського району Рівненської області</t>
  </si>
  <si>
    <t>5621283201</t>
  </si>
  <si>
    <t>вул. вул Шевченка, 36А</t>
  </si>
  <si>
    <t>(03650)22843</t>
  </si>
  <si>
    <t>Навчально - виховний комплекс "Дошкільний навчальний заклад - ЗОШ І ст. с.Чудниця"</t>
  </si>
  <si>
    <t>35426</t>
  </si>
  <si>
    <t>5621283203</t>
  </si>
  <si>
    <t>Чудниця</t>
  </si>
  <si>
    <t>вул. Новоселів, 28</t>
  </si>
  <si>
    <t>(03650)56133</t>
  </si>
  <si>
    <t>РІЧИЦЬКИЙ НАВЧАЛЬНО-ВИХОВНИЙ КОМПЛЕКС "ДОШКІЛЬНИЙ НАВЧАЛЬНИЙ ЗАКЛАД-ЗАГАЛЬНООСВІТНЯ ШКОЛА І-ІІ СТУПЕНІВ"</t>
  </si>
  <si>
    <t>35473</t>
  </si>
  <si>
    <t>5621283602</t>
  </si>
  <si>
    <t>вул. ЛЕСІ УКРАЇНКИ, 4А</t>
  </si>
  <si>
    <t>Курозванівська загальноосвітня школа І - ІІІ ступенів Гощанської районної ради Гощанського району</t>
  </si>
  <si>
    <t>35451</t>
  </si>
  <si>
    <t>5621284001</t>
  </si>
  <si>
    <t>Курозвани</t>
  </si>
  <si>
    <t>вул. Дмитра Козачонка, 7</t>
  </si>
  <si>
    <t>(0350)48133</t>
  </si>
  <si>
    <t>22557861</t>
  </si>
  <si>
    <t>Липківський навчально-виховний комплекс "Дошкільний навчальний заклад - загальноосвітня школа І-ІІ ступенів" Гощанської районної ради</t>
  </si>
  <si>
    <t>35420</t>
  </si>
  <si>
    <t>5621284401</t>
  </si>
  <si>
    <t>(03650)53123</t>
  </si>
  <si>
    <t>Андрусіївський навчально-виховний комплекс "Дошкільний навчальний заклад - загальноосвітня школа І-ІІ ступенів" Гощанської районної ради Гощанського району Рівненської області</t>
  </si>
  <si>
    <t>35421</t>
  </si>
  <si>
    <t>5621284402</t>
  </si>
  <si>
    <t>Андрусіїв</t>
  </si>
  <si>
    <t>вул. М.Вершила, 51А</t>
  </si>
  <si>
    <t>(03650)53162</t>
  </si>
  <si>
    <t>Вовкошівський навчально - виховний комплекс "Дошкільний навчальний заклад - загальноосвітня школа І ступеня"</t>
  </si>
  <si>
    <t>5621284403</t>
  </si>
  <si>
    <t>Вовкошів</t>
  </si>
  <si>
    <t>вул. М. Грушевського, 46, а</t>
  </si>
  <si>
    <t>Майківський навчально-виховний комплекс "Дошкільний навчальний заклад-загальноосвітня школа І-ІІ ступенів" Гощанської районної ради Гощанського району Рівненської області</t>
  </si>
  <si>
    <t>35453</t>
  </si>
  <si>
    <t>5621284801</t>
  </si>
  <si>
    <t>Майків</t>
  </si>
  <si>
    <t>33146</t>
  </si>
  <si>
    <t>Малинівський навчально-виховний комплекс «Дошкільний навчальний заклад-загальноосвітня школа І-ІІІ ступенів» Гощанської районної ради Гощанського району Рівненської області</t>
  </si>
  <si>
    <t>35422</t>
  </si>
  <si>
    <t>5621285101</t>
  </si>
  <si>
    <t>вул. Шкільна, 150</t>
  </si>
  <si>
    <t>(03650)55124</t>
  </si>
  <si>
    <t>http://malsh.at.ua</t>
  </si>
  <si>
    <t>Малятинський навчально-виховний комплекс "дошкільний навчальний заклад - загальноосвітня школа І-ІІІ ступенів"</t>
  </si>
  <si>
    <t>35414</t>
  </si>
  <si>
    <t>5621285405</t>
  </si>
  <si>
    <t>вул. Рівненська, 15</t>
  </si>
  <si>
    <t>(0365)5-11-31</t>
  </si>
  <si>
    <t>22558033</t>
  </si>
  <si>
    <t>Комунальний заклад "Посягвівська загальноосвітня школа І-ІІІ ступенів" Бугринської сільської ради Гощанського району Рівненської області</t>
  </si>
  <si>
    <t>5621285901</t>
  </si>
  <si>
    <t>Посягва</t>
  </si>
  <si>
    <t>(03650)44135</t>
  </si>
  <si>
    <t>комунальний заклад "М'ятинська загальноосвітня школа I-II ступенів Бугринської сільскої ради Гощанського району Рівненської області</t>
  </si>
  <si>
    <t>5621285902</t>
  </si>
  <si>
    <t>М'ятин</t>
  </si>
  <si>
    <t>вул. Бочаницька, 19 А</t>
  </si>
  <si>
    <t>(03650)44187</t>
  </si>
  <si>
    <t>Комунальний заклад "Рясницький навчально-виховний комплекс "Дошкільний навчальний заклад - загальноосвітня школа І-ІІІ ступенів" Бабинської сільської ради Гощанського району Рівненської області</t>
  </si>
  <si>
    <t>35430</t>
  </si>
  <si>
    <t>5621286301</t>
  </si>
  <si>
    <t>Рясники</t>
  </si>
  <si>
    <t>вул. Незалежності, 11А</t>
  </si>
  <si>
    <t>(03650)39-1-34</t>
  </si>
  <si>
    <t>22557648</t>
  </si>
  <si>
    <t>Дмитрівський НВК “ЗОШ І-ІІ ст. - ДНЗ” Бабинської сільської ради Гощанського району Рівненської області</t>
  </si>
  <si>
    <t>5621286302</t>
  </si>
  <si>
    <t>ал. Шкільна, 41</t>
  </si>
  <si>
    <t>http://dmitrovkascool.wordpress.com</t>
  </si>
  <si>
    <t>Садівський навчально-виховний комплекс «Дошкільний навчальний заклад - загальноосвітня школа І-ІІІ ступенів» Гощанської районної ради Гощанського району Рівненської області</t>
  </si>
  <si>
    <t>35411</t>
  </si>
  <si>
    <t>5621286701</t>
  </si>
  <si>
    <t>(03622)51141</t>
  </si>
  <si>
    <t>22553047</t>
  </si>
  <si>
    <t>Русивельський навчально-виховний комплекс "Дошкільний навчальний заклад - загальноосвітня школа І-ІІІ ступенів" Гощанської районної ради</t>
  </si>
  <si>
    <t>35452</t>
  </si>
  <si>
    <t>5621287110</t>
  </si>
  <si>
    <t>Русивель</t>
  </si>
  <si>
    <t>46133</t>
  </si>
  <si>
    <t>http://russcool.at.ua</t>
  </si>
  <si>
    <t>22553136</t>
  </si>
  <si>
    <t>Симонівська загальноосвітня школа І-ІІІ ступенів Гощанської районної ради Гощанського району Рівненської області</t>
  </si>
  <si>
    <t>35408</t>
  </si>
  <si>
    <t>5621287501</t>
  </si>
  <si>
    <t>Симонів</t>
  </si>
  <si>
    <t>вул. Хабарська, 150</t>
  </si>
  <si>
    <t>0362236254</t>
  </si>
  <si>
    <t>http://7school.do.am</t>
  </si>
  <si>
    <t>22557878</t>
  </si>
  <si>
    <t>Синівська загальноосвітня школа І-ІІІ ступенів Гощанської районної ради Гощанського району Рівненської області</t>
  </si>
  <si>
    <t>5621287801</t>
  </si>
  <si>
    <t>Синів</t>
  </si>
  <si>
    <t>(03650)58117</t>
  </si>
  <si>
    <t>http://synivschool.at.ua</t>
  </si>
  <si>
    <t>22553126</t>
  </si>
  <si>
    <t>Навчально - виховний комплекс "Дошкільний навчальний заклад - загальноосвітня школа І ступеня" с. Терентіїв</t>
  </si>
  <si>
    <t>5621287802</t>
  </si>
  <si>
    <t>Терентіїв</t>
  </si>
  <si>
    <t>вул. 17 вересня, 76</t>
  </si>
  <si>
    <t>Комунальний заклад «Тучинський навчально-реабілітаційний центр» Рівненської обласної ради</t>
  </si>
  <si>
    <t>35415</t>
  </si>
  <si>
    <t>5621288401</t>
  </si>
  <si>
    <t>Тучин</t>
  </si>
  <si>
    <t>вул. Староміська, 10</t>
  </si>
  <si>
    <t>(03650)92384, (03650)92325</t>
  </si>
  <si>
    <t>http://nrc-tuchin.rv.ua/</t>
  </si>
  <si>
    <t>22557714</t>
  </si>
  <si>
    <t>Тучинська загальноосвітня школа І-ІІІ ступенів Гощанської районної ради Гощанського району Рівненської області</t>
  </si>
  <si>
    <t>вул. Освіти, 22</t>
  </si>
  <si>
    <t>(03650)92373, (03650)92133</t>
  </si>
  <si>
    <t>http://tuchynska-zosh.rv.sch.in.ua</t>
  </si>
  <si>
    <t>22557542</t>
  </si>
  <si>
    <t>Федорівська загальноосвітня школа І-ІІ ступенів Гощанської районної ради Гощанського району Рівненської області</t>
  </si>
  <si>
    <t>35450</t>
  </si>
  <si>
    <t>5621288901</t>
  </si>
  <si>
    <t>(03650)57114, (096)0963895375</t>
  </si>
  <si>
    <t>http://fedorivka-sh.at.ua</t>
  </si>
  <si>
    <t>Демидівський навчально-виховний комплекс "Загальноосвітня школа І-ІІІ ступенів - ліцей" Демидівської районної ради Рівненської області</t>
  </si>
  <si>
    <t>35200</t>
  </si>
  <si>
    <t>5621455300</t>
  </si>
  <si>
    <t>вул. Богдана Хмельницького, 10</t>
  </si>
  <si>
    <t>(03637)61274, (03637)61620, (03637)61356</t>
  </si>
  <si>
    <t>Боремельський навчально-виховний комплекс "загальноосвітня школа I-II ступенів-колегіум"</t>
  </si>
  <si>
    <t>35210</t>
  </si>
  <si>
    <t>5621480703</t>
  </si>
  <si>
    <t>Боремель</t>
  </si>
  <si>
    <t>вул. Набережна, 27 А</t>
  </si>
  <si>
    <t>48348</t>
  </si>
  <si>
    <t>Вербенська ЗОШ І-ІІІ ступенів</t>
  </si>
  <si>
    <t>35225</t>
  </si>
  <si>
    <t>5621481003</t>
  </si>
  <si>
    <t>Вербень</t>
  </si>
  <si>
    <t>(03637)41234</t>
  </si>
  <si>
    <t>Товпижинська загальноосвітняи школа І</t>
  </si>
  <si>
    <t>5621481006</t>
  </si>
  <si>
    <t>Товпижин</t>
  </si>
  <si>
    <t>вул. Грабівець, 2</t>
  </si>
  <si>
    <t>(097)7718677</t>
  </si>
  <si>
    <t>Вовковиївська загальноосвітня школа I-III ступенів Відділ освіти Демидівської РДА Управління освіти Рівненської ОДА</t>
  </si>
  <si>
    <t>35224</t>
  </si>
  <si>
    <t>5621482003</t>
  </si>
  <si>
    <t>Вовковиї</t>
  </si>
  <si>
    <t>Глибокодолинська загальноосвітня школа І-ІІ ступенів Демидівського району Рівненської області</t>
  </si>
  <si>
    <t>35223</t>
  </si>
  <si>
    <t>5621482503</t>
  </si>
  <si>
    <t>Глибока Долина</t>
  </si>
  <si>
    <t>(03637)35244</t>
  </si>
  <si>
    <t>Золочівська загальноосвітня школа І-ІІ ступенів</t>
  </si>
  <si>
    <t>35211</t>
  </si>
  <si>
    <t>5621482901</t>
  </si>
  <si>
    <t>Золочівка</t>
  </si>
  <si>
    <t>вул. шкільна, 9</t>
  </si>
  <si>
    <t>(03637)48221</t>
  </si>
  <si>
    <t>http://zolochivka_zoh.ukr.net</t>
  </si>
  <si>
    <t>Княгининська загальноосвітня школа І-ІІІ ступенів</t>
  </si>
  <si>
    <t>35213</t>
  </si>
  <si>
    <t>5621483506</t>
  </si>
  <si>
    <t>Княгинине</t>
  </si>
  <si>
    <t>вул. 17 Березня, 69</t>
  </si>
  <si>
    <t>(03637)33233</t>
  </si>
  <si>
    <t>http://knyagynynzoh.ucoz.com</t>
  </si>
  <si>
    <t>Берестецька загальноосвітня школа І ступеня</t>
  </si>
  <si>
    <t>35212</t>
  </si>
  <si>
    <t>5621484003</t>
  </si>
  <si>
    <t>(096)8560929</t>
  </si>
  <si>
    <t>Малівська загальноосвітня школа І-ІІІ ступенів Боремельської сільської ради Рівненської області</t>
  </si>
  <si>
    <t>5621484009</t>
  </si>
  <si>
    <t>Малеве</t>
  </si>
  <si>
    <t>вул. Тернова, 37</t>
  </si>
  <si>
    <t>(03637)42637</t>
  </si>
  <si>
    <t>Рогізненська загальноосвітня школа І ступеня</t>
  </si>
  <si>
    <t>35222</t>
  </si>
  <si>
    <t>5621484503</t>
  </si>
  <si>
    <t>Рогізне</t>
  </si>
  <si>
    <t>вул. Берестецька, 2</t>
  </si>
  <si>
    <t>Рудківська загальноосвітня школа І-ІІІ ступенів</t>
  </si>
  <si>
    <t>35221</t>
  </si>
  <si>
    <t>5621485006</t>
  </si>
  <si>
    <t>вул. Замкова, 9</t>
  </si>
  <si>
    <t>(03637)49296</t>
  </si>
  <si>
    <t>Вичавська загальноосвітня школа І ступеня</t>
  </si>
  <si>
    <t>35220</t>
  </si>
  <si>
    <t>5621485503</t>
  </si>
  <si>
    <t>Вичавки</t>
  </si>
  <si>
    <t>Хрінницька загальноосвітня школа І-ІІІ ступенів</t>
  </si>
  <si>
    <t>5621485512</t>
  </si>
  <si>
    <t>Хрінники</t>
  </si>
  <si>
    <t>(03637)46225</t>
  </si>
  <si>
    <t>Смизька загальноосвітня школа І-ІІІ ступенів Смизької селищної ради</t>
  </si>
  <si>
    <t>35680</t>
  </si>
  <si>
    <t>5621655900</t>
  </si>
  <si>
    <t>Смига</t>
  </si>
  <si>
    <t>(0365656)245</t>
  </si>
  <si>
    <t>Березька загальноосвітня школа І -ІІ ступенів</t>
  </si>
  <si>
    <t>35683</t>
  </si>
  <si>
    <t>5621680401</t>
  </si>
  <si>
    <t>Берег</t>
  </si>
  <si>
    <t>вул. Дмитра Момотюка, 80 Б</t>
  </si>
  <si>
    <t>(0365676)238</t>
  </si>
  <si>
    <t>Тур'янська загальноосвітня школа І-ІІ ступенів</t>
  </si>
  <si>
    <t>65683</t>
  </si>
  <si>
    <t>5621680413</t>
  </si>
  <si>
    <t>вул. 17 вересня, 41А</t>
  </si>
  <si>
    <t>0986097431</t>
  </si>
  <si>
    <t>Варковицька гімназія Дубенського району Рівненської області</t>
  </si>
  <si>
    <t>35612</t>
  </si>
  <si>
    <t>5621680801</t>
  </si>
  <si>
    <t>Варковичі</t>
  </si>
  <si>
    <t>(03656)73351</t>
  </si>
  <si>
    <t>Варковицький навчально - виховний комплекс</t>
  </si>
  <si>
    <t>(03656)73343</t>
  </si>
  <si>
    <t>http://varkovichinvk.jimdo.com</t>
  </si>
  <si>
    <t>Вербська загальноосвітня школа І-ІІІ ступенів Дубенської районної ради Рівненської області</t>
  </si>
  <si>
    <t>35670</t>
  </si>
  <si>
    <t>5621681201</t>
  </si>
  <si>
    <t>(03656)70242</t>
  </si>
  <si>
    <t>http://verbazosh.ucoz.ua</t>
  </si>
  <si>
    <t>Комунальний заклад "Вербська санаторна загальноосвітня школа-інтернат І-ІІІ ступенів" Рівненської обласної ради</t>
  </si>
  <si>
    <t>(05636)70361</t>
  </si>
  <si>
    <t>http://www.verbainternat.at.ua</t>
  </si>
  <si>
    <t>04590777</t>
  </si>
  <si>
    <t>Білогородський навчально-виховний комплекс "Загальноосвітня школа І-ІІ ступенів - дошкільний навчальний заклад" Дубенської районної ради Рівненської області</t>
  </si>
  <si>
    <t>5621681206</t>
  </si>
  <si>
    <t>Софіївка Перша</t>
  </si>
  <si>
    <t>0951345507</t>
  </si>
  <si>
    <t>Здовбицька загальноосвітня школа І-ІІ ступенів</t>
  </si>
  <si>
    <t>35652</t>
  </si>
  <si>
    <t>5621681603</t>
  </si>
  <si>
    <t>Здовбиця</t>
  </si>
  <si>
    <t>(03656)75224</t>
  </si>
  <si>
    <t>Іваннівська загальноосвітня школа І-ІІ ступенів</t>
  </si>
  <si>
    <t>35620</t>
  </si>
  <si>
    <t>5621682001</t>
  </si>
  <si>
    <t>Іваннє</t>
  </si>
  <si>
    <t>(03656)55237</t>
  </si>
  <si>
    <t>http://ivannivska-scho.at.ua/</t>
  </si>
  <si>
    <t>Бортницький навчально - виховний комплекс</t>
  </si>
  <si>
    <t>35621</t>
  </si>
  <si>
    <t>5621682002</t>
  </si>
  <si>
    <t>Бортниця</t>
  </si>
  <si>
    <t>вул. Меліораторів, 17</t>
  </si>
  <si>
    <t>58459</t>
  </si>
  <si>
    <t>35630</t>
  </si>
  <si>
    <t>5621682601</t>
  </si>
  <si>
    <t>Княгинин</t>
  </si>
  <si>
    <t>(03656)74246</t>
  </si>
  <si>
    <t>24170014</t>
  </si>
  <si>
    <t>Білоберізька загальноосвітня школа І-ІІ ступенів Мирогощанської сільської ради</t>
  </si>
  <si>
    <t>5621682602</t>
  </si>
  <si>
    <t>Білоберіжжя</t>
  </si>
  <si>
    <t>вул. Миру, 29А</t>
  </si>
  <si>
    <t>(096)2276094</t>
  </si>
  <si>
    <t>Листвинська загальноосвітня школа І-ІІ ступенів</t>
  </si>
  <si>
    <t>35636</t>
  </si>
  <si>
    <t>5621682605</t>
  </si>
  <si>
    <t>вул. 1Травня, 1а</t>
  </si>
  <si>
    <t>0976615245</t>
  </si>
  <si>
    <t>Малосадівський навчально-виховний комплакс "Занально-освітня школа І - ІІІ ступенів, дошкільний навчальний заклад"</t>
  </si>
  <si>
    <t>35640</t>
  </si>
  <si>
    <t>5621683501</t>
  </si>
  <si>
    <t>Малі Сади</t>
  </si>
  <si>
    <t>(38)0987999367</t>
  </si>
  <si>
    <t>Придорожнянська загальноосвітня школа І ступеня</t>
  </si>
  <si>
    <t>5621683505</t>
  </si>
  <si>
    <t>Придорожне</t>
  </si>
  <si>
    <t>Мильчанська загальноосвітня школа І-ІІІ ступенів</t>
  </si>
  <si>
    <t>35643</t>
  </si>
  <si>
    <t>5621683905</t>
  </si>
  <si>
    <t>Дубенська районна вечірня школа ІІІ ступеня Дубенської районної ради Рівненської області</t>
  </si>
  <si>
    <t>35623</t>
  </si>
  <si>
    <t>5621684201</t>
  </si>
  <si>
    <t>Мирогоща Перша</t>
  </si>
  <si>
    <t>0999249496</t>
  </si>
  <si>
    <t>Мирогощанська загальноосвітня школа І-ІІІ ступенів, Мирогощанської сільської ради, Дубенського району, Рівненської області</t>
  </si>
  <si>
    <t>(03656)77348</t>
  </si>
  <si>
    <t>24169956</t>
  </si>
  <si>
    <t>Костянецький навчально-виховний комплекс загальноосвітня школа І ступеня - дошкільний навчальний заклад Мирогощанської сільської ради, Дубенського районну, Рівненської області</t>
  </si>
  <si>
    <t>5621684203</t>
  </si>
  <si>
    <t>Костянець</t>
  </si>
  <si>
    <t>380989284984</t>
  </si>
  <si>
    <t>Комунальний заклад Привільненської сільської ради Молодавська загальноосвітня школа І-ІІ ступенів</t>
  </si>
  <si>
    <t>35626</t>
  </si>
  <si>
    <t>5621684401</t>
  </si>
  <si>
    <t>Молодаво Третє</t>
  </si>
  <si>
    <t>ал. Перемоги, 49</t>
  </si>
  <si>
    <t>Квітневська загальноосвітня школа І-ІІІ ступенів Дубенської районної ради Рівненської області</t>
  </si>
  <si>
    <t>35629</t>
  </si>
  <si>
    <t>5621684703</t>
  </si>
  <si>
    <t>(03656)72667</t>
  </si>
  <si>
    <t>24172094</t>
  </si>
  <si>
    <t>Плосківська загальноосвітня школа І-ІІ ступенів Дубенської районної ради Рівненської області</t>
  </si>
  <si>
    <t>35651</t>
  </si>
  <si>
    <t>5621685201</t>
  </si>
  <si>
    <t>Плоска</t>
  </si>
  <si>
    <t>(03656)71249</t>
  </si>
  <si>
    <t>Дитиницький навчально-виховний комплекс Дубенської районної ради Рівненської області</t>
  </si>
  <si>
    <t>35617</t>
  </si>
  <si>
    <t>5621685205</t>
  </si>
  <si>
    <t>Дитиничі</t>
  </si>
  <si>
    <t>(03656)71276</t>
  </si>
  <si>
    <t>Перерослянський навчально-виховний комплекс "Загальноосвітня школа І ступеня - дошкільний навчальний заклад"</t>
  </si>
  <si>
    <t>5621685209</t>
  </si>
  <si>
    <t>Переросля</t>
  </si>
  <si>
    <t>ал. Дробоцького, 1</t>
  </si>
  <si>
    <t>0995304959</t>
  </si>
  <si>
    <t>Судобицька загальноосвітня школа І-ІІ ступенів</t>
  </si>
  <si>
    <t>35646</t>
  </si>
  <si>
    <t>5621685211</t>
  </si>
  <si>
    <t>Судобичі</t>
  </si>
  <si>
    <t>вул. Ковальова, 28А</t>
  </si>
  <si>
    <t>(066)5498428</t>
  </si>
  <si>
    <t>Повчанська загальноосвітня школа І-ІІІ ступенів</t>
  </si>
  <si>
    <t>35644</t>
  </si>
  <si>
    <t>5621685401</t>
  </si>
  <si>
    <t>Повча</t>
  </si>
  <si>
    <t>вул. Рикуна, 68</t>
  </si>
  <si>
    <t>(03656)78124</t>
  </si>
  <si>
    <t>24169985</t>
  </si>
  <si>
    <t>Комунальний заклад Привільненської сільської ради Привільненська загальноосвітня школа І-ІІІ ступенів</t>
  </si>
  <si>
    <t>35622</t>
  </si>
  <si>
    <t>5621685601</t>
  </si>
  <si>
    <t>54140</t>
  </si>
  <si>
    <t>http://pruvilneschool.ucoz.ua</t>
  </si>
  <si>
    <t>Птицька загальноосвітня школа І-ІІ ступенів</t>
  </si>
  <si>
    <t>35645</t>
  </si>
  <si>
    <t>5621686001</t>
  </si>
  <si>
    <t>Птича</t>
  </si>
  <si>
    <t>0637617516</t>
  </si>
  <si>
    <t>Микитицька загальноосвітня школа І-ІІ ступенів Дубенської районної ради Рівненської області</t>
  </si>
  <si>
    <t>53656</t>
  </si>
  <si>
    <t>5621686007</t>
  </si>
  <si>
    <t>(03656)59248</t>
  </si>
  <si>
    <t>Підлузький навчально-виховний комплекс Дубенської районної ради рівненської області</t>
  </si>
  <si>
    <t>5621686011</t>
  </si>
  <si>
    <t>0974422045</t>
  </si>
  <si>
    <t>Староносовицька загальноосвітня школа І - ІІ ступенів Дубенської районнї ради Рівненської області</t>
  </si>
  <si>
    <t>5621686013</t>
  </si>
  <si>
    <t>Стара Носовиця</t>
  </si>
  <si>
    <t>вул. Кременецька, 22</t>
  </si>
  <si>
    <t>http://snosovytsia-school.edukit.rv.ua</t>
  </si>
  <si>
    <t>Рачинська загальноосвітня школа І-ІІ ступенів Дубенської районної ради Рівненської області</t>
  </si>
  <si>
    <t>35609</t>
  </si>
  <si>
    <t>5621686501</t>
  </si>
  <si>
    <t>(03656)52217</t>
  </si>
  <si>
    <t>Сатиївська загальноосвітня школа І-ІІІ ступенів Дубенської районної ради Рівненської області</t>
  </si>
  <si>
    <t>35610</t>
  </si>
  <si>
    <t>5621687001</t>
  </si>
  <si>
    <t>Сатиїв</t>
  </si>
  <si>
    <t>0972303173</t>
  </si>
  <si>
    <t>http://satyiv-school.edukit.rv.ua</t>
  </si>
  <si>
    <t>Жорнівський навчально-виховний комплекс "загальноосвітня школа І-ІІ ступенів - дошкільний навчальний заклад"</t>
  </si>
  <si>
    <t>35611</t>
  </si>
  <si>
    <t>5621687005</t>
  </si>
  <si>
    <t>Жорнів</t>
  </si>
  <si>
    <t>0951401942</t>
  </si>
  <si>
    <t>http://zhorniv-school.at.ua/</t>
  </si>
  <si>
    <t>Семидубський навчально-виховний комплекс "Загальноосвітня школа І-ІІ ступенів - ліцей" Дубенської районної ради Рівненської області</t>
  </si>
  <si>
    <t>35650</t>
  </si>
  <si>
    <t>5621687401</t>
  </si>
  <si>
    <t>(03656)79225</t>
  </si>
  <si>
    <t>24169991</t>
  </si>
  <si>
    <t>Грядківський навчально-виховний комплекс Дубенської районної ради Рівненської області</t>
  </si>
  <si>
    <t>5621687403</t>
  </si>
  <si>
    <t>Грядки</t>
  </si>
  <si>
    <t>Тростянецький навчально-виховний комплекс "Загальноосвітня школа І - ІІ ступенів - дошкільний навчальний заклад"</t>
  </si>
  <si>
    <t>5621687411</t>
  </si>
  <si>
    <t>Соснівська ЗОШ І-ІІІ ступенів,</t>
  </si>
  <si>
    <t>5621688201</t>
  </si>
  <si>
    <t>вул. Молодіжна, №30</t>
  </si>
  <si>
    <t>(03656)71385</t>
  </si>
  <si>
    <t>http://www.sosnivkasoch.jimdo.com</t>
  </si>
  <si>
    <t>Стовпецька ЗОШ І-ІІІ ступенів Дубенської районної ради Рівненської області</t>
  </si>
  <si>
    <t>5621688501</t>
  </si>
  <si>
    <t>Стовпець</t>
  </si>
  <si>
    <t>(096)9492210</t>
  </si>
  <si>
    <t>Тараканівська загальноосвітня школа І-ІІІ ступенів</t>
  </si>
  <si>
    <t>35641</t>
  </si>
  <si>
    <t>5621689101</t>
  </si>
  <si>
    <t>Тараканів</t>
  </si>
  <si>
    <t>51225</t>
  </si>
  <si>
    <t>Шепетинська загальноосвітня школа І-ІІ ступенів Смизької селищної ради</t>
  </si>
  <si>
    <t>35682</t>
  </si>
  <si>
    <t>5621689501</t>
  </si>
  <si>
    <t>Шепетин</t>
  </si>
  <si>
    <t>56-6-45</t>
  </si>
  <si>
    <t>Студянська загальноосвітня школа I-III ступенів Смизької селищної ради</t>
  </si>
  <si>
    <t>35681</t>
  </si>
  <si>
    <t>5621689513</t>
  </si>
  <si>
    <t>Студянка</t>
  </si>
  <si>
    <t>((03656))566807</t>
  </si>
  <si>
    <t>Дубровицька загальноосвітня школа І-ІІІ ступенів № 1</t>
  </si>
  <si>
    <t>34100</t>
  </si>
  <si>
    <t>5621810100</t>
  </si>
  <si>
    <t>вул. Воробинська, 134</t>
  </si>
  <si>
    <t>(03658)20630, (03658)20233</t>
  </si>
  <si>
    <t>Дубровицька загальноосвітня школа І-ІІІ ступенів № 2</t>
  </si>
  <si>
    <t>вул. Грушевського, 36</t>
  </si>
  <si>
    <t>(03658)20379</t>
  </si>
  <si>
    <t>Управління освіти, молоді і спорту Дубровицької районної державної адміністрації</t>
  </si>
  <si>
    <t>вул. Макарівська, 11</t>
  </si>
  <si>
    <t>(03658)22974, (03658)23470</t>
  </si>
  <si>
    <t>Бережківська загальноосвітня школа І-ІІІ ступенів Дубровицької районної ради Рівненської області</t>
  </si>
  <si>
    <t>34160</t>
  </si>
  <si>
    <t>5621880401</t>
  </si>
  <si>
    <t>Бережки</t>
  </si>
  <si>
    <t>вул. шкільна, 23</t>
  </si>
  <si>
    <t>(03658)38275</t>
  </si>
  <si>
    <t>http://Berezhkyschool.ucoz.ua</t>
  </si>
  <si>
    <t>Бережницький навчально-виховний комплекс "Загальноосвітня школа І-ІІІ ступенів- дошкільний навчальний заклад"</t>
  </si>
  <si>
    <t>34164</t>
  </si>
  <si>
    <t>5621880601</t>
  </si>
  <si>
    <t>(03658)30119</t>
  </si>
  <si>
    <t>село Підлісне Підлісненський навчально виховний комплекс "Загальноосвітня школіа І-ІІ ступенів- ДНЗ"</t>
  </si>
  <si>
    <t>34165</t>
  </si>
  <si>
    <t>5621880605</t>
  </si>
  <si>
    <t>вул. Володимирецька, 88</t>
  </si>
  <si>
    <t>Велюнський навчально-виховний комплекс "Загальноосвітня школа І-ІІІ ступенів - дошкільний навчальний заклад" імені Олександра Ярмоліча Велюнської сільської ради Дубровицького району Рівненської області</t>
  </si>
  <si>
    <t>34134</t>
  </si>
  <si>
    <t>5621880701</t>
  </si>
  <si>
    <t>Велюнь</t>
  </si>
  <si>
    <t>(3803658)43129</t>
  </si>
  <si>
    <t>http://velynosvita.at.ua</t>
  </si>
  <si>
    <t>Берестівський навчально-виховний комплекс "Загальноосвітня школа І-ІІІ ступенів дошкільний навчальний заклад"</t>
  </si>
  <si>
    <t>34109</t>
  </si>
  <si>
    <t>5621880901</t>
  </si>
  <si>
    <t>Берестя</t>
  </si>
  <si>
    <t>365835429</t>
  </si>
  <si>
    <t>Великоозерянський навчально виховний комплекс " Загальноосвітня школа І-ІІІ ступенів - дошкільний навчальний заклад" (філія - Великочеремельська загальноосвітня школа І ступеня) Дубровицької районної ради, Рівненської області</t>
  </si>
  <si>
    <t>34146</t>
  </si>
  <si>
    <t>5621881301</t>
  </si>
  <si>
    <t>Великі Озера</t>
  </si>
  <si>
    <t>вул. Березова, 4</t>
  </si>
  <si>
    <t>4-71-45</t>
  </si>
  <si>
    <t>http://vozera.ucoz.ua/</t>
  </si>
  <si>
    <t>Висоцька ЗОШ І-ІІІ ступенів Висоцької сільської ради</t>
  </si>
  <si>
    <t>34111</t>
  </si>
  <si>
    <t>5621882001</t>
  </si>
  <si>
    <t>вул. Містечкова, 2</t>
  </si>
  <si>
    <t>60185, 60130</t>
  </si>
  <si>
    <t>http://visotsk.ucoz.ua/</t>
  </si>
  <si>
    <t>Вербівський НВК "Загальноосвітній навчально-виховний комплекс І-ІІ ступенів - дошкільний навчальний заклад", Висоцька сільська рада</t>
  </si>
  <si>
    <t>34112</t>
  </si>
  <si>
    <t>5621882003</t>
  </si>
  <si>
    <t>вул. Старорічицька</t>
  </si>
  <si>
    <t>(03658)63144</t>
  </si>
  <si>
    <t>Комунальний заклад "Жаденський навчально-виховний комплекс"Загальноосвітня школа І-ІІ ступенів - дошкільний навчальний заклад "</t>
  </si>
  <si>
    <t>34132</t>
  </si>
  <si>
    <t>5621882401</t>
  </si>
  <si>
    <t>Жадень</t>
  </si>
  <si>
    <t>вул. Центральна, 179</t>
  </si>
  <si>
    <t>45110</t>
  </si>
  <si>
    <t>39134607</t>
  </si>
  <si>
    <t>Залузький навчально-виховний комплекс "Загальноосвітня школа І-ІІІ ступенів - дошкільний навчальний заклад"</t>
  </si>
  <si>
    <t>34145</t>
  </si>
  <si>
    <t>5621882801</t>
  </si>
  <si>
    <t>(03658)46136</t>
  </si>
  <si>
    <t>Колківський НВК "загальноосітня школа І-ІІІ ступенів - дошкільний навчальний заклад"</t>
  </si>
  <si>
    <t>34144</t>
  </si>
  <si>
    <t>5621883401</t>
  </si>
  <si>
    <t>ал. Центральна, 24</t>
  </si>
  <si>
    <t>5-51-50</t>
  </si>
  <si>
    <t>Заслуцький навчально-виховний комплекс "Загальноосвітня школа І-ІІ ступенів - дошкільний навчальний заклад"</t>
  </si>
  <si>
    <t>5621883403</t>
  </si>
  <si>
    <t>Заслуччя</t>
  </si>
  <si>
    <t>вул. Велика Гряда, 1</t>
  </si>
  <si>
    <t>Лісівський НВК "ЗОШ І-ІІ ступенів -ДНЗ"</t>
  </si>
  <si>
    <t>34121</t>
  </si>
  <si>
    <t>5621883901</t>
  </si>
  <si>
    <t>вул. Кузнєцова, 40</t>
  </si>
  <si>
    <t>(03658)70120</t>
  </si>
  <si>
    <t>Озерський навчально-виховний комплекс "ЗОШ І-ІІІ ступенів--ДНЗ" Дубровицької районної ради Рівненської області</t>
  </si>
  <si>
    <t>34122</t>
  </si>
  <si>
    <t>5621883903</t>
  </si>
  <si>
    <t>Озерськ</t>
  </si>
  <si>
    <t>(03658)42174</t>
  </si>
  <si>
    <t>Людинська загальноосвітня школа І-ІІІ ступенів ім. К. Хомич Висоцької сільської ради</t>
  </si>
  <si>
    <t>5621884301</t>
  </si>
  <si>
    <t>Людинь</t>
  </si>
  <si>
    <t>(03658)4-11-18</t>
  </si>
  <si>
    <t>http://ludin.at.ua</t>
  </si>
  <si>
    <t>Золотинська ЗОШ І-ІІ ступенів, Висоцької сільської ради</t>
  </si>
  <si>
    <t>34124</t>
  </si>
  <si>
    <t>5621884303</t>
  </si>
  <si>
    <t>(03658)42162</t>
  </si>
  <si>
    <t>Лютинський навчально- виховний комплекс " Загальноосвітня школа І - ІІІ ступенів - дошкільний навчальний заклад"</t>
  </si>
  <si>
    <t>34140</t>
  </si>
  <si>
    <t>5621884601</t>
  </si>
  <si>
    <t>Лютинськ</t>
  </si>
  <si>
    <t>(03658)6-41-35</t>
  </si>
  <si>
    <t>Комунальний заклад «Миляцький навчально-виховний комплекс «Загальноосвітня школа І-ІІІ ступенів - дошкільний навчальний заклад» Миляцької сільської ради Дубровицького району Рівненської області»</t>
  </si>
  <si>
    <t>34133</t>
  </si>
  <si>
    <t>5621885001</t>
  </si>
  <si>
    <t>Миляч</t>
  </si>
  <si>
    <t>вул. Шкільна, 277</t>
  </si>
  <si>
    <t>39134505</t>
  </si>
  <si>
    <t>Мочулищенський навчально-виховний комплекс "Загальноосвітня школа І-ІІІ ступенів - дошкільний навчальний заклад"</t>
  </si>
  <si>
    <t>34143</t>
  </si>
  <si>
    <t>5621885401</t>
  </si>
  <si>
    <t>Мочулище</t>
  </si>
  <si>
    <t>(03658)53118</t>
  </si>
  <si>
    <t>Крупівська загальноосвітня школа І-ІІ ступенів</t>
  </si>
  <si>
    <t>5621885402</t>
  </si>
  <si>
    <t>Крупове</t>
  </si>
  <si>
    <t>(068)9692107</t>
  </si>
  <si>
    <t>Нивецький навчально-виховний комплекс «Загальноосвітня школа І-ІІ ступенів - дошкільний навчальний заклад» Дубровицької районної державної адміністрації Рівненської області</t>
  </si>
  <si>
    <t>34152</t>
  </si>
  <si>
    <t>5621885601</t>
  </si>
  <si>
    <t>Нивецьк</t>
  </si>
  <si>
    <t>(03658)5-815-0</t>
  </si>
  <si>
    <t>Управління освіти, молоді та спорту Дубровицької РДА Осівський НВК "ЗОШ І-ІІІ ступенів - ДНЗ" Дубровицької районної ради Рівненської області</t>
  </si>
  <si>
    <t>34153</t>
  </si>
  <si>
    <t>5621885901</t>
  </si>
  <si>
    <t>Осова</t>
  </si>
  <si>
    <t>ал. Лесі Українки, 26</t>
  </si>
  <si>
    <t>(036)4-81-69</t>
  </si>
  <si>
    <t>Комунальний заклад "Перебродівський навчально-виховний комплекс "Загальноосвітня школа І-ІІІ ступенів - дошкільний навчальний заклад" Миляцької сільської ради Дубровицького району Рівненської області</t>
  </si>
  <si>
    <t>34130</t>
  </si>
  <si>
    <t>5621886401</t>
  </si>
  <si>
    <t>Переброди</t>
  </si>
  <si>
    <t>0988134172</t>
  </si>
  <si>
    <t>39133900</t>
  </si>
  <si>
    <t>Комунальний заклад "Будимлянський навчально-виховний комплекс"</t>
  </si>
  <si>
    <t>34131</t>
  </si>
  <si>
    <t>5621886402</t>
  </si>
  <si>
    <t>Будимля</t>
  </si>
  <si>
    <t>39137239</t>
  </si>
  <si>
    <t>Сварицевицький навчально-виховний комплес "Загальноосвітня школа І-ІІІ ступенів - дошкільний навчальний заклад"</t>
  </si>
  <si>
    <t>34120</t>
  </si>
  <si>
    <t>5621886901</t>
  </si>
  <si>
    <t>Сварицевичі</t>
  </si>
  <si>
    <t>(03658)72142</t>
  </si>
  <si>
    <t>http://osvitasvar.ucoz.ua/</t>
  </si>
  <si>
    <t>Зеленська загальноосвітня школа І-ІІ ступенів Дубровицької районної ради Рівненської області</t>
  </si>
  <si>
    <t>5621886902</t>
  </si>
  <si>
    <t>Зелень</t>
  </si>
  <si>
    <t>(03658)72149</t>
  </si>
  <si>
    <t>Селецький навчально-виховний комплекс "Загальноосвітня школа І-ІІІ ступенів - дошкільний навчальний заклад" Дубровицької районної ради Рівненської області</t>
  </si>
  <si>
    <t>34141</t>
  </si>
  <si>
    <t>5621887301</t>
  </si>
  <si>
    <t>(03658)50160</t>
  </si>
  <si>
    <t>24176301</t>
  </si>
  <si>
    <t>Орв'яницький навчально-виховний комплекс "Загальноосвітня школа І-ІІІ ступенів - дошкільний навчальний заклад"</t>
  </si>
  <si>
    <t>34163</t>
  </si>
  <si>
    <t>5621887703</t>
  </si>
  <si>
    <t>Орв'яниця</t>
  </si>
  <si>
    <t>вул. Піонерська, 1</t>
  </si>
  <si>
    <t>(03658)33171</t>
  </si>
  <si>
    <t>Трипутнянський навчально-виховний комплекс "Загальноосвітня школа І-ІІІ ступенів-дошкільний навчальний заклад" Дубровицької районної ради Рівненської області</t>
  </si>
  <si>
    <t>34150</t>
  </si>
  <si>
    <t>5621888201</t>
  </si>
  <si>
    <t>Трипутня</t>
  </si>
  <si>
    <t>(03658)75144</t>
  </si>
  <si>
    <t>Кривицька загальноосвітня школа</t>
  </si>
  <si>
    <t>34151</t>
  </si>
  <si>
    <t>5621888205</t>
  </si>
  <si>
    <t>Кривиця</t>
  </si>
  <si>
    <t>Туменський навчально- виховний комплкс "Загальноосвітня школа І-ІІІ ступенів - дошкільний навчальний заклад"</t>
  </si>
  <si>
    <t>34110</t>
  </si>
  <si>
    <t>5621888701</t>
  </si>
  <si>
    <t>Тумень</t>
  </si>
  <si>
    <t>вул. Молодіжна, 21</t>
  </si>
  <si>
    <t>Комунальний заклад "Удрицький навчально-виховний комплекс І-ІІІ ступенів - дошкільний навчальний заклад" Миляцької сільської ради, Дубровицького району Рівненської області"</t>
  </si>
  <si>
    <t>34113</t>
  </si>
  <si>
    <t>5621889201</t>
  </si>
  <si>
    <t>Удрицьк</t>
  </si>
  <si>
    <t>(3803658)40134, (380974)846233</t>
  </si>
  <si>
    <t>39131290</t>
  </si>
  <si>
    <t>Комунальний заклад "Смородський навчально-виховний комплекс "Загальноосвітня школа I-II ступенів -дошкільний навчальний заклад</t>
  </si>
  <si>
    <t>34114</t>
  </si>
  <si>
    <t>5621889202</t>
  </si>
  <si>
    <t>Смородськ</t>
  </si>
  <si>
    <t>380683232548</t>
  </si>
  <si>
    <t>39134353</t>
  </si>
  <si>
    <t>Зарічненська загальноосвітня школа І-ІІ ступенів</t>
  </si>
  <si>
    <t>34000</t>
  </si>
  <si>
    <t>5622255100</t>
  </si>
  <si>
    <t>вул. Крижова, 7</t>
  </si>
  <si>
    <t>Зарічненська загальноосвітня школа І - ІІІ ступенів Зарічненської районної ради Зарічненського району Рівненської області</t>
  </si>
  <si>
    <t>ал. 1 Грудня, 19</t>
  </si>
  <si>
    <t>0363230981</t>
  </si>
  <si>
    <t>http://zarichnenska-shkola.in.ua</t>
  </si>
  <si>
    <t>Зарічненський навчально-виховний комплекс "загальноосвітня школа І ступеня - гімназія" Зарічненської районної ради Рівненської області</t>
  </si>
  <si>
    <t>вул. Харківця, 28А</t>
  </si>
  <si>
    <t>(03632)30923</t>
  </si>
  <si>
    <t>Іванчицька загальноосвітня школа І-ІІ ступенів Зарічненської районної ради Рівненської області</t>
  </si>
  <si>
    <t>34009</t>
  </si>
  <si>
    <t>5622255101</t>
  </si>
  <si>
    <t>(03632)35187</t>
  </si>
  <si>
    <t>Борівська загальноосвітня школа Зарічненської районної ради Рівненської області</t>
  </si>
  <si>
    <t>34061</t>
  </si>
  <si>
    <t>5622280401</t>
  </si>
  <si>
    <t>0967502097</t>
  </si>
  <si>
    <t>http://www.borivska-zosh.rv.sch.in.ua</t>
  </si>
  <si>
    <t>Млинківська ЗОШ І-ІІІ ступенів Зарічненської РДА Рівненської області</t>
  </si>
  <si>
    <t>34062</t>
  </si>
  <si>
    <t>5622280403</t>
  </si>
  <si>
    <t>(068)6248467</t>
  </si>
  <si>
    <t>Вичівська загальноосвітня школа І-ІІІ ступенів</t>
  </si>
  <si>
    <t>34050</t>
  </si>
  <si>
    <t>5622280701</t>
  </si>
  <si>
    <t>Вичівка</t>
  </si>
  <si>
    <t>(03632)34150</t>
  </si>
  <si>
    <t>Бродницька загальноосвітьня школа І-ІІ стуенів Рівненська Область Зарічненський район с.Бродниця</t>
  </si>
  <si>
    <t>5622280702</t>
  </si>
  <si>
    <t>Бродниця</t>
  </si>
  <si>
    <t>вул. центральна, 73</t>
  </si>
  <si>
    <t>Бутівська загальноосвітня школа І-ІІ ступенів Зарічненської районної ради Рівненської області</t>
  </si>
  <si>
    <t>5622280703</t>
  </si>
  <si>
    <t>(036)34031</t>
  </si>
  <si>
    <t>Дібрівська загальноосвітня школа І-ІІІ ступенів</t>
  </si>
  <si>
    <t>34041</t>
  </si>
  <si>
    <t>5622281001</t>
  </si>
  <si>
    <t>Дібрівськ</t>
  </si>
  <si>
    <t>(03632)46243</t>
  </si>
  <si>
    <t>Вовчицька загальноосвітня школа І-ІІ ступенів Зарічненської районної ради Рівненської області</t>
  </si>
  <si>
    <t>34042</t>
  </si>
  <si>
    <t>5622281002</t>
  </si>
  <si>
    <t>Вовчиці</t>
  </si>
  <si>
    <t>(03632)35136</t>
  </si>
  <si>
    <t>Комунальний заклад "Кутинська загальноосвітня школа І-ІІІ ступенів" Локницької сільської ради Зарічненського району Рівненської області</t>
  </si>
  <si>
    <t>34032</t>
  </si>
  <si>
    <t>5622281601</t>
  </si>
  <si>
    <t>Кутин</t>
  </si>
  <si>
    <t>24173969</t>
  </si>
  <si>
    <t>Кухітсько-Вільська загальноосвітня школа І-ІІІ ступенів Зарічненської районної ради, Рівненської області</t>
  </si>
  <si>
    <t>34035</t>
  </si>
  <si>
    <t>5622282001</t>
  </si>
  <si>
    <t>Кухітська Воля</t>
  </si>
  <si>
    <t>вул. шкільна, 4</t>
  </si>
  <si>
    <t>Острівська загальноосвітня школа І-ІІ ступенів</t>
  </si>
  <si>
    <t>34036</t>
  </si>
  <si>
    <t>5622282003</t>
  </si>
  <si>
    <t>Острівськ</t>
  </si>
  <si>
    <t>вул. Залізнична, 24</t>
  </si>
  <si>
    <t>0961714515</t>
  </si>
  <si>
    <t>Комунальний заклад "Кухченська загальноосвітня школа І-ІІІ ступенів" Локницької сільської ради Зарічненського району Рівненської області</t>
  </si>
  <si>
    <t>34034</t>
  </si>
  <si>
    <t>5622282301</t>
  </si>
  <si>
    <t>Кухче</t>
  </si>
  <si>
    <t>46535</t>
  </si>
  <si>
    <t>24173946</t>
  </si>
  <si>
    <t>Комунальний заклад "Локницька ЗОШ І-ІІІ ступенів" Локницької сільської ради Зарічненського району Рівненської області</t>
  </si>
  <si>
    <t>34030</t>
  </si>
  <si>
    <t>5622282701</t>
  </si>
  <si>
    <t>Локниця</t>
  </si>
  <si>
    <t>24173932</t>
  </si>
  <si>
    <t>Комунальний заклад "Храпинська загальносвітня школа І-ІІ ступенів" Локницької сільської ради Зарічненського району Рівненської області</t>
  </si>
  <si>
    <t>34031</t>
  </si>
  <si>
    <t>5622282702</t>
  </si>
  <si>
    <t>Храпин</t>
  </si>
  <si>
    <t>(096)8396439</t>
  </si>
  <si>
    <t>24174236</t>
  </si>
  <si>
    <t>Морочненська загальноосвітня школа І-ІІІ ступенів Зарічненської районної ради Рівненської області</t>
  </si>
  <si>
    <t>34022</t>
  </si>
  <si>
    <t>5622283201</t>
  </si>
  <si>
    <t>Морочне</t>
  </si>
  <si>
    <t>(03632)43244</t>
  </si>
  <si>
    <t>Мутвицька загальноосвітня школа І-ІІІ ступенів Зарічненської районної ради Рівненської області</t>
  </si>
  <si>
    <t>34023</t>
  </si>
  <si>
    <t>5622283202</t>
  </si>
  <si>
    <t>Мутвиця</t>
  </si>
  <si>
    <t>(03632)44354</t>
  </si>
  <si>
    <t>Неньковицька ЗОШ І-ІІІ ступенів Зарічненської районної ради Рівненської області</t>
  </si>
  <si>
    <t>5622283601</t>
  </si>
  <si>
    <t>Неньковичі</t>
  </si>
  <si>
    <t>(03632)44233</t>
  </si>
  <si>
    <t>КЗ "Нобельська загальноосвітня школа І-ІІІ ступенів Локницької сільської ради" Зарічненського району Рівненської області</t>
  </si>
  <si>
    <t>34013</t>
  </si>
  <si>
    <t>5622284001</t>
  </si>
  <si>
    <t>Нобель</t>
  </si>
  <si>
    <t>вул. центральна, 26</t>
  </si>
  <si>
    <t>(03632)44532</t>
  </si>
  <si>
    <t>24173886</t>
  </si>
  <si>
    <t>Новорічицька загальноосвітня школа І-ІІІ ступенів Зарічненської районної ради Рівненської області</t>
  </si>
  <si>
    <t>34040</t>
  </si>
  <si>
    <t>5622284401</t>
  </si>
  <si>
    <t>Новорічиця</t>
  </si>
  <si>
    <t>(03632)45323</t>
  </si>
  <si>
    <t>Перекальська загальноосвітня школа І-ІІ ступенів Зарічненської районної Ради Рівненської області</t>
  </si>
  <si>
    <t>34060</t>
  </si>
  <si>
    <t>5622285301</t>
  </si>
  <si>
    <t>Перекалля</t>
  </si>
  <si>
    <t>(03632)45540</t>
  </si>
  <si>
    <t>Річицька загальноосвітня школа І-ІІ ступенів Зарічненської районної ради Рівненської області</t>
  </si>
  <si>
    <t>34043</t>
  </si>
  <si>
    <t>5622285701</t>
  </si>
  <si>
    <t>(03632)46428</t>
  </si>
  <si>
    <t>Привітівська загальноосвітня школа І-ІІ ступенів</t>
  </si>
  <si>
    <t>34044</t>
  </si>
  <si>
    <t>5622285703</t>
  </si>
  <si>
    <t>Привітівка</t>
  </si>
  <si>
    <t>(03236)44125</t>
  </si>
  <si>
    <t>Прикладницька ЗОШ І-ІІІ ступенів Зарічненської районної ради Рівненської області</t>
  </si>
  <si>
    <t>34012</t>
  </si>
  <si>
    <t>5622286203</t>
  </si>
  <si>
    <t>Прикладники</t>
  </si>
  <si>
    <t>0666524778</t>
  </si>
  <si>
    <t>Серницька загальноосвітня школа І-ІІІ ступенів Зарічненської районної ради Рівненської області</t>
  </si>
  <si>
    <t>34052</t>
  </si>
  <si>
    <t>5622286601</t>
  </si>
  <si>
    <t>Серники</t>
  </si>
  <si>
    <t>(03632)34495</t>
  </si>
  <si>
    <t>Олександрівська загальноосвітня школа І - ІІ ступенів Зарічненської районної ради Рівненської області</t>
  </si>
  <si>
    <t>5622286603</t>
  </si>
  <si>
    <t>Олександрове</t>
  </si>
  <si>
    <t>вул. Набережна, 25А</t>
  </si>
  <si>
    <t>(03632)34700</t>
  </si>
  <si>
    <t>Здолбунівська гімназія Здолбунівської районної ради Рівненської області</t>
  </si>
  <si>
    <t>35705</t>
  </si>
  <si>
    <t>5622610100</t>
  </si>
  <si>
    <t>Здолбунів</t>
  </si>
  <si>
    <t>вул. Назалежності, 15</t>
  </si>
  <si>
    <t>(03652)25331</t>
  </si>
  <si>
    <t>http://gymnasia.rv.ua</t>
  </si>
  <si>
    <t>22564016</t>
  </si>
  <si>
    <t>Здолбунівська загальноосвітня школа І ступеня № 7 Здолбунівської районної ради Рівненської області</t>
  </si>
  <si>
    <t>35701</t>
  </si>
  <si>
    <t>(03652)94477</t>
  </si>
  <si>
    <t>22565043</t>
  </si>
  <si>
    <t>Здолбунівська ЗОШ І-ІІІ ступенів № 1 Здолбунівської районної ради Рівненської області</t>
  </si>
  <si>
    <t>вул. В.Жука, 4</t>
  </si>
  <si>
    <t>22580239</t>
  </si>
  <si>
    <t>Здолбунівська загальноосвітня школа І-ІІІ ступенів № 5 Здолбунівської районної ради Рівненської області</t>
  </si>
  <si>
    <t>35704</t>
  </si>
  <si>
    <t>ал. Міцкевича, 36</t>
  </si>
  <si>
    <t>(03652)9-45-69</t>
  </si>
  <si>
    <t>22564074</t>
  </si>
  <si>
    <t>Здолбунівська загальноосвітня школа І-ІІІ ступенів № 3 Здолбунівської районної ради Рівненської області</t>
  </si>
  <si>
    <t>35702</t>
  </si>
  <si>
    <t>вул. Устима Кармелюка, 5</t>
  </si>
  <si>
    <t>(03652)2-32-67</t>
  </si>
  <si>
    <t>22564004</t>
  </si>
  <si>
    <t>Здолбунівська загальноосвітня школа І-ІІІ ступенів № 4 Здолбунівської райнної ради Рівненської області</t>
  </si>
  <si>
    <t>(03652)22362</t>
  </si>
  <si>
    <t>22580204</t>
  </si>
  <si>
    <t>Здолбунівська загальноосвітня школа І-ІІІ ступенів № 6 Здолбунівської районної ради</t>
  </si>
  <si>
    <t>(03652)244-96</t>
  </si>
  <si>
    <t>22564051</t>
  </si>
  <si>
    <t>"Мізоцька спеціальна загальноосвітня школа-інтернат І-ІІ ступенів" Рівненської обласної ради</t>
  </si>
  <si>
    <t>35740</t>
  </si>
  <si>
    <t>5622655400</t>
  </si>
  <si>
    <t>Мізоч</t>
  </si>
  <si>
    <t>вул. Б.Хмельницького, 35</t>
  </si>
  <si>
    <t>(03652)40657, (03652)40130</t>
  </si>
  <si>
    <t>http://mizoch-internat.communal.rv.ua</t>
  </si>
  <si>
    <t>22581256</t>
  </si>
  <si>
    <t>Мізоцький навчально-виховний комплекс "загальноосвітня школа І-ІІ ступенів - ліцей"</t>
  </si>
  <si>
    <t>25740</t>
  </si>
  <si>
    <t>вул. Сергія Шолудька(Гагаріна), 6</t>
  </si>
  <si>
    <t>(03652)40018</t>
  </si>
  <si>
    <t>22581440</t>
  </si>
  <si>
    <t>Білашівський навчально-виховний комплекс загальноосвітня школа І-ІІІ ступенів дошкільний навчальний заклад Здолбунівської районної ради Рівненської області</t>
  </si>
  <si>
    <t>35741</t>
  </si>
  <si>
    <t>5622680401</t>
  </si>
  <si>
    <t>вул. Попівська, 34</t>
  </si>
  <si>
    <t>38809470</t>
  </si>
  <si>
    <t>Ільпінська загальноосвітня школа І ступеня Здолбунівської районної ради Рівненської області</t>
  </si>
  <si>
    <t>35708</t>
  </si>
  <si>
    <t>5622680602</t>
  </si>
  <si>
    <t>Ільпінь</t>
  </si>
  <si>
    <t>вул. Приходька, 16</t>
  </si>
  <si>
    <t>0687691250</t>
  </si>
  <si>
    <t>Орестівська загальноосвітня школа І ступеня Здолбунівської районної ради Рівненської області</t>
  </si>
  <si>
    <t>35764</t>
  </si>
  <si>
    <t>5622680604</t>
  </si>
  <si>
    <t>Орестів</t>
  </si>
  <si>
    <t>0978199370</t>
  </si>
  <si>
    <t>Будеразька загальноосвітня школа І-ІІІ ступенів Здолбунівської районної ради Рівненської області</t>
  </si>
  <si>
    <t>35752</t>
  </si>
  <si>
    <t>5622680801</t>
  </si>
  <si>
    <t>Будераж</t>
  </si>
  <si>
    <t>ал. вулиця Центральна, 92</t>
  </si>
  <si>
    <t>0978660608</t>
  </si>
  <si>
    <t>24170043</t>
  </si>
  <si>
    <t>Бущанська загальноосвітня школа І-ІІІ ступенів Здолбунівської районної ради Рівненської області</t>
  </si>
  <si>
    <t>35753</t>
  </si>
  <si>
    <t>5622681201</t>
  </si>
  <si>
    <t>Буща</t>
  </si>
  <si>
    <t>вул. Осередок, 3</t>
  </si>
  <si>
    <t>(03652)48240</t>
  </si>
  <si>
    <t>24169181</t>
  </si>
  <si>
    <t>Глинська загальноосвітня школа І-ІІІ ступенів Здолбунівської районної ради Рівненської області</t>
  </si>
  <si>
    <t>35710</t>
  </si>
  <si>
    <t>5622681601</t>
  </si>
  <si>
    <t>0964503604</t>
  </si>
  <si>
    <t>http://www.glinschool.at.ua</t>
  </si>
  <si>
    <t>22566245</t>
  </si>
  <si>
    <t>Дерманський навчально-виховний комплекс "загальноосвітня школа І ступеня-гімназія" Здолбунівської районної ради Рівненської області</t>
  </si>
  <si>
    <t>35751</t>
  </si>
  <si>
    <t>5622681801</t>
  </si>
  <si>
    <t>Дермань Друга</t>
  </si>
  <si>
    <t>0967011214</t>
  </si>
  <si>
    <t>24170391</t>
  </si>
  <si>
    <t>Дерманська загальноосвітня школа І ступеня Здолбунівської районної ради Рівненської області</t>
  </si>
  <si>
    <t>35750</t>
  </si>
  <si>
    <t>5622681901</t>
  </si>
  <si>
    <t>Дермань Перша</t>
  </si>
  <si>
    <t>0987274652</t>
  </si>
  <si>
    <t>Здовбицька загальноосвітня школа І-ІІІ ступенів Здолбунівської районної ради Рівненської області</t>
  </si>
  <si>
    <t>35709</t>
  </si>
  <si>
    <t>5622682001</t>
  </si>
  <si>
    <t>вул. Шосова, 126</t>
  </si>
  <si>
    <t>(03652)42427</t>
  </si>
  <si>
    <t>22582072</t>
  </si>
  <si>
    <t>Копитківська загальноосвітня школа І-ІІІ ступенів Здолбунівської районної рди Рівненської області</t>
  </si>
  <si>
    <t>35720</t>
  </si>
  <si>
    <t>5622682801</t>
  </si>
  <si>
    <t>Копиткове</t>
  </si>
  <si>
    <t>(03652)47737</t>
  </si>
  <si>
    <t>22564803</t>
  </si>
  <si>
    <t>Новомильська загальноосвітня школа І-ІІ ступенів Здолбунівської районної ради Рівненської області</t>
  </si>
  <si>
    <t>35763</t>
  </si>
  <si>
    <t>5622682803</t>
  </si>
  <si>
    <t>Новомильськ</t>
  </si>
  <si>
    <t>вул. Центральна, 3А</t>
  </si>
  <si>
    <t>(03652)54078</t>
  </si>
  <si>
    <t>http://novoschool.at.ua</t>
  </si>
  <si>
    <t>24172970</t>
  </si>
  <si>
    <t>Маломощаницька загальноосвітня школа І-ІІ ступенів Здолбунівської районної ради Рівненської області</t>
  </si>
  <si>
    <t>35730</t>
  </si>
  <si>
    <t>5622683401</t>
  </si>
  <si>
    <t>Мала Мощаниця</t>
  </si>
  <si>
    <t>56А</t>
  </si>
  <si>
    <t>0974333064</t>
  </si>
  <si>
    <t>24169666</t>
  </si>
  <si>
    <t>Миротинська загальноосвітня школа І-ІІ ступенів Здолбунівської районної ради Рівненської області</t>
  </si>
  <si>
    <t>35721</t>
  </si>
  <si>
    <t>5622683801</t>
  </si>
  <si>
    <t>Миротин</t>
  </si>
  <si>
    <t>вул. Дружби, 40 а</t>
  </si>
  <si>
    <t>(03652)57918</t>
  </si>
  <si>
    <t>22566660</t>
  </si>
  <si>
    <t>Івачківська ЗОШ І-ІІ ступеня Здолбунівської районної ради Рівненської області</t>
  </si>
  <si>
    <t>35722</t>
  </si>
  <si>
    <t>5622683805</t>
  </si>
  <si>
    <t>Івачків</t>
  </si>
  <si>
    <t>вул. сільрадська, 27</t>
  </si>
  <si>
    <t>(3652)54438</t>
  </si>
  <si>
    <t>24170089</t>
  </si>
  <si>
    <t>Новосілківський навчально-виховний комплекс "загальноосвітня школа І-ІІ ступенів - дошкільний навчальний заклад" Здолбунівської районної ради Рівненської області</t>
  </si>
  <si>
    <t>35723</t>
  </si>
  <si>
    <t>5622684601</t>
  </si>
  <si>
    <t>(03652)47740</t>
  </si>
  <si>
    <t>39419461</t>
  </si>
  <si>
    <t>Новомощаницька загальноосвітня школа І-ІІ ступенів, Здолбунівського району, Рівненської області</t>
  </si>
  <si>
    <t>35744</t>
  </si>
  <si>
    <t>5622684801</t>
  </si>
  <si>
    <t>Нова Мощаниця</t>
  </si>
  <si>
    <t>586-90</t>
  </si>
  <si>
    <t>24170066</t>
  </si>
  <si>
    <t>Суємська загальноосвітня школа І-ІІ ступенів Здолбунівської районної ради Рівненської області</t>
  </si>
  <si>
    <t>35743</t>
  </si>
  <si>
    <t>5622685103</t>
  </si>
  <si>
    <t>Суйми</t>
  </si>
  <si>
    <t>58648</t>
  </si>
  <si>
    <t>24170054</t>
  </si>
  <si>
    <t>П'ятигірська загальноосвітня школа І-ІІ ступенів Здолбунівської районної ради Рівненської області</t>
  </si>
  <si>
    <t>5622685301</t>
  </si>
  <si>
    <t>24168721</t>
  </si>
  <si>
    <t>Спасівська загальноосвітня школа І-ІІІ ступенів Здолбунівської районної ради Рівненської області</t>
  </si>
  <si>
    <t>35713</t>
  </si>
  <si>
    <t>5622685601</t>
  </si>
  <si>
    <t>вул. Сагайдачного, 12</t>
  </si>
  <si>
    <t>(03652)47420</t>
  </si>
  <si>
    <t>24170190</t>
  </si>
  <si>
    <t>Цурківська загальноосвітня школа І ступеня Здолбунівської районної ради Рівненської області</t>
  </si>
  <si>
    <t>5622685603</t>
  </si>
  <si>
    <t>Цурків</t>
  </si>
  <si>
    <t>0974079321</t>
  </si>
  <si>
    <t>Ступнівський навчально-виховний комплекс "загальноосвітня школа І-ІІ ступенів - агротехнічний ліцей"</t>
  </si>
  <si>
    <t>35731</t>
  </si>
  <si>
    <t>5622685701</t>
  </si>
  <si>
    <t>Ступно</t>
  </si>
  <si>
    <t>(03652)44323</t>
  </si>
  <si>
    <t>24170439</t>
  </si>
  <si>
    <t>Старомощаницька загальноосвітня школа I ступеня Здолбунвської районної ради Рівненської області</t>
  </si>
  <si>
    <t>35742</t>
  </si>
  <si>
    <t>5622685801</t>
  </si>
  <si>
    <t>Стара Мощаниця</t>
  </si>
  <si>
    <t>(067)5991328</t>
  </si>
  <si>
    <t>24173656</t>
  </si>
  <si>
    <t>Уїздецька загальноосвітня школа І - ІІІ ступенів Здолбунівської районної ради Рівненської області</t>
  </si>
  <si>
    <t>35711</t>
  </si>
  <si>
    <t>5622687001</t>
  </si>
  <si>
    <t>Уїздці</t>
  </si>
  <si>
    <t>58158</t>
  </si>
  <si>
    <t>24170402</t>
  </si>
  <si>
    <t>Кунинська загальноосвітня школа І-ІІ ступенів Здолбунівської районної ради Рівненської області</t>
  </si>
  <si>
    <t>35712</t>
  </si>
  <si>
    <t>5622687003</t>
  </si>
  <si>
    <t>вул. Травнева, 2 а</t>
  </si>
  <si>
    <t>http://kynunrv-school.at.ua</t>
  </si>
  <si>
    <t>24169809</t>
  </si>
  <si>
    <t>Гільчанська загальноосвітня школа І-ІІІ ступенів Здолбунівської районної ради Рівненської області</t>
  </si>
  <si>
    <t>35715</t>
  </si>
  <si>
    <t>5622687602</t>
  </si>
  <si>
    <t>Гільча Друга</t>
  </si>
  <si>
    <t>вул. Чеська, 65 б</t>
  </si>
  <si>
    <t>(03652)570-32</t>
  </si>
  <si>
    <t>24171976</t>
  </si>
  <si>
    <t>Заліська загальноосвітня школа І ступеня Здолбунівської районної ради Рівненської області</t>
  </si>
  <si>
    <t>5622687604</t>
  </si>
  <si>
    <t>0954475641</t>
  </si>
  <si>
    <t>Корецька загальноосвітня школа І ступеня Корецької міської ради Рівненської області</t>
  </si>
  <si>
    <t>34700</t>
  </si>
  <si>
    <t>5623010100</t>
  </si>
  <si>
    <t>Корець</t>
  </si>
  <si>
    <t>(096)3322855</t>
  </si>
  <si>
    <t>Корецька загальноосвітня школа І-ІІІ ступенів № 1 Корецької міської ради Рівненської області</t>
  </si>
  <si>
    <t>вул. Київська, 60</t>
  </si>
  <si>
    <t>(03651)21991</t>
  </si>
  <si>
    <t>22564401</t>
  </si>
  <si>
    <t>Корецька загальноосвітня школа І-ІІІ ступенів № 3 Корецької міської ради Рівненської області</t>
  </si>
  <si>
    <t>22564418</t>
  </si>
  <si>
    <t>Корецький навчально-виховний комплекс "Школа І-ІІ ступенів - Ліцей" Корецької районної ради Рівненської області</t>
  </si>
  <si>
    <t>вул. Київська, 71</t>
  </si>
  <si>
    <t>(03651)21739</t>
  </si>
  <si>
    <t>25894547</t>
  </si>
  <si>
    <t>Богданівський навчально-виховний комплекс "Загальноосвітня школа І-ІІ ступенів - дошкільний навчальний заклад"</t>
  </si>
  <si>
    <t>34744</t>
  </si>
  <si>
    <t>5623080402</t>
  </si>
  <si>
    <t>(097)4123090</t>
  </si>
  <si>
    <t>24173136</t>
  </si>
  <si>
    <t>Черницька загальноосвітня школа І-ІІ ступенів Корецької районної ради Рівненської області</t>
  </si>
  <si>
    <t>5623080403</t>
  </si>
  <si>
    <t>(036)2-57-24</t>
  </si>
  <si>
    <t>24172390</t>
  </si>
  <si>
    <t>Великоклецьківський навчально виховний комплекс "загальноосвітня школа І-ІІІ ступенів - дошкільний навчальний заклад" Корецької районної ради Рівненської області</t>
  </si>
  <si>
    <t>34712</t>
  </si>
  <si>
    <t>5623080801</t>
  </si>
  <si>
    <t>Велика Клецька</t>
  </si>
  <si>
    <t>25415</t>
  </si>
  <si>
    <t>24175709</t>
  </si>
  <si>
    <t>Великомежиріцький навчально-виховний комплекс "Школа І ступеня-гімназія"</t>
  </si>
  <si>
    <t>34725</t>
  </si>
  <si>
    <t>5623081001</t>
  </si>
  <si>
    <t>Великі Межирічі</t>
  </si>
  <si>
    <t>(0351)31372</t>
  </si>
  <si>
    <t>http://vmg.besaba.com/</t>
  </si>
  <si>
    <t>22564393</t>
  </si>
  <si>
    <t>Комунальний заклад "Великомежиріцька спеціальна загальноосвітня школа-інтернат І-ІІ ступенів" Рівненської обласної ради</t>
  </si>
  <si>
    <t>(03651)31155</t>
  </si>
  <si>
    <t>22564370</t>
  </si>
  <si>
    <t>Дивенський навчально-виховний комплекс "Школа І ступеня-дошкільний навчальний заклад" Корецької районної ради Рівненської області</t>
  </si>
  <si>
    <t>5623081003</t>
  </si>
  <si>
    <t>Дивень</t>
  </si>
  <si>
    <t>вул. Церковна, 30А</t>
  </si>
  <si>
    <t>(097)4217268</t>
  </si>
  <si>
    <t>Колодіївський навчально-виховний комплекс "Загальноосвітня школа І ступеня-дошкільний навчальний заклад" Великомежиріцької сільської ради Рівненської області</t>
  </si>
  <si>
    <t>5623081007</t>
  </si>
  <si>
    <t>вул. Шкільна, 32А</t>
  </si>
  <si>
    <t>(096)9097656</t>
  </si>
  <si>
    <t>Веснянська загальноосвітня школа І-ІІІ ступенів Корецької районної ради Рівненської області</t>
  </si>
  <si>
    <t>34713</t>
  </si>
  <si>
    <t>5623081401</t>
  </si>
  <si>
    <t>вул. Корецька, 50</t>
  </si>
  <si>
    <t>(3651)25110</t>
  </si>
  <si>
    <t>24172935</t>
  </si>
  <si>
    <t>Гвіздівська загальноосвітня школа І-ІІ ступенів Корецької районної ради Рівненської області</t>
  </si>
  <si>
    <t>34706</t>
  </si>
  <si>
    <t>5623081601</t>
  </si>
  <si>
    <t>Гвіздів</t>
  </si>
  <si>
    <t>вул. Перемоги, 43</t>
  </si>
  <si>
    <t>(03651)21624</t>
  </si>
  <si>
    <t>22564430</t>
  </si>
  <si>
    <t>Головницька загальноосвітня школа І-ІІІ ступенів Корецької районної ради</t>
  </si>
  <si>
    <t>34742</t>
  </si>
  <si>
    <t>5623081801</t>
  </si>
  <si>
    <t>Головниця</t>
  </si>
  <si>
    <t>(03651)26246</t>
  </si>
  <si>
    <t>http://schulegolovnica.korets.com.ua</t>
  </si>
  <si>
    <t>22564447</t>
  </si>
  <si>
    <t>Калинівський навчально-виховний комплекс "Дошкільний навчальний заклад-загальноосвітня школа І ст." Корецького району Рівненської області</t>
  </si>
  <si>
    <t>5623081803</t>
  </si>
  <si>
    <t>(34742)0974071707</t>
  </si>
  <si>
    <t>Даничівський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</si>
  <si>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34741</t>
  </si>
  <si>
    <t>5623082001</t>
  </si>
  <si>
    <t>Даничів</t>
  </si>
  <si>
    <t>(068)6476694</t>
  </si>
  <si>
    <t>22564482</t>
  </si>
  <si>
    <t>Старокорецький НВК "Загальноосвітня школа І-ІІ ступенів-дошкільний навчальний заклад" Корецької районної ради Рівненської області</t>
  </si>
  <si>
    <t>34708</t>
  </si>
  <si>
    <t>5623082202</t>
  </si>
  <si>
    <t>Старий Корець</t>
  </si>
  <si>
    <t>(03651)23578</t>
  </si>
  <si>
    <t>24171735</t>
  </si>
  <si>
    <t>Залізницька загальноосвітня школа І ступеня</t>
  </si>
  <si>
    <t>34724</t>
  </si>
  <si>
    <t>5623082601</t>
  </si>
  <si>
    <t>0989431127</t>
  </si>
  <si>
    <t>Іванівська Загальноосвітня школа І-ІІ ступеня Корецької районої ради Рівненської області</t>
  </si>
  <si>
    <t>34734</t>
  </si>
  <si>
    <t>5623083001</t>
  </si>
  <si>
    <t>Коловертівський навчально-виховний комплекс "Загальноосвітня школа I-II ступенів - дошкільний навчальний заклад" Корецької районної ради Рівненської області</t>
  </si>
  <si>
    <t>34722</t>
  </si>
  <si>
    <t>5623083401</t>
  </si>
  <si>
    <t>Коловерти</t>
  </si>
  <si>
    <t>0984457349</t>
  </si>
  <si>
    <t>22564387</t>
  </si>
  <si>
    <t>Користівський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</si>
  <si>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34740</t>
  </si>
  <si>
    <t>5623084201</t>
  </si>
  <si>
    <t>Користь</t>
  </si>
  <si>
    <t>вул. Тиха, 16А</t>
  </si>
  <si>
    <t>(03651)26650</t>
  </si>
  <si>
    <t>24171278</t>
  </si>
  <si>
    <t>Крилівська загальноосвітня школа І-ІІІступенів Корецької районної ради Рівненської області</t>
  </si>
  <si>
    <t>34746</t>
  </si>
  <si>
    <t>5623084701</t>
  </si>
  <si>
    <t>Крилів</t>
  </si>
  <si>
    <t>вул. 40-річчя Перемоги, 8</t>
  </si>
  <si>
    <t>(03651)2-67-71</t>
  </si>
  <si>
    <t>22564462</t>
  </si>
  <si>
    <t>Морозівська загальноосвітня школа І-ІІІ ступенів</t>
  </si>
  <si>
    <t>34709</t>
  </si>
  <si>
    <t>5623085201</t>
  </si>
  <si>
    <t>вул. шкільна, 14</t>
  </si>
  <si>
    <t>(036)26431</t>
  </si>
  <si>
    <t>24173290</t>
  </si>
  <si>
    <t>Невірківський навчально - виховний комплекс "Загальноосвітня школа І -ІІІ ступенів - дошкільний навчальний заклад" Корецької районної ради Рівненської області</t>
  </si>
  <si>
    <t>34721</t>
  </si>
  <si>
    <t>5623085601</t>
  </si>
  <si>
    <t>Невірків</t>
  </si>
  <si>
    <t>24172674</t>
  </si>
  <si>
    <t>Жорнівська загальноосвітня школа І ступеня Корецької районної ради Рівненської області</t>
  </si>
  <si>
    <t>5623085602</t>
  </si>
  <si>
    <t>Жорнівка</t>
  </si>
  <si>
    <t>0963149064</t>
  </si>
  <si>
    <t>Новокорецька загальноосвітня школа І-ІІІ ступенів Корецької районної ради Рівненської області</t>
  </si>
  <si>
    <t>34705</t>
  </si>
  <si>
    <t>5623086001</t>
  </si>
  <si>
    <t>Новий Корець</t>
  </si>
  <si>
    <t>(03651)21316</t>
  </si>
  <si>
    <t>24171746</t>
  </si>
  <si>
    <t>Річецький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</si>
  <si>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34745</t>
  </si>
  <si>
    <t>5623086301</t>
  </si>
  <si>
    <t>вул. Т.Шевченка, 8</t>
  </si>
  <si>
    <t>(03651)26325</t>
  </si>
  <si>
    <t>24171491</t>
  </si>
  <si>
    <t>Копитівський навчально-виховний комплекс "Загальноосвітня школа І-ІІІ ступенів - Дошкільний навчальний заклад"</t>
  </si>
  <si>
    <t>5623086304</t>
  </si>
  <si>
    <t>Копитів</t>
  </si>
  <si>
    <t>24171723</t>
  </si>
  <si>
    <t>Самострілівський НВК</t>
  </si>
  <si>
    <t>5623086501</t>
  </si>
  <si>
    <t>Самостріли</t>
  </si>
  <si>
    <t>(096)7781973</t>
  </si>
  <si>
    <t>22564453</t>
  </si>
  <si>
    <t>Сапожинський навчально-виховний комплекс "Загальноосвітня школа І-ІІ ступенів-дошкільний навчальний заклад"</t>
  </si>
  <si>
    <t>34733</t>
  </si>
  <si>
    <t>5623086701</t>
  </si>
  <si>
    <t>Сапожин</t>
  </si>
  <si>
    <t>068-03-01-870, 5-55-12</t>
  </si>
  <si>
    <t>24172295</t>
  </si>
  <si>
    <t>Світанівський навчально-виховний комплекс "Загальноосвітня школа І - ІІ ступенів - дошкільний навчальний заклад" Корецької районної ради Рівненської області</t>
  </si>
  <si>
    <t>34730</t>
  </si>
  <si>
    <t>5623086901</t>
  </si>
  <si>
    <t>(03651)34438</t>
  </si>
  <si>
    <t>http://Switanok.ucoz.ua</t>
  </si>
  <si>
    <t>24175721</t>
  </si>
  <si>
    <t>Стовпинський навчально-виховний комплекс "Загальноосвітня школа І-ІІ ступенів дошкільний навчальний заклад"</t>
  </si>
  <si>
    <t>34731</t>
  </si>
  <si>
    <t>5623087401</t>
  </si>
  <si>
    <t>(0362)36714</t>
  </si>
  <si>
    <t>24173260</t>
  </si>
  <si>
    <t>Сторожівський навчально-виховний камплекс"Загальноосвітня школа І-ІІступенів -дошкільний навчальний заклад"</t>
  </si>
  <si>
    <t>34714</t>
  </si>
  <si>
    <t>5623087501</t>
  </si>
  <si>
    <t>Сторожів</t>
  </si>
  <si>
    <t>(03751)24532</t>
  </si>
  <si>
    <t>24173254</t>
  </si>
  <si>
    <t>Устянська загальноосвітня школа І-ІІІ ступенів Корецької районної ради Рівненської області</t>
  </si>
  <si>
    <t>34710</t>
  </si>
  <si>
    <t>5623087901</t>
  </si>
  <si>
    <t>вул. Шевченка, 129</t>
  </si>
  <si>
    <t>(097)6046498</t>
  </si>
  <si>
    <t>24171568</t>
  </si>
  <si>
    <t>Дерманська загальноосвітня школа І ступеня Корецької районної ради Рівненської області</t>
  </si>
  <si>
    <t>5623087902</t>
  </si>
  <si>
    <t>Дерманка</t>
  </si>
  <si>
    <t>(068)0054109</t>
  </si>
  <si>
    <t>Харалузька загальноосвітня школа І-ІІ ступенів Корецькох районної ради Рівненської області</t>
  </si>
  <si>
    <t>34723</t>
  </si>
  <si>
    <t>5623088401</t>
  </si>
  <si>
    <t>Харалуг</t>
  </si>
  <si>
    <t>(03651)25422</t>
  </si>
  <si>
    <t>24171195</t>
  </si>
  <si>
    <t>Щекичинська ЗШ І-ІІ ступенів Корецької районної ради</t>
  </si>
  <si>
    <t>34720</t>
  </si>
  <si>
    <t>5623088801</t>
  </si>
  <si>
    <t>Щекичин</t>
  </si>
  <si>
    <t>24171309</t>
  </si>
  <si>
    <t>Малосовпівська загальноосвітня школа І-ІІ ступенів Корецької районної ради Рівненської області</t>
  </si>
  <si>
    <t>5623088802</t>
  </si>
  <si>
    <t>Мала Совпа</t>
  </si>
  <si>
    <t>наб. Набережна, 11А</t>
  </si>
  <si>
    <t>(38098)7895108</t>
  </si>
  <si>
    <t>24171870</t>
  </si>
  <si>
    <t>Комунальний заклад "Костопільська спеціальна загальноосвітня школа-інтернат І-ІІ ступенів" Рівненської обласної ради</t>
  </si>
  <si>
    <t>35000</t>
  </si>
  <si>
    <t>5623410100</t>
  </si>
  <si>
    <t>Костопіль</t>
  </si>
  <si>
    <t>пров. Пушкіна, 3</t>
  </si>
  <si>
    <t>(03657)22989, (03657)21783</t>
  </si>
  <si>
    <t>http://spec-school.rv.ua</t>
  </si>
  <si>
    <t>21087643</t>
  </si>
  <si>
    <t>комунальний заклад "Костопільський обласний ліцей-інтернат ІІ-ІІІ ступенів фізичної культури і спорту" Рівненської обласної ради</t>
  </si>
  <si>
    <t>(03657)21080, (03657)22060, (03657)21958</t>
  </si>
  <si>
    <t>http://www.kolifks.rv.ua</t>
  </si>
  <si>
    <t>26009837</t>
  </si>
  <si>
    <t>Костопільська загальноосвітня школа № 3 І-ІІІ ступенів Костопільської районної ради Рівненської області</t>
  </si>
  <si>
    <t>(03657)21736</t>
  </si>
  <si>
    <t>Костопільська загальноосвітня школа № 9 І ступеня Костопільської районної ради Рівненської області</t>
  </si>
  <si>
    <t>вул. Клима Савури, 12</t>
  </si>
  <si>
    <t>(03657)25363</t>
  </si>
  <si>
    <t>Костопільська загальноосвітня школа І-ІІ ступенів № 8 Костопільської районної ради Рівненської області</t>
  </si>
  <si>
    <t>(03657)22885</t>
  </si>
  <si>
    <t>http://zoch8kost.ucoz.ua</t>
  </si>
  <si>
    <t>Костопільська загальноосвітня школа І-ІІІ ступенів № 2 Костопільської районної ради Рівненської області</t>
  </si>
  <si>
    <t>вул. Чубинського, 6</t>
  </si>
  <si>
    <t>2-18-30</t>
  </si>
  <si>
    <t>36950859</t>
  </si>
  <si>
    <t>Костопільська загальноосвітня школа І-ІІІ ступенів № 4 Костопільської районної ради Рівненської обл</t>
  </si>
  <si>
    <t>вул. О.Лятуринської, 15</t>
  </si>
  <si>
    <t>(03657)21374, (03657)22976</t>
  </si>
  <si>
    <t>http://zosch4.at.ua</t>
  </si>
  <si>
    <t>Костопільська загальноосвітня школа-комплекс І-ІІІ ступенів № 6 Костопільської районної ради Рівненської області</t>
  </si>
  <si>
    <t>вул. Юрія Жилка, 3</t>
  </si>
  <si>
    <t>(03657)2-11-10, (03657)2-29-26</t>
  </si>
  <si>
    <t>http://kostznz6.com.ua/</t>
  </si>
  <si>
    <t>22584094</t>
  </si>
  <si>
    <t>Костопільська загальньоосвітня школа І-ІІІ ступенів № 5 Костопільської районної ради Рівненської області</t>
  </si>
  <si>
    <t>вул. Сидорова, 1А</t>
  </si>
  <si>
    <t>(03657)21003, (03657)21425</t>
  </si>
  <si>
    <t>Костопільський навчально-виховний комплекс "Загальноосвітня школа І ступеня - гімназія ім. Т. Г. Шевченка" Костопільської районної ради Рівненської області</t>
  </si>
  <si>
    <t>вул. Грушевського1, 11</t>
  </si>
  <si>
    <t>(03657)21964</t>
  </si>
  <si>
    <t>Великомидська загальноосвітня школа І - ІІІ ступенів Костопільської районної ради Рівненської області</t>
  </si>
  <si>
    <t>35012</t>
  </si>
  <si>
    <t>5623480401</t>
  </si>
  <si>
    <t>Великий Мидськ</t>
  </si>
  <si>
    <t>вул. пр. Шкільний, 7</t>
  </si>
  <si>
    <t>(03257)67729</t>
  </si>
  <si>
    <t>24170706</t>
  </si>
  <si>
    <t>Великостидинська загальноосвітня школа І-ІІ ступенів Костопільського району Рівненської області</t>
  </si>
  <si>
    <t>35015</t>
  </si>
  <si>
    <t>5623480601</t>
  </si>
  <si>
    <t>Великий Стидин</t>
  </si>
  <si>
    <t>52-2-25</t>
  </si>
  <si>
    <t>Головинська загальноосвітня школа І-ІІІ ступенів Костопільської районної ради Рівненської області</t>
  </si>
  <si>
    <t>35041</t>
  </si>
  <si>
    <t>5623480801</t>
  </si>
  <si>
    <t>Головин</t>
  </si>
  <si>
    <t>вул. В. Прищепи, 22</t>
  </si>
  <si>
    <t>(03657)53397</t>
  </si>
  <si>
    <t>Базальтівська загальноосвітня школа І ступеня</t>
  </si>
  <si>
    <t>35042</t>
  </si>
  <si>
    <t>5623480802</t>
  </si>
  <si>
    <t>Базальтове</t>
  </si>
  <si>
    <t>Берестовецька загальноосвітня школа І-ІІІ ступенів Костопільської районної ради Рівненської області</t>
  </si>
  <si>
    <t>35043</t>
  </si>
  <si>
    <t>5623480803</t>
  </si>
  <si>
    <t>Берестовець</t>
  </si>
  <si>
    <t>вул. Сидорова, 5</t>
  </si>
  <si>
    <t>(03657)6-66-28</t>
  </si>
  <si>
    <t>Іваницька загальносвітня школа І-ІІ ступенів Костопільської районної ради Рівненської області</t>
  </si>
  <si>
    <t>35063</t>
  </si>
  <si>
    <t>5623480804</t>
  </si>
  <si>
    <t>вул. Костопільська, 63</t>
  </si>
  <si>
    <t>(03657)62640</t>
  </si>
  <si>
    <t>Гутянська загальноосвітня школа І-ІІІ ступенів Костопільської районної ради Рівненської області</t>
  </si>
  <si>
    <t>35010</t>
  </si>
  <si>
    <t>5623481201</t>
  </si>
  <si>
    <t>(03657)64425</t>
  </si>
  <si>
    <t>http://gutaschool.ucoz.ua</t>
  </si>
  <si>
    <t>Деражненська загальнооосвітня школа І-ІІІ ступенів Деражненської сільської ради Костопільського району ради Рівненської області</t>
  </si>
  <si>
    <t>35053</t>
  </si>
  <si>
    <t>5623481601</t>
  </si>
  <si>
    <t>Деражне</t>
  </si>
  <si>
    <t>вул. Шевченка, 43А</t>
  </si>
  <si>
    <t>(03657)31450</t>
  </si>
  <si>
    <t>http://skder.at.ua</t>
  </si>
  <si>
    <t>35724185</t>
  </si>
  <si>
    <t>Бичальська загальноосвітня школа І-ІІ ступенів Деражненської сільської ради Костопільского району Рівненської області</t>
  </si>
  <si>
    <t>35054</t>
  </si>
  <si>
    <t>5623481602</t>
  </si>
  <si>
    <t>Бичаль</t>
  </si>
  <si>
    <t>вул. Кондратюка, 41</t>
  </si>
  <si>
    <t>6-64-41</t>
  </si>
  <si>
    <t>Дюксинська загальноосвітня школа І-ІІІ ступенів Костопільської районної ради Рівненської області</t>
  </si>
  <si>
    <t>35055</t>
  </si>
  <si>
    <t>5623482001</t>
  </si>
  <si>
    <t>Дюксин</t>
  </si>
  <si>
    <t>вул. Шкільна, 42 а</t>
  </si>
  <si>
    <t>35779260</t>
  </si>
  <si>
    <t>Жильжанська загальноосвітня школа І-ІІ ступенів Костопільської районної ради Рівненської області</t>
  </si>
  <si>
    <t>5623482002</t>
  </si>
  <si>
    <t>Жильжа</t>
  </si>
  <si>
    <t>(03657)63255, (067)1524822</t>
  </si>
  <si>
    <t>http://zhylzhaschool.ucoz.ua</t>
  </si>
  <si>
    <t>Звіздівська загальноосвітня школа І-ІІІ ступенів Костопільської районної ради Рівненської області</t>
  </si>
  <si>
    <t>35051</t>
  </si>
  <si>
    <t>5623482601</t>
  </si>
  <si>
    <t>Звіздівка</t>
  </si>
  <si>
    <t>вул. Героїв УПА, 32</t>
  </si>
  <si>
    <t>(03657)6-36-19</t>
  </si>
  <si>
    <t>http://zvizdivkaschool.at.ua/</t>
  </si>
  <si>
    <t>13979853</t>
  </si>
  <si>
    <t>Ставецька загальноосвітня школа І-ІІ ступенів Костопільської районної ради Рівненської області</t>
  </si>
  <si>
    <t>35052</t>
  </si>
  <si>
    <t>5623482603</t>
  </si>
  <si>
    <t>(03657)63625</t>
  </si>
  <si>
    <t>Злазненська загальноосвітня школа І-ІІІ ступенів Костопільської районної ради Рівненської області</t>
  </si>
  <si>
    <t>35040</t>
  </si>
  <si>
    <t>5623483001</t>
  </si>
  <si>
    <t>Злазне</t>
  </si>
  <si>
    <t>(03657)57589</t>
  </si>
  <si>
    <t>http://zlaznenska-zosh.webnode.com.ua/</t>
  </si>
  <si>
    <t>35826818</t>
  </si>
  <si>
    <t>Перетоцька загальноосвітня школа І-ІІ ступенів Костопільської районної ради Рівненської області</t>
  </si>
  <si>
    <t>5623483005</t>
  </si>
  <si>
    <t>(03657)57526</t>
  </si>
  <si>
    <t>Золотолинська загальноосвітня школа І - ІІІ ступенів Костопільської районної ради Рівненської області</t>
  </si>
  <si>
    <t>35016</t>
  </si>
  <si>
    <t>5623483401</t>
  </si>
  <si>
    <t>Золотолин</t>
  </si>
  <si>
    <t>вул. Гомелюка, 33,А</t>
  </si>
  <si>
    <t>(16416)036-57-26623</t>
  </si>
  <si>
    <t>Малолюбаська загальноосвітня школа І-ІІ ступенів Костопільської районної ради Рівненської області</t>
  </si>
  <si>
    <t>35009</t>
  </si>
  <si>
    <t>5623483901</t>
  </si>
  <si>
    <t>Мала Любаша</t>
  </si>
  <si>
    <t>(3657)64432</t>
  </si>
  <si>
    <t>Борщівська загальноосвітня школа І-ІІ ступенів Костопільської районної ради Рівненської області</t>
  </si>
  <si>
    <t>35061</t>
  </si>
  <si>
    <t>5623483902</t>
  </si>
  <si>
    <t>Борщівка</t>
  </si>
  <si>
    <t>вул. Шевченка, 61А</t>
  </si>
  <si>
    <t>Маломидська загальноосвітня школа І-ІІІ ступенів Костопільської районної ради Рівненської області</t>
  </si>
  <si>
    <t>35013</t>
  </si>
  <si>
    <t>5623484201</t>
  </si>
  <si>
    <t>Малий Мидськ</t>
  </si>
  <si>
    <t>вул. Шевченка, 88</t>
  </si>
  <si>
    <t>(03657)64249</t>
  </si>
  <si>
    <t>24171657</t>
  </si>
  <si>
    <t>Малостидинська загальноосвітня школа І-ІІІ ступенів Костопільської районної ради Рівненської області</t>
  </si>
  <si>
    <t>35014</t>
  </si>
  <si>
    <t>5623484601</t>
  </si>
  <si>
    <t>Малий Стидин</t>
  </si>
  <si>
    <t>вул. Сільська, 1</t>
  </si>
  <si>
    <t>(036)5764584</t>
  </si>
  <si>
    <t>Мащанська загальноосвітня школа І-ІІІ ступенів Костопільської районної ради Рівненської області</t>
  </si>
  <si>
    <t>35044</t>
  </si>
  <si>
    <t>5623485001</t>
  </si>
  <si>
    <t>Маща</t>
  </si>
  <si>
    <t>вул. Центральна, 61А</t>
  </si>
  <si>
    <t>(03657)51136</t>
  </si>
  <si>
    <t>24171628</t>
  </si>
  <si>
    <t>Мирненська загальноосвітня школа І-ІІІ ступенів Костопільської районної ради Рівненської області</t>
  </si>
  <si>
    <t>35030</t>
  </si>
  <si>
    <t>5623485401</t>
  </si>
  <si>
    <t>вул. Радянська, 53</t>
  </si>
  <si>
    <t>(03657)54445</t>
  </si>
  <si>
    <t>13979876</t>
  </si>
  <si>
    <t>Данчимістська загальноосвітня школа І-ІІ ступенів Костопільської районної ради Рівненської області</t>
  </si>
  <si>
    <t>35062</t>
  </si>
  <si>
    <t>5623485402</t>
  </si>
  <si>
    <t>Данчиміст</t>
  </si>
  <si>
    <t>(03657)5-43-10</t>
  </si>
  <si>
    <t>http://schoolsystem.gear.host/</t>
  </si>
  <si>
    <t>Пеньківська загальноосвітня школа І-ІІ ступенів Пісківської сільської ради Костопільського району Рівненської області</t>
  </si>
  <si>
    <t>35020</t>
  </si>
  <si>
    <t>5623486001</t>
  </si>
  <si>
    <t>Пеньків</t>
  </si>
  <si>
    <t>http://penkivschool.ucoz.ua/</t>
  </si>
  <si>
    <t>Пісківська загальноосвітня школа І-ІІІ ступенів Пісківської сільської ради Костопільського району Рівненської області</t>
  </si>
  <si>
    <t>35032</t>
  </si>
  <si>
    <t>5623486501</t>
  </si>
  <si>
    <t>Пісків</t>
  </si>
  <si>
    <t>(03657)55531</t>
  </si>
  <si>
    <t>http://www.skpiskiv.osvitakost.rv.ua</t>
  </si>
  <si>
    <t>Моквинська загальноосвітня школа І-ІІ ступенів Пісківської сільської ради Костопільського району Рівненської області</t>
  </si>
  <si>
    <t>35031</t>
  </si>
  <si>
    <t>5623486502</t>
  </si>
  <si>
    <t>Моквинські Хутори</t>
  </si>
  <si>
    <t>0966115045</t>
  </si>
  <si>
    <t>Великолюбаська загальноосвітня школа І-ІІІ ступенів Костопільської районної ради Рівненської області</t>
  </si>
  <si>
    <t>35024</t>
  </si>
  <si>
    <t>5623486901</t>
  </si>
  <si>
    <t>Підлужне</t>
  </si>
  <si>
    <t>ал. вул. Жовтнева, 1</t>
  </si>
  <si>
    <t>24170557</t>
  </si>
  <si>
    <t>Постійненська загальноосвітня школа І-ІІІ ступенів Деражненської сільської ради Костопільського району Рівненської області</t>
  </si>
  <si>
    <t>35050</t>
  </si>
  <si>
    <t>5623487401</t>
  </si>
  <si>
    <t>Постійне</t>
  </si>
  <si>
    <t>((03657))63189</t>
  </si>
  <si>
    <t>http://postiyne-school.osvitakost.rv.ua</t>
  </si>
  <si>
    <t>Яполотьська загальноосвітня школа І-ІІІ ступенів Костопільської районної ради Рівненської області</t>
  </si>
  <si>
    <t>35021</t>
  </si>
  <si>
    <t>5623487801</t>
  </si>
  <si>
    <t>Яполоть</t>
  </si>
  <si>
    <t>(03657)57726</t>
  </si>
  <si>
    <t>http://japolotshcool.at.ua</t>
  </si>
  <si>
    <t>Жалинська загальноосвітня школа І-ІІ ступенів Костопільської районної ради Рівненської області</t>
  </si>
  <si>
    <t>35022</t>
  </si>
  <si>
    <t>5623487803</t>
  </si>
  <si>
    <t>Жалин</t>
  </si>
  <si>
    <t>вул. Набережна, 88</t>
  </si>
  <si>
    <t>(096)5560954</t>
  </si>
  <si>
    <t>Млинівська гуманітарна гімназія Млинівської селищної ради Рівненської області</t>
  </si>
  <si>
    <t>35100</t>
  </si>
  <si>
    <t>5623855100</t>
  </si>
  <si>
    <t>Млинів</t>
  </si>
  <si>
    <t>вул. Олексія Кірися, 27</t>
  </si>
  <si>
    <t>(03659)63289</t>
  </si>
  <si>
    <t>http://mgg.mlyniv.rv.ua</t>
  </si>
  <si>
    <t>Млинівська загальноосвітня школа І-ІІІ ступенів № 3 Млинівської селищної ради Рівненської області</t>
  </si>
  <si>
    <t>(03659)63575, (03659)63180</t>
  </si>
  <si>
    <t>http://www.mlynivschool3.at.ua</t>
  </si>
  <si>
    <t>25318944</t>
  </si>
  <si>
    <t>Млинівська загальноосвітня школа І-ІІІ ступенів № 1 Млинівської селищної ради Рівненської області</t>
  </si>
  <si>
    <t>вул. Народна, 14</t>
  </si>
  <si>
    <t>(03659)63867, (03659)65199</t>
  </si>
  <si>
    <t>Берегівська загальноосвітня школа І-ІІІ ступенів Млинівської селищної ради Рівненської області</t>
  </si>
  <si>
    <t>35109</t>
  </si>
  <si>
    <t>5623880301</t>
  </si>
  <si>
    <t>(03659)76340</t>
  </si>
  <si>
    <t>Бокіймівська загальноосвітня школа І - ІІІ ступенів Млинівської районної ради Рівненської області</t>
  </si>
  <si>
    <t>35162</t>
  </si>
  <si>
    <t>5623880501</t>
  </si>
  <si>
    <t>Бокійма</t>
  </si>
  <si>
    <t>(03659)75497</t>
  </si>
  <si>
    <t>http://bokiyma-chkola.at.ua</t>
  </si>
  <si>
    <t>Владиславівська філія І-ІІ ступенів Млинівської загальноосвітньої школи І-ІІІ ступенів № 3 Млинівської селищної ради Рівненської області</t>
  </si>
  <si>
    <t>35152</t>
  </si>
  <si>
    <t>5623881301</t>
  </si>
  <si>
    <t>Владиславівка</t>
  </si>
  <si>
    <t>(03659)72298</t>
  </si>
  <si>
    <t>http://Vladislavivka-school.esy.es</t>
  </si>
  <si>
    <t>22553981</t>
  </si>
  <si>
    <t>Новоселівська загальноосвітня школа І - ІІІ ступенів Млинівської селищної ради Рівненської області</t>
  </si>
  <si>
    <t>35153</t>
  </si>
  <si>
    <t>5623881305</t>
  </si>
  <si>
    <t>вул. Млинівська, 1</t>
  </si>
  <si>
    <t>(03659)71213</t>
  </si>
  <si>
    <t>Вовницька загальноосвітня школа І-ІІ ступенів Млинівської районної ради Рівненської області</t>
  </si>
  <si>
    <t>35135</t>
  </si>
  <si>
    <t>5623881601</t>
  </si>
  <si>
    <t>Вовничі</t>
  </si>
  <si>
    <t>вул. Незалежності, 11 А</t>
  </si>
  <si>
    <t>0(369)97-35-34</t>
  </si>
  <si>
    <t>24177967</t>
  </si>
  <si>
    <t>Війницька загальноосвітня школа І-ІІ ступенів Млинівської районної ради Рівненської області</t>
  </si>
  <si>
    <t>35137</t>
  </si>
  <si>
    <t>5623881801</t>
  </si>
  <si>
    <t>Війниця</t>
  </si>
  <si>
    <t>70436</t>
  </si>
  <si>
    <t>22569539</t>
  </si>
  <si>
    <t>Новинодобрятинська загальноосвітня школа І-ІІІ ступенів Млинівської селищної ради Рівненської області</t>
  </si>
  <si>
    <t>35136</t>
  </si>
  <si>
    <t>5623882302</t>
  </si>
  <si>
    <t>Новина-Добрятинська</t>
  </si>
  <si>
    <t>(03659)77356</t>
  </si>
  <si>
    <t>Довгошиївський навчально-виховний комплекс "Загальноосвітній навчальний заклад - дошкільний навчальний заклад" Млинівської селищної ради Рівненської області</t>
  </si>
  <si>
    <t>35121</t>
  </si>
  <si>
    <t>5623882601</t>
  </si>
  <si>
    <t>Довгошиї</t>
  </si>
  <si>
    <t>вул. Радянська, 23А</t>
  </si>
  <si>
    <t>(38036)5975748</t>
  </si>
  <si>
    <t>25317034</t>
  </si>
  <si>
    <t>Кораблищенська філія І ступеня Новоселівської загальнгоосвітньої школи І-ІІІ ступенів Млинівської селищної ради Рівненської області</t>
  </si>
  <si>
    <t>35151</t>
  </si>
  <si>
    <t>5623883801</t>
  </si>
  <si>
    <t>Кораблище</t>
  </si>
  <si>
    <t>вул. Загуменна, 19</t>
  </si>
  <si>
    <t>25317353</t>
  </si>
  <si>
    <t>Привітненська загальноосвітня школа І-ІІ ступенів Млинівської селищної ради Рівненської області</t>
  </si>
  <si>
    <t>35123</t>
  </si>
  <si>
    <t>5623884001</t>
  </si>
  <si>
    <t>(03659)72412</t>
  </si>
  <si>
    <t>Малинська загальноосвітня школа І-ІІ ступенів Острожецької сільської ради Млинівського району Рівненської області</t>
  </si>
  <si>
    <t>35114</t>
  </si>
  <si>
    <t>5623884701</t>
  </si>
  <si>
    <t>вул. Шкільльна, 1</t>
  </si>
  <si>
    <t>74251</t>
  </si>
  <si>
    <t>Малодорогостаївська ЗОШ I-III ступенів Млинівськоїселищної ради Рівненської області</t>
  </si>
  <si>
    <t>35108</t>
  </si>
  <si>
    <t>5623884901</t>
  </si>
  <si>
    <t>Малі Дорогостаї</t>
  </si>
  <si>
    <t>Новоукраїнська загальноосвітня школа І-ІІІ ступенів Млинівської районної ради Рівненської області</t>
  </si>
  <si>
    <t>35130</t>
  </si>
  <si>
    <t>5623885501</t>
  </si>
  <si>
    <t>вул. Дружби Народів, 158</t>
  </si>
  <si>
    <t>(03659)70630</t>
  </si>
  <si>
    <t>25318890</t>
  </si>
  <si>
    <t>Острожецький навчально-виховний комплекс Острожецької сільської ради Млинівського району Рівненської області</t>
  </si>
  <si>
    <t>35113</t>
  </si>
  <si>
    <t>5623885801</t>
  </si>
  <si>
    <t>Острожець</t>
  </si>
  <si>
    <t>(03659)51199</t>
  </si>
  <si>
    <t>Перемилівська філія І-ІІ ступенів Млинівської загальноосвітньої школи Млинівської селищної ради Рівненьської області</t>
  </si>
  <si>
    <t>35124</t>
  </si>
  <si>
    <t>5623886401</t>
  </si>
  <si>
    <t>Перемилівка</t>
  </si>
  <si>
    <t>(03659)71526</t>
  </si>
  <si>
    <t>Пітушківська філія І-ІІ ступенів Довгошиївського НВК Млинівської селищної ради Рівненської області</t>
  </si>
  <si>
    <t>35120</t>
  </si>
  <si>
    <t>5623886601</t>
  </si>
  <si>
    <t>Пітушків</t>
  </si>
  <si>
    <t>25317028</t>
  </si>
  <si>
    <t>Комунальний заклад "Підлозцівський навчально-виховний комплекс : дошкільний навчальний заклад - загальноосвітня школа І-ІІІ ступенів" Підлозцівської сільської ради Млинівського району Рівненської області</t>
  </si>
  <si>
    <t>35132</t>
  </si>
  <si>
    <t>5623886701</t>
  </si>
  <si>
    <t>Підлозці</t>
  </si>
  <si>
    <t>(03659)73211</t>
  </si>
  <si>
    <t>http://WWW.Pidlozetska-zosh.rv.sch.in.ua</t>
  </si>
  <si>
    <t>П'яннєвська загальноосвітня школа І-ІІ ступенів Острожецької сільської ради Млинівського району Рівненської області</t>
  </si>
  <si>
    <t>35186</t>
  </si>
  <si>
    <t>5623886801</t>
  </si>
  <si>
    <t>П'яннє</t>
  </si>
  <si>
    <t>вул. Молодіжна, 3Б</t>
  </si>
  <si>
    <t>(050)8602398</t>
  </si>
  <si>
    <t>25318281</t>
  </si>
  <si>
    <t>Миколаївська загальноосвітня школа І-ІІ ступенів Млинівської районної ради Рівненської області</t>
  </si>
  <si>
    <t>35171</t>
  </si>
  <si>
    <t>5623886901</t>
  </si>
  <si>
    <t>вул. Привітна, 2</t>
  </si>
  <si>
    <t>(03659)77-6-29</t>
  </si>
  <si>
    <t>Підгаєцька загальногосвітня школа І-ІІІ ступенів Млинівської районної ради Рівненської області</t>
  </si>
  <si>
    <t>35154</t>
  </si>
  <si>
    <t>5623887101</t>
  </si>
  <si>
    <t>(03659)79225</t>
  </si>
  <si>
    <t>Посниківська філія І-ІІ ступенів Довгошиївського НВК Млинівської селищної ради Рівненської області</t>
  </si>
  <si>
    <t>35122</t>
  </si>
  <si>
    <t>5623887301</t>
  </si>
  <si>
    <t>Посників</t>
  </si>
  <si>
    <t>(03659)74430</t>
  </si>
  <si>
    <t>Пугачівська загальноосвітня школа І-ІІІ ступенів Млинівської селищної ради Рівненської області</t>
  </si>
  <si>
    <t>35134</t>
  </si>
  <si>
    <t>5623887601</t>
  </si>
  <si>
    <t>Пугачівка</t>
  </si>
  <si>
    <t>вул. Нова, 5А</t>
  </si>
  <si>
    <t>(03659)71334</t>
  </si>
  <si>
    <t>http://puhschool.at.ua</t>
  </si>
  <si>
    <t>24177022</t>
  </si>
  <si>
    <t>Смордвівська загальноосвітня школа І-ІІІ ступенів Млинівської районної ради Рівненської області</t>
  </si>
  <si>
    <t>35160</t>
  </si>
  <si>
    <t>5623888501</t>
  </si>
  <si>
    <t>Смордва</t>
  </si>
  <si>
    <t>(03659)75144</t>
  </si>
  <si>
    <t>http://smordva.at.ua</t>
  </si>
  <si>
    <t>Комунальний заклад "Торговицький навчально-виховний комплекс: дошкільний навчальний заклад - загальноосвітня школа І-ІІІ ступенів" Підлозцівської сільської ради Рівненської області</t>
  </si>
  <si>
    <t>35133</t>
  </si>
  <si>
    <t>5623889001</t>
  </si>
  <si>
    <t>(03659)77225</t>
  </si>
  <si>
    <t>http://Torgovicaschool.ucoz.ua</t>
  </si>
  <si>
    <t>Уїздецька загальноосвітня школа І-ІІІ ступенів Острожецької сільської ради Млинівського району Рівненської області</t>
  </si>
  <si>
    <t>35115</t>
  </si>
  <si>
    <t>5623889201</t>
  </si>
  <si>
    <t>(0365)79626</t>
  </si>
  <si>
    <t>http://Uizdtsi-school.edukit.rv.ua</t>
  </si>
  <si>
    <t>Борбинська загальноосвітня школа І-ІІІ ступенів Острожецької сільської ради Млинівського району Рівненської області</t>
  </si>
  <si>
    <t>35182</t>
  </si>
  <si>
    <t>5623889202</t>
  </si>
  <si>
    <t>Борбин</t>
  </si>
  <si>
    <t>(036)5975707</t>
  </si>
  <si>
    <t>25315957</t>
  </si>
  <si>
    <t>Хорупанська загальноосвітня школа І-ІІ ступенів Млинівської районної ради Рівненської області</t>
  </si>
  <si>
    <t>35161</t>
  </si>
  <si>
    <t>5623889401</t>
  </si>
  <si>
    <t>Хорупань</t>
  </si>
  <si>
    <t>(097)0013932</t>
  </si>
  <si>
    <t>Ярославицький навчально-виховний комплекс "загальноосвітня школа І - ІІІ ступенів - дошкільний заклад" Млинівської районної ради Рівненської області</t>
  </si>
  <si>
    <t>35112</t>
  </si>
  <si>
    <t>5623889801</t>
  </si>
  <si>
    <t>Ярославичі</t>
  </si>
  <si>
    <t>(03659)77530</t>
  </si>
  <si>
    <t>Боремецька загальноосвітня школа І-ІІ ступенів Млинівської районної ради Рівненської області</t>
  </si>
  <si>
    <t>5623889802</t>
  </si>
  <si>
    <t>Боремець</t>
  </si>
  <si>
    <t>(096)0658248</t>
  </si>
  <si>
    <t>24177950</t>
  </si>
  <si>
    <t>Навчально-виховний комплекс "Білашівська ЗОШ І-ІІІ ступенів - дитячий садок" Острозької районної ради Рівненської області</t>
  </si>
  <si>
    <t>35842</t>
  </si>
  <si>
    <t>5624280401</t>
  </si>
  <si>
    <t>вул. Центральна, 44А</t>
  </si>
  <si>
    <t>0365457248</t>
  </si>
  <si>
    <t>Завизівська загальноосвітня школа І ступеня Острозької районної ради Рівненської області</t>
  </si>
  <si>
    <t>35811</t>
  </si>
  <si>
    <t>5624280801</t>
  </si>
  <si>
    <t>Бухарів</t>
  </si>
  <si>
    <t>0673927311</t>
  </si>
  <si>
    <t>Навчально - виховний комплекс "Михалківська загальноосвітння школа І - ІІ ступенів - дошкільний навчальний заклад (ясла - садок)" Острозької районної ради Рівненської області</t>
  </si>
  <si>
    <t>5624280803</t>
  </si>
  <si>
    <t>Михалківці</t>
  </si>
  <si>
    <t>0963956389</t>
  </si>
  <si>
    <t>Вельбівненська загальноосвітня школа І - ІІІ ступеня Острозької районної ради Рівненської області</t>
  </si>
  <si>
    <t>35809</t>
  </si>
  <si>
    <t>5624281201</t>
  </si>
  <si>
    <t>Вельбівно</t>
  </si>
  <si>
    <t>(03654)51229</t>
  </si>
  <si>
    <t>http://velbznz.url.ph</t>
  </si>
  <si>
    <t>Навчально-виховний комплекс"Верхівська загальноосвітня школа І-ІІ ступенів-дошкільний навчальний заклад (ясла-садок)" Острозької районної ради Рівненської області1</t>
  </si>
  <si>
    <t>35825</t>
  </si>
  <si>
    <t>5624281601</t>
  </si>
  <si>
    <t>Верхів</t>
  </si>
  <si>
    <t>(03654)7-12-15</t>
  </si>
  <si>
    <t>Навчально-виховний комплекс "Вілійська загальноосвітня школа І-ІІІ ступенів - дитячий садок" Острозької районної ради Рівненської області</t>
  </si>
  <si>
    <t>35852</t>
  </si>
  <si>
    <t>5624282001</t>
  </si>
  <si>
    <t>Вілія</t>
  </si>
  <si>
    <t>(03654)54-3-31</t>
  </si>
  <si>
    <t>Грем'яцька загальноосвітня школа І-ІІІ ступенів Острозької районної ради Рівненської області</t>
  </si>
  <si>
    <t>35841</t>
  </si>
  <si>
    <t>5624282801</t>
  </si>
  <si>
    <t>0365456263</t>
  </si>
  <si>
    <t>http://gremyache.at.ua</t>
  </si>
  <si>
    <t>24174816</t>
  </si>
  <si>
    <t>Навчально - виховний комплекс "Грозівська загальноосвітня школа І-ІІ ступенів - дошкільний навчальний заклад (ясла - садок)"</t>
  </si>
  <si>
    <t>5624282802</t>
  </si>
  <si>
    <t>Грозів</t>
  </si>
  <si>
    <t>(03654)56218</t>
  </si>
  <si>
    <t>http://грозів.інтер.net</t>
  </si>
  <si>
    <t>НВК "Кутянківська ЗОШ І-ІІІ ступенів-дитячий садок" Острозької районної ради Рівненської області</t>
  </si>
  <si>
    <t>35850</t>
  </si>
  <si>
    <t>5624283601</t>
  </si>
  <si>
    <t>Кутянка</t>
  </si>
  <si>
    <t>http://kutyanka.weebly.com</t>
  </si>
  <si>
    <t>Болотківська ЗОШ І ступеня</t>
  </si>
  <si>
    <t>5624283603</t>
  </si>
  <si>
    <t>Болотківці</t>
  </si>
  <si>
    <t>(068)0487256</t>
  </si>
  <si>
    <t>Навчально-виховний комплекс "Межиріцька загальноосвітня школа І-ІІІ ступенів - дошкільний навчальний заклад (дитячий садок)" Острозької районної ради Рівненської області</t>
  </si>
  <si>
    <t>35808</t>
  </si>
  <si>
    <t>5624284201</t>
  </si>
  <si>
    <t>вул. Вигін, 16А</t>
  </si>
  <si>
    <t>(03654)78225</t>
  </si>
  <si>
    <t>http://mezhirich-school.blogspot.com</t>
  </si>
  <si>
    <t>24175402</t>
  </si>
  <si>
    <t>Навчально - виховний комплекс "Слобідська загальноосвітня школа І ступеня - дошкільний навчальний заклад (ясла - садок)"</t>
  </si>
  <si>
    <t>5624284203</t>
  </si>
  <si>
    <t>вул. Велика Слобідка, 91</t>
  </si>
  <si>
    <t>(03654)3-16-90</t>
  </si>
  <si>
    <t>Навчально-виховний комплекс "Милятинська загальноосвітня школа І-ІІ ступенів -дошкільний навчальний заклад (ясла-садок)"</t>
  </si>
  <si>
    <t>35830</t>
  </si>
  <si>
    <t>5624284601</t>
  </si>
  <si>
    <t>(03654)62216</t>
  </si>
  <si>
    <t>Могилянівська загальноосвітня школа І-ІІІ ступенів Острозької районної ради Рівненської області</t>
  </si>
  <si>
    <t>35832</t>
  </si>
  <si>
    <t>5624285101</t>
  </si>
  <si>
    <t>Могиляни</t>
  </si>
  <si>
    <t>http://mogylyany.esy.es/</t>
  </si>
  <si>
    <t>Навчально-виховний комплекс "Мощаницька загальноосвітня школа І-ІІІ ступенів - дитячий садок"</t>
  </si>
  <si>
    <t>35833</t>
  </si>
  <si>
    <t>5624285301</t>
  </si>
  <si>
    <t>(03654)77-2-36</t>
  </si>
  <si>
    <t>Волосківська загальноосвітня школа І-ІІ ступенів, Острозької районної ради, Рівненської області</t>
  </si>
  <si>
    <t>5624285302</t>
  </si>
  <si>
    <t>Волосківці</t>
  </si>
  <si>
    <t>(3654)77215</t>
  </si>
  <si>
    <t>Курганівська загальноосвітня школа І-ІІ ступенів</t>
  </si>
  <si>
    <t>5624285303</t>
  </si>
  <si>
    <t>(03654)59415, (096)9480278</t>
  </si>
  <si>
    <t>комунальний заклад навчально - виховний комплекс "Новомалинська загальноосвітня школа І-ІІ ступенів - дошкільний навчальний заклад (ясла - садок)" імені Томаша Оскара Сосновського</t>
  </si>
  <si>
    <t>35843</t>
  </si>
  <si>
    <t>5624285601</t>
  </si>
  <si>
    <t>Новомалин</t>
  </si>
  <si>
    <t>вул. Пампощука, 45</t>
  </si>
  <si>
    <t>55231</t>
  </si>
  <si>
    <t>Навчально-виховний комплекс "Новородчицька загальноосвітня школа І ступеня -- дошкільний навчальний заклад (ясла-садок)"</t>
  </si>
  <si>
    <t>5624286001</t>
  </si>
  <si>
    <t>Новородчиці</t>
  </si>
  <si>
    <t>(03654)52-2-42</t>
  </si>
  <si>
    <t>Теремнівська ЗОШ І ступеня Острозької РДА</t>
  </si>
  <si>
    <t>5624286003</t>
  </si>
  <si>
    <t>Теремне</t>
  </si>
  <si>
    <t>вул. центральна, 51</t>
  </si>
  <si>
    <t>(096)0728499</t>
  </si>
  <si>
    <t>Навчально-виховний комплекс "Оженинська загальноосвітня школа І-ІІІ ступенів (ліцей) - дошкільний навчальний заклад (ясла-садок)" імені Тараса Григоровича Шевченка</t>
  </si>
  <si>
    <t>35821</t>
  </si>
  <si>
    <t>5624286401</t>
  </si>
  <si>
    <t>Оженин</t>
  </si>
  <si>
    <t>вул. Заводська, 4А</t>
  </si>
  <si>
    <t>http://оженин.інтер.net/</t>
  </si>
  <si>
    <t>36268423</t>
  </si>
  <si>
    <t>Навчально-виховний комплекс "Оженинська загальноосвітня школа І-ІІІ ступенів № 2 - дошкільний навчальний заклад (дитячий садок)" Острозької районної ради Рівненської області</t>
  </si>
  <si>
    <t>35820</t>
  </si>
  <si>
    <t>(03654)28246</t>
  </si>
  <si>
    <t>http://ozhenyn2.hol.es/</t>
  </si>
  <si>
    <t>24174868</t>
  </si>
  <si>
    <t>Навчально-виховний комплекс "Бродівська загальноосвітня школа І ступеня - дошкільний навчальний заклад (ясла-садок)" Острозької районної ради Рівненської області</t>
  </si>
  <si>
    <t>5624286402</t>
  </si>
  <si>
    <t>Бродів</t>
  </si>
  <si>
    <t>вул. Мирна, 35</t>
  </si>
  <si>
    <t>Навчально-виховний комплекс "Краївська загальноосвітня школа І-ІІ ст. - дитячий навчальний заклад (ясла-садок)"</t>
  </si>
  <si>
    <t>35823</t>
  </si>
  <si>
    <t>5624286403</t>
  </si>
  <si>
    <t>Країв</t>
  </si>
  <si>
    <t>вул. Тиха, 80</t>
  </si>
  <si>
    <t>(03654)43133</t>
  </si>
  <si>
    <t>Стадницька загальноосвітня школа І ступеня Острозької районної ради Рівненської області</t>
  </si>
  <si>
    <t>35822</t>
  </si>
  <si>
    <t>5624286404</t>
  </si>
  <si>
    <t>Стадники</t>
  </si>
  <si>
    <t>вул. Воїнів Інтернаціоналістів, 26 В</t>
  </si>
  <si>
    <t>Плосківська загальноосвітня школа І-ІІІ ступенів Острозької районної ради Рівненської області</t>
  </si>
  <si>
    <t>35826</t>
  </si>
  <si>
    <t>5624286701</t>
  </si>
  <si>
    <t>вул. Верхівська, 3</t>
  </si>
  <si>
    <t>(03654)61321</t>
  </si>
  <si>
    <t>Навчально-виховний комплекс "Почапківська загальноосвітня школа І-ІІ ступенів - дитячий садок" Острозької районної ради Рівненської області</t>
  </si>
  <si>
    <t>5624286901</t>
  </si>
  <si>
    <t>Почапки</t>
  </si>
  <si>
    <t>(03654)76237</t>
  </si>
  <si>
    <t>Розвазька загальноосвітня школа І-ІІІ ступенів Острозької районної ради Рівненської області</t>
  </si>
  <si>
    <t>35866</t>
  </si>
  <si>
    <t>5624287001</t>
  </si>
  <si>
    <t>Розваж</t>
  </si>
  <si>
    <t>50-2-33</t>
  </si>
  <si>
    <t>Навчально-виховний комплекс "Сіянцівська загальноосвітня школа І-ІІІ ступенів - дитячий садок" Острозької районної ради Рівненської області</t>
  </si>
  <si>
    <t>35812</t>
  </si>
  <si>
    <t>5624287101</t>
  </si>
  <si>
    <t>Сіянці</t>
  </si>
  <si>
    <t>вул. Ватутіна, 12</t>
  </si>
  <si>
    <t>75-3-53</t>
  </si>
  <si>
    <t>Навчально-виховний комплекс "Тесівська загальоносвітня школа І-ІІ ступенів - дитячий садок"</t>
  </si>
  <si>
    <t>35810</t>
  </si>
  <si>
    <t>5624287601</t>
  </si>
  <si>
    <t>Тесів</t>
  </si>
  <si>
    <t>мрн. вул.Центральна, 5</t>
  </si>
  <si>
    <t>(0365472)72243</t>
  </si>
  <si>
    <t>Українківська загальноосвітня школа І-ІІ ступенів Острозької районної ради Рівненської області</t>
  </si>
  <si>
    <t>35824</t>
  </si>
  <si>
    <t>5624288001</t>
  </si>
  <si>
    <t>вул. Шкільна, 25, а</t>
  </si>
  <si>
    <t>(03654)79390</t>
  </si>
  <si>
    <t>Хорівська загальноосвітня школа І - ІІІ ступенів Острозької районної ради Рівненської області</t>
  </si>
  <si>
    <t>35840</t>
  </si>
  <si>
    <t>5624288801</t>
  </si>
  <si>
    <t>(03654)73230</t>
  </si>
  <si>
    <t>24176726</t>
  </si>
  <si>
    <t>Квасилівський навчально-виховний комплекс "школа-ліцей" Рівненської районної ради Рівненської області</t>
  </si>
  <si>
    <t>35350</t>
  </si>
  <si>
    <t>5624655300</t>
  </si>
  <si>
    <t>Квасилів</t>
  </si>
  <si>
    <t>(0362)203400, (0362)204200</t>
  </si>
  <si>
    <t>Клеванська загальноосвітня школа № 1 І-ІІІ ступенів Рівненської районної ради Рівненської області</t>
  </si>
  <si>
    <t>35311</t>
  </si>
  <si>
    <t>5624655400</t>
  </si>
  <si>
    <t>Клевань</t>
  </si>
  <si>
    <t>(0362)27-61-15</t>
  </si>
  <si>
    <t>Клеванський навчально-виховний комплекс "школа-ліцей" Рівненської районної ради РівненськоЇ області</t>
  </si>
  <si>
    <t>35312</t>
  </si>
  <si>
    <t>вул. Заводська, 86</t>
  </si>
  <si>
    <t>(0362)71376, (0362)71550</t>
  </si>
  <si>
    <t>Комунальний заклад "Клеванська спеціальна загальноосвітня школа-інтернат № 1 І-ІІІ ступенів " Рівненської обласної ради</t>
  </si>
  <si>
    <t>http://klevanzir.rv.ua</t>
  </si>
  <si>
    <t>21087614</t>
  </si>
  <si>
    <t>Комунальний заклад "Клеванська спеціальна загальноосвітня школа-інтернат І-ІІ ступенів" Рівненської обласної ради</t>
  </si>
  <si>
    <t>вул. Заводська, 3</t>
  </si>
  <si>
    <t>(0362)27-12-80, (0362)27-12-89</t>
  </si>
  <si>
    <t>http://kshi.ucoz.ua</t>
  </si>
  <si>
    <t>22568669</t>
  </si>
  <si>
    <t>Комунальний заклад"Клеванська загальноосвітня санаторна школа-інтернат І-ІІІ ступенів" Рівненської обласної ради</t>
  </si>
  <si>
    <t>вул. Богдана Хмельницького, 47</t>
  </si>
  <si>
    <t>http://www.klevansbs.ho.ua/</t>
  </si>
  <si>
    <t>04590808</t>
  </si>
  <si>
    <t>Оржівський навчально - виховний комплекс "школа - колегіум" Рівненської районної ради, Рівненської області</t>
  </si>
  <si>
    <t>35313</t>
  </si>
  <si>
    <t>5624655700</t>
  </si>
  <si>
    <t>Оржів</t>
  </si>
  <si>
    <t>(0362)274147</t>
  </si>
  <si>
    <t>http://www.nvk-orzhiv.osvitahost.net</t>
  </si>
  <si>
    <t>Комунальний заклад "Олександрійська загальноосвітня школа-інтернат І-ІІІ ступенів" Рівненської обласної ради</t>
  </si>
  <si>
    <t>35320</t>
  </si>
  <si>
    <t>5624680401</t>
  </si>
  <si>
    <t>вул. Санаторна, 16</t>
  </si>
  <si>
    <t>(0362)273030</t>
  </si>
  <si>
    <t>http://alexandria.at.ua</t>
  </si>
  <si>
    <t>33095424</t>
  </si>
  <si>
    <t>Олександрійська загальноосвітня школа І-ІІІ ступенів Рівненської районної ради Рівненської області</t>
  </si>
  <si>
    <t>вул. Молодіжна, 5 Г</t>
  </si>
  <si>
    <t>(0362)273288, (0362)273322</t>
  </si>
  <si>
    <t>http://olexsandriazosh.wordpress.com</t>
  </si>
  <si>
    <t>Новолюбомирський НВК "школа-ліцей"</t>
  </si>
  <si>
    <t>35321</t>
  </si>
  <si>
    <t>5624680405</t>
  </si>
  <si>
    <t>Нова Любомирка</t>
  </si>
  <si>
    <t>вул. Стуса, 2</t>
  </si>
  <si>
    <t>(0362)278976</t>
  </si>
  <si>
    <t>Білокриницька загальноосвітня школа І-ІІІ ступенів Рівненської районної ради Рівненської області</t>
  </si>
  <si>
    <t>35342</t>
  </si>
  <si>
    <t>5624680701</t>
  </si>
  <si>
    <t>вул. Радгоспна, 45</t>
  </si>
  <si>
    <t>(0362)270709, (0362)270779</t>
  </si>
  <si>
    <t>Глинківська загальноосвітня школа І-ІІ ступенів</t>
  </si>
  <si>
    <t>5624680705</t>
  </si>
  <si>
    <t>Глинки</t>
  </si>
  <si>
    <t>(0362)270638</t>
  </si>
  <si>
    <t>Бронницька загальноосвітня школа І-ІІ ступенів Рівненської районної ради Рівненської області</t>
  </si>
  <si>
    <t>35330</t>
  </si>
  <si>
    <t>5624681101</t>
  </si>
  <si>
    <t>Бронники</t>
  </si>
  <si>
    <t>(0362)272522</t>
  </si>
  <si>
    <t>http://bronnykyschool.ucoz.com</t>
  </si>
  <si>
    <t>Рогачівська загальноосвітня школа І ступеня Рівненської районної ради Рівненської області</t>
  </si>
  <si>
    <t>5624681105</t>
  </si>
  <si>
    <t>вул. Миру, 12 б</t>
  </si>
  <si>
    <t>0960141193</t>
  </si>
  <si>
    <t>Великожитинська загальноосвітня школа І-ІІІ ступенів</t>
  </si>
  <si>
    <t>35340</t>
  </si>
  <si>
    <t>5624681501</t>
  </si>
  <si>
    <t>Великий Житин</t>
  </si>
  <si>
    <t>ал. Рівненська, 1Б</t>
  </si>
  <si>
    <t>(0362)206152</t>
  </si>
  <si>
    <t>Маложитинська загальноосвітня школа І ступеня</t>
  </si>
  <si>
    <t>35376</t>
  </si>
  <si>
    <t>5624681505</t>
  </si>
  <si>
    <t>Малий Житин</t>
  </si>
  <si>
    <t>вул. Кузнєцова, 52А</t>
  </si>
  <si>
    <t>206312</t>
  </si>
  <si>
    <t>Великоомелянський навчально-виховний комплекс "школа-гімназія" Рівненської районної ради Рівненської області</t>
  </si>
  <si>
    <t>35360</t>
  </si>
  <si>
    <t>5624682001</t>
  </si>
  <si>
    <t>Велика Омеляна</t>
  </si>
  <si>
    <t>вул. Шевченка, 74</t>
  </si>
  <si>
    <t>(0362)278714</t>
  </si>
  <si>
    <t>Верхівський НВК "школа-сад"</t>
  </si>
  <si>
    <t>35336</t>
  </si>
  <si>
    <t>5624682701</t>
  </si>
  <si>
    <t>Верхівськ</t>
  </si>
  <si>
    <t>27-53-66</t>
  </si>
  <si>
    <t>Комунальний заклад "Ясининицький навчально-реабілітаційний Центр" Рівненської обласної ради</t>
  </si>
  <si>
    <t>5624682711</t>
  </si>
  <si>
    <t>Ясининичі</t>
  </si>
  <si>
    <t>ал. Садова, 51,а</t>
  </si>
  <si>
    <t>(0362)275320</t>
  </si>
  <si>
    <t>25314596</t>
  </si>
  <si>
    <t>Городищенська загальноосвітня школа І-ІІІ ступенів Рівненської районної ради Рівненської області</t>
  </si>
  <si>
    <t>35341</t>
  </si>
  <si>
    <t>5624683001</t>
  </si>
  <si>
    <t>вул. Рівненська, 76</t>
  </si>
  <si>
    <t>(0362)207116</t>
  </si>
  <si>
    <t>http://www.horodyshche.at.ua</t>
  </si>
  <si>
    <t>Городоцька загальноосвітня школа І-ІІІ ступенів Рівненської районної ради Рівненської області</t>
  </si>
  <si>
    <t>35331</t>
  </si>
  <si>
    <t>5624683301</t>
  </si>
  <si>
    <t>вул. Б.Хмельницького, 3</t>
  </si>
  <si>
    <t>(0362)201417</t>
  </si>
  <si>
    <t>Карпилівська загальноосвітня школа І-ІІ ступенів</t>
  </si>
  <si>
    <t>35332</t>
  </si>
  <si>
    <t>5624683303</t>
  </si>
  <si>
    <t>(0362)618248</t>
  </si>
  <si>
    <t>Грушвицька загальоосвтня школа І-ІІІ ступенів Рівненської районної ради Рівненської області</t>
  </si>
  <si>
    <t>35364</t>
  </si>
  <si>
    <t>5624683702</t>
  </si>
  <si>
    <t>Грушвиця Перша</t>
  </si>
  <si>
    <t>10</t>
  </si>
  <si>
    <t>(276)727</t>
  </si>
  <si>
    <t>Опорний заклад "Дядьковицький навчально-виховний комплекс "загальноосвітній навчальний заклад І-ІІІ ступенів-дошкільний навчальний заклад" Рівненської районної ради Рівненської області"</t>
  </si>
  <si>
    <t>35361</t>
  </si>
  <si>
    <t>5624684101</t>
  </si>
  <si>
    <t>Дядьковичі</t>
  </si>
  <si>
    <t>вул. Козацький шлях, 42</t>
  </si>
  <si>
    <t>(0362)275266</t>
  </si>
  <si>
    <t>Милостівська загальноосвітня школа І-ІІ ступенів Рівненської районної ради Рівненської області</t>
  </si>
  <si>
    <t>5624684102</t>
  </si>
  <si>
    <t>Милостів</t>
  </si>
  <si>
    <t>вул. Троїцька, 47 А</t>
  </si>
  <si>
    <t>(067)2626102</t>
  </si>
  <si>
    <t>Опорний заклад "Жобринська загальноосвітня школа І - ІІІ ступенів Рівненської районної ради Рівненської області"</t>
  </si>
  <si>
    <t>35310</t>
  </si>
  <si>
    <t>5624684501</t>
  </si>
  <si>
    <t>Жобрин</t>
  </si>
  <si>
    <t>(0362)272322</t>
  </si>
  <si>
    <t>Мочулківська загальноосвітня школа I ступеня</t>
  </si>
  <si>
    <t>5624684502</t>
  </si>
  <si>
    <t>Мочулки</t>
  </si>
  <si>
    <t>вул. Грушевського, 39</t>
  </si>
  <si>
    <t>(0362)27-29-76</t>
  </si>
  <si>
    <t>Рудокраснянська загальноосвітня школа І ступеня Рівненської районної ради Рівненської області</t>
  </si>
  <si>
    <t>5624684503</t>
  </si>
  <si>
    <t>Руда-Красна</t>
  </si>
  <si>
    <t>вул. Л. Українки, 55</t>
  </si>
  <si>
    <t>43-67-25</t>
  </si>
  <si>
    <t>Заборольська загальноосвітня школа І-ІІІ ступенів Рівненської районної ради Рівненської області</t>
  </si>
  <si>
    <t>35324</t>
  </si>
  <si>
    <t>5624684701</t>
  </si>
  <si>
    <t>(0362)201018</t>
  </si>
  <si>
    <t>Зорянський навчально-виховний комплекс "школа-гімназія" Рівненської районної ради Рівненської області</t>
  </si>
  <si>
    <t>35314</t>
  </si>
  <si>
    <t>5624684901</t>
  </si>
  <si>
    <t>(0362)279466</t>
  </si>
  <si>
    <t>Білівська загальноосвітня школа І-ІІІ ступенів Рівненської районної ради Рівненської області</t>
  </si>
  <si>
    <t>35317</t>
  </si>
  <si>
    <t>5624684902</t>
  </si>
  <si>
    <t>Білів</t>
  </si>
  <si>
    <t>(0362)272417</t>
  </si>
  <si>
    <t>Голишівська загальноосвітня школа І-ІІ ступенів Рівненської районної ради Рівненської області</t>
  </si>
  <si>
    <t>35315</t>
  </si>
  <si>
    <t>5624684903</t>
  </si>
  <si>
    <t>Голишів</t>
  </si>
  <si>
    <t>(036)270542</t>
  </si>
  <si>
    <t>http:////mz.com.ua/school-wall/16618</t>
  </si>
  <si>
    <t>Грабівська загальноосвітня школа І ступеня Рівненської районної ради Рівненської області</t>
  </si>
  <si>
    <t>35316</t>
  </si>
  <si>
    <t>5624684904</t>
  </si>
  <si>
    <t>(0362)279770</t>
  </si>
  <si>
    <t>Новоставська ЗОШ І-ІІ ступенів Рівненської районної ради Рівненської області</t>
  </si>
  <si>
    <t>5624684908</t>
  </si>
  <si>
    <t>(362)200222</t>
  </si>
  <si>
    <t>Корнинська загальноосвітня школа І-ІІІ ступенів Рівненської районної ради Рівненської області</t>
  </si>
  <si>
    <t>35304</t>
  </si>
  <si>
    <t>5624685901</t>
  </si>
  <si>
    <t>вул. Центральна, 102 А</t>
  </si>
  <si>
    <t>(0362)20-51-72</t>
  </si>
  <si>
    <t>http://kornynschool.ucoz.com</t>
  </si>
  <si>
    <t>Колоденська загальноосвітня школа І-ІІІ ступенів Рівненської районної ради Рівненської області</t>
  </si>
  <si>
    <t>35306</t>
  </si>
  <si>
    <t>5624685903</t>
  </si>
  <si>
    <t>Колоденка</t>
  </si>
  <si>
    <t>вул. Свободи, 22</t>
  </si>
  <si>
    <t>(0362)208977</t>
  </si>
  <si>
    <t>http://kolodenka.wordpress.com</t>
  </si>
  <si>
    <t>Кустинський навчально-виховний комплекс «загальносвітній навчальний заклад І-ІІІ ступенів-дошкільний навчальний заклад» рівненської районної ради рівненської області</t>
  </si>
  <si>
    <t>35322</t>
  </si>
  <si>
    <t>5624686501</t>
  </si>
  <si>
    <t>(0362)276294</t>
  </si>
  <si>
    <t>Решуцька загальноосвітня школа І ступеня Рівненської районної ради Рівненської області</t>
  </si>
  <si>
    <t>5624686502</t>
  </si>
  <si>
    <t>Решуцьк</t>
  </si>
  <si>
    <t>(068)8245695</t>
  </si>
  <si>
    <t>Малошпаківська загальноосвітня школа І-ІІІ ступенів Рівненської районної ради Рівненської області</t>
  </si>
  <si>
    <t>35362</t>
  </si>
  <si>
    <t>5624686701</t>
  </si>
  <si>
    <t>Малий Шпаків</t>
  </si>
  <si>
    <t>вул. Шкільна, 20А</t>
  </si>
  <si>
    <t>(0362)275537</t>
  </si>
  <si>
    <t>Заріцька загальноосвітня школа І-ІІ ступенів Рівненської районної ради Рівненської області</t>
  </si>
  <si>
    <t>5624686705</t>
  </si>
  <si>
    <t>Заріцьк</t>
  </si>
  <si>
    <t>вул. Колгоспна, 111 а</t>
  </si>
  <si>
    <t>(276)820</t>
  </si>
  <si>
    <t>Іваницький навчально-виховний комплекс "дошкільний навчальний заклад-загальноосвітня школа І ступеня" Малошпаківської сільської ради Рівненського району Рівненської області</t>
  </si>
  <si>
    <t>35363</t>
  </si>
  <si>
    <t>5624686706</t>
  </si>
  <si>
    <t>вул. Млинівська, 36 А</t>
  </si>
  <si>
    <t>(0362)275619</t>
  </si>
  <si>
    <t>Котівська загальноосвітня школа І-ІІІ ступенів Рівненської районної ради Рівненської області</t>
  </si>
  <si>
    <t>35323</t>
  </si>
  <si>
    <t>5624687001</t>
  </si>
  <si>
    <t>Нова Українка</t>
  </si>
  <si>
    <t>вул. Приходька, 97 Г</t>
  </si>
  <si>
    <t>(0362)206771</t>
  </si>
  <si>
    <t>http://www.kotiv.osvitahost.net/</t>
  </si>
  <si>
    <t>Козлинська загальноосвітня школа І-ІІ ступенів Рівненської районної ради Рівненської області</t>
  </si>
  <si>
    <t>5624687004</t>
  </si>
  <si>
    <t>Козлин</t>
  </si>
  <si>
    <t>(0362)205710</t>
  </si>
  <si>
    <t>Обарівська загальноосвітня школа І-ІІІ ступенів Рівненської райдержадміністрації Рівненської області</t>
  </si>
  <si>
    <t>35307</t>
  </si>
  <si>
    <t>5624687401</t>
  </si>
  <si>
    <t>Обарів</t>
  </si>
  <si>
    <t>вул. Ставківська, 40</t>
  </si>
  <si>
    <t>(098)9572380</t>
  </si>
  <si>
    <t>Іскрівська загальноосвітня школа І-ІІІ ступенів Рівненської районної ради Рівненської області</t>
  </si>
  <si>
    <t>35334</t>
  </si>
  <si>
    <t>5624687902</t>
  </si>
  <si>
    <t>Новожуків</t>
  </si>
  <si>
    <t>(0362)272618</t>
  </si>
  <si>
    <t>Сухівецька загальноосвітня школа І-ІІ ступенів Рівненської районої ради Рівненської області</t>
  </si>
  <si>
    <t>35335</t>
  </si>
  <si>
    <t>5624687904</t>
  </si>
  <si>
    <t>Сухівці</t>
  </si>
  <si>
    <t>вул. Богдана Хмельницького, 44А</t>
  </si>
  <si>
    <t>(0362)272647</t>
  </si>
  <si>
    <t>Тайкурський навчально-виховний комплекс "загальнооосвітній навчальний заклад І-ІІ ступенів дошкільний навчальний заклад" Рівненської районної ради Рівненської області</t>
  </si>
  <si>
    <t>35351</t>
  </si>
  <si>
    <t>5624688901</t>
  </si>
  <si>
    <t>Тайкури</t>
  </si>
  <si>
    <t>(0362)276015</t>
  </si>
  <si>
    <t>http://tajkury.ucoz.com</t>
  </si>
  <si>
    <t>ШПАНІВСЬКИЙ НАВЧАЛЬНО-ВИХОВНИЙ КОМПЛЕКС "ЗАГАЛЬНООСВІТНІЙ НАВЧАЛЬНИЙ ЗАКЛАД І-ІІІ СТУПЕНІВ-ДОШКІЛЬНИЙ НАВЧАЛЬНИЙ ЗАКЛАД" Рівненської районної ради Рівненської області</t>
  </si>
  <si>
    <t>35301</t>
  </si>
  <si>
    <t>5624689501</t>
  </si>
  <si>
    <t>Шпанів</t>
  </si>
  <si>
    <t>(0362)45-46-56</t>
  </si>
  <si>
    <t>http://shpaniv-school.ucoz.ua</t>
  </si>
  <si>
    <t>24178300</t>
  </si>
  <si>
    <t>Великоолексинський навчально-виховний комплекс "загальноосвітній навчальний заклад І-ІІІ ступенів - дошкільний навчальний заклад" Рівненської районної ради Рівненської області</t>
  </si>
  <si>
    <t>35302</t>
  </si>
  <si>
    <t>5624689502</t>
  </si>
  <si>
    <t>Великий Олексин</t>
  </si>
  <si>
    <t>(036)277159</t>
  </si>
  <si>
    <t>http://veloleksyn.osvitahost.net</t>
  </si>
  <si>
    <t>Ходоська загальноосвітня школа I-II ступенів Рівненської районної ради Рівненської області</t>
  </si>
  <si>
    <t>35303</t>
  </si>
  <si>
    <t>5624689505</t>
  </si>
  <si>
    <t>Ходоси</t>
  </si>
  <si>
    <t>(036)277750</t>
  </si>
  <si>
    <t>Хотинська загальноосвітня школа І ступеня Рівненської районної ради Рівненської області</t>
  </si>
  <si>
    <t>5624689506</t>
  </si>
  <si>
    <t>0975838657</t>
  </si>
  <si>
    <t>Шубківська загальноосвітня школа І-ІІІ ступенів Рівненської районної ради Рівненської області</t>
  </si>
  <si>
    <t>35325</t>
  </si>
  <si>
    <t>5624689801</t>
  </si>
  <si>
    <t>Шубків</t>
  </si>
  <si>
    <t>(0362)273513</t>
  </si>
  <si>
    <t>http://shubkivzosh.wordpress.com</t>
  </si>
  <si>
    <t>Гориньградська-І загальноосвітня школа І-ІІ ступенів Рівненської районної ради Рівненської області</t>
  </si>
  <si>
    <t>35326</t>
  </si>
  <si>
    <t>5624689805</t>
  </si>
  <si>
    <t>Гориньград Перший</t>
  </si>
  <si>
    <t>вул. Мирна, 84</t>
  </si>
  <si>
    <t>(0362)273732</t>
  </si>
  <si>
    <t>Рисвянська загальноосвітня школа І-ІІ ступенів Рівненської районної ради Рівненської області</t>
  </si>
  <si>
    <t>5624689811</t>
  </si>
  <si>
    <t>Рисв'янка</t>
  </si>
  <si>
    <t>(0362)273845</t>
  </si>
  <si>
    <t>Опорний загальноосвітній навчальний заклад "Рокитнівська загальноосвітня школа І-ІІІ ступенів № 3" Рокитнівської районної ради</t>
  </si>
  <si>
    <t>34200</t>
  </si>
  <si>
    <t>5625055100</t>
  </si>
  <si>
    <t>вул. Горького, 32</t>
  </si>
  <si>
    <t>(03635)21900</t>
  </si>
  <si>
    <t>Рокитнівський навчально-виховний комплекс "Школа І ступеня - гімназія" Рокитнівської районної ради Рівненської області</t>
  </si>
  <si>
    <t>(03635)22669</t>
  </si>
  <si>
    <t>25322733</t>
  </si>
  <si>
    <t>Томашгородська загальноосвітня школа І-ІІ ступенів № 3 Рокитнівської районної ради Рівненської області</t>
  </si>
  <si>
    <t>34246</t>
  </si>
  <si>
    <t>5625055500</t>
  </si>
  <si>
    <t>Томашгород</t>
  </si>
  <si>
    <t>вул. Богдана Хмельницького, 12</t>
  </si>
  <si>
    <t>0502313153</t>
  </si>
  <si>
    <t>http://tomashgorod-school3.rv.sch.in.ua/</t>
  </si>
  <si>
    <t>25319056</t>
  </si>
  <si>
    <t>Томашгородський навчально-виховний комплекс школа І-ІІІ ступенів-ліцей Рокитнівської районної ради Рівненської області</t>
  </si>
  <si>
    <t>34240</t>
  </si>
  <si>
    <t>вул. Соборна, 21А</t>
  </si>
  <si>
    <t>(03635)26-2-67</t>
  </si>
  <si>
    <t>25319375</t>
  </si>
  <si>
    <t>Біловізька загальноосвітня школа І-ІІІ ступенів Рокитнівської районної ради Рівненської області</t>
  </si>
  <si>
    <t>34222</t>
  </si>
  <si>
    <t>5625080401</t>
  </si>
  <si>
    <t>Біловіж</t>
  </si>
  <si>
    <t>(0362)39-2-30</t>
  </si>
  <si>
    <t>Купельська загальноосвітня школа І-ІІ ступенів Рокитнівської районної ради Рівненської області</t>
  </si>
  <si>
    <t>34223</t>
  </si>
  <si>
    <t>5625080402</t>
  </si>
  <si>
    <t>Купель</t>
  </si>
  <si>
    <t>вул. Тарасенка, 1</t>
  </si>
  <si>
    <t>(03635)39247</t>
  </si>
  <si>
    <t>25319352</t>
  </si>
  <si>
    <t>Березівський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</si>
  <si>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34212</t>
  </si>
  <si>
    <t>5625080801</t>
  </si>
  <si>
    <t>(235)36-2-46</t>
  </si>
  <si>
    <t>http://berezove-zosh.edukit.rv.ua</t>
  </si>
  <si>
    <t>25319228</t>
  </si>
  <si>
    <t>Заболотський НВК "ЗНЗ І-ІІ ступенів - ДНЗ" Рокитнівської районної ради Рівненської області</t>
  </si>
  <si>
    <t>5625080803</t>
  </si>
  <si>
    <t>(036)3536226</t>
  </si>
  <si>
    <t>http://Zabolottia-rok.edukit.rv.ua</t>
  </si>
  <si>
    <t>25833422</t>
  </si>
  <si>
    <t>Блажівська загальноосвітня школа І-ІІІ ступенів Рокитнівської районної ради Рівненської області</t>
  </si>
  <si>
    <t>34230</t>
  </si>
  <si>
    <t>5625081301</t>
  </si>
  <si>
    <t>Блажове</t>
  </si>
  <si>
    <t>(38036)3534246</t>
  </si>
  <si>
    <t>Більська загальноосвітня школа І-ІІІ ступенів</t>
  </si>
  <si>
    <t>5625081302</t>
  </si>
  <si>
    <t>34-2-29</t>
  </si>
  <si>
    <t>http://bilsk-zosh.rv.sch.in.ua</t>
  </si>
  <si>
    <t>25319108</t>
  </si>
  <si>
    <t>Залавська загальносвітня школа І-ІІ ступенів Рокитнівської районної ради Рівненської області</t>
  </si>
  <si>
    <t>34232</t>
  </si>
  <si>
    <t>5625081303</t>
  </si>
  <si>
    <t>Залав'я</t>
  </si>
  <si>
    <t>(03635)34214</t>
  </si>
  <si>
    <t>Боровська загальноосвітня школа І-ІІІ ступенів Рокитнівської РДА Рівненської області</t>
  </si>
  <si>
    <t>34263</t>
  </si>
  <si>
    <t>5625081701</t>
  </si>
  <si>
    <t>(3803635)32-2-46</t>
  </si>
  <si>
    <t>Нетребська загальноосвітня школа І-ІІ ступенів, Рокитнівської районної ради Рівненської області</t>
  </si>
  <si>
    <t>34264</t>
  </si>
  <si>
    <t>5625081702</t>
  </si>
  <si>
    <t>Нетреба</t>
  </si>
  <si>
    <t>майдан Майданська, 1</t>
  </si>
  <si>
    <t>(03635)42-2-12</t>
  </si>
  <si>
    <t>http://www.netreba.at.ua</t>
  </si>
  <si>
    <t>25319323</t>
  </si>
  <si>
    <t>Вежицький навчально виховний комплекс загальноосвітній навчальний заклад І-ІІІ ступенів - дошкільний навчальний заклад Рокитнівської районної ради Рівненської області</t>
  </si>
  <si>
    <t>34213</t>
  </si>
  <si>
    <t>5625082201</t>
  </si>
  <si>
    <t>Вежиця</t>
  </si>
  <si>
    <t>(03635)45468</t>
  </si>
  <si>
    <t>http://vezhiza.ucoz.ru</t>
  </si>
  <si>
    <t>Переходицький навчально-виховний комплекс "загальноосвітній навчальний заклид І-ІІІ ступенів - дошкільний навчальний заклад"</t>
  </si>
  <si>
    <t>34210</t>
  </si>
  <si>
    <t>5625082202</t>
  </si>
  <si>
    <t>Переходичі</t>
  </si>
  <si>
    <t>(1111)0977343382</t>
  </si>
  <si>
    <t>Глиннівський навчально-виховний комплекс "загальноосвітній навчальний заклад І-ІІІ ступенів- дошкільний навчальний заклад"</t>
  </si>
  <si>
    <t>34221</t>
  </si>
  <si>
    <t>5625082601</t>
  </si>
  <si>
    <t>Глинне</t>
  </si>
  <si>
    <t>вул. Лядівська, 1</t>
  </si>
  <si>
    <t>37-2-17</t>
  </si>
  <si>
    <t>25319085</t>
  </si>
  <si>
    <t>Дубнівський навчально-виховний комплекс "Загальноосвітній навчальний заклад І-ІІІ ступенів - дошкільний навчальний заклад"</t>
  </si>
  <si>
    <t>5625082602</t>
  </si>
  <si>
    <t>(03635)37258</t>
  </si>
  <si>
    <t>http://znz-dubno.ucoz.com/</t>
  </si>
  <si>
    <t>25319168</t>
  </si>
  <si>
    <t>Познанський навчально - виховний комплекс "загальноосвітній навчальний заклад І - ІІІ ступенів - дошкільний навчальний заклад"</t>
  </si>
  <si>
    <t>34275</t>
  </si>
  <si>
    <t>5625082604</t>
  </si>
  <si>
    <t>Познань</t>
  </si>
  <si>
    <t>(03635)37811</t>
  </si>
  <si>
    <t>http://posnan.at.ua</t>
  </si>
  <si>
    <t>Хмільська загальноосвітня школа І-ІІІ ступенів Рокитнівського району Рівненської області</t>
  </si>
  <si>
    <t>5625082605</t>
  </si>
  <si>
    <t>Хміль</t>
  </si>
  <si>
    <t>0676618401</t>
  </si>
  <si>
    <t>25319317</t>
  </si>
  <si>
    <t>Кам’янський навчально-виховний комплекс "загальноосвітній навчальний заклад І-ІІІ ступенів-дошкільний навчальний заклад" Рокитнівської районної ради Рівненської області</t>
  </si>
  <si>
    <t>34220</t>
  </si>
  <si>
    <t>5625083201</t>
  </si>
  <si>
    <t>(098)8835251, (098)8843670</t>
  </si>
  <si>
    <t>http://kamyane-school.edukit.rv.ua/</t>
  </si>
  <si>
    <t>25319197</t>
  </si>
  <si>
    <t>Обсіцька загальноосвітня школа І-ІІ ступенів Рокитнівської районної державної адміністрації Рівненської області</t>
  </si>
  <si>
    <t>5625083203</t>
  </si>
  <si>
    <t>Обсіч</t>
  </si>
  <si>
    <t>41-2-39</t>
  </si>
  <si>
    <t>http://obsich-zosh.rv.sch.in.ua/</t>
  </si>
  <si>
    <t>25319346</t>
  </si>
  <si>
    <t>Карпилівська загальноосвітня школа І-ІІІ ступенів, Рокитнівської районної ради, Рівненської області</t>
  </si>
  <si>
    <t>34262</t>
  </si>
  <si>
    <t>5625083801</t>
  </si>
  <si>
    <t>48-2-36</t>
  </si>
  <si>
    <t>Кисорицька загальноосвітня школа І-ІІІ ступенів Рокитнівської районної ради Рівненської області</t>
  </si>
  <si>
    <t>34260</t>
  </si>
  <si>
    <t>5625084401</t>
  </si>
  <si>
    <t>Кисоричі</t>
  </si>
  <si>
    <t>(03635)31319</t>
  </si>
  <si>
    <t>http://kysorychyschool.ucoz.ru</t>
  </si>
  <si>
    <t>Дертівска загальноосвітня школа І-ІІ ступенів Рокитнівської районної ради Рівненської області</t>
  </si>
  <si>
    <t>34261</t>
  </si>
  <si>
    <t>5625084402</t>
  </si>
  <si>
    <t>Дерть</t>
  </si>
  <si>
    <t>вул. Центральна, 194</t>
  </si>
  <si>
    <t>25319263</t>
  </si>
  <si>
    <t>Масевицька загальноосвітня школа І-ІІІ ступенів</t>
  </si>
  <si>
    <t>34253</t>
  </si>
  <si>
    <t>5625085001</t>
  </si>
  <si>
    <t>Масевичі</t>
  </si>
  <si>
    <t>(8099)6112627</t>
  </si>
  <si>
    <t>http://masevichi.at.ua</t>
  </si>
  <si>
    <t>25319300</t>
  </si>
  <si>
    <t>Будівська загальноосвітня школа І-ІІ ступенів Рокитнівської районної ради Рівненської області</t>
  </si>
  <si>
    <t>34271</t>
  </si>
  <si>
    <t>5625085002</t>
  </si>
  <si>
    <t>Буда</t>
  </si>
  <si>
    <t>2-00-08</t>
  </si>
  <si>
    <t>https://sites.google.com/site/budaznz</t>
  </si>
  <si>
    <t>25319369</t>
  </si>
  <si>
    <t>Рокитнівський навчально-виховний комплекс "Школа І-ІІІ ступеня-ліцей" Рокитнівської ради Рівненської області</t>
  </si>
  <si>
    <t>34208</t>
  </si>
  <si>
    <t>5625085601</t>
  </si>
  <si>
    <t>вул. Жовтнева, 8</t>
  </si>
  <si>
    <t>(03635)2-54-76</t>
  </si>
  <si>
    <t>Осницька загальноосвітня школа І-ІІ ступенів, Рокитнівської районної ради, Рівненської області</t>
  </si>
  <si>
    <t>34209</t>
  </si>
  <si>
    <t>5625085603</t>
  </si>
  <si>
    <t>Осницьк</t>
  </si>
  <si>
    <t>(38)0665797517</t>
  </si>
  <si>
    <t>http://ocnitck.at.ua</t>
  </si>
  <si>
    <t>25319234</t>
  </si>
  <si>
    <t>Сновидовицька загальноосвітня школа І-ІІІ ступенів Рокитнівської районної ради Рівненської області</t>
  </si>
  <si>
    <t>5625086201</t>
  </si>
  <si>
    <t>Сновидовичі</t>
  </si>
  <si>
    <t>вул. Ковпака, 2</t>
  </si>
  <si>
    <t>(03635)33248</t>
  </si>
  <si>
    <t>Будки-Сновидовицька ЗОШ І-ІІ ступенів Рокитнівської районної ради Рівненської області</t>
  </si>
  <si>
    <t>34251</t>
  </si>
  <si>
    <t>5625086202</t>
  </si>
  <si>
    <t>Будки-Сновидовицькі</t>
  </si>
  <si>
    <t>ал. Антоніо Бланко, 5</t>
  </si>
  <si>
    <t>(1)0931055020</t>
  </si>
  <si>
    <t>25319116</t>
  </si>
  <si>
    <t>Остківська загальноосвітня школа І-ІІІ ступенів</t>
  </si>
  <si>
    <t>34252</t>
  </si>
  <si>
    <t>5625086203</t>
  </si>
  <si>
    <t>Остки</t>
  </si>
  <si>
    <t>(03635)35270</t>
  </si>
  <si>
    <t>25319257</t>
  </si>
  <si>
    <t>Старосільський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</si>
  <si>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5625086801</t>
  </si>
  <si>
    <t>Дроздинський навчально-виховний комплекс "загальноосвітній навчальний заклад І-ІІІ ступенів-дошкільний навчальний заклад" Рокитнівської районної ради Рівненської області</t>
  </si>
  <si>
    <t>34211</t>
  </si>
  <si>
    <t>5625086802</t>
  </si>
  <si>
    <t>Дроздинь</t>
  </si>
  <si>
    <t>вул. Шевченка, 100</t>
  </si>
  <si>
    <t>(036-35)45485</t>
  </si>
  <si>
    <t>Томашгородська загальноосвітня школа № 2 І-ІІІ ступенів Рокитнівської районної ради Рівненської області</t>
  </si>
  <si>
    <t>34244</t>
  </si>
  <si>
    <t>5625087401</t>
  </si>
  <si>
    <t>вул. Гагаріна, 34</t>
  </si>
  <si>
    <t>(068)3232398</t>
  </si>
  <si>
    <t>http://school2tomash.at.ua/</t>
  </si>
  <si>
    <t>25319272</t>
  </si>
  <si>
    <t>Єльнівський навчально-виховний комплекс: загальноосвітній навчальний заклад І-ІІ ступенів-дошкільний навчальний заклад</t>
  </si>
  <si>
    <t>5625087402</t>
  </si>
  <si>
    <t>Єльне</t>
  </si>
  <si>
    <t>0973033818</t>
  </si>
  <si>
    <t>Загальноосвітня вечірня (заочна) школа ІІІ ступеня Сарненської районної ради Рівненської області</t>
  </si>
  <si>
    <t>34500</t>
  </si>
  <si>
    <t>5625410100</t>
  </si>
  <si>
    <t>вул. Княгині Ольги, 7 б</t>
  </si>
  <si>
    <t>(03655)33679</t>
  </si>
  <si>
    <t>Сарненська гімназія Сарненської районної ради Рівненської області</t>
  </si>
  <si>
    <t>вул. Белгородська, 1</t>
  </si>
  <si>
    <t>(03655)33820</t>
  </si>
  <si>
    <t>http://sarny-gymnasium.ucoz.ua/</t>
  </si>
  <si>
    <t>22558671</t>
  </si>
  <si>
    <t>Сарненська загальноосвітня школа І-ІІ ступенів № 3</t>
  </si>
  <si>
    <t>(03655)3-36-52</t>
  </si>
  <si>
    <t>http://schooll3sarny.e-school.info</t>
  </si>
  <si>
    <t>Сарненська загальноосвітня школа І-ІІ ступенів № 6</t>
  </si>
  <si>
    <t>34503</t>
  </si>
  <si>
    <t>вул. Казимира Дубровського, 22</t>
  </si>
  <si>
    <t>(03655)34905</t>
  </si>
  <si>
    <t>http://sarnenska-zosh-i-ii-st-6.webnode.com.ua</t>
  </si>
  <si>
    <t>Сарненська загальноосвітня школа І-ІІІ ступенів № 2</t>
  </si>
  <si>
    <t>вул. М.Амосова, 23</t>
  </si>
  <si>
    <t>(03655)3-39-95</t>
  </si>
  <si>
    <t>Сарненська загальноосвітня школа І-ІІІ ступенів № 4 Сарненської районної ради Рівненської області</t>
  </si>
  <si>
    <t>(03655)21116, (03655)21490</t>
  </si>
  <si>
    <t>http://www.znz4-sarny.org.ua</t>
  </si>
  <si>
    <t>22558725</t>
  </si>
  <si>
    <t>Сарненський навчально-виховний комплекс "Школа-колегіум" ім.Т.Г.Шевченка Сарненської районної ради Рівненської області</t>
  </si>
  <si>
    <t>вул. Чорновола, 1</t>
  </si>
  <si>
    <t>(03655)21895</t>
  </si>
  <si>
    <t>http://kolegium.sarny.top</t>
  </si>
  <si>
    <t>22558783</t>
  </si>
  <si>
    <t>Сарненський районний ліцей "Лідер" Сарненської районної ради Рівненської області</t>
  </si>
  <si>
    <t>вул. Технічна, 4А</t>
  </si>
  <si>
    <t>(03655)3-36-75</t>
  </si>
  <si>
    <t>http://sarny-lyceum.edukit.rv.ua/</t>
  </si>
  <si>
    <t>Сарненська спеціалізована школа розвитку І ступеня № 5 з поглибленим вивченням іноземної мови</t>
  </si>
  <si>
    <t>вул. Коперника, 10</t>
  </si>
  <si>
    <t>(03655)3-49-06</t>
  </si>
  <si>
    <t>Клесівська загальноосвітня школа І-ІІ ступенів-ліцей Клесівської селищної ради Сарненського району Рівненської області</t>
  </si>
  <si>
    <t>34550</t>
  </si>
  <si>
    <t>5625455400</t>
  </si>
  <si>
    <t>Клесів</t>
  </si>
  <si>
    <t>вул. Шкільна, 31А</t>
  </si>
  <si>
    <t>Клесівська загальноосвітня школа І - ІІ ступенів Клесівської селищної ради Сарненського району Рівненської області</t>
  </si>
  <si>
    <t>5625455401</t>
  </si>
  <si>
    <t>(03655)50595</t>
  </si>
  <si>
    <t>Пугачська загальноосвітня школа І ступеня Сарненської районної ради Рівненської області</t>
  </si>
  <si>
    <t>34576</t>
  </si>
  <si>
    <t>5625455402</t>
  </si>
  <si>
    <t>Пугач</t>
  </si>
  <si>
    <t>вул. Заводська</t>
  </si>
  <si>
    <t>Опорний заклад "Степанська загальноосвітня школа І-ІІІ ступенів" Сарненської районної ради Рівненської області</t>
  </si>
  <si>
    <t>34560</t>
  </si>
  <si>
    <t>5625455700</t>
  </si>
  <si>
    <t>Степань</t>
  </si>
  <si>
    <t>вул. Дорошенка, 82</t>
  </si>
  <si>
    <t>4-22-16</t>
  </si>
  <si>
    <t>13982364</t>
  </si>
  <si>
    <t>Великовербченська загальноосвітня школа І - ІІІ ступенів Сарненської районної ради Рівненської області</t>
  </si>
  <si>
    <t>34531</t>
  </si>
  <si>
    <t>5625480501</t>
  </si>
  <si>
    <t>Велике Вербче</t>
  </si>
  <si>
    <t>(03655)48289</t>
  </si>
  <si>
    <t>Бутейківська загальноосвітня школа І-ІІ ступенів Сарненського району Рівненської області</t>
  </si>
  <si>
    <t>5625480502</t>
  </si>
  <si>
    <t>Бутейки</t>
  </si>
  <si>
    <t>(03655)4-84-15</t>
  </si>
  <si>
    <t>Вирівська загальносвітня школа І-ІІІ ступенів</t>
  </si>
  <si>
    <t>34551</t>
  </si>
  <si>
    <t>5625480901</t>
  </si>
  <si>
    <t>Вири</t>
  </si>
  <si>
    <t>(03655)54243</t>
  </si>
  <si>
    <t>Федорівська загальноосвітня школа І-ІІ ступенів</t>
  </si>
  <si>
    <t>34577</t>
  </si>
  <si>
    <t>5625480903</t>
  </si>
  <si>
    <t>(066)8251744</t>
  </si>
  <si>
    <t>http://www.fedorivka-sarn.edukit.rv.ua/</t>
  </si>
  <si>
    <t>Зносицька загальноосвітня школа І-ІІІ ст.</t>
  </si>
  <si>
    <t>34545</t>
  </si>
  <si>
    <t>5625481101</t>
  </si>
  <si>
    <t>Зносичі</t>
  </si>
  <si>
    <t>вул. Центральна, №97</t>
  </si>
  <si>
    <t>(0836)75-2-43</t>
  </si>
  <si>
    <t>http://znosichi-shkola.fo.ru</t>
  </si>
  <si>
    <t>Кам'яне - Случанська загальноосвітня школа І - ІІ ступенів Сарненської районної ради Рівненської області</t>
  </si>
  <si>
    <t>34543</t>
  </si>
  <si>
    <t>5625481601</t>
  </si>
  <si>
    <t>Кам'яне-Случанське</t>
  </si>
  <si>
    <t>вул. Литовська</t>
  </si>
  <si>
    <t>0984404323</t>
  </si>
  <si>
    <t>Карасинська загальноосвітня школа І-ІІ ступенів Клесівської селищної ради Сарненського району Рівненської області</t>
  </si>
  <si>
    <t>34511</t>
  </si>
  <si>
    <t>5625482001</t>
  </si>
  <si>
    <t>(096)7756949</t>
  </si>
  <si>
    <t>http://karasinzosh.ucoz.com/</t>
  </si>
  <si>
    <t>Карпилівська загальноосвітня школа І-ІІІ ступенів Клесівської селищної ради Сарненського району Рівненської області</t>
  </si>
  <si>
    <t>34513</t>
  </si>
  <si>
    <t>5625482301</t>
  </si>
  <si>
    <t>вул. Незалежносты, 50</t>
  </si>
  <si>
    <t>(03655)90238</t>
  </si>
  <si>
    <t>Рудня-Карпилівська загальоосвітня школа І ступеня Сарненського району Рівненської області</t>
  </si>
  <si>
    <t>5625482302</t>
  </si>
  <si>
    <t>Рудня-Карпилівська</t>
  </si>
  <si>
    <t>вул. Кузнецова, 15</t>
  </si>
  <si>
    <t>Костянтинівська загальноосвітня школа І-ІІ ступенів Сарненської районної ради Рівненської області</t>
  </si>
  <si>
    <t>34509</t>
  </si>
  <si>
    <t>5625482501</t>
  </si>
  <si>
    <t>(03655)93224</t>
  </si>
  <si>
    <t>Орлівська загальноосвітня школа І ступеня Сарненської районної ради Рівненської області</t>
  </si>
  <si>
    <t>5625482505</t>
  </si>
  <si>
    <t>(03655)21322</t>
  </si>
  <si>
    <t>http://orlivska-zagalnoosvitnya-shkola-i-stupenya.webnode/com.ua/</t>
  </si>
  <si>
    <t>Коростська загальноосвітня школа І-ІІІступенів Сарненської районної ради Рівненської області</t>
  </si>
  <si>
    <t>34532</t>
  </si>
  <si>
    <t>5625482801</t>
  </si>
  <si>
    <t>Корост</t>
  </si>
  <si>
    <t>Маловербченська загальноосвітня школа І-ІІ ступенів Сарненської районної ради Рівненської області</t>
  </si>
  <si>
    <t>34533</t>
  </si>
  <si>
    <t>5625482802</t>
  </si>
  <si>
    <t>Мале Вербче</t>
  </si>
  <si>
    <t>46414</t>
  </si>
  <si>
    <t>Одринківська загальноосвітня школа I-II ступенів Сарненської районної ради Рівненської області</t>
  </si>
  <si>
    <t>5625482803</t>
  </si>
  <si>
    <t>Одринки</t>
  </si>
  <si>
    <t>Кричильська загальноосвітня школа імені Леоніда Куліша-Зіньківа Сарненської районної ради Рівненської області</t>
  </si>
  <si>
    <t>34530</t>
  </si>
  <si>
    <t>5625483401</t>
  </si>
  <si>
    <t>Кричильськ</t>
  </si>
  <si>
    <t>вул. Шевченка, 192</t>
  </si>
  <si>
    <t>(03655)4-43-81</t>
  </si>
  <si>
    <t>Полянська загалоноосвітня школа І-ІІ ступенів</t>
  </si>
  <si>
    <t>5625483403</t>
  </si>
  <si>
    <t>(097)1542555</t>
  </si>
  <si>
    <t>Кузьмівська загальноосвітня школа І-ІІ ступенів Сарненської районної ради Рівненської області</t>
  </si>
  <si>
    <t>34561</t>
  </si>
  <si>
    <t>5625483901</t>
  </si>
  <si>
    <t>Кузьмівка</t>
  </si>
  <si>
    <t>(03655)43122</t>
  </si>
  <si>
    <t>Яблунська загальноосвітня школа І-ІІ ступенів Сарненської районної ради Рівненської області</t>
  </si>
  <si>
    <t>34562</t>
  </si>
  <si>
    <t>5625483904</t>
  </si>
  <si>
    <t>https://sites.google.com/site/ablunskazosiiistupeniv</t>
  </si>
  <si>
    <t>Любиковицька загальноосвітня школа І-ІІІ ступенів Сарненської районної ради Рівненської області</t>
  </si>
  <si>
    <t>34510</t>
  </si>
  <si>
    <t>5625484401</t>
  </si>
  <si>
    <t>Любиковичі</t>
  </si>
  <si>
    <t>(036)5596291</t>
  </si>
  <si>
    <t>http://lyubikovitska-zosh-i-iii-stupeni.webnode.com.ua/</t>
  </si>
  <si>
    <t>Білятицька загальноосвітня школа І-ІІ ступенів Сарненської районної ради Рівненської області</t>
  </si>
  <si>
    <t>5625484402</t>
  </si>
  <si>
    <t>Білятичі</t>
  </si>
  <si>
    <t>(03655)96-2-11</t>
  </si>
  <si>
    <t>Мар’янівська загальноосвітня школа І-ІІ ступенів Сарненської районної ради Рівненської області</t>
  </si>
  <si>
    <t>5625484403</t>
  </si>
  <si>
    <t>0674767616</t>
  </si>
  <si>
    <t>http://marianivka-zoch.webnode.com.ua</t>
  </si>
  <si>
    <t>Люхчанська загальноосвітня школа І-ІІІ ступенів</t>
  </si>
  <si>
    <t>34508</t>
  </si>
  <si>
    <t>5625484801</t>
  </si>
  <si>
    <t>Люхча</t>
  </si>
  <si>
    <t>(03655)92-2-46</t>
  </si>
  <si>
    <t>Глушицька загальноосвітня школа</t>
  </si>
  <si>
    <t>34572</t>
  </si>
  <si>
    <t>5625484802</t>
  </si>
  <si>
    <t>Глушиця</t>
  </si>
  <si>
    <t>92214</t>
  </si>
  <si>
    <t>Дубківська загальноосвітня школа І ступеня</t>
  </si>
  <si>
    <t>5625484807</t>
  </si>
  <si>
    <t>Дубки</t>
  </si>
  <si>
    <t>вул. шкільна, 21</t>
  </si>
  <si>
    <t>Немовицька загальноосвітня школа І -ІІІ ступенів Сарненської районної ради</t>
  </si>
  <si>
    <t>34540</t>
  </si>
  <si>
    <t>5625485401</t>
  </si>
  <si>
    <t>Немовичі</t>
  </si>
  <si>
    <t>(03655)97224</t>
  </si>
  <si>
    <t>http://www/zosh-nemovychi.at.ua</t>
  </si>
  <si>
    <t>Катеринівська загальноосвітня школа І ступеня</t>
  </si>
  <si>
    <t>5625485403</t>
  </si>
  <si>
    <t>вул. Ткача, 28</t>
  </si>
  <si>
    <t>http://katerynivka-zosh.rv.sch.in.ua</t>
  </si>
  <si>
    <t>Ремчицька загальноосвітня школа І-ІІІ ступенів</t>
  </si>
  <si>
    <t>34520</t>
  </si>
  <si>
    <t>5625485801</t>
  </si>
  <si>
    <t>Ремчиці</t>
  </si>
  <si>
    <t>99243</t>
  </si>
  <si>
    <t>Тріскинська загальноосвітня школа І-ІІІ ступенів</t>
  </si>
  <si>
    <t>34521</t>
  </si>
  <si>
    <t>5625485804</t>
  </si>
  <si>
    <t>Тріскині</t>
  </si>
  <si>
    <t>24-2-13</t>
  </si>
  <si>
    <t>Яринівська загальноосвітня школа І-ІІ ступенів</t>
  </si>
  <si>
    <t>34501</t>
  </si>
  <si>
    <t>5625485805</t>
  </si>
  <si>
    <t>(03655)23002</t>
  </si>
  <si>
    <t>Селищенська загальноосвітня школа І-ІІ ступенів</t>
  </si>
  <si>
    <t>34552</t>
  </si>
  <si>
    <t>5625486801</t>
  </si>
  <si>
    <t>03655-55-2-10</t>
  </si>
  <si>
    <t>http://selusche.ucoz.ua</t>
  </si>
  <si>
    <t>Чабельська загальноосвітня школа І - ІІ ступенів Селищенської сільської ради Сарненського району Рівненської області</t>
  </si>
  <si>
    <t>34579</t>
  </si>
  <si>
    <t>5625486802</t>
  </si>
  <si>
    <t>Чабель</t>
  </si>
  <si>
    <t>53228</t>
  </si>
  <si>
    <t>http://chabelska.at.ua</t>
  </si>
  <si>
    <t>Ясногірська загальноосвітня школа І-ІІІ ступенів Сарненської районної ради Рівненської області</t>
  </si>
  <si>
    <t>34553</t>
  </si>
  <si>
    <t>5625486803</t>
  </si>
  <si>
    <t>Ясногірка</t>
  </si>
  <si>
    <t>вул. 40-річчя Перемоги</t>
  </si>
  <si>
    <t>(0362)53340</t>
  </si>
  <si>
    <t>Навчально-виховний комплекс загальноосвітня школа І ступеня дошкільний навчальний заклад</t>
  </si>
  <si>
    <t>34512</t>
  </si>
  <si>
    <t>5625487201</t>
  </si>
  <si>
    <t>Стрільськ</t>
  </si>
  <si>
    <t>ал. Чапленка, 33</t>
  </si>
  <si>
    <t>Стрільська загальноосвітня школа І-ІІІ ступенів</t>
  </si>
  <si>
    <t>вул. Лук'янова, 7</t>
  </si>
  <si>
    <t>(03655)95-2-25</t>
  </si>
  <si>
    <t>Тутовицька загальноосвітня школа І-ІІІ ступенів Сарненської районної ради Рівненської області</t>
  </si>
  <si>
    <t>34522</t>
  </si>
  <si>
    <t>5625487601</t>
  </si>
  <si>
    <t>Тутовичі</t>
  </si>
  <si>
    <t>(03655)98281</t>
  </si>
  <si>
    <t>Висовська загальноосвітня школа Сарненської районної ради Рівненської області</t>
  </si>
  <si>
    <t>34578</t>
  </si>
  <si>
    <t>5625487602</t>
  </si>
  <si>
    <t>Висове</t>
  </si>
  <si>
    <t>Довжанська загальноосвітня школа І-ІІ ступенів Сарненської районної ради Рівненської області</t>
  </si>
  <si>
    <t>34523</t>
  </si>
  <si>
    <t>5625487603</t>
  </si>
  <si>
    <t>вул. Центральна, 76А</t>
  </si>
  <si>
    <t>(03655)71106</t>
  </si>
  <si>
    <t>http://www.dovge-zosh.rv.sch.in.ua</t>
  </si>
  <si>
    <t>Цепцевицька загальноосвітня школа І - ІІІ ступенів Сарненської районної ради Рівненської області</t>
  </si>
  <si>
    <t>5625487604</t>
  </si>
  <si>
    <t>Цепцевичі</t>
  </si>
  <si>
    <t>(03655)77274</t>
  </si>
  <si>
    <t>22567629</t>
  </si>
  <si>
    <t>Чемернянська загальноосвітня школа І-ІІ ступенів</t>
  </si>
  <si>
    <t>34524</t>
  </si>
  <si>
    <t>5625487605</t>
  </si>
  <si>
    <t>Чемерне</t>
  </si>
  <si>
    <t>(03655)71131</t>
  </si>
  <si>
    <t>Тинненська загальноосвітня школа I-III ступенів Сарненської Районної Ради Рівненської області</t>
  </si>
  <si>
    <t>34544</t>
  </si>
  <si>
    <t>5625488001</t>
  </si>
  <si>
    <t>Тинне</t>
  </si>
  <si>
    <t>вул. IШкільна, 1</t>
  </si>
  <si>
    <t>(03655)94231</t>
  </si>
  <si>
    <t>Тинненська загальноосвітня школа І ступеня</t>
  </si>
  <si>
    <t>0680588949</t>
  </si>
  <si>
    <t>Комунальний заклад "Чудельська спеціальна загальноосвітня школа-інтернат № 1 І-ІІ ступенів" Рівненської обласної ради</t>
  </si>
  <si>
    <t>34542</t>
  </si>
  <si>
    <t>5625488801</t>
  </si>
  <si>
    <t>Чудель</t>
  </si>
  <si>
    <t>22558895</t>
  </si>
  <si>
    <t>Комунальний заклад "Чудельська спеціальна загальноосвітня школа-інтернат № 2 І-ІІ ступенів" Рівненської обласної ради</t>
  </si>
  <si>
    <t>вул. Соснова, 1</t>
  </si>
  <si>
    <t>(03655)2-29-60</t>
  </si>
  <si>
    <t>22585194</t>
  </si>
  <si>
    <t>Чудельська загальноосвітня школа І-ІІІ ступенів, Сарненська районна рада Сарненський район Рівненська область</t>
  </si>
  <si>
    <t>(03655)91281</t>
  </si>
  <si>
    <t>Радивилівський навчально виховний комплекс "Загальноосвітня школа І-ІІІ ступенів № 2-ліцей" ім. П.Г. Стрижака Радивилівської міської ради Радивилівського району Рівненської області</t>
  </si>
  <si>
    <t>35500</t>
  </si>
  <si>
    <t>5625810100</t>
  </si>
  <si>
    <t>Радивилів</t>
  </si>
  <si>
    <t>(03633)43460, (03633)43459</t>
  </si>
  <si>
    <t>http://school2rad.ho.ua</t>
  </si>
  <si>
    <t>Радивилівський навчально-виховний комплекс "Загальноосвітня школа І-ІІІст. № 1 - гімназія" Радивилівської міської ради Радивилівського району Рівненської області</t>
  </si>
  <si>
    <t>вул. М.Грушевського, 39</t>
  </si>
  <si>
    <t>(03633)41567</t>
  </si>
  <si>
    <t>http://nvk1.info/</t>
  </si>
  <si>
    <t>Філія "Башарівська загальноосвітня школа І - ІІ ступенів" Підзамчівської загальноосвітньої школи І-ІІІ ступенів Радивилівської міської ради Радивилівського району Рівненської області</t>
  </si>
  <si>
    <t>35550</t>
  </si>
  <si>
    <t>5625880401</t>
  </si>
  <si>
    <t>Башарівка</t>
  </si>
  <si>
    <t>вул. Набережна, 16, А</t>
  </si>
  <si>
    <t>(38)0680005561</t>
  </si>
  <si>
    <t>http://basharivka-zosh.at.ua</t>
  </si>
  <si>
    <t>25320831</t>
  </si>
  <si>
    <t>Боратинська загальноосвітня школа І ступеня</t>
  </si>
  <si>
    <t>35522</t>
  </si>
  <si>
    <t>5625881201</t>
  </si>
  <si>
    <t>наб. Набережна, 69А</t>
  </si>
  <si>
    <t>(03633)27-6-31</t>
  </si>
  <si>
    <t>http://boratyn_school.edukit.rv.ua</t>
  </si>
  <si>
    <t>Довгалівська загальноосвітня школа І-ІІІ ступенів Крупецької сільської ради Радивилівського району Рівненської області</t>
  </si>
  <si>
    <t>5625881203</t>
  </si>
  <si>
    <t>(03633)27680</t>
  </si>
  <si>
    <t>26151908</t>
  </si>
  <si>
    <t>Дружбівська загальноосвітня школа І-ІІІ ступенів Радивилівської міської ради Радивилівського раойну Рівненської області</t>
  </si>
  <si>
    <t>35554</t>
  </si>
  <si>
    <t>5625882501</t>
  </si>
  <si>
    <t>(03633)28426</t>
  </si>
  <si>
    <t>Ново-Пляшевська загальноосвітня школа І-ІІ ступенів Козинської сільської ради Рівненської області</t>
  </si>
  <si>
    <t>35534</t>
  </si>
  <si>
    <t>5625882901</t>
  </si>
  <si>
    <t>Нова Пляшева</t>
  </si>
  <si>
    <t>http://zovtneveshk.cc.ua/</t>
  </si>
  <si>
    <t>25320237</t>
  </si>
  <si>
    <t>Філія Іващуківської загальноосвітної школи І-ІІ ступенів Козинського НВК "Загальноосвітня школа І-ІІІ ступенів-колегіум" Козинської сільської ради Рівненської області</t>
  </si>
  <si>
    <t>35523</t>
  </si>
  <si>
    <t>5625883401</t>
  </si>
  <si>
    <t>Іващуки</t>
  </si>
  <si>
    <t>0978736091</t>
  </si>
  <si>
    <t>Козинський навчально-виховний комплекс "Загальноосвітня школа I-III ступенів-колегіум" Козинської сільської ради Рівненської області</t>
  </si>
  <si>
    <t>5625883901</t>
  </si>
  <si>
    <t>(03633)34252</t>
  </si>
  <si>
    <t>http://kozinkolegium.ucoz.org/</t>
  </si>
  <si>
    <t>25320266</t>
  </si>
  <si>
    <t>філія Гранівської загальноосвітньої школи І ступеня Козинського НВК "школа-колегіум" Козинської сільської ради Рівненської області</t>
  </si>
  <si>
    <t>5625883902</t>
  </si>
  <si>
    <t>Гранівка</t>
  </si>
  <si>
    <t>(03633)34187</t>
  </si>
  <si>
    <t>Крупецька загальноосвітня школа І-ІІІ ступенів Крупецької сільської ради Радивилівського району Рівненської області</t>
  </si>
  <si>
    <t>35541</t>
  </si>
  <si>
    <t>5625884801</t>
  </si>
  <si>
    <t>Крупець</t>
  </si>
  <si>
    <t>(03633)27-2-39</t>
  </si>
  <si>
    <t>25318810</t>
  </si>
  <si>
    <t>Срібненська загальноосвітня школа І - ІІ ступенів</t>
  </si>
  <si>
    <t>35542</t>
  </si>
  <si>
    <t>5625884806</t>
  </si>
  <si>
    <t>http://sribne.edukit.rv.ua</t>
  </si>
  <si>
    <t>Михайлівська загальноосвітня школа I-II ступенів Крупецької сільської ради Радивилівського району Рівненської області</t>
  </si>
  <si>
    <t>35544</t>
  </si>
  <si>
    <t>5625885201</t>
  </si>
  <si>
    <t>вул. Колгоспна, 4</t>
  </si>
  <si>
    <t>(097)6670921</t>
  </si>
  <si>
    <t>Рідківська загальноосвітня школа І - ІІ ступенів Радивилівської районної ради Рівненської області</t>
  </si>
  <si>
    <t>35515</t>
  </si>
  <si>
    <t>5625885601</t>
  </si>
  <si>
    <t>Рідків</t>
  </si>
  <si>
    <t>(098)8311900</t>
  </si>
  <si>
    <t>Митницька загальноосвітня школа І - ІІ ступенів Радивилівської районної ради Рівненської області</t>
  </si>
  <si>
    <t>35514</t>
  </si>
  <si>
    <t>5625885603</t>
  </si>
  <si>
    <t>(097)6090807</t>
  </si>
  <si>
    <t>Немирівська загальноосвітня школа І-ІІІ ступенів Радивилівської міської ради Радивилівського району Рівненської області</t>
  </si>
  <si>
    <t>36509</t>
  </si>
  <si>
    <t>5625886001</t>
  </si>
  <si>
    <t>Немирівка</t>
  </si>
  <si>
    <t>вул. Й. Петлюка, 1</t>
  </si>
  <si>
    <t>(036)28319</t>
  </si>
  <si>
    <t>http://nemyrivkasch.at.ua/</t>
  </si>
  <si>
    <t>Пляшевська загальноосвітня школа І-ІІІ ступенів Радивилівської районної ради</t>
  </si>
  <si>
    <t>35511</t>
  </si>
  <si>
    <t>5625886501</t>
  </si>
  <si>
    <t>Пляшева</t>
  </si>
  <si>
    <t>вул. Михайла Грушевського, 16</t>
  </si>
  <si>
    <t>(03633)28731</t>
  </si>
  <si>
    <t>25320154</t>
  </si>
  <si>
    <t>Острівський навчально-виховний комплекс "Загальноосвітня школа І-ІІ ступенів - дошкільний навчальний заклад " Радивилівської районної ради Рівненської області</t>
  </si>
  <si>
    <t>5625886502</t>
  </si>
  <si>
    <t>вул. Михайла  Старицького, 25</t>
  </si>
  <si>
    <t>(03633)25-1-34</t>
  </si>
  <si>
    <t>Підзамчівська загальноосвітня школа І-ІІІ ступенів Радивилівської міської ради Радивилівського району Рівненської області</t>
  </si>
  <si>
    <t>35552</t>
  </si>
  <si>
    <t>5625886901</t>
  </si>
  <si>
    <t>Підзамче</t>
  </si>
  <si>
    <t>(096)9301973</t>
  </si>
  <si>
    <t>http://pidzamche-zosh.at.ua/</t>
  </si>
  <si>
    <t>25318401</t>
  </si>
  <si>
    <t>Філія Копанівський НВК "Загальноосвітня школа І - ІІ ступенів - ДНЗ" Підзамчівської загальноосвітньої школи І - ІІІ ступенів Радивилівської міської ради</t>
  </si>
  <si>
    <t>35553</t>
  </si>
  <si>
    <t>5625886907</t>
  </si>
  <si>
    <t>Копані</t>
  </si>
  <si>
    <t>вул. Колгоспна, 7</t>
  </si>
  <si>
    <t>(03633)28185</t>
  </si>
  <si>
    <t>http://kopani-zosh.rv.sch.in.ua</t>
  </si>
  <si>
    <t>25318418</t>
  </si>
  <si>
    <t>Рудня-Почаївський навчально-виховний комплекс "Загальноосвітня школа І-ІІІ ступенів - дошкільний навчальний заклад" Козинської сільської ради Рівненської області</t>
  </si>
  <si>
    <t>35533</t>
  </si>
  <si>
    <t>5625887301</t>
  </si>
  <si>
    <t>Пустоіванне</t>
  </si>
  <si>
    <t>http://rudnya-pochaivska.inf.ua/rudnia.html</t>
  </si>
  <si>
    <t>25320319</t>
  </si>
  <si>
    <t>Сестрятинська загальноосвітня школа І-ІІ ступенів Радивилівської районної ради Рівненської області</t>
  </si>
  <si>
    <t>5625887801</t>
  </si>
  <si>
    <t>Сестрятин</t>
  </si>
  <si>
    <t>вул. Проста, 93</t>
  </si>
  <si>
    <t>(03633)4-13-79</t>
  </si>
  <si>
    <t>25320125</t>
  </si>
  <si>
    <t>Ситненська загальноосвітня школа І-ІІІ ступенів Крупецької сільської ради Радивилівського району Рівненської області</t>
  </si>
  <si>
    <t>35543</t>
  </si>
  <si>
    <t>5625888201</t>
  </si>
  <si>
    <t>Ситне</t>
  </si>
  <si>
    <t>(03633)27-5-37</t>
  </si>
  <si>
    <t>Теслугівська загальноосвітня школа І-ІІІ ступенів Радивилівської районної ради Рівненської області</t>
  </si>
  <si>
    <t>35512</t>
  </si>
  <si>
    <t>5625888501</t>
  </si>
  <si>
    <t>Теслугів</t>
  </si>
  <si>
    <t>вул. Т.Г. Шевченка, 60</t>
  </si>
  <si>
    <t>(03633)29433</t>
  </si>
  <si>
    <t>25319725</t>
  </si>
  <si>
    <t>Пляшівська загальноосвітня школа І-ІІІ ст. Радивилівської районної ради Рівненської області</t>
  </si>
  <si>
    <t>35513</t>
  </si>
  <si>
    <t>5625888503</t>
  </si>
  <si>
    <t>Пляшівка</t>
  </si>
  <si>
    <t>вул. Берестецька, 82</t>
  </si>
  <si>
    <t>0986069155</t>
  </si>
  <si>
    <t>25318306</t>
  </si>
  <si>
    <t>Хотинська загальноосвітня школа І - ІІІ ступенів імені Свєшнікова І.К. Радивилівської районної ради</t>
  </si>
  <si>
    <t>35524</t>
  </si>
  <si>
    <t>5625889001</t>
  </si>
  <si>
    <t>(3633)27346</t>
  </si>
  <si>
    <t>http://hotyn-school.edukit.rv.ua</t>
  </si>
  <si>
    <t>25318683</t>
  </si>
  <si>
    <t>Державний ліцей-інтернат з посиленою військово-фізичною підготовкою "Кадетський корпус" імені І. Г. Харитоненка</t>
  </si>
  <si>
    <t>40021</t>
  </si>
  <si>
    <t>5910100000</t>
  </si>
  <si>
    <t>Сумська область</t>
  </si>
  <si>
    <t>Суми</t>
  </si>
  <si>
    <t>вул. Г. Кондратьєва, 165</t>
  </si>
  <si>
    <t>(0542)798004</t>
  </si>
  <si>
    <t>38245193</t>
  </si>
  <si>
    <t>Комунальна установа Сумська класична гімназія Сумської міської ради</t>
  </si>
  <si>
    <t>40022</t>
  </si>
  <si>
    <t>вул. Троїцька, 5</t>
  </si>
  <si>
    <t>(0542)225266</t>
  </si>
  <si>
    <t>24006254</t>
  </si>
  <si>
    <t>Комунальна установа Сумська вечірня (змінна) школа Сумської міської ради</t>
  </si>
  <si>
    <t>40002</t>
  </si>
  <si>
    <t>вул. Роменська, 110</t>
  </si>
  <si>
    <t>Комунальна установа Сумська загальноосвітня школа І - ІІІ ступенів № 20, м. Суми, Сумської області</t>
  </si>
  <si>
    <t>40004</t>
  </si>
  <si>
    <t>вул. Металургів, 71</t>
  </si>
  <si>
    <t>(0542)22-22-57</t>
  </si>
  <si>
    <t>21115919</t>
  </si>
  <si>
    <t>Комунальна установа Сумська загальноосвітня школа І-ІІІ ступенів № 15 ім. Д.Турбіна , м. Суми, Сумської області</t>
  </si>
  <si>
    <t>40009</t>
  </si>
  <si>
    <t>вул. Пушкіна, 56</t>
  </si>
  <si>
    <t>(0542)611114</t>
  </si>
  <si>
    <t>http://zosh15sumy.ucoz.ru</t>
  </si>
  <si>
    <t>23049894</t>
  </si>
  <si>
    <t>КОМУНАЛЬНА УСТАНОВА СУМСЬКИЙ НАВЧАЛЬНО-ВИХОВНИЙ КОМПЛЕКС № 16 ІМЕНІ ОЛЕКСІЯ БРАТУШКИ "ЗАГАЛЬНООСВІТНЯ ШКОЛА І-ІІІ СТУПЕНІВ-ДОШКІЛЬНИЙ НАВЧАЛЬНИЙ ЗАКЛАД" СУМСЬКОЇ МІСЬКОЇ РАДИ</t>
  </si>
  <si>
    <t>40020</t>
  </si>
  <si>
    <t>вул. Шишкіна, 12</t>
  </si>
  <si>
    <t>(0542)61-51-15, (0542)24-54-96</t>
  </si>
  <si>
    <t>21102348</t>
  </si>
  <si>
    <t>Комунальна установа Сумська загальноосвітня школа І-ІІІ ступенів № 12 ім. Б. Берестовського, м. Суми, Сумської області</t>
  </si>
  <si>
    <t>40030</t>
  </si>
  <si>
    <t>вул. Засумська, 3</t>
  </si>
  <si>
    <t>(0542)794562</t>
  </si>
  <si>
    <t>http://school12-sumy.ukrosvita.org</t>
  </si>
  <si>
    <t>21116511</t>
  </si>
  <si>
    <t>Комунальна установа Сумська загальноосвітня школа І-ІІІ ступенів № 13 ім. А.С.Мачуленка, м. Суми, Сумської області</t>
  </si>
  <si>
    <t>вул. Іллінська, 9</t>
  </si>
  <si>
    <t>(0542)221509</t>
  </si>
  <si>
    <t>21108380</t>
  </si>
  <si>
    <t>Комунальна установа Сумська загальноосвітня школа І-ІІІ ступенів № 19 ім.М.С. Нестеровського м.Суми Сумської області</t>
  </si>
  <si>
    <t>вул. Івана Харитоненка, 3</t>
  </si>
  <si>
    <t>(0542)25-78-63</t>
  </si>
  <si>
    <t>21116391</t>
  </si>
  <si>
    <t>Комунальна установа Сумська загальноосвітня школа І-ІІІ ступенів № 22 імені Ігоря Гольченка Сумської міської ради</t>
  </si>
  <si>
    <t>40031</t>
  </si>
  <si>
    <t>вул. Ковпака, 57</t>
  </si>
  <si>
    <t>(0542)245188</t>
  </si>
  <si>
    <t>http://school22.edukit.sumy.ua</t>
  </si>
  <si>
    <t>14014201</t>
  </si>
  <si>
    <t>Комунальна установа Сумська загальноосвітня школа І-ІІІ ступенів № 26, м.Суми, Сумської області</t>
  </si>
  <si>
    <t>40007</t>
  </si>
  <si>
    <t>вул. Охтирська, 21</t>
  </si>
  <si>
    <t>(0542)330349</t>
  </si>
  <si>
    <t>http://www.zosh26-sumy.at.ua</t>
  </si>
  <si>
    <t>21111198</t>
  </si>
  <si>
    <t>Комунальна установа Сумська загальноосвітня школа І-ІІІ ступенів № 27, м. Суми, Сумської області</t>
  </si>
  <si>
    <t>вул. Охтирська, 33</t>
  </si>
  <si>
    <t>(0542)331296</t>
  </si>
  <si>
    <t>http://school27.at.ua</t>
  </si>
  <si>
    <t>23049776</t>
  </si>
  <si>
    <t>Комунальна установа Сумська загальноосвітня школа І-ІІІ ступенів № 4 імені Героя України Олександра Аніщенка Сумської міської ради</t>
  </si>
  <si>
    <t>40000</t>
  </si>
  <si>
    <t>вул. Петропавлівська, 79</t>
  </si>
  <si>
    <t>(0542)225270, (0542)227172, (0542)224876, (0542)226371</t>
  </si>
  <si>
    <t>https://sites.google.com/site/zagalnoosvitnaskola4</t>
  </si>
  <si>
    <t>22975104</t>
  </si>
  <si>
    <t>Комунальна установа Сумська загальноосвітня школа І-ІІІ ступенів № 5, м.Суми, Сумської області</t>
  </si>
  <si>
    <t>40010</t>
  </si>
  <si>
    <t>вул. Доватора, 32</t>
  </si>
  <si>
    <t>(0542)616374(0542)616205</t>
  </si>
  <si>
    <t>http://zoshsumy5.jimdo.com/</t>
  </si>
  <si>
    <t>21102420</t>
  </si>
  <si>
    <t>Комунальна установа Сумська загальноосвітня школа І-ІІІ ступенів № 6 м. Суми, Сумської області</t>
  </si>
  <si>
    <t>40035</t>
  </si>
  <si>
    <t>вул. Сумсько-Київських дивізій, 7</t>
  </si>
  <si>
    <t>(0542)36-13-47, (0542)36-12-38</t>
  </si>
  <si>
    <t>http://zosh6.sumy.ua/</t>
  </si>
  <si>
    <t>14023068</t>
  </si>
  <si>
    <t>Комунальна установа Сумська загальноосвітня школа І-ІІІ ступенів № 8, м.Суми, Сумської області</t>
  </si>
  <si>
    <t>вул. Троїцька, 7</t>
  </si>
  <si>
    <t>(0542)221193</t>
  </si>
  <si>
    <t>https://sites.google.com/site/sumskazosh8/</t>
  </si>
  <si>
    <t>Комунальна установа Сумська спеціалізована школа I-III ступенів № 9, м. Суми, Сумської області</t>
  </si>
  <si>
    <t>40024</t>
  </si>
  <si>
    <t>вул. Даргомижського, 3</t>
  </si>
  <si>
    <t>(0542)363293, (0542)363284</t>
  </si>
  <si>
    <t>14011533</t>
  </si>
  <si>
    <t>Комунальна установа Сумська спеціалізована школа І-ІІІ ступенів № 10 ім.Героя Радянського Союзу О.Бутка, м.Суми, Сумської області</t>
  </si>
  <si>
    <t>вул. Новомістенська, 30</t>
  </si>
  <si>
    <t>((0542))221262</t>
  </si>
  <si>
    <t>http://school10sumy.jimdo.com/</t>
  </si>
  <si>
    <t>21119544</t>
  </si>
  <si>
    <t>Комунальна установа Сумська спеціалізована школа І-ІІІ ступенів № 17, м. Суми, Сумської області</t>
  </si>
  <si>
    <t>40034</t>
  </si>
  <si>
    <t>просп. Михайла Лушпи, 18</t>
  </si>
  <si>
    <t>(0542)325330</t>
  </si>
  <si>
    <t>21100757</t>
  </si>
  <si>
    <t>Комунальна установа Сумська спеціалізована школа І-ІІІ ступенів № 2 ім. Д.Косаренка м. Суми, Сумської області</t>
  </si>
  <si>
    <t>вул. Герасима Кондратьєва, 76</t>
  </si>
  <si>
    <t>(0542)224504</t>
  </si>
  <si>
    <t>http://schoolsumy2.klasna.com</t>
  </si>
  <si>
    <t>23049664</t>
  </si>
  <si>
    <t>Комунальна установа Сумська спеціалізована школа І-ІІІ ступенів № 25, м. Суми Сумської області</t>
  </si>
  <si>
    <t>40013</t>
  </si>
  <si>
    <t>вул. Декабристів, 80</t>
  </si>
  <si>
    <t>(0542)618255</t>
  </si>
  <si>
    <t>http://ssh25.sumy.ua/</t>
  </si>
  <si>
    <t>21117479</t>
  </si>
  <si>
    <t>комунальна установа Сумська спеціалізована школа І-ІІІ ступенів № 3 ім. генерал-лейтенанта А.Морозова м. Суми, Сумської області</t>
  </si>
  <si>
    <t>вул. 20 років Перемоги, 9</t>
  </si>
  <si>
    <t>70-19-70</t>
  </si>
  <si>
    <t>http://Sshsumy3.jimdo.com</t>
  </si>
  <si>
    <t>Комунальна установа Сумський навчально-виховний комплекс "Загальоноосвітня школа І ступеня - дошкільний навчальний заклад № 9 "Веснянка" м.Суми Сумської обл.</t>
  </si>
  <si>
    <t>вул. Холодногірська, 47</t>
  </si>
  <si>
    <t>(0542)276231</t>
  </si>
  <si>
    <t>31548429</t>
  </si>
  <si>
    <t>Комунальний заклад Сумської обласної ради "Сумська обласна гімназія-інтернат для талановитих та творчо обдарованих дітей"</t>
  </si>
  <si>
    <t>40019</t>
  </si>
  <si>
    <t>пров. Березовий, 28</t>
  </si>
  <si>
    <t>(0542)630284</t>
  </si>
  <si>
    <t>33724309</t>
  </si>
  <si>
    <t>Приватний загальноосвітній навчальний заклад Сумська приватна гімназія "Просперітас"</t>
  </si>
  <si>
    <t>вул. Г. Кондратьєва, 52</t>
  </si>
  <si>
    <t>(0542)655-068, 050-853-15-88</t>
  </si>
  <si>
    <t>Сумський навчально-виховний комплекс "Просперітас"</t>
  </si>
  <si>
    <t>(0542)65-50-68</t>
  </si>
  <si>
    <t>http://www.private-school.sumy.ua</t>
  </si>
  <si>
    <t>Комунальний заклад Сумської обласної ради "Обласний ліцей-інтернат спортивного профілю "Барса" Н</t>
  </si>
  <si>
    <t>вул. Привокзальна, 2/1</t>
  </si>
  <si>
    <t>(0542)700456</t>
  </si>
  <si>
    <t>41359632</t>
  </si>
  <si>
    <t>Комунальна установа Сумська загальноосвітня школа І-ІІІ ступенів № 21, м. Суми, Сумської області</t>
  </si>
  <si>
    <t>5910136300</t>
  </si>
  <si>
    <t>Суми, Зарічний район</t>
  </si>
  <si>
    <t>вул. Котовського, 32</t>
  </si>
  <si>
    <t>(0542)33-11-87, (0542)33-13-61</t>
  </si>
  <si>
    <t>23049687</t>
  </si>
  <si>
    <t>Комунальна установа Сумська загальноосвітня школа І-ІІІ ступенів № 23, м. Суми, Сумської області</t>
  </si>
  <si>
    <t>просп. Михайла Лушпи, 36</t>
  </si>
  <si>
    <t>(0542)324832</t>
  </si>
  <si>
    <t>14013957</t>
  </si>
  <si>
    <t>Комунальна установа Сумська загальноосвітня школа І-ІІІ ступенів № 24, м.Суми, Сумської області</t>
  </si>
  <si>
    <t>вул. Паризької Комуни, буд.20</t>
  </si>
  <si>
    <t>((0542))36-50-21</t>
  </si>
  <si>
    <t>https://sites.google.com/site/kuzos24</t>
  </si>
  <si>
    <t>23049747</t>
  </si>
  <si>
    <t>Комунальна установа Сумська спеціалізована школа І-ІІІ ступенів № 1 імені В.Стрельченка, м. Суми Сумської області</t>
  </si>
  <si>
    <t>вул. Герасима Кондратьєва, 136</t>
  </si>
  <si>
    <t>(0542)62-73-18, (0542)62-73-26</t>
  </si>
  <si>
    <t>21127590</t>
  </si>
  <si>
    <t>Комунальна установа Сумська спеціалізована школа І-ІІІ ступенів № 29, м. Суми, Сумської області</t>
  </si>
  <si>
    <t>вул. Заливна, 25</t>
  </si>
  <si>
    <t>(0542)32-88-51, (0542)32-88-30</t>
  </si>
  <si>
    <t>http://school29.zz.mu</t>
  </si>
  <si>
    <t>23049581</t>
  </si>
  <si>
    <t>Комунальна установа Сумська спеціальна загальноосвітня школа Сумської міської ради</t>
  </si>
  <si>
    <t>вул. Прокоф’єва, 28</t>
  </si>
  <si>
    <t>(0542)360169, (0542)362322</t>
  </si>
  <si>
    <t>http://www.specshkola.at.ua</t>
  </si>
  <si>
    <t>Комунальна установа Сумський навчально-виховний комплекс "загальноосвітня школа І ступеня - дошкільний навчальний заклад № 11 "Журавонька" м. Суми , Сумської області</t>
  </si>
  <si>
    <t>вул. Харківська, 66</t>
  </si>
  <si>
    <t>(0542)33-11-20</t>
  </si>
  <si>
    <t>http://nvk11sumy.ukrosvita.org/</t>
  </si>
  <si>
    <t>31499639</t>
  </si>
  <si>
    <t>Комунальна установа Сумська гімназія № 1 м.Суми Сумської області</t>
  </si>
  <si>
    <t>5910136600</t>
  </si>
  <si>
    <t>Суми, Ковпаківський район</t>
  </si>
  <si>
    <t>(0542)221745</t>
  </si>
  <si>
    <t>http://gimnazia.sumy.ua</t>
  </si>
  <si>
    <t>14014262</t>
  </si>
  <si>
    <t>Комунальна установа Сумська загальноосвітня школа І - ІІІ ступенів № 18 Сумської міської ради</t>
  </si>
  <si>
    <t>вул. Леваневського, 8</t>
  </si>
  <si>
    <t>(0542)255203, (0542)250250</t>
  </si>
  <si>
    <t>http://18-sumy.com</t>
  </si>
  <si>
    <t>21117924</t>
  </si>
  <si>
    <t>Комунальна установа Сумська спеціалізована школа І ступеня № 30, міста Суми, Сумської області</t>
  </si>
  <si>
    <t>40011</t>
  </si>
  <si>
    <t>(0542)775057, (0542)327975, (0542)252049</t>
  </si>
  <si>
    <t>33390023</t>
  </si>
  <si>
    <t>Комунальна установа Сумська спеціалізована школа І-ІІІ ступенів № 7 імені Максима Савченка Сумської міської ради</t>
  </si>
  <si>
    <t>вул. Лесі України, 23</t>
  </si>
  <si>
    <t>(0542)245390</t>
  </si>
  <si>
    <t>21108486</t>
  </si>
  <si>
    <t>Комунальна установа Сумський навчально-виховний комплекс "дошкільний навчальний заклад-загальноосвітня школа І ступеня № 41 "Райдуга", м. Суми, Сумської області</t>
  </si>
  <si>
    <t>вул. Л.Бикова, 9</t>
  </si>
  <si>
    <t>(0542)255359</t>
  </si>
  <si>
    <t>http://www.41.sadik.sumy.ua</t>
  </si>
  <si>
    <t>31548392</t>
  </si>
  <si>
    <t>Комунальна установа Сумський спеціальний навчально-виховний комплекс "Загальноосвітня школа І ступеня - дошкільний навчальний заклад № 37 "Зірочка" Сумської міської ради</t>
  </si>
  <si>
    <t>вул. Труда, 4,6</t>
  </si>
  <si>
    <t>(054)77-59-17</t>
  </si>
  <si>
    <t>23294211</t>
  </si>
  <si>
    <t>Комунальна установа Сумський спеціальний реабілітаційний навчально - виховний комплекс "Загальноосвітня школа І ступеня - дошкільний навчальний заклад № 34" Сумської міської ради</t>
  </si>
  <si>
    <t>вул. Марії Раскової, 130</t>
  </si>
  <si>
    <t>(0542)245933</t>
  </si>
  <si>
    <t>http://srnvk34sumy.ukrosvita.org/</t>
  </si>
  <si>
    <t>21111206</t>
  </si>
  <si>
    <t>Управління освіти і науки Сумської міської ради. Сумський навчально - виховний комплекс "Загальноосвітня школа I ступеня - дошкільний навчальний заклад № 42", міста Суми, Сумської області</t>
  </si>
  <si>
    <t>вул. Данила Галицького, 22</t>
  </si>
  <si>
    <t>(0542)22-48-41</t>
  </si>
  <si>
    <t>21108256</t>
  </si>
  <si>
    <t>Комунальна установа Піщанська загальноосвітня школа І-ІІ ступенів м.Суми, Сумської області</t>
  </si>
  <si>
    <t>40491</t>
  </si>
  <si>
    <t>5910191501</t>
  </si>
  <si>
    <t>(0542)696908</t>
  </si>
  <si>
    <t>http://www.pischane2013.ucoz.ua</t>
  </si>
  <si>
    <t>Комунальна установа В-Піщанська загальноосвітня школа І-ІІ ступенів м. Суми, Сумської області</t>
  </si>
  <si>
    <t>40490</t>
  </si>
  <si>
    <t>5910191503</t>
  </si>
  <si>
    <t>Верхне Піщане</t>
  </si>
  <si>
    <t>(0542)24-54-69</t>
  </si>
  <si>
    <t>http://vpischane.jimdo.com</t>
  </si>
  <si>
    <t>Охтирська гімназія Охтирської міської ради Сумської області</t>
  </si>
  <si>
    <t>42706</t>
  </si>
  <si>
    <t>5910200000</t>
  </si>
  <si>
    <t>Охтирка</t>
  </si>
  <si>
    <t>вул. Сумська, 4</t>
  </si>
  <si>
    <t>(05446)2-46-53, (099)9322799</t>
  </si>
  <si>
    <t>Охтирська загальноосвітня школа І- ІІ ступенів № 6 Охтирської міської ради Сумської області</t>
  </si>
  <si>
    <t>42700</t>
  </si>
  <si>
    <t>вул. Сумська, 44</t>
  </si>
  <si>
    <t>(05446)24334</t>
  </si>
  <si>
    <t>Охтирська загальноосвітня школа І-ІІ ступенів № 9 Охтирської міської ради Сумської області</t>
  </si>
  <si>
    <t>(05446)22175</t>
  </si>
  <si>
    <t>Охтирська загальноосвітня школа І-ІІІ ступенів № 1 Охтирської міської ради</t>
  </si>
  <si>
    <t>(05446)22080</t>
  </si>
  <si>
    <t>Охтирська загальноосвітня школа І-ІІІ ступенів № 4 ім. Остапа Вишні Охтирської міської ради Сумської області</t>
  </si>
  <si>
    <t>(05446)2-26-01</t>
  </si>
  <si>
    <t>http://shkola-vishni.okht.net</t>
  </si>
  <si>
    <t>Охтирська загальноосвітня школа І-ІІІ ступенів № 8 Охтирської міської ради Сумської області</t>
  </si>
  <si>
    <t>вул. Гоголя, 30, а</t>
  </si>
  <si>
    <t>(05446)2-31-24</t>
  </si>
  <si>
    <t>http://okhtyrka-zoh8.ucoz.ua/</t>
  </si>
  <si>
    <t>Охтирська загальноосвітня школа І-ІІІ ступенів № 2 Охтирської міської ради Сумської області</t>
  </si>
  <si>
    <t>пров. Сумський, 35</t>
  </si>
  <si>
    <t>Охтирська загальноосвітня школа І-ІІІ ступенів № 3 Охтирської міської рада Сумської області</t>
  </si>
  <si>
    <t>http://zosh3okhtyrka.ucoz.ua</t>
  </si>
  <si>
    <t>Охтирська загальноосвітня школа І-ІІІ ступенів № 5 імені Р.К. Рапія Охтирської міської ради Сумської області</t>
  </si>
  <si>
    <t>42704</t>
  </si>
  <si>
    <t>вул. Армійська, 107</t>
  </si>
  <si>
    <t>(05446)3-15-13</t>
  </si>
  <si>
    <t>http://school5-okhtyrka.net</t>
  </si>
  <si>
    <t>Охтирська загальноосвітня школа І-ІІІступенів № 11 Охтирської міської ради Сумської області</t>
  </si>
  <si>
    <t>вул. Сумська, 223</t>
  </si>
  <si>
    <t>(05446)23744</t>
  </si>
  <si>
    <t>https://sites.google.com/site/ohtskola11/novini</t>
  </si>
  <si>
    <t>Глухівська загальноосвітня школа І-ІІІ ступенів № 1 Глухівської міської ради Сумської області</t>
  </si>
  <si>
    <t>41400</t>
  </si>
  <si>
    <t>5910300000</t>
  </si>
  <si>
    <t>вул. Вознесенська, 13</t>
  </si>
  <si>
    <t>(05444)2-22-38</t>
  </si>
  <si>
    <t>http://gluhovzosh1.ucos.ru</t>
  </si>
  <si>
    <t>21128767</t>
  </si>
  <si>
    <t>Глухівська загальноосвітня школа І-ІІІ ступенів № 2 Глухівської міської ради Сумської області</t>
  </si>
  <si>
    <t>вул. Інститутська, 41</t>
  </si>
  <si>
    <t>(05444)2-22-45</t>
  </si>
  <si>
    <t>23045884</t>
  </si>
  <si>
    <t>Глухівська загальноосвітня школа І-ІІІ ступенів № 3 Глухівської міської ради Сумської області</t>
  </si>
  <si>
    <t>вул. Києво-Московська, 45</t>
  </si>
  <si>
    <t>(05444)22733</t>
  </si>
  <si>
    <t>https://glsch3.wordpress.com/</t>
  </si>
  <si>
    <t>21128833</t>
  </si>
  <si>
    <t>Глухівська загальноосвітня школа І-ІІІ ступенів № 6 Глухівської міської ради Сумської області</t>
  </si>
  <si>
    <t>вул. Героїв Крут, 5</t>
  </si>
  <si>
    <t>(05444)7-20-09, (05444)7-26-90</t>
  </si>
  <si>
    <t>http://glukhiv-zosh6.sumy.sch.in.ua</t>
  </si>
  <si>
    <t>21129117</t>
  </si>
  <si>
    <t>Глухівський навчально-виховний комплекс: дошкільний навчальний заклад - загальноосвітня школа І-ІІ ступенів № 4 Глухівської міської ради Сумської області</t>
  </si>
  <si>
    <t>(05444)22736</t>
  </si>
  <si>
    <t>http://gluhovnvk4.wordpress.com</t>
  </si>
  <si>
    <t>Глухівський навчально-виховний комплекс:дошкільний навчальний заклад-загальноосвітня школа І ступеня № 5 Глухівської міської ради Сумської області</t>
  </si>
  <si>
    <t>вул. Покровська, 63</t>
  </si>
  <si>
    <t>(05444)2-55-80</t>
  </si>
  <si>
    <t>Комунальний заклад Сумської обласної ради Глухівська загальноосвітня школа-інтернат І-ІІІ ступенів імені Миколи Івановича Жужоми</t>
  </si>
  <si>
    <t>вул. Жужоми, 8</t>
  </si>
  <si>
    <t>(05444)22700</t>
  </si>
  <si>
    <t>http://internatglukhov.wordpress.com</t>
  </si>
  <si>
    <t>21128773</t>
  </si>
  <si>
    <t>Комунальний заклад Сумської обласної державної адміністрації Конотопська спеціальна загальноосвітня школа-інтернат</t>
  </si>
  <si>
    <t>41600</t>
  </si>
  <si>
    <t>5910400000</t>
  </si>
  <si>
    <t>Конотоп</t>
  </si>
  <si>
    <t>вул. М.Немолота, 8</t>
  </si>
  <si>
    <t>(05447)2-62-44</t>
  </si>
  <si>
    <t>22979042</t>
  </si>
  <si>
    <t>Комунальний заклад Сумської обласної ради Конотопська загальноосвітня санаторна школа-інтернат І-ІІ ступенів</t>
  </si>
  <si>
    <t>вул. Інтернатна, 122</t>
  </si>
  <si>
    <t>(05447)62449</t>
  </si>
  <si>
    <t>22979059</t>
  </si>
  <si>
    <t>Конотопська гімназія Конотопської міської ради Сумської області</t>
  </si>
  <si>
    <t>41615</t>
  </si>
  <si>
    <t>вул. Братів Радченків, 21</t>
  </si>
  <si>
    <t>(05447)23123</t>
  </si>
  <si>
    <t>http://www.gimnaz.org.ua</t>
  </si>
  <si>
    <t>Конотопська загальноосвітня школа І - ІІІ ступенів № 10 Конотопської міської ради Сумської області</t>
  </si>
  <si>
    <t>вул. пр. Миру, 65</t>
  </si>
  <si>
    <t>(05447)62138, (05447)62172</t>
  </si>
  <si>
    <t>Конотопська загальноосвітня школа І - ІІІ ступенів № 14 Конотопської міської ради Сумської області</t>
  </si>
  <si>
    <t>вул. Євгенії Бош, 29</t>
  </si>
  <si>
    <t>(05447)6-01-57</t>
  </si>
  <si>
    <t>Конотопська загальноосвітня школа І - ІІІ ступенів № 5 Конотопської міської ради Сумської області</t>
  </si>
  <si>
    <t>(05447)2-33-79, (05447)2-35-40, (05447)6-63-76</t>
  </si>
  <si>
    <t>Конотопська загальноосвітня школа І-ІІІ ступенів № 11 Конотопської міської ради Сумської області</t>
  </si>
  <si>
    <t>41602</t>
  </si>
  <si>
    <t>вул. Свободи, 8</t>
  </si>
  <si>
    <t>(05447)6-05-61</t>
  </si>
  <si>
    <t>Конотопська загальноосвітня школа І-ІІІ ступенів № 13 Конотопської міської ради Сумської області</t>
  </si>
  <si>
    <t>вул. Богдана Хмельницького, 91</t>
  </si>
  <si>
    <t>(05447)60875</t>
  </si>
  <si>
    <t>Конотопська загальноосвітня школа І-ІІІ ступенів № 7 імені Григорія Гуляницького Конотопської міської ради Сумської області</t>
  </si>
  <si>
    <t>вул. Конотопських партизан, 27</t>
  </si>
  <si>
    <t>(05447)63496</t>
  </si>
  <si>
    <t>Конотопська спеціалізована школа І-ІІІ ступенів № 12 Конотопської міської ради Сумської області</t>
  </si>
  <si>
    <t>вул. Ярослава Мудрого, 2</t>
  </si>
  <si>
    <t>(05447)23677</t>
  </si>
  <si>
    <t>Конотопська спеціалізована школа І-ІІІ ступенів № 9 Конотопської міської ради Сумської області</t>
  </si>
  <si>
    <t>вул. Сарнавська, 38А</t>
  </si>
  <si>
    <t>(05447)67509</t>
  </si>
  <si>
    <t>http://konotop9school.at.ua/</t>
  </si>
  <si>
    <t>Конотопська спеціалізована школа І-ІІІ ступенів № 3 Конотопської міської ради Сумської області</t>
  </si>
  <si>
    <t>41608</t>
  </si>
  <si>
    <t>вул. Клубна, 150</t>
  </si>
  <si>
    <t>(05447)3-16-68</t>
  </si>
  <si>
    <t>Конотопська спеціалізована школа ІІ-ІІІ ступенів № 2 Конотопської міської ради Сумської області</t>
  </si>
  <si>
    <t>вул. Виконкомівська, 12</t>
  </si>
  <si>
    <t>(05447)26342, (05447)66311</t>
  </si>
  <si>
    <t>Конотопський навчально - виховний комплекс: загальноосвітня школа І ступеня-дошкільний навчальний заклад</t>
  </si>
  <si>
    <t>вул. Володимира Шухова, 10</t>
  </si>
  <si>
    <t>Конотопський навчально-виховний комплекс: загальноосвітня школа І ступеня -дошкільний навчальний заклад "Казка" Конотопської міської ради Сумської області</t>
  </si>
  <si>
    <t>вул. Успенсько-Троїцька, 58</t>
  </si>
  <si>
    <t>(05447)2-53-27</t>
  </si>
  <si>
    <t>http://nvk-kazka.klasna.com</t>
  </si>
  <si>
    <t>Підлипненська загальноосвітня школа І-ІІІ ступенів Конотопської міської ради Сумської області</t>
  </si>
  <si>
    <t>41626</t>
  </si>
  <si>
    <t>5910490501</t>
  </si>
  <si>
    <t>Підлипне</t>
  </si>
  <si>
    <t>вул. Короленка, 18/А</t>
  </si>
  <si>
    <t>(05447)55-8-07</t>
  </si>
  <si>
    <t>Комунальний заклад Сумської обласної ради - Лебединська спеціальна загальноосвітня школа-інтернат</t>
  </si>
  <si>
    <t>42200</t>
  </si>
  <si>
    <t>5910500000</t>
  </si>
  <si>
    <t>Лебедин</t>
  </si>
  <si>
    <t>вул. Маршала Рибалка, 33</t>
  </si>
  <si>
    <t>(05445)22505</t>
  </si>
  <si>
    <t>23052005</t>
  </si>
  <si>
    <t>Лебединська загальноосвітня вечірня (змінна) школа ІІ - ІІІ ступенів Лебединської міської ради Сумської області</t>
  </si>
  <si>
    <t>вул. Олександра Чапаєва, 1</t>
  </si>
  <si>
    <t>Лебединська загальноосвітня школа І-ІІ ступенів № 4 Лебединської міської ради Сумської області</t>
  </si>
  <si>
    <t>(05445)2-06-64</t>
  </si>
  <si>
    <t>http://lebzosh4.com.ua/</t>
  </si>
  <si>
    <t>Лебединська загальноосвітня школа І-ІІІ ступенів № 1 Лебединської міської ради Сумської області</t>
  </si>
  <si>
    <t>вул. Героїв Майдану, 16</t>
  </si>
  <si>
    <t>(05445)22142</t>
  </si>
  <si>
    <t>Лебединська загальноосвітня школа І-ІІІ ступенів № 3 Лебединської міської ради Сумської області</t>
  </si>
  <si>
    <t>пл. Зуєва, 12</t>
  </si>
  <si>
    <t>(05445)24069</t>
  </si>
  <si>
    <t>Лебединська загальноосвітня школа І-ІІІ ступенів № 5 Лебединської міської ради Сумської області</t>
  </si>
  <si>
    <t>пл. Соборна, 35</t>
  </si>
  <si>
    <t>(05445)22440, (05445)21667</t>
  </si>
  <si>
    <t>http://lebedyn-school5.narod.ru/</t>
  </si>
  <si>
    <t>Лебединська загальноосвітня школа І-ІІІ ступенів № 6 Лебединської міської ради Сумської області</t>
  </si>
  <si>
    <t>вул. Першогвардійська, 51</t>
  </si>
  <si>
    <t>(05445)21537</t>
  </si>
  <si>
    <t>http://lebzosh6.at.ua</t>
  </si>
  <si>
    <t>Лебединська спеціалізована школа І-ІІІ ступенів № 7 Лебединської міської ради Сумської області</t>
  </si>
  <si>
    <t>вул. Сумська, 9</t>
  </si>
  <si>
    <t>(05445)219-37, (05445)2-19-37</t>
  </si>
  <si>
    <t>Роменська загальноосвітня школа I-III ступенів № 10 Роменської міської ради Сумської області</t>
  </si>
  <si>
    <t>42005</t>
  </si>
  <si>
    <t>5910700000</t>
  </si>
  <si>
    <t>Ромни</t>
  </si>
  <si>
    <t>вул. Конотопська, 50</t>
  </si>
  <si>
    <t>(05448)58991</t>
  </si>
  <si>
    <t>Роменська загальноосвітня школа І-ІІ ступенів № 6 Роменської міської ради Сумської області</t>
  </si>
  <si>
    <t>42009</t>
  </si>
  <si>
    <t>вул. Всіхсвятська, 5</t>
  </si>
  <si>
    <t>Роменська загальноосвітня школа І-ІІ ступенів № 8 Роменської міської ради Сумської області</t>
  </si>
  <si>
    <t>42004</t>
  </si>
  <si>
    <t>вул. Семирічки, 94</t>
  </si>
  <si>
    <t>(098)6737668</t>
  </si>
  <si>
    <t>Роменська загальноосвітня школа І-ІІІ ступенів № 4 Роменської міської ради Сумської області</t>
  </si>
  <si>
    <t>42000</t>
  </si>
  <si>
    <t>вул. Монастирська, 2</t>
  </si>
  <si>
    <t>(05448)21346</t>
  </si>
  <si>
    <t>http://romny-school4.edukit.sumy.ua/</t>
  </si>
  <si>
    <t>Роменська загальноосвітня школа І-ІІІ ступенів № 5 Роменської міської ради Сумської області</t>
  </si>
  <si>
    <t>42006</t>
  </si>
  <si>
    <t>вул. Прокопенка, 76</t>
  </si>
  <si>
    <t>3-15-90</t>
  </si>
  <si>
    <t>Роменська загальноосвітня школа І-ІІІ ступенів № 11 Роменської міської ради Сумської області</t>
  </si>
  <si>
    <t>42001</t>
  </si>
  <si>
    <t>вул. Горького, 121</t>
  </si>
  <si>
    <t>(05448)23283</t>
  </si>
  <si>
    <t>Роменська загальноосвітня школа І-ІІІ ступенів № 7 Роменської міської ради Сумської області</t>
  </si>
  <si>
    <t>вул. Полтавська, 32</t>
  </si>
  <si>
    <t>((05448))79794</t>
  </si>
  <si>
    <t>Роменська спеціалізована загальноосвітня школа І-ІІІ ступенів № 2 ім. акад. А.Ф.Йоффе Роменської міської ради Сумської області</t>
  </si>
  <si>
    <t>(05448)21667</t>
  </si>
  <si>
    <t>http://school2romny.com.ua</t>
  </si>
  <si>
    <t>Роменська спеціалізована загальноосвітня школа І-ІІІ ступенів № 1 ім.П.І.Калнишевського Роменської міської ради Сумської області</t>
  </si>
  <si>
    <t>вул. Пушкіна, 15</t>
  </si>
  <si>
    <t>(05448)22127, (05448)24197</t>
  </si>
  <si>
    <t>http://szosh1romny.key.ua</t>
  </si>
  <si>
    <t>загальноосвітня санаторна школа І-ІІІ ступенів комунального лікувально-профілактичного закладу "Шосткинський обласний дитячий протитуберкульозний санаторій"</t>
  </si>
  <si>
    <t>5911000000</t>
  </si>
  <si>
    <t>Шостка</t>
  </si>
  <si>
    <t>(05449)51852</t>
  </si>
  <si>
    <t>Комунальна організація "Шосткинська загальноосвітня школа І-ІІІ ступенів № 4 Шосткинської міської ради Сумської області"</t>
  </si>
  <si>
    <t>41101</t>
  </si>
  <si>
    <t>вул. Заводська, 30</t>
  </si>
  <si>
    <t>(05449)7-75-62</t>
  </si>
  <si>
    <t>https://sites.google.com/site/shostkasch4</t>
  </si>
  <si>
    <t>Комунальна організація (установа, заклад) "Шосткинська вечірня (змінна) школа Шосткинської міської ради Сумської області"</t>
  </si>
  <si>
    <t>41100</t>
  </si>
  <si>
    <t>(05449)72734</t>
  </si>
  <si>
    <t>https://sites.google.com/site/shostkavechirnya</t>
  </si>
  <si>
    <t>Комунальна організація (установа, заклад) "Шосткинська загальноосвітня школа І-ІІІ ступенів № 12 Шосткинської міської ради Сумської області "</t>
  </si>
  <si>
    <t>(05449)42163, (05449)20036</t>
  </si>
  <si>
    <t>https://sites.google.com/site/shostkaskola12</t>
  </si>
  <si>
    <t>Комунальна організація (установа, заклад) "Шосткинська загальноосвітня школа І-ІІІ ступенів № 7 Шосткинської міської ради Сумської області"</t>
  </si>
  <si>
    <t>(05449)7-31-21, (05449)7-28-60</t>
  </si>
  <si>
    <t>https://sites.google.com/view/shostka-shkola-7</t>
  </si>
  <si>
    <t>Комунальна організація (установа, заклад) "Шосткинська загальноосвітня школа І-ІІІ ступенів № 11 Шосткинської міської ради Сумської області"</t>
  </si>
  <si>
    <t>(05449)62409</t>
  </si>
  <si>
    <t>Комунальна організація (установа, заклад) "Шосткинська загальноосвітня школа І-ІІІ ступенів № 8 Шосткинської міської ради Сумської області"</t>
  </si>
  <si>
    <t>вул. Озерна, 29</t>
  </si>
  <si>
    <t>(05449)5-18-70</t>
  </si>
  <si>
    <t>Комунальна організація (установа, заклад) "Шосткинська спеціалізована школа І ступеня № 13 Шосткинської міської ради Сумської області"</t>
  </si>
  <si>
    <t>вул. Знаменська, 4А</t>
  </si>
  <si>
    <t>(05449)46407</t>
  </si>
  <si>
    <t>http://shostka-school13.edukit.sumy.ua/</t>
  </si>
  <si>
    <t>Комунальна організація (установа, заклад) "Шосткинська спеціалізована школа І-ІІІ ступенів № 1 Шосткинської міської ради Сумської області"</t>
  </si>
  <si>
    <t>вул. Чернигівська, 10</t>
  </si>
  <si>
    <t>(05449)21331, (05449)21083</t>
  </si>
  <si>
    <t>http://www.shostka-school1.edukit.sumy.ua</t>
  </si>
  <si>
    <t>Комунальна організація (установа, заклад) "Шосткинська спеціальна загальноосвітня школа І-ІІ ступенів № 10 Шосткинської міської ради Сумської області"</t>
  </si>
  <si>
    <t>(05449)73015</t>
  </si>
  <si>
    <t>Комунальна організація (установа, заклад) "Шосткинський навчально-виховний комплекс: загальноосвітня школа І-ІІІ ступенів № 6 - дошкільний навчальний заклад ім. Героя Радянського Союзу Колодко М.О. Шосткинської міської ради Сумської області"</t>
  </si>
  <si>
    <t>(05449)7-99-81</t>
  </si>
  <si>
    <t>Комунальна організація (установа, заклад) "Шосткинський навчально-виховний комплекс: спеціалізована школа І-ІІ ступенів-ліцей Шосткинської міської ради Сумської області"</t>
  </si>
  <si>
    <t>вул. Свободи, 33</t>
  </si>
  <si>
    <t>(05449)72589, (05449)72249</t>
  </si>
  <si>
    <t>http://shostka-nvk-lic.ucoz.com/</t>
  </si>
  <si>
    <t>Комунальна організація (установа, заклад) «Шосткинська загальноосвітня школа I-III ступенів № 5» Шосткинської міської ради Сумської області</t>
  </si>
  <si>
    <t>вул. Марата, 24А</t>
  </si>
  <si>
    <t>(05449)75568, (05449)61288</t>
  </si>
  <si>
    <t>https://sites.google.com/site/shostkaschool5/</t>
  </si>
  <si>
    <t>Комунальна організація (установа, заклад) «Шосткинський навчально-виховний комплекс: Шосткинська загальноосвітня школа І-ІІІ ступенів № 9 - дошкільний навчальний заклад Шосткинської міської ради Сумської області"</t>
  </si>
  <si>
    <t>вул. Сумська, 2</t>
  </si>
  <si>
    <t>(05449)20232, (05449)70319</t>
  </si>
  <si>
    <t>http://shostka-nvk9.sumy.sch.in.ua/</t>
  </si>
  <si>
    <t>Комунальна організація (установа,заклад) "Шосткинська гімназія Шосткинської міської ради Сумської області"</t>
  </si>
  <si>
    <t>вул. Інститутська, 4</t>
  </si>
  <si>
    <t>(05449)22040, (05449)72030</t>
  </si>
  <si>
    <t>http://www.gimn.shostka.shkolnik.net.ua</t>
  </si>
  <si>
    <t>Комунальний заклад Сумської обласної ради - Шосткинська загальноосвітня школа-інтернат І-ІІІ ступенів</t>
  </si>
  <si>
    <t>(05449)21107</t>
  </si>
  <si>
    <t>http://zoshi.ucoz.ua/</t>
  </si>
  <si>
    <t>22978674</t>
  </si>
  <si>
    <t>Чупахівська спеціалізована школа І-ІІІ ступенів Охтирської районної ради Сумської області</t>
  </si>
  <si>
    <t>42722</t>
  </si>
  <si>
    <t>5920355500</t>
  </si>
  <si>
    <t>Чупахівка</t>
  </si>
  <si>
    <t>(05446)90266</t>
  </si>
  <si>
    <t>http://sites.google.com/site/chupahovschool</t>
  </si>
  <si>
    <t>Литовський навчально -виховний комплекс: загальноосвітня школа І-ІІ ступенів -дошкільний навчальний заклад Охтирської районної ради Сумської області</t>
  </si>
  <si>
    <t>42742</t>
  </si>
  <si>
    <t>5920380403</t>
  </si>
  <si>
    <t>Литовка</t>
  </si>
  <si>
    <t>(05446)75222</t>
  </si>
  <si>
    <t>http://litovka-school.at.ua</t>
  </si>
  <si>
    <t>Бугруватський навчально-виховний комплекс: загальноосвітня школа І-ІІІ ступенів - дошкільний навчальний заклад Охтирської районної ради Сумської області</t>
  </si>
  <si>
    <t>42767</t>
  </si>
  <si>
    <t>5920380801</t>
  </si>
  <si>
    <t>Бугрувате</t>
  </si>
  <si>
    <t>(05446)71244</t>
  </si>
  <si>
    <t>Височанський навчально-виховний комплекс: загальноосвітня школа І - ІІІ ступенів - дошкільний навчальний заклад Охтирської районної ради Сумської області</t>
  </si>
  <si>
    <t>42743</t>
  </si>
  <si>
    <t>5920381201</t>
  </si>
  <si>
    <t>вул. Харківська, 40</t>
  </si>
  <si>
    <t>98-2-48</t>
  </si>
  <si>
    <t>В'язівська філія Грунської загальноосвітньої школи І-ІІІ ступенів ім. Героя Радянського Союзу А.М. Діхтяренка</t>
  </si>
  <si>
    <t>42736</t>
  </si>
  <si>
    <t>5920381601</t>
  </si>
  <si>
    <t>В'язове</t>
  </si>
  <si>
    <t>(05446)64293</t>
  </si>
  <si>
    <t>Грінченківський навчально-виховний комплекс: загальноосвітня школа І-ІІ ступенів - дошкільний навчальний заклад Охтирської районної ради Сумської області</t>
  </si>
  <si>
    <t>42725</t>
  </si>
  <si>
    <t>5920382001</t>
  </si>
  <si>
    <t>Грінченкове</t>
  </si>
  <si>
    <t>(054)466-52-31</t>
  </si>
  <si>
    <t>Грунська загальноосвітня школа І-ІІІ ступенів імені Героя Радянського Союзу А.М.Діхтяренка Грунської сільської ради Охтирського району Сумської області</t>
  </si>
  <si>
    <t>42733</t>
  </si>
  <si>
    <t>5920382401</t>
  </si>
  <si>
    <t>Грунь</t>
  </si>
  <si>
    <t>пл. імені Остапа Вишні, 1</t>
  </si>
  <si>
    <t>(05446)91275</t>
  </si>
  <si>
    <t>Комунальний заклад Сумської обласної ради Грунська спеціальна загальноосвітня школа-інтернат Охтирського району</t>
  </si>
  <si>
    <t>вул. Охтирська, 26</t>
  </si>
  <si>
    <t>(05446)91260</t>
  </si>
  <si>
    <t>22983538</t>
  </si>
  <si>
    <t>Довжицький навачально-виховний комплекс: загальноосвітня школа І-ІІІ ступенів - дошкільний навчальний заклад Охтирської районної ради Сумської області</t>
  </si>
  <si>
    <t>42724</t>
  </si>
  <si>
    <t>5920382801</t>
  </si>
  <si>
    <t>Довжик</t>
  </si>
  <si>
    <t>вул. Адміністративна, 7</t>
  </si>
  <si>
    <t>(05446)77240</t>
  </si>
  <si>
    <t>Комишанська загальноосвітня школа І-ІІІ ступенів Охтирської районної ради Сумської області</t>
  </si>
  <si>
    <t>42721</t>
  </si>
  <si>
    <t>5920383601</t>
  </si>
  <si>
    <t>Комиші</t>
  </si>
  <si>
    <t>вул. Київська, 55</t>
  </si>
  <si>
    <t>(05446)79-2-42</t>
  </si>
  <si>
    <t>Михайленківський навчально-виховний колмплекс: загальноосвітня школа І ступеня - дошкільний навчальний заклад Охтирської районної ради Сумської області</t>
  </si>
  <si>
    <t>42761</t>
  </si>
  <si>
    <t>5920384004</t>
  </si>
  <si>
    <t>Михайленкове</t>
  </si>
  <si>
    <t>вул. Сумська, 76</t>
  </si>
  <si>
    <t>(066)0280206</t>
  </si>
  <si>
    <t>Куземинська загальноосвітня школа І-ІІІ ступенів імені В.Д. Шаренка Грунської сільської ради Охтирського району Сумської області</t>
  </si>
  <si>
    <t>42752</t>
  </si>
  <si>
    <t>5920385001</t>
  </si>
  <si>
    <t>Куземин</t>
  </si>
  <si>
    <t>вул. Центральна, 22А</t>
  </si>
  <si>
    <t>(38)0993667130</t>
  </si>
  <si>
    <t>Лантратівський навчально-виховний комплекс: загальноосвітня школа І-ІІ ступенів - дошкільний навчальний заклад</t>
  </si>
  <si>
    <t>42732</t>
  </si>
  <si>
    <t>5920385401</t>
  </si>
  <si>
    <t>вул. Шкільний, 3</t>
  </si>
  <si>
    <t>(05446)74-2-27</t>
  </si>
  <si>
    <t>Лутищенський навчально виховний комплекс: загальноосвітня школа І-ІІ ступенів - дошкільний навчальний заклад</t>
  </si>
  <si>
    <t>42751</t>
  </si>
  <si>
    <t>5920385601</t>
  </si>
  <si>
    <t>Лутище</t>
  </si>
  <si>
    <t>вул. Шевченка, 38 а</t>
  </si>
  <si>
    <t>Малопавлівська загальноосвітня школа І-ІІІ ступенів</t>
  </si>
  <si>
    <t>42730</t>
  </si>
  <si>
    <t>5920385801</t>
  </si>
  <si>
    <t>Мала Павлівка</t>
  </si>
  <si>
    <t>вул. Шляхівська, 14</t>
  </si>
  <si>
    <t>70-2-29</t>
  </si>
  <si>
    <t>https://sites.google.com/site/mpznz2013</t>
  </si>
  <si>
    <t>Жовтневий навчально-виховний комплекс: загальноосвітня школа І - ІІ ступенів - дошкільний навчальний заклад Охтирської районної ради Сумської області</t>
  </si>
  <si>
    <t>42731</t>
  </si>
  <si>
    <t>5920385803</t>
  </si>
  <si>
    <t>Щоми</t>
  </si>
  <si>
    <t>0661651930</t>
  </si>
  <si>
    <t>Олешнянський навчально-виховний комплекс: загальноосвітня школа І-ІІІ ступенів-дошільний навчальний заклад імені Героя Радянського Союзу Степана Долгого Охтирської районної ради Сумської області</t>
  </si>
  <si>
    <t>42726</t>
  </si>
  <si>
    <t>5920386301</t>
  </si>
  <si>
    <t>Олешня</t>
  </si>
  <si>
    <t>(05446)99245, (05446)99145</t>
  </si>
  <si>
    <t>Пологівський навчально-виховний комплекс: загальноосвітня школа І-ІІ ступенів - дошкільний навчальний заклад Охтирської районної ради Сумської області</t>
  </si>
  <si>
    <t>5920386901</t>
  </si>
  <si>
    <t>вул. Лозового, 50</t>
  </si>
  <si>
    <t>(05446)94215</t>
  </si>
  <si>
    <t>Рибальський навчально-виховний комплекс: загальноосвітня школа І-ІІІ ступенів - дошкільний навчальний заклад Грунської сільської ради Охтирського району Сумської області</t>
  </si>
  <si>
    <t>42734</t>
  </si>
  <si>
    <t>5920387501</t>
  </si>
  <si>
    <t>(05446)76240</t>
  </si>
  <si>
    <t>http://sites.google.com/site/ribalskazos</t>
  </si>
  <si>
    <t>Сонячненський навчально-виховний комплекс: загальноосвітня школа І-ІІІ ступенів - дошкільний навчальний заклад Охтирської районної ради Сумської області</t>
  </si>
  <si>
    <t>42768</t>
  </si>
  <si>
    <t>5920387801</t>
  </si>
  <si>
    <t>вул. Ластович, 33</t>
  </si>
  <si>
    <t>(05446)96286</t>
  </si>
  <si>
    <t>Сосонський навчально-виховний комплекс: загальноосвітня школа І ступеня- дошкільний навчальний заклад Охтирської районної ради Сумської області</t>
  </si>
  <si>
    <t>5920388006</t>
  </si>
  <si>
    <t>0662786875</t>
  </si>
  <si>
    <t>Хухрянська загальноосвітня школа І-ІІІ ступенів Охтирської районної ради</t>
  </si>
  <si>
    <t>42750</t>
  </si>
  <si>
    <t>5920388701</t>
  </si>
  <si>
    <t>Хухра</t>
  </si>
  <si>
    <t>вул. Полтавська, 92</t>
  </si>
  <si>
    <t>(05446)93-3-35</t>
  </si>
  <si>
    <t>Чернеччинська загальноосвітня школа імені Героя Радянського Союзу М. В. Пилипенка</t>
  </si>
  <si>
    <t>42744</t>
  </si>
  <si>
    <t>5920389201</t>
  </si>
  <si>
    <t>вул. М. Готеляка, 14</t>
  </si>
  <si>
    <t>(05446)95407</t>
  </si>
  <si>
    <t>Журавненський навчально-виховний комплекс: загальноосвітня школа І-ІІ ступенів - дошкільний навчальний заклад</t>
  </si>
  <si>
    <t>42746</t>
  </si>
  <si>
    <t>5920389204</t>
  </si>
  <si>
    <t>пров. Шкільний, № 1</t>
  </si>
  <si>
    <t>095-25-45-243</t>
  </si>
  <si>
    <t>Білопільська загальноосвітня школа І-ІІІ ступенів № 2 імені С.М. Гордієнка Білопільської районної ради Сумської області</t>
  </si>
  <si>
    <t>41800</t>
  </si>
  <si>
    <t>5920610100</t>
  </si>
  <si>
    <t>вул. Соборна, 84</t>
  </si>
  <si>
    <t>(05443)91258, (05443)92978</t>
  </si>
  <si>
    <t>Білопільська загальноосвітня школа-інтернат I-III ступенів ім. А. С. Макаренка Білопільської районної ради Сумської області</t>
  </si>
  <si>
    <t>вул. Сумська, 7</t>
  </si>
  <si>
    <t>(05443)9-11-75, (05443)9-11-83</t>
  </si>
  <si>
    <t>http://bilop-internat.ucoz.ru/</t>
  </si>
  <si>
    <t>13996886</t>
  </si>
  <si>
    <t>Білопільська спеціалізована школа І-ІІІ ступенів № 1 Білопільської районної ради Сумської області</t>
  </si>
  <si>
    <t>вул. Макаренка, 15</t>
  </si>
  <si>
    <t>(05443)91248</t>
  </si>
  <si>
    <t>http://bilop-school-1.at.ua/</t>
  </si>
  <si>
    <t>Білопільський навчально-виховний комплекс: загальноосвітня школа І-ІІІ ступенів - дошкільний навчальний заклад № 3, Білопільської районної ради Сумської області</t>
  </si>
  <si>
    <t>(05443)92704</t>
  </si>
  <si>
    <t>Білопільський навчально-виховний комплекс: загальноосвітня школа І-ІІІ ступенів - дошкільний навчальний заклад № 4</t>
  </si>
  <si>
    <t>41802</t>
  </si>
  <si>
    <t>вул. Вокзальна, 31</t>
  </si>
  <si>
    <t>(0443)90269</t>
  </si>
  <si>
    <t>Ворожбянська загальноосвітня школа І-ІІІ ступенів № 3 Білопільської районної ради Сумської області</t>
  </si>
  <si>
    <t>41812</t>
  </si>
  <si>
    <t>5920610300</t>
  </si>
  <si>
    <t>Ворожба</t>
  </si>
  <si>
    <t>98-4-36, 97-4-36</t>
  </si>
  <si>
    <t>Ворожбянський навчально - виховний комплекс: загальноосвітня школа І - ІІ ступенів - дошкільний навчальний заклад № 4 Білопільської районної ради Сумської області</t>
  </si>
  <si>
    <t>вул. Вячеслава Безсокирного, 1</t>
  </si>
  <si>
    <t>(05443)73260</t>
  </si>
  <si>
    <t>http://vorozhbyanska4.ucoz.ua</t>
  </si>
  <si>
    <t>Ворожбянський навчально-виховний комплекс:загальноосвітня школа І-ІІІ ступенів - дошкішльний навчальний заклад № 1 Білопільської районної ради Сумської області</t>
  </si>
  <si>
    <t>(05443)98432, (05443)97553</t>
  </si>
  <si>
    <t>http://vnvk1.ucoz.ru</t>
  </si>
  <si>
    <t>Миколаївська спеціалізована школа І-ІІІ ступенів Миколаївської селищної ради Білопільського району Сумської області</t>
  </si>
  <si>
    <t>41854</t>
  </si>
  <si>
    <t>5920655300</t>
  </si>
  <si>
    <t>(05443)97394</t>
  </si>
  <si>
    <t>24021952</t>
  </si>
  <si>
    <t>Самарська загальноосвітня школа І-ІІ ступенів - філія Миколахвської спеціалізованої школи І-ІІІ ступенів Білопільської районної ради Сумської області</t>
  </si>
  <si>
    <t>41855</t>
  </si>
  <si>
    <t>5920655310</t>
  </si>
  <si>
    <t>Самара</t>
  </si>
  <si>
    <t>Комунальний заклад Сумської обласної ради - Улянівська спеціальна загальноосвітня школа - інтарнат Білопільського району</t>
  </si>
  <si>
    <t>41856</t>
  </si>
  <si>
    <t>5920655700</t>
  </si>
  <si>
    <t>вул. Суворова, 27</t>
  </si>
  <si>
    <t>(05443)9-32-63</t>
  </si>
  <si>
    <t>23632917</t>
  </si>
  <si>
    <t>Улянівський навчально-виховний комплекс: загальноосвітня школа І-ІІІ ступенів-дошкільний навчальний заклад Білопільської районної ради Сумської області</t>
  </si>
  <si>
    <t>пл. Колєсніка</t>
  </si>
  <si>
    <t>(05443)93292</t>
  </si>
  <si>
    <t>http://Uskola.ucoz.ua</t>
  </si>
  <si>
    <t>Ганнівсько-Вирівська загальноосвітня школа І-ІІІступенів Білопільської районної ради Сумської області</t>
  </si>
  <si>
    <t>41846</t>
  </si>
  <si>
    <t>5920680301</t>
  </si>
  <si>
    <t>Ганнівка-Вирівська</t>
  </si>
  <si>
    <t>вул. Глазуна, 40</t>
  </si>
  <si>
    <t>(05443)95358</t>
  </si>
  <si>
    <t>http://gannivsko-virivska-zosh0.webnode.com.ua</t>
  </si>
  <si>
    <t>Бобрицька загальноосвітня школа І - ІІ ступенів Миколаївської селищної ради Білопільського району Сумської обпасті</t>
  </si>
  <si>
    <t>41858</t>
  </si>
  <si>
    <t>5920681001</t>
  </si>
  <si>
    <t>(05443)93722</t>
  </si>
  <si>
    <t>Верхосульський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</si>
  <si>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41872</t>
  </si>
  <si>
    <t>5920681401</t>
  </si>
  <si>
    <t>Верхосулка</t>
  </si>
  <si>
    <t>(05443)9-49-77</t>
  </si>
  <si>
    <t>Вирівська загальноосвітня школа І-ІІІ ступенів Білопільської районної ради Сумської області</t>
  </si>
  <si>
    <t>41850</t>
  </si>
  <si>
    <t>5920681801</t>
  </si>
  <si>
    <t>(05443)95242</t>
  </si>
  <si>
    <t>Біланівська загальноосвітня школа І-ІІ ступенів Білопільської районної ради Сумської області</t>
  </si>
  <si>
    <t>41851</t>
  </si>
  <si>
    <t>5920681803</t>
  </si>
  <si>
    <t>Білани</t>
  </si>
  <si>
    <t>(243)95282</t>
  </si>
  <si>
    <t>Воронівська загальноосвітня школа І - ІІ ступенів Білопільської районної ради Сумської області</t>
  </si>
  <si>
    <t>41840</t>
  </si>
  <si>
    <t>5920682201</t>
  </si>
  <si>
    <t>вул. Молодіжна, 12 А</t>
  </si>
  <si>
    <t>(05443)95412</t>
  </si>
  <si>
    <t>Іскрисківщинський навчально-виховний комплекс "загальноосвітня школа І-ІІІ ступенів - дошкільний навчальний заклад" Білопільської районної ради Сумської області</t>
  </si>
  <si>
    <t>41821</t>
  </si>
  <si>
    <t>5920683501</t>
  </si>
  <si>
    <t>Іскрисківщина</t>
  </si>
  <si>
    <t>(05443)95566</t>
  </si>
  <si>
    <t>http://iskra-nvk.890m.com</t>
  </si>
  <si>
    <t>Кальченківський навчально-виховний комплекс : загальноосвітня школа школа І-ІІ ступенів - дошкільний навчальний заклад Білопільської районної ради Сумської області</t>
  </si>
  <si>
    <t>41835</t>
  </si>
  <si>
    <t>5920683901</t>
  </si>
  <si>
    <t>Кальченки</t>
  </si>
  <si>
    <t>(05443)9-58-33</t>
  </si>
  <si>
    <t>Коршачинська загальноосвітня школа І-ІІ ступенів Білопільської районної ради Сумської області</t>
  </si>
  <si>
    <t>41852</t>
  </si>
  <si>
    <t>5920684401</t>
  </si>
  <si>
    <t>Коршачина</t>
  </si>
  <si>
    <t>9-57-21</t>
  </si>
  <si>
    <t>Куянівський навчально-виховний комплекс "загальноосвітня школа І-ІІІ ступенів - дошкільний навчальний заклад " Білопільської районної ради Сумської області</t>
  </si>
  <si>
    <t>41842</t>
  </si>
  <si>
    <t>5920684901</t>
  </si>
  <si>
    <t>Куянівка</t>
  </si>
  <si>
    <t>вул. Пилипа Сітала, 1</t>
  </si>
  <si>
    <t>(05443)96047</t>
  </si>
  <si>
    <t>Луциківська загальноосвітня школа 1-3 ступенів</t>
  </si>
  <si>
    <t>41874</t>
  </si>
  <si>
    <t>5920685301</t>
  </si>
  <si>
    <t>Луциківка</t>
  </si>
  <si>
    <t>ал. Вигін, 1</t>
  </si>
  <si>
    <t>Марківська загальноосвітня школа І-ІІІ ступенів Миколаївської селищної ради Білопільського району Сумської області</t>
  </si>
  <si>
    <t>41875</t>
  </si>
  <si>
    <t>5920685701</t>
  </si>
  <si>
    <t>(05443)94424</t>
  </si>
  <si>
    <t>http://markivka-school.at.ua</t>
  </si>
  <si>
    <t>Ободівський навчально-виховний комплекс</t>
  </si>
  <si>
    <t>41825</t>
  </si>
  <si>
    <t>5920686201</t>
  </si>
  <si>
    <t>Ободи</t>
  </si>
  <si>
    <t>98645</t>
  </si>
  <si>
    <t>Павлівський навчально-виховний комплекс: загальноосвітня школа І-ІІІ ступенів - дошкільний навчальний заклад, Білопільської районної ради, Сумської області</t>
  </si>
  <si>
    <t>41822</t>
  </si>
  <si>
    <t>5920686601</t>
  </si>
  <si>
    <t>вул. Хілкова, 21</t>
  </si>
  <si>
    <t>(0443)94826</t>
  </si>
  <si>
    <t>http://sites.google.com/site/pavlivkanvk</t>
  </si>
  <si>
    <t>Річківський навчально-виховний комплекс "загальноосвітня школа І-ІІІ ступенів - дошкільний навчальний заклад"</t>
  </si>
  <si>
    <t>41832</t>
  </si>
  <si>
    <t>5920687001</t>
  </si>
  <si>
    <t>(243)9-41-07</t>
  </si>
  <si>
    <t>Рижівський Навчально-Виховний комплекс: загальньоосвітня школа І-ІІІ ступенів - дошкільний навчальний заклад Білопільської районної ради Сумської області</t>
  </si>
  <si>
    <t>41820</t>
  </si>
  <si>
    <t>5920687401</t>
  </si>
  <si>
    <t>Рижівка</t>
  </si>
  <si>
    <t>(05443)94513</t>
  </si>
  <si>
    <t>Ганнівсько-Тернівський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</si>
  <si>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41860</t>
  </si>
  <si>
    <t>5920688203</t>
  </si>
  <si>
    <t>Ганнівка-Тернівська</t>
  </si>
  <si>
    <t>(05443)98752</t>
  </si>
  <si>
    <t>Товстянський навчально-виховний комплекс "загальноосвітня школа I-III ступенів - дошкільний навчальний заклад" Миколаївської селищної ради Білопільського району Сумської області</t>
  </si>
  <si>
    <t>41870</t>
  </si>
  <si>
    <t>5920688901</t>
  </si>
  <si>
    <t>Товста</t>
  </si>
  <si>
    <t>вул. Б.П.Семишкура, 5</t>
  </si>
  <si>
    <t>(0544)93-6-41</t>
  </si>
  <si>
    <t>Тучненський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</si>
  <si>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41857</t>
  </si>
  <si>
    <t>5920689201</t>
  </si>
  <si>
    <t>93836</t>
  </si>
  <si>
    <t>Шкуратівська загальноосвітня школа І-ІІ ступенів Білопільської районної ради Сумської області</t>
  </si>
  <si>
    <t>41816</t>
  </si>
  <si>
    <t>5920689501</t>
  </si>
  <si>
    <t>Шкуратівка</t>
  </si>
  <si>
    <t>(05443)9-63-35</t>
  </si>
  <si>
    <t>Буринська загальноосвітня школа І-ІІІ ступенів № 3 Буринської міської ради Сумської області</t>
  </si>
  <si>
    <t>41700</t>
  </si>
  <si>
    <t>5920910100</t>
  </si>
  <si>
    <t>Буринь</t>
  </si>
  <si>
    <t>22126</t>
  </si>
  <si>
    <t>http://burinschool3.ucoz.ua/</t>
  </si>
  <si>
    <t>Буринська спеціалізована школа І-ІІІ ступенів № 1 Буринської міської ради Сумської області</t>
  </si>
  <si>
    <t>вул. Макаренка, 3</t>
  </si>
  <si>
    <t>(05454)21493</t>
  </si>
  <si>
    <t>Буринська спеціалізована школа І-ІІІ ступенів № 2 ім.Ю.М.Лавошника Буринської міської ради Сумської області</t>
  </si>
  <si>
    <t>(05454)21072</t>
  </si>
  <si>
    <t>Олександрівський навчально-виховний комплекс: загальноосвітня школа I ступенів, дошкільний навчальний заклад імені О.О. Коробенкова</t>
  </si>
  <si>
    <t>41713</t>
  </si>
  <si>
    <t>5920980401</t>
  </si>
  <si>
    <t>вул. Обухівська, 43</t>
  </si>
  <si>
    <t>(05454)50418</t>
  </si>
  <si>
    <t>Біжівський навчально-виховний комплекс: загальноосвітня школа І-ІІ ступенів, дошкільний навчальний заклад Біжівської сільської ради</t>
  </si>
  <si>
    <t>41762</t>
  </si>
  <si>
    <t>5920980801</t>
  </si>
  <si>
    <t>Біжівка</t>
  </si>
  <si>
    <t>5-13-41</t>
  </si>
  <si>
    <t>Воскресенський навчально-виховний комплекс: загальноосвітня школа І-ІІІ ступенів - дошкільний навчальний заклад Воскресенської сільської ради Буринського району Сумської області</t>
  </si>
  <si>
    <t>41734</t>
  </si>
  <si>
    <t>5920982001</t>
  </si>
  <si>
    <t>(05454)53735</t>
  </si>
  <si>
    <t>http://voskr-shcola.ucoz.ua</t>
  </si>
  <si>
    <t>Гвинтівський навчально-виховний комплекс:загальноосвітня школа І-ІІІ ступенів - дошкільний навчальний заклад Гвинтівської сільської ради Буринського району Сумської області</t>
  </si>
  <si>
    <t>41710</t>
  </si>
  <si>
    <t>5920982401</t>
  </si>
  <si>
    <t>Гвинтове</t>
  </si>
  <si>
    <t>вул. Лугова, 25</t>
  </si>
  <si>
    <t>54340</t>
  </si>
  <si>
    <t>Дяківський навчально-виховний комплекс: загальноосітня школа І-ІІІ ступенів, дошкільний навчальний заклад</t>
  </si>
  <si>
    <t>41724</t>
  </si>
  <si>
    <t>5920983201</t>
  </si>
  <si>
    <t>вул. Богдана Хмельницького, 3</t>
  </si>
  <si>
    <t>(05454)55146</t>
  </si>
  <si>
    <t>Жуківська загальноосвітня школа І-ІІ ступенів Жуківської сільської ради Буринського району Сумської області</t>
  </si>
  <si>
    <t>41750</t>
  </si>
  <si>
    <t>5920983601</t>
  </si>
  <si>
    <t>вул. Сарничева, 4</t>
  </si>
  <si>
    <t>(05454)56254</t>
  </si>
  <si>
    <t>Клепалівський навчально-виховний комплекс: загальноосвітня школа І-ІІ ступенів - дошкільний навчальний заклад Клепалівської сільської ради Буринського району Сумської області</t>
  </si>
  <si>
    <t>41723</t>
  </si>
  <si>
    <t>5920984101</t>
  </si>
  <si>
    <t>Клепали</t>
  </si>
  <si>
    <t>Михайлівська загальноосвітня школа І-ІІ ступенів Михайлівської сільської ради Буринського району Сумської області</t>
  </si>
  <si>
    <t>41730</t>
  </si>
  <si>
    <t>5920984601</t>
  </si>
  <si>
    <t>(05454)5-81-10</t>
  </si>
  <si>
    <t>Миколаївський навчально-виховний комплекс : загальноосвітня школа І-ІІ ступенів - дошкільний навчальний заклад Миколаївської сільської ради Буринського району Сумської області</t>
  </si>
  <si>
    <t>41736</t>
  </si>
  <si>
    <t>5920985001</t>
  </si>
  <si>
    <t>(05454)595-55</t>
  </si>
  <si>
    <t>Пісківська загальноосвітня школа І-ІІІ ступенів Пісківської сільської ради Буринського району Сумської області</t>
  </si>
  <si>
    <t>41720</t>
  </si>
  <si>
    <t>5920985401</t>
  </si>
  <si>
    <t>(05454)61240</t>
  </si>
  <si>
    <t>http://pisky-skola.ucoz.ua</t>
  </si>
  <si>
    <t>Першотравнева загальноосвітня школа І-ІІІ ступенів ім. В.Г. Михайлика Слобідської сільської ради Буринського району Сумської області</t>
  </si>
  <si>
    <t>41714</t>
  </si>
  <si>
    <t>5920986001</t>
  </si>
  <si>
    <t>вул. Заводська, 8</t>
  </si>
  <si>
    <t>(05454)63187</t>
  </si>
  <si>
    <t>http://pershotravneva-zosh.edukit.sumy</t>
  </si>
  <si>
    <t>Слобідський навчально-виховний комплекс: загальноосвітня школа I-III ступенів, дошкільний навчальний заклад Слобідської сільської ради Буринського району Сумської області</t>
  </si>
  <si>
    <t>41715</t>
  </si>
  <si>
    <t>вул. Солдатенка, 4</t>
  </si>
  <si>
    <t>(05454)643-32</t>
  </si>
  <si>
    <t>http://www.slobidskijnvk.key.ua</t>
  </si>
  <si>
    <t>Сніжківський навчально-виховний комплекс: загальноосвітня школа І-ІІІ ступенів, дошкільний навчальний заклад Сніжківської сільської ради Буринського району Сумської області</t>
  </si>
  <si>
    <t>41760</t>
  </si>
  <si>
    <t>5920986401</t>
  </si>
  <si>
    <t>вул. Центральна, 5 Б</t>
  </si>
  <si>
    <t>(05454)65445</t>
  </si>
  <si>
    <t>http://snishkyschool.ucoz.ua</t>
  </si>
  <si>
    <t>Степанівський навчально - виховний комплекс: загальноосвітня школа І - ІІ ступенів - дошкільний навчальний заклад Степанівської сільської ради Буринського району Сумської області</t>
  </si>
  <si>
    <t>41717</t>
  </si>
  <si>
    <t>5920986801</t>
  </si>
  <si>
    <t>(05454)666-23</t>
  </si>
  <si>
    <t>Суховерхівська загальноосвітня школа І-ІІ ступенів Суховерхівської сільської ради Буринського району Сумської області</t>
  </si>
  <si>
    <t>41752</t>
  </si>
  <si>
    <t>5920987001</t>
  </si>
  <si>
    <t>Суховерхівка</t>
  </si>
  <si>
    <t>(05454)72640</t>
  </si>
  <si>
    <t>Успенська загальноосвітня школа І-ІІІ ступенів ім. Г.П.Головенського Успенської сільської ради Буринського району Сумської області</t>
  </si>
  <si>
    <t>41732</t>
  </si>
  <si>
    <t>5920987401</t>
  </si>
  <si>
    <t>(05454)67482</t>
  </si>
  <si>
    <t>http://uspenka-shkola.ucoz.ua</t>
  </si>
  <si>
    <t>Хустянський навчально-виховний комплекс: загальноосвітня школа І-ІІІступенів, дошкільний навчальний заклад Хустянської сільської ради Буринського району Сумської області</t>
  </si>
  <si>
    <t>41746</t>
  </si>
  <si>
    <t>5920987901</t>
  </si>
  <si>
    <t>Хустянка</t>
  </si>
  <si>
    <t>68125</t>
  </si>
  <si>
    <t>Червонослобідська загальноосвітня школа І - ІІІ ступенів імені Г.Я.Базими Червонослобідської сільської ради Буринського району Сумської області</t>
  </si>
  <si>
    <t>41709</t>
  </si>
  <si>
    <t>5920988401</t>
  </si>
  <si>
    <t>(05454)71722</t>
  </si>
  <si>
    <t>http://chervonashcola.ucoz.ru</t>
  </si>
  <si>
    <t>Черепівська загальноосвітня школа І - ІІІ ступенів Черепівської сільської ради Буринського району Сумської області</t>
  </si>
  <si>
    <t>41753</t>
  </si>
  <si>
    <t>5920988801</t>
  </si>
  <si>
    <t>Черепівка</t>
  </si>
  <si>
    <t>вул. Павла Попова, 7</t>
  </si>
  <si>
    <t>69537</t>
  </si>
  <si>
    <t>http://www.cherepivka.at.ua</t>
  </si>
  <si>
    <t>Комунальна організація (установа, заклад) "Чернечослобідський навчально-виховний комплекс: загальноосвітня школа І-ІІІ ступенів, дошкільний навчальний заклад Чернечослобідської сільської ради Буринського району Сумської області"</t>
  </si>
  <si>
    <t>41740</t>
  </si>
  <si>
    <t>5920989101</t>
  </si>
  <si>
    <t>Чернеча Слобода</t>
  </si>
  <si>
    <t>(05454)70240</t>
  </si>
  <si>
    <t>http://chernechoslobid.ucoz.ru/</t>
  </si>
  <si>
    <t>Опорний навчальний заклад - Великописарівська спеціалізована школа І-ІІІ ступенів імені Героя Радянського Союзу І.М. Середи</t>
  </si>
  <si>
    <t>42800</t>
  </si>
  <si>
    <t>5921255100</t>
  </si>
  <si>
    <t>Велика Писарівка</t>
  </si>
  <si>
    <t>(05457)51640</t>
  </si>
  <si>
    <t>Заводська загальноосвітня школа І-ІІІ ступенів Кириківської селищної ради Великописарівського району Сумської області</t>
  </si>
  <si>
    <t>42831</t>
  </si>
  <si>
    <t>5921255400</t>
  </si>
  <si>
    <t>Кириківка</t>
  </si>
  <si>
    <t>вул. Правдинська, 32</t>
  </si>
  <si>
    <t>(05457)53236</t>
  </si>
  <si>
    <t>Кириківська загальноосвітня школа І - ІІІ ступенів Кириківської селищної ради Великописарівського району Сумської області</t>
  </si>
  <si>
    <t>42830</t>
  </si>
  <si>
    <t>(05457)57289</t>
  </si>
  <si>
    <t>Вільненський навчально-виховний комплекс Великописарівської районної ради Сумської області</t>
  </si>
  <si>
    <t>42820</t>
  </si>
  <si>
    <t>5921280501</t>
  </si>
  <si>
    <t>вул. Першотравнева,, 18</t>
  </si>
  <si>
    <t>(05457)56418</t>
  </si>
  <si>
    <t>Вищевеселівська філія Заводської загальноосвітньої школи І-ІІІ Кириківськоїселищної ради Великописарівського району Сумської області</t>
  </si>
  <si>
    <t>42850</t>
  </si>
  <si>
    <t>5921280801</t>
  </si>
  <si>
    <t>Вищевеселе</t>
  </si>
  <si>
    <t>(05457)57-9-42</t>
  </si>
  <si>
    <t>Братеничанська філія опорного навчального закладу Великописарівської спеціалізованої школи І-ІІІ ступенів імені Героя Радянського Союзу І.М. Середи Великописарівської районної ради Сумської області</t>
  </si>
  <si>
    <t>42812</t>
  </si>
  <si>
    <t>5921281302</t>
  </si>
  <si>
    <t>Братениця</t>
  </si>
  <si>
    <t>(05457)5-41-26</t>
  </si>
  <si>
    <t>Олександрівська філія опорного навчального закладу Великописарівської спеціалізованої школи І-ІІІ ступенів інені Героя Радянського Союзу І.М. Середи Великописарівської районної ради Сумської області</t>
  </si>
  <si>
    <t>42806</t>
  </si>
  <si>
    <t>5921281304</t>
  </si>
  <si>
    <t>вул. Київська, 59</t>
  </si>
  <si>
    <t>(05457)51354</t>
  </si>
  <si>
    <t>http://oleksandrivka.pp.ua</t>
  </si>
  <si>
    <t>Добрянський навчально-виховний комплекс (школа-сад) Великописарівської районної ради Сумської області</t>
  </si>
  <si>
    <t>42840</t>
  </si>
  <si>
    <t>5921281701</t>
  </si>
  <si>
    <t>5-66-18</t>
  </si>
  <si>
    <t>http://dobrianske-nvk.edukit.sumy.ua</t>
  </si>
  <si>
    <t>Комунальний заклад Сумської обласної ради - Правдинська спеціальна загальноосвітня школа-інтернат Великописарівського району</t>
  </si>
  <si>
    <t>42839</t>
  </si>
  <si>
    <t>5921282001</t>
  </si>
  <si>
    <t>(05457)5-43-43</t>
  </si>
  <si>
    <t>23300029</t>
  </si>
  <si>
    <t>Пожнянський навчально-виховний комплекс: загальноосвітня школа І-ІІІ ступенів - дошкільний навчальний заклад імені Героя Радянського Союзу Ф.В. Митрофанова Великописарівської районної ради Сумської області</t>
  </si>
  <si>
    <t>42824</t>
  </si>
  <si>
    <t>5921283201</t>
  </si>
  <si>
    <t>Пожня</t>
  </si>
  <si>
    <t>вул. Митрофанова, 1</t>
  </si>
  <si>
    <t>(05457)54934</t>
  </si>
  <si>
    <t>Попівська філія Великописарівської спеціалізованої школи І - ІІІ ступенів імені Героя Радянського Союзу І.М.Середи Великописарівської районної ради Сумської області</t>
  </si>
  <si>
    <t>42822</t>
  </si>
  <si>
    <t>5921283601</t>
  </si>
  <si>
    <t>вул. Бєлгородська, 2</t>
  </si>
  <si>
    <t>(05457)56905</t>
  </si>
  <si>
    <t>Рябинівська загальноосвітня школа І-ІІІ ступенів Кириківської селищної ради Великописарівського району Сумської області</t>
  </si>
  <si>
    <t>42843</t>
  </si>
  <si>
    <t>5921284401</t>
  </si>
  <si>
    <t>Рябина</t>
  </si>
  <si>
    <t>5-73-23</t>
  </si>
  <si>
    <t>Солдатський навчально-виховний комплекс: загальноосвітня школа І-ІІІ ступенів, дошкільний навчальний заклад імені партизанки М.Гендіної Великописарівської районної ради Сумської області</t>
  </si>
  <si>
    <t>42826</t>
  </si>
  <si>
    <t>5921284801</t>
  </si>
  <si>
    <t>Солдатське</t>
  </si>
  <si>
    <t>(05457)54642</t>
  </si>
  <si>
    <t>Тарасівський навчально-виховний комплекс: загальноосвітня школа І-ІІІ ступенів - дошкільний навчальний заклад</t>
  </si>
  <si>
    <t>42825</t>
  </si>
  <si>
    <t>5921285201</t>
  </si>
  <si>
    <t>вул. Сумська</t>
  </si>
  <si>
    <t>(5457)54741</t>
  </si>
  <si>
    <t>Яблучненська загальноосвітня школа І - ІІІ ступенів Кириківської селищної ради Великописарівського району Сумської області</t>
  </si>
  <si>
    <t>42846</t>
  </si>
  <si>
    <t>5921285801</t>
  </si>
  <si>
    <t>Яблучне</t>
  </si>
  <si>
    <t>вул. Щаслива, 45</t>
  </si>
  <si>
    <t>(054)5-67-12</t>
  </si>
  <si>
    <t>http://w.w.w.yabluchnezosh</t>
  </si>
  <si>
    <t>Ямненська загальноосвітня школа І-ІІІ ступенів імені Героя Радянського Союзу Мусієнка І.О.Великописарівської районної ради Сумської області</t>
  </si>
  <si>
    <t>42807</t>
  </si>
  <si>
    <t>5921286301</t>
  </si>
  <si>
    <t>Ямне</t>
  </si>
  <si>
    <t>вул. Широка, 1А</t>
  </si>
  <si>
    <t>(05457)56348</t>
  </si>
  <si>
    <t>Есманьська загальноосвітня школа І-ІІІ ступенів Глухівської районної ради Сумської області</t>
  </si>
  <si>
    <t>41432</t>
  </si>
  <si>
    <t>5921555500</t>
  </si>
  <si>
    <t>Есмань</t>
  </si>
  <si>
    <t>(544461)293</t>
  </si>
  <si>
    <t>Комунальний заклад Сумської обласної ради Шалигинська спеціальна загальноосвітня школа - інтернат Глухівського району</t>
  </si>
  <si>
    <t>41470</t>
  </si>
  <si>
    <t>5921555800</t>
  </si>
  <si>
    <t>Шалигине</t>
  </si>
  <si>
    <t>вул. Червона, 4</t>
  </si>
  <si>
    <t>(0544469)4-14, (0544469)4-54</t>
  </si>
  <si>
    <t>23046045</t>
  </si>
  <si>
    <t>Комунальний заклад Шалигинської селищної ради "Шалигинська загальноосвітня школа І-ІІІ ступенів"</t>
  </si>
  <si>
    <t>(05444)69463</t>
  </si>
  <si>
    <t>Баницький навчально-виховний комплекс: загальноосвітня школа I-III ступенів, дошкільний навчальний заклад " Барвінок" Глухівської районної ради Сумської області</t>
  </si>
  <si>
    <t>41462</t>
  </si>
  <si>
    <t>5921580401</t>
  </si>
  <si>
    <t>Баничі</t>
  </si>
  <si>
    <t>вул. Мурашка, 171Б</t>
  </si>
  <si>
    <t>(0544465)485</t>
  </si>
  <si>
    <t>33141229</t>
  </si>
  <si>
    <t>Бачівський навчально - виховний комплекс: загальноосвітня школа І - ІІ ступенів, дошкільний навчальний заклад "Дюймовочка"</t>
  </si>
  <si>
    <t>41411</t>
  </si>
  <si>
    <t>5921580701</t>
  </si>
  <si>
    <t>Бачівськ</t>
  </si>
  <si>
    <t>вул. Трибунського, 1</t>
  </si>
  <si>
    <t>Будівельнівський навчально-виховний комплекс: загальноосвітня школа І-ІІ ступенів, дошкільний навчальний заклад "Зернятко" Глухівської районної ради Сумської області</t>
  </si>
  <si>
    <t>41446</t>
  </si>
  <si>
    <t>5921581003</t>
  </si>
  <si>
    <t>Будівельне</t>
  </si>
  <si>
    <t>(05444)66326</t>
  </si>
  <si>
    <t>Комунальний заклад Березівської сільської ради "Березівський навчально-виховний комплекс: загальноосвітня школа І-ІІІ ступенів - дошкільний навчальний заклад "Веселка""</t>
  </si>
  <si>
    <t>41437</t>
  </si>
  <si>
    <t>5921581101</t>
  </si>
  <si>
    <t>Береза</t>
  </si>
  <si>
    <t>вул. Довженка, 1А</t>
  </si>
  <si>
    <t>(05444)67534</t>
  </si>
  <si>
    <t>http://berezanvk.com.ua</t>
  </si>
  <si>
    <t>33141082</t>
  </si>
  <si>
    <t>Дунаєцький навчально-виховний комплекс: загальноосвітня школа І - ІІІ ступенів, дошкільний навчальний заклад "Ромашка" Глухівської районної ради Сумської області</t>
  </si>
  <si>
    <t>41456</t>
  </si>
  <si>
    <t>5921582301</t>
  </si>
  <si>
    <t>Дунаєць</t>
  </si>
  <si>
    <t>вул. Сутиська, 4</t>
  </si>
  <si>
    <t>(0544468)343</t>
  </si>
  <si>
    <t>Іващенківська філія КЗ Березівської сільської ради "Березівського навчально- виховного комплексу: загальноосвітньої школи І-ІІІ ступенів, дошкільного навчального закладу "Веселка"</t>
  </si>
  <si>
    <t>5921583001</t>
  </si>
  <si>
    <t>Іващенкове</t>
  </si>
  <si>
    <t>(75)262</t>
  </si>
  <si>
    <t>Кучерівський навчально - виховний комплекс: загальноосвітня школа І-ІІІ ступенів, дошкільний навчальний заклад "Полісяночка" Глухівської районної ради Сумської області</t>
  </si>
  <si>
    <t>41426</t>
  </si>
  <si>
    <t>5921583201</t>
  </si>
  <si>
    <t>Кучерівка</t>
  </si>
  <si>
    <t>(65)2-36</t>
  </si>
  <si>
    <t>Комунальний заклад Березівської сільської ради "Обложківський навчально-виховний комплекс: загальноосвітня школа І-ІІ ступенів, дошкільний навчальний заклад "Росинка"</t>
  </si>
  <si>
    <t>41453</t>
  </si>
  <si>
    <t>5921583501</t>
  </si>
  <si>
    <t>Обложки</t>
  </si>
  <si>
    <t>(05444)62511</t>
  </si>
  <si>
    <t>Комунальний заклад Березівської сільської ради "Первомайський навчально-виховний комплекс: загальноосвітня школа І - ІІ ступенів, дошкільний навчальний заклад "Бджілка "</t>
  </si>
  <si>
    <t>41431</t>
  </si>
  <si>
    <t>5921583701</t>
  </si>
  <si>
    <t>вул. Слави, 3</t>
  </si>
  <si>
    <t>0957167903</t>
  </si>
  <si>
    <t>33140995</t>
  </si>
  <si>
    <t>Перемозький навчально-виховний комплекс: загальноосвітня школа І-ІІ ступенів, дошкільний навчальний заклад "Пролісок" Глухівської районної ради Сумської області</t>
  </si>
  <si>
    <t>41460</t>
  </si>
  <si>
    <t>5921584001</t>
  </si>
  <si>
    <t>вул. О. Цигикала, 117</t>
  </si>
  <si>
    <t>(64)3-15</t>
  </si>
  <si>
    <t>Полошківський навчально-виховний комплекс: загальноосвітня школа I-III ступенів, дошкільний навчальний заклад "Сонечко" Глухівської районної ради Сумської області</t>
  </si>
  <si>
    <t>41452</t>
  </si>
  <si>
    <t>5921584401</t>
  </si>
  <si>
    <t>Полошки</t>
  </si>
  <si>
    <t>(0544463)3-53</t>
  </si>
  <si>
    <t>Пустогородський навчально-виховний комплекс: загальноосвітня школа І-ІІІ ступенів, дошкільний навчальний заклад "Фіалка" Глухівської районної ради, Сумської області</t>
  </si>
  <si>
    <t>41414</t>
  </si>
  <si>
    <t>5921585201</t>
  </si>
  <si>
    <t>Пустогород</t>
  </si>
  <si>
    <t>66-2-41</t>
  </si>
  <si>
    <t>Комунальний заклад Шалигинської селищної ради "Сварківський навчально-виховний комплекс: загальноосвітня школа І-ІІІ ступенів, дошкільний навчальний заклад "Пізнайко"</t>
  </si>
  <si>
    <t>41445</t>
  </si>
  <si>
    <t>5921585701</t>
  </si>
  <si>
    <t>Сваркове</t>
  </si>
  <si>
    <t>вул. Миколаївська, 7</t>
  </si>
  <si>
    <t>(68)5-52</t>
  </si>
  <si>
    <t>Некрасівський навчально-виховний комплекс: загальноосвітня школа І-ІІІ ступенів, дошкільний навчальний заклад "Ялинка" Глухівської районної ради Сумської області</t>
  </si>
  <si>
    <t>41455</t>
  </si>
  <si>
    <t>5921586005</t>
  </si>
  <si>
    <t>(92)235</t>
  </si>
  <si>
    <t>Комунальний заклад Березівської сільскої ради "Слоутський навчально-виховний комплекс: загально-освітня школа І-ІІІ ступенів, дошкільний навчальний заклад "Волошка""</t>
  </si>
  <si>
    <t>41436</t>
  </si>
  <si>
    <t>5921586401</t>
  </si>
  <si>
    <t>Слоут</t>
  </si>
  <si>
    <t>33141255</t>
  </si>
  <si>
    <t>Сопицький навчально-виховний комплекс: загальноосвітня школа І-ІІІ ступенів, дошкільний навчальний заклад "Дзвіночок" Глухівської районної ради Сумської області</t>
  </si>
  <si>
    <t>41412</t>
  </si>
  <si>
    <t>5921586801</t>
  </si>
  <si>
    <t>Сопич</t>
  </si>
  <si>
    <t>(05444)69243</t>
  </si>
  <si>
    <t>Комунальний заклад Шалигинської селищної ради "Соснівський навчально- виховний комплекс: загальноосвітня школа І-ІІІ ст., дошкільний навчальний заклад "Теремок"</t>
  </si>
  <si>
    <t>41442</t>
  </si>
  <si>
    <t>5921587101</t>
  </si>
  <si>
    <t>(67)411, 0966981557</t>
  </si>
  <si>
    <t>Студенецький навчально-виховний комплекс: загальноосвітня школа І-ІІІ ступенів, дошкільний навчальний заклад "Берізка" Глухівської районної ради Сумської області</t>
  </si>
  <si>
    <t>41441</t>
  </si>
  <si>
    <t>5921587501</t>
  </si>
  <si>
    <t>Студенок</t>
  </si>
  <si>
    <t>(05444)60219</t>
  </si>
  <si>
    <t>http://studschool.ucoz.ru</t>
  </si>
  <si>
    <t>Суходілький навчально-виховний комплекс: загальноосвітня школа І-ІІІ ступенів, дошкільний навчальний заклад "Золотий ключик" Глухівської районної ради Сумської області</t>
  </si>
  <si>
    <t>41420</t>
  </si>
  <si>
    <t>5921587901</t>
  </si>
  <si>
    <t>вул. Нова, 46</t>
  </si>
  <si>
    <t>(054)67-2-37</t>
  </si>
  <si>
    <t>Уланівський навчально-виховний комплекс: загальноосвітня школа І - ІІІ ступенів, дошкільний навчальний заклад "Джерельце" Глухівської районної ради Сумської області</t>
  </si>
  <si>
    <t>41422</t>
  </si>
  <si>
    <t>5921588601</t>
  </si>
  <si>
    <t>Уланове</t>
  </si>
  <si>
    <t>вул. Успенська, 42</t>
  </si>
  <si>
    <t>(064)2-35</t>
  </si>
  <si>
    <t>Чернівський навчально-виховний комплекс: загальноосвітня школа І-ІІ ступенів, дошкільний навчальний заклад "Малятко" Глухівської районної ради Сумської області</t>
  </si>
  <si>
    <t>41461</t>
  </si>
  <si>
    <t>5921589501</t>
  </si>
  <si>
    <t>вул. Пивоварова, 1А</t>
  </si>
  <si>
    <t>(64)3-16</t>
  </si>
  <si>
    <t>Комунальний заклад Березівської сільської ради "Шевченківський навчально-виховний комплекс: загальноосвітня школа І-ІІІ ступенів, дошкільний навчальний заклад "Суничка"</t>
  </si>
  <si>
    <t>41451</t>
  </si>
  <si>
    <t>5921589701</t>
  </si>
  <si>
    <t>вул. Туманського, 101</t>
  </si>
  <si>
    <t>33095859</t>
  </si>
  <si>
    <t>Яструбщанський навчально-виховний комплекс: загальноосвітня школа І-ІІ ступенів, дошкільний навчальний заклад "Ягідка". Глухівської районної ради.</t>
  </si>
  <si>
    <t>41421</t>
  </si>
  <si>
    <t>5921589801</t>
  </si>
  <si>
    <t>Яструбщина</t>
  </si>
  <si>
    <t>(80544462)415</t>
  </si>
  <si>
    <t>Дубов'язівський навчально-виховний комплекс "спеціалізована школа І - ІІІ ступенів - дошкільний навчальний заклад" Конотопської районної ради Сумської області</t>
  </si>
  <si>
    <t>41655</t>
  </si>
  <si>
    <t>5922055300</t>
  </si>
  <si>
    <t>Дубов'язівка</t>
  </si>
  <si>
    <t>вул. В. Глуховця, 3</t>
  </si>
  <si>
    <t>(05447)52-3-94</t>
  </si>
  <si>
    <t>Сім'янівський навчально- виховний комплекс "загальноосвітня школа І-ІІІ ступенів - дошкільний навчальний заклад" Конотопської районної ради Сумської області</t>
  </si>
  <si>
    <t>41656</t>
  </si>
  <si>
    <t>5922055306</t>
  </si>
  <si>
    <t>Сім'янівка</t>
  </si>
  <si>
    <t>(56)3-38</t>
  </si>
  <si>
    <t>Бочечківський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</si>
  <si>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41635</t>
  </si>
  <si>
    <t>5922080401</t>
  </si>
  <si>
    <t>Бочечки</t>
  </si>
  <si>
    <t>вул. Загребля, 10</t>
  </si>
  <si>
    <t>(05447-57)6-24</t>
  </si>
  <si>
    <t>Великосамбірський навчально-виховний комплекс :загальноосвітня школа І-ІІІ ступенів - дошкільний навчальний заклад Конотопської районної ради Сумської області</t>
  </si>
  <si>
    <t>41664</t>
  </si>
  <si>
    <t>5922080801</t>
  </si>
  <si>
    <t>Великий Самбір</t>
  </si>
  <si>
    <t>вул. Дептівська, 2А</t>
  </si>
  <si>
    <t>(58)586</t>
  </si>
  <si>
    <t>http://schoolvs.klasna.com</t>
  </si>
  <si>
    <t>Вирівський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</si>
  <si>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41630</t>
  </si>
  <si>
    <t>5922081101</t>
  </si>
  <si>
    <t>Вирівка</t>
  </si>
  <si>
    <t>(380544750)337</t>
  </si>
  <si>
    <t>В'язівський навчально - виховний комплекс: загальноосвітня школа І - ІІІ ступенів - дошкільний навчальний заклад Конотопської районної ради Сумської області</t>
  </si>
  <si>
    <t>41650</t>
  </si>
  <si>
    <t>5922081501</t>
  </si>
  <si>
    <t>вул. Клубна, 71</t>
  </si>
  <si>
    <t>Гружчанський навчально-виховний комплекс "Загальноосвітня школа І-ІІІ ступенів - дошкільний навчальний заклад"Конотопської районної ради Сумської області</t>
  </si>
  <si>
    <t>41651</t>
  </si>
  <si>
    <t>5922081901</t>
  </si>
  <si>
    <t>(05447)59217</t>
  </si>
  <si>
    <t>Дептівський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</si>
  <si>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41665</t>
  </si>
  <si>
    <t>5922082601</t>
  </si>
  <si>
    <t>Дептівка</t>
  </si>
  <si>
    <t>вул. Базарна, 33</t>
  </si>
  <si>
    <t>(0544758)7-43</t>
  </si>
  <si>
    <t>Духанівський навчально-виховний комплекс загальноосвітня школа І-ІІІ ступенів - дошкільний навчальний заклад Конотопської районної ради Сумської області</t>
  </si>
  <si>
    <t>41646</t>
  </si>
  <si>
    <t>5922083001</t>
  </si>
  <si>
    <t>Духанівка</t>
  </si>
  <si>
    <t>вул. Клубна, 1, 2</t>
  </si>
  <si>
    <t>Курилівський навчально-виховний комплекс: загальноосвітня школа І-ІІІ ступенів - дошкільний навчальний заклад Конотопської районної ради Сумської області</t>
  </si>
  <si>
    <t>41671</t>
  </si>
  <si>
    <t>5922083301</t>
  </si>
  <si>
    <t>вул. Слави, 12</t>
  </si>
  <si>
    <t>(53)4-18</t>
  </si>
  <si>
    <t>Землянський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</si>
  <si>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41653</t>
  </si>
  <si>
    <t>5922083501</t>
  </si>
  <si>
    <t>Землянка</t>
  </si>
  <si>
    <t>(067)4386769</t>
  </si>
  <si>
    <t>Козацький навчально-виховний комплекс: загальноосвітня школа І-ІІІ ступенів - дошкільний навчальний заклад Конотопської районної ради Сумської області</t>
  </si>
  <si>
    <t>41644</t>
  </si>
  <si>
    <t>5922083801</t>
  </si>
  <si>
    <t>вул. 40 років Перемоги, 2</t>
  </si>
  <si>
    <t>Кошарівський навчально-виховний комплекс "загальноосвітня школа І-ІІІ ступенів – дошкільний навчальний заклад" Конотопської районної ради Сумської області</t>
  </si>
  <si>
    <t>41666</t>
  </si>
  <si>
    <t>5922084501</t>
  </si>
  <si>
    <t>(096)26-45-583</t>
  </si>
  <si>
    <t>https://sites.google.com/site/kosharynvk</t>
  </si>
  <si>
    <t>Лебедівський навчально-виховний комплекс "Загальноосвітня школа І-ІІ ст.-дошкільний навчальний заклад" Конотопської районної ради Сумської області.</t>
  </si>
  <si>
    <t>41670</t>
  </si>
  <si>
    <t>5922084905</t>
  </si>
  <si>
    <t>Лебедєве</t>
  </si>
  <si>
    <t>вул. Широка, 2</t>
  </si>
  <si>
    <t>(56)1-52</t>
  </si>
  <si>
    <t>http://lebedinvk.ho.ua</t>
  </si>
  <si>
    <t>Малосамбірський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</si>
  <si>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41663</t>
  </si>
  <si>
    <t>5922085401</t>
  </si>
  <si>
    <t>Малий Самбір</t>
  </si>
  <si>
    <t>(05447)58-1-53</t>
  </si>
  <si>
    <t>Попівський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</si>
  <si>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41627</t>
  </si>
  <si>
    <t>5922086601</t>
  </si>
  <si>
    <t>вул. Гуденка, 2А</t>
  </si>
  <si>
    <t>(51)1-93</t>
  </si>
  <si>
    <t>Попівський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</si>
  <si>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вул. Братів Ковтун, 3</t>
  </si>
  <si>
    <t>(05447)51182</t>
  </si>
  <si>
    <t>Тулущанський навчально-виховний комплекс: загальноосвітня школа І-ІІІ ступенів - дошкільний навчальний заклад Конотопської районної ради Сумської області</t>
  </si>
  <si>
    <t>41628</t>
  </si>
  <si>
    <t>5922086604</t>
  </si>
  <si>
    <t>Тулушка</t>
  </si>
  <si>
    <t>(05447)51546</t>
  </si>
  <si>
    <t>Чорноплатівський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</si>
  <si>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41642</t>
  </si>
  <si>
    <t>5922086907</t>
  </si>
  <si>
    <t>Чорноплатове</t>
  </si>
  <si>
    <t>0544750246</t>
  </si>
  <si>
    <t>Салтиківський навчально - виховний комплекс "загальноосвітня школа І -ІІІ ступенів - дошкільний навчальний заклад" Конотопської районної ради Сумської області</t>
  </si>
  <si>
    <t>41654</t>
  </si>
  <si>
    <t>5922087401</t>
  </si>
  <si>
    <t>Салтикове</t>
  </si>
  <si>
    <t>(56)248</t>
  </si>
  <si>
    <t>Соснівський навчально-виховний комплекс "Загальноосвітня школа І-ІІІ ступенів -дошкільний навчальний заклад" імені Анатолія Шульги Конотопської районної ради Сумської області</t>
  </si>
  <si>
    <t>41662</t>
  </si>
  <si>
    <t>5922087801</t>
  </si>
  <si>
    <t>(58)2-23</t>
  </si>
  <si>
    <t>Тернівський навчально-виховний комплекс "загальноосвітня школа І-ІІІ ступенів-дошкільний навчальний заклад" Конотопської районної ради Сумської області</t>
  </si>
  <si>
    <t>41657</t>
  </si>
  <si>
    <t>5922088101</t>
  </si>
  <si>
    <t>вул. Садова, 17</t>
  </si>
  <si>
    <t>Хижківський навчально-виховний комплекс: "загальноосвітня школа І-ІІ ступенів - дошкільний навчальний заклад" Конотопської районної ради Сумської області</t>
  </si>
  <si>
    <t>41643</t>
  </si>
  <si>
    <t>5922088401</t>
  </si>
  <si>
    <t>Хижки</t>
  </si>
  <si>
    <t>вул. Сеймова, 40</t>
  </si>
  <si>
    <t>Шаповалівський навчально-виховний комплекс "загальноосвітня школа І-ІІ ступенів - дошкільний навчальний заклад" імені Віталія Парфененка Конотопської районної ради Сумської області</t>
  </si>
  <si>
    <t>41660</t>
  </si>
  <si>
    <t>5922088701</t>
  </si>
  <si>
    <t>Шаповалівка</t>
  </si>
  <si>
    <t>пл. Козацької слави, 24</t>
  </si>
  <si>
    <t>(05447)58339</t>
  </si>
  <si>
    <t>Шевченківський навчально-виховний комплекс " загальноосвітня школа І-ІІІ ступенів-дошкільний навчальний заклад" Конотопської районної ради Сумської області</t>
  </si>
  <si>
    <t>41603</t>
  </si>
  <si>
    <t>5922089001</t>
  </si>
  <si>
    <t>(38097)7626932</t>
  </si>
  <si>
    <t>Шпотівський навчально-виховний комплекс: загальноосвітня школа І-ІІІ ступенів - дошкільний навчальний заклад Конотопської районної ради Сумськоїобласті</t>
  </si>
  <si>
    <t>41673</t>
  </si>
  <si>
    <t>5922089301</t>
  </si>
  <si>
    <t>Шпотівка</t>
  </si>
  <si>
    <t>(05447)56-4-43</t>
  </si>
  <si>
    <t>Юрівський навчально-виховний комплекс: загальноосвітня школа І-ІІІ ступенів - дошкільний навчальний заклад Конотопської районної ради Сумської області</t>
  </si>
  <si>
    <t>41674</t>
  </si>
  <si>
    <t>5922089601</t>
  </si>
  <si>
    <t>вул. Бердицького, 5</t>
  </si>
  <si>
    <t>(05447)53246, 0961429823</t>
  </si>
  <si>
    <t>Краснопільська вечірня школа Краснопільської районної ради Сумської області</t>
  </si>
  <si>
    <t>42400</t>
  </si>
  <si>
    <t>5922355100</t>
  </si>
  <si>
    <t>(05459)74114</t>
  </si>
  <si>
    <t>Краснопільська гімназія Краснопільської районної ради Сумської області</t>
  </si>
  <si>
    <t>(05459)71054</t>
  </si>
  <si>
    <t>Краснопільська загальноосвітня школа І-ІІІ ступенів Краснопільської районної ради Сумської області</t>
  </si>
  <si>
    <t>вул. Перемога, 1</t>
  </si>
  <si>
    <t>(05459)7-10-57</t>
  </si>
  <si>
    <t>Краснопільська філія Краснопільської загально-освітньої школи І-ІІІступенів Краснопільської районної ради Сумської області</t>
  </si>
  <si>
    <t>вул. Слов'янська , 24</t>
  </si>
  <si>
    <t>(14456)7-18-89</t>
  </si>
  <si>
    <t>Михайлівська філія Краснопільської ЗОШ І - ІІІ ступенів Краснопільської районної ради Сумської області</t>
  </si>
  <si>
    <t>42407</t>
  </si>
  <si>
    <t>5922355102</t>
  </si>
  <si>
    <t>Михайлівське</t>
  </si>
  <si>
    <t>вул. Чернишевського, 89</t>
  </si>
  <si>
    <t>(05459)77377</t>
  </si>
  <si>
    <t>Угроїдська загальноосвітня школа І-ІІІ ступенів Краснопільської районної ради Сумської області</t>
  </si>
  <si>
    <t>42432</t>
  </si>
  <si>
    <t>5922355600</t>
  </si>
  <si>
    <t>Угроїди</t>
  </si>
  <si>
    <t>вул. Мачулівка, 8</t>
  </si>
  <si>
    <t>(05459)7-32-14</t>
  </si>
  <si>
    <t>Наумівська філія Краснопільської загальноосвітньої школи І-ІІІ ступенів Краснопільської районної ради Сумської області</t>
  </si>
  <si>
    <t>5922355601</t>
  </si>
  <si>
    <t>Наумівка</t>
  </si>
  <si>
    <t>вул. Мічуріна, 1</t>
  </si>
  <si>
    <t>(050)9136389</t>
  </si>
  <si>
    <t>Бранцівський навчально-виховний комплекс Краснопільської районної ради Сумської області</t>
  </si>
  <si>
    <t>42455</t>
  </si>
  <si>
    <t>5922380401</t>
  </si>
  <si>
    <t>Бранцівка</t>
  </si>
  <si>
    <t>(05459)7-69-40</t>
  </si>
  <si>
    <t>Великобобрицька загальноосвітня школа І-ІІІ ступенів Краснопільської районної ради Сумської області</t>
  </si>
  <si>
    <t>42442</t>
  </si>
  <si>
    <t>5922380801</t>
  </si>
  <si>
    <t>Великий Бобрик</t>
  </si>
  <si>
    <t>вул. Черепівка, 1</t>
  </si>
  <si>
    <t>(05459)7-64-40</t>
  </si>
  <si>
    <t>Малобобрицький навчально-виховний комплекс Великобобрицької сільської ради Краснопільського району Сумської області</t>
  </si>
  <si>
    <t>5922380804</t>
  </si>
  <si>
    <t>Малий Бобрик</t>
  </si>
  <si>
    <t>вул. Сад</t>
  </si>
  <si>
    <t>(050)6216441</t>
  </si>
  <si>
    <t>Грабовський навчально-виховний комплекс Краснопільської районної ради Сумської області</t>
  </si>
  <si>
    <t>42450</t>
  </si>
  <si>
    <t>5922381201</t>
  </si>
  <si>
    <t>Грабовське</t>
  </si>
  <si>
    <t>(05459)7-41-50</t>
  </si>
  <si>
    <t>Запсільська філія Миропільського навчально-виховного комплексу: загальноосвітня школа І-ІІІ ступенів - дошкільний навчальний заклад Миропільської сільської ради Краснопільського району Сумської області</t>
  </si>
  <si>
    <t>42417</t>
  </si>
  <si>
    <t>5922381601</t>
  </si>
  <si>
    <t>Запсілля</t>
  </si>
  <si>
    <t>вул. Сумська, 1</t>
  </si>
  <si>
    <t>0545974272</t>
  </si>
  <si>
    <t>http://zappsel.at.ua</t>
  </si>
  <si>
    <t>Великорибицька філія Миропільського навчально-виховного комплексу:загальноосвітня школа І-ІІІ ступенів- дошкільний навчальний заклад Миропільської сільської ради Краснопільського района Сумської області</t>
  </si>
  <si>
    <t>42418</t>
  </si>
  <si>
    <t>5922381602</t>
  </si>
  <si>
    <t>Велика Рибиця</t>
  </si>
  <si>
    <t>вул. сумська, 2</t>
  </si>
  <si>
    <t>(05459)7-44-40</t>
  </si>
  <si>
    <t>Малорибицька філія Миропільського навчально-виховного комплексу: загальноосвітня школа І-ІІІ ступенів - дошкільний навчальний заклад Миропільської сільської ради Краснопільського району Сумської області</t>
  </si>
  <si>
    <t>42422</t>
  </si>
  <si>
    <t>5922382501</t>
  </si>
  <si>
    <t>Мала Рибиця</t>
  </si>
  <si>
    <t>вул. Миропільська, 6</t>
  </si>
  <si>
    <t>(05459)-7-47-25</t>
  </si>
  <si>
    <t>Мезенівський навчально-виховний комплекс Краснопільської районної ради Сумської області</t>
  </si>
  <si>
    <t>42453</t>
  </si>
  <si>
    <t>5922382901</t>
  </si>
  <si>
    <t>Мезенівка</t>
  </si>
  <si>
    <t>вул. Троїцька, 2</t>
  </si>
  <si>
    <t>(05459)7-78-00</t>
  </si>
  <si>
    <t>http://mesenivskij-nvk.ucoz</t>
  </si>
  <si>
    <t>Миропільський навчально-виховний комплекс: загальноосвітня школа І-ІІІ ступенів - дошкільний навчальний заклад Миропільської сільської ради Краснопільського району Сумської області</t>
  </si>
  <si>
    <t>42410</t>
  </si>
  <si>
    <t>5922383301</t>
  </si>
  <si>
    <t>Миропілля</t>
  </si>
  <si>
    <t>вул. Сумська, 38</t>
  </si>
  <si>
    <t>(05459)7-42-76</t>
  </si>
  <si>
    <t>Осоївський навчально-виховний комплекс Краснопільської районної ради Сумської області</t>
  </si>
  <si>
    <t>42424</t>
  </si>
  <si>
    <t>5922383801</t>
  </si>
  <si>
    <t>Осоївка</t>
  </si>
  <si>
    <t>вул. Слобожанська, 2</t>
  </si>
  <si>
    <t>(05459)77632</t>
  </si>
  <si>
    <t>Покровська загальноосвітня школа І-ІІ ступенів Краснопільської районної ради Сумської області</t>
  </si>
  <si>
    <t>42437</t>
  </si>
  <si>
    <t>5922384201</t>
  </si>
  <si>
    <t>пров. Шкільний, 1/а</t>
  </si>
  <si>
    <t>(05459)76757</t>
  </si>
  <si>
    <t>http://pokrovskazosh.ucoz.ua/</t>
  </si>
  <si>
    <t>Ряснянський навчально-виховний комплекс Краснопільської районної ради Сумської області</t>
  </si>
  <si>
    <t>42452</t>
  </si>
  <si>
    <t>5922385001</t>
  </si>
  <si>
    <t>вул. Перемоги, 50</t>
  </si>
  <si>
    <t>5-72-92</t>
  </si>
  <si>
    <t>Самотоївська загальноосвітня школа І-ІІІ ступенів Краснопільської районної ради Сумської області</t>
  </si>
  <si>
    <t>42440</t>
  </si>
  <si>
    <t>5922385401</t>
  </si>
  <si>
    <t>Самотоївка</t>
  </si>
  <si>
    <t>вул. Макаренка, 41</t>
  </si>
  <si>
    <t>(05459)7-66-40</t>
  </si>
  <si>
    <t>Сіннівський навчально-виховний комплекс "Загальноосвітня школа І-ІІІ ступенів - дошкільний навчальний заклад" Миропільської сільської ради Сумської області.</t>
  </si>
  <si>
    <t>42420</t>
  </si>
  <si>
    <t>5922385801</t>
  </si>
  <si>
    <t>вул. Шкільна, №19</t>
  </si>
  <si>
    <t>(05459)74610</t>
  </si>
  <si>
    <t>Славгородська загальноосвітня школа І - ІІІ ступенів Краснопільської районної ради Сумської області</t>
  </si>
  <si>
    <t>42456</t>
  </si>
  <si>
    <t>5922386401</t>
  </si>
  <si>
    <t>вул. Базарська, 1</t>
  </si>
  <si>
    <t>(05459)76340</t>
  </si>
  <si>
    <t>Порозчанська загальноосвітня школа І-ІІ ступенів Краснопільської районної ради Сумської області</t>
  </si>
  <si>
    <t>42457</t>
  </si>
  <si>
    <t>5922386403</t>
  </si>
  <si>
    <t>Порозок</t>
  </si>
  <si>
    <t>вул. Гора</t>
  </si>
  <si>
    <t>(05459)76355</t>
  </si>
  <si>
    <t>Тур'янський навчально-виховний комплекс Краснопільської районної ради Сумської області</t>
  </si>
  <si>
    <t>42430</t>
  </si>
  <si>
    <t>5922387001</t>
  </si>
  <si>
    <t>(05459)76840</t>
  </si>
  <si>
    <t>Хмелівська загальноосвітня школа І-ІІІ ступенів Краснопільської районної ради Сумської області</t>
  </si>
  <si>
    <t>42446</t>
  </si>
  <si>
    <t>5922387401</t>
  </si>
  <si>
    <t>(05459)7-71-41</t>
  </si>
  <si>
    <t>Чернеччинський навчально-виховний комплекс Краснопільської районної ради Сумської області</t>
  </si>
  <si>
    <t>42444</t>
  </si>
  <si>
    <t>5922387601</t>
  </si>
  <si>
    <t>вул. 40-Річчя Перемоги, 2Б</t>
  </si>
  <si>
    <t>(0542)7-61-50</t>
  </si>
  <si>
    <t>Кролевецька вечірня загальноосвітня школа ІІ-ІІІ ступенів Кролевецької районної ради Сумської області</t>
  </si>
  <si>
    <t>41300</t>
  </si>
  <si>
    <t>5922610100</t>
  </si>
  <si>
    <t>Кролевець</t>
  </si>
  <si>
    <t>вул. Франка, 8</t>
  </si>
  <si>
    <t>(05453)91346</t>
  </si>
  <si>
    <t>Кролевецька загальноосвітня школа I-II ступенів № 7 Кролевецької районної ради Сумської області</t>
  </si>
  <si>
    <t>вул. Клубна, 19</t>
  </si>
  <si>
    <t>(05453)95258</t>
  </si>
  <si>
    <t>http://krol-sh7.ucoz.net</t>
  </si>
  <si>
    <t>Кролевецька загальноосвітня школа І-ІІІ ступенів № 5 Кролевецької районної ради Сумської області</t>
  </si>
  <si>
    <t>пл. Свободи, 35</t>
  </si>
  <si>
    <t>(05453)9-53-78</t>
  </si>
  <si>
    <t>http://krshkola5.ucoz.ru</t>
  </si>
  <si>
    <t>Кролевецька загальноосвітня школа І-ІІІ ступенів № 2 імені М.О.Лукаша Кролевецької районної ради Сумської області</t>
  </si>
  <si>
    <t>вул. Героїв України, 39</t>
  </si>
  <si>
    <t>(05453)9-57-74</t>
  </si>
  <si>
    <t>http://school-2krol.ucoz.ua</t>
  </si>
  <si>
    <t>Кролевецька спеціалізована школа І-ІІІ ступенів № 1 Кролевецької районної ради Сумської області</t>
  </si>
  <si>
    <t>просп. Миру, 2</t>
  </si>
  <si>
    <t>(05453)5-1890</t>
  </si>
  <si>
    <t>http://krol-sh1.at.ua</t>
  </si>
  <si>
    <t>Кролевецька спеціалізована школа І-ІІІ ступенів № 3 Кролевецької районної ради Сумської області</t>
  </si>
  <si>
    <t>вул. Чкалова, 40</t>
  </si>
  <si>
    <t>(05453)5-15-80, (05453)5-11-64</t>
  </si>
  <si>
    <t>http://krolsh3.ucoz.ua</t>
  </si>
  <si>
    <t>Кролевецький навчально-виховний комплекс № 4 "загальноосвітня школа І ступенів - дошкільний навчальний заклад (ясла-садок) Кролевецької районної ради Сумської області</t>
  </si>
  <si>
    <t>вул. Кошового, 18</t>
  </si>
  <si>
    <t>(05453)9-57-46</t>
  </si>
  <si>
    <t>Кролевецький навчально-виховний комплекс № 6 "загальноосвітня школа І-ІІІ ступенів дошкільний навчальний заклад (ясла-садок)" Кролевецької районної ради Сумської області</t>
  </si>
  <si>
    <t>вул. Андріївська, 73</t>
  </si>
  <si>
    <t>(05453)51393</t>
  </si>
  <si>
    <t>http://krol-school6.at.ua</t>
  </si>
  <si>
    <t>Алтинівська загальноосвітня школа І-ІІІ ступенів Кролевецької районної ради Сумської області</t>
  </si>
  <si>
    <t>41346</t>
  </si>
  <si>
    <t>5922680401</t>
  </si>
  <si>
    <t>Алтинівка</t>
  </si>
  <si>
    <t>вул. Чайківка, 19</t>
  </si>
  <si>
    <t>(05453)72249</t>
  </si>
  <si>
    <t>Білогривський навчально-виховний комплекс :"загальноосвітня школа І ступеня - дошкільний навчальний заклад " Кролевецької районної ради Сумської області</t>
  </si>
  <si>
    <t>41323</t>
  </si>
  <si>
    <t>5922681201</t>
  </si>
  <si>
    <t>Білогриве</t>
  </si>
  <si>
    <t>(054)5373144</t>
  </si>
  <si>
    <t>Буйвалівський навчально-виховний комплекс " загальноосвітня школа І-ІІ ступенів-дошкільний навчальний заклад (дитячий садок)" Кролевецької районної ради Сумської області</t>
  </si>
  <si>
    <t>41353</t>
  </si>
  <si>
    <t>5922681501</t>
  </si>
  <si>
    <t>Буйвалове</t>
  </si>
  <si>
    <t>вул. Північна, 3</t>
  </si>
  <si>
    <t>(05453)63537</t>
  </si>
  <si>
    <t>Бистрицький навчально-виховний комплекс "загальноосвітня школа І - ІІІ ступенів - дошкільний навчальний заклад (дитячий садок)" Кролевецької районної ради Сумської області</t>
  </si>
  <si>
    <t>41330</t>
  </si>
  <si>
    <t>5922681701</t>
  </si>
  <si>
    <t>(05453)63432</t>
  </si>
  <si>
    <t>Гречкинський навчально-виховний комплекс "загальноосвітня школа І ступенів - дошкільний навчальний заклад" Кролевецької районної ради Сумської області</t>
  </si>
  <si>
    <t>5922682201</t>
  </si>
  <si>
    <t>Гречкине</t>
  </si>
  <si>
    <t>(05453)73739</t>
  </si>
  <si>
    <t>Грузчанська загальноосвітня школа І-ІІІ ступенів Кролевецької районної ради Сумської області</t>
  </si>
  <si>
    <t>41324</t>
  </si>
  <si>
    <t>5922682601</t>
  </si>
  <si>
    <t>(05453)6-36-30</t>
  </si>
  <si>
    <t>Добротівський навчально-виховний комплекс «Загальноосвітня школа І-ІІ ступенів - дошкільний навчальний заклад» Кролевецької районної ради Сумської області</t>
  </si>
  <si>
    <t>41344</t>
  </si>
  <si>
    <t>5922683001</t>
  </si>
  <si>
    <t>Добротове</t>
  </si>
  <si>
    <t>вул. Мічуріна, 70</t>
  </si>
  <si>
    <t>(73)339</t>
  </si>
  <si>
    <t>Дубовицька загальноосвітня школа І-ІІІ ступенів Кролевецької районної ради Сумської області</t>
  </si>
  <si>
    <t>41321</t>
  </si>
  <si>
    <t>5922683401</t>
  </si>
  <si>
    <t>Дубовичі</t>
  </si>
  <si>
    <t>вул. Павла Цимбала, 8</t>
  </si>
  <si>
    <t>(05453)76517</t>
  </si>
  <si>
    <t>Зазірківський навчально-виховний комплекс "загальноосвітня школа I ступенів - дошкільний навчальний заклад" Кролевецької районної ради Сумської області</t>
  </si>
  <si>
    <t>41332</t>
  </si>
  <si>
    <t>5922683901</t>
  </si>
  <si>
    <t>Зазірки</t>
  </si>
  <si>
    <t>вул. Заозерна, 60</t>
  </si>
  <si>
    <t>(067)6620701</t>
  </si>
  <si>
    <t>Камінський навчально-виховний комплекс "загальноосвітня школа І-ІІІ ступенів - дошкільний навчальний заклад" Кролевецької районної ради Сумської області</t>
  </si>
  <si>
    <t>41350</t>
  </si>
  <si>
    <t>5922684401</t>
  </si>
  <si>
    <t>((05453))72538</t>
  </si>
  <si>
    <t>Спаська загальноосвітня школа І-ІІІ ступенів Кролевецької районної ради Сумської області</t>
  </si>
  <si>
    <t>41354</t>
  </si>
  <si>
    <t>5922685101</t>
  </si>
  <si>
    <t>вул. Вязова, 3</t>
  </si>
  <si>
    <t>(05453)62199</t>
  </si>
  <si>
    <t>Литвиновицький навчально-виховний комплекс "загальноосвітня школа І - ІІІ ступенів - дошкільний навчальний заклад (дитячий садок)" Кролевецької районної ради Сумської області</t>
  </si>
  <si>
    <t>41334</t>
  </si>
  <si>
    <t>5922685501</t>
  </si>
  <si>
    <t>Литвиновичі</t>
  </si>
  <si>
    <t>(05453)62332</t>
  </si>
  <si>
    <t>Локнянський навчально-виховний комплекс "загальноосвітня школа І-ІІ ступенів - дошкільний навчальний заклад" Кролевецької районної ради Сумської області</t>
  </si>
  <si>
    <t>41336</t>
  </si>
  <si>
    <t>5922685901</t>
  </si>
  <si>
    <t>Локня</t>
  </si>
  <si>
    <t>((05453))6-26-38</t>
  </si>
  <si>
    <t>Мутинська загальноосвітня школа І-ІІІ ступенів Кролевецької районної ради Сумської області</t>
  </si>
  <si>
    <t>41351</t>
  </si>
  <si>
    <t>5922686301</t>
  </si>
  <si>
    <t>Мутин</t>
  </si>
  <si>
    <t>вул. Колективна, 4А</t>
  </si>
  <si>
    <t>(098)5985325, (05354)62425</t>
  </si>
  <si>
    <t>Обтівська загальноосвітня школа І-ІІІ ступенів Кролевецької районної ради Сумської області</t>
  </si>
  <si>
    <t>41340</t>
  </si>
  <si>
    <t>5922686801</t>
  </si>
  <si>
    <t>Обтове</t>
  </si>
  <si>
    <t>(5453)6-64-31</t>
  </si>
  <si>
    <t>Реутинська загальноосвітня школа І-ІІ ступенів Кролевецької районної ради Сумської області</t>
  </si>
  <si>
    <t>41343</t>
  </si>
  <si>
    <t>5922687201</t>
  </si>
  <si>
    <t>Реутинці</t>
  </si>
  <si>
    <t>вул. Перемоги, 56</t>
  </si>
  <si>
    <t>(05453)7-27-24</t>
  </si>
  <si>
    <t>http://reutynska-zosh.sumy.sch.in.ua</t>
  </si>
  <si>
    <t>Тулиголівська загальноосвітня школа І-ІІІ ступенів Кролевецької районної ради Сумської області</t>
  </si>
  <si>
    <t>41320</t>
  </si>
  <si>
    <t>5922687701</t>
  </si>
  <si>
    <t>вул. Шлях, 22</t>
  </si>
  <si>
    <t>(05453)76324</t>
  </si>
  <si>
    <t>http://tulygolove-zosh.edukit.sumy.ua/</t>
  </si>
  <si>
    <t>Червоноранківський навчально-виховний комплекс :загальноосвітня школа І-ІІІ ступенів - дошкільний навчальний заклад Кроевецької районної ради Сумської області</t>
  </si>
  <si>
    <t>41352</t>
  </si>
  <si>
    <t>5922688201</t>
  </si>
  <si>
    <t>Божок</t>
  </si>
  <si>
    <t>вул. Кооперативна, 13</t>
  </si>
  <si>
    <t>0680897349</t>
  </si>
  <si>
    <t>http://Cherranokschool.Jimdo.Com</t>
  </si>
  <si>
    <t>Яровський навчально- виховний комплекс "загальноосвітня школа I-II ступенів - дошкільний навчальний заклад" Кролевецької районної ради Сумської області</t>
  </si>
  <si>
    <t>41337</t>
  </si>
  <si>
    <t>5922688701</t>
  </si>
  <si>
    <t>вул. Селянівка, 27</t>
  </si>
  <si>
    <t>66725</t>
  </si>
  <si>
    <t>Ярославецька загальноосвітня школа І-ІІІ ступенів Кролевецької районної ради Сумської області</t>
  </si>
  <si>
    <t>41331</t>
  </si>
  <si>
    <t>5922688901</t>
  </si>
  <si>
    <t>Ярославець</t>
  </si>
  <si>
    <t>(805453)6632, 0984953313</t>
  </si>
  <si>
    <t>http://yaroslavetskash.ucoz.ua/</t>
  </si>
  <si>
    <t>Бишкінський навчально-виховний комплекс: загальноосвітня школа І ступенів - дошкільний навчальний заклад Лебединської районної ради Сумської області</t>
  </si>
  <si>
    <t>42245</t>
  </si>
  <si>
    <t>5922980401</t>
  </si>
  <si>
    <t>Бишкінь</t>
  </si>
  <si>
    <t>вул. Сергеєва, 126</t>
  </si>
  <si>
    <t>(054)4539240</t>
  </si>
  <si>
    <t>https://sites.google.com/site/byshkinskiynvk/</t>
  </si>
  <si>
    <t>Боровеньківський навчально - виховний комплекс : загальноосвітня школа І ступеня - дошкільний навчальний заклад Лебединської районної ради Сумської області</t>
  </si>
  <si>
    <t>42236</t>
  </si>
  <si>
    <t>5922980801</t>
  </si>
  <si>
    <t>Боровенька</t>
  </si>
  <si>
    <t>(05445)36-1-40</t>
  </si>
  <si>
    <t>Будильський навчально-виховний комплекс: загальноосвітня школа І - ІІІ ступенів - дошкільний навчальний заклад Лебединської районної ради Сумської області</t>
  </si>
  <si>
    <t>42238</t>
  </si>
  <si>
    <t>5922981201</t>
  </si>
  <si>
    <t>Будилка</t>
  </si>
  <si>
    <t>(05445)33240</t>
  </si>
  <si>
    <t>Василівська загальноосвітня школа І-ІІІ ступенів Лебединської районної ради Сумської області</t>
  </si>
  <si>
    <t>42231</t>
  </si>
  <si>
    <t>5922981601</t>
  </si>
  <si>
    <t>вул. Широка, 8</t>
  </si>
  <si>
    <t>(05445)38326</t>
  </si>
  <si>
    <t>Великовисторопський навчально-виховний комплекс: загальноосвітня школа І-ІІ ступенів - дошкільний навчальний заклад Лебединської районної ради Сумської області</t>
  </si>
  <si>
    <t>42242</t>
  </si>
  <si>
    <t>5922982001</t>
  </si>
  <si>
    <t>Великий Вистороп</t>
  </si>
  <si>
    <t>(37)2-40</t>
  </si>
  <si>
    <t>Ворожбянський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</si>
  <si>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42240</t>
  </si>
  <si>
    <t>5922982401</t>
  </si>
  <si>
    <t>35274</t>
  </si>
  <si>
    <t>Голубіська загальноосвітня школа І-ІІІ ступенів Лебединської районної ради Сумської області</t>
  </si>
  <si>
    <t>42221</t>
  </si>
  <si>
    <t>5922983001</t>
  </si>
  <si>
    <t>(05445)34240</t>
  </si>
  <si>
    <t>Гринцівський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</si>
  <si>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42223</t>
  </si>
  <si>
    <t>5922983201</t>
  </si>
  <si>
    <t>Гринцеве</t>
  </si>
  <si>
    <t>вул. Покровська, 11А</t>
  </si>
  <si>
    <t>(05445)34440</t>
  </si>
  <si>
    <t>http://grincevenvk.jimdo.com</t>
  </si>
  <si>
    <t>Гудимівський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</si>
  <si>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42253</t>
  </si>
  <si>
    <t>5922983703</t>
  </si>
  <si>
    <t>Гудимівка</t>
  </si>
  <si>
    <t>вул. Кучерова, 11</t>
  </si>
  <si>
    <t>(05445)32560</t>
  </si>
  <si>
    <t>Катеринівський навчально-виховний комплекс: загальноосвітня школа I ступеня - дошкільний навчальний заклад Лебединської районної ради Сумської області</t>
  </si>
  <si>
    <t>42227</t>
  </si>
  <si>
    <t>5922984601</t>
  </si>
  <si>
    <t>вул. Індика, 1</t>
  </si>
  <si>
    <t>http://Katerynivskyi-n.ucoz.ua</t>
  </si>
  <si>
    <t>Курганський навчально- виховний комплекс:загальноосвітня школа І ступеня- дошкільний навчальний заклад Лебединської районної ради Сумської області</t>
  </si>
  <si>
    <t>42217</t>
  </si>
  <si>
    <t>5922985201</t>
  </si>
  <si>
    <t>Курган</t>
  </si>
  <si>
    <t>вул. Лебединська, 4</t>
  </si>
  <si>
    <t>(544535)140</t>
  </si>
  <si>
    <t>Маловисторопський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</si>
  <si>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42243</t>
  </si>
  <si>
    <t>5922985801</t>
  </si>
  <si>
    <t>Малий Вистороп</t>
  </si>
  <si>
    <t>(05445)36240</t>
  </si>
  <si>
    <t>Межиріцька загальноосвітня школа І - ІІІ ступенів Лебединської районної ради Сумської області</t>
  </si>
  <si>
    <t>42230</t>
  </si>
  <si>
    <t>5922986201</t>
  </si>
  <si>
    <t>(05445)4-40</t>
  </si>
  <si>
    <t>https://sites.google.com/site/mezirickazos/</t>
  </si>
  <si>
    <t>Михайлівська загальноосвітня школа І-ІІІ ступенів Лебединської районної ради Сумської області</t>
  </si>
  <si>
    <t>42218</t>
  </si>
  <si>
    <t>5922986501</t>
  </si>
  <si>
    <t>вул. Трихліба, 14</t>
  </si>
  <si>
    <t>(05445)32240</t>
  </si>
  <si>
    <t>http://mihaylivka.at.ua/</t>
  </si>
  <si>
    <t>Московськобобрицький навчально-виховний комплекс: загально-освітня школа І-ІІІ ступенів - дошкільний навчальний заклад Лебединської районної ради Сумської області</t>
  </si>
  <si>
    <t>42235</t>
  </si>
  <si>
    <t>5922986901</t>
  </si>
  <si>
    <t>Московський Бобрик</t>
  </si>
  <si>
    <t>(05445)33140</t>
  </si>
  <si>
    <t>Павленківський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</si>
  <si>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42224</t>
  </si>
  <si>
    <t>5922987101</t>
  </si>
  <si>
    <t>(05445)31240</t>
  </si>
  <si>
    <t>https://sites.google.com/site/pavlenkovenvk/</t>
  </si>
  <si>
    <t>Пристайлівський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</si>
  <si>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42233</t>
  </si>
  <si>
    <t>5922987801</t>
  </si>
  <si>
    <t>Пристайлове</t>
  </si>
  <si>
    <t>(05445)34-1-40</t>
  </si>
  <si>
    <t>Рябушківський навчально- виховний комплекс: загальноосвітня школа I - III ступенів - дошкільний навчальний заклад Лебединської районної ради Сумської області</t>
  </si>
  <si>
    <t>42250</t>
  </si>
  <si>
    <t>5922988201</t>
  </si>
  <si>
    <t>Рябушки</t>
  </si>
  <si>
    <t>вул. ім. Д.Бурлюка, 1</t>
  </si>
  <si>
    <t>(05445)37440</t>
  </si>
  <si>
    <t>http://Ryabyshckivskuy.ucoz.ru</t>
  </si>
  <si>
    <t>Червленівський навчально- виховний комплекс: загальноосвітня школа І ступеня - дошкільний навчальний заклад Лебединської районної ради Сумської області</t>
  </si>
  <si>
    <t>42216</t>
  </si>
  <si>
    <t>5922989101</t>
  </si>
  <si>
    <t>Червлене</t>
  </si>
  <si>
    <t>вул. Першотравнева, 28</t>
  </si>
  <si>
    <t>05445 30440</t>
  </si>
  <si>
    <t>Комунальний заклад Сумської обласної ради - Штепівська спеціальна загальноосвітня школа-інтернат Лебединського району</t>
  </si>
  <si>
    <t>42220</t>
  </si>
  <si>
    <t>5922989601</t>
  </si>
  <si>
    <t>Штепівка</t>
  </si>
  <si>
    <t>(0542)245-31-246</t>
  </si>
  <si>
    <t>http://stschoolint.jimdo.com/</t>
  </si>
  <si>
    <t>23053163</t>
  </si>
  <si>
    <t>Штепівський навчально-виховний комплекс: загальноосвітня школа I-II ступенів-дошкільний навчальний заклад</t>
  </si>
  <si>
    <t>(05445)31-240</t>
  </si>
  <si>
    <t>Комунальний заклад Липоводолинська спеціалізована школа І-ІІІ ступенів Липоводолинської районної ради Сумської області</t>
  </si>
  <si>
    <t>42500</t>
  </si>
  <si>
    <t>5923255100</t>
  </si>
  <si>
    <t>Липова Долина</t>
  </si>
  <si>
    <t>(05452)5-13-64</t>
  </si>
  <si>
    <t>http://ldschool.at.ua</t>
  </si>
  <si>
    <t>Байрацький навчально-виховний комплекс: Байрацька загальноосвітня школа І-ІІІ ступенів - Байрацький дошкільний навчальний заклад Липоводолинської районної ради Сумської області</t>
  </si>
  <si>
    <t>42540</t>
  </si>
  <si>
    <t>5923280401</t>
  </si>
  <si>
    <t>http://forum-bajrak.at.ua</t>
  </si>
  <si>
    <t>Беївський навчально-виховний комплекс: Беївська загальноосвітня школа І-ІІІ ступенів - Беївський дошкільний навчальний заклад Липоводолинської районної ради Сумської області</t>
  </si>
  <si>
    <t>42512</t>
  </si>
  <si>
    <t>5923280801</t>
  </si>
  <si>
    <t>Беєве</t>
  </si>
  <si>
    <t>(05452)56683</t>
  </si>
  <si>
    <t>http://beevozosh.ucoz.com</t>
  </si>
  <si>
    <t>Берестівська загальноосвітня школа І-ІІІ ступенів Липоводолинської районної ради Сумської області</t>
  </si>
  <si>
    <t>42513</t>
  </si>
  <si>
    <t>5923281201</t>
  </si>
  <si>
    <t>(05452)556118</t>
  </si>
  <si>
    <t>https://sites.google.com/site/berestivskazos/</t>
  </si>
  <si>
    <t>Калінінська загальноосвітня школа І-ІІ ступенів Липоводолинсокої районної ради Сумської області</t>
  </si>
  <si>
    <t>42506</t>
  </si>
  <si>
    <t>5923281701</t>
  </si>
  <si>
    <t>Суха Грунь</t>
  </si>
  <si>
    <t>вул. Московська, 23</t>
  </si>
  <si>
    <t>(05452)56271</t>
  </si>
  <si>
    <t>https://sites.google.com/site/kalininskazos</t>
  </si>
  <si>
    <t>Капустинська загальноосвітня школа І-ІІІ ступенів Липоводолинської районної ради Сумської області</t>
  </si>
  <si>
    <t>42521</t>
  </si>
  <si>
    <t>5923281901</t>
  </si>
  <si>
    <t>вул. Беївська, 1</t>
  </si>
  <si>
    <t>(05452)54238</t>
  </si>
  <si>
    <t>http://sites.google.com/site/kapushcool</t>
  </si>
  <si>
    <t>Колядинецький навчально-виховний комплекс Липоводолинської районної ради Сумської області</t>
  </si>
  <si>
    <t>42523</t>
  </si>
  <si>
    <t>5923282601</t>
  </si>
  <si>
    <t>Колядинець</t>
  </si>
  <si>
    <t>вул. Щастя, 24</t>
  </si>
  <si>
    <t>(0542)553331</t>
  </si>
  <si>
    <t>https://sites.google.com/site/Koladinec</t>
  </si>
  <si>
    <t>Московський навчально-виховний комплекс Липоводолинської районної ради Сумської області</t>
  </si>
  <si>
    <t>42525</t>
  </si>
  <si>
    <t>5923283201</t>
  </si>
  <si>
    <t>Московське</t>
  </si>
  <si>
    <t>вул. Дериземлі, 14</t>
  </si>
  <si>
    <t>(068)3423747</t>
  </si>
  <si>
    <t>http://moskovskiynvk1.ucoz.net</t>
  </si>
  <si>
    <t>Панасівська загальноосвітня школа І-ІІ ступенів Липоводолинської районної ради Сумської області</t>
  </si>
  <si>
    <t>42516</t>
  </si>
  <si>
    <t>5923283801</t>
  </si>
  <si>
    <t>(066)1222910</t>
  </si>
  <si>
    <t>https://sites.google.com/site/panasivkamyhome</t>
  </si>
  <si>
    <t>Подільківська загальноосвітня школа І-ІІІ ступенів Липоводолинської районної ради Сумської області</t>
  </si>
  <si>
    <t>42530</t>
  </si>
  <si>
    <t>5923284401</t>
  </si>
  <si>
    <t>Подільки</t>
  </si>
  <si>
    <t>(05452)53610, (05452)53631</t>
  </si>
  <si>
    <t>https://sites.google.com/site/schoolpodilky/</t>
  </si>
  <si>
    <t>Підставська загальноосвітня школа І - ІІ ступенів Липоводолинської районної ради Сумської області</t>
  </si>
  <si>
    <t>42535</t>
  </si>
  <si>
    <t>5923284801</t>
  </si>
  <si>
    <t>Підставки</t>
  </si>
  <si>
    <t>(05452)53431</t>
  </si>
  <si>
    <t>https://sites.google.com/site/pidstavkyschool</t>
  </si>
  <si>
    <t>Русанівський навчально-виховний комплекс Липоводолинської районної ради Сумської області</t>
  </si>
  <si>
    <t>42545</t>
  </si>
  <si>
    <t>5923285201</t>
  </si>
  <si>
    <t>Русанівка</t>
  </si>
  <si>
    <t>(05452)54342</t>
  </si>
  <si>
    <t>http://rusnvk.cc.ua</t>
  </si>
  <si>
    <t>Саївський навчально-виховний комплекс: Саївська загальноосвітня школа І-ІІІ ступенів - Саївський дошкільний навчальний заклад Липоводолинської районної ради Сумської області</t>
  </si>
  <si>
    <t>42520</t>
  </si>
  <si>
    <t>5923285601</t>
  </si>
  <si>
    <t>Саї</t>
  </si>
  <si>
    <t>(38)0680893473</t>
  </si>
  <si>
    <t>http://sayischool.ucoz.ua</t>
  </si>
  <si>
    <t>Семенівська загальноосвітня школа І-ІІІ ступенів Липоводолинської районної ради Сумської області</t>
  </si>
  <si>
    <t>42510</t>
  </si>
  <si>
    <t>5923286201</t>
  </si>
  <si>
    <t>(099)0675702</t>
  </si>
  <si>
    <t>http://semenivka-school.sumy.sch.in.ua/</t>
  </si>
  <si>
    <t>Синівська загальноосвітня школа І-ІІІ ступенів Липоводолинської районної ради Сумської області</t>
  </si>
  <si>
    <t>42533</t>
  </si>
  <si>
    <t>5923286801</t>
  </si>
  <si>
    <t>Синівка</t>
  </si>
  <si>
    <t>380993491568</t>
  </si>
  <si>
    <t>http://sites.google.com/site/synivkazosh</t>
  </si>
  <si>
    <t>Яганівський навчально-виховний комплекс Липоводолинської районної ради Сумської області</t>
  </si>
  <si>
    <t>42543</t>
  </si>
  <si>
    <t>5923287201</t>
  </si>
  <si>
    <t>Яганівка</t>
  </si>
  <si>
    <t>вул. Демченко, 6</t>
  </si>
  <si>
    <t>0500803804</t>
  </si>
  <si>
    <t>https://sites.google.com/site/jaganivskijnvk/</t>
  </si>
  <si>
    <t>Яснопільщанський навчально-виховний комплекс Липоводолинської районної ради Сумської області</t>
  </si>
  <si>
    <t>42541</t>
  </si>
  <si>
    <t>5923287401</t>
  </si>
  <si>
    <t>Яснопільщина</t>
  </si>
  <si>
    <t>вул. Ковардіна, 6</t>
  </si>
  <si>
    <t>https://yasnonvk.at.ua/</t>
  </si>
  <si>
    <t>Недригайлівська спеціалізована загальноосвітня школа І-ІІІ ступенів Недригайлівської селищної ради Сумської області (опорний заклад)</t>
  </si>
  <si>
    <t>42100</t>
  </si>
  <si>
    <t>5923555100</t>
  </si>
  <si>
    <t>Недригайлів</t>
  </si>
  <si>
    <t>вул. Незалежності, 25</t>
  </si>
  <si>
    <t>5-52-73</t>
  </si>
  <si>
    <t>24022087</t>
  </si>
  <si>
    <t>Тернівська загальнооосвітня школа І-ІІІ ступенів Недригайлівської районної ради Сумської області</t>
  </si>
  <si>
    <t>42110</t>
  </si>
  <si>
    <t>5923555600</t>
  </si>
  <si>
    <t>(05455)53157</t>
  </si>
  <si>
    <t>Гринівський навчально -виховний комплекс: "загальноосвітня школа І-ІІІ ступенів- дошкільний навчальний заклад" Недригайлівської селищної ради Сумської області</t>
  </si>
  <si>
    <t>42132</t>
  </si>
  <si>
    <t>5923580501</t>
  </si>
  <si>
    <t>(05455)53934</t>
  </si>
  <si>
    <t>Комунальний навчальний заклад Деркачівський навчально- виховний комплекс загальноосвітня школа І-ІІ ступенів, дошкільний навчальний заклад Недригайлівської районної ради Сумської області</t>
  </si>
  <si>
    <t>42123</t>
  </si>
  <si>
    <t>5923580901</t>
  </si>
  <si>
    <t>Деркачівка</t>
  </si>
  <si>
    <t>вул. Марії Заїченко, 6</t>
  </si>
  <si>
    <t>(05455)54933</t>
  </si>
  <si>
    <t>Іваницька загальноосвітння школа І-ІІ ступенів Недригайлівської районної ради Сумської області</t>
  </si>
  <si>
    <t>42120</t>
  </si>
  <si>
    <t>5923582201</t>
  </si>
  <si>
    <t>Іваниця</t>
  </si>
  <si>
    <t>вул. Шкільна, 1/3</t>
  </si>
  <si>
    <t>(05455)5-47-20</t>
  </si>
  <si>
    <t>Козелянська філія Вільшанської загальноосвітньї школи І-ІІІ ступенів Недригайлівської районної ради Сумської області</t>
  </si>
  <si>
    <t>42146</t>
  </si>
  <si>
    <t>5923582901</t>
  </si>
  <si>
    <t>Козельне</t>
  </si>
  <si>
    <t>вул. Кошового, 1</t>
  </si>
  <si>
    <t>(805455)54131</t>
  </si>
  <si>
    <t>Коровинська загальноосвітня школа І-ІІІ ступенів Недригайлівської районної ради Сумської області</t>
  </si>
  <si>
    <t>42140</t>
  </si>
  <si>
    <t>5923583401</t>
  </si>
  <si>
    <t>Коровинці</t>
  </si>
  <si>
    <t>вул. Київська, № 70</t>
  </si>
  <si>
    <t>(05455)58312</t>
  </si>
  <si>
    <t>Курманівська філія Недригайлівської СЗОШ І-ІІІ ступенів Недригайлівської селищної ради Сумської області</t>
  </si>
  <si>
    <t>42137</t>
  </si>
  <si>
    <t>5923583801</t>
  </si>
  <si>
    <t>Курмани</t>
  </si>
  <si>
    <t>(05455)57030</t>
  </si>
  <si>
    <t>Маршалівський НВК: ЗОШ І-ІІ ступенів, ДНЗ</t>
  </si>
  <si>
    <t>42133</t>
  </si>
  <si>
    <t>5923584001</t>
  </si>
  <si>
    <t>Маршали</t>
  </si>
  <si>
    <t>(05455)54415</t>
  </si>
  <si>
    <t>Вільшанська загальноосвітня школа І-ІІІ ступенів Недригайлівської районної ради Сумської області</t>
  </si>
  <si>
    <t>42127</t>
  </si>
  <si>
    <t>5923584401</t>
  </si>
  <si>
    <t>Вільшана</t>
  </si>
  <si>
    <t>вул. Київський шлях, 14</t>
  </si>
  <si>
    <t>(05455)56136</t>
  </si>
  <si>
    <t>Томашівський навчально-виховний комплекс: загальноосвітня школа І-ІІІ ступенів, дошкільний навчальний заклад Недригайлівської районної ради Сумської області</t>
  </si>
  <si>
    <t>42134</t>
  </si>
  <si>
    <t>5923586201</t>
  </si>
  <si>
    <t>http://tomashivkaucoz.ua</t>
  </si>
  <si>
    <t>Комунальний заклад Сумськой обласной Ради - Хоружівський дитячий будинок Недригайлівського району</t>
  </si>
  <si>
    <t>42130</t>
  </si>
  <si>
    <t>5923586701</t>
  </si>
  <si>
    <t>Хоружівка</t>
  </si>
  <si>
    <t>(05455)54525</t>
  </si>
  <si>
    <t>Хоружівський навчально-виховний комплекс: "Загальноосвітня школа І-ІІІ ступенів - дошкільний навчальний заклад" Недригайлівської селищної ради Сумської області</t>
  </si>
  <si>
    <t>(05455)54655</t>
  </si>
  <si>
    <t>http://horugnvk-ua.webnode.ru</t>
  </si>
  <si>
    <t>Червонослобідська філія Недригайлівської СЗОШ І-ІІІ ступенів Недригайлівської селищної ради Сумської області</t>
  </si>
  <si>
    <t>42145</t>
  </si>
  <si>
    <t>5923587201</t>
  </si>
  <si>
    <t>вул. Духанівка, 35</t>
  </si>
  <si>
    <t>(05455)5-42-41</t>
  </si>
  <si>
    <t>Комунальний заклад Сумської обласної ради - Путивльська загальноосвітня школа-інтернат І-ІІ ступенів</t>
  </si>
  <si>
    <t>41500</t>
  </si>
  <si>
    <t>5923810100</t>
  </si>
  <si>
    <t>Путивль</t>
  </si>
  <si>
    <t>вул. князя Володимира, 53</t>
  </si>
  <si>
    <t>http://www.internatputivl.narod.ru</t>
  </si>
  <si>
    <t>22981174</t>
  </si>
  <si>
    <t>Путивльська загальноосвітня школа І-ІІІ ступенів № 1 ім. Радіка Руднєва Путивльської районної ради Сумської області</t>
  </si>
  <si>
    <t>вул. Першотравнева, 76</t>
  </si>
  <si>
    <t>(05442)52391</t>
  </si>
  <si>
    <t>24011451</t>
  </si>
  <si>
    <t>Путивльська загальноосвітня школа І-ІІІ ступенів № 2 ім. Г.Я. Базими Путивльської районної ради Сумської області</t>
  </si>
  <si>
    <t>просп. Іоанна Путивльського, 79</t>
  </si>
  <si>
    <t>(05442)5-48-60, (05442)5-11-56</t>
  </si>
  <si>
    <t>https://sites.google.com/site/tooschoolpt/home</t>
  </si>
  <si>
    <t>06711334</t>
  </si>
  <si>
    <t>Путивльське навчально-виховне об'єднання: спеціалізована загальноосвітня школа І ступеня - гімназія - дошкільний навчальний заклад (центр розвитку дитини) Путивльської районної ради Сумської області</t>
  </si>
  <si>
    <t>вул. Благовіщенська, 17</t>
  </si>
  <si>
    <t>(05442)5-12-12</t>
  </si>
  <si>
    <t>http://putivlnvo.at.ua/</t>
  </si>
  <si>
    <t>23300302</t>
  </si>
  <si>
    <t>Бояро-Лежачівський навчально-виховний комплекс: загальноосвітня школа І ступеня - дошкільний навчальний заклад Путивльської районної ради Сумської області</t>
  </si>
  <si>
    <t>41502</t>
  </si>
  <si>
    <t>5923880701</t>
  </si>
  <si>
    <t>Бояро-Лежачі</t>
  </si>
  <si>
    <t>0967730260</t>
  </si>
  <si>
    <t>Веселівський навчально-виховний комплекс: загальноосвітня школа І-ІІ ступенів - дошкільний навчальний заклад Путивльської районної ради Сумської області</t>
  </si>
  <si>
    <t>41520</t>
  </si>
  <si>
    <t>5923881401</t>
  </si>
  <si>
    <t>(05442)6-23-45</t>
  </si>
  <si>
    <t>В'язенський навчально-виховний комплекс: загальноосвітня школа І-ІІ ступенів - дошкільний навчальний заклад Путивльської районної ради Сумської області</t>
  </si>
  <si>
    <t>41512</t>
  </si>
  <si>
    <t>5923882301</t>
  </si>
  <si>
    <t>В'язенка</t>
  </si>
  <si>
    <t>вул. Незалежна, 1</t>
  </si>
  <si>
    <t>(05442)62134</t>
  </si>
  <si>
    <t>Зінівський навчально-виховний комплекс: загальноосвітня школа I-II ступенів - дошкільний навчальний заклад Путивльської районної ради Сумської області</t>
  </si>
  <si>
    <t>41545</t>
  </si>
  <si>
    <t>5923882801</t>
  </si>
  <si>
    <t>Зінове</t>
  </si>
  <si>
    <t>вул. Зарічна, 12</t>
  </si>
  <si>
    <t>(8-05442)4-33-53</t>
  </si>
  <si>
    <t>Линівський навчально-виховний комплекс: загальноосвітня школа І-ІІ ступенів-дошкільний навчальний заклад Путивльської районної ради Сумської області</t>
  </si>
  <si>
    <t>41531</t>
  </si>
  <si>
    <t>5923884401</t>
  </si>
  <si>
    <t>Линове</t>
  </si>
  <si>
    <t>вул. Гусєва, 3</t>
  </si>
  <si>
    <t>(05442)4-44-21</t>
  </si>
  <si>
    <t>Мазівський навчально - виховний комплекс: загальноосвітня школа І - ІІІ ступенів - дошкільний навчальний заклад Путивльської районної ради Сумської області</t>
  </si>
  <si>
    <t>41532</t>
  </si>
  <si>
    <t>5923884801</t>
  </si>
  <si>
    <t>Мазівка</t>
  </si>
  <si>
    <t>(05442)47440</t>
  </si>
  <si>
    <t>Мачулищанський навчально-виховний комплекс: загальноосвітня школа І ступеня - дошкільний навчальний заклад Путивльської районної ради Сумської області</t>
  </si>
  <si>
    <t>41525</t>
  </si>
  <si>
    <t>5923885401</t>
  </si>
  <si>
    <t>Мачулища</t>
  </si>
  <si>
    <t>вул. Набережна, 27</t>
  </si>
  <si>
    <t>(05442)63712</t>
  </si>
  <si>
    <t>Князівський навчально-виховний комплекс: загальноосвітня школа І-ІІ ступенів - дошкільний навчальний заклад Путивльської районної ради Сумської області</t>
  </si>
  <si>
    <t>41543</t>
  </si>
  <si>
    <t>5923885801</t>
  </si>
  <si>
    <t>(05442)44750</t>
  </si>
  <si>
    <t>http://sites.google.com/site/knyazivskij2nvk</t>
  </si>
  <si>
    <t>Новослобідський навчально-виховний комплекс: загальноосвітня школа І - ІІІ ступенів - дошкільний навчальний заклад Путивльської районної ради Сумської області</t>
  </si>
  <si>
    <t>41530</t>
  </si>
  <si>
    <t>5923886301</t>
  </si>
  <si>
    <t>Нова Слобода</t>
  </si>
  <si>
    <t>вул. Велика, 1</t>
  </si>
  <si>
    <t>(05442)61236</t>
  </si>
  <si>
    <t>Октябрський навчально-виховний комплекс:загальноосвітня школа І-ІІ ступенів - дошкільний навчальний заклад Путивльської районної ради Сумської області</t>
  </si>
  <si>
    <t>41540</t>
  </si>
  <si>
    <t>5923886701</t>
  </si>
  <si>
    <t>(05442)62235</t>
  </si>
  <si>
    <t>Рев'якинська загальноосвітня школа І-ІІ ступенів Путивльської районної ради Сумської області</t>
  </si>
  <si>
    <t>41521</t>
  </si>
  <si>
    <t>5923887001</t>
  </si>
  <si>
    <t>Рев'якине</t>
  </si>
  <si>
    <t>0544243119</t>
  </si>
  <si>
    <t>Руднєвський навчально-виховний комплекс: загальноосвітня школа І-ІІІ ступенів - дошкільний навчальний заклад Путивльської районної ради Сумської області</t>
  </si>
  <si>
    <t>41526</t>
  </si>
  <si>
    <t>5923887201</t>
  </si>
  <si>
    <t>Руднєве</t>
  </si>
  <si>
    <t>(80544)4-37-16</t>
  </si>
  <si>
    <t>https://sites.google.com./site/rudnevonvk/</t>
  </si>
  <si>
    <t>Стрільниківський навчально-виховний комплекс:загальноосвітня школа І-ІІ ступенів - дошкільний навчальний заклад Путивльської районної ради Сумської області</t>
  </si>
  <si>
    <t>41513</t>
  </si>
  <si>
    <t>5923887701</t>
  </si>
  <si>
    <t>(05442)6-35-31</t>
  </si>
  <si>
    <t>Юр'ївський навчально-виховний комплекс: загальноосвітня школа І-ІІІ ступенів - дошкільний навчальний заклад Путивльської районної ради Сумської області</t>
  </si>
  <si>
    <t>41550</t>
  </si>
  <si>
    <t>5923888201</t>
  </si>
  <si>
    <t>Юр'єве</t>
  </si>
  <si>
    <t>наб. Набережна, 17</t>
  </si>
  <si>
    <t>47519</t>
  </si>
  <si>
    <t>Анастасівська загальноосвітня школа І-ІІІ ступенів Роменської районної ради Сумської області</t>
  </si>
  <si>
    <t>42075</t>
  </si>
  <si>
    <t>5924180601</t>
  </si>
  <si>
    <t>Анастасівка</t>
  </si>
  <si>
    <t>(183001)0544895383</t>
  </si>
  <si>
    <t>Андріївський навчально - виховний комплекс:загальноосвітня школа I-III ступенів-дошкільний навчальний заклад Роменської районної ради Сумської області</t>
  </si>
  <si>
    <t>42078</t>
  </si>
  <si>
    <t>5924180901</t>
  </si>
  <si>
    <t>вул. Новоселиця, 30</t>
  </si>
  <si>
    <t>(0544897)245</t>
  </si>
  <si>
    <t>Андріяшівська загальноосвітня школа І-ІІІ ступенів Роменської районної ради Сумської області</t>
  </si>
  <si>
    <t>42087</t>
  </si>
  <si>
    <t>5924181101</t>
  </si>
  <si>
    <t>(05448)93304</t>
  </si>
  <si>
    <t>Гудимівська ЗОШ І-ІІ ступенів Роменської районної ради Сумської області</t>
  </si>
  <si>
    <t>42088</t>
  </si>
  <si>
    <t>5924181102</t>
  </si>
  <si>
    <t>Гудими</t>
  </si>
  <si>
    <t>вул. Зацарянська, 59</t>
  </si>
  <si>
    <t>0952558218</t>
  </si>
  <si>
    <t>Басівська загальноосвітня школа І - ІІІ ст. Роменської районної ради Сумської області</t>
  </si>
  <si>
    <t>42035</t>
  </si>
  <si>
    <t>5924181701</t>
  </si>
  <si>
    <t>вул. Роменська, 6</t>
  </si>
  <si>
    <t>(05448)96616</t>
  </si>
  <si>
    <t>Гаївська загальноосвітня школа І-ІІ ступенів</t>
  </si>
  <si>
    <t>42036</t>
  </si>
  <si>
    <t>5924181706</t>
  </si>
  <si>
    <t>вул. Конотопська, 89</t>
  </si>
  <si>
    <t>(05448)902-13</t>
  </si>
  <si>
    <t>Біловодська загальноосвітня школа І-ІІІст. Роменської районної ради. Сумської області.</t>
  </si>
  <si>
    <t>42065</t>
  </si>
  <si>
    <t>5924182001</t>
  </si>
  <si>
    <t>Біловод</t>
  </si>
  <si>
    <t>98-3-32</t>
  </si>
  <si>
    <t>Бобрицька загальноосвітня школа І-ІІІ ступенів Роменської районної ради сумської області</t>
  </si>
  <si>
    <t>42070</t>
  </si>
  <si>
    <t>5924182301</t>
  </si>
  <si>
    <t>(05448)94643</t>
  </si>
  <si>
    <t>Василівська загальноосвітня школа I-II ступенів Роменської районної ради Сумської області</t>
  </si>
  <si>
    <t>42077</t>
  </si>
  <si>
    <t>5924182601</t>
  </si>
  <si>
    <t>(0544897)545</t>
  </si>
  <si>
    <t>Великобубнівська загальноосвітня школа І-ІІІ ступенів Роменської районної ради Сумської області</t>
  </si>
  <si>
    <t>42037</t>
  </si>
  <si>
    <t>5924183201</t>
  </si>
  <si>
    <t>Великі Бубни</t>
  </si>
  <si>
    <t>(05448)92340</t>
  </si>
  <si>
    <t>Волошнівський навчально-виховний комплекс Роменської районної ради Сумської області</t>
  </si>
  <si>
    <t>42080</t>
  </si>
  <si>
    <t>5924183801</t>
  </si>
  <si>
    <t>Волошнівка</t>
  </si>
  <si>
    <t>(05448)97476</t>
  </si>
  <si>
    <t>Глинська загальноосвітня школа І-ІІІ ступенів Роменської районної ради Сумської області</t>
  </si>
  <si>
    <t>42081</t>
  </si>
  <si>
    <t>5924184401</t>
  </si>
  <si>
    <t>вул. Роменська, 25</t>
  </si>
  <si>
    <t>(05448)96343</t>
  </si>
  <si>
    <t>Глинська спеціальна загальноосвітня школа-інтернат для дітей з вадами розумового розвитку Роменського району Сумської області</t>
  </si>
  <si>
    <t>(05448)96394</t>
  </si>
  <si>
    <t>22984899</t>
  </si>
  <si>
    <t>Гришинський навчально-виховний комплекс Роменської районної ради Сумської області</t>
  </si>
  <si>
    <t>42052</t>
  </si>
  <si>
    <t>5924184701</t>
  </si>
  <si>
    <t>(05448)94440</t>
  </si>
  <si>
    <t>ДІБРІВСЬКИЙ НАВЧАЛЬНО-ВИХОВНИЙ КОМПЛЕКС: ЗАГАЛЬНООСВІТНЯ ШКОЛА І-ІІІ СТУПЕНІВ - ДОШКІЛЬНИЙ НАВЧАЛЬНИЙ ЗАКЛАД РОМЕНСЬКОЇ РАЙОННОЇ РАДИ СУМСЬКОЇ ОБЛАСТІ</t>
  </si>
  <si>
    <t>42032</t>
  </si>
  <si>
    <t>5924184901</t>
  </si>
  <si>
    <t>(05448)92135</t>
  </si>
  <si>
    <t>Коржівська загальноосвітня школа І-ІІІ ступенів Роменської районної ради Сумської області</t>
  </si>
  <si>
    <t>42063</t>
  </si>
  <si>
    <t>5924185401</t>
  </si>
  <si>
    <t>вул. Роменська, 5</t>
  </si>
  <si>
    <t>(05448)90630</t>
  </si>
  <si>
    <t>Овлашівська загальноосвітня школа I-II ступенів Роменської районної ради</t>
  </si>
  <si>
    <t>5924185805</t>
  </si>
  <si>
    <t>Овлаші</t>
  </si>
  <si>
    <t>(05448)9-91-82</t>
  </si>
  <si>
    <t>Бацманівський навчально-виховний комплекс: загальноосвітня школа І-ІІІ ступенів - дошкільний навчальний заклад Роменської ройонної ради Сумської області</t>
  </si>
  <si>
    <t>42056</t>
  </si>
  <si>
    <t>5924186102</t>
  </si>
  <si>
    <t>Бацмани</t>
  </si>
  <si>
    <t>вул. Перемоги, 21 А</t>
  </si>
  <si>
    <t>(05448)989-26</t>
  </si>
  <si>
    <t>Миколаївська загальноосвітня школа І-ІІІ ступенів Роменської районної ради Сумської області</t>
  </si>
  <si>
    <t>42046</t>
  </si>
  <si>
    <t>5924186401</t>
  </si>
  <si>
    <t>(05448)98-1-47</t>
  </si>
  <si>
    <t>Калинівська загальноосвітня школа І-ІІ ступенів Роменської районної ради Сумської області</t>
  </si>
  <si>
    <t>42047</t>
  </si>
  <si>
    <t>5924186404</t>
  </si>
  <si>
    <t>(05448)98144</t>
  </si>
  <si>
    <t>Голінська загальноосвітня школа І-ІІ ступенів Роменської районної ради Сумської області</t>
  </si>
  <si>
    <t>42086</t>
  </si>
  <si>
    <t>5924186702</t>
  </si>
  <si>
    <t>Голінка</t>
  </si>
  <si>
    <t>(05448)971-41</t>
  </si>
  <si>
    <t>Перекопівська загальноосвітня школа I - III ступенів</t>
  </si>
  <si>
    <t>42083</t>
  </si>
  <si>
    <t>5924187001</t>
  </si>
  <si>
    <t>Перекопівка</t>
  </si>
  <si>
    <t>вул. Леніна, 2А</t>
  </si>
  <si>
    <t>(05448)6-47</t>
  </si>
  <si>
    <t>Перехрестівська вечірня(змінна) школа Роменської районної ради Сумської області</t>
  </si>
  <si>
    <t>42073</t>
  </si>
  <si>
    <t>5924187101</t>
  </si>
  <si>
    <t>Перехрестівка</t>
  </si>
  <si>
    <t>вул. Чапаєва, 19</t>
  </si>
  <si>
    <t>(05448)94800</t>
  </si>
  <si>
    <t>Перехрестівська загальноосвітня школа І-ІІІ ступенів Роменської районної ради Сумської області</t>
  </si>
  <si>
    <t>вул. Соборна, 69</t>
  </si>
  <si>
    <t>(054)4892589</t>
  </si>
  <si>
    <t>Плавинищенська загальносвітня школа І-ІІІ ступенів Роменської районної ради Сумської області</t>
  </si>
  <si>
    <t>42024</t>
  </si>
  <si>
    <t>5924187301</t>
  </si>
  <si>
    <t>Плавинище</t>
  </si>
  <si>
    <t>пл. Українська, 52</t>
  </si>
  <si>
    <t>(05448)98648</t>
  </si>
  <si>
    <t>Погожокриницький навчально-виховний комплекс: загальноосвітня школа І - ІІІ ступенів - дошкільний навчальний заклад Роменської районної ради Сумської області</t>
  </si>
  <si>
    <t>42071</t>
  </si>
  <si>
    <t>5924187601</t>
  </si>
  <si>
    <t>Погожа Криниця</t>
  </si>
  <si>
    <t>(05448)92042</t>
  </si>
  <si>
    <t>Пустовійтівська загальноосвітня школа І-ІІІ ступенів імені Петра Калнишевського Роменської районної ради Сумської області</t>
  </si>
  <si>
    <t>42020</t>
  </si>
  <si>
    <t>5924187901</t>
  </si>
  <si>
    <t>Пустовійтівка</t>
  </si>
  <si>
    <t>вул. 1 провулок Центральної, 7</t>
  </si>
  <si>
    <t>(05448)95135</t>
  </si>
  <si>
    <t>Герасимівська загальноосвітня школа І-ІІ ступенів Ромнської районної ради Сумської області</t>
  </si>
  <si>
    <t>42021</t>
  </si>
  <si>
    <t>5924187903</t>
  </si>
  <si>
    <t>Герасимівка</t>
  </si>
  <si>
    <t>вул. Герасимівська, 1</t>
  </si>
  <si>
    <t>(05448)79935</t>
  </si>
  <si>
    <t>Рогинська загальноосвітня школа І-ІІІ ступенів Роменської районної ради Сумської області</t>
  </si>
  <si>
    <t>42044</t>
  </si>
  <si>
    <t>5924188501</t>
  </si>
  <si>
    <t>Рогинці</t>
  </si>
  <si>
    <t>0544893124</t>
  </si>
  <si>
    <t>Ведмежівська загальноосвітня школа 1 - 3 ступенів Роменської районної ради Сумської області</t>
  </si>
  <si>
    <t>42045</t>
  </si>
  <si>
    <t>5924188502</t>
  </si>
  <si>
    <t>Ведмеже</t>
  </si>
  <si>
    <t>(05448)95540</t>
  </si>
  <si>
    <t>Смілівський навчально-виховний комплекс Роменської районної ради Сумської області</t>
  </si>
  <si>
    <t>42033</t>
  </si>
  <si>
    <t>5924188801</t>
  </si>
  <si>
    <t>Сміле</t>
  </si>
  <si>
    <t>(05448)91233</t>
  </si>
  <si>
    <t>Хмелівський навчально-виховний комплекс: загальноосвітня школа І-ІІІ ступенів - дошкільний навчальний заклад імені Івана Федька Роменської районної ради Сумської області</t>
  </si>
  <si>
    <t>42034</t>
  </si>
  <si>
    <t>5924189401</t>
  </si>
  <si>
    <t>вул. Роменська, 55</t>
  </si>
  <si>
    <t>(05448)91746</t>
  </si>
  <si>
    <t>http://hmelivnvk.at.ua</t>
  </si>
  <si>
    <t>Хоминцівська ЗОШ І-ІІ ступенів Роменської районної ради Сумської області</t>
  </si>
  <si>
    <t>42060</t>
  </si>
  <si>
    <t>5924189601</t>
  </si>
  <si>
    <t>Хоминці</t>
  </si>
  <si>
    <t>вул. Кооперативна, 19</t>
  </si>
  <si>
    <t>(05448)97-7-21</t>
  </si>
  <si>
    <t>Ярошівський навчально - виховний комплекс Роменської районної ради Сумської області</t>
  </si>
  <si>
    <t>42084</t>
  </si>
  <si>
    <t>5924189801</t>
  </si>
  <si>
    <t>Ярошівка</t>
  </si>
  <si>
    <t>90485</t>
  </si>
  <si>
    <t>Середино-Будська загальноосвітня школа І - ІІІ ступенів № 2 Середино-Будської районної ради Сумської області</t>
  </si>
  <si>
    <t>41000</t>
  </si>
  <si>
    <t>5924410100</t>
  </si>
  <si>
    <t>Середина-Буда</t>
  </si>
  <si>
    <t>(05451)7-10-76</t>
  </si>
  <si>
    <t>Середино-Будська загальноосвітня школа І-ІІІ ступенів № 1 Середино-Будської районної ради Сумської області</t>
  </si>
  <si>
    <t>(05451)7-13-76</t>
  </si>
  <si>
    <t>Зноб-Новгородська загальноосвітня школа І-ІІІ ступенів Зноб-Новгородської селищної ради Середино-Будського району Сумської області</t>
  </si>
  <si>
    <t>41022</t>
  </si>
  <si>
    <t>5924455300</t>
  </si>
  <si>
    <t>Зноб-Новгородське</t>
  </si>
  <si>
    <t>(05451)7-32-86</t>
  </si>
  <si>
    <t>Голубівський навчально-виховний комплекс " Загальнооосвітня школа І-ІІІ ступенів - дошкільний навчальний заклад " Зноб-Новгородської селищної ради Середино-Будського району Сумської області</t>
  </si>
  <si>
    <t>41032</t>
  </si>
  <si>
    <t>5924480901</t>
  </si>
  <si>
    <t>вул. Перемоги, 25</t>
  </si>
  <si>
    <t>(05451)7-63-81</t>
  </si>
  <si>
    <t>Жихівський навчально-виховний комплекс "загальноосвітня школа І-ІІІ ступенів- дошкільний навчальний заклад"Середино-Будської районної ради Сумської області</t>
  </si>
  <si>
    <t>41034</t>
  </si>
  <si>
    <t>5924481301</t>
  </si>
  <si>
    <t>Жихове</t>
  </si>
  <si>
    <t>вул. Зарічна, 4</t>
  </si>
  <si>
    <t>(05451)7-53-37</t>
  </si>
  <si>
    <t>Зноб -Трубчевський навчально - виховний компплекс " Загальноосвітня школа І-ІІступенів - дошкільний навчальний заклад" Зноб-Новгородської селищної ради Середино - Будського району Сумської області</t>
  </si>
  <si>
    <t>41021</t>
  </si>
  <si>
    <t>5924481701</t>
  </si>
  <si>
    <t>Зноб-Трубчевська</t>
  </si>
  <si>
    <t>(05451)74543</t>
  </si>
  <si>
    <t>http://www.ztrubchevskyi-nvk.sumy.sch.in.ua</t>
  </si>
  <si>
    <t>Кренидівський навчально-виховний комплекс "загальноосвітня школа І-ІІ ступенів- дошкільний навчальний заклад" Зноб-Новгородської селищної ради Середино-Будського району Сумської області</t>
  </si>
  <si>
    <t>41024</t>
  </si>
  <si>
    <t>5924482801</t>
  </si>
  <si>
    <t>Кренидівка</t>
  </si>
  <si>
    <t>77-69-19</t>
  </si>
  <si>
    <t>Хильчицький навчально-виховний комплекс "Загальноосвітня школа І-ІІІ ступенів - дошкільний навчальний заклад"Зноб-Новгородської селищної ради Середино-Будського району Сумської області</t>
  </si>
  <si>
    <t>41042</t>
  </si>
  <si>
    <t>5924483204</t>
  </si>
  <si>
    <t>Хильчичі</t>
  </si>
  <si>
    <t>(05451)76639</t>
  </si>
  <si>
    <t>http://www.hilchichiznz.ucoz.ua</t>
  </si>
  <si>
    <t>Журавський навчально-виховний комплекс "загальноосвітня школа І-ІІІ ступенів - дошкільний навчальний заклад" Зноб-Новгородської селищної ради Середино-Будського району Сумської області</t>
  </si>
  <si>
    <t>41041</t>
  </si>
  <si>
    <t>5924484402</t>
  </si>
  <si>
    <t>Журавка</t>
  </si>
  <si>
    <t>(05451)7-61-19</t>
  </si>
  <si>
    <t>Пигарівський навчально-виховний комплекс "загальноосвітня школа І-ІІІ ступенів - дошкільний навчальний заклад" Середино-Будської районної ради Сумської області</t>
  </si>
  <si>
    <t>41052</t>
  </si>
  <si>
    <t>5924484801</t>
  </si>
  <si>
    <t>Пигарівка</t>
  </si>
  <si>
    <t>(05451)76545</t>
  </si>
  <si>
    <t>Старогутський навчально-виховний комплекс "загальноосвітня школа І - ІІІ ступенів - дошкільний навчальний заклад" Середино-Будської районної ради Сумської області</t>
  </si>
  <si>
    <t>41030</t>
  </si>
  <si>
    <t>5924486301</t>
  </si>
  <si>
    <t>вул. Базарна, 4</t>
  </si>
  <si>
    <t>(05451)7-55-24</t>
  </si>
  <si>
    <t>Уралівський навчально-виховний комплекс "загальноосвітня школа І ступеня - дошкільний навчальний заклад" Середино-Будської районної ради Сумської області</t>
  </si>
  <si>
    <t>41044</t>
  </si>
  <si>
    <t>5924487201</t>
  </si>
  <si>
    <t>Уралове</t>
  </si>
  <si>
    <t>(05451)7-62-31</t>
  </si>
  <si>
    <t>Чернацький навчально-виховний комплекс "загальноосвітня школа І-ІІІ ступенів - дошкільний навчальний заклад" Середино-Будської районної ради Сумської області</t>
  </si>
  <si>
    <t>41050</t>
  </si>
  <si>
    <t>5924487601</t>
  </si>
  <si>
    <t>Чернацьке</t>
  </si>
  <si>
    <t>(05451)76423</t>
  </si>
  <si>
    <t>Низівська загальноосвітня школа І-ІІІ ступенів Сумської районної ради Сумської області</t>
  </si>
  <si>
    <t>42355</t>
  </si>
  <si>
    <t>5924755500</t>
  </si>
  <si>
    <t>вул. Шлях, 10</t>
  </si>
  <si>
    <t>(0542)691190</t>
  </si>
  <si>
    <t>http://nyzivska-zosh.sumy.sch.in.ua/</t>
  </si>
  <si>
    <t>Степанівська загальноосвітня школа І-ІІІ ступенів № 1 Сумської районної ради Сумської області</t>
  </si>
  <si>
    <t>42305</t>
  </si>
  <si>
    <t>5924755800</t>
  </si>
  <si>
    <t>(0542)699-087</t>
  </si>
  <si>
    <t>http://stepanivka-school1.edukit.sumy.ua</t>
  </si>
  <si>
    <t>Степанівська загальноосвітня школа І-ІІІ ступенів № 2 Сумської районної ради Сумської області</t>
  </si>
  <si>
    <t>42304</t>
  </si>
  <si>
    <t>0542699393</t>
  </si>
  <si>
    <t>Хотінська спеціалізована школа І-ІІІ ступенів Хотінської селищної ради Сумської району Сумської області</t>
  </si>
  <si>
    <t>42320</t>
  </si>
  <si>
    <t>5924756200</t>
  </si>
  <si>
    <t>Хотінь</t>
  </si>
  <si>
    <t>(0542)697447, (0542)697237</t>
  </si>
  <si>
    <t>https://sites.google.com/site/hotinskass/</t>
  </si>
  <si>
    <t>33362132</t>
  </si>
  <si>
    <t>Писарівська філія Хотінської спеціалізованої школи І-ІІІ ступенів навчально-виховний комплекс "загальноосвітня школа І-ІІ ступенів-дошкільний навчальний заклад" Хотінської селищної ради Сумського району Сумської області</t>
  </si>
  <si>
    <t>42321</t>
  </si>
  <si>
    <t>5924756201</t>
  </si>
  <si>
    <t>вул. Шосейна, 86</t>
  </si>
  <si>
    <t>697-280</t>
  </si>
  <si>
    <t>Олексіївська загальноосвітня школа І - ІІІ ступенів Хотінської селищної ради Сумського району Сумської області</t>
  </si>
  <si>
    <t>42316</t>
  </si>
  <si>
    <t>5924780301</t>
  </si>
  <si>
    <t>(0542)69-79-16</t>
  </si>
  <si>
    <t>Басівська загальноосвітня школа І-ІІІ ступенів Сумської районної ради Сумської районної ради Сумської області</t>
  </si>
  <si>
    <t>42312</t>
  </si>
  <si>
    <t>5924780701</t>
  </si>
  <si>
    <t>вул. Тесленка, 7А</t>
  </si>
  <si>
    <t>(0542)692674</t>
  </si>
  <si>
    <t>http://school-basivka.jimdo.com/</t>
  </si>
  <si>
    <t>Бездрицька загальноосвітня школа І-ІІІ ступенів Бездрицької сільської ради Сумського району Сумської області</t>
  </si>
  <si>
    <t>42350</t>
  </si>
  <si>
    <t>5924780901</t>
  </si>
  <si>
    <t>Бездрик</t>
  </si>
  <si>
    <t>вул. Жовтнева, 37</t>
  </si>
  <si>
    <t>(0542)690-666</t>
  </si>
  <si>
    <t>Біловодський навчально-виховний комплекс "загальноосвітня школа І ступеня - дошкільний навчальний заклад" Сумської районної ради Сумської області</t>
  </si>
  <si>
    <t>42310</t>
  </si>
  <si>
    <t>5924781101</t>
  </si>
  <si>
    <t>Біловоди</t>
  </si>
  <si>
    <t>(0542)692744</t>
  </si>
  <si>
    <t>Пушкарівський навчально-виховний комплекс "загальноосвітня школа І-ІІ ступенів - дошкільний навчальний заклад" Сумської районної ради Сумської області</t>
  </si>
  <si>
    <t>42331</t>
  </si>
  <si>
    <t>5924781505</t>
  </si>
  <si>
    <t>(0542)694750</t>
  </si>
  <si>
    <t>Великовільмівська загальноосвітня школа І-ІІ ст. Сумської районної ради Сумської області</t>
  </si>
  <si>
    <t>42345</t>
  </si>
  <si>
    <t>5924782001</t>
  </si>
  <si>
    <t>Великі Вільми</t>
  </si>
  <si>
    <t>(0542)695626</t>
  </si>
  <si>
    <t>Великочернеччинська спеціалізована школа І-ІІІ ст. Сумської районної ради Сумської області</t>
  </si>
  <si>
    <t>42333</t>
  </si>
  <si>
    <t>5924782201</t>
  </si>
  <si>
    <t>Велика Чернеччина</t>
  </si>
  <si>
    <t>(0542)694732</t>
  </si>
  <si>
    <t>Верхньосироватська спеціалізована школа І-ІІІ ступенів Сумської районної ради Сумської області</t>
  </si>
  <si>
    <t>42351</t>
  </si>
  <si>
    <t>5924782901</t>
  </si>
  <si>
    <t>Верхня Сироватка</t>
  </si>
  <si>
    <t>пл. Козацької слави, 5</t>
  </si>
  <si>
    <t>(0542)690009</t>
  </si>
  <si>
    <t>https://sites.google.com/site/vsshkola5/</t>
  </si>
  <si>
    <t>33361914</t>
  </si>
  <si>
    <t>Кіндратівська загальноосвітня школа І-ІІІ ступенів Хотінської селищної ради Сумського району Сумської області</t>
  </si>
  <si>
    <t>42315</t>
  </si>
  <si>
    <t>5924783401</t>
  </si>
  <si>
    <t>вул. Гагаріна, 5/7</t>
  </si>
  <si>
    <t>Степнянська філія Хотінської спеціалізованої школи І-ІІІ ступенів Хотінської селищної ради Сумського району Сумської області</t>
  </si>
  <si>
    <t>5924783405</t>
  </si>
  <si>
    <t>0978980286</t>
  </si>
  <si>
    <t>Комунальний заклад Сумської обласної ради Косівщинська спеціальна загальноосвітня школа-інтернат Сумського району</t>
  </si>
  <si>
    <t>42342</t>
  </si>
  <si>
    <t>5924783801</t>
  </si>
  <si>
    <t>Косівщина</t>
  </si>
  <si>
    <t>(0542)698575</t>
  </si>
  <si>
    <t>23826085</t>
  </si>
  <si>
    <t>Косівщинська загальноосвітня школа І-ІІІ ступенів імені Лесі Українки Сумської районної ради Сумської області</t>
  </si>
  <si>
    <t>(0542)698534</t>
  </si>
  <si>
    <t>Кровненська загальноосвітня школа І-ІІІ ступенів Сумської районної ради Сумської області</t>
  </si>
  <si>
    <t>42323</t>
  </si>
  <si>
    <t>5924784201</t>
  </si>
  <si>
    <t>Кровне</t>
  </si>
  <si>
    <t>(0542)698776</t>
  </si>
  <si>
    <t>Могрицький навчально-виховний комплекс "загальноосвітній навчальний заклад - дошкільний навчальний заклад" Сумської районної ради Сумської області</t>
  </si>
  <si>
    <t>42330</t>
  </si>
  <si>
    <t>5924784601</t>
  </si>
  <si>
    <t>Могриця</t>
  </si>
  <si>
    <t>(0542)692866</t>
  </si>
  <si>
    <t>Нижньосироватська загальноосвітня школа І-ІІІ ступенів імені Бориса Грінченка Нижньосироватської сільської ради Сумського району Сумської області</t>
  </si>
  <si>
    <t>42356</t>
  </si>
  <si>
    <t>5924785001</t>
  </si>
  <si>
    <t>Нижня Сироватка</t>
  </si>
  <si>
    <t>вул. Сумська, 127</t>
  </si>
  <si>
    <t>(0542)694151</t>
  </si>
  <si>
    <t>Миколаївський навчально - виховний комплекс "загальноосвітній навчальний заклад - дошкільний навчальний заклад" Миколаївської сільської ради Сумського району Сумської області</t>
  </si>
  <si>
    <t>42322</t>
  </si>
  <si>
    <t>5924785401</t>
  </si>
  <si>
    <t>(0542)696634</t>
  </si>
  <si>
    <t>Новосуханівська загальноосвітня школа І - ІІІ ступенів Сумської районної ради Сумської області</t>
  </si>
  <si>
    <t>42341</t>
  </si>
  <si>
    <t>5924785601</t>
  </si>
  <si>
    <t>Новосуханівка</t>
  </si>
  <si>
    <t>0951307969</t>
  </si>
  <si>
    <t>Новосічанська загальноосвітня школа І-ІІІ супенів Сумської районної ради Сумської області</t>
  </si>
  <si>
    <t>42335</t>
  </si>
  <si>
    <t>5924785905</t>
  </si>
  <si>
    <t>Нова Січ</t>
  </si>
  <si>
    <t>(0542)691881</t>
  </si>
  <si>
    <t>Підліснівська загальноосвітня школа І-ІІІ ступенів Сумської районної ради Сумської області</t>
  </si>
  <si>
    <t>42340</t>
  </si>
  <si>
    <t>5924786301</t>
  </si>
  <si>
    <t>Підліснівка</t>
  </si>
  <si>
    <t>(0542)699-642</t>
  </si>
  <si>
    <t>Лікарський навчально-виховний комплекс "загальноосвітня школа І-ІІІ ступенів - дошкільний навчальний заклад" Миколаївської сільської ради Сумського району Сумської області</t>
  </si>
  <si>
    <t>42326</t>
  </si>
  <si>
    <t>5924786704</t>
  </si>
  <si>
    <t>Лікарське</t>
  </si>
  <si>
    <t>(0542)699743</t>
  </si>
  <si>
    <t>http://likarnvk.klasna.com</t>
  </si>
  <si>
    <t>Садівська загальноосвітня школа І-ІІІ ступенів Сумської районної ради Сумської області</t>
  </si>
  <si>
    <t>42343</t>
  </si>
  <si>
    <t>5924786801</t>
  </si>
  <si>
    <t>Сад</t>
  </si>
  <si>
    <t>(0542)695271</t>
  </si>
  <si>
    <t>http://sad-school.edukit.sumy.ua</t>
  </si>
  <si>
    <t>33362059</t>
  </si>
  <si>
    <t>Северинівська загальноосвітня школа І-ІІ ступенів Миколаївської сільської ради Сумського району Сумської області</t>
  </si>
  <si>
    <t>42301</t>
  </si>
  <si>
    <t>5924786901</t>
  </si>
  <si>
    <t>вул. Гагаріна, 40</t>
  </si>
  <si>
    <t>(0542)693124</t>
  </si>
  <si>
    <t>Стецьківська загальноосвітня школа І-ІІІ ступенів Сумської районної ради Сумської області</t>
  </si>
  <si>
    <t>42303</t>
  </si>
  <si>
    <t>5924787101</t>
  </si>
  <si>
    <t>Стецьківка</t>
  </si>
  <si>
    <t>0542693746</t>
  </si>
  <si>
    <t>33362085</t>
  </si>
  <si>
    <t>Сульський навчально-виховний комплекс „загальноосвітній навчальний заклад - дошкільний навчальний заклад” Сумської районної ради Сумської області</t>
  </si>
  <si>
    <t>42346</t>
  </si>
  <si>
    <t>5924787301</t>
  </si>
  <si>
    <t>Сула</t>
  </si>
  <si>
    <t>690924</t>
  </si>
  <si>
    <t>Терешківський навчально-виховний комплекс "загальноосвітній навчальний заклад - дошкільний навчальний заклад" Сумської районної ради Сумської області</t>
  </si>
  <si>
    <t>42344</t>
  </si>
  <si>
    <t>5924787901</t>
  </si>
  <si>
    <t>Терешківка</t>
  </si>
  <si>
    <t>(0542)694433</t>
  </si>
  <si>
    <t>Токарівська загальноосвітня школа І-ІІІ ступенів Бездрицької сільської ради Сумського району Сумської області</t>
  </si>
  <si>
    <t>42334</t>
  </si>
  <si>
    <t>5924788301</t>
  </si>
  <si>
    <t>(0542)695840</t>
  </si>
  <si>
    <t>Старосільська загальноосвітня школа І-ІІІ ступенів Нижньосироватської сільської ради Сумського району Сумської області</t>
  </si>
  <si>
    <t>42353</t>
  </si>
  <si>
    <t>5924788701</t>
  </si>
  <si>
    <t>вул. Набережна, 1Б</t>
  </si>
  <si>
    <t>(0542)696392</t>
  </si>
  <si>
    <t>http://chervone-school.com.ua</t>
  </si>
  <si>
    <t>Шпилівський навчально-виховний комплекс "загальноосвітній навчальний заклад-дошкільний навчальний заклад" Сумської районної ради Сумської області</t>
  </si>
  <si>
    <t>42354</t>
  </si>
  <si>
    <t>5924789101</t>
  </si>
  <si>
    <t>Шпилівка</t>
  </si>
  <si>
    <t>пл. Лисенка, 1</t>
  </si>
  <si>
    <t>(054)692930</t>
  </si>
  <si>
    <t>https://sites.google.com/site/spilivka/home</t>
  </si>
  <si>
    <t>Юнаківська загальноосвітня школа І-ІІІ ступенів Сумської районної ради Сумської області</t>
  </si>
  <si>
    <t>42317</t>
  </si>
  <si>
    <t>5924789501</t>
  </si>
  <si>
    <t>Юнаківка</t>
  </si>
  <si>
    <t>вул. Новоселівка, 1</t>
  </si>
  <si>
    <t>(0542)692215</t>
  </si>
  <si>
    <t>Яструбинський навчально-виховний комплекс "загальноосвітній навчальний заклад - дошкільний навчальний заклад" Сумської районної ради Сумської області</t>
  </si>
  <si>
    <t>42314</t>
  </si>
  <si>
    <t>5924789801</t>
  </si>
  <si>
    <t>Яструбине</t>
  </si>
  <si>
    <t>(0542)798340</t>
  </si>
  <si>
    <t>Смородинський навчально-виховний комплекс "загальноосвітня школа І-ІІ ступенів - дошкільний навчальний заклад" Тростянецької районної ради Сумської області</t>
  </si>
  <si>
    <t>42600</t>
  </si>
  <si>
    <t>5925010100</t>
  </si>
  <si>
    <t>вул. Підлісна, 128</t>
  </si>
  <si>
    <t>(05458)5-14-27</t>
  </si>
  <si>
    <t>Тростянецька загальноосвітня школа І-ІІІ ступенів № 4 Тростянецької районної ради Сумської області</t>
  </si>
  <si>
    <t>54230</t>
  </si>
  <si>
    <t>http://trostschool4.ucoz.ua/</t>
  </si>
  <si>
    <t>Тростянецька спеціалізована школа I-III ступенів № 3 Тростянецької районної ради Сумської області</t>
  </si>
  <si>
    <t>(05458)51706</t>
  </si>
  <si>
    <t>Тростянецька спеціалізована школа І-ІІІ ступенів № 1 Тростянецької районної ради Сумської області</t>
  </si>
  <si>
    <t>вул. Вознесенська, 52</t>
  </si>
  <si>
    <t>5-13-72</t>
  </si>
  <si>
    <t>http://school1trost.ucoz.com</t>
  </si>
  <si>
    <t>Тростянецька спеціалізована школа І-ІІІ ступенів № 2 Тростянецької районної ради Сумської області</t>
  </si>
  <si>
    <t>вул. Кеніга, 15</t>
  </si>
  <si>
    <t>8(05458)5-13-87</t>
  </si>
  <si>
    <t>http://trost-school2.at.ua</t>
  </si>
  <si>
    <t>Тростянецька спеціалізована школа І-ІІІ ступенів № 5 Тростянецької районної ради Сумської області</t>
  </si>
  <si>
    <t>(05458)5-15-81</t>
  </si>
  <si>
    <t>http://trostyaneckash5.ru/</t>
  </si>
  <si>
    <t>Білківська загальноосвітня школа І-ІІІ ступенів Тростянецької районної ради Сумської області</t>
  </si>
  <si>
    <t>42630</t>
  </si>
  <si>
    <t>5925080401</t>
  </si>
  <si>
    <t>(05458)5-72-17</t>
  </si>
  <si>
    <t>http://bilka.at.ua</t>
  </si>
  <si>
    <t>Боромлянський навчально-виховний комплекс: загальноосвітня школа І-ІІІ ступенів - дошкільний навчальний заклад Боромлянської сільської ради Тростянецького району Сумської області</t>
  </si>
  <si>
    <t>42621</t>
  </si>
  <si>
    <t>5925080801</t>
  </si>
  <si>
    <t>Боромля</t>
  </si>
  <si>
    <t>вул. Харківська, 8</t>
  </si>
  <si>
    <t>0545858470</t>
  </si>
  <si>
    <t>22593495</t>
  </si>
  <si>
    <t>Новгородська філія Боромлянського навчально-виховного комплексу: загальноосвітня школа І-ІІІ ступенів - дошкільний навчальний заклад Боромлянської сільської радиТростянецького району Сумської області</t>
  </si>
  <si>
    <t>42623</t>
  </si>
  <si>
    <t>5925080804</t>
  </si>
  <si>
    <t>вул. Вишнева, 15</t>
  </si>
  <si>
    <t>58309</t>
  </si>
  <si>
    <t>Буймерська загальноосвітня школа І-ІІІ ступенів Тростянецької районної ради Сумської області</t>
  </si>
  <si>
    <t>42632</t>
  </si>
  <si>
    <t>5925081201</t>
  </si>
  <si>
    <t>Буймер</t>
  </si>
  <si>
    <t>0545857319</t>
  </si>
  <si>
    <t>Гребениківська філія Боромлянського навчально-виховного комплексу: загальноосвітня школа І-ІІІ ступенів-дошкільний навчальний заклад Боромлянської сільської ради Тростянецького району Сумської області</t>
  </si>
  <si>
    <t>42620</t>
  </si>
  <si>
    <t>5925081601</t>
  </si>
  <si>
    <t>Гребениківка</t>
  </si>
  <si>
    <t>0545856346</t>
  </si>
  <si>
    <t>http://greb-school.klasna.com</t>
  </si>
  <si>
    <t>Комунальний заклад Сумської обласної ради Гребениківська спеціальна загальноосвітня школа-інтернат Тростянецького району</t>
  </si>
  <si>
    <t>(05458)5-63-33, (05458)5-63-30</t>
  </si>
  <si>
    <t>23300472</t>
  </si>
  <si>
    <t>Дернівський навчально-виховний комплекс "загальноосвітня школа I ступеня - дошкільний навчальний заклад" Тростянецької районної ради Сумської області</t>
  </si>
  <si>
    <t>42604</t>
  </si>
  <si>
    <t>5925082001</t>
  </si>
  <si>
    <t>Дернове</t>
  </si>
  <si>
    <t>вул. Центральна, 108</t>
  </si>
  <si>
    <t>0545855330</t>
  </si>
  <si>
    <t>http://dernova.trost.net.ua</t>
  </si>
  <si>
    <t>Жигайлівська філія Боромлянського навчально-виховного комплексу: загальноосвітня школа І-ІІІ ступенів - дошкільний навчальний заклад Боромлянської сільської ради Тростянецького району Сумської області</t>
  </si>
  <si>
    <t>42624</t>
  </si>
  <si>
    <t>5925082401</t>
  </si>
  <si>
    <t>Жигайлівка</t>
  </si>
  <si>
    <t>(05458)-56646</t>
  </si>
  <si>
    <t>http://school-gyh.at.ua</t>
  </si>
  <si>
    <t>Кам’янська загальноосвітня школа І-ІІІ ступенів Тростянецької районної ради Сумської області</t>
  </si>
  <si>
    <t>42652</t>
  </si>
  <si>
    <t>5925083401</t>
  </si>
  <si>
    <t>вул. Гагаріна, 149</t>
  </si>
  <si>
    <t>59777</t>
  </si>
  <si>
    <t>https://sites.google.com/site/kamanskijnvk/home</t>
  </si>
  <si>
    <t>Люджанський навчально-виховний комплекс "загальноосвітня школа І-ІІ ступенів - дошкільний навчальний заклад" Тростянецької районної ради Сумської області</t>
  </si>
  <si>
    <t>42650</t>
  </si>
  <si>
    <t>5925084601</t>
  </si>
  <si>
    <t>Люджа</t>
  </si>
  <si>
    <t>вул. Горького, 35</t>
  </si>
  <si>
    <t>(05458)59121</t>
  </si>
  <si>
    <t>http://lyudzhanvk.ucoz.ua</t>
  </si>
  <si>
    <t>Полянський навчально-виховний комплекс "загальноосвітня школа І-ІІІ ступенів - дошкільний навчальний заклад" Тростянецької районної ради Сумської області</t>
  </si>
  <si>
    <t>42642</t>
  </si>
  <si>
    <t>5925087201</t>
  </si>
  <si>
    <t>Семереньки</t>
  </si>
  <si>
    <t>вул. Гагаріна, 61</t>
  </si>
  <si>
    <t>(05458)5-64-28</t>
  </si>
  <si>
    <t>Станівська загальноосвітня школа І-ІІ ступенів Тростянецької районної ради Сумської області</t>
  </si>
  <si>
    <t>42633</t>
  </si>
  <si>
    <t>5925087801</t>
  </si>
  <si>
    <t>Станова</t>
  </si>
  <si>
    <t>51828</t>
  </si>
  <si>
    <t>Воронізька загальноосвітня школа І-ІІІ ступенів імені П.О.Куліша Шосткинської районної ради Сумської області</t>
  </si>
  <si>
    <t>41140</t>
  </si>
  <si>
    <t>5925355300</t>
  </si>
  <si>
    <t>Вороніж</t>
  </si>
  <si>
    <t>вул. Новгород-Сіверська, 2</t>
  </si>
  <si>
    <t>(05449)76261</t>
  </si>
  <si>
    <t>http://voronizh-school.edukit.sumy.ua/</t>
  </si>
  <si>
    <t>Воронізький навчально-виховний комплекс: загальноосвітня школа I-II ступенів - дошкільний навчальний заклад Шосткинської районної ради Сумської області</t>
  </si>
  <si>
    <t>41141</t>
  </si>
  <si>
    <t>вул. Тидня, 23</t>
  </si>
  <si>
    <t>(05449)7-62-70</t>
  </si>
  <si>
    <t>Богданівський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</si>
  <si>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41121</t>
  </si>
  <si>
    <t>5925380401</t>
  </si>
  <si>
    <t>вул. Зоряний Шлях, 104</t>
  </si>
  <si>
    <t>http://bogdanivka-nvk.edukit.sumy</t>
  </si>
  <si>
    <t>Гамаліївська вечірня (змінна) школа Шосткинської районної ради Сумської області</t>
  </si>
  <si>
    <t>41132</t>
  </si>
  <si>
    <t>5925381001</t>
  </si>
  <si>
    <t>вул. Івана Скоропадського, 57 А</t>
  </si>
  <si>
    <t>0686513099</t>
  </si>
  <si>
    <t>Івотський навчально-виховний комплекс загальноосвітня школа І-ІІІ ступенів - дошкільний навчальний заклад</t>
  </si>
  <si>
    <t>41113</t>
  </si>
  <si>
    <t>5925381701</t>
  </si>
  <si>
    <t>Івот</t>
  </si>
  <si>
    <t>вул. Сіверська, 67</t>
  </si>
  <si>
    <t>(05449)32425</t>
  </si>
  <si>
    <t>Клишківський навчально - виховний комплес загальноосвітня школа І - ІІІ ступенів - дошкільний навчальний заклад Шосткиннської районної ради Сумської області</t>
  </si>
  <si>
    <t>41145</t>
  </si>
  <si>
    <t>5925383001</t>
  </si>
  <si>
    <t>Клишки</t>
  </si>
  <si>
    <t>вул. Калинова, 1</t>
  </si>
  <si>
    <t>(05449)31544</t>
  </si>
  <si>
    <t>Ковтунівський навчально-виховний комплекс загальноовітня школа І-ІІІ ступенів - дошкільний навчальний заклад Шосткинської районної ради Сумської області</t>
  </si>
  <si>
    <t>41122</t>
  </si>
  <si>
    <t>5925383501</t>
  </si>
  <si>
    <t>Ковтунове</t>
  </si>
  <si>
    <t>вул. Суворова, 4</t>
  </si>
  <si>
    <t>(05449)33498</t>
  </si>
  <si>
    <t>http://kovtunove-nvk.edukit.sumy.ua</t>
  </si>
  <si>
    <t>Коротченківський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</si>
  <si>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41114</t>
  </si>
  <si>
    <t>5925383701</t>
  </si>
  <si>
    <t>Погребки</t>
  </si>
  <si>
    <t>вул. Цибенка, 25А</t>
  </si>
  <si>
    <t>(05449)33296</t>
  </si>
  <si>
    <t>Миронівський навчально-виховний комплекс: загальноосвітня школа І-ІІІ ступенів - дошкільний навчальний заклад Шосткинської районної ради Сумської області</t>
  </si>
  <si>
    <t>41130</t>
  </si>
  <si>
    <t>5925384901</t>
  </si>
  <si>
    <t>(05449)39491</t>
  </si>
  <si>
    <t>http://myronivka-nvk.edukit.sumy.ua</t>
  </si>
  <si>
    <t>Ображіївський НВК ЗОШ І-ІІІІ ступенів імені І.М.Кожедуба - дошкільний навчальний заклад</t>
  </si>
  <si>
    <t>41120</t>
  </si>
  <si>
    <t>5925385601</t>
  </si>
  <si>
    <t>Ображіївка</t>
  </si>
  <si>
    <t>(054-49)37-4-32</t>
  </si>
  <si>
    <t>Собичівський навчально-виховний комплекс: загальноосвітня школа І-ІІІ ступенів - дошклільний навчальний заклад Шосткинської районної ради Сумської області</t>
  </si>
  <si>
    <t>41133</t>
  </si>
  <si>
    <t>5925386101</t>
  </si>
  <si>
    <t>Собичеве</t>
  </si>
  <si>
    <t>(32)2-24</t>
  </si>
  <si>
    <t>Собицький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</si>
  <si>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41124</t>
  </si>
  <si>
    <t>5925386601</t>
  </si>
  <si>
    <t>Собич</t>
  </si>
  <si>
    <t>вул. Ланівська, 6</t>
  </si>
  <si>
    <t>34-4-34</t>
  </si>
  <si>
    <t>Чапліївський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</si>
  <si>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41143</t>
  </si>
  <si>
    <t>5925387301</t>
  </si>
  <si>
    <t>Чапліївка</t>
  </si>
  <si>
    <t>(05449)30481</t>
  </si>
  <si>
    <t>Дружбівська філія Дружбівського навчально-виховного комплексу: загальноосвітня школа І-ІІІ ступенів - дошкільний навчальний заклад Дружбівської міської ради Ямпільського району Сумської області</t>
  </si>
  <si>
    <t>41220</t>
  </si>
  <si>
    <t>5925610300</t>
  </si>
  <si>
    <t>вул. Комуністична, 43</t>
  </si>
  <si>
    <t>(05556)4-33-42</t>
  </si>
  <si>
    <t>Дружбівський навчально-виховний комплекс: загальноосвітня школа І-ІІІ ступенів - дошкільний навчальний заклад Дружбівської міської ради Ямпільського району Сумської області</t>
  </si>
  <si>
    <t>вул. Кожедуба, 6</t>
  </si>
  <si>
    <t>http://nvkdrsc1.at.ua</t>
  </si>
  <si>
    <t>Ямпільська загальноосвітня школа І-ІІІ ступенів № 1 Ямпільської районної ради Сумської області</t>
  </si>
  <si>
    <t>41200</t>
  </si>
  <si>
    <t>5925655100</t>
  </si>
  <si>
    <t>вул. Щорса, 10</t>
  </si>
  <si>
    <t>(05456)22868</t>
  </si>
  <si>
    <t>Ямпільська загальноосвітня школа І-ІІІ ступенів № 2 Ямпільської районної ради Сумської області</t>
  </si>
  <si>
    <t>вул. Боженко, 58</t>
  </si>
  <si>
    <t>(054(56))2-26-74</t>
  </si>
  <si>
    <t>Імшанська загальноосвітня школа І-ІІІ ступенів Ямпільської районної ради Сумської області</t>
  </si>
  <si>
    <t>41209</t>
  </si>
  <si>
    <t>5925655103</t>
  </si>
  <si>
    <t>Імшана</t>
  </si>
  <si>
    <t>вул. Радгоспна, 7</t>
  </si>
  <si>
    <t>(05456)2-15-05</t>
  </si>
  <si>
    <t>http://imshana.edukit.sumy.ua.</t>
  </si>
  <si>
    <t>Свеська спеціалізована школа І-ІІІ ступенів № 1 Ямпільської районної ради Сумської області</t>
  </si>
  <si>
    <t>41226</t>
  </si>
  <si>
    <t>5925655700</t>
  </si>
  <si>
    <t>Свеса</t>
  </si>
  <si>
    <t>(05456)62082</t>
  </si>
  <si>
    <t>Свеська спеціалізована школа І-ІІІ ступенів № 2 "ліцей" Ямпільської районної ради Сумської області</t>
  </si>
  <si>
    <t>(05456)63547, (05456)63924</t>
  </si>
  <si>
    <t>Воздвиженський навчально - виховний комплекс: загальноосвітння школа І-ІІІ ступенів - дошкільний навчальний заклад Ямпільської районної ради Сумської області</t>
  </si>
  <si>
    <t>41242</t>
  </si>
  <si>
    <t>5925680401</t>
  </si>
  <si>
    <t>Воздвиженське</t>
  </si>
  <si>
    <t>вул. Комуністична, 3</t>
  </si>
  <si>
    <t>(05456)57438</t>
  </si>
  <si>
    <t>https://sites.google.com/site/vozdvizenskijnvk/</t>
  </si>
  <si>
    <t>Княжицький навчально - виховний комплекс: загальноосвітня школа І - ІІІ ступенів - дошкільний навчальний заклад Ямпільської районної ради Сумської області</t>
  </si>
  <si>
    <t>41244</t>
  </si>
  <si>
    <t>5925681501</t>
  </si>
  <si>
    <t>вул. Сагайдачного, 36</t>
  </si>
  <si>
    <t>(054-56)5-41-40</t>
  </si>
  <si>
    <t>Марчихинобудська загальноосвітня школа І-ІІІ ступенів Ямпільської районної ради Сумської області</t>
  </si>
  <si>
    <t>41224</t>
  </si>
  <si>
    <t>5925681901</t>
  </si>
  <si>
    <t>Марчихина Буда</t>
  </si>
  <si>
    <t>(05456)54319</t>
  </si>
  <si>
    <t>Орлівський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</si>
  <si>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41240</t>
  </si>
  <si>
    <t>5925683001</t>
  </si>
  <si>
    <t>(05456)54430</t>
  </si>
  <si>
    <t>https://sites.google.com/site/orlivsknvk/</t>
  </si>
  <si>
    <t>Степненський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</si>
  <si>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41210</t>
  </si>
  <si>
    <t>5925683701</t>
  </si>
  <si>
    <t>(05456)54238</t>
  </si>
  <si>
    <t>Усоцька загальноосвітня школа І-ІІ ступенів Ямпільської районної ради Сумської області</t>
  </si>
  <si>
    <t>41230</t>
  </si>
  <si>
    <t>5925684201</t>
  </si>
  <si>
    <t>Усок</t>
  </si>
  <si>
    <t>(05456)5-47-23</t>
  </si>
  <si>
    <t>http://usok-school.edukit.sumy.ua</t>
  </si>
  <si>
    <t>Чуйківська філія Дружбівського навчально - виховного комплексу: загальноосвітня школа І-ІІІ ступенів - дошкільний навчальний заклад Дружбівської міської ради Ямпільського району Сумської області</t>
  </si>
  <si>
    <t>41223</t>
  </si>
  <si>
    <t>5925684901</t>
  </si>
  <si>
    <t>Чуйківка</t>
  </si>
  <si>
    <t>Шатрищенський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</si>
  <si>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41211</t>
  </si>
  <si>
    <t>5925686001</t>
  </si>
  <si>
    <t>Шатрище</t>
  </si>
  <si>
    <t>вул. Леніна, 68</t>
  </si>
  <si>
    <t>(05456)5-72-12</t>
  </si>
  <si>
    <t>Гімназія "Гармонія" - відокремлений структурний підрозділ Галицького коледжу імені В. Чорновола.</t>
  </si>
  <si>
    <t>46001</t>
  </si>
  <si>
    <t>6110100000</t>
  </si>
  <si>
    <t>Тернопільська область</t>
  </si>
  <si>
    <t>Тернопіль</t>
  </si>
  <si>
    <t>(0352)257649</t>
  </si>
  <si>
    <t>Заклад освіти І-ІІІ ступенів "Тернопільський обласний навчально-реабілітаційний центр"</t>
  </si>
  <si>
    <t>46023</t>
  </si>
  <si>
    <t>вул. Братів Бойчуків, 6</t>
  </si>
  <si>
    <t>(0352)268046</t>
  </si>
  <si>
    <t>http://reabcenter.te.ua</t>
  </si>
  <si>
    <t>21157160</t>
  </si>
  <si>
    <t>Тернопільський навчально-виховний комплекс № 32 І-го ступеня, тернопільській міській раді</t>
  </si>
  <si>
    <t>46012</t>
  </si>
  <si>
    <t>вул. Бригадна, 46</t>
  </si>
  <si>
    <t>(0352)538628</t>
  </si>
  <si>
    <t>Тернопільська вечірня школа Тернопільської міської ради Тернопільської області</t>
  </si>
  <si>
    <t>46002</t>
  </si>
  <si>
    <t>вул. Підгородня, 1</t>
  </si>
  <si>
    <t>(0352)254620</t>
  </si>
  <si>
    <t>14043964</t>
  </si>
  <si>
    <t>Тернопільська загально-освітня школа І-ІІІ ступенів № 14 ім. Б. Лепкого тернопільської міської ради тернопільської області</t>
  </si>
  <si>
    <t>46000</t>
  </si>
  <si>
    <t>вул. Клима Савура, 1</t>
  </si>
  <si>
    <t>(0352)243426</t>
  </si>
  <si>
    <t>14039939</t>
  </si>
  <si>
    <t>Тернопільська загальноосвітння школа І-ІІІ ступенів № 8</t>
  </si>
  <si>
    <t>46005</t>
  </si>
  <si>
    <t>(0352)225508, (0352)225504</t>
  </si>
  <si>
    <t>14034008</t>
  </si>
  <si>
    <t>Тернопільська загальноосвітня школа І-ІІІ ст. № 18</t>
  </si>
  <si>
    <t>просп. С. Бандери, 14</t>
  </si>
  <si>
    <t>(0352)525262</t>
  </si>
  <si>
    <t>14039922</t>
  </si>
  <si>
    <t>Тернопільська загальноосвітня школа І-ІІІ ст. № 26 Тернопільської міської ради Тернопільської області</t>
  </si>
  <si>
    <t>46016</t>
  </si>
  <si>
    <t>б-р Куліша, 9</t>
  </si>
  <si>
    <t>(0352)268059</t>
  </si>
  <si>
    <t>http://26.school-info.te.ua</t>
  </si>
  <si>
    <t>14039951</t>
  </si>
  <si>
    <t>Тернопільська загальноосвітня школа І-ІІІ ст. № 28 Тернопільської міської ради Тернопільської обл.</t>
  </si>
  <si>
    <t>б-р Дмитра Вишневецького, 8</t>
  </si>
  <si>
    <t>(0352)265290</t>
  </si>
  <si>
    <t>http://www.school28.te.ua</t>
  </si>
  <si>
    <t>14039862</t>
  </si>
  <si>
    <t>Тернопільська загальноосвітня школа І-ІІІ ступенів № 20 Тернопільської міської ради</t>
  </si>
  <si>
    <t>вул. Братів Бойчуків, 4</t>
  </si>
  <si>
    <t>(0352)26-80-34</t>
  </si>
  <si>
    <t>14039968</t>
  </si>
  <si>
    <t>Тернопільська загальноосвітня школа І-ІІІ ступенів № 22 Тернопільської міської ради Тернопільської області</t>
  </si>
  <si>
    <t>вул. Петлюри, 8</t>
  </si>
  <si>
    <t>(0352)269366, (0352)269929</t>
  </si>
  <si>
    <t>14035491</t>
  </si>
  <si>
    <t>Тернопільська загальноосвітня школа І-ІІІ ступенів № 24 Тернопільської міської ради Тернопільської області</t>
  </si>
  <si>
    <t>46008</t>
  </si>
  <si>
    <t>вул. Живова, 30</t>
  </si>
  <si>
    <t>(0352)524014</t>
  </si>
  <si>
    <t>14039916</t>
  </si>
  <si>
    <t>Тернопільська загальноосвітня школа І-ІІІ ступенів № 27 ІМЕНІ ВІКТОРА ГУРНЯКА Тернопільської міської ради</t>
  </si>
  <si>
    <t>б-р П.Куліша, 7</t>
  </si>
  <si>
    <t>(0352)265666, (0352)265046, (0352)263548</t>
  </si>
  <si>
    <t>14040641</t>
  </si>
  <si>
    <t>Тернопільська загальноосвітня школа І-ІІІ ступенів № 30 Тернопільської міської ради Тернопільської області</t>
  </si>
  <si>
    <t>вул. Калинова, 46</t>
  </si>
  <si>
    <t>(0352)238020</t>
  </si>
  <si>
    <t>14055938</t>
  </si>
  <si>
    <t>Тернопільська загальноосвітня школа І-ІІІ ступенів № 11 Тернопільської міської ради Тернопільської області</t>
  </si>
  <si>
    <t>46024</t>
  </si>
  <si>
    <t>вул. Генерала Тарнавського, 6</t>
  </si>
  <si>
    <t>(0352)269121</t>
  </si>
  <si>
    <t>http://11.school-info.te.ua/</t>
  </si>
  <si>
    <t>14040658</t>
  </si>
  <si>
    <t>Тернопільська загальноосвітня школа І-ІІІ ступенів № 13 імені Андрія ЮркевичТернопільської міської ради Тернопільської області</t>
  </si>
  <si>
    <t>46006</t>
  </si>
  <si>
    <t>вул. Князя Острозького, 51</t>
  </si>
  <si>
    <t>(0352)52-49-45</t>
  </si>
  <si>
    <t>http://13sclte.net.ua/</t>
  </si>
  <si>
    <t>39964974</t>
  </si>
  <si>
    <t>Тернопільська загальноосвітня школа І-ІІІ ступенів № 16 імені Володимира Левицького Тернопільської міської ради Тернопільської області</t>
  </si>
  <si>
    <t>46027</t>
  </si>
  <si>
    <t>вул. В. Винниченка, 2</t>
  </si>
  <si>
    <t>(0352)436069, (0352)436105, (0352)435863</t>
  </si>
  <si>
    <t>http://school16.te.ua</t>
  </si>
  <si>
    <t>14039974</t>
  </si>
  <si>
    <t>Тернопільська загальноосвітня школа І-ІІІ ступенів № 19 Тернопільської міської ради Тернопільської області</t>
  </si>
  <si>
    <t>вул. Братів Бойчуків, 2</t>
  </si>
  <si>
    <t>(0352)269868</t>
  </si>
  <si>
    <t>14039945</t>
  </si>
  <si>
    <t>Тернопільська загальноосвітня школа І-ІІІ ступенів № 21 Тернопільської міської ради Тернопільської області</t>
  </si>
  <si>
    <t>просп. Проспект Злуки, 51</t>
  </si>
  <si>
    <t>(0352)268661</t>
  </si>
  <si>
    <t>14039885</t>
  </si>
  <si>
    <t>Тернопільська загальноосвітня школа І-ІІІ ступенів № 23 Тернопільської області Тернопільської міської ради</t>
  </si>
  <si>
    <t>46020</t>
  </si>
  <si>
    <t>вул. Чубинського, 3</t>
  </si>
  <si>
    <t>(0352)265706</t>
  </si>
  <si>
    <t>14030789</t>
  </si>
  <si>
    <t>Тернопільська загальноосвітня школа І-ІІІ ступенів № 25 Тернопільської міської ради Тернопільської області</t>
  </si>
  <si>
    <t>вул. Хліборобна, 26</t>
  </si>
  <si>
    <t>(0352)539124</t>
  </si>
  <si>
    <t>14039980</t>
  </si>
  <si>
    <t>Тернопільська загальноосвітня школа І-ІІІ ступенів № 4 Тернопільської міської ради Тернопільської області</t>
  </si>
  <si>
    <t>((0352))526830</t>
  </si>
  <si>
    <t>http://s4.te.ua</t>
  </si>
  <si>
    <t>14040061</t>
  </si>
  <si>
    <t>Тернопільська загальноосвітня школа І-ІІІступенів № 10 Тернопільської міської ради Тернопільської області</t>
  </si>
  <si>
    <t>46011</t>
  </si>
  <si>
    <t>вул. Лесі Українки, 3А</t>
  </si>
  <si>
    <t>(0352)241496</t>
  </si>
  <si>
    <t>14039856</t>
  </si>
  <si>
    <t>Тернопільська класична гімназія Тернопільської міської ради Тернопільської області</t>
  </si>
  <si>
    <t>вул. Вербицького, 3</t>
  </si>
  <si>
    <t>(0352)261920</t>
  </si>
  <si>
    <t>24631923</t>
  </si>
  <si>
    <t>Тернопільська обласна експериментальна комплексна школа мистецтв імені Ігоря Герети</t>
  </si>
  <si>
    <t>вул. Медова, 5</t>
  </si>
  <si>
    <t>(0352)524003</t>
  </si>
  <si>
    <t>14042752</t>
  </si>
  <si>
    <t>Тернопільська спеціалізована загальноосвітня школа І ступеня повного дня з поглибленим вивченням іноземних мов</t>
  </si>
  <si>
    <t>46022</t>
  </si>
  <si>
    <t>вул. Лесі Українки, 12А</t>
  </si>
  <si>
    <t>(0352)240000</t>
  </si>
  <si>
    <t>14053371</t>
  </si>
  <si>
    <t>Тернопільська спеціалізована загальноосвітня школа І ступеня повного дня з поглибленим вивченням основ економіки</t>
  </si>
  <si>
    <t>46013</t>
  </si>
  <si>
    <t>вул. бул. Данила Галицького, 3 а</t>
  </si>
  <si>
    <t>(0352241329)241329</t>
  </si>
  <si>
    <t>23596633</t>
  </si>
  <si>
    <t>Тернопільська спеціалізована школа I-III ступенів № 5 з поглибленим вивченням іноземних мов Тернопільської міської ради Тернопільської області</t>
  </si>
  <si>
    <t>вул. Камінна, 2</t>
  </si>
  <si>
    <t>(0352)250969</t>
  </si>
  <si>
    <t>14034304</t>
  </si>
  <si>
    <t>Тернопільська спеціалізована школа I-III ступенів № 7 з поглибленим вивченням іноземних мов Тернопільської міської ради Тернопільської області</t>
  </si>
  <si>
    <t>46018</t>
  </si>
  <si>
    <t>вул. Юності, 11</t>
  </si>
  <si>
    <t>(0352)536979, (0352)535503</t>
  </si>
  <si>
    <t>14039842</t>
  </si>
  <si>
    <t>Тернопільська спеціалізована школа І-ІІІ ступенів № 29 з поглибленим вивченням іноземних мов Тернопільської міської ради Тернопільської області</t>
  </si>
  <si>
    <t>б-р Вишневецького, 10</t>
  </si>
  <si>
    <t>(0352)268982, (0352)265121</t>
  </si>
  <si>
    <t>14056180</t>
  </si>
  <si>
    <t>Тернопільська спеціалізована школа І-ІІІ ступенів № 3 з поглибленим вивченням іноземних мов Тернопільської міської ради Тернопільської області</t>
  </si>
  <si>
    <t>(0352)521317</t>
  </si>
  <si>
    <t>http://www.school3.com.ua</t>
  </si>
  <si>
    <t>14040173</t>
  </si>
  <si>
    <t>Тернопільська спеціалізована школа І-ІІІ ступенів № 17 імені Володимира Вихруща з поглибленим вивченням іноземних мов Тернопільської міської Ради Тернопільської області</t>
  </si>
  <si>
    <t>вул. Протасевича, 6А</t>
  </si>
  <si>
    <t>(0352)240035</t>
  </si>
  <si>
    <t>http://school17ter.at.ua</t>
  </si>
  <si>
    <t>14039907</t>
  </si>
  <si>
    <t>Тернопільська спеціальна загальноосвітня школа Тернопільської міської ради для дітей, які потребують корекції розумового розвитку</t>
  </si>
  <si>
    <t>вул. Академіка Сахарова, 4</t>
  </si>
  <si>
    <t>(0352)261787, (0352)261787</t>
  </si>
  <si>
    <t>http://specschool.edukit.te.ua/</t>
  </si>
  <si>
    <t>14040606</t>
  </si>
  <si>
    <t>Тернопільська спеціальна загальноосвітня школа-інтернат І-ІІІ ступенів Тернопільської обласної ради</t>
  </si>
  <si>
    <t>вул. Лесі Українки, 9А</t>
  </si>
  <si>
    <t>(352)24-30-62</t>
  </si>
  <si>
    <t>14028539</t>
  </si>
  <si>
    <t>Тернопільська Українська гімназія ім. І. Франка Тернопільської міської ради Тернопільської області</t>
  </si>
  <si>
    <t>вул. Коперніка, 14</t>
  </si>
  <si>
    <t>(0352)526798, (0352)523243</t>
  </si>
  <si>
    <t>http://www.gimnasium.in.ua</t>
  </si>
  <si>
    <t>14039879</t>
  </si>
  <si>
    <t>Тернопільський навчально-виховний комплекс "Школа-ліцей № 6 ім. Н. Яремчука"</t>
  </si>
  <si>
    <t>вул. Руська, 6</t>
  </si>
  <si>
    <t>(0352)25-44-16</t>
  </si>
  <si>
    <t>14040824</t>
  </si>
  <si>
    <t>Тернопільський навчально-виховний комплекс "Загальнооосвітня школа І-ІІІ ступенів-економічний ліцей № 9 імені Іванни Блажкевич"</t>
  </si>
  <si>
    <t>вул. Макаренка, 1А</t>
  </si>
  <si>
    <t>(0352)435687</t>
  </si>
  <si>
    <t>14040167</t>
  </si>
  <si>
    <t>Тернопільський навчально-виховний комплекс "Загальноосвітня школа І-ІІІ ступенів-медичний ліцей № 15" Тернопільської міської ради Тернопільської області</t>
  </si>
  <si>
    <t>вул. Лесі Українки, 23</t>
  </si>
  <si>
    <t>(0352)243058</t>
  </si>
  <si>
    <t>http://tnvk15.at.ua</t>
  </si>
  <si>
    <t>14040084</t>
  </si>
  <si>
    <t>Тернопільський навчально-виховний комплекс "Загальноосвітня школа І-ІІІ ступенів-правовий ліцей № 2"</t>
  </si>
  <si>
    <t>46003</t>
  </si>
  <si>
    <t>вул. Новий Світ, 11</t>
  </si>
  <si>
    <t>14034209</t>
  </si>
  <si>
    <t>Тернопільський навчально-виховний комплекс "Школа-колегіум Патріарха Йосифа Сліпого" Тернопільської міської ради Тернопільської області</t>
  </si>
  <si>
    <t>вул. Юності, 3</t>
  </si>
  <si>
    <t>(0352)533122</t>
  </si>
  <si>
    <t>37894481</t>
  </si>
  <si>
    <t>Тернопільський навчально-виховний комплекс № 35 Тернопільської міської ради Тернопільської області</t>
  </si>
  <si>
    <t>вул. С. Будного, 26/А</t>
  </si>
  <si>
    <t>(0352)435700</t>
  </si>
  <si>
    <t>Тернопільський навчально-виховний комплекс № 28</t>
  </si>
  <si>
    <t>вул. Братів Бойчуків, 10</t>
  </si>
  <si>
    <t>(0352)0352269893</t>
  </si>
  <si>
    <t>Тернопільський навчально-виховний комплекс № 7</t>
  </si>
  <si>
    <t>вул. Василя Стуса, 6</t>
  </si>
  <si>
    <t>(0352)268489</t>
  </si>
  <si>
    <t>Тернопільський педагогічний ліцей спортивного профілю Тернопільської міської ради Тернопільської області</t>
  </si>
  <si>
    <t>(0352)541165</t>
  </si>
  <si>
    <t>39965014</t>
  </si>
  <si>
    <t>Тернопільський технічний ліцей Тернопільської міської ради Тернопільської області</t>
  </si>
  <si>
    <t>вул. Романа Купчинського, 5А</t>
  </si>
  <si>
    <t>(0352)432872, (0352)268147</t>
  </si>
  <si>
    <t>23592345</t>
  </si>
  <si>
    <t>Чортківська гімназія імені Маркіяна Шашкевича Чортківської міської ради Тернопільської області</t>
  </si>
  <si>
    <t>48500</t>
  </si>
  <si>
    <t>6110300000</t>
  </si>
  <si>
    <t>Чортків</t>
  </si>
  <si>
    <t>(03552)21615</t>
  </si>
  <si>
    <t>http://gymnasium1911.te.ua/</t>
  </si>
  <si>
    <t>24625621</t>
  </si>
  <si>
    <t>Чортківська загальноосвітня школа І-ІІІ ст. № 2</t>
  </si>
  <si>
    <t>вул. Хічія, 1</t>
  </si>
  <si>
    <t>0355222310, 0355222966</t>
  </si>
  <si>
    <t>Чортківська загальноосвітня школа І-ІІІ ступенів № 6 Чортківської міської ради Тернопільської області</t>
  </si>
  <si>
    <t>вул. Залізнична, 10</t>
  </si>
  <si>
    <t>(03552)22353, (03552)22510</t>
  </si>
  <si>
    <t>http://6.chortkiv-osvita.com.ua</t>
  </si>
  <si>
    <t>Чортківська загальноосвітня школа І-ІІІ ступенів № 7 Чортківської міської ради Тернопільської області</t>
  </si>
  <si>
    <t>(03552)21679</t>
  </si>
  <si>
    <t>Чортківська загальноосвітня школа-інтернат І-ІІІ ступенів Чортківської міської ради Тернопільської області</t>
  </si>
  <si>
    <t>(03552)2-28-90</t>
  </si>
  <si>
    <t>21168850</t>
  </si>
  <si>
    <t>Чортківська загальньоосвітня школа I-III ступенів № 5 Чортківської міської ради Тернопільської області</t>
  </si>
  <si>
    <t>вул. В.Великого, 4Б</t>
  </si>
  <si>
    <t>(03552)32485</t>
  </si>
  <si>
    <t>http://www.school5.net.ua/</t>
  </si>
  <si>
    <t>Бережанська загальноосвітня школа І-ІІІ ступенів № 1 Бережанської міської ради Тернопільської області</t>
  </si>
  <si>
    <t>47501</t>
  </si>
  <si>
    <t>6110500000</t>
  </si>
  <si>
    <t>вул. Гімназійна, 2</t>
  </si>
  <si>
    <t>(03548)21485, (03548)22196</t>
  </si>
  <si>
    <t>Бережанська загальноосвітня школа І-ІІІ ступенів № 2 Бережансмької міської ради ТернопільськоЇ області</t>
  </si>
  <si>
    <t>вул. С.Бандери, 2</t>
  </si>
  <si>
    <t>(03548)21983</t>
  </si>
  <si>
    <t>http://berezhany-school2.edukit.te.ua/</t>
  </si>
  <si>
    <t>Бережанська загальноосвітня школа І-ІІІ ступенів № 3 Бережанської міської ради Тернопільської області</t>
  </si>
  <si>
    <t>(03548)21545</t>
  </si>
  <si>
    <t>Бережанська обласна комунальна загальноосвітня школа-інтернат І-ІІІ ст. з поглибленим вивченням трудового навчання</t>
  </si>
  <si>
    <t>вул. Руська, 13</t>
  </si>
  <si>
    <t>0354821018</t>
  </si>
  <si>
    <t>http://berezhany-internat.com.ua</t>
  </si>
  <si>
    <t>04590895</t>
  </si>
  <si>
    <t>Бережанська спеціалізована загальноосвітня школа І ступеня з поглибленим вивченням іноземної мови</t>
  </si>
  <si>
    <t>вул. Січових Стрільців, 34</t>
  </si>
  <si>
    <t>(03548)25029</t>
  </si>
  <si>
    <t>Бережанська школа-гімназія ім.Б.Лепкого</t>
  </si>
  <si>
    <t>вул. Руська, 12</t>
  </si>
  <si>
    <t>(03548)23113</t>
  </si>
  <si>
    <t>http://www.bergimnazium.at.ua</t>
  </si>
  <si>
    <t>Тернопільська обл., Лісниківська загальноосвітня школа Іступеня, Бережанська міська рада</t>
  </si>
  <si>
    <t>6110500001</t>
  </si>
  <si>
    <t>вул. Рогатинська, 150</t>
  </si>
  <si>
    <t>(097)4850890</t>
  </si>
  <si>
    <t>Раївська загальноосвітня школа І ступеня Бережанської міської ради Тернопільської області</t>
  </si>
  <si>
    <t>6110500002</t>
  </si>
  <si>
    <t>Рай</t>
  </si>
  <si>
    <t>вул. Раївська, 33</t>
  </si>
  <si>
    <t>(03548)22279</t>
  </si>
  <si>
    <t>Кременецька загальноосвітня школа І-ІІІ ступенів № 1 ім.Галини Гордасевич</t>
  </si>
  <si>
    <t>47003</t>
  </si>
  <si>
    <t>6110700000</t>
  </si>
  <si>
    <t>вул. Ліцейна, 1</t>
  </si>
  <si>
    <t>(03546)22273</t>
  </si>
  <si>
    <t>21162681</t>
  </si>
  <si>
    <t>Кременецька загальноосвітня школа І-ІІІ ступенів № 3 Кременецької міської ради Тернопільської області</t>
  </si>
  <si>
    <t>вул. Замкова, 41</t>
  </si>
  <si>
    <t>(03546)24817</t>
  </si>
  <si>
    <t>23591044</t>
  </si>
  <si>
    <t>Кременецька загальноосвітня школа І-ІІІ ступенів № 4 Кременецької міської ради Тернопільської області</t>
  </si>
  <si>
    <t>47002</t>
  </si>
  <si>
    <t>вул. О.Лятуринської, 11</t>
  </si>
  <si>
    <t>(03546)2-26-15</t>
  </si>
  <si>
    <t>http://Krem-zosh4.at.ua</t>
  </si>
  <si>
    <t>23591067</t>
  </si>
  <si>
    <t>Кременецька загальноосвітня школа-інтернат І-ІІІ ступенів Кременецької районної ради Тернопільської області</t>
  </si>
  <si>
    <t>47004</t>
  </si>
  <si>
    <t>вул. Льотчиків-визволителів, 60</t>
  </si>
  <si>
    <t>(03546)31995</t>
  </si>
  <si>
    <t>http://www.kremenetsinternat.in.ua</t>
  </si>
  <si>
    <t>04590955</t>
  </si>
  <si>
    <t>Кременецька спеціалізована школа І-ІІІ ступенів № 2 Кременецької міської радиТернопільської області</t>
  </si>
  <si>
    <t>пров. Словацького, 8</t>
  </si>
  <si>
    <t>(03546)21030</t>
  </si>
  <si>
    <t>21157964</t>
  </si>
  <si>
    <t>Кременецький ліцей імені У. Самчука</t>
  </si>
  <si>
    <t>вул. Б. Харчука, 8</t>
  </si>
  <si>
    <t>(03546)22643</t>
  </si>
  <si>
    <t>14049079</t>
  </si>
  <si>
    <t>Кременецький навчально-виховний комплекс "Гімназія - ЗОШ І ступеня" Кременецької міської ради Тернопільської області</t>
  </si>
  <si>
    <t>вул. Мікрорайон-3, 6</t>
  </si>
  <si>
    <t>(03546)3-14-85</t>
  </si>
  <si>
    <t>25350579</t>
  </si>
  <si>
    <t>Навчально-виховний комплекс "Кременецька загальноосвітня школа І-ІІІ ступенів № 5 - дошкільний навчальний заклад" Кременецької міської ради Тернопільської області</t>
  </si>
  <si>
    <t>47001</t>
  </si>
  <si>
    <t>вул. 107-ї Кременецької дивізії, 5</t>
  </si>
  <si>
    <t>(03546)26631</t>
  </si>
  <si>
    <t>23591073</t>
  </si>
  <si>
    <t>Біщівський навчально-виховний комплекс "Загальноосвітній навчальний заклад І-ІІ ступенів - дошкільний навчальний заклад" Бережанської районної ради Тернопільської області</t>
  </si>
  <si>
    <t>47512</t>
  </si>
  <si>
    <t>6120480601</t>
  </si>
  <si>
    <t>Біще</t>
  </si>
  <si>
    <t>Вербівський навчально-виховний комплекс "загальноосвітній навчальний заклад І-ІІ ступенів - дошкільний навчальний заклад"</t>
  </si>
  <si>
    <t>47514</t>
  </si>
  <si>
    <t>6120480901</t>
  </si>
  <si>
    <t>Вербів</t>
  </si>
  <si>
    <t>вул. Мазепи, 40</t>
  </si>
  <si>
    <t>(803548)34648</t>
  </si>
  <si>
    <t>Жовнівський навчально-виховний комплекс "загальноосвітній навчальний заклад - дошкільний навчальний заклад" 1 ступеня Бережанської районної державної адміністрації Тернопільської області</t>
  </si>
  <si>
    <t>47524</t>
  </si>
  <si>
    <t>6120481601</t>
  </si>
  <si>
    <t>Жовнівка</t>
  </si>
  <si>
    <t>вул. Січових стрільців, 60</t>
  </si>
  <si>
    <t>380968932933</t>
  </si>
  <si>
    <t>Жуківська загальноосвітня школа І- ІІІ ступенів ім.Б.Лепкого Бережанського району Тернопільської області</t>
  </si>
  <si>
    <t>47515</t>
  </si>
  <si>
    <t>6120481801</t>
  </si>
  <si>
    <t>(03548)38340</t>
  </si>
  <si>
    <t>Гиновицька загальноосвітня школа І ступеня Бережанського району Тернопільської області</t>
  </si>
  <si>
    <t>6120481802</t>
  </si>
  <si>
    <t>Гиновичі</t>
  </si>
  <si>
    <t>Підліснянська загальноосвітня школа І ступеня Бережанського району Тернопільської області</t>
  </si>
  <si>
    <t>6120481804</t>
  </si>
  <si>
    <t>Котівська загальноосвітня школа І-ІІ ступенів, Бережанської районної державної адміністрації, Тернопільської області</t>
  </si>
  <si>
    <t>47531</t>
  </si>
  <si>
    <t>6120482301</t>
  </si>
  <si>
    <t>(03548)34140</t>
  </si>
  <si>
    <t>Куропатницький навчально-виховний комплекс "Загальноосвітній навчальний заклад 1-3 ступенів - дошкільний навчальний заклад"</t>
  </si>
  <si>
    <t>47516</t>
  </si>
  <si>
    <t>6120482501</t>
  </si>
  <si>
    <t>Куропатники</t>
  </si>
  <si>
    <t>(03548)3-45-40</t>
  </si>
  <si>
    <t>Курянівська загальноосвітня школа І-ІІІ ступенів Бережанської районної ради Тернопільської області</t>
  </si>
  <si>
    <t>47522</t>
  </si>
  <si>
    <t>6120482701</t>
  </si>
  <si>
    <t>Куряни</t>
  </si>
  <si>
    <t>(03548)36236, (03548)36240</t>
  </si>
  <si>
    <t>Павлівська загальноосвітня школа I ступеня</t>
  </si>
  <si>
    <t>6120482707</t>
  </si>
  <si>
    <t>0987227362</t>
  </si>
  <si>
    <t>Лапшинська загальноосвітня школа І-ІІ ступенів Бережанської ради Тернопільської області</t>
  </si>
  <si>
    <t>47517</t>
  </si>
  <si>
    <t>6120483001</t>
  </si>
  <si>
    <t>Лапшин</t>
  </si>
  <si>
    <t>вул. вул Сонячна, 8</t>
  </si>
  <si>
    <t>(03548)3-46-40</t>
  </si>
  <si>
    <t>ЛІТЯТИНСЬКИЙ НАВЧАЛЬНО-ВИХОВНИЙ КОМПЛЕКС"ЗАГАЛЬНООСВІТНІЙ НАВЧАЛЬНИЙ ЗАКЛАД І - ІІ СТУПЕНІВ - ДОШКІЛЬНИЙ НАВЧАЛЬНИЙ ЗАКЛАД"</t>
  </si>
  <si>
    <t>47530</t>
  </si>
  <si>
    <t>6120483301</t>
  </si>
  <si>
    <t>Літятин</t>
  </si>
  <si>
    <t>(03548)32640</t>
  </si>
  <si>
    <t>Мечищівський навчально-виховний комплекс "загальноосвітній навчальний заклад І-ІІІ ступенів - дошкільний навчальний заклад" Бережанської районної ради Тернопільської області</t>
  </si>
  <si>
    <t>47525</t>
  </si>
  <si>
    <t>6120483901</t>
  </si>
  <si>
    <t>Мечищів</t>
  </si>
  <si>
    <t>(03548))3-51-40</t>
  </si>
  <si>
    <t>Надрічнянська загальноосвітня школа І-ІІ ступенів Бережанської районної ради Тернопільської області</t>
  </si>
  <si>
    <t>47544</t>
  </si>
  <si>
    <t>6120484901</t>
  </si>
  <si>
    <t>вул. Золочівська, 78</t>
  </si>
  <si>
    <t>(03548)38440</t>
  </si>
  <si>
    <t>Нараївська загальноосвітня школа I-III ступенів Бережанської районної ради Тернопільської області</t>
  </si>
  <si>
    <t>47513</t>
  </si>
  <si>
    <t>6120485101</t>
  </si>
  <si>
    <t>Нараїв</t>
  </si>
  <si>
    <t>(03548)37182</t>
  </si>
  <si>
    <t>Вільховецька загальноосвітня школа І-ІІ ступенів</t>
  </si>
  <si>
    <t>6120485502</t>
  </si>
  <si>
    <t>вул. Зелена</t>
  </si>
  <si>
    <t>(03548)34114</t>
  </si>
  <si>
    <t>Підвисоцький навчально-виховний комплекс "Загальноосвітній навчальний заклад І-ІІ ступенів -дошкільний навчальний заклад" Бережанської РДА , Тернопільської області</t>
  </si>
  <si>
    <t>47523</t>
  </si>
  <si>
    <t>6120485701</t>
  </si>
  <si>
    <t>(03548)32140</t>
  </si>
  <si>
    <t>Гутиська загальноосвітня школа I ступенів Бережанського району Тернопільської області</t>
  </si>
  <si>
    <t>6120485703</t>
  </si>
  <si>
    <t>Гутисько</t>
  </si>
  <si>
    <t>0966591720</t>
  </si>
  <si>
    <t>Посухівський навчально-виховний комплекс "загально-освітній навчальний заклад І ступеня-дошкільний навчальний заклад" Бережанської районної ради, філія Потуторської ЗОШ І-ІІІ ст.</t>
  </si>
  <si>
    <t>47546</t>
  </si>
  <si>
    <t>6120486001</t>
  </si>
  <si>
    <t>Посухів</t>
  </si>
  <si>
    <t>Потуторська загальноосвітня школа І-ІІІ ступенфів Бережанської районної ради Тернопільської області</t>
  </si>
  <si>
    <t>47500</t>
  </si>
  <si>
    <t>6120486401</t>
  </si>
  <si>
    <t>Потутори</t>
  </si>
  <si>
    <t>(03548)32440</t>
  </si>
  <si>
    <t>Божиківський навчально-виховний комплекс "загальноосвітній навчальний заклад І - ІІ ступенів - дошкільний навчальний заклад"</t>
  </si>
  <si>
    <t>47535</t>
  </si>
  <si>
    <t>6120486701</t>
  </si>
  <si>
    <t>Божиків</t>
  </si>
  <si>
    <t>(03548)36340</t>
  </si>
  <si>
    <t>Квітківська загальноосвітня школа І ступеня</t>
  </si>
  <si>
    <t>6120486702</t>
  </si>
  <si>
    <t>Квіткове</t>
  </si>
  <si>
    <t>вул. Долішня, 51</t>
  </si>
  <si>
    <t>Волощинська загальноосвітня школа І ступенів</t>
  </si>
  <si>
    <t>6120486705</t>
  </si>
  <si>
    <t>Волощина</t>
  </si>
  <si>
    <t>вул. Горішня, 5</t>
  </si>
  <si>
    <t>(096)4503832</t>
  </si>
  <si>
    <t>Рекшинський навчально-виховний комплекс "загальноосвітній навчальний заклад І-ІІІ ступенів - дошкільний навчальний заклад"</t>
  </si>
  <si>
    <t>47511</t>
  </si>
  <si>
    <t>6120487001</t>
  </si>
  <si>
    <t>Рекшин</t>
  </si>
  <si>
    <t>(03548)88888888</t>
  </si>
  <si>
    <t>http://rekshynnvk.at.ua/</t>
  </si>
  <si>
    <t>Рогачинська загальноосвітня школа І ст. Бережанської РДА Тернопільської обл.</t>
  </si>
  <si>
    <t>47520</t>
  </si>
  <si>
    <t>6120487301</t>
  </si>
  <si>
    <t>Рогачин</t>
  </si>
  <si>
    <t>0966594794</t>
  </si>
  <si>
    <t>Рогачинський навчально-виховний комплекс "Загальноосвітній навчальний заклад І-ІІІ ступенів-дошкільний навчальний заклад" Бережанської районної ради Тернопільської області</t>
  </si>
  <si>
    <t>(0352)33340</t>
  </si>
  <si>
    <t>Волицька ЗОШ-Іступеня ,БережанськоЇ РДАТернопільської області</t>
  </si>
  <si>
    <t>6120487302</t>
  </si>
  <si>
    <t>Рибниківська загальноосвітня школа І ступеня</t>
  </si>
  <si>
    <t>6120487601</t>
  </si>
  <si>
    <t>Рибники</t>
  </si>
  <si>
    <t>(03548)34195</t>
  </si>
  <si>
    <t>Саранчуківський навчально - виховний комплекс "Загальноосвітній навчальний заклад І - ІІІ ступенів - дошкільний навчальний заклад" Бережанської районної ради Тернопільської області</t>
  </si>
  <si>
    <t>47533</t>
  </si>
  <si>
    <t>6120487901</t>
  </si>
  <si>
    <t>Саранчуки</t>
  </si>
  <si>
    <t>вул. Личакова, 2</t>
  </si>
  <si>
    <t>(03548)34240</t>
  </si>
  <si>
    <t>http://www.saran.ber.te.ua</t>
  </si>
  <si>
    <t>Слов'ятинський навчально-виховний комплекс "загальноосвітній навчальний заклад І-ІІІ ступенів - дошкільний навчальний заклад" Бережанської районної ради Тернопільської області</t>
  </si>
  <si>
    <t>47536</t>
  </si>
  <si>
    <t>6120488401</t>
  </si>
  <si>
    <t>Слов'ятин</t>
  </si>
  <si>
    <t>вул. Т.Г.Шевченка, 83</t>
  </si>
  <si>
    <t>(03548)33140</t>
  </si>
  <si>
    <t>Тростянецька загальноосвітня школа І-ІІ ступенів Бережанської районної ради Тернопільської області</t>
  </si>
  <si>
    <t>47534</t>
  </si>
  <si>
    <t>6120488501</t>
  </si>
  <si>
    <t>36386</t>
  </si>
  <si>
    <t>http://trostschool.adr.com.ua</t>
  </si>
  <si>
    <t>Урманський навчально-виховний комплекс "загальноосвітній навчальний заклад I-II ступенів - дошкільний навчальний заклад" Бережанської районної ради</t>
  </si>
  <si>
    <t>47510</t>
  </si>
  <si>
    <t>6120489101</t>
  </si>
  <si>
    <t>Урмань</t>
  </si>
  <si>
    <t>вул. Сонячна, 5</t>
  </si>
  <si>
    <t>(03548)31440</t>
  </si>
  <si>
    <t>Шибалинська загальгоосвітня школа І - ІІ ступенів</t>
  </si>
  <si>
    <t>47521</t>
  </si>
  <si>
    <t>6120489401</t>
  </si>
  <si>
    <t>Шибалин</t>
  </si>
  <si>
    <t>(03548)31633</t>
  </si>
  <si>
    <t>Комарівська загальноосвітня школа I ступеня</t>
  </si>
  <si>
    <t>6120489402</t>
  </si>
  <si>
    <t>0354831614</t>
  </si>
  <si>
    <t>Борщівська загальноосвітня школа І-ІІІ ступенів № 1</t>
  </si>
  <si>
    <t>48702</t>
  </si>
  <si>
    <t>6120810100</t>
  </si>
  <si>
    <t>вул. Вулиця Шевченка, будинок 10</t>
  </si>
  <si>
    <t>(03541)21934</t>
  </si>
  <si>
    <t>Борщівська загальноосвітня школа І-ІІІ ступенів № 2</t>
  </si>
  <si>
    <t>48701</t>
  </si>
  <si>
    <t>вул. Л.Курбаса, 7</t>
  </si>
  <si>
    <t>(03541)75405</t>
  </si>
  <si>
    <t>Борщівський навчально-виховний комплекс "Загальноосвітній навчальний заклад І-ІІІ ступенів № 3 - гімназія імені Романа Андріяшика"</t>
  </si>
  <si>
    <t>(03541)21262</t>
  </si>
  <si>
    <t>http://school3ra.ucoz.ua</t>
  </si>
  <si>
    <t>Мельнице-Подільська загальноосвітня школа І-ІІІ ступенів</t>
  </si>
  <si>
    <t>48751</t>
  </si>
  <si>
    <t>6120855400</t>
  </si>
  <si>
    <t>Мельниця-Подільська</t>
  </si>
  <si>
    <t>(03541)41259, (03541)41277</t>
  </si>
  <si>
    <t>http://www.mp.edukit.te.ua</t>
  </si>
  <si>
    <t>Скала-Подільська загальноосвітня школа І-ІІ ступенів</t>
  </si>
  <si>
    <t>48720</t>
  </si>
  <si>
    <t>6120855700</t>
  </si>
  <si>
    <t>Скала-Подільська</t>
  </si>
  <si>
    <t>вул. Вулиця Грушевського_, 91</t>
  </si>
  <si>
    <t>(067)1116695, (096)3848980</t>
  </si>
  <si>
    <t>http://spschool2.at.ua</t>
  </si>
  <si>
    <t>Скала-Подільський навчально-виховний комплекс "загальноосвітня школа І-ІІІ ступенів - дошкільний навчальний заклад" Скала-Подільської селищної ради Борщівського району Тернопільської області</t>
  </si>
  <si>
    <t>(03541)5-11-85</t>
  </si>
  <si>
    <t>Олексинська загальноосвітня школа І-ІІ ступенів</t>
  </si>
  <si>
    <t>48732</t>
  </si>
  <si>
    <t>6120880301</t>
  </si>
  <si>
    <t>Олексинці</t>
  </si>
  <si>
    <t>вул. Вулиця Прицерковна, 34</t>
  </si>
  <si>
    <t>(03541)35341</t>
  </si>
  <si>
    <t>Бабинецька загальноосвітня школа І-ІІ ступенів Відділу освіти Борщівської райдержадміністрації Тернопільської області</t>
  </si>
  <si>
    <t>48744</t>
  </si>
  <si>
    <t>6120880601</t>
  </si>
  <si>
    <t>вул. Підскали, 3</t>
  </si>
  <si>
    <t>(03541)38535</t>
  </si>
  <si>
    <t>Більче-Золотецька загальноосвітня школа І-ІІІ ступенів</t>
  </si>
  <si>
    <t>48733</t>
  </si>
  <si>
    <t>6120880901</t>
  </si>
  <si>
    <t>Більче-Золоте</t>
  </si>
  <si>
    <t>вул. Махнівка, 35</t>
  </si>
  <si>
    <t>(03541)33477</t>
  </si>
  <si>
    <t>Монастирська загальноосвітня школа Іступеня</t>
  </si>
  <si>
    <t>6120880902</t>
  </si>
  <si>
    <t>вул. Королівська, 2</t>
  </si>
  <si>
    <t>ЮР’ЯМПІЛЬСЬКА ЗАГАЛЬНООСВІТНЯ ШКОЛА І СТУПЕНЯ</t>
  </si>
  <si>
    <t>6120880904</t>
  </si>
  <si>
    <t>Юр'ямпіль</t>
  </si>
  <si>
    <t>вул. Горішній Кут, 37 А</t>
  </si>
  <si>
    <t>Бурдяківська загальноосвітня школа I-II ступенів</t>
  </si>
  <si>
    <t>48715</t>
  </si>
  <si>
    <t>6120881201</t>
  </si>
  <si>
    <t>Бурдяківці</t>
  </si>
  <si>
    <t>вул. Шкільна, 52В</t>
  </si>
  <si>
    <t>(3541)56-6-45</t>
  </si>
  <si>
    <t>Верхняківський навчально-виховний комплекс "Загальноосвітній навчальний заклад І ступеня -дитячий навчальний заклад"</t>
  </si>
  <si>
    <t>48703</t>
  </si>
  <si>
    <t>6120881301</t>
  </si>
  <si>
    <t>Верхняківці</t>
  </si>
  <si>
    <t>вул. Космонавтів, 4</t>
  </si>
  <si>
    <t>(03542)22043</t>
  </si>
  <si>
    <t>Вовковецька загальноосвітня школа І-ІІ ступенів</t>
  </si>
  <si>
    <t>48724</t>
  </si>
  <si>
    <t>6120881501</t>
  </si>
  <si>
    <t>Вовківці</t>
  </si>
  <si>
    <t>3-23-85</t>
  </si>
  <si>
    <t>Вигодська загальноосвітня школа І-ІІІ ступенів</t>
  </si>
  <si>
    <t>48758</t>
  </si>
  <si>
    <t>6120881801</t>
  </si>
  <si>
    <t>вул. Січових Стрільців, 54</t>
  </si>
  <si>
    <t>(17797)44-4-67</t>
  </si>
  <si>
    <t>Білівецький навчально-виховний комплекс "Загальноосвітня школа І ступеня - дитячий садок</t>
  </si>
  <si>
    <t>6120881802</t>
  </si>
  <si>
    <t>Білівці</t>
  </si>
  <si>
    <t>вул. Головна15</t>
  </si>
  <si>
    <t>(067)4500416</t>
  </si>
  <si>
    <t>Боришківський навчально-виховний комплекс "Загальноосвітня школа І ступеня - дитячий садок"</t>
  </si>
  <si>
    <t>48578</t>
  </si>
  <si>
    <t>6120881803</t>
  </si>
  <si>
    <t>Боришківці</t>
  </si>
  <si>
    <t>(096)9901228</t>
  </si>
  <si>
    <t>Окопівський навчально-виховний комплекс "Загальноосвітня школа І ступеня - дитячий садок"</t>
  </si>
  <si>
    <t>48767</t>
  </si>
  <si>
    <t>6120881804</t>
  </si>
  <si>
    <t>Окопи</t>
  </si>
  <si>
    <t>0677332352</t>
  </si>
  <si>
    <t>Трубчинська загальноосвітня школа І ступеня</t>
  </si>
  <si>
    <t>6120881805</t>
  </si>
  <si>
    <t>Трубчин</t>
  </si>
  <si>
    <t>вул. До Ріжків, 31</t>
  </si>
  <si>
    <t>(03541)44469</t>
  </si>
  <si>
    <t>Висічанський навчально-виховний комплекс загальноосвітня школа 1ступеня-дитячий садок</t>
  </si>
  <si>
    <t>48734</t>
  </si>
  <si>
    <t>6120881901</t>
  </si>
  <si>
    <t>Висічка</t>
  </si>
  <si>
    <t>Гермаківська загальноосвітня школа І-ІІІ ступенів</t>
  </si>
  <si>
    <t>48742</t>
  </si>
  <si>
    <t>6120882101</t>
  </si>
  <si>
    <t>Гермаківка</t>
  </si>
  <si>
    <t>вул. Митяшкіна, 24</t>
  </si>
  <si>
    <t>0968218160</t>
  </si>
  <si>
    <t>Глибочецька загальноосвітня школа І-ІІІ ступенів</t>
  </si>
  <si>
    <t>48731</t>
  </si>
  <si>
    <t>6120882401</t>
  </si>
  <si>
    <t>вул. Середина, 1</t>
  </si>
  <si>
    <t>(03541)37-138</t>
  </si>
  <si>
    <t>Горошівська загальноосвітня школа І- ІІІ ступенів</t>
  </si>
  <si>
    <t>48756</t>
  </si>
  <si>
    <t>6120882501</t>
  </si>
  <si>
    <t>Горошова</t>
  </si>
  <si>
    <t>(03541)43572</t>
  </si>
  <si>
    <t>Гуштинська загальноосвітня школа I-II ступенів</t>
  </si>
  <si>
    <t>48714</t>
  </si>
  <si>
    <t>6120882601</t>
  </si>
  <si>
    <t>Гуштин</t>
  </si>
  <si>
    <t>вул. Пісні, 28,а</t>
  </si>
  <si>
    <t>(03541)34286</t>
  </si>
  <si>
    <t>Дністровська загальноосвітня школа І-ІІ ступенів</t>
  </si>
  <si>
    <t>48757</t>
  </si>
  <si>
    <t>6120882801</t>
  </si>
  <si>
    <t>Дністрове</t>
  </si>
  <si>
    <t>(035)44-7-49</t>
  </si>
  <si>
    <t>http://dnistrove.ucoz.ua</t>
  </si>
  <si>
    <t>Заліська загальноосвітня школа І-ІІ ступенів</t>
  </si>
  <si>
    <t>48745</t>
  </si>
  <si>
    <t>6120882901</t>
  </si>
  <si>
    <t>вул. Центральна, 09</t>
  </si>
  <si>
    <t>44-3-25</t>
  </si>
  <si>
    <t>48723</t>
  </si>
  <si>
    <t>6120883001</t>
  </si>
  <si>
    <t>вул. центральна, 3</t>
  </si>
  <si>
    <t>55732</t>
  </si>
  <si>
    <t>Жилинська загальноосвітня школа І ступеня</t>
  </si>
  <si>
    <t>48713</t>
  </si>
  <si>
    <t>6120883101</t>
  </si>
  <si>
    <t>Жилинці</t>
  </si>
  <si>
    <t>Івано-Пустенська загальноосвітня школа І-ІІІ ступенів</t>
  </si>
  <si>
    <t>48748</t>
  </si>
  <si>
    <t>6120883201</t>
  </si>
  <si>
    <t>Іване-Пусте</t>
  </si>
  <si>
    <t>(03541)45663</t>
  </si>
  <si>
    <t>Збручанський навчально- виховний комплекс "Загальноосвітній навчальний заклад І ступеня -дошкільний навчальний заклад"</t>
  </si>
  <si>
    <t>6120883301</t>
  </si>
  <si>
    <t>Збручанське</t>
  </si>
  <si>
    <t>0976623775</t>
  </si>
  <si>
    <t>Дзвиняцька загальноосвітня школа І-ІІІ ступенів</t>
  </si>
  <si>
    <t>48755</t>
  </si>
  <si>
    <t>6120883601</t>
  </si>
  <si>
    <t>Дзвинячка</t>
  </si>
  <si>
    <t>вул. Колонія, 35</t>
  </si>
  <si>
    <t>(03541)47359</t>
  </si>
  <si>
    <t>http://dzvin.ucoz.com</t>
  </si>
  <si>
    <t>Королівська загальноосвітня школа І-ІІ ступенів</t>
  </si>
  <si>
    <t>48736</t>
  </si>
  <si>
    <t>6120883701</t>
  </si>
  <si>
    <t>(03541)34540</t>
  </si>
  <si>
    <t>Кривченська загальноосвітня школа І-ІІІ ступенів</t>
  </si>
  <si>
    <t>48741</t>
  </si>
  <si>
    <t>6120883901</t>
  </si>
  <si>
    <t>Кривче</t>
  </si>
  <si>
    <t>(03541)37615</t>
  </si>
  <si>
    <t>Кудринецька загальноосвітня школа І-ІІІ ступенів</t>
  </si>
  <si>
    <t>48750</t>
  </si>
  <si>
    <t>6120884201</t>
  </si>
  <si>
    <t>Кудринці</t>
  </si>
  <si>
    <t>(03541)46217</t>
  </si>
  <si>
    <t>Михайлівський навчально-виховний комплекс "Загальноосвітня школа І ступеня - дитячий садок Борщівського району Тернопільської області</t>
  </si>
  <si>
    <t>6120884202</t>
  </si>
  <si>
    <t>вул. Миру, 45А</t>
  </si>
  <si>
    <t>(03541)944523</t>
  </si>
  <si>
    <t>Ланівецька загальноосвітня школа I-II ступенів</t>
  </si>
  <si>
    <t>48716</t>
  </si>
  <si>
    <t>6120884501</t>
  </si>
  <si>
    <t>Ланівці</t>
  </si>
  <si>
    <t>вул. Ринок, 3</t>
  </si>
  <si>
    <t>(03541)56056</t>
  </si>
  <si>
    <t>Лосяцька загальносвітня школа І-ІІ ступенів Скала-Подільська селищна рада</t>
  </si>
  <si>
    <t>48710</t>
  </si>
  <si>
    <t>6120884701</t>
  </si>
  <si>
    <t>Лосяч</t>
  </si>
  <si>
    <t>(097)8037759, (067)3466795</t>
  </si>
  <si>
    <t>http://losiach-zoch.te.sch.in.ua</t>
  </si>
  <si>
    <t>Мушкатівська загальноосвітня школа І-ІІ ступенів</t>
  </si>
  <si>
    <t>6120884903</t>
  </si>
  <si>
    <t>Слобідка-Мушкатівська</t>
  </si>
  <si>
    <t>вул. Січових Стрільців, 3</t>
  </si>
  <si>
    <t>3-61-40</t>
  </si>
  <si>
    <t>Ниврянський навчально-виховний комплекс "загальноосвітній навчальний заклад І-ІІ ступенів - дошкільний навчальний заклад "Сонечко"</t>
  </si>
  <si>
    <t>6120885101</t>
  </si>
  <si>
    <t>Нивра</t>
  </si>
  <si>
    <t>(241)38615</t>
  </si>
  <si>
    <t>Озерянська загальноосвітня школа І-ІІІ ступенів</t>
  </si>
  <si>
    <t>48711</t>
  </si>
  <si>
    <t>6120885501</t>
  </si>
  <si>
    <t>(03541)31473, (03541)31166</t>
  </si>
  <si>
    <t>Констанційська загальноосвітня школа І ступеня</t>
  </si>
  <si>
    <t>6120885502</t>
  </si>
  <si>
    <t>Констанція</t>
  </si>
  <si>
    <t>31241</t>
  </si>
  <si>
    <t>48754</t>
  </si>
  <si>
    <t>6120885701</t>
  </si>
  <si>
    <t>(035)44-1-36</t>
  </si>
  <si>
    <t>Панівецька загальноосвітня школа І-ІІ ступенів</t>
  </si>
  <si>
    <t>48753</t>
  </si>
  <si>
    <t>6120885901</t>
  </si>
  <si>
    <t>Панівці</t>
  </si>
  <si>
    <t>Пилатківська загальноосвітня школа І-ІІ ступенів</t>
  </si>
  <si>
    <t>6120886101</t>
  </si>
  <si>
    <t>Пилатківці</t>
  </si>
  <si>
    <t>вул. Залужна, 6</t>
  </si>
  <si>
    <t>(03541)4-84-48</t>
  </si>
  <si>
    <t>Пилипченська загальноосвітня школа І-ІІ ступенів</t>
  </si>
  <si>
    <t>48746</t>
  </si>
  <si>
    <t>6120886401</t>
  </si>
  <si>
    <t>вул. Вулиця Центральна, 256</t>
  </si>
  <si>
    <t>(03541)44682</t>
  </si>
  <si>
    <t>Пищатинський навчально - виховний комплекс загальноосвітня школа І ст. - дитячий садок" Борщівського району , Тернопільської області</t>
  </si>
  <si>
    <t>04873</t>
  </si>
  <si>
    <t>6120886603</t>
  </si>
  <si>
    <t>Пищатинці</t>
  </si>
  <si>
    <t>ал. Шевченка, 5</t>
  </si>
  <si>
    <t>0973002735</t>
  </si>
  <si>
    <t>Циганська загальноосвітня школа І-ІІІ ступенів імені Івана Франка</t>
  </si>
  <si>
    <t>48712</t>
  </si>
  <si>
    <t>6120886801</t>
  </si>
  <si>
    <t>Цигани</t>
  </si>
  <si>
    <t>вул. Крегулець, 1</t>
  </si>
  <si>
    <t>(03541)36440</t>
  </si>
  <si>
    <t>http://tsyganska-zoch.te.sch.in.ua</t>
  </si>
  <si>
    <t>Сапогівська загальноосвітня школа І-ІІ ступенів</t>
  </si>
  <si>
    <t>48769</t>
  </si>
  <si>
    <t>6120887101</t>
  </si>
  <si>
    <t>вул. Прибережна, 42А</t>
  </si>
  <si>
    <t>(03541)32247</t>
  </si>
  <si>
    <t>Сков'ятинська загальноосвітня школа І-ІІ ступенів</t>
  </si>
  <si>
    <t>48737</t>
  </si>
  <si>
    <t>6120887401</t>
  </si>
  <si>
    <t>Сков'ятин</t>
  </si>
  <si>
    <t>вул. Центральна, №63</t>
  </si>
  <si>
    <t>(03541)35794</t>
  </si>
  <si>
    <t>Стрілковецький навчально-виховний комплекс "Загальноосвітній навчальний заклад І -ІІІ ступенів - Дошкільний навчальний заклад"</t>
  </si>
  <si>
    <t>6120887701</t>
  </si>
  <si>
    <t>Стрілківці</t>
  </si>
  <si>
    <t>вул. Кут, 13</t>
  </si>
  <si>
    <t>(03541)38190</t>
  </si>
  <si>
    <t>Філія опорного закладу Скала-Подільського навчально-виховного комплексу "загальноосвітній навчальний заклад І-ІІІ ступенів- дошкільний навчальний заклад" Турильченський навчально-виховний комплекс "загальноосвітній навчальний заклад І-ІІ ступенів - дошкільний навчальний заклад"</t>
  </si>
  <si>
    <t>48726</t>
  </si>
  <si>
    <t>6120888101</t>
  </si>
  <si>
    <t>Турильче</t>
  </si>
  <si>
    <t>(03541)34425</t>
  </si>
  <si>
    <t>Латковецький загальноосвітній навчальний заклад I-II ступенів</t>
  </si>
  <si>
    <t>6120888304</t>
  </si>
  <si>
    <t>Латківці</t>
  </si>
  <si>
    <t>вул. Верхня, 29</t>
  </si>
  <si>
    <t>0683349396</t>
  </si>
  <si>
    <t>http://dzvenugorod2015.ucoz.com</t>
  </si>
  <si>
    <t>Устянська загальноосвітня школа І - ІІ ступенів</t>
  </si>
  <si>
    <t>48747</t>
  </si>
  <si>
    <t>6120888501</t>
  </si>
  <si>
    <t>вул. Хриплів, 88</t>
  </si>
  <si>
    <t>((03541))94-85-21</t>
  </si>
  <si>
    <t>Худиківська загальноосвітня школа І-ІІ ступенів</t>
  </si>
  <si>
    <t>48771</t>
  </si>
  <si>
    <t>6120888601</t>
  </si>
  <si>
    <t>Худиківці</t>
  </si>
  <si>
    <t>(03541)41011, (097)0568097</t>
  </si>
  <si>
    <t>Комунальна організація (установа, заклад) Шершенівський навчально-виховний комплекс "Загальноосвітній навчальний заклад І-ІІ ступенів - дошкільний навчальний заклад"</t>
  </si>
  <si>
    <t>48730</t>
  </si>
  <si>
    <t>6120888701</t>
  </si>
  <si>
    <t>Шершенівка</t>
  </si>
  <si>
    <t>вул. Толока, 12</t>
  </si>
  <si>
    <t>(03541)355540</t>
  </si>
  <si>
    <t>http://shershenivka.edukit.te.ua/</t>
  </si>
  <si>
    <t>Шупарська загальноосвітня школа І-ІІ ступенів</t>
  </si>
  <si>
    <t>48743</t>
  </si>
  <si>
    <t>6120888801</t>
  </si>
  <si>
    <t>Шупарка</t>
  </si>
  <si>
    <t>вул. Лісничівка, 24</t>
  </si>
  <si>
    <t>34745, 0674943891</t>
  </si>
  <si>
    <t>Бучацька гімназія імені В. М. Гнатюка</t>
  </si>
  <si>
    <t>48400</t>
  </si>
  <si>
    <t>6121210100</t>
  </si>
  <si>
    <t>Бучач</t>
  </si>
  <si>
    <t>2-15-06</t>
  </si>
  <si>
    <t>http://buchach-gymnasium.edukit.te.ua/</t>
  </si>
  <si>
    <t>Бучацька загальноосвітня школа І ст. № 2</t>
  </si>
  <si>
    <t>вул. Підгаєцька, 72</t>
  </si>
  <si>
    <t>(03544)21703</t>
  </si>
  <si>
    <t>Бучацька загальноосвітня школа І степеня № 1</t>
  </si>
  <si>
    <t>(03544)21685</t>
  </si>
  <si>
    <t>Бучацька загальноосвітня школа І-ІІ ступенів</t>
  </si>
  <si>
    <t>вул. П.Тичини, 13</t>
  </si>
  <si>
    <t>(03544)26142</t>
  </si>
  <si>
    <t>Бучацька загальноосвітня школа І-ІІІ ступенів № 1, Бучацької районної ради, Тернопільської області</t>
  </si>
  <si>
    <t>(03544)2-22-35</t>
  </si>
  <si>
    <t>http://buchach-zosh1.te.sch.in.ua</t>
  </si>
  <si>
    <t>Бучацька загальноосвітня школа І-ІІІ ступенів № 2 Бучацької міської ради Тернопільської області</t>
  </si>
  <si>
    <t>вул. Лисенка, 2</t>
  </si>
  <si>
    <t>(03544)2-10-02, (03544)2-17-43</t>
  </si>
  <si>
    <t>Бучацька загальноосвітня школа І-ІІІ ступенів № 3</t>
  </si>
  <si>
    <t>вул. Дорошенка, 4А</t>
  </si>
  <si>
    <t>(03544)2-45-43</t>
  </si>
  <si>
    <t>Бучацький колегіум імені Святого Йосафата</t>
  </si>
  <si>
    <t>вул. Міцкевича, 19</t>
  </si>
  <si>
    <t>(03544)21549</t>
  </si>
  <si>
    <t>Бучацький ліцей</t>
  </si>
  <si>
    <t>48403</t>
  </si>
  <si>
    <t>(03544)21826</t>
  </si>
  <si>
    <t>http://buchachlyceum.org.ua</t>
  </si>
  <si>
    <t>Золотопотіцька загальноосвітня школа І-ІІІ ступенів</t>
  </si>
  <si>
    <t>48451</t>
  </si>
  <si>
    <t>6121255500</t>
  </si>
  <si>
    <t>Золотий Потік</t>
  </si>
  <si>
    <t>(03544)31340</t>
  </si>
  <si>
    <t>Рублинська загальноосвітня школа І ступеня</t>
  </si>
  <si>
    <t>48455</t>
  </si>
  <si>
    <t>6121255503</t>
  </si>
  <si>
    <t>Рублин</t>
  </si>
  <si>
    <t>(03544)31680</t>
  </si>
  <si>
    <t>Бариська загальноосвітня школа І-ІІІ</t>
  </si>
  <si>
    <t>48424</t>
  </si>
  <si>
    <t>6121280401</t>
  </si>
  <si>
    <t>Бариш</t>
  </si>
  <si>
    <t>(03544)45530</t>
  </si>
  <si>
    <t>Берем'янська загальноосвітня школа І-ІІ ступенів</t>
  </si>
  <si>
    <t>48464</t>
  </si>
  <si>
    <t>6121280801</t>
  </si>
  <si>
    <t>Берем'яни</t>
  </si>
  <si>
    <t>(03544)42730</t>
  </si>
  <si>
    <t>Бобулинська загальноосвітня школа І-ІІ ступенів</t>
  </si>
  <si>
    <t>48412</t>
  </si>
  <si>
    <t>6121280901</t>
  </si>
  <si>
    <t>Бобулинці</t>
  </si>
  <si>
    <t>Заривинецька загальноосвітня школа І-ІІ ступенів</t>
  </si>
  <si>
    <t>48475</t>
  </si>
  <si>
    <t>6121281001</t>
  </si>
  <si>
    <t>Заривинці</t>
  </si>
  <si>
    <t>вул. Долішня</t>
  </si>
  <si>
    <t>(03544)42330</t>
  </si>
  <si>
    <t>Рукомиська загальноосвітня школа І ступеня</t>
  </si>
  <si>
    <t>48420</t>
  </si>
  <si>
    <t>6121281006</t>
  </si>
  <si>
    <t>Рукомиш</t>
  </si>
  <si>
    <t>Жизномирська загальноосвітня школа І-ІІІ ступенів</t>
  </si>
  <si>
    <t>48432</t>
  </si>
  <si>
    <t>6121281101</t>
  </si>
  <si>
    <t>Жизномир</t>
  </si>
  <si>
    <t>вул. Т. Шевченка, 136</t>
  </si>
  <si>
    <t>(035-44)46344</t>
  </si>
  <si>
    <t>http://zyzzosh.at.ua</t>
  </si>
  <si>
    <t>Осівецька загальноосвітня школа І-ІІІ ступенів Бучацького району Тернопільської області</t>
  </si>
  <si>
    <t>6121281201</t>
  </si>
  <si>
    <t>(03544)47180</t>
  </si>
  <si>
    <t>Зеленська загальноосвітня школа I-II ступенів</t>
  </si>
  <si>
    <t>48476</t>
  </si>
  <si>
    <t>6121281301</t>
  </si>
  <si>
    <t>вул. Середня, 5</t>
  </si>
  <si>
    <t>(03544)48530</t>
  </si>
  <si>
    <t>http://zelenska-zosh.webnode.com.ua</t>
  </si>
  <si>
    <t>Возилівська загальноосвітня школа І-ІІІ ступенів</t>
  </si>
  <si>
    <t>48456</t>
  </si>
  <si>
    <t>6121281401</t>
  </si>
  <si>
    <t>Возилів</t>
  </si>
  <si>
    <t>(03544)3-23-90</t>
  </si>
  <si>
    <t>Добропільська загальноосвітня школа І-ІІ ступенів</t>
  </si>
  <si>
    <t>48410</t>
  </si>
  <si>
    <t>6121281601</t>
  </si>
  <si>
    <t>Доброполе</t>
  </si>
  <si>
    <t>(03544)42530</t>
  </si>
  <si>
    <t>Трибухівська загальноосвітня школа І-ІІІ ст. Трибухівської сільської ради Бучацького району Тернопільської області</t>
  </si>
  <si>
    <t>48431</t>
  </si>
  <si>
    <t>6121282001</t>
  </si>
  <si>
    <t>Трибухівці</t>
  </si>
  <si>
    <t>(03544)2-93-47</t>
  </si>
  <si>
    <t>http://trybuhivtsi-buch.edukit.te.ua/</t>
  </si>
  <si>
    <t>Дулібська загальноосвітня школа І-ІІ ступенів</t>
  </si>
  <si>
    <t>48473</t>
  </si>
  <si>
    <t>6121282201</t>
  </si>
  <si>
    <t>(03544)4-51-30</t>
  </si>
  <si>
    <t>Зубрецька загальноосвітня школа І - ІІІ ступенів</t>
  </si>
  <si>
    <t>48441</t>
  </si>
  <si>
    <t>6121282801</t>
  </si>
  <si>
    <t>Зубрець</t>
  </si>
  <si>
    <t>(03544)43280</t>
  </si>
  <si>
    <t>Киданівська загальноосвітня школа І ступеня</t>
  </si>
  <si>
    <t>6121282901</t>
  </si>
  <si>
    <t>Киданів</t>
  </si>
  <si>
    <t>вул. центральна, 28</t>
  </si>
  <si>
    <t>(050)2333441</t>
  </si>
  <si>
    <t>Космиринська загальноосвітня школа І-ІІ ступенів</t>
  </si>
  <si>
    <t>48454</t>
  </si>
  <si>
    <t>6121283001</t>
  </si>
  <si>
    <t>Космирин</t>
  </si>
  <si>
    <t>035-44-3-51-28</t>
  </si>
  <si>
    <t>Набережнянська загальноосвітня школа І ступеня</t>
  </si>
  <si>
    <t>6121283003</t>
  </si>
  <si>
    <t>(03544)3-51-30</t>
  </si>
  <si>
    <t>Костільницька загальноосвітня школа І - ІІ ступенів</t>
  </si>
  <si>
    <t>48463</t>
  </si>
  <si>
    <t>6121283101</t>
  </si>
  <si>
    <t>Костільники</t>
  </si>
  <si>
    <t>(03544)34330</t>
  </si>
  <si>
    <t>Ліщанецька загальноосвітня школа І - ІІ ступенів</t>
  </si>
  <si>
    <t>48442</t>
  </si>
  <si>
    <t>6121283201</t>
  </si>
  <si>
    <t>Ліщанці</t>
  </si>
  <si>
    <t>4-01-30</t>
  </si>
  <si>
    <t>Медведівська загальноосвітня школа І-ІІ ступеня</t>
  </si>
  <si>
    <t>48477</t>
  </si>
  <si>
    <t>6121283401</t>
  </si>
  <si>
    <t>(03544)43135</t>
  </si>
  <si>
    <t>Миколаївська загальноосвітня школа І-ІІступенів</t>
  </si>
  <si>
    <t>48465</t>
  </si>
  <si>
    <t>6121283801</t>
  </si>
  <si>
    <t>(03544)34130</t>
  </si>
  <si>
    <t>Губинська загальноосвітня школа І ступеня</t>
  </si>
  <si>
    <t>6121283803</t>
  </si>
  <si>
    <t>вул. Головна, 37</t>
  </si>
  <si>
    <t>(097)8345651</t>
  </si>
  <si>
    <t>Сокілецька загальноосвітня школа І ступеня</t>
  </si>
  <si>
    <t>6121283805</t>
  </si>
  <si>
    <t>вул. Горішня, 33</t>
  </si>
  <si>
    <t>(03544)31662</t>
  </si>
  <si>
    <t>Новопетликівська загальноосвітня школа І - ІІступенів</t>
  </si>
  <si>
    <t>48411</t>
  </si>
  <si>
    <t>6121284001</t>
  </si>
  <si>
    <t>Нові Петликівці</t>
  </si>
  <si>
    <t>4-11-30</t>
  </si>
  <si>
    <t>48422</t>
  </si>
  <si>
    <t>6121284201</t>
  </si>
  <si>
    <t>(03544)44130</t>
  </si>
  <si>
    <t>Верб'ятинська загальноосвітня школа І ступеня</t>
  </si>
  <si>
    <t>6121284202</t>
  </si>
  <si>
    <t>Верб'ятин</t>
  </si>
  <si>
    <t>(098)82672570</t>
  </si>
  <si>
    <t>Переволоцька загальноосвітня школа І-ІІІ ступенів</t>
  </si>
  <si>
    <t>6121284601</t>
  </si>
  <si>
    <t>Переволока</t>
  </si>
  <si>
    <t>(03544)41730</t>
  </si>
  <si>
    <t>Пилявська загальноосвітня школа І-ІІІ ступенів Бучацького району Тернопільської області</t>
  </si>
  <si>
    <t>48414</t>
  </si>
  <si>
    <t>6121285001</t>
  </si>
  <si>
    <t>(035)4442230</t>
  </si>
  <si>
    <t>http://pyliava.edukit.te.ua/</t>
  </si>
  <si>
    <t>Мартинівська загальноосвітня школа І ступеня Бучацького району Тернопільської області</t>
  </si>
  <si>
    <t>6121285002</t>
  </si>
  <si>
    <t>вул. Войтихівка, 59</t>
  </si>
  <si>
    <t>0354421176</t>
  </si>
  <si>
    <t>Новоставська загальноосвітня школа І-ІІ ступеня с.Новоставці Бучацького району Тернопільської області</t>
  </si>
  <si>
    <t>48478</t>
  </si>
  <si>
    <t>6121285004</t>
  </si>
  <si>
    <t>Новоставці</t>
  </si>
  <si>
    <t>380680266239, 380354443504</t>
  </si>
  <si>
    <t>Підзамочківська загальноосвітня школа І-ІІ ступенів</t>
  </si>
  <si>
    <t>48423</t>
  </si>
  <si>
    <t>6121285401</t>
  </si>
  <si>
    <t>Підзамочок</t>
  </si>
  <si>
    <t>вул. Тернопільська, 132</t>
  </si>
  <si>
    <t>(03544)24932</t>
  </si>
  <si>
    <t>Звенигородська загальноосвітня школа І-ІІ ступенів</t>
  </si>
  <si>
    <t>48421</t>
  </si>
  <si>
    <t>6121285403</t>
  </si>
  <si>
    <t>(03544)47554</t>
  </si>
  <si>
    <t>http://zvenygorod-school.edukit.te.ua/</t>
  </si>
  <si>
    <t>Порохівська загальноосвітня школа І-ІІІ ступенів Бучацького району Тернопільської області</t>
  </si>
  <si>
    <t>48443</t>
  </si>
  <si>
    <t>6121285501</t>
  </si>
  <si>
    <t>Порохова</t>
  </si>
  <si>
    <t>(03544)43454</t>
  </si>
  <si>
    <t>Передмістянська загальноосвітня школа І ступеня</t>
  </si>
  <si>
    <t>48467</t>
  </si>
  <si>
    <t>6121285601</t>
  </si>
  <si>
    <t>Передмістя</t>
  </si>
  <si>
    <t>(03544)21176</t>
  </si>
  <si>
    <t>Малозаліщицька загальноосвітня школі І ступеня</t>
  </si>
  <si>
    <t>6121285603</t>
  </si>
  <si>
    <t>Заліщики</t>
  </si>
  <si>
    <t>Пишківська загальноосвітня школа І-ІІ ступенів</t>
  </si>
  <si>
    <t>48430</t>
  </si>
  <si>
    <t>6121285701</t>
  </si>
  <si>
    <t>Пишківці</t>
  </si>
  <si>
    <t>(03544)4-46-17</t>
  </si>
  <si>
    <t>http://Pyshkivtsi-school.edukit.te.ua</t>
  </si>
  <si>
    <t>Ріпинецька загальноосвітня школа І-ІІ ступенів</t>
  </si>
  <si>
    <t>48433</t>
  </si>
  <si>
    <t>6121285801</t>
  </si>
  <si>
    <t>Ріпинці</t>
  </si>
  <si>
    <t>(03544)4-37-30</t>
  </si>
  <si>
    <t>Русилівська загальноосвітня школа І ступеня</t>
  </si>
  <si>
    <t>48444</t>
  </si>
  <si>
    <t>6121285901</t>
  </si>
  <si>
    <t>Русилів</t>
  </si>
  <si>
    <t>0979984965</t>
  </si>
  <si>
    <t>Скомороська загальноосвітня школа І-ІІ ступенів</t>
  </si>
  <si>
    <t>48462</t>
  </si>
  <si>
    <t>6121286001</t>
  </si>
  <si>
    <t>(03544)33130</t>
  </si>
  <si>
    <t>Сновидівська загальноосвітня школа І-ІІІ ступенів</t>
  </si>
  <si>
    <t>6121286201</t>
  </si>
  <si>
    <t>Сновидів</t>
  </si>
  <si>
    <t>(035-44)3-33-80</t>
  </si>
  <si>
    <t>Соколівська загальноосвітня школа І-ІІІ ступенів</t>
  </si>
  <si>
    <t>6121286601</t>
  </si>
  <si>
    <t>(035-44)3-45-30</t>
  </si>
  <si>
    <t>Сороцька загальноосвітня школа І - ІІ ступенів,с Сороки Бучацького району , Тернопільської області</t>
  </si>
  <si>
    <t>48440</t>
  </si>
  <si>
    <t>6121287001</t>
  </si>
  <si>
    <t>(03542)48330</t>
  </si>
  <si>
    <t>Старопетликівська загальносвітня школа І-ІІ ступенів Старопетликівської сільської ради Бучацького району Тернопільської області</t>
  </si>
  <si>
    <t>48413</t>
  </si>
  <si>
    <t>6121287401</t>
  </si>
  <si>
    <t>Старі Петликівці</t>
  </si>
  <si>
    <t>(03544)48130</t>
  </si>
  <si>
    <t>Білявинська ЗОШ І ступеня</t>
  </si>
  <si>
    <t>48471</t>
  </si>
  <si>
    <t>6121287402</t>
  </si>
  <si>
    <t>Білявинці</t>
  </si>
  <si>
    <t>0502825898</t>
  </si>
  <si>
    <t>Стінківська загальноосвітня школа І-ІІІ ступенів</t>
  </si>
  <si>
    <t>48450</t>
  </si>
  <si>
    <t>6121287801</t>
  </si>
  <si>
    <t>Стінка</t>
  </si>
  <si>
    <t>вул. Широка, 26</t>
  </si>
  <si>
    <t>(03544)3-35-30</t>
  </si>
  <si>
    <t>Млинківська ЗОШ І ступеня</t>
  </si>
  <si>
    <t>6121287803</t>
  </si>
  <si>
    <t>Млинки</t>
  </si>
  <si>
    <t>Цвітівська ЗОШ 1 ступеня Цвітівської сільської ради Бучацького району Тернопільської області</t>
  </si>
  <si>
    <t>48480</t>
  </si>
  <si>
    <t>6121288001</t>
  </si>
  <si>
    <t>Цвітова</t>
  </si>
  <si>
    <t>0985866192</t>
  </si>
  <si>
    <t>Язловецька загальноосвітня школа І-ІІІ ступеня</t>
  </si>
  <si>
    <t>6121288401</t>
  </si>
  <si>
    <t>Язловець</t>
  </si>
  <si>
    <t>(03544)4-13-30</t>
  </si>
  <si>
    <t>Новосільська загальноосвітня школа І ступеня</t>
  </si>
  <si>
    <t>48461</t>
  </si>
  <si>
    <t>6121288404</t>
  </si>
  <si>
    <t>(03544)41330</t>
  </si>
  <si>
    <t>Жниборідська загальноосвітня школа І-ІІ ступенів</t>
  </si>
  <si>
    <t>48474</t>
  </si>
  <si>
    <t>6121288601</t>
  </si>
  <si>
    <t>Жнибороди</t>
  </si>
  <si>
    <t>вул. Ковалівка, 6</t>
  </si>
  <si>
    <t>(03544)45145</t>
  </si>
  <si>
    <t>Загальноосвітня школа І-ІІІ ступенів № 2 м. Копичинці</t>
  </si>
  <si>
    <t>48260</t>
  </si>
  <si>
    <t>6121610400</t>
  </si>
  <si>
    <t>Копичинці</t>
  </si>
  <si>
    <t>(03557)41360, (03557)41548</t>
  </si>
  <si>
    <t>http://almamater2.at.ua</t>
  </si>
  <si>
    <t>Навчально-виховний комплекс "Загальноосвітня школа І-ІІІ ступенів № 1-гімназія" м.Копичинці Гусятинського району Тернопільської області</t>
  </si>
  <si>
    <t>(03557)41271, (03557)41539</t>
  </si>
  <si>
    <t>http://www.school1.kopychyntsi.com</t>
  </si>
  <si>
    <t>Навчально-виховний комплекс "загальноосвітня школа І-ІІІ ступенів № 2-дошкільний навчальний заклад" м. Хоростків Хоростківської міської ради Гусятинського району Тернопільської області</t>
  </si>
  <si>
    <t>48240</t>
  </si>
  <si>
    <t>6121611000</t>
  </si>
  <si>
    <t>Хоростків</t>
  </si>
  <si>
    <t>вул. Незалежності, 17</t>
  </si>
  <si>
    <t>(03557)51396, (03557)51410</t>
  </si>
  <si>
    <t>Навчально-виховний комплекс "Загальноосвітня школа І-ІІІ ступенів № 1-гімназія" міста Хоростків</t>
  </si>
  <si>
    <t>48244</t>
  </si>
  <si>
    <t>вул. Івасюка, 3</t>
  </si>
  <si>
    <t>(03557)53244</t>
  </si>
  <si>
    <t>http://khorostkiv-gymnasium.edukit.te.ua/</t>
  </si>
  <si>
    <t>Навчально-виховний комплекс"Загальноосвітня школа I ступеня-дошкільний навчальний заклад"с.Карашинці</t>
  </si>
  <si>
    <t>6121611001</t>
  </si>
  <si>
    <t>Карашинці</t>
  </si>
  <si>
    <t>вул. Міцкевича, 1</t>
  </si>
  <si>
    <t>(03557)55315</t>
  </si>
  <si>
    <t>Загальноосвітня вечірня (змінна) школа ІІ-ІІІ ступеня смт. Гусятин Гусятинського району Тернопільської області</t>
  </si>
  <si>
    <t>48201</t>
  </si>
  <si>
    <t>6121655100</t>
  </si>
  <si>
    <t>Гусятин</t>
  </si>
  <si>
    <t>просп. Незалежності, 14</t>
  </si>
  <si>
    <t>Загальноосвітня школа І-ІІІ ступенів смт Гусятин Гусятинський район Тернопільська область</t>
  </si>
  <si>
    <t>(03557)21412, (03667)21853</t>
  </si>
  <si>
    <t>http://gusiatyn-school.edukit.te.ua</t>
  </si>
  <si>
    <t>Гримайлівська санаторна загальноосвітня школа-інтернат І-ІІІ ступенів Тернопільської обласної ради</t>
  </si>
  <si>
    <t>48210</t>
  </si>
  <si>
    <t>6121655400</t>
  </si>
  <si>
    <t>Гримайлів</t>
  </si>
  <si>
    <t>вул. П. Орлика, 20</t>
  </si>
  <si>
    <t>(03557)31327</t>
  </si>
  <si>
    <t>04590926</t>
  </si>
  <si>
    <t>Загальгоосвітня школа І-ІІІ ступенів ім. Пулюя смт. Гримайлів</t>
  </si>
  <si>
    <t>вул. Орлика, 20</t>
  </si>
  <si>
    <t>(03557)31262</t>
  </si>
  <si>
    <t>http://grymailiv-zosh.te.sch.in.ua</t>
  </si>
  <si>
    <t>Навчально-виховний комплекс "Загальноосвітня школа І ступеня-дошкільний навчальний заклад" с. Оленівка</t>
  </si>
  <si>
    <t>48200</t>
  </si>
  <si>
    <t>6121655402</t>
  </si>
  <si>
    <t>(03557)34310</t>
  </si>
  <si>
    <t>Спеціалізована школа І-ІІІ ступенів з поглибленим вивченням інформаційних технологій та технологічних дисциплін с. Васильківці</t>
  </si>
  <si>
    <t>48257</t>
  </si>
  <si>
    <t>6121680401</t>
  </si>
  <si>
    <t>Васильківці</t>
  </si>
  <si>
    <t>вул. Незалежності, 61</t>
  </si>
  <si>
    <t>(03557)6-31-36</t>
  </si>
  <si>
    <t>Загальноосвітня школа І-ІІ ступенів с. Глібів</t>
  </si>
  <si>
    <t>48216</t>
  </si>
  <si>
    <t>6121680701</t>
  </si>
  <si>
    <t>Глібів</t>
  </si>
  <si>
    <t>вул. Костьолок, 88</t>
  </si>
  <si>
    <t>(03557)35181</t>
  </si>
  <si>
    <t>Загальноосвітня школа І-ІІІ ступенів села Городниця Гусятинського району Тернопільської області</t>
  </si>
  <si>
    <t>48237</t>
  </si>
  <si>
    <t>6121681001</t>
  </si>
  <si>
    <t>вул. Центральна, 265 -А</t>
  </si>
  <si>
    <t>(03557)64337</t>
  </si>
  <si>
    <t>НВК "Загальноосвітня школа І-ІІ ступенів-дошкільний навчальний заклад" імені Володі Труха с. Жабинці</t>
  </si>
  <si>
    <t>48271</t>
  </si>
  <si>
    <t>6121681101</t>
  </si>
  <si>
    <t>Жабинці</t>
  </si>
  <si>
    <t>(03557)49855</t>
  </si>
  <si>
    <t>http://shabinzi93.klasna.com/</t>
  </si>
  <si>
    <t>Загальноосвітня школа І-ІІ ступенів села Зелене Гусятинського району Тернопільської області</t>
  </si>
  <si>
    <t>48230</t>
  </si>
  <si>
    <t>6121681401</t>
  </si>
  <si>
    <t>(38-03557)3-36-35</t>
  </si>
  <si>
    <t>Навчально-виховний комплекс " Загальноосвітня школа І-ІІ ступенів - дошкільний навчальний заклад" с. Калагарівка Гусятинський район Тернопільська область</t>
  </si>
  <si>
    <t>48233</t>
  </si>
  <si>
    <t>6121681801</t>
  </si>
  <si>
    <t>Калагарівка</t>
  </si>
  <si>
    <t>вул. Сатанівська, 88</t>
  </si>
  <si>
    <t>(03557)34119</t>
  </si>
  <si>
    <t>Загальноосвітня школа І-ІІІ ступенів с.Клювинці</t>
  </si>
  <si>
    <t>48246</t>
  </si>
  <si>
    <t>6121682101</t>
  </si>
  <si>
    <t>Клювинці</t>
  </si>
  <si>
    <t>(03557)54149</t>
  </si>
  <si>
    <t>Загальноосвітня школа І-ІІІ ступенів села Гадинківці</t>
  </si>
  <si>
    <t>48273</t>
  </si>
  <si>
    <t>6121682401</t>
  </si>
  <si>
    <t>Гадинківці</t>
  </si>
  <si>
    <t>(03557)44381</t>
  </si>
  <si>
    <t>Загальноосвітня школа І-ІІ ступенів с.Котівка Гусятинського району Тернопільської області</t>
  </si>
  <si>
    <t>48270</t>
  </si>
  <si>
    <t>6121682701</t>
  </si>
  <si>
    <t>(03557)49-5-40</t>
  </si>
  <si>
    <t>Загальноосвітня школа І ступеня с. Емелівка Гусятинський район Тернопільська область</t>
  </si>
  <si>
    <t>6121682702</t>
  </si>
  <si>
    <t>Ємелівка</t>
  </si>
  <si>
    <t>Загальноосвітня школа І-ІІІ ступенів с.Коцюбинці Гусятинського району, Тернопільської області</t>
  </si>
  <si>
    <t>6121683001</t>
  </si>
  <si>
    <t>Коцюбинці</t>
  </si>
  <si>
    <t>вул. Зелений Кут</t>
  </si>
  <si>
    <t>(096)3034144, (03557)49056</t>
  </si>
  <si>
    <t>Загальноосвітня школа І-ІІІ ступенів села Красне</t>
  </si>
  <si>
    <t>48231</t>
  </si>
  <si>
    <t>6121683301</t>
  </si>
  <si>
    <t>(03557)3-33-42</t>
  </si>
  <si>
    <t>Загальноосвітня школа І-ІІ ступенів села Крогулець</t>
  </si>
  <si>
    <t>48256</t>
  </si>
  <si>
    <t>6121683601</t>
  </si>
  <si>
    <t>Крогулець</t>
  </si>
  <si>
    <t>(03557)43433</t>
  </si>
  <si>
    <t>Загальноосвітня школа І-ІІІ ступенів села Личківці Гусятинського району Тернопільської області</t>
  </si>
  <si>
    <t>48253</t>
  </si>
  <si>
    <t>6121683901</t>
  </si>
  <si>
    <t>Личківці</t>
  </si>
  <si>
    <t>(03557)64637</t>
  </si>
  <si>
    <t>Загальноосвітня школа І ступеня с. Майдан</t>
  </si>
  <si>
    <t>48266</t>
  </si>
  <si>
    <t>6121684001</t>
  </si>
  <si>
    <t>(03557)43760</t>
  </si>
  <si>
    <t>Навчально-виховний комплекс "Загальноосвітня школа І ступеня - дошкільний навчальний заклад " с. Малі Бірки</t>
  </si>
  <si>
    <t>48234</t>
  </si>
  <si>
    <t>6121684201</t>
  </si>
  <si>
    <t>Малі Бірки</t>
  </si>
  <si>
    <t>(03557)65745</t>
  </si>
  <si>
    <t>Навчально-виховний комплекс "Загальноосвітня школа І-ІІІ ступенів - дошкільний навчальний заклад "с. Мала Лука Гусятинського району Тернопільської області</t>
  </si>
  <si>
    <t>48215</t>
  </si>
  <si>
    <t>6121684501</t>
  </si>
  <si>
    <t>Мала Лука</t>
  </si>
  <si>
    <t>вул. Левицького</t>
  </si>
  <si>
    <t>(3557)35545</t>
  </si>
  <si>
    <t>Загальноосвітня школа І ступеня с. Монастириха</t>
  </si>
  <si>
    <t>6121684503</t>
  </si>
  <si>
    <t>Монастириха</t>
  </si>
  <si>
    <t>(096)3443723</t>
  </si>
  <si>
    <t>Загальноосвітня школа І-ІІІ ступенів с. Нижбірок</t>
  </si>
  <si>
    <t>48255</t>
  </si>
  <si>
    <t>6121684801</t>
  </si>
  <si>
    <t>Нижбірок</t>
  </si>
  <si>
    <t>(03557)46281</t>
  </si>
  <si>
    <t>Загальноосвітня школа І-ІІ ступенів с. Вікно</t>
  </si>
  <si>
    <t>48217</t>
  </si>
  <si>
    <t>6121685101</t>
  </si>
  <si>
    <t>вул. Побутова</t>
  </si>
  <si>
    <t>(03557)35421</t>
  </si>
  <si>
    <t>Загальноосвітня школа I-II ступенів села Вільхівчик</t>
  </si>
  <si>
    <t>48254</t>
  </si>
  <si>
    <t>6121685201</t>
  </si>
  <si>
    <t>(03557)65212</t>
  </si>
  <si>
    <t>http://vilhivchyk.ucoz.ru/news</t>
  </si>
  <si>
    <t>Загальноосвітня школа І-ІІ ступенів села Оришківці</t>
  </si>
  <si>
    <t>48272</t>
  </si>
  <si>
    <t>6121685401</t>
  </si>
  <si>
    <t>Оришківці</t>
  </si>
  <si>
    <t>(03557)48514</t>
  </si>
  <si>
    <t>Загальноосвітня школа І-ІІ ступенів села Перемилів</t>
  </si>
  <si>
    <t>48245</t>
  </si>
  <si>
    <t>6121685701</t>
  </si>
  <si>
    <t>Перемилів</t>
  </si>
  <si>
    <t>(03557)55331</t>
  </si>
  <si>
    <t>Загальноосвітня школа І ступеня села Пізнанка Гусятинського району Тернопільської області</t>
  </si>
  <si>
    <t>6121685801</t>
  </si>
  <si>
    <t>Пізнанка</t>
  </si>
  <si>
    <t>вул. Нижня, 16</t>
  </si>
  <si>
    <t>(03557)35733</t>
  </si>
  <si>
    <t>Загальноосвітня школа І-ІІІ ступенів села Постолівка</t>
  </si>
  <si>
    <t>48236</t>
  </si>
  <si>
    <t>6121686001</t>
  </si>
  <si>
    <t>Постолівка</t>
  </si>
  <si>
    <t>вул. Раків Кут, 12А</t>
  </si>
  <si>
    <t>(03557)63430</t>
  </si>
  <si>
    <t>http://postolivka.ucoz.ru</t>
  </si>
  <si>
    <t>Загальноосвітня школа І-ІІІ ступенів с. Раштівці</t>
  </si>
  <si>
    <t>48235</t>
  </si>
  <si>
    <t>6121686301</t>
  </si>
  <si>
    <t>Раштівці</t>
  </si>
  <si>
    <t>вул. Дубківці, 255</t>
  </si>
  <si>
    <t>(03557)6-47-83</t>
  </si>
  <si>
    <t>Загальноосвітня школа І ступеня села Саджівки</t>
  </si>
  <si>
    <t>6121686501</t>
  </si>
  <si>
    <t>Саджівка</t>
  </si>
  <si>
    <t>вул. Л.Українки, -8</t>
  </si>
  <si>
    <t>(03557)33283</t>
  </si>
  <si>
    <t>Загальноосвітня школа І-ІІ ступенів села Самолуски Гусятинського району Тернопільської області</t>
  </si>
  <si>
    <t>48251</t>
  </si>
  <si>
    <t>6121686701</t>
  </si>
  <si>
    <t>Самолусківці</t>
  </si>
  <si>
    <t>((03557))63617</t>
  </si>
  <si>
    <t>Загальноосвітня школа І-ІІ ступенів села Сидорів</t>
  </si>
  <si>
    <t>48208</t>
  </si>
  <si>
    <t>6121687001</t>
  </si>
  <si>
    <t>Сидорів</t>
  </si>
  <si>
    <t>(03557)64269</t>
  </si>
  <si>
    <t>http://sydoriv-zosh.te.sch.in.ua/</t>
  </si>
  <si>
    <t>Загальноосвітня школа І-ІІ ступенів с. Сорока Гусятинського району Тернопільської області</t>
  </si>
  <si>
    <t>48238</t>
  </si>
  <si>
    <t>6121687201</t>
  </si>
  <si>
    <t>Сорока</t>
  </si>
  <si>
    <t>(03557)55516</t>
  </si>
  <si>
    <t>http://soroka-school.edukit.te.ua</t>
  </si>
  <si>
    <t>Загальноосвітня школа І-ІІ ступенів с. Старий Нижбірок</t>
  </si>
  <si>
    <t>48252</t>
  </si>
  <si>
    <t>6121687301</t>
  </si>
  <si>
    <t>Старий Нижбірок</t>
  </si>
  <si>
    <t>(03557)46236</t>
  </si>
  <si>
    <t>Загальноосвітня школа І-ІІ ступенів село Суходіл</t>
  </si>
  <si>
    <t>48207</t>
  </si>
  <si>
    <t>6121687601</t>
  </si>
  <si>
    <t>вул. Центральна 3</t>
  </si>
  <si>
    <t>(03557)65330</t>
  </si>
  <si>
    <t>Загальноосвітня школа І ступеня с. Сухостав</t>
  </si>
  <si>
    <t>48265</t>
  </si>
  <si>
    <t>6121687701</t>
  </si>
  <si>
    <t>Сухостав</t>
  </si>
  <si>
    <t>(03557)47461</t>
  </si>
  <si>
    <t>Загальноосвітня школа І-ІІ ступенів села Товсте Гусятинського району Тернопільської області</t>
  </si>
  <si>
    <t>48232</t>
  </si>
  <si>
    <t>6121688001</t>
  </si>
  <si>
    <t>(03557)34657</t>
  </si>
  <si>
    <t>Загальноосвітня школа І-ІІІ ступенів села Увисла</t>
  </si>
  <si>
    <t>48206</t>
  </si>
  <si>
    <t>6121688501</t>
  </si>
  <si>
    <t>Увисла</t>
  </si>
  <si>
    <t>вул. Миру, 103</t>
  </si>
  <si>
    <t>(03557)54567</t>
  </si>
  <si>
    <t>http://uvysla-school.edukit.te.ua</t>
  </si>
  <si>
    <t>Загальноосвітня школа І-ІІ ступенів села Тудорів</t>
  </si>
  <si>
    <t>6121688701</t>
  </si>
  <si>
    <t>Тудорів</t>
  </si>
  <si>
    <t>вул. Центральна 8, 1</t>
  </si>
  <si>
    <t>(03557)43734</t>
  </si>
  <si>
    <t>Загальноосвітня школа І ступеня села Хлопівка Гусятинський район Тернопільська область</t>
  </si>
  <si>
    <t>48247</t>
  </si>
  <si>
    <t>6121688801</t>
  </si>
  <si>
    <t>Хлопівка</t>
  </si>
  <si>
    <t>(03557)51188</t>
  </si>
  <si>
    <t>Загальноосвітня школа І-ІІ ступенів с. Целіїв</t>
  </si>
  <si>
    <t>48250</t>
  </si>
  <si>
    <t>6121689001</t>
  </si>
  <si>
    <t>Целіїв</t>
  </si>
  <si>
    <t>(03557)45543</t>
  </si>
  <si>
    <t>http://tseliiv-school.edukit.te.ua</t>
  </si>
  <si>
    <t>загальноосвітня школа І-ІІ ступенів села Чабарівка</t>
  </si>
  <si>
    <t>48258</t>
  </si>
  <si>
    <t>6121689301</t>
  </si>
  <si>
    <t>Чабарівка</t>
  </si>
  <si>
    <t>вул. Центральна, 294</t>
  </si>
  <si>
    <t>(03557)63530</t>
  </si>
  <si>
    <t>Загальноосвітня школа І-ІІІ ступенів с. Яблунів Гусятинського району Тернопільської області</t>
  </si>
  <si>
    <t>6121689601</t>
  </si>
  <si>
    <t>вул. Грушевського, 42</t>
  </si>
  <si>
    <t>(03557)47360</t>
  </si>
  <si>
    <t>Загальноосвітня школа І-ІІІ ступенів № 2 м. Заліщики Тернопільської області</t>
  </si>
  <si>
    <t>48600</t>
  </si>
  <si>
    <t>6122010100</t>
  </si>
  <si>
    <t>вул. Ольжича, 3А</t>
  </si>
  <si>
    <t>(03554)2-24-55</t>
  </si>
  <si>
    <t>http://zalishchyky-school2.edukit.te.ua/</t>
  </si>
  <si>
    <t>Заліщицька державна гімназія м.Заліщики Тернопільської обл.</t>
  </si>
  <si>
    <t>вул. Бандери, 68</t>
  </si>
  <si>
    <t>(03554)21334, (03554)21383</t>
  </si>
  <si>
    <t>Заліщицький обласний багатопрофільний навчально-реабілітаційний центр</t>
  </si>
  <si>
    <t>вул. С.Бандери, 68</t>
  </si>
  <si>
    <t>(03554)21284, (03554)23372</t>
  </si>
  <si>
    <t>04590932</t>
  </si>
  <si>
    <t>ЗОШ І-ІІ ступенів при Заліщицькому обласному комунальному дитячому санаторію</t>
  </si>
  <si>
    <t>(03554)21460</t>
  </si>
  <si>
    <t>Спеціалізована школа І-ІІІ ступенів ім. О.С. Маковея з поглибленим вивченням інформаційних технологій та технологічних дисциплін м. Заліщики</t>
  </si>
  <si>
    <t>(03554)21467, (03554)21962</t>
  </si>
  <si>
    <t>Загальноосвітня школа І-ІІІ ступенів смт. Товсте Заліщицького р-ну Тернопільської обл.</t>
  </si>
  <si>
    <t>48630</t>
  </si>
  <si>
    <t>6122055500</t>
  </si>
  <si>
    <t>(03554)35331</t>
  </si>
  <si>
    <t>Загальноосвітня школа І-ІІступенів села Бедриківці Заліщицького району Тернопільської області</t>
  </si>
  <si>
    <t>48651</t>
  </si>
  <si>
    <t>6122080401</t>
  </si>
  <si>
    <t>Бедриківці</t>
  </si>
  <si>
    <t>(03554)25148</t>
  </si>
  <si>
    <t>Загальноосвітня школа І-ІІ ступенів с. Блищанка Заліщицького району Тернопільської області</t>
  </si>
  <si>
    <t>48644</t>
  </si>
  <si>
    <t>6122080701</t>
  </si>
  <si>
    <t>Блищанка</t>
  </si>
  <si>
    <t>Загальноосвітня школа І-ІІ ступенів с.Буряківка Заліщицький р-н Тернопільська обл.</t>
  </si>
  <si>
    <t>46871</t>
  </si>
  <si>
    <t>6122081401</t>
  </si>
  <si>
    <t>Буряківка</t>
  </si>
  <si>
    <t>(03554)38816</t>
  </si>
  <si>
    <t>Загальноосвітня школа І-ІІ ступенів села Винятинці Заліщицького району Тернопільської області</t>
  </si>
  <si>
    <t>48660</t>
  </si>
  <si>
    <t>6122081701</t>
  </si>
  <si>
    <t>Винятинці</t>
  </si>
  <si>
    <t>(03554)25640</t>
  </si>
  <si>
    <t>http://www.win-shool.at.ua</t>
  </si>
  <si>
    <t>Загальноосвітня школа І ступеня села Голігради Заліщицького району Тернопільської області</t>
  </si>
  <si>
    <t>6122081702</t>
  </si>
  <si>
    <t>Голігради</t>
  </si>
  <si>
    <t>вул. Гагаріна, 21Б</t>
  </si>
  <si>
    <t>(096)9404705</t>
  </si>
  <si>
    <t>Загальноосвітня школа І-ІІ ступенів с.Ворвулинці Заліщицького району Тернопільської області</t>
  </si>
  <si>
    <t>48640</t>
  </si>
  <si>
    <t>6122082001</t>
  </si>
  <si>
    <t>Ворвулинці</t>
  </si>
  <si>
    <t>вул. І.Франка, 70А, 90</t>
  </si>
  <si>
    <t>(03554)37522</t>
  </si>
  <si>
    <t>Загальноосвітня школа І-ІІ ступенів с. Городок Заліщицького району Тернопільської області</t>
  </si>
  <si>
    <t>48673</t>
  </si>
  <si>
    <t>6122082201</t>
  </si>
  <si>
    <t>вул. Повстанська, 1</t>
  </si>
  <si>
    <t>Загальноосвітня школа І-ІІ ступенів с.Дзвиняч Заліщицький район Тернопільська область</t>
  </si>
  <si>
    <t>48650</t>
  </si>
  <si>
    <t>6122082401</t>
  </si>
  <si>
    <t>вул. Нагірянка, 8</t>
  </si>
  <si>
    <t>(03554)24485</t>
  </si>
  <si>
    <t>Добрівлянська філія спеціалізованої школи І-ІІІ ст. ім. О.Маковея з поглибленим вивченням інформаційних технологій та технологічних дисциплін м. Заліщики</t>
  </si>
  <si>
    <t>48674</t>
  </si>
  <si>
    <t>6122082801</t>
  </si>
  <si>
    <t>вул. Добрівлянська, 11</t>
  </si>
  <si>
    <t>(03554)43152</t>
  </si>
  <si>
    <t>http://dobrivlanu.ucoz.ua</t>
  </si>
  <si>
    <t>Загальноосвітня школа І-ІІІ ступенів с. Дорогичівка Заліщицького району Тернопільської області</t>
  </si>
  <si>
    <t>48621</t>
  </si>
  <si>
    <t>6122083001</t>
  </si>
  <si>
    <t>Дорогичівка</t>
  </si>
  <si>
    <t>Загальноосвітня школа І-ІІ ступенів с.Дунів Тернопільська обл. Заліщицький р-н</t>
  </si>
  <si>
    <t>48661</t>
  </si>
  <si>
    <t>6122083301</t>
  </si>
  <si>
    <t>Дунів</t>
  </si>
  <si>
    <t>(03554)26532</t>
  </si>
  <si>
    <t>Загальноосвітня школа I ст с.Вигода</t>
  </si>
  <si>
    <t>6122083303</t>
  </si>
  <si>
    <t>http://wyhoda.ucoz.com/</t>
  </si>
  <si>
    <t>Зеленогайська філія спеціалізованої школи І-ІІІ ступенів ім. О. Маковея з поглибленим вивченням інформаційних технологій та технологічних дисциплін м. Заліщики</t>
  </si>
  <si>
    <t>48675</t>
  </si>
  <si>
    <t>6122083701</t>
  </si>
  <si>
    <t>(097)5199370</t>
  </si>
  <si>
    <t>Печорнівська філія спеціалізованої школи I-III ступенів м.Заліщики з поглибленим вивченням інформаційних технологій та технологічних дисциплін</t>
  </si>
  <si>
    <t>48602</t>
  </si>
  <si>
    <t>6122083702</t>
  </si>
  <si>
    <t>Печорна</t>
  </si>
  <si>
    <t>вул. Т.Шевченка, 40</t>
  </si>
  <si>
    <t>http://school-pechorna.at.ua/</t>
  </si>
  <si>
    <t>Загальноосвітня школа І-ІІІ ступенів с. Зозулинці Заліщицького району Тернопільської області</t>
  </si>
  <si>
    <t>48664</t>
  </si>
  <si>
    <t>6122084001</t>
  </si>
  <si>
    <t>вул. ім.  Т. Г. Шевченка, 121</t>
  </si>
  <si>
    <t>(03554)26330</t>
  </si>
  <si>
    <t>Загальноосвітня школа І ступеня с.Виноградне</t>
  </si>
  <si>
    <t>48672</t>
  </si>
  <si>
    <t>6122084002</t>
  </si>
  <si>
    <t>Загальноосвітня школа І-ІІ ступенів с. Іване-Золоте Заліщицького району Тернопільської області</t>
  </si>
  <si>
    <t>48676</t>
  </si>
  <si>
    <t>6122084301</t>
  </si>
  <si>
    <t>Іване-Золоте</t>
  </si>
  <si>
    <t>ал. Шевченка, 77</t>
  </si>
  <si>
    <t>(03554)28283</t>
  </si>
  <si>
    <t>Загальноосвітня школа І - ІІІ ступенів с. Касперівці Заліщицький район Тернопільська область</t>
  </si>
  <si>
    <t>48653</t>
  </si>
  <si>
    <t>6122084701</t>
  </si>
  <si>
    <t>Касперівці</t>
  </si>
  <si>
    <t>(03554)25435</t>
  </si>
  <si>
    <t>Загальноосвітня школа I-II ступенів села Лисичники Заліщицького району Тернопільської області</t>
  </si>
  <si>
    <t>48677</t>
  </si>
  <si>
    <t>6122084702</t>
  </si>
  <si>
    <t>Лисичники</t>
  </si>
  <si>
    <t>(03554)2-54-74</t>
  </si>
  <si>
    <t>Загальноосвітня школа І-ІІ ступеня с. Колодрібка, Заліщицького району, Тернопільської області</t>
  </si>
  <si>
    <t>48662</t>
  </si>
  <si>
    <t>6122084901</t>
  </si>
  <si>
    <t>Колодрібка</t>
  </si>
  <si>
    <t>вул. Жаберівка, 159</t>
  </si>
  <si>
    <t>(03554)25740</t>
  </si>
  <si>
    <t>Загальноосвітня школа І-ІІІ ступенів села Кошилівці Заліщицького р-ну Тернопільської обл.</t>
  </si>
  <si>
    <t>48612</t>
  </si>
  <si>
    <t>6122085401</t>
  </si>
  <si>
    <t>Кошилівці</t>
  </si>
  <si>
    <t>вул. Незалежності, 70</t>
  </si>
  <si>
    <t>(3554)36642</t>
  </si>
  <si>
    <t>Литячівська загальноосвітня школа І-ІІ ступенів</t>
  </si>
  <si>
    <t>48678</t>
  </si>
  <si>
    <t>6122085601</t>
  </si>
  <si>
    <t>Литячі</t>
  </si>
  <si>
    <t>(054)3-68-99</t>
  </si>
  <si>
    <t>Загальноосвітня школа І-ІІІ ступенів с.Лисівці Заліщицький район Тернопільська область</t>
  </si>
  <si>
    <t>48631</t>
  </si>
  <si>
    <t>6122085801</t>
  </si>
  <si>
    <t>Лисівці</t>
  </si>
  <si>
    <t>(03554)37240</t>
  </si>
  <si>
    <t>Загальноосвітня школа І-ІІ ступенів с.Новосілка Заліщицький район, Тернопільська область</t>
  </si>
  <si>
    <t>48654</t>
  </si>
  <si>
    <t>6122086201</t>
  </si>
  <si>
    <t>(03554)24569</t>
  </si>
  <si>
    <t>Нирківська загальноосвітня школа I-III ступенів</t>
  </si>
  <si>
    <t>6122086601</t>
  </si>
  <si>
    <t>Нирків</t>
  </si>
  <si>
    <t>(03554)36363</t>
  </si>
  <si>
    <t>Загальноосвітня школа I ступеня с.Нагоряни</t>
  </si>
  <si>
    <t>48680</t>
  </si>
  <si>
    <t>6122086602</t>
  </si>
  <si>
    <t>Нагоряни</t>
  </si>
  <si>
    <t>(380)0686477520</t>
  </si>
  <si>
    <t>Загальноосвітня школа I-III ступенів с. Поділля Заліщицький район Тернопільська область</t>
  </si>
  <si>
    <t>48613</t>
  </si>
  <si>
    <t>6122087001</t>
  </si>
  <si>
    <t>(03554)3-85-11, 0966092844</t>
  </si>
  <si>
    <t>Загальноосвітня школа I - III ступенів с. Садки Заліщицького р-ну Тернопільської обл.</t>
  </si>
  <si>
    <t>48622</t>
  </si>
  <si>
    <t>6122087501</t>
  </si>
  <si>
    <t>(03554)3-81-40</t>
  </si>
  <si>
    <t>Синьківська загальноосвітня школа І-ІІІ ступенів</t>
  </si>
  <si>
    <t>48663</t>
  </si>
  <si>
    <t>6122087701</t>
  </si>
  <si>
    <t>(03554)26140</t>
  </si>
  <si>
    <t>Загальноосвітня школа І-ІІ ступенів с. Солоне Заліщицький р-н Тернопільської обл.</t>
  </si>
  <si>
    <t>48682</t>
  </si>
  <si>
    <t>6122087801</t>
  </si>
  <si>
    <t>(03554)36145</t>
  </si>
  <si>
    <t>Загальноосвітня школа І-ІІІ ст. с. Торське Заліщицький район Тернопільська область</t>
  </si>
  <si>
    <t>48642</t>
  </si>
  <si>
    <t>6122088301</t>
  </si>
  <si>
    <t>вул. Вербова, 20</t>
  </si>
  <si>
    <t>(03554)27225</t>
  </si>
  <si>
    <t>Загальноосвітня школа І-ІІ ступенів с. Угриньківці Заліщицького району Тернопільської області</t>
  </si>
  <si>
    <t>48643</t>
  </si>
  <si>
    <t>6122088701</t>
  </si>
  <si>
    <t>Угриньківці</t>
  </si>
  <si>
    <t>(03554)24740</t>
  </si>
  <si>
    <t>Загальноосвітня школа І-ІІ ступенів с.Устечко Заліщицького району Тернопільської області</t>
  </si>
  <si>
    <t>48634</t>
  </si>
  <si>
    <t>6122089201</t>
  </si>
  <si>
    <t>Устечко</t>
  </si>
  <si>
    <t>(03554)38240</t>
  </si>
  <si>
    <t>Загальноосвітня школа I-II ступенів с. Хмелева</t>
  </si>
  <si>
    <t>48683</t>
  </si>
  <si>
    <t>6122089601</t>
  </si>
  <si>
    <t>Хмелева</t>
  </si>
  <si>
    <t>http://school.hmeleva.portals.org.ua/</t>
  </si>
  <si>
    <t>Загальноосвітня школа І-ІІ ступенів с. Шипівці Заліщицький район Тернопільська область</t>
  </si>
  <si>
    <t>48684</t>
  </si>
  <si>
    <t>6122089801</t>
  </si>
  <si>
    <t>Шипівці</t>
  </si>
  <si>
    <t>3-74-13</t>
  </si>
  <si>
    <t>Загальноосвітня школа І ступеня с. Шутроминці Заліщицький район Тернопільська область</t>
  </si>
  <si>
    <t>48685</t>
  </si>
  <si>
    <t>6122089901</t>
  </si>
  <si>
    <t>Шутроминці</t>
  </si>
  <si>
    <t>(068)7390261</t>
  </si>
  <si>
    <t>Збаразька загальноосвітня школа І-ІІІ ступенів № 1</t>
  </si>
  <si>
    <t>47300</t>
  </si>
  <si>
    <t>6122410100</t>
  </si>
  <si>
    <t>Збараж</t>
  </si>
  <si>
    <t>вул. Родини Білинських, 2</t>
  </si>
  <si>
    <t>(03550)21432, (03550)21901</t>
  </si>
  <si>
    <t>Збаразька загальноосвітня школа І-ІІІ ступенів № 2 імені Івана Франка Збаразької міської ради Тернопільської області</t>
  </si>
  <si>
    <t>47302</t>
  </si>
  <si>
    <t>(0-35-50)2-13-51</t>
  </si>
  <si>
    <t>Збаразька загальноосвітня школа І-ІІІ ступенів № 3 імені Михальського Тараса Романовича Збаразької міської ради Тернопільської області</t>
  </si>
  <si>
    <t>40730</t>
  </si>
  <si>
    <t>вул. Заводська, 17</t>
  </si>
  <si>
    <t>(03550)26884</t>
  </si>
  <si>
    <t>http://www.sch3.16mb.com/</t>
  </si>
  <si>
    <t>Збаразька санаторна загальноосвітня школа-інтернат I-III ступенівТернопільської обласної ради</t>
  </si>
  <si>
    <t>вул. Д. Галицького, 52</t>
  </si>
  <si>
    <t>(03550)2-14-02</t>
  </si>
  <si>
    <t>http://zbarazhinternat.at.ua</t>
  </si>
  <si>
    <t>04590949</t>
  </si>
  <si>
    <t>Вишнівецька комунальна загальноосвітня школа І-ІІІ ступенів Вишнівецької об'єднаної територіальної громади</t>
  </si>
  <si>
    <t>47313</t>
  </si>
  <si>
    <t>6122455300</t>
  </si>
  <si>
    <t>Вишнівець</t>
  </si>
  <si>
    <t>380355031189</t>
  </si>
  <si>
    <t>Бодаківська комунальна загальноосвітня школа І-ІІІ ступенів Вишнівецької об'єднаної територіальної громади</t>
  </si>
  <si>
    <t>6122480701</t>
  </si>
  <si>
    <t>Бодаки</t>
  </si>
  <si>
    <t>(03550)35376</t>
  </si>
  <si>
    <t>Бутинська комунальна загальноосвітня школа І - ІІІ ступенів Вишнівецької об'єднаної територіальної громади</t>
  </si>
  <si>
    <t>6122480801</t>
  </si>
  <si>
    <t>Бутин</t>
  </si>
  <si>
    <t>34527</t>
  </si>
  <si>
    <t>Великокунинецька загальноосвітня школа І - ІІ ступенів</t>
  </si>
  <si>
    <t>47311</t>
  </si>
  <si>
    <t>6122481001</t>
  </si>
  <si>
    <t>Великий Кунинець</t>
  </si>
  <si>
    <t>(0355034)140</t>
  </si>
  <si>
    <t>Малокунинецька загальноосвітня школа І ступеня Великокунинецької сільської ради Збаразького району Тернопільської області</t>
  </si>
  <si>
    <t>6122481002</t>
  </si>
  <si>
    <t>Малий Кунинець</t>
  </si>
  <si>
    <t>(03550)34-1-54</t>
  </si>
  <si>
    <t>Великовікнинська загальноосвітня школа І-ІІІ ступенів Великовікнинської сільської ради Збаразького району Тернопільської області</t>
  </si>
  <si>
    <t>47320</t>
  </si>
  <si>
    <t>6122481201</t>
  </si>
  <si>
    <t>Великі Вікнини</t>
  </si>
  <si>
    <t>вул. Маньковського</t>
  </si>
  <si>
    <t>(035-50-33)3-14</t>
  </si>
  <si>
    <t>http://viknunu.klasna.com</t>
  </si>
  <si>
    <t>Котюжинська загальноосвітня школа І-ІІ ступенів Великовікнинської сільської ради Збаразького району Тернопільської області</t>
  </si>
  <si>
    <t>6122481202</t>
  </si>
  <si>
    <t>Котюжини</t>
  </si>
  <si>
    <t>(035)5033361</t>
  </si>
  <si>
    <t>Маловікнинська загальноосвітня школа І ступеня Великовікнинської сільської ради Збаразького району Тернопільської області</t>
  </si>
  <si>
    <t>6122481203</t>
  </si>
  <si>
    <t>Малі Вікнини</t>
  </si>
  <si>
    <t>Вищелуб'янська загальноосвітня школа І-ІІ ступенів Вищелуб'янської сільської ради Збаразького району Тернопільської області</t>
  </si>
  <si>
    <t>47362</t>
  </si>
  <si>
    <t>6122481501</t>
  </si>
  <si>
    <t>Вищі Луб'янки</t>
  </si>
  <si>
    <t>вул. І.Франка, 66</t>
  </si>
  <si>
    <t>(0355041)541</t>
  </si>
  <si>
    <t>http://www.vlubianky-zosh.edukit.te.ua</t>
  </si>
  <si>
    <t>Гніздичненський навчально - виховний комплекс "Загальноосвітня школа І-ІІІ ступенів - дошкільний навчальний заклад" Гніздичненської сільської ради Збаразького району Тернопільської області</t>
  </si>
  <si>
    <t>47332</t>
  </si>
  <si>
    <t>6122481801</t>
  </si>
  <si>
    <t>Гніздичне</t>
  </si>
  <si>
    <t>http://gnizdychne.klasna.com</t>
  </si>
  <si>
    <t>Дзвинячанська загальноосвітня школа І-ІІ ступенів Дзвинячанської сільської ради Збаразького району Тернопільської області</t>
  </si>
  <si>
    <t>47312</t>
  </si>
  <si>
    <t>6122482101</t>
  </si>
  <si>
    <t>Дзвиняча</t>
  </si>
  <si>
    <t>(250)33-7-44</t>
  </si>
  <si>
    <t>Доброводівська загальноосвітня школа І-ІІІ ступенів Доброводівської сільської ради Збаразького району Тернопільської області</t>
  </si>
  <si>
    <t>47341</t>
  </si>
  <si>
    <t>6122482401</t>
  </si>
  <si>
    <t>Доброводи</t>
  </si>
  <si>
    <t>(03550)49645</t>
  </si>
  <si>
    <t>Доброводівський районний комунальний технічний ліцей імені Олександра Смакули</t>
  </si>
  <si>
    <t>Добромірківська загальноосвітня школа І-ІІступенів Добромірківської сільської ради Збаразького району Тернопільської області</t>
  </si>
  <si>
    <t>47363</t>
  </si>
  <si>
    <t>6122482601</t>
  </si>
  <si>
    <t>Добромірка</t>
  </si>
  <si>
    <t>(03550)43340</t>
  </si>
  <si>
    <t>Залісецька загальноосвітня школа І-ІІІ ступенів Залісецької сільської ради Збаразького району Теронопільської області</t>
  </si>
  <si>
    <t>47310</t>
  </si>
  <si>
    <t>6122482801</t>
  </si>
  <si>
    <t>вул. Шевченківська, 10</t>
  </si>
  <si>
    <t>(03550)34345</t>
  </si>
  <si>
    <t>Залужанська загальноосвітня школа І-ІІІ ступенів Залужанської сільської ради Збаразького району Тернопільської області</t>
  </si>
  <si>
    <t>47306</t>
  </si>
  <si>
    <t>6122483001</t>
  </si>
  <si>
    <t>(03550)26539</t>
  </si>
  <si>
    <t>http://zaluzhia-zosh.edukit.te.ua</t>
  </si>
  <si>
    <t>Зарубинська загальноосвітня школа І-ІІ ступенів Зарубинської сільської ради Збаразького району Тернопільської області</t>
  </si>
  <si>
    <t>47343</t>
  </si>
  <si>
    <t>6122483140</t>
  </si>
  <si>
    <t>(03550)41340</t>
  </si>
  <si>
    <t>Зарудянська загальноосвітня школа І-ІІІ ступенів Зарудянської сільської ради Збаразького району Тернопільської області</t>
  </si>
  <si>
    <t>47333</t>
  </si>
  <si>
    <t>6122483301</t>
  </si>
  <si>
    <t>вул. Грушевського, 4</t>
  </si>
  <si>
    <t>(035-50)45-1-40</t>
  </si>
  <si>
    <t>http://zaruddya_chkola.klasna.com</t>
  </si>
  <si>
    <t>Олишковецька загальноосвітня школа Iступеня Зарудянської сільської ради Збаразького району Тернопільської області</t>
  </si>
  <si>
    <t>6122483303</t>
  </si>
  <si>
    <t>Олишківці</t>
  </si>
  <si>
    <t>вул. Тимошенка, 36А</t>
  </si>
  <si>
    <t>(45)1-76</t>
  </si>
  <si>
    <t>Іванчанська загальноосвітня школа І-ІІ ступенів Іванчанської сільської рада Збаразького району Тернопільської області</t>
  </si>
  <si>
    <t>6122483601</t>
  </si>
  <si>
    <t>Іванчани</t>
  </si>
  <si>
    <t>(250)45340</t>
  </si>
  <si>
    <t>Капустинська загальноосвітня школа І-ІІ ступенів Капустинської сільської ради Збаразького району Тернопільської області</t>
  </si>
  <si>
    <t>47350</t>
  </si>
  <si>
    <t>6122483901</t>
  </si>
  <si>
    <t>вул. Долина, 1</t>
  </si>
  <si>
    <t>(0350)47-1-40</t>
  </si>
  <si>
    <t>Киданецька загальноосвітня школа І-ІІІ ступенів Киданецької сільської ради Збаразького району Тернопільської області</t>
  </si>
  <si>
    <t>47374</t>
  </si>
  <si>
    <t>6122484201</t>
  </si>
  <si>
    <t>Киданці</t>
  </si>
  <si>
    <t>(250)46-6-40</t>
  </si>
  <si>
    <t>Кобильська загальноосвітня школа І-ІІ ступенів Кобильської сільської ради Збаразького району Тернопільської області</t>
  </si>
  <si>
    <t>47334</t>
  </si>
  <si>
    <t>6122484501</t>
  </si>
  <si>
    <t>Кобилля</t>
  </si>
  <si>
    <t>(45)4-40</t>
  </si>
  <si>
    <t>Колодненський навчально - виховний комплекс"Загальноосвітня школа І-ІІІ ступенів - дошкільний навчальний заклад" Колодненської сільської ради Збаразького району Тернопільської області</t>
  </si>
  <si>
    <t>47335</t>
  </si>
  <si>
    <t>6122484801</t>
  </si>
  <si>
    <t>(03550)45569</t>
  </si>
  <si>
    <t>Болязубська загальноосвітня школа І ступеня Колодненської сільської ради Збаразького району Тернопільської області</t>
  </si>
  <si>
    <t>47381</t>
  </si>
  <si>
    <t>6122484802</t>
  </si>
  <si>
    <t>Болязуби</t>
  </si>
  <si>
    <t>(097)1598399</t>
  </si>
  <si>
    <t>Коханівська загальнооосвітня школа І-ІІ ступенів Коханівської сільської ради Збаразького району Тернопільської області</t>
  </si>
  <si>
    <t>47331</t>
  </si>
  <si>
    <t>6122485101</t>
  </si>
  <si>
    <t>вул. Василя Борисевича, 1А</t>
  </si>
  <si>
    <t>35140</t>
  </si>
  <si>
    <t>Красносільська загальноосвітня школа І - ІІ ступенів Красносільської сільської ради Збаразького району Тернопільської області</t>
  </si>
  <si>
    <t>47353</t>
  </si>
  <si>
    <t>6122485401</t>
  </si>
  <si>
    <t>Красносільці</t>
  </si>
  <si>
    <t>44-1-50</t>
  </si>
  <si>
    <t>Кретівська загальноосвітня школа І-ІІ ступенів Кретівської сільської ради Збаразького району Тернопільської області</t>
  </si>
  <si>
    <t>47382</t>
  </si>
  <si>
    <t>6122485601</t>
  </si>
  <si>
    <t>Кретівці</t>
  </si>
  <si>
    <t>вул. Дружби, 86</t>
  </si>
  <si>
    <t>(03550)46075</t>
  </si>
  <si>
    <t>Лозівська загальноосвітня школа 1 ступеня Лозівської сьльської ради Збаразького району Тернопільської області</t>
  </si>
  <si>
    <t>47321</t>
  </si>
  <si>
    <t>6122486001</t>
  </si>
  <si>
    <t>Лози</t>
  </si>
  <si>
    <t>Кривчиківська загальноосвітня школа І-ІІ ступенів Лозівської сільської ради Збаразького району Тернопільської області</t>
  </si>
  <si>
    <t>6122486002</t>
  </si>
  <si>
    <t>Кривчики</t>
  </si>
  <si>
    <t>(03550)35314</t>
  </si>
  <si>
    <t>http://kryvchyky-zosh.edukit.te.ua/</t>
  </si>
  <si>
    <t>Максимівська загальноосвітня школа І-ІІ ступенів Максимівської сіфльської ради Збаразького району Тернопільської області</t>
  </si>
  <si>
    <t>47372</t>
  </si>
  <si>
    <t>6122486401</t>
  </si>
  <si>
    <t>вул. Тараса Шевченка, 21</t>
  </si>
  <si>
    <t>(03550)44740</t>
  </si>
  <si>
    <t>Нижчелуб'янківська загальноосвітня школа І-ІІІ ступенів, Нижчелуб'янської сільської ради, Збаразького району, Тернопільської області</t>
  </si>
  <si>
    <t>47361</t>
  </si>
  <si>
    <t>6122486701</t>
  </si>
  <si>
    <t>Нижчі Луб'янки</t>
  </si>
  <si>
    <t>(03550)43601</t>
  </si>
  <si>
    <t>Раковецька загальноосвітня школа І-ІІ ступенів імені адвоката Бориса Козубського</t>
  </si>
  <si>
    <t>47330</t>
  </si>
  <si>
    <t>6122487401</t>
  </si>
  <si>
    <t>вул. Грушевського, 58А</t>
  </si>
  <si>
    <t>0678339858</t>
  </si>
  <si>
    <t>Романовоселівський НВК " Загальноосвітня школа І-ІІІ ступенів - дошкільний навчальний заклад" Романовоселівської сільської ради Збаразького району Тернопільської області</t>
  </si>
  <si>
    <t>47375</t>
  </si>
  <si>
    <t>6122487601</t>
  </si>
  <si>
    <t>Романове Село</t>
  </si>
  <si>
    <t>(03550)46618</t>
  </si>
  <si>
    <t>Синявська загальноосвітня школа I-II ступенів Синявської сільської ради Збаразького району Тернопільської області</t>
  </si>
  <si>
    <t>47352</t>
  </si>
  <si>
    <t>6122487801</t>
  </si>
  <si>
    <t>вул. П. Турського, 10</t>
  </si>
  <si>
    <t>(43)1-46</t>
  </si>
  <si>
    <t>http://sunyavskaschool.klasna.com</t>
  </si>
  <si>
    <t>Старовишнівецька комунальна загальноосвітня школа І-ІІІ ступенів Вишнівецької об'єднаної територіальної громади</t>
  </si>
  <si>
    <t>6122488101</t>
  </si>
  <si>
    <t>Старий Вишнівець</t>
  </si>
  <si>
    <t>вул. Шлях, 50А</t>
  </si>
  <si>
    <t>3-13-97</t>
  </si>
  <si>
    <t>Старозбаразький навчально-виховний заклад ”Школа І-го ступеня - дитячий садок”</t>
  </si>
  <si>
    <t>47386</t>
  </si>
  <si>
    <t>6122488201</t>
  </si>
  <si>
    <t>Старий Збараж</t>
  </si>
  <si>
    <t>вул. Старозбаразька, 142А</t>
  </si>
  <si>
    <t>(03550)22432</t>
  </si>
  <si>
    <t>Стриївська загальноосвітня школа І-ІІІ ступенів Стриївської сільської ради Збаразького району Тернопільської області</t>
  </si>
  <si>
    <t>47371</t>
  </si>
  <si>
    <t>6122488401</t>
  </si>
  <si>
    <t>Стриївка</t>
  </si>
  <si>
    <t>(46)1-40</t>
  </si>
  <si>
    <t>Травневська загальноосвітня школа І-ІІ ступенів імені Назарія Войтовича Стриївської сільської ради Збаразького району Тернопільської області</t>
  </si>
  <si>
    <t>6122488403</t>
  </si>
  <si>
    <t>(03550)46071</t>
  </si>
  <si>
    <t>https://sites.google.com/site/travneve1991/</t>
  </si>
  <si>
    <t>Черниховецька загальноосвітня школа І-ІІІ ступенів Черниховецької сільської ради Збаразького району Тернопільської області</t>
  </si>
  <si>
    <t>47370</t>
  </si>
  <si>
    <t>6122488801</t>
  </si>
  <si>
    <t>Чернихівці</t>
  </si>
  <si>
    <t>(03550)44-5-40</t>
  </si>
  <si>
    <t>Шилівська загальноосвітня школа І-ІІ ступенів Шилівської сільської ради Збаразького району Тернопільської області</t>
  </si>
  <si>
    <t>47360</t>
  </si>
  <si>
    <t>6122489201</t>
  </si>
  <si>
    <t>Шили</t>
  </si>
  <si>
    <t>вул. Т. Шевченка, 98</t>
  </si>
  <si>
    <t>(250)43751</t>
  </si>
  <si>
    <t>Шимковецька загальноосвітня школа І-ІІ ступенів Шимковецької сільської ради Збаразького району Тернопільської області</t>
  </si>
  <si>
    <t>47336</t>
  </si>
  <si>
    <t>6122489601</t>
  </si>
  <si>
    <t>Шимківці</t>
  </si>
  <si>
    <t>(03550)44240</t>
  </si>
  <si>
    <t>https://sites.google.com/site/shymshkola/</t>
  </si>
  <si>
    <t>Решнівська загальноосвітня школа І-ІІ ступенів Шимковецької сільської ради Збаразького району Тернопільської області</t>
  </si>
  <si>
    <t>6122489602</t>
  </si>
  <si>
    <t>Решнівка</t>
  </si>
  <si>
    <t>вул. Л.Українки, 36</t>
  </si>
  <si>
    <t>(03559)44245</t>
  </si>
  <si>
    <t>Загальноосвітня школа І-ІІІ ст. № 1 міста Зборова, Зборівського району, Тернопільської області</t>
  </si>
  <si>
    <t>47201</t>
  </si>
  <si>
    <t>6122610100</t>
  </si>
  <si>
    <t>Зборів</t>
  </si>
  <si>
    <t>(03540)2-20-34, (03540)2-19-74</t>
  </si>
  <si>
    <t>http://school1mk.ucoz.ua/</t>
  </si>
  <si>
    <t>Загальноосвітня школа І-ІІІ ступенів № 2 м. Зборова Зборівського району Тернопільської області</t>
  </si>
  <si>
    <t>вул. Б.Хмельницького, 7</t>
  </si>
  <si>
    <t>(03540)21637, (03540)21764</t>
  </si>
  <si>
    <t>http://schoolzb.at.ua</t>
  </si>
  <si>
    <t>Зборівська державна українська гімназія ім. Романа Завадовича Зборівської районної ради Тернопільської області</t>
  </si>
  <si>
    <t>вул. Б.Хмельницького, 5</t>
  </si>
  <si>
    <t>(03540)21342</t>
  </si>
  <si>
    <t>http://zboriv-gymnasium.edukit.te.ua/</t>
  </si>
  <si>
    <t>Спеціалізована загальноосвітня школа I-III ступенів з поглибленим вивченням іноземних мов смт Залізці Зборівського району Тернопільської області</t>
  </si>
  <si>
    <t>47234</t>
  </si>
  <si>
    <t>6122655300</t>
  </si>
  <si>
    <t>Залізці</t>
  </si>
  <si>
    <t>пров. Сонячний, 2</t>
  </si>
  <si>
    <t>(03540)3-11-98, (03540)3-12-80</t>
  </si>
  <si>
    <t>http://www.spschool.zaliztsi.te.ua</t>
  </si>
  <si>
    <t>Загальноосвітня школа І-ІІ ступенів с. Білоголів Зборівського району Тернопільської області</t>
  </si>
  <si>
    <t>47236</t>
  </si>
  <si>
    <t>6122680401</t>
  </si>
  <si>
    <t>Білоголови</t>
  </si>
  <si>
    <t>(21159957)(03540)33-3-40</t>
  </si>
  <si>
    <t>Загальноосвітня школа І-ІІ ступенів села Беримівців</t>
  </si>
  <si>
    <t>47227</t>
  </si>
  <si>
    <t>6122680701</t>
  </si>
  <si>
    <t>Беримівці</t>
  </si>
  <si>
    <t>(03540)53750</t>
  </si>
  <si>
    <t>Загальноосвітня школа І ступеня села Бзовиця</t>
  </si>
  <si>
    <t>6122680801</t>
  </si>
  <si>
    <t>Бзовиця</t>
  </si>
  <si>
    <t>вул. Центральн, 4</t>
  </si>
  <si>
    <t>0978739836</t>
  </si>
  <si>
    <t>Загальноосвітня школа І-ІІ ступенів с.Богданівки Зборівського району Тернопільської області</t>
  </si>
  <si>
    <t>47260</t>
  </si>
  <si>
    <t>6122681001</t>
  </si>
  <si>
    <t>(03540)44140</t>
  </si>
  <si>
    <t>Загальноосвітня школа I ступеня с.Білківці Зборівського району Тернопільської області</t>
  </si>
  <si>
    <t>6122681002</t>
  </si>
  <si>
    <t>Білківці</t>
  </si>
  <si>
    <t>(096)5504469</t>
  </si>
  <si>
    <t>Загальноосвітня школа I ступеня села Сировари Зборівського району Тернопільської області</t>
  </si>
  <si>
    <t>6122681004</t>
  </si>
  <si>
    <t>Сировари</t>
  </si>
  <si>
    <t>вул. Зелена, 336</t>
  </si>
  <si>
    <t>44195</t>
  </si>
  <si>
    <t>Загальноосвітня школа І ступеня села Вірлова, Зборівського району, Тернопільської області</t>
  </si>
  <si>
    <t>47200</t>
  </si>
  <si>
    <t>6122681101</t>
  </si>
  <si>
    <t>Вірлів</t>
  </si>
  <si>
    <t>(096)1102286</t>
  </si>
  <si>
    <t>Загальноосвітня школа І-ІІІст. с.Висипівців, Зборівського району, Тернопільської області</t>
  </si>
  <si>
    <t>47281</t>
  </si>
  <si>
    <t>6122681601</t>
  </si>
  <si>
    <t>Висипівці</t>
  </si>
  <si>
    <t>(03540)43219</t>
  </si>
  <si>
    <t>Загальноосвітня школа І ступеня с. Гаї-за-Рудою Зборівського району Тернопільської області</t>
  </si>
  <si>
    <t>47231</t>
  </si>
  <si>
    <t>6122681801</t>
  </si>
  <si>
    <t>Гаї-За-Рудою</t>
  </si>
  <si>
    <t>(03540)33251</t>
  </si>
  <si>
    <t>Гає-Розтоцький навчально - виховний комплекс "Загальноосвітня школа І-ІІІ ступенів - дошкільний навчальний заклад" Зборівського району Тернопільської області</t>
  </si>
  <si>
    <t>47232</t>
  </si>
  <si>
    <t>6122681901</t>
  </si>
  <si>
    <t>Гаї-Розтоцькі</t>
  </si>
  <si>
    <t>(03540)34547</t>
  </si>
  <si>
    <t>http://034547.wixsite.com/034547</t>
  </si>
  <si>
    <t>Загальноосвітня школа І ступеня с. Гарбузова</t>
  </si>
  <si>
    <t>47221</t>
  </si>
  <si>
    <t>6122682201</t>
  </si>
  <si>
    <t>Гарбузів</t>
  </si>
  <si>
    <t>Загальноосвітня школа I-II ступенів села Манаєва Зборівського району Тернопільської області</t>
  </si>
  <si>
    <t>47220</t>
  </si>
  <si>
    <t>6122682202</t>
  </si>
  <si>
    <t>Манаїв</t>
  </si>
  <si>
    <t>0961893724</t>
  </si>
  <si>
    <t>Загальноосвітня школа І-ІІ ступенів с. Годова Зборівського району Тернопільської області</t>
  </si>
  <si>
    <t>47272</t>
  </si>
  <si>
    <t>6122682501</t>
  </si>
  <si>
    <t>Годів</t>
  </si>
  <si>
    <t>вул. Шаповалова, 1</t>
  </si>
  <si>
    <t>(03540)54340</t>
  </si>
  <si>
    <t>Загальноосвітня школа І-ІІІ ступенів с. Загір'я Зборівського району Тернопільської області</t>
  </si>
  <si>
    <t>47211</t>
  </si>
  <si>
    <t>6122683401</t>
  </si>
  <si>
    <t>(035240)3-35-40</t>
  </si>
  <si>
    <t>http://Zagirya-school.edukit.te.ua</t>
  </si>
  <si>
    <t>Загальноосвітня школа І-ІІ ступенів села Заруддя, Зборівського району, Тернопільської області</t>
  </si>
  <si>
    <t>6122683701</t>
  </si>
  <si>
    <t>(03540)5-46-40</t>
  </si>
  <si>
    <t>Загальноосвітня школа І-ІІ ступенів с. Кабарівців</t>
  </si>
  <si>
    <t>47240</t>
  </si>
  <si>
    <t>6122684001</t>
  </si>
  <si>
    <t>Кабарівці</t>
  </si>
  <si>
    <t>(03540)53140</t>
  </si>
  <si>
    <t>Загальноосвітня школа І ступеня с. Калинівка Зборівського району Тернопільської області</t>
  </si>
  <si>
    <t>47271</t>
  </si>
  <si>
    <t>6122684301</t>
  </si>
  <si>
    <t>(03540)22134</t>
  </si>
  <si>
    <t>Загальноосвітня школа Іступеня села Красна, Зборівського району, Тернопільської області</t>
  </si>
  <si>
    <t>6122684302</t>
  </si>
  <si>
    <t>вул. Активістів, 1</t>
  </si>
  <si>
    <t>(096)7424315</t>
  </si>
  <si>
    <t>Загальноосвітня школа І-ІІ ступенів с. Кального</t>
  </si>
  <si>
    <t>47270</t>
  </si>
  <si>
    <t>6122684501</t>
  </si>
  <si>
    <t>вул. Шкільна 1, 1</t>
  </si>
  <si>
    <t>(03540)55240</t>
  </si>
  <si>
    <t>Загальноосвітня школа І- ІІ ступенів с. Жабиня</t>
  </si>
  <si>
    <t>47280</t>
  </si>
  <si>
    <t>6122684502</t>
  </si>
  <si>
    <t>Жабиня</t>
  </si>
  <si>
    <t>5-43-90</t>
  </si>
  <si>
    <t>Загальноосвітня школа І-ІІІ ступенів с. Кобзарівки Зборівського району Тернопільської області</t>
  </si>
  <si>
    <t>47250</t>
  </si>
  <si>
    <t>6122684801</t>
  </si>
  <si>
    <t>Кобзарівка</t>
  </si>
  <si>
    <t>(03540)33651</t>
  </si>
  <si>
    <t>http://schoolkobzarivka.wix.com/kobzarivka</t>
  </si>
  <si>
    <t>Загальноосвітня школа І-ІІ ступенів села Курівців</t>
  </si>
  <si>
    <t>47266</t>
  </si>
  <si>
    <t>6122685101</t>
  </si>
  <si>
    <t>Курівці</t>
  </si>
  <si>
    <t>вул. Центральна, 4А</t>
  </si>
  <si>
    <t>(03540)43-2-09</t>
  </si>
  <si>
    <t>Загальноосвітня школа І-ІІІ ступенів с.Мильного</t>
  </si>
  <si>
    <t>47233</t>
  </si>
  <si>
    <t>6122685701</t>
  </si>
  <si>
    <t>Мильне</t>
  </si>
  <si>
    <t>вул. Красовеччина, 27</t>
  </si>
  <si>
    <t>(035240)33140</t>
  </si>
  <si>
    <t>Загальноосвітня школа І ступеня с.Бліх Зборівського району Тернопільської області</t>
  </si>
  <si>
    <t>6122685702</t>
  </si>
  <si>
    <t>Бліх</t>
  </si>
  <si>
    <t>вул. Сонячна, 17</t>
  </si>
  <si>
    <t>(035240)33816</t>
  </si>
  <si>
    <t>Загальноосвітня школа І-ІІІ ступенів села Млинівців Зборівського району, Тернопільської області</t>
  </si>
  <si>
    <t>47242</t>
  </si>
  <si>
    <t>6122686001</t>
  </si>
  <si>
    <t>Млинівці</t>
  </si>
  <si>
    <t>вул. Залозецька, 61</t>
  </si>
  <si>
    <t>(03540)53468</t>
  </si>
  <si>
    <t>http://mlynivtsi-zosh.te.sch.in.ua</t>
  </si>
  <si>
    <t>Загальноосвітня школа І ступеня села Присівців, Зборівського району, Тернопільської області</t>
  </si>
  <si>
    <t>6122686007</t>
  </si>
  <si>
    <t>Присівці</t>
  </si>
  <si>
    <t>вул. Зелена, 7</t>
  </si>
  <si>
    <t>(067)9213341</t>
  </si>
  <si>
    <t>Загальноосвітня школа І-ІІступенів с.Нестерівців Зборівського району Тернопільської області</t>
  </si>
  <si>
    <t>6122686301</t>
  </si>
  <si>
    <t>Нестерівці</t>
  </si>
  <si>
    <t>вул. Горішня, 176</t>
  </si>
  <si>
    <t>(097)3080961</t>
  </si>
  <si>
    <t>Загальноосвітня школа І-ІІІ ступенів села Озерної, Зборівського району, Тернопільської області</t>
  </si>
  <si>
    <t>47264</t>
  </si>
  <si>
    <t>6122686701</t>
  </si>
  <si>
    <t>вул. Зарудка, 1</t>
  </si>
  <si>
    <t>(03540)4-14-40</t>
  </si>
  <si>
    <t>http://ozerna-zosh.te.sch.in.ua/</t>
  </si>
  <si>
    <t>Загальноосвітня школа І-ІІІ ступенів с. Олієва Зборівського району Тернопільської області</t>
  </si>
  <si>
    <t>47226</t>
  </si>
  <si>
    <t>6122687001</t>
  </si>
  <si>
    <t>Оліїв</t>
  </si>
  <si>
    <t>вул. Залозецька, 7</t>
  </si>
  <si>
    <t>(03540)34283</t>
  </si>
  <si>
    <t>http://oliiv-zosh.edukit.te.ua</t>
  </si>
  <si>
    <t>Загальноосвітня школа І-ІІ ступенів с. Осташівців Зборівського району Тернопільської області</t>
  </si>
  <si>
    <t>47262</t>
  </si>
  <si>
    <t>6122687301</t>
  </si>
  <si>
    <t>Осташівці</t>
  </si>
  <si>
    <t>(03540)55140</t>
  </si>
  <si>
    <t>http://ostaschivci.jimdo.com/</t>
  </si>
  <si>
    <t>Загальноосвітня школа І ступення с.Панасівка</t>
  </si>
  <si>
    <t>6122687601</t>
  </si>
  <si>
    <t>0680274138</t>
  </si>
  <si>
    <t>Загальноосвітня школа І ст. с. Чорний Ліс</t>
  </si>
  <si>
    <t>6122687602</t>
  </si>
  <si>
    <t>Чорний Ліс</t>
  </si>
  <si>
    <t>вул. Львівська</t>
  </si>
  <si>
    <t>(098)7744274</t>
  </si>
  <si>
    <t>Загальноосвітня школа І-ІІІ ступенів села Мшанця Зборівського району Тернопільської області</t>
  </si>
  <si>
    <t>47235</t>
  </si>
  <si>
    <t>6122687701</t>
  </si>
  <si>
    <t>Мшанець</t>
  </si>
  <si>
    <t>вул. Центральна, 143</t>
  </si>
  <si>
    <t>(03540)35720</t>
  </si>
  <si>
    <t>http://mshanets-school.ucoz.ua</t>
  </si>
  <si>
    <t>загальноосвітня школа І ступеня с.Дітківці</t>
  </si>
  <si>
    <t>6122687702</t>
  </si>
  <si>
    <t>Дітківці</t>
  </si>
  <si>
    <t>Загальноосвітня школа І-ІІІ ступенів села Перепельників Зборівського району Тернопільської області</t>
  </si>
  <si>
    <t>47222</t>
  </si>
  <si>
    <t>6122687801</t>
  </si>
  <si>
    <t>Перепельники</t>
  </si>
  <si>
    <t>вул. Горбанівська, 4, 4</t>
  </si>
  <si>
    <t>(03540)35226</t>
  </si>
  <si>
    <t>http://perepelnukuzosh.ucoz.ua</t>
  </si>
  <si>
    <t>Загальноосвітня школа І-ІІ ступенів с.Пліснян Зборівського району Тернопільської області</t>
  </si>
  <si>
    <t>47241</t>
  </si>
  <si>
    <t>6122687901</t>
  </si>
  <si>
    <t>Плісняни</t>
  </si>
  <si>
    <t>Загальноосвітня школа I-II ступенів села Ратищів Зборівського району Тернопільської області</t>
  </si>
  <si>
    <t>47285</t>
  </si>
  <si>
    <t>6122688201</t>
  </si>
  <si>
    <t>Ратищі</t>
  </si>
  <si>
    <t>вул. Набережна, 3</t>
  </si>
  <si>
    <t>(03540)35529</t>
  </si>
  <si>
    <t>Загальноосвітня школа І ступеня села Піщани</t>
  </si>
  <si>
    <t>47219</t>
  </si>
  <si>
    <t>6122688202</t>
  </si>
  <si>
    <t>загальноосвітня школа І-ІІ ступенів с. Ренева</t>
  </si>
  <si>
    <t>6122688401</t>
  </si>
  <si>
    <t>Ренів</t>
  </si>
  <si>
    <t>вул. Озерна, 95</t>
  </si>
  <si>
    <t>(035)4034140</t>
  </si>
  <si>
    <t>Загальноосвітня школа І-ІІ ступенів с. Розгадова</t>
  </si>
  <si>
    <t>6122688501</t>
  </si>
  <si>
    <t>Розгадів</t>
  </si>
  <si>
    <t>вул. Бережанська, 41</t>
  </si>
  <si>
    <t>5-52-59</t>
  </si>
  <si>
    <t>Загальноосвітня школа І-ІІ ступенів. с.Серетця Зборівського району Тернопільської області</t>
  </si>
  <si>
    <t>47213</t>
  </si>
  <si>
    <t>6122688601</t>
  </si>
  <si>
    <t>Серетець</t>
  </si>
  <si>
    <t>(03540)33205</t>
  </si>
  <si>
    <t>Загальноосвітня школа І-ІІ ступенів села Підберізців Зборівського району Тернопільської області</t>
  </si>
  <si>
    <t>47212</t>
  </si>
  <si>
    <t>6122688602</t>
  </si>
  <si>
    <t>(03540)33426</t>
  </si>
  <si>
    <t>http://schoolpidberiz.ucoz.ua/</t>
  </si>
  <si>
    <t>Загальноосвітня школа І ступеня с. Славна Зборівського району Тернопільської області</t>
  </si>
  <si>
    <t>6122688750</t>
  </si>
  <si>
    <t>вул. Церковна, 1</t>
  </si>
  <si>
    <t>Загальноосвітня школа І-ІІступенів с.Цеброва Зборівського району Тернопільської області</t>
  </si>
  <si>
    <t>47265</t>
  </si>
  <si>
    <t>6122689201</t>
  </si>
  <si>
    <t>Цебрів</t>
  </si>
  <si>
    <t>(03540)44540</t>
  </si>
  <si>
    <t>Загальноосвітня школа I-III ступенів села Чернихова Зборівського району Тернопільської області</t>
  </si>
  <si>
    <t>47252</t>
  </si>
  <si>
    <t>6122689501</t>
  </si>
  <si>
    <t>вул. Ровиська, 5</t>
  </si>
  <si>
    <t>(03540)3-46-21</t>
  </si>
  <si>
    <t>http://chernuhiv-zosh.ucoz.ua/</t>
  </si>
  <si>
    <t>Загальноосвітня школа І ступеня с. Чистопади</t>
  </si>
  <si>
    <t>6122689601</t>
  </si>
  <si>
    <t>Чистопади</t>
  </si>
  <si>
    <t>вул. Малі Гаї, 25</t>
  </si>
  <si>
    <t>ЗАГАЛЬНООСВІТНЯ ШКОЛА І-ІІ СТУПЕНІВ С.ЯРЧІВЦІВ ЗБОРІВСЬКОГО РАЙОНУ ТЕРНОПІЛЬСЬКОЇ ОБЛАСТІ</t>
  </si>
  <si>
    <t>47261</t>
  </si>
  <si>
    <t>6122689801</t>
  </si>
  <si>
    <t>Ярчівці</t>
  </si>
  <si>
    <t>(03540)54240</t>
  </si>
  <si>
    <t>Козівська державна українська гімназія ім. В. Герети</t>
  </si>
  <si>
    <t>47600</t>
  </si>
  <si>
    <t>6123055100</t>
  </si>
  <si>
    <t>Козова</t>
  </si>
  <si>
    <t>(03547)21604, (03547)22544</t>
  </si>
  <si>
    <t>Козівська загальноосвітня школа І-ІІІ ст. № 1</t>
  </si>
  <si>
    <t>вул. Гвардійська, 9</t>
  </si>
  <si>
    <t>(03547)21653</t>
  </si>
  <si>
    <t>Козівська загальноосвітня школа І-ІІІ ступенів № 2 Козівської районної ради Тернопільської області</t>
  </si>
  <si>
    <t>47602</t>
  </si>
  <si>
    <t>вул. Вітошинського, 14</t>
  </si>
  <si>
    <t>(03547)21447</t>
  </si>
  <si>
    <t>http://school2.ucoz.kz</t>
  </si>
  <si>
    <t>Козлівська загальноосвітня школа І-ІІІ ступенів</t>
  </si>
  <si>
    <t>47631</t>
  </si>
  <si>
    <t>6123055400</t>
  </si>
  <si>
    <t>вул. Галицька, 14</t>
  </si>
  <si>
    <t>(03547)23693, (38096)5186413</t>
  </si>
  <si>
    <t>Августівська загальноосвітня школа І-ІІ ступенів</t>
  </si>
  <si>
    <t>47610</t>
  </si>
  <si>
    <t>6123080201</t>
  </si>
  <si>
    <t>2-77-96</t>
  </si>
  <si>
    <t>Хоростецька загальноосвітня школа І ступеня</t>
  </si>
  <si>
    <t>6123080202</t>
  </si>
  <si>
    <t>Хоростець</t>
  </si>
  <si>
    <t>(03547)2-77-74</t>
  </si>
  <si>
    <t>Бишківський навчально-виховний комплекс "Загальноосвітній навчальний заклад І-ІІ ступенв - дошкільний навчальний заклад"</t>
  </si>
  <si>
    <t>47613</t>
  </si>
  <si>
    <t>6123080301</t>
  </si>
  <si>
    <t>Бишки</t>
  </si>
  <si>
    <t>(1958)0352726568</t>
  </si>
  <si>
    <t>Будилівський навчально-виховний комплекс "загальноосвітній навчальний заклад І-ІІІ ступенів - дошкільний навчальний заклад" Козівської районної ради Тернопільської області</t>
  </si>
  <si>
    <t>47623</t>
  </si>
  <si>
    <t>6123080401</t>
  </si>
  <si>
    <t>(03547)27246</t>
  </si>
  <si>
    <t>Медівська загальноосвітня школа І-ІІ ступенів</t>
  </si>
  <si>
    <t>6123080402</t>
  </si>
  <si>
    <t>Медова</t>
  </si>
  <si>
    <t>Великоплавучанський навчально-виховний комплекс "Загальноосвітній навчальний заклад І - ІІ ступенів - дошкільний навчальний заклад" Козівський район Тернопільська область</t>
  </si>
  <si>
    <t>47620</t>
  </si>
  <si>
    <t>6123080801</t>
  </si>
  <si>
    <t>Велика Плавуча</t>
  </si>
  <si>
    <t>(03547)27469, (068)6405913</t>
  </si>
  <si>
    <t>В.Ходачківська загальноосвітня школа І-ІІІ ступенів, В. Ходачківської сільської ради, Козівського району, Тернопільської області</t>
  </si>
  <si>
    <t>46660</t>
  </si>
  <si>
    <t>6123081101</t>
  </si>
  <si>
    <t>Великий Ходачків</t>
  </si>
  <si>
    <t>(03547)24140</t>
  </si>
  <si>
    <t>Вівсянська загальноосвітня школа І-ІІ ступенів Козівського району Тернопільської області</t>
  </si>
  <si>
    <t>47673</t>
  </si>
  <si>
    <t>6123081401</t>
  </si>
  <si>
    <t>Вівся</t>
  </si>
  <si>
    <t>(9-2)76-40</t>
  </si>
  <si>
    <t>Вікторівківський навчально-виховний комплекс "загальноосвітній навчальний заклад І ступеня - дошкільний навчальний заклад"</t>
  </si>
  <si>
    <t>47681</t>
  </si>
  <si>
    <t>6123081501</t>
  </si>
  <si>
    <t>Вибудівський навчально-виховний комплекс "Загальноосвітній навчальний заклад І ступеня - дошкільний навчальний заклад" Козівської районної ради Тернопільської області</t>
  </si>
  <si>
    <t>47614</t>
  </si>
  <si>
    <t>6123081701</t>
  </si>
  <si>
    <t>Вибудів</t>
  </si>
  <si>
    <t>(098)3039220</t>
  </si>
  <si>
    <t>Глинська загальноосвітня школа І-ІІІ ступенів Глинської сільської ради Козівського району Тернопільської області</t>
  </si>
  <si>
    <t>47611</t>
  </si>
  <si>
    <t>6123082001</t>
  </si>
  <si>
    <t>Глинна</t>
  </si>
  <si>
    <t>(03547)27440</t>
  </si>
  <si>
    <t>Городищенська загальноосвітня школа І-ІІІ ступенів</t>
  </si>
  <si>
    <t>47633</t>
  </si>
  <si>
    <t>6123082401</t>
  </si>
  <si>
    <t>(03547)29491</t>
  </si>
  <si>
    <t>Денисівська загальноосвітня школа І-ІІ ступенів Козівської районної ради Тернопільської області</t>
  </si>
  <si>
    <t>47661</t>
  </si>
  <si>
    <t>6123082801</t>
  </si>
  <si>
    <t>Денисів</t>
  </si>
  <si>
    <t>(247)24516</t>
  </si>
  <si>
    <t>Дибщенська зогальноосвітня школа І-ІІ ступенів</t>
  </si>
  <si>
    <t>6123083201</t>
  </si>
  <si>
    <t>Дибще</t>
  </si>
  <si>
    <t>(03547)26140</t>
  </si>
  <si>
    <t>Золотослобідська загальноосвітня школа І-ІІ ступенів</t>
  </si>
  <si>
    <t>47653</t>
  </si>
  <si>
    <t>6123083601</t>
  </si>
  <si>
    <t>Золота Слобода</t>
  </si>
  <si>
    <t>вул. Грушевського, 104</t>
  </si>
  <si>
    <t>(03547)29660</t>
  </si>
  <si>
    <t>Ішківська загальноосвітня школа I-II ступенів</t>
  </si>
  <si>
    <t>47663</t>
  </si>
  <si>
    <t>6123084001</t>
  </si>
  <si>
    <t>Ішків</t>
  </si>
  <si>
    <t>Кальненська загальноосвітня школа І-ІІІ ступенів Козівського району Тернопільської області</t>
  </si>
  <si>
    <t>47672</t>
  </si>
  <si>
    <t>6123084401</t>
  </si>
  <si>
    <t>(03547)28316</t>
  </si>
  <si>
    <t>Конюхівська загальноосвітня школа І-ІІ ступенів Козівської районної ради Тернопільської області</t>
  </si>
  <si>
    <t>47612</t>
  </si>
  <si>
    <t>6123084801</t>
  </si>
  <si>
    <t>(03547)27306</t>
  </si>
  <si>
    <t>Конюхівська загальноосвітня школа І-ІІІ ступенів Козівської районної ради Тернопільської області</t>
  </si>
  <si>
    <t>(03547)27340</t>
  </si>
  <si>
    <t>Кривенська загальноосвітня школа І-ІІ ступенів с. Криве Козівського району Тернолільської області</t>
  </si>
  <si>
    <t>47670</t>
  </si>
  <si>
    <t>6123085201</t>
  </si>
  <si>
    <t>вул. Косівка, №4</t>
  </si>
  <si>
    <t>2-70-40</t>
  </si>
  <si>
    <t>Купчинецька загальноосвітня школа І-ІІІ ступенів</t>
  </si>
  <si>
    <t>47662</t>
  </si>
  <si>
    <t>6123085601</t>
  </si>
  <si>
    <t>(03547)28040</t>
  </si>
  <si>
    <t>Олесинська загальноосвітня школа І-ІІІ ступенів Козівської районної ради Тернопільської області</t>
  </si>
  <si>
    <t>47641</t>
  </si>
  <si>
    <t>6123086101</t>
  </si>
  <si>
    <t>Олесине</t>
  </si>
  <si>
    <t>вул. Т.Шевченка, 37</t>
  </si>
  <si>
    <t>(03547)29740, (098)7349630</t>
  </si>
  <si>
    <t>http://olesyno-school.at.ua</t>
  </si>
  <si>
    <t>Плотичанська загальноосвітня школа І-ІІ ступенів</t>
  </si>
  <si>
    <t>47650</t>
  </si>
  <si>
    <t>6123086501</t>
  </si>
  <si>
    <t>Плотича</t>
  </si>
  <si>
    <t>(03547)28140</t>
  </si>
  <si>
    <t>Покропивнянський навчально-виховний комплекс " Загальноосвітній навчальний заклад І-ІІ ступенів- дошкільний навчальний заклад"</t>
  </si>
  <si>
    <t>6123086901</t>
  </si>
  <si>
    <t>Покропивна</t>
  </si>
  <si>
    <t>вул. Довга, 2</t>
  </si>
  <si>
    <t>(03547)24357</t>
  </si>
  <si>
    <t>Таурівська загальноосвітня школа I-II ступенів</t>
  </si>
  <si>
    <t>47622</t>
  </si>
  <si>
    <t>6123087401</t>
  </si>
  <si>
    <t>Таурів</t>
  </si>
  <si>
    <t>0354724440</t>
  </si>
  <si>
    <t>Теофіпільська загальноосвітня школа І-ІІІ ступенів</t>
  </si>
  <si>
    <t>47652</t>
  </si>
  <si>
    <t>6123087801</t>
  </si>
  <si>
    <t>Теофіпілка</t>
  </si>
  <si>
    <t>вул. Мічуріна, 38</t>
  </si>
  <si>
    <t>(247)29132</t>
  </si>
  <si>
    <t>Ценівська загальноосвітня школа І-ІІІ ступенів Козівської районної ради Тернопільської області</t>
  </si>
  <si>
    <t>47640</t>
  </si>
  <si>
    <t>6123088401</t>
  </si>
  <si>
    <t>Ценів</t>
  </si>
  <si>
    <t>(03547)26340</t>
  </si>
  <si>
    <t>http://tsenivschool.ucoz.ua/</t>
  </si>
  <si>
    <t>Яструбівська загальноосвітня школа І-ІІ ступенів Козівської районної ради Тернопільської області</t>
  </si>
  <si>
    <t>6123088501</t>
  </si>
  <si>
    <t>Яструбове</t>
  </si>
  <si>
    <t>вул. Промислова, 17</t>
  </si>
  <si>
    <t>(03547)28056</t>
  </si>
  <si>
    <t>Щепанівська загальноосвітня школа І - ІІ ступенів</t>
  </si>
  <si>
    <t>47671</t>
  </si>
  <si>
    <t>6123088801</t>
  </si>
  <si>
    <t>Щепанів</t>
  </si>
  <si>
    <t>(03547)28364</t>
  </si>
  <si>
    <t>http://shcheposvita.at.ua</t>
  </si>
  <si>
    <t>Почаївська загальноосвітня школа І-ІІІ ступенів Почаївської міської ради</t>
  </si>
  <si>
    <t>47025</t>
  </si>
  <si>
    <t>6123410500</t>
  </si>
  <si>
    <t>Почаїв</t>
  </si>
  <si>
    <t>(03546)61205</t>
  </si>
  <si>
    <t>http://pochaiv.edukit.te.ua</t>
  </si>
  <si>
    <t>23591156</t>
  </si>
  <si>
    <t>Затишанська загальноосвітня школа І ступеня Почаївської міської ради Кременецького району Тернопільської області</t>
  </si>
  <si>
    <t>6123410501</t>
  </si>
  <si>
    <t>ал. Зелена, 15 Д</t>
  </si>
  <si>
    <t>0975777405</t>
  </si>
  <si>
    <t>Башуківська загальноосвітня школа І - ІІ ступенів Кременецької районної ради Тернопільської області</t>
  </si>
  <si>
    <t>47065</t>
  </si>
  <si>
    <t>6123480401</t>
  </si>
  <si>
    <t>Башуки</t>
  </si>
  <si>
    <t>вул. Збаразька, 4</t>
  </si>
  <si>
    <t>(03546)6-34-40</t>
  </si>
  <si>
    <t>Новоолексинецька загальноосвітня школа І-ІІ ступенів Кременецької районної ради Тернопільської області</t>
  </si>
  <si>
    <t>6123480402</t>
  </si>
  <si>
    <t>Новий Олексинець</t>
  </si>
  <si>
    <t>(03546)63340</t>
  </si>
  <si>
    <t>Білокриницька загальноосвітня школа І - ІІІ ступенів Кременецької районної ради Тернопільської області</t>
  </si>
  <si>
    <t>47013</t>
  </si>
  <si>
    <t>6123480701</t>
  </si>
  <si>
    <t>Білокриниця</t>
  </si>
  <si>
    <t>(03546)52340</t>
  </si>
  <si>
    <t>23591145</t>
  </si>
  <si>
    <t>Будківська загальноосвітня школа І-ІІ ступенів,Кременецької районної ради,Тернопільської області</t>
  </si>
  <si>
    <t>47024</t>
  </si>
  <si>
    <t>6123481001</t>
  </si>
  <si>
    <t>(03546)64138</t>
  </si>
  <si>
    <t>Комарівська загальноосвітня школа І-ІІ ступенів Кременецької районної ради</t>
  </si>
  <si>
    <t>47022</t>
  </si>
  <si>
    <t>6123481003</t>
  </si>
  <si>
    <t>0354664198</t>
  </si>
  <si>
    <t>Великобережецька загальноосвітня школа І-ІІІ ступенів Кременецької районної ради Тернопільської області</t>
  </si>
  <si>
    <t>47020</t>
  </si>
  <si>
    <t>6123481401</t>
  </si>
  <si>
    <t>Великі Бережці</t>
  </si>
  <si>
    <t>вул. Лесі Українки, 55А</t>
  </si>
  <si>
    <t>(03546)53-1-40</t>
  </si>
  <si>
    <t>Загальноосвітній навчальний заклад - дошкільний навчальний заклад с. Іква</t>
  </si>
  <si>
    <t>6123481405</t>
  </si>
  <si>
    <t>Іква</t>
  </si>
  <si>
    <t>ал. Молодіжна, 1</t>
  </si>
  <si>
    <t>23591506</t>
  </si>
  <si>
    <t>Великогорянська загальноосвітня школа І-ІІ ступенів, Лопушненської сільської ради, Тернопільської області</t>
  </si>
  <si>
    <t>47054</t>
  </si>
  <si>
    <t>6123481501</t>
  </si>
  <si>
    <t>Велика Горянка</t>
  </si>
  <si>
    <t>23591297</t>
  </si>
  <si>
    <t>Навчально-виховний комплекс "Гаївська загальноосвітня школа І-ІІ ступенів-дошкільний навчальний заклад" Кременецької районної ради Тернопільської області</t>
  </si>
  <si>
    <t>47011</t>
  </si>
  <si>
    <t>6123481701</t>
  </si>
  <si>
    <t>вул. Михайла Циганюка, 14</t>
  </si>
  <si>
    <t>(03546)54340</t>
  </si>
  <si>
    <t>Кімнатецька загальноосвітня школа І - ІІІ ступенів Кременецької районної ради Тернопільської області</t>
  </si>
  <si>
    <t>47021</t>
  </si>
  <si>
    <t>6123481704</t>
  </si>
  <si>
    <t>Кімната</t>
  </si>
  <si>
    <t>Опорний заклад Горинська загальноосвітня школа І-ІІІ ступенів Кременецької районої ради Тернопільської області та його філії</t>
  </si>
  <si>
    <t>47042</t>
  </si>
  <si>
    <t>6123482001</t>
  </si>
  <si>
    <t>Горинка</t>
  </si>
  <si>
    <t>вул. Широка, 3</t>
  </si>
  <si>
    <t>http://gorynka.at.ua</t>
  </si>
  <si>
    <t>філія Кушлинська ЗОШ І-ІІ ступенів опорного закладу Горинська ЗОШ І-ІІІ ступенів Кременецької районної ради Тернопільської області та філій</t>
  </si>
  <si>
    <t>47075</t>
  </si>
  <si>
    <t>6123482003</t>
  </si>
  <si>
    <t>Кушлин</t>
  </si>
  <si>
    <t>(03546)55711</t>
  </si>
  <si>
    <t>Дунаївська загальноосвітня школа І-ІІІ ст. ім. Героя України Олександра Капіноса</t>
  </si>
  <si>
    <t>47023</t>
  </si>
  <si>
    <t>6123482301</t>
  </si>
  <si>
    <t>0354655140</t>
  </si>
  <si>
    <t>Богданівська загальноосвітня школа І ступеня Кременецької районної ради Тернопільської області</t>
  </si>
  <si>
    <t>6123482302</t>
  </si>
  <si>
    <t>вул. Арсена Свередюка, 1</t>
  </si>
  <si>
    <t>(097)3420298</t>
  </si>
  <si>
    <t>Куликівська загальноосвітня школа І ступеня</t>
  </si>
  <si>
    <t>6123482303</t>
  </si>
  <si>
    <t>(097)6414983</t>
  </si>
  <si>
    <t>Савчицька загальноосвітня школа І ступеня Кременецької районної ради Тернопільської області</t>
  </si>
  <si>
    <t>6123482304</t>
  </si>
  <si>
    <t>Савчиці</t>
  </si>
  <si>
    <t>(03546)5-51-12</t>
  </si>
  <si>
    <t>Жолобівська загальноосвітння школа І-ІІ ступенів Кременецької районої ради Тернопільської області</t>
  </si>
  <si>
    <t>47030</t>
  </si>
  <si>
    <t>6123482601</t>
  </si>
  <si>
    <t>Жолоби</t>
  </si>
  <si>
    <t>вул. Радянська, 28</t>
  </si>
  <si>
    <t>(03546)50340</t>
  </si>
  <si>
    <t>Катеринівська загальноосвітня школа І - ІІ ступенів Кременецької районної ради Тернопільської області</t>
  </si>
  <si>
    <t>47041</t>
  </si>
  <si>
    <t>6123482901</t>
  </si>
  <si>
    <t>(03546)50525</t>
  </si>
  <si>
    <t>Навчально-виховний комплекс (загальноосвітній навчальний заклад І ступеня - дошкільний навчальний заклад) с. Іванківці Катеринівської сільської ради Кременецького району Тернопільської області</t>
  </si>
  <si>
    <t>6123482905</t>
  </si>
  <si>
    <t>вул. Садова, 66</t>
  </si>
  <si>
    <t>23591439</t>
  </si>
  <si>
    <t>Колосівська загальноосвітня школа І-ІІ ступенів Кременецької районної ради Тернопільської області</t>
  </si>
  <si>
    <t>47033</t>
  </si>
  <si>
    <t>6123483101</t>
  </si>
  <si>
    <t>Колосова</t>
  </si>
  <si>
    <t>(03546)55321</t>
  </si>
  <si>
    <t>Крижівська загальноосвітня школа І-ІІ ступенів Кременецької районної ради Тернопільської області</t>
  </si>
  <si>
    <t>47010</t>
  </si>
  <si>
    <t>6123483801</t>
  </si>
  <si>
    <t>Крижі</t>
  </si>
  <si>
    <t>вул. Підмурного, 13</t>
  </si>
  <si>
    <t>(03546)50120</t>
  </si>
  <si>
    <t>Лідихівська загальноосвітня школа І - ІІІ ступенів Кременецької районної ради Тернопільської області</t>
  </si>
  <si>
    <t>47050</t>
  </si>
  <si>
    <t>6123484101</t>
  </si>
  <si>
    <t>Лідихів</t>
  </si>
  <si>
    <t>(03546)64240</t>
  </si>
  <si>
    <t>Лопушненська загальноосвітня школа І-ІІІ ступенів Лопушненської сільської ради Кременецького району Тернопільської області</t>
  </si>
  <si>
    <t>6123484401</t>
  </si>
  <si>
    <t>вул. Т. Шевченка, 18</t>
  </si>
  <si>
    <t>(035)4664340</t>
  </si>
  <si>
    <t>http://lopushno.ucoz.ru</t>
  </si>
  <si>
    <t>23591127</t>
  </si>
  <si>
    <t>Крутнівська загальноосвітня школа І - ІІ ступенів Лопушненської сільської ради Тернопільської області</t>
  </si>
  <si>
    <t>47053</t>
  </si>
  <si>
    <t>6123484403</t>
  </si>
  <si>
    <t>Крутнів</t>
  </si>
  <si>
    <t>(03546)64376</t>
  </si>
  <si>
    <t>http://krutniv-zosh.edukit.te.ua</t>
  </si>
  <si>
    <t>23591475</t>
  </si>
  <si>
    <t>Раславська загальньоосвітня школа І-ІІ ступенів Лопушненської сільської ради Тернопільської області</t>
  </si>
  <si>
    <t>6123484405</t>
  </si>
  <si>
    <t>Раславка</t>
  </si>
  <si>
    <t>вул. Л.Українки, 47</t>
  </si>
  <si>
    <t>(380)0680471971</t>
  </si>
  <si>
    <t>23591239</t>
  </si>
  <si>
    <t>Лосятинська загальноосвітня школа І-ІІ ступенів Кременецької районної ради Тернопільської області</t>
  </si>
  <si>
    <t>47052</t>
  </si>
  <si>
    <t>6123484701</t>
  </si>
  <si>
    <t>вул. Варшавська, 14</t>
  </si>
  <si>
    <t>(03546)65140</t>
  </si>
  <si>
    <t>Борщівська загальноосвітня школа І ступеня Кременецької районнної ради Тернопільської області</t>
  </si>
  <si>
    <t>6123484702</t>
  </si>
  <si>
    <t>(097)7074846</t>
  </si>
  <si>
    <t>Млинівецька загальноосвітня школа І-ІІ ступенів Кременецької районної ради Тернопільської області</t>
  </si>
  <si>
    <t>47061</t>
  </si>
  <si>
    <t>6123485101</t>
  </si>
  <si>
    <t>(03546)64722</t>
  </si>
  <si>
    <t>Плосківська загальноосвітня школа І-ІІ ступенів Кременецької районної радиТернопільської області</t>
  </si>
  <si>
    <t>47040</t>
  </si>
  <si>
    <t>6123485601</t>
  </si>
  <si>
    <t>(03546)5-75-18</t>
  </si>
  <si>
    <t>Попівецька загальосвітня школа І-ІІ ступенів</t>
  </si>
  <si>
    <t>47034</t>
  </si>
  <si>
    <t>6123485901</t>
  </si>
  <si>
    <t>(03546)5-71-34</t>
  </si>
  <si>
    <t>Навчально-виховний комплекс "Великомлинівецька загальноосвітнія школа І ступеня - дошкільний навчальний заклад Кременецької районної ради Тернопільської області"</t>
  </si>
  <si>
    <t>47017</t>
  </si>
  <si>
    <t>6123486201</t>
  </si>
  <si>
    <t>Великі Млинівці</t>
  </si>
  <si>
    <t>(097)4422768</t>
  </si>
  <si>
    <t>Підлісецька загальноосвітня школа І-ІІ ступенів Кременецької районної ради Тернопільської області</t>
  </si>
  <si>
    <t>6123486202</t>
  </si>
  <si>
    <t>Підлісці</t>
  </si>
  <si>
    <t>(04635)31090</t>
  </si>
  <si>
    <t>http://pidlistsi.at.ua</t>
  </si>
  <si>
    <t>Розтоцька загальноосвітня школа І-ІІ ступенів Кременецької районної ради Тернопільської області</t>
  </si>
  <si>
    <t>47055</t>
  </si>
  <si>
    <t>6123486501</t>
  </si>
  <si>
    <t>пл. Миру, 4</t>
  </si>
  <si>
    <t>(03546)63240</t>
  </si>
  <si>
    <t>http://www.roztoky.at.ua</t>
  </si>
  <si>
    <t>НВК "Ридомильська ЗОШ І-ІІІ ступенів-ДНЗ Кременецької районної ради Тернопільської області"</t>
  </si>
  <si>
    <t>47060</t>
  </si>
  <si>
    <t>6123486801</t>
  </si>
  <si>
    <t>Ридомиль</t>
  </si>
  <si>
    <t>вул. Криворукова, 20</t>
  </si>
  <si>
    <t>(03546)64440</t>
  </si>
  <si>
    <t>Навчально-виховний комплекс "Сапанівська загальноосвітня школа І-ІІІ ступенів - дошкільний навчальний заклад" Кременецької районної ради Тернопільської області</t>
  </si>
  <si>
    <t>47012</t>
  </si>
  <si>
    <t>6123487101</t>
  </si>
  <si>
    <t>Сапанів</t>
  </si>
  <si>
    <t>вул. Шкільна, 11А</t>
  </si>
  <si>
    <t>(03546)5-07-55</t>
  </si>
  <si>
    <t>Староолексинецька загальноосвітня школа І-ІІІ ступенів Кременецької районної ради Тернопільської області</t>
  </si>
  <si>
    <t>47063</t>
  </si>
  <si>
    <t>6123487601</t>
  </si>
  <si>
    <t>Старий Олексинець</t>
  </si>
  <si>
    <t>(03546)64594</t>
  </si>
  <si>
    <t>Навчально-виховний комплекс "Старопочаївська загальноосвітня школа І-ІІІ ступенів-дошкільний навчальний заклад Кременецької районної ради Тернопільської області"</t>
  </si>
  <si>
    <t>47079</t>
  </si>
  <si>
    <t>6123487801</t>
  </si>
  <si>
    <t>Старий Почаїв</t>
  </si>
  <si>
    <t>(03546)6-55-07</t>
  </si>
  <si>
    <t>Старотаразька загальноосвітня школа І-ІІ ступенів Почаївської міської ради</t>
  </si>
  <si>
    <t>47051</t>
  </si>
  <si>
    <t>6123488201</t>
  </si>
  <si>
    <t>Старий Тараж</t>
  </si>
  <si>
    <t>(03546)63640</t>
  </si>
  <si>
    <t>23591179</t>
  </si>
  <si>
    <t>Устечківська загальноосвітня школа І-ІІ ступенів Кременецької районної ради Тернопільської області</t>
  </si>
  <si>
    <t>47064</t>
  </si>
  <si>
    <t>6123488601</t>
  </si>
  <si>
    <t>вул. Шкільна, 4Б</t>
  </si>
  <si>
    <t>(097)8051007</t>
  </si>
  <si>
    <t>Очеретненська загальноосвітня школа І-ІІ ступенів Кременецької районної ради Тернопільської області</t>
  </si>
  <si>
    <t>6123488602</t>
  </si>
  <si>
    <t>Очеретне</t>
  </si>
  <si>
    <t>(03546)63560</t>
  </si>
  <si>
    <t>Чугалівська загальноосвітня школа І-ІІ ступенів Кременецької районної ради Тернопільської області</t>
  </si>
  <si>
    <t>6123489001</t>
  </si>
  <si>
    <t>Чугалі</t>
  </si>
  <si>
    <t>вул. Сокіля, 1</t>
  </si>
  <si>
    <t>Бонівецька загальноосвітня школа І ступеня Кременецької районної ради Тернопільської області</t>
  </si>
  <si>
    <t>6123489002</t>
  </si>
  <si>
    <t>Бонівка</t>
  </si>
  <si>
    <t>(035)4624485</t>
  </si>
  <si>
    <t>Шпиколоська загальноосвітня школа І-ІІ ступенів Кременецької районної ради Тернопільської області</t>
  </si>
  <si>
    <t>47032</t>
  </si>
  <si>
    <t>6123489401</t>
  </si>
  <si>
    <t>(03546)55305</t>
  </si>
  <si>
    <t>https://sites.google.com/site/shpykolosy17/</t>
  </si>
  <si>
    <t>Комунальний заклад Навчально-виховний комплекс "Лановецька загальноосвітня школа № 1 І-ІІІ ступенів-ліцей імені Юрія Коваля" Лановецької районної ради Тернопільської області</t>
  </si>
  <si>
    <t>47402</t>
  </si>
  <si>
    <t>6123810100</t>
  </si>
  <si>
    <t>(03549)2-12-92</t>
  </si>
  <si>
    <t>http://lan1.at.ua</t>
  </si>
  <si>
    <t>Лановецька загальноосвітня школа І-ІІІ ст. № 2 Лановецької районної ради Тернопільської області</t>
  </si>
  <si>
    <t>47401</t>
  </si>
  <si>
    <t>вул. Молодіжна, 32</t>
  </si>
  <si>
    <t>(03549)51122</t>
  </si>
  <si>
    <t>Волицька філія Лановецької загальноосвітньої школи І-ІІІ ступенів № 2 Лановецької районної ради Тернопільської області</t>
  </si>
  <si>
    <t>47400</t>
  </si>
  <si>
    <t>6123810101</t>
  </si>
  <si>
    <t>вул. Б. Хмельницького, 27</t>
  </si>
  <si>
    <t>(03549)3-31-92</t>
  </si>
  <si>
    <t>Якимівська загальноосвітня школа І-ІІ ступенів Лановецької районної ради Тернопільської області</t>
  </si>
  <si>
    <t>47420</t>
  </si>
  <si>
    <t>6123880303</t>
  </si>
  <si>
    <t>Татаринці</t>
  </si>
  <si>
    <t>(380549)45192</t>
  </si>
  <si>
    <t>http://yakimivci.at.ua</t>
  </si>
  <si>
    <t>Борсуківська загальноосвітня школа І-ІІІ ступенів Лановецької районної ради Тернопільської області</t>
  </si>
  <si>
    <t>47412</t>
  </si>
  <si>
    <t>6123880601</t>
  </si>
  <si>
    <t>(03549)44131</t>
  </si>
  <si>
    <t>Нападівська загальноосвітня школа І-ІІ ступенів Борсуківської сільської ради Тернопільської області</t>
  </si>
  <si>
    <t>47415</t>
  </si>
  <si>
    <t>6123880602</t>
  </si>
  <si>
    <t>вул. В. Фольварочного, 47</t>
  </si>
  <si>
    <t>(03549)51389</t>
  </si>
  <si>
    <t>Синовецька загальноосвітня школа І-ІІ ступенів</t>
  </si>
  <si>
    <t>6123880603</t>
  </si>
  <si>
    <t>Синівці</t>
  </si>
  <si>
    <t>(03549)4-41-26</t>
  </si>
  <si>
    <t>Білозірська загальноосвітня школа І-ІІІ ступенів Лановецької районної ради Тернопільської області</t>
  </si>
  <si>
    <t>47453</t>
  </si>
  <si>
    <t>6123880901</t>
  </si>
  <si>
    <t>(03549)3-51-74</t>
  </si>
  <si>
    <t>Бережанська загальноосвітня школа І - ІІ ступенів Лановецької районної ради Тернопільської області</t>
  </si>
  <si>
    <t>47440</t>
  </si>
  <si>
    <t>6123881201</t>
  </si>
  <si>
    <t>вул. 1 травня, №28</t>
  </si>
  <si>
    <t>(03549)37548</t>
  </si>
  <si>
    <t>Жуковецька загальноосвітня школа І ступеня</t>
  </si>
  <si>
    <t>6123881203</t>
  </si>
  <si>
    <t>вул. Жовтнева, 95</t>
  </si>
  <si>
    <t>(03549)37532</t>
  </si>
  <si>
    <t>Борщівська загальноосвітня школа І-ІІІ ступенів імені Героя Радянського Союзу Ярослава Павловича Горошка Борсуківської сільської ради Лановецького району Тернопільської області</t>
  </si>
  <si>
    <t>47410</t>
  </si>
  <si>
    <t>6123881501</t>
  </si>
  <si>
    <t>вул. Широка, 57</t>
  </si>
  <si>
    <t>(035)4947540</t>
  </si>
  <si>
    <t>Буглівська загальноосвітня школа І-ІІІ ступенів Лановецької районної ради Тернопільської області</t>
  </si>
  <si>
    <t>47443</t>
  </si>
  <si>
    <t>6123881801</t>
  </si>
  <si>
    <t>Буглів</t>
  </si>
  <si>
    <t>вул. Вітрука, 57</t>
  </si>
  <si>
    <t>(03549)48540</t>
  </si>
  <si>
    <t>Ванжуліська загальноосвітня школа І-ІІ ступенів Лановецької районної ради Тернопільської області</t>
  </si>
  <si>
    <t>47442</t>
  </si>
  <si>
    <t>6123882001</t>
  </si>
  <si>
    <t>Ванжулів</t>
  </si>
  <si>
    <t>вул. Першотравнева, 79</t>
  </si>
  <si>
    <t>(03549)45740</t>
  </si>
  <si>
    <t>Великокусковецька загальноосвітня школа І - ІІ ступенів Борсуківської сільської ради Лановецького району Тернопільської області</t>
  </si>
  <si>
    <t>47413</t>
  </si>
  <si>
    <t>6123882101</t>
  </si>
  <si>
    <t>Великі Кусківці</t>
  </si>
  <si>
    <t>вул. Шкільна, 6 А</t>
  </si>
  <si>
    <t>(035249)4-63-40</t>
  </si>
  <si>
    <t>Вербовецька загальноосвітня школа І-ІІІ ступенів Лановецької районної ради Тернопільської області</t>
  </si>
  <si>
    <t>47430</t>
  </si>
  <si>
    <t>6123882401</t>
  </si>
  <si>
    <t>(035)4944540</t>
  </si>
  <si>
    <t>Верещаківська загальноосвітня школа І-ІІ ступенів Лановецької районної ради Тернопільської області</t>
  </si>
  <si>
    <t>47434</t>
  </si>
  <si>
    <t>6123882701</t>
  </si>
  <si>
    <t>Верещаки</t>
  </si>
  <si>
    <t>(03549)45340</t>
  </si>
  <si>
    <t>http://veres-shkola.ucoz.ua</t>
  </si>
  <si>
    <t>с. Влащинці Влащинецька загальноосвітня школа I ступеня Лановецької районної ради</t>
  </si>
  <si>
    <t>6123882801</t>
  </si>
  <si>
    <t>Влащинці</t>
  </si>
  <si>
    <t>Вишгородоцька Загальноосвітня школа І-ІІІ ступенів Лановецької районної ради Тернопільської області</t>
  </si>
  <si>
    <t>47432</t>
  </si>
  <si>
    <t>6123883001</t>
  </si>
  <si>
    <t>Вишгородок</t>
  </si>
  <si>
    <t>(03549)49688</t>
  </si>
  <si>
    <t>Гриньківська загальноосвітня школа І ступеня Лановецької районної ради Тернопільської області</t>
  </si>
  <si>
    <t>47450</t>
  </si>
  <si>
    <t>6123883301</t>
  </si>
  <si>
    <t>0672897594</t>
  </si>
  <si>
    <t>Грибівська загальноосвітня школа І ступеня</t>
  </si>
  <si>
    <t>47461</t>
  </si>
  <si>
    <t>6123883302</t>
  </si>
  <si>
    <t>Грибова</t>
  </si>
  <si>
    <t>(03549)3-27-19</t>
  </si>
  <si>
    <t>Загірцівська загальноосвітня школа І-ІІ ступенів Лановецької районної ради Тернопільської області</t>
  </si>
  <si>
    <t>47421</t>
  </si>
  <si>
    <t>6123883701</t>
  </si>
  <si>
    <t>Загірці</t>
  </si>
  <si>
    <t>(03549)47140</t>
  </si>
  <si>
    <t>http://zahirtsi.at.ua</t>
  </si>
  <si>
    <t>Іванковецька загальноосвітня школа І-ІІ ступенів Лановецької районної ради Тернопільської області</t>
  </si>
  <si>
    <t>47452</t>
  </si>
  <si>
    <t>6123884001</t>
  </si>
  <si>
    <t>вул. Гагаріна, 42</t>
  </si>
  <si>
    <t>(03549)48340</t>
  </si>
  <si>
    <t>http://iv-zosh.at.ua</t>
  </si>
  <si>
    <t>Карначівська загальноосвітня школа І-ІІ ступенів Лановецької районної ради Тернопільської області</t>
  </si>
  <si>
    <t>47431</t>
  </si>
  <si>
    <t>6123884105</t>
  </si>
  <si>
    <t>(03549)43727</t>
  </si>
  <si>
    <t>Краснолуцька філія Лановецької загальноосвітньої школи І-ІІІ ступенів № 2 Лановецької районної ради Тернопільської області</t>
  </si>
  <si>
    <t>47462</t>
  </si>
  <si>
    <t>6123884201</t>
  </si>
  <si>
    <t>Краснолука</t>
  </si>
  <si>
    <t>(03549)48740</t>
  </si>
  <si>
    <t>Лопушненська загальноосвітня школа І-ІІ ступенів Лановецької районної ради Тернопільської області</t>
  </si>
  <si>
    <t>47433</t>
  </si>
  <si>
    <t>6123884301</t>
  </si>
  <si>
    <t>(03549)43740</t>
  </si>
  <si>
    <t>Пахинська загальноосвітня школа І ступеня Лановецької районної ради Тернопільської області</t>
  </si>
  <si>
    <t>6123884305</t>
  </si>
  <si>
    <t>Пахиня</t>
  </si>
  <si>
    <t>вул. Лесі Українки, 16</t>
  </si>
  <si>
    <t>4-37-12</t>
  </si>
  <si>
    <t>Молотківська загальноосвітня школа І-ІІ ступенів Лановецької районної ради Тернопільської області</t>
  </si>
  <si>
    <t>47451</t>
  </si>
  <si>
    <t>6123884501</t>
  </si>
  <si>
    <t>Молотків</t>
  </si>
  <si>
    <t>(03549)4-32-40</t>
  </si>
  <si>
    <t>Москалівська загальноосвітня школа І - ІІ ступенів Лановецької районної ради Тернопільської області</t>
  </si>
  <si>
    <t>47454</t>
  </si>
  <si>
    <t>6123884801</t>
  </si>
  <si>
    <t>Москалівка</t>
  </si>
  <si>
    <t>вул. І. Марчука, 3</t>
  </si>
  <si>
    <t>(0354-9)4-61-40</t>
  </si>
  <si>
    <t>http://moskzoch.at.ua</t>
  </si>
  <si>
    <t>Передмірська загальноосвітня школа І-ІІ ступенів Борсуківської сільської ради Лановецького району Тернопільської області</t>
  </si>
  <si>
    <t>47416</t>
  </si>
  <si>
    <t>6123884901</t>
  </si>
  <si>
    <t>Передмірка</t>
  </si>
  <si>
    <t>(03549)46540</t>
  </si>
  <si>
    <t>Снігурівська загальноосвітня школа І-ІІІ ступенів</t>
  </si>
  <si>
    <t>47411</t>
  </si>
  <si>
    <t>6123885201</t>
  </si>
  <si>
    <t>(3549)34323</t>
  </si>
  <si>
    <t>Чайчинецька загальноосвітня школа І-ІІ ступенів Лановецької районної ради Тернопільської області</t>
  </si>
  <si>
    <t>47414</t>
  </si>
  <si>
    <t>6123885701</t>
  </si>
  <si>
    <t>Чайчинці</t>
  </si>
  <si>
    <t>(03549)47340</t>
  </si>
  <si>
    <t>Юськовецька загальноосвітня школа І-ІІІ ступенів</t>
  </si>
  <si>
    <t>47422</t>
  </si>
  <si>
    <t>6123886201</t>
  </si>
  <si>
    <t>Юськівці</t>
  </si>
  <si>
    <t>43640</t>
  </si>
  <si>
    <t>Монастириська загальноосвітня школа І- ІІІ ступенів Монастириського району Тернопільської області</t>
  </si>
  <si>
    <t>48300</t>
  </si>
  <si>
    <t>6124210100</t>
  </si>
  <si>
    <t>Монастириська</t>
  </si>
  <si>
    <t>(03555)2-15-86, (03555)2-10-97</t>
  </si>
  <si>
    <t>Підгороднянська загальноосвітня школа І ступеня</t>
  </si>
  <si>
    <t>вул. Долішня, 4</t>
  </si>
  <si>
    <t>(03555)21037</t>
  </si>
  <si>
    <t>Коропецька загальноосвітня школа І-ІІІ ступенів імені Марка Каганця</t>
  </si>
  <si>
    <t>48370</t>
  </si>
  <si>
    <t>6124255500</t>
  </si>
  <si>
    <t>Коропець</t>
  </si>
  <si>
    <t>вул. Марка Каганця, 28</t>
  </si>
  <si>
    <t>(03555)4-72-99</t>
  </si>
  <si>
    <t>Коропецький обласний ліцей - інтернат з посиленою військово - фізичною підготовкою Тернопільської обласної ради, Монастириського району, Тернопільської області</t>
  </si>
  <si>
    <t>вул. Марка Каганця, 3А</t>
  </si>
  <si>
    <t>(03555)47566, (03555)20907</t>
  </si>
  <si>
    <t>04590961</t>
  </si>
  <si>
    <t>Світлянська загальноосвітня школа І ступеня</t>
  </si>
  <si>
    <t>6124255503</t>
  </si>
  <si>
    <t>вул. Вадівська</t>
  </si>
  <si>
    <t>Стіглянська загальноосвітня школа I ступеня</t>
  </si>
  <si>
    <t>6124255505</t>
  </si>
  <si>
    <t>Стигла</t>
  </si>
  <si>
    <t>вул. Черешнева</t>
  </si>
  <si>
    <t>Велеснівська загальноосвітня школа І-ІІ ступенів ім.В.М.Гнатюка</t>
  </si>
  <si>
    <t>48351</t>
  </si>
  <si>
    <t>6124280401</t>
  </si>
  <si>
    <t>Велеснів</t>
  </si>
  <si>
    <t>вул. Нагірянка, 44</t>
  </si>
  <si>
    <t>(0355)27040</t>
  </si>
  <si>
    <t>Вербківський навчально-виховний комплекс "загальноосвітня школа I-II ступенів-дошкільний навчальний заклад" Тернопільскої області Монастириського району с.Вербка.</t>
  </si>
  <si>
    <t>48360</t>
  </si>
  <si>
    <t>6124280801</t>
  </si>
  <si>
    <t>(03555)47756</t>
  </si>
  <si>
    <t>Висоцька загальноосвітня школа I-III ступенів</t>
  </si>
  <si>
    <t>48312</t>
  </si>
  <si>
    <t>6124281201</t>
  </si>
  <si>
    <t>(03555)7-40</t>
  </si>
  <si>
    <t>Вістрянська загальноосвітня школа І-ІІ ступенів Вістрянської сільської ради Монастириського району Тернопільської області</t>
  </si>
  <si>
    <t>48371</t>
  </si>
  <si>
    <t>6124281601</t>
  </si>
  <si>
    <t>Вістря</t>
  </si>
  <si>
    <t>вул. М. Грушевського, 36</t>
  </si>
  <si>
    <t>(035)523708</t>
  </si>
  <si>
    <t>http://vistria-school.at.ua/</t>
  </si>
  <si>
    <t>Гончарівський навчально - виховний комплекс "Загальноосвітня школа І - ІІ ступенів - дошкільний навчальний заклад"</t>
  </si>
  <si>
    <t>48332</t>
  </si>
  <si>
    <t>6124282001</t>
  </si>
  <si>
    <t>(03555)26225</t>
  </si>
  <si>
    <t>Гориглядівська загальноосвітня школа І-ІІ ступенів</t>
  </si>
  <si>
    <t>48372</t>
  </si>
  <si>
    <t>6124282401</t>
  </si>
  <si>
    <t>Горигляди</t>
  </si>
  <si>
    <t>(03555)25686</t>
  </si>
  <si>
    <t>Горішньослобідський навчально-виховний комплекс "Загальноосвітня школа І - ІІ ступенів -дошкільний навчальний заклад"</t>
  </si>
  <si>
    <t>48315</t>
  </si>
  <si>
    <t>6124282801</t>
  </si>
  <si>
    <t>Горішня Слобідка</t>
  </si>
  <si>
    <t>(3555)26633</t>
  </si>
  <si>
    <t>Горожанська загальноосвітня школа І-ІІІ ступенів</t>
  </si>
  <si>
    <t>48311</t>
  </si>
  <si>
    <t>6124283201</t>
  </si>
  <si>
    <t>Горожанка</t>
  </si>
  <si>
    <t>вул. Першотравнева, 70</t>
  </si>
  <si>
    <t>(03555)25325</t>
  </si>
  <si>
    <t>http://gorozhanka.ho.ua</t>
  </si>
  <si>
    <t>48324</t>
  </si>
  <si>
    <t>6124283601</t>
  </si>
  <si>
    <t>(03555)25162</t>
  </si>
  <si>
    <t>Доброводівська загальноосвітня школа І-ІІ ступенів</t>
  </si>
  <si>
    <t>48321</t>
  </si>
  <si>
    <t>6124283801</t>
  </si>
  <si>
    <t>(03555)26440</t>
  </si>
  <si>
    <t>Дубенківська загальноосвітня школа I-II ступенів</t>
  </si>
  <si>
    <t>48350</t>
  </si>
  <si>
    <t>6124284001</t>
  </si>
  <si>
    <t>Дубенка</t>
  </si>
  <si>
    <t>0355527249</t>
  </si>
  <si>
    <t>http://dubenka-scool.at.ua</t>
  </si>
  <si>
    <t>Завадівська загальноосвітня школа І-ІІ ступенів</t>
  </si>
  <si>
    <t>48313</t>
  </si>
  <si>
    <t>6124284801</t>
  </si>
  <si>
    <t>(03555)23-5-28</t>
  </si>
  <si>
    <t>Марківський навчально-виховний заклад школа-сад I ступеня</t>
  </si>
  <si>
    <t>48382</t>
  </si>
  <si>
    <t>6124284803</t>
  </si>
  <si>
    <t>Задарівська загальноосвітня школа І-ІІІступенів Монастириського району Тернопільської області</t>
  </si>
  <si>
    <t>48340</t>
  </si>
  <si>
    <t>6124285001</t>
  </si>
  <si>
    <t>Задарів</t>
  </si>
  <si>
    <t>(03555)24-2-40</t>
  </si>
  <si>
    <t>Ковалівська загальноосвітня школа І-ІІІ ступенів Монастириського району Тернопільської області</t>
  </si>
  <si>
    <t>48322</t>
  </si>
  <si>
    <t>6124285601</t>
  </si>
  <si>
    <t>вул. Центральна, 183</t>
  </si>
  <si>
    <t>(03555)23138, (03555)23149</t>
  </si>
  <si>
    <t>http://sc-kovalivka.ucoz.ru</t>
  </si>
  <si>
    <t>Красіївська загальноосвітня школа І ступеня</t>
  </si>
  <si>
    <t>48334</t>
  </si>
  <si>
    <t>6124286401</t>
  </si>
  <si>
    <t>Красіїв</t>
  </si>
  <si>
    <t>24-2-66</t>
  </si>
  <si>
    <t>Олешівська загальноосвітня школа-сад І-ІІ ступенів</t>
  </si>
  <si>
    <t>48323</t>
  </si>
  <si>
    <t>6124287201</t>
  </si>
  <si>
    <t>ал. Шевченка, 31</t>
  </si>
  <si>
    <t>(03555)216</t>
  </si>
  <si>
    <t>Підліснянська загальноосвітня школа І-ІІ ступенів</t>
  </si>
  <si>
    <t>48310</t>
  </si>
  <si>
    <t>6124287501</t>
  </si>
  <si>
    <t>(26)555</t>
  </si>
  <si>
    <t>Швейківська загальноосвітня школа І-ІІ ступенів ступенів Швейківської сільської ради Монастириського району Тернопільської області</t>
  </si>
  <si>
    <t>48314</t>
  </si>
  <si>
    <t>6124288401</t>
  </si>
  <si>
    <t>Швейків</t>
  </si>
  <si>
    <t>(035)55-25-748</t>
  </si>
  <si>
    <t>Устя-Зеленська загальноосвітня школа І-ІІІ ступенів</t>
  </si>
  <si>
    <t>48341</t>
  </si>
  <si>
    <t>6124288801</t>
  </si>
  <si>
    <t>Устя-Зелене</t>
  </si>
  <si>
    <t>(03555)24-5-40</t>
  </si>
  <si>
    <t>Яргорівська загальноосвітня школа І-ІІ ступенів Тернопільської області Монастириського району</t>
  </si>
  <si>
    <t>48330</t>
  </si>
  <si>
    <t>6124289801</t>
  </si>
  <si>
    <t>Яргорів</t>
  </si>
  <si>
    <t>вул. Підлісна, 118</t>
  </si>
  <si>
    <t>(3555)3-13-03</t>
  </si>
  <si>
    <t>Скалатська загальноосвітня школа І-ІІІ ступенів Скалатської міської ради Підволочиського району Тернопільської області</t>
  </si>
  <si>
    <t>47851</t>
  </si>
  <si>
    <t>6124610500</t>
  </si>
  <si>
    <t>Скалат</t>
  </si>
  <si>
    <t>просп. Шевченка, 15</t>
  </si>
  <si>
    <t>(03543)31646</t>
  </si>
  <si>
    <t>Підволочиська гімназія імені Івана Франка Підволочиської селищної ради Тернопільської області</t>
  </si>
  <si>
    <t>47800</t>
  </si>
  <si>
    <t>6124655100</t>
  </si>
  <si>
    <t>Підволочиськ</t>
  </si>
  <si>
    <t>вул. Патріарха Мстислава, 54</t>
  </si>
  <si>
    <t>(03543)22642</t>
  </si>
  <si>
    <t>Підволочиська загальноосвітня школа І-ІІІ ступенів Підволочиської селищної ради Тернопільської області</t>
  </si>
  <si>
    <t>вул. Данила Галицького, 90</t>
  </si>
  <si>
    <t>0354322757</t>
  </si>
  <si>
    <t>http://pidvolochyskaschool.klasna.com</t>
  </si>
  <si>
    <t>Навчально-виховний комплекс "Богданівський зазальноосвітній навчальний заклад І-ІІ ступенів дошкільний навчальний заклад" Підволочиської селищної ради Тернопільської області</t>
  </si>
  <si>
    <t>47832</t>
  </si>
  <si>
    <t>6124680401</t>
  </si>
  <si>
    <t>(03543)27240</t>
  </si>
  <si>
    <t>Галущинська загальноосвітня школа І-ІІ ступенів Підволочиської селищної ради Тернопільської області</t>
  </si>
  <si>
    <t>47841</t>
  </si>
  <si>
    <t>6124681001</t>
  </si>
  <si>
    <t>Галущинці</t>
  </si>
  <si>
    <t>вул. Відродження, 62</t>
  </si>
  <si>
    <t>(24619773)0354354550</t>
  </si>
  <si>
    <t>Городницька загальноосвітня школа І-ІІ ступенів Городницької сільської ради Підволочиського району Тернопільської області</t>
  </si>
  <si>
    <t>47854</t>
  </si>
  <si>
    <t>6124681601</t>
  </si>
  <si>
    <t>(03543)35876</t>
  </si>
  <si>
    <t>http://horodnutsya.webnode.com.ua</t>
  </si>
  <si>
    <t>Навчально-виховний комплекс "Жеребківський загальноосвітній заклад І-ІІ ступенів - дошкільний навчальний заклад" Підволочиської селищної ради Тернопільської області</t>
  </si>
  <si>
    <t>47843</t>
  </si>
  <si>
    <t>6124682001</t>
  </si>
  <si>
    <t>Жеребки</t>
  </si>
  <si>
    <t>0963066878</t>
  </si>
  <si>
    <t>Навчально-виховний комплекс "Іванівський загальноосвітній навчальний заклад І-ІІІ ступенів - дошкільний навчальний заклад" Підволочиської селищної ради Тернопільської області</t>
  </si>
  <si>
    <t>47855</t>
  </si>
  <si>
    <t>6124682301</t>
  </si>
  <si>
    <t>26429</t>
  </si>
  <si>
    <t>Кам'янківська загальноосвітня школа І-ІІІ ступенів Підволочиської селищної ради Тернопільської області</t>
  </si>
  <si>
    <t>47840</t>
  </si>
  <si>
    <t>6124682701</t>
  </si>
  <si>
    <t>Кам'янки</t>
  </si>
  <si>
    <t>вул. Шкільна, 32 А</t>
  </si>
  <si>
    <t>(03543)27-1-75</t>
  </si>
  <si>
    <t>Навчально-виховний комплекс "Мовчанівський загальноосвітній навчальний заклад І ступеня-дошкільний навчальний заклад" Підволочиської селищної ради Тернопільської області</t>
  </si>
  <si>
    <t>6124682702</t>
  </si>
  <si>
    <t>(035-43)27-4-26</t>
  </si>
  <si>
    <t>Качанівська загальноосвітня школа І-ІІІ ступенів Підволочиської селищної ради Тернопільської області</t>
  </si>
  <si>
    <t>47852</t>
  </si>
  <si>
    <t>6124683001</t>
  </si>
  <si>
    <t>(03543)25181</t>
  </si>
  <si>
    <t>Навчально-виховний комплекс "Клебанівський загальноосвітній навчальний заклад І-ІІ ступенів - дошкільний навчальний заклад" Підволочиської селищної ради Тернопільської області</t>
  </si>
  <si>
    <t>47830</t>
  </si>
  <si>
    <t>6124683301</t>
  </si>
  <si>
    <t>Клебанівка</t>
  </si>
  <si>
    <t>(03543)24328</t>
  </si>
  <si>
    <t>Колодіївська загальноосвітня школа І-ІІІ супенів Скалатської міської ради Підволочиського району Тернопільської області</t>
  </si>
  <si>
    <t>47844</t>
  </si>
  <si>
    <t>6124683601</t>
  </si>
  <si>
    <t>вул. Задвір Верхня, 2</t>
  </si>
  <si>
    <t>(03543)33480</t>
  </si>
  <si>
    <t>Кошляківська загальноосвітня школа І-ІІ ступенів Скориківської сільської ради Підволочиського району Тернопільської області</t>
  </si>
  <si>
    <t>47822</t>
  </si>
  <si>
    <t>6124683901</t>
  </si>
  <si>
    <t>Кошляки</t>
  </si>
  <si>
    <t>(03543)42785</t>
  </si>
  <si>
    <t>Кривенська загальноосвітня школа І-ІІ ступенів Скалатської міської ради Підволочиського району Тернопільської області</t>
  </si>
  <si>
    <t>47872</t>
  </si>
  <si>
    <t>6124684030</t>
  </si>
  <si>
    <t>(03543)31625</t>
  </si>
  <si>
    <t>Навчально- виховний комплекс "Лисичинський загальноосвітній навчальний заклад І-ІІ ступенів - дошкільний навчальний заклад Новосільської сільської ради Підволочиського району Тернопільської області</t>
  </si>
  <si>
    <t>47810</t>
  </si>
  <si>
    <t>6124684201</t>
  </si>
  <si>
    <t>Лисичинці</t>
  </si>
  <si>
    <t>вул. Тараса Шевченка, 1</t>
  </si>
  <si>
    <t>(03543)4-21-40</t>
  </si>
  <si>
    <t>Магдалівська загальноосвітня школа І-ІІІ ступенів імені родини Голоядів відділу освіти Скалатської міської ради Підволочиського району Тернопільської області</t>
  </si>
  <si>
    <t>47850</t>
  </si>
  <si>
    <t>6124684601</t>
  </si>
  <si>
    <t>Магдалівка</t>
  </si>
  <si>
    <t>ал. Сонячна, 1</t>
  </si>
  <si>
    <t>Митницька загальноосвітня школа І ступеня філія Скалатської загальноосвітньої школи І-ІІІст Підволочиський район Тернопільська область</t>
  </si>
  <si>
    <t>6124684602</t>
  </si>
  <si>
    <t>0970112330</t>
  </si>
  <si>
    <t>Мисловецька філія Підволочиської загальноосвітньої школи І-ІІІ ступенів Підволочиської селищної ради Тернопільської області</t>
  </si>
  <si>
    <t>6124684701</t>
  </si>
  <si>
    <t>Мислова</t>
  </si>
  <si>
    <t>вул. Лісова, 29А</t>
  </si>
  <si>
    <t>(03543)24134</t>
  </si>
  <si>
    <t>Новосілківська загальноосвітня школа І-ІІ ступенів Скалатської міської ради Підволочиського району Тернопільської області</t>
  </si>
  <si>
    <t>47874</t>
  </si>
  <si>
    <t>6124684801</t>
  </si>
  <si>
    <t>(03543)36442</t>
  </si>
  <si>
    <t>Новосільська загальноосвітня школа І-ІІІ ступенів імені Мирона Зарицького Новосільської сільської ради Тернопільської області</t>
  </si>
  <si>
    <t>47811</t>
  </si>
  <si>
    <t>6124685001</t>
  </si>
  <si>
    <t>(03543)41187</t>
  </si>
  <si>
    <t>Новосільський обласний спеціальний навчально-виховний комплекс</t>
  </si>
  <si>
    <t>вул. Івана Франка, 48</t>
  </si>
  <si>
    <t>(03543)41190, (03543)41240</t>
  </si>
  <si>
    <t>http://www.nsi.ucoz.ua</t>
  </si>
  <si>
    <t>04590978</t>
  </si>
  <si>
    <t>Оріховецька загальноосвітня школа І-ІІІ ступенів Підволочиської селищної ради Тернопільської області</t>
  </si>
  <si>
    <t>47853</t>
  </si>
  <si>
    <t>6124685401</t>
  </si>
  <si>
    <t>вул. Польова, 12</t>
  </si>
  <si>
    <t>(03543)25540</t>
  </si>
  <si>
    <t>Остап'ївська загальноосвітня школа І-ІІІ ступенів Скалатської міської ради Підволочиського району Тернопільської області</t>
  </si>
  <si>
    <t>47861</t>
  </si>
  <si>
    <t>6124685701</t>
  </si>
  <si>
    <t>вул. Кривляни, 186</t>
  </si>
  <si>
    <t>(03543)34140</t>
  </si>
  <si>
    <t>Подільський навчально-виховний комплекс "Загальноосвітня школа І-ІІ ступенів - дошкільний навчальний заклад" Скалатської міської ради Підволочиського району Тернопільської області</t>
  </si>
  <si>
    <t>47860</t>
  </si>
  <si>
    <t>6124686301</t>
  </si>
  <si>
    <t>(03543)33269</t>
  </si>
  <si>
    <t>Рожиська загальноосвітня школа І ступеня Підволочиської селищної ради Тернопільської області</t>
  </si>
  <si>
    <t>6124686701</t>
  </si>
  <si>
    <t>Рожиськ</t>
  </si>
  <si>
    <t>(096)4584575</t>
  </si>
  <si>
    <t>Скориківська загальноосвітня школа І-ІІІ ступенів Скориківської сільської ради Підволочиського району Тернопільської області</t>
  </si>
  <si>
    <t>47814</t>
  </si>
  <si>
    <t>6124687101</t>
  </si>
  <si>
    <t>Скорики</t>
  </si>
  <si>
    <t>вул. Зелена, 26А</t>
  </si>
  <si>
    <t>(035)4326140</t>
  </si>
  <si>
    <t>Староміщинська філія Підволочиської загальносвітньої школи І-ІІІ ступенів Підволочиської селищної ради Тернопільської області</t>
  </si>
  <si>
    <t>47834</t>
  </si>
  <si>
    <t>6124687501</t>
  </si>
  <si>
    <t>Староміщина</t>
  </si>
  <si>
    <t>майдан Майдан Волі, 5</t>
  </si>
  <si>
    <t>(03543)28-4-40</t>
  </si>
  <si>
    <t>Староскалатська загальноосвітня школа І-ІІІ ступенів Скалатської міської ради Підволочиського району Тернопільської області</t>
  </si>
  <si>
    <t>47845</t>
  </si>
  <si>
    <t>6124687801</t>
  </si>
  <si>
    <t>Старий Скалат</t>
  </si>
  <si>
    <t>вул. Т. Шевченка, 3</t>
  </si>
  <si>
    <t>(035)4336213</t>
  </si>
  <si>
    <t>Полупанівська загальноосвітня школа І-ІІ ступенів Скалатської міської ради Підволочиського району Тернопільської області</t>
  </si>
  <si>
    <t>47875</t>
  </si>
  <si>
    <t>6124687803</t>
  </si>
  <si>
    <t>Полупанівка</t>
  </si>
  <si>
    <t>вул. Ясенева, 62</t>
  </si>
  <si>
    <t>(035)4336384</t>
  </si>
  <si>
    <t>Супранівська загальноосвітня школа І-ІІ ступенів Підволочиської селищної ради Тернопільської області</t>
  </si>
  <si>
    <t>47831</t>
  </si>
  <si>
    <t>6124688001</t>
  </si>
  <si>
    <t>Супранівка</t>
  </si>
  <si>
    <t>(03543)26627</t>
  </si>
  <si>
    <t>Росохуватецька загальньоосвітня школа І ступеня Підволочиської селищної ради Тернопільської області</t>
  </si>
  <si>
    <t>6124688005</t>
  </si>
  <si>
    <t>Росохуватець</t>
  </si>
  <si>
    <t>2-44-24</t>
  </si>
  <si>
    <t>Навчально-виховний комплекс "Лозівський загальноосвітній навчальний заклад І-ІІ ступенів-дошкільний навчальний заклад" Скориківської сільської ради Підволочиського району Тернопільської області.</t>
  </si>
  <si>
    <t>47812</t>
  </si>
  <si>
    <t>6124688203</t>
  </si>
  <si>
    <t>Лозівка</t>
  </si>
  <si>
    <t>(03543)42474</t>
  </si>
  <si>
    <t>Токівська загальноосвітня школа І-ІІІ ступенів Підволочиської районної ради Тернопільської області</t>
  </si>
  <si>
    <t>47823</t>
  </si>
  <si>
    <t>6124688601</t>
  </si>
  <si>
    <t>Токи</t>
  </si>
  <si>
    <t>вул. Січових стрільців, 20</t>
  </si>
  <si>
    <t>(03543)24569</t>
  </si>
  <si>
    <t>Турівська загальноосвітня школа І-ІІ ступенів Підволочиської селищної ради Тернопільської області</t>
  </si>
  <si>
    <t>47862</t>
  </si>
  <si>
    <t>6124689001</t>
  </si>
  <si>
    <t>вул. Т.Шевченка, 45</t>
  </si>
  <si>
    <t>(03543)25327</t>
  </si>
  <si>
    <t>Хмелиськівська загальноосвітня школа I-II ступенів Підволочиської селищної ради Тернопільської області</t>
  </si>
  <si>
    <t>47842</t>
  </si>
  <si>
    <t>6124689401</t>
  </si>
  <si>
    <t>Хмелиська</t>
  </si>
  <si>
    <t>вул. Б.  Хмельницького, 38</t>
  </si>
  <si>
    <t>(0354)35440</t>
  </si>
  <si>
    <t>Підгаєцька гімназія імені Маркіяна Паславського Підгаєцької районної ради Тернопільської області</t>
  </si>
  <si>
    <t>48000</t>
  </si>
  <si>
    <t>6124810100</t>
  </si>
  <si>
    <t>(03542)21646</t>
  </si>
  <si>
    <t>Підгаєцька загальноосвітня школа І-ІІІ ступенів Підгаєцької районної ради Тернопільської області</t>
  </si>
  <si>
    <t>вул. В.Стуса, 1</t>
  </si>
  <si>
    <t>(242)21100, (242)21698</t>
  </si>
  <si>
    <t>Підгаєцька спеціалізована загальноосвітня школа І ступеня</t>
  </si>
  <si>
    <t>вул. Боднарська, 8А</t>
  </si>
  <si>
    <t>http://pszosh.ucoz.ua.</t>
  </si>
  <si>
    <t>Білокриницька загальноосвітня школа І-ІІ ступенів Підгаєцької районної ради Тернопільської області</t>
  </si>
  <si>
    <t>48014</t>
  </si>
  <si>
    <t>6124880301</t>
  </si>
  <si>
    <t>(03542)4-65-40</t>
  </si>
  <si>
    <t>http://bilokrynytska-zosh.te.sch.in.ua</t>
  </si>
  <si>
    <t>Боківська загальноосвіттня школа 1 ст.</t>
  </si>
  <si>
    <t>48032</t>
  </si>
  <si>
    <t>6124880701</t>
  </si>
  <si>
    <t>Боків</t>
  </si>
  <si>
    <t>Бронгалівська загальньоосвітня школа І-ІІ ступенів Підгаєцької районної ради Тернопільської області</t>
  </si>
  <si>
    <t>48013</t>
  </si>
  <si>
    <t>6124880901</t>
  </si>
  <si>
    <t>Бронгалівка</t>
  </si>
  <si>
    <t>4-61-40</t>
  </si>
  <si>
    <t>http://brongalivka-school.jimdo.com</t>
  </si>
  <si>
    <t>Гнильченська загальноосвітня школа І-ІІ ступенів Підгаєцької районної ради Тернопільської області Україна</t>
  </si>
  <si>
    <t>48034</t>
  </si>
  <si>
    <t>6124881401</t>
  </si>
  <si>
    <t>Гнильче</t>
  </si>
  <si>
    <t>ал. Центральна, 11</t>
  </si>
  <si>
    <t>(03542)44440</t>
  </si>
  <si>
    <t>Голгочанська загальноосвітня школа І-ІІІ ступенів Підгаєцької районної ради Тернопільської області</t>
  </si>
  <si>
    <t>48024</t>
  </si>
  <si>
    <t>6124881801</t>
  </si>
  <si>
    <t>Голгоча</t>
  </si>
  <si>
    <t>(03542)43192, (03542)43140</t>
  </si>
  <si>
    <t>Волицька загальноосвітня школа І ступеня Підгаєцької районної ради</t>
  </si>
  <si>
    <t>6124881820</t>
  </si>
  <si>
    <t>(068)7512808</t>
  </si>
  <si>
    <t>Завалівська загальноосвітня школа І-ІІІ ступенів Підгаєцької районної ради Тернопільської області</t>
  </si>
  <si>
    <t>48023</t>
  </si>
  <si>
    <t>6124882501</t>
  </si>
  <si>
    <t>Завалів</t>
  </si>
  <si>
    <t>(03542)45640</t>
  </si>
  <si>
    <t>Литвинівська загальноосвітня школа І-ІІІ ступенів Підгаєцької районної ради Тернопільської області</t>
  </si>
  <si>
    <t>48030</t>
  </si>
  <si>
    <t>6124883501</t>
  </si>
  <si>
    <t>Литвинів</t>
  </si>
  <si>
    <t>вул. Бережанська, 104</t>
  </si>
  <si>
    <t>(035)4-41-57</t>
  </si>
  <si>
    <t>http://lytvyniv.at.ua</t>
  </si>
  <si>
    <t>Мирненська загальноосвітня школа І - ІІ ступенів Підгаєцької районної ради Тернопільської області</t>
  </si>
  <si>
    <t>48010</t>
  </si>
  <si>
    <t>6124884001</t>
  </si>
  <si>
    <t>(035242)4-63-22</t>
  </si>
  <si>
    <t>Мужилівська загальноосітня школа І-ІІ ступенів Підгаєцької районної ради Тернопільської області</t>
  </si>
  <si>
    <t>48011</t>
  </si>
  <si>
    <t>6124885001</t>
  </si>
  <si>
    <t>Мужилів</t>
  </si>
  <si>
    <t>(03542)46240</t>
  </si>
  <si>
    <t>http://muzhyliv.ucoz.com/</t>
  </si>
  <si>
    <t>Новосілківська ЗОШ І - ІІІ ступенів Підгаєцького району Тернопільської області</t>
  </si>
  <si>
    <t>48012</t>
  </si>
  <si>
    <t>6124885501</t>
  </si>
  <si>
    <t>Носівська загальноосвітня школа І-ІІ ступенів Підгаєцької районної ради Тернопільської області</t>
  </si>
  <si>
    <t>48033</t>
  </si>
  <si>
    <t>6124885801</t>
  </si>
  <si>
    <t>Носів</t>
  </si>
  <si>
    <t>вул. Івана Франка, 4А</t>
  </si>
  <si>
    <t>(03542)46740</t>
  </si>
  <si>
    <t>Вербівська загальноосвітня школа І-ІІ ступенів Підгаєцької районної ради Тернопільської області</t>
  </si>
  <si>
    <t>48022</t>
  </si>
  <si>
    <t>6124886201</t>
  </si>
  <si>
    <t>(03542)4-55-40</t>
  </si>
  <si>
    <t>Поплавська загальноосвітня школа І - ІІ ступенів, Підгаєцької районної ради Тернопільської області</t>
  </si>
  <si>
    <t>6124886501</t>
  </si>
  <si>
    <t>Поплави</t>
  </si>
  <si>
    <t>ал. вул. Молодіжна, 3</t>
  </si>
  <si>
    <t>(03542)45432</t>
  </si>
  <si>
    <t>http://poplavu.ucoz.ua/</t>
  </si>
  <si>
    <t>Сільцівська загальноосвітня школа І-ІІ ступенів Підгаєцької районної ради Тернопільської області</t>
  </si>
  <si>
    <t>6124887001</t>
  </si>
  <si>
    <t>(03542)21418</t>
  </si>
  <si>
    <t>http://silce.webnode.com.ua</t>
  </si>
  <si>
    <t>Угринівська загальноосвітня школа І - ІІ ступенів</t>
  </si>
  <si>
    <t>48020</t>
  </si>
  <si>
    <t>6124887701</t>
  </si>
  <si>
    <t>(03542)44816</t>
  </si>
  <si>
    <t>Яблунівська загальноосвітня школа І ступеня Підгаєцької районної ради Тернопільської області</t>
  </si>
  <si>
    <t>6124887703</t>
  </si>
  <si>
    <t>вул. Галицька, 91</t>
  </si>
  <si>
    <t>(098)2653499</t>
  </si>
  <si>
    <t>Шумлянська загальноосвітня школа І-ІІІ ступенів Підгаєцької районної ради Тернопільської області</t>
  </si>
  <si>
    <t>48031</t>
  </si>
  <si>
    <t>6124888301</t>
  </si>
  <si>
    <t>Шумляни</t>
  </si>
  <si>
    <t>вул.  , 65</t>
  </si>
  <si>
    <t>(03542)45335</t>
  </si>
  <si>
    <t>Юстинівська загальноосвітня школа І ступеня</t>
  </si>
  <si>
    <t>48040</t>
  </si>
  <si>
    <t>6124888601</t>
  </si>
  <si>
    <t>Юстинівка</t>
  </si>
  <si>
    <t>(097)1272794</t>
  </si>
  <si>
    <t>Опорний заклад Теребовлянська загальноосвітня школа І-ІІІ ступенів № 1 Теребовлянської міської ради Тернопільської обл.</t>
  </si>
  <si>
    <t>48100</t>
  </si>
  <si>
    <t>6125010100</t>
  </si>
  <si>
    <t>Теребовля</t>
  </si>
  <si>
    <t>вул. Січових Стрільців, 51А</t>
  </si>
  <si>
    <t>(03551)21202</t>
  </si>
  <si>
    <t>Теребовлянська загальноосвітня школа І-ІІІ ступенів № 2 м. Теребовля Тернопільської області</t>
  </si>
  <si>
    <t>вул. Вул. Січових Стрільців, 23</t>
  </si>
  <si>
    <t>(03551)21376, (03551)21542</t>
  </si>
  <si>
    <t>http://trbzosh2.at.ua</t>
  </si>
  <si>
    <t>Теребовлянська спеціалізована школа-ліцей, що знаходиться в комунальній власності Теребовлянської міської ради</t>
  </si>
  <si>
    <t>(03551)22039</t>
  </si>
  <si>
    <t>Теребовлянський навчально-виховний комплекс</t>
  </si>
  <si>
    <t>вул. Застіноцька, 41</t>
  </si>
  <si>
    <t>(03551)24449, (03551)24440, (03551)22373, (03551)21662</t>
  </si>
  <si>
    <t>21163120</t>
  </si>
  <si>
    <t>Теребовлянський навчально-реабілітаційний центр</t>
  </si>
  <si>
    <t>вул. Залізнична, 8</t>
  </si>
  <si>
    <t>(03551)2-12-22</t>
  </si>
  <si>
    <t>04058278</t>
  </si>
  <si>
    <t>Навчально-виховний комплекс "Боричівська загальноосвітня школа І-ІІ ступенів - дошкільний навчальний заклад"</t>
  </si>
  <si>
    <t>48106</t>
  </si>
  <si>
    <t>6125010101</t>
  </si>
  <si>
    <t>Боричівка</t>
  </si>
  <si>
    <t>(03551)64771</t>
  </si>
  <si>
    <t>Комунальний заклад Теребовлянської районної ради "Дружбівська загальноосвітня багатопрофільна школа І - ІІІ ступенів "</t>
  </si>
  <si>
    <t>48130</t>
  </si>
  <si>
    <t>6125055300</t>
  </si>
  <si>
    <t>вул. Лесі Українки, 12 а</t>
  </si>
  <si>
    <t>(03551)6-12-74</t>
  </si>
  <si>
    <t>Микулинецька опорна загальноосвітня школа І-ІІІ ступенів</t>
  </si>
  <si>
    <t>48120</t>
  </si>
  <si>
    <t>6125055400</t>
  </si>
  <si>
    <t>вул. 8-го березня, 19</t>
  </si>
  <si>
    <t>(03551)5-10-40</t>
  </si>
  <si>
    <t>http://ms_2007ukr.net</t>
  </si>
  <si>
    <t>Волянська загальноосвітня школа - сад І ступеня</t>
  </si>
  <si>
    <t>48122</t>
  </si>
  <si>
    <t>6125055401</t>
  </si>
  <si>
    <t>(03551)5-11-34</t>
  </si>
  <si>
    <t>Конопківська загальноосвітня школа І стуненя</t>
  </si>
  <si>
    <t>6125055402</t>
  </si>
  <si>
    <t>Конопківка</t>
  </si>
  <si>
    <t>вул. Ладичинська, 2</t>
  </si>
  <si>
    <t>(066)6509905</t>
  </si>
  <si>
    <t>Кривківська загальноосвітня школа І ступеня</t>
  </si>
  <si>
    <t>6125055403</t>
  </si>
  <si>
    <t>Кривки</t>
  </si>
  <si>
    <t>(096)9153086</t>
  </si>
  <si>
    <t>Бенівська загальноосвітня школа І-ІІІ ступенів Теребовлянського району Тернопільської області</t>
  </si>
  <si>
    <t>48111</t>
  </si>
  <si>
    <t>6125080201</t>
  </si>
  <si>
    <t>Бенева</t>
  </si>
  <si>
    <t>(03551)34340</t>
  </si>
  <si>
    <t>Багатківська загальноосвітня школа І-ІІ ступенів</t>
  </si>
  <si>
    <t>48110</t>
  </si>
  <si>
    <t>6125080301</t>
  </si>
  <si>
    <t>Багатківці</t>
  </si>
  <si>
    <t>(03551)3-43-13</t>
  </si>
  <si>
    <t>Буданівська загальноосвітня школа І-ІІІ ступенів</t>
  </si>
  <si>
    <t>48154</t>
  </si>
  <si>
    <t>6125080501</t>
  </si>
  <si>
    <t>Буданів</t>
  </si>
  <si>
    <t>вул. Грушевcького, 6А</t>
  </si>
  <si>
    <t>(03551)4-52-60</t>
  </si>
  <si>
    <t>Бурканівська загальноосвітня школа І-ІІ ступенів</t>
  </si>
  <si>
    <t>48116</t>
  </si>
  <si>
    <t>6125080701</t>
  </si>
  <si>
    <t>Бурканів</t>
  </si>
  <si>
    <t>(03551)31199</t>
  </si>
  <si>
    <t>Великоговилівська загальноосвітня школа І-ІІ ступенів Теребовлянського району Тернопільської області</t>
  </si>
  <si>
    <t>48162</t>
  </si>
  <si>
    <t>6125080901</t>
  </si>
  <si>
    <t>Великий Говилів</t>
  </si>
  <si>
    <t>вул. Олисницького</t>
  </si>
  <si>
    <t>(03551)4-65-30</t>
  </si>
  <si>
    <t>Малоговилівський навчально-виховний комплекс "Загальноосвітня школа І ступеня-дошкільний навчальний заклад" Великоговилівської сільської ради Теребовлянського району Тернопільської області</t>
  </si>
  <si>
    <t>6125080902</t>
  </si>
  <si>
    <t>Малий Говилів</t>
  </si>
  <si>
    <t>вул. Богдана Хмельницького, 21</t>
  </si>
  <si>
    <t>(097)4643049</t>
  </si>
  <si>
    <t>Вербовецька загальноосвітня школа І-ІІ ступенів, що знаходиться у комунальній власності Теребовлянської міської ради</t>
  </si>
  <si>
    <t>48155</t>
  </si>
  <si>
    <t>6125081101</t>
  </si>
  <si>
    <t>(03551)4-63-05, (098)8552540</t>
  </si>
  <si>
    <t>Вишнівчицька ЗОШ І-ІІІ ступенів Теребовлянського району Тернопільської області</t>
  </si>
  <si>
    <t>48142</t>
  </si>
  <si>
    <t>6125081301</t>
  </si>
  <si>
    <t>(03551)3-47-40</t>
  </si>
  <si>
    <t>Гайворонківський НВК "Загальноосвітня школа І ступеня - дошкільний навчальний заклад"</t>
  </si>
  <si>
    <t>48140</t>
  </si>
  <si>
    <t>6125081501</t>
  </si>
  <si>
    <t>Гайворонка</t>
  </si>
  <si>
    <t>(03551)3-51-40</t>
  </si>
  <si>
    <t>Гниловодівський навчально-виховний комплекс "Загальноосвітня школа І ступеня - дошкільний навчальний заклад" Золотниківської сільської ради</t>
  </si>
  <si>
    <t>48141</t>
  </si>
  <si>
    <t>6125081701</t>
  </si>
  <si>
    <t>Глещавецька загальноосвітня школа І-ІІ ступенів</t>
  </si>
  <si>
    <t>48136</t>
  </si>
  <si>
    <t>6125081901</t>
  </si>
  <si>
    <t>Глещава</t>
  </si>
  <si>
    <t>(03551)40139</t>
  </si>
  <si>
    <t>Дарахівська загальноосвітня школа І-ІІІступенів</t>
  </si>
  <si>
    <t>48146</t>
  </si>
  <si>
    <t>6125082201</t>
  </si>
  <si>
    <t>Дарахів</t>
  </si>
  <si>
    <t>вул. Сонячна, 49</t>
  </si>
  <si>
    <t>(03551)4-98-15, (03551)4-98-86</t>
  </si>
  <si>
    <t>Дворічанська загальноосвітня школа І ступеня - дитячий садок</t>
  </si>
  <si>
    <t>48123</t>
  </si>
  <si>
    <t>6125082401</t>
  </si>
  <si>
    <t>Дворіччя</t>
  </si>
  <si>
    <t>вул. М.Грушевського, 20,а</t>
  </si>
  <si>
    <t>(380)978388746</t>
  </si>
  <si>
    <t>Довгенська загальноосвітня школа І-ІІ ступенів</t>
  </si>
  <si>
    <t>48160</t>
  </si>
  <si>
    <t>6125082701</t>
  </si>
  <si>
    <t>вул. Шевченка, 90А</t>
  </si>
  <si>
    <t>(03551)41140</t>
  </si>
  <si>
    <t>Навчально-виховний комплекс "Деренівська загальноосвітня школа І ступеня - дошкільний навчальний заклад"</t>
  </si>
  <si>
    <t>47173</t>
  </si>
  <si>
    <t>6125082702</t>
  </si>
  <si>
    <t>Деренівка</t>
  </si>
  <si>
    <t>(096)9054835</t>
  </si>
  <si>
    <t>Долинська загальноосвітня школа І-ІІ ступенів</t>
  </si>
  <si>
    <t>48163</t>
  </si>
  <si>
    <t>6125082901</t>
  </si>
  <si>
    <t>вул. Сонячна, 9А</t>
  </si>
  <si>
    <t>(03551)4-14-40</t>
  </si>
  <si>
    <t>Навчально-виховний комплекс "Слобідська загальноосвітня школа І ступеня - дошкільний навчальний заклад"</t>
  </si>
  <si>
    <t>6125082902</t>
  </si>
  <si>
    <t>вул. Ярослава Дисевича, 47</t>
  </si>
  <si>
    <t>(096)7400954</t>
  </si>
  <si>
    <t>Комунальний заклад Тернопільської обласної ради "Колегіум-інтернат "Знамення" з поглибленим вивченням предметів духовно-просвітницького спрямування у с. Зарваниця Теребовлянського району"</t>
  </si>
  <si>
    <t>колегіум-інтернат</t>
  </si>
  <si>
    <t>48143</t>
  </si>
  <si>
    <t>6125083101</t>
  </si>
  <si>
    <t>Зарваниця</t>
  </si>
  <si>
    <t>вул. Климентія Шептицького, 53</t>
  </si>
  <si>
    <t>(067)3500137</t>
  </si>
  <si>
    <t>34793525</t>
  </si>
  <si>
    <t>Кобиловолоцька ЗОШ І-ІІІ ступенів</t>
  </si>
  <si>
    <t>48164</t>
  </si>
  <si>
    <t>6125083201</t>
  </si>
  <si>
    <t>Кобиловолоки</t>
  </si>
  <si>
    <t>(03551)40521</t>
  </si>
  <si>
    <t>Навчально-виховний комплекс "Млиниська загальноосвітня школа І ступеня-дошкільний навчальний заклад"</t>
  </si>
  <si>
    <t>6125083202</t>
  </si>
  <si>
    <t>вул. Центральна, 195 б</t>
  </si>
  <si>
    <t>(03551)4-05-40</t>
  </si>
  <si>
    <t>Заздрістська загальноосвітня школа І-ІІ ступенів імені Йосифа Сліпого</t>
  </si>
  <si>
    <t>48125</t>
  </si>
  <si>
    <t>6125083401</t>
  </si>
  <si>
    <t>Заздрість</t>
  </si>
  <si>
    <t>(03551)5-31-48</t>
  </si>
  <si>
    <t>Золотниківська загальноосвітня школа І-ІІІ ступенів</t>
  </si>
  <si>
    <t>48115</t>
  </si>
  <si>
    <t>6125083601</t>
  </si>
  <si>
    <t>Золотники</t>
  </si>
  <si>
    <t>вул. Містечко, 40</t>
  </si>
  <si>
    <t>(03551)3-10-74</t>
  </si>
  <si>
    <t>Іванівська загальноосвітня школа І-ІІІ ступенів</t>
  </si>
  <si>
    <t>48137</t>
  </si>
  <si>
    <t>6125084101</t>
  </si>
  <si>
    <t>(03551)47340</t>
  </si>
  <si>
    <t>Ілавченська загальноосвітня школа І-ІІІ ступенів</t>
  </si>
  <si>
    <t>48134</t>
  </si>
  <si>
    <t>6125084301</t>
  </si>
  <si>
    <t>Ілавче</t>
  </si>
  <si>
    <t>(035)5147140</t>
  </si>
  <si>
    <t>Котузівська навчально виховний комплекс "Загальноосвітня школа І ступеня - дошкільний навчальний заклад" Золотниківської сільської ради</t>
  </si>
  <si>
    <t>6125084601</t>
  </si>
  <si>
    <t>Котузів</t>
  </si>
  <si>
    <t>вул. Т.Г.Шевченка, 29</t>
  </si>
  <si>
    <t>(03551)33140</t>
  </si>
  <si>
    <t>Кровинківська загальноосвітня школа І - ІІ ступенів, що перебуває у комунальній власності Теребовлянської міської ради</t>
  </si>
  <si>
    <t>48135</t>
  </si>
  <si>
    <t>6125084801</t>
  </si>
  <si>
    <t>Кровинка</t>
  </si>
  <si>
    <t>(03551)66010</t>
  </si>
  <si>
    <t>Ладичинська загальноосвітня школа І-ІІ ступенів</t>
  </si>
  <si>
    <t>48124</t>
  </si>
  <si>
    <t>6125085001</t>
  </si>
  <si>
    <t>Ладичин</t>
  </si>
  <si>
    <t>вул. В.Денеки  38, 1</t>
  </si>
  <si>
    <t>(03551)5-35-40</t>
  </si>
  <si>
    <t>Ласковецька загальноосвітня школа І-ІІІ ступенів, що знаходиться у комунальній власності Теребовлянської міської ради</t>
  </si>
  <si>
    <t>48153</t>
  </si>
  <si>
    <t>6125085201</t>
  </si>
  <si>
    <t>Ласківці</t>
  </si>
  <si>
    <t>(03551)49367</t>
  </si>
  <si>
    <t>http://laskchkola.ucoz.ru/</t>
  </si>
  <si>
    <t>Лошнівська загальноосвітня школа І-ІІІ ступенів, що перебуває у комунальній власності Теребовлянської міської ради</t>
  </si>
  <si>
    <t>48133</t>
  </si>
  <si>
    <t>6125085401</t>
  </si>
  <si>
    <t>Лошнів</t>
  </si>
  <si>
    <t>(03551)6-67-39</t>
  </si>
  <si>
    <t>Маловодівський навчально - виховний комплекс "загальноосвітня школа І ступенів - дошкільний навчальний заклад" Теребовлянського району Тернопільської області.</t>
  </si>
  <si>
    <t>6125085601</t>
  </si>
  <si>
    <t>Маловоди</t>
  </si>
  <si>
    <t>0686707448</t>
  </si>
  <si>
    <t>Мшанецька загальноосвітня школа І-ІІ ступенів</t>
  </si>
  <si>
    <t>48161</t>
  </si>
  <si>
    <t>6125085701</t>
  </si>
  <si>
    <t>(03551)4-77-80</t>
  </si>
  <si>
    <t>http://mshanetsschool.ucoz.ru</t>
  </si>
  <si>
    <t>Острівецька загальноосвітня школа І-ІІІ ступенів, що перебуває у комунальній власності Теребовлянської міської ради</t>
  </si>
  <si>
    <t>48107</t>
  </si>
  <si>
    <t>6125086201</t>
  </si>
  <si>
    <t>(03551)4-83-23, (068)323-79-71</t>
  </si>
  <si>
    <t>Гумниська загальноосвітня школа I-IІ ступенів», що знаходиться у комунальній власності Теребовлянської міської ради</t>
  </si>
  <si>
    <t>48172</t>
  </si>
  <si>
    <t>6125086202</t>
  </si>
  <si>
    <t>вул. Підстінка, 65</t>
  </si>
  <si>
    <t>(03551)-4-83-58</t>
  </si>
  <si>
    <t>Плебанівська загальноосвітня школа І-ІІ ступенів</t>
  </si>
  <si>
    <t>48117</t>
  </si>
  <si>
    <t>6125086401</t>
  </si>
  <si>
    <t>вул. Князя Василька, 19</t>
  </si>
  <si>
    <t>(035)5122000, (096)2337660</t>
  </si>
  <si>
    <t>НВК "Залав'євська ЗОШ І ступеня-дошкільний навчальний заклад"</t>
  </si>
  <si>
    <t>48174</t>
  </si>
  <si>
    <t>6125086402</t>
  </si>
  <si>
    <t>Залав'є</t>
  </si>
  <si>
    <t>(03551)48667</t>
  </si>
  <si>
    <t>Підгайчицька загальноосвітня школа І-ІІ ступенів</t>
  </si>
  <si>
    <t>48150</t>
  </si>
  <si>
    <t>6125086601</t>
  </si>
  <si>
    <t>48540</t>
  </si>
  <si>
    <t>Навчально-виховний комплекс"Семенівська загальноосвітня школа І ступеня-дошкільний навчальний заклад"</t>
  </si>
  <si>
    <t>48108</t>
  </si>
  <si>
    <t>6125086603</t>
  </si>
  <si>
    <t>Семенів</t>
  </si>
  <si>
    <t>вул. Бічна</t>
  </si>
  <si>
    <t>0982869697</t>
  </si>
  <si>
    <t>Романівська загальноосвітня школа І-ІІ ступенів, що знаходиться у комунальній власності Теребовлянської міської ради</t>
  </si>
  <si>
    <t>48151</t>
  </si>
  <si>
    <t>6125086901</t>
  </si>
  <si>
    <t>вул. Братів Бойчуків, 39</t>
  </si>
  <si>
    <t>(03551)6-23-88</t>
  </si>
  <si>
    <t>Різдвянська загальноосвітня школа І-ІІ ступенів</t>
  </si>
  <si>
    <t>48178</t>
  </si>
  <si>
    <t>6125087101</t>
  </si>
  <si>
    <t>Різдвяни</t>
  </si>
  <si>
    <t>(03551)-6-31-40</t>
  </si>
  <si>
    <t>Соколівська загальноосвітня школа І-ІІ ступенів</t>
  </si>
  <si>
    <t>48114</t>
  </si>
  <si>
    <t>6125087601</t>
  </si>
  <si>
    <t>(03551)-3-10-75</t>
  </si>
  <si>
    <t>Сороцька загальноосвітня школа І-ІІ ступенів</t>
  </si>
  <si>
    <t>48132</t>
  </si>
  <si>
    <t>6125087801</t>
  </si>
  <si>
    <t>Сороцьке</t>
  </si>
  <si>
    <t>вул. Нова, 37</t>
  </si>
  <si>
    <t>(03551)6-52-40</t>
  </si>
  <si>
    <t>Соснівська загальноосвітня школа І-ІІ ступенів Теребовлянської районної ради Тернопільської області</t>
  </si>
  <si>
    <t>48112</t>
  </si>
  <si>
    <t>6125088001</t>
  </si>
  <si>
    <t>Соснів</t>
  </si>
  <si>
    <t>(3551)34140, (067)9154533</t>
  </si>
  <si>
    <t>Струсівська санаторна загальноосвітня школа-інтернат І-ІІІ ступенів Тернопільської обласної ради</t>
  </si>
  <si>
    <t>48127</t>
  </si>
  <si>
    <t>6125088301</t>
  </si>
  <si>
    <t>Струсів</t>
  </si>
  <si>
    <t>(03551)43548</t>
  </si>
  <si>
    <t>04590990</t>
  </si>
  <si>
    <t>Струсівська загальноосвітня школа І-ІІІ ступенів імені Степана Будного</t>
  </si>
  <si>
    <t>Навчально-виховний комплекс "Варваринська загальноосвітня школа І-ІІ ступенів - дитячий садок" Теребовлянської районної ради Тернопільської області</t>
  </si>
  <si>
    <t>48126</t>
  </si>
  <si>
    <t>6125088302</t>
  </si>
  <si>
    <t>Варваринці</t>
  </si>
  <si>
    <t>вул. Братів Шкамбар, 42</t>
  </si>
  <si>
    <t>(03551)4-36-40</t>
  </si>
  <si>
    <t>Налужська загальноосвітня школа І ступеня дошкільний навчальний заклад</t>
  </si>
  <si>
    <t>48176</t>
  </si>
  <si>
    <t>6125088304</t>
  </si>
  <si>
    <t>Налужжя</t>
  </si>
  <si>
    <t>(068)7642122</t>
  </si>
  <si>
    <t>Сущинська загальноосвітня школа І-ІІ ступенів що знаходиться у комунальній власності Теребовлянської міської ради</t>
  </si>
  <si>
    <t>48131</t>
  </si>
  <si>
    <t>6125088601</t>
  </si>
  <si>
    <t>Сущин</t>
  </si>
  <si>
    <t>(03551)6-66-90</t>
  </si>
  <si>
    <t>Новомогильницька загальноосвітня школа І ступеня</t>
  </si>
  <si>
    <t>48152</t>
  </si>
  <si>
    <t>6125088901</t>
  </si>
  <si>
    <t>Нова Могильниця</t>
  </si>
  <si>
    <t>(097)2127179</t>
  </si>
  <si>
    <t>Старомогильницька загальноосвітня школа І-ІІ ступенів</t>
  </si>
  <si>
    <t>6125088903</t>
  </si>
  <si>
    <t>Стара Могильниця</t>
  </si>
  <si>
    <t>(03551)6-23-29</t>
  </si>
  <si>
    <t>Хмелівська загальноосвітня школа І-ІІ ступенів Теребовлянського району</t>
  </si>
  <si>
    <t>48145</t>
  </si>
  <si>
    <t>6125089201</t>
  </si>
  <si>
    <t>вул. Сонячна, 18</t>
  </si>
  <si>
    <t>(03551)4-42-16</t>
  </si>
  <si>
    <t>Комунальний заклад Великоберезовицька загальноосвітня школа І ступеня Тернопільської районної ради Тернопільської області.</t>
  </si>
  <si>
    <t>47725</t>
  </si>
  <si>
    <t>6125255200</t>
  </si>
  <si>
    <t>Велика Березовиця</t>
  </si>
  <si>
    <t>вул. Національного Відродження, 46</t>
  </si>
  <si>
    <t>(0352)274439</t>
  </si>
  <si>
    <t>Комунальний заклад Великоберезовицька загальноосвітня школа І-ІІІ ступенів Тернопільської районної ради Тернопільської області</t>
  </si>
  <si>
    <t>47724</t>
  </si>
  <si>
    <t>(0352)274246</t>
  </si>
  <si>
    <t>Кип’ячківська ЗОШ 1 ступеня - дитячий садок</t>
  </si>
  <si>
    <t>47742</t>
  </si>
  <si>
    <t>6125255203</t>
  </si>
  <si>
    <t>Кип'ячка</t>
  </si>
  <si>
    <t>вул. І. Франка, 5</t>
  </si>
  <si>
    <t>49-33-22</t>
  </si>
  <si>
    <t>Комунальний заклад навчально-виховний комплекс "Великобірківська загальноосвітня школа І-ІІІ ступенів-гімназія ім. Степана Балея"</t>
  </si>
  <si>
    <t>47740</t>
  </si>
  <si>
    <t>6125255400</t>
  </si>
  <si>
    <t>Великі Бірки</t>
  </si>
  <si>
    <t>(0352)492740</t>
  </si>
  <si>
    <t>Комунальний заклад "Загальноосвітня школа І-ІІІ ступенів села Баворів" Великогаївської сільської ради Тернопільської області</t>
  </si>
  <si>
    <t>6125280301</t>
  </si>
  <si>
    <t>Баворів</t>
  </si>
  <si>
    <t>Комунальний заклад Байковецька ЗОШ І-ІІ ст. Байковецької сільської ради Тернопільської області</t>
  </si>
  <si>
    <t>47711</t>
  </si>
  <si>
    <t>6125280601</t>
  </si>
  <si>
    <t>Байківці</t>
  </si>
  <si>
    <t>вул. Січових стрільців, 12</t>
  </si>
  <si>
    <t>(0352)296238</t>
  </si>
  <si>
    <t>Комунальний заклад Білецька загальноосвітня школа І-ІІ ступенів Тернопільської районної ради Тернопільської області</t>
  </si>
  <si>
    <t>47707</t>
  </si>
  <si>
    <t>6125280701</t>
  </si>
  <si>
    <t>вул. Крушельницької, 47А</t>
  </si>
  <si>
    <t>(0352)299131</t>
  </si>
  <si>
    <t>Комунальний заклад Буцнівська загальноосвітня школа І- ІІІ ступенів Тернопільської районної ради Тернопільської області</t>
  </si>
  <si>
    <t>47730</t>
  </si>
  <si>
    <t>6125280901</t>
  </si>
  <si>
    <t>Буцнів</t>
  </si>
  <si>
    <t>вул. Т. Г. Шевченка, 34</t>
  </si>
  <si>
    <t>(0352)291525</t>
  </si>
  <si>
    <t>http://butsnivschool.blogspot.com/</t>
  </si>
  <si>
    <t>комунальний заклад Серединківська ЗОШ І ступеня Тернопільської районної ради Тернопільської області</t>
  </si>
  <si>
    <t>04773</t>
  </si>
  <si>
    <t>6125280902</t>
  </si>
  <si>
    <t>Серединки</t>
  </si>
  <si>
    <t>вул. Серединецька, 82</t>
  </si>
  <si>
    <t>(380)971596651</t>
  </si>
  <si>
    <t>Комунальний заклад «Загальноосвітня школа І-ІІІ ступенів с. Великі Гаї» Великогаївської сільської ради Тернопільської області</t>
  </si>
  <si>
    <t>47722</t>
  </si>
  <si>
    <t>6125281701</t>
  </si>
  <si>
    <t>Великі Гаї</t>
  </si>
  <si>
    <t>вул. Галицька, 44А</t>
  </si>
  <si>
    <t>(0352)490362</t>
  </si>
  <si>
    <t>Комунальний заклад Великоглибочецька загальноосвітня школа І-ІІІ ступенів імені Ярослава Стецька Тернопільської районної ради Тернопільської області</t>
  </si>
  <si>
    <t>47703</t>
  </si>
  <si>
    <t>6125281901</t>
  </si>
  <si>
    <t>Великий Глибочок</t>
  </si>
  <si>
    <t>(0352)295470</t>
  </si>
  <si>
    <t>http://vel-glybochok.edukit.te.ua</t>
  </si>
  <si>
    <t>Комунальний заклад навчально-виховний комплекс "Загальноосвітня школа І-ІІ ступенів - дошкільний навчальний заклад с. Грабовець" Великогаївської сільської ради Тернопільської області</t>
  </si>
  <si>
    <t>47743</t>
  </si>
  <si>
    <t>6125282301</t>
  </si>
  <si>
    <t>вул. Багата, 2</t>
  </si>
  <si>
    <t>(0352)294433</t>
  </si>
  <si>
    <t>Комунальний заклад НВК "Загальноосвітня школа І ступеня - ДНЗ с. Білоскірка" Великогаївської сільської ради Тернопільської області</t>
  </si>
  <si>
    <t>6125282303</t>
  </si>
  <si>
    <t>Білоскірка</t>
  </si>
  <si>
    <t>вул. Шевченка, 62 а</t>
  </si>
  <si>
    <t>(068)5782787</t>
  </si>
  <si>
    <t>Навчально виховний комплекс "Дичківська ЗОШ І-ІІ ступенів - дошкільний навчальний заклад"</t>
  </si>
  <si>
    <t>6125282401</t>
  </si>
  <si>
    <t>Дичків</t>
  </si>
  <si>
    <t>(0352)294636</t>
  </si>
  <si>
    <t>Комунальний заклад Красівська загальноосвітня школа І ступеня Тернопільської районної ради Тернопільської області</t>
  </si>
  <si>
    <t>6125282404</t>
  </si>
  <si>
    <t>вул. Богдана Хмельницького, 61</t>
  </si>
  <si>
    <t>Комунальний заклад навчально-виховний комплекс "Довжанківська загальноосвітня школа I-III ступенів - дошкільний навчальний заклад" Тернопільської районної ради, Тернопільської області.</t>
  </si>
  <si>
    <t>6125282501</t>
  </si>
  <si>
    <t>вул. Містечко, 46</t>
  </si>
  <si>
    <t>Комунальний заклад навчально виховний комплекс "Домаморицька загальноосвітня школа І-ІІ ступенів-дошкільний навчальний заклад" Тернопільської районної ради Тернопільської області</t>
  </si>
  <si>
    <t>47709</t>
  </si>
  <si>
    <t>6125282601</t>
  </si>
  <si>
    <t>Домаморич</t>
  </si>
  <si>
    <t>(0352)297850</t>
  </si>
  <si>
    <t>http://scooldom.at.ua/</t>
  </si>
  <si>
    <t>Комунальний заклад Драганівська загальноосвітня школа І ступеня Тернопільської районної ради, Тернопільської області</t>
  </si>
  <si>
    <t>47723</t>
  </si>
  <si>
    <t>6125282801</t>
  </si>
  <si>
    <t>Драганівка</t>
  </si>
  <si>
    <t>вул. Листопадова, 69А</t>
  </si>
  <si>
    <t>(0352)551216</t>
  </si>
  <si>
    <t>Комунальний заклад навчально-виховний комплекс "Дубовецька загальноосвітня школа I-II ступенів - дошкільний навчальний заклад" Байковецької сільської ради Тернопільського району Тернопільської області</t>
  </si>
  <si>
    <t>47702</t>
  </si>
  <si>
    <t>6125283101</t>
  </si>
  <si>
    <t>(0352)29-58-37</t>
  </si>
  <si>
    <t>http://www.dubivtsischool.at.ua</t>
  </si>
  <si>
    <t>Комунальний заклад Ігровицька загальноосвітня школа І-ІІ ступенів Тернопільської районної ради Тернопільської області</t>
  </si>
  <si>
    <t>47701</t>
  </si>
  <si>
    <t>6125283401</t>
  </si>
  <si>
    <t>Ігровиця</t>
  </si>
  <si>
    <t>(0352)292710</t>
  </si>
  <si>
    <t>Комунальний заклад Йосипівська загальноосвітня школа І-ІІ ступенів Тернопільської районної ради Тернопільської області</t>
  </si>
  <si>
    <t>47735</t>
  </si>
  <si>
    <t>6125283701</t>
  </si>
  <si>
    <t>(0352)298518</t>
  </si>
  <si>
    <t>Комунальний заклад навчально-виховний комплекс "Загальноосвітня школа І-ІІ ступенів - дошкільно-навчальний заклад с.Козівка" Великогаївської сільської ради Тернопільської області</t>
  </si>
  <si>
    <t>47745</t>
  </si>
  <si>
    <t>6125284101</t>
  </si>
  <si>
    <t>Козівка</t>
  </si>
  <si>
    <t>(0352)29-41-24</t>
  </si>
  <si>
    <t>Комунальний заклад навчально-виховний комплекс «Лозівська загальноосвітня школа І-ІІІ ст. - дошкільний навчальний заклад» Тернопільської районної ради Тернопільської області</t>
  </si>
  <si>
    <t>47706</t>
  </si>
  <si>
    <t>6125284501</t>
  </si>
  <si>
    <t>(0352)298696</t>
  </si>
  <si>
    <t>Комунальний заклад Малоходачківська загальноосвітня школа І-ІІІ ступенів Тернопільської районної ради Тернопільської області</t>
  </si>
  <si>
    <t>47741</t>
  </si>
  <si>
    <t>6125284801</t>
  </si>
  <si>
    <t>Малий Ходачків</t>
  </si>
  <si>
    <t>(097)8489313</t>
  </si>
  <si>
    <t>Комунальний заклад навчально-виховний комплекс "Мар’янівська загально освітня школа І ступеня - дошкільний навчальний заклад"</t>
  </si>
  <si>
    <t>6125284901</t>
  </si>
  <si>
    <t>вул. Івана Франка, 43</t>
  </si>
  <si>
    <t>0964055731</t>
  </si>
  <si>
    <t>комунальний заклад Лучківська загальноосвітня школа І-ІІ ступенів Тернопільської районної ради Тернопільської області</t>
  </si>
  <si>
    <t>47732</t>
  </si>
  <si>
    <t>6125285102</t>
  </si>
  <si>
    <t>Лучка</t>
  </si>
  <si>
    <t>вул. Лесі Українки, 34</t>
  </si>
  <si>
    <t>(0352)296971</t>
  </si>
  <si>
    <t>Навчально-виховний комплекс "Мишковицька загальноосвітня школа І-ІІІ ступенів-дошкільний навчальний заклад" Тернопільської районної ради Тернопільської області</t>
  </si>
  <si>
    <t>6125285401</t>
  </si>
  <si>
    <t>Мишковичі</t>
  </si>
  <si>
    <t>(0352)290744, (0352)290921</t>
  </si>
  <si>
    <t>http://myshkovychi.edukit.te.ua/</t>
  </si>
  <si>
    <t>Комунальний заклад Настасівська загальноосвітня школа І-ІІІ ступенів Тернопільської районної ради Тернопільської області</t>
  </si>
  <si>
    <t>47734</t>
  </si>
  <si>
    <t>6125285701</t>
  </si>
  <si>
    <t>Настасів</t>
  </si>
  <si>
    <t>вул. Шкільна, 301</t>
  </si>
  <si>
    <t>(0352)498041</t>
  </si>
  <si>
    <t>http://nastasiv-school.te.sch.in.ua/</t>
  </si>
  <si>
    <t>комунальний заклад Івачеводолішнівська загальноосвітня школа І ступеня Тернопільської районної ради Тернопільської області</t>
  </si>
  <si>
    <t>6125286001</t>
  </si>
  <si>
    <t>Івачів Долішній</t>
  </si>
  <si>
    <t>Комунальний заклад Острівська загальноосвітня школа І-ІІІ ступенів Тернопільської районної ради Тернопільської області</t>
  </si>
  <si>
    <t>47728</t>
  </si>
  <si>
    <t>6125286401</t>
  </si>
  <si>
    <t>вул. Відродження, 1</t>
  </si>
  <si>
    <t>(0352)291038</t>
  </si>
  <si>
    <t>Комунальний заклад Петриківська загальноосвітня школа І-ІІ ступенів Тернопільської районної ради Тернопільської області</t>
  </si>
  <si>
    <t>47720</t>
  </si>
  <si>
    <t>6125286701</t>
  </si>
  <si>
    <t>Петриків</t>
  </si>
  <si>
    <t>вул. Шептицького, 146Б</t>
  </si>
  <si>
    <t>(0352)495401</t>
  </si>
  <si>
    <t>Комунальний заклад Плотицька загальноосвітня школа І-ІІ ступенів Тернопільської районної ради Тернопільської області</t>
  </si>
  <si>
    <t>47704</t>
  </si>
  <si>
    <t>6125286801</t>
  </si>
  <si>
    <t>(0352)296680</t>
  </si>
  <si>
    <t>Комунальний заклад Підгороднянська ЗОШ І ступеня Тернопільської районної ради ,Тернопільської області</t>
  </si>
  <si>
    <t>47721</t>
  </si>
  <si>
    <t>6125286901</t>
  </si>
  <si>
    <t>Комунальний заклад Почапинська загальноосвітня школа I -III ступенів Тернопільської районної ради Тернопільської області</t>
  </si>
  <si>
    <t>6125287001</t>
  </si>
  <si>
    <t>29-73-46</t>
  </si>
  <si>
    <t>Загальноосвітня школа - садок І ступеня села Забойки Тернопільського району, Тернопільської області.</t>
  </si>
  <si>
    <t>6125287002</t>
  </si>
  <si>
    <t>Забойки</t>
  </si>
  <si>
    <t>вул. Нижня Руська, 1</t>
  </si>
  <si>
    <t>(0352)297342</t>
  </si>
  <si>
    <t>комунальний заклад Романівська загальноосвітня школа першого ступеня</t>
  </si>
  <si>
    <t>47715</t>
  </si>
  <si>
    <t>6125287101</t>
  </si>
  <si>
    <t>вул. Хмельницького, 29</t>
  </si>
  <si>
    <t>(097)5267867</t>
  </si>
  <si>
    <t>Комунальний заклад Ангелівська загальноосвітня школа І-ІІІ ступенів Тернопільської районної ради Тернопільської області</t>
  </si>
  <si>
    <t>47714</t>
  </si>
  <si>
    <t>6125287103</t>
  </si>
  <si>
    <t>Ангелівка</t>
  </si>
  <si>
    <t>(03522)9-31-82</t>
  </si>
  <si>
    <t>комунальний заклад Скоморохівська ЗОШ І-ІІ ст.</t>
  </si>
  <si>
    <t>47744</t>
  </si>
  <si>
    <t>6125287401</t>
  </si>
  <si>
    <t>вул. Галицька, 3Б</t>
  </si>
  <si>
    <t>(035)294532</t>
  </si>
  <si>
    <t>http://skomorohy-ter-school.edukit.te.ua</t>
  </si>
  <si>
    <t>Комуналльний заклад "Загальноосвітня школа І-ІІ ступенів с. Прошова " Великогаївської сільської ради Тернопільської області</t>
  </si>
  <si>
    <t>6125287402</t>
  </si>
  <si>
    <t>Прошова</t>
  </si>
  <si>
    <t>(0352)498858</t>
  </si>
  <si>
    <t>Комунальний заклад Смиковецька загальноосвітня школа І-ІІ ступенів Тернопільської районної ради Тернопільської області</t>
  </si>
  <si>
    <t>6125287501</t>
  </si>
  <si>
    <t>Смиківці</t>
  </si>
  <si>
    <t>вул. С. Бандери, 38</t>
  </si>
  <si>
    <t>(0352)49-44-53</t>
  </si>
  <si>
    <t>Стегниківська філія НВК "Лозівська ЗОШ І-ІІІ ступеня - ДНЗ" Байковецької сільської ради Тернопільського районуТернопільської області</t>
  </si>
  <si>
    <t>47710</t>
  </si>
  <si>
    <t>6125287601</t>
  </si>
  <si>
    <t>Стегниківці</t>
  </si>
  <si>
    <t>(0352)42-90-52</t>
  </si>
  <si>
    <t>Комунальний заклад Ступківська загальноосвітня школа І ступеня Тернопільської районної ради, Тернопільської області</t>
  </si>
  <si>
    <t>6125287701</t>
  </si>
  <si>
    <t>Ступки</t>
  </si>
  <si>
    <t>вул. Тернопільська, 54</t>
  </si>
  <si>
    <t>(0352)49-74-91</t>
  </si>
  <si>
    <t>Комунальний заклад "Загальноосвітня школа І-ІІІ ступенів с.Товстолуг" Великогаївської сільської ради Тернопільської області</t>
  </si>
  <si>
    <t>6125287801</t>
  </si>
  <si>
    <t>Товстолуг</t>
  </si>
  <si>
    <t>493236</t>
  </si>
  <si>
    <t>Чернелево-Руська загальноосвітня школа І ступеня - дитячий садок Тернопільської районної ради Тернопільської області</t>
  </si>
  <si>
    <t>47712</t>
  </si>
  <si>
    <t>6125289201</t>
  </si>
  <si>
    <t>Чернелів-Руський</t>
  </si>
  <si>
    <t>вул. Заводська, 24</t>
  </si>
  <si>
    <t>(0352)293344</t>
  </si>
  <si>
    <t>http://chruskyi.te.sch.in.ua/</t>
  </si>
  <si>
    <t>Комунальний заклад Соборненська загальноосвітня школа І-ІІ ступенів імені Володимира Гарматія Тернопільської районної ради Тернопільської області</t>
  </si>
  <si>
    <t>47713</t>
  </si>
  <si>
    <t>6125289202</t>
  </si>
  <si>
    <t>Соборне</t>
  </si>
  <si>
    <t>(0352)293348</t>
  </si>
  <si>
    <t>https://sobornenska.blogspot.com/</t>
  </si>
  <si>
    <t>Комунальний заклад навчально-виховний комплекс "Шляхтинецька загальноосвітня школа І-ІІ ступенів ім.О.Г. Барвінського - дошкільний навчальний заклад" Байковецької сільської ради Тернопільського району Тернопільської області</t>
  </si>
  <si>
    <t>6125289801</t>
  </si>
  <si>
    <t>Шляхтинці</t>
  </si>
  <si>
    <t>вул. Липова, 1</t>
  </si>
  <si>
    <t>(0352)29-71-22</t>
  </si>
  <si>
    <t>Заводська загальноосвітня школа І-ІІІ ступенів Заводської селищної ради Чортківського району Тернопільської області</t>
  </si>
  <si>
    <t>48623</t>
  </si>
  <si>
    <t>6125555700</t>
  </si>
  <si>
    <t>вул. Галицька, 5</t>
  </si>
  <si>
    <t>(03552)24560</t>
  </si>
  <si>
    <t>Базарська загальноосвітня школа І-ІІІ ступенів</t>
  </si>
  <si>
    <t>6125580401</t>
  </si>
  <si>
    <t>Білобожницька загальноосвітня школа І - ІІІ ступенів</t>
  </si>
  <si>
    <t>48530</t>
  </si>
  <si>
    <t>6125580701</t>
  </si>
  <si>
    <t>Білобожниця</t>
  </si>
  <si>
    <t>(03552)51240</t>
  </si>
  <si>
    <t>http://bilob.chortkiv-osvita.com.ua</t>
  </si>
  <si>
    <t>Білівська загальноосвітня школа І-ІІІ ступенів</t>
  </si>
  <si>
    <t>48514</t>
  </si>
  <si>
    <t>6125581001</t>
  </si>
  <si>
    <t>(252)55240</t>
  </si>
  <si>
    <t>Бичківська загальноосвітня школа І-ІІ ступенів Чортківської районної ради Тернопільської області</t>
  </si>
  <si>
    <t>48512</t>
  </si>
  <si>
    <t>6125581401</t>
  </si>
  <si>
    <t>Бичківці</t>
  </si>
  <si>
    <t>вул. Мурованка, 57</t>
  </si>
  <si>
    <t>(52)1-1-16</t>
  </si>
  <si>
    <t>Горішньовигнанський навчально-виховний комплекс Чортківської районної ради Тернопільської області "загальноосвітній навчальний заклад І - ІІІ ступенів - дошкільний заклад"</t>
  </si>
  <si>
    <t>48515</t>
  </si>
  <si>
    <t>6125582201</t>
  </si>
  <si>
    <t>Горішня Вигнанка</t>
  </si>
  <si>
    <t>(03552)53794</t>
  </si>
  <si>
    <t>Давидківська загальноосвітня школа І-ІІ ступенів Колиндянської сільської ради Тернопільської області</t>
  </si>
  <si>
    <t>48553</t>
  </si>
  <si>
    <t>6125582601</t>
  </si>
  <si>
    <t>Давидківці</t>
  </si>
  <si>
    <t>вул. Ліни Костенко, 15</t>
  </si>
  <si>
    <t>(03552)56740</t>
  </si>
  <si>
    <t>https://sites.google.com/site/schooldavidkivtsi/</t>
  </si>
  <si>
    <t>Джуринська загальноосвітня школа І-ІІІ ступенів Чортківської районної ради Тернопільської області</t>
  </si>
  <si>
    <t>48531</t>
  </si>
  <si>
    <t>6125582901</t>
  </si>
  <si>
    <t>вул. Лесі Українки, 15</t>
  </si>
  <si>
    <t>54-239</t>
  </si>
  <si>
    <t>http://dzhuryn.ucoz.ua/</t>
  </si>
  <si>
    <t>Джуринськослобідківський навчально-виховний комплекс "загальноосвітній навчальний заклад І-ІІ ступенів - дошкільний навчальний заклад"</t>
  </si>
  <si>
    <t>48571</t>
  </si>
  <si>
    <t>6125582902</t>
  </si>
  <si>
    <t>Джуринська Слобідка</t>
  </si>
  <si>
    <t>Заболотівська загальноосвітня школа</t>
  </si>
  <si>
    <t>48562</t>
  </si>
  <si>
    <t>6125583101</t>
  </si>
  <si>
    <t>Заболотівка</t>
  </si>
  <si>
    <t>вул. Нензалежності, 80</t>
  </si>
  <si>
    <t>(803552)65340</t>
  </si>
  <si>
    <t>Залісянська загальноосвітня школа І -ІІ ступенів</t>
  </si>
  <si>
    <t>48561</t>
  </si>
  <si>
    <t>6125583201</t>
  </si>
  <si>
    <t>(03552)57144</t>
  </si>
  <si>
    <t>Звиняцька загальноосвітня школа І-ІІ ступенів</t>
  </si>
  <si>
    <t>48510</t>
  </si>
  <si>
    <t>6125583601</t>
  </si>
  <si>
    <t>Звиняч</t>
  </si>
  <si>
    <t>(03552)52450</t>
  </si>
  <si>
    <t>Капустинська загальноосвітня школа І ступеня</t>
  </si>
  <si>
    <t>48564</t>
  </si>
  <si>
    <t>6125584001</t>
  </si>
  <si>
    <t>(03552)39239</t>
  </si>
  <si>
    <t>Колиндянська ЗОШ І-ІІІ ст.</t>
  </si>
  <si>
    <t>48552</t>
  </si>
  <si>
    <t>6125584501</t>
  </si>
  <si>
    <t>Колиндяни</t>
  </si>
  <si>
    <t>вул. Грушевського, 99</t>
  </si>
  <si>
    <t>(03552)55540, (03552)55547</t>
  </si>
  <si>
    <t>Косівська загальноосвітня школа І-ІІІ ступенів Чортківської районної ради Тернопільської області</t>
  </si>
  <si>
    <t>48511</t>
  </si>
  <si>
    <t>6125584901</t>
  </si>
  <si>
    <t>вул. Івана Франка, 17А</t>
  </si>
  <si>
    <t>(03552)52744</t>
  </si>
  <si>
    <t>Коцюбинчицька загальноосвітня школа І-ІІ ступенів Чортківської районної ради Тернопільської області</t>
  </si>
  <si>
    <t>48526</t>
  </si>
  <si>
    <t>6125585201</t>
  </si>
  <si>
    <t>Коцюбинчики</t>
  </si>
  <si>
    <t>(0355262)437</t>
  </si>
  <si>
    <t>Кривеньківська загальноосвітня школа І-ІІ ступенів</t>
  </si>
  <si>
    <t>48522</t>
  </si>
  <si>
    <t>6125585501</t>
  </si>
  <si>
    <t>Кривеньке</t>
  </si>
  <si>
    <t>(03552)62895</t>
  </si>
  <si>
    <t>Милівецька загальноосвітня школа І-ІІ ступенів Чортківської районної ради Тернопільської області</t>
  </si>
  <si>
    <t>48563</t>
  </si>
  <si>
    <t>6125585701</t>
  </si>
  <si>
    <t>Милівці</t>
  </si>
  <si>
    <t>(03552)65338</t>
  </si>
  <si>
    <t>https://sites.google.com/site/mylivezka/</t>
  </si>
  <si>
    <t>Мухавська загальноосвітня школа І-ІІ ступенів Чортківського району Тернопільської області</t>
  </si>
  <si>
    <t>48575</t>
  </si>
  <si>
    <t>6125585801</t>
  </si>
  <si>
    <t>Мухавка</t>
  </si>
  <si>
    <t>(03552)66-7-12</t>
  </si>
  <si>
    <t>Нагірянська загальноосвітня школа І-ІІ ступенів Чортківський район Тернопільська область</t>
  </si>
  <si>
    <t>48543</t>
  </si>
  <si>
    <t>6125585901</t>
  </si>
  <si>
    <t>Нагірянка</t>
  </si>
  <si>
    <t>(03552)64-5-40</t>
  </si>
  <si>
    <t>Палашівська загальноосвітня школа І-ІІ ст.</t>
  </si>
  <si>
    <t>48532</t>
  </si>
  <si>
    <t>6125586301</t>
  </si>
  <si>
    <t>Палашівка</t>
  </si>
  <si>
    <t>0355254147</t>
  </si>
  <si>
    <t>Криволуцька загальноосвітня школа І ступенів</t>
  </si>
  <si>
    <t>6125586302</t>
  </si>
  <si>
    <t>Криволука</t>
  </si>
  <si>
    <t>380982235345</t>
  </si>
  <si>
    <t>Полівецька загальноосвітня школа І-ІІ ступенів Чортківської районної ради Тернопільської області</t>
  </si>
  <si>
    <t>48576</t>
  </si>
  <si>
    <t>6125586501</t>
  </si>
  <si>
    <t>Полівці</t>
  </si>
  <si>
    <t>Пробіжнянська загальноосвітня школа І ступеня Чортківського району Тернопільської області</t>
  </si>
  <si>
    <t>48520</t>
  </si>
  <si>
    <t>6125586701</t>
  </si>
  <si>
    <t>Пробіжна</t>
  </si>
  <si>
    <t>вул. Церковна</t>
  </si>
  <si>
    <t>(03552)61252</t>
  </si>
  <si>
    <t>Пробіжнянська загальноосвітня школа І-ІІІ ступенів Чортківської районної ради Тернопільської області</t>
  </si>
  <si>
    <t>вул. Вітвінського 4</t>
  </si>
  <si>
    <t>(03552)61478</t>
  </si>
  <si>
    <t>http://prob.chortkiv-osvita.com.ua</t>
  </si>
  <si>
    <t>Ромашівський навчально-виховний комплекс "загальноосвітня школа І-ІІ ступенів - дошкільний навчальний заклад"</t>
  </si>
  <si>
    <t>6125586801</t>
  </si>
  <si>
    <t>Ромашівка</t>
  </si>
  <si>
    <t>(03552)54662</t>
  </si>
  <si>
    <t>Росохацька загальноосвітня школа І-ІІІ ступенів Чортківської районної ради Тернопільської області</t>
  </si>
  <si>
    <t>48560</t>
  </si>
  <si>
    <t>6125587001</t>
  </si>
  <si>
    <t>вул. Незалежності, 4 А</t>
  </si>
  <si>
    <t>56510</t>
  </si>
  <si>
    <t>Ридодубівська загальноосвітня школа І-ІІ ступенів</t>
  </si>
  <si>
    <t>48577</t>
  </si>
  <si>
    <t>6125587101</t>
  </si>
  <si>
    <t>Ридодуби</t>
  </si>
  <si>
    <t>(03552)51540</t>
  </si>
  <si>
    <t>http://rud.chortkiv-osvita.com.ua</t>
  </si>
  <si>
    <t>Свидівська загальноосвітня школа І-ІІ ступенів Чортківської районної ради Тернопільської області</t>
  </si>
  <si>
    <t>48544</t>
  </si>
  <si>
    <t>6125587301</t>
  </si>
  <si>
    <t>Свидова</t>
  </si>
  <si>
    <t>вул. С. Бандери, 72</t>
  </si>
  <si>
    <t>(03552)66-7-40</t>
  </si>
  <si>
    <t>Антонівська загальноосвітня школа І ступенів Чортківської районної ради Тернопільської області</t>
  </si>
  <si>
    <t>6125587302</t>
  </si>
  <si>
    <t>Скородинська загальноосвітня школа І-ІІ ступенів</t>
  </si>
  <si>
    <t>48513</t>
  </si>
  <si>
    <t>6125587401</t>
  </si>
  <si>
    <t>Скородинці</t>
  </si>
  <si>
    <t>(03553)52173</t>
  </si>
  <si>
    <t>http://skor.chortkiv-osvita.com.ua/</t>
  </si>
  <si>
    <t>Сосулівська загальноосвітня школа І-ІІ ступенів Чортківської районної ради Тернопільської області</t>
  </si>
  <si>
    <t>48579</t>
  </si>
  <si>
    <t>6125587501</t>
  </si>
  <si>
    <t>Сосулівка</t>
  </si>
  <si>
    <t>вул. Сагайдачного, 46</t>
  </si>
  <si>
    <t>(03552)66440</t>
  </si>
  <si>
    <t>Староягільницька загальноосвітня школа I-II ступенів</t>
  </si>
  <si>
    <t>6125587601</t>
  </si>
  <si>
    <t>Стара Ягільниця</t>
  </si>
  <si>
    <t>58140</t>
  </si>
  <si>
    <t>Товстеньківська загальноосвітня школа І-ІІ ступенів</t>
  </si>
  <si>
    <t>48521</t>
  </si>
  <si>
    <t>6125587701</t>
  </si>
  <si>
    <t>Товстеньке</t>
  </si>
  <si>
    <t>(03552)62140</t>
  </si>
  <si>
    <t>http://tov.chortkiv-osvita.com.ua/</t>
  </si>
  <si>
    <t>Тарнавська загальноосвітня школа І ступеня Колиндянської сільської ради Тернопільської області</t>
  </si>
  <si>
    <t>6125587801</t>
  </si>
  <si>
    <t>Тарнавка</t>
  </si>
  <si>
    <t>вул. Л. Українки, 13 а</t>
  </si>
  <si>
    <t>(035)5256113</t>
  </si>
  <si>
    <t>Угринська загальноосвітня школа І-ІІ ступенів Заводської селищної ради Чортківського району Тернопільської області</t>
  </si>
  <si>
    <t>48550</t>
  </si>
  <si>
    <t>6125588001</t>
  </si>
  <si>
    <t>Угринь</t>
  </si>
  <si>
    <t>(035-52)59-2-17</t>
  </si>
  <si>
    <t>http://ugrinschool.at.ua/</t>
  </si>
  <si>
    <t>Улашківська загальноосвітня школа І-ІІІ ступенів</t>
  </si>
  <si>
    <t>6125588301</t>
  </si>
  <si>
    <t>Улашківці</t>
  </si>
  <si>
    <t>(03552)65440</t>
  </si>
  <si>
    <t>Великочорнокінецька загальноосвітня школа І-ІІІ ступенів Колиндянської сільської ради Тернопільської області</t>
  </si>
  <si>
    <t>48524</t>
  </si>
  <si>
    <t>6125588601</t>
  </si>
  <si>
    <t>Великі Чорнокінці</t>
  </si>
  <si>
    <t>(03552)62540</t>
  </si>
  <si>
    <t>Чорнокінецько-Волянська загальноосвітня школа І-ІІ ступенів</t>
  </si>
  <si>
    <t>48554</t>
  </si>
  <si>
    <t>6125588801</t>
  </si>
  <si>
    <t>Чорнокінецька Воля</t>
  </si>
  <si>
    <t>(03552)63-1-40</t>
  </si>
  <si>
    <t>Шманьківська загальноосвітня школа І-ІІ ступенів</t>
  </si>
  <si>
    <t>48580</t>
  </si>
  <si>
    <t>6125589201</t>
  </si>
  <si>
    <t>Шманьківці</t>
  </si>
  <si>
    <t>вул. Степана Чарнецького, 16</t>
  </si>
  <si>
    <t>(3803552)57340</t>
  </si>
  <si>
    <t>Шманьківчицька загальноосвітня школа І ступеня</t>
  </si>
  <si>
    <t>48551</t>
  </si>
  <si>
    <t>6125589301</t>
  </si>
  <si>
    <t>Шманьківчики</t>
  </si>
  <si>
    <t>(03552)56290</t>
  </si>
  <si>
    <t>Шульганівська Загальноосвітня школа</t>
  </si>
  <si>
    <t>48541</t>
  </si>
  <si>
    <t>6125589501</t>
  </si>
  <si>
    <t>Шульганівка</t>
  </si>
  <si>
    <t>64-4-20</t>
  </si>
  <si>
    <t>Ягільницька загальноосвітня школа І - ІІІ ступенів</t>
  </si>
  <si>
    <t>48542</t>
  </si>
  <si>
    <t>6125589801</t>
  </si>
  <si>
    <t>Ягільниця</t>
  </si>
  <si>
    <t>(03552)64340</t>
  </si>
  <si>
    <t>Шумська загальноосвітня школа І-ІІІ ступенів № 1</t>
  </si>
  <si>
    <t>47100</t>
  </si>
  <si>
    <t>6125810100</t>
  </si>
  <si>
    <t>Шумськ</t>
  </si>
  <si>
    <t>(03558)21344</t>
  </si>
  <si>
    <t>Шумський ліцей</t>
  </si>
  <si>
    <t>(03558)21242</t>
  </si>
  <si>
    <t>Шумський навчально-виховний комплекс "Загальноосвітній навчальний заклад I-III ст.-гімназія".</t>
  </si>
  <si>
    <t>(03558)21154</t>
  </si>
  <si>
    <t>http://shumsk-nvk.edukit.te.ua</t>
  </si>
  <si>
    <t>Андрушівський навчально-виховний комплекс "загальноосвітній навчальний заклад I-ІІІ ступенів - дошкільний навчальний заклад"</t>
  </si>
  <si>
    <t>47111</t>
  </si>
  <si>
    <t>6125880302</t>
  </si>
  <si>
    <t>(24630728)57381</t>
  </si>
  <si>
    <t>Боложівська загальноосвітня школа І-ІІ ступенів</t>
  </si>
  <si>
    <t>47115</t>
  </si>
  <si>
    <t>6125880601</t>
  </si>
  <si>
    <t>Боложівка</t>
  </si>
  <si>
    <t>(50)144</t>
  </si>
  <si>
    <t>Бриківський навчально-виховний комплекс "загальноосвітній навчальний заклад І-ІІ ступенів - дошкільний навчальний заклад"</t>
  </si>
  <si>
    <t>47140</t>
  </si>
  <si>
    <t>6125880901</t>
  </si>
  <si>
    <t>Бриків</t>
  </si>
  <si>
    <t>Биковецький навчально-виховний комплекс "загальноосвітній навчальний заклад І-ІІ ступенів - дошкільний навчальний заклад"</t>
  </si>
  <si>
    <t>47141</t>
  </si>
  <si>
    <t>6125881201</t>
  </si>
  <si>
    <t>Биківці</t>
  </si>
  <si>
    <t>вул. Cадова, 14</t>
  </si>
  <si>
    <t>57-759</t>
  </si>
  <si>
    <t>Васьковецька загальноосвітня школа І-ІІ ступенів</t>
  </si>
  <si>
    <t>47113</t>
  </si>
  <si>
    <t>6125881501</t>
  </si>
  <si>
    <t>Васьківці</t>
  </si>
  <si>
    <t>(03558)20670</t>
  </si>
  <si>
    <t>Кутівська загальноосвітня школа І ступеня</t>
  </si>
  <si>
    <t>47112</t>
  </si>
  <si>
    <t>6125881502</t>
  </si>
  <si>
    <t>Малосадківська загальноосвітня школа І-ІІ ступенів</t>
  </si>
  <si>
    <t>47114</t>
  </si>
  <si>
    <t>6125881503</t>
  </si>
  <si>
    <t>Малі Садки</t>
  </si>
  <si>
    <t>(03558)46530</t>
  </si>
  <si>
    <t>Великодедеркальська загальноосвітня школа І-ІІІ ступенів Шумської районої ради Тернопільської області</t>
  </si>
  <si>
    <t>47144</t>
  </si>
  <si>
    <t>6125881801</t>
  </si>
  <si>
    <t>Великі Дедеркали</t>
  </si>
  <si>
    <t>(03558)31286</t>
  </si>
  <si>
    <t>Вовківський навчально -виховний комплекс "загальноосвітній навчальний заклад І ступеня - дошкільний навчальний заклад"</t>
  </si>
  <si>
    <t>6125881802</t>
  </si>
  <si>
    <t>(050)6055276</t>
  </si>
  <si>
    <t>Великозагайцівський навчально-виховний комплекс "загальноосвітній навчальний заклад І-ІІІ ступенів - дошкільний навчальний заклад"</t>
  </si>
  <si>
    <t>47153</t>
  </si>
  <si>
    <t>6125882101</t>
  </si>
  <si>
    <t>Великі Загайці</t>
  </si>
  <si>
    <t>Вілійський навчально-виховний комплекс "загальноосвітній навчальний заклад І-ІІІ ступенів - дошкільний навчальний заклад"</t>
  </si>
  <si>
    <t>47150</t>
  </si>
  <si>
    <t>6125882401</t>
  </si>
  <si>
    <t>(56)121</t>
  </si>
  <si>
    <t>Тетильківський навчально-виховний комплекс "загальноосвітній навчальний заклад І-ІІ ступенів - дошкільний навчальний заклад" (об'єднання)</t>
  </si>
  <si>
    <t>6125882403</t>
  </si>
  <si>
    <t>Тетильківці</t>
  </si>
  <si>
    <t>вул. Шкільна, 49А</t>
  </si>
  <si>
    <t>(03558)56-1-36</t>
  </si>
  <si>
    <t>Жолобківський навчально-виховний комплекс "загальноосвітній навчальний заклад І-ІІ ступенів дошкільний навчальний заклад"</t>
  </si>
  <si>
    <t>47124</t>
  </si>
  <si>
    <t>6125882801</t>
  </si>
  <si>
    <t>Жолобки</t>
  </si>
  <si>
    <t>0355855310</t>
  </si>
  <si>
    <t>Залісцівський навчально-виховний комплекс "загальноосвітній навчальний заклад І-ІІІ ступенів - дошкільний навчальний заклад"</t>
  </si>
  <si>
    <t>47122</t>
  </si>
  <si>
    <t>6125883101</t>
  </si>
  <si>
    <t>вул. Каштанова, 11</t>
  </si>
  <si>
    <t>(03558)5-53-83</t>
  </si>
  <si>
    <t>http://zalistsi-nvk.edukit.te.ua</t>
  </si>
  <si>
    <t>Великоіловицький навчально-виховний комплекс "загальноосвітній навчальний заклад І-ІІ ступенів- дошкільний навчальний заклад" ім.Г.М.Петрука-Попика</t>
  </si>
  <si>
    <t>47110</t>
  </si>
  <si>
    <t>6125883501</t>
  </si>
  <si>
    <t>Велика Іловиця</t>
  </si>
  <si>
    <t>(03558)54-1-13</t>
  </si>
  <si>
    <t>Кордишівський навчально - виховний комплекс "загально - освітній навчальний заклад І - ІІ ступенів - дошкільний навчальний заклад"</t>
  </si>
  <si>
    <t>47131</t>
  </si>
  <si>
    <t>6125884401</t>
  </si>
  <si>
    <t>Кордишів</t>
  </si>
  <si>
    <t>вул. Українська, 26</t>
  </si>
  <si>
    <t>(03558)55632</t>
  </si>
  <si>
    <t>Літовищенський навчально-виховний комплекс "загальноосвітній навчальний заклад І-ІІ ступенів - дошкільний навчальний заклад" Шумського району Тернопільської області</t>
  </si>
  <si>
    <t>6125884801</t>
  </si>
  <si>
    <t>Літовище</t>
  </si>
  <si>
    <t>(03558)54-1-37</t>
  </si>
  <si>
    <t>Людвищенський навчально-виховний комплекс" Загальноосвітній навчальний заклад І-ІІ ступенів- дошкільний навчальний заклад"</t>
  </si>
  <si>
    <t>47130</t>
  </si>
  <si>
    <t>6125885101</t>
  </si>
  <si>
    <t>Людвище</t>
  </si>
  <si>
    <t>вул. Б.Хмельницького, 67</t>
  </si>
  <si>
    <t>(38)0966328602, (38)0687352108</t>
  </si>
  <si>
    <t>Матвіївський навчально-виховний комплекс "загальноосвітній навчальний заклад І-ІІІ ступенів - дошкільний навчальний заклад"</t>
  </si>
  <si>
    <t>47164</t>
  </si>
  <si>
    <t>6125885401</t>
  </si>
  <si>
    <t>Матвіївці</t>
  </si>
  <si>
    <t>(03558)46423</t>
  </si>
  <si>
    <t>Мізюринська загальноосвітня школа І ступеня</t>
  </si>
  <si>
    <t>47155</t>
  </si>
  <si>
    <t>6125885501</t>
  </si>
  <si>
    <t>Мізюринці</t>
  </si>
  <si>
    <t>вул. Пришкільна, 1</t>
  </si>
  <si>
    <t>0686292139</t>
  </si>
  <si>
    <t>Піщатинський навчально-виховний комплекс "загальноосвітній навчальний заклад І-ІІ ступенів - дошкільний навчальний заклад"</t>
  </si>
  <si>
    <t>47163</t>
  </si>
  <si>
    <t>6125885601</t>
  </si>
  <si>
    <t>Піщатинці</t>
  </si>
  <si>
    <t>вул. Лановецька</t>
  </si>
  <si>
    <t>(03558)46401</t>
  </si>
  <si>
    <t>Підгаєцький навчально-виховний комплекс "загальноосвітній навчальний заклад І ступеня -дошкільний навчальний заклад "</t>
  </si>
  <si>
    <t>47162</t>
  </si>
  <si>
    <t>6125885901</t>
  </si>
  <si>
    <t>(38)0671810902</t>
  </si>
  <si>
    <t>Угорський навчально-виховний комплекс "загальноосвітній навчальний заклад І-ІІ ступенів - дошкільний навчальний заклад"</t>
  </si>
  <si>
    <t>47121</t>
  </si>
  <si>
    <t>6125886201</t>
  </si>
  <si>
    <t>Угорськ</t>
  </si>
  <si>
    <t>(03558)53150</t>
  </si>
  <si>
    <t>Потуторівська загальноосвітня школа І ступеня Шумського району Тернопільської області</t>
  </si>
  <si>
    <t>47142</t>
  </si>
  <si>
    <t>6125886301</t>
  </si>
  <si>
    <t>Потуторів</t>
  </si>
  <si>
    <t>(03558)57829</t>
  </si>
  <si>
    <t>Радошівська загальноосвітня школа І ступеня</t>
  </si>
  <si>
    <t>47146</t>
  </si>
  <si>
    <t>6125886501</t>
  </si>
  <si>
    <t>Радошівка</t>
  </si>
  <si>
    <t>Обицький навчально-виховний комплекс "загальноосвітній навчальний заклад І-ІІ ступенів-дошкільний навчальний заклад"</t>
  </si>
  <si>
    <t>47123</t>
  </si>
  <si>
    <t>6125886703</t>
  </si>
  <si>
    <t>Обич</t>
  </si>
  <si>
    <t>(44)1-30</t>
  </si>
  <si>
    <t>Садківський навчально-виховний комплекс "загальноосвітній навчальний заклад I-II ступенів-дошкільний навчальний заклад"</t>
  </si>
  <si>
    <t>47143</t>
  </si>
  <si>
    <t>6125886901</t>
  </si>
  <si>
    <t>(03558)55726</t>
  </si>
  <si>
    <t>Соснівська загальноосвітня школа І ступеня</t>
  </si>
  <si>
    <t>47132</t>
  </si>
  <si>
    <t>6125887201</t>
  </si>
  <si>
    <t>0678452817</t>
  </si>
  <si>
    <t>Бірківський навчально-виховний комплекс"загальноосвітній навчальний заклад І-ІІ ступенів" -дошкільний навчальний заклад</t>
  </si>
  <si>
    <t>47133</t>
  </si>
  <si>
    <t>6125887203</t>
  </si>
  <si>
    <t>Стіжоцький навчально-виховний комплекс"загальноосвітній навчальний заклад І-ІІ ступенів -дошкільний навчальний заклад"</t>
  </si>
  <si>
    <t>47120</t>
  </si>
  <si>
    <t>6125887501</t>
  </si>
  <si>
    <t>Стіжок</t>
  </si>
  <si>
    <t>Суразький навчально-виховний комплекс "загальноосвітній навчальний заклад І-ІІІ ступенів - дошкільний навчальний заклад"</t>
  </si>
  <si>
    <t>6125887801</t>
  </si>
  <si>
    <t>Сураж</t>
  </si>
  <si>
    <t>ал. вул. Рудка, 1</t>
  </si>
  <si>
    <t>(03558)57184</t>
  </si>
  <si>
    <t>Темногаєцький навчально - виховний комплекс "загальноосвітній навчальний заклад І - ІІ ступенів - дошкільний навчальний заклад"</t>
  </si>
  <si>
    <t>47154</t>
  </si>
  <si>
    <t>6125888101</t>
  </si>
  <si>
    <t>Темногайці</t>
  </si>
  <si>
    <t>(035)5846118</t>
  </si>
  <si>
    <t>Тилявський навчально-виховний комплекс "загальноосвітній навчальний заклад І-ІІІ ступенів-дошкільний навчальний заклад"</t>
  </si>
  <si>
    <t>6125888401</t>
  </si>
  <si>
    <t>Тилявка</t>
  </si>
  <si>
    <t>(03558)57-5-22</t>
  </si>
  <si>
    <t>Цеценівський навчально-виховний комплекс ''загальноосвітній навчальний заклад І - ІІ ступенів - дошкільний навчальний заклад''</t>
  </si>
  <si>
    <t>47151</t>
  </si>
  <si>
    <t>6125888701</t>
  </si>
  <si>
    <t>Цеценівка</t>
  </si>
  <si>
    <t>(03558)56-3-11</t>
  </si>
  <si>
    <t>Шкроботівський навчально-виховний комплекс "загальноосвітній навчальний заклад І-ІІ ступенів - дошкільний навчальний заклад"</t>
  </si>
  <si>
    <t>47145</t>
  </si>
  <si>
    <t>6125889201</t>
  </si>
  <si>
    <t>Шкроботівка</t>
  </si>
  <si>
    <t>(03558)44330</t>
  </si>
  <si>
    <t>Шумбарський навчально-виховний комплекс "загальноосвітній навчальний заклад І-ІІ ступенів - дошкільний навчальний заклад", Шумського району, Тернопільської області</t>
  </si>
  <si>
    <t>47152</t>
  </si>
  <si>
    <t>6125889501</t>
  </si>
  <si>
    <t>Шумбар</t>
  </si>
  <si>
    <t>0355845130</t>
  </si>
  <si>
    <t>Новоставська загальноосвітня школа І ступеня с. Новостав Шумського району Тернопільської області</t>
  </si>
  <si>
    <t>6125889502</t>
  </si>
  <si>
    <t>0987516883</t>
  </si>
  <si>
    <t>Комунальний заклад " Харківський навчально-виховний комплекс № 21 Харківської міської ради Харківської області"</t>
  </si>
  <si>
    <t>61044</t>
  </si>
  <si>
    <t>6310100000</t>
  </si>
  <si>
    <t>Харківська область</t>
  </si>
  <si>
    <t>Харків</t>
  </si>
  <si>
    <t>вул. Тракторна, 3/12</t>
  </si>
  <si>
    <t>http://nvk21.klasna.com</t>
  </si>
  <si>
    <t>Комунальний заклад "Харківська загальноосвітня санаторна школа-інтернат I-II ступенів № 11" Харківської обласної ради.</t>
  </si>
  <si>
    <t>вул. Електровозна, 3А</t>
  </si>
  <si>
    <t>(0572)991001, (0572)992134</t>
  </si>
  <si>
    <t>http://www.sanschool11.org.ua</t>
  </si>
  <si>
    <t>24481636</t>
  </si>
  <si>
    <t>Комунальний заклад "Харківська загальноосвітня санаторна школа-інтернат І-ІІІ ступенів № 9" Харківської обласної ради</t>
  </si>
  <si>
    <t>61019</t>
  </si>
  <si>
    <t>вул. Катаєва, 20</t>
  </si>
  <si>
    <t>(057)376-36-20, (057)376-01-75</t>
  </si>
  <si>
    <t>http://internat9.org.ua</t>
  </si>
  <si>
    <t>22678613</t>
  </si>
  <si>
    <t>Комунальний заклад "Харківська загальноосвітня школа І-ІІ ступенів № 79 Харківської міської ради Харківської області імені Героя Радянського Союзу В.Д. Поколодного"</t>
  </si>
  <si>
    <t>61071</t>
  </si>
  <si>
    <t>вул. Карачівське шосе, 9</t>
  </si>
  <si>
    <t>(057)376-22-49</t>
  </si>
  <si>
    <t>http://school79.edu.kh.ua/</t>
  </si>
  <si>
    <t>Комунальний заклад "Харківська загальноосвітня школа І-ІІІ ступенів № 63 Харківської міської ради Харківської області"</t>
  </si>
  <si>
    <t>61046</t>
  </si>
  <si>
    <t>43/19</t>
  </si>
  <si>
    <t>392-03-37</t>
  </si>
  <si>
    <t>http://school63.klasna.com</t>
  </si>
  <si>
    <t>Комунальний заклад "Харківська загальноосвітня школа І-ІІІ ступенів № 175 "Кулиничівська" Харківської міської ради Харківської області"</t>
  </si>
  <si>
    <t>61026</t>
  </si>
  <si>
    <t>вул. Грищенка, 5</t>
  </si>
  <si>
    <t>7403546</t>
  </si>
  <si>
    <t>http://school175.edu.kh.ua</t>
  </si>
  <si>
    <t>Комунальний заклад "Харківська загальноосвітня школа-інтернат І-ІІ ступенів № 14 Харківської міської ради"</t>
  </si>
  <si>
    <t>61110</t>
  </si>
  <si>
    <t>вул. Артема Веделя, 7</t>
  </si>
  <si>
    <t>(057)7381704</t>
  </si>
  <si>
    <t>http://www.internat14.edu.kh.ua</t>
  </si>
  <si>
    <t>24483990</t>
  </si>
  <si>
    <t>Комунальний заклад "Харківська спеціалізована школа І-ІІІ ступенів № 166 "Вертикаль" Харківської міської ради Харківської області"</t>
  </si>
  <si>
    <t>61195</t>
  </si>
  <si>
    <t>вул. Метробудівників, 17</t>
  </si>
  <si>
    <t>(0572)684165</t>
  </si>
  <si>
    <t>http://sch166.klasna.com</t>
  </si>
  <si>
    <t>Комунальний заклад "Харківська спеціалізована школа ІІ-ІІІ ступенів № 3 Харківської міської ради Харківської області"</t>
  </si>
  <si>
    <t>61068</t>
  </si>
  <si>
    <t>(057)7325585</t>
  </si>
  <si>
    <t>http://kharkivschool3.at.ua</t>
  </si>
  <si>
    <t>Комунальний заклад "Харківська спеціальна загальноосвітня школа-інтернат I-III ступенів № 12" Харківської обласної ради</t>
  </si>
  <si>
    <t>вул. Боротьби, 1</t>
  </si>
  <si>
    <t>(057)392-47-88, (057)392-14-16</t>
  </si>
  <si>
    <t>21183157</t>
  </si>
  <si>
    <t>Комунальний заклад "Харківська спеціальна загальноосвітня школа-інтернат I-III ступенів № 6" Харківської обласної ради</t>
  </si>
  <si>
    <t>61089</t>
  </si>
  <si>
    <t>вул. Франтішека Крала, 49</t>
  </si>
  <si>
    <t>(057)93-50-98</t>
  </si>
  <si>
    <t>http://schoolfordeaf.kh.ua</t>
  </si>
  <si>
    <t>22645097</t>
  </si>
  <si>
    <t>Комунальний заклад "Харківський спеціальний навчально-виховний комплекс № 7" Харківської обласної ради</t>
  </si>
  <si>
    <t>61033</t>
  </si>
  <si>
    <t>вул. Шевченко, 222</t>
  </si>
  <si>
    <t>(057)707-08-50</t>
  </si>
  <si>
    <t>http://schoolinternat.com.ua/</t>
  </si>
  <si>
    <t>14086979</t>
  </si>
  <si>
    <t>Комунальний заклад "Харківський спеціальний навчально-виховний комплекс" Харківської обласної ради</t>
  </si>
  <si>
    <t>61174</t>
  </si>
  <si>
    <t>вул. Архітекторів, 36А</t>
  </si>
  <si>
    <t>14087938</t>
  </si>
  <si>
    <t>Комунальний заклад "Харківський фізико-математичний ліцей № 27 Харківської міської ради Харківської області"</t>
  </si>
  <si>
    <t>61004</t>
  </si>
  <si>
    <t>вул. Мар'їнська, 12/14</t>
  </si>
  <si>
    <t>(057)733-03-64</t>
  </si>
  <si>
    <t>http://pml27.klasna.com/</t>
  </si>
  <si>
    <t>21254911</t>
  </si>
  <si>
    <t>Комунальний заклад «Обласна спеціалізована школа-інтернат ІІ-ІІІ ступенів «Обдарованість» Харківської обласної ради»</t>
  </si>
  <si>
    <t>вул. Миру, 102А</t>
  </si>
  <si>
    <t>(0572)991003</t>
  </si>
  <si>
    <t>http://Obdarovanist.at.ua</t>
  </si>
  <si>
    <t>23004348</t>
  </si>
  <si>
    <t>Комунальний заклад «Харківський спеціальний навчально-виховний комплекс ім. В. Г. Короленка» Харківської обласної ради</t>
  </si>
  <si>
    <t>61058</t>
  </si>
  <si>
    <t>вул. Сумська, 55</t>
  </si>
  <si>
    <t>(057)7004872</t>
  </si>
  <si>
    <t>http://educom.org.ua</t>
  </si>
  <si>
    <t>14084549</t>
  </si>
  <si>
    <t>Приватний заклад "Харківський навчально-виховний комплекс "МИР" Харківської області"</t>
  </si>
  <si>
    <t>61183</t>
  </si>
  <si>
    <t>вул. Родникова, 9, кв.87</t>
  </si>
  <si>
    <t>(057)7512537</t>
  </si>
  <si>
    <t>http://nvk-mir.com.ua</t>
  </si>
  <si>
    <t>Приватний заклад "Харківська приватна загальноосвітня школа І-ІІІ ступенів "Лєствіца" Харківської області"</t>
  </si>
  <si>
    <t>61024</t>
  </si>
  <si>
    <t>вул. Пушкінська, 100</t>
  </si>
  <si>
    <t>(057)7588803</t>
  </si>
  <si>
    <t>http://www.lestvitsa.com</t>
  </si>
  <si>
    <t>англійська,китайська</t>
  </si>
  <si>
    <t>Харківська вечірня (змінна) школа ІІ-ІІІ ступенів № 5 Харківської міської ради Харківської області</t>
  </si>
  <si>
    <t>61038</t>
  </si>
  <si>
    <t>вул. Маршала Батицького, 2</t>
  </si>
  <si>
    <t>(057)738-12-56, (057)738-13-16</t>
  </si>
  <si>
    <t>http://vechirnya-shkola5.edu.kh.ua</t>
  </si>
  <si>
    <t>Харківська гімназія № 39 Харківської міської ради Харківської області</t>
  </si>
  <si>
    <t>61090</t>
  </si>
  <si>
    <t>вул. Тімірязєва, 45</t>
  </si>
  <si>
    <t>(057)3762355</t>
  </si>
  <si>
    <t>http://gymnasium39.edu.kh.ua</t>
  </si>
  <si>
    <t>Харківська гімназія № 55 Харківської міської ради Харківської області</t>
  </si>
  <si>
    <t>61168</t>
  </si>
  <si>
    <t>вул. Валентинівська, 13Д</t>
  </si>
  <si>
    <t>(0572)68-65-37, (0572)68-1066</t>
  </si>
  <si>
    <t>http://school55.klasna.com/</t>
  </si>
  <si>
    <t>Харківська гімназія № 65 Харківської міської ради Харківської області</t>
  </si>
  <si>
    <t>61064</t>
  </si>
  <si>
    <t>вул. Менделєєва, 22</t>
  </si>
  <si>
    <t>(057)3703089, (057)3702820</t>
  </si>
  <si>
    <t>http://gymnasium65.edu.kh.ua/</t>
  </si>
  <si>
    <t>Харківська гімназія № 86 Харківської міської ради Харківської області</t>
  </si>
  <si>
    <t>61177</t>
  </si>
  <si>
    <t>пров. І Золочівський, 3</t>
  </si>
  <si>
    <t>(057)3721928, (057)3721167</t>
  </si>
  <si>
    <t>http://school86.klasna.com</t>
  </si>
  <si>
    <t>Харківська гімназія № 13 Харківської міської ради Харківської області</t>
  </si>
  <si>
    <t>61052</t>
  </si>
  <si>
    <t>вул. Благовіщенська, 36</t>
  </si>
  <si>
    <t>(057)712-23-42</t>
  </si>
  <si>
    <t>http://gymnasium13.edu.kh.ua/</t>
  </si>
  <si>
    <t>Харківська гімназія № 14 Харківської міської ради Харківської області</t>
  </si>
  <si>
    <t>61171</t>
  </si>
  <si>
    <t>вул. Амосова, 20</t>
  </si>
  <si>
    <t>(057)7117544, (057)7100897</t>
  </si>
  <si>
    <t>http://gymn14.klasna.com/</t>
  </si>
  <si>
    <t>23751950</t>
  </si>
  <si>
    <t>Харківська гімназія № 144 Харківської міської ради Харківської області</t>
  </si>
  <si>
    <t>61144</t>
  </si>
  <si>
    <t>вул. Бучми, 30Є</t>
  </si>
  <si>
    <t>(057)365-11-81, (0572)64-08-12</t>
  </si>
  <si>
    <t>http://gymnasium144.edu.kh.ua</t>
  </si>
  <si>
    <t>Харківська гімназія № 23 Харківської міської ради Харківської області</t>
  </si>
  <si>
    <t>61161</t>
  </si>
  <si>
    <t>вул. Тюрінська, 40</t>
  </si>
  <si>
    <t>(057)7385988</t>
  </si>
  <si>
    <t>http://www.gymnasium23.edu.kh.ua/</t>
  </si>
  <si>
    <t>Харківська загальноосвітня школа І-ІІІ ступенів № 103 Харківської міської ради Харківської області</t>
  </si>
  <si>
    <t>61118</t>
  </si>
  <si>
    <t>просп. Тракторобудівників, 110</t>
  </si>
  <si>
    <t>(057)62-11-86</t>
  </si>
  <si>
    <t>http://school103.edu.kh.ua</t>
  </si>
  <si>
    <t>Харківська загальноосвітня школа І-ІІІ ступенів № 115 Харківської міської ради Харківської областіІ</t>
  </si>
  <si>
    <t>вул. Врубеля, 53</t>
  </si>
  <si>
    <t>(057)3762604, (057)3762504</t>
  </si>
  <si>
    <t>http://www.school115.edu.kh.ua</t>
  </si>
  <si>
    <t>Харківська загальноосвітня школа І-ІІІ ступенів № 164 Харківської міської ради Харківської області</t>
  </si>
  <si>
    <t>вул. Метробудівників, 18</t>
  </si>
  <si>
    <t>(057)7251385</t>
  </si>
  <si>
    <t>http://school164.klasna.com/</t>
  </si>
  <si>
    <t>Харківська загальноосвітня школа І-ІІІ ступенів № 25 Харківської міської ради Харківської області</t>
  </si>
  <si>
    <t>61123</t>
  </si>
  <si>
    <t>просп. Тракторобудівників, 87В</t>
  </si>
  <si>
    <t>(057)365-31-14</t>
  </si>
  <si>
    <t>http://school25.edu.kh.ua</t>
  </si>
  <si>
    <t>Харківська загальноосвітня школа І-ІІІ ступенів № 36 Харківської міської ради Харківської області</t>
  </si>
  <si>
    <t>61023</t>
  </si>
  <si>
    <t>вул. Алчевських, 55</t>
  </si>
  <si>
    <t>(057)7002629</t>
  </si>
  <si>
    <t>http://school36.kture.kharkov.ua</t>
  </si>
  <si>
    <t>Харківська загальноосвітня школа І-ІІІ ступенів № 52 Харківської міської ради Харківської області</t>
  </si>
  <si>
    <t>61070</t>
  </si>
  <si>
    <t>вул. Старошишківська, 8</t>
  </si>
  <si>
    <t>((057))773-75-05, ((057))773-06-74</t>
  </si>
  <si>
    <t>http://school52.klasna.com</t>
  </si>
  <si>
    <t>Харківська загальноосвітня школа І-ІІІ ступенів № 57 Харківської міської ради Харківської області</t>
  </si>
  <si>
    <t>61067</t>
  </si>
  <si>
    <t>вул. Сочинська, 66А</t>
  </si>
  <si>
    <t>(057)373-41-42</t>
  </si>
  <si>
    <t>http://school57.edu.kh.ua/</t>
  </si>
  <si>
    <t>Харківська загальноосвітня школа І-ІІІ ступенів № 59 Харківської міської ради Харківської області</t>
  </si>
  <si>
    <t>пров. Чаплигінський, 12</t>
  </si>
  <si>
    <t>(057)7330192</t>
  </si>
  <si>
    <t>http://www.school59.edu.kh.ua</t>
  </si>
  <si>
    <t>Харківська загальноосвітня школа І-ІІІ ступенів № 67 Харківської міської ради Харківської області</t>
  </si>
  <si>
    <t>61016</t>
  </si>
  <si>
    <t>вул. Курилівська, 27</t>
  </si>
  <si>
    <t>3734342</t>
  </si>
  <si>
    <t>http://school67.edu.kh.ua/</t>
  </si>
  <si>
    <t>Харківська загальноосвітня школа І-ІІІ ступенів № 97 Харківської міської ради Харківської області</t>
  </si>
  <si>
    <t>61153</t>
  </si>
  <si>
    <t>вул. Гвардійців Широнінців, 5Г</t>
  </si>
  <si>
    <t>(0572)623192</t>
  </si>
  <si>
    <t>http://school97.edu.kh.ua</t>
  </si>
  <si>
    <t>Харківська загальноосвітня школа І-ІІІ ступенів № 111 Харківської міської ради Харківської області</t>
  </si>
  <si>
    <t>вул. Бучми, 18Д</t>
  </si>
  <si>
    <t>(057)65-07-65</t>
  </si>
  <si>
    <t>http://school111.edu.kh.ua/</t>
  </si>
  <si>
    <t>Харківська загальноосвітня школа І-ІІІ ступенів № 127 імені Г.К.Жукова Харківської міської ради Харківської області</t>
  </si>
  <si>
    <t>61039</t>
  </si>
  <si>
    <t>вул. Семінарська, 63А</t>
  </si>
  <si>
    <t>(057)3706055, (057)3705004</t>
  </si>
  <si>
    <t>http://school127.edu.kh.ua/</t>
  </si>
  <si>
    <t>Харківська загальноосвітня школа І-ІІІ ступенів № 142 Харківської міської ради Харківської області</t>
  </si>
  <si>
    <t>61170</t>
  </si>
  <si>
    <t>вул. Валентинівська, 20В</t>
  </si>
  <si>
    <t>(0572)654970</t>
  </si>
  <si>
    <t>http://school142.edu.kh.ua/</t>
  </si>
  <si>
    <t>Харківська загальноосвітня школа І-ІІІ ступенів № 143 Харківської міської ради Харківської області</t>
  </si>
  <si>
    <t>вул. Владислава Зубенка, 21А</t>
  </si>
  <si>
    <t>(0572)656245</t>
  </si>
  <si>
    <t>http://school143.edu.kh.ua/</t>
  </si>
  <si>
    <t>Харківська загальноосвітня школа І-ІІІ ступенів № 31 Харківської міської ради Харківької області</t>
  </si>
  <si>
    <t>61120</t>
  </si>
  <si>
    <t>вул. Владислава Зубенка, 32</t>
  </si>
  <si>
    <t>62-20-04</t>
  </si>
  <si>
    <t>http://school31.edu.kh.ua/</t>
  </si>
  <si>
    <t>Харківська загальноосвітня школа І-ІІІ ступенів № 37 Харківської міської ради Харківської області</t>
  </si>
  <si>
    <t>61085</t>
  </si>
  <si>
    <t>вул. Ак. Проскури, 3А</t>
  </si>
  <si>
    <t>(057)3150136</t>
  </si>
  <si>
    <t>http://sch37.klasna.com</t>
  </si>
  <si>
    <t>Харківська загальноосвітня школа І-ІІІ ступенів № 98 Харківської міської ради Харківської області</t>
  </si>
  <si>
    <t>61054</t>
  </si>
  <si>
    <t>пров. Писемського, 5</t>
  </si>
  <si>
    <t>62-60-22</t>
  </si>
  <si>
    <t>http://school98.edu.kh.ua</t>
  </si>
  <si>
    <t>Харківська середня спеціалізована музична школа-інтернат. Міністерство Культури України</t>
  </si>
  <si>
    <t>вул. Благовіщенська, 19</t>
  </si>
  <si>
    <t>(057)7125289</t>
  </si>
  <si>
    <t>02214320</t>
  </si>
  <si>
    <t>Харківська спеціалізована школа І ступеня № 177 Харківської міської ради Харківської області</t>
  </si>
  <si>
    <t>вул. Тюрінська, 40А</t>
  </si>
  <si>
    <t>(057)7383803</t>
  </si>
  <si>
    <t>http://school177.edu.kh.ua</t>
  </si>
  <si>
    <t>Харківська спеціалізована школа І-ІІІ ступенів № 85 Харківської міської ради Харківської області</t>
  </si>
  <si>
    <t>61172</t>
  </si>
  <si>
    <t>вул. Зубарєва, 29</t>
  </si>
  <si>
    <t>(057)3970492</t>
  </si>
  <si>
    <t>http://school85.edu.kh.ua</t>
  </si>
  <si>
    <t>Харківська спеціалізована школа І-ІІІ ступенів № 170 Харківської міської ради Харківської області</t>
  </si>
  <si>
    <t>61013</t>
  </si>
  <si>
    <t>вул. Гастелло, 11/13</t>
  </si>
  <si>
    <t>(057)704-11-91</t>
  </si>
  <si>
    <t>http://sc170.Kharkov.ua</t>
  </si>
  <si>
    <t>Харківське обласне вище училище фізичної культури і спорту</t>
  </si>
  <si>
    <t>вул. Помірки, 27</t>
  </si>
  <si>
    <t>(057)315-12-94</t>
  </si>
  <si>
    <t>http://hovufks.org.ua</t>
  </si>
  <si>
    <t>05401005</t>
  </si>
  <si>
    <t>Харківський приватний академічний художній ліцей Харківської області</t>
  </si>
  <si>
    <t>61002</t>
  </si>
  <si>
    <t>вул. Мистецтв, 11</t>
  </si>
  <si>
    <t>(057)7062060</t>
  </si>
  <si>
    <t>http://art-lyceum.kh.ua</t>
  </si>
  <si>
    <t>Харківський приватний навчально-виховний комплекс "Гімназія ОЧАГ" Харківської області</t>
  </si>
  <si>
    <t>вул. Астрономічна, 41</t>
  </si>
  <si>
    <t>(057)315-11-52, (057)315-20-75</t>
  </si>
  <si>
    <t>http://ochag.kh.ua</t>
  </si>
  <si>
    <t>Харківський республіканський ліцей-інтернат спортивного профілю</t>
  </si>
  <si>
    <t>61099</t>
  </si>
  <si>
    <t>просп. Московський, 246 А</t>
  </si>
  <si>
    <t>(572)947635, (572)941750</t>
  </si>
  <si>
    <t>http://hrlisp.org.ua/</t>
  </si>
  <si>
    <t>21263459</t>
  </si>
  <si>
    <t>ПРИВАТНИЙ ЗАКЛАД «ХАРКІВСЬКА ЗАГАЛЬНООСВІТНЯ ШКОЛА І-ІІ ступенів «СПЕКТР» ХАРКІВСЬКОЇ ОБЛАСТІ»Н</t>
  </si>
  <si>
    <t>вул. Маршала Батицького, 15</t>
  </si>
  <si>
    <t>0689192856</t>
  </si>
  <si>
    <t>http://spectr.kh.ua</t>
  </si>
  <si>
    <t>Комунальний заклад "Харківський навчально-виховной комплекс № 106 Харківської міської ради Харківської області імені В.О. Кисіля"</t>
  </si>
  <si>
    <t>61145</t>
  </si>
  <si>
    <t>6310136300</t>
  </si>
  <si>
    <t>Харків, Шевченківський район</t>
  </si>
  <si>
    <t>195В</t>
  </si>
  <si>
    <t>(057)7011134</t>
  </si>
  <si>
    <t>http://school106.edu.kh.ua</t>
  </si>
  <si>
    <t>Приватний заклад "Харьківська школа І-ІІІ ступенів "Ангстрем" Харківської області"</t>
  </si>
  <si>
    <t>61022</t>
  </si>
  <si>
    <t>просп. Правди, 10</t>
  </si>
  <si>
    <t>(057)7555807</t>
  </si>
  <si>
    <t>http://www.angstremua.com</t>
  </si>
  <si>
    <t>Харківська гімназія № 47 Харківської міської ради Харківської області</t>
  </si>
  <si>
    <t>61103</t>
  </si>
  <si>
    <t>вул. Космонавтів, 7</t>
  </si>
  <si>
    <t>(057)343-10-22, (057)343-07-00</t>
  </si>
  <si>
    <t>http://gymnasium47.edu.kh.ua</t>
  </si>
  <si>
    <t>23320374</t>
  </si>
  <si>
    <t>Харківська загальноосвітня школа І-ІІІ ступенів № 148 Харківської міської ради Харківської області</t>
  </si>
  <si>
    <t>61204</t>
  </si>
  <si>
    <t>74Д</t>
  </si>
  <si>
    <t>(057)3367517</t>
  </si>
  <si>
    <t>http://school148.edu.kh.ua/</t>
  </si>
  <si>
    <t>Харківська загальноосвітня школа І-ІІІ ступенів № 51 Харківської міської ради Харківської області</t>
  </si>
  <si>
    <t>просп. Науки, 68Б</t>
  </si>
  <si>
    <t>(057)343-43-88</t>
  </si>
  <si>
    <t>http://school51.edu.kh.ua</t>
  </si>
  <si>
    <t>Харківська загальноосвітня школа І-ІІІ ступенів № 154 Харківської міської ради Харківської області</t>
  </si>
  <si>
    <t>просп. Людвіга Свободи, 42Б</t>
  </si>
  <si>
    <t>(057)3375911, (057)3375139</t>
  </si>
  <si>
    <t>http://school154.edu.kh.ua</t>
  </si>
  <si>
    <t>Харківський ліцей № 89 Харківської міської ради Харківської області</t>
  </si>
  <si>
    <t>вул. Дерев'янка, 14 А</t>
  </si>
  <si>
    <t>(057)343-73-33</t>
  </si>
  <si>
    <t>http://www.lyceum89.edu.kh.ua/</t>
  </si>
  <si>
    <t>Харківський навчально-виховний комплекс № 179 Харківської міської ради Харківської області</t>
  </si>
  <si>
    <t>пров. Балакірєва, 16А</t>
  </si>
  <si>
    <t>(057)343-94-33</t>
  </si>
  <si>
    <t>http://school179.edu.kh.ua</t>
  </si>
  <si>
    <t>Комунальний заклад "Харківська гімназія № 169 Харківської міської ради Харківської області"</t>
  </si>
  <si>
    <t>61202</t>
  </si>
  <si>
    <t>вул. Ахсарова, 18А</t>
  </si>
  <si>
    <t>(057)7252052</t>
  </si>
  <si>
    <t>http://shcool169.edu.kh.ua</t>
  </si>
  <si>
    <t>22720686</t>
  </si>
  <si>
    <t>Комунальний заклад "Харківська загальноосвітня школа І-ІІІ ступенів № 135 Харківської міської ради Харківської області імені Героя Радянського Союзу К.Ф.Ольшанського"</t>
  </si>
  <si>
    <t>вул. Сумгаїтська, 1</t>
  </si>
  <si>
    <t>(057)343-15-66</t>
  </si>
  <si>
    <t>http://www.school135.edu.kh.ua</t>
  </si>
  <si>
    <t>комунальний заклад "Харківський університетський ліцей Харківської міської ради Харківської області"</t>
  </si>
  <si>
    <t>61166</t>
  </si>
  <si>
    <t>просп. Науки, 20</t>
  </si>
  <si>
    <t>(057)707-51-80, (057)702-00-85</t>
  </si>
  <si>
    <t>http://www.lyceum.univer.kharkov.ua</t>
  </si>
  <si>
    <t>19461353</t>
  </si>
  <si>
    <t>Харківська вечірня школа № 37 Харківської міської ради Харківської області</t>
  </si>
  <si>
    <t>вул. Коцюбинського, 12</t>
  </si>
  <si>
    <t>(057)7011209</t>
  </si>
  <si>
    <t>http://www.vechirnya-shkola37.edu.kh.ua/</t>
  </si>
  <si>
    <t>Харківська гімназія № 116 Харківської міської ради Харківської області</t>
  </si>
  <si>
    <t>вул. Культури, 22</t>
  </si>
  <si>
    <t>(057)702-08-40, (057)702-08-35</t>
  </si>
  <si>
    <t>http://gymnasium116.edu.kh.ua</t>
  </si>
  <si>
    <t>24333964</t>
  </si>
  <si>
    <t>Харківська гімназія № 6 "Маріїнська гімназія" Харківської міської ради Харківської області</t>
  </si>
  <si>
    <t>61057</t>
  </si>
  <si>
    <t>вул. Римарська, 11</t>
  </si>
  <si>
    <t>(057)7063272</t>
  </si>
  <si>
    <t>http://gymnasium6.edu.kh.ua</t>
  </si>
  <si>
    <t>Харківська загальнноосвітня школа І-ІІІ ступенів № 117 Харківської міської ради Харківської області</t>
  </si>
  <si>
    <t>61072</t>
  </si>
  <si>
    <t>вул. Шекспіра, 20</t>
  </si>
  <si>
    <t>(057)3404272</t>
  </si>
  <si>
    <t>http://www.school117.edu.kh.ua/</t>
  </si>
  <si>
    <t>Харківська загальноосвітня школа І ступеня № 176 Харківської міської ради Харківської області</t>
  </si>
  <si>
    <t>вул. Тобольська, 65</t>
  </si>
  <si>
    <t>(057)3432222</t>
  </si>
  <si>
    <t>http://school176.edu.kh.ua</t>
  </si>
  <si>
    <t>Харківська загальноосвітня школа І-ІІІ ступенів № 105 Харківської міської ради Харківської області</t>
  </si>
  <si>
    <t>вул. Данилевського, 36</t>
  </si>
  <si>
    <t>(057)7051183</t>
  </si>
  <si>
    <t>http://school105.edu.kh.ua/</t>
  </si>
  <si>
    <t>Харківська загальноосвітня школа І-ІІІ ступенів № 125 Харківської міської ради Харківської області</t>
  </si>
  <si>
    <t>61051</t>
  </si>
  <si>
    <t>б-р Фронтовиків, 1</t>
  </si>
  <si>
    <t>(057)337-84-21, (057)337-98-49</t>
  </si>
  <si>
    <t>http://www.school125.edu.kh.ua</t>
  </si>
  <si>
    <t>Харківська загальноосвітня школа І-ІІІ ступенів № 146 Харківської міської ради Харківської області</t>
  </si>
  <si>
    <t>просп. Людвіга Свободи, 37Б</t>
  </si>
  <si>
    <t>(057)3362138, (057)3362139, (057)3367274</t>
  </si>
  <si>
    <t>http://school146.edu.kh.ua</t>
  </si>
  <si>
    <t>Харківська загальноосвітня школа І-ІІІ ступенів № 147 Харківської міської ради Харківської області</t>
  </si>
  <si>
    <t>просп. Перемоги, 68Д</t>
  </si>
  <si>
    <t>(057)336-16-38</t>
  </si>
  <si>
    <t>http://school147.edu.kh.ua</t>
  </si>
  <si>
    <t>Харківська загальноосвітня школа І-ІІІ ступенів № 129 Харківської міської ради Харківської області</t>
  </si>
  <si>
    <t>61045</t>
  </si>
  <si>
    <t>вул. Клочківська, 224</t>
  </si>
  <si>
    <t>(057)340-20-64</t>
  </si>
  <si>
    <t>http://school129.edu.kh.ua</t>
  </si>
  <si>
    <t>Харківська загальноосвітня школа І-ІІІ ступенів № 131 Харківської міської ради Харківської області</t>
  </si>
  <si>
    <t>вул. Чічібабіна, 11</t>
  </si>
  <si>
    <t>(057)7051182, (057)7051184</t>
  </si>
  <si>
    <t>http://school131.edu.kh.ua/</t>
  </si>
  <si>
    <t>Харківська загальноосвітня школа І-ІІІ ступенів № 150 Харківської міської ради Харківської області</t>
  </si>
  <si>
    <t>вул. Ахсарова, 3А</t>
  </si>
  <si>
    <t>(057)3368326</t>
  </si>
  <si>
    <t>http://www.school150.edu.kh.ua/</t>
  </si>
  <si>
    <t>Харківська загальноосвітня школа І-ІІІ ступенів № 159 Харківської міської ради Харківської області</t>
  </si>
  <si>
    <t>просп. Перемоги, 67Б</t>
  </si>
  <si>
    <t>(057)337-75-10, (057)337-61-13</t>
  </si>
  <si>
    <t>http://school159.edu.kh.ua</t>
  </si>
  <si>
    <t>Харківська загальноосвітня школа І-ІІІ ступенів № 22 Харківської міської ради Харківської області</t>
  </si>
  <si>
    <t>вул. Цілиноградська, 24</t>
  </si>
  <si>
    <t>(057)3369065</t>
  </si>
  <si>
    <t>http://www.school22.edu.kh.ua/</t>
  </si>
  <si>
    <t>Харківська спеціалізована школа І-ІІІ ступенів № 109 Харківської міської ради Харківської області</t>
  </si>
  <si>
    <t>(057)7011136</t>
  </si>
  <si>
    <t>http://school109.edu.kh.ua</t>
  </si>
  <si>
    <t>Харківська спеціалізована школа І-ІІІ ступенів № 132 Харківської міської ради Харківської області</t>
  </si>
  <si>
    <t>вул. Новгородська, 1</t>
  </si>
  <si>
    <t>(057)7010184</t>
  </si>
  <si>
    <t>http://www.school132.edu.kh.ua</t>
  </si>
  <si>
    <t>Харківська спеціалізована школа І-ІІІ ступенів № 29 Харківської міської ради Харківської області</t>
  </si>
  <si>
    <t>вул. Балакірєва, 16А</t>
  </si>
  <si>
    <t>(057)3439577, (057)3439585</t>
  </si>
  <si>
    <t>http://school29.edu.kh.ua</t>
  </si>
  <si>
    <t>Харківська спеціалізована школа І-ІІІ ступенів № 99 Харківської міської ради Харківської області</t>
  </si>
  <si>
    <t>вул. Тобольська, 26</t>
  </si>
  <si>
    <t>(057)3402114</t>
  </si>
  <si>
    <t>http://school99.edu.kh.ua</t>
  </si>
  <si>
    <t>Харківська спеціалізована школа І-ІІІ ступенів № 50 Харківської міської ради Харківської області</t>
  </si>
  <si>
    <t>вул. Тобольська, 46</t>
  </si>
  <si>
    <t>(057)3400582</t>
  </si>
  <si>
    <t>http://www.school50.edu.kh.ua</t>
  </si>
  <si>
    <t>Харківське державне вище училище фізичної культури № 1</t>
  </si>
  <si>
    <t>вул. Фронтова, 3</t>
  </si>
  <si>
    <t>(057)3431132</t>
  </si>
  <si>
    <t>04591392</t>
  </si>
  <si>
    <t>Харківський ліцей № 149 Харківської міської ради Харківської області</t>
  </si>
  <si>
    <t>просп. Перемоги, 67А</t>
  </si>
  <si>
    <t>(057)337-76-11</t>
  </si>
  <si>
    <t>http://lyceum149.edu.kh.ua</t>
  </si>
  <si>
    <t>23907274</t>
  </si>
  <si>
    <t>Харківський навчально-виховний комплекс № 45 "Академічна гімназія" Харківської міської ради Харківської області</t>
  </si>
  <si>
    <t>вул. Тобольська, 46А</t>
  </si>
  <si>
    <t>(057)340-53-01</t>
  </si>
  <si>
    <t>http://gymnasium45.edu.kh.ua</t>
  </si>
  <si>
    <t>19464469</t>
  </si>
  <si>
    <t>Харківський приватний навчально-виховний комплекс "Авторська школа Бойка" Харківської області</t>
  </si>
  <si>
    <t>вул. Освітянська, 7</t>
  </si>
  <si>
    <t>(057)3439477</t>
  </si>
  <si>
    <t>http://www.boiko.com.ua</t>
  </si>
  <si>
    <t>Аерокосмічний ліцей на базі Національного аерокосмічного університету ім. М.Є.Жуковського "ХАІ"</t>
  </si>
  <si>
    <t>6310136600</t>
  </si>
  <si>
    <t>Харків, Київський район</t>
  </si>
  <si>
    <t>вул. Чкалова, 17</t>
  </si>
  <si>
    <t>(057)7884037</t>
  </si>
  <si>
    <t>Державний комунальний заклад Учбово-виробниче автогосподарство Київського району м. Харкова</t>
  </si>
  <si>
    <t>вул. Лермонтовська, 15/17</t>
  </si>
  <si>
    <t>(057)704-35-05</t>
  </si>
  <si>
    <t>http://uvag-kievskiy.edu.kh.ua</t>
  </si>
  <si>
    <t>Комунальний заклад "Харківська загальноосвітня школа І-ІІІ ступенів № 158 Харківської міської ради Харківської області"</t>
  </si>
  <si>
    <t>61184</t>
  </si>
  <si>
    <t>вул. Леся Сердюка, 46</t>
  </si>
  <si>
    <t>(0572)725-13-89</t>
  </si>
  <si>
    <t>http://school158.klasna.com/</t>
  </si>
  <si>
    <t>Комунальний заклад "Харківська спеціалізована школа з поглибленим вивченням окремих предметів № 133 "Ліцей мистецтв" Харківської міської ради Харківської області"</t>
  </si>
  <si>
    <t>(057)706-27-83, (057)725-03-40</t>
  </si>
  <si>
    <t>http://lyceum133.klasna.com/</t>
  </si>
  <si>
    <t>Комунальний заклад "Харківська спеціалізована школа І-ІІІ ступенів з поглибленим вивченням окремих предметів № 16 Харківської міської ради Харківської області імені В.Г. Сергєєва"</t>
  </si>
  <si>
    <t>вул. Поздовжня, 5</t>
  </si>
  <si>
    <t>(057)3150805, (057)3151103</t>
  </si>
  <si>
    <t>http://school16.klasna.com/</t>
  </si>
  <si>
    <t>Комунальний заклад "Харківський санаторний навчально-виховний комплекс № 1" Харківської обласної ради</t>
  </si>
  <si>
    <t>(057)315-24-37, (057)315-24-36</t>
  </si>
  <si>
    <t>14110092</t>
  </si>
  <si>
    <t>Комунальний заклад "Харківський санаторний навчально-виховний комплекс № 13" Харківської обласної ради</t>
  </si>
  <si>
    <t>вул. Академіка Проскури, 7</t>
  </si>
  <si>
    <t>(057)700-26-28, (057)315-12-14</t>
  </si>
  <si>
    <t>http://www.schoolin13.com.ua</t>
  </si>
  <si>
    <t>14086057</t>
  </si>
  <si>
    <t>Спеціалізована економіко-правова школа І-ІІІ ступенів з поглибленим вивченням іноземної мови приватного вищого навчального закладу Харківського гуманітарного університету "Народна українська академія"</t>
  </si>
  <si>
    <t>61000</t>
  </si>
  <si>
    <t>вул. Лермонтовська, 27</t>
  </si>
  <si>
    <t>(057)7164721</t>
  </si>
  <si>
    <t>http://www.nua.kharkov.ua/</t>
  </si>
  <si>
    <t>Харківська гімназія № 1 Харківської міської ради Харківської області</t>
  </si>
  <si>
    <t>вул. Манізера, 12</t>
  </si>
  <si>
    <t>(057)7062764</t>
  </si>
  <si>
    <t>http://gimnasium1.klasna.com</t>
  </si>
  <si>
    <t>Харківська гімназія № 172 Харківської міської ради Харківської області</t>
  </si>
  <si>
    <t>вул. Метробудівників, 38</t>
  </si>
  <si>
    <t>(057)725-13-42</t>
  </si>
  <si>
    <t>http://gim172.klasna.com/</t>
  </si>
  <si>
    <t>Харківська загальноосвітня школа І-ІІІ ступенів № 100 ім. А.С.Макаренка Харківської міської ради Харківської області</t>
  </si>
  <si>
    <t>вул. Лісопарківська, 111</t>
  </si>
  <si>
    <t>315-11-22, 315-08-70</t>
  </si>
  <si>
    <t>http://school100.klasna.com</t>
  </si>
  <si>
    <t>Харківська загальноосвітня школа І-ІІІ ступенів № 110 Харківської міської ради Харківської області</t>
  </si>
  <si>
    <t>(057)7041223</t>
  </si>
  <si>
    <t>http://school110.klasna.com/</t>
  </si>
  <si>
    <t>Харківська загальноосвітня школа І-ІІІ ступенів № 165 Харківської міської ради Харківської області</t>
  </si>
  <si>
    <t>вул. Метробудівників, 7</t>
  </si>
  <si>
    <t>(0572)653684, (0572)684696</t>
  </si>
  <si>
    <t>http://sc165.klasna.com</t>
  </si>
  <si>
    <t>Харківська загальноосвітня школа І-ІІІ ступенів № 5 Харківської міської ради Харківської області</t>
  </si>
  <si>
    <t>вул. Свободи, 19/21</t>
  </si>
  <si>
    <t>(057)7004691, (057)7004692</t>
  </si>
  <si>
    <t>http://school5.klasna.com</t>
  </si>
  <si>
    <t>Комунальний заклад "Харківська загальноосвітня школа І-ІІІ ступенів № 96 Харківської міської ради Харківської області"</t>
  </si>
  <si>
    <t>61107</t>
  </si>
  <si>
    <t>вул. Генерала Удовиченка, 24</t>
  </si>
  <si>
    <t>(057)3677331</t>
  </si>
  <si>
    <t>http://school96.klasna.com</t>
  </si>
  <si>
    <t>Харківська спеціалізована школа І-ІІІ ступенів № 134 Харківської міської ради Харківської області</t>
  </si>
  <si>
    <t>вул. Шевченка, 220</t>
  </si>
  <si>
    <t>(057)7251383</t>
  </si>
  <si>
    <t>http://school134.klasna.com</t>
  </si>
  <si>
    <t>Харківська спеціалізована школа І-ІІІ ступенів № 62 Харківської міської ради Харківської області</t>
  </si>
  <si>
    <t>61108</t>
  </si>
  <si>
    <t>просп. Академіка Курчатова, 23</t>
  </si>
  <si>
    <t>(057)335-19-50</t>
  </si>
  <si>
    <t>http://school62.klasna.com</t>
  </si>
  <si>
    <t>Харківська спеціалізована школа І-ІІІ ступенів № 17 Харківської міської ради Харківської області</t>
  </si>
  <si>
    <t>вул. Академіка Павлова, 313В</t>
  </si>
  <si>
    <t>(0572)68-72-96</t>
  </si>
  <si>
    <t>http://sch17.klasna.com</t>
  </si>
  <si>
    <t>Харківський ліцей № 107 Харківської міської ради Харківської області</t>
  </si>
  <si>
    <t>вул. Барабашова, 38Б</t>
  </si>
  <si>
    <t>(0572)685990</t>
  </si>
  <si>
    <t>http://lyceum107.klasna.com</t>
  </si>
  <si>
    <t>Харківський педагогічний ліцей № 4 Харківської міської ради Харківської області</t>
  </si>
  <si>
    <t>(057)7041227</t>
  </si>
  <si>
    <t>http://lyceum4.edu.kh.ua</t>
  </si>
  <si>
    <t>Харківський приватний навчально-виховний комплекс "Ліцей Професіонал" Харківської області</t>
  </si>
  <si>
    <t>вул. Ярослава Мудрого, 22/24</t>
  </si>
  <si>
    <t>700-76-97</t>
  </si>
  <si>
    <t>http://lyceum-prof.at.ua</t>
  </si>
  <si>
    <t>Харківський приватний навчально-виховний комплекс "Старт-школа" Харківської області</t>
  </si>
  <si>
    <t>(057)706-32-88</t>
  </si>
  <si>
    <t>http://startschool_kharkov.klasna.com</t>
  </si>
  <si>
    <t>Харківський технологічний ліцей № 9 Харківської міської ради Харківської області</t>
  </si>
  <si>
    <t>вул. Громадянська, 22/26</t>
  </si>
  <si>
    <t>(057)7312812</t>
  </si>
  <si>
    <t>http://lyceum9.klasna.com</t>
  </si>
  <si>
    <t>Харківська гімназія № 46 ім. М.В. Ломоносова Харківської міської ради Харківської області</t>
  </si>
  <si>
    <t>61001</t>
  </si>
  <si>
    <t>6310136900</t>
  </si>
  <si>
    <t>Харків, Слобідський район</t>
  </si>
  <si>
    <t>вул. Державінська, 4А</t>
  </si>
  <si>
    <t>(057)7372127</t>
  </si>
  <si>
    <t>http://www.gymnasium46.edu.kh.ua</t>
  </si>
  <si>
    <t>Харківська гімназія № 82 Харківської міської ради Харківської області</t>
  </si>
  <si>
    <t>61096</t>
  </si>
  <si>
    <t>просп. Героїв Сталінграда, 171Б</t>
  </si>
  <si>
    <t>(057)97-50-52</t>
  </si>
  <si>
    <t>http://gymnasium82.edu.kh.ua</t>
  </si>
  <si>
    <t>Харківська гімназія № 83 Харківської міської ради Харківської області</t>
  </si>
  <si>
    <t>вул. Тарасівська, 43/45</t>
  </si>
  <si>
    <t>(057)732-59-18, (057)732-07-36</t>
  </si>
  <si>
    <t>http://gymnasium83.edu.kh.ua</t>
  </si>
  <si>
    <t>Харківська гімназія № 178 "Освіта" Харківської міської ради Харківської області</t>
  </si>
  <si>
    <t>61105</t>
  </si>
  <si>
    <t>вул. Монюшка, 1</t>
  </si>
  <si>
    <t>(0572)52-11-53, (0572)52-41-84</t>
  </si>
  <si>
    <t>http://gymnasium178.edu.kh.ua</t>
  </si>
  <si>
    <t>Харківська загальноосвітня школа I-III степенів № 20 Харківської міської ради Харківської області</t>
  </si>
  <si>
    <t>вул. Середньоуральська, 16</t>
  </si>
  <si>
    <t>(057)7372291</t>
  </si>
  <si>
    <t>http://school20.edu.kh.ua/</t>
  </si>
  <si>
    <t>Харківська загальноосвітня школа I-III ступенів № 151 Харківської міської ради Харківської області</t>
  </si>
  <si>
    <t>вул. Дніпровська, 10</t>
  </si>
  <si>
    <t>(057)7371395</t>
  </si>
  <si>
    <t>http://school151.edu.kh.ua/</t>
  </si>
  <si>
    <t>Харківська загальноосвітня школа I-III ступенів № 91 Харківської міської ради Харківської області</t>
  </si>
  <si>
    <t>61100</t>
  </si>
  <si>
    <t>проїзд Садовий, 18Б</t>
  </si>
  <si>
    <t>(0572)972008</t>
  </si>
  <si>
    <t>http://school91.edu.kh.ua/</t>
  </si>
  <si>
    <t>Харківська загальноосвітня школа І-ІІІ ступенів № 60 Харківської міської ради Харківської області</t>
  </si>
  <si>
    <t>61162</t>
  </si>
  <si>
    <t>вул. Ньютона, 131</t>
  </si>
  <si>
    <t>(0572)975015</t>
  </si>
  <si>
    <t>http://school60.edu.kh.ua</t>
  </si>
  <si>
    <t>Харківська загальноосвітня школа І-ІІІ ступенів № 90 Харківської міської ради Харківської області</t>
  </si>
  <si>
    <t>61031</t>
  </si>
  <si>
    <t>просп. Гагаріна, 207</t>
  </si>
  <si>
    <t>(057)7211254</t>
  </si>
  <si>
    <t>http://www.school90.edu.kh.ua</t>
  </si>
  <si>
    <t>Харківська загальноосвітня школа І-ІІІ ступенів № 94 Харківської міської ради Харківської області</t>
  </si>
  <si>
    <t>61037</t>
  </si>
  <si>
    <t>вул. Плеханівська, 151</t>
  </si>
  <si>
    <t>(057)737-86-51, (057)737-96-60</t>
  </si>
  <si>
    <t>http://school94.edu.kh.ua</t>
  </si>
  <si>
    <t>Харківська загальноосвітня школа І-ІІІ ступенів № 95 імені 299 Харківської стрілецької дивізії Харківської міської ради Харківської області</t>
  </si>
  <si>
    <t>вул. Ньютона, 137</t>
  </si>
  <si>
    <t>(057)979010</t>
  </si>
  <si>
    <t>http://school95.edu.kh.ua</t>
  </si>
  <si>
    <t>Харківська загальноосвітня школа І-ІІІ ступенів № 102 Харківської міської ради Харківської області</t>
  </si>
  <si>
    <t>вул. Киргизька, 3</t>
  </si>
  <si>
    <t>(057)522113, (057)521085</t>
  </si>
  <si>
    <t>http://school102.edu.kh.ua/</t>
  </si>
  <si>
    <t>Харківська загальноосвітня школа І-ІІІ ступенів № 44 Харківської міської ради Харківської області</t>
  </si>
  <si>
    <t>вул. Костичева, 2</t>
  </si>
  <si>
    <t>(0572)520139</t>
  </si>
  <si>
    <t>http://school44.edu.kh.ua/</t>
  </si>
  <si>
    <t>Харківська загальноосвітня школа І-ІІІ ступенів № 68 Харківської міської ради Харківської області</t>
  </si>
  <si>
    <t>61124</t>
  </si>
  <si>
    <t>вул. Зернова, 12</t>
  </si>
  <si>
    <t>(0572)521040</t>
  </si>
  <si>
    <t>http://school68.edu.kh.ua</t>
  </si>
  <si>
    <t>Харківська загальноосвітня школа І-ІІІ ступенів № 78 Харківської міської ради Харківської області</t>
  </si>
  <si>
    <t>61128</t>
  </si>
  <si>
    <t>проїзд Садовий, 7</t>
  </si>
  <si>
    <t>(0572)971020</t>
  </si>
  <si>
    <t>http://school78.edu.kh.ua/</t>
  </si>
  <si>
    <t>Харківська приватна спеціалізована школа I - III ступенів "Харківський колегіум" Харківської області</t>
  </si>
  <si>
    <t>вул. Тарасівська, 6А</t>
  </si>
  <si>
    <t>(057)7325641, (057)7324623</t>
  </si>
  <si>
    <t>http://collegium.com.ua</t>
  </si>
  <si>
    <t>Харківська спеціалізована школа І-ІІІ ступенів № 114 Харківської міської ради Харківської області</t>
  </si>
  <si>
    <t>просп. Гагаріна, 157</t>
  </si>
  <si>
    <t>(0572)524084</t>
  </si>
  <si>
    <t>http://school114.edu.kh.ua/</t>
  </si>
  <si>
    <t>Харківська спеціалізована школа І-ІІІ ступенів № 77 Харківської міської ради Харківської області</t>
  </si>
  <si>
    <t>вул. Садовопаркова, 2А</t>
  </si>
  <si>
    <t>(0572)973012</t>
  </si>
  <si>
    <t>http://school77.edu.kh.ua</t>
  </si>
  <si>
    <t>Харківський навчально-виховний комплекс № 112 Харківської міської ради Харківської області</t>
  </si>
  <si>
    <t>61036</t>
  </si>
  <si>
    <t>вул. Гордона, 1</t>
  </si>
  <si>
    <t>(057)7230648, (0572)513036</t>
  </si>
  <si>
    <t>http://school112.edu.kh.ua</t>
  </si>
  <si>
    <t>Харківський приватний навчально-виховний комплекс "Ліцей Шаалавім" Харківської області</t>
  </si>
  <si>
    <t>просп. Героїв Сталінграда, 152Б</t>
  </si>
  <si>
    <t>(0572)975008</t>
  </si>
  <si>
    <t>http://shaalavim.org.ua/</t>
  </si>
  <si>
    <t>Харківський технічний ліцей № 173 Харківської міської ради Харківської області</t>
  </si>
  <si>
    <t>вул. Самаркандська, 17</t>
  </si>
  <si>
    <t>(0572)525128, (0572)529085, (0572)527033</t>
  </si>
  <si>
    <t>http://lyceum173.edu.kh.ua</t>
  </si>
  <si>
    <t>Державна гімназія-інтернат з посиленою військово-фізичною підготовкою "Кадетський корпус"</t>
  </si>
  <si>
    <t>61098</t>
  </si>
  <si>
    <t>6310137200</t>
  </si>
  <si>
    <t>Харків, Холодногірський район</t>
  </si>
  <si>
    <t>вул. Полтавський шлях, 192</t>
  </si>
  <si>
    <t>(066)035-67-94, (057)777-33-18</t>
  </si>
  <si>
    <t>http://khkadet.org.ua</t>
  </si>
  <si>
    <t>38495321</t>
  </si>
  <si>
    <t>Комунальний заклад "Харківська загальноосвітня школа І-ІІІ ступенів № 136 Харківської міської ради Харківської області імені Героя Радянського Союзу П.Д. Говоруненка"</t>
  </si>
  <si>
    <t>вул. Велика Панасівська, 39</t>
  </si>
  <si>
    <t>(057)7349183</t>
  </si>
  <si>
    <t>http://school136.edu.kh.ua/</t>
  </si>
  <si>
    <t>Харківська гімназія № 152 Харківської міської ради Харківської області</t>
  </si>
  <si>
    <t>61093</t>
  </si>
  <si>
    <t>вул. Волонтерська, 57</t>
  </si>
  <si>
    <t>(057)3766195</t>
  </si>
  <si>
    <t>http://gymnasium152.edu.kh.ua</t>
  </si>
  <si>
    <t>Харківська загальноосвітня школа І ступеня № 171 Харківської міської ради Харківської області</t>
  </si>
  <si>
    <t>61040</t>
  </si>
  <si>
    <t>вул. Кам'янець-Подільська, 23</t>
  </si>
  <si>
    <t>(057)7246352</t>
  </si>
  <si>
    <t>http://school171.edu.kh.ua/</t>
  </si>
  <si>
    <t>Харківська загальноосвітня школа І-ІІІ ступенів № 126 Харківської міської ради Харківської області</t>
  </si>
  <si>
    <t>вул. Підлісна, 9</t>
  </si>
  <si>
    <t>(057)3766150</t>
  </si>
  <si>
    <t>http://school126.klasna.com</t>
  </si>
  <si>
    <t>Харківська загальноосвітня школа ІІ-ІІІ ступенів № 69 Харківської міської ради Харківської області</t>
  </si>
  <si>
    <t>вул. Кам'янець-Подільська, 44</t>
  </si>
  <si>
    <t>(057)7127869</t>
  </si>
  <si>
    <t>http://school69.klasna.com/</t>
  </si>
  <si>
    <t>Харківська спеціалізована школа І - ІІІ ступенів № 87 Харківської міської ради Харківської області</t>
  </si>
  <si>
    <t>вул. Башкирська, 2</t>
  </si>
  <si>
    <t>(057)3721916, (057)3721924</t>
  </si>
  <si>
    <t>http://school87.edu.kh.ua</t>
  </si>
  <si>
    <t>Харківська спеціалізована школа І-ІІІ ступенів № 108 Харківської міської ради Харківської області</t>
  </si>
  <si>
    <t>вул. Холодногірська, 67</t>
  </si>
  <si>
    <t>(057)3734026</t>
  </si>
  <si>
    <t>http://school108.edu.kh.ua/</t>
  </si>
  <si>
    <t>Харківська спеціалізована школа І-ІІІ ступенів № 18 Харківської міської ради Харківської області</t>
  </si>
  <si>
    <t>вул. Іллінська, 40</t>
  </si>
  <si>
    <t>(057)3724130, (057)3724163</t>
  </si>
  <si>
    <t>http://school18.klasna.com/uk/</t>
  </si>
  <si>
    <t>Харківська спеціальна вечірня загальноосвітня школа ІІ-ІІІ ступенів № 23 Харківської міської ради Харківської області</t>
  </si>
  <si>
    <t>вул. Чоботарська, 51</t>
  </si>
  <si>
    <t>(057)712-44-84</t>
  </si>
  <si>
    <t>Харківський приватний навчально-виховний комплекс "Центр розвитку дитини "Інтелект"Харківської області</t>
  </si>
  <si>
    <t>(057)7507244</t>
  </si>
  <si>
    <t>Харківський приватний спеціальний загальноосвітній навчально-виховний комплекс "Фенікс" для дітей з особливими потребами Харківського обласного благодійного фонду "Сподіванка"</t>
  </si>
  <si>
    <t>вул. Черкаська, 5</t>
  </si>
  <si>
    <t>(057)7573108</t>
  </si>
  <si>
    <t>http://www.phenix.edu.kh.ua</t>
  </si>
  <si>
    <t>Комунальний заклад "Харківська загальноосвітня школа І-ІІІ ступенів № 30 Харківської міської ради Харківської області імені Героя Радянського Союзу С.О.Борзенка"</t>
  </si>
  <si>
    <t>61050</t>
  </si>
  <si>
    <t>6310137500</t>
  </si>
  <si>
    <t>Харків, Московський район</t>
  </si>
  <si>
    <t>вул. Харківська набережна, 4</t>
  </si>
  <si>
    <t>(057)732-95-21</t>
  </si>
  <si>
    <t>http://school30.edu.kh.ua/</t>
  </si>
  <si>
    <t>комунальний заклад "Харківська спеціалізована школа І ступеня № 33 Харківської міської ради Харківської області"</t>
  </si>
  <si>
    <t>61005</t>
  </si>
  <si>
    <t>вул. Іскринська, 28</t>
  </si>
  <si>
    <t>(057)7324787</t>
  </si>
  <si>
    <t>http://school33.edu.kh.ua/</t>
  </si>
  <si>
    <t>Комунальний заклад “Харківська спеціалізована школа-інтернат «Ліцей “Правоохоронець”»” Харківської обласної ради</t>
  </si>
  <si>
    <t>61121</t>
  </si>
  <si>
    <t>вул. Владислава Зубенка, 37</t>
  </si>
  <si>
    <t>(0572)699067, (057)3643355</t>
  </si>
  <si>
    <t>http://liceymilicii.edu.kh.ua/</t>
  </si>
  <si>
    <t>33410421</t>
  </si>
  <si>
    <t>Комунальний заклад "Харківська спеціальна загальноосвітня школа-інтернат № 3" Харківської обласної ради</t>
  </si>
  <si>
    <t>вул. пр. Тракторобудівників, 85Д</t>
  </si>
  <si>
    <t>(057)3653059</t>
  </si>
  <si>
    <t>http://internat3edu.kh.ua</t>
  </si>
  <si>
    <t>24484043</t>
  </si>
  <si>
    <t>комунальний заклад "Харківський навчально - виховний комплекс "школа І - ІІІ ступенів - дошкільний навчальний заклад (ясла - садок)" № 8 Харківської міської ради Харківської області"</t>
  </si>
  <si>
    <t>вул. Салтівське шосе, 61</t>
  </si>
  <si>
    <t>(057)7380026</t>
  </si>
  <si>
    <t>http://school8.edu.kh.ua/</t>
  </si>
  <si>
    <t>Харківська гімназія № 43 Харківської міської ради Харківської області</t>
  </si>
  <si>
    <t>вул. Салтівське шосе, 121/2</t>
  </si>
  <si>
    <t>(057)095-736-53-11</t>
  </si>
  <si>
    <t>http://school43.edu.kh.ua/</t>
  </si>
  <si>
    <t>Харківська загальноосвітня школа І - ІІІ ступенів № 140 Харківської міської ради Харківської області</t>
  </si>
  <si>
    <t>61146</t>
  </si>
  <si>
    <t>вул. Гвардійців Широнінців, 61</t>
  </si>
  <si>
    <t>(0572)650940</t>
  </si>
  <si>
    <t>http://school140.edu.kh.ua</t>
  </si>
  <si>
    <t>Харківська загальноосвітня школа І-ІІІ ступеней № 84 Харківської міської ради Харківської області</t>
  </si>
  <si>
    <t>вул. Світла, 15</t>
  </si>
  <si>
    <t>(0573)65-06-33, (0573)65-06-34</t>
  </si>
  <si>
    <t>http://school84.edu.kh.ua/</t>
  </si>
  <si>
    <t>ХАРКІВСЬКА ЗАГАЛЬНООСВІТНЯ ШКОЛА І-ІІІ СТУПЕНІВ № 122 Харківської міської ради Харківської області</t>
  </si>
  <si>
    <t>вул. Бучми, 34Г</t>
  </si>
  <si>
    <t>364-97-98</t>
  </si>
  <si>
    <t>http://school122.edu.kh.ua</t>
  </si>
  <si>
    <t>Харківська загальноосвітня школа І-ІІІ ступенів № 123 Харківської міської ради Харківської області</t>
  </si>
  <si>
    <t>вул. Академіка Павлова, 142А</t>
  </si>
  <si>
    <t>(057)2684300</t>
  </si>
  <si>
    <t>http://school123.edu.kh.ua</t>
  </si>
  <si>
    <t>Харківська загальноосвітня школа І-ІІІ ступенів № 124 Харківської міської ради Харківської області</t>
  </si>
  <si>
    <t>вул. Гвардійців Широнинців, 75А</t>
  </si>
  <si>
    <t>(0572)656008</t>
  </si>
  <si>
    <t>http://school124.edu.kh.ua</t>
  </si>
  <si>
    <t>Харківська загальноосвітня школа І-ІІІ ступенів № 128 Харківської міської ради Харківської області</t>
  </si>
  <si>
    <t>61111</t>
  </si>
  <si>
    <t>вул. Владислава Зубенка, 72 Б</t>
  </si>
  <si>
    <t>(0572)62-80-59, (0572)62-30-73</t>
  </si>
  <si>
    <t>http://school128.edu.kh.ua</t>
  </si>
  <si>
    <t>Харківська загальноосвітня школа І-ІІІ ступенів № 138 Харківської міської ради Харківської області</t>
  </si>
  <si>
    <t>61112</t>
  </si>
  <si>
    <t>вул. Руслана Плоходька, 6</t>
  </si>
  <si>
    <t>(0572)620161, (057)3620931</t>
  </si>
  <si>
    <t>http://school138.edu.kh.ua/</t>
  </si>
  <si>
    <t>Харківська загальноосвітня школа І-ІІІ ступенів № 139 Харківської міської ради Харківської області</t>
  </si>
  <si>
    <t>вул. Гвардійців Широнінців, 40Ж</t>
  </si>
  <si>
    <t>(057)364-51-59</t>
  </si>
  <si>
    <t>http://school139.edu.kh.ua</t>
  </si>
  <si>
    <t>Харківська загальноосвітня школа І-ІІІ ступенів № 167 Харківської міської ради Харківської області</t>
  </si>
  <si>
    <t>вул. Гарібальді, 9</t>
  </si>
  <si>
    <t>(0572)364-67-80, (0572)364-53-69</t>
  </si>
  <si>
    <t>http://school167.edu.kh.ua</t>
  </si>
  <si>
    <t>Харківська загальноосвітня школа І-ІІІ ступенів № 42 Харківської міської ради Харківської області</t>
  </si>
  <si>
    <t>61129</t>
  </si>
  <si>
    <t>вул. Світла, 39А</t>
  </si>
  <si>
    <t>(057)365-08-26</t>
  </si>
  <si>
    <t>http://school42.edu.kh.ua/</t>
  </si>
  <si>
    <t>Харківська загальноосвітня школа І-ІІІ ступенів № 58 Харківської міської ради Харківської області</t>
  </si>
  <si>
    <t>просп. Ювілейний, 53Б</t>
  </si>
  <si>
    <t>(0572)620154</t>
  </si>
  <si>
    <t>http://www.school58.org</t>
  </si>
  <si>
    <t>Харківська загальноосвітня школа І-ІІІ ступенів № 64 Харківської міської ради Харківської області</t>
  </si>
  <si>
    <t>вул. Руслана Плоходька, 5В</t>
  </si>
  <si>
    <t>(0572)626047</t>
  </si>
  <si>
    <t>http://school64.edu.kh.ua</t>
  </si>
  <si>
    <t>Харківська загальноосвітня школа І-ІІІ ступенів № 19 Харківської міської ради Харківської області</t>
  </si>
  <si>
    <t>вул. Рижівська, 19</t>
  </si>
  <si>
    <t>(057)7326897</t>
  </si>
  <si>
    <t>http://school19.edu.kh.ua</t>
  </si>
  <si>
    <t>Харківська загальноосвітня школа І-ІІІ ступенів № 56 Харківської міської ради Харківської області</t>
  </si>
  <si>
    <t>вул. Світла, 9</t>
  </si>
  <si>
    <t>(057)3641246, (057)3641038</t>
  </si>
  <si>
    <t>http://school56.klasna.com</t>
  </si>
  <si>
    <t>Харківська спеціалізована школа І-ІІІ ступенів № 156 Харківської міської ради Харківської області</t>
  </si>
  <si>
    <t>вул. Гарібальді, 9А</t>
  </si>
  <si>
    <t>(057)3646781</t>
  </si>
  <si>
    <t>http://school156.edu.kh.ua/</t>
  </si>
  <si>
    <t>Харківський ліцей № 141 Харківської міської ради Харківської області</t>
  </si>
  <si>
    <t>вул. Бучми, 44Є</t>
  </si>
  <si>
    <t>(057)365-15-72</t>
  </si>
  <si>
    <t>http://lyceum141.edu.kh.ua/</t>
  </si>
  <si>
    <t>Харківський приватний навчально-виховний комплекс "Благовіст" Харківської області</t>
  </si>
  <si>
    <t>вул. Академіка Павлова, 146В</t>
  </si>
  <si>
    <t>(057)7036566</t>
  </si>
  <si>
    <t>http://www.nvk-blagovest.edu.kh.ua</t>
  </si>
  <si>
    <t>Харківський приватний загальноосвітній навчально-виховний комплекс "Новатор" Харківської області Н</t>
  </si>
  <si>
    <t>0950705042</t>
  </si>
  <si>
    <t>Харківська загальноосвітня школа І-ІІІ ступенів № 76 Харківської міської ради Харківської області</t>
  </si>
  <si>
    <t>6310137900</t>
  </si>
  <si>
    <t>Харків, Новобаварський район</t>
  </si>
  <si>
    <t>вул. Герцена, 17</t>
  </si>
  <si>
    <t>(057)3762132</t>
  </si>
  <si>
    <t>http://www.school76.edu.kh.ua</t>
  </si>
  <si>
    <t>Харківська загальноосвітня школа І-ІІІ ступенів № 54 Харківської міської ради Харківської олбасті</t>
  </si>
  <si>
    <t>61157</t>
  </si>
  <si>
    <t>вул. Академіка Богомольця, 4</t>
  </si>
  <si>
    <t>(057)735-23-17</t>
  </si>
  <si>
    <t>http://www.school54.edu.kh.ua</t>
  </si>
  <si>
    <t>Харківська спеціалізована школа І-ІІІ ступенів № 162 Харківської міської ради Харківської області</t>
  </si>
  <si>
    <t>вул. Пермська, 13</t>
  </si>
  <si>
    <t>(057)7196055</t>
  </si>
  <si>
    <t>http://school162.edu.kh.ua</t>
  </si>
  <si>
    <t>Комунальний заклад "Спеціальний навчально-виховний комплекс І-ІІ ступенів № 2" Харківської обласної ради</t>
  </si>
  <si>
    <t>пров. Карпівський, 21/23</t>
  </si>
  <si>
    <t>(057)370-30-63, (057)372-60-82, (057)370-21-19</t>
  </si>
  <si>
    <t>http://www.internat2.edu.kh.ua</t>
  </si>
  <si>
    <t>24281386</t>
  </si>
  <si>
    <t>Комунальний заклад "Харківська загальноосвітня школа І-ІІІ ступенів № 92 Харківської міської ради Харківської області імені Героя Радянського Союзу П.П. Набойченка"</t>
  </si>
  <si>
    <t>вул. Новоприміська, 66</t>
  </si>
  <si>
    <t>(057)3763910</t>
  </si>
  <si>
    <t>http://www.school92.edu.kh.ua/</t>
  </si>
  <si>
    <t>Комунальний заклад "Харківська спеціалізована школа І-ІІІ ступенів № 93 Харківської міської ради Харківської області імені В.В. Бондаренка"</t>
  </si>
  <si>
    <t>61020</t>
  </si>
  <si>
    <t>просп. Ново-Баварський, 89А</t>
  </si>
  <si>
    <t>(057)3762378</t>
  </si>
  <si>
    <t>http://www.school93.edu.kh.ua/</t>
  </si>
  <si>
    <t>Харківська загальноосвітня школа I-III ступенів № 137 Харківської міської ради Харківської області</t>
  </si>
  <si>
    <t>вул. Конотопська, 48</t>
  </si>
  <si>
    <t>376-21-68</t>
  </si>
  <si>
    <t>http://school137.edu.kh.ua</t>
  </si>
  <si>
    <t>Харківська загальноосвітня школа І-ІІ ступенів № 81 Харківської міської ради Харківської області</t>
  </si>
  <si>
    <t>вул. Червона Аллея, 49</t>
  </si>
  <si>
    <t>372-41-03</t>
  </si>
  <si>
    <t>http://www.school81.edu.kh.ua</t>
  </si>
  <si>
    <t>Харківська загальноосвітня школа І-ІІІ ступенів № 153 Харківської міської ради Харківської області</t>
  </si>
  <si>
    <t>вул. Академіка Богомольця, 15</t>
  </si>
  <si>
    <t>(057)7352168</t>
  </si>
  <si>
    <t>http://school153.edu.kh.ua/</t>
  </si>
  <si>
    <t>Харківська загальноосвітня школа І-ІІІ ступенів № 28 Харківської міської ради Харківської області</t>
  </si>
  <si>
    <t>вул. Ю.Паращука, 61</t>
  </si>
  <si>
    <t>(057)3705166</t>
  </si>
  <si>
    <t>http://school28.klasna.com</t>
  </si>
  <si>
    <t>Харківська загальноосвітня школа І-ІІІ ступенів № 130 Харківської міської ради Харківської області</t>
  </si>
  <si>
    <t>вул. Світланівська, 23А</t>
  </si>
  <si>
    <t>(057)735-28-19, (057)735-22-00</t>
  </si>
  <si>
    <t>http://www.school130.edu.kh.ua</t>
  </si>
  <si>
    <t>Харківська приватна загальноосвітня школа І-ІІІ ступенів "Початок мудрості" Харківської області</t>
  </si>
  <si>
    <t>вул. Ю.Паращука, 6</t>
  </si>
  <si>
    <t>(057)3703048</t>
  </si>
  <si>
    <t>http://www.bw-school.com.ua</t>
  </si>
  <si>
    <t>Комунальний заклад "Спеціальна загальноосвітня школа-інтернат І-ІІ ступенів № 55 Харківськой обласної ради"</t>
  </si>
  <si>
    <t>6310138200</t>
  </si>
  <si>
    <t>Харків, Індустріальний район</t>
  </si>
  <si>
    <t>вул. 12 Квітня, 12</t>
  </si>
  <si>
    <t>(057)2933156</t>
  </si>
  <si>
    <t>http://internat55.edu.kh.ua</t>
  </si>
  <si>
    <t>24480983</t>
  </si>
  <si>
    <t>Комунальний заклад "Харківська спеціалізована школа І-ІІІ ступенів № 15 з поглибленим вивченням окремих предметів Харківської міської ради Харківської області"</t>
  </si>
  <si>
    <t>вул. 12 Квітня, 14</t>
  </si>
  <si>
    <t>(0572)932012</t>
  </si>
  <si>
    <t>http://school15.edu.kh.ua</t>
  </si>
  <si>
    <t>Харківська вечірня (змінна) школа ІІ-ІІІ ступенів № 16 Харківської міської ради Харківської області</t>
  </si>
  <si>
    <t>61106</t>
  </si>
  <si>
    <t>б-р Івана Каркача, 4А</t>
  </si>
  <si>
    <t>(0572)991042</t>
  </si>
  <si>
    <t>http://vsch16.edu.kh.ua/</t>
  </si>
  <si>
    <t>Харківська гімназія № 163 Харківської міської ради Харківської області</t>
  </si>
  <si>
    <t>вул. Луї Пастера, 330</t>
  </si>
  <si>
    <t>(057)3971263</t>
  </si>
  <si>
    <t>http://gymnasium163.edu.kh.ua</t>
  </si>
  <si>
    <t>Харківська загальноосвітня школа І-ІІІ ступенів № 157 Харківської міської ради Харківської області</t>
  </si>
  <si>
    <t>вул. Грицевця, 30</t>
  </si>
  <si>
    <t>(057)3971206</t>
  </si>
  <si>
    <t>http://school157.edu.kh.ua/</t>
  </si>
  <si>
    <t>Харківська загальноосвітня школа І-ІІІ ступенів № 168 Харківської міської ради Харківської області</t>
  </si>
  <si>
    <t>61143</t>
  </si>
  <si>
    <t>вул. Велика Кільцева, 12</t>
  </si>
  <si>
    <t>(057)3961657</t>
  </si>
  <si>
    <t>http://school168.edu.kh.ua</t>
  </si>
  <si>
    <t>Харківська загальноосвітня школа І-ІІІ ступенів № 26 Харківської міської ради Харківської області</t>
  </si>
  <si>
    <t>вул. 12 Квітня, 28</t>
  </si>
  <si>
    <t>(0572)936185</t>
  </si>
  <si>
    <t>http://school26.edu.kh.ua/</t>
  </si>
  <si>
    <t>Харківська загальноосвітня школа І-ІІІ ступенів № 40 Харківської міської ради Харківської області</t>
  </si>
  <si>
    <t>б-р Івана  Каркача, 22А</t>
  </si>
  <si>
    <t>(0572)99-01-00</t>
  </si>
  <si>
    <t>http://school40.edu.kh.ua</t>
  </si>
  <si>
    <t>Харківська загальноосвітня школа І-ІІІ ступенів № 71 Харківської міської ради Харківської області</t>
  </si>
  <si>
    <t>(0572)933051</t>
  </si>
  <si>
    <t>http://school71.edu.kh.ua</t>
  </si>
  <si>
    <t>Харківська загальноосвітня школа І-ІІІ ступенів № 104 Харківської міської ради Харківської області</t>
  </si>
  <si>
    <t>вул. Біблика, 55</t>
  </si>
  <si>
    <t>(0572)930109</t>
  </si>
  <si>
    <t>http://shool.edu.kh.ua</t>
  </si>
  <si>
    <t>Харківська загальноосвітня школа І-ІІІ ступенів № 113 Харківської міської ради Харківської області</t>
  </si>
  <si>
    <t>61007</t>
  </si>
  <si>
    <t>просп. Архітектора Альошина, 9</t>
  </si>
  <si>
    <t>(0572)930019</t>
  </si>
  <si>
    <t>http://school113.edu.kh.ua/</t>
  </si>
  <si>
    <t>Харківська загальноосвітня школа І-ІІІ ступенів № 118 Харківської міської ради Харківської області</t>
  </si>
  <si>
    <t>вул. Роганська, 17</t>
  </si>
  <si>
    <t>(0572)990110</t>
  </si>
  <si>
    <t>http://school118.edu.kh.ua/</t>
  </si>
  <si>
    <t>Харківська загальноосвітня школа І-ІІІ ступенів № 121 Харківської міської ради Харківської області</t>
  </si>
  <si>
    <t>вул. Плиткова, 1</t>
  </si>
  <si>
    <t>(0572)992083</t>
  </si>
  <si>
    <t>http://school121.edu.kh.ua</t>
  </si>
  <si>
    <t>Харківська загальноосвітня школа І-ІІІ ступенів № 70 Харківської міської ради Харківської області</t>
  </si>
  <si>
    <t>61075</t>
  </si>
  <si>
    <t>просп. Олександрівський, 150</t>
  </si>
  <si>
    <t>(0572)935139</t>
  </si>
  <si>
    <t>http://school70.klasna.com</t>
  </si>
  <si>
    <t>Харківська загальноосвітня школа І-ІІІ ступенів № 88 імені О.Г.Зубарева Харківської міської ради Харківської області</t>
  </si>
  <si>
    <t>61115</t>
  </si>
  <si>
    <t>вул. Генерала Момота, 8</t>
  </si>
  <si>
    <t>(0572)934033</t>
  </si>
  <si>
    <t>http://school88.edu.kh.ua/</t>
  </si>
  <si>
    <t>Харківська спеціалізована школа I-III ступенів № 155 Харківської міської ради Харківської області</t>
  </si>
  <si>
    <t>61032</t>
  </si>
  <si>
    <t>просп. Московський, 318А</t>
  </si>
  <si>
    <t>(0572)993075</t>
  </si>
  <si>
    <t>http://school155.edu.kh.ua</t>
  </si>
  <si>
    <t>Харківська спеціалізована школа І-ІІІ ступенів № 119 Харківської міської ради Харківської області</t>
  </si>
  <si>
    <t>вул. Біблика, 4</t>
  </si>
  <si>
    <t>(0572)932092</t>
  </si>
  <si>
    <t>http://school119.edu.kh.ua</t>
  </si>
  <si>
    <t>Харківська спеціалізована школа І-ІІІ ступенів № 80 Харківської міської ради Харківської області</t>
  </si>
  <si>
    <t>вул. Біблика, 12</t>
  </si>
  <si>
    <t>(0572)933031</t>
  </si>
  <si>
    <t>http://school80.edu.kh.ua/</t>
  </si>
  <si>
    <t>Харківська спеціалізована школа І-ІІІ ступенів № 75 Харківської міської ради Харківської області</t>
  </si>
  <si>
    <t>вул. Шарикова, 46</t>
  </si>
  <si>
    <t>(0572)990185</t>
  </si>
  <si>
    <t>http://school75.klasna.com</t>
  </si>
  <si>
    <t>Комунальний заклад "Харківська спеціалізована школа І-ІІІ ступенів № 11 з поглибленим вивченням окремих предметів Харківської міської ради Харківської області"</t>
  </si>
  <si>
    <t>61082</t>
  </si>
  <si>
    <t>6310138500</t>
  </si>
  <si>
    <t>Харків, Немишлянський район</t>
  </si>
  <si>
    <t>вул. Василя Мельникова, 7</t>
  </si>
  <si>
    <t>(057)3921347</t>
  </si>
  <si>
    <t>http://school11.klasna.com</t>
  </si>
  <si>
    <t>Комунальний заклад "Харківський навчально-виховний комплекс "гімназія-школа І ступеня" № 24 Харківської міської ради Харківської області імені І.Н. Питікова"</t>
  </si>
  <si>
    <t>(057)3922347</t>
  </si>
  <si>
    <t>http://school24.klasna.com</t>
  </si>
  <si>
    <t>Харківський ліцей № 161 "Імпульс" Харківської міської ради Харківської області</t>
  </si>
  <si>
    <t>61176</t>
  </si>
  <si>
    <t>вул. Велозаводська, 35</t>
  </si>
  <si>
    <t>(24481659)7102794</t>
  </si>
  <si>
    <t>http://www.impuls.kharkov.com/</t>
  </si>
  <si>
    <t>Комунальний заклад "Харківська загальноосвітня школа І-ІІІ ступенів № 32 Харківської міської ради Харківської області імені двічі Героя Радянського Союзу О.О.Головачова"</t>
  </si>
  <si>
    <t>вул. Рибалко, 41</t>
  </si>
  <si>
    <t>(057)392-32-74, (057)392-12-47</t>
  </si>
  <si>
    <t>http://school32.klasna.com/</t>
  </si>
  <si>
    <t>Комунальний заклад "Харківська загальноосвітня школа І-ІІІ ступенів № 49 Харківської міської ради Харківської області імені Харківських дивізій"</t>
  </si>
  <si>
    <t>вул. Харківських Дивізій, 7/3</t>
  </si>
  <si>
    <t>392-11-93</t>
  </si>
  <si>
    <t>http://school49.klasna.com/</t>
  </si>
  <si>
    <t>Комунальний заклад "Харківська загальноосвітня школа І-ІІІ ступенів № 74 Харківської міської ради Харківської області"</t>
  </si>
  <si>
    <t>вул. Туркестанська, 1</t>
  </si>
  <si>
    <t>(057)738-04-66, (057)738-21-72</t>
  </si>
  <si>
    <t>http://School74.edu.kh.ua</t>
  </si>
  <si>
    <t>Комунальний заклад "Харківська загальноосвітня школа І-ІІІ ступенів № 61 Харківської міської ради Харківської області імені Героя Радянського Союзу І.О. Танкопія"</t>
  </si>
  <si>
    <t>61091</t>
  </si>
  <si>
    <t>вул. Танкопія, 19/4</t>
  </si>
  <si>
    <t>(057)3922242, (057)7797452</t>
  </si>
  <si>
    <t>http://school61.klasna.com</t>
  </si>
  <si>
    <t>Комунальний заклад "Харківська спеціалізована школа І-ІІІ ступенів № 181 "Дьонсурі" Харківської міської ради Харківської області"</t>
  </si>
  <si>
    <t>вул. Маршала Рибалко, 8/1</t>
  </si>
  <si>
    <t>(8057)3920167</t>
  </si>
  <si>
    <t>http://den.klasna.com</t>
  </si>
  <si>
    <t>англійська,корейська</t>
  </si>
  <si>
    <t>КОМУНАЛЬНИЙ ЗАКЛАД "ХАРКІВСЬКИЙ СПЕЦІАЛЬНИЙ НАВЧАЛЬНО-ВИХОВНИЙ КОМПЛЕКС № 8" ХАРКІВСЬКОЇ ОБЛАСНОЇ РАДИ</t>
  </si>
  <si>
    <t>вул. Василя Мельникова, 10/5</t>
  </si>
  <si>
    <t>(057)3922317</t>
  </si>
  <si>
    <t>http://shkola8.ucoz.ua/</t>
  </si>
  <si>
    <t>21188456</t>
  </si>
  <si>
    <t>Харківська загальноосвітня школа І-ІІІ ступенів № 145 Харківської міської ради Харківської області</t>
  </si>
  <si>
    <t>вул. Амосова (Корчагінців), 24А</t>
  </si>
  <si>
    <t>(057)711-80-87</t>
  </si>
  <si>
    <t>http://kh145.klasna.com</t>
  </si>
  <si>
    <t>Харківська загальноосвітня школа І-ІІІ ступенів № 160 Харківської міської ради Харківської області</t>
  </si>
  <si>
    <t>61060</t>
  </si>
  <si>
    <t>вул. Танкопія, 1</t>
  </si>
  <si>
    <t>98-81-73</t>
  </si>
  <si>
    <t>http://school160.klasna.com/</t>
  </si>
  <si>
    <t>Харківська загальноосвітня школа І-ІІІ ступенів № 38 Харківської міської ради Харківської області</t>
  </si>
  <si>
    <t>вул. Харківських Дивізій, 15/1</t>
  </si>
  <si>
    <t>(057)3920123</t>
  </si>
  <si>
    <t>http://sch38.kharkivosvita.net.ua</t>
  </si>
  <si>
    <t>Харківська загальноосвітня школа І-ІІІ ступенів № 101 Харківської міської ради Харківської області</t>
  </si>
  <si>
    <t>61029</t>
  </si>
  <si>
    <t>вул. Краснодарська, 147/2</t>
  </si>
  <si>
    <t>(057)7132962</t>
  </si>
  <si>
    <t>http://school101.klasna.com</t>
  </si>
  <si>
    <t>Харківська загальноосвітня школа І-ІІІ ступенів № 2 Харківської міської ради Харківської області</t>
  </si>
  <si>
    <t>вул. Харківських дивізій, 8</t>
  </si>
  <si>
    <t>(0572)392-22-04</t>
  </si>
  <si>
    <t>http://school2.edu.kh.ua/</t>
  </si>
  <si>
    <t>Харківська загальноосвітня школа І-ІІІ ступенів № 72 Харківської міської ради Харківської області</t>
  </si>
  <si>
    <t>просп. Московський, 246</t>
  </si>
  <si>
    <t>943638, 945538, 942732</t>
  </si>
  <si>
    <t>http://school72.klasna.com/</t>
  </si>
  <si>
    <t>Харківська спеціалізована школа І-ІІІ ступенів № 73 Харківської міської ради Харківської області</t>
  </si>
  <si>
    <t>вул. Амосова, 24</t>
  </si>
  <si>
    <t>(057)7100190, (057)7111254, (057)7119120</t>
  </si>
  <si>
    <t>http://school73klasna.com</t>
  </si>
  <si>
    <t>23334979</t>
  </si>
  <si>
    <t>Харківський навчально-виховний комплекс № 180 Харківської міської ради Харківської області</t>
  </si>
  <si>
    <t>вул. Олімпійська, 27</t>
  </si>
  <si>
    <t>(057)988771</t>
  </si>
  <si>
    <t>http://sch180.edu.kh.ua</t>
  </si>
  <si>
    <t>Харківський приватний навчально-виховний комплекс "ВЕРЕСЕНЬ" Харківської області</t>
  </si>
  <si>
    <t>просп. Московський, 230</t>
  </si>
  <si>
    <t>(057)3920165</t>
  </si>
  <si>
    <t>http://www.veresen.com</t>
  </si>
  <si>
    <t>Харківський приватний навчально-виховний комплекс "Гармонія" Харківської області</t>
  </si>
  <si>
    <t>вул. Рибалко, 16А</t>
  </si>
  <si>
    <t>(057)3921021</t>
  </si>
  <si>
    <t>Приватний навчальний заклад "Харківська загальноосвітня онлайн-школа І-ІІІ ступенів "Альтернатива" Харківської області"</t>
  </si>
  <si>
    <t>6310138800</t>
  </si>
  <si>
    <t>Харків, Основ'янський район</t>
  </si>
  <si>
    <t>вул. Плеханівська, 18</t>
  </si>
  <si>
    <t>(068)057-29-02, (073)023-82-29</t>
  </si>
  <si>
    <t>http://online-shkola.com.ua/</t>
  </si>
  <si>
    <t>Харківська загальноосвітня школа І-ІІІ ступенів № 53 Харківської міської ради Харківської області</t>
  </si>
  <si>
    <t>вул. Грозненська, 48</t>
  </si>
  <si>
    <t>(057)725-13-36, (057)725-13-39, (057)725-13-37, (057)725-13-3</t>
  </si>
  <si>
    <t>http://school53.klasna.com</t>
  </si>
  <si>
    <t>Харківська вечірня (змінна) школа № 3 Харківської міської ради Харківської області</t>
  </si>
  <si>
    <t>61003</t>
  </si>
  <si>
    <t>вул. Кооперативна, 22</t>
  </si>
  <si>
    <t>(057)725-13-78</t>
  </si>
  <si>
    <t>http://khvcsh3.klasna.com</t>
  </si>
  <si>
    <t>Харківська гімназія № 12 Харківської міської ради Харківської області</t>
  </si>
  <si>
    <t>вул. Чугуївська, 35А</t>
  </si>
  <si>
    <t>(057)725-13-70, (057)725-13-71</t>
  </si>
  <si>
    <t>http://gymnasium12.klasna.com</t>
  </si>
  <si>
    <t>Харківська гімназія № 34 Харківської міської ради Харківської області</t>
  </si>
  <si>
    <t>61080</t>
  </si>
  <si>
    <t>вул. Локомативна, 2</t>
  </si>
  <si>
    <t>(057)725-20-26</t>
  </si>
  <si>
    <t>http://school34.klasna.com</t>
  </si>
  <si>
    <t>Харківська загальноосвітня школа І-ІІІ ступенів № 10 Харківської міської ради Харківської області</t>
  </si>
  <si>
    <t>вул. Кузнечний в`їзд, 3</t>
  </si>
  <si>
    <t>(057)7251366</t>
  </si>
  <si>
    <t>http://school_10.klasna.com</t>
  </si>
  <si>
    <t>Харківська загальноосвітня школа І-ІІІ ступенів № 120 Харківської міської ради Харківської області</t>
  </si>
  <si>
    <t>61010</t>
  </si>
  <si>
    <t>вул. Катерининська, 8</t>
  </si>
  <si>
    <t>(057)725-13-62, (057)725-13-63</t>
  </si>
  <si>
    <t>http://school120.klasna.com</t>
  </si>
  <si>
    <t>Харківська загальноосвітня школа І-ІІІ ступенів № 35 Харківської міської ради Харківської області</t>
  </si>
  <si>
    <t>61009</t>
  </si>
  <si>
    <t>пров. Лиманський, 1</t>
  </si>
  <si>
    <t>(057)725-03-31, (057)725-03-32</t>
  </si>
  <si>
    <t>http://school35.klasna.com</t>
  </si>
  <si>
    <t>Харківська загальноосвітня школа І-ІІІ ступенів № 41 Харківської міської ради Харківської області</t>
  </si>
  <si>
    <t>вул. Достоєвського, 14</t>
  </si>
  <si>
    <t>(057)725-13-61</t>
  </si>
  <si>
    <t>http://school41.klasna.com</t>
  </si>
  <si>
    <t>Харківська загальноосвітня школа І-ІІІ ступенів № 48 Харківської міської ради Харківської області</t>
  </si>
  <si>
    <t>61109</t>
  </si>
  <si>
    <t>вул. Тернопільська, 19</t>
  </si>
  <si>
    <t>(057)725-20-24, (057)725-20-23</t>
  </si>
  <si>
    <t>http://school48.klasna.com</t>
  </si>
  <si>
    <t>Харківська загальноосвітня школа І-ІІІ ступенів № 7 Харківської міської ради Харківської області</t>
  </si>
  <si>
    <t>вул. Батуринська, 25</t>
  </si>
  <si>
    <t>(057)725-13-72, (057)725-13-73</t>
  </si>
  <si>
    <t>http://kh_school7.klasna.com</t>
  </si>
  <si>
    <t>Харківська спеціалізована школа І-ІІІ ступенів № 66 Харківської міської ради Харківської області</t>
  </si>
  <si>
    <t>просп. Гагаріна, 260</t>
  </si>
  <si>
    <t>(057)7251347, (057)7251348</t>
  </si>
  <si>
    <t>http://school66.klasna.com</t>
  </si>
  <si>
    <t>Ізюмська гімназія № 1 Ізюмської міської ради Харківської області</t>
  </si>
  <si>
    <t>64300</t>
  </si>
  <si>
    <t>6310400000</t>
  </si>
  <si>
    <t>Ізюм</t>
  </si>
  <si>
    <t>(05743)58091</t>
  </si>
  <si>
    <t>http://izyum-gimnaziya1.klasna.com</t>
  </si>
  <si>
    <t>Ізюмська гімназія № 3 Ізюмської міської ради Харківської області</t>
  </si>
  <si>
    <t>вул. Капітана Орлова, 5А</t>
  </si>
  <si>
    <t>(05743)23013</t>
  </si>
  <si>
    <t>http://gimnazij3.klasna.com</t>
  </si>
  <si>
    <t>Ізюмська загальноосвітня школа I-III ступенів № 12 Ізюмської міської ради Харківської області</t>
  </si>
  <si>
    <t>64306</t>
  </si>
  <si>
    <t>вул. Педагогічна, 4</t>
  </si>
  <si>
    <t>(05743)21344</t>
  </si>
  <si>
    <t>http://school12.net</t>
  </si>
  <si>
    <t>Ізюмська загальноосвітня школа І-ІІІ ступенів № 10 Ізюмської міської ради Харківської області</t>
  </si>
  <si>
    <t>вул. Генерала Недбайла, 134</t>
  </si>
  <si>
    <t>http://schooll_10.klasna.com</t>
  </si>
  <si>
    <t>Ізюмська загальноосвітня школа І-ІІІ ступенів № 11 Ізюмської міської ради Харківської області</t>
  </si>
  <si>
    <t>64304</t>
  </si>
  <si>
    <t>вул. Володимира Бескорсого, 35А</t>
  </si>
  <si>
    <t>(05743)54480</t>
  </si>
  <si>
    <t>http://iziumschool112.wix.com/school11</t>
  </si>
  <si>
    <t>Ізюмська загальноосвітня школа І-ІІІ ступенів № 2 Ізюмської міської ради Харківської області</t>
  </si>
  <si>
    <t>64303</t>
  </si>
  <si>
    <t>вул. Івана Мирошниченка, 12</t>
  </si>
  <si>
    <t>(05743)2-21-46</t>
  </si>
  <si>
    <t>http://izosh2_izum.klasna.com</t>
  </si>
  <si>
    <t>Ізюмська загальноосвітня школа І-ІІІ ступенів № 5 Ізюмської міської ради Харківської області</t>
  </si>
  <si>
    <t>64302</t>
  </si>
  <si>
    <t>просп. Незалежності, 57</t>
  </si>
  <si>
    <t>(05743)2-30-17</t>
  </si>
  <si>
    <t>http://izum-zosh5.at.ua</t>
  </si>
  <si>
    <t>Ізюмська загальноосвітня школа І-ІІІ ступенів № 4 Ізюмської міської ради Харківської області</t>
  </si>
  <si>
    <t>вул. Старопоштова, 22</t>
  </si>
  <si>
    <t>(05743)21318</t>
  </si>
  <si>
    <t>http://izosh4izum.ho.ua/</t>
  </si>
  <si>
    <t>Ізюмська загальноосвітня школа І-ІІІ ступенів № 6 Ізюмської міської ради Харківської області</t>
  </si>
  <si>
    <t>64305</t>
  </si>
  <si>
    <t>вул. 24 Серпня, 32</t>
  </si>
  <si>
    <t>(05743)21016</t>
  </si>
  <si>
    <t>http://izumschool6.at.ua</t>
  </si>
  <si>
    <t>Комунальний заклад "Куп'янський спеціальний навчально-виховний комплекс" Харківської обласної ради</t>
  </si>
  <si>
    <t>63707</t>
  </si>
  <si>
    <t>6310700000</t>
  </si>
  <si>
    <t>Куп'янськ</t>
  </si>
  <si>
    <t>вул. Харківська, 101</t>
  </si>
  <si>
    <t>(05742)53350</t>
  </si>
  <si>
    <t>http://parostok.com.ua</t>
  </si>
  <si>
    <t>22672094</t>
  </si>
  <si>
    <t>Куп’янська гімназія № 1 Куп’янської міської ради Харківської області</t>
  </si>
  <si>
    <t>63701</t>
  </si>
  <si>
    <t>вул. Харківська, 26</t>
  </si>
  <si>
    <t>(05742)55194</t>
  </si>
  <si>
    <t>Куп'янська загальноосвітня школа I-III ступенів № 4 імені Героя Радянського Союзу М.Ф. Хімушина Куп'янської міської ради Харківської області</t>
  </si>
  <si>
    <t>мрн. Ювілейний, 2</t>
  </si>
  <si>
    <t>(05742)5-74-55</t>
  </si>
  <si>
    <t>Куп'янська загальноосвітня школа І-ІІІ ступенів № 6 Куп'янської міської ради Харківської області</t>
  </si>
  <si>
    <t>63705</t>
  </si>
  <si>
    <t>(05742)53594</t>
  </si>
  <si>
    <t>http://school6.h16.ru</t>
  </si>
  <si>
    <t>Куп'янський навчально - виховний комплекс № 7, Куп'янської міської ради, Харківської області</t>
  </si>
  <si>
    <t>63706</t>
  </si>
  <si>
    <t>вул. Жуковського, 10</t>
  </si>
  <si>
    <t>(05742)41662</t>
  </si>
  <si>
    <t>http://kupyansk-nvk7.edu.kh.ua/</t>
  </si>
  <si>
    <t>Куп'янський навчально-виховний комплекс № 2 Куп'янської міської ради Харківської області</t>
  </si>
  <si>
    <t>63702</t>
  </si>
  <si>
    <t>вул. Цукрозаводська, 5</t>
  </si>
  <si>
    <t>(05742)5-36-46, (05742)5-17-90</t>
  </si>
  <si>
    <t>Куп"янська загальноосвітня школа І-ІІІ ступенів № 1 Куп"янської міської ради Харківської області</t>
  </si>
  <si>
    <t>(05742)5-30-31, (05742)5-18-05</t>
  </si>
  <si>
    <t>Куп'янська гімназія № 2 Куп'янської міської ради Харківської області</t>
  </si>
  <si>
    <t>63736</t>
  </si>
  <si>
    <t>6310745400</t>
  </si>
  <si>
    <t>Ківшарівка</t>
  </si>
  <si>
    <t>мрн. другий</t>
  </si>
  <si>
    <t>(05742)65108</t>
  </si>
  <si>
    <t>Куп'янська загальноосвітня школа І-ІІІ ступенів № 11 Куп'янської міської ради Харківської області</t>
  </si>
  <si>
    <t>63734</t>
  </si>
  <si>
    <t>(05742)65614</t>
  </si>
  <si>
    <t>http://zosh11.kupyansk.info/</t>
  </si>
  <si>
    <t>Куп'янська загальноосвітня школа І-ІІІ ступенів № 12 Куп'янської міської ради Харківської області</t>
  </si>
  <si>
    <t>(05742)64135</t>
  </si>
  <si>
    <t>http://kupiansk-school12.edu.kh.ua</t>
  </si>
  <si>
    <t>Куп’янський навчально-виховний комплекс "Школа-гімназія № 3" Куп’янської міської ради Харківської області</t>
  </si>
  <si>
    <t>63709</t>
  </si>
  <si>
    <t>6310745700</t>
  </si>
  <si>
    <t>Куп'янськ-Вузловий</t>
  </si>
  <si>
    <t>вул. Дарвіна,, 35</t>
  </si>
  <si>
    <t>(05742)42677</t>
  </si>
  <si>
    <t>http://kupnvk3.ucoz.ua/</t>
  </si>
  <si>
    <t>Лозівська гімназія Лозівської міської ради Харківської області</t>
  </si>
  <si>
    <t>64600</t>
  </si>
  <si>
    <t>6311000000</t>
  </si>
  <si>
    <t>вул. Абросимова, 65</t>
  </si>
  <si>
    <t>(05745)22865</t>
  </si>
  <si>
    <t>http://gymnasia.ucoz.net/</t>
  </si>
  <si>
    <t>Лозівська загальноосвітня школа I-III ступенів № 12 Лозівської міської ради Харківської області</t>
  </si>
  <si>
    <t>64604</t>
  </si>
  <si>
    <t>мрн. 1</t>
  </si>
  <si>
    <t>(05745)2-26-57</t>
  </si>
  <si>
    <t>http://lozschool12.ucoz.ua</t>
  </si>
  <si>
    <t>Лозівська загальноосвітня школа І-ІІІ ступенів № 11 Лозівської міської ради Харківської області</t>
  </si>
  <si>
    <t>вул. Абросімова, 65А</t>
  </si>
  <si>
    <t>(05745)2-52-17, (05745)2-53-10</t>
  </si>
  <si>
    <t>http://lozova-zosh11.kh.sch.in.ua</t>
  </si>
  <si>
    <t>Лозівська загальноосвітня школа І-ІІІ ступенів № 3 Лозівської міської ради Харківської області</t>
  </si>
  <si>
    <t>мрн. 2, 8</t>
  </si>
  <si>
    <t>(05745)7-13-15</t>
  </si>
  <si>
    <t>http://school3loz.clan.su/index/0-2</t>
  </si>
  <si>
    <t>Лозівська загальноосвітня школа І-ІІІ ступенів № 1 Лозівської міської ради Харківської області</t>
  </si>
  <si>
    <t>64606</t>
  </si>
  <si>
    <t>мрн. 5, 3</t>
  </si>
  <si>
    <t>(05745)23024</t>
  </si>
  <si>
    <t>http://school1loz.clan.su/</t>
  </si>
  <si>
    <t>Лозівська загальноосвітня школа І-ІІІ ступенів № 7 Лозівської міської ради Харківської області</t>
  </si>
  <si>
    <t>мрн. 3, 29</t>
  </si>
  <si>
    <t>(05745)70095</t>
  </si>
  <si>
    <t>http://lozzosh7.pp.ua</t>
  </si>
  <si>
    <t>Лозівський навчально-виховний комплекс "загальноосвітній навчальний заклад - ліцей" № 4 Лозівської міської ради Харківської області</t>
  </si>
  <si>
    <t>мрн. 4, 45</t>
  </si>
  <si>
    <t>(05745)71813</t>
  </si>
  <si>
    <t>http://loz-licej-4.ucoz.ua/</t>
  </si>
  <si>
    <t>Лозівський навчально - виховний комплекс "загальноосвітній навчальний заклад - дошкільний навчальний заклад № 8 " Лозівської міської ради Харківської області</t>
  </si>
  <si>
    <t>вул. Олександра Бричука, 43А</t>
  </si>
  <si>
    <t>(05745)23830</t>
  </si>
  <si>
    <t>http://loz-nvk-8.ucoz.ua/</t>
  </si>
  <si>
    <t>Лозівський навчально-виховний комплекс № 10 "загальноосвітній навчальний заклад - дошкільний навчальний заклад" Лозівської міської ради Харківської області</t>
  </si>
  <si>
    <t>64602</t>
  </si>
  <si>
    <t>б-р Шевченка, 15</t>
  </si>
  <si>
    <t>(05745)2-24-64</t>
  </si>
  <si>
    <t>http://loz-nvk-10.ucoz.ua/</t>
  </si>
  <si>
    <t>Панютинська загальноосвітня школа І-ІІІ ступенів № 1 Лозівської міської ради Харківської облсті</t>
  </si>
  <si>
    <t>64660</t>
  </si>
  <si>
    <t>6311045400</t>
  </si>
  <si>
    <t>Панютине</t>
  </si>
  <si>
    <t>вул. Миру, 33</t>
  </si>
  <si>
    <t>http://panschool1.ucoz.ua/</t>
  </si>
  <si>
    <t>Панютинська загальноосвітня школа І-ІІ ступенів № 2 Лозівської міської ради Харківської області</t>
  </si>
  <si>
    <t>6311045401</t>
  </si>
  <si>
    <t>Хлібне</t>
  </si>
  <si>
    <t>вул. Широка, 32</t>
  </si>
  <si>
    <t>(05745)60310</t>
  </si>
  <si>
    <t>Домаський навчально-виховний комплекс "загальноосвітній навчальний заклад - дошкільний навчальний заклад" Лозівської міської ради Харківської області</t>
  </si>
  <si>
    <t>64603</t>
  </si>
  <si>
    <t>6311090101</t>
  </si>
  <si>
    <t>Домаха</t>
  </si>
  <si>
    <t>(05745)2-27-43</t>
  </si>
  <si>
    <t>Комунальний заклад"Люботинська спеціалізована школа-інтернат I-III ступенів Дивосвіт " Харківської обласної ради</t>
  </si>
  <si>
    <t>62433</t>
  </si>
  <si>
    <t>6311200000</t>
  </si>
  <si>
    <t>Люботин</t>
  </si>
  <si>
    <t>вул. Кооперативна, 38/8</t>
  </si>
  <si>
    <t>(057)741-10-35, (057)741-10-37, (057)741-01-37</t>
  </si>
  <si>
    <t>http://lintern.org.ua/</t>
  </si>
  <si>
    <t>04591423</t>
  </si>
  <si>
    <t>Люботинська гімназія № 1 Люботинської міської ради Харківської області</t>
  </si>
  <si>
    <t>(057)741-09-11</t>
  </si>
  <si>
    <t>Люботинська загальнооосвітня школа І-ІІІ ступенів № 6 Люботинської міської ради Харківської області</t>
  </si>
  <si>
    <t>вул. Московська, 48/31</t>
  </si>
  <si>
    <t>(057)7411230</t>
  </si>
  <si>
    <t>http://sistemywebsite.ru/lyubotynscool6</t>
  </si>
  <si>
    <t>Люботинська загальноосвітня школа І - ІІІ ступенів № 5 Люботинської міської ради Харківської області</t>
  </si>
  <si>
    <t>62434</t>
  </si>
  <si>
    <t>вул. Полтавський шлях, 48</t>
  </si>
  <si>
    <t>(057)741-26-46</t>
  </si>
  <si>
    <t>http://lubotyn-school5.edu.kh.ua</t>
  </si>
  <si>
    <t>Люботинська загальноосвітня школа І-ІІІ ступенів № 3 Люботинської міської ради Харківської області</t>
  </si>
  <si>
    <t>(057)7412571</t>
  </si>
  <si>
    <t>Люботинська загальноосвітня школа І-ІІІ ступенів № 4 Люботинської міської ради Харківської області</t>
  </si>
  <si>
    <t>741-16-10</t>
  </si>
  <si>
    <t>http://lubschool4.at.ua/</t>
  </si>
  <si>
    <t>Люботинський навчально-виховний комплекс "загальноосвітній навчальний заклад І-ІІІ ступенів - дошкільний навчальний заклад" № 2 Люботинської міської ради Харківської області</t>
  </si>
  <si>
    <t>вул. Злагоди, 50</t>
  </si>
  <si>
    <t>(057)7411036</t>
  </si>
  <si>
    <t>http://lubotyn-nvk2.edu.kh.ua</t>
  </si>
  <si>
    <t>Караванська загальноосвітня школа І-ІІІ ступенів Люботинської міської ради Харківської області</t>
  </si>
  <si>
    <t>62436</t>
  </si>
  <si>
    <t>6311290003</t>
  </si>
  <si>
    <t>Караван</t>
  </si>
  <si>
    <t>вул. Заводська, 16</t>
  </si>
  <si>
    <t>(057)7635172</t>
  </si>
  <si>
    <t>http://karavan-school.edu.kh.ua/</t>
  </si>
  <si>
    <t>Первомайська гімназія № 3 Первомайської міської ради Харківської області</t>
  </si>
  <si>
    <t>64107</t>
  </si>
  <si>
    <t>6311500000</t>
  </si>
  <si>
    <t>Первомайський</t>
  </si>
  <si>
    <t>вул. Спортивна, 34</t>
  </si>
  <si>
    <t>(05748)33258</t>
  </si>
  <si>
    <t>http://gymnasium-3.wix.com/edu-ua</t>
  </si>
  <si>
    <t>Первомайська загальноосвітня школа І-ІІІ ст № 7 Первомайської міської ради Харківської області</t>
  </si>
  <si>
    <t>64102</t>
  </si>
  <si>
    <t>(05748)22345</t>
  </si>
  <si>
    <t>http://school7.ucoz.ua</t>
  </si>
  <si>
    <t>Первомайська загальноосвітня школа І-ІІІ ступенів № 2 Первомайської міської ради Харківської області</t>
  </si>
  <si>
    <t>вул. Комарова, 1</t>
  </si>
  <si>
    <t>(05748)32321, (05748)32350, (05748)33254</t>
  </si>
  <si>
    <t>Первомайська загальноосвітня школа І-ІІІ ступенів № 1 Первомайської міської ради Харківської області</t>
  </si>
  <si>
    <t>(057248)34128</t>
  </si>
  <si>
    <t>http://zosh_1.klasna.com/</t>
  </si>
  <si>
    <t>Первомайська загальноосвітня школа І-ІІІ ступенів № 4 Первомайської міської ради Харківської області</t>
  </si>
  <si>
    <t>вул. Кіндратьєва</t>
  </si>
  <si>
    <t>(05748)33291</t>
  </si>
  <si>
    <t>http://perv-school4.at.ua</t>
  </si>
  <si>
    <t>Первомайська загальноосвітня школа І-ІІІ ступенів № 5 Первомайської міської ради Харківської області</t>
  </si>
  <si>
    <t>64100</t>
  </si>
  <si>
    <t>вул. Кондратьєва</t>
  </si>
  <si>
    <t>(05748)3-32-31</t>
  </si>
  <si>
    <t>Первомайська загальноосвітня школа І-ІІІ ступенів № 6 Первомайської міської ради Харківської області</t>
  </si>
  <si>
    <t>64105</t>
  </si>
  <si>
    <t>мрн. 3, вул.Кіндратьєва</t>
  </si>
  <si>
    <t>(05748)34311, (05748)34233</t>
  </si>
  <si>
    <t>http://pervsc6.ucoz.ua</t>
  </si>
  <si>
    <t>Клугино-Башкирівська загальноосвітня школа І-ІІІ ступенів Чугуївської міської ради Харківської області</t>
  </si>
  <si>
    <t>63505</t>
  </si>
  <si>
    <t>6312000000</t>
  </si>
  <si>
    <t>Чугуїв</t>
  </si>
  <si>
    <t>вул. Горішного</t>
  </si>
  <si>
    <t>(05746)2-54-86</t>
  </si>
  <si>
    <t>Чугуївський навчально-виховний комплекс "Загальноосвітня школа І-ІІІ ступенів-гімназія № 5 Чугуївської міської ради Харківської області"</t>
  </si>
  <si>
    <t>63503</t>
  </si>
  <si>
    <t>пл. Уланська, 1А</t>
  </si>
  <si>
    <t>(05746)22773, (05746)22081</t>
  </si>
  <si>
    <t>http://chuguiv-gymnasium5.edu.kh.ua/</t>
  </si>
  <si>
    <t>Чугуївська загальноосвітня школа І-ІІ ступенів № 4 Чугуївської міської ради Харківської області</t>
  </si>
  <si>
    <t>вул. Зароженська, 14</t>
  </si>
  <si>
    <t>(05746)24520</t>
  </si>
  <si>
    <t>Чугуївська загальноосвітня школа І-ІІІ ступенів № 1 імені І.Ю. Рєпіна Чугуївської міської ради Харківської області</t>
  </si>
  <si>
    <t>вул. Гвардійська, 20</t>
  </si>
  <si>
    <t>(05746)22144</t>
  </si>
  <si>
    <t>http://www.chuguiv-school1.edu.kh.ua/</t>
  </si>
  <si>
    <t>ЧУГУЇВСЬКИЙ НАВЧАЛЬНО-ВИХОВНИЙ КОМПЛЕКС "ДОШКІЛЬНИЙ НАВЧАЛЬНИЙ ЗАКЛАД-ЗАГАЛЬНООСВІТНЯ ШКОЛА І-ІІІ СТУПЕНІВ" № 8 ЧУГУЇВСЬКОЇ МІСЬКОЇ РАДИ ХАРКІВСЬКОЇ ОБЛАСТІ</t>
  </si>
  <si>
    <t>вул. Червономанежна, 18</t>
  </si>
  <si>
    <t>(05746)2-43-15</t>
  </si>
  <si>
    <t>http://school8.ahosting.net.ua/</t>
  </si>
  <si>
    <t>Чугуївська загальноосвітня школа І-ІІІ ступенів № 2 Чугуївської міської ради Харківської області</t>
  </si>
  <si>
    <t>вул. Гвардійська, 34</t>
  </si>
  <si>
    <t>25732</t>
  </si>
  <si>
    <t>Чугуївська загальноосвітня школа І-ІІІ ступенів № 7 Чугуївської міської ради Харківської області</t>
  </si>
  <si>
    <t>пл. Матросова, 1</t>
  </si>
  <si>
    <t>(05746)23340</t>
  </si>
  <si>
    <t>Чугуївський навчально-виховний комплекс № 6 імені тричі Героя Радянського Союзу І.М. Кожедуба Чугуївської міської ради Харківської області</t>
  </si>
  <si>
    <t>63501</t>
  </si>
  <si>
    <t>мрн. Авіатор, 58А</t>
  </si>
  <si>
    <t>(05746)23476</t>
  </si>
  <si>
    <t>Балаклійська загальноосвітня школа І-ІІІ ступенів № 1 ім. О.А. Тризни Балаклійської районної ради Харківської області</t>
  </si>
  <si>
    <t>64200</t>
  </si>
  <si>
    <t>6320210100</t>
  </si>
  <si>
    <t>вул. Соборна, 95</t>
  </si>
  <si>
    <t>http://www.balakliya-school1.edu.kh.ua/</t>
  </si>
  <si>
    <t>25457255</t>
  </si>
  <si>
    <t>Балаклійська загальноосвітня школа І-ІІІ ступенів № 2 Балаклійської районної ради Харківської області</t>
  </si>
  <si>
    <t>пров. 1 Травня, 12</t>
  </si>
  <si>
    <t>(05749)5-22-77, (05749)5-12-65</t>
  </si>
  <si>
    <t>http://balakliya-school2.edu.kh.ua</t>
  </si>
  <si>
    <t>25457261</t>
  </si>
  <si>
    <t>Балаклійська загальноосвітня школа І-ІІІ ступенів № 3 Балаклійської районної ради Харківської області</t>
  </si>
  <si>
    <t>64207</t>
  </si>
  <si>
    <t>вул. Покровська, 25</t>
  </si>
  <si>
    <t>(0249)22833, (0249)23132</t>
  </si>
  <si>
    <t>http://balakliya-school3.edu.kh.ua</t>
  </si>
  <si>
    <t>25457278</t>
  </si>
  <si>
    <t>Балаклійська загальноосвітня школа І-ІІІ ступенів № 6 Балаклійської районної ради Харківської області</t>
  </si>
  <si>
    <t>2-60-64</t>
  </si>
  <si>
    <t>25457309</t>
  </si>
  <si>
    <t>Балаклійський ліцей Балаклійської районної державної адміністрації Харківської області</t>
  </si>
  <si>
    <t>пл. Ростовцева, 2</t>
  </si>
  <si>
    <t>(05749)52446, (05749)20938, (05749)20822</t>
  </si>
  <si>
    <t>23908363</t>
  </si>
  <si>
    <t>Балаклійський навчально-виховний комплекс "загальноосвітній навчальний заклад І-ІІІ ступенів - дошкільний навчальний заклад" Балаклійської районної ради Харківської області</t>
  </si>
  <si>
    <t>вул. Перемоги, 100</t>
  </si>
  <si>
    <t>(05749)5-45-70</t>
  </si>
  <si>
    <t>25457290</t>
  </si>
  <si>
    <t>Комунальний заклад "Балаклійська спеціальна загальноосвітня школа-інтернат І-ІІ ступенів Харківської обласної ради"</t>
  </si>
  <si>
    <t>вул. Партизанська, 5</t>
  </si>
  <si>
    <t>(05749)5-22-13, (05749)5-26-93</t>
  </si>
  <si>
    <t>http://balint.kh.ua</t>
  </si>
  <si>
    <t>23010082</t>
  </si>
  <si>
    <t>Андріївська загальноосвітня школа І-ІІІ ступенів № 1 Балаклійської районної ради Харківської області</t>
  </si>
  <si>
    <t>64220</t>
  </si>
  <si>
    <t>6320255300</t>
  </si>
  <si>
    <t>пл. Центральна, 41</t>
  </si>
  <si>
    <t>(057249)41368</t>
  </si>
  <si>
    <t>http://andriivka-school1.edu.kh.ua</t>
  </si>
  <si>
    <t>25457373</t>
  </si>
  <si>
    <t>Андріївська загальноосвітня школа І-ІІІ ступенів № 2 Балаклійської районної ради Харківської області</t>
  </si>
  <si>
    <t>(057249)41383</t>
  </si>
  <si>
    <t>http://andriivka-school2.edu.kh.ua/</t>
  </si>
  <si>
    <t>25457381</t>
  </si>
  <si>
    <t>Савинська загальноосвітня школа І-ІІІ ступенів № 1 Балаклійської районної ради Харківської області</t>
  </si>
  <si>
    <t>64270</t>
  </si>
  <si>
    <t>6320255700</t>
  </si>
  <si>
    <t>вул. 20-ї Гвардійської дивізії, 10</t>
  </si>
  <si>
    <t>(05749)31146</t>
  </si>
  <si>
    <t>25457539</t>
  </si>
  <si>
    <t>Савинський навчально-виховний комплекс "загальноосвітній навчальний заклад І-ІІІ ступенів - дошкільний навчальний заклад" Балаклійської районної ради Харківської області</t>
  </si>
  <si>
    <t>64271</t>
  </si>
  <si>
    <t>http://www.savyntsi-school2.edu.kh.ua</t>
  </si>
  <si>
    <t>25457545</t>
  </si>
  <si>
    <t>Довгалівська загальноосвітня школа І - ІІ ступенів Балаклійської районної ради Харківської області</t>
  </si>
  <si>
    <t>6320255701</t>
  </si>
  <si>
    <t>вул. Донецька, 38</t>
  </si>
  <si>
    <t>31635</t>
  </si>
  <si>
    <t>Донецька загальноосвітня школа І - ІІІ ступенів № 2 Балаклійської районної ради Харківської області</t>
  </si>
  <si>
    <t>64250</t>
  </si>
  <si>
    <t>6320256000</t>
  </si>
  <si>
    <t>Донець</t>
  </si>
  <si>
    <t>(05749)91083</t>
  </si>
  <si>
    <t>http://www.chervonodon-school2.edu.kh.ua</t>
  </si>
  <si>
    <t>25457568</t>
  </si>
  <si>
    <t>Донецька загальноосвітня школа І-ІІІ ступенів № 1 Балаклійської районної ради Харківської області</t>
  </si>
  <si>
    <t>(05749)91386</t>
  </si>
  <si>
    <t>http://chd_first.klasna.com</t>
  </si>
  <si>
    <t>25457551</t>
  </si>
  <si>
    <t>Асіївська загальноосвітня школа І-ІІІ ступенів Балаклійської районної ради Харківської області</t>
  </si>
  <si>
    <t>64260</t>
  </si>
  <si>
    <t>6320280401</t>
  </si>
  <si>
    <t>Асіївка</t>
  </si>
  <si>
    <t>(05749)65116</t>
  </si>
  <si>
    <t>http://asiivka.edu.kh.ua</t>
  </si>
  <si>
    <t>Слобожанський навчально-виховний комплекс "загальноосвітня школа І-ІІІ ступенів - дошкільний навчальний заклад" Балаклійської районної ради Харківської області</t>
  </si>
  <si>
    <t>64262</t>
  </si>
  <si>
    <t>6320280402</t>
  </si>
  <si>
    <t>(65)2-97</t>
  </si>
  <si>
    <t>Борщівський навчально-виховний комплекс (загальноосвітня школа І-ІІІ ступенів - дошкільний навчальний заклад) Балаклійської районної ради Харківської області</t>
  </si>
  <si>
    <t>64240</t>
  </si>
  <si>
    <t>6320280801</t>
  </si>
  <si>
    <t>(05749)28612</t>
  </si>
  <si>
    <t>http://borshivka.edu.kh.ua</t>
  </si>
  <si>
    <t>Бригадирівська загальносвітня школа І-ІІІ ступенів Балаклійської районної ради Харківської області</t>
  </si>
  <si>
    <t>64230</t>
  </si>
  <si>
    <t>6320281201</t>
  </si>
  <si>
    <t>(05749)65797</t>
  </si>
  <si>
    <t>Вербівська загальноосвітня школа І-ІІІ ступенів Балаклійської районної ради Харківської області</t>
  </si>
  <si>
    <t>64219</t>
  </si>
  <si>
    <t>6320281601</t>
  </si>
  <si>
    <t>(05749)27126</t>
  </si>
  <si>
    <t>25457628</t>
  </si>
  <si>
    <t>Вишнівська загальноосвітня школа І-ІІІ ступенів Балаклійської районної ради Харківської області</t>
  </si>
  <si>
    <t>64231</t>
  </si>
  <si>
    <t>6320282001</t>
  </si>
  <si>
    <t>Вишнева</t>
  </si>
  <si>
    <t>вул. 40 років Перемоги, 32</t>
  </si>
  <si>
    <t>(05749)69238</t>
  </si>
  <si>
    <t>http://vyshneva.edu.kh.ua</t>
  </si>
  <si>
    <t>Гусарівський навчально-виховний комплекс "загальноосвітній навчальний заклад І-ІІІ ступенів- дошкільний навчальний заклад" Балаклійської районної ради Харківської області</t>
  </si>
  <si>
    <t>64264</t>
  </si>
  <si>
    <t>6320282401</t>
  </si>
  <si>
    <t>Гусарівка</t>
  </si>
  <si>
    <t>(05749)65372</t>
  </si>
  <si>
    <t>http://gusarivska.ucoz.ru</t>
  </si>
  <si>
    <t>Залиманська загальноосвітня школа І-ІІІ ступенів Балаклійської районної ради Харківської області</t>
  </si>
  <si>
    <t>6320282801</t>
  </si>
  <si>
    <t>Залиман</t>
  </si>
  <si>
    <t>(05749)63-6-24</t>
  </si>
  <si>
    <t>Лозовеньківська загальноосвітня школа І-ІІІ ступенів Балаклійської районної ради Харківської області</t>
  </si>
  <si>
    <t>64261</t>
  </si>
  <si>
    <t>6320283601</t>
  </si>
  <si>
    <t>Лозовенька</t>
  </si>
  <si>
    <t>(05749)69637</t>
  </si>
  <si>
    <t>http://lozovenka-balakl.edu.kh.ua</t>
  </si>
  <si>
    <t>Міловська загальноосвітня школа І - ІІІ ступенів</t>
  </si>
  <si>
    <t>64253</t>
  </si>
  <si>
    <t>6320284001</t>
  </si>
  <si>
    <t>Мілова</t>
  </si>
  <si>
    <t>(05749)66238</t>
  </si>
  <si>
    <t>Морозівська загальноосвітня школа І -ІІІ ступенів Балаклійської районної ради Харківської області</t>
  </si>
  <si>
    <t>64241</t>
  </si>
  <si>
    <t>6320284401</t>
  </si>
  <si>
    <t>(05749)63123</t>
  </si>
  <si>
    <t>http://www.morozivka.edu.kh.ua</t>
  </si>
  <si>
    <t>Петрівська загальноосвітня школа І-ІІІ ступенів Балаклійської районної ради Харківської області</t>
  </si>
  <si>
    <t>64282</t>
  </si>
  <si>
    <t>6320284801</t>
  </si>
  <si>
    <t>(05749)71225, (05749)71215</t>
  </si>
  <si>
    <t>25457700</t>
  </si>
  <si>
    <t>Пришибський навчально - виховний комплекс " загальноосвітній навчальний заклад І - ІІІ ступенів- дошкільний навчальний заклад" Балаклійської районної ради Харківської області</t>
  </si>
  <si>
    <t>64223</t>
  </si>
  <si>
    <t>6320285201</t>
  </si>
  <si>
    <t>вул. Данилевського, 70/2</t>
  </si>
  <si>
    <t>0574928033</t>
  </si>
  <si>
    <t>http://pryshyb.edu.kh.ua/</t>
  </si>
  <si>
    <t>25457717</t>
  </si>
  <si>
    <t>Покровська загальноосвітня школа І-ІІ ступенів Балаклійської районної ради Харківської області</t>
  </si>
  <si>
    <t>64266</t>
  </si>
  <si>
    <t>6320285202</t>
  </si>
  <si>
    <t>Протопопівський навчально-виховний комплекс "загальноосвітній навчальний заклад І - ІІ ступенів - дошкільний навчальний заклад" Балаклійської районної ради Харківської області</t>
  </si>
  <si>
    <t>64281</t>
  </si>
  <si>
    <t>6320285601</t>
  </si>
  <si>
    <t>вул. Стовбова, 13</t>
  </si>
  <si>
    <t>(805749)69338</t>
  </si>
  <si>
    <t>П'ятигірська загальноосвітня школа І-ІІІ ступенів Балаклійської районної ради Харківської області</t>
  </si>
  <si>
    <t>64252</t>
  </si>
  <si>
    <t>6320286001</t>
  </si>
  <si>
    <t>П'ятигірське</t>
  </si>
  <si>
    <t>(249)61306</t>
  </si>
  <si>
    <t>25457730</t>
  </si>
  <si>
    <t>Веселівська загальноосвітня школа І-ІІІ ступенів Балаклійської районної ради Харківської області</t>
  </si>
  <si>
    <t>64235</t>
  </si>
  <si>
    <t>6320286202</t>
  </si>
  <si>
    <t>вул. 8 Березня, 10</t>
  </si>
  <si>
    <t>(057)69-4-19</t>
  </si>
  <si>
    <t>http://vesele-balakl.edu.kh.ua</t>
  </si>
  <si>
    <t>Чепільська загальноосвітня школа І-ІІ ступенів Балаклійської районної ради Харківської області</t>
  </si>
  <si>
    <t>64280</t>
  </si>
  <si>
    <t>6320286401</t>
  </si>
  <si>
    <t>Чепіль</t>
  </si>
  <si>
    <t>вул. Миру, 41</t>
  </si>
  <si>
    <t>(05749)67530</t>
  </si>
  <si>
    <t>Новогусарівський навчально-виховний комплекс "загальноосвітня школа І-ІІІ ступенів-дошкільний навчальний заклад" Балаклійської районної ради Харківської області</t>
  </si>
  <si>
    <t>64265</t>
  </si>
  <si>
    <t>6320286801</t>
  </si>
  <si>
    <t>Нова Гусарівка</t>
  </si>
  <si>
    <t>(05749)66584</t>
  </si>
  <si>
    <t>Шебелинська загальноосвітня школа І-ІІ ступенів Балаклійської районної ради Харківської області</t>
  </si>
  <si>
    <t>64251</t>
  </si>
  <si>
    <t>6320287201</t>
  </si>
  <si>
    <t>Шебелинка</t>
  </si>
  <si>
    <t>(049)63-2-44</t>
  </si>
  <si>
    <t>http://shebelynka.edu.kh.ua</t>
  </si>
  <si>
    <t>Шевелівський навчально - виховний комплекс "загальноосвітній навчальний заклад І - ІІІ ступенів - дошкільний навчальний заклад" Балаклійської районної ради Харківської області</t>
  </si>
  <si>
    <t>64623</t>
  </si>
  <si>
    <t>6320287401</t>
  </si>
  <si>
    <t>Шевелівка</t>
  </si>
  <si>
    <t>вул. Молодіжна, 10А</t>
  </si>
  <si>
    <t>(05749)65640</t>
  </si>
  <si>
    <t>http://www.shevelivka.edu.kh.ua/</t>
  </si>
  <si>
    <t>Яковенківська загальноосвітня школа І-ІІІ ступенів Балаклійської районної ради Харківської області</t>
  </si>
  <si>
    <t>64225</t>
  </si>
  <si>
    <t>6320288001</t>
  </si>
  <si>
    <t>Яковенкове</t>
  </si>
  <si>
    <t>(05749)67431</t>
  </si>
  <si>
    <t>Барвінківська загальноосвітня школа І-ІІІ ступенів № 2 Барвінківської районної ради Харківської області</t>
  </si>
  <si>
    <t>64703</t>
  </si>
  <si>
    <t>6320410100</t>
  </si>
  <si>
    <t>Барвінкове</t>
  </si>
  <si>
    <t>вул. Соборна (Червонозаводська), 47</t>
  </si>
  <si>
    <t>(05757)43396, (05757)41110</t>
  </si>
  <si>
    <t>http://school2barvincom.klasna.com/</t>
  </si>
  <si>
    <t>Барвінківська загальноосвітня школа І-ІІІ ступенів № 1 Барвінківської районної ради Харківської області</t>
  </si>
  <si>
    <t>64701</t>
  </si>
  <si>
    <t>вул. Освіти, 80</t>
  </si>
  <si>
    <t>(05757)42093</t>
  </si>
  <si>
    <t>http://barvinkove-rvo.com.ua/gymnasium1</t>
  </si>
  <si>
    <t>Барвінківська загальноосвітня школа І-ІІІ ступенів № 3 Барвінківської районної ради Харківської області</t>
  </si>
  <si>
    <t>вул. Ломоносова, 5</t>
  </si>
  <si>
    <t>(05757)41746</t>
  </si>
  <si>
    <t>http://barvenkovo3.wix.com/school-3</t>
  </si>
  <si>
    <t>Богодарівська ЗОШ І-ІІ ступенів Барвінківської районної ради Харківської області</t>
  </si>
  <si>
    <t>64750</t>
  </si>
  <si>
    <t>6320480501</t>
  </si>
  <si>
    <t>Богодарове</t>
  </si>
  <si>
    <t>(05757)75240</t>
  </si>
  <si>
    <t>http://bogodarovo-sh.ucoz.ua/</t>
  </si>
  <si>
    <t>Великокомишуваська загальноосвітня школа І-ІІ ступенів Барвінківської районної ради Харківської області</t>
  </si>
  <si>
    <t>64722</t>
  </si>
  <si>
    <t>6320481001</t>
  </si>
  <si>
    <t>Велика Комишуваха</t>
  </si>
  <si>
    <t>(05757)95240</t>
  </si>
  <si>
    <t>http://velyka-komyshuvakha.edu.kh.ua/</t>
  </si>
  <si>
    <t>Гаврилівський навчально-виховний комплекс (дитячий садок - загальноосвітня школа І-ІІІ ступенів) Барвінківської районної ради Харківської області</t>
  </si>
  <si>
    <t>64740</t>
  </si>
  <si>
    <t>6320481501</t>
  </si>
  <si>
    <t>вул. Радянська, 90</t>
  </si>
  <si>
    <t>(05757)96-2-43</t>
  </si>
  <si>
    <t>http://gavrylivka-barv.edu.kh.ua</t>
  </si>
  <si>
    <t>Пригожівська загальноосвітня школа І-ІІ ступенів Барвінківської районної ради Харківської області</t>
  </si>
  <si>
    <t>64742</t>
  </si>
  <si>
    <t>6320481509</t>
  </si>
  <si>
    <t>Пригоже</t>
  </si>
  <si>
    <t>(05757)96240</t>
  </si>
  <si>
    <t>http://www.pryhozhe.edu.kh.ua</t>
  </si>
  <si>
    <t>Григорівський навчально-виховний комплекс (школа-садок) Барвінківської районної ради Харківської області</t>
  </si>
  <si>
    <t>64751</t>
  </si>
  <si>
    <t>6320481801</t>
  </si>
  <si>
    <t>(05757)73240</t>
  </si>
  <si>
    <t>http://ira.org.ua</t>
  </si>
  <si>
    <t>Грушуваський навчально-виховний комплекс ((дитячий садок-загальноосвітня школа І-ІІІ ступенів) Барвінківської районної ради Харківської області</t>
  </si>
  <si>
    <t>64720</t>
  </si>
  <si>
    <t>6320482001</t>
  </si>
  <si>
    <t>Грушуваха</t>
  </si>
  <si>
    <t>(05757)74219</t>
  </si>
  <si>
    <t>http://grushuvakha.edu.kh.ua</t>
  </si>
  <si>
    <t>Гусарівська загальноосвітня школа І-ІІІ ступенів Барвінківської районої ради</t>
  </si>
  <si>
    <t>64780</t>
  </si>
  <si>
    <t>6320482501</t>
  </si>
  <si>
    <t>вул. Сонячна, 24</t>
  </si>
  <si>
    <t>0575791240</t>
  </si>
  <si>
    <t>http://gusarivka.edu.kh.ua/</t>
  </si>
  <si>
    <t>І-Іванівська загальноосвітня школа І-ІІІ ступенів Барвінківської районної ради Харківської області</t>
  </si>
  <si>
    <t>64730</t>
  </si>
  <si>
    <t>6320483501</t>
  </si>
  <si>
    <t>(05757)97240</t>
  </si>
  <si>
    <t>http://i-ivanivka.edu.kh.ua</t>
  </si>
  <si>
    <t>ІІ-Іванівська загальноосвітня школа І-ІІІ ступенів Барвінківської районної ради Харківської області</t>
  </si>
  <si>
    <t>64713</t>
  </si>
  <si>
    <t>6320483601</t>
  </si>
  <si>
    <t>вул. Жовтнева, 24</t>
  </si>
  <si>
    <t>(05757)71240</t>
  </si>
  <si>
    <t>http://ii-ivanivka.edu.kh.ua</t>
  </si>
  <si>
    <t>Мечебилівська загальноосвітня школа І-ІІІ ступенів Барвінківської районної ради Харківської області</t>
  </si>
  <si>
    <t>64712</t>
  </si>
  <si>
    <t>6320484001</t>
  </si>
  <si>
    <t>Мечебилове</t>
  </si>
  <si>
    <t>вул. Лозівська, 31</t>
  </si>
  <si>
    <t>(096)9215481, (05757)78240</t>
  </si>
  <si>
    <t>http://mechschool.klasna.com/</t>
  </si>
  <si>
    <t>Новомиколаївський навчально-виховний комплекс (дитячий садок-загальноосвітня школа І-ІІ ступенів) Барвінківської районної ради Харківської області</t>
  </si>
  <si>
    <t>64721</t>
  </si>
  <si>
    <t>6320485001</t>
  </si>
  <si>
    <t>Нова Миколаївка</t>
  </si>
  <si>
    <t>(099)9296070</t>
  </si>
  <si>
    <t>http://www.nova-mykolaivka.edu.kh.ua/</t>
  </si>
  <si>
    <t>Близнюківська загальноосвітня школа І-ІІІ ступенів Близнюківської районної ради Харківської області</t>
  </si>
  <si>
    <t>64801</t>
  </si>
  <si>
    <t>6320655100</t>
  </si>
  <si>
    <t>Близнюки</t>
  </si>
  <si>
    <t>вул. Юрка Старостіна, 2А</t>
  </si>
  <si>
    <t>(05754)51374, (05754)51107</t>
  </si>
  <si>
    <t>Садовська загальноосвітня школа І-ІІІ ступенів Близнюківської районної ради Харквської області</t>
  </si>
  <si>
    <t>64809</t>
  </si>
  <si>
    <t>6320655102</t>
  </si>
  <si>
    <t>(05754)72-240</t>
  </si>
  <si>
    <t>Олексіївська ЗОШ І-ІІІ ступенів Близнюківської районної ради Харківської області</t>
  </si>
  <si>
    <t>64845</t>
  </si>
  <si>
    <t>6320680201</t>
  </si>
  <si>
    <t>(05754)68240</t>
  </si>
  <si>
    <t>http://oleksivka-blyz.edu.kh.ua</t>
  </si>
  <si>
    <t>Алісівська загальноосвітня школа І-ІІІ ступенів Близнюківської районної ради Харківської області</t>
  </si>
  <si>
    <t>64811</t>
  </si>
  <si>
    <t>6320680301</t>
  </si>
  <si>
    <t>Алісівка</t>
  </si>
  <si>
    <t>(05754)93240</t>
  </si>
  <si>
    <t>http://alisivka-zosh.kh.sch.in.ua</t>
  </si>
  <si>
    <t>Берестівська загальноосвітня школа І-ІІІ ступенів Близнюківської районної ради Харківської області</t>
  </si>
  <si>
    <t>64851</t>
  </si>
  <si>
    <t>6320681001</t>
  </si>
  <si>
    <t>(05754)90240</t>
  </si>
  <si>
    <t>Бурбулатівська філія Близнюківської загальноосвітньої школи І - ІІІ ступенів Близнюківської районної ради Харківської області</t>
  </si>
  <si>
    <t>64820</t>
  </si>
  <si>
    <t>6320681501</t>
  </si>
  <si>
    <t>Бурбулатове</t>
  </si>
  <si>
    <t>(25864753)61240</t>
  </si>
  <si>
    <t>Верхньосамарська загальноосвітня школа І-ІІІ ступенів Близнюківської районної ради Харківської області</t>
  </si>
  <si>
    <t>64872</t>
  </si>
  <si>
    <t>6320682001</t>
  </si>
  <si>
    <t>Верхня Самара</t>
  </si>
  <si>
    <t>(05754)97240</t>
  </si>
  <si>
    <t>http://werchnjaamara.ucoz.net/</t>
  </si>
  <si>
    <t>Добровільська загальнооосвітня школа І-ІІІ ступенів Близнюківської районної ради Харківської області</t>
  </si>
  <si>
    <t>64862</t>
  </si>
  <si>
    <t>6320682501</t>
  </si>
  <si>
    <t>(62)2-40</t>
  </si>
  <si>
    <t>Квітнева філія Близнюківської ЗОШ І-ІІІ ступенів</t>
  </si>
  <si>
    <t>64830</t>
  </si>
  <si>
    <t>6320683001</t>
  </si>
  <si>
    <t>Криштопівська загальноосвітня школа І-ІІІ ступенів Близнюківської районної ради Харківської області</t>
  </si>
  <si>
    <t>64850</t>
  </si>
  <si>
    <t>6320683501</t>
  </si>
  <si>
    <t>пров. Щкільний, 1</t>
  </si>
  <si>
    <t>(05754)94240</t>
  </si>
  <si>
    <t>Лукашівська загальноосвітня школа І - ІІІ ступенів імені Олега Чепеленка Близнюківської районної ради Харківської області</t>
  </si>
  <si>
    <t>64860</t>
  </si>
  <si>
    <t>6320684001</t>
  </si>
  <si>
    <t>вул. Б.Хмельницького, 45</t>
  </si>
  <si>
    <t>(05754)98240</t>
  </si>
  <si>
    <t>http://lukashevo1.ucoz.net/</t>
  </si>
  <si>
    <t>Новонадеждинська загальноосвітня школа І - ІІІ ступенів Близнюківської районної ради Харківської області</t>
  </si>
  <si>
    <t>64814</t>
  </si>
  <si>
    <t>6320684601</t>
  </si>
  <si>
    <t>Новонадеждине</t>
  </si>
  <si>
    <t>вул. Шкільна, 24 А</t>
  </si>
  <si>
    <t>(05754)77240</t>
  </si>
  <si>
    <t>Острівщинська філія Близнюківської загальноосвітньої школи І-ІІІ ступенів Близнюківської районної ради Харківської області</t>
  </si>
  <si>
    <t>64821</t>
  </si>
  <si>
    <t>6320684801</t>
  </si>
  <si>
    <t>Острівщина</t>
  </si>
  <si>
    <t>(05754)71-2-40</t>
  </si>
  <si>
    <t>http://ostrivschina.at.ua</t>
  </si>
  <si>
    <t>Вишнева загальноосвітня школа І ступеня Близнюківської районної ради Харківської області</t>
  </si>
  <si>
    <t>64852</t>
  </si>
  <si>
    <t>6320685101</t>
  </si>
  <si>
    <t>(05754)73240</t>
  </si>
  <si>
    <t>Самійлівська загальноосвітня школа І-ІІІ ступенів Близнюківської районної ради Харківської області</t>
  </si>
  <si>
    <t>64840</t>
  </si>
  <si>
    <t>6320685501</t>
  </si>
  <si>
    <t>Самійлівка</t>
  </si>
  <si>
    <t>(05754)76240</t>
  </si>
  <si>
    <t>Софіївська Перша загальноосвітня школа I- III ступенів Близнюківської районної ради Харківської області</t>
  </si>
  <si>
    <t>64871</t>
  </si>
  <si>
    <t>6320686301</t>
  </si>
  <si>
    <t>(63)2-40</t>
  </si>
  <si>
    <t>Уплатнівська загальноосвітня школа І-ІІІ ступенів Близнюківської районної ради Харківської області</t>
  </si>
  <si>
    <t>64844</t>
  </si>
  <si>
    <t>6320686501</t>
  </si>
  <si>
    <t>Уплатне</t>
  </si>
  <si>
    <t>(05754)91240</t>
  </si>
  <si>
    <t>Богодухівська гімназія № 1 Богодухівської районної ради Харківської області</t>
  </si>
  <si>
    <t>62103</t>
  </si>
  <si>
    <t>6320810100</t>
  </si>
  <si>
    <t>Богодухів</t>
  </si>
  <si>
    <t>пл. Каразіна, 14</t>
  </si>
  <si>
    <t>(05758)33086</t>
  </si>
  <si>
    <t>http://b-g.org.ua/</t>
  </si>
  <si>
    <t>КОМУНАЛЬНИЙ ЗАКЛАД "БОГОДУХІВСЬКА ЗАГАЛЬНООСВІТНЯ ШКОЛА І-ІІІ СТУПЕНІВ № 2" БОГОДУХІВСЬКОЇ РАЙОННОЇ РАДИ ХАРКІВСЬКОЇ ОБЛАСТІ</t>
  </si>
  <si>
    <t>(05758)33106</t>
  </si>
  <si>
    <t>Богодухівський ліцей № 3 Богодухівської районної ради Харківської області</t>
  </si>
  <si>
    <t>вул. Моргунова, 7А</t>
  </si>
  <si>
    <t>(05758)33201</t>
  </si>
  <si>
    <t>Комунальний заклад "Богодухівський спеціальний навчально-виховний комплекс" Харківської обласної ради</t>
  </si>
  <si>
    <t>6320810102</t>
  </si>
  <si>
    <t>(05758)3-30-45</t>
  </si>
  <si>
    <t>http://onvk.kh.ua/</t>
  </si>
  <si>
    <t>30193508</t>
  </si>
  <si>
    <t>Гутянська загальноосвітня школа І-ІІІ ступенів Богодухівської районної ради Харківскої області</t>
  </si>
  <si>
    <t>62131</t>
  </si>
  <si>
    <t>6320855300</t>
  </si>
  <si>
    <t>Гути</t>
  </si>
  <si>
    <t>вул. Первухінська, 39</t>
  </si>
  <si>
    <t>(05758)61333</t>
  </si>
  <si>
    <t>http://gutyschool.at.ua</t>
  </si>
  <si>
    <t>Шарівська загальноосвітня школа І - ІІІ ступенів Богодухівської районної ради Харківської області</t>
  </si>
  <si>
    <t>62153</t>
  </si>
  <si>
    <t>6320855700</t>
  </si>
  <si>
    <t>(05758)76339</t>
  </si>
  <si>
    <t>Губарівський навчально-виховний комплекс "Загальноосвітній навчальний заклад І-ІІ ступенів - дошкільний навчальний заклад" Богодухівської районної ради Харківської області</t>
  </si>
  <si>
    <t>62132</t>
  </si>
  <si>
    <t>6320881501</t>
  </si>
  <si>
    <t>Губарівка</t>
  </si>
  <si>
    <t>(057)5863208</t>
  </si>
  <si>
    <t>http://gubarivka.ucoz.ru</t>
  </si>
  <si>
    <t>Матвіївська загальноосвітня школа І-ІІ ступенів Богодухівської районної ради Харківської області</t>
  </si>
  <si>
    <t>62114</t>
  </si>
  <si>
    <t>6320882004</t>
  </si>
  <si>
    <t>вул. Воронівська, 28А</t>
  </si>
  <si>
    <t>(05758)73240</t>
  </si>
  <si>
    <t>Забродівська загальноосвітня школа І-ІІ ступенів Богодухівської районної ради Харківської області</t>
  </si>
  <si>
    <t>62142</t>
  </si>
  <si>
    <t>6320882501</t>
  </si>
  <si>
    <t>(05758)74282</t>
  </si>
  <si>
    <t>http://schoolzabrodu.ucoz.ru</t>
  </si>
  <si>
    <t>Івано-Шийчинський навчально-виховний комплекс "Загальноосвітній навчальний заклад І-ІІ ступенів - дошкільний заклад" Богодухівської районної ради Харківської області</t>
  </si>
  <si>
    <t>62120</t>
  </si>
  <si>
    <t>6320883501</t>
  </si>
  <si>
    <t>Івано-Шийчине</t>
  </si>
  <si>
    <t>(05758)68240</t>
  </si>
  <si>
    <t>Братеницька загальноосвітня школа І- ІІ ступенів Богодухівської районної ради Харківської області</t>
  </si>
  <si>
    <t>62121</t>
  </si>
  <si>
    <t>6320883502</t>
  </si>
  <si>
    <t>(05758)78237</t>
  </si>
  <si>
    <t>Кленівський навчально-виховний комплекс "Загальноосвітній навчальний заклад І-ІІІ ступенів - дошкільний навчальний заклад" Богодухівської районної ради Харківської області</t>
  </si>
  <si>
    <t>62140</t>
  </si>
  <si>
    <t>6320884501</t>
  </si>
  <si>
    <t>Кленове</t>
  </si>
  <si>
    <t>(05758)55224</t>
  </si>
  <si>
    <t>Крисинський навчально-виховний комплекс "Загальноосвітній навчальний заклад І-ІІІ ступенів - дошкільний навчальний заклад" Богодухівської районної ради Харківської області</t>
  </si>
  <si>
    <t>62144</t>
  </si>
  <si>
    <t>6320885001</t>
  </si>
  <si>
    <t>Крисине</t>
  </si>
  <si>
    <t>вул. Центральна, 37А</t>
  </si>
  <si>
    <t>(05758)71235</t>
  </si>
  <si>
    <t>http://krisinoschool.wordpress.com</t>
  </si>
  <si>
    <t>Максимівська загальноосвітня школа І-ІІ ступенів Богодухівської районної ради Харківської області</t>
  </si>
  <si>
    <t>62145</t>
  </si>
  <si>
    <t>6320885004</t>
  </si>
  <si>
    <t>(51)226</t>
  </si>
  <si>
    <t>http://maksimovka.ucoz.com/</t>
  </si>
  <si>
    <t>Павлівська загальноосвітня школа І-ІІ ступенів Богодухівської районної ради Харківської області</t>
  </si>
  <si>
    <t>62133</t>
  </si>
  <si>
    <t>6320886001</t>
  </si>
  <si>
    <t>(8-258)72-2-55</t>
  </si>
  <si>
    <t>Кручанська загальноосвітня школа І-ІІ ступенів Богодухівської районної ради Харківської області</t>
  </si>
  <si>
    <t>6320886002</t>
  </si>
  <si>
    <t>Кручик</t>
  </si>
  <si>
    <t>0575872218</t>
  </si>
  <si>
    <t>http://bogod-kru.ucoz.com</t>
  </si>
  <si>
    <t>Петропавлівський навчально-виховний комплекс "Загальноосвітній навчальний заклад І-ІІ ступенів - дошкільний навчальний заклад" Богодухівської районної ради Харківської області</t>
  </si>
  <si>
    <t>62160</t>
  </si>
  <si>
    <t>6320886501</t>
  </si>
  <si>
    <t>(057)5851227</t>
  </si>
  <si>
    <t>http://petropavlivkaschoolblog.wordpress.com</t>
  </si>
  <si>
    <t>Полковомикитівська загальноосвітня школа І-ІІІ ступенів Богодухівської районної ради Харківської області</t>
  </si>
  <si>
    <t>62130</t>
  </si>
  <si>
    <t>6320887001</t>
  </si>
  <si>
    <t>Полкова Микитівка</t>
  </si>
  <si>
    <t>вул. Тельмана, 41А</t>
  </si>
  <si>
    <t>0575864217</t>
  </si>
  <si>
    <t>Сазоно - Баланівська загальноосвітня школа І-ІІ ступенів Богодухівської районної ради Харківської області</t>
  </si>
  <si>
    <t>62162</t>
  </si>
  <si>
    <t>6320887501</t>
  </si>
  <si>
    <t>Сазоно-Баланівка</t>
  </si>
  <si>
    <t>(05758)54272</t>
  </si>
  <si>
    <t>http://sazonobalanowka.ucoz.ru</t>
  </si>
  <si>
    <t>Ульянівська загальноосвітня школа І - ІІІ ступенів Богодухівської районної ради Харківської області</t>
  </si>
  <si>
    <t>62113</t>
  </si>
  <si>
    <t>6320888301</t>
  </si>
  <si>
    <t>(05758)77240</t>
  </si>
  <si>
    <t>Борівська загальноосвітня школа І-ІІІ ступенів № 2 Борівської районної ради Харківської області</t>
  </si>
  <si>
    <t>63801</t>
  </si>
  <si>
    <t>6321055100</t>
  </si>
  <si>
    <t>(05759)67223</t>
  </si>
  <si>
    <t>Окружний опорний заклад "Борівська загальноосвітня школа І-ІІІ ст № 1 Борівської районної ради Харківської області ім.Героя Радянського Союзу В.С.Колісника"</t>
  </si>
  <si>
    <t>(05759)61561</t>
  </si>
  <si>
    <t>Шийківська загальноосвітня школа І-ІІІ ступенів Борівської районної ради Харківської області</t>
  </si>
  <si>
    <t>63809</t>
  </si>
  <si>
    <t>6321055103</t>
  </si>
  <si>
    <t>Шийківка</t>
  </si>
  <si>
    <t>(05759)6-22-30</t>
  </si>
  <si>
    <t>Богуславська загальноосвітня школа І-ІІІ ступенів Борівської районної ради Харківської області</t>
  </si>
  <si>
    <t>63810</t>
  </si>
  <si>
    <t>6321080501</t>
  </si>
  <si>
    <t>Богуславка</t>
  </si>
  <si>
    <t>0993739728</t>
  </si>
  <si>
    <t>http://bog-zoh.at.ua</t>
  </si>
  <si>
    <t>Вищесолоненська загальноосвітня школа І-ІІІ ступенів Борівської районної ради Харківської області</t>
  </si>
  <si>
    <t>63830</t>
  </si>
  <si>
    <t>6321081001</t>
  </si>
  <si>
    <t>Вище Солоне</t>
  </si>
  <si>
    <t>вул. Молодіжна, 82</t>
  </si>
  <si>
    <t>(05759)67595</t>
  </si>
  <si>
    <t>Гороховатська загальноосвітня школа І - ІІІ ступенів Борівської районної ради Харківської області</t>
  </si>
  <si>
    <t>63822</t>
  </si>
  <si>
    <t>6321081501</t>
  </si>
  <si>
    <t>Гороховатка</t>
  </si>
  <si>
    <t>ал. вулиця Миру, 6А</t>
  </si>
  <si>
    <t>0994177747</t>
  </si>
  <si>
    <t>http://gorohovatka.io</t>
  </si>
  <si>
    <t>Ізюмська загальноосвітня школа І-ІІІ ступенів Борівської районної ради Харківської області</t>
  </si>
  <si>
    <t>63840</t>
  </si>
  <si>
    <t>6321082001</t>
  </si>
  <si>
    <t>Ізюмське</t>
  </si>
  <si>
    <t>пров. Партизанський, 11</t>
  </si>
  <si>
    <t>Першотравнева загальноосвітня школа І-ІІІ ступенів Борівської районної ради Харківської області</t>
  </si>
  <si>
    <t>63813</t>
  </si>
  <si>
    <t>6321082501</t>
  </si>
  <si>
    <t>(8259)65281</t>
  </si>
  <si>
    <t>http://one-may.at.ua</t>
  </si>
  <si>
    <t>Піско- Радьківська ЗОШ І-ІІІ ст. Борівської районної ради Харківської області</t>
  </si>
  <si>
    <t>63832</t>
  </si>
  <si>
    <t>6321083001</t>
  </si>
  <si>
    <t>Піски-Радьківські</t>
  </si>
  <si>
    <t>(05759)64243</t>
  </si>
  <si>
    <t>Підвисочанська загальноосвітня школа І-ІІІ ступенів</t>
  </si>
  <si>
    <t>63820</t>
  </si>
  <si>
    <t>6321083501</t>
  </si>
  <si>
    <t>вул. Заполрожченка, 20, а</t>
  </si>
  <si>
    <t>(259)62472</t>
  </si>
  <si>
    <t>Підлиманська загальноосвітня школа І-ІІІ ступенів Борівської районної ради Харківської області</t>
  </si>
  <si>
    <t>63824</t>
  </si>
  <si>
    <t>6321084001</t>
  </si>
  <si>
    <t>Підлиман</t>
  </si>
  <si>
    <t>вул. Кузнецова, 79А</t>
  </si>
  <si>
    <t>(05759)63705</t>
  </si>
  <si>
    <t>Чернещинський НВК (ЗОШ І-ІІІ ступенів-дошкільний навчальний заклад)</t>
  </si>
  <si>
    <t>63842</t>
  </si>
  <si>
    <t>6321084501</t>
  </si>
  <si>
    <t>Чернещина</t>
  </si>
  <si>
    <t>(05759)63436</t>
  </si>
  <si>
    <t>Валківська загальноосвітня школа І-ІІІ ступенів Валківської районної ради Харківської області</t>
  </si>
  <si>
    <t>63001</t>
  </si>
  <si>
    <t>6321210100</t>
  </si>
  <si>
    <t>Валки</t>
  </si>
  <si>
    <t>вул. Полтавська, 17</t>
  </si>
  <si>
    <t>(05753)51365, (05753)51155</t>
  </si>
  <si>
    <t>http://valkyserednja.ucoz.com</t>
  </si>
  <si>
    <t>Валківський ліцей імені Олександра Масельського Валківської районної ради Харківської області</t>
  </si>
  <si>
    <t>63002</t>
  </si>
  <si>
    <t>вул. Харківська, 24</t>
  </si>
  <si>
    <t>(253)51578</t>
  </si>
  <si>
    <t>25454328</t>
  </si>
  <si>
    <t>Гонтів'ярська філія Валківського ліцею імені Олександра Масельского Валківської районної ради Харківської області</t>
  </si>
  <si>
    <t>вул. Полтавська, 101</t>
  </si>
  <si>
    <t>(05753)51866</t>
  </si>
  <si>
    <t>http://gontivyar.ucoz.com</t>
  </si>
  <si>
    <t>Ков'язький навчально-виховний комплекс (загальноосвітня школа І-ІІІ ступенів - дошкільний навчальний заклад) Валківської районної ради Харьківської області</t>
  </si>
  <si>
    <t>63021</t>
  </si>
  <si>
    <t>6321255400</t>
  </si>
  <si>
    <t>Ков'яги</t>
  </si>
  <si>
    <t>вул. Жовтнева, 2А</t>
  </si>
  <si>
    <t>(05753)67170</t>
  </si>
  <si>
    <t>Старомерчицька загальноосвітня школа І - ІІІ ступенів Валківської районної ради Харківської області</t>
  </si>
  <si>
    <t>63011</t>
  </si>
  <si>
    <t>6321256000</t>
  </si>
  <si>
    <t>Старий Мерчик</t>
  </si>
  <si>
    <t>(05753)66680</t>
  </si>
  <si>
    <t>http://stmer4uk.at.ua</t>
  </si>
  <si>
    <t>Олександрівська загальноосвітня школа I-III ступенів імені І.С.Буряка Валківської районної ради Харківської області</t>
  </si>
  <si>
    <t>63054</t>
  </si>
  <si>
    <t>6321280301</t>
  </si>
  <si>
    <t>(05753)968390</t>
  </si>
  <si>
    <t>Баранівська загальноосвітня школа І-ІІІ ступенів Валківської районної ради Харківської області</t>
  </si>
  <si>
    <t>63023</t>
  </si>
  <si>
    <t>6321280501</t>
  </si>
  <si>
    <t>(05753)6-22-66</t>
  </si>
  <si>
    <t>http://school1984.ucoz.net/</t>
  </si>
  <si>
    <t>25191113</t>
  </si>
  <si>
    <t>Серпневий навчально - виховний комплекс ( загальноосвітня школа І-ІІІ ступенів - дошкільний навчальний заклад ) Валківської районної ради Харківської області</t>
  </si>
  <si>
    <t>63053</t>
  </si>
  <si>
    <t>6321281008</t>
  </si>
  <si>
    <t>(253)64771</t>
  </si>
  <si>
    <t>http://serpnevenvk.in.ua/</t>
  </si>
  <si>
    <t>25188157</t>
  </si>
  <si>
    <t>Високопільська загальноосвітня школа І-ІІІ ступенів Валківської районної ради Харківської області</t>
  </si>
  <si>
    <t>63020</t>
  </si>
  <si>
    <t>6321281501</t>
  </si>
  <si>
    <t>вул. Молодіжна (Радянська), 5</t>
  </si>
  <si>
    <t>(5753)6-92-25</t>
  </si>
  <si>
    <t>http://zoshvisokopilla.ucoz.ua/</t>
  </si>
  <si>
    <t>Мельниківська загальноосвітня школа І-ІІІ ступенів Валківської районної ради Харківської області</t>
  </si>
  <si>
    <t>63055</t>
  </si>
  <si>
    <t>6321284001</t>
  </si>
  <si>
    <t>Мельникове</t>
  </si>
  <si>
    <t>вул. Валківська (Радянська), 6</t>
  </si>
  <si>
    <t>(05753)69330</t>
  </si>
  <si>
    <t>http://melznz.at.ua</t>
  </si>
  <si>
    <t>25188134</t>
  </si>
  <si>
    <t>Минківська філія Валківського ліцею імені О.Масельського Валківської районної ради Харківської області</t>
  </si>
  <si>
    <t>63046</t>
  </si>
  <si>
    <t>6321284501</t>
  </si>
  <si>
    <t>Минківка</t>
  </si>
  <si>
    <t>(05753)64319</t>
  </si>
  <si>
    <t>http://zoshminkovka.ucoz.ru/</t>
  </si>
  <si>
    <t>Новомерчицький навчально-виховний комплекс (загальноосвітня школа І-ІІІ ступенів - дошккільний навчальний заклад) Валківської районної ради Харківської області</t>
  </si>
  <si>
    <t>63010</t>
  </si>
  <si>
    <t>6321285001</t>
  </si>
  <si>
    <t>Новий Мерчик</t>
  </si>
  <si>
    <t>просп. Перемоги, 11,а</t>
  </si>
  <si>
    <t>(05753)64145</t>
  </si>
  <si>
    <t>http://gjoogle.com/site/noviymerchik201</t>
  </si>
  <si>
    <t>Огульцівська загальноосвтіня школа І - ІІІ ступенів Валківської районної ради Харківської області</t>
  </si>
  <si>
    <t>63032</t>
  </si>
  <si>
    <t>6321285501</t>
  </si>
  <si>
    <t>Огульці</t>
  </si>
  <si>
    <t>вул. Артема Холодного, № 38</t>
  </si>
  <si>
    <t>(05753)62624</t>
  </si>
  <si>
    <t>http://ogultsi-school.edu.kh.ua</t>
  </si>
  <si>
    <t>25190467</t>
  </si>
  <si>
    <t>Перекіпський навчально-виховний комплекс (загальноосвітня школа І-ІІ ступенів - дошкільний навчальний заклад) імені Героя Радянського Союзу Дмитра Погодіна Валківської районної ради Харківської області</t>
  </si>
  <si>
    <t>63022</t>
  </si>
  <si>
    <t>6321286001</t>
  </si>
  <si>
    <t>Перекіп</t>
  </si>
  <si>
    <t>(057)5364049</t>
  </si>
  <si>
    <t>http://perekip.ucoz.ru/</t>
  </si>
  <si>
    <t>Сидоренківська загальноосвітня школа І-ІІІ ступенів Валківської районної ради Харківської області</t>
  </si>
  <si>
    <t>63050</t>
  </si>
  <si>
    <t>6321287001</t>
  </si>
  <si>
    <t>Сидоренкове</t>
  </si>
  <si>
    <t>вул. М.Л.Рябухи, 16</t>
  </si>
  <si>
    <t>(05753)64610</t>
  </si>
  <si>
    <t>Сніжківська загальноосвітня школа І-Ш ступенів Валківської районної ради Харківської області</t>
  </si>
  <si>
    <t>63042</t>
  </si>
  <si>
    <t>6321287501</t>
  </si>
  <si>
    <t>Сніжків</t>
  </si>
  <si>
    <t>(057)5355131</t>
  </si>
  <si>
    <t>http://snezhkov.at.ua</t>
  </si>
  <si>
    <t>Черемушнянський навчально-виховний комплекс - філія Валківського ліцею імені Олександра Масельського Валківської районної ради Харківської області</t>
  </si>
  <si>
    <t>63033</t>
  </si>
  <si>
    <t>6321288001</t>
  </si>
  <si>
    <t>Черемушна</t>
  </si>
  <si>
    <t>вул. Широка, 72</t>
  </si>
  <si>
    <t>(057)5368210</t>
  </si>
  <si>
    <t>http://4eremushna-nvk.at.ua/</t>
  </si>
  <si>
    <t>Шарівська загальноосвітня школа І-ІІІ ступенів Валківської районної ради Харківської області</t>
  </si>
  <si>
    <t>63030</t>
  </si>
  <si>
    <t>6321288501</t>
  </si>
  <si>
    <t>(5753)69550</t>
  </si>
  <si>
    <t>http://sharivka-zoosh.at.ua</t>
  </si>
  <si>
    <t>Великобурлуцька загальноосвітня школа І-ІІІ ступенів Великобурлуцької районної ради Харківської області</t>
  </si>
  <si>
    <t>62602</t>
  </si>
  <si>
    <t>6321455100</t>
  </si>
  <si>
    <t>Великий Бурлук</t>
  </si>
  <si>
    <t>вул. Паркова, 15А</t>
  </si>
  <si>
    <t>(05752)5-21-40</t>
  </si>
  <si>
    <t>http://vburluk-school.edu.kh.ua</t>
  </si>
  <si>
    <t>Великобурлуцький ліцей Великобурлуцької районної державної адміністрації Харківської області</t>
  </si>
  <si>
    <t>(05752)52390, (05752)54307</t>
  </si>
  <si>
    <t>Площанська загальноосвітня школа І-ІІІ ступенів Великобурлуцької районної ради Харківської області</t>
  </si>
  <si>
    <t>62607</t>
  </si>
  <si>
    <t>6321455123</t>
  </si>
  <si>
    <t>вул. Українська, 18</t>
  </si>
  <si>
    <t>(0575296)298</t>
  </si>
  <si>
    <t>http://ploske-school.edu.kh.ua</t>
  </si>
  <si>
    <t>23336429</t>
  </si>
  <si>
    <t>Приколотнянська загальноосвітня школа І-ІІІ ступенів ім. Героя Радянського Союзу К.Ф.Ольшанського Великобурлуцької районної ради Харківської області</t>
  </si>
  <si>
    <t>62630</t>
  </si>
  <si>
    <t>6321455600</t>
  </si>
  <si>
    <t>Приколотне</t>
  </si>
  <si>
    <t>(0575298)287</t>
  </si>
  <si>
    <t>http://prykolotne.edukh.ua</t>
  </si>
  <si>
    <t>Андріївська загальноосвітня школа І - ІІІ ступенів Великобурлуцької районної ради Харківської області</t>
  </si>
  <si>
    <t>62642</t>
  </si>
  <si>
    <t>6321480501</t>
  </si>
  <si>
    <t>(05752)71299</t>
  </si>
  <si>
    <t>Гниличанська загальноосвітня школа І-ІІІ ступенів Великобурлуцької районної ради Харківської області</t>
  </si>
  <si>
    <t>62609</t>
  </si>
  <si>
    <t>6321481001</t>
  </si>
  <si>
    <t>Гнилиця</t>
  </si>
  <si>
    <t>(057)5295240</t>
  </si>
  <si>
    <t>http://gnylytsia.edu.kh.ua</t>
  </si>
  <si>
    <t>Першогнилицький навчально-виховний комплекс Великобурлуцької районої ради Харківської області</t>
  </si>
  <si>
    <t>6321481101</t>
  </si>
  <si>
    <t>Гнилиця Перша</t>
  </si>
  <si>
    <t>(05752)5-33-31</t>
  </si>
  <si>
    <t>http://www.pershagnylytsia-nvk.edu.kh.ua/</t>
  </si>
  <si>
    <t>Григорівський навчально-виховний комплекс ім. Героя Радянського Союзу І.Г. Кисельова Великобурлуцької районної ради Харківської області</t>
  </si>
  <si>
    <t>62640</t>
  </si>
  <si>
    <t>6321482001</t>
  </si>
  <si>
    <t>(0575290)237</t>
  </si>
  <si>
    <t>Катеринівська загальноосвітня школа І-ІІІ ступенів Великобурлуцької районної ради Харківської області</t>
  </si>
  <si>
    <t>62641</t>
  </si>
  <si>
    <t>6321482501</t>
  </si>
  <si>
    <t>вул. Польова, 9</t>
  </si>
  <si>
    <t>(05752)97244</t>
  </si>
  <si>
    <t>Міловська загальноосвітня школа І-ІІІ ступенів Великобурлуцької районної ради Харківської області</t>
  </si>
  <si>
    <t>62622</t>
  </si>
  <si>
    <t>6321483501</t>
  </si>
  <si>
    <t>(05752)78231</t>
  </si>
  <si>
    <t>Новоолександрівська загальноосвітня школа І-ІІІ ступенів Великобурлуцької районної ради Харківської області</t>
  </si>
  <si>
    <t>62653</t>
  </si>
  <si>
    <t>6321483701</t>
  </si>
  <si>
    <t>(05752)75224</t>
  </si>
  <si>
    <t>http://www.nova-oleks-school.edu.kh.ua</t>
  </si>
  <si>
    <t>Вільхуватський навчально-виховний комплекс Великобурлуцької районної ради Харківської області</t>
  </si>
  <si>
    <t>62620</t>
  </si>
  <si>
    <t>6321484001</t>
  </si>
  <si>
    <t>вул. Синько, 31</t>
  </si>
  <si>
    <t>(057)5292443, (057)5292497</t>
  </si>
  <si>
    <t>http://vilhuvatka-nvk.edu.kh.ua</t>
  </si>
  <si>
    <t>06718081</t>
  </si>
  <si>
    <t>Підсереднянська загальноосвітня школа І-ІІІ ступенів Великобурлуцької районної ради Харківської області</t>
  </si>
  <si>
    <t>62608</t>
  </si>
  <si>
    <t>6321484201</t>
  </si>
  <si>
    <t>Підсереднє</t>
  </si>
  <si>
    <t>(05752)94233</t>
  </si>
  <si>
    <t>http://pidserednie-znz.at.ua</t>
  </si>
  <si>
    <t>Рубленська загальноосвітня школа І-ІІІ ступенів Великобурлуцької районої ради Харківської області</t>
  </si>
  <si>
    <t>62610</t>
  </si>
  <si>
    <t>6321484501</t>
  </si>
  <si>
    <t>Рублене</t>
  </si>
  <si>
    <t>вул. Мікрорайон, 4</t>
  </si>
  <si>
    <t>(057)5274210</t>
  </si>
  <si>
    <t>Федорівський навчально-виховний комплекс Великобурлуцької районної ради Харківської області</t>
  </si>
  <si>
    <t>62625</t>
  </si>
  <si>
    <t>6321485001</t>
  </si>
  <si>
    <t>вул. Зарічна, 1 а</t>
  </si>
  <si>
    <t>(057(52))76-296</t>
  </si>
  <si>
    <t>Хатнянська загальноосвітня школа І-ІІІ ступенів Великобурлуцької районної ради Харківської області</t>
  </si>
  <si>
    <t>62626</t>
  </si>
  <si>
    <t>6321485101</t>
  </si>
  <si>
    <t>Хатнє</t>
  </si>
  <si>
    <t>(252)77243</t>
  </si>
  <si>
    <t>http://hatnie-school.edu.kh.ua/</t>
  </si>
  <si>
    <t>Червонохвильський навчально-виховний комплекс Великобурлуцької районної ради Харківської області</t>
  </si>
  <si>
    <t>62650</t>
  </si>
  <si>
    <t>6321485301</t>
  </si>
  <si>
    <t>Червона Хвиля</t>
  </si>
  <si>
    <t>(05752)93288</t>
  </si>
  <si>
    <t>Черненський навчально-виховний комплекс Великобурлуцької районної ради Харківської області</t>
  </si>
  <si>
    <t>62611</t>
  </si>
  <si>
    <t>6321485501</t>
  </si>
  <si>
    <t>Чорне</t>
  </si>
  <si>
    <t>вул. 40-річчя Перемоги, 10</t>
  </si>
  <si>
    <t>(252)2-68</t>
  </si>
  <si>
    <t>http://cherne-nvk.edu.kh.ua</t>
  </si>
  <si>
    <t>Шипуватська загальноосвітня школа І-ІІІ ступенів ім. Героя Радянського Союзу І.М. Заболотного Великобурлуцької районної ради Харківської області</t>
  </si>
  <si>
    <t>62651</t>
  </si>
  <si>
    <t>6321486001</t>
  </si>
  <si>
    <t>Шипувате</t>
  </si>
  <si>
    <t>(05752)91224, (05752)91217</t>
  </si>
  <si>
    <t>http://shypuvate-school.edu.kh.ua/</t>
  </si>
  <si>
    <t>Вовчанська гімназія № 1 Вовчанської районної ради Харківської області</t>
  </si>
  <si>
    <t>62504</t>
  </si>
  <si>
    <t>6321610100</t>
  </si>
  <si>
    <t>Вовчанськ</t>
  </si>
  <si>
    <t>вул. Гоголя, 27</t>
  </si>
  <si>
    <t>(05741)42107, (05741)42020, (05741)42781</t>
  </si>
  <si>
    <t>http://gymnasium01.klasna.com</t>
  </si>
  <si>
    <t>Вовчанська загальноосвітня школа І-ІІ ступенів № 6 Вовчанської районної ради Харківської області</t>
  </si>
  <si>
    <t>62502</t>
  </si>
  <si>
    <t>вул. Чкалова, 13</t>
  </si>
  <si>
    <t>4-20-96</t>
  </si>
  <si>
    <t>http://chkalova6.at.ua</t>
  </si>
  <si>
    <t>Вовчанська загальноосвітня школа І-ІІІ ступенів № 7 Вовчанської районної ради Харківської області</t>
  </si>
  <si>
    <t>62501</t>
  </si>
  <si>
    <t>вул. Євгенії Мірошніченко, 29</t>
  </si>
  <si>
    <t>(05741)43021</t>
  </si>
  <si>
    <t>http://vovschool7.wixsite.com/start</t>
  </si>
  <si>
    <t>Вовчанська загальноосвітня школа І-ІІІ ступенів № 3 Вовчанської районної ради Харківської області</t>
  </si>
  <si>
    <t>62503</t>
  </si>
  <si>
    <t>вул. Зернова, 43</t>
  </si>
  <si>
    <t>(05741)42404</t>
  </si>
  <si>
    <t>Вовчанський ліцей № 2 Вовчанської районної ради Харківської області</t>
  </si>
  <si>
    <t>(05741)42241</t>
  </si>
  <si>
    <t>http://volchlic2.klasna.com</t>
  </si>
  <si>
    <t>Білоколодязький навчально-виховний комплекс (загальноосвітня школа І-ІІІ ступенів - дошкільний навчальний заклад) Вовчанської районної ради Харківської області.</t>
  </si>
  <si>
    <t>62540</t>
  </si>
  <si>
    <t>6321655300</t>
  </si>
  <si>
    <t>Білий Колодязь</t>
  </si>
  <si>
    <t>пров. Грушевського, 2</t>
  </si>
  <si>
    <t>(05741)51153, (05741)51206</t>
  </si>
  <si>
    <t>http://belkol-school.ucoz.com</t>
  </si>
  <si>
    <t>Вільчанська загальноосвітня школа І-ІІІ ступенів Вовчанської районної ради Харківської області</t>
  </si>
  <si>
    <t>62500</t>
  </si>
  <si>
    <t>6321655500</t>
  </si>
  <si>
    <t>Вільча</t>
  </si>
  <si>
    <t>вул. Леніна, 32 А</t>
  </si>
  <si>
    <t>(05741)76216</t>
  </si>
  <si>
    <t>http://vilchaschool.at.ua</t>
  </si>
  <si>
    <t>Старосалтівська загальноосвітня школа І-ІІІ ступенів Старосалтівської селищної ради Вовчанського району Харківської області</t>
  </si>
  <si>
    <t>62560</t>
  </si>
  <si>
    <t>6321655800</t>
  </si>
  <si>
    <t>Старий Салтів</t>
  </si>
  <si>
    <t>(05741)61170</t>
  </si>
  <si>
    <t>http://stsg.org.ua</t>
  </si>
  <si>
    <t>Волохівський навчально-виховний комплекс (загальноосвітня школа І-ІІІ ступенів - дошкільний навчальний заклад) Вовчанської районної ради Харківської області</t>
  </si>
  <si>
    <t>62520</t>
  </si>
  <si>
    <t>6321680801</t>
  </si>
  <si>
    <t>Волохівка</t>
  </si>
  <si>
    <t>вул. Колокольцова, 41</t>
  </si>
  <si>
    <t>(05741)96336</t>
  </si>
  <si>
    <t>Вовчансько-Хутірська загальноосвітня школа І-ІІІ ступенів Вовчанської районної ради Харківської області</t>
  </si>
  <si>
    <t>62508</t>
  </si>
  <si>
    <t>6321681201</t>
  </si>
  <si>
    <t>Вовчанські Хутори</t>
  </si>
  <si>
    <t>(05741)91342</t>
  </si>
  <si>
    <t>Гатищенський навчально - виховний комплекс (загальноосвітня школа І-ІІ ступенів - дошкільний навчальний заклад) Вовчанської районної ради Харківської області</t>
  </si>
  <si>
    <t>62509</t>
  </si>
  <si>
    <t>6321681601</t>
  </si>
  <si>
    <t>Гатище</t>
  </si>
  <si>
    <t>(057)7-33-99</t>
  </si>
  <si>
    <t>http://gatische-nvk.umi.ru</t>
  </si>
  <si>
    <t>Гонтарівська загальноосвітня школа І - ІІІ ступенів Старосалтівської селищної ради Вовчанського району Харківської області</t>
  </si>
  <si>
    <t>62570</t>
  </si>
  <si>
    <t>6321682001</t>
  </si>
  <si>
    <t>Гонтарівка</t>
  </si>
  <si>
    <t>вул. Дмитрівська, 99</t>
  </si>
  <si>
    <t>(05741)6-27-28, (096)386-23-84</t>
  </si>
  <si>
    <t>http://www.gontarivka-school.edu.kh.ua/</t>
  </si>
  <si>
    <t>Варварівська загальноосвітня школа І-ІІІ ступенів Вовчанської районної ради Харківської області</t>
  </si>
  <si>
    <t>62510</t>
  </si>
  <si>
    <t>6321682802</t>
  </si>
  <si>
    <t>вул. Центральна, 125 - А</t>
  </si>
  <si>
    <t>(05741)95348</t>
  </si>
  <si>
    <t>http://school1979.klasna.com/uk/</t>
  </si>
  <si>
    <t>Землянський навчально-виховний комплекс (загальноосвітня школа І-ІІІ ступенів-дошкільний навчальний заклад) Вовчанської районної ради Харківської області</t>
  </si>
  <si>
    <t>62512</t>
  </si>
  <si>
    <t>6321683201</t>
  </si>
  <si>
    <t>вул. Центральна, 254</t>
  </si>
  <si>
    <t>(057)41338</t>
  </si>
  <si>
    <t>Іванівська загальноосвітня школа І - ІІІ ступенів Вовчанської районної ради Харківської області</t>
  </si>
  <si>
    <t>62521</t>
  </si>
  <si>
    <t>6321683601</t>
  </si>
  <si>
    <t>(05741)5-26-22</t>
  </si>
  <si>
    <t>http://Ivanivka-vovch.edu.kh</t>
  </si>
  <si>
    <t>Новоолександрівська загальноосвітня школа І-ІІІ ступенів Вовчанської районної ради Харківської області</t>
  </si>
  <si>
    <t>62545</t>
  </si>
  <si>
    <t>6321684801</t>
  </si>
  <si>
    <t>вул. Селянська</t>
  </si>
  <si>
    <t>(05741)52318</t>
  </si>
  <si>
    <t>Охрімівський навчально-виховний комплекс (загальноосвітня школа І- ІІІ ступенів-дошкільний навчальний заклад) Вовчанської районної ради Харківської області</t>
  </si>
  <si>
    <t>62515</t>
  </si>
  <si>
    <t>6321685201</t>
  </si>
  <si>
    <t>вул. Шкільна, 119</t>
  </si>
  <si>
    <t>(05741)9-33-15</t>
  </si>
  <si>
    <t>http://Ohrimiwka.at.ua</t>
  </si>
  <si>
    <t>Пільнянський навчально-виховний комплекс (загальноосвітня школа І-ІІІ ступенів-дошкільний навчальний заклад) Вовчанської районної ради Харківської області</t>
  </si>
  <si>
    <t>62541</t>
  </si>
  <si>
    <t>6321686001</t>
  </si>
  <si>
    <t>Пільна</t>
  </si>
  <si>
    <t>вул. Шкільна, 1 А</t>
  </si>
  <si>
    <t>(05741)52449</t>
  </si>
  <si>
    <t>Бугаївська загальноосвітня школа І-ІІІ ступенів Вовчанської районної ради Харківської області</t>
  </si>
  <si>
    <t>62550</t>
  </si>
  <si>
    <t>6321686401</t>
  </si>
  <si>
    <t>вул. Кузнєцова, 2А</t>
  </si>
  <si>
    <t>(05741)98394</t>
  </si>
  <si>
    <t>http://Revolschool.ucoz.cjm</t>
  </si>
  <si>
    <t>Різниківська загальноосвітня школа І-ІІІ ступенів Вовчанської районної ради Харківської області</t>
  </si>
  <si>
    <t>62513</t>
  </si>
  <si>
    <t>6321686801</t>
  </si>
  <si>
    <t>Різникове</t>
  </si>
  <si>
    <t>вул. Біловодського, 10</t>
  </si>
  <si>
    <t>(241)95383</t>
  </si>
  <si>
    <t>http://reznikowo.at.ua</t>
  </si>
  <si>
    <t>Рубіжненський навчально-виховний комплекс (загальноосвітня школа І-ІІ ступенів - дошкільний навчальний заклад) Вовчанської районної ради Харківської області</t>
  </si>
  <si>
    <t>62534</t>
  </si>
  <si>
    <t>6321687201</t>
  </si>
  <si>
    <t>вул. Горбатова, 104</t>
  </si>
  <si>
    <t>(5741)7-83-15</t>
  </si>
  <si>
    <t>Хотімлянська загальноосвітня школа І - ІІІ ступенів Старосалтівської селищної ради Вовчанського району Харківської області</t>
  </si>
  <si>
    <t>62572</t>
  </si>
  <si>
    <t>6321688401</t>
  </si>
  <si>
    <t>Хотімля</t>
  </si>
  <si>
    <t>вул. Щербака, 4</t>
  </si>
  <si>
    <t>(05741)62419</t>
  </si>
  <si>
    <t>http://hotom.at.ua</t>
  </si>
  <si>
    <t>Лиманський навчально - виховний комплекс(загальноосвітня школа І-ІІІ ступенів - дошкільний навчальний заклад) Вовчанської районної ради Харківської області</t>
  </si>
  <si>
    <t>62536</t>
  </si>
  <si>
    <t>6321688703</t>
  </si>
  <si>
    <t>вул. Іванівська, 12А</t>
  </si>
  <si>
    <t>(05741)76469</t>
  </si>
  <si>
    <t>http://govtnevaschool.ucoz.ua</t>
  </si>
  <si>
    <t>Кирилівська загальноосвітня школа І-ІІІ ступенів Старосалтівської селищної ради Харківської області</t>
  </si>
  <si>
    <t>62573</t>
  </si>
  <si>
    <t>6321688801</t>
  </si>
  <si>
    <t>(057-41)5-13-56</t>
  </si>
  <si>
    <t>Шестаківська загальноосвітня школа І-ІІІ ступенів, Старосалтівської селищної ради, Вовчанського району, Харківської області</t>
  </si>
  <si>
    <t>62562</t>
  </si>
  <si>
    <t>6321689201</t>
  </si>
  <si>
    <t>Шестакове</t>
  </si>
  <si>
    <t>вул. Шкирівка, 1Б</t>
  </si>
  <si>
    <t>(05741)62535</t>
  </si>
  <si>
    <t>http://bestschool.pp.net.ua</t>
  </si>
  <si>
    <t>Юрченківська загальноосвітня школа І-ІІІ ступенів Вовчанської районної ради Харківської області</t>
  </si>
  <si>
    <t>62543</t>
  </si>
  <si>
    <t>6321689601</t>
  </si>
  <si>
    <t>Юрченкове</t>
  </si>
  <si>
    <t>вул. Польова, 2</t>
  </si>
  <si>
    <t>(41)5-27-30</t>
  </si>
  <si>
    <t>Комунальний заклад "Зміївська загальноосвітня школа І-ІІІ ступенів № 2 імені Ігоря Петровича Волка Зміївської районної ради Харківської області"</t>
  </si>
  <si>
    <t>63401</t>
  </si>
  <si>
    <t>6321710100</t>
  </si>
  <si>
    <t>Зміїв</t>
  </si>
  <si>
    <t>вул. Харківська, 1</t>
  </si>
  <si>
    <t>(05747)31964</t>
  </si>
  <si>
    <t>http://school2-zmiev.klasna.com</t>
  </si>
  <si>
    <t>Зміївський ліцей № 1 Зміївської районної ради Харківської області імені двічі Героя Радянського Союзу З.К.Слюсаренка</t>
  </si>
  <si>
    <t>63407</t>
  </si>
  <si>
    <t>вул. Широнінців, 25</t>
  </si>
  <si>
    <t>(05747)32276</t>
  </si>
  <si>
    <t>http://licey1-zm.ho.ua</t>
  </si>
  <si>
    <t>Зміївський навчально-виховний комплекс (загальноосвітній навчальний заклад І-ІІ ступенів - дошкільний навчальний заклад) Зміївської районної ради Харківської області</t>
  </si>
  <si>
    <t>(05747)67-2-33</t>
  </si>
  <si>
    <t>Зміївський навчально-виховний комплекс № 1(дошкільний навчальний заклад-загальноосвітня школа І ступеня) Зміївської районної ради Харківської області</t>
  </si>
  <si>
    <t>63403</t>
  </si>
  <si>
    <t>вул. Таранівське шосе, 2</t>
  </si>
  <si>
    <t>Зідьківська загальноосвітня школа I-III ступенів ім. Г.І.Ковтуна Зміївської районної ради Харківської області</t>
  </si>
  <si>
    <t>63432</t>
  </si>
  <si>
    <t>6321755300</t>
  </si>
  <si>
    <t>Зідьки</t>
  </si>
  <si>
    <t>вул. Фабрична, 2</t>
  </si>
  <si>
    <t>(05747)39084</t>
  </si>
  <si>
    <t>Слобожанська гімназія № 2 Зміївської районної ради Харківської області</t>
  </si>
  <si>
    <t>63460</t>
  </si>
  <si>
    <t>6321755600</t>
  </si>
  <si>
    <t>(05747)5-22-73, (05747)5-21-84, (05747)5-22-65</t>
  </si>
  <si>
    <t>http://komsomolska-gimnasiya2.kh.sch.in.ua/</t>
  </si>
  <si>
    <t>Слобожанський ліцей № 1 Зміївської районної ради Харківської області</t>
  </si>
  <si>
    <t>вул. С. Закори, 28</t>
  </si>
  <si>
    <t>(05747)5-32-90</t>
  </si>
  <si>
    <t>http://www.licey1.pp.ua</t>
  </si>
  <si>
    <t>Благодатська загальноосвітня школа І-ІІ ступенів Зміївської районної ради Харківської області</t>
  </si>
  <si>
    <t>63461</t>
  </si>
  <si>
    <t>6321755601</t>
  </si>
  <si>
    <t>вул. Механізаторська, 1</t>
  </si>
  <si>
    <t>(05747)54044</t>
  </si>
  <si>
    <t>http://blag-sch.klasna.com.ua</t>
  </si>
  <si>
    <t>Шебелинська загальноосвітня школа І-ІІІ ступенів Зміївської районної ради Харківської області</t>
  </si>
  <si>
    <t>63462</t>
  </si>
  <si>
    <t>6321755603</t>
  </si>
  <si>
    <t>вул. Садова, 1А</t>
  </si>
  <si>
    <t>(05747)72-2-49</t>
  </si>
  <si>
    <t>Бірківська загальноосвітня школа І - ІІІ ступенів Зміївської районної ради Харківської області</t>
  </si>
  <si>
    <t>63421</t>
  </si>
  <si>
    <t>6321780501</t>
  </si>
  <si>
    <t>(05747)78236</t>
  </si>
  <si>
    <t>Першотравнева загальноосвітня школа І-ІІІ ступенів Зміївської районної ради Харківської області</t>
  </si>
  <si>
    <t>63422</t>
  </si>
  <si>
    <t>6321780509</t>
  </si>
  <si>
    <t>(057)4763180</t>
  </si>
  <si>
    <t>Борівська загальноосвітня школа І-ІІІ ступенів імені С. Закори Зміївської районної ради Харківської області</t>
  </si>
  <si>
    <t>63410</t>
  </si>
  <si>
    <t>6321781001</t>
  </si>
  <si>
    <t>61-1-68</t>
  </si>
  <si>
    <t>Гусинополянська загальноосвітня школа І - ІІ ступенів Зміївської районної ради Харківської області</t>
  </si>
  <si>
    <t>6321781003</t>
  </si>
  <si>
    <t>Гусина Поляна</t>
  </si>
  <si>
    <t>(050)5869647</t>
  </si>
  <si>
    <t>Комунальний заклад "Костянтівська загальноосвітня школа І ступеня Зміївської районної ради Харківської області"</t>
  </si>
  <si>
    <t>63412</t>
  </si>
  <si>
    <t>6321781005</t>
  </si>
  <si>
    <t>Костянтівка</t>
  </si>
  <si>
    <t>вул. Донець-Захаржевського, 1Б</t>
  </si>
  <si>
    <t>0993833906</t>
  </si>
  <si>
    <t>комунальний заклад "Краснополянська загальноосвітня школа І-ІІ ступенів Зміївської районної ради Харківської області"</t>
  </si>
  <si>
    <t>63411</t>
  </si>
  <si>
    <t>6321781006</t>
  </si>
  <si>
    <t>(05747)67214</t>
  </si>
  <si>
    <t>Пасічанська загальноосвітня школа І-ІІ ступенів Зміївської районної ради Харківської області</t>
  </si>
  <si>
    <t>63452</t>
  </si>
  <si>
    <t>6321781505</t>
  </si>
  <si>
    <t>Пасіки</t>
  </si>
  <si>
    <t>вул. Сінявіна, 18</t>
  </si>
  <si>
    <t>9-70-2-27</t>
  </si>
  <si>
    <t>Геніївська загальноосвітня школа I-III ступенів Зміївської районної ради Харківської області</t>
  </si>
  <si>
    <t>63433</t>
  </si>
  <si>
    <t>6321782001</t>
  </si>
  <si>
    <t>Геніївка</t>
  </si>
  <si>
    <t>0574776293</t>
  </si>
  <si>
    <t>Геніївська загальноосвітня школа І-ІІ ступенів Зміївської районної ради Харківської області</t>
  </si>
  <si>
    <t>вул. Комарова, 2</t>
  </si>
  <si>
    <t>Задонецька філія Зміївського ліцею № 1</t>
  </si>
  <si>
    <t>63436</t>
  </si>
  <si>
    <t>6321782501</t>
  </si>
  <si>
    <t>Задонецьке</t>
  </si>
  <si>
    <t>вул. Щегельського, 32</t>
  </si>
  <si>
    <t>(05747)79111</t>
  </si>
  <si>
    <t>Лиманська загальноосвітня школа І - ІІІ ступенів Зміївської районної ради Харківської області</t>
  </si>
  <si>
    <t>63463</t>
  </si>
  <si>
    <t>6321782704</t>
  </si>
  <si>
    <t>пл. Покровська, 4</t>
  </si>
  <si>
    <t>(05747)71241, (05747)71245</t>
  </si>
  <si>
    <t>http://lyman-school.edu.kh.ua</t>
  </si>
  <si>
    <t>Комунальний заклад "Нижньобишкинська загальноосвітня школа І-ІІ ступенів" Зміївської районної ради Харківської області</t>
  </si>
  <si>
    <t>63453</t>
  </si>
  <si>
    <t>6321783001</t>
  </si>
  <si>
    <t>Нижній Бишкин</t>
  </si>
  <si>
    <t>вул. 40 років Перемоги, 35</t>
  </si>
  <si>
    <t>(05747)62234</t>
  </si>
  <si>
    <t>http://nbyshkyn-school.edu.kh.ua/</t>
  </si>
  <si>
    <t>Скрипаївська загальноосвітня школа І-ІІІ ступенів Зміївської районної ради Харківської області</t>
  </si>
  <si>
    <t>63441</t>
  </si>
  <si>
    <t>6321784501</t>
  </si>
  <si>
    <t>Скрипаї</t>
  </si>
  <si>
    <t>вул. Жовтнева, 93</t>
  </si>
  <si>
    <t>(05747)73118</t>
  </si>
  <si>
    <t>http://skripay-sch.klasna.com/</t>
  </si>
  <si>
    <t>Соколівський навчально-виховний комплекс (загальноосвітній навчальний заклад І - ІІІ ступенів - дошкільний навчальний заклад) імені Героя Рядянського Союзу Отакара Яроша Зміївської районної ради Харківської області</t>
  </si>
  <si>
    <t>63420</t>
  </si>
  <si>
    <t>6321785001</t>
  </si>
  <si>
    <t>65-2-45</t>
  </si>
  <si>
    <t>Комунальний заклад "Таранівська загальноосвітня школа І-ІІІ ступенів імені Героїв-широнінців" Зміївської районної ради Харківської області</t>
  </si>
  <si>
    <t>63450</t>
  </si>
  <si>
    <t>6321786001</t>
  </si>
  <si>
    <t>Таранівка</t>
  </si>
  <si>
    <t>вул. Харківська, 33</t>
  </si>
  <si>
    <t>(05747)74222</t>
  </si>
  <si>
    <t>http://taranivka-school.edu.kh.ua</t>
  </si>
  <si>
    <t>Тимченківська загальноосвітня школа І-ІІІ ступенів Зміївської районної ради Харківської області</t>
  </si>
  <si>
    <t>63413</t>
  </si>
  <si>
    <t>6321786201</t>
  </si>
  <si>
    <t>Тимченки</t>
  </si>
  <si>
    <t>вул. Магістральна, 30 а</t>
  </si>
  <si>
    <t>(05747)77128</t>
  </si>
  <si>
    <t>Чемужівська загальноосвітня школа І-ІІІ ступенів Зміївської районної ради Харківської області</t>
  </si>
  <si>
    <t>63430</t>
  </si>
  <si>
    <t>6321786501</t>
  </si>
  <si>
    <t>Чемужівка</t>
  </si>
  <si>
    <t>вул. Кришталя, 1</t>
  </si>
  <si>
    <t>(05747)64371</t>
  </si>
  <si>
    <t>Височинівська філія Зміївського ліцею № 1 ім. двічі героя Радянського Союзу З.К. Слюсаренка Зміївської районної ради Харківської області</t>
  </si>
  <si>
    <t>63431</t>
  </si>
  <si>
    <t>6321786505</t>
  </si>
  <si>
    <t>(05747)64114</t>
  </si>
  <si>
    <t>Шелудьківський ліцей імені Героя Радянського Союзу Юхима Єгоровича Кравцова Зміївської районної ради Харківської області</t>
  </si>
  <si>
    <t>63440</t>
  </si>
  <si>
    <t>6321787001</t>
  </si>
  <si>
    <t>Шелудьківка</t>
  </si>
  <si>
    <t>вул. Горького, 67Г</t>
  </si>
  <si>
    <t>(05747)76-572, (05747)76-673</t>
  </si>
  <si>
    <t>http://shelud1.klasna.com</t>
  </si>
  <si>
    <t>Дворічанська загальноосвітня школа I-III ступенів Дворічанської районної ради Харківської області</t>
  </si>
  <si>
    <t>62702</t>
  </si>
  <si>
    <t>6321855100</t>
  </si>
  <si>
    <t>Дворічна</t>
  </si>
  <si>
    <t>вул. Слобожанська, 14</t>
  </si>
  <si>
    <t>(057)76054</t>
  </si>
  <si>
    <t>http://dvorichna-school.edu.kh.ua</t>
  </si>
  <si>
    <t>Дворічанський ліцей Дворічанської районної ради Харківської області</t>
  </si>
  <si>
    <t>вул. Слобожанська, 14 А</t>
  </si>
  <si>
    <t>(05750)76164, (066)4565816</t>
  </si>
  <si>
    <t>Богданівська загальноосвітня школа І-ІІІ ступенів Дворічанської районної ради Харківської області</t>
  </si>
  <si>
    <t>62724</t>
  </si>
  <si>
    <t>6321881001</t>
  </si>
  <si>
    <t>Богданівське</t>
  </si>
  <si>
    <t>(05750)73624</t>
  </si>
  <si>
    <t>http://www.gowtnewaschool.ucoz.ua</t>
  </si>
  <si>
    <t>Кам’янський навчально-виховний комплекс (загальноосвітня школа І-ІІІ ступенів - дошкільний навчальний заклад) Дворічанської районної ради Харківської області</t>
  </si>
  <si>
    <t>62710</t>
  </si>
  <si>
    <t>6321881501</t>
  </si>
  <si>
    <t>вул. Поштова, 38</t>
  </si>
  <si>
    <t>(05750)73290</t>
  </si>
  <si>
    <t>http://kamyanskiynvk.at.ua</t>
  </si>
  <si>
    <t>Колодязненська загальноосвітня школа І-ІІІ ступенів Дворічанської районної ради Харківської області</t>
  </si>
  <si>
    <t>62713</t>
  </si>
  <si>
    <t>6321882001</t>
  </si>
  <si>
    <t>(05750)74531</t>
  </si>
  <si>
    <t>http://kolodiazne.edu.kh.ua</t>
  </si>
  <si>
    <t>Кутьківська загальноосвітня школа І-ІІ ступенів Дворічанської районної ради Харківської області</t>
  </si>
  <si>
    <t>62730</t>
  </si>
  <si>
    <t>6321882501</t>
  </si>
  <si>
    <t>Кутьківка</t>
  </si>
  <si>
    <t>(05750)731-00</t>
  </si>
  <si>
    <t>25463296</t>
  </si>
  <si>
    <t>Друголиманський навчально-виховний комплекс (загальноосвітня школа І ступеня-дошкільний навчальний заклад) Дворічанської районної ради Харківської області</t>
  </si>
  <si>
    <t>62722</t>
  </si>
  <si>
    <t>6321882701</t>
  </si>
  <si>
    <t>(05750)75406</t>
  </si>
  <si>
    <t>Миколаївський навчально-виховний комлекс (загальноосвітня школа І ступеня - дошкільний навчальний заклад) Дворічанської районної ради Харківської області</t>
  </si>
  <si>
    <t>62721</t>
  </si>
  <si>
    <t>6321883001</t>
  </si>
  <si>
    <t>(05750)75632</t>
  </si>
  <si>
    <t>Мечниківський навчально-виховний комплекс (загальноосвітня школа І-ІІІ ступенів - дошкільний навчальний заклад) Дворічанської районної ради Харківської області</t>
  </si>
  <si>
    <t>62740</t>
  </si>
  <si>
    <t>6321883301</t>
  </si>
  <si>
    <t>(050)74298</t>
  </si>
  <si>
    <t>http://mechnykivskyy.ucoz.ua</t>
  </si>
  <si>
    <t>Вільшанська загальноосвітня школа І-ІІІ ступенів Дворічанської районної ради Харківської області</t>
  </si>
  <si>
    <t>62732</t>
  </si>
  <si>
    <t>6321883501</t>
  </si>
  <si>
    <t>(05750)975223</t>
  </si>
  <si>
    <t>Петро-Іванівський навчально-виховний комплекс (загальноосвітня школа І ступеня - дошкільний навчальний заклад) Дворічанської районної ради Харківської області</t>
  </si>
  <si>
    <t>62720</t>
  </si>
  <si>
    <t>6321884001</t>
  </si>
  <si>
    <t>Петро-Іванівка</t>
  </si>
  <si>
    <t>(05750)74180</t>
  </si>
  <si>
    <t>Топільська загальноосвітня школа І-ІІІ ступенів Дворічанської районної ради Харківської області</t>
  </si>
  <si>
    <t>62715</t>
  </si>
  <si>
    <t>6321884503</t>
  </si>
  <si>
    <t>пл. Центральна, 6</t>
  </si>
  <si>
    <t>(05750)75535</t>
  </si>
  <si>
    <t>http://topoli-school.edu.kh.ua</t>
  </si>
  <si>
    <t>Рідкодубська загальноосвітня школа І - ІІ ступенів Дворічанської районної ради Харківської області</t>
  </si>
  <si>
    <t>62723</t>
  </si>
  <si>
    <t>6321885001</t>
  </si>
  <si>
    <t>вул. Чкалова, 12</t>
  </si>
  <si>
    <t>(05750)75149</t>
  </si>
  <si>
    <t>Тавільжанська загальноосвітня школа І-ІІІ ступенів Дворічанської районної ради Харківської області</t>
  </si>
  <si>
    <t>62731</t>
  </si>
  <si>
    <t>6321885501</t>
  </si>
  <si>
    <t>Тавільжанка</t>
  </si>
  <si>
    <t>вул. Перемоги, 152</t>
  </si>
  <si>
    <t>(05750)73424</t>
  </si>
  <si>
    <t>Пристанційна загальноосвітня школа І-ІІ ступенів Дворічанської районної ради Харківської області</t>
  </si>
  <si>
    <t>62701</t>
  </si>
  <si>
    <t>6321885504</t>
  </si>
  <si>
    <t>Дворічне</t>
  </si>
  <si>
    <t>вул. Привокзальна, 57</t>
  </si>
  <si>
    <t>(05750)76068</t>
  </si>
  <si>
    <t>Токарівська загальноосвітня школа І-ІІ ступенів Дворічанської районної ради Харківської області</t>
  </si>
  <si>
    <t>62743</t>
  </si>
  <si>
    <t>6321886001</t>
  </si>
  <si>
    <t>(05750)74623</t>
  </si>
  <si>
    <t>Дергачівська вечірня (змінна) школа Дергачівської районної ради Харківської області</t>
  </si>
  <si>
    <t>62303</t>
  </si>
  <si>
    <t>6322010100</t>
  </si>
  <si>
    <t>Дергачі</t>
  </si>
  <si>
    <t>вул. 1 Травня, 25</t>
  </si>
  <si>
    <t>(05763)3-02-56</t>
  </si>
  <si>
    <t>Дергачівська гімназія № 3 Дергачівської районної ради Харківської області</t>
  </si>
  <si>
    <t>62300</t>
  </si>
  <si>
    <t>вул. Cумський шлях (Петровського), 79</t>
  </si>
  <si>
    <t>(05763)30141</t>
  </si>
  <si>
    <t>23758981</t>
  </si>
  <si>
    <t>Дергачівський ліцей № 2 Дергачівської районної ради Харківської області</t>
  </si>
  <si>
    <t>62302</t>
  </si>
  <si>
    <t>(05763)30293</t>
  </si>
  <si>
    <t>http://dergachi-lyceum2.edu.kh.ua/</t>
  </si>
  <si>
    <t>23453141</t>
  </si>
  <si>
    <t>Дергачівський навчально-виховний комплекс "Загальноосвітня школа І-ІІІ ступенів - дошкільний заклад" Дергачівської районної ради Харківської області</t>
  </si>
  <si>
    <t>вул. Золочівський шлях, 58</t>
  </si>
  <si>
    <t>(05763)31183, (05763)32142</t>
  </si>
  <si>
    <t>http://dergachi-school1.edu.kh.ua/</t>
  </si>
  <si>
    <t>25465906</t>
  </si>
  <si>
    <t>Дергачівський навчально-виховний комплекс № 1 Дергачівської міської ради Дергачівського району Харківської області</t>
  </si>
  <si>
    <t>62301</t>
  </si>
  <si>
    <t>(0263)3-30-62</t>
  </si>
  <si>
    <t>Козачолопанський навчально-виховний комплекс "Загальноосвітня школа І-ІІІ ступенів - дошкільний заклад" Дергачівської районної ради Харківської області</t>
  </si>
  <si>
    <t>62310</t>
  </si>
  <si>
    <t>6322055600</t>
  </si>
  <si>
    <t>Козача Лопань</t>
  </si>
  <si>
    <t>(56)234</t>
  </si>
  <si>
    <t>http://klopan.edu.kh.ua</t>
  </si>
  <si>
    <t>Ветеринарний навчально - виховний комплекс "Загальноосвітня школа I-III ступенів - дошкільний заклад" Дергачівської районної ради Харківської області</t>
  </si>
  <si>
    <t>6322055601</t>
  </si>
  <si>
    <t>Ветеринарне</t>
  </si>
  <si>
    <t>ал. Квіткова</t>
  </si>
  <si>
    <t>(05763)56225</t>
  </si>
  <si>
    <t>Малоданилівський ліцей Дергачівської районної ради Харківської області</t>
  </si>
  <si>
    <t>62341</t>
  </si>
  <si>
    <t>6322055900</t>
  </si>
  <si>
    <t>Мала Данилівка</t>
  </si>
  <si>
    <t>вул. Ювілейна, 3</t>
  </si>
  <si>
    <t>(05763)57123</t>
  </si>
  <si>
    <t>http://md.edu.kh.ua</t>
  </si>
  <si>
    <t>22661943</t>
  </si>
  <si>
    <t>Вільшанська загальноосвітня школа І-ІІІ ступенів Дергачівської районної ради Харківської області</t>
  </si>
  <si>
    <t>62360</t>
  </si>
  <si>
    <t>6322056200</t>
  </si>
  <si>
    <t>(42)4-34</t>
  </si>
  <si>
    <t>23452455</t>
  </si>
  <si>
    <t>Пересічанський навчально-виховний комплекс"Загальноосвітня школа І-ІІІ ступенів - дошкільний заклад"</t>
  </si>
  <si>
    <t>62364</t>
  </si>
  <si>
    <t>6322056500</t>
  </si>
  <si>
    <t>Пересічне</t>
  </si>
  <si>
    <t>вул. Сумський шлях, 137</t>
  </si>
  <si>
    <t>(05763)44013</t>
  </si>
  <si>
    <t>23325035</t>
  </si>
  <si>
    <t>Прудянська загальноосвітня школа І-Ш ступенів Дергачівської районної ради Харківської області</t>
  </si>
  <si>
    <t>62320</t>
  </si>
  <si>
    <t>6322057000</t>
  </si>
  <si>
    <t>Прудянка</t>
  </si>
  <si>
    <t>пл. Славянська, 3</t>
  </si>
  <si>
    <t>(263)51-330</t>
  </si>
  <si>
    <t>http://prudyanka.edu.kh.ua</t>
  </si>
  <si>
    <t>23325087</t>
  </si>
  <si>
    <t>Цупівський навчально-виховний комплекс "Загальноосвітня школа І-ІІ ступенів - дошкільний заклад" Дергачівської районної державної адміністрації Харківської області</t>
  </si>
  <si>
    <t>62314</t>
  </si>
  <si>
    <t>6322057001</t>
  </si>
  <si>
    <t>Цупівка</t>
  </si>
  <si>
    <t>(05763)62252</t>
  </si>
  <si>
    <t>http://cupovka.edu.kh.ua</t>
  </si>
  <si>
    <t>Слатинський навчально- виховний комплекс "Загальноосвітня школа І-ІІІ ступенів- дошкільний заклад" Дергачівської районної ради Харківської області</t>
  </si>
  <si>
    <t>62321</t>
  </si>
  <si>
    <t>6322057300</t>
  </si>
  <si>
    <t>Слатине</t>
  </si>
  <si>
    <t>(263)41-294</t>
  </si>
  <si>
    <t>22661937</t>
  </si>
  <si>
    <t>Солоницівська гімназія № 3 Дергачівської районної ради Харківської області</t>
  </si>
  <si>
    <t>62370</t>
  </si>
  <si>
    <t>6322057600</t>
  </si>
  <si>
    <t>Солоницівка</t>
  </si>
  <si>
    <t>вул. Енергетична, 4</t>
  </si>
  <si>
    <t>((057)63)73243</t>
  </si>
  <si>
    <t>22661825</t>
  </si>
  <si>
    <t>Солоницівська загальноосвітня школа І - ІІІ ступенів № 2 Дергачівської районної ради Харківської області</t>
  </si>
  <si>
    <t>62369</t>
  </si>
  <si>
    <t>(05763)72348</t>
  </si>
  <si>
    <t>http://solonicevka-school2.edu.kh.ua/</t>
  </si>
  <si>
    <t>Солоницівський колегіум Дергачівської районної ради Харківської області</t>
  </si>
  <si>
    <t>вул. Сумський шлях, 4</t>
  </si>
  <si>
    <t>(05763)72231</t>
  </si>
  <si>
    <t>http://solonicevka-collegium.edu.kh.ua</t>
  </si>
  <si>
    <t>Солоницівський навчально-виховний комплекс "Спеціалізована загальноосвітня школа І-ІІ ступенів з поглибленим вивченням іноземної мови - дошкільний заклад "Перлина"" Дергачівської районної ради Харківської області</t>
  </si>
  <si>
    <t>вул. Пушкіна, 17А</t>
  </si>
  <si>
    <t>(05763)72325</t>
  </si>
  <si>
    <t>Курязька загальноосвітня школа ІІ-ІІІ ступенів, що знаходиться в загальнодержавній власності</t>
  </si>
  <si>
    <t>62371</t>
  </si>
  <si>
    <t>6322057602</t>
  </si>
  <si>
    <t>Подвірки</t>
  </si>
  <si>
    <t>вул. Макаренка, 1</t>
  </si>
  <si>
    <t>(098)6176427</t>
  </si>
  <si>
    <t>Подвірський навчально-виховний комплекс "Загальноосвітня школа І-ІІІ ступенів-дошкільний заклад"</t>
  </si>
  <si>
    <t>вул. Курязька, 1</t>
  </si>
  <si>
    <t>(05763)73234</t>
  </si>
  <si>
    <t>http://podvorki.edu.kh.ua/</t>
  </si>
  <si>
    <t>Безруківський навчально-виховний комплекс "Загальноосвітня школа І-ІІІ ступенів - дошкільний заклад" Дергачівської районної ради Харківської області</t>
  </si>
  <si>
    <t>62322</t>
  </si>
  <si>
    <t>6322080501</t>
  </si>
  <si>
    <t>Безруки</t>
  </si>
  <si>
    <t>(05763)61-214</t>
  </si>
  <si>
    <t>Дворічнокутянська загальноосвітня школа І-ІІІ ступенів Дергачівської районної ради Харківської області</t>
  </si>
  <si>
    <t>62351</t>
  </si>
  <si>
    <t>6322080901</t>
  </si>
  <si>
    <t>Дворічний Кут</t>
  </si>
  <si>
    <t>(057)6353212</t>
  </si>
  <si>
    <t>http://dvorichniy-kut.edu.kh.ua</t>
  </si>
  <si>
    <t>Полівський навчально-виховний комплекс "Загальноосвітня школа І-ІІ ступенів-дошкільний заклад" Дергачівської районної ради Харківської області</t>
  </si>
  <si>
    <t>62350</t>
  </si>
  <si>
    <t>6322080904</t>
  </si>
  <si>
    <t>Польова</t>
  </si>
  <si>
    <t>вул. Діброва, 6</t>
  </si>
  <si>
    <t>(057)6363272</t>
  </si>
  <si>
    <t>http://poleva.edu.kh.ua/</t>
  </si>
  <si>
    <t>Протопопівський навчально-виховний комплекс "Загальноосвітня школа І-ІІІ ступенів-дошкільний заклад" Дергачівської районної ради Харківської області</t>
  </si>
  <si>
    <t>62361</t>
  </si>
  <si>
    <t>6322081001</t>
  </si>
  <si>
    <t>(380576355)248</t>
  </si>
  <si>
    <t>http://protopopivka.edu.kh.ua/</t>
  </si>
  <si>
    <t>Великопроходівський навчально-виховний комплекс "Загальноосвітня школа І-ІІІ ступенів - дошкільний заклад" Дергачівської районної ради Харківської області</t>
  </si>
  <si>
    <t>62331</t>
  </si>
  <si>
    <t>6322081503</t>
  </si>
  <si>
    <t>Великі Проходи</t>
  </si>
  <si>
    <t>вул. Іллінська, № 32</t>
  </si>
  <si>
    <t>(263)45-234</t>
  </si>
  <si>
    <t>http://prohody.edu.kh.ua</t>
  </si>
  <si>
    <t>Русько-Лозівський навчально-виховний комплекс "Загальноосвітня школа І-ІІІ ступенів - дошкільний заклад" Дергачівської районної ради Харківської області</t>
  </si>
  <si>
    <t>62332</t>
  </si>
  <si>
    <t>6322082001</t>
  </si>
  <si>
    <t>Руська Лозова</t>
  </si>
  <si>
    <t>вул. Матюшенка, 74</t>
  </si>
  <si>
    <t>(05763)4-62-66</t>
  </si>
  <si>
    <t>23452420</t>
  </si>
  <si>
    <t>Токарівський навчально-виховний комплекс "Загальноосвітня школа І-ІІІ ступенів - дошкільний заклад" Дергачівської районної ради Харківської області</t>
  </si>
  <si>
    <t>62313</t>
  </si>
  <si>
    <t>6322082503</t>
  </si>
  <si>
    <t>Гоптівка</t>
  </si>
  <si>
    <t>((057)(63))52-2-30</t>
  </si>
  <si>
    <t>http://tokarivka.edu.kh.ua</t>
  </si>
  <si>
    <t>Черкаськолозівська загальноосвітня школа І-ІІІ ступенів Дергачівської районної ради Харківської області</t>
  </si>
  <si>
    <t>62340</t>
  </si>
  <si>
    <t>6322083001</t>
  </si>
  <si>
    <t>Черкаська Лозова</t>
  </si>
  <si>
    <t>вул. Горького, 25А</t>
  </si>
  <si>
    <t>(05763)54240</t>
  </si>
  <si>
    <t>Зачепилівська загальноосвітня школа І-ІІІ ступенів Зачепилівської районної ради Харківської області</t>
  </si>
  <si>
    <t>64401</t>
  </si>
  <si>
    <t>6322255100</t>
  </si>
  <si>
    <t>(057)51206</t>
  </si>
  <si>
    <t>Бердянський навчально -виховний комплекс "загальноосвітній навчальний заклад І -ІІІ ступенів -дошкільний навчальний заклад" Зачепилівської районної ради Харківської області</t>
  </si>
  <si>
    <t>64440</t>
  </si>
  <si>
    <t>6322280501</t>
  </si>
  <si>
    <t>Бердянка</t>
  </si>
  <si>
    <t>вул. 14 Гвардійської стрілецької дивізії</t>
  </si>
  <si>
    <t>(05761)954630</t>
  </si>
  <si>
    <t>http://shule.ucoz.com.br</t>
  </si>
  <si>
    <t>Орчицька загальноосвітня школа І-ІІ ступенів Зачепилівської районної ради Харківської області</t>
  </si>
  <si>
    <t>64431</t>
  </si>
  <si>
    <t>6322282004</t>
  </si>
  <si>
    <t>Орчик</t>
  </si>
  <si>
    <t>(05761)53141</t>
  </si>
  <si>
    <t>Миколаївська загальноосвітня школа І-ІІІ ступенів Зачепилівської районної ради Харківської області</t>
  </si>
  <si>
    <t>64423</t>
  </si>
  <si>
    <t>6322282501</t>
  </si>
  <si>
    <t>вул. Харківська</t>
  </si>
  <si>
    <t>(261)53623</t>
  </si>
  <si>
    <t>http://zabchkola.at.ua/</t>
  </si>
  <si>
    <t>Новомажарівська загальноосвітня школа І-ІІІ ступенів Зачепилівської районної ради Харківської області</t>
  </si>
  <si>
    <t>64450</t>
  </si>
  <si>
    <t>6322283001</t>
  </si>
  <si>
    <t>Нове Мажарове</t>
  </si>
  <si>
    <t>0576155180</t>
  </si>
  <si>
    <t>Зіньківщинська загальноосвітня школа І-ІІІ ступенів Зачепилівської районної ради Харківської області</t>
  </si>
  <si>
    <t>64454</t>
  </si>
  <si>
    <t>6322283003</t>
  </si>
  <si>
    <t>Зіньківщина</t>
  </si>
  <si>
    <t>вул. Вишнева, 47</t>
  </si>
  <si>
    <t>(05761)54324</t>
  </si>
  <si>
    <t>Руновщинська загальноосвітня школа І-ІІІ ступенів Зачепилівської районної ради Харківської області</t>
  </si>
  <si>
    <t>64412</t>
  </si>
  <si>
    <t>6322283501</t>
  </si>
  <si>
    <t>вул. Слобідська, 111</t>
  </si>
  <si>
    <t>9-5-41-41</t>
  </si>
  <si>
    <t>http://runshkola.at.ua</t>
  </si>
  <si>
    <t>Чернещинський навчально-виховний комплекс "загальноосвітьній навчальний заклад І-ІІІ ступенів - дошкільний навчальний заклад" Зачепилівської районної ради Харківської області</t>
  </si>
  <si>
    <t>64410</t>
  </si>
  <si>
    <t>6322284501</t>
  </si>
  <si>
    <t>(05761)56289</t>
  </si>
  <si>
    <t>Золочівська гімназія № 1 Золочівської районної державної адміністрації Харківської області</t>
  </si>
  <si>
    <t>62203</t>
  </si>
  <si>
    <t>6322655100</t>
  </si>
  <si>
    <t>(05764)5-15-79, (05164)5-08-02</t>
  </si>
  <si>
    <t>http://zolgimnazia1.ucoz.com/</t>
  </si>
  <si>
    <t>Золочівська загальноосвітня школа І - ІІІ ступенів № 3 Золочівської районної державної адміністрації Харківської області</t>
  </si>
  <si>
    <t>вул. 1-го Травня, 53</t>
  </si>
  <si>
    <t>(05764)50048</t>
  </si>
  <si>
    <t>http://zolschool3.klasna.com</t>
  </si>
  <si>
    <t>Комунальний заклад "Золочівська загальноосвітня школа І-ІІІ ступенів № 2 Золочівської районної ради Харківської області"</t>
  </si>
  <si>
    <t>вул. Клименка Віктора, 63</t>
  </si>
  <si>
    <t>(05764)51370, 0996848003</t>
  </si>
  <si>
    <t>Олександрівська загальноосвітня школа І-ІІІ ступенів Золочівської районної державної адміністрації Харківської області</t>
  </si>
  <si>
    <t>62214</t>
  </si>
  <si>
    <t>6322680501</t>
  </si>
  <si>
    <t>(05764)96649</t>
  </si>
  <si>
    <t>http://oleksandrivskazosh.klasna.com.ua</t>
  </si>
  <si>
    <t>Сковородинівський навчально-виховний комплекс (загальноосвітня школа І-ІІІ ступенів - дошкільний навчальний заклад (ясла-садок) ім.Г.С.Сковороди</t>
  </si>
  <si>
    <t>62241</t>
  </si>
  <si>
    <t>6322681504</t>
  </si>
  <si>
    <t>Сковородинівка</t>
  </si>
  <si>
    <t>94-1-34</t>
  </si>
  <si>
    <t>http://sc_skovorodynivka.klasna.com</t>
  </si>
  <si>
    <t>Гур'єво-Козачанська загальноосвітня школа І-ІІІ ступенів Золочівської районної державної адміністрації Харківської області</t>
  </si>
  <si>
    <t>62212</t>
  </si>
  <si>
    <t>6322682001</t>
  </si>
  <si>
    <t>Гур'їв Козачок</t>
  </si>
  <si>
    <t>(057)6496310</t>
  </si>
  <si>
    <t>Довжанський навчально- виховний комплекс (загальноосвітня школа І-ІІІ ступенів - дошкільний навчальний заклад (ясла-садок) Золочівської районної державної адміністрації Харківської області імені Героя Радянського Союзу П.Г.Стрижака</t>
  </si>
  <si>
    <t>62250</t>
  </si>
  <si>
    <t>6322682501</t>
  </si>
  <si>
    <t>(05764)99-2-16</t>
  </si>
  <si>
    <t>http://dovzhik-zoloshiv.edu.kh.ua</t>
  </si>
  <si>
    <t>Лютівський навчально-виховний комплекс (загальноосвітня школа І-ІІ ступенів - дошкільний навчальний заклад (ясла-садок)</t>
  </si>
  <si>
    <t>62230</t>
  </si>
  <si>
    <t>6322683501</t>
  </si>
  <si>
    <t>Лютівка</t>
  </si>
  <si>
    <t>вул. Клубна, 6</t>
  </si>
  <si>
    <t>(057)64247</t>
  </si>
  <si>
    <t>http://lyutivka.edu.kh.ua</t>
  </si>
  <si>
    <t>Малорогозянський навчально-виховний комплекс (загальноосвітня школа І-ІІІ ступенів - дошкільний навчальний заклад (ясла-садок) Золочівської районної державної адміністрації Харківської області</t>
  </si>
  <si>
    <t>62243</t>
  </si>
  <si>
    <t>6322684001</t>
  </si>
  <si>
    <t>Мала Рогозянка</t>
  </si>
  <si>
    <t>вул. Мічуріна, 22</t>
  </si>
  <si>
    <t>(05764)94356</t>
  </si>
  <si>
    <t>http://malorogozianka.edu.Kh.ua</t>
  </si>
  <si>
    <t>Івашківська загальноосвітня школа І-ІІІ ступенів Золочівської районої державної адміністрації Харківської області</t>
  </si>
  <si>
    <t>62211</t>
  </si>
  <si>
    <t>6322684403</t>
  </si>
  <si>
    <t>Івашки</t>
  </si>
  <si>
    <t>(05764)98626</t>
  </si>
  <si>
    <t>http://ivashki.klasna.com</t>
  </si>
  <si>
    <t>Одноробівська загальноосвітня школа І-ІІІ ступенів Золочівської районної державної адміністрації Харківської області</t>
  </si>
  <si>
    <t>62210</t>
  </si>
  <si>
    <t>6322684501</t>
  </si>
  <si>
    <t>Одноробівка</t>
  </si>
  <si>
    <t>(057)93248</t>
  </si>
  <si>
    <t>http://Odnorobivka.edu.kh.ua</t>
  </si>
  <si>
    <t>Писарівська філія КЗ "Золочівська загальноосвітня школа І-ІІІ ступенів № 2 "Золочівської районної ради Харківської області</t>
  </si>
  <si>
    <t>62232</t>
  </si>
  <si>
    <t>6322685001</t>
  </si>
  <si>
    <t>вул. Карюка, 4</t>
  </si>
  <si>
    <t>0576499519</t>
  </si>
  <si>
    <t>Ряснянська загальноосвітня школа І-ІІІ ступенів Золочівської районної державної адміністрації Харківської області</t>
  </si>
  <si>
    <t>62233</t>
  </si>
  <si>
    <t>6322685007</t>
  </si>
  <si>
    <t>http://riasne.edu.kh.ua</t>
  </si>
  <si>
    <t>Макарівський навчально-виховний комплекс (загальноосвітня школа І-ІІ ступенів - дошкільний навчальний заклад (ясла-садок)) Золочівської районної державної адміністрації Харківської області</t>
  </si>
  <si>
    <t>62222</t>
  </si>
  <si>
    <t>6322685503</t>
  </si>
  <si>
    <t>(05764)98117</t>
  </si>
  <si>
    <t>http://makarivska.klasna.com</t>
  </si>
  <si>
    <t>Удянська загальноосвітня школа І-ІІІ ступенів імені Героя Радянського Союзу Угловського М.М. Золочівської районної державної адміністрації Харківської області</t>
  </si>
  <si>
    <t>62220</t>
  </si>
  <si>
    <t>6322686001</t>
  </si>
  <si>
    <t>Уди</t>
  </si>
  <si>
    <t>вул. Угловського, 15/1</t>
  </si>
  <si>
    <t>(057)6497293</t>
  </si>
  <si>
    <t>Феськівська загальноосвітня школа І-ІІІ ступенів Золочівської районної державної адміністрації Харківської області</t>
  </si>
  <si>
    <t>62252</t>
  </si>
  <si>
    <t>6322686509</t>
  </si>
  <si>
    <t>Малі Феськи</t>
  </si>
  <si>
    <t>(264)95530</t>
  </si>
  <si>
    <t>http://feski-school.klasna.com</t>
  </si>
  <si>
    <t>Олександрівська загальноосвітня школа І-ІІІ ступенів Ізюмської районної ради Харківської області</t>
  </si>
  <si>
    <t>64321</t>
  </si>
  <si>
    <t>6322880501</t>
  </si>
  <si>
    <t>вул. Перемоги, 8</t>
  </si>
  <si>
    <t>(057)4353345</t>
  </si>
  <si>
    <t>http://alexschool2.at.ua</t>
  </si>
  <si>
    <t>Липчанівський навчально-виховний комплекс Ізюмської районної ради Харківської області</t>
  </si>
  <si>
    <t>64331</t>
  </si>
  <si>
    <t>6322881503</t>
  </si>
  <si>
    <t>Липчанівка</t>
  </si>
  <si>
    <t>(05743)52785</t>
  </si>
  <si>
    <t>http://Lipchanovka.ucoz.org</t>
  </si>
  <si>
    <t>Бугаївський навчально-виховний комплекс Ізюмської районної ради Харківської області</t>
  </si>
  <si>
    <t>64320</t>
  </si>
  <si>
    <t>6322882001</t>
  </si>
  <si>
    <t>пл. Центральна, 12</t>
  </si>
  <si>
    <t>(05743)50780</t>
  </si>
  <si>
    <t>http://bugasvskiynvk.ukoz.ua</t>
  </si>
  <si>
    <t>Вірнопільський навчально-виховний комплекс Ізюмської районної ради Харківської області</t>
  </si>
  <si>
    <t>64370</t>
  </si>
  <si>
    <t>6322882201</t>
  </si>
  <si>
    <t>Вірнопілля</t>
  </si>
  <si>
    <t>(56-26-877-456-724-13)51784</t>
  </si>
  <si>
    <t>http://schoolvirnopilly.klasna.com</t>
  </si>
  <si>
    <t>Довгеньківський навчально - виховний комплекс Ізюмської районної ради Харківської області</t>
  </si>
  <si>
    <t>64371</t>
  </si>
  <si>
    <t>6322882501</t>
  </si>
  <si>
    <t>Довгеньке</t>
  </si>
  <si>
    <t>вул. Борисова, 12</t>
  </si>
  <si>
    <t>(05743)54740</t>
  </si>
  <si>
    <t>https://sites.google.com/site/dovgen2013/</t>
  </si>
  <si>
    <t>Співаківська загальноосвітня школа І-ІІІ ступенів Ізюмської районної ради Харківської області</t>
  </si>
  <si>
    <t>64350</t>
  </si>
  <si>
    <t>6322883009</t>
  </si>
  <si>
    <t>Співаківка</t>
  </si>
  <si>
    <t>(057)52612</t>
  </si>
  <si>
    <t>http://Shahtarzosh.ucoz.ua</t>
  </si>
  <si>
    <t>Іванчуківська загальноосвітня школа I-III ступенів Ізюмської районної ради Харківської області</t>
  </si>
  <si>
    <t>64322</t>
  </si>
  <si>
    <t>6322883501</t>
  </si>
  <si>
    <t>Іванчуківка</t>
  </si>
  <si>
    <t>(05743)54514</t>
  </si>
  <si>
    <t>http://ivanchukovka.webnode.com.ua</t>
  </si>
  <si>
    <t>Кам'янський навчально-виховний комплекс Ізюмської районної ради Харківської області</t>
  </si>
  <si>
    <t>64341</t>
  </si>
  <si>
    <t>6322884001</t>
  </si>
  <si>
    <t>(057-43)2-85-49</t>
  </si>
  <si>
    <t>http://kamjanskij-nvk.webnode.com.ua</t>
  </si>
  <si>
    <t>Капитолівський навчально-виховний комплекс Ізюмської районної ради Харківської області</t>
  </si>
  <si>
    <t>64319</t>
  </si>
  <si>
    <t>6322884501</t>
  </si>
  <si>
    <t>Капитолівка</t>
  </si>
  <si>
    <t>(05743)56466</t>
  </si>
  <si>
    <t>http://kapitol-nvk.at.ua</t>
  </si>
  <si>
    <t>Куньєвський навчально-виховний комплекс Ізюмської районної ради Харківської області</t>
  </si>
  <si>
    <t>64323</t>
  </si>
  <si>
    <t>6322886001</t>
  </si>
  <si>
    <t>Куньє</t>
  </si>
  <si>
    <t>50-5-33</t>
  </si>
  <si>
    <t>Левківська загальноосвітня школа І-ІІІ ступенів, Ізюмської районної ради Харківської області</t>
  </si>
  <si>
    <t>64332</t>
  </si>
  <si>
    <t>6322886501</t>
  </si>
  <si>
    <t>Левківка</t>
  </si>
  <si>
    <t>(05743)52140</t>
  </si>
  <si>
    <t>http://schoollevk1111.ucoz.net</t>
  </si>
  <si>
    <t>Малокомишуваська загальноосвітня школа І-ІІІ ступенів Ізюмської районної ради Харківської області</t>
  </si>
  <si>
    <t>64342</t>
  </si>
  <si>
    <t>6322887001</t>
  </si>
  <si>
    <t>Мала Комишуваха</t>
  </si>
  <si>
    <t>вул. Перемоги, 59</t>
  </si>
  <si>
    <t>(05743)53610</t>
  </si>
  <si>
    <t>http://malokomish.at.ua/</t>
  </si>
  <si>
    <t>Студенокський навчально-виховний комплекс Ізюмської районної ради Харківської області</t>
  </si>
  <si>
    <t>64360</t>
  </si>
  <si>
    <t>6322887501</t>
  </si>
  <si>
    <t>(05743)5-19-10</t>
  </si>
  <si>
    <t>http://studenoknvk123s.ucoz.ua</t>
  </si>
  <si>
    <t>Опорний заклад Оскільський навчально-виховний комплекс Ізюмської районної ради Харківської області</t>
  </si>
  <si>
    <t>64340</t>
  </si>
  <si>
    <t>6322888001</t>
  </si>
  <si>
    <t>Оскіл</t>
  </si>
  <si>
    <t>(057)4355134</t>
  </si>
  <si>
    <t>http://chervony-oskil.at.ua</t>
  </si>
  <si>
    <t>Чистоводівський навчально-виховний комплкес Ізюмської районної ради Харківської області</t>
  </si>
  <si>
    <t>64324</t>
  </si>
  <si>
    <t>6322888501</t>
  </si>
  <si>
    <t>Чистоводівка</t>
  </si>
  <si>
    <t>(05743)52924</t>
  </si>
  <si>
    <t>http://chistovodovkanv.at.ua</t>
  </si>
  <si>
    <t>Кегичівський ліцей Кегичівської районної ради Харківської області</t>
  </si>
  <si>
    <t>64003</t>
  </si>
  <si>
    <t>6323155100</t>
  </si>
  <si>
    <t>Кегичівка</t>
  </si>
  <si>
    <t>вул. Волошина, 91</t>
  </si>
  <si>
    <t>(05755)31136</t>
  </si>
  <si>
    <t>http://kegilicey.at.ua</t>
  </si>
  <si>
    <t>25614418</t>
  </si>
  <si>
    <t>Слобожанська загальноосвітня школа І - ІІІ ступенів Кегичівської районної ради Харківської області</t>
  </si>
  <si>
    <t>64020</t>
  </si>
  <si>
    <t>6323155600</t>
  </si>
  <si>
    <t>(05755)36490</t>
  </si>
  <si>
    <t>Андріївська загальноосвітня школа І-ІІІ ступенів Кегичівської районної ради Харківської області</t>
  </si>
  <si>
    <t>64031</t>
  </si>
  <si>
    <t>6323180401</t>
  </si>
  <si>
    <t>(057)2-55-22</t>
  </si>
  <si>
    <t>Бесарабівський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</si>
  <si>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64053</t>
  </si>
  <si>
    <t>6323180601</t>
  </si>
  <si>
    <t>Бесарабівка</t>
  </si>
  <si>
    <t>(05755)24425</t>
  </si>
  <si>
    <t>Власівський загальноосвітній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</si>
  <si>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64010</t>
  </si>
  <si>
    <t>6323180801</t>
  </si>
  <si>
    <t>(05755)24129</t>
  </si>
  <si>
    <t>http://vlasovkash.ucoz.ua/</t>
  </si>
  <si>
    <t>Вовківська загальноосвітня школа І-ІІ ступенів Кегичівської районної ради Харківської області</t>
  </si>
  <si>
    <t>64041</t>
  </si>
  <si>
    <t>6323181001</t>
  </si>
  <si>
    <t>Вовківка</t>
  </si>
  <si>
    <t>(05755)2-53-56</t>
  </si>
  <si>
    <t>http://vovkivkazosh.ucoz.ua/</t>
  </si>
  <si>
    <t>Красненська загальнооосвітня школа І - ІІІ ступенів Кегичівської районної ради Харківської області</t>
  </si>
  <si>
    <t>64032</t>
  </si>
  <si>
    <t>6323181301</t>
  </si>
  <si>
    <t>(05755)25110</t>
  </si>
  <si>
    <t>http://www.red-school.at.ua</t>
  </si>
  <si>
    <t>Мажарський загальноосвітній навчально-виховний комплекс (загальноосвітній навчальний заклад І-ІІІ ступенів - дошкільний заклад) Кегичівської районної ради Харківської області</t>
  </si>
  <si>
    <t>64040</t>
  </si>
  <si>
    <t>6323182501</t>
  </si>
  <si>
    <t>Мажарка</t>
  </si>
  <si>
    <t>пров. Шкільний, №7</t>
  </si>
  <si>
    <t>(255)23150</t>
  </si>
  <si>
    <t>http://mazhnvk.ucoz.ua</t>
  </si>
  <si>
    <t>Медведівська загальноосвітня школа І-ІІІ ступенів. Кегичівської районної ради Харківської області</t>
  </si>
  <si>
    <t>64011</t>
  </si>
  <si>
    <t>6323182701</t>
  </si>
  <si>
    <t>Медведівка</t>
  </si>
  <si>
    <t>(057)5524333</t>
  </si>
  <si>
    <t>http://medvsh.ucoz.ua</t>
  </si>
  <si>
    <t>Новопарафіївський навчально-виховний комплекс(загальноосвітній навчальний заклад І-ІІІ ступенів - дошкільний навчальний заклад) Кегичівської районної ради Харківської області</t>
  </si>
  <si>
    <t>64052</t>
  </si>
  <si>
    <t>6323183001</t>
  </si>
  <si>
    <t>Нова Парафіївка</t>
  </si>
  <si>
    <t>вул. Миру, 1,2.3</t>
  </si>
  <si>
    <t>(05755)2-36-24</t>
  </si>
  <si>
    <t>http://parafsh.ucoz.ru</t>
  </si>
  <si>
    <t>Павлівська загальноосвітня школа І-ІІ ступенів Кегичівської районної ради Харківської області</t>
  </si>
  <si>
    <t>64050</t>
  </si>
  <si>
    <t>6323183701</t>
  </si>
  <si>
    <t>(057)924534</t>
  </si>
  <si>
    <t>http://pavlovshool.at.ua</t>
  </si>
  <si>
    <t>Крутоярівський загальноосвітній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</si>
  <si>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6323184502</t>
  </si>
  <si>
    <t>(05755)3-10-90</t>
  </si>
  <si>
    <t>Софіївська загальноосвітня школа І-ІІ ступенів Кегичівської районної ради Харківської області</t>
  </si>
  <si>
    <t>64030</t>
  </si>
  <si>
    <t>6323184807</t>
  </si>
  <si>
    <t>вул. Учительська, 3</t>
  </si>
  <si>
    <t>(255)31499</t>
  </si>
  <si>
    <t>http://sofiivskazosh.ucoz.ua</t>
  </si>
  <si>
    <t>Шляхівська загальноосвітня школа І-ІІ ступенів Кегичівської районної ради Харківська область</t>
  </si>
  <si>
    <t>64024</t>
  </si>
  <si>
    <t>6323186001</t>
  </si>
  <si>
    <t>Шляхове</t>
  </si>
  <si>
    <t>80575521056</t>
  </si>
  <si>
    <t>http://shlyahivskazosh.ucoz.ru/</t>
  </si>
  <si>
    <t>Коломацький навчально-виховний комплекс (дошкільний навчальний заклад - загальноосвітня школа І - ІІІ ступенів) імені Героя Радянського Союзу І.Є.Єгорова Коломацької районної ради Харківської області</t>
  </si>
  <si>
    <t>63100</t>
  </si>
  <si>
    <t>6323255100</t>
  </si>
  <si>
    <t>Коломак</t>
  </si>
  <si>
    <t>в-д Свободи, 2</t>
  </si>
  <si>
    <t>(05766)56198</t>
  </si>
  <si>
    <t>http://kolomats-nvk.ucoz.ua</t>
  </si>
  <si>
    <t>Різуненківський навчально-виховний комплекс (дошкільний навчальний заклад - загальноосвітня школа I-III ступенів) Коломацької районної ради Харківської області</t>
  </si>
  <si>
    <t>63110</t>
  </si>
  <si>
    <t>6323280601</t>
  </si>
  <si>
    <t>Різуненкове</t>
  </si>
  <si>
    <t>(05766)54234</t>
  </si>
  <si>
    <t>Шелестівський навчально-виховний комплекс (дошкільний навчальний заклад-загальноосвітня школа І-ІІІ ступенів) Коломацької районної ради Харківської області</t>
  </si>
  <si>
    <t>63131</t>
  </si>
  <si>
    <t>6323281001</t>
  </si>
  <si>
    <t>Шелестове</t>
  </si>
  <si>
    <t>вул. Лермонтова, 1</t>
  </si>
  <si>
    <t>(05766)53569</t>
  </si>
  <si>
    <t>http://sheles-nvk.ucoz.ua</t>
  </si>
  <si>
    <t>Красноградська гімназія "Гранд" Красноградської районної державної адміністрації Харківської області</t>
  </si>
  <si>
    <t>63301</t>
  </si>
  <si>
    <t>6323310100</t>
  </si>
  <si>
    <t>Красноград</t>
  </si>
  <si>
    <t>мрн. №3, 32</t>
  </si>
  <si>
    <t>(05744)79117</t>
  </si>
  <si>
    <t>http://gimnaziyagrand.ucoz.ru/</t>
  </si>
  <si>
    <t>Красноградська загальноосвітня школа І-ІІІ ступенів № 1 ім. О.І.Копиленка Красноградської районної державної адміністрації Харківської області</t>
  </si>
  <si>
    <t>63304</t>
  </si>
  <si>
    <t>вул. Лермонтова, 49</t>
  </si>
  <si>
    <t>(05744)70463</t>
  </si>
  <si>
    <t>http://krzosh1.ucoz.ua/</t>
  </si>
  <si>
    <t>Красноградський багатопрофільний ліцей Красноградської районної державної адміністрації Харківської області</t>
  </si>
  <si>
    <t>вул. 19 вересня, 119 А</t>
  </si>
  <si>
    <t>(05744)7-15-00</t>
  </si>
  <si>
    <t>http://licej-krasnograd.klasna.com</t>
  </si>
  <si>
    <t>Красноградський навчально - виховний комплекс (загальноосвітня школа І-ІІІ ступенів - дошкільний навчальний заклад) № 2 Красноградської районної державної адміністрації Харківської області</t>
  </si>
  <si>
    <t>вул. Благовіщенська, 57</t>
  </si>
  <si>
    <t>(05744)72818</t>
  </si>
  <si>
    <t>http://Krasnnvk2.klasna.com</t>
  </si>
  <si>
    <t>Красноградський навчально-виховний комплекс (загальноосвітня школа І-ІІІ ступенів - дошкільний навчальний заклад) № 3 Красноградської районної державної адміністрації Харківської області</t>
  </si>
  <si>
    <t>вул. Горького, 114</t>
  </si>
  <si>
    <t>(05744)7-28-85</t>
  </si>
  <si>
    <t>http://krasnograd-nvk3.at.ua</t>
  </si>
  <si>
    <t>Володимирівський навчально-виховний комплекс (загальноосвітня школа І-ІІ ступенів - дошкільний навчальний заклад) Красноградської районної державної адміністрації Харьківської області</t>
  </si>
  <si>
    <t>63374</t>
  </si>
  <si>
    <t>6323380501</t>
  </si>
  <si>
    <t>вул. Верхня, б/н</t>
  </si>
  <si>
    <t>(057)44-97-140</t>
  </si>
  <si>
    <t>Лукашівський навчально-виховний комплекс (загальноосвітня школа І-ІІ ступенів - дошкільний навчальний заклад) Красноградської районної державної адміністрації Харківської області</t>
  </si>
  <si>
    <t>62372</t>
  </si>
  <si>
    <t>6323380504</t>
  </si>
  <si>
    <t>вул. Шкільний</t>
  </si>
  <si>
    <t>(24135747)91141</t>
  </si>
  <si>
    <t>http://krl-ukash.ucoz.ua</t>
  </si>
  <si>
    <t>Кобзівський навчально - виховний комплекс (загальноосвітня школа І-ІІ ступенів - дошкільний навчальний заклад) Красноградської районної державної адміністрації Харківської області</t>
  </si>
  <si>
    <t>63361</t>
  </si>
  <si>
    <t>6323381201</t>
  </si>
  <si>
    <t>Кобзівка</t>
  </si>
  <si>
    <t>(05744)99525</t>
  </si>
  <si>
    <t>http://krkobz.ucoz.ua</t>
  </si>
  <si>
    <t>Хрестищенська загальноосвітня школа І-ІІІ ступенів Красноградської районної державної адміністрації Харківської області</t>
  </si>
  <si>
    <t>63311</t>
  </si>
  <si>
    <t>6323381501</t>
  </si>
  <si>
    <t>(057)4491448</t>
  </si>
  <si>
    <t>http://krkhrest.ucoz.ua</t>
  </si>
  <si>
    <t>Зорянська загальноосвітня школа І-ІІ ступенів Красноградської районної державної адміністрації Харківської області</t>
  </si>
  <si>
    <t>63330</t>
  </si>
  <si>
    <t>6323382001</t>
  </si>
  <si>
    <t>(05744)92646</t>
  </si>
  <si>
    <t>http://krleninzosh.ucoz.ua</t>
  </si>
  <si>
    <t>Добренський навчально-виховний комплекс (загальноосвітня школа І-ІІІ ступенів - дошкільний навчальний заклад) Красноградської районної державної адміністрації Харківської області</t>
  </si>
  <si>
    <t>63351</t>
  </si>
  <si>
    <t>6323382505</t>
  </si>
  <si>
    <t>Добренька</t>
  </si>
  <si>
    <t>вул. Садова, 70</t>
  </si>
  <si>
    <t>(05744)94133</t>
  </si>
  <si>
    <t>http://krdobr.ucoz.ua</t>
  </si>
  <si>
    <t>Наталинський навчально-виховний комплекс (загальноосвітня школа І-ІІІ ступенів - дошкільний навчальний заклад) Красноградської районної державної адміністрації Харківської області</t>
  </si>
  <si>
    <t>63343</t>
  </si>
  <si>
    <t>6323383001</t>
  </si>
  <si>
    <t>Наталине</t>
  </si>
  <si>
    <t>вул. Промислова, 34</t>
  </si>
  <si>
    <t>(05744)76826</t>
  </si>
  <si>
    <t>http://http//krnatal.ukoz.ua</t>
  </si>
  <si>
    <t>Миколо-Комишуватський навчально-виховний комплекс (загальноосвітня школа І-ІІІ ступенів - дошкільний навчальний заклад) Красноградської районної державної адміністрації Харківської області</t>
  </si>
  <si>
    <t>63310</t>
  </si>
  <si>
    <t>6323383501</t>
  </si>
  <si>
    <t>Миколо-Комишувата</t>
  </si>
  <si>
    <t>вул. Валківська, 1</t>
  </si>
  <si>
    <t>(05744)96121</t>
  </si>
  <si>
    <t>http://krmkomish.ucoz.ua</t>
  </si>
  <si>
    <t>Іванівська загальноосвітня школа І ступеня Красноградської районної державної адміністрації Харківської області</t>
  </si>
  <si>
    <t>63322</t>
  </si>
  <si>
    <t>6323384501</t>
  </si>
  <si>
    <t>вул. Центральна, 252</t>
  </si>
  <si>
    <t>(8(05744))95-488</t>
  </si>
  <si>
    <t>http://kroctabr.ucoz.ua</t>
  </si>
  <si>
    <t>Петрівський навчально-виховний комплекс (загальноосвітня школа І-ІІІ ступенів - дошкільний навчальний заклад) Красноградської районної державної адміністрації Харківської області</t>
  </si>
  <si>
    <t>63340</t>
  </si>
  <si>
    <t>6323385001</t>
  </si>
  <si>
    <t>(05744)94537</t>
  </si>
  <si>
    <t>http://krpetrivka.ukoz.ua</t>
  </si>
  <si>
    <t>Піщанський навчально-виховний комплекс (загальноосвітня школа І-ІІІ ступенів - дошкільний навчальний заклад) Красноградської районної державної адміністрації Харківської області</t>
  </si>
  <si>
    <t>63332</t>
  </si>
  <si>
    <t>6323385501</t>
  </si>
  <si>
    <t>вул. Шевченка, 38А</t>
  </si>
  <si>
    <t>(05744)5-21-14</t>
  </si>
  <si>
    <t>http://krpichan.ucoz.ua/</t>
  </si>
  <si>
    <t>Попівська загальноосвітня школа І-ІІІ ступенів Красноградської районної державної адміністрації Харківської області</t>
  </si>
  <si>
    <t>63344</t>
  </si>
  <si>
    <t>6323385701</t>
  </si>
  <si>
    <t>вул. Лісова, 64</t>
  </si>
  <si>
    <t>(05744)92168</t>
  </si>
  <si>
    <t>http://krpopivka.ucoz.ua</t>
  </si>
  <si>
    <t>Роздольська загальноосвітня школа І - ІІ ступенів Красноградської районної державної адміністрації Харківської області</t>
  </si>
  <si>
    <t>63362</t>
  </si>
  <si>
    <t>6323385711</t>
  </si>
  <si>
    <t>(05744)93572</t>
  </si>
  <si>
    <t>http://krrozdol.ucoz.ua/</t>
  </si>
  <si>
    <t>Березівська загальноосвітня школа І -ІІ ступенів Березівська загальноосвітня школа І-ІІ ступенів Красноградської районної державної адміністрації Харківської області</t>
  </si>
  <si>
    <t>63325</t>
  </si>
  <si>
    <t>6323386002</t>
  </si>
  <si>
    <t>вул. Стовбова</t>
  </si>
  <si>
    <t>(05744)90156</t>
  </si>
  <si>
    <t>http://krberez.ucoz.ua</t>
  </si>
  <si>
    <t>Краснокутська гімназія імені Героя Радянського Союзу І.Н.Нестерова Краснокутської районної ради Харківської області</t>
  </si>
  <si>
    <t>62002</t>
  </si>
  <si>
    <t>6323555100</t>
  </si>
  <si>
    <t>Краснокутськ</t>
  </si>
  <si>
    <t>вул. Миру, 154А</t>
  </si>
  <si>
    <t>(057(56))3-14-74</t>
  </si>
  <si>
    <t>http://gimnazia.in.ua</t>
  </si>
  <si>
    <t>24330883</t>
  </si>
  <si>
    <t>Краснокутська загальноосвітня школа І-ІІІ ступенів № 2 Краснокутської районної ради Харківської області</t>
  </si>
  <si>
    <t>вул. Шевченка, 111/3</t>
  </si>
  <si>
    <t>(05756)32297</t>
  </si>
  <si>
    <t>http://scool2krk.ucoz.com</t>
  </si>
  <si>
    <t>Костянтинівська загальноосвітня школа І-ІІІ ступенів Краснокутської районної ради Харківської області</t>
  </si>
  <si>
    <t>62042</t>
  </si>
  <si>
    <t>6323555400</t>
  </si>
  <si>
    <t>(05756)99290</t>
  </si>
  <si>
    <t>http://kostyantschool.ucoz.ua/</t>
  </si>
  <si>
    <t>Олексіївська загальноосвітня школа І - ІІІ ступенів Краснокутської районної ради Харківської області</t>
  </si>
  <si>
    <t>62051</t>
  </si>
  <si>
    <t>6323580301</t>
  </si>
  <si>
    <t>(256)96-2-23</t>
  </si>
  <si>
    <t>http://oleksiivka.ucoz.com</t>
  </si>
  <si>
    <t>Дублянська загальноосвітня школа І-ІІІ ступенів Краснокутської районної ради Харківської області</t>
  </si>
  <si>
    <t>62052</t>
  </si>
  <si>
    <t>6323580305</t>
  </si>
  <si>
    <t>Дублянка</t>
  </si>
  <si>
    <t>(05756)93-5-74</t>
  </si>
  <si>
    <t>http://dublzosh.ucoz.net</t>
  </si>
  <si>
    <t>В’язівська загальноосвітня школа І - ІІІ ступенів Краснокутської районної ради Харківської області</t>
  </si>
  <si>
    <t>62040</t>
  </si>
  <si>
    <t>6323580501</t>
  </si>
  <si>
    <t>вул. Cлобожанська, 9</t>
  </si>
  <si>
    <t>(05756)97221</t>
  </si>
  <si>
    <t>http://vjazova-zosh.kh.sch.in.ua</t>
  </si>
  <si>
    <t>Каплунівський навчально-виховний комплекс (загальноосвітня школа І- ІІ ступенів - дошкільний навчальний заклад)</t>
  </si>
  <si>
    <t>62010</t>
  </si>
  <si>
    <t>6323581201</t>
  </si>
  <si>
    <t>Каплунівка</t>
  </si>
  <si>
    <t>вул. Морозова, 62</t>
  </si>
  <si>
    <t>(05756)94355</t>
  </si>
  <si>
    <t>http://kaplunivski.ucoz.ua</t>
  </si>
  <si>
    <t>Качалівська загальноосвітня школа І-ІІІ ступенів імені Героя Радянського Союзу О. Д. Майорова Краснокутської районної ради Харківської області</t>
  </si>
  <si>
    <t>62025</t>
  </si>
  <si>
    <t>6323581701</t>
  </si>
  <si>
    <t>Качалівка</t>
  </si>
  <si>
    <t>(05756)97525</t>
  </si>
  <si>
    <t>http://Kachalivka-school.edu.kh.ua</t>
  </si>
  <si>
    <t>Козіївська загальноосвітня школа І - ІІІ ступенів Краснокутської районної ради Харківської області</t>
  </si>
  <si>
    <t>62011</t>
  </si>
  <si>
    <t>6323583201</t>
  </si>
  <si>
    <t>вул. Слобожанська, 52</t>
  </si>
  <si>
    <t>(05756)94144</t>
  </si>
  <si>
    <t>http://www.osvita-koz.at.ua</t>
  </si>
  <si>
    <t>Городнянська загальноосвітня школа І-ІІ ступенів Краснокутської районної ради Харківської області</t>
  </si>
  <si>
    <t>62012</t>
  </si>
  <si>
    <t>6323583202</t>
  </si>
  <si>
    <t>(05756)98196</t>
  </si>
  <si>
    <t>http://gorodne.at.ua/</t>
  </si>
  <si>
    <t>Колонтаївська загальноосвітня школа І-ІІІ ступенів Краснокутської районної ради Харківської області</t>
  </si>
  <si>
    <t>62030</t>
  </si>
  <si>
    <t>6323583701</t>
  </si>
  <si>
    <t>Колонтаїв</t>
  </si>
  <si>
    <t>(05756)97346</t>
  </si>
  <si>
    <t>http://kolontaivschool.at.ua</t>
  </si>
  <si>
    <t>Мурафська загальноосвітня школа І-ІІІ ступенів Краснокутської районної ради Харківської області</t>
  </si>
  <si>
    <t>62020</t>
  </si>
  <si>
    <t>6323584701</t>
  </si>
  <si>
    <t>(05756)93491</t>
  </si>
  <si>
    <t>http://www.murafazosh.at.ua</t>
  </si>
  <si>
    <t>Пархомівська загальноосвітня школа І-ІІІ ступенів Краснокутської районної ради Харківської області</t>
  </si>
  <si>
    <t>62013</t>
  </si>
  <si>
    <t>6323585501</t>
  </si>
  <si>
    <t>вул. Панаса Луньова, 4</t>
  </si>
  <si>
    <t>(05756)95565</t>
  </si>
  <si>
    <t>http://parhomovkazosh.ucoz.ua</t>
  </si>
  <si>
    <t>СЛОБІДСЬКА ЗАГАЛЬНООСВІТНЯ ШКОЛА І - ІІ СТУПЕНІВ КРАСНОКУТСЬКОЇ РАЙОННОЇ РАДИ ХАРКІВСЬКОЇ ОБЛАСТІ</t>
  </si>
  <si>
    <t>62035</t>
  </si>
  <si>
    <t>6323586208</t>
  </si>
  <si>
    <t>http://slobidkaschool.ucoz.ua/</t>
  </si>
  <si>
    <t>Глушківська загальноосвітня школа І-ІІІ ступенів Куп'янської районної ради Харківської області</t>
  </si>
  <si>
    <t>63751</t>
  </si>
  <si>
    <t>6323781001</t>
  </si>
  <si>
    <t>Глушківка</t>
  </si>
  <si>
    <t>((057)42)36-2-40</t>
  </si>
  <si>
    <t>http://glushkivka-zosh.kupyansk.info</t>
  </si>
  <si>
    <t>Грушівська загальноосвітня школа І - ІІІ ступенів Купянської районної ради Харківської області</t>
  </si>
  <si>
    <t>63758</t>
  </si>
  <si>
    <t>6323781201</t>
  </si>
  <si>
    <t>(05742)31142</t>
  </si>
  <si>
    <t>Гусинська загальноосвітня школа І-ІІІ ступенів Куп'янської районної ради Харківської області</t>
  </si>
  <si>
    <t>63710</t>
  </si>
  <si>
    <t>6323781501</t>
  </si>
  <si>
    <t>Гусинка</t>
  </si>
  <si>
    <t>вул. 1 Травня, 4</t>
  </si>
  <si>
    <t>(05742)35291</t>
  </si>
  <si>
    <t>http://gusinka-zosh.kupyansk.info</t>
  </si>
  <si>
    <t>Ягіднянська загальноосвітня школа І-ІІІ ступенів Куп'янської районної ради Харківської області</t>
  </si>
  <si>
    <t>63740</t>
  </si>
  <si>
    <t>6323782001</t>
  </si>
  <si>
    <t>Ягідне</t>
  </si>
  <si>
    <t>(05742)32527</t>
  </si>
  <si>
    <t>http://yagidne-zosh.kupyansk.info</t>
  </si>
  <si>
    <t>Кислівська загальноосвітня школа І-ІІІ ступенів Куп'янської районної ради Харківської області</t>
  </si>
  <si>
    <t>63742</t>
  </si>
  <si>
    <t>6323782501</t>
  </si>
  <si>
    <t>вул. Чуйкова, 7А</t>
  </si>
  <si>
    <t>(05742)32-132</t>
  </si>
  <si>
    <t>http://kislivka-zosh.kupynsk.info</t>
  </si>
  <si>
    <t>Кіндрашівська загальноосвітня школа І - ІІІ ступенів Куп'янської районної ради Харківської області</t>
  </si>
  <si>
    <t>63720</t>
  </si>
  <si>
    <t>6323783001</t>
  </si>
  <si>
    <t>Кіндрашівка</t>
  </si>
  <si>
    <t>(05742)31-6-30</t>
  </si>
  <si>
    <t>http://kindrashivskazoh.klasna.com</t>
  </si>
  <si>
    <t>Кругляківська загальноосвітня школа І-ІІІ ступенів Куп'янської районної ради Харківської області</t>
  </si>
  <si>
    <t>63753</t>
  </si>
  <si>
    <t>6323783201</t>
  </si>
  <si>
    <t>Кругляківка</t>
  </si>
  <si>
    <t>пров. Садовий, 3</t>
  </si>
  <si>
    <t>(05742)34299</t>
  </si>
  <si>
    <t>http://krugshkola.kupyansk.info/</t>
  </si>
  <si>
    <t>Курилівська загальноосвітня школа І-ІІ ступенів Куп'янської районної ради Харківської області</t>
  </si>
  <si>
    <t>63730</t>
  </si>
  <si>
    <t>6323783501</t>
  </si>
  <si>
    <t>вул. Білова, 3</t>
  </si>
  <si>
    <t>(05742)79257</t>
  </si>
  <si>
    <t>Курилівський ліцей Куп'янської районної ради Харківської області</t>
  </si>
  <si>
    <t>м-ко Курилівка-1</t>
  </si>
  <si>
    <t>(05742)79185</t>
  </si>
  <si>
    <t>http://licey.klasna.com</t>
  </si>
  <si>
    <t>Новоосинівська загальноосвітня школа І-ІІ ступенів Куп'янської районної ради Харківської області</t>
  </si>
  <si>
    <t>63732</t>
  </si>
  <si>
    <t>6323783502</t>
  </si>
  <si>
    <t>Новоосинове</t>
  </si>
  <si>
    <t>(05742)6-54-21</t>
  </si>
  <si>
    <t>http://novoosin-shcool.ucoz.ru</t>
  </si>
  <si>
    <t>Подолянська загальноосвітня школа І-ІІІ ступенів Куп'янської районної ради Харківської області</t>
  </si>
  <si>
    <t>63731</t>
  </si>
  <si>
    <t>6323783504</t>
  </si>
  <si>
    <t>Подоли</t>
  </si>
  <si>
    <t>(05742)51676</t>
  </si>
  <si>
    <t>http://podoly.blogspot.com</t>
  </si>
  <si>
    <t>Лісностінківська загальноосвітня школа І - ІІІ ступенів Куп'янської районної ради Харківської області</t>
  </si>
  <si>
    <t>63754</t>
  </si>
  <si>
    <t>6323783701</t>
  </si>
  <si>
    <t>Лісна Стінка</t>
  </si>
  <si>
    <t>вул. Дружби, 17</t>
  </si>
  <si>
    <t>(05742)32748</t>
  </si>
  <si>
    <t>http://school0506.klasna.com</t>
  </si>
  <si>
    <t>Моначинівський навчально-виховний комплекс "Загальноосвітня школа І-ІІ ступенів - дошкільний навчальний заклад" Куп'янської районної ради Харківської області</t>
  </si>
  <si>
    <t>63712</t>
  </si>
  <si>
    <t>6323783901</t>
  </si>
  <si>
    <t>Моначинівка</t>
  </si>
  <si>
    <t>вул. Жердія, 27</t>
  </si>
  <si>
    <t>(5742)33-1-24</t>
  </si>
  <si>
    <t>http://monachinovskiy.klasna.com/</t>
  </si>
  <si>
    <t>НЕЧВОЛОДІВСЬКИЙ НАВЧАЛЬНО-ВИХОВНИЙ КОМПЛЕКС "ЗАГАЛЬНООСВІТНЯ ШКОЛА І-ІІІ СТУПЕНІВ - ДОШКІЛЬНИЙ НАВЧАЛЬНИЙ ЗАКЛАД" КУП'ЯНСЬКОЇ РАЙОННОЇ РАДИ ХАРКІВСЬКОЇ ОБЛАСТІ</t>
  </si>
  <si>
    <t>63724</t>
  </si>
  <si>
    <t>6323784001</t>
  </si>
  <si>
    <t>Нечволодівка</t>
  </si>
  <si>
    <t>(5742)33-4-47</t>
  </si>
  <si>
    <t>http://nechvolodovkaschool.klassna.com</t>
  </si>
  <si>
    <t>Піщанська загальноосвітня школа І-ІІІ ступенів Куп'янської районної ради Харківської області</t>
  </si>
  <si>
    <t>63743</t>
  </si>
  <si>
    <t>6323784501</t>
  </si>
  <si>
    <t>вул. Молодіжна, 68 а</t>
  </si>
  <si>
    <t>(057)4232637</t>
  </si>
  <si>
    <t>http://pischane-zosh.kupyansk.info</t>
  </si>
  <si>
    <t>Петрівська загальноосвітня школа І - ІІ ступенів Куп'янської районної ради Харківської області</t>
  </si>
  <si>
    <t>63733</t>
  </si>
  <si>
    <t>6323785001</t>
  </si>
  <si>
    <t>Осиново</t>
  </si>
  <si>
    <t>вул. Мерзляка, 51</t>
  </si>
  <si>
    <t>(05742)53654</t>
  </si>
  <si>
    <t>http://schoolpetr51.klasna.com</t>
  </si>
  <si>
    <t>Петропавлівська загальноосвітня школа І-ІІІ ступенів Куп'янської районної ради Харківської області</t>
  </si>
  <si>
    <t>63722</t>
  </si>
  <si>
    <t>6323785501</t>
  </si>
  <si>
    <t>вул. Червона, 38 Б</t>
  </si>
  <si>
    <t>(05742)29053</t>
  </si>
  <si>
    <t>http://alexandr0988.wix.com/petropavlovkaschool</t>
  </si>
  <si>
    <t>ПРИСТІНСЬКА ЗАГАЛЬНООСВІТНЯ ШКОЛА І-ІІ СТУПЕНІВ КУП'ЯНСЬКОЇ РАЙОННОЇ РАДИ ХАРКІВСЬКОЇ ОБЛАСТІ</t>
  </si>
  <si>
    <t>63750</t>
  </si>
  <si>
    <t>6323786001</t>
  </si>
  <si>
    <t>Пристін</t>
  </si>
  <si>
    <t>пл. Перемоги, 4</t>
  </si>
  <si>
    <t>(05742)31-3-23</t>
  </si>
  <si>
    <t>http://pristin-zosh.kupyansk.info</t>
  </si>
  <si>
    <t>Просянська загальноосвітня школа І-ІІ ступенів Куп'янської районної ради Харківської області</t>
  </si>
  <si>
    <t>63713</t>
  </si>
  <si>
    <t>6323786201</t>
  </si>
  <si>
    <t>Просянка</t>
  </si>
  <si>
    <t>вул. Українська, 48</t>
  </si>
  <si>
    <t>(05742)31532</t>
  </si>
  <si>
    <t>http://prosyanka-zosh.kupyansk.info</t>
  </si>
  <si>
    <t>Сеньківська загальноосвітня школа І-ІІ ступенів Куп'янської районної ради Харківської області</t>
  </si>
  <si>
    <t>63752</t>
  </si>
  <si>
    <t>6323786501</t>
  </si>
  <si>
    <t>Сенькове</t>
  </si>
  <si>
    <t>(05742)34317</t>
  </si>
  <si>
    <t>http://senkivskashkola.kupyansk.info</t>
  </si>
  <si>
    <t>Смородьківська загальноосвітня школа І-ІІ ступенів Куп'янської районної ради Харківської області</t>
  </si>
  <si>
    <t>63714</t>
  </si>
  <si>
    <t>6323787001</t>
  </si>
  <si>
    <t>Смородьківка</t>
  </si>
  <si>
    <t>вул. Куп'янська, 38</t>
  </si>
  <si>
    <t>(05742)33637</t>
  </si>
  <si>
    <t>http://smorodinka.kupyansk.info</t>
  </si>
  <si>
    <t>Краснопавлівська загальноосвітня школа І-ІІІ ступенів Лозівської районної ради Харківської області</t>
  </si>
  <si>
    <t>64621</t>
  </si>
  <si>
    <t>6323955400</t>
  </si>
  <si>
    <t>Краснопавлівка</t>
  </si>
  <si>
    <t>(05745)67202</t>
  </si>
  <si>
    <t>Орільська філія Орільської загальноосвітньої школи І-ІІІ ступенів Лозівської районної ради Харківської області</t>
  </si>
  <si>
    <t>64640</t>
  </si>
  <si>
    <t>6323955700</t>
  </si>
  <si>
    <t>Орілька</t>
  </si>
  <si>
    <t>(05745)66125</t>
  </si>
  <si>
    <t>Орільська ЗОШ I-III ступенів Лозівської районної ради Харківської області</t>
  </si>
  <si>
    <t>64641</t>
  </si>
  <si>
    <t>(057-45)66-2-27</t>
  </si>
  <si>
    <t>Артільський навчально-виховний комплекс Лозівської районної ради Харківської області</t>
  </si>
  <si>
    <t>64630</t>
  </si>
  <si>
    <t>6323980501</t>
  </si>
  <si>
    <t>Артільне</t>
  </si>
  <si>
    <t>(05745)63146</t>
  </si>
  <si>
    <t>Бунаківський навчально-виховний комплекс Лозівської районної ради Харківської області</t>
  </si>
  <si>
    <t>64610</t>
  </si>
  <si>
    <t>6323981001</t>
  </si>
  <si>
    <t>Бунакове</t>
  </si>
  <si>
    <t>(0574563)2-12</t>
  </si>
  <si>
    <t>Єлизаветівська філія I-II ступенів Краснопавлівської загальноосвітньої школи I-III ступенів Лозівської районної ради Харківської області</t>
  </si>
  <si>
    <t>6323981201</t>
  </si>
  <si>
    <t>пл. Шевченка, 5</t>
  </si>
  <si>
    <t>(05745)68-3-57</t>
  </si>
  <si>
    <t>http://yelyzavetivka-nvk.kh.sch.in.ua/</t>
  </si>
  <si>
    <t>Катеринівська загальноосвітня школа І-ІІІ ступенів Лозівської районної ради Харківської області</t>
  </si>
  <si>
    <t>64662</t>
  </si>
  <si>
    <t>6323981501</t>
  </si>
  <si>
    <t>(05745)61271, (05745)61272</t>
  </si>
  <si>
    <t>Миролюбівський навчально-виховний комплекс Лозівської районної ради Харківської області</t>
  </si>
  <si>
    <t>64644</t>
  </si>
  <si>
    <t>6323982001</t>
  </si>
  <si>
    <t>64-1-19</t>
  </si>
  <si>
    <t>Надеждівський навчально-виховний комплекс Лозівської районної ради Харківської області</t>
  </si>
  <si>
    <t>64680</t>
  </si>
  <si>
    <t>6323982501</t>
  </si>
  <si>
    <t>(05745)64341</t>
  </si>
  <si>
    <t>https://sites.google.com/site/nadezdivskij</t>
  </si>
  <si>
    <t>Миколаївський навчально-виховний комплекс Лозівської районної ради Харківської області</t>
  </si>
  <si>
    <t>64672</t>
  </si>
  <si>
    <t>6323983001</t>
  </si>
  <si>
    <t>вул. Джека Алтаузена, 5</t>
  </si>
  <si>
    <t>64429</t>
  </si>
  <si>
    <t>http://mknvk.at.ua</t>
  </si>
  <si>
    <t>Новоіванівська загальноосвітня школа І-ІІІ ступенів Лозівської районної ради Харківської області</t>
  </si>
  <si>
    <t>64670</t>
  </si>
  <si>
    <t>6323983501</t>
  </si>
  <si>
    <t>вул. Яремчука, 1</t>
  </si>
  <si>
    <t>(05745)64-7-10</t>
  </si>
  <si>
    <t>Павлівська загальноосвітня школа І-ІІІ ступенів ім. Олекси Десняка Лозівської районної ради Харківської області</t>
  </si>
  <si>
    <t>64611</t>
  </si>
  <si>
    <t>6323984501</t>
  </si>
  <si>
    <t>Павлівка Друга</t>
  </si>
  <si>
    <t>вул. Десняка, 7</t>
  </si>
  <si>
    <t>(05745)63227</t>
  </si>
  <si>
    <t>Перемозька філія Краснопавлівської загальноосвітньої школи І-ІІІ ступенів Лозівської районної ради Харківської області</t>
  </si>
  <si>
    <t>64633</t>
  </si>
  <si>
    <t>6323985001</t>
  </si>
  <si>
    <t>63643</t>
  </si>
  <si>
    <t>Царедарівський навчально - виховний комплекс Лозівської районної ради Харківської області</t>
  </si>
  <si>
    <t>64661</t>
  </si>
  <si>
    <t>6323985501</t>
  </si>
  <si>
    <t>(05745)63-8-90</t>
  </si>
  <si>
    <t>Полтавський навчально-виховний комплекс Лозівської районної ради Харківської області</t>
  </si>
  <si>
    <t>64631</t>
  </si>
  <si>
    <t>6323985502</t>
  </si>
  <si>
    <t>Полтавське</t>
  </si>
  <si>
    <t>(5745)63864</t>
  </si>
  <si>
    <t>http://poltavskyi-nvk.kh.sch.in.ua</t>
  </si>
  <si>
    <t>Садовська загальноосвітня школа І-ІІІ ступенів Лозівської районної ради Харківської області</t>
  </si>
  <si>
    <t>64683</t>
  </si>
  <si>
    <t>6323986001</t>
  </si>
  <si>
    <t>(05765)4-71</t>
  </si>
  <si>
    <t>http://sadovskazosh.ucoz.ua</t>
  </si>
  <si>
    <t>Смирнівський навчально-виховний комплекс Лозівської районної ради Харківської області</t>
  </si>
  <si>
    <t>64650</t>
  </si>
  <si>
    <t>6323986501</t>
  </si>
  <si>
    <t>Смирнівка</t>
  </si>
  <si>
    <t>(245)62-2-19</t>
  </si>
  <si>
    <t>Тихопільська загальноосвітня школа І - ІІ ступенів Лозівської районної ради Харківської області</t>
  </si>
  <si>
    <t>64682</t>
  </si>
  <si>
    <t>6323987001</t>
  </si>
  <si>
    <t>Тихопілля</t>
  </si>
  <si>
    <t>вул. Полтавська, 46</t>
  </si>
  <si>
    <t>(245)65619</t>
  </si>
  <si>
    <t>http://www.tyhopillia-school.edu.kh.ua/</t>
  </si>
  <si>
    <t>Чернігівський навчально-виховний комплекс Лозівської районної ради Харківської області</t>
  </si>
  <si>
    <t>64632</t>
  </si>
  <si>
    <t>6323987501</t>
  </si>
  <si>
    <t>Чернігівське</t>
  </si>
  <si>
    <t>(05745)63433</t>
  </si>
  <si>
    <t>Шатівський навчально- виховний комплекс Лозівської районної ради Харківської областї</t>
  </si>
  <si>
    <t>64651</t>
  </si>
  <si>
    <t>6323988007</t>
  </si>
  <si>
    <t>(05745)65232</t>
  </si>
  <si>
    <t>https://sites.google.com/site/sativskijnvk/istoria-skoly</t>
  </si>
  <si>
    <t>Яковлівський навчально-виховний комплекс Лозівської районної ради Харківської області</t>
  </si>
  <si>
    <t>64625</t>
  </si>
  <si>
    <t>6323988501</t>
  </si>
  <si>
    <t>65712</t>
  </si>
  <si>
    <t>http://jakovlevskijnvk.fo.ru</t>
  </si>
  <si>
    <t>Комунальний заклад "Нововодолазький санаторний навчально-виховний комплекс" Харківської обласної ради</t>
  </si>
  <si>
    <t>63202</t>
  </si>
  <si>
    <t>6324255100</t>
  </si>
  <si>
    <t>Нова Водолага</t>
  </si>
  <si>
    <t>вул. 40 років Перемоги, 79</t>
  </si>
  <si>
    <t>(05740)42558, (05740)42069</t>
  </si>
  <si>
    <t>http://nv-internat.org.ua</t>
  </si>
  <si>
    <t>22684045</t>
  </si>
  <si>
    <t>Нововодолазька гімназія Нововодолазької районної ради Харківської області</t>
  </si>
  <si>
    <t>вул. Воскресінська, 7</t>
  </si>
  <si>
    <t>(05740)43023</t>
  </si>
  <si>
    <t>http://novavodolaga-gymnasium.edu.kh.ua</t>
  </si>
  <si>
    <t>Нововодолазький ліцей Нововодолазької районної ради Харківської області</t>
  </si>
  <si>
    <t>вул. Донця Григорія, 7</t>
  </si>
  <si>
    <t>(05740)4-21-11</t>
  </si>
  <si>
    <t>http://www.licey.at.ua</t>
  </si>
  <si>
    <t>Нововодолазький навчально-виховний комплекс (загальноосвітня школа I-III ступенів - дошкільний навчальний заклад) Нововодолазької районної ради Харківської області</t>
  </si>
  <si>
    <t>вул. Васильківського Сергія, 26</t>
  </si>
  <si>
    <t>(05740)4-25-53</t>
  </si>
  <si>
    <t>http://novavodolaga-school2.edu.kh.ua/</t>
  </si>
  <si>
    <t>Новоселівський навчально-виховний комплекс (загальноосвітня школа І-ІІІ ступенів-дошкільний навчальний заклад) Нововодолазької районної ради Харківської області</t>
  </si>
  <si>
    <t>63200</t>
  </si>
  <si>
    <t>6324255101</t>
  </si>
  <si>
    <t>вул. Воскресінська, 267</t>
  </si>
  <si>
    <t>(05740)38307</t>
  </si>
  <si>
    <t>http://novoselivka-nv.edu.kh.ua</t>
  </si>
  <si>
    <t>Бірківський навчально-виховний комплекс (загальноосвітня школа І-ІІ ступенів - дошкільний навчальний заклад) Нововодолазької районної ради Харківської області</t>
  </si>
  <si>
    <t>63220</t>
  </si>
  <si>
    <t>6324255300</t>
  </si>
  <si>
    <t>(05740)69321</t>
  </si>
  <si>
    <t>http://birky-nvk.edu.kh.ua</t>
  </si>
  <si>
    <t>Липкуватівський навчально-виховний комплекс (загальноосвітня школа І-ІІІ ступенів - дошкільний навчальний заклад) Нововодолазької районної ради Харківської області</t>
  </si>
  <si>
    <t>63221</t>
  </si>
  <si>
    <t>6324255303</t>
  </si>
  <si>
    <t>Липкуватівка</t>
  </si>
  <si>
    <t>пл. Доценко, 4</t>
  </si>
  <si>
    <t>(05740)69-2-30</t>
  </si>
  <si>
    <t>Ватутінська загальноосвітня школа І -ІІІ ступенів Нововодолазької районної ради Харківської області комунальної власності</t>
  </si>
  <si>
    <t>63212</t>
  </si>
  <si>
    <t>6324280301</t>
  </si>
  <si>
    <t>Ватутіне</t>
  </si>
  <si>
    <t>(05740)68007</t>
  </si>
  <si>
    <t>http://vatutine-school.edu.kh.ua</t>
  </si>
  <si>
    <t>Федорівський навчально-виховний комплекс (загальноосвітня школа Іступеню - дошкільний навчальний заклад) Нововодолазької районної ради Харківської області</t>
  </si>
  <si>
    <t>63215</t>
  </si>
  <si>
    <t>6324280505</t>
  </si>
  <si>
    <t>(05740)63-2-40</t>
  </si>
  <si>
    <t>http://www.fedorivka-nv.edu.kh.ua</t>
  </si>
  <si>
    <t>Караванський НВК (загальноосвітня школа І-ІІІ ступенів - дошкільний навчальний заклад) Нововодолазької районної ради Харківської області</t>
  </si>
  <si>
    <t>63240</t>
  </si>
  <si>
    <t>6324281001</t>
  </si>
  <si>
    <t>0574064216</t>
  </si>
  <si>
    <t>http://karavan-nv.edu.kh.ua/</t>
  </si>
  <si>
    <t>Мелихівський навчально-виховний комплекс (загальноосвітня школа І-ІІІ ступенів - дошкільний навчальний заклад) Нововодолазької районної ради Харківської області</t>
  </si>
  <si>
    <t>63260</t>
  </si>
  <si>
    <t>6324282001</t>
  </si>
  <si>
    <t>Мелихівка</t>
  </si>
  <si>
    <t>вул. Центральна, 244</t>
  </si>
  <si>
    <t>(057-40)79219</t>
  </si>
  <si>
    <t>http://melyhivka-nvk.edu.kh.ua</t>
  </si>
  <si>
    <t>Охоченська загальноосвітня школа І-ІІІ ступенів Нововодолазької районної ради Харківської області</t>
  </si>
  <si>
    <t>63262</t>
  </si>
  <si>
    <t>6324283501</t>
  </si>
  <si>
    <t>Охоче</t>
  </si>
  <si>
    <t>60243</t>
  </si>
  <si>
    <t>http://ohoche-school.edu.kh</t>
  </si>
  <si>
    <t>Просянський навчально-виховний комплекс (загальноосвітня школа І -ІІІ ступенів - дошкільний навчальний заклад) Нововодолазької районної ради Харківської області</t>
  </si>
  <si>
    <t>63230</t>
  </si>
  <si>
    <t>6324284001</t>
  </si>
  <si>
    <t>Просяне</t>
  </si>
  <si>
    <t>(05740)77235</t>
  </si>
  <si>
    <t>Рокитненський навчально-виховний комплекс(загальноосвітня школа І - ІІІ ступенів - дошкільний навчальний заклад) Нововодолазької районної ради Харківської області</t>
  </si>
  <si>
    <t>63211</t>
  </si>
  <si>
    <t>6324284501</t>
  </si>
  <si>
    <t>(057-40)76-2-46</t>
  </si>
  <si>
    <t>http://rokitnenvk.ucoz.com</t>
  </si>
  <si>
    <t>Сосонівський навчально-виховний комплекс (загальноосвітня школа I-III ступенів - дошкільний навчальний заклад) Нововодолазької районної ради Харківської області</t>
  </si>
  <si>
    <t>63225</t>
  </si>
  <si>
    <t>6324284701</t>
  </si>
  <si>
    <t>Сосонівка</t>
  </si>
  <si>
    <t>(05740)62224</t>
  </si>
  <si>
    <t>http://sosonivka-nvk.edu.kh.ua</t>
  </si>
  <si>
    <t>Станичненська загальноосвітня школа І - ІІІ ступенів Нововодолазької районної ради Харківської області</t>
  </si>
  <si>
    <t>63232</t>
  </si>
  <si>
    <t>6324285001</t>
  </si>
  <si>
    <t>Станичне</t>
  </si>
  <si>
    <t>(05740)74282</t>
  </si>
  <si>
    <t>http://stanychne-school.edu.kh.ua</t>
  </si>
  <si>
    <t>Комінтернівська загальноосвітня школа І-ІІІ ступенів Нововодолазької районної ради Харківської області</t>
  </si>
  <si>
    <t>63235</t>
  </si>
  <si>
    <t>6324285006</t>
  </si>
  <si>
    <t>(05740)78235</t>
  </si>
  <si>
    <t>http://kominternschool.ucoz.ua</t>
  </si>
  <si>
    <t>Литовчанський навчально-виховний комплекс (загальноосвітня школа І ступеню - дошкільний навчальний заклад) Нововодолазької районної ради Харківської області</t>
  </si>
  <si>
    <t>63233</t>
  </si>
  <si>
    <t>6324285007</t>
  </si>
  <si>
    <t>Литовки</t>
  </si>
  <si>
    <t>вул. Вихорєва, 1</t>
  </si>
  <si>
    <t>(240)78278</t>
  </si>
  <si>
    <t>http://lytovky-nvk.edu.kh.ua</t>
  </si>
  <si>
    <t>ІІ Старовірівський навчально-виховний комплекс (загальноосвітня школа І-ІІ ступенів-дошкільний навчальний заклад) Нововодолазької районної ради Харківської області</t>
  </si>
  <si>
    <t>63250</t>
  </si>
  <si>
    <t>6324285501</t>
  </si>
  <si>
    <t>Старовірівка</t>
  </si>
  <si>
    <t>5-12-86</t>
  </si>
  <si>
    <t>http://2starovirivka-nv.edu.kh.ua/</t>
  </si>
  <si>
    <t>Старовірівська ЗОШ І-ІІІ ступенів Нововодолазької районної ради Харківської області</t>
  </si>
  <si>
    <t>(05740)51190</t>
  </si>
  <si>
    <t>http://starovirivka-nv.edu.kh.ua</t>
  </si>
  <si>
    <t>Старовірівський навчально-виховний комплекс (загальноосвітня школа І-ІІ ступенів - дошкільний навчальний заклад) Нововодолазької районної ради Харківської області</t>
  </si>
  <si>
    <t>63254</t>
  </si>
  <si>
    <t>вул. Полтавський шлях, 6</t>
  </si>
  <si>
    <t>(05740)51307</t>
  </si>
  <si>
    <t>http://3star.ucoz.ua</t>
  </si>
  <si>
    <t>Власівська загальноосвітня школа І-ІІ ступенів Нововодолазької районної ради Харківської області</t>
  </si>
  <si>
    <t>63258</t>
  </si>
  <si>
    <t>6324285504</t>
  </si>
  <si>
    <t>Палатки</t>
  </si>
  <si>
    <t>(05740)61282</t>
  </si>
  <si>
    <t>http://vlasivskaschool.ucoz.org</t>
  </si>
  <si>
    <t>Староводолазька загальноосвітня школа І-ІІІ ступенів Нововодолазької районної ради Харківської області</t>
  </si>
  <si>
    <t>63213</t>
  </si>
  <si>
    <t>6324286001</t>
  </si>
  <si>
    <t>Стара Водолага</t>
  </si>
  <si>
    <t>вул. Ребрика, 102</t>
  </si>
  <si>
    <t>(05740)66240</t>
  </si>
  <si>
    <t>http://staravodolaga-school.edu.kh.ua/</t>
  </si>
  <si>
    <t>Комунальний заклад "Олексіївський навчально-виховний комплекс "загальноосвітня школа І-ІІІ ступенів-дошкільні навчальні закади "ясла-садки" Первомайської районної державної адміністрації Харківської області"</t>
  </si>
  <si>
    <t>64122</t>
  </si>
  <si>
    <t>6324580501</t>
  </si>
  <si>
    <t>(248)73897</t>
  </si>
  <si>
    <t>http://olexiivka-prvo-rda.jimdo.com/</t>
  </si>
  <si>
    <t>Берецький навчально-виховний комплекс Первомайської районної державної адміністрації Харківської області</t>
  </si>
  <si>
    <t>64110</t>
  </si>
  <si>
    <t>6324581001</t>
  </si>
  <si>
    <t>Берека</t>
  </si>
  <si>
    <t>вул. Старооскольська, 28А</t>
  </si>
  <si>
    <t>(05748)72240</t>
  </si>
  <si>
    <t>http://bereka-prvo-rda.jimdo.com/</t>
  </si>
  <si>
    <t>Грушинський навчально-виховний комплекс Первомайської районної державної адміністрації Харківської області</t>
  </si>
  <si>
    <t>64131</t>
  </si>
  <si>
    <t>6324582501</t>
  </si>
  <si>
    <t>(79)2-40</t>
  </si>
  <si>
    <t>http://grushyno-prvo-rda.jimdo.com/</t>
  </si>
  <si>
    <t>Комунальний заклад "Троїцький навчально-виховний комплекс "загальноосвітня школа І-ІІІступенів -дошкільний навчальний заклад" Первомайської районної державної адміністрації Харківської області</t>
  </si>
  <si>
    <t>64113</t>
  </si>
  <si>
    <t>6324583502</t>
  </si>
  <si>
    <t>вул. Садова, 2, а</t>
  </si>
  <si>
    <t>0574891240</t>
  </si>
  <si>
    <t>http://bolshevik-prvo-rda.jimdo.com.</t>
  </si>
  <si>
    <t>Комунальний заклад "Червонівський навчально-виховний комплекс "загальноосвітня школа І-ІІІ ступенів - дошкільний навчальний заклад-(ясла-садок)"Первомайської районної державної адміністрації Харківської області"</t>
  </si>
  <si>
    <t>64132</t>
  </si>
  <si>
    <t>6324584705</t>
  </si>
  <si>
    <t>(05748)97-2-40</t>
  </si>
  <si>
    <t>http://chervon-prvo-rda.jimdo.com/</t>
  </si>
  <si>
    <t>Миронівський навчально-виховний комплекс Первомайської районної державної адміністрації Харківської області</t>
  </si>
  <si>
    <t>64134</t>
  </si>
  <si>
    <t>6324585001</t>
  </si>
  <si>
    <t>вул. Мироненко, 16</t>
  </si>
  <si>
    <t>(057)4871240</t>
  </si>
  <si>
    <t>http://myronivka-prvo-rda.jimdo.com/</t>
  </si>
  <si>
    <t>Комунальний заклад " Михайлівський навчально-виховний комплекс "загальноосвітня школа І-ІІ ступенів - дошкільний навчальний заклад" Первомайської районної державної адміністрації Харківської області"</t>
  </si>
  <si>
    <t>64143</t>
  </si>
  <si>
    <t>6324585501</t>
  </si>
  <si>
    <t>(05748)92-2-40</t>
  </si>
  <si>
    <t>http://mykhaylivka-prvo-rda.jimdo.com/</t>
  </si>
  <si>
    <t>Комунальний заклад "Одрадівський навчально-виховний комплекс "загальноосвітня школа І-ІІІ ступенів - дошкільний навчальний заклад" Первомайської районної державної адміністрації Харківської області"</t>
  </si>
  <si>
    <t>64142</t>
  </si>
  <si>
    <t>6324586001</t>
  </si>
  <si>
    <t>Одрадове</t>
  </si>
  <si>
    <t>(66)2-40</t>
  </si>
  <si>
    <t>Комунальний заклад "Слобідський навчально-виховний комплекс "загальноосвітня школа І-ІІІ ступенів - дошкільний підрозділ - дитячий садок " Первомайської районної державної адміністрації Харківської області"</t>
  </si>
  <si>
    <t>64123</t>
  </si>
  <si>
    <t>6324586201</t>
  </si>
  <si>
    <t>Слобідське</t>
  </si>
  <si>
    <t>(05748)70-2-99</t>
  </si>
  <si>
    <t>http://pravda-prvo-rda.jimdo.com</t>
  </si>
  <si>
    <t>Шульський навчально-виховний комплекс Первомайської районної державної адміністрації Харківської області</t>
  </si>
  <si>
    <t>64152</t>
  </si>
  <si>
    <t>6324586504</t>
  </si>
  <si>
    <t>Шульське</t>
  </si>
  <si>
    <t>(05748)77240</t>
  </si>
  <si>
    <t>http://shulske-prvo-rda.jimdo.com/</t>
  </si>
  <si>
    <t>Комунальний заклад "Ржавчицький навчально-виховний комплекс "загальноосвітня школа І-ІІ ступенів - дошкільний навчальний заклад "ясла-садок" Первомайської районної державної адміністрації Харківської області"</t>
  </si>
  <si>
    <t>64135</t>
  </si>
  <si>
    <t>6324586801</t>
  </si>
  <si>
    <t>Ржавчик</t>
  </si>
  <si>
    <t>вул. Садова, 38</t>
  </si>
  <si>
    <t>(95)2-40</t>
  </si>
  <si>
    <t>http://rjavchik-prvo-rda.jimdo.com</t>
  </si>
  <si>
    <t>Біляївський навчально-виховний комплекс "загальноосвітня школа І-ІІІ ступенів - дошкільний навчальний заклад (ясла-садок)" Первомайської районної державної адміністрації Харківської області</t>
  </si>
  <si>
    <t>64141</t>
  </si>
  <si>
    <t>6324587002</t>
  </si>
  <si>
    <t>вул. Лозівська</t>
  </si>
  <si>
    <t>(05748)94-2-40</t>
  </si>
  <si>
    <t>http://bilyaevka-prvo-rda.jimbo.com</t>
  </si>
  <si>
    <t>Печенізька загальноосвітня школа І-ІІІ ступенів ім. Г. Семирадського Печенізької районної ради Харківської області</t>
  </si>
  <si>
    <t>62801</t>
  </si>
  <si>
    <t>6324655100</t>
  </si>
  <si>
    <t>Печеніги</t>
  </si>
  <si>
    <t>вул. Незалежності, 48</t>
  </si>
  <si>
    <t>(05765)61327</t>
  </si>
  <si>
    <t>http://semyradske04.at.ua</t>
  </si>
  <si>
    <t>Артемівський навчально-виховний комплекс "дошкільний навчальний заклад-загальноосвітня школа І-ІІІ ступенів" Печенізької районної ради Харківської області</t>
  </si>
  <si>
    <t>62821</t>
  </si>
  <si>
    <t>6324680501</t>
  </si>
  <si>
    <t>Артемівка</t>
  </si>
  <si>
    <t>вул. Камишева, 2А</t>
  </si>
  <si>
    <t>(065)65486</t>
  </si>
  <si>
    <t>http://art-nvk.at.ua/</t>
  </si>
  <si>
    <t>Мартівська загальноосвітня школа І-ІІІ ступенів Печенізької районної ради Харківської області</t>
  </si>
  <si>
    <t>62820</t>
  </si>
  <si>
    <t>6324683501</t>
  </si>
  <si>
    <t>Мартове</t>
  </si>
  <si>
    <t>вул. Харківська, 2</t>
  </si>
  <si>
    <t>(63)3-92</t>
  </si>
  <si>
    <t>http://mart-zoch.at.ua/</t>
  </si>
  <si>
    <t>Новобурлуцький навчально - виховний комплекс " дошкільний навчальний заклад - загальноосвітня школа І-ІІ ступенів" Печенізької районної ради Харківської області</t>
  </si>
  <si>
    <t>62822</t>
  </si>
  <si>
    <t>6324684001</t>
  </si>
  <si>
    <t>Новий Бурлук</t>
  </si>
  <si>
    <t>(057)65-63-237</t>
  </si>
  <si>
    <t>http://nbnvk.at.ua</t>
  </si>
  <si>
    <t>Комунальний заклад "Сахновщинський навчально-реабілітаційний центр" Харківської обласної ради</t>
  </si>
  <si>
    <t>64501</t>
  </si>
  <si>
    <t>6324855100</t>
  </si>
  <si>
    <t>Сахновщина</t>
  </si>
  <si>
    <t>вул. Тарасів Шлях, 69</t>
  </si>
  <si>
    <t>(05762)31806</t>
  </si>
  <si>
    <t>http://snrc.org.ua</t>
  </si>
  <si>
    <t>23003107</t>
  </si>
  <si>
    <t>Сахновщинська ЗОШ І-ІІІ ступенів № 1 Сахновщинської районної ради Харківської області</t>
  </si>
  <si>
    <t>вул. Полтавська, 14</t>
  </si>
  <si>
    <t>(05762)31930, (05762)31580</t>
  </si>
  <si>
    <t>Сахновщинська загальноосвітня школа І-ІІІ ступенів № 2 Сахновщинської районної ради Харківської області</t>
  </si>
  <si>
    <t>вул. Остапченка, 40А</t>
  </si>
  <si>
    <t>(05762)31098</t>
  </si>
  <si>
    <t>http://sakhnov-school2.edu.kh.ua/</t>
  </si>
  <si>
    <t>23145959</t>
  </si>
  <si>
    <t>Сугарівська загальноосвітня школа І-ІІІ ступенів Сахновщинської районної ради Харківської області</t>
  </si>
  <si>
    <t>64508</t>
  </si>
  <si>
    <t>6324855102</t>
  </si>
  <si>
    <t>Сугарівське</t>
  </si>
  <si>
    <t>(05762)23125</t>
  </si>
  <si>
    <t>Багаточернещинська загальноосвітня школа І-ІІІ ступенів Сахновщинської районної ради Харківської області</t>
  </si>
  <si>
    <t>64560</t>
  </si>
  <si>
    <t>6324881001</t>
  </si>
  <si>
    <t>Багата Чернещина</t>
  </si>
  <si>
    <t>2-36-25</t>
  </si>
  <si>
    <t>Гришівський навчально-виховний комплекс Сахновщинської районної ради Харківської області</t>
  </si>
  <si>
    <t>64522</t>
  </si>
  <si>
    <t>6324882002</t>
  </si>
  <si>
    <t>Гришівка</t>
  </si>
  <si>
    <t>0576223933</t>
  </si>
  <si>
    <t>http://hryshevka.edu.kh.ua</t>
  </si>
  <si>
    <t>Дубовогрядська загальноосвітня школа І-ІІІ ступенів Сахновщинської районної ради Харківської області</t>
  </si>
  <si>
    <t>64563</t>
  </si>
  <si>
    <t>6324882501</t>
  </si>
  <si>
    <t>Дубові Гряди</t>
  </si>
  <si>
    <t>(057)62-263-31</t>
  </si>
  <si>
    <t>http://dubovi-hriady.edu.kh.ua</t>
  </si>
  <si>
    <t>Катеринівський навчально-виховний комплекс Сахновщинської районної ради Харківської області</t>
  </si>
  <si>
    <t>64552</t>
  </si>
  <si>
    <t>6324883001</t>
  </si>
  <si>
    <t>(05762)24618, (05762)24631</t>
  </si>
  <si>
    <t>http://katerynivka-sakhnov.edu.kh.ua</t>
  </si>
  <si>
    <t>Лебедівський навчально-виховний комплекс Сахновщинської районної ради Харківської області</t>
  </si>
  <si>
    <t>6324883501</t>
  </si>
  <si>
    <t>(05762)2-57-40</t>
  </si>
  <si>
    <t>Лигівський навчально-виховний комплекс Сахновщинської районної ради Харківської області</t>
  </si>
  <si>
    <t>64514</t>
  </si>
  <si>
    <t>6324884001</t>
  </si>
  <si>
    <t>Лигівка</t>
  </si>
  <si>
    <t>(05762)2-43-89</t>
  </si>
  <si>
    <t>http://lyhivka-nvk.edu.kh.ua</t>
  </si>
  <si>
    <t>Новоолександрівська загальноосвітня школа І-ІІІ ступенів Сахновщинської районної ради Харківської області</t>
  </si>
  <si>
    <t>64550</t>
  </si>
  <si>
    <t>6324884501</t>
  </si>
  <si>
    <t>вул. Чкалова, 24</t>
  </si>
  <si>
    <t>(262)2-34-10</t>
  </si>
  <si>
    <t>http://novooleks-sakhnov.edu.kh.ua</t>
  </si>
  <si>
    <t>Новочернещинська загальноосвітня школа І - ІІ ступенів Сахновщинської районної ради Харківської області</t>
  </si>
  <si>
    <t>64530</t>
  </si>
  <si>
    <t>6324885001</t>
  </si>
  <si>
    <t>Нова Чернещина</t>
  </si>
  <si>
    <t>вул. Дружби, 83</t>
  </si>
  <si>
    <t>(05762)24734</t>
  </si>
  <si>
    <t>http://nova.klasna.com</t>
  </si>
  <si>
    <t>Костянтинівська загальноосвітня школа І-ІІІ ступенів Сахновщинської районної ради Харківської області</t>
  </si>
  <si>
    <t>64531</t>
  </si>
  <si>
    <t>6324885003</t>
  </si>
  <si>
    <t>вул. Центральна, №11</t>
  </si>
  <si>
    <t>(057)6223745</t>
  </si>
  <si>
    <t>http://kostiantynivska-zosh.kh.sch.in.ua</t>
  </si>
  <si>
    <t>Огіївський навчально-виховний комплекс Сахновщинської районної ради Харківської області</t>
  </si>
  <si>
    <t>64532</t>
  </si>
  <si>
    <t>6324885501</t>
  </si>
  <si>
    <t>http://ogiivka.edu.kh.ua</t>
  </si>
  <si>
    <t>Олійниківська загальноосвітня школа І-ІІІ ступенів Сахновщинської районної ради Харківської області</t>
  </si>
  <si>
    <t>64510</t>
  </si>
  <si>
    <t>6324886001</t>
  </si>
  <si>
    <t>Олійники</t>
  </si>
  <si>
    <t>(05762)24434</t>
  </si>
  <si>
    <t>Тавежнянська ЗОШ І-ІІІ ступенів Сахновщинської районної ради Харківської області</t>
  </si>
  <si>
    <t>64561</t>
  </si>
  <si>
    <t>6324886501</t>
  </si>
  <si>
    <t>Тавежня</t>
  </si>
  <si>
    <t>вул. Шуліки, 50 а</t>
  </si>
  <si>
    <t>(05762)25169</t>
  </si>
  <si>
    <t>http://WWW.tavegnia.edu.kh.ua</t>
  </si>
  <si>
    <t>Шевченківська загальноосвітня школа І-ІІІ ступенів Сахновщинської районної ради Харківської області</t>
  </si>
  <si>
    <t>64513</t>
  </si>
  <si>
    <t>6324887001</t>
  </si>
  <si>
    <t>(05762)25337</t>
  </si>
  <si>
    <t>http://shevch-sakhnov.edu.kh.ua/</t>
  </si>
  <si>
    <t>Комунальний заклад "Мереф'янська загальноосвітня школа І - ІІІ ступенів № 4" Мереф'янської міської ради Харківської області</t>
  </si>
  <si>
    <t>62472</t>
  </si>
  <si>
    <t>6325110700</t>
  </si>
  <si>
    <t>Мерефа</t>
  </si>
  <si>
    <t>вул. Кримська, 69</t>
  </si>
  <si>
    <t>7483324</t>
  </si>
  <si>
    <t>http://merefa-school4.edu.kh.ua/</t>
  </si>
  <si>
    <t>Комунальний заклад "Мереф'янська загальноосвітня школа І-ІІІ ступенів № 3" Мереф'янської міської ради Харківської області</t>
  </si>
  <si>
    <t>вул. Лесі Українки, 68</t>
  </si>
  <si>
    <t>748-34-87</t>
  </si>
  <si>
    <t>Комунальний заклад "Мереф'янська загальноосвітня школа І-ІІІ ступенів № 6" Мереф'янської міської ради Харківської області</t>
  </si>
  <si>
    <t>вул. 5 Вересня, 87</t>
  </si>
  <si>
    <t>(057)7483290, (057)7484536</t>
  </si>
  <si>
    <t>http://merefa-school6.edu.kh.ua/</t>
  </si>
  <si>
    <t>КЗ "Мереф'янська загальноосвітня школа І-ІІІ ступенів № 1" Мереф'янської міської ради Харківської області</t>
  </si>
  <si>
    <t>вул. Савченка, 25</t>
  </si>
  <si>
    <t>7483194</t>
  </si>
  <si>
    <t>комунальний заклад "Мереф'янський ліцей імені Героя Радянського Союзу В.П.Мірошниченка" Мереф'янської міської ради Харківської області</t>
  </si>
  <si>
    <t>62473</t>
  </si>
  <si>
    <t>вул. Мірошниченка, 63</t>
  </si>
  <si>
    <t>(057)7485114</t>
  </si>
  <si>
    <t>http://merefa-lyceum.edu.kh.ua</t>
  </si>
  <si>
    <t>Комунальний заклад "Мереф’янський медичний ліцей" Мереф’янської міської ради Харківської області</t>
  </si>
  <si>
    <t>вул. Дніпровська, 233</t>
  </si>
  <si>
    <t>http://merefa-medlyceum.edu.kh.ua/</t>
  </si>
  <si>
    <t>комунальний заклад "Мереф'янська загальноосвітня школа І-ІІІ ступенів № 7" Мереф'янської міської ради Харківської області</t>
  </si>
  <si>
    <t>62478</t>
  </si>
  <si>
    <t>6325110701</t>
  </si>
  <si>
    <t>Селекційне</t>
  </si>
  <si>
    <t>вул. Овочівників, 43</t>
  </si>
  <si>
    <t>(057)7489130</t>
  </si>
  <si>
    <t>http://merefa-school7.edu.kh.ua</t>
  </si>
  <si>
    <t>Південна загальноосвітня школа І-ІІІ ступенів № 2 Харківської районної ради Харківської області</t>
  </si>
  <si>
    <t>62463</t>
  </si>
  <si>
    <t>6325111000</t>
  </si>
  <si>
    <t>вул. Освіти, 32</t>
  </si>
  <si>
    <t>7466209</t>
  </si>
  <si>
    <t>Південний ліцей Харківської районної ради Харківської області</t>
  </si>
  <si>
    <t>62461</t>
  </si>
  <si>
    <t>вул. Б.Тасуя, 54</t>
  </si>
  <si>
    <t>7466347</t>
  </si>
  <si>
    <t>http://pivdenne-lyceum.edu.kh.ua</t>
  </si>
  <si>
    <t>Бабаївська загальноосвітня школа І-ІІІ ступенів імені Героя Радянського Союзу Потапенка П.О. Харківської районної ради Харківської області</t>
  </si>
  <si>
    <t>62403</t>
  </si>
  <si>
    <t>6325155300</t>
  </si>
  <si>
    <t>Бабаї</t>
  </si>
  <si>
    <t>(057)7458294</t>
  </si>
  <si>
    <t>http://babai.edu.kh.ua</t>
  </si>
  <si>
    <t>Безлюдівська загальноосвітня школа І-ІІІ ступенів Харківської районної ради Харківської області</t>
  </si>
  <si>
    <t>62489</t>
  </si>
  <si>
    <t>6325155600</t>
  </si>
  <si>
    <t>Безлюдівка</t>
  </si>
  <si>
    <t>вул. Перемоги, 177</t>
  </si>
  <si>
    <t>(057)7496115</t>
  </si>
  <si>
    <t>Безлюдівський юридичний ліцей імені Героя Радянського Союзу І.Я. Підкопая Харківської районної ради Харківської області</t>
  </si>
  <si>
    <t>62490</t>
  </si>
  <si>
    <t>вул. Перемоги, 144А</t>
  </si>
  <si>
    <t>749-67-37, 749-66-32</t>
  </si>
  <si>
    <t>Березівська загальноосвітня школа І-ІІІ ступенів Харківської районної ради Харківської області</t>
  </si>
  <si>
    <t>62457</t>
  </si>
  <si>
    <t>6325155800</t>
  </si>
  <si>
    <t>пл. Свято-Іллінська, 1</t>
  </si>
  <si>
    <t>(057)7466203</t>
  </si>
  <si>
    <t>http://berezivka.edu.kh.ua/</t>
  </si>
  <si>
    <t>Будянська загальнооосвітня школа І-ІІІ ступенів № 2 Харківської районної ради Харківської області</t>
  </si>
  <si>
    <t>62456</t>
  </si>
  <si>
    <t>6325156100</t>
  </si>
  <si>
    <t>вул. Соборна, 90</t>
  </si>
  <si>
    <t>(0572)746-02-12</t>
  </si>
  <si>
    <t>Будянський ліцей Харківської районної ради Харківської області</t>
  </si>
  <si>
    <t>вул. Пушкіна, 18</t>
  </si>
  <si>
    <t>7460976</t>
  </si>
  <si>
    <t>http://budy-lyceum.edu.kh.ua/</t>
  </si>
  <si>
    <t>Васищевська загальноосвітня школа І-ІІІ ступенів Харківської районної ради Харківської області</t>
  </si>
  <si>
    <t>62495</t>
  </si>
  <si>
    <t>6325156400</t>
  </si>
  <si>
    <t>Васищеве</t>
  </si>
  <si>
    <t>вул. Орєшкова, 35</t>
  </si>
  <si>
    <t>7490350</t>
  </si>
  <si>
    <t>http://vasyscheve.edu.kh.ua/</t>
  </si>
  <si>
    <t>Височанська загальноосвітня школа І-ІІІ ступенів № 2 Харківської районної ради Харківської області</t>
  </si>
  <si>
    <t>62459</t>
  </si>
  <si>
    <t>6325156700</t>
  </si>
  <si>
    <t>Високий</t>
  </si>
  <si>
    <t>(057)746-46-39</t>
  </si>
  <si>
    <t>http://vysokiy-school2.edu.kh.ua</t>
  </si>
  <si>
    <t>Височанська спеціалізована загальноосвітня школа І - ІІІ ступенів з поглибленим вивченням англійської мови ім. Героя Радянського Союзу О.Л. Пшенички Харківської районної ради Харківської області</t>
  </si>
  <si>
    <t>вул. Кооперативна, 17</t>
  </si>
  <si>
    <t>(057)7464408</t>
  </si>
  <si>
    <t>Зеленогайська загальноосвітня школа І-ІІІ ступенів Харківської районної ради Харківської області</t>
  </si>
  <si>
    <t>62460</t>
  </si>
  <si>
    <t>просп. Зеленогайський, 43/15</t>
  </si>
  <si>
    <t>(057)7464268</t>
  </si>
  <si>
    <t>http://zelenyihai.edu.kh.ua</t>
  </si>
  <si>
    <t>Комунальний заклад "Зеленогайський спеціальний загальноосвітній навчально-виховний комплекс (дошкільний навчальний заклад - школа-інтернат I-II ступенів)" Харківської обласної ради</t>
  </si>
  <si>
    <t>вул. Театральна, 10</t>
  </si>
  <si>
    <t>(057)7464543, (057)7464533, (057)7465584</t>
  </si>
  <si>
    <t>http://zelenogaj-nvk.org.ua/</t>
  </si>
  <si>
    <t>14107285</t>
  </si>
  <si>
    <t>Коротичанський ліцей Харківської районної ради Харківської області</t>
  </si>
  <si>
    <t>62454</t>
  </si>
  <si>
    <t>6325157000</t>
  </si>
  <si>
    <t>Коротич</t>
  </si>
  <si>
    <t>вул. Освіти, 59 а</t>
  </si>
  <si>
    <t>7424993</t>
  </si>
  <si>
    <t>http://korotych.edu.kr.ua</t>
  </si>
  <si>
    <t>Кутузівська загальноосвітня школа І-ІІІ ступенів Харківської районної ради Харківської області</t>
  </si>
  <si>
    <t>62405</t>
  </si>
  <si>
    <t>6325157308</t>
  </si>
  <si>
    <t>Кутузівка</t>
  </si>
  <si>
    <t>7472034</t>
  </si>
  <si>
    <t>Елітнянська загальноосвітня школа І-ІІІ ступенів Харківської районної ради Харківської області</t>
  </si>
  <si>
    <t>62408</t>
  </si>
  <si>
    <t>6325157312</t>
  </si>
  <si>
    <t>Елітне</t>
  </si>
  <si>
    <t>(057)7477404</t>
  </si>
  <si>
    <t>http://radgospne.edu.kh.ua</t>
  </si>
  <si>
    <t>Слобідська загальноосвітня школа І-ІІІ ступенів Харківської районної ради Харківської області</t>
  </si>
  <si>
    <t>62407</t>
  </si>
  <si>
    <t>6325157313</t>
  </si>
  <si>
    <t>7403004</t>
  </si>
  <si>
    <t>http://frunze.edu.kh.ua</t>
  </si>
  <si>
    <t>Манченківська загальноосвітня школа І-ІІІ ступенів Харківської районної ради Харківської області</t>
  </si>
  <si>
    <t>62448</t>
  </si>
  <si>
    <t>6325157600</t>
  </si>
  <si>
    <t>Манченки</t>
  </si>
  <si>
    <t>(38057)7419658</t>
  </si>
  <si>
    <t>Пісочинська загальноосвітня школа І-ІІІ ступенів Харківської районної ради Харківської області</t>
  </si>
  <si>
    <t>62416</t>
  </si>
  <si>
    <t>6325157900</t>
  </si>
  <si>
    <t>Пісочин</t>
  </si>
  <si>
    <t>(057)7427266</t>
  </si>
  <si>
    <t>Пісочинський колегіум Харківської районної ради Харківської області</t>
  </si>
  <si>
    <t>вул. Клубна, 5</t>
  </si>
  <si>
    <t>(057)742-72-96, (057)742-72-69</t>
  </si>
  <si>
    <t>http://pisochyn-collegium.edu.kh.ua</t>
  </si>
  <si>
    <t>Пісочинська загальноосвітня школа І-ІІІ ступенів "Мобіль" Харківської районної ради Харківської області---- Н</t>
  </si>
  <si>
    <t>62418</t>
  </si>
  <si>
    <t>вул. Технологічна, 4А</t>
  </si>
  <si>
    <t>Покотилівська загальноосвітня школа І-ІІІ ступенів № 2 Харківської районної ради Харківської області</t>
  </si>
  <si>
    <t>62458</t>
  </si>
  <si>
    <t>6325158200</t>
  </si>
  <si>
    <t>Покотилівка</t>
  </si>
  <si>
    <t>вул. Науки, 5</t>
  </si>
  <si>
    <t>745-62-67</t>
  </si>
  <si>
    <t>Покотилівський ліцей "Промінь" Харківської районної ради Харківської області</t>
  </si>
  <si>
    <t>вул. Кооперативна, 20</t>
  </si>
  <si>
    <t>(057)745-62-56</t>
  </si>
  <si>
    <t>http://promin.edu.kh.ua</t>
  </si>
  <si>
    <t>Роганська гімназія Роганської селищної ради Харківського району Харківської області</t>
  </si>
  <si>
    <t>62481</t>
  </si>
  <si>
    <t>6325158500</t>
  </si>
  <si>
    <t>Рогань</t>
  </si>
  <si>
    <t>вул. Культури, 66</t>
  </si>
  <si>
    <t>(057)7407279</t>
  </si>
  <si>
    <t>http://rogan-gymnasium.edu.kh.ua/</t>
  </si>
  <si>
    <t>Роганський аграрний ліцей Роганської селищної ради Харківського району Харківської області</t>
  </si>
  <si>
    <t>62483</t>
  </si>
  <si>
    <t>6325158502</t>
  </si>
  <si>
    <t>Докучаєвське</t>
  </si>
  <si>
    <t>вул. учбове містечко ХНАУ</t>
  </si>
  <si>
    <t>(057)997856</t>
  </si>
  <si>
    <t>Комунальний заклад "Утківська загальноосвітня школа І-ІІІ ступенів" Мереф'янської міської ради Харківської області</t>
  </si>
  <si>
    <t>62471</t>
  </si>
  <si>
    <t>6325158800</t>
  </si>
  <si>
    <t>Утківка</t>
  </si>
  <si>
    <t>вул. Слобожанська, 85</t>
  </si>
  <si>
    <t>(057)7489811</t>
  </si>
  <si>
    <t>http://utkivka.edu.kh.ua</t>
  </si>
  <si>
    <t>Хорошівська загальноосвітня школа І-ІІІ ступенів Харківської районної ради Харківської області</t>
  </si>
  <si>
    <t>62466</t>
  </si>
  <si>
    <t>6325159100</t>
  </si>
  <si>
    <t>Хорошеве</t>
  </si>
  <si>
    <t>вул. Культури/Горького, 35/1</t>
  </si>
  <si>
    <t>7499367</t>
  </si>
  <si>
    <t>http://horoshevo.edu.kh.ua</t>
  </si>
  <si>
    <t>Веселівська загальноосвітня школа І-ІІІ ступенів Харківської районної ради Харківської області</t>
  </si>
  <si>
    <t>62420</t>
  </si>
  <si>
    <t>6325180501</t>
  </si>
  <si>
    <t>вул. Харазії, 6</t>
  </si>
  <si>
    <t>7477636</t>
  </si>
  <si>
    <t>Глибоківська загальноосвітня школа І-ІІІ ступенів Харківської районної ради Харківської області</t>
  </si>
  <si>
    <t>62410</t>
  </si>
  <si>
    <t>6325180701</t>
  </si>
  <si>
    <t>(057)7470903</t>
  </si>
  <si>
    <t>http://hlubokoe.edu.kh.ua</t>
  </si>
  <si>
    <t>Стрілечанська загальноосвітня школа І-ІІ ступенів Харківської районної ради Харківської області</t>
  </si>
  <si>
    <t>62411</t>
  </si>
  <si>
    <t>6325180707</t>
  </si>
  <si>
    <t>Стрілеча</t>
  </si>
  <si>
    <t>(057)747-04-03</t>
  </si>
  <si>
    <t>http://stryleche.edu.kh.ua</t>
  </si>
  <si>
    <t>Лизогубівська загальноосвітня школа І-ІІІ ступенів Харківської районної ради Харківської області</t>
  </si>
  <si>
    <t>62492</t>
  </si>
  <si>
    <t>6325181501</t>
  </si>
  <si>
    <t>Лизогубівка</t>
  </si>
  <si>
    <t>(057)7493271</t>
  </si>
  <si>
    <t>http://www.lyzogubivka.edu.kh.ua</t>
  </si>
  <si>
    <t>Слобожанська загальноосвітня школа I-III ступенів Харківської районної ради Харківської області</t>
  </si>
  <si>
    <t>62414</t>
  </si>
  <si>
    <t>6325182001</t>
  </si>
  <si>
    <t>Липці</t>
  </si>
  <si>
    <t>вул. Пушкінська, 10</t>
  </si>
  <si>
    <t>(057)7471640</t>
  </si>
  <si>
    <t>http://lyptsi-zhovtneva.edu.kh.ua/</t>
  </si>
  <si>
    <t>Липецька загальноосвітня школа І-ІІІ ступенів імені П.В.Щепкіна Харківської районної ради Харківської області</t>
  </si>
  <si>
    <t>(057)7471240</t>
  </si>
  <si>
    <t>http://lyptsi-schepkina.edu.kh.ua</t>
  </si>
  <si>
    <t>Липецька загальноосвітня школа І-ІІІ ступенів Харківської районної ради Харківської області</t>
  </si>
  <si>
    <t>вул. Веселівська, 19</t>
  </si>
  <si>
    <t>(057)7471140</t>
  </si>
  <si>
    <t>http://lyptsi.edu.kh.ua</t>
  </si>
  <si>
    <t>Лук'янцівська загальноосвітня школа І-ІІІ ступенів Харківської районної ради Харківської області</t>
  </si>
  <si>
    <t>62413</t>
  </si>
  <si>
    <t>6325182301</t>
  </si>
  <si>
    <t>Лук'янці</t>
  </si>
  <si>
    <t>(057)7473337</t>
  </si>
  <si>
    <t>http://Lukyantsi.edu.kh.ua</t>
  </si>
  <si>
    <t>Борисівська загальноосвітня школа І-ІІ ступенів імені Д.І.Яворницького Харківської районної ради Харківської області</t>
  </si>
  <si>
    <t>62412</t>
  </si>
  <si>
    <t>6325182303</t>
  </si>
  <si>
    <t>(057)7470540</t>
  </si>
  <si>
    <t>http://borysivka.edu.kh.ua/</t>
  </si>
  <si>
    <t>Малороганська загальноосвітня школа І-ІІІ ступенів Харківської районної ради Харківської області</t>
  </si>
  <si>
    <t>62485</t>
  </si>
  <si>
    <t>6325182501</t>
  </si>
  <si>
    <t>Мала Рогань</t>
  </si>
  <si>
    <t>пров. Культури, 8</t>
  </si>
  <si>
    <t>7408407</t>
  </si>
  <si>
    <t>http://malarogan.edu.kh.ua</t>
  </si>
  <si>
    <t>Пономаренківська загальноосвітня школа І - ІІІ ступенів Роганської селищної ради Харківського району Харківської області</t>
  </si>
  <si>
    <t>62480</t>
  </si>
  <si>
    <t>6325183009</t>
  </si>
  <si>
    <t>Хроли</t>
  </si>
  <si>
    <t>вул. Олімпійська, 8</t>
  </si>
  <si>
    <t>7409298</t>
  </si>
  <si>
    <t>http://ponomarenkivska.edu.kh.ua</t>
  </si>
  <si>
    <t>Русько-Тишківська загальноосвітня школа І-ІІІ ступенів Харківської районної ради Харківської області</t>
  </si>
  <si>
    <t>62440</t>
  </si>
  <si>
    <t>6325183501</t>
  </si>
  <si>
    <t>Руські Тишки</t>
  </si>
  <si>
    <t>вул. Липецька, 100А</t>
  </si>
  <si>
    <t>7473574</t>
  </si>
  <si>
    <t>http://ruskityshky.edu.kh.ua/</t>
  </si>
  <si>
    <t>Вільхівська загальноосвітня школа І-ІІІ ступенів Харківської районної ради Харківської області</t>
  </si>
  <si>
    <t>62431</t>
  </si>
  <si>
    <t>6325184001</t>
  </si>
  <si>
    <t>(057)7478948</t>
  </si>
  <si>
    <t>http://vilkhivka.edu.kh.ua</t>
  </si>
  <si>
    <t>Тернівський навчально - виховний комплекс "Загальноосвітня навчальний заклад І-ІІ ступенів - дошкільний навчальний заклад (ясла - садок)" Харківської районної ради Харківської області</t>
  </si>
  <si>
    <t>62421</t>
  </si>
  <si>
    <t>6325184501</t>
  </si>
  <si>
    <t>Тернова</t>
  </si>
  <si>
    <t>вул. Світла, 15А</t>
  </si>
  <si>
    <t>(057)74-70-144</t>
  </si>
  <si>
    <t>Переможанська загальноосвітня школа І-ІІІ ступенів Харківської районної ради Харківської області</t>
  </si>
  <si>
    <t>62422</t>
  </si>
  <si>
    <t>6325184502</t>
  </si>
  <si>
    <t>0577470744</t>
  </si>
  <si>
    <t>http://peremoga.edu.kh.ua</t>
  </si>
  <si>
    <t>Циркунівська загальноосвітня школа І-ІІІ ступенів Харківської районної ради Харківської області</t>
  </si>
  <si>
    <t>62441</t>
  </si>
  <si>
    <t>6325185001</t>
  </si>
  <si>
    <t>Циркуни</t>
  </si>
  <si>
    <t>(057)7479954</t>
  </si>
  <si>
    <t>Яковлівська загальноосвітня школа І-ІІІ ступенів Харківської районної ради Харківської області</t>
  </si>
  <si>
    <t>62470</t>
  </si>
  <si>
    <t>6325185501</t>
  </si>
  <si>
    <t>(057)748-62-25</t>
  </si>
  <si>
    <t>http://http//yakovlivka.edu.kh.ua</t>
  </si>
  <si>
    <t>Введенський навчально-виховний комплекс Чугуївської районної ради Харківської області</t>
  </si>
  <si>
    <t>63520</t>
  </si>
  <si>
    <t>6325455300</t>
  </si>
  <si>
    <t>вул. Олега Горбачова, 150</t>
  </si>
  <si>
    <t>(05746)95168</t>
  </si>
  <si>
    <t>http://vvedenskiynvk.ucoz.ru/</t>
  </si>
  <si>
    <t>Тернівський навчально-виховний комплекс Чугуївської районної ради Харківської області</t>
  </si>
  <si>
    <t>63521</t>
  </si>
  <si>
    <t>6325455304</t>
  </si>
  <si>
    <t>вул. Радянська, 251</t>
  </si>
  <si>
    <t>95-171</t>
  </si>
  <si>
    <t>Комунальний заклад "Кочетоцька загальноосвітня санаторна школа-інтернат І-ІІІ ступенів" Харківської обласної ради</t>
  </si>
  <si>
    <t>63513</t>
  </si>
  <si>
    <t>6325455600</t>
  </si>
  <si>
    <t>Кочеток</t>
  </si>
  <si>
    <t>вул. Радужна, 41</t>
  </si>
  <si>
    <t>(05746)2-62-17</t>
  </si>
  <si>
    <t>http://kochetok-internat.org</t>
  </si>
  <si>
    <t>22647400</t>
  </si>
  <si>
    <t>Кочетоцька загальноосвітня школа I-III ступенів Чугуївської районної ради Харківської області</t>
  </si>
  <si>
    <t>вул. Осіння, 18</t>
  </si>
  <si>
    <t>(05746)93311</t>
  </si>
  <si>
    <t>Малинівська гімназія Чугуївської районної ради Харківської області</t>
  </si>
  <si>
    <t>63525</t>
  </si>
  <si>
    <t>6325455900</t>
  </si>
  <si>
    <t>вул. Михайлівська, 71</t>
  </si>
  <si>
    <t>(05746)35024, (05746)35032</t>
  </si>
  <si>
    <t>http://malin_gimnazium.klasna.com</t>
  </si>
  <si>
    <t>Малинівська загальноосвітня школа І-ІІІ ступенів Чугуївської районної ради Харківської області</t>
  </si>
  <si>
    <t>вул. Дзержинського, 120</t>
  </si>
  <si>
    <t>(05746)35534</t>
  </si>
  <si>
    <t>http://www.malynivka-school.edu.kh.ua/</t>
  </si>
  <si>
    <t>Новопокровський навчально-виховний комплекс Чугуївської районної ради Харківської області</t>
  </si>
  <si>
    <t>63523</t>
  </si>
  <si>
    <t>6325456200</t>
  </si>
  <si>
    <t>вул. Гагаріна, 32</t>
  </si>
  <si>
    <t>(05746)32424</t>
  </si>
  <si>
    <t>Чкаловський навчально-виховний комплекс Чкаловської селищної ради Чугуївського району Харківської області</t>
  </si>
  <si>
    <t>63544</t>
  </si>
  <si>
    <t>6325456700</t>
  </si>
  <si>
    <t>Чкаловське</t>
  </si>
  <si>
    <t>вул. Гагаріна, 27</t>
  </si>
  <si>
    <t>(057)4651235</t>
  </si>
  <si>
    <t>http://chkalovskschool.at.ua/</t>
  </si>
  <si>
    <t>Новогнилицька філія І - ІІ ступенів Чкаловського навчально-виховного комплексу Чкаловської селищної ради Чугуївського району Харківської області</t>
  </si>
  <si>
    <t>63542</t>
  </si>
  <si>
    <t>6325456704</t>
  </si>
  <si>
    <t>Нова Гнилиця</t>
  </si>
  <si>
    <t>вул. Леніна (Центральна), 89А</t>
  </si>
  <si>
    <t>(05746)73264</t>
  </si>
  <si>
    <t>Есхарівська загальноосвітня школа І-ІІІ ступенів Чугуївської районної ради Харківської області</t>
  </si>
  <si>
    <t>63524</t>
  </si>
  <si>
    <t>6325456800</t>
  </si>
  <si>
    <t>Есхар</t>
  </si>
  <si>
    <t>вул. Молодіжна, 2,4</t>
  </si>
  <si>
    <t>(05746)30174</t>
  </si>
  <si>
    <t>http://eskhar-school.edu.kh.ua/</t>
  </si>
  <si>
    <t>Комунальний заклад "Ліцей з посиленою військово-фізичною підготовкою "Патріот"" Харківської обласної ради</t>
  </si>
  <si>
    <t>(05746)30173</t>
  </si>
  <si>
    <t>http://hvl.org.ua/</t>
  </si>
  <si>
    <t>22647376</t>
  </si>
  <si>
    <t>Базаліївська загальноосвітня школа І-ІІІ ступенів Чкаловської селищної ради Чугуївського району Харківської області</t>
  </si>
  <si>
    <t>63531</t>
  </si>
  <si>
    <t>6325481001</t>
  </si>
  <si>
    <t>Базаліївка</t>
  </si>
  <si>
    <t>(05746)76384</t>
  </si>
  <si>
    <t>http://bazschool1903.at.ua</t>
  </si>
  <si>
    <t>Великобабчанський навчально-виховний комплекс Чугуївської районної ради Харківської області</t>
  </si>
  <si>
    <t>63510</t>
  </si>
  <si>
    <t>6325482001</t>
  </si>
  <si>
    <t>Велика Бабка</t>
  </si>
  <si>
    <t>вул. Перемоги, 24</t>
  </si>
  <si>
    <t>(05746)96217</t>
  </si>
  <si>
    <t>http://clasna.com</t>
  </si>
  <si>
    <t>Волохово-Ярський навчально-виховний комплекс Чугуївської районної ради Харківської області</t>
  </si>
  <si>
    <t>63552</t>
  </si>
  <si>
    <t>6325482501</t>
  </si>
  <si>
    <t>Волохів Яр</t>
  </si>
  <si>
    <t>(05746)70337</t>
  </si>
  <si>
    <t>http://www.volokhiv-yar.at.ua</t>
  </si>
  <si>
    <t>Граківський навчально-виховний комплекс Чугуївської районної ради Харківської області</t>
  </si>
  <si>
    <t>6325483001</t>
  </si>
  <si>
    <t>Гракове</t>
  </si>
  <si>
    <t>вул. Перемоги, 12</t>
  </si>
  <si>
    <t>(05746)73275</t>
  </si>
  <si>
    <t>Зарожненський навчально-виховний комплекс Чугуївської районної ради Харківської області</t>
  </si>
  <si>
    <t>63511</t>
  </si>
  <si>
    <t>6325483301</t>
  </si>
  <si>
    <t>Зарожне</t>
  </si>
  <si>
    <t>(05746)75-2-49</t>
  </si>
  <si>
    <t>http://zarozschne.ucoz.ru</t>
  </si>
  <si>
    <t>Іванівський навчально-виховний комплекс Чкаловської селищної ради Чугуївського району Харківської області</t>
  </si>
  <si>
    <t>63551</t>
  </si>
  <si>
    <t>6325483401</t>
  </si>
  <si>
    <t>(05746)91221</t>
  </si>
  <si>
    <t>http://ivanivka-nvk12.webnode.com.ua/</t>
  </si>
  <si>
    <t>Кам'яноярузький навчально-виховний комплекс Чугуївської районної ради Харківської області</t>
  </si>
  <si>
    <t>63512</t>
  </si>
  <si>
    <t>6325483501</t>
  </si>
  <si>
    <t>Кам'яна Яруга</t>
  </si>
  <si>
    <t>(057)92252</t>
  </si>
  <si>
    <t>КОРОБОЧКИНСЬКИИ НАВЧАЛЬНО-ВИХОВНИЙ КОМПЛЕКС ЧКАЛОВСЬКОЇ СЕЛИЩНОЇ РАДИ ЧУГУЇВСЬКОГО РАЙОНУ ХАРКІВСЬКОЇ ОБЛАСТІ</t>
  </si>
  <si>
    <t>63540</t>
  </si>
  <si>
    <t>6325484001</t>
  </si>
  <si>
    <t>Коробочкине</t>
  </si>
  <si>
    <t>вул. Миру, 132Б</t>
  </si>
  <si>
    <t>(05746)71159</t>
  </si>
  <si>
    <t>http://korobochkyne-nvk.edu.kh.ua/</t>
  </si>
  <si>
    <t>Леб'язький навчально-виховний комплекс Чкаловської селищної ради Чугуївського району Харківської області</t>
  </si>
  <si>
    <t>63530</t>
  </si>
  <si>
    <t>6325484501</t>
  </si>
  <si>
    <t>Леб'яже</t>
  </si>
  <si>
    <t>(05746)98215</t>
  </si>
  <si>
    <t>http://Lebegeshkola.klasna.com</t>
  </si>
  <si>
    <t>Мосьпанівський навчально-виховний комплекс Чугуївської районної ради Харківської області</t>
  </si>
  <si>
    <t>63550</t>
  </si>
  <si>
    <t>6325485501</t>
  </si>
  <si>
    <t>Мосьпанове</t>
  </si>
  <si>
    <t>вул. Маслова, 1А</t>
  </si>
  <si>
    <t>(057)4678243</t>
  </si>
  <si>
    <t>Старогнилицький навчально виховний комплекс Чугуївської районної ради Харківської області</t>
  </si>
  <si>
    <t>63541</t>
  </si>
  <si>
    <t>6325486501</t>
  </si>
  <si>
    <t>Стара Гнилиця</t>
  </si>
  <si>
    <t>(05746)79229</t>
  </si>
  <si>
    <t>http://stara-gnylytsia.edu.kh.ua</t>
  </si>
  <si>
    <t>Старопокровська загальноосвітня школа І-ІІІ ступенів Чугуївської районної ради Харківської області</t>
  </si>
  <si>
    <t>6325487001</t>
  </si>
  <si>
    <t>Стара Покровка</t>
  </si>
  <si>
    <t>вул. Миру, 52А</t>
  </si>
  <si>
    <t>(05746)30458</t>
  </si>
  <si>
    <t>Шевченківська загальноосвітня школа № 1 І-ІІІ ступенів Шевченківської районної ради Харківської області</t>
  </si>
  <si>
    <t>63601</t>
  </si>
  <si>
    <t>6325755100</t>
  </si>
  <si>
    <t>(0251)5-15-93</t>
  </si>
  <si>
    <t>http://shev-gymnasium.at.ua/</t>
  </si>
  <si>
    <t>Шевченківський ліцей Шевченківської районної ради Харківської області</t>
  </si>
  <si>
    <t>(0251)51285</t>
  </si>
  <si>
    <t>Безм’ятежненський навчально-виховний комплекс загальноосвітня школа І-ІІІ ступенів-дошкільний навчальний заклад Шевченківської районної ради Харківської області</t>
  </si>
  <si>
    <t>63652</t>
  </si>
  <si>
    <t>6325781501</t>
  </si>
  <si>
    <t>Безмятежне</t>
  </si>
  <si>
    <t>(05751)55440</t>
  </si>
  <si>
    <t>Борівська загальноосвітня школа І-ІІІ ступенів Шевченківської районної ради Харківської області</t>
  </si>
  <si>
    <t>63661</t>
  </si>
  <si>
    <t>6325782501</t>
  </si>
  <si>
    <t>вул. 40 років Перемоги, 27</t>
  </si>
  <si>
    <t>(05751)55740</t>
  </si>
  <si>
    <t>https://sites.google.com/site/borzsh1980/</t>
  </si>
  <si>
    <t>Василенківська загальноосвітня школа I-II ступенів Шевченківської районної ради Харківської області</t>
  </si>
  <si>
    <t>63620</t>
  </si>
  <si>
    <t>6325783001</t>
  </si>
  <si>
    <t>Василенкове</t>
  </si>
  <si>
    <t>вул. Верхня, 6</t>
  </si>
  <si>
    <t>(05751)5-47-40</t>
  </si>
  <si>
    <t>Великохутірська загальноосвітня школа І-ІІІ ступенів Шевченківської районної ради Харківської області</t>
  </si>
  <si>
    <t>63611</t>
  </si>
  <si>
    <t>6325783501</t>
  </si>
  <si>
    <t>Великі Хутори</t>
  </si>
  <si>
    <t>вул. 40-річчя Перемоги, 85</t>
  </si>
  <si>
    <t>(057)5154440</t>
  </si>
  <si>
    <t>http://velyki-khutory.edu.kh.ua/</t>
  </si>
  <si>
    <t>Гетьманівський навчально-виховний комплекс загальноосвітня школа I-III ступенів-дошкільний навчальний заклад Шевченківської районної ради Харківської області</t>
  </si>
  <si>
    <t>63621</t>
  </si>
  <si>
    <t>6325784501</t>
  </si>
  <si>
    <t>Гетьманівка</t>
  </si>
  <si>
    <t>(057)5154244</t>
  </si>
  <si>
    <t>http://hetmanivskashkola.klasna.com/</t>
  </si>
  <si>
    <t>Новомиколаївська загальноосвітня школа І-ІІІ ступенів Шевченківської районної ради Харківської області</t>
  </si>
  <si>
    <t>63630</t>
  </si>
  <si>
    <t>6325785501</t>
  </si>
  <si>
    <t>вул. Миру, 150</t>
  </si>
  <si>
    <t>(05751)53240</t>
  </si>
  <si>
    <t>Петрівська загальноосвітня школа I-III ступенів Шевченківської районної ради Харківської області</t>
  </si>
  <si>
    <t>63614</t>
  </si>
  <si>
    <t>6325785701</t>
  </si>
  <si>
    <t>(05751)55293</t>
  </si>
  <si>
    <t>Семенівська загальноосвітня школа І-ІІ ступенів Шевченківської районної ради Харківської області</t>
  </si>
  <si>
    <t>63641</t>
  </si>
  <si>
    <t>6325785901</t>
  </si>
  <si>
    <t>(05751)53356</t>
  </si>
  <si>
    <t>Сподобівська загальноосвітня школа І-ІІ ступенів Шевченківської районної ради Харківської області</t>
  </si>
  <si>
    <t>63670</t>
  </si>
  <si>
    <t>6325786001</t>
  </si>
  <si>
    <t>Сподобівка</t>
  </si>
  <si>
    <t>вул. Кропивницького, 32</t>
  </si>
  <si>
    <t>(05751)56340</t>
  </si>
  <si>
    <t>http://spodobivka.edu.kh.ua</t>
  </si>
  <si>
    <t>Старовірівська загальноосвітня школа І-ІІІ ступенів імені двічі Героя Радянського Союзу А.Г.Кравченка Шевченківської районної ради Харківської області</t>
  </si>
  <si>
    <t>63631</t>
  </si>
  <si>
    <t>6325786501</t>
  </si>
  <si>
    <t>вул. Шкільна, 60А</t>
  </si>
  <si>
    <t>(057)5-56-44</t>
  </si>
  <si>
    <t>http://starshkola.webnode.com.ua/</t>
  </si>
  <si>
    <t>Антонівська загальноосвітня школа І-ІІІ ступенів № 18 Херсонської міської ради</t>
  </si>
  <si>
    <t>73486</t>
  </si>
  <si>
    <t>6510100000</t>
  </si>
  <si>
    <t>Херсонська область</t>
  </si>
  <si>
    <t>Херсон</t>
  </si>
  <si>
    <t>вул. Херсонська, 83</t>
  </si>
  <si>
    <t>0552314155</t>
  </si>
  <si>
    <t>http://shkola18.ucoz.ua</t>
  </si>
  <si>
    <t>Жовтневська школа-сад № 86 Херсонської міської ради</t>
  </si>
  <si>
    <t>73484</t>
  </si>
  <si>
    <t>вул. Жовтневе</t>
  </si>
  <si>
    <t>(0552)362147</t>
  </si>
  <si>
    <t>Херсонська багатопрофільна гімназія № 20 імені Бориса Лавреньова Херсонської міської ради</t>
  </si>
  <si>
    <t>73000</t>
  </si>
  <si>
    <t>вул. Віктора Гошкевича, 2</t>
  </si>
  <si>
    <t>(0552)491306</t>
  </si>
  <si>
    <t>http://gimnaziya20.ks.ua/</t>
  </si>
  <si>
    <t>Херсонська гімназія № 3 Херсонської міської ради</t>
  </si>
  <si>
    <t>73021</t>
  </si>
  <si>
    <t>вул. Патона, 15</t>
  </si>
  <si>
    <t>(0552)273460</t>
  </si>
  <si>
    <t>http://school3.ostrov.net.ua</t>
  </si>
  <si>
    <t>Херсонська загальноосвітня школа I-III ступенів № 53 Херсонської міської ради</t>
  </si>
  <si>
    <t>73008</t>
  </si>
  <si>
    <t>вул. Шовкуненко, 86А</t>
  </si>
  <si>
    <t>(0552)517956</t>
  </si>
  <si>
    <t>http://www.school53.ks.ua</t>
  </si>
  <si>
    <t>Херсонська загальноосвітня школа І -ІІІ ступенів № 35 Херсонської міської ради</t>
  </si>
  <si>
    <t>пров. Смоленський, 80</t>
  </si>
  <si>
    <t>(0552)223582</t>
  </si>
  <si>
    <t>Херсонська загальноосвітня школа І-ІІ ступенів № 14 Херсонської міської ради</t>
  </si>
  <si>
    <t>73025</t>
  </si>
  <si>
    <t>вул. Гетьмана Сагайдачного, 20</t>
  </si>
  <si>
    <t>(0552)224189, (0552)263339</t>
  </si>
  <si>
    <t>http://www.shcola14ks.ua</t>
  </si>
  <si>
    <t>Херсонська загальноосвітня школа І-ІІ ступенів № 16 із вивченням мов національних меншин Херсонської міської ради</t>
  </si>
  <si>
    <t>(0552)467404</t>
  </si>
  <si>
    <t>http://znz16.ks.ua</t>
  </si>
  <si>
    <t>польська,англійська,німецька,грецька</t>
  </si>
  <si>
    <t>Херсонська загальноосвітня школа І-ІІІ ступенів № 28 ім. О.С.Пушкіна Херсонської міської ради</t>
  </si>
  <si>
    <t>пров. Маяковського, 1</t>
  </si>
  <si>
    <t>(0552)224285</t>
  </si>
  <si>
    <t>http://www.school28.ks.ua</t>
  </si>
  <si>
    <t>Херсонська загальноосвітня школа І-ІІІ ступенів № 13 Херсонської міської ради</t>
  </si>
  <si>
    <t>вул. Церковна, 19</t>
  </si>
  <si>
    <t>(0552)22-54-68</t>
  </si>
  <si>
    <t>Херсонська загальноосвітня школа І-ІІІ ступенів № 32 Херсонської міської ради</t>
  </si>
  <si>
    <t>73005</t>
  </si>
  <si>
    <t>вул. Перекопська, 165</t>
  </si>
  <si>
    <t>(0552)35-49-38, (0552)35-49-37</t>
  </si>
  <si>
    <t>http://znz32.ks.ua</t>
  </si>
  <si>
    <t>Херсонська загальноосвітня школа І-ІІІ ступенів № 46 Херсонської міської ради</t>
  </si>
  <si>
    <t>73011</t>
  </si>
  <si>
    <t>вул. Фрітаун, 82</t>
  </si>
  <si>
    <t>8(0552)26-94-88</t>
  </si>
  <si>
    <t>Херсонська загальноосвітня школа ІІ-ІІІ ступенів № 34 Херсонської міської ради</t>
  </si>
  <si>
    <t>вул. Червонофлотська, 32</t>
  </si>
  <si>
    <t>(0552)460563, (0552)460068</t>
  </si>
  <si>
    <t>Херсонська спеціалізована школа І - ІІІ ступенів № 57 з поглибленим вивченням іноземних мов Херсонської міської ради</t>
  </si>
  <si>
    <t>вул. Шенгелія, 9</t>
  </si>
  <si>
    <t>(0552)275854</t>
  </si>
  <si>
    <t>http://Sh57kherson.at.ua</t>
  </si>
  <si>
    <t>Херсонська спеціалізована школа І-ІІІ ступенів № 24 із поглибленим вивченням математики, фізики та англійської мови Херсонської міської ради</t>
  </si>
  <si>
    <t>73039</t>
  </si>
  <si>
    <t>вул. Карбишева, 32</t>
  </si>
  <si>
    <t>(0552)23-87-68</t>
  </si>
  <si>
    <t>Херсонська спеціалізована школа І-ІІІ ступенів № 54 з поглибленим вивченням іспанської та інших інозенмих мов Херсонської міської ради</t>
  </si>
  <si>
    <t>73020</t>
  </si>
  <si>
    <t>вул. Л.Заменгофа, 6А</t>
  </si>
  <si>
    <t>0552291911</t>
  </si>
  <si>
    <t>http://school54.com.ua/</t>
  </si>
  <si>
    <t>Херсонська спеціалізована школа І-ІІІ ступенів № 30 з поглибленим вивченням предметів природничо-математичного циклу та англійської мови Херсонської міської ради</t>
  </si>
  <si>
    <t>73013</t>
  </si>
  <si>
    <t>(0552)225794</t>
  </si>
  <si>
    <t>http://30.ks.ua</t>
  </si>
  <si>
    <t>Херсонська спеціальна загальноосвітня школа -інтернат І-ІІІ ступенів Херсонської обласної ради</t>
  </si>
  <si>
    <t>вул. Петренка, 77</t>
  </si>
  <si>
    <t>(0552)495060, (0552)495440</t>
  </si>
  <si>
    <t>24749317</t>
  </si>
  <si>
    <t>Херсонське Недержавне навчально-виховне об'єднання "Дощкільний заклад - спеціалізована школа I-III ступенів "ХАБАД" з поглибленним вивченням івриту та англійської мови"</t>
  </si>
  <si>
    <t>73027</t>
  </si>
  <si>
    <t>вул. Стрітенська, 1А</t>
  </si>
  <si>
    <t>(0552)428325</t>
  </si>
  <si>
    <t>Херсонський академічний ліцей імені О. В. Мішукова Херсонської міської ради при Херсонському державному університеті</t>
  </si>
  <si>
    <t>вул. 40 років Жовтня, 27</t>
  </si>
  <si>
    <t>(0552)326777, (0552)321634, (0552)321021</t>
  </si>
  <si>
    <t>http://lyceum.com.ua</t>
  </si>
  <si>
    <t>21309865</t>
  </si>
  <si>
    <t>польська,англійська,німецька,французька,іспанська</t>
  </si>
  <si>
    <t>Херсонський навчально-виховний комплекс " Дошкільний навчальний заклад - загальноосвітня школа І-ІІІ ступенів" № 15 Херсонської міської ради</t>
  </si>
  <si>
    <t>73026</t>
  </si>
  <si>
    <t>пров. Комбайновий, 13</t>
  </si>
  <si>
    <t>(0552)494367, (0552)491096</t>
  </si>
  <si>
    <t>Херсонський навчально-виховний комплекс "Дошкільний навчальний заклад - загальноосвітня школа І-ІІІ ступенів" № 33 Херсонської міської ради</t>
  </si>
  <si>
    <t>73032</t>
  </si>
  <si>
    <t>вул. Кольцова, 52</t>
  </si>
  <si>
    <t>(0552)337390</t>
  </si>
  <si>
    <t>http://33.ks.ua</t>
  </si>
  <si>
    <t>Херсонський навчально-виховний комплекс "Дошкільний навчальний заклад - спеціалізована школа з поглибленим вивченням англійської мови І ступеня - гімназія" № 56 Херсонської міської ради</t>
  </si>
  <si>
    <t>вул. 49 Гвардійської дивізії, 9</t>
  </si>
  <si>
    <t>(055)2437201, (055)2437202</t>
  </si>
  <si>
    <t>Херсонський навчально-виховний комплекс "Дошкільний навчальний заклад комбінованого типу - спеціальна загальноосвітня школа І ступеня" № 29 Херсонської міської ради</t>
  </si>
  <si>
    <t>73028</t>
  </si>
  <si>
    <t>вул. 28 Армії, 21</t>
  </si>
  <si>
    <t>(0552)352795</t>
  </si>
  <si>
    <t>Херсонський навчально-виховний комплекс "Дошкільний навчальний заклад-загальноосвітня школа І-ІІ ступенів" № 8 Херсонської міської ради</t>
  </si>
  <si>
    <t>73009</t>
  </si>
  <si>
    <t>вул. Антона Головатого, 7</t>
  </si>
  <si>
    <t>(0552)293074</t>
  </si>
  <si>
    <t>Херсонський навчально-виховний комплекс-загальноосвітня школа І-ІІІ ступенів № 9 Херсонської міської ради</t>
  </si>
  <si>
    <t>вул. Патона, 11</t>
  </si>
  <si>
    <t>(0552)270003</t>
  </si>
  <si>
    <t>Херсонська загальноосвітня школа-інтернат І-ІІІ ст. ім. Т.Г.Шевченка Херсонської обласної ради</t>
  </si>
  <si>
    <t>6510136300</t>
  </si>
  <si>
    <t>Херсон, Дніпровський район</t>
  </si>
  <si>
    <t>вул. Пугачова, 101</t>
  </si>
  <si>
    <t>23130722</t>
  </si>
  <si>
    <t>Молодіжна загальноосвітня школа-сад І-ІІ ступенів № 40 Херсонської міської ради</t>
  </si>
  <si>
    <t>73487</t>
  </si>
  <si>
    <t>вул. Мічуріна, 6</t>
  </si>
  <si>
    <t>361136</t>
  </si>
  <si>
    <t>http://40sch-sad.jimdo.com</t>
  </si>
  <si>
    <t>24114607</t>
  </si>
  <si>
    <t>Херсонська загальноосвітня школа І-ІІІ ступенів № 36 Херсонської міської ради</t>
  </si>
  <si>
    <t>73036</t>
  </si>
  <si>
    <t>вул. Перекопська, 173 А</t>
  </si>
  <si>
    <t>(0552)312842</t>
  </si>
  <si>
    <t>http://khschool36.ucoz.ua</t>
  </si>
  <si>
    <t>Херсонська загальноосвітня школа І-ІІІ ступенів № 37 ім. В. Дробота Херсонської міської ради</t>
  </si>
  <si>
    <t>вул. Кіндійське шосе, 32А</t>
  </si>
  <si>
    <t>(0552)357823</t>
  </si>
  <si>
    <t>Херсонська загальноосвітня школа І-ІІІ ступенів № 39 "Школа-родина" Херсонської міської ради</t>
  </si>
  <si>
    <t>73030</t>
  </si>
  <si>
    <t>вул. 1 Текстильна, 1</t>
  </si>
  <si>
    <t>35-64-25</t>
  </si>
  <si>
    <t>24116530</t>
  </si>
  <si>
    <t>Херсонська загальноосвітня школа І-ІІІ ступенів № 50 Херсонської міської ради</t>
  </si>
  <si>
    <t>вул. Кримська, 135</t>
  </si>
  <si>
    <t>(0552)518898</t>
  </si>
  <si>
    <t>http://www.school50.ucoz.ua</t>
  </si>
  <si>
    <t>Херсонська спеціалізована школа І-ІІІ ступенів № 12 з поглибленим вивченням французької мови Херсонської міської ради</t>
  </si>
  <si>
    <t>вул. Фурманова, 1</t>
  </si>
  <si>
    <t>(0552)359307, (0552)359313</t>
  </si>
  <si>
    <t>24115498</t>
  </si>
  <si>
    <t>Херсонська спеціалізована школа І-ІІІ ступенів № 52 з поглибленим вивченням української мови Херсонської міської ради</t>
  </si>
  <si>
    <t>вул. Кримська, 127</t>
  </si>
  <si>
    <t>(0552)516067, (0552)515931, (0552)320487</t>
  </si>
  <si>
    <t>Херсонський загальноосвітній навчально-виховний комплекс № 48 Херсонської міської ради</t>
  </si>
  <si>
    <t>вул. 28 Армії, 14</t>
  </si>
  <si>
    <t>(0552)352794, (0552)352797</t>
  </si>
  <si>
    <t>http://www.nvk48.ks.ua</t>
  </si>
  <si>
    <t>24115038</t>
  </si>
  <si>
    <t>Херсонський навчально - виховний комплекс "Дошкільний навчальний заклад -загальноосвітня школа І ступеня - гімназія" № 7 Херсонської міської ради</t>
  </si>
  <si>
    <t>вул. Перекопська, 171А</t>
  </si>
  <si>
    <t>(0552)35-49-43</t>
  </si>
  <si>
    <t>37959674</t>
  </si>
  <si>
    <t>Херсонський фізико-технічний ліцей Херсонської міської ради при Херсонському національному технічному університеті та Дніпропетровському національному університеті</t>
  </si>
  <si>
    <t>вул. Залаегерсег, 39</t>
  </si>
  <si>
    <t>(0552)519411</t>
  </si>
  <si>
    <t>Херсонський центр освіти молоді та дорослих Херсонської міської ради</t>
  </si>
  <si>
    <t>вул. Університетська, 145А</t>
  </si>
  <si>
    <t>(0552)51-79-95, (0552)51-79-96</t>
  </si>
  <si>
    <t>Комунальний заклад "Навчально-виховний комплекс "Школа гуманітарної праці" Херсонської обласної ради</t>
  </si>
  <si>
    <t>6510136600</t>
  </si>
  <si>
    <t>Херсон, Комсомольський район</t>
  </si>
  <si>
    <t>(0552)454702</t>
  </si>
  <si>
    <t>http://sgt.ks.ua</t>
  </si>
  <si>
    <t>35870144</t>
  </si>
  <si>
    <t>Херсонська загальноосвітня школа І ступеня № 25 Херсонської міської ради</t>
  </si>
  <si>
    <t>вул. Воронцовська, 15А</t>
  </si>
  <si>
    <t>(0552)223371</t>
  </si>
  <si>
    <t>Херсонська гімназія № 1 Херсонської міської ради</t>
  </si>
  <si>
    <t>просп. Святих Кирила та Мефодія, 17Б</t>
  </si>
  <si>
    <t>(0552)291155</t>
  </si>
  <si>
    <t>http://school1.com.ua</t>
  </si>
  <si>
    <t>Херсонська загальноосвітня школа І-ІІ ступенів № 2 Херсонської міської ради</t>
  </si>
  <si>
    <t>73001</t>
  </si>
  <si>
    <t>вул. Білоруська, 1</t>
  </si>
  <si>
    <t>(0552)469538</t>
  </si>
  <si>
    <t>http://school2ks.klasna.com/</t>
  </si>
  <si>
    <t>Херсонська загальноосвітня школа І-ІІ ступенів № 5 Херсонської міської ради</t>
  </si>
  <si>
    <t>вул. Сухарна, 9/4</t>
  </si>
  <si>
    <t>(0552)465212</t>
  </si>
  <si>
    <t>Херсонська загальноосвітня школа І-ІІІ ступенів № 47 Херсонської міської ради</t>
  </si>
  <si>
    <t>вул. Філатова, 30</t>
  </si>
  <si>
    <t>(0552)226167, (0552)226094</t>
  </si>
  <si>
    <t>http://ksschool47.ucoz.ua</t>
  </si>
  <si>
    <t>Херсонська загальноосвітня школа І-ІІІ ступенів № 55 Херсонської міської ради</t>
  </si>
  <si>
    <t>вул. Лавреньова, 9Б</t>
  </si>
  <si>
    <t>(0552)29-14-60, (0552)29-21-83, (0552)29-51-80</t>
  </si>
  <si>
    <t>http://shkola55.ucoz.com</t>
  </si>
  <si>
    <t>Херсонський загальноосвітній навчально-виховний комплекс № 11 Херсонської міської ради</t>
  </si>
  <si>
    <t>73033</t>
  </si>
  <si>
    <t>вул. Робоча, 205</t>
  </si>
  <si>
    <t>(0552)291715</t>
  </si>
  <si>
    <t>Херсонський ліцей Херсонської обласної ради</t>
  </si>
  <si>
    <t>вул. Полтавська, 89</t>
  </si>
  <si>
    <t>(0552)292071, (0552)297153</t>
  </si>
  <si>
    <t>http://www.hlor.ks.ua</t>
  </si>
  <si>
    <t>21295850</t>
  </si>
  <si>
    <t>Херсонський навчально-виховний комплекс "загальноосвітня школа І ступеня - спеціалізована школа ІІ ступеня - колегіум" № 51 ім. Г.О. Потьомкіна Херсонської міської ради</t>
  </si>
  <si>
    <t>просп. Будівельників, 9</t>
  </si>
  <si>
    <t>(0552)29-09-35</t>
  </si>
  <si>
    <t>http://www.51.ks.ua</t>
  </si>
  <si>
    <t>Херсонський навчально-виховний комплекс "Загальноосвітня школа ІІ ст-ліцей журналістики, економіки та правознавства" Херсонської міської ради</t>
  </si>
  <si>
    <t>вул. Р.Люксембург, 17</t>
  </si>
  <si>
    <t>(0552)428067, (0552)428183, (0552)428212</t>
  </si>
  <si>
    <t>http://nvk-licey.ucoz.ua</t>
  </si>
  <si>
    <t>Херсонська гімназія № 6 Херсонської міської ради</t>
  </si>
  <si>
    <t>6510136900</t>
  </si>
  <si>
    <t>Херсон, Суворовський район</t>
  </si>
  <si>
    <t>вул. Пестеля, 4</t>
  </si>
  <si>
    <t>(0552)225858</t>
  </si>
  <si>
    <t>Херсонська загальноосвітня школа I-III ступенів № 44 Херсонської міської ради</t>
  </si>
  <si>
    <t>73040</t>
  </si>
  <si>
    <t>вул. Академіка Тарле, 10</t>
  </si>
  <si>
    <t>(0552)371581</t>
  </si>
  <si>
    <t>http://44school.ucoz.com</t>
  </si>
  <si>
    <t>Херсонська загальноосвітня школа І-ІІІ ступенів № 45 Херсонської міської ради</t>
  </si>
  <si>
    <t>вул. Тарле, 12</t>
  </si>
  <si>
    <t>0552331092</t>
  </si>
  <si>
    <t>http://school-life.ks.ua/</t>
  </si>
  <si>
    <t>Херсонська загальноосвітня школа І-ІІІ ступенів № 41 Херсонської міської ради</t>
  </si>
  <si>
    <t>вул. Карбишева, 30</t>
  </si>
  <si>
    <t>0552323232</t>
  </si>
  <si>
    <t>http://school41.ks.ua</t>
  </si>
  <si>
    <t>Херсонська загальноосвітя школа І-ІІІ ступенів № 4 Херсонської міської ради</t>
  </si>
  <si>
    <t>73042</t>
  </si>
  <si>
    <t>вул. Кости Хетагурова, 59</t>
  </si>
  <si>
    <t>(0552)37-28-97, (0552)37-28-53</t>
  </si>
  <si>
    <t>http://school-4.ks.ua</t>
  </si>
  <si>
    <t>Херсонська спеціалізована школа I- ІІІ ступенів № 31 з поглибленим вивченням історії, права та іноземних мов Херсонської міської ради</t>
  </si>
  <si>
    <t>вул. пр. Ушакова, 79А</t>
  </si>
  <si>
    <t>(0552)494106</t>
  </si>
  <si>
    <t>http://www.kherson-school31.ks.ua/</t>
  </si>
  <si>
    <t>Херсонська спеціалізована школа І-ІІІ ступенів № 27 з поглибленим вивченням інфомратики та іноземних мов Херсонської міської ради</t>
  </si>
  <si>
    <t>73034</t>
  </si>
  <si>
    <t>вул. полковника Кедровського (Будьонного), 8А</t>
  </si>
  <si>
    <t>(0552)33-72-50, (0552)33-77-72, (0552)33-74-82</t>
  </si>
  <si>
    <t>http://school27.ks.ua</t>
  </si>
  <si>
    <t>Херсонська спеціальна загальноосвітня школа № 1 Херсонської міської ради</t>
  </si>
  <si>
    <t>73003</t>
  </si>
  <si>
    <t>262308</t>
  </si>
  <si>
    <t>Херсонське вище училище фізичної культури Херсонської обласної ради</t>
  </si>
  <si>
    <t>вул. Петра Калнишевського, 2А</t>
  </si>
  <si>
    <t>(0552)422808, (0552)222632</t>
  </si>
  <si>
    <t>21295614</t>
  </si>
  <si>
    <t>Херсонський Таврійський ліцей мистецтв Херсонської міської ради</t>
  </si>
  <si>
    <t>вул. Блюхера, 44</t>
  </si>
  <si>
    <t>(0552)376540, (0552)376581, (0552)426486</t>
  </si>
  <si>
    <t>http://htlm.com.ua</t>
  </si>
  <si>
    <t>21295719</t>
  </si>
  <si>
    <t>Антонівська загальноосвітня школа І-ІІІ ступенів № 21 Херсонської міської ради</t>
  </si>
  <si>
    <t>73485</t>
  </si>
  <si>
    <t>6510165300</t>
  </si>
  <si>
    <t>вул. Будьоного, 2</t>
  </si>
  <si>
    <t>(0552)360724</t>
  </si>
  <si>
    <t>Зеленівська загальноосвітня школа І-ІІІ ступенів № 38 Херсонської міської ради</t>
  </si>
  <si>
    <t>73481</t>
  </si>
  <si>
    <t>6510165600</t>
  </si>
  <si>
    <t>вул. Степова, 20 А</t>
  </si>
  <si>
    <t>(7814)0552365271</t>
  </si>
  <si>
    <t>Сонячний навчально-виховний комплекс "Дошкільний навчальний заклад - загальноосвітня школа І-ІІІ ступенів" № 43</t>
  </si>
  <si>
    <t>73482</t>
  </si>
  <si>
    <t>6510165605</t>
  </si>
  <si>
    <t>вул. Робітнича, 3</t>
  </si>
  <si>
    <t>(0552)39-18-23</t>
  </si>
  <si>
    <t>Комишанська загальноосвітня школа І-ІІІ ступенів № 26 Херсонської міської ради</t>
  </si>
  <si>
    <t>73490</t>
  </si>
  <si>
    <t>6510166400</t>
  </si>
  <si>
    <t>Комишани</t>
  </si>
  <si>
    <t>вул. Радянська, 60</t>
  </si>
  <si>
    <t>43-87-19</t>
  </si>
  <si>
    <t>http://www.sch-26.ks.ua</t>
  </si>
  <si>
    <t>Степанівська загальноосвітня школа І-ІІІ ступенів № 17 Херсонської міської ради</t>
  </si>
  <si>
    <t>73488</t>
  </si>
  <si>
    <t>6510192501</t>
  </si>
  <si>
    <t>вул. Дж. Говарда, 63</t>
  </si>
  <si>
    <t>((0552))37-37-90</t>
  </si>
  <si>
    <t>Голопристанська загальноосвітня школа І-ІІІ ступенів № 1, Голопристанської міської ради Херсонської області</t>
  </si>
  <si>
    <t>75600</t>
  </si>
  <si>
    <t>6510300000</t>
  </si>
  <si>
    <t>Гола Пристань</t>
  </si>
  <si>
    <t>(05539)21425</t>
  </si>
  <si>
    <t>24952857</t>
  </si>
  <si>
    <t>Голопристанська загальноосвітня школа І-ІІІ ступенів № 4 Голопристанської міської ради Херсонської області</t>
  </si>
  <si>
    <t>вул. 1 Травня, 38</t>
  </si>
  <si>
    <t>(05539)2-24-14, (05539)2-12-62</t>
  </si>
  <si>
    <t>24952811</t>
  </si>
  <si>
    <t>Голопристанська спеціалізована школа І-ІІІ ступенів з поглибленим вивченням предметів філологічного та природничо - математичного циклів Голопристанської міської ради Херсонської області</t>
  </si>
  <si>
    <t>вул. 1 Травня, 21</t>
  </si>
  <si>
    <t>(05539)21295, (05539)21136</t>
  </si>
  <si>
    <t>http://gprystan-zosh3.edukit.kherson.ua</t>
  </si>
  <si>
    <t>24952840</t>
  </si>
  <si>
    <t>Голопристанський навчально-виховний комплекс "Гімназія-спеціалізована школа І ступеня з поглибленим вивченням предметів художнього профілю" Голопристанської міської ради Херсонської області</t>
  </si>
  <si>
    <t>75602</t>
  </si>
  <si>
    <t>вул. Ларіонова, 132</t>
  </si>
  <si>
    <t>(05539)78534</t>
  </si>
  <si>
    <t>24949944</t>
  </si>
  <si>
    <t>Каховська загальноосвітня школа І-ІІІ ступенів № 3 Каховської міської ради Херсонської області</t>
  </si>
  <si>
    <t>74800</t>
  </si>
  <si>
    <t>6510400000</t>
  </si>
  <si>
    <t>Каховка</t>
  </si>
  <si>
    <t>вул. Освіти, 4</t>
  </si>
  <si>
    <t>(05536)56493</t>
  </si>
  <si>
    <t>Каховська загальноосвітня школа І-ІІІ ступенів № 4 Каховської міської ради Херсонської області</t>
  </si>
  <si>
    <t>вул. Освіти, 2</t>
  </si>
  <si>
    <t>Каховська загальноосвітня школа І-ІІІ ступенів № 1 Каховської міської ради Херсонської області</t>
  </si>
  <si>
    <t>вул. Велика Куликовська, 77</t>
  </si>
  <si>
    <t>(05536)21003</t>
  </si>
  <si>
    <t>http://kahovka-zosh1.edukit.kherson.ua</t>
  </si>
  <si>
    <t>Каховська загальноосвітня школа І-ІІІ ступенів № 5 Каховської міської ради Херсонської області</t>
  </si>
  <si>
    <t>вул. Велика Куликовська, 128</t>
  </si>
  <si>
    <t>(05536)4-24-94, (05536)2-12-48</t>
  </si>
  <si>
    <t>Каховська загальноосвітня школа І-ІІІступенів № 6 Каховської міської ради Херсонської області</t>
  </si>
  <si>
    <t>вул. Шкільна (Крупської), 10А</t>
  </si>
  <si>
    <t>(05536)27470</t>
  </si>
  <si>
    <t>Каховська спеціалізована загальноосвітня школа І-ІІІ ступенів № 2 з поглибленим вивченням іноземних мов Каховської міської ради Херсонської області</t>
  </si>
  <si>
    <t>вул. Велика Куликовська, 78</t>
  </si>
  <si>
    <t>0553641424</t>
  </si>
  <si>
    <t>Каховський навчально - виховний комплекс "Гімназія - спеціалізована школа І ступеня з поглибленим вивченням іноземних мов" Каховської міської ради Херсонської області</t>
  </si>
  <si>
    <t>вул. Червоноармійська, 116 а</t>
  </si>
  <si>
    <t>(05536)41489</t>
  </si>
  <si>
    <t>http://kgm.at.ua/</t>
  </si>
  <si>
    <t>Гімназія Новокаховської міської ради Херсонської області</t>
  </si>
  <si>
    <t>74900</t>
  </si>
  <si>
    <t>6510700000</t>
  </si>
  <si>
    <t>Нова Каховка</t>
  </si>
  <si>
    <t>вул. Першотравнева27</t>
  </si>
  <si>
    <t>25644282</t>
  </si>
  <si>
    <t>Загальноосвітня школа І-ІІІ ступенів № 3 Новокаховської міської ради Херсонської області</t>
  </si>
  <si>
    <t>вул. Історична, 33А</t>
  </si>
  <si>
    <t>(05549)43233</t>
  </si>
  <si>
    <t>http://zosh3nk.ucoz.ua/</t>
  </si>
  <si>
    <t>24753052</t>
  </si>
  <si>
    <t>Загальноосвітня школа І-ІІІ ступенів № 4 Новокаховської міської ради Херсонської області</t>
  </si>
  <si>
    <t>вул. Затишна, 28</t>
  </si>
  <si>
    <t>0554942646</t>
  </si>
  <si>
    <t>35119846</t>
  </si>
  <si>
    <t>Загальноосвітня школа І-ІІІ ступенів № 1 Новокаховської міської ради Херсонської області</t>
  </si>
  <si>
    <t>вул. Історична, 27/1</t>
  </si>
  <si>
    <t>(05549)42153</t>
  </si>
  <si>
    <t>http://shkola1.nkah.ks.ua</t>
  </si>
  <si>
    <t>24756642</t>
  </si>
  <si>
    <t>Загальноосвітня школа І-ІІІ ступенів № 10 Новокаховської міської ради Херсонської області</t>
  </si>
  <si>
    <t>вул. Перемоги, 30</t>
  </si>
  <si>
    <t>0554979810, 0554979807</t>
  </si>
  <si>
    <t>http://nkzosh10.at.ua</t>
  </si>
  <si>
    <t>24752443</t>
  </si>
  <si>
    <t>Загальноосвітня школа І-ІІІ ступенів № 6 Новокаховської міської ради Херсонської області</t>
  </si>
  <si>
    <t>просп. Дніпровський, 263</t>
  </si>
  <si>
    <t>(05549)76300</t>
  </si>
  <si>
    <t>http://zosh6nk.wix.com/main</t>
  </si>
  <si>
    <t>24752466</t>
  </si>
  <si>
    <t>Навчально-виховний комплекс "Дошкільний заклад - загальноосвітня школа І-ІІІ ступенів № 2" Новокаховської міської ради Херсонської області</t>
  </si>
  <si>
    <t>вул. Історична, 9</t>
  </si>
  <si>
    <t>(05549)4-21-25</t>
  </si>
  <si>
    <t>http://Schoolnknvk2.at.ua</t>
  </si>
  <si>
    <t>24755430</t>
  </si>
  <si>
    <t>Новокаховська ЗОШ-інтернат І-ІІІ ступенів Херсонської обласної ради</t>
  </si>
  <si>
    <t>ал. Маяковського, 2</t>
  </si>
  <si>
    <t>(05549)90659</t>
  </si>
  <si>
    <t>24752223</t>
  </si>
  <si>
    <t>Новокаховський техніко-економічний ліцей Новокаховської міської ради Херсонської області</t>
  </si>
  <si>
    <t>вул. Першотравнева, 20А</t>
  </si>
  <si>
    <t>0554979864, 0554971291</t>
  </si>
  <si>
    <t>http://nktel.jimdo.com</t>
  </si>
  <si>
    <t>31165688</t>
  </si>
  <si>
    <t>Спеціалізована загальноосвітня школа І-ІІІ ступенів № 8 з поглибленим вивченням англійської мови Новокаховської міської ради Херсонської області</t>
  </si>
  <si>
    <t>вул. Свєтлова, 6/1</t>
  </si>
  <si>
    <t>(05549)44879</t>
  </si>
  <si>
    <t>http://nk-school8.in.ua</t>
  </si>
  <si>
    <t>24951295</t>
  </si>
  <si>
    <t>Дніпрянська загальноосвітня школа І - ІІІ ступенів Новокаховської міської ради Херсонської області</t>
  </si>
  <si>
    <t>74987</t>
  </si>
  <si>
    <t>6510745300</t>
  </si>
  <si>
    <t>Дніпряни</t>
  </si>
  <si>
    <t>вул. Корсунська, 3</t>
  </si>
  <si>
    <t>0554976147</t>
  </si>
  <si>
    <t>24751065</t>
  </si>
  <si>
    <t>Корсунська загальноосвітня школа І - ІІ ступенів Новокаховської міської ради Херсонської області</t>
  </si>
  <si>
    <t>74986</t>
  </si>
  <si>
    <t>6510745301</t>
  </si>
  <si>
    <t>Корсунка</t>
  </si>
  <si>
    <t>вул. Монастирська, 50</t>
  </si>
  <si>
    <t>(05549)38079</t>
  </si>
  <si>
    <t>https://korsunkasschool.wordpress.com</t>
  </si>
  <si>
    <t>24752153</t>
  </si>
  <si>
    <t>Загальноосвітня школа І-ІІІ ступенів № 7 Новокаховської міської ради Херсонської області</t>
  </si>
  <si>
    <t>74988</t>
  </si>
  <si>
    <t>6510770800</t>
  </si>
  <si>
    <t>Таврійськ</t>
  </si>
  <si>
    <t>вул. Гайдара, 1</t>
  </si>
  <si>
    <t>0554973458</t>
  </si>
  <si>
    <t>http://novaschool7.klasna.com</t>
  </si>
  <si>
    <t>38053515</t>
  </si>
  <si>
    <t>Загальноосвітня школа І-ІІІ ступенів № 5 Новокаховської міської ради Херсонської області</t>
  </si>
  <si>
    <t>вул. Каховська, 42</t>
  </si>
  <si>
    <t>(05549)7-32-45</t>
  </si>
  <si>
    <t>http://nvk5.at.ua</t>
  </si>
  <si>
    <t>38053572</t>
  </si>
  <si>
    <t>Комунальний заклад «Таврійська спеціальна загальноосвітня школа-інтернат І-ІІ ступенів» Херсонської обласної ради</t>
  </si>
  <si>
    <t>вул. Північна, 52</t>
  </si>
  <si>
    <t>(05549)7-31-17, (05549)7-44-78</t>
  </si>
  <si>
    <t>30681687</t>
  </si>
  <si>
    <t>Маслівська загальноосвітня школа І-ІІІ ступенів Новокаховської міської ради Херсонської області</t>
  </si>
  <si>
    <t>74994</t>
  </si>
  <si>
    <t>6510790805</t>
  </si>
  <si>
    <t>Обривка</t>
  </si>
  <si>
    <t>(05549)39245</t>
  </si>
  <si>
    <t>http://maslivka.klasna.com</t>
  </si>
  <si>
    <t>24751001</t>
  </si>
  <si>
    <t>Білозерська багатопрофільна гімназія ім. О.Я. Печерського Білозерської районної ради Херсонської області</t>
  </si>
  <si>
    <t>75000</t>
  </si>
  <si>
    <t>6520355100</t>
  </si>
  <si>
    <t>Білозерка</t>
  </si>
  <si>
    <t>вул. Д. Яворницького, 93</t>
  </si>
  <si>
    <t>0554733945</t>
  </si>
  <si>
    <t>Білозерська загальноосвітня школа І-ІІІ ступенів № 3 Білозерської районної ради Херсонської області</t>
  </si>
  <si>
    <t>вул. Свободи, 217</t>
  </si>
  <si>
    <t>(5547)34-0-12, (5547)33-4-01</t>
  </si>
  <si>
    <t>Білозерська загальноосвітня школа І-ІІІ ступенів № 2 Білозерської районної ради Херсонської області імені Богдана Хмельницького</t>
  </si>
  <si>
    <t>вул. Батумська, 26</t>
  </si>
  <si>
    <t>(05547)34057</t>
  </si>
  <si>
    <t>http://www.belzosh2.at.ua</t>
  </si>
  <si>
    <t>Олександрівська загальноосвітня школа І-ІІІ ступенів Білозерської районної ради Херсонської області</t>
  </si>
  <si>
    <t>75050</t>
  </si>
  <si>
    <t>6520380501</t>
  </si>
  <si>
    <t>(05547)56590</t>
  </si>
  <si>
    <t>http://oleksandrivskaschool.jimdo.com/</t>
  </si>
  <si>
    <t>Надеждівська загальноосвітня школа І-ІІІ ступенів Білозерської районної ради Херсонської області</t>
  </si>
  <si>
    <t>75015</t>
  </si>
  <si>
    <t>6520380701</t>
  </si>
  <si>
    <t>(05547)54333</t>
  </si>
  <si>
    <t>http://nadejdovska-school.jimdo.com/</t>
  </si>
  <si>
    <t>Дар'ївська загальноосвітня школа І-ІІІ ступенів імені Андрія Шульги Білозерської районної ради Херсонської області</t>
  </si>
  <si>
    <t>75032</t>
  </si>
  <si>
    <t>6520381001</t>
  </si>
  <si>
    <t>Дар'ївка</t>
  </si>
  <si>
    <t>вул. Херсонська, 27</t>
  </si>
  <si>
    <t>45155</t>
  </si>
  <si>
    <t>Дар"ївська вечірня школа ІІ-ІІІ ступенів Білозерської районної ради Херсонської області</t>
  </si>
  <si>
    <t>вул. Жовтнева/Соборна, 193</t>
  </si>
  <si>
    <t>0507525992</t>
  </si>
  <si>
    <t>Дніпровська загальноосвітня школа I-III ступенів Білозерської районної ради Херсонської області</t>
  </si>
  <si>
    <t>75003</t>
  </si>
  <si>
    <t>6520381401</t>
  </si>
  <si>
    <t>вул. Степова, 2</t>
  </si>
  <si>
    <t>(05547)44799</t>
  </si>
  <si>
    <t>http://dniprovskasch.at.ua</t>
  </si>
  <si>
    <t>Інгулецька загальноосітня школа І-ІІІ ступенів Білозерської районної ради Херсонської області</t>
  </si>
  <si>
    <t>75031</t>
  </si>
  <si>
    <t>6520382001</t>
  </si>
  <si>
    <t>Інгулець</t>
  </si>
  <si>
    <t>вул. Гагаріна, 40А</t>
  </si>
  <si>
    <t>(055247)4-44-15</t>
  </si>
  <si>
    <t>http://ingulets-school.at.ua</t>
  </si>
  <si>
    <t>Кізомиська загальноосвітня школа І-ІIІ ступенів Білозерської районної ради Херсонської області</t>
  </si>
  <si>
    <t>75005</t>
  </si>
  <si>
    <t>6520382501</t>
  </si>
  <si>
    <t>Кізомис</t>
  </si>
  <si>
    <t>вул. Касперівська, 100</t>
  </si>
  <si>
    <t>(05547)48249</t>
  </si>
  <si>
    <t>http://kizomis.blogspot.com/</t>
  </si>
  <si>
    <t>Велетенська загальноосвітня школа І-ІІІ ступенів Білозерської райради Херсонської області</t>
  </si>
  <si>
    <t>75006</t>
  </si>
  <si>
    <t>6520382503</t>
  </si>
  <si>
    <t>Велетенське</t>
  </si>
  <si>
    <t>(05547)52341</t>
  </si>
  <si>
    <t>Киселівська загальноосвітня школа І-ІІІ ступенів Білозерської районної ради Херсонської області.</t>
  </si>
  <si>
    <t>75022</t>
  </si>
  <si>
    <t>6520383001</t>
  </si>
  <si>
    <t>вул. Освітянська, 45</t>
  </si>
  <si>
    <t>57-4-47</t>
  </si>
  <si>
    <t>http://www.kyselivka-zosh.ks.sch.in.ua/</t>
  </si>
  <si>
    <t>Комунальний заклад "Музиківська загальноосвітня школа І-ІІІ ступенів Музиківської сільської ради Білозерського району Херсонської області"</t>
  </si>
  <si>
    <t>75023</t>
  </si>
  <si>
    <t>6520383501</t>
  </si>
  <si>
    <t>Музиківка</t>
  </si>
  <si>
    <t>вул. 40 років Перемоги, 12</t>
  </si>
  <si>
    <t>(05547)33235</t>
  </si>
  <si>
    <t>http://muzyk.at.ua</t>
  </si>
  <si>
    <t>Микільська загальноосвітня школа І-ІІІ ступенів Білозерської районної ради Херсонської області</t>
  </si>
  <si>
    <t>75033</t>
  </si>
  <si>
    <t>6520384501</t>
  </si>
  <si>
    <t>вул. Слобідська, 78</t>
  </si>
  <si>
    <t>(0247)43521</t>
  </si>
  <si>
    <t>http://nic.at.ua</t>
  </si>
  <si>
    <t>Понятівська загальноосвітня школа І-ІІ ступенів Білозерської районної ради Херсонської області</t>
  </si>
  <si>
    <t>75034</t>
  </si>
  <si>
    <t>6520384502</t>
  </si>
  <si>
    <t>вул. Коняєва, 24</t>
  </si>
  <si>
    <t>(247)45817</t>
  </si>
  <si>
    <t>http://ponyatovskaskola.wix.com/ponyatovska-skola</t>
  </si>
  <si>
    <t>Благодатнівська загальноосвітня школа І-ІІІ ступенів Білозерської районної ради Херсонської області</t>
  </si>
  <si>
    <t>75011</t>
  </si>
  <si>
    <t>6520384701</t>
  </si>
  <si>
    <t>(05547)51437</t>
  </si>
  <si>
    <t>http://www.petrivska-zosh.ks.sch.in.ua/</t>
  </si>
  <si>
    <t>Посад-Покровська загальноосвітня школа І-ІІІ ступенів Білозерської районної ради Херсонської області</t>
  </si>
  <si>
    <t>75010</t>
  </si>
  <si>
    <t>6520385001</t>
  </si>
  <si>
    <t>Посад-Покровське</t>
  </si>
  <si>
    <t>(59)493</t>
  </si>
  <si>
    <t>Правдинська загальноосвітня школа І - ІІІ ступенів Білозерської районної ради Херсонської області</t>
  </si>
  <si>
    <t>75012</t>
  </si>
  <si>
    <t>6520385501</t>
  </si>
  <si>
    <t>Правдине</t>
  </si>
  <si>
    <t>вул. Висоцької, 57</t>
  </si>
  <si>
    <t>Таврійська загальноосвітня школа І-ІІ ступенів Білозерської районної ради Херсонської області</t>
  </si>
  <si>
    <t>75013</t>
  </si>
  <si>
    <t>6520385502</t>
  </si>
  <si>
    <t>(55(47))47-3-48</t>
  </si>
  <si>
    <t>http://kirovskola.narod2.ru</t>
  </si>
  <si>
    <t>Миролюбівська загальноосвітня школа І-ІІІ ступенів Білозерської районної ради Херсонської області</t>
  </si>
  <si>
    <t>75014</t>
  </si>
  <si>
    <t>6520385801</t>
  </si>
  <si>
    <t>(0554756)2-24</t>
  </si>
  <si>
    <t>http://radyanska-school.klasna.com</t>
  </si>
  <si>
    <t>Садівська загальноосвітня школа І-ІІІ ступенів Білозерської районної ради Херсонської області</t>
  </si>
  <si>
    <t>75035</t>
  </si>
  <si>
    <t>6520386001</t>
  </si>
  <si>
    <t>вул. З. Космодем'янської, 7</t>
  </si>
  <si>
    <t>(05547)46-2-49</t>
  </si>
  <si>
    <t>https://sites.google.com/site/sadivskazosiiiistupeniv1</t>
  </si>
  <si>
    <t>Станіславська загальноосвітня школа І-ІІІ ступенів Білозерської районної ради Херсонської області ім. К.Й. Голобородька</t>
  </si>
  <si>
    <t>75051</t>
  </si>
  <si>
    <t>6520386501</t>
  </si>
  <si>
    <t>Станіслав</t>
  </si>
  <si>
    <t>вул. Свободи, 35</t>
  </si>
  <si>
    <t>(247)53159</t>
  </si>
  <si>
    <t>http://stanislavschool.16mb.com</t>
  </si>
  <si>
    <t>Комунальний заклад "Східненська загальноосвітня школа І-ІІІ ступенів Музиківської сільської ради Білозерського району Херсонської області"</t>
  </si>
  <si>
    <t>75020</t>
  </si>
  <si>
    <t>6520386701</t>
  </si>
  <si>
    <t>Східне</t>
  </si>
  <si>
    <t>(1111)(055)4758-3-31</t>
  </si>
  <si>
    <t>http://shidnenska.ucoz.site</t>
  </si>
  <si>
    <t>Токарівська загальноосвітня школа І-ІІІ ступенів Білозерської районної ради Херсонської області</t>
  </si>
  <si>
    <t>75040</t>
  </si>
  <si>
    <t>6520387001</t>
  </si>
  <si>
    <t>вул. Придніпровська, 84В</t>
  </si>
  <si>
    <t>42-6-71</t>
  </si>
  <si>
    <t>http://tokarivkaschool.ucoz.ua</t>
  </si>
  <si>
    <t>Новотягинська загальноосвітня школа І-ІІ ступенів Білозерської районної ради Херсонської області</t>
  </si>
  <si>
    <t>75041</t>
  </si>
  <si>
    <t>6520387003</t>
  </si>
  <si>
    <t>Новотягинка</t>
  </si>
  <si>
    <t>вул. Придніпровська, 69</t>
  </si>
  <si>
    <t>(05547)42610</t>
  </si>
  <si>
    <t>http://novotiahinska.wix.com/school-ua</t>
  </si>
  <si>
    <t>Томинобалківська загальноосвітня школа І-ІІІ ступенів Білозерської районної ради Херсонської області</t>
  </si>
  <si>
    <t>75004</t>
  </si>
  <si>
    <t>6520387101</t>
  </si>
  <si>
    <t>Томина Балка</t>
  </si>
  <si>
    <t>(0552)51248</t>
  </si>
  <si>
    <t>http://tomynabalka75004.jimdo.com</t>
  </si>
  <si>
    <t>Федорівська загальноосвітня школа І-ІІІ ступенів Білозерської районної ради Херсонської області</t>
  </si>
  <si>
    <t>75030</t>
  </si>
  <si>
    <t>6520387301</t>
  </si>
  <si>
    <t>вул. Першотравнева, 43</t>
  </si>
  <si>
    <t>(55247)41732</t>
  </si>
  <si>
    <t>Чорнобаївська санаторна загальноосвітня школа-інтерн І-ІІІ ступенів Херсонської обласної ради</t>
  </si>
  <si>
    <t>75024</t>
  </si>
  <si>
    <t>6520387501</t>
  </si>
  <si>
    <t>Чорнобаївка</t>
  </si>
  <si>
    <t>22752203</t>
  </si>
  <si>
    <t>Чорнобаївський навчально-виховний комплекс «Загальноосвітній навчальний заклад-дошкільний навчальний заклад» Білозерської районної ради Херсонської області</t>
  </si>
  <si>
    <t>вул. Галицька, 21</t>
  </si>
  <si>
    <t>(0552)777364</t>
  </si>
  <si>
    <t>http://chnvk.ucoz.ru</t>
  </si>
  <si>
    <t>Широкобалківська загальноосвітня школа І-ІІІ ступенів Білозерської районної ради Херсонської області</t>
  </si>
  <si>
    <t>75052</t>
  </si>
  <si>
    <t>6520388601</t>
  </si>
  <si>
    <t>вул. Херсонське шосе, 42</t>
  </si>
  <si>
    <t>(055)42413</t>
  </si>
  <si>
    <t>Бериславська загальноосвітня школа І - ІІ ступенів № 4 Бериславської районної ради Херсонської області</t>
  </si>
  <si>
    <t>74300</t>
  </si>
  <si>
    <t>6520610100</t>
  </si>
  <si>
    <t>Берислав</t>
  </si>
  <si>
    <t>вул. Херсонська, 163</t>
  </si>
  <si>
    <t>(05546)72601</t>
  </si>
  <si>
    <t>Бериславська загальноосвітня школа І-ІІ ступенів № 5 Бериславської районної ради Херсонської області</t>
  </si>
  <si>
    <t>(05546)72326</t>
  </si>
  <si>
    <t>Бериславська загальноосвітня школа І-ІІІ ступенів № 1 Бериславської районної ради Херсонської області</t>
  </si>
  <si>
    <t>вул. 1 Травня, 266</t>
  </si>
  <si>
    <t>7-27-44</t>
  </si>
  <si>
    <t>Бериславська загальноосвітня школа І-ІІІ ступенів № 3 Бериславської районної ради Херсонської області</t>
  </si>
  <si>
    <t>вул. 1 Травня, 236</t>
  </si>
  <si>
    <t>(05546)75251</t>
  </si>
  <si>
    <t>http://berzosh3.jimdo.com</t>
  </si>
  <si>
    <t>Козацька загальноосвітня школа I-III ступенів Бериславської районної ради Херсонської області</t>
  </si>
  <si>
    <t>74343</t>
  </si>
  <si>
    <t>6520655400</t>
  </si>
  <si>
    <t>вул. Комарова, 36</t>
  </si>
  <si>
    <t>0554653597</t>
  </si>
  <si>
    <t>http://kozatska-zosh.ks.sch.in.ua</t>
  </si>
  <si>
    <t>Бургунська загальноосвітня школа І - ІІІ ступенів Бериславської районної ради Херсонської області</t>
  </si>
  <si>
    <t>74334</t>
  </si>
  <si>
    <t>6520680201</t>
  </si>
  <si>
    <t>Бургунка</t>
  </si>
  <si>
    <t>(05546)47249</t>
  </si>
  <si>
    <t>Веселівська загальноосвітня школа І-ІІІ ступенів Бериславської районної ради Херсонської обл.</t>
  </si>
  <si>
    <t>74344</t>
  </si>
  <si>
    <t>6520680401</t>
  </si>
  <si>
    <t>вул. Наддніпрянська, 10</t>
  </si>
  <si>
    <t>(5546)52534</t>
  </si>
  <si>
    <t>Високівська загальноосвітня школа І-ІІІ ступенів Бериславської районної ради, Херсонської області</t>
  </si>
  <si>
    <t>74323</t>
  </si>
  <si>
    <t>6520680601</t>
  </si>
  <si>
    <t>(05546)56533</t>
  </si>
  <si>
    <t>Зміївська загальноосвітня школа І-ІІ ступенів Бериславської районної ради Херсонської області</t>
  </si>
  <si>
    <t>74372</t>
  </si>
  <si>
    <t>6520681201</t>
  </si>
  <si>
    <t>Зміївка</t>
  </si>
  <si>
    <t>вул. Молодіжна, 36</t>
  </si>
  <si>
    <t>(46555)51310</t>
  </si>
  <si>
    <t>Зміївська загальноосвітня школа І-ІІІ ступенів Бериславської районної ради Херсонської області</t>
  </si>
  <si>
    <t>0554642573</t>
  </si>
  <si>
    <t>http://zmiyvka.at.ua</t>
  </si>
  <si>
    <t>Качкарівська загальноосвітня школа І-ІІІ ступенів Бериславської районної ради Херсонської області</t>
  </si>
  <si>
    <t>74350</t>
  </si>
  <si>
    <t>6520681801</t>
  </si>
  <si>
    <t>Качкарівка</t>
  </si>
  <si>
    <t>(05546)40249</t>
  </si>
  <si>
    <t>http://kachkarzosh.wix.com/kachkrivska-zosh</t>
  </si>
  <si>
    <t>Лиманецька загальноосвітня школа І-ІІІ ступенів Бериславської районної ради Херсонської області</t>
  </si>
  <si>
    <t>74320</t>
  </si>
  <si>
    <t>6520682401</t>
  </si>
  <si>
    <t>Лиманець</t>
  </si>
  <si>
    <t>Львівська загальноосвітня школа І-ІІІ ступенів Бериславської районної ради Херсонської області</t>
  </si>
  <si>
    <t>74331</t>
  </si>
  <si>
    <t>6520683001</t>
  </si>
  <si>
    <t>Львове</t>
  </si>
  <si>
    <t>вул. Нова, 53</t>
  </si>
  <si>
    <t>(05546)45274</t>
  </si>
  <si>
    <t>http://lvivskazosh05.ucoz.com</t>
  </si>
  <si>
    <t>Навчально виховний комплекс "Максимогорьківська загальноосвітня школа І ступеня - дошкільний навчальний заклад" Бериславського району Херсонської області</t>
  </si>
  <si>
    <t>74310</t>
  </si>
  <si>
    <t>6520683601</t>
  </si>
  <si>
    <t>(05546)50233</t>
  </si>
  <si>
    <t>Милівська загальноосвітня школа І-ІІІ ступенів Бериславської районної ради Херсонської області</t>
  </si>
  <si>
    <t>74351</t>
  </si>
  <si>
    <t>6520684201</t>
  </si>
  <si>
    <t>Милове</t>
  </si>
  <si>
    <t>(05546)59344</t>
  </si>
  <si>
    <t>http://school74351.wordpress.com/</t>
  </si>
  <si>
    <t>Новобериславська загальноосвітня школа І-ІІІ ступенів Бериславської районної ради Херсонської області</t>
  </si>
  <si>
    <t>74371</t>
  </si>
  <si>
    <t>6520684401</t>
  </si>
  <si>
    <t>Новоберислав</t>
  </si>
  <si>
    <t>вул. Набережна, 65</t>
  </si>
  <si>
    <t>(05546)41219</t>
  </si>
  <si>
    <t>Новокаїрська загальноосвітня школа І-ІІІ ступенів Бериславської районної ради Херсонської області</t>
  </si>
  <si>
    <t>74362</t>
  </si>
  <si>
    <t>6520684801</t>
  </si>
  <si>
    <t>Новокаїри</t>
  </si>
  <si>
    <t>вул. Бархутова, 79</t>
  </si>
  <si>
    <t>0554651633</t>
  </si>
  <si>
    <t>http://novokairischool.ucoz.ru</t>
  </si>
  <si>
    <t>Новорайська загальноосвітня школа І-ІІІ ступенів Бериславської районної ради Херсонської області</t>
  </si>
  <si>
    <t>74360</t>
  </si>
  <si>
    <t>6520685201</t>
  </si>
  <si>
    <t>Новорайськ</t>
  </si>
  <si>
    <t>вул. Соборна, 29</t>
  </si>
  <si>
    <t>(055)4649236</t>
  </si>
  <si>
    <t>Бериславська районна державна адміністрація Костирська загальноосвітня школа І ступеня Бериславської районної Ради Херсонської області</t>
  </si>
  <si>
    <t>74361</t>
  </si>
  <si>
    <t>6520685204</t>
  </si>
  <si>
    <t>Костирка</t>
  </si>
  <si>
    <t>вул. 1 Травня, 49</t>
  </si>
  <si>
    <t>49-3-94</t>
  </si>
  <si>
    <t>Львівський навчально - виховний комплекс "Загальноосвітня школа - інтернат І ступеня - спеціалізована школа - інтернат ІІ-ІІІ ступенів" Херсонської обласної ради</t>
  </si>
  <si>
    <t>74332</t>
  </si>
  <si>
    <t>6520685501</t>
  </si>
  <si>
    <t>Ольгівка</t>
  </si>
  <si>
    <t>(05546)51235, (050)2907946, (095)1601383</t>
  </si>
  <si>
    <t>http://www.lvivskiy-nvk.edukit.kherson.ua</t>
  </si>
  <si>
    <t>22737286</t>
  </si>
  <si>
    <t>Ольгівська загальноосвітня школа І-ІІІ ступенів Бериславської районної ради Херсонської області</t>
  </si>
  <si>
    <t>вул. Шкільна, № 1</t>
  </si>
  <si>
    <t>(05546)51142</t>
  </si>
  <si>
    <t>http://olgivskazosh.at.ua/</t>
  </si>
  <si>
    <t>Навчально-виховний комплекс "Вірівська загальноосвітня школа І ступеня- дошкільний навчальний заклад"</t>
  </si>
  <si>
    <t>74333</t>
  </si>
  <si>
    <t>6520685502</t>
  </si>
  <si>
    <t>Вірівка</t>
  </si>
  <si>
    <t>(9-42)3-42</t>
  </si>
  <si>
    <t>Одрадокам'янська загальноосвітня школа І-ІІІ ступенів Бериславської районної ради Херсонської області</t>
  </si>
  <si>
    <t>74341</t>
  </si>
  <si>
    <t>6520685901</t>
  </si>
  <si>
    <t>Одрадокам'янка</t>
  </si>
  <si>
    <t>пров. Шкільний, 17</t>
  </si>
  <si>
    <t>(05546)54210</t>
  </si>
  <si>
    <t>Миколаївська загальноосвітня школа І-ІІІ ступенів Бериславської районної ради Херсонської області</t>
  </si>
  <si>
    <t>74342</t>
  </si>
  <si>
    <t>6520685902</t>
  </si>
  <si>
    <t>(05546)54388</t>
  </si>
  <si>
    <t>Раківська загальноосвітня школа І - ІІІ ступенів Бериславської районної ради Херсонської області</t>
  </si>
  <si>
    <t>74312</t>
  </si>
  <si>
    <t>6520686601</t>
  </si>
  <si>
    <t>Раківка</t>
  </si>
  <si>
    <t>Степнянська загальноосвітня школа І - ІІІ ступенів Бериславської районної державной адміністрації Херсонської області</t>
  </si>
  <si>
    <t>74311</t>
  </si>
  <si>
    <t>6520686701</t>
  </si>
  <si>
    <t>(05546)413312</t>
  </si>
  <si>
    <t>Томаринська загальноосвітня школа I-II ступенів Бериславської районної ради Херсонської області</t>
  </si>
  <si>
    <t>74340</t>
  </si>
  <si>
    <t>6520686901</t>
  </si>
  <si>
    <t>Томарине</t>
  </si>
  <si>
    <t>вул. Бериславська, 1</t>
  </si>
  <si>
    <t>43247</t>
  </si>
  <si>
    <t>Тягинська загальноосвітня школа І-ІІІ ступенів Бериславської районної ради Херсонської області</t>
  </si>
  <si>
    <t>74330</t>
  </si>
  <si>
    <t>6520687101</t>
  </si>
  <si>
    <t>Тягинка</t>
  </si>
  <si>
    <t>вул. Поштова, 5 в</t>
  </si>
  <si>
    <t>(055)46240</t>
  </si>
  <si>
    <t>http://tyginskazosh.ucoz.ua</t>
  </si>
  <si>
    <t>Червономаяцька загальноосвітня школа І - ІІІ ступенів Бериславської районної ради Херсонської області</t>
  </si>
  <si>
    <t>74370</t>
  </si>
  <si>
    <t>6520688201</t>
  </si>
  <si>
    <t>Червоний Маяк</t>
  </si>
  <si>
    <t>http://majak123.ucoz.ua</t>
  </si>
  <si>
    <t>Навчально-виховний комплекс "Монастирський дошкільний навчальний заклад - загальноосвітня школа І ступеня"</t>
  </si>
  <si>
    <t>6520688203</t>
  </si>
  <si>
    <t>вул. Нова, 9</t>
  </si>
  <si>
    <t>(097)5460688</t>
  </si>
  <si>
    <t>Шляхівська загальноосвітня школа І-ІІІ ступенів Бериславської районної ради Херсонської області</t>
  </si>
  <si>
    <t>74307</t>
  </si>
  <si>
    <t>6520688401</t>
  </si>
  <si>
    <t>вул. Степовий, 16</t>
  </si>
  <si>
    <t>(054658)242</t>
  </si>
  <si>
    <t>http://shlyhovezosh.at.ua</t>
  </si>
  <si>
    <t>Великоолександрівська загальноосвітня школа І-ІІІ ступенів № 1</t>
  </si>
  <si>
    <t>74100</t>
  </si>
  <si>
    <t>6520955100</t>
  </si>
  <si>
    <t>вул. Свободи, 75</t>
  </si>
  <si>
    <t>0553221004</t>
  </si>
  <si>
    <t>25645028</t>
  </si>
  <si>
    <t>Великоолександрівська загальноосвітня школа І-ІІІ ступеня № 2</t>
  </si>
  <si>
    <t>вул. Братська, 10</t>
  </si>
  <si>
    <t>(05532)22613</t>
  </si>
  <si>
    <t>25645011</t>
  </si>
  <si>
    <t>Білокриницька загальноосвітня школа І-ІІІ ступенів Великоолександрівської районної ради Херсонської області</t>
  </si>
  <si>
    <t>74112</t>
  </si>
  <si>
    <t>6520955400</t>
  </si>
  <si>
    <t>0553231141</t>
  </si>
  <si>
    <t>http://bkrin52.ucoz.ua</t>
  </si>
  <si>
    <t>24756961</t>
  </si>
  <si>
    <t>Калинівська загальноосвітня школа І-ІІІ ступенів</t>
  </si>
  <si>
    <t>74131</t>
  </si>
  <si>
    <t>6520955700</t>
  </si>
  <si>
    <t>Калинівське</t>
  </si>
  <si>
    <t>вул. Шкільна, 104</t>
  </si>
  <si>
    <t>(055)32-30-324</t>
  </si>
  <si>
    <t>24951544</t>
  </si>
  <si>
    <t>Калинівська спеціальна загальноосвітня школа-інтернат І-ІІ ступенів Херсонської обласної ради Херсонської області</t>
  </si>
  <si>
    <t>вул. Шкільна, 216</t>
  </si>
  <si>
    <t>(05532)30-214, (05532)30-254</t>
  </si>
  <si>
    <t>39584202</t>
  </si>
  <si>
    <t>Комунальний заклад "Благодатівський навчально-виховний комплекс "Загальноосвітня школа І-ІІІ ступенів - дошкільний навчальний заклад Великоолександрівської районної ради Херсонської області"</t>
  </si>
  <si>
    <t>74130</t>
  </si>
  <si>
    <t>6520980501</t>
  </si>
  <si>
    <t>Благодатівка</t>
  </si>
  <si>
    <t>(055)3239638</t>
  </si>
  <si>
    <t>40869282</t>
  </si>
  <si>
    <t>Бобровокутський НВК "Загальноосвітня школа І-ІІ ступенів - дошкільний навчальний заклад" Великоолександрівської районної ради Херсонської області</t>
  </si>
  <si>
    <t>74134</t>
  </si>
  <si>
    <t>6520980701</t>
  </si>
  <si>
    <t>Бобровий Кут</t>
  </si>
  <si>
    <t>вул. Першотравнева, 83</t>
  </si>
  <si>
    <t>0553232539</t>
  </si>
  <si>
    <t>http://bkut-zosh.esy.es</t>
  </si>
  <si>
    <t>41007683</t>
  </si>
  <si>
    <t>Борозенська загальноосвітня школа І - ІІІ ступенів</t>
  </si>
  <si>
    <t>74152</t>
  </si>
  <si>
    <t>6520981001</t>
  </si>
  <si>
    <t>Борозенське</t>
  </si>
  <si>
    <t>пров. Мічуріна, 10  А</t>
  </si>
  <si>
    <t>25650621</t>
  </si>
  <si>
    <t>Іщенська загальноосвітня школа І-ІІІ ступенів</t>
  </si>
  <si>
    <t>74122</t>
  </si>
  <si>
    <t>6520981503</t>
  </si>
  <si>
    <t>Іщенка</t>
  </si>
  <si>
    <t>(055)32-32-111</t>
  </si>
  <si>
    <t>http://www.ischenska-zosh.ks.sch.in.ua</t>
  </si>
  <si>
    <t>24944007</t>
  </si>
  <si>
    <t>Давидівобрідська загальноосвітня школа І-ІІІступенів Великоолександрівської районної ради Херсонської області</t>
  </si>
  <si>
    <t>74120</t>
  </si>
  <si>
    <t>6520982001</t>
  </si>
  <si>
    <t>Давидів Брід</t>
  </si>
  <si>
    <t>0963940241</t>
  </si>
  <si>
    <t>24751113</t>
  </si>
  <si>
    <t>Малоолександрівська загальноосвітня школа І - ІІІ ступенів</t>
  </si>
  <si>
    <t>74105</t>
  </si>
  <si>
    <t>6520982501</t>
  </si>
  <si>
    <t>Мала Олександрівка</t>
  </si>
  <si>
    <t>0553239218</t>
  </si>
  <si>
    <t>24946288</t>
  </si>
  <si>
    <t>Новодмитрівська загальноосвітня школа І-ІІІ ступенів Херсонської області</t>
  </si>
  <si>
    <t>74115</t>
  </si>
  <si>
    <t>6520983001</t>
  </si>
  <si>
    <t>0553238281</t>
  </si>
  <si>
    <t>http://Nd-school.esy.es</t>
  </si>
  <si>
    <t>24756671</t>
  </si>
  <si>
    <t>Новокалузький навчально-виховний комплекс "Загальноосвітня школа I-II ступенів - дошкільний навчальний заклад" Великоолександрівської районної ради Херсонської області</t>
  </si>
  <si>
    <t>74110</t>
  </si>
  <si>
    <t>6520983301</t>
  </si>
  <si>
    <t>Нова Калуга</t>
  </si>
  <si>
    <t>0508332393</t>
  </si>
  <si>
    <t>40994808</t>
  </si>
  <si>
    <t>Новокам'янський навчально-виховний комплекс "Загальноосвітня школа І-ІІ ступенів - дошкільний навчальний заклад" Великолександрівської районної ради Херсонської області</t>
  </si>
  <si>
    <t>74151</t>
  </si>
  <si>
    <t>6520983501</t>
  </si>
  <si>
    <t>вул. Херсонська, 1</t>
  </si>
  <si>
    <t>0983373715</t>
  </si>
  <si>
    <t>41523793</t>
  </si>
  <si>
    <t>Новокубанський навчально-виховний комплекс "Загальноосвітня школа І-ІІ ступенів - дошкільний навчальний заклад Великоолександрівської районної ради Херсонської області</t>
  </si>
  <si>
    <t>74140</t>
  </si>
  <si>
    <t>6520983701</t>
  </si>
  <si>
    <t>Нова Кубань</t>
  </si>
  <si>
    <t>(097)8320900, (097)5111923</t>
  </si>
  <si>
    <t>25756176</t>
  </si>
  <si>
    <t>Новопавлівська загальноосвітня школа І - ІІ ступенів імені Горєлікова М.Є.</t>
  </si>
  <si>
    <t>74111</t>
  </si>
  <si>
    <t>6520984001</t>
  </si>
  <si>
    <t>380671913830</t>
  </si>
  <si>
    <t>24951875</t>
  </si>
  <si>
    <t>Старосільська загальноосвітня школа І - ІІІ ступенів</t>
  </si>
  <si>
    <t>74116</t>
  </si>
  <si>
    <t>6520984301</t>
  </si>
  <si>
    <t>(38(097))171-99-28</t>
  </si>
  <si>
    <t>24757995</t>
  </si>
  <si>
    <t>Трифонівська загальноосвітня школа I -III ступенів</t>
  </si>
  <si>
    <t>74150</t>
  </si>
  <si>
    <t>6520984501</t>
  </si>
  <si>
    <t>Трифонівка</t>
  </si>
  <si>
    <t>(05522)34435</t>
  </si>
  <si>
    <t>24756694</t>
  </si>
  <si>
    <t>Чарівненська загальноосвітня школа І-ІІІ ступенів</t>
  </si>
  <si>
    <t>74142</t>
  </si>
  <si>
    <t>6520984801</t>
  </si>
  <si>
    <t>вул. Берези, 27</t>
  </si>
  <si>
    <t>(05532)37132</t>
  </si>
  <si>
    <t>24944527</t>
  </si>
  <si>
    <t>Чкаловська загальноосвітня школа І-ІІІ ступенів</t>
  </si>
  <si>
    <t>74141</t>
  </si>
  <si>
    <t>6520985001</t>
  </si>
  <si>
    <t>0553236149</t>
  </si>
  <si>
    <t>24944585</t>
  </si>
  <si>
    <t>КЗ "Великолепетиська опорна загальноосвітня школа І-ІІІ ступенів" Великолепетиської районної ради Херсонської області</t>
  </si>
  <si>
    <t>74502</t>
  </si>
  <si>
    <t>6521255100</t>
  </si>
  <si>
    <t>Велика Лепетиха</t>
  </si>
  <si>
    <t>вул. Миру, 18 / 1</t>
  </si>
  <si>
    <t>(05543)22388</t>
  </si>
  <si>
    <t>http://vlschool1.com.ua/</t>
  </si>
  <si>
    <t>Великолепетиська загальоосвітня школа І-ІІІ ступенів № 2 Великолепетиської селищної ради Великолепетиського району Херсонської області</t>
  </si>
  <si>
    <t>74501</t>
  </si>
  <si>
    <t>(05543)21598</t>
  </si>
  <si>
    <t>http://vlepschool2.ucoz.com</t>
  </si>
  <si>
    <t>Катеринівський навчально - виховний комплекс: Загальноосвітня школа І-ІІ ступенів, дошкільний навчальний заклад Великолепетиської районної ради Херсонської області</t>
  </si>
  <si>
    <t>74520</t>
  </si>
  <si>
    <t>6521281101</t>
  </si>
  <si>
    <t>Князегригорівська загальноосвітня школа І - ІІІ ступенів Князегригорівської сільської ради Великолепетиського району Херсонської області</t>
  </si>
  <si>
    <t>74530</t>
  </si>
  <si>
    <t>6521282201</t>
  </si>
  <si>
    <t>Князе-Григорівка</t>
  </si>
  <si>
    <t>вул. Степна, 19</t>
  </si>
  <si>
    <t>(05543)2-67-26</t>
  </si>
  <si>
    <t>http://lepetykha-rda.gov.ua/</t>
  </si>
  <si>
    <t>Малолепетиська загальноосвітня школа І-ІІІ ступенів імені Тараса Григоровича Шевченка Малолепетиської сільської ради Великолепетиського району Херсонської області</t>
  </si>
  <si>
    <t>74510</t>
  </si>
  <si>
    <t>6521283301</t>
  </si>
  <si>
    <t>Мала Лепетиха</t>
  </si>
  <si>
    <t>(5543)26668</t>
  </si>
  <si>
    <t>http://ml-school.ucoz.ru</t>
  </si>
  <si>
    <t>Миколаївський навчально-виховний комплекс "Загальноосвітній навчальний заклад І-ІІІ ступенів - дошкільний навчальний заклад" Великолепетиської районної ради Херсонської області</t>
  </si>
  <si>
    <t>74522</t>
  </si>
  <si>
    <t>6521284401</t>
  </si>
  <si>
    <t>вул. Таврійська, 48</t>
  </si>
  <si>
    <t>0554327195</t>
  </si>
  <si>
    <t>Комунальний заклад "Рубанівська опорна загальноосвітня школа І-ІІІ ступенів " Великолепетиської районної ради Херсонської області</t>
  </si>
  <si>
    <t>74531</t>
  </si>
  <si>
    <t>6521285501</t>
  </si>
  <si>
    <t>Рубанівка</t>
  </si>
  <si>
    <t>(05543)25318</t>
  </si>
  <si>
    <t>Рубанівська філія навчально-виховний комплекс "Загальноосвітня школа І-ІІ ступенів-дошкільний навчальний заклад" комунального закладу "Рубанівська опорна загальноосвітня школа І-ІІІ ступенів" Великолепетиської районної ради Херсонської області Херсонської області</t>
  </si>
  <si>
    <t>74532</t>
  </si>
  <si>
    <t>вул. Гридасова, 1</t>
  </si>
  <si>
    <t>(05543)2-53-19</t>
  </si>
  <si>
    <t>Верхньорогачицька загальноосвітня школа І-ІІІ ступенів № 2 Верхньорогачицької районної ради Херсонської області</t>
  </si>
  <si>
    <t>74401</t>
  </si>
  <si>
    <t>6521555100</t>
  </si>
  <si>
    <t>Верхній Рогачик</t>
  </si>
  <si>
    <t>вул. 100 річчя Ілліча, 29</t>
  </si>
  <si>
    <t>Верхньорогачицька загальноосвітня школа І-ІІІ ступенів № 1 Верхньорогачицької районної ради Херсонської області</t>
  </si>
  <si>
    <t>74402</t>
  </si>
  <si>
    <t>(05545)51476</t>
  </si>
  <si>
    <t>Михайлівська загальноосвітня щкола І - ІІІ ступенів</t>
  </si>
  <si>
    <t>74420</t>
  </si>
  <si>
    <t>6521580603</t>
  </si>
  <si>
    <t>5-52-24</t>
  </si>
  <si>
    <t>Зеленівська загальноосвітня школа І ступеня Верхньорогачицької районної ради Херсонської області</t>
  </si>
  <si>
    <t>74440</t>
  </si>
  <si>
    <t>6521581101</t>
  </si>
  <si>
    <t>вул. Корбута, 44</t>
  </si>
  <si>
    <t>(0552)5-72-49</t>
  </si>
  <si>
    <t>Первомаївська загальноосвітня школа І-ІІІ ступенів Верхньорогачицької районної ради Херсонської області</t>
  </si>
  <si>
    <t>74430</t>
  </si>
  <si>
    <t>6521583301</t>
  </si>
  <si>
    <t>Первомаївка</t>
  </si>
  <si>
    <t>вул. Леніна, 101</t>
  </si>
  <si>
    <t>(055)4556204</t>
  </si>
  <si>
    <t>http://zoshpervomay.16mb.com/</t>
  </si>
  <si>
    <t>САМІЙЛІВСЬКА ЗАГАЛЬНООСВІТНЯ ШКОЛА І-ІІІ СТУПЕНІВ ВЕРХНЬОРОГАЧИЦЬКОЇ РАЙОННОЇ РАДИ ХЕРСОНСЬКОЇ ОБЛАСТІ</t>
  </si>
  <si>
    <t>74441</t>
  </si>
  <si>
    <t>6521584401</t>
  </si>
  <si>
    <t>просп. пр.Леніна, 5</t>
  </si>
  <si>
    <t>5-32-94</t>
  </si>
  <si>
    <t>Ушкальська загальноосвітня школа І - ІІІ ступенів Верхньорогачицької районної ради Херсонської області</t>
  </si>
  <si>
    <t>74410</t>
  </si>
  <si>
    <t>6521585501</t>
  </si>
  <si>
    <t>Ушкалка</t>
  </si>
  <si>
    <t>вул. Резніченка, 102</t>
  </si>
  <si>
    <t>54248, 0999844015</t>
  </si>
  <si>
    <t>http://ushkalska.ucoz.ua</t>
  </si>
  <si>
    <t>Чистопільська загальноосвітня школа І-ІІІ ступенів</t>
  </si>
  <si>
    <t>74431</t>
  </si>
  <si>
    <t>6521586001</t>
  </si>
  <si>
    <t>0554558235</t>
  </si>
  <si>
    <t>http://www.chistschool.at.ua</t>
  </si>
  <si>
    <t>Високопільська спеціалізована школа-інтернат ІІ-ІІІ ступенів "Обдарованість" Херсонської обласної ради</t>
  </si>
  <si>
    <t>74000</t>
  </si>
  <si>
    <t>6521855100</t>
  </si>
  <si>
    <t>(0235)21332, (0235)21148, (0235)21219</t>
  </si>
  <si>
    <t>26084885</t>
  </si>
  <si>
    <t>Комунальний заклад "Високопільська загальноосвітня школа І-ІІІ ступенів" Високопільської районної ради Херсонської області</t>
  </si>
  <si>
    <t>(05535)21660</t>
  </si>
  <si>
    <t>24752621</t>
  </si>
  <si>
    <t>Комунальний заклад "Потьомкинський навчально-виховний комплекс"Загальноосвітня школа І ступеня-дитячий садок"Високопільської районної ради Херсонської області</t>
  </si>
  <si>
    <t>74003</t>
  </si>
  <si>
    <t>6521855102</t>
  </si>
  <si>
    <t>Потьомкине</t>
  </si>
  <si>
    <t>24115989</t>
  </si>
  <si>
    <t>комунальний заклад "Архангельська загальноосвітня школа І-ІІІ ступенів" Високопільської районної ради Херсонської області</t>
  </si>
  <si>
    <t>74022</t>
  </si>
  <si>
    <t>6521855200</t>
  </si>
  <si>
    <t>Архангельське</t>
  </si>
  <si>
    <t>вул. Тараса Шевченка, 44</t>
  </si>
  <si>
    <t>(05535)38140</t>
  </si>
  <si>
    <t>24947276</t>
  </si>
  <si>
    <t>Навчально виховний комплекс (об'єднання) Зарічнянська загальноосвітня школа І ступеня - дитячий садок</t>
  </si>
  <si>
    <t>74021</t>
  </si>
  <si>
    <t>6521880801</t>
  </si>
  <si>
    <t>Комунальний заклад "Іванівський навчально-виховний комплекс" Загальноосвітня школа І-ІІІ ступенів - дитячий садок"</t>
  </si>
  <si>
    <t>74020</t>
  </si>
  <si>
    <t>6521881001</t>
  </si>
  <si>
    <t>вул. Перемоги, 34А</t>
  </si>
  <si>
    <t>(097)8200797</t>
  </si>
  <si>
    <t>38186416</t>
  </si>
  <si>
    <t>Кочубеївська філія заклад І-ІІ ступенів опорного закладу Орлівський навчально-виховний комплекс "Загальноосвітня школа І-ІІІ ступенів - дитячий садок" Кочубеївської сільської ради об'єднаної територіальної громади Кочубеївський освітній округ</t>
  </si>
  <si>
    <t>74012</t>
  </si>
  <si>
    <t>6521881501</t>
  </si>
  <si>
    <t>вул. Леніна, 113</t>
  </si>
  <si>
    <t>240</t>
  </si>
  <si>
    <t>комунальний заклад "Малошестірнянський навчально-виховний комплекс "Загальноосвітня школа І-ІІ ступенів - дитячий садок" Високопільської районної ради Херсонської області</t>
  </si>
  <si>
    <t>74030</t>
  </si>
  <si>
    <t>6521882001</t>
  </si>
  <si>
    <t>Мала Шестерня</t>
  </si>
  <si>
    <t>39574079</t>
  </si>
  <si>
    <t>Комунальний заклад "Нововознесенський навчально-виховний комплекс "загальноосвітня школа І - ІІ ступенів-дитячий садок" Високопільської районної ради Херсонської області</t>
  </si>
  <si>
    <t>74042</t>
  </si>
  <si>
    <t>6521882501</t>
  </si>
  <si>
    <t>Нововознесенське</t>
  </si>
  <si>
    <t>(055235)31268</t>
  </si>
  <si>
    <t>40207838</t>
  </si>
  <si>
    <t>КЗ " Новомиколаївський НВК ЗОШ І-ІІ ступенів- дитячий садок"</t>
  </si>
  <si>
    <t>74043</t>
  </si>
  <si>
    <t>6521883001</t>
  </si>
  <si>
    <t>(05535)39-5-34</t>
  </si>
  <si>
    <t>24947282</t>
  </si>
  <si>
    <t>комунальний заклад "Новопетрівський навчально-виховний комплекс "Загальноосвітня школа І-ІІ ступенів - дитячий садок"</t>
  </si>
  <si>
    <t>74040</t>
  </si>
  <si>
    <t>6521883501</t>
  </si>
  <si>
    <t>44</t>
  </si>
  <si>
    <t>(098)5754600</t>
  </si>
  <si>
    <t>40929456</t>
  </si>
  <si>
    <t>Опорний заклад Орлівський навчально-виховний комплекс "Загальноосвітня школа І-ІІІ ступенів - дитячий садок" Кочубеївської сільської ради обєднаної територіальної громади Херсонської області Кочубеївського освітнього округу</t>
  </si>
  <si>
    <t>74013</t>
  </si>
  <si>
    <t>6521884001</t>
  </si>
  <si>
    <t>вул. Івана Богуна, 64</t>
  </si>
  <si>
    <t>380674954043</t>
  </si>
  <si>
    <t>40205249</t>
  </si>
  <si>
    <t>Генічеська загальноосвітня вечірня (змінна) школа ІІ-ІІІ ступенів Генічеської районної ради Херсонської області</t>
  </si>
  <si>
    <t>75500</t>
  </si>
  <si>
    <t>6522110100</t>
  </si>
  <si>
    <t>Генічеськ</t>
  </si>
  <si>
    <t>вул. Вокзальна, 15</t>
  </si>
  <si>
    <t>(05534)33724</t>
  </si>
  <si>
    <t>Генічеська загальноосвітня школа І-ІІІ ступенів № 4 Генічеської районної ради Херсонської області</t>
  </si>
  <si>
    <t>вул. Лазурна, 5</t>
  </si>
  <si>
    <t>(05534)32398, (05534)32409</t>
  </si>
  <si>
    <t>http://www.shkola4.org.ua</t>
  </si>
  <si>
    <t>Генічеська загальньоосвітня школа І-ІІІ ступенів № 1 Генічеської районної ради Херсонської області</t>
  </si>
  <si>
    <t>вул. Дружби народів, 44</t>
  </si>
  <si>
    <t>0553432263</t>
  </si>
  <si>
    <t>http://genschool1.ucoz.com</t>
  </si>
  <si>
    <t>Генічеська санаторна загальноосвітня школа-інтернат І-ІІІ ступенів Херсонської обласної ради</t>
  </si>
  <si>
    <t>вул. Гоголя, 86</t>
  </si>
  <si>
    <t>(05534)33707</t>
  </si>
  <si>
    <t>22755992</t>
  </si>
  <si>
    <t>Навчально-виховний комплекс "Генічеська школа І-ІІІ ступенів № 3 - дошкільний навчальний заклад"Генічеської районної ради Херсонської області</t>
  </si>
  <si>
    <t>вул. Курасова, 1</t>
  </si>
  <si>
    <t>(05534)30243, (05534)30244</t>
  </si>
  <si>
    <t>Навчально-виховний комплекс "Гімназія - спеціалізована школа І ступеня з поглибленим вивченням іноземних мов" Генічеської районної ради Херсонської області</t>
  </si>
  <si>
    <t>вул. Гоголя, 26</t>
  </si>
  <si>
    <t>05534-32218</t>
  </si>
  <si>
    <t>Новоолексіївська загальноосвітня школа І-ІІІ ступенів № 1 Генічеської районної ради Херсонської області</t>
  </si>
  <si>
    <t>75560</t>
  </si>
  <si>
    <t>6522155400</t>
  </si>
  <si>
    <t>(05534)51-2-30</t>
  </si>
  <si>
    <t>http://shkola1.at.ua</t>
  </si>
  <si>
    <t>українська,російська,кримськотатарська</t>
  </si>
  <si>
    <t>англійська,кримськотатарська</t>
  </si>
  <si>
    <t>Новоолексіївська загальноосвітня школа І-ІІІ ступенів № 2 Генічеської районної ради Херсонської області</t>
  </si>
  <si>
    <t>вул. Дружби народів, 17А</t>
  </si>
  <si>
    <t>0553451150</t>
  </si>
  <si>
    <t>http://novashola.ucoz.ua</t>
  </si>
  <si>
    <t>Партизанська загальноосвітня школа І-ІІІ ступенів Генічеської районної ради Херсонської області</t>
  </si>
  <si>
    <t>75550</t>
  </si>
  <si>
    <t>6522155700</t>
  </si>
  <si>
    <t>Рикове</t>
  </si>
  <si>
    <t>вул. Елеваторна, 9</t>
  </si>
  <si>
    <t>(0553460)4-18</t>
  </si>
  <si>
    <t>http://partizanischool.ucoz.ru</t>
  </si>
  <si>
    <t>Догмарівська загальноосвітня школа І-ІІІ ступенів Генічеської районної ради Херсонської області</t>
  </si>
  <si>
    <t>75551</t>
  </si>
  <si>
    <t>6522155702</t>
  </si>
  <si>
    <t>Догмарівка</t>
  </si>
  <si>
    <t>0553462149</t>
  </si>
  <si>
    <t>http://dogmarov.ucoz.net</t>
  </si>
  <si>
    <t>Плавська загальноосвітня школа І-ІІІ ступенів Генічеської районної ради Херсонської області</t>
  </si>
  <si>
    <t>75520</t>
  </si>
  <si>
    <t>6522180401</t>
  </si>
  <si>
    <t>Плавське</t>
  </si>
  <si>
    <t>0553453121</t>
  </si>
  <si>
    <t>https://sites.google.com/site/plavskashkola/</t>
  </si>
  <si>
    <t>Новогригорівська загальноосвітня школа І-ІІІ ступенів Генічеської районної ради Херсонської області</t>
  </si>
  <si>
    <t>75540</t>
  </si>
  <si>
    <t>6522181001</t>
  </si>
  <si>
    <t>(05534)65449, (066)3334661</t>
  </si>
  <si>
    <t>Новодмитрівська загальноосвітня школа І-ІІІ ступенів Генічеської районної ради Херсонської області</t>
  </si>
  <si>
    <t>75566</t>
  </si>
  <si>
    <t>6522181501</t>
  </si>
  <si>
    <t>(055)3463167</t>
  </si>
  <si>
    <t>Озерянська загальноосвітня школа І-ІІІ ступенів Генічеської районної ради Херсонської області</t>
  </si>
  <si>
    <t>75542</t>
  </si>
  <si>
    <t>6522182501</t>
  </si>
  <si>
    <t>вул. Спеціалістів, 6</t>
  </si>
  <si>
    <t>(066)3209596</t>
  </si>
  <si>
    <t>http://www.ozerianska-zosh.ks.sch.in.ua</t>
  </si>
  <si>
    <t>Павлівська загальноосвітня школа І-ІІІ ступенів Генічеської районної ради Херсонської області</t>
  </si>
  <si>
    <t>75510</t>
  </si>
  <si>
    <t>6522183001</t>
  </si>
  <si>
    <t>вул. пр.Шкільний, 1</t>
  </si>
  <si>
    <t>(05534)56149</t>
  </si>
  <si>
    <t>Петрівська загальноосвітня школа І - ІІІ ступенів Генічеської районної ради Херсонської області</t>
  </si>
  <si>
    <t>75511</t>
  </si>
  <si>
    <t>6522183501</t>
  </si>
  <si>
    <t>вул. Зарічна, 13</t>
  </si>
  <si>
    <t>(05534)56518</t>
  </si>
  <si>
    <t>Привільненська загальноосвітня школа І-ІІІ ступенів Генічеської районної ради Херсонської області</t>
  </si>
  <si>
    <t>75512</t>
  </si>
  <si>
    <t>6522183701</t>
  </si>
  <si>
    <t>вул. Шевченко, 23</t>
  </si>
  <si>
    <t>(05534)55115</t>
  </si>
  <si>
    <t>http://privolnenskaya.ucoz.net</t>
  </si>
  <si>
    <t>Рівненська загальноосвітня школа І-ІІІ ступенів Генічеської районної ради Херсонської області</t>
  </si>
  <si>
    <t>75530</t>
  </si>
  <si>
    <t>6522184001</t>
  </si>
  <si>
    <t>0553462449</t>
  </si>
  <si>
    <t>http://rovenchane.ucoz.ru</t>
  </si>
  <si>
    <t>Сокологірненська загальноосвітня школа I-III ступенів Генічеської районної ради Херсонської області</t>
  </si>
  <si>
    <t>75521</t>
  </si>
  <si>
    <t>6522184501</t>
  </si>
  <si>
    <t>Сокологірне</t>
  </si>
  <si>
    <t>(05534)67149</t>
  </si>
  <si>
    <t>http://sokolshool.ukoz.ua</t>
  </si>
  <si>
    <t>Стокопанівська загальноосвітня школа І-ІІІ ступенів Генічеської районної ради Херсонської області</t>
  </si>
  <si>
    <t>75545</t>
  </si>
  <si>
    <t>6522185001</t>
  </si>
  <si>
    <t>Стокопані</t>
  </si>
  <si>
    <t>(055)3467549</t>
  </si>
  <si>
    <t>http://stokopan.at.ua</t>
  </si>
  <si>
    <t>Стрілківська загальноосвітня школа І-ІІІ ступенів Генічеської районної ради Херсонської області</t>
  </si>
  <si>
    <t>75583</t>
  </si>
  <si>
    <t>6522185201</t>
  </si>
  <si>
    <t>Стрілкове</t>
  </si>
  <si>
    <t>(05534)68118</t>
  </si>
  <si>
    <t>Щасливцівська загальноосвітня школа І-ІІІ ступенів Генічеської районної ради Херсонської області</t>
  </si>
  <si>
    <t>75580</t>
  </si>
  <si>
    <t>6522186501</t>
  </si>
  <si>
    <t>Щасливцеве</t>
  </si>
  <si>
    <t>вул. Миру, 80</t>
  </si>
  <si>
    <t>(05534)58-3-40</t>
  </si>
  <si>
    <t>Фрунзенська загальноосвітня школа І-ІІІ ступенів Генічеської районної ради Херсонської області</t>
  </si>
  <si>
    <t>75546</t>
  </si>
  <si>
    <t>6522187001</t>
  </si>
  <si>
    <t>05534-69-4-74</t>
  </si>
  <si>
    <t>Червонопрапорна загальноосвітня школа І - ІІІ ступенів Генічеської районної ради Херсонської області</t>
  </si>
  <si>
    <t>75517</t>
  </si>
  <si>
    <t>6522187501</t>
  </si>
  <si>
    <t>(05534)65-1-49, 0978320961</t>
  </si>
  <si>
    <t>http://www.ch-praporna-zosh.ks.sch.in.ua/</t>
  </si>
  <si>
    <t>Чонгарська загальноосвітня школа І - ІІІ ступенів Генічеської районної ради Херсонської області</t>
  </si>
  <si>
    <t>75570</t>
  </si>
  <si>
    <t>6522188001</t>
  </si>
  <si>
    <t>Чонгар</t>
  </si>
  <si>
    <t>вул. Тараса Шевченка, 66</t>
  </si>
  <si>
    <t>0553463349</t>
  </si>
  <si>
    <t>Миколаївська загальноосвітня школа І ступеня Генічеської районної ради Херсонської області</t>
  </si>
  <si>
    <t>75572</t>
  </si>
  <si>
    <t>6522188005</t>
  </si>
  <si>
    <t>(54)133</t>
  </si>
  <si>
    <t>Щорсівська загальноосвітня школа І-ІІІ ступенів Генічеської районної ради Херсонської області</t>
  </si>
  <si>
    <t>75554</t>
  </si>
  <si>
    <t>6522188501</t>
  </si>
  <si>
    <t>вул. Шабовти, 21</t>
  </si>
  <si>
    <t>(05534)64149</t>
  </si>
  <si>
    <t>Олексіївська загальноосвітня школа І-ІІІ ступенів Олексіївської сільської ради Голопристанського району Херсонської області</t>
  </si>
  <si>
    <t>75642</t>
  </si>
  <si>
    <t>6522380201</t>
  </si>
  <si>
    <t>(05539)45230</t>
  </si>
  <si>
    <t>http://www.oleksiivka-gp-zosh.edukit.kherson.ua/</t>
  </si>
  <si>
    <t>Бехтерська загальноосвітня школа І-ІІІ ступенів Бехтерської сільської ради Голопристанського району Херсонської області</t>
  </si>
  <si>
    <t>75650</t>
  </si>
  <si>
    <t>6522380501</t>
  </si>
  <si>
    <t>Бехтери</t>
  </si>
  <si>
    <t>(0539)42761</t>
  </si>
  <si>
    <t>Великокардашинська ЗОШ І-ІІІ ступенів Великокардашинської сільської ради Голопристанського району Херсонської області</t>
  </si>
  <si>
    <t>75610</t>
  </si>
  <si>
    <t>6522381001</t>
  </si>
  <si>
    <t>Велика Кардашинка</t>
  </si>
  <si>
    <t>(05539)32402</t>
  </si>
  <si>
    <t>Кардашинська загальноосвітня школа І-ІІ ступенів Великокардашинської сільської ради Голопристанського району Херсонської області</t>
  </si>
  <si>
    <t>75611</t>
  </si>
  <si>
    <t>6522381002</t>
  </si>
  <si>
    <t>Кардашинка</t>
  </si>
  <si>
    <t>вул. Шевченка, 85А</t>
  </si>
  <si>
    <t>(05539)40519</t>
  </si>
  <si>
    <t>http://кардашинська-зош.in.ua</t>
  </si>
  <si>
    <t>Малокардашинська загальноосвітня школа І-ІІ ступенів Великокардашинської сільської ради Голопристанського району Херсонської області</t>
  </si>
  <si>
    <t>75612</t>
  </si>
  <si>
    <t>6522381004</t>
  </si>
  <si>
    <t>Мала Кардашинка</t>
  </si>
  <si>
    <t>(05539)45336</t>
  </si>
  <si>
    <t>Геройська загальноосвітня школа І-ІІІ ступенів Геройської сільської ради , Голопристанського району, Херсонської області</t>
  </si>
  <si>
    <t>75620</t>
  </si>
  <si>
    <t>6522381501</t>
  </si>
  <si>
    <t>Геройське</t>
  </si>
  <si>
    <t>вул. Оводовського, 17</t>
  </si>
  <si>
    <t>(05539)46238</t>
  </si>
  <si>
    <t>Гладківська загальноосвітня школа І-ІІІ ступенів Гладківської сільської ради Голопристанського району Херсонської області</t>
  </si>
  <si>
    <t>75633</t>
  </si>
  <si>
    <t>6522382001</t>
  </si>
  <si>
    <t>Гладківка</t>
  </si>
  <si>
    <t>вул. Центральна, 163</t>
  </si>
  <si>
    <t>http://gladkivka-zosh.ks.sch.in.ua</t>
  </si>
  <si>
    <t>Добропільська загальноосвітня школа I-III ступені Добропільської сільської ради Голопристанського району Херсонської області</t>
  </si>
  <si>
    <t>75663</t>
  </si>
  <si>
    <t>6522382501</t>
  </si>
  <si>
    <t>http://dobropilya.wix.com/shkola</t>
  </si>
  <si>
    <t>Долматівська загальноосвітня школа І-ІІІ ступенів Долматівської сільської ради Голопристанського району Херсонської області</t>
  </si>
  <si>
    <t>75662</t>
  </si>
  <si>
    <t>6522383001</t>
  </si>
  <si>
    <t>Долматівка</t>
  </si>
  <si>
    <t>вул. Горького, 33</t>
  </si>
  <si>
    <t>(05539)3-84-30</t>
  </si>
  <si>
    <t>Збур'ївська загальноосвітня школа І-ІІІ ступенів Збур'ївської сільської ради Голопристанського району Херсонської області</t>
  </si>
  <si>
    <t>75643</t>
  </si>
  <si>
    <t>6522383201</t>
  </si>
  <si>
    <t>Збур'ївка</t>
  </si>
  <si>
    <t>вул. Приморська(Леніна), 18</t>
  </si>
  <si>
    <t>(239)49219</t>
  </si>
  <si>
    <t>Олександрівська загальноосвітня школа І - ІІІ ступенів Олександрівської сільської ради Голопристанського району Херсонської області</t>
  </si>
  <si>
    <t>75640</t>
  </si>
  <si>
    <t>6522383401</t>
  </si>
  <si>
    <t>вул. Миру, 4А</t>
  </si>
  <si>
    <t>(25774984)0553930520</t>
  </si>
  <si>
    <t>Круглоозерська загальноосвітня школа І-ІІІ ступенів Круглоозерської сільської ради Голопристанського району Херсонської області</t>
  </si>
  <si>
    <t>75654</t>
  </si>
  <si>
    <t>6522383501</t>
  </si>
  <si>
    <t>Круглоозерка</t>
  </si>
  <si>
    <t>Малокопанівська загальноосвітня школа І-ІІІ ступенів, Малокопанівської сільської ради, Голопристанського району, Херсонської області.</t>
  </si>
  <si>
    <t>75632</t>
  </si>
  <si>
    <t>6522383801</t>
  </si>
  <si>
    <t>Малі Копані</t>
  </si>
  <si>
    <t>Нововолодимирівська загальноосвітня школа I-III ступенів Нововолодимирівської сільської ради</t>
  </si>
  <si>
    <t>75660</t>
  </si>
  <si>
    <t>6522383901</t>
  </si>
  <si>
    <t>вул. Слави, 24Д</t>
  </si>
  <si>
    <t>http://nvolodymyrivka-zosh.ks.sch.in.ua</t>
  </si>
  <si>
    <t>Новозбур'ївська загальноосвітня школа І-ІІ ступенів № 2 Новозбур'ївської сільської ради Голопристанського району Херсонської області</t>
  </si>
  <si>
    <t>75631</t>
  </si>
  <si>
    <t>6522384001</t>
  </si>
  <si>
    <t>Нова Збур'ївка</t>
  </si>
  <si>
    <t>вул. Центральна, 239</t>
  </si>
  <si>
    <t>(380)669727105, (05539)47696</t>
  </si>
  <si>
    <t>Новозбур’ївська загальноосвітня школа І-ІІІ ступенів № 1 Новозбур’ївської сільскої ради Голопристанського району Херсонської області</t>
  </si>
  <si>
    <t>вул. Центральна, 147</t>
  </si>
  <si>
    <t>(05539)47586</t>
  </si>
  <si>
    <t>Новозбурївська загальноосвітня школа І-ІІІ ступенів № 3 Новозбурївської сільської ради Голопристанського району Херсонської області</t>
  </si>
  <si>
    <t>(05539)47178</t>
  </si>
  <si>
    <t>http://nzburiivka-zosh3.edukit.kherson.ua</t>
  </si>
  <si>
    <t>Новософіївська загальноосвітня школа І-ІІІ ступенів Новософіївської сільської ради Голопристанського району Херсонської області</t>
  </si>
  <si>
    <t>75664</t>
  </si>
  <si>
    <t>6522384201</t>
  </si>
  <si>
    <t>вул. Центральна( Леніна), 57</t>
  </si>
  <si>
    <t>(05539)34336</t>
  </si>
  <si>
    <t>Новофедорівська загальноосвітня школа І-ІІІ ступенів Новофедорівської сільської ради Голопристанського району Херсонської області</t>
  </si>
  <si>
    <t>75652</t>
  </si>
  <si>
    <t>6522384301</t>
  </si>
  <si>
    <t>вул. Незалежності, 27,а</t>
  </si>
  <si>
    <t>(05539)36315</t>
  </si>
  <si>
    <t>Залізнопортівська загальноосвітня школа І-ІІІ ступенів Новофедорівської сільської ради Голопристанського району Херсонської області</t>
  </si>
  <si>
    <t>75653</t>
  </si>
  <si>
    <t>6522384302</t>
  </si>
  <si>
    <t>Залізний Порт</t>
  </si>
  <si>
    <t>(05539)35424</t>
  </si>
  <si>
    <t>http://zaliznyiport-zosh.edukit.kherson.ua/</t>
  </si>
  <si>
    <t>Рибальченська загальноосвітня школа І-ІІІ ступенів Рибальченської сільської ради Голопристанського району Херсонської області</t>
  </si>
  <si>
    <t>75621</t>
  </si>
  <si>
    <t>6522384501</t>
  </si>
  <si>
    <t>Рибальче</t>
  </si>
  <si>
    <t>вул. Степова, 57А</t>
  </si>
  <si>
    <t>(5539)46472</t>
  </si>
  <si>
    <t>http://rybalche-school.at.ua/</t>
  </si>
  <si>
    <t>Садівська ЗОШ І-ІІІ ступенів, Садівської сільської ради Голопристанського району Херсонської області</t>
  </si>
  <si>
    <t>75622</t>
  </si>
  <si>
    <t>6522385001</t>
  </si>
  <si>
    <t>пров. Шкільний, 5А</t>
  </si>
  <si>
    <t>Пам"ятненська загальноосвітня школа І-ІІІ ступенів Садівська сільська рада Голопристанський район Херсонська область</t>
  </si>
  <si>
    <t>75624</t>
  </si>
  <si>
    <t>6522385005</t>
  </si>
  <si>
    <t>Пам'ятне</t>
  </si>
  <si>
    <t>(239)4-54-30</t>
  </si>
  <si>
    <t>Старозбур'ївська загальноосвітня санаторна школа-інтернат I-II ступенів Херсонської обласної ради</t>
  </si>
  <si>
    <t>75630</t>
  </si>
  <si>
    <t>6522385301</t>
  </si>
  <si>
    <t>Стара Збур'ївка</t>
  </si>
  <si>
    <t>вул. Лісна, 2В</t>
  </si>
  <si>
    <t>(05539)39210</t>
  </si>
  <si>
    <t>http://stzsanatornashkola.e-schools.info</t>
  </si>
  <si>
    <t>22756112</t>
  </si>
  <si>
    <t>Старозбур'ївська спеціальна загальноосвітня школа-інтернат І-ІІ ступенів Херсонської обласної ради</t>
  </si>
  <si>
    <t>(239)39253, (239)39475</t>
  </si>
  <si>
    <t>http://stzburinternat.at.ua</t>
  </si>
  <si>
    <t>22756655</t>
  </si>
  <si>
    <t>Старозбур"ївська загальноосвітня школа І-ІІІ ступенів Старозбур"ївської сільської ради Голопристанського району Херсонської області</t>
  </si>
  <si>
    <t>вул. Першотравнева, 40А</t>
  </si>
  <si>
    <t>(05539)39230</t>
  </si>
  <si>
    <t>Таврійська загальноосвітня школа I-III ступенів Гладківської сільської ради Голопристанського району Херсонської області</t>
  </si>
  <si>
    <t>75656</t>
  </si>
  <si>
    <t>6522385401</t>
  </si>
  <si>
    <t>вул. Лісова, 71</t>
  </si>
  <si>
    <t>(05539)43264</t>
  </si>
  <si>
    <t>http://tavriyska-zosh.at.ua/</t>
  </si>
  <si>
    <t>Чорноморська загальноосвітня школа І-ІІІ ступенів Чорноморської сільської ради Голопристанського району Херсонської області</t>
  </si>
  <si>
    <t>75641</t>
  </si>
  <si>
    <t>6522385501</t>
  </si>
  <si>
    <t>http://chornomorska.klasna.com</t>
  </si>
  <si>
    <t>Лиманівська загальноосвітня школа I ступеня Чорноморської сільської ради Голопристанського району Херсонської області</t>
  </si>
  <si>
    <t>6522385502</t>
  </si>
  <si>
    <t>Лиманівка</t>
  </si>
  <si>
    <t>вул. Молодіжна (Енгельса ), 20Б</t>
  </si>
  <si>
    <t>Чулаківська загальноосвітня школа І-ІІІ ступенів Чулаківської сільської ради Голопристанського району Херсонської області</t>
  </si>
  <si>
    <t>75635</t>
  </si>
  <si>
    <t>6522386001</t>
  </si>
  <si>
    <t>Чулаківка</t>
  </si>
  <si>
    <t>вул. В.Заїки, 15А</t>
  </si>
  <si>
    <t>(05539)4-36-15</t>
  </si>
  <si>
    <t>http://chzosh.hol.es</t>
  </si>
  <si>
    <t>Горностаївська ЗОШ № 1 І-ІІІ ступенів імені Героя Радянського Союзу Цвіка Степана Степановича</t>
  </si>
  <si>
    <t>74600</t>
  </si>
  <si>
    <t>6522655100</t>
  </si>
  <si>
    <t>Горностаївка</t>
  </si>
  <si>
    <t>вул. Покровська, 141</t>
  </si>
  <si>
    <t>(05544)41464</t>
  </si>
  <si>
    <t>24948979</t>
  </si>
  <si>
    <t>Горностаївський навчально-виховний комплекс "загальноосвітня школа І-ІІІ ступенів - дошкільний навчальний заклад" Горностаївської районної ради Херсонської області</t>
  </si>
  <si>
    <t>вул. Першотравнева, 158</t>
  </si>
  <si>
    <t>(05544)41258</t>
  </si>
  <si>
    <t>40873110</t>
  </si>
  <si>
    <t>АНТОНІВСЬКИЙ НАВЧАЛЬНО-ВИХОВНИЙ КОМПЛЕКС "ЗАГАЛЬНООСВІТНЯ ШКОЛА І СТУПЕНЯ-ДОШКІЛЬНИЙ ЗАКЛАД" ГОРНОСТАЇВСЬКОЇ РАЙОННОЇ РАДИ ХЕРСОНСЬКОЇ ОБЛАСТІ</t>
  </si>
  <si>
    <t>74641</t>
  </si>
  <si>
    <t>6522680301</t>
  </si>
  <si>
    <t>ал. Східна, 16</t>
  </si>
  <si>
    <t>(095)6521583</t>
  </si>
  <si>
    <t>24948821</t>
  </si>
  <si>
    <t>Зірківська ЗОШ І ступеня Горностаївської районної ради Херсонської області</t>
  </si>
  <si>
    <t>6522680303</t>
  </si>
  <si>
    <t>Зірка</t>
  </si>
  <si>
    <t>вул. Жовтнева, 10</t>
  </si>
  <si>
    <t>Великоблаговіщенська загальноосвітня школа І - ІІІ ступенів Горноставської районної ради Херсонської області</t>
  </si>
  <si>
    <t>74631</t>
  </si>
  <si>
    <t>6522680501</t>
  </si>
  <si>
    <t>Велика Благовіщенка</t>
  </si>
  <si>
    <t>Дубівська загальноосвітня школа І-ІІІ ступенів Горностаївської районної ради Херсонської області</t>
  </si>
  <si>
    <t>74642</t>
  </si>
  <si>
    <t>6522681001</t>
  </si>
  <si>
    <t>0554432425</t>
  </si>
  <si>
    <t>Заводівський навчально-виховний комплекс "навчально-виховний заклад-дошкільний навчальний заклад" Горностаївської районної ради Херсонської області</t>
  </si>
  <si>
    <t>74610</t>
  </si>
  <si>
    <t>6522681501</t>
  </si>
  <si>
    <t>вул. Ювілейна, 7</t>
  </si>
  <si>
    <t>(05544)31234</t>
  </si>
  <si>
    <t>Козаче-Лагерська загальноосвітня школа І-ІІ ступенів імені Героя Соціалістичної Праці Квакуші Миколи Степановича Горностаївської районної ради Херсонської області</t>
  </si>
  <si>
    <t>74622</t>
  </si>
  <si>
    <t>6522682001</t>
  </si>
  <si>
    <t>Козачі Лагері</t>
  </si>
  <si>
    <t>(05544)38211</t>
  </si>
  <si>
    <t>Каїрська загальноосвітня школа І-ІІІ ступенів Горностаївської районної ради Херсонської області</t>
  </si>
  <si>
    <t>74612</t>
  </si>
  <si>
    <t>6522682501</t>
  </si>
  <si>
    <t>вул. Таврійська, 133 а</t>
  </si>
  <si>
    <t>(244)3-04-81</t>
  </si>
  <si>
    <t>24948933</t>
  </si>
  <si>
    <t>Каїрська ЗОШ І ступення Горностаївської районної ради Херсонської області</t>
  </si>
  <si>
    <t>вул. Калініна, 88А</t>
  </si>
  <si>
    <t>Костянтинівська загальноосвітня школа І-ІІІ ступенів Горностаївської районної ради</t>
  </si>
  <si>
    <t>74640</t>
  </si>
  <si>
    <t>6522683001</t>
  </si>
  <si>
    <t>вул. Шевченка, 55А</t>
  </si>
  <si>
    <t>24948726</t>
  </si>
  <si>
    <t>Братолюбівська ЗОШ І ступеня Горностаївської районної ради Херсонської області</t>
  </si>
  <si>
    <t>74620</t>
  </si>
  <si>
    <t>6522683002</t>
  </si>
  <si>
    <t>Маринська загальноосвітня школа І-ІІІ ступенів Горностаївської районної ради Херсонської області</t>
  </si>
  <si>
    <t>74611</t>
  </si>
  <si>
    <t>6522683301</t>
  </si>
  <si>
    <t>Маринське</t>
  </si>
  <si>
    <t>0974568605</t>
  </si>
  <si>
    <t>Ольгинська загальноосвітня школа І-ІІІ ступенів Горностаївської районної ради Херсонської області</t>
  </si>
  <si>
    <t>74621</t>
  </si>
  <si>
    <t>6522683501</t>
  </si>
  <si>
    <t>Ольгине</t>
  </si>
  <si>
    <t>(05544)33239</t>
  </si>
  <si>
    <t>Славненський навчально-виховний комплекс "загальноосвітня школа І-ІІ ступенів - дошкільний навчальний заклад" Горностаївської районної ради Херсонської області</t>
  </si>
  <si>
    <t>74630</t>
  </si>
  <si>
    <t>6522684001</t>
  </si>
  <si>
    <t>Славне</t>
  </si>
  <si>
    <t>Червоноблагодатненський навчально-виховний комплекс "загальноосвітня школа І-ІІІ ступенів - дошкільний навчальний заклад" Горностаївської районної ради Херсонської області</t>
  </si>
  <si>
    <t>6522684501</t>
  </si>
  <si>
    <t>Червоноблагодатне</t>
  </si>
  <si>
    <t>вул. Середня, 13</t>
  </si>
  <si>
    <t>(05544)34143</t>
  </si>
  <si>
    <t>Червонополянська загальноосвітня школа I-III ступенів Горностаївської районної ради Херсонської області</t>
  </si>
  <si>
    <t>6522685001</t>
  </si>
  <si>
    <t>36491</t>
  </si>
  <si>
    <t>Старолук'янівський навчально-виховний комплекс "загальноосвітня школа І ступеня-дошкільний навчальний заклад"</t>
  </si>
  <si>
    <t>6522685004</t>
  </si>
  <si>
    <t>Старолук'янівка</t>
  </si>
  <si>
    <t>0500445957</t>
  </si>
  <si>
    <t>38849597</t>
  </si>
  <si>
    <t>Іванівська гімназія (опорний заклад) освітнього округу Іванівського району Херсонської області</t>
  </si>
  <si>
    <t>75400</t>
  </si>
  <si>
    <t>6522955100</t>
  </si>
  <si>
    <t>вул. Таврійська, 1Б</t>
  </si>
  <si>
    <t>(05531)31493</t>
  </si>
  <si>
    <t>http://ivgimnazi.at.ua/</t>
  </si>
  <si>
    <t>Іванівська загальноосвітня школа І-ІІІ ступенів № 2</t>
  </si>
  <si>
    <t>75401</t>
  </si>
  <si>
    <t>вул. Іванівська (Стаханова), 142А</t>
  </si>
  <si>
    <t>(05531)32419</t>
  </si>
  <si>
    <t>Благодатненська загальноосвітня школа І-ІІІ ступенів Іванівського району Херсонської області</t>
  </si>
  <si>
    <t>75440</t>
  </si>
  <si>
    <t>6522981001</t>
  </si>
  <si>
    <t>0985912263</t>
  </si>
  <si>
    <t>Воскресенська загальноосвітня школа І-ІІІ ступенів</t>
  </si>
  <si>
    <t>75442</t>
  </si>
  <si>
    <t>6522981201</t>
  </si>
  <si>
    <t>Дружбівська загальноосвітня школа І-ІІІ ступенів</t>
  </si>
  <si>
    <t>75411</t>
  </si>
  <si>
    <t>6522981501</t>
  </si>
  <si>
    <t>Дружбівка</t>
  </si>
  <si>
    <t>(05531)22140</t>
  </si>
  <si>
    <t>Любимівська загальноосвітня школа І-ІІІ ступенів Іванівського району Херсонської області</t>
  </si>
  <si>
    <t>75443</t>
  </si>
  <si>
    <t>6522982401</t>
  </si>
  <si>
    <t>(05531)26540</t>
  </si>
  <si>
    <t>Нововасилівський навчально-виховний комплекс "загальноосвітня школа І-ІІІ ступенів - дошкільний навчальний заклад" Іванівського району Херсонської області</t>
  </si>
  <si>
    <t>75432</t>
  </si>
  <si>
    <t>6522983001</t>
  </si>
  <si>
    <t>(05531)22697</t>
  </si>
  <si>
    <t>http://novovasiliv-nvk.at.ua</t>
  </si>
  <si>
    <t>24750119</t>
  </si>
  <si>
    <t>Новодмитрівська загальноосвітня школа І-ІІІ ступенів Іванівського району Херсонської області</t>
  </si>
  <si>
    <t>75441</t>
  </si>
  <si>
    <t>6522983601</t>
  </si>
  <si>
    <t>Новодмитрівка Друга</t>
  </si>
  <si>
    <t>((055)31)2-42-40</t>
  </si>
  <si>
    <t>http://novodmitrovka2.ucoz.ua</t>
  </si>
  <si>
    <t>Новосеменівська загальноосвітня школа І-ІІІ ступенів Іванівського району Херсонської області</t>
  </si>
  <si>
    <t>75431</t>
  </si>
  <si>
    <t>6522984001</t>
  </si>
  <si>
    <t>Новосеменівка</t>
  </si>
  <si>
    <t>(098)8157519</t>
  </si>
  <si>
    <t>http://semenovkash.wix.com/semenovka</t>
  </si>
  <si>
    <t>Трохимівський навчально-виховний комплекс " загальноосвітня школа І-ІІІ ступенів - дошкільний навчальний заклад" Іванівського району Херсонської області</t>
  </si>
  <si>
    <t>75420</t>
  </si>
  <si>
    <t>6522985901</t>
  </si>
  <si>
    <t>Трохимівка</t>
  </si>
  <si>
    <t>(05531)25140</t>
  </si>
  <si>
    <t>http://c98260an.bget.ru/</t>
  </si>
  <si>
    <t>Агайманська загальноосвітня школа І-ІІІ ступенів Іванівського району Херсонської області</t>
  </si>
  <si>
    <t>75422</t>
  </si>
  <si>
    <t>6522987001</t>
  </si>
  <si>
    <t>Агаймани</t>
  </si>
  <si>
    <t>(05531)28140</t>
  </si>
  <si>
    <t>Каланчацька вечірня (змінна) школа ІІ-ІІІ ступенів Каланчацької селищної ради Херсонської області</t>
  </si>
  <si>
    <t>75800</t>
  </si>
  <si>
    <t>6523255100</t>
  </si>
  <si>
    <t>(05530)31698</t>
  </si>
  <si>
    <t>24963269</t>
  </si>
  <si>
    <t>Каланчацька загальноосвітня школа І ступеня № 3 Каланчацької селищної ради Херсонської області</t>
  </si>
  <si>
    <t>вул. Таврійська, 1</t>
  </si>
  <si>
    <t>(05530)3-40-00</t>
  </si>
  <si>
    <t>http://kalan3.at.ua</t>
  </si>
  <si>
    <t>32750521</t>
  </si>
  <si>
    <t>Каланчацька загальноосвітня школа І-ІІІ ступенів № 1 Каланчацької селищної ради Херсонської області</t>
  </si>
  <si>
    <t>вул. Скадовська, 1</t>
  </si>
  <si>
    <t>(05530)31346</t>
  </si>
  <si>
    <t>http://kalan-school1.org.ua</t>
  </si>
  <si>
    <t>24963306</t>
  </si>
  <si>
    <t>Каланчацька загальноосвітня школа І-ІІІ ступенів № 2 Каланчацької селищної ради Херсонської області</t>
  </si>
  <si>
    <t>(05530)31783</t>
  </si>
  <si>
    <t>http://kalanchak2.ucoz.ua</t>
  </si>
  <si>
    <t>24963298</t>
  </si>
  <si>
    <t>Мирненська загальноосвітня школа І-ІІІ ступенів Мирненської селищної ради Каланчацького району Херсонської області</t>
  </si>
  <si>
    <t>75822</t>
  </si>
  <si>
    <t>6523255400</t>
  </si>
  <si>
    <t>(05530)39194</t>
  </si>
  <si>
    <t>http://mzosh.ucoz.net/</t>
  </si>
  <si>
    <t>Олександрівська загальноосвітня школа І-ІІІ ступенів Каланчацької селищної ради Херсонської області</t>
  </si>
  <si>
    <t>75840</t>
  </si>
  <si>
    <t>6523281101</t>
  </si>
  <si>
    <t>вул. Гагаріна, 33</t>
  </si>
  <si>
    <t>(05530)4-82-47</t>
  </si>
  <si>
    <t>http://oleksandrivka-zosh.edukit.kherson.ua</t>
  </si>
  <si>
    <t>24963329</t>
  </si>
  <si>
    <t>Олексіївська загальноосвітня школа І-ІІІ ступенів Каланчацької районної ради Херсонської області</t>
  </si>
  <si>
    <t>75841</t>
  </si>
  <si>
    <t>6523281301</t>
  </si>
  <si>
    <t>(05530)4-14-49</t>
  </si>
  <si>
    <t>http://oleksiivskazosh.blogspot.com/</t>
  </si>
  <si>
    <t>Гаврилівська загальноосвітня школа І-ІІІ ступенів Каланчацької селищної ради Херсонської області</t>
  </si>
  <si>
    <t>75832</t>
  </si>
  <si>
    <t>6523282201</t>
  </si>
  <si>
    <t>Гаврилівка Друга</t>
  </si>
  <si>
    <t>(05530)42272</t>
  </si>
  <si>
    <t>24963275</t>
  </si>
  <si>
    <t>Новоолександрівська загальноосвітня школа І-ІІІ ступенів Каланчацької районної ради Херсонської області</t>
  </si>
  <si>
    <t>75821</t>
  </si>
  <si>
    <t>6523283101</t>
  </si>
  <si>
    <t>(05530)41690</t>
  </si>
  <si>
    <t>Новокиївський навчально-виховний комплекс "загальноосвітній навчальний заклад І-ІІІ ступенів-дошкільний навчальний заклад" Каланчацької селищної ради Херсонської області</t>
  </si>
  <si>
    <t>75804</t>
  </si>
  <si>
    <t>6523283301</t>
  </si>
  <si>
    <t>вул. Поштова, 41</t>
  </si>
  <si>
    <t>(05530)47444</t>
  </si>
  <si>
    <t>http://nkievkaschool.jimbo.com</t>
  </si>
  <si>
    <t>24963232</t>
  </si>
  <si>
    <t>Новокиївська спеціальна загальноосвітня школа - інтернат I - II ступенів Херсонської обласної ради</t>
  </si>
  <si>
    <t>(05530)47427</t>
  </si>
  <si>
    <t>23140658</t>
  </si>
  <si>
    <t>Новопавлівський навчально-виховний комплекс "загальноосвітній навчальний заклад І-ІІІ ступенів - дошкільний навчальний заклад" імені В.Д.Реут Каланчацької селищної ради Херсонської області</t>
  </si>
  <si>
    <t>07582</t>
  </si>
  <si>
    <t>6523283401</t>
  </si>
  <si>
    <t>(05530)43630, 0662513792</t>
  </si>
  <si>
    <t>24960058</t>
  </si>
  <si>
    <t>Привільська загальноосвітня школа І ступеня Каланчацької селищної ради Херсонської області</t>
  </si>
  <si>
    <t>75811</t>
  </si>
  <si>
    <t>6523284401</t>
  </si>
  <si>
    <t>(05530)40514</t>
  </si>
  <si>
    <t>24962956</t>
  </si>
  <si>
    <t>Горьківська загальноосвітня школа І - ІІІ ступенів Каланчацької селищної ради Херсонської області</t>
  </si>
  <si>
    <t>75812</t>
  </si>
  <si>
    <t>6523284404</t>
  </si>
  <si>
    <t>(05530)4-13-30</t>
  </si>
  <si>
    <t>http://gorkysc.at.ua</t>
  </si>
  <si>
    <t>24963281</t>
  </si>
  <si>
    <t>Навчально-виховний комплекс "Роздольненський загальноосвітній навчальний заклад І-ІІІ ступенів - дошкільний навчальний заклад Каланчацької селищної ради Херсонської області"</t>
  </si>
  <si>
    <t>75810</t>
  </si>
  <si>
    <t>6523285501</t>
  </si>
  <si>
    <t>(05530)4-15-46</t>
  </si>
  <si>
    <t>http://rosdolne-zosh.edukit.kherson.ua</t>
  </si>
  <si>
    <t>24963341</t>
  </si>
  <si>
    <t>Хорлівська загальноосвітня школа І-ІІІ ступенів Каланчацької районної ради Херсонської області</t>
  </si>
  <si>
    <t>75813</t>
  </si>
  <si>
    <t>6523286601</t>
  </si>
  <si>
    <t>Хорли</t>
  </si>
  <si>
    <t>вул. Першотравнева, 11</t>
  </si>
  <si>
    <t>(05530)38346</t>
  </si>
  <si>
    <t>http://horlyschool.at.ua</t>
  </si>
  <si>
    <t>Вадимська загальноосвітня школа І-ІІІ ступенів Мирненської селищної ради Каланчацького райну Херсонської області</t>
  </si>
  <si>
    <t>75830</t>
  </si>
  <si>
    <t>6523287701</t>
  </si>
  <si>
    <t>(05530)37281</t>
  </si>
  <si>
    <t>Каїрський навчально-виховний комплекс "загальноосвітній навчальний заклад 1 ступеня - дошкільний навчальний заклад" Мирненської селищної ради Каланчацького району Херсонської області</t>
  </si>
  <si>
    <t>75805</t>
  </si>
  <si>
    <t>6523287702</t>
  </si>
  <si>
    <t>Каїрка</t>
  </si>
  <si>
    <t>(05530)3-72-85, 0671277360</t>
  </si>
  <si>
    <t>Любимівська загальноосвітня школа І-ІІІ ступенів - дошкільний навчальний заклад № 2 Каховської районної ради Херсонської області</t>
  </si>
  <si>
    <t>74822</t>
  </si>
  <si>
    <t>6523555100</t>
  </si>
  <si>
    <t>вул. В. Сухомлинського (Колгоспна), 20</t>
  </si>
  <si>
    <t>(05536)29151</t>
  </si>
  <si>
    <t>http://liubymivka-zosh2.edukit.kherson.ua</t>
  </si>
  <si>
    <t>Любимівська загальноосвітня школа І-ІІІ ступенів дошкільний навчальний заклад № 1 Каховської районної ради Херсонської області</t>
  </si>
  <si>
    <t>(05536)29133</t>
  </si>
  <si>
    <t>http://liubymivka-zosh1.ks.sch.in.ua/</t>
  </si>
  <si>
    <t>Василівська загальноосвітня школа І-ІІІ ступенів Каховської районної ради Херсонської області</t>
  </si>
  <si>
    <t>74820</t>
  </si>
  <si>
    <t>6523580501</t>
  </si>
  <si>
    <t>(05536)62233</t>
  </si>
  <si>
    <t>Софіївська загальноосвітня школа I ступенів Каховської районної ради Херсонської області</t>
  </si>
  <si>
    <t>74281</t>
  </si>
  <si>
    <t>6523580504</t>
  </si>
  <si>
    <t>(05536)62289</t>
  </si>
  <si>
    <t>Дмитрівська загальноосвітня школа І-ІІІ ступенів Каховської районної ради Херсонської області</t>
  </si>
  <si>
    <t>74852</t>
  </si>
  <si>
    <t>6523581001</t>
  </si>
  <si>
    <t>вул. Белінського, 27</t>
  </si>
  <si>
    <t>(05536)63365</t>
  </si>
  <si>
    <t>Дудчинська загальноосвітня школа І-ІІІ ступенів Тавричанської сільської ради Херсонської області</t>
  </si>
  <si>
    <t>74845</t>
  </si>
  <si>
    <t>6523581501</t>
  </si>
  <si>
    <t>Дудчине</t>
  </si>
  <si>
    <t>Заозерненська загальноосвітня школа І-ІІ ступенів Тавричанської сільської ради Каховського району Херсонської області</t>
  </si>
  <si>
    <t>74860</t>
  </si>
  <si>
    <t>6523581801</t>
  </si>
  <si>
    <t>(05536)67110</t>
  </si>
  <si>
    <t>http://www.zaozerne-zosh.ks.sch.in.ua/</t>
  </si>
  <si>
    <t>Кам'янський навчально-виховний комплекс "загальноосвітня школа І-ІІІ ступенів - дошкільний навчальний заклад" Каховської районної ради Херсонської області</t>
  </si>
  <si>
    <t>74830</t>
  </si>
  <si>
    <t>6523582001</t>
  </si>
  <si>
    <t>(05536)94433</t>
  </si>
  <si>
    <t>Сергіївська загальноосвітня школа І-ІІ ступенів Каховської районної ради Херсонської області</t>
  </si>
  <si>
    <t>74831</t>
  </si>
  <si>
    <t>6523582003</t>
  </si>
  <si>
    <t>94531</t>
  </si>
  <si>
    <t>Коробківська загальноосвітня школа І-ІІІ ступенів Каховської районної ради Херсонської області</t>
  </si>
  <si>
    <t>74824</t>
  </si>
  <si>
    <t>6523582501</t>
  </si>
  <si>
    <t>Коробки</t>
  </si>
  <si>
    <t>вул. 40 років Перемоги, 14/16</t>
  </si>
  <si>
    <t>(05536)93-3-33</t>
  </si>
  <si>
    <t>Костогризівська загальноосвітня школа І - ІІІ ступенів Каховської районної ради Херсонської області</t>
  </si>
  <si>
    <t>74844</t>
  </si>
  <si>
    <t>6523582701</t>
  </si>
  <si>
    <t>Костогризове</t>
  </si>
  <si>
    <t>вул. Гагаріна, 20 - А</t>
  </si>
  <si>
    <t>Богданівська загальноосвітня школа І-ІІ ступенів Каховської районної ради Херсонської області</t>
  </si>
  <si>
    <t>74834</t>
  </si>
  <si>
    <t>6523582703</t>
  </si>
  <si>
    <t>055-36-65347</t>
  </si>
  <si>
    <t>Малокаховський навчально-виховний комплекс "Загальноосвітня школа І - ІІІ ступенів - дошкільний навчальний заклад" Каховської районної ради Херсонської області</t>
  </si>
  <si>
    <t>74823</t>
  </si>
  <si>
    <t>6523583501</t>
  </si>
  <si>
    <t>Малокаховка</t>
  </si>
  <si>
    <t>(05536)66410</t>
  </si>
  <si>
    <t>http://mkahzosh.ucoz.ua</t>
  </si>
  <si>
    <t>Новокам'янська загальноосвітня школа І - ІІІ ступенів Каховської районної ради Херсонської області</t>
  </si>
  <si>
    <t>74836</t>
  </si>
  <si>
    <t>6523583601</t>
  </si>
  <si>
    <t>Новокам'янка</t>
  </si>
  <si>
    <t>(05536)95236</t>
  </si>
  <si>
    <t>Роздольненська загальноосвітня школа І-ІІІ ступенів - дошкільний навчальний заклад Каховської районної ради Херсонської області</t>
  </si>
  <si>
    <t>74840</t>
  </si>
  <si>
    <t>6523583801</t>
  </si>
  <si>
    <t>Федорівська загальноосвітня школа І-ІІІ ступенів, Каховської районної ради, Херсонської олласті</t>
  </si>
  <si>
    <t>74850</t>
  </si>
  <si>
    <t>6523584001</t>
  </si>
  <si>
    <t>(99)1-33</t>
  </si>
  <si>
    <t>Семенівський навчально-виховний комплекс "загальноосвітня школа І-ІІІ ступенів-позашкільний навчальний заклад" Каховської районної ради Херсонської області</t>
  </si>
  <si>
    <t>74843</t>
  </si>
  <si>
    <t>6523584501</t>
  </si>
  <si>
    <t>вул. Шкільна (К. Маркса), 42</t>
  </si>
  <si>
    <t>(05536)96152</t>
  </si>
  <si>
    <t>http://www.kakhovsemnvk.key.ua</t>
  </si>
  <si>
    <t>Архангельськослобідська загальноосвітня школа І-ІІІ ступенів Каховської районної ради Херсонської області</t>
  </si>
  <si>
    <t>74842</t>
  </si>
  <si>
    <t>6523584701</t>
  </si>
  <si>
    <t>Архангельська Слобода</t>
  </si>
  <si>
    <t>вул. Крупської, 81</t>
  </si>
  <si>
    <t>(05536)69242</t>
  </si>
  <si>
    <t>Тавричанський навчально-виховний комплекс "Загальноосвітня школа І-ІІІ ступенів - дошкільний навчальний заклад" Тавричанської сільської ради Каховського району Херсонської області</t>
  </si>
  <si>
    <t>74862</t>
  </si>
  <si>
    <t>6523585001</t>
  </si>
  <si>
    <t>Тавричанка</t>
  </si>
  <si>
    <t>вул. 40 років Перемоги, 17</t>
  </si>
  <si>
    <t>(05536)91-1-15</t>
  </si>
  <si>
    <t>Мар'янівська загальноосвітня школа І-ІІ ступенів Тавричанської сільської ради Каховського району Херсонської області</t>
  </si>
  <si>
    <t>74863</t>
  </si>
  <si>
    <t>6523585002</t>
  </si>
  <si>
    <t>вул. В. Терешкової, 18</t>
  </si>
  <si>
    <t>(05536)61647</t>
  </si>
  <si>
    <t>Червоноперекопська загальноосвітня школа І - ІІІ ступенів Каховської районної ради Херсонської області</t>
  </si>
  <si>
    <t>74853</t>
  </si>
  <si>
    <t>6523585501</t>
  </si>
  <si>
    <t>Зелений Під</t>
  </si>
  <si>
    <t>вул. Першотравнева, 32</t>
  </si>
  <si>
    <t>(5536)90133</t>
  </si>
  <si>
    <t>Подівська загальноосвітня школа І ступеня Каховської районної ради Херсонської області</t>
  </si>
  <si>
    <t>6523585505</t>
  </si>
  <si>
    <t>Подівка</t>
  </si>
  <si>
    <t>вул. О.Дишловенка, 4</t>
  </si>
  <si>
    <t>0956156572</t>
  </si>
  <si>
    <t>Чорнянська загальноосвітня школа І-ІІІ ступенів Каховської районної ради Херсонської області</t>
  </si>
  <si>
    <t>74835</t>
  </si>
  <si>
    <t>6523586001</t>
  </si>
  <si>
    <t>Чорнянка</t>
  </si>
  <si>
    <t>(05536)97226</t>
  </si>
  <si>
    <t>http://chornianka.edukit.kherson.ua/</t>
  </si>
  <si>
    <t>Чорноморівська загальноосвітня школа І - ІІІ ступенів Каховської районної ради Херсонської області</t>
  </si>
  <si>
    <t>74841</t>
  </si>
  <si>
    <t>6523586501</t>
  </si>
  <si>
    <t>Чорноморівка</t>
  </si>
  <si>
    <t>вул. Дружби, 14</t>
  </si>
  <si>
    <t>(05536)61-4-30</t>
  </si>
  <si>
    <t>http://www.chornomorivka-zosh.ks.sch.in.ua</t>
  </si>
  <si>
    <t>Нижньосірогозька загальноосвітня школа І-ІІІ ступенів Нижньосірогозької районної ради Херсонської області</t>
  </si>
  <si>
    <t>74701</t>
  </si>
  <si>
    <t>6523855100</t>
  </si>
  <si>
    <t>Нижні Сірогози</t>
  </si>
  <si>
    <t>вул. Височина, 6</t>
  </si>
  <si>
    <t>(05540)2-12-36, (05540)2-22-58</t>
  </si>
  <si>
    <t>http://nsirogozy-zosh.edukit.kherson.ua</t>
  </si>
  <si>
    <t>24951444</t>
  </si>
  <si>
    <t>Анатолівська загальноосвітня школа І-ІІ ступенів Анатолівської сільської ради Нижньосірогозького району Херсонської області</t>
  </si>
  <si>
    <t>74710</t>
  </si>
  <si>
    <t>6523880201</t>
  </si>
  <si>
    <t>(240)4-51-57</t>
  </si>
  <si>
    <t>24949660</t>
  </si>
  <si>
    <t>Братська школа-садок Братської сільської ради Нижньосірогозького району Херсонської області</t>
  </si>
  <si>
    <t>6523880401</t>
  </si>
  <si>
    <t>(05540)21431</t>
  </si>
  <si>
    <t>Червонопартизанська загальноосвітня школа І-ІІІ ступенів Нижньосірогозької районної ради Херсонської області</t>
  </si>
  <si>
    <t>74731</t>
  </si>
  <si>
    <t>6523880501</t>
  </si>
  <si>
    <t>Верби</t>
  </si>
  <si>
    <t>вул. Зелена, 1 б</t>
  </si>
  <si>
    <t>(05540)47440</t>
  </si>
  <si>
    <t>24951473</t>
  </si>
  <si>
    <t>Верхньосірогозька загальноосвітня школа І-ІІІ ступенів, Нижньосірогозької районної ради Херсонської області</t>
  </si>
  <si>
    <t>74722</t>
  </si>
  <si>
    <t>6523881001</t>
  </si>
  <si>
    <t>Верхні Сірогози</t>
  </si>
  <si>
    <t>0554047140</t>
  </si>
  <si>
    <t>http://vszosh.ucoz.ua</t>
  </si>
  <si>
    <t>24951496</t>
  </si>
  <si>
    <t>Верхньоторгаївська загальноосвітня школа І-ІІ ступенів Нижньосірогозької районної ради</t>
  </si>
  <si>
    <t>74740</t>
  </si>
  <si>
    <t>6523881501</t>
  </si>
  <si>
    <t>Верхні Торгаї</t>
  </si>
  <si>
    <t>вул. Східна, 32</t>
  </si>
  <si>
    <t>(05540)4-31-40</t>
  </si>
  <si>
    <t>24951467</t>
  </si>
  <si>
    <t>Вільненська загальноосвітня школа І-ІІІ ступенів Нижньосірогозької районної ради Херсонської області</t>
  </si>
  <si>
    <t>74732</t>
  </si>
  <si>
    <t>6523882001</t>
  </si>
  <si>
    <t>947540</t>
  </si>
  <si>
    <t>24951450</t>
  </si>
  <si>
    <t>Дем'янівська загальноосвітня школа І-ІІ ступенів Нижньосірогозької районної ради Херсонської області</t>
  </si>
  <si>
    <t>74730</t>
  </si>
  <si>
    <t>6523882501</t>
  </si>
  <si>
    <t>(05540)47340</t>
  </si>
  <si>
    <t>http://shkola62.klasna.com/uk/site/distance-learning.html</t>
  </si>
  <si>
    <t>24951504</t>
  </si>
  <si>
    <t>Нижньоторгаївська загальноосвітня школа І-ІІІ ступенів</t>
  </si>
  <si>
    <t>74741</t>
  </si>
  <si>
    <t>6523883001</t>
  </si>
  <si>
    <t>Нижні Торгаї</t>
  </si>
  <si>
    <t>(05540)41140</t>
  </si>
  <si>
    <t>http://ntorgai-zosh.ks.sch.in.ua/</t>
  </si>
  <si>
    <t>24951438</t>
  </si>
  <si>
    <t>Новоолександрівська загальноосвітня школа І-ІІІ ступенів Нижньосірогозької районної ради Херсонської області</t>
  </si>
  <si>
    <t>74720</t>
  </si>
  <si>
    <t>6523883301</t>
  </si>
  <si>
    <t>вул. Садова, 49А</t>
  </si>
  <si>
    <t>(05540)4-72-40</t>
  </si>
  <si>
    <t>http://novoolexandrivskaschool.jimdo.com</t>
  </si>
  <si>
    <t>24951480</t>
  </si>
  <si>
    <t>Новопетрівська загальноосвітня школа І-ІІІ ступенів Нижньосірогозької районної ради Херсонської області</t>
  </si>
  <si>
    <t>74711</t>
  </si>
  <si>
    <t>6523883501</t>
  </si>
  <si>
    <t>вул. Івана Галенко, 23</t>
  </si>
  <si>
    <t>(05540)44140</t>
  </si>
  <si>
    <t>24951421</t>
  </si>
  <si>
    <t>Першопокровська ЗОШ І-ІІІ ступенів Нижньосірогозької районної ради Херсонської області</t>
  </si>
  <si>
    <t>74712</t>
  </si>
  <si>
    <t>6523884001</t>
  </si>
  <si>
    <t>Першопокровка</t>
  </si>
  <si>
    <t>(240)4-61-40</t>
  </si>
  <si>
    <t>http://pershopokrovka-zosh.ks.sch.in.ua/</t>
  </si>
  <si>
    <t>21303331</t>
  </si>
  <si>
    <t>Сірогозька загальноосвітня школа І-ІІІ ступенів Нижньосірогозької районної ради Херсонської області</t>
  </si>
  <si>
    <t>74721</t>
  </si>
  <si>
    <t>6523884301</t>
  </si>
  <si>
    <t>Сірогози</t>
  </si>
  <si>
    <t>вул. 40 років Перемоги, 34</t>
  </si>
  <si>
    <t>0972217628</t>
  </si>
  <si>
    <t>24955181</t>
  </si>
  <si>
    <t>Степненська загальноосвітня школа І-ІІІ ступенів Нижньосірогозької районної ради Херсонської області</t>
  </si>
  <si>
    <t>74742</t>
  </si>
  <si>
    <t>6523884501</t>
  </si>
  <si>
    <t>80973256887</t>
  </si>
  <si>
    <t>22756342</t>
  </si>
  <si>
    <t>Нововоронцовська загальноосвітня школа І-ІІІ ступенів № 1 Нововоронцовської селищної ради Нововоронцовського району Херсонської області</t>
  </si>
  <si>
    <t>74200</t>
  </si>
  <si>
    <t>6524155100</t>
  </si>
  <si>
    <t>Нововоронцовка</t>
  </si>
  <si>
    <t>вул. Суворова, 6</t>
  </si>
  <si>
    <t>(05533)21554, (05533)21772</t>
  </si>
  <si>
    <t>http://novovorontsovka-school1.edukit.kherson.ua/</t>
  </si>
  <si>
    <t>23139640</t>
  </si>
  <si>
    <t>Нововоронцовська загальноосвітня школа І-ІІІ ступенів № 2 Нововоронцовської селищної ради Нововоронцовського району Херсонської області</t>
  </si>
  <si>
    <t>вул. Бериславська, 35</t>
  </si>
  <si>
    <t>0553321689, 0553321462</t>
  </si>
  <si>
    <t>http://www.novovorontsovka-school2.edukit.kherson.ua/</t>
  </si>
  <si>
    <t>24110167</t>
  </si>
  <si>
    <t>Біляївський навчально-виховний комплекс "загальноосвітня школа - дошкільний навчальний заклад (ясла-сад) І-ІІІ ступенів" Біляївської сільської ради Нововоронцовського району Херсонської області</t>
  </si>
  <si>
    <t>74221</t>
  </si>
  <si>
    <t>6524180501</t>
  </si>
  <si>
    <t>(097)5563796, (05533)23310</t>
  </si>
  <si>
    <t>http://bilyaivka.edukit.kherson.ua/</t>
  </si>
  <si>
    <t>22760823</t>
  </si>
  <si>
    <t>Гаврилівська загальноосвітня школа І - ІІІ ступенів Гаврилівської сільської ради Нововоронцовського району Херсонської області</t>
  </si>
  <si>
    <t>74232</t>
  </si>
  <si>
    <t>6524181001</t>
  </si>
  <si>
    <t>пров. Кооперативна, 3</t>
  </si>
  <si>
    <t>055339313</t>
  </si>
  <si>
    <t>http://www.havrilivka-school.edukit.kherson.ua</t>
  </si>
  <si>
    <t>21302900</t>
  </si>
  <si>
    <t>Дудчанське загальноосвітнє обєднання "дитячий садок - школа І-ІІІ ступенів - позашкільний заклад" Дудчанської сільської ради Нововоронцовського району Херсонської області</t>
  </si>
  <si>
    <t>74233</t>
  </si>
  <si>
    <t>6524181501</t>
  </si>
  <si>
    <t>Дудчани</t>
  </si>
  <si>
    <t>вул. Чапаєва, 48</t>
  </si>
  <si>
    <t>(05533)3-11-19</t>
  </si>
  <si>
    <t>http://dudchany.edukit.kherson.ua</t>
  </si>
  <si>
    <t>22760906</t>
  </si>
  <si>
    <t>Золотобалківська загальноосвітня школа І - ІІІ ступенів Золотобалківської сільської ради Нововоронцовського району Херсонської області</t>
  </si>
  <si>
    <t>74214</t>
  </si>
  <si>
    <t>6524182001</t>
  </si>
  <si>
    <t>Золота Балка</t>
  </si>
  <si>
    <t>0553337286</t>
  </si>
  <si>
    <t>http://www.z-balkazosh.jimdo.com</t>
  </si>
  <si>
    <t>21302917</t>
  </si>
  <si>
    <t>Хрещенівська загальноосвітня школа І-ІІІступенів Хрещенівської сільської ради Нововоронцовського району Херсонської області</t>
  </si>
  <si>
    <t>74213</t>
  </si>
  <si>
    <t>6524182501</t>
  </si>
  <si>
    <t>Хрещенівка</t>
  </si>
  <si>
    <t>вул. Чкалова, 15</t>
  </si>
  <si>
    <t>(0553)333140</t>
  </si>
  <si>
    <t>http:////Khreschenivka.edukit.kherson.ua/</t>
  </si>
  <si>
    <t>22760852</t>
  </si>
  <si>
    <t>Любимівська загальноосвітня школа І-ІІІ ступенів Любимівської сільської ради Нововоронцовського району Херсонської області</t>
  </si>
  <si>
    <t>74212</t>
  </si>
  <si>
    <t>6524182801</t>
  </si>
  <si>
    <t>вул. Таврійська, 55</t>
  </si>
  <si>
    <t>0553341404</t>
  </si>
  <si>
    <t>http://www.lyubymivka.edukit.kherson.ua/</t>
  </si>
  <si>
    <t>22760881</t>
  </si>
  <si>
    <t>Комунальна установа "Навчально-виховний комплекс загальноосвітній навчальний заклад І - ІІІ ступеня - дошкільний навчальний заклад Миролюбівської сільської ради Нововоронцовського району, Херсонської області"</t>
  </si>
  <si>
    <t>74211</t>
  </si>
  <si>
    <t>6524183001</t>
  </si>
  <si>
    <t>http://www.myrolyubivka-nvk.edukit.kherson.ua</t>
  </si>
  <si>
    <t>22760912</t>
  </si>
  <si>
    <t>Михайлівська загальноосвітня школа I - III ступенів Михайлівської сільської ради Нововоронцовського району Херсонської області</t>
  </si>
  <si>
    <t>6524183501</t>
  </si>
  <si>
    <t>вул. Леонтіївська, 49</t>
  </si>
  <si>
    <t>0553336232</t>
  </si>
  <si>
    <t>21302975</t>
  </si>
  <si>
    <t>Новоолександрівська загальноосвітня школа - дитячий садок I-III ступенів Новоолександрівської сільської ради Нововоронцовського раойну Херсонської області</t>
  </si>
  <si>
    <t>74231</t>
  </si>
  <si>
    <t>6524183901</t>
  </si>
  <si>
    <t>вул. пр. Шкільний, 6</t>
  </si>
  <si>
    <t>(05533)38226</t>
  </si>
  <si>
    <t>http://novoaleksandrivka-nov.edukit.kherson.ua./</t>
  </si>
  <si>
    <t>22760792</t>
  </si>
  <si>
    <t>Нововоскресенська загальноосвітня школа І-ІІІ ступенів Нововоскресенської сільської ради Нововоронцовського району Херсонської області</t>
  </si>
  <si>
    <t>74220</t>
  </si>
  <si>
    <t>6524184001</t>
  </si>
  <si>
    <t>Нововоскресенське</t>
  </si>
  <si>
    <t>3-95-40</t>
  </si>
  <si>
    <t>http://voskresenskazoh.at.ua</t>
  </si>
  <si>
    <t>22756997</t>
  </si>
  <si>
    <t>Осокорівська загальноосвітня школа І-ІІІ ступенів Осокорівської сільської ради Нововоронцовського району Херсонської області</t>
  </si>
  <si>
    <t>74210</t>
  </si>
  <si>
    <t>6524184501</t>
  </si>
  <si>
    <t>Осокорівка</t>
  </si>
  <si>
    <t>0553334140</t>
  </si>
  <si>
    <t>http://www.osokorivka.edukit.kherson.ua</t>
  </si>
  <si>
    <t>21303029</t>
  </si>
  <si>
    <t>Комунальна установа "Навчально-виховний комплекс загальноосвітній навчальний заклад I ступеня - дошкільний навчальний заклад Петропавлівської сільської ради Нововоронцовського району Херсонської області"</t>
  </si>
  <si>
    <t>74223</t>
  </si>
  <si>
    <t>6524185001</t>
  </si>
  <si>
    <t>вул. Степова, 98</t>
  </si>
  <si>
    <t>(05533)32140</t>
  </si>
  <si>
    <t>http://petropavlivka-nov.edukit.kherson.ua</t>
  </si>
  <si>
    <t>21302969</t>
  </si>
  <si>
    <t>Новотроїцька вечірня (змінна) загальноосвітня школа ІІ-ІІІ ступенів</t>
  </si>
  <si>
    <t>6524455100</t>
  </si>
  <si>
    <t>вул. Гоголя, 28</t>
  </si>
  <si>
    <t>Новотроїцька загальноосвітня школа І-ІІІ ступенів № 1</t>
  </si>
  <si>
    <t>вул. Соборна, 100</t>
  </si>
  <si>
    <t>(05548)21547</t>
  </si>
  <si>
    <t>Новотроїцький навчально-виховний комплекс "Загальноосвітня школа І-ІІІ ступенів - гімназія" Новотроїцької районної ради Херсонської області</t>
  </si>
  <si>
    <t>(05548)5-06-56</t>
  </si>
  <si>
    <t>http://nschool.org.ua/</t>
  </si>
  <si>
    <t>Сиваська загальноосвітня школа І-ІІІ ступенів № 2</t>
  </si>
  <si>
    <t>75342</t>
  </si>
  <si>
    <t>6524455500</t>
  </si>
  <si>
    <t>Сиваське</t>
  </si>
  <si>
    <t>вул. Миру, 169</t>
  </si>
  <si>
    <t>0970263823</t>
  </si>
  <si>
    <t>http://schoolexpirement.blogspot.com</t>
  </si>
  <si>
    <t>Сиваська загальноосвітня школа І-ІІІ ступенів № 1</t>
  </si>
  <si>
    <t>75341</t>
  </si>
  <si>
    <t>вул. Белінського, 10/23</t>
  </si>
  <si>
    <t>5-21-83</t>
  </si>
  <si>
    <t>Сиваська спеціальна загальноосвітня школа інтернат І-ІІ ступенів Херсонської обласної ради</t>
  </si>
  <si>
    <t>вул. Миру, 111</t>
  </si>
  <si>
    <t>(097)0833139</t>
  </si>
  <si>
    <t>24750941</t>
  </si>
  <si>
    <t>Олександрівська загальноосвітня школа І-ІІІ ступенів</t>
  </si>
  <si>
    <t>75343</t>
  </si>
  <si>
    <t>6524480201</t>
  </si>
  <si>
    <t>(096)7798083</t>
  </si>
  <si>
    <t>Василівська загальноосвітня школа І - ІІ ступенів Новотроїцького району Херсонської області</t>
  </si>
  <si>
    <t>75355</t>
  </si>
  <si>
    <t>6524480401</t>
  </si>
  <si>
    <t>вул. Малашина, 11</t>
  </si>
  <si>
    <t>(097)4431022</t>
  </si>
  <si>
    <t>Чумацькошляхівськазагальноосвітня школа І-ІІІ ступенів</t>
  </si>
  <si>
    <t>75310</t>
  </si>
  <si>
    <t>6524480501</t>
  </si>
  <si>
    <t>Чумацький Шлях</t>
  </si>
  <si>
    <t>просп. Кальченка, 4</t>
  </si>
  <si>
    <t>(0552)4839231</t>
  </si>
  <si>
    <t>Новорепівський навчально-виховний комплекс " Загальноосвітня школа І ступеня -дошкільний навчальний заклад" Новотроїцького району Херсонської області</t>
  </si>
  <si>
    <t>75311</t>
  </si>
  <si>
    <t>6524480503</t>
  </si>
  <si>
    <t>Новорепівка</t>
  </si>
  <si>
    <t>ал. вул.Центральна, 4</t>
  </si>
  <si>
    <t>Софіївський навчально-виховний комплекс "Загальноосвітня школа І ступеня-ясла-садок"</t>
  </si>
  <si>
    <t>75312</t>
  </si>
  <si>
    <t>6524480505</t>
  </si>
  <si>
    <t>(05548)41288</t>
  </si>
  <si>
    <t>Воскресенська загальноосвітня школа І - ІІ ступенів</t>
  </si>
  <si>
    <t>75350</t>
  </si>
  <si>
    <t>6524481001</t>
  </si>
  <si>
    <t>вул. Антипенка, 36</t>
  </si>
  <si>
    <t>0980641618</t>
  </si>
  <si>
    <t>Горностаївська загальноосвітня школа I-III ступенів</t>
  </si>
  <si>
    <t>75331</t>
  </si>
  <si>
    <t>6524481301</t>
  </si>
  <si>
    <t>вул. Затиса, 72</t>
  </si>
  <si>
    <t>40280</t>
  </si>
  <si>
    <t>Громівська загальноосвітня школа І-ІІІ ступенів</t>
  </si>
  <si>
    <t>75352</t>
  </si>
  <si>
    <t>6524481501</t>
  </si>
  <si>
    <t>Громівка</t>
  </si>
  <si>
    <t>ал. Леніна, 2</t>
  </si>
  <si>
    <t>(37)2-37</t>
  </si>
  <si>
    <t>Дивненська загальноосвітня школа І-ІІІ ст.,Новотроїцького р-ну, Херсонської обл.</t>
  </si>
  <si>
    <t>75333</t>
  </si>
  <si>
    <t>6524481701</t>
  </si>
  <si>
    <t>Дивне</t>
  </si>
  <si>
    <t>вул. шкільна, 42</t>
  </si>
  <si>
    <t>Зеленівський навчально-виховний комплекс "Загальноосвітня школа І ступеня -ясла-садок"</t>
  </si>
  <si>
    <t>75334</t>
  </si>
  <si>
    <t>6524481801</t>
  </si>
  <si>
    <t>Новомихайлівська загальноосвітня школа І-ІІІ ступенів Новотроїцької районної ради Херсонської області</t>
  </si>
  <si>
    <t>75361</t>
  </si>
  <si>
    <t>6524482001</t>
  </si>
  <si>
    <t>0554835267</t>
  </si>
  <si>
    <t>Новомиколаївський навчально-виховний комплекс "Загальноосвітня школа І - ІІІ ступенів - ясла - садок"</t>
  </si>
  <si>
    <t>75354</t>
  </si>
  <si>
    <t>6524482201</t>
  </si>
  <si>
    <t>вул. Мічуріна, 27</t>
  </si>
  <si>
    <t>0681543357</t>
  </si>
  <si>
    <t>Новопокровська загальноосвітня школа І-ІІІ ступенів Новотроїцького району Херсонської області</t>
  </si>
  <si>
    <t>75353</t>
  </si>
  <si>
    <t>6524482501</t>
  </si>
  <si>
    <t>вул. Гагаріна, 18</t>
  </si>
  <si>
    <t>0960476080</t>
  </si>
  <si>
    <t>Отрадівська загальноосвітня школа І-ІІІ ступенів Новотроїцький район Херсонська область</t>
  </si>
  <si>
    <t>75340</t>
  </si>
  <si>
    <t>6524483001</t>
  </si>
  <si>
    <t>Одрадівка</t>
  </si>
  <si>
    <t>вул. Гагаріна, 50В</t>
  </si>
  <si>
    <t>0965968427</t>
  </si>
  <si>
    <t>http://www.otradaschool.pp.ua</t>
  </si>
  <si>
    <t>Подовський навчально-виховний комплекс "Загальноосвітня школа І-ІІІ ступенів - ясла-садок"</t>
  </si>
  <si>
    <t>75313</t>
  </si>
  <si>
    <t>6524483301</t>
  </si>
  <si>
    <t>Подове</t>
  </si>
  <si>
    <t>0671273033</t>
  </si>
  <si>
    <t>Сергіївська загальноосвітня школа І - ІІІ ступенів</t>
  </si>
  <si>
    <t>75351</t>
  </si>
  <si>
    <t>6524483801</t>
  </si>
  <si>
    <t>вул. 40 років Перемоги, 7</t>
  </si>
  <si>
    <t>3-42-47</t>
  </si>
  <si>
    <t>Сивашівська загальноосвітня школа І-ІІІ ступенів</t>
  </si>
  <si>
    <t>75360</t>
  </si>
  <si>
    <t>6524484001</t>
  </si>
  <si>
    <t>Сивашівка</t>
  </si>
  <si>
    <t>43-3-51</t>
  </si>
  <si>
    <t>Федорівська загальноосвітня школа І-ІІІ ступенів</t>
  </si>
  <si>
    <t>75330</t>
  </si>
  <si>
    <t>6524484501</t>
  </si>
  <si>
    <t>32212</t>
  </si>
  <si>
    <t>Метропільський навчально-виховний комплекс "Загальноосвітня школа І-ІІ ступенів - дошкільний навчальний заклад"</t>
  </si>
  <si>
    <t>75332</t>
  </si>
  <si>
    <t>6524484505</t>
  </si>
  <si>
    <t>Метрополь</t>
  </si>
  <si>
    <t>Чкалівська загальноосвітня школа І-ІІІ ступенів</t>
  </si>
  <si>
    <t>75320</t>
  </si>
  <si>
    <t>6524485001</t>
  </si>
  <si>
    <t>(85548)56439</t>
  </si>
  <si>
    <t>Херсонська,Новотроїцький,Воскресенське.Загальноосвітня школа І ступеня</t>
  </si>
  <si>
    <t>75322</t>
  </si>
  <si>
    <t>6524485002</t>
  </si>
  <si>
    <t>Ковильненський комплекс школа-сад (Іступеня)</t>
  </si>
  <si>
    <t>75321</t>
  </si>
  <si>
    <t>6524485004</t>
  </si>
  <si>
    <t>Ковильне</t>
  </si>
  <si>
    <t>вул. Торгівельна, 8</t>
  </si>
  <si>
    <t>56-3-98, 0671289534</t>
  </si>
  <si>
    <t>Опорний заклад Скадовський навчально-виховний комплекс "Академічна гімназія" Скадовської районної ради Херсонської області</t>
  </si>
  <si>
    <t>75700</t>
  </si>
  <si>
    <t>6524710100</t>
  </si>
  <si>
    <t>Скадовськ</t>
  </si>
  <si>
    <t>вул. Незалежності, 76</t>
  </si>
  <si>
    <t>(05537)54410</t>
  </si>
  <si>
    <t>Скадовська спеціалізована загальноосвітня школа І-ІІІ ступенів "Академія творчості" з поглибленим вивченням предметів художньо-естетичного циклу Скадовської міської ради Херсонської області</t>
  </si>
  <si>
    <t>вул. Покровська, 7А</t>
  </si>
  <si>
    <t>553753445</t>
  </si>
  <si>
    <t>http://skschool2.pp.ua</t>
  </si>
  <si>
    <t>Скадовська загальноосвітня школа І-ІІІ ступенів № 3 Скадовської міської ради Херсонської області</t>
  </si>
  <si>
    <t>вул. Шмідта, 30.</t>
  </si>
  <si>
    <t>http://skadschool3.pp.ua</t>
  </si>
  <si>
    <t>Лазурненська загальноосвітня школа І-ІІІ ступенів Скадовської районної ради Херсонської області</t>
  </si>
  <si>
    <t>75722</t>
  </si>
  <si>
    <t>6524755500</t>
  </si>
  <si>
    <t>0553730667</t>
  </si>
  <si>
    <t>http://www.lazurne-zosh.edukit.kherson.ua</t>
  </si>
  <si>
    <t>Володимирівська загальноосвітня школа І-ІІІ ступенів Скадовської районної ради Херсонської області</t>
  </si>
  <si>
    <t>75721</t>
  </si>
  <si>
    <t>6524780501</t>
  </si>
  <si>
    <t>0553733102</t>
  </si>
  <si>
    <t>Красненська загальноосвітня школа І-ІІІ ступенів Скадовської районної ради Херсонської області</t>
  </si>
  <si>
    <t>75720</t>
  </si>
  <si>
    <t>6524781001</t>
  </si>
  <si>
    <t>вул. Жовтнева, 29</t>
  </si>
  <si>
    <t>(05537)32-0-66</t>
  </si>
  <si>
    <t>http://schoolkrasne.kr.ua</t>
  </si>
  <si>
    <t>Михайлівська загальноосвітня школа І-ІІІ ступенів Скадовської районної ради Херсонської області</t>
  </si>
  <si>
    <t>75710</t>
  </si>
  <si>
    <t>6524781501</t>
  </si>
  <si>
    <t>(05537)35-3-21</t>
  </si>
  <si>
    <t>Новомиколаївська загальноосвітня школа І-ІІІ ступенів Скадовської районної ради Херсонської області</t>
  </si>
  <si>
    <t>75712</t>
  </si>
  <si>
    <t>6524782501</t>
  </si>
  <si>
    <t>(05537)36522</t>
  </si>
  <si>
    <t>https://sites.google.com/site/schoolnnsk/</t>
  </si>
  <si>
    <t>Олександрівська загальноосвітня школа І-ІІІ ступенів Скадовської районної ради Херсонської області</t>
  </si>
  <si>
    <t>75740</t>
  </si>
  <si>
    <t>6524783501</t>
  </si>
  <si>
    <t>(05537)39429</t>
  </si>
  <si>
    <t>http://schoolpt.at.ua</t>
  </si>
  <si>
    <t>Миколаївська загальноосвітня школа І - ІІ ступенів Скадовської районної ради Херсонської області</t>
  </si>
  <si>
    <t>75742</t>
  </si>
  <si>
    <t>6524783505</t>
  </si>
  <si>
    <t>Миколаівка</t>
  </si>
  <si>
    <t>0638985168</t>
  </si>
  <si>
    <t>Хатська загальноосвітня школа І ступенів Скадовської районної ради Херсонської області</t>
  </si>
  <si>
    <t>6524783506</t>
  </si>
  <si>
    <t>Хатки</t>
  </si>
  <si>
    <t>(05537)39538</t>
  </si>
  <si>
    <t>Благодатненська загальноосвітня школа І-ІІІ ступенів Скадовської районної ради Херсонської області</t>
  </si>
  <si>
    <t>75743</t>
  </si>
  <si>
    <t>6524784001</t>
  </si>
  <si>
    <t>0553738890</t>
  </si>
  <si>
    <t>Петропавлівська загальноосвітня школа І-ІІ ступенів Скадовської районної ради Херсонської області</t>
  </si>
  <si>
    <t>6524784004</t>
  </si>
  <si>
    <t>вул. Грушевська, 14А</t>
  </si>
  <si>
    <t>(05537)38-8-45</t>
  </si>
  <si>
    <t>http://komschool.at.ua</t>
  </si>
  <si>
    <t>Таврійська загальноосвітня школа І-ІІІ ступенів Скадовської районної ради Херсонської області</t>
  </si>
  <si>
    <t>75741</t>
  </si>
  <si>
    <t>6524784301</t>
  </si>
  <si>
    <t>(05537)39144</t>
  </si>
  <si>
    <t>http://schooltavr.jimdo.com</t>
  </si>
  <si>
    <t>Вишневська загальноосвітня школа І ступеня</t>
  </si>
  <si>
    <t>6524784303</t>
  </si>
  <si>
    <t>0982635841</t>
  </si>
  <si>
    <t>Тарасівська загальноосвітня школа І-ІІІ ступенів Скадовської районної ради Херсонської області</t>
  </si>
  <si>
    <t>6524784501</t>
  </si>
  <si>
    <t>380553737249</t>
  </si>
  <si>
    <t>http://tarasivska-zosh.jimdo.com/</t>
  </si>
  <si>
    <t>Улянівська загальноосвітня школа І-ІІІ ступенів Скадовської районної ради Херсонської області</t>
  </si>
  <si>
    <t>75731</t>
  </si>
  <si>
    <t>6524784701</t>
  </si>
  <si>
    <t>вул. Молодіжна, 20А</t>
  </si>
  <si>
    <t>0553731846</t>
  </si>
  <si>
    <t>Андріївська загальноосвітня школа І ступеня Скадовської районної ради Херсонської області</t>
  </si>
  <si>
    <t>6524784702</t>
  </si>
  <si>
    <t>вул. Вишнева, 29</t>
  </si>
  <si>
    <t>(095)8174253</t>
  </si>
  <si>
    <t>Шевченківська загальноосвітня школа І - ІІІ ступенів Скадовської районної ради Херсонської області</t>
  </si>
  <si>
    <t>75732</t>
  </si>
  <si>
    <t>6524784901</t>
  </si>
  <si>
    <t>вул. Гірського, 22</t>
  </si>
  <si>
    <t>http://шевченківськазош.pp.ua</t>
  </si>
  <si>
    <t>Широківська загальноосвітня школа І-ІІІ ступенів Скадовської районної ради Херсонської області</t>
  </si>
  <si>
    <t>75730</t>
  </si>
  <si>
    <t>6524785001</t>
  </si>
  <si>
    <t>вул. Ладичука, 31</t>
  </si>
  <si>
    <t>(05537)38035</t>
  </si>
  <si>
    <t>http://shyroke-school.jimdo.com</t>
  </si>
  <si>
    <t>Гостроподолянська загальноосвітня школа І ступеня Скадовської районної ради Херсонської області</t>
  </si>
  <si>
    <t>6524785003</t>
  </si>
  <si>
    <t>Гостроподолянське</t>
  </si>
  <si>
    <t>http://gostreschool.moy.su</t>
  </si>
  <si>
    <t>Комунальній заклад "Олешківська спеціальна загальноосвітня школа І-ІІІ ступенів Херсонської обласної ради"</t>
  </si>
  <si>
    <t>6525010100</t>
  </si>
  <si>
    <t>Олешки</t>
  </si>
  <si>
    <t>(05542)23605</t>
  </si>
  <si>
    <t>36305145</t>
  </si>
  <si>
    <t>Олешківська гімназія Олешківської районної ради Херсонської області</t>
  </si>
  <si>
    <t>75100</t>
  </si>
  <si>
    <t>вул. Пароходна, 27</t>
  </si>
  <si>
    <t>(05542)21593</t>
  </si>
  <si>
    <t>http://cyrgym.ucoz.ru</t>
  </si>
  <si>
    <t>Олешківська спеціалізована школа І-ІІІ ступенів № 4 з поглибленим вивченням предметів природничо-математичного напряму Олешківської районної ради Херсонської області</t>
  </si>
  <si>
    <t>75101</t>
  </si>
  <si>
    <t>вул. Житлоселище, 1А</t>
  </si>
  <si>
    <t>(05542)2-28-45</t>
  </si>
  <si>
    <t>https://www.school4.org.ua</t>
  </si>
  <si>
    <t>Олешківська школа І-ІІІ ступенів № 2 з поглибленим вивченням іноземних мов Олешківської районної ради Херсонської області</t>
  </si>
  <si>
    <t>вул. Софіївська, 45</t>
  </si>
  <si>
    <t>(05542)21370</t>
  </si>
  <si>
    <t>http://tsiurupynsk-school2.edukit.kherson.ua/</t>
  </si>
  <si>
    <t>Брилівська загальноосвітня школа І-ІІІ ступенів Олешківської районної ради Херсонської області</t>
  </si>
  <si>
    <t>75143</t>
  </si>
  <si>
    <t>6525055300</t>
  </si>
  <si>
    <t>(05542)55880</t>
  </si>
  <si>
    <t>Новомаячківська загальноосвітня школа I-II ступенів Олешківської районної ради Херсонської області</t>
  </si>
  <si>
    <t>75120</t>
  </si>
  <si>
    <t>6525055700</t>
  </si>
  <si>
    <t>Нова Маячка</t>
  </si>
  <si>
    <t>вул. Садова, 119</t>
  </si>
  <si>
    <t>(05542)53620</t>
  </si>
  <si>
    <t>http://nmschool2.ucoz.ua/</t>
  </si>
  <si>
    <t>Новомаячківська загальноосвітня школа І-ІІІ ступенів</t>
  </si>
  <si>
    <t>вул. Соборна, 112</t>
  </si>
  <si>
    <t>(5542)53388</t>
  </si>
  <si>
    <t>Абрикосівська загальноосвітня школа I-III ступенів № 1 Великокопанівської сільської ради</t>
  </si>
  <si>
    <t>75134</t>
  </si>
  <si>
    <t>6525080201</t>
  </si>
  <si>
    <t>Абрикосівка</t>
  </si>
  <si>
    <t>http://abrikosovka.ucoz.ru/</t>
  </si>
  <si>
    <t>Великокопанівська загальноосвітня школа І-ІІІ ступенів</t>
  </si>
  <si>
    <t>75131</t>
  </si>
  <si>
    <t>6525080501</t>
  </si>
  <si>
    <t>Великі Копані</t>
  </si>
  <si>
    <t>вул. Андреєва, 16</t>
  </si>
  <si>
    <t>(05542)48178</t>
  </si>
  <si>
    <t>http://v-kopani.narod.ru</t>
  </si>
  <si>
    <t>Виноградівська загальноосвітня школа І-ІІІ ступенів імені Героя Радянського Союзу О.М.Соценка</t>
  </si>
  <si>
    <t>75144</t>
  </si>
  <si>
    <t>6525081001</t>
  </si>
  <si>
    <t>Виноградове</t>
  </si>
  <si>
    <t>(05542)58141</t>
  </si>
  <si>
    <t>Козачелагерська загальноосвітня школа І - ІІІ ступенів</t>
  </si>
  <si>
    <t>75110</t>
  </si>
  <si>
    <t>6525081501</t>
  </si>
  <si>
    <t>(0552)57767</t>
  </si>
  <si>
    <t>Кринківська загальноосвітня школа І-ІІ ступенів</t>
  </si>
  <si>
    <t>75111</t>
  </si>
  <si>
    <t>6525081502</t>
  </si>
  <si>
    <t>Кринки</t>
  </si>
  <si>
    <t>вул. Остапва Вишні, 307А</t>
  </si>
  <si>
    <t>(0242)56-8-25</t>
  </si>
  <si>
    <t>http://krunki.at.ua</t>
  </si>
  <si>
    <t>Костогризівська загальноосвітня школа І-ІІІ ступенів Олешківської районної ради Херсонської області</t>
  </si>
  <si>
    <t>75130</t>
  </si>
  <si>
    <t>6525082001</t>
  </si>
  <si>
    <t>вул. Ювілейна, 1А</t>
  </si>
  <si>
    <t>Подо-Калинівська загальноосвітня школа І-ІІІ ступенів Олешківської ради Херсонської області</t>
  </si>
  <si>
    <t>75124</t>
  </si>
  <si>
    <t>6525082501</t>
  </si>
  <si>
    <t>Подо-Калинівка</t>
  </si>
  <si>
    <t>(05542)59138</t>
  </si>
  <si>
    <t>http://www.kalina1980.ucoz.ua</t>
  </si>
  <si>
    <t>Старо-Маячківська загальноосвітня школа І ступеня</t>
  </si>
  <si>
    <t>75125</t>
  </si>
  <si>
    <t>6525082502</t>
  </si>
  <si>
    <t>Стара Маячка</t>
  </si>
  <si>
    <t>(050)2134812</t>
  </si>
  <si>
    <t>Підстепненська загально освітня школа I-II ступенів</t>
  </si>
  <si>
    <t>75112</t>
  </si>
  <si>
    <t>6525083001</t>
  </si>
  <si>
    <t>Підстепне</t>
  </si>
  <si>
    <t>вул. Першотравнева, 27 б</t>
  </si>
  <si>
    <t>(05542)54-6-40</t>
  </si>
  <si>
    <t>http://pidstepne.ucoz.ua</t>
  </si>
  <si>
    <t>Піщанівська загальноосвітня школа І ступеня Олешківської районної ради Херсонської області</t>
  </si>
  <si>
    <t>6525083002</t>
  </si>
  <si>
    <t>Піщанівка</t>
  </si>
  <si>
    <t>вул. Школьна, 4</t>
  </si>
  <si>
    <t>(05542)50686</t>
  </si>
  <si>
    <t>Раденська загальноосвітня школа І-ІІІ ступенів Олешківської районної ради Херсонської області</t>
  </si>
  <si>
    <t>75113</t>
  </si>
  <si>
    <t>6525083501</t>
  </si>
  <si>
    <t>Раденськ</t>
  </si>
  <si>
    <t>вул. Гагаріна, 1Б</t>
  </si>
  <si>
    <t>(05542)52533</t>
  </si>
  <si>
    <t>Челбурдівська загальноосвітня школа І-ІІ ступенів</t>
  </si>
  <si>
    <t>75115</t>
  </si>
  <si>
    <t>6525083502</t>
  </si>
  <si>
    <t>Челбурда</t>
  </si>
  <si>
    <t>(05542)52583</t>
  </si>
  <si>
    <t>Солонцівська загальноосвітня школа І-ІІ ступенів</t>
  </si>
  <si>
    <t>75109</t>
  </si>
  <si>
    <t>6525084001</t>
  </si>
  <si>
    <t>Солонці</t>
  </si>
  <si>
    <t>вул. Зарічна, 138 б</t>
  </si>
  <si>
    <t>Тарасівська загальноосвітня школа І-ІІІ ступенів Олешківської районної ради Херсонської області</t>
  </si>
  <si>
    <t>75140</t>
  </si>
  <si>
    <t>6525085001</t>
  </si>
  <si>
    <t>вул. Садова, 101</t>
  </si>
  <si>
    <t>(05542)59452</t>
  </si>
  <si>
    <t>http://tarasivka.jimdo.com</t>
  </si>
  <si>
    <t>Клинівська загальноосвітня школа І - ІІ ступенів Виноградівської сільської ради Олешківського району Херсонської області</t>
  </si>
  <si>
    <t>75141</t>
  </si>
  <si>
    <t>6525085002</t>
  </si>
  <si>
    <t>Клини</t>
  </si>
  <si>
    <t>Щасливська загальноосвітня школа І-ІІІ ст</t>
  </si>
  <si>
    <t>75123</t>
  </si>
  <si>
    <t>6525085601</t>
  </si>
  <si>
    <t>(05542)50315</t>
  </si>
  <si>
    <t>Ювілейнівська загальноосвітня школа І-ІІІ ступенів</t>
  </si>
  <si>
    <t>75126</t>
  </si>
  <si>
    <t>6525086001</t>
  </si>
  <si>
    <t>Ювілейне</t>
  </si>
  <si>
    <t>вул. Дружби Народів, 33</t>
  </si>
  <si>
    <t>Опорний заклад навчально - виховний комплекс " Чаплинська школа - гімназія" Чаплинської селищної ради Херсонської області</t>
  </si>
  <si>
    <t>75200</t>
  </si>
  <si>
    <t>6525455100</t>
  </si>
  <si>
    <t>вул. Декабристів, 14</t>
  </si>
  <si>
    <t>Опорний заклад Чаплинська спеціалізована школа I-III ступенівЧаплинської селищної ради Херсонської області</t>
  </si>
  <si>
    <t>75201</t>
  </si>
  <si>
    <t>вул. Грушеського, 56</t>
  </si>
  <si>
    <t>Опорний заклад навчально-виховний комплекс "Загальноосвітня школа І-ІІІ ступенів-дошкільний навчальний заклад-позашкільний навчальний заклад-гімназія" Асканія-Нова селищної ради</t>
  </si>
  <si>
    <t>75230</t>
  </si>
  <si>
    <t>6525455300</t>
  </si>
  <si>
    <t>Асканія-Нова</t>
  </si>
  <si>
    <t>6-13-38</t>
  </si>
  <si>
    <t>Балтазарівська загальноосвітня школа І-ІІІ ступенів Чаплинської селищної ради Херсонської області</t>
  </si>
  <si>
    <t>75212</t>
  </si>
  <si>
    <t>6525480501</t>
  </si>
  <si>
    <t>Балтазарівка</t>
  </si>
  <si>
    <t>Григорівська загальноосвітня школа І-ІІІ ступенів Григорівської сільської ради Чаплинського району Херсонської області</t>
  </si>
  <si>
    <t>75240</t>
  </si>
  <si>
    <t>6525481001</t>
  </si>
  <si>
    <t>вул. Новікова, 1</t>
  </si>
  <si>
    <t>(05538)53340</t>
  </si>
  <si>
    <t>Долинська загальноосвітня школа І-ІІІ ступенів Хрестівської сільської ради Херсонської області</t>
  </si>
  <si>
    <t>75224</t>
  </si>
  <si>
    <t>6525481101</t>
  </si>
  <si>
    <t>(097)0837733</t>
  </si>
  <si>
    <t>24756487</t>
  </si>
  <si>
    <t>Іванівська загальноосвітня школа І-ІІ ступенів Григорівської сільської ради Херсонської області</t>
  </si>
  <si>
    <t>75244</t>
  </si>
  <si>
    <t>6525481301</t>
  </si>
  <si>
    <t>вул. Центральна, 9Б</t>
  </si>
  <si>
    <t>(05538)57-4-40</t>
  </si>
  <si>
    <t>Опорний навчальний заклад "Хрестівська загальноосвітня школа І-ІІІ ступенів Хрестівської сільської ради Херсонської області"</t>
  </si>
  <si>
    <t>75225</t>
  </si>
  <si>
    <t>6525481501</t>
  </si>
  <si>
    <t>Хрестівка</t>
  </si>
  <si>
    <t>(05538)51417</t>
  </si>
  <si>
    <t>24751231</t>
  </si>
  <si>
    <t>Надеждівська загальноосвітня школа І-ІІІ ступенів Хрестівської сільської ради Херсонської області</t>
  </si>
  <si>
    <t>75226</t>
  </si>
  <si>
    <t>6525482401</t>
  </si>
  <si>
    <t>24751248</t>
  </si>
  <si>
    <t>Новонаталівська загальноосвітня школа І-ІІ ступенів - філія опорного навчального закладу "Хрестівська загальноосвітня школа І - ІІІ ступенів Хрестівської сільської ради Херсонської області"</t>
  </si>
  <si>
    <t>75222</t>
  </si>
  <si>
    <t>6525482501</t>
  </si>
  <si>
    <t>Новонаталівка</t>
  </si>
  <si>
    <t>вул. Миру, 77</t>
  </si>
  <si>
    <t>Маркеєвська загальноосвітня школа</t>
  </si>
  <si>
    <t>75235</t>
  </si>
  <si>
    <t>6525482601</t>
  </si>
  <si>
    <t>Маркеєв</t>
  </si>
  <si>
    <t>0997689543</t>
  </si>
  <si>
    <t>Павлівська загальноосвітня школа І-ІІІ ступенів Григорівської сільської ради Херсонської області</t>
  </si>
  <si>
    <t>75241</t>
  </si>
  <si>
    <t>6525483001</t>
  </si>
  <si>
    <t>(05538)58-4-40</t>
  </si>
  <si>
    <t>Першокостянтинівська загальноосвітня школа І-ІІІ ступенів Чаплинської районної ради Херсонської області</t>
  </si>
  <si>
    <t>75242</t>
  </si>
  <si>
    <t>6525483101</t>
  </si>
  <si>
    <t>Першокостянтинівка</t>
  </si>
  <si>
    <t>вул. Тимошенко, 23</t>
  </si>
  <si>
    <t>Преображенська загальноосвітня школа І-ІІІ ступепенів Чаплинської районної ради Херсонської області</t>
  </si>
  <si>
    <t>75213</t>
  </si>
  <si>
    <t>6525483501</t>
  </si>
  <si>
    <t>(05538)54420</t>
  </si>
  <si>
    <t>Скадовська загальноосвітня школа І-ІІІ ступенів Чаплинської селищної ради Херсонської області</t>
  </si>
  <si>
    <t>75211</t>
  </si>
  <si>
    <t>6525483801</t>
  </si>
  <si>
    <t>Скадовка</t>
  </si>
  <si>
    <t>Строганівська загальноосвітня школа І-ІІІ ступенів Григорівської сільської ради Херсонської області</t>
  </si>
  <si>
    <t>75243</t>
  </si>
  <si>
    <t>6525484001</t>
  </si>
  <si>
    <t>Строганівка</t>
  </si>
  <si>
    <t>0966034666</t>
  </si>
  <si>
    <t>ХЛІБОДАРІВСЬКИЙ НАВЧАЛЬНО-ВИХОВНИЙ КОМПЛЕКС «ЗАГАЛЬНООСВІТНІЙ НАВЧАЛЬНИЙ ЗАКЛАД І - ІІІ СТУПЕНІВ - ДОШКІЛЬНИЙ НАВЧАЛЬНИЙ ЗАКЛАД» ЧАПЛИНСЬКОЇ РАЙОННОЇ РАДИ ХЕРСОНСЬКОЇ ОБЛАСТІ</t>
  </si>
  <si>
    <t>75234</t>
  </si>
  <si>
    <t>6525484701</t>
  </si>
  <si>
    <t>вул. Івана Кудрі, 11</t>
  </si>
  <si>
    <t>Шевченківська загальноосвітня школа І-ІІІ ступенів Хрестівської сільської ради Херсонської області</t>
  </si>
  <si>
    <t>75223</t>
  </si>
  <si>
    <t>6525485001</t>
  </si>
  <si>
    <t>(05538)43840</t>
  </si>
  <si>
    <t>http://shevchenko1973ucoz.ru</t>
  </si>
  <si>
    <t>24755720</t>
  </si>
  <si>
    <t>Гімназія № 2 м.Хмельницького</t>
  </si>
  <si>
    <t>29015</t>
  </si>
  <si>
    <t>6810100000</t>
  </si>
  <si>
    <t>Хмельницька область</t>
  </si>
  <si>
    <t>Хмельницький</t>
  </si>
  <si>
    <t>вул. П-т. Миру, 84/2</t>
  </si>
  <si>
    <t>(0382)632732, (0382)632064</t>
  </si>
  <si>
    <t>25908321</t>
  </si>
  <si>
    <t>Навчально-виховне об'єднання № 23 м. Хмельницького</t>
  </si>
  <si>
    <t>29022</t>
  </si>
  <si>
    <t>вул. Карбишева, 6</t>
  </si>
  <si>
    <t>(0382)647715</t>
  </si>
  <si>
    <t>http://nvo23.km.sch.in.ua</t>
  </si>
  <si>
    <t>Навчально-виховне об'єднання № 5 міста Хмельницького імені Сергія Єфремова</t>
  </si>
  <si>
    <t>29000</t>
  </si>
  <si>
    <t>(03822)795725</t>
  </si>
  <si>
    <t>21332444</t>
  </si>
  <si>
    <t>навчально-виховний комплекс № 10 м.Хмельницького</t>
  </si>
  <si>
    <t>вул. Водопровідна, 9А</t>
  </si>
  <si>
    <t>(0382)764890, (0382)703312</t>
  </si>
  <si>
    <t>23841877</t>
  </si>
  <si>
    <t>Навчально-виховний комплекс № 2 м. Хмельницький</t>
  </si>
  <si>
    <t>29009</t>
  </si>
  <si>
    <t>вул. І.Франка, 57</t>
  </si>
  <si>
    <t>(0382)655255</t>
  </si>
  <si>
    <t>21313855</t>
  </si>
  <si>
    <t>Навчально-виховний комплекс № 6 м. Хмельницького</t>
  </si>
  <si>
    <t>29016</t>
  </si>
  <si>
    <t>вул. Молодіжна, 5/1</t>
  </si>
  <si>
    <t>(3803822)671733</t>
  </si>
  <si>
    <t>http://www.nvk6.km.ua/</t>
  </si>
  <si>
    <t>21335800</t>
  </si>
  <si>
    <t>Навчально-виховний комплекс № 7 м.Хмельницького</t>
  </si>
  <si>
    <t>29025</t>
  </si>
  <si>
    <t>вул. Курчатова, 4/3</t>
  </si>
  <si>
    <t>(0382)550325</t>
  </si>
  <si>
    <t>http://blognvk7km.blogspot.com</t>
  </si>
  <si>
    <t>25803007</t>
  </si>
  <si>
    <t>Навчально-виховний комплекс № 9 м. Хмельницького</t>
  </si>
  <si>
    <t>29006</t>
  </si>
  <si>
    <t>вул. Чорновола, 155</t>
  </si>
  <si>
    <t>647713, 647060</t>
  </si>
  <si>
    <t>http://www.nvo-9.km.ua</t>
  </si>
  <si>
    <t>22772306</t>
  </si>
  <si>
    <t>Приватний навчально-виховний комплекс (центр розвитку дитини-загальноосвітня школа І ступеня) з поглибленим вивченням іноземних мов "Мої обрії"</t>
  </si>
  <si>
    <t>29019</t>
  </si>
  <si>
    <t>просп. Миру, 57/4</t>
  </si>
  <si>
    <t>Спеціалізована загальнооосвітня школа І-ІІІ ступенів № 7 міста Хмельницького</t>
  </si>
  <si>
    <t>(0382)65-62-03</t>
  </si>
  <si>
    <t>22771459</t>
  </si>
  <si>
    <t>Спеціалізована загальноосвітня школа І-ІІІ ступенів № 29 м.Хмельницького</t>
  </si>
  <si>
    <t>вул. Вокзальна, 16</t>
  </si>
  <si>
    <t>(0382)777051, (0382)556700</t>
  </si>
  <si>
    <t>http://zosh29.km.ua</t>
  </si>
  <si>
    <t>22772312</t>
  </si>
  <si>
    <t>Спеціалізована загальноосвітня школа I-III ступенів № 12 м. Хмельницького</t>
  </si>
  <si>
    <t>вул. Довженка, 6</t>
  </si>
  <si>
    <t>(0382)647863</t>
  </si>
  <si>
    <t>22774245</t>
  </si>
  <si>
    <t>Спеціалізована загальноосвітня школа І-ІІІ ступенів № 27 імені Дмитра Іваха м. Хмельницького</t>
  </si>
  <si>
    <t>шосе Львівське, 47/4</t>
  </si>
  <si>
    <t>(0382)55-80-95</t>
  </si>
  <si>
    <t>25803088</t>
  </si>
  <si>
    <t>Спеціалізована загальноосвітня школа І-ІІІ ступенів № 8 м. Хмельницького</t>
  </si>
  <si>
    <t>29026</t>
  </si>
  <si>
    <t>вул. Гайдара, 34</t>
  </si>
  <si>
    <t>(0382)644270</t>
  </si>
  <si>
    <t>25803409</t>
  </si>
  <si>
    <t>Технологічний багатопрофільний ліцей з загальноосвітніми класами м. Хмельницького імені Артема Мазура</t>
  </si>
  <si>
    <t>вул. Тернопільська, 14/1</t>
  </si>
  <si>
    <t>(03822)671873, (03822)674323</t>
  </si>
  <si>
    <t>http://tbl.km.ua</t>
  </si>
  <si>
    <t>22772329</t>
  </si>
  <si>
    <t>Хмельницька гімназія № 1 імені Володимира Красицького</t>
  </si>
  <si>
    <t>вул. Подільська, 111</t>
  </si>
  <si>
    <t>(0382)794613</t>
  </si>
  <si>
    <t>23563295</t>
  </si>
  <si>
    <t>Хмельницька загальноосвітня санаторна школа-інтернат І-ІІІ ступенів № 2</t>
  </si>
  <si>
    <t>вул. Чорновола, 180</t>
  </si>
  <si>
    <t>02138866</t>
  </si>
  <si>
    <t>Хмельницька загальноосвітня школа І ступеня № 4</t>
  </si>
  <si>
    <t>29018</t>
  </si>
  <si>
    <t>вул. Тернопільська, 14/2</t>
  </si>
  <si>
    <t>(03822)23466, (03822)22016</t>
  </si>
  <si>
    <t>http://4schkhm.ucoz.ru</t>
  </si>
  <si>
    <t>36326207</t>
  </si>
  <si>
    <t>Хмельницька змінна середня загальноосвітня школа ІІ-ІІІ ступенів № 2</t>
  </si>
  <si>
    <t>29013</t>
  </si>
  <si>
    <t>вул. Проскурівського підпілля, 125/1</t>
  </si>
  <si>
    <t>(0382)552234</t>
  </si>
  <si>
    <t>https://sites.google.com/site/hmelnickavecirnazminnazosno2/home</t>
  </si>
  <si>
    <t>Хмельницька приватна загальноосвітня школа "Гармонія" І-ІІІ ступенів</t>
  </si>
  <si>
    <t>вул. Молодіжна, 12/1</t>
  </si>
  <si>
    <t>(03822)23585</t>
  </si>
  <si>
    <t>22773808</t>
  </si>
  <si>
    <t>Хмельницька середня загальноосвітня школа № 18 І-ІІІ ступенів ім.В.Чорновола</t>
  </si>
  <si>
    <t>29008</t>
  </si>
  <si>
    <t>вул. Купріна, 12</t>
  </si>
  <si>
    <t>(0382)67-15-35, (0382)67-15-36</t>
  </si>
  <si>
    <t>25803013</t>
  </si>
  <si>
    <t>Хмельницька середня загальноосвітня школа І - ІІІ ступенів № 14</t>
  </si>
  <si>
    <t>29010</t>
  </si>
  <si>
    <t>вул. Спортивна, 17</t>
  </si>
  <si>
    <t>(0382)658213</t>
  </si>
  <si>
    <t>http://khmschool14.at.ua</t>
  </si>
  <si>
    <t>25908108</t>
  </si>
  <si>
    <t>Хмельницька середня загальноосвітня школа І-ІІІ ступенів № 22 імені Олега Ольжича</t>
  </si>
  <si>
    <t>29017</t>
  </si>
  <si>
    <t>вул. Заріч анська, 20/1</t>
  </si>
  <si>
    <t>(0382)630608</t>
  </si>
  <si>
    <t>22770997</t>
  </si>
  <si>
    <t>Хмельницька середня загальноосвітня школа І-ІІІ ступенів № 13 імені М.К.Чекмана</t>
  </si>
  <si>
    <t>29011</t>
  </si>
  <si>
    <t>вул. Профспілкова, 39</t>
  </si>
  <si>
    <t>(0382)630294</t>
  </si>
  <si>
    <t>Хмельницька середня загальноосвітня школа І-ІІІ ступенів № 20</t>
  </si>
  <si>
    <t>29002</t>
  </si>
  <si>
    <t>вул. Івана Павла ІІ, 1</t>
  </si>
  <si>
    <t>((0382))55-05-14</t>
  </si>
  <si>
    <t>http://school20.km.ua</t>
  </si>
  <si>
    <t>25834226</t>
  </si>
  <si>
    <t>Хмельницька середня загальноосвітня школа І-ІІІ ступенів № 21</t>
  </si>
  <si>
    <t>просп. Миру, 76/5</t>
  </si>
  <si>
    <t>(0382)63-13-06</t>
  </si>
  <si>
    <t>22771465</t>
  </si>
  <si>
    <t>Хмельницька середня загальноосвітня школа І-ІІІ ступенів № 24</t>
  </si>
  <si>
    <t>вул. Львівське шосе, 47/3</t>
  </si>
  <si>
    <t>25803071</t>
  </si>
  <si>
    <t>Хмельницька середня загальноосвітня школа І-ІІІ ступенів № 25 імені Івана Огієнка</t>
  </si>
  <si>
    <t>вул. С. Бандери, 14/1</t>
  </si>
  <si>
    <t>(03822)631051</t>
  </si>
  <si>
    <t>25803042</t>
  </si>
  <si>
    <t>Хмельницька спеціалізована загальноосвітня школа № 19 І-ІІІ ступенів імені академіка Михайла Павловського</t>
  </si>
  <si>
    <t>29021</t>
  </si>
  <si>
    <t>вул. Камянецька, 164</t>
  </si>
  <si>
    <t>(0382)672826</t>
  </si>
  <si>
    <t>22764070</t>
  </si>
  <si>
    <t>Хмельницька спеціалізована загальноосвітня школа І-ІІІ ступенів № 15 імені Олександра Співачука</t>
  </si>
  <si>
    <t>(0382)55-22-69, (0382)55-22-67</t>
  </si>
  <si>
    <t>http://www.school15.in.ua/</t>
  </si>
  <si>
    <t>22765625</t>
  </si>
  <si>
    <t>Хмельницька спеціалізована середня загальноосвітня школа І - ІІІ ступенів № 6 з поглибленим вивченням німецької мови з 1 - го класу</t>
  </si>
  <si>
    <t>пров. Володимирський, 12</t>
  </si>
  <si>
    <t>(0382)658078</t>
  </si>
  <si>
    <t>http://szosh6.ucoz.ru</t>
  </si>
  <si>
    <t>22771614</t>
  </si>
  <si>
    <t>Хмельницька спеціалізована середня загальноосвітня школа І-ІІІ ступенів № 1</t>
  </si>
  <si>
    <t>вул. Староміська, 2</t>
  </si>
  <si>
    <t>(0382)65-51-64</t>
  </si>
  <si>
    <t>http://school1.km.ua</t>
  </si>
  <si>
    <t>25907942</t>
  </si>
  <si>
    <t>Хмельницька спеціалізована школа І ступеня № 30</t>
  </si>
  <si>
    <t>просп. Миру, 76/6</t>
  </si>
  <si>
    <t>633003</t>
  </si>
  <si>
    <t>25908383</t>
  </si>
  <si>
    <t>Хмельницька спеціальна загальноосвітня школа № 33</t>
  </si>
  <si>
    <t>вул. Завадського, 8/1</t>
  </si>
  <si>
    <t>(0382)650547</t>
  </si>
  <si>
    <t>Хмельницька спеціальна загальноосвітня школа № 32</t>
  </si>
  <si>
    <t>(0382)650218</t>
  </si>
  <si>
    <t>25908433</t>
  </si>
  <si>
    <t>Хмельницьке навчально-виховне об'єднання № 28</t>
  </si>
  <si>
    <t>29027</t>
  </si>
  <si>
    <t>вул. Панаса Мирного, 27/1</t>
  </si>
  <si>
    <t>(0382)771456, (0382)770881</t>
  </si>
  <si>
    <t>25803906</t>
  </si>
  <si>
    <t>Хмельницьке навчально-виховне об'єднання № 1 "Школа-дитячий садок"</t>
  </si>
  <si>
    <t>вул. Старокостянтинівське шосе, 3Б</t>
  </si>
  <si>
    <t>(0382)614640</t>
  </si>
  <si>
    <t>22772364</t>
  </si>
  <si>
    <t>Хмельницький колегіум імені Володимира Козубняка</t>
  </si>
  <si>
    <t>вул. Грушевського, 72</t>
  </si>
  <si>
    <t>(0382)795716</t>
  </si>
  <si>
    <t>25908025</t>
  </si>
  <si>
    <t>Хмельницький ліцей № 17</t>
  </si>
  <si>
    <t>вул. Проскурівського підпілля, 89</t>
  </si>
  <si>
    <t>(0382)656207</t>
  </si>
  <si>
    <t>http://www.licey17.km.ua</t>
  </si>
  <si>
    <t>22786426</t>
  </si>
  <si>
    <t>Хмельницький навчально-виховний комплекс № 4</t>
  </si>
  <si>
    <t>(0382)631233</t>
  </si>
  <si>
    <t>22787118</t>
  </si>
  <si>
    <t>Хмельницький навчально-виховний комплекс № 31 "дошкільний навчальний заклад - загальноосвітній навчальний заклад I ступеня"</t>
  </si>
  <si>
    <t>вул. Мазура, 17</t>
  </si>
  <si>
    <t>25908189</t>
  </si>
  <si>
    <t>Хмельницький спеціалізований ліцей-інтернат поглибленної підготовки в галузі науки</t>
  </si>
  <si>
    <t>вул. Озерна, 14</t>
  </si>
  <si>
    <t>http://lyceum.km.ua</t>
  </si>
  <si>
    <t>21337420</t>
  </si>
  <si>
    <t>Кам'янець-Подільська вечірня загальноосвітня школа II-III ступенів № 1 Хмельницької області</t>
  </si>
  <si>
    <t>32300</t>
  </si>
  <si>
    <t>6810400000</t>
  </si>
  <si>
    <t>Кам'янець-Подільський</t>
  </si>
  <si>
    <t>вул. Огієнка, 35А</t>
  </si>
  <si>
    <t>(03849)51475</t>
  </si>
  <si>
    <t>Кам'янець-Подільська загальноосвітня школа I-III ступенів № 6 Кам’янець-Подільської міської ради Хмельницької області</t>
  </si>
  <si>
    <t>(03849)7-17-62</t>
  </si>
  <si>
    <t>http://kpschool6.at.ua</t>
  </si>
  <si>
    <t>Кам'янець-Подільська загальноосвітня школа I-III ступенів № 16</t>
  </si>
  <si>
    <t>вул. Північна, 102</t>
  </si>
  <si>
    <t>(03849)51714</t>
  </si>
  <si>
    <t>https://sites.google.com/site/nvk16/kampod/</t>
  </si>
  <si>
    <t>Кам’янець-Подільська загальноосвітня школа № 17 І-ІІІ ступенів</t>
  </si>
  <si>
    <t>32315</t>
  </si>
  <si>
    <t>вул. Розвадовського, 8</t>
  </si>
  <si>
    <t>(03849)41928</t>
  </si>
  <si>
    <t>http://nvk-17.ucoz.ru/</t>
  </si>
  <si>
    <t>Кам'янець-Подільська загальноосвітня школа І-ІІ ступенів № 11</t>
  </si>
  <si>
    <t>вул. Злагоди, 27Б</t>
  </si>
  <si>
    <t>9-49-35</t>
  </si>
  <si>
    <t>Кам'янець-Подільська загальноосвітня школа І-ІІІ ступенів № 12 ім. Л.Дмитерка Хмельницької області</t>
  </si>
  <si>
    <t>32306</t>
  </si>
  <si>
    <t>вул. Будівельників, 19</t>
  </si>
  <si>
    <t>(03849)38911</t>
  </si>
  <si>
    <t>http://school12.ucoz.com</t>
  </si>
  <si>
    <t>Кам'янець-Подільська загальноосвітня школа І-ІІІ ступенів № 15 Хмельницької області</t>
  </si>
  <si>
    <t>вул. пр. Грушевського, 17</t>
  </si>
  <si>
    <t>0384951509</t>
  </si>
  <si>
    <t>http://www.kpschool15.pp.ua/</t>
  </si>
  <si>
    <t>Кам'янець-Подільська загальноосвітня школа І-ІІІ ступенів № 10 Хмельницької області</t>
  </si>
  <si>
    <t>32305</t>
  </si>
  <si>
    <t>вул. Короленка, 20</t>
  </si>
  <si>
    <t>(03849)24156</t>
  </si>
  <si>
    <t>Кам'янець-Подільська загальноосвітня школа І-ІІІ ступенів № 2 імені Т.Г.Шевченка Хмельницької області</t>
  </si>
  <si>
    <t>вул. Князів Коріатовичів, 2</t>
  </si>
  <si>
    <t>(03848)51646</t>
  </si>
  <si>
    <t>Кам’янець-Подільська загальноосвітня школа І-ІІІ ступненів № 7 Хмельницької області</t>
  </si>
  <si>
    <t>вул. Миколи Гордійчука, 27</t>
  </si>
  <si>
    <t>(03849)41100</t>
  </si>
  <si>
    <t>http://school7.osvita-kp.gov.ua/</t>
  </si>
  <si>
    <t>Кам’янець-Подільська спеціалізована загальноосвітня школа І-ІІІ ступенів № 1 з поглибленим вивченням німецької мови Хмельницької області</t>
  </si>
  <si>
    <t>пл. Польський ринок, 6</t>
  </si>
  <si>
    <t>((03849))2-15-13</t>
  </si>
  <si>
    <t>http://kpschool1.at.ua</t>
  </si>
  <si>
    <t>Кам'янець-Подільська спеціалізована загальноосвітня школа І-ІІІ ступенів № 5 з поглибленим вивченням інформатики Хмельницької області</t>
  </si>
  <si>
    <t>вул. Лесі Українки, 59</t>
  </si>
  <si>
    <t>(03849)23722</t>
  </si>
  <si>
    <t>Кам'янець-Подільська спеціалізована школа-інтернат І-ІІІ ступенів "Славутинка" Хмельницької обласної ради</t>
  </si>
  <si>
    <t>http://slavutynka.osvitakp.in.ua/</t>
  </si>
  <si>
    <t>23836149</t>
  </si>
  <si>
    <t>Кам'янець-Подільська спеціальна школа-інтернат І-ІІІ ступенів Хмельницької обласної ради</t>
  </si>
  <si>
    <t>вул. Суворова, 20.</t>
  </si>
  <si>
    <t>(03849)25497</t>
  </si>
  <si>
    <t>http://www.osvita-slabozori.com.ua/</t>
  </si>
  <si>
    <t>23827908</t>
  </si>
  <si>
    <t>Кам'янець-Подільський багатопрофільний навчально-реабілітаційний центр Хмельницької обласної ради</t>
  </si>
  <si>
    <t>(03849)23079</t>
  </si>
  <si>
    <t>http://bnrc-kam-pod.at.ua</t>
  </si>
  <si>
    <t>23827890</t>
  </si>
  <si>
    <t>Кам’янець-Подільський ліцей</t>
  </si>
  <si>
    <t>вул. Лесі Українки, 29</t>
  </si>
  <si>
    <t>(03849)51410</t>
  </si>
  <si>
    <t>Кам'янець-Подільський ліцей з посиленою військово-фізичною підготовкою Хмельницької області</t>
  </si>
  <si>
    <t>вул. Гагаріна, 56</t>
  </si>
  <si>
    <t>(03849)32882</t>
  </si>
  <si>
    <t>http://kpml.com.ua</t>
  </si>
  <si>
    <t>25921037</t>
  </si>
  <si>
    <t>Кам'янець-Подільський навчально-виховний комплекс № 13 у складі спеціалізованої загальноосвітньої школи І-ІІІ ступенів з поглибленим вивченням польської мови і гімназії Хмельницької області</t>
  </si>
  <si>
    <t>вул. Пушкінська, 5</t>
  </si>
  <si>
    <t>(03849)2-43-14</t>
  </si>
  <si>
    <t>http://nvk13kp.ucoz.com</t>
  </si>
  <si>
    <t>Кам’янець-Подільський навчально-виховний комплекс № 14 у складі спеціалізованої загальноосвітньої школи І ступеня з поглибленим вивченням англійської мови та гімназії Хмельницької області</t>
  </si>
  <si>
    <t>вул. Героїв Небесної Сотні, 17</t>
  </si>
  <si>
    <t>(03849)51426</t>
  </si>
  <si>
    <t>КАМ'ЯНЕЦЬ-ПОДІЛЬСЬКИЙ НАВЧАЛЬНО-ВИХОВНИЙ КОМПЛЕКС № 3 У СКЛАДІ ЗАГАЛЬНООСВІТНЬОЇ ШКОЛИ І-ІІІ СТУПЕНІВ ТА ЛІЦЕЮ ХМЕЛЬНИЦЬКОЇ ОБЛАСТІ</t>
  </si>
  <si>
    <t>вул. Панівецька, 11</t>
  </si>
  <si>
    <t>(03849)51680</t>
  </si>
  <si>
    <t>http://nvk3.osvitakp.com.ua</t>
  </si>
  <si>
    <t>Кам'янець-Подільська загальноосвітня школа № 8 I-III ступенів</t>
  </si>
  <si>
    <t>(03849)2-54-12</t>
  </si>
  <si>
    <t>Кам’янець-Подільський навчально-виховний комплекс № 9 імені А.М.Трояна у складі спеціалізованої загальноосвітньої школи І-ІІІ ступенів з поглибленим вивченням англійської мови та школи мистецтв Хмельницької області</t>
  </si>
  <si>
    <t>вул. Драгоманова, 12</t>
  </si>
  <si>
    <t>(03849)51412, (03849)21036, (03849)23940</t>
  </si>
  <si>
    <t>http://www.nvk9.inf.ua/</t>
  </si>
  <si>
    <t>23838786</t>
  </si>
  <si>
    <t>Кам'янець-Подільський приватний навчально-виховний комплекс "Антей" Кам'янець-Подільської міської ради Хмельницької області</t>
  </si>
  <si>
    <t>(067)2595890</t>
  </si>
  <si>
    <t>Нетішинська загальноосвітня школа І-ІІІ ступенів № 1 Нетішинської міської ради Хмельницької області</t>
  </si>
  <si>
    <t>30100</t>
  </si>
  <si>
    <t>6810500000</t>
  </si>
  <si>
    <t>Нетішин</t>
  </si>
  <si>
    <t>просп. Незалежності, 7</t>
  </si>
  <si>
    <t>http://schoolone-com-ua.1gb.ua</t>
  </si>
  <si>
    <t>21340154</t>
  </si>
  <si>
    <t>Нетішинська загальноосвітня школа І-ІІІ ступенів № 2 Нетішинської міської ради Хмельницької області</t>
  </si>
  <si>
    <t>вул. Будівельників, 5</t>
  </si>
  <si>
    <t>http://schoolnum2.ho.ua</t>
  </si>
  <si>
    <t>21340160</t>
  </si>
  <si>
    <t>Нетішинська загальноосвітня школа І-ІІІ ступенів № 4 Нетішинської міської ради Хмельницької області</t>
  </si>
  <si>
    <t>вул. Енергетиків, 3</t>
  </si>
  <si>
    <t>http://schooln4.ucoz.com/</t>
  </si>
  <si>
    <t>26158477</t>
  </si>
  <si>
    <t>Нетішинський навчально- виховний комплекс "Загальноосвітня школа І- ІІ ступенів та ліцей" Нетішинської міської ради Хмельницької області</t>
  </si>
  <si>
    <t>пров. Миру, 5</t>
  </si>
  <si>
    <t>(03842)3-19-10</t>
  </si>
  <si>
    <t>http://netishinnvk.ucoz.ua</t>
  </si>
  <si>
    <t>21340148</t>
  </si>
  <si>
    <t>Загальноосвітня школа І-ІІІ ступенів № 4 м. Славути Хмельницької області</t>
  </si>
  <si>
    <t>30000</t>
  </si>
  <si>
    <t>6810600000</t>
  </si>
  <si>
    <t>Славута</t>
  </si>
  <si>
    <t>(03842)26505</t>
  </si>
  <si>
    <t>http://sites.google.com/site/school4sla/</t>
  </si>
  <si>
    <t>26514587</t>
  </si>
  <si>
    <t>Загальноосвітня школа І-ІІІ ступенів № 1 м.Славути Хмельницької області</t>
  </si>
  <si>
    <t>вул. Гната Кузовкова, 12</t>
  </si>
  <si>
    <t>(03842)22237</t>
  </si>
  <si>
    <t>http://school1.96.lt</t>
  </si>
  <si>
    <t>26514222</t>
  </si>
  <si>
    <t>Загальноосвітня школа І-ІІІ ступенів № 3 м. Славути Хмельницької області</t>
  </si>
  <si>
    <t>вул. Марії Лисенко, 2А</t>
  </si>
  <si>
    <t>(03842)2-39-51</t>
  </si>
  <si>
    <t>http://www.school3slavuta.at.ua</t>
  </si>
  <si>
    <t>26496518</t>
  </si>
  <si>
    <t>Загальноосвітня школа І-ІІІ ступенів № 6 м. Славута, Хмельницької обл.</t>
  </si>
  <si>
    <t>вул. Острозька, 15</t>
  </si>
  <si>
    <t>(03842)22668</t>
  </si>
  <si>
    <t>http://www.school6.96.lt</t>
  </si>
  <si>
    <t>26432033</t>
  </si>
  <si>
    <t>Загальноосвітня школа І-ІІІ ступенів № 7 м. Славути Хмельницької області</t>
  </si>
  <si>
    <t>вул. Перемоги, 17</t>
  </si>
  <si>
    <t>(03842)7-18-31</t>
  </si>
  <si>
    <t>http://sl-school7.ucoz.ua</t>
  </si>
  <si>
    <t>26494850</t>
  </si>
  <si>
    <t>Навчально - виховний комплекс "Дошкільний навчальний заклад - загальноосвітній навчальний заклад І ст." м.Славути Хмельницької області</t>
  </si>
  <si>
    <t>30002</t>
  </si>
  <si>
    <t>вул. Кн. Сангушків, 64</t>
  </si>
  <si>
    <t>(03842)2-13-08</t>
  </si>
  <si>
    <t>33861803</t>
  </si>
  <si>
    <t>Навчально-виховний комплекс "Дошкільний навчальний заклад - загальноосвітній навчальний заклад І ступеня, гімназія" м. Славути Хмельницької області</t>
  </si>
  <si>
    <t>(03842)21845</t>
  </si>
  <si>
    <t>http://nvkslavuta.at.ua</t>
  </si>
  <si>
    <t>26037851</t>
  </si>
  <si>
    <t>Навчально-виховний комплекс "Загальноосвітня школа І-ІІІ ступенів, гімназія" № 5 м. Славути Хмельницької області</t>
  </si>
  <si>
    <t>вул. Ярослава Мудрого, 60</t>
  </si>
  <si>
    <t>(03842)2-26-37</t>
  </si>
  <si>
    <t>http://www.nvk5.osvitasl.km.ua</t>
  </si>
  <si>
    <t>26432197</t>
  </si>
  <si>
    <t>Славутський навчально-виховний комплекс "Спеціалізована школа І-ІІІ ст, ліцей "Успіх"</t>
  </si>
  <si>
    <t>вул. Ярослава Мудрого, 59</t>
  </si>
  <si>
    <t>(03842)7-13-12</t>
  </si>
  <si>
    <t>33774386</t>
  </si>
  <si>
    <t>Славутський обласний спеціалізований ліцей-інтернат поглибленої підготовки учнів в галузі науки</t>
  </si>
  <si>
    <t>вул. Князів Сангушків, 8</t>
  </si>
  <si>
    <t>http://sl-liseym.at.ua/</t>
  </si>
  <si>
    <t>23563740</t>
  </si>
  <si>
    <t>Шепетівська загальноосвітня школа I-III ступенів № 8 Хмельницької області</t>
  </si>
  <si>
    <t>30401</t>
  </si>
  <si>
    <t>6810700000</t>
  </si>
  <si>
    <t>Шепетівка</t>
  </si>
  <si>
    <t>вул. Вул.Горького, 70</t>
  </si>
  <si>
    <t>(03840)4-07-71</t>
  </si>
  <si>
    <t>38281844</t>
  </si>
  <si>
    <t>Шепетівська загальноосвітня школа І - ІІІ ступенів № 4 ім. Валі Котика Хмельницької області</t>
  </si>
  <si>
    <t>30400</t>
  </si>
  <si>
    <t>вул. В. Котика, 75</t>
  </si>
  <si>
    <t>http://szkola.at.ua</t>
  </si>
  <si>
    <t>22987126</t>
  </si>
  <si>
    <t>українська,польська</t>
  </si>
  <si>
    <t>Шепетівська загальноосвітня школа І-ІII ступенів № 1 ім. М.Островського Хмельницької області</t>
  </si>
  <si>
    <t>30405</t>
  </si>
  <si>
    <t>вул. Островського, 3</t>
  </si>
  <si>
    <t>(03840)41011</t>
  </si>
  <si>
    <t>38281928</t>
  </si>
  <si>
    <t>Шепетівська загальноосвітня школа І-ІІІ ступенів № 3 Шепетівської міської ради Хмельницької області</t>
  </si>
  <si>
    <t>вул. Судилківська, 19</t>
  </si>
  <si>
    <t>(03840)58102</t>
  </si>
  <si>
    <t>http://szosh3.ucoz.ru</t>
  </si>
  <si>
    <t>22987484</t>
  </si>
  <si>
    <t>Шепетівська загальноосвітня школа І-ІІІ ступенів № 6 Хмельницької області</t>
  </si>
  <si>
    <t>вул. Героїв Небесної Сотні, 98</t>
  </si>
  <si>
    <t>(03840)4-07-68</t>
  </si>
  <si>
    <t>http://zosh6.at.ua</t>
  </si>
  <si>
    <t>22786917</t>
  </si>
  <si>
    <t>Шепетівська спеціалізована загальноосвітня школа І-ІІІ ступенів № 2 з поглибленим вивченням основ економіки і правознавства Хмельницької області</t>
  </si>
  <si>
    <t>вул. Героїв Небесної Сотні, 34</t>
  </si>
  <si>
    <t>http://shepetivka-szosh2.km.sch.in.ua</t>
  </si>
  <si>
    <t>22786946</t>
  </si>
  <si>
    <t>Шепетівська спеціалізована школа-інтернат І-ІІІ ступенів з поглибленим вивченням окремих предметів та курсів Хмельницької області</t>
  </si>
  <si>
    <t>(03840)52743</t>
  </si>
  <si>
    <t>http://sh-pansion.ucoz.ua</t>
  </si>
  <si>
    <t>23562723</t>
  </si>
  <si>
    <t>Шепетівський навчально-виховний комплекс "Загальноосвітня школа І-ІІІ ступенів - гімназія" Хмельницької області</t>
  </si>
  <si>
    <t>вул. Героїв Небесної Сотні, 56</t>
  </si>
  <si>
    <t>(03840)40719</t>
  </si>
  <si>
    <t>http://nvk2sh.ucoz.net</t>
  </si>
  <si>
    <t>22786937</t>
  </si>
  <si>
    <t>Шепетівський навчально-виховний комплекс № 1 у складі: "Загальноосвітня школа І-ІІ ступенів та ліцей ім. Героя України М.Дзявульського" Хмельницької області</t>
  </si>
  <si>
    <t>вул. Горбатюка, 61</t>
  </si>
  <si>
    <t>(03840)4-07-78</t>
  </si>
  <si>
    <t>http://nvk1.do.am</t>
  </si>
  <si>
    <t>22989282</t>
  </si>
  <si>
    <t>Шепетівський навчально-виховний комплекс № 3 у складі "Загальноосвітня школа І - ІІІ ступенів ім. Н.Рибака та ліцей з посиленою військово-фізичною підготовкою" Хмельницької області</t>
  </si>
  <si>
    <t>вул. Українська, 67</t>
  </si>
  <si>
    <t>(03840)4-07-37</t>
  </si>
  <si>
    <t>http://nvk3.ucoz.com/</t>
  </si>
  <si>
    <t>22786998</t>
  </si>
  <si>
    <t>Старокостянтинівська загальноосвітня школа І-ІІІ ступенів № 1 Старокостянтинівської міської ради Хмельницької області</t>
  </si>
  <si>
    <t>31100</t>
  </si>
  <si>
    <t>6810800000</t>
  </si>
  <si>
    <t>Старокостянтинів</t>
  </si>
  <si>
    <t>вул. Острозького, 40</t>
  </si>
  <si>
    <t>(03854)33004</t>
  </si>
  <si>
    <t>Старокостянтинівська загальноосвітня школа І-ІІІ ступенів № 3 Старокостянтинівської міської ради Хмельницької області</t>
  </si>
  <si>
    <t>вул. Вишневецького, 2</t>
  </si>
  <si>
    <t>32219</t>
  </si>
  <si>
    <t>Старокостянтинівська загальноосвітня школа І-ІІІ ступенів № 4 Старокостянтинівської міської ради Хмельницької області</t>
  </si>
  <si>
    <t>вул. 1 Травня, 22</t>
  </si>
  <si>
    <t>(03854)32216</t>
  </si>
  <si>
    <t>Старокостянтинівська загальноосвітня школа І-ІІІ ступенів № 6 Старокостянтинівської міської ради Хмельницької області</t>
  </si>
  <si>
    <t>(03854)32545</t>
  </si>
  <si>
    <t>Старокостянтинівська загальноосвітня школа І-ІІІ ступенів № 7 Старокостянтинівської міської ради Хмельницької області</t>
  </si>
  <si>
    <t>31104</t>
  </si>
  <si>
    <t>вул. Прокоп'юка, 6</t>
  </si>
  <si>
    <t>(03854)41344</t>
  </si>
  <si>
    <t>http://school7starkon.ucoz.ua/</t>
  </si>
  <si>
    <t>Старокостянтинівська загальноосвітня школа І-ІІІ ступенів № 8 Старокостянтинівської міської ради Хмельницької області</t>
  </si>
  <si>
    <t>вул. К.Острозького, 16</t>
  </si>
  <si>
    <t>(03854)32313, (03854)30838</t>
  </si>
  <si>
    <t>Старокостянтинівський ліцей Старокостянтинівської міської ради Хмельницької області імені Михайла Семеновича Рудяка</t>
  </si>
  <si>
    <t>3-25-18</t>
  </si>
  <si>
    <t>http://sklicey2.ucoz.ua</t>
  </si>
  <si>
    <t>Старокостянтинівський навчально-виховний комплекс "Спеціалізована школа І ступеня, гімназія" Старокостянтинівської міської ради Хмельницької області імені Героя України Сергія Михайловича Бондарчука</t>
  </si>
  <si>
    <t>вул. Ессенська, 4</t>
  </si>
  <si>
    <t>(3854)45796</t>
  </si>
  <si>
    <t>http://Star-gym.km.ua</t>
  </si>
  <si>
    <t>Білогірський навчально-виховний комплекс "Середня загальноосвітня школа І-ІІІ ступенів ім. І.О.Ткачука, гімназія"</t>
  </si>
  <si>
    <t>30200</t>
  </si>
  <si>
    <t>6820355100</t>
  </si>
  <si>
    <t>Білогір'я</t>
  </si>
  <si>
    <t>(03841)21349</t>
  </si>
  <si>
    <t>http://bilogiryanvk.ucoz.ru</t>
  </si>
  <si>
    <t>Карасихська загальноосвітня школа І ступеня Білогірської районої ради Хмельницької області</t>
  </si>
  <si>
    <t>6820355101</t>
  </si>
  <si>
    <t>Карасиха</t>
  </si>
  <si>
    <t>Ямпільська загальноосвітня школа І-ІІІ ступенів Білогірської районної ради</t>
  </si>
  <si>
    <t>30231</t>
  </si>
  <si>
    <t>6820355600</t>
  </si>
  <si>
    <t>вул. Леніна, 53</t>
  </si>
  <si>
    <t>(03841)93190</t>
  </si>
  <si>
    <t>http://www.yasosh.ucoz.ua</t>
  </si>
  <si>
    <t>Ямпільська спеціальна загальноосвітня школа-інтернат I-III ступенів Хмельницької обласної ради</t>
  </si>
  <si>
    <t>ал. вул. Леніна, 30</t>
  </si>
  <si>
    <t>(03841)9-33-44</t>
  </si>
  <si>
    <t>22989974</t>
  </si>
  <si>
    <t>Дідковецька загальноосвітня школа І-ІІ ступенів</t>
  </si>
  <si>
    <t>6820355601</t>
  </si>
  <si>
    <t>(03841)93113</t>
  </si>
  <si>
    <t>http://didkivcizosh.at.ua</t>
  </si>
  <si>
    <t>Паньковецька загальноосвітня школа І ступеня</t>
  </si>
  <si>
    <t>6820355604</t>
  </si>
  <si>
    <t>Паньківці</t>
  </si>
  <si>
    <t>Великоборовицька загальноосвітня школа І - ІІІ ступенів Білогірської районної ради Хмельницької області</t>
  </si>
  <si>
    <t>30211</t>
  </si>
  <si>
    <t>6820380301</t>
  </si>
  <si>
    <t>Велика Боровиця</t>
  </si>
  <si>
    <t>(03841)926710</t>
  </si>
  <si>
    <t>http://vborovisa.ucoz.ua</t>
  </si>
  <si>
    <t>Воробіївська загальноосвітня школа І-ІІ ступенів Білогірської районної ради Хмельницької області</t>
  </si>
  <si>
    <t>30235</t>
  </si>
  <si>
    <t>6820380501</t>
  </si>
  <si>
    <t>(03841)97244</t>
  </si>
  <si>
    <t>Погорілецька загальноосвітня школа I ступеня Білогірської районної ради Хмельницької області</t>
  </si>
  <si>
    <t>6820380502</t>
  </si>
  <si>
    <t>Погорільці</t>
  </si>
  <si>
    <t>(097)9354197</t>
  </si>
  <si>
    <t>В'язовецька загальноосвітня школа І-ІІІ ступенів Білогірської районної ради Хмельницької області</t>
  </si>
  <si>
    <t>30236</t>
  </si>
  <si>
    <t>6820381001</t>
  </si>
  <si>
    <t>В'язовець</t>
  </si>
  <si>
    <t>(03841)22120</t>
  </si>
  <si>
    <t>http://vjazoveczosh.at.ua</t>
  </si>
  <si>
    <t>Гулівецька загальноосвітня школа І-ІІІ ступенів Білогірської районної державної адміністрації Білогірського району Хмельницької області</t>
  </si>
  <si>
    <t>30207</t>
  </si>
  <si>
    <t>6820381501</t>
  </si>
  <si>
    <t>Гулівці</t>
  </si>
  <si>
    <t>вул. Л.Українки, 2</t>
  </si>
  <si>
    <t>(03841)9-61-49</t>
  </si>
  <si>
    <t>http://www.gulivtsi.ucoz.ru</t>
  </si>
  <si>
    <t>Денисівська загальноосвітня школа І-ІІ ступенів Білогірської районної ради Хмельницької області</t>
  </si>
  <si>
    <t>30242</t>
  </si>
  <si>
    <t>6820382001</t>
  </si>
  <si>
    <t>(03841)94229</t>
  </si>
  <si>
    <t>https://denysivka.e-schools.info</t>
  </si>
  <si>
    <t>Вікнинська загальноосвітня школа, І-ІІ ступенів Білогірського району, Хмельницької області</t>
  </si>
  <si>
    <t>30216</t>
  </si>
  <si>
    <t>6820382501</t>
  </si>
  <si>
    <t>Вікнини</t>
  </si>
  <si>
    <t>Довгалівська загальноосвітня школа І-ІІІ ступенів Білогірської районної ради Хмельницької області</t>
  </si>
  <si>
    <t>30237</t>
  </si>
  <si>
    <t>6820383001</t>
  </si>
  <si>
    <t>(03841)996330</t>
  </si>
  <si>
    <t>http://dov-school.webnode.com.ua</t>
  </si>
  <si>
    <t>Залузька загальноосвітня школа І-ІІІ ступенів Білогірської районної ради Хмельницької області</t>
  </si>
  <si>
    <t>30226</t>
  </si>
  <si>
    <t>6820383501</t>
  </si>
  <si>
    <t>Йосиповецька загальнооосвітня школа І - ІІІ ступенів Білогірської районної ради Хмельницької області</t>
  </si>
  <si>
    <t>6820384001</t>
  </si>
  <si>
    <t>Йосипівці</t>
  </si>
  <si>
    <t>Квітневська загальноосвітня школа І-ІІІ ступенів Білогірської районної ради Хмельницької області</t>
  </si>
  <si>
    <t>30244</t>
  </si>
  <si>
    <t>6820384501</t>
  </si>
  <si>
    <t>(03841)97710</t>
  </si>
  <si>
    <t>http://kvitzosh.ucoz.ru</t>
  </si>
  <si>
    <t>Соснівська загальноосвітня школа І-ІІ ступенів Білогірської районної Ради Хмельницької області</t>
  </si>
  <si>
    <t>6820384503</t>
  </si>
  <si>
    <t>(03841)97611</t>
  </si>
  <si>
    <t>http://sosnivka-bil.edukit.km.ua</t>
  </si>
  <si>
    <t>Коритненська ЗОШ І-ІІ ступенів Білогірської районної ради Хмельницької області</t>
  </si>
  <si>
    <t>6820384701</t>
  </si>
  <si>
    <t>http://korytneschool.at.ua/</t>
  </si>
  <si>
    <t>Шимковецька загальноосвітня школа І-ІІ ступенів Білогірської районної ради Хмельницької області</t>
  </si>
  <si>
    <t>30214</t>
  </si>
  <si>
    <t>6820385003</t>
  </si>
  <si>
    <t>вул. Піддубинська, 67</t>
  </si>
  <si>
    <t>(038241)9-43-12</t>
  </si>
  <si>
    <t>http://schymkivzi2.ucoz.ua/</t>
  </si>
  <si>
    <t>Малоборовицька загальноосвітня школа І-ІІІ ступенів Білогірської районної ради Хмельницької області</t>
  </si>
  <si>
    <t>30210</t>
  </si>
  <si>
    <t>6820385501</t>
  </si>
  <si>
    <t>Мала Боровиця</t>
  </si>
  <si>
    <t>вул. Омельчука, 8</t>
  </si>
  <si>
    <t>(03841)9-52-40</t>
  </si>
  <si>
    <t>http://malborov.ucoz.ua</t>
  </si>
  <si>
    <t>Зіньковецька загальноосвітня школа І ступеня</t>
  </si>
  <si>
    <t>6820385505</t>
  </si>
  <si>
    <t>Зіньки</t>
  </si>
  <si>
    <t>вул. Майборського, 1</t>
  </si>
  <si>
    <t>0687584521</t>
  </si>
  <si>
    <t>Мокроволянська загальноосвітня школа І ступеня Білогірської районної ради Хмельницької області</t>
  </si>
  <si>
    <t>30208</t>
  </si>
  <si>
    <t>6820386001</t>
  </si>
  <si>
    <t>Мокроволя</t>
  </si>
  <si>
    <t>Жемелинецька загальноосвітня школа І ступеня Білогірської районної ради Хмельницької області</t>
  </si>
  <si>
    <t>6820386003</t>
  </si>
  <si>
    <t>Жемелинці</t>
  </si>
  <si>
    <t>(096)1128797</t>
  </si>
  <si>
    <t>Окіпська загальноосвітня школа І ступеня Білогірської районної ради Хмельницької області</t>
  </si>
  <si>
    <t>6820386005</t>
  </si>
  <si>
    <t>Окіп</t>
  </si>
  <si>
    <t>Микласька загальноосвітня школа І-ІІ ступенів Білогірської районної ради Хмельницької області</t>
  </si>
  <si>
    <t>30241</t>
  </si>
  <si>
    <t>6820386201</t>
  </si>
  <si>
    <t>Миклаші</t>
  </si>
  <si>
    <t>(03841)95731</t>
  </si>
  <si>
    <t>http://miklashi.ucoz.net/</t>
  </si>
  <si>
    <t>Вільшанецька загальноосвітня школа I-II ступенів Білогірської районної ради Хмельницької області</t>
  </si>
  <si>
    <t>30230</t>
  </si>
  <si>
    <t>6820386501</t>
  </si>
  <si>
    <t>вул. Горинська, 39</t>
  </si>
  <si>
    <t>(3803841)95430</t>
  </si>
  <si>
    <t>http://wilsh-zosh.ucoz.ru</t>
  </si>
  <si>
    <t>Перерослівська загальноосвітня школа І-ІІІ ступенів</t>
  </si>
  <si>
    <t>6820387001</t>
  </si>
  <si>
    <t>Переросле</t>
  </si>
  <si>
    <t>вул. Цетральна, 45</t>
  </si>
  <si>
    <t>(03841)94329</t>
  </si>
  <si>
    <t>Семенівська загальноосвіня школа І-ІІ ступенів Білогірської районної ради Хмельницької області</t>
  </si>
  <si>
    <t>30243</t>
  </si>
  <si>
    <t>6820387301</t>
  </si>
  <si>
    <t>(03841)96208</t>
  </si>
  <si>
    <t>http://semenivschool.at.ua</t>
  </si>
  <si>
    <t>Сивківська загальноосвітня школа І-ІІ ступенів Білогірської районної ради Хмельницької області</t>
  </si>
  <si>
    <t>30224</t>
  </si>
  <si>
    <t>6820387501</t>
  </si>
  <si>
    <t>Сивки</t>
  </si>
  <si>
    <t>вул. Щорса, 8А</t>
  </si>
  <si>
    <t>(038-41)9-71-42</t>
  </si>
  <si>
    <t>Ставищанська середня загальноосвітня школа І ступеня Білогірської районної ради Хмельницької області</t>
  </si>
  <si>
    <t>30222</t>
  </si>
  <si>
    <t>6820388001</t>
  </si>
  <si>
    <t>Ставищани</t>
  </si>
  <si>
    <t>Кащенецька загальноосвітня школа І-ІІІ ступенів Білогірської районної Ради Хмельницької області</t>
  </si>
  <si>
    <t>30223</t>
  </si>
  <si>
    <t>6820388007</t>
  </si>
  <si>
    <t>Кащенці</t>
  </si>
  <si>
    <t>пров. Божівський, 1</t>
  </si>
  <si>
    <t>(03841)925515</t>
  </si>
  <si>
    <t>Сушовецька загальноосвітня школа І- ІІІ ступенів Білогірської районної ради Хмельницької області</t>
  </si>
  <si>
    <t>30240</t>
  </si>
  <si>
    <t>6820388501</t>
  </si>
  <si>
    <t>Сушівці</t>
  </si>
  <si>
    <t>(03841)95747</t>
  </si>
  <si>
    <t>http://syschivcizoch.ucoz.ua</t>
  </si>
  <si>
    <t>Хорошівська загальноосвітня школа І-ІІІ ступенів Білогірської районної ради Хмельницької області</t>
  </si>
  <si>
    <t>30220</t>
  </si>
  <si>
    <t>6820389001</t>
  </si>
  <si>
    <t>(03841)95840</t>
  </si>
  <si>
    <t>Малокалетинецька загальноосвітня школа І ступеня Білогірської районної ради Хмельницької області</t>
  </si>
  <si>
    <t>6820389003</t>
  </si>
  <si>
    <t>Малі Калетинці</t>
  </si>
  <si>
    <t>0671213156</t>
  </si>
  <si>
    <t>Степанівська загальноосвітня школа І-ІІ ступенів Білогірської районної ради Хмельницької області</t>
  </si>
  <si>
    <t>6820389005</t>
  </si>
  <si>
    <t>вул. Травнева, 10</t>
  </si>
  <si>
    <t>(03841)95828</t>
  </si>
  <si>
    <t>http://step-zoch.at.ua</t>
  </si>
  <si>
    <t>Юровецька загальноосвітня школа І-ІІІ ступенів Білогірської районної ради Хмельницької області</t>
  </si>
  <si>
    <t>30225</t>
  </si>
  <si>
    <t>6820389501</t>
  </si>
  <si>
    <t>вул. Подільська, 3</t>
  </si>
  <si>
    <t>(038)94421</t>
  </si>
  <si>
    <t>Віньковецький навчально-виховний комплекс у складі середньої загальноосвітньої школи І-ІІІ ступенів та гімназії Віньковецького району Хмельницької області</t>
  </si>
  <si>
    <t>32500</t>
  </si>
  <si>
    <t>6820655100</t>
  </si>
  <si>
    <t>Віньківці</t>
  </si>
  <si>
    <t>вул. Заславська, 13</t>
  </si>
  <si>
    <t>(3846)2-15-15</t>
  </si>
  <si>
    <t>http://nvk-vinschool.at.ua/</t>
  </si>
  <si>
    <t>Карижинський навчально-виховний комплекс "Загальноосвітня школа І ступеня - дошкільний навчальний заклад" Віньковецької районної ради Хмельницької області</t>
  </si>
  <si>
    <t>32506</t>
  </si>
  <si>
    <t>6820655103</t>
  </si>
  <si>
    <t>Карижин</t>
  </si>
  <si>
    <t>вул. Чехова, 118</t>
  </si>
  <si>
    <t>(03846)226937</t>
  </si>
  <si>
    <t>http://kariginschool.at.ua</t>
  </si>
  <si>
    <t>Подолянський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</si>
  <si>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32507</t>
  </si>
  <si>
    <t>6820655105</t>
  </si>
  <si>
    <t>Подолянське</t>
  </si>
  <si>
    <t>вул. Козацька, 58</t>
  </si>
  <si>
    <t>(03846)27936</t>
  </si>
  <si>
    <t>http://podolyanskazosh.ucoz.ua/</t>
  </si>
  <si>
    <t>Великоолександрівський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</si>
  <si>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32508</t>
  </si>
  <si>
    <t>6820681001</t>
  </si>
  <si>
    <t>Великий Олександрів</t>
  </si>
  <si>
    <t>(03846)26593</t>
  </si>
  <si>
    <t>http://vel-olschool.org.ua</t>
  </si>
  <si>
    <t>Говорівський навчально-виховний комплекс "Загальноосвітня школа І ступеня - дошкільний навчальний заклад" Віньковецької районної ради Хмельницької області</t>
  </si>
  <si>
    <t>32536</t>
  </si>
  <si>
    <t>6820681501</t>
  </si>
  <si>
    <t>Говори</t>
  </si>
  <si>
    <t>(03846)24511</t>
  </si>
  <si>
    <t>Дашковецький навчально-виховний комплекс "Середня загальноосвітня школа І-ІІ ступенів - ліцей" Віньковецького району Хмельницької області</t>
  </si>
  <si>
    <t>32530</t>
  </si>
  <si>
    <t>6820682501</t>
  </si>
  <si>
    <t>вул. Затонського, 41</t>
  </si>
  <si>
    <t>(03846)27-4-21</t>
  </si>
  <si>
    <t>Женишковецька загальноосвітня школа І-ІІІ ступенів Віньковецького району Хмельницької області</t>
  </si>
  <si>
    <t>32524</t>
  </si>
  <si>
    <t>6820683001</t>
  </si>
  <si>
    <t>Женишківці</t>
  </si>
  <si>
    <t>вул. Леніна, 10</t>
  </si>
  <si>
    <t>(03846)24628</t>
  </si>
  <si>
    <t>http://jenschool.at.ua</t>
  </si>
  <si>
    <t>Зіньківський навчально-виховний комплекс "Середня спеціалізована загальноосвітня школа І-ІІІ ступенів - колегіум" Віньковецького району Хмельницької області</t>
  </si>
  <si>
    <t>32514</t>
  </si>
  <si>
    <t>6820683501</t>
  </si>
  <si>
    <t>Зорянський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</si>
  <si>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32531</t>
  </si>
  <si>
    <t>6820683701</t>
  </si>
  <si>
    <t>вул. Козловського, 39</t>
  </si>
  <si>
    <t>(03846)26623</t>
  </si>
  <si>
    <t>Карачієвецький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</si>
  <si>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32534</t>
  </si>
  <si>
    <t>6820684001</t>
  </si>
  <si>
    <t>Карачіївці</t>
  </si>
  <si>
    <t>(03846)27738</t>
  </si>
  <si>
    <t>http://karachiivchool.at.ua</t>
  </si>
  <si>
    <t>Калюсецький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</si>
  <si>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32535</t>
  </si>
  <si>
    <t>6820684005</t>
  </si>
  <si>
    <t>Калюсик</t>
  </si>
  <si>
    <t>(038)4621900</t>
  </si>
  <si>
    <t>http://Kalusikschool.at.ua</t>
  </si>
  <si>
    <t>Майдано-Олександрівська загальноосвітня школа І-ІІІ ступенів Віньковецького району Хмельницької області</t>
  </si>
  <si>
    <t>32533</t>
  </si>
  <si>
    <t>6820684501</t>
  </si>
  <si>
    <t>Майдан-Олександрівський</t>
  </si>
  <si>
    <t>(03846)26413</t>
  </si>
  <si>
    <t>http://md-olex.ucoz.ua</t>
  </si>
  <si>
    <t>Старонетечинецький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</si>
  <si>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32526</t>
  </si>
  <si>
    <t>6820685001</t>
  </si>
  <si>
    <t>Нетечинці</t>
  </si>
  <si>
    <t>http://snetshkool.16mb.com</t>
  </si>
  <si>
    <t>Осламівська загальноосвітня школа І-ІІІ ступенів Віньковецького району Хмельницької області</t>
  </si>
  <si>
    <t>32532</t>
  </si>
  <si>
    <t>6820685501</t>
  </si>
  <si>
    <t>Осламів</t>
  </si>
  <si>
    <t>(3846)26147</t>
  </si>
  <si>
    <t>http://oslamivschool.ucoz.com</t>
  </si>
  <si>
    <t>Охрімовецький навчально-виховний комплекс "Загальноосвітня школа І-ІІІ ступенів - дошкільний навчальний заклад" Віньковецької районної ради Хмельницької області</t>
  </si>
  <si>
    <t>32522</t>
  </si>
  <si>
    <t>6820686001</t>
  </si>
  <si>
    <t>Охрімівці</t>
  </si>
  <si>
    <t>(03846)24438, (03846)24479</t>
  </si>
  <si>
    <t>http://ohrimhcol.ucoz.ua</t>
  </si>
  <si>
    <t>Слобідко-Охрімовецький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</si>
  <si>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32523</t>
  </si>
  <si>
    <t>6820686003</t>
  </si>
  <si>
    <t>Слобідка-Охрімовецька</t>
  </si>
  <si>
    <t>(03846)24431</t>
  </si>
  <si>
    <t>http://slobidka-oxrim.ucoz.ua</t>
  </si>
  <si>
    <t>Петрашівський навчально-виховний комплекс "Загальноосвітня школа І-ІІІ ступенів - дошкільний навчальний заклад" Віньковецької районної ради Хмельницької області</t>
  </si>
  <si>
    <t>32512</t>
  </si>
  <si>
    <t>6820686501</t>
  </si>
  <si>
    <t>вул. Перемоги, 106А</t>
  </si>
  <si>
    <t>(03846)27548</t>
  </si>
  <si>
    <t>Пилипо-Олександрівська загальноосвітня школа І-ІІІ ступенів Віньковецького району Хмельницької області</t>
  </si>
  <si>
    <t>32509</t>
  </si>
  <si>
    <t>6820686701</t>
  </si>
  <si>
    <t>Пилипи-Олександрівські</t>
  </si>
  <si>
    <t>((03846))28931</t>
  </si>
  <si>
    <t>http://www.pilipi.ucoz.ru</t>
  </si>
  <si>
    <t>Яснозірський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</si>
  <si>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32520</t>
  </si>
  <si>
    <t>6820687501</t>
  </si>
  <si>
    <t>Яснозір'я</t>
  </si>
  <si>
    <t>вул. Подільська, 4</t>
  </si>
  <si>
    <t>(03846)27140</t>
  </si>
  <si>
    <t>http://yasnozirschool.at.ua</t>
  </si>
  <si>
    <t>Волочиська загальноосвітня школа І-ІІ ступенів № 3 Волочиської міської ради Хмельницької області</t>
  </si>
  <si>
    <t>31200</t>
  </si>
  <si>
    <t>6820910100</t>
  </si>
  <si>
    <t>Волочиськ</t>
  </si>
  <si>
    <t>(03845)36761</t>
  </si>
  <si>
    <t>Волочиська загальноосвітня школа І-ІІІ ступенів № 5 Волочиської міської ради Хмельницької області</t>
  </si>
  <si>
    <t>вул. Смотрицького, 4</t>
  </si>
  <si>
    <t>(03845)35986</t>
  </si>
  <si>
    <t>06722214</t>
  </si>
  <si>
    <t>Волочиська загальноосвітня школа І-ІІІ ступенів № 1 Волочиської міської ради Хмельницької області</t>
  </si>
  <si>
    <t>вул. Незалежності, 78</t>
  </si>
  <si>
    <t>(03845)36890</t>
  </si>
  <si>
    <t>http://school1.volochisk.info/</t>
  </si>
  <si>
    <t>Волочиський навчально-виховний комплекс у складі середньої загальноосвітньої школи І ступеня та гімназії Волочиської міської ради Хмельницької області</t>
  </si>
  <si>
    <t>вул. Починка, 2</t>
  </si>
  <si>
    <t>06722024</t>
  </si>
  <si>
    <t>Війтовецька загальноосвітня школа І-ІІІ ступенів Війтовецької селищної ради Хмельницької області</t>
  </si>
  <si>
    <t>31256</t>
  </si>
  <si>
    <t>6820955300</t>
  </si>
  <si>
    <t>(03845)95170</t>
  </si>
  <si>
    <t>http://viitivtsy-sc.at.ua</t>
  </si>
  <si>
    <t>Наркевицька загальноосвітня школа І-ІІІ ступенів Наркевицької селищної ради Волочиського району Хмельницької області</t>
  </si>
  <si>
    <t>31260</t>
  </si>
  <si>
    <t>6820955700</t>
  </si>
  <si>
    <t>Наркевичі</t>
  </si>
  <si>
    <t>6-12-92</t>
  </si>
  <si>
    <t>Богданівська загальноосвітня школа І-ІІ ступенів Волочиської районної ради Хмельницької області</t>
  </si>
  <si>
    <t>31220</t>
  </si>
  <si>
    <t>6820980601</t>
  </si>
  <si>
    <t>(38045)998249</t>
  </si>
  <si>
    <t>Бокиївський навчально-виховний комплекс "загальноосвітня школа І-ІІ ступенів - дошкільний заклад" Війтовецької селищної ради Хмельницької області</t>
  </si>
  <si>
    <t>31264</t>
  </si>
  <si>
    <t>6820980901</t>
  </si>
  <si>
    <t>Бокиївка</t>
  </si>
  <si>
    <t>вул. Жовтнева, 7</t>
  </si>
  <si>
    <t>Бубнівська загальносвітня школа І-ІІІ ступенів Наркевицької селищної ради Хмельницької області</t>
  </si>
  <si>
    <t>31235</t>
  </si>
  <si>
    <t>6820981501</t>
  </si>
  <si>
    <t>(096)8181108</t>
  </si>
  <si>
    <t>Дзеленецька загальноосвітня школа І-ІІ ступенів Наркевицької селищної ради Волочиського району Хмельницької області</t>
  </si>
  <si>
    <t>31265</t>
  </si>
  <si>
    <t>6820982101</t>
  </si>
  <si>
    <t>Дзеленці</t>
  </si>
  <si>
    <t>0982648832</t>
  </si>
  <si>
    <t>Завалійківська загальноосвітня школа І-ІІІ ступенів Війтовецької селищної ради Хмельницької області</t>
  </si>
  <si>
    <t>31257</t>
  </si>
  <si>
    <t>6820982301</t>
  </si>
  <si>
    <t>Завалійки</t>
  </si>
  <si>
    <t>(03845)91733</t>
  </si>
  <si>
    <t>Клининський навчально-виховний комплекс в складі загальноосвітньої школи І-ІІІ ступенів та дошкільного навчального закладу Волочиської міської ради Хмельницької областіі</t>
  </si>
  <si>
    <t>31224</t>
  </si>
  <si>
    <t>6820983301</t>
  </si>
  <si>
    <t>Клинини</t>
  </si>
  <si>
    <t>Копачівська загальноосвітня школа І-ІІІ ступенів Волочиської міської ради Хмельницької області</t>
  </si>
  <si>
    <t>31240</t>
  </si>
  <si>
    <t>6820983501</t>
  </si>
  <si>
    <t>Лозівська загальноосвітня школа І-ІІ ступенів Волочиської міської ради Хмельницької області</t>
  </si>
  <si>
    <t>6820983502</t>
  </si>
  <si>
    <t>(03845)99515</t>
  </si>
  <si>
    <t>Мисловецька загальноосвітня школа І-ІІ ступенів Волочиської міської ради Хмельницької області</t>
  </si>
  <si>
    <t>6820983503</t>
  </si>
  <si>
    <t>(03845)41142, (098)6014803</t>
  </si>
  <si>
    <t>Бальковецький навчально-виховний комплекс Волочиської міської ради Хмельницької області у складі загальноосвітньої школи І-ІІІ ступенів та дошкільного навчального закладу</t>
  </si>
  <si>
    <t>31209</t>
  </si>
  <si>
    <t>6820983603</t>
  </si>
  <si>
    <t>Бальківці</t>
  </si>
  <si>
    <t>вул. Набережна, 18 а</t>
  </si>
  <si>
    <t>(03845)41160</t>
  </si>
  <si>
    <t>Кривачинецький навчально-виховний комплекс "Загальноосвітня школа I-II ступенів - дошкільний навчальний заклад" Війтовецької селищної ради Хмельницької області</t>
  </si>
  <si>
    <t>31252</t>
  </si>
  <si>
    <t>6820983701</t>
  </si>
  <si>
    <t>Кривачинці</t>
  </si>
  <si>
    <t>(03845)9-45-40</t>
  </si>
  <si>
    <t>http://dearschool.at.ua</t>
  </si>
  <si>
    <t>Криштопівський навчально-виховний комплекс "загальноосвітня школа І ступеня-дошкільний навчальний заклад", Війтовецької селищної ради Хмельницької області</t>
  </si>
  <si>
    <t>6820983801</t>
  </si>
  <si>
    <t>7А</t>
  </si>
  <si>
    <t>(03845)9-54-98</t>
  </si>
  <si>
    <t>Купільська загальноосвітня школа І-ІІІ ступенів Волочиської районної ради Хмельницької області</t>
  </si>
  <si>
    <t>31226</t>
  </si>
  <si>
    <t>6820984001</t>
  </si>
  <si>
    <t>Купіль</t>
  </si>
  <si>
    <t>(03845)96138</t>
  </si>
  <si>
    <t>Курилівська загальноосвітня школа І-ІІ ступенів Волочиської міської ради</t>
  </si>
  <si>
    <t>31213</t>
  </si>
  <si>
    <t>6820984101</t>
  </si>
  <si>
    <t>Маначинська загальноосвітня школа І-ІІІ ступенів Волочиської міської ради Хмельницької області</t>
  </si>
  <si>
    <t>31249</t>
  </si>
  <si>
    <t>6820984201</t>
  </si>
  <si>
    <t>Маначин</t>
  </si>
  <si>
    <t>(03845)99688</t>
  </si>
  <si>
    <t>Шмирківська загальноосвітня школа І-ІІ ступенів Наркевицької селищної Ради Волочиського району Хмельницької області</t>
  </si>
  <si>
    <t>31231</t>
  </si>
  <si>
    <t>6820984301</t>
  </si>
  <si>
    <t>Шмирки</t>
  </si>
  <si>
    <t>0672759153</t>
  </si>
  <si>
    <t>http://shmzosh2011.ucoz.ru</t>
  </si>
  <si>
    <t>Ожиговецька загальноосвітня школа I-II ступенів Волочиської міської ради Хмельницької області</t>
  </si>
  <si>
    <t>31214</t>
  </si>
  <si>
    <t>6820984701</t>
  </si>
  <si>
    <t>Ожигівці</t>
  </si>
  <si>
    <t>Писарівська загальноосвітня школа І-ІІІ ступенів Війтовецької селищної ради Хмельницької області</t>
  </si>
  <si>
    <t>31250</t>
  </si>
  <si>
    <t>6820985601</t>
  </si>
  <si>
    <t>(03845)94247</t>
  </si>
  <si>
    <t>Полянська загальноосвітня школа І-ІІІ ступенів Волочиської міської ради Хмельницької області</t>
  </si>
  <si>
    <t>31244</t>
  </si>
  <si>
    <t>6820985901</t>
  </si>
  <si>
    <t>вул. Свободи, 21</t>
  </si>
  <si>
    <t>(03845)97149</t>
  </si>
  <si>
    <t>Поповецька загальноосвітня школа І-ІІ ступенів Волочиської районної ради Хмельницької області</t>
  </si>
  <si>
    <t>31222</t>
  </si>
  <si>
    <t>6820986201</t>
  </si>
  <si>
    <t>(380)961060943</t>
  </si>
  <si>
    <t>Порохнянський навчально-виховний комплекс "загальноосвітня школа І ступеня - дошкільний навчальний заклад" Війтовецької селищної ради Хмельницької області</t>
  </si>
  <si>
    <t>31255</t>
  </si>
  <si>
    <t>6820986301</t>
  </si>
  <si>
    <t>Порохня</t>
  </si>
  <si>
    <t>Сарнівський навчально-виховний комплекс "Загальноосвітня школа І-ІІ ступенів - дошкільний навчальний заклад" Війтовецької селищної ради Хмельницької області</t>
  </si>
  <si>
    <t>31258</t>
  </si>
  <si>
    <t>6820987201</t>
  </si>
  <si>
    <t>Сарнів</t>
  </si>
  <si>
    <t>(03845)9-27-48</t>
  </si>
  <si>
    <t>Соломнянська загальноосвітня школа І-ІІІ ступенів Волочиської районної ради Хмельницької області</t>
  </si>
  <si>
    <t>31272</t>
  </si>
  <si>
    <t>6820987401</t>
  </si>
  <si>
    <t>Соломна</t>
  </si>
  <si>
    <t>вул. Центральна, 17А</t>
  </si>
  <si>
    <t>(03845)67217</t>
  </si>
  <si>
    <t>http://solzosh.ucoz.net</t>
  </si>
  <si>
    <t>Гречанська ЗОШ І-ІІ ступенів Волочиської районної ради Хмельницької області</t>
  </si>
  <si>
    <t>6820987402</t>
  </si>
  <si>
    <t>Гречана</t>
  </si>
  <si>
    <t>0975517756</t>
  </si>
  <si>
    <t>Тарнорудська загальноосвітня школа І-ІІІ ступенів Волочиської міської ради Хмельницької області</t>
  </si>
  <si>
    <t>31245</t>
  </si>
  <si>
    <t>6820987601</t>
  </si>
  <si>
    <t>Тарноруда</t>
  </si>
  <si>
    <t>(097)8532484</t>
  </si>
  <si>
    <t>Федірківський навчально-виховний комплекс Волочиської міської ради Хмельницької області у складі загальноосвітньої школи І-ІІ ступенів та дошкільного навчального закладу</t>
  </si>
  <si>
    <t>31246</t>
  </si>
  <si>
    <t>6820988201</t>
  </si>
  <si>
    <t>(03845)91638</t>
  </si>
  <si>
    <t>Ріпнянська загальноосвітня школа І ступеня Волочиської міської ради Хмельницької області</t>
  </si>
  <si>
    <t>31248</t>
  </si>
  <si>
    <t>6820988203</t>
  </si>
  <si>
    <t>Ріпна</t>
  </si>
  <si>
    <t>(03845)67479</t>
  </si>
  <si>
    <t>Чухелівська загальноосвітня школа І-ІІ ступенів Волочиської міської ради Хмельницької області</t>
  </si>
  <si>
    <t>6820989001</t>
  </si>
  <si>
    <t>Чухелі</t>
  </si>
  <si>
    <t>Щаснівський навчально-виховний комплекс Волочиської міської ради Хмельницької області</t>
  </si>
  <si>
    <t>32010</t>
  </si>
  <si>
    <t>6820989201</t>
  </si>
  <si>
    <t>Щаснівка</t>
  </si>
  <si>
    <t>вул. Шкільна, 10 А</t>
  </si>
  <si>
    <t>(03845)94849</t>
  </si>
  <si>
    <t>http://chasnivkaschool.at.ua</t>
  </si>
  <si>
    <t>Яхновецький навчально-виховний комплекс Волочиської міської ради Хмельницької області у складі загальноосвітньої школи І-ІІІ ступенів та дошкільного навчального закладу</t>
  </si>
  <si>
    <t>31212</t>
  </si>
  <si>
    <t>6820989401</t>
  </si>
  <si>
    <t>Яхнівці</t>
  </si>
  <si>
    <t>(03845)96636</t>
  </si>
  <si>
    <t>Городоцька гімназія Хмельницької області</t>
  </si>
  <si>
    <t>32000</t>
  </si>
  <si>
    <t>6821210100</t>
  </si>
  <si>
    <t>(03851)31644</t>
  </si>
  <si>
    <t>Загальноосвітня школа І ступеня м. Городка Хмельницької області</t>
  </si>
  <si>
    <t>(03851)35551</t>
  </si>
  <si>
    <t>http://gorodohcool.ucoz.org</t>
  </si>
  <si>
    <t>Загальноосвітня школа І-ІІІ ступенів № 2 м. Городка Хмельницької області</t>
  </si>
  <si>
    <t>32002</t>
  </si>
  <si>
    <t>вул. Бухти, 9</t>
  </si>
  <si>
    <t>0385121156</t>
  </si>
  <si>
    <t>Загальноосвітня школа І-ІІІ ступенів № 4 м. Городка Городоцького району Хмельницької області</t>
  </si>
  <si>
    <t>Загальньоосвітня школа І-ІІІ ступенів з польською мовою навчання м. Городка Хмельницької області</t>
  </si>
  <si>
    <t>(251)30022</t>
  </si>
  <si>
    <t>ЗОШ І-ІІ ступенів № 3 м. Городка Городоцького району Хмельницької області</t>
  </si>
  <si>
    <t>загальноосвітня школа І - ІІІ ступенів смт. Сатанів</t>
  </si>
  <si>
    <t>32034</t>
  </si>
  <si>
    <t>6821255500</t>
  </si>
  <si>
    <t>Сатанів</t>
  </si>
  <si>
    <t>(03851)42356</t>
  </si>
  <si>
    <t>Бедриковецька загальноосвітня школа І-ІІІ ступенів, Городоцького району, Хмельницької області</t>
  </si>
  <si>
    <t>32043</t>
  </si>
  <si>
    <t>6821280401</t>
  </si>
  <si>
    <t>(096)2631009</t>
  </si>
  <si>
    <t>Бубнівський навчально-виховнийкомплекс "загальноосвітня школа І-ІІІ ступенів - дитячий садок"</t>
  </si>
  <si>
    <t>32011</t>
  </si>
  <si>
    <t>6821280701</t>
  </si>
  <si>
    <t>Великокарабчіївська загальносвітня школа І ступеня Городоцького району Хмельницької області</t>
  </si>
  <si>
    <t>32066</t>
  </si>
  <si>
    <t>6821281301</t>
  </si>
  <si>
    <t>Великий Карабчіїв</t>
  </si>
  <si>
    <t>Великояромирська загальноосвітня школа І-ІІІ ступенів, Городоцького району, Хмельницької області</t>
  </si>
  <si>
    <t>32054</t>
  </si>
  <si>
    <t>6821281601</t>
  </si>
  <si>
    <t>Велика Яромірка</t>
  </si>
  <si>
    <t>вул. Чорновола, 7</t>
  </si>
  <si>
    <t>(03851)9-14-51</t>
  </si>
  <si>
    <t>Завадинецька загальноосвітня школа І-ІІ ступенів Городоцького району Хмельницької області</t>
  </si>
  <si>
    <t>32056</t>
  </si>
  <si>
    <t>6821281602</t>
  </si>
  <si>
    <t>Завадинці</t>
  </si>
  <si>
    <t>(251)91431</t>
  </si>
  <si>
    <t>Жищинецька загальноосвітня школа І-ІІІ ступенів ,Городоцького району, Хмельницької області</t>
  </si>
  <si>
    <t>32051</t>
  </si>
  <si>
    <t>6821282201</t>
  </si>
  <si>
    <t>Жищинці</t>
  </si>
  <si>
    <t>(03851)96859</t>
  </si>
  <si>
    <t>Іванковецька загальноосвітня школа І-ІІІ ступенів Городоцького району, Хмельницькоїобласті</t>
  </si>
  <si>
    <t>32037</t>
  </si>
  <si>
    <t>6821282501</t>
  </si>
  <si>
    <t>вул. В.Д.Слободяна, 34А</t>
  </si>
  <si>
    <t>Кам'янський навчально-виховний комплекс "загальноосвітня школа I-II ступенів - дитячий садок" Городоцького району Хмельницької області</t>
  </si>
  <si>
    <t>32036</t>
  </si>
  <si>
    <t>6821282901</t>
  </si>
  <si>
    <t>вул. Коцюбинського, 23</t>
  </si>
  <si>
    <t>42-228</t>
  </si>
  <si>
    <t>Клинівська загальноосвітня школа І-ІІІ ступенів Городоцького району Хмельницької області</t>
  </si>
  <si>
    <t>32048</t>
  </si>
  <si>
    <t>6821283201</t>
  </si>
  <si>
    <t>вул. Богдана  Хмельницького, 1</t>
  </si>
  <si>
    <t>Кремінянська загальноосвітня школа I-II ступенів, Городоцького району Хмельницької області</t>
  </si>
  <si>
    <t>32047</t>
  </si>
  <si>
    <t>6821283401</t>
  </si>
  <si>
    <t>(03851)91149</t>
  </si>
  <si>
    <t>Кузьминський навчально-виховний комплекс "загальноосвітня школа І-ІІІ ступенів - дитячий садок" Городоцького району Хмельницької області</t>
  </si>
  <si>
    <t>32027</t>
  </si>
  <si>
    <t>6821283601</t>
  </si>
  <si>
    <t>Кузьмин</t>
  </si>
  <si>
    <t>пл. Шевченка, 4</t>
  </si>
  <si>
    <t>(03851)94595</t>
  </si>
  <si>
    <t>http://kuzminschool.klasna.com/uk/site/index.html</t>
  </si>
  <si>
    <t>Купинська загальноосвітня школа І-ІІ ступенів Городоцького району Хмельницької області</t>
  </si>
  <si>
    <t>32060</t>
  </si>
  <si>
    <t>6821283901</t>
  </si>
  <si>
    <t>Купин</t>
  </si>
  <si>
    <t>вул. Шкільний, 6</t>
  </si>
  <si>
    <t>(03851)94243</t>
  </si>
  <si>
    <t>Великолевадська загальноосвітня школа I-III ступенів Городоцького району Хмельницької області</t>
  </si>
  <si>
    <t>32061</t>
  </si>
  <si>
    <t>6821283902</t>
  </si>
  <si>
    <t>Велика Левада</t>
  </si>
  <si>
    <t>вул. Глібова, 14</t>
  </si>
  <si>
    <t>(038251)97375</t>
  </si>
  <si>
    <t>Курівський навчально-виховний комплекс "загальноосвітня школа І-ІІІ ступенів - дитячий садок" Городоцького району Хмельницької області</t>
  </si>
  <si>
    <t>32014</t>
  </si>
  <si>
    <t>6821284201</t>
  </si>
  <si>
    <t>Курівка</t>
  </si>
  <si>
    <t>0964921192</t>
  </si>
  <si>
    <t>Лісоводська загальноосвітня школа І-ІІІ ступенів Городоцького району Хмельницької області</t>
  </si>
  <si>
    <t>32046</t>
  </si>
  <si>
    <t>6821284501</t>
  </si>
  <si>
    <t>Лісоводи</t>
  </si>
  <si>
    <t>(03851)93194</t>
  </si>
  <si>
    <t>Лісогірська загальноосвітня школа І-ІІ ступенів Городоцького району Хмельницької області</t>
  </si>
  <si>
    <t>32053</t>
  </si>
  <si>
    <t>6821284801</t>
  </si>
  <si>
    <t>Лісогірка</t>
  </si>
  <si>
    <t>(03851)94187</t>
  </si>
  <si>
    <t>Немиринецький навчально-виховний комплекс "загальноосвітня школа І-ІІІ ступенів - дитячий садок" Городоцького району, Хмельницької області</t>
  </si>
  <si>
    <t>6821285201</t>
  </si>
  <si>
    <t>вул. Героя РС Карася, 11</t>
  </si>
  <si>
    <t>96546</t>
  </si>
  <si>
    <t>Новопорічанський навчально-виховний комплекс "загальноосвітня школа І ступеня - дитячий садок" Городоцького району Хмельницької області</t>
  </si>
  <si>
    <t>32045</t>
  </si>
  <si>
    <t>6821285501</t>
  </si>
  <si>
    <t>Нове Поріччя</t>
  </si>
  <si>
    <t>вул. Центральна, -</t>
  </si>
  <si>
    <t>(03851)95431</t>
  </si>
  <si>
    <t>Тростянецький навчальновиховний комплекс "загальноосвітня школа І-ІІІ ступенів - дитячий садок"</t>
  </si>
  <si>
    <t>32025</t>
  </si>
  <si>
    <t>6821285805</t>
  </si>
  <si>
    <t>(3851)9-55-32</t>
  </si>
  <si>
    <t>Підлісноолексинецька загальноосвітня школа І-ІІ ступенів, Городоцького району, Хмельницької області.</t>
  </si>
  <si>
    <t>32026</t>
  </si>
  <si>
    <t>6821286501</t>
  </si>
  <si>
    <t>Підлісний Олексинець</t>
  </si>
  <si>
    <t>(03851)9-74-17</t>
  </si>
  <si>
    <t>Пільноолексинецька загальноосвітня школа І-ІІІ ступенів Городоцького району Хмельницької області</t>
  </si>
  <si>
    <t>32050</t>
  </si>
  <si>
    <t>6821286801</t>
  </si>
  <si>
    <t>Пільний Олексинець</t>
  </si>
  <si>
    <t>(03851)95244</t>
  </si>
  <si>
    <t>Борщівська загальноосвітня школа І-ІІ ступенів, Городоцького району, Хмельницької області</t>
  </si>
  <si>
    <t>32040</t>
  </si>
  <si>
    <t>6821287102</t>
  </si>
  <si>
    <t>0974468566</t>
  </si>
  <si>
    <t>Турчинецька загальноосвітня школа І-ІІІ ступенів</t>
  </si>
  <si>
    <t>32042</t>
  </si>
  <si>
    <t>6821287103</t>
  </si>
  <si>
    <t>Турчинці</t>
  </si>
  <si>
    <t>вул. Чорновола, 74</t>
  </si>
  <si>
    <t>Скіпчанська загальноосвітня школа І-ІІ ступенів</t>
  </si>
  <si>
    <t>32064</t>
  </si>
  <si>
    <t>6821287501</t>
  </si>
  <si>
    <t>Скіпче</t>
  </si>
  <si>
    <t>вул. Грушевського, 154</t>
  </si>
  <si>
    <t>(03851)96640</t>
  </si>
  <si>
    <t>Хоптинецький навчально-виховний комлекс "загальноосвітня школа І-ІІІ ступенів - дитячий садок" Городоцького району, Хмельницької області</t>
  </si>
  <si>
    <t>32015</t>
  </si>
  <si>
    <t>6821288601</t>
  </si>
  <si>
    <t>Хоптинці</t>
  </si>
  <si>
    <t>Чорнивідська загальноосвітня школа І-ІІІ ступенів Городоцького району Хмельницької області</t>
  </si>
  <si>
    <t>32008</t>
  </si>
  <si>
    <t>6821289001</t>
  </si>
  <si>
    <t>Чорниводи</t>
  </si>
  <si>
    <t>(03851)95663</t>
  </si>
  <si>
    <t>Сатановецька загальноосвітня школа І-ІІ ступенів</t>
  </si>
  <si>
    <t>6821289405</t>
  </si>
  <si>
    <t>Сатанівка</t>
  </si>
  <si>
    <t>(380)680273912</t>
  </si>
  <si>
    <t>Деражнянська загальноосвітня школа I-III ступенів № 2 Деражнянської районної ради Хмельницької області</t>
  </si>
  <si>
    <t>32200</t>
  </si>
  <si>
    <t>6821510100</t>
  </si>
  <si>
    <t>Деражня</t>
  </si>
  <si>
    <t>вул. Л. Українки, 9</t>
  </si>
  <si>
    <t>http://dernvk2.ucoz.ru/</t>
  </si>
  <si>
    <t>Деражнянська загальноосвітня школа І-ІІІ ступенів № 1 імені Героя Радянського Союзу П.Ф.Стрілецького Деражнянської районної ради Хмельницької області</t>
  </si>
  <si>
    <t>(03856)22874</t>
  </si>
  <si>
    <t>Деражнянська загальноосвітня школа І-ІІІ ступенів № 3 імені Героя України Івана Зубкова Деражнянської районної ради Хмельницької області</t>
  </si>
  <si>
    <t>вул. Володимира Соломчука, 2</t>
  </si>
  <si>
    <t>(03856)2-29-99</t>
  </si>
  <si>
    <t>Вовковинецька загальноосвітня школа І-ІІІ ступенів Деражнянської районної ради Хмельницької області</t>
  </si>
  <si>
    <t>32223</t>
  </si>
  <si>
    <t>6821555400</t>
  </si>
  <si>
    <t>Вовковинці</t>
  </si>
  <si>
    <t>вул. Миру, 33/1</t>
  </si>
  <si>
    <t>(3803856)92229</t>
  </si>
  <si>
    <t>Вовковинецька загальноосвітня школа-інтернат І-ІІІ ступенів Хмельницької обласної ради</t>
  </si>
  <si>
    <t>21349617</t>
  </si>
  <si>
    <t>Лозівська загальноосвітня школа І-ІІІ ступенів Деражнянської районної ради Хмельницької області</t>
  </si>
  <si>
    <t>32216</t>
  </si>
  <si>
    <t>6821555700</t>
  </si>
  <si>
    <t>вул. Радянська, 1</t>
  </si>
  <si>
    <t>(03856)927596</t>
  </si>
  <si>
    <t>http://lozove-zosh.km.sch.in.ua</t>
  </si>
  <si>
    <t>Богдановецький навчально - виховний комплекс "Загальноосвітній навчальний заклад І-ІІ ступенів - дошкільний навчальний заклад" Деражнянської районої ради Хмельницької області</t>
  </si>
  <si>
    <t>32211</t>
  </si>
  <si>
    <t>6821580401</t>
  </si>
  <si>
    <t>Богданівці</t>
  </si>
  <si>
    <t>(03856)9-73-19</t>
  </si>
  <si>
    <t>Божиковецький навчально-виховний комплекс "Загальноосвітня школа І-ІІІ ступенів - дошкільний навчальний заклад" Деражнянської районної ради Хмельницької області</t>
  </si>
  <si>
    <t>32262</t>
  </si>
  <si>
    <t>6821580801</t>
  </si>
  <si>
    <t>Божиківці</t>
  </si>
  <si>
    <t>вул. Седзюка, 21</t>
  </si>
  <si>
    <t>380969408657</t>
  </si>
  <si>
    <t>http://bozykiwci.ucoz.ua/</t>
  </si>
  <si>
    <t>Волоський навчально-виховний комплекс «Загальноосвітній навчальний заклад І-ІІІ ступенів - дошкільний навчальний заклад» Деражнянської районної ради Хмельницької області</t>
  </si>
  <si>
    <t>32251</t>
  </si>
  <si>
    <t>6821581201</t>
  </si>
  <si>
    <t>(03856)93619</t>
  </si>
  <si>
    <t>http://Volosskee.wix.com/vnvk</t>
  </si>
  <si>
    <t>Загінецький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</si>
  <si>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32245</t>
  </si>
  <si>
    <t>6821582801</t>
  </si>
  <si>
    <t>Загінці</t>
  </si>
  <si>
    <t>вул. Берегова, 2/3</t>
  </si>
  <si>
    <t>0673660772</t>
  </si>
  <si>
    <t>http://zagincizosh.at.ua/</t>
  </si>
  <si>
    <t>Згароцький навчально-виховний комплекс "Загальноосвітня школа І-ІІ ступенів - дошкільний навчальний заклад" Деражнянської районної ради Хмельницької області</t>
  </si>
  <si>
    <t>32222</t>
  </si>
  <si>
    <t>6821583201</t>
  </si>
  <si>
    <t>Згарок</t>
  </si>
  <si>
    <t>Зяньковецький навчально-виховний комплекс "Загальноосвітня школа І-ІІІ ступенів - дошкільний навчальний заклад"</t>
  </si>
  <si>
    <t>32250</t>
  </si>
  <si>
    <t>6821583601</t>
  </si>
  <si>
    <t>(56)(038569)2-82-32</t>
  </si>
  <si>
    <t>Копачівський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</si>
  <si>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32210</t>
  </si>
  <si>
    <t>6821584801</t>
  </si>
  <si>
    <t>(256)93320</t>
  </si>
  <si>
    <t>Коричинецький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</si>
  <si>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32225</t>
  </si>
  <si>
    <t>6821585601</t>
  </si>
  <si>
    <t>Коричинці</t>
  </si>
  <si>
    <t>Мазниківський навчально-виховний комплекс "Загальноосвітній навчальний заклад І ступеня - дошкільний навчальний заклад" Деражнянської районної ради Хмельницької області ( школа І ступеня - ясла-садок)</t>
  </si>
  <si>
    <t>32265</t>
  </si>
  <si>
    <t>6821586001</t>
  </si>
  <si>
    <t>Мазники</t>
  </si>
  <si>
    <t>0989646666</t>
  </si>
  <si>
    <t>Макарівська загальноосвітня школа І-ІІ ступенів Деражнянської районної ради Хмельницької області</t>
  </si>
  <si>
    <t>32231</t>
  </si>
  <si>
    <t>6821586402</t>
  </si>
  <si>
    <t>(3856)98458</t>
  </si>
  <si>
    <t>Маниковецька загальноосвітня школа І-ІІІ ступенів Деражнянської районної ради Хмельницької області</t>
  </si>
  <si>
    <t>32244</t>
  </si>
  <si>
    <t>6821587001</t>
  </si>
  <si>
    <t>Маниківці</t>
  </si>
  <si>
    <t>вул. Механізаторів, 11</t>
  </si>
  <si>
    <t>(03856)9-70-25</t>
  </si>
  <si>
    <t>http://manykivtsi-zosh.km.sch.in.ua</t>
  </si>
  <si>
    <t>Новосілецький навчально-виховний комплекс "Загальноосвітній навчальний заклад І-ІІІ ступенів - дошкільний навчальний заклад" Деражнянської районної ради Хмельницької області</t>
  </si>
  <si>
    <t>32240</t>
  </si>
  <si>
    <t>6821587801</t>
  </si>
  <si>
    <t>вул. Подільська, 20А</t>
  </si>
  <si>
    <t>(03856)9-37-89</t>
  </si>
  <si>
    <t>Радовецький навчально-виховний комплекс "Загальноосвітня школа І-ІІІ ступенів, дошкільний навчальний заклад (ясла-садок)" Деражнянської районної ради Хмельницької області</t>
  </si>
  <si>
    <t>32235</t>
  </si>
  <si>
    <t>6821588401</t>
  </si>
  <si>
    <t>Радівці</t>
  </si>
  <si>
    <t>вул. Коцюбинського, 19</t>
  </si>
  <si>
    <t>(03856)9-81-32</t>
  </si>
  <si>
    <t>Яблунівський навчально-виховний комплекс "Загальноосвітня школа І-ІІІ ступенів - дошкільний навчальний заклад" Деражнянської районної державної адміністрації Хмельницької області</t>
  </si>
  <si>
    <t>32207</t>
  </si>
  <si>
    <t>6821589201</t>
  </si>
  <si>
    <t>(903856)97191</t>
  </si>
  <si>
    <t>Явтухівський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</si>
  <si>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32260</t>
  </si>
  <si>
    <t>6821589601</t>
  </si>
  <si>
    <t>Явтухи</t>
  </si>
  <si>
    <t>вул. Центральна, 32/1</t>
  </si>
  <si>
    <t>(03856)98323</t>
  </si>
  <si>
    <t>http://lihach124.wix.com/yavtuhinvk</t>
  </si>
  <si>
    <t>Дунаєвецька ЗОШ І - ІІІ ступенів № 4 Дунаєвецької міської ради Хмельницької області</t>
  </si>
  <si>
    <t>32400</t>
  </si>
  <si>
    <t>6821810100</t>
  </si>
  <si>
    <t>Дунаївці</t>
  </si>
  <si>
    <t>вул. Київська, 16</t>
  </si>
  <si>
    <t>(03858)31592</t>
  </si>
  <si>
    <t>http://fourschool.at.ua/</t>
  </si>
  <si>
    <t>Дунаєвецька ЗОШ І-ІІІ ступенів № 2 Дунаєвецької міської ради Хмельницької області</t>
  </si>
  <si>
    <t>вул. Красінських, 1</t>
  </si>
  <si>
    <t>(03858)31595</t>
  </si>
  <si>
    <t>http://twoschool.do.am</t>
  </si>
  <si>
    <t>Дунаєвецька ЗОШ І-ІІІ ступенів № 3 Дунаєвецької міської ради Хмельницької області</t>
  </si>
  <si>
    <t>вул. Шевченка, 109</t>
  </si>
  <si>
    <t>(03858)31470</t>
  </si>
  <si>
    <t>http://dunschool3.at.ua</t>
  </si>
  <si>
    <t>26158980</t>
  </si>
  <si>
    <t>Дунаєвецький навчально-виховний комплекс «Загальноосвітня школа І-ІІІ ст., гімназія» Дунаєвецької міської ради Хмельницької області</t>
  </si>
  <si>
    <t>вул. Шевченка, 58</t>
  </si>
  <si>
    <t>(03858)31681, (03858)31085</t>
  </si>
  <si>
    <t>http://dungimn.at.ua</t>
  </si>
  <si>
    <t>Мушкутинецька ЗОШ І-ІІІ ступенів Дунаєвецької міської ради Хмельницької області</t>
  </si>
  <si>
    <t>32409</t>
  </si>
  <si>
    <t>6821810101</t>
  </si>
  <si>
    <t>Мушкутинці</t>
  </si>
  <si>
    <t>пров. Ювілейний, 1</t>
  </si>
  <si>
    <t>(03858)31501</t>
  </si>
  <si>
    <t>http://myshkytzosh.at.ua/</t>
  </si>
  <si>
    <t>Дунаєвецька загальноосвітня школа І-ІІІ ступенів Дунаєвецької селищної ради Хмельницької області</t>
  </si>
  <si>
    <t>32413</t>
  </si>
  <si>
    <t>6821855300</t>
  </si>
  <si>
    <t>вул. Травнева, 18</t>
  </si>
  <si>
    <t>(03858)71166</t>
  </si>
  <si>
    <t>http://dunaivti-school.edukit.km.ua/</t>
  </si>
  <si>
    <t>Смотрицька загальноосвітня школа І-ІІІ ст. ім.Мелетія Смотрицького Дунаєвецької районної ради Хмельницької області</t>
  </si>
  <si>
    <t>32423</t>
  </si>
  <si>
    <t>6821855700</t>
  </si>
  <si>
    <t>Смотрич</t>
  </si>
  <si>
    <t>вул. Жовтнева, 74</t>
  </si>
  <si>
    <t>93164</t>
  </si>
  <si>
    <t>26158841</t>
  </si>
  <si>
    <t>Ганнівський навчально-виховний комплекс "ЗОШ І-ІІ ступенів, ДНЗ" Дунаєвецької міської ради Хмельницької області</t>
  </si>
  <si>
    <t>32425</t>
  </si>
  <si>
    <t>6821880201</t>
  </si>
  <si>
    <t>(03858)98798</t>
  </si>
  <si>
    <t>http://gannivka-2014.at.ua/</t>
  </si>
  <si>
    <t>Балинська загальноосвітня школа І-ІІІ ступенів Дунаєвецької районної ради Хмельницької області</t>
  </si>
  <si>
    <t>32440</t>
  </si>
  <si>
    <t>6821880301</t>
  </si>
  <si>
    <t>(03858)92649</t>
  </si>
  <si>
    <t>http://balin.dun.km.ua</t>
  </si>
  <si>
    <t>26159117</t>
  </si>
  <si>
    <t>Великожванчицька ЗОШ І-ІІІ ступенів ім. М.С. Майдана Дунаєвецької міської ради Хмельницької області.</t>
  </si>
  <si>
    <t>32473</t>
  </si>
  <si>
    <t>6821880601</t>
  </si>
  <si>
    <t>Великий Жванчик</t>
  </si>
  <si>
    <t>(03858)96680</t>
  </si>
  <si>
    <t>http://vzhvanchyk.at.ua</t>
  </si>
  <si>
    <t>23844775</t>
  </si>
  <si>
    <t>Великокужелівський НВК " ЗОШ І-ІІ ступенів, ДНЗ" Дунаєвецької міської ради Хмельницької області</t>
  </si>
  <si>
    <t>32464</t>
  </si>
  <si>
    <t>6821880701</t>
  </si>
  <si>
    <t>Велика Кужелева</t>
  </si>
  <si>
    <t>(068)6462641</t>
  </si>
  <si>
    <t>http://www.velkuj.ucoz.net</t>
  </si>
  <si>
    <t>Великопобіянська ЗОШ I-III ступенів Дунаєвецької міської ради Хмельницької області</t>
  </si>
  <si>
    <t>32471</t>
  </si>
  <si>
    <t>6821880901</t>
  </si>
  <si>
    <t>Велика Побійна</t>
  </si>
  <si>
    <t>вул. Івана Франка, 62</t>
  </si>
  <si>
    <t>(03858)98824</t>
  </si>
  <si>
    <t>Вихрівська ЗОШ І-ІІ ступенів Дунаєвецької міської ради Хмельницької області</t>
  </si>
  <si>
    <t>32436</t>
  </si>
  <si>
    <t>6821881201</t>
  </si>
  <si>
    <t>Вихрівка</t>
  </si>
  <si>
    <t>96116</t>
  </si>
  <si>
    <t>http://vihrivkash.ucoz.ru</t>
  </si>
  <si>
    <t>Воробіївська ЗОШ I-II ступенів Дунаєвецької міської ради Хмельницької області</t>
  </si>
  <si>
    <t>32450</t>
  </si>
  <si>
    <t>6821881501</t>
  </si>
  <si>
    <t>(03858)98-5-10</t>
  </si>
  <si>
    <t>http://vorobiivkash.ucoz.ua</t>
  </si>
  <si>
    <t>Голозубинецька ЗОШ І-ІІІ ступенів Дунаєвецької міської ради Хмельницької області</t>
  </si>
  <si>
    <t>32466</t>
  </si>
  <si>
    <t>6821881801</t>
  </si>
  <si>
    <t>Голозубинці</t>
  </si>
  <si>
    <t>61217</t>
  </si>
  <si>
    <t>Гутояцьковецький навчально-виховний комплекс "ЗОШ І-ІІ ступенів, ДНЗ" Дунаєвецкої міської ради Хмельницької області</t>
  </si>
  <si>
    <t>32456</t>
  </si>
  <si>
    <t>6821882401</t>
  </si>
  <si>
    <t>Гута-Яцьковецька</t>
  </si>
  <si>
    <t>(03858)98322</t>
  </si>
  <si>
    <t>http://gutojazk-school.ucoz.ru/</t>
  </si>
  <si>
    <t>Залісецький навчально-виховний комплекс "ЗОШ І-ІІступенів, ДНЗ" Дунаєвецької міської ради Хмельницької області</t>
  </si>
  <si>
    <t>32444</t>
  </si>
  <si>
    <t>6821882701</t>
  </si>
  <si>
    <t>вул. Анатолія Романчука, 5А</t>
  </si>
  <si>
    <t>(03858)98043</t>
  </si>
  <si>
    <t>http://zalistsich.ucoz.ua</t>
  </si>
  <si>
    <t>Зеленченська ЗОШ І-ІІ ступенів Дунаєвецької міської ради Хмельницької області</t>
  </si>
  <si>
    <t>32408</t>
  </si>
  <si>
    <t>6821883001</t>
  </si>
  <si>
    <t>Зеленче</t>
  </si>
  <si>
    <t>ал. Центральна, 37</t>
  </si>
  <si>
    <t>(03858)96410</t>
  </si>
  <si>
    <t>Іванковецька ЗОШ І-ІІІ ступенів Дунаєвецької міської ради Хмельницької області</t>
  </si>
  <si>
    <t>32462</t>
  </si>
  <si>
    <t>6821883301</t>
  </si>
  <si>
    <t>(03858)98649</t>
  </si>
  <si>
    <t>http://ivankivtsish.ucoz.ua</t>
  </si>
  <si>
    <t>Лошковецька загальноосвітня школа І-ІІ ступенів Дунаєвецької селищної ради Хмельницької області</t>
  </si>
  <si>
    <t>32414</t>
  </si>
  <si>
    <t>6821884101</t>
  </si>
  <si>
    <t>Лошківці</t>
  </si>
  <si>
    <t>вул. Центральна, 113А</t>
  </si>
  <si>
    <t>Лисецька ЗОШ І-ІІІ ступенів Дунаєвецької міської ради Хмельницької області</t>
  </si>
  <si>
    <t>32472</t>
  </si>
  <si>
    <t>6821884401</t>
  </si>
  <si>
    <t>(03858)91769</t>
  </si>
  <si>
    <t>http://lysetska-zosh.km.sch.in.ua/</t>
  </si>
  <si>
    <t>Маківський навчально-виховний комплекс "Загальноосвітня школа І-ІІ ступенів, колегіум" Маківської сільської ради Дунаєвецького району Хмельницької області</t>
  </si>
  <si>
    <t>32445</t>
  </si>
  <si>
    <t>6821884701</t>
  </si>
  <si>
    <t>Маків</t>
  </si>
  <si>
    <t>(03858)95438</t>
  </si>
  <si>
    <t>http://makov-nvk.ucoz.ru</t>
  </si>
  <si>
    <t>Слобідкорахнівська загальноосвітня школа І-ІІ ступенів Маківської сільської ради Дунаєвецького району Хмельницької області</t>
  </si>
  <si>
    <t>32447</t>
  </si>
  <si>
    <t>6821884705</t>
  </si>
  <si>
    <t>Слобідка-Рахнівська</t>
  </si>
  <si>
    <t>вул. Хмельницьке шосе, 79</t>
  </si>
  <si>
    <t>(03858)41647</t>
  </si>
  <si>
    <t>http://Sobidka-rakhn.ucoz.ru</t>
  </si>
  <si>
    <t>Шатавський навчально-виховний комплекс "Загальноосвітня школа І-ІІ ступенів, колегіум" Маківської сільської ради Дунаєвецького району Хмельницької області</t>
  </si>
  <si>
    <t>6821884707</t>
  </si>
  <si>
    <t>Шатава</t>
  </si>
  <si>
    <t>вул. Хмельницьке шосе, 32</t>
  </si>
  <si>
    <t>http://shatava.at.ua</t>
  </si>
  <si>
    <t>Навчально-виховний комплекс "Малієвецька загальноосвітня школа І-ІІ ступенів - дошкільний навчальний заклад" Дунаєвецької селищної ради, Хмельницької області</t>
  </si>
  <si>
    <t>32432</t>
  </si>
  <si>
    <t>6821885001</t>
  </si>
  <si>
    <t>Маліївці</t>
  </si>
  <si>
    <t>вул. Спортивна, 36А</t>
  </si>
  <si>
    <t>99-6-43</t>
  </si>
  <si>
    <t>Малокужелівський навчально-виховний комплекс "ЗОШ І-ІІ ступенів, ДНЗ" Дунаєвецької міської ради Хмельницької області</t>
  </si>
  <si>
    <t>32437</t>
  </si>
  <si>
    <t>6821885301</t>
  </si>
  <si>
    <t>Мала Кужелівка</t>
  </si>
  <si>
    <t>вул. О. Бідного, 1</t>
  </si>
  <si>
    <t>(03894)188</t>
  </si>
  <si>
    <t>http://dunmk.at.ua</t>
  </si>
  <si>
    <t>Миньковецька ЗОШ І-ІІІ ступенів Дунаєвецької міської ради Хмельницької області</t>
  </si>
  <si>
    <t>32463</t>
  </si>
  <si>
    <t>6821885901</t>
  </si>
  <si>
    <t>Миньківці</t>
  </si>
  <si>
    <t>вул. Радянська, 24</t>
  </si>
  <si>
    <t>65134</t>
  </si>
  <si>
    <t>http://mynkivtsizosh.ucoz.ua/</t>
  </si>
  <si>
    <t>25803220</t>
  </si>
  <si>
    <t>Навчально-виховний комплекс "Михайлівська загальноосвітня школа І-ІІ ступенів - дошкільний навчальний заклад" Маківської сільської ради Дунаєвецького району Хмельницької області</t>
  </si>
  <si>
    <t>32454</t>
  </si>
  <si>
    <t>6821886201</t>
  </si>
  <si>
    <t>Міцівецька загальноосвітня школа І-ІІ ступенів Дунаєвецької селищної ради Хмельницької області</t>
  </si>
  <si>
    <t>32430</t>
  </si>
  <si>
    <t>6821886501</t>
  </si>
  <si>
    <t>Міцівці</t>
  </si>
  <si>
    <t>вул. Богдана Хмельницького, 55/в</t>
  </si>
  <si>
    <t>(03858)97042</t>
  </si>
  <si>
    <t>http://mitsivtsizosh.ucoz.ua</t>
  </si>
  <si>
    <t>Навчально-виховний комплекс "Морозівська загальноосвітня школа I-III ступенів-дошкільний навчальний заклад", Дунаєвецької селищної ради, Хмельницької області</t>
  </si>
  <si>
    <t>32434</t>
  </si>
  <si>
    <t>6821886801</t>
  </si>
  <si>
    <t>Морозів</t>
  </si>
  <si>
    <t>(097)2222370</t>
  </si>
  <si>
    <t>Нестеровецька ЗОШ І-ІІІ ступенів Дунаєвецької міської ради Хмельницької області</t>
  </si>
  <si>
    <t>32424</t>
  </si>
  <si>
    <t>6821887101</t>
  </si>
  <si>
    <t>(03858)9-14-99</t>
  </si>
  <si>
    <t>http://nestsh.ucoz.ru</t>
  </si>
  <si>
    <t>НВК "Підлісномукарівська загальноосвітня школа І-ІІІ ступенів-Дошкільний навчальний заклад" Дунаєвецької селищної ради Хмельницької області</t>
  </si>
  <si>
    <t>32435</t>
  </si>
  <si>
    <t>6821887401</t>
  </si>
  <si>
    <t>Підлісний Мукарів</t>
  </si>
  <si>
    <t>(03858)99443</t>
  </si>
  <si>
    <t>http://pmschool.at.ua</t>
  </si>
  <si>
    <t>Навчально-виховний комплекс "Рачинецька загальноосвітня школа І ступеня - дошкільний навчальний заклад "Берізка" Дунаєвецької міської ради Хмельницької області</t>
  </si>
  <si>
    <t>32467</t>
  </si>
  <si>
    <t>6821887501</t>
  </si>
  <si>
    <t>Рачинці</t>
  </si>
  <si>
    <t>вул. Шевченка, 6 а</t>
  </si>
  <si>
    <t>(03858)92435</t>
  </si>
  <si>
    <t>Рахнівський навчально-виховний комплекс " ЗОШ І-ІІІ ступенів, ДНЗ "Дунаєвецької міської ради Хмельницької області</t>
  </si>
  <si>
    <t>32452</t>
  </si>
  <si>
    <t>6821887601</t>
  </si>
  <si>
    <t>(03858)97635</t>
  </si>
  <si>
    <t>http://rahsh.ucoz.ua</t>
  </si>
  <si>
    <t>26159074</t>
  </si>
  <si>
    <t>Рудська загальноосвітня школа І-ІІ ступенів</t>
  </si>
  <si>
    <t>32421</t>
  </si>
  <si>
    <t>6821887701</t>
  </si>
  <si>
    <t>вул. 1 Траввня, 7</t>
  </si>
  <si>
    <t>Січинецький НВК "ЗОШ І-ІІ ступенів, ДНЗ" Дунаєвецької міської ради Хмельницької області</t>
  </si>
  <si>
    <t>32451</t>
  </si>
  <si>
    <t>6821887901</t>
  </si>
  <si>
    <t>Січинці</t>
  </si>
  <si>
    <t>(03858)92200</t>
  </si>
  <si>
    <t>http://sichentsish.ucoz.ru/</t>
  </si>
  <si>
    <t>Сокілецький навчально - виховний комплекс "ЗОШ I ступенів - дошкільний навчальний заклад" Дунаевецької міської ради Хмельницької області</t>
  </si>
  <si>
    <t>6821888301</t>
  </si>
  <si>
    <t>(03858)94716</t>
  </si>
  <si>
    <t>http://www.sokilets.ucoz.ru</t>
  </si>
  <si>
    <t>Навчально-виховний комплекс "Ставищенська загальноосвітня школа І - ІІ ступенів - ДНЗ" Дунаєвецької селищної ради Хмельницької області</t>
  </si>
  <si>
    <t>32431</t>
  </si>
  <si>
    <t>6821888401</t>
  </si>
  <si>
    <t>(03858)99160</t>
  </si>
  <si>
    <t>Старогутянський навчально-виховний заклад "Загальноосвітня школа І-ІІ ступенів , дошкільний навчальний заклад"Дунаєвецької районної ради Хмельницької області</t>
  </si>
  <si>
    <t>32422</t>
  </si>
  <si>
    <t>6821888501</t>
  </si>
  <si>
    <t>вул. Шевченка, 140</t>
  </si>
  <si>
    <t>(03858)93437</t>
  </si>
  <si>
    <t>http://stguta.ucoz.ua</t>
  </si>
  <si>
    <t>Томашівська загальноосвітня школа І - ІІІ ступенів Дунаєвецької селищної ради Хмельницької області</t>
  </si>
  <si>
    <t>32410</t>
  </si>
  <si>
    <t>6821888901</t>
  </si>
  <si>
    <t>(03858)99537</t>
  </si>
  <si>
    <t>http://tomzosh.at.ua</t>
  </si>
  <si>
    <t>Тиннянська загальноосвітня школа І-ІІІст. Дунаєвецької селищної ради Хмельницької області</t>
  </si>
  <si>
    <t>32411</t>
  </si>
  <si>
    <t>6821889201</t>
  </si>
  <si>
    <t>Тинна</t>
  </si>
  <si>
    <t>(03858)99-8-40</t>
  </si>
  <si>
    <t>26158916</t>
  </si>
  <si>
    <t>Чаньківська ЗОШ І-ІІІ ступенів Дунаєвецької міської ради Хмельницької області</t>
  </si>
  <si>
    <t>32442</t>
  </si>
  <si>
    <t>6821889501</t>
  </si>
  <si>
    <t>Чаньків</t>
  </si>
  <si>
    <t>вул. М. Ковальчука, 34А</t>
  </si>
  <si>
    <t>(26158945)96546</t>
  </si>
  <si>
    <t>Чечельницька загальноосвітня школа І-ІІ ступенів Маківської сільської ради Дунаєвецького району Хмельницької області</t>
  </si>
  <si>
    <t>32446</t>
  </si>
  <si>
    <t>6821889701</t>
  </si>
  <si>
    <t>0385895688</t>
  </si>
  <si>
    <t>http://chechelnik-zoh.ucoz.ru</t>
  </si>
  <si>
    <t>Ізяславська загальноосвітня школа І-ІІ ступенів № 4 ім.В.Кобернюка Ізяславської міської ради Хмельницької області</t>
  </si>
  <si>
    <t>30300</t>
  </si>
  <si>
    <t>6822110100</t>
  </si>
  <si>
    <t>Ізяслав</t>
  </si>
  <si>
    <t>вул. Б.Хмельницького, 15</t>
  </si>
  <si>
    <t>(03852)4-13-00</t>
  </si>
  <si>
    <t>Ізяславська загальноосвітня школа І-ІІІ ступенів № 1 Ізяславської міської ради Хмельницької області</t>
  </si>
  <si>
    <t>(03852)4-02-63</t>
  </si>
  <si>
    <t>http://school-n1iz.at.ua</t>
  </si>
  <si>
    <t>Ізяславський навчально-реабілітаційний центр Хмельницької обласної ради</t>
  </si>
  <si>
    <t>вул. Незалежності, 42</t>
  </si>
  <si>
    <t>22989023</t>
  </si>
  <si>
    <t>Ізяславський навчально-виховний комплекс "Загальноосвітня школа І ступеня - дитячий ясла-садок № 3" Ізяславської міської ради Хмельницької області</t>
  </si>
  <si>
    <t>вул. Гагаріна, 38</t>
  </si>
  <si>
    <t>(03852)42931</t>
  </si>
  <si>
    <t>22766955</t>
  </si>
  <si>
    <t>Ізяславський навчально-виховний комплекс "Загальноосвітня школа І-ІІІ ступенів № 2, ліцей" ім. О. Кушнірука Ізяславської міської ради Хмельницької області</t>
  </si>
  <si>
    <t>вул. Станіславського, 4</t>
  </si>
  <si>
    <t>(03852)42839</t>
  </si>
  <si>
    <t>http://iznvk2.at.ua</t>
  </si>
  <si>
    <t>Ізяславський навчально-виховний комплекс "Загальноосвітня школа І-ІІІ ступенів № 5 ім. О.П.Онищука, гімназія" Ізяславської районної ради Хмельницької області</t>
  </si>
  <si>
    <t>(03852)41236</t>
  </si>
  <si>
    <t>http://iznvk5.ucoz.ru</t>
  </si>
  <si>
    <t>Ізяславський навчально-виховний комплекс "Загальноосвітня школа I ступеня-дитячий ясла-садок № 7" Ізяславської міської ради Хмельницької області</t>
  </si>
  <si>
    <t>вул. Миколи Микитюка, 106 Ї</t>
  </si>
  <si>
    <t>(03852)2-65-34</t>
  </si>
  <si>
    <t>22766949</t>
  </si>
  <si>
    <t>Ізяславський навчально-виховний комплекс "Загальноосвітня школа І ступеня - дитячий ясла-садок комбінованого типу № 6" Ізяславської міської ради Хмельницької області</t>
  </si>
  <si>
    <t>пров. Горинський, 2</t>
  </si>
  <si>
    <t>(03852)4-16-71</t>
  </si>
  <si>
    <t>25879683</t>
  </si>
  <si>
    <t>Білівський навчально-виховний комплекс "Загальноосвітня школа І - ІІІ ступенів - дитячий садок" Ізяславської районної ради, Хмельницької області</t>
  </si>
  <si>
    <t>30352</t>
  </si>
  <si>
    <t>6822180401</t>
  </si>
  <si>
    <t>Білеве</t>
  </si>
  <si>
    <t>вул. І. Франка, 2А</t>
  </si>
  <si>
    <t>80385230125</t>
  </si>
  <si>
    <t>http://bil-shcool.ucoz.ua</t>
  </si>
  <si>
    <t>Білогородська загальноосвітня школа І-ІІІ ступенів Ізяславської районної ради Хмельницької області</t>
  </si>
  <si>
    <t>30343</t>
  </si>
  <si>
    <t>6822180701</t>
  </si>
  <si>
    <t>Коминський навчально-виховний комплекс "Загальноосвітня школа І ступеня - дитячий садок" Ізяславської районної ради Хмельницької області</t>
  </si>
  <si>
    <t>30322</t>
  </si>
  <si>
    <t>6822181003</t>
  </si>
  <si>
    <t>Комини</t>
  </si>
  <si>
    <t>0677017013, 0974833834</t>
  </si>
  <si>
    <t>Борисівський навчально-виховний комплекс "Загальноосвітня школа І-ІІІ ступенів - дитячий садок", Ізяславської районної ради Хмельницької області</t>
  </si>
  <si>
    <t>30326</t>
  </si>
  <si>
    <t>6822181301</t>
  </si>
  <si>
    <t>Борисів</t>
  </si>
  <si>
    <t>(30)569</t>
  </si>
  <si>
    <t>http://borysivschool.ucoz.ru</t>
  </si>
  <si>
    <t>Навчально виховний комплекс " Загальноосвітня школа І ступеня - дитячий садок" Великопузирківської сільської ради Хмельницької області Ізяславського району</t>
  </si>
  <si>
    <t>30375</t>
  </si>
  <si>
    <t>6822181601</t>
  </si>
  <si>
    <t>Великі Пузирки</t>
  </si>
  <si>
    <t>вул. гагаріна, 28</t>
  </si>
  <si>
    <t>(068)0271033</t>
  </si>
  <si>
    <t>Двірецька загальноосвітня школа І-ІІ ступенів Ізяславської районної ради Хмельницької області</t>
  </si>
  <si>
    <t>30341</t>
  </si>
  <si>
    <t>6822181901</t>
  </si>
  <si>
    <t>Двірець</t>
  </si>
  <si>
    <t>0680387217</t>
  </si>
  <si>
    <t>Клубівська загальноосвітня школа І-ІІІ ступенів Ізяславської районної ради Хмельницької області</t>
  </si>
  <si>
    <t>30350</t>
  </si>
  <si>
    <t>6822182601</t>
  </si>
  <si>
    <t>Клубівка</t>
  </si>
  <si>
    <t>(38)5238340</t>
  </si>
  <si>
    <t>http://school-klubivka.ucoz.ua</t>
  </si>
  <si>
    <t>Кунівська загальноосвітня школа І-ІІІ ступенів Ізяславської районної ради Хмельницької області</t>
  </si>
  <si>
    <t>30310</t>
  </si>
  <si>
    <t>6822183001</t>
  </si>
  <si>
    <t>Кунів</t>
  </si>
  <si>
    <t>(03852)34331</t>
  </si>
  <si>
    <t>Кам'янський НВК "Загальноосвітня школа І ступеня-дитячий садок" Ізяславської районної ради Хмельницької області</t>
  </si>
  <si>
    <t>6822183004</t>
  </si>
  <si>
    <t>вул. Кузнецова, 2</t>
  </si>
  <si>
    <t>(038-52-34)356</t>
  </si>
  <si>
    <t>Ліщанська загальноосвітня школа І-ІІІ ступенів Ізяславської районної ради Хмельницької області</t>
  </si>
  <si>
    <t>30363</t>
  </si>
  <si>
    <t>6822183301</t>
  </si>
  <si>
    <t>Ліщани</t>
  </si>
  <si>
    <t>ал. Шевченка, 11</t>
  </si>
  <si>
    <t>(03852)35124</t>
  </si>
  <si>
    <t>Лютарський навчально-виховний комплекс "Загальноосвітня школа І ступеня-дитячий садок" Ізяславської районної ради Хмельницької області</t>
  </si>
  <si>
    <t>30324</t>
  </si>
  <si>
    <t>6822183601</t>
  </si>
  <si>
    <t>Лютарка</t>
  </si>
  <si>
    <t>Михлянська загальноосвітня школа І-ІІІ ступенів Ізяславської районної ради Хмельницької області</t>
  </si>
  <si>
    <t>6822183602</t>
  </si>
  <si>
    <t>Михля</t>
  </si>
  <si>
    <t>ал. Миру, 3</t>
  </si>
  <si>
    <t>(03852)35540</t>
  </si>
  <si>
    <t>http://mihlya.ucoz.ru/</t>
  </si>
  <si>
    <t>Мокрецький НВК "ЗОШ І-ІІ ступенів -дитячий садок" Ізяславської районної ради Хмельницької області</t>
  </si>
  <si>
    <t>6822183603</t>
  </si>
  <si>
    <t>(03852)33105</t>
  </si>
  <si>
    <t>http://mokrets.ucoz.ru</t>
  </si>
  <si>
    <t>Михнівська загальноосвітня школа І-ІІІ ступенів Ізяславської районної ради Хмельницької області</t>
  </si>
  <si>
    <t>30346</t>
  </si>
  <si>
    <t>6822183901</t>
  </si>
  <si>
    <t>Михнів</t>
  </si>
  <si>
    <t>(03852)32110</t>
  </si>
  <si>
    <t>Мислятинська загальноосвітня школа І-ІІІ ступенів Ізяславської районної ради Хмельницької області</t>
  </si>
  <si>
    <t>30344</t>
  </si>
  <si>
    <t>6822184201</t>
  </si>
  <si>
    <t>Мислятин</t>
  </si>
  <si>
    <t>(067)1560124</t>
  </si>
  <si>
    <t>http://ms-school.ucoz.ua</t>
  </si>
  <si>
    <t>М'якотівська загальноосвітня школа І-ІІІ ступенів Ізяславської районної ради Хмельницької області</t>
  </si>
  <si>
    <t>30314</t>
  </si>
  <si>
    <t>6822184501</t>
  </si>
  <si>
    <t>М'якоти</t>
  </si>
  <si>
    <t>вул. Чулкова, 25</t>
  </si>
  <si>
    <t>(03852)33330, 0966884349</t>
  </si>
  <si>
    <t>Великорадогощанська загальноосвітня школа І-ІІ ступенів Ізяславської районної ради Хмельницької області</t>
  </si>
  <si>
    <t>30315</t>
  </si>
  <si>
    <t>6822184502</t>
  </si>
  <si>
    <t>Велика Радогощ</t>
  </si>
  <si>
    <t>вул. Козацька, 5А</t>
  </si>
  <si>
    <t>Новосільська загальноосвітня школа І-ІІІ ступенів Ізяславської районної ради Хмельницької області</t>
  </si>
  <si>
    <t>30374</t>
  </si>
  <si>
    <t>6822184801</t>
  </si>
  <si>
    <t>вул. Героїв Небесної Сотні, 31</t>
  </si>
  <si>
    <t>Плужненський навчально-виховний комплекс "Загальноосвітня школа І-ІІІ ступенів, гімназія імені Р.Й.Бортника" Ізяславської районної ради Хмельницької області</t>
  </si>
  <si>
    <t>30320</t>
  </si>
  <si>
    <t>6822185101</t>
  </si>
  <si>
    <t>Плужне</t>
  </si>
  <si>
    <t>вул. Бортника, 19</t>
  </si>
  <si>
    <t>(03852)31-192</t>
  </si>
  <si>
    <t>Плужнянська загальноосвітня санаторна школа-інтернат І-ІІ ступенів</t>
  </si>
  <si>
    <t>(098)8022979</t>
  </si>
  <si>
    <t>22989218</t>
  </si>
  <si>
    <t>Поліська загальноосвітня школа І-ІІ ступенів Ізяславської районної ради Хмельницької області</t>
  </si>
  <si>
    <t>30340</t>
  </si>
  <si>
    <t>6822185401</t>
  </si>
  <si>
    <t>(03852)32733</t>
  </si>
  <si>
    <t>Радошівська загальноосвітня школа I-III ступенів Ізяславської районної ради Хмельницької області</t>
  </si>
  <si>
    <t>30330</t>
  </si>
  <si>
    <t>6822186001</t>
  </si>
  <si>
    <t>(30)242</t>
  </si>
  <si>
    <t>http://nvkradoschivka.ucoz.ua</t>
  </si>
  <si>
    <t>Ріпківський навчально-виховний комплекс "Загальноосвітня школа І-ІІІ ступенів - дитячий садок" Ізяславської районної ради Хмельницької області</t>
  </si>
  <si>
    <t>30356</t>
  </si>
  <si>
    <t>6822186301</t>
  </si>
  <si>
    <t>Ріпки</t>
  </si>
  <si>
    <t>(03852)35749</t>
  </si>
  <si>
    <t>Сахновецька загальноосвітня школа І-ІІІ ступенів Ізяславської районної ради Хмельницької області</t>
  </si>
  <si>
    <t>30364</t>
  </si>
  <si>
    <t>6822186601</t>
  </si>
  <si>
    <t>Сахнівці</t>
  </si>
  <si>
    <t>(03852)35346</t>
  </si>
  <si>
    <t>http://szosh.do.am</t>
  </si>
  <si>
    <t>Теліжинецька загальноосвітня школа І - ІІ ступенів Ізяславської районної ради Хмельницької області</t>
  </si>
  <si>
    <t>30365</t>
  </si>
  <si>
    <t>6822187201</t>
  </si>
  <si>
    <t>Тернавський НВК "ЗОШ I-II ступенів- дитячий садок"</t>
  </si>
  <si>
    <t>30372</t>
  </si>
  <si>
    <t>6822187501</t>
  </si>
  <si>
    <t>вул. Колгоспна, 3</t>
  </si>
  <si>
    <t>(33)737</t>
  </si>
  <si>
    <t>Христівська загальноосвітня школа І-ІІІ ступенів</t>
  </si>
  <si>
    <t>30370</t>
  </si>
  <si>
    <t>6822188401</t>
  </si>
  <si>
    <t>Христівка</t>
  </si>
  <si>
    <t>(380)680200134</t>
  </si>
  <si>
    <t>Шекеринецький навчально-виховний комплекс "Загальноосвітня школа І-ІІІ ступенів-дитячий садок Ізяславської районної ради Хмельницької області"</t>
  </si>
  <si>
    <t>30317</t>
  </si>
  <si>
    <t>6822188701</t>
  </si>
  <si>
    <t>Шекеринці</t>
  </si>
  <si>
    <t>(03852)36-647</t>
  </si>
  <si>
    <t>Щуровецький навчально-виховний комплекс "Загальноосвітня школа І ступеня-дитячий садок"</t>
  </si>
  <si>
    <t>30360</t>
  </si>
  <si>
    <t>6822189201</t>
  </si>
  <si>
    <t>Щурівці</t>
  </si>
  <si>
    <t>Щурівчицька загальноосвітня школа І-ІІступенів Ізяславської районної ради Хмельницької області</t>
  </si>
  <si>
    <t>6822189204</t>
  </si>
  <si>
    <t>Щурівчики</t>
  </si>
  <si>
    <t>Староушицька спеціалізована школи І-ІІІ ступенів екологічного напрямку Кам'янець-Подільської районної ради Хмельницької області</t>
  </si>
  <si>
    <t>32385</t>
  </si>
  <si>
    <t>6822455800</t>
  </si>
  <si>
    <t>Стара Ушиця</t>
  </si>
  <si>
    <t>вул. Комсомольська, 9</t>
  </si>
  <si>
    <t>(03849)99485, (03849)99483</t>
  </si>
  <si>
    <t>Гораївська загальноосвітня школа І-ІІ ступенів Кам'янець-Подільської районної ради Хмельницької області</t>
  </si>
  <si>
    <t>32386</t>
  </si>
  <si>
    <t>6822455801</t>
  </si>
  <si>
    <t>Гораївка</t>
  </si>
  <si>
    <t>Врублівецька загальноосвітня школа І-ІІІ ступенів Кам'янець-Подільської районної ради, Хмельницької області.</t>
  </si>
  <si>
    <t>32394</t>
  </si>
  <si>
    <t>6822480701</t>
  </si>
  <si>
    <t>Врублівці</t>
  </si>
  <si>
    <t>(096)5118867</t>
  </si>
  <si>
    <t>http://vrublivcy.ucoz.ru/</t>
  </si>
  <si>
    <t>Голосківська загальноосвітня школа І-ІІІ ступенів Гуменецької сільської ради Кам'янець-Подільського району Хмельницької області</t>
  </si>
  <si>
    <t>32340</t>
  </si>
  <si>
    <t>6822481001</t>
  </si>
  <si>
    <t>(049)92734</t>
  </si>
  <si>
    <t>http://goloskiv.pp.net.ua</t>
  </si>
  <si>
    <t>Грушківський навчально-виховний комплекс "Загальноосвітня школа І-ІІІ ступенів і агротехнічний ліцей" Кам'янець-Подільської районної ради Хмельницької області</t>
  </si>
  <si>
    <t>32380</t>
  </si>
  <si>
    <t>6822481501</t>
  </si>
  <si>
    <t>вул. Швейрхарда, 46</t>
  </si>
  <si>
    <t>(03849)98340</t>
  </si>
  <si>
    <t>Гуменецький навчально-виховний комплекс "Загальноосвітня школа І-ІІІ ступенів, гімназія" Гуменецької сільської ради Кам'янець-Подільського району Хмельницької області</t>
  </si>
  <si>
    <t>32325</t>
  </si>
  <si>
    <t>6822481801</t>
  </si>
  <si>
    <t>Гуменці</t>
  </si>
  <si>
    <t>(03849)75743</t>
  </si>
  <si>
    <t>Вербецька загальоосвітня школа І-ІІ ступенів Гуменецької сільської ради Кам'янець-Подільського району Хмельницької області</t>
  </si>
  <si>
    <t>32326</t>
  </si>
  <si>
    <t>6822481802</t>
  </si>
  <si>
    <t>9-33-74</t>
  </si>
  <si>
    <t>Колубаївська загальноосвітня школа І-ІІ ступенів Гуменецької сільської ради Кам'янець-Подільського району Хмельницької області</t>
  </si>
  <si>
    <t>32353</t>
  </si>
  <si>
    <t>6822481803</t>
  </si>
  <si>
    <t>Колубаївці</t>
  </si>
  <si>
    <t>вул. 317 Дивізії, 4</t>
  </si>
  <si>
    <t>Дерев’янська загальноосвітня школа І-ІІІ ступенів Китайгородської сільської ради Хмельницької області</t>
  </si>
  <si>
    <t>32356</t>
  </si>
  <si>
    <t>6822482101</t>
  </si>
  <si>
    <t>Дерев'яне</t>
  </si>
  <si>
    <t>http://dershool.ucoz.ua</t>
  </si>
  <si>
    <t>Довжоцький навчально-виховний комплекс "Загальноосвітня школа І-ІІІ ступенів, колегіум" Кам'янець-Подільської районної ради Хмельницької області</t>
  </si>
  <si>
    <t>32343</t>
  </si>
  <si>
    <t>6822482401</t>
  </si>
  <si>
    <t>(03849)95015</t>
  </si>
  <si>
    <t>http://dovzhok.net</t>
  </si>
  <si>
    <t>21332380</t>
  </si>
  <si>
    <t>Нагорянський навчально-виховний комплекс "Загальноосвітня школа I-IIступенів, дошкільний навчальний заклад" Кам'янець-Подільської районної ради, Хмельницької області.</t>
  </si>
  <si>
    <t>6822482402</t>
  </si>
  <si>
    <t>вул. Тручка, 4</t>
  </si>
  <si>
    <t>3-12-2</t>
  </si>
  <si>
    <t>Думанівський навчально-виховний комплекс у складі загальноосвітньої школи I-II ступенів та дошкільного навчального закладу Гуменецької сільської ради Кам'янець-Подільського району, Хмельницької області</t>
  </si>
  <si>
    <t>03321</t>
  </si>
  <si>
    <t>6822482501</t>
  </si>
  <si>
    <t>Думанів</t>
  </si>
  <si>
    <t>вул. Центральна, 54 А</t>
  </si>
  <si>
    <t>(380)973722438</t>
  </si>
  <si>
    <t>http://dumaniv-nvk.ucoz.net/</t>
  </si>
  <si>
    <t>Жванецька загальноосвітня школа І - ІІІ ступенів Кам'янець-Подільської районної ради Хмельницької області</t>
  </si>
  <si>
    <t>32665</t>
  </si>
  <si>
    <t>6822482701</t>
  </si>
  <si>
    <t>Жванець</t>
  </si>
  <si>
    <t>(03849)75422</t>
  </si>
  <si>
    <t>Завалецька загальноосвітня школа І-ІІІ ступенів Кам'янець-Подільської районної ради Хмельницької області</t>
  </si>
  <si>
    <t>32337</t>
  </si>
  <si>
    <t>6822482901</t>
  </si>
  <si>
    <t>вул. Збручанська, 1А</t>
  </si>
  <si>
    <t>Заліська-1 загальноосвітня школа І-ІІ ступенів Кам'янець-Подільської районної ради Хмельницької області</t>
  </si>
  <si>
    <t>32334</t>
  </si>
  <si>
    <t>6822483001</t>
  </si>
  <si>
    <t>Залісся Перше</t>
  </si>
  <si>
    <t>(038)992645</t>
  </si>
  <si>
    <t>http://zalissya1school.km.ua</t>
  </si>
  <si>
    <t>Заліський-2 навчально-виховний комплекс у складі загальноосвітньої школи І-ІІІ ступенів та дошкільного навчального закладу Гуменецької сільської ради Кам'янець-Подільського району Хмельницької області</t>
  </si>
  <si>
    <t>32324</t>
  </si>
  <si>
    <t>6822483101</t>
  </si>
  <si>
    <t>Залісся Друге</t>
  </si>
  <si>
    <t>Кадиєвецька загальнооосвітня школа І-ІІІ ступенів Кам'янець-Подільського районної ради Хмельницької області</t>
  </si>
  <si>
    <t>32345</t>
  </si>
  <si>
    <t>6822483301</t>
  </si>
  <si>
    <t>Кадиївці</t>
  </si>
  <si>
    <t>(068)4214726</t>
  </si>
  <si>
    <t>Калачковецька ЗОШ</t>
  </si>
  <si>
    <t>32395</t>
  </si>
  <si>
    <t>6822483601</t>
  </si>
  <si>
    <t>Калачківці</t>
  </si>
  <si>
    <t>вул. Суворова, 21</t>
  </si>
  <si>
    <t>(03849)93613</t>
  </si>
  <si>
    <t>Рогізнянська загальноосвітня школа І-ІІІ ступенів Китайгородської сільської ради Хмельницької області</t>
  </si>
  <si>
    <t>32397</t>
  </si>
  <si>
    <t>6822483604</t>
  </si>
  <si>
    <t>0673846474</t>
  </si>
  <si>
    <t>http://schoolsite.org.ua/rogizna/index.php</t>
  </si>
  <si>
    <t>Кам'янська загальноосвітня школаІ-ІІ ступенів</t>
  </si>
  <si>
    <t>32307</t>
  </si>
  <si>
    <t>6822483701</t>
  </si>
  <si>
    <t>(03849)77431</t>
  </si>
  <si>
    <t>Китайгородський навчально виховний комплекс у складі загальноосвітньої школи І-ІІІ ступенів та дошкільного навчального закладу</t>
  </si>
  <si>
    <t>32392</t>
  </si>
  <si>
    <t>6822483901</t>
  </si>
  <si>
    <t>(03849)98289</t>
  </si>
  <si>
    <t>Вихватновецька ЗОШ І-ІІ ступенів Китайгородської сільської ради Хмельницької області</t>
  </si>
  <si>
    <t>32393</t>
  </si>
  <si>
    <t>6822483902</t>
  </si>
  <si>
    <t>Вихватнівці</t>
  </si>
  <si>
    <t>(03849)98160</t>
  </si>
  <si>
    <t>Княжпільська загальноосвітня школа І- ІІ ступенів</t>
  </si>
  <si>
    <t>32355</t>
  </si>
  <si>
    <t>6822484001</t>
  </si>
  <si>
    <t>Колодіївська загальноосвітня школа І-ІІІ ступенів Китайгородської сільської ради Хмельницької області</t>
  </si>
  <si>
    <t>32398</t>
  </si>
  <si>
    <t>6822484101</t>
  </si>
  <si>
    <t>вул. Дністровська, 25</t>
  </si>
  <si>
    <t>(03849)97568</t>
  </si>
  <si>
    <t>http://kolodiivka-zosh.edukit.km.ua</t>
  </si>
  <si>
    <t>Колибаївська загальноосвітня школа І-ІІ ступенів Колибаївської сільської ради Кам'янець-Подільського району Хмельницької області</t>
  </si>
  <si>
    <t>32370</t>
  </si>
  <si>
    <t>6822484201</t>
  </si>
  <si>
    <t>Колибаївка</t>
  </si>
  <si>
    <t>(03849)70611</t>
  </si>
  <si>
    <t>http://kolybaivka-edu.at.ua</t>
  </si>
  <si>
    <t>Крушанівська загальноосвітня школа І-ІІ ступенів Кам'янець-Подільської районної ради Хмельницької області</t>
  </si>
  <si>
    <t>32390</t>
  </si>
  <si>
    <t>6822484501</t>
  </si>
  <si>
    <t>Крушанівка</t>
  </si>
  <si>
    <t>(03849)78011</t>
  </si>
  <si>
    <t>Кульчиєвецька загальноосвітня школа І-ІІІ ступенів Кам'янець-Подільської районної ради Хмельницької області</t>
  </si>
  <si>
    <t>32354</t>
  </si>
  <si>
    <t>6822484801</t>
  </si>
  <si>
    <t>Кульчіївці</t>
  </si>
  <si>
    <t>вул. Першотравнева, 10/1</t>
  </si>
  <si>
    <t>(03849)93117</t>
  </si>
  <si>
    <t>Ластовецький навчально-виховний комплекс у складі загальноосвітньої школи І-ІІ ступенів та дошкільного навчального закладу Кам'янець-Подільської районної ради Хмельницької області</t>
  </si>
  <si>
    <t>32364</t>
  </si>
  <si>
    <t>6822485101</t>
  </si>
  <si>
    <t>80961108861</t>
  </si>
  <si>
    <t>Збручанський навчально-виховний комплекс загальноосвітня школа І ступеня</t>
  </si>
  <si>
    <t>32365</t>
  </si>
  <si>
    <t>6822485102</t>
  </si>
  <si>
    <t>Збруч</t>
  </si>
  <si>
    <t>(097)6804016</t>
  </si>
  <si>
    <t>Нігинська загальноосвітня школа І-ІІІ ступенів Гуменецької сільської ради Кам'янець-Подільського району Хмельницької області</t>
  </si>
  <si>
    <t>32320</t>
  </si>
  <si>
    <t>6822485401</t>
  </si>
  <si>
    <t>Нігин</t>
  </si>
  <si>
    <t>(03849)92212</t>
  </si>
  <si>
    <t>http://nigynschool.pp.ua/</t>
  </si>
  <si>
    <t>Сахкамінська загальноосвітня школа І-ІІ ступенів Гуменецької сільської ради Кам'янець - Подільського району Хмельницької області</t>
  </si>
  <si>
    <t>32322</t>
  </si>
  <si>
    <t>6822485403</t>
  </si>
  <si>
    <t>Сахкамінь</t>
  </si>
  <si>
    <t>вул. Українська, 6</t>
  </si>
  <si>
    <t>9-39-88</t>
  </si>
  <si>
    <t>http://sahkamin-zosh.km.sch.in.ua</t>
  </si>
  <si>
    <t>Нефедівська загальноосвітня школа І-ІІ ступенів Кам'янець-Подільської районної ради Хмельницької області</t>
  </si>
  <si>
    <t>32391</t>
  </si>
  <si>
    <t>6822485501</t>
  </si>
  <si>
    <t>Нефедівці</t>
  </si>
  <si>
    <t>(03849)79917</t>
  </si>
  <si>
    <t>Орининська загальноосвітня школа І-ІІІ ступенів</t>
  </si>
  <si>
    <t>32331</t>
  </si>
  <si>
    <t>6822485701</t>
  </si>
  <si>
    <t>Оринин</t>
  </si>
  <si>
    <t>(03849)79148</t>
  </si>
  <si>
    <t>Орининська загальноосвітня школа-інтернат І-ІІІ ступенів Хмельницької обласної ради</t>
  </si>
  <si>
    <t>(380)384979231</t>
  </si>
  <si>
    <t>21332410</t>
  </si>
  <si>
    <t>Пановецька загальноосвітня школа І-ІІ ступенів</t>
  </si>
  <si>
    <t>32376</t>
  </si>
  <si>
    <t>6822485901</t>
  </si>
  <si>
    <t>98735</t>
  </si>
  <si>
    <t>Підпилип'янська загальноосвітня школа І-ІІ ступенів Кам'янець-Подільської районної ради Хмельницької області</t>
  </si>
  <si>
    <t>32330</t>
  </si>
  <si>
    <t>6822486201</t>
  </si>
  <si>
    <t>Підпилип'я</t>
  </si>
  <si>
    <t>(098)6493977</t>
  </si>
  <si>
    <t>Подільська загальноосвітня школа І-ІІІ ступенів Кам'янець-Подільської районної ради Хмельницької області</t>
  </si>
  <si>
    <t>32381</t>
  </si>
  <si>
    <t>6822486301</t>
  </si>
  <si>
    <t>Подільське</t>
  </si>
  <si>
    <t>вул. Івана Франка, 38</t>
  </si>
  <si>
    <t>(03849)79805</t>
  </si>
  <si>
    <t>Приворотська загальноосвітня школа І-ІІІ ступенів Кам'янець-Подільської районної ради Хмельницької області</t>
  </si>
  <si>
    <t>32333</t>
  </si>
  <si>
    <t>6822486501</t>
  </si>
  <si>
    <t>(03849)92536</t>
  </si>
  <si>
    <t>Рудська загальноосвітня школа І-ІІ ступенів Кам'янець-Подільської районної ради Хмельницької області</t>
  </si>
  <si>
    <t>32366</t>
  </si>
  <si>
    <t>6822486801</t>
  </si>
  <si>
    <t>вул. Корнєєва, 7</t>
  </si>
  <si>
    <t>0673028413</t>
  </si>
  <si>
    <t>Гавриловецький навчально-виховний комплекс імені Васільцова Віталія Валерійовича - Героя "Небесної сотні" "Гавриловецька ЗОШ І-ІІ ст. ім. Васільцова В. В. - Героя "Небесної сотні - дошкільний навчальний заклад "Зернятко"" Кам'янець - Подільської районної ради Хмельницької області</t>
  </si>
  <si>
    <t>32367</t>
  </si>
  <si>
    <t>6822486802</t>
  </si>
  <si>
    <t>Гаврилівці</t>
  </si>
  <si>
    <t>(03849)75249</t>
  </si>
  <si>
    <t>Цвікловецький НВК "ЗОШ І-ІІ ступенів - ДНЗ" Рудської сільської ради, Кам'янецць-Подільського району, Хмельницької області</t>
  </si>
  <si>
    <t>6822486803</t>
  </si>
  <si>
    <t>Цвіклівці Перші</t>
  </si>
  <si>
    <t>вул. Валі Котика, 9</t>
  </si>
  <si>
    <t>(03849)78150</t>
  </si>
  <si>
    <t>Рихтівська загальноосвітня школа І-ІІ ступенів Кам'янець-Подільської районної ради Хмельницької області</t>
  </si>
  <si>
    <t>32346</t>
  </si>
  <si>
    <t>6822487101</t>
  </si>
  <si>
    <t>Рихта</t>
  </si>
  <si>
    <t>вул. Макаренка, 8А</t>
  </si>
  <si>
    <t>(03849)95510</t>
  </si>
  <si>
    <t>http://rychta.jimdo.com/</t>
  </si>
  <si>
    <t>Лісковецька загальноосвітня школа І-ІІ ступенів Кам'янець - Подільської районної ради Хмельницької області</t>
  </si>
  <si>
    <t>32347</t>
  </si>
  <si>
    <t>6822487102</t>
  </si>
  <si>
    <t>Лісківці</t>
  </si>
  <si>
    <t>вул. Яхієва, 23А</t>
  </si>
  <si>
    <t>(03849)95619</t>
  </si>
  <si>
    <t>Боришковецька загальносвітня школа І - ІІ ступенів</t>
  </si>
  <si>
    <t>6822487402</t>
  </si>
  <si>
    <t>Мукшо-Китайгородська загальноосвітня школа І-ІІІ ступенів, Кам’янець-Подільської районної ради Хмельницької області</t>
  </si>
  <si>
    <t>32301</t>
  </si>
  <si>
    <t>6822487403</t>
  </si>
  <si>
    <t>Мукша Китайгородська</t>
  </si>
  <si>
    <t>вул. Чкалова, 86</t>
  </si>
  <si>
    <t>(03849)96151</t>
  </si>
  <si>
    <t>http://zhovtneva.jimdo.com</t>
  </si>
  <si>
    <t>Слобідсько-Рихтівська загальноосвітня школа І-ІІІ ступенів Кам'янець-Подільської райдержадміністрації</t>
  </si>
  <si>
    <t>32360</t>
  </si>
  <si>
    <t>6822487601</t>
  </si>
  <si>
    <t>Слобідка-Рихтівська</t>
  </si>
  <si>
    <t>вул. Головна, 3</t>
  </si>
  <si>
    <t>(03849)98598</t>
  </si>
  <si>
    <t>Сокільська загальноосвітня школа І-ІІІ ступенів</t>
  </si>
  <si>
    <t>32377</t>
  </si>
  <si>
    <t>6822487901</t>
  </si>
  <si>
    <t>(03849)7-83-33</t>
  </si>
  <si>
    <t>Баговицька загальноосвітня школа І-ІІІ ступенів, Кам'янець-Подільського району, Хмельницького області</t>
  </si>
  <si>
    <t>32373</t>
  </si>
  <si>
    <t>6822489102</t>
  </si>
  <si>
    <t>Баговиця</t>
  </si>
  <si>
    <t>(03849)70734</t>
  </si>
  <si>
    <t>Великослобідська загальноосвітня школа І-ІІ ступенів</t>
  </si>
  <si>
    <t>32375</t>
  </si>
  <si>
    <t>6822489103</t>
  </si>
  <si>
    <t>Велика Слобідка</t>
  </si>
  <si>
    <t>пров. Тихий, 14</t>
  </si>
  <si>
    <t>3809719722535</t>
  </si>
  <si>
    <t>Ходоровецька загальноосвітня школа І-ІІІ ступенів Колибаївської сільської ради Кам'янець-Подільського району Хмельницької області</t>
  </si>
  <si>
    <t>32361</t>
  </si>
  <si>
    <t>6822489301</t>
  </si>
  <si>
    <t>Ходорівці</t>
  </si>
  <si>
    <t>(03849)95851</t>
  </si>
  <si>
    <t>Княгининська загальноосвітня школа I ступеня Колибаївської сільської ради Кам'янець-Подільського району Хмельницької області</t>
  </si>
  <si>
    <t>32363</t>
  </si>
  <si>
    <t>6822489302</t>
  </si>
  <si>
    <t>(03849)95833</t>
  </si>
  <si>
    <t>Острівчанська загальноосвітня школа І-ІІ ступенів Колибаївської сільської ради Кам'янець-Подільського району Хмельницької області</t>
  </si>
  <si>
    <t>32362</t>
  </si>
  <si>
    <t>6822489303</t>
  </si>
  <si>
    <t>Острівчани</t>
  </si>
  <si>
    <t>вул. Лесі Українки, 34А</t>
  </si>
  <si>
    <t>(049)95830</t>
  </si>
  <si>
    <t>Чабанівський навчально-виховний комплекс "Загальноосвітня школа І-ІІІ ступенів - дитячий навчвльний заклад - "Казковий світ"</t>
  </si>
  <si>
    <t>03238</t>
  </si>
  <si>
    <t>6822489501</t>
  </si>
  <si>
    <t>дорога Центральна, 3</t>
  </si>
  <si>
    <t>(03849)61846</t>
  </si>
  <si>
    <t>Шустовецький навчально-виховний комплекс у складі загальноосвітньої школи І-ІІ ступенів та дошкільного навчального закладу Кам'янець-Подільської районної ради Хмельницької області</t>
  </si>
  <si>
    <t>32335</t>
  </si>
  <si>
    <t>6822489801</t>
  </si>
  <si>
    <t>Шустівці</t>
  </si>
  <si>
    <t>)969085031</t>
  </si>
  <si>
    <t>Чорнокозинецький навчально-виховний комплекс в складі загальноосвітньої школи І-ІІІ ступенів та дошкільного навчального закладу Кам'янець-Подільської районної ради Хмельницької області</t>
  </si>
  <si>
    <t>32336</t>
  </si>
  <si>
    <t>6822489804</t>
  </si>
  <si>
    <t>Чорнокозинці</t>
  </si>
  <si>
    <t>вул. Замкова, 29</t>
  </si>
  <si>
    <t>(067)2974278</t>
  </si>
  <si>
    <t>Красилівська загальноосвітня школа І-ІІІ ступенів № 1 Красилівського району Хмельницької області</t>
  </si>
  <si>
    <t>31000</t>
  </si>
  <si>
    <t>6822710100</t>
  </si>
  <si>
    <t>Красилів</t>
  </si>
  <si>
    <t>(03855)42704</t>
  </si>
  <si>
    <t>Красилівська загальноосвітня школа І-ІІІ ступенів № 2 Красилівського району Хмельницької області</t>
  </si>
  <si>
    <t>вул. Грушевського, 187</t>
  </si>
  <si>
    <t>(03855)3-24-96</t>
  </si>
  <si>
    <t>http://kr-school2.at.ua</t>
  </si>
  <si>
    <t>Красилівська загальноосвітня школа І-ІІІ ступенів № 3 Красилівського району Хмельницької області</t>
  </si>
  <si>
    <t>(03855)42508</t>
  </si>
  <si>
    <t>http://school3-kr.at.ua/</t>
  </si>
  <si>
    <t>Красилівська загальноосвітня школа І-ІІІ ступенів № 4 імені Героя Радянського Союзу Петра Кізюна</t>
  </si>
  <si>
    <t>(03855)4-28-94</t>
  </si>
  <si>
    <t>Красилівський навчально-виховний комплекс "Гімназія та загальноосвітня школа І ступеня" Красилівського району Хмельницької області</t>
  </si>
  <si>
    <t>(03855)42705</t>
  </si>
  <si>
    <t>http://kvintograd.at.ua</t>
  </si>
  <si>
    <t>Антонінська загальноосвітня школа І-ІІІ ступенів Красилівського району Хмельницької області</t>
  </si>
  <si>
    <t>31022</t>
  </si>
  <si>
    <t>6822755200</t>
  </si>
  <si>
    <t>Антоніни</t>
  </si>
  <si>
    <t>пл. Графська, 16</t>
  </si>
  <si>
    <t>Антонінська спеціальна загальноосвітня школа-інтернат Хмельницької обласної ради</t>
  </si>
  <si>
    <t>пл. Графська, 21</t>
  </si>
  <si>
    <t>22986562</t>
  </si>
  <si>
    <t>Закриницька загальноосвітня школа І-ІІ ступенів Красилівського району Хмельницької області</t>
  </si>
  <si>
    <t>6822755201</t>
  </si>
  <si>
    <t>Рублянська загальноосвітня школа І-ІІ ступенів Красилівського району Хмельницької області</t>
  </si>
  <si>
    <t>6822755202</t>
  </si>
  <si>
    <t>Рублянка</t>
  </si>
  <si>
    <t>Васьківчицька загальноосвітня школа І ступеня Красилівського району Хмельницької області</t>
  </si>
  <si>
    <t>31012</t>
  </si>
  <si>
    <t>6822780401</t>
  </si>
  <si>
    <t>Васьківчики</t>
  </si>
  <si>
    <t>Великозозулинецька загальноосвітня школа І-ІІІ ступенів Красилівського району Хмельницької області</t>
  </si>
  <si>
    <t>31036</t>
  </si>
  <si>
    <t>6822780801</t>
  </si>
  <si>
    <t>Великі Зозулинці</t>
  </si>
  <si>
    <t>(03855)99117</t>
  </si>
  <si>
    <t>Великоорлинська загальноосвітня школа І-ІІ ступенів Красилівського району Хмельницької області</t>
  </si>
  <si>
    <t>31024</t>
  </si>
  <si>
    <t>6822781201</t>
  </si>
  <si>
    <t>Великі Орлинці</t>
  </si>
  <si>
    <t>(03855)51367</t>
  </si>
  <si>
    <t>http://orlinci.ucoz.ru/</t>
  </si>
  <si>
    <t>Великосалиська загальноосвітня школа І-ІІ ступенів, Красилівського району, Хмельницької області.</t>
  </si>
  <si>
    <t>31021</t>
  </si>
  <si>
    <t>6822781401</t>
  </si>
  <si>
    <t>Велика Салиха</t>
  </si>
  <si>
    <t>(03855)97649</t>
  </si>
  <si>
    <t>Веселівська загальноосвітня школа І-ІІ ступенів Красилівського району Хмельницької області</t>
  </si>
  <si>
    <t>31075</t>
  </si>
  <si>
    <t>6822781701</t>
  </si>
  <si>
    <t>0385593107</t>
  </si>
  <si>
    <t>Волицька загальноосвітня школа І-ІІІ ступенів Красилівського району Хмельницької області</t>
  </si>
  <si>
    <t>31054</t>
  </si>
  <si>
    <t>6822782101</t>
  </si>
  <si>
    <t>(03855)96634</t>
  </si>
  <si>
    <t>Воскодавинська загальноосвітня школа І-ІІ ступенів Красилівського району Хмельницької області</t>
  </si>
  <si>
    <t>31056</t>
  </si>
  <si>
    <t>6822782201</t>
  </si>
  <si>
    <t>Воскодавинці</t>
  </si>
  <si>
    <t>ал. Центральна, 13</t>
  </si>
  <si>
    <t>94703</t>
  </si>
  <si>
    <t>Глібківська загальноосвітня школа І ступеня Красилівського району Хмельницької області</t>
  </si>
  <si>
    <t>31051</t>
  </si>
  <si>
    <t>6822782401</t>
  </si>
  <si>
    <t>Глібки</t>
  </si>
  <si>
    <t>0676870273</t>
  </si>
  <si>
    <t>Якимівська загальноосвітня школа I-II ступенів Красилівського району Хмельницької області</t>
  </si>
  <si>
    <t>31015</t>
  </si>
  <si>
    <t>6822782503</t>
  </si>
  <si>
    <t>Якимівці</t>
  </si>
  <si>
    <t>(03855)92759</t>
  </si>
  <si>
    <t>Дружненська загальноосвітня школа І-ІІ ступенів Красилівського району Хмельницької області</t>
  </si>
  <si>
    <t>31046</t>
  </si>
  <si>
    <t>6822782701</t>
  </si>
  <si>
    <t>(03855)43690</t>
  </si>
  <si>
    <t>ЗАПАДИНСЬКА ЗАГАЛЬНООСВІТНЯ ШКОЛА І-ІІІ СТУПЕНІВ</t>
  </si>
  <si>
    <t>31072</t>
  </si>
  <si>
    <t>6822782901</t>
  </si>
  <si>
    <t>Западинці</t>
  </si>
  <si>
    <t>вул. ЦЕНТРАЛЬНА, 42 А</t>
  </si>
  <si>
    <t>(03855)93173</t>
  </si>
  <si>
    <t>Заслучненська загальноосвітня школа І-ІІІ ступенів вулиця Шкільна 1с. Заслучне Красилівського району Хмельницької області</t>
  </si>
  <si>
    <t>31050</t>
  </si>
  <si>
    <t>6822783401</t>
  </si>
  <si>
    <t>Заслучне</t>
  </si>
  <si>
    <t>Заставківська загальноосвітня школа І-ІІ ступенів</t>
  </si>
  <si>
    <t>31045</t>
  </si>
  <si>
    <t>6822783701</t>
  </si>
  <si>
    <t>Заставки</t>
  </si>
  <si>
    <t>Корчівська загальноосвітня школа І-ІІІ ступенів, Красилівського району, Хмельницької області</t>
  </si>
  <si>
    <t>31031</t>
  </si>
  <si>
    <t>6822784301</t>
  </si>
  <si>
    <t>Корчівка</t>
  </si>
  <si>
    <t>(3803855)97723</t>
  </si>
  <si>
    <t>Котюржинецька загальноосвітня школа І-ІІ ступенів Красилівського району Хмельницької області</t>
  </si>
  <si>
    <t>31060</t>
  </si>
  <si>
    <t>6822784401</t>
  </si>
  <si>
    <t>Котюржинці</t>
  </si>
  <si>
    <t>Опорний навчальний заклад Кременчуківська загальноосвітня школа І-ІІІ ступенів Красилівського району Хмельницької області</t>
  </si>
  <si>
    <t>31026</t>
  </si>
  <si>
    <t>6822784801</t>
  </si>
  <si>
    <t>Кременчуки</t>
  </si>
  <si>
    <t>вул. Каштанова, 14</t>
  </si>
  <si>
    <t>(038255)91247</t>
  </si>
  <si>
    <t>Криворудківська загальноосвітня школа І-ІІ ступенів Красилівського району Хмельницької області</t>
  </si>
  <si>
    <t>31011</t>
  </si>
  <si>
    <t>6822785101</t>
  </si>
  <si>
    <t>Криворудка</t>
  </si>
  <si>
    <t>0385592817</t>
  </si>
  <si>
    <t>Кузьминська загальноосвітня школа І-ІІІ ступенів Красилівського району Хмельницької області</t>
  </si>
  <si>
    <t>31047</t>
  </si>
  <si>
    <t>6822785501</t>
  </si>
  <si>
    <t>(03855)94171</t>
  </si>
  <si>
    <t>Кульчинівська загальноосвітня школа І-ІІІ ступенів Красилівського району Хмельницької області</t>
  </si>
  <si>
    <t>31040</t>
  </si>
  <si>
    <t>6822785801</t>
  </si>
  <si>
    <t>Кульчини</t>
  </si>
  <si>
    <t>0385596138</t>
  </si>
  <si>
    <t>Кульчинківська загальноосвітня школа І-ІІ ступенів Красилівського району Хмельницької області</t>
  </si>
  <si>
    <t>31041</t>
  </si>
  <si>
    <t>6822786001</t>
  </si>
  <si>
    <t>Кульчинки</t>
  </si>
  <si>
    <t>(03855)97138</t>
  </si>
  <si>
    <t>https://sites.google.com/site/kulcinki/</t>
  </si>
  <si>
    <t>Лагодинецька загальноосвітня школа І-ІІІ ступенів Красилівського району Хмельницької області</t>
  </si>
  <si>
    <t>31042</t>
  </si>
  <si>
    <t>6822786201</t>
  </si>
  <si>
    <t>Лагодинці</t>
  </si>
  <si>
    <t>(03855)9-33-33</t>
  </si>
  <si>
    <t>http://lagodyntsi-school.edukit.km.ua</t>
  </si>
  <si>
    <t>Федорівська загальноосвітня школа І-ІІІ ступенів Красилівського району Хмельницької області</t>
  </si>
  <si>
    <t>31013</t>
  </si>
  <si>
    <t>6822786604</t>
  </si>
  <si>
    <t>(03855)9-22-32</t>
  </si>
  <si>
    <t>31033</t>
  </si>
  <si>
    <t>6822787006</t>
  </si>
  <si>
    <t>ал. Молодіжна, 3А</t>
  </si>
  <si>
    <t>(03855)92632</t>
  </si>
  <si>
    <t>Манівецька загальноосвітня школа І-ІІ ступенів Красилівського району Хмельницької області</t>
  </si>
  <si>
    <t>31028</t>
  </si>
  <si>
    <t>6822787101</t>
  </si>
  <si>
    <t>Манівці</t>
  </si>
  <si>
    <t>(03855)42242</t>
  </si>
  <si>
    <t>Михайловецька загальноосвітня школа І-ІІІ ступенів Красилівського району Хмельницької області</t>
  </si>
  <si>
    <t>31073</t>
  </si>
  <si>
    <t>6822787201</t>
  </si>
  <si>
    <t>(0(3855))92123</t>
  </si>
  <si>
    <t>http://mihaylivci.at.ua/</t>
  </si>
  <si>
    <t>Митинецька загальноосвітня школа І-ІІІ ступенів Красилівського району Хмельницької області</t>
  </si>
  <si>
    <t>31062</t>
  </si>
  <si>
    <t>6822787401</t>
  </si>
  <si>
    <t>Митинці</t>
  </si>
  <si>
    <t>вул. Зелена, 83 б</t>
  </si>
  <si>
    <t>(03855)96424</t>
  </si>
  <si>
    <t>Печеська загальноосвітня школа І-ІІІ ступенів Красилівського району Хмельницької області</t>
  </si>
  <si>
    <t>31044</t>
  </si>
  <si>
    <t>6822787901</t>
  </si>
  <si>
    <t>Печеське</t>
  </si>
  <si>
    <t>(03855)97823</t>
  </si>
  <si>
    <t>Росоловецька загальноосвітня школа І-ІІІ ступенів Красилівського району Хмельницької області</t>
  </si>
  <si>
    <t>31043</t>
  </si>
  <si>
    <t>6822788201</t>
  </si>
  <si>
    <t>Росолівці</t>
  </si>
  <si>
    <t>(03855)93322</t>
  </si>
  <si>
    <t>Севрюківська загальноосвітня школа І - ІІІ ступенів Хмельницька область Красилівський район с. Севрюки</t>
  </si>
  <si>
    <t>31030</t>
  </si>
  <si>
    <t>6822788401</t>
  </si>
  <si>
    <t>Севрюки</t>
  </si>
  <si>
    <t>(22766790)80385597734</t>
  </si>
  <si>
    <t>Терешківська загальноосвітня школа І-ІІІ ступенів Красилівського району Хмельницькох області</t>
  </si>
  <si>
    <t>31032</t>
  </si>
  <si>
    <t>6822788801</t>
  </si>
  <si>
    <t>(03855)9-95-25</t>
  </si>
  <si>
    <t>Чепелівська загальноосвітня школа І-ІІІ ступенів імені Петра Шемчука Красилівського району Хмельницької області</t>
  </si>
  <si>
    <t>6822789101</t>
  </si>
  <si>
    <t>Чепелівка</t>
  </si>
  <si>
    <t>вул. Петра Шемчука, 40</t>
  </si>
  <si>
    <t>(03855)94644</t>
  </si>
  <si>
    <t>Чернелівська загальноосвітня школа І - ІІІ ступенів імені Героя Радянського Союзу Омеляна Йосиповича Михайлюка Красилівського району Хмельницької області</t>
  </si>
  <si>
    <t>31052</t>
  </si>
  <si>
    <t>6822789201</t>
  </si>
  <si>
    <t>Чернелівка</t>
  </si>
  <si>
    <t>(03855)99348</t>
  </si>
  <si>
    <t>Щиборівська загальноосвітня школа І-ІІІ ступенів Красилівського району Хмельницької області</t>
  </si>
  <si>
    <t>31070</t>
  </si>
  <si>
    <t>6822789501</t>
  </si>
  <si>
    <t>Щиборівка</t>
  </si>
  <si>
    <t>вул. Зелена, 3А</t>
  </si>
  <si>
    <t>(803855)9-37-35</t>
  </si>
  <si>
    <t>http://schubor-school.at.ua/</t>
  </si>
  <si>
    <t>Радісненська загальноосвітня школа І-ІІІ ступенів Красилівського району Хмельницької області</t>
  </si>
  <si>
    <t>31071</t>
  </si>
  <si>
    <t>6822789504</t>
  </si>
  <si>
    <t>(038555)9-55-19</t>
  </si>
  <si>
    <t>Яворовецька загальноосвітня школа І-ІІ ступенів Красилівського району Хмельницької області</t>
  </si>
  <si>
    <t>31055</t>
  </si>
  <si>
    <t>6822789801</t>
  </si>
  <si>
    <t>Яворівці</t>
  </si>
  <si>
    <t>0385593580</t>
  </si>
  <si>
    <t>Слобідко - Красилівська загальноосвітня школа І - ІІ ступенів</t>
  </si>
  <si>
    <t>6822789802</t>
  </si>
  <si>
    <t>Слобідка-Красилівська</t>
  </si>
  <si>
    <t>вул. Клубна, 1А</t>
  </si>
  <si>
    <t>(03855)91596</t>
  </si>
  <si>
    <t>Летичівський навчально-виховний комплекс № 2 "Загальноосвітня школа І-ІІІ ступенів - гімназія" Летичівської селищої ради</t>
  </si>
  <si>
    <t>31500</t>
  </si>
  <si>
    <t>6823055100</t>
  </si>
  <si>
    <t>Летичів</t>
  </si>
  <si>
    <t>вул. Огієнка, 1</t>
  </si>
  <si>
    <t>(03857)91584, (03857)91396</t>
  </si>
  <si>
    <t>http://letnvk2.pp.ua</t>
  </si>
  <si>
    <t>Летичівський навчально-виховний комплекс № 3 "Загальноосвітня школа І-ІІІ ступенів-дошкільний навчальний заклад" Летичівської селищної ради</t>
  </si>
  <si>
    <t>вул. Горбатюка, 2</t>
  </si>
  <si>
    <t>(38098)9799385</t>
  </si>
  <si>
    <t>http://letzosch3.ucoz.ru</t>
  </si>
  <si>
    <t>Летичівський НВК № 1 "Загальноосвітня школа І-ІІІ ступенів-ліцей" Летичівської селищної ради Хмельницької області</t>
  </si>
  <si>
    <t>(03857)91755, (03857)91403</t>
  </si>
  <si>
    <t>http://letnvk1.in.ua</t>
  </si>
  <si>
    <t>Меджибізька загальноосвітня школа І-ІІІ ступенів Меджибізької селищної ради Хмельницької області</t>
  </si>
  <si>
    <t>31530</t>
  </si>
  <si>
    <t>6823055400</t>
  </si>
  <si>
    <t>Меджибіж</t>
  </si>
  <si>
    <t>вул. Замкова, 40</t>
  </si>
  <si>
    <t>(03857)97127</t>
  </si>
  <si>
    <t>Ставницька загальноосвітня школа І-ІІ ступенів Меджибізької селещної ради Хмельницької області</t>
  </si>
  <si>
    <t>31531</t>
  </si>
  <si>
    <t>6823055401</t>
  </si>
  <si>
    <t>Ставниця</t>
  </si>
  <si>
    <t>вул. Костроміна, 10</t>
  </si>
  <si>
    <t>(038257)98342</t>
  </si>
  <si>
    <t>Голенищівська Загальноосвітня школа І-ІІІ ступенів імені А.Д. Локазюка</t>
  </si>
  <si>
    <t>31555</t>
  </si>
  <si>
    <t>6823080401</t>
  </si>
  <si>
    <t>Голенищеве</t>
  </si>
  <si>
    <t>вул. Руслана Присяжнюка, 63</t>
  </si>
  <si>
    <t>(03857)9-57-24</t>
  </si>
  <si>
    <t>Голосківська загальноосвітня школа І-ІІІ ступенів Меджибізької селищної ради Хмельницької області</t>
  </si>
  <si>
    <t>31535</t>
  </si>
  <si>
    <t>6823081201</t>
  </si>
  <si>
    <t>(23562255)(03857)9-61-58</t>
  </si>
  <si>
    <t>http://holoskiv.lt.ua</t>
  </si>
  <si>
    <t>Гречинецький навчально-виховний комплекс "Загальноосвітня школа І-ІІІ ступенів-дошкільний навчальний заклад" Летичівської селищної ради</t>
  </si>
  <si>
    <t>31515</t>
  </si>
  <si>
    <t>6823082001</t>
  </si>
  <si>
    <t>Гречинці</t>
  </si>
  <si>
    <t>(038)5795155</t>
  </si>
  <si>
    <t>Грушковецька загальноосвітня школа І-ІІ ступенів Летичівської селищної ради</t>
  </si>
  <si>
    <t>31544</t>
  </si>
  <si>
    <t>6823082401</t>
  </si>
  <si>
    <t>вул. Печенюка, 36/1</t>
  </si>
  <si>
    <t>(096)4949355</t>
  </si>
  <si>
    <t>Бохнянська загальноосвітня школа І-ІІ ступенів Летичівської селищної ради</t>
  </si>
  <si>
    <t>31545</t>
  </si>
  <si>
    <t>6823082402</t>
  </si>
  <si>
    <t>Бохни</t>
  </si>
  <si>
    <t>вул. Гагаріна10/2</t>
  </si>
  <si>
    <t>(3803857)9-65-83</t>
  </si>
  <si>
    <t>Козачківська загальноосвітня школа I -III ступенів Летичівської селищної ради</t>
  </si>
  <si>
    <t>31546</t>
  </si>
  <si>
    <t>6823082901</t>
  </si>
  <si>
    <t>Козачки</t>
  </si>
  <si>
    <t>(380)975460646</t>
  </si>
  <si>
    <t>Митковецький навчально-виховний комплекс "Загальноосвітня школа І - ІІІ ступенів - дошкільний навчальний заклад" імені Демчишина Григорія Миколайовича</t>
  </si>
  <si>
    <t>31511</t>
  </si>
  <si>
    <t>6823083801</t>
  </si>
  <si>
    <t>Митківці</t>
  </si>
  <si>
    <t>вул. шкільна, 7</t>
  </si>
  <si>
    <t>(03857)98293</t>
  </si>
  <si>
    <t>Сусловецька загальноосвітня школа І-ІІІ ступенів</t>
  </si>
  <si>
    <t>31522</t>
  </si>
  <si>
    <t>6823084201</t>
  </si>
  <si>
    <t>Суслівці</t>
  </si>
  <si>
    <t>(098)6598237</t>
  </si>
  <si>
    <t>Новокостянтинівська ЗОШ І-ІІІ ступенів Летичівської селищної ради Хмельницької області</t>
  </si>
  <si>
    <t>31523</t>
  </si>
  <si>
    <t>6823084204</t>
  </si>
  <si>
    <t>Новокостянтинів</t>
  </si>
  <si>
    <t>(03857)99-42-47, (097)640-65-58</t>
  </si>
  <si>
    <t>Требуховецька загальноосвітня школа І-ІІІ ступенів Меджибізької селищної ради Хмельницької області</t>
  </si>
  <si>
    <t>6823085801</t>
  </si>
  <si>
    <t>Требухівці</t>
  </si>
  <si>
    <t>(257)98775</t>
  </si>
  <si>
    <t>Головчинецька загальноосвітня школа І-ІІ ступенів Меджибізької селищної ради Хмельницької області</t>
  </si>
  <si>
    <t>31533</t>
  </si>
  <si>
    <t>6823085802</t>
  </si>
  <si>
    <t>Головчинці</t>
  </si>
  <si>
    <t>вул. Шевченка, 41/1</t>
  </si>
  <si>
    <t>(03857)95542</t>
  </si>
  <si>
    <t>Лисогірська загальноосвітня школа І-ІІ ступенів Меджибізької селищної ради Хмельницької області</t>
  </si>
  <si>
    <t>31534</t>
  </si>
  <si>
    <t>6823085803</t>
  </si>
  <si>
    <t>(03857)98119</t>
  </si>
  <si>
    <t>Шрубківський навчально-виховний комплекс "Загальноосвітня школа І-ІІ ступенів - дошкільний навчальний заклад" Меджибізької селищної ради Хмельницької області</t>
  </si>
  <si>
    <t>31513</t>
  </si>
  <si>
    <t>6823086601</t>
  </si>
  <si>
    <t>Шрубків</t>
  </si>
  <si>
    <t>(03857)99-54-30</t>
  </si>
  <si>
    <t>Вербецька загальноосвітня школа І-ІІ ступенів Летичівської СР</t>
  </si>
  <si>
    <t>31525</t>
  </si>
  <si>
    <t>6823087002</t>
  </si>
  <si>
    <t>вул. Центральна, 29/1</t>
  </si>
  <si>
    <t>(03857)9-43-23</t>
  </si>
  <si>
    <t>Новоушицька загальноосвітня школа І - ІІІ ступенів № 2 Новоушицької селищної ради Хмельницької області</t>
  </si>
  <si>
    <t>32600</t>
  </si>
  <si>
    <t>6823355100</t>
  </si>
  <si>
    <t>Нова Ушиця</t>
  </si>
  <si>
    <t>вул. Українська, 42</t>
  </si>
  <si>
    <t>(03847)22294</t>
  </si>
  <si>
    <t>Новоушицька спеціальна загальоосвітня школа-інтернат Хмельницької обласної ради</t>
  </si>
  <si>
    <t>21347662</t>
  </si>
  <si>
    <t>Новоушицький навчально-виховний комплекс "Загальноосвітня школа І-ІІІ ступенів № 1, гімназія" Новоушицької селищної ради Хмельницької області</t>
  </si>
  <si>
    <t>вул. Подільська, 27</t>
  </si>
  <si>
    <t>(247)21662</t>
  </si>
  <si>
    <t>http://school1nu.ucoz.ua</t>
  </si>
  <si>
    <t>Борсуківська загальноосвітня школа І - ІІ ступенів с.Борсуки Новоушицького району Хмельницької області</t>
  </si>
  <si>
    <t>32642</t>
  </si>
  <si>
    <t>6823380501</t>
  </si>
  <si>
    <t>ал. вул.Героїв Небесної сотні, 67</t>
  </si>
  <si>
    <t>(0387)2-36-16, (097)1237827</t>
  </si>
  <si>
    <t>Березівська загальноосвітня школа І-ІІІ ступенів Новоушицької селищної ради Хмельницької області</t>
  </si>
  <si>
    <t>32643</t>
  </si>
  <si>
    <t>6823380701</t>
  </si>
  <si>
    <t>вул. Богдана Хмельницького, 11</t>
  </si>
  <si>
    <t>Браїлівська загальноосвітня школа І-ІІ ступенів</t>
  </si>
  <si>
    <t>32616</t>
  </si>
  <si>
    <t>6823381001</t>
  </si>
  <si>
    <t>Браїлівка</t>
  </si>
  <si>
    <t>вул. Подільська, 20</t>
  </si>
  <si>
    <t>(03847)25386</t>
  </si>
  <si>
    <t>Глібівська загальноосвітня школа І-ІІІ ступенів с.Глібів Новоушицької ОТГ Новоушицького р-ну Хмельницька обл</t>
  </si>
  <si>
    <t>32610</t>
  </si>
  <si>
    <t>6823382001</t>
  </si>
  <si>
    <t>ал. паркова, 2</t>
  </si>
  <si>
    <t>(03847)24390</t>
  </si>
  <si>
    <t>Заміхівська загальноосвітня школа І-ІІІ ступенів Новоушицької селищної ради Хмельницької області</t>
  </si>
  <si>
    <t>32630</t>
  </si>
  <si>
    <t>6823382501</t>
  </si>
  <si>
    <t>Заміхів</t>
  </si>
  <si>
    <t>2-46-57</t>
  </si>
  <si>
    <t>Зеленокуриловецька загальноосвітня школа І-ІІІ ступенів Новоушицького району Хмельницької області</t>
  </si>
  <si>
    <t>32651</t>
  </si>
  <si>
    <t>6823382701</t>
  </si>
  <si>
    <t>Зелені Курилівці</t>
  </si>
  <si>
    <t>ал. Шевченка, 49</t>
  </si>
  <si>
    <t>(38047)2-35-46</t>
  </si>
  <si>
    <t>Пижівська загальноосвітня школа І - ІІ ступенів Новоушицького району Хмельницької області</t>
  </si>
  <si>
    <t>32652</t>
  </si>
  <si>
    <t>6823382702</t>
  </si>
  <si>
    <t>Пижівка</t>
  </si>
  <si>
    <t>(03847)2-93-24</t>
  </si>
  <si>
    <t>Івашковецька загальноосвітня школа І-ІІ ступенів Новоушицької селищної ради Хмельницької області</t>
  </si>
  <si>
    <t>32623</t>
  </si>
  <si>
    <t>6823383001</t>
  </si>
  <si>
    <t>вул. центральна, 57</t>
  </si>
  <si>
    <t>(03847)24034</t>
  </si>
  <si>
    <t>http://ivashkovetskasc.ucoz.ua</t>
  </si>
  <si>
    <t>Капустянська загальноосвітня школа І-ІІ ступенів Новоушицької селищної ради Хмельницької області</t>
  </si>
  <si>
    <t>32612</t>
  </si>
  <si>
    <t>6823383501</t>
  </si>
  <si>
    <t>вул. Шевченка, 83</t>
  </si>
  <si>
    <t>(03847)24475</t>
  </si>
  <si>
    <t>http://www.kapustiany-zosh.km.sch.in.ua/</t>
  </si>
  <si>
    <t>Глибочанська загальноосвітня школа І-ІІ ступенів Новоушицької селищної ради Хмельницької області</t>
  </si>
  <si>
    <t>32613</t>
  </si>
  <si>
    <t>6823383502</t>
  </si>
  <si>
    <t>вул. Ватутіна, 4</t>
  </si>
  <si>
    <t>2-61-17</t>
  </si>
  <si>
    <t>http://www.glybochanska-zosh.km.sch.in.ua/</t>
  </si>
  <si>
    <t>Косиковецька загальноосвітня школа І-ІІІ ступенів Новоушицької селищної ради Хмельницької області</t>
  </si>
  <si>
    <t>32640</t>
  </si>
  <si>
    <t>6823384001</t>
  </si>
  <si>
    <t>Косиківці</t>
  </si>
  <si>
    <t>(047)2-37-45</t>
  </si>
  <si>
    <t>Куражинська загальноосвітня школа І-ІІІ ступенів Новоушицької селищної ради Хмельницької області</t>
  </si>
  <si>
    <t>32663</t>
  </si>
  <si>
    <t>6823384501</t>
  </si>
  <si>
    <t>Куражин</t>
  </si>
  <si>
    <t>(0247)2-31-70</t>
  </si>
  <si>
    <t>http://kurazhyn.edukit.km.ua</t>
  </si>
  <si>
    <t>Кучанська загальноосвітня школа І-ІІІ ступенів</t>
  </si>
  <si>
    <t>32645</t>
  </si>
  <si>
    <t>6823385001</t>
  </si>
  <si>
    <t>Куча</t>
  </si>
  <si>
    <t>2-51-16</t>
  </si>
  <si>
    <t>Малостружківська загальноосвітня школа I-II ступенів Новоушицької селищної ради Хмельницької області</t>
  </si>
  <si>
    <t>32633</t>
  </si>
  <si>
    <t>6823386001</t>
  </si>
  <si>
    <t>Мала Стружка</t>
  </si>
  <si>
    <t>(03847)24771</t>
  </si>
  <si>
    <t>Вільховецька загальноосвітня школа І-ІІІ ступенів імені Федора Степановича Бацури</t>
  </si>
  <si>
    <t>32660</t>
  </si>
  <si>
    <t>6823386501</t>
  </si>
  <si>
    <t>Рудковецька загальноосвітня школа І - ІІ ступенів Новоушицької селищної ради Хмельницької області</t>
  </si>
  <si>
    <t>32662</t>
  </si>
  <si>
    <t>6823386504</t>
  </si>
  <si>
    <t>(03847)2-55-19</t>
  </si>
  <si>
    <t>Отроківська загальноосвітня школа І-ІІІ ступенів Новоушицької селищної ради Хмельницької області</t>
  </si>
  <si>
    <t>32620</t>
  </si>
  <si>
    <t>6823387001</t>
  </si>
  <si>
    <t>Отроків</t>
  </si>
  <si>
    <t>(0384)2-41-56</t>
  </si>
  <si>
    <t>http://otrokiv-zosh.km.sch.in.ua</t>
  </si>
  <si>
    <t>Песецька загальноосвітня школа І-ІІ ступенів</t>
  </si>
  <si>
    <t>32625</t>
  </si>
  <si>
    <t>6823387501</t>
  </si>
  <si>
    <t>Песець</t>
  </si>
  <si>
    <t>вул. В. Бойчука, 2</t>
  </si>
  <si>
    <t>(097)7650228</t>
  </si>
  <si>
    <t>Пилипковецька загальноосвітня школа І -ІІ ступенів Новоушицької селищної ради Хмельницької області</t>
  </si>
  <si>
    <t>32614</t>
  </si>
  <si>
    <t>6823388001</t>
  </si>
  <si>
    <t>Пилипківці</t>
  </si>
  <si>
    <t>вул. Леніна, 74</t>
  </si>
  <si>
    <t>(03847)24582</t>
  </si>
  <si>
    <t>Пилипохребтіївська загальноосвітня школа І-ІІІ ступенів Новоушицького району Хмельницької області</t>
  </si>
  <si>
    <t>32653</t>
  </si>
  <si>
    <t>6823388501</t>
  </si>
  <si>
    <t>Пилипи-Хребтіївські</t>
  </si>
  <si>
    <t>вул. Ушинського, 16</t>
  </si>
  <si>
    <t>Струзька загальноосвітня школа І-ІІІ ступенів Новоушицької селищної ради Хмельницької області.</t>
  </si>
  <si>
    <t>32632</t>
  </si>
  <si>
    <t>6823389501</t>
  </si>
  <si>
    <t>Струга</t>
  </si>
  <si>
    <t>(03847)2-95-71</t>
  </si>
  <si>
    <t>http://www.struga-school.edukit.km.ua</t>
  </si>
  <si>
    <t>НВК № 1 "ЗОШ І ст. № 5-ДНЗ" Полонської міської ради об'єднаної територіальної громади</t>
  </si>
  <si>
    <t>30500</t>
  </si>
  <si>
    <t>6823610100</t>
  </si>
  <si>
    <t>Полонне</t>
  </si>
  <si>
    <t>вул. Академіка Герасимчука, 243</t>
  </si>
  <si>
    <t>(03843)33064</t>
  </si>
  <si>
    <t>Полонська гімназія Полонської міської ради об'єднаної територіальної громади</t>
  </si>
  <si>
    <t>вул. Лесі Українки, 116</t>
  </si>
  <si>
    <t>((03843))32462</t>
  </si>
  <si>
    <t>http://www.polgymnasium.km.ua</t>
  </si>
  <si>
    <t>Полонська загальноосвітня школа І - ІІ ступенів № 6 Полонської міської ради об'єднаної територіальної громади</t>
  </si>
  <si>
    <t>вул. Забілинська, 79</t>
  </si>
  <si>
    <t>(03843)30654</t>
  </si>
  <si>
    <t>Полонська загальноосвітня школа І-ІІІ ступенів № 2 Полонської міської ради об'єднаної територіальної громади</t>
  </si>
  <si>
    <t>вул. Лесі Українки, 108</t>
  </si>
  <si>
    <t>(03843)3-23-97, (03843)3-21-97</t>
  </si>
  <si>
    <t>Полонська загальноосвітня школа І-ІІІ ступенів № 3 Полонської міської ради об'днаної територіальної громади</t>
  </si>
  <si>
    <t>вул. Ходякова, 86</t>
  </si>
  <si>
    <t>(03843)3-23-45</t>
  </si>
  <si>
    <t>http://zosh3polonne.km.ua</t>
  </si>
  <si>
    <t>Полонська загальноосвітня школа І-ІІІ ступенів № 4 Полонської міської ради об'єднаної територіальної громади</t>
  </si>
  <si>
    <t>вул. Лесі Українки, 199</t>
  </si>
  <si>
    <t>(03843)32603</t>
  </si>
  <si>
    <t>http://polonne-school4.km.sch.in.ua</t>
  </si>
  <si>
    <t>Полонський навчально - виховний комплекс № 2 "Загальноосвітня школа І-ІІІ ступенів № 7 - дошкільний навчальний заклад" Полонської міської ради об'єднаної територіальної громади</t>
  </si>
  <si>
    <t>(03843)20374</t>
  </si>
  <si>
    <t>http://nvk2.ucoz.com</t>
  </si>
  <si>
    <t>Понінківська загальноосвітня школа І-ІІ ступенів Понінківської селищної ради</t>
  </si>
  <si>
    <t>30511</t>
  </si>
  <si>
    <t>6823655400</t>
  </si>
  <si>
    <t>Понінка</t>
  </si>
  <si>
    <t>вул. Боженка, 9</t>
  </si>
  <si>
    <t>(03843)71566</t>
  </si>
  <si>
    <t>Понінківський навчально-виховний комплекс "Загальноосвітня школа І-ІІІ ступенів № 1, гімназія" Понінківської селищної ради</t>
  </si>
  <si>
    <t>вул. Папірників, 20А</t>
  </si>
  <si>
    <t>(068)0318135</t>
  </si>
  <si>
    <t>http://poninka.km.ua</t>
  </si>
  <si>
    <t>Білецький навчально-виховний комплекс " Загальноосвітня школа І ступення - дошкільний навчальний заклад" Полонської районної ради Хмельницької області</t>
  </si>
  <si>
    <t>30543</t>
  </si>
  <si>
    <t>6823680301</t>
  </si>
  <si>
    <t>Білецьке</t>
  </si>
  <si>
    <t>(93)183</t>
  </si>
  <si>
    <t>Бражинецький навчально-виховний комплекс "Загальноосвітня школа І-ІІ ступенів - дошкільний навчальний заклад</t>
  </si>
  <si>
    <t>30536</t>
  </si>
  <si>
    <t>6823680501</t>
  </si>
  <si>
    <t>Бражинці</t>
  </si>
  <si>
    <t>(3843)96111</t>
  </si>
  <si>
    <t>Буртинська загальноосвітня школа І-ІІІ ступенів Понінківської селищної ради</t>
  </si>
  <si>
    <t>30510</t>
  </si>
  <si>
    <t>6823681001</t>
  </si>
  <si>
    <t>Буртин</t>
  </si>
  <si>
    <t>вул. Перемоги, 69 А</t>
  </si>
  <si>
    <t>(03843)92360</t>
  </si>
  <si>
    <t>Великоберезнянська загальноосвітня школа І-ІІІ ступенів Полонської міської ради об'єднаної територіальної громади</t>
  </si>
  <si>
    <t>30530</t>
  </si>
  <si>
    <t>6823681501</t>
  </si>
  <si>
    <t>Велика Березна</t>
  </si>
  <si>
    <t>вул. Дмитрівська, 42</t>
  </si>
  <si>
    <t>(03843)90-1-37</t>
  </si>
  <si>
    <t>Філія № 3 Новоселицької загальноосвітньої школи І-ІІІ ступенів Варварівський навчально-виховний комплекс "Загальноосвітня школа І ступеня - дошкільний навчальний заклад" Полонської міської ради об'єднаної територіальної громади Хмельницької області</t>
  </si>
  <si>
    <t>30532</t>
  </si>
  <si>
    <t>6823681503</t>
  </si>
  <si>
    <t>вул. Земнухова, 3</t>
  </si>
  <si>
    <t>0660446205</t>
  </si>
  <si>
    <t>Великокаленицька загальноосвітня школа І-ІІІ ступенів Полонської міської ради об'єднаної територіальної громади</t>
  </si>
  <si>
    <t>30521</t>
  </si>
  <si>
    <t>6823682001</t>
  </si>
  <si>
    <t>Великі Каленичі</t>
  </si>
  <si>
    <t>(03843)91430</t>
  </si>
  <si>
    <t>Воробіївський навчально-виховний комплекс "Загальноосвітня школа І ступеня - дошкільний навчальний заклад" Полонської районної ради Хмельницької області</t>
  </si>
  <si>
    <t>30545</t>
  </si>
  <si>
    <t>6823682201</t>
  </si>
  <si>
    <t>Котюржинецький навчально-виховний комплекс "Загальноосвітня школа І-ІІ ступенів - дошкільний навчальний заклад" Полонської міської ради об'єднаної територіальної громади</t>
  </si>
  <si>
    <t>30514</t>
  </si>
  <si>
    <t>6823683001</t>
  </si>
  <si>
    <t>вул. Л.Войтюк, 21А</t>
  </si>
  <si>
    <t>0987160854</t>
  </si>
  <si>
    <t>Кустовецька загальноосвітня школа І-ІІІ ступенів Полонської районної ради Хмельницької області</t>
  </si>
  <si>
    <t>30542</t>
  </si>
  <si>
    <t>6823683501</t>
  </si>
  <si>
    <t>вул. Комсомольська, 41</t>
  </si>
  <si>
    <t>Малошкарівська загальноосвітня школа І-ІІ ступенів Полонської районної ради Хмельницької області</t>
  </si>
  <si>
    <t>30540</t>
  </si>
  <si>
    <t>6823684001</t>
  </si>
  <si>
    <t>Мала Шкарівка</t>
  </si>
  <si>
    <t>вул. 40-річчя  Перемоги, 32А</t>
  </si>
  <si>
    <t>0961504103</t>
  </si>
  <si>
    <t>Микулинська загальноосвітня школа І-ІІ ступенів Полонської районної ради Хмельницької області</t>
  </si>
  <si>
    <t>30525</t>
  </si>
  <si>
    <t>6823684501</t>
  </si>
  <si>
    <t>Микулин</t>
  </si>
  <si>
    <t>вул. Л.Українки, 37</t>
  </si>
  <si>
    <t>(25993120)99-1-56</t>
  </si>
  <si>
    <t>Новолабунська загальноосвітня школа І-ІІІ ступенів Полонської міської ради об'єднаної територіальної громади</t>
  </si>
  <si>
    <t>30522</t>
  </si>
  <si>
    <t>6823685001</t>
  </si>
  <si>
    <t>Новолабунь</t>
  </si>
  <si>
    <t>(03843)91-1-13</t>
  </si>
  <si>
    <t>Новоселицька загальноосвітня школа І-ІІІ ступенів Полонської міської ради об'єднаної територіальної громади Хмельницької області</t>
  </si>
  <si>
    <t>30533</t>
  </si>
  <si>
    <t>6823685501</t>
  </si>
  <si>
    <t>вул. Соборна, 122</t>
  </si>
  <si>
    <t>(03843)95104</t>
  </si>
  <si>
    <t>Онацьківецький навчально-виховний комплекс "Загальноосвітня школа І-ІІ ступенів-дошкільний навчальний заклад" Полонської міської ради об'єднаної територіальної громади</t>
  </si>
  <si>
    <t>30544</t>
  </si>
  <si>
    <t>6823686001</t>
  </si>
  <si>
    <t>Онацьківці</t>
  </si>
  <si>
    <t>Філія № 2 Новоселицької ЗОШ І-ІІІ ступенів Прислуцький навчально-виховний комплекс «Загальноосвітня школа І-ІІ ступенів – дошкільний навчальний заклад» Полонської міської ради об'єднаної територіальної громади</t>
  </si>
  <si>
    <t>30535</t>
  </si>
  <si>
    <t>6823686201</t>
  </si>
  <si>
    <t>(03843)91643</t>
  </si>
  <si>
    <t>Червонівський навчально-виховний комплекс "Загальнооосвітня школа І-ІІ ступенів - дошкільний навчальний заклад" Полонської міської ради об'єднаної територіальної громади</t>
  </si>
  <si>
    <t>30520</t>
  </si>
  <si>
    <t>6823686503</t>
  </si>
  <si>
    <t>вул. О. Кошового, 27 А</t>
  </si>
  <si>
    <t>Крачанівська загальноосвітня школа I-II ступенів Полонської районної ради Хмельницької області</t>
  </si>
  <si>
    <t>30526</t>
  </si>
  <si>
    <t>6823687005</t>
  </si>
  <si>
    <t>Крачанівка</t>
  </si>
  <si>
    <t>вул. В.Гуцуляка, 17</t>
  </si>
  <si>
    <t>Ганнопільський навчально-виховний комплекс "дошкільний навчальний заклад -середня загальноосвітня школа І-ІІІ ступенів" Ганнопільсьої сільської ради Славутського району Хмельницької області</t>
  </si>
  <si>
    <t>30030</t>
  </si>
  <si>
    <t>6823980301</t>
  </si>
  <si>
    <t>вул. Одухи, 4</t>
  </si>
  <si>
    <t>(03842)50-335</t>
  </si>
  <si>
    <t>http://www.gannopil-nvk.km.sch.in.ua</t>
  </si>
  <si>
    <t>Берездівська спеціальна загальноосвітня школа-інтернат Хмельницької обласної ради</t>
  </si>
  <si>
    <t>30053</t>
  </si>
  <si>
    <t>6823980601</t>
  </si>
  <si>
    <t>Берездів</t>
  </si>
  <si>
    <t>вул. Островського, 47</t>
  </si>
  <si>
    <t>23564343</t>
  </si>
  <si>
    <t>Опорний заклад - Берездівський навчально-виховний комплекс "дошкільний навчальний заклад - школа І-ІІІ ступенів" Берездівської сільської ради Славутського району Хмельницької області</t>
  </si>
  <si>
    <t>вул. Суворова, 3</t>
  </si>
  <si>
    <t>(3803842)54106</t>
  </si>
  <si>
    <t>http://bernvk.jimdo.com</t>
  </si>
  <si>
    <t>41537633</t>
  </si>
  <si>
    <t>Варварівський навчально - виховний комплекс "дошкільний навчальний заклад - середня загальноосвітня школа І - ІІ ступенів" Славутської районної ради Хмельницької області</t>
  </si>
  <si>
    <t>30016</t>
  </si>
  <si>
    <t>6823980901</t>
  </si>
  <si>
    <t>(03842)54510</t>
  </si>
  <si>
    <t>Великоправутинський навчально-виховний комплекс "дошкільний навчальний заклад - школа І-ІІ ступенів" Берездівської сільської ради Славутського району Хмельницької області</t>
  </si>
  <si>
    <t>30055</t>
  </si>
  <si>
    <t>6823981201</t>
  </si>
  <si>
    <t>Великий Правутин</t>
  </si>
  <si>
    <t>(03842)53-413</t>
  </si>
  <si>
    <t>Великоскнитський навчально-виховний комплекс"Дошкільний навчальний заклад - середня загальноосвітня школа І - ІІІступенів" Ганнопільської сільської ради Хмельницької області</t>
  </si>
  <si>
    <t>30024</t>
  </si>
  <si>
    <t>6823981501</t>
  </si>
  <si>
    <t>Великий Скнит</t>
  </si>
  <si>
    <t>пров. Шкільна, 2</t>
  </si>
  <si>
    <t>(03842)56291</t>
  </si>
  <si>
    <t>Губелецький навчально-виховний комплекс "дошкільний навчальний заклад-школа І-ІІ ступенів" Славутської районної ради Хмельницької області</t>
  </si>
  <si>
    <t>30071</t>
  </si>
  <si>
    <t>6823981602</t>
  </si>
  <si>
    <t>Губельці</t>
  </si>
  <si>
    <t>(03842)53341</t>
  </si>
  <si>
    <t>Головлівський навчально-виховний комлекс "дошкільний навчальний заклад - школа І-ІІ ступенів" Славутської районної ради Хмельницької області.</t>
  </si>
  <si>
    <t>30060</t>
  </si>
  <si>
    <t>6823982101</t>
  </si>
  <si>
    <t>Головлі</t>
  </si>
  <si>
    <t>вул. Шкільна, 39/а</t>
  </si>
  <si>
    <t>380673342569</t>
  </si>
  <si>
    <t>Опорний заклад - Горицький навчально-виховний комплекс "дошкільний навчальний заклад - школа І-ІІІ ступенів" Берездівської сільської ради Славутського району Хмельницької області</t>
  </si>
  <si>
    <t>30084</t>
  </si>
  <si>
    <t>6823982201</t>
  </si>
  <si>
    <t>Гориця</t>
  </si>
  <si>
    <t>41537827</t>
  </si>
  <si>
    <t>Довжківський навчально-виховний комплекс "Дошкільний навчальний заклад-середня загальноосвітня школа І-ІІІ ступенів" Ганнопільської сільської ради Славутського району Хмельницької області</t>
  </si>
  <si>
    <t>30022</t>
  </si>
  <si>
    <t>6823982401</t>
  </si>
  <si>
    <t>вул. Чорновола, 112</t>
  </si>
  <si>
    <t>(03842)56442</t>
  </si>
  <si>
    <t>Жуківський навчально-виховний комплекс "дошкільний навчальний заклад-середня загальноосвітня школа І-ІІІ ступенів" Славутської районної ради Хмельницької області</t>
  </si>
  <si>
    <t>30075</t>
  </si>
  <si>
    <t>6823982501</t>
  </si>
  <si>
    <t>Дяківський навчально-виховний комплекс "дошкільний навчальний заклад-школа І-ІІ ступенів" Берездівської сільської ради Славутського району Хмельницької області</t>
  </si>
  <si>
    <t>30057</t>
  </si>
  <si>
    <t>6823982701</t>
  </si>
  <si>
    <t>Дяків</t>
  </si>
  <si>
    <t>вул. Новоселицька, 1</t>
  </si>
  <si>
    <t>(3803842)54751</t>
  </si>
  <si>
    <t>Іванівський навчально-виховний комплекс "дошкільний навчальний заклад - школа І-ІІ ступенів" імені Героя Радянського Союзу А.З. Одухи Славутської районної ради Хмельницької області</t>
  </si>
  <si>
    <t>30074</t>
  </si>
  <si>
    <t>6823983001</t>
  </si>
  <si>
    <t>(03842)52133</t>
  </si>
  <si>
    <t>http://ivanivka.pp.ua</t>
  </si>
  <si>
    <t>Киликиївський навчально-виховний комплекс "дошкільний навчальний заклад - середня загальноосвітня школа І-ІІІ ступенів" Ганнопільської сільської ради Славутського району Хмельницької області</t>
  </si>
  <si>
    <t>30042</t>
  </si>
  <si>
    <t>6823983401</t>
  </si>
  <si>
    <t>Киликиїв</t>
  </si>
  <si>
    <t>вул. Козацький шлях, 24А</t>
  </si>
  <si>
    <t>(03842)55411</t>
  </si>
  <si>
    <t>http://nvk-kilikyiv.at.ua</t>
  </si>
  <si>
    <t>Клепачівський навчально-виховний комплекс "дошкільний навчальний заклад - школа І-ІІ ступенів" Ганнопільської сільської ради Славутського району Хмельницької області</t>
  </si>
  <si>
    <t>30036</t>
  </si>
  <si>
    <t>6823983601</t>
  </si>
  <si>
    <t>(03842)55273</t>
  </si>
  <si>
    <t>http://klepachinvk.at.ua</t>
  </si>
  <si>
    <t>Крупецький навчально-виховний комплекс "дошкільний навчальний заклад- середня загальноосвітня школа І-ІІІ ступенів" Славутської районної ради Хмельницької області</t>
  </si>
  <si>
    <t>30068</t>
  </si>
  <si>
    <t>6823984001</t>
  </si>
  <si>
    <t>(03842)57113</t>
  </si>
  <si>
    <t>http://krupets-nvk.at.ua</t>
  </si>
  <si>
    <t>Лисиченський навчально-виховний комплекс "Загальноосвітня школа І-ІІ ступенів - дошкільний навчальний заклад" Славутської районної ради Хмельницької області</t>
  </si>
  <si>
    <t>30061</t>
  </si>
  <si>
    <t>6823984701</t>
  </si>
  <si>
    <t>Лисиче</t>
  </si>
  <si>
    <t>(03842)52-713</t>
  </si>
  <si>
    <t>http://lysyche-nvk.edukit.km.ua/</t>
  </si>
  <si>
    <t>Опорний заклад - Малоправутинський навчально-виховний комплекс "дошкільний навчальний заклад - школа І-ІІІ ступенів" Берездівської сільської ради Славутського району Хмельницької області</t>
  </si>
  <si>
    <t>30056</t>
  </si>
  <si>
    <t>6823984801</t>
  </si>
  <si>
    <t>Малий Правутин</t>
  </si>
  <si>
    <t>(03842)55503</t>
  </si>
  <si>
    <t>http://malpravutyn-nvk.edukit.km.ua</t>
  </si>
  <si>
    <t>41537759</t>
  </si>
  <si>
    <t>Малоскнитський навчально - виховний комплекс "дошкільний навчальний заклад - середня загальноосвітня школа І-ІІІ ступенів" Ганнопільської сільської ради Славутського району Хмельницької області</t>
  </si>
  <si>
    <t>30020</t>
  </si>
  <si>
    <t>6823984901</t>
  </si>
  <si>
    <t>Малий Скнит</t>
  </si>
  <si>
    <t>(03842)52237</t>
  </si>
  <si>
    <t>Філія Манятинський навчально-виховний комплекс "дошкільний навчальний заклад-середня загальноосвітня школа I-II ступенів" Опорного закладу Малоправутинський НВК Берездівської сільської ради Славутського району Хмельницької області</t>
  </si>
  <si>
    <t>30086</t>
  </si>
  <si>
    <t>6823985101</t>
  </si>
  <si>
    <t>Манятин</t>
  </si>
  <si>
    <t>вул. Вишнева, 54</t>
  </si>
  <si>
    <t>(03842)54602</t>
  </si>
  <si>
    <t>Миньковецький навчально - виховний комплекс "дошкільний навчальний заклад - середня загальноосвітня школа І - ІІІ ступенів" Славутської районної ради Хмельницької області</t>
  </si>
  <si>
    <t>30018</t>
  </si>
  <si>
    <t>6823985301</t>
  </si>
  <si>
    <t>(03842)51511</t>
  </si>
  <si>
    <t>Опорний заклад - Мирутинський навчально-виховний комплекс "дошкільний навчальний заклад- школа І-ІІІ ступенів" Берездівської сільської ради Славутського району Хмельницької області</t>
  </si>
  <si>
    <t>30051</t>
  </si>
  <si>
    <t>6823985501</t>
  </si>
  <si>
    <t>Мирутин</t>
  </si>
  <si>
    <t>(03842)57-638</t>
  </si>
  <si>
    <t>http://mirutinnvk.at.ua</t>
  </si>
  <si>
    <t>41538024</t>
  </si>
  <si>
    <t>Мухарівський навчально - виховний комплекс "дошкільний навчальний заклад - школа І-ІІ ступенів" Берездівської сільської ради Славутського району Хмельницької області</t>
  </si>
  <si>
    <t>30043</t>
  </si>
  <si>
    <t>6823985901</t>
  </si>
  <si>
    <t>Мухарів</t>
  </si>
  <si>
    <t>Піддубецький навчально-виховний комплекс "дошкільний навчальний заклад - школа І-ІІ ступенів" Берездівської сільської ради Славутського району Хмельницької області</t>
  </si>
  <si>
    <t>30040</t>
  </si>
  <si>
    <t>6823986701</t>
  </si>
  <si>
    <t>Полянський навчально-виховний комплекс "дошкільний навчальний заклад-школа І-ІІ ступенів" Славутської районної ради Хмельницької області</t>
  </si>
  <si>
    <t>30065</t>
  </si>
  <si>
    <t>6823986801</t>
  </si>
  <si>
    <t>Полянь</t>
  </si>
  <si>
    <t>вул. Шкільна, 10 б</t>
  </si>
  <si>
    <t>(03842)57354</t>
  </si>
  <si>
    <t>http://polannvk.at.ua</t>
  </si>
  <si>
    <t>Сьомаківський навчально - виховний комплекс "дошкільний навчальний заклад - школа І-ІІ ступенів" Берездівської сільської ради Славутського району Хмельницької області</t>
  </si>
  <si>
    <t>30081</t>
  </si>
  <si>
    <t>6823986901</t>
  </si>
  <si>
    <t>(03842)55-170</t>
  </si>
  <si>
    <t>Ставичанський навчально-виховний комплекс "дошкільний навчальний заклад - школа І-ІІ ступенів" Берездівської сільської ради Славутського району Хмельницької області</t>
  </si>
  <si>
    <t>30045</t>
  </si>
  <si>
    <t>6823987101</t>
  </si>
  <si>
    <t>Ставичани</t>
  </si>
  <si>
    <t>(03842)55782</t>
  </si>
  <si>
    <t>Старокривинський навчально-виховний комплекс "дошкільний навчальний заклад - школа І-ІІІ ступенів " Славутської районної ради Хмельницької області</t>
  </si>
  <si>
    <t>30063</t>
  </si>
  <si>
    <t>6823987301</t>
  </si>
  <si>
    <t>Старий Кривин</t>
  </si>
  <si>
    <t>вул. Привокзальна, 32 а</t>
  </si>
  <si>
    <t>(03842)51137</t>
  </si>
  <si>
    <t>Улашанівський навчально-виховний комплекс "дошкільний навчальний заклад-середня загальноосвітня школа І-ІІІ ступенів" імені Володимира Марковського Славутської районної ради Хмельницької області</t>
  </si>
  <si>
    <t>30070</t>
  </si>
  <si>
    <t>6823987701</t>
  </si>
  <si>
    <t>Улашанівка</t>
  </si>
  <si>
    <t>(03842)51675</t>
  </si>
  <si>
    <t>http://ulash-nvk.at.ua</t>
  </si>
  <si>
    <t>Перемишельський навчально-виховний комплекс "дошкільний навчальний заклад - середня загальноосвітня школа І-ІІ ступенів" Славутської районної ради Хмельницької області</t>
  </si>
  <si>
    <t>30073</t>
  </si>
  <si>
    <t>6823987705</t>
  </si>
  <si>
    <t>Перемишель</t>
  </si>
  <si>
    <t>вул. Молодіжна, 86</t>
  </si>
  <si>
    <t>(03842)56708</t>
  </si>
  <si>
    <t>Хвощівський навчально - виховний комплекс "дошкільний навчальний заклад - школа І-ІІ ступенів" Берездівської сільської ради Славутського району Хмельницької області</t>
  </si>
  <si>
    <t>30046</t>
  </si>
  <si>
    <t>6823988001</t>
  </si>
  <si>
    <t>Хвощівка</t>
  </si>
  <si>
    <t>(03842)52400</t>
  </si>
  <si>
    <t>http://hvoschivka-nvk.edukit.km.ua</t>
  </si>
  <si>
    <t>Хоняківський навчально-виховний комплекс "Дошкільний навчальний заклад - загальноосвітня школа І ступеня" Ганнопільської сільської ради Славутського району Хмельницької області</t>
  </si>
  <si>
    <t>30033</t>
  </si>
  <si>
    <t>6823988401</t>
  </si>
  <si>
    <t>Хоняків</t>
  </si>
  <si>
    <t>Хоровецький навчально-виховний комплекс "дошкільний навчальний заклад - середня загальноосвітня школа І-ІІІ ступенів"</t>
  </si>
  <si>
    <t>30082</t>
  </si>
  <si>
    <t>6823988801</t>
  </si>
  <si>
    <t>Хоровець</t>
  </si>
  <si>
    <t>вул. Перемоги, 14</t>
  </si>
  <si>
    <t>(03842)55829</t>
  </si>
  <si>
    <t>https://xorovec.jimdo.com/</t>
  </si>
  <si>
    <t>Цвітоське навчально - виховне об'єднання "дошкільний навчальний заклад, середня загальноосвітня школа І-ІІІ ступенів, школа мистецтв" Славутської районної ради Хмельницької області</t>
  </si>
  <si>
    <t>30014</t>
  </si>
  <si>
    <t>6823989201</t>
  </si>
  <si>
    <t>Цвітоха</t>
  </si>
  <si>
    <t>(03842)55636</t>
  </si>
  <si>
    <t>Баглайська загальноосвітня школа І ступеня Старокостянтинівської районної ради Хмельницької області</t>
  </si>
  <si>
    <t>31175</t>
  </si>
  <si>
    <t>6824280401</t>
  </si>
  <si>
    <t>Баглаї</t>
  </si>
  <si>
    <t>Лажівська загальноосвітня школа ІІ-ІІІ ступенів Старокостянтинівської районної ради Хмельницької області</t>
  </si>
  <si>
    <t>31177</t>
  </si>
  <si>
    <t>6824280404</t>
  </si>
  <si>
    <t>Лажева</t>
  </si>
  <si>
    <t>(03854)76113</t>
  </si>
  <si>
    <t>Бутовецька загальноосвітня школа І-ІІІ ступенів Старокостянтинівської районної ради Хмельницької області</t>
  </si>
  <si>
    <t>31113</t>
  </si>
  <si>
    <t>6824280702</t>
  </si>
  <si>
    <t>Бутівці</t>
  </si>
  <si>
    <t>вул. Павла Тичини, 20/1</t>
  </si>
  <si>
    <t>(03854)95-136</t>
  </si>
  <si>
    <t>http://www.butivtsi-school.edukit.km.ua/</t>
  </si>
  <si>
    <t>Великомацевицький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</si>
  <si>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31116</t>
  </si>
  <si>
    <t>6824281001</t>
  </si>
  <si>
    <t>Великі Мацевичі</t>
  </si>
  <si>
    <t>(380(54))72-1-74</t>
  </si>
  <si>
    <t>http://velmatsevychi-school.edukit.km.ua</t>
  </si>
  <si>
    <t>Великочернятинська загальноосвітня школа І-ІІІ ступенів Старокостянтинівської районної ради Хмельницької області</t>
  </si>
  <si>
    <t>31122</t>
  </si>
  <si>
    <t>6824281301</t>
  </si>
  <si>
    <t>Великий Чернятин</t>
  </si>
  <si>
    <t>вул. Пригонова, 4</t>
  </si>
  <si>
    <t>(03854)78-248</t>
  </si>
  <si>
    <t>http://vcherniatyn-school.edukit.km.ua</t>
  </si>
  <si>
    <t>Малочернятинська загальноосвітня школа І-ІІ ступенів Старокостянтинівської районної ради Хмельницької області</t>
  </si>
  <si>
    <t>6824281302</t>
  </si>
  <si>
    <t>Малий Чернятин</t>
  </si>
  <si>
    <t>(3854)78211</t>
  </si>
  <si>
    <t>http://www.malyicherniatyn-school.edukit.km.ua</t>
  </si>
  <si>
    <t>Веснянська загальноосвітня школа І-ІІІ ступенів Старокостянтинівської районної ради Хмельницької області</t>
  </si>
  <si>
    <t>31152</t>
  </si>
  <si>
    <t>6824281701</t>
  </si>
  <si>
    <t>вул. Шкільна, 62/1</t>
  </si>
  <si>
    <t>(3854)77145</t>
  </si>
  <si>
    <t>Вишнопільський навчально-виховний комплекс "Загальноосвітня школа І-ІІ ступенів - дошкільний навчальний заклад" Старокостянтинівської районної ради Хмельницької області</t>
  </si>
  <si>
    <t>31141</t>
  </si>
  <si>
    <t>6824282001</t>
  </si>
  <si>
    <t>Вишнопіль</t>
  </si>
  <si>
    <t>(03854)90181</t>
  </si>
  <si>
    <t>http://vyshnopil-nvk.edukit.km.ua</t>
  </si>
  <si>
    <t>Волице-Керекешинська загальноосвітня школа І ступеня Старокостянтинівської районної ради</t>
  </si>
  <si>
    <t>31121</t>
  </si>
  <si>
    <t>6824282101</t>
  </si>
  <si>
    <t>Волиця-Керекешина</t>
  </si>
  <si>
    <t>вул. Долина, 30</t>
  </si>
  <si>
    <t>(096)1018343</t>
  </si>
  <si>
    <t>Григорівська загальноосвітня школа І-ІІІ ступенів Старокостянтинівської районної ради Хмельницької області</t>
  </si>
  <si>
    <t>31150</t>
  </si>
  <si>
    <t>6824282301</t>
  </si>
  <si>
    <t>(03854)34196</t>
  </si>
  <si>
    <t>http://hryhorivka-sk.edukit.km.ua/</t>
  </si>
  <si>
    <t>Воронковецька загальноосвітня школа І-ІІІ ступенів Старокостянтинівської районної ради Хмельницької області</t>
  </si>
  <si>
    <t>31151</t>
  </si>
  <si>
    <t>6824282302</t>
  </si>
  <si>
    <t>Воронківці</t>
  </si>
  <si>
    <t>вул. Незалежності, 35/1</t>
  </si>
  <si>
    <t>(03854)3-43-23</t>
  </si>
  <si>
    <t>Радковецький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</si>
  <si>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31127</t>
  </si>
  <si>
    <t>6824283201</t>
  </si>
  <si>
    <t>Радківці</t>
  </si>
  <si>
    <t>вул. Радісна, 1</t>
  </si>
  <si>
    <t>(03854)93128</t>
  </si>
  <si>
    <t>http://radkivtsi.edukit.km.ua</t>
  </si>
  <si>
    <t>Ілляшівська загальноосвітня школа І-ІІІ ступенів Старокостянтинівської районної ради Хмельницької області</t>
  </si>
  <si>
    <t>31174</t>
  </si>
  <si>
    <t>6824283601</t>
  </si>
  <si>
    <t>(03854)-97-132</t>
  </si>
  <si>
    <t>http://www.illiashivka-school.edukit.km.ua</t>
  </si>
  <si>
    <t>Іршиківський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</si>
  <si>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31137</t>
  </si>
  <si>
    <t>6824283901</t>
  </si>
  <si>
    <t>Іршики</t>
  </si>
  <si>
    <t>вул. Набережна, 104</t>
  </si>
  <si>
    <t>(03854)98199</t>
  </si>
  <si>
    <t>http://irshyky-nvk.edukit.km.ua/</t>
  </si>
  <si>
    <t>Коржівська загальноосвітня школа І-ІІ ступенів Старокостянтинівської районної ради Хмельницької області</t>
  </si>
  <si>
    <t>31145</t>
  </si>
  <si>
    <t>6824284701</t>
  </si>
  <si>
    <t>Коржівка</t>
  </si>
  <si>
    <t>(03854)99130</t>
  </si>
  <si>
    <t>http://korzhivka.edukit.km.ua/</t>
  </si>
  <si>
    <t>Ладигівський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</si>
  <si>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31183</t>
  </si>
  <si>
    <t>6824285001</t>
  </si>
  <si>
    <t>Ладиги</t>
  </si>
  <si>
    <t>(03854)75135</t>
  </si>
  <si>
    <t>http://ladschool.ucoz.ua/</t>
  </si>
  <si>
    <t>Миролюбненська загальноосвітня школа І-ІІІ ступенів Старокостянтинівської районної ради Хмельницької області</t>
  </si>
  <si>
    <t>31160</t>
  </si>
  <si>
    <t>6824285601</t>
  </si>
  <si>
    <t>Миролюбне</t>
  </si>
  <si>
    <t>вул. ім. Володимира Яневича, 13</t>
  </si>
  <si>
    <t>(03854)71371</t>
  </si>
  <si>
    <t>http://mir-sch.klasna.com/</t>
  </si>
  <si>
    <t>Верхняцька загальноосвітня школа І ступеня Старокостянтинівського району Хмельницької області</t>
  </si>
  <si>
    <t>6824285602</t>
  </si>
  <si>
    <t>Верхняки</t>
  </si>
  <si>
    <t>пров. Узбережний, 2</t>
  </si>
  <si>
    <t>0961098390</t>
  </si>
  <si>
    <t>http://verhniatska-zosh.km.sch.in.ua</t>
  </si>
  <si>
    <t>Морозівський навчально-виховний комплекс "Загальноосвітній навчальний заклад І ступеня - дошкільний навчальний заклад" Старокостянтинівської районної ради Хмельницької області</t>
  </si>
  <si>
    <t>31170</t>
  </si>
  <si>
    <t>6824285603</t>
  </si>
  <si>
    <t>вул. Лісова, 10</t>
  </si>
  <si>
    <t>0962437728</t>
  </si>
  <si>
    <t>Підгірнянський навчально-виховний комплекс "Загальноосвітня школа І ступеня - дошкільний навчальний заклад" Старокостянтинівської районної ради Хмельницької області</t>
  </si>
  <si>
    <t>6824285605</t>
  </si>
  <si>
    <t>вул. Довженка, 10</t>
  </si>
  <si>
    <t>94-111</t>
  </si>
  <si>
    <t>Немиринецька загальноосвітня школа І-ІІІ ступенів Старокостянтинівської районної ради Хмельницької області</t>
  </si>
  <si>
    <t>6824286201</t>
  </si>
  <si>
    <t>(03854)94142</t>
  </si>
  <si>
    <t>Пашковецький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</si>
  <si>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31124</t>
  </si>
  <si>
    <t>6824286401</t>
  </si>
  <si>
    <t>Пашківці</t>
  </si>
  <si>
    <t>(03854)41083</t>
  </si>
  <si>
    <t>http://pashkivtsi-nvk.edukit.km.ua</t>
  </si>
  <si>
    <t>Грибенинська загальноосвітня школа І ступеня Старокостянтинівської районної ради Хмельницької області</t>
  </si>
  <si>
    <t>6824286402</t>
  </si>
  <si>
    <t>Грибенинка</t>
  </si>
  <si>
    <t>вул. Шевченка, 18/1</t>
  </si>
  <si>
    <t>http://griben-school.klasna.com/</t>
  </si>
  <si>
    <t>Поповецький навчально-виховний комплекс "Загальноосвітня школа І-ІІ ступенів-дошкільний навчальний заклад" Старокостянтинівської районної ради Хмельницької області</t>
  </si>
  <si>
    <t>31125</t>
  </si>
  <si>
    <t>6824286403</t>
  </si>
  <si>
    <t>вул. Гагаріна, 23</t>
  </si>
  <si>
    <t>http://pnvk2013jimdo.com</t>
  </si>
  <si>
    <t>Пеньківський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</si>
  <si>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31110</t>
  </si>
  <si>
    <t>6824286701</t>
  </si>
  <si>
    <t>Пеньки</t>
  </si>
  <si>
    <t>(03854)96343</t>
  </si>
  <si>
    <t>http://www.penkynvk.edukit.km.ua</t>
  </si>
  <si>
    <t>Драчівська загальноосвітня школа І ступеня Старокостянтинівської районної ради Хмельницької області</t>
  </si>
  <si>
    <t>31111</t>
  </si>
  <si>
    <t>6824286704</t>
  </si>
  <si>
    <t>Драчі</t>
  </si>
  <si>
    <t>вул. Богдана Хмельницького, 53/А</t>
  </si>
  <si>
    <t>(097)8805184</t>
  </si>
  <si>
    <t>http://drachischool.klasna.com</t>
  </si>
  <si>
    <t>Решнівецький навчально-виховний комплекс "Загальноосвітня школа I-II ступенів - дошкільний навчальний заклад" Старокостянтинівської районної ради Хмельницької області</t>
  </si>
  <si>
    <t>31133</t>
  </si>
  <si>
    <t>6824286901</t>
  </si>
  <si>
    <t>вул. Никанора Фесуна, 22/1</t>
  </si>
  <si>
    <t>(03854)44310</t>
  </si>
  <si>
    <t>http://reshnivka-sk.edukit.km.ua</t>
  </si>
  <si>
    <t>Самчиківська загальноосвітня школа І-ІІІ ступенів Старокостянтинівської районної ради Хмельницької області</t>
  </si>
  <si>
    <t>31182</t>
  </si>
  <si>
    <t>6824287101</t>
  </si>
  <si>
    <t>Самчики</t>
  </si>
  <si>
    <t>вул. Прокоп'юка, 8</t>
  </si>
  <si>
    <t>(03854)44324</t>
  </si>
  <si>
    <t>https://samchikischool.jimdo.com</t>
  </si>
  <si>
    <t>Сахновецька загальноосвітня школа І-ІІІ ступенів Старокостянтинівської районної ради Хмельницької області</t>
  </si>
  <si>
    <t>31134</t>
  </si>
  <si>
    <t>6824287701</t>
  </si>
  <si>
    <t>(03854)40124</t>
  </si>
  <si>
    <t>Левківська загальноосвітня школа І-ІІ ступенів Старокостянтинівської районної ради Хмельницької області</t>
  </si>
  <si>
    <t>31146</t>
  </si>
  <si>
    <t>6824288003</t>
  </si>
  <si>
    <t>Сковородківський навчально-виховний комплекс "Загальноосвітня школа І-ІІ ступенів - дошкільний навчальний заклад" Старокостянтинівської районної ради Хмельницької області</t>
  </si>
  <si>
    <t>31164</t>
  </si>
  <si>
    <t>6824288301</t>
  </si>
  <si>
    <t>Сковородки</t>
  </si>
  <si>
    <t>вул. Водопровідна, 3</t>
  </si>
  <si>
    <t>(03854)71356</t>
  </si>
  <si>
    <t>http://www.skovorodky-school.edukit.km.ua/</t>
  </si>
  <si>
    <t>Староостропільське навчально-виховне об'єднання "Дошкільний заклад, загальноосвітня школа І-ІІІ ступенів, гімназія" Старокостянтинівської районної ради Хмельницької області</t>
  </si>
  <si>
    <t>6824288601</t>
  </si>
  <si>
    <t>Старий Остропіль</t>
  </si>
  <si>
    <t>вул. Центральна, 2/12</t>
  </si>
  <si>
    <t>(03854)61156</t>
  </si>
  <si>
    <t>http://www.ost-nvo.com.ua</t>
  </si>
  <si>
    <t>Стецьківський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</si>
  <si>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31115</t>
  </si>
  <si>
    <t>6824288901</t>
  </si>
  <si>
    <t>Стецьки</t>
  </si>
  <si>
    <t>(03879)238</t>
  </si>
  <si>
    <t>Губчанський навчально-виховний комплекс"Загальноосвітня школа І-ІІІ ступенів-дошкільний навчальний заклад"</t>
  </si>
  <si>
    <t>31114</t>
  </si>
  <si>
    <t>6824289101</t>
  </si>
  <si>
    <t>Губча</t>
  </si>
  <si>
    <t>вул. Садова, 1/1</t>
  </si>
  <si>
    <t>(73)105</t>
  </si>
  <si>
    <t>Чорнянська загальноосвітня школа I-II ступенів Старокостянтинівської районної ради Хмельницької області</t>
  </si>
  <si>
    <t>31140</t>
  </si>
  <si>
    <t>6824289401</t>
  </si>
  <si>
    <t>(03854)91117</t>
  </si>
  <si>
    <t>http://school40.klasna.com</t>
  </si>
  <si>
    <t>Старосинявська загальноосвітня школа І-ІІ ступенів № 1Старосинявської селищної ради Старосинявського району Хмельницької області</t>
  </si>
  <si>
    <t>6824455100</t>
  </si>
  <si>
    <t>Стара Синява</t>
  </si>
  <si>
    <t>вул. Грушевського, 59</t>
  </si>
  <si>
    <t>(03850)30025</t>
  </si>
  <si>
    <t>Старосинявська загальноосвітня школа І-ІІ ступенів № 2, Старосинявської селищної ради Старосинявського району Хмельницької області</t>
  </si>
  <si>
    <t>вул. Цукрозавод, 5 б</t>
  </si>
  <si>
    <t>(03850)33051</t>
  </si>
  <si>
    <t>Старосинявський навчально-виховний комплекс"Загальноосвітня школа І-ІІІ ступенів,гімназія" імені Олександра Романенка Старосинявської селищної ради Хмельницької області</t>
  </si>
  <si>
    <t>(03850)2-02-69</t>
  </si>
  <si>
    <t>23561920</t>
  </si>
  <si>
    <t>Адампільська загальноосвітня школа І-ІІІ ступенів Старосинявської селищної ради Старосинявського району Хмельницької області</t>
  </si>
  <si>
    <t>31416</t>
  </si>
  <si>
    <t>6824480501</t>
  </si>
  <si>
    <t>Адампіль</t>
  </si>
  <si>
    <t>(03850)92548</t>
  </si>
  <si>
    <t>Бабинська загальноосвітня школа І-ІІІ ступенів Старосинявської селищної ради Старосинявського району Хмельницької області</t>
  </si>
  <si>
    <t>31423</t>
  </si>
  <si>
    <t>6824481001</t>
  </si>
  <si>
    <t>Бабине</t>
  </si>
  <si>
    <t>вул. Лесі Українки, 13А</t>
  </si>
  <si>
    <t>(098)4389620</t>
  </si>
  <si>
    <t>Заліссянська загальноосвітня школа І-ІІ ступенів Старосинявської селищної ради Старосинявського району Хмельницької області</t>
  </si>
  <si>
    <t>31431</t>
  </si>
  <si>
    <t>6824481501</t>
  </si>
  <si>
    <t>(03850)33326</t>
  </si>
  <si>
    <t>Заставецька загальноосвітня школа І - ІІ ступенів Старосинявської селищної ради Старосинявського району Хмельницької області</t>
  </si>
  <si>
    <t>6824482001</t>
  </si>
  <si>
    <t>Заставці</t>
  </si>
  <si>
    <t>вул. Корчагіна, 3</t>
  </si>
  <si>
    <t>(250)22654</t>
  </si>
  <si>
    <t>Ілятківський навчально-виховний комплекс "Дошкільний навчальний заклад ,загальноосвітня школа І ступеня " Старосинявської селищної ради Старосинявського району Хмельницької області</t>
  </si>
  <si>
    <t>31445</t>
  </si>
  <si>
    <t>6824482002</t>
  </si>
  <si>
    <t>Ілятка</t>
  </si>
  <si>
    <t>Мисюрівська загальноосвітня школа І-ІІІ ступенів Старосинявської селищної ради Старосинявського району Хмельницької області</t>
  </si>
  <si>
    <t>31424</t>
  </si>
  <si>
    <t>6824482502</t>
  </si>
  <si>
    <t>Мисюрівка</t>
  </si>
  <si>
    <t>0968002314</t>
  </si>
  <si>
    <t>Лисанівський навчальновиховний комплекс "загальноосвітня школа І-ІІ ступенів, дошкільний навчальний заклад" Старосинявської селищної ради Старосинявського району Хмельницької області</t>
  </si>
  <si>
    <t>31441</t>
  </si>
  <si>
    <t>6824483002</t>
  </si>
  <si>
    <t>Мшанецький навчально-виховний комплекс "Загальноосвітня школа І-ІІІ ступенів, дошкільний навчальний заклад" Старосинявської селищної ради Хмельницької області</t>
  </si>
  <si>
    <t>31411</t>
  </si>
  <si>
    <t>6824483501</t>
  </si>
  <si>
    <t>(03850)3-21-21</t>
  </si>
  <si>
    <t>http://mshanets-nvk.edukit.km.ua</t>
  </si>
  <si>
    <t>Новосинявська загальноосвітня школа І-ІІІ ступенів Старосинявської селищної ради Старосинявського району Хмельницької області</t>
  </si>
  <si>
    <t>31433</t>
  </si>
  <si>
    <t>6824484001</t>
  </si>
  <si>
    <t>Нова Синявка</t>
  </si>
  <si>
    <t>(03850)34799</t>
  </si>
  <si>
    <t>http://ns-school.at.ua</t>
  </si>
  <si>
    <t>Пишецький навчально-виховний комплекс "Дошкільний навчальний заклад, загальноосвітня школа І ступеня" Старосинявської селищної ради, Старосинявського району, Хмельницької області</t>
  </si>
  <si>
    <t>31410</t>
  </si>
  <si>
    <t>6824484502</t>
  </si>
  <si>
    <t>Пишки</t>
  </si>
  <si>
    <t>(03850)3-71-16</t>
  </si>
  <si>
    <t>Паплинецька загальноосвітня школа І-ІІ ступенів Старосинявської селищної ради Старосинявського району Хмельницької області</t>
  </si>
  <si>
    <t>31430</t>
  </si>
  <si>
    <t>6824485001</t>
  </si>
  <si>
    <t>Паплинці</t>
  </si>
  <si>
    <t>вул. Жовтнева, 12А</t>
  </si>
  <si>
    <t>3-62-86</t>
  </si>
  <si>
    <t>Пасічнянський навчально-виховний комплекс "Загальноосвітня школа І-ІІІ ступенів, технологічний ліцей" Старосинявської селищної ради Старосинявського району Хмельницької області</t>
  </si>
  <si>
    <t>31414</t>
  </si>
  <si>
    <t>6824485501</t>
  </si>
  <si>
    <t>пл. Грушевського, 2А</t>
  </si>
  <si>
    <t>(03850)3-24-69</t>
  </si>
  <si>
    <t>http://pasichna.at.ua</t>
  </si>
  <si>
    <t>Пилявківський навчально - виховний комплекс "Загальноосвітня школа І-ІІ ступенів, дошкільний навчальний заклад" Старосинявської селищної ради Старосинявського району Хмельницької області</t>
  </si>
  <si>
    <t>31420</t>
  </si>
  <si>
    <t>6824486001</t>
  </si>
  <si>
    <t>Пилявка</t>
  </si>
  <si>
    <t>(03850)26579</t>
  </si>
  <si>
    <t>Пилявська загальноосвітня школа І-ІІІ ступенів - школа сприяння здоров'ю і козацькому гарту Старосинявської селищної ради Старосинявського району Хмельницької області</t>
  </si>
  <si>
    <t>31421</t>
  </si>
  <si>
    <t>6824486505</t>
  </si>
  <si>
    <t>(03850)3-44-14</t>
  </si>
  <si>
    <t>http://pyliavska-zosh.km.sch.in.ua</t>
  </si>
  <si>
    <t>Дашковецький навчально - виховний комплекс "Загальноосвітня школа І-ІІІ ступенів, дошкільний навчальний заклад" Старосинявської селищної ради Старосинявського району Хмельницької області</t>
  </si>
  <si>
    <t>31408</t>
  </si>
  <si>
    <t>6824487003</t>
  </si>
  <si>
    <t>(03850)20197</t>
  </si>
  <si>
    <t>Цимбалівський навчально-виховний комплекс " Загальноосвітня школа І-ІІ ступенів, дошкільний навчальний заклад "Старосинявської селищної ради Старосинявського району Хмельницької області</t>
  </si>
  <si>
    <t>31413</t>
  </si>
  <si>
    <t>6824488001</t>
  </si>
  <si>
    <t>Цимбалівка</t>
  </si>
  <si>
    <t>вул. Жовтнева, №1</t>
  </si>
  <si>
    <t>(097)1002849</t>
  </si>
  <si>
    <t>Теофіпольська загальноосвітня школа І-ІІІ ступенів № 2 Теофіпольської районної ради Хмельницької області</t>
  </si>
  <si>
    <t>30601</t>
  </si>
  <si>
    <t>6824755100</t>
  </si>
  <si>
    <t>Теофіполь</t>
  </si>
  <si>
    <t>вул. Юності, 8</t>
  </si>
  <si>
    <t>(03844)9-32-06</t>
  </si>
  <si>
    <t>http://scool-n2.ucoz.ua</t>
  </si>
  <si>
    <t>26216175</t>
  </si>
  <si>
    <t>Теофіпольська загальноосвітня школа І-ІІІ ступенів № 1 Теофіпольської районної ради Хмельницької області</t>
  </si>
  <si>
    <t>30600</t>
  </si>
  <si>
    <t>вул. Небесної Сотні, 46</t>
  </si>
  <si>
    <t>(803844)32006</t>
  </si>
  <si>
    <t>http://teofzosh1.at.ua/</t>
  </si>
  <si>
    <t>25803444</t>
  </si>
  <si>
    <t>Теофіпольський навчально-виховний комплекс "Загальноосвітня школа І ступеня-гімназія" Теофіпольської районної ради Хмельницької області</t>
  </si>
  <si>
    <t>30602</t>
  </si>
  <si>
    <t>вул. Ювілейна, 36</t>
  </si>
  <si>
    <t>(03844)31048</t>
  </si>
  <si>
    <t>http://teofipolnvk.ucoz.ua</t>
  </si>
  <si>
    <t>22988325</t>
  </si>
  <si>
    <t>Базалійська загальноосвітня школа Теофіпольської районної ради Хмельницької області</t>
  </si>
  <si>
    <t>30650</t>
  </si>
  <si>
    <t>6824755300</t>
  </si>
  <si>
    <t>Базалія</t>
  </si>
  <si>
    <t>9-52-18</t>
  </si>
  <si>
    <t>25879861</t>
  </si>
  <si>
    <t>Бережинецький НВК "ЗОШ І-ІІ ступенів - ДНЗ" Теофіпольської районної ради Хмельницької області</t>
  </si>
  <si>
    <t>30621</t>
  </si>
  <si>
    <t>6824780201</t>
  </si>
  <si>
    <t>Бережинці</t>
  </si>
  <si>
    <t>http://berezhyntsi-zosh.km.sch.in.ua</t>
  </si>
  <si>
    <t>Великолазучинська загальноосвітня школа І-ІІ ступенів Теофіпольської районної ради Хмельницької області</t>
  </si>
  <si>
    <t>30644</t>
  </si>
  <si>
    <t>6824780501</t>
  </si>
  <si>
    <t>Великий Лазучин</t>
  </si>
  <si>
    <t>25889517</t>
  </si>
  <si>
    <t>Волице-Полівська загальноосвітня школа І-ІІІ ступенів Теофіпольської районної ради Хмельницької області</t>
  </si>
  <si>
    <t>30626</t>
  </si>
  <si>
    <t>6824781001</t>
  </si>
  <si>
    <t>Волиця-Польова</t>
  </si>
  <si>
    <t>(03844)94680</t>
  </si>
  <si>
    <t>25890118</t>
  </si>
  <si>
    <t>Волицька загальноосвітня школа І-ІІ ступенів Теофіпольської районної ради Хмельницької області</t>
  </si>
  <si>
    <t>30627</t>
  </si>
  <si>
    <t>6824781201</t>
  </si>
  <si>
    <t>25889606</t>
  </si>
  <si>
    <t>Воронівецька загальноосвітня школа I-III ступення</t>
  </si>
  <si>
    <t>30631</t>
  </si>
  <si>
    <t>6824781301</t>
  </si>
  <si>
    <t>(03844)98732</t>
  </si>
  <si>
    <t>Гаврилівська загальноосвітня школа І-ІІІ ступенів Теофіпольської районної ради Хмельницької області</t>
  </si>
  <si>
    <t>30634</t>
  </si>
  <si>
    <t>6824781501</t>
  </si>
  <si>
    <t>(03844)30945</t>
  </si>
  <si>
    <t>http://gzosh.at.ua</t>
  </si>
  <si>
    <t>25879944</t>
  </si>
  <si>
    <t>Гальчинецький навчально-виховний комплекс "Загальноосвітня школа І-ІІІ ступенів - дошкільний навчальний заклад" Теофіпольської районної ради Хмельницької області</t>
  </si>
  <si>
    <t>30637</t>
  </si>
  <si>
    <t>6824782001</t>
  </si>
  <si>
    <t>Гальчинці</t>
  </si>
  <si>
    <t>http://galchzosh.wix.com/2015</t>
  </si>
  <si>
    <t>22766855</t>
  </si>
  <si>
    <t>Ільковецький НВК ЗОШ І ступеня - ДНЗ Теофіпольської районної ради Хмельницької області</t>
  </si>
  <si>
    <t>30630</t>
  </si>
  <si>
    <t>6824782501</t>
  </si>
  <si>
    <t>Ільківці</t>
  </si>
  <si>
    <t>вул. Кооперативна, Б/Н</t>
  </si>
  <si>
    <t>(03844)96510</t>
  </si>
  <si>
    <t>Колісецька загальноосвітня школа І - ІІ ступенів Теофіпольської районної ради Хмельницької області</t>
  </si>
  <si>
    <t>30633</t>
  </si>
  <si>
    <t>6824782503</t>
  </si>
  <si>
    <t>Колісець</t>
  </si>
  <si>
    <t>вул. Центральна, 9А</t>
  </si>
  <si>
    <t>0985280061, (03844)96559</t>
  </si>
  <si>
    <t>26216128</t>
  </si>
  <si>
    <t>Карабіївська загальноосвітня школа І-ІІ ступенів Теофіпольської районної ради Хмельницької області</t>
  </si>
  <si>
    <t>30640</t>
  </si>
  <si>
    <t>6824783001</t>
  </si>
  <si>
    <t>Карабіївка</t>
  </si>
  <si>
    <t>(03844)96446</t>
  </si>
  <si>
    <t>26216097</t>
  </si>
  <si>
    <t>Кунчанська загальноосвітня школа І-ІІ ступенів Теофіпольської районної ради Хмельницької області</t>
  </si>
  <si>
    <t>30609</t>
  </si>
  <si>
    <t>6824783201</t>
  </si>
  <si>
    <t>Кунча</t>
  </si>
  <si>
    <t>вул. Капітана Данилюка, 85</t>
  </si>
  <si>
    <t>(03844)9-67-18</t>
  </si>
  <si>
    <t>http://kunchan.ucoz.ua</t>
  </si>
  <si>
    <t>22988041</t>
  </si>
  <si>
    <t>Строковецький навчально-виховний комплекс " загальноосвітня школа І-ІІ ступенів - дошкільний навчальний заклад" Теофіпольської районної ради Хмельницької області</t>
  </si>
  <si>
    <t>30624</t>
  </si>
  <si>
    <t>6824783503</t>
  </si>
  <si>
    <t>Строки</t>
  </si>
  <si>
    <t>вул. Молодіжна, 40 А</t>
  </si>
  <si>
    <t>(03844)97416</t>
  </si>
  <si>
    <t>14174399</t>
  </si>
  <si>
    <t>Михнівська загальноосвітня школа І-ІІ ступенів Теофіпольської районної ради Хмельницької області</t>
  </si>
  <si>
    <t>30641</t>
  </si>
  <si>
    <t>6824783601</t>
  </si>
  <si>
    <t>(03844)97508</t>
  </si>
  <si>
    <t>25889687</t>
  </si>
  <si>
    <t>Святецька загальноосвітня школа І-ІІІ ступенів Теофіпольської районної ради Хмельницької області</t>
  </si>
  <si>
    <t>30613</t>
  </si>
  <si>
    <t>6824784001</t>
  </si>
  <si>
    <t>Святець</t>
  </si>
  <si>
    <t>(03844)94308</t>
  </si>
  <si>
    <t>25907638</t>
  </si>
  <si>
    <t>Лисогірська загальноосвітня школа І - ІІ ступенів Теофіпольської районної ради Хмельницької області</t>
  </si>
  <si>
    <t>30614</t>
  </si>
  <si>
    <t>6824784002</t>
  </si>
  <si>
    <t>0963692642</t>
  </si>
  <si>
    <t>http://lysohirka-teo.edukit.km.ua</t>
  </si>
  <si>
    <t>25907623</t>
  </si>
  <si>
    <t>Мар'янівська загальноосвітня школа І-ІІ ступенів Теофіпольської районної ради Хмельницької області</t>
  </si>
  <si>
    <t>6824784003</t>
  </si>
  <si>
    <t>вул. Дружби, 5</t>
  </si>
  <si>
    <t>(03844)9-45-30</t>
  </si>
  <si>
    <t>http://marjanshkola.ucoz.ua/</t>
  </si>
  <si>
    <t>25889902</t>
  </si>
  <si>
    <t>Михиринецька загальноосвітня школа І - ІІ ступенів відділу освіти, Теофіпольської районної ради Хмельницької області</t>
  </si>
  <si>
    <t>30648</t>
  </si>
  <si>
    <t>6824784501</t>
  </si>
  <si>
    <t>Михиринці</t>
  </si>
  <si>
    <t>вул. 1 Травня, 29</t>
  </si>
  <si>
    <t>(03844)98323</t>
  </si>
  <si>
    <t>http://myhyryntsi-school.edukit.km.ua/</t>
  </si>
  <si>
    <t>Новоставецька загальноосвітня школа I-III ступенів Теофіпольської районної ради Хмельницької області</t>
  </si>
  <si>
    <t>30611</t>
  </si>
  <si>
    <t>6824785001</t>
  </si>
  <si>
    <t>вул. В. Шуляка, 22</t>
  </si>
  <si>
    <t>(03844)20168</t>
  </si>
  <si>
    <t>25907540</t>
  </si>
  <si>
    <t>Коров'єнський навчально-виховний комплекс " Загальноосвітня школа І - ІІ ступенів - дошкільний навчальний заклад"</t>
  </si>
  <si>
    <t>6824785002</t>
  </si>
  <si>
    <t>Коров'є</t>
  </si>
  <si>
    <t>((03844))31405</t>
  </si>
  <si>
    <t>33279542</t>
  </si>
  <si>
    <t>Колковецький навчально-виховний комплекс "Загальноосвітня школа І ступеня - дошкільний навчальний заклад"</t>
  </si>
  <si>
    <t>30643</t>
  </si>
  <si>
    <t>6824785302</t>
  </si>
  <si>
    <t>0977531242</t>
  </si>
  <si>
    <t>Ординецький навчально - виховний комплекс " Загальноосвітня школа І-ІІІ ступенів - дошкільний навчальний заклад "</t>
  </si>
  <si>
    <t>30646</t>
  </si>
  <si>
    <t>6824785501</t>
  </si>
  <si>
    <t>Ординці</t>
  </si>
  <si>
    <t>(3844)99153</t>
  </si>
  <si>
    <t>25889859</t>
  </si>
  <si>
    <t>Лютарівський навчально-виховний комплекс "Загальноосвітня школа I ступеня -дошкільний навчальний заклад" Теофіпольської районної ради Хмельницької області</t>
  </si>
  <si>
    <t>6824785502</t>
  </si>
  <si>
    <t>Лютарівка</t>
  </si>
  <si>
    <t>вул. Новосілка, 33А</t>
  </si>
  <si>
    <t>0970410768</t>
  </si>
  <si>
    <t>Поляхівська загальноосвітня школа І-ІІІ ступеня Теофіпольської районної ради Хмельницької області</t>
  </si>
  <si>
    <t>30620</t>
  </si>
  <si>
    <t>6824786001</t>
  </si>
  <si>
    <t>Поляхова</t>
  </si>
  <si>
    <t>(03844)96325</t>
  </si>
  <si>
    <t>25889635</t>
  </si>
  <si>
    <t>Кузьминецька загальноосвітня школа І-ІІ ступенів Теофіпольської районної ради Хмельницької області</t>
  </si>
  <si>
    <t>30622</t>
  </si>
  <si>
    <t>6824786003</t>
  </si>
  <si>
    <t>вул. Бульварська, 19</t>
  </si>
  <si>
    <t>(03844)96312</t>
  </si>
  <si>
    <t>http://kusminzi.at.ua</t>
  </si>
  <si>
    <t>25890064</t>
  </si>
  <si>
    <t>Романівський НВК "ЗОШ І ст - ДНЗ" Романівський навчально-виховний комплекс " Загальноосвітня школа І ступеня- дошкільний навчальний заклад" Теофіпольської районної ради Хмельницької області</t>
  </si>
  <si>
    <t>6824786005</t>
  </si>
  <si>
    <t>0975168853</t>
  </si>
  <si>
    <t>Турівська загальноосвітня школа І-ІІ ступенів</t>
  </si>
  <si>
    <t>30625</t>
  </si>
  <si>
    <t>6824786201</t>
  </si>
  <si>
    <t>(068)0294110, (097)7492829</t>
  </si>
  <si>
    <t>25890093</t>
  </si>
  <si>
    <t>Човгузівська загальноосвітня школа І-ІІ ступенів Теофіпольської районної ради Хмельницької області</t>
  </si>
  <si>
    <t>30610</t>
  </si>
  <si>
    <t>6824786501</t>
  </si>
  <si>
    <t>Човгузів</t>
  </si>
  <si>
    <t>(03844)2-01-75</t>
  </si>
  <si>
    <t>02548446</t>
  </si>
  <si>
    <t>Шибенська загальноосвітня школа І-ІІІ ступенів Теофіпольської районної ради Хмельницької області</t>
  </si>
  <si>
    <t>30635</t>
  </si>
  <si>
    <t>6824787001</t>
  </si>
  <si>
    <t>Шибена</t>
  </si>
  <si>
    <t>(38044)94233, (38044)94231</t>
  </si>
  <si>
    <t>25889463</t>
  </si>
  <si>
    <t>Чорноострівський навчально-виховний комплекс "Загальноосвітня школа І-ІІІ ступенів, колегіум" Хмельницької районної ради Хмельницької області</t>
  </si>
  <si>
    <t>31310</t>
  </si>
  <si>
    <t>6825055500</t>
  </si>
  <si>
    <t>пров. Вовчогоранський, 1</t>
  </si>
  <si>
    <t>http://ostriv-school.at.ua</t>
  </si>
  <si>
    <t>Мар'янівська загальноосвітня школа І-ІІ ступенів Чорноострівської селищної ради</t>
  </si>
  <si>
    <t>31313</t>
  </si>
  <si>
    <t>6825055502</t>
  </si>
  <si>
    <t>вул. Генерала Мишковського, 61 А</t>
  </si>
  <si>
    <t>(03822)62-26-34</t>
  </si>
  <si>
    <t>Андрійковецька загальноосвітня школа І-ІІ ступенів Хмельницької районної ради Хмельницької області</t>
  </si>
  <si>
    <t>31355</t>
  </si>
  <si>
    <t>6825080301</t>
  </si>
  <si>
    <t>Андрійківці</t>
  </si>
  <si>
    <t>674823</t>
  </si>
  <si>
    <t>Аркадіївецька загальноосвітня школа І-ІІ ступенів Лісовогринівецької сільської ради</t>
  </si>
  <si>
    <t>31321</t>
  </si>
  <si>
    <t>6825080901</t>
  </si>
  <si>
    <t>Аркадіївці</t>
  </si>
  <si>
    <t>вул. Літвінова, 1</t>
  </si>
  <si>
    <t>62-62-58</t>
  </si>
  <si>
    <t>Бахматовецька загальноосвітня школа I-II ступенів Хмельницької районної ради Хмельницької області</t>
  </si>
  <si>
    <t>31344</t>
  </si>
  <si>
    <t>6825081001</t>
  </si>
  <si>
    <t>Бахматівці</t>
  </si>
  <si>
    <t>(03822)641243</t>
  </si>
  <si>
    <t>Водичківська загальноосвітня школа І-ІІ ступенів</t>
  </si>
  <si>
    <t>31334</t>
  </si>
  <si>
    <t>6825081201</t>
  </si>
  <si>
    <t>Водички</t>
  </si>
  <si>
    <t>вул. Подільська, 9</t>
  </si>
  <si>
    <t>Гвардійський навчально-виховний комплекс "Загальноосвітня школа І-ІІІ ступенів, гімназія" Гвардійської сільської ради Хмельницького району Хмельницької області</t>
  </si>
  <si>
    <t>31352</t>
  </si>
  <si>
    <t>6825081501</t>
  </si>
  <si>
    <t>вул. Соборна, 36</t>
  </si>
  <si>
    <t>(0382)624132, (0382)624172</t>
  </si>
  <si>
    <t>http://gvarnvk.ucoz.ua</t>
  </si>
  <si>
    <t>Немичинецька загальноосвітня школа І-ІІ ступенів Гвардійської сільської ради Хмельницького району, Хмельницької області</t>
  </si>
  <si>
    <t>31353</t>
  </si>
  <si>
    <t>6825081504</t>
  </si>
  <si>
    <t>Немичинці</t>
  </si>
  <si>
    <t>(0382)624430</t>
  </si>
  <si>
    <t>Гнатовецька загальноосвітня школа І-ІІ ступенів Лісовогринівецької сільської ради Хмельницького району Хмельницької області</t>
  </si>
  <si>
    <t>31324</t>
  </si>
  <si>
    <t>6825082101</t>
  </si>
  <si>
    <t>Гнатівці</t>
  </si>
  <si>
    <t>(0382)626320</t>
  </si>
  <si>
    <t>Грузевицька загальноосвітня школа І-ІІІ ступенів Чорноострівської селищної ради</t>
  </si>
  <si>
    <t>31317</t>
  </si>
  <si>
    <t>6825082201</t>
  </si>
  <si>
    <t>Грузевиця</t>
  </si>
  <si>
    <t>http://gruzevytskazosh.at.ua</t>
  </si>
  <si>
    <t>Давидковецька загальноосвітня школа I-III ступенів Хмельницької районної ради Хмельницької області</t>
  </si>
  <si>
    <t>31341</t>
  </si>
  <si>
    <t>6825082401</t>
  </si>
  <si>
    <t>вул. Гавришка, 70</t>
  </si>
  <si>
    <t>(0382)621630</t>
  </si>
  <si>
    <t>Жучковецький загальноосвітній навчальний заклад І-ІІ ступенів Гвардійської сільської ради, Хмельницького району, Хмельницької області</t>
  </si>
  <si>
    <t>31350</t>
  </si>
  <si>
    <t>6825082701</t>
  </si>
  <si>
    <t>Жучківці</t>
  </si>
  <si>
    <t>(038)624705</t>
  </si>
  <si>
    <t>http://zhuchkivtsi-zosh.edukit.km.ua/</t>
  </si>
  <si>
    <t>Захаровецька загальноосвітня школа І-ІІ ступенів Чорноострівської селищної ради</t>
  </si>
  <si>
    <t>31307</t>
  </si>
  <si>
    <t>6825083001</t>
  </si>
  <si>
    <t>Захарівці</t>
  </si>
  <si>
    <t>http://Zaharschool.at.ua</t>
  </si>
  <si>
    <t>Копистинський навчально - виховний комплекс "Загальноосвітня школа І-ІІІ ступенів, центр розвитку творчих здібностей дитини" Хмельницької районної ради Хмельницької області</t>
  </si>
  <si>
    <t>31345</t>
  </si>
  <si>
    <t>6825083301</t>
  </si>
  <si>
    <t>Копистин</t>
  </si>
  <si>
    <t>вул. Щорса, 1/4</t>
  </si>
  <si>
    <t>(0382)625680</t>
  </si>
  <si>
    <t>Лісовогринівецька загальноосвітня школа І-ІІІ ступенів Лісовогринівецької сільської ради Хмельницького району Хмельницької області</t>
  </si>
  <si>
    <t>31340</t>
  </si>
  <si>
    <t>6825083601</t>
  </si>
  <si>
    <t>Лісові Гринівці</t>
  </si>
  <si>
    <t>вул. Центральна, 25/1</t>
  </si>
  <si>
    <t>(0382)626758</t>
  </si>
  <si>
    <t>http://lgschool.at.ua</t>
  </si>
  <si>
    <t>Малашовецька загальноосвітня школа I ступеня, Хмельницької районної ради,Хмельницької області</t>
  </si>
  <si>
    <t>31335</t>
  </si>
  <si>
    <t>6825083901</t>
  </si>
  <si>
    <t>Малашівці</t>
  </si>
  <si>
    <t>вул. Подільська, 32</t>
  </si>
  <si>
    <t>Малиницький навчально- виховний комплекс "Загальноосвітня школа І - ІІІ ступенів, центр сприяння здоров'ю"</t>
  </si>
  <si>
    <t>31360</t>
  </si>
  <si>
    <t>6825084201</t>
  </si>
  <si>
    <t>Малиничі</t>
  </si>
  <si>
    <t>0382620743</t>
  </si>
  <si>
    <t>Кудринецька загальноосвітня школа І-ІІ ступенів Хмельницької районної ради Хмельницької області</t>
  </si>
  <si>
    <t>31361</t>
  </si>
  <si>
    <t>6825084203</t>
  </si>
  <si>
    <t>Рижулинці</t>
  </si>
  <si>
    <t>ал. Центральн, 1</t>
  </si>
  <si>
    <t>620730</t>
  </si>
  <si>
    <t>Масівецька загальноосвітня школа І-ІІ ступенів Хмельницької районної ради Хмельницької області</t>
  </si>
  <si>
    <t>31348</t>
  </si>
  <si>
    <t>6825084501</t>
  </si>
  <si>
    <t>Масівці</t>
  </si>
  <si>
    <t>(0382)625430</t>
  </si>
  <si>
    <t>Миколаївська загальноосвітня школа І-ІІІ ступенів імені Героїв Небесної Сотні Чорноострівської селищної ради</t>
  </si>
  <si>
    <t>31303</t>
  </si>
  <si>
    <t>6825084801</t>
  </si>
  <si>
    <t>вул. Жовтнева, 38/1</t>
  </si>
  <si>
    <t>(0382)623345</t>
  </si>
  <si>
    <t>Олешинська загальноосвітня школа І-ІІ ступенів Хмельницької районної ради Хмельницької області</t>
  </si>
  <si>
    <t>31312</t>
  </si>
  <si>
    <t>6825085101</t>
  </si>
  <si>
    <t>Олешин</t>
  </si>
  <si>
    <t>673318</t>
  </si>
  <si>
    <t>http://oleshyn-school.edukit.km.ua/</t>
  </si>
  <si>
    <t>Іванковецький навчально-виховний комплекс "Загальноосвітня школа І-ІІІ ступенів, школа мистецтв" Хмельницької районної ради Хмельницької області</t>
  </si>
  <si>
    <t>6825085103</t>
  </si>
  <si>
    <t>(0382)673410</t>
  </si>
  <si>
    <t>Череповецька загальноосвітня школа І-ІІ ступенів Хмельницької районної ради Хмельницької області</t>
  </si>
  <si>
    <t>31316</t>
  </si>
  <si>
    <t>6825085105</t>
  </si>
  <si>
    <t>Черепова</t>
  </si>
  <si>
    <t>http://cherepovetska.ucoz.ua/</t>
  </si>
  <si>
    <t>Осташковецька загальноосвітня школа І-ІІ ступенів Чорноострівської селищної ради</t>
  </si>
  <si>
    <t>31315</t>
  </si>
  <si>
    <t>6825085201</t>
  </si>
  <si>
    <t>Осташки</t>
  </si>
  <si>
    <t>(0382)623492</t>
  </si>
  <si>
    <t>Пархомовецька загальноосвітня школа І-ІІІ ступенів Хмельницької районної ради Хмельницької області</t>
  </si>
  <si>
    <t>31342</t>
  </si>
  <si>
    <t>6825085401</t>
  </si>
  <si>
    <t>Пархомівці</t>
  </si>
  <si>
    <t>вул. Центральна, 77/2</t>
  </si>
  <si>
    <t>(0382)621387</t>
  </si>
  <si>
    <t>http://school-parhom.ucoz.ua/</t>
  </si>
  <si>
    <t>Пашковецька загальноосвітня школа І-ІІ ступенів Лісовогринівецької сільської ради Хмельницького району Хмельницької області</t>
  </si>
  <si>
    <t>31318</t>
  </si>
  <si>
    <t>6825085701</t>
  </si>
  <si>
    <t>0974570282</t>
  </si>
  <si>
    <t>Педосівська загальноосвітня школа І ступеня</t>
  </si>
  <si>
    <t>31332</t>
  </si>
  <si>
    <t>6825086001</t>
  </si>
  <si>
    <t>Педоси</t>
  </si>
  <si>
    <t>(9557)623523</t>
  </si>
  <si>
    <t>http://pedosivskenvo.at.ua/</t>
  </si>
  <si>
    <t>Бережанська загальноосвітня школа І-ІІ ступенів Чорноострівської селищної ради</t>
  </si>
  <si>
    <t>6825086002</t>
  </si>
  <si>
    <t>http://berejanka.ucoz.ua/</t>
  </si>
  <si>
    <t>Печеська загальноосвітня школа І-ІІ ступенів Лісовогринівецької сільської ради Хмельницького району Хмельницької області</t>
  </si>
  <si>
    <t>31320</t>
  </si>
  <si>
    <t>6825086401</t>
  </si>
  <si>
    <t>Печеськи</t>
  </si>
  <si>
    <t>(038)62-61-46</t>
  </si>
  <si>
    <t>Пироговецька загальноосвітня школа І-ІІІ ступенів Хмельницької районної ради Хмельницької області</t>
  </si>
  <si>
    <t>31343</t>
  </si>
  <si>
    <t>6825086701</t>
  </si>
  <si>
    <t>Пирогівці</t>
  </si>
  <si>
    <t>(096)7674102, (098)3515641</t>
  </si>
  <si>
    <t>Райковецька ЗОШ І-ІІІ ступенів</t>
  </si>
  <si>
    <t>31356</t>
  </si>
  <si>
    <t>6825087001</t>
  </si>
  <si>
    <t>Райківці</t>
  </si>
  <si>
    <t>ал. Подільська, 71/2</t>
  </si>
  <si>
    <t>(380)967407559</t>
  </si>
  <si>
    <t>Рідкодубська загальноосвітня школа І-ІІ ступенів Чорноострівської селищної ради</t>
  </si>
  <si>
    <t>31330</t>
  </si>
  <si>
    <t>6825087101</t>
  </si>
  <si>
    <t>Рідкодуби</t>
  </si>
  <si>
    <t>вул. Мурого, 1</t>
  </si>
  <si>
    <t>623550</t>
  </si>
  <si>
    <t>Розсошанський навчально-виховний комплекс "Дошкільний навчальний заклад, загальноосвітня школа І-ІІІ ступенів" Розсошанської сільської ради Хмельницького району Хмельницької області</t>
  </si>
  <si>
    <t>31362</t>
  </si>
  <si>
    <t>6825087201</t>
  </si>
  <si>
    <t>Розсоша</t>
  </si>
  <si>
    <t>Ружичанський навчально-виховний комплекс "Загальноосвітня школа І-ІІІ ступенів, центр здорового способу життя" Хмельницької районної ради Хмельницької області</t>
  </si>
  <si>
    <t>31363</t>
  </si>
  <si>
    <t>6825087301</t>
  </si>
  <si>
    <t>Ружичанка</t>
  </si>
  <si>
    <t>(0382)620135</t>
  </si>
  <si>
    <t>Ставчинецька загальноосвітня школа І-ІІ ступенів Чорноострівської селищної ради Хмельницької області</t>
  </si>
  <si>
    <t>31301</t>
  </si>
  <si>
    <t>6825088101</t>
  </si>
  <si>
    <t>Ставчинці</t>
  </si>
  <si>
    <t>(0382)62-32-40</t>
  </si>
  <si>
    <t>Стуфчинецька загальноосвітня школа І-ІІІ ступенів</t>
  </si>
  <si>
    <t>31323</t>
  </si>
  <si>
    <t>6825088401</t>
  </si>
  <si>
    <t>Стуфчинці</t>
  </si>
  <si>
    <t>(382)777547</t>
  </si>
  <si>
    <t>Терешовецька загальноосвітня школа І-ІІ ступенів Лісовогринівецької сільської ради Хмельницького району Хмельницької області</t>
  </si>
  <si>
    <t>31326</t>
  </si>
  <si>
    <t>6825088701</t>
  </si>
  <si>
    <t>Терешівці</t>
  </si>
  <si>
    <t>(0382)62-60-23</t>
  </si>
  <si>
    <t>Черепівська загальноосвітня школа І-ІІ ступенів Хмельницької районної ради Хмельницької області</t>
  </si>
  <si>
    <t>31305</t>
  </si>
  <si>
    <t>6825089301</t>
  </si>
  <si>
    <t>вул. Трублаїні, 25</t>
  </si>
  <si>
    <t>(097)3461381</t>
  </si>
  <si>
    <t>Шаровечківська загальноосвітня школа І-ІІІ ступенів Хмельницької районної ради Хмельницької області</t>
  </si>
  <si>
    <t>31336</t>
  </si>
  <si>
    <t>6825089601</t>
  </si>
  <si>
    <t>Шаровечка</t>
  </si>
  <si>
    <t>Мацьковецька загальноосвітня школа І-ІІ ступенів Хмельницької районної ради Хмельницької області</t>
  </si>
  <si>
    <t>31337</t>
  </si>
  <si>
    <t>6825089602</t>
  </si>
  <si>
    <t>Мацьківці</t>
  </si>
  <si>
    <t>(0382)621222</t>
  </si>
  <si>
    <t>http://mackivci.at.ua/</t>
  </si>
  <si>
    <t>Шпичинецька загальноосвітня школа І ступеня Лісігринівецької сільської ради Хмельницького району Хмельницької області</t>
  </si>
  <si>
    <t>31322</t>
  </si>
  <si>
    <t>6825089801</t>
  </si>
  <si>
    <t>Шпичинці</t>
  </si>
  <si>
    <t>Шумовецька загальноосвітня школа І-ІІ ступенів Хмельницької районної ради Хмельницької області</t>
  </si>
  <si>
    <t>6825089901</t>
  </si>
  <si>
    <t>Шумівці</t>
  </si>
  <si>
    <t>вул. Гагаріна, 37,а</t>
  </si>
  <si>
    <t>(0382)620464</t>
  </si>
  <si>
    <t>Чемеровецький навчально-виховний комплекс № 1 "Загальноосвітня школа І-ІІІ ступенів, ліцей та міжшкільний навчально-виробничий комбінат" Чемеровецької районної ради Хмельницької області</t>
  </si>
  <si>
    <t>31600</t>
  </si>
  <si>
    <t>6825255100</t>
  </si>
  <si>
    <t>Чемерівці</t>
  </si>
  <si>
    <t>(3859)91668</t>
  </si>
  <si>
    <t>http://chemnvk1.ucoz.ua/</t>
  </si>
  <si>
    <t>22988437</t>
  </si>
  <si>
    <t>Чемеровецький навчально-виховний комплекс № 2 "Загальноосвітня школа І-ІІІ ступенів та гімназія" Чемеровецької селищної ради Хмельницької області</t>
  </si>
  <si>
    <t>(03859)91773</t>
  </si>
  <si>
    <t>http://nvk2.ucoz.ru</t>
  </si>
  <si>
    <t>Закупнянська загальноосвітня школа І-ІІІ ступенів Чемеровецької районної ради Хмельницької області</t>
  </si>
  <si>
    <t>31614</t>
  </si>
  <si>
    <t>6825255400</t>
  </si>
  <si>
    <t>Закупне</t>
  </si>
  <si>
    <t>(59)93304</t>
  </si>
  <si>
    <t>http://edu-zkp.at.ua</t>
  </si>
  <si>
    <t>Більська загальноосвітня школа І-ІІІ ступенів імені К.І. Геренчука Чемеровецької селищної ради</t>
  </si>
  <si>
    <t>31643</t>
  </si>
  <si>
    <t>6825280401</t>
  </si>
  <si>
    <t>(03859)27726</t>
  </si>
  <si>
    <t>Вівсянська загальноосвітня школа І-ІІ ступенів, Чемеровецької районної ради, Хмельницької області</t>
  </si>
  <si>
    <t>31610</t>
  </si>
  <si>
    <t>6825280801</t>
  </si>
  <si>
    <t>вул. Транспортна, 24</t>
  </si>
  <si>
    <t>(03859)9-73-48</t>
  </si>
  <si>
    <t>http://vivsiazonz.ucoz.ua</t>
  </si>
  <si>
    <t>Вишнівчицька загальноосвітня школа І-ІІІ ступенів імені С.М.Раєвського Чемеровецької районної ради Хмельницької області</t>
  </si>
  <si>
    <t>31622</t>
  </si>
  <si>
    <t>6825281201</t>
  </si>
  <si>
    <t>(23562077)(03859)9-51-34</t>
  </si>
  <si>
    <t>http://vhnedu.ucoz.ua</t>
  </si>
  <si>
    <t>Завадівська загальноосвітня школа І-ІІ ступенів Чемеровецької районної ради Хмельницької області</t>
  </si>
  <si>
    <t>6825281202</t>
  </si>
  <si>
    <t>(03859)95180</t>
  </si>
  <si>
    <t>http://zavdk.ucoz.ua</t>
  </si>
  <si>
    <t>Голенищівська спеціальна загальноосвтння школа-інтернат Хмельницької обласної ради</t>
  </si>
  <si>
    <t>31611</t>
  </si>
  <si>
    <t>6825281601</t>
  </si>
  <si>
    <t>22989891</t>
  </si>
  <si>
    <t>Гуківська загальноосвітня школа І-ІІІ ступенів Гуківської сільської ради Хмельницької області</t>
  </si>
  <si>
    <t>31660</t>
  </si>
  <si>
    <t>6825282001</t>
  </si>
  <si>
    <t>Гуків</t>
  </si>
  <si>
    <t>вул. Папаніна, 66</t>
  </si>
  <si>
    <t>94153</t>
  </si>
  <si>
    <t>http://gukiv.at.ua</t>
  </si>
  <si>
    <t>Мар'янівська загальноосвітня школа І ступеня Чемеровецької районної ради Хмельницької області</t>
  </si>
  <si>
    <t>6825282004</t>
  </si>
  <si>
    <t>вул. Молодіжна, 11А</t>
  </si>
  <si>
    <t>(03859)97403</t>
  </si>
  <si>
    <t>Гусятинська загальноосвітня школа І-ІІІ ступенів Чемеровецької районної ради Хмельницької області</t>
  </si>
  <si>
    <t>31617</t>
  </si>
  <si>
    <t>6825282301</t>
  </si>
  <si>
    <t>вул. Радянська, 48</t>
  </si>
  <si>
    <t>(03859)94410</t>
  </si>
  <si>
    <t>http://guszosh.at.ua</t>
  </si>
  <si>
    <t>Боднарівська загальноосвітня школа І ступеня Чемеровецької районної ради Хмельницької області</t>
  </si>
  <si>
    <t>6825282302</t>
  </si>
  <si>
    <t>Боднарівка</t>
  </si>
  <si>
    <t>(03859)94496</t>
  </si>
  <si>
    <t>Жабинецький навчально-виховний комплекс "Загально-освітня школа І-ІІ ступенів - дошкільний навчальний заклад" Гуківської сільської ради</t>
  </si>
  <si>
    <t>31650</t>
  </si>
  <si>
    <t>6825282701</t>
  </si>
  <si>
    <t>(250)94325</t>
  </si>
  <si>
    <t>Жердянська загальноосвітня школа І-ІІІ ступенів Чемеровецької районної ради Хмельницької області</t>
  </si>
  <si>
    <t>31664</t>
  </si>
  <si>
    <t>6825283001</t>
  </si>
  <si>
    <t>Жердя</t>
  </si>
  <si>
    <t>(03859)9-72-10</t>
  </si>
  <si>
    <t>Черчецька загальноосвітня школа І-ІІІ ступенів Чемеровецької районної ради Хмельницької області</t>
  </si>
  <si>
    <t>31646</t>
  </si>
  <si>
    <t>6825283402</t>
  </si>
  <si>
    <t>(059)96522</t>
  </si>
  <si>
    <t>http://chercheschool.ucoz.ua/</t>
  </si>
  <si>
    <t>Зарічанська загальноосвітня школа І-ІІІ ступенів Чемеровецької районної ради Хмельницької області</t>
  </si>
  <si>
    <t>31652</t>
  </si>
  <si>
    <t>6825283801</t>
  </si>
  <si>
    <t>Зарічанка</t>
  </si>
  <si>
    <t>вул. Кам'янецька, 84</t>
  </si>
  <si>
    <t>(803859)9-60-39</t>
  </si>
  <si>
    <t>http://zrcs.ucoz.ru</t>
  </si>
  <si>
    <t>Івахновецька загальноосвітня школа І-ІІ ступенів Чемеровецької районної ради Хмельницької області</t>
  </si>
  <si>
    <t>31618</t>
  </si>
  <si>
    <t>6825284201</t>
  </si>
  <si>
    <t>Івахнівці</t>
  </si>
  <si>
    <t>Кочубіївська загальноосвітня школа І-ІІ ступенів Чемеровецької селищної ради Хмельницької області</t>
  </si>
  <si>
    <t>31665</t>
  </si>
  <si>
    <t>6825284401</t>
  </si>
  <si>
    <t>Кочубіїв</t>
  </si>
  <si>
    <t>(03859)99144</t>
  </si>
  <si>
    <t>Кормильчанський навчально-виховний комплекс "Загальноосвітня школа І-ІІ ступенів – дошкільний навчальний заклад" Чемеровецької селищної ради</t>
  </si>
  <si>
    <t>31655</t>
  </si>
  <si>
    <t>6825284601</t>
  </si>
  <si>
    <t>Кормильча</t>
  </si>
  <si>
    <t>996332</t>
  </si>
  <si>
    <t>Красноставська загальноосвітня школа І-ІІІ ступенів Чемеровецької селищної ради Хмельницької області</t>
  </si>
  <si>
    <t>31666</t>
  </si>
  <si>
    <t>6825284701</t>
  </si>
  <si>
    <t>(03859)94217</t>
  </si>
  <si>
    <t>http://edukst.ucoz.com</t>
  </si>
  <si>
    <t>Кугаєвецька загальноосвітня школа І-ІІІ ступенів Чемеровецької селищної ради</t>
  </si>
  <si>
    <t>31632</t>
  </si>
  <si>
    <t>6825285001</t>
  </si>
  <si>
    <t>Кугаївці</t>
  </si>
  <si>
    <t>Кутковецька загальноосвітня школа І-ІІ ступенів Чемеровецької районної ради Хмельницької області</t>
  </si>
  <si>
    <t>31612</t>
  </si>
  <si>
    <t>6825285401</t>
  </si>
  <si>
    <t>Кутківці</t>
  </si>
  <si>
    <t>вул. Чайковського, 4</t>
  </si>
  <si>
    <t>(03859)9-67-43</t>
  </si>
  <si>
    <t>http://kutkovetska-zosh.km.sch.in.ua</t>
  </si>
  <si>
    <t>Летавська загальноосвітня школа І-ІІІступенів Чемеровецької районної ради Хмельницької області</t>
  </si>
  <si>
    <t>31651</t>
  </si>
  <si>
    <t>6825285801</t>
  </si>
  <si>
    <t>Летава</t>
  </si>
  <si>
    <t>Вільховецька загальноосвітня школа І-ІІІ ступенів Чемеровецькоої районної державної адміністрації Хмельницької області</t>
  </si>
  <si>
    <t>31615</t>
  </si>
  <si>
    <t>6825286201</t>
  </si>
  <si>
    <t>(0259)96215</t>
  </si>
  <si>
    <t>http://vilh-school.at.ua</t>
  </si>
  <si>
    <t>Почапинецька загальноосвітня школа І-ІІ ступенів Чемеровецької районної ради Хмельницької області</t>
  </si>
  <si>
    <t>31654</t>
  </si>
  <si>
    <t>6825286401</t>
  </si>
  <si>
    <t>вул. Грушевського, 101</t>
  </si>
  <si>
    <t>(03859)99529, (38096)6096484</t>
  </si>
  <si>
    <t>http://cms.pochapinetska-zosh-i-iii-stupeni.webnode.com.ua</t>
  </si>
  <si>
    <t>Пуклякський навчально-виховний комплекс "Загальноосвітня школа І-ІІ ступенів-дошкільний навчальний заклад"</t>
  </si>
  <si>
    <t>31663</t>
  </si>
  <si>
    <t>6825286601</t>
  </si>
  <si>
    <t>Пукляки</t>
  </si>
  <si>
    <t>(259)94523</t>
  </si>
  <si>
    <t>П'ятничанський навчально-виховний комплекс "Загальноосвітня школа І-ІІ ступенів - дошкільний навчальний заклад" Гуківської сільської ради Хмельницької області</t>
  </si>
  <si>
    <t>6825286801</t>
  </si>
  <si>
    <t>(380-3859)9-41-71</t>
  </si>
  <si>
    <t>http://pjatnuchanu.ucoz.ua</t>
  </si>
  <si>
    <t>Свіршковецька загальноосвітня школа І-ІІІ ступенів Чемеровецької селищної ради Хмельницької області</t>
  </si>
  <si>
    <t>31621</t>
  </si>
  <si>
    <t>6825287001</t>
  </si>
  <si>
    <t>Свіршківці</t>
  </si>
  <si>
    <t>(03859)95737</t>
  </si>
  <si>
    <t>http://www.svischool.at.ua</t>
  </si>
  <si>
    <t>Сокиринецька загальноосвітня школа І-ІІІ ступенів Чемеровецької селищної ради</t>
  </si>
  <si>
    <t>6825287801</t>
  </si>
  <si>
    <t>(03859)95530</t>
  </si>
  <si>
    <t>Степанівський НВК " Загальноосвітня школа І-ІІ ступенів-дошкільний навчальний заклад"</t>
  </si>
  <si>
    <t>31644</t>
  </si>
  <si>
    <t>6825288001</t>
  </si>
  <si>
    <t>(059)99713</t>
  </si>
  <si>
    <t>Хропотівський НВК Чемеровецької селищної ради Хмельницької області</t>
  </si>
  <si>
    <t>31641</t>
  </si>
  <si>
    <t>6825288201</t>
  </si>
  <si>
    <t>Хропотова</t>
  </si>
  <si>
    <t>вул. Броніслава Мельника, 3</t>
  </si>
  <si>
    <t>Циківська загальноосвітня школа</t>
  </si>
  <si>
    <t>31645</t>
  </si>
  <si>
    <t>6825288601</t>
  </si>
  <si>
    <t>Цикова</t>
  </si>
  <si>
    <t>вул. Богдана Хмельницького, 31/2</t>
  </si>
  <si>
    <t>(249)96647</t>
  </si>
  <si>
    <t>Чорнянська загальноосвітня школа І-ІІІ ступенів Чемеровецької районної ради Хмельницької області</t>
  </si>
  <si>
    <t>6825289001</t>
  </si>
  <si>
    <t>вул. Тараса Римаря, 1</t>
  </si>
  <si>
    <t>(038)996848</t>
  </si>
  <si>
    <t>Шидловецька ЗОШ І-ІІ ст</t>
  </si>
  <si>
    <t>31630</t>
  </si>
  <si>
    <t>6825289401</t>
  </si>
  <si>
    <t>Шидлівці</t>
  </si>
  <si>
    <t>(03859)95622</t>
  </si>
  <si>
    <t>Криківський навчально-виховний комплекс "Загальноосвітня школа І-ІІ ступенів-дошкільний навчальний заклад" Чемеровецької селищної ради Хмельницької області</t>
  </si>
  <si>
    <t>6825289404</t>
  </si>
  <si>
    <t>Криків</t>
  </si>
  <si>
    <t>вул. Надзбручанська, 30</t>
  </si>
  <si>
    <t>(38)0972567424</t>
  </si>
  <si>
    <t>Юрковецька загальноосвітня школа І -ІІ ступенів Чемеровецької районної ради Хмельницької області</t>
  </si>
  <si>
    <t>31609</t>
  </si>
  <si>
    <t>6825289801</t>
  </si>
  <si>
    <t>вул. Щорса, 20</t>
  </si>
  <si>
    <t>(03859)95317</t>
  </si>
  <si>
    <t>http://jrschool.ucoz.ua</t>
  </si>
  <si>
    <t>Грицівська загальноосвітня школа І-ІІІ ступенів Шепетівської районної ради Хмельницької області</t>
  </si>
  <si>
    <t>30455</t>
  </si>
  <si>
    <t>6825555300</t>
  </si>
  <si>
    <t>Гриців</t>
  </si>
  <si>
    <t>Великорешнівський навчально - виховний комплекс "загальноосвітній навчальний заклад І-ІІ ступенів - дошкільний навчальний заклад"</t>
  </si>
  <si>
    <t>30450</t>
  </si>
  <si>
    <t>6825580501</t>
  </si>
  <si>
    <t>Велика Рішнівка</t>
  </si>
  <si>
    <t>вул. Центральна, 50А</t>
  </si>
  <si>
    <t>(03840)21558</t>
  </si>
  <si>
    <t>http://reshnivka.ucoz.com/</t>
  </si>
  <si>
    <t>Великошкарівський навчально-виховний комплекс "загальноосвітній навчальний заклад І ступеня - дошкільний навчальний заклад" Шепетівської районної ради Хмельницької області</t>
  </si>
  <si>
    <t>30456</t>
  </si>
  <si>
    <t>6825580801</t>
  </si>
  <si>
    <t>Велика Шкарівка</t>
  </si>
  <si>
    <t>(03840)26357</t>
  </si>
  <si>
    <t>Вербовецька загальноосвітняшкола І-ІІступенів</t>
  </si>
  <si>
    <t>30444</t>
  </si>
  <si>
    <t>6825581301</t>
  </si>
  <si>
    <t>вул. Велічка, 32</t>
  </si>
  <si>
    <t>(03840)26601</t>
  </si>
  <si>
    <t>Вовківецький навчально-виховний комплекс "загальноосвітній навчальний заклад І-ІІ ступенів - дошкільгий навчальний заклад" Судилківської сільської ради Шепетівського району Хмельницької області</t>
  </si>
  <si>
    <t>30425</t>
  </si>
  <si>
    <t>6825581801</t>
  </si>
  <si>
    <t>(03840)22486</t>
  </si>
  <si>
    <t>Городищенська загальноосвітня школа І-ІІІ ступенів Судилківської сільської ради Шепетівського району Хмельницької області</t>
  </si>
  <si>
    <t>30423</t>
  </si>
  <si>
    <t>6825582301</t>
  </si>
  <si>
    <t>(03840)28147</t>
  </si>
  <si>
    <t>http://gorschool.zz.mu</t>
  </si>
  <si>
    <t>Городнявська загальноосвітня школа І-ІІІ ступенів Шепетівської районної ради Хмельницької області</t>
  </si>
  <si>
    <t>30413</t>
  </si>
  <si>
    <t>6825582601</t>
  </si>
  <si>
    <t>Городнявка</t>
  </si>
  <si>
    <t>вул. Данченка, 1В</t>
  </si>
  <si>
    <t>(03840)21430</t>
  </si>
  <si>
    <t>https://sites.google.com/site/gornvk</t>
  </si>
  <si>
    <t>Червоноцвітська загальноосвітня школа І-ІІ ступенів Шепетівської районної ради Хмельницької області</t>
  </si>
  <si>
    <t>30415</t>
  </si>
  <si>
    <t>6825582605</t>
  </si>
  <si>
    <t>Червоний Цвіт</t>
  </si>
  <si>
    <t>(03840)21431</t>
  </si>
  <si>
    <t>http://zosh-cvit.ucoz.com</t>
  </si>
  <si>
    <t>Корчицький навчально-виховний комплекс "загальноосвітній навчальний заклад І-ІІІ ступнів - дошкільний навчальний заклад" Шепетівської районної ради Хмельницької області</t>
  </si>
  <si>
    <t>30411</t>
  </si>
  <si>
    <t>6825583201</t>
  </si>
  <si>
    <t>Корчик</t>
  </si>
  <si>
    <t>вул. Валі Котика, 8</t>
  </si>
  <si>
    <t>(03840)28431</t>
  </si>
  <si>
    <t>Хутірський навчально-виховний комплекс "загальноосвітній навчальний заклад І-ІІ ступенів - дошкільний навчальний заклад" Шепетівської районної ради Хмельницької області</t>
  </si>
  <si>
    <t>6825583203</t>
  </si>
  <si>
    <t>Хутір</t>
  </si>
  <si>
    <t>28-448</t>
  </si>
  <si>
    <t>Коськівська загальноосвітня школа І-ІІІ ступенів Ленковецької сільської ради Хмельницької області</t>
  </si>
  <si>
    <t>30454</t>
  </si>
  <si>
    <t>6825583601</t>
  </si>
  <si>
    <t>Коськів</t>
  </si>
  <si>
    <t>вул. Сергія Оврашка, 2</t>
  </si>
  <si>
    <t>(03840)24512</t>
  </si>
  <si>
    <t>http://koskivskola.zz.mu</t>
  </si>
  <si>
    <t>Ленковецька загальноосвітня школа І-ІІІ ступенів Ленковецької сільської ради, Шепетівського району Хмельницької області</t>
  </si>
  <si>
    <t>30443</t>
  </si>
  <si>
    <t>6825583801</t>
  </si>
  <si>
    <t>Ленківці</t>
  </si>
  <si>
    <t>вул. Шкільна, 2 а</t>
  </si>
  <si>
    <t>20361</t>
  </si>
  <si>
    <t>http://lenkiwci.ucoz.ua/</t>
  </si>
  <si>
    <t>Михайлюцька загальноосвітня школа І-ІІІ ступенів Шепетівської районної ради Хмельницької області</t>
  </si>
  <si>
    <t>30416</t>
  </si>
  <si>
    <t>6825584601</t>
  </si>
  <si>
    <t>Михайлючка</t>
  </si>
  <si>
    <t>вул. Мазунова, 44В</t>
  </si>
  <si>
    <t>(03840)23152</t>
  </si>
  <si>
    <t>https://sites.google.com/site/mukhaylucka</t>
  </si>
  <si>
    <t>Мокіївська загальноосвітня школа І-ІІІ ступенів Ленковецької сільської ради Шепетівського району Хмельницької області</t>
  </si>
  <si>
    <t>30440</t>
  </si>
  <si>
    <t>6825585101</t>
  </si>
  <si>
    <t>Мокіївці</t>
  </si>
  <si>
    <t>(3840)22208</t>
  </si>
  <si>
    <t>http://mokschool.at.ua</t>
  </si>
  <si>
    <t>Новицький навчально-виховний комплекс "Загальноосвітній навчальний заклад І-ІІ ступенів - дошкільний навчальний заклад" Судилківської сільської ради Шепетівського району Хмельницької області</t>
  </si>
  <si>
    <t>30437</t>
  </si>
  <si>
    <t>6825585601</t>
  </si>
  <si>
    <t>Новичі</t>
  </si>
  <si>
    <t>вул. Черняхівського, 1</t>
  </si>
  <si>
    <t>(03840)21230</t>
  </si>
  <si>
    <t>Полянська загальноосвітня школа І-ІІІ ступенів Судилківської сільської ради Шепетівського району Хмельницької області</t>
  </si>
  <si>
    <t>30438</t>
  </si>
  <si>
    <t>6825585604</t>
  </si>
  <si>
    <t>вул. Шкільна, 16А</t>
  </si>
  <si>
    <t>(03840)21279</t>
  </si>
  <si>
    <t>Плесенська загальноосвітня школа І-ІІІ ступенів Шепетівської районної ради Хмельницької області</t>
  </si>
  <si>
    <t>30421</t>
  </si>
  <si>
    <t>6825585801</t>
  </si>
  <si>
    <t>Плесна</t>
  </si>
  <si>
    <t>(03840)25184</t>
  </si>
  <si>
    <t>http://Pleschool.org.ua</t>
  </si>
  <si>
    <t>Пліщинська загальноосвітня школа І-ІІІ ступенів Шепетівської районної ради Хмельницької області</t>
  </si>
  <si>
    <t>30420</t>
  </si>
  <si>
    <t>6825586001</t>
  </si>
  <si>
    <t>Пліщин</t>
  </si>
  <si>
    <t>вул. Чкалова, 18</t>
  </si>
  <si>
    <t>(03840)29135</t>
  </si>
  <si>
    <t>http://plishchyn.ucoz.ua/</t>
  </si>
  <si>
    <t>Орлинецький навчально-виховний комплекс "загальноосвітній навчальний заклад І-ІІ ступенів - дошкільний навчальний заклад" Шепетівської районної ради Хмельницької області</t>
  </si>
  <si>
    <t>30452</t>
  </si>
  <si>
    <t>6825586502</t>
  </si>
  <si>
    <t>Орлинці</t>
  </si>
  <si>
    <t>(03840)29435</t>
  </si>
  <si>
    <t>http://orlyncischool.at.ua</t>
  </si>
  <si>
    <t>Серединецька загальноосвітня школа І-ІІІ ступенів Судилківської сільської ради Шепетівського району Хмельницької області</t>
  </si>
  <si>
    <t>30426</t>
  </si>
  <si>
    <t>6825587501</t>
  </si>
  <si>
    <t>Серединці</t>
  </si>
  <si>
    <t>вул. Миру, 119А</t>
  </si>
  <si>
    <t>(03840)27430</t>
  </si>
  <si>
    <t>Старобейзимська загальноосвітня школа І-ІІ ступенів Ленковецької сільської ради Шепетівського району Хмельницької області</t>
  </si>
  <si>
    <t>30447</t>
  </si>
  <si>
    <t>6825588003</t>
  </si>
  <si>
    <t>Лавринівці</t>
  </si>
  <si>
    <t>http://staribezumu.ucoz.ua</t>
  </si>
  <si>
    <t>Судилківська загальноосвітня школа І-ІІІ ступенів Судилківської сільської ради Шепетівського району Хмельницької області</t>
  </si>
  <si>
    <t>30430</t>
  </si>
  <si>
    <t>6825588501</t>
  </si>
  <si>
    <t>Судилків</t>
  </si>
  <si>
    <t>(03840)31352</t>
  </si>
  <si>
    <t>СУДИЛКІВСЬКИЙ НАВЧАЛЬНО-ВИХОВНИЙ КОМПЛЕКС "ЗАГАЛЬНООСВІТНІЙ НАВЧАЛЬНИЙ ЗАКЛАД І-ІІ СТУПЕНІВ-ДОШКІЛЬНИЙ НАВЧАЛЬНИЙ ЗАКЛАД" ШЕПЕТІВСЬКОЇ РАЙОННОЇ РАДИ ХМЕЛЬНИЦЬКОЇ ОБЛАСТІ</t>
  </si>
  <si>
    <t>вул. Богдана Хмельницького, 5</t>
  </si>
  <si>
    <t>(03840)31142</t>
  </si>
  <si>
    <t>Білокриницький навчально-виховний комплекс "Загальноосвітній навчальний заклад І-ІІ ступенів - дошкільний навчальний заклад" Судилківської сільської ради Шепетівського району Хмельницької області</t>
  </si>
  <si>
    <t>30432</t>
  </si>
  <si>
    <t>6825588502</t>
  </si>
  <si>
    <t>Білокриниччя</t>
  </si>
  <si>
    <t>(03840)3-11-02</t>
  </si>
  <si>
    <t>КЛІМЕНТОВЕЦЬКА ВЕЧІРНЯ ЗАГАЛЬНООСВІТНЯ ШКОЛА ІІ-ІІІ СТУПЕНІВ СУДИЛКІВСЬКОЇСІЛЬСЬКОЇ РАДИ ХМЕЛЬНИЦЬКОЇ ОБЛАСТІ</t>
  </si>
  <si>
    <t>30433</t>
  </si>
  <si>
    <t>6825588503</t>
  </si>
  <si>
    <t>Климентовичі</t>
  </si>
  <si>
    <t>Лозичанська загальноосвфітня школа І-ІІ ступенів Судилківської сільської ради Шепетівського району Хмельницької області</t>
  </si>
  <si>
    <t>30431</t>
  </si>
  <si>
    <t>6825588504</t>
  </si>
  <si>
    <t>Лозичне</t>
  </si>
  <si>
    <t>(03840)31185</t>
  </si>
  <si>
    <t>Рудня-Новенська загальноосвітня школа І ступеня Судилківської сільської ради Шепетівського району Хмельницької області</t>
  </si>
  <si>
    <t>6825588505</t>
  </si>
  <si>
    <t>Рудня-Новенька</t>
  </si>
  <si>
    <t>вул. Тараса Шевченка, 40</t>
  </si>
  <si>
    <t>(03840)29347</t>
  </si>
  <si>
    <t>Хролинська загальноосвітня школа І-ІІ ступенів Судилківської сільської ради Шепетівського району Хмельницької області</t>
  </si>
  <si>
    <t>30434</t>
  </si>
  <si>
    <t>6825589001</t>
  </si>
  <si>
    <t>Хролин</t>
  </si>
  <si>
    <t>(03840)24102</t>
  </si>
  <si>
    <t>Великомедведівський навчально-виховний комплекс "загальноосвітній навчальний заклад І-ІІІ ступенів - дошкільний навчальний заклад" Судилківської сільської ради Шепетівського району Хмельницької області</t>
  </si>
  <si>
    <t>30435</t>
  </si>
  <si>
    <t>6825589002</t>
  </si>
  <si>
    <t>Велика Медведівка</t>
  </si>
  <si>
    <t>вул. Андрія Молодики, 6</t>
  </si>
  <si>
    <t>(03840)26253</t>
  </si>
  <si>
    <t>Травлинська загальноосвітня школа І-ІІІ ступенів Судилківської сільської ради Шепетівського району Хмельницької області</t>
  </si>
  <si>
    <t>6825589005</t>
  </si>
  <si>
    <t>Траулин</t>
  </si>
  <si>
    <t>(03840)20-230</t>
  </si>
  <si>
    <t>Чотирбоцька загальноосвітня школа І-ІІІ ступенів Шепетівської районної ради Хмельницької області</t>
  </si>
  <si>
    <t>30442</t>
  </si>
  <si>
    <t>6825589501</t>
  </si>
  <si>
    <t>Чотирбоки</t>
  </si>
  <si>
    <t>(038)4027272</t>
  </si>
  <si>
    <t>http://chotirboki.jimdo.com</t>
  </si>
  <si>
    <t>Ярмолинецька загальноосвітня школа І-ІІІ ступенів № 2 Ярмолинецької районної ради Хмельницької області</t>
  </si>
  <si>
    <t>32100</t>
  </si>
  <si>
    <t>6825855100</t>
  </si>
  <si>
    <t>вул. Чапаєва, 20</t>
  </si>
  <si>
    <t>(03853)2-14-86</t>
  </si>
  <si>
    <t>Ярмолинецький навчально-виховний комплекс "Загальноосвітня школа І-ІІІ ступенів № 1 і гімназія" Ярмолинецької районної ради Хмельницької області</t>
  </si>
  <si>
    <t>вул. Пушкіна, 6</t>
  </si>
  <si>
    <t>Ярмолинецький технологічний ліцей Ярмолинецької районної ради Хмельницької області</t>
  </si>
  <si>
    <t>(03853)23193, (03853)23347</t>
  </si>
  <si>
    <t>Антоновецький навчально-виховний комплекс"загальноосвітня школа І-ІІ ступенів -дошкільний навчальний заклад"Ярмолинецької районної ради Хмельницької області</t>
  </si>
  <si>
    <t>32115</t>
  </si>
  <si>
    <t>6825880401</t>
  </si>
  <si>
    <t>Антонівці</t>
  </si>
  <si>
    <t>вул. Хмельницька, 12</t>
  </si>
  <si>
    <t>Баламутівський навчально - виховний комплекс "Загальноосвітня школа І-ІІІ ступенів - дошкільний навчальний заклад" Ярмолинецької районної ради, Хмельницької області</t>
  </si>
  <si>
    <t>32122</t>
  </si>
  <si>
    <t>6825880801</t>
  </si>
  <si>
    <t>Баламутівка</t>
  </si>
  <si>
    <t>вул. Хмельницька, 13</t>
  </si>
  <si>
    <t>26126</t>
  </si>
  <si>
    <t>Глушковецька загальноосвітня школа І -ІІІ ступенів Ярмолинецької районної ради Хмельницької області</t>
  </si>
  <si>
    <t>32160</t>
  </si>
  <si>
    <t>6825882801</t>
  </si>
  <si>
    <t>Глушківці</t>
  </si>
  <si>
    <t>Жилинецька загальноосвітня школа І-ІІ ступенів</t>
  </si>
  <si>
    <t>6825883001</t>
  </si>
  <si>
    <t>вул. П'явчика, 112</t>
  </si>
  <si>
    <t>0685166485</t>
  </si>
  <si>
    <t>Кадиївська загальноосвітня школа І-ІІ ст. Ярмолинецького району, Хмельницької області.</t>
  </si>
  <si>
    <t>32112</t>
  </si>
  <si>
    <t>6825883201</t>
  </si>
  <si>
    <t>Кадиївка</t>
  </si>
  <si>
    <t>0977412347</t>
  </si>
  <si>
    <t>Косогірський навчально-виховний комплекс "Загальноосвітня школа І-ІІ ступенів-дошкільний навчальний заклад" Ярмолинецької районної ради Хмельницької області</t>
  </si>
  <si>
    <t>32155</t>
  </si>
  <si>
    <t>6825883401</t>
  </si>
  <si>
    <t>Косогірка</t>
  </si>
  <si>
    <t>вул. Подільська, 1</t>
  </si>
  <si>
    <t>Михайлівська загальноосвітня школа І-ІІІ ступенів Ярмолинецької районної ради Хмельницької області</t>
  </si>
  <si>
    <t>32140</t>
  </si>
  <si>
    <t>6825883601</t>
  </si>
  <si>
    <t>24322</t>
  </si>
  <si>
    <t>Монастироцька загальноосвітня школа І-ІІ ступенів Ярмолинецької районної ради Хмельницької області</t>
  </si>
  <si>
    <t>32125</t>
  </si>
  <si>
    <t>6825884001</t>
  </si>
  <si>
    <t>Москалівська загальноосвітня школа I- III ступенів Ярмолинецького району Хмельницької області</t>
  </si>
  <si>
    <t>32110</t>
  </si>
  <si>
    <t>6825884401</t>
  </si>
  <si>
    <t>Правдівська загальноосвітня школа І-ІІІ ступенів імені Лохвицького Павла Тимофійовича</t>
  </si>
  <si>
    <t>32130</t>
  </si>
  <si>
    <t>6825885201</t>
  </si>
  <si>
    <t>Правдівка</t>
  </si>
  <si>
    <t>(03853)25536</t>
  </si>
  <si>
    <t>http://www.pravdivkashkola.pp.ua/</t>
  </si>
  <si>
    <t>Проскурівська загальноосвітня школа І-ІІ ступенів Ярмолинецької районної ради Хмельницької області</t>
  </si>
  <si>
    <t>32164</t>
  </si>
  <si>
    <t>6825885601</t>
  </si>
  <si>
    <t>Проскурівка</t>
  </si>
  <si>
    <t>(22764258)0966269000</t>
  </si>
  <si>
    <t>Савинецька загальноосвітня школа І-ІІІ ступенів Ярмолинецької районної ради Хмельницької області</t>
  </si>
  <si>
    <t>32156</t>
  </si>
  <si>
    <t>6825886001</t>
  </si>
  <si>
    <t>ал. в. Центральна, 4</t>
  </si>
  <si>
    <t>2-69-35</t>
  </si>
  <si>
    <t>http://savintsi.at.ua</t>
  </si>
  <si>
    <t>Скаржинецька загальноосвітня школа І-ІІІ ступенів Ярмолинецької районної ради Хмельницької області</t>
  </si>
  <si>
    <t>32120</t>
  </si>
  <si>
    <t>6825886401</t>
  </si>
  <si>
    <t>Соколівська загальноосвітня школа I-III ступенів Ярмолинецького району Хмельницької області</t>
  </si>
  <si>
    <t>32153</t>
  </si>
  <si>
    <t>6825886801</t>
  </si>
  <si>
    <t>Соколівська спеціальна загальноосвітня школа-інтернат Хмельницької обласної ради</t>
  </si>
  <si>
    <t>вул. Набережна, 16</t>
  </si>
  <si>
    <t>23563697</t>
  </si>
  <si>
    <t>Солобковецька загальноосвітня школа І-ІІІ ступенів Ярмолинецького району Хмельницької області.</t>
  </si>
  <si>
    <t>32162</t>
  </si>
  <si>
    <t>6825887201</t>
  </si>
  <si>
    <t>Солобківці</t>
  </si>
  <si>
    <t>0385329337</t>
  </si>
  <si>
    <t>Солобковецький навчально - реабілітаційний центр Хмельницької обласної ради</t>
  </si>
  <si>
    <t>вул. Грушевського, 25</t>
  </si>
  <si>
    <t>(03853)2-94-21, (03853)2-94-24</t>
  </si>
  <si>
    <t>http://www.internat-sl.ucoz.com</t>
  </si>
  <si>
    <t>23563467</t>
  </si>
  <si>
    <t>Стріховецька загальноосвітня школа І-ІІ ступенів Ярмолинецького району Хмельницької області</t>
  </si>
  <si>
    <t>32163</t>
  </si>
  <si>
    <t>6825888001</t>
  </si>
  <si>
    <t>Стріхівці</t>
  </si>
  <si>
    <t>(03853)27182</t>
  </si>
  <si>
    <t>Сутковецька загальноосвітня школа І-ІІІ ступенів Ярмолинецької районної ради Хмельницької області імені Романа Лабаня</t>
  </si>
  <si>
    <t>32134</t>
  </si>
  <si>
    <t>6825888401</t>
  </si>
  <si>
    <t>Сутківці</t>
  </si>
  <si>
    <t>http://sutkivtsi-zosh.edukit.km.ua</t>
  </si>
  <si>
    <t>Новосільська загальноосвітня школа І-ІІІ ступенів Ярмолинецького району Хмельницької області</t>
  </si>
  <si>
    <t>32101</t>
  </si>
  <si>
    <t>6825888802</t>
  </si>
  <si>
    <t>21775</t>
  </si>
  <si>
    <t>Шарівська загальноосвітня школа І-ІІІ ступенів Ярмолинецького району Хмельницької області</t>
  </si>
  <si>
    <t>32132</t>
  </si>
  <si>
    <t>6825889201</t>
  </si>
  <si>
    <t>(067)4983286</t>
  </si>
  <si>
    <t>Ясенівська ЗОШ І-ІІ ступенів Ярмолинецького району Хмельницької області</t>
  </si>
  <si>
    <t>32150</t>
  </si>
  <si>
    <t>6825889601</t>
  </si>
  <si>
    <t>(03853)28340</t>
  </si>
  <si>
    <t>Комунальний заклад "Черкаська спеціальна загальноосвітня школа-інтернат І-ІІІ ступенів ЧОР"</t>
  </si>
  <si>
    <t>18024</t>
  </si>
  <si>
    <t>7110100000</t>
  </si>
  <si>
    <t>Черкаська область</t>
  </si>
  <si>
    <t>Черкаси</t>
  </si>
  <si>
    <t>вул. Тараскова, 14</t>
  </si>
  <si>
    <t>663410</t>
  </si>
  <si>
    <t>24357942</t>
  </si>
  <si>
    <t>Комунальний заклад "Черкаський навчально-реабілітаційний центр Черкаської обласної ради"</t>
  </si>
  <si>
    <t>18009</t>
  </si>
  <si>
    <t>вул. Кавказька, 7</t>
  </si>
  <si>
    <t>(0472)372580</t>
  </si>
  <si>
    <t>24357882</t>
  </si>
  <si>
    <t>Черкаська загальноосвітня санаторна школа-інтернат І-ІІ ступенів Черкаської обласної ради</t>
  </si>
  <si>
    <t>18030</t>
  </si>
  <si>
    <t>вул. Надпільна, 532</t>
  </si>
  <si>
    <t>(0472)715118</t>
  </si>
  <si>
    <t>http://sanschool.ck.ua/</t>
  </si>
  <si>
    <t>02139185</t>
  </si>
  <si>
    <t>Черкаська загальноосвітня школа I-III ступенів № 21 імені Ю.Г. Іллєнка Черкаської міської ради Черкаської області</t>
  </si>
  <si>
    <t>18005</t>
  </si>
  <si>
    <t>вул. Нижня Горова, 82</t>
  </si>
  <si>
    <t>72-49-38</t>
  </si>
  <si>
    <t>21376790</t>
  </si>
  <si>
    <t>Черкаська загальноосвітня школа І-ІІІ ступенів № 24 Черкаської міської ради Черкаської області</t>
  </si>
  <si>
    <t>18003</t>
  </si>
  <si>
    <t>вул. Бидгощська, 1</t>
  </si>
  <si>
    <t>632580</t>
  </si>
  <si>
    <t>25660393</t>
  </si>
  <si>
    <t>Черкаська загальноосвітня школа І-ІІІ ступенів № 25 Черкаської міської ради Черкаської області</t>
  </si>
  <si>
    <t>вул. Нарбутівська, 206</t>
  </si>
  <si>
    <t>731693</t>
  </si>
  <si>
    <t>http://school25ck.at.ua</t>
  </si>
  <si>
    <t>25728145</t>
  </si>
  <si>
    <t>Черкаська загальноосвітня школа І-ІІІ ступенів № 26 ім. І.Ф. Момота Черкаської міської ради Черкаської області</t>
  </si>
  <si>
    <t>18029</t>
  </si>
  <si>
    <t>вул. Олени Теліги, 15</t>
  </si>
  <si>
    <t>(0472)660749</t>
  </si>
  <si>
    <t>http://school26-ck.at.ua</t>
  </si>
  <si>
    <t>25660364</t>
  </si>
  <si>
    <t>Черкаська загальноосвітня школа І-ІІІ ступенів № 10 Черкаської міської ради Черкаської області</t>
  </si>
  <si>
    <t>18018</t>
  </si>
  <si>
    <t>просп. Хіміків, 36</t>
  </si>
  <si>
    <t>0472645618, 0472645688</t>
  </si>
  <si>
    <t>http://school10ck.at.ua</t>
  </si>
  <si>
    <t>33363335</t>
  </si>
  <si>
    <t>Черкаська загальноосвітня школа І-ІІІ ступенів № 32 Черкаської міської ради Черкаської області</t>
  </si>
  <si>
    <t>вул. Героїв Майдану, 10</t>
  </si>
  <si>
    <t>(0(472))660944, (0(472))660727</t>
  </si>
  <si>
    <t>http://school32.ck.ua</t>
  </si>
  <si>
    <t>21369175</t>
  </si>
  <si>
    <t>Черкаська приватна загальноосвітня школа "Софія" I-III ступенів</t>
  </si>
  <si>
    <t>вул. Пацаєва, 4</t>
  </si>
  <si>
    <t>384880</t>
  </si>
  <si>
    <t>Черкаська приватна загальноосвітня школа І-ІІІ ступенів "Перлина"</t>
  </si>
  <si>
    <t>вул. Ю.Іллєнка, 9/1</t>
  </si>
  <si>
    <t>(0472)72-27-81</t>
  </si>
  <si>
    <t>http://www.perlyna.at.ua</t>
  </si>
  <si>
    <t>Черкаська приватна загальноосвітня школа І-ІІІ ступенів № 770</t>
  </si>
  <si>
    <t>18023</t>
  </si>
  <si>
    <t>вул. Благовісна, 148</t>
  </si>
  <si>
    <t>(0472)32-13-02</t>
  </si>
  <si>
    <t>Черкаська спеціалізована школа І-ІІІ ступенів № 20 Черкаської міської ради Черкаської області</t>
  </si>
  <si>
    <t>вул. Бидгощська, 3</t>
  </si>
  <si>
    <t>(472)648250</t>
  </si>
  <si>
    <t>26424915</t>
  </si>
  <si>
    <t>Комунальний заклад "Черкаський навчально-реабілітаційний центр "Країна добра Черкаської обласної ради"</t>
  </si>
  <si>
    <t>7110136400</t>
  </si>
  <si>
    <t>Черкаси, Придніпровський район</t>
  </si>
  <si>
    <t>вул. Подолинського, 11/1</t>
  </si>
  <si>
    <t>731921, 732003</t>
  </si>
  <si>
    <t>http://nvo37at.ua</t>
  </si>
  <si>
    <t>39573942</t>
  </si>
  <si>
    <t>Черкаська гімназія № 31 Черкаської міської ради Черкаської області</t>
  </si>
  <si>
    <t>18021</t>
  </si>
  <si>
    <t>вул. Героїв Дніпра, 27</t>
  </si>
  <si>
    <t>(0472)724108</t>
  </si>
  <si>
    <t>http://gymnasia31.ck.ua</t>
  </si>
  <si>
    <t>25768707</t>
  </si>
  <si>
    <t>Черкаська гімназія № 9 ім. О.М.Луценка Черкаської міської ради Черкаської області</t>
  </si>
  <si>
    <t>18022</t>
  </si>
  <si>
    <t>вул. Іллєнка, 52</t>
  </si>
  <si>
    <t>(0472)737560</t>
  </si>
  <si>
    <t>http://www.gym9.ck.ua/</t>
  </si>
  <si>
    <t>14202233</t>
  </si>
  <si>
    <t>Черкаська загальноосвітня школа І - ІІІ ступенів № 5 Черкаської міської ради Черкаської області</t>
  </si>
  <si>
    <t>вул. Різдвяна, 60</t>
  </si>
  <si>
    <t>0472716662</t>
  </si>
  <si>
    <t>http://school-five.ck.ua</t>
  </si>
  <si>
    <t>26536040</t>
  </si>
  <si>
    <t>Черкаська загальноосвітня школа І - ІІІ ступенів № 22 Черкаської міської ради Черкаської області</t>
  </si>
  <si>
    <t>18020</t>
  </si>
  <si>
    <t>вул. Вербовецького, 108</t>
  </si>
  <si>
    <t>(0472)737840</t>
  </si>
  <si>
    <t>http://ckschool22.at.ua</t>
  </si>
  <si>
    <t>26155214</t>
  </si>
  <si>
    <t>Черкаська загальноосвітня школа І- ІІІ ступенів № 12 Черкаської міської ради Черкаської області</t>
  </si>
  <si>
    <t>18000</t>
  </si>
  <si>
    <t>вул. Богдана Хмельницького, 118</t>
  </si>
  <si>
    <t>543949</t>
  </si>
  <si>
    <t>http://ck-school12.ucoz.ua</t>
  </si>
  <si>
    <t>25947539</t>
  </si>
  <si>
    <t>Черкаська загальноосвітня школа І-ІІІ ступенів № 11 Черкаської міської ради Черкаської області</t>
  </si>
  <si>
    <t>18015</t>
  </si>
  <si>
    <t>вул. Ільїна, 291</t>
  </si>
  <si>
    <t>(0472)37-55-44</t>
  </si>
  <si>
    <t>http://school11ck.ucoz.ua</t>
  </si>
  <si>
    <t>21367911</t>
  </si>
  <si>
    <t>Черкаська загальноосвітня школа І-ІІІ ступенів № 15 Черкаської міської ради Черкаської області</t>
  </si>
  <si>
    <t>18006</t>
  </si>
  <si>
    <t>вул. Кобзарська, 77</t>
  </si>
  <si>
    <t>(0472)713616</t>
  </si>
  <si>
    <t>25660387</t>
  </si>
  <si>
    <t>Черкаська загальноосвітня школа І-ІІІ ступенів № 4 Черкаської міської ради Черкаської області</t>
  </si>
  <si>
    <t>вул. Кривалівська, 16</t>
  </si>
  <si>
    <t>(0472)312411</t>
  </si>
  <si>
    <t>http://www.school4.edukit.ck.ua</t>
  </si>
  <si>
    <t>22799966</t>
  </si>
  <si>
    <t>Черкаська спеціалізована школа I-III ступенів № 18 Черкаської міської ради Черкаської області</t>
  </si>
  <si>
    <t>18028</t>
  </si>
  <si>
    <t>вул. Нечуя -Левицького, 12</t>
  </si>
  <si>
    <t>(0472)647500</t>
  </si>
  <si>
    <t>http://specschool18.ucoz.com</t>
  </si>
  <si>
    <t>21360671</t>
  </si>
  <si>
    <t>Черкаська спеціалізована школа І-ІІІ ступенів № 13 Черкаської міської ради Черкаської області</t>
  </si>
  <si>
    <t>вул. Гетьмана Сагайдачного, 146</t>
  </si>
  <si>
    <t>(0472)731720</t>
  </si>
  <si>
    <t>http://school13.ck.ua</t>
  </si>
  <si>
    <t>21370801</t>
  </si>
  <si>
    <t>Черкаська спеціалізована школа І-ІІІ ступенів № 3 Черкаської міської ради Черкаської області</t>
  </si>
  <si>
    <t>вул. Байди Вишневецького, 58</t>
  </si>
  <si>
    <t>372087</t>
  </si>
  <si>
    <t>http://school3.ck.ua</t>
  </si>
  <si>
    <t>25728487</t>
  </si>
  <si>
    <t>Черкаська спеціалізована школа І-ІІІ ступенів № 17 Черкаської міської ради Черкаської області</t>
  </si>
  <si>
    <t>вул. Хрещатик, 218</t>
  </si>
  <si>
    <t>(0472)543354</t>
  </si>
  <si>
    <t>http://www.school17.ck.ua</t>
  </si>
  <si>
    <t>25872451</t>
  </si>
  <si>
    <t>Черкаська спеціалізована школа І-ІІІ ступенів № 33 ім. В. Симоненка Черкаської міської ради Черкаської області</t>
  </si>
  <si>
    <t>вул. Героів Дніпра, 13</t>
  </si>
  <si>
    <t>0472-72-71-49</t>
  </si>
  <si>
    <t>25922746</t>
  </si>
  <si>
    <t>Черкаський гуманітарно-правовий ліцей Черкаської міської ради Черкаської області</t>
  </si>
  <si>
    <t>вул. Надпільна, 291</t>
  </si>
  <si>
    <t>331272</t>
  </si>
  <si>
    <t>http://www.gplyceum.org.ua</t>
  </si>
  <si>
    <t>25207937</t>
  </si>
  <si>
    <t>Черкаський навчально-виховний комплекс "Загальноосвітня школа І-ІІІ ступенів - ліцей спортивного профілю № 34" Черкаської міської ради Черкаської області</t>
  </si>
  <si>
    <t>вул. Гагаріна, 91</t>
  </si>
  <si>
    <t>0(472)542320</t>
  </si>
  <si>
    <t>25660039</t>
  </si>
  <si>
    <t>Черкаський фізико-математичний ліцей (ФІМЛІ) Черкаської міської ради Черкаської області</t>
  </si>
  <si>
    <t>вул. Благовісна, 280</t>
  </si>
  <si>
    <t>314395</t>
  </si>
  <si>
    <t>http://phymly.ck.sch.in.ua/</t>
  </si>
  <si>
    <t>24412894</t>
  </si>
  <si>
    <t>Перша міська гімназія Черкаської міської ради Черкаської області</t>
  </si>
  <si>
    <t>18001</t>
  </si>
  <si>
    <t>7110136700</t>
  </si>
  <si>
    <t>Черкаси, Соснівський район</t>
  </si>
  <si>
    <t>вул. Святотроїцька, 68</t>
  </si>
  <si>
    <t>(0472)337121</t>
  </si>
  <si>
    <t>http://www.fcg.ck.ua/</t>
  </si>
  <si>
    <t>14200760</t>
  </si>
  <si>
    <t>Черкаська загальноосвітня школа І-ІІІ ст № 8 Черкаської міської ради Черкаської області</t>
  </si>
  <si>
    <t>18008</t>
  </si>
  <si>
    <t>вул. Смілянська, 88/2</t>
  </si>
  <si>
    <t>0472-63-85-35</t>
  </si>
  <si>
    <t>25660370</t>
  </si>
  <si>
    <t>Черкаська загальноосвітня школа І-ІІІ ступенів № 30 Черкаської міської ради Черкаської області</t>
  </si>
  <si>
    <t>вул. Вергая, 14</t>
  </si>
  <si>
    <t>472-66-68-37</t>
  </si>
  <si>
    <t>http://school30.edukit.ck.ua/</t>
  </si>
  <si>
    <t>25660016</t>
  </si>
  <si>
    <t>Черкаська загальноосвітня школа І-ІІІ ступенів № 6 Черкаської міської ради Черкаської області</t>
  </si>
  <si>
    <t>18031</t>
  </si>
  <si>
    <t>вул. Гоголя, 123</t>
  </si>
  <si>
    <t>(0472)375447</t>
  </si>
  <si>
    <t>http://testuvannya.com.ua/120/Cherkasy.sc6/</t>
  </si>
  <si>
    <t>25728783</t>
  </si>
  <si>
    <t>Черкаська загальноосвітня школа І-ІІІ ступенів № 19 Черкаської міської ради Черкаської області</t>
  </si>
  <si>
    <t>вул. Університетська, 62А</t>
  </si>
  <si>
    <t>(0472)659079</t>
  </si>
  <si>
    <t>http://sites.google.com/site/school19ck</t>
  </si>
  <si>
    <t>24351750</t>
  </si>
  <si>
    <t>Черкаська загальноосвітня школа І-ІІІ ступенів № 29 Черкаської міської ради Черкаської області</t>
  </si>
  <si>
    <t>18035</t>
  </si>
  <si>
    <t>вул. Карбишева, 5</t>
  </si>
  <si>
    <t>((0472))31-02-53</t>
  </si>
  <si>
    <t>http://sch29.at.ua</t>
  </si>
  <si>
    <t>26536028</t>
  </si>
  <si>
    <t>Черкаська загальноосвітня школа І-ІІІ ступенів № 7 Черкаської міської ради Черкаської області</t>
  </si>
  <si>
    <t>вул. Добровольчих батальйонів, 13</t>
  </si>
  <si>
    <t>550361</t>
  </si>
  <si>
    <t>http://school7.ck.ua</t>
  </si>
  <si>
    <t>25874875</t>
  </si>
  <si>
    <t>Черкаська загальноосвтня школа І-ІІІ ступенів № 2 Черкаської міської ради Черкаської області</t>
  </si>
  <si>
    <t>вул. Самійла Кішки, 187</t>
  </si>
  <si>
    <t>(0472)648411</t>
  </si>
  <si>
    <t>25660269</t>
  </si>
  <si>
    <t>Черкаська спеціалізована школа І-ІІІ ступенів № 28 ім. Т.Г. Шевченка Черкаської міської ради Черкаської області</t>
  </si>
  <si>
    <t>18032</t>
  </si>
  <si>
    <t>(0472)661895, (0472)661817</t>
  </si>
  <si>
    <t>http://sch28.at.ua/</t>
  </si>
  <si>
    <t>25659711</t>
  </si>
  <si>
    <t>Черкаська спеціалізована школа I -III ступенів № 27 ім.М.К.Путейка Черкаської міської ради Черкаської області</t>
  </si>
  <si>
    <t>вул. СУМГАЇТСЬКА, 22</t>
  </si>
  <si>
    <t>66-25-75</t>
  </si>
  <si>
    <t>21367360</t>
  </si>
  <si>
    <t>Черкаське навчально-виховне обєднання "Дошкільний навчальний заклад-загальноосвітня школа І-ІІ ступенів № 36" ім. Героїв-прикордонників Черкаської міської ради Черкаської області</t>
  </si>
  <si>
    <t>19601</t>
  </si>
  <si>
    <t>(0472)453347</t>
  </si>
  <si>
    <t>http://nvo36.ck.sch.in.ua</t>
  </si>
  <si>
    <t>Черкаський колегіум "Берегиня" Черкаської міської ради Черкаської області</t>
  </si>
  <si>
    <t>вул. Хоменко, 14|1</t>
  </si>
  <si>
    <t>637845</t>
  </si>
  <si>
    <t>14202405</t>
  </si>
  <si>
    <t>Ватутінська загальноосвітня школа І-ІІІ ст. № 5 Ватутінської міської ради Черкаської обл</t>
  </si>
  <si>
    <t>20251</t>
  </si>
  <si>
    <t>7110200000</t>
  </si>
  <si>
    <t>просп. Ватутіна, 8</t>
  </si>
  <si>
    <t>0474062271</t>
  </si>
  <si>
    <t>http://vatschool5.ucoz.ua</t>
  </si>
  <si>
    <t>Ватутінська загальноосвітня школа І-ІІІ ступенів № 2 ім. М.Ф. Ватутіна Ватутінської міської ради Черкаської області</t>
  </si>
  <si>
    <t>0474061149</t>
  </si>
  <si>
    <t>http://vatutinono2.at.ua</t>
  </si>
  <si>
    <t>Ватутінська загальноосвітня школа І-ІІІ ступенів № 6, Ватутінської міської ради, Черкаської області</t>
  </si>
  <si>
    <t>20250</t>
  </si>
  <si>
    <t>вул. Чернишевського, 2</t>
  </si>
  <si>
    <t>(04740)63365</t>
  </si>
  <si>
    <t>http://www.vatschool6.pp.net.ua</t>
  </si>
  <si>
    <t>Ватутінська спеціалізована школа І-ІІІ ступенів № 1 Ватутінської міської ради Черкаської області</t>
  </si>
  <si>
    <t>вул. Захисників України, 44</t>
  </si>
  <si>
    <t>0474062463</t>
  </si>
  <si>
    <t>Канівська гімназія імені Івана Франка Канівської міської ради Черкаської області</t>
  </si>
  <si>
    <t>19000</t>
  </si>
  <si>
    <t>7110300000</t>
  </si>
  <si>
    <t>Канів</t>
  </si>
  <si>
    <t>вул. Успенська, 1</t>
  </si>
  <si>
    <t>0473632323</t>
  </si>
  <si>
    <t>Канівська загальноосвітня школа I - ІІІ ступенів № 4 Канівської міської ради Черкаської області</t>
  </si>
  <si>
    <t>вул. Дніпробудівська, 2</t>
  </si>
  <si>
    <t>(04736)32136</t>
  </si>
  <si>
    <t>http://kanivcity.narod.ru</t>
  </si>
  <si>
    <t>Канівська загальноосвітня школа І-ІІІ ступенів № 1 імені Т.Г. Шевченка Канівської міської ради Черкаської області</t>
  </si>
  <si>
    <t>19003</t>
  </si>
  <si>
    <t>вул. 1-го Травня, 76</t>
  </si>
  <si>
    <t>3-24-71</t>
  </si>
  <si>
    <t>http://www.kaniv.ucoz.ua</t>
  </si>
  <si>
    <t>Канівська загальноосвітня школа І-ІІІ ступенів № 3 Канівської міської ради Черкаської області</t>
  </si>
  <si>
    <t>вул. Пилипенка, 14</t>
  </si>
  <si>
    <t>(04736)31077</t>
  </si>
  <si>
    <t>http://school3-kaniv.ucoz.ua/</t>
  </si>
  <si>
    <t>Канівська спеціалізована школа І-ІІІ ступенів № 6 з поглибленим вивченням іноземних мов Канівської міської ради Черкаської області</t>
  </si>
  <si>
    <t>0473633304</t>
  </si>
  <si>
    <t>Комунальний заклад "Канівська загальноосвітня санаторна школа-інтернат І-ІІІ ступенів Черкаської обласної ради"</t>
  </si>
  <si>
    <t>вул. 1 Травня, 83</t>
  </si>
  <si>
    <t>(04736)3-24-79</t>
  </si>
  <si>
    <t>22793136</t>
  </si>
  <si>
    <t>Золотоніська гімназія ім.С.Д.Скляренка Золотоніської міської ради Черкаської області</t>
  </si>
  <si>
    <t>19700</t>
  </si>
  <si>
    <t>7110400000</t>
  </si>
  <si>
    <t>Золотоноша</t>
  </si>
  <si>
    <t>вул. Черкаська, 54</t>
  </si>
  <si>
    <t>(04737)5-33-05</t>
  </si>
  <si>
    <t>http://zologym.co.ua</t>
  </si>
  <si>
    <t>Золотоніська загальноосвітня санаторна школа-інтернат І-ІІІ ступенів Черкаської обласної ради</t>
  </si>
  <si>
    <t>http://www.sanatorna.org.ua</t>
  </si>
  <si>
    <t>02138932</t>
  </si>
  <si>
    <t>Золотоніська загальноосвітня школа І-ІІІ ступенів № 3 Золотоніської міської ради Черкаської області</t>
  </si>
  <si>
    <t>вул. Гоголя, 7</t>
  </si>
  <si>
    <t>55058, 53691, 52096</t>
  </si>
  <si>
    <t>http://zosh-nomer3.com</t>
  </si>
  <si>
    <t>Золотоніська загальноосвітня школа І-ІІІ ступенів № 5 Золотоніської міської ради Черкаської області</t>
  </si>
  <si>
    <t>вул. Баха, 57</t>
  </si>
  <si>
    <t>0473752160, 0473753160</t>
  </si>
  <si>
    <t>http://zoloschool5.org.ua</t>
  </si>
  <si>
    <t>Золотоніська загальноосвітня школа І-ІІІ ступенів № 6 Золотоніської міської ради Черкаської області</t>
  </si>
  <si>
    <t>вул. Благовіщенська, 96А</t>
  </si>
  <si>
    <t>(04737)52311</t>
  </si>
  <si>
    <t>http://zoloschool6.ucoz.ua</t>
  </si>
  <si>
    <t>Золотоніська спеціалізована школа № 1 з поглибленим вивченням економіки та правознавства Золотоніської міської ради Черкаської області</t>
  </si>
  <si>
    <t>вул. Черкаська, 12</t>
  </si>
  <si>
    <t>0(4737)53293, 0(4737)52498</t>
  </si>
  <si>
    <t>Золотоніська спеціалізована школа № 2 інформаційних технологій Золотоніської міської ради Черкаської області</t>
  </si>
  <si>
    <t>вул. Миколаївська, 5</t>
  </si>
  <si>
    <t>(04737)5-32-95</t>
  </si>
  <si>
    <t>Золотоніська спеціальна загальноосвітня школа-інтернат Черкаської обласної ради</t>
  </si>
  <si>
    <t>вул. Обухова, 39</t>
  </si>
  <si>
    <t>(04737)5-35-16</t>
  </si>
  <si>
    <t>http://zolointernat.ck.ua</t>
  </si>
  <si>
    <t>21382170</t>
  </si>
  <si>
    <t>Золотоніський міжшкільний навчально-виробничий комбінат</t>
  </si>
  <si>
    <t>вул. Садовий проїзд, 10</t>
  </si>
  <si>
    <t>(04737)53791</t>
  </si>
  <si>
    <t>КЗ "Смілянська спеціальна загальноосвітня школа-інтернат І-ІІ ст" Черкаської обласної ради</t>
  </si>
  <si>
    <t>20700</t>
  </si>
  <si>
    <t>7110500000</t>
  </si>
  <si>
    <t>Сміла</t>
  </si>
  <si>
    <t>вул. Соборна, 240</t>
  </si>
  <si>
    <t>4-44-70</t>
  </si>
  <si>
    <t>21378777</t>
  </si>
  <si>
    <t>Навчально-виховний комлекс "Загальноосвітня школа І-ІІІ ступенів № 3-колегіум" Смілянської міської ради Черкаської області</t>
  </si>
  <si>
    <t>(04733)4-05-27, (04733)4-22-35</t>
  </si>
  <si>
    <t>http://school3-kolegium.com.ua</t>
  </si>
  <si>
    <t>21380596</t>
  </si>
  <si>
    <t>Навчально-виховний комплекс "Дошкільний навчальний заклад - загальноосвітня школа І-ІІІ ступенів № 15"</t>
  </si>
  <si>
    <t>20703</t>
  </si>
  <si>
    <t>вул. Кармелюка, 38</t>
  </si>
  <si>
    <t>(04733)37637, (04733)37737</t>
  </si>
  <si>
    <t>http://nvk-dnz-zosh-i-iii-st-15.webnode.com.ua/</t>
  </si>
  <si>
    <t>21378843</t>
  </si>
  <si>
    <t>Смілянська загальноосвітня школа I-III ступенів № 6 Смілянської міської ради Черкаської області</t>
  </si>
  <si>
    <t>20709</t>
  </si>
  <si>
    <t>вул. Сунківська, 12</t>
  </si>
  <si>
    <t>0473320938</t>
  </si>
  <si>
    <t>http://smila-scool6.edukit.ck.ua</t>
  </si>
  <si>
    <t>21380716</t>
  </si>
  <si>
    <t>Смілянська загальноосвітня школа І - ІІІ ступенів № 11 Смілянської міської ради Черкаської області</t>
  </si>
  <si>
    <t>вул. Репіна, 47</t>
  </si>
  <si>
    <t>3-64-13</t>
  </si>
  <si>
    <t>http://smila-school11.edukit.ck.ua</t>
  </si>
  <si>
    <t>21380863</t>
  </si>
  <si>
    <t>Смілянська загальноосвітня школа І-ІІІ № 13 Смілянської міської ради Черкаської області</t>
  </si>
  <si>
    <t>20707</t>
  </si>
  <si>
    <t>вул. Громова, 71</t>
  </si>
  <si>
    <t>(04733)29596</t>
  </si>
  <si>
    <t>21381845</t>
  </si>
  <si>
    <t>Смілянська загальноосвітня школа І-ІІІ ступенів № 1 Смілянської міської ради Черкаської області</t>
  </si>
  <si>
    <t>20702</t>
  </si>
  <si>
    <t>(04733)4-10-60, (04733)4-24-04</t>
  </si>
  <si>
    <t>http://www.nasha-persha.org.ua</t>
  </si>
  <si>
    <t>21380490</t>
  </si>
  <si>
    <t>Смілянська загальноосвітня школа І-ІІІ ступенів № 10 Смілянської міської ради Черкаської області</t>
  </si>
  <si>
    <t>20705</t>
  </si>
  <si>
    <t>вул. Лобачевського, 2</t>
  </si>
  <si>
    <t>(04733)36209, (04733)53344</t>
  </si>
  <si>
    <t>21380774</t>
  </si>
  <si>
    <t>Смілянська загальноосвітня школа І-ІІІ ступенів № 2 Смілянської міської ради Черкаської області</t>
  </si>
  <si>
    <t>вул. Юрія Кондратюка (Невського), 9</t>
  </si>
  <si>
    <t>(04733)42237</t>
  </si>
  <si>
    <t>21380538</t>
  </si>
  <si>
    <t>Смілянська загальноосвітня школа І-ІІІ ступенів № 4 Смілянської міської ради Черкаської області</t>
  </si>
  <si>
    <t>вул. Незалежності, 90А</t>
  </si>
  <si>
    <t>(04733)4-23-14, (04733)2-55-25</t>
  </si>
  <si>
    <t>21380610</t>
  </si>
  <si>
    <t>Смілянська загальноосвітня школа І-ІІІ ступенів № 7 Смілянської міської ради Черкаської області</t>
  </si>
  <si>
    <t>20706</t>
  </si>
  <si>
    <t>вул. Богдана Хмельницького, 51(А)</t>
  </si>
  <si>
    <t>047(33)36398</t>
  </si>
  <si>
    <t>http://smela-school7.ucoz.ru/</t>
  </si>
  <si>
    <t>21380722</t>
  </si>
  <si>
    <t>Смілянська загальноосвітня школа-інтернат І-ІІІ ст. Черкаської обласної ради</t>
  </si>
  <si>
    <t>пров. Захисників України, 34</t>
  </si>
  <si>
    <t>http://testuvannya.com.ua/schoolsite/Cherkas.Smila.Int/</t>
  </si>
  <si>
    <t>21378797</t>
  </si>
  <si>
    <t>Смілянська спеціалізована школа І-ІІІ ступенів № 12 Смілянської міської ради Черкаської області</t>
  </si>
  <si>
    <t>вул. Захисників України, 33</t>
  </si>
  <si>
    <t>(04733)53142</t>
  </si>
  <si>
    <t>21380886</t>
  </si>
  <si>
    <t>Смілянський міжшкільний навчально-виробничий комбінат, Смілянської міської ради</t>
  </si>
  <si>
    <t>вул. Мічуріна, 5</t>
  </si>
  <si>
    <t>(04733)40572</t>
  </si>
  <si>
    <t>Смілянський навчально-виховний комплекс "Загальноосвітня школа І ступеня - гімназія ім.В.Т.Сенатора" Смілянської міської ради Черкаської області</t>
  </si>
  <si>
    <t>вул. Соборна, 125</t>
  </si>
  <si>
    <t>(04733)42233</t>
  </si>
  <si>
    <t>http://gumnasia.inf.ua/</t>
  </si>
  <si>
    <t>21378820</t>
  </si>
  <si>
    <t>Смілянський навчально-виховний комплекс "Ліцей - загальноосвітня школа І-ІІІ ступенів "Лідер"</t>
  </si>
  <si>
    <t>20701</t>
  </si>
  <si>
    <t>вул. Героїв Небесної Сотні, 16</t>
  </si>
  <si>
    <t>(04733)43179</t>
  </si>
  <si>
    <t>41491657</t>
  </si>
  <si>
    <t>Комунальний заклад "Уманський навчально-реабілітаційний центр Черкаської обласної ради"</t>
  </si>
  <si>
    <t>20300</t>
  </si>
  <si>
    <t>7110800000</t>
  </si>
  <si>
    <t>Умань</t>
  </si>
  <si>
    <t>вул. Малофонтанна, 8А</t>
  </si>
  <si>
    <t>(04744)31098</t>
  </si>
  <si>
    <t>24351276</t>
  </si>
  <si>
    <t>Навчально-виховний комплекс № 1 "Дошкільний навчальний заклад - загальноосвітній навчальний заклад І ступеня" м.Умань Черкаської області</t>
  </si>
  <si>
    <t>20301</t>
  </si>
  <si>
    <t>вул. Тютюнника, 9 А</t>
  </si>
  <si>
    <t>3-38-65</t>
  </si>
  <si>
    <t>http://uman-nvk1.edukit.ck.ua</t>
  </si>
  <si>
    <t>НВК "Уманська міська гімназія - школа естетичного виховання" Уманської міської ради Черкаської області 4932</t>
  </si>
  <si>
    <t>вул. Кизила Андрія, 5</t>
  </si>
  <si>
    <t>38799, 34342, 32977, 30569</t>
  </si>
  <si>
    <t>http://gymn-uman.ucoz.ua</t>
  </si>
  <si>
    <t>Уманська загальноосвітня школа І - ІІІ ступенів № 5 ім. В.І.Чуйкова Уманської міської ради Черкаської області</t>
  </si>
  <si>
    <t>вул. Київська, 19</t>
  </si>
  <si>
    <t>(04744)37946</t>
  </si>
  <si>
    <t>http://school5uman.ucoz.ua/</t>
  </si>
  <si>
    <t>Уманська загальноосвітня школа І -ІІІ ступенів № 8 Уманської міської ради Черкаської області</t>
  </si>
  <si>
    <t>вул. Суровцової, 3</t>
  </si>
  <si>
    <t>(04744)3-61-92, (04744)3-50-92</t>
  </si>
  <si>
    <t>http://uman-zosh8.ck.sch.in.ua</t>
  </si>
  <si>
    <t>Уманська загальноосвітня школа І-ІІІ ступенів № 4 Уманської міської ради Черкаської області</t>
  </si>
  <si>
    <t>вул. Малофонтанна, 25</t>
  </si>
  <si>
    <t>34826, 34886</t>
  </si>
  <si>
    <t>http://shkola4.at.ua</t>
  </si>
  <si>
    <t>Уманська загальноосвітня школа І-ІІІ ступенів № 1 ім. О.С.Пушкіна Уманської міської ради Черкаської області</t>
  </si>
  <si>
    <t>(04744)30460</t>
  </si>
  <si>
    <t>Уманська загальноосвітня школа І-ІІІ ступенів № 11 ім. М.П.Бажана Уманської міської ради Черкаської області</t>
  </si>
  <si>
    <t>3-80-69, 3-25-96</t>
  </si>
  <si>
    <t>http://school-11.at.ua</t>
  </si>
  <si>
    <t>Уманська загальноосвітня школа І-ІІІ ступенів № 14 Уманської міської ради Черкаської області</t>
  </si>
  <si>
    <t>вул. Незалежності, 69/20</t>
  </si>
  <si>
    <t>(04744)45231</t>
  </si>
  <si>
    <t>http://umanschool14.at.ua</t>
  </si>
  <si>
    <t>Уманська загальноосвітня школа І-ІІІ ступенів № 3 Уманської міської ради Черкаської області</t>
  </si>
  <si>
    <t>вул. Герцена, 26</t>
  </si>
  <si>
    <t>(04744)48042</t>
  </si>
  <si>
    <t>http://www.uman-school3.edukit.ck.ua</t>
  </si>
  <si>
    <t>Уманська загальноосвітня школа І-ІІІ ступенів № 9 Уманської міської ради Черкаської області</t>
  </si>
  <si>
    <t>вул. Інтернаціональна, 77</t>
  </si>
  <si>
    <t>3-98-49, 3-98-19</t>
  </si>
  <si>
    <t>http://school9.um.ck.ua/</t>
  </si>
  <si>
    <t>Уманська спеціалізована школа І-ІІІ ступенів № 12 з поглибленим вивченням англійської мови Уманської міської ради Черкаської області</t>
  </si>
  <si>
    <t>вул. Миколи Хвильового, 17</t>
  </si>
  <si>
    <t>(04744)49928, (04744)49914</t>
  </si>
  <si>
    <t>http://school12uman.ucoz.ua</t>
  </si>
  <si>
    <t>Уманський міжшкільний навчально - виробничий комбінат</t>
  </si>
  <si>
    <t>вул. Радянська, 27</t>
  </si>
  <si>
    <t>(04744)35095</t>
  </si>
  <si>
    <t>УМАНСЬКИЙ НАВЧАЛЬНО-ВИХОВНИЙ КОМПЛЕКС "ЗАГАЛЬНООСВІТНЯ ШКОЛА І-ІІІ СТУПЕНІВ № 10 - МЕДИЧНА ГІМНАЗІЯ" УМАНСЬКОЇ МІСЬКОЇ РАДИ ЧЕРКАСЬКОЇ ОБЛАСТІ</t>
  </si>
  <si>
    <t>20307</t>
  </si>
  <si>
    <t>(04744)32001</t>
  </si>
  <si>
    <t>http://nvk-school10.at.ua</t>
  </si>
  <si>
    <t>Уманський навчально-виховний комплекс "Загальноосвітня школа І-ІІІ ступенів № 7-колегіум" Уманської міської ради Черкаської області</t>
  </si>
  <si>
    <t>вул. Слонського Анатолія, 12</t>
  </si>
  <si>
    <t>0474434466</t>
  </si>
  <si>
    <t>http://school7colegium.ucoz.ua</t>
  </si>
  <si>
    <t>Уманський навчально-виховний комплекс № 17 "Загальноосвітня школа І-ІІІ ступенів - дошкільний навчальний заклад" Уманської міської ради Черкаської області</t>
  </si>
  <si>
    <t>вул. Маяковського, 73/7</t>
  </si>
  <si>
    <t>(04744)39653</t>
  </si>
  <si>
    <t>http://nvklicey.udpu.org.ua</t>
  </si>
  <si>
    <t>Уманський навчально-виховний комплекс № 24 "Дошкільний навчальний заклад - загальноосвітній навчальний заклад 1 ступеня" Уманської міської ради Черкаської області</t>
  </si>
  <si>
    <t>вул. Мазепи, 3А</t>
  </si>
  <si>
    <t>4-51-58</t>
  </si>
  <si>
    <t>24356121</t>
  </si>
  <si>
    <t>Уманський начально-виховний комплекс " Загальноосвітня школа № 6- дошкільний навчальний заклад"</t>
  </si>
  <si>
    <t>вул. Михайлівська, 30</t>
  </si>
  <si>
    <t>3-61-98</t>
  </si>
  <si>
    <t>http://school-6uman.ucoz.ua</t>
  </si>
  <si>
    <t>Приватний заклад "Український аграрний ліцей"</t>
  </si>
  <si>
    <t>вул. Івана Гонти, 3</t>
  </si>
  <si>
    <t>(04744)4-59-60</t>
  </si>
  <si>
    <t>Городищенська загальноосвітня школа І-ІІІ ступенів № 1 імені С.С.Гулака-Артемовського Городищенської районної ради Черкаської області</t>
  </si>
  <si>
    <t>19501</t>
  </si>
  <si>
    <t>7120310100</t>
  </si>
  <si>
    <t>вул. Фізкультурна, 39</t>
  </si>
  <si>
    <t>(04734)20216</t>
  </si>
  <si>
    <t>http://horodysche-school1.edukit.ck.ua/</t>
  </si>
  <si>
    <t>Городищенська загальноосвітня школа І-ІІІ ступенів № 2 Городищенської районої ради Черкаської області</t>
  </si>
  <si>
    <t>19500</t>
  </si>
  <si>
    <t>вул. Миру, 60</t>
  </si>
  <si>
    <t>(04734)2-26-60</t>
  </si>
  <si>
    <t>http://gorodischeschool2.wixsite.com/school2</t>
  </si>
  <si>
    <t>Городищенський економічний ліцей Городищенської районноїради Черкаськоїобласті</t>
  </si>
  <si>
    <t>вул. Володимира Мономаха, 3</t>
  </si>
  <si>
    <t>0473421766</t>
  </si>
  <si>
    <t>http://sites.google.com/site/ecolicej</t>
  </si>
  <si>
    <t>Опорний навчальний заклад Городищенська загальноосвітня школа І-ІІІ ступенів № 3 Городищенської районної ради Черкаської області</t>
  </si>
  <si>
    <t>(04734)20677</t>
  </si>
  <si>
    <t>http://gschool3.esy.es</t>
  </si>
  <si>
    <t>Вільшанська загальноосвітня школа I-III ступенів Городищенської районної ради Черкаської області</t>
  </si>
  <si>
    <t>19523</t>
  </si>
  <si>
    <t>7120355400</t>
  </si>
  <si>
    <t>96432</t>
  </si>
  <si>
    <t>http://vilshana-school3.edukit.ck.ua</t>
  </si>
  <si>
    <t>Вільшанська загальноосвітня школа І-ІІ ступенів Городищенської районної ради Черкаської області</t>
  </si>
  <si>
    <t>вул. Шевченка, 196</t>
  </si>
  <si>
    <t>380473496148</t>
  </si>
  <si>
    <t>http://vilshanaschool1.wixsite.com/vilshanaschool</t>
  </si>
  <si>
    <t>Вільшанська спеціальна загальноосвітня школа-інтернат для дітей, які потребують корекції розумового та фізичного розвитку Черкаської обласної ради</t>
  </si>
  <si>
    <t>вул. Шевченка, 198</t>
  </si>
  <si>
    <t>(04734)96119</t>
  </si>
  <si>
    <t>04591558</t>
  </si>
  <si>
    <t>Цвітківська загальноосвітня школа І-ІІІ ступенів Городищенської районної ради Черкаської області</t>
  </si>
  <si>
    <t>19537</t>
  </si>
  <si>
    <t>7120355700</t>
  </si>
  <si>
    <t>вул. Жовтнева, 72</t>
  </si>
  <si>
    <t>0969633013</t>
  </si>
  <si>
    <t>http://cvitkovo2012.ucoz.ua</t>
  </si>
  <si>
    <t>Валявська загальноосвітня школа І-ІІІ ступенів Городищенської районної ради Черкаської області</t>
  </si>
  <si>
    <t>19520</t>
  </si>
  <si>
    <t>7120381001</t>
  </si>
  <si>
    <t>Валява</t>
  </si>
  <si>
    <t>98242</t>
  </si>
  <si>
    <t>https://sites.google.com/site/valjavaschool/administracia</t>
  </si>
  <si>
    <t>Вербівська загальноосвітня школа І-ІІІ ступенів Городищенської районної ради Черкаської області</t>
  </si>
  <si>
    <t>19531</t>
  </si>
  <si>
    <t>7120381501</t>
  </si>
  <si>
    <t>(047)3499519</t>
  </si>
  <si>
    <t>http://verbivkaschoolg.ucoz.ru</t>
  </si>
  <si>
    <t>Воронівський навчально-виховний комплекс "загальноосвітня школа І-ІІ ступенів-дошкільний навчальний заклад" Городищенської районної ради Черкаської області</t>
  </si>
  <si>
    <t>19532</t>
  </si>
  <si>
    <t>7120382001</t>
  </si>
  <si>
    <t>0473436574</t>
  </si>
  <si>
    <t>https://sites.google.com/view/voronivskijnvkzosh/</t>
  </si>
  <si>
    <t>В'язівська загальноосвітня школа І-ІІІ ступенів Городищенської районної ради Черкаської області</t>
  </si>
  <si>
    <t>19534</t>
  </si>
  <si>
    <t>7120382501</t>
  </si>
  <si>
    <t>0473494546</t>
  </si>
  <si>
    <t>http://viazivok.edukit.ck.ua/</t>
  </si>
  <si>
    <t>Дирдинська загальноосвітня школа І-ІІ ступенів Городищенської районної ради Черкаської області</t>
  </si>
  <si>
    <t>19509</t>
  </si>
  <si>
    <t>7120382801</t>
  </si>
  <si>
    <t>Дирдин</t>
  </si>
  <si>
    <t>вул. Устима Жука, 54</t>
  </si>
  <si>
    <t>2-24-11</t>
  </si>
  <si>
    <t>http://www.dyrdin-zosh.ck.sch.in.ua</t>
  </si>
  <si>
    <t>Журавський навчально-виховний комплекс "Загальноосвітня школа І-ІІ ступенів - дошкільний навчальний заклад" Городищенської районної ради Черкаської області</t>
  </si>
  <si>
    <t>19521</t>
  </si>
  <si>
    <t>7120383001</t>
  </si>
  <si>
    <t>0473439226</t>
  </si>
  <si>
    <t>http://juravka-nvk.at.ua</t>
  </si>
  <si>
    <t>Калинівський навчально-виховний комплекс "Загальноосвітня школа І ступеня - дошкільний навчальний заклад" Городищенської районної ради Черкаської області</t>
  </si>
  <si>
    <t>19517</t>
  </si>
  <si>
    <t>7120384001</t>
  </si>
  <si>
    <t>97422</t>
  </si>
  <si>
    <t>http://kalunivka-gor.ucoz.ua/</t>
  </si>
  <si>
    <t>Мліївська загальноосвітня школа І - ІІІ ступенів № 1 Городищенської районної державної адміністрації Черкаської області</t>
  </si>
  <si>
    <t>19511</t>
  </si>
  <si>
    <t>7120385001</t>
  </si>
  <si>
    <t>Мліїв</t>
  </si>
  <si>
    <t>вул. Данила Кушніра, 71</t>
  </si>
  <si>
    <t>95505</t>
  </si>
  <si>
    <t>http://мліїв-зош.укр</t>
  </si>
  <si>
    <t>Мліївська загальноосвітня школа І-ІІІ ступенів № 2 імені Миколи Михайловича Артеменка Городищенської районної ради Черкаської області</t>
  </si>
  <si>
    <t>19512</t>
  </si>
  <si>
    <t>вул. Симиренка, 17</t>
  </si>
  <si>
    <t>(04734)95593</t>
  </si>
  <si>
    <t>http://mliiv-school2.edukit.ck.ue</t>
  </si>
  <si>
    <t>Орловецька загальноосвітня школа І - ІІІ ступенів Городищенської районної ради Черкаської області</t>
  </si>
  <si>
    <t>19515</t>
  </si>
  <si>
    <t>7120385501</t>
  </si>
  <si>
    <t>Орловець</t>
  </si>
  <si>
    <t>вул. Цвітківська, 1</t>
  </si>
  <si>
    <t>83493572</t>
  </si>
  <si>
    <t>http://ORLOVETS-GOR.EDUKIT.CK.UA</t>
  </si>
  <si>
    <t>Петропавлівський навчально - виховний комплекс "Загальноосвітня школа І - ІІ ступенів - дошкільний навчальний заклад" Городищенської районної ради , Черкаської області</t>
  </si>
  <si>
    <t>19530</t>
  </si>
  <si>
    <t>7120386501</t>
  </si>
  <si>
    <t>пл. Дружби, 30</t>
  </si>
  <si>
    <t>32-7-30</t>
  </si>
  <si>
    <t>http://petropavlivka-nvk.edukit.ck.ua</t>
  </si>
  <si>
    <t>Старосільська загальноосвітня школа І-ІІІ ступенів Городищенської районної ради Черкаської області</t>
  </si>
  <si>
    <t>19510</t>
  </si>
  <si>
    <t>7120387001</t>
  </si>
  <si>
    <t>34-4-98</t>
  </si>
  <si>
    <t>http://starosillia-school.edukit.ck.ua/</t>
  </si>
  <si>
    <t>Товстівський навчально-виховний комплекс "Загальноосвітня школа І-ІІІ ступенів - дошкільний навчальний заклад" Городищенської районної ради, Черкаської області</t>
  </si>
  <si>
    <t>19525</t>
  </si>
  <si>
    <t>7120387501</t>
  </si>
  <si>
    <t>0473430542</t>
  </si>
  <si>
    <t>http://tovsta-nvk.edukit.ck.ua</t>
  </si>
  <si>
    <t>Хлистунівська загальноосвітня школа І-ІІІ ступенів Городищенської районної ради Черкаської області</t>
  </si>
  <si>
    <t>19533</t>
  </si>
  <si>
    <t>7120388001</t>
  </si>
  <si>
    <t>Хлистунівка</t>
  </si>
  <si>
    <t>вул. Ружина, 44</t>
  </si>
  <si>
    <t>(04734)33326</t>
  </si>
  <si>
    <t>http://www.khlystunivska-zosh.ck.sch.in.ua/</t>
  </si>
  <si>
    <t>Драбівський навчально-виховний комплекс "загальноосвітня школа І-ІІІ ступенів імені С. В. Васильченка-гімназія" Драбівської районної ради Черкаської області</t>
  </si>
  <si>
    <t>19800</t>
  </si>
  <si>
    <t>7120655100</t>
  </si>
  <si>
    <t>Драбів</t>
  </si>
  <si>
    <t>0473830494, 0473830819, 0473831204</t>
  </si>
  <si>
    <t>http://drabiv-gimnazy.at.ua</t>
  </si>
  <si>
    <t>Шрамківська загальноосвітня школа І-ІІІ ступенів Черкаської області Драбівської районної ради</t>
  </si>
  <si>
    <t>19812</t>
  </si>
  <si>
    <t>7120655700</t>
  </si>
  <si>
    <t>Шрамківка</t>
  </si>
  <si>
    <t>вул. Панаса Мирного, 1</t>
  </si>
  <si>
    <t>Вишневий навчально-виховний комплекс "загальноосвітня школа І ступеня - дошкільний навчальний заклад" Драбівської районної ради Черкаської області</t>
  </si>
  <si>
    <t>7120655701</t>
  </si>
  <si>
    <t>99693</t>
  </si>
  <si>
    <t>Безбородьківська загальноосвітня школа І-ІІІ ступенів Драбівської районої ради Черкаської області</t>
  </si>
  <si>
    <t>19835</t>
  </si>
  <si>
    <t>7120680501</t>
  </si>
  <si>
    <t>Безбородьки</t>
  </si>
  <si>
    <t>0989706292, 92-6-40</t>
  </si>
  <si>
    <t>Білоусівська загальноосвітня школа І-ІІІ ступенів Драбівської районної ради Черкаської області</t>
  </si>
  <si>
    <t>19845</t>
  </si>
  <si>
    <t>7120680801</t>
  </si>
  <si>
    <t>вул. Козацька, 18</t>
  </si>
  <si>
    <t>93-3-41</t>
  </si>
  <si>
    <t>Безпальчівська ЗОШ I -II ступенів ДрабівськоЇ районої ради ЧеркаськоЇ області.</t>
  </si>
  <si>
    <t>19832</t>
  </si>
  <si>
    <t>7120681101</t>
  </si>
  <si>
    <t>Безпальче</t>
  </si>
  <si>
    <t>вул. ім. Городинця, 34</t>
  </si>
  <si>
    <t>(04738)991240</t>
  </si>
  <si>
    <t>Бойківщинська загальноосвітня школа І-ІІІ ступенів Драбівської районної ради Черкаської області</t>
  </si>
  <si>
    <t>19853</t>
  </si>
  <si>
    <t>7120681601</t>
  </si>
  <si>
    <t>Бойківщина</t>
  </si>
  <si>
    <t>(047)3892540</t>
  </si>
  <si>
    <t>https://boykivshcool.jimdo.com/</t>
  </si>
  <si>
    <t>Бирлівська загальноосвітня школа І-ІІІ ступенів Драбівської районної ради Черкаськоїобласті</t>
  </si>
  <si>
    <t>19821</t>
  </si>
  <si>
    <t>7120682101</t>
  </si>
  <si>
    <t>0679319568, 95271</t>
  </si>
  <si>
    <t>Великохутірська ЗОШ І-ІІІ ст. імені С.А.Куниці Драбівської районної ради Черкаської області</t>
  </si>
  <si>
    <t>19854</t>
  </si>
  <si>
    <t>7120682601</t>
  </si>
  <si>
    <t>Великий Хутір</t>
  </si>
  <si>
    <t>вул. О.Дорошенка, 126</t>
  </si>
  <si>
    <t>Демківська загальноосвітня школа І-ІІІ ступенів Драбівської районної ради Черкаської області</t>
  </si>
  <si>
    <t>19822</t>
  </si>
  <si>
    <t>7120683501</t>
  </si>
  <si>
    <t>Демки</t>
  </si>
  <si>
    <t>473896296</t>
  </si>
  <si>
    <t>Драбово-Пристанційна загальноосвітня школа І-ІІІ ступенів Драбівської районної ради Черкаської області</t>
  </si>
  <si>
    <t>19842</t>
  </si>
  <si>
    <t>7120683601</t>
  </si>
  <si>
    <t>Драбове-Барятинське</t>
  </si>
  <si>
    <t>вул. Небесної Сотні, 43</t>
  </si>
  <si>
    <t>95-640</t>
  </si>
  <si>
    <t>Жорнокльовівський НВК «загальноосвітня школа І ст- дошкільний навчальний заклад» Драбівської районної ради Черкаської області</t>
  </si>
  <si>
    <t>19833</t>
  </si>
  <si>
    <t>7120683801</t>
  </si>
  <si>
    <t>Жорнокльови</t>
  </si>
  <si>
    <t>(04738)90440</t>
  </si>
  <si>
    <t>Золотоношківська загальноосвітня школа І-ІІІ ступенів Драбівської районної ради Черкаської області</t>
  </si>
  <si>
    <t>19830</t>
  </si>
  <si>
    <t>7120684001</t>
  </si>
  <si>
    <t>Золотоношка</t>
  </si>
  <si>
    <t>Кантакузівський навчальновиховний комплекс "загальноосвітня школа І-ІІІ ступенів-дошкільний навчальний заклад"</t>
  </si>
  <si>
    <t>19823</t>
  </si>
  <si>
    <t>7120684501</t>
  </si>
  <si>
    <t>Кантакузівка</t>
  </si>
  <si>
    <t>вул. Каширіна, 56</t>
  </si>
  <si>
    <t>Ковалівський навчально виховний комплекс "Загальноосвітня школа I-III ступенів - дошкільний навчальний заклад " Драбівської районної ради Черкаської області</t>
  </si>
  <si>
    <t>19811</t>
  </si>
  <si>
    <t>7120685001</t>
  </si>
  <si>
    <t>вул. Свободи, 9</t>
  </si>
  <si>
    <t>(097)7779130</t>
  </si>
  <si>
    <t>Коломицький навчально - виховний комплекс "загальноосвітня школа І ступенів- дошкільний заклад""</t>
  </si>
  <si>
    <t>00000</t>
  </si>
  <si>
    <t>7120685201</t>
  </si>
  <si>
    <t>Коломиці</t>
  </si>
  <si>
    <t>ал. Шевченка, 125</t>
  </si>
  <si>
    <t>Кононівська загальноосвітня школа І-ІІІ ступенів Драбівської районної ради Черкаської області</t>
  </si>
  <si>
    <t>19810</t>
  </si>
  <si>
    <t>7120685501</t>
  </si>
  <si>
    <t>Левченківський навчально-виховний комплекс "загальноосвітня школа І-ІІ ступенів - дошкільний навчальний заклад"</t>
  </si>
  <si>
    <t>7120685701</t>
  </si>
  <si>
    <t>Левченкове</t>
  </si>
  <si>
    <t>Ленінська загальноосвітня школа І ступенів Драбівської районної ради Черкаської області</t>
  </si>
  <si>
    <t>19852</t>
  </si>
  <si>
    <t>7120685801</t>
  </si>
  <si>
    <t>вул. Шкільна, 112</t>
  </si>
  <si>
    <t>(04738)90740</t>
  </si>
  <si>
    <t>Мехедівська загальноосвітня школа І-ІІІ ступенів Драбівської районної ради Черкаської області</t>
  </si>
  <si>
    <t>19857</t>
  </si>
  <si>
    <t>7120686001</t>
  </si>
  <si>
    <t>Мехедівка</t>
  </si>
  <si>
    <t>вул. Благовісна, 7</t>
  </si>
  <si>
    <t>0473891488</t>
  </si>
  <si>
    <t>http://mhschdrabiv.ucoz.ru</t>
  </si>
  <si>
    <t>Митлашівський навчально-виховний комплекс "загальноосвітня школа I-II ступенів - дошкільний навчальний заклад" Драбівської районної ради Черкаської області</t>
  </si>
  <si>
    <t>19841</t>
  </si>
  <si>
    <t>7120686501</t>
  </si>
  <si>
    <t>Митлашівка</t>
  </si>
  <si>
    <t>вул. Жовтнева, 192</t>
  </si>
  <si>
    <t>2-38-98-2-40</t>
  </si>
  <si>
    <t>Михайлівська загальноосвітня школа І-ІІ ступенів Драбівської районної ради Черкаської області</t>
  </si>
  <si>
    <t>19850</t>
  </si>
  <si>
    <t>7120686901</t>
  </si>
  <si>
    <t>97-2-40</t>
  </si>
  <si>
    <t>Нехайківський навчально-виховний комплекс «загальноосвітня школа І-ІІІ ступенів - дошкільний навчальний заклад» Драбівської районної ради Черкаської області</t>
  </si>
  <si>
    <t>19831</t>
  </si>
  <si>
    <t>7120687401</t>
  </si>
  <si>
    <t>Нехайки</t>
  </si>
  <si>
    <t>0473890240</t>
  </si>
  <si>
    <t>Привітний навчально-виховний комплекс "загальноосвітня школа І ступеня - дошкільний навчальний заклад" Драбівської районної ради Черкаської області</t>
  </si>
  <si>
    <t>7120687402</t>
  </si>
  <si>
    <t>Остапівський навчально-виховний комплекс "загальноосвітня школа І- ступеня - дошкільний навчальний заклад" Драбівської районної ради Черкаської області</t>
  </si>
  <si>
    <t>19825</t>
  </si>
  <si>
    <t>7120687601</t>
  </si>
  <si>
    <t>Перервинцівський навчально-виховний комплекс "загальноосвітня школа І-ІІІ ступенів - дошкільний навчальний заклад" Драбівської районної ради Черкаської області"</t>
  </si>
  <si>
    <t>19840</t>
  </si>
  <si>
    <t>7120687901</t>
  </si>
  <si>
    <t>Перервинці</t>
  </si>
  <si>
    <t>Погребська загальноосвітня школа І-ІІІ ступенів Драбівської районної ради Черкаської області</t>
  </si>
  <si>
    <t>19814</t>
  </si>
  <si>
    <t>7120688401</t>
  </si>
  <si>
    <t>вул. Дімітрова, 44</t>
  </si>
  <si>
    <t>(04738)96-7-71</t>
  </si>
  <si>
    <t>http://pogrebysh.at.ua</t>
  </si>
  <si>
    <t>Рецюківський навчально-виховний комплекс "загальноосвітня школа I-II ступенів-дошкільний навчальний заклад" Драбівської районної ради Черкаської області</t>
  </si>
  <si>
    <t>19836</t>
  </si>
  <si>
    <t>7120688701</t>
  </si>
  <si>
    <t>Рецюківщина</t>
  </si>
  <si>
    <t>92-2-40</t>
  </si>
  <si>
    <t>Відділ освіти Драбівської районної державної адміністрації Свічківський навчально-виховний комплекс «загальноосвітня школа І-ІІІ ступенів - дошкільний навчальний заклад»</t>
  </si>
  <si>
    <t>7120689001</t>
  </si>
  <si>
    <t>Свічківка</t>
  </si>
  <si>
    <t>вул. молодіжна, 10</t>
  </si>
  <si>
    <t>Степанівська загальноосвітня школа І-ІІ ступенів Драбівської районної ради</t>
  </si>
  <si>
    <t>19813</t>
  </si>
  <si>
    <t>7120689301</t>
  </si>
  <si>
    <t>94-7-40</t>
  </si>
  <si>
    <t>http://stepanivka.ucoz.ua/</t>
  </si>
  <si>
    <t>Яворівський навчально-виховний комплекс "загальноосвітня школа І-ІІ ступенів-дошкільний навчальний заклад" Драбівської районної ради Черкаської області</t>
  </si>
  <si>
    <t>19820</t>
  </si>
  <si>
    <t>7120689701</t>
  </si>
  <si>
    <t>вул. Кузьменка, 10 а</t>
  </si>
  <si>
    <t>Жашківська загальноосвітня школа І-ІІІ ст. № 3 ім. І.М.Ляшенка Жашківської районної ради Черкаської області</t>
  </si>
  <si>
    <t>19200</t>
  </si>
  <si>
    <t>7120910100</t>
  </si>
  <si>
    <t>Жашків</t>
  </si>
  <si>
    <t>вул. Соборна, 102</t>
  </si>
  <si>
    <t>(04747)62156</t>
  </si>
  <si>
    <t>Жашківська загальноосвітня школа І-ІІІ ступенів № 4 Жашківської районної ради Черкаської області</t>
  </si>
  <si>
    <t>вул. Червоноармійська, 58</t>
  </si>
  <si>
    <t>(04747)60710</t>
  </si>
  <si>
    <t>http://czh4zhahkiv.jimdo.com</t>
  </si>
  <si>
    <t>Жашківська загальноосвітня школа І-ІІІ ступенів № 5 Жашківської районної ради Черкаської області</t>
  </si>
  <si>
    <t>вул. Княгині Ольги, 41</t>
  </si>
  <si>
    <t>(04747)62270</t>
  </si>
  <si>
    <t>http://shcolano5.jimdo.com</t>
  </si>
  <si>
    <t>Жашківська загальносвітня школа І-ІІІ ступенів № 2 Жашківської районної ради Черкаської області</t>
  </si>
  <si>
    <t>вул. Любомської, 2</t>
  </si>
  <si>
    <t>61998</t>
  </si>
  <si>
    <t>http://supersatr.jimdo.com/</t>
  </si>
  <si>
    <t>Жашківська спеціалізована школа № 1 з поглибленим вивченням окремих предметів</t>
  </si>
  <si>
    <t>0474762840, 0474762886</t>
  </si>
  <si>
    <t>http://zhschool1.at.ua</t>
  </si>
  <si>
    <t>Олександрівська загальноосвітня школа І-ІІІ ступенів Жашківської районної ради Черкаської області</t>
  </si>
  <si>
    <t>19212</t>
  </si>
  <si>
    <t>7120980401</t>
  </si>
  <si>
    <t>вул. Ігоря Холо, 1</t>
  </si>
  <si>
    <t>(047)4790400</t>
  </si>
  <si>
    <t>http://oleksandrivka-school.jimdo.com</t>
  </si>
  <si>
    <t>Баштечківська загальноосвітня школа І-ІІІ ступенів Жашківської районної ради Черкаської області</t>
  </si>
  <si>
    <t>19222</t>
  </si>
  <si>
    <t>7120980801</t>
  </si>
  <si>
    <t>Баштечки</t>
  </si>
  <si>
    <t>((04747))95-4-40</t>
  </si>
  <si>
    <t>http://bachtethki.at.ua</t>
  </si>
  <si>
    <t>Бузівська загальноосвітня школа І-ІІІ ступенів Жашківської районної ради Черкаської області</t>
  </si>
  <si>
    <t>19243</t>
  </si>
  <si>
    <t>7120981201</t>
  </si>
  <si>
    <t>0474792240</t>
  </si>
  <si>
    <t>http://www.buzivka.org.ua</t>
  </si>
  <si>
    <t>Вороненська загальноосвітня школа І-ІІІ ступенів Жашківської районної ради Черкаської області</t>
  </si>
  <si>
    <t>19234</t>
  </si>
  <si>
    <t>7120981601</t>
  </si>
  <si>
    <t>Вороне</t>
  </si>
  <si>
    <t>(047)4797240</t>
  </si>
  <si>
    <t>http://voroneschkola.jimdo.com</t>
  </si>
  <si>
    <t>Житницька загальноосвітня школа І-ІІІ ступенів Жашківської районної ради Черкаської області</t>
  </si>
  <si>
    <t>19240</t>
  </si>
  <si>
    <t>7120982001</t>
  </si>
  <si>
    <t>Житники</t>
  </si>
  <si>
    <t>6-2-23</t>
  </si>
  <si>
    <t>http://jitniki-shkola.jimdo.com</t>
  </si>
  <si>
    <t>Конельська загальноосвітня школа І-ІІІ ступенів Жашківської районної ради Черкаської області</t>
  </si>
  <si>
    <t>19251</t>
  </si>
  <si>
    <t>7120982801</t>
  </si>
  <si>
    <t>Конела</t>
  </si>
  <si>
    <t>(04747)91540</t>
  </si>
  <si>
    <t>http://konelascool.ucoz.ua</t>
  </si>
  <si>
    <t>Конельськопопівська загальноосвітня школа І- ІІІ ступенів Жашківської районної ради Черкаської області</t>
  </si>
  <si>
    <t>19254</t>
  </si>
  <si>
    <t>7120983001</t>
  </si>
  <si>
    <t>Конельська Попівка</t>
  </si>
  <si>
    <t>90749</t>
  </si>
  <si>
    <t>http://kpopivkaschool.ucoz.ua/</t>
  </si>
  <si>
    <t>Конельськохутірська загальноосвітня школа І - ІІІ ступенів Жашківської районної ради Черкаської області</t>
  </si>
  <si>
    <t>19252</t>
  </si>
  <si>
    <t>7120983101</t>
  </si>
  <si>
    <t>Конельські Хутори</t>
  </si>
  <si>
    <t>93-7-57</t>
  </si>
  <si>
    <t>http://hytory-school.at.ua/</t>
  </si>
  <si>
    <t>Кривчунська загальноосвітня школа І-ІІІ ступенів Жашківської районної ради Черкаської області</t>
  </si>
  <si>
    <t>19215</t>
  </si>
  <si>
    <t>7120983401</t>
  </si>
  <si>
    <t>Кривчунка</t>
  </si>
  <si>
    <t>вул. Олександра Левади, 4</t>
  </si>
  <si>
    <t>96740</t>
  </si>
  <si>
    <t>http://kruvchynka.ucoz.ua</t>
  </si>
  <si>
    <t>Леміщиська загальноосвітня школа І-ІІ ступенів Жашківської районної ради Черкаської області</t>
  </si>
  <si>
    <t>19213</t>
  </si>
  <si>
    <t>7120983801</t>
  </si>
  <si>
    <t>Леміщиха</t>
  </si>
  <si>
    <t>вул. Миру, 2 а</t>
  </si>
  <si>
    <t>98740</t>
  </si>
  <si>
    <t>Литвинівська загальноосвітня школа І-ІІ ступенів Жашківської районної ради Черкаської області</t>
  </si>
  <si>
    <t>19209</t>
  </si>
  <si>
    <t>7120984001</t>
  </si>
  <si>
    <t>0474793313</t>
  </si>
  <si>
    <t>http://litvshcool.jimdo.com</t>
  </si>
  <si>
    <t>Нагірнянська загальноосвітня школа I-III ступенів Жашківської районної ради Черкаської області</t>
  </si>
  <si>
    <t>19224</t>
  </si>
  <si>
    <t>7120984601</t>
  </si>
  <si>
    <t>Нагірна</t>
  </si>
  <si>
    <t>ал. вулиця Завадських, 4</t>
  </si>
  <si>
    <t>(0474791)440</t>
  </si>
  <si>
    <t>Новогребельська загальноосвітня школа І-ІІІ ступенів Жашківської районної ради Черкаської області</t>
  </si>
  <si>
    <t>19226</t>
  </si>
  <si>
    <t>7120984801</t>
  </si>
  <si>
    <t>04747-99-2-40</t>
  </si>
  <si>
    <t>http://www.schoolnovagreblja.jimdo.com</t>
  </si>
  <si>
    <t>Острожанська загальноосвітня школа І-ІІІ ступенів Жашківської районної ради Черкаської області</t>
  </si>
  <si>
    <t>19250</t>
  </si>
  <si>
    <t>7120985001</t>
  </si>
  <si>
    <t>Острожани</t>
  </si>
  <si>
    <t>(04747)92540</t>
  </si>
  <si>
    <t>http://ostrozhanyschool.klasna.com</t>
  </si>
  <si>
    <t>Охматівська загальноосвітня школа І - ІІ ступенів Жашківської районної ради Черкаської області</t>
  </si>
  <si>
    <t>19233</t>
  </si>
  <si>
    <t>7120985401</t>
  </si>
  <si>
    <t>Охматів</t>
  </si>
  <si>
    <t>(047)4796440</t>
  </si>
  <si>
    <t>http://ochmativschkola.jimdo.com</t>
  </si>
  <si>
    <t>Павлівська загальноосвітня школа І-ІІІ ступенів Жашківської районної ради Черкаської області</t>
  </si>
  <si>
    <t>19221</t>
  </si>
  <si>
    <t>7120985801</t>
  </si>
  <si>
    <t>вул. 60-річчя Перемоги, 13</t>
  </si>
  <si>
    <t>98440</t>
  </si>
  <si>
    <t>http://pavlivskashscool.jimdo.com</t>
  </si>
  <si>
    <t>Пугачівська загальноосвітня школа І-ІІІ ступенів Жашківської районної ради Черкаської області</t>
  </si>
  <si>
    <t>19241</t>
  </si>
  <si>
    <t>7120986201</t>
  </si>
  <si>
    <t>вул. Леніна, 76</t>
  </si>
  <si>
    <t>0474793240</t>
  </si>
  <si>
    <t>http://pugachivkazosh.jimdo.com</t>
  </si>
  <si>
    <t>Скибинська загальносвітня школа І-ІІІ ступенів Жашківської районної ради Черкаської області</t>
  </si>
  <si>
    <t>19210</t>
  </si>
  <si>
    <t>7120987001</t>
  </si>
  <si>
    <t>Скибин</t>
  </si>
  <si>
    <t>0474794240</t>
  </si>
  <si>
    <t>http://skibin-school.ucoz.ua</t>
  </si>
  <si>
    <t>Соколівський навчально-виховний комплекс "Школа І-ІІІ ступенів - ліцей" Жашківської районної ради Черкаської області</t>
  </si>
  <si>
    <t>19253</t>
  </si>
  <si>
    <t>7120987401</t>
  </si>
  <si>
    <t>95221</t>
  </si>
  <si>
    <t>http://sokolivka-school.edukit.ck.ua</t>
  </si>
  <si>
    <t>Сорокотязька загальноосвітня школа І-ІІІ ступенів Жашківської районної ради Черкаської області</t>
  </si>
  <si>
    <t>19230</t>
  </si>
  <si>
    <t>7120987701</t>
  </si>
  <si>
    <t>Сорокотяга</t>
  </si>
  <si>
    <t>вул. Каштанова, 3</t>
  </si>
  <si>
    <t>0474791740, 7007007</t>
  </si>
  <si>
    <t>http://sorokotiaha.edukit.ck.ua</t>
  </si>
  <si>
    <t>Тетерівська загальноосвітня школа І-ІІІ ступенів Жашківської районної ради Черкаської області</t>
  </si>
  <si>
    <t>19214</t>
  </si>
  <si>
    <t>7120988101</t>
  </si>
  <si>
    <t>0474791240</t>
  </si>
  <si>
    <t>http://teterivkazosh.jimdo.com/</t>
  </si>
  <si>
    <t>Тинівська загальноосвітня школа І-ІІІ ступенів Жашківської районної ради Черкаської області</t>
  </si>
  <si>
    <t>19220</t>
  </si>
  <si>
    <t>7120988801</t>
  </si>
  <si>
    <t>Тинівка</t>
  </si>
  <si>
    <t>(04747)97440</t>
  </si>
  <si>
    <t>http://Tinivkazosh.jimdo.com</t>
  </si>
  <si>
    <t>Хижнянська загальноосвітня школа І - ІІІ ступенів Жашківської районної ради Черкаської області</t>
  </si>
  <si>
    <t>19236</t>
  </si>
  <si>
    <t>7120989101</t>
  </si>
  <si>
    <t>Хижня</t>
  </si>
  <si>
    <t>0474798240, 0967577069</t>
  </si>
  <si>
    <t>http://hyzhnia-school.edukit.ck.ua</t>
  </si>
  <si>
    <t>Червонокутська загальноосвітня школа І-ІІІ ступенів № 1 Жашківської районної ради Черкаської області</t>
  </si>
  <si>
    <t>19225</t>
  </si>
  <si>
    <t>7120989401</t>
  </si>
  <si>
    <t>Червоний Кут</t>
  </si>
  <si>
    <t>0474799574</t>
  </si>
  <si>
    <t>http://berezino.at.ua</t>
  </si>
  <si>
    <t>Шуляківський навчально-виховний комплекс "загальоосвітній навчальний заклад І ступення - дошкільний навчальний заклад" Жашківської районної державної адміністрації Черкаської області</t>
  </si>
  <si>
    <t>19242</t>
  </si>
  <si>
    <t>7120989701</t>
  </si>
  <si>
    <t>Шуляки</t>
  </si>
  <si>
    <t>(04747)093225, (380)685230854</t>
  </si>
  <si>
    <t>Звенигородська загальноосвітня школа I-II ступенів № 4 Звенигородської районної ради Черкаської області</t>
  </si>
  <si>
    <t>20200</t>
  </si>
  <si>
    <t>7121210100</t>
  </si>
  <si>
    <t>вул. Героїв Небесної Сотні, 23</t>
  </si>
  <si>
    <t>(04740)2-66-30</t>
  </si>
  <si>
    <t>http://www.zvenigorodka-school4.edukit.ck.ua/</t>
  </si>
  <si>
    <t>Звенигородська загальноосвітня школа І-ІІ ступенів № 5 Звенигородської районної ради Черкаської області</t>
  </si>
  <si>
    <t>вул. Михайла Грушевського, 51</t>
  </si>
  <si>
    <t>04740-2-54-09</t>
  </si>
  <si>
    <t>Звенигородська загальноосвітня школа І-ІІІ ступенів № 2 Звенигородської районної ради Черкаської області</t>
  </si>
  <si>
    <t>0474023658</t>
  </si>
  <si>
    <t>Звенигородська загальноосвітня школа-інтернат І-ІІ ступенів-спортивний ліцей Звенигородської районної ради Черкаської області</t>
  </si>
  <si>
    <t>вул. Дениса Давидова, 17</t>
  </si>
  <si>
    <t>2-24-96, 2-24-99</t>
  </si>
  <si>
    <t>http://zvenschool-inte.ucoz.ua</t>
  </si>
  <si>
    <t>04591512</t>
  </si>
  <si>
    <t>Звенигородська спеціалізована школа І-ІІІ ступенів № 1 Звенигородська районна рада Черкаська область</t>
  </si>
  <si>
    <t>пров. Віктора Погорілого, 11</t>
  </si>
  <si>
    <t>(04740)22359</t>
  </si>
  <si>
    <t>http://zvenigorodka-school1.edukit.ck.ua.</t>
  </si>
  <si>
    <t>Звенигородська спеціалізована школа І-ІІІ ступенів № 3 Звенигородської районної ради Черкаської області</t>
  </si>
  <si>
    <t>просп. Шевченка, 94</t>
  </si>
  <si>
    <t>(240)22194</t>
  </si>
  <si>
    <t>https://sites.google.com/site/zvenschool3</t>
  </si>
  <si>
    <t>Звенигородська спеціалізована школа І-ІІІ ступенів імені Тараса Шевченка Звенигородської районної ради Черкаської області</t>
  </si>
  <si>
    <t>20202</t>
  </si>
  <si>
    <t>просп. Шевченка, 121А</t>
  </si>
  <si>
    <t>(04740)22540, (04740)24586</t>
  </si>
  <si>
    <t>http://www.zvenspecshev.ucoz.ua</t>
  </si>
  <si>
    <t>Богачівський навчально-виховний комплекс "Дошкільний навчальний заклад - загальноосвітній навчальний заклад І ступеня" Звенигородської районної ради Черкаської області</t>
  </si>
  <si>
    <t>20241</t>
  </si>
  <si>
    <t>7121280401</t>
  </si>
  <si>
    <t>0474099779</t>
  </si>
  <si>
    <t>Водяницький навчально - виховний комплекс "Дошкільний навчальниий заклад - загальноосвітня школа І -ІІ ступенів" імені Героя Радянського Союзу Вахтанга Чіковані Звенигородської районної ради Черкаської області</t>
  </si>
  <si>
    <t>20232</t>
  </si>
  <si>
    <t>7121281601</t>
  </si>
  <si>
    <t>Водяники</t>
  </si>
  <si>
    <t>вул. Богдана Хмельницького, 84</t>
  </si>
  <si>
    <t>(04740)20129</t>
  </si>
  <si>
    <t>Гудзівський навчально-виховний комплекс "Дошкільний навчальний заклад- загальноосвітня школа І-ІІ ступенів " Звенигородської районної ради Черкаської області</t>
  </si>
  <si>
    <t>20225</t>
  </si>
  <si>
    <t>7121282001</t>
  </si>
  <si>
    <t>Гудзівка</t>
  </si>
  <si>
    <t>2-01-46</t>
  </si>
  <si>
    <t>Гусаківська загальноосвітня школа І ступеня Звенигородської районної ради Черкаської області</t>
  </si>
  <si>
    <t>7121282401</t>
  </si>
  <si>
    <t>Гусакове</t>
  </si>
  <si>
    <t>90736</t>
  </si>
  <si>
    <t>Козацька загальноосвітня школа І-ІІІ ступенів Звенигородської районної ради Черкаської області</t>
  </si>
  <si>
    <t>20240</t>
  </si>
  <si>
    <t>7121282801</t>
  </si>
  <si>
    <t>(04740)93-5-17, (04740)93-5-93</t>
  </si>
  <si>
    <t>Княжицький навчально - виховний комплекс "дошкільний навчальний заклад - загальноосвітній навчальний заклад І - ІІІ ступенів" Звенигородської районної ради Черкаської області</t>
  </si>
  <si>
    <t>20243</t>
  </si>
  <si>
    <t>7121283201</t>
  </si>
  <si>
    <t>Княжа</t>
  </si>
  <si>
    <t>вул. Ілліча, 2</t>
  </si>
  <si>
    <t>(04740)2-01-12</t>
  </si>
  <si>
    <t>Моринський навчально-виховний комплекс "Дошкільний навчальний заклад - загальноосвітня школа І-ІІІ ступенів" імені Тараса Григоровича Шевченка Звенигородської районної ради Черкаської області</t>
  </si>
  <si>
    <t>20210</t>
  </si>
  <si>
    <t>7121284001</t>
  </si>
  <si>
    <t>Моринці</t>
  </si>
  <si>
    <t>0474096292</t>
  </si>
  <si>
    <t>Неморозька загальноосвітня школа І-ІІ ступенів Звенигородської районної ради Черкаської області</t>
  </si>
  <si>
    <t>20222</t>
  </si>
  <si>
    <t>7121284401</t>
  </si>
  <si>
    <t>Неморож</t>
  </si>
  <si>
    <t>(04740)99440</t>
  </si>
  <si>
    <t>http://nemorozhschool.ucoz.ua</t>
  </si>
  <si>
    <t>Озірянська загальноосвітня школа І-ІІ ступенів Звенигородської районної ради Черкаської області</t>
  </si>
  <si>
    <t>20226</t>
  </si>
  <si>
    <t>7121284801</t>
  </si>
  <si>
    <t>Озірна</t>
  </si>
  <si>
    <t>вул. Мічуріна, 56</t>
  </si>
  <si>
    <t>(04740)97-4-24</t>
  </si>
  <si>
    <t>Вільховецький навчально-виховний комплекс "дошкільний навчальний заклад - загальноосвітній навчальний заклад І-ІІІ ступенів імені Героя України В'ячеслава Чорновола" Звенигородської районної ради Черкаської області</t>
  </si>
  <si>
    <t>20260</t>
  </si>
  <si>
    <t>7121285201</t>
  </si>
  <si>
    <t>((04740))90-2-30</t>
  </si>
  <si>
    <t>http://vilkhovets-nvk.edukit.ck.ua/</t>
  </si>
  <si>
    <t>Пединівська загальноосвітня школа І-ІІ ступенів Звенигородської районної ради Черкаської області</t>
  </si>
  <si>
    <t>20212</t>
  </si>
  <si>
    <t>7121285601</t>
  </si>
  <si>
    <t>Пединівка</t>
  </si>
  <si>
    <t>вул. Героїв Майдану, 19</t>
  </si>
  <si>
    <t>0474095537</t>
  </si>
  <si>
    <t>http://pedunivkazosh.klasna.com</t>
  </si>
  <si>
    <t>Попівський навчально-виховний комплекс "Дошкільний навчальний заклад-загальноосвітня школа І ступеня" Звенигородської районної ради Черкаської області</t>
  </si>
  <si>
    <t>20236</t>
  </si>
  <si>
    <t>7121286001</t>
  </si>
  <si>
    <t>вул. Горошка, 59</t>
  </si>
  <si>
    <t>0474097656</t>
  </si>
  <si>
    <t>Ризинська загальноосвітня школа І-ІІІ ступенів Звенигородської районної ради Черкаської області</t>
  </si>
  <si>
    <t>20235</t>
  </si>
  <si>
    <t>7121286401</t>
  </si>
  <si>
    <t>Ризине</t>
  </si>
  <si>
    <t>99245</t>
  </si>
  <si>
    <t>http://zoshryzyne.at.ua</t>
  </si>
  <si>
    <t>Рижанівський навчально-виховний комплекс "Дошкільний навчальний заклад-загальноосвітній навчальний заклад I-III ступенів" Звенигородської районної ради Черкаської області</t>
  </si>
  <si>
    <t>20233</t>
  </si>
  <si>
    <t>7121286801</t>
  </si>
  <si>
    <t>Рижанівка</t>
  </si>
  <si>
    <t>вул. Низова, 39</t>
  </si>
  <si>
    <t>(098)8311086</t>
  </si>
  <si>
    <t>Стебненська загальноосвітня школа І-ІІІ ступенів Звенигородської районної ради Черкаської області</t>
  </si>
  <si>
    <t>20208</t>
  </si>
  <si>
    <t>7121287001</t>
  </si>
  <si>
    <t>Стебне</t>
  </si>
  <si>
    <t>вул. Чайковського</t>
  </si>
  <si>
    <t>(04740)93274</t>
  </si>
  <si>
    <t>Стецівський навчально-виховний комплекс "Загальноосвітній навчальний заклад І-ІІІ ступенів - дошкільний навчальний заклад" - МАНМ Звенигородської районної ради Черкаської області</t>
  </si>
  <si>
    <t>20246</t>
  </si>
  <si>
    <t>7121287201</t>
  </si>
  <si>
    <t>Стецівка</t>
  </si>
  <si>
    <t>(04740)98091</t>
  </si>
  <si>
    <t>Тарасівська загальноосвітня школа І-ІІІ ступенів Звенигородської районної ради Черкаської області</t>
  </si>
  <si>
    <t>20216</t>
  </si>
  <si>
    <t>7121287601</t>
  </si>
  <si>
    <t>(04740)95230</t>
  </si>
  <si>
    <t>http://tarasivka.edukit.ck.ua/</t>
  </si>
  <si>
    <t>Хлипнівська загальноосвітня школа І-ІІ ступенів Звенигородської районної ради Черкаської області</t>
  </si>
  <si>
    <t>20220</t>
  </si>
  <si>
    <t>7121288001</t>
  </si>
  <si>
    <t>Хлипнівка</t>
  </si>
  <si>
    <t>вул. Трояна, 4</t>
  </si>
  <si>
    <t>20106</t>
  </si>
  <si>
    <t>Чижівська загальноосвітня школа І-ІІІ ступенів Звенигородської районної ради Черкаської області</t>
  </si>
  <si>
    <t>20230</t>
  </si>
  <si>
    <t>7121288401</t>
  </si>
  <si>
    <t>(04740)91640</t>
  </si>
  <si>
    <t>Чичиркозівський навчально-виховний комплекс "Дошкільний навчальний заклад - загальноосвітній навчальний заклад І ступеня" Звенигородської районної ради Черкаської області</t>
  </si>
  <si>
    <t>20244</t>
  </si>
  <si>
    <t>7121288801</t>
  </si>
  <si>
    <t>Чичиркозівка</t>
  </si>
  <si>
    <t>вул. Шостацького, 33</t>
  </si>
  <si>
    <t>(04740)91273</t>
  </si>
  <si>
    <t>http://chychyrkozivka.at.ua</t>
  </si>
  <si>
    <t>Шевченківська спеціалізована загальноосвітня школа-інтернат з поглибленим вивченням предметів гуманітарно-естетичного профілю Черкаської обласної ради</t>
  </si>
  <si>
    <t>20214</t>
  </si>
  <si>
    <t>7121289201</t>
  </si>
  <si>
    <t>0474095318</t>
  </si>
  <si>
    <t>http://shevch-internat.edukit.ck.ua/</t>
  </si>
  <si>
    <t>04591564</t>
  </si>
  <si>
    <t>Шевченківський навчально-виховний комплекс " дошкільний навчальний заклад - загальноосвітня школа І-ІІІ ступенів" Звенигородської районної ради Черкаської області</t>
  </si>
  <si>
    <t>0474095331</t>
  </si>
  <si>
    <t>http://shevch-nvk.edukit.ck.ua/</t>
  </si>
  <si>
    <t>Юрківська загальноосвітня школа І-ІІІ ступенів Звенигородської районної ради Черкаської області</t>
  </si>
  <si>
    <t>20245</t>
  </si>
  <si>
    <t>7121289401</t>
  </si>
  <si>
    <t>вул. Центральна, 152</t>
  </si>
  <si>
    <t>(04740)92445</t>
  </si>
  <si>
    <t>http://yurkivka-zvenig.edukit.ck.ua.</t>
  </si>
  <si>
    <t>Антипівський навчально-виховний комплекс «загальноосвітня школа І-ІІІ ступенів - дошкільний навчальний заклад»ступенів - дошкільний навчальний заклад»</t>
  </si>
  <si>
    <t>19733</t>
  </si>
  <si>
    <t>7121580401</t>
  </si>
  <si>
    <t>Антипівка</t>
  </si>
  <si>
    <t>вул. Космонавтів, 17</t>
  </si>
  <si>
    <t>(3804737)60340</t>
  </si>
  <si>
    <t>Богданівський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</si>
  <si>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19710</t>
  </si>
  <si>
    <t>7121580801</t>
  </si>
  <si>
    <t>Богдани</t>
  </si>
  <si>
    <t>(04737)48440</t>
  </si>
  <si>
    <t>Богуславецький навчально-виховний комплекс "загальноосвітня школа І-ІІІ ступенів - дошкільний навчальний заклад" ім. М.О. Максимовича Золотоніської районної ради Черкаської області</t>
  </si>
  <si>
    <t>19762</t>
  </si>
  <si>
    <t>7121581101</t>
  </si>
  <si>
    <t>Богуславець</t>
  </si>
  <si>
    <t>вул. Максимовича, 2</t>
  </si>
  <si>
    <t>(04737)62140</t>
  </si>
  <si>
    <t>Броварківський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</si>
  <si>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19712</t>
  </si>
  <si>
    <t>7121581301</t>
  </si>
  <si>
    <t>вул. Комсомольська, 20</t>
  </si>
  <si>
    <t>(04737)41244</t>
  </si>
  <si>
    <t>Бубнівсько-Слобідський навчально-виховний комплекс "загальноосвітня школа І-ІІІ ступенів-дошкільний навчальний заклад"Золотоніської районної ради Черкаської області</t>
  </si>
  <si>
    <t>19750</t>
  </si>
  <si>
    <t>7121581501</t>
  </si>
  <si>
    <t>Бубнівська Слобідка</t>
  </si>
  <si>
    <t>вул. Бичковського, 16</t>
  </si>
  <si>
    <t>Вільхівський навчально-виховний комплекс "загальноосвітня школа I ст. - дошкільний навчальний заклад"</t>
  </si>
  <si>
    <t>19736</t>
  </si>
  <si>
    <t>7121581801</t>
  </si>
  <si>
    <t>Вільхи</t>
  </si>
  <si>
    <t>(04737)92232</t>
  </si>
  <si>
    <t>Вознесенська загальноосвітня школа І-ІІІ ступенів Золотоніської районної ради Черкаської області</t>
  </si>
  <si>
    <t>19741</t>
  </si>
  <si>
    <t>7121582001</t>
  </si>
  <si>
    <t>0473795240</t>
  </si>
  <si>
    <t>http://voznesenskazosh.tk/</t>
  </si>
  <si>
    <t>Пальмірська загальноосвітня школа І-ІІІ ступенів Золотоніської районної ради Черкаської області</t>
  </si>
  <si>
    <t>19742</t>
  </si>
  <si>
    <t>7121582004</t>
  </si>
  <si>
    <t>Пальміра</t>
  </si>
  <si>
    <t>вул. Заводська, 1</t>
  </si>
  <si>
    <t>0972501789</t>
  </si>
  <si>
    <t>http://palmira.ck.ua/</t>
  </si>
  <si>
    <t>Гельмязівська загально-освітня школа І-ІІІ ступенів</t>
  </si>
  <si>
    <t>19715</t>
  </si>
  <si>
    <t>7121582301</t>
  </si>
  <si>
    <t>Гельмязів</t>
  </si>
  <si>
    <t>вул. Корольова, 6</t>
  </si>
  <si>
    <t>80473744305</t>
  </si>
  <si>
    <t>http://gelmyaziv-school.nethouse.ua</t>
  </si>
  <si>
    <t>Гладківщинський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</si>
  <si>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19720</t>
  </si>
  <si>
    <t>7121582701</t>
  </si>
  <si>
    <t>Гладківщина</t>
  </si>
  <si>
    <t>вул. Шевченка, 1 а</t>
  </si>
  <si>
    <t>(04737)45475</t>
  </si>
  <si>
    <t>Деньгівський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</si>
  <si>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19770</t>
  </si>
  <si>
    <t>7121583101</t>
  </si>
  <si>
    <t>Деньги</t>
  </si>
  <si>
    <t>вул. Кірова, 123</t>
  </si>
  <si>
    <t>(04737)94295</t>
  </si>
  <si>
    <t>Дмитрівський навчально-виховний комплекс "Загальноосвітня школа І-ІІІ ступенів - дошкільний навчальний заклад"</t>
  </si>
  <si>
    <t>19751</t>
  </si>
  <si>
    <t>7121583501</t>
  </si>
  <si>
    <t>вул. Баранника, 56</t>
  </si>
  <si>
    <t>(04737)91240</t>
  </si>
  <si>
    <t>Домантівський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</si>
  <si>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19754</t>
  </si>
  <si>
    <t>7121583901</t>
  </si>
  <si>
    <t>Домантове</t>
  </si>
  <si>
    <t>(04737)92324</t>
  </si>
  <si>
    <t>Драбівецький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</si>
  <si>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19731</t>
  </si>
  <si>
    <t>7121584301</t>
  </si>
  <si>
    <t>Драбівці</t>
  </si>
  <si>
    <t>(04737)94440</t>
  </si>
  <si>
    <t>Зорівська загальноосвітня школа I-III ступенів Золотоніської районної ради Черкаської області</t>
  </si>
  <si>
    <t>19740</t>
  </si>
  <si>
    <t>7121584701</t>
  </si>
  <si>
    <t>Зорівка</t>
  </si>
  <si>
    <t>вул. Ростанців, 1</t>
  </si>
  <si>
    <t>923440</t>
  </si>
  <si>
    <t>Калениківський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</si>
  <si>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19711</t>
  </si>
  <si>
    <t>7121585101</t>
  </si>
  <si>
    <t>вул. Супійська, 1</t>
  </si>
  <si>
    <t>(047)3745340</t>
  </si>
  <si>
    <t>Коврайський навчально-виховний комплекс "загальноосвітня школа I -III ступенів - дошкільний навчальний заклад" імені Г. С. Сковороди Золотоніської районної ради Черкаської області</t>
  </si>
  <si>
    <t>19722</t>
  </si>
  <si>
    <t>7121585501</t>
  </si>
  <si>
    <t>Коврай</t>
  </si>
  <si>
    <t>Ковтунівський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</si>
  <si>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19732</t>
  </si>
  <si>
    <t>7121585801</t>
  </si>
  <si>
    <t>Ковтуни</t>
  </si>
  <si>
    <t>вул. Деревянка, 42</t>
  </si>
  <si>
    <t>98240</t>
  </si>
  <si>
    <t>http://kovtuny.net.ua</t>
  </si>
  <si>
    <t>Коробівський навчально-виховний коплекс "загальноосвітня школа І-ІІІ ступенів - дошкільний навчальний заклад" Золотоніської районної ради Черкаської області</t>
  </si>
  <si>
    <t>7121586201</t>
  </si>
  <si>
    <t>Коробівка</t>
  </si>
  <si>
    <t>вул. Васільєва, 1</t>
  </si>
  <si>
    <t>0473790285</t>
  </si>
  <si>
    <t>Кропивнянська загальноосвітня школа І-ІІІ ступенів Золотоніської районної ради Черкаської області</t>
  </si>
  <si>
    <t>19763</t>
  </si>
  <si>
    <t>7121586601</t>
  </si>
  <si>
    <t>(04737)98440</t>
  </si>
  <si>
    <t>http://kropyvnaschool.ucoz.ua</t>
  </si>
  <si>
    <t>Кривоносівський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</si>
  <si>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19746</t>
  </si>
  <si>
    <t>7121586801</t>
  </si>
  <si>
    <t>Кривоносівка</t>
  </si>
  <si>
    <t>вул. Воскобійника, 57</t>
  </si>
  <si>
    <t>(0472)93-6-40</t>
  </si>
  <si>
    <t>Крупський навчально-виховний комплекс "загальноосвітня школа І-ІІІ ступенів-дошкільний навчальний заклад" Золотоніської районної ради Черкаської області</t>
  </si>
  <si>
    <t>19760</t>
  </si>
  <si>
    <t>7121587001</t>
  </si>
  <si>
    <t>8(04737)66-2-40</t>
  </si>
  <si>
    <t>Хрущівський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</si>
  <si>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19745</t>
  </si>
  <si>
    <t>7121587403</t>
  </si>
  <si>
    <t>Хрущівка</t>
  </si>
  <si>
    <t>(04737)93240</t>
  </si>
  <si>
    <t>Новодмитрівська загальноосвітя школа І-ІІІ ступенів Золотоніської районної ради Черкаської області</t>
  </si>
  <si>
    <t>19734</t>
  </si>
  <si>
    <t>7121587801</t>
  </si>
  <si>
    <t>Нова Дмитрівка</t>
  </si>
  <si>
    <t>0473752519</t>
  </si>
  <si>
    <t>Мелесівський навчально-виховний комплекс "загальноосвітня школа І ступеня - дошкільний навчальний заклад" Золотоніської районної ради Черкаської області</t>
  </si>
  <si>
    <t>19703</t>
  </si>
  <si>
    <t>7121587804</t>
  </si>
  <si>
    <t>Мелесівка</t>
  </si>
  <si>
    <t>(04737)68-2-86</t>
  </si>
  <si>
    <t>Піщанська ЗОШ І-ІІІ ступенів Золотоніської районної ради</t>
  </si>
  <si>
    <t>19723</t>
  </si>
  <si>
    <t>7121588201</t>
  </si>
  <si>
    <t>вул. Шеремета Руслана</t>
  </si>
  <si>
    <t>0473797747, 0473797440</t>
  </si>
  <si>
    <t>Плешканівський навчально-виховний комплекс "загальноосвітня школа I-II ступенів - дошкільний навчальний заклад" Золотоніської районної ради Черкаської області</t>
  </si>
  <si>
    <t>19714</t>
  </si>
  <si>
    <t>7121588401</t>
  </si>
  <si>
    <t>Плешкани</t>
  </si>
  <si>
    <t>49-2-40</t>
  </si>
  <si>
    <t>Подільський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</si>
  <si>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19725</t>
  </si>
  <si>
    <t>7121588501</t>
  </si>
  <si>
    <t>(04737)65140</t>
  </si>
  <si>
    <t>Підставківський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</si>
  <si>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19713</t>
  </si>
  <si>
    <t>7121588601</t>
  </si>
  <si>
    <t>80473747432</t>
  </si>
  <si>
    <t>Привітненський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</si>
  <si>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19744</t>
  </si>
  <si>
    <t>7121588801</t>
  </si>
  <si>
    <t>(04737)90440</t>
  </si>
  <si>
    <t>Синьооківський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</si>
  <si>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19761</t>
  </si>
  <si>
    <t>7121588901</t>
  </si>
  <si>
    <t>Синьооківка</t>
  </si>
  <si>
    <t>0473790640</t>
  </si>
  <si>
    <t>Скориківська загальноосвітня школа І-ІІІ ступенів Золотоніської районної ради Черкаської області</t>
  </si>
  <si>
    <t>19730</t>
  </si>
  <si>
    <t>7121589001</t>
  </si>
  <si>
    <t>Скориківка</t>
  </si>
  <si>
    <t>вул. Соборна</t>
  </si>
  <si>
    <t>Софіївський навчально-виховний комплекс «загальноосвітня школа I - III ступенів - дошкільний навчальний заклад» Золотоніської районної ради Черкаської області</t>
  </si>
  <si>
    <t>19721</t>
  </si>
  <si>
    <t>7121589201</t>
  </si>
  <si>
    <t>вул. Нова, 3, 3А,3б</t>
  </si>
  <si>
    <t>(04737)40440</t>
  </si>
  <si>
    <t>Благодатнівська загальноосвітня школа І-ІІІ ступенів ім. Г.П. Берези Золотоніської районної ради Черкаської області</t>
  </si>
  <si>
    <t>19774</t>
  </si>
  <si>
    <t>7121589401</t>
  </si>
  <si>
    <t>(04737)99-2-40</t>
  </si>
  <si>
    <t>Шабельниківський навчально-виховний комплекс "загальноосвітня школа I-III ступенів - дошкільний навчальний заклад" Золотоніської районної ради Черкаської області</t>
  </si>
  <si>
    <t>19753</t>
  </si>
  <si>
    <t>7121589701</t>
  </si>
  <si>
    <t>вул. Горького, 21</t>
  </si>
  <si>
    <t>(19753)98-7-40</t>
  </si>
  <si>
    <t>Кам'янська загальноосвітня спеціалізована школа І-ІІІ ступенів № 2 з поглибленим вивченням окремих предметів Кам'янської районної ради Черкаської області</t>
  </si>
  <si>
    <t>20801</t>
  </si>
  <si>
    <t>7121810100</t>
  </si>
  <si>
    <t>вул. Героїв Майдану, 55</t>
  </si>
  <si>
    <t>(04732)61570</t>
  </si>
  <si>
    <t>http://kamianka-school2.ck.sch.in.ua</t>
  </si>
  <si>
    <t>Кам'янська загальноосвітня школа І-ІІ ступенів № 3 Кам'янської районної ради Черкаської області</t>
  </si>
  <si>
    <t>вул. Декабристів, 68</t>
  </si>
  <si>
    <t>3804762111</t>
  </si>
  <si>
    <t>http://www.kamianka-school3.edukit.ck.ua</t>
  </si>
  <si>
    <t>Кам'янська загальноосвітня школа І-ІІІ ступенів № 1 Кам'янської районної ради Черкаської області</t>
  </si>
  <si>
    <t>вул. Героїв Майдану, 18А</t>
  </si>
  <si>
    <t>0473260754</t>
  </si>
  <si>
    <t>http://kamschool1.ucoz.ua</t>
  </si>
  <si>
    <t>Кам'янський еколого-економічний ліцей Кам'янської районної ради Черкаської області</t>
  </si>
  <si>
    <t>20800</t>
  </si>
  <si>
    <t>вул. Героїв Майдану, 53</t>
  </si>
  <si>
    <t>0473261707</t>
  </si>
  <si>
    <t>http://kamelia.edukit.ck.ua/</t>
  </si>
  <si>
    <t>Баландинська загальноосвітня школа І - ІІІ ступенів Кам'янської районної ради Черкаської області</t>
  </si>
  <si>
    <t>20843</t>
  </si>
  <si>
    <t>7121880501</t>
  </si>
  <si>
    <t>Баландине</t>
  </si>
  <si>
    <t>(04732)96240</t>
  </si>
  <si>
    <t>http://balzosh.at.ua</t>
  </si>
  <si>
    <t>Вербівська загальноосвітня школа І-ІІІ ступенів Кам’янської районної ради Черкаської області</t>
  </si>
  <si>
    <t>20841</t>
  </si>
  <si>
    <t>7121881001</t>
  </si>
  <si>
    <t>0473299640</t>
  </si>
  <si>
    <t>Грушківська загальноосвітня школа І-ІІІ ступенів Кам'янської районної ради Черкаської області</t>
  </si>
  <si>
    <t>20810</t>
  </si>
  <si>
    <t>7121881501</t>
  </si>
  <si>
    <t>Грушківка</t>
  </si>
  <si>
    <t>http://grushkivka.at.ua</t>
  </si>
  <si>
    <t>Жаботинська загальноосвітня школа І-ІІІ ступенів Кам'янської районної ради Черкаської області</t>
  </si>
  <si>
    <t>20822</t>
  </si>
  <si>
    <t>7121882001</t>
  </si>
  <si>
    <t>Жаботин</t>
  </si>
  <si>
    <t>(04732)-97-1-40</t>
  </si>
  <si>
    <t>http://zhabotyn-school.edukit.ck.ua</t>
  </si>
  <si>
    <t>Косарська загальноосвітня школа І-ІІІ ступенів Кам'янської районної ради Черкаської області</t>
  </si>
  <si>
    <t>20813</t>
  </si>
  <si>
    <t>7121882501</t>
  </si>
  <si>
    <t>Косарі</t>
  </si>
  <si>
    <t>вул. Перемоги, 7</t>
  </si>
  <si>
    <t>(04732)97955</t>
  </si>
  <si>
    <t>http://kossaryschool.at.ua</t>
  </si>
  <si>
    <t>Лебедівська загальноосвітня школа І-ІІІ ступенів Кам'янської районної ради Черкаської області</t>
  </si>
  <si>
    <t>20840</t>
  </si>
  <si>
    <t>7121882801</t>
  </si>
  <si>
    <t>(04723)93740</t>
  </si>
  <si>
    <t>Лузанівська загальноосвітня школа І-ІІІ ступенів Кам'янської районної ради Черкаської області</t>
  </si>
  <si>
    <t>20830</t>
  </si>
  <si>
    <t>7121883501</t>
  </si>
  <si>
    <t>Лузанівка</t>
  </si>
  <si>
    <t>96-6-40</t>
  </si>
  <si>
    <t>http://luzanivka.edukit.ck.ua</t>
  </si>
  <si>
    <t>Комунальний заклад "Михайлівська спеціальна загальноосвітня школа-інтернат Черкаської обласної ради"</t>
  </si>
  <si>
    <t>20825</t>
  </si>
  <si>
    <t>7121884001</t>
  </si>
  <si>
    <t>0473298473</t>
  </si>
  <si>
    <t>http://mykhailivka-internat.ck.sch.in.ua</t>
  </si>
  <si>
    <t>04591593</t>
  </si>
  <si>
    <t>Михайлівська загальноосвітня школа І-ІІІ ступенів Кам'янської районної ради Черкаської області</t>
  </si>
  <si>
    <t>вул. Героїв Майдану, 29</t>
  </si>
  <si>
    <t>Райгородська загальноосвітня школа I-III ступенів Кам'янської районної ради Черкаської області</t>
  </si>
  <si>
    <t>20824</t>
  </si>
  <si>
    <t>7121885001</t>
  </si>
  <si>
    <t>0473294274</t>
  </si>
  <si>
    <t>http://sl-rajgorod.hut4.ru</t>
  </si>
  <si>
    <t>Ребедайлівська загальноосвітня школа І-ІІІ ступенів Кам'янської районної ради Черкаської області</t>
  </si>
  <si>
    <t>20811</t>
  </si>
  <si>
    <t>7121885601</t>
  </si>
  <si>
    <t>Ребедайлівка</t>
  </si>
  <si>
    <t>вул. Кам'янська, 17</t>
  </si>
  <si>
    <t>(04732)93440</t>
  </si>
  <si>
    <t>http://rebedailivka.edukit.ck.ua</t>
  </si>
  <si>
    <t>Ревівська загальноосвітня школа І-ІІІ ступенів Кам'янської районної ради Черкаської області</t>
  </si>
  <si>
    <t>20812</t>
  </si>
  <si>
    <t>7121886001</t>
  </si>
  <si>
    <t>Ревівка</t>
  </si>
  <si>
    <t>вул. Воронкова, 23</t>
  </si>
  <si>
    <t>(04732)93236</t>
  </si>
  <si>
    <t>http://revivkazosh.at.ua/</t>
  </si>
  <si>
    <t>Телепинська загальноосвітня школа І-ІІІ ступенів Кам'янської районноії ради Черкаської області</t>
  </si>
  <si>
    <t>20842</t>
  </si>
  <si>
    <t>7121886501</t>
  </si>
  <si>
    <t>Телепине</t>
  </si>
  <si>
    <t>(04732)95218</t>
  </si>
  <si>
    <t>http://telepyne.edukit.ck.ua</t>
  </si>
  <si>
    <t>Тимошівська загальноосвітня школа І-ІІІ ступенів імені КароляШимановського Кам'янської районної ради Черкаської області</t>
  </si>
  <si>
    <t>20815</t>
  </si>
  <si>
    <t>7121886701</t>
  </si>
  <si>
    <t>(04732)92240</t>
  </si>
  <si>
    <t>Юрчиська загальноосвітня школа І-ІІ ступенів Кам'янської районної ради Черкаської області</t>
  </si>
  <si>
    <t>20814</t>
  </si>
  <si>
    <t>7121887001</t>
  </si>
  <si>
    <t>Юрчиха</t>
  </si>
  <si>
    <t>вул. Петровського, 56</t>
  </si>
  <si>
    <t>98012</t>
  </si>
  <si>
    <t>http://yschool.ucoz.net</t>
  </si>
  <si>
    <t>Беркозівський навчально-виховний комплекс "Дошкільний навчальний заклад-загальноосвітня школа І-ІІ ступенів" Канівської районної ради Черкаської області</t>
  </si>
  <si>
    <t>19042</t>
  </si>
  <si>
    <t>7122080701</t>
  </si>
  <si>
    <t>Беркозівка</t>
  </si>
  <si>
    <t>91-4-49</t>
  </si>
  <si>
    <t>Бобрицький навчально-виховний комплекс "Дошкільний навчальний заклад - загальноосвітня школа І-ІІІ ступенів" Канівської районної ради Черкаської області</t>
  </si>
  <si>
    <t>19014</t>
  </si>
  <si>
    <t>7122081101</t>
  </si>
  <si>
    <t>вул. Аліменкова, 17</t>
  </si>
  <si>
    <t>(097)180-75-70</t>
  </si>
  <si>
    <t>Грищенецький навчально-виховний комплекс "Дошкільний навчальний заклад-загальноосвітня школа І-ІІІ ступенів" Канівської районної ради Черкаської області</t>
  </si>
  <si>
    <t>19015</t>
  </si>
  <si>
    <t>7122082001</t>
  </si>
  <si>
    <t>Грищинці</t>
  </si>
  <si>
    <t>вул. князя Святослава, 56</t>
  </si>
  <si>
    <t>0473694253</t>
  </si>
  <si>
    <t>http://www.gryschentsi.kaniv.info</t>
  </si>
  <si>
    <t>Келебердянський навчально-виховний комплекс "Дошкільний навчальний заклад-загальноосвітня школа І-ІІІ ступенів" Канівської районної ради Черкаської області</t>
  </si>
  <si>
    <t>19022</t>
  </si>
  <si>
    <t>7122082301</t>
  </si>
  <si>
    <t>Келеберда</t>
  </si>
  <si>
    <t>вул. Гайдара, 44</t>
  </si>
  <si>
    <t>http://www.keleberda.kaniv.info</t>
  </si>
  <si>
    <t>Козарівський навчально - виховний комплекс "Дошкільний навчальний заклад - загальноосвітня школа І ступеня" Канівської районної ради Черкаської області</t>
  </si>
  <si>
    <t>19016</t>
  </si>
  <si>
    <t>7122082701</t>
  </si>
  <si>
    <t>Козарівка</t>
  </si>
  <si>
    <t>(04736)91719</t>
  </si>
  <si>
    <t>Конончанський навчально-виховний комплекс "Дошкільний навчальний заклад-загальноосвітня школа І-ІІ ступенів" Канівської районної ради Черкаської області</t>
  </si>
  <si>
    <t>19034</t>
  </si>
  <si>
    <t>7122083101</t>
  </si>
  <si>
    <t>Кононча</t>
  </si>
  <si>
    <t>вул. Садова, 145</t>
  </si>
  <si>
    <t>(04736)95721</t>
  </si>
  <si>
    <t>http://www.kononcha.kaniv.info</t>
  </si>
  <si>
    <t>Ліплявський навчально- виховний комплекс „Дошкільний навчальний заклад - загальноосвітня школа І-ІІІ ступенів” Канівської районної ради Черкаської області</t>
  </si>
  <si>
    <t>19020</t>
  </si>
  <si>
    <t>7122083901</t>
  </si>
  <si>
    <t>Ліпляве</t>
  </si>
  <si>
    <t>вул. Гайдара, 90</t>
  </si>
  <si>
    <t>(04736)93219</t>
  </si>
  <si>
    <t>Литвинецька загальноосвітня школа І-ІІІ ступенів Канівської районної ради Черкаської області</t>
  </si>
  <si>
    <t>19030</t>
  </si>
  <si>
    <t>7122084301</t>
  </si>
  <si>
    <t>Литвинець</t>
  </si>
  <si>
    <t>(04736)91537</t>
  </si>
  <si>
    <t>http://www.lytvynets.kaniv.info</t>
  </si>
  <si>
    <t>Мартинівський навчально-виховний комплекс"Дошкільний навчальний заклад-загальноосвітня школа І-ІІІ ступенів" Канівської районної ради Черкаської області</t>
  </si>
  <si>
    <t>19041</t>
  </si>
  <si>
    <t>7122084701</t>
  </si>
  <si>
    <t>вул. 206 дивізії, 2</t>
  </si>
  <si>
    <t>(04736)91217, (04736)91222, 91222</t>
  </si>
  <si>
    <t>Межиріцька загальноосвітня школа І-ІІІ ступенів Канівської районної ради Черкаської області</t>
  </si>
  <si>
    <t>19035</t>
  </si>
  <si>
    <t>7122085101</t>
  </si>
  <si>
    <t>вул. Педагогічна, 3</t>
  </si>
  <si>
    <t>Мельниківський навчально-виховний комплекс "Дошкільний навчальний заклад-загальноосвітня школа І-ІІІ ступенів" Канівської районної ради Черкаської області</t>
  </si>
  <si>
    <t>19043</t>
  </si>
  <si>
    <t>7122085401</t>
  </si>
  <si>
    <t>(04736)95054</t>
  </si>
  <si>
    <t>Малоржавецький навчально-виховний комплекс "Дошкільний навчальний заклад-загальноосвітня школа І-ІІІ ступенів" Канівської районної ради Черкаської області області</t>
  </si>
  <si>
    <t>19033</t>
  </si>
  <si>
    <t>7122086203</t>
  </si>
  <si>
    <t>Малий Ржавець</t>
  </si>
  <si>
    <t>вул. Виноградна, 14</t>
  </si>
  <si>
    <t>94549</t>
  </si>
  <si>
    <t>http://www.mrjavets.kaniv.info</t>
  </si>
  <si>
    <t>Потапцівський навчально-виховний комплекс "Дошкільний навчальний заклад - загальноосвітня школа І-ІІІ ступенів" Канівської районної ради Черкаської області</t>
  </si>
  <si>
    <t>19013</t>
  </si>
  <si>
    <t>7122086601</t>
  </si>
  <si>
    <t>Потапці</t>
  </si>
  <si>
    <t>вул. Чапаєва, 65</t>
  </si>
  <si>
    <t>94-3-37</t>
  </si>
  <si>
    <t>Сушківський навчально-виховний комплекс "Дошкільний навчальний заклад- загальноосвітня школа І-ІІ ступенів" Канівської районної ради Черкаської області</t>
  </si>
  <si>
    <t>19024</t>
  </si>
  <si>
    <t>7122087003</t>
  </si>
  <si>
    <t>вул. Яші Киктя, 4</t>
  </si>
  <si>
    <t>(04736)95-4-36</t>
  </si>
  <si>
    <t>Степанецька спеціалізована школа І-ІІІ ступенів</t>
  </si>
  <si>
    <t>19031</t>
  </si>
  <si>
    <t>7122087801</t>
  </si>
  <si>
    <t>Степанці</t>
  </si>
  <si>
    <t>(04736)96417</t>
  </si>
  <si>
    <t>http://www.stepantsi.kaniv.info/</t>
  </si>
  <si>
    <t>Таганчанська загальноосвітня школа І-ІІІ ступенів імені С.К.Федоренка Канівської районної ради Черкаської області</t>
  </si>
  <si>
    <t>19052</t>
  </si>
  <si>
    <t>7122088201</t>
  </si>
  <si>
    <t>Таганча</t>
  </si>
  <si>
    <t>вул. Федоренка, 46</t>
  </si>
  <si>
    <t>0473696107</t>
  </si>
  <si>
    <t>http://www.tagancha.kaniv.info</t>
  </si>
  <si>
    <t>Хмільнянський навчально - виховний комплекс "Дошкільний навчальний заклад-загальноосвітня школа І-ІІІ ступенів"Канівської районної ради Черкаської області</t>
  </si>
  <si>
    <t>19026</t>
  </si>
  <si>
    <t>7122088901</t>
  </si>
  <si>
    <t>Хмільна</t>
  </si>
  <si>
    <t>0473695525</t>
  </si>
  <si>
    <t>http://hmilna.kaniv.info</t>
  </si>
  <si>
    <t>Яблунівський навчально- виховний комплекс "Дошкільний навчальний закдад - загальноосвітня школа І-ІІ ступенів" Канівської районної ради Черкаської області</t>
  </si>
  <si>
    <t>19032</t>
  </si>
  <si>
    <t>7122089601</t>
  </si>
  <si>
    <t>94-4-25</t>
  </si>
  <si>
    <t>http://www.yabluniv.kaniv.info</t>
  </si>
  <si>
    <t>Комунальний заклад "Катеринопільський навчально - виховний комплекс № 2" Загальноосвітня школа І-ІІІ ступенів - дошкільний навчальний заклад" Катеринопільської районної ради Черкаської області</t>
  </si>
  <si>
    <t>20500</t>
  </si>
  <si>
    <t>7122255100</t>
  </si>
  <si>
    <t>вул. Базарна, 5</t>
  </si>
  <si>
    <t>0474222419</t>
  </si>
  <si>
    <t>http://katerinopil-school2.edukit.ck.ua/</t>
  </si>
  <si>
    <t>Комунальний заклад "Катеринопільський навчально-виховний комплекс № 1 "Загальноосвітня школа І-ІІІ ступенів - дошкільний навчальний заклад" Катеринопільської районної ради Черкаської області</t>
  </si>
  <si>
    <t>0966065888</t>
  </si>
  <si>
    <t>http://katerschool1.ucoz.ua</t>
  </si>
  <si>
    <t>Катеринопільський ліцей Катеринопільської районної ради Черкаської області</t>
  </si>
  <si>
    <t>вул. Соборна, 38</t>
  </si>
  <si>
    <t>(04742)22105</t>
  </si>
  <si>
    <t>Єрківська загальноосвітня школа I-III ступенів імені Героя України В.М. Чорновола Єрківської селищної ради Черкаської області</t>
  </si>
  <si>
    <t>20505</t>
  </si>
  <si>
    <t>7122255400</t>
  </si>
  <si>
    <t>Єрки</t>
  </si>
  <si>
    <t>вул. В.М.Чорновола, 1</t>
  </si>
  <si>
    <t>Бродецький навчально-виховний комплекс "Дошкільний навчальний заклад - загальноосвітня школа І ступеня"</t>
  </si>
  <si>
    <t>20521</t>
  </si>
  <si>
    <t>7122280401</t>
  </si>
  <si>
    <t>вул. Гагаріна, 78А</t>
  </si>
  <si>
    <t>97240</t>
  </si>
  <si>
    <t>Вербовецька філія комунального закладу "Катеринопільський навчально-виховний комплекс № 2 "Загальноосвітня школа № 2 І-ІІІ ступенів - дошкільний навчальний заклад"</t>
  </si>
  <si>
    <t>20516</t>
  </si>
  <si>
    <t>7122281001</t>
  </si>
  <si>
    <t>вул. Кірова, 14А</t>
  </si>
  <si>
    <t>94-5-40</t>
  </si>
  <si>
    <t>http://verbovets.edukit.ck.ua/</t>
  </si>
  <si>
    <t>Гончариська загальноосвітня школа І - ІІ ступенів</t>
  </si>
  <si>
    <t>20530</t>
  </si>
  <si>
    <t>7122281501</t>
  </si>
  <si>
    <t>Гончариха</t>
  </si>
  <si>
    <t>вул. Ватутіна, 27</t>
  </si>
  <si>
    <t>(04742)91627, (04742)91-6-27</t>
  </si>
  <si>
    <t>http://honcharykha.edukit.ck.ua</t>
  </si>
  <si>
    <t>Гуляйпільська філія комунального закладу "Катеринопільський навчально-виховний комплекс № 1"Загальноосвітня школа І-ІІІ ступенів - дошкільний навчальний заклад" Катеринопільської районної ради Черкаської області"</t>
  </si>
  <si>
    <t>20520</t>
  </si>
  <si>
    <t>7122281701</t>
  </si>
  <si>
    <t>0474297640</t>
  </si>
  <si>
    <t>Кайтанівська філія комунального закладу "Катеринопільський навчально-виховний комплекс № 2 "Загальноосвітній навчальний заклад І-ІІІ ступенів - дошкільний навчальний заклад" Катеринопільської районної ради Черкаської області</t>
  </si>
  <si>
    <t>20515</t>
  </si>
  <si>
    <t>7122282501</t>
  </si>
  <si>
    <t>Кайтанівка</t>
  </si>
  <si>
    <t>62240</t>
  </si>
  <si>
    <t>Киселівський навчально-виховний комплекс "Дошкільний навчальний заклад-загальноосвітня школа І ступеня"</t>
  </si>
  <si>
    <t>7122283001</t>
  </si>
  <si>
    <t>0474294340</t>
  </si>
  <si>
    <t>Лисичобалківський навчально-виховний комплекс "Дошкільний навчальний заклад - загальноосвітня школа І-ІІ ступенів"</t>
  </si>
  <si>
    <t>20532</t>
  </si>
  <si>
    <t>7122283501</t>
  </si>
  <si>
    <t>Лисича Балка</t>
  </si>
  <si>
    <t>0474295640</t>
  </si>
  <si>
    <t>http://lysycha-balka.edukit.ck.ua</t>
  </si>
  <si>
    <t>Мокрокалигірська загальноосвітня школа І-ІІІ ступенів Мокрокалигірської сільської ради Катеринопільського району Черкаської області</t>
  </si>
  <si>
    <t>20540</t>
  </si>
  <si>
    <t>7122283701</t>
  </si>
  <si>
    <t>Мокра Калигірка</t>
  </si>
  <si>
    <t>(047)42091240</t>
  </si>
  <si>
    <t>Новоселицька філія комунального закладу "Катеринопільський навчально-виховний комплекс № 1"Загальноосвітня школа І-ІІІ ступенів--дошкільний навчальний заклад"</t>
  </si>
  <si>
    <t>7122284001</t>
  </si>
  <si>
    <t>вул. Лесі Українки, 2А</t>
  </si>
  <si>
    <t>93240</t>
  </si>
  <si>
    <t>http://novoselnvk.ucoz.ru</t>
  </si>
  <si>
    <t>Вікнинський навчально - виховний комплекс "Дошкільний навчальний заклад - загальноосвітня школа I - III ступенів" Катеринопільської районної ради Черкаської області</t>
  </si>
  <si>
    <t>20510</t>
  </si>
  <si>
    <t>7122284501</t>
  </si>
  <si>
    <t>Вікнине</t>
  </si>
  <si>
    <t>вул. Третяка, 4В</t>
  </si>
  <si>
    <t>(047-42)93-5-40</t>
  </si>
  <si>
    <t>Пальчиківський навчально-виховний комплекс "ДНЗ-ЗОШ І-ІІ ступенів"</t>
  </si>
  <si>
    <t>20522</t>
  </si>
  <si>
    <t>7122285001</t>
  </si>
  <si>
    <t>Пальчик</t>
  </si>
  <si>
    <t>242-96-240</t>
  </si>
  <si>
    <t>Петраківський навчально-виховний комплекс „Дошкільний навчальний заклад - загальноосвітня школа І-ІІІ ступенів” Катеринопільської районної ради Черкаської області</t>
  </si>
  <si>
    <t>20531</t>
  </si>
  <si>
    <t>7122285501</t>
  </si>
  <si>
    <t>Петраківка</t>
  </si>
  <si>
    <t>вул. Погорецького, 7</t>
  </si>
  <si>
    <t>0474295275, 0474295240</t>
  </si>
  <si>
    <t>http://petrakivka.edukit.ck.ua/</t>
  </si>
  <si>
    <t>Розсохуватський навчально-виховний комплекс " Дошкільний навчальний заклад - загальноосвітня школа І-ІІ ступенів"</t>
  </si>
  <si>
    <t>20507</t>
  </si>
  <si>
    <t>7122286501</t>
  </si>
  <si>
    <t>вул. Покровська, 6</t>
  </si>
  <si>
    <t>(04742)94240</t>
  </si>
  <si>
    <t>Ступичненська загальноосвітня школа І-ІІ ступенів Катеринопільської районної ради Черкаської області</t>
  </si>
  <si>
    <t>20514</t>
  </si>
  <si>
    <t>7122287001</t>
  </si>
  <si>
    <t>Ступичне</t>
  </si>
  <si>
    <t>0474292340</t>
  </si>
  <si>
    <t>http://stupichne.edukit.ck.ua</t>
  </si>
  <si>
    <t>Шостаківський навчально-виховний комплекс "Дошкільний навчальний заклад-загальноосвітня школа І-ІІ ступенів" Катеринопільської районної ради Черкаської області</t>
  </si>
  <si>
    <t>20504</t>
  </si>
  <si>
    <t>7122287801</t>
  </si>
  <si>
    <t>0474230199</t>
  </si>
  <si>
    <t>http://Shostakovo-nvk.ucoz.ua</t>
  </si>
  <si>
    <t>Ярошівська загальноосвітня школа І-ІІІ ступенів Мокрокалигірської сільської ради Катеринопільського району Черкаської області</t>
  </si>
  <si>
    <t>20545</t>
  </si>
  <si>
    <t>7122288501</t>
  </si>
  <si>
    <t>0965466192</t>
  </si>
  <si>
    <t>http://yaroshivka.edukit.ck.ua</t>
  </si>
  <si>
    <t>Комунальний заклад "Корсунь-Шевченківський багатопрофільний навчально-реабілітаційний центр "Надія" Черкаської обласної ради"</t>
  </si>
  <si>
    <t>19400</t>
  </si>
  <si>
    <t>7122510100</t>
  </si>
  <si>
    <t>Корсунь-Шевченківський</t>
  </si>
  <si>
    <t>вул. Благовісна, 75</t>
  </si>
  <si>
    <t>23149, 24215</t>
  </si>
  <si>
    <t>04591529</t>
  </si>
  <si>
    <t>Корсунь-Шевченківська гімназія Корсунь-Шевченківської районної ради Черкаської області</t>
  </si>
  <si>
    <t>0473523064, 04735420784</t>
  </si>
  <si>
    <t>http://gimnaziya.klasna.com</t>
  </si>
  <si>
    <t>Корсунь-Шевченківська загальноосвітня спеціалізована школа І - ІІІ ступенів № 5 з поглибленим вивченням іноземних мов ім. Героя Радянського Союзу М.С. Дяченка Корсунь-Шевченківської районної ради Черкаської області</t>
  </si>
  <si>
    <t>19401</t>
  </si>
  <si>
    <t>вул. Костомарова, 29</t>
  </si>
  <si>
    <t>0473531413</t>
  </si>
  <si>
    <t>http://schule5inkorsun.ucoz.ua/</t>
  </si>
  <si>
    <t>Корсунь-Шевченківська загальноосвітня школа І-ІІІ ступенів № 2 Корсунь - Шевченківської районної ради Черкаської області</t>
  </si>
  <si>
    <t>19402</t>
  </si>
  <si>
    <t>вул. Кірова, 38</t>
  </si>
  <si>
    <t>(097)3300146</t>
  </si>
  <si>
    <t>http://korsunzosh2.clan.su</t>
  </si>
  <si>
    <t>Корсунь-Шевченківська ЗОШ І-ІІІ ступенів № 1 Корсунь-Шевченківської районної ради Черкаської області</t>
  </si>
  <si>
    <t>вул. Академіка Захаренка, 4</t>
  </si>
  <si>
    <t>2-31-13</t>
  </si>
  <si>
    <t>Корсунь-Шевченківський ліцей Корсунь-Шевченківської районної ради Черкаської області</t>
  </si>
  <si>
    <t>вул. Кірова, 43А</t>
  </si>
  <si>
    <t>(04735)20795</t>
  </si>
  <si>
    <t>http://korsun-licey.at.ua</t>
  </si>
  <si>
    <t>Гарбузинський навчально-виховний комплекс "Дошкільний навчальний заклад - загальноосвітня школа І-ІІІ ступенів" Корсунь-Шевченківської районної ради Черкаської області</t>
  </si>
  <si>
    <t>19409</t>
  </si>
  <si>
    <t>7122510101</t>
  </si>
  <si>
    <t>Гарбузин</t>
  </si>
  <si>
    <t>вул. Перемоги, 150</t>
  </si>
  <si>
    <t>93-7-32</t>
  </si>
  <si>
    <t>http://www.garschool.at.ua</t>
  </si>
  <si>
    <t>Стеблівська загальноосвітння школа І-ІІІ ступенів імені І.С Нечуя - Левицького Стеблівської селищної ради Корсунь- Шевченківського району Черкаської області</t>
  </si>
  <si>
    <t>19451</t>
  </si>
  <si>
    <t>7122555500</t>
  </si>
  <si>
    <t>Стеблів</t>
  </si>
  <si>
    <t>(04735)59908</t>
  </si>
  <si>
    <t>http://steblivschool.ucoz.ua</t>
  </si>
  <si>
    <t>Деренківецький навчально-виховний комплекс "Дошкільний навчальний заклад - загальноосвітня школа І-ІІІ ступенів" Корсунь-Шевченківської районної ради Черкаської області</t>
  </si>
  <si>
    <t>19430</t>
  </si>
  <si>
    <t>7122581501</t>
  </si>
  <si>
    <t>Деренковець</t>
  </si>
  <si>
    <t>вул. Братів Леонів, 10</t>
  </si>
  <si>
    <t>047-35-99-4-44</t>
  </si>
  <si>
    <t>Драбівський навчально - виховний комплекс "Дошкільний навчальний заклад - загальноосвітня школа І-ІІІ ступенів" Корсунь-Шевченківської районної ради Черкаської області</t>
  </si>
  <si>
    <t>19426</t>
  </si>
  <si>
    <t>7122582001</t>
  </si>
  <si>
    <t>Драбівка</t>
  </si>
  <si>
    <t>наб. Набережна, 1 А</t>
  </si>
  <si>
    <t>99-6-25</t>
  </si>
  <si>
    <t>Завадівський навчально-виховний комплекс "Дошкільний навчальний заклад-загальноосвітня школа І-ІІ ступенів Корсунь-Шевченківської районної ради Черкаської області</t>
  </si>
  <si>
    <t>19433</t>
  </si>
  <si>
    <t>7122582501</t>
  </si>
  <si>
    <t>Зарічанський навчально-виховний комплекс "Дошкільний навчальний заклад - загальноосвітня школа І-ІІ ступенів" Корсунь-Шевченківської районної ради Черкаської області</t>
  </si>
  <si>
    <t>19450</t>
  </si>
  <si>
    <t>7122582901</t>
  </si>
  <si>
    <t>0473593325</t>
  </si>
  <si>
    <t>Квітчанський навчально - виховний комплекс "Дошкільний навчальний заклад - загальноосвітня школа І-ІІІ ступенів" Корсунь - Шевчченківська районна рада Черкаської області</t>
  </si>
  <si>
    <t>19446</t>
  </si>
  <si>
    <t>7122583401</t>
  </si>
  <si>
    <t>Квітки</t>
  </si>
  <si>
    <t>вул. Стеценка, 3</t>
  </si>
  <si>
    <t>95-1-21</t>
  </si>
  <si>
    <t>Корнилівський навчально-виховний комплекс "Дошкільний навчальний заклад-загальноосвітя школа І ступеня" Корсунь-Шевченківської районної ради Черкаської області</t>
  </si>
  <si>
    <t>19420</t>
  </si>
  <si>
    <t>7122583701</t>
  </si>
  <si>
    <t>Корнилівка</t>
  </si>
  <si>
    <t>вул. Шкільна, 61</t>
  </si>
  <si>
    <t>92438</t>
  </si>
  <si>
    <t>Моринський навчально - виховний комплекс "Дошкільний навчальний заклад - загальноосвітня спеціалізована сільськогосподарська школа І-ІІІ ступенів" імені Героя Радянського Союзу А.П.Харковця Корсунь-Шевченківської районної ради Черкаської області</t>
  </si>
  <si>
    <t>19413</t>
  </si>
  <si>
    <t>7122585301</t>
  </si>
  <si>
    <t>95634</t>
  </si>
  <si>
    <t>http://morunci.ucoz.ua</t>
  </si>
  <si>
    <t>Нетеребський навчально - виховний комплекс "Дошкільний навчальний заклад - загальноосвітня школа І - ІІІ ступенів" Корсунь - Шевченківської районної ради Черкаської області</t>
  </si>
  <si>
    <t>19422</t>
  </si>
  <si>
    <t>7122585801</t>
  </si>
  <si>
    <t>Нетеребка</t>
  </si>
  <si>
    <t>Дацьківський навчально - виховний комплекс "Дошкільний навчальний заклад - загальноосвітня школа І - ІІІ ступенів" Корсунь-Шевченківської району Черкаської області</t>
  </si>
  <si>
    <t>19441</t>
  </si>
  <si>
    <t>7122586301</t>
  </si>
  <si>
    <t>93531</t>
  </si>
  <si>
    <t>Авторська О.А. Захаренка середня загальноосвітня школа с. Сахнівка Корсунь-Шевченківської районної ради Черкаської області</t>
  </si>
  <si>
    <t>19424</t>
  </si>
  <si>
    <t>7122587401</t>
  </si>
  <si>
    <t>Сахнівка</t>
  </si>
  <si>
    <t>вул. Леніна, 269</t>
  </si>
  <si>
    <t>Селищенський навчально-виховний комплекс "Дошкільний навчальний заклад-загальноосвітня школа І - ІІІ ступенів" Корсунь-Шевченківської районної ради Черкаської області</t>
  </si>
  <si>
    <t>19443</t>
  </si>
  <si>
    <t>7122587601</t>
  </si>
  <si>
    <t>55448</t>
  </si>
  <si>
    <t>http://selesche-nvknethous.ua</t>
  </si>
  <si>
    <t>Сидорівський навчально-виховний комплекс "Дошкільний навчальний заклад-загальноосвітня школа І-ІІІ ступенів" Корсунь-Шевченківської районної ради Черкаської області</t>
  </si>
  <si>
    <t>19452</t>
  </si>
  <si>
    <t>7122588101</t>
  </si>
  <si>
    <t>Сидорівка</t>
  </si>
  <si>
    <t>вул. Марченка, 10</t>
  </si>
  <si>
    <t>0473597180</t>
  </si>
  <si>
    <t>http://sudorivskuynvk.at.ua/</t>
  </si>
  <si>
    <t>Сухинівський навчально-виховний комплекс "Дошкільний навчальний заклад-загальноосвітня школа І-ІІІ ступенів" Корсунь-Шевченківської районної ради Черкаської області</t>
  </si>
  <si>
    <t>19447</t>
  </si>
  <si>
    <t>7122589001</t>
  </si>
  <si>
    <t>Сухини</t>
  </si>
  <si>
    <t>(04735)91643</t>
  </si>
  <si>
    <t>http://syhininvk.ucoz.ua</t>
  </si>
  <si>
    <t>Черепинський навчально-виховний комплекс "Дошкільний навчальний заклад-загальноосвітня школа І-ІІ ступенів" імені Героя Китайської Народної Республіки Кулішенка Григорія Якимовича Корсунь - Шевченківської районної ради Черкаської області</t>
  </si>
  <si>
    <t>19431</t>
  </si>
  <si>
    <t>7122589401</t>
  </si>
  <si>
    <t>0473598749</t>
  </si>
  <si>
    <t>Шендерівський навчально - виховний комплекс "Дошкільний навчальний заклад - загальноосвітня школа І-ІІІ ступенів" Корсунь-Шевченківської районної ради Черкаської області</t>
  </si>
  <si>
    <t>19453</t>
  </si>
  <si>
    <t>7122589701</t>
  </si>
  <si>
    <t>Шендерівка</t>
  </si>
  <si>
    <t>(04735)92614</t>
  </si>
  <si>
    <t>http://shshkola.ukoz.ru</t>
  </si>
  <si>
    <t>Лисянська загальноосвітня школа І-ІІІ ступенів № 2 Лисянської районної ради Черкаської області</t>
  </si>
  <si>
    <t>19300</t>
  </si>
  <si>
    <t>7122855100</t>
  </si>
  <si>
    <t>Лисянка</t>
  </si>
  <si>
    <t>вул. Котовського, 10</t>
  </si>
  <si>
    <t>Лисянський навчально-виховний комплекс "Загальноосвітня школа І-ІІІ ступенів № 1 - гімназія" Лисянської районної ради Черкаської області</t>
  </si>
  <si>
    <t>(04749)62393</t>
  </si>
  <si>
    <t>http://19300nvk1.co.ua</t>
  </si>
  <si>
    <t>Босівська загальноосвітня школа І-ІІ ступенів Лисянської районної ради Черкаської області</t>
  </si>
  <si>
    <t>19341</t>
  </si>
  <si>
    <t>7122880401</t>
  </si>
  <si>
    <t>Босівка</t>
  </si>
  <si>
    <t>вул. Ястребцова, 25 а</t>
  </si>
  <si>
    <t>0474993220</t>
  </si>
  <si>
    <t>Боярський навчально-виховний комплекс "Дошкільний навчальний заклад - загальноосвітня школа І-ІІІ ступенів" Лисянської районної ради Черкаської області</t>
  </si>
  <si>
    <t>19311</t>
  </si>
  <si>
    <t>7122880801</t>
  </si>
  <si>
    <t>0474993038</t>
  </si>
  <si>
    <t>Бужанська загальноосвітня школа І - І І І ступенів Лисянської районної ради Черкаської області</t>
  </si>
  <si>
    <t>19333</t>
  </si>
  <si>
    <t>7122881601</t>
  </si>
  <si>
    <t>вул. Базарна, 7А</t>
  </si>
  <si>
    <t>0474964480</t>
  </si>
  <si>
    <t>http://schoolbuzhanka.at.ua</t>
  </si>
  <si>
    <t>Бужанський навчально-виробничий комбінат професійної орієнтації учнів</t>
  </si>
  <si>
    <t>вул. Жовтнева, 19</t>
  </si>
  <si>
    <t>(04749)64441</t>
  </si>
  <si>
    <t>ВИНОГРАДСЬКИЙ НАВЧАЛЬНО - ВИХОВНИЙ КОМПЛЕКС „ДОШКІЛЬНИЙ НАВЧАЛЬНИЙ ЗАКЛАД - ЗАГАЛЬНООСВІТЯ ШКОЛА І - ІІІ СТУПЕНІВ” ЛИСЯНСЬКОЇ РАЙОННОЇ РАДИ ЧЕРКАСЬКЇ ОБЛАСТІ</t>
  </si>
  <si>
    <t>19340</t>
  </si>
  <si>
    <t>7122882001</t>
  </si>
  <si>
    <t>(04749)64-2-21</t>
  </si>
  <si>
    <t>http://www.winograd.org.ua</t>
  </si>
  <si>
    <t>Вотилівський навчально-виховний комплекс "Дошкільний навчальний заклад - загальноосвітня школа І-ІІІ ступенів" ім.М.В.Галкіна Лисянської районної ради Черкаської області.</t>
  </si>
  <si>
    <t>19314</t>
  </si>
  <si>
    <t>7122882401</t>
  </si>
  <si>
    <t>Вотилівка</t>
  </si>
  <si>
    <t>вул. Весняна, 9</t>
  </si>
  <si>
    <t>0474976541</t>
  </si>
  <si>
    <t>http://votshkola.mirtesen.ru/</t>
  </si>
  <si>
    <t>Дашуківська загальноосвітня школа I-II ст. Лисянської районної ради Черкаської області</t>
  </si>
  <si>
    <t>19330</t>
  </si>
  <si>
    <t>7122882801</t>
  </si>
  <si>
    <t>Дашуківка</t>
  </si>
  <si>
    <t>вул. Ювілейна, 31</t>
  </si>
  <si>
    <t>70559</t>
  </si>
  <si>
    <t>Журжинецький навчально-виховний комплекс "Дошкільний навчальний заклад - загальноосвітня школа І-ІІІ ступенів" Лисянської районної ради Черкаської області</t>
  </si>
  <si>
    <t>19321</t>
  </si>
  <si>
    <t>7122883601</t>
  </si>
  <si>
    <t>Журжинці</t>
  </si>
  <si>
    <t>вул. Миру, 46,а</t>
  </si>
  <si>
    <t>(047)4979223</t>
  </si>
  <si>
    <t>Кам’янобрідський навчально-виховний комплекс"Дошкільний навчальний заклад -загальноосвітня школа І-ІІІ ступенів" Лисянської районної ради Черкаської бласті</t>
  </si>
  <si>
    <t>01933</t>
  </si>
  <si>
    <t>7122884001</t>
  </si>
  <si>
    <t>(76)2-40</t>
  </si>
  <si>
    <t>Мар'янівський навчально- виховний комплекс "Дошкільний навчальний заклад - загальноосвітня школа І-ІІІ ступенів" Лисянської районної ради Черкаської області</t>
  </si>
  <si>
    <t>19344</t>
  </si>
  <si>
    <t>7122884401</t>
  </si>
  <si>
    <t>(04749)70240</t>
  </si>
  <si>
    <t>Петрівсько-Попівський навчально-виховний комплекс "Дошкільний навчальний заклад - загальноосвітня школа І ступеня" Лисянської районної ради Черкаської області</t>
  </si>
  <si>
    <t>7122884801</t>
  </si>
  <si>
    <t>Петрівка-Попівка</t>
  </si>
  <si>
    <t>Погибляцький навчально-виховний комплекс "Дошкільний навчальний заклад - загальноосвітня школа І-ІІІ ступенів", Лисянської районної ради, Черкаської області</t>
  </si>
  <si>
    <t>19315</t>
  </si>
  <si>
    <t>7122885001</t>
  </si>
  <si>
    <t>Погибляк</t>
  </si>
  <si>
    <t>вул. Слави, 32</t>
  </si>
  <si>
    <t>0474973224</t>
  </si>
  <si>
    <t>http://pohybliak.edukit.ck.ua/</t>
  </si>
  <si>
    <t>Почапинський навчально-виховний комплекс "Дошкільний навчальний заклад-загальноосвітня школа І-ІІІ ступенів" Лисянської районної ради Черкаської області</t>
  </si>
  <si>
    <t>19322</t>
  </si>
  <si>
    <t>7122885201</t>
  </si>
  <si>
    <t>(79)540</t>
  </si>
  <si>
    <t>http://poshapshkol.at.ua</t>
  </si>
  <si>
    <t>Ріпківська загальноосвітня школа І - ІІ ст</t>
  </si>
  <si>
    <t>19332</t>
  </si>
  <si>
    <t>7122885601</t>
  </si>
  <si>
    <t>(047)540</t>
  </si>
  <si>
    <t>Рубаномостівський навчально-виховний комплекс "Дошкільний навчальний заклад загальноосвітня школа І ступеня" Рубаномостівської сільської ради Лисянського району Черкаської області</t>
  </si>
  <si>
    <t>19343</t>
  </si>
  <si>
    <t>7122886001</t>
  </si>
  <si>
    <t>Рубаний Міст</t>
  </si>
  <si>
    <t>вул. Н. Зборовської, 11</t>
  </si>
  <si>
    <t>Смільченецький навчально-виховний комплекс "Дошкільний навчальний заклад-загальноосвітня школа І-ІІІ ступенів" Лисянської районної ради Черкаської області</t>
  </si>
  <si>
    <t>19325</t>
  </si>
  <si>
    <t>7122886801</t>
  </si>
  <si>
    <t>Смільчинці</t>
  </si>
  <si>
    <t>вул. Поштова, 46Б</t>
  </si>
  <si>
    <t>(04749)74240</t>
  </si>
  <si>
    <t>http://smilchentsi.edukit.ck.ua./</t>
  </si>
  <si>
    <t>Федюківський НВК "загальноосвітній навчальний заклад І ступеня - дошкільний навчальний заклад" Федюківської сільської ради Лисянського р-ну Черкаської обл.</t>
  </si>
  <si>
    <t>19312</t>
  </si>
  <si>
    <t>7122887201</t>
  </si>
  <si>
    <t>Федюківка</t>
  </si>
  <si>
    <t>вул. Мереняшева, 81</t>
  </si>
  <si>
    <t>0474994250</t>
  </si>
  <si>
    <t>Хижинський навчально-виховний комплекс "Дошкільний навчальний заклад-загальноосвітня школа І-ІІІ ступенів" ім.Є.К.Тищика Лисянської районної ради Черкаської області</t>
  </si>
  <si>
    <t>19320</t>
  </si>
  <si>
    <t>7122887601</t>
  </si>
  <si>
    <t>вул. Юрія Лавріненка, 7А</t>
  </si>
  <si>
    <t>(04749)72241</t>
  </si>
  <si>
    <t>Чаплинський навчально-виховний комплекс "Дошкільний навчальний заклад - загальноосвітня школа І - ІІ ст.." Лисянської районної ради Черкаської області</t>
  </si>
  <si>
    <t>19310</t>
  </si>
  <si>
    <t>7122888001</t>
  </si>
  <si>
    <t>(04749)93554</t>
  </si>
  <si>
    <t>Шестеринський навчально-виховний комплекс «Дошкільний навчальний заклад-загальноосвітня школа І-ІІІ ступенів» Лисянської районної ради Черкаської області</t>
  </si>
  <si>
    <t>19324</t>
  </si>
  <si>
    <t>7122888201</t>
  </si>
  <si>
    <t>Шестеринці</t>
  </si>
  <si>
    <t>наб. Набережна, 53</t>
  </si>
  <si>
    <t>(04749)77533</t>
  </si>
  <si>
    <t>Шубиноставська загальноосвітня школа І-ІІІ ступенів Лисянської районної ради Черкаської області</t>
  </si>
  <si>
    <t>19342</t>
  </si>
  <si>
    <t>7122888401</t>
  </si>
  <si>
    <t>Шубині Стави</t>
  </si>
  <si>
    <t>вул. Миру, 1В</t>
  </si>
  <si>
    <t>0474978240</t>
  </si>
  <si>
    <t>http://www.shubynistavy-zosh.edukit.ck.ua</t>
  </si>
  <si>
    <t>Яблунівський навчально-виховний комплекс "дошкільний навчальний заклад - загальноосвітня школа І-ІІІ ступенів"</t>
  </si>
  <si>
    <t>19335</t>
  </si>
  <si>
    <t>7122888801</t>
  </si>
  <si>
    <t>(0474975)225</t>
  </si>
  <si>
    <t>Маньківська загальноосвітня школа І-ІІІ ступенів № 1 Маньківської районної ради Черкаської області</t>
  </si>
  <si>
    <t>20101</t>
  </si>
  <si>
    <t>7123155100</t>
  </si>
  <si>
    <t>0474861662</t>
  </si>
  <si>
    <t>http://mankovkash1.at.ua/</t>
  </si>
  <si>
    <t>Маньківський міжшкільний навчально-виробничий комбінат</t>
  </si>
  <si>
    <t>20100</t>
  </si>
  <si>
    <t>(04748)61537</t>
  </si>
  <si>
    <t>Маньківський навчально-виховний комплекс "Загальноосвітня школа І-ІІІ ступенів - гімназія" Маньківської районної ради, Черкаської області</t>
  </si>
  <si>
    <t>вул. Соборна (Леніна), 36</t>
  </si>
  <si>
    <t>(04748)62268, (04748)62080</t>
  </si>
  <si>
    <t>http://mannvk.ucoz.com/</t>
  </si>
  <si>
    <t>Буцька загальноосвітня школа І-ІІІ ступенів Маньківської районної ради Черкаської області</t>
  </si>
  <si>
    <t>20114</t>
  </si>
  <si>
    <t>7123155300</t>
  </si>
  <si>
    <t>(04748)31400</t>
  </si>
  <si>
    <t>Багвянська загальноосвітня школа І-ІІ ступенів Маньківської районної ради Черкаської області</t>
  </si>
  <si>
    <t>20112</t>
  </si>
  <si>
    <t>7123180501</t>
  </si>
  <si>
    <t>Багва</t>
  </si>
  <si>
    <t>вул. Калініна, 1</t>
  </si>
  <si>
    <t>380474876590</t>
  </si>
  <si>
    <t>http://bagva.edukit.ck.ua</t>
  </si>
  <si>
    <t>Вікторівська загальноосвітня школа I-III ступенів імені Героя Радянського Союзу С. П. Кобця</t>
  </si>
  <si>
    <t>20144</t>
  </si>
  <si>
    <t>7123181001</t>
  </si>
  <si>
    <t>Поминик</t>
  </si>
  <si>
    <t>0474875240</t>
  </si>
  <si>
    <t>http://viktorivka.edukit.ck.ua</t>
  </si>
  <si>
    <t>Дзензелівська загальноосвітня школа І-ІІІ ступенів Маньківської районної ради Черкаської області</t>
  </si>
  <si>
    <t>20141</t>
  </si>
  <si>
    <t>7123181501</t>
  </si>
  <si>
    <t>Дзензелівка</t>
  </si>
  <si>
    <t>(04748)34240</t>
  </si>
  <si>
    <t>http://dzensh.ucoz.ru</t>
  </si>
  <si>
    <t>Добрянська загальноосвітня школа І - ІІІ ступенів Маньківської районної ради Маньківського району Черкаської області</t>
  </si>
  <si>
    <t>20142</t>
  </si>
  <si>
    <t>7123182001</t>
  </si>
  <si>
    <t>Добра</t>
  </si>
  <si>
    <t>(04748)74240</t>
  </si>
  <si>
    <t>http://dobra-school.edukit.ck.ua</t>
  </si>
  <si>
    <t>Іваньківська загальноосвітня школа І-ІІІ ступенів Маньківської районної ради Черкаської області</t>
  </si>
  <si>
    <t>20132</t>
  </si>
  <si>
    <t>7123182501</t>
  </si>
  <si>
    <t>вул. Ігоря Щербини, 6</t>
  </si>
  <si>
    <t>0474832359</t>
  </si>
  <si>
    <t>Кислинська загальноосвітня школа І ступеня,Маньківської районної ради,Черкаської області</t>
  </si>
  <si>
    <t>20110</t>
  </si>
  <si>
    <t>7123182801</t>
  </si>
  <si>
    <t>Кислин</t>
  </si>
  <si>
    <t>78554</t>
  </si>
  <si>
    <t>Кищенецька загальноосвітня школа І-ІІІ ступенів Маньківської районної ради Черкаської області</t>
  </si>
  <si>
    <t>20121</t>
  </si>
  <si>
    <t>7123183001</t>
  </si>
  <si>
    <t>Кищенці</t>
  </si>
  <si>
    <t>вул. генерала Андрія Дрофи, 25</t>
  </si>
  <si>
    <t>76250</t>
  </si>
  <si>
    <t>http://pedsayt.at.ua</t>
  </si>
  <si>
    <t>Крачківська загальноосвітня школа І-ІІ ступенів Маньківської районної ради Черкаської області</t>
  </si>
  <si>
    <t>20123</t>
  </si>
  <si>
    <t>7123183501</t>
  </si>
  <si>
    <t>Крачківка</t>
  </si>
  <si>
    <t>вул. Л.Українки, 31</t>
  </si>
  <si>
    <t>70520</t>
  </si>
  <si>
    <t>http://krschool.at.ua</t>
  </si>
  <si>
    <t>Кривецьказагальноосвітня школа І-ІІ ступенів Маньківської районної ради Черкаської області</t>
  </si>
  <si>
    <t>20115</t>
  </si>
  <si>
    <t>7123184001</t>
  </si>
  <si>
    <t>вул. Гагаріна7 а, 7 а</t>
  </si>
  <si>
    <t>(04748)75554</t>
  </si>
  <si>
    <t>http://kryvets-school.ucoz.ua</t>
  </si>
  <si>
    <t>Молодецька загальноосвітня школа І-ІІІ ступенів Маньківської районної ради Черкаської області</t>
  </si>
  <si>
    <t>20146</t>
  </si>
  <si>
    <t>7123185501</t>
  </si>
  <si>
    <t>Молодецьке</t>
  </si>
  <si>
    <t>0474871540</t>
  </si>
  <si>
    <t>http://www.molodshool.ucoz.ua</t>
  </si>
  <si>
    <t>Нестерівська загальноосвітня школа І-ІІІ ступенів Маньківської районної ради</t>
  </si>
  <si>
    <t>20140</t>
  </si>
  <si>
    <t>7123186001</t>
  </si>
  <si>
    <t>Нестерівка</t>
  </si>
  <si>
    <t>http://nesterivka.ucoz.ua</t>
  </si>
  <si>
    <t>Подібнянська загальноосвітня школа І-ІІІ ступенів Маньківської районної ради</t>
  </si>
  <si>
    <t>20143</t>
  </si>
  <si>
    <t>7123186501</t>
  </si>
  <si>
    <t>Подібна</t>
  </si>
  <si>
    <t>http://podibna.ucoz.ua</t>
  </si>
  <si>
    <t>Попівська загальоосвітня школа І-ІІ ступенів Маньківської районної ради Черкаської області</t>
  </si>
  <si>
    <t>20120</t>
  </si>
  <si>
    <t>7123187001</t>
  </si>
  <si>
    <t>вул. Центральна, 46А</t>
  </si>
  <si>
    <t>71263</t>
  </si>
  <si>
    <t>http://popivskazosh.at.ua</t>
  </si>
  <si>
    <t>Потаська загальноосвітня школа І-ІІ ступенів Маньківської районної ради Черкаської області</t>
  </si>
  <si>
    <t>20109</t>
  </si>
  <si>
    <t>7123187201</t>
  </si>
  <si>
    <t>Поташ</t>
  </si>
  <si>
    <t>вул. Віри Зінчук, 73</t>
  </si>
  <si>
    <t>(04748)72240</t>
  </si>
  <si>
    <t>http://potash-school.ucoz.ua</t>
  </si>
  <si>
    <t>Рогівська загальноосвітня школа І-ІІІ ступенів Маньківської районної ради Черкаської області</t>
  </si>
  <si>
    <t>20145</t>
  </si>
  <si>
    <t>7123187501</t>
  </si>
  <si>
    <t>Роги</t>
  </si>
  <si>
    <t>вул. Велика, 139</t>
  </si>
  <si>
    <t>(04748)33240</t>
  </si>
  <si>
    <t>http://rogy.at.ua</t>
  </si>
  <si>
    <t>Чорнокам'янська загальноосвітня школа І-ІІІ ступенів Маньківської районної ради Черкаської області</t>
  </si>
  <si>
    <t>20122</t>
  </si>
  <si>
    <t>7123188501</t>
  </si>
  <si>
    <t>Чорна Кам'янка</t>
  </si>
  <si>
    <t>0474879240</t>
  </si>
  <si>
    <t>http://chkam.ucoz.ua/</t>
  </si>
  <si>
    <t>Монастирищенська загальноосвітня школа І-ІІІ ступенів № 2 Монастирищенської районної ради Черкаської області</t>
  </si>
  <si>
    <t>19100</t>
  </si>
  <si>
    <t>7123410100</t>
  </si>
  <si>
    <t>Монастирище</t>
  </si>
  <si>
    <t>вул. Соборна, 51</t>
  </si>
  <si>
    <t>(04746)2-14-47</t>
  </si>
  <si>
    <t>http://monss2.ucoz.net/</t>
  </si>
  <si>
    <t>Опорний загальноосвітній навчальний заклад "Монастирищенська спеціалізована школа І-ІІІ ступенів № 5" Монастирищенської районної ради Черкаської області</t>
  </si>
  <si>
    <t>вул. Гагаріна, 37</t>
  </si>
  <si>
    <t>(04746)22121</t>
  </si>
  <si>
    <t>http://monschool-5.weebly.com/</t>
  </si>
  <si>
    <t>Монастирищенська спеціалізована школа-інтернат І-ІІІ ступенів "Обдарованість" Монастирищенської районної ради Черкаської області</t>
  </si>
  <si>
    <t>пров. Спортивний, 2</t>
  </si>
  <si>
    <t>(04746)2-16-47</t>
  </si>
  <si>
    <t>http://mssi-obdarovan.ucoz.ua/</t>
  </si>
  <si>
    <t>04591535</t>
  </si>
  <si>
    <t>Монастирищенський навчально-виховний комплекс "Ліцей - загальноосвітня школа І-ІІІ ступенів "Ерудит" Монастирищенської районної ради Черкаської області</t>
  </si>
  <si>
    <t>0474621947</t>
  </si>
  <si>
    <t>http://luceschool1.klasna.com</t>
  </si>
  <si>
    <t>Цибулівська загальноосвітня школа І-ІІІ ступенів Монастирищенської районної ради Черкаської області</t>
  </si>
  <si>
    <t>19114</t>
  </si>
  <si>
    <t>7123455500</t>
  </si>
  <si>
    <t>Цибулів</t>
  </si>
  <si>
    <t>вул. Сухомлинського, 7</t>
  </si>
  <si>
    <t>96-2-29</t>
  </si>
  <si>
    <t>http://tsibulivschool.ucoz.ru</t>
  </si>
  <si>
    <t>Аврамівська філія опорного загальноосвітнього навчального закладу "Монастирищенська спеціалізована школа І-ІІІ ступенів № 5" Монастирищенської районної ради Черкаської області</t>
  </si>
  <si>
    <t>7123480301</t>
  </si>
  <si>
    <t>Аврамівка</t>
  </si>
  <si>
    <t>вул. Заводська, 11</t>
  </si>
  <si>
    <t>(04746)2-13-47</t>
  </si>
  <si>
    <t>Летичівська загальноосвітня школа І-ІІ ступенів Монастирищенської районної ради, Черкаської області</t>
  </si>
  <si>
    <t>7123480305</t>
  </si>
  <si>
    <t>Летичівка</t>
  </si>
  <si>
    <t>ал. вул. Шкільна, 6</t>
  </si>
  <si>
    <t>(04746)2-25-66</t>
  </si>
  <si>
    <t>Бачкуринська загальноосвітня школа І-ІІІ ступенів Монастирищенської районної ради Черкаської області</t>
  </si>
  <si>
    <t>19153</t>
  </si>
  <si>
    <t>7123481001</t>
  </si>
  <si>
    <t>Бачкурине</t>
  </si>
  <si>
    <t>0474692223</t>
  </si>
  <si>
    <t>http://bachschool.ucoz.com</t>
  </si>
  <si>
    <t>Долинківська загальноосвітня школа І-ІІ ступенів Монастирищенської районної ради Черкаської області</t>
  </si>
  <si>
    <t>19112</t>
  </si>
  <si>
    <t>7123481401</t>
  </si>
  <si>
    <t>0474699228</t>
  </si>
  <si>
    <t>Івахнянська загальноосвітня школа І-ІІІ ступенів Монастирищенської районної ради Черкаської області</t>
  </si>
  <si>
    <t>19111</t>
  </si>
  <si>
    <t>7123481501</t>
  </si>
  <si>
    <t>Івахни</t>
  </si>
  <si>
    <t>вул. Перемоги, 26А</t>
  </si>
  <si>
    <t>0474691536</t>
  </si>
  <si>
    <t>Зюбриська загальноосвітня школа І ступеня Монастирищенської районної ради Черкаської області</t>
  </si>
  <si>
    <t>19124</t>
  </si>
  <si>
    <t>7123481701</t>
  </si>
  <si>
    <t>Зюбриха</t>
  </si>
  <si>
    <t>ал. Центральна, 4</t>
  </si>
  <si>
    <t>0965666498</t>
  </si>
  <si>
    <t>Княже-Криницька загальноосвітня школа I-III ступенів Монастирищенської районної ради Черкаської області</t>
  </si>
  <si>
    <t>19113</t>
  </si>
  <si>
    <t>7123482001</t>
  </si>
  <si>
    <t>Княжа Криниця</t>
  </si>
  <si>
    <t>вул. Лесі Українки, 50</t>
  </si>
  <si>
    <t>Княжиківська ЗОШ І-ІІІ ступенів Монастирищенської районної ради Черкаської області</t>
  </si>
  <si>
    <t>19122</t>
  </si>
  <si>
    <t>7123482501</t>
  </si>
  <si>
    <t>Княжики</t>
  </si>
  <si>
    <t>(096)8028193</t>
  </si>
  <si>
    <t>Копіюватський навчально-виховний комплекс "Дошкільний навчальний заклад-загальноосвітня школа І-ІІІ ступенів" Монастирищенської районної ради Черкаської області</t>
  </si>
  <si>
    <t>19140</t>
  </si>
  <si>
    <t>7123483001</t>
  </si>
  <si>
    <t>Копіювата</t>
  </si>
  <si>
    <t>0474695245, 0982741540, 0977933382</t>
  </si>
  <si>
    <t>Коритнянський навчально-виховний комплекс "Дошкільний навчальний заклад - загальноосвітня школа І-ІІІ ступенів" Монастирищенської районної ради Черкаської області</t>
  </si>
  <si>
    <t>19130</t>
  </si>
  <si>
    <t>7123483501</t>
  </si>
  <si>
    <t>Коритня</t>
  </si>
  <si>
    <t>вул. Братка, 3</t>
  </si>
  <si>
    <t>95-6-40</t>
  </si>
  <si>
    <t>http://schoolkorytnya.klasna.com</t>
  </si>
  <si>
    <t>Леськівська загальноосвітня школа І-ІІІ ступенів Монастирищенської районної ради Черкаської області</t>
  </si>
  <si>
    <t>7123484001</t>
  </si>
  <si>
    <t>Леськове</t>
  </si>
  <si>
    <t>(097)8761551</t>
  </si>
  <si>
    <t>Лукашівський навчально-виховний комплекс "Дошкільний навчальний заклад-загальноосвітня школа І-ІІІ ступенів" Монастирищенської районної ради Черкаської області</t>
  </si>
  <si>
    <t>19110</t>
  </si>
  <si>
    <t>7123484501</t>
  </si>
  <si>
    <t>вул. Бастракова, 46 а</t>
  </si>
  <si>
    <t>(04746)94-2-10</t>
  </si>
  <si>
    <t>http://lucachivca.ucoz.ru</t>
  </si>
  <si>
    <t>ПЕТРІВСЬКИЙ НАВЧАЛЬНО-ВИХОВНИЙ КОМПЛЕКС"ДОШКІЛЬНИЙ НАВЧАЛЬНИЙ ЗАКЛАД ЗАГАЛЬНООСВІТНЯ ШКОЛА І-ІІ СТУПЕНІВ"</t>
  </si>
  <si>
    <t>19151</t>
  </si>
  <si>
    <t>7123485101</t>
  </si>
  <si>
    <t>Хейлове</t>
  </si>
  <si>
    <t>вул. Поплавського., 5</t>
  </si>
  <si>
    <t>Попуднянська загальноосвітня школа I-III ступенів Монастирищенської районної ради Черкаської області</t>
  </si>
  <si>
    <t>19155</t>
  </si>
  <si>
    <t>7123485301</t>
  </si>
  <si>
    <t>Попудня</t>
  </si>
  <si>
    <t>вул. Миру, 89</t>
  </si>
  <si>
    <t>95540</t>
  </si>
  <si>
    <t>Сарнівський навчально-виховний комплекс "Дошкільний навчальний заклад - загальноосвітня школа І-ІІІ ступенів" Монастирищенської районної ради Черкаської області</t>
  </si>
  <si>
    <t>19154</t>
  </si>
  <si>
    <t>7123485701</t>
  </si>
  <si>
    <t>0474694631</t>
  </si>
  <si>
    <t>Сатанівська загальноосвітня школа І-ІІІ ступенів Монастирищенської районної ради Черкаської області</t>
  </si>
  <si>
    <t>19133</t>
  </si>
  <si>
    <t>7123485801</t>
  </si>
  <si>
    <t>вул. Щаслива, 1</t>
  </si>
  <si>
    <t>93-2-83</t>
  </si>
  <si>
    <t>Терлицький навчально-виховний комплекс "Дошкільний навчальний заклад - загально освітня школа І-ІІІ ступенів" Монастирищенської районної ради Черкаської області</t>
  </si>
  <si>
    <t>19135</t>
  </si>
  <si>
    <t>7123487001</t>
  </si>
  <si>
    <t>Терлиця</t>
  </si>
  <si>
    <t>Халаїдівська загальноосвітня школа І-ІІІ ступенів Монастирищенської районної ради Черкаської області</t>
  </si>
  <si>
    <t>7123487501</t>
  </si>
  <si>
    <t>Халаїдове</t>
  </si>
  <si>
    <t>0989856664</t>
  </si>
  <si>
    <t>Шабастівська загальноосвітня школа І-ІІІ ступенів Монастирищенської районної ради Черкаської області</t>
  </si>
  <si>
    <t>19132</t>
  </si>
  <si>
    <t>7123488501</t>
  </si>
  <si>
    <t>Шабастівка</t>
  </si>
  <si>
    <t>(04746)94325</t>
  </si>
  <si>
    <t>Шарнопільський навчально-виховний комплекс " Дошкільний заклад - загальноосвітня школа І-ІІІ ступенів "</t>
  </si>
  <si>
    <t>19120</t>
  </si>
  <si>
    <t>7123489001</t>
  </si>
  <si>
    <t>Шарнопіль</t>
  </si>
  <si>
    <t>вул. Космонавтів, 12А</t>
  </si>
  <si>
    <t>(067)8751557</t>
  </si>
  <si>
    <t>Балаклеївська загальноосвітня школа І-ІІ ступенів № 2 Смілянської районної ради Черкаської області</t>
  </si>
  <si>
    <t>20721</t>
  </si>
  <si>
    <t>7123780501</t>
  </si>
  <si>
    <t>Балаклея</t>
  </si>
  <si>
    <t>вул. Коцюбинського, 11</t>
  </si>
  <si>
    <t>(04733)99232</t>
  </si>
  <si>
    <t>Балаклеївська загальноосвітня школа І-ІІ ступенів № 3 Смілянської районної ради Черкаської області</t>
  </si>
  <si>
    <t>20722</t>
  </si>
  <si>
    <t>вул. Гайдара, 19</t>
  </si>
  <si>
    <t>0473393011</t>
  </si>
  <si>
    <t>Балаклеївська спеціалізована школа І-ІІІ ступенів № 1 імені Євгенії Гуглі Смілянської районної ради Черкаської області</t>
  </si>
  <si>
    <t>0473393443</t>
  </si>
  <si>
    <t>Теклинська загальноосвітня школа Смілянської районної ради Черкаської області</t>
  </si>
  <si>
    <t>20723</t>
  </si>
  <si>
    <t>7123780502</t>
  </si>
  <si>
    <t>(047)93-9-02</t>
  </si>
  <si>
    <t>Березняківська загальноосвітня школа І-ІІІ ступенів Смілянської районної ради Черкаської області</t>
  </si>
  <si>
    <t>7123781001</t>
  </si>
  <si>
    <t>Березняки</t>
  </si>
  <si>
    <t>вул. мол. сержанта Р. Чубатенка, 1</t>
  </si>
  <si>
    <t>Великояблунівська загальноосвітня школа І-ІІІ ступенів Смілянської районної ради Черкаської області</t>
  </si>
  <si>
    <t>20745</t>
  </si>
  <si>
    <t>7123781501</t>
  </si>
  <si>
    <t>Велика Яблунівка</t>
  </si>
  <si>
    <t>вул. Данільченка, 1</t>
  </si>
  <si>
    <t>0473394546</t>
  </si>
  <si>
    <t>Голов'ятинська загальноосвітня школа І-ІІІ ступенів Смілянської районної ради Черкаської області</t>
  </si>
  <si>
    <t>20740</t>
  </si>
  <si>
    <t>7123782001</t>
  </si>
  <si>
    <t>Голов'ятине</t>
  </si>
  <si>
    <t>вул. Котляра, 4</t>
  </si>
  <si>
    <t>96440</t>
  </si>
  <si>
    <t>Ковалиська загальноосвітня школа І-ІІ ступенів Смілянської райдержадміністрації Черкаської області</t>
  </si>
  <si>
    <t>20734</t>
  </si>
  <si>
    <t>7123782501</t>
  </si>
  <si>
    <t>Ковалиха</t>
  </si>
  <si>
    <t>вул. Кобзарська, 2</t>
  </si>
  <si>
    <t>9-52-86</t>
  </si>
  <si>
    <t>Костянтинівська спеціалізована школа І-ІІІ ступенів Смілянської районної ради Черкаської області</t>
  </si>
  <si>
    <t>20724</t>
  </si>
  <si>
    <t>7123783001</t>
  </si>
  <si>
    <t>(04733)94210</t>
  </si>
  <si>
    <t>Куцівська загальноосвітня школа І-ІІ ступенів Смілянської районної ради Черкаської області</t>
  </si>
  <si>
    <t>20750</t>
  </si>
  <si>
    <t>7123783501</t>
  </si>
  <si>
    <t>Куцівка</t>
  </si>
  <si>
    <t>(04733)992748</t>
  </si>
  <si>
    <t>Макіївська загальноосвітня школа І-ІІІ ступенів Смілянської районної ради Черкаської області</t>
  </si>
  <si>
    <t>20754</t>
  </si>
  <si>
    <t>7123784001</t>
  </si>
  <si>
    <t>вул. Тодося  Осьмачка, 1</t>
  </si>
  <si>
    <t>0963366096</t>
  </si>
  <si>
    <t>Малосмілянська загальноосвітня школа І-ІІ ступенів Смілянської районної ради Черкаської області</t>
  </si>
  <si>
    <t>20730</t>
  </si>
  <si>
    <t>7123784501</t>
  </si>
  <si>
    <t>Мала Смілянка</t>
  </si>
  <si>
    <t>(047)3390241</t>
  </si>
  <si>
    <t>Малостаросільська загальноосвітня школа І-ІІ ступенів Смілянської районної ради Черкаської області</t>
  </si>
  <si>
    <t>20720</t>
  </si>
  <si>
    <t>7123785001</t>
  </si>
  <si>
    <t>Мале Старосілля</t>
  </si>
  <si>
    <t>вул. Леніна, 126</t>
  </si>
  <si>
    <t>99724</t>
  </si>
  <si>
    <t>http://malestarosillia.edukit.ck.ua.</t>
  </si>
  <si>
    <t>Мельниківська загальноосвітня школа І-ІІ ступенів Смілянської районної ради Черкаської області</t>
  </si>
  <si>
    <t>20728</t>
  </si>
  <si>
    <t>7123785201</t>
  </si>
  <si>
    <t>Мельниківка</t>
  </si>
  <si>
    <t>9-22-17</t>
  </si>
  <si>
    <t>http://melnykivka-school.edukit.ck.ua</t>
  </si>
  <si>
    <t>Носачівська загальноосвітня школа І-ІІІ ступенів Смілянської районної ради Черкаської області</t>
  </si>
  <si>
    <t>20727</t>
  </si>
  <si>
    <t>7123785501</t>
  </si>
  <si>
    <t>Носачів</t>
  </si>
  <si>
    <t>вул. Благовісна, 3</t>
  </si>
  <si>
    <t>0473392224</t>
  </si>
  <si>
    <t>Пастирська загальноосвітня школа І-ІІ ступенів Смілянської районної ради Черкаської області</t>
  </si>
  <si>
    <t>20756</t>
  </si>
  <si>
    <t>7123786001</t>
  </si>
  <si>
    <t>Пастирське</t>
  </si>
  <si>
    <t>вул. Михайла Брайчевського, 2</t>
  </si>
  <si>
    <t>0473398528</t>
  </si>
  <si>
    <t>http://pasturske.ucoz.ua</t>
  </si>
  <si>
    <t>Плескачівська загальноосвітня школа І-ІІ ступенів Смілянської районної ради Черкаської області</t>
  </si>
  <si>
    <t>20743</t>
  </si>
  <si>
    <t>7123786501</t>
  </si>
  <si>
    <t>Плескачівка</t>
  </si>
  <si>
    <t>0473396647</t>
  </si>
  <si>
    <t>Попівська загальноосвітня школа І-ІІ ступенів Смілянської районної ради Черкаської області</t>
  </si>
  <si>
    <t>20735</t>
  </si>
  <si>
    <t>7123787001</t>
  </si>
  <si>
    <t>пров. Романенка, 2А</t>
  </si>
  <si>
    <t>Ротмістрівська загальноосвітня школа І-ІІІ ступенів Смілянської районної ради Черкаської області</t>
  </si>
  <si>
    <t>20726</t>
  </si>
  <si>
    <t>7123787201</t>
  </si>
  <si>
    <t>Ротмістрівка</t>
  </si>
  <si>
    <t>95240</t>
  </si>
  <si>
    <t>Санжариська загальноосвітня школа І-ІІ ступенів Смілянської районної ради Черкаської області</t>
  </si>
  <si>
    <t>20736</t>
  </si>
  <si>
    <t>7123787701</t>
  </si>
  <si>
    <t>Санжариха</t>
  </si>
  <si>
    <t>(04733)92419</t>
  </si>
  <si>
    <t>Сердюківська загальноосвітня школа І - ІІ ступенів Смілянської районної ради Черкаської області</t>
  </si>
  <si>
    <t>20753</t>
  </si>
  <si>
    <t>7123788001</t>
  </si>
  <si>
    <t>Сердюківка</t>
  </si>
  <si>
    <t>вул. Д.Лопатка, 50</t>
  </si>
  <si>
    <t>(04733)98-4-40</t>
  </si>
  <si>
    <t>Сунківська загальноосвітня школа І-ІІІ ступенів Смілянської районної ради Черкаської області</t>
  </si>
  <si>
    <t>20741</t>
  </si>
  <si>
    <t>7123788501</t>
  </si>
  <si>
    <t>Сунки</t>
  </si>
  <si>
    <t>(04733)96240</t>
  </si>
  <si>
    <t>https://www.google.com.ua</t>
  </si>
  <si>
    <t>Ташлицька загальноосвітня школа I-III ступенів Смілянської районної ради Черкаської області</t>
  </si>
  <si>
    <t>20751</t>
  </si>
  <si>
    <t>7123789001</t>
  </si>
  <si>
    <t>Ташлик</t>
  </si>
  <si>
    <t>вул. Краснова, 40</t>
  </si>
  <si>
    <t>0473398236</t>
  </si>
  <si>
    <t>Тернівська загальноосвітня школа І-ІІІ ступенів Смілянської районної ради Черкаської області</t>
  </si>
  <si>
    <t>20733</t>
  </si>
  <si>
    <t>7123789201</t>
  </si>
  <si>
    <t>вул. Шевченко, 3</t>
  </si>
  <si>
    <t>(04733)90212</t>
  </si>
  <si>
    <t>http://www.ternivkalmamater.com</t>
  </si>
  <si>
    <t>Тальнівська загальноосвітня санаторна школа-інтернат І-ІІІ ступенів Черкаської обласної ради</t>
  </si>
  <si>
    <t>20400</t>
  </si>
  <si>
    <t>7124010100</t>
  </si>
  <si>
    <t>Тальне</t>
  </si>
  <si>
    <t>вул. Соборна, 144</t>
  </si>
  <si>
    <t>0473132924</t>
  </si>
  <si>
    <t>http://talne-internat.edukit.ck.ua/</t>
  </si>
  <si>
    <t>04591541</t>
  </si>
  <si>
    <t>Тальнівська загальноосвітня школа І-ІІ ступенів № 3 Тальнівської міської ради Черкаської області</t>
  </si>
  <si>
    <t>вул. Робітничий, 1</t>
  </si>
  <si>
    <t>0473132457</t>
  </si>
  <si>
    <t>http://talne-school3.edukit.ck.ua/</t>
  </si>
  <si>
    <t>Тальнівська загальноосвітня школа І-ІІІ ступеня № 2 Тальнівської міської ради Черкаської області</t>
  </si>
  <si>
    <t>20401</t>
  </si>
  <si>
    <t>вул. Майданецька, 1</t>
  </si>
  <si>
    <t>0473130996</t>
  </si>
  <si>
    <t>http://talne-school2.edukit.ck.ua</t>
  </si>
  <si>
    <t>Тальнівський економіко-математичний ліцей Тальнівської міської ради Тальнівського району Черкаської області</t>
  </si>
  <si>
    <t>вул. Замкова, 93</t>
  </si>
  <si>
    <t>0473130072</t>
  </si>
  <si>
    <t>http://talne-lyceum.edukit.ck.ua</t>
  </si>
  <si>
    <t>25974855</t>
  </si>
  <si>
    <t>Тальнівський навчально-виховний комплекс "загальноосвітня школа І-ІІІ ступенів № 1-гімназія" Тальнівської міської ради Тальнівського району Черкаської області</t>
  </si>
  <si>
    <t>вул. Небесної Сотні, 15</t>
  </si>
  <si>
    <t>0473130994</t>
  </si>
  <si>
    <t>http://talne-school1.edukit.ck.ua</t>
  </si>
  <si>
    <t>Білашківська загальноосвітня школа І-ІІІ ступенів Тальнівської районної ради Черкаської області</t>
  </si>
  <si>
    <t>20433</t>
  </si>
  <si>
    <t>7124080401</t>
  </si>
  <si>
    <t>Білашки</t>
  </si>
  <si>
    <t>99341</t>
  </si>
  <si>
    <t>http://bilashky.edukit.ck.ua/</t>
  </si>
  <si>
    <t>Веселокутський навчально-виховний комплекс «дошкільний навчальний заклад - загальноосвітня школа І-ІІ ступенів» Тальнівської районної ради Черкаської області</t>
  </si>
  <si>
    <t>20414</t>
  </si>
  <si>
    <t>7124080801</t>
  </si>
  <si>
    <t>вул. Віті Проценка, 38</t>
  </si>
  <si>
    <t>0473199930</t>
  </si>
  <si>
    <t>http://veselyikut.edukit.ck.ua/</t>
  </si>
  <si>
    <t>Вишнопільська загальноосвітня школа І - ІІІ ступенів Тальнівської районної ради Черкаської області</t>
  </si>
  <si>
    <t>20444</t>
  </si>
  <si>
    <t>7124081201</t>
  </si>
  <si>
    <t>0473190210</t>
  </si>
  <si>
    <t>http://vyshnopil.edukit.ck.ua/</t>
  </si>
  <si>
    <t>Глибочківський навчально-виховний комплекс "дошкільний навчальний заклад - загальноосвітьня школа І-ІІ ступенів" Тальнівської районної ради Черкаської області</t>
  </si>
  <si>
    <t>20440</t>
  </si>
  <si>
    <t>7124081601</t>
  </si>
  <si>
    <t>(04731)96249</t>
  </si>
  <si>
    <t>http://glybochok.edukit.ck.ua/</t>
  </si>
  <si>
    <t>Заліський навчально-виховний комплекс "дошкільний навчальний заклад-загальноосвітня школа I ступеня" Тальнівської районної ради Черкаської області</t>
  </si>
  <si>
    <t>20420</t>
  </si>
  <si>
    <t>7124082401</t>
  </si>
  <si>
    <t>Заліське</t>
  </si>
  <si>
    <t>вул. Т.Г.Шевченка, 70</t>
  </si>
  <si>
    <t>(04731)9-91-38</t>
  </si>
  <si>
    <t>http://zaliske.edukit.ck.ua//</t>
  </si>
  <si>
    <t>Зеленьківська загальноосвітня школа І-ІІ ступенів Тальнівської районної ради Черкаської області</t>
  </si>
  <si>
    <t>20443</t>
  </si>
  <si>
    <t>7124082801</t>
  </si>
  <si>
    <t>Зеленьків</t>
  </si>
  <si>
    <t>0473192342</t>
  </si>
  <si>
    <t>http://zelenyakiv.edukit.ck.ua</t>
  </si>
  <si>
    <t>Кобринівський навчально - виховний комплекс "дошкільний навчальний заклад - загальноосвітня школа І-ІІІ ступенів" Тальнівської районної ради Черкаської області</t>
  </si>
  <si>
    <t>20421</t>
  </si>
  <si>
    <t>7124083201</t>
  </si>
  <si>
    <t>Кобринове</t>
  </si>
  <si>
    <t>(04731)9-94-35</t>
  </si>
  <si>
    <t>http://kobrynove.edukit.ck.ua/</t>
  </si>
  <si>
    <t>Кобриновогребельський навчально-виховний комплекс "дошкільний навчальний заклад- загальноосвітня школа I-II ступенів" Тальнівської районної ради Черкаської області</t>
  </si>
  <si>
    <t>20422</t>
  </si>
  <si>
    <t>7124083601</t>
  </si>
  <si>
    <t>Кобринова Гребля</t>
  </si>
  <si>
    <t>(04731)9-92-47</t>
  </si>
  <si>
    <t>http://kobrynovagreblya.edukit.ck.ua/</t>
  </si>
  <si>
    <t>Колодистенський навчально-виховний комплекс "дошкільний навчальний заклад - загальноосвітня школа І-ІІІ ступенів" імені Василя Доманицького Тальнівської районної ради Черкаської області</t>
  </si>
  <si>
    <t>20450</t>
  </si>
  <si>
    <t>7124084001</t>
  </si>
  <si>
    <t>Колодисте</t>
  </si>
  <si>
    <t>0473199026</t>
  </si>
  <si>
    <t>http://kolodyste.edukit.ck.ua</t>
  </si>
  <si>
    <t>Корсунська загальноосвітня школа І-ІІ ступенів Тальнівської районної ради Черкаської області</t>
  </si>
  <si>
    <t>20441</t>
  </si>
  <si>
    <t>7124084401</t>
  </si>
  <si>
    <t>(04731)9-35-10</t>
  </si>
  <si>
    <t>Кривоколінський навчально-виховний комплекс "дошкільний навчальний заклад - загальноосвітня школа І-ІІІ ступенів" Тальнівської районної ради Черкаської області</t>
  </si>
  <si>
    <t>20451</t>
  </si>
  <si>
    <t>7124084801</t>
  </si>
  <si>
    <t>Криві Коліна</t>
  </si>
  <si>
    <t>вул. Івана Мазепи, 23,а</t>
  </si>
  <si>
    <t>(04731)9-07-35</t>
  </si>
  <si>
    <t>http://Kryvikolina.edukit.ck.ua</t>
  </si>
  <si>
    <t>Лащівський навчально-виховний комплекс "дошкільний навчальний заклад - загальноосвітня школа І - ІІ ступенів Тальнівської районної ради Черкаської області"</t>
  </si>
  <si>
    <t>20415</t>
  </si>
  <si>
    <t>7124085001</t>
  </si>
  <si>
    <t>Лащова</t>
  </si>
  <si>
    <t>(04731)91730</t>
  </si>
  <si>
    <t>http://lashchova.edukit.ck.ua</t>
  </si>
  <si>
    <t>Легедзинська загальноосвітня школа І-ІІІ ступенів Тальнівської районної ради Черкаської області</t>
  </si>
  <si>
    <t>20435</t>
  </si>
  <si>
    <t>7124085401</t>
  </si>
  <si>
    <t>Легедзине</t>
  </si>
  <si>
    <t>(04731)99577</t>
  </si>
  <si>
    <t>http://legedzyne.edukit.ck.ua</t>
  </si>
  <si>
    <t>Лісівська загальносвітя школа І-ІІІступенів Тальнівської районної ради Черкаської області</t>
  </si>
  <si>
    <t>20410</t>
  </si>
  <si>
    <t>7124085801</t>
  </si>
  <si>
    <t>вул. Янківська, 88/1</t>
  </si>
  <si>
    <t>((04731))9-26-30</t>
  </si>
  <si>
    <t>Піщанський навчально-виховний комплекс "дошкільний навчальний заклад загальнооосвітня школа І-ІІ ступенів Тальнівської районної ради Черкаської області</t>
  </si>
  <si>
    <t>20453</t>
  </si>
  <si>
    <t>7124086202</t>
  </si>
  <si>
    <t>0473191522</t>
  </si>
  <si>
    <t>http://pischana.edukit.ck.ua</t>
  </si>
  <si>
    <t>Майданецька загальноосвітня школа І-ІІІ ступенів Тальнівської районної ради Черкаської області</t>
  </si>
  <si>
    <t>20442</t>
  </si>
  <si>
    <t>7124086601</t>
  </si>
  <si>
    <t>Майданецьке</t>
  </si>
  <si>
    <t>0473198534</t>
  </si>
  <si>
    <t>http://maidanetske.edukit.ck.ua</t>
  </si>
  <si>
    <t>Мошурівська загальноосвітня школа І-ІІІ ступенів Тальнівської районної ради Черкаської області</t>
  </si>
  <si>
    <t>20432</t>
  </si>
  <si>
    <t>7124087001</t>
  </si>
  <si>
    <t>Мошурів</t>
  </si>
  <si>
    <t>0473197584</t>
  </si>
  <si>
    <t>http://moshuriv.edukit.ck.ua/</t>
  </si>
  <si>
    <t>Онопріївський навчально-виховний комплекс «дошкільний навчальний заклад - загальноосвітня школа І-ІІ ступенів»</t>
  </si>
  <si>
    <t>20412</t>
  </si>
  <si>
    <t>7124087401</t>
  </si>
  <si>
    <t>Онопріївка</t>
  </si>
  <si>
    <t>(04731)9-22-44</t>
  </si>
  <si>
    <t>http://onopriivka.edukit.ck.ua/</t>
  </si>
  <si>
    <t>Павлівський Перший навчально-виховний комплекс "дошкільний навчальний заклад - загальноосвітня школа I-II ступенів" Тальнівської райради Черкаської області</t>
  </si>
  <si>
    <t>20454</t>
  </si>
  <si>
    <t>7124087801</t>
  </si>
  <si>
    <t>Павлівка Перша</t>
  </si>
  <si>
    <t>вул. Платона Симиренка, 98 а</t>
  </si>
  <si>
    <t>0473199830</t>
  </si>
  <si>
    <t>http://pavlivka.edukit.ck.ua/</t>
  </si>
  <si>
    <t>Папужинський навчально-виховний комплекс " дошкільний навчальний заклад загальноосвітня школа І-ІІ ступенів" Тальнівської районної ради Черкаської області</t>
  </si>
  <si>
    <t>20413</t>
  </si>
  <si>
    <t>7124088201</t>
  </si>
  <si>
    <t>Папужинці</t>
  </si>
  <si>
    <t>80473191337</t>
  </si>
  <si>
    <t>http://papuzhyntsi.edukit.ck.ua/</t>
  </si>
  <si>
    <t>Потаський навчально-виховний комплекс "дошкільний навчальний заклад-загальноосвітня школа І-ІІ ступенів" Тальнівської районної ради Черкаської області</t>
  </si>
  <si>
    <t>20430</t>
  </si>
  <si>
    <t>7124088601</t>
  </si>
  <si>
    <t>вул. Шевченка, 136</t>
  </si>
  <si>
    <t>0473190540</t>
  </si>
  <si>
    <t>http://potash.edukit.ck.ua</t>
  </si>
  <si>
    <t>Романівський навчально-виховний комплекс "дошкільний навчальний заклад-загальноосвітня школа І-ІІступенів" Тальнівської районної ради Черкаської області</t>
  </si>
  <si>
    <t>20416</t>
  </si>
  <si>
    <t>7124089001</t>
  </si>
  <si>
    <t>0473195530</t>
  </si>
  <si>
    <t>http://romanivka.edukit.ck.ua</t>
  </si>
  <si>
    <t>Соколівоцька загальноосвітня школа І-ІІІ ступенів Тальнівської міської ради Тальнівського району Черкаської області</t>
  </si>
  <si>
    <t>20423</t>
  </si>
  <si>
    <t>7124089201</t>
  </si>
  <si>
    <t>Соколівочка</t>
  </si>
  <si>
    <t>вул. Коцюбинського, 24/а</t>
  </si>
  <si>
    <t>0473196351</t>
  </si>
  <si>
    <t>http://sokolivochka.edukit.ck.ua/</t>
  </si>
  <si>
    <t>Тальянківська загальноосвітня школа І-ІІ ступенів Тальнівської районної ради Черкаської області</t>
  </si>
  <si>
    <t>20434</t>
  </si>
  <si>
    <t>7124089301</t>
  </si>
  <si>
    <t>Тальянки</t>
  </si>
  <si>
    <t>(04731)94252</t>
  </si>
  <si>
    <t>http://www.talianky.edukit.ck.ua</t>
  </si>
  <si>
    <t>Антонівський навчально-виховний комплекс "Дошкільний навчальний заклад - загальноосвітня школа І ступеня" Антонівської сільської ради Уманського району Черкаської області</t>
  </si>
  <si>
    <t>20373</t>
  </si>
  <si>
    <t>7124380301</t>
  </si>
  <si>
    <t>вул. Вишнева, 6</t>
  </si>
  <si>
    <t>(04744)93242</t>
  </si>
  <si>
    <t>Берестівецька загальноосвітня школа І-ІІ ступенів Уманської районної ради Черкаської області</t>
  </si>
  <si>
    <t>20321</t>
  </si>
  <si>
    <t>7124380901</t>
  </si>
  <si>
    <t>Берестівець</t>
  </si>
  <si>
    <t>вул. Соборності, 1 А</t>
  </si>
  <si>
    <t>Гереженівський навчально-виховний комплекс "Дошкільний навчальний заклад- загальноосвітня школа І - ІІІ ступенів" Уманської районної ради Черкаської області</t>
  </si>
  <si>
    <t>20356</t>
  </si>
  <si>
    <t>7124381201</t>
  </si>
  <si>
    <t>Гереженівка</t>
  </si>
  <si>
    <t>96642</t>
  </si>
  <si>
    <t>Городецька загальноосвітня школа І - ІІІ ступенів Уманської районної ради Черкаської області</t>
  </si>
  <si>
    <t>20325</t>
  </si>
  <si>
    <t>7124381501</t>
  </si>
  <si>
    <t>Городецьке</t>
  </si>
  <si>
    <t>вул. Покровська, 4</t>
  </si>
  <si>
    <t>(04744)69619</t>
  </si>
  <si>
    <t>Городницька загальноосвітня школа І - ІІ ступенів Уманської районної ради Черкаської області</t>
  </si>
  <si>
    <t>20383</t>
  </si>
  <si>
    <t>7124381701</t>
  </si>
  <si>
    <t>93334</t>
  </si>
  <si>
    <t>Гродзевський навчально-виховний комплекс "Дошкільний навчальний заклад--загальноосвітня школа І ступеня" Гродзівської сільської ради Уманського району Черкаської області</t>
  </si>
  <si>
    <t>20350</t>
  </si>
  <si>
    <t>7124382001</t>
  </si>
  <si>
    <t>Гродзеве</t>
  </si>
  <si>
    <t>(067)3568692</t>
  </si>
  <si>
    <t>http://grodzeve-nvk-edukit.ck.ua</t>
  </si>
  <si>
    <t>Громівський навчально-виховний комплекс "Дошкільний навчальний заклад - загальноосвітня школа І - ІІІ ступенів" Уманської районної ради Черкаської області</t>
  </si>
  <si>
    <t>20343</t>
  </si>
  <si>
    <t>7124382201</t>
  </si>
  <si>
    <t>Громи</t>
  </si>
  <si>
    <t>0474494753</t>
  </si>
  <si>
    <t>Дмитрушківська загальноосвітня школа І-ІІІ ступенів Уманської районної ради Черкаської області</t>
  </si>
  <si>
    <t>20332</t>
  </si>
  <si>
    <t>7124382501</t>
  </si>
  <si>
    <t>Дмитрушки</t>
  </si>
  <si>
    <t>вул. Петропавлівська, 15</t>
  </si>
  <si>
    <t>(04744)96240</t>
  </si>
  <si>
    <t>Доброводівський навчально-виховний комплекс "Дошкільний навчальний заклад- загальноосвітня школа І-ІІІ ступенів імені Миколи Руденка"</t>
  </si>
  <si>
    <t>20335</t>
  </si>
  <si>
    <t>7124382801</t>
  </si>
  <si>
    <t>вул. Богдана Хмельницького, 2</t>
  </si>
  <si>
    <t>(94)640</t>
  </si>
  <si>
    <t>Дубівський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</si>
  <si>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20362</t>
  </si>
  <si>
    <t>7124383101</t>
  </si>
  <si>
    <t>(047)4492640</t>
  </si>
  <si>
    <t>http://dybova-nvk.edukit.ck.ua</t>
  </si>
  <si>
    <t>Іванівська загальноосвітня школа І-ІІІ ступенів Уманської районної ради Черкаської області</t>
  </si>
  <si>
    <t>20320</t>
  </si>
  <si>
    <t>7124383401</t>
  </si>
  <si>
    <t>9-22-40</t>
  </si>
  <si>
    <t>http://ivanivka.org.ua/</t>
  </si>
  <si>
    <t>Колодистенська загальноосвітня школа І-ІІІ ступенів Уманської районної ради Черкаської області</t>
  </si>
  <si>
    <t>20384</t>
  </si>
  <si>
    <t>7124383701</t>
  </si>
  <si>
    <t>вул. Кірова, 17</t>
  </si>
  <si>
    <t>(04744)93540</t>
  </si>
  <si>
    <t>Косенівський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</si>
  <si>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20331</t>
  </si>
  <si>
    <t>7124384001</t>
  </si>
  <si>
    <t>Косенівка</t>
  </si>
  <si>
    <t>вул. Деревянка, 1</t>
  </si>
  <si>
    <t>Кочержинський навчально-виховний комплекс "Дошкільний навчальний заклад - загальноосвітня школа I-III ступенів" Уманської районної ради Черкаської області</t>
  </si>
  <si>
    <t>20341</t>
  </si>
  <si>
    <t>7124384301</t>
  </si>
  <si>
    <t>Кочержинці</t>
  </si>
  <si>
    <t>вул. Соборна, 1 А</t>
  </si>
  <si>
    <t>(04744)94440</t>
  </si>
  <si>
    <t>http://knvk.webnode.com.ua</t>
  </si>
  <si>
    <t>Кочубіївська загальноосвітня школа І-ІІІ ступенів Уманської районної ради Черкаської області</t>
  </si>
  <si>
    <t>20323</t>
  </si>
  <si>
    <t>7124384501</t>
  </si>
  <si>
    <t>Кочубіївка</t>
  </si>
  <si>
    <t>0474498346</t>
  </si>
  <si>
    <t>Краснопільський навчально-виховний комплекс "Дошкільний навчальний заклад - загальноосвітня школа І-ІІ ступенів" Уманської районної ради Черкаської області</t>
  </si>
  <si>
    <t>20322</t>
  </si>
  <si>
    <t>7124384801</t>
  </si>
  <si>
    <t>Ладижинська загальноосвітня школа І-ІІІ ступенів Уманської районної ради Черкаської області</t>
  </si>
  <si>
    <t>20382</t>
  </si>
  <si>
    <t>7124385101</t>
  </si>
  <si>
    <t>Ладижинка</t>
  </si>
  <si>
    <t>0474497240</t>
  </si>
  <si>
    <t>https://sites.google.com/site/ladizinskazosi/</t>
  </si>
  <si>
    <t>Ладижинська спеціальна загальноосвітня школа - інтернат Черкаської обласної ради</t>
  </si>
  <si>
    <t>ал. шкільна, 9</t>
  </si>
  <si>
    <t>(04744)97392</t>
  </si>
  <si>
    <t>04591601</t>
  </si>
  <si>
    <t>Максимівський навчально-виховний комплекс "Дошкільний навчальий заклад-загальноосвітня школа 1 ступеня" Уманської районної ради, Черкаської області</t>
  </si>
  <si>
    <t>20345</t>
  </si>
  <si>
    <t>7124385301</t>
  </si>
  <si>
    <t>(067)4701355</t>
  </si>
  <si>
    <t>Оксанинська загальноосвітня школа І-ІІІ ступенів Уманської районної ради Черкаської області</t>
  </si>
  <si>
    <t>20355</t>
  </si>
  <si>
    <t>7124385501</t>
  </si>
  <si>
    <t>Оксанина</t>
  </si>
  <si>
    <t>вул. Центральна, 14 а</t>
  </si>
  <si>
    <t>0474493440</t>
  </si>
  <si>
    <t>http://oksanina.at.ua/</t>
  </si>
  <si>
    <t>Паланська загальноосвітня школа І-ІІІ ступенів Уманської районної ради Черкаської області</t>
  </si>
  <si>
    <t>20340</t>
  </si>
  <si>
    <t>7124386101</t>
  </si>
  <si>
    <t>Паланка</t>
  </si>
  <si>
    <t>(04744)99440</t>
  </si>
  <si>
    <t>Полянецька загальноосвітня школа І-ІІІ ступенів Уманської районної ради Черкаської області</t>
  </si>
  <si>
    <t>20342</t>
  </si>
  <si>
    <t>7124386401</t>
  </si>
  <si>
    <t>(04744)90174</t>
  </si>
  <si>
    <t>Пугачівський НВК "Дошкільний навчальний заклад-загальноосвітня школа І ступеня "Пугачівської сільської ради Уманського району Черкаської області</t>
  </si>
  <si>
    <t>20333</t>
  </si>
  <si>
    <t>7124386501</t>
  </si>
  <si>
    <t>http://pnvk.at.ua/</t>
  </si>
  <si>
    <t>Посухівський навчально-виховний комплекс "Дошкільний навчальний заклад - загальноосвітня школа І-ІІ ступенів"</t>
  </si>
  <si>
    <t>7124386601</t>
  </si>
  <si>
    <t>Посухівка</t>
  </si>
  <si>
    <t>Родниківська загальноосвітня школа І-ІІІ ступенів імені Т.Г.Шевченка Уманської районної ради Черкаської області</t>
  </si>
  <si>
    <t>20324</t>
  </si>
  <si>
    <t>7124386701</t>
  </si>
  <si>
    <t>вул. Київська, 44А</t>
  </si>
  <si>
    <t>0474491240</t>
  </si>
  <si>
    <t>http://novashkola.ucoz.com</t>
  </si>
  <si>
    <t>Ропотуський навчально-виховний комплекс "Дошкільний навчальний заклад- загальноосвітня школа І-ІІ ступенів " Уманської районної ради Черкаської області</t>
  </si>
  <si>
    <t>20375</t>
  </si>
  <si>
    <t>7124387001</t>
  </si>
  <si>
    <t>Ропотуха</t>
  </si>
  <si>
    <t>Рижавський міжшкільний навчально-виробничий комбінат Уманської районної ради Черкаської області</t>
  </si>
  <si>
    <t>7124387301</t>
  </si>
  <si>
    <t>Рижавка</t>
  </si>
  <si>
    <t>вул. Свободи, 4</t>
  </si>
  <si>
    <t>(04744)93724</t>
  </si>
  <si>
    <t>Рижавський навчально-виховний комплекс "Дошкільний навчальний заклад-загальноосвітня школа І-ІІ ступенів" Уманської райради Черкаської області</t>
  </si>
  <si>
    <t>20381</t>
  </si>
  <si>
    <t>ал. Дружби, 3</t>
  </si>
  <si>
    <t>(093)740</t>
  </si>
  <si>
    <t>Бабанська загальноосвітня школа І-ІІІ ступенів Уманської районної ради Черкаської області</t>
  </si>
  <si>
    <t>20351</t>
  </si>
  <si>
    <t>7124387401</t>
  </si>
  <si>
    <t>Свинарка</t>
  </si>
  <si>
    <t>04744-95-240</t>
  </si>
  <si>
    <t>Комунальний заклад "Бабанська спеціальна загальноосвітня школа-інтернат І-ІІ ступенів Черкаської обласної ради"</t>
  </si>
  <si>
    <t>(04744)95-2-25, 95-3-40</t>
  </si>
  <si>
    <t>04591618</t>
  </si>
  <si>
    <t>Собківський навчально-виховний комплекс "Дошкільний навчальний заклад- загальноосвітня школа І-ІІІ ступенів" Уманської районної ради Черкаської області</t>
  </si>
  <si>
    <t>20352</t>
  </si>
  <si>
    <t>7124387501</t>
  </si>
  <si>
    <t>Собківка</t>
  </si>
  <si>
    <t>(04744)96316</t>
  </si>
  <si>
    <t>Старобабанівська загальноосвітня школа І-ІІІ ступенів Уманської районної ради Черкаської області</t>
  </si>
  <si>
    <t>20330</t>
  </si>
  <si>
    <t>7124387701</t>
  </si>
  <si>
    <t>Старі Бабани</t>
  </si>
  <si>
    <t>(04744)98540</t>
  </si>
  <si>
    <t>http://staribabani.at.ua</t>
  </si>
  <si>
    <t>Сушківська загальноосвітня школа І-ІІІ ступенів Уманської районної ради Черкаської області</t>
  </si>
  <si>
    <t>20353</t>
  </si>
  <si>
    <t>7124388001</t>
  </si>
  <si>
    <t>Сушківка</t>
  </si>
  <si>
    <t>вул. А.П.Семенюка, 1</t>
  </si>
  <si>
    <t>(04744)98440</t>
  </si>
  <si>
    <t>http://sushkivkaschool.at.ua</t>
  </si>
  <si>
    <t>Танський навчально-виховний комплекс "Дошкільний навчальний заклад-загальноосвітня школа І-ІІ ступенів Уманської районної ради"</t>
  </si>
  <si>
    <t>20334</t>
  </si>
  <si>
    <t>7124388301</t>
  </si>
  <si>
    <t>Танське</t>
  </si>
  <si>
    <t>(04744)98244</t>
  </si>
  <si>
    <t>Текучанська загальноосвітня школа І-ІІІ ступенів Уманської районної ради Черкаської області</t>
  </si>
  <si>
    <t>20380</t>
  </si>
  <si>
    <t>7124388601</t>
  </si>
  <si>
    <t>Текуча</t>
  </si>
  <si>
    <t>0474496740</t>
  </si>
  <si>
    <t>http://schooltekucha.at.ua</t>
  </si>
  <si>
    <t>Черповодівська загальноосвітня школа І-ІІ ступенів Уманської районної ради Черкаської області</t>
  </si>
  <si>
    <t>20370</t>
  </si>
  <si>
    <t>7124389201</t>
  </si>
  <si>
    <t>Черповоди</t>
  </si>
  <si>
    <t>99336</t>
  </si>
  <si>
    <t>http://cherpovodu-school.webnode.com.ua</t>
  </si>
  <si>
    <t>Шаринський навчально-виховний комплекс"Дошкільний навчальний заклад-загальноосвітня школа I-III ступенів"Уманської районноїради Черкаської області</t>
  </si>
  <si>
    <t>20346</t>
  </si>
  <si>
    <t>7124389301</t>
  </si>
  <si>
    <t>Шарин</t>
  </si>
  <si>
    <t>Юрківський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</si>
  <si>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20372</t>
  </si>
  <si>
    <t>7124389501</t>
  </si>
  <si>
    <t>вул. Садова, 100 А</t>
  </si>
  <si>
    <t>94536</t>
  </si>
  <si>
    <t>https://sites.google.com/site/urkivskijnvk</t>
  </si>
  <si>
    <t>Ятранівська загальноосвітня школа I-III ступенів</t>
  </si>
  <si>
    <t>7124389801</t>
  </si>
  <si>
    <t>Ятранівка</t>
  </si>
  <si>
    <t>(96)540</t>
  </si>
  <si>
    <t>http://schoolyat.at.ua</t>
  </si>
  <si>
    <t>Христинівська загальноосвітня школа І-ІІІ ступенів № 2 Христинівської районної ради Черкаської області</t>
  </si>
  <si>
    <t>20001</t>
  </si>
  <si>
    <t>7124610100</t>
  </si>
  <si>
    <t>Христинівка</t>
  </si>
  <si>
    <t>(04745)22616</t>
  </si>
  <si>
    <t>http://school2-info.at.ua</t>
  </si>
  <si>
    <t>Христинівська спеціалізована школа І-ІІІ ступенів № 1 імені О. Є. Корнійчука Христинівської районної ради Черкаської області</t>
  </si>
  <si>
    <t>вул. І. Сірка, 7</t>
  </si>
  <si>
    <t>(04745)6-02-58, (04745)6-09-42</t>
  </si>
  <si>
    <t>http://korniythuk1.at.ua/</t>
  </si>
  <si>
    <t>Верхняцька загальноосвітня школа І-ІІІ ступенів № 2 Христинівської районної ради Черкаської області</t>
  </si>
  <si>
    <t>20022</t>
  </si>
  <si>
    <t>7124655300</t>
  </si>
  <si>
    <t>(04745)94459</t>
  </si>
  <si>
    <t>http://ver-school2.at.ua/</t>
  </si>
  <si>
    <t>Верхняцький міжшкільний навчально-виробничий комбінат Христинівської районноїради Черкаської області</t>
  </si>
  <si>
    <t>(04745)94424</t>
  </si>
  <si>
    <t>Верхняцький навчально-виховний комплекс "Загальноосвітня школа І-ІІІ ступенів № 1-ліцей" Христинівської районної ради Черкаської області</t>
  </si>
  <si>
    <t>пров. Соборний, 1</t>
  </si>
  <si>
    <t>94-2-42</t>
  </si>
  <si>
    <t>http://vnvk.hr.ck.ua</t>
  </si>
  <si>
    <t>Великосевастянівська ЗОШ І-ІІІ ступенів Христинівської районної ради Черкаської області</t>
  </si>
  <si>
    <t>20045</t>
  </si>
  <si>
    <t>7124681001</t>
  </si>
  <si>
    <t>Велика Севастянівка</t>
  </si>
  <si>
    <t>вул. Св.Покрови, 1А</t>
  </si>
  <si>
    <t>(04745)97380</t>
  </si>
  <si>
    <t>http://schoolvs.org.ua</t>
  </si>
  <si>
    <t>Великосевастянівський навчально-виховний комплекс "Дошкільний навчальний заклад - загальноосвітня школа I-II ступенів" Христинівської районної ради Черкаської області</t>
  </si>
  <si>
    <t>вул. Драченка, 47</t>
  </si>
  <si>
    <t>0474597396</t>
  </si>
  <si>
    <t>Заячківський навчально-виховний комплекс "Дошкільний навчальний заклад - загальноосвітня школа І-ІІІ ступенів" Христинівської районної ради Черкаської області</t>
  </si>
  <si>
    <t>20043</t>
  </si>
  <si>
    <t>7124682001</t>
  </si>
  <si>
    <t>Заячківка</t>
  </si>
  <si>
    <t>0474590240</t>
  </si>
  <si>
    <t>http://zhr.ucoz.ua</t>
  </si>
  <si>
    <t>Івангородський навчально-виховний комплекс "Дошкільний навчальний заклад - загальноосвітня школа І-ІІІ ступенів"</t>
  </si>
  <si>
    <t>20040</t>
  </si>
  <si>
    <t>7124682501</t>
  </si>
  <si>
    <t>(04745)98-3-25</t>
  </si>
  <si>
    <t>Кузьминогребельська загальноосвітня школа І-ІІІ ступенів Христинівської районної ради Черкаської області</t>
  </si>
  <si>
    <t>20051</t>
  </si>
  <si>
    <t>7124683001</t>
  </si>
  <si>
    <t>Кузьмина Гребля</t>
  </si>
  <si>
    <t>0474595331</t>
  </si>
  <si>
    <t>http://kuzmina-greblya.edukit.CK.ua</t>
  </si>
  <si>
    <t>Ліщинівська загальноосвітня школа І-ІІІ ступенів Христинівської районної ради Черкаської області</t>
  </si>
  <si>
    <t>20013</t>
  </si>
  <si>
    <t>7124683501</t>
  </si>
  <si>
    <t>Ліщинівка</t>
  </si>
  <si>
    <t>вул. Леніна, 37А</t>
  </si>
  <si>
    <t>(04745)9-05-40</t>
  </si>
  <si>
    <t>http://lishchynschool.ucoz.ru</t>
  </si>
  <si>
    <t>Малосевастянівська ЗОШ І-ІІІ ст Христинівської районної ради Черкаської області</t>
  </si>
  <si>
    <t>20030</t>
  </si>
  <si>
    <t>7124684001</t>
  </si>
  <si>
    <t>Мала Севастянівка</t>
  </si>
  <si>
    <t>вул. Українська, 23А</t>
  </si>
  <si>
    <t>(04745)-93335</t>
  </si>
  <si>
    <t>http://mala-sevast.ucoz.ua</t>
  </si>
  <si>
    <t>Орадівська загальноосвітня школа І-ІІІ ступенів Христинівської районної ради Черкаської області</t>
  </si>
  <si>
    <t>20034</t>
  </si>
  <si>
    <t>7124684501</t>
  </si>
  <si>
    <t>Орадівка</t>
  </si>
  <si>
    <t>91540</t>
  </si>
  <si>
    <t>Осітнянська загальноосвітня школа І - ІІ ступенів Христинівської районної ради Черкаської області</t>
  </si>
  <si>
    <t>20052</t>
  </si>
  <si>
    <t>7124684701</t>
  </si>
  <si>
    <t>Осітна</t>
  </si>
  <si>
    <t>вул. Калініна, 124</t>
  </si>
  <si>
    <t>93-2-35</t>
  </si>
  <si>
    <t>Розсішська загальноосвітня школа І-ІІІ ступенів Христинівської районної ради Черкаської області</t>
  </si>
  <si>
    <t>20032</t>
  </si>
  <si>
    <t>7124685501</t>
  </si>
  <si>
    <t>Розсішки</t>
  </si>
  <si>
    <t>вул. Соборності, 4</t>
  </si>
  <si>
    <t>96410</t>
  </si>
  <si>
    <t>Синицька загальноосвітня школа І-ІІІ ступенів Христинівської районної ради Черкаської області</t>
  </si>
  <si>
    <t>20050</t>
  </si>
  <si>
    <t>7124686001</t>
  </si>
  <si>
    <t>Синиця</t>
  </si>
  <si>
    <t>вул. Миру, 65</t>
  </si>
  <si>
    <t>99-3-40</t>
  </si>
  <si>
    <t>http://synytsia-zosh.edukit.ck.ua</t>
  </si>
  <si>
    <t>Сичівський навчально-виховний комплекс "Дошкільний навчальний заклад - загальноосвітня школа І-ІІ ступенів" Христинівської районної ради Черкаської області</t>
  </si>
  <si>
    <t>20041</t>
  </si>
  <si>
    <t>7124686501</t>
  </si>
  <si>
    <t>Сичівка</t>
  </si>
  <si>
    <t>вул. Галети, 1А</t>
  </si>
  <si>
    <t>96347</t>
  </si>
  <si>
    <t>Углуватський навчально-виховний комплекс"Дошкільний навчальний заклад - загальноосвітня школа І-ІІІ ступенів" Христинівської районної ради Черкаської області</t>
  </si>
  <si>
    <t>20011</t>
  </si>
  <si>
    <t>7124687001</t>
  </si>
  <si>
    <t>Углуватка</t>
  </si>
  <si>
    <t>вул. Забенкова, 1</t>
  </si>
  <si>
    <t>(04744)7-13-23</t>
  </si>
  <si>
    <t>http://ugluvatanvk.at.ua</t>
  </si>
  <si>
    <t>Христинівська загальноосвітня школа І-ІІІ ступенів</t>
  </si>
  <si>
    <t>20009</t>
  </si>
  <si>
    <t>7124687501</t>
  </si>
  <si>
    <t>04745-6-43-03</t>
  </si>
  <si>
    <t>http://school-kristin.ucoz.ua</t>
  </si>
  <si>
    <t>Шельпахівська загальноосвітня школа І-ІІІ ступенів Христинівської районної ради Черкаської області</t>
  </si>
  <si>
    <t>20044</t>
  </si>
  <si>
    <t>7124688001</t>
  </si>
  <si>
    <t>Шельпахівка</t>
  </si>
  <si>
    <t>вул. Кобринюка, 113</t>
  </si>
  <si>
    <t>95-5-36</t>
  </si>
  <si>
    <t>http://shel22.ucoz.ru/</t>
  </si>
  <si>
    <t>Шукайводський навчально-виховний комплекс "Дошкільний навчальний заклад - загальноосвітня школа І-ІІІ ступенів" Христинівської районної ради Черкаської області</t>
  </si>
  <si>
    <t>20014</t>
  </si>
  <si>
    <t>7124688501</t>
  </si>
  <si>
    <t>Шукайвода</t>
  </si>
  <si>
    <t>(04745)93-5-33</t>
  </si>
  <si>
    <t>Ягубецька загальноосвітня школа І-ІІІ ступенів Христинівської районної ради Черкаської області</t>
  </si>
  <si>
    <t>20042</t>
  </si>
  <si>
    <t>7124689001</t>
  </si>
  <si>
    <t>Ягубець</t>
  </si>
  <si>
    <t>0474591329</t>
  </si>
  <si>
    <t>Ірдинський навчально-виховний комплекс "Дошкільний навчальний заклад - загальноосвітня школа І-ІІІ ступенів" Білозірської сільської ради Черкаського району Черкаської області</t>
  </si>
  <si>
    <t>19630</t>
  </si>
  <si>
    <t>7124955300</t>
  </si>
  <si>
    <t>Ірдинь</t>
  </si>
  <si>
    <t>346-284</t>
  </si>
  <si>
    <t>http://irdyn-zosh.ck.sch.in.ua</t>
  </si>
  <si>
    <t>Байбузівська загальноосвітня школа І-ІІІ ступенів Черкаської районної ради Черкаської області</t>
  </si>
  <si>
    <t>19617</t>
  </si>
  <si>
    <t>7124980501</t>
  </si>
  <si>
    <t>Байбузи</t>
  </si>
  <si>
    <t>вул. Рябоконя, 88</t>
  </si>
  <si>
    <t>(0472)309290</t>
  </si>
  <si>
    <t>http://baybuzy.ucoz.ua</t>
  </si>
  <si>
    <t>Білозірська загальноосвітня школа І ступеня - філія опорного навчального закладу "Білозірська зош І-ІІІ ступенів" Білозірської сільської ради Черкаського району Черкаської області</t>
  </si>
  <si>
    <t>19635</t>
  </si>
  <si>
    <t>7124981001</t>
  </si>
  <si>
    <t>Білозір'я</t>
  </si>
  <si>
    <t>вул. Незалежності, 333</t>
  </si>
  <si>
    <t>0472300289</t>
  </si>
  <si>
    <t>Білозірська загальноосвітня школа І-ІІ ст. - філія Опорного навчального закладу "Білозірська загальноосвітня школа І-ІІІ ступенів" Білозірської сільської ради Черкаського району Черкаської області виконавчий комітет Білозірської сільської ради</t>
  </si>
  <si>
    <t>вул. Гагаріна, 214</t>
  </si>
  <si>
    <t>(0472)300340</t>
  </si>
  <si>
    <t>http://biliziria.at.ua</t>
  </si>
  <si>
    <t>Опорний навчальний заклад "Білозірська загальноосвітня школа І-ІІІ ступенів" Білозірської сільської ради Черкаського району Черкаської області</t>
  </si>
  <si>
    <t>http://bilozir-school.ucoz.ua</t>
  </si>
  <si>
    <t>Будищенська загальноосвітня школа І-ІІІ ступенів Черкаської районної ради Черкаської області</t>
  </si>
  <si>
    <t>19620</t>
  </si>
  <si>
    <t>7124981501</t>
  </si>
  <si>
    <t>Будище</t>
  </si>
  <si>
    <t>вул. 30-річчя Перемоги, 29</t>
  </si>
  <si>
    <t>340245</t>
  </si>
  <si>
    <t>http://bydusheschool.jimdo.com</t>
  </si>
  <si>
    <t>Вергунівська загальноосвітня школа I-III ступенів Черкаської районної ради Черкаської області</t>
  </si>
  <si>
    <t>19641</t>
  </si>
  <si>
    <t>7124982001</t>
  </si>
  <si>
    <t>вул. Свято-Троїцька, 95</t>
  </si>
  <si>
    <t>(0472)341645</t>
  </si>
  <si>
    <t>http://vergynuzosh.at.ua</t>
  </si>
  <si>
    <t>Нечаївська загальноосвітня школа І-ІІ ступенів Черкаської районної ради Черкаської області</t>
  </si>
  <si>
    <t>7124982002</t>
  </si>
  <si>
    <t>(0472)309708</t>
  </si>
  <si>
    <t>Геронимівська загальноосвітня школа І-ІІІ ступенів Черкаської районної ради Черкаської області</t>
  </si>
  <si>
    <t>7124982501</t>
  </si>
  <si>
    <t>Геронимівка</t>
  </si>
  <si>
    <t>вул. Вернигори, 25</t>
  </si>
  <si>
    <t>305723</t>
  </si>
  <si>
    <t>http://www.geronimovka.at.ua</t>
  </si>
  <si>
    <t>Дубіївська загальноосвітня школа І-ІІІ ступенів Черкаської районної ради Черкаської області</t>
  </si>
  <si>
    <t>19631</t>
  </si>
  <si>
    <t>7124983001</t>
  </si>
  <si>
    <t>Дубіївка</t>
  </si>
  <si>
    <t>(0472)306340</t>
  </si>
  <si>
    <t>http://www.dubiev-school.do.am/</t>
  </si>
  <si>
    <t>Думанецька загальноосвітня школа І-ІІІ ступенів Черкаської районної ради Черкаської області</t>
  </si>
  <si>
    <t>19645</t>
  </si>
  <si>
    <t>7124983501</t>
  </si>
  <si>
    <t>Думанці</t>
  </si>
  <si>
    <t>вул. Благовічна, 103</t>
  </si>
  <si>
    <t>(0472)348240</t>
  </si>
  <si>
    <t>Кумейківська загальноосвітня школа І-ІІ ступенів Черкаської районної ради Черкаської області</t>
  </si>
  <si>
    <t>19614</t>
  </si>
  <si>
    <t>7124984001</t>
  </si>
  <si>
    <t>Кумейки</t>
  </si>
  <si>
    <t>вул. Перемоги, 26</t>
  </si>
  <si>
    <t>(0472)345625</t>
  </si>
  <si>
    <t>http://kumeiki.ucoz.ua</t>
  </si>
  <si>
    <t>Леськівська загальноосвітня школа І-ІІІ ступенів Черкаської районної ради Черкаської області</t>
  </si>
  <si>
    <t>19640</t>
  </si>
  <si>
    <t>7124984501</t>
  </si>
  <si>
    <t>Леськи</t>
  </si>
  <si>
    <t>343240</t>
  </si>
  <si>
    <t>http://lesky.at.ua</t>
  </si>
  <si>
    <t>Мошнівська загальноосвітня школа І-ІІІ ступенів Черкаської районної ради Черкаської області</t>
  </si>
  <si>
    <t>19615</t>
  </si>
  <si>
    <t>7124985001</t>
  </si>
  <si>
    <t>Мошни</t>
  </si>
  <si>
    <t>вул. Савченка, 39</t>
  </si>
  <si>
    <t>0472302771</t>
  </si>
  <si>
    <t>http://moshny.edukit.ck.ua</t>
  </si>
  <si>
    <t>Руськополянська загальноосвітня школа I-III ступенів № 2 Черкаської районної ради Черкаської області</t>
  </si>
  <si>
    <t>19602</t>
  </si>
  <si>
    <t>7124985201</t>
  </si>
  <si>
    <t>Руська Поляна</t>
  </si>
  <si>
    <t>вул. Старшини Єпіфанова, 1/2</t>
  </si>
  <si>
    <t>303440</t>
  </si>
  <si>
    <t>http://ruspol2.at.ua</t>
  </si>
  <si>
    <t>Руськополянська загальноосвітня школа І-ІІІ ступенів № 1 Черкаської районної ради, Черкаської області</t>
  </si>
  <si>
    <t>вул. Небесної Сотні, 4</t>
  </si>
  <si>
    <t>(0472)303340</t>
  </si>
  <si>
    <t>http://rpschool1.at.ua</t>
  </si>
  <si>
    <t>Сагунівська загальноосвітня школа I-III ступенів Черкаської районної ради Черкаської області</t>
  </si>
  <si>
    <t>19644</t>
  </si>
  <si>
    <t>7124985501</t>
  </si>
  <si>
    <t>Сагунівка</t>
  </si>
  <si>
    <t>вул. Шевченка, 26А</t>
  </si>
  <si>
    <t>0472342240</t>
  </si>
  <si>
    <t>http://sagunivka-zosh.ck.sch.in.ua</t>
  </si>
  <si>
    <t>Сагунівська загальноосвітня школа І- ІІ ступенів Черкаської районної ради Черкаської області</t>
  </si>
  <si>
    <t>вул. Жовтнева, 20 А</t>
  </si>
  <si>
    <t>0472342140</t>
  </si>
  <si>
    <t>http://sagashkola2.at.ua</t>
  </si>
  <si>
    <t>Свидівоцька загальноосвітня школа I-III ступенів Черкаської районної ради Черкаської області</t>
  </si>
  <si>
    <t>19622</t>
  </si>
  <si>
    <t>7124986001</t>
  </si>
  <si>
    <t>Свидівок</t>
  </si>
  <si>
    <t>вул. Партизанська, 20</t>
  </si>
  <si>
    <t>(0472)30-80-72</t>
  </si>
  <si>
    <t>http://svidivokschool.ucoz.ua</t>
  </si>
  <si>
    <t>Софіївська загальноосвітня школа І - ІІ ступенів Черкаської районної ради Черкаської області</t>
  </si>
  <si>
    <t>19610</t>
  </si>
  <si>
    <t>7124986501</t>
  </si>
  <si>
    <t>вул. Матвієвського, 14</t>
  </si>
  <si>
    <t>(0472)308521</t>
  </si>
  <si>
    <t>https://sites.google.com/site/sofiivskaschool/</t>
  </si>
  <si>
    <t>Шелепуська загальноосвітня школа І-ІІІ ступенів Черкаської районної ради Черкаської області</t>
  </si>
  <si>
    <t>7124986507</t>
  </si>
  <si>
    <t>Шелепухи</t>
  </si>
  <si>
    <t>вул. Черкаська, 11</t>
  </si>
  <si>
    <t>0472308534</t>
  </si>
  <si>
    <t>http://shelsh.ucoz.ru/</t>
  </si>
  <si>
    <t>Степанківська загальноосвітня школа І-ІІІ ступенів Черкаської районної ради Черкаської області</t>
  </si>
  <si>
    <t>19632</t>
  </si>
  <si>
    <t>7124987001</t>
  </si>
  <si>
    <t>306540</t>
  </si>
  <si>
    <t>http://stepanki.esy.es</t>
  </si>
  <si>
    <t>Тубільцівська загальноосвітня школа І-ІІІ ступенів Черкаської районної ради Черкаської області</t>
  </si>
  <si>
    <t>19611</t>
  </si>
  <si>
    <t>7124987501</t>
  </si>
  <si>
    <t>Тубільці</t>
  </si>
  <si>
    <t>345220, 345250</t>
  </si>
  <si>
    <t>http://tubilcischcola.at.ua/</t>
  </si>
  <si>
    <t>Хацьківська загальноосвітня школа І-ІІІ ступенів Черкаської районної ради Черкаської області</t>
  </si>
  <si>
    <t>19634</t>
  </si>
  <si>
    <t>7124988001</t>
  </si>
  <si>
    <t>Хацьки</t>
  </si>
  <si>
    <t>вул. Тищенка, 23</t>
  </si>
  <si>
    <t>306572</t>
  </si>
  <si>
    <t>http://khatskyschool.at.ua</t>
  </si>
  <si>
    <t>Худяківська загальноосвітня школа І-ІІІ ступенів ім. Героя Радянського Союзу Г.Є. Брика Черкаської районної ради Черкаської області</t>
  </si>
  <si>
    <t>19643</t>
  </si>
  <si>
    <t>7124988501</t>
  </si>
  <si>
    <t>Худяки</t>
  </si>
  <si>
    <t>вул. Шевченка, 57/б</t>
  </si>
  <si>
    <t>349440, 349340</t>
  </si>
  <si>
    <t>http://khudiakivska.at.ua</t>
  </si>
  <si>
    <t>Хутірська загальноосвітня школа І-ІІІ ступенів Черкаської районної ради Черкаської області</t>
  </si>
  <si>
    <t>19603</t>
  </si>
  <si>
    <t>7124988701</t>
  </si>
  <si>
    <t>Хутори</t>
  </si>
  <si>
    <t>пров. Сурікова, 6</t>
  </si>
  <si>
    <t>305224</t>
  </si>
  <si>
    <t>http://www.khutoruschool.ucoz.ua</t>
  </si>
  <si>
    <t>Червонослобідська загальноосвітня школа І-ІІІ ступенів № 1 Черкаської районної ради Черкаської області</t>
  </si>
  <si>
    <t>19604</t>
  </si>
  <si>
    <t>7124989001</t>
  </si>
  <si>
    <t>вул. Небесної Сотні, 52</t>
  </si>
  <si>
    <t>0472304185</t>
  </si>
  <si>
    <t>https://slobodazosh1.jimdo.com</t>
  </si>
  <si>
    <t>Червонослобідська загальноосвітня школа І-ІІІ ступенів № 2 Черкаської районної ради Черкаської області</t>
  </si>
  <si>
    <t>вул. Чигиринськой шлях, 127</t>
  </si>
  <si>
    <t>304258, 304245</t>
  </si>
  <si>
    <t>http://ch-sloboda-zosh.ck.sch.in.ua/</t>
  </si>
  <si>
    <t>Чорнявський навчально-виховний комплекс "Дошкільний навчальний заклад - загальноосвітня школа І - ІІІ ступенів" Черкаської районної ради Черкаської області</t>
  </si>
  <si>
    <t>19646</t>
  </si>
  <si>
    <t>7124989201</t>
  </si>
  <si>
    <t>Чорнявка</t>
  </si>
  <si>
    <t>(0472)34-64-40</t>
  </si>
  <si>
    <t>http://www.chornyavka-nvk.ucoz.ua</t>
  </si>
  <si>
    <t>Яснозірська загальноосвітня школа І-ІІІ ступенів Черкаської районної ради Черкаської області</t>
  </si>
  <si>
    <t>19616</t>
  </si>
  <si>
    <t>7124989501</t>
  </si>
  <si>
    <t>0472307336</t>
  </si>
  <si>
    <t>http://yasnozirja.ucoz.net</t>
  </si>
  <si>
    <t>Чорнобаївська гімназія Чорнобаївської районної ради Черкаської області</t>
  </si>
  <si>
    <t>19900</t>
  </si>
  <si>
    <t>7125155100</t>
  </si>
  <si>
    <t>Чорнобай</t>
  </si>
  <si>
    <t>вул. Слинька, 4</t>
  </si>
  <si>
    <t>(04739)23096</t>
  </si>
  <si>
    <t>http://gimnasia-chornobay.inf.ua/</t>
  </si>
  <si>
    <t>Чорнобаївська загальноосвітня школа І-ІІІ ступенів № 1Чорнобаївської районної ради Черкаської області</t>
  </si>
  <si>
    <t>22670</t>
  </si>
  <si>
    <t>Чорнобаївська загальноосвітня школа І-ІІІ ступенів № 2 Чорнобаївської районної ради Черкаської області</t>
  </si>
  <si>
    <t>вул. Черкаська, 85</t>
  </si>
  <si>
    <t>0473922989, 0473923375</t>
  </si>
  <si>
    <t>http://chornobayschool.ucoz.ru</t>
  </si>
  <si>
    <t>Богодухівський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</si>
  <si>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19914</t>
  </si>
  <si>
    <t>7125180401</t>
  </si>
  <si>
    <t>Богодухівка</t>
  </si>
  <si>
    <t>(04739)36140</t>
  </si>
  <si>
    <t>http://www.bogoduhivka.ucoz.net</t>
  </si>
  <si>
    <t>Васютинський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</si>
  <si>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19963</t>
  </si>
  <si>
    <t>7125180801</t>
  </si>
  <si>
    <t>Васютинці</t>
  </si>
  <si>
    <t>вул. Комсомольська, 31</t>
  </si>
  <si>
    <t>Великобурімська загальноосвітня школа І-ІІІ ступенів Чорнобаївської районної ради Черкаської області</t>
  </si>
  <si>
    <t>19940</t>
  </si>
  <si>
    <t>7125181201</t>
  </si>
  <si>
    <t>Велика Бурімка</t>
  </si>
  <si>
    <t>(04739)37340</t>
  </si>
  <si>
    <t>Великоканівецький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</si>
  <si>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19930</t>
  </si>
  <si>
    <t>7125181601</t>
  </si>
  <si>
    <t>Великі Канівці</t>
  </si>
  <si>
    <t>вул. Преображенська,1</t>
  </si>
  <si>
    <t>(04739)951640</t>
  </si>
  <si>
    <t>Малоканівецька загальноосвітня школа І-ІІ ступенів Чорнобаївської районної ради Черкаської області</t>
  </si>
  <si>
    <t>19931</t>
  </si>
  <si>
    <t>7125181602</t>
  </si>
  <si>
    <t>Малі Канівці</t>
  </si>
  <si>
    <t>Вереміївський навчально-виховний комплекс:загальноосвітня школа І-ІІІ ступенів -дошкільний навчальний заклад Чорнобаївської районної ради Черкаської області</t>
  </si>
  <si>
    <t>19972</t>
  </si>
  <si>
    <t>7125182001</t>
  </si>
  <si>
    <t>Вереміївка</t>
  </si>
  <si>
    <t>вул. Ценральна, 102</t>
  </si>
  <si>
    <t>0473935540</t>
  </si>
  <si>
    <t>http://verschool.ho.ua</t>
  </si>
  <si>
    <t>Веселохутірський навчально-виховний комплекс "Дошкільний навчальний заклад - загальноосвітня школа І-ІІІ ступенів імені Володимира Лук'янця" Чорнобаївської районної ради Черкаської області</t>
  </si>
  <si>
    <t>19923</t>
  </si>
  <si>
    <t>7125182201</t>
  </si>
  <si>
    <t>Веселий Хутір</t>
  </si>
  <si>
    <t>вул. Благовісна, 27</t>
  </si>
  <si>
    <t>(04739)46240</t>
  </si>
  <si>
    <t>http://www.veselyi-hutir.edukit.ck.ua/</t>
  </si>
  <si>
    <t>Жовнинський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</si>
  <si>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19973</t>
  </si>
  <si>
    <t>7125182401</t>
  </si>
  <si>
    <t>Жовнине</t>
  </si>
  <si>
    <t>вул. Макаренка, 9</t>
  </si>
  <si>
    <t>(0473)952640</t>
  </si>
  <si>
    <t>Іркліївська загальноосвітня школа І-ІІІ ступенів Чорнобаївської районої ради Черкаської області</t>
  </si>
  <si>
    <t>19950</t>
  </si>
  <si>
    <t>7125182801</t>
  </si>
  <si>
    <t>Іркліїв</t>
  </si>
  <si>
    <t>5-52-83</t>
  </si>
  <si>
    <t>Скородистицька загальноосвітня школа І-ІІ ступенів "Школа життєтворчості" Чорнобаївської районної ради Черкаської області</t>
  </si>
  <si>
    <t>19951</t>
  </si>
  <si>
    <t>7125182803</t>
  </si>
  <si>
    <t>Скородистик</t>
  </si>
  <si>
    <t>55531</t>
  </si>
  <si>
    <t>Червоногірський навчально-виховний комплекс "Дошкільний навчальний заклад-загальноосвітня школа І ступеня" Чорнобаївської районної ради Черкаської області</t>
  </si>
  <si>
    <t>7125182804</t>
  </si>
  <si>
    <t>Червоногірка</t>
  </si>
  <si>
    <t>вул. Шевченка, 21 А</t>
  </si>
  <si>
    <t>0473955617</t>
  </si>
  <si>
    <t>Кліщинський навчально-виховний комплекс "Дошкільний навчальний заклад - загальноосвітня школа І-ІІІ ступенів" імені М.П. Старицького Чорнобаївської районної ради Черкаської області</t>
  </si>
  <si>
    <t>19971</t>
  </si>
  <si>
    <t>7125183201</t>
  </si>
  <si>
    <t>Кліщинці</t>
  </si>
  <si>
    <t>вул. Орла, 2</t>
  </si>
  <si>
    <t>0473957540</t>
  </si>
  <si>
    <t>Красенівський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</si>
  <si>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19910</t>
  </si>
  <si>
    <t>7125183601</t>
  </si>
  <si>
    <t>Красенівка</t>
  </si>
  <si>
    <t>вул. Піддубного, 1А</t>
  </si>
  <si>
    <t>Хрестителівський навчально-виховний комплекс "Дошкільний навчальний заклад - загальносвітня школа І-ІІІ ступенів" Чорнобаївської районної ради Черкаської області</t>
  </si>
  <si>
    <t>19922</t>
  </si>
  <si>
    <t>7125184001</t>
  </si>
  <si>
    <t>Хрестителеве</t>
  </si>
  <si>
    <t>пров. Центральний, 5</t>
  </si>
  <si>
    <t>(04739)56340</t>
  </si>
  <si>
    <t>Крутьківський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</si>
  <si>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19932</t>
  </si>
  <si>
    <t>7125184401</t>
  </si>
  <si>
    <t>Крутьки</t>
  </si>
  <si>
    <t>вул. Устименка</t>
  </si>
  <si>
    <t>53440</t>
  </si>
  <si>
    <t>Степівський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</si>
  <si>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19961</t>
  </si>
  <si>
    <t>7125184801</t>
  </si>
  <si>
    <t>Лихолітський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</si>
  <si>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19944</t>
  </si>
  <si>
    <t>7125185001</t>
  </si>
  <si>
    <t>Лихоліти</t>
  </si>
  <si>
    <t>43440</t>
  </si>
  <si>
    <t>Лукашівський навчально-виховний комплекс "Дошкільний навчальний заклад - загальноосвітня школа І - ІІІ ступенів" Чорнобаївської районної ради Черкаської області</t>
  </si>
  <si>
    <t>19926</t>
  </si>
  <si>
    <t>7125185201</t>
  </si>
  <si>
    <t>(04739)44240</t>
  </si>
  <si>
    <t>Лящівський навчально - виховний комплекс "Дошкільний навчальний комплекс - загальноосвітня школа І - ІІІ ступенів"</t>
  </si>
  <si>
    <t>19960</t>
  </si>
  <si>
    <t>7125185601</t>
  </si>
  <si>
    <t>Лящівка</t>
  </si>
  <si>
    <t>вул. Миру, 78А</t>
  </si>
  <si>
    <t>Малобурімська загальноосвітня школа І - ІІІ ступенівЧорнобаївської районної ради Черкаської області</t>
  </si>
  <si>
    <t>19924</t>
  </si>
  <si>
    <t>7125186001</t>
  </si>
  <si>
    <t>Мала Бурімка</t>
  </si>
  <si>
    <t>вул. Центральна, 13 Б</t>
  </si>
  <si>
    <t>Мельниківський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</si>
  <si>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19934</t>
  </si>
  <si>
    <t>7125186401</t>
  </si>
  <si>
    <t>вул. Вознесенська, 108</t>
  </si>
  <si>
    <t>(04739)35491</t>
  </si>
  <si>
    <t>http://melnikischool.org.ua</t>
  </si>
  <si>
    <t>Москаленківський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</si>
  <si>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19970</t>
  </si>
  <si>
    <t>7125186801</t>
  </si>
  <si>
    <t>Москаленки</t>
  </si>
  <si>
    <t>(0473)958740</t>
  </si>
  <si>
    <t>Новожиттівський навчально-виховний комплекс: "Дошкільний навчальний заклад - загальноосвітня школа І-ІІ ступенів" Чорнобаївської районної ради Черкаської області</t>
  </si>
  <si>
    <t>19912</t>
  </si>
  <si>
    <t>7125187201</t>
  </si>
  <si>
    <t>Нове Життя</t>
  </si>
  <si>
    <t>вул. ШКІЛЬНА, 17</t>
  </si>
  <si>
    <t>953140</t>
  </si>
  <si>
    <t>http://novezhyttia-nvk.ck.sch.in.ua</t>
  </si>
  <si>
    <t>Новоукраїнський навчально-виховний комплекс"Дошкільний навчальний заклад - загальноосвітня школа І-ІІ ступенів" Чорнобаївської районної ради Черкаської області</t>
  </si>
  <si>
    <t>19942</t>
  </si>
  <si>
    <t>7125187601</t>
  </si>
  <si>
    <t>5-83-40</t>
  </si>
  <si>
    <t>Першотравневий навчально-виховний комплекс "Дошкільний навчальний заклад - загальноосвітня школа І-ІІ ступенів" Чорнобаївської районної ради Черкаської області</t>
  </si>
  <si>
    <t>19953</t>
  </si>
  <si>
    <t>7125187901</t>
  </si>
  <si>
    <t>45571</t>
  </si>
  <si>
    <t>Придніпровський навчально-виховний комплекс "Дошкільний навчальний заклад-загальноосвітня школа І-ІІІ ступенів"</t>
  </si>
  <si>
    <t>19952</t>
  </si>
  <si>
    <t>7125188001</t>
  </si>
  <si>
    <t>вул. Водяника, 17</t>
  </si>
  <si>
    <t>(04739)4-55-40</t>
  </si>
  <si>
    <t>http://Sites.qooqle.com/site/pridniprschool</t>
  </si>
  <si>
    <t>Ревбинський навчально-виховний комплекс "Дошкільний навчальний заклад - загальноосвітня школа І-ІІ ступнеів" Чорнобаївської районної ради, Черкаської області</t>
  </si>
  <si>
    <t>19943</t>
  </si>
  <si>
    <t>7125188401</t>
  </si>
  <si>
    <t>Ревбинці</t>
  </si>
  <si>
    <t>вул. Леніна, 5</t>
  </si>
  <si>
    <t>0473951269</t>
  </si>
  <si>
    <t>Староковрайська загальноосвітня школа І-ІІІ ступенів Чорнобаївської районної ради Черкаської області</t>
  </si>
  <si>
    <t>19954</t>
  </si>
  <si>
    <t>7125188801</t>
  </si>
  <si>
    <t>Старий Коврай</t>
  </si>
  <si>
    <t>Тимченківський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</si>
  <si>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19962</t>
  </si>
  <si>
    <t>7125189201</t>
  </si>
  <si>
    <t>вул. Шкільна, 21 а</t>
  </si>
  <si>
    <t>(04739)50640</t>
  </si>
  <si>
    <t>http://tymchenky-nvk.ck.sch.in.ua</t>
  </si>
  <si>
    <t>Франківський навчально-виховний комплекс "Дошкільний навчальний заклад - загальноосвітня школа І-ІІ ступенів" Чорнобаївської районної ради, Черкаської області</t>
  </si>
  <si>
    <t>19920</t>
  </si>
  <si>
    <t>7125189601</t>
  </si>
  <si>
    <t>Франківка</t>
  </si>
  <si>
    <t>5-45-40</t>
  </si>
  <si>
    <t>Бакаївський навчально-виховний комплекс "Дошкільний навчальний заклад-загальноосвітня школа І ступеня"</t>
  </si>
  <si>
    <t>19921</t>
  </si>
  <si>
    <t>7125189602</t>
  </si>
  <si>
    <t>Бакаєве</t>
  </si>
  <si>
    <t>54647</t>
  </si>
  <si>
    <t>http://danchenkoira3.wixsite.com/bakaevenvk</t>
  </si>
  <si>
    <t>Комунальний заклад "Чигиринський навчально-реабілітаційний центр Черкаської обласної ради"</t>
  </si>
  <si>
    <t>20901</t>
  </si>
  <si>
    <t>7125410100</t>
  </si>
  <si>
    <t>Чигирин</t>
  </si>
  <si>
    <t>вул. Б. Хмельницького, 30</t>
  </si>
  <si>
    <t>(04730)26669</t>
  </si>
  <si>
    <t>04591624</t>
  </si>
  <si>
    <t>Чигиринська загальноосвітня школа І-ІІІ ступенів № 1 ім. Б. Хмельницького Чигиринської районної ради Черкаської області</t>
  </si>
  <si>
    <t>вул. Б. Хмельницького, 52А</t>
  </si>
  <si>
    <t>0473025852</t>
  </si>
  <si>
    <t>Чигиринський навчально - виховний комплекс "Дошкільний навчальний заклад - спеціалізована школа І-ІІІ ступенів № 2" Чигиринської районної ради Черкаської області</t>
  </si>
  <si>
    <t>вул. Богдана Хмельницького, 121</t>
  </si>
  <si>
    <t>0473025553</t>
  </si>
  <si>
    <t>http://school2chygyryn.at.ua</t>
  </si>
  <si>
    <t>Чигиринський навчально-виковний комплекс "Дошкільний навчальний заклад --- загальноосвітня школа І-ІІІ ступенів № 3" Чигиринської районної ради Черкаської області</t>
  </si>
  <si>
    <t>(04730)26930</t>
  </si>
  <si>
    <t>Боровицька загальноосвітня школа І-ІІІ ступенів Чигиринської районної ради Черкаської області</t>
  </si>
  <si>
    <t>20921</t>
  </si>
  <si>
    <t>7125480501</t>
  </si>
  <si>
    <t>Боровиця</t>
  </si>
  <si>
    <t>ал. Алея миру, 10</t>
  </si>
  <si>
    <t>0473091237</t>
  </si>
  <si>
    <t>http://SchoolBorov.ucoz.ua</t>
  </si>
  <si>
    <t>Вершацька загальноосвітня школа І-ІІІ ступенів Чигиринської районної ради Черкаської області</t>
  </si>
  <si>
    <t>20943</t>
  </si>
  <si>
    <t>7125481001</t>
  </si>
  <si>
    <t>Вершаці</t>
  </si>
  <si>
    <t>вул. Стежка, 26</t>
  </si>
  <si>
    <t>92-2-42</t>
  </si>
  <si>
    <t>http://vershatsi-school.edukit.ck.ua</t>
  </si>
  <si>
    <t>Галаганівський навчально-виховний комплекс "Дошкільний навчальний заклад - загальноосвітня школа І-ІІ ступенів" Чигиринської районної ради Черкаської області</t>
  </si>
  <si>
    <t>20915</t>
  </si>
  <si>
    <t>7125481201</t>
  </si>
  <si>
    <t>вул. Б.Хмельницького, 135 А</t>
  </si>
  <si>
    <t>(04730)93281, (04730)93325</t>
  </si>
  <si>
    <t>Головківський навчально-виховний комплекс "Дошкільний навчальний заклад --- загальноосвітня школа І-ІІІ ступенів" Чигиринської районної ради Чигиринського району Черкаської області</t>
  </si>
  <si>
    <t>20936</t>
  </si>
  <si>
    <t>7125481501</t>
  </si>
  <si>
    <t>0473090215</t>
  </si>
  <si>
    <t>http://golschool.at.ua</t>
  </si>
  <si>
    <t>Матвіївський навчально-виховний комплекс "Дошкільний навчальний заклад - загальноосвітня школа І - ІІ ступенів" Чигиринської районної ради Черкаської області</t>
  </si>
  <si>
    <t>20941</t>
  </si>
  <si>
    <t>7125483001</t>
  </si>
  <si>
    <t>0473095619</t>
  </si>
  <si>
    <t>http://matviivka-nvk.jimdo.com</t>
  </si>
  <si>
    <t>Медведівська загальноосвітня школа І-ІІІ ступенів ім. М.Залізняка Чигиринської районної ради Черкаської області</t>
  </si>
  <si>
    <t>20930</t>
  </si>
  <si>
    <t>7125483501</t>
  </si>
  <si>
    <t>вул. М.Залізняка, 2</t>
  </si>
  <si>
    <t>0473095388</t>
  </si>
  <si>
    <t>http://medvedivka.tk/</t>
  </si>
  <si>
    <t>Мельниківський навчально-виховний комплекс"Дошкільний навчальний заклад-загальноосвітня школа І ступеня"Мельниківської сільської ради</t>
  </si>
  <si>
    <t>20933</t>
  </si>
  <si>
    <t>7125484001</t>
  </si>
  <si>
    <t>вул. Холодноярська, 7</t>
  </si>
  <si>
    <t>94332</t>
  </si>
  <si>
    <t>Рацівська загальноосвітня школа І-ІІІ ступенів Чигиринської районної ради Черкаської області</t>
  </si>
  <si>
    <t>20910</t>
  </si>
  <si>
    <t>7125485001</t>
  </si>
  <si>
    <t>Рацеве</t>
  </si>
  <si>
    <t>96-3-10</t>
  </si>
  <si>
    <t>http://www.ratsevoschool.at.ua</t>
  </si>
  <si>
    <t>Вітівський навчально-виховний комплекс "Дошкільний навчальний заклад - загальноосвітня школа І-ІІ ступенів" Чигиринської районної ради Черкаської області</t>
  </si>
  <si>
    <t>20911</t>
  </si>
  <si>
    <t>7125485002</t>
  </si>
  <si>
    <t>Вітове</t>
  </si>
  <si>
    <t>0473099690</t>
  </si>
  <si>
    <t>Стецівський навчально-виховний комплекс "Дошкільний навчальний заклад - загальноосвітня школа І-ІІІ ступенів " Чигиринської районної ради Черкаської області</t>
  </si>
  <si>
    <t>20914</t>
  </si>
  <si>
    <t>7125485501</t>
  </si>
  <si>
    <t>(04730)97-5-46</t>
  </si>
  <si>
    <t>http://stetsivka_school.at.ua</t>
  </si>
  <si>
    <t>Суботівська загальноосвітня школа І ступеня Чигиринської районної ради Черкаської області</t>
  </si>
  <si>
    <t>20940</t>
  </si>
  <si>
    <t>7125486001</t>
  </si>
  <si>
    <t>Суботів</t>
  </si>
  <si>
    <t>(0473)93646</t>
  </si>
  <si>
    <t>Тіньківська загальноосвітня школа І-ІІІ ступенів Чигиринської районної ради Черкаської області</t>
  </si>
  <si>
    <t>20924</t>
  </si>
  <si>
    <t>7125486501</t>
  </si>
  <si>
    <t>Тіньки</t>
  </si>
  <si>
    <t>вул. Тарасівська, 4</t>
  </si>
  <si>
    <t>98216</t>
  </si>
  <si>
    <t>http://tinkischool.at.ua</t>
  </si>
  <si>
    <t>Топилівський навчально-виховний комплекс "Дошкільний навчальний заклад -- загальноосвітня школа І ступенів" Чигиринської районної ради Черкаської області</t>
  </si>
  <si>
    <t>20920</t>
  </si>
  <si>
    <t>7125487001</t>
  </si>
  <si>
    <t>Топилівка</t>
  </si>
  <si>
    <t>97-6-40</t>
  </si>
  <si>
    <t>Трушівський навчально-виховний комплекс "Дошкільний навчальний заклад- загальноосвітня школа І-ІІІ ступенів" Чигиринської районної ради Черкаської області</t>
  </si>
  <si>
    <t>20922</t>
  </si>
  <si>
    <t>7125487501</t>
  </si>
  <si>
    <t>Трушівці</t>
  </si>
  <si>
    <t>вул. Черкаська, 17</t>
  </si>
  <si>
    <t>047 30 92 3 25</t>
  </si>
  <si>
    <t>Шполянська загальноосвітня школа І-ІІІ ступенів № 1 Шполянської районної ради Черкаської області</t>
  </si>
  <si>
    <t>20603</t>
  </si>
  <si>
    <t>7125710100</t>
  </si>
  <si>
    <t>Шпола</t>
  </si>
  <si>
    <t>0474152159</t>
  </si>
  <si>
    <t>Шполянська загальноосвітня школа І-ІІІ ступенів № 5 Шполянської районної ради Черкаської області</t>
  </si>
  <si>
    <t>вул. Слобідська, 145</t>
  </si>
  <si>
    <t>0474121237</t>
  </si>
  <si>
    <t>http://shkola5.at.ua</t>
  </si>
  <si>
    <t>Шполянська спеціальна загальноосвітня школа-інтернат І-ІІ ступенів Черкаської обласної ради</t>
  </si>
  <si>
    <t>0474121487</t>
  </si>
  <si>
    <t>04591630</t>
  </si>
  <si>
    <t>Шполянський міжшкільний навчально-виробничий комбінат</t>
  </si>
  <si>
    <t>вул. Соборна, 45</t>
  </si>
  <si>
    <t>(04741)53233</t>
  </si>
  <si>
    <t>http://mnvkshpola.at.ua/</t>
  </si>
  <si>
    <t>Шполянський навчально-виховний комплекс "Загальноосвітня школа І-ІІІ ступенів № 2-ліцей" Шполянської районної ради Черкаської області</t>
  </si>
  <si>
    <t>вул. Івана Гончара, 95</t>
  </si>
  <si>
    <t>(047)4152106</t>
  </si>
  <si>
    <t>Шполянський навчально-виховний комплекс "Загальноосвітня школа І-ІІІ ступенів № 3 - гімназія" Шполянської районної ради Черкаської області</t>
  </si>
  <si>
    <t>0474152189, 0683944336</t>
  </si>
  <si>
    <t>Антонівський навчально - виховний комплекс "Дошкільний навчальний заклад - загальноосвітня школа І-ІІ ступенів" Шполянської районної ради Черкаської області</t>
  </si>
  <si>
    <t>20653</t>
  </si>
  <si>
    <t>7125780401</t>
  </si>
  <si>
    <t>0474198284</t>
  </si>
  <si>
    <t>Буртівський навчально-виховний комплекс "Дошкільний навчальний заклад -загальноосвітня школа І ступеня" Шполянської районної ради Черкаської області</t>
  </si>
  <si>
    <t>20610</t>
  </si>
  <si>
    <t>7125780801</t>
  </si>
  <si>
    <t>90-7-40</t>
  </si>
  <si>
    <t>Васильківський навчально-виховний комплекс „Дошкільний навчальний заклад - загальноосвітня школа І-ІІІ ступенів” Шполянської районної ради Черкаської області</t>
  </si>
  <si>
    <t>20624</t>
  </si>
  <si>
    <t>7125781201</t>
  </si>
  <si>
    <t>вул. Центральна, 135</t>
  </si>
  <si>
    <t>94595</t>
  </si>
  <si>
    <t>http://vnvk16.ucoz.net</t>
  </si>
  <si>
    <t>Водянський навчально - виховний комплекс "Дошкільний навчальний заклад - загальноосвітня школа І-ІІІ ступенів" Шполянської районної ради Черкаської області</t>
  </si>
  <si>
    <t>20641</t>
  </si>
  <si>
    <t>7125782001</t>
  </si>
  <si>
    <t>91-2-21</t>
  </si>
  <si>
    <t>Журавський навчально-виховний комплекс"Дошкільний навчальний заклад - загальноосвітня школа І-ІІІ ступенів" Шполянської районної ради Черкаської області</t>
  </si>
  <si>
    <t>20637</t>
  </si>
  <si>
    <t>7125782401</t>
  </si>
  <si>
    <t>вул. Першотравнева, 114</t>
  </si>
  <si>
    <t>(04741)91647</t>
  </si>
  <si>
    <t>Іскренська загальноосвітня школа І-ІІІ ступенів Шполянської районної ради Черкаської області</t>
  </si>
  <si>
    <t>20623</t>
  </si>
  <si>
    <t>7125782601</t>
  </si>
  <si>
    <t>Іскрене</t>
  </si>
  <si>
    <t>(098)83-82-052</t>
  </si>
  <si>
    <t>Капустинський навчально-виховний комплекс "Дошкільний навчальний заклад-загальноосвітня школа І-ІІ ступенв" Шполянської районної ради Черкаської області</t>
  </si>
  <si>
    <t>20622</t>
  </si>
  <si>
    <t>7125782801</t>
  </si>
  <si>
    <t>вул. Новошкільна, 13</t>
  </si>
  <si>
    <t>(04741)44438</t>
  </si>
  <si>
    <t>Кримківський навчально-виховний комплекс "Дошкільний навчальний заклад - загальноосвітня школа І-ІІ ступенів" Шполянської районної ради Черкаської області</t>
  </si>
  <si>
    <t>20640</t>
  </si>
  <si>
    <t>7125783201</t>
  </si>
  <si>
    <t>90-2-25</t>
  </si>
  <si>
    <t>Лебединський навчально - виховний комплекс "Дошкільний навчальний заклад - загальноосвітня школа І-ІІ ступенів № 3" Шполянської районної ради Черкаської області</t>
  </si>
  <si>
    <t>20634</t>
  </si>
  <si>
    <t>7125783601</t>
  </si>
  <si>
    <t>вул. Ватутіна, 13</t>
  </si>
  <si>
    <t>47804</t>
  </si>
  <si>
    <t>Лебединський навчально-виховний комплекс "Дошкільний навчальний заклад - загальноосвітня школа І-ІІІ ступенів № 1" Шполянської районної ради Черкаської області</t>
  </si>
  <si>
    <t>20635</t>
  </si>
  <si>
    <t>Лебединський навчально-виховний комплекс "Дошкільний навчальний заклад - загальноосвтня школа І-ІІІ ступеныв № 2" Шполянської районної ради Черкаської області</t>
  </si>
  <si>
    <t>47-9-15</t>
  </si>
  <si>
    <t>Лип'янська загальноосвітня школа І - ІІІ ступенів Шполянської районної ради Черкаської області</t>
  </si>
  <si>
    <t>7125784001</t>
  </si>
  <si>
    <t>96-2-96</t>
  </si>
  <si>
    <t>Лозуватська загальноосвітня школа І-ІІІ ступенів Шполянської районної ради Черкаської області</t>
  </si>
  <si>
    <t>20621</t>
  </si>
  <si>
    <t>7125784401</t>
  </si>
  <si>
    <t>0474146117</t>
  </si>
  <si>
    <t>http://lozuvatkaschool.at.ua/</t>
  </si>
  <si>
    <t>Мар'янівський навчально-виховний комплекс "Дошкільний навчальний заклад - загальноосвітня школа І - ІІІ ступенів" Шполянської районної ради Черкаської області</t>
  </si>
  <si>
    <t>20633</t>
  </si>
  <si>
    <t>7125784801</t>
  </si>
  <si>
    <t>(241)43-3-24, (04741)43-3-24</t>
  </si>
  <si>
    <t>Матусівський навчально - виховний комплекс "Дошкільний навчальний заклад - загальноосвітня школа І-ІІІ ступенів № 1" Шполянської районної ради Черкаської області</t>
  </si>
  <si>
    <t>20630</t>
  </si>
  <si>
    <t>7125785201</t>
  </si>
  <si>
    <t>Матусів</t>
  </si>
  <si>
    <t>вул. Станіславчицька, 40</t>
  </si>
  <si>
    <t>0474192271</t>
  </si>
  <si>
    <t>Матусівський навчально-виховний комплекс "Дошкільний навчальний заклад - загальноосвітня школа І-ІІІ ступенів № 2" Шполянської районної ради Черкаської області</t>
  </si>
  <si>
    <t>20631</t>
  </si>
  <si>
    <t>вул. Б.Хмельницького, 253</t>
  </si>
  <si>
    <t>0965443180</t>
  </si>
  <si>
    <t>Надточаївський навчально - виховний комплекс "Дошкільний навчальний заклад - загальноосвітня школа I - II ступенів" Шполянської районної ради</t>
  </si>
  <si>
    <t>20612</t>
  </si>
  <si>
    <t>7125785601</t>
  </si>
  <si>
    <t>Надточаївка</t>
  </si>
  <si>
    <t>Нечаєвський навчально-виховний комплекс "Дошкільний навчальний заклад - загальноосвітня щкола І - ІІІ ступенів" Шполянської районної ради Черкаської області</t>
  </si>
  <si>
    <t>20651</t>
  </si>
  <si>
    <t>7125786001</t>
  </si>
  <si>
    <t>Нечаєве</t>
  </si>
  <si>
    <t>вул. Костенка, 7</t>
  </si>
  <si>
    <t>90-3-40</t>
  </si>
  <si>
    <t>Сигнаївський навчально-виховний комплекс "Дошкільний навчальний заклад - загальноосвітня школа І-ІІІ ступенів" Шполянської районної ради Черкаської області</t>
  </si>
  <si>
    <t>20615</t>
  </si>
  <si>
    <t>7125786401</t>
  </si>
  <si>
    <t>Сигнаївка</t>
  </si>
  <si>
    <t>вул. Незалежності</t>
  </si>
  <si>
    <t>(04741)97-2-60</t>
  </si>
  <si>
    <t>http://www.sygnschool.at.ua</t>
  </si>
  <si>
    <t>Скотарівський навчально-виховний комплекс "Дошкільний навчальний заклад-загальноосвітня школа І-ІІ ступенів" Шполянської районної ради Черкаської області</t>
  </si>
  <si>
    <t>20625</t>
  </si>
  <si>
    <t>7125786801</t>
  </si>
  <si>
    <t>Скотареве</t>
  </si>
  <si>
    <t>вул. Кушнова, 55А</t>
  </si>
  <si>
    <t>91-4-40</t>
  </si>
  <si>
    <t>Соболівський навчально-виховний комплекс "Дошкільний навчальний заклад - загальноосвітня школа І ступеня" Шполянської районної ради Черкаської області</t>
  </si>
  <si>
    <t>20644</t>
  </si>
  <si>
    <t>7125787201</t>
  </si>
  <si>
    <t>93-1-48</t>
  </si>
  <si>
    <t>Станіславчицький навчально - виховний комплекс " Дошкільний навчальний заклад - загальноосвітня школа І-ІІ ступенів " Шполянської районної ради Черкаської області</t>
  </si>
  <si>
    <t>20611</t>
  </si>
  <si>
    <t>7125787601</t>
  </si>
  <si>
    <t>31-3-25</t>
  </si>
  <si>
    <t>Терешківський навчально-виховний комплекс «Дошкільний навчальний заклад - загальноосвітня школа І-ІІІ ступенів» Шполянської районної ради Черкаської області</t>
  </si>
  <si>
    <t>20613</t>
  </si>
  <si>
    <t>7125788001</t>
  </si>
  <si>
    <t>вул. Покровська, 21</t>
  </si>
  <si>
    <t>0474142217</t>
  </si>
  <si>
    <t>Товмацький навчально -виховний комплекс "Дошкільний навчальний заклад - загальноосвітня школа І-ІІІ ступенів"</t>
  </si>
  <si>
    <t>20643</t>
  </si>
  <si>
    <t>7125788401</t>
  </si>
  <si>
    <t>Товмач</t>
  </si>
  <si>
    <t>0984457702</t>
  </si>
  <si>
    <t>Топильнянський навчально-виховний комплекс "Дошкільний навчальний заклад - загальноосвітня школа І-ІІІ ступенів" Шполянської районної ради Черкаської області</t>
  </si>
  <si>
    <t>20620</t>
  </si>
  <si>
    <t>7125788801</t>
  </si>
  <si>
    <t>Топильна</t>
  </si>
  <si>
    <t>вул. Шевченка, 29А</t>
  </si>
  <si>
    <t>(047)4145524</t>
  </si>
  <si>
    <t>Ярославський навчально-виховний комплекс "Дошкільний навчальний заклад - загальноосвітня школа І-ІІ ступенів" Шполянської районної ради Черкаської області</t>
  </si>
  <si>
    <t>20654</t>
  </si>
  <si>
    <t>7125789201</t>
  </si>
  <si>
    <t>(024147)93-3-49</t>
  </si>
  <si>
    <t>Загальноосвітня школа І-ІІІ ступенів № 1 Чернівецької міської ради</t>
  </si>
  <si>
    <t>58000</t>
  </si>
  <si>
    <t>7310100000</t>
  </si>
  <si>
    <t>Чернівецька область</t>
  </si>
  <si>
    <t>вул. Емінеску, 1</t>
  </si>
  <si>
    <t>523392</t>
  </si>
  <si>
    <t>http://zosh1.at.ua</t>
  </si>
  <si>
    <t>Комунальний дошкільний навчальний заклад - загальноосвітній навчальний заклад І-ІІ ступенів "Навчально-виховний комплекс "Берегиня" Чернівецької міської ради</t>
  </si>
  <si>
    <t>58025</t>
  </si>
  <si>
    <t>вул. І. Карбулицького, 2</t>
  </si>
  <si>
    <t>(0372)56-01-81, (0372)56-02-81</t>
  </si>
  <si>
    <t>http://nvk-berehynya.cv.ua/</t>
  </si>
  <si>
    <t>Комунальний дошкільний навчальний заклад - загальноосвітній навчальний заклад "Навчально - виховний комплекс " Любисток" Чернівецької міської ради</t>
  </si>
  <si>
    <t>58023</t>
  </si>
  <si>
    <t>вул. Руська, 228А</t>
  </si>
  <si>
    <t>(03722)6-09-82, (0372)54-61-55</t>
  </si>
  <si>
    <t>http://lubystok.ucoz.ua</t>
  </si>
  <si>
    <t>Комунальний загальноосвітній навчальний заклад "Чернівецький обласний навчально-реабілітаційний центр № 1"</t>
  </si>
  <si>
    <t>58022</t>
  </si>
  <si>
    <t>вул. Василя Аксенина, 6</t>
  </si>
  <si>
    <t>(03722)36265</t>
  </si>
  <si>
    <t>http://cvnrc.com/</t>
  </si>
  <si>
    <t>14271109</t>
  </si>
  <si>
    <t>Комунальний заклад "Чернівецька спеціальна загальноосвітня школа № 3"</t>
  </si>
  <si>
    <t>58001</t>
  </si>
  <si>
    <t>вул. Ірини Вільде, 6</t>
  </si>
  <si>
    <t>(0372)532132</t>
  </si>
  <si>
    <t>http://spec3.te.ua</t>
  </si>
  <si>
    <t>21431017</t>
  </si>
  <si>
    <t>Комунальний заклад "Чернівецька спеціальна загальноосвітня школа-інтернат № 2"</t>
  </si>
  <si>
    <t>вул. Гете, 1</t>
  </si>
  <si>
    <t>(0372)52-67-36, (0372)52-67-28, (0372)59-23-47</t>
  </si>
  <si>
    <t>http://specschool2.at.ua/</t>
  </si>
  <si>
    <t>14271116</t>
  </si>
  <si>
    <t>Навчально-виховний комплекс "Спеціалізована школа І-ІІІ ступенів "Гармонія"</t>
  </si>
  <si>
    <t>58029</t>
  </si>
  <si>
    <t>вул. Небесної Сотні, 18 А</t>
  </si>
  <si>
    <t>33058</t>
  </si>
  <si>
    <t>Приватна загальноосвітня школа І-ІІ ступенів "Надія", що знаходиться у приватній власності Манчула Василя Івановича</t>
  </si>
  <si>
    <t>вул. М.Олімпіади, 3В</t>
  </si>
  <si>
    <t>(0372)525890</t>
  </si>
  <si>
    <t>Чернівецька гімназія № 5 Чернівецької міської ради</t>
  </si>
  <si>
    <t>вул. Дмитра Загула, 8</t>
  </si>
  <si>
    <t>3-20-90, 3-21-60</t>
  </si>
  <si>
    <t>http://www.gymnasia5.cv.ua</t>
  </si>
  <si>
    <t>Чернівецька гімназія № 3 Чернівецької міської ради</t>
  </si>
  <si>
    <t>вул. Головна, 131</t>
  </si>
  <si>
    <t>(0372)526637, (0372)523645</t>
  </si>
  <si>
    <t>http://gymnaze3.at.ua</t>
  </si>
  <si>
    <t>Чернівецька гімназія № 4 Чернівецької міської ради</t>
  </si>
  <si>
    <t>58002</t>
  </si>
  <si>
    <t>вул. Щепкіна, 2</t>
  </si>
  <si>
    <t>551493, 553426</t>
  </si>
  <si>
    <t>21431081</t>
  </si>
  <si>
    <t>Чернівецька загальнооосвітня школа І-ІІ ступенів № 19 Чернівецької міської ради</t>
  </si>
  <si>
    <t>58007</t>
  </si>
  <si>
    <t>вул. Хотинська, 23</t>
  </si>
  <si>
    <t>529521</t>
  </si>
  <si>
    <t>http://school19cv.at.ua</t>
  </si>
  <si>
    <t>21431187</t>
  </si>
  <si>
    <t>Чернівецька загальноосвітня школа І - ІІІ ступенів № 2 ім. Ю. Федьковича Чернівецької міської ради</t>
  </si>
  <si>
    <t>вул. Головна, 87</t>
  </si>
  <si>
    <t>523545</t>
  </si>
  <si>
    <t>Чернівецька загальноосвітня школа І-ІІІ ступенів № 10</t>
  </si>
  <si>
    <t>58004</t>
  </si>
  <si>
    <t>вул. Горіхівська, 29</t>
  </si>
  <si>
    <t>(0372)52-28-12</t>
  </si>
  <si>
    <t>21431098</t>
  </si>
  <si>
    <t>Чернівецька загальноосвітня школа І-ІІІ ступенів № 24 імені Ольги Кобилянської Чернівецької міської ради</t>
  </si>
  <si>
    <t>58018</t>
  </si>
  <si>
    <t>вул. Фізкультурна, 5</t>
  </si>
  <si>
    <t>(03722)4-09-10</t>
  </si>
  <si>
    <t>http://zosh-24.at.ua</t>
  </si>
  <si>
    <t>21431230</t>
  </si>
  <si>
    <t>Чернівецька загальноосвітня школа І-ІІІ ступенів № 28 Чернівецької міської ради</t>
  </si>
  <si>
    <t>вул. Руська, 257А</t>
  </si>
  <si>
    <t>(03722)6-09-11</t>
  </si>
  <si>
    <t>21431276</t>
  </si>
  <si>
    <t>Чернівецька загальноосвітня школа І-ІІІ ступенів № 30 Чернівецької міської ради</t>
  </si>
  <si>
    <t>вул. О.Щербанюка, 4</t>
  </si>
  <si>
    <t>53-42-08</t>
  </si>
  <si>
    <t>http://zosh-30cv.at.ua/</t>
  </si>
  <si>
    <t>Чернівецька загальноосвітня школа І-ІІІ ступенів № 37 Чернівецької міської ради</t>
  </si>
  <si>
    <t>вул. Підкови Івана, 9</t>
  </si>
  <si>
    <t>563369, 560373</t>
  </si>
  <si>
    <t>21431365</t>
  </si>
  <si>
    <t>Чернівецька спеціалізована школа "Освітні ресурси та технологічний тренінг" І-ІІІ ступенів № 41 з вивченням єврейського етнокультурного компонента</t>
  </si>
  <si>
    <t>52-73-67, 52-47-33</t>
  </si>
  <si>
    <t>http://jewschool41.ort.org.ua/</t>
  </si>
  <si>
    <t>21431402</t>
  </si>
  <si>
    <t>Чернівецька спеціалізована школа І ступеня № 23 Чернівецької міської ради</t>
  </si>
  <si>
    <t>(03722)3-21-60</t>
  </si>
  <si>
    <t>Чернівецька спеціалізована школа І ступеня № 26</t>
  </si>
  <si>
    <t>(0372)52-36-45, (0372)52-66-37</t>
  </si>
  <si>
    <t>Чернівецька спеціалізована школа І ступеня № 15 Чернівецької міської ради</t>
  </si>
  <si>
    <t>просп. Проспект Незалежності, 88 Д</t>
  </si>
  <si>
    <t>34069</t>
  </si>
  <si>
    <t>http://www.gym7-cv.ho.ua</t>
  </si>
  <si>
    <t>Чернівецький багатопрофільний ліцей № 4 Чернівецької міської ради</t>
  </si>
  <si>
    <t>58028</t>
  </si>
  <si>
    <t>533058, 36155</t>
  </si>
  <si>
    <t>http://www.lyceum4.cv.ua/</t>
  </si>
  <si>
    <t>21431170</t>
  </si>
  <si>
    <t>Чернівецький ліцей № 2 Чернівецької міської ради</t>
  </si>
  <si>
    <t>58003</t>
  </si>
  <si>
    <t>вул. Л.Кобилиці, 88А</t>
  </si>
  <si>
    <t>554197, 553260, 522882</t>
  </si>
  <si>
    <t>http://lyceum2.cv.ua/</t>
  </si>
  <si>
    <t>14271091</t>
  </si>
  <si>
    <t>Чернівецький ліцей № 3 медичного профілю Чернівецької міської ради</t>
  </si>
  <si>
    <t>вул. Залозецького, 13 а</t>
  </si>
  <si>
    <t>546851</t>
  </si>
  <si>
    <t>http://cvlyceum3.besaba.com</t>
  </si>
  <si>
    <t>Військово-спортивний ліцей-інтернат Чернівецької міської ради</t>
  </si>
  <si>
    <t>7310136300</t>
  </si>
  <si>
    <t>Чернівці, Шевченківський район</t>
  </si>
  <si>
    <t>вул. Луковецька, 29</t>
  </si>
  <si>
    <t>522471</t>
  </si>
  <si>
    <t>http://www.vslicey.com/</t>
  </si>
  <si>
    <t>25077736</t>
  </si>
  <si>
    <t>Комунальний дошкільний навчальний заклад - загальноосвітній навчальний заклад "Навчально-виховний комплекс "Лідер" Чернівецької міської ради</t>
  </si>
  <si>
    <t>вул. Бережанська, 25 А</t>
  </si>
  <si>
    <t>529607</t>
  </si>
  <si>
    <t>Чернівецька гімназія № 1 імені Тараса Григоровича Шевченка Чернівецької міської ради</t>
  </si>
  <si>
    <t>58005</t>
  </si>
  <si>
    <t>просп. Незалежності, 68</t>
  </si>
  <si>
    <t>(0372)531278</t>
  </si>
  <si>
    <t>http://www.cvgym1.com</t>
  </si>
  <si>
    <t>Чернівецька гімназія № 7 Чернівецької міської ради</t>
  </si>
  <si>
    <t>35201</t>
  </si>
  <si>
    <t>35529258</t>
  </si>
  <si>
    <t>Чернівецька загальноосвітня школа І-ІІ ступенів № 17 Чернівецької міської ради.</t>
  </si>
  <si>
    <t>58011</t>
  </si>
  <si>
    <t>вул. Сокирянська, 18</t>
  </si>
  <si>
    <t>(0372)510578</t>
  </si>
  <si>
    <t>http://scola17.at.ua</t>
  </si>
  <si>
    <t>21431164</t>
  </si>
  <si>
    <t>Чернівецька загальноосвітня школа І-ІІІ ступенів № 25 Чернівецької міської ради</t>
  </si>
  <si>
    <t>вул. Мазепи Івана, 8А</t>
  </si>
  <si>
    <t>(0372)526375</t>
  </si>
  <si>
    <t>http://zow-25.ucoz.ua</t>
  </si>
  <si>
    <t>21431247</t>
  </si>
  <si>
    <t>Чернівецька загальноосвітня школа І-ІІІ ступенів № 27 Чернівецької міської ради</t>
  </si>
  <si>
    <t>вул. Воробкевича, 19</t>
  </si>
  <si>
    <t>(03722)7-24-01, (03722)7-24-00</t>
  </si>
  <si>
    <t>http://school-27.at.ua</t>
  </si>
  <si>
    <t>Чернівецька загальноосвітня школа І-ІІІ ступенів № 5</t>
  </si>
  <si>
    <t>(0372)522711, (0372)522645, (0372)527589</t>
  </si>
  <si>
    <t>21431052</t>
  </si>
  <si>
    <t>Чернівецька загальноосвітня школа І-ІІІ ступенів № 11 Чернівецької міської ради</t>
  </si>
  <si>
    <t>58013</t>
  </si>
  <si>
    <t>вул. Південно-Кільцева, 7Б</t>
  </si>
  <si>
    <t>53-98-04</t>
  </si>
  <si>
    <t>http://znz-11.cv.ua</t>
  </si>
  <si>
    <t>Чернівецька загальноосвітня школа І-ІІІ ступенів № 8 Чернівецької міської ради</t>
  </si>
  <si>
    <t>вул. Дзержика, 22</t>
  </si>
  <si>
    <t>524473</t>
  </si>
  <si>
    <t>21431075</t>
  </si>
  <si>
    <t>Чернівецька загальноосвітня школа І-ІІІ ступенів технологічного профілю № 33 Чернівецької міської ради</t>
  </si>
  <si>
    <t>вул. Героїв Майдану, 152А</t>
  </si>
  <si>
    <t>34057, 33166</t>
  </si>
  <si>
    <t>21431329</t>
  </si>
  <si>
    <t>Чернівецька спеціалізована школа № 7 I-го ступеня з поглибленим вивченням іноземної мови Чернівецької міської ради</t>
  </si>
  <si>
    <t>просп. Проспект Незалежості, 68</t>
  </si>
  <si>
    <t>31278</t>
  </si>
  <si>
    <t>Чернівецька спеціалізована школа І-го ступеня № 9 Чернівецької міської ради</t>
  </si>
  <si>
    <t>(0372)521829</t>
  </si>
  <si>
    <t>Чернівецька спеціалізована школа І-ІІІ ступенів № 22 Чернівецької міської ради</t>
  </si>
  <si>
    <t>58032</t>
  </si>
  <si>
    <t>вул. Південно - Кільцева, 17</t>
  </si>
  <si>
    <t>44916, 45424</t>
  </si>
  <si>
    <t>http://school-22.cv.ua/</t>
  </si>
  <si>
    <t>21431218</t>
  </si>
  <si>
    <t>Чернівецька спеціалізована школа І-ІІІ ступенів фізико-математичного профілю № 6 Чернівецької міської ради</t>
  </si>
  <si>
    <t>вул. Комарова, 26 б</t>
  </si>
  <si>
    <t>42638</t>
  </si>
  <si>
    <t>http://cvschool6.at.ua</t>
  </si>
  <si>
    <t>Чернівецький ліцей № 1 математичного та економічного профілів Чернівецької міської ради</t>
  </si>
  <si>
    <t>вул. Штейнбарга, 2</t>
  </si>
  <si>
    <t>550720, 525573</t>
  </si>
  <si>
    <t>http://liceum.cv.ua/</t>
  </si>
  <si>
    <t>14271211</t>
  </si>
  <si>
    <t>Комунальна обласна спеціалізована школа-інтернат II-III ступенів з поглибленим вивченням окремих предметів "Багатопрофільний ліцей для обдарованих дітей"</t>
  </si>
  <si>
    <t>7310136600</t>
  </si>
  <si>
    <t>Чернівці, Першотравневий район</t>
  </si>
  <si>
    <t>вул. Винниченка, 119</t>
  </si>
  <si>
    <t>(380372)522142</t>
  </si>
  <si>
    <t>14271850</t>
  </si>
  <si>
    <t>Комунальний заклад "Чернівецька спеціальна загальноосвітня школа-інтернат № 4"</t>
  </si>
  <si>
    <t>вул. Московської Олімпіади, 3А</t>
  </si>
  <si>
    <t>(0372)6-08-18, (0372)6-08-20</t>
  </si>
  <si>
    <t>http://internat4.cv.ua</t>
  </si>
  <si>
    <t>14271820</t>
  </si>
  <si>
    <t>Навчально-виховний комплекс «Соломон»</t>
  </si>
  <si>
    <t>58008</t>
  </si>
  <si>
    <t>ал. вул. Коростишівська, 6А</t>
  </si>
  <si>
    <t>(0372)549574</t>
  </si>
  <si>
    <t>http://nvksolomon.org/</t>
  </si>
  <si>
    <t>Чернівецька гімназія № 2 Чернівецької міської ради</t>
  </si>
  <si>
    <t>вул. Головна, 73</t>
  </si>
  <si>
    <t>511521, 520119</t>
  </si>
  <si>
    <t>http://schoolsite.org.ua/cv2/</t>
  </si>
  <si>
    <t>Чернівецька гімназія № 6 Чернівецької міської ради</t>
  </si>
  <si>
    <t>вул. Шептицького, 19</t>
  </si>
  <si>
    <t>(0372)523569, (0372)520157</t>
  </si>
  <si>
    <t>http://gymnasia6.at.ua/</t>
  </si>
  <si>
    <t>35583027</t>
  </si>
  <si>
    <t>румунська,англійська,французька</t>
  </si>
  <si>
    <t>Чернівецька загальноосвітня школа I-III ступенів № 14</t>
  </si>
  <si>
    <t>523641, 526181</t>
  </si>
  <si>
    <t>21431135</t>
  </si>
  <si>
    <t>Чернівецька загальноосвітня школа І-ІІ ступенів № 13 Чернівецької міської ради Чернівецької області</t>
  </si>
  <si>
    <t>вул. Немирівська, 3</t>
  </si>
  <si>
    <t>(0372)589869</t>
  </si>
  <si>
    <t>http://znz-13.cv.ua</t>
  </si>
  <si>
    <t>21431129</t>
  </si>
  <si>
    <t>румунська,англійська</t>
  </si>
  <si>
    <t>Чернівецька загальноосвітня школа І-ІІІ ступенів № 20 Чернівецької міської ради Чернівецької області</t>
  </si>
  <si>
    <t>вул. Глібова, 12</t>
  </si>
  <si>
    <t>40138</t>
  </si>
  <si>
    <t>21431193</t>
  </si>
  <si>
    <t>Чернівецька загальноосвітня школа І-ІІІ ступенів № 3 Чернівецької міської ради</t>
  </si>
  <si>
    <t>вул. Герцена, 36</t>
  </si>
  <si>
    <t>380372538235</t>
  </si>
  <si>
    <t>http://school3cv.ucoz.ru</t>
  </si>
  <si>
    <t>21431023</t>
  </si>
  <si>
    <t>Чернівецька загальноосвітня школа І-ІІІ ступенів № 16 Чернівецької міської ради</t>
  </si>
  <si>
    <t>58021</t>
  </si>
  <si>
    <t>вул. Білоруська, 77</t>
  </si>
  <si>
    <t>0372582837</t>
  </si>
  <si>
    <t>http://school16.edukit.cv.ua</t>
  </si>
  <si>
    <t>Чернівецька загальноосвітня школа І-ІІІ ступенів № 4 Чернівецької міської ради</t>
  </si>
  <si>
    <t>вул. Шевченка, 14-16</t>
  </si>
  <si>
    <t>526296, 525197</t>
  </si>
  <si>
    <t>21431035</t>
  </si>
  <si>
    <t>Чернівецька спеціалізована школа І ступеня № 29 Чернівецької міської ради</t>
  </si>
  <si>
    <t>(0372)52-35-69, (0372)52-01-57</t>
  </si>
  <si>
    <t>Чернівецька спеціалізована школа І-го ступеня № 35 Чернівецької міської ради</t>
  </si>
  <si>
    <t>(0372)523427</t>
  </si>
  <si>
    <t>Чернівецька загальноосвітня школа І-ІІІ ступенів № 40 Чернівецької міської ради</t>
  </si>
  <si>
    <t>7310136900</t>
  </si>
  <si>
    <t>Чернівці, Садгірський район</t>
  </si>
  <si>
    <t>вул. Осіння, 48</t>
  </si>
  <si>
    <t>529437</t>
  </si>
  <si>
    <t>http://School40.ucoz.ua</t>
  </si>
  <si>
    <t>21431394</t>
  </si>
  <si>
    <t>Чернівецька загальноосвітня школа І-ІІІ ступенів № 31</t>
  </si>
  <si>
    <t>вул. Дібровецька, 5А</t>
  </si>
  <si>
    <t>(0372)541931</t>
  </si>
  <si>
    <t>http://shkola31.cv.ua</t>
  </si>
  <si>
    <t>21431307</t>
  </si>
  <si>
    <t>Чернівецька загальноосвітня школа І-ІІІ ступенів № 39 Чернівецької міської ради</t>
  </si>
  <si>
    <t>вул. Карбулицького, 4</t>
  </si>
  <si>
    <t>0372-560-703, 0372-560-468</t>
  </si>
  <si>
    <t>http://cvznz39.at.ua/</t>
  </si>
  <si>
    <t>21431388</t>
  </si>
  <si>
    <t>Чернівецька загальноосвітня школа І-ІІІ ступеня № 38 Чернівецької міської ради</t>
  </si>
  <si>
    <t>вул. Яна Налепки, 3</t>
  </si>
  <si>
    <t>((0372))560-180</t>
  </si>
  <si>
    <t>http://zosh38.cv.ua</t>
  </si>
  <si>
    <t>21431371</t>
  </si>
  <si>
    <t>ОКНЗ "Буковинський ліцей-інтернат з посиленою військово-фізичною підготовкою"</t>
  </si>
  <si>
    <t>60236</t>
  </si>
  <si>
    <t>7310600000</t>
  </si>
  <si>
    <t>Новодністровськ</t>
  </si>
  <si>
    <t>кв. 18, 6</t>
  </si>
  <si>
    <t>3-46-81, 3-42-72</t>
  </si>
  <si>
    <t>http://liceybuk.at.ua</t>
  </si>
  <si>
    <t>32750757</t>
  </si>
  <si>
    <t>Новодністровська гімназія Новодністровської міської ради Чернівецької області</t>
  </si>
  <si>
    <t>вул. Сонячний</t>
  </si>
  <si>
    <t>3-21-36</t>
  </si>
  <si>
    <t>Новодністровська загальноосвітня школа ІІ-ІІІ ступенів Новодністровської міської ради Чернівецької області</t>
  </si>
  <si>
    <t>вул. Діброва, 5Б</t>
  </si>
  <si>
    <t>(03741)3-11-46</t>
  </si>
  <si>
    <t>http://www.novodschool.at.ua</t>
  </si>
  <si>
    <t>Чернівецька область м.Новодністровськ Загальноосвітня школа І ступеня</t>
  </si>
  <si>
    <t>вул. Сонячний, 14 А</t>
  </si>
  <si>
    <t>(03741)3-16-55</t>
  </si>
  <si>
    <t>Вижницька гімназія Вижницької районної ради Чернівецької області</t>
  </si>
  <si>
    <t>59200</t>
  </si>
  <si>
    <t>7320510100</t>
  </si>
  <si>
    <t>Вижниця</t>
  </si>
  <si>
    <t>вул. Українська, 92</t>
  </si>
  <si>
    <t>21501, 21501</t>
  </si>
  <si>
    <t>http://vepgymnaz.ucoz.ua/</t>
  </si>
  <si>
    <t>21437994</t>
  </si>
  <si>
    <t>Вижницька загальноосвітня школа І - ІІІ ступенів ім. Ю. Федьковича Вижницької міської ради Чернівецької області</t>
  </si>
  <si>
    <t>вул. Українська, 44</t>
  </si>
  <si>
    <t>22669, 21258</t>
  </si>
  <si>
    <t>21437505</t>
  </si>
  <si>
    <t>Комунальний заклад "Вижницька загальноосвітня школа-інтернат І-ІІІ ступенів імені Назарія Яремчука"</t>
  </si>
  <si>
    <t>вул. Романа Шухевича, 8</t>
  </si>
  <si>
    <t>(03730)22144, (03730)21269, 0965958324</t>
  </si>
  <si>
    <t>http://Yaremchuk-int.at.ua</t>
  </si>
  <si>
    <t>21433223</t>
  </si>
  <si>
    <t>Вашківецька ЗОШ І-ІІІ ступенів Вашківецької міської ради Вижницького району Чернівецької області</t>
  </si>
  <si>
    <t>59210</t>
  </si>
  <si>
    <t>7320510400</t>
  </si>
  <si>
    <t>Вашківці</t>
  </si>
  <si>
    <t>0373043619, 0373043567</t>
  </si>
  <si>
    <t>21437586</t>
  </si>
  <si>
    <t>Навчально-виховний комплекс " Вашківецька гімназія ім.І.Бажанського" Вашківецької міської ради, Вижницького району, Чернівецької області.</t>
  </si>
  <si>
    <t>вул. Бажанського, 9</t>
  </si>
  <si>
    <t>03730-4-34-94</t>
  </si>
  <si>
    <t>21437528</t>
  </si>
  <si>
    <t>Волоцький дошкільний навчальний заклад-загальноосвітній навчальний заклад І ступеня Вашківецької міської ради Вижницького району Чернівецької області</t>
  </si>
  <si>
    <t>59213</t>
  </si>
  <si>
    <t>7320510401</t>
  </si>
  <si>
    <t>Волока</t>
  </si>
  <si>
    <t>вул. Кобилянська, 68</t>
  </si>
  <si>
    <t>(03730)43793</t>
  </si>
  <si>
    <t>25078204</t>
  </si>
  <si>
    <t>Берегометська загально освітня школа І-ІІІ ступенів № 2 Вижницької районної ради Вижницького району Чернівецької області</t>
  </si>
  <si>
    <t>59233</t>
  </si>
  <si>
    <t>7320555300</t>
  </si>
  <si>
    <t>Берегомет</t>
  </si>
  <si>
    <t>вул. Руська, 74</t>
  </si>
  <si>
    <t>0373034020</t>
  </si>
  <si>
    <t>http://bershkola2.ucoz.ua/</t>
  </si>
  <si>
    <t>21437913</t>
  </si>
  <si>
    <t>Берегометська загальноосвітня школа І-ІІІ ступенів № 3 Вижницької районної ради Вижницького району Чернівецької області</t>
  </si>
  <si>
    <t>вул. Шевченка, 50</t>
  </si>
  <si>
    <t>(03730)36505</t>
  </si>
  <si>
    <t>21437853</t>
  </si>
  <si>
    <t>Берегометська загальноосвітня школа І-ІІІ ступенів № 4 вижницької районної ради Вижницького району Чернівецької області</t>
  </si>
  <si>
    <t>вул. Кобилянської, 224</t>
  </si>
  <si>
    <t>(03730)38645</t>
  </si>
  <si>
    <t>21437959</t>
  </si>
  <si>
    <t>Навчально-виховний комплекс "Берегометська гімназія" Вижницької районної ради Чернівецької області</t>
  </si>
  <si>
    <t>(03730)3-65-31, (03730)3-30-76</t>
  </si>
  <si>
    <t>21437876</t>
  </si>
  <si>
    <t>Навчально-виховний комплекс "Берегометський дошкільний навчальний заклад- загальноосвітній навчальий заклад І ступеня"</t>
  </si>
  <si>
    <t>3-60-91</t>
  </si>
  <si>
    <t>23248234</t>
  </si>
  <si>
    <t>Банилівська загальноосвітня школа І-ІІІ ступенів імені Івана Діяконюка</t>
  </si>
  <si>
    <t>59216</t>
  </si>
  <si>
    <t>7320580501</t>
  </si>
  <si>
    <t>Банилів</t>
  </si>
  <si>
    <t>вул. Гостинець, 65</t>
  </si>
  <si>
    <t>0373059347</t>
  </si>
  <si>
    <t>21437818</t>
  </si>
  <si>
    <t>Бережницький навчально-виховний комплекс (загальноосвітній навчальний заклад І-ІІ ступенів - дошкільний навчальний заклад)</t>
  </si>
  <si>
    <t>59217</t>
  </si>
  <si>
    <t>7320580502</t>
  </si>
  <si>
    <t>вул. Головна, 78</t>
  </si>
  <si>
    <t>64459</t>
  </si>
  <si>
    <t>21437882</t>
  </si>
  <si>
    <t>Виженська загальноосвітня школа І-ІІ ступенів Вижницької міської ради Вижницького району Чернівецької області</t>
  </si>
  <si>
    <t>59209</t>
  </si>
  <si>
    <t>7320581001</t>
  </si>
  <si>
    <t>Виженка</t>
  </si>
  <si>
    <t>вул. головна, 271</t>
  </si>
  <si>
    <t>(03730)58540</t>
  </si>
  <si>
    <t>21437534</t>
  </si>
  <si>
    <t>Долішньошепітський навчально-виховний комплекс (загальноосвітній навчальний заклад І-ІІІ ступенів - дошкільний навчальний заклад)</t>
  </si>
  <si>
    <t>59240</t>
  </si>
  <si>
    <t>7320581501</t>
  </si>
  <si>
    <t>Долішній Шепіт</t>
  </si>
  <si>
    <t>вул. Головна, 62 Б</t>
  </si>
  <si>
    <t>(03730)3-82-16</t>
  </si>
  <si>
    <t>21437866</t>
  </si>
  <si>
    <t>Лопушнянська ЗОШ І-ІІІ ступенів Чернівецької обл. Вижницького рн. с. Лопушна</t>
  </si>
  <si>
    <t>59241</t>
  </si>
  <si>
    <t>7320581503</t>
  </si>
  <si>
    <t>Лопушна</t>
  </si>
  <si>
    <t>вул. Головна, 78А</t>
  </si>
  <si>
    <t>0373038373</t>
  </si>
  <si>
    <t>Замостянська загальноосвітня школа І-ІІІ ступенів</t>
  </si>
  <si>
    <t>59214</t>
  </si>
  <si>
    <t>7320582001</t>
  </si>
  <si>
    <t>Замостя</t>
  </si>
  <si>
    <t>вул. Головна, 52</t>
  </si>
  <si>
    <t>037306-56-17</t>
  </si>
  <si>
    <t>Іспаська загальноосвітня школа І-ІІІ ступенів ім. Миколи Марфієвича Вижницької районної ради Вижницького району Чернівецької області</t>
  </si>
  <si>
    <t>59222</t>
  </si>
  <si>
    <t>7320582501</t>
  </si>
  <si>
    <t>Іспас</t>
  </si>
  <si>
    <t>0373024540</t>
  </si>
  <si>
    <t>21437899</t>
  </si>
  <si>
    <t>Іспаський навчально-виховний комплекс (загальноосвітній навчальний заклад І-ІІ ступенів - дошкільний навчальний заклад) Вижницької міської ради Чернівецької області</t>
  </si>
  <si>
    <t>(03730)2-45-08</t>
  </si>
  <si>
    <t>http://ispasgor.at.ua/</t>
  </si>
  <si>
    <t>21437920</t>
  </si>
  <si>
    <t>Карапчівська загальноосвітня школа І-ІІІ ступенів Вижницької районної ради Вижницького району Чернівецької області</t>
  </si>
  <si>
    <t>59225</t>
  </si>
  <si>
    <t>7320583001</t>
  </si>
  <si>
    <t>Карапчів</t>
  </si>
  <si>
    <t>6-32-60</t>
  </si>
  <si>
    <t>21437637</t>
  </si>
  <si>
    <t>Бабинський навчально-виховний комплекс (загальноосвітній навчальний заклад І-ІІ ступенів-дошкільний навчальний заклад) імені Марії Вержак Вижницької районної ради Чернівецької області</t>
  </si>
  <si>
    <t>7320583002</t>
  </si>
  <si>
    <t>0373063056</t>
  </si>
  <si>
    <t>21437646</t>
  </si>
  <si>
    <t>Валівська загальноосвітня школа І-ІІ ступенів</t>
  </si>
  <si>
    <t>59227</t>
  </si>
  <si>
    <t>7320583004</t>
  </si>
  <si>
    <t>Вали</t>
  </si>
  <si>
    <t>(03730)63178</t>
  </si>
  <si>
    <t>Коритненська загальноосвітня школа І-ІІІ ступенів Вижницької районної ради Вижницького району Чернівецької області</t>
  </si>
  <si>
    <t>59223</t>
  </si>
  <si>
    <t>7320583501</t>
  </si>
  <si>
    <t>вул. Головна, 15</t>
  </si>
  <si>
    <t>6-43-20</t>
  </si>
  <si>
    <t>Бережонський навчально-виховний комплекс Вижницької районної ради Вижницького району Чернівецької області</t>
  </si>
  <si>
    <t>59224</t>
  </si>
  <si>
    <t>7320583502</t>
  </si>
  <si>
    <t>Бережонка</t>
  </si>
  <si>
    <t>вул. Василя Лелека, 23</t>
  </si>
  <si>
    <t>03730-6-43-27</t>
  </si>
  <si>
    <t>21437793</t>
  </si>
  <si>
    <t>Лукавецька ЗОШ І-ІІІ ступенів</t>
  </si>
  <si>
    <t>59230</t>
  </si>
  <si>
    <t>7320584001</t>
  </si>
  <si>
    <t>Лукавці</t>
  </si>
  <si>
    <t>вул. Головна, 162</t>
  </si>
  <si>
    <t>21437572</t>
  </si>
  <si>
    <t>Вовчинецька загальноосвітня школа І-ІІ ступенів Вижницької районної ради Вижницького району Чернівецької області</t>
  </si>
  <si>
    <t>59232</t>
  </si>
  <si>
    <t>7320584003</t>
  </si>
  <si>
    <t>5-71-20</t>
  </si>
  <si>
    <t>21437942</t>
  </si>
  <si>
    <t>Міліївська загальноосвітня школа І-ІІІ ступенів ім.Дмитра Загула Вижницької районної ради Вижницького району Чернівецької області</t>
  </si>
  <si>
    <t>59220</t>
  </si>
  <si>
    <t>7320584501</t>
  </si>
  <si>
    <t>Мілієве</t>
  </si>
  <si>
    <t>0373055274</t>
  </si>
  <si>
    <t>Кибацька загальноосвітня школа І-ІІ ст Вижницької міської ради Вижницького району Чернівецької області</t>
  </si>
  <si>
    <t>7320584502</t>
  </si>
  <si>
    <t>Кибаки</t>
  </si>
  <si>
    <t>0373055261</t>
  </si>
  <si>
    <t>21437770</t>
  </si>
  <si>
    <t>Мигівський НВК (ЗНЗ І-ІІІ ст.-ДНЗ) -опорний заклад Вижницької районної ради Чернівецької області</t>
  </si>
  <si>
    <t>59236</t>
  </si>
  <si>
    <t>7320585001</t>
  </si>
  <si>
    <t>Мигове</t>
  </si>
  <si>
    <t>27841</t>
  </si>
  <si>
    <t>21437557</t>
  </si>
  <si>
    <t>Великівський навчально-виховний комплекс І ступеня</t>
  </si>
  <si>
    <t>59237</t>
  </si>
  <si>
    <t>7320585002</t>
  </si>
  <si>
    <t>Велике</t>
  </si>
  <si>
    <t>3-87-40</t>
  </si>
  <si>
    <t>http://welykiwska11.ucoz.ru/</t>
  </si>
  <si>
    <t>21437563</t>
  </si>
  <si>
    <t>Слобода-Банилівський навчально-виховний комплекс(загальноосвітній навчально-виховний заклад І-ІІ ступенів - дошкільний заклад) Вижницької районної ради Чернівецької області</t>
  </si>
  <si>
    <t>59215</t>
  </si>
  <si>
    <t>7320585301</t>
  </si>
  <si>
    <t>Слобода-Банилів</t>
  </si>
  <si>
    <t>(03730)5-87-40</t>
  </si>
  <si>
    <t>21437936</t>
  </si>
  <si>
    <t>Черешенська загальноосвітня школа І-ІІІ ступенів Вижницької міської ради Чернівецької області</t>
  </si>
  <si>
    <t>59207</t>
  </si>
  <si>
    <t>7320585501</t>
  </si>
  <si>
    <t>Черешенька</t>
  </si>
  <si>
    <t>вул. Українська, 1</t>
  </si>
  <si>
    <t>(03730)58140</t>
  </si>
  <si>
    <t>https://sites.google.com/site/cheresenka07/</t>
  </si>
  <si>
    <t>21437698</t>
  </si>
  <si>
    <t>Чорногузівська ЗОШ І - ІІІ ступенів</t>
  </si>
  <si>
    <t>59206</t>
  </si>
  <si>
    <t>7320586001</t>
  </si>
  <si>
    <t>Чорногузи</t>
  </si>
  <si>
    <t>вул. Івана Мазепи, 1</t>
  </si>
  <si>
    <t>0373057790</t>
  </si>
  <si>
    <t>21437511</t>
  </si>
  <si>
    <t>Герцаївська загальноосвітня школа І-ІІІ ступенів</t>
  </si>
  <si>
    <t>60500</t>
  </si>
  <si>
    <t>7320710100</t>
  </si>
  <si>
    <t>Герца</t>
  </si>
  <si>
    <t>вул. Г. Асакі, 14</t>
  </si>
  <si>
    <t>(03740)21635</t>
  </si>
  <si>
    <t>http://sites.google.com/site/hertsazos</t>
  </si>
  <si>
    <t>Герцаївський районний ліцей імені Георгія Асакі</t>
  </si>
  <si>
    <t>вул. Ліліяка, 2</t>
  </si>
  <si>
    <t>(03740)21772</t>
  </si>
  <si>
    <t>https://sites.google.com/site/gercaievskijlicej</t>
  </si>
  <si>
    <t>Байраківський навчально-виховний комлекс</t>
  </si>
  <si>
    <t>60540</t>
  </si>
  <si>
    <t>7320780301</t>
  </si>
  <si>
    <t>Байраки</t>
  </si>
  <si>
    <t>((03740))2-53-62</t>
  </si>
  <si>
    <t>Підвальнянський навчально-виховний комплекс Байраківської сільської ради Герцаївського району Чернівецької області</t>
  </si>
  <si>
    <t>60541</t>
  </si>
  <si>
    <t>7320780303</t>
  </si>
  <si>
    <t>Підвальне</t>
  </si>
  <si>
    <t>((03740))25360</t>
  </si>
  <si>
    <t>Навчально-виховний комплекс Буківський загальноосвітній заклад - Дошкільний навчальний заклад</t>
  </si>
  <si>
    <t>60546</t>
  </si>
  <si>
    <t>7320780601</t>
  </si>
  <si>
    <t>Буківка</t>
  </si>
  <si>
    <t>вул. Шкільна 81</t>
  </si>
  <si>
    <t>(03740)3-83-40</t>
  </si>
  <si>
    <t>Опорний навчальний заклад - навчально виховний комплекс "Великобудський загальноосвітний навчальний заклад - дошкільний навчальний заклад" Великобудської сільської ради Герцаївського району Чернівецької області</t>
  </si>
  <si>
    <t>60531</t>
  </si>
  <si>
    <t>7320780801</t>
  </si>
  <si>
    <t>Велика Буда</t>
  </si>
  <si>
    <t>вул. Головна, 27</t>
  </si>
  <si>
    <t>((03740))27302</t>
  </si>
  <si>
    <t>http://velicobudanvk.at.ua</t>
  </si>
  <si>
    <t>Годинівський навчально-виховний комплекс</t>
  </si>
  <si>
    <t>60524</t>
  </si>
  <si>
    <t>7320781101</t>
  </si>
  <si>
    <t>Годинівка</t>
  </si>
  <si>
    <t>(03740)26333</t>
  </si>
  <si>
    <t>http://godinivka.jimdo.com/</t>
  </si>
  <si>
    <t>Луковецький навчально-виховний комплекс</t>
  </si>
  <si>
    <t>60525</t>
  </si>
  <si>
    <t>7320781102</t>
  </si>
  <si>
    <t>Луковиця</t>
  </si>
  <si>
    <t>вул. Головна, 8Г</t>
  </si>
  <si>
    <t>((03740))2-63-12</t>
  </si>
  <si>
    <t>Горбівська загальноосвітня школа І-ІІІ ступенів Герцаївської районної ради Чернівецької області</t>
  </si>
  <si>
    <t>60522</t>
  </si>
  <si>
    <t>7320781301</t>
  </si>
  <si>
    <t>Горбова</t>
  </si>
  <si>
    <t>вул. Головна, 65</t>
  </si>
  <si>
    <t>(03740)3-13-16</t>
  </si>
  <si>
    <t>http://gorbovozoch.wix.com/zoch</t>
  </si>
  <si>
    <t>Куликівський навчально-виховний комплекс</t>
  </si>
  <si>
    <t>60545</t>
  </si>
  <si>
    <t>7320782501</t>
  </si>
  <si>
    <t>Куликівка</t>
  </si>
  <si>
    <t>вул. Ємінеску, 1А</t>
  </si>
  <si>
    <t>((03740))40338</t>
  </si>
  <si>
    <t>https://sites.google.com/site/kulikivkanvk/</t>
  </si>
  <si>
    <t>Великосільська загальноосвітння школа І - ІІ ступенів</t>
  </si>
  <si>
    <t>60511</t>
  </si>
  <si>
    <t>7320783002</t>
  </si>
  <si>
    <t>вул. Германа, 51</t>
  </si>
  <si>
    <t>(03740)34338</t>
  </si>
  <si>
    <t>Могилівська загальноосвітня школа І-ІІ ступенів</t>
  </si>
  <si>
    <t>60512</t>
  </si>
  <si>
    <t>7320783003</t>
  </si>
  <si>
    <t>(03740)2-13-02</t>
  </si>
  <si>
    <t>Молницька загальноосвітня школа І-ІІІ ступенів Молницької сільської ради Герцаївського району Чернівецької області</t>
  </si>
  <si>
    <t>60513</t>
  </si>
  <si>
    <t>7320783501</t>
  </si>
  <si>
    <t>Молниця</t>
  </si>
  <si>
    <t>вул. Центральна, 26А</t>
  </si>
  <si>
    <t>(03740)3-33-10</t>
  </si>
  <si>
    <t>Острицька загальноосвітня школа І-ІІІ ступенів Острицької сільсскої ради Герцаївського району Чернівецької області</t>
  </si>
  <si>
    <t>60520</t>
  </si>
  <si>
    <t>7320784001</t>
  </si>
  <si>
    <t>Остриця</t>
  </si>
  <si>
    <t>вул. М.Емінеску, 63</t>
  </si>
  <si>
    <t>(03740)3-64-60, (03740)3-64-61</t>
  </si>
  <si>
    <t>Острицький навчально-виховний комплекс</t>
  </si>
  <si>
    <t>((03740))3-63-19</t>
  </si>
  <si>
    <t>Петрашівська загальноосвітня школа І-ІІІ ступенів Герцаївського району Чернівецької області</t>
  </si>
  <si>
    <t>60542</t>
  </si>
  <si>
    <t>7320784401</t>
  </si>
  <si>
    <t>((03740))28347</t>
  </si>
  <si>
    <t>http://petrashyvka.cv.ua</t>
  </si>
  <si>
    <t>Кам'янська загальноосвітня школа І ступеня</t>
  </si>
  <si>
    <t>60543</t>
  </si>
  <si>
    <t>7320785001</t>
  </si>
  <si>
    <t>вул. М.Емінеску, 691</t>
  </si>
  <si>
    <t>0976751009</t>
  </si>
  <si>
    <t>Навчально - виховний комплекс "Тернавський загальноосвітній заклад - дошкілниий навчальний заклад"</t>
  </si>
  <si>
    <t>вул. Квіткова, 225А</t>
  </si>
  <si>
    <t>(03740)41369</t>
  </si>
  <si>
    <t>http://ternavkanvk.ucoz.com</t>
  </si>
  <si>
    <t>Савінештська ЗОШ I ступеня</t>
  </si>
  <si>
    <t>вул. Штефана Великого, 2</t>
  </si>
  <si>
    <t>0988199159</t>
  </si>
  <si>
    <t>Табунівська Загальноосвітня школа І ступеня</t>
  </si>
  <si>
    <t>Дяківецький навчально-виховний комплекс</t>
  </si>
  <si>
    <t>60544</t>
  </si>
  <si>
    <t>7320785002</t>
  </si>
  <si>
    <t>вул. Центральна, 1050А</t>
  </si>
  <si>
    <t>037-40-24154, 037-40-24320</t>
  </si>
  <si>
    <t>http://diakivtsinvk.ucoz.com</t>
  </si>
  <si>
    <t>Криганештська загальноосвітня школа І ступеня</t>
  </si>
  <si>
    <t>(21438054)0972205402</t>
  </si>
  <si>
    <t>Канатівська загальноосвітня школа І ступеня</t>
  </si>
  <si>
    <t>60530</t>
  </si>
  <si>
    <t>7320786001</t>
  </si>
  <si>
    <t>Хряцька</t>
  </si>
  <si>
    <t>вул. Мира 559, 63</t>
  </si>
  <si>
    <t>((03740))43314</t>
  </si>
  <si>
    <t>Хряцьківський навчально-виховний комплекс</t>
  </si>
  <si>
    <t>вул. Центральна, 290А</t>
  </si>
  <si>
    <t>((03740))4-33-41</t>
  </si>
  <si>
    <t>Маморницька загальноосвітня школа І ступеня Цуренської сільської ради Герцаївського району Чернівецької області</t>
  </si>
  <si>
    <t>60521</t>
  </si>
  <si>
    <t>7320786205</t>
  </si>
  <si>
    <t>Маморниця</t>
  </si>
  <si>
    <t>вул. Кобилянська, 5</t>
  </si>
  <si>
    <t>((03740))37260</t>
  </si>
  <si>
    <t>Маморницький Вама загальноосвітній навчальний заклад- дошкільний навчальний заклад Цуренської сільської ради, Герцаївської районної ради Чернівецької області</t>
  </si>
  <si>
    <t>7320786207</t>
  </si>
  <si>
    <t>Маморниця Вама</t>
  </si>
  <si>
    <t>((03740))37334</t>
  </si>
  <si>
    <t>http://radgospivskiynvk.com.ua</t>
  </si>
  <si>
    <t>Глибоцька гімназія Глибоцької селищної ради Глибоцького району Чернівецької області</t>
  </si>
  <si>
    <t>60400</t>
  </si>
  <si>
    <t>7321055100</t>
  </si>
  <si>
    <t>вул. Небесної Сотні, 71</t>
  </si>
  <si>
    <t>0373421704</t>
  </si>
  <si>
    <t>http://hlyboka-school.edukit.cv.ua</t>
  </si>
  <si>
    <t>Глибоцький ліцей Глибоцької селищної ради Глибоцького району Чернівецької області</t>
  </si>
  <si>
    <t>(03734)22440</t>
  </si>
  <si>
    <t>http://www.glib-licey.com</t>
  </si>
  <si>
    <t>Багринівська загальноосвітня школа І-ІІІ ступенів Багринівської сільської ради Глибоцького району Чернівецької області</t>
  </si>
  <si>
    <t>60441</t>
  </si>
  <si>
    <t>7321080101</t>
  </si>
  <si>
    <t>Багринівка</t>
  </si>
  <si>
    <t>380373455074</t>
  </si>
  <si>
    <t>http://bahrinesti.cv.ua</t>
  </si>
  <si>
    <t>Валякузьминська загальноосвітня школа I-II ступенів Волоківської сільської ради Глибоцького району Чернівецької області</t>
  </si>
  <si>
    <t>60411</t>
  </si>
  <si>
    <t>7321080501</t>
  </si>
  <si>
    <t>Валя Кузьмина</t>
  </si>
  <si>
    <t>вул. Головна, 187</t>
  </si>
  <si>
    <t>0373436337</t>
  </si>
  <si>
    <t>http://vkuzmyna-zosh.cv.sch.in.ua</t>
  </si>
  <si>
    <t>Волоківська загальноосвітня школа І - ІІІ ступенів Волоківської сільської ради Глибоцького району Чернівецької області</t>
  </si>
  <si>
    <t>60413</t>
  </si>
  <si>
    <t>7321080901</t>
  </si>
  <si>
    <t>вул. В.Александрі, 45А</t>
  </si>
  <si>
    <t>0373430308, 0373430302</t>
  </si>
  <si>
    <t>https://volocaschool.wixsite.com/voloca</t>
  </si>
  <si>
    <t>Грушівський навчально - виховний комплекс Волоківської сільської ради Глибоцького району Чернівецької області</t>
  </si>
  <si>
    <t>60414</t>
  </si>
  <si>
    <t>7321080902</t>
  </si>
  <si>
    <t>вул. Штефан чел Марє</t>
  </si>
  <si>
    <t>8(03734)3-02-55</t>
  </si>
  <si>
    <t>http://grusivskiinvk.klasna.com/uk/site/page/view</t>
  </si>
  <si>
    <t>Опришенська ЗОШ І-ІІІ ступенів Опришенської сільської ради Глибоцького району Чернівецької області</t>
  </si>
  <si>
    <t>60445</t>
  </si>
  <si>
    <t>7321081801</t>
  </si>
  <si>
    <t>Опришени</t>
  </si>
  <si>
    <t>вул. Еминеску, 1</t>
  </si>
  <si>
    <t>0373447008</t>
  </si>
  <si>
    <t>http://oprisenischool.ucoz.ua</t>
  </si>
  <si>
    <t>Слобідський навчально-виховний комплекс Опришенської сільської ради Глибоцького району Чернівецької області</t>
  </si>
  <si>
    <t>60449</t>
  </si>
  <si>
    <t>7321081802</t>
  </si>
  <si>
    <t>вул. Центральна, 777А</t>
  </si>
  <si>
    <t>(03734)47013</t>
  </si>
  <si>
    <t>http://slobidskiy-nvk.ucoz.ua</t>
  </si>
  <si>
    <t>Димківський навчально-виховний комплекс Глибоцької районної ради Чернівецької області</t>
  </si>
  <si>
    <t>60407</t>
  </si>
  <si>
    <t>7321081901</t>
  </si>
  <si>
    <t>Димка</t>
  </si>
  <si>
    <t>0373456316</t>
  </si>
  <si>
    <t>http://dimca.cv.ua</t>
  </si>
  <si>
    <t>Йорданештська загальноосвітня школа № 2 І-ІІ ступенів Йорданештської сільської ради, Глибоцького району, Чернівецької області</t>
  </si>
  <si>
    <t>60421</t>
  </si>
  <si>
    <t>7321082001</t>
  </si>
  <si>
    <t>Йорданешти</t>
  </si>
  <si>
    <t>вул. Лісна, 2 - А</t>
  </si>
  <si>
    <t>(234)4-56-72</t>
  </si>
  <si>
    <t>http://school-iord2.ucoz.ua</t>
  </si>
  <si>
    <t>Йорданештська загальноосвітня школа І-ІІІ ступенів, Йорданештської сільскої ради, Глибоцького району, Чернівецької області.</t>
  </si>
  <si>
    <t>380373445750</t>
  </si>
  <si>
    <t>http://school-ardan.ucoz.ua/</t>
  </si>
  <si>
    <t>румунська,французька</t>
  </si>
  <si>
    <t>Кам'янська загальноосвітня школа І-ІІІ ступенів Кам'янської сільської ради Глибоцького району Чернівецької області</t>
  </si>
  <si>
    <t>60427</t>
  </si>
  <si>
    <t>7321082101</t>
  </si>
  <si>
    <t>вул. Синюка, 3</t>
  </si>
  <si>
    <t>0373431481</t>
  </si>
  <si>
    <t>http://kamschool12.ucoz.ru/</t>
  </si>
  <si>
    <t>Карапчівський ліцей ім. М. Емінеску Глибоцької районної ради Чернівецької області</t>
  </si>
  <si>
    <t>60420</t>
  </si>
  <si>
    <t>7321082401</t>
  </si>
  <si>
    <t>380373430333</t>
  </si>
  <si>
    <t>Комунальний заклад "Карапчівська спеціальна загальноосвітня школа - інтернат"</t>
  </si>
  <si>
    <t>(03734)4-04-74</t>
  </si>
  <si>
    <t>21423727</t>
  </si>
  <si>
    <t>Коровійська загальноосвітня школа І-ІІІ ступенів Коровійської сільської ради Глибоцького району Чернівецької області</t>
  </si>
  <si>
    <t>60410</t>
  </si>
  <si>
    <t>7321082701</t>
  </si>
  <si>
    <t>Коровія</t>
  </si>
  <si>
    <t>(03734)36298</t>
  </si>
  <si>
    <t>http://koroviya.ucoz.ua/</t>
  </si>
  <si>
    <t>Корчівецька загальноосвітня школа І-ІІІ ступенів Корчівецької сільської ради Глибоцького району Чернівецької області</t>
  </si>
  <si>
    <t>60426</t>
  </si>
  <si>
    <t>7321083001</t>
  </si>
  <si>
    <t>Корчівці</t>
  </si>
  <si>
    <t>вул. О.Кобилянської, 10</t>
  </si>
  <si>
    <t>0373454710</t>
  </si>
  <si>
    <t>http://korchivcischool.ucoz.com/</t>
  </si>
  <si>
    <t>Купський навчально-виховний комплекс № 2 Купської сільської ради, Глибоцького району, Чернівецької області.</t>
  </si>
  <si>
    <t>60425</t>
  </si>
  <si>
    <t>7321083301</t>
  </si>
  <si>
    <t>Купка</t>
  </si>
  <si>
    <t>вул. Центральна, 78 А</t>
  </si>
  <si>
    <t>0373458510</t>
  </si>
  <si>
    <t>http://kypka2.ucoz.ua</t>
  </si>
  <si>
    <t>Купський навчально-виховний комплекс Глибоцької районної ради Глибоцького району Чернівецької області</t>
  </si>
  <si>
    <t>вул. Центральна, 124</t>
  </si>
  <si>
    <t>(03734)58522</t>
  </si>
  <si>
    <t>http://kupskii-nvk.ucoz.ua</t>
  </si>
  <si>
    <t>Луковицька ЗОШ І-ІІІ ступенів Луковицької сільської ради Глибоцького району Чернівецької області</t>
  </si>
  <si>
    <t>60416</t>
  </si>
  <si>
    <t>7321083601</t>
  </si>
  <si>
    <t>0373451130</t>
  </si>
  <si>
    <t>Кутбаїнська загальноосвітня школа I ступеня Луковицької сільскої ради Глибоцького району Чернівецької області</t>
  </si>
  <si>
    <t>7321083602</t>
  </si>
  <si>
    <t>Кут</t>
  </si>
  <si>
    <t>(03834)51200</t>
  </si>
  <si>
    <t>Михайлівський навчально-виховний комплекс Глибоцької селищної ради Чернівецької області</t>
  </si>
  <si>
    <t>60408</t>
  </si>
  <si>
    <t>7321084201</t>
  </si>
  <si>
    <t>(234)0373446190</t>
  </si>
  <si>
    <t>http://mikhaylivka.ucoz.net</t>
  </si>
  <si>
    <t>Червонодібровський навчально-виховний комплекс Глибоцької селищної ради об'єднаної територіальної громади Глибоцького району Чернівецької області</t>
  </si>
  <si>
    <t>60409</t>
  </si>
  <si>
    <t>7321084202</t>
  </si>
  <si>
    <t>Червона Діброва</t>
  </si>
  <si>
    <t>0373446172</t>
  </si>
  <si>
    <t>http://chervonadibrova.at.ua/</t>
  </si>
  <si>
    <t>Молодійська загальноосвітня школа І - ІІІ ступенів Молодійської сільської ради Глибоцького району Чернівецької області</t>
  </si>
  <si>
    <t>60415</t>
  </si>
  <si>
    <t>7321084801</t>
  </si>
  <si>
    <t>Молодія</t>
  </si>
  <si>
    <t>вул. Буковинська, 70</t>
  </si>
  <si>
    <t>0373435333, 0373435368</t>
  </si>
  <si>
    <t>http://molodia-school.ucoz.ru</t>
  </si>
  <si>
    <t>Тереблеченська загальноосвітня школа І-ІІІ ступенів № 1 Глибоцької районної ради Глибоцького району Чернівецької області</t>
  </si>
  <si>
    <t>60435</t>
  </si>
  <si>
    <t>7321085401</t>
  </si>
  <si>
    <t>Тереблече</t>
  </si>
  <si>
    <t>вул. Головна, 11</t>
  </si>
  <si>
    <t>0373434572, 0373434373</t>
  </si>
  <si>
    <t>http://tsn1.at.ua</t>
  </si>
  <si>
    <t>21424106</t>
  </si>
  <si>
    <t>Тереблеченська загальноосвітня школа І-ІІІ ступенів Тереблеченської сільскої ради Глибоцького району Чернівецької області</t>
  </si>
  <si>
    <t>вул. Конституції, 2</t>
  </si>
  <si>
    <t>380373434393, 0668436139</t>
  </si>
  <si>
    <t>http://tereblecescoala.at.ua/</t>
  </si>
  <si>
    <t>Горбівецька загальноосвітння школа І-ІІ ступенів. Тереблеченської сільської ради. Глибоцького району. Чернівецької області.</t>
  </si>
  <si>
    <t>60437</t>
  </si>
  <si>
    <t>7321085402</t>
  </si>
  <si>
    <t>Горбівці</t>
  </si>
  <si>
    <t>0373425-26-90</t>
  </si>
  <si>
    <t>Нижньосиньовецька загальноосвітня школа І-ІІІ ступенів Тереблеченської сільської ради , Глибоцького району, Чернівецької області</t>
  </si>
  <si>
    <t>60446</t>
  </si>
  <si>
    <t>7321085702</t>
  </si>
  <si>
    <t>Нижні Синівці</t>
  </si>
  <si>
    <t>0373452680</t>
  </si>
  <si>
    <t>http://sunivtischool.ucoz.ua</t>
  </si>
  <si>
    <t>Станівецький НВК Станівецької сільської ради Глибоцького району Чернівецька області</t>
  </si>
  <si>
    <t>60432</t>
  </si>
  <si>
    <t>7321086001</t>
  </si>
  <si>
    <t>Станівці</t>
  </si>
  <si>
    <t>вул. Головна, 151</t>
  </si>
  <si>
    <t>(03734)59144</t>
  </si>
  <si>
    <t>http://stanivtsi-nvk.in.ua</t>
  </si>
  <si>
    <t>Старововчинецький ліцей Старововчинецької сільської ради Глибоцького району Чернівецької області</t>
  </si>
  <si>
    <t>60440</t>
  </si>
  <si>
    <t>7321086301</t>
  </si>
  <si>
    <t>Старий Вовчинець</t>
  </si>
  <si>
    <t>вул. Головна, 7</t>
  </si>
  <si>
    <t>0373455610, 0373455600</t>
  </si>
  <si>
    <t>http://vovchynets1987.at.ua/</t>
  </si>
  <si>
    <t>Стерченська загальноосвітня школа І-ІІІ ступенів Стерченської сільської ради Глибоцького району Чернівецької області</t>
  </si>
  <si>
    <t>60438</t>
  </si>
  <si>
    <t>7321086401</t>
  </si>
  <si>
    <t>Стерче</t>
  </si>
  <si>
    <t>(03734)34336, 0507039286</t>
  </si>
  <si>
    <t>http://sterchezosh.ucoz.ua/</t>
  </si>
  <si>
    <t>Тарашанська загальноосвітня школа I-III ступенів Тарашанської сільської ради , Глибоцького району, Чернівецької області</t>
  </si>
  <si>
    <t>60430</t>
  </si>
  <si>
    <t>7321086701</t>
  </si>
  <si>
    <t>Тарашани</t>
  </si>
  <si>
    <t>вул. Березина, 7</t>
  </si>
  <si>
    <t>4-43-21</t>
  </si>
  <si>
    <t>Привороцька загальноосвітня школа І-ІІ ступенів Тарашанської сільської ради Глибоцького району Чернівецької області</t>
  </si>
  <si>
    <t>60431</t>
  </si>
  <si>
    <t>7321086702</t>
  </si>
  <si>
    <t>Привороки</t>
  </si>
  <si>
    <t>380373444311</t>
  </si>
  <si>
    <t>http://pruvoroku.jimdo.com/</t>
  </si>
  <si>
    <t>Турятський навчально-виховний комплекс Турятської сільської ради Глибоцького району Чернівецької області</t>
  </si>
  <si>
    <t>60433</t>
  </si>
  <si>
    <t>7321087401</t>
  </si>
  <si>
    <t>Турятка</t>
  </si>
  <si>
    <t>(8234)53118</t>
  </si>
  <si>
    <t>http://tyriatka.com.ua</t>
  </si>
  <si>
    <t>Чагорська загальноосвітня школа І-ІІІ ступенів Чагорської сільської ради Глибоцького району Чернівецької області</t>
  </si>
  <si>
    <t>60412</t>
  </si>
  <si>
    <t>7321087901</t>
  </si>
  <si>
    <t>Чагор</t>
  </si>
  <si>
    <t>0373438615, 0373438939</t>
  </si>
  <si>
    <t>http://chagorschool.ho.ua</t>
  </si>
  <si>
    <t>Черепковецька загальноосвітня школа І-ІІІ ступенів Черепковецької сільської ради Глибоцького району Чернівецької області</t>
  </si>
  <si>
    <t>60444</t>
  </si>
  <si>
    <t>7321088201</t>
  </si>
  <si>
    <t>Черепківці</t>
  </si>
  <si>
    <t>вул. Головна, 39</t>
  </si>
  <si>
    <t>380373443150, 380373443336</t>
  </si>
  <si>
    <t>http://cher-school.at.ua/</t>
  </si>
  <si>
    <t>Новововчинецький навчально-виховний комплекс Черепковецької сільскої ради Глибоцького району Чернівецької області</t>
  </si>
  <si>
    <t>7321088202</t>
  </si>
  <si>
    <t>Новий Вовчинець</t>
  </si>
  <si>
    <t>вул. Головна, 52А</t>
  </si>
  <si>
    <t>380373443130</t>
  </si>
  <si>
    <t>Сучевенська загальноосвітня школа І-ІІІ ступенів Сучевенської сільської ради Глибоцького району Чернівецької області</t>
  </si>
  <si>
    <t>60422</t>
  </si>
  <si>
    <t>7321088501</t>
  </si>
  <si>
    <t>Сучевени</t>
  </si>
  <si>
    <t>вул. Центральна, 34Б</t>
  </si>
  <si>
    <t>(03734)4-85-23</t>
  </si>
  <si>
    <t>http://Suceveni-school.ucoz.ua</t>
  </si>
  <si>
    <t>Петричанський навчально-виховний комплекс, Сучевенської сільської ради, Глибоцького району, Чернівецької області</t>
  </si>
  <si>
    <t>60423</t>
  </si>
  <si>
    <t>7321088502</t>
  </si>
  <si>
    <t>Петричанка</t>
  </si>
  <si>
    <t>0373448619</t>
  </si>
  <si>
    <t>http://petr--nvk.ucoz.ua</t>
  </si>
  <si>
    <t>Просіцька загальньоосвітня школа І-ІІ ступенів, Сучевенської сільської ради,Глибоцького району, Чернівецької області.</t>
  </si>
  <si>
    <t>60424</t>
  </si>
  <si>
    <t>7321088503</t>
  </si>
  <si>
    <t>Просіка</t>
  </si>
  <si>
    <t>вул. Буковинська, 61</t>
  </si>
  <si>
    <t>(03734)4-85-49, (099)3398904</t>
  </si>
  <si>
    <t>http://prosikaschool.ucoz.ua/</t>
  </si>
  <si>
    <t>Просикурянська загальноосвітня школа І ступеня Сучевенської сільскої ради Глибоцького району Чернівецької області</t>
  </si>
  <si>
    <t>7321088504</t>
  </si>
  <si>
    <t>Просикуряни</t>
  </si>
  <si>
    <t>380373423217</t>
  </si>
  <si>
    <t>Заставнівська гімназія Заставнівського району Чернівецької області</t>
  </si>
  <si>
    <t>59400</t>
  </si>
  <si>
    <t>7321510100</t>
  </si>
  <si>
    <t>Заставна</t>
  </si>
  <si>
    <t>0373721654</t>
  </si>
  <si>
    <t>http://zast-gymnasium.ucoz.ua</t>
  </si>
  <si>
    <t>Заставнівська загальноосвітня школа І-ІІІ ступенів</t>
  </si>
  <si>
    <t>ал. Незалежності, 112 а</t>
  </si>
  <si>
    <t>(03737)21354</t>
  </si>
  <si>
    <t>Кострижівська загальноосвітня школа І-ІІІ ступенів Заставнівського району Чернівецької області</t>
  </si>
  <si>
    <t>59410</t>
  </si>
  <si>
    <t>7321555400</t>
  </si>
  <si>
    <t>Кострижівка</t>
  </si>
  <si>
    <t>вул. Заводська, 60 Б</t>
  </si>
  <si>
    <t>((03737))27262</t>
  </si>
  <si>
    <t>http://kostrzosh.cv.ua</t>
  </si>
  <si>
    <t>Бабинський навчально-виховний комплекс І-ІІ ступенів Заставнівського району Чернівецької області</t>
  </si>
  <si>
    <t>59411</t>
  </si>
  <si>
    <t>7321580401</t>
  </si>
  <si>
    <t>(03737)4-65-86</t>
  </si>
  <si>
    <t>http://babunschool.at.ua</t>
  </si>
  <si>
    <t>Баламутівський навчально-виховний комплекс I-III ступенів Заставнівського району Чернівецької області</t>
  </si>
  <si>
    <t>59437</t>
  </si>
  <si>
    <t>7321580701</t>
  </si>
  <si>
    <t>((03737))2-55-16</t>
  </si>
  <si>
    <t>Брідоцький навчально-виховний комплекс "Загальноосвітній навчальний заклад І-ІІ ступенів - дошкільний навчальний заклад" Заставнівського району Чернівецької області</t>
  </si>
  <si>
    <t>59430</t>
  </si>
  <si>
    <t>7321581501</t>
  </si>
  <si>
    <t>(8(237))2-31-42</t>
  </si>
  <si>
    <t>Василівський навчально-виховний комплекс І-ІІІ ступенів Заставнівського району Чернівецької області</t>
  </si>
  <si>
    <t>59416</t>
  </si>
  <si>
    <t>7321581901</t>
  </si>
  <si>
    <t>Василів</t>
  </si>
  <si>
    <t>вул. Головна, 45</t>
  </si>
  <si>
    <t>((03737))42619</t>
  </si>
  <si>
    <t>Васловівський навчально-виховний комплекс І-ІІІ ступенівЗаставнівського району Чернівецької області</t>
  </si>
  <si>
    <t>59451</t>
  </si>
  <si>
    <t>7321582201</t>
  </si>
  <si>
    <t>Васловівці</t>
  </si>
  <si>
    <t>(03737)48145</t>
  </si>
  <si>
    <t>http://nvkvaslovivzi.ucoz.ru</t>
  </si>
  <si>
    <t>Вербовецький навчально-виховний комплекс І-ІІ ступенів Заставнівського району Чернівецької області</t>
  </si>
  <si>
    <t>59441</t>
  </si>
  <si>
    <t>7321582801</t>
  </si>
  <si>
    <t>вул. Є. Ліпецького, 83</t>
  </si>
  <si>
    <t>((03737))2-56-95</t>
  </si>
  <si>
    <t>Веренчанська загальноосвітня школа І-ІІІ ступенів імені Ірини Вільде</t>
  </si>
  <si>
    <t>59420</t>
  </si>
  <si>
    <t>7321582901</t>
  </si>
  <si>
    <t>Веренчанка</t>
  </si>
  <si>
    <t>(237)39925</t>
  </si>
  <si>
    <t>Яблунівський навчально-виховний комплекс, Заставнівського району, Чернівецької області</t>
  </si>
  <si>
    <t>7321582902</t>
  </si>
  <si>
    <t>Горішньошерівецька загальноосвітня школа І-ІІІ ступенів Заставнівського району Чернівецької області</t>
  </si>
  <si>
    <t>59452</t>
  </si>
  <si>
    <t>7321583301</t>
  </si>
  <si>
    <t>Горішні Шерівці</t>
  </si>
  <si>
    <t>вул. Макаренка, 10</t>
  </si>
  <si>
    <t>((03737))29053</t>
  </si>
  <si>
    <t>Горошовецький навчально-виховний комплекс І-ІІІ ступенів Заставнівського району Чернівецької області</t>
  </si>
  <si>
    <t>59442</t>
  </si>
  <si>
    <t>7321583601</t>
  </si>
  <si>
    <t>Горошівці</t>
  </si>
  <si>
    <t>((03737))26353</t>
  </si>
  <si>
    <t>Добриновецький навчально-виховний комплекс Заставнівського району Чернівецької області</t>
  </si>
  <si>
    <t>59444</t>
  </si>
  <si>
    <t>7321584001</t>
  </si>
  <si>
    <t>Добринівці</t>
  </si>
  <si>
    <t>вул. 1 Травня, 24А</t>
  </si>
  <si>
    <t>0373726419</t>
  </si>
  <si>
    <t>Дорошовецький навчально-виховний комплекс І-ІІІ ступенів Заставнівського району Чернівецької області</t>
  </si>
  <si>
    <t>59423</t>
  </si>
  <si>
    <t>7321584401</t>
  </si>
  <si>
    <t>Дорошівці</t>
  </si>
  <si>
    <t>вул. А.Василишиного, 11</t>
  </si>
  <si>
    <t>(03737)3-51-49</t>
  </si>
  <si>
    <t>Чернівецька область, Заставнівський район, вулиця М.Щербини 22А, Задубрівський навчально-виховний комплекс І-ІІ ступенів</t>
  </si>
  <si>
    <t>59453</t>
  </si>
  <si>
    <t>7321584701</t>
  </si>
  <si>
    <t>Задубрівка</t>
  </si>
  <si>
    <t>вул. М.Щербини, 22А</t>
  </si>
  <si>
    <t>(03737)42384</t>
  </si>
  <si>
    <t>Звенячинський навчально-виховний комплекс</t>
  </si>
  <si>
    <t>59413</t>
  </si>
  <si>
    <t>7321584901</t>
  </si>
  <si>
    <t>Звенячин</t>
  </si>
  <si>
    <t>(237)23640</t>
  </si>
  <si>
    <t>Кадубовецька загальноосвітня школа І-ІІІ ступенів Заставнівського району Чернівецької області</t>
  </si>
  <si>
    <t>59421</t>
  </si>
  <si>
    <t>7321585201</t>
  </si>
  <si>
    <t>Кадубівці</t>
  </si>
  <si>
    <t>вул. 28 червня, 1</t>
  </si>
  <si>
    <t>((03737))3-44-19</t>
  </si>
  <si>
    <t>Хрещатицький навчально-виховний комплекс І-ІІІ ступенів Заставнівського району Чернівецької області</t>
  </si>
  <si>
    <t>59415</t>
  </si>
  <si>
    <t>7321585401</t>
  </si>
  <si>
    <t>Хрещатик</t>
  </si>
  <si>
    <t>вул. Першотравнева, 34</t>
  </si>
  <si>
    <t>((03737))24747, (095)0908459, (099)4067086</t>
  </si>
  <si>
    <t>Кулівецький навчально-виховний комплекс І-ІІ ступеня</t>
  </si>
  <si>
    <t>59417</t>
  </si>
  <si>
    <t>7321585501</t>
  </si>
  <si>
    <t>Кулівці</t>
  </si>
  <si>
    <t>224655</t>
  </si>
  <si>
    <t>Малокучурівський навчально-виховний комплекс</t>
  </si>
  <si>
    <t>59450</t>
  </si>
  <si>
    <t>7321585601</t>
  </si>
  <si>
    <t>Малий Кучурів</t>
  </si>
  <si>
    <t>0373741334</t>
  </si>
  <si>
    <t>с.Вікно, Чернівецька область, Заставнівський район, Вікнянська ЗОШ І-ІІІ ступенів</t>
  </si>
  <si>
    <t>59433</t>
  </si>
  <si>
    <t>7321586001</t>
  </si>
  <si>
    <t>вул. Бажанського, 17</t>
  </si>
  <si>
    <t>2-87-14</t>
  </si>
  <si>
    <t>Онутський навчально-виховний комплекс І-ІІ ступенів Заставнівського району Чернівецької області</t>
  </si>
  <si>
    <t>59434</t>
  </si>
  <si>
    <t>7321586401</t>
  </si>
  <si>
    <t>Онут</t>
  </si>
  <si>
    <t>((03737))2-33-85</t>
  </si>
  <si>
    <t>Чернівецька область,Заставнівський район,с.Погорілівка,Погорілівська загальноосвітня школа І-ІІІ ступенів</t>
  </si>
  <si>
    <t>59436</t>
  </si>
  <si>
    <t>7321586801</t>
  </si>
  <si>
    <t>Погорілівка</t>
  </si>
  <si>
    <t>вул. Головна, 16Б</t>
  </si>
  <si>
    <t>Прилипченський навчально-виховний комплекс І-ІІ ступенів Заставнівської РДА</t>
  </si>
  <si>
    <t>59412</t>
  </si>
  <si>
    <t>7321587201</t>
  </si>
  <si>
    <t>Прилипче</t>
  </si>
  <si>
    <t>ал. Центральна, 29</t>
  </si>
  <si>
    <t>(03737)27661</t>
  </si>
  <si>
    <t>Репужинецький навчально-виховний комплекс</t>
  </si>
  <si>
    <t>59414</t>
  </si>
  <si>
    <t>7321587601</t>
  </si>
  <si>
    <t>Репужинці</t>
  </si>
  <si>
    <t>(03737)24449</t>
  </si>
  <si>
    <t>Ржавинецький навчально-виховний комплекс І-ІІІ ступенів Заставнівського району Чернівецької області</t>
  </si>
  <si>
    <t>59445</t>
  </si>
  <si>
    <t>7321588001</t>
  </si>
  <si>
    <t>Ржавинці</t>
  </si>
  <si>
    <t>вул. Кобилянська, 7</t>
  </si>
  <si>
    <t>((03737))2-67-48</t>
  </si>
  <si>
    <t>Товтрівська загальноосвітня школа І-ІІІ ступенів Заставнівського району Чернівецької області</t>
  </si>
  <si>
    <t>59424</t>
  </si>
  <si>
    <t>7321588801</t>
  </si>
  <si>
    <t>Товтри</t>
  </si>
  <si>
    <t>((03737))44150</t>
  </si>
  <si>
    <t>http://www.zoshtovtry.ucoz.ru</t>
  </si>
  <si>
    <t>Чорнопотіцький навчально-виховний комплекс І-ІІ ступенів Чорнопотіцької сільської ради Заставнівського району Чернівецької області</t>
  </si>
  <si>
    <t>59435</t>
  </si>
  <si>
    <t>7321589101</t>
  </si>
  <si>
    <t>22-33-66</t>
  </si>
  <si>
    <t>Чуньківський навчально-виховний комплекс</t>
  </si>
  <si>
    <t>59422</t>
  </si>
  <si>
    <t>7321589201</t>
  </si>
  <si>
    <t>Чуньків</t>
  </si>
  <si>
    <t>вул. Є.Ярошинська, 7</t>
  </si>
  <si>
    <t>(237)20441</t>
  </si>
  <si>
    <t>Шубранецька загальноосвітня школа І-ІІІ ступенів</t>
  </si>
  <si>
    <t>7321589501</t>
  </si>
  <si>
    <t>Шубранець</t>
  </si>
  <si>
    <t>(03737)27124</t>
  </si>
  <si>
    <t>Юрковецька загальноосвітня школа І-ІІІ ступенів Заставнівського району Чернівецької області</t>
  </si>
  <si>
    <t>59440</t>
  </si>
  <si>
    <t>7321589701</t>
  </si>
  <si>
    <t>((03737))45680</t>
  </si>
  <si>
    <t>Кельменецький ліцей - опорний заклад</t>
  </si>
  <si>
    <t>60100</t>
  </si>
  <si>
    <t>7322055100</t>
  </si>
  <si>
    <t>Кельменці</t>
  </si>
  <si>
    <t>пл. Центральна, 5</t>
  </si>
  <si>
    <t>(03732)21892, (03732)20781</t>
  </si>
  <si>
    <t>Середня загальноосвітня школа І-ІІІ ступенів с.Бабин</t>
  </si>
  <si>
    <t>60115</t>
  </si>
  <si>
    <t>7322080401</t>
  </si>
  <si>
    <t>3-58-41</t>
  </si>
  <si>
    <t>Бернівський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</si>
  <si>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60120</t>
  </si>
  <si>
    <t>7322080801</t>
  </si>
  <si>
    <t>Бернове</t>
  </si>
  <si>
    <t>вул. Головна, 23</t>
  </si>
  <si>
    <t>(03732)3-74-74</t>
  </si>
  <si>
    <t>Бузовицький навчально-виховний комплекс "загальноосвітній навчальний заклад - дошкільний навчальний заклад"</t>
  </si>
  <si>
    <t>60142</t>
  </si>
  <si>
    <t>7322081201</t>
  </si>
  <si>
    <t>Бузовиця</t>
  </si>
  <si>
    <t>0373226617</t>
  </si>
  <si>
    <t>Бурдюзький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</si>
  <si>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60143</t>
  </si>
  <si>
    <t>7322081601</t>
  </si>
  <si>
    <t>Бурдюг</t>
  </si>
  <si>
    <t>вул. Буковинська, 3</t>
  </si>
  <si>
    <t>0373228110</t>
  </si>
  <si>
    <t>Середня загальноосвітня школа І-ІІ ступенів села Вартиківці Кельменецького району Чернівецької області</t>
  </si>
  <si>
    <t>60130</t>
  </si>
  <si>
    <t>7322082001</t>
  </si>
  <si>
    <t>Вартиківці</t>
  </si>
  <si>
    <t>(03732)3-02-66</t>
  </si>
  <si>
    <t>http://www.zosh.cv.ua</t>
  </si>
  <si>
    <t>Вовчинецький навчально-виховний комплекс "загальноосвітній навчальний заклад-дошкільний навчальний заклад"</t>
  </si>
  <si>
    <t>60150</t>
  </si>
  <si>
    <t>7322082401</t>
  </si>
  <si>
    <t>вул. Головна, 29</t>
  </si>
  <si>
    <t>43220</t>
  </si>
  <si>
    <t>Вороновицький навчально-виховний комплекс"загальноосвітній навчальний заклад - дошкільний навчальний заклад"</t>
  </si>
  <si>
    <t>60110</t>
  </si>
  <si>
    <t>7322082801</t>
  </si>
  <si>
    <t>вул. Прибережна, 61</t>
  </si>
  <si>
    <t>0373236372</t>
  </si>
  <si>
    <t>Грушовецький навчально-виховний комплекс "загальноосвітній навчальний заклад-дошкільний навчальний заклад"</t>
  </si>
  <si>
    <t>60113</t>
  </si>
  <si>
    <t>7322083201</t>
  </si>
  <si>
    <t>Грушівці</t>
  </si>
  <si>
    <t>ал. вул.Центральна, 18,В</t>
  </si>
  <si>
    <t>(03732)2-82-51</t>
  </si>
  <si>
    <t>Дністрівський навчально - виховний комплекс "загальноосвітній навчальний заклад - дошкільний навчальний заклад" Кельменецького району Чернівецької області</t>
  </si>
  <si>
    <t>60141</t>
  </si>
  <si>
    <t>7322083601</t>
  </si>
  <si>
    <t>Дністрівка</t>
  </si>
  <si>
    <t>0373228410</t>
  </si>
  <si>
    <t>середня загальноосвітня школа І-ІІІ ступенів с. Зелена Кельменецького району Чернівецької області</t>
  </si>
  <si>
    <t>60133</t>
  </si>
  <si>
    <t>7322084001</t>
  </si>
  <si>
    <t>(037)3-22-16</t>
  </si>
  <si>
    <t>http://zelenaschool.ucoz.ru/</t>
  </si>
  <si>
    <t>Середня загальноосвітня школа І-ІІІ ступенів с. Іванівці</t>
  </si>
  <si>
    <t>60144</t>
  </si>
  <si>
    <t>7322084401</t>
  </si>
  <si>
    <t>0373224334</t>
  </si>
  <si>
    <t>http://www.ivanzosh.prohoster.biz</t>
  </si>
  <si>
    <t>Козирянський навчально-виховний комплекс Кельменецького р-ну Чернівецької області</t>
  </si>
  <si>
    <t>60132</t>
  </si>
  <si>
    <t>7322084801</t>
  </si>
  <si>
    <t>Козиряни</t>
  </si>
  <si>
    <t>0373242236</t>
  </si>
  <si>
    <t>Комарівський навчально-виховний комплекс "Загальноосвітній навчальний заклад-дошкільний навчальний заклад"</t>
  </si>
  <si>
    <t>60140</t>
  </si>
  <si>
    <t>7322085201</t>
  </si>
  <si>
    <t>Середня загальноосвітня школа І - ІІІ ступенів с. Лівинці Кельменецького району, Чернівецької області</t>
  </si>
  <si>
    <t>60125</t>
  </si>
  <si>
    <t>7322085601</t>
  </si>
  <si>
    <t>Лівинці</t>
  </si>
  <si>
    <t>вул. Головна, 6</t>
  </si>
  <si>
    <t>0373234510</t>
  </si>
  <si>
    <t>Михайлівський НВК</t>
  </si>
  <si>
    <t>60124</t>
  </si>
  <si>
    <t>7322085602</t>
  </si>
  <si>
    <t>вул. Щкільна, 15</t>
  </si>
  <si>
    <t>0373234557</t>
  </si>
  <si>
    <t>Ленковецький навчально-виховний комплекс "загальноосвітній навчальний заклад-дошкільний навчальний заклад"</t>
  </si>
  <si>
    <t>60111</t>
  </si>
  <si>
    <t>7322086001</t>
  </si>
  <si>
    <t>2-73-18</t>
  </si>
  <si>
    <t>середня загальноосвітня школа І-ІІ ступенів села Мошанець Кельменецького району Чернівецької області</t>
  </si>
  <si>
    <t>60121</t>
  </si>
  <si>
    <t>7322086401</t>
  </si>
  <si>
    <t>Мошанець</t>
  </si>
  <si>
    <t>вул. Бернівська, 16</t>
  </si>
  <si>
    <t>0373237723</t>
  </si>
  <si>
    <t>http://moshanez.klasna.com</t>
  </si>
  <si>
    <t>Нелиповецький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</si>
  <si>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60152</t>
  </si>
  <si>
    <t>7322086801</t>
  </si>
  <si>
    <t>Нелипівці</t>
  </si>
  <si>
    <t>0373233504</t>
  </si>
  <si>
    <t>Новоселицький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</si>
  <si>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60151</t>
  </si>
  <si>
    <t>7322087201</t>
  </si>
  <si>
    <t>0989353788</t>
  </si>
  <si>
    <t>http://novoselytsia-kelm.edukit.cv.ua</t>
  </si>
  <si>
    <t>Оселівський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</si>
  <si>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7322087601</t>
  </si>
  <si>
    <t>Оселівка</t>
  </si>
  <si>
    <t>0961759441</t>
  </si>
  <si>
    <t>Перковецький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</si>
  <si>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7322088001</t>
  </si>
  <si>
    <t>Перківці</t>
  </si>
  <si>
    <t>095200429</t>
  </si>
  <si>
    <t>Середня загальноосвітня школа І-ІІІ ступенів с.Подвір'ївка</t>
  </si>
  <si>
    <t>60134</t>
  </si>
  <si>
    <t>7322088401</t>
  </si>
  <si>
    <t>Подвір'ївка</t>
  </si>
  <si>
    <t>вул. Товариська, 42</t>
  </si>
  <si>
    <t>0373241210, 0685353610</t>
  </si>
  <si>
    <t>Росошанівський навчально - виховний комплекс "загальноосвітній навчальний заклад - дошкільний навчальний заклад" Кельменецького району Чернівецької області</t>
  </si>
  <si>
    <t>60154</t>
  </si>
  <si>
    <t>7322088801</t>
  </si>
  <si>
    <t>Росошани</t>
  </si>
  <si>
    <t>0373229915</t>
  </si>
  <si>
    <t>Кіцманська районна гімназія. Кіцманської районної ради</t>
  </si>
  <si>
    <t>59300</t>
  </si>
  <si>
    <t>7322510100</t>
  </si>
  <si>
    <t>Кіцмань</t>
  </si>
  <si>
    <t>0373621667, 0373623731</t>
  </si>
  <si>
    <t>Кіцманський загальноосвітній навчальний заклад І-ІІІ ступенів відділу освіти, молоді та спорту Кіцманської районної державної адміністрації Кіцманського району Чернівецької області</t>
  </si>
  <si>
    <t>вул. Миколайчука, 5</t>
  </si>
  <si>
    <t>0373623735, 0373621590</t>
  </si>
  <si>
    <t>Кіцманський навчально-виховний комплекс</t>
  </si>
  <si>
    <t>Лужанський загальноосвітній навчальний заклад І - ІІІ ступенів ім. Василя Орелецького</t>
  </si>
  <si>
    <t>59342</t>
  </si>
  <si>
    <t>7322555400</t>
  </si>
  <si>
    <t>Лужани</t>
  </si>
  <si>
    <t>вул. Марковського, 18 а</t>
  </si>
  <si>
    <t>(03736)24234</t>
  </si>
  <si>
    <t>Неполоковецький загальноосвітній навчальний заклад І - ІІІ ступенів</t>
  </si>
  <si>
    <t>59330</t>
  </si>
  <si>
    <t>7322555700</t>
  </si>
  <si>
    <t>Неполоківці</t>
  </si>
  <si>
    <t>Реваківський загальноосвітній навчальний заклад І-ІІІ ступенів</t>
  </si>
  <si>
    <t>59332</t>
  </si>
  <si>
    <t>7322580504</t>
  </si>
  <si>
    <t>Реваківці</t>
  </si>
  <si>
    <t>0373664251</t>
  </si>
  <si>
    <t>Білянський навчально-виховний комплекс</t>
  </si>
  <si>
    <t>59346</t>
  </si>
  <si>
    <t>7322580701</t>
  </si>
  <si>
    <t>(03736)58527</t>
  </si>
  <si>
    <t>Борівецький загальноосвітній навчальний заклад І-ІІІ ступенів</t>
  </si>
  <si>
    <t>59311</t>
  </si>
  <si>
    <t>7322581001</t>
  </si>
  <si>
    <t>Борівці</t>
  </si>
  <si>
    <t>0373628756</t>
  </si>
  <si>
    <t>Брусницький загальноосвітній навчальний заклад І - ІІІ ступенів імені І. Миколайчука</t>
  </si>
  <si>
    <t>59350</t>
  </si>
  <si>
    <t>7322581501</t>
  </si>
  <si>
    <t>Брусниця</t>
  </si>
  <si>
    <t>вул. Буковинська, 9 -А</t>
  </si>
  <si>
    <t>5-44-36</t>
  </si>
  <si>
    <t>http://brznz.klasna.com/uk/site/index.html</t>
  </si>
  <si>
    <t>Дібрівська школа-сад</t>
  </si>
  <si>
    <t>7322581502</t>
  </si>
  <si>
    <t>ал. Українська, 7</t>
  </si>
  <si>
    <t>(03736)4-11-43</t>
  </si>
  <si>
    <t>Зеленівський загальноосвітній навчальний заклад І-ІІ ступенів</t>
  </si>
  <si>
    <t>59351</t>
  </si>
  <si>
    <t>7322581503</t>
  </si>
  <si>
    <t>вул. Буковинська, 10</t>
  </si>
  <si>
    <t>(03736)41129</t>
  </si>
  <si>
    <t>Кальнівський загальноосвітній навчальний заклад І ступеня Брусницької селищної ради Кіцманського району Чернівецької області</t>
  </si>
  <si>
    <t>59317</t>
  </si>
  <si>
    <t>7322581504</t>
  </si>
  <si>
    <t>Кальнівці</t>
  </si>
  <si>
    <t>0373654429</t>
  </si>
  <si>
    <t>Чернівецька оласть Кіцманський район с. Чортория Чорторийський загальноосвітній навчальний заклад І ступеня</t>
  </si>
  <si>
    <t>59512</t>
  </si>
  <si>
    <t>7322581507</t>
  </si>
  <si>
    <t>Чортория</t>
  </si>
  <si>
    <t>(0236)54553</t>
  </si>
  <si>
    <t>Валявський загальноосвітній навчальний заклад І-ІІ ступенів Валявської сільської ради Чернівецької області</t>
  </si>
  <si>
    <t>59340</t>
  </si>
  <si>
    <t>7322582001</t>
  </si>
  <si>
    <t>вул. Головна, 75</t>
  </si>
  <si>
    <t>43-5-97</t>
  </si>
  <si>
    <t>Верхньостановецький загальноосвітній навчальний заклад І-ІІІ ступенів</t>
  </si>
  <si>
    <t>59356</t>
  </si>
  <si>
    <t>7322582501</t>
  </si>
  <si>
    <t>Верхні Станівці</t>
  </si>
  <si>
    <t>37404</t>
  </si>
  <si>
    <t>Глиницький загальноосвітній навчальний заклад І-ІІ ступенів</t>
  </si>
  <si>
    <t>59355</t>
  </si>
  <si>
    <t>7322582601</t>
  </si>
  <si>
    <t>Глиниця</t>
  </si>
  <si>
    <t>вул. Кобилянська, 2</t>
  </si>
  <si>
    <t>0373652547</t>
  </si>
  <si>
    <t>Давидівський загальноосвітній навчальний заклад І - ІІ ступенів</t>
  </si>
  <si>
    <t>59309</t>
  </si>
  <si>
    <t>7322582801</t>
  </si>
  <si>
    <t>Давидівці</t>
  </si>
  <si>
    <t>(03736)42242</t>
  </si>
  <si>
    <t>Драчинський загальноосвітній навчальний заклад І-ІІІ ступенів</t>
  </si>
  <si>
    <t>59353</t>
  </si>
  <si>
    <t>7322583001</t>
  </si>
  <si>
    <t>Драчинці</t>
  </si>
  <si>
    <t>(03736)56724</t>
  </si>
  <si>
    <t>Новодрачинецький загальноосвітній навчальний заклад І-ІІ ступенів Кіцманського району Чернівецької області</t>
  </si>
  <si>
    <t>7322583004</t>
  </si>
  <si>
    <t>Нові Драчинці</t>
  </si>
  <si>
    <t>вул. Головна, 35</t>
  </si>
  <si>
    <t>56-0-75</t>
  </si>
  <si>
    <t>Дубовецький загальноосвітній навчальний заклад І - ІІ ступенів</t>
  </si>
  <si>
    <t>59334</t>
  </si>
  <si>
    <t>7322583201</t>
  </si>
  <si>
    <t>0373631036</t>
  </si>
  <si>
    <t>Іванківський загальноосвітній навчальний заклад І - ІІ ступенів</t>
  </si>
  <si>
    <t>59320</t>
  </si>
  <si>
    <t>7322583501</t>
  </si>
  <si>
    <t>вул. Головна, 71</t>
  </si>
  <si>
    <t>(03736)48-4-99</t>
  </si>
  <si>
    <t>Киселівський опорний загальноосвітній навчальний заклад І-ІІІ ступенів</t>
  </si>
  <si>
    <t>59310</t>
  </si>
  <si>
    <t>7322584001</t>
  </si>
  <si>
    <t>Киселів</t>
  </si>
  <si>
    <t>вул. Велико-Володимирська, 75</t>
  </si>
  <si>
    <t>(03736)2-86-85</t>
  </si>
  <si>
    <t>Кліводинський загальноосвітній навчальний заклад І-ІІ ступенів</t>
  </si>
  <si>
    <t>59308</t>
  </si>
  <si>
    <t>7322584501</t>
  </si>
  <si>
    <t>Кліводин</t>
  </si>
  <si>
    <t>(03736)47269</t>
  </si>
  <si>
    <t>Лашківський загальноосвітній навчальний заклад І-ІІІ ст. Кіцманського району, Чернівецької області</t>
  </si>
  <si>
    <t>59323</t>
  </si>
  <si>
    <t>7322585001</t>
  </si>
  <si>
    <t>Лашківка</t>
  </si>
  <si>
    <t>вул. Головна, 21</t>
  </si>
  <si>
    <t>(03736)32293</t>
  </si>
  <si>
    <t>Малятинецький загальноосвітній навчальний заклад І-ІІ ступенів Кіцманського району Чернівецької області</t>
  </si>
  <si>
    <t>59314</t>
  </si>
  <si>
    <t>7322585501</t>
  </si>
  <si>
    <t>Малятинці</t>
  </si>
  <si>
    <t>вул. Дружби Народів, 13</t>
  </si>
  <si>
    <t>0373638031, 0373638027</t>
  </si>
  <si>
    <t>Нижньостановецький ЗНЗ І - ІІІ ступенів Кіцманського р-ну Чернівецької обл</t>
  </si>
  <si>
    <t>59357</t>
  </si>
  <si>
    <t>7322586001</t>
  </si>
  <si>
    <t>Нижні Станівці</t>
  </si>
  <si>
    <t>вул. Незалежності, 100</t>
  </si>
  <si>
    <t>(03736)34-4-17</t>
  </si>
  <si>
    <t>Брусенківський загальноосвітній навчальний заклад І-ІІ ступенів</t>
  </si>
  <si>
    <t>59358</t>
  </si>
  <si>
    <t>7322586002</t>
  </si>
  <si>
    <t>Брусенки</t>
  </si>
  <si>
    <t>вул. Б.хмельницького, 66</t>
  </si>
  <si>
    <t>34-4-65</t>
  </si>
  <si>
    <t>http://brusenka-znz.ucoz.ua</t>
  </si>
  <si>
    <t>МамаЇвський навчально-виховний комплекс № 1 Кіцманська районна державна адміністрація Чернівецької області</t>
  </si>
  <si>
    <t>59343</t>
  </si>
  <si>
    <t>7322586501</t>
  </si>
  <si>
    <t>Мамаївці</t>
  </si>
  <si>
    <t>вул. Конституції5</t>
  </si>
  <si>
    <t>(03637)26-6-07</t>
  </si>
  <si>
    <t>Мамаївський загальноосвітній навчальний заклад І-ІІІ ступенів № 2</t>
  </si>
  <si>
    <t>вул. О.Кобилянської, 2А</t>
  </si>
  <si>
    <t>Оршовецький загальноосвітній навчальний заклад І-ІІІ ступенів</t>
  </si>
  <si>
    <t>59321</t>
  </si>
  <si>
    <t>7322587001</t>
  </si>
  <si>
    <t>Оршівці</t>
  </si>
  <si>
    <t>0373662645</t>
  </si>
  <si>
    <t>http://orshivciiznz.klasna.com</t>
  </si>
  <si>
    <t>Ошихлібський загальноосвітній навчальний заклад І-ІІІ ступенів Кіцманського району Чернівецької області</t>
  </si>
  <si>
    <t>59322</t>
  </si>
  <si>
    <t>7322587501</t>
  </si>
  <si>
    <t>Ошихліби</t>
  </si>
  <si>
    <t>(03736)63427</t>
  </si>
  <si>
    <t>Ставчанський загальноосвітній заклад І-ІІІ ступенів</t>
  </si>
  <si>
    <t>59316</t>
  </si>
  <si>
    <t>7322588001</t>
  </si>
  <si>
    <t>вул. Головна, 32</t>
  </si>
  <si>
    <t>373633632</t>
  </si>
  <si>
    <t>http://viksich.wix.com/stavschool</t>
  </si>
  <si>
    <t>Стрілецькокутський загальноосвітній навчальний заклад І-ІІІ ступенів</t>
  </si>
  <si>
    <t>59345</t>
  </si>
  <si>
    <t>7322588501</t>
  </si>
  <si>
    <t>Стрілецький Кут</t>
  </si>
  <si>
    <t>0373657110, 0373657280</t>
  </si>
  <si>
    <t>http://www.strkut.klasna.com</t>
  </si>
  <si>
    <t>Ревнянський загальноосвітній навчальний заклад І ступеня</t>
  </si>
  <si>
    <t>57345</t>
  </si>
  <si>
    <t>7322588504</t>
  </si>
  <si>
    <t>Суховерхівський загальноосвітній навчальний заклад І-ІІ ступенів Кіцманської районної державної адміністрації Чернівецької області</t>
  </si>
  <si>
    <t>59307</t>
  </si>
  <si>
    <t>7322588601</t>
  </si>
  <si>
    <t>Суховерхів</t>
  </si>
  <si>
    <t>0373621231</t>
  </si>
  <si>
    <t>Хлівищенський загальноосвітній навчальний заклад І-ІІ ст.</t>
  </si>
  <si>
    <t>59315</t>
  </si>
  <si>
    <t>7322588701</t>
  </si>
  <si>
    <t>Хлівище</t>
  </si>
  <si>
    <t>вул. Головна, 15А</t>
  </si>
  <si>
    <t>38529</t>
  </si>
  <si>
    <t>Шипинський загальноосвітній навчальний заклад І-ІІІ ступенів Відділ освіти Кіцманської районної державної адміністрації Кіцманського району Чернівецької області</t>
  </si>
  <si>
    <t>59341</t>
  </si>
  <si>
    <t>7322589001</t>
  </si>
  <si>
    <t>Шипинці</t>
  </si>
  <si>
    <t>(03736)44-7-24</t>
  </si>
  <si>
    <t>Шишківський загальноосвітній навчальний заклад І-ІІІ ступенів Кіцманського району Чернівецької області</t>
  </si>
  <si>
    <t>59312</t>
  </si>
  <si>
    <t>7322589501</t>
  </si>
  <si>
    <t>Шишківці</t>
  </si>
  <si>
    <t>03736-50560</t>
  </si>
  <si>
    <t>Южинецький загальноосвітній навчальний заклад І - ІІ ступенів</t>
  </si>
  <si>
    <t>59313</t>
  </si>
  <si>
    <t>7322589701</t>
  </si>
  <si>
    <t>Южинець</t>
  </si>
  <si>
    <t>вул. Головна, 9</t>
  </si>
  <si>
    <t>(03736)50144</t>
  </si>
  <si>
    <t>Новоселицька гімназія Новоселицької міської ради Новоселицького району Чернівецької області</t>
  </si>
  <si>
    <t>60300</t>
  </si>
  <si>
    <t>7323010100</t>
  </si>
  <si>
    <t>0373350309, 0373321308</t>
  </si>
  <si>
    <t>http://nov-gimnazia.at.ua/</t>
  </si>
  <si>
    <t>Новоселицька загальноосвітня школа № 3 І-ІІІ ступенів Новоселицької міської ради Новоселицького району Чернівецької області</t>
  </si>
  <si>
    <t>21424</t>
  </si>
  <si>
    <t>http://novschool3.com/</t>
  </si>
  <si>
    <t>Новоселицький районний ліцей Новоселицької міської ради Новоселицького району Чернівецької області</t>
  </si>
  <si>
    <t>вул. Кірова, 42</t>
  </si>
  <si>
    <t>(02)(03733)20153</t>
  </si>
  <si>
    <t>http://novlicey.at.ua/</t>
  </si>
  <si>
    <t>Балківецька загальноосвітня школа І-ІІІ ступенів Мамалигівської сільської ради Новоселицького району Чернівецької області</t>
  </si>
  <si>
    <t>60360</t>
  </si>
  <si>
    <t>7323080401</t>
  </si>
  <si>
    <t>Балківці</t>
  </si>
  <si>
    <t>вул. Кобилянська, 44А</t>
  </si>
  <si>
    <t>http://balzosh.ucoz.ru/</t>
  </si>
  <si>
    <t>Берестянський навчально-виховний комплекс "Загальноосвітній навчальний заклад - дошкільний навчальний заклад" Берестянської сільської ради Новоселицького району Чернівецької області</t>
  </si>
  <si>
    <t>60333</t>
  </si>
  <si>
    <t>7323080601</t>
  </si>
  <si>
    <t>(03733)39140</t>
  </si>
  <si>
    <t>http://berzoch.at.ua/</t>
  </si>
  <si>
    <t>Боянська загальноосвітня школа І-ІІІ ступенів Боянської сільської ради Новоселицького району Чернівецької області</t>
  </si>
  <si>
    <t>60321</t>
  </si>
  <si>
    <t>7323080801</t>
  </si>
  <si>
    <t>Бояни</t>
  </si>
  <si>
    <t>(03733)57133, (03733)57810</t>
  </si>
  <si>
    <t>http://boyany-school.edukit.cv.ua</t>
  </si>
  <si>
    <t>російська,румунська,англійська,французька</t>
  </si>
  <si>
    <t>Навчально-виховний комплекс "Боянська гімназія" (загальноосвітній навчальний заклад-дошкільний навчальний заклад) Боянської сільської ради Новоселицького району Чернівецьої області</t>
  </si>
  <si>
    <t>57152, 57819</t>
  </si>
  <si>
    <t>http://bgnvk.at.ua/</t>
  </si>
  <si>
    <t>Ванчиківецька ЗОШ І-ІІІ ступенів Ванчиківецької сільської ради, Новоселицького району, Чернівецької області</t>
  </si>
  <si>
    <t>60351</t>
  </si>
  <si>
    <t>7323081201</t>
  </si>
  <si>
    <t>Ванчиківці</t>
  </si>
  <si>
    <t>вул. Головна, 173В</t>
  </si>
  <si>
    <t>(03733)36-383</t>
  </si>
  <si>
    <t>http://vanzosh.at.ua</t>
  </si>
  <si>
    <t>Динівецький навчально-виховний комплекс "Загальноосвітній навчальний заклад - дошкільний навчальний заклад" Динівецької сільської ради</t>
  </si>
  <si>
    <t>60331</t>
  </si>
  <si>
    <t>7323081601</t>
  </si>
  <si>
    <t>Динівці</t>
  </si>
  <si>
    <t>0373372488, 0373372285</t>
  </si>
  <si>
    <t>http://dinivetskii-nvk.at.ua/</t>
  </si>
  <si>
    <t>Довжоцький навчально-виховний комплекс "Загальноосвітній навчальний заклад-дошкільний навчальний заклад" Довжоцької сільської ради Новоселицькького району Чернівецької області</t>
  </si>
  <si>
    <t>60334</t>
  </si>
  <si>
    <t>7323081801</t>
  </si>
  <si>
    <t>вул. Окружна 5</t>
  </si>
  <si>
    <t>(33)37240</t>
  </si>
  <si>
    <t>http://dovjoc.at.ua/</t>
  </si>
  <si>
    <t>Драницька загальноосвітня школа І-ІІІ ступенів</t>
  </si>
  <si>
    <t>60356</t>
  </si>
  <si>
    <t>7323082001</t>
  </si>
  <si>
    <t>Драниця</t>
  </si>
  <si>
    <t>53-140</t>
  </si>
  <si>
    <t>http://dranitsanvc.ucoz.ua</t>
  </si>
  <si>
    <t>Жилівський навчально-виховний комплекс "Загальноосвітній навчальний заклад - дошкільний навчальний заклад" Жилівської сільської ради Новоселицького району Чернівецької області</t>
  </si>
  <si>
    <t>60342</t>
  </si>
  <si>
    <t>7323082201</t>
  </si>
  <si>
    <t>Жилівка</t>
  </si>
  <si>
    <t>вул. Сагайдачного, 1</t>
  </si>
  <si>
    <t>73-4-70</t>
  </si>
  <si>
    <t>Зеленогайська загальноосвітня школа І-ІІІ ступенів</t>
  </si>
  <si>
    <t>60307</t>
  </si>
  <si>
    <t>7323082401</t>
  </si>
  <si>
    <t>(03733)64240</t>
  </si>
  <si>
    <t>Костичанівська загальноосвітня школа І-ІІІ ступенів імені Іона Ватаману Костичанівської сільскої ради Новоселицького району Чернівецької області</t>
  </si>
  <si>
    <t>60352</t>
  </si>
  <si>
    <t>7323082801</t>
  </si>
  <si>
    <t>Костичани</t>
  </si>
  <si>
    <t>вул. Центральна, 82А</t>
  </si>
  <si>
    <t>33240</t>
  </si>
  <si>
    <t>http://costicenizosh.webnode.com.ua/</t>
  </si>
  <si>
    <t>Котелівський навчально-виховний комплекс "Загальноосвітній навчальний заклад-дошкільний навчальний заклад" Котелівської сільської ради Новоселицького району Чернівецької області</t>
  </si>
  <si>
    <t>60340</t>
  </si>
  <si>
    <t>7323083201</t>
  </si>
  <si>
    <t>Котелеве</t>
  </si>
  <si>
    <t>вул. Головна, 46А</t>
  </si>
  <si>
    <t>Магальська загальноосвітня школа І - ІІІ ступенів імені Григорія Нандріша Магальської сільської ради Новоселицького району Чернівецької області</t>
  </si>
  <si>
    <t>60313</t>
  </si>
  <si>
    <t>7323083601</t>
  </si>
  <si>
    <t>Магала</t>
  </si>
  <si>
    <t>вул. Гр. Нандріша, 38</t>
  </si>
  <si>
    <t>0373361240</t>
  </si>
  <si>
    <t>http://mahalaschool.at.ua</t>
  </si>
  <si>
    <t>Острицька загальноосвітня школа І-ІІІ ступенів, Магальської сільської ради, Новоселицького району, Чернівецької області.</t>
  </si>
  <si>
    <t>60315</t>
  </si>
  <si>
    <t>7323083603</t>
  </si>
  <si>
    <t>http://ostzosh-nov.ucoz.ua/</t>
  </si>
  <si>
    <t>Малинівська загальноосвітня школа І-ІІІ ступенів Малинівської сільської ради Новоселицького району Чернівецької області</t>
  </si>
  <si>
    <t>60322</t>
  </si>
  <si>
    <t>7323084001</t>
  </si>
  <si>
    <t>вул. Журавлинна, 11А</t>
  </si>
  <si>
    <t>(03733)35140</t>
  </si>
  <si>
    <t>http://malynivka.ucoz.ru</t>
  </si>
  <si>
    <t>Мамалигівська загальноосвітня школа І-ІІІ ступенів Мамалигівської сільської ради Новоселицького району Чернівецької області</t>
  </si>
  <si>
    <t>60364</t>
  </si>
  <si>
    <t>7323084301</t>
  </si>
  <si>
    <t>Мамалига</t>
  </si>
  <si>
    <t>вул. Головна, 42</t>
  </si>
  <si>
    <t>52240</t>
  </si>
  <si>
    <t>http://mamalskola.at.ua/</t>
  </si>
  <si>
    <t>Маршинецький навчально-виховний комплекс"Загальноосвітній навчальний заклад - дошкільний навчальний заклад" Маршинецької сільської ради</t>
  </si>
  <si>
    <t>60309</t>
  </si>
  <si>
    <t>7323084701</t>
  </si>
  <si>
    <t>Маршинці</t>
  </si>
  <si>
    <t>вул. Свято-Миколаївська, 12</t>
  </si>
  <si>
    <t>(03733)2-50-06</t>
  </si>
  <si>
    <t>http://www.nvk-marshintsy.com.ua</t>
  </si>
  <si>
    <t>Несвоянський навчально-виховний комплекс "Загальноосвітній навчальний заклад-дошкільний навчальний заклад" Мамалигівської сільської ради, Новоселицького району, Чернівецької області</t>
  </si>
  <si>
    <t>60361</t>
  </si>
  <si>
    <t>7323085101</t>
  </si>
  <si>
    <t>Несвоя</t>
  </si>
  <si>
    <t>29-104</t>
  </si>
  <si>
    <t>http://neszosh11.at.ua</t>
  </si>
  <si>
    <t>Подвірненська загальноосвітня школа І-ІІІ ступеннів Мамалигівської сільської ради Новоселицького району Чернівецької області</t>
  </si>
  <si>
    <t>60363</t>
  </si>
  <si>
    <t>7323085501</t>
  </si>
  <si>
    <t>Подвірне</t>
  </si>
  <si>
    <t>0373355290</t>
  </si>
  <si>
    <t>http://podvirne-school.ucoz.net</t>
  </si>
  <si>
    <t>Припрутський навчально-виховний комплекс "Загальноосвітній навчальний заклад - дошкільний навчальний заклад" Припрутської сільської ради, Новоселицького району, Чернівецької області</t>
  </si>
  <si>
    <t>60325</t>
  </si>
  <si>
    <t>7323085701</t>
  </si>
  <si>
    <t>Припруття</t>
  </si>
  <si>
    <t>вул. Центральна, 94А</t>
  </si>
  <si>
    <t>0373-3-78-2-21</t>
  </si>
  <si>
    <t>Рокитненська загальноосвітня школа І-ІІІ ступенів Рокитненської сільської ради Новоселицького району Чернівецької області</t>
  </si>
  <si>
    <t>60320</t>
  </si>
  <si>
    <t>7323085901</t>
  </si>
  <si>
    <t>0373366240</t>
  </si>
  <si>
    <t>http://e-schools.info</t>
  </si>
  <si>
    <t>Рідківська загальноосвітня школа І-ІІІ ступенів Рідківської сільської ради Новоселицького району Чернівецької області</t>
  </si>
  <si>
    <t>60312</t>
  </si>
  <si>
    <t>7323086301</t>
  </si>
  <si>
    <t>Рідківці</t>
  </si>
  <si>
    <t>63241, 63240, 63281</t>
  </si>
  <si>
    <t>Рингацький навчально - виховний комплекс "Загальноосвітній навчальний заклад - дошкільний навчальний заклад" Рингацької сільської ради Новоселицького району Чернівецької області</t>
  </si>
  <si>
    <t>60330</t>
  </si>
  <si>
    <t>7323086701</t>
  </si>
  <si>
    <t>Рингач</t>
  </si>
  <si>
    <t>65240</t>
  </si>
  <si>
    <t>http://rungach-nvk.e-schools.info</t>
  </si>
  <si>
    <t>Слобідський навчально - виховний комплекс "Загальноосвітній навчальний заклад - дошкільний навчальний заклад" Слобідської сільської ради Новоселицького району Чернівецької області</t>
  </si>
  <si>
    <t>60323</t>
  </si>
  <si>
    <t>7323087101</t>
  </si>
  <si>
    <t>(03733)75240</t>
  </si>
  <si>
    <t>http://nvk-sloboda.novoselitsa.cv.ua</t>
  </si>
  <si>
    <t>Стальнівецький навчально-виховний комплекс "Загальноосвітній навчальний заклад - дошкільний навчальний заклад" Мамалигівської сільської ради Новоселицького району Чернівецької області</t>
  </si>
  <si>
    <t>60362</t>
  </si>
  <si>
    <t>7323087501</t>
  </si>
  <si>
    <t>Стальнівці</t>
  </si>
  <si>
    <t>(03733)56240</t>
  </si>
  <si>
    <t>Строїнецький навчально-виховний комплекс "Загальноосвітній навчальний заклад- дошкільний навчальний заклад" Строїнецької сільської ради Новоселицького району Чернівецької області</t>
  </si>
  <si>
    <t>60308</t>
  </si>
  <si>
    <t>7323087901</t>
  </si>
  <si>
    <t>вул. Шевченко, 2В</t>
  </si>
  <si>
    <t>2-19-24</t>
  </si>
  <si>
    <t>http://strointsi-nvk.cv.sch.in.ua</t>
  </si>
  <si>
    <t>Тарасовецька загальноосвітня школа І-ІІІ ступенів Тарасовецької сільської ради Новоселицького району Чернівецької області</t>
  </si>
  <si>
    <t>60350</t>
  </si>
  <si>
    <t>7323088301</t>
  </si>
  <si>
    <t>Тарасівці</t>
  </si>
  <si>
    <t>34647, 30325</t>
  </si>
  <si>
    <t>http://tarasivtsi-school.webnode.com.ua</t>
  </si>
  <si>
    <t>Топорівська загальноосвітня школа І-ІІІ ступенів Топорівської сільської ради Новоселицького району Чернівецької області</t>
  </si>
  <si>
    <t>60311</t>
  </si>
  <si>
    <t>7323088601</t>
  </si>
  <si>
    <t>0373327229</t>
  </si>
  <si>
    <t>http://www.toporivtsi.at.ua</t>
  </si>
  <si>
    <t>Фороснянський навчально-виховний комплекс "Загальноосвітній навчальний заклад-дошкільний навчальний заклад" Фороснянської сільської ради Новоселицького району Чернівецької області</t>
  </si>
  <si>
    <t>60341</t>
  </si>
  <si>
    <t>7323089001</t>
  </si>
  <si>
    <t>Форосна</t>
  </si>
  <si>
    <t>0992688365</t>
  </si>
  <si>
    <t>https://forosnanvk.000webhostapp.com</t>
  </si>
  <si>
    <t>Черленівська загальноосвітня школа І-ІІІ ступенів Черленівської сільської ради села Черленівка Новоселицького району Чернівецької області Україна</t>
  </si>
  <si>
    <t>60345</t>
  </si>
  <si>
    <t>7323089301</t>
  </si>
  <si>
    <t>Черленівка</t>
  </si>
  <si>
    <t>вул. Головна, 53 А</t>
  </si>
  <si>
    <t>0373331240, 0663583364</t>
  </si>
  <si>
    <t>http://cermare.at.ua</t>
  </si>
  <si>
    <t>Чорнівський навчально-виховний комплекс "Загальноосвітній навчальний заклад-дошкільний навчальний заклад"Чорнівської сільської ради Новоселицького району Чернівецької області</t>
  </si>
  <si>
    <t>60310</t>
  </si>
  <si>
    <t>7323089701</t>
  </si>
  <si>
    <t>Чорнівка</t>
  </si>
  <si>
    <t>037-33-67-2-40</t>
  </si>
  <si>
    <t>http://chornivka-nvk.at.ua/</t>
  </si>
  <si>
    <t>Щербинецький навчально - виховний комплекс " Загальноосвітній навчальний заклад - дошкільний навчальний заклад" Щербинецької сільської ради Новоселицького району Чернівецької області</t>
  </si>
  <si>
    <t>60344</t>
  </si>
  <si>
    <t>7323089901</t>
  </si>
  <si>
    <t>Щербинці</t>
  </si>
  <si>
    <t>0373373083</t>
  </si>
  <si>
    <t>http://scherbuncinvk.ucoz.ru/</t>
  </si>
  <si>
    <t>Путильська гімназія</t>
  </si>
  <si>
    <t>59100</t>
  </si>
  <si>
    <t>7323555100</t>
  </si>
  <si>
    <t>Путила</t>
  </si>
  <si>
    <t>вул. Мешкова, 2</t>
  </si>
  <si>
    <t>(03738)2-16-44</t>
  </si>
  <si>
    <t>http://sites.google.com/site/gimput/home</t>
  </si>
  <si>
    <t>25081962</t>
  </si>
  <si>
    <t>Путильська загальноосвітня школа І-ІІІ ступенів Путильської районної Ради Путильського району Чернівецької області</t>
  </si>
  <si>
    <t>вул. Українська, 84</t>
  </si>
  <si>
    <t>(03738)21265, (03738)22236</t>
  </si>
  <si>
    <t>http://putschool.ucoz.ru</t>
  </si>
  <si>
    <t>25811484</t>
  </si>
  <si>
    <t>Рижівська загальноосвітня школа І ступеня села Рижа Путильського району Чернівецької області</t>
  </si>
  <si>
    <t>7323555102</t>
  </si>
  <si>
    <t>Рижа</t>
  </si>
  <si>
    <t>вул. Сторонецький потік, 54</t>
  </si>
  <si>
    <t>(03738)21265</t>
  </si>
  <si>
    <t>Дихтинецька ЗОШ І-ІІІ ступенів Путильської районної ради Путильського району Чернівецької області</t>
  </si>
  <si>
    <t>59115</t>
  </si>
  <si>
    <t>7323580501</t>
  </si>
  <si>
    <t>Дихтинець</t>
  </si>
  <si>
    <t>вул. Головна, 135</t>
  </si>
  <si>
    <t>(03738)29436</t>
  </si>
  <si>
    <t>http://www.dtschool.org.ua</t>
  </si>
  <si>
    <t>25081933</t>
  </si>
  <si>
    <t>Замогильна загальноосвітня школа I - II ступенів Путильської районної ради Путильського району, Чернівецької області</t>
  </si>
  <si>
    <t>7323580503</t>
  </si>
  <si>
    <t>Замогила</t>
  </si>
  <si>
    <t>вул. Замогильна, 56</t>
  </si>
  <si>
    <t>2-94-62</t>
  </si>
  <si>
    <t>25811509</t>
  </si>
  <si>
    <t>Довгопільська загальноосвітня школа І-ІІІ ступенів Путильської районної ради Чернівецької області</t>
  </si>
  <si>
    <t>59120</t>
  </si>
  <si>
    <t>7323581001</t>
  </si>
  <si>
    <t>Довгопілля</t>
  </si>
  <si>
    <t>вул. Миколайчука, 33А</t>
  </si>
  <si>
    <t>0373828630</t>
  </si>
  <si>
    <t>25079050</t>
  </si>
  <si>
    <t>Киселицька загальноосвітня школа І-ІІІ ступенів Путильської районної ради Путильського району Чернівецької області</t>
  </si>
  <si>
    <t>59124</t>
  </si>
  <si>
    <t>7323581501</t>
  </si>
  <si>
    <t>Киселиці</t>
  </si>
  <si>
    <t>вул. Головна, 59</t>
  </si>
  <si>
    <t>0373828130</t>
  </si>
  <si>
    <t>http://my-shool.cv.ua/</t>
  </si>
  <si>
    <t>25075393</t>
  </si>
  <si>
    <t>Конятинська загальноосвітня школа І-ІІІ ступенів</t>
  </si>
  <si>
    <t>59122</t>
  </si>
  <si>
    <t>7323582001</t>
  </si>
  <si>
    <t>Конятин</t>
  </si>
  <si>
    <t>(03732)27462</t>
  </si>
  <si>
    <t>25811567</t>
  </si>
  <si>
    <t>Самаківська загальноосвітня школа І-ІІІ ступенів</t>
  </si>
  <si>
    <t>7323582003</t>
  </si>
  <si>
    <t>Самакова</t>
  </si>
  <si>
    <t>вул. Самаківська, 46</t>
  </si>
  <si>
    <t>(03738)26116</t>
  </si>
  <si>
    <t>25079072</t>
  </si>
  <si>
    <t>Мариничівський навчально-виховний комплекс "Родина" Усть-Путильської сільської ради</t>
  </si>
  <si>
    <t>59112</t>
  </si>
  <si>
    <t>7323582501</t>
  </si>
  <si>
    <t>Мариничі</t>
  </si>
  <si>
    <t>вул. Головна, 80А</t>
  </si>
  <si>
    <t>0373829530</t>
  </si>
  <si>
    <t>http://marynychi.at.ua</t>
  </si>
  <si>
    <t>25811538</t>
  </si>
  <si>
    <t>Плосківська загальноосвітня школа І-ІІІ ступенів Путильської районної ради Путильського району Чернівецької області</t>
  </si>
  <si>
    <t>59130</t>
  </si>
  <si>
    <t>7323583001</t>
  </si>
  <si>
    <t>0373827781, 0373827792</t>
  </si>
  <si>
    <t>http://ploskivska.ucoz.ua/</t>
  </si>
  <si>
    <t>25075329</t>
  </si>
  <si>
    <t>Підзахаричівький навчально-виховний коплекс "Перлина Гуцульщини"</t>
  </si>
  <si>
    <t>59110</t>
  </si>
  <si>
    <t>7323583501</t>
  </si>
  <si>
    <t>Підзахаричі</t>
  </si>
  <si>
    <t>вул. Ю.Федьковича, 6</t>
  </si>
  <si>
    <t>(03738)28335</t>
  </si>
  <si>
    <t>25076286</t>
  </si>
  <si>
    <t>Розтоківська загальноосвітня школа І-ІІІ ступенів</t>
  </si>
  <si>
    <t>59111</t>
  </si>
  <si>
    <t>7323584001</t>
  </si>
  <si>
    <t>вул. Головна, 92</t>
  </si>
  <si>
    <t>0373825319</t>
  </si>
  <si>
    <t>25811515</t>
  </si>
  <si>
    <t>Комунальний заклад "Селятинська загальноосвітня школа-інтернат І-ІІІ ступенів"</t>
  </si>
  <si>
    <t>59131</t>
  </si>
  <si>
    <t>7323584501</t>
  </si>
  <si>
    <t>Селятин</t>
  </si>
  <si>
    <t>вул. Лугова, 19</t>
  </si>
  <si>
    <t>0373823346</t>
  </si>
  <si>
    <t>http://clas.ucoz.com</t>
  </si>
  <si>
    <t>21447751</t>
  </si>
  <si>
    <t>Селятинська загальноосвітня школа І-ІІІ ступенів</t>
  </si>
  <si>
    <t>23438</t>
  </si>
  <si>
    <t>25076300</t>
  </si>
  <si>
    <t>Руськівський навчально-виховний комплекс І ступеня</t>
  </si>
  <si>
    <t>7323584503</t>
  </si>
  <si>
    <t>Руська</t>
  </si>
  <si>
    <t>вул. Митницька, 2</t>
  </si>
  <si>
    <t>(03738)23477</t>
  </si>
  <si>
    <t>25078948</t>
  </si>
  <si>
    <t>Сергіївська загальноосвітня школа І-ІІІ ступенів</t>
  </si>
  <si>
    <t>59107</t>
  </si>
  <si>
    <t>7323585001</t>
  </si>
  <si>
    <t>Сергії</t>
  </si>
  <si>
    <t>25811521</t>
  </si>
  <si>
    <t>Рипенська загальноосвітня школа І ступеня</t>
  </si>
  <si>
    <t>7323585003</t>
  </si>
  <si>
    <t>Рипень</t>
  </si>
  <si>
    <t>Фошківський навчально-виховний комплекс І ступеня</t>
  </si>
  <si>
    <t>7323585005</t>
  </si>
  <si>
    <t>Фошки</t>
  </si>
  <si>
    <t>0978206758</t>
  </si>
  <si>
    <t>25075370</t>
  </si>
  <si>
    <t>Усть-Путильська загальноосвітня школа І-ІІ ступенів, Усть-Путильської сільської ради</t>
  </si>
  <si>
    <t>59114</t>
  </si>
  <si>
    <t>7323585501</t>
  </si>
  <si>
    <t>Усть-Путила</t>
  </si>
  <si>
    <t>(03738)27194</t>
  </si>
  <si>
    <t>26034441</t>
  </si>
  <si>
    <t>Шепітська загальноосвітня школа I-III ступенів</t>
  </si>
  <si>
    <t>59133</t>
  </si>
  <si>
    <t>7323586001</t>
  </si>
  <si>
    <t>вул. Головна, 67</t>
  </si>
  <si>
    <t>2-66-93</t>
  </si>
  <si>
    <t>25075341</t>
  </si>
  <si>
    <t>Ябуницька загальноосвітня школа І-ІІ ступенів Путильської районної ради Чернівецької області</t>
  </si>
  <si>
    <t>59126</t>
  </si>
  <si>
    <t>7323586501</t>
  </si>
  <si>
    <t>0373826330</t>
  </si>
  <si>
    <t>http://yablunitsa.at.ua/</t>
  </si>
  <si>
    <t>26034433</t>
  </si>
  <si>
    <t>Вечірня (змінна) школа-загальноосвітній навчальний заклад при Сокирянській виправній колонії № 67</t>
  </si>
  <si>
    <t>60200</t>
  </si>
  <si>
    <t>7324010100</t>
  </si>
  <si>
    <t>Сокиряни</t>
  </si>
  <si>
    <t>пров. Покровський, 8</t>
  </si>
  <si>
    <t>Загальноосвітня школа І-ІІІ ступенів № 1 м.Сокиряни Чернівецької області</t>
  </si>
  <si>
    <t>0373921421</t>
  </si>
  <si>
    <t>Сокирянська гімназія м. Сокиряни Чернівецької області</t>
  </si>
  <si>
    <t>вул. Ватутіна, 17</t>
  </si>
  <si>
    <t>21204</t>
  </si>
  <si>
    <t>Олексіївський навчально-виховний комплекс загальноосвітній навчальний заклад І-ІІ ступенів- дошкільний навчальний заклад Сокирянського району Чернівецької області</t>
  </si>
  <si>
    <t>60223</t>
  </si>
  <si>
    <t>7324080501</t>
  </si>
  <si>
    <t>вул. Головна, 47</t>
  </si>
  <si>
    <t>(03739)25-6-43</t>
  </si>
  <si>
    <t>Новоолексіївський навчально виховний комплекс Сокирянського району Чернівецької області</t>
  </si>
  <si>
    <t>60224</t>
  </si>
  <si>
    <t>7324080502</t>
  </si>
  <si>
    <t>вул. Кобилянська, 16</t>
  </si>
  <si>
    <t>55236</t>
  </si>
  <si>
    <t>Білоусівський навчально-виховний комплекс Сокирянського району Чернівецької області</t>
  </si>
  <si>
    <t>60233</t>
  </si>
  <si>
    <t>7324081001</t>
  </si>
  <si>
    <t>0373937161, 0373937160</t>
  </si>
  <si>
    <t>загальноосвітня школа І-ІІІ ступенів с. Василівка Сокирянського району Чернівецької області</t>
  </si>
  <si>
    <t>60232</t>
  </si>
  <si>
    <t>7324081501</t>
  </si>
  <si>
    <t>(03739)27411</t>
  </si>
  <si>
    <t>Загальноосвітня школа І-ІІІ ступенів села Вашківці</t>
  </si>
  <si>
    <t>60222</t>
  </si>
  <si>
    <t>7324082001</t>
  </si>
  <si>
    <t>(03739)45-0-81</t>
  </si>
  <si>
    <t>Вітрянський навчально-виховний комплекс Сокирянського району Чернівецької області</t>
  </si>
  <si>
    <t>60214</t>
  </si>
  <si>
    <t>7324082501</t>
  </si>
  <si>
    <t>Вітрянка</t>
  </si>
  <si>
    <t>0373952443, 0679795435</t>
  </si>
  <si>
    <t>Волошківський навчально-виховний комплекс Сокирянського району Чернівецької області</t>
  </si>
  <si>
    <t>60209</t>
  </si>
  <si>
    <t>7324083001</t>
  </si>
  <si>
    <t>Волошкове</t>
  </si>
  <si>
    <t>0373956575</t>
  </si>
  <si>
    <t>Загальноосвітня школа І-ІІІ ступенів села Гвіздівці Сокирянського району Чернівецької області</t>
  </si>
  <si>
    <t>60225</t>
  </si>
  <si>
    <t>7324083501</t>
  </si>
  <si>
    <t>Гвіздівці</t>
  </si>
  <si>
    <t>вул. Гевліча, 2</t>
  </si>
  <si>
    <t>0373953318</t>
  </si>
  <si>
    <t>Загальноосвітня школа І-ІІІ ступенів села Грубна Сокирянського району Чернівецької області</t>
  </si>
  <si>
    <t>60220</t>
  </si>
  <si>
    <t>7324084001</t>
  </si>
  <si>
    <t>Грубна</t>
  </si>
  <si>
    <t>(037-39)-4-74-40</t>
  </si>
  <si>
    <t>Загальноосвітня школа І-ІІІ ступенів села Коболчин Сокирянського району Чернівецької області</t>
  </si>
  <si>
    <t>60231</t>
  </si>
  <si>
    <t>7324084501</t>
  </si>
  <si>
    <t>Коболчин</t>
  </si>
  <si>
    <t>0373929233</t>
  </si>
  <si>
    <t>Корманський навчально-виховний комплекс Сокирянського району, Чернівецької області.</t>
  </si>
  <si>
    <t>60213</t>
  </si>
  <si>
    <t>7324085001</t>
  </si>
  <si>
    <t>Кормань</t>
  </si>
  <si>
    <t>вул. Шкільна 5А, 5</t>
  </si>
  <si>
    <t>0373940245</t>
  </si>
  <si>
    <t>Кулішівський навчально-виховний комплекс Сокирянського району Чернівецької області</t>
  </si>
  <si>
    <t>60215</t>
  </si>
  <si>
    <t>7324085201</t>
  </si>
  <si>
    <t>Кулішівка</t>
  </si>
  <si>
    <t>(03739)2-66-37</t>
  </si>
  <si>
    <t>Загальноосвітня школа І-ІІІ ступенів с.Ломачинці Сокирянського району Чернівецької області</t>
  </si>
  <si>
    <t>60235</t>
  </si>
  <si>
    <t>7324085501</t>
  </si>
  <si>
    <t>Ломачинці</t>
  </si>
  <si>
    <t>(03739)58343</t>
  </si>
  <si>
    <t>Лопатівський навчально-виховний комплекс Сокирянського району Чернівецької області</t>
  </si>
  <si>
    <t>60210</t>
  </si>
  <si>
    <t>7324085601</t>
  </si>
  <si>
    <t>Лопатів</t>
  </si>
  <si>
    <t>(03739)49604</t>
  </si>
  <si>
    <t>Михалківський навчально-виховний комплекс Сокирянського району Чернівецької області</t>
  </si>
  <si>
    <t>60234</t>
  </si>
  <si>
    <t>7324086001</t>
  </si>
  <si>
    <t>Михалкове</t>
  </si>
  <si>
    <t>03739-39-5-84</t>
  </si>
  <si>
    <t>Братанівський навчально-виховний комплекс Сокирянського району Чернівецької області</t>
  </si>
  <si>
    <t>7324086501</t>
  </si>
  <si>
    <t>Братанівка</t>
  </si>
  <si>
    <t>пров. Шкільний</t>
  </si>
  <si>
    <t>4-44-02</t>
  </si>
  <si>
    <t>Загальноосвітня школа І-ІІ ступенів с.Ожеве Сокирянського району Чернівецької області</t>
  </si>
  <si>
    <t>60237</t>
  </si>
  <si>
    <t>7324087501</t>
  </si>
  <si>
    <t>Ожеве</t>
  </si>
  <si>
    <t>0373954192</t>
  </si>
  <si>
    <t>Романковецька гімназія імені академіка Костянтина Федоровича Поповича Сокирянського району Чернівецької області</t>
  </si>
  <si>
    <t>60226</t>
  </si>
  <si>
    <t>7324088001</t>
  </si>
  <si>
    <t>Романківці</t>
  </si>
  <si>
    <t>вул. Головна, 36</t>
  </si>
  <si>
    <t>03739-41-7-44, 03739-41-1-91</t>
  </si>
  <si>
    <t>http://Gimnaz-rom.ucoz.ua</t>
  </si>
  <si>
    <t>Селищанський навчально-виховний комплекс Сокирянської районної ради Чернівецької області</t>
  </si>
  <si>
    <t>60216</t>
  </si>
  <si>
    <t>7324088501</t>
  </si>
  <si>
    <t>44482</t>
  </si>
  <si>
    <t>Сербичанський навчально-виховний комплекс Сокирянського району Чернівецької області</t>
  </si>
  <si>
    <t>60230</t>
  </si>
  <si>
    <t>7324089001</t>
  </si>
  <si>
    <t>Сербичани</t>
  </si>
  <si>
    <t>вул. Лесі Українки, 32</t>
  </si>
  <si>
    <t>0373951636</t>
  </si>
  <si>
    <t>Шебутинецький навчально-виховний комплекс, Сокирянського району, Чернівецької області</t>
  </si>
  <si>
    <t>60211</t>
  </si>
  <si>
    <t>7324089501</t>
  </si>
  <si>
    <t>Шебутинці</t>
  </si>
  <si>
    <t>вул. Кобилянська, 30</t>
  </si>
  <si>
    <t>(03739)48-145</t>
  </si>
  <si>
    <t>Загальноосвітня школа І-ІІІ ступенів села Шишківці</t>
  </si>
  <si>
    <t>60221</t>
  </si>
  <si>
    <t>7324089601</t>
  </si>
  <si>
    <t>(03739)49-1-40</t>
  </si>
  <si>
    <t>Сторожинецька загальноосвітня школа І-ІІ ступенів № 3 Сторожинецької міської ради</t>
  </si>
  <si>
    <t>59000</t>
  </si>
  <si>
    <t>7324510100</t>
  </si>
  <si>
    <t>Сторожинець</t>
  </si>
  <si>
    <t>вул. Б. Хмельницького, 112Б</t>
  </si>
  <si>
    <t>2-17-95</t>
  </si>
  <si>
    <t>http://maidan.ucoz.ua</t>
  </si>
  <si>
    <t>Сторожинецька загальноосвітня школа І-ІІІ ступенів № 1 Сторожинецької районної ради Чернівецької області</t>
  </si>
  <si>
    <t>вул. Видинівського, 1</t>
  </si>
  <si>
    <t>(03735)2-13-53</t>
  </si>
  <si>
    <t>http://stor1.at.ua</t>
  </si>
  <si>
    <t>Сторожинецька загальноосвітня школа-інтернат І-ІІІ ступенів Сторожинецького району, Чернівецької області</t>
  </si>
  <si>
    <t>вул. О. Кобилянської, 25</t>
  </si>
  <si>
    <t>(03735)21702, (03735)22262</t>
  </si>
  <si>
    <t>22835797</t>
  </si>
  <si>
    <t>Сторожинецька районна гімназія Сторожинецької міської ради Сторожинецького району Чернівецької області</t>
  </si>
  <si>
    <t>вул. Видинівського, 11</t>
  </si>
  <si>
    <t>0373521122, 0373521464</t>
  </si>
  <si>
    <t>http://storgym.edukit.cv.ua</t>
  </si>
  <si>
    <t>Сторожинецький районний ліцей Сторожинецької міської ради Сторожинецького району Чернівецької області</t>
  </si>
  <si>
    <t>вул. Чаплигіна, 33</t>
  </si>
  <si>
    <t>0373522204</t>
  </si>
  <si>
    <t>http://liceystorozinec.wix.com/licey</t>
  </si>
  <si>
    <t>Красноїльська гімназія Красноїльської селищної ради Сторожинецького району Чернівецької області</t>
  </si>
  <si>
    <t>59022</t>
  </si>
  <si>
    <t>7324555400</t>
  </si>
  <si>
    <t>Красноїльськ</t>
  </si>
  <si>
    <t>вул. Штефан чел Маре, 204</t>
  </si>
  <si>
    <t>(03735)63-5-87</t>
  </si>
  <si>
    <t>Красноїльська загальноосвітня школа І-ІІІ ступенів № 1 Красноїльської селищної ради Сторожинецького району Чернівецької області</t>
  </si>
  <si>
    <t>вул. В. Александрі, 1</t>
  </si>
  <si>
    <t>(03735)63325</t>
  </si>
  <si>
    <t>Красноїльська загальноосвітня школа І-ІІІ ступенів № 3 Красноїльської селищної ради Сторожинецького району Чернівецької області</t>
  </si>
  <si>
    <t>вул. Дружби, 20</t>
  </si>
  <si>
    <t>03735-63-3-80</t>
  </si>
  <si>
    <t>Красноїльського навчально-виховного комплексу Красноїльської селищної ради Строжинецького району Чернівецької області</t>
  </si>
  <si>
    <t>вул. Дружби, 98</t>
  </si>
  <si>
    <t>(3735)63-4-88</t>
  </si>
  <si>
    <t>http://krasnojilska-zosh-i-ii-st-2.webnode.com.ua/</t>
  </si>
  <si>
    <t>Банилово-Підгірнівська гімназія Сторожинецької міської ради Сторожинецького району Чернівецької області</t>
  </si>
  <si>
    <t>59020</t>
  </si>
  <si>
    <t>7324580501</t>
  </si>
  <si>
    <t>Банилів-Підгірний</t>
  </si>
  <si>
    <t>вул. Головна, 181</t>
  </si>
  <si>
    <t>0373553373</t>
  </si>
  <si>
    <t>http://bn-pidgimnasia.ucoz.ru/</t>
  </si>
  <si>
    <t>Бобовецький НВК Сторожинецької міської ради, Сторожинецького р-ну, Чернівецької обл.</t>
  </si>
  <si>
    <t>59013</t>
  </si>
  <si>
    <t>7324581001</t>
  </si>
  <si>
    <t>Бобівці</t>
  </si>
  <si>
    <t>(03735)36235</t>
  </si>
  <si>
    <t>http://bobivtcischool.ucoz.ua/</t>
  </si>
  <si>
    <t>Буденецька загальноосвітня школа І-ІІ ступенів Буденецької сільської ради Сторожинецького району Чернівецької області</t>
  </si>
  <si>
    <t>00059</t>
  </si>
  <si>
    <t>7324581501</t>
  </si>
  <si>
    <t>Буденець</t>
  </si>
  <si>
    <t>51-2-19</t>
  </si>
  <si>
    <t>Великокучурівська загальноосвітня школа І-ІІІ ступенів Великокучурівської сільської ради Сторожинецького району Чернівецької області</t>
  </si>
  <si>
    <t>59052</t>
  </si>
  <si>
    <t>7324582001</t>
  </si>
  <si>
    <t>Великий Кучурів</t>
  </si>
  <si>
    <t>вул. Головна, 20А</t>
  </si>
  <si>
    <t>67299</t>
  </si>
  <si>
    <t>http://vkuchuriv.at.ua</t>
  </si>
  <si>
    <t>Годилівський навчально-виховний комплекс Великокучурівської сільської ради Сторожинецького району Чернівецької області</t>
  </si>
  <si>
    <t>59053</t>
  </si>
  <si>
    <t>7324582002</t>
  </si>
  <si>
    <t>Годилів</t>
  </si>
  <si>
    <t>0-(235)69245</t>
  </si>
  <si>
    <t>http://goduliv.at.ua</t>
  </si>
  <si>
    <t>Верхньопетровецька загальноосвітня школа І - ІІІ ступенів № 2 Верхньопетровецької сільської ради Сторожинецького району Чернівецької області</t>
  </si>
  <si>
    <t>59034</t>
  </si>
  <si>
    <t>7324582501</t>
  </si>
  <si>
    <t>Верхні Петрівці</t>
  </si>
  <si>
    <t>вул. М.Еминеску, 45</t>
  </si>
  <si>
    <t>(037-35)32-2-28</t>
  </si>
  <si>
    <t>http://vpetrovty2.ucoz.ua</t>
  </si>
  <si>
    <t>Верхньопетровецька загальноосвітня школа І-ІІІ ступенів № 1 Верхньопетрівецької сільської ради Сторожинецького району Чернівецької області</t>
  </si>
  <si>
    <t>вул. Буковинська, 194</t>
  </si>
  <si>
    <t>(03735)3-22-95</t>
  </si>
  <si>
    <t>http://vpetrov.ucoz.ru</t>
  </si>
  <si>
    <t>Давидівська загальноосвітня школа І - ІІІ ступенів Сторожинецької міської ради Сторожинецького району Чернівецької області</t>
  </si>
  <si>
    <t>59021</t>
  </si>
  <si>
    <t>7324583001</t>
  </si>
  <si>
    <t>вул. Центральна, 130</t>
  </si>
  <si>
    <t>373548237, 373548234</t>
  </si>
  <si>
    <t>http://davidschool.ucoz.ua/</t>
  </si>
  <si>
    <t>Давидівська загальноосвітня школа І-ІІ ступенів Давидівської сільської ради Сторожинецького району Чернівецької області</t>
  </si>
  <si>
    <t>вул. О. Кобилянської, 96</t>
  </si>
  <si>
    <t>(0235)48-2-56</t>
  </si>
  <si>
    <t>http://davudivscan.ucoz.ua</t>
  </si>
  <si>
    <t>Зруб-Комарівська загальноосвітня школа І-ІІ ступенів Сторожинецької міської ради Сторожинецького району Чернівецької області</t>
  </si>
  <si>
    <t>59015</t>
  </si>
  <si>
    <t>7324583201</t>
  </si>
  <si>
    <t>Зруб-Комарівський</t>
  </si>
  <si>
    <t>вул. Тисівська, 1</t>
  </si>
  <si>
    <t>(03735)74246</t>
  </si>
  <si>
    <t>http://www.zr-komar.ucoz.ua</t>
  </si>
  <si>
    <t>Їжівська загальноосвітня школа І-ІІ ступенів Чудейської сільської ради Сторожинецького району Чернівецької області</t>
  </si>
  <si>
    <t>59033</t>
  </si>
  <si>
    <t>7324583501</t>
  </si>
  <si>
    <t>Їжівці</t>
  </si>
  <si>
    <t>вул. Штефана чел Маре, 154</t>
  </si>
  <si>
    <t>700700765-2-25</t>
  </si>
  <si>
    <t>http:///schola2ijivtci.ucoz.ru/</t>
  </si>
  <si>
    <t>Їжівська загальноосвітня школа І-ІІІ ступенів Чудейської сільської ради Сторожинецького району Чернівецької області</t>
  </si>
  <si>
    <t>вул. Головна, 68</t>
  </si>
  <si>
    <t>(03735)65217</t>
  </si>
  <si>
    <t>http://igivci-scool.ucoz.ru</t>
  </si>
  <si>
    <t>Кам'янська загальноосвітня школа І-ІІІ ступенів, Кам'янської сільської ради Сторожинецького району Чернівецької області</t>
  </si>
  <si>
    <t>59050</t>
  </si>
  <si>
    <t>7324584001</t>
  </si>
  <si>
    <t>Кам'яна</t>
  </si>
  <si>
    <t>0373545465, 0373545494, 0373545120</t>
  </si>
  <si>
    <t>Глибочківська загальноосвітня школа І-ІІ ступенів Старобросковецької сільської ради Сторожинецького району Чернівецької області</t>
  </si>
  <si>
    <t>7324584002</t>
  </si>
  <si>
    <t>(03735)4-11-67</t>
  </si>
  <si>
    <t>http://glibochok-school.webnode.com.ua/</t>
  </si>
  <si>
    <t>Панківський навчально - виховний комплекс Сторожинецької міської ради, Сторожинецького району Чернівецької області</t>
  </si>
  <si>
    <t>59006</t>
  </si>
  <si>
    <t>7324584501</t>
  </si>
  <si>
    <t>Панка</t>
  </si>
  <si>
    <t>(03735)62271</t>
  </si>
  <si>
    <t>http://pankazosh.ucoz.ua</t>
  </si>
  <si>
    <t>Комарівська загальноосвітня школа І-ІІ ступенів Сторожинецької міської ради Сторожинецького району Чернівецької області</t>
  </si>
  <si>
    <t>59014</t>
  </si>
  <si>
    <t>7324585001</t>
  </si>
  <si>
    <t>7007007, 0373543247</t>
  </si>
  <si>
    <t>http://komarivska.at.ua/</t>
  </si>
  <si>
    <t>Костинецький НВК Сторожинецької міської ради Сторожинецького району Чернівецької області</t>
  </si>
  <si>
    <t>59011</t>
  </si>
  <si>
    <t>7324585501</t>
  </si>
  <si>
    <t>Костинці</t>
  </si>
  <si>
    <t>вул. Церковна, 2</t>
  </si>
  <si>
    <t>(03735)77-1-37</t>
  </si>
  <si>
    <t>http://kostintsy.ucoz.ru</t>
  </si>
  <si>
    <t>Ясенська загальноосвітня школа І-ІІ ступенів, Сторожинецької міської ради, Сторожинецького району, Чернівецької області</t>
  </si>
  <si>
    <t>59012</t>
  </si>
  <si>
    <t>7324585502</t>
  </si>
  <si>
    <t>Ясени</t>
  </si>
  <si>
    <t>(03735)77321</t>
  </si>
  <si>
    <t>http://jasenskaschool.at.ua</t>
  </si>
  <si>
    <t>Чудейська загальноосвітня школа І-ІІ ступенів № 3 Чудейської сільської ради Сторожинецького району Чернівецької області</t>
  </si>
  <si>
    <t>59024</t>
  </si>
  <si>
    <t>7324586001</t>
  </si>
  <si>
    <t>Чудей</t>
  </si>
  <si>
    <t>вул. Горіхова, 2</t>
  </si>
  <si>
    <t>0373561416</t>
  </si>
  <si>
    <t>http://chudey3.blogspot.com/</t>
  </si>
  <si>
    <t>Чудейська загальноосвітня школа І-ІІІ ступенів № 1 Чудейської сільскої ради Сторожинецького району Чернівецької області</t>
  </si>
  <si>
    <t>вул. Карпатська, 16</t>
  </si>
  <si>
    <t>(03735)61-5-75</t>
  </si>
  <si>
    <t>http://www.chudey.ucoz.ru</t>
  </si>
  <si>
    <t>Чудейський навчально-виховний комплекс</t>
  </si>
  <si>
    <t>вул. М.Емінеску, 31</t>
  </si>
  <si>
    <t>0373561464, 0373561330</t>
  </si>
  <si>
    <t>Михальчанська ЗОШ І-ІІІ ступенів Михальчанської сільської ради Сторожинецького району Чернівецької області</t>
  </si>
  <si>
    <t>59040</t>
  </si>
  <si>
    <t>7324586501</t>
  </si>
  <si>
    <t>Михальча</t>
  </si>
  <si>
    <t>вул. Героїв Майдану, 22</t>
  </si>
  <si>
    <t>0373535210</t>
  </si>
  <si>
    <t>http://mihalcha.at.ua</t>
  </si>
  <si>
    <t>Дубівський навчально-виховний комплекс Михальчанської сільської ради Сторожинецького району Чернівецької області</t>
  </si>
  <si>
    <t>59041</t>
  </si>
  <si>
    <t>7324586502</t>
  </si>
  <si>
    <t>вул. Головна, 44</t>
  </si>
  <si>
    <t>(21440128)35353</t>
  </si>
  <si>
    <t>Спаський навчально-виховний комплекс, Михальчанської сільської ради, Сторожинецького району Чернівецької області</t>
  </si>
  <si>
    <t>59043</t>
  </si>
  <si>
    <t>7324586504</t>
  </si>
  <si>
    <t>Спаська</t>
  </si>
  <si>
    <t>вул. Героїв майдану, 23 Б</t>
  </si>
  <si>
    <t>0373535315</t>
  </si>
  <si>
    <t>http://spaska.at.ua</t>
  </si>
  <si>
    <t>Нижньопетровецька загальноосвітня школа І-ІІІ ступенів № 1 Нижньопетровецької сільської ради Сторожинецького району Чернівецької області</t>
  </si>
  <si>
    <t>59035</t>
  </si>
  <si>
    <t>7324587001</t>
  </si>
  <si>
    <t>Нижні Петрівці</t>
  </si>
  <si>
    <t>вул. Головна, 56А</t>
  </si>
  <si>
    <t>0373531457</t>
  </si>
  <si>
    <t>http://skola1npetrivci.at.ua/</t>
  </si>
  <si>
    <t>Нижньопетровецька загальноосвітня школа І-ІІІ ст. № 2 Нижньопетровецької сільської ради Сторожинецького району Чернівецької області</t>
  </si>
  <si>
    <t>7324587003</t>
  </si>
  <si>
    <t>Аршица</t>
  </si>
  <si>
    <t>вул. Іоана Павла ІІ, 21А</t>
  </si>
  <si>
    <t>0373531213</t>
  </si>
  <si>
    <t>http://npetrivti2.at.ua/</t>
  </si>
  <si>
    <t>Новобросковецька загальноосвітня школа І-ІІ ступенів Сторожинецької міської ради Чернівецької області</t>
  </si>
  <si>
    <t>59044</t>
  </si>
  <si>
    <t>7324587501</t>
  </si>
  <si>
    <t>Нові Бросківці</t>
  </si>
  <si>
    <t>вул. Поповича, 52</t>
  </si>
  <si>
    <t>(03735)34218</t>
  </si>
  <si>
    <t>Новобросковецька загальноосвітня школа І-ІІІ ступенів Новобросоквецької сільської ради Сторожинецького району Чернівецької області</t>
  </si>
  <si>
    <t>вул. Буковинська</t>
  </si>
  <si>
    <t>0373534015</t>
  </si>
  <si>
    <t>http://novi-broskivci.ucoz.ua</t>
  </si>
  <si>
    <t>Ропчанський навчально-виховний комплекс І-ІІІ ступенів Ропчанської сільської ради Сторожинецького району Чернівецької області</t>
  </si>
  <si>
    <t>59032</t>
  </si>
  <si>
    <t>7324588001</t>
  </si>
  <si>
    <t>Ропча</t>
  </si>
  <si>
    <t>вул. М.Еминеску</t>
  </si>
  <si>
    <t>(03735)56244</t>
  </si>
  <si>
    <t>http://ropcha-nvk-uchni.edukit.cv.ua</t>
  </si>
  <si>
    <t>Слобода-Комарівська загальноосвітня школа І-ІІ ступенів Сторожинецької міської ради Сторожинецького району Чернівецької області</t>
  </si>
  <si>
    <t>59016</t>
  </si>
  <si>
    <t>7324588301</t>
  </si>
  <si>
    <t>Слобода-Комарівці</t>
  </si>
  <si>
    <t>пров. Шкільний, 10</t>
  </si>
  <si>
    <t>(03735)72214</t>
  </si>
  <si>
    <t>http://sloboda112.wix.com/sloboda</t>
  </si>
  <si>
    <t>Снячівська загальноосвітня школа І-ІІІ ступенів Великочукучівської сільської ради Сторожинецького району Чернівецької області</t>
  </si>
  <si>
    <t>59005</t>
  </si>
  <si>
    <t>7324588501</t>
  </si>
  <si>
    <t>Снячів</t>
  </si>
  <si>
    <t>0373542348</t>
  </si>
  <si>
    <t>http://snv-znz.at.ua</t>
  </si>
  <si>
    <t>Старобросковецький навчально-виховний комплекс I-III ст Старобросковецької сільської ради Чернівецької області Сторожинецького району</t>
  </si>
  <si>
    <t>59048</t>
  </si>
  <si>
    <t>7324589001</t>
  </si>
  <si>
    <t>Старі Бросківці</t>
  </si>
  <si>
    <t>(03735)75291</t>
  </si>
  <si>
    <t>Старожадівська загальноосвітня школа І-ІІ ступенів Старожадівської сільської ради Сторожинецького району Чернівецької області</t>
  </si>
  <si>
    <t>59017</t>
  </si>
  <si>
    <t>7324589501</t>
  </si>
  <si>
    <t>Стара Жадова</t>
  </si>
  <si>
    <t>майдан Майданівська, 16А</t>
  </si>
  <si>
    <t>(03735)33-2-65</t>
  </si>
  <si>
    <t>Старожадівський навчально-виховний комплекс Старожадівської сільської ради Сторожинецького району Чернівецької області</t>
  </si>
  <si>
    <t>вул. Шевченка, 24А</t>
  </si>
  <si>
    <t>373533437</t>
  </si>
  <si>
    <t>http://stzhadova.at.ua/</t>
  </si>
  <si>
    <t>Дібрівська загальноосвітня школа І-ІІ ступенів, Старожадівської сільської ради,Сторожинецького району, Чернівецької області</t>
  </si>
  <si>
    <t>59018</t>
  </si>
  <si>
    <t>7324589502</t>
  </si>
  <si>
    <t>вул. Шкільна, 16 а</t>
  </si>
  <si>
    <t>http://dibrova.ukoz.ua</t>
  </si>
  <si>
    <t>Старокрасношорська загальноосвітня школа І-ІІ ступенів Красноїльської селищної ради</t>
  </si>
  <si>
    <t>59023</t>
  </si>
  <si>
    <t>7324589601</t>
  </si>
  <si>
    <t>Стара Красношора</t>
  </si>
  <si>
    <t>вул. Міцкевича, 35</t>
  </si>
  <si>
    <t>373566223</t>
  </si>
  <si>
    <t>http://skrasnoshora-zosh-uchni.edukit.cv.ua/</t>
  </si>
  <si>
    <t>польська,німецька</t>
  </si>
  <si>
    <t>Тисовецька загальноосвітня школа І-ІІ ступенів Великокучурівської сільської ради Сторожинецького району Чернівецької області</t>
  </si>
  <si>
    <t>59054</t>
  </si>
  <si>
    <t>7324589701</t>
  </si>
  <si>
    <t>Тисовець</t>
  </si>
  <si>
    <t>вул. 28 червня, 24</t>
  </si>
  <si>
    <t>0373568199</t>
  </si>
  <si>
    <t>http://tisovec.ucoz.ua</t>
  </si>
  <si>
    <t>Череська загальноосвітня школа І-ІІ ступенів, Череської сільської ради, Сторожинецького району, Чернівецької області</t>
  </si>
  <si>
    <t>59031</t>
  </si>
  <si>
    <t>7324589801</t>
  </si>
  <si>
    <t>Череш</t>
  </si>
  <si>
    <t>0373547244</t>
  </si>
  <si>
    <t>http://cheresh.ucoz.ru</t>
  </si>
  <si>
    <t>КЗ Хотинська спеціальна загальноосвітня школа - інтернат № 1</t>
  </si>
  <si>
    <t>60000</t>
  </si>
  <si>
    <t>7325010100</t>
  </si>
  <si>
    <t>вул. Свято-Покровська, 134</t>
  </si>
  <si>
    <t>0373122203</t>
  </si>
  <si>
    <t>21433246</t>
  </si>
  <si>
    <t>комунальний заклад "Хотинська спеціальна загальноосвітня школа-інтернат № 2"</t>
  </si>
  <si>
    <t>вул. Андрія Борулі, 8</t>
  </si>
  <si>
    <t>(03731)21286</t>
  </si>
  <si>
    <t>21433430</t>
  </si>
  <si>
    <t>Хотинська гімназія Хотинської міської ради Чернівецької області</t>
  </si>
  <si>
    <t>(03731)2-18-13, (03731)2-18-21</t>
  </si>
  <si>
    <t>22837106</t>
  </si>
  <si>
    <t>Хотинська загальноосвітня школа І - ІІІ ступенів № 1</t>
  </si>
  <si>
    <t>вул. Воїнів Визволителів, 62</t>
  </si>
  <si>
    <t>(03731)22747, (03731)21504</t>
  </si>
  <si>
    <t>21441197</t>
  </si>
  <si>
    <t>Хотинська загальноосвітня школа І-ІІІ ступенів № 5</t>
  </si>
  <si>
    <t>2-28-17, 2-15-17</t>
  </si>
  <si>
    <t>http://khot-shkola5.ucoz.ua</t>
  </si>
  <si>
    <t>21440921</t>
  </si>
  <si>
    <t>Хотинський навчально-виховний комплекс "Дошкільний навчальний заклад-загальноосвітня школа І ступеня" Хотинської міської ради</t>
  </si>
  <si>
    <t>вул. Незалежності, 62</t>
  </si>
  <si>
    <t>0373121938</t>
  </si>
  <si>
    <t>Біловецький навчально- виховний комплекс "Загальносвітній навчальний заклад І-ІІІ ступенів - дошкільнй навчальний заклад " Хотинського району Чернівецької області</t>
  </si>
  <si>
    <t>60053</t>
  </si>
  <si>
    <t>7325080401</t>
  </si>
  <si>
    <t>380373141359</t>
  </si>
  <si>
    <t>Бочковецький навчально-виховний комплекс "Загальноосвітній навчальний заклад І-ІІ ступенів - дошкільний навчальний заклад"</t>
  </si>
  <si>
    <t>60021</t>
  </si>
  <si>
    <t>7325080801</t>
  </si>
  <si>
    <t>Бочківці</t>
  </si>
  <si>
    <t>0373140240</t>
  </si>
  <si>
    <t>Гордівецька загальноосвітня школа І ступеня Гордівецької сільської ради Хотинського району Чернівецької області</t>
  </si>
  <si>
    <t>60005</t>
  </si>
  <si>
    <t>7325081001</t>
  </si>
  <si>
    <t>Гордівці</t>
  </si>
  <si>
    <t>(099)6137815</t>
  </si>
  <si>
    <t>Грозинецький навчально-виховний комплекс "Загальноосвітня школа І - ІІІ ступенів - дошкільний навчальний заклад"</t>
  </si>
  <si>
    <t>60020</t>
  </si>
  <si>
    <t>7325081201</t>
  </si>
  <si>
    <t>Грозинці</t>
  </si>
  <si>
    <t>0373144246, 0373144431</t>
  </si>
  <si>
    <t>http://www.grozn-school.com.ua</t>
  </si>
  <si>
    <t>Данковецький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</si>
  <si>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60041</t>
  </si>
  <si>
    <t>7325081601</t>
  </si>
  <si>
    <t>Данківці</t>
  </si>
  <si>
    <t>вул. Свято-Покровська, 42</t>
  </si>
  <si>
    <t>0373145232</t>
  </si>
  <si>
    <t>Анадольський навчально - виховний комплекс "Загальноосвітній навчальний заклад І - ІІ ступенів - дошкільний навчальний заклад"</t>
  </si>
  <si>
    <t>60009</t>
  </si>
  <si>
    <t>7325082001</t>
  </si>
  <si>
    <t>Анадоли</t>
  </si>
  <si>
    <t>0373126234</t>
  </si>
  <si>
    <t>http://DARABANU.UCOZ.UA</t>
  </si>
  <si>
    <t>60043</t>
  </si>
  <si>
    <t>7325082401</t>
  </si>
  <si>
    <t>(03731)43-1-34</t>
  </si>
  <si>
    <t>Зарожанський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</si>
  <si>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60034</t>
  </si>
  <si>
    <t>7325082601</t>
  </si>
  <si>
    <t>Зарожани</t>
  </si>
  <si>
    <t>0373136380, 0373136161</t>
  </si>
  <si>
    <t>Каплівська загальноосвітня школа І-ІІ ступенів</t>
  </si>
  <si>
    <t>60040</t>
  </si>
  <si>
    <t>7325082801</t>
  </si>
  <si>
    <t>Каплівка</t>
  </si>
  <si>
    <t>(35)2-21</t>
  </si>
  <si>
    <t>21441240</t>
  </si>
  <si>
    <t>Керстенецька загальноосвітня школа І-ІІ ступенів Керстенецької сільської ради Хотинського району Чернівецької області</t>
  </si>
  <si>
    <t>60050</t>
  </si>
  <si>
    <t>7325083201</t>
  </si>
  <si>
    <t>Керстенці</t>
  </si>
  <si>
    <t>вул. Героїв майдану, 27</t>
  </si>
  <si>
    <t>0373128122</t>
  </si>
  <si>
    <t>21440944</t>
  </si>
  <si>
    <t>Клішківецький НВК дошкільний навчальний заклад загальноосвітня школа І ступеня</t>
  </si>
  <si>
    <t>60014</t>
  </si>
  <si>
    <t>7325083601</t>
  </si>
  <si>
    <t>Клішківці</t>
  </si>
  <si>
    <t>вул. Кліща, 57</t>
  </si>
  <si>
    <t>0373131281</t>
  </si>
  <si>
    <t>Клішковецька гімназія Клішковецької сільської ради Хотинського району Чернівецької області</t>
  </si>
  <si>
    <t>вул. Дмитра Карвацького, 9А</t>
  </si>
  <si>
    <t>0373131210</t>
  </si>
  <si>
    <t>21441010</t>
  </si>
  <si>
    <t>Клішковецька загальноосвітня школа І-ІІІ ступенів Клішковецької сільської ради</t>
  </si>
  <si>
    <t>вул. Струмінського, 2</t>
  </si>
  <si>
    <t>0373131290, 0373131194</t>
  </si>
  <si>
    <t>http://klishscool.at.ua</t>
  </si>
  <si>
    <t>21441122</t>
  </si>
  <si>
    <t>Млинківська загальноосвітня школа І ступенів Клішковецької сільської ради Хотинського району Чернівецької області</t>
  </si>
  <si>
    <t>60015</t>
  </si>
  <si>
    <t>7325083602</t>
  </si>
  <si>
    <t>(099)1175212</t>
  </si>
  <si>
    <t>23248889</t>
  </si>
  <si>
    <t>Колінковецький загальноосвітній навчальний заклад І-ІІІ ст. Колінковецької сільської ради Хотинського району Чернівецької області</t>
  </si>
  <si>
    <t>60023</t>
  </si>
  <si>
    <t>7325084001</t>
  </si>
  <si>
    <t>Колінківці</t>
  </si>
  <si>
    <t>(03731)47295</t>
  </si>
  <si>
    <t>http://kolinkivtsy-school.org/</t>
  </si>
  <si>
    <t>21441033</t>
  </si>
  <si>
    <t>Круглицький навчально - виховниий комплекс "загальноосвітній навчальний заклад І - ІІІ ступенів - дошкільний навчальний заклад"</t>
  </si>
  <si>
    <t>60051</t>
  </si>
  <si>
    <t>7325084401</t>
  </si>
  <si>
    <t>Круглик</t>
  </si>
  <si>
    <t>вул. Головна, 45А</t>
  </si>
  <si>
    <t>46297</t>
  </si>
  <si>
    <t>Крутеньківська загальноосвітня школа І-ІІ ступенів Крутеньківської сільської ради Хотинського району Чернівецької області</t>
  </si>
  <si>
    <t>60054</t>
  </si>
  <si>
    <t>7325084801</t>
  </si>
  <si>
    <t>Крутеньки</t>
  </si>
  <si>
    <t>0373145535</t>
  </si>
  <si>
    <t>http://krutenki-chkola.ucoz.ua</t>
  </si>
  <si>
    <t>Малинецький навчально-виховний комплекс "Загальноосвітній навчальний заклад І-ІІІ ступенів - дошкільний навчальний заклад"</t>
  </si>
  <si>
    <t>60024</t>
  </si>
  <si>
    <t>7325085201</t>
  </si>
  <si>
    <t>Малинці</t>
  </si>
  <si>
    <t>вул. Головна, 70</t>
  </si>
  <si>
    <t>(03731)30173</t>
  </si>
  <si>
    <t>http://malinci.in.ua</t>
  </si>
  <si>
    <t>Недобоївський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</si>
  <si>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60035</t>
  </si>
  <si>
    <t>7325085601</t>
  </si>
  <si>
    <t>Недобоївці</t>
  </si>
  <si>
    <t>вул. О.Кобилянської, 32</t>
  </si>
  <si>
    <t>0373143154</t>
  </si>
  <si>
    <t>http://nedschool.at.ua/</t>
  </si>
  <si>
    <t>Пашковецький НВК" Загальноосвітній навчальний заклад І-ІІ ступенів-дошкільний навчальний заклад"</t>
  </si>
  <si>
    <t>60052</t>
  </si>
  <si>
    <t>7325086001</t>
  </si>
  <si>
    <t>49245</t>
  </si>
  <si>
    <t>Перебиковецька загальноосвітня школа І-ІІІ ступенів Перебиковецької сільської ради Хотинського району Чернівецької області</t>
  </si>
  <si>
    <t>60010</t>
  </si>
  <si>
    <t>7325086401</t>
  </si>
  <si>
    <t>Перебиківці</t>
  </si>
  <si>
    <t>0373138241</t>
  </si>
  <si>
    <t>21441116</t>
  </si>
  <si>
    <t>Зеленолипська загальноосвітня школа І ступеня Перебиковецької сільської ради Хотинського району Чернівецької області</t>
  </si>
  <si>
    <t>7325086402</t>
  </si>
  <si>
    <t>Зелена Липа</t>
  </si>
  <si>
    <t>вул. Головна, 23 а</t>
  </si>
  <si>
    <t>21441317</t>
  </si>
  <si>
    <t>Полянський навчально-виховний "загальноосвітній навчальний заклад І-ІІІ ступенів - дошкільний навчальний заклад" Хотинського району Чернівецької області</t>
  </si>
  <si>
    <t>60016</t>
  </si>
  <si>
    <t>7325086601</t>
  </si>
  <si>
    <t>вул. Свято-Дмитрівська, 55</t>
  </si>
  <si>
    <t>0373125238</t>
  </si>
  <si>
    <t>http://poljanaschool.klasna.com/</t>
  </si>
  <si>
    <t>Пригородоцький навчально-виховний комплекс "Загальноосвітній навчальний заклад І-ІІ ступенів-дошкільний навчальний заклад" Хотинського району Чернівецької області</t>
  </si>
  <si>
    <t>60006</t>
  </si>
  <si>
    <t>7325086801</t>
  </si>
  <si>
    <t>Пригородок</t>
  </si>
  <si>
    <t>вул. Головна, 40</t>
  </si>
  <si>
    <t>26621</t>
  </si>
  <si>
    <t>Рашківська загальноосвітня школа І-ІІ ступенів Рукшинської сільської ради</t>
  </si>
  <si>
    <t>60017</t>
  </si>
  <si>
    <t>7325087201</t>
  </si>
  <si>
    <t>вул. Головна, 10</t>
  </si>
  <si>
    <t>0373125692</t>
  </si>
  <si>
    <t>21441234</t>
  </si>
  <si>
    <t>Рукшинська загальноосвітня школа І-ІІІ ступенів</t>
  </si>
  <si>
    <t>60030</t>
  </si>
  <si>
    <t>7325087601</t>
  </si>
  <si>
    <t>Рукшин</t>
  </si>
  <si>
    <t>вул. Головна, 46</t>
  </si>
  <si>
    <t>0373142375</t>
  </si>
  <si>
    <t>21441352</t>
  </si>
  <si>
    <t>Рухотинський навчально-виховний комплекс "Загальноосвітній навчальний заклад І-ІІ ступенів- дошкільний навчальний заклад"</t>
  </si>
  <si>
    <t>7325088001</t>
  </si>
  <si>
    <t>Рухотин</t>
  </si>
  <si>
    <t>(03731)26-3-30</t>
  </si>
  <si>
    <t>http://ruhotin.jimdo.com</t>
  </si>
  <si>
    <t>Санковецький навчально-виховний комплекс “Загальноосвітній навчальний заклад I-II ступенів - дошкільний навчальний заклад” Хотинського району Чернівецької області</t>
  </si>
  <si>
    <t>60025</t>
  </si>
  <si>
    <t>7325088401</t>
  </si>
  <si>
    <t>Санківці</t>
  </si>
  <si>
    <t>0373139635</t>
  </si>
  <si>
    <t>Ставчанський навчально-виховний комплекс "Загагальноосвітній навчальний заклад І-ІІ ступенів - дошкільний навчальний заклад" Хотинського району Чернівецької області Ставчанський навчально-виховний комплекс "Загальн</t>
  </si>
  <si>
    <t>60044</t>
  </si>
  <si>
    <t>7325088801</t>
  </si>
  <si>
    <t>0373120240</t>
  </si>
  <si>
    <t>http://stavschool.com</t>
  </si>
  <si>
    <t>Чепоніська загальноосвітня школа І-ІІ ступенів Чепоніська загальноосвітня школа І-ІІ ступенів Хотинського району Чернівецької області х</t>
  </si>
  <si>
    <t>60031</t>
  </si>
  <si>
    <t>7325089001</t>
  </si>
  <si>
    <t>Чепоноси</t>
  </si>
  <si>
    <t>(03731)49527</t>
  </si>
  <si>
    <t>21441346</t>
  </si>
  <si>
    <t>Шиловецька загальноосвітня школа І-ІІІ ступенів Шиловецької сільської ради</t>
  </si>
  <si>
    <t>60022</t>
  </si>
  <si>
    <t>7325089101</t>
  </si>
  <si>
    <t>Шилівці</t>
  </si>
  <si>
    <t>33-2-27</t>
  </si>
  <si>
    <t>http://www.shulivtsischool.org</t>
  </si>
  <si>
    <t>Шировецький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</si>
  <si>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60032</t>
  </si>
  <si>
    <t>7325089201</t>
  </si>
  <si>
    <t>Ширівці</t>
  </si>
  <si>
    <t>0373139268</t>
  </si>
  <si>
    <t>http://shir-shkola.ucoz.ua</t>
  </si>
  <si>
    <t>Ярівський навчально-виховний комплекс "Загальноосвітній навчальний заклад І-ІІ ступенів - дошкільний навчальний заклад" Хотинського району Чернівецької області</t>
  </si>
  <si>
    <t>60055</t>
  </si>
  <si>
    <t>7325089601</t>
  </si>
  <si>
    <t>Ярівка</t>
  </si>
  <si>
    <t>вул. Головна, 41</t>
  </si>
  <si>
    <t>380373141232</t>
  </si>
  <si>
    <t>Комунальний заклад "Чернігівський навчально-реабілітаційний центр № 1" Чернігівської міської ради Чернігівської області</t>
  </si>
  <si>
    <t>14005</t>
  </si>
  <si>
    <t>7410100000</t>
  </si>
  <si>
    <t>Чернігівська область</t>
  </si>
  <si>
    <t>Чернігів</t>
  </si>
  <si>
    <t>вул. П'ятницька, 69А</t>
  </si>
  <si>
    <t>(0462)72-37-10</t>
  </si>
  <si>
    <t>Комунальний заклад "Чернігівський навчально-реабілітаційний центр № 2" Чернігівської міської ради Чернігівської області</t>
  </si>
  <si>
    <t>14027</t>
  </si>
  <si>
    <t>просп. Перемоги, 183</t>
  </si>
  <si>
    <t>(04622)30165</t>
  </si>
  <si>
    <t>Комунальний заклад "Чернігівський навчально-реабілітаційний центр" Чернігівської обласної ради</t>
  </si>
  <si>
    <t>14034</t>
  </si>
  <si>
    <t>вул. 1 Травня, 56</t>
  </si>
  <si>
    <t>(04622)34212</t>
  </si>
  <si>
    <t>05266292</t>
  </si>
  <si>
    <t>Спеціалізована загальноосвітня школа № 2 І-ІІІ ступенів з поглибленим вивченням іноземних мов м. Чернігова</t>
  </si>
  <si>
    <t>14013</t>
  </si>
  <si>
    <t>вул. Савчука, 13</t>
  </si>
  <si>
    <t>(0462)675843</t>
  </si>
  <si>
    <t>http://2school.org.ua</t>
  </si>
  <si>
    <t>Чернігівська загальноосвітня школа № 23 І-ІІ ступенів Чернігівської міської ради Чернігівської області</t>
  </si>
  <si>
    <t>14020</t>
  </si>
  <si>
    <t>(0462)693518</t>
  </si>
  <si>
    <t>Чернігівська загальноосвітня школа І - ІІІ ступенів № 28 Чернігівської ради Чернігівської області</t>
  </si>
  <si>
    <t>14029</t>
  </si>
  <si>
    <t>просп. Миру, 207 - А</t>
  </si>
  <si>
    <t>(0462)727821, (0462)727820</t>
  </si>
  <si>
    <t>http://school28-cn.at.ua</t>
  </si>
  <si>
    <t>Чернігівська загальноосвітня школа І-ІІІ ступенів № 13 Чернігівської міської ради Чернігівської області</t>
  </si>
  <si>
    <t>14021</t>
  </si>
  <si>
    <t>вул. Любецька, 40</t>
  </si>
  <si>
    <t>(1111)644721</t>
  </si>
  <si>
    <t>Чернігівська загальноосвітня школа І-ІІІ ступенів № 27 Чернігівської міської ради Чернігівської області</t>
  </si>
  <si>
    <t>14030</t>
  </si>
  <si>
    <t>вул. Всіхсвятська, 4</t>
  </si>
  <si>
    <t>(04622)31234</t>
  </si>
  <si>
    <t>Чернігівська загальноосвітня школа І-ІІІ ступенів № 33 Чернігівської міської ради Чернігівської області</t>
  </si>
  <si>
    <t>просп. Миру, 207Б</t>
  </si>
  <si>
    <t>(04622)53205</t>
  </si>
  <si>
    <t>http://ch-school33.ucoz.ru/</t>
  </si>
  <si>
    <t>Чернігівська загальноосвітня школа І-ІІІ ступенів № 35 Чернігівської міської ради Чернігівської області</t>
  </si>
  <si>
    <t>14026</t>
  </si>
  <si>
    <t>вул. Незалежності, 42А</t>
  </si>
  <si>
    <t>(0462)72-00-04</t>
  </si>
  <si>
    <t>Чернігівська загальноосвітня школа І-ІІІ ступенів № 6 Чернігіської міської ради Чернігівської області</t>
  </si>
  <si>
    <t>14017</t>
  </si>
  <si>
    <t>вул. Івана Мазепи, 35</t>
  </si>
  <si>
    <t>(04622)43250, (04622)43046, (04622)40582</t>
  </si>
  <si>
    <t>Чернігівська загальноосвітня школа І-ІІІ ступенів № 7 Чернігівської міської ради Чернігівської області</t>
  </si>
  <si>
    <t>просп. Перемоги, 197</t>
  </si>
  <si>
    <t>(04622)30256</t>
  </si>
  <si>
    <t>http://school07.cv.ua</t>
  </si>
  <si>
    <t>Чернігівська загальноосвітня школа І-ІІІ ступенів № 9 Чернігівської міської ради Чернігівської області</t>
  </si>
  <si>
    <t>вул. О.Молодчого, 21</t>
  </si>
  <si>
    <t>(04622)3-12-46</t>
  </si>
  <si>
    <t>Чернігівська загальноосвітня школа І-ІІІ ступенів № 14</t>
  </si>
  <si>
    <t>14001</t>
  </si>
  <si>
    <t>вул. Текстильників, 30</t>
  </si>
  <si>
    <t>(0462)664-263</t>
  </si>
  <si>
    <t>Чернігівська загальноосвітня школа І-ІІІ ступенів № 29 Чернігівської міської ради Чернігівської області</t>
  </si>
  <si>
    <t>вул. Доценка, 9</t>
  </si>
  <si>
    <t>(80462)3-51-35</t>
  </si>
  <si>
    <t>http://cheschool29.at.ua/</t>
  </si>
  <si>
    <t>ЧЕРНІГІВЬКА ЗАГАЛЬНООСВВТНЯ ШКОЛА І-ІІІ СТУПЕНІВ № 19 ЧЕРНІГІВЬКОЇ МІСЬКОЇ РАДИ ЧЕРНІГІВСЬКОЇ ОБЛАСТІ</t>
  </si>
  <si>
    <t>вул. Мстиславська, 76</t>
  </si>
  <si>
    <t>(046)72-70-52, (046)727051</t>
  </si>
  <si>
    <t>http://oldmars.jimbo.com</t>
  </si>
  <si>
    <t>Гімназія № 31 гуманітарно-естетичного профілю</t>
  </si>
  <si>
    <t>14032</t>
  </si>
  <si>
    <t>7410136300</t>
  </si>
  <si>
    <t>Чернігів, Деснянський район</t>
  </si>
  <si>
    <t>вул. Доценка, 29</t>
  </si>
  <si>
    <t>(04622)33577</t>
  </si>
  <si>
    <t>Загальноосвітня спеціалізована школа І-ІІІ ступенів фізико-математичного профілю № 12 м.Чернігова</t>
  </si>
  <si>
    <t>вул. Доценка, 22</t>
  </si>
  <si>
    <t>(04622)30012, (0462)952759</t>
  </si>
  <si>
    <t>http://school12.cn.ua</t>
  </si>
  <si>
    <t>Навчально-виховний комплекс "Загальноосвітня школа І-ІІІ ступенів інформаційно-технологічний ліцей № 16" Чернігівської міської ради Чернігівської області</t>
  </si>
  <si>
    <t>вул. Шевченка, 93</t>
  </si>
  <si>
    <t>(04622)31316</t>
  </si>
  <si>
    <t>Спеціалізована загальноосвітня середня школа № 1 з поглибленим вивченням іноземних мов</t>
  </si>
  <si>
    <t>14000</t>
  </si>
  <si>
    <t>просп. Миру, 40</t>
  </si>
  <si>
    <t>(0462)77-41-48</t>
  </si>
  <si>
    <t>Чернігівська загальноосвітня спеціалізована школа І ступеня № 36 з поглибленим вивченням іноземних мов Чернігівської міської ради Чернігівської області</t>
  </si>
  <si>
    <t>вул. Захисників України, 14А</t>
  </si>
  <si>
    <t>(04622)31036</t>
  </si>
  <si>
    <t>Чернігівська загальноосвітня школа І ступеня № 25 Чернігівської міської ради Чернігівської області</t>
  </si>
  <si>
    <t>3-91-30, 3-91-31</t>
  </si>
  <si>
    <t>Чернігівська загальноосвітня школа І-ІІІ ступенів № 5 Чернігівської міської ради Чернігівської області</t>
  </si>
  <si>
    <t>вул. Соснова, 23А</t>
  </si>
  <si>
    <t>(04622)33670, (04622)34350, (04622)32790</t>
  </si>
  <si>
    <t>http://www.school5.com.ua</t>
  </si>
  <si>
    <t>Чернігівська загальноосвітня школа І-ІІІ ступенів № 3 Чернігівської міської ради Чернігівської області</t>
  </si>
  <si>
    <t>вул. Гетьмана Полуботка, 14</t>
  </si>
  <si>
    <t>(0462)676332</t>
  </si>
  <si>
    <t>Чернігівська загальноосвітня школа І-ІІІ ступенів № 30 Чернігівської міської ради Чернігівської області</t>
  </si>
  <si>
    <t>вул. Всіхсвятська, 14</t>
  </si>
  <si>
    <t>(04622)37098, (04622)38008, (04622)38180, (04622)36089</t>
  </si>
  <si>
    <t>http://school30.cn.ua</t>
  </si>
  <si>
    <t>Чернігівський колегіум № 11</t>
  </si>
  <si>
    <t>14033</t>
  </si>
  <si>
    <t>просп. Миру, 137</t>
  </si>
  <si>
    <t>(04622)53413</t>
  </si>
  <si>
    <t>http://collegium11.at.ua</t>
  </si>
  <si>
    <t>24553910</t>
  </si>
  <si>
    <t>Чернігівський ліцей № 22 Чернігівської міської ради Чернігівської області</t>
  </si>
  <si>
    <t>вул. Рокоссовського, 45Б</t>
  </si>
  <si>
    <t>(04622)31321, (04622)31184, (04622)30310</t>
  </si>
  <si>
    <t>Чернігівський ліцей з посиленою військово-фізичною підготовкою ІІІ - ступеня Чернігівської обласної державної адміністрації</t>
  </si>
  <si>
    <t>вул. Стрілецька, 1</t>
  </si>
  <si>
    <t>(04622)53134</t>
  </si>
  <si>
    <t>08190661</t>
  </si>
  <si>
    <t>Комунальний заклад "Чернігівська загальноосвітня школа-інтернат І-ІІІ ступенів" Чернігівської обласної ради</t>
  </si>
  <si>
    <t>14010</t>
  </si>
  <si>
    <t>7410136600</t>
  </si>
  <si>
    <t>Чернігів, Новозаводський район</t>
  </si>
  <si>
    <t>(0462)649412</t>
  </si>
  <si>
    <t>05266346</t>
  </si>
  <si>
    <t>Загальноосвітня школа І-ІІІ ступенів № 21 Чернігівської міської ради Чернігівської області</t>
  </si>
  <si>
    <t>вул. пр. Гагаріна, 27</t>
  </si>
  <si>
    <t>(0462)644570</t>
  </si>
  <si>
    <t>Комунальний заклад " Чернігівська вечірня (змінна) загальноосвітня школа ІІ-ІІІ ступенів № 1 Чернігівської міської ради Чернігівської області"</t>
  </si>
  <si>
    <t>(0462)644466</t>
  </si>
  <si>
    <t>Ліцей № 15</t>
  </si>
  <si>
    <t>14037</t>
  </si>
  <si>
    <t>вул. Козацька, 4Б</t>
  </si>
  <si>
    <t>(04622)53727, (04622)53780</t>
  </si>
  <si>
    <t>http://www.lyceum15.cn.ua</t>
  </si>
  <si>
    <t>Чернігівська загальноосвітня школа I-III ступенів № 34 Чернігівської міської ради Чернігівської області</t>
  </si>
  <si>
    <t>вул. Текстильників, 27</t>
  </si>
  <si>
    <t>(38(0462))664840, (38(0462))662848, (38(0462))664085, (38(046</t>
  </si>
  <si>
    <t>Чернігівська загальноосвітня школа I-III ступенів № 4 Чернігівської міської ради Чернігівської області</t>
  </si>
  <si>
    <t>14008</t>
  </si>
  <si>
    <t>вул. Толстого, 17</t>
  </si>
  <si>
    <t>(0462)676-401</t>
  </si>
  <si>
    <t>Чернігівська загальноосвітня школа І-ІІІ ступенів № 10 Чернігівської міської ради Чернгігвської області</t>
  </si>
  <si>
    <t>вул. Попудренка, 33</t>
  </si>
  <si>
    <t>(04622)44508</t>
  </si>
  <si>
    <t>Чернігівська загальноосвітня школа І-ІІІ ступенів № 18 Чернігівської міської ради Чернігівської області</t>
  </si>
  <si>
    <t>644-479</t>
  </si>
  <si>
    <t>Чернігівська загальноосвітня школа І-ІІІ ступенів № 17 Чернігівської міської ради Чернігівської області</t>
  </si>
  <si>
    <t>вул. Малясова, 14</t>
  </si>
  <si>
    <t>(04622)41018</t>
  </si>
  <si>
    <t>Чернігівська загальноосвітня школа І-ІІІ ступенів № 20 Чернігівської міської ради Чернігівської області</t>
  </si>
  <si>
    <t>(04622)41114</t>
  </si>
  <si>
    <t>http://school20.cs.cn.ua</t>
  </si>
  <si>
    <t>Чернігівська загальноосвітня школа І-ІІІ ступенів № 24 Чернігівської міської ради Чернігівської області</t>
  </si>
  <si>
    <t>14014</t>
  </si>
  <si>
    <t>вул. Толстого, 148</t>
  </si>
  <si>
    <t>(0462)645011</t>
  </si>
  <si>
    <t>Чернігівський ліцей № 32 Чернігівської міської ради Чернігівської області</t>
  </si>
  <si>
    <t>вул. Шевчука, 11</t>
  </si>
  <si>
    <t>(0462)729098, (0462)729744</t>
  </si>
  <si>
    <t>http://liceum32.cn.ua</t>
  </si>
  <si>
    <t>Чернігівський обласний педагогічний ліцей для обдарованої сільської молоді Чернігівської обласної ради</t>
  </si>
  <si>
    <t>вул. Івана Мозепи, 4А</t>
  </si>
  <si>
    <t>(0462)699550, (0462)671010</t>
  </si>
  <si>
    <t>21408219</t>
  </si>
  <si>
    <t>Ніжинський навчально-виховний комплекс № 16 "Престиж" (гімназія - загальноосвітня школа І ступеня - дошкільний навчальний заклад) Ніжинської міської ради Чернігівської області</t>
  </si>
  <si>
    <t>16600</t>
  </si>
  <si>
    <t>7410400000</t>
  </si>
  <si>
    <t>Ніжин</t>
  </si>
  <si>
    <t>вул. 3-й мікрорайон, 11</t>
  </si>
  <si>
    <t>(04631)31203</t>
  </si>
  <si>
    <t>http://gimn16-nizhyn.at.ua</t>
  </si>
  <si>
    <t>Ніжинська гімназія № 3 Ніжинської міської ради Чернігівської області</t>
  </si>
  <si>
    <t>вул. Московська, 6А</t>
  </si>
  <si>
    <t>(04631)7-19-13</t>
  </si>
  <si>
    <t>Ніжинська загальноосвітня школа І-ІІ ст № 11 Ніжинської міської ради Чернігівської області</t>
  </si>
  <si>
    <t>вул. Євлашівська, 73</t>
  </si>
  <si>
    <t>(04631)23737</t>
  </si>
  <si>
    <t>Ніжинська загальноосвітня школа І ступеня № 8 Ніжинської міської ради Чернігівської області</t>
  </si>
  <si>
    <t>вул. Воздвиженська, 185</t>
  </si>
  <si>
    <t>(04631)60392</t>
  </si>
  <si>
    <t>http://8schoolbesaba.com</t>
  </si>
  <si>
    <t>Ніжинська загальноосвітня школа І-ІІ ступенів № 12 Ніжинської міської ради Чернігівської області</t>
  </si>
  <si>
    <t>вул. Франка, 22</t>
  </si>
  <si>
    <t>(04631)23732</t>
  </si>
  <si>
    <t>http://www.zosh12-nizhyn.in.ua/</t>
  </si>
  <si>
    <t>Ніжинська загальноосвітня школа І-ІІІ ступенів № 1 Ніжинської міської ради Чернігівської області</t>
  </si>
  <si>
    <t>вул. Гребінки, 4</t>
  </si>
  <si>
    <t>(04631)23467</t>
  </si>
  <si>
    <t>Ніжинська загальноосвітня школа І-ІІ ступенів № 14 Ніжинської міської ради Чернігівської області</t>
  </si>
  <si>
    <t>вул. Шекерогринівська, 54А</t>
  </si>
  <si>
    <t>(04631)31898</t>
  </si>
  <si>
    <t>http://zosh14nizhyn.ucoz.ua/</t>
  </si>
  <si>
    <t>Ніжинська загальноосвітня школа І-ІІІ ступенів № 15 Ніжинської міської ради Чернігівської області</t>
  </si>
  <si>
    <t>16604</t>
  </si>
  <si>
    <t>вул. Об'їжджа, 123</t>
  </si>
  <si>
    <t>(04631)3-14-42</t>
  </si>
  <si>
    <t>Ніжинська загальноосвітня школа І-ІІІ ступенів № 2 Ніжинської міської ради Чернігівської області</t>
  </si>
  <si>
    <t>(04631)31654</t>
  </si>
  <si>
    <t>Ніжинська загальноосвітня школа І-ІІІ ступенів № 10 Ніжинської міської ради Чернігівської області</t>
  </si>
  <si>
    <t>вул. Московська, 54</t>
  </si>
  <si>
    <t>Ніжинська загальноосвітня школа І-ІІІ ступенів № 13 Ніжинської міської ради Чернігівської області</t>
  </si>
  <si>
    <t>вул. Овдіївська, 227</t>
  </si>
  <si>
    <t>(04631)70361</t>
  </si>
  <si>
    <t>Ніжинська загальноосвітня школа І-ІІІ ступенів № 17 Ніжинської міської ради Чернігівської області</t>
  </si>
  <si>
    <t>вул. Прилуцька, 162</t>
  </si>
  <si>
    <t>Ніжинська загальноосвітня школа І-ІІ ступенів № 4 Ніжинської міської ради Чернігівської області</t>
  </si>
  <si>
    <t>вул. Козача, 22</t>
  </si>
  <si>
    <t>(04631)23373</t>
  </si>
  <si>
    <t>Ніжинська загальноосвітня школа І-ІІІ ступенів № 5 Ніжинської міської ради Чернігівської області</t>
  </si>
  <si>
    <t>вул. Воздвиженська, 72</t>
  </si>
  <si>
    <t>(04631)2-37-57</t>
  </si>
  <si>
    <t>Ніжинська загальноосвітня школа І-ІІІ ступенів № 6 Ніжинської міської ради Чернігівської області</t>
  </si>
  <si>
    <t>16606</t>
  </si>
  <si>
    <t>вул. Мигалівська, 15</t>
  </si>
  <si>
    <t>(046)3123758</t>
  </si>
  <si>
    <t>Ніжинська загальноосвітня школа І-ІІІ ступеня № 7 Ніжинської міської ради Чернігівської області</t>
  </si>
  <si>
    <t>вул. Гоголя, 15</t>
  </si>
  <si>
    <t>(04631)23162</t>
  </si>
  <si>
    <t>Ніжинська загальносвітня школа І-ІІІ ступенів № 9 Ніжинської міської ради Чернігівської області</t>
  </si>
  <si>
    <t>16610</t>
  </si>
  <si>
    <t>вул. Шевченко, 103</t>
  </si>
  <si>
    <t>(04631)31651</t>
  </si>
  <si>
    <t>http://zosh9-nizhyn.at.ua</t>
  </si>
  <si>
    <t>Ніжинський ліцей Ніжинської міської ради Чернігівської області при Ніжинському державному університеті імені Миколи Гоголя</t>
  </si>
  <si>
    <t>вул. Богуна, 1</t>
  </si>
  <si>
    <t>(04631)2-50-68</t>
  </si>
  <si>
    <t>Ніжинський обласний педагогічний ліцей Чернігівської обласної ради</t>
  </si>
  <si>
    <t>(04631)23542</t>
  </si>
  <si>
    <t>http://www.nopl.org.ua</t>
  </si>
  <si>
    <t>24835146</t>
  </si>
  <si>
    <t>Новгород-Сіверська гімназія № 1 ім. Б.Майстренка Новгород-Сіверської міської ради Чернігівської області</t>
  </si>
  <si>
    <t>16000</t>
  </si>
  <si>
    <t>7410500000</t>
  </si>
  <si>
    <t>Новгород-Сіверський</t>
  </si>
  <si>
    <t>вул. Майстренка, 2</t>
  </si>
  <si>
    <t>(04658)31684, (04658)21791, (04658)31569</t>
  </si>
  <si>
    <t>http://ns-gymnasium.org.ua</t>
  </si>
  <si>
    <t>Новгород-Сіверська державна гімназія імені К.Д.Ушинського</t>
  </si>
  <si>
    <t>вул. Губернська, 38</t>
  </si>
  <si>
    <t>(04658)31680</t>
  </si>
  <si>
    <t>http://nsdg.info</t>
  </si>
  <si>
    <t>05266211</t>
  </si>
  <si>
    <t>Новгород-Сіверська загальноосвітня школа І-ІІІ ступенів № 2 Новгород-Сіверської міської ради Чернігівської області</t>
  </si>
  <si>
    <t>вул. Михайла Грушевського, 1</t>
  </si>
  <si>
    <t>(04658)21262, (04658)21175</t>
  </si>
  <si>
    <t>http://nsschool2.ucoz.ru</t>
  </si>
  <si>
    <t>Новгород-Сіверський навчально-виховний комплекс "дошкільний навчальний заклад-загальноосвітній навчальний заклад" І ступеня "Дзвіночок" Новгород-Сіверської міської ради Чернігівської області</t>
  </si>
  <si>
    <t>вул. Чкалова, 9 А</t>
  </si>
  <si>
    <t>(04658)21589</t>
  </si>
  <si>
    <t>Комунальний заклад "Прилуцький навчально-реабілітаційний центр" Чернігівської обласної державної адміністрації</t>
  </si>
  <si>
    <t>17510</t>
  </si>
  <si>
    <t>7410700000</t>
  </si>
  <si>
    <t>Прилуки</t>
  </si>
  <si>
    <t>вул. Богунська, 1А</t>
  </si>
  <si>
    <t>(04637)53112</t>
  </si>
  <si>
    <t>05266352</t>
  </si>
  <si>
    <t>Навчально-виховний комплекс "Школа І ступеня - дошкільний заклад № 15" Прилуцької міської ради Чернігівської області</t>
  </si>
  <si>
    <t>17500</t>
  </si>
  <si>
    <t>вул. ІІ провулок Миколаївський, 14 А</t>
  </si>
  <si>
    <t>4-42-52</t>
  </si>
  <si>
    <t>Прилуцька гімназія № 1 ім. Георгія Вороного Прилуцької міської ради Чернігівської області</t>
  </si>
  <si>
    <t>вул. Київська, 190</t>
  </si>
  <si>
    <t>(04637)30429</t>
  </si>
  <si>
    <t>http://gimnazium1.com</t>
  </si>
  <si>
    <t>Прилуцька гімназія № 5 імені Віктора Андрійовича Затолокіна Прилуцької міської ради Чернігівської області</t>
  </si>
  <si>
    <t>(04637)3-29-88</t>
  </si>
  <si>
    <t>http://gym5prk.at.ua/</t>
  </si>
  <si>
    <t>Прилуцька загальноосвітня школа I-III ступенів № 14 Прилуцької міської ради Чернігівської області</t>
  </si>
  <si>
    <t>17501</t>
  </si>
  <si>
    <t>вул. Садова, 106</t>
  </si>
  <si>
    <t>(04637)3-31-79</t>
  </si>
  <si>
    <t>http://kroschool14.ucoz.ua</t>
  </si>
  <si>
    <t>Прилуцька загальноосвітня школа І-ІІІ ступенів № 13 імені Святителя Іоасафа Бєлгородського Прилуцької міської ради Чернігівської області</t>
  </si>
  <si>
    <t>17502</t>
  </si>
  <si>
    <t>вул. Сорочинська, 36</t>
  </si>
  <si>
    <t>(04637)74000</t>
  </si>
  <si>
    <t>http://prschool13.ucoz.ua</t>
  </si>
  <si>
    <t>Прилуцька загальноосвітня школа І-ІІІ ступенів № 9 Прилуцької міської ради Чернігівської області</t>
  </si>
  <si>
    <t>пров. Фізкультурника, 24</t>
  </si>
  <si>
    <t>(04637)53211</t>
  </si>
  <si>
    <t>http://priluki-school9.ucoz.ua</t>
  </si>
  <si>
    <t>Прилуцька загальноосвітня школа І-ІІІ ступенів № 10 Прилуцької міської ради Чернігівської області</t>
  </si>
  <si>
    <t>вул. Київська, 375</t>
  </si>
  <si>
    <t>(4637)5-34-14</t>
  </si>
  <si>
    <t>Прилуцька загальноосвітня школа І-ІІІ ступенів № 12 Прилуцької міської ради Чернігівської області</t>
  </si>
  <si>
    <t>17504</t>
  </si>
  <si>
    <t>вул. військове містечко №12, б/н</t>
  </si>
  <si>
    <t>(04637)75445</t>
  </si>
  <si>
    <t>http://gorodok12.at.ua</t>
  </si>
  <si>
    <t>Прилуцька загальноосвітня школа І-ІІІ ступенів № 2 Прилуцької міської ради Чернігівської області</t>
  </si>
  <si>
    <t>вул. Ветеранська, 2</t>
  </si>
  <si>
    <t>(04637)34196</t>
  </si>
  <si>
    <t>http://bestschool2.ucoz.ru</t>
  </si>
  <si>
    <t>Прилуцька загальноосвітня школа І-ІІІ ступенів № 3 імені Сергія Гордійовича Шовкуна Прилуцької міської ради Чернігівської області</t>
  </si>
  <si>
    <t>вул. Саксаганського, 14</t>
  </si>
  <si>
    <t>(04637)3-20-43</t>
  </si>
  <si>
    <t>http://priluki-school3.at.ua/</t>
  </si>
  <si>
    <t>Прилуцька загальноосвітня школа І-ІІІ ступенів № 7 Прилуцької міської ради Чернігівської області</t>
  </si>
  <si>
    <t>вул. Миколаївська, 107</t>
  </si>
  <si>
    <t>(04637)31571, (04637)37165, (04637)30133</t>
  </si>
  <si>
    <t>http://school7.org</t>
  </si>
  <si>
    <t>Прилуцька загальноосвітня школа ІІ-ІІІ ступенів № 15 міста Прилуки Чернігівської області</t>
  </si>
  <si>
    <t>вул. Київська, 234</t>
  </si>
  <si>
    <t>(04637)50975</t>
  </si>
  <si>
    <t>Прилуцька спеціалізована школа І-ІІІ ступенів № 6 з поглибленим вивченням інформаційних технологій Прилуцької міської ради Чернігівської області</t>
  </si>
  <si>
    <t>вул. Київська, 232</t>
  </si>
  <si>
    <t>(04637)5-01-30, (04637)5-31-48</t>
  </si>
  <si>
    <t>http://school6-priluki.narod.ru/</t>
  </si>
  <si>
    <t>Прилуцька спеціальна загальноосвітня школа - інтернат</t>
  </si>
  <si>
    <t>вул. Київська, 329</t>
  </si>
  <si>
    <t>(04637)50296</t>
  </si>
  <si>
    <t>05266263</t>
  </si>
  <si>
    <t>Бахмацька гімназія Бахмацької районної ради Чернігівської області</t>
  </si>
  <si>
    <t>16500</t>
  </si>
  <si>
    <t>7420310100</t>
  </si>
  <si>
    <t>Бахмач</t>
  </si>
  <si>
    <t>(04635)21811, (04635)21264</t>
  </si>
  <si>
    <t>Бахмацька загальноосвітня школа І - ІІІ ст. № 4 Бахмацької районної ради Чернігівської області</t>
  </si>
  <si>
    <t>вул. Б. Хмельницького, 11</t>
  </si>
  <si>
    <t>(04635)21305</t>
  </si>
  <si>
    <t>Бахмацька загальноосвітня школа І - ІІІ ступенів № 1 Бахмацької районної ради Чернігівської області</t>
  </si>
  <si>
    <t>(04635)2-11-85</t>
  </si>
  <si>
    <t>Бахмацька загальноосвітня школа І - ІІІ ступенів № 5 Бахмацької районної ради Чернігівської області</t>
  </si>
  <si>
    <t>(04635)33106, (04635)34743</t>
  </si>
  <si>
    <t>Батуринська загальноосвітня школа І-ІІІ ступенів ім. Григора Орлика Батуринської ОТГ Чернігівської області</t>
  </si>
  <si>
    <t>16512</t>
  </si>
  <si>
    <t>7420310300</t>
  </si>
  <si>
    <t>Батурин</t>
  </si>
  <si>
    <t>вул. В.Ющенка, 47</t>
  </si>
  <si>
    <t>(04635)48567</t>
  </si>
  <si>
    <t>Батуринська спеціальна загальноосвітня школа-інтернат І-ІІ ступенів Чернігівської обласної ради</t>
  </si>
  <si>
    <t>(04635)48282, (04635)48281</t>
  </si>
  <si>
    <t>http://baturin-internat.edukit.cn.ua</t>
  </si>
  <si>
    <t>05266530</t>
  </si>
  <si>
    <t>Дмитрівська загальноосвітня школа I-III ступенів Бахмацької районної ради Чернігівської області</t>
  </si>
  <si>
    <t>16572</t>
  </si>
  <si>
    <t>7420355600</t>
  </si>
  <si>
    <t>(09635)45243</t>
  </si>
  <si>
    <t>Бахмацька загальноосвітня школа І-ІІІ ступенів № 2 Бахмацької районної ради Чернігівської області</t>
  </si>
  <si>
    <t>16506</t>
  </si>
  <si>
    <t>7420380501</t>
  </si>
  <si>
    <t>(04635)46690</t>
  </si>
  <si>
    <t>Бахмацький навчально-виховний комплекс"загально-освітній навчальний заклад І-ІІ ступенів-дошкільний навчальний заклад "</t>
  </si>
  <si>
    <t>(04635)46599</t>
  </si>
  <si>
    <t>Біловежівський навчально-виховний комплекс "Загальноосвітня школа І-ІІ ступенів - дошкільний навчальний заклад" Бахмацької районної ради Чернігівської області.</t>
  </si>
  <si>
    <t>16551</t>
  </si>
  <si>
    <t>7420381001</t>
  </si>
  <si>
    <t>Біловежі Перші</t>
  </si>
  <si>
    <t>(04635)45917</t>
  </si>
  <si>
    <t>Пісківська загальноосвітня школа І - ІІI ступенів Бахмацької районної державної адміністрації</t>
  </si>
  <si>
    <t>16542</t>
  </si>
  <si>
    <t>7420381501</t>
  </si>
  <si>
    <t>44-5-48</t>
  </si>
  <si>
    <t>Варварівський навчально-виховний комплекс "Загальноосвітня школа І-ІІ ступенів - дошкільний навчальний заклад" Бахмацької районної ради Чернігівської області</t>
  </si>
  <si>
    <t>16543</t>
  </si>
  <si>
    <t>7420381502</t>
  </si>
  <si>
    <t>вул. Привокзальна, 4</t>
  </si>
  <si>
    <t>(04635)44599</t>
  </si>
  <si>
    <t>Гайворонська загальноосвітня школа</t>
  </si>
  <si>
    <t>15653</t>
  </si>
  <si>
    <t>7420382001</t>
  </si>
  <si>
    <t>ал. Єршова, 04</t>
  </si>
  <si>
    <t>46-3-03</t>
  </si>
  <si>
    <t>Голінська загальноосвітня школа І - ІІІ ступенів Бахмацької районної ради Чернігівської області</t>
  </si>
  <si>
    <t>16562</t>
  </si>
  <si>
    <t>7420382501</t>
  </si>
  <si>
    <t>(235)44638</t>
  </si>
  <si>
    <t>Городищенський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</si>
  <si>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16520</t>
  </si>
  <si>
    <t>7420383001</t>
  </si>
  <si>
    <t>(04635)49430</t>
  </si>
  <si>
    <t>Григорівська загальноосвітня школа І-ІІІ ступенів Бахмацької районної ради Чернігівської області</t>
  </si>
  <si>
    <t>16561</t>
  </si>
  <si>
    <t>7420383501</t>
  </si>
  <si>
    <t>(04635)47425</t>
  </si>
  <si>
    <t>Кропивненський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</si>
  <si>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16574</t>
  </si>
  <si>
    <t>7420384001</t>
  </si>
  <si>
    <t>Кропивне</t>
  </si>
  <si>
    <t>(04635)46-2-98</t>
  </si>
  <si>
    <t>Красилівська загальноосвітня школа І - ІІІ ст. Бахмацького району Чернігівської області</t>
  </si>
  <si>
    <t>16541</t>
  </si>
  <si>
    <t>7420384501</t>
  </si>
  <si>
    <t>вул. Перемоги4</t>
  </si>
  <si>
    <t>47-6-17</t>
  </si>
  <si>
    <t>Красненський навчально-виховний комплекс"Загальноосвітній навчальний заклад І - ІІІ ступенів дошкільний навчальний заклад"</t>
  </si>
  <si>
    <t>16531</t>
  </si>
  <si>
    <t>7420385001</t>
  </si>
  <si>
    <t>(04635)44417</t>
  </si>
  <si>
    <t>Курінська загальноосвітня школа І-ІІ ступенів , Бахмацької районнлої ради , Чернігівської області</t>
  </si>
  <si>
    <t>16544</t>
  </si>
  <si>
    <t>7420385501</t>
  </si>
  <si>
    <t>Курінь</t>
  </si>
  <si>
    <t>вул. Міщенка, 28</t>
  </si>
  <si>
    <t>49781</t>
  </si>
  <si>
    <t>Курінський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</si>
  <si>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(04635)25361</t>
  </si>
  <si>
    <t>Матіївський навчально-виховний комплекс:загальноосвітній навчальний заклад I ступеня- дошкільний навчальний заклад Бахмацької районної ради Чернігівської області</t>
  </si>
  <si>
    <t>16514</t>
  </si>
  <si>
    <t>7420386001</t>
  </si>
  <si>
    <t>Матіївка</t>
  </si>
  <si>
    <t>(04635)48821</t>
  </si>
  <si>
    <t>Митченківський навчально - виховний комплекс " загальноосвітній навчальний заклад I-III ступенів - дошкільний навчальний заклад" Бахмацької районної ради Чернігівської області</t>
  </si>
  <si>
    <t>16530</t>
  </si>
  <si>
    <t>7420386501</t>
  </si>
  <si>
    <t>Митченки</t>
  </si>
  <si>
    <t>вул. Центральна, 31 А</t>
  </si>
  <si>
    <t>(04635)49319</t>
  </si>
  <si>
    <t>Обмачівський навчально-виховний комплекс "загальноосвітній навчальний заклад І-ІІ ступенів - дошкільний навчальний заклад"</t>
  </si>
  <si>
    <t>16510</t>
  </si>
  <si>
    <t>7420387001</t>
  </si>
  <si>
    <t>Обмачів</t>
  </si>
  <si>
    <t>вул. Лесі Українки, 75</t>
  </si>
  <si>
    <t>(04635)49616</t>
  </si>
  <si>
    <t>Пальчиківський навчально-виховний комплекс "загальноосвітній навчальний заклад I-II ступенів-дошкільний навчальний заклад" Бахмацької районної ради Чернігівської області</t>
  </si>
  <si>
    <t>16522</t>
  </si>
  <si>
    <t>7420387201</t>
  </si>
  <si>
    <t>Пальчики</t>
  </si>
  <si>
    <t>48-6-63</t>
  </si>
  <si>
    <t>Рубанська загальноосвятня школа І - ІІІ ступенів Бахмацької районної ради Чернігівської області</t>
  </si>
  <si>
    <t>16570</t>
  </si>
  <si>
    <t>7420387501</t>
  </si>
  <si>
    <t>Рубанка</t>
  </si>
  <si>
    <t>(04635)46148</t>
  </si>
  <si>
    <t>Стрільницька загальноосвітня школа І-ІІІ ступенів Бахмацької районної ради Чернігівської області</t>
  </si>
  <si>
    <t>16540</t>
  </si>
  <si>
    <t>7420388001</t>
  </si>
  <si>
    <t>47249</t>
  </si>
  <si>
    <t>Тиницька загальноосвітня школа І-ІІІ ступенів Бахмацької районної ради Чернігівської області</t>
  </si>
  <si>
    <t>16560</t>
  </si>
  <si>
    <t>7420388501</t>
  </si>
  <si>
    <t>Тиниця</t>
  </si>
  <si>
    <t>(04635)47714</t>
  </si>
  <si>
    <t>Фастовецький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</si>
  <si>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16550</t>
  </si>
  <si>
    <t>7420389001</t>
  </si>
  <si>
    <t>Фастівці</t>
  </si>
  <si>
    <t>(04635)49530</t>
  </si>
  <si>
    <t>http://fast-zosh.ucoz.ua</t>
  </si>
  <si>
    <t>Халимонівська загальноосвітня школа І - ІІІ ступенів Бахмацької районної ради Чернігівської області</t>
  </si>
  <si>
    <t>16532</t>
  </si>
  <si>
    <t>7420389501</t>
  </si>
  <si>
    <t>Халимонове</t>
  </si>
  <si>
    <t>вул. Сіденка, 33</t>
  </si>
  <si>
    <t>(04635)47337, (04635)47336</t>
  </si>
  <si>
    <t>Бобровицька гімназія Бобровицької районної ради Чернігівської області</t>
  </si>
  <si>
    <t>17400</t>
  </si>
  <si>
    <t>7420610100</t>
  </si>
  <si>
    <t>Бобровиця</t>
  </si>
  <si>
    <t>(04632)2-15-54</t>
  </si>
  <si>
    <t>http://www.bobrgym.at.ua</t>
  </si>
  <si>
    <t>Бобровицька загальноосвітня школа І-ІІІ ступенів № 1 Бобровицької районної ради Чернігівської області</t>
  </si>
  <si>
    <t>вул. Незалежності, 60</t>
  </si>
  <si>
    <t>(04632)23166</t>
  </si>
  <si>
    <t>http://bobrshkola1.ucoz.ru/</t>
  </si>
  <si>
    <t>Бобровицька загальноосвітня школа І-ІІІ ступенів № 2 Бобровицької районної ради Чернігівської області</t>
  </si>
  <si>
    <t>вул. 30 років Перемоги, 155</t>
  </si>
  <si>
    <t>(04632)22318</t>
  </si>
  <si>
    <t>Макарівська загальноосвітня школа І-ІІ ступенів Бобровицької районної ради Чернігівської області</t>
  </si>
  <si>
    <t>17401</t>
  </si>
  <si>
    <t>7420610102</t>
  </si>
  <si>
    <t>(04632)25661</t>
  </si>
  <si>
    <t>Олександрівський навчально-виховний комплекс "загальноосвітній навчальний заклад І-ІІІ ступенів - дошкільний навчальний заклад" Бобровицької районної ради Чернігівської області</t>
  </si>
  <si>
    <t>17441</t>
  </si>
  <si>
    <t>7420680401</t>
  </si>
  <si>
    <t>вул. 30-річчя Перемоги, 23</t>
  </si>
  <si>
    <t>(046)3234730</t>
  </si>
  <si>
    <t>Білоцерківська загальноосвітня школа І-ІІ ступенів Бобровицької районної ради Чернігівської області</t>
  </si>
  <si>
    <t>17432</t>
  </si>
  <si>
    <t>7420680801</t>
  </si>
  <si>
    <t>Білоцерківці</t>
  </si>
  <si>
    <t>вул. 30-річчя Перемоги, 6</t>
  </si>
  <si>
    <t>(096)5665422</t>
  </si>
  <si>
    <t>Браницька загальноосвітня школа І-ІІІ ступенів Бобровицької районної ради Чернігівської області</t>
  </si>
  <si>
    <t>17410</t>
  </si>
  <si>
    <t>7420681201</t>
  </si>
  <si>
    <t>Браниця</t>
  </si>
  <si>
    <t>вул. Б.Хмельницького, 8</t>
  </si>
  <si>
    <t>(04632)35541</t>
  </si>
  <si>
    <t>http://branytsyacshool.at.ua</t>
  </si>
  <si>
    <t>Бригинцівська загальноосвітня школа І-ІІ ступенів Бобровицької районної ради Чернігівської області</t>
  </si>
  <si>
    <t>17433</t>
  </si>
  <si>
    <t>7420681601</t>
  </si>
  <si>
    <t>Бригинці</t>
  </si>
  <si>
    <t>0977136833</t>
  </si>
  <si>
    <t>Вороньківська ЗОШ І - ІІІ ступенів Бобровицької районної ради Чернігівської області</t>
  </si>
  <si>
    <t>17442</t>
  </si>
  <si>
    <t>7420682401</t>
  </si>
  <si>
    <t>(04632)31616</t>
  </si>
  <si>
    <t>Горбачівський навчально - виховний комплекс "загальноосвітній навчальний заклад І - ІІступенів - дошкільний навчальний заклад" Бобровицької районної ради, Чернівської області</t>
  </si>
  <si>
    <t>17412</t>
  </si>
  <si>
    <t>7420683201</t>
  </si>
  <si>
    <t>(04632)34334, (096)7037425</t>
  </si>
  <si>
    <t>Козацький навчально-виховний комплекс "Загальноосвітній навчальний заклад І-ІІІ ступенів - дошкільний навчальний заклад" Бобровицької районної ради Чернігівської області</t>
  </si>
  <si>
    <t>17450</t>
  </si>
  <si>
    <t>7420683601</t>
  </si>
  <si>
    <t>(04632)33614</t>
  </si>
  <si>
    <t>Кобижчанська загальноосвітня школа І-ІІІ ступенів, Бобровицької ройонної ради, Чернігівської області.</t>
  </si>
  <si>
    <t>17411</t>
  </si>
  <si>
    <t>7420684001</t>
  </si>
  <si>
    <t>Кобижча</t>
  </si>
  <si>
    <t>вул. Правди, 1</t>
  </si>
  <si>
    <t>(063)7268995</t>
  </si>
  <si>
    <t>Марковецька загальноосвітня школа І-ІІІ ступенів Бобровицької районної ради Чернігівської області</t>
  </si>
  <si>
    <t>17421</t>
  </si>
  <si>
    <t>7420684401</t>
  </si>
  <si>
    <t>(04632)33981</t>
  </si>
  <si>
    <t>Новобасанська загальноосвітня школа І-ІІ ступенів № 2 Бобровицької районної ради Чернігівської області</t>
  </si>
  <si>
    <t>17461</t>
  </si>
  <si>
    <t>7420684801</t>
  </si>
  <si>
    <t>Нова Басань</t>
  </si>
  <si>
    <t>(04632)39730</t>
  </si>
  <si>
    <t>http://nbs-zoh-2.jimdo.com</t>
  </si>
  <si>
    <t>Новобасанська загальноосвітня школа І-ІІІ ступенів Бобровицької районної ради Чернігівської області</t>
  </si>
  <si>
    <t>вул. Щорса, 25</t>
  </si>
  <si>
    <t>(04632)39238</t>
  </si>
  <si>
    <t>http://shkolanovabasan.jimbo.com/</t>
  </si>
  <si>
    <t>Озерянська загальноосвітня школа І-ІІІ ступенів Бобровицької районної ради</t>
  </si>
  <si>
    <t>17430</t>
  </si>
  <si>
    <t>7420685201</t>
  </si>
  <si>
    <t>вул. Незалежності1, 1</t>
  </si>
  <si>
    <t>(04632)33708</t>
  </si>
  <si>
    <t>Новобиківська загальноосвітня школа І-ІІІ ступенів Бобровицької районної ради Чернігівської області</t>
  </si>
  <si>
    <t>17452</t>
  </si>
  <si>
    <t>7420685501</t>
  </si>
  <si>
    <t>Новий Биків</t>
  </si>
  <si>
    <t>(04632)36348</t>
  </si>
  <si>
    <t>Старобиківський навчально-виховний комплекс "загальноосвітній навчальний заклад I-ІІ ступенів - дошкільний навчальний заклад" Бобровицької районної ради Чернігівської області</t>
  </si>
  <si>
    <t>7420685503</t>
  </si>
  <si>
    <t>Старий Биків</t>
  </si>
  <si>
    <t>вул. Акімова, 74</t>
  </si>
  <si>
    <t>0935230277</t>
  </si>
  <si>
    <t>Пісківська загальноосвітня школа І-ІІІ ступенів імені Павла Григоровича Тичини</t>
  </si>
  <si>
    <t>17460</t>
  </si>
  <si>
    <t>7420685601</t>
  </si>
  <si>
    <t>вул. Незалежності, 74</t>
  </si>
  <si>
    <t>0463238630</t>
  </si>
  <si>
    <t>Петрівська загальноосвітня школа І - ІІ ступенів Бобровицької районної ради Чернігівської області</t>
  </si>
  <si>
    <t>17454</t>
  </si>
  <si>
    <t>7420686001</t>
  </si>
  <si>
    <t>(04632)35382</t>
  </si>
  <si>
    <t>Рудьківська загальноосвітня школа І-ІІІ ступенів Бобровицької районної ради</t>
  </si>
  <si>
    <t>17420</t>
  </si>
  <si>
    <t>7420686801</t>
  </si>
  <si>
    <t>Рудьківка</t>
  </si>
  <si>
    <t>(04632)38448</t>
  </si>
  <si>
    <t>Старобасанська загальноосвітня школа І - ІІІ ступенів Бобровицького району Чернігівської області</t>
  </si>
  <si>
    <t>17423</t>
  </si>
  <si>
    <t>7420687601</t>
  </si>
  <si>
    <t>Стара Басань</t>
  </si>
  <si>
    <t>вул. Миколи Зуба, 15</t>
  </si>
  <si>
    <t>(097)9699290</t>
  </si>
  <si>
    <t>Старобасанська загальноосвітня школа-інтернат І-ІІ ступенів Чернігівської обласної ради</t>
  </si>
  <si>
    <t>(04632)3-41-44, (04632)3-41-55, (04632)3-41-58</t>
  </si>
  <si>
    <t>05265737</t>
  </si>
  <si>
    <t>Сухинська загальноосвітня школа І ступеня Бобровицької районної ради Чернігівської області</t>
  </si>
  <si>
    <t>7420687850</t>
  </si>
  <si>
    <t>Сухиня</t>
  </si>
  <si>
    <t>(04632)38473</t>
  </si>
  <si>
    <t>Ярославська загальноосвітня школа І-ІІІ ступенів Бобровицької районної ради Чернігівської області</t>
  </si>
  <si>
    <t>7420688401</t>
  </si>
  <si>
    <t>вул. Леніна, 39</t>
  </si>
  <si>
    <t>(04632)38-5-65, (067)4223332</t>
  </si>
  <si>
    <t>Борзнянська загальноосвітня школа І ступеня № 3</t>
  </si>
  <si>
    <t>16400</t>
  </si>
  <si>
    <t>7420810100</t>
  </si>
  <si>
    <t>Борзна</t>
  </si>
  <si>
    <t>вул. Урицького, 48</t>
  </si>
  <si>
    <t>(04653)21302</t>
  </si>
  <si>
    <t>Борзнянська загальноосвітня школа І- ІІІ ступенів імені Христини Алчевської Борзнянської районної ради Чернігівської області</t>
  </si>
  <si>
    <t>21690</t>
  </si>
  <si>
    <t>http://borzna.ucoz.ru</t>
  </si>
  <si>
    <t>Гімназія імені Пантелеймона Куліша м. Борзни Борзнянської районної ради Чернігівської області</t>
  </si>
  <si>
    <t>04653-21616, 04653-21454</t>
  </si>
  <si>
    <t>http://borzna-gimnazy.at.ua/</t>
  </si>
  <si>
    <t>КЗ "Борзнянська спеціалізована школа - інтернат І-ІІІст. з поглибленим вивченням окремих предметів та курсів"</t>
  </si>
  <si>
    <t>вул. Красносільського, 3</t>
  </si>
  <si>
    <t>(04653)21481</t>
  </si>
  <si>
    <t>05265826</t>
  </si>
  <si>
    <t>Кинашівська загальноосвітня школа І-ІІІ ступенів Борзнянської районної ради Чернігівської області</t>
  </si>
  <si>
    <t>16406</t>
  </si>
  <si>
    <t>7420810103</t>
  </si>
  <si>
    <t>Кинашівка</t>
  </si>
  <si>
    <t>вул. Комарова, 1Б</t>
  </si>
  <si>
    <t>(04653)23456</t>
  </si>
  <si>
    <t>Берестовецька загальноосвітня школа І-ІІІ ступенів Борзнянської районної ради Чернігівської області</t>
  </si>
  <si>
    <t>16440</t>
  </si>
  <si>
    <t>7420880401</t>
  </si>
  <si>
    <t>вул. Червоний Шлях, 31</t>
  </si>
  <si>
    <t>(26320392)(04653)28640</t>
  </si>
  <si>
    <t>Великодочинська загальноосвітня школа І ступеня Борзнянської районної ради Чернігівської області</t>
  </si>
  <si>
    <t>16434</t>
  </si>
  <si>
    <t>7420880601</t>
  </si>
  <si>
    <t>Велика Доч</t>
  </si>
  <si>
    <t>(0(253))24440</t>
  </si>
  <si>
    <t>Великозагорівська загальноосвітня школа І-ІІІ ступенів Борзнянської районної ради Чернігівської області</t>
  </si>
  <si>
    <t>16450</t>
  </si>
  <si>
    <t>7420880801</t>
  </si>
  <si>
    <t>Велика Загорівка</t>
  </si>
  <si>
    <t>(04653)24323</t>
  </si>
  <si>
    <t>Височанська загальноосвітня школа І-ІІІ ступенів Борзнянської районної ради Чернігівської області</t>
  </si>
  <si>
    <t>16412</t>
  </si>
  <si>
    <t>7420881201</t>
  </si>
  <si>
    <t>(04653)29630</t>
  </si>
  <si>
    <t>http://vysoke-zosh.edukit.cn.ua</t>
  </si>
  <si>
    <t>Галайбинська загальноосвітня школа І-ІІ ступенів Борзнянської районної ради Чернігівської області</t>
  </si>
  <si>
    <t>16411</t>
  </si>
  <si>
    <t>7420881202</t>
  </si>
  <si>
    <t>Галайбине</t>
  </si>
  <si>
    <t>вул. Щорса, 35</t>
  </si>
  <si>
    <t>(253)29-149</t>
  </si>
  <si>
    <t>Головеньківська загальноосвітня школа І - ІІІ ступенів Борзнянської районної ради Чернігівської області</t>
  </si>
  <si>
    <t>16413</t>
  </si>
  <si>
    <t>7420881601</t>
  </si>
  <si>
    <t>Головеньки</t>
  </si>
  <si>
    <t>вул. Квітнева, 2</t>
  </si>
  <si>
    <t>0465325740</t>
  </si>
  <si>
    <t>Комарівська загальноосвітня школа І-ІІІ ступенів Борзнянської районної ради Чернігівської області</t>
  </si>
  <si>
    <t>16442</t>
  </si>
  <si>
    <t>7420882001</t>
  </si>
  <si>
    <t>вул. Червоних партизан, 17</t>
  </si>
  <si>
    <t>(04653)25132</t>
  </si>
  <si>
    <t>http://komarivka_zoch.edukit.cn.ua</t>
  </si>
  <si>
    <t>Комарівська загальноосвітня школа-інтернат І-ІІ ступенів</t>
  </si>
  <si>
    <t>25160</t>
  </si>
  <si>
    <t>05265855</t>
  </si>
  <si>
    <t>Красносільська ЗОШ І-ІІІ ступенів Борзнянської районної ради Чернігівської області</t>
  </si>
  <si>
    <t>16443</t>
  </si>
  <si>
    <t>7420882401</t>
  </si>
  <si>
    <t>Красносільське</t>
  </si>
  <si>
    <t>вул. Миру, 50А</t>
  </si>
  <si>
    <t>(04653)2-63-14</t>
  </si>
  <si>
    <t>Малозагорівська загальноосвітня школа І - ІІ ступенів Борзнянської районної ради Чернігівської області</t>
  </si>
  <si>
    <t>16451</t>
  </si>
  <si>
    <t>7420882801</t>
  </si>
  <si>
    <t>Мала Загорівка</t>
  </si>
  <si>
    <t>вул. Садова, 63</t>
  </si>
  <si>
    <t>(04653)26248</t>
  </si>
  <si>
    <t>Миколаївська загальноосвітня школа І-ІІІ ступенів Борзнянської районної ради Чернігівської області</t>
  </si>
  <si>
    <t>16432</t>
  </si>
  <si>
    <t>7420883201</t>
  </si>
  <si>
    <t>(04653)26773</t>
  </si>
  <si>
    <t>Новомлинівська загальноосвітня школа І-ІІІ ступенів Борзнянської районної ради Чернігівської області</t>
  </si>
  <si>
    <t>16410</t>
  </si>
  <si>
    <t>7420883601</t>
  </si>
  <si>
    <t>Нові Млини</t>
  </si>
  <si>
    <t>вул. Ярцева, 60А</t>
  </si>
  <si>
    <t>0465324678</t>
  </si>
  <si>
    <t>http://nmlyny-zosh.edukit.cn.ua</t>
  </si>
  <si>
    <t>Носелівська загальноосвітня школа І-ІІІ ступенів Борзнянської районної ради Чернігівської області</t>
  </si>
  <si>
    <t>16415</t>
  </si>
  <si>
    <t>7420884001</t>
  </si>
  <si>
    <t>Носелівка</t>
  </si>
  <si>
    <t>04653-26137</t>
  </si>
  <si>
    <t>http://www.my-domenpog.okis.ru/</t>
  </si>
  <si>
    <t>Оленівська загальноосвітня школа І-ІІІ ступенів Борзнянської районної ради Чернігівської області</t>
  </si>
  <si>
    <t>16441</t>
  </si>
  <si>
    <t>7420884401</t>
  </si>
  <si>
    <t>(04653)27689</t>
  </si>
  <si>
    <t>Плисківська загальноосвітня школа І-ІІІ ступенів Борзнянської районної ради Чернігівської області</t>
  </si>
  <si>
    <t>16453</t>
  </si>
  <si>
    <t>7420886001</t>
  </si>
  <si>
    <t>Плиски</t>
  </si>
  <si>
    <t>27140</t>
  </si>
  <si>
    <t>http://plysky-school.edukit.cn.ua</t>
  </si>
  <si>
    <t>Прачівська середня загальноосвітня школа І-ІІІ ступенів Борзнянської районної ради Чернігівської області</t>
  </si>
  <si>
    <t>16426</t>
  </si>
  <si>
    <t>7420886401</t>
  </si>
  <si>
    <t>Прачі</t>
  </si>
  <si>
    <t>Прохорська загальноосвітня школа І-ІІІ ступенів Борзнянської районної ради Чернігівської області</t>
  </si>
  <si>
    <t>16445</t>
  </si>
  <si>
    <t>7420886801</t>
  </si>
  <si>
    <t>Прохори</t>
  </si>
  <si>
    <t>(04653)28240</t>
  </si>
  <si>
    <t>http://prohory-school.edukit.cn.ua/</t>
  </si>
  <si>
    <t>Сиволозька загальноосвітня школа І-ІІІ ступенів Борзнянської районної ради Чернігівської області</t>
  </si>
  <si>
    <t>16452</t>
  </si>
  <si>
    <t>7420887201</t>
  </si>
  <si>
    <t>Сиволож</t>
  </si>
  <si>
    <t>0465328549</t>
  </si>
  <si>
    <t>http://syvolozh-zosh.edukit.cn.ua/</t>
  </si>
  <si>
    <t>Степанівська загальноосвітня школа I-II ступенів Борзнянської районної ради Чернігівської області</t>
  </si>
  <si>
    <t>16421</t>
  </si>
  <si>
    <t>7420887601</t>
  </si>
  <si>
    <t>(04653)27466</t>
  </si>
  <si>
    <t>Ховмівська загальноосвітня школа І-ІІступенів Борзнянської районної ради Чернігівської області</t>
  </si>
  <si>
    <t>16422</t>
  </si>
  <si>
    <t>7420888401</t>
  </si>
  <si>
    <t>Ховми</t>
  </si>
  <si>
    <t>(04653)26553</t>
  </si>
  <si>
    <t>Сидорівська загальноосвітня школа І-ІІ ступенів Борзнянської районної ради Чернігівської області</t>
  </si>
  <si>
    <t>16423</t>
  </si>
  <si>
    <t>7420888404</t>
  </si>
  <si>
    <t>(04653)29840</t>
  </si>
  <si>
    <t>Хорошеозерська загальноосвітня школа І-ІІІ ступенів імені Героїв Крут Борзнянської районної ради Чернігівської області</t>
  </si>
  <si>
    <t>16460</t>
  </si>
  <si>
    <t>7420888801</t>
  </si>
  <si>
    <t>Хороше Озеро</t>
  </si>
  <si>
    <t>2-81-40</t>
  </si>
  <si>
    <t>http://horosheozero-school.edukit.cn.ua/</t>
  </si>
  <si>
    <t>Шаповалівська загальноосвітня школа І-ІІІ ступенів Борзнянської районної ради Чернігівської області</t>
  </si>
  <si>
    <t>16430</t>
  </si>
  <si>
    <t>7420889201</t>
  </si>
  <si>
    <t>(04653)27340</t>
  </si>
  <si>
    <t>http://www.shapovalivka-school.edukit.cn.ua</t>
  </si>
  <si>
    <t>Ядутинська загальноосвітня школа І-ІІІ ступенів Борзнянської районної держадміністрації Чернігівської області</t>
  </si>
  <si>
    <t>16424</t>
  </si>
  <si>
    <t>7420889601</t>
  </si>
  <si>
    <t>Ядути</t>
  </si>
  <si>
    <t>вул. Сіверська, 70</t>
  </si>
  <si>
    <t>(04653)27571</t>
  </si>
  <si>
    <t>Варвинська загальноосвітня школа Варвинської районної ради Чернігівської області</t>
  </si>
  <si>
    <t>17600</t>
  </si>
  <si>
    <t>7421155100</t>
  </si>
  <si>
    <t>Варва</t>
  </si>
  <si>
    <t>(04636)21859</t>
  </si>
  <si>
    <t>Варвинська районна гімназія Варвинської районної ради Чернігівської області</t>
  </si>
  <si>
    <t>(04636)22195, (04636)22384</t>
  </si>
  <si>
    <t>http://vrg.at.ua/</t>
  </si>
  <si>
    <t>Антонівська загальноосвітня школа І-ІІІ ступенів Варвинської районної ради Чернігівської області</t>
  </si>
  <si>
    <t>17621</t>
  </si>
  <si>
    <t>7421180401</t>
  </si>
  <si>
    <t>вул. Братів Гашків, 3</t>
  </si>
  <si>
    <t>(04636)25718</t>
  </si>
  <si>
    <t>Богданівська загальньоосвітня школа I ступеня Варвинської районної ради Чернігівської області</t>
  </si>
  <si>
    <t>17631</t>
  </si>
  <si>
    <t>7421180601</t>
  </si>
  <si>
    <t>вул. Шлях, 1</t>
  </si>
  <si>
    <t>(046)36-25-421</t>
  </si>
  <si>
    <t>Брагинцівська загальноосвітня школа І ступеня Варвинської районної ради</t>
  </si>
  <si>
    <t>17610</t>
  </si>
  <si>
    <t>7421180801</t>
  </si>
  <si>
    <t>Брагинці</t>
  </si>
  <si>
    <t>вул. Київська, 10</t>
  </si>
  <si>
    <t>Гнідинцівська загальноосвітня школа І-ІІІ ступенів Варвинської районної ради Чернігівської області</t>
  </si>
  <si>
    <t>17640</t>
  </si>
  <si>
    <t>7421181201</t>
  </si>
  <si>
    <t>Гнідинці</t>
  </si>
  <si>
    <t>(04636)24642</t>
  </si>
  <si>
    <t>Журавська загальноосвітня школа І-ІІІ ступенів імені Г.Ф.Вороного Варвинської районної ради Чернігівської області</t>
  </si>
  <si>
    <t>17620</t>
  </si>
  <si>
    <t>7421182001</t>
  </si>
  <si>
    <t>майдан Центральний, 2</t>
  </si>
  <si>
    <t>(046)3626331</t>
  </si>
  <si>
    <t>http://zhuravka-school.edukit.cn.ua.</t>
  </si>
  <si>
    <t>Кухарська загальноосвітня школа I ступеня Варвинської районної ради Чернігівської області</t>
  </si>
  <si>
    <t>17642</t>
  </si>
  <si>
    <t>7421182601</t>
  </si>
  <si>
    <t>Кухарка</t>
  </si>
  <si>
    <t>(20955)25142</t>
  </si>
  <si>
    <t>Леляківська загальноосвітня школа І ступеня</t>
  </si>
  <si>
    <t>17603</t>
  </si>
  <si>
    <t>7421182801</t>
  </si>
  <si>
    <t>Леляки</t>
  </si>
  <si>
    <t>вул. Удайська, 51</t>
  </si>
  <si>
    <t>(04636)24902</t>
  </si>
  <si>
    <t>Мармизівська загальноосвітня школа І ступеня Варвинської районної ради Чернігівської області</t>
  </si>
  <si>
    <t>17611</t>
  </si>
  <si>
    <t>7421183001</t>
  </si>
  <si>
    <t>Мармизівка</t>
  </si>
  <si>
    <t>вул. Васюка, 15</t>
  </si>
  <si>
    <t>(04636)24647</t>
  </si>
  <si>
    <t>Озерянська загальноосвітня школа І-ІІІ ступенів Варвинської районної ради Чернігівської області</t>
  </si>
  <si>
    <t>17612</t>
  </si>
  <si>
    <t>7421183201</t>
  </si>
  <si>
    <t>вул. Українська, 69</t>
  </si>
  <si>
    <t>(04636)24318</t>
  </si>
  <si>
    <t>Остапівська загальноосвітня школа I-II ст.Чернігівської області,Варвинського району</t>
  </si>
  <si>
    <t>17641</t>
  </si>
  <si>
    <t>7421183601</t>
  </si>
  <si>
    <t>вул. Шевченка, №8</t>
  </si>
  <si>
    <t>(095)5317265</t>
  </si>
  <si>
    <t>Світличненська загальноосвітня школа І-ІІ ступенів Варвинської районної ради Чернігівської області</t>
  </si>
  <si>
    <t>17630</t>
  </si>
  <si>
    <t>7421184001</t>
  </si>
  <si>
    <t>Світличне</t>
  </si>
  <si>
    <t>(04636)24146</t>
  </si>
  <si>
    <t>Городнянська загальноосвітня школа І ступеня</t>
  </si>
  <si>
    <t>15100</t>
  </si>
  <si>
    <t>7421410100</t>
  </si>
  <si>
    <t>Городня</t>
  </si>
  <si>
    <t>вул. Чернігівська, 29</t>
  </si>
  <si>
    <t>(04645)21305</t>
  </si>
  <si>
    <t>Городнянська загальноосвітня школа І-ІІІ ступенів № 2 Городнянської районної ради Чернігівської області</t>
  </si>
  <si>
    <t>(04645)2-12-41, (04645)2-13-63</t>
  </si>
  <si>
    <t>http://gorodnia-zosh2.cn.sch.in.ua</t>
  </si>
  <si>
    <t>Комунальний заклад " Городнянська спеціалізована школа-інтернат І-ІІІ ступенів з поглибленим вивченням окремих предметів та курсів" Чернігівської обласної ради</t>
  </si>
  <si>
    <t>вул. імені Петра Пиниці, 21</t>
  </si>
  <si>
    <t>(04645)2-11-59</t>
  </si>
  <si>
    <t>05266369</t>
  </si>
  <si>
    <t>Городнянська районна гімназія Городнянської районної ради Чернігівської області</t>
  </si>
  <si>
    <t>(04645)21558</t>
  </si>
  <si>
    <t>Городнянський навчально-реабілітаційний центр Чернігівської обласної ради Чернігівської області</t>
  </si>
  <si>
    <t>вул. Чумака, 14</t>
  </si>
  <si>
    <t>(04645)21306</t>
  </si>
  <si>
    <t>05266168</t>
  </si>
  <si>
    <t>Автуницька загальноосвітня школа І-ІІ ступенів Городнянської районної ради Чернігівської області</t>
  </si>
  <si>
    <t>15124</t>
  </si>
  <si>
    <t>7421480402</t>
  </si>
  <si>
    <t>Автуничі</t>
  </si>
  <si>
    <t>вул. Армійська, 40</t>
  </si>
  <si>
    <t>Бурівська загальноосвітня школа І-ІІ ступенів Городнянської районної ради Чернігівської області</t>
  </si>
  <si>
    <t>15143</t>
  </si>
  <si>
    <t>7421480801</t>
  </si>
  <si>
    <t>Бурівка</t>
  </si>
  <si>
    <t>(4645)35262</t>
  </si>
  <si>
    <t>Бутівська загальноосвітня школа І-ІІІ ступенів Городнянської районної ради Чернігівської області</t>
  </si>
  <si>
    <t>15135</t>
  </si>
  <si>
    <t>7421481201</t>
  </si>
  <si>
    <t>Бутівка</t>
  </si>
  <si>
    <t>(04645)37146</t>
  </si>
  <si>
    <t>Великолиственська загальноосвітня середня школа І-ІІІ ступенів</t>
  </si>
  <si>
    <t>15160</t>
  </si>
  <si>
    <t>7421482001</t>
  </si>
  <si>
    <t>Великий Листвен</t>
  </si>
  <si>
    <t>вул. Щорса, 6</t>
  </si>
  <si>
    <t>(04645)33124</t>
  </si>
  <si>
    <t>Вихвостівська загальноосвітня школа І-ІІст. Городнянської районної ради Чернігівська області</t>
  </si>
  <si>
    <t>15151</t>
  </si>
  <si>
    <t>7421482801</t>
  </si>
  <si>
    <t>Вихвостів</t>
  </si>
  <si>
    <t>вул. Покровська, 88</t>
  </si>
  <si>
    <t>(097)0808754</t>
  </si>
  <si>
    <t>Деревинська загальноосвітня школа І-ІІІ ступенів Городнянської районної ради Чернігівської області</t>
  </si>
  <si>
    <t>15110</t>
  </si>
  <si>
    <t>7421483601</t>
  </si>
  <si>
    <t>Деревини</t>
  </si>
  <si>
    <t>вул. Миру, 147</t>
  </si>
  <si>
    <t>(04645)38571</t>
  </si>
  <si>
    <t>Дроздовицька загальноосвітня школа I-II ступенів Городнянської районої ради Чернігівської області</t>
  </si>
  <si>
    <t>15132</t>
  </si>
  <si>
    <t>7421484001</t>
  </si>
  <si>
    <t>Дроздовиця</t>
  </si>
  <si>
    <t>(096)1695537</t>
  </si>
  <si>
    <t>Івашківська ЗОШ І-ІІІ ступенів</t>
  </si>
  <si>
    <t>15152</t>
  </si>
  <si>
    <t>7421484401</t>
  </si>
  <si>
    <t>(068)5834850</t>
  </si>
  <si>
    <t>Ільмівська загальноосвітня школа І-ІІ ступенів</t>
  </si>
  <si>
    <t>15113</t>
  </si>
  <si>
    <t>7421484801</t>
  </si>
  <si>
    <t>Ільмівка</t>
  </si>
  <si>
    <t>36622</t>
  </si>
  <si>
    <t>Куликівська загальноосвітня школа І-ІІ ступенів</t>
  </si>
  <si>
    <t>15153</t>
  </si>
  <si>
    <t>7421485401</t>
  </si>
  <si>
    <t>Лемешівська ЗОШ І-ІІІ ступенів Городнянського району, Чернігівської області</t>
  </si>
  <si>
    <t>15121</t>
  </si>
  <si>
    <t>7421485601</t>
  </si>
  <si>
    <t>вул. Попудренко, 45</t>
  </si>
  <si>
    <t>(04645)38625</t>
  </si>
  <si>
    <t>Макишинська ЗОШ І ступеня</t>
  </si>
  <si>
    <t>15172</t>
  </si>
  <si>
    <t>7421486001</t>
  </si>
  <si>
    <t>Макишин</t>
  </si>
  <si>
    <t>вул. І.І. ШВЕЦОВА, 53</t>
  </si>
  <si>
    <t>3-68-17</t>
  </si>
  <si>
    <t>Невклянська загальноосвітня школа 1 ступеня Городнянської районної ради Чернігівської області</t>
  </si>
  <si>
    <t>15141</t>
  </si>
  <si>
    <t>7421486407</t>
  </si>
  <si>
    <t>Невкля</t>
  </si>
  <si>
    <t>(096)8587009</t>
  </si>
  <si>
    <t>Мощенська загальньоосвітня школа I-III ступенів Городнянської районної ради Чернігівської області</t>
  </si>
  <si>
    <t>15125</t>
  </si>
  <si>
    <t>7421486801</t>
  </si>
  <si>
    <t>Мощенка</t>
  </si>
  <si>
    <t>вул. Цимбаліста, 32</t>
  </si>
  <si>
    <t>(245)36425</t>
  </si>
  <si>
    <t>Переписька загальноосвітня школа І-ІІІ ступенів Городнянської районної ради Чернігівської області</t>
  </si>
  <si>
    <t>15111</t>
  </si>
  <si>
    <t>7421487201</t>
  </si>
  <si>
    <t>Перепис</t>
  </si>
  <si>
    <t>0986077033</t>
  </si>
  <si>
    <t>Смичинська загальноосвітня школа І - ІІІ ступенів</t>
  </si>
  <si>
    <t>15163</t>
  </si>
  <si>
    <t>7421487601</t>
  </si>
  <si>
    <t>Смичин</t>
  </si>
  <si>
    <t>вул. Чернігівська, 20</t>
  </si>
  <si>
    <t>(245)37360</t>
  </si>
  <si>
    <t>Тупичівська загальноосвітня школа І-ІІІ ступенів</t>
  </si>
  <si>
    <t>15150</t>
  </si>
  <si>
    <t>7421488401</t>
  </si>
  <si>
    <t>Тупичів</t>
  </si>
  <si>
    <t>вул. Чернігівська, 40</t>
  </si>
  <si>
    <t>(04645)35-469</t>
  </si>
  <si>
    <t>Хоробицька загальноосвітня школа І-ІІІ ступенів</t>
  </si>
  <si>
    <t>15122</t>
  </si>
  <si>
    <t>7421488801</t>
  </si>
  <si>
    <t>Хоробичі</t>
  </si>
  <si>
    <t>вул. Леніна, 55/б</t>
  </si>
  <si>
    <t>3-44-99</t>
  </si>
  <si>
    <t>Ічнянська гімназія імені Васильченка Ічнянської районної ради Чернігівської області</t>
  </si>
  <si>
    <t>16703</t>
  </si>
  <si>
    <t>7421710100</t>
  </si>
  <si>
    <t>Ічня</t>
  </si>
  <si>
    <t>(04633)2-14-86</t>
  </si>
  <si>
    <t>Ічнянська загальноосвітння школа І-ІІІ ступенів № 1 Ічнянської районної ради Чернігівської області</t>
  </si>
  <si>
    <t>16700</t>
  </si>
  <si>
    <t>вул. Бунівка, 5</t>
  </si>
  <si>
    <t>Ічнянська загальноосвітня школа І-ІІІ ступенів № 4 Ічнянської районної ради Чернігівської області</t>
  </si>
  <si>
    <t>вул. Травнева, 45</t>
  </si>
  <si>
    <t>(04633)21401</t>
  </si>
  <si>
    <t>Ічнянська загальноосвітня школа І-ІІІ ступенів № 3 Ічнянської районної ради Чернігівської області</t>
  </si>
  <si>
    <t>вул. Комсомольська, 2</t>
  </si>
  <si>
    <t>(04633)21243</t>
  </si>
  <si>
    <t>Дружбинська загальноосвітня школа І-ІІІ ступенів Ічнянської районної ради Чернігівської області</t>
  </si>
  <si>
    <t>16702</t>
  </si>
  <si>
    <t>7421755300</t>
  </si>
  <si>
    <t>вул. Стадіонна, 5</t>
  </si>
  <si>
    <t>Парафіївська загальноосвітня школа І-ІІІ ступенів Парафіївської селищної ради</t>
  </si>
  <si>
    <t>16730</t>
  </si>
  <si>
    <t>7421755700</t>
  </si>
  <si>
    <t>Парафіївка</t>
  </si>
  <si>
    <t>(04633)24116</t>
  </si>
  <si>
    <t>Навчально виховний комплекс "Бакаївська загальноосвітня школа І - ІІ ступенів - дошкільний навчальний заклад" Ічнянської районної ради Чернігівської області</t>
  </si>
  <si>
    <t>16724</t>
  </si>
  <si>
    <t>7421780801</t>
  </si>
  <si>
    <t>Бакаївка</t>
  </si>
  <si>
    <t>вул. Петровського, 4</t>
  </si>
  <si>
    <t>(04633)26802</t>
  </si>
  <si>
    <t>Більмачівська загальноосвітня школа І-ІІІ ступенів Ічнянської районної ради Чернігівської області</t>
  </si>
  <si>
    <t>16712</t>
  </si>
  <si>
    <t>7421781001</t>
  </si>
  <si>
    <t>Більмачівка</t>
  </si>
  <si>
    <t>(04633)26725</t>
  </si>
  <si>
    <t>Бережівська загальноосвітня школа І-ІІІ ступенів Ічнянської районної ради Чернігівської області</t>
  </si>
  <si>
    <t>16740</t>
  </si>
  <si>
    <t>7421781201</t>
  </si>
  <si>
    <t>Бережівка</t>
  </si>
  <si>
    <t>(04633)28440</t>
  </si>
  <si>
    <t>Бурімська загальноосвітня школа І-ІІ ступенів Ічнянської районної ради Чернігівської області</t>
  </si>
  <si>
    <t>16706</t>
  </si>
  <si>
    <t>7421782001</t>
  </si>
  <si>
    <t>Бурімка</t>
  </si>
  <si>
    <t>(04633)2-61-41</t>
  </si>
  <si>
    <t>Гмирянська загальноосвітня школа І-ІІІ ступенів Ічнянської районної ради Чернігівської області</t>
  </si>
  <si>
    <t>16750</t>
  </si>
  <si>
    <t>7421782801</t>
  </si>
  <si>
    <t>Гмирянка</t>
  </si>
  <si>
    <t>(04633)26437</t>
  </si>
  <si>
    <t>http://gmyrianka-school.blogspot.com/</t>
  </si>
  <si>
    <t>Гужівська загальноосвітня школа І-ІІІ ступенів Ічнянської районної ради Чернігівської області</t>
  </si>
  <si>
    <t>16708</t>
  </si>
  <si>
    <t>7421783601</t>
  </si>
  <si>
    <t>Гужівка</t>
  </si>
  <si>
    <t>(04633)28134</t>
  </si>
  <si>
    <t>навчально-виховний комплекс "Дорогинська загальноосвітня школа І-ІІІ ступенів-дошкільний навчальний заклад"</t>
  </si>
  <si>
    <t>16721</t>
  </si>
  <si>
    <t>7421784001</t>
  </si>
  <si>
    <t>(04633)28740</t>
  </si>
  <si>
    <t>Заудайська загальноосвітня школа І ступеня Ічнянської районної ради Чернігівської області</t>
  </si>
  <si>
    <t>16725</t>
  </si>
  <si>
    <t>7421784401</t>
  </si>
  <si>
    <t>Заудайка</t>
  </si>
  <si>
    <t>(04633)2-85-40</t>
  </si>
  <si>
    <t>Івангородська загальноосвітня школа І-ІІІ ступенів Ічнянської районної ради Чернігівської області</t>
  </si>
  <si>
    <t>16710</t>
  </si>
  <si>
    <t>7421784801</t>
  </si>
  <si>
    <t>(04633)2-75-23</t>
  </si>
  <si>
    <t>Іваницька загальноосвітня школа І-ІІІ ступенів Парафіївської селищної ради</t>
  </si>
  <si>
    <t>16751</t>
  </si>
  <si>
    <t>7421785201</t>
  </si>
  <si>
    <t>(04633)23480</t>
  </si>
  <si>
    <t>Іржавецька загальноосвітня школа І-ІІІ ступенів Ічнянської районної ради Чернігівської області</t>
  </si>
  <si>
    <t>16732</t>
  </si>
  <si>
    <t>7421785601</t>
  </si>
  <si>
    <t>Іржавець</t>
  </si>
  <si>
    <t>(04633)27341</t>
  </si>
  <si>
    <t>Крупичпільська загальноосвітня школа І-ІІІ ступенів Ічнянської районної ради Чернігівської області</t>
  </si>
  <si>
    <t>16713</t>
  </si>
  <si>
    <t>7421786001</t>
  </si>
  <si>
    <t>Крупичполе</t>
  </si>
  <si>
    <t>вул. Червона площа, 2</t>
  </si>
  <si>
    <t>(04633)27257</t>
  </si>
  <si>
    <t>http://krupichpolsc.ucoz.ua/</t>
  </si>
  <si>
    <t>Монастирищенська загальноосвітня школа І-ІІІ ступенів Ічнянської районної ради Чернігівської області</t>
  </si>
  <si>
    <t>16726</t>
  </si>
  <si>
    <t>7421786801</t>
  </si>
  <si>
    <t>ал. вулиця Леніна, 13</t>
  </si>
  <si>
    <t>(04633)28835</t>
  </si>
  <si>
    <t>Ольшанська загальноосвітня школа І-ІІІ ступенів Ічнянської районної ради Чернігівської області</t>
  </si>
  <si>
    <t>16763</t>
  </si>
  <si>
    <t>7421787201</t>
  </si>
  <si>
    <t>Ольшана</t>
  </si>
  <si>
    <t>вул. Революції 1905 року, 51</t>
  </si>
  <si>
    <t>(04633)27640</t>
  </si>
  <si>
    <t>Припутнівська загальноосвітня школа I - II ступенів Ічнянської районної ради Чернігівської області</t>
  </si>
  <si>
    <t>16720</t>
  </si>
  <si>
    <t>7421787601</t>
  </si>
  <si>
    <t>Припутні</t>
  </si>
  <si>
    <t>(3804633)2-71-19</t>
  </si>
  <si>
    <t>Рожнівська загальноосвітня школа І-ІІІступенів Ічнянської районної ради Чернігівської області</t>
  </si>
  <si>
    <t>16714</t>
  </si>
  <si>
    <t>7421788001</t>
  </si>
  <si>
    <t>Рожнівка</t>
  </si>
  <si>
    <t>(04633)26510</t>
  </si>
  <si>
    <t>Тростянецька загальноосвітня школа І-ІІІ ступенів Ічнянської районної ради Чернігівської області</t>
  </si>
  <si>
    <t>16742</t>
  </si>
  <si>
    <t>7421788501</t>
  </si>
  <si>
    <t>(04633)24767</t>
  </si>
  <si>
    <t>http://school16742.klasna.com</t>
  </si>
  <si>
    <t>Южненська загальноосвітня школа І-ІІІ ступенів Парафіївської селищної ради</t>
  </si>
  <si>
    <t>16731</t>
  </si>
  <si>
    <t>7421789201</t>
  </si>
  <si>
    <t>(04633)28334</t>
  </si>
  <si>
    <t>Опорний заклад -Остерська гімназія Остерської міської ради Чернігівської області</t>
  </si>
  <si>
    <t>17044</t>
  </si>
  <si>
    <t>7422010400</t>
  </si>
  <si>
    <t>Остер</t>
  </si>
  <si>
    <t>вул. Зайцева, 94</t>
  </si>
  <si>
    <t>(046)463-14-36, (046)463-24-11</t>
  </si>
  <si>
    <t>http://ostergms.wix.com/oster-gymnasium</t>
  </si>
  <si>
    <t>Остерська загальноосвітня школа І-ІІІ ступенів ім. Ю. Збанацького Остерської міської ради Чернігівської області</t>
  </si>
  <si>
    <t>(04646)31211, (04646)31025</t>
  </si>
  <si>
    <t>Козелецька гімназія № 1 Козелецької районної ради Чернігівської області</t>
  </si>
  <si>
    <t>17000</t>
  </si>
  <si>
    <t>7422055100</t>
  </si>
  <si>
    <t>Козелець</t>
  </si>
  <si>
    <t>вул. Івана Франка, 36/1</t>
  </si>
  <si>
    <t>(04646)21547</t>
  </si>
  <si>
    <t>http://kozgimn.wix.com/kozgimn</t>
  </si>
  <si>
    <t>Козелецька загальноосвітня школа І - ІІІ ступенів № 2 Козелецької районної ради Чернігівської області</t>
  </si>
  <si>
    <t>(04646)2-14-16, (04646)4-12-94</t>
  </si>
  <si>
    <t>http://kozelets-schol2.edukit.cn.ua</t>
  </si>
  <si>
    <t>Козелецька загальноосвітня школа І-ІІІ ступенів № 3 Козелецької районної ради Чернігівської області</t>
  </si>
  <si>
    <t>вул. Свято-Преображенська, 32А</t>
  </si>
  <si>
    <t>(04646)21550</t>
  </si>
  <si>
    <t>http://school3kozelets.ucoz.ru/</t>
  </si>
  <si>
    <t>Деснянський навчально-виховний комплекс "Гімназія - загальноосвітня школа І ступеня" Деснянської селищної ради Чернігівської області</t>
  </si>
  <si>
    <t>17024</t>
  </si>
  <si>
    <t>7422055400</t>
  </si>
  <si>
    <t>вул. Довженка, 34</t>
  </si>
  <si>
    <t>(04646)47067</t>
  </si>
  <si>
    <t>Білейківська загальноосвітня школа І - ІІІ ступенів Козелецької районної ради Чернігівської області</t>
  </si>
  <si>
    <t>17004</t>
  </si>
  <si>
    <t>7422080601</t>
  </si>
  <si>
    <t>Білейки</t>
  </si>
  <si>
    <t>(04646)36530</t>
  </si>
  <si>
    <t>Бобруйківська філія І-ІІ ступенів Козелецької гімназії № 1 Козелецької районної ради Чернігівської області</t>
  </si>
  <si>
    <t>17070</t>
  </si>
  <si>
    <t>7422081001</t>
  </si>
  <si>
    <t>Бобруйки</t>
  </si>
  <si>
    <t>вул. Чкалова, 39</t>
  </si>
  <si>
    <t>(04646)44066</t>
  </si>
  <si>
    <t>Булахівська загальноосвітня школа І-ІІІ ступенів Козелецької районної ради Чернігівської області</t>
  </si>
  <si>
    <t>7422081801</t>
  </si>
  <si>
    <t>Булахів</t>
  </si>
  <si>
    <t>вул. Ватутіна, 36</t>
  </si>
  <si>
    <t>(04646)34731</t>
  </si>
  <si>
    <t>Данівська загальноосвітня школа І-ІІІ ступенів Козелецької районної ради Чернігівської області</t>
  </si>
  <si>
    <t>17080</t>
  </si>
  <si>
    <t>7422082401</t>
  </si>
  <si>
    <t>Данівка</t>
  </si>
  <si>
    <t>вул. Леніна, 118</t>
  </si>
  <si>
    <t>(04646)36717</t>
  </si>
  <si>
    <t>Євминська загальноосвітня школа І-ІІІступенів Козелецької районної ради Чернігівської області</t>
  </si>
  <si>
    <t>17071</t>
  </si>
  <si>
    <t>7422082701</t>
  </si>
  <si>
    <t>Євминка</t>
  </si>
  <si>
    <t>(04646)3-56-22</t>
  </si>
  <si>
    <t>Карпилівська загальноосвітня школа І-ІІІ ступенів Козелецької районної ради Чернігівської області</t>
  </si>
  <si>
    <t>17023</t>
  </si>
  <si>
    <t>7422083001</t>
  </si>
  <si>
    <t>(04646)35140</t>
  </si>
  <si>
    <t>Косачівська загальноосвітня школа І-ІІІ ступенів Деснянської селищної ради Чернігівської області</t>
  </si>
  <si>
    <t>17010</t>
  </si>
  <si>
    <t>7422083901</t>
  </si>
  <si>
    <t>Косачівка</t>
  </si>
  <si>
    <t>Тужарська загальноосвітня школа І - ІІ ступенів Деснянської селищної ради Чернігівської області с. Тужар вулиця Шевченка, 48</t>
  </si>
  <si>
    <t>17011</t>
  </si>
  <si>
    <t>7422083905</t>
  </si>
  <si>
    <t>Тужар</t>
  </si>
  <si>
    <t>(04646)39245</t>
  </si>
  <si>
    <t>Красилівська філія І-ІІ ступенів Козелецької середньої загальноосвітньої школи І-ІІІ ступенів № 3 Козелецької районної ради Чернігівської області</t>
  </si>
  <si>
    <t>17031</t>
  </si>
  <si>
    <t>7422084201</t>
  </si>
  <si>
    <t>вул. Миколи Никоненка, 20</t>
  </si>
  <si>
    <t>(04646)37743</t>
  </si>
  <si>
    <t>http://krasschool.ucoz.ua</t>
  </si>
  <si>
    <t>Крехаївська загальноосвітня школа І-ІІступенів Козелецького району, Чернігівської області</t>
  </si>
  <si>
    <t>17073</t>
  </si>
  <si>
    <t>7422084501</t>
  </si>
  <si>
    <t>Крехаїв</t>
  </si>
  <si>
    <t>(04646)3-4857</t>
  </si>
  <si>
    <t>Хрещатенська загальноосвітня школа І-ІІІ ступенів Козелецької районної ради Чернігівської області</t>
  </si>
  <si>
    <t>17034</t>
  </si>
  <si>
    <t>7422084701</t>
  </si>
  <si>
    <t>Хрещате</t>
  </si>
  <si>
    <t>(04646)3-76-59</t>
  </si>
  <si>
    <t>Лемешівська ЗОШ І-ІІІ ступенів козелецької районної ради чернігівської області</t>
  </si>
  <si>
    <t>17052</t>
  </si>
  <si>
    <t>7422085001</t>
  </si>
  <si>
    <t>Лемеші</t>
  </si>
  <si>
    <t>вул. Розумовських, 2</t>
  </si>
  <si>
    <t>(04646)37128</t>
  </si>
  <si>
    <t>Лихолітська філія І - ІІ ступенів Козелецької середньої загальноосвітньої школи І - ІІІ ступенів № 3 Козелецької районної ради Чернігівської області</t>
  </si>
  <si>
    <t>17003</t>
  </si>
  <si>
    <t>7422085101</t>
  </si>
  <si>
    <t>Лихолітки</t>
  </si>
  <si>
    <t>(04646)3-72-46</t>
  </si>
  <si>
    <t>Морівська загальноосвітня школа І - ІІІ ступенів Деснянської селищної ради Чернігівської області</t>
  </si>
  <si>
    <t>17021</t>
  </si>
  <si>
    <t>7422085601</t>
  </si>
  <si>
    <t>Морівськ</t>
  </si>
  <si>
    <t>вул. Петра Хонича, 29</t>
  </si>
  <si>
    <t>(04646)39316</t>
  </si>
  <si>
    <t>Новошляхівська загальноосвітня школа І-ІІІ ступенів Кіптівської сільської ради Чернігівської області</t>
  </si>
  <si>
    <t>17037</t>
  </si>
  <si>
    <t>7422086350</t>
  </si>
  <si>
    <t>Новий Шлях</t>
  </si>
  <si>
    <t>(04646)35449, (04646)35490</t>
  </si>
  <si>
    <t>http://novyi-shliah.edukit.cn.ua/</t>
  </si>
  <si>
    <t>Патютинська загальоосвітня школа І-ІІІ ступенів Козелецької районної ради Чернігівської області</t>
  </si>
  <si>
    <t>17051</t>
  </si>
  <si>
    <t>7422087701</t>
  </si>
  <si>
    <t>Патюти</t>
  </si>
  <si>
    <t>вул. Матриненка, 24</t>
  </si>
  <si>
    <t>(04646)38230</t>
  </si>
  <si>
    <t>Петрівська загальноосвітня школа І-ІІІ ступенів Козелецької районної ради Чернігівської області</t>
  </si>
  <si>
    <t>17085</t>
  </si>
  <si>
    <t>7422088001</t>
  </si>
  <si>
    <t>(04646)36419</t>
  </si>
  <si>
    <t>Підлісненська загальноосвітня школа І-ІІІ ступенів Кіптівської сільської ради Чернігівської області</t>
  </si>
  <si>
    <t>17033</t>
  </si>
  <si>
    <t>7422088401</t>
  </si>
  <si>
    <t>(04646)3-75-37</t>
  </si>
  <si>
    <t>Прогресівська загальноосвітня школа І-ІІІ ступенів Кіптівської сільської ради Чернігівської області</t>
  </si>
  <si>
    <t>17035</t>
  </si>
  <si>
    <t>7422088501</t>
  </si>
  <si>
    <t>Прогрес</t>
  </si>
  <si>
    <t>вул. Гедройця, 7</t>
  </si>
  <si>
    <t>http://www.progres-school.edukit.cn.ua</t>
  </si>
  <si>
    <t>Стависька загальноосвітня школа І-ІІІ ступенів Козелецької районної ради Чернігівської області</t>
  </si>
  <si>
    <t>17053</t>
  </si>
  <si>
    <t>7422089101</t>
  </si>
  <si>
    <t>Ставиське</t>
  </si>
  <si>
    <t>(04646)38337</t>
  </si>
  <si>
    <t>Сираївська загальноосвітня школа І-ІІІ ступенів Козелецької районної ради Чернігівської області</t>
  </si>
  <si>
    <t>17081</t>
  </si>
  <si>
    <t>7422089301</t>
  </si>
  <si>
    <t>Сираї</t>
  </si>
  <si>
    <t>(04646)38522</t>
  </si>
  <si>
    <t>Чемерська загальноосвітня школа І -ІІІ ступенів Козелецької районної ради</t>
  </si>
  <si>
    <t>17036</t>
  </si>
  <si>
    <t>7422089801</t>
  </si>
  <si>
    <t>Чемер</t>
  </si>
  <si>
    <t>вул. Столярова, 6</t>
  </si>
  <si>
    <t>(04646)3-53-43</t>
  </si>
  <si>
    <t>Коропська загальноосвітня школа І-ІІІст. ім. Т.Г. Шевченка Коропської селищної ради Чернігівської області</t>
  </si>
  <si>
    <t>16200</t>
  </si>
  <si>
    <t>7422255100</t>
  </si>
  <si>
    <t>Короп</t>
  </si>
  <si>
    <t>(04656)21559, (04656)21187</t>
  </si>
  <si>
    <t>Понорницька загальноосвітня школа I-III ступенів Коропської районної ради Чернігівської області</t>
  </si>
  <si>
    <t>16220</t>
  </si>
  <si>
    <t>7422255500</t>
  </si>
  <si>
    <t>Понорниця</t>
  </si>
  <si>
    <t>вул. Московська, 22</t>
  </si>
  <si>
    <t>0465631248</t>
  </si>
  <si>
    <t>Атюшівська загальноосвітня школа І-ІІІ ступенів імені Станіслава Ковтуна, Коропської селищної ради, Чернігівської області</t>
  </si>
  <si>
    <t>16261</t>
  </si>
  <si>
    <t>7422280501</t>
  </si>
  <si>
    <t>Атюша</t>
  </si>
  <si>
    <t>вул. Захисників Вітчизни, 38</t>
  </si>
  <si>
    <t>(046-56)2-35-71</t>
  </si>
  <si>
    <t>Вербівська загальноосвітня школа І-ІІІ ступенів Коропської районної ради Чернігівської області</t>
  </si>
  <si>
    <t>16222</t>
  </si>
  <si>
    <t>7422281001</t>
  </si>
  <si>
    <t>вул. Шевченка, 128</t>
  </si>
  <si>
    <t>(04656)3-71-47</t>
  </si>
  <si>
    <t>Черешенська загальноосвітня школа-інтернат І-ІІІ ступенів</t>
  </si>
  <si>
    <t>16231</t>
  </si>
  <si>
    <t>7422281503</t>
  </si>
  <si>
    <t>Черешеньки</t>
  </si>
  <si>
    <t>(04656)2-53-75</t>
  </si>
  <si>
    <t>05266205</t>
  </si>
  <si>
    <t>Рождественська загальноосвітня школа І - ІІІ ступенів Коропської селищної ради Чернігівської області</t>
  </si>
  <si>
    <t>16260</t>
  </si>
  <si>
    <t>7422282501</t>
  </si>
  <si>
    <t>Рождественське</t>
  </si>
  <si>
    <t>(04656)24275</t>
  </si>
  <si>
    <t>http://jovtneve.at.ua</t>
  </si>
  <si>
    <t>Карильська загальноосвітня школа І-ІІІ ступенів Коропської селищної ради Чернігівської області</t>
  </si>
  <si>
    <t>16251</t>
  </si>
  <si>
    <t>7422283001</t>
  </si>
  <si>
    <t>Карильське</t>
  </si>
  <si>
    <t>(04656)24319</t>
  </si>
  <si>
    <t>http://karilske.webnode.ru</t>
  </si>
  <si>
    <t>Крисківська загальноосвітня школа І-ІІІ ступенів, Коропської районної ради, Чернігівської області</t>
  </si>
  <si>
    <t>16213</t>
  </si>
  <si>
    <t>7422284001</t>
  </si>
  <si>
    <t>Криски</t>
  </si>
  <si>
    <t>(04656)34125</t>
  </si>
  <si>
    <t>http://kriski-shkola.at.ua</t>
  </si>
  <si>
    <t>Іваньківська ЗОШ І-ІІ ст.Коропського району Чернігівської області</t>
  </si>
  <si>
    <t>16214</t>
  </si>
  <si>
    <t>7422284003</t>
  </si>
  <si>
    <t>Іваньків</t>
  </si>
  <si>
    <t>Лукнівська загальноосвітня школа І-ІІІ ступенів Коропської селищної ради Коропського району Чернігівської області</t>
  </si>
  <si>
    <t>16233</t>
  </si>
  <si>
    <t>7422284301</t>
  </si>
  <si>
    <t>Лукнів</t>
  </si>
  <si>
    <t>вул. Миру, 39</t>
  </si>
  <si>
    <t>(04656)25616</t>
  </si>
  <si>
    <t>Нехаївська загальноосвітня школа І-ІІІ ступенів Коропської селищної ради Чернігівської області</t>
  </si>
  <si>
    <t>16243</t>
  </si>
  <si>
    <t>7422285001</t>
  </si>
  <si>
    <t>Нехаївка</t>
  </si>
  <si>
    <t>(04656)2-85-24</t>
  </si>
  <si>
    <t>Оболонська загальноосвітня школа I-III ступенів Коропської селищної ради Чернігівської області</t>
  </si>
  <si>
    <t>16223</t>
  </si>
  <si>
    <t>7422285501</t>
  </si>
  <si>
    <t>вул. Зудихіна, 1</t>
  </si>
  <si>
    <t>(04656)25244</t>
  </si>
  <si>
    <t>Покошицька загальноосвітня школа І-ІІІ ступенів Коропської районної ради Чернігівської області</t>
  </si>
  <si>
    <t>16211</t>
  </si>
  <si>
    <t>7422286001</t>
  </si>
  <si>
    <t>Покошичі</t>
  </si>
  <si>
    <t>вул. Миру, 57А</t>
  </si>
  <si>
    <t>(04656)3-96-38</t>
  </si>
  <si>
    <t>Радичівська загальноосвітня школа І-ІІІ ступенів Коропської районної ради Чернігівської області</t>
  </si>
  <si>
    <t>16215</t>
  </si>
  <si>
    <t>7422287001</t>
  </si>
  <si>
    <t>Радичів</t>
  </si>
  <si>
    <t>вул. Корди, 1</t>
  </si>
  <si>
    <t>(04656)36223</t>
  </si>
  <si>
    <t>Риботинський навчально-виховний комплекс "загальноосвітня школа І-ІІІ ступенів - дошкільний навчальний заклад" Коропської селищної ради Чернігівської області</t>
  </si>
  <si>
    <t>16240</t>
  </si>
  <si>
    <t>7422288201</t>
  </si>
  <si>
    <t>Риботин</t>
  </si>
  <si>
    <t>вул. Зої Космодемянської, 22 А</t>
  </si>
  <si>
    <t>(04656)24574</t>
  </si>
  <si>
    <t>http://www.rybotin-nvk.ho.ua</t>
  </si>
  <si>
    <t>Деснянська загальноосвітня ЗОШ І-ІІІ ст. Коропської районної ради Чернігівської області</t>
  </si>
  <si>
    <t>16212</t>
  </si>
  <si>
    <t>7422288601</t>
  </si>
  <si>
    <t>Деснянське</t>
  </si>
  <si>
    <t>вул. Деснянська,, 64 А</t>
  </si>
  <si>
    <t>(04556)3-57-49</t>
  </si>
  <si>
    <t>Шабалинівська загальноосвітнія школа І-ІІІ ступенів Коропської селищної ради Чернігіської області</t>
  </si>
  <si>
    <t>16242</t>
  </si>
  <si>
    <t>7422289501</t>
  </si>
  <si>
    <t>Шабалинів</t>
  </si>
  <si>
    <t>(04656)23175</t>
  </si>
  <si>
    <t>http://shabalyniv.do.am</t>
  </si>
  <si>
    <t>Корюківська гімназія Корюківської міської ради Чернігівської області</t>
  </si>
  <si>
    <t>15300</t>
  </si>
  <si>
    <t>7422410100</t>
  </si>
  <si>
    <t>Корюківка</t>
  </si>
  <si>
    <t>б-р Бульварна, 5</t>
  </si>
  <si>
    <t>(04657)2-13-23, (04657)2-27-25</t>
  </si>
  <si>
    <t>http://kor-gimn.at.ua/</t>
  </si>
  <si>
    <t>Корюківська загальноосвітня школа І ст. № 2 Корюківської міської ради Чернігівської області</t>
  </si>
  <si>
    <t>(04657)2-12-48</t>
  </si>
  <si>
    <t>Корюківська загальноосвітня школа І ст. № 3 Корюківської міської ради</t>
  </si>
  <si>
    <t>вул. Дудко, 66</t>
  </si>
  <si>
    <t>(04657)22670</t>
  </si>
  <si>
    <t>Корюківська загальноосвітня школа І-ІІІ ступенів № 1 Корюківської міської ради Чернігівської області</t>
  </si>
  <si>
    <t>(4657)21193</t>
  </si>
  <si>
    <t>Корюківська загальноосвітня школа І-ІІІ ступенів № 4 Корюківської міської ради Чернігівської області</t>
  </si>
  <si>
    <t>вул. Шевченка, 116А</t>
  </si>
  <si>
    <t>(04657)2-26-34</t>
  </si>
  <si>
    <t>Холминська загальноосвітня школа І-ІІІ ступенів Корюківської районної ради Чернігівської області</t>
  </si>
  <si>
    <t>15331</t>
  </si>
  <si>
    <t>7422455400</t>
  </si>
  <si>
    <t>Холми</t>
  </si>
  <si>
    <t>(04657)2-33-33</t>
  </si>
  <si>
    <t>Олександрівська загальноосвітня школа І-ІІІ ст. Корюківської районної ради Чернігівської області</t>
  </si>
  <si>
    <t>15352</t>
  </si>
  <si>
    <t>7422480501</t>
  </si>
  <si>
    <t>(04657)2-64-86</t>
  </si>
  <si>
    <t>Білошицькослобідська загальноосвітня школа І-ІІ ступенів Корюківської районної ради Чернігівської області</t>
  </si>
  <si>
    <t>15320</t>
  </si>
  <si>
    <t>7422481001</t>
  </si>
  <si>
    <t>Білошицька Слобода</t>
  </si>
  <si>
    <t>(04657)27121</t>
  </si>
  <si>
    <t>Жуклянська загальноосвітня школа І-ІІ ступенів Корюківської районної ради Чернігівської області</t>
  </si>
  <si>
    <t>15334</t>
  </si>
  <si>
    <t>7422483001</t>
  </si>
  <si>
    <t>Жукля</t>
  </si>
  <si>
    <t>вул. Центральна, 23Б</t>
  </si>
  <si>
    <t>2-54-31</t>
  </si>
  <si>
    <t>Забарівська загальносвітня школа І-ІІ ступенів Корюківської міської ради,Чернігівської області</t>
  </si>
  <si>
    <t>15342</t>
  </si>
  <si>
    <t>7422483501</t>
  </si>
  <si>
    <t>Забарівка</t>
  </si>
  <si>
    <t>вул. Гагаріна, 35</t>
  </si>
  <si>
    <t>(04657)26345</t>
  </si>
  <si>
    <t>Козилівська загальноосвітня школа І-ІІІ ступенів Корюківської районної ради Чернігівської області</t>
  </si>
  <si>
    <t>15332</t>
  </si>
  <si>
    <t>7422484501</t>
  </si>
  <si>
    <t>Козилівка</t>
  </si>
  <si>
    <t>вул. Євсюкова, 6</t>
  </si>
  <si>
    <t>2-57-92</t>
  </si>
  <si>
    <t>Наумівська загальноосвітня школа І-ІІІ ступенів Корюківської міської ради Чернігівської області</t>
  </si>
  <si>
    <t>15314</t>
  </si>
  <si>
    <t>7422485501</t>
  </si>
  <si>
    <t>вул. Ф.Стрільця, 1</t>
  </si>
  <si>
    <t>(04657)24440</t>
  </si>
  <si>
    <t>Охрамієвицька загальноосвітня школа І - ІІ ступенів Корюківської районної ради Чернігівської області</t>
  </si>
  <si>
    <t>15313</t>
  </si>
  <si>
    <t>7422486001</t>
  </si>
  <si>
    <t>Охрамієвичі</t>
  </si>
  <si>
    <t>(04657)2-75-36</t>
  </si>
  <si>
    <t>Перелюбська загальноосвітня школа І-ІІІ ступенів Корюківської районної ради Чернігівської області</t>
  </si>
  <si>
    <t>15312</t>
  </si>
  <si>
    <t>7422486501</t>
  </si>
  <si>
    <t>Перелюб</t>
  </si>
  <si>
    <t>(157)24149, (157)24123</t>
  </si>
  <si>
    <t>Прибинська загальноосвітня школа І-ІІ ступенів Корюківської районної ради Чернігівської області</t>
  </si>
  <si>
    <t>15311</t>
  </si>
  <si>
    <t>7422487001</t>
  </si>
  <si>
    <t>Прибинь</t>
  </si>
  <si>
    <t>(04657)24122</t>
  </si>
  <si>
    <t>Рибинська загальноосвітня школа I-IІ ступенів Корюківської районної ради Чернігівської області</t>
  </si>
  <si>
    <t>15321</t>
  </si>
  <si>
    <t>7422487901</t>
  </si>
  <si>
    <t>Рибинськ</t>
  </si>
  <si>
    <t>вул. Зелена, 35</t>
  </si>
  <si>
    <t>(04657)25271</t>
  </si>
  <si>
    <t>Савинківська загальноосвітня школа І-ІІІ ступенів Корюківської районної ради Чернігівської області</t>
  </si>
  <si>
    <t>15360</t>
  </si>
  <si>
    <t>7422488301</t>
  </si>
  <si>
    <t>Савинки</t>
  </si>
  <si>
    <t>(04657)26610</t>
  </si>
  <si>
    <t>Сядринська загальноосвітня школа І-ІІІ ступенів Корюківської міської ради Чернігівської області</t>
  </si>
  <si>
    <t>15323</t>
  </si>
  <si>
    <t>7422488701</t>
  </si>
  <si>
    <t>Сядрине</t>
  </si>
  <si>
    <t>вул. Генерала Білого, 79</t>
  </si>
  <si>
    <t>(04657)2-73-92</t>
  </si>
  <si>
    <t>Куликівська загальноосвітня школа І-ІІІ ступенів Куликівської районної ради Чернігівської області</t>
  </si>
  <si>
    <t>16300</t>
  </si>
  <si>
    <t>7422755100</t>
  </si>
  <si>
    <t>(04643)21208, (04643)21291</t>
  </si>
  <si>
    <t>http://kulykivka.at.ua</t>
  </si>
  <si>
    <t>Вересоцька загальноосвітня школа І-ІІІ ступенів Куликівської районної ради Чернігівської області</t>
  </si>
  <si>
    <t>16341</t>
  </si>
  <si>
    <t>7422781001</t>
  </si>
  <si>
    <t>Вересоч</t>
  </si>
  <si>
    <t>(04643)25132</t>
  </si>
  <si>
    <t>http://veresoch.at.ua</t>
  </si>
  <si>
    <t>Виблівська загальноосвітня школа І-ІІ ступенів Куликівської районної ради Чернігівської оьласті</t>
  </si>
  <si>
    <t>16310</t>
  </si>
  <si>
    <t>7422782001</t>
  </si>
  <si>
    <t>Виблі</t>
  </si>
  <si>
    <t>вул. Троїцька, 79</t>
  </si>
  <si>
    <t>(04643)2-33-21</t>
  </si>
  <si>
    <t>http://vibschool.at.ua</t>
  </si>
  <si>
    <t>Горбівська загальноосвітня школа І - ІІІ ступенів Куликівського району Чернігівської області</t>
  </si>
  <si>
    <t>16311</t>
  </si>
  <si>
    <t>7422782501</t>
  </si>
  <si>
    <t>(4643)2-34-69</t>
  </si>
  <si>
    <t>Дрімайлівська загальноосвітня школа І-ІІ ступенів Куликівської районної ради</t>
  </si>
  <si>
    <t>16352</t>
  </si>
  <si>
    <t>7422783501</t>
  </si>
  <si>
    <t>Дрімайлівка</t>
  </si>
  <si>
    <t>вул. імені С.С.Парубця, 1</t>
  </si>
  <si>
    <t>(04643)27647</t>
  </si>
  <si>
    <t>http://dreamschool.at.ua</t>
  </si>
  <si>
    <t>Дроздівська загальноосвітня школа І - ІІ ступенів Куликівської районної ради Чернігівської області</t>
  </si>
  <si>
    <t>16331</t>
  </si>
  <si>
    <t>7422784001</t>
  </si>
  <si>
    <t>Дроздівка</t>
  </si>
  <si>
    <t>2 - 87 - 86</t>
  </si>
  <si>
    <t>Жуківська загальноосвітня школа І-ІІ ступенів Куликівської районної ради Чернігівської області</t>
  </si>
  <si>
    <t>7422784501</t>
  </si>
  <si>
    <t>вул. Центральна, 84А</t>
  </si>
  <si>
    <t>(04643)27541</t>
  </si>
  <si>
    <t>http://zhukivkschool.ucoz.ua</t>
  </si>
  <si>
    <t>Кладьківська загальноосвітня школа І ступеня Куликівської районної ради Чернігівської області</t>
  </si>
  <si>
    <t>16351</t>
  </si>
  <si>
    <t>7422785001</t>
  </si>
  <si>
    <t>Кладьківка</t>
  </si>
  <si>
    <t>(04643)24221</t>
  </si>
  <si>
    <t>Ковчинська загальноосвітня школа І-ІІІ ступенів імені Л. П. Деполович Куликівської районної ради Чернігівської області</t>
  </si>
  <si>
    <t>16320</t>
  </si>
  <si>
    <t>7422785501</t>
  </si>
  <si>
    <t>Ковчин</t>
  </si>
  <si>
    <t>04326238</t>
  </si>
  <si>
    <t>Орлівська загальноосвітня школа I-III ступенів Куликівської районної ради Чернігівської області</t>
  </si>
  <si>
    <t>16332</t>
  </si>
  <si>
    <t>7422786001</t>
  </si>
  <si>
    <t>(04643)23214</t>
  </si>
  <si>
    <t>http://orlivkaschool.ucoz.net</t>
  </si>
  <si>
    <t>Салтиково - Дівицька загальноосвітня школа І - ІІІ ступенів Куликівської районної ради, Чернігівської області</t>
  </si>
  <si>
    <t>16322</t>
  </si>
  <si>
    <t>7422786501</t>
  </si>
  <si>
    <t>Салтикова Дівиця</t>
  </si>
  <si>
    <t>(04643)27236</t>
  </si>
  <si>
    <t>Менська загальноосвітня школа І-ІІІ ступенів Менської районної ради Чернігівської області</t>
  </si>
  <si>
    <t>15600</t>
  </si>
  <si>
    <t>7423010100</t>
  </si>
  <si>
    <t>Мена</t>
  </si>
  <si>
    <t>вул. Чернігівський шлях, 11</t>
  </si>
  <si>
    <t>(04644)2-12-75, (04644)2-19-06</t>
  </si>
  <si>
    <t>Менська районна гімназія Менської районної ради Чернігівської області</t>
  </si>
  <si>
    <t>(04644)2-18-09</t>
  </si>
  <si>
    <t>Березнянська загальноосвітня школа І-ІІ ступенів</t>
  </si>
  <si>
    <t>15622</t>
  </si>
  <si>
    <t>7423055300</t>
  </si>
  <si>
    <t>вул. Петропавлівська, 41</t>
  </si>
  <si>
    <t>(04644)25170</t>
  </si>
  <si>
    <t>Березнянська ЗОШ І - ІІІ ступенів Менської районної ради Чернігівської області</t>
  </si>
  <si>
    <t>вул. Домницька, 18</t>
  </si>
  <si>
    <t>(04644)25193, (04644)25251</t>
  </si>
  <si>
    <t>Комунальний заклад "Березнянський навчально-реабілітаційний центр" Чернігівської обласної ради</t>
  </si>
  <si>
    <t>вул. Свято-Покровська, 2</t>
  </si>
  <si>
    <t>(04644)25150</t>
  </si>
  <si>
    <t>05265832</t>
  </si>
  <si>
    <t>Макошинська загальноосвітня школа І-ІІІ ступенів Менської районної ради Чернігівської області</t>
  </si>
  <si>
    <t>15652</t>
  </si>
  <si>
    <t>7423055700</t>
  </si>
  <si>
    <t>Макошине</t>
  </si>
  <si>
    <t>(04644)41181</t>
  </si>
  <si>
    <t>Блистівська загальноосвітня школа І-ІІІ ступенів Менської районної ради Чернігівської області</t>
  </si>
  <si>
    <t>15675</t>
  </si>
  <si>
    <t>7423081001</t>
  </si>
  <si>
    <t>Блистова</t>
  </si>
  <si>
    <t>(04644)44749</t>
  </si>
  <si>
    <t>Бірківська загальноосвітня школа І-ІІступенів Менської районної ради Чернігівської області</t>
  </si>
  <si>
    <t>15674</t>
  </si>
  <si>
    <t>7423081501</t>
  </si>
  <si>
    <t>Бірківка</t>
  </si>
  <si>
    <t>(04644)43382</t>
  </si>
  <si>
    <t>Величківська загальноосвітня школа I-II счтупенів Менської районної ради Чернігівської області</t>
  </si>
  <si>
    <t>15641</t>
  </si>
  <si>
    <t>7423081801</t>
  </si>
  <si>
    <t>Величківка</t>
  </si>
  <si>
    <t>Волосківська загальноосвітня школа І-ІІ ступенів Менської районної ради Чернігівської області</t>
  </si>
  <si>
    <t>15632</t>
  </si>
  <si>
    <t>7423082001</t>
  </si>
  <si>
    <t>(04644)43240</t>
  </si>
  <si>
    <t>Городищенська загальноосвітня школа І-ІІ ступенів Менської районної ради Чернігівської області</t>
  </si>
  <si>
    <t>15631</t>
  </si>
  <si>
    <t>7423082501</t>
  </si>
  <si>
    <t>(04644)48221</t>
  </si>
  <si>
    <t>http://mr-gorzosh.ucoz.ua</t>
  </si>
  <si>
    <t>Данилівська загальноосвітня школа І-ІІ ступеня Менської районної ради Чернігівської області</t>
  </si>
  <si>
    <t>15643</t>
  </si>
  <si>
    <t>7423083001</t>
  </si>
  <si>
    <t>Дягівська загальноосвітня школа І - ІІІ ступенів</t>
  </si>
  <si>
    <t>15760</t>
  </si>
  <si>
    <t>7423083501</t>
  </si>
  <si>
    <t>Дягова</t>
  </si>
  <si>
    <t>4-37-40</t>
  </si>
  <si>
    <t>Покровська загальноосвітня школа І-ІІІ ступенів Менської районної ради Чернігівської області</t>
  </si>
  <si>
    <t>15650</t>
  </si>
  <si>
    <t>7423084001</t>
  </si>
  <si>
    <t>вул. Сіверська, 46</t>
  </si>
  <si>
    <t>(04644)43590</t>
  </si>
  <si>
    <t>Киселівська загальноосвітня школа І-ІІІ ступенів Менської районної ради Чернігівської області</t>
  </si>
  <si>
    <t>15640</t>
  </si>
  <si>
    <t>7423084501</t>
  </si>
  <si>
    <t>(04644)43075</t>
  </si>
  <si>
    <t>Куковицька загальноосвітня школа І-ІІІ ступенів Менської районної ради Чернігівської області</t>
  </si>
  <si>
    <t>15655</t>
  </si>
  <si>
    <t>7423085001</t>
  </si>
  <si>
    <t>Куковичі</t>
  </si>
  <si>
    <t>(04644)4-44-42</t>
  </si>
  <si>
    <t>Сахнівська загальноосвітня школа I-III ступенів Менської районної ради Чернігівської області</t>
  </si>
  <si>
    <t>15620</t>
  </si>
  <si>
    <t>7423085501</t>
  </si>
  <si>
    <t>ал. Червона площа, 4</t>
  </si>
  <si>
    <t>(04644)46240</t>
  </si>
  <si>
    <t>Лісківська загальноосвітня школа І - ІІ ступенів Менської районної ради Чернігівської області</t>
  </si>
  <si>
    <t>15672</t>
  </si>
  <si>
    <t>7423085901</t>
  </si>
  <si>
    <t>(04644)44685</t>
  </si>
  <si>
    <t>http://liskschool.ucoz.ua/</t>
  </si>
  <si>
    <t>Локнистенська ЗОШ I-III ступенів Менської районної ради Чернігівської області</t>
  </si>
  <si>
    <t>15660</t>
  </si>
  <si>
    <t>7423086301</t>
  </si>
  <si>
    <t>Локнисте</t>
  </si>
  <si>
    <t>вул. Перемоги, 2А</t>
  </si>
  <si>
    <t>(046444)46121</t>
  </si>
  <si>
    <t>Миколаївська загальноосвітня школа І - ІІІ ступенів Менської районної ради Чернігівської областьі</t>
  </si>
  <si>
    <t>15663</t>
  </si>
  <si>
    <t>7423086701</t>
  </si>
  <si>
    <t>(04644)46727</t>
  </si>
  <si>
    <t>Семенівська загальноосвітня школа І-ІІ ступенів, Менської районної ради Чернігівської області</t>
  </si>
  <si>
    <t>15662</t>
  </si>
  <si>
    <t>7423087601</t>
  </si>
  <si>
    <t>(44)4-43-40</t>
  </si>
  <si>
    <t>Синявська загальноосвітня школа І-ІІІ ступенів Менської районної ради Чернігівської області</t>
  </si>
  <si>
    <t>15630</t>
  </si>
  <si>
    <t>7423088001</t>
  </si>
  <si>
    <t>Синявка</t>
  </si>
  <si>
    <t>(04644)4-36-48</t>
  </si>
  <si>
    <t>Стольненська загальноосвітня школа І-ІІІ ступенів</t>
  </si>
  <si>
    <t>15661</t>
  </si>
  <si>
    <t>7423088501</t>
  </si>
  <si>
    <t>Стольне</t>
  </si>
  <si>
    <t>(04644)45440</t>
  </si>
  <si>
    <t>Феськівська загальноосвітня школа І-ІІ ступенів Менської районної ради Чернігівської області</t>
  </si>
  <si>
    <t>15671</t>
  </si>
  <si>
    <t>7423089501</t>
  </si>
  <si>
    <t>Феськівка</t>
  </si>
  <si>
    <t>вул. Леніна, 14</t>
  </si>
  <si>
    <t>(04644)41775</t>
  </si>
  <si>
    <t>Лосинівська загальноосвітня школа І - ІІІ ступенів Лосинівської селищної ради Ніжинського району Чернігівської області</t>
  </si>
  <si>
    <t>16663</t>
  </si>
  <si>
    <t>7423355400</t>
  </si>
  <si>
    <t>Лосинівка</t>
  </si>
  <si>
    <t>вул. Богословська, 4</t>
  </si>
  <si>
    <t>(04631)61452</t>
  </si>
  <si>
    <t>Лосинівська загальноосвітня школа І ступеня Лосинівської селищної ради Ніжинського району Чернігівської області</t>
  </si>
  <si>
    <t>вул. Троїцька, 94</t>
  </si>
  <si>
    <t>(04631)61528</t>
  </si>
  <si>
    <t>Безуглівський навчально-виховний комплекс "загальноосвітній навчальний заклад-дошкільний навчальний заклад" І-ІІІ ступенів Ніжинської районної ради Чернігівської області</t>
  </si>
  <si>
    <t>16652</t>
  </si>
  <si>
    <t>7423380401</t>
  </si>
  <si>
    <t>вул. Горького, 58 А</t>
  </si>
  <si>
    <t>(65)7-32</t>
  </si>
  <si>
    <t>http://bezuglivka-school.edukit.cn.ua</t>
  </si>
  <si>
    <t>Великодорізький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</si>
  <si>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>16661</t>
  </si>
  <si>
    <t>7423381201</t>
  </si>
  <si>
    <t>Велика Дорога</t>
  </si>
  <si>
    <t>вул. Почекінська, 138А</t>
  </si>
  <si>
    <t>(04631)64469</t>
  </si>
  <si>
    <t>http://veldoroga-zosh.edukit.cn.ua</t>
  </si>
  <si>
    <t>Великокошелівська загальноосвітня школа І-ІІІ ступенів Ніжинської районної ради Чернігівської області</t>
  </si>
  <si>
    <t>16621</t>
  </si>
  <si>
    <t>7423381701</t>
  </si>
  <si>
    <t>Велика Кошелівка</t>
  </si>
  <si>
    <t>(04631)67532</t>
  </si>
  <si>
    <t>Вертіївська загальноосвітня школа І-ІІІ ступенів імені М.П.Кирпоноса Вертіївської сільської ради Ніжинського району Чернігівської області</t>
  </si>
  <si>
    <t>16624</t>
  </si>
  <si>
    <t>7423381901</t>
  </si>
  <si>
    <t>Вертіївка</t>
  </si>
  <si>
    <t>(04631)68138</t>
  </si>
  <si>
    <t>Галицька загальноосвітня школа І - ІІІ ступенів Ніжинської районної ради Чернігівської області</t>
  </si>
  <si>
    <t>16671</t>
  </si>
  <si>
    <t>7423382801</t>
  </si>
  <si>
    <t>Галиця</t>
  </si>
  <si>
    <t>(04631)67316</t>
  </si>
  <si>
    <t>Ніжинська загальноосвітня школа І-ІІ ступенів Ніжинської районної ради Чернігівської області</t>
  </si>
  <si>
    <t>16633</t>
  </si>
  <si>
    <t>7423383201</t>
  </si>
  <si>
    <t>Ніжинське</t>
  </si>
  <si>
    <t>вул. Свободи, 86</t>
  </si>
  <si>
    <t>(04631)65515</t>
  </si>
  <si>
    <t>Кропивнянський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</si>
  <si>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>7423383202</t>
  </si>
  <si>
    <t>(04631)65-5-51</t>
  </si>
  <si>
    <t>Данинський навчально-виховний комплекс "загальноосвітній навчальний заклад-дошкільний навчальний заклад" І-ІІІ ступенів Ніжинської районної ради Чернігівської області</t>
  </si>
  <si>
    <t>16660</t>
  </si>
  <si>
    <t>7423383601</t>
  </si>
  <si>
    <t>Данина</t>
  </si>
  <si>
    <t>(04631)63-7-17</t>
  </si>
  <si>
    <t>http://danine.at.ua</t>
  </si>
  <si>
    <t>Колісниківська загальноосвітня школа І-ІІ ступенів Ніжинської районної ради Чернігівської області</t>
  </si>
  <si>
    <t>16632</t>
  </si>
  <si>
    <t>7423384801</t>
  </si>
  <si>
    <t>Колісники</t>
  </si>
  <si>
    <t>(04631)66424</t>
  </si>
  <si>
    <t>Крутівська загальноосвітня школа І-ІІІ ступенів Ніжинської районної ради Чернігівської області</t>
  </si>
  <si>
    <t>16645</t>
  </si>
  <si>
    <t>7423385201</t>
  </si>
  <si>
    <t>Крути</t>
  </si>
  <si>
    <t>вул. Незалежності, 45</t>
  </si>
  <si>
    <t>(04631)69310</t>
  </si>
  <si>
    <t>http://kruty-school.ukoz.ua</t>
  </si>
  <si>
    <t>Кукшинська загальноосвітня школа І - ІІІ ступенів Ніжинської районної ради Чернігвської області</t>
  </si>
  <si>
    <t>16631</t>
  </si>
  <si>
    <t>7423385601</t>
  </si>
  <si>
    <t>Кукшин</t>
  </si>
  <si>
    <t>вул. Власенків, 3</t>
  </si>
  <si>
    <t>(04631)67210</t>
  </si>
  <si>
    <t>Кунашівський навчально-виховний комплекс "загальноосвітній навчальний заклад - дошкільний навчальний заклад" І-ІІ ступенів Ніжинської районної ради Чернігівської області</t>
  </si>
  <si>
    <t>16646</t>
  </si>
  <si>
    <t>7423385901</t>
  </si>
  <si>
    <t>Кунашівка</t>
  </si>
  <si>
    <t>(04631)66619</t>
  </si>
  <si>
    <t>Липоворізький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</si>
  <si>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>16643</t>
  </si>
  <si>
    <t>7423386301</t>
  </si>
  <si>
    <t>Липів Ріг</t>
  </si>
  <si>
    <t>вул. Жовтнева, 2В</t>
  </si>
  <si>
    <t>(04631)66121</t>
  </si>
  <si>
    <t>http://lypivrig-zosh.edukit.cn.ua</t>
  </si>
  <si>
    <t>Перебудівська загальноосвітня школа І-ІІ ступенів Ніжинської районної ради Чернігівської області</t>
  </si>
  <si>
    <t>16650</t>
  </si>
  <si>
    <t>7423387101</t>
  </si>
  <si>
    <t>Перебудова</t>
  </si>
  <si>
    <t>вул. Ніжинська, 10</t>
  </si>
  <si>
    <t>(04631)66628</t>
  </si>
  <si>
    <t>Перемозький навчально-виховний копплекс " загальноосвітній навчальний заклад- дошкільний навчальний заклад" І-ІІІ ступенів Ніжинської районної ради Чернігівської області</t>
  </si>
  <si>
    <t>16665</t>
  </si>
  <si>
    <t>7423387401</t>
  </si>
  <si>
    <t>(04631)63530</t>
  </si>
  <si>
    <t>Сальненський навчально-виховний комплес " загальноосвітній навчальний заклад - дошкільний навчальний заклад" І-ІІІ ступенів Лосинівської селищної ради Ніжинського району Чернігівської області</t>
  </si>
  <si>
    <t>16673</t>
  </si>
  <si>
    <t>7423388101</t>
  </si>
  <si>
    <t>Сальне</t>
  </si>
  <si>
    <t>(04631)63231</t>
  </si>
  <si>
    <t>Світанківський навчально-виховний комплекс "загальноосвітній навчальний заклад - дошкільний навчальний заклад" І-ІІІ ступенів Ніжинської районної ради Чернігівської області</t>
  </si>
  <si>
    <t>16672</t>
  </si>
  <si>
    <t>7423388301</t>
  </si>
  <si>
    <t>(04631)64822</t>
  </si>
  <si>
    <t>Талалаївська загальноосвітня школа І-ІІІ ступенів Ніжинської районної ради Чернігівської області</t>
  </si>
  <si>
    <t>16651</t>
  </si>
  <si>
    <t>7423388901</t>
  </si>
  <si>
    <t>Талалаївка</t>
  </si>
  <si>
    <t>(04631)65236</t>
  </si>
  <si>
    <t>http://talalaivka-nizh-school.edukit.cn.ua</t>
  </si>
  <si>
    <t>Черняхівський навчально-виховний комплекс "загальноосвітній навчальний заклад - дошкільний навчальний заклад" І-ІІІ ступенів Ніжинської районної ради Чернігівської області</t>
  </si>
  <si>
    <t>16640</t>
  </si>
  <si>
    <t>7423389501</t>
  </si>
  <si>
    <t>(04631)66-347</t>
  </si>
  <si>
    <t>http://chernyahivka.ucoz.ua</t>
  </si>
  <si>
    <t>Шатурський навчально-виховний комплекс "загальноосвітній навчальний заклад-дошкільний навчальний заклад" І-ІІ ступенів Лосинівської селищної ради Ніжинського району Чернігівської області</t>
  </si>
  <si>
    <t>16662</t>
  </si>
  <si>
    <t>7423389801</t>
  </si>
  <si>
    <t>Шатура</t>
  </si>
  <si>
    <t>вул. Дерезенка, 35</t>
  </si>
  <si>
    <t>(04631)63719</t>
  </si>
  <si>
    <t>http://shatura-nvk.edukit.cn.ua/</t>
  </si>
  <si>
    <t>Биринський навчально-виховний комплекс "загальноосвітня школа I-III ступенів дошкільний навчальний заклад" Новгород-Сіверської районної ради Чернігівської області</t>
  </si>
  <si>
    <t>16034</t>
  </si>
  <si>
    <t>7423680801</t>
  </si>
  <si>
    <t>Бирине</t>
  </si>
  <si>
    <t>вул. Слободська, 2</t>
  </si>
  <si>
    <t>0667376299</t>
  </si>
  <si>
    <t>Блистівський навчально-виховний комплекс Новгород-Сіверської районної ради Чернігівської області</t>
  </si>
  <si>
    <t>16071</t>
  </si>
  <si>
    <t>7423681201</t>
  </si>
  <si>
    <t>(04658)36519</t>
  </si>
  <si>
    <t>http://blystova-nvk.jimdo.com/</t>
  </si>
  <si>
    <t>Лосківська загальноосвітня школа І-ІІ ступенів Новгород-Сіверської районної ради Чернігівської області</t>
  </si>
  <si>
    <t>7423681202</t>
  </si>
  <si>
    <t>Лоска</t>
  </si>
  <si>
    <t>Будо-Вороб’ївський навчально-виховний комплекс Новгород-Сіверської районної ради Чернігівської області</t>
  </si>
  <si>
    <t>16012</t>
  </si>
  <si>
    <t>7423681601</t>
  </si>
  <si>
    <t>Будо-Вороб'ївська</t>
  </si>
  <si>
    <t>(32324138)0465838449</t>
  </si>
  <si>
    <t>Вороб"ївський навчально-виховний комплекс "загальноосвітня школа І-ІІІ ступенів-дошкільний навчальний заклад" Новгород - Сіверської районної ради Чернігівської області</t>
  </si>
  <si>
    <t>16013</t>
  </si>
  <si>
    <t>7423682401</t>
  </si>
  <si>
    <t>Вороб'ївка</t>
  </si>
  <si>
    <t>вул. І.В.Буяльського, 2</t>
  </si>
  <si>
    <t>(04658)3-52-47</t>
  </si>
  <si>
    <t>Грем'яцька загальноосвітня школа І-ІІІ ступенів Новгород-Сіверської районної ради Чернігівської області</t>
  </si>
  <si>
    <t>16020</t>
  </si>
  <si>
    <t>7423683201</t>
  </si>
  <si>
    <t>Грем'яч</t>
  </si>
  <si>
    <t>вул. Миру, 131</t>
  </si>
  <si>
    <t>(04658)37148</t>
  </si>
  <si>
    <t>Дігтярівський навчально-виховний комплекс Новгород-Сіверської районної ради Чернігівської області</t>
  </si>
  <si>
    <t>16080</t>
  </si>
  <si>
    <t>7423683601</t>
  </si>
  <si>
    <t>Дігтярівка</t>
  </si>
  <si>
    <t>вул. Покровська, 67</t>
  </si>
  <si>
    <t>(258)3-57-74</t>
  </si>
  <si>
    <t>Кам'янсько-Слобідська загальноосвітня школа І ступеня Новгород-Сіверської районної ради Чернігівської області</t>
  </si>
  <si>
    <t>16021</t>
  </si>
  <si>
    <t>7423684001</t>
  </si>
  <si>
    <t>Кам'янська Слобода</t>
  </si>
  <si>
    <t>(04658)38616</t>
  </si>
  <si>
    <t>Стахорщинська загальноосвітня школа І-ІІступенів Новгород-Сіверської районної ради Чернігівської області</t>
  </si>
  <si>
    <t>16093</t>
  </si>
  <si>
    <t>7423684303</t>
  </si>
  <si>
    <t>Стахорщина</t>
  </si>
  <si>
    <t>вул. Селянська, 64</t>
  </si>
  <si>
    <t>(04658)38836</t>
  </si>
  <si>
    <t>Лісконогівська загальноосвітня школа І-ІІ ступенів Новгород-Сіверської районної ради Чернігівської області</t>
  </si>
  <si>
    <t>16031</t>
  </si>
  <si>
    <t>7423686201</t>
  </si>
  <si>
    <t>Лісконоги</t>
  </si>
  <si>
    <t>вул. Деснянська, 53</t>
  </si>
  <si>
    <t>(04658)36747</t>
  </si>
  <si>
    <t>http://Liskonogs.jimdo.com</t>
  </si>
  <si>
    <t>Мамекинська загальноосвітня школа І ступеня Новгород-Сіверської районної ради Чернігівської області</t>
  </si>
  <si>
    <t>16032</t>
  </si>
  <si>
    <t>7423686601</t>
  </si>
  <si>
    <t>Мамекине</t>
  </si>
  <si>
    <t>ал. Центральна, 65</t>
  </si>
  <si>
    <t>(04658)35323</t>
  </si>
  <si>
    <t>Студинський навчально-виховний комплекс "загальноосвітня школа І - ІІ ступенів - дошкільний заклад" Новгород-Сіверської районної ради Чернігівської області</t>
  </si>
  <si>
    <t>16082</t>
  </si>
  <si>
    <t>7423687402</t>
  </si>
  <si>
    <t>Студинка</t>
  </si>
  <si>
    <t>вул. 1 Травня, 62А</t>
  </si>
  <si>
    <t>Орлівський навчально-виховний комплекс: загальноосвітня школа І-ІІІ ступенів - дошкільний навчальний заклад "Бджілка" Новгород-Сіверської районної ради Чернігівської області</t>
  </si>
  <si>
    <t>16070</t>
  </si>
  <si>
    <t>7423687801</t>
  </si>
  <si>
    <t>вул. Шкільний, 5</t>
  </si>
  <si>
    <t>(046)35548, (046)35549</t>
  </si>
  <si>
    <t>http://Orlivka-nvk.ukoz.ru</t>
  </si>
  <si>
    <t>Печенюгівський навчально-виховний комплекс Новгород-Сіверської районної ради Чернігівської області</t>
  </si>
  <si>
    <t>16040</t>
  </si>
  <si>
    <t>7423688101</t>
  </si>
  <si>
    <t>Печенюги</t>
  </si>
  <si>
    <t>(04658)39347</t>
  </si>
  <si>
    <t>http://pechenugi.klasna.com</t>
  </si>
  <si>
    <t>Смяцька загальноосвітня школа І-ІІІ ступенів Новгород-Сіверської районної ради Чернігівської області</t>
  </si>
  <si>
    <t>16030</t>
  </si>
  <si>
    <t>7423688901</t>
  </si>
  <si>
    <t>Смяч</t>
  </si>
  <si>
    <t>вул. Дружби, 41</t>
  </si>
  <si>
    <t>(04658)38134</t>
  </si>
  <si>
    <t>Чайкинський навчально-виховний комплекс Новгород-Сіверської районної ради Чернігівської області</t>
  </si>
  <si>
    <t>16014</t>
  </si>
  <si>
    <t>7423689301</t>
  </si>
  <si>
    <t>Чайкине</t>
  </si>
  <si>
    <t>вул. Кучми, 41</t>
  </si>
  <si>
    <t>(04658)39117</t>
  </si>
  <si>
    <t>http://nvkchaykino.ucoz.ru</t>
  </si>
  <si>
    <t>Носівська загальноосвітня школа I-III ступенів № 2 Носівської міської ради Чернігівської області</t>
  </si>
  <si>
    <t>17101</t>
  </si>
  <si>
    <t>7423810100</t>
  </si>
  <si>
    <t>Носівка</t>
  </si>
  <si>
    <t>вул. Привітна, 1А</t>
  </si>
  <si>
    <t>(04642)31274</t>
  </si>
  <si>
    <t>Носівська загальноосвітня школа І-ІІІ ступенів № 1 Носівської міської ради Чернігівської області</t>
  </si>
  <si>
    <t>17100</t>
  </si>
  <si>
    <t>(04642)2-10-30</t>
  </si>
  <si>
    <t>Носівська загальноосвітня школа І-ІІІ ступенів № 4 Носівської міської ради Чернігівської області</t>
  </si>
  <si>
    <t>вул. Богдана Хмельницького, 29</t>
  </si>
  <si>
    <t>(04642)31284</t>
  </si>
  <si>
    <t>Носівська міська гімназія Носівської міської ради Чернігівської області</t>
  </si>
  <si>
    <t>(04642)2-12-91</t>
  </si>
  <si>
    <t>Носівський навчально-виховний комплекс "Загальноосвітній навчальний заклад - дошкільний навчальний заклад" І-ІІІ ступенів № 3 Носівської міської ради Чернігівської області</t>
  </si>
  <si>
    <t>17102</t>
  </si>
  <si>
    <t>вул. Козацька, 41</t>
  </si>
  <si>
    <t>(04642)21244</t>
  </si>
  <si>
    <t>Держанівський навчально-виховний комплекс"Загальноосвітній навчальний заклад - дошкільний навчальний заклад" І-ІІІ ступенів</t>
  </si>
  <si>
    <t>17120</t>
  </si>
  <si>
    <t>7423881001</t>
  </si>
  <si>
    <t>Держанівка</t>
  </si>
  <si>
    <t>2-33-40</t>
  </si>
  <si>
    <t>Іржавецький навчально-виховний комплекс " Загальноосвітній навчальний заклад - дошкільний навчальний заклад " І-ІІ ступенів Носівської міської ради Чернігівської області</t>
  </si>
  <si>
    <t>17123</t>
  </si>
  <si>
    <t>7423881401</t>
  </si>
  <si>
    <t>вул. Носівська, 34</t>
  </si>
  <si>
    <t>(04642)23240</t>
  </si>
  <si>
    <t>Коломійцівська загальноосвітня школа І-ІІІ ступенів Носівської районної ради Чернігівської області</t>
  </si>
  <si>
    <t>17145</t>
  </si>
  <si>
    <t>7423881503</t>
  </si>
  <si>
    <t>Коломійцівка</t>
  </si>
  <si>
    <t>(04642)2-56-25</t>
  </si>
  <si>
    <t>Козарська ЗОШ І-ІІІ ступенів Носівської міськоі ради Чернігівської області</t>
  </si>
  <si>
    <t>17122</t>
  </si>
  <si>
    <t>7423882001</t>
  </si>
  <si>
    <t>Козари</t>
  </si>
  <si>
    <t>(04642)20485</t>
  </si>
  <si>
    <t>Лихачівська ЗОШ І - ІІІ ступенів Мринської сільської ради Носівського району Чернігівської області</t>
  </si>
  <si>
    <t>17111</t>
  </si>
  <si>
    <t>7423882501</t>
  </si>
  <si>
    <t>Лихачів</t>
  </si>
  <si>
    <t>2-37-26</t>
  </si>
  <si>
    <t>Макіївський НВК"ЗНЗ-ДНЗ" І-ІІІ ступенів Макіївської сільської ради Чернігівської області</t>
  </si>
  <si>
    <t>17152</t>
  </si>
  <si>
    <t>7423883001</t>
  </si>
  <si>
    <t>(04642)2-42-40</t>
  </si>
  <si>
    <t>Пустотинська загальноосвітня школа І-ІІ ступенів Макіївської сільської ради Чернігівської області</t>
  </si>
  <si>
    <t>17153</t>
  </si>
  <si>
    <t>7423883002</t>
  </si>
  <si>
    <t>Пустотине</t>
  </si>
  <si>
    <t>(04642)24210</t>
  </si>
  <si>
    <t>Мринська загальноосвітня школа І-ІІІ ступенів Носівської районної ради Чернігівської області</t>
  </si>
  <si>
    <t>17113</t>
  </si>
  <si>
    <t>7423883501</t>
  </si>
  <si>
    <t>Мрин</t>
  </si>
  <si>
    <t>вул. Червонопартизанська, 30</t>
  </si>
  <si>
    <t>(04642)29232</t>
  </si>
  <si>
    <t>Плосківський навчально-виховний комплекс "Загальноосвітній навчальний заклад-дошкільний навчальний заклад" І-ІІІступенів Носівської районної ради Чернігівської області</t>
  </si>
  <si>
    <t>17114</t>
  </si>
  <si>
    <t>7423884001</t>
  </si>
  <si>
    <t>ал. Мірошника, 4</t>
  </si>
  <si>
    <t>(04642)23156</t>
  </si>
  <si>
    <t>Рівчак-Степанівський навчально-виховний комплекс "Загальноосвітній навчальний заклад-дошкільний навчальний заклад" І-ІІІ ступенів Носівської районної ради Чернігівської області</t>
  </si>
  <si>
    <t>17142</t>
  </si>
  <si>
    <t>7423884501</t>
  </si>
  <si>
    <t>Рівчак-Степанівка</t>
  </si>
  <si>
    <t>вул. Гоголя, 2 г</t>
  </si>
  <si>
    <t>(04642)23540</t>
  </si>
  <si>
    <t>Селищенська загальноосвітня школа І-ІІ ступенів Носівської районної ради Чернігівської області</t>
  </si>
  <si>
    <t>17112</t>
  </si>
  <si>
    <t>7423885001</t>
  </si>
  <si>
    <t>вул. Тонконога, 39</t>
  </si>
  <si>
    <t>(04642)2-51-10</t>
  </si>
  <si>
    <t>Степовохутірська загальноосвітня школа І-ІІІ ступенів Носівської районної ради Чернігівської області</t>
  </si>
  <si>
    <t>17141</t>
  </si>
  <si>
    <t>7423886001</t>
  </si>
  <si>
    <t>Степові Хутори</t>
  </si>
  <si>
    <t>(04642)24138</t>
  </si>
  <si>
    <t>Яблунівський навчально- виховний комплекс "ЗНЗ-ДНЗ"І-ІІ ступенів Носівської міської ради Чернігівської області</t>
  </si>
  <si>
    <t>17140</t>
  </si>
  <si>
    <t>7423886502</t>
  </si>
  <si>
    <t>2-43-40</t>
  </si>
  <si>
    <t>Володьководівицька загальноосвітня школа І-ІІІ ступенів Носівської міської ради Чернігівської області</t>
  </si>
  <si>
    <t>17130</t>
  </si>
  <si>
    <t>7423887001</t>
  </si>
  <si>
    <t>Володькова Дівиця</t>
  </si>
  <si>
    <t>(3804642)3-24-23</t>
  </si>
  <si>
    <t>Досліднянський навчально-виховний комплекс "Загальноосвітній навчальний заклад - дошкільний навчальний заклад" І-ІІІ ступенів Носівської міської ради Чернігівської області</t>
  </si>
  <si>
    <t>17131</t>
  </si>
  <si>
    <t>7423887002</t>
  </si>
  <si>
    <t>(04642)2-05-40</t>
  </si>
  <si>
    <t>Сулацька загальноосвітня школа І-ІІ ступенів Носівської міської ради Чернігівської області</t>
  </si>
  <si>
    <t>7423887007</t>
  </si>
  <si>
    <t>Сулак</t>
  </si>
  <si>
    <t>вул. Миколаївська, 71</t>
  </si>
  <si>
    <t>(04642)3-20-00</t>
  </si>
  <si>
    <t>Ладанська гімназія Прилуцької районної ради Чернігівської області</t>
  </si>
  <si>
    <t>17583</t>
  </si>
  <si>
    <t>7424155400</t>
  </si>
  <si>
    <t>Ладан</t>
  </si>
  <si>
    <t>вул. Миру, 114</t>
  </si>
  <si>
    <t>(04637)77265</t>
  </si>
  <si>
    <t>http://Ladangimnazia.at.ua</t>
  </si>
  <si>
    <t>Подищанська загальноосвітня школа I-II ступенів Прилуцької районної ради Чернігівської області</t>
  </si>
  <si>
    <t>7424155401</t>
  </si>
  <si>
    <t>Подище</t>
  </si>
  <si>
    <t>(04637)77821, (095)7752321</t>
  </si>
  <si>
    <t>Линовицька загальноосвітня школа І - ІІІ ступенів Прилуцької районної ради Чернігівської області</t>
  </si>
  <si>
    <t>17584</t>
  </si>
  <si>
    <t>7424155600</t>
  </si>
  <si>
    <t>Линовиця</t>
  </si>
  <si>
    <t>вул. Якова де Бальмена, 25</t>
  </si>
  <si>
    <t>(04637)69343</t>
  </si>
  <si>
    <t>http://lschool.at.ua</t>
  </si>
  <si>
    <t>Малодівицька загальноосвітня школа І-ІІІ ступенів Прилуцької районної ради Чернігівської області</t>
  </si>
  <si>
    <t>17523</t>
  </si>
  <si>
    <t>7424155900</t>
  </si>
  <si>
    <t>Мала Дівиця</t>
  </si>
  <si>
    <t>вул. Слобідська, 16</t>
  </si>
  <si>
    <t>(04637)67398</t>
  </si>
  <si>
    <t>Малодівицький міжшкільний навчально-виробничий комбінат Прилуцької районної ради Чернігівської області</t>
  </si>
  <si>
    <t>(04637)67059</t>
  </si>
  <si>
    <t>Білорічицька загальноосвітня школа I-III ступенів Прилуцької районної ради Чернігівської області</t>
  </si>
  <si>
    <t>17526</t>
  </si>
  <si>
    <t>7424180301</t>
  </si>
  <si>
    <t>Білорічиця</t>
  </si>
  <si>
    <t>(04637)68-5-67</t>
  </si>
  <si>
    <t>Богданівська загальноосвітня школа І-ІІІ ступенів імені Григорія Ващенка Прилуцької районної ради Чернігівської області</t>
  </si>
  <si>
    <t>17582</t>
  </si>
  <si>
    <t>7424180901</t>
  </si>
  <si>
    <t>(4637)62316</t>
  </si>
  <si>
    <t>Валківська загальноосвітня школа І-ІІІ ступенів Прилуцької районної ради Чернігівської області</t>
  </si>
  <si>
    <t>17533</t>
  </si>
  <si>
    <t>7424181601</t>
  </si>
  <si>
    <t>(04637)65622</t>
  </si>
  <si>
    <t>Великодівицька загальноосвітня школа І - ІІ ступенів</t>
  </si>
  <si>
    <t>17521</t>
  </si>
  <si>
    <t>7424181901</t>
  </si>
  <si>
    <t>Велика Дівиця</t>
  </si>
  <si>
    <t>вул. Героїв війни, 42</t>
  </si>
  <si>
    <t>(04637)68221</t>
  </si>
  <si>
    <t>Дідівська загальноосвітня школа І-ІІІ ступенів Прилуцької районної ради Чернігівської області</t>
  </si>
  <si>
    <t>17508</t>
  </si>
  <si>
    <t>7424182203</t>
  </si>
  <si>
    <t>Манжосівка</t>
  </si>
  <si>
    <t>(04637)63834</t>
  </si>
  <si>
    <t>Дубовогаївська загальноосвітня школа І-ІІІ ступенів Прилуцької районної ради Чернігівської області</t>
  </si>
  <si>
    <t>17590</t>
  </si>
  <si>
    <t>7424182501</t>
  </si>
  <si>
    <t>Дубовий Гай</t>
  </si>
  <si>
    <t>(04637)66642</t>
  </si>
  <si>
    <t>Заїздська загальноосвітня школа І-ІІ ступенів Прилуцької районної ради Чернігівської області</t>
  </si>
  <si>
    <t>17543</t>
  </si>
  <si>
    <t>7424183101</t>
  </si>
  <si>
    <t>Заїзд</t>
  </si>
  <si>
    <t>вул. Михайлівська, 40</t>
  </si>
  <si>
    <t>(04637)6-41-20</t>
  </si>
  <si>
    <t>Замістянська загальноосвітня школа I-II ступенів Прилуцької районної ради Чернігівської області</t>
  </si>
  <si>
    <t>17544</t>
  </si>
  <si>
    <t>7424183201</t>
  </si>
  <si>
    <t>Замістя</t>
  </si>
  <si>
    <t>(04637)66-2-66</t>
  </si>
  <si>
    <t>Знам'янська загальноосвітня школа І ступеня Прилуцької районної ради Чернігівської області</t>
  </si>
  <si>
    <t>17561</t>
  </si>
  <si>
    <t>7424183401</t>
  </si>
  <si>
    <t>вул. Покровська, 3</t>
  </si>
  <si>
    <t>(04637)68317</t>
  </si>
  <si>
    <t>Івківська загальноосвітня школа І-ІІІ ступенів Прилуцької районної ради Чернігівської області</t>
  </si>
  <si>
    <t>17580</t>
  </si>
  <si>
    <t>7424183701</t>
  </si>
  <si>
    <t>Івківці</t>
  </si>
  <si>
    <t>вул. Прилуцька, 3</t>
  </si>
  <si>
    <t>(04637)62143</t>
  </si>
  <si>
    <t>http://Ivkshcool.at.ua</t>
  </si>
  <si>
    <t>Голубівська загальноосвітня школа І-ІІ ступенів Прилуцької районної ради Чернігівської області</t>
  </si>
  <si>
    <t>7424183703</t>
  </si>
  <si>
    <t>вул. Златоустівська, 37</t>
  </si>
  <si>
    <t>(04637)62822</t>
  </si>
  <si>
    <t>Канівщинська загальноосвітня школа І-ІІ ступенів Прилуцької районної ради Чернігівської області</t>
  </si>
  <si>
    <t>17571</t>
  </si>
  <si>
    <t>7424184001</t>
  </si>
  <si>
    <t>Канівщина</t>
  </si>
  <si>
    <t>вул. Г. Степаюка, 35А</t>
  </si>
  <si>
    <t>(04637)61624</t>
  </si>
  <si>
    <t>Лісовосорочинська загальноосвітня школа І-ІІІ ступенів Прилуцької районної ради Чернігівської області</t>
  </si>
  <si>
    <t>17540</t>
  </si>
  <si>
    <t>7424184901</t>
  </si>
  <si>
    <t>Лісові Сорочинці</t>
  </si>
  <si>
    <t>вул. Домонтовича, 103</t>
  </si>
  <si>
    <t>(04637)62630</t>
  </si>
  <si>
    <t>Малківська загальноосвітня школа І-ІІ ступенів Прилуцької районної ради Чернігівської області</t>
  </si>
  <si>
    <t>17581</t>
  </si>
  <si>
    <t>7424185001</t>
  </si>
  <si>
    <t>Малківка</t>
  </si>
  <si>
    <t>вул. Загребельна, 33А</t>
  </si>
  <si>
    <t>(786876)61947</t>
  </si>
  <si>
    <t>Обичівська загальноосвітня школа І-ІІ ступенів Прилуцької районної ради</t>
  </si>
  <si>
    <t>17520</t>
  </si>
  <si>
    <t>7424186101</t>
  </si>
  <si>
    <t>Обичів</t>
  </si>
  <si>
    <t>(04637)68922</t>
  </si>
  <si>
    <t>Охіньківська загальноосвітня школа І-ІІІ ступенів Прилуцької районної ради Чернігівської області</t>
  </si>
  <si>
    <t>17550</t>
  </si>
  <si>
    <t>7424186201</t>
  </si>
  <si>
    <t>Охіньки</t>
  </si>
  <si>
    <t>(04637)64435</t>
  </si>
  <si>
    <t>http://zoch-oxinku.at.ua</t>
  </si>
  <si>
    <t>Погребівська загальноосвітня школа І-ІІ ступенів Прилуцької районної ради, Чернігівської області</t>
  </si>
  <si>
    <t>17560</t>
  </si>
  <si>
    <t>7424187001</t>
  </si>
  <si>
    <t>вул. Ніжинська, 141</t>
  </si>
  <si>
    <t>0463768378</t>
  </si>
  <si>
    <t>Рудівська загальноосвітня школа І-ІІ ступенів Прилуцької районної ради Чернігівської області</t>
  </si>
  <si>
    <t>17570</t>
  </si>
  <si>
    <t>7424187601</t>
  </si>
  <si>
    <t>вул. Рудівська, 1</t>
  </si>
  <si>
    <t>(04637)64730</t>
  </si>
  <si>
    <t>Ряшківська загальноосвітня школа І-ІІІ ступенів Прилуцької районної ради Чернігівської області</t>
  </si>
  <si>
    <t>17530</t>
  </si>
  <si>
    <t>7424187901</t>
  </si>
  <si>
    <t>Ряшки</t>
  </si>
  <si>
    <t>(04637)63573</t>
  </si>
  <si>
    <t>Сергіївська загальноосвітня школа І-ІІІ ступенів Прилуцької районної ради Чернігівської області</t>
  </si>
  <si>
    <t>17592</t>
  </si>
  <si>
    <t>7424188201</t>
  </si>
  <si>
    <t>Сухополов'янська загальноосвітня школа І - ІІІ ступенів Прилуцької районної ради Чернігівської області</t>
  </si>
  <si>
    <t>17542</t>
  </si>
  <si>
    <t>7424188801</t>
  </si>
  <si>
    <t>Сухополова</t>
  </si>
  <si>
    <t>вул. Закарпатська, 2А</t>
  </si>
  <si>
    <t>(04637)60360</t>
  </si>
  <si>
    <t>Товкачівська загальноосвітня школа І-ІІІ ступенів Прилуцької районної ради Чернігівської області</t>
  </si>
  <si>
    <t>17541</t>
  </si>
  <si>
    <t>7424189101</t>
  </si>
  <si>
    <t>Товкачівка</t>
  </si>
  <si>
    <t>(04637)66386</t>
  </si>
  <si>
    <t>http://tovkachivka.at.ua</t>
  </si>
  <si>
    <t>Комунальний Заклад "Удайцівський навчально-реабілітаційний центр" Чернігівської ОДА</t>
  </si>
  <si>
    <t>17585</t>
  </si>
  <si>
    <t>7424189401</t>
  </si>
  <si>
    <t>Удайці</t>
  </si>
  <si>
    <t>(04637)60278</t>
  </si>
  <si>
    <t>05266257</t>
  </si>
  <si>
    <t>Удайцівська загальноосвітня школа І-ІІ ступенів Прилуцької районної ради Чернігівської області</t>
  </si>
  <si>
    <t>пров. Першотравневий, 6</t>
  </si>
  <si>
    <t>(04637)60248</t>
  </si>
  <si>
    <t>КЗ "Яблунівська спеціалізована школа - інтернат І - ІІІ ступенів з поглибленим вивченням окремих предметів та курсів" Чернігівської обласної ради</t>
  </si>
  <si>
    <t>17591</t>
  </si>
  <si>
    <t>7424189701</t>
  </si>
  <si>
    <t>вул. Яблунева, 17</t>
  </si>
  <si>
    <t>(04637)65238, (04637)65282</t>
  </si>
  <si>
    <t>http://Yblunivka-internat.edukit.cn.ua</t>
  </si>
  <si>
    <t>05266240</t>
  </si>
  <si>
    <t>Яблунівська загальноосвітня школа І-ІІІ ступенів Прилуцької районної ради Чернігівської області</t>
  </si>
  <si>
    <t>вул. Яблунева, 30 - А</t>
  </si>
  <si>
    <t>(04637)6-52-42</t>
  </si>
  <si>
    <t>Ріпкинська гімназія Ріпкинської районної ради Чернігівської області</t>
  </si>
  <si>
    <t>15000</t>
  </si>
  <si>
    <t>7424455100</t>
  </si>
  <si>
    <t>вул. Святомиколаївська, 43</t>
  </si>
  <si>
    <t>(04641)2-18-09, (04641)2-11-29</t>
  </si>
  <si>
    <t>http://rgimnazia.pp.ua</t>
  </si>
  <si>
    <t>Ріпкинська загальноосвітня школа І-ІІІ ступенів № 2 Ріпкинського району Чернігівської області</t>
  </si>
  <si>
    <t>вул. Пирогова, 5</t>
  </si>
  <si>
    <t>(04641)21892</t>
  </si>
  <si>
    <t>http://sofr2.at.ua</t>
  </si>
  <si>
    <t>Добрянська загальноосвітня школа І -ІІІ ступенів</t>
  </si>
  <si>
    <t>15011</t>
  </si>
  <si>
    <t>7424455400</t>
  </si>
  <si>
    <t>вул. Преображенська, 7</t>
  </si>
  <si>
    <t>(04641)45152</t>
  </si>
  <si>
    <t>http://dobrianka-school.edukit.cn.ua</t>
  </si>
  <si>
    <t>Замглайська загальноосвітня школа І-ІІІ ступенів Ріпкинського району Чернігівської області</t>
  </si>
  <si>
    <t>15005</t>
  </si>
  <si>
    <t>7424455700</t>
  </si>
  <si>
    <t>Замглай</t>
  </si>
  <si>
    <t>(04641)40175</t>
  </si>
  <si>
    <t>Любецька ЗОШ І-ІІІ ступенів ім. 12-ї гвардійської Пінської Червонопрапорної ордена Суворова стрілецької дивізії Ріпкинської районної ради Чернігівської області</t>
  </si>
  <si>
    <t>15041</t>
  </si>
  <si>
    <t>7424456000</t>
  </si>
  <si>
    <t>Любеч</t>
  </si>
  <si>
    <t>вул. Преображенська, 31</t>
  </si>
  <si>
    <t>(04641)43337, (04641)43101</t>
  </si>
  <si>
    <t>Радульська загальноосвітня школа І-ІІІ ступенів Ріпкинського району Чернігівської області</t>
  </si>
  <si>
    <t>15021</t>
  </si>
  <si>
    <t>7424456400</t>
  </si>
  <si>
    <t>Радуль</t>
  </si>
  <si>
    <t>вул. Красна Площа, 30</t>
  </si>
  <si>
    <t>(04641)48272</t>
  </si>
  <si>
    <t>Великозліївська загальноосвітня школа І-ІІІ ступенів</t>
  </si>
  <si>
    <t>15051</t>
  </si>
  <si>
    <t>7424480801</t>
  </si>
  <si>
    <t>Великий Зліїв</t>
  </si>
  <si>
    <t>(04641)41636</t>
  </si>
  <si>
    <t>Вербицька загальноосвітня школа І-ІІІ ступенів Ріпкинського району Чернігівської області</t>
  </si>
  <si>
    <t>15015</t>
  </si>
  <si>
    <t>7424481001</t>
  </si>
  <si>
    <t>Вербичі</t>
  </si>
  <si>
    <t>(04641)4-65-40</t>
  </si>
  <si>
    <t>Вишнівська загальноосвітня школа І-ІІ ступенів Ріпкинського району Чернігівської області</t>
  </si>
  <si>
    <t>15070</t>
  </si>
  <si>
    <t>7424481201</t>
  </si>
  <si>
    <t>(804641)48131</t>
  </si>
  <si>
    <t>Гучинська загальноосвітня школа І-ІІ ступенів Ріпкинського району Чернігівської області</t>
  </si>
  <si>
    <t>15064</t>
  </si>
  <si>
    <t>7424482601</t>
  </si>
  <si>
    <t>Гучин</t>
  </si>
  <si>
    <t>(04641)47218</t>
  </si>
  <si>
    <t>http://guchin-shcool.nethouse.ua</t>
  </si>
  <si>
    <t>Павлівська загальноосвітня школа І-ІІІ ступенів Ріпкинського району Чернігівської області</t>
  </si>
  <si>
    <t>15053</t>
  </si>
  <si>
    <t>7424483203</t>
  </si>
  <si>
    <t>41516</t>
  </si>
  <si>
    <t>Ловинська загальноосвітня школа І ступеня</t>
  </si>
  <si>
    <t>15031</t>
  </si>
  <si>
    <t>7424483601</t>
  </si>
  <si>
    <t>Ловинь</t>
  </si>
  <si>
    <t>вул. Промислова, 29</t>
  </si>
  <si>
    <t>(046)4141232</t>
  </si>
  <si>
    <t>Малинівська загальноосвітня школа І-ІІ ступенів Ріпкинського району Чернігівської області</t>
  </si>
  <si>
    <t>15043</t>
  </si>
  <si>
    <t>7424484201</t>
  </si>
  <si>
    <t>(04641)44119</t>
  </si>
  <si>
    <t>Неданчицька загальноосвітня школа І-ІІ ступенів Ріпкинського району Чернігівської області</t>
  </si>
  <si>
    <t>15046</t>
  </si>
  <si>
    <t>7424485601</t>
  </si>
  <si>
    <t>Неданчичі</t>
  </si>
  <si>
    <t>вул. Титова, 86</t>
  </si>
  <si>
    <t>(04641)48553</t>
  </si>
  <si>
    <t>Новоукраїнська загальноосвітня школа І-ІІІ ступенів Ріпкинського району Чернігівської області</t>
  </si>
  <si>
    <t>15071</t>
  </si>
  <si>
    <t>7424486001</t>
  </si>
  <si>
    <t>Новоукраїнське</t>
  </si>
  <si>
    <t>(04641)48458</t>
  </si>
  <si>
    <t>Новояриловицька загальноосвітня школа І-ІІІ ступенів</t>
  </si>
  <si>
    <t>15013</t>
  </si>
  <si>
    <t>7424486401</t>
  </si>
  <si>
    <t>Нові Яриловичі</t>
  </si>
  <si>
    <t>вул. 30 років Перемоги, 102</t>
  </si>
  <si>
    <t>(04641)46448</t>
  </si>
  <si>
    <t>Олешнянська загальноосвітня школа І-ІІІ ступенів імені С.Ф. Русової Ріпкинського району Чернігівської області</t>
  </si>
  <si>
    <t>15030</t>
  </si>
  <si>
    <t>7424486801</t>
  </si>
  <si>
    <t>(04641)46110</t>
  </si>
  <si>
    <t>Тарасо-Шевченківська загальноосвітня школа І-ІІІ ступенів Ріпкинського району Чернігівської області</t>
  </si>
  <si>
    <t>15054</t>
  </si>
  <si>
    <t>7424489201</t>
  </si>
  <si>
    <t>Тараса Шевченка</t>
  </si>
  <si>
    <t>(04641)44640</t>
  </si>
  <si>
    <t>Семенівська гімназія № 2 Семенівської районної ради Чернігівської області</t>
  </si>
  <si>
    <t>15400</t>
  </si>
  <si>
    <t>7424710100</t>
  </si>
  <si>
    <t>2-13-00, 2-12-63</t>
  </si>
  <si>
    <t>Семенівська загальноосвітня школа І - ІІІ ступенів № 1 Семенівської районної ради Чернігівської області</t>
  </si>
  <si>
    <t>вул. 3 Центральний провулок, 2</t>
  </si>
  <si>
    <t>(04659)21808</t>
  </si>
  <si>
    <t>http://semenivka-school1.edukit.cn.ua/</t>
  </si>
  <si>
    <t>Семенівська загальноосвітня школа І-ІІ ступенів № 5 Семенівської районної ради Чернігівської області</t>
  </si>
  <si>
    <t>пров. Квітковий, 1А</t>
  </si>
  <si>
    <t>(04659)22586</t>
  </si>
  <si>
    <t>Семенівська загальноосвітня школа І-ІІІ ступенів № 3 Семенівської районної ради Чернігівської області</t>
  </si>
  <si>
    <t>0465922587</t>
  </si>
  <si>
    <t>Олександрівська загальноосвітня школа І-ІІІ ступенів Семенівської районної ради Чернігівської області</t>
  </si>
  <si>
    <t>15444</t>
  </si>
  <si>
    <t>7424780501</t>
  </si>
  <si>
    <t>вул. Шевченко, 22</t>
  </si>
  <si>
    <t>0465926345</t>
  </si>
  <si>
    <t>Жадівська загальноосвітня школа І-ІІІ ступенів імені Т.Г.Шевченка Семенівської районної ради Чернігівської області</t>
  </si>
  <si>
    <t>15461</t>
  </si>
  <si>
    <t>7424781501</t>
  </si>
  <si>
    <t>Жадове</t>
  </si>
  <si>
    <t>(04659)2-34-86</t>
  </si>
  <si>
    <t>http://zhadovskazosh.at.ua</t>
  </si>
  <si>
    <t>Янжулівська філія І-ІІ ступенів, Семенівської гімназії № 2 Семенівської районної ради Чернігівської області</t>
  </si>
  <si>
    <t>15412</t>
  </si>
  <si>
    <t>7424781701</t>
  </si>
  <si>
    <t>Янжулівка</t>
  </si>
  <si>
    <t>(04659)24644</t>
  </si>
  <si>
    <t>Іванівська загальноосвітня школа І-ІІІ ступенів Семенівської районної ради Чернігівської області</t>
  </si>
  <si>
    <t>15432</t>
  </si>
  <si>
    <t>7424782001</t>
  </si>
  <si>
    <t>вул. Нова, 55</t>
  </si>
  <si>
    <t>(04659)24380</t>
  </si>
  <si>
    <t>http://ivanivskazoch.io.ua</t>
  </si>
  <si>
    <t>Костобобрівська загальноосвітня школа І-ІІІ ступенів Семенівської районної ради Чернігівської області</t>
  </si>
  <si>
    <t>15443</t>
  </si>
  <si>
    <t>7424783001</t>
  </si>
  <si>
    <t>Костобобрів</t>
  </si>
  <si>
    <t>(04659)25541</t>
  </si>
  <si>
    <t>Машівська загальноосвітня школа І-ІІІ ступенів Семенівської районної ради Чернігівської області</t>
  </si>
  <si>
    <t>15460</t>
  </si>
  <si>
    <t>7424783501</t>
  </si>
  <si>
    <t>Машеве</t>
  </si>
  <si>
    <t>(04659)24555</t>
  </si>
  <si>
    <t>http://mashivskazosh.io.ua</t>
  </si>
  <si>
    <t>Погорільська загальноосвітня школа І-ІІІ ступенів Семенівської районної ради Чернігівської області</t>
  </si>
  <si>
    <t>15452</t>
  </si>
  <si>
    <t>7424785001</t>
  </si>
  <si>
    <t>вул. І.Франка, 30</t>
  </si>
  <si>
    <t>(04659)2-31-47</t>
  </si>
  <si>
    <t>http://pohorilskaschool.net.ua/</t>
  </si>
  <si>
    <t>Тимоновицька загальноосвітня школа І-ІІІ ступенів Семенівської районної ради Чернігівської області</t>
  </si>
  <si>
    <t>15410</t>
  </si>
  <si>
    <t>7424786501</t>
  </si>
  <si>
    <t>Тимоновичі</t>
  </si>
  <si>
    <t>вул. Шевченко, № 1</t>
  </si>
  <si>
    <t>0465924442</t>
  </si>
  <si>
    <t>Хотіївська загальноосвітня школа І ступенів Семенівської районної ради Чернігівської області</t>
  </si>
  <si>
    <t>15421</t>
  </si>
  <si>
    <t>7424787001</t>
  </si>
  <si>
    <t>Хотіївка</t>
  </si>
  <si>
    <t>вул. Озерна, 32</t>
  </si>
  <si>
    <t>2-54-24</t>
  </si>
  <si>
    <t>Чорнорізька загальноосвітня школа І-ІІ ступенів Семенівської районної ради Чернігівської області</t>
  </si>
  <si>
    <t>15472</t>
  </si>
  <si>
    <t>7424787501</t>
  </si>
  <si>
    <t>Чорний Ріг</t>
  </si>
  <si>
    <t>вул. Голуба</t>
  </si>
  <si>
    <t>(046)592-52-46</t>
  </si>
  <si>
    <t>Комунальний заклад "Сосницький навчально-реабілітаційний центр" Чернігівської обласної ради</t>
  </si>
  <si>
    <t>16100</t>
  </si>
  <si>
    <t>7424955100</t>
  </si>
  <si>
    <t>Сосниця</t>
  </si>
  <si>
    <t>(04655)2-16-23</t>
  </si>
  <si>
    <t>05266524</t>
  </si>
  <si>
    <t>Сосницька гімназія ім. О.П. Довженка Сосницької районної ради</t>
  </si>
  <si>
    <t>просп. Гагаріна, 22А</t>
  </si>
  <si>
    <t>Сосницька загальноосвітня школа І-ІІ ступенів Сосницької районної ради Чернігівської області</t>
  </si>
  <si>
    <t>вул. Довженка, 63</t>
  </si>
  <si>
    <t>(04655)21226</t>
  </si>
  <si>
    <t>Авдіївська загальноосвітня школа І - ІІІ ступенів Сосницької районної ради Чернігівської області</t>
  </si>
  <si>
    <t>16110</t>
  </si>
  <si>
    <t>7424980501</t>
  </si>
  <si>
    <t>вул. Сіверська, 33</t>
  </si>
  <si>
    <t>(04655)26169</t>
  </si>
  <si>
    <t>http://www.avdiivka-scool.edukit.cn.ua</t>
  </si>
  <si>
    <t>Бутівська загальноосвітня школа І ступеня</t>
  </si>
  <si>
    <t>16152</t>
  </si>
  <si>
    <t>7424981001</t>
  </si>
  <si>
    <t>вул. ПЕрше Травня, 15</t>
  </si>
  <si>
    <t>Великоустівська ЗОШ І - ІІІ ступенів</t>
  </si>
  <si>
    <t>15164</t>
  </si>
  <si>
    <t>7424981501</t>
  </si>
  <si>
    <t>Велике Устя</t>
  </si>
  <si>
    <t>вул. Довженка, 14</t>
  </si>
  <si>
    <t>(255)2-35-40</t>
  </si>
  <si>
    <t>Волинківська загальноосвітня школа І-ІІІ ступенів Сосницької районної ради Чернігівської області</t>
  </si>
  <si>
    <t>16131</t>
  </si>
  <si>
    <t>7424982001</t>
  </si>
  <si>
    <t>Волинка</t>
  </si>
  <si>
    <t>вул. Розумієнка, 25</t>
  </si>
  <si>
    <t>(04655)27324</t>
  </si>
  <si>
    <t>Загребельська загальноосвітня школа І ступеня Сосницької районної ради Чернігівської області</t>
  </si>
  <si>
    <t>16104</t>
  </si>
  <si>
    <t>7424982501</t>
  </si>
  <si>
    <t>Загребелля</t>
  </si>
  <si>
    <t>(804655)20232</t>
  </si>
  <si>
    <t>Змітнівська загальноосвітня школа І-ІІ ступенів</t>
  </si>
  <si>
    <t>16141</t>
  </si>
  <si>
    <t>7424983001</t>
  </si>
  <si>
    <t>Змітнів</t>
  </si>
  <si>
    <t>(04655)23328</t>
  </si>
  <si>
    <t>Киріївська загальноосвітня школа І-ІІ ступенів Сосницької районної ради Чернігівської області</t>
  </si>
  <si>
    <t>16133</t>
  </si>
  <si>
    <t>7424983501</t>
  </si>
  <si>
    <t>Киріївка</t>
  </si>
  <si>
    <t>вул. 1-ше Травня, 9</t>
  </si>
  <si>
    <t>Козляницька загальноосвітня школа І-ІІ ступенів Сосницької районної ради Чернігівської області</t>
  </si>
  <si>
    <t>16120</t>
  </si>
  <si>
    <t>7424984001</t>
  </si>
  <si>
    <t>Козляничі</t>
  </si>
  <si>
    <t>вул. Смирнова, 39</t>
  </si>
  <si>
    <t>(255)24645</t>
  </si>
  <si>
    <t>Руднянська загальноосвітня школа І ступеня Сосницької районної ради Чернігвської області</t>
  </si>
  <si>
    <t>7424984002</t>
  </si>
  <si>
    <t>вул. Десняка, 6</t>
  </si>
  <si>
    <t>(073)4750604</t>
  </si>
  <si>
    <t>Конятинська загально освітня школа І-ІІ ступенів, Сосницький район, Чернігівська область</t>
  </si>
  <si>
    <t>16140</t>
  </si>
  <si>
    <t>7424984501</t>
  </si>
  <si>
    <t>вул. Ювілейна, 51</t>
  </si>
  <si>
    <t>Кудрівська загальноосвітня школа І-ІІІ ступенів Сосницької районної ради Чернігівської області</t>
  </si>
  <si>
    <t>16122</t>
  </si>
  <si>
    <t>7424985001</t>
  </si>
  <si>
    <t>Кудрівка</t>
  </si>
  <si>
    <t>вул. М.Жолдака, 18</t>
  </si>
  <si>
    <t>(04655)2-44-51</t>
  </si>
  <si>
    <t>Вільшанська загальноосвітня школа І - ІІІ ступенів Сосницької райдерждадміністрації Чернігівської області</t>
  </si>
  <si>
    <t>16130</t>
  </si>
  <si>
    <t>7424986001</t>
  </si>
  <si>
    <t>Вільшане</t>
  </si>
  <si>
    <t>вул. Грушевського16, 16</t>
  </si>
  <si>
    <t>2-81-46</t>
  </si>
  <si>
    <t>Пекарівська ЗОШ І-ІІст. Сосницький район. Чернігівська область.</t>
  </si>
  <si>
    <t>16150</t>
  </si>
  <si>
    <t>7424986501</t>
  </si>
  <si>
    <t>Пекарів</t>
  </si>
  <si>
    <t>вул. Довженка, 37</t>
  </si>
  <si>
    <t>(04655)2-41-41</t>
  </si>
  <si>
    <t>Спаська загальноосвітня школа І-ІІІ ст Сосницької районної ради Чернігівської області</t>
  </si>
  <si>
    <t>16142</t>
  </si>
  <si>
    <t>7424987001</t>
  </si>
  <si>
    <t>вул. Придеснянська, 95</t>
  </si>
  <si>
    <t>(255)2-31-35</t>
  </si>
  <si>
    <t>Хлоп'яницька загальноосвітня школа І-ІІІ ступенів Сосницької районної ради Чернігівської області</t>
  </si>
  <si>
    <t>16112</t>
  </si>
  <si>
    <t>7424987501</t>
  </si>
  <si>
    <t>Хлоп'яники</t>
  </si>
  <si>
    <t>вул. Довженка, 13</t>
  </si>
  <si>
    <t>0465528359</t>
  </si>
  <si>
    <t>Чорнотицька загальноосвітня школа І-ІІІ ступенів</t>
  </si>
  <si>
    <t>16121</t>
  </si>
  <si>
    <t>7424988001</t>
  </si>
  <si>
    <t>Чорнотичі</t>
  </si>
  <si>
    <t>вул. Шлях, 26</t>
  </si>
  <si>
    <t>(255)25173</t>
  </si>
  <si>
    <t>Шаболтасівський навчально-виховний комплекс "загальноосвітня школа 1-11ступенів-дошкільний навчальний заклад"</t>
  </si>
  <si>
    <t>16111</t>
  </si>
  <si>
    <t>7424988501</t>
  </si>
  <si>
    <t>Шаболтасівка</t>
  </si>
  <si>
    <t>вул. Довженка, 66</t>
  </si>
  <si>
    <t>(04655)2-61-24</t>
  </si>
  <si>
    <t>Срібнянська загальноосвітня школа І-ІІІ ступенів Срібнянської районної ради Чернігівської області</t>
  </si>
  <si>
    <t>17300</t>
  </si>
  <si>
    <t>7425155100</t>
  </si>
  <si>
    <t>вул. Леніна, 51</t>
  </si>
  <si>
    <t>(04639)21930, (04639)21290</t>
  </si>
  <si>
    <t>Дігтярівська загальноосвітня школа І-ІІІ ступенів Срібнянської районної ради Чернігівської області</t>
  </si>
  <si>
    <t>17332</t>
  </si>
  <si>
    <t>7425155400</t>
  </si>
  <si>
    <t>Дігтярі</t>
  </si>
  <si>
    <t>вул. Центральна, 13Б</t>
  </si>
  <si>
    <t>(046239)23324</t>
  </si>
  <si>
    <t>Васьківська загальноосвітня школа І-ІІ ступенів Срібнянської районної ради Чернігівської області</t>
  </si>
  <si>
    <t>17310</t>
  </si>
  <si>
    <t>7425182001</t>
  </si>
  <si>
    <t>(04639)28640</t>
  </si>
  <si>
    <t>Горобіївська загальноосвітня школа І-ІІ ступенів Срібнянської районної ради Чернігівської області</t>
  </si>
  <si>
    <t>17351</t>
  </si>
  <si>
    <t>7425182301</t>
  </si>
  <si>
    <t>(04639)27340</t>
  </si>
  <si>
    <t>http://gorobiivka.tk</t>
  </si>
  <si>
    <t>Гриціївська загальноосвітня школа І-ІІ ступенів Срібнянської районної ради Чернігівської області</t>
  </si>
  <si>
    <t>17321</t>
  </si>
  <si>
    <t>7425182501</t>
  </si>
  <si>
    <t>Гриціївка</t>
  </si>
  <si>
    <t>(04639)28440</t>
  </si>
  <si>
    <t>http://grytsiivska-zosh.cn.sch.in.ua</t>
  </si>
  <si>
    <t>Гурбинська загальноосвітня школа І-ІІІ ступенів Срібнянської районної ради Чернігівської області</t>
  </si>
  <si>
    <t>17331</t>
  </si>
  <si>
    <t>7425183001</t>
  </si>
  <si>
    <t>Гурбинці</t>
  </si>
  <si>
    <t>(04639)29640</t>
  </si>
  <si>
    <t>Калюжинська загальноосвітня школа І-ІІ ступенів Срібнянської районної ради Чернігівської області</t>
  </si>
  <si>
    <t>17311</t>
  </si>
  <si>
    <t>7425184001</t>
  </si>
  <si>
    <t>Калюжинці</t>
  </si>
  <si>
    <t>(04639)25694</t>
  </si>
  <si>
    <t>Карпилівська загальноосвітня школа І -ІІІ ступенів Срібнянської районної ради Чернігівської області</t>
  </si>
  <si>
    <t>17341</t>
  </si>
  <si>
    <t>7425185001</t>
  </si>
  <si>
    <t>(04639)24440</t>
  </si>
  <si>
    <t>http://karpschool.ho.ua</t>
  </si>
  <si>
    <t>Подільська загальноосвітня школа I-IIступенів Срібнянської районної ради Чернігівської області</t>
  </si>
  <si>
    <t>7425186001</t>
  </si>
  <si>
    <t>(239)29340</t>
  </si>
  <si>
    <t>Савинська загальноосвітня школа І-ІІІ ступенів Срібнянської районної ради Чернігівської області</t>
  </si>
  <si>
    <t>17350</t>
  </si>
  <si>
    <t>7425187001</t>
  </si>
  <si>
    <t>вул. Кооперативна, 28</t>
  </si>
  <si>
    <t>(239)27140</t>
  </si>
  <si>
    <t>Сокиринська загальноосвітня школа І-ІІІ ступенів Срібнянської районної ради Чернігівської області</t>
  </si>
  <si>
    <t>17312</t>
  </si>
  <si>
    <t>7425188001</t>
  </si>
  <si>
    <t>вул. Радянська, 55</t>
  </si>
  <si>
    <t>(04639)25546</t>
  </si>
  <si>
    <t>Талалаївська загальноосвітня школа І-ІІІ ступенів Талалаївської районної ради Чернігівської області</t>
  </si>
  <si>
    <t>17200</t>
  </si>
  <si>
    <t>7425355100</t>
  </si>
  <si>
    <t>вул. Освіти, 38</t>
  </si>
  <si>
    <t>(04634)2-12-76, (04634)2-10-38</t>
  </si>
  <si>
    <t>Березівська загальноосвітня школа І-ІІІ ступенів Талалаївської районної ради Чернігівської області</t>
  </si>
  <si>
    <t>17251</t>
  </si>
  <si>
    <t>7425380501</t>
  </si>
  <si>
    <t>(04634)24398</t>
  </si>
  <si>
    <t>Красноколядинська загальноосвітня школа І-ІІІ ступенів Талалаївської районної ради Чернігівської області</t>
  </si>
  <si>
    <t>17210</t>
  </si>
  <si>
    <t>7425382001</t>
  </si>
  <si>
    <t>Красний Колядин</t>
  </si>
  <si>
    <t>(04634)24643</t>
  </si>
  <si>
    <t>Харківська загальноосвітня школа І-ІІІ ступенів Талалаївської районної ради Чернігівської області</t>
  </si>
  <si>
    <t>17270</t>
  </si>
  <si>
    <t>7425382501</t>
  </si>
  <si>
    <t>Харкове</t>
  </si>
  <si>
    <t>вул. Науменка, 72</t>
  </si>
  <si>
    <t>(04634)23726</t>
  </si>
  <si>
    <t>Понірська загальноосвітня школа І-ІІ ступенів Талалаївської районної ради Чернігівської області</t>
  </si>
  <si>
    <t>17220</t>
  </si>
  <si>
    <t>7425382701</t>
  </si>
  <si>
    <t>Понори</t>
  </si>
  <si>
    <t>(04634)2-66-32</t>
  </si>
  <si>
    <t>Плугатарська загальноосвітня школа І-ІІІ ступенів Талалаївської районної ради Чернігівської області</t>
  </si>
  <si>
    <t>17241</t>
  </si>
  <si>
    <t>7425383005</t>
  </si>
  <si>
    <t>(04634)21646</t>
  </si>
  <si>
    <t>Староталалаївська філія І-ІІ ступенів Талалаївської загальноосвітньої школи І-ІІІ ступенів Талалаївської районної ради Чернігівської області</t>
  </si>
  <si>
    <t>17260</t>
  </si>
  <si>
    <t>7425383501</t>
  </si>
  <si>
    <t>Стара Талалаївка</t>
  </si>
  <si>
    <t>((04634))2-41-80</t>
  </si>
  <si>
    <t>Липівська загальноосвітня школа І-ІІІ ступенів Талалаївської районної Ради Чернігівської області</t>
  </si>
  <si>
    <t>17222</t>
  </si>
  <si>
    <t>7425384001</t>
  </si>
  <si>
    <t>Липове</t>
  </si>
  <si>
    <t>(04634)2-19-83</t>
  </si>
  <si>
    <t>Українська загальноосвітня школа І-ІІІ ступенів Талалаївської районної ради Чернігівської області</t>
  </si>
  <si>
    <t>17230</t>
  </si>
  <si>
    <t>7425384501</t>
  </si>
  <si>
    <t>(04634)24430</t>
  </si>
  <si>
    <t>Чернецька ЗОШ І-ІІІ ступенів Талалаївський районої ради Чернігівської області</t>
  </si>
  <si>
    <t>17263</t>
  </si>
  <si>
    <t>7425385001</t>
  </si>
  <si>
    <t>Чернецьке</t>
  </si>
  <si>
    <t>(04634)23519</t>
  </si>
  <si>
    <t>Довгалівська загальноосвітня школа І-ІІІ ступенів Талалаївської районної ради Чернігівської області</t>
  </si>
  <si>
    <t>7425385502</t>
  </si>
  <si>
    <t>вул. Новосілля, 10</t>
  </si>
  <si>
    <t>(04634)24717</t>
  </si>
  <si>
    <t>Гончарівська гімназія Гончарівської селищної ради</t>
  </si>
  <si>
    <t>15558</t>
  </si>
  <si>
    <t>7425555200</t>
  </si>
  <si>
    <t>Гончарівське</t>
  </si>
  <si>
    <t>вул. Танкістів, 82А</t>
  </si>
  <si>
    <t>(0462)621686</t>
  </si>
  <si>
    <t>Михайло- Коцюбинська гімназія Михайло-Коцюбинської селищної ради Чернігівського району Чернігівської області</t>
  </si>
  <si>
    <t>15552</t>
  </si>
  <si>
    <t>7425555400</t>
  </si>
  <si>
    <t>Михайло-Коцюбинське</t>
  </si>
  <si>
    <t>(046)681418</t>
  </si>
  <si>
    <t>Олишівська загальноосвітня школа І-ІІІ ступенів Чернігівської районної ради Чернігівської області</t>
  </si>
  <si>
    <t>15575</t>
  </si>
  <si>
    <t>7425555700</t>
  </si>
  <si>
    <t>Олишівка</t>
  </si>
  <si>
    <t>(0462)680938</t>
  </si>
  <si>
    <t>Седнівський навчально-виховний комплекс Чернігівської районної ради Чернігівської області</t>
  </si>
  <si>
    <t>15522</t>
  </si>
  <si>
    <t>7425556000</t>
  </si>
  <si>
    <t>Седнів</t>
  </si>
  <si>
    <t>(0462)682741, (0462)682738, (0462)682743</t>
  </si>
  <si>
    <t>Комунальний заклад Андріївська загальноосвітня школа І-ІІІ ступенів Михайло-Коцюбинської селищної ради Чернігівського району Чернігівської області</t>
  </si>
  <si>
    <t>15554</t>
  </si>
  <si>
    <t>7425580301</t>
  </si>
  <si>
    <t>вул. Михайлівська, 135</t>
  </si>
  <si>
    <t>(0422)686140</t>
  </si>
  <si>
    <t>Анисівська загальноосвітня школа І-ІІІ ступенів ім.І.Я.Франка Чернігівської районної ради Чернігівської області</t>
  </si>
  <si>
    <t>15560</t>
  </si>
  <si>
    <t>7425580501</t>
  </si>
  <si>
    <t>Анисів</t>
  </si>
  <si>
    <t>вул. Герасименка, 21</t>
  </si>
  <si>
    <t>(0462)688140</t>
  </si>
  <si>
    <t>Снов'янська загальноосвітня школа І-ІІ ступенів Чернігівської районної ради Чернігівської області</t>
  </si>
  <si>
    <t>15532</t>
  </si>
  <si>
    <t>7425581004</t>
  </si>
  <si>
    <t>Снов'янка</t>
  </si>
  <si>
    <t>вул. Лісова, 1В</t>
  </si>
  <si>
    <t>Ведильцівська загальноосвітня школа І-ІІІ ступенів імені Героя Радянського Союзу А.Ф.Блашкуна Михайло-Коцюбинської селищної ради Чернігівського району Чернігівської області.</t>
  </si>
  <si>
    <t>15542</t>
  </si>
  <si>
    <t>7425581301</t>
  </si>
  <si>
    <t>Ведильці</t>
  </si>
  <si>
    <t>683540</t>
  </si>
  <si>
    <t>Дніпровська ЗОШ І-ІІІ ступенів Дніпровської сільської ради Чернігівської області Чернігівського району</t>
  </si>
  <si>
    <t>15545</t>
  </si>
  <si>
    <t>7425581601</t>
  </si>
  <si>
    <t>(0462)68-32-95</t>
  </si>
  <si>
    <t>Довжицький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</si>
  <si>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15511</t>
  </si>
  <si>
    <t>7425581901</t>
  </si>
  <si>
    <t>вул. Чернігівська, 2 А</t>
  </si>
  <si>
    <t>(0422)682140</t>
  </si>
  <si>
    <t>Жеведська загальноосвітня школа І ступеня</t>
  </si>
  <si>
    <t>15556</t>
  </si>
  <si>
    <t>7425582201</t>
  </si>
  <si>
    <t>Жеведь</t>
  </si>
  <si>
    <t>вул. Садова, 3А</t>
  </si>
  <si>
    <t>(0462)683140</t>
  </si>
  <si>
    <t>Жукотківська загальноосвітня школа І-ІІ ступенів Михайло-Коцюбинської селищної ради Чернігівського району Чернігівської області</t>
  </si>
  <si>
    <t>15517</t>
  </si>
  <si>
    <t>7425582501</t>
  </si>
  <si>
    <t>Жукотки</t>
  </si>
  <si>
    <t>((0462))686640</t>
  </si>
  <si>
    <t>Іванівська ЗОШ І-ІІІст.</t>
  </si>
  <si>
    <t>15562</t>
  </si>
  <si>
    <t>7425582801</t>
  </si>
  <si>
    <t>(1111)(0462)688387</t>
  </si>
  <si>
    <t>Количівська загальноосвітня школа І - ІІІ ступенів Іванівської сільської ради Чернігівського району Чернігівської області</t>
  </si>
  <si>
    <t>15563</t>
  </si>
  <si>
    <t>7425582802</t>
  </si>
  <si>
    <t>Количівка</t>
  </si>
  <si>
    <t>вул. Шкільна, 24А</t>
  </si>
  <si>
    <t>(0462)689515</t>
  </si>
  <si>
    <t>Ягіднянська загальноосвітня школа І-ІІ ступенів Іванівської сільської ради Чернігівського району Чернігівської області</t>
  </si>
  <si>
    <t>7425582803</t>
  </si>
  <si>
    <t>вул. Лісова, 1/А</t>
  </si>
  <si>
    <t>(26513760)68-77-33</t>
  </si>
  <si>
    <t>Кархівська загальноосвітня школа I-II ступенів Михайло-Коцюбинської селищної ради Чернігівського району Чернігівської області</t>
  </si>
  <si>
    <t>15551</t>
  </si>
  <si>
    <t>7425583101</t>
  </si>
  <si>
    <t>Кархівка</t>
  </si>
  <si>
    <t>вул. Дружби, 187 а</t>
  </si>
  <si>
    <t>Киїнська загальноосвітня школа І-ІІІ ступенів Чернігівської районної ради Чернігівської області</t>
  </si>
  <si>
    <t>15505</t>
  </si>
  <si>
    <t>7425583401</t>
  </si>
  <si>
    <t>Киїнка</t>
  </si>
  <si>
    <t>вул. Перемоги, 11, корпус1</t>
  </si>
  <si>
    <t>(0462)680224</t>
  </si>
  <si>
    <t>Жавинська загальноосвітня школа І-ІІ ступенів Чернігівської районної ради Чернігівської області</t>
  </si>
  <si>
    <t>7425583403</t>
  </si>
  <si>
    <t>Жавинка</t>
  </si>
  <si>
    <t>вул. Іллінська, 41</t>
  </si>
  <si>
    <t>(095)1114847</t>
  </si>
  <si>
    <t>http://zhavinka.net.ua</t>
  </si>
  <si>
    <t>Киселівський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</si>
  <si>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15530</t>
  </si>
  <si>
    <t>7425583501</t>
  </si>
  <si>
    <t>(0462)684726</t>
  </si>
  <si>
    <t>Брусилівська ЗОШ І -ІІІ ст. Чернігівської районної ради Чернігівської обл.</t>
  </si>
  <si>
    <t>15531</t>
  </si>
  <si>
    <t>7425583503</t>
  </si>
  <si>
    <t>(046)684560</t>
  </si>
  <si>
    <t>Ковпитська загальноосвітня школа I - III ступенів імені героя Радянського Союзу Івана Миколайовича Грачова Чернігівської районної ради Чернігівської області</t>
  </si>
  <si>
    <t>15544</t>
  </si>
  <si>
    <t>7425583701</t>
  </si>
  <si>
    <t>Ковпита</t>
  </si>
  <si>
    <t>вул. Перемоги, 78</t>
  </si>
  <si>
    <t>(0462)686340</t>
  </si>
  <si>
    <t>Краснянська загальноосвітня школа І-ІІІ ступенів Іванівської сільської ради Чернігівського району Чернігівської області</t>
  </si>
  <si>
    <t>15572</t>
  </si>
  <si>
    <t>7425584001</t>
  </si>
  <si>
    <t>вул. Шевченка, 45А</t>
  </si>
  <si>
    <t>68-56-72</t>
  </si>
  <si>
    <t>Кувечицька загальноосвітня школа І-ІІ ступенів Чернігівської районної ради Чернігівської області</t>
  </si>
  <si>
    <t>15512</t>
  </si>
  <si>
    <t>7425584101</t>
  </si>
  <si>
    <t>Кувечичі</t>
  </si>
  <si>
    <t>http://kuv.at.ua</t>
  </si>
  <si>
    <t>Ладинська ЗОШ І-ІІ ст. імені героїв Пінської військової флотилії Іванівської сільської ради Чернігівського району Чернігівської області</t>
  </si>
  <si>
    <t>15570</t>
  </si>
  <si>
    <t>7425584301</t>
  </si>
  <si>
    <t>Ладинка</t>
  </si>
  <si>
    <t>(0462)685440</t>
  </si>
  <si>
    <t>Мньовська загальноосвітня школа І-ІІІ ст.</t>
  </si>
  <si>
    <t>15540</t>
  </si>
  <si>
    <t>7425584901</t>
  </si>
  <si>
    <t>Мньов</t>
  </si>
  <si>
    <t>вул. Миру, 9</t>
  </si>
  <si>
    <t>((0462))683640</t>
  </si>
  <si>
    <t>Новобілоуська загальноосвітня школа І-ІІІ ступенів Чернігівської районної ради Чернігівської області</t>
  </si>
  <si>
    <t>15501</t>
  </si>
  <si>
    <t>7425585501</t>
  </si>
  <si>
    <t>Новий Білоус</t>
  </si>
  <si>
    <t>вул. Троїцька, 3 А</t>
  </si>
  <si>
    <t>688623</t>
  </si>
  <si>
    <t>Вознесенський навчально-виховнй комплекс "загальноосвітній навчальний заклад - дошкільний навчальний заклад"</t>
  </si>
  <si>
    <t>7425585704</t>
  </si>
  <si>
    <t>вул. Подільська, 1, А</t>
  </si>
  <si>
    <t>(0462)685310</t>
  </si>
  <si>
    <t>Трисвятськослобідська загальноосвітня школа І-ІІІ ступенів</t>
  </si>
  <si>
    <t>7425586001</t>
  </si>
  <si>
    <t>Трисвятська Слобода</t>
  </si>
  <si>
    <t>вул. Волгоградська, 16/б</t>
  </si>
  <si>
    <t>(0462)689807</t>
  </si>
  <si>
    <t>Пакульська загальноосвітня школа І-ІІІ ступенів Чернігівської районної ради Чернігівської області</t>
  </si>
  <si>
    <t>15543</t>
  </si>
  <si>
    <t>7425586301</t>
  </si>
  <si>
    <t>Пакуль</t>
  </si>
  <si>
    <t>вул. Жовтнева, 70</t>
  </si>
  <si>
    <t>(0462)682318</t>
  </si>
  <si>
    <t>Пісківський навчально-виховний комплекс "загальноосвітній навчальний заклад-дошкільний навчальний заклад" Чернігівської районної ради Чернігівської області</t>
  </si>
  <si>
    <t>15533</t>
  </si>
  <si>
    <t>7425586601</t>
  </si>
  <si>
    <t>(0462)687482</t>
  </si>
  <si>
    <t>Петрушинська ЗОШ І-ІІ ступенів</t>
  </si>
  <si>
    <t>15521</t>
  </si>
  <si>
    <t>7425586901</t>
  </si>
  <si>
    <t>Петрушин</t>
  </si>
  <si>
    <t>вул. Чернігівська, 56</t>
  </si>
  <si>
    <t>(0462)68-65-45</t>
  </si>
  <si>
    <t>Редьківський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</si>
  <si>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15518</t>
  </si>
  <si>
    <t>7425587401</t>
  </si>
  <si>
    <t>Редьківка</t>
  </si>
  <si>
    <t>вул. Процька, 8</t>
  </si>
  <si>
    <t>Роїщенська загальноосвітня школа І-ІІ ступенів Чернігівської районної ради Чернігівської області</t>
  </si>
  <si>
    <t>15520</t>
  </si>
  <si>
    <t>7425587501</t>
  </si>
  <si>
    <t>Роїще</t>
  </si>
  <si>
    <t>(0462)688540</t>
  </si>
  <si>
    <t>Рудківська ЗОШ І-ІІ</t>
  </si>
  <si>
    <t>15514</t>
  </si>
  <si>
    <t>7425587701</t>
  </si>
  <si>
    <t>((0462))684140</t>
  </si>
  <si>
    <t>Слабинська загальноосвітня школа І-ІІІ Чернігівської районної ради Чернігівської області</t>
  </si>
  <si>
    <t>15555</t>
  </si>
  <si>
    <t>7425588101</t>
  </si>
  <si>
    <t>Слабин</t>
  </si>
  <si>
    <t>вул. Молодіжна, 9</t>
  </si>
  <si>
    <t>(046)688475</t>
  </si>
  <si>
    <t>http://slabyn-zosh.edukit.cn.ua</t>
  </si>
  <si>
    <t>Слобідська загальноосвітня школа І - ІІ ступенів Іванівської сільської ради Чернігівського району Чернігівської області</t>
  </si>
  <si>
    <t>15564</t>
  </si>
  <si>
    <t>7425588301</t>
  </si>
  <si>
    <t>вул. 8 Березня, 1Б</t>
  </si>
  <si>
    <t>(0462)688240</t>
  </si>
  <si>
    <t>Смолинська загальноосвітня школа І-ІІ ступенів Гончарівської селищної ради Чернігівського району Чернігівської області</t>
  </si>
  <si>
    <t>15557</t>
  </si>
  <si>
    <t>7425588501</t>
  </si>
  <si>
    <t>(098)8921347</t>
  </si>
  <si>
    <t>Старобілоуська загальноосвітня школа І-ІІІ ступенів Чернігівської районної ради Чернігівської області</t>
  </si>
  <si>
    <t>15504</t>
  </si>
  <si>
    <t>7425588601</t>
  </si>
  <si>
    <t>Старий Білоус</t>
  </si>
  <si>
    <t>(0462)696991</t>
  </si>
  <si>
    <t>http://sbilousschool.at.ua</t>
  </si>
  <si>
    <t>Халявинська загальноосвітня школа І-ІІІ ступенів Чернігівської районної ради Чернігівської області</t>
  </si>
  <si>
    <t>15524</t>
  </si>
  <si>
    <t>7425589101</t>
  </si>
  <si>
    <t>Халявин</t>
  </si>
  <si>
    <t>(380462)689110</t>
  </si>
  <si>
    <t>Хмільницький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</si>
  <si>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15510</t>
  </si>
  <si>
    <t>7425589301</t>
  </si>
  <si>
    <t>Хмільниця</t>
  </si>
  <si>
    <t>(0462)687640</t>
  </si>
  <si>
    <t>Комунальний заклад Шибиринівська загальноосвітня школа І-ІІІ ступенів Михайло-Коцюбинської селищної ради Чернігівського району Чернігівської області</t>
  </si>
  <si>
    <t>15515</t>
  </si>
  <si>
    <t>7425589901</t>
  </si>
  <si>
    <t>Шибиринівка</t>
  </si>
  <si>
    <t>(0462)685245</t>
  </si>
  <si>
    <t>Комунальний заклад "Сновська загальноосвітня школа - інтернат І-ІІ ступенів" Чернігвської обласної ради</t>
  </si>
  <si>
    <t>15200</t>
  </si>
  <si>
    <t>7425810100</t>
  </si>
  <si>
    <t>Сновськ</t>
  </si>
  <si>
    <t>вул. 30 років Перемоги, 2А</t>
  </si>
  <si>
    <t>(254)2-29-96</t>
  </si>
  <si>
    <t>http://schors-boarding.ucoz.ru</t>
  </si>
  <si>
    <t>21402145</t>
  </si>
  <si>
    <t>Сновська загальноосвітня школа І - ІІІ ступенів № 2 Сновської міської ради Сновського району Чернігівської області</t>
  </si>
  <si>
    <t>2-03-82</t>
  </si>
  <si>
    <t>Сновська загальноосвітня школа І-ІІІ ступенів № 1 Сновської міської ради Сновського району Чернігівської області</t>
  </si>
  <si>
    <t>вул. 55 Стрілецької Дивізії, 35</t>
  </si>
  <si>
    <t>(04654)21396, (04654)21103</t>
  </si>
  <si>
    <t>http://schors-school1.edukit.cn.ua</t>
  </si>
  <si>
    <t>Сновська гімназія Сновської міської ради Сновського району Чернігівської області</t>
  </si>
  <si>
    <t>(04654)2-11-34</t>
  </si>
  <si>
    <t>Сновський навчально-виховний комплекс "дошкільний навчальний заклад - спеціалізований загальноосвітній навчальний заклад І ступеня" з поглибленим вивченням іноземної мови</t>
  </si>
  <si>
    <t>вул. Гастелло, 2</t>
  </si>
  <si>
    <t>(04654)21706, (04654)22587</t>
  </si>
  <si>
    <t>http://shcorsnvk.ucoz.ru/</t>
  </si>
  <si>
    <t>26332159</t>
  </si>
  <si>
    <t>Великощимельський навчально-виховний комплекс "Загальноосвітній навчальний заклад І-ІІ ступенів - дошкільний навчальний заклад"</t>
  </si>
  <si>
    <t>15207</t>
  </si>
  <si>
    <t>7425880501</t>
  </si>
  <si>
    <t>Великий Щимель</t>
  </si>
  <si>
    <t>вул. Центральна, 10А</t>
  </si>
  <si>
    <t>(04654)44140</t>
  </si>
  <si>
    <t>Гірська загальноосвітня школа І-ІІступенів Сновської міської ради Сновського району Чернігівської області</t>
  </si>
  <si>
    <t>15211</t>
  </si>
  <si>
    <t>7425881001</t>
  </si>
  <si>
    <t>Гірськ</t>
  </si>
  <si>
    <t>вул. Маханова, 1</t>
  </si>
  <si>
    <t>4-56-43</t>
  </si>
  <si>
    <t>Кучинівська загальноосвітня школа І-ІІІ ступенів Сновської міської ради Сновського району Чернігівської області</t>
  </si>
  <si>
    <t>15252</t>
  </si>
  <si>
    <t>7425883001</t>
  </si>
  <si>
    <t>Кучинівка</t>
  </si>
  <si>
    <t>(04654)4-44-40</t>
  </si>
  <si>
    <t>Новоборовицький навчально-виховний комплекс "загальноосвітній навчальний заклад І-ІІІ ступенів - дошкільний навчальний заклад" Сновської міської ради Сновського району Чернігівської області</t>
  </si>
  <si>
    <t>15214</t>
  </si>
  <si>
    <t>7425884001</t>
  </si>
  <si>
    <t>Нові Боровичі</t>
  </si>
  <si>
    <t>вул. Ватутіна, 2</t>
  </si>
  <si>
    <t>(254)4-71-40, (254)4-71-81</t>
  </si>
  <si>
    <t>Петрівський навчально-виховний комплекс "загальноосвітній навчальний заклад І-ІІІ ступенів - дошкільний навчальний заклад"</t>
  </si>
  <si>
    <t>15222</t>
  </si>
  <si>
    <t>7425885001</t>
  </si>
  <si>
    <t>4-45-46</t>
  </si>
  <si>
    <t>Рогізківський навчально-виховний комплекс "Загальноосвітній навчальний заклад І - ІІІ ступенів - дошкільний навчальний заклад" Сновської міськї ради Сновського району Чернігівської області</t>
  </si>
  <si>
    <t>15253</t>
  </si>
  <si>
    <t>7425885501</t>
  </si>
  <si>
    <t>Рогізки</t>
  </si>
  <si>
    <t>(04654)46340</t>
  </si>
  <si>
    <t>Сновський навчально-виховний комплекс "загальноосвітній навчальний заклад І-ІІ ступенів - дошкільний навчальний заклад" Сновської міської ради Сновського району, Чернігівської області</t>
  </si>
  <si>
    <t>15204</t>
  </si>
  <si>
    <t>7425886501</t>
  </si>
  <si>
    <t>Сновське</t>
  </si>
  <si>
    <t>вул. 30 років Перемоги, 4</t>
  </si>
  <si>
    <t>(04654)4-46-40</t>
  </si>
  <si>
    <t>Тихоновицька загальноосвітня школа І-ІІІ ступенів Сновської міської ради Сновського району Чернігівської області</t>
  </si>
  <si>
    <t>15230</t>
  </si>
  <si>
    <t>7425888401</t>
  </si>
  <si>
    <t>Тихоновичі</t>
  </si>
  <si>
    <t>вул. Новослобідська, 2</t>
  </si>
  <si>
    <t>4-53-40</t>
  </si>
  <si>
    <t>Тур’янський навчально-виховний комплекс «Загальноосвітній навчальний заклад І-ІІ ступенів - дошкільний навчальний заклад» Сновської міської ради, Сновського району, Чернігівської області</t>
  </si>
  <si>
    <t>15231</t>
  </si>
  <si>
    <t>7425888801</t>
  </si>
  <si>
    <t>вул. Партизанська, 6</t>
  </si>
  <si>
    <t>(0254)45780</t>
  </si>
  <si>
    <t>Гімназія № 179 міста Києва</t>
  </si>
  <si>
    <t>03039</t>
  </si>
  <si>
    <t>8036100000</t>
  </si>
  <si>
    <t>КИЇВ</t>
  </si>
  <si>
    <t>Київ, Голосіївський район</t>
  </si>
  <si>
    <t>Голосіївський проспект, 120В</t>
  </si>
  <si>
    <t>258-42-42, 258-41-25, 257-40-88</t>
  </si>
  <si>
    <t>http://179.kiev.ua</t>
  </si>
  <si>
    <t>Гімназія № 59 імені О.М. Бойченка міста Києва</t>
  </si>
  <si>
    <t>03028</t>
  </si>
  <si>
    <t>вул. Велика Китаївська, 85</t>
  </si>
  <si>
    <t>525-21-38, 525-15-72, 525-53-30</t>
  </si>
  <si>
    <t>http://gymnasium59.org.ua</t>
  </si>
  <si>
    <t>Еколого-природничий ліцей № 116 міста Києва</t>
  </si>
  <si>
    <t>03041</t>
  </si>
  <si>
    <t>Сільськогосподарський провулок, 2</t>
  </si>
  <si>
    <t>258-99-88, 258-31-13</t>
  </si>
  <si>
    <t>http://eco116.at.ua</t>
  </si>
  <si>
    <t>Загальноосвітній навчальний заклад "Ліцей Міжрегіональної Академії управління персоналом"</t>
  </si>
  <si>
    <t>вул. Фрометівська, 2</t>
  </si>
  <si>
    <t>http://ilmaup.com.ua</t>
  </si>
  <si>
    <t>Загальноосвітній навчальний заклад "Школа екстернів"</t>
  </si>
  <si>
    <t>03127</t>
  </si>
  <si>
    <t>Голосіївський проспект, 106/4</t>
  </si>
  <si>
    <t>257-10-28, 257-03-27</t>
  </si>
  <si>
    <t>http://extern.kiev.ua</t>
  </si>
  <si>
    <t>25198658</t>
  </si>
  <si>
    <t>Ліцей "Голосіївський" № 241 міста Києва</t>
  </si>
  <si>
    <t>вул. Голосіївська, 12</t>
  </si>
  <si>
    <t>525-87-30, 525-87-60</t>
  </si>
  <si>
    <t>http://golos241.in.ua</t>
  </si>
  <si>
    <t>Ліцей "Гранд" м. Києва</t>
  </si>
  <si>
    <t>01033</t>
  </si>
  <si>
    <t>вул. Жилянська, 38</t>
  </si>
  <si>
    <t>287-14-57</t>
  </si>
  <si>
    <t>http://grandschool.com.ua</t>
  </si>
  <si>
    <t>Ліцей № 227 імені М.М. Громова міста Києва</t>
  </si>
  <si>
    <t>03191</t>
  </si>
  <si>
    <t>вул. Маршала Якубовського, 7Д</t>
  </si>
  <si>
    <t>250-02-25, 250-02-28</t>
  </si>
  <si>
    <t>http://lyceum227.kiev.ua</t>
  </si>
  <si>
    <t>Ліцей податкової та рекламної справи № 21 міста Києва</t>
  </si>
  <si>
    <t>вул. Саксаганського, 64</t>
  </si>
  <si>
    <t>289-41-05, 289-63-13, 289-67-94</t>
  </si>
  <si>
    <t>http://21school.kiev.ua</t>
  </si>
  <si>
    <t>Медична гімназія № 33 міста Києва</t>
  </si>
  <si>
    <t>вул. Володимирська, 79Б</t>
  </si>
  <si>
    <t>287-10-96</t>
  </si>
  <si>
    <t>http://medgimnasia33.kiev.ua</t>
  </si>
  <si>
    <t>Навчально-виховний комплекс "дошкільний навчальний заклад - загальноосвітній навчальний заклад "Барвінок" комунальної форми власності</t>
  </si>
  <si>
    <t>03187</t>
  </si>
  <si>
    <t>просп. Академіка Глушкова, 55А</t>
  </si>
  <si>
    <t>522-23-37</t>
  </si>
  <si>
    <t>http://www.nvk-barvinok.edukit.kiev.ua</t>
  </si>
  <si>
    <t>Навчально-виховний комплекс "дошкільний навчальний заклад - загальноосвітній навчальний заклад "Ромашка"</t>
  </si>
  <si>
    <t>вул. Теремківська, 10</t>
  </si>
  <si>
    <t>522-08-29, 526-34-73</t>
  </si>
  <si>
    <t>http://romashkakiev.in.ua</t>
  </si>
  <si>
    <t>Навчально-виховний комплекс "дошкільний навчальний заклад - загальноосвітній навчальний заклад" школа-дитячий садок "Славута"</t>
  </si>
  <si>
    <t>01004</t>
  </si>
  <si>
    <t>вул. Велика Васильківська, 36</t>
  </si>
  <si>
    <t>287-75-74, 287-04-27</t>
  </si>
  <si>
    <t>Приватне підприємство "Навчальний заклад "Європейський колегіум"</t>
  </si>
  <si>
    <t>вул. Сєченова, 9</t>
  </si>
  <si>
    <t>502-53-35</t>
  </si>
  <si>
    <t>http://www.eurocollegium.com</t>
  </si>
  <si>
    <t>Спеціалізована школа І-ІІІ ступенів з поглибленим вивченням англійської мови № 15 міста Києва</t>
  </si>
  <si>
    <t>03040</t>
  </si>
  <si>
    <t>вул. Васильківська, 12А</t>
  </si>
  <si>
    <t>257-71-10</t>
  </si>
  <si>
    <t>http://sch15.ho.ua</t>
  </si>
  <si>
    <t>Спеціалізована школа І-ІІІ ступенів з поглибленим вивченням англійської мови № 165 міста Києва</t>
  </si>
  <si>
    <t>01032</t>
  </si>
  <si>
    <t>вул. Жилянська, 75</t>
  </si>
  <si>
    <t>287-04-20, 289-45-61</t>
  </si>
  <si>
    <t>http://school165.kiev.sch.in.ua</t>
  </si>
  <si>
    <t>Спеціалізована школа І-ІІІ ступенів з поглибленим вивченням англійської мови № 44 міста Києва</t>
  </si>
  <si>
    <t>вул. Жилянська, 46</t>
  </si>
  <si>
    <t>289-77-85, 289-76-05</t>
  </si>
  <si>
    <t>http://kss44.at.ua</t>
  </si>
  <si>
    <t>Спеціалізована школа І-ІІІ ступенів з поглибленим вивченням англійської мови № 85 міста Києва</t>
  </si>
  <si>
    <t>Голосіївський проспект, 36</t>
  </si>
  <si>
    <t>525-84-59, 250-93-74</t>
  </si>
  <si>
    <t>http://school85.kiev.ua</t>
  </si>
  <si>
    <t>Спеціалізована школа І-ІІІ ступенів з поглибленим вивченням англійської мови № 92 імені Івана Франка міста Києва</t>
  </si>
  <si>
    <t>вул. Тарасівська, 11</t>
  </si>
  <si>
    <t>289-14-48, 289-41-73</t>
  </si>
  <si>
    <t>http://school92.ucoz.net</t>
  </si>
  <si>
    <t>Спеціалізована школа І-ІІІ ступенів з поглибленим вивченням англійської та італійської мов № 130 імені Данте Аліг'єрі міста Києва</t>
  </si>
  <si>
    <t>03150</t>
  </si>
  <si>
    <t>вул. Велика Васильківська, 128</t>
  </si>
  <si>
    <t>529-45-01</t>
  </si>
  <si>
    <t>http://school130.org.ua</t>
  </si>
  <si>
    <t>Спеціалізована школа І-ІІІ ступенів з поглибленим вивченням іноземних мов № 112 імені Т.Шевченка міста Києва</t>
  </si>
  <si>
    <t>0315</t>
  </si>
  <si>
    <t>вул. Велика Васильківська, 78</t>
  </si>
  <si>
    <t>287-23-50, 287-30-46, 287-62-78</t>
  </si>
  <si>
    <t>http://www.school112.kiev.ua</t>
  </si>
  <si>
    <t>Спеціалізована школа І-ІІІ ступенів з поглибленим вивченням іноземних мов № 220 міста Києва</t>
  </si>
  <si>
    <t>вул. Маршала Якубовського, 7Г</t>
  </si>
  <si>
    <t>250-07-50</t>
  </si>
  <si>
    <t>http://220school.kiev.ua</t>
  </si>
  <si>
    <t>Спеціалізована школа І-ІІІ ступенів з поглибленим вивченням української мови та літератури № 260 міста Києва</t>
  </si>
  <si>
    <t>вул. Маршала Якубовського, 7Б</t>
  </si>
  <si>
    <t>250-15-87, 250-15-88</t>
  </si>
  <si>
    <t>http://school260.edukit.kiev.ua</t>
  </si>
  <si>
    <t>Спеціалізована школа І-ІІІ ступенів з поглибленим вивченням української мови та літератури № 273 міста Києва</t>
  </si>
  <si>
    <t>03045</t>
  </si>
  <si>
    <t>вул. Набережно-Корчуватська, 94А</t>
  </si>
  <si>
    <t>259-52-21, 259-32-39</t>
  </si>
  <si>
    <t>http://s273.sytto.com</t>
  </si>
  <si>
    <t>Спеціалізована школа І-ІІІ ступенів з поглибленим вивченням української мови та літератури № 87 імені О.П. Довженка міста Києва</t>
  </si>
  <si>
    <t>вул. Антоновича, 4/6</t>
  </si>
  <si>
    <t>234-50-55, 235-60-63</t>
  </si>
  <si>
    <t>http://school87.kiev.ua</t>
  </si>
  <si>
    <t>Спеціалізована школа І-ІІІ ступенів з поглибленим вивченням французької мови № 110 імені К.Гапоненка міста Києва</t>
  </si>
  <si>
    <t>вул. Козацька, 5</t>
  </si>
  <si>
    <t>525-23-00, 525-42-33</t>
  </si>
  <si>
    <t>http://school110.ucoz.com</t>
  </si>
  <si>
    <t>Спеціалізована школа І-ІІІ ступенів з поглибленим вивченням французької мови № 269 міста Києва</t>
  </si>
  <si>
    <t>просп. Академіка Глушкова, 17А</t>
  </si>
  <si>
    <t>526-22-89, 526-36-58</t>
  </si>
  <si>
    <t>http://school269.kiev.ua</t>
  </si>
  <si>
    <t>Спеціальна школа-інтернат І-ІІ ступенів № 11 міста Києва</t>
  </si>
  <si>
    <t>вул. Волзька, 12А</t>
  </si>
  <si>
    <t>529-17-29, 529-05-98, 529-88-06</t>
  </si>
  <si>
    <t>Спеціальна школа-інтернат І-ІІ ступенів № 7 міста Києва</t>
  </si>
  <si>
    <t>03143</t>
  </si>
  <si>
    <t>вул. Заболотного, 146</t>
  </si>
  <si>
    <t>526-70-02, 526-11-18</t>
  </si>
  <si>
    <t>Спеціальна школа-інтернат І-ІІІ ступенів № 9 міста Києва</t>
  </si>
  <si>
    <t>257-50-15, 259-86-38</t>
  </si>
  <si>
    <t>http://school9.kiev.ua</t>
  </si>
  <si>
    <t>Товариство з обмеженою відповідальністю "КРЕАТИВНА МІЖНАРОДНА ДИТЯЧА ШКОЛА"</t>
  </si>
  <si>
    <t>пров. Задорожній, 1А</t>
  </si>
  <si>
    <t>http://creativeschool.com.ua</t>
  </si>
  <si>
    <t>Товариство з обмеженою відповідальністю "Печерська міжнародна школа"</t>
  </si>
  <si>
    <t>вул. Віктора Забіли, 7А</t>
  </si>
  <si>
    <t>http://www.psi.kiev.ua</t>
  </si>
  <si>
    <t>Товариство з обмеженою відповідальністю "Спеціалізований загальноосвітній навчальний заклад І ступеня "Ліко-школа"</t>
  </si>
  <si>
    <t>03189</t>
  </si>
  <si>
    <t>вул. Вільямса Академіка, 9, корпус 1</t>
  </si>
  <si>
    <t>561-00-11, 492-31-82</t>
  </si>
  <si>
    <t>http://liko-school.kiev.ua</t>
  </si>
  <si>
    <t>англійська,німецька,китайська</t>
  </si>
  <si>
    <t>Український фізико-математичний ліцей Київського національного університету імені Тараса Шевченка</t>
  </si>
  <si>
    <t>просп. Академіка Глушкова, 6</t>
  </si>
  <si>
    <t>http://upml.knu.ua</t>
  </si>
  <si>
    <t>Школа І-ІІІ ступенів № 108 міста Києва</t>
  </si>
  <si>
    <t>вул. Уральська, 2/10</t>
  </si>
  <si>
    <t>258-87-94, 258-87-81</t>
  </si>
  <si>
    <t>http://school108.kiev.ua</t>
  </si>
  <si>
    <t>Школа І-ІІІ ступенів № 122 міста Києва</t>
  </si>
  <si>
    <t>вул. Китаївська, 22</t>
  </si>
  <si>
    <t>525-60-15, 525-13-76</t>
  </si>
  <si>
    <t>http://school122.kiev.ua</t>
  </si>
  <si>
    <t>Школа І-ІІІ ступенів № 132 міста Києва</t>
  </si>
  <si>
    <t>просп. Академіка Глушкова, 28</t>
  </si>
  <si>
    <t>526-71-69, 526-22-90, 526-64-32</t>
  </si>
  <si>
    <t>http://school132.edukit.kiev.ua</t>
  </si>
  <si>
    <t>Школа І-ІІІ ступенів № 150 міста Києва</t>
  </si>
  <si>
    <t>03026</t>
  </si>
  <si>
    <t>вул. Пирогівський шлях, 148</t>
  </si>
  <si>
    <t>259-31-60, 525-30-31</t>
  </si>
  <si>
    <t>http://school150.klasna.com/uk</t>
  </si>
  <si>
    <t>Школа І-ІІІ ступенів № 151 міста Києва</t>
  </si>
  <si>
    <t>03131</t>
  </si>
  <si>
    <t>вул. Ліснича, 3</t>
  </si>
  <si>
    <t>259-46-44, 259-44-22</t>
  </si>
  <si>
    <t>http://school151-kiev.at.ua</t>
  </si>
  <si>
    <t>Школа І-ІІІ ступенів № 186 міста Києва</t>
  </si>
  <si>
    <t>вул. Сєченова, 8</t>
  </si>
  <si>
    <t>257-30-45, 257-61-01</t>
  </si>
  <si>
    <t>Школа І-ІІІ ступенів № 236 міста Києва</t>
  </si>
  <si>
    <t>вул. Заболотного, 144</t>
  </si>
  <si>
    <t>526-43-58, 526-20-02</t>
  </si>
  <si>
    <t>http://school-236.at.ua</t>
  </si>
  <si>
    <t>Школа І-ІІІ ступенів № 286 міста Києва</t>
  </si>
  <si>
    <t>вул. Заболотного, 6А</t>
  </si>
  <si>
    <t>522-39-31</t>
  </si>
  <si>
    <t>http://school286.org.ua</t>
  </si>
  <si>
    <t>Школа І-ІІІ ступенів № 36 імені С.П. Корольова міста Києва</t>
  </si>
  <si>
    <t>0304</t>
  </si>
  <si>
    <t>вул. Стельмаха, 9</t>
  </si>
  <si>
    <t>257-40-72</t>
  </si>
  <si>
    <t>http://school36.inf.ua</t>
  </si>
  <si>
    <t>Школа І-ІІІ ступенів № 37 міста Києва</t>
  </si>
  <si>
    <t>вул. Антоновича, 130/17</t>
  </si>
  <si>
    <t>269-31-13, 269-19-61</t>
  </si>
  <si>
    <t>http://school37.kiev.ua</t>
  </si>
  <si>
    <t>Школа ІІ-ІІІ ступенів № 319 імені Валерія Лобановського міста Києва</t>
  </si>
  <si>
    <t>03118</t>
  </si>
  <si>
    <t>просп. Валерія Лобановського, 146-148</t>
  </si>
  <si>
    <t>525-62-49, 525-40-72</t>
  </si>
  <si>
    <t>http://znz319.kiev.ua</t>
  </si>
  <si>
    <t>Товариство з обмеженою відповідальністю "Спеціалізована школа І-ІІІ ступенів "Капітал Юніон"</t>
  </si>
  <si>
    <t>пров. Коломийський, 20</t>
  </si>
  <si>
    <t>http://capital-school.com.ua</t>
  </si>
  <si>
    <t>Гімназія "Діалог"</t>
  </si>
  <si>
    <t>02068</t>
  </si>
  <si>
    <t>8036300000</t>
  </si>
  <si>
    <t>Київ, Дарницький район</t>
  </si>
  <si>
    <t>вул. Олександра Кошиця, 6</t>
  </si>
  <si>
    <t>565-06-77</t>
  </si>
  <si>
    <t>http://www.dialog.org.ua</t>
  </si>
  <si>
    <t>Гімназія "Київська Русь" Дарницького району м. Києва</t>
  </si>
  <si>
    <t>02140</t>
  </si>
  <si>
    <t>вул. Бориса Гмирі, 2В</t>
  </si>
  <si>
    <t>220-09-25</t>
  </si>
  <si>
    <t>Гімназія № 237</t>
  </si>
  <si>
    <t>02121</t>
  </si>
  <si>
    <t>вул. Архітектора Вербицького, 28Г</t>
  </si>
  <si>
    <t>560-91-55</t>
  </si>
  <si>
    <t>http://gym237.kiev.ua</t>
  </si>
  <si>
    <t>Гімназія № 261 м. Києва</t>
  </si>
  <si>
    <t>02091</t>
  </si>
  <si>
    <t>вул. Архітектора Вербицького, 7</t>
  </si>
  <si>
    <t>563-95-93</t>
  </si>
  <si>
    <t>http://gimnaziya261.inet.ua</t>
  </si>
  <si>
    <t>російська,іспанська</t>
  </si>
  <si>
    <t>Гімназія № 267 м. Києва</t>
  </si>
  <si>
    <t>вул. Архітектора Вербицького, 7А</t>
  </si>
  <si>
    <t>560-92-56</t>
  </si>
  <si>
    <t>http://gimnasium-267.at.ua</t>
  </si>
  <si>
    <t>Гімназія № 290</t>
  </si>
  <si>
    <t>вул. Ревуцького, 13А</t>
  </si>
  <si>
    <t>563-02-67</t>
  </si>
  <si>
    <t>англійська,німецька,японська</t>
  </si>
  <si>
    <t>Гімназія № 315 з поглибленим вивченням іноземних мов</t>
  </si>
  <si>
    <t>вул. Драгоманова, 27А</t>
  </si>
  <si>
    <t>564-90-81</t>
  </si>
  <si>
    <t>http://school315.kiev.ua</t>
  </si>
  <si>
    <t>Загальноосвітній навчальний заклад І-ІІІ ступенів гімназія міжнародних відносин № 323 з поглибленим вивченням англійської мови</t>
  </si>
  <si>
    <t>вул. Мишуги, 5</t>
  </si>
  <si>
    <t>565-99-90</t>
  </si>
  <si>
    <t>http://323.kiev.ua</t>
  </si>
  <si>
    <t>Загальноосвітній навчальний заклад І-ІІІ ступенів Скандинавська гімназія</t>
  </si>
  <si>
    <t>вул. Бориса Гмирі, 3Б</t>
  </si>
  <si>
    <t>577-23-26</t>
  </si>
  <si>
    <t>http://scandy.kiev.ua</t>
  </si>
  <si>
    <t>Київська інженерна гімназія</t>
  </si>
  <si>
    <t>вул. Княжий Затон, 12А</t>
  </si>
  <si>
    <t>220-19-69</t>
  </si>
  <si>
    <t>https://www.facebook.com/Київська-інженерна-гімназія-311804295857010/</t>
  </si>
  <si>
    <t>Ліцей "Інтелект"</t>
  </si>
  <si>
    <t>вул. Вірменська, 7</t>
  </si>
  <si>
    <t>560-81-31</t>
  </si>
  <si>
    <t>http://intellect-school.kiev.ua</t>
  </si>
  <si>
    <t>Ліцей "Наукова зміна"</t>
  </si>
  <si>
    <t>просп. Петра Григоренка, 21В</t>
  </si>
  <si>
    <t>570-33-02</t>
  </si>
  <si>
    <t>http://www.naukova-zmina.kiev.ua</t>
  </si>
  <si>
    <t>Ліцей № 303 суспільно-природничого профілю</t>
  </si>
  <si>
    <t>вул. Драгоманова, 9А</t>
  </si>
  <si>
    <t>564-91-19</t>
  </si>
  <si>
    <t>http://www.school-303.inet.ua</t>
  </si>
  <si>
    <t>Приватне підприємство "Спеціалізована школа "Тріумф"</t>
  </si>
  <si>
    <t>вул. Архітектора Вербицького, 24Б</t>
  </si>
  <si>
    <t>560-96-58</t>
  </si>
  <si>
    <t>http://www.triumph.in.ua</t>
  </si>
  <si>
    <t>Приватне підприємство "Школа-дитячий садок "Олімп"</t>
  </si>
  <si>
    <t>вул. Срібнокільська, 4А</t>
  </si>
  <si>
    <t>Середній загальноосвітній заклад "Слов'янська гімназія"</t>
  </si>
  <si>
    <t>вул. Драгоманова, 10В</t>
  </si>
  <si>
    <t>570-87-55, 570-88-24</t>
  </si>
  <si>
    <t>http://www.slovyanka.kiev.ua</t>
  </si>
  <si>
    <t>Середня загальноосвітня школа I-III ступенів № 62</t>
  </si>
  <si>
    <t>вул. Княжий Затон, 17В</t>
  </si>
  <si>
    <t>573-71-11, 573-78-46</t>
  </si>
  <si>
    <t>http://school62.kiev.ua</t>
  </si>
  <si>
    <t>Середня загальноосвітня школа І ступеня № 295 м. Києва</t>
  </si>
  <si>
    <t>565-43-66, 575-91-89</t>
  </si>
  <si>
    <t>http://school-295.inet.ua</t>
  </si>
  <si>
    <t>Спеціалізована загальноосвітня школа I-III ступенів № 105 з поглибленим вивченням предметів суспільно-гуманітарного циклу</t>
  </si>
  <si>
    <t>02096</t>
  </si>
  <si>
    <t>вул. Сімферопольська, 10</t>
  </si>
  <si>
    <t>576-67-70</t>
  </si>
  <si>
    <t>http://school-105.inet.ua</t>
  </si>
  <si>
    <t>Спеціалізована загальноосвітня школа I-III ступенів № 274 з поглибленим вивченням іноземної мови</t>
  </si>
  <si>
    <t>Харківське Шосе, 168І</t>
  </si>
  <si>
    <t>564-47-75, 562-20-49</t>
  </si>
  <si>
    <t>http://school-274.inet.ua</t>
  </si>
  <si>
    <t>Спеціалізована загальноосвітня школа I-III ступенів № 296 з поглибленим вивченням іноземної мови</t>
  </si>
  <si>
    <t>вул. Олександра Кошиця, 8</t>
  </si>
  <si>
    <t>565-12-45</t>
  </si>
  <si>
    <t>http://school296.edukit.kiev.ua</t>
  </si>
  <si>
    <t>Спеціалізована загальноосвітня школа I-III ступенів № 314 з поглибленим вивченням іноземної мови</t>
  </si>
  <si>
    <t>02095</t>
  </si>
  <si>
    <t>вул. Княжий Затон, 7А</t>
  </si>
  <si>
    <t>573-60-06, 573-61-00</t>
  </si>
  <si>
    <t>http://school314.kiev.sch.in.ua</t>
  </si>
  <si>
    <t>Спеціалізована загальноосвітня школа I-III ступенів № 316 з поглибленим вивченням української мови</t>
  </si>
  <si>
    <t>просп. Бажана, 32А</t>
  </si>
  <si>
    <t>565-75-50, 577-37-68</t>
  </si>
  <si>
    <t>http://316shkola.kiev.ua</t>
  </si>
  <si>
    <t>Спеціалізована загальноосвітня школа I-III ступенів з поглибленим вивченням іноземних мов № 329 "Логос" імені Георгія Гонгадзе</t>
  </si>
  <si>
    <t>вул. Урлівська, 19Б</t>
  </si>
  <si>
    <t>569-04-52</t>
  </si>
  <si>
    <t>http://logos.kiev.ua</t>
  </si>
  <si>
    <t>Спеціалізована загальноосвітня школа I-III ступенів з поглибленим вивченням предметів художньо-естетичного циклу № 302 міста Києва</t>
  </si>
  <si>
    <t>вул. Декабристів, 8А</t>
  </si>
  <si>
    <t>562-30-10, 564-66-10</t>
  </si>
  <si>
    <t>http://www.school302.com</t>
  </si>
  <si>
    <t>Спеціалізована загальноосвітня школа I-III ступенів з поглибленим вивченням української мови та літератури № 127 Дарницького району м. Києва</t>
  </si>
  <si>
    <t>02099</t>
  </si>
  <si>
    <t>вул. Ялтинська, 13</t>
  </si>
  <si>
    <t>566-20-22, 566-44-27</t>
  </si>
  <si>
    <t>http://www.127.kiev.ua</t>
  </si>
  <si>
    <t>Спеціалізована загальноосвітня школа № 291 з поглибленим вивченням іноземної мови</t>
  </si>
  <si>
    <t>вул. Тростянецька, 19</t>
  </si>
  <si>
    <t>566-21-27, 566-40-93</t>
  </si>
  <si>
    <t>Спеціалізована загальноосвітня школа І-ІІІ ступенів № 305 з поглибленим вивченням іноземної мови</t>
  </si>
  <si>
    <t>02088</t>
  </si>
  <si>
    <t>вул. Євгенія Харченка, 53</t>
  </si>
  <si>
    <t>564-84-41</t>
  </si>
  <si>
    <t>http://www.school305.pp.ua</t>
  </si>
  <si>
    <t>Спеціалізована школа I-III ступенів № 113 технологічного та спортивного профілю навчання</t>
  </si>
  <si>
    <t>02081</t>
  </si>
  <si>
    <t>вул. Вакуленчука, 50А</t>
  </si>
  <si>
    <t>563-99-14, 563-99-84</t>
  </si>
  <si>
    <t>http://www.school113.ho.ua</t>
  </si>
  <si>
    <t>Спеціалізована школа І-ІІІ ступенів № 255 з поглибленим вивченням природничо-математичних предметів Дарницького району м. Києва</t>
  </si>
  <si>
    <t>вул. Архітектора Вербицького, 26В</t>
  </si>
  <si>
    <t>562-28-84, 560-93-20, 560-93-18</t>
  </si>
  <si>
    <t>http://sch255.net.ua</t>
  </si>
  <si>
    <t>Спеціальна школа І-ІІ ступенів № 10 Дарницького району м. Києва</t>
  </si>
  <si>
    <t>вул. Вакуленчука, 1</t>
  </si>
  <si>
    <t>563-99-18</t>
  </si>
  <si>
    <t>Спеціальна школа І-ІІ ступенів № 12 Дарницького району м. Києва</t>
  </si>
  <si>
    <t>02098</t>
  </si>
  <si>
    <t>Харківське Шосе, 121/3</t>
  </si>
  <si>
    <t>564-44-22</t>
  </si>
  <si>
    <t>16462352</t>
  </si>
  <si>
    <t>Школа I-III ступенів № 111 ім. С.А. Ковпака Дарницького району м. Києва</t>
  </si>
  <si>
    <t>вул. Здолбунівська, 7Б</t>
  </si>
  <si>
    <t>574-40-12, 574-37-26</t>
  </si>
  <si>
    <t>http://www.s111.kiev.ua</t>
  </si>
  <si>
    <t>Школа I-III ступенів № 160 Дарницького району м. Києва</t>
  </si>
  <si>
    <t>вул. Російська, 45</t>
  </si>
  <si>
    <t>566-32-21</t>
  </si>
  <si>
    <t>http://school160.ucoz.ua</t>
  </si>
  <si>
    <t>Школа I-III ступенів № 217 Дарницького району м. Києва</t>
  </si>
  <si>
    <t>02093</t>
  </si>
  <si>
    <t>пров. Поліський, 9</t>
  </si>
  <si>
    <t>566-69-22</t>
  </si>
  <si>
    <t>Школа I-III ступенів № 266 Дарницького району м. Києва</t>
  </si>
  <si>
    <t>вул. Архітектора Вербицького, 14Г</t>
  </si>
  <si>
    <t>562-10-29</t>
  </si>
  <si>
    <t>http://school266.kiev.ua</t>
  </si>
  <si>
    <t>Школа I-III ступенів № 280 Дарницького району м. Києва</t>
  </si>
  <si>
    <t>вул. Євгенія Харченка, 23Б</t>
  </si>
  <si>
    <t>564-80-61, 564-80-60</t>
  </si>
  <si>
    <t>http://school280.kiev.ua</t>
  </si>
  <si>
    <t>Школа I-III ступенів № 284 Дарницького району м. Києва</t>
  </si>
  <si>
    <t>вул. Тростянецька, 7Г</t>
  </si>
  <si>
    <t>563-90-71</t>
  </si>
  <si>
    <t>http://school-284.inet.ua</t>
  </si>
  <si>
    <t>Школа I-III ступенів № 289 Дарницького району м. Києва</t>
  </si>
  <si>
    <t>вул. Славгородська, 14</t>
  </si>
  <si>
    <t>563-06-38</t>
  </si>
  <si>
    <t>http://school289.kiev.ua</t>
  </si>
  <si>
    <t>Школа I-III ступенів № 309 Дарницького району м. Києва</t>
  </si>
  <si>
    <t>575-41-36</t>
  </si>
  <si>
    <t>http://kievschool309.com.ua</t>
  </si>
  <si>
    <t>Школа-дитячий садок I ступеня "Пролісок"</t>
  </si>
  <si>
    <t>вул. Бориспільська, 51</t>
  </si>
  <si>
    <t>567-74-97, 567-98-94</t>
  </si>
  <si>
    <t>http://prolisok.it-we.net</t>
  </si>
  <si>
    <t>Школа-дитячий садок I ступеня "Радосинь"</t>
  </si>
  <si>
    <t>Харківське Шосе, 55Б</t>
  </si>
  <si>
    <t>562-85-83, 563-08-82</t>
  </si>
  <si>
    <t>Гімназія "Києво-Могилянський колегіум" ІІ-ІІІ ступенів Деснянського району міста Києва</t>
  </si>
  <si>
    <t>02217</t>
  </si>
  <si>
    <t>8036400000</t>
  </si>
  <si>
    <t>Київ, Деснянський район</t>
  </si>
  <si>
    <t>вул. Драйзера, 9А</t>
  </si>
  <si>
    <t>547-13-90</t>
  </si>
  <si>
    <t>http://gkmk.kiev.ua</t>
  </si>
  <si>
    <t>24074049</t>
  </si>
  <si>
    <t>Гімназія "Троєщина" ІІ-ІІІ ступенів Деснянського району міста Києва</t>
  </si>
  <si>
    <t>02232</t>
  </si>
  <si>
    <t>вул. Марини Цветаєвої, 14В</t>
  </si>
  <si>
    <t>530-06-97</t>
  </si>
  <si>
    <t>http://troeschyna.kiev.ua</t>
  </si>
  <si>
    <t>22906267</t>
  </si>
  <si>
    <t>Гімназія № 283 ІІ-ІІІ ступенів Деснянського району міста Києва</t>
  </si>
  <si>
    <t>вул. Данькевича, 13</t>
  </si>
  <si>
    <t>530-13-18</t>
  </si>
  <si>
    <t>http://gymnasium-283.at.ua</t>
  </si>
  <si>
    <t>01488937</t>
  </si>
  <si>
    <t>Економіко-правовий ліцей ІІ-ІІІ ступенів Деснянського району міста Києва</t>
  </si>
  <si>
    <t>02156</t>
  </si>
  <si>
    <t>вул. Мілютенка, 5Б</t>
  </si>
  <si>
    <t>513-33-89</t>
  </si>
  <si>
    <t>http://ecolaw.kiev.ua</t>
  </si>
  <si>
    <t>24937510</t>
  </si>
  <si>
    <t>Комунальний заклад "Навчально-виховний комплекс "Спеціалізована школа І ступеня з поглибленим вивченням української мови - гімназія № 39 імені гетьмана України Богдана Хмельницького" Деснянського району міста Києва"</t>
  </si>
  <si>
    <t>02166</t>
  </si>
  <si>
    <t>просп. Лісовий, 17Г</t>
  </si>
  <si>
    <t>518-57-35</t>
  </si>
  <si>
    <t>http://nvk39.kiev.ua</t>
  </si>
  <si>
    <t>03874573</t>
  </si>
  <si>
    <t>Комунальний заклад "Навчально-виховний комплекс "Спеціалізована школа І-ІІ ступенів з поглибленим вивченням природничих наук - ліцей № 293" Деснянського району міста Києва</t>
  </si>
  <si>
    <t>вул. Милославська, 7</t>
  </si>
  <si>
    <t>530-08-42</t>
  </si>
  <si>
    <t>http://nvk293.kiev.sch.in.ua</t>
  </si>
  <si>
    <t>01489291</t>
  </si>
  <si>
    <t>Комунальний заклад "Спеціалізована школа І-ІІІ ступенів № 247 з поглибленим вивченням іноземних мов" Деснянського району міста Києва</t>
  </si>
  <si>
    <t>вул. Закревського, 37Б</t>
  </si>
  <si>
    <t>515-70-21</t>
  </si>
  <si>
    <t>http://school247.kiev.sch.in.ua</t>
  </si>
  <si>
    <t>03598788</t>
  </si>
  <si>
    <t>Комунальний заклад «Вечірня (змінна) школа ІІ-ІІІ ступенів № 18» Деснянського району міста Києва</t>
  </si>
  <si>
    <t>ІІ-ІІІ</t>
  </si>
  <si>
    <t>вул. Братиславська, 14А</t>
  </si>
  <si>
    <t>513-65-65</t>
  </si>
  <si>
    <t>https://vsh18.jimdo.com</t>
  </si>
  <si>
    <t>01489345</t>
  </si>
  <si>
    <t>Навчально-виховний комплекс "Дошкільний навчальний заклад - загальноосвітній навчальний заклад "Престиж" при Міжрегіональній Академії управління персоналом"</t>
  </si>
  <si>
    <t>Вигурівський бульвар, 13А</t>
  </si>
  <si>
    <t>530-13-21, 532-23-01</t>
  </si>
  <si>
    <t>http://www.nvkprestige.in.ua</t>
  </si>
  <si>
    <t>Навчально-виховний комплекс "Лісові дзвіночки" з поглибленим вивченням іноземної мови</t>
  </si>
  <si>
    <t>вул. Волкова, 22А</t>
  </si>
  <si>
    <t>518-23-02</t>
  </si>
  <si>
    <t>http://www.snvkld.kiev.ua</t>
  </si>
  <si>
    <t>Приватна Лінгвістична гімназія</t>
  </si>
  <si>
    <t>вул. Беретті, 7</t>
  </si>
  <si>
    <t>546-80-26</t>
  </si>
  <si>
    <t>http://lgymnasium.kiev.ua</t>
  </si>
  <si>
    <t>Приватна організація (установа, заклад) "Загальноосвітній навчальний заклад "Міжнародна школа Глобус"</t>
  </si>
  <si>
    <t>вул. Миколи Закревського, 42</t>
  </si>
  <si>
    <t>481-33-71</t>
  </si>
  <si>
    <t>http://gymnasium.com.ua</t>
  </si>
  <si>
    <t>Приватне підприємство "Київська загальноосвітня гімназія "Грейс"</t>
  </si>
  <si>
    <t>а/с 1</t>
  </si>
  <si>
    <t>вул. Матеюка, 4</t>
  </si>
  <si>
    <t>513-51-21, 513-72-50</t>
  </si>
  <si>
    <t>https://www.facebook.com/pages/Гимназия-Грейс/461709267200557</t>
  </si>
  <si>
    <t>Школа І ступеня № 311 Деснянського району міста Києва</t>
  </si>
  <si>
    <t>вул. Милославська, 27</t>
  </si>
  <si>
    <t>530-99-82</t>
  </si>
  <si>
    <t>http://school-311.at.ua</t>
  </si>
  <si>
    <t>22934200</t>
  </si>
  <si>
    <t>Спеціалізована школа I ступеня № 322 з поглибленим вивченням англійської мови Деснянського району міста Києва</t>
  </si>
  <si>
    <t>просп. Маяковського, 38А</t>
  </si>
  <si>
    <t>530-03-31</t>
  </si>
  <si>
    <t>http://sch322kiev.at.ua</t>
  </si>
  <si>
    <t>22874171</t>
  </si>
  <si>
    <t>Спеціалізована школа І ступеня № 312 з поглибленим вивченням англійської мови Деснянського району міста Києва</t>
  </si>
  <si>
    <t>02225</t>
  </si>
  <si>
    <t>вул. Каштанова, 12</t>
  </si>
  <si>
    <t>515-28-42</t>
  </si>
  <si>
    <t>http://school312.kiev.ua</t>
  </si>
  <si>
    <t>22934223</t>
  </si>
  <si>
    <t>Спеціалізована школа І-ІІІ ступенів № 152 з поглибленим вивченням англійської мови Деснянського району міста Києва</t>
  </si>
  <si>
    <t>вул. Академіка Курчатова, 18/1</t>
  </si>
  <si>
    <t>518-25-43</t>
  </si>
  <si>
    <t>http://school152.kiev.ua</t>
  </si>
  <si>
    <t>03875118</t>
  </si>
  <si>
    <t>Спеціалізована школа І-ІІІ ступенів № 189 з поглибленим вивченням англійської та німецької мов Деснянського району міста Києва</t>
  </si>
  <si>
    <t>вул. Мілютенка, 5</t>
  </si>
  <si>
    <t>513-83-09</t>
  </si>
  <si>
    <t>http://sh189.ucoz.ua</t>
  </si>
  <si>
    <t>03871037</t>
  </si>
  <si>
    <t>Спеціалізована школа І-ІІІ ступенів № 202 з поглибленим вивченням природничо-математичних наук Деснянського району міста Києва</t>
  </si>
  <si>
    <t>просп. Лісовий, 22А</t>
  </si>
  <si>
    <t>http://school202.edukit.kiev.ua</t>
  </si>
  <si>
    <t>03875354</t>
  </si>
  <si>
    <t>Спеціалізована школа І-ІІІ ступенів № 207 з поглибленим вивченням англійської мови Деснянського району міста Києва</t>
  </si>
  <si>
    <t>просп. Лісовий, 33А</t>
  </si>
  <si>
    <t>518-91-56</t>
  </si>
  <si>
    <t>http://school207.edukit.kiev.ua</t>
  </si>
  <si>
    <t>03598721</t>
  </si>
  <si>
    <t>Спеціалізована школа І-ІІІ ступенів № 23 з поглибленим вивченням англійської мови Деснянського району міста Києва</t>
  </si>
  <si>
    <t>02089</t>
  </si>
  <si>
    <t>вул. Путивльська, 35</t>
  </si>
  <si>
    <t>513-40-54</t>
  </si>
  <si>
    <t>http://school23.kiev.ua</t>
  </si>
  <si>
    <t>03874432</t>
  </si>
  <si>
    <t>Спеціалізована школа І-ІІІ ступенів № 250 з поглибленим вивченням математики Деснянського району міста Києва</t>
  </si>
  <si>
    <t>просп. Маяковського, 49Б</t>
  </si>
  <si>
    <t>515-24-21</t>
  </si>
  <si>
    <t>http://sh250kiev.wix.com/sh250</t>
  </si>
  <si>
    <t>03598794</t>
  </si>
  <si>
    <t>Спеціалізована школа І-ІІІ ступенів № 251 імені Хо Ши Міна з поглибленим вивченням англійської мови Деснянського району міста Києва</t>
  </si>
  <si>
    <t>вул. Закревського, 11А</t>
  </si>
  <si>
    <t>515-93-09</t>
  </si>
  <si>
    <t>http://school251.edukit.kiev.ua</t>
  </si>
  <si>
    <t>03599003</t>
  </si>
  <si>
    <t>Спеціалізована школа І-ІІІ ступенів № 264 з поглибленим вивченням англійської мови Деснянського району міста Києва</t>
  </si>
  <si>
    <t>вул. Оноре Де Бальзака, 8Г</t>
  </si>
  <si>
    <t>515-14-17</t>
  </si>
  <si>
    <t>http://www.school264.edukit.kiev.ua</t>
  </si>
  <si>
    <t>03599032</t>
  </si>
  <si>
    <t>Спеціалізована школа І-ІІІ ступенів № 277 з поглибленим вивченням англійської мови Деснянського району міста Києва</t>
  </si>
  <si>
    <t>вул. Сабурова, 6</t>
  </si>
  <si>
    <t>530-26-23</t>
  </si>
  <si>
    <t>http://school277.ucoz.net</t>
  </si>
  <si>
    <t>01488038</t>
  </si>
  <si>
    <t>Спеціалізована школа І-ІІІ ступенів № 301 імені Ярослава Мудрого з поглибленим вивченням англійської мови Деснянського району міста Києва</t>
  </si>
  <si>
    <t>просп. Маяковського, 93В</t>
  </si>
  <si>
    <t>530-77-81</t>
  </si>
  <si>
    <t>http://school301.in.ua</t>
  </si>
  <si>
    <t>22934708</t>
  </si>
  <si>
    <t>Спеціалізована школа І-ІІІ ступенів № 307 з поглибленим вивченням природничих наук Деснянського району міста Києва</t>
  </si>
  <si>
    <t>02097</t>
  </si>
  <si>
    <t>вул. Лісківська, 4Б</t>
  </si>
  <si>
    <t>530-06-42</t>
  </si>
  <si>
    <t>http://307.in.ua</t>
  </si>
  <si>
    <t>22871936</t>
  </si>
  <si>
    <t>Спеціалізована школа І-ІІІ ступенів № 313 з поглибленим вивченням інформаційних технологій Деснянського району міста Києва</t>
  </si>
  <si>
    <t>вул. Лісківська, 7Б</t>
  </si>
  <si>
    <t>530-14-40</t>
  </si>
  <si>
    <t>http://school-313.at.ua</t>
  </si>
  <si>
    <t>22934720</t>
  </si>
  <si>
    <t>Спеціалізована школа І-ІІІ ступенів № 320 з поглибленим вивченням української мови Деснянського району міста Києва</t>
  </si>
  <si>
    <t>вул. Будущанська, 8</t>
  </si>
  <si>
    <t>530-18-26</t>
  </si>
  <si>
    <t>https://school320.e-schools.info/</t>
  </si>
  <si>
    <t>22886323</t>
  </si>
  <si>
    <t>Спеціалізований навчально-виховний комлпекс "Деснянка" з поглибленим вивченням англійської мови Деснянського району міста Києва</t>
  </si>
  <si>
    <t>Вигурівський бульвар, 13Б</t>
  </si>
  <si>
    <t>530-13-22</t>
  </si>
  <si>
    <t>http://desnyanka.kiev.ua</t>
  </si>
  <si>
    <t>Спеціалізований навчально-виховний комплекс "Усмішка" з поглибленим вивченням англійської мови Деснянського району міста Києва</t>
  </si>
  <si>
    <t>вул. Бальзака, 90А</t>
  </si>
  <si>
    <t>530-06-77</t>
  </si>
  <si>
    <t>http://usmishka.at.ua</t>
  </si>
  <si>
    <t>Спеціалізований навчально-виховний комплекс "Вікторія" з поглибленим вивченням англійської мови</t>
  </si>
  <si>
    <t>вул. Закревського, 85В</t>
  </si>
  <si>
    <t>530-15-07</t>
  </si>
  <si>
    <t>http://snvk-viktoriya.hol.es</t>
  </si>
  <si>
    <t>Спеціалізований навчально-виховний комплекс "Київські каштани" з поглибленим вивченням англійської мови</t>
  </si>
  <si>
    <t>вул. Каштанова, 13Б</t>
  </si>
  <si>
    <t>546-58-52</t>
  </si>
  <si>
    <t>http://kchestnut.wixsite.com/kiev</t>
  </si>
  <si>
    <t>Спеціальний навчально-виховний комплекс "Мрія" Деснянського району міста Києва</t>
  </si>
  <si>
    <t>вул. Беретті, 9</t>
  </si>
  <si>
    <t>515-37-03</t>
  </si>
  <si>
    <t>http://www.mriya.kiev.ua</t>
  </si>
  <si>
    <t>Школа І-ІІІ ступенів № 119 Деснянського району міста Києва</t>
  </si>
  <si>
    <t>вул. Закревського, 15Б</t>
  </si>
  <si>
    <t>515-88-86</t>
  </si>
  <si>
    <t>http://school119.mirshkol.com</t>
  </si>
  <si>
    <t>03598707</t>
  </si>
  <si>
    <t>Школа І-ІІІ ступенів № 147 Деснянського району міста Києва</t>
  </si>
  <si>
    <t>просп. Лісовий, 17В</t>
  </si>
  <si>
    <t>518-71-69</t>
  </si>
  <si>
    <t>http://school-147.kiev.ua</t>
  </si>
  <si>
    <t>03875070</t>
  </si>
  <si>
    <t>Школа І-ІІІ ступенів № 190 Деснянського району міста Києва</t>
  </si>
  <si>
    <t>вул. Шолом-Алейхема, 16А</t>
  </si>
  <si>
    <t>513-81-30</t>
  </si>
  <si>
    <t>http://sh190.kiev.ua</t>
  </si>
  <si>
    <t>01211621</t>
  </si>
  <si>
    <t>Школа І-ІІІ ступенів № 192 Деснянського району міста Києва</t>
  </si>
  <si>
    <t>513-35-44</t>
  </si>
  <si>
    <t>http://school192.edukit.kiev.ua</t>
  </si>
  <si>
    <t>03871735</t>
  </si>
  <si>
    <t>Школа І-ІІІ ступенів № 212 Деснянського району міста Києва</t>
  </si>
  <si>
    <t>вул. Академіка Курчатова, 18/2</t>
  </si>
  <si>
    <t>513-40-09</t>
  </si>
  <si>
    <t>http://school212.ukit.me</t>
  </si>
  <si>
    <t>03598736</t>
  </si>
  <si>
    <t>Школа І-ІІІ ступенів № 213 Деснянського району міста Києва</t>
  </si>
  <si>
    <t>просп. Лісовий, 33Б</t>
  </si>
  <si>
    <t>518-76-36</t>
  </si>
  <si>
    <t>http://school213.ucoz.ua</t>
  </si>
  <si>
    <t>03598765</t>
  </si>
  <si>
    <t>Школа І-ІІІ ступенів № 218 Деснянського району міста Києва</t>
  </si>
  <si>
    <t>вул. Курчатова, 6А</t>
  </si>
  <si>
    <t>549-14-72</t>
  </si>
  <si>
    <t>https://sites.google.com/view/sch-218</t>
  </si>
  <si>
    <t>01039524</t>
  </si>
  <si>
    <t>Школа І-ІІІ ступенів № 238 Деснянського району міста Києва</t>
  </si>
  <si>
    <t>вул. Закревського, 35Б</t>
  </si>
  <si>
    <t>515-95-35</t>
  </si>
  <si>
    <t>http://www.school238.kiev.sch.in.ua</t>
  </si>
  <si>
    <t>03598771</t>
  </si>
  <si>
    <t>Школа І-ІІІ ступенів № 248 Деснянського району міста Києва</t>
  </si>
  <si>
    <t>вул. Закревського, 45Б</t>
  </si>
  <si>
    <t>515-64-16</t>
  </si>
  <si>
    <t>http://kyivschool248.jimdo.com</t>
  </si>
  <si>
    <t>03871971</t>
  </si>
  <si>
    <t>Школа І-ІІІ ступенів № 249 Деснянського району міста Києва</t>
  </si>
  <si>
    <t>515-24-50</t>
  </si>
  <si>
    <t>http://eyewatch.com.ua</t>
  </si>
  <si>
    <t>03872551</t>
  </si>
  <si>
    <t>Школа І-ІІІ ступенів № 259 Деснянського району міста Києва</t>
  </si>
  <si>
    <t>просп. Маяковського, 21Г</t>
  </si>
  <si>
    <t>515-73-47</t>
  </si>
  <si>
    <t>http://school259.in.ua</t>
  </si>
  <si>
    <t>03599019</t>
  </si>
  <si>
    <t>Школа І-ІІІ ступенів № 263 імені Євгена Коновальця Деснянського району міста Києва</t>
  </si>
  <si>
    <t>вул. Сабурова, 19Б</t>
  </si>
  <si>
    <t>515-28-44</t>
  </si>
  <si>
    <t>http://school263.kiev.ua</t>
  </si>
  <si>
    <t>03599026</t>
  </si>
  <si>
    <t>Школа І-ІІІ ступенів № 270 Деснянського району міста Києва</t>
  </si>
  <si>
    <t>просп. Маяковського, 21В</t>
  </si>
  <si>
    <t>515-41-63</t>
  </si>
  <si>
    <t>http://school270.kiev.ua</t>
  </si>
  <si>
    <t>01486950</t>
  </si>
  <si>
    <t>Школа І-ІІІ ступенів № 275 імені Кравчука Володимира Деснянського району міста Києва</t>
  </si>
  <si>
    <t>просп. Маяковського, 3Г</t>
  </si>
  <si>
    <t>546-38-16</t>
  </si>
  <si>
    <t>http://sch275.wix.com/sch275</t>
  </si>
  <si>
    <t>01487814</t>
  </si>
  <si>
    <t>Школа І-ІІІ ступенів № 276 Деснянського району міста Києва</t>
  </si>
  <si>
    <t>вул. Сабурова, 14</t>
  </si>
  <si>
    <t>530-20-86</t>
  </si>
  <si>
    <t>http://kyivschool276.at.ua</t>
  </si>
  <si>
    <t>01487866</t>
  </si>
  <si>
    <t>Школа І-ІІІ ступенів № 278 Деснянського району міста Києва</t>
  </si>
  <si>
    <t>02230</t>
  </si>
  <si>
    <t>вул. Радосинська, 2А</t>
  </si>
  <si>
    <t>545-12-74</t>
  </si>
  <si>
    <t>http://school278.kiev.ua</t>
  </si>
  <si>
    <t>01488050</t>
  </si>
  <si>
    <t>Школа І-ІІІ ступенів № 282 Деснянського району міста Києва</t>
  </si>
  <si>
    <t>вул. Закревського, 65А</t>
  </si>
  <si>
    <t>530-01-54</t>
  </si>
  <si>
    <t>http://school282.kyiv.ua</t>
  </si>
  <si>
    <t>01488067</t>
  </si>
  <si>
    <t>Школа І-ІІІ ступенів № 292 імені гетьмана України Івана Мазепи Деснянського району міста Києва</t>
  </si>
  <si>
    <t>вул. Данькевича, 5</t>
  </si>
  <si>
    <t>530-03-80</t>
  </si>
  <si>
    <t>http://www.sh292.ho.ua</t>
  </si>
  <si>
    <t>01488943</t>
  </si>
  <si>
    <t>Школа І-ІІІ ступенів № 294 Деснянського району міста Києва</t>
  </si>
  <si>
    <t>вул. Марини Цвєтаєвої, 6</t>
  </si>
  <si>
    <t>530-15-59</t>
  </si>
  <si>
    <t>http://school294.ucoz.ua</t>
  </si>
  <si>
    <t>01489305</t>
  </si>
  <si>
    <t>Школа І-ІІІ ступенів № 300 Деснянського району міста Києва</t>
  </si>
  <si>
    <t>просп. Маяковського, 93Г</t>
  </si>
  <si>
    <t>530-06-60</t>
  </si>
  <si>
    <t>http://school300.kiev.sch.in.ua</t>
  </si>
  <si>
    <t>22906882</t>
  </si>
  <si>
    <t>Школа І-ІІІ ступенів № 306 Деснянського району міста Києва</t>
  </si>
  <si>
    <t>вул. Лісківська, 4А</t>
  </si>
  <si>
    <t>530-06-41</t>
  </si>
  <si>
    <t>http://school306.com.ua</t>
  </si>
  <si>
    <t>22906505</t>
  </si>
  <si>
    <t>Школа І-ІІІ ступенів № 308 Деснянського району міста Києва</t>
  </si>
  <si>
    <t>вул. Градинська, 6Б</t>
  </si>
  <si>
    <t>530-99-75</t>
  </si>
  <si>
    <t>http://schoolkiev.wixsite.com/school308</t>
  </si>
  <si>
    <t>22868696</t>
  </si>
  <si>
    <t>Школа І-ІІІ ступенів № 321 Деснянського району міста Києва</t>
  </si>
  <si>
    <t>вул. Драйзера, 40Б</t>
  </si>
  <si>
    <t>515-60-92</t>
  </si>
  <si>
    <t>http://school321-kiev-ua.webnode.com.ua</t>
  </si>
  <si>
    <t>22886338</t>
  </si>
  <si>
    <t>Навчально-виховний комплекс"Діамант"Деснянського району міста Києва</t>
  </si>
  <si>
    <t>вул. Радунська, 46А</t>
  </si>
  <si>
    <t>530-42-50</t>
  </si>
  <si>
    <t>Вечірня середня школа ІІ-ІІІ ступенів № 4 м. Києва</t>
  </si>
  <si>
    <t>8036600000</t>
  </si>
  <si>
    <t>Київ, Дніпровський район</t>
  </si>
  <si>
    <t>вул. Тампере, 10</t>
  </si>
  <si>
    <t>296-12-26</t>
  </si>
  <si>
    <t>https://www.facebook.com/VechSH/</t>
  </si>
  <si>
    <t>Гімназія № 136 м. Києва</t>
  </si>
  <si>
    <t>02154</t>
  </si>
  <si>
    <t>вул. Ентузіастів, 29/3</t>
  </si>
  <si>
    <t>295-07-66, 517-37-00</t>
  </si>
  <si>
    <t>http://gimn136.kiev.ua</t>
  </si>
  <si>
    <t>англійська,французька,німецька,іспанська</t>
  </si>
  <si>
    <t>Гімназія № 191 ім. П.Г. Тичини з поглибленим вивченням іноземних мов м. Києва</t>
  </si>
  <si>
    <t>02152</t>
  </si>
  <si>
    <t>вул. Івана Миколайчука, 9А</t>
  </si>
  <si>
    <t>550-90-55, 550-91-00</t>
  </si>
  <si>
    <t>http://gymnasia191.com.ua</t>
  </si>
  <si>
    <t>Приватний навчальний заклад «Навчально-виховний комплекс «Гуманітарна гімназія «Гармонія»</t>
  </si>
  <si>
    <t>02192</t>
  </si>
  <si>
    <t>вул. Жмаченка, 14</t>
  </si>
  <si>
    <t>544-13-46</t>
  </si>
  <si>
    <t>http://www.harmony-gymnasia.kiev.ua</t>
  </si>
  <si>
    <t>Ліцей № 208 м. Києва</t>
  </si>
  <si>
    <t>вул. О. Туманяна, 2</t>
  </si>
  <si>
    <t>516-65-30, 516-87-39</t>
  </si>
  <si>
    <t>http://l208.kiev.ua</t>
  </si>
  <si>
    <t>Навчальний заклад освіти "Гімназія "Столиця" Київської Академії наук у формі підприємства об'єднання громадян</t>
  </si>
  <si>
    <t>02218</t>
  </si>
  <si>
    <t>вул. Вершигори, 9Б (юридична адреса: Печерський узвіз, 19)</t>
  </si>
  <si>
    <t>542-99-29, 542-63-68</t>
  </si>
  <si>
    <t>http://www.stolitsa-gim.kiev.ua</t>
  </si>
  <si>
    <t>Навчально-виховний комплекс "Домінанта" (дошкільний навчальний заклад - спеціалізована школа І ступеня - суспільно-гуманітарна гімназія - спеціалізована школа № 204 з поглибленим вивченням фізичної культури)</t>
  </si>
  <si>
    <t>543-37-57</t>
  </si>
  <si>
    <t>http://nvkdominanta.kiev.ua</t>
  </si>
  <si>
    <t>22875220</t>
  </si>
  <si>
    <t>Навчально-виховний комплекс № 167 з поглибленим вивченням німецької мови (спеціалізована школа І ступеня - гімназія) м. Києва</t>
  </si>
  <si>
    <t>02105</t>
  </si>
  <si>
    <t>просп. Соборності, 12В</t>
  </si>
  <si>
    <t>292-13-58, 292-31-33</t>
  </si>
  <si>
    <t>http://nvk167.kiev.ua</t>
  </si>
  <si>
    <t>Навчально-виховний комплекс № 176 (спеціалізована школа І ступеня з поглибленим вивченням іспанської мови - суспільно-гуманітарна гімназія) м. Києва</t>
  </si>
  <si>
    <t>02094</t>
  </si>
  <si>
    <t>просп. Ю. Гагаріна, 11</t>
  </si>
  <si>
    <t>292-21-31, 292-81-21</t>
  </si>
  <si>
    <t>http://www.school176.at.ua</t>
  </si>
  <si>
    <t>Навчально-виховний комплекс № 183 "Фортуна" з поглибленим вивченням іноземних мов (спеціалізована школа І ступеня - гімназія) м. Києва</t>
  </si>
  <si>
    <t>вул. Юності, 5</t>
  </si>
  <si>
    <t>543-86-52</t>
  </si>
  <si>
    <t>Навчально-виховний комплекс № 209 "Сузір'я" (початкова спеціалізована школа - колегіум) м. Києва</t>
  </si>
  <si>
    <t>вул. Березняківська, 32</t>
  </si>
  <si>
    <t>550-51-55, 550-51-44</t>
  </si>
  <si>
    <t>http://www.nvk209.kiev.ua</t>
  </si>
  <si>
    <t>Навчально-виховний комплекс № 30 "Еконад" (спеціалізована школа І ступеня з поглибленим вивченням іноземних мов - гімназія) м. Києва</t>
  </si>
  <si>
    <t>вул. Березняківська, 30Б</t>
  </si>
  <si>
    <t>550-32-68</t>
  </si>
  <si>
    <t>http://www.ekonad.net.ua</t>
  </si>
  <si>
    <t>Товариство з обмеженою відповідальністю "Академія сучасної освіти"</t>
  </si>
  <si>
    <t>вул. Регенераторна, 4В (юридична адреса: вул. Рибальська, 22)</t>
  </si>
  <si>
    <t>364-1-364</t>
  </si>
  <si>
    <t>http://academy.com.ua</t>
  </si>
  <si>
    <t>Русанівський ліцей м. Києва</t>
  </si>
  <si>
    <t>02147</t>
  </si>
  <si>
    <t>б-р Ігоря Шамо, 17А</t>
  </si>
  <si>
    <t>517-38-46</t>
  </si>
  <si>
    <t>http://www.rl.kiev.ua</t>
  </si>
  <si>
    <t>Середня загальноосвітня школа І-ІІІ ступенів № 103 м. Києва</t>
  </si>
  <si>
    <t>вул. Алма-Атинська, 89</t>
  </si>
  <si>
    <t>568-83-14, 568-82-18, 568-82-18</t>
  </si>
  <si>
    <t>http://school103.kiev.sch.in.ua</t>
  </si>
  <si>
    <t>Середня загальноосвітня школа І-ІІІ ступенів № 11 м. Києва</t>
  </si>
  <si>
    <t>02092</t>
  </si>
  <si>
    <t>вул. Алма-Атинська, 113</t>
  </si>
  <si>
    <t>568-78-21</t>
  </si>
  <si>
    <t>http://www.uosvitydnr.gov.ua/index.php?w=learn&amp;cat_id=2&amp;show=learn&amp;search=&amp;id=123</t>
  </si>
  <si>
    <t>Середня загальноосвітня школа І-ІІІ ступенів № 126 м. Києва</t>
  </si>
  <si>
    <t>вул. Празька, 14</t>
  </si>
  <si>
    <t>292-13-38</t>
  </si>
  <si>
    <t>http://gitas.com.ua/school126/</t>
  </si>
  <si>
    <t>Середня загальноосвітня школа І-ІІІ ступенів № 128 м. Києва</t>
  </si>
  <si>
    <t>вул. Раїси Окіпної, 6</t>
  </si>
  <si>
    <t>517-12-74, 517-07-66</t>
  </si>
  <si>
    <t>http://128.kiev.ua</t>
  </si>
  <si>
    <t>Комунальний навчальний заклад "Навчально виховний комплекс № 141 "Освітні ресурси та технологічний тренінг" міста Києва (дошкільний навчальний заклад - школа I ступеня - спеціалізована школа II ступеня з поглибленим вивченням іноземних мов та інформаційних технологій - технологічний ліцей)"</t>
  </si>
  <si>
    <t>б-р Ігоря Шамо, 5</t>
  </si>
  <si>
    <t>295-77-33, 295-79-50</t>
  </si>
  <si>
    <t>http://www.ortlyceum.kiev.ua</t>
  </si>
  <si>
    <t>Середня загальноосвітня школа І-ІІІ ступенів № 146 м. Києва</t>
  </si>
  <si>
    <t>просп. Миру, 11</t>
  </si>
  <si>
    <t>292-22-15, 292-03-92, 292-03-92</t>
  </si>
  <si>
    <t>http://school146.edukit.kiev.ua</t>
  </si>
  <si>
    <t>Середня загальноосвітня школа І-ІІІ ступенів № 158 м. Києва</t>
  </si>
  <si>
    <t>02125</t>
  </si>
  <si>
    <t>вул. Стальського, 12</t>
  </si>
  <si>
    <t>540-91-01, 540-91-37, 540-91-38</t>
  </si>
  <si>
    <t>http://www.school158.edukit.kiev.ua</t>
  </si>
  <si>
    <t>Середня загальноосвітня школа І-ІІІ ступенів № 180 м. Києва</t>
  </si>
  <si>
    <t>б-р Перова, 21</t>
  </si>
  <si>
    <t>542-46-41, 542-46-24</t>
  </si>
  <si>
    <t>http://sch180.kiev.ua</t>
  </si>
  <si>
    <t>Середня загальноосвітня школа І-ІІІ ступенів № 182 м. Києва</t>
  </si>
  <si>
    <t>б-р Ігоря Шамо, 17</t>
  </si>
  <si>
    <t>295-68-06, 573-34-99</t>
  </si>
  <si>
    <t>Середня загальноосвітня школа І-ІІІ ступенів № 184 м. Києва</t>
  </si>
  <si>
    <t>02139</t>
  </si>
  <si>
    <t>вул. Вільде, 5</t>
  </si>
  <si>
    <t>510-39-02, 510-05-72, 510-42-03, 510-52-80</t>
  </si>
  <si>
    <t>http://sh184.kiev.ua</t>
  </si>
  <si>
    <t>Середня загальноосвітня школа І-ІІІ ступенів № 195 ім. В.І. Кудряшова м. Києва</t>
  </si>
  <si>
    <t>вул. Івана Миколайчука, 17А</t>
  </si>
  <si>
    <t>550-62-66, 550-62-44, 550-62-66</t>
  </si>
  <si>
    <t>https://www.facebook.com/szo195/</t>
  </si>
  <si>
    <t>Середня загальноосвітня школа І-ІІІ ступенів № 201 м. Києва</t>
  </si>
  <si>
    <t>б-р Перова, 14А</t>
  </si>
  <si>
    <t>510-88-47</t>
  </si>
  <si>
    <t>http://www.school201.edukit.kiev.ua</t>
  </si>
  <si>
    <t>Середня загальноосвітня школа І-ІІІ ступенів № 224 м. Києва</t>
  </si>
  <si>
    <t>02183</t>
  </si>
  <si>
    <t>вул. Кибальчича, 5</t>
  </si>
  <si>
    <t>512-83-82</t>
  </si>
  <si>
    <t>http://224school.in.ua/</t>
  </si>
  <si>
    <t>Середня загальноосвітня школа І-ІІІ ступенів № 228 м. Києва</t>
  </si>
  <si>
    <t>вул. Березняківська, 34</t>
  </si>
  <si>
    <t>550-32-67, 550-23-46, 550-63-08</t>
  </si>
  <si>
    <t>https://www.facebook.com/SCH228/</t>
  </si>
  <si>
    <t>Середня загальноосвітня школа І-ІІІ ступенів № 258 м. Києва</t>
  </si>
  <si>
    <t>вул. Міста Шаллет, 1А</t>
  </si>
  <si>
    <t>543-88-75, 543-77-01, 543-77-17</t>
  </si>
  <si>
    <t>http://www.school258.kiev.sch.in.ua</t>
  </si>
  <si>
    <t>Середня загальноосвітня школа І-ІІІ ступенів № 4 м. Києва</t>
  </si>
  <si>
    <t>04075</t>
  </si>
  <si>
    <t>вул. Стальського, 26А</t>
  </si>
  <si>
    <t>512-08-09, 512-41-06</t>
  </si>
  <si>
    <t>http://school4.edukit.kiev.ua</t>
  </si>
  <si>
    <t>Середня загальноосвітня школа І-ІІІ ступенів № 42 м. Києва</t>
  </si>
  <si>
    <t>02090</t>
  </si>
  <si>
    <t>вул. Хорольська, 19</t>
  </si>
  <si>
    <t>574-15-72</t>
  </si>
  <si>
    <t>http://www.school42.edukit.kiev.ua</t>
  </si>
  <si>
    <t>Середня загальноосвітня школа І-ІІІ ступенів № 66 м. Києва</t>
  </si>
  <si>
    <t>вул. Каунаська, 2</t>
  </si>
  <si>
    <t>292-70-85, 292-31-97</t>
  </si>
  <si>
    <t>http://school66.kiev.sch.in.ua</t>
  </si>
  <si>
    <t>Середня загальноосвітня школа І-ІІІ ступенів № 81 м. Києва</t>
  </si>
  <si>
    <t>просп. П. Тичини, 22А</t>
  </si>
  <si>
    <t>550-02-31, 550-02-30, 550-02-36</t>
  </si>
  <si>
    <t>http://www.uosvitydnr.gov.ua/index.php?w=learn&amp;cat_id=2&amp;show=learn&amp;search=&amp;id=128</t>
  </si>
  <si>
    <t>Середня загальноосвітня школа І-ІІІ ступенів № 99 м. Києва</t>
  </si>
  <si>
    <t>02100</t>
  </si>
  <si>
    <t>вул. Червоноткацька, 12</t>
  </si>
  <si>
    <t>559-27-18, 559-34-91, 559-36-11</t>
  </si>
  <si>
    <t>http://sch99.at.ua</t>
  </si>
  <si>
    <t>Cпеціалізована школа II-III ступеня № 325 "Щастя"</t>
  </si>
  <si>
    <t>просп. Генерала Ватутіна, 22Б</t>
  </si>
  <si>
    <t>512-82-12, 512-82-11</t>
  </si>
  <si>
    <t>http://www.school325.kiev.sch.in.ua</t>
  </si>
  <si>
    <t>Спеціалізована школа І ступеня № 327 м. Києва з поглибленим вивченням іноземних мов</t>
  </si>
  <si>
    <t>вул. Івана Миколайчука, 9Б</t>
  </si>
  <si>
    <t>550-52-77</t>
  </si>
  <si>
    <t>http://school327.kiev.ua</t>
  </si>
  <si>
    <t>Спеціалізована школа І-ІІІ ступенів № 120 м. Києва з поглибленим вивченням предметів природничо-математичного циклу</t>
  </si>
  <si>
    <t>вул. Райдужна, 17Б</t>
  </si>
  <si>
    <t>542-24-29</t>
  </si>
  <si>
    <t>http://school-120.at.ua</t>
  </si>
  <si>
    <t>Спеціалізована школа І-ІІІ ступенів № 125 м. Києва з поглибленим вивченням англійської мови</t>
  </si>
  <si>
    <t>02002</t>
  </si>
  <si>
    <t>вул. Плеханова, 2</t>
  </si>
  <si>
    <t>517-34-36, 517-24-10, 517-24-10</t>
  </si>
  <si>
    <t>http://sh125.com.ua</t>
  </si>
  <si>
    <t>Спеціалізована школа І-ІІІ ступенів № 129 м. Києва з поглибленим вивченням англійської мови</t>
  </si>
  <si>
    <t>просп. Ю. Гагаріна, 19</t>
  </si>
  <si>
    <t>292-33-67</t>
  </si>
  <si>
    <t>http://www.school129.com.ua</t>
  </si>
  <si>
    <t>Спеціалізована школа І-ІІІ ступенів № 137 м. Києва з поглибленим вивченням англійської мови</t>
  </si>
  <si>
    <t>вул. Ентузіастів, 7/4</t>
  </si>
  <si>
    <t>295-58-73</t>
  </si>
  <si>
    <t>http://school137.kiev.sch.in.ua</t>
  </si>
  <si>
    <t>Спеціалізована школа І-ІІІ ступенів № 148 імені Івана Багряного з поглибленим вивченням української мови та літератури м. Києва</t>
  </si>
  <si>
    <t>вул. Будівельників, 37</t>
  </si>
  <si>
    <t>292-60-29, 559-14-36, 559-14-36</t>
  </si>
  <si>
    <t>http://school148.at.ua</t>
  </si>
  <si>
    <t>Спеціалізована школа І-ІІІ ступенів № 188 м. Києва з поглибленим вивченням російської мови</t>
  </si>
  <si>
    <t>вул. Будівельників, 10</t>
  </si>
  <si>
    <t>558-14-80, 558-14-81, 558-14-81</t>
  </si>
  <si>
    <t>http://www.school188.kiev.sch.in.ua</t>
  </si>
  <si>
    <t>Спеціалізована школа І-ІІІ ступенів № 234 м. Києва з поглибленим вивченням економіки і права</t>
  </si>
  <si>
    <t>вул. Райдужна, 12</t>
  </si>
  <si>
    <t>542-57-21, 542-57-22, 542-57-29, 542-53-94</t>
  </si>
  <si>
    <t>http://sch234.at.ua</t>
  </si>
  <si>
    <t>Спеціалізована школа І-ІІІ ступенів № 246 м. Києва з поглибленим вивченням англійської мови</t>
  </si>
  <si>
    <t>512-90-64, 512-90-65</t>
  </si>
  <si>
    <t>http://www.school246.kiev.ua</t>
  </si>
  <si>
    <t>Спеціалізована школа І-ІІІ ступенів № 265 м. Києва з поглибленим вивченням предметів художньо-естетичного циклу</t>
  </si>
  <si>
    <t>вул. Райдужна, 53</t>
  </si>
  <si>
    <t>540-03-64, 540-03-68</t>
  </si>
  <si>
    <t>http://school265.edukit.kiev.ua</t>
  </si>
  <si>
    <t>Спеціалізована школа І-ІІІ ступенів № 31 м. Києва з поглибленим вивченням предметів природничо-математичного циклу</t>
  </si>
  <si>
    <t>02160</t>
  </si>
  <si>
    <t>вул. Березнева, 5</t>
  </si>
  <si>
    <t>296-79-94, 292-13-54, 574-01-30</t>
  </si>
  <si>
    <t>http://school31.edukit.kiev.ua</t>
  </si>
  <si>
    <t>Спеціалізована школа І-ІІІ ступенів № 65 м. Києва з поглибленим вивченням іноземних мов</t>
  </si>
  <si>
    <t>вул. Челябінська, 5</t>
  </si>
  <si>
    <t>517-04-56, 517-06-54, 517-81-26</t>
  </si>
  <si>
    <t>http://www.school65.kiev.ua</t>
  </si>
  <si>
    <t>Спеціалізована школа І-ІІІ ступенів № 98 м. Києва з поглибленим вивченням англійської мови</t>
  </si>
  <si>
    <t>вул. І. Микитенка, 7</t>
  </si>
  <si>
    <t>542 14 68, 542-14-71</t>
  </si>
  <si>
    <t>http://school98.kiev.ua</t>
  </si>
  <si>
    <t>Спеціалізована школа-інтернат І-ІІ ступенів № 14 м. Києва з поглибленим вивченням предметів художньо-естетичного циклу</t>
  </si>
  <si>
    <t>б-р Перова, 3</t>
  </si>
  <si>
    <t>542-33-57, 542-33-58</t>
  </si>
  <si>
    <t>http://internat14.kiev.sch.in.ua</t>
  </si>
  <si>
    <t>Спеціальна загальноосвітня школа-інтернат № 18 м. Києва</t>
  </si>
  <si>
    <t>б-р Перова, 23</t>
  </si>
  <si>
    <t>542-46-06, 542-46-07, 542-46-65, 542-77-33</t>
  </si>
  <si>
    <t>https://www.facebook.com/Ve4erka18.Kiev/</t>
  </si>
  <si>
    <t>Спеціальна школа-інтернат № 26 м. Києва</t>
  </si>
  <si>
    <t>б-р Перова, 1</t>
  </si>
  <si>
    <t>542-33-59, 542-34-39, 542-33-59</t>
  </si>
  <si>
    <t>http://internat26.ucoz.ua</t>
  </si>
  <si>
    <t>Технічний ліцей м. Києва</t>
  </si>
  <si>
    <t>вул. Тампере, 9</t>
  </si>
  <si>
    <t>559-19-39, 559-02-25</t>
  </si>
  <si>
    <t>http://dtl.kiev.ua</t>
  </si>
  <si>
    <t>Український колеж ім. В.О. Сухомлинського м. Києва (спеціалізована школа № 272)</t>
  </si>
  <si>
    <t>вул. Митрополита А. Шептицького, 5А</t>
  </si>
  <si>
    <t>516-98-55, 516-88-47</t>
  </si>
  <si>
    <t>http://ukrcollege.com.ua</t>
  </si>
  <si>
    <t>22875087</t>
  </si>
  <si>
    <t>Школа І ступеня № 330 "Русанівка" м. Києва</t>
  </si>
  <si>
    <t>б-р Ігоря Шамо, 18</t>
  </si>
  <si>
    <t>517-37-19</t>
  </si>
  <si>
    <t>https://www.facebook.com/rusanovkaschool/</t>
  </si>
  <si>
    <t>Навчально-виховний комплекс Монтессорі з поглибленим вивченням англійської мови (дошкільний навчальний заклад – школа І ступеня)</t>
  </si>
  <si>
    <t>вул. Ентузіастів, 1/5</t>
  </si>
  <si>
    <t>295-18-29</t>
  </si>
  <si>
    <t>http://www.montessori-school.com.ua</t>
  </si>
  <si>
    <t>Комунальний навчальний заклад «Навчально-виховний комплекс «Берегиня» міста Києва (дошкільний навчальний заклад – школа І ступеня)»</t>
  </si>
  <si>
    <t>вул. Райдужна, 73</t>
  </si>
  <si>
    <t>540-45-81, 540-45-82</t>
  </si>
  <si>
    <t>Комунальний навчальний заклад «Навчально-виховний комплекс «Струмочок» міста Києва (дошкільний навчальний заклад – школа І ступеня)»</t>
  </si>
  <si>
    <t>б-р Праці, 4А</t>
  </si>
  <si>
    <t>573-27-49</t>
  </si>
  <si>
    <t>Навчально-виховний комплекс «Щастя» з поглибленим вивченням іноземних мов (дошкільний навчальний заклад – спеціалізована школа І ступеня)</t>
  </si>
  <si>
    <t>вул. Кибальчича, 3</t>
  </si>
  <si>
    <t>510-82-55, 512-85-24</t>
  </si>
  <si>
    <t>Олімпійський коледж імені Івана Піддубного</t>
  </si>
  <si>
    <t>8038000000</t>
  </si>
  <si>
    <t>Київ, Оболонський район</t>
  </si>
  <si>
    <t>513-98-64</t>
  </si>
  <si>
    <t>http://www.olimpko.com</t>
  </si>
  <si>
    <t>Комунальний заклад "Навчально-виховний комплекс "Школа І ступеня - гімназія "Потенціал" Оболонського району м. Києва</t>
  </si>
  <si>
    <t>І-ІІІ</t>
  </si>
  <si>
    <t>04231</t>
  </si>
  <si>
    <t>просп. Героїв Сталінграда, 47</t>
  </si>
  <si>
    <t>413-59-11</t>
  </si>
  <si>
    <t>http://www.potential.kiev.ua</t>
  </si>
  <si>
    <t>Школа І ступеня № 326 Оболонського району м. Києва</t>
  </si>
  <si>
    <t>04114</t>
  </si>
  <si>
    <t>вул. Вишгородська, 44В</t>
  </si>
  <si>
    <t>430-20-39, 430-82-67</t>
  </si>
  <si>
    <t>http://www.school326.edukit.kiev.ua</t>
  </si>
  <si>
    <t>Загальноосвітня школа "Екологія і Культура"</t>
  </si>
  <si>
    <t>04213</t>
  </si>
  <si>
    <t>вул. Північна, 42</t>
  </si>
  <si>
    <t>583-07-82</t>
  </si>
  <si>
    <t>https://www.facebook.com/lyceumEK/</t>
  </si>
  <si>
    <t>Київська дитяча Академія мистецтв</t>
  </si>
  <si>
    <t>просп. Героїв Сталінграду, 10</t>
  </si>
  <si>
    <t>http://www.kdam.kiev.ua</t>
  </si>
  <si>
    <t>Санаторна школа-інтернат І-ІІ ступенів № 21 Оболонського району м. Києва</t>
  </si>
  <si>
    <t>вул. Новікова-Прибоя, 11</t>
  </si>
  <si>
    <t>401-84-83</t>
  </si>
  <si>
    <t>http://www.sh-int21.at.ua</t>
  </si>
  <si>
    <t>Комунальний заклад "Навчально-виховний комплекс "Спеціалізована школа І ступеня - гімназія № 143 Оболонського району м. Києва"</t>
  </si>
  <si>
    <t>04212</t>
  </si>
  <si>
    <t>вул. Богатирська, 2Б</t>
  </si>
  <si>
    <t>413-44-13</t>
  </si>
  <si>
    <t>http://www.gimnasia.kiev.ua</t>
  </si>
  <si>
    <t>Комунальний заклад "Навчально-виховний комплекс "Спеціалізована школа І-ІІ ступенів - ліцей" № 157 Оболонського району м. Києва"</t>
  </si>
  <si>
    <t>04205</t>
  </si>
  <si>
    <t>Оболонський проспект, 12В</t>
  </si>
  <si>
    <t>418-75-08, 418-75-08</t>
  </si>
  <si>
    <t>http://www.lyceum157.kiev.ua</t>
  </si>
  <si>
    <t>Ліцей туризму</t>
  </si>
  <si>
    <t>04074</t>
  </si>
  <si>
    <t>вул. Агрегатна, 9</t>
  </si>
  <si>
    <t>430-17-50, 430-06-05</t>
  </si>
  <si>
    <t>http://www.lyctour.org.ua</t>
  </si>
  <si>
    <t>Навчально-виховний комплекс "спеціалізована школа І ступеня - дошкільний навчальний заклад "Перша ластівка"</t>
  </si>
  <si>
    <t>04210</t>
  </si>
  <si>
    <t>вул. Малиновського, 30А</t>
  </si>
  <si>
    <t>418-73-93</t>
  </si>
  <si>
    <t>http://www.1lastivka.com</t>
  </si>
  <si>
    <t>Навчально-виховний комплекс "Спеціалізована школа І-ІІІ ступенів-ліцей" № 20 Оболонського району м. Києва</t>
  </si>
  <si>
    <t>04214</t>
  </si>
  <si>
    <t>Оболонський проспект, 32Б</t>
  </si>
  <si>
    <t>411-10-77, 411-20-77</t>
  </si>
  <si>
    <t>http://www.ecole20.kiev.ua</t>
  </si>
  <si>
    <t>Навчально-виховний комплекс "Школа І ступеня - гімназія "Оболонь" Оболонського району м. Києва"</t>
  </si>
  <si>
    <t>вул. Прирічна, 27Б</t>
  </si>
  <si>
    <t>411-11-83, 411-10-48</t>
  </si>
  <si>
    <t>http://www.nvk-obolon.com.ua</t>
  </si>
  <si>
    <t>Навчально-виховний комплекс "Школа І-ІІ ступенів - ліцей "Управлінські технології" № 240 "Соціум" Оболонського району м. Києва</t>
  </si>
  <si>
    <t>просп. Героїв Сталінграду, 39Г</t>
  </si>
  <si>
    <t>411-51-12, 411-56-83</t>
  </si>
  <si>
    <t>http://www.nvk240.com</t>
  </si>
  <si>
    <t>Навчально-виховний комплекс № 299 Оболонського району м. Києва</t>
  </si>
  <si>
    <t>вул. Тимошенка, 2Б</t>
  </si>
  <si>
    <t>410-46-07, 410-46-07</t>
  </si>
  <si>
    <t>https://www.facebook.com/gim299/</t>
  </si>
  <si>
    <t>Школа І ступеня № 268 Оболонського району м. Києва</t>
  </si>
  <si>
    <t>просп. Героїв Сталінграду, 43А</t>
  </si>
  <si>
    <t>411-40-77, 411-40-77</t>
  </si>
  <si>
    <t>http://www.school268.kiev.ua</t>
  </si>
  <si>
    <t>Приватна середня загальноосвітня школа "Досвітня Зоря"</t>
  </si>
  <si>
    <t>вул. Богатирська, 18А</t>
  </si>
  <si>
    <t>412-20-20</t>
  </si>
  <si>
    <t>Санаторна школа-інтернат І-ІІ ступенів № 22 Оболонського району м. Києва</t>
  </si>
  <si>
    <t>вул. Бережанська, 6</t>
  </si>
  <si>
    <t>430-67-62, 430-68-03</t>
  </si>
  <si>
    <t>http://www.school22.kiev.ua</t>
  </si>
  <si>
    <t>Спеціалізована школа № 14 імені українського професора Грушевського Сергія Федоровича Оболонського району м. Києва</t>
  </si>
  <si>
    <t>вул. Макіївська, 5</t>
  </si>
  <si>
    <t>430-81-61, 430-50-02</t>
  </si>
  <si>
    <t>http://www.school14.edukit.kiev.ua</t>
  </si>
  <si>
    <t>Спеціалізована школа № 16 Оболонського району м. Києва</t>
  </si>
  <si>
    <t>вул. Вишгородська, 42/1</t>
  </si>
  <si>
    <t>430-34-09, 430-84-86, 430-84-86</t>
  </si>
  <si>
    <t>http://www.school16.kiev.ua</t>
  </si>
  <si>
    <t>Спеціалізована школа № 194 "Перспектива" Оболонського району м. Києва</t>
  </si>
  <si>
    <t>вул. Героїв Днепра, 10Б</t>
  </si>
  <si>
    <t>412-82-90, 412-86-48</t>
  </si>
  <si>
    <t>http://www.school194.edukit.kiev.ua</t>
  </si>
  <si>
    <t>Спеціалізована школа № 210 Оболонського району м. Києва</t>
  </si>
  <si>
    <t>вул. Йорданська, 22А</t>
  </si>
  <si>
    <t>418-76-69, 418-76-44</t>
  </si>
  <si>
    <t>http://www.210.kiev.ua</t>
  </si>
  <si>
    <t>Спеціалізована школа № 211 Оболонського району м. Києва</t>
  </si>
  <si>
    <t>вул. Йорданська, 24А</t>
  </si>
  <si>
    <t>418-76-08, 418-76-07</t>
  </si>
  <si>
    <t>http://www.peace-school211.edukit.kiev.ua</t>
  </si>
  <si>
    <t>Спеціалізована школа № 214 Оболонського району м. Києва</t>
  </si>
  <si>
    <t>Оболонський проспект, 9А</t>
  </si>
  <si>
    <t>418-20-24, 419-82-80</t>
  </si>
  <si>
    <t>http://www.school214.edukit.kiev.ua</t>
  </si>
  <si>
    <t>Спеціалізована школа № 216 Оболонського району м. Києва</t>
  </si>
  <si>
    <t>04211</t>
  </si>
  <si>
    <t>вул. Олександра Архипенка, 8Г</t>
  </si>
  <si>
    <t>418-65-07, 418-64-23</t>
  </si>
  <si>
    <t>http://www.school216.ucoz.ua</t>
  </si>
  <si>
    <t>Спеціалізована школа № 239 Оболонського району м. Києва</t>
  </si>
  <si>
    <t>Оболонський проспект, 16Д</t>
  </si>
  <si>
    <t>419-89-18, 418-87-15</t>
  </si>
  <si>
    <t>Спеціалізована школа І ступеня № 244 Оболонського району м. Києва</t>
  </si>
  <si>
    <t>вул. Прирічна, 27А</t>
  </si>
  <si>
    <t>411-50-20, 411-50-20</t>
  </si>
  <si>
    <t>http://school244.edukit.kiev.ua</t>
  </si>
  <si>
    <t>Спеціалізована школа № 252 імені Василя Симоненка Оболонського району м. Києва</t>
  </si>
  <si>
    <t>04209</t>
  </si>
  <si>
    <t>вул. Зої Гайдай, 10В</t>
  </si>
  <si>
    <t>412-77-10, 412-76-98</t>
  </si>
  <si>
    <t>http://www.school252.kiev.ua</t>
  </si>
  <si>
    <t>Спеціалізована школа № 298 Оболонського району м. Києва</t>
  </si>
  <si>
    <t>просп. Героїв Сталінграда, 58Б</t>
  </si>
  <si>
    <t>412-16-13</t>
  </si>
  <si>
    <t>http://www.school298.kiev.ua</t>
  </si>
  <si>
    <t>Спеціальна школа-інтернат І ступеня № 25 Оболонського району м. Києва</t>
  </si>
  <si>
    <t>вул. Федора Максименка, 28</t>
  </si>
  <si>
    <t>401-94-51</t>
  </si>
  <si>
    <t>http://school-internat-25.kiev.ua</t>
  </si>
  <si>
    <t>Спеціальна школа-інтернат І-ІІІ ступенів № 4 Оболонського району м. Києва</t>
  </si>
  <si>
    <t>вул. Юнкерова, 55</t>
  </si>
  <si>
    <t>401-93-81</t>
  </si>
  <si>
    <t>http://school4.kiev.ua</t>
  </si>
  <si>
    <t>Товариство з обмеженою відповідальністю "Гімназія "ПРІОРИТЕТ"</t>
  </si>
  <si>
    <t>вул. Героїв Дніпра, 69</t>
  </si>
  <si>
    <t>413-74-67, 501-03-57</t>
  </si>
  <si>
    <t>https://www.facebook.com/ТОВ-Гімназія-Пріоритет-1473549016065765/</t>
  </si>
  <si>
    <t>Товариство з обмеженою відповідальністю "Київська загальноосвітня приватна школа І-ІІІ ступенів "Британська міжнародна школа - Київ"</t>
  </si>
  <si>
    <t>04655</t>
  </si>
  <si>
    <t>вул. Новокостянтинівська, 4А</t>
  </si>
  <si>
    <t>http://britishschool.ua</t>
  </si>
  <si>
    <t>Товариство з обмеженою відповідальністю "Навчально-виховний комплекс "Всезнайко"</t>
  </si>
  <si>
    <t>вул. Йорданська, 9Д, кв.7</t>
  </si>
  <si>
    <t>http://www.vseznaiko.com.ua</t>
  </si>
  <si>
    <t>Школа I-II ступенів № 18 Оболонського району м. Києва</t>
  </si>
  <si>
    <t>04077</t>
  </si>
  <si>
    <t>вул. Академіка Оппокова, 1</t>
  </si>
  <si>
    <t>467-91-26, 467-91-28</t>
  </si>
  <si>
    <t>https://school18obolon.wixsite.com/school18kiev</t>
  </si>
  <si>
    <t>Школа І-ІІІ ступенів № 104 імені О.Ольжича Оболонського району м. Києва</t>
  </si>
  <si>
    <t>вул. Лісна, 28</t>
  </si>
  <si>
    <t>401-81-48, 401-93-65</t>
  </si>
  <si>
    <t>http://www.school104.com</t>
  </si>
  <si>
    <t>Школа І-ІІІ ступенів № 168 Оболонського району м. Києва</t>
  </si>
  <si>
    <t>вул. Озерна, 2</t>
  </si>
  <si>
    <t>412-10-41, 412-10-62</t>
  </si>
  <si>
    <t>http://www.school168.edukit.kiev.ua</t>
  </si>
  <si>
    <t>Школа І-ІІІ ступенів № 170 Оболонського району м. Києва</t>
  </si>
  <si>
    <t>вул. Північна, 8</t>
  </si>
  <si>
    <t>411-52-68, 411-57-19</t>
  </si>
  <si>
    <t>http://www.school170.edukit.kiev.ua</t>
  </si>
  <si>
    <t>Школа І-ІІІ ступенів № 219 Оболонського району м. Києва</t>
  </si>
  <si>
    <t>Оболонський проспект, 2Б</t>
  </si>
  <si>
    <t>418-28-58, 418-31-27</t>
  </si>
  <si>
    <t>http://school219.kiev.sch.in.ua</t>
  </si>
  <si>
    <t>Школа І-ІІІ ступенів № 225 Оболонського району м. Києва</t>
  </si>
  <si>
    <t>Оболонський проспект, 9Б</t>
  </si>
  <si>
    <t>419-72-55, 419-75-98</t>
  </si>
  <si>
    <t>http://www.school225.kiev.ua</t>
  </si>
  <si>
    <t>Школа І-ІІІ ступенів № 226 Оболонського району м. Києва</t>
  </si>
  <si>
    <t>вул. Прирічна, 19Є</t>
  </si>
  <si>
    <t>411-63-61, 411-67-04</t>
  </si>
  <si>
    <t>https://www.facebook.com/kiev.school126/</t>
  </si>
  <si>
    <t>Школа І-ІІІ ступенів № 231 Оболонського району м. Києва</t>
  </si>
  <si>
    <t>вул. Богатирська, 2В</t>
  </si>
  <si>
    <t>413-44-87, 410-46-90</t>
  </si>
  <si>
    <t>http://www.school231.edukit.kiev.ua</t>
  </si>
  <si>
    <t>Школа І-ІІІ ступенів № 232 Оболонського району м. Києва</t>
  </si>
  <si>
    <t>вул. Йорданська, 4Г</t>
  </si>
  <si>
    <t>418-79-66, 419-24-91</t>
  </si>
  <si>
    <t>http://www.school232.edukit.kiev.ua</t>
  </si>
  <si>
    <t>Школа І-ІІІ ступенів № 233 Оболонського району м. Києва</t>
  </si>
  <si>
    <t>419-94-47, 418-60-00, 419-63-04</t>
  </si>
  <si>
    <t>http://kiev-school233.ucoz.ua</t>
  </si>
  <si>
    <t>Школа І-ІІІ ступенів № 245 Оболонського району м. Києва</t>
  </si>
  <si>
    <t>вул. Північна, 26</t>
  </si>
  <si>
    <t>411-44-03, 411-44-10</t>
  </si>
  <si>
    <t>https://www.facebook.com/Школа-245-гКиев-383842398475770/</t>
  </si>
  <si>
    <t>Школа І-ІІІ ступенів № 256 Оболонського району м. Києва</t>
  </si>
  <si>
    <t>вул. Озерна, 2А</t>
  </si>
  <si>
    <t>412-15-55, 412-08-59</t>
  </si>
  <si>
    <t>http://school256.kiev.sch.in.ua</t>
  </si>
  <si>
    <t>Школа І-ІІІ ступенів № 285 Оболонського району м. Києва</t>
  </si>
  <si>
    <t>04201</t>
  </si>
  <si>
    <t>вул. Полярна, 8В</t>
  </si>
  <si>
    <t>462-30-92, 462-30-95</t>
  </si>
  <si>
    <t>http://www.school285.edukit.kiev.ua</t>
  </si>
  <si>
    <t>Школа І-ІІІ ступенів № 29 Оболонського району м. Києва</t>
  </si>
  <si>
    <t>вул. Петра Калнишевського, 3А</t>
  </si>
  <si>
    <t>432-17-89, 464-30-27</t>
  </si>
  <si>
    <t>http://www.school29.edukit.kiev.ua</t>
  </si>
  <si>
    <t>Школа І-ІІІ ступенів № 8 Оболонського району м. Києва</t>
  </si>
  <si>
    <t>вул. Вишгородська, 6</t>
  </si>
  <si>
    <t>430-11-02, 430-73-86</t>
  </si>
  <si>
    <t>http://www.znz8kiev.at.ua</t>
  </si>
  <si>
    <t>Школа І-ІІІ ступенів № 9 Оболонського району м. Києва</t>
  </si>
  <si>
    <t>вул. Рокосовського, 5</t>
  </si>
  <si>
    <t>432-76-96, 432-75-84</t>
  </si>
  <si>
    <t>http://www.obolon9.ucoz.com</t>
  </si>
  <si>
    <t>Школа ІІ-ІІІ ступенів № 328 Оболонського району м. Києва</t>
  </si>
  <si>
    <t>просп. Героїв Сталінграду, 47</t>
  </si>
  <si>
    <t>411-03-03, 411-03-03</t>
  </si>
  <si>
    <t>http://www.znz-328.at.ua</t>
  </si>
  <si>
    <t>Школа-дитячий садок І ступеня "Ластівка"</t>
  </si>
  <si>
    <t>Оболонський проспект, 32А</t>
  </si>
  <si>
    <t>412-93-25, 412-93-25</t>
  </si>
  <si>
    <t>Школа-дитячий садок І ступеня "Турбота"</t>
  </si>
  <si>
    <t>вул. Героїв Дніпра, 38А</t>
  </si>
  <si>
    <t>411-22-54, 411-22-54</t>
  </si>
  <si>
    <t>Товариство з обмеженою відповідальністю "Міжнародна Французька Школа"</t>
  </si>
  <si>
    <t>вул. Воровського, 1/37, к.8</t>
  </si>
  <si>
    <t>431-80-57</t>
  </si>
  <si>
    <t>https://www.facebook.com/EcoleFrancaiseInternationaleDeKiev</t>
  </si>
  <si>
    <t>Вечірня (змінна) школа ІІ-ІІІ ступенів № 8 «Школа самоосвіти»</t>
  </si>
  <si>
    <t>01014</t>
  </si>
  <si>
    <t>8038200000</t>
  </si>
  <si>
    <t>Київ, Печерський район</t>
  </si>
  <si>
    <t>вул. Катерини Білокур, 3</t>
  </si>
  <si>
    <t>285-22-07</t>
  </si>
  <si>
    <t>http://pechschool-8.io.ua</t>
  </si>
  <si>
    <t>Гімназія "Консул" № 86 Печерського району м. Києва</t>
  </si>
  <si>
    <t>01024</t>
  </si>
  <si>
    <t>вул. Круглоуніверситетська, 9</t>
  </si>
  <si>
    <t>234-61-43, 235-31-27</t>
  </si>
  <si>
    <t>http://Consul86.com.ua</t>
  </si>
  <si>
    <t>англійська, німецька, французька, іспанська, російська</t>
  </si>
  <si>
    <t>Гімназія № 109 ім. Т.Г. Шевченка Печерського району м. Києва</t>
  </si>
  <si>
    <t>01011</t>
  </si>
  <si>
    <t>вул. Панаса Мирного, 24</t>
  </si>
  <si>
    <t>280-08-64</t>
  </si>
  <si>
    <t>http://school109.narod.ru</t>
  </si>
  <si>
    <t>Гімназія № 117 ім. Лесі Українки з поглибленим вивченням іноземних мов Печерського району м. Києва</t>
  </si>
  <si>
    <t>вул. Лютеранська, 10</t>
  </si>
  <si>
    <t>278-04-91</t>
  </si>
  <si>
    <t>http://www.gymnasium117.kiev.ua</t>
  </si>
  <si>
    <t>Гімназія № 32 "Успіх" Печерського району м. Києва</t>
  </si>
  <si>
    <t>вул. Івана Федорова, 2</t>
  </si>
  <si>
    <t>287-04-72</t>
  </si>
  <si>
    <t>http://highschool32.com.ua</t>
  </si>
  <si>
    <t>Загальноосвітній навчальний заклад "Спеціалізована школа І-ІІІ ступенів з поглибленим вивченням іноземних мов "Інтелект"</t>
  </si>
  <si>
    <t>вул. Івана Кудрі, 20</t>
  </si>
  <si>
    <t>529-50-93</t>
  </si>
  <si>
    <t>Загальноосвітній навчальний заклад І-ІІІ ступенів "Міжнародна українська школа"</t>
  </si>
  <si>
    <t>Кловський Узвіз, 8</t>
  </si>
  <si>
    <t>http://ukrintschool.org.ua</t>
  </si>
  <si>
    <t>35265180</t>
  </si>
  <si>
    <t>Києво-Печерський ліцей № 171 "Лідер" Печерського району м. Києва</t>
  </si>
  <si>
    <t>01015</t>
  </si>
  <si>
    <t>вул. Лейпцизька, 11А</t>
  </si>
  <si>
    <t>280-75-06, 280-53-15</t>
  </si>
  <si>
    <t>http://www.leader171.kiev.ua</t>
  </si>
  <si>
    <t>Київський військовий ліцей імені Івана Богуна</t>
  </si>
  <si>
    <t>б-р Лесі Українки, 25</t>
  </si>
  <si>
    <t>http://kvl.mil.gov.ua</t>
  </si>
  <si>
    <t>08129696</t>
  </si>
  <si>
    <t>Кловський ліцей № 77 Печерського району м. Києва</t>
  </si>
  <si>
    <t>вул. Шовковична, 25</t>
  </si>
  <si>
    <t>253-73-45</t>
  </si>
  <si>
    <t>http://www.klovsky77.com.ua</t>
  </si>
  <si>
    <t>Ліцей інформаційних технологій № 79 Печерського району м. Києва</t>
  </si>
  <si>
    <t>01023</t>
  </si>
  <si>
    <t>вул. Шота Руставелі, 37</t>
  </si>
  <si>
    <t>287-67-50</t>
  </si>
  <si>
    <t>http://lit79.org.ua</t>
  </si>
  <si>
    <t>Ліцей міжнародних відносин № 51 Печерського району м. Києва</t>
  </si>
  <si>
    <t>вул. Орлика, 13</t>
  </si>
  <si>
    <t>254-02-03</t>
  </si>
  <si>
    <t>http://www.irl51.kiev.ua</t>
  </si>
  <si>
    <t>Печерська гімназія № 75 Печерського району м. Києва</t>
  </si>
  <si>
    <t>01010</t>
  </si>
  <si>
    <t>вул. Андрія Іванова, 11</t>
  </si>
  <si>
    <t>280-11-57, 280-27-28</t>
  </si>
  <si>
    <t>Предславинська гімназія № 56 Печерського району м. Києва</t>
  </si>
  <si>
    <t>вул. Предславинська, 30А</t>
  </si>
  <si>
    <t>529-41-85, 528-02-61</t>
  </si>
  <si>
    <t>http://gymn56.kiev.ua</t>
  </si>
  <si>
    <t>Природничо-науковий ліцей № 145 Печерського району м. Києва</t>
  </si>
  <si>
    <t>вул. Шота Руставелі, 46</t>
  </si>
  <si>
    <t>287-11-49, 287-46-96, 287-30-38</t>
  </si>
  <si>
    <t>http://www.lic145.kiev.ua</t>
  </si>
  <si>
    <t>22879412</t>
  </si>
  <si>
    <t>Спеціалізована школа № 181 ім. Івана Кудрі Печерського району м. Києва</t>
  </si>
  <si>
    <t>01042</t>
  </si>
  <si>
    <t>вул. Івана Кудрі, 22А</t>
  </si>
  <si>
    <t>529-14-52, 529-33-44</t>
  </si>
  <si>
    <t>https://www.facebook.com/sch181/</t>
  </si>
  <si>
    <t>Спеціалізована школа № 47 ім. А.С. Макаренка з поглибленим вивченням іноземних мов Печерського району м. Києва</t>
  </si>
  <si>
    <t>вул. Патріса Лумумби, 14/21</t>
  </si>
  <si>
    <t>528-99-71</t>
  </si>
  <si>
    <t>http://school47.kiev.ua</t>
  </si>
  <si>
    <t>Спеціалізована школа № 80 Печерського району м. Києва</t>
  </si>
  <si>
    <t>01103</t>
  </si>
  <si>
    <t>б-р Дружби Народів, 12Б</t>
  </si>
  <si>
    <t>529-45-63, 529 87 92</t>
  </si>
  <si>
    <t>http://sch80.kiev.ua</t>
  </si>
  <si>
    <t>Спеціалізована школа № 88 Печерського району м. Києва з поглибленим вивченням російської мови</t>
  </si>
  <si>
    <t>285-21-69, 286-59-45, 285-09-92, 286-59-54</t>
  </si>
  <si>
    <t>http://www.sch88.kiev.ua</t>
  </si>
  <si>
    <t>Спеціалізована школа № 89 Печерського району м. Києва</t>
  </si>
  <si>
    <t>вул. Рибальська, 4</t>
  </si>
  <si>
    <t>280-20-60, 280-51-39</t>
  </si>
  <si>
    <t>http://school89.kiev.ua</t>
  </si>
  <si>
    <t>Спеціалізована школа № 94 "Еллада" Печерського району м. Києва</t>
  </si>
  <si>
    <t>01021</t>
  </si>
  <si>
    <t>вул. Ольгінська, 2/4</t>
  </si>
  <si>
    <t>253-72-93, 253-15-79</t>
  </si>
  <si>
    <t>http://ellada94.kiev.ua</t>
  </si>
  <si>
    <t>Товариство з обмеженою відповідальністю "Навчально-виховний комплекс "Новопечерська школа"</t>
  </si>
  <si>
    <t>вул. Лаврська, 20</t>
  </si>
  <si>
    <t>http://novoshkola.com.ua</t>
  </si>
  <si>
    <t>англійська,німецька,іспанська,китайська</t>
  </si>
  <si>
    <t>Товариство з обмеженою відповідальністю "Учбовий комплекс "Олександрійська гімназія"</t>
  </si>
  <si>
    <t>вул. Академіка Туполєва, 18Д</t>
  </si>
  <si>
    <t>280-51-53</t>
  </si>
  <si>
    <t>http://www.aleksios.kiev.ua</t>
  </si>
  <si>
    <t>Український гуманітарний ліцей Київського національного університету імені Тараса Шевченка</t>
  </si>
  <si>
    <t>вул. Козловського, 3</t>
  </si>
  <si>
    <t>253-07-84</t>
  </si>
  <si>
    <t>http://uhl-edu.kiev.ua</t>
  </si>
  <si>
    <t>англійська,німецька,іспанська,японська</t>
  </si>
  <si>
    <t>Школа I-III ступенів № 133 Печерського району м. Києва</t>
  </si>
  <si>
    <t>вул. Бастіонна, 7</t>
  </si>
  <si>
    <t>285-91-17</t>
  </si>
  <si>
    <t>http://www.sites.google.com/site/kyivschool133/</t>
  </si>
  <si>
    <t>Школа I-III ступенів № 134 імені Ю.О. Гагаріна Печерського району м. Києва</t>
  </si>
  <si>
    <t>Печерський Узвіз, 13А</t>
  </si>
  <si>
    <t>280-71-11, 280-64-41, 280-81-86</t>
  </si>
  <si>
    <t>http://134schoolkiev.ucoz.ru</t>
  </si>
  <si>
    <t>Школа I-III ступенів № 5 Печерського району м. Києва</t>
  </si>
  <si>
    <t>вул. Тимірязівська, 36</t>
  </si>
  <si>
    <t>285-62-69, 285-75-08</t>
  </si>
  <si>
    <t>https://www.facebook.com/Школа-5-Печерського-району-м-Київ-463148073748391/</t>
  </si>
  <si>
    <t>Школа І-ІІІ ступенів № 78 Печерського району м. Києва</t>
  </si>
  <si>
    <t>вул. Шота Руставелі, 47</t>
  </si>
  <si>
    <t>284-38-49</t>
  </si>
  <si>
    <t>http://school-78.kiev.ua</t>
  </si>
  <si>
    <t>Школа І-ІІІ ступенів № 84 Печерського району м. Києва</t>
  </si>
  <si>
    <t>01133</t>
  </si>
  <si>
    <t>б-р Лесі Українки, 32А</t>
  </si>
  <si>
    <t>285-22-05</t>
  </si>
  <si>
    <t>http://kievschool84.ucoz.com</t>
  </si>
  <si>
    <t>Школа І-ІІІ ступенів № 90 Печерського району м. Києва</t>
  </si>
  <si>
    <t>вул. Лаврська, 2</t>
  </si>
  <si>
    <t>280-78-66</t>
  </si>
  <si>
    <t>http://school90.kiev.ua</t>
  </si>
  <si>
    <t>Товариство з обмеженою відповідальністю "Загальноосвітній навчальний заклад "Фокус освіти"</t>
  </si>
  <si>
    <t>вул. Ділова, 6</t>
  </si>
  <si>
    <t>http://focus-education.com.ua</t>
  </si>
  <si>
    <t>Загальноосвітній навчальний заклад ІІ-ІІІ ступенів «Вечірня (змінна) школа ІІ-ІІІ ступенів № 2»</t>
  </si>
  <si>
    <t>04071</t>
  </si>
  <si>
    <t>8038500000</t>
  </si>
  <si>
    <t>Київ, Подільський район</t>
  </si>
  <si>
    <t>вул. М.Гречка, 22А</t>
  </si>
  <si>
    <t>422-25-39</t>
  </si>
  <si>
    <t>Загальноосвітній навчальний заклад ІІ-ІІІ ступенів «Вечірня (змінна) спеціальна школа № 27»</t>
  </si>
  <si>
    <t>04080</t>
  </si>
  <si>
    <t>пров. Цимлянський, 2</t>
  </si>
  <si>
    <t>482-54-65</t>
  </si>
  <si>
    <t>https://www.facebook.com/eveningschool27</t>
  </si>
  <si>
    <t>Загальноосвітній навчальний заклад "Міжнародна школа І-ІІІ ступенів "Меридіан"</t>
  </si>
  <si>
    <t>04108</t>
  </si>
  <si>
    <t>пров. Квітневий, 5А</t>
  </si>
  <si>
    <t>433-97-48, 434-88-80</t>
  </si>
  <si>
    <t>http://www.mischool.com.ua</t>
  </si>
  <si>
    <t>російська,англійська,турецька</t>
  </si>
  <si>
    <t>Загальноосвітній навчальний заклад I-III ступенів "Середня загальноосвітня школа № 63" Подільського району м. Києва</t>
  </si>
  <si>
    <t>04136</t>
  </si>
  <si>
    <t>вул. Гречка, 10А</t>
  </si>
  <si>
    <t>400-82-36, 442-42-36</t>
  </si>
  <si>
    <t>http://shkola63.at.ua</t>
  </si>
  <si>
    <t>Загальноосвітній навчальний заклад I-III ступенів "Спеціалізована школа № 193 з поглибленим вивченням української мови і літератури" Подільського району м. Києва</t>
  </si>
  <si>
    <t>04215</t>
  </si>
  <si>
    <t>вул. Світлицького, 22</t>
  </si>
  <si>
    <t>434-62-55, 434-66-33</t>
  </si>
  <si>
    <t>http://sh193kiev.wix.com/vinogradar</t>
  </si>
  <si>
    <t>Загальноосвітній навчальний заклад I-III ступенів "Спеціалізована школа № 271 з поглибленим вивченням інформаційних технологій" Подільського району м. Києва</t>
  </si>
  <si>
    <t>вул. Мостицька, 16</t>
  </si>
  <si>
    <t>460-92-44</t>
  </si>
  <si>
    <t>http://www.sch271.kiev.ua</t>
  </si>
  <si>
    <t>Загальноосвітній навчальний заклад І-ІІ ступенів "Загальноосвітня санаторна школа-інтернат № 19" м. Києва</t>
  </si>
  <si>
    <t>04078</t>
  </si>
  <si>
    <t>вул. Білицька, 55</t>
  </si>
  <si>
    <t>434-94-39, 433-99-11</t>
  </si>
  <si>
    <t>http://school-inter19kiev.wix.com/bil55</t>
  </si>
  <si>
    <t>Загальноосвітній навчальний заклад І-ІІІ ступенів "Гімназія № 107 "Введенська" Подільського району м. Києва</t>
  </si>
  <si>
    <t>вул. Введенська, 35</t>
  </si>
  <si>
    <t>485-18-04</t>
  </si>
  <si>
    <t>http://www.wedenska107.com</t>
  </si>
  <si>
    <t>Загальноосвітній навчальний заклад І-ІІІ ступенів "Гімназія № 19 "Межигірська" Подільського району м. Києва</t>
  </si>
  <si>
    <t>вул. Межигірська, 16</t>
  </si>
  <si>
    <t>425-15-72, 425-03-76</t>
  </si>
  <si>
    <t>http://www.podil19.org.ua</t>
  </si>
  <si>
    <t>Загальноосвітній навчальний заклад І-ІІІ ступенів "Гімназія № 257 "Синьоозерна" Подільського району м. Києва</t>
  </si>
  <si>
    <t>04208</t>
  </si>
  <si>
    <t>просп. Георгія Гонгадзе, 7Б</t>
  </si>
  <si>
    <t>434-87-67</t>
  </si>
  <si>
    <t>http://257gymnasia.at.ua</t>
  </si>
  <si>
    <t>Загальноосвітній навчальний заклад І-ІІІ ступенів "Гімназія № 34 "Либідь" ім. Віктора Максименка" Подільського району м. Києва</t>
  </si>
  <si>
    <t>04123</t>
  </si>
  <si>
    <t>вул. Межова, 22</t>
  </si>
  <si>
    <t>434-60-89, 434-57-10</t>
  </si>
  <si>
    <t>http://www.lybid34.kiev.ua</t>
  </si>
  <si>
    <t>Загальноосвітній навчальний заклад І-ІІІ ступенів "Ліцей № 100 "Поділ" Подільського району м. Києва</t>
  </si>
  <si>
    <t>04070</t>
  </si>
  <si>
    <t>вул. Покровська, 4/6</t>
  </si>
  <si>
    <t>425-15-42</t>
  </si>
  <si>
    <t>http://www.podil100.com</t>
  </si>
  <si>
    <t>Загальноосвітній навчальний заклад І-ІІІ ступенів "Романо-германська гімназія № 123" Подільського району м. Києва</t>
  </si>
  <si>
    <t>04073</t>
  </si>
  <si>
    <t>вул. Копилівська, 23</t>
  </si>
  <si>
    <t>468-13-06, 468-23-48</t>
  </si>
  <si>
    <t>http://www.gimnasia123.kiev.ua</t>
  </si>
  <si>
    <t>Загальноосвітній навчальний заклад І-ІІІ ступенів "Середня загальноосвітня школа № 10" Подільського району м. Києва</t>
  </si>
  <si>
    <t>вул. Костянтинівська, 37</t>
  </si>
  <si>
    <t>482-51-41, 485-51-52, 417-21-90</t>
  </si>
  <si>
    <t>http://kiev-sch-10.at.ua</t>
  </si>
  <si>
    <t>Загальноосвітній навчальний заклад І-ІІІ ступенів "Середня загальноосвітня школа № 156" Подільського району м. Києва</t>
  </si>
  <si>
    <t>вул. Западинська, 10</t>
  </si>
  <si>
    <t>434-45-73</t>
  </si>
  <si>
    <t>Загальноосвітній навчальний заклад І-ІІІ ступенів "Середня загальноосвітня школа № 242" Подільського району м. Києва</t>
  </si>
  <si>
    <t>просп. Правди, 64Г</t>
  </si>
  <si>
    <t>433-57-95</t>
  </si>
  <si>
    <t>http://school242.besaba.com</t>
  </si>
  <si>
    <t>Загальноосвітній навчальний заклад І-ІІІ ступенів "Середня загальноосвітня школа № 243" Подільського району м. Києва</t>
  </si>
  <si>
    <t>вул. Мостицька, 10</t>
  </si>
  <si>
    <t>434-82-00, 434-81-00</t>
  </si>
  <si>
    <t>http://www.podol243kiev.at.ua</t>
  </si>
  <si>
    <t>Загальноосвітній навчальний заклад І-ІІІ ступенів "Середня загальноосвітня школа № 262" Подільського району м. Києва</t>
  </si>
  <si>
    <t>просп. Галицька, 5</t>
  </si>
  <si>
    <t>433-46-11, 434-62-83</t>
  </si>
  <si>
    <t>http://school262.kiev.ua</t>
  </si>
  <si>
    <t>Загальноосвітній навчальний заклад І-ІІІ ступенів "Середня загальноосвітня школа № 45" Подільського району м. Києва</t>
  </si>
  <si>
    <t>вул. Гречка, 22А</t>
  </si>
  <si>
    <t>443-60-61</t>
  </si>
  <si>
    <t>http://www.school45.in.ua</t>
  </si>
  <si>
    <t>Загальноосвітній навчальний заклад І-ІІІ ступенів "Середня загальноосвітня школа № 6" Подільського району м. Києва</t>
  </si>
  <si>
    <t>просп. Георгія Гонгадзе, 20</t>
  </si>
  <si>
    <t>434-87-62</t>
  </si>
  <si>
    <t>http://podolsch6.ucoz.com</t>
  </si>
  <si>
    <t>Загальноосвітній навчальний заклад І-ІІІ ступенів "Середня загальноосвітня школа № 68" Подільського району м. Києва</t>
  </si>
  <si>
    <t>вул. Білицька, 41/43</t>
  </si>
  <si>
    <t>434-81-55</t>
  </si>
  <si>
    <t>http://shkoladobra.com.ua</t>
  </si>
  <si>
    <t>Загальноосвітній навчальний заклад І-ІІІ ступенів "Середня загальноосвітня школа № 93" Подільського району м. Києва</t>
  </si>
  <si>
    <t>пров. Межовий, 7А</t>
  </si>
  <si>
    <t>434-70-19</t>
  </si>
  <si>
    <t>http://school93.jimdo.com</t>
  </si>
  <si>
    <t>Загальноосвітній навчальний заклад І-ІІІ ступенів "Спеціалізована школа № 114 з поглибленим вивченням англійської мови" Подільського району м. Києва</t>
  </si>
  <si>
    <t>вул. Кирилівська, 87/89</t>
  </si>
  <si>
    <t>464-41-57</t>
  </si>
  <si>
    <t>https://www.facebook.com/znz114/</t>
  </si>
  <si>
    <t>Загальноосвітній навчальний заклад І-ІІІ ступенів "Спеціалізована школа № 118 "Всесвіт" з поглибленим вивченням європейських мов" Подільського району м. Києва</t>
  </si>
  <si>
    <t>вул. Тульчинська, 5</t>
  </si>
  <si>
    <t>468-02-88</t>
  </si>
  <si>
    <t>http://www.vsesvit118.kiev.ua</t>
  </si>
  <si>
    <t>Загальноосвітній навчальний заклад І-ІІІ ступенів "Спеціалізована школа № 124 з поглибленим вивченням інформаційних технологій" Подільського району м. Києва</t>
  </si>
  <si>
    <t>вул. Спаська, 16</t>
  </si>
  <si>
    <t>425-25-21</t>
  </si>
  <si>
    <t>http://school124.edukit.kiev.ua</t>
  </si>
  <si>
    <t>Загальноосвітній навчальний заклад І-ІІІ ступенів "Спеціалізована школа № 17 з поглибленим вивченням математики" Подільського району м. Києва</t>
  </si>
  <si>
    <t>вул. Кирилівська, 8</t>
  </si>
  <si>
    <t>462-50-71, 462-51-01</t>
  </si>
  <si>
    <t>http://www.school17.kiev.ua</t>
  </si>
  <si>
    <t>Загальноосвітній навчальний заклад І-ІІІ ступенів "Спеціалізована школа № 2 ім. Д.Карбишева з поглибленим вивченням предметів природничого циклу" Подільського району м. Києва</t>
  </si>
  <si>
    <t>вул. Копилівська, 36</t>
  </si>
  <si>
    <t>468-41-08, 468-00-39</t>
  </si>
  <si>
    <t>http://sch2kiyv.at.ua</t>
  </si>
  <si>
    <t>Загальноосвітній навчальний заклад І-ІІІ ступенів "Спеціалізована школа № 3 з поглибленим вивченням інформаційних технологій" Подільського району м. Києва</t>
  </si>
  <si>
    <t>просп. Правди, 84</t>
  </si>
  <si>
    <t>434-32-55, 434-45-33</t>
  </si>
  <si>
    <t>http://sch3.kiev.ua</t>
  </si>
  <si>
    <t>Загальноосвітній навчальний заклад І-ІІІ ступенів "Спеціальна загальноосвітня школа-інтернат № 5 ім. Я.П. Батюка" м. Києва</t>
  </si>
  <si>
    <t>вул. Вишгородська, 35</t>
  </si>
  <si>
    <t>430-01-14</t>
  </si>
  <si>
    <t>http://school-internat5.kiev.ua</t>
  </si>
  <si>
    <t>Загальноосвітній навчальний заклад І-ІІІ ступенів "Спеціальна загальноосвітня школа-інтернат № 6" м. Києва</t>
  </si>
  <si>
    <t>вул. Світлицького, 31/7</t>
  </si>
  <si>
    <t>434-57-66</t>
  </si>
  <si>
    <t>https://www.facebook.com/Київська-школа-інтернат-6-для-дітей-з-розладами-слуху-та-мовлення-1667464743532338/?fref=ts</t>
  </si>
  <si>
    <t>Загальноосвітній навчальний заклад ІІ-ІІІ ступенів "Фінансовий ліцей"</t>
  </si>
  <si>
    <t>просп. Георгія Гонгадзе, 32Є</t>
  </si>
  <si>
    <t>434-84-64, 434-95-68</t>
  </si>
  <si>
    <t>http://www.finlyc.kiev.ua</t>
  </si>
  <si>
    <t>23388780</t>
  </si>
  <si>
    <t>Загальноосвітній навчальний заклад І ступеня школа-дитячий садок "Перлина"</t>
  </si>
  <si>
    <t>просп. Георгія Гонгадзе, 24А</t>
  </si>
  <si>
    <t>434-82-97</t>
  </si>
  <si>
    <t>https://www.facebook.com/school.perlyna/</t>
  </si>
  <si>
    <t>Загальноосвітній навчальний заклад І ступеня школа-дитячий садок ім. Софії Русової</t>
  </si>
  <si>
    <t>просп. Правди, 82</t>
  </si>
  <si>
    <t>434-49-55, 434-53-33</t>
  </si>
  <si>
    <t>Загальноосвітній навчальний заклад І ступеня школа-дитячий садок "Поділля"</t>
  </si>
  <si>
    <t>вул. Щекавицька, 25</t>
  </si>
  <si>
    <t>482-44-29, 482-44-21, 417-20-42</t>
  </si>
  <si>
    <t>https://www.facebook.com/podillia/</t>
  </si>
  <si>
    <t>Приватний загальноосвітній навчальний заклад "Німецько-українська міжкультурна школа в м. Києві"</t>
  </si>
  <si>
    <t>вул. Новомостицька, 10</t>
  </si>
  <si>
    <t>462-08-01, 462-08-87</t>
  </si>
  <si>
    <t>http://www.deutscheschule.kiev.ua</t>
  </si>
  <si>
    <t>Загальноосвітній навчальний заклад І ступеня школа-дитячий садок "Дивоцвіт"</t>
  </si>
  <si>
    <t>просп. Свободи, 3А</t>
  </si>
  <si>
    <t>433-14-17</t>
  </si>
  <si>
    <t>http://www.dyvotsvit.com.ua</t>
  </si>
  <si>
    <t>Спеціальний дитячий будинок "Малятко" для дітей дошкільного та шкільного віку</t>
  </si>
  <si>
    <t>вул. Білицька, 14</t>
  </si>
  <si>
    <t>430-11-19, 430-11-25</t>
  </si>
  <si>
    <t>http://malyatko-school.kiev.ua</t>
  </si>
  <si>
    <t>Загальноосвітній навчальний заклад І ступеня школа-дитячий садок "Родзинка"</t>
  </si>
  <si>
    <t>вул. Межова, 23А</t>
  </si>
  <si>
    <t>462-04-16</t>
  </si>
  <si>
    <t>https://www.facebook.com/profile.php?id=100017361702860</t>
  </si>
  <si>
    <t>Вечірня (змінна) школа № 7</t>
  </si>
  <si>
    <t>03164</t>
  </si>
  <si>
    <t>8038600000</t>
  </si>
  <si>
    <t>Київ, Святошинський район</t>
  </si>
  <si>
    <t>вул. Осіння, 35</t>
  </si>
  <si>
    <t>044-424-72-29</t>
  </si>
  <si>
    <t>http://sv7.kiev.ua</t>
  </si>
  <si>
    <t>Гімназія "Академія"</t>
  </si>
  <si>
    <t>03115</t>
  </si>
  <si>
    <t>вул. Ф. Пушиної, 4</t>
  </si>
  <si>
    <t>450-02-14</t>
  </si>
  <si>
    <t>http://gymnas-akademiya.edukit.kiev.ua</t>
  </si>
  <si>
    <t>Гімназія "Євроленд" Приватного вищого навчального закладу "Європейський університет"</t>
  </si>
  <si>
    <t>03194</t>
  </si>
  <si>
    <t>вул. Литвиненко-Вольгемут, 1Г</t>
  </si>
  <si>
    <t>405-15-62</t>
  </si>
  <si>
    <t>http://euroland.e-u.in.ua</t>
  </si>
  <si>
    <t>Загальноосвітній навчальний заклад "Гімназія "Європейська освіта"</t>
  </si>
  <si>
    <t>вул. Малинська, 4</t>
  </si>
  <si>
    <t>http://evropa-osvita.kiev.ua</t>
  </si>
  <si>
    <t>Київська гімназія № 154</t>
  </si>
  <si>
    <t>03113</t>
  </si>
  <si>
    <t>просп. Перемоги, 63</t>
  </si>
  <si>
    <t>456-68-48, 456-11-02</t>
  </si>
  <si>
    <t>http://www.154school.kiev.ua</t>
  </si>
  <si>
    <t>Київська гімназія № 287</t>
  </si>
  <si>
    <t>03179</t>
  </si>
  <si>
    <t>вул. Чорнобильська, 10Б</t>
  </si>
  <si>
    <t>450-40-73, 450-64-45</t>
  </si>
  <si>
    <t>http://s287.kiev.ua</t>
  </si>
  <si>
    <t>Київська гімназія східних мов № 1</t>
  </si>
  <si>
    <t>04107</t>
  </si>
  <si>
    <t>вул. Львівська, 25</t>
  </si>
  <si>
    <t>483-32-21, 483-59-15, 483-33-36</t>
  </si>
  <si>
    <t>http://kgsm1.kiev.ua</t>
  </si>
  <si>
    <t>Ліцей "ЕКО" № 198</t>
  </si>
  <si>
    <t>03162</t>
  </si>
  <si>
    <t>вул. Тулузи, 6</t>
  </si>
  <si>
    <t>274-38-66</t>
  </si>
  <si>
    <t>http://lyceum198.edukit.kiev.ua</t>
  </si>
  <si>
    <t>Навчальний заклад освіти гімназія "Прем'єр" Київської Академії наук у формі підприємства об'єднання громадян</t>
  </si>
  <si>
    <t>04128</t>
  </si>
  <si>
    <t>вул. Інститутська, 16/4</t>
  </si>
  <si>
    <t>443-08-58</t>
  </si>
  <si>
    <t>http://www.gymnasium-premier.com.ua</t>
  </si>
  <si>
    <t>Навчально-виховний комплекс "дошкільний навчальний заклад - загальноосвітній навчальний заклад "Дзвіночок"</t>
  </si>
  <si>
    <t>вул. Жмеринська, 1А</t>
  </si>
  <si>
    <t>Навчально-виховний комплекс "дошкільний навчальний заклад - загальноосвітній навчальний заклад "Довіра"</t>
  </si>
  <si>
    <t>вул. Жмеринська, 10А</t>
  </si>
  <si>
    <t>2743465</t>
  </si>
  <si>
    <t>Навчально-виховний комплекс "дошкільний навчальний заклад - загальноосвітній навчальний заклад "ІНТЕЛ"</t>
  </si>
  <si>
    <t>вул. Кіпріанова, 4А</t>
  </si>
  <si>
    <t>407-60-01</t>
  </si>
  <si>
    <t>Навчально-виховний комплекс "дошкільний навчальний заклад - загальноосвітній навчальний заклад "ОБРІЙ"</t>
  </si>
  <si>
    <t>вул. Зодчих, 54А</t>
  </si>
  <si>
    <t>(044) 274-52-88</t>
  </si>
  <si>
    <t>Навчально-виховний комплекс "дошкільний навчальний заклад - загальноосвітній навчальний заклад "Свічадо"</t>
  </si>
  <si>
    <t>вул. Вернадського, 71А</t>
  </si>
  <si>
    <t>4243200</t>
  </si>
  <si>
    <t>Навчально-виховний комплекс "дошкільний навчальний заклад - загальноосвітній навчальний заклад "СУЗІР'Я"</t>
  </si>
  <si>
    <t>вул. Героїв Космосу, 15А</t>
  </si>
  <si>
    <t>044-403-00-51</t>
  </si>
  <si>
    <t>Приватний загальноосвітній навчальний заклад "Гімназія "Апогей"</t>
  </si>
  <si>
    <t>вул. Чистяківська, 24</t>
  </si>
  <si>
    <t>400-51-79</t>
  </si>
  <si>
    <t>http://apogey.edukit.kiev.ua</t>
  </si>
  <si>
    <t>Приватний загальноосвітній навчальний заклад "Ліцей Київського міжнародного університету"</t>
  </si>
  <si>
    <t>вул. Львівська, 49</t>
  </si>
  <si>
    <t>594-03-02</t>
  </si>
  <si>
    <t>http://kymu.edu.ua/licey/</t>
  </si>
  <si>
    <t>Приватний навчально-виховний комплекс "Дошкільний навчальний заклад - загальноосвітній навчальний заклад "ЯМБ"</t>
  </si>
  <si>
    <t>вул. Туполєва, 7В</t>
  </si>
  <si>
    <t>206-17-60</t>
  </si>
  <si>
    <t>http://ymb.com.ua</t>
  </si>
  <si>
    <t>Середній заклад освіти школа-дитячий садок "Схід"</t>
  </si>
  <si>
    <t>вул. Верховинна, 91/93</t>
  </si>
  <si>
    <t>424-13-68</t>
  </si>
  <si>
    <t>Середня загальноосвітня школа № 13 ім. Хитриченка</t>
  </si>
  <si>
    <t>03148</t>
  </si>
  <si>
    <t>вул. Генерала Потапова, 3</t>
  </si>
  <si>
    <t>405-60-44</t>
  </si>
  <si>
    <t>http://013.school-site.kiev.ua</t>
  </si>
  <si>
    <t>Середня загальноосвітня школа № 140</t>
  </si>
  <si>
    <t>вул. Львівська, 47/8</t>
  </si>
  <si>
    <t>424-14-32</t>
  </si>
  <si>
    <t>http://school140.kiev.ua</t>
  </si>
  <si>
    <t>Середня загальноосвітня школа № 162</t>
  </si>
  <si>
    <t>вул. Рахманінова, 47</t>
  </si>
  <si>
    <t>424-70-13, 424-82-69</t>
  </si>
  <si>
    <t>https://www.facebook.com/Школа-162-мКиїв-1277585815605262/</t>
  </si>
  <si>
    <t>Середня загальноосвітня школа № 205</t>
  </si>
  <si>
    <t>просп. Леся Курбаса, 10Д</t>
  </si>
  <si>
    <t>405-01-11, 405-05-33</t>
  </si>
  <si>
    <t>http://school205.edukit.kiev.ua</t>
  </si>
  <si>
    <t>Середня загальноосвітня школа № 206 імені Леся Курбаса</t>
  </si>
  <si>
    <t>просп. Леся Курбаса, 9А</t>
  </si>
  <si>
    <t>405-83-33</t>
  </si>
  <si>
    <t>http://school206.edukit.kiev.ua</t>
  </si>
  <si>
    <t>Середня загальноосвітня школа № 215</t>
  </si>
  <si>
    <t>вул. Жмеринська, 20</t>
  </si>
  <si>
    <t>407-04-90, 403-05-16</t>
  </si>
  <si>
    <t>https://class215.jimdo.com</t>
  </si>
  <si>
    <t>Середня загальноосвітня школа № 222</t>
  </si>
  <si>
    <t>03170</t>
  </si>
  <si>
    <t>вул. Тулузи, 6А</t>
  </si>
  <si>
    <t>405-25-44</t>
  </si>
  <si>
    <t>http://school222.kiev.ua</t>
  </si>
  <si>
    <t>Середня загальноосвітня школа № 223</t>
  </si>
  <si>
    <t>03134</t>
  </si>
  <si>
    <t>вул. Жолудєва, 6Г</t>
  </si>
  <si>
    <t>402-34-05, 402-34-05</t>
  </si>
  <si>
    <t>http://223.school-site.kiev.ua</t>
  </si>
  <si>
    <t>Середня загальноосвітня школа № 230</t>
  </si>
  <si>
    <t>вул. Наумова, 35Б</t>
  </si>
  <si>
    <t>424-82-49, 424-82-59</t>
  </si>
  <si>
    <t>http://kyiv230school.pp.ua</t>
  </si>
  <si>
    <t>Середня загальноосвітня школа № 235 ім. В’ячеслава Чорновола</t>
  </si>
  <si>
    <t>вул. Кільцева Дорога, 1Б</t>
  </si>
  <si>
    <t>402-67-11</t>
  </si>
  <si>
    <t>http://www.school253.edukit.kiev.ua/</t>
  </si>
  <si>
    <t>Середня загальноосвітня школа № 253</t>
  </si>
  <si>
    <t>03146</t>
  </si>
  <si>
    <t>вул. Жмеринська, 34</t>
  </si>
  <si>
    <t>407-67-69</t>
  </si>
  <si>
    <t>http://school253.edukit.kiev.ua</t>
  </si>
  <si>
    <t>Середня загальноосвітня школа № 281</t>
  </si>
  <si>
    <t>бульв. Кольцова, 7Б</t>
  </si>
  <si>
    <t>405-03-01</t>
  </si>
  <si>
    <t>http://school281.kiev.ua</t>
  </si>
  <si>
    <t>Середня загальноосвітня школа № 288</t>
  </si>
  <si>
    <t>вул. Ірпінська, 68А</t>
  </si>
  <si>
    <t>452-20-09</t>
  </si>
  <si>
    <t>http://school288.kiev.sch.in.ua</t>
  </si>
  <si>
    <t>Середня загальноосвітня школа № 297</t>
  </si>
  <si>
    <t>вул. Жолудєва, 3Г</t>
  </si>
  <si>
    <t>402-55-54, 402-71-96</t>
  </si>
  <si>
    <t>http://297.school-site.kiev.ua</t>
  </si>
  <si>
    <t>Середня загальноосвітня школа № 35</t>
  </si>
  <si>
    <t>вул. Гната Юри, 10Б</t>
  </si>
  <si>
    <t>403-09-71, 403-09-82</t>
  </si>
  <si>
    <t>http://school35.kiev.ua</t>
  </si>
  <si>
    <t>Середня загальноосвітня школа № 50</t>
  </si>
  <si>
    <t>вул. Ушакова, 12А</t>
  </si>
  <si>
    <t>424-34-25</t>
  </si>
  <si>
    <t>http://school50.kiev.ua</t>
  </si>
  <si>
    <t>Середня загальноосвітня школа № 55</t>
  </si>
  <si>
    <t>424-00-96, 424-25-21</t>
  </si>
  <si>
    <t>http://school055.kiev.ua</t>
  </si>
  <si>
    <t>Середня загальноосвітня школа № 72</t>
  </si>
  <si>
    <t>вул. Генерала Наумова, 35А</t>
  </si>
  <si>
    <t>424-24-32</t>
  </si>
  <si>
    <t>http://school72.edukit.kiev.ua</t>
  </si>
  <si>
    <t>Середня загальноосвітня школа № 83</t>
  </si>
  <si>
    <t>вул. Героїв Космосу, 3</t>
  </si>
  <si>
    <t>403-00-04, 403-05-64</t>
  </si>
  <si>
    <t>http://school83.edukit.kiev.ua</t>
  </si>
  <si>
    <t>Спеціалізована авіаційно-технологічна школа № 203</t>
  </si>
  <si>
    <t>вул. Туполєва, 17</t>
  </si>
  <si>
    <t>400-84-54, 400-62-26</t>
  </si>
  <si>
    <t>http://www.school203.kiev.sch.in.ua</t>
  </si>
  <si>
    <t>Спеціалізована загальноосвітня школа І-ІІІ ступенів з поглибленим вивченням іноземних мов "Ріка життя" громадської організації "Товариство сприяння розвитку християнської культури та освіти"</t>
  </si>
  <si>
    <t>вул. Генерала Пухова, 2</t>
  </si>
  <si>
    <t>407-16-95</t>
  </si>
  <si>
    <t>http://reka.kiev.ua</t>
  </si>
  <si>
    <t>Спеціалізована школа - дитячий садок I ступеня з поглибленим вивченням іноземних мов "ЛІСОВА КАЗКА"</t>
  </si>
  <si>
    <t>044-400-51-79</t>
  </si>
  <si>
    <t>Спеціалізована школа № 131</t>
  </si>
  <si>
    <t>вул. Литвиненко-Вольгемут, 2</t>
  </si>
  <si>
    <t>274-45-68, 274-45-65</t>
  </si>
  <si>
    <t>http://school131.edukit.kiev.ua</t>
  </si>
  <si>
    <t>Спеціалізована школа № 185 ім. Володимира Вернадського</t>
  </si>
  <si>
    <t>вул. Серпова, 20/6</t>
  </si>
  <si>
    <t>424-14-63</t>
  </si>
  <si>
    <t>http://school185.kiev.sch.in.ua</t>
  </si>
  <si>
    <t>Спеціалізована школа № 196</t>
  </si>
  <si>
    <t>вул. Зодчих, 22</t>
  </si>
  <si>
    <t>405-40-22, 405-40-55</t>
  </si>
  <si>
    <t>http://www.196school.kiev.ua</t>
  </si>
  <si>
    <t>Спеціалізована школа № 197 ім. Дмитра Луценка</t>
  </si>
  <si>
    <t>вул. Генерала Потапова, 12</t>
  </si>
  <si>
    <t>276-86-55</t>
  </si>
  <si>
    <t>http://school197.kiev.ua</t>
  </si>
  <si>
    <t>Спеціалізована школа № 200</t>
  </si>
  <si>
    <t>03142</t>
  </si>
  <si>
    <t>вул. Семашка, 9</t>
  </si>
  <si>
    <t>424-81-12, 424-02-72</t>
  </si>
  <si>
    <t>http://school200.io.ua</t>
  </si>
  <si>
    <t>російська,польська,французька</t>
  </si>
  <si>
    <t>Спеціалізована школа № 254</t>
  </si>
  <si>
    <t>вул. Корольова, 12М</t>
  </si>
  <si>
    <t>402-44-21, 402-98-44</t>
  </si>
  <si>
    <t>http://sh254.kiev.ua/</t>
  </si>
  <si>
    <t>Спеціалізована школа № 304</t>
  </si>
  <si>
    <t>вул. Академіка Єфремова, 21А</t>
  </si>
  <si>
    <t>423-80-71</t>
  </si>
  <si>
    <t>http://www.school304.com.ua</t>
  </si>
  <si>
    <t>Спеціалізована школа № 317</t>
  </si>
  <si>
    <t>вул. Булгакова, 12</t>
  </si>
  <si>
    <t>402-36-13, 402-91-98</t>
  </si>
  <si>
    <t>http://317school.kiev.ua</t>
  </si>
  <si>
    <t>Спеціалізована школа № 40</t>
  </si>
  <si>
    <t>вул. Львівська, 6/3</t>
  </si>
  <si>
    <t>424-74-31, 424-72-40</t>
  </si>
  <si>
    <t>http://zirkova40.kiev.ua</t>
  </si>
  <si>
    <t>Спеціалізована школа № 76 ім. О. Гончара</t>
  </si>
  <si>
    <t>вул. Жмеринська, 8</t>
  </si>
  <si>
    <t>274-02-84, 273-54-64</t>
  </si>
  <si>
    <t>http://school76.kiev.ua</t>
  </si>
  <si>
    <t>Спеціалізована школа № 96 з поглибленим вивченням російської мови</t>
  </si>
  <si>
    <t>вул. Огарьова, 2</t>
  </si>
  <si>
    <t>424-13-97</t>
  </si>
  <si>
    <t>http://school96.kiev.ua</t>
  </si>
  <si>
    <t>Спеціалізований навчально-виховний комплекс "дошкільний навчальний заклад - загальноосвітній навчальний заклад "ЛІЛЕЯ"</t>
  </si>
  <si>
    <t>вул. Федори Пушиної, 52</t>
  </si>
  <si>
    <t>+38(044)452-27-28</t>
  </si>
  <si>
    <t>Спеціальна школа-інтернат № 16</t>
  </si>
  <si>
    <t>вул. Депутатська, 1</t>
  </si>
  <si>
    <t>424-75-83, 403-35-03</t>
  </si>
  <si>
    <t>http://internat16.edukit.kiev.ua</t>
  </si>
  <si>
    <t>Спеціальна школа-інтернат № 15</t>
  </si>
  <si>
    <t>просп. Перемоги, 113</t>
  </si>
  <si>
    <t>450-92-55, 450-92-53</t>
  </si>
  <si>
    <t>Товариство з обмеженою відповідальністю "Навчально-виховний комплекс "Святошинська гімназія"</t>
  </si>
  <si>
    <t>вул. Ірпінська, 74А</t>
  </si>
  <si>
    <t>452-24-03, 568-02-76</t>
  </si>
  <si>
    <t>http://sg-school.kiev.ua</t>
  </si>
  <si>
    <t>Школа-дитячий садок "Євроленд" Приватного вищого навчального закладу "Європейський університет"</t>
  </si>
  <si>
    <t>вул. Литвиненко-Вольгемут, 4А</t>
  </si>
  <si>
    <t>http://sadok.e-u.in.ua</t>
  </si>
  <si>
    <t>Товариство з обмеженою відповідальністю "Центр дистанційної освіти "Джерело"</t>
  </si>
  <si>
    <t>вул. Симиренка, 12</t>
  </si>
  <si>
    <t>http://cdo.org.ua</t>
  </si>
  <si>
    <t>Вечірня (змінна) школа № 3</t>
  </si>
  <si>
    <t>03151</t>
  </si>
  <si>
    <t>8038900000</t>
  </si>
  <si>
    <t>Київ, Солом'янський район</t>
  </si>
  <si>
    <t>вул. Ушинського, 15</t>
  </si>
  <si>
    <t>242-27-06</t>
  </si>
  <si>
    <t>Авіакосмічний ліцей ім. І Сікорського НАУ м. Києва</t>
  </si>
  <si>
    <t>03058</t>
  </si>
  <si>
    <t>просп. Комарова, 1, корп. 7Б</t>
  </si>
  <si>
    <t>497-41-45, 406-72-23</t>
  </si>
  <si>
    <t>http://www.akl-nau.com.ua</t>
  </si>
  <si>
    <t>25759476</t>
  </si>
  <si>
    <t>Гімназія "Ерудит" м. Києва</t>
  </si>
  <si>
    <t>вул. Генерала Тупікова, 27</t>
  </si>
  <si>
    <t>457-84-99, 453-01-31, 457-84-99</t>
  </si>
  <si>
    <t>http://eruditkiev.ua</t>
  </si>
  <si>
    <t>Гімназія "Міленіум" № 318 м. Києва</t>
  </si>
  <si>
    <t>03048</t>
  </si>
  <si>
    <t>вул. Пулюя, 3Б</t>
  </si>
  <si>
    <t>246-19-50</t>
  </si>
  <si>
    <t>https://www.facebook.com/sh318/</t>
  </si>
  <si>
    <t>Гімназія № 178 м. Києва</t>
  </si>
  <si>
    <t>03049</t>
  </si>
  <si>
    <t>Повітрофлотський проспект, 22</t>
  </si>
  <si>
    <t>249-59-80</t>
  </si>
  <si>
    <t>http://178.com.ua</t>
  </si>
  <si>
    <t>Гімназія біотехнологій № 177 м. Києва</t>
  </si>
  <si>
    <t>вул. Курська, 12</t>
  </si>
  <si>
    <t>248-40-89</t>
  </si>
  <si>
    <t>http://www.bio177.com</t>
  </si>
  <si>
    <t>Гімназія-інтернат № 13 м. Києва</t>
  </si>
  <si>
    <t>03061</t>
  </si>
  <si>
    <t>вул. Новопольова, 106</t>
  </si>
  <si>
    <t>408-48-22, 497-81-64</t>
  </si>
  <si>
    <t>http://www.gymnasium13.edukit.kiev.ua</t>
  </si>
  <si>
    <t>Загальноосвітній навчальний заклад "Київський спортивний ліцей-інтернат"</t>
  </si>
  <si>
    <t>03126</t>
  </si>
  <si>
    <t>б-р Вацлава Гавела, 46</t>
  </si>
  <si>
    <t>408-84-07, 408-25-18</t>
  </si>
  <si>
    <t>http://www.ksli.at.ua</t>
  </si>
  <si>
    <t>23516367</t>
  </si>
  <si>
    <t>Загальноосвітній навчальний приватний заклад "Хореографічна гімназія "Кияночка"</t>
  </si>
  <si>
    <t>вул. Борщагівська, 204Г</t>
  </si>
  <si>
    <t>http://balletkiev.com/school/</t>
  </si>
  <si>
    <t>Ліцей "Престиж" м. Києва</t>
  </si>
  <si>
    <t>вул. Героїв Севастополя, 42А</t>
  </si>
  <si>
    <t>408-63-45</t>
  </si>
  <si>
    <t>http://www.prestizhl.kiev.ua</t>
  </si>
  <si>
    <t>Ліцей № 142 м. Києва</t>
  </si>
  <si>
    <t>03055</t>
  </si>
  <si>
    <t>вул. Політехнічна, 2А</t>
  </si>
  <si>
    <t>236-19-20, 236-09-98</t>
  </si>
  <si>
    <t>http://l142.kiev.ua</t>
  </si>
  <si>
    <t>Ліцей № 144 ім. Г.Ващенка м. Києва</t>
  </si>
  <si>
    <t>03037</t>
  </si>
  <si>
    <t>просп. Валерія Лобановського, 6</t>
  </si>
  <si>
    <t>249-79-70</t>
  </si>
  <si>
    <t>http://lms144.at.ua</t>
  </si>
  <si>
    <t>Політехнічний ліцей Національного технічного університету України "КПІ" м. Києва</t>
  </si>
  <si>
    <t>03056</t>
  </si>
  <si>
    <t>просп. Перемоги, 37, корп. 7, к. 537</t>
  </si>
  <si>
    <t>204-94-72, 454-96-31</t>
  </si>
  <si>
    <t>http://pl.kpi.ua</t>
  </si>
  <si>
    <t>22876603</t>
  </si>
  <si>
    <t>початкова спеціалізована школа І ступеня № 164 з поглибленим вивченням окремих предметів м. Києва</t>
  </si>
  <si>
    <t>вул. Уманська, 33</t>
  </si>
  <si>
    <t>242-99-04</t>
  </si>
  <si>
    <t>Приватна школа "Афіни" м. Києва</t>
  </si>
  <si>
    <t>03110</t>
  </si>
  <si>
    <t>вул. Соломянська, 35А</t>
  </si>
  <si>
    <t>249-66-43, 249-66-43</t>
  </si>
  <si>
    <t>http://www.athens.kiev.ua</t>
  </si>
  <si>
    <t>Приватний загальноосвітній навчальний заклад "Фінансово-правовий ліцей"</t>
  </si>
  <si>
    <t>03035</t>
  </si>
  <si>
    <t>вул. Керченська, 3</t>
  </si>
  <si>
    <t>245-65-97</t>
  </si>
  <si>
    <t>http://www.fpl.kiev.ua</t>
  </si>
  <si>
    <t>Приватний навчальний заклад "Навчально-виховне об'єднання "Перлина" м. Києва</t>
  </si>
  <si>
    <t>вул. Ушинського, 20</t>
  </si>
  <si>
    <t>242-84-86, 242-84-87</t>
  </si>
  <si>
    <t>Середня загальноосвітня школа № 12 м. Києва</t>
  </si>
  <si>
    <t>вул. Зелена, 12</t>
  </si>
  <si>
    <t>408-22-66</t>
  </si>
  <si>
    <t>http://school12kiev.at.ua</t>
  </si>
  <si>
    <t>Середня загальноосвітня школа № 121 м. Києва</t>
  </si>
  <si>
    <t>03138</t>
  </si>
  <si>
    <t>вул. Каменярів, 32</t>
  </si>
  <si>
    <t>524-14-74, 524-85-74</t>
  </si>
  <si>
    <t>http://school121.kiev.sch.in.ua</t>
  </si>
  <si>
    <t>Середня загальноосвітня школа № 161 м. Києва</t>
  </si>
  <si>
    <t>03065</t>
  </si>
  <si>
    <t>вул. Каблукова, 14</t>
  </si>
  <si>
    <t>497-73-13, 497-31-57</t>
  </si>
  <si>
    <t>http://sch161.kiev.ua</t>
  </si>
  <si>
    <t>Середня загальноосвітня школа № 166 м. Києва</t>
  </si>
  <si>
    <t>03087</t>
  </si>
  <si>
    <t>вул. Єреванська, 20</t>
  </si>
  <si>
    <t>242-56-62</t>
  </si>
  <si>
    <t>https://www.facebook.com/sch166kiev/</t>
  </si>
  <si>
    <t>Середня загальноосвітня школа № 174 м. Києва</t>
  </si>
  <si>
    <t>вул. Героїв Севастополя, 43</t>
  </si>
  <si>
    <t>497-41-88</t>
  </si>
  <si>
    <t>http://school174.ucoz.com</t>
  </si>
  <si>
    <t>Середня загальноосвітня школа № 22 м. Києва</t>
  </si>
  <si>
    <t>вул. Суздальська, 10</t>
  </si>
  <si>
    <t>408-25-77, 408-04-67</t>
  </si>
  <si>
    <t>Середня загальноосвітня школа № 221 м. Києва</t>
  </si>
  <si>
    <t>вул. Кудряшова, 12/14</t>
  </si>
  <si>
    <t>245-65-96</t>
  </si>
  <si>
    <t>http://school-221-kiev.ucoz.ru</t>
  </si>
  <si>
    <t>Середня загальноосвітня школа № 229 м. Києва</t>
  </si>
  <si>
    <t>03067</t>
  </si>
  <si>
    <t>вул. Виборзька, 57</t>
  </si>
  <si>
    <t>457-63-27</t>
  </si>
  <si>
    <t>http://www.kievschool229.kiev.ua</t>
  </si>
  <si>
    <t>Середня загальноосвітня школа № 26 м. Києва</t>
  </si>
  <si>
    <t>497-73-22</t>
  </si>
  <si>
    <t>http://szh26.kiev.ua</t>
  </si>
  <si>
    <t>Середня загальноосвітня школа № 279 імені Петра Григоренка м. Києва</t>
  </si>
  <si>
    <t>03169</t>
  </si>
  <si>
    <t>250-66-04, 250-64-75</t>
  </si>
  <si>
    <t>http://279.kiev.ua</t>
  </si>
  <si>
    <t>Середня загальноосвітня школа № 46 м. Києва</t>
  </si>
  <si>
    <t>03124</t>
  </si>
  <si>
    <t>вул. Василенка, 10</t>
  </si>
  <si>
    <t>497-01-45, 497-71-76, 497-72-82</t>
  </si>
  <si>
    <t>http://school46.edukit.kiev.ua</t>
  </si>
  <si>
    <t>Середня загальноосвітня школа № 54 м. Києва</t>
  </si>
  <si>
    <t>вул. Білецького, 7</t>
  </si>
  <si>
    <t>404-61-90</t>
  </si>
  <si>
    <t>http://813194.create.web.hosting-test.net</t>
  </si>
  <si>
    <t>Середня загальноосвітня школа № 60 комплексного розвитку дітей "Росток" м. Києва</t>
  </si>
  <si>
    <t>03141</t>
  </si>
  <si>
    <t>вул. Володарського, 1/2</t>
  </si>
  <si>
    <t>275-74-54, 275-51-91</t>
  </si>
  <si>
    <t>http://znz60.kiev.ua</t>
  </si>
  <si>
    <t>Середня загальноосвітня школа № 67 м. Києва</t>
  </si>
  <si>
    <t>вул. Героїв Севастополя, 9А</t>
  </si>
  <si>
    <t>497-70-71</t>
  </si>
  <si>
    <t>http://school67kuiv.nethouse.ua</t>
  </si>
  <si>
    <t>Середня загальноосвітня школа № 69 м. Києва</t>
  </si>
  <si>
    <t>вул. Донецька, 25</t>
  </si>
  <si>
    <t>243-40-16, 243-40-15</t>
  </si>
  <si>
    <t>http://school69.kiev.ua</t>
  </si>
  <si>
    <t>Середня загальноосвітня школа № 74 м. Києва</t>
  </si>
  <si>
    <t>04057</t>
  </si>
  <si>
    <t>вул. Смоленська, 4</t>
  </si>
  <si>
    <t>456-04-72, 456-10-75</t>
  </si>
  <si>
    <t>http://school74.ucoz.ua</t>
  </si>
  <si>
    <t>Спеціалізована школа II-III ступенів № 159 з поглибленим вивченням англійської мови м. Києва</t>
  </si>
  <si>
    <t>вул. Тупікова, 22</t>
  </si>
  <si>
    <t>457-09-75, 457-09-76</t>
  </si>
  <si>
    <t>http://school159.com.ua</t>
  </si>
  <si>
    <t>Спеціалізована школа № 115 ім. І.Огієнка м. Києва</t>
  </si>
  <si>
    <t>вул. Кавказька, 10</t>
  </si>
  <si>
    <t>248-23-03</t>
  </si>
  <si>
    <t>http://www.school-115.com.ua</t>
  </si>
  <si>
    <t>Спеціалізована школа № 149 м. Києва</t>
  </si>
  <si>
    <t>вул. Івана Світличного, 1</t>
  </si>
  <si>
    <t>242-50-80, 242-50-67</t>
  </si>
  <si>
    <t>http://www.school149.kiev.sch.in.ua</t>
  </si>
  <si>
    <t>Спеціалізована школа № 173 м. Києва</t>
  </si>
  <si>
    <t>просп. Відрадний, 20</t>
  </si>
  <si>
    <t>497-20-86, 404-26-48</t>
  </si>
  <si>
    <t>http://school173.com.ua</t>
  </si>
  <si>
    <t>Спеціалізована школа № 187 з поглибленим вивченням української та англійської мов м. Києва</t>
  </si>
  <si>
    <t>вул. Волгоградська, 23</t>
  </si>
  <si>
    <t>275-31-33</t>
  </si>
  <si>
    <t>https://www.facebook.com/school187/</t>
  </si>
  <si>
    <t>Спеціалізована школа № 43 з поглибленим вивченням предметів суспільно-гуманітарного циклу "Грааль" м. Києва</t>
  </si>
  <si>
    <t>вул. Клименка, 17</t>
  </si>
  <si>
    <t>275-55-74</t>
  </si>
  <si>
    <t>http://www.school-43.kiev.ua</t>
  </si>
  <si>
    <t>Спеціалізована школа № 52 з поглибленим вивченням інформаційних технологій м. Києва</t>
  </si>
  <si>
    <t>вул. Донця, 16</t>
  </si>
  <si>
    <t>497-20-55</t>
  </si>
  <si>
    <t>http://school52.kiev.ua</t>
  </si>
  <si>
    <t>Спеціалізована школа № 64 м. Києва</t>
  </si>
  <si>
    <t>вул. Ушинського, 32</t>
  </si>
  <si>
    <t>243-16-82, 243-16-82</t>
  </si>
  <si>
    <t>https://www.facebook.com/pages/Школа-64/334813799987752</t>
  </si>
  <si>
    <t>Спеціалізована школа № 7 імені М.Т. Рильського м. Києва</t>
  </si>
  <si>
    <t>пров. Платонівський, 3</t>
  </si>
  <si>
    <t>249-50-55, 249-50-54, 245-24-96</t>
  </si>
  <si>
    <t>http://school7.kiev.ho.ua</t>
  </si>
  <si>
    <t>Спеціалізована школа № 71 м. Києва</t>
  </si>
  <si>
    <t>03057</t>
  </si>
  <si>
    <t>Польовий провулок, 10</t>
  </si>
  <si>
    <t>456-63-71, 456-34-18</t>
  </si>
  <si>
    <t>http://71shkola.weebly.com</t>
  </si>
  <si>
    <t>Спеціалізована школа І ступеня № 324 Солом'янського району м. Києва</t>
  </si>
  <si>
    <t>вул. Лебедєва-Кумача, 8</t>
  </si>
  <si>
    <t>453-04-87, 457-93-78</t>
  </si>
  <si>
    <t>Спеціалізована школа-дитячий садок І ступеня "Відродження" з поглибленим вивченням іноземної мови</t>
  </si>
  <si>
    <t>вул. Металістів, 11</t>
  </si>
  <si>
    <t>457-61-76</t>
  </si>
  <si>
    <t>Спеціалізована школа-дитячий садок І ступеня "Золотий ключик" з полибленим вивченням іноземної мови з 1-ого класу</t>
  </si>
  <si>
    <t>вул. Івана Пулюя, 3А</t>
  </si>
  <si>
    <t>246-19-57, 246-19-47</t>
  </si>
  <si>
    <t>http://zolotyikliuchyk.kiev.ua</t>
  </si>
  <si>
    <t>Спеціалізована школа-дитячий садок І ступеня "Сяйво" з поглибленим вивченням іноземної мови</t>
  </si>
  <si>
    <t>вул. Тупікова, 12</t>
  </si>
  <si>
    <t>457-66-06</t>
  </si>
  <si>
    <t>Спеціальна загальноосвітня школа "Надія" м. Києва</t>
  </si>
  <si>
    <t>вул. Донецька, 13А</t>
  </si>
  <si>
    <t>242-23-07</t>
  </si>
  <si>
    <t>https://www.facebook.com/special.school.Nadia/</t>
  </si>
  <si>
    <t>Спеціальна загальноосвітня школа-інтернат № 17 для дітей з вадами розумового розвитку</t>
  </si>
  <si>
    <t>242-09-96, 242-27-01</t>
  </si>
  <si>
    <t>http://www.kiev-school17.at.ua</t>
  </si>
  <si>
    <t>Спеціальна загальноосвітня школа-інтернат № 2 для дітей з вадами розумового розвитку</t>
  </si>
  <si>
    <t>вул. Академіка Янгеля, 12/2</t>
  </si>
  <si>
    <t>456-13-09, 456-10-96</t>
  </si>
  <si>
    <t>http://osoblyva-shkola.kiev.ua</t>
  </si>
  <si>
    <t>Технічний ліцей Національного технічного університету України "Київський політехнічний інститут" м. Києва</t>
  </si>
  <si>
    <t>вул. Уманська, 39</t>
  </si>
  <si>
    <t>243-25-22</t>
  </si>
  <si>
    <t>http://www.tl-kpi.kiev.ua</t>
  </si>
  <si>
    <t>22880259</t>
  </si>
  <si>
    <t>Школа І ступеня № 310 "Творчість" Солом'янського району м. Києва</t>
  </si>
  <si>
    <t>б-р Вацлава Гавела, 77А</t>
  </si>
  <si>
    <t>408-01-33</t>
  </si>
  <si>
    <t>http://tvorchist310.kiev.ua</t>
  </si>
  <si>
    <t>Школа-дитячий садок І ступеня "Кияночка"</t>
  </si>
  <si>
    <t>вул. Сім'ї Хохлових, 8</t>
  </si>
  <si>
    <t>http://kyianochka.org.ua</t>
  </si>
  <si>
    <t>Юридичний ліцей імені Ярослава Кондратьєва Національної академії внутрішніх справ</t>
  </si>
  <si>
    <t>Повітрофлотський проспект, 53</t>
  </si>
  <si>
    <t>249-09-53, 249-09-50</t>
  </si>
  <si>
    <t>http://licey.naiau.kiev.ua</t>
  </si>
  <si>
    <t>Вечірня (змінна) школа № 20</t>
  </si>
  <si>
    <t>8039100000</t>
  </si>
  <si>
    <t>Київ, Шевченківський район</t>
  </si>
  <si>
    <t>вул. Металістів, 19</t>
  </si>
  <si>
    <t>457-61-97</t>
  </si>
  <si>
    <t>http://eveningschool20.ucoz.ua</t>
  </si>
  <si>
    <t>Гімназія № 153 ім. О.С. Пушкіна Шевченківського району м. Києва</t>
  </si>
  <si>
    <t>01135</t>
  </si>
  <si>
    <t>236-11-12</t>
  </si>
  <si>
    <t>http://www.153.kiev.ua</t>
  </si>
  <si>
    <t>Гімназія № 172 "Нивки" Шевченківського району м. Києва</t>
  </si>
  <si>
    <t>03190</t>
  </si>
  <si>
    <t>вул. Ружинська, 30/32</t>
  </si>
  <si>
    <t>400-22-02, 400-22-26, 449-04-84</t>
  </si>
  <si>
    <t>http://www.gimn172.kiev.ua</t>
  </si>
  <si>
    <t>Гімназія № 48 Шевченківського району м. Києва</t>
  </si>
  <si>
    <t>01034</t>
  </si>
  <si>
    <t>вул. Прорізна, 14</t>
  </si>
  <si>
    <t>278-69-23, 278-51-33</t>
  </si>
  <si>
    <t>http://www.sg48.kiev.ua</t>
  </si>
  <si>
    <t>Гімназія Національного педагогічного університету імені М.П. Драгоманова Шевченківського району м. Києва</t>
  </si>
  <si>
    <t>б-р Шевченка, 56А</t>
  </si>
  <si>
    <t>234-52-77, 234-49-77</t>
  </si>
  <si>
    <t>http://www.gymnasia-npu.org.ua</t>
  </si>
  <si>
    <t>Державна художня середня школа імені Т.Г. Шевченка</t>
  </si>
  <si>
    <t>вул. Кузьминська, 4</t>
  </si>
  <si>
    <t>http://dergartschool.kiev.ua</t>
  </si>
  <si>
    <t>Державний загальноосвітній навчальний заклад спеціалізована школа-інтернат І-ІІІ ступенів з поглибленим вивченням окремих предметів та курсів "Дитяча інженерна академія"</t>
  </si>
  <si>
    <t>вул. Саратовська, 20</t>
  </si>
  <si>
    <t>http://engineer-academy.kiev.ua</t>
  </si>
  <si>
    <t>Київська середня спеціалізована музична школа-інтернат імені М.В. Лисенка</t>
  </si>
  <si>
    <t>вул. Шамрила, 4</t>
  </si>
  <si>
    <t>http://lysenko-school.org</t>
  </si>
  <si>
    <t>Ліцей "Універсум" Шевченківського району м. Києва</t>
  </si>
  <si>
    <t>вул. Політехнічна, 3А</t>
  </si>
  <si>
    <t>236-19-76</t>
  </si>
  <si>
    <t>http://www.universum.kiev.ua</t>
  </si>
  <si>
    <t>Ліцей № 38 ім. В.М. Молчанова Шевченківського району м. Київ</t>
  </si>
  <si>
    <t>01054</t>
  </si>
  <si>
    <t>вул. Гоголівська, 31</t>
  </si>
  <si>
    <t>486-36-47, 486-58-80</t>
  </si>
  <si>
    <t>http://www.lyceum38.kiev.ua</t>
  </si>
  <si>
    <t>Ліцей-інтернат № 23 "Кадетський корпус"з посиленою військово- фізичною пілготовкою Шевченківського району м.Києва</t>
  </si>
  <si>
    <t>вул. Салютна, 11А</t>
  </si>
  <si>
    <t>400-23-48, 400-70-80</t>
  </si>
  <si>
    <t>http://kadety.org.ua</t>
  </si>
  <si>
    <t>Приватне підприємство "Приватний загальноосвітній навчальний заклад гімназія "Престиж"</t>
  </si>
  <si>
    <t>вул. Блюхера, 3А</t>
  </si>
  <si>
    <t>502-03-33</t>
  </si>
  <si>
    <t>http://www.prestige-school.in.ua</t>
  </si>
  <si>
    <t>Санаторна школа-інтернат І-ІІ ступенів № 20 Шевченківського району м. Києва</t>
  </si>
  <si>
    <t>04112</t>
  </si>
  <si>
    <t>вул. Грекова, 2</t>
  </si>
  <si>
    <t>440-60-66, 440-62-33</t>
  </si>
  <si>
    <t>http://internat20.in</t>
  </si>
  <si>
    <t>Спеціалізована школа І-ІІІ ступенів № 102 з поглибленим вивченням англійської мови Шевченківського району м. Києва</t>
  </si>
  <si>
    <t>04116</t>
  </si>
  <si>
    <t>вул. Шулявська, 10/12</t>
  </si>
  <si>
    <t>236-50-61, 236-61-69</t>
  </si>
  <si>
    <t>http://www.102.org.ua</t>
  </si>
  <si>
    <t>Спеціалізована школа І-ІІІ ступенів № 106 з поглибленим вивченням англійської мови Шевченківського району м. Києва</t>
  </si>
  <si>
    <t>04053</t>
  </si>
  <si>
    <t>вул. Некрасовська, 4</t>
  </si>
  <si>
    <t>486-94-44</t>
  </si>
  <si>
    <t>http://www.school106.kiev.ua</t>
  </si>
  <si>
    <t>Спеціалізована школа І-ІІІ ступенів № 135 з поглибленим вивченням англійської мови Шевченківського району м. Києва</t>
  </si>
  <si>
    <t>01030</t>
  </si>
  <si>
    <t>вул. Михайла Коцюбинського, 12Б</t>
  </si>
  <si>
    <t>234-82-30</t>
  </si>
  <si>
    <t>http://www.school135.at.ua</t>
  </si>
  <si>
    <t>Спеціалізована школа І-ІІІ ступенів № 138 з поглибленим вивченням предметів природничого циклу Шевченківського району м. Києва</t>
  </si>
  <si>
    <t>вул. Січових Стрільців, 27</t>
  </si>
  <si>
    <t>486-95-71, 486-53-68, 486-29-20</t>
  </si>
  <si>
    <t>http://school138.kiev.ua</t>
  </si>
  <si>
    <t>Спеціалізована школа І-ІІІ ступенів № 139 з поглибленим вивченням математики Шевченківського району м. Києва</t>
  </si>
  <si>
    <t>пров. Татарський, 1</t>
  </si>
  <si>
    <t>484-52-71</t>
  </si>
  <si>
    <t>http://www.school139-kiev.ucoz.ua</t>
  </si>
  <si>
    <t>Спеціалізована школа І-ІІІ ступенів № 155 з поглибленим вивченням англійської мови Шевченківського району м. Києва</t>
  </si>
  <si>
    <t>вул. Січових Стрільців, 5</t>
  </si>
  <si>
    <t>272-08-26, 272-08-26</t>
  </si>
  <si>
    <t>http://www.sch-155.com.ua</t>
  </si>
  <si>
    <t>Спеціалізована школа І-ІІІ ступенів № 24 ім.О. Білаша з поглибленим вивченням іноземних мов Шевченківського району м.Києва</t>
  </si>
  <si>
    <t>вул. Олени Теліги, 15А</t>
  </si>
  <si>
    <t>453-74-00</t>
  </si>
  <si>
    <t>http://www.school24.kiev.ua</t>
  </si>
  <si>
    <t>Спеціалізована школа І-ІІІ ступенів № 28 з поглибленим вивченням англійської мови Шевченківського району м. Києва</t>
  </si>
  <si>
    <t>04060</t>
  </si>
  <si>
    <t>вул. Житкова, 7Б</t>
  </si>
  <si>
    <t>440-55-51, 440-52-11</t>
  </si>
  <si>
    <t>http://schooll28.wixsite.com/main</t>
  </si>
  <si>
    <t>Спеціалізована школа І-ІІІ ступенів № 41 ім. З.К. Слюсаренка з поглибленим вивченням англійської мови Шевченківського району м. Києва</t>
  </si>
  <si>
    <t>просп. Перемоги, 7А</t>
  </si>
  <si>
    <t>236-42-25</t>
  </si>
  <si>
    <t>http://www.school41.kiev.ua</t>
  </si>
  <si>
    <t>Спеціалізована школа І-ІІІ ступенів № 49 з поглибленим вивченням французької мови Шевченківського району м. Києва</t>
  </si>
  <si>
    <t>03154</t>
  </si>
  <si>
    <t>вул. Ярославів Вал, 27</t>
  </si>
  <si>
    <t>272-02-57, 272-20-71</t>
  </si>
  <si>
    <t>http://school49.kiev.ua</t>
  </si>
  <si>
    <t>Спеціалізована школа І-ІІІ ступенів № 53 з поглибленим вивченням німецької мови Шевченківського району м. Києва</t>
  </si>
  <si>
    <t>вул. Хмельницького, 16/18</t>
  </si>
  <si>
    <t>234-79-93, 234-83-23</t>
  </si>
  <si>
    <t>http://shool53.kiev.ua</t>
  </si>
  <si>
    <t>Спеціалізована школа І-ІІІ ступенів № 57 з поглибленим вивченням англійської мови Шевченківського району м. Києва</t>
  </si>
  <si>
    <t>01001</t>
  </si>
  <si>
    <t>вул. Прорізна, 19А</t>
  </si>
  <si>
    <t>278-44-31, 278-26-66</t>
  </si>
  <si>
    <t>http://school57.kiev.ua</t>
  </si>
  <si>
    <t>Спеціалізована школа І-ІІІ ступенів № 61 з поглибленим вивченням інформаційних технологій Шевченківського району м. Києва</t>
  </si>
  <si>
    <t>04050</t>
  </si>
  <si>
    <t>вул. Мельникова, 39</t>
  </si>
  <si>
    <t>483-36-47</t>
  </si>
  <si>
    <t>http://www.school61.at.ua</t>
  </si>
  <si>
    <t>Спеціалізована школа І-ІІІ ступенів № 73 з поглибленим вивченням української мови, літератури та українознавства Шевченківського району м. Києва</t>
  </si>
  <si>
    <t>03062</t>
  </si>
  <si>
    <t>просп. Перемоги, 86</t>
  </si>
  <si>
    <t>443-73-03</t>
  </si>
  <si>
    <t>http://www.school-73.in.ua</t>
  </si>
  <si>
    <t>Спеціалізована школа І-ІІІ ступенів № 82 ім. Т.Г. Шевченка з поглибленим вивченням англійської мови Шевченківського району м. Києва</t>
  </si>
  <si>
    <t>вул. Шпака, 4</t>
  </si>
  <si>
    <t>456-92-51</t>
  </si>
  <si>
    <t>http://www.school-82.at.ua</t>
  </si>
  <si>
    <t>Спеціалізована школа І-ІІІ ступенів № 91 з поглибленим вивченням інформатики Шевченківського району м. Києва</t>
  </si>
  <si>
    <t>Чехівський провулок, 4А</t>
  </si>
  <si>
    <t>486-70-83, 486-15-96</t>
  </si>
  <si>
    <t>http://school91.org.ua</t>
  </si>
  <si>
    <t>Спеціалізована школа І-ІІІ ступенів № 97 імені О. Теліги з поглибленим вивченням англійської мови Шевченківського району м. Києва</t>
  </si>
  <si>
    <t>вул. Теліги, 5</t>
  </si>
  <si>
    <t>456-64-88</t>
  </si>
  <si>
    <t>https://www.facebook.com/teligyschool/</t>
  </si>
  <si>
    <t>Спеціалізована школа-дитячий садок "Кияночка"</t>
  </si>
  <si>
    <t>вул. Парково-Сирецька, 7А</t>
  </si>
  <si>
    <t>456-54-92</t>
  </si>
  <si>
    <t>http://www.kiyanochka.kiev.ua</t>
  </si>
  <si>
    <t>Спеціальна школа-дитячий садок "Пізнайко" I ступеня компенсуючого типу для дітей з вадами зору Шевченківського району м. Києва</t>
  </si>
  <si>
    <t>вул. Дегтярівська, 6А</t>
  </si>
  <si>
    <t>483-64-96</t>
  </si>
  <si>
    <t>http://volodarka-dnz.edukit.kiev.ua</t>
  </si>
  <si>
    <t>Спеціальна школа-інтернат № 8 І-ІІ ступеня м. Києва</t>
  </si>
  <si>
    <t>вул. Олегівська, 42</t>
  </si>
  <si>
    <t>425-64-37, 425-81-32</t>
  </si>
  <si>
    <t>http://internat8.ho.ua</t>
  </si>
  <si>
    <t>Технічний ліцей Шевченківського району м. Києва</t>
  </si>
  <si>
    <t>вул. Щусєва, 20</t>
  </si>
  <si>
    <t>440-74-66, 453-98-99, 440-74-55</t>
  </si>
  <si>
    <t>http://www.techlyceum.kiev.ua</t>
  </si>
  <si>
    <t>Товариство з обмеженою відповідальністю "загальноосвітній навчальний заклад "Київський ліцей бізнесу"</t>
  </si>
  <si>
    <t>вул. Лагерна, 30-32</t>
  </si>
  <si>
    <t>456-20-06, 456-08-14, 450-55-62</t>
  </si>
  <si>
    <t>http://klb.education</t>
  </si>
  <si>
    <t>Товариство з обмеженою відповідальністю "Ліцей політики, економіки, права та іноземних мов"</t>
  </si>
  <si>
    <t>482-36-42, 486-55-19</t>
  </si>
  <si>
    <t>http://www.lpepim.in.ua</t>
  </si>
  <si>
    <t>Товариство з обмеженою відповідальністю "Французький ліцей імені Анни Київської"</t>
  </si>
  <si>
    <t>вул. Липинського, 21</t>
  </si>
  <si>
    <t>461-93-84</t>
  </si>
  <si>
    <t>http://lyceeadk.com/index.php/uk/accueil-adk-uk/</t>
  </si>
  <si>
    <t>Товариство з обмеженою відповідальністю "Центр освіти "Оптіма"</t>
  </si>
  <si>
    <t>пров. Тбіліський 4/10, оф.117А</t>
  </si>
  <si>
    <t>http://optima.school</t>
  </si>
  <si>
    <t>англійська, німецька, польська</t>
  </si>
  <si>
    <t>Український медичний ліцей Національного медичного університету імені О.О. Богомольця</t>
  </si>
  <si>
    <t>б-р Тараса Шевченка, 13</t>
  </si>
  <si>
    <t>234-85-61, 287-27-38</t>
  </si>
  <si>
    <t>http://www.uml.edu.ua</t>
  </si>
  <si>
    <t>25591203</t>
  </si>
  <si>
    <t>англійська,латинська</t>
  </si>
  <si>
    <t>Школа І-ІІІ ступенів № 1 Шевченківського району м. Києва</t>
  </si>
  <si>
    <t>пров. Делегатський, 1/28</t>
  </si>
  <si>
    <t>http://kievschool1.com</t>
  </si>
  <si>
    <t>Школа І-ІІІ ступенів № 101 Шевченківського району м. Києва</t>
  </si>
  <si>
    <t>вул. Коперніка, 8</t>
  </si>
  <si>
    <t>483-31-07, 484-64-57</t>
  </si>
  <si>
    <t>http://www.school101.kiev.ua</t>
  </si>
  <si>
    <t>Школа І-ІІІ ступенів № 163 ім. М. Кирпоноса Шевченківського району м. Києва</t>
  </si>
  <si>
    <t>вул. Януша Корчака, 30</t>
  </si>
  <si>
    <t>400-24-54, 400-25-92</t>
  </si>
  <si>
    <t>http://www.school163.kiev.ua</t>
  </si>
  <si>
    <t>Школа І-ІІІ ступенів № 169 Шевченківського району м. Києва</t>
  </si>
  <si>
    <t>440-22-55, 440-23-22</t>
  </si>
  <si>
    <t>http://school169.edukit.kiev.ua</t>
  </si>
  <si>
    <t>Школа І-ІІІ ступенів № 175 ім. В. Марченка Шевченківського району м. Києва</t>
  </si>
  <si>
    <t>04111</t>
  </si>
  <si>
    <t>вул. Данила Щербаківського, 58А</t>
  </si>
  <si>
    <t>400-52-79, 400-25-94, 400-04-17</t>
  </si>
  <si>
    <t>http://school175.org.ua</t>
  </si>
  <si>
    <t>Школа І-ІІІ ступенів № 199 Шевченківського району м. Києва</t>
  </si>
  <si>
    <t>04086</t>
  </si>
  <si>
    <t>вул. Бакинська, 12</t>
  </si>
  <si>
    <t>440-43-19, 440-21-33</t>
  </si>
  <si>
    <t>http://sch199.ucoz.net</t>
  </si>
  <si>
    <t>Школа І-ІІІ ступенів № 25 Шевченківського району м. Києва</t>
  </si>
  <si>
    <t>01025</t>
  </si>
  <si>
    <t>278-78-24, 279-45-21</t>
  </si>
  <si>
    <t>https://www.facebook.com/school25.kiev.ua/</t>
  </si>
  <si>
    <t>Школа І-ІІІ ступенів № 27 Шевченківського району м. Києва</t>
  </si>
  <si>
    <t>вул. Туполєва, 20Є</t>
  </si>
  <si>
    <t>400-53-88</t>
  </si>
  <si>
    <t>http://school-27.ucoz.net</t>
  </si>
  <si>
    <t>Школа І-ІІІ ступенів № 58 Шевченківського району м. Києва</t>
  </si>
  <si>
    <t>пров. Алли Горської, 3</t>
  </si>
  <si>
    <t>234-92-01</t>
  </si>
  <si>
    <t>http://www.sch58.ucoz.net</t>
  </si>
  <si>
    <t>Школа І-ІІІ ступенів № 70 Шевченківського району м. Києва</t>
  </si>
  <si>
    <t>вул. Пугачова, 10</t>
  </si>
  <si>
    <t>483-77-64, 483-17-50</t>
  </si>
  <si>
    <t>http://www.school70.ucoz.ua</t>
  </si>
  <si>
    <t>Школа І-ІІІ ступенів № 95 Шевченківського району м. Києва</t>
  </si>
  <si>
    <t>вул. Данила Щербаківського, 61Г</t>
  </si>
  <si>
    <t>400-32-53, 400-32-01</t>
  </si>
  <si>
    <t>http://school95.kiev.ua</t>
  </si>
  <si>
    <t>Міжобласна спеціальна вечірня (змінна) школа ІІ-ІІІ ступенів Шевченківського району м. Києва</t>
  </si>
  <si>
    <t>04119</t>
  </si>
  <si>
    <t>вул. Зоологічна, 6А; вул. Олени Теліги, 5</t>
  </si>
  <si>
    <t>456-01-83</t>
  </si>
  <si>
    <t>22882006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</si>
</sst>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u/>
      <sz val="10"/>
      <color rgb="FF0000FF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Font="1"/>
    <xf numFmtId="0" fontId="1" fillId="0" borderId="1" xfId="0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Font="1" applyBorder="1" applyAlignment="1">
      <alignment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1" fontId="0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733"/>
  <sheetViews>
    <sheetView tabSelected="1" zoomScaleNormal="100" workbookViewId="0">
      <pane ySplit="1" topLeftCell="A10874" activePane="bottomLeft" state="frozen"/>
      <selection pane="bottomLeft" activeCell="F10875" sqref="F10875"/>
    </sheetView>
  </sheetViews>
  <sheetFormatPr baseColWidth="10" defaultRowHeight="16" x14ac:dyDescent="0.15"/>
  <cols>
    <col min="1" max="1" width="10" customWidth="1"/>
    <col min="2" max="2" width="50" customWidth="1"/>
    <col min="3" max="3" width="20" customWidth="1"/>
    <col min="4" max="4" width="10" customWidth="1"/>
    <col min="5" max="5" width="12" customWidth="1"/>
    <col min="6" max="6" width="10" customWidth="1"/>
    <col min="7" max="8" width="12" customWidth="1"/>
    <col min="9" max="11" width="20" customWidth="1"/>
    <col min="12" max="12" width="40" customWidth="1"/>
    <col min="13" max="13" width="12" customWidth="1"/>
    <col min="14" max="15" width="20" customWidth="1"/>
    <col min="16" max="19" width="10" customWidth="1"/>
    <col min="20" max="1024" width="11.5"/>
  </cols>
  <sheetData>
    <row r="1" spans="1:19" ht="2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28" x14ac:dyDescent="0.15">
      <c r="A2" s="2">
        <f>HYPERLINK("https://open-school.uspishnemisto.com.ua/school/50001/", 50001)</f>
        <v>50001</v>
      </c>
      <c r="B2" s="3" t="s">
        <v>19</v>
      </c>
      <c r="C2" s="3" t="s">
        <v>20</v>
      </c>
      <c r="D2" s="3" t="s">
        <v>21</v>
      </c>
      <c r="E2" s="4" t="s">
        <v>22</v>
      </c>
      <c r="F2" s="4" t="s">
        <v>23</v>
      </c>
      <c r="G2" s="4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/>
      <c r="M2" s="4" t="s">
        <v>29</v>
      </c>
      <c r="N2" s="3"/>
      <c r="O2" s="3"/>
      <c r="P2" s="5">
        <v>0</v>
      </c>
      <c r="Q2" s="5">
        <v>0</v>
      </c>
      <c r="R2" s="5"/>
      <c r="S2" s="5"/>
    </row>
    <row r="3" spans="1:19" ht="28" x14ac:dyDescent="0.15">
      <c r="A3" s="2">
        <f>HYPERLINK("https://open-school.uspishnemisto.com.ua/school/50002/", 50002)</f>
        <v>50002</v>
      </c>
      <c r="B3" s="3" t="s">
        <v>30</v>
      </c>
      <c r="C3" s="3" t="s">
        <v>31</v>
      </c>
      <c r="D3" s="3" t="s">
        <v>32</v>
      </c>
      <c r="E3" s="4" t="s">
        <v>22</v>
      </c>
      <c r="F3" s="4" t="s">
        <v>33</v>
      </c>
      <c r="G3" s="4" t="s">
        <v>24</v>
      </c>
      <c r="H3" s="3" t="s">
        <v>25</v>
      </c>
      <c r="I3" s="3" t="s">
        <v>26</v>
      </c>
      <c r="J3" s="3" t="s">
        <v>34</v>
      </c>
      <c r="K3" s="3" t="s">
        <v>35</v>
      </c>
      <c r="L3" s="3"/>
      <c r="M3" s="4" t="s">
        <v>36</v>
      </c>
      <c r="N3" s="3" t="s">
        <v>37</v>
      </c>
      <c r="O3" s="3" t="s">
        <v>38</v>
      </c>
      <c r="P3" s="5">
        <v>33</v>
      </c>
      <c r="Q3" s="5">
        <v>1058</v>
      </c>
      <c r="R3" s="5">
        <v>31</v>
      </c>
      <c r="S3" s="5">
        <v>968</v>
      </c>
    </row>
    <row r="4" spans="1:19" ht="28" x14ac:dyDescent="0.15">
      <c r="A4" s="2">
        <f>HYPERLINK("https://open-school.uspishnemisto.com.ua/school/50003/", 50003)</f>
        <v>50003</v>
      </c>
      <c r="B4" s="3" t="s">
        <v>39</v>
      </c>
      <c r="C4" s="3" t="s">
        <v>40</v>
      </c>
      <c r="D4" s="3" t="s">
        <v>32</v>
      </c>
      <c r="E4" s="4" t="s">
        <v>41</v>
      </c>
      <c r="F4" s="4" t="s">
        <v>42</v>
      </c>
      <c r="G4" s="4" t="s">
        <v>24</v>
      </c>
      <c r="H4" s="3" t="s">
        <v>25</v>
      </c>
      <c r="I4" s="3" t="s">
        <v>26</v>
      </c>
      <c r="J4" s="3" t="s">
        <v>43</v>
      </c>
      <c r="K4" s="3" t="s">
        <v>44</v>
      </c>
      <c r="L4" s="3"/>
      <c r="M4" s="4" t="s">
        <v>45</v>
      </c>
      <c r="N4" s="3" t="s">
        <v>37</v>
      </c>
      <c r="O4" s="3" t="s">
        <v>46</v>
      </c>
      <c r="P4" s="5">
        <v>9</v>
      </c>
      <c r="Q4" s="5">
        <v>133</v>
      </c>
      <c r="R4" s="5">
        <v>10</v>
      </c>
      <c r="S4" s="5">
        <v>169</v>
      </c>
    </row>
    <row r="5" spans="1:19" ht="42" x14ac:dyDescent="0.15">
      <c r="A5" s="2">
        <f>HYPERLINK("https://open-school.uspishnemisto.com.ua/school/50004/", 50004)</f>
        <v>50004</v>
      </c>
      <c r="B5" s="3" t="s">
        <v>47</v>
      </c>
      <c r="C5" s="3" t="s">
        <v>48</v>
      </c>
      <c r="D5" s="3" t="s">
        <v>21</v>
      </c>
      <c r="E5" s="4" t="s">
        <v>22</v>
      </c>
      <c r="F5" s="4" t="s">
        <v>49</v>
      </c>
      <c r="G5" s="4" t="s">
        <v>24</v>
      </c>
      <c r="H5" s="3" t="s">
        <v>25</v>
      </c>
      <c r="I5" s="3" t="s">
        <v>26</v>
      </c>
      <c r="J5" s="3" t="s">
        <v>50</v>
      </c>
      <c r="K5" s="3" t="s">
        <v>51</v>
      </c>
      <c r="L5" s="3"/>
      <c r="M5" s="4"/>
      <c r="N5" s="3" t="s">
        <v>37</v>
      </c>
      <c r="O5" s="3" t="s">
        <v>52</v>
      </c>
      <c r="P5" s="5">
        <v>5</v>
      </c>
      <c r="Q5" s="5">
        <v>100</v>
      </c>
      <c r="R5" s="5">
        <v>5</v>
      </c>
      <c r="S5" s="5">
        <v>96</v>
      </c>
    </row>
    <row r="6" spans="1:19" ht="28" x14ac:dyDescent="0.15">
      <c r="A6" s="2">
        <f>HYPERLINK("https://open-school.uspishnemisto.com.ua/school/50005/", 50005)</f>
        <v>50005</v>
      </c>
      <c r="B6" s="3" t="s">
        <v>53</v>
      </c>
      <c r="C6" s="3" t="s">
        <v>54</v>
      </c>
      <c r="D6" s="3" t="s">
        <v>32</v>
      </c>
      <c r="E6" s="4" t="s">
        <v>41</v>
      </c>
      <c r="F6" s="4"/>
      <c r="G6" s="4" t="s">
        <v>24</v>
      </c>
      <c r="H6" s="3" t="s">
        <v>25</v>
      </c>
      <c r="I6" s="3" t="s">
        <v>26</v>
      </c>
      <c r="J6" s="3" t="s">
        <v>55</v>
      </c>
      <c r="K6" s="3" t="s">
        <v>56</v>
      </c>
      <c r="L6" s="3" t="s">
        <v>57</v>
      </c>
      <c r="M6" s="4" t="s">
        <v>58</v>
      </c>
      <c r="N6" s="3" t="s">
        <v>37</v>
      </c>
      <c r="O6" s="3" t="s">
        <v>38</v>
      </c>
      <c r="P6" s="5">
        <v>6</v>
      </c>
      <c r="Q6" s="5">
        <v>30</v>
      </c>
      <c r="R6" s="5">
        <v>6</v>
      </c>
      <c r="S6" s="5">
        <v>66</v>
      </c>
    </row>
    <row r="7" spans="1:19" ht="28" x14ac:dyDescent="0.15">
      <c r="A7" s="2">
        <f>HYPERLINK("https://open-school.uspishnemisto.com.ua/school/50006/", 50006)</f>
        <v>50006</v>
      </c>
      <c r="B7" s="3" t="s">
        <v>59</v>
      </c>
      <c r="C7" s="3" t="s">
        <v>31</v>
      </c>
      <c r="D7" s="3" t="s">
        <v>60</v>
      </c>
      <c r="E7" s="4" t="s">
        <v>22</v>
      </c>
      <c r="F7" s="4" t="s">
        <v>61</v>
      </c>
      <c r="G7" s="4" t="s">
        <v>24</v>
      </c>
      <c r="H7" s="3" t="s">
        <v>25</v>
      </c>
      <c r="I7" s="3" t="s">
        <v>26</v>
      </c>
      <c r="J7" s="3" t="s">
        <v>62</v>
      </c>
      <c r="K7" s="3" t="s">
        <v>63</v>
      </c>
      <c r="L7" s="3"/>
      <c r="M7" s="4" t="s">
        <v>64</v>
      </c>
      <c r="N7" s="3" t="s">
        <v>37</v>
      </c>
      <c r="O7" s="3" t="s">
        <v>52</v>
      </c>
      <c r="P7" s="5">
        <v>31</v>
      </c>
      <c r="Q7" s="5">
        <v>930</v>
      </c>
      <c r="R7" s="5">
        <v>29</v>
      </c>
      <c r="S7" s="5">
        <v>852</v>
      </c>
    </row>
    <row r="8" spans="1:19" ht="28" x14ac:dyDescent="0.15">
      <c r="A8" s="2">
        <f>HYPERLINK("https://open-school.uspishnemisto.com.ua/school/50007/", 50007)</f>
        <v>50007</v>
      </c>
      <c r="B8" s="3" t="s">
        <v>65</v>
      </c>
      <c r="C8" s="3" t="s">
        <v>31</v>
      </c>
      <c r="D8" s="3" t="s">
        <v>32</v>
      </c>
      <c r="E8" s="4" t="s">
        <v>22</v>
      </c>
      <c r="F8" s="4" t="s">
        <v>49</v>
      </c>
      <c r="G8" s="4" t="s">
        <v>24</v>
      </c>
      <c r="H8" s="3" t="s">
        <v>25</v>
      </c>
      <c r="I8" s="3" t="s">
        <v>26</v>
      </c>
      <c r="J8" s="3" t="s">
        <v>66</v>
      </c>
      <c r="K8" s="3" t="s">
        <v>67</v>
      </c>
      <c r="L8" s="3" t="s">
        <v>68</v>
      </c>
      <c r="M8" s="4" t="s">
        <v>69</v>
      </c>
      <c r="N8" s="3" t="s">
        <v>37</v>
      </c>
      <c r="O8" s="3" t="s">
        <v>70</v>
      </c>
      <c r="P8" s="5">
        <v>39</v>
      </c>
      <c r="Q8" s="5">
        <v>1157</v>
      </c>
      <c r="R8" s="5">
        <v>37</v>
      </c>
      <c r="S8" s="5">
        <v>1087</v>
      </c>
    </row>
    <row r="9" spans="1:19" ht="28" x14ac:dyDescent="0.15">
      <c r="A9" s="2">
        <f>HYPERLINK("https://open-school.uspishnemisto.com.ua/school/50008/", 50008)</f>
        <v>50008</v>
      </c>
      <c r="B9" s="3" t="s">
        <v>71</v>
      </c>
      <c r="C9" s="3" t="s">
        <v>31</v>
      </c>
      <c r="D9" s="3" t="s">
        <v>32</v>
      </c>
      <c r="E9" s="4" t="s">
        <v>22</v>
      </c>
      <c r="F9" s="4" t="s">
        <v>72</v>
      </c>
      <c r="G9" s="4" t="s">
        <v>24</v>
      </c>
      <c r="H9" s="3" t="s">
        <v>25</v>
      </c>
      <c r="I9" s="3" t="s">
        <v>26</v>
      </c>
      <c r="J9" s="3" t="s">
        <v>73</v>
      </c>
      <c r="K9" s="3" t="s">
        <v>74</v>
      </c>
      <c r="L9" s="3" t="s">
        <v>75</v>
      </c>
      <c r="M9" s="4" t="s">
        <v>76</v>
      </c>
      <c r="N9" s="3" t="s">
        <v>37</v>
      </c>
      <c r="O9" s="3" t="s">
        <v>46</v>
      </c>
      <c r="P9" s="5">
        <v>39</v>
      </c>
      <c r="Q9" s="5">
        <v>1114</v>
      </c>
      <c r="R9" s="5">
        <v>39</v>
      </c>
      <c r="S9" s="5">
        <v>1144</v>
      </c>
    </row>
    <row r="10" spans="1:19" ht="28" x14ac:dyDescent="0.15">
      <c r="A10" s="2">
        <f>HYPERLINK("https://open-school.uspishnemisto.com.ua/school/50009/", 50009)</f>
        <v>50009</v>
      </c>
      <c r="B10" s="3" t="s">
        <v>77</v>
      </c>
      <c r="C10" s="3" t="s">
        <v>31</v>
      </c>
      <c r="D10" s="3" t="s">
        <v>32</v>
      </c>
      <c r="E10" s="4" t="s">
        <v>22</v>
      </c>
      <c r="F10" s="4" t="s">
        <v>23</v>
      </c>
      <c r="G10" s="4" t="s">
        <v>24</v>
      </c>
      <c r="H10" s="3" t="s">
        <v>25</v>
      </c>
      <c r="I10" s="3" t="s">
        <v>26</v>
      </c>
      <c r="J10" s="3" t="s">
        <v>78</v>
      </c>
      <c r="K10" s="3" t="s">
        <v>79</v>
      </c>
      <c r="L10" s="3" t="s">
        <v>80</v>
      </c>
      <c r="M10" s="4" t="s">
        <v>81</v>
      </c>
      <c r="N10" s="3" t="s">
        <v>37</v>
      </c>
      <c r="O10" s="3" t="s">
        <v>38</v>
      </c>
      <c r="P10" s="5">
        <v>9</v>
      </c>
      <c r="Q10" s="5">
        <v>226</v>
      </c>
      <c r="R10" s="5">
        <v>10</v>
      </c>
      <c r="S10" s="5">
        <v>247</v>
      </c>
    </row>
    <row r="11" spans="1:19" ht="28" x14ac:dyDescent="0.15">
      <c r="A11" s="2">
        <f>HYPERLINK("https://open-school.uspishnemisto.com.ua/school/50010/", 50010)</f>
        <v>50010</v>
      </c>
      <c r="B11" s="3" t="s">
        <v>82</v>
      </c>
      <c r="C11" s="3" t="s">
        <v>31</v>
      </c>
      <c r="D11" s="3" t="s">
        <v>32</v>
      </c>
      <c r="E11" s="4" t="s">
        <v>22</v>
      </c>
      <c r="F11" s="4" t="s">
        <v>23</v>
      </c>
      <c r="G11" s="4" t="s">
        <v>24</v>
      </c>
      <c r="H11" s="3" t="s">
        <v>25</v>
      </c>
      <c r="I11" s="3" t="s">
        <v>26</v>
      </c>
      <c r="J11" s="3" t="s">
        <v>83</v>
      </c>
      <c r="K11" s="3" t="s">
        <v>84</v>
      </c>
      <c r="L11" s="3" t="s">
        <v>85</v>
      </c>
      <c r="M11" s="4" t="s">
        <v>86</v>
      </c>
      <c r="N11" s="3" t="s">
        <v>37</v>
      </c>
      <c r="O11" s="3" t="s">
        <v>46</v>
      </c>
      <c r="P11" s="5">
        <v>45</v>
      </c>
      <c r="Q11" s="5">
        <v>1501</v>
      </c>
      <c r="R11" s="5">
        <v>44</v>
      </c>
      <c r="S11" s="5">
        <v>1400</v>
      </c>
    </row>
    <row r="12" spans="1:19" ht="28" x14ac:dyDescent="0.15">
      <c r="A12" s="2">
        <f>HYPERLINK("https://open-school.uspishnemisto.com.ua/school/50011/", 50011)</f>
        <v>50011</v>
      </c>
      <c r="B12" s="3" t="s">
        <v>87</v>
      </c>
      <c r="C12" s="3" t="s">
        <v>31</v>
      </c>
      <c r="D12" s="3" t="s">
        <v>32</v>
      </c>
      <c r="E12" s="4" t="s">
        <v>22</v>
      </c>
      <c r="F12" s="4" t="s">
        <v>23</v>
      </c>
      <c r="G12" s="4" t="s">
        <v>24</v>
      </c>
      <c r="H12" s="3" t="s">
        <v>25</v>
      </c>
      <c r="I12" s="3" t="s">
        <v>26</v>
      </c>
      <c r="J12" s="3" t="s">
        <v>88</v>
      </c>
      <c r="K12" s="3" t="s">
        <v>89</v>
      </c>
      <c r="L12" s="3" t="s">
        <v>90</v>
      </c>
      <c r="M12" s="4" t="s">
        <v>91</v>
      </c>
      <c r="N12" s="3" t="s">
        <v>37</v>
      </c>
      <c r="O12" s="3" t="s">
        <v>38</v>
      </c>
      <c r="P12" s="5">
        <v>50</v>
      </c>
      <c r="Q12" s="5">
        <v>1653</v>
      </c>
      <c r="R12" s="5">
        <v>50</v>
      </c>
      <c r="S12" s="5">
        <v>1613</v>
      </c>
    </row>
    <row r="13" spans="1:19" ht="28" x14ac:dyDescent="0.15">
      <c r="A13" s="2">
        <f>HYPERLINK("https://open-school.uspishnemisto.com.ua/school/50012/", 50012)</f>
        <v>50012</v>
      </c>
      <c r="B13" s="3" t="s">
        <v>92</v>
      </c>
      <c r="C13" s="3" t="s">
        <v>31</v>
      </c>
      <c r="D13" s="3" t="s">
        <v>32</v>
      </c>
      <c r="E13" s="4" t="s">
        <v>22</v>
      </c>
      <c r="F13" s="4" t="s">
        <v>93</v>
      </c>
      <c r="G13" s="4" t="s">
        <v>24</v>
      </c>
      <c r="H13" s="3" t="s">
        <v>25</v>
      </c>
      <c r="I13" s="3" t="s">
        <v>26</v>
      </c>
      <c r="J13" s="3" t="s">
        <v>94</v>
      </c>
      <c r="K13" s="3" t="s">
        <v>95</v>
      </c>
      <c r="L13" s="3"/>
      <c r="M13" s="4" t="s">
        <v>96</v>
      </c>
      <c r="N13" s="3" t="s">
        <v>37</v>
      </c>
      <c r="O13" s="3" t="s">
        <v>52</v>
      </c>
      <c r="P13" s="5">
        <v>15</v>
      </c>
      <c r="Q13" s="5">
        <v>431</v>
      </c>
      <c r="R13" s="5">
        <v>14</v>
      </c>
      <c r="S13" s="5">
        <v>404</v>
      </c>
    </row>
    <row r="14" spans="1:19" ht="28" x14ac:dyDescent="0.15">
      <c r="A14" s="2">
        <f>HYPERLINK("https://open-school.uspishnemisto.com.ua/school/50013/", 50013)</f>
        <v>50013</v>
      </c>
      <c r="B14" s="3" t="s">
        <v>97</v>
      </c>
      <c r="C14" s="3" t="s">
        <v>31</v>
      </c>
      <c r="D14" s="3" t="s">
        <v>32</v>
      </c>
      <c r="E14" s="4" t="s">
        <v>22</v>
      </c>
      <c r="F14" s="4" t="s">
        <v>23</v>
      </c>
      <c r="G14" s="4" t="s">
        <v>24</v>
      </c>
      <c r="H14" s="3" t="s">
        <v>25</v>
      </c>
      <c r="I14" s="3" t="s">
        <v>26</v>
      </c>
      <c r="J14" s="3" t="s">
        <v>98</v>
      </c>
      <c r="K14" s="3" t="s">
        <v>99</v>
      </c>
      <c r="L14" s="3" t="s">
        <v>100</v>
      </c>
      <c r="M14" s="4" t="s">
        <v>101</v>
      </c>
      <c r="N14" s="3" t="s">
        <v>37</v>
      </c>
      <c r="O14" s="3" t="s">
        <v>38</v>
      </c>
      <c r="P14" s="5">
        <v>20</v>
      </c>
      <c r="Q14" s="5">
        <v>566</v>
      </c>
      <c r="R14" s="5">
        <v>19</v>
      </c>
      <c r="S14" s="5">
        <v>534</v>
      </c>
    </row>
    <row r="15" spans="1:19" ht="28" x14ac:dyDescent="0.15">
      <c r="A15" s="2">
        <f>HYPERLINK("https://open-school.uspishnemisto.com.ua/school/50014/", 50014)</f>
        <v>50014</v>
      </c>
      <c r="B15" s="3" t="s">
        <v>102</v>
      </c>
      <c r="C15" s="3" t="s">
        <v>31</v>
      </c>
      <c r="D15" s="3" t="s">
        <v>32</v>
      </c>
      <c r="E15" s="4" t="s">
        <v>22</v>
      </c>
      <c r="F15" s="4" t="s">
        <v>103</v>
      </c>
      <c r="G15" s="4" t="s">
        <v>24</v>
      </c>
      <c r="H15" s="3" t="s">
        <v>25</v>
      </c>
      <c r="I15" s="3" t="s">
        <v>26</v>
      </c>
      <c r="J15" s="3" t="s">
        <v>104</v>
      </c>
      <c r="K15" s="3"/>
      <c r="L15" s="3"/>
      <c r="M15" s="4" t="s">
        <v>105</v>
      </c>
      <c r="N15" s="3" t="s">
        <v>37</v>
      </c>
      <c r="O15" s="3" t="s">
        <v>70</v>
      </c>
      <c r="P15" s="5">
        <v>43</v>
      </c>
      <c r="Q15" s="5">
        <v>1372</v>
      </c>
      <c r="R15" s="5">
        <v>41</v>
      </c>
      <c r="S15" s="5">
        <v>1314</v>
      </c>
    </row>
    <row r="16" spans="1:19" ht="28" x14ac:dyDescent="0.15">
      <c r="A16" s="2">
        <f>HYPERLINK("https://open-school.uspishnemisto.com.ua/school/50015/", 50015)</f>
        <v>50015</v>
      </c>
      <c r="B16" s="3" t="s">
        <v>106</v>
      </c>
      <c r="C16" s="3" t="s">
        <v>31</v>
      </c>
      <c r="D16" s="3" t="s">
        <v>32</v>
      </c>
      <c r="E16" s="4" t="s">
        <v>22</v>
      </c>
      <c r="F16" s="4" t="s">
        <v>107</v>
      </c>
      <c r="G16" s="4" t="s">
        <v>24</v>
      </c>
      <c r="H16" s="3" t="s">
        <v>25</v>
      </c>
      <c r="I16" s="3" t="s">
        <v>26</v>
      </c>
      <c r="J16" s="3" t="s">
        <v>108</v>
      </c>
      <c r="K16" s="3" t="s">
        <v>109</v>
      </c>
      <c r="L16" s="3" t="s">
        <v>110</v>
      </c>
      <c r="M16" s="4" t="s">
        <v>111</v>
      </c>
      <c r="N16" s="3" t="s">
        <v>37</v>
      </c>
      <c r="O16" s="3" t="s">
        <v>112</v>
      </c>
      <c r="P16" s="5">
        <v>50</v>
      </c>
      <c r="Q16" s="5">
        <v>1628</v>
      </c>
      <c r="R16" s="5">
        <v>48</v>
      </c>
      <c r="S16" s="5">
        <v>1541</v>
      </c>
    </row>
    <row r="17" spans="1:19" ht="28" x14ac:dyDescent="0.15">
      <c r="A17" s="2">
        <f>HYPERLINK("https://open-school.uspishnemisto.com.ua/school/50016/", 50016)</f>
        <v>50016</v>
      </c>
      <c r="B17" s="3" t="s">
        <v>113</v>
      </c>
      <c r="C17" s="3" t="s">
        <v>31</v>
      </c>
      <c r="D17" s="3" t="s">
        <v>32</v>
      </c>
      <c r="E17" s="4" t="s">
        <v>22</v>
      </c>
      <c r="F17" s="4" t="s">
        <v>33</v>
      </c>
      <c r="G17" s="4" t="s">
        <v>24</v>
      </c>
      <c r="H17" s="3" t="s">
        <v>25</v>
      </c>
      <c r="I17" s="3" t="s">
        <v>26</v>
      </c>
      <c r="J17" s="3" t="s">
        <v>114</v>
      </c>
      <c r="K17" s="3" t="s">
        <v>115</v>
      </c>
      <c r="L17" s="3" t="s">
        <v>116</v>
      </c>
      <c r="M17" s="4" t="s">
        <v>117</v>
      </c>
      <c r="N17" s="3" t="s">
        <v>37</v>
      </c>
      <c r="O17" s="3" t="s">
        <v>38</v>
      </c>
      <c r="P17" s="5">
        <v>26</v>
      </c>
      <c r="Q17" s="5">
        <v>775</v>
      </c>
      <c r="R17" s="5">
        <v>25</v>
      </c>
      <c r="S17" s="5">
        <v>725</v>
      </c>
    </row>
    <row r="18" spans="1:19" ht="28" x14ac:dyDescent="0.15">
      <c r="A18" s="2">
        <f>HYPERLINK("https://open-school.uspishnemisto.com.ua/school/50017/", 50017)</f>
        <v>50017</v>
      </c>
      <c r="B18" s="3" t="s">
        <v>118</v>
      </c>
      <c r="C18" s="3" t="s">
        <v>31</v>
      </c>
      <c r="D18" s="3" t="s">
        <v>32</v>
      </c>
      <c r="E18" s="4" t="s">
        <v>22</v>
      </c>
      <c r="F18" s="4" t="s">
        <v>23</v>
      </c>
      <c r="G18" s="4" t="s">
        <v>24</v>
      </c>
      <c r="H18" s="3" t="s">
        <v>25</v>
      </c>
      <c r="I18" s="3" t="s">
        <v>26</v>
      </c>
      <c r="J18" s="3" t="s">
        <v>119</v>
      </c>
      <c r="K18" s="3" t="s">
        <v>120</v>
      </c>
      <c r="L18" s="3" t="s">
        <v>121</v>
      </c>
      <c r="M18" s="4" t="s">
        <v>122</v>
      </c>
      <c r="N18" s="3" t="s">
        <v>37</v>
      </c>
      <c r="O18" s="3" t="s">
        <v>123</v>
      </c>
      <c r="P18" s="5">
        <v>20</v>
      </c>
      <c r="Q18" s="5">
        <v>549</v>
      </c>
      <c r="R18" s="5">
        <v>19</v>
      </c>
      <c r="S18" s="5">
        <v>517</v>
      </c>
    </row>
    <row r="19" spans="1:19" ht="28" x14ac:dyDescent="0.15">
      <c r="A19" s="2">
        <f>HYPERLINK("https://open-school.uspishnemisto.com.ua/school/50018/", 50018)</f>
        <v>50018</v>
      </c>
      <c r="B19" s="3" t="s">
        <v>124</v>
      </c>
      <c r="C19" s="3" t="s">
        <v>31</v>
      </c>
      <c r="D19" s="3" t="s">
        <v>32</v>
      </c>
      <c r="E19" s="4" t="s">
        <v>22</v>
      </c>
      <c r="F19" s="4" t="s">
        <v>42</v>
      </c>
      <c r="G19" s="4" t="s">
        <v>24</v>
      </c>
      <c r="H19" s="3" t="s">
        <v>25</v>
      </c>
      <c r="I19" s="3" t="s">
        <v>26</v>
      </c>
      <c r="J19" s="3" t="s">
        <v>125</v>
      </c>
      <c r="K19" s="3" t="s">
        <v>126</v>
      </c>
      <c r="L19" s="3"/>
      <c r="M19" s="4" t="s">
        <v>127</v>
      </c>
      <c r="N19" s="3" t="s">
        <v>128</v>
      </c>
      <c r="O19" s="3" t="s">
        <v>129</v>
      </c>
      <c r="P19" s="5">
        <v>50</v>
      </c>
      <c r="Q19" s="5">
        <v>1560</v>
      </c>
      <c r="R19" s="5">
        <v>50</v>
      </c>
      <c r="S19" s="5">
        <v>1567</v>
      </c>
    </row>
    <row r="20" spans="1:19" ht="28" x14ac:dyDescent="0.15">
      <c r="A20" s="2">
        <f>HYPERLINK("https://open-school.uspishnemisto.com.ua/school/50019/", 50019)</f>
        <v>50019</v>
      </c>
      <c r="B20" s="3" t="s">
        <v>130</v>
      </c>
      <c r="C20" s="3" t="s">
        <v>31</v>
      </c>
      <c r="D20" s="3" t="s">
        <v>32</v>
      </c>
      <c r="E20" s="4" t="s">
        <v>22</v>
      </c>
      <c r="F20" s="4" t="s">
        <v>23</v>
      </c>
      <c r="G20" s="4" t="s">
        <v>24</v>
      </c>
      <c r="H20" s="3" t="s">
        <v>25</v>
      </c>
      <c r="I20" s="3" t="s">
        <v>26</v>
      </c>
      <c r="J20" s="3" t="s">
        <v>131</v>
      </c>
      <c r="K20" s="3" t="s">
        <v>132</v>
      </c>
      <c r="L20" s="3" t="s">
        <v>133</v>
      </c>
      <c r="M20" s="4" t="s">
        <v>134</v>
      </c>
      <c r="N20" s="3" t="s">
        <v>37</v>
      </c>
      <c r="O20" s="3" t="s">
        <v>38</v>
      </c>
      <c r="P20" s="5">
        <v>24</v>
      </c>
      <c r="Q20" s="5">
        <v>690</v>
      </c>
      <c r="R20" s="5">
        <v>23</v>
      </c>
      <c r="S20" s="5">
        <v>667</v>
      </c>
    </row>
    <row r="21" spans="1:19" ht="28" x14ac:dyDescent="0.15">
      <c r="A21" s="2">
        <f>HYPERLINK("https://open-school.uspishnemisto.com.ua/school/50020/", 50020)</f>
        <v>50020</v>
      </c>
      <c r="B21" s="3" t="s">
        <v>135</v>
      </c>
      <c r="C21" s="3" t="s">
        <v>31</v>
      </c>
      <c r="D21" s="3" t="s">
        <v>32</v>
      </c>
      <c r="E21" s="4" t="s">
        <v>22</v>
      </c>
      <c r="F21" s="4" t="s">
        <v>72</v>
      </c>
      <c r="G21" s="4" t="s">
        <v>24</v>
      </c>
      <c r="H21" s="3" t="s">
        <v>25</v>
      </c>
      <c r="I21" s="3" t="s">
        <v>26</v>
      </c>
      <c r="J21" s="3" t="s">
        <v>136</v>
      </c>
      <c r="K21" s="3" t="s">
        <v>137</v>
      </c>
      <c r="L21" s="3"/>
      <c r="M21" s="4" t="s">
        <v>138</v>
      </c>
      <c r="N21" s="3" t="s">
        <v>37</v>
      </c>
      <c r="O21" s="3" t="s">
        <v>139</v>
      </c>
      <c r="P21" s="5">
        <v>42</v>
      </c>
      <c r="Q21" s="5">
        <v>1236</v>
      </c>
      <c r="R21" s="5">
        <v>40</v>
      </c>
      <c r="S21" s="5">
        <v>1152</v>
      </c>
    </row>
    <row r="22" spans="1:19" ht="28" x14ac:dyDescent="0.15">
      <c r="A22" s="2">
        <f>HYPERLINK("https://open-school.uspishnemisto.com.ua/school/50021/", 50021)</f>
        <v>50021</v>
      </c>
      <c r="B22" s="3" t="s">
        <v>140</v>
      </c>
      <c r="C22" s="3" t="s">
        <v>31</v>
      </c>
      <c r="D22" s="3" t="s">
        <v>32</v>
      </c>
      <c r="E22" s="4" t="s">
        <v>22</v>
      </c>
      <c r="F22" s="4" t="s">
        <v>141</v>
      </c>
      <c r="G22" s="4" t="s">
        <v>24</v>
      </c>
      <c r="H22" s="3" t="s">
        <v>25</v>
      </c>
      <c r="I22" s="3" t="s">
        <v>26</v>
      </c>
      <c r="J22" s="3" t="s">
        <v>142</v>
      </c>
      <c r="K22" s="3" t="s">
        <v>143</v>
      </c>
      <c r="L22" s="3"/>
      <c r="M22" s="4" t="s">
        <v>144</v>
      </c>
      <c r="N22" s="3" t="s">
        <v>37</v>
      </c>
      <c r="O22" s="3" t="s">
        <v>70</v>
      </c>
      <c r="P22" s="5">
        <v>55</v>
      </c>
      <c r="Q22" s="5">
        <v>1664</v>
      </c>
      <c r="R22" s="5">
        <v>54</v>
      </c>
      <c r="S22" s="5">
        <v>1593</v>
      </c>
    </row>
    <row r="23" spans="1:19" ht="28" x14ac:dyDescent="0.15">
      <c r="A23" s="2">
        <f>HYPERLINK("https://open-school.uspishnemisto.com.ua/school/50022/", 50022)</f>
        <v>50022</v>
      </c>
      <c r="B23" s="3" t="s">
        <v>145</v>
      </c>
      <c r="C23" s="3" t="s">
        <v>31</v>
      </c>
      <c r="D23" s="3" t="s">
        <v>32</v>
      </c>
      <c r="E23" s="4" t="s">
        <v>22</v>
      </c>
      <c r="F23" s="4" t="s">
        <v>146</v>
      </c>
      <c r="G23" s="4" t="s">
        <v>24</v>
      </c>
      <c r="H23" s="3" t="s">
        <v>25</v>
      </c>
      <c r="I23" s="3" t="s">
        <v>26</v>
      </c>
      <c r="J23" s="3" t="s">
        <v>147</v>
      </c>
      <c r="K23" s="3" t="s">
        <v>148</v>
      </c>
      <c r="L23" s="3"/>
      <c r="M23" s="4" t="s">
        <v>149</v>
      </c>
      <c r="N23" s="3" t="s">
        <v>37</v>
      </c>
      <c r="O23" s="3" t="s">
        <v>70</v>
      </c>
      <c r="P23" s="5">
        <v>51</v>
      </c>
      <c r="Q23" s="5">
        <v>1573</v>
      </c>
      <c r="R23" s="5">
        <v>48</v>
      </c>
      <c r="S23" s="5">
        <v>1446</v>
      </c>
    </row>
    <row r="24" spans="1:19" ht="42" x14ac:dyDescent="0.15">
      <c r="A24" s="2">
        <f>HYPERLINK("https://open-school.uspishnemisto.com.ua/school/50023/", 50023)</f>
        <v>50023</v>
      </c>
      <c r="B24" s="3" t="s">
        <v>150</v>
      </c>
      <c r="C24" s="3" t="s">
        <v>54</v>
      </c>
      <c r="D24" s="3" t="s">
        <v>32</v>
      </c>
      <c r="E24" s="4" t="s">
        <v>22</v>
      </c>
      <c r="F24" s="4" t="s">
        <v>151</v>
      </c>
      <c r="G24" s="4" t="s">
        <v>24</v>
      </c>
      <c r="H24" s="3" t="s">
        <v>25</v>
      </c>
      <c r="I24" s="3" t="s">
        <v>26</v>
      </c>
      <c r="J24" s="3" t="s">
        <v>152</v>
      </c>
      <c r="K24" s="3" t="s">
        <v>153</v>
      </c>
      <c r="L24" s="3" t="s">
        <v>154</v>
      </c>
      <c r="M24" s="4" t="s">
        <v>155</v>
      </c>
      <c r="N24" s="3" t="s">
        <v>37</v>
      </c>
      <c r="O24" s="3" t="s">
        <v>123</v>
      </c>
      <c r="P24" s="5">
        <v>37</v>
      </c>
      <c r="Q24" s="5">
        <v>1195</v>
      </c>
      <c r="R24" s="5">
        <v>35</v>
      </c>
      <c r="S24" s="5">
        <v>1146</v>
      </c>
    </row>
    <row r="25" spans="1:19" ht="42" x14ac:dyDescent="0.15">
      <c r="A25" s="2">
        <f>HYPERLINK("https://open-school.uspishnemisto.com.ua/school/50024/", 50024)</f>
        <v>50024</v>
      </c>
      <c r="B25" s="3" t="s">
        <v>156</v>
      </c>
      <c r="C25" s="3" t="s">
        <v>54</v>
      </c>
      <c r="D25" s="3" t="s">
        <v>32</v>
      </c>
      <c r="E25" s="4" t="s">
        <v>22</v>
      </c>
      <c r="F25" s="4" t="s">
        <v>157</v>
      </c>
      <c r="G25" s="4" t="s">
        <v>24</v>
      </c>
      <c r="H25" s="3" t="s">
        <v>25</v>
      </c>
      <c r="I25" s="3" t="s">
        <v>26</v>
      </c>
      <c r="J25" s="3" t="s">
        <v>158</v>
      </c>
      <c r="K25" s="3" t="s">
        <v>159</v>
      </c>
      <c r="L25" s="3" t="s">
        <v>160</v>
      </c>
      <c r="M25" s="4" t="s">
        <v>161</v>
      </c>
      <c r="N25" s="3" t="s">
        <v>37</v>
      </c>
      <c r="O25" s="3" t="s">
        <v>46</v>
      </c>
      <c r="P25" s="5">
        <v>47</v>
      </c>
      <c r="Q25" s="5">
        <v>1505</v>
      </c>
      <c r="R25" s="5">
        <v>47</v>
      </c>
      <c r="S25" s="5">
        <v>1483</v>
      </c>
    </row>
    <row r="26" spans="1:19" ht="42" x14ac:dyDescent="0.15">
      <c r="A26" s="2">
        <f>HYPERLINK("https://open-school.uspishnemisto.com.ua/school/50025/", 50025)</f>
        <v>50025</v>
      </c>
      <c r="B26" s="3" t="s">
        <v>162</v>
      </c>
      <c r="C26" s="3" t="s">
        <v>54</v>
      </c>
      <c r="D26" s="3" t="s">
        <v>32</v>
      </c>
      <c r="E26" s="4" t="s">
        <v>22</v>
      </c>
      <c r="F26" s="4" t="s">
        <v>33</v>
      </c>
      <c r="G26" s="4" t="s">
        <v>24</v>
      </c>
      <c r="H26" s="3" t="s">
        <v>25</v>
      </c>
      <c r="I26" s="3" t="s">
        <v>26</v>
      </c>
      <c r="J26" s="3" t="s">
        <v>163</v>
      </c>
      <c r="K26" s="3" t="s">
        <v>164</v>
      </c>
      <c r="L26" s="3" t="s">
        <v>165</v>
      </c>
      <c r="M26" s="4" t="s">
        <v>166</v>
      </c>
      <c r="N26" s="3" t="s">
        <v>37</v>
      </c>
      <c r="O26" s="3" t="s">
        <v>167</v>
      </c>
      <c r="P26" s="5">
        <v>50</v>
      </c>
      <c r="Q26" s="5">
        <v>1544</v>
      </c>
      <c r="R26" s="5">
        <v>50</v>
      </c>
      <c r="S26" s="5">
        <v>1555</v>
      </c>
    </row>
    <row r="27" spans="1:19" ht="42" x14ac:dyDescent="0.15">
      <c r="A27" s="2">
        <f>HYPERLINK("https://open-school.uspishnemisto.com.ua/school/50026/", 50026)</f>
        <v>50026</v>
      </c>
      <c r="B27" s="3" t="s">
        <v>168</v>
      </c>
      <c r="C27" s="3" t="s">
        <v>54</v>
      </c>
      <c r="D27" s="3" t="s">
        <v>32</v>
      </c>
      <c r="E27" s="4" t="s">
        <v>22</v>
      </c>
      <c r="F27" s="4" t="s">
        <v>169</v>
      </c>
      <c r="G27" s="4" t="s">
        <v>24</v>
      </c>
      <c r="H27" s="3" t="s">
        <v>25</v>
      </c>
      <c r="I27" s="3" t="s">
        <v>26</v>
      </c>
      <c r="J27" s="3" t="s">
        <v>170</v>
      </c>
      <c r="K27" s="3" t="s">
        <v>171</v>
      </c>
      <c r="L27" s="3"/>
      <c r="M27" s="4" t="s">
        <v>172</v>
      </c>
      <c r="N27" s="3" t="s">
        <v>37</v>
      </c>
      <c r="O27" s="3" t="s">
        <v>46</v>
      </c>
      <c r="P27" s="5">
        <v>42</v>
      </c>
      <c r="Q27" s="5">
        <v>1251</v>
      </c>
      <c r="R27" s="5">
        <v>41</v>
      </c>
      <c r="S27" s="5">
        <v>1220</v>
      </c>
    </row>
    <row r="28" spans="1:19" ht="28" x14ac:dyDescent="0.15">
      <c r="A28" s="2">
        <f>HYPERLINK("https://open-school.uspishnemisto.com.ua/school/50027/", 50027)</f>
        <v>50027</v>
      </c>
      <c r="B28" s="3" t="s">
        <v>173</v>
      </c>
      <c r="C28" s="3" t="s">
        <v>174</v>
      </c>
      <c r="D28" s="3" t="s">
        <v>175</v>
      </c>
      <c r="E28" s="4" t="s">
        <v>22</v>
      </c>
      <c r="F28" s="4" t="s">
        <v>23</v>
      </c>
      <c r="G28" s="4" t="s">
        <v>24</v>
      </c>
      <c r="H28" s="3" t="s">
        <v>25</v>
      </c>
      <c r="I28" s="3" t="s">
        <v>26</v>
      </c>
      <c r="J28" s="3" t="s">
        <v>176</v>
      </c>
      <c r="K28" s="3" t="s">
        <v>177</v>
      </c>
      <c r="L28" s="3" t="s">
        <v>178</v>
      </c>
      <c r="M28" s="4" t="s">
        <v>179</v>
      </c>
      <c r="N28" s="3" t="s">
        <v>37</v>
      </c>
      <c r="O28" s="3"/>
      <c r="P28" s="5">
        <v>11</v>
      </c>
      <c r="Q28" s="5">
        <v>178</v>
      </c>
      <c r="R28" s="5">
        <v>11</v>
      </c>
      <c r="S28" s="5">
        <v>175</v>
      </c>
    </row>
    <row r="29" spans="1:19" ht="56" x14ac:dyDescent="0.15">
      <c r="A29" s="2">
        <f>HYPERLINK("https://open-school.uspishnemisto.com.ua/school/50028/", 50028)</f>
        <v>50028</v>
      </c>
      <c r="B29" s="3" t="s">
        <v>180</v>
      </c>
      <c r="C29" s="3" t="s">
        <v>181</v>
      </c>
      <c r="D29" s="3" t="s">
        <v>32</v>
      </c>
      <c r="E29" s="4" t="s">
        <v>22</v>
      </c>
      <c r="F29" s="4" t="s">
        <v>182</v>
      </c>
      <c r="G29" s="4" t="s">
        <v>24</v>
      </c>
      <c r="H29" s="3" t="s">
        <v>25</v>
      </c>
      <c r="I29" s="3" t="s">
        <v>26</v>
      </c>
      <c r="J29" s="3" t="s">
        <v>183</v>
      </c>
      <c r="K29" s="3" t="s">
        <v>184</v>
      </c>
      <c r="L29" s="3" t="s">
        <v>185</v>
      </c>
      <c r="M29" s="4" t="s">
        <v>186</v>
      </c>
      <c r="N29" s="3" t="s">
        <v>37</v>
      </c>
      <c r="O29" s="3" t="s">
        <v>52</v>
      </c>
      <c r="P29" s="5">
        <v>13</v>
      </c>
      <c r="Q29" s="5">
        <v>98</v>
      </c>
      <c r="R29" s="5">
        <v>13</v>
      </c>
      <c r="S29" s="5">
        <v>102</v>
      </c>
    </row>
    <row r="30" spans="1:19" ht="28" x14ac:dyDescent="0.15">
      <c r="A30" s="2">
        <f>HYPERLINK("https://open-school.uspishnemisto.com.ua/school/50029/", 50029)</f>
        <v>50029</v>
      </c>
      <c r="B30" s="3" t="s">
        <v>187</v>
      </c>
      <c r="C30" s="3" t="s">
        <v>188</v>
      </c>
      <c r="D30" s="3" t="s">
        <v>32</v>
      </c>
      <c r="E30" s="4" t="s">
        <v>22</v>
      </c>
      <c r="F30" s="4" t="s">
        <v>23</v>
      </c>
      <c r="G30" s="4" t="s">
        <v>24</v>
      </c>
      <c r="H30" s="3" t="s">
        <v>25</v>
      </c>
      <c r="I30" s="3" t="s">
        <v>26</v>
      </c>
      <c r="J30" s="3" t="s">
        <v>189</v>
      </c>
      <c r="K30" s="3" t="s">
        <v>190</v>
      </c>
      <c r="L30" s="3" t="s">
        <v>191</v>
      </c>
      <c r="M30" s="4" t="s">
        <v>192</v>
      </c>
      <c r="N30" s="3" t="s">
        <v>37</v>
      </c>
      <c r="O30" s="3" t="s">
        <v>46</v>
      </c>
      <c r="P30" s="5">
        <v>14</v>
      </c>
      <c r="Q30" s="5">
        <v>488</v>
      </c>
      <c r="R30" s="5">
        <v>15</v>
      </c>
      <c r="S30" s="5">
        <v>477</v>
      </c>
    </row>
    <row r="31" spans="1:19" ht="28" x14ac:dyDescent="0.15">
      <c r="A31" s="2">
        <f>HYPERLINK("https://open-school.uspishnemisto.com.ua/school/50030/", 50030)</f>
        <v>50030</v>
      </c>
      <c r="B31" s="3" t="s">
        <v>193</v>
      </c>
      <c r="C31" s="3" t="s">
        <v>40</v>
      </c>
      <c r="D31" s="3" t="s">
        <v>32</v>
      </c>
      <c r="E31" s="4" t="s">
        <v>22</v>
      </c>
      <c r="F31" s="4" t="s">
        <v>42</v>
      </c>
      <c r="G31" s="4" t="s">
        <v>24</v>
      </c>
      <c r="H31" s="3" t="s">
        <v>25</v>
      </c>
      <c r="I31" s="3" t="s">
        <v>26</v>
      </c>
      <c r="J31" s="3" t="s">
        <v>194</v>
      </c>
      <c r="K31" s="3" t="s">
        <v>195</v>
      </c>
      <c r="L31" s="3"/>
      <c r="M31" s="4" t="s">
        <v>196</v>
      </c>
      <c r="N31" s="3" t="s">
        <v>37</v>
      </c>
      <c r="O31" s="3" t="s">
        <v>197</v>
      </c>
      <c r="P31" s="5">
        <v>33</v>
      </c>
      <c r="Q31" s="5">
        <v>1143</v>
      </c>
      <c r="R31" s="5">
        <v>35</v>
      </c>
      <c r="S31" s="5">
        <v>1111</v>
      </c>
    </row>
    <row r="32" spans="1:19" ht="28" x14ac:dyDescent="0.15">
      <c r="A32" s="2">
        <f>HYPERLINK("https://open-school.uspishnemisto.com.ua/school/50031/", 50031)</f>
        <v>50031</v>
      </c>
      <c r="B32" s="3" t="s">
        <v>198</v>
      </c>
      <c r="C32" s="3" t="s">
        <v>31</v>
      </c>
      <c r="D32" s="3" t="s">
        <v>32</v>
      </c>
      <c r="E32" s="4" t="s">
        <v>22</v>
      </c>
      <c r="F32" s="4" t="s">
        <v>199</v>
      </c>
      <c r="G32" s="4" t="s">
        <v>24</v>
      </c>
      <c r="H32" s="3" t="s">
        <v>25</v>
      </c>
      <c r="I32" s="3" t="s">
        <v>26</v>
      </c>
      <c r="J32" s="3" t="s">
        <v>200</v>
      </c>
      <c r="K32" s="3" t="s">
        <v>201</v>
      </c>
      <c r="L32" s="3" t="s">
        <v>202</v>
      </c>
      <c r="M32" s="4" t="s">
        <v>203</v>
      </c>
      <c r="N32" s="3" t="s">
        <v>37</v>
      </c>
      <c r="O32" s="3" t="s">
        <v>70</v>
      </c>
      <c r="P32" s="5">
        <v>37</v>
      </c>
      <c r="Q32" s="5">
        <v>1065</v>
      </c>
      <c r="R32" s="5">
        <v>35</v>
      </c>
      <c r="S32" s="5">
        <v>962</v>
      </c>
    </row>
    <row r="33" spans="1:19" ht="28" x14ac:dyDescent="0.15">
      <c r="A33" s="2">
        <f>HYPERLINK("https://open-school.uspishnemisto.com.ua/school/50032/", 50032)</f>
        <v>50032</v>
      </c>
      <c r="B33" s="3" t="s">
        <v>204</v>
      </c>
      <c r="C33" s="3" t="s">
        <v>31</v>
      </c>
      <c r="D33" s="3" t="s">
        <v>32</v>
      </c>
      <c r="E33" s="4" t="s">
        <v>22</v>
      </c>
      <c r="F33" s="4" t="s">
        <v>151</v>
      </c>
      <c r="G33" s="4" t="s">
        <v>24</v>
      </c>
      <c r="H33" s="3" t="s">
        <v>25</v>
      </c>
      <c r="I33" s="3" t="s">
        <v>26</v>
      </c>
      <c r="J33" s="3" t="s">
        <v>205</v>
      </c>
      <c r="K33" s="3" t="s">
        <v>206</v>
      </c>
      <c r="L33" s="3" t="s">
        <v>207</v>
      </c>
      <c r="M33" s="4" t="s">
        <v>208</v>
      </c>
      <c r="N33" s="3" t="s">
        <v>37</v>
      </c>
      <c r="O33" s="3" t="s">
        <v>70</v>
      </c>
      <c r="P33" s="5">
        <v>25</v>
      </c>
      <c r="Q33" s="5">
        <v>793</v>
      </c>
      <c r="R33" s="5">
        <v>24</v>
      </c>
      <c r="S33" s="5">
        <v>753</v>
      </c>
    </row>
    <row r="34" spans="1:19" ht="28" x14ac:dyDescent="0.15">
      <c r="A34" s="2">
        <f>HYPERLINK("https://open-school.uspishnemisto.com.ua/school/50033/", 50033)</f>
        <v>50033</v>
      </c>
      <c r="B34" s="3" t="s">
        <v>209</v>
      </c>
      <c r="C34" s="3" t="s">
        <v>31</v>
      </c>
      <c r="D34" s="3" t="s">
        <v>32</v>
      </c>
      <c r="E34" s="4" t="s">
        <v>22</v>
      </c>
      <c r="F34" s="4" t="s">
        <v>23</v>
      </c>
      <c r="G34" s="4" t="s">
        <v>24</v>
      </c>
      <c r="H34" s="3" t="s">
        <v>25</v>
      </c>
      <c r="I34" s="3" t="s">
        <v>26</v>
      </c>
      <c r="J34" s="3" t="s">
        <v>210</v>
      </c>
      <c r="K34" s="3" t="s">
        <v>211</v>
      </c>
      <c r="L34" s="3" t="s">
        <v>212</v>
      </c>
      <c r="M34" s="4" t="s">
        <v>213</v>
      </c>
      <c r="N34" s="3" t="s">
        <v>37</v>
      </c>
      <c r="O34" s="3" t="s">
        <v>70</v>
      </c>
      <c r="P34" s="5">
        <v>44</v>
      </c>
      <c r="Q34" s="5">
        <v>1364</v>
      </c>
      <c r="R34" s="5">
        <v>44</v>
      </c>
      <c r="S34" s="5">
        <v>1317</v>
      </c>
    </row>
    <row r="35" spans="1:19" ht="42" x14ac:dyDescent="0.15">
      <c r="A35" s="2">
        <f>HYPERLINK("https://open-school.uspishnemisto.com.ua/school/50034/", 50034)</f>
        <v>50034</v>
      </c>
      <c r="B35" s="3" t="s">
        <v>214</v>
      </c>
      <c r="C35" s="3" t="s">
        <v>31</v>
      </c>
      <c r="D35" s="3" t="s">
        <v>32</v>
      </c>
      <c r="E35" s="4" t="s">
        <v>22</v>
      </c>
      <c r="F35" s="4" t="s">
        <v>215</v>
      </c>
      <c r="G35" s="4" t="s">
        <v>24</v>
      </c>
      <c r="H35" s="3" t="s">
        <v>25</v>
      </c>
      <c r="I35" s="3" t="s">
        <v>26</v>
      </c>
      <c r="J35" s="3" t="s">
        <v>216</v>
      </c>
      <c r="K35" s="3" t="s">
        <v>217</v>
      </c>
      <c r="L35" s="3"/>
      <c r="M35" s="4" t="s">
        <v>218</v>
      </c>
      <c r="N35" s="3" t="s">
        <v>37</v>
      </c>
      <c r="O35" s="3" t="s">
        <v>70</v>
      </c>
      <c r="P35" s="5">
        <v>44</v>
      </c>
      <c r="Q35" s="5">
        <v>1360</v>
      </c>
      <c r="R35" s="5">
        <v>42</v>
      </c>
      <c r="S35" s="5">
        <v>1324</v>
      </c>
    </row>
    <row r="36" spans="1:19" ht="28" x14ac:dyDescent="0.15">
      <c r="A36" s="2">
        <f>HYPERLINK("https://open-school.uspishnemisto.com.ua/school/50035/", 50035)</f>
        <v>50035</v>
      </c>
      <c r="B36" s="3" t="s">
        <v>219</v>
      </c>
      <c r="C36" s="3" t="s">
        <v>31</v>
      </c>
      <c r="D36" s="3" t="s">
        <v>32</v>
      </c>
      <c r="E36" s="4" t="s">
        <v>22</v>
      </c>
      <c r="F36" s="4" t="s">
        <v>107</v>
      </c>
      <c r="G36" s="4" t="s">
        <v>24</v>
      </c>
      <c r="H36" s="3" t="s">
        <v>25</v>
      </c>
      <c r="I36" s="3" t="s">
        <v>26</v>
      </c>
      <c r="J36" s="3" t="s">
        <v>220</v>
      </c>
      <c r="K36" s="3" t="s">
        <v>221</v>
      </c>
      <c r="L36" s="3"/>
      <c r="M36" s="4" t="s">
        <v>222</v>
      </c>
      <c r="N36" s="3" t="s">
        <v>37</v>
      </c>
      <c r="O36" s="3" t="s">
        <v>46</v>
      </c>
      <c r="P36" s="5">
        <v>19</v>
      </c>
      <c r="Q36" s="5">
        <v>552</v>
      </c>
      <c r="R36" s="5">
        <v>18</v>
      </c>
      <c r="S36" s="5">
        <v>518</v>
      </c>
    </row>
    <row r="37" spans="1:19" ht="42" x14ac:dyDescent="0.15">
      <c r="A37" s="2">
        <f>HYPERLINK("https://open-school.uspishnemisto.com.ua/school/50036/", 50036)</f>
        <v>50036</v>
      </c>
      <c r="B37" s="3" t="s">
        <v>223</v>
      </c>
      <c r="C37" s="3" t="s">
        <v>31</v>
      </c>
      <c r="D37" s="3" t="s">
        <v>32</v>
      </c>
      <c r="E37" s="4" t="s">
        <v>22</v>
      </c>
      <c r="F37" s="4" t="s">
        <v>224</v>
      </c>
      <c r="G37" s="4" t="s">
        <v>24</v>
      </c>
      <c r="H37" s="3" t="s">
        <v>25</v>
      </c>
      <c r="I37" s="3" t="s">
        <v>26</v>
      </c>
      <c r="J37" s="3" t="s">
        <v>225</v>
      </c>
      <c r="K37" s="3" t="s">
        <v>226</v>
      </c>
      <c r="L37" s="3"/>
      <c r="M37" s="4" t="s">
        <v>227</v>
      </c>
      <c r="N37" s="3" t="s">
        <v>37</v>
      </c>
      <c r="O37" s="3" t="s">
        <v>46</v>
      </c>
      <c r="P37" s="5">
        <v>38</v>
      </c>
      <c r="Q37" s="5">
        <v>1130</v>
      </c>
      <c r="R37" s="5">
        <v>35</v>
      </c>
      <c r="S37" s="5">
        <v>1039</v>
      </c>
    </row>
    <row r="38" spans="1:19" ht="28" x14ac:dyDescent="0.15">
      <c r="A38" s="2">
        <f>HYPERLINK("https://open-school.uspishnemisto.com.ua/school/50037/", 50037)</f>
        <v>50037</v>
      </c>
      <c r="B38" s="3" t="s">
        <v>228</v>
      </c>
      <c r="C38" s="3" t="s">
        <v>31</v>
      </c>
      <c r="D38" s="3" t="s">
        <v>21</v>
      </c>
      <c r="E38" s="4" t="s">
        <v>22</v>
      </c>
      <c r="F38" s="4" t="s">
        <v>23</v>
      </c>
      <c r="G38" s="4" t="s">
        <v>24</v>
      </c>
      <c r="H38" s="3" t="s">
        <v>25</v>
      </c>
      <c r="I38" s="3" t="s">
        <v>26</v>
      </c>
      <c r="J38" s="3" t="s">
        <v>229</v>
      </c>
      <c r="K38" s="3" t="s">
        <v>230</v>
      </c>
      <c r="L38" s="3" t="s">
        <v>231</v>
      </c>
      <c r="M38" s="4" t="s">
        <v>232</v>
      </c>
      <c r="N38" s="3" t="s">
        <v>37</v>
      </c>
      <c r="O38" s="3" t="s">
        <v>129</v>
      </c>
      <c r="P38" s="5">
        <v>33</v>
      </c>
      <c r="Q38" s="5">
        <v>956</v>
      </c>
      <c r="R38" s="5">
        <v>33</v>
      </c>
      <c r="S38" s="5">
        <v>956</v>
      </c>
    </row>
    <row r="39" spans="1:19" ht="42" x14ac:dyDescent="0.15">
      <c r="A39" s="2">
        <f>HYPERLINK("https://open-school.uspishnemisto.com.ua/school/50038/", 50038)</f>
        <v>50038</v>
      </c>
      <c r="B39" s="3" t="s">
        <v>233</v>
      </c>
      <c r="C39" s="3" t="s">
        <v>54</v>
      </c>
      <c r="D39" s="3" t="s">
        <v>32</v>
      </c>
      <c r="E39" s="4" t="s">
        <v>22</v>
      </c>
      <c r="F39" s="4" t="s">
        <v>42</v>
      </c>
      <c r="G39" s="4" t="s">
        <v>24</v>
      </c>
      <c r="H39" s="3" t="s">
        <v>25</v>
      </c>
      <c r="I39" s="3" t="s">
        <v>26</v>
      </c>
      <c r="J39" s="3" t="s">
        <v>234</v>
      </c>
      <c r="K39" s="3" t="s">
        <v>235</v>
      </c>
      <c r="L39" s="3"/>
      <c r="M39" s="4" t="s">
        <v>236</v>
      </c>
      <c r="N39" s="3" t="s">
        <v>37</v>
      </c>
      <c r="O39" s="3" t="s">
        <v>237</v>
      </c>
      <c r="P39" s="5">
        <v>36</v>
      </c>
      <c r="Q39" s="5">
        <v>1138</v>
      </c>
      <c r="R39" s="5">
        <v>35</v>
      </c>
      <c r="S39" s="5">
        <v>1117</v>
      </c>
    </row>
    <row r="40" spans="1:19" ht="42" x14ac:dyDescent="0.15">
      <c r="A40" s="2">
        <f>HYPERLINK("https://open-school.uspishnemisto.com.ua/school/50039/", 50039)</f>
        <v>50039</v>
      </c>
      <c r="B40" s="3" t="s">
        <v>238</v>
      </c>
      <c r="C40" s="3" t="s">
        <v>54</v>
      </c>
      <c r="D40" s="3" t="s">
        <v>32</v>
      </c>
      <c r="E40" s="4" t="s">
        <v>22</v>
      </c>
      <c r="F40" s="4" t="s">
        <v>239</v>
      </c>
      <c r="G40" s="4" t="s">
        <v>24</v>
      </c>
      <c r="H40" s="3" t="s">
        <v>25</v>
      </c>
      <c r="I40" s="3" t="s">
        <v>26</v>
      </c>
      <c r="J40" s="3" t="s">
        <v>240</v>
      </c>
      <c r="K40" s="3" t="s">
        <v>241</v>
      </c>
      <c r="L40" s="3"/>
      <c r="M40" s="4" t="s">
        <v>242</v>
      </c>
      <c r="N40" s="3" t="s">
        <v>128</v>
      </c>
      <c r="O40" s="3" t="s">
        <v>70</v>
      </c>
      <c r="P40" s="5">
        <v>56</v>
      </c>
      <c r="Q40" s="5">
        <v>1654</v>
      </c>
      <c r="R40" s="5">
        <v>56</v>
      </c>
      <c r="S40" s="5">
        <v>1603</v>
      </c>
    </row>
    <row r="41" spans="1:19" ht="42" x14ac:dyDescent="0.15">
      <c r="A41" s="2">
        <f>HYPERLINK("https://open-school.uspishnemisto.com.ua/school/50040/", 50040)</f>
        <v>50040</v>
      </c>
      <c r="B41" s="3" t="s">
        <v>243</v>
      </c>
      <c r="C41" s="3" t="s">
        <v>244</v>
      </c>
      <c r="D41" s="3" t="s">
        <v>60</v>
      </c>
      <c r="E41" s="4" t="s">
        <v>22</v>
      </c>
      <c r="F41" s="4" t="s">
        <v>182</v>
      </c>
      <c r="G41" s="4" t="s">
        <v>24</v>
      </c>
      <c r="H41" s="3" t="s">
        <v>25</v>
      </c>
      <c r="I41" s="3" t="s">
        <v>26</v>
      </c>
      <c r="J41" s="3" t="s">
        <v>245</v>
      </c>
      <c r="K41" s="3" t="s">
        <v>246</v>
      </c>
      <c r="L41" s="3"/>
      <c r="M41" s="4" t="s">
        <v>247</v>
      </c>
      <c r="N41" s="3" t="s">
        <v>37</v>
      </c>
      <c r="O41" s="3" t="s">
        <v>46</v>
      </c>
      <c r="P41" s="5">
        <v>25</v>
      </c>
      <c r="Q41" s="5">
        <v>862</v>
      </c>
      <c r="R41" s="5">
        <v>25</v>
      </c>
      <c r="S41" s="5">
        <v>831</v>
      </c>
    </row>
    <row r="42" spans="1:19" ht="28" x14ac:dyDescent="0.15">
      <c r="A42" s="2">
        <f>HYPERLINK("https://open-school.uspishnemisto.com.ua/school/50041/", 50041)</f>
        <v>50041</v>
      </c>
      <c r="B42" s="3" t="s">
        <v>248</v>
      </c>
      <c r="C42" s="3" t="s">
        <v>40</v>
      </c>
      <c r="D42" s="3" t="s">
        <v>32</v>
      </c>
      <c r="E42" s="4" t="s">
        <v>22</v>
      </c>
      <c r="F42" s="4" t="s">
        <v>151</v>
      </c>
      <c r="G42" s="4" t="s">
        <v>24</v>
      </c>
      <c r="H42" s="3" t="s">
        <v>25</v>
      </c>
      <c r="I42" s="3" t="s">
        <v>26</v>
      </c>
      <c r="J42" s="3" t="s">
        <v>249</v>
      </c>
      <c r="K42" s="3" t="s">
        <v>250</v>
      </c>
      <c r="L42" s="3"/>
      <c r="M42" s="4" t="s">
        <v>251</v>
      </c>
      <c r="N42" s="3" t="s">
        <v>37</v>
      </c>
      <c r="O42" s="3" t="s">
        <v>38</v>
      </c>
      <c r="P42" s="5">
        <v>34</v>
      </c>
      <c r="Q42" s="5">
        <v>1065</v>
      </c>
      <c r="R42" s="5">
        <v>35</v>
      </c>
      <c r="S42" s="5">
        <v>1097</v>
      </c>
    </row>
    <row r="43" spans="1:19" ht="28" x14ac:dyDescent="0.15">
      <c r="A43" s="2">
        <f>HYPERLINK("https://open-school.uspishnemisto.com.ua/school/50042/", 50042)</f>
        <v>50042</v>
      </c>
      <c r="B43" s="3" t="s">
        <v>252</v>
      </c>
      <c r="C43" s="3" t="s">
        <v>54</v>
      </c>
      <c r="D43" s="3" t="s">
        <v>32</v>
      </c>
      <c r="E43" s="4" t="s">
        <v>253</v>
      </c>
      <c r="F43" s="4" t="s">
        <v>254</v>
      </c>
      <c r="G43" s="4" t="s">
        <v>24</v>
      </c>
      <c r="H43" s="3" t="s">
        <v>25</v>
      </c>
      <c r="I43" s="3" t="s">
        <v>26</v>
      </c>
      <c r="J43" s="3" t="s">
        <v>255</v>
      </c>
      <c r="K43" s="3" t="s">
        <v>256</v>
      </c>
      <c r="L43" s="3"/>
      <c r="M43" s="4"/>
      <c r="N43" s="3" t="s">
        <v>37</v>
      </c>
      <c r="O43" s="3" t="s">
        <v>52</v>
      </c>
      <c r="P43" s="5">
        <v>2</v>
      </c>
      <c r="Q43" s="5">
        <v>59</v>
      </c>
      <c r="R43" s="5">
        <v>2</v>
      </c>
      <c r="S43" s="5">
        <v>59</v>
      </c>
    </row>
    <row r="44" spans="1:19" ht="28" x14ac:dyDescent="0.15">
      <c r="A44" s="2">
        <f>HYPERLINK("https://open-school.uspishnemisto.com.ua/school/50043/", 50043)</f>
        <v>50043</v>
      </c>
      <c r="B44" s="3" t="s">
        <v>257</v>
      </c>
      <c r="C44" s="3" t="s">
        <v>54</v>
      </c>
      <c r="D44" s="3" t="s">
        <v>32</v>
      </c>
      <c r="E44" s="4" t="s">
        <v>41</v>
      </c>
      <c r="F44" s="4" t="s">
        <v>258</v>
      </c>
      <c r="G44" s="4" t="s">
        <v>24</v>
      </c>
      <c r="H44" s="3" t="s">
        <v>25</v>
      </c>
      <c r="I44" s="3" t="s">
        <v>26</v>
      </c>
      <c r="J44" s="3" t="s">
        <v>259</v>
      </c>
      <c r="K44" s="3" t="s">
        <v>260</v>
      </c>
      <c r="L44" s="3"/>
      <c r="M44" s="4" t="s">
        <v>261</v>
      </c>
      <c r="N44" s="3" t="s">
        <v>37</v>
      </c>
      <c r="O44" s="3" t="s">
        <v>46</v>
      </c>
      <c r="P44" s="5">
        <v>11</v>
      </c>
      <c r="Q44" s="5">
        <v>33</v>
      </c>
      <c r="R44" s="5">
        <v>11</v>
      </c>
      <c r="S44" s="5">
        <v>23</v>
      </c>
    </row>
    <row r="45" spans="1:19" ht="42" x14ac:dyDescent="0.15">
      <c r="A45" s="2">
        <f>HYPERLINK("https://open-school.uspishnemisto.com.ua/school/50044/", 50044)</f>
        <v>50044</v>
      </c>
      <c r="B45" s="3" t="s">
        <v>262</v>
      </c>
      <c r="C45" s="3" t="s">
        <v>54</v>
      </c>
      <c r="D45" s="3" t="s">
        <v>32</v>
      </c>
      <c r="E45" s="4" t="s">
        <v>41</v>
      </c>
      <c r="F45" s="4" t="s">
        <v>33</v>
      </c>
      <c r="G45" s="4" t="s">
        <v>24</v>
      </c>
      <c r="H45" s="3" t="s">
        <v>25</v>
      </c>
      <c r="I45" s="3" t="s">
        <v>26</v>
      </c>
      <c r="J45" s="3" t="s">
        <v>263</v>
      </c>
      <c r="K45" s="3" t="s">
        <v>264</v>
      </c>
      <c r="L45" s="3"/>
      <c r="M45" s="4" t="s">
        <v>265</v>
      </c>
      <c r="N45" s="3" t="s">
        <v>37</v>
      </c>
      <c r="O45" s="3" t="s">
        <v>266</v>
      </c>
      <c r="P45" s="5">
        <v>11</v>
      </c>
      <c r="Q45" s="5">
        <v>203</v>
      </c>
      <c r="R45" s="5">
        <v>12</v>
      </c>
      <c r="S45" s="5">
        <v>211</v>
      </c>
    </row>
    <row r="46" spans="1:19" ht="28" x14ac:dyDescent="0.15">
      <c r="A46" s="2">
        <f>HYPERLINK("https://open-school.uspishnemisto.com.ua/school/50877/", 50877)</f>
        <v>50877</v>
      </c>
      <c r="B46" s="3" t="s">
        <v>267</v>
      </c>
      <c r="C46" s="3" t="s">
        <v>40</v>
      </c>
      <c r="D46" s="3" t="s">
        <v>32</v>
      </c>
      <c r="E46" s="4" t="s">
        <v>41</v>
      </c>
      <c r="F46" s="4" t="s">
        <v>268</v>
      </c>
      <c r="G46" s="4" t="s">
        <v>24</v>
      </c>
      <c r="H46" s="3" t="s">
        <v>25</v>
      </c>
      <c r="I46" s="3" t="s">
        <v>26</v>
      </c>
      <c r="J46" s="3" t="s">
        <v>269</v>
      </c>
      <c r="K46" s="3" t="s">
        <v>270</v>
      </c>
      <c r="L46" s="3"/>
      <c r="M46" s="4"/>
      <c r="N46" s="3" t="s">
        <v>37</v>
      </c>
      <c r="O46" s="3" t="s">
        <v>52</v>
      </c>
      <c r="P46" s="5">
        <v>9</v>
      </c>
      <c r="Q46" s="5">
        <v>26</v>
      </c>
      <c r="R46" s="5"/>
      <c r="S46" s="5"/>
    </row>
    <row r="47" spans="1:19" ht="56" x14ac:dyDescent="0.15">
      <c r="A47" s="2">
        <f>HYPERLINK("https://open-school.uspishnemisto.com.ua/school/50045/", 50045)</f>
        <v>50045</v>
      </c>
      <c r="B47" s="3" t="s">
        <v>271</v>
      </c>
      <c r="C47" s="3" t="s">
        <v>54</v>
      </c>
      <c r="D47" s="3" t="s">
        <v>32</v>
      </c>
      <c r="E47" s="4" t="s">
        <v>22</v>
      </c>
      <c r="F47" s="4" t="s">
        <v>272</v>
      </c>
      <c r="G47" s="4" t="s">
        <v>273</v>
      </c>
      <c r="H47" s="3" t="s">
        <v>25</v>
      </c>
      <c r="I47" s="3" t="s">
        <v>274</v>
      </c>
      <c r="J47" s="3" t="s">
        <v>275</v>
      </c>
      <c r="K47" s="3" t="s">
        <v>276</v>
      </c>
      <c r="L47" s="3" t="s">
        <v>277</v>
      </c>
      <c r="M47" s="4"/>
      <c r="N47" s="3" t="s">
        <v>37</v>
      </c>
      <c r="O47" s="3" t="s">
        <v>46</v>
      </c>
      <c r="P47" s="5">
        <v>30</v>
      </c>
      <c r="Q47" s="5">
        <v>795</v>
      </c>
      <c r="R47" s="5">
        <v>28</v>
      </c>
      <c r="S47" s="5">
        <v>746</v>
      </c>
    </row>
    <row r="48" spans="1:19" ht="28" x14ac:dyDescent="0.15">
      <c r="A48" s="2">
        <f>HYPERLINK("https://open-school.uspishnemisto.com.ua/school/50046/", 50046)</f>
        <v>50046</v>
      </c>
      <c r="B48" s="3" t="s">
        <v>278</v>
      </c>
      <c r="C48" s="3" t="s">
        <v>31</v>
      </c>
      <c r="D48" s="3" t="s">
        <v>32</v>
      </c>
      <c r="E48" s="4" t="s">
        <v>22</v>
      </c>
      <c r="F48" s="4" t="s">
        <v>272</v>
      </c>
      <c r="G48" s="4" t="s">
        <v>273</v>
      </c>
      <c r="H48" s="3" t="s">
        <v>25</v>
      </c>
      <c r="I48" s="3" t="s">
        <v>274</v>
      </c>
      <c r="J48" s="3" t="s">
        <v>279</v>
      </c>
      <c r="K48" s="3" t="s">
        <v>280</v>
      </c>
      <c r="L48" s="3" t="s">
        <v>281</v>
      </c>
      <c r="M48" s="4"/>
      <c r="N48" s="3" t="s">
        <v>37</v>
      </c>
      <c r="O48" s="3" t="s">
        <v>52</v>
      </c>
      <c r="P48" s="5">
        <v>29</v>
      </c>
      <c r="Q48" s="5">
        <v>789</v>
      </c>
      <c r="R48" s="5">
        <v>31</v>
      </c>
      <c r="S48" s="5">
        <v>800</v>
      </c>
    </row>
    <row r="49" spans="1:19" ht="42" x14ac:dyDescent="0.15">
      <c r="A49" s="2">
        <f>HYPERLINK("https://open-school.uspishnemisto.com.ua/school/50047/", 50047)</f>
        <v>50047</v>
      </c>
      <c r="B49" s="3" t="s">
        <v>282</v>
      </c>
      <c r="C49" s="3" t="s">
        <v>31</v>
      </c>
      <c r="D49" s="3" t="s">
        <v>32</v>
      </c>
      <c r="E49" s="4" t="s">
        <v>22</v>
      </c>
      <c r="F49" s="4" t="s">
        <v>272</v>
      </c>
      <c r="G49" s="4" t="s">
        <v>273</v>
      </c>
      <c r="H49" s="3" t="s">
        <v>25</v>
      </c>
      <c r="I49" s="3" t="s">
        <v>274</v>
      </c>
      <c r="J49" s="3" t="s">
        <v>283</v>
      </c>
      <c r="K49" s="3" t="s">
        <v>284</v>
      </c>
      <c r="L49" s="3" t="s">
        <v>285</v>
      </c>
      <c r="M49" s="4"/>
      <c r="N49" s="3" t="s">
        <v>37</v>
      </c>
      <c r="O49" s="3" t="s">
        <v>52</v>
      </c>
      <c r="P49" s="5">
        <v>20</v>
      </c>
      <c r="Q49" s="5">
        <v>489</v>
      </c>
      <c r="R49" s="5">
        <v>20</v>
      </c>
      <c r="S49" s="5">
        <v>501</v>
      </c>
    </row>
    <row r="50" spans="1:19" ht="42" x14ac:dyDescent="0.15">
      <c r="A50" s="2">
        <f>HYPERLINK("https://open-school.uspishnemisto.com.ua/school/50048/", 50048)</f>
        <v>50048</v>
      </c>
      <c r="B50" s="3" t="s">
        <v>286</v>
      </c>
      <c r="C50" s="3" t="s">
        <v>31</v>
      </c>
      <c r="D50" s="3" t="s">
        <v>32</v>
      </c>
      <c r="E50" s="4" t="s">
        <v>22</v>
      </c>
      <c r="F50" s="4" t="s">
        <v>272</v>
      </c>
      <c r="G50" s="4" t="s">
        <v>273</v>
      </c>
      <c r="H50" s="3" t="s">
        <v>25</v>
      </c>
      <c r="I50" s="3" t="s">
        <v>274</v>
      </c>
      <c r="J50" s="3" t="s">
        <v>287</v>
      </c>
      <c r="K50" s="3" t="s">
        <v>288</v>
      </c>
      <c r="L50" s="3"/>
      <c r="M50" s="4"/>
      <c r="N50" s="3" t="s">
        <v>37</v>
      </c>
      <c r="O50" s="3" t="s">
        <v>129</v>
      </c>
      <c r="P50" s="5">
        <v>34</v>
      </c>
      <c r="Q50" s="5">
        <v>918</v>
      </c>
      <c r="R50" s="5">
        <v>32</v>
      </c>
      <c r="S50" s="5">
        <v>871</v>
      </c>
    </row>
    <row r="51" spans="1:19" ht="28" x14ac:dyDescent="0.15">
      <c r="A51" s="2">
        <f>HYPERLINK("https://open-school.uspishnemisto.com.ua/school/50049/", 50049)</f>
        <v>50049</v>
      </c>
      <c r="B51" s="3" t="s">
        <v>289</v>
      </c>
      <c r="C51" s="3" t="s">
        <v>31</v>
      </c>
      <c r="D51" s="3" t="s">
        <v>32</v>
      </c>
      <c r="E51" s="4" t="s">
        <v>22</v>
      </c>
      <c r="F51" s="4" t="s">
        <v>272</v>
      </c>
      <c r="G51" s="4" t="s">
        <v>273</v>
      </c>
      <c r="H51" s="3" t="s">
        <v>25</v>
      </c>
      <c r="I51" s="3" t="s">
        <v>274</v>
      </c>
      <c r="J51" s="3" t="s">
        <v>290</v>
      </c>
      <c r="K51" s="3" t="s">
        <v>291</v>
      </c>
      <c r="L51" s="3"/>
      <c r="M51" s="4"/>
      <c r="N51" s="3" t="s">
        <v>37</v>
      </c>
      <c r="O51" s="3" t="s">
        <v>52</v>
      </c>
      <c r="P51" s="5">
        <v>31</v>
      </c>
      <c r="Q51" s="5">
        <v>813</v>
      </c>
      <c r="R51" s="5">
        <v>31</v>
      </c>
      <c r="S51" s="5">
        <v>811</v>
      </c>
    </row>
    <row r="52" spans="1:19" ht="28" x14ac:dyDescent="0.15">
      <c r="A52" s="2">
        <f>HYPERLINK("https://open-school.uspishnemisto.com.ua/school/50050/", 50050)</f>
        <v>50050</v>
      </c>
      <c r="B52" s="3" t="s">
        <v>292</v>
      </c>
      <c r="C52" s="3" t="s">
        <v>293</v>
      </c>
      <c r="D52" s="3" t="s">
        <v>175</v>
      </c>
      <c r="E52" s="4" t="s">
        <v>22</v>
      </c>
      <c r="F52" s="4" t="s">
        <v>272</v>
      </c>
      <c r="G52" s="4" t="s">
        <v>273</v>
      </c>
      <c r="H52" s="3" t="s">
        <v>25</v>
      </c>
      <c r="I52" s="3" t="s">
        <v>274</v>
      </c>
      <c r="J52" s="3" t="s">
        <v>294</v>
      </c>
      <c r="K52" s="3"/>
      <c r="L52" s="3"/>
      <c r="M52" s="4" t="s">
        <v>295</v>
      </c>
      <c r="N52" s="3" t="s">
        <v>37</v>
      </c>
      <c r="O52" s="3" t="s">
        <v>52</v>
      </c>
      <c r="P52" s="5">
        <v>9</v>
      </c>
      <c r="Q52" s="5">
        <v>76</v>
      </c>
      <c r="R52" s="5">
        <v>9</v>
      </c>
      <c r="S52" s="5">
        <v>69</v>
      </c>
    </row>
    <row r="53" spans="1:19" ht="42" x14ac:dyDescent="0.15">
      <c r="A53" s="2">
        <f>HYPERLINK("https://open-school.uspishnemisto.com.ua/school/50051/", 50051)</f>
        <v>50051</v>
      </c>
      <c r="B53" s="3" t="s">
        <v>296</v>
      </c>
      <c r="C53" s="3" t="s">
        <v>54</v>
      </c>
      <c r="D53" s="3" t="s">
        <v>32</v>
      </c>
      <c r="E53" s="4" t="s">
        <v>22</v>
      </c>
      <c r="F53" s="4" t="s">
        <v>272</v>
      </c>
      <c r="G53" s="4" t="s">
        <v>273</v>
      </c>
      <c r="H53" s="3" t="s">
        <v>25</v>
      </c>
      <c r="I53" s="3" t="s">
        <v>274</v>
      </c>
      <c r="J53" s="3" t="s">
        <v>297</v>
      </c>
      <c r="K53" s="3" t="s">
        <v>298</v>
      </c>
      <c r="L53" s="3" t="s">
        <v>299</v>
      </c>
      <c r="M53" s="4"/>
      <c r="N53" s="3" t="s">
        <v>37</v>
      </c>
      <c r="O53" s="3" t="s">
        <v>52</v>
      </c>
      <c r="P53" s="5">
        <v>30</v>
      </c>
      <c r="Q53" s="5">
        <v>768</v>
      </c>
      <c r="R53" s="5">
        <v>30</v>
      </c>
      <c r="S53" s="5">
        <v>739</v>
      </c>
    </row>
    <row r="54" spans="1:19" ht="42" x14ac:dyDescent="0.15">
      <c r="A54" s="2">
        <f>HYPERLINK("https://open-school.uspishnemisto.com.ua/school/50052/", 50052)</f>
        <v>50052</v>
      </c>
      <c r="B54" s="3" t="s">
        <v>300</v>
      </c>
      <c r="C54" s="3" t="s">
        <v>40</v>
      </c>
      <c r="D54" s="3" t="s">
        <v>32</v>
      </c>
      <c r="E54" s="4" t="s">
        <v>22</v>
      </c>
      <c r="F54" s="4" t="s">
        <v>301</v>
      </c>
      <c r="G54" s="4" t="s">
        <v>302</v>
      </c>
      <c r="H54" s="3" t="s">
        <v>25</v>
      </c>
      <c r="I54" s="3" t="s">
        <v>303</v>
      </c>
      <c r="J54" s="3" t="s">
        <v>304</v>
      </c>
      <c r="K54" s="3" t="s">
        <v>305</v>
      </c>
      <c r="L54" s="3"/>
      <c r="M54" s="4"/>
      <c r="N54" s="3" t="s">
        <v>37</v>
      </c>
      <c r="O54" s="3" t="s">
        <v>46</v>
      </c>
      <c r="P54" s="5">
        <v>27</v>
      </c>
      <c r="Q54" s="5">
        <v>695</v>
      </c>
      <c r="R54" s="5">
        <v>28</v>
      </c>
      <c r="S54" s="5">
        <v>674</v>
      </c>
    </row>
    <row r="55" spans="1:19" ht="42" x14ac:dyDescent="0.15">
      <c r="A55" s="2">
        <f>HYPERLINK("https://open-school.uspishnemisto.com.ua/school/50053/", 50053)</f>
        <v>50053</v>
      </c>
      <c r="B55" s="3" t="s">
        <v>306</v>
      </c>
      <c r="C55" s="3" t="s">
        <v>31</v>
      </c>
      <c r="D55" s="3" t="s">
        <v>32</v>
      </c>
      <c r="E55" s="4" t="s">
        <v>22</v>
      </c>
      <c r="F55" s="4" t="s">
        <v>301</v>
      </c>
      <c r="G55" s="4" t="s">
        <v>302</v>
      </c>
      <c r="H55" s="3" t="s">
        <v>25</v>
      </c>
      <c r="I55" s="3" t="s">
        <v>303</v>
      </c>
      <c r="J55" s="3" t="s">
        <v>307</v>
      </c>
      <c r="K55" s="3" t="s">
        <v>308</v>
      </c>
      <c r="L55" s="3" t="s">
        <v>309</v>
      </c>
      <c r="M55" s="4"/>
      <c r="N55" s="3" t="s">
        <v>37</v>
      </c>
      <c r="O55" s="3" t="s">
        <v>46</v>
      </c>
      <c r="P55" s="5">
        <v>27</v>
      </c>
      <c r="Q55" s="5">
        <v>762</v>
      </c>
      <c r="R55" s="5">
        <v>28</v>
      </c>
      <c r="S55" s="5">
        <v>787</v>
      </c>
    </row>
    <row r="56" spans="1:19" ht="42" x14ac:dyDescent="0.15">
      <c r="A56" s="2">
        <f>HYPERLINK("https://open-school.uspishnemisto.com.ua/school/50054/", 50054)</f>
        <v>50054</v>
      </c>
      <c r="B56" s="3" t="s">
        <v>310</v>
      </c>
      <c r="C56" s="3" t="s">
        <v>54</v>
      </c>
      <c r="D56" s="3" t="s">
        <v>32</v>
      </c>
      <c r="E56" s="4" t="s">
        <v>22</v>
      </c>
      <c r="F56" s="4" t="s">
        <v>301</v>
      </c>
      <c r="G56" s="4" t="s">
        <v>302</v>
      </c>
      <c r="H56" s="3" t="s">
        <v>25</v>
      </c>
      <c r="I56" s="3" t="s">
        <v>303</v>
      </c>
      <c r="J56" s="3" t="s">
        <v>311</v>
      </c>
      <c r="K56" s="3" t="s">
        <v>312</v>
      </c>
      <c r="L56" s="3"/>
      <c r="M56" s="4"/>
      <c r="N56" s="3" t="s">
        <v>37</v>
      </c>
      <c r="O56" s="3" t="s">
        <v>52</v>
      </c>
      <c r="P56" s="5">
        <v>29</v>
      </c>
      <c r="Q56" s="5">
        <v>792</v>
      </c>
      <c r="R56" s="5">
        <v>29</v>
      </c>
      <c r="S56" s="5">
        <v>797</v>
      </c>
    </row>
    <row r="57" spans="1:19" ht="42" x14ac:dyDescent="0.15">
      <c r="A57" s="2">
        <f>HYPERLINK("https://open-school.uspishnemisto.com.ua/school/50055/", 50055)</f>
        <v>50055</v>
      </c>
      <c r="B57" s="3" t="s">
        <v>313</v>
      </c>
      <c r="C57" s="3" t="s">
        <v>54</v>
      </c>
      <c r="D57" s="3" t="s">
        <v>32</v>
      </c>
      <c r="E57" s="4" t="s">
        <v>22</v>
      </c>
      <c r="F57" s="4" t="s">
        <v>301</v>
      </c>
      <c r="G57" s="4" t="s">
        <v>302</v>
      </c>
      <c r="H57" s="3" t="s">
        <v>25</v>
      </c>
      <c r="I57" s="3" t="s">
        <v>303</v>
      </c>
      <c r="J57" s="3" t="s">
        <v>314</v>
      </c>
      <c r="K57" s="3" t="s">
        <v>315</v>
      </c>
      <c r="L57" s="3"/>
      <c r="M57" s="4"/>
      <c r="N57" s="3" t="s">
        <v>37</v>
      </c>
      <c r="O57" s="3" t="s">
        <v>52</v>
      </c>
      <c r="P57" s="5">
        <v>20</v>
      </c>
      <c r="Q57" s="5">
        <v>457</v>
      </c>
      <c r="R57" s="5">
        <v>20</v>
      </c>
      <c r="S57" s="5">
        <v>461</v>
      </c>
    </row>
    <row r="58" spans="1:19" ht="42" x14ac:dyDescent="0.15">
      <c r="A58" s="2">
        <f>HYPERLINK("https://open-school.uspishnemisto.com.ua/school/50056/", 50056)</f>
        <v>50056</v>
      </c>
      <c r="B58" s="3" t="s">
        <v>316</v>
      </c>
      <c r="C58" s="3" t="s">
        <v>54</v>
      </c>
      <c r="D58" s="3" t="s">
        <v>32</v>
      </c>
      <c r="E58" s="4" t="s">
        <v>22</v>
      </c>
      <c r="F58" s="4" t="s">
        <v>301</v>
      </c>
      <c r="G58" s="4" t="s">
        <v>302</v>
      </c>
      <c r="H58" s="3" t="s">
        <v>25</v>
      </c>
      <c r="I58" s="3" t="s">
        <v>303</v>
      </c>
      <c r="J58" s="3" t="s">
        <v>317</v>
      </c>
      <c r="K58" s="3" t="s">
        <v>318</v>
      </c>
      <c r="L58" s="3"/>
      <c r="M58" s="4"/>
      <c r="N58" s="3" t="s">
        <v>37</v>
      </c>
      <c r="O58" s="3" t="s">
        <v>52</v>
      </c>
      <c r="P58" s="5">
        <v>27</v>
      </c>
      <c r="Q58" s="5">
        <v>770</v>
      </c>
      <c r="R58" s="5">
        <v>29</v>
      </c>
      <c r="S58" s="5">
        <v>761</v>
      </c>
    </row>
    <row r="59" spans="1:19" ht="28" x14ac:dyDescent="0.15">
      <c r="A59" s="2">
        <f>HYPERLINK("https://open-school.uspishnemisto.com.ua/school/50057/", 50057)</f>
        <v>50057</v>
      </c>
      <c r="B59" s="3" t="s">
        <v>319</v>
      </c>
      <c r="C59" s="3" t="s">
        <v>31</v>
      </c>
      <c r="D59" s="3" t="s">
        <v>32</v>
      </c>
      <c r="E59" s="4" t="s">
        <v>22</v>
      </c>
      <c r="F59" s="4" t="s">
        <v>320</v>
      </c>
      <c r="G59" s="4" t="s">
        <v>321</v>
      </c>
      <c r="H59" s="3" t="s">
        <v>25</v>
      </c>
      <c r="I59" s="3" t="s">
        <v>322</v>
      </c>
      <c r="J59" s="3" t="s">
        <v>323</v>
      </c>
      <c r="K59" s="3" t="s">
        <v>324</v>
      </c>
      <c r="L59" s="3"/>
      <c r="M59" s="4"/>
      <c r="N59" s="3" t="s">
        <v>37</v>
      </c>
      <c r="O59" s="3" t="s">
        <v>266</v>
      </c>
      <c r="P59" s="5">
        <v>19</v>
      </c>
      <c r="Q59" s="5">
        <v>420</v>
      </c>
      <c r="R59" s="5">
        <v>19</v>
      </c>
      <c r="S59" s="5">
        <v>404</v>
      </c>
    </row>
    <row r="60" spans="1:19" ht="42" x14ac:dyDescent="0.15">
      <c r="A60" s="2">
        <f>HYPERLINK("https://open-school.uspishnemisto.com.ua/school/50058/", 50058)</f>
        <v>50058</v>
      </c>
      <c r="B60" s="3" t="s">
        <v>325</v>
      </c>
      <c r="C60" s="3" t="s">
        <v>54</v>
      </c>
      <c r="D60" s="3" t="s">
        <v>32</v>
      </c>
      <c r="E60" s="4" t="s">
        <v>22</v>
      </c>
      <c r="F60" s="4" t="s">
        <v>326</v>
      </c>
      <c r="G60" s="4" t="s">
        <v>321</v>
      </c>
      <c r="H60" s="3" t="s">
        <v>25</v>
      </c>
      <c r="I60" s="3" t="s">
        <v>322</v>
      </c>
      <c r="J60" s="3" t="s">
        <v>327</v>
      </c>
      <c r="K60" s="3" t="s">
        <v>328</v>
      </c>
      <c r="L60" s="3"/>
      <c r="M60" s="4"/>
      <c r="N60" s="3" t="s">
        <v>37</v>
      </c>
      <c r="O60" s="3" t="s">
        <v>38</v>
      </c>
      <c r="P60" s="5">
        <v>10</v>
      </c>
      <c r="Q60" s="5">
        <v>105</v>
      </c>
      <c r="R60" s="5">
        <v>9</v>
      </c>
      <c r="S60" s="5">
        <v>103</v>
      </c>
    </row>
    <row r="61" spans="1:19" ht="28" x14ac:dyDescent="0.15">
      <c r="A61" s="2">
        <f>HYPERLINK("https://open-school.uspishnemisto.com.ua/school/50059/", 50059)</f>
        <v>50059</v>
      </c>
      <c r="B61" s="3" t="s">
        <v>329</v>
      </c>
      <c r="C61" s="3" t="s">
        <v>31</v>
      </c>
      <c r="D61" s="3" t="s">
        <v>32</v>
      </c>
      <c r="E61" s="4" t="s">
        <v>22</v>
      </c>
      <c r="F61" s="4" t="s">
        <v>330</v>
      </c>
      <c r="G61" s="4" t="s">
        <v>321</v>
      </c>
      <c r="H61" s="3" t="s">
        <v>25</v>
      </c>
      <c r="I61" s="3" t="s">
        <v>322</v>
      </c>
      <c r="J61" s="3" t="s">
        <v>331</v>
      </c>
      <c r="K61" s="3"/>
      <c r="L61" s="3"/>
      <c r="M61" s="4"/>
      <c r="N61" s="3" t="s">
        <v>37</v>
      </c>
      <c r="O61" s="3" t="s">
        <v>38</v>
      </c>
      <c r="P61" s="5">
        <v>12</v>
      </c>
      <c r="Q61" s="5">
        <v>292</v>
      </c>
      <c r="R61" s="5">
        <v>11</v>
      </c>
      <c r="S61" s="5">
        <v>271</v>
      </c>
    </row>
    <row r="62" spans="1:19" ht="42" x14ac:dyDescent="0.15">
      <c r="A62" s="2">
        <f>HYPERLINK("https://open-school.uspishnemisto.com.ua/school/50060/", 50060)</f>
        <v>50060</v>
      </c>
      <c r="B62" s="3" t="s">
        <v>332</v>
      </c>
      <c r="C62" s="3" t="s">
        <v>54</v>
      </c>
      <c r="D62" s="3" t="s">
        <v>32</v>
      </c>
      <c r="E62" s="4" t="s">
        <v>22</v>
      </c>
      <c r="F62" s="4" t="s">
        <v>330</v>
      </c>
      <c r="G62" s="4" t="s">
        <v>321</v>
      </c>
      <c r="H62" s="3" t="s">
        <v>25</v>
      </c>
      <c r="I62" s="3" t="s">
        <v>322</v>
      </c>
      <c r="J62" s="3" t="s">
        <v>333</v>
      </c>
      <c r="K62" s="3" t="s">
        <v>334</v>
      </c>
      <c r="L62" s="3"/>
      <c r="M62" s="4"/>
      <c r="N62" s="3" t="s">
        <v>37</v>
      </c>
      <c r="O62" s="3" t="s">
        <v>266</v>
      </c>
      <c r="P62" s="5">
        <v>27</v>
      </c>
      <c r="Q62" s="5">
        <v>688</v>
      </c>
      <c r="R62" s="5">
        <v>26</v>
      </c>
      <c r="S62" s="5">
        <v>681</v>
      </c>
    </row>
    <row r="63" spans="1:19" ht="42" x14ac:dyDescent="0.15">
      <c r="A63" s="2">
        <f>HYPERLINK("https://open-school.uspishnemisto.com.ua/school/50061/", 50061)</f>
        <v>50061</v>
      </c>
      <c r="B63" s="3" t="s">
        <v>335</v>
      </c>
      <c r="C63" s="3" t="s">
        <v>31</v>
      </c>
      <c r="D63" s="3" t="s">
        <v>32</v>
      </c>
      <c r="E63" s="4" t="s">
        <v>22</v>
      </c>
      <c r="F63" s="4" t="s">
        <v>330</v>
      </c>
      <c r="G63" s="4" t="s">
        <v>321</v>
      </c>
      <c r="H63" s="3" t="s">
        <v>25</v>
      </c>
      <c r="I63" s="3" t="s">
        <v>322</v>
      </c>
      <c r="J63" s="3" t="s">
        <v>336</v>
      </c>
      <c r="K63" s="3" t="s">
        <v>337</v>
      </c>
      <c r="L63" s="3"/>
      <c r="M63" s="4"/>
      <c r="N63" s="3" t="s">
        <v>37</v>
      </c>
      <c r="O63" s="3" t="s">
        <v>38</v>
      </c>
      <c r="P63" s="5">
        <v>21</v>
      </c>
      <c r="Q63" s="5">
        <v>520</v>
      </c>
      <c r="R63" s="5">
        <v>20</v>
      </c>
      <c r="S63" s="5">
        <v>515</v>
      </c>
    </row>
    <row r="64" spans="1:19" ht="42" x14ac:dyDescent="0.15">
      <c r="A64" s="2">
        <f>HYPERLINK("https://open-school.uspishnemisto.com.ua/school/50062/", 50062)</f>
        <v>50062</v>
      </c>
      <c r="B64" s="3" t="s">
        <v>338</v>
      </c>
      <c r="C64" s="3" t="s">
        <v>244</v>
      </c>
      <c r="D64" s="3" t="s">
        <v>32</v>
      </c>
      <c r="E64" s="4" t="s">
        <v>22</v>
      </c>
      <c r="F64" s="4" t="s">
        <v>330</v>
      </c>
      <c r="G64" s="4" t="s">
        <v>321</v>
      </c>
      <c r="H64" s="3" t="s">
        <v>25</v>
      </c>
      <c r="I64" s="3" t="s">
        <v>322</v>
      </c>
      <c r="J64" s="3" t="s">
        <v>339</v>
      </c>
      <c r="K64" s="3" t="s">
        <v>340</v>
      </c>
      <c r="L64" s="3"/>
      <c r="M64" s="4"/>
      <c r="N64" s="3" t="s">
        <v>37</v>
      </c>
      <c r="O64" s="3" t="s">
        <v>237</v>
      </c>
      <c r="P64" s="5">
        <v>31</v>
      </c>
      <c r="Q64" s="5">
        <v>766</v>
      </c>
      <c r="R64" s="5">
        <v>30</v>
      </c>
      <c r="S64" s="5">
        <v>739</v>
      </c>
    </row>
    <row r="65" spans="1:19" ht="28" x14ac:dyDescent="0.15">
      <c r="A65" s="2">
        <f>HYPERLINK("https://open-school.uspishnemisto.com.ua/school/50063/", 50063)</f>
        <v>50063</v>
      </c>
      <c r="B65" s="3" t="s">
        <v>341</v>
      </c>
      <c r="C65" s="3" t="s">
        <v>31</v>
      </c>
      <c r="D65" s="3" t="s">
        <v>32</v>
      </c>
      <c r="E65" s="4" t="s">
        <v>22</v>
      </c>
      <c r="F65" s="4" t="s">
        <v>342</v>
      </c>
      <c r="G65" s="4" t="s">
        <v>343</v>
      </c>
      <c r="H65" s="3" t="s">
        <v>25</v>
      </c>
      <c r="I65" s="3" t="s">
        <v>344</v>
      </c>
      <c r="J65" s="3" t="s">
        <v>345</v>
      </c>
      <c r="K65" s="3"/>
      <c r="L65" s="3"/>
      <c r="M65" s="4"/>
      <c r="N65" s="3" t="s">
        <v>37</v>
      </c>
      <c r="O65" s="3" t="s">
        <v>70</v>
      </c>
      <c r="P65" s="5">
        <v>33</v>
      </c>
      <c r="Q65" s="5">
        <v>898</v>
      </c>
      <c r="R65" s="5">
        <v>33</v>
      </c>
      <c r="S65" s="5">
        <v>875</v>
      </c>
    </row>
    <row r="66" spans="1:19" ht="28" x14ac:dyDescent="0.15">
      <c r="A66" s="2">
        <f>HYPERLINK("https://open-school.uspishnemisto.com.ua/school/50064/", 50064)</f>
        <v>50064</v>
      </c>
      <c r="B66" s="3" t="s">
        <v>346</v>
      </c>
      <c r="C66" s="3" t="s">
        <v>31</v>
      </c>
      <c r="D66" s="3" t="s">
        <v>32</v>
      </c>
      <c r="E66" s="4" t="s">
        <v>22</v>
      </c>
      <c r="F66" s="4" t="s">
        <v>342</v>
      </c>
      <c r="G66" s="4" t="s">
        <v>343</v>
      </c>
      <c r="H66" s="3" t="s">
        <v>25</v>
      </c>
      <c r="I66" s="3" t="s">
        <v>344</v>
      </c>
      <c r="J66" s="3" t="s">
        <v>347</v>
      </c>
      <c r="K66" s="3" t="s">
        <v>348</v>
      </c>
      <c r="L66" s="3" t="s">
        <v>349</v>
      </c>
      <c r="M66" s="4"/>
      <c r="N66" s="3" t="s">
        <v>37</v>
      </c>
      <c r="O66" s="3" t="s">
        <v>38</v>
      </c>
      <c r="P66" s="5">
        <v>25</v>
      </c>
      <c r="Q66" s="5">
        <v>572</v>
      </c>
      <c r="R66" s="5">
        <v>25</v>
      </c>
      <c r="S66" s="5">
        <v>555</v>
      </c>
    </row>
    <row r="67" spans="1:19" ht="28" x14ac:dyDescent="0.15">
      <c r="A67" s="2">
        <f>HYPERLINK("https://open-school.uspishnemisto.com.ua/school/50065/", 50065)</f>
        <v>50065</v>
      </c>
      <c r="B67" s="3" t="s">
        <v>350</v>
      </c>
      <c r="C67" s="3" t="s">
        <v>31</v>
      </c>
      <c r="D67" s="3" t="s">
        <v>32</v>
      </c>
      <c r="E67" s="4" t="s">
        <v>22</v>
      </c>
      <c r="F67" s="4" t="s">
        <v>342</v>
      </c>
      <c r="G67" s="4" t="s">
        <v>343</v>
      </c>
      <c r="H67" s="3" t="s">
        <v>25</v>
      </c>
      <c r="I67" s="3" t="s">
        <v>344</v>
      </c>
      <c r="J67" s="3" t="s">
        <v>351</v>
      </c>
      <c r="K67" s="3" t="s">
        <v>352</v>
      </c>
      <c r="L67" s="3" t="s">
        <v>353</v>
      </c>
      <c r="M67" s="4"/>
      <c r="N67" s="3" t="s">
        <v>37</v>
      </c>
      <c r="O67" s="3" t="s">
        <v>70</v>
      </c>
      <c r="P67" s="5">
        <v>23</v>
      </c>
      <c r="Q67" s="5">
        <v>613</v>
      </c>
      <c r="R67" s="5">
        <v>22</v>
      </c>
      <c r="S67" s="5">
        <v>593</v>
      </c>
    </row>
    <row r="68" spans="1:19" ht="56" x14ac:dyDescent="0.15">
      <c r="A68" s="2">
        <f>HYPERLINK("https://open-school.uspishnemisto.com.ua/school/50066/", 50066)</f>
        <v>50066</v>
      </c>
      <c r="B68" s="3" t="s">
        <v>354</v>
      </c>
      <c r="C68" s="3" t="s">
        <v>54</v>
      </c>
      <c r="D68" s="3" t="s">
        <v>32</v>
      </c>
      <c r="E68" s="4" t="s">
        <v>22</v>
      </c>
      <c r="F68" s="4" t="s">
        <v>355</v>
      </c>
      <c r="G68" s="4" t="s">
        <v>343</v>
      </c>
      <c r="H68" s="3" t="s">
        <v>25</v>
      </c>
      <c r="I68" s="3" t="s">
        <v>344</v>
      </c>
      <c r="J68" s="3" t="s">
        <v>356</v>
      </c>
      <c r="K68" s="3" t="s">
        <v>357</v>
      </c>
      <c r="L68" s="3" t="s">
        <v>358</v>
      </c>
      <c r="M68" s="4"/>
      <c r="N68" s="3" t="s">
        <v>37</v>
      </c>
      <c r="O68" s="3" t="s">
        <v>52</v>
      </c>
      <c r="P68" s="5">
        <v>14</v>
      </c>
      <c r="Q68" s="5">
        <v>255</v>
      </c>
      <c r="R68" s="5">
        <v>13</v>
      </c>
      <c r="S68" s="5">
        <v>242</v>
      </c>
    </row>
    <row r="69" spans="1:19" ht="28" x14ac:dyDescent="0.15">
      <c r="A69" s="2">
        <f>HYPERLINK("https://open-school.uspishnemisto.com.ua/school/50067/", 50067)</f>
        <v>50067</v>
      </c>
      <c r="B69" s="3" t="s">
        <v>359</v>
      </c>
      <c r="C69" s="3" t="s">
        <v>54</v>
      </c>
      <c r="D69" s="3" t="s">
        <v>60</v>
      </c>
      <c r="E69" s="4" t="s">
        <v>22</v>
      </c>
      <c r="F69" s="4" t="s">
        <v>360</v>
      </c>
      <c r="G69" s="4" t="s">
        <v>361</v>
      </c>
      <c r="H69" s="3" t="s">
        <v>25</v>
      </c>
      <c r="I69" s="3" t="s">
        <v>362</v>
      </c>
      <c r="J69" s="3" t="s">
        <v>363</v>
      </c>
      <c r="K69" s="3" t="s">
        <v>364</v>
      </c>
      <c r="L69" s="3"/>
      <c r="M69" s="4"/>
      <c r="N69" s="3" t="s">
        <v>37</v>
      </c>
      <c r="O69" s="3" t="s">
        <v>52</v>
      </c>
      <c r="P69" s="5">
        <v>0</v>
      </c>
      <c r="Q69" s="5">
        <v>2</v>
      </c>
      <c r="R69" s="5">
        <v>0</v>
      </c>
      <c r="S69" s="5">
        <v>4</v>
      </c>
    </row>
    <row r="70" spans="1:19" ht="28" x14ac:dyDescent="0.15">
      <c r="A70" s="2">
        <f>HYPERLINK("https://open-school.uspishnemisto.com.ua/school/50068/", 50068)</f>
        <v>50068</v>
      </c>
      <c r="B70" s="3" t="s">
        <v>365</v>
      </c>
      <c r="C70" s="3" t="s">
        <v>31</v>
      </c>
      <c r="D70" s="3" t="s">
        <v>32</v>
      </c>
      <c r="E70" s="4" t="s">
        <v>22</v>
      </c>
      <c r="F70" s="4" t="s">
        <v>366</v>
      </c>
      <c r="G70" s="4" t="s">
        <v>367</v>
      </c>
      <c r="H70" s="3" t="s">
        <v>25</v>
      </c>
      <c r="I70" s="3" t="s">
        <v>368</v>
      </c>
      <c r="J70" s="3" t="s">
        <v>369</v>
      </c>
      <c r="K70" s="3" t="s">
        <v>370</v>
      </c>
      <c r="L70" s="3" t="s">
        <v>371</v>
      </c>
      <c r="M70" s="4"/>
      <c r="N70" s="3" t="s">
        <v>37</v>
      </c>
      <c r="O70" s="3" t="s">
        <v>38</v>
      </c>
      <c r="P70" s="5">
        <v>18</v>
      </c>
      <c r="Q70" s="5">
        <v>480</v>
      </c>
      <c r="R70" s="5">
        <v>18</v>
      </c>
      <c r="S70" s="5">
        <v>477</v>
      </c>
    </row>
    <row r="71" spans="1:19" ht="28" x14ac:dyDescent="0.15">
      <c r="A71" s="2">
        <f>HYPERLINK("https://open-school.uspishnemisto.com.ua/school/50069/", 50069)</f>
        <v>50069</v>
      </c>
      <c r="B71" s="3" t="s">
        <v>372</v>
      </c>
      <c r="C71" s="3" t="s">
        <v>31</v>
      </c>
      <c r="D71" s="3" t="s">
        <v>32</v>
      </c>
      <c r="E71" s="4" t="s">
        <v>22</v>
      </c>
      <c r="F71" s="4" t="s">
        <v>366</v>
      </c>
      <c r="G71" s="4" t="s">
        <v>367</v>
      </c>
      <c r="H71" s="3" t="s">
        <v>25</v>
      </c>
      <c r="I71" s="3" t="s">
        <v>368</v>
      </c>
      <c r="J71" s="3" t="s">
        <v>373</v>
      </c>
      <c r="K71" s="3" t="s">
        <v>374</v>
      </c>
      <c r="L71" s="3"/>
      <c r="M71" s="4"/>
      <c r="N71" s="3" t="s">
        <v>37</v>
      </c>
      <c r="O71" s="3" t="s">
        <v>266</v>
      </c>
      <c r="P71" s="5">
        <v>22</v>
      </c>
      <c r="Q71" s="5">
        <v>578</v>
      </c>
      <c r="R71" s="5">
        <v>22</v>
      </c>
      <c r="S71" s="5">
        <v>548</v>
      </c>
    </row>
    <row r="72" spans="1:19" ht="28" x14ac:dyDescent="0.15">
      <c r="A72" s="2">
        <f>HYPERLINK("https://open-school.uspishnemisto.com.ua/school/50070/", 50070)</f>
        <v>50070</v>
      </c>
      <c r="B72" s="3" t="s">
        <v>375</v>
      </c>
      <c r="C72" s="3" t="s">
        <v>31</v>
      </c>
      <c r="D72" s="3" t="s">
        <v>32</v>
      </c>
      <c r="E72" s="4" t="s">
        <v>22</v>
      </c>
      <c r="F72" s="4" t="s">
        <v>366</v>
      </c>
      <c r="G72" s="4" t="s">
        <v>367</v>
      </c>
      <c r="H72" s="3" t="s">
        <v>25</v>
      </c>
      <c r="I72" s="3" t="s">
        <v>368</v>
      </c>
      <c r="J72" s="3" t="s">
        <v>376</v>
      </c>
      <c r="K72" s="3" t="s">
        <v>377</v>
      </c>
      <c r="L72" s="3"/>
      <c r="M72" s="4"/>
      <c r="N72" s="3" t="s">
        <v>37</v>
      </c>
      <c r="O72" s="3" t="s">
        <v>70</v>
      </c>
      <c r="P72" s="5">
        <v>36</v>
      </c>
      <c r="Q72" s="5">
        <v>1046</v>
      </c>
      <c r="R72" s="5">
        <v>36</v>
      </c>
      <c r="S72" s="5">
        <v>1038</v>
      </c>
    </row>
    <row r="73" spans="1:19" ht="42" x14ac:dyDescent="0.15">
      <c r="A73" s="2">
        <f>HYPERLINK("https://open-school.uspishnemisto.com.ua/school/50071/", 50071)</f>
        <v>50071</v>
      </c>
      <c r="B73" s="3" t="s">
        <v>378</v>
      </c>
      <c r="C73" s="3" t="s">
        <v>54</v>
      </c>
      <c r="D73" s="3" t="s">
        <v>32</v>
      </c>
      <c r="E73" s="4" t="s">
        <v>22</v>
      </c>
      <c r="F73" s="4" t="s">
        <v>366</v>
      </c>
      <c r="G73" s="4" t="s">
        <v>367</v>
      </c>
      <c r="H73" s="3" t="s">
        <v>25</v>
      </c>
      <c r="I73" s="3" t="s">
        <v>368</v>
      </c>
      <c r="J73" s="3" t="s">
        <v>379</v>
      </c>
      <c r="K73" s="3" t="s">
        <v>380</v>
      </c>
      <c r="L73" s="3"/>
      <c r="M73" s="4"/>
      <c r="N73" s="3" t="s">
        <v>37</v>
      </c>
      <c r="O73" s="3" t="s">
        <v>129</v>
      </c>
      <c r="P73" s="5">
        <v>32</v>
      </c>
      <c r="Q73" s="5">
        <v>841</v>
      </c>
      <c r="R73" s="5">
        <v>30</v>
      </c>
      <c r="S73" s="5">
        <v>838</v>
      </c>
    </row>
    <row r="74" spans="1:19" ht="28" x14ac:dyDescent="0.15">
      <c r="A74" s="2">
        <f>HYPERLINK("https://open-school.uspishnemisto.com.ua/school/50072/", 50072)</f>
        <v>50072</v>
      </c>
      <c r="B74" s="3" t="s">
        <v>381</v>
      </c>
      <c r="C74" s="3" t="s">
        <v>31</v>
      </c>
      <c r="D74" s="3" t="s">
        <v>32</v>
      </c>
      <c r="E74" s="4" t="s">
        <v>22</v>
      </c>
      <c r="F74" s="4" t="s">
        <v>382</v>
      </c>
      <c r="G74" s="4" t="s">
        <v>383</v>
      </c>
      <c r="H74" s="3" t="s">
        <v>25</v>
      </c>
      <c r="I74" s="3" t="s">
        <v>384</v>
      </c>
      <c r="J74" s="3" t="s">
        <v>385</v>
      </c>
      <c r="K74" s="3" t="s">
        <v>386</v>
      </c>
      <c r="L74" s="3" t="s">
        <v>387</v>
      </c>
      <c r="M74" s="4"/>
      <c r="N74" s="3" t="s">
        <v>37</v>
      </c>
      <c r="O74" s="3" t="s">
        <v>52</v>
      </c>
      <c r="P74" s="5">
        <v>22</v>
      </c>
      <c r="Q74" s="5">
        <v>525</v>
      </c>
      <c r="R74" s="5">
        <v>22</v>
      </c>
      <c r="S74" s="5">
        <v>522</v>
      </c>
    </row>
    <row r="75" spans="1:19" ht="28" x14ac:dyDescent="0.15">
      <c r="A75" s="2">
        <f>HYPERLINK("https://open-school.uspishnemisto.com.ua/school/50073/", 50073)</f>
        <v>50073</v>
      </c>
      <c r="B75" s="3" t="s">
        <v>388</v>
      </c>
      <c r="C75" s="3" t="s">
        <v>31</v>
      </c>
      <c r="D75" s="3" t="s">
        <v>32</v>
      </c>
      <c r="E75" s="4" t="s">
        <v>22</v>
      </c>
      <c r="F75" s="4" t="s">
        <v>382</v>
      </c>
      <c r="G75" s="4" t="s">
        <v>383</v>
      </c>
      <c r="H75" s="3" t="s">
        <v>25</v>
      </c>
      <c r="I75" s="3" t="s">
        <v>384</v>
      </c>
      <c r="J75" s="3" t="s">
        <v>389</v>
      </c>
      <c r="K75" s="3" t="s">
        <v>390</v>
      </c>
      <c r="L75" s="3"/>
      <c r="M75" s="4"/>
      <c r="N75" s="3" t="s">
        <v>37</v>
      </c>
      <c r="O75" s="3" t="s">
        <v>52</v>
      </c>
      <c r="P75" s="5">
        <v>21</v>
      </c>
      <c r="Q75" s="5">
        <v>495</v>
      </c>
      <c r="R75" s="5">
        <v>21</v>
      </c>
      <c r="S75" s="5">
        <v>481</v>
      </c>
    </row>
    <row r="76" spans="1:19" ht="28" x14ac:dyDescent="0.15">
      <c r="A76" s="2">
        <f>HYPERLINK("https://open-school.uspishnemisto.com.ua/school/50074/", 50074)</f>
        <v>50074</v>
      </c>
      <c r="B76" s="3" t="s">
        <v>391</v>
      </c>
      <c r="C76" s="3" t="s">
        <v>31</v>
      </c>
      <c r="D76" s="3" t="s">
        <v>32</v>
      </c>
      <c r="E76" s="4" t="s">
        <v>22</v>
      </c>
      <c r="F76" s="4" t="s">
        <v>382</v>
      </c>
      <c r="G76" s="4" t="s">
        <v>383</v>
      </c>
      <c r="H76" s="3" t="s">
        <v>25</v>
      </c>
      <c r="I76" s="3" t="s">
        <v>384</v>
      </c>
      <c r="J76" s="3" t="s">
        <v>392</v>
      </c>
      <c r="K76" s="3" t="s">
        <v>393</v>
      </c>
      <c r="L76" s="3" t="s">
        <v>394</v>
      </c>
      <c r="M76" s="4"/>
      <c r="N76" s="3" t="s">
        <v>37</v>
      </c>
      <c r="O76" s="3" t="s">
        <v>52</v>
      </c>
      <c r="P76" s="5">
        <v>20</v>
      </c>
      <c r="Q76" s="5">
        <v>419</v>
      </c>
      <c r="R76" s="5">
        <v>20</v>
      </c>
      <c r="S76" s="5">
        <v>436</v>
      </c>
    </row>
    <row r="77" spans="1:19" ht="42" x14ac:dyDescent="0.15">
      <c r="A77" s="2">
        <f>HYPERLINK("https://open-school.uspishnemisto.com.ua/school/50075/", 50075)</f>
        <v>50075</v>
      </c>
      <c r="B77" s="3" t="s">
        <v>395</v>
      </c>
      <c r="C77" s="3" t="s">
        <v>54</v>
      </c>
      <c r="D77" s="3" t="s">
        <v>32</v>
      </c>
      <c r="E77" s="4" t="s">
        <v>22</v>
      </c>
      <c r="F77" s="4" t="s">
        <v>382</v>
      </c>
      <c r="G77" s="4" t="s">
        <v>383</v>
      </c>
      <c r="H77" s="3" t="s">
        <v>25</v>
      </c>
      <c r="I77" s="3" t="s">
        <v>384</v>
      </c>
      <c r="J77" s="3" t="s">
        <v>396</v>
      </c>
      <c r="K77" s="3" t="s">
        <v>397</v>
      </c>
      <c r="L77" s="3"/>
      <c r="M77" s="4"/>
      <c r="N77" s="3" t="s">
        <v>37</v>
      </c>
      <c r="O77" s="3" t="s">
        <v>129</v>
      </c>
      <c r="P77" s="5">
        <v>28</v>
      </c>
      <c r="Q77" s="5">
        <v>740</v>
      </c>
      <c r="R77" s="5">
        <v>28</v>
      </c>
      <c r="S77" s="5">
        <v>670</v>
      </c>
    </row>
    <row r="78" spans="1:19" ht="42" x14ac:dyDescent="0.15">
      <c r="A78" s="2">
        <f>HYPERLINK("https://open-school.uspishnemisto.com.ua/school/50076/", 50076)</f>
        <v>50076</v>
      </c>
      <c r="B78" s="3" t="s">
        <v>398</v>
      </c>
      <c r="C78" s="3" t="s">
        <v>48</v>
      </c>
      <c r="D78" s="3" t="s">
        <v>21</v>
      </c>
      <c r="E78" s="4" t="s">
        <v>22</v>
      </c>
      <c r="F78" s="4" t="s">
        <v>382</v>
      </c>
      <c r="G78" s="4" t="s">
        <v>383</v>
      </c>
      <c r="H78" s="3" t="s">
        <v>25</v>
      </c>
      <c r="I78" s="3" t="s">
        <v>384</v>
      </c>
      <c r="J78" s="3" t="s">
        <v>399</v>
      </c>
      <c r="K78" s="3" t="s">
        <v>400</v>
      </c>
      <c r="L78" s="3" t="s">
        <v>401</v>
      </c>
      <c r="M78" s="4"/>
      <c r="N78" s="3" t="s">
        <v>37</v>
      </c>
      <c r="O78" s="3" t="s">
        <v>46</v>
      </c>
      <c r="P78" s="5">
        <v>4</v>
      </c>
      <c r="Q78" s="5">
        <v>80</v>
      </c>
      <c r="R78" s="5">
        <v>4</v>
      </c>
      <c r="S78" s="5">
        <v>85</v>
      </c>
    </row>
    <row r="79" spans="1:19" ht="28" x14ac:dyDescent="0.15">
      <c r="A79" s="2">
        <f>HYPERLINK("https://open-school.uspishnemisto.com.ua/school/50077/", 50077)</f>
        <v>50077</v>
      </c>
      <c r="B79" s="3" t="s">
        <v>402</v>
      </c>
      <c r="C79" s="3" t="s">
        <v>31</v>
      </c>
      <c r="D79" s="3" t="s">
        <v>32</v>
      </c>
      <c r="E79" s="4" t="s">
        <v>22</v>
      </c>
      <c r="F79" s="4" t="s">
        <v>403</v>
      </c>
      <c r="G79" s="4" t="s">
        <v>404</v>
      </c>
      <c r="H79" s="3" t="s">
        <v>25</v>
      </c>
      <c r="I79" s="3" t="s">
        <v>405</v>
      </c>
      <c r="J79" s="3" t="s">
        <v>406</v>
      </c>
      <c r="K79" s="3" t="s">
        <v>407</v>
      </c>
      <c r="L79" s="3" t="s">
        <v>408</v>
      </c>
      <c r="M79" s="4"/>
      <c r="N79" s="3" t="s">
        <v>37</v>
      </c>
      <c r="O79" s="3" t="s">
        <v>46</v>
      </c>
      <c r="P79" s="5">
        <v>16</v>
      </c>
      <c r="Q79" s="5">
        <v>304</v>
      </c>
      <c r="R79" s="5">
        <v>14</v>
      </c>
      <c r="S79" s="5">
        <v>306</v>
      </c>
    </row>
    <row r="80" spans="1:19" ht="42" x14ac:dyDescent="0.15">
      <c r="A80" s="2">
        <f>HYPERLINK("https://open-school.uspishnemisto.com.ua/school/50078/", 50078)</f>
        <v>50078</v>
      </c>
      <c r="B80" s="3" t="s">
        <v>409</v>
      </c>
      <c r="C80" s="3" t="s">
        <v>54</v>
      </c>
      <c r="D80" s="3" t="s">
        <v>60</v>
      </c>
      <c r="E80" s="4" t="s">
        <v>22</v>
      </c>
      <c r="F80" s="4" t="s">
        <v>410</v>
      </c>
      <c r="G80" s="4" t="s">
        <v>411</v>
      </c>
      <c r="H80" s="3" t="s">
        <v>25</v>
      </c>
      <c r="I80" s="3" t="s">
        <v>412</v>
      </c>
      <c r="J80" s="3" t="s">
        <v>413</v>
      </c>
      <c r="K80" s="3" t="s">
        <v>414</v>
      </c>
      <c r="L80" s="3"/>
      <c r="M80" s="4"/>
      <c r="N80" s="3" t="s">
        <v>37</v>
      </c>
      <c r="O80" s="3" t="s">
        <v>52</v>
      </c>
      <c r="P80" s="5">
        <v>1</v>
      </c>
      <c r="Q80" s="5">
        <v>11</v>
      </c>
      <c r="R80" s="5">
        <v>2</v>
      </c>
      <c r="S80" s="5">
        <v>15</v>
      </c>
    </row>
    <row r="81" spans="1:19" ht="28" x14ac:dyDescent="0.15">
      <c r="A81" s="2">
        <f>HYPERLINK("https://open-school.uspishnemisto.com.ua/school/50079/", 50079)</f>
        <v>50079</v>
      </c>
      <c r="B81" s="3" t="s">
        <v>415</v>
      </c>
      <c r="C81" s="3" t="s">
        <v>54</v>
      </c>
      <c r="D81" s="3" t="s">
        <v>175</v>
      </c>
      <c r="E81" s="4" t="s">
        <v>22</v>
      </c>
      <c r="F81" s="4" t="s">
        <v>416</v>
      </c>
      <c r="G81" s="4" t="s">
        <v>417</v>
      </c>
      <c r="H81" s="3" t="s">
        <v>25</v>
      </c>
      <c r="I81" s="3" t="s">
        <v>418</v>
      </c>
      <c r="J81" s="3" t="s">
        <v>419</v>
      </c>
      <c r="K81" s="3" t="s">
        <v>420</v>
      </c>
      <c r="L81" s="3" t="s">
        <v>421</v>
      </c>
      <c r="M81" s="4"/>
      <c r="N81" s="3" t="s">
        <v>37</v>
      </c>
      <c r="O81" s="3" t="s">
        <v>38</v>
      </c>
      <c r="P81" s="5">
        <v>9</v>
      </c>
      <c r="Q81" s="5">
        <v>137</v>
      </c>
      <c r="R81" s="5">
        <v>9</v>
      </c>
      <c r="S81" s="5">
        <v>138</v>
      </c>
    </row>
    <row r="82" spans="1:19" ht="28" x14ac:dyDescent="0.15">
      <c r="A82" s="2">
        <f>HYPERLINK("https://open-school.uspishnemisto.com.ua/school/50080/", 50080)</f>
        <v>50080</v>
      </c>
      <c r="B82" s="3" t="s">
        <v>422</v>
      </c>
      <c r="C82" s="3" t="s">
        <v>54</v>
      </c>
      <c r="D82" s="3" t="s">
        <v>60</v>
      </c>
      <c r="E82" s="4" t="s">
        <v>22</v>
      </c>
      <c r="F82" s="4" t="s">
        <v>423</v>
      </c>
      <c r="G82" s="4" t="s">
        <v>424</v>
      </c>
      <c r="H82" s="3" t="s">
        <v>25</v>
      </c>
      <c r="I82" s="3" t="s">
        <v>425</v>
      </c>
      <c r="J82" s="3" t="s">
        <v>426</v>
      </c>
      <c r="K82" s="3" t="s">
        <v>427</v>
      </c>
      <c r="L82" s="3"/>
      <c r="M82" s="4"/>
      <c r="N82" s="3" t="s">
        <v>37</v>
      </c>
      <c r="O82" s="3" t="s">
        <v>52</v>
      </c>
      <c r="P82" s="5">
        <v>4</v>
      </c>
      <c r="Q82" s="5">
        <v>59</v>
      </c>
      <c r="R82" s="5">
        <v>4</v>
      </c>
      <c r="S82" s="5">
        <v>59</v>
      </c>
    </row>
    <row r="83" spans="1:19" ht="28" x14ac:dyDescent="0.15">
      <c r="A83" s="2">
        <f>HYPERLINK("https://open-school.uspishnemisto.com.ua/school/50081/", 50081)</f>
        <v>50081</v>
      </c>
      <c r="B83" s="3" t="s">
        <v>428</v>
      </c>
      <c r="C83" s="3" t="s">
        <v>31</v>
      </c>
      <c r="D83" s="3" t="s">
        <v>32</v>
      </c>
      <c r="E83" s="4" t="s">
        <v>22</v>
      </c>
      <c r="F83" s="4"/>
      <c r="G83" s="4" t="s">
        <v>429</v>
      </c>
      <c r="H83" s="3" t="s">
        <v>25</v>
      </c>
      <c r="I83" s="3" t="s">
        <v>430</v>
      </c>
      <c r="J83" s="3" t="s">
        <v>431</v>
      </c>
      <c r="K83" s="3"/>
      <c r="L83" s="3"/>
      <c r="M83" s="4"/>
      <c r="N83" s="3" t="s">
        <v>37</v>
      </c>
      <c r="O83" s="3" t="s">
        <v>70</v>
      </c>
      <c r="P83" s="5">
        <v>11</v>
      </c>
      <c r="Q83" s="5">
        <v>90</v>
      </c>
      <c r="R83" s="5">
        <v>11</v>
      </c>
      <c r="S83" s="5">
        <v>86</v>
      </c>
    </row>
    <row r="84" spans="1:19" ht="28" x14ac:dyDescent="0.15">
      <c r="A84" s="2">
        <f>HYPERLINK("https://open-school.uspishnemisto.com.ua/school/50082/", 50082)</f>
        <v>50082</v>
      </c>
      <c r="B84" s="3" t="s">
        <v>432</v>
      </c>
      <c r="C84" s="3" t="s">
        <v>31</v>
      </c>
      <c r="D84" s="3" t="s">
        <v>32</v>
      </c>
      <c r="E84" s="4" t="s">
        <v>22</v>
      </c>
      <c r="F84" s="4" t="s">
        <v>433</v>
      </c>
      <c r="G84" s="4" t="s">
        <v>434</v>
      </c>
      <c r="H84" s="3" t="s">
        <v>25</v>
      </c>
      <c r="I84" s="3" t="s">
        <v>435</v>
      </c>
      <c r="J84" s="3" t="s">
        <v>436</v>
      </c>
      <c r="K84" s="3" t="s">
        <v>437</v>
      </c>
      <c r="L84" s="3"/>
      <c r="M84" s="4"/>
      <c r="N84" s="3" t="s">
        <v>37</v>
      </c>
      <c r="O84" s="3" t="s">
        <v>38</v>
      </c>
      <c r="P84" s="5">
        <v>23</v>
      </c>
      <c r="Q84" s="5">
        <v>398</v>
      </c>
      <c r="R84" s="5">
        <v>23</v>
      </c>
      <c r="S84" s="5">
        <v>391</v>
      </c>
    </row>
    <row r="85" spans="1:19" ht="28" x14ac:dyDescent="0.15">
      <c r="A85" s="2">
        <f>HYPERLINK("https://open-school.uspishnemisto.com.ua/school/50083/", 50083)</f>
        <v>50083</v>
      </c>
      <c r="B85" s="3" t="s">
        <v>438</v>
      </c>
      <c r="C85" s="3" t="s">
        <v>54</v>
      </c>
      <c r="D85" s="3" t="s">
        <v>60</v>
      </c>
      <c r="E85" s="4" t="s">
        <v>22</v>
      </c>
      <c r="F85" s="4"/>
      <c r="G85" s="4" t="s">
        <v>439</v>
      </c>
      <c r="H85" s="3" t="s">
        <v>25</v>
      </c>
      <c r="I85" s="3" t="s">
        <v>440</v>
      </c>
      <c r="J85" s="3" t="s">
        <v>441</v>
      </c>
      <c r="K85" s="3" t="s">
        <v>442</v>
      </c>
      <c r="L85" s="3"/>
      <c r="M85" s="4"/>
      <c r="N85" s="3" t="s">
        <v>37</v>
      </c>
      <c r="O85" s="3" t="s">
        <v>52</v>
      </c>
      <c r="P85" s="5">
        <v>2</v>
      </c>
      <c r="Q85" s="5">
        <v>18</v>
      </c>
      <c r="R85" s="5">
        <v>2</v>
      </c>
      <c r="S85" s="5">
        <v>18</v>
      </c>
    </row>
    <row r="86" spans="1:19" ht="28" x14ac:dyDescent="0.15">
      <c r="A86" s="2">
        <f>HYPERLINK("https://open-school.uspishnemisto.com.ua/school/50084/", 50084)</f>
        <v>50084</v>
      </c>
      <c r="B86" s="3" t="s">
        <v>443</v>
      </c>
      <c r="C86" s="3" t="s">
        <v>54</v>
      </c>
      <c r="D86" s="3" t="s">
        <v>175</v>
      </c>
      <c r="E86" s="4" t="s">
        <v>22</v>
      </c>
      <c r="F86" s="4" t="s">
        <v>444</v>
      </c>
      <c r="G86" s="4" t="s">
        <v>445</v>
      </c>
      <c r="H86" s="3" t="s">
        <v>25</v>
      </c>
      <c r="I86" s="3" t="s">
        <v>446</v>
      </c>
      <c r="J86" s="3" t="s">
        <v>447</v>
      </c>
      <c r="K86" s="3" t="s">
        <v>448</v>
      </c>
      <c r="L86" s="3" t="s">
        <v>449</v>
      </c>
      <c r="M86" s="4"/>
      <c r="N86" s="3" t="s">
        <v>37</v>
      </c>
      <c r="O86" s="3" t="s">
        <v>52</v>
      </c>
      <c r="P86" s="5">
        <v>8</v>
      </c>
      <c r="Q86" s="5">
        <v>75</v>
      </c>
      <c r="R86" s="5">
        <v>8</v>
      </c>
      <c r="S86" s="5">
        <v>76</v>
      </c>
    </row>
    <row r="87" spans="1:19" ht="28" x14ac:dyDescent="0.15">
      <c r="A87" s="2">
        <f>HYPERLINK("https://open-school.uspishnemisto.com.ua/school/50085/", 50085)</f>
        <v>50085</v>
      </c>
      <c r="B87" s="3" t="s">
        <v>450</v>
      </c>
      <c r="C87" s="3" t="s">
        <v>31</v>
      </c>
      <c r="D87" s="3" t="s">
        <v>175</v>
      </c>
      <c r="E87" s="4" t="s">
        <v>22</v>
      </c>
      <c r="F87" s="4" t="s">
        <v>451</v>
      </c>
      <c r="G87" s="4" t="s">
        <v>452</v>
      </c>
      <c r="H87" s="3" t="s">
        <v>25</v>
      </c>
      <c r="I87" s="3" t="s">
        <v>453</v>
      </c>
      <c r="J87" s="3" t="s">
        <v>454</v>
      </c>
      <c r="K87" s="3" t="s">
        <v>455</v>
      </c>
      <c r="L87" s="3" t="s">
        <v>456</v>
      </c>
      <c r="M87" s="4"/>
      <c r="N87" s="3" t="s">
        <v>37</v>
      </c>
      <c r="O87" s="3" t="s">
        <v>38</v>
      </c>
      <c r="P87" s="5">
        <v>9</v>
      </c>
      <c r="Q87" s="5">
        <v>97</v>
      </c>
      <c r="R87" s="5">
        <v>9</v>
      </c>
      <c r="S87" s="5">
        <v>104</v>
      </c>
    </row>
    <row r="88" spans="1:19" ht="28" x14ac:dyDescent="0.15">
      <c r="A88" s="2">
        <f>HYPERLINK("https://open-school.uspishnemisto.com.ua/school/50086/", 50086)</f>
        <v>50086</v>
      </c>
      <c r="B88" s="3" t="s">
        <v>457</v>
      </c>
      <c r="C88" s="3" t="s">
        <v>31</v>
      </c>
      <c r="D88" s="3" t="s">
        <v>175</v>
      </c>
      <c r="E88" s="4" t="s">
        <v>22</v>
      </c>
      <c r="F88" s="4" t="s">
        <v>458</v>
      </c>
      <c r="G88" s="4" t="s">
        <v>459</v>
      </c>
      <c r="H88" s="3" t="s">
        <v>25</v>
      </c>
      <c r="I88" s="3" t="s">
        <v>460</v>
      </c>
      <c r="J88" s="3" t="s">
        <v>447</v>
      </c>
      <c r="K88" s="3" t="s">
        <v>461</v>
      </c>
      <c r="L88" s="3"/>
      <c r="M88" s="4"/>
      <c r="N88" s="3" t="s">
        <v>37</v>
      </c>
      <c r="O88" s="3" t="s">
        <v>38</v>
      </c>
      <c r="P88" s="5">
        <v>8</v>
      </c>
      <c r="Q88" s="5">
        <v>74</v>
      </c>
      <c r="R88" s="5">
        <v>8</v>
      </c>
      <c r="S88" s="5">
        <v>72</v>
      </c>
    </row>
    <row r="89" spans="1:19" ht="28" x14ac:dyDescent="0.15">
      <c r="A89" s="2">
        <f>HYPERLINK("https://open-school.uspishnemisto.com.ua/school/50087/", 50087)</f>
        <v>50087</v>
      </c>
      <c r="B89" s="3" t="s">
        <v>462</v>
      </c>
      <c r="C89" s="3" t="s">
        <v>31</v>
      </c>
      <c r="D89" s="3" t="s">
        <v>175</v>
      </c>
      <c r="E89" s="4" t="s">
        <v>22</v>
      </c>
      <c r="F89" s="4" t="s">
        <v>463</v>
      </c>
      <c r="G89" s="4" t="s">
        <v>464</v>
      </c>
      <c r="H89" s="3" t="s">
        <v>25</v>
      </c>
      <c r="I89" s="3" t="s">
        <v>465</v>
      </c>
      <c r="J89" s="3" t="s">
        <v>466</v>
      </c>
      <c r="K89" s="3" t="s">
        <v>467</v>
      </c>
      <c r="L89" s="3"/>
      <c r="M89" s="4"/>
      <c r="N89" s="3" t="s">
        <v>37</v>
      </c>
      <c r="O89" s="3" t="s">
        <v>38</v>
      </c>
      <c r="P89" s="5">
        <v>9</v>
      </c>
      <c r="Q89" s="5">
        <v>68</v>
      </c>
      <c r="R89" s="5">
        <v>9</v>
      </c>
      <c r="S89" s="5">
        <v>65</v>
      </c>
    </row>
    <row r="90" spans="1:19" ht="28" x14ac:dyDescent="0.15">
      <c r="A90" s="2">
        <f>HYPERLINK("https://open-school.uspishnemisto.com.ua/school/50088/", 50088)</f>
        <v>50088</v>
      </c>
      <c r="B90" s="3" t="s">
        <v>468</v>
      </c>
      <c r="C90" s="3" t="s">
        <v>54</v>
      </c>
      <c r="D90" s="3" t="s">
        <v>175</v>
      </c>
      <c r="E90" s="4" t="s">
        <v>22</v>
      </c>
      <c r="F90" s="4" t="s">
        <v>469</v>
      </c>
      <c r="G90" s="4" t="s">
        <v>470</v>
      </c>
      <c r="H90" s="3" t="s">
        <v>25</v>
      </c>
      <c r="I90" s="3" t="s">
        <v>471</v>
      </c>
      <c r="J90" s="3" t="s">
        <v>472</v>
      </c>
      <c r="K90" s="3" t="s">
        <v>473</v>
      </c>
      <c r="L90" s="3" t="s">
        <v>474</v>
      </c>
      <c r="M90" s="4"/>
      <c r="N90" s="3" t="s">
        <v>37</v>
      </c>
      <c r="O90" s="3" t="s">
        <v>52</v>
      </c>
      <c r="P90" s="5">
        <v>6</v>
      </c>
      <c r="Q90" s="5">
        <v>58</v>
      </c>
      <c r="R90" s="5">
        <v>6</v>
      </c>
      <c r="S90" s="5">
        <v>55</v>
      </c>
    </row>
    <row r="91" spans="1:19" ht="28" x14ac:dyDescent="0.15">
      <c r="A91" s="2">
        <f>HYPERLINK("https://open-school.uspishnemisto.com.ua/school/50089/", 50089)</f>
        <v>50089</v>
      </c>
      <c r="B91" s="3" t="s">
        <v>475</v>
      </c>
      <c r="C91" s="3" t="s">
        <v>31</v>
      </c>
      <c r="D91" s="3" t="s">
        <v>175</v>
      </c>
      <c r="E91" s="4" t="s">
        <v>22</v>
      </c>
      <c r="F91" s="4" t="s">
        <v>476</v>
      </c>
      <c r="G91" s="4" t="s">
        <v>477</v>
      </c>
      <c r="H91" s="3" t="s">
        <v>25</v>
      </c>
      <c r="I91" s="3" t="s">
        <v>478</v>
      </c>
      <c r="J91" s="3" t="s">
        <v>479</v>
      </c>
      <c r="K91" s="3" t="s">
        <v>480</v>
      </c>
      <c r="L91" s="3"/>
      <c r="M91" s="4"/>
      <c r="N91" s="3" t="s">
        <v>37</v>
      </c>
      <c r="O91" s="3" t="s">
        <v>46</v>
      </c>
      <c r="P91" s="5">
        <v>9</v>
      </c>
      <c r="Q91" s="5">
        <v>89</v>
      </c>
      <c r="R91" s="5">
        <v>9</v>
      </c>
      <c r="S91" s="5">
        <v>93</v>
      </c>
    </row>
    <row r="92" spans="1:19" ht="28" x14ac:dyDescent="0.15">
      <c r="A92" s="2">
        <f>HYPERLINK("https://open-school.uspishnemisto.com.ua/school/50090/", 50090)</f>
        <v>50090</v>
      </c>
      <c r="B92" s="3" t="s">
        <v>481</v>
      </c>
      <c r="C92" s="3" t="s">
        <v>31</v>
      </c>
      <c r="D92" s="3" t="s">
        <v>32</v>
      </c>
      <c r="E92" s="4" t="s">
        <v>22</v>
      </c>
      <c r="F92" s="4" t="s">
        <v>482</v>
      </c>
      <c r="G92" s="4" t="s">
        <v>483</v>
      </c>
      <c r="H92" s="3" t="s">
        <v>25</v>
      </c>
      <c r="I92" s="3" t="s">
        <v>484</v>
      </c>
      <c r="J92" s="3" t="s">
        <v>466</v>
      </c>
      <c r="K92" s="3" t="s">
        <v>485</v>
      </c>
      <c r="L92" s="3" t="s">
        <v>486</v>
      </c>
      <c r="M92" s="4"/>
      <c r="N92" s="3" t="s">
        <v>37</v>
      </c>
      <c r="O92" s="3" t="s">
        <v>46</v>
      </c>
      <c r="P92" s="5">
        <v>11</v>
      </c>
      <c r="Q92" s="5">
        <v>90</v>
      </c>
      <c r="R92" s="5">
        <v>11</v>
      </c>
      <c r="S92" s="5">
        <v>76</v>
      </c>
    </row>
    <row r="93" spans="1:19" ht="28" x14ac:dyDescent="0.15">
      <c r="A93" s="2">
        <f>HYPERLINK("https://open-school.uspishnemisto.com.ua/school/50091/", 50091)</f>
        <v>50091</v>
      </c>
      <c r="B93" s="3" t="s">
        <v>487</v>
      </c>
      <c r="C93" s="3" t="s">
        <v>31</v>
      </c>
      <c r="D93" s="3" t="s">
        <v>32</v>
      </c>
      <c r="E93" s="4" t="s">
        <v>22</v>
      </c>
      <c r="F93" s="4" t="s">
        <v>488</v>
      </c>
      <c r="G93" s="4" t="s">
        <v>489</v>
      </c>
      <c r="H93" s="3" t="s">
        <v>25</v>
      </c>
      <c r="I93" s="3" t="s">
        <v>490</v>
      </c>
      <c r="J93" s="3" t="s">
        <v>491</v>
      </c>
      <c r="K93" s="3" t="s">
        <v>492</v>
      </c>
      <c r="L93" s="3"/>
      <c r="M93" s="4"/>
      <c r="N93" s="3" t="s">
        <v>37</v>
      </c>
      <c r="O93" s="3" t="s">
        <v>38</v>
      </c>
      <c r="P93" s="5">
        <v>10</v>
      </c>
      <c r="Q93" s="5">
        <v>78</v>
      </c>
      <c r="R93" s="5">
        <v>10</v>
      </c>
      <c r="S93" s="5">
        <v>77</v>
      </c>
    </row>
    <row r="94" spans="1:19" ht="42" x14ac:dyDescent="0.15">
      <c r="A94" s="2">
        <f>HYPERLINK("https://open-school.uspishnemisto.com.ua/school/50092/", 50092)</f>
        <v>50092</v>
      </c>
      <c r="B94" s="3" t="s">
        <v>493</v>
      </c>
      <c r="C94" s="3" t="s">
        <v>31</v>
      </c>
      <c r="D94" s="3" t="s">
        <v>175</v>
      </c>
      <c r="E94" s="4" t="s">
        <v>22</v>
      </c>
      <c r="F94" s="4" t="s">
        <v>494</v>
      </c>
      <c r="G94" s="4" t="s">
        <v>495</v>
      </c>
      <c r="H94" s="3" t="s">
        <v>25</v>
      </c>
      <c r="I94" s="3" t="s">
        <v>496</v>
      </c>
      <c r="J94" s="3" t="s">
        <v>497</v>
      </c>
      <c r="K94" s="3"/>
      <c r="L94" s="3"/>
      <c r="M94" s="4"/>
      <c r="N94" s="3" t="s">
        <v>37</v>
      </c>
      <c r="O94" s="3" t="s">
        <v>46</v>
      </c>
      <c r="P94" s="5">
        <v>7</v>
      </c>
      <c r="Q94" s="5">
        <v>73</v>
      </c>
      <c r="R94" s="5">
        <v>7</v>
      </c>
      <c r="S94" s="5">
        <v>66</v>
      </c>
    </row>
    <row r="95" spans="1:19" ht="28" x14ac:dyDescent="0.15">
      <c r="A95" s="2">
        <f>HYPERLINK("https://open-school.uspishnemisto.com.ua/school/50093/", 50093)</f>
        <v>50093</v>
      </c>
      <c r="B95" s="3" t="s">
        <v>498</v>
      </c>
      <c r="C95" s="3" t="s">
        <v>31</v>
      </c>
      <c r="D95" s="3" t="s">
        <v>60</v>
      </c>
      <c r="E95" s="4" t="s">
        <v>22</v>
      </c>
      <c r="F95" s="4" t="s">
        <v>382</v>
      </c>
      <c r="G95" s="4" t="s">
        <v>499</v>
      </c>
      <c r="H95" s="3" t="s">
        <v>25</v>
      </c>
      <c r="I95" s="3" t="s">
        <v>500</v>
      </c>
      <c r="J95" s="3" t="s">
        <v>501</v>
      </c>
      <c r="K95" s="3" t="s">
        <v>502</v>
      </c>
      <c r="L95" s="3"/>
      <c r="M95" s="4"/>
      <c r="N95" s="3" t="s">
        <v>37</v>
      </c>
      <c r="O95" s="3" t="s">
        <v>52</v>
      </c>
      <c r="P95" s="5">
        <v>3</v>
      </c>
      <c r="Q95" s="5">
        <v>21</v>
      </c>
      <c r="R95" s="5">
        <v>3</v>
      </c>
      <c r="S95" s="5">
        <v>21</v>
      </c>
    </row>
    <row r="96" spans="1:19" ht="28" x14ac:dyDescent="0.15">
      <c r="A96" s="2">
        <f>HYPERLINK("https://open-school.uspishnemisto.com.ua/school/50094/", 50094)</f>
        <v>50094</v>
      </c>
      <c r="B96" s="3" t="s">
        <v>503</v>
      </c>
      <c r="C96" s="3" t="s">
        <v>54</v>
      </c>
      <c r="D96" s="3" t="s">
        <v>32</v>
      </c>
      <c r="E96" s="4" t="s">
        <v>22</v>
      </c>
      <c r="F96" s="4" t="s">
        <v>504</v>
      </c>
      <c r="G96" s="4" t="s">
        <v>505</v>
      </c>
      <c r="H96" s="3" t="s">
        <v>25</v>
      </c>
      <c r="I96" s="3" t="s">
        <v>506</v>
      </c>
      <c r="J96" s="3" t="s">
        <v>507</v>
      </c>
      <c r="K96" s="3" t="s">
        <v>508</v>
      </c>
      <c r="L96" s="3"/>
      <c r="M96" s="4"/>
      <c r="N96" s="3" t="s">
        <v>37</v>
      </c>
      <c r="O96" s="3" t="s">
        <v>52</v>
      </c>
      <c r="P96" s="5">
        <v>11</v>
      </c>
      <c r="Q96" s="5">
        <v>117</v>
      </c>
      <c r="R96" s="5">
        <v>11</v>
      </c>
      <c r="S96" s="5">
        <v>132</v>
      </c>
    </row>
    <row r="97" spans="1:19" ht="42" x14ac:dyDescent="0.15">
      <c r="A97" s="2">
        <f>HYPERLINK("https://open-school.uspishnemisto.com.ua/school/50095/", 50095)</f>
        <v>50095</v>
      </c>
      <c r="B97" s="3" t="s">
        <v>509</v>
      </c>
      <c r="C97" s="3" t="s">
        <v>54</v>
      </c>
      <c r="D97" s="3" t="s">
        <v>175</v>
      </c>
      <c r="E97" s="4" t="s">
        <v>22</v>
      </c>
      <c r="F97" s="4" t="s">
        <v>510</v>
      </c>
      <c r="G97" s="4" t="s">
        <v>511</v>
      </c>
      <c r="H97" s="3" t="s">
        <v>25</v>
      </c>
      <c r="I97" s="3" t="s">
        <v>512</v>
      </c>
      <c r="J97" s="3" t="s">
        <v>513</v>
      </c>
      <c r="K97" s="3" t="s">
        <v>514</v>
      </c>
      <c r="L97" s="3"/>
      <c r="M97" s="4"/>
      <c r="N97" s="3" t="s">
        <v>37</v>
      </c>
      <c r="O97" s="3" t="s">
        <v>515</v>
      </c>
      <c r="P97" s="5">
        <v>8</v>
      </c>
      <c r="Q97" s="5">
        <v>64</v>
      </c>
      <c r="R97" s="5">
        <v>9</v>
      </c>
      <c r="S97" s="5">
        <v>64</v>
      </c>
    </row>
    <row r="98" spans="1:19" ht="28" x14ac:dyDescent="0.15">
      <c r="A98" s="2">
        <f>HYPERLINK("https://open-school.uspishnemisto.com.ua/school/50096/", 50096)</f>
        <v>50096</v>
      </c>
      <c r="B98" s="3" t="s">
        <v>516</v>
      </c>
      <c r="C98" s="3" t="s">
        <v>31</v>
      </c>
      <c r="D98" s="3" t="s">
        <v>32</v>
      </c>
      <c r="E98" s="4" t="s">
        <v>22</v>
      </c>
      <c r="F98" s="4" t="s">
        <v>517</v>
      </c>
      <c r="G98" s="4" t="s">
        <v>518</v>
      </c>
      <c r="H98" s="3" t="s">
        <v>25</v>
      </c>
      <c r="I98" s="3" t="s">
        <v>519</v>
      </c>
      <c r="J98" s="3" t="s">
        <v>520</v>
      </c>
      <c r="K98" s="3" t="s">
        <v>521</v>
      </c>
      <c r="L98" s="3"/>
      <c r="M98" s="4"/>
      <c r="N98" s="3" t="s">
        <v>37</v>
      </c>
      <c r="O98" s="3" t="s">
        <v>52</v>
      </c>
      <c r="P98" s="5">
        <v>8</v>
      </c>
      <c r="Q98" s="5">
        <v>72</v>
      </c>
      <c r="R98" s="5">
        <v>7</v>
      </c>
      <c r="S98" s="5">
        <v>74</v>
      </c>
    </row>
    <row r="99" spans="1:19" ht="42" x14ac:dyDescent="0.15">
      <c r="A99" s="2">
        <f>HYPERLINK("https://open-school.uspishnemisto.com.ua/school/50097/", 50097)</f>
        <v>50097</v>
      </c>
      <c r="B99" s="3" t="s">
        <v>522</v>
      </c>
      <c r="C99" s="3" t="s">
        <v>54</v>
      </c>
      <c r="D99" s="3" t="s">
        <v>175</v>
      </c>
      <c r="E99" s="4" t="s">
        <v>22</v>
      </c>
      <c r="F99" s="4" t="s">
        <v>523</v>
      </c>
      <c r="G99" s="4" t="s">
        <v>524</v>
      </c>
      <c r="H99" s="3" t="s">
        <v>25</v>
      </c>
      <c r="I99" s="3" t="s">
        <v>525</v>
      </c>
      <c r="J99" s="3" t="s">
        <v>526</v>
      </c>
      <c r="K99" s="3" t="s">
        <v>527</v>
      </c>
      <c r="L99" s="3"/>
      <c r="M99" s="4"/>
      <c r="N99" s="3" t="s">
        <v>37</v>
      </c>
      <c r="O99" s="3" t="s">
        <v>70</v>
      </c>
      <c r="P99" s="5">
        <v>7</v>
      </c>
      <c r="Q99" s="5">
        <v>63</v>
      </c>
      <c r="R99" s="5">
        <v>8</v>
      </c>
      <c r="S99" s="5">
        <v>70</v>
      </c>
    </row>
    <row r="100" spans="1:19" ht="28" x14ac:dyDescent="0.15">
      <c r="A100" s="2">
        <f>HYPERLINK("https://open-school.uspishnemisto.com.ua/school/50098/", 50098)</f>
        <v>50098</v>
      </c>
      <c r="B100" s="3" t="s">
        <v>528</v>
      </c>
      <c r="C100" s="3" t="s">
        <v>31</v>
      </c>
      <c r="D100" s="3" t="s">
        <v>175</v>
      </c>
      <c r="E100" s="4" t="s">
        <v>22</v>
      </c>
      <c r="F100" s="4" t="s">
        <v>529</v>
      </c>
      <c r="G100" s="4" t="s">
        <v>530</v>
      </c>
      <c r="H100" s="3" t="s">
        <v>25</v>
      </c>
      <c r="I100" s="3" t="s">
        <v>531</v>
      </c>
      <c r="J100" s="3" t="s">
        <v>532</v>
      </c>
      <c r="K100" s="3"/>
      <c r="L100" s="3"/>
      <c r="M100" s="4"/>
      <c r="N100" s="3" t="s">
        <v>37</v>
      </c>
      <c r="O100" s="3" t="s">
        <v>52</v>
      </c>
      <c r="P100" s="5">
        <v>8</v>
      </c>
      <c r="Q100" s="5">
        <v>64</v>
      </c>
      <c r="R100" s="5">
        <v>8</v>
      </c>
      <c r="S100" s="5">
        <v>68</v>
      </c>
    </row>
    <row r="101" spans="1:19" ht="28" x14ac:dyDescent="0.15">
      <c r="A101" s="2">
        <f>HYPERLINK("https://open-school.uspishnemisto.com.ua/school/50099/", 50099)</f>
        <v>50099</v>
      </c>
      <c r="B101" s="3" t="s">
        <v>533</v>
      </c>
      <c r="C101" s="3" t="s">
        <v>31</v>
      </c>
      <c r="D101" s="3" t="s">
        <v>32</v>
      </c>
      <c r="E101" s="4" t="s">
        <v>22</v>
      </c>
      <c r="F101" s="4" t="s">
        <v>534</v>
      </c>
      <c r="G101" s="4" t="s">
        <v>535</v>
      </c>
      <c r="H101" s="3" t="s">
        <v>25</v>
      </c>
      <c r="I101" s="3" t="s">
        <v>536</v>
      </c>
      <c r="J101" s="3" t="s">
        <v>537</v>
      </c>
      <c r="K101" s="3" t="s">
        <v>538</v>
      </c>
      <c r="L101" s="3"/>
      <c r="M101" s="4"/>
      <c r="N101" s="3" t="s">
        <v>37</v>
      </c>
      <c r="O101" s="3" t="s">
        <v>38</v>
      </c>
      <c r="P101" s="5">
        <v>9</v>
      </c>
      <c r="Q101" s="5">
        <v>94</v>
      </c>
      <c r="R101" s="5">
        <v>11</v>
      </c>
      <c r="S101" s="5">
        <v>103</v>
      </c>
    </row>
    <row r="102" spans="1:19" ht="28" x14ac:dyDescent="0.15">
      <c r="A102" s="2">
        <f>HYPERLINK("https://open-school.uspishnemisto.com.ua/school/50100/", 50100)</f>
        <v>50100</v>
      </c>
      <c r="B102" s="3" t="s">
        <v>539</v>
      </c>
      <c r="C102" s="3" t="s">
        <v>54</v>
      </c>
      <c r="D102" s="3" t="s">
        <v>60</v>
      </c>
      <c r="E102" s="4" t="s">
        <v>22</v>
      </c>
      <c r="F102" s="4" t="s">
        <v>540</v>
      </c>
      <c r="G102" s="4" t="s">
        <v>541</v>
      </c>
      <c r="H102" s="3" t="s">
        <v>25</v>
      </c>
      <c r="I102" s="3" t="s">
        <v>542</v>
      </c>
      <c r="J102" s="3" t="s">
        <v>543</v>
      </c>
      <c r="K102" s="3" t="s">
        <v>544</v>
      </c>
      <c r="L102" s="3"/>
      <c r="M102" s="4"/>
      <c r="N102" s="3" t="s">
        <v>37</v>
      </c>
      <c r="O102" s="3" t="s">
        <v>52</v>
      </c>
      <c r="P102" s="5">
        <v>2</v>
      </c>
      <c r="Q102" s="5">
        <v>19</v>
      </c>
      <c r="R102" s="5">
        <v>1</v>
      </c>
      <c r="S102" s="5">
        <v>17</v>
      </c>
    </row>
    <row r="103" spans="1:19" ht="42" x14ac:dyDescent="0.15">
      <c r="A103" s="2">
        <f>HYPERLINK("https://open-school.uspishnemisto.com.ua/school/50101/", 50101)</f>
        <v>50101</v>
      </c>
      <c r="B103" s="3" t="s">
        <v>545</v>
      </c>
      <c r="C103" s="3" t="s">
        <v>54</v>
      </c>
      <c r="D103" s="3" t="s">
        <v>175</v>
      </c>
      <c r="E103" s="4" t="s">
        <v>22</v>
      </c>
      <c r="F103" s="4" t="s">
        <v>546</v>
      </c>
      <c r="G103" s="4" t="s">
        <v>547</v>
      </c>
      <c r="H103" s="3" t="s">
        <v>25</v>
      </c>
      <c r="I103" s="3" t="s">
        <v>548</v>
      </c>
      <c r="J103" s="3" t="s">
        <v>466</v>
      </c>
      <c r="K103" s="3" t="s">
        <v>549</v>
      </c>
      <c r="L103" s="3"/>
      <c r="M103" s="4"/>
      <c r="N103" s="3" t="s">
        <v>37</v>
      </c>
      <c r="O103" s="3" t="s">
        <v>52</v>
      </c>
      <c r="P103" s="5">
        <v>4</v>
      </c>
      <c r="Q103" s="5">
        <v>37</v>
      </c>
      <c r="R103" s="5">
        <v>4</v>
      </c>
      <c r="S103" s="5">
        <v>35</v>
      </c>
    </row>
    <row r="104" spans="1:19" ht="42" x14ac:dyDescent="0.15">
      <c r="A104" s="2">
        <f>HYPERLINK("https://open-school.uspishnemisto.com.ua/school/50102/", 50102)</f>
        <v>50102</v>
      </c>
      <c r="B104" s="3" t="s">
        <v>550</v>
      </c>
      <c r="C104" s="3" t="s">
        <v>31</v>
      </c>
      <c r="D104" s="3" t="s">
        <v>32</v>
      </c>
      <c r="E104" s="4" t="s">
        <v>22</v>
      </c>
      <c r="F104" s="4" t="s">
        <v>551</v>
      </c>
      <c r="G104" s="4" t="s">
        <v>552</v>
      </c>
      <c r="H104" s="3" t="s">
        <v>25</v>
      </c>
      <c r="I104" s="3" t="s">
        <v>553</v>
      </c>
      <c r="J104" s="3" t="s">
        <v>554</v>
      </c>
      <c r="K104" s="3" t="s">
        <v>555</v>
      </c>
      <c r="L104" s="3" t="s">
        <v>556</v>
      </c>
      <c r="M104" s="4"/>
      <c r="N104" s="3" t="s">
        <v>37</v>
      </c>
      <c r="O104" s="3" t="s">
        <v>52</v>
      </c>
      <c r="P104" s="5">
        <v>11</v>
      </c>
      <c r="Q104" s="5">
        <v>126</v>
      </c>
      <c r="R104" s="5">
        <v>11</v>
      </c>
      <c r="S104" s="5">
        <v>130</v>
      </c>
    </row>
    <row r="105" spans="1:19" ht="28" x14ac:dyDescent="0.15">
      <c r="A105" s="2">
        <f>HYPERLINK("https://open-school.uspishnemisto.com.ua/school/50103/", 50103)</f>
        <v>50103</v>
      </c>
      <c r="B105" s="3" t="s">
        <v>557</v>
      </c>
      <c r="C105" s="3" t="s">
        <v>31</v>
      </c>
      <c r="D105" s="3" t="s">
        <v>175</v>
      </c>
      <c r="E105" s="4" t="s">
        <v>22</v>
      </c>
      <c r="F105" s="4" t="s">
        <v>558</v>
      </c>
      <c r="G105" s="4" t="s">
        <v>559</v>
      </c>
      <c r="H105" s="3" t="s">
        <v>25</v>
      </c>
      <c r="I105" s="3" t="s">
        <v>560</v>
      </c>
      <c r="J105" s="3" t="s">
        <v>561</v>
      </c>
      <c r="K105" s="3" t="s">
        <v>562</v>
      </c>
      <c r="L105" s="3"/>
      <c r="M105" s="4"/>
      <c r="N105" s="3" t="s">
        <v>37</v>
      </c>
      <c r="O105" s="3" t="s">
        <v>38</v>
      </c>
      <c r="P105" s="5">
        <v>9</v>
      </c>
      <c r="Q105" s="5">
        <v>71</v>
      </c>
      <c r="R105" s="5">
        <v>9</v>
      </c>
      <c r="S105" s="5">
        <v>67</v>
      </c>
    </row>
    <row r="106" spans="1:19" ht="28" x14ac:dyDescent="0.15">
      <c r="A106" s="2">
        <f>HYPERLINK("https://open-school.uspishnemisto.com.ua/school/50104/", 50104)</f>
        <v>50104</v>
      </c>
      <c r="B106" s="3" t="s">
        <v>563</v>
      </c>
      <c r="C106" s="3" t="s">
        <v>31</v>
      </c>
      <c r="D106" s="3" t="s">
        <v>175</v>
      </c>
      <c r="E106" s="4" t="s">
        <v>22</v>
      </c>
      <c r="F106" s="4" t="s">
        <v>469</v>
      </c>
      <c r="G106" s="4" t="s">
        <v>564</v>
      </c>
      <c r="H106" s="3" t="s">
        <v>25</v>
      </c>
      <c r="I106" s="3" t="s">
        <v>565</v>
      </c>
      <c r="J106" s="3" t="s">
        <v>566</v>
      </c>
      <c r="K106" s="3" t="s">
        <v>567</v>
      </c>
      <c r="L106" s="3"/>
      <c r="M106" s="4"/>
      <c r="N106" s="3" t="s">
        <v>37</v>
      </c>
      <c r="O106" s="3" t="s">
        <v>52</v>
      </c>
      <c r="P106" s="5">
        <v>9</v>
      </c>
      <c r="Q106" s="5">
        <v>170</v>
      </c>
      <c r="R106" s="5">
        <v>9</v>
      </c>
      <c r="S106" s="5">
        <v>160</v>
      </c>
    </row>
    <row r="107" spans="1:19" ht="28" x14ac:dyDescent="0.15">
      <c r="A107" s="2">
        <f>HYPERLINK("https://open-school.uspishnemisto.com.ua/school/50105/", 50105)</f>
        <v>50105</v>
      </c>
      <c r="B107" s="3" t="s">
        <v>568</v>
      </c>
      <c r="C107" s="3" t="s">
        <v>54</v>
      </c>
      <c r="D107" s="3" t="s">
        <v>175</v>
      </c>
      <c r="E107" s="4" t="s">
        <v>22</v>
      </c>
      <c r="F107" s="4" t="s">
        <v>569</v>
      </c>
      <c r="G107" s="4" t="s">
        <v>570</v>
      </c>
      <c r="H107" s="3" t="s">
        <v>25</v>
      </c>
      <c r="I107" s="3" t="s">
        <v>571</v>
      </c>
      <c r="J107" s="3" t="s">
        <v>572</v>
      </c>
      <c r="K107" s="3" t="s">
        <v>573</v>
      </c>
      <c r="L107" s="3"/>
      <c r="M107" s="4"/>
      <c r="N107" s="3" t="s">
        <v>37</v>
      </c>
      <c r="O107" s="3" t="s">
        <v>52</v>
      </c>
      <c r="P107" s="5">
        <v>9</v>
      </c>
      <c r="Q107" s="5">
        <v>65</v>
      </c>
      <c r="R107" s="5">
        <v>8</v>
      </c>
      <c r="S107" s="5">
        <v>56</v>
      </c>
    </row>
    <row r="108" spans="1:19" ht="28" x14ac:dyDescent="0.15">
      <c r="A108" s="2">
        <f>HYPERLINK("https://open-school.uspishnemisto.com.ua/school/50106/", 50106)</f>
        <v>50106</v>
      </c>
      <c r="B108" s="3" t="s">
        <v>574</v>
      </c>
      <c r="C108" s="3" t="s">
        <v>31</v>
      </c>
      <c r="D108" s="3" t="s">
        <v>32</v>
      </c>
      <c r="E108" s="4" t="s">
        <v>22</v>
      </c>
      <c r="F108" s="4" t="s">
        <v>575</v>
      </c>
      <c r="G108" s="4" t="s">
        <v>576</v>
      </c>
      <c r="H108" s="3" t="s">
        <v>25</v>
      </c>
      <c r="I108" s="3" t="s">
        <v>577</v>
      </c>
      <c r="J108" s="3" t="s">
        <v>578</v>
      </c>
      <c r="K108" s="3" t="s">
        <v>579</v>
      </c>
      <c r="L108" s="3"/>
      <c r="M108" s="4"/>
      <c r="N108" s="3" t="s">
        <v>37</v>
      </c>
      <c r="O108" s="3" t="s">
        <v>38</v>
      </c>
      <c r="P108" s="5">
        <v>13</v>
      </c>
      <c r="Q108" s="5">
        <v>262</v>
      </c>
      <c r="R108" s="5">
        <v>13</v>
      </c>
      <c r="S108" s="5">
        <v>253</v>
      </c>
    </row>
    <row r="109" spans="1:19" ht="28" x14ac:dyDescent="0.15">
      <c r="A109" s="2">
        <f>HYPERLINK("https://open-school.uspishnemisto.com.ua/school/50107/", 50107)</f>
        <v>50107</v>
      </c>
      <c r="B109" s="3" t="s">
        <v>580</v>
      </c>
      <c r="C109" s="3" t="s">
        <v>31</v>
      </c>
      <c r="D109" s="3" t="s">
        <v>32</v>
      </c>
      <c r="E109" s="4" t="s">
        <v>22</v>
      </c>
      <c r="F109" s="4" t="s">
        <v>581</v>
      </c>
      <c r="G109" s="4" t="s">
        <v>582</v>
      </c>
      <c r="H109" s="3" t="s">
        <v>25</v>
      </c>
      <c r="I109" s="3" t="s">
        <v>583</v>
      </c>
      <c r="J109" s="3" t="s">
        <v>584</v>
      </c>
      <c r="K109" s="3" t="s">
        <v>585</v>
      </c>
      <c r="L109" s="3" t="s">
        <v>586</v>
      </c>
      <c r="M109" s="4"/>
      <c r="N109" s="3" t="s">
        <v>37</v>
      </c>
      <c r="O109" s="3" t="s">
        <v>38</v>
      </c>
      <c r="P109" s="5">
        <v>31</v>
      </c>
      <c r="Q109" s="5">
        <v>724</v>
      </c>
      <c r="R109" s="5">
        <v>30</v>
      </c>
      <c r="S109" s="5">
        <v>703</v>
      </c>
    </row>
    <row r="110" spans="1:19" ht="28" x14ac:dyDescent="0.15">
      <c r="A110" s="2">
        <f>HYPERLINK("https://open-school.uspishnemisto.com.ua/school/50108/", 50108)</f>
        <v>50108</v>
      </c>
      <c r="B110" s="3" t="s">
        <v>587</v>
      </c>
      <c r="C110" s="3" t="s">
        <v>31</v>
      </c>
      <c r="D110" s="3" t="s">
        <v>32</v>
      </c>
      <c r="E110" s="4" t="s">
        <v>22</v>
      </c>
      <c r="F110" s="4" t="s">
        <v>581</v>
      </c>
      <c r="G110" s="4" t="s">
        <v>582</v>
      </c>
      <c r="H110" s="3" t="s">
        <v>25</v>
      </c>
      <c r="I110" s="3" t="s">
        <v>583</v>
      </c>
      <c r="J110" s="3" t="s">
        <v>588</v>
      </c>
      <c r="K110" s="3" t="s">
        <v>589</v>
      </c>
      <c r="L110" s="3" t="s">
        <v>590</v>
      </c>
      <c r="M110" s="4"/>
      <c r="N110" s="3" t="s">
        <v>128</v>
      </c>
      <c r="O110" s="3" t="s">
        <v>70</v>
      </c>
      <c r="P110" s="5">
        <v>19</v>
      </c>
      <c r="Q110" s="5">
        <v>232</v>
      </c>
      <c r="R110" s="5">
        <v>19</v>
      </c>
      <c r="S110" s="5">
        <v>229</v>
      </c>
    </row>
    <row r="111" spans="1:19" ht="28" x14ac:dyDescent="0.15">
      <c r="A111" s="2">
        <f>HYPERLINK("https://open-school.uspishnemisto.com.ua/school/50109/", 50109)</f>
        <v>50109</v>
      </c>
      <c r="B111" s="3" t="s">
        <v>591</v>
      </c>
      <c r="C111" s="3" t="s">
        <v>31</v>
      </c>
      <c r="D111" s="3" t="s">
        <v>32</v>
      </c>
      <c r="E111" s="4" t="s">
        <v>22</v>
      </c>
      <c r="F111" s="4" t="s">
        <v>581</v>
      </c>
      <c r="G111" s="4" t="s">
        <v>582</v>
      </c>
      <c r="H111" s="3" t="s">
        <v>25</v>
      </c>
      <c r="I111" s="3" t="s">
        <v>583</v>
      </c>
      <c r="J111" s="3" t="s">
        <v>592</v>
      </c>
      <c r="K111" s="3" t="s">
        <v>593</v>
      </c>
      <c r="L111" s="3" t="s">
        <v>594</v>
      </c>
      <c r="M111" s="4"/>
      <c r="N111" s="3" t="s">
        <v>37</v>
      </c>
      <c r="O111" s="3" t="s">
        <v>70</v>
      </c>
      <c r="P111" s="5">
        <v>28</v>
      </c>
      <c r="Q111" s="5">
        <v>605</v>
      </c>
      <c r="R111" s="5">
        <v>28</v>
      </c>
      <c r="S111" s="5">
        <v>622</v>
      </c>
    </row>
    <row r="112" spans="1:19" ht="28" x14ac:dyDescent="0.15">
      <c r="A112" s="2">
        <f>HYPERLINK("https://open-school.uspishnemisto.com.ua/school/50110/", 50110)</f>
        <v>50110</v>
      </c>
      <c r="B112" s="3" t="s">
        <v>595</v>
      </c>
      <c r="C112" s="3" t="s">
        <v>31</v>
      </c>
      <c r="D112" s="3" t="s">
        <v>32</v>
      </c>
      <c r="E112" s="4" t="s">
        <v>22</v>
      </c>
      <c r="F112" s="4" t="s">
        <v>596</v>
      </c>
      <c r="G112" s="4" t="s">
        <v>597</v>
      </c>
      <c r="H112" s="3" t="s">
        <v>25</v>
      </c>
      <c r="I112" s="3" t="s">
        <v>598</v>
      </c>
      <c r="J112" s="3" t="s">
        <v>599</v>
      </c>
      <c r="K112" s="3" t="s">
        <v>600</v>
      </c>
      <c r="L112" s="3"/>
      <c r="M112" s="4"/>
      <c r="N112" s="3" t="s">
        <v>37</v>
      </c>
      <c r="O112" s="3" t="s">
        <v>52</v>
      </c>
      <c r="P112" s="5">
        <v>16</v>
      </c>
      <c r="Q112" s="5">
        <v>269</v>
      </c>
      <c r="R112" s="5">
        <v>17</v>
      </c>
      <c r="S112" s="5">
        <v>274</v>
      </c>
    </row>
    <row r="113" spans="1:19" ht="28" x14ac:dyDescent="0.15">
      <c r="A113" s="2">
        <f>HYPERLINK("https://open-school.uspishnemisto.com.ua/school/50111/", 50111)</f>
        <v>50111</v>
      </c>
      <c r="B113" s="3" t="s">
        <v>601</v>
      </c>
      <c r="C113" s="3" t="s">
        <v>31</v>
      </c>
      <c r="D113" s="3" t="s">
        <v>175</v>
      </c>
      <c r="E113" s="4" t="s">
        <v>22</v>
      </c>
      <c r="F113" s="4" t="s">
        <v>602</v>
      </c>
      <c r="G113" s="4" t="s">
        <v>603</v>
      </c>
      <c r="H113" s="3" t="s">
        <v>25</v>
      </c>
      <c r="I113" s="3" t="s">
        <v>604</v>
      </c>
      <c r="J113" s="3" t="s">
        <v>605</v>
      </c>
      <c r="K113" s="3"/>
      <c r="L113" s="3"/>
      <c r="M113" s="4"/>
      <c r="N113" s="3" t="s">
        <v>37</v>
      </c>
      <c r="O113" s="3" t="s">
        <v>52</v>
      </c>
      <c r="P113" s="5">
        <v>9</v>
      </c>
      <c r="Q113" s="5">
        <v>123</v>
      </c>
      <c r="R113" s="5">
        <v>9</v>
      </c>
      <c r="S113" s="5">
        <v>117</v>
      </c>
    </row>
    <row r="114" spans="1:19" ht="28" x14ac:dyDescent="0.15">
      <c r="A114" s="2">
        <f>HYPERLINK("https://open-school.uspishnemisto.com.ua/school/50112/", 50112)</f>
        <v>50112</v>
      </c>
      <c r="B114" s="3" t="s">
        <v>606</v>
      </c>
      <c r="C114" s="3" t="s">
        <v>31</v>
      </c>
      <c r="D114" s="3" t="s">
        <v>32</v>
      </c>
      <c r="E114" s="4" t="s">
        <v>22</v>
      </c>
      <c r="F114" s="4" t="s">
        <v>607</v>
      </c>
      <c r="G114" s="4" t="s">
        <v>608</v>
      </c>
      <c r="H114" s="3" t="s">
        <v>25</v>
      </c>
      <c r="I114" s="3" t="s">
        <v>609</v>
      </c>
      <c r="J114" s="3" t="s">
        <v>610</v>
      </c>
      <c r="K114" s="3" t="s">
        <v>611</v>
      </c>
      <c r="L114" s="3" t="s">
        <v>612</v>
      </c>
      <c r="M114" s="4"/>
      <c r="N114" s="3" t="s">
        <v>37</v>
      </c>
      <c r="O114" s="3" t="s">
        <v>38</v>
      </c>
      <c r="P114" s="5">
        <v>11</v>
      </c>
      <c r="Q114" s="5">
        <v>148</v>
      </c>
      <c r="R114" s="5">
        <v>11</v>
      </c>
      <c r="S114" s="5">
        <v>163</v>
      </c>
    </row>
    <row r="115" spans="1:19" ht="28" x14ac:dyDescent="0.15">
      <c r="A115" s="2">
        <f>HYPERLINK("https://open-school.uspishnemisto.com.ua/school/50113/", 50113)</f>
        <v>50113</v>
      </c>
      <c r="B115" s="3" t="s">
        <v>613</v>
      </c>
      <c r="C115" s="3" t="s">
        <v>31</v>
      </c>
      <c r="D115" s="3" t="s">
        <v>175</v>
      </c>
      <c r="E115" s="4" t="s">
        <v>22</v>
      </c>
      <c r="F115" s="4" t="s">
        <v>614</v>
      </c>
      <c r="G115" s="4" t="s">
        <v>615</v>
      </c>
      <c r="H115" s="3" t="s">
        <v>25</v>
      </c>
      <c r="I115" s="3" t="s">
        <v>616</v>
      </c>
      <c r="J115" s="3" t="s">
        <v>566</v>
      </c>
      <c r="K115" s="3" t="s">
        <v>617</v>
      </c>
      <c r="L115" s="3"/>
      <c r="M115" s="4"/>
      <c r="N115" s="3" t="s">
        <v>37</v>
      </c>
      <c r="O115" s="3" t="s">
        <v>618</v>
      </c>
      <c r="P115" s="5">
        <v>6</v>
      </c>
      <c r="Q115" s="5">
        <v>50</v>
      </c>
      <c r="R115" s="5">
        <v>7</v>
      </c>
      <c r="S115" s="5">
        <v>56</v>
      </c>
    </row>
    <row r="116" spans="1:19" ht="28" x14ac:dyDescent="0.15">
      <c r="A116" s="2">
        <f>HYPERLINK("https://open-school.uspishnemisto.com.ua/school/50114/", 50114)</f>
        <v>50114</v>
      </c>
      <c r="B116" s="3" t="s">
        <v>619</v>
      </c>
      <c r="C116" s="3" t="s">
        <v>31</v>
      </c>
      <c r="D116" s="3" t="s">
        <v>32</v>
      </c>
      <c r="E116" s="4" t="s">
        <v>22</v>
      </c>
      <c r="F116" s="4" t="s">
        <v>620</v>
      </c>
      <c r="G116" s="4" t="s">
        <v>621</v>
      </c>
      <c r="H116" s="3" t="s">
        <v>25</v>
      </c>
      <c r="I116" s="3" t="s">
        <v>622</v>
      </c>
      <c r="J116" s="3" t="s">
        <v>623</v>
      </c>
      <c r="K116" s="3" t="s">
        <v>624</v>
      </c>
      <c r="L116" s="3" t="s">
        <v>625</v>
      </c>
      <c r="M116" s="4"/>
      <c r="N116" s="3" t="s">
        <v>37</v>
      </c>
      <c r="O116" s="3" t="s">
        <v>38</v>
      </c>
      <c r="P116" s="5">
        <v>16</v>
      </c>
      <c r="Q116" s="5">
        <v>352</v>
      </c>
      <c r="R116" s="5">
        <v>16</v>
      </c>
      <c r="S116" s="5">
        <v>358</v>
      </c>
    </row>
    <row r="117" spans="1:19" ht="28" x14ac:dyDescent="0.15">
      <c r="A117" s="2">
        <f>HYPERLINK("https://open-school.uspishnemisto.com.ua/school/50115/", 50115)</f>
        <v>50115</v>
      </c>
      <c r="B117" s="3" t="s">
        <v>626</v>
      </c>
      <c r="C117" s="3" t="s">
        <v>181</v>
      </c>
      <c r="D117" s="3" t="s">
        <v>175</v>
      </c>
      <c r="E117" s="4" t="s">
        <v>22</v>
      </c>
      <c r="F117" s="4" t="s">
        <v>620</v>
      </c>
      <c r="G117" s="4" t="s">
        <v>621</v>
      </c>
      <c r="H117" s="3" t="s">
        <v>25</v>
      </c>
      <c r="I117" s="3" t="s">
        <v>622</v>
      </c>
      <c r="J117" s="3" t="s">
        <v>627</v>
      </c>
      <c r="K117" s="3" t="s">
        <v>628</v>
      </c>
      <c r="L117" s="3"/>
      <c r="M117" s="4" t="s">
        <v>629</v>
      </c>
      <c r="N117" s="3" t="s">
        <v>37</v>
      </c>
      <c r="O117" s="3"/>
      <c r="P117" s="5">
        <v>10</v>
      </c>
      <c r="Q117" s="5">
        <v>83</v>
      </c>
      <c r="R117" s="5">
        <v>10</v>
      </c>
      <c r="S117" s="5">
        <v>84</v>
      </c>
    </row>
    <row r="118" spans="1:19" ht="28" x14ac:dyDescent="0.15">
      <c r="A118" s="2">
        <f>HYPERLINK("https://open-school.uspishnemisto.com.ua/school/50116/", 50116)</f>
        <v>50116</v>
      </c>
      <c r="B118" s="3" t="s">
        <v>630</v>
      </c>
      <c r="C118" s="3" t="s">
        <v>31</v>
      </c>
      <c r="D118" s="3" t="s">
        <v>175</v>
      </c>
      <c r="E118" s="4" t="s">
        <v>22</v>
      </c>
      <c r="F118" s="4" t="s">
        <v>631</v>
      </c>
      <c r="G118" s="4" t="s">
        <v>632</v>
      </c>
      <c r="H118" s="3" t="s">
        <v>25</v>
      </c>
      <c r="I118" s="3" t="s">
        <v>633</v>
      </c>
      <c r="J118" s="3" t="s">
        <v>634</v>
      </c>
      <c r="K118" s="3"/>
      <c r="L118" s="3"/>
      <c r="M118" s="4"/>
      <c r="N118" s="3" t="s">
        <v>37</v>
      </c>
      <c r="O118" s="3" t="s">
        <v>52</v>
      </c>
      <c r="P118" s="5">
        <v>8</v>
      </c>
      <c r="Q118" s="5">
        <v>60</v>
      </c>
      <c r="R118" s="5">
        <v>8</v>
      </c>
      <c r="S118" s="5">
        <v>54</v>
      </c>
    </row>
    <row r="119" spans="1:19" ht="28" x14ac:dyDescent="0.15">
      <c r="A119" s="2">
        <f>HYPERLINK("https://open-school.uspishnemisto.com.ua/school/50117/", 50117)</f>
        <v>50117</v>
      </c>
      <c r="B119" s="3" t="s">
        <v>635</v>
      </c>
      <c r="C119" s="3" t="s">
        <v>31</v>
      </c>
      <c r="D119" s="3" t="s">
        <v>175</v>
      </c>
      <c r="E119" s="4" t="s">
        <v>22</v>
      </c>
      <c r="F119" s="4" t="s">
        <v>636</v>
      </c>
      <c r="G119" s="4" t="s">
        <v>637</v>
      </c>
      <c r="H119" s="3" t="s">
        <v>25</v>
      </c>
      <c r="I119" s="3" t="s">
        <v>638</v>
      </c>
      <c r="J119" s="3" t="s">
        <v>639</v>
      </c>
      <c r="K119" s="3" t="s">
        <v>640</v>
      </c>
      <c r="L119" s="3" t="s">
        <v>641</v>
      </c>
      <c r="M119" s="4"/>
      <c r="N119" s="3" t="s">
        <v>37</v>
      </c>
      <c r="O119" s="3" t="s">
        <v>112</v>
      </c>
      <c r="P119" s="5">
        <v>9</v>
      </c>
      <c r="Q119" s="5">
        <v>75</v>
      </c>
      <c r="R119" s="5">
        <v>9</v>
      </c>
      <c r="S119" s="5">
        <v>74</v>
      </c>
    </row>
    <row r="120" spans="1:19" ht="28" x14ac:dyDescent="0.15">
      <c r="A120" s="2">
        <f>HYPERLINK("https://open-school.uspishnemisto.com.ua/school/50118/", 50118)</f>
        <v>50118</v>
      </c>
      <c r="B120" s="3" t="s">
        <v>642</v>
      </c>
      <c r="C120" s="3" t="s">
        <v>31</v>
      </c>
      <c r="D120" s="3" t="s">
        <v>175</v>
      </c>
      <c r="E120" s="4" t="s">
        <v>22</v>
      </c>
      <c r="F120" s="4" t="s">
        <v>643</v>
      </c>
      <c r="G120" s="4" t="s">
        <v>644</v>
      </c>
      <c r="H120" s="3" t="s">
        <v>25</v>
      </c>
      <c r="I120" s="3" t="s">
        <v>645</v>
      </c>
      <c r="J120" s="3" t="s">
        <v>646</v>
      </c>
      <c r="K120" s="3" t="s">
        <v>647</v>
      </c>
      <c r="L120" s="3"/>
      <c r="M120" s="4"/>
      <c r="N120" s="3" t="s">
        <v>37</v>
      </c>
      <c r="O120" s="3" t="s">
        <v>618</v>
      </c>
      <c r="P120" s="5">
        <v>2</v>
      </c>
      <c r="Q120" s="5">
        <v>30</v>
      </c>
      <c r="R120" s="5">
        <v>2</v>
      </c>
      <c r="S120" s="5">
        <v>31</v>
      </c>
    </row>
    <row r="121" spans="1:19" ht="28" x14ac:dyDescent="0.15">
      <c r="A121" s="2">
        <f>HYPERLINK("https://open-school.uspishnemisto.com.ua/school/50119/", 50119)</f>
        <v>50119</v>
      </c>
      <c r="B121" s="3" t="s">
        <v>648</v>
      </c>
      <c r="C121" s="3" t="s">
        <v>31</v>
      </c>
      <c r="D121" s="3" t="s">
        <v>175</v>
      </c>
      <c r="E121" s="4" t="s">
        <v>22</v>
      </c>
      <c r="F121" s="4" t="s">
        <v>649</v>
      </c>
      <c r="G121" s="4" t="s">
        <v>650</v>
      </c>
      <c r="H121" s="3" t="s">
        <v>25</v>
      </c>
      <c r="I121" s="3" t="s">
        <v>560</v>
      </c>
      <c r="J121" s="3" t="s">
        <v>651</v>
      </c>
      <c r="K121" s="3" t="s">
        <v>652</v>
      </c>
      <c r="L121" s="3"/>
      <c r="M121" s="4"/>
      <c r="N121" s="3" t="s">
        <v>37</v>
      </c>
      <c r="O121" s="3" t="s">
        <v>46</v>
      </c>
      <c r="P121" s="5">
        <v>8</v>
      </c>
      <c r="Q121" s="5">
        <v>63</v>
      </c>
      <c r="R121" s="5">
        <v>8</v>
      </c>
      <c r="S121" s="5">
        <v>63</v>
      </c>
    </row>
    <row r="122" spans="1:19" ht="28" x14ac:dyDescent="0.15">
      <c r="A122" s="2">
        <f>HYPERLINK("https://open-school.uspishnemisto.com.ua/school/50120/", 50120)</f>
        <v>50120</v>
      </c>
      <c r="B122" s="3" t="s">
        <v>653</v>
      </c>
      <c r="C122" s="3" t="s">
        <v>31</v>
      </c>
      <c r="D122" s="3" t="s">
        <v>32</v>
      </c>
      <c r="E122" s="4" t="s">
        <v>22</v>
      </c>
      <c r="F122" s="4" t="s">
        <v>654</v>
      </c>
      <c r="G122" s="4" t="s">
        <v>655</v>
      </c>
      <c r="H122" s="3" t="s">
        <v>25</v>
      </c>
      <c r="I122" s="3" t="s">
        <v>656</v>
      </c>
      <c r="J122" s="3" t="s">
        <v>657</v>
      </c>
      <c r="K122" s="3" t="s">
        <v>658</v>
      </c>
      <c r="L122" s="3" t="s">
        <v>659</v>
      </c>
      <c r="M122" s="4"/>
      <c r="N122" s="3" t="s">
        <v>37</v>
      </c>
      <c r="O122" s="3" t="s">
        <v>70</v>
      </c>
      <c r="P122" s="5">
        <v>11</v>
      </c>
      <c r="Q122" s="5">
        <v>183</v>
      </c>
      <c r="R122" s="5">
        <v>11</v>
      </c>
      <c r="S122" s="5">
        <v>185</v>
      </c>
    </row>
    <row r="123" spans="1:19" ht="28" x14ac:dyDescent="0.15">
      <c r="A123" s="2">
        <f>HYPERLINK("https://open-school.uspishnemisto.com.ua/school/50121/", 50121)</f>
        <v>50121</v>
      </c>
      <c r="B123" s="3" t="s">
        <v>660</v>
      </c>
      <c r="C123" s="3" t="s">
        <v>31</v>
      </c>
      <c r="D123" s="3" t="s">
        <v>32</v>
      </c>
      <c r="E123" s="4" t="s">
        <v>22</v>
      </c>
      <c r="F123" s="4" t="s">
        <v>661</v>
      </c>
      <c r="G123" s="4" t="s">
        <v>662</v>
      </c>
      <c r="H123" s="3" t="s">
        <v>25</v>
      </c>
      <c r="I123" s="3" t="s">
        <v>663</v>
      </c>
      <c r="J123" s="3" t="s">
        <v>664</v>
      </c>
      <c r="K123" s="3" t="s">
        <v>665</v>
      </c>
      <c r="L123" s="3" t="s">
        <v>666</v>
      </c>
      <c r="M123" s="4"/>
      <c r="N123" s="3" t="s">
        <v>37</v>
      </c>
      <c r="O123" s="3" t="s">
        <v>46</v>
      </c>
      <c r="P123" s="5">
        <v>9</v>
      </c>
      <c r="Q123" s="5">
        <v>85</v>
      </c>
      <c r="R123" s="5">
        <v>9</v>
      </c>
      <c r="S123" s="5">
        <v>72</v>
      </c>
    </row>
    <row r="124" spans="1:19" ht="28" x14ac:dyDescent="0.15">
      <c r="A124" s="2">
        <f>HYPERLINK("https://open-school.uspishnemisto.com.ua/school/50123/", 50123)</f>
        <v>50123</v>
      </c>
      <c r="B124" s="3" t="s">
        <v>667</v>
      </c>
      <c r="C124" s="3" t="s">
        <v>31</v>
      </c>
      <c r="D124" s="3" t="s">
        <v>175</v>
      </c>
      <c r="E124" s="4" t="s">
        <v>22</v>
      </c>
      <c r="F124" s="4" t="s">
        <v>668</v>
      </c>
      <c r="G124" s="4" t="s">
        <v>669</v>
      </c>
      <c r="H124" s="3" t="s">
        <v>25</v>
      </c>
      <c r="I124" s="3" t="s">
        <v>670</v>
      </c>
      <c r="J124" s="3" t="s">
        <v>479</v>
      </c>
      <c r="K124" s="3" t="s">
        <v>671</v>
      </c>
      <c r="L124" s="3"/>
      <c r="M124" s="4"/>
      <c r="N124" s="3" t="s">
        <v>37</v>
      </c>
      <c r="O124" s="3" t="s">
        <v>70</v>
      </c>
      <c r="P124" s="5">
        <v>9</v>
      </c>
      <c r="Q124" s="5">
        <v>86</v>
      </c>
      <c r="R124" s="5">
        <v>8</v>
      </c>
      <c r="S124" s="5">
        <v>86</v>
      </c>
    </row>
    <row r="125" spans="1:19" ht="28" x14ac:dyDescent="0.15">
      <c r="A125" s="2">
        <f>HYPERLINK("https://open-school.uspishnemisto.com.ua/school/50124/", 50124)</f>
        <v>50124</v>
      </c>
      <c r="B125" s="3" t="s">
        <v>672</v>
      </c>
      <c r="C125" s="3" t="s">
        <v>31</v>
      </c>
      <c r="D125" s="3" t="s">
        <v>175</v>
      </c>
      <c r="E125" s="4" t="s">
        <v>22</v>
      </c>
      <c r="F125" s="4" t="s">
        <v>673</v>
      </c>
      <c r="G125" s="4" t="s">
        <v>674</v>
      </c>
      <c r="H125" s="3" t="s">
        <v>25</v>
      </c>
      <c r="I125" s="3" t="s">
        <v>675</v>
      </c>
      <c r="J125" s="3" t="s">
        <v>676</v>
      </c>
      <c r="K125" s="3" t="s">
        <v>677</v>
      </c>
      <c r="L125" s="3" t="s">
        <v>678</v>
      </c>
      <c r="M125" s="4"/>
      <c r="N125" s="3" t="s">
        <v>37</v>
      </c>
      <c r="O125" s="3" t="s">
        <v>46</v>
      </c>
      <c r="P125" s="5">
        <v>7</v>
      </c>
      <c r="Q125" s="5">
        <v>59</v>
      </c>
      <c r="R125" s="5">
        <v>8</v>
      </c>
      <c r="S125" s="5">
        <v>64</v>
      </c>
    </row>
    <row r="126" spans="1:19" ht="56" x14ac:dyDescent="0.15">
      <c r="A126" s="2">
        <f>HYPERLINK("https://open-school.uspishnemisto.com.ua/school/50125/", 50125)</f>
        <v>50125</v>
      </c>
      <c r="B126" s="3" t="s">
        <v>679</v>
      </c>
      <c r="C126" s="3" t="s">
        <v>54</v>
      </c>
      <c r="D126" s="3" t="s">
        <v>175</v>
      </c>
      <c r="E126" s="4" t="s">
        <v>22</v>
      </c>
      <c r="F126" s="4" t="s">
        <v>680</v>
      </c>
      <c r="G126" s="4" t="s">
        <v>681</v>
      </c>
      <c r="H126" s="3" t="s">
        <v>25</v>
      </c>
      <c r="I126" s="3" t="s">
        <v>682</v>
      </c>
      <c r="J126" s="3" t="s">
        <v>683</v>
      </c>
      <c r="K126" s="3" t="s">
        <v>684</v>
      </c>
      <c r="L126" s="3"/>
      <c r="M126" s="4"/>
      <c r="N126" s="3" t="s">
        <v>37</v>
      </c>
      <c r="O126" s="3" t="s">
        <v>46</v>
      </c>
      <c r="P126" s="5">
        <v>7</v>
      </c>
      <c r="Q126" s="5">
        <v>51</v>
      </c>
      <c r="R126" s="5">
        <v>6</v>
      </c>
      <c r="S126" s="5">
        <v>42</v>
      </c>
    </row>
    <row r="127" spans="1:19" ht="28" x14ac:dyDescent="0.15">
      <c r="A127" s="2">
        <f>HYPERLINK("https://open-school.uspishnemisto.com.ua/school/50126/", 50126)</f>
        <v>50126</v>
      </c>
      <c r="B127" s="3" t="s">
        <v>685</v>
      </c>
      <c r="C127" s="3" t="s">
        <v>31</v>
      </c>
      <c r="D127" s="3" t="s">
        <v>175</v>
      </c>
      <c r="E127" s="4" t="s">
        <v>22</v>
      </c>
      <c r="F127" s="4" t="s">
        <v>686</v>
      </c>
      <c r="G127" s="4" t="s">
        <v>687</v>
      </c>
      <c r="H127" s="3" t="s">
        <v>25</v>
      </c>
      <c r="I127" s="3" t="s">
        <v>688</v>
      </c>
      <c r="J127" s="3" t="s">
        <v>466</v>
      </c>
      <c r="K127" s="3" t="s">
        <v>689</v>
      </c>
      <c r="L127" s="3"/>
      <c r="M127" s="4"/>
      <c r="N127" s="3" t="s">
        <v>37</v>
      </c>
      <c r="O127" s="3" t="s">
        <v>46</v>
      </c>
      <c r="P127" s="5">
        <v>7</v>
      </c>
      <c r="Q127" s="5">
        <v>48</v>
      </c>
      <c r="R127" s="5">
        <v>6</v>
      </c>
      <c r="S127" s="5">
        <v>43</v>
      </c>
    </row>
    <row r="128" spans="1:19" ht="28" x14ac:dyDescent="0.15">
      <c r="A128" s="2">
        <f>HYPERLINK("https://open-school.uspishnemisto.com.ua/school/50127/", 50127)</f>
        <v>50127</v>
      </c>
      <c r="B128" s="3" t="s">
        <v>690</v>
      </c>
      <c r="C128" s="3" t="s">
        <v>31</v>
      </c>
      <c r="D128" s="3" t="s">
        <v>175</v>
      </c>
      <c r="E128" s="4" t="s">
        <v>22</v>
      </c>
      <c r="F128" s="4" t="s">
        <v>691</v>
      </c>
      <c r="G128" s="4" t="s">
        <v>692</v>
      </c>
      <c r="H128" s="3" t="s">
        <v>25</v>
      </c>
      <c r="I128" s="3" t="s">
        <v>693</v>
      </c>
      <c r="J128" s="3" t="s">
        <v>694</v>
      </c>
      <c r="K128" s="3" t="s">
        <v>695</v>
      </c>
      <c r="L128" s="3"/>
      <c r="M128" s="4"/>
      <c r="N128" s="3" t="s">
        <v>37</v>
      </c>
      <c r="O128" s="3" t="s">
        <v>38</v>
      </c>
      <c r="P128" s="5">
        <v>9</v>
      </c>
      <c r="Q128" s="5">
        <v>80</v>
      </c>
      <c r="R128" s="5">
        <v>9</v>
      </c>
      <c r="S128" s="5">
        <v>79</v>
      </c>
    </row>
    <row r="129" spans="1:19" ht="28" x14ac:dyDescent="0.15">
      <c r="A129" s="2">
        <f>HYPERLINK("https://open-school.uspishnemisto.com.ua/school/50128/", 50128)</f>
        <v>50128</v>
      </c>
      <c r="B129" s="3" t="s">
        <v>696</v>
      </c>
      <c r="C129" s="3" t="s">
        <v>31</v>
      </c>
      <c r="D129" s="3" t="s">
        <v>32</v>
      </c>
      <c r="E129" s="4" t="s">
        <v>22</v>
      </c>
      <c r="F129" s="4" t="s">
        <v>697</v>
      </c>
      <c r="G129" s="4" t="s">
        <v>698</v>
      </c>
      <c r="H129" s="3" t="s">
        <v>25</v>
      </c>
      <c r="I129" s="3" t="s">
        <v>699</v>
      </c>
      <c r="J129" s="3" t="s">
        <v>700</v>
      </c>
      <c r="K129" s="3" t="s">
        <v>701</v>
      </c>
      <c r="L129" s="3"/>
      <c r="M129" s="4"/>
      <c r="N129" s="3" t="s">
        <v>37</v>
      </c>
      <c r="O129" s="3" t="s">
        <v>38</v>
      </c>
      <c r="P129" s="5">
        <v>11</v>
      </c>
      <c r="Q129" s="5">
        <v>117</v>
      </c>
      <c r="R129" s="5">
        <v>11</v>
      </c>
      <c r="S129" s="5">
        <v>122</v>
      </c>
    </row>
    <row r="130" spans="1:19" ht="28" x14ac:dyDescent="0.15">
      <c r="A130" s="2">
        <f>HYPERLINK("https://open-school.uspishnemisto.com.ua/school/50129/", 50129)</f>
        <v>50129</v>
      </c>
      <c r="B130" s="3" t="s">
        <v>702</v>
      </c>
      <c r="C130" s="3" t="s">
        <v>31</v>
      </c>
      <c r="D130" s="3" t="s">
        <v>175</v>
      </c>
      <c r="E130" s="4" t="s">
        <v>22</v>
      </c>
      <c r="F130" s="4" t="s">
        <v>703</v>
      </c>
      <c r="G130" s="4" t="s">
        <v>704</v>
      </c>
      <c r="H130" s="3" t="s">
        <v>25</v>
      </c>
      <c r="I130" s="3" t="s">
        <v>705</v>
      </c>
      <c r="J130" s="3" t="s">
        <v>706</v>
      </c>
      <c r="K130" s="3" t="s">
        <v>707</v>
      </c>
      <c r="L130" s="3"/>
      <c r="M130" s="4"/>
      <c r="N130" s="3" t="s">
        <v>37</v>
      </c>
      <c r="O130" s="3" t="s">
        <v>70</v>
      </c>
      <c r="P130" s="5">
        <v>6</v>
      </c>
      <c r="Q130" s="5">
        <v>49</v>
      </c>
      <c r="R130" s="5">
        <v>6</v>
      </c>
      <c r="S130" s="5">
        <v>50</v>
      </c>
    </row>
    <row r="131" spans="1:19" ht="28" x14ac:dyDescent="0.15">
      <c r="A131" s="2">
        <f>HYPERLINK("https://open-school.uspishnemisto.com.ua/school/50130/", 50130)</f>
        <v>50130</v>
      </c>
      <c r="B131" s="3" t="s">
        <v>708</v>
      </c>
      <c r="C131" s="3" t="s">
        <v>31</v>
      </c>
      <c r="D131" s="3" t="s">
        <v>175</v>
      </c>
      <c r="E131" s="4" t="s">
        <v>22</v>
      </c>
      <c r="F131" s="4" t="s">
        <v>709</v>
      </c>
      <c r="G131" s="4" t="s">
        <v>710</v>
      </c>
      <c r="H131" s="3" t="s">
        <v>25</v>
      </c>
      <c r="I131" s="3" t="s">
        <v>711</v>
      </c>
      <c r="J131" s="3" t="s">
        <v>712</v>
      </c>
      <c r="K131" s="3" t="s">
        <v>713</v>
      </c>
      <c r="L131" s="3"/>
      <c r="M131" s="4"/>
      <c r="N131" s="3" t="s">
        <v>37</v>
      </c>
      <c r="O131" s="3" t="s">
        <v>46</v>
      </c>
      <c r="P131" s="5">
        <v>8</v>
      </c>
      <c r="Q131" s="5">
        <v>101</v>
      </c>
      <c r="R131" s="5">
        <v>8</v>
      </c>
      <c r="S131" s="5">
        <v>93</v>
      </c>
    </row>
    <row r="132" spans="1:19" ht="28" x14ac:dyDescent="0.15">
      <c r="A132" s="2">
        <f>HYPERLINK("https://open-school.uspishnemisto.com.ua/school/50131/", 50131)</f>
        <v>50131</v>
      </c>
      <c r="B132" s="3" t="s">
        <v>714</v>
      </c>
      <c r="C132" s="3" t="s">
        <v>31</v>
      </c>
      <c r="D132" s="3" t="s">
        <v>32</v>
      </c>
      <c r="E132" s="4" t="s">
        <v>22</v>
      </c>
      <c r="F132" s="4" t="s">
        <v>715</v>
      </c>
      <c r="G132" s="4" t="s">
        <v>716</v>
      </c>
      <c r="H132" s="3" t="s">
        <v>25</v>
      </c>
      <c r="I132" s="3" t="s">
        <v>717</v>
      </c>
      <c r="J132" s="3" t="s">
        <v>718</v>
      </c>
      <c r="K132" s="3" t="s">
        <v>719</v>
      </c>
      <c r="L132" s="3" t="s">
        <v>720</v>
      </c>
      <c r="M132" s="4"/>
      <c r="N132" s="3" t="s">
        <v>37</v>
      </c>
      <c r="O132" s="3" t="s">
        <v>721</v>
      </c>
      <c r="P132" s="5">
        <v>11</v>
      </c>
      <c r="Q132" s="5">
        <v>108</v>
      </c>
      <c r="R132" s="5">
        <v>11</v>
      </c>
      <c r="S132" s="5">
        <v>119</v>
      </c>
    </row>
    <row r="133" spans="1:19" ht="28" x14ac:dyDescent="0.15">
      <c r="A133" s="2">
        <f>HYPERLINK("https://open-school.uspishnemisto.com.ua/school/50133/", 50133)</f>
        <v>50133</v>
      </c>
      <c r="B133" s="3" t="s">
        <v>722</v>
      </c>
      <c r="C133" s="3" t="s">
        <v>31</v>
      </c>
      <c r="D133" s="3" t="s">
        <v>175</v>
      </c>
      <c r="E133" s="4" t="s">
        <v>22</v>
      </c>
      <c r="F133" s="4" t="s">
        <v>723</v>
      </c>
      <c r="G133" s="4" t="s">
        <v>724</v>
      </c>
      <c r="H133" s="3" t="s">
        <v>25</v>
      </c>
      <c r="I133" s="3" t="s">
        <v>725</v>
      </c>
      <c r="J133" s="3" t="s">
        <v>726</v>
      </c>
      <c r="K133" s="3" t="s">
        <v>727</v>
      </c>
      <c r="L133" s="3" t="s">
        <v>728</v>
      </c>
      <c r="M133" s="4"/>
      <c r="N133" s="3" t="s">
        <v>37</v>
      </c>
      <c r="O133" s="3" t="s">
        <v>52</v>
      </c>
      <c r="P133" s="5">
        <v>5</v>
      </c>
      <c r="Q133" s="5">
        <v>29</v>
      </c>
      <c r="R133" s="5">
        <v>3</v>
      </c>
      <c r="S133" s="5">
        <v>28</v>
      </c>
    </row>
    <row r="134" spans="1:19" ht="28" x14ac:dyDescent="0.15">
      <c r="A134" s="2">
        <f>HYPERLINK("https://open-school.uspishnemisto.com.ua/school/50134/", 50134)</f>
        <v>50134</v>
      </c>
      <c r="B134" s="3" t="s">
        <v>729</v>
      </c>
      <c r="C134" s="3" t="s">
        <v>31</v>
      </c>
      <c r="D134" s="3" t="s">
        <v>32</v>
      </c>
      <c r="E134" s="4" t="s">
        <v>22</v>
      </c>
      <c r="F134" s="4" t="s">
        <v>730</v>
      </c>
      <c r="G134" s="4" t="s">
        <v>731</v>
      </c>
      <c r="H134" s="3" t="s">
        <v>25</v>
      </c>
      <c r="I134" s="3" t="s">
        <v>732</v>
      </c>
      <c r="J134" s="3" t="s">
        <v>733</v>
      </c>
      <c r="K134" s="3" t="s">
        <v>734</v>
      </c>
      <c r="L134" s="3" t="s">
        <v>735</v>
      </c>
      <c r="M134" s="4"/>
      <c r="N134" s="3" t="s">
        <v>37</v>
      </c>
      <c r="O134" s="3" t="s">
        <v>38</v>
      </c>
      <c r="P134" s="5">
        <v>11</v>
      </c>
      <c r="Q134" s="5">
        <v>120</v>
      </c>
      <c r="R134" s="5">
        <v>10</v>
      </c>
      <c r="S134" s="5">
        <v>117</v>
      </c>
    </row>
    <row r="135" spans="1:19" ht="28" x14ac:dyDescent="0.15">
      <c r="A135" s="2">
        <f>HYPERLINK("https://open-school.uspishnemisto.com.ua/school/50135/", 50135)</f>
        <v>50135</v>
      </c>
      <c r="B135" s="3" t="s">
        <v>736</v>
      </c>
      <c r="C135" s="3" t="s">
        <v>31</v>
      </c>
      <c r="D135" s="3" t="s">
        <v>175</v>
      </c>
      <c r="E135" s="4" t="s">
        <v>22</v>
      </c>
      <c r="F135" s="4" t="s">
        <v>737</v>
      </c>
      <c r="G135" s="4" t="s">
        <v>738</v>
      </c>
      <c r="H135" s="3" t="s">
        <v>25</v>
      </c>
      <c r="I135" s="3" t="s">
        <v>739</v>
      </c>
      <c r="J135" s="3" t="s">
        <v>740</v>
      </c>
      <c r="K135" s="3" t="s">
        <v>741</v>
      </c>
      <c r="L135" s="3" t="s">
        <v>742</v>
      </c>
      <c r="M135" s="4"/>
      <c r="N135" s="3" t="s">
        <v>37</v>
      </c>
      <c r="O135" s="3" t="s">
        <v>52</v>
      </c>
      <c r="P135" s="5">
        <v>9</v>
      </c>
      <c r="Q135" s="5">
        <v>84</v>
      </c>
      <c r="R135" s="5">
        <v>9</v>
      </c>
      <c r="S135" s="5">
        <v>80</v>
      </c>
    </row>
    <row r="136" spans="1:19" ht="28" x14ac:dyDescent="0.15">
      <c r="A136" s="2">
        <f>HYPERLINK("https://open-school.uspishnemisto.com.ua/school/50136/", 50136)</f>
        <v>50136</v>
      </c>
      <c r="B136" s="3" t="s">
        <v>743</v>
      </c>
      <c r="C136" s="3" t="s">
        <v>31</v>
      </c>
      <c r="D136" s="3" t="s">
        <v>32</v>
      </c>
      <c r="E136" s="4" t="s">
        <v>22</v>
      </c>
      <c r="F136" s="4" t="s">
        <v>744</v>
      </c>
      <c r="G136" s="4" t="s">
        <v>745</v>
      </c>
      <c r="H136" s="3" t="s">
        <v>25</v>
      </c>
      <c r="I136" s="3" t="s">
        <v>746</v>
      </c>
      <c r="J136" s="3" t="s">
        <v>747</v>
      </c>
      <c r="K136" s="3" t="s">
        <v>748</v>
      </c>
      <c r="L136" s="3" t="s">
        <v>749</v>
      </c>
      <c r="M136" s="4"/>
      <c r="N136" s="3" t="s">
        <v>37</v>
      </c>
      <c r="O136" s="3" t="s">
        <v>70</v>
      </c>
      <c r="P136" s="5">
        <v>10</v>
      </c>
      <c r="Q136" s="5">
        <v>80</v>
      </c>
      <c r="R136" s="5">
        <v>11</v>
      </c>
      <c r="S136" s="5">
        <v>83</v>
      </c>
    </row>
    <row r="137" spans="1:19" ht="28" x14ac:dyDescent="0.15">
      <c r="A137" s="2">
        <f>HYPERLINK("https://open-school.uspishnemisto.com.ua/school/50137/", 50137)</f>
        <v>50137</v>
      </c>
      <c r="B137" s="3" t="s">
        <v>750</v>
      </c>
      <c r="C137" s="3" t="s">
        <v>31</v>
      </c>
      <c r="D137" s="3" t="s">
        <v>32</v>
      </c>
      <c r="E137" s="4" t="s">
        <v>22</v>
      </c>
      <c r="F137" s="4" t="s">
        <v>751</v>
      </c>
      <c r="G137" s="4" t="s">
        <v>752</v>
      </c>
      <c r="H137" s="3" t="s">
        <v>25</v>
      </c>
      <c r="I137" s="3" t="s">
        <v>753</v>
      </c>
      <c r="J137" s="3" t="s">
        <v>754</v>
      </c>
      <c r="K137" s="3" t="s">
        <v>755</v>
      </c>
      <c r="L137" s="3" t="s">
        <v>756</v>
      </c>
      <c r="M137" s="4"/>
      <c r="N137" s="3" t="s">
        <v>37</v>
      </c>
      <c r="O137" s="3" t="s">
        <v>38</v>
      </c>
      <c r="P137" s="5">
        <v>10</v>
      </c>
      <c r="Q137" s="5">
        <v>80</v>
      </c>
      <c r="R137" s="5">
        <v>11</v>
      </c>
      <c r="S137" s="5">
        <v>80</v>
      </c>
    </row>
    <row r="138" spans="1:19" ht="28" x14ac:dyDescent="0.15">
      <c r="A138" s="2">
        <f>HYPERLINK("https://open-school.uspishnemisto.com.ua/school/50138/", 50138)</f>
        <v>50138</v>
      </c>
      <c r="B138" s="3" t="s">
        <v>757</v>
      </c>
      <c r="C138" s="3" t="s">
        <v>31</v>
      </c>
      <c r="D138" s="3" t="s">
        <v>175</v>
      </c>
      <c r="E138" s="4" t="s">
        <v>22</v>
      </c>
      <c r="F138" s="4" t="s">
        <v>758</v>
      </c>
      <c r="G138" s="4" t="s">
        <v>759</v>
      </c>
      <c r="H138" s="3" t="s">
        <v>25</v>
      </c>
      <c r="I138" s="3" t="s">
        <v>760</v>
      </c>
      <c r="J138" s="3" t="s">
        <v>761</v>
      </c>
      <c r="K138" s="3" t="s">
        <v>762</v>
      </c>
      <c r="L138" s="3"/>
      <c r="M138" s="4"/>
      <c r="N138" s="3" t="s">
        <v>37</v>
      </c>
      <c r="O138" s="3" t="s">
        <v>38</v>
      </c>
      <c r="P138" s="5">
        <v>8</v>
      </c>
      <c r="Q138" s="5">
        <v>53</v>
      </c>
      <c r="R138" s="5">
        <v>7</v>
      </c>
      <c r="S138" s="5">
        <v>48</v>
      </c>
    </row>
    <row r="139" spans="1:19" ht="28" x14ac:dyDescent="0.15">
      <c r="A139" s="2">
        <f>HYPERLINK("https://open-school.uspishnemisto.com.ua/school/50139/", 50139)</f>
        <v>50139</v>
      </c>
      <c r="B139" s="3" t="s">
        <v>763</v>
      </c>
      <c r="C139" s="3" t="s">
        <v>31</v>
      </c>
      <c r="D139" s="3" t="s">
        <v>32</v>
      </c>
      <c r="E139" s="4" t="s">
        <v>22</v>
      </c>
      <c r="F139" s="4" t="s">
        <v>764</v>
      </c>
      <c r="G139" s="4" t="s">
        <v>765</v>
      </c>
      <c r="H139" s="3" t="s">
        <v>25</v>
      </c>
      <c r="I139" s="3" t="s">
        <v>766</v>
      </c>
      <c r="J139" s="3" t="s">
        <v>537</v>
      </c>
      <c r="K139" s="3" t="s">
        <v>767</v>
      </c>
      <c r="L139" s="3"/>
      <c r="M139" s="4"/>
      <c r="N139" s="3" t="s">
        <v>37</v>
      </c>
      <c r="O139" s="3" t="s">
        <v>38</v>
      </c>
      <c r="P139" s="5">
        <v>13</v>
      </c>
      <c r="Q139" s="5">
        <v>244</v>
      </c>
      <c r="R139" s="5">
        <v>13</v>
      </c>
      <c r="S139" s="5">
        <v>247</v>
      </c>
    </row>
    <row r="140" spans="1:19" ht="28" x14ac:dyDescent="0.15">
      <c r="A140" s="2">
        <f>HYPERLINK("https://open-school.uspishnemisto.com.ua/school/50140/", 50140)</f>
        <v>50140</v>
      </c>
      <c r="B140" s="3" t="s">
        <v>768</v>
      </c>
      <c r="C140" s="3" t="s">
        <v>31</v>
      </c>
      <c r="D140" s="3" t="s">
        <v>32</v>
      </c>
      <c r="E140" s="4" t="s">
        <v>22</v>
      </c>
      <c r="F140" s="4" t="s">
        <v>769</v>
      </c>
      <c r="G140" s="4" t="s">
        <v>770</v>
      </c>
      <c r="H140" s="3" t="s">
        <v>25</v>
      </c>
      <c r="I140" s="3" t="s">
        <v>771</v>
      </c>
      <c r="J140" s="3" t="s">
        <v>772</v>
      </c>
      <c r="K140" s="3" t="s">
        <v>773</v>
      </c>
      <c r="L140" s="3"/>
      <c r="M140" s="4"/>
      <c r="N140" s="3" t="s">
        <v>37</v>
      </c>
      <c r="O140" s="3" t="s">
        <v>70</v>
      </c>
      <c r="P140" s="5">
        <v>19</v>
      </c>
      <c r="Q140" s="5">
        <v>369</v>
      </c>
      <c r="R140" s="5">
        <v>19</v>
      </c>
      <c r="S140" s="5">
        <v>356</v>
      </c>
    </row>
    <row r="141" spans="1:19" ht="28" x14ac:dyDescent="0.15">
      <c r="A141" s="2">
        <f>HYPERLINK("https://open-school.uspishnemisto.com.ua/school/50141/", 50141)</f>
        <v>50141</v>
      </c>
      <c r="B141" s="3" t="s">
        <v>774</v>
      </c>
      <c r="C141" s="3" t="s">
        <v>31</v>
      </c>
      <c r="D141" s="3" t="s">
        <v>32</v>
      </c>
      <c r="E141" s="4" t="s">
        <v>22</v>
      </c>
      <c r="F141" s="4" t="s">
        <v>775</v>
      </c>
      <c r="G141" s="4" t="s">
        <v>776</v>
      </c>
      <c r="H141" s="3" t="s">
        <v>25</v>
      </c>
      <c r="I141" s="3" t="s">
        <v>777</v>
      </c>
      <c r="J141" s="3" t="s">
        <v>778</v>
      </c>
      <c r="K141" s="3" t="s">
        <v>779</v>
      </c>
      <c r="L141" s="3" t="s">
        <v>780</v>
      </c>
      <c r="M141" s="4"/>
      <c r="N141" s="3" t="s">
        <v>37</v>
      </c>
      <c r="O141" s="3" t="s">
        <v>38</v>
      </c>
      <c r="P141" s="5">
        <v>21</v>
      </c>
      <c r="Q141" s="5">
        <v>455</v>
      </c>
      <c r="R141" s="5">
        <v>20</v>
      </c>
      <c r="S141" s="5">
        <v>444</v>
      </c>
    </row>
    <row r="142" spans="1:19" ht="28" x14ac:dyDescent="0.15">
      <c r="A142" s="2">
        <f>HYPERLINK("https://open-school.uspishnemisto.com.ua/school/50142/", 50142)</f>
        <v>50142</v>
      </c>
      <c r="B142" s="3" t="s">
        <v>781</v>
      </c>
      <c r="C142" s="3" t="s">
        <v>31</v>
      </c>
      <c r="D142" s="3" t="s">
        <v>32</v>
      </c>
      <c r="E142" s="4" t="s">
        <v>22</v>
      </c>
      <c r="F142" s="4" t="s">
        <v>782</v>
      </c>
      <c r="G142" s="4" t="s">
        <v>783</v>
      </c>
      <c r="H142" s="3" t="s">
        <v>25</v>
      </c>
      <c r="I142" s="3" t="s">
        <v>784</v>
      </c>
      <c r="J142" s="3" t="s">
        <v>785</v>
      </c>
      <c r="K142" s="3" t="s">
        <v>786</v>
      </c>
      <c r="L142" s="3" t="s">
        <v>787</v>
      </c>
      <c r="M142" s="4"/>
      <c r="N142" s="3" t="s">
        <v>37</v>
      </c>
      <c r="O142" s="3" t="s">
        <v>52</v>
      </c>
      <c r="P142" s="5">
        <v>11</v>
      </c>
      <c r="Q142" s="5">
        <v>102</v>
      </c>
      <c r="R142" s="5">
        <v>11</v>
      </c>
      <c r="S142" s="5">
        <v>96</v>
      </c>
    </row>
    <row r="143" spans="1:19" ht="28" x14ac:dyDescent="0.15">
      <c r="A143" s="2">
        <f>HYPERLINK("https://open-school.uspishnemisto.com.ua/school/50143/", 50143)</f>
        <v>50143</v>
      </c>
      <c r="B143" s="3" t="s">
        <v>788</v>
      </c>
      <c r="C143" s="3" t="s">
        <v>31</v>
      </c>
      <c r="D143" s="3" t="s">
        <v>175</v>
      </c>
      <c r="E143" s="4" t="s">
        <v>22</v>
      </c>
      <c r="F143" s="4" t="s">
        <v>789</v>
      </c>
      <c r="G143" s="4" t="s">
        <v>790</v>
      </c>
      <c r="H143" s="3" t="s">
        <v>25</v>
      </c>
      <c r="I143" s="3" t="s">
        <v>791</v>
      </c>
      <c r="J143" s="3" t="s">
        <v>792</v>
      </c>
      <c r="K143" s="3" t="s">
        <v>793</v>
      </c>
      <c r="L143" s="3"/>
      <c r="M143" s="4"/>
      <c r="N143" s="3" t="s">
        <v>37</v>
      </c>
      <c r="O143" s="3" t="s">
        <v>70</v>
      </c>
      <c r="P143" s="5">
        <v>6</v>
      </c>
      <c r="Q143" s="5">
        <v>45</v>
      </c>
      <c r="R143" s="5">
        <v>6</v>
      </c>
      <c r="S143" s="5">
        <v>45</v>
      </c>
    </row>
    <row r="144" spans="1:19" ht="28" x14ac:dyDescent="0.15">
      <c r="A144" s="2">
        <f>HYPERLINK("https://open-school.uspishnemisto.com.ua/school/50144/", 50144)</f>
        <v>50144</v>
      </c>
      <c r="B144" s="3" t="s">
        <v>794</v>
      </c>
      <c r="C144" s="3" t="s">
        <v>31</v>
      </c>
      <c r="D144" s="3" t="s">
        <v>32</v>
      </c>
      <c r="E144" s="4" t="s">
        <v>22</v>
      </c>
      <c r="F144" s="4" t="s">
        <v>795</v>
      </c>
      <c r="G144" s="4" t="s">
        <v>796</v>
      </c>
      <c r="H144" s="3" t="s">
        <v>25</v>
      </c>
      <c r="I144" s="3" t="s">
        <v>797</v>
      </c>
      <c r="J144" s="3" t="s">
        <v>798</v>
      </c>
      <c r="K144" s="3" t="s">
        <v>799</v>
      </c>
      <c r="L144" s="3" t="s">
        <v>800</v>
      </c>
      <c r="M144" s="4"/>
      <c r="N144" s="3" t="s">
        <v>37</v>
      </c>
      <c r="O144" s="3" t="s">
        <v>38</v>
      </c>
      <c r="P144" s="5">
        <v>11</v>
      </c>
      <c r="Q144" s="5">
        <v>187</v>
      </c>
      <c r="R144" s="5">
        <v>11</v>
      </c>
      <c r="S144" s="5">
        <v>184</v>
      </c>
    </row>
    <row r="145" spans="1:19" ht="56" x14ac:dyDescent="0.15">
      <c r="A145" s="2">
        <f>HYPERLINK("https://open-school.uspishnemisto.com.ua/school/50145/", 50145)</f>
        <v>50145</v>
      </c>
      <c r="B145" s="3" t="s">
        <v>801</v>
      </c>
      <c r="C145" s="3" t="s">
        <v>54</v>
      </c>
      <c r="D145" s="3" t="s">
        <v>175</v>
      </c>
      <c r="E145" s="4" t="s">
        <v>22</v>
      </c>
      <c r="F145" s="4" t="s">
        <v>802</v>
      </c>
      <c r="G145" s="4" t="s">
        <v>803</v>
      </c>
      <c r="H145" s="3" t="s">
        <v>25</v>
      </c>
      <c r="I145" s="3" t="s">
        <v>804</v>
      </c>
      <c r="J145" s="3" t="s">
        <v>805</v>
      </c>
      <c r="K145" s="3" t="s">
        <v>806</v>
      </c>
      <c r="L145" s="3" t="s">
        <v>807</v>
      </c>
      <c r="M145" s="4"/>
      <c r="N145" s="3" t="s">
        <v>37</v>
      </c>
      <c r="O145" s="3" t="s">
        <v>52</v>
      </c>
      <c r="P145" s="5">
        <v>5</v>
      </c>
      <c r="Q145" s="5">
        <v>42</v>
      </c>
      <c r="R145" s="5">
        <v>4</v>
      </c>
      <c r="S145" s="5">
        <v>39</v>
      </c>
    </row>
    <row r="146" spans="1:19" ht="28" x14ac:dyDescent="0.15">
      <c r="A146" s="2">
        <f>HYPERLINK("https://open-school.uspishnemisto.com.ua/school/50146/", 50146)</f>
        <v>50146</v>
      </c>
      <c r="B146" s="3" t="s">
        <v>808</v>
      </c>
      <c r="C146" s="3" t="s">
        <v>31</v>
      </c>
      <c r="D146" s="3" t="s">
        <v>32</v>
      </c>
      <c r="E146" s="4" t="s">
        <v>22</v>
      </c>
      <c r="F146" s="4" t="s">
        <v>809</v>
      </c>
      <c r="G146" s="4" t="s">
        <v>810</v>
      </c>
      <c r="H146" s="3" t="s">
        <v>25</v>
      </c>
      <c r="I146" s="3" t="s">
        <v>811</v>
      </c>
      <c r="J146" s="3" t="s">
        <v>466</v>
      </c>
      <c r="K146" s="3" t="s">
        <v>812</v>
      </c>
      <c r="L146" s="3"/>
      <c r="M146" s="4"/>
      <c r="N146" s="3" t="s">
        <v>37</v>
      </c>
      <c r="O146" s="3" t="s">
        <v>46</v>
      </c>
      <c r="P146" s="5">
        <v>10</v>
      </c>
      <c r="Q146" s="5">
        <v>157</v>
      </c>
      <c r="R146" s="5">
        <v>11</v>
      </c>
      <c r="S146" s="5">
        <v>165</v>
      </c>
    </row>
    <row r="147" spans="1:19" ht="28" x14ac:dyDescent="0.15">
      <c r="A147" s="2">
        <f>HYPERLINK("https://open-school.uspishnemisto.com.ua/school/50147/", 50147)</f>
        <v>50147</v>
      </c>
      <c r="B147" s="3" t="s">
        <v>813</v>
      </c>
      <c r="C147" s="3" t="s">
        <v>31</v>
      </c>
      <c r="D147" s="3" t="s">
        <v>32</v>
      </c>
      <c r="E147" s="4" t="s">
        <v>22</v>
      </c>
      <c r="F147" s="4" t="s">
        <v>814</v>
      </c>
      <c r="G147" s="4" t="s">
        <v>815</v>
      </c>
      <c r="H147" s="3" t="s">
        <v>25</v>
      </c>
      <c r="I147" s="3" t="s">
        <v>816</v>
      </c>
      <c r="J147" s="3" t="s">
        <v>817</v>
      </c>
      <c r="K147" s="3" t="s">
        <v>818</v>
      </c>
      <c r="L147" s="3" t="s">
        <v>819</v>
      </c>
      <c r="M147" s="4"/>
      <c r="N147" s="3" t="s">
        <v>37</v>
      </c>
      <c r="O147" s="3" t="s">
        <v>38</v>
      </c>
      <c r="P147" s="5">
        <v>27</v>
      </c>
      <c r="Q147" s="5">
        <v>688</v>
      </c>
      <c r="R147" s="5">
        <v>26</v>
      </c>
      <c r="S147" s="5">
        <v>642</v>
      </c>
    </row>
    <row r="148" spans="1:19" ht="28" x14ac:dyDescent="0.15">
      <c r="A148" s="2">
        <f>HYPERLINK("https://open-school.uspishnemisto.com.ua/school/50149/", 50149)</f>
        <v>50149</v>
      </c>
      <c r="B148" s="3" t="s">
        <v>820</v>
      </c>
      <c r="C148" s="3" t="s">
        <v>54</v>
      </c>
      <c r="D148" s="3" t="s">
        <v>60</v>
      </c>
      <c r="E148" s="4" t="s">
        <v>22</v>
      </c>
      <c r="F148" s="4" t="s">
        <v>821</v>
      </c>
      <c r="G148" s="4" t="s">
        <v>822</v>
      </c>
      <c r="H148" s="3" t="s">
        <v>25</v>
      </c>
      <c r="I148" s="3" t="s">
        <v>823</v>
      </c>
      <c r="J148" s="3" t="s">
        <v>824</v>
      </c>
      <c r="K148" s="3" t="s">
        <v>825</v>
      </c>
      <c r="L148" s="3" t="s">
        <v>826</v>
      </c>
      <c r="M148" s="4"/>
      <c r="N148" s="3" t="s">
        <v>37</v>
      </c>
      <c r="O148" s="3" t="s">
        <v>52</v>
      </c>
      <c r="P148" s="5">
        <v>3</v>
      </c>
      <c r="Q148" s="5">
        <v>40</v>
      </c>
      <c r="R148" s="5">
        <v>3</v>
      </c>
      <c r="S148" s="5">
        <v>40</v>
      </c>
    </row>
    <row r="149" spans="1:19" ht="28" x14ac:dyDescent="0.15">
      <c r="A149" s="2">
        <f>HYPERLINK("https://open-school.uspishnemisto.com.ua/school/50150/", 50150)</f>
        <v>50150</v>
      </c>
      <c r="B149" s="3" t="s">
        <v>827</v>
      </c>
      <c r="C149" s="3" t="s">
        <v>54</v>
      </c>
      <c r="D149" s="3" t="s">
        <v>32</v>
      </c>
      <c r="E149" s="4" t="s">
        <v>22</v>
      </c>
      <c r="F149" s="4" t="s">
        <v>828</v>
      </c>
      <c r="G149" s="4" t="s">
        <v>829</v>
      </c>
      <c r="H149" s="3" t="s">
        <v>25</v>
      </c>
      <c r="I149" s="3" t="s">
        <v>830</v>
      </c>
      <c r="J149" s="3" t="s">
        <v>831</v>
      </c>
      <c r="K149" s="3" t="s">
        <v>832</v>
      </c>
      <c r="L149" s="3" t="s">
        <v>833</v>
      </c>
      <c r="M149" s="4"/>
      <c r="N149" s="3" t="s">
        <v>37</v>
      </c>
      <c r="O149" s="3" t="s">
        <v>46</v>
      </c>
      <c r="P149" s="5">
        <v>26</v>
      </c>
      <c r="Q149" s="5">
        <v>607</v>
      </c>
      <c r="R149" s="5">
        <v>24</v>
      </c>
      <c r="S149" s="5">
        <v>585</v>
      </c>
    </row>
    <row r="150" spans="1:19" ht="28" x14ac:dyDescent="0.15">
      <c r="A150" s="2">
        <f>HYPERLINK("https://open-school.uspishnemisto.com.ua/school/50151/", 50151)</f>
        <v>50151</v>
      </c>
      <c r="B150" s="3" t="s">
        <v>834</v>
      </c>
      <c r="C150" s="3" t="s">
        <v>31</v>
      </c>
      <c r="D150" s="3" t="s">
        <v>32</v>
      </c>
      <c r="E150" s="4" t="s">
        <v>22</v>
      </c>
      <c r="F150" s="4" t="s">
        <v>835</v>
      </c>
      <c r="G150" s="4" t="s">
        <v>829</v>
      </c>
      <c r="H150" s="3" t="s">
        <v>25</v>
      </c>
      <c r="I150" s="3" t="s">
        <v>830</v>
      </c>
      <c r="J150" s="3" t="s">
        <v>836</v>
      </c>
      <c r="K150" s="3" t="s">
        <v>837</v>
      </c>
      <c r="L150" s="3"/>
      <c r="M150" s="4"/>
      <c r="N150" s="3" t="s">
        <v>37</v>
      </c>
      <c r="O150" s="3" t="s">
        <v>70</v>
      </c>
      <c r="P150" s="5">
        <v>19</v>
      </c>
      <c r="Q150" s="5">
        <v>456</v>
      </c>
      <c r="R150" s="5">
        <v>18</v>
      </c>
      <c r="S150" s="5">
        <v>419</v>
      </c>
    </row>
    <row r="151" spans="1:19" ht="28" x14ac:dyDescent="0.15">
      <c r="A151" s="2">
        <f>HYPERLINK("https://open-school.uspishnemisto.com.ua/school/50152/", 50152)</f>
        <v>50152</v>
      </c>
      <c r="B151" s="3" t="s">
        <v>838</v>
      </c>
      <c r="C151" s="3" t="s">
        <v>31</v>
      </c>
      <c r="D151" s="3" t="s">
        <v>32</v>
      </c>
      <c r="E151" s="4" t="s">
        <v>22</v>
      </c>
      <c r="F151" s="4" t="s">
        <v>839</v>
      </c>
      <c r="G151" s="4" t="s">
        <v>840</v>
      </c>
      <c r="H151" s="3" t="s">
        <v>25</v>
      </c>
      <c r="I151" s="3" t="s">
        <v>841</v>
      </c>
      <c r="J151" s="3" t="s">
        <v>78</v>
      </c>
      <c r="K151" s="3" t="s">
        <v>842</v>
      </c>
      <c r="L151" s="3" t="s">
        <v>843</v>
      </c>
      <c r="M151" s="4"/>
      <c r="N151" s="3" t="s">
        <v>37</v>
      </c>
      <c r="O151" s="3" t="s">
        <v>38</v>
      </c>
      <c r="P151" s="5">
        <v>21</v>
      </c>
      <c r="Q151" s="5">
        <v>418</v>
      </c>
      <c r="R151" s="5">
        <v>20</v>
      </c>
      <c r="S151" s="5">
        <v>391</v>
      </c>
    </row>
    <row r="152" spans="1:19" ht="28" x14ac:dyDescent="0.15">
      <c r="A152" s="2">
        <f>HYPERLINK("https://open-school.uspishnemisto.com.ua/school/50153/", 50153)</f>
        <v>50153</v>
      </c>
      <c r="B152" s="3" t="s">
        <v>844</v>
      </c>
      <c r="C152" s="3" t="s">
        <v>181</v>
      </c>
      <c r="D152" s="3" t="s">
        <v>175</v>
      </c>
      <c r="E152" s="4" t="s">
        <v>22</v>
      </c>
      <c r="F152" s="4" t="s">
        <v>839</v>
      </c>
      <c r="G152" s="4" t="s">
        <v>840</v>
      </c>
      <c r="H152" s="3" t="s">
        <v>25</v>
      </c>
      <c r="I152" s="3" t="s">
        <v>841</v>
      </c>
      <c r="J152" s="3" t="s">
        <v>845</v>
      </c>
      <c r="K152" s="3" t="s">
        <v>846</v>
      </c>
      <c r="L152" s="3"/>
      <c r="M152" s="4" t="s">
        <v>847</v>
      </c>
      <c r="N152" s="3" t="s">
        <v>37</v>
      </c>
      <c r="O152" s="3"/>
      <c r="P152" s="5">
        <v>10</v>
      </c>
      <c r="Q152" s="5">
        <v>111</v>
      </c>
      <c r="R152" s="5">
        <v>10</v>
      </c>
      <c r="S152" s="5">
        <v>116</v>
      </c>
    </row>
    <row r="153" spans="1:19" ht="28" x14ac:dyDescent="0.15">
      <c r="A153" s="2">
        <f>HYPERLINK("https://open-school.uspishnemisto.com.ua/school/50154/", 50154)</f>
        <v>50154</v>
      </c>
      <c r="B153" s="3" t="s">
        <v>848</v>
      </c>
      <c r="C153" s="3" t="s">
        <v>31</v>
      </c>
      <c r="D153" s="3" t="s">
        <v>32</v>
      </c>
      <c r="E153" s="4" t="s">
        <v>22</v>
      </c>
      <c r="F153" s="4" t="s">
        <v>849</v>
      </c>
      <c r="G153" s="4" t="s">
        <v>850</v>
      </c>
      <c r="H153" s="3" t="s">
        <v>25</v>
      </c>
      <c r="I153" s="3" t="s">
        <v>851</v>
      </c>
      <c r="J153" s="3" t="s">
        <v>852</v>
      </c>
      <c r="K153" s="3" t="s">
        <v>853</v>
      </c>
      <c r="L153" s="3" t="s">
        <v>854</v>
      </c>
      <c r="M153" s="4"/>
      <c r="N153" s="3" t="s">
        <v>37</v>
      </c>
      <c r="O153" s="3" t="s">
        <v>38</v>
      </c>
      <c r="P153" s="5">
        <v>11</v>
      </c>
      <c r="Q153" s="5">
        <v>163</v>
      </c>
      <c r="R153" s="5">
        <v>11</v>
      </c>
      <c r="S153" s="5">
        <v>158</v>
      </c>
    </row>
    <row r="154" spans="1:19" ht="42" x14ac:dyDescent="0.15">
      <c r="A154" s="2">
        <f>HYPERLINK("https://open-school.uspishnemisto.com.ua/school/50155/", 50155)</f>
        <v>50155</v>
      </c>
      <c r="B154" s="3" t="s">
        <v>855</v>
      </c>
      <c r="C154" s="3" t="s">
        <v>54</v>
      </c>
      <c r="D154" s="3" t="s">
        <v>175</v>
      </c>
      <c r="E154" s="4" t="s">
        <v>22</v>
      </c>
      <c r="F154" s="4" t="s">
        <v>856</v>
      </c>
      <c r="G154" s="4" t="s">
        <v>857</v>
      </c>
      <c r="H154" s="3" t="s">
        <v>25</v>
      </c>
      <c r="I154" s="3" t="s">
        <v>858</v>
      </c>
      <c r="J154" s="3" t="s">
        <v>859</v>
      </c>
      <c r="K154" s="3" t="s">
        <v>860</v>
      </c>
      <c r="L154" s="3" t="s">
        <v>861</v>
      </c>
      <c r="M154" s="4"/>
      <c r="N154" s="3" t="s">
        <v>37</v>
      </c>
      <c r="O154" s="3" t="s">
        <v>38</v>
      </c>
      <c r="P154" s="5">
        <v>8</v>
      </c>
      <c r="Q154" s="5">
        <v>53</v>
      </c>
      <c r="R154" s="5">
        <v>8</v>
      </c>
      <c r="S154" s="5">
        <v>58</v>
      </c>
    </row>
    <row r="155" spans="1:19" ht="42" x14ac:dyDescent="0.15">
      <c r="A155" s="2">
        <f>HYPERLINK("https://open-school.uspishnemisto.com.ua/school/50156/", 50156)</f>
        <v>50156</v>
      </c>
      <c r="B155" s="3" t="s">
        <v>862</v>
      </c>
      <c r="C155" s="3" t="s">
        <v>54</v>
      </c>
      <c r="D155" s="3" t="s">
        <v>32</v>
      </c>
      <c r="E155" s="4" t="s">
        <v>22</v>
      </c>
      <c r="F155" s="4" t="s">
        <v>863</v>
      </c>
      <c r="G155" s="4" t="s">
        <v>864</v>
      </c>
      <c r="H155" s="3" t="s">
        <v>25</v>
      </c>
      <c r="I155" s="3" t="s">
        <v>865</v>
      </c>
      <c r="J155" s="3" t="s">
        <v>866</v>
      </c>
      <c r="K155" s="3" t="s">
        <v>867</v>
      </c>
      <c r="L155" s="3" t="s">
        <v>868</v>
      </c>
      <c r="M155" s="4"/>
      <c r="N155" s="3" t="s">
        <v>37</v>
      </c>
      <c r="O155" s="3" t="s">
        <v>38</v>
      </c>
      <c r="P155" s="5">
        <v>20</v>
      </c>
      <c r="Q155" s="5">
        <v>483</v>
      </c>
      <c r="R155" s="5">
        <v>20</v>
      </c>
      <c r="S155" s="5">
        <v>475</v>
      </c>
    </row>
    <row r="156" spans="1:19" ht="28" x14ac:dyDescent="0.15">
      <c r="A156" s="2">
        <f>HYPERLINK("https://open-school.uspishnemisto.com.ua/school/50157/", 50157)</f>
        <v>50157</v>
      </c>
      <c r="B156" s="3" t="s">
        <v>869</v>
      </c>
      <c r="C156" s="3" t="s">
        <v>31</v>
      </c>
      <c r="D156" s="3" t="s">
        <v>32</v>
      </c>
      <c r="E156" s="4" t="s">
        <v>22</v>
      </c>
      <c r="F156" s="4" t="s">
        <v>870</v>
      </c>
      <c r="G156" s="4" t="s">
        <v>871</v>
      </c>
      <c r="H156" s="3" t="s">
        <v>25</v>
      </c>
      <c r="I156" s="3" t="s">
        <v>872</v>
      </c>
      <c r="J156" s="3" t="s">
        <v>873</v>
      </c>
      <c r="K156" s="3" t="s">
        <v>874</v>
      </c>
      <c r="L156" s="3"/>
      <c r="M156" s="4"/>
      <c r="N156" s="3" t="s">
        <v>37</v>
      </c>
      <c r="O156" s="3" t="s">
        <v>38</v>
      </c>
      <c r="P156" s="5">
        <v>10</v>
      </c>
      <c r="Q156" s="5">
        <v>155</v>
      </c>
      <c r="R156" s="5">
        <v>10</v>
      </c>
      <c r="S156" s="5">
        <v>160</v>
      </c>
    </row>
    <row r="157" spans="1:19" ht="28" x14ac:dyDescent="0.15">
      <c r="A157" s="2">
        <f>HYPERLINK("https://open-school.uspishnemisto.com.ua/school/50158/", 50158)</f>
        <v>50158</v>
      </c>
      <c r="B157" s="3" t="s">
        <v>875</v>
      </c>
      <c r="C157" s="3" t="s">
        <v>31</v>
      </c>
      <c r="D157" s="3" t="s">
        <v>32</v>
      </c>
      <c r="E157" s="4" t="s">
        <v>22</v>
      </c>
      <c r="F157" s="4" t="s">
        <v>876</v>
      </c>
      <c r="G157" s="4" t="s">
        <v>877</v>
      </c>
      <c r="H157" s="3" t="s">
        <v>25</v>
      </c>
      <c r="I157" s="3" t="s">
        <v>688</v>
      </c>
      <c r="J157" s="3" t="s">
        <v>878</v>
      </c>
      <c r="K157" s="3" t="s">
        <v>879</v>
      </c>
      <c r="L157" s="3"/>
      <c r="M157" s="4"/>
      <c r="N157" s="3" t="s">
        <v>37</v>
      </c>
      <c r="O157" s="3" t="s">
        <v>38</v>
      </c>
      <c r="P157" s="5">
        <v>11</v>
      </c>
      <c r="Q157" s="5">
        <v>181</v>
      </c>
      <c r="R157" s="5">
        <v>11</v>
      </c>
      <c r="S157" s="5">
        <v>171</v>
      </c>
    </row>
    <row r="158" spans="1:19" ht="28" x14ac:dyDescent="0.15">
      <c r="A158" s="2">
        <f>HYPERLINK("https://open-school.uspishnemisto.com.ua/school/50159/", 50159)</f>
        <v>50159</v>
      </c>
      <c r="B158" s="3" t="s">
        <v>880</v>
      </c>
      <c r="C158" s="3" t="s">
        <v>31</v>
      </c>
      <c r="D158" s="3" t="s">
        <v>175</v>
      </c>
      <c r="E158" s="4" t="s">
        <v>22</v>
      </c>
      <c r="F158" s="4" t="s">
        <v>881</v>
      </c>
      <c r="G158" s="4" t="s">
        <v>882</v>
      </c>
      <c r="H158" s="3" t="s">
        <v>25</v>
      </c>
      <c r="I158" s="3" t="s">
        <v>883</v>
      </c>
      <c r="J158" s="3" t="s">
        <v>884</v>
      </c>
      <c r="K158" s="3" t="s">
        <v>885</v>
      </c>
      <c r="L158" s="3"/>
      <c r="M158" s="4"/>
      <c r="N158" s="3" t="s">
        <v>37</v>
      </c>
      <c r="O158" s="3" t="s">
        <v>38</v>
      </c>
      <c r="P158" s="5">
        <v>8</v>
      </c>
      <c r="Q158" s="5">
        <v>60</v>
      </c>
      <c r="R158" s="5">
        <v>9</v>
      </c>
      <c r="S158" s="5">
        <v>62</v>
      </c>
    </row>
    <row r="159" spans="1:19" ht="28" x14ac:dyDescent="0.15">
      <c r="A159" s="2">
        <f>HYPERLINK("https://open-school.uspishnemisto.com.ua/school/50160/", 50160)</f>
        <v>50160</v>
      </c>
      <c r="B159" s="3" t="s">
        <v>886</v>
      </c>
      <c r="C159" s="3" t="s">
        <v>31</v>
      </c>
      <c r="D159" s="3" t="s">
        <v>175</v>
      </c>
      <c r="E159" s="4" t="s">
        <v>22</v>
      </c>
      <c r="F159" s="4" t="s">
        <v>887</v>
      </c>
      <c r="G159" s="4" t="s">
        <v>888</v>
      </c>
      <c r="H159" s="3" t="s">
        <v>25</v>
      </c>
      <c r="I159" s="3" t="s">
        <v>889</v>
      </c>
      <c r="J159" s="3" t="s">
        <v>890</v>
      </c>
      <c r="K159" s="3" t="s">
        <v>891</v>
      </c>
      <c r="L159" s="3" t="s">
        <v>892</v>
      </c>
      <c r="M159" s="4"/>
      <c r="N159" s="3" t="s">
        <v>37</v>
      </c>
      <c r="O159" s="3" t="s">
        <v>38</v>
      </c>
      <c r="P159" s="5">
        <v>8</v>
      </c>
      <c r="Q159" s="5">
        <v>81</v>
      </c>
      <c r="R159" s="5">
        <v>8</v>
      </c>
      <c r="S159" s="5">
        <v>91</v>
      </c>
    </row>
    <row r="160" spans="1:19" ht="56" x14ac:dyDescent="0.15">
      <c r="A160" s="2">
        <f>HYPERLINK("https://open-school.uspishnemisto.com.ua/school/50161/", 50161)</f>
        <v>50161</v>
      </c>
      <c r="B160" s="3" t="s">
        <v>893</v>
      </c>
      <c r="C160" s="3" t="s">
        <v>54</v>
      </c>
      <c r="D160" s="3" t="s">
        <v>175</v>
      </c>
      <c r="E160" s="4" t="s">
        <v>22</v>
      </c>
      <c r="F160" s="4" t="s">
        <v>814</v>
      </c>
      <c r="G160" s="4" t="s">
        <v>894</v>
      </c>
      <c r="H160" s="3" t="s">
        <v>25</v>
      </c>
      <c r="I160" s="3" t="s">
        <v>895</v>
      </c>
      <c r="J160" s="3" t="s">
        <v>896</v>
      </c>
      <c r="K160" s="3" t="s">
        <v>897</v>
      </c>
      <c r="L160" s="3" t="s">
        <v>898</v>
      </c>
      <c r="M160" s="4"/>
      <c r="N160" s="3" t="s">
        <v>37</v>
      </c>
      <c r="O160" s="3" t="s">
        <v>38</v>
      </c>
      <c r="P160" s="5">
        <v>8</v>
      </c>
      <c r="Q160" s="5">
        <v>59</v>
      </c>
      <c r="R160" s="5">
        <v>8</v>
      </c>
      <c r="S160" s="5">
        <v>61</v>
      </c>
    </row>
    <row r="161" spans="1:19" ht="28" x14ac:dyDescent="0.15">
      <c r="A161" s="2">
        <f>HYPERLINK("https://open-school.uspishnemisto.com.ua/school/50162/", 50162)</f>
        <v>50162</v>
      </c>
      <c r="B161" s="3" t="s">
        <v>899</v>
      </c>
      <c r="C161" s="3" t="s">
        <v>31</v>
      </c>
      <c r="D161" s="3" t="s">
        <v>60</v>
      </c>
      <c r="E161" s="4" t="s">
        <v>22</v>
      </c>
      <c r="F161" s="4" t="s">
        <v>900</v>
      </c>
      <c r="G161" s="4" t="s">
        <v>901</v>
      </c>
      <c r="H161" s="3" t="s">
        <v>25</v>
      </c>
      <c r="I161" s="3" t="s">
        <v>902</v>
      </c>
      <c r="J161" s="3" t="s">
        <v>903</v>
      </c>
      <c r="K161" s="3"/>
      <c r="L161" s="3"/>
      <c r="M161" s="4"/>
      <c r="N161" s="3" t="s">
        <v>37</v>
      </c>
      <c r="O161" s="3" t="s">
        <v>52</v>
      </c>
      <c r="P161" s="5">
        <v>4</v>
      </c>
      <c r="Q161" s="5">
        <v>40</v>
      </c>
      <c r="R161" s="5">
        <v>4</v>
      </c>
      <c r="S161" s="5">
        <v>35</v>
      </c>
    </row>
    <row r="162" spans="1:19" ht="28" x14ac:dyDescent="0.15">
      <c r="A162" s="2">
        <f>HYPERLINK("https://open-school.uspishnemisto.com.ua/school/50163/", 50163)</f>
        <v>50163</v>
      </c>
      <c r="B162" s="3" t="s">
        <v>904</v>
      </c>
      <c r="C162" s="3" t="s">
        <v>31</v>
      </c>
      <c r="D162" s="3" t="s">
        <v>60</v>
      </c>
      <c r="E162" s="4" t="s">
        <v>22</v>
      </c>
      <c r="F162" s="4" t="s">
        <v>905</v>
      </c>
      <c r="G162" s="4" t="s">
        <v>906</v>
      </c>
      <c r="H162" s="3" t="s">
        <v>25</v>
      </c>
      <c r="I162" s="3" t="s">
        <v>907</v>
      </c>
      <c r="J162" s="3" t="s">
        <v>908</v>
      </c>
      <c r="K162" s="3"/>
      <c r="L162" s="3" t="s">
        <v>909</v>
      </c>
      <c r="M162" s="4"/>
      <c r="N162" s="3" t="s">
        <v>37</v>
      </c>
      <c r="O162" s="3" t="s">
        <v>52</v>
      </c>
      <c r="P162" s="5">
        <v>1</v>
      </c>
      <c r="Q162" s="5">
        <v>14</v>
      </c>
      <c r="R162" s="5">
        <v>2</v>
      </c>
      <c r="S162" s="5">
        <v>17</v>
      </c>
    </row>
    <row r="163" spans="1:19" ht="28" x14ac:dyDescent="0.15">
      <c r="A163" s="2">
        <f>HYPERLINK("https://open-school.uspishnemisto.com.ua/school/50164/", 50164)</f>
        <v>50164</v>
      </c>
      <c r="B163" s="3" t="s">
        <v>910</v>
      </c>
      <c r="C163" s="3" t="s">
        <v>31</v>
      </c>
      <c r="D163" s="3" t="s">
        <v>175</v>
      </c>
      <c r="E163" s="4" t="s">
        <v>22</v>
      </c>
      <c r="F163" s="4" t="s">
        <v>911</v>
      </c>
      <c r="G163" s="4" t="s">
        <v>912</v>
      </c>
      <c r="H163" s="3" t="s">
        <v>25</v>
      </c>
      <c r="I163" s="3" t="s">
        <v>913</v>
      </c>
      <c r="J163" s="3" t="s">
        <v>914</v>
      </c>
      <c r="K163" s="3" t="s">
        <v>915</v>
      </c>
      <c r="L163" s="3" t="s">
        <v>916</v>
      </c>
      <c r="M163" s="4"/>
      <c r="N163" s="3" t="s">
        <v>37</v>
      </c>
      <c r="O163" s="3" t="s">
        <v>38</v>
      </c>
      <c r="P163" s="5">
        <v>9</v>
      </c>
      <c r="Q163" s="5">
        <v>93</v>
      </c>
      <c r="R163" s="5">
        <v>9</v>
      </c>
      <c r="S163" s="5">
        <v>86</v>
      </c>
    </row>
    <row r="164" spans="1:19" ht="42" x14ac:dyDescent="0.15">
      <c r="A164" s="2">
        <f>HYPERLINK("https://open-school.uspishnemisto.com.ua/school/50165/", 50165)</f>
        <v>50165</v>
      </c>
      <c r="B164" s="3" t="s">
        <v>917</v>
      </c>
      <c r="C164" s="3" t="s">
        <v>54</v>
      </c>
      <c r="D164" s="3" t="s">
        <v>60</v>
      </c>
      <c r="E164" s="4" t="s">
        <v>22</v>
      </c>
      <c r="F164" s="4" t="s">
        <v>918</v>
      </c>
      <c r="G164" s="4" t="s">
        <v>919</v>
      </c>
      <c r="H164" s="3" t="s">
        <v>25</v>
      </c>
      <c r="I164" s="3" t="s">
        <v>920</v>
      </c>
      <c r="J164" s="3" t="s">
        <v>921</v>
      </c>
      <c r="K164" s="3" t="s">
        <v>922</v>
      </c>
      <c r="L164" s="3"/>
      <c r="M164" s="4"/>
      <c r="N164" s="3" t="s">
        <v>37</v>
      </c>
      <c r="O164" s="3" t="s">
        <v>52</v>
      </c>
      <c r="P164" s="5">
        <v>4</v>
      </c>
      <c r="Q164" s="5">
        <v>20</v>
      </c>
      <c r="R164" s="5">
        <v>3</v>
      </c>
      <c r="S164" s="5">
        <v>22</v>
      </c>
    </row>
    <row r="165" spans="1:19" ht="28" x14ac:dyDescent="0.15">
      <c r="A165" s="2">
        <f>HYPERLINK("https://open-school.uspishnemisto.com.ua/school/50166/", 50166)</f>
        <v>50166</v>
      </c>
      <c r="B165" s="3" t="s">
        <v>923</v>
      </c>
      <c r="C165" s="3" t="s">
        <v>31</v>
      </c>
      <c r="D165" s="3" t="s">
        <v>32</v>
      </c>
      <c r="E165" s="4" t="s">
        <v>22</v>
      </c>
      <c r="F165" s="4" t="s">
        <v>924</v>
      </c>
      <c r="G165" s="4" t="s">
        <v>925</v>
      </c>
      <c r="H165" s="3" t="s">
        <v>25</v>
      </c>
      <c r="I165" s="3" t="s">
        <v>926</v>
      </c>
      <c r="J165" s="3" t="s">
        <v>927</v>
      </c>
      <c r="K165" s="3" t="s">
        <v>928</v>
      </c>
      <c r="L165" s="3"/>
      <c r="M165" s="4"/>
      <c r="N165" s="3" t="s">
        <v>37</v>
      </c>
      <c r="O165" s="3" t="s">
        <v>38</v>
      </c>
      <c r="P165" s="5">
        <v>21</v>
      </c>
      <c r="Q165" s="5">
        <v>487</v>
      </c>
      <c r="R165" s="5">
        <v>21</v>
      </c>
      <c r="S165" s="5">
        <v>465</v>
      </c>
    </row>
    <row r="166" spans="1:19" ht="56" x14ac:dyDescent="0.15">
      <c r="A166" s="2">
        <f>HYPERLINK("https://open-school.uspishnemisto.com.ua/school/50167/", 50167)</f>
        <v>50167</v>
      </c>
      <c r="B166" s="3" t="s">
        <v>929</v>
      </c>
      <c r="C166" s="3" t="s">
        <v>54</v>
      </c>
      <c r="D166" s="3" t="s">
        <v>175</v>
      </c>
      <c r="E166" s="4" t="s">
        <v>22</v>
      </c>
      <c r="F166" s="4" t="s">
        <v>930</v>
      </c>
      <c r="G166" s="4" t="s">
        <v>931</v>
      </c>
      <c r="H166" s="3" t="s">
        <v>25</v>
      </c>
      <c r="I166" s="3" t="s">
        <v>932</v>
      </c>
      <c r="J166" s="3" t="s">
        <v>933</v>
      </c>
      <c r="K166" s="3" t="s">
        <v>934</v>
      </c>
      <c r="L166" s="3" t="s">
        <v>935</v>
      </c>
      <c r="M166" s="4"/>
      <c r="N166" s="3" t="s">
        <v>37</v>
      </c>
      <c r="O166" s="3" t="s">
        <v>38</v>
      </c>
      <c r="P166" s="5">
        <v>9</v>
      </c>
      <c r="Q166" s="5">
        <v>104</v>
      </c>
      <c r="R166" s="5">
        <v>9</v>
      </c>
      <c r="S166" s="5">
        <v>107</v>
      </c>
    </row>
    <row r="167" spans="1:19" ht="28" x14ac:dyDescent="0.15">
      <c r="A167" s="2">
        <f>HYPERLINK("https://open-school.uspishnemisto.com.ua/school/50168/", 50168)</f>
        <v>50168</v>
      </c>
      <c r="B167" s="3" t="s">
        <v>936</v>
      </c>
      <c r="C167" s="3" t="s">
        <v>31</v>
      </c>
      <c r="D167" s="3" t="s">
        <v>32</v>
      </c>
      <c r="E167" s="4" t="s">
        <v>22</v>
      </c>
      <c r="F167" s="4" t="s">
        <v>937</v>
      </c>
      <c r="G167" s="4" t="s">
        <v>938</v>
      </c>
      <c r="H167" s="3" t="s">
        <v>25</v>
      </c>
      <c r="I167" s="3" t="s">
        <v>939</v>
      </c>
      <c r="J167" s="3" t="s">
        <v>940</v>
      </c>
      <c r="K167" s="3" t="s">
        <v>941</v>
      </c>
      <c r="L167" s="3"/>
      <c r="M167" s="4"/>
      <c r="N167" s="3" t="s">
        <v>37</v>
      </c>
      <c r="O167" s="3" t="s">
        <v>70</v>
      </c>
      <c r="P167" s="5">
        <v>11</v>
      </c>
      <c r="Q167" s="5">
        <v>172</v>
      </c>
      <c r="R167" s="5">
        <v>11</v>
      </c>
      <c r="S167" s="5">
        <v>171</v>
      </c>
    </row>
    <row r="168" spans="1:19" ht="28" x14ac:dyDescent="0.15">
      <c r="A168" s="2">
        <f>HYPERLINK("https://open-school.uspishnemisto.com.ua/school/50169/", 50169)</f>
        <v>50169</v>
      </c>
      <c r="B168" s="3" t="s">
        <v>942</v>
      </c>
      <c r="C168" s="3" t="s">
        <v>31</v>
      </c>
      <c r="D168" s="3" t="s">
        <v>32</v>
      </c>
      <c r="E168" s="4" t="s">
        <v>22</v>
      </c>
      <c r="F168" s="4" t="s">
        <v>943</v>
      </c>
      <c r="G168" s="4" t="s">
        <v>944</v>
      </c>
      <c r="H168" s="3" t="s">
        <v>25</v>
      </c>
      <c r="I168" s="3" t="s">
        <v>945</v>
      </c>
      <c r="J168" s="3" t="s">
        <v>946</v>
      </c>
      <c r="K168" s="3" t="s">
        <v>947</v>
      </c>
      <c r="L168" s="3"/>
      <c r="M168" s="4"/>
      <c r="N168" s="3" t="s">
        <v>37</v>
      </c>
      <c r="O168" s="3" t="s">
        <v>52</v>
      </c>
      <c r="P168" s="5">
        <v>10</v>
      </c>
      <c r="Q168" s="5">
        <v>150</v>
      </c>
      <c r="R168" s="5">
        <v>10</v>
      </c>
      <c r="S168" s="5">
        <v>138</v>
      </c>
    </row>
    <row r="169" spans="1:19" ht="56" x14ac:dyDescent="0.15">
      <c r="A169" s="2">
        <f>HYPERLINK("https://open-school.uspishnemisto.com.ua/school/50170/", 50170)</f>
        <v>50170</v>
      </c>
      <c r="B169" s="3" t="s">
        <v>948</v>
      </c>
      <c r="C169" s="3" t="s">
        <v>54</v>
      </c>
      <c r="D169" s="3" t="s">
        <v>32</v>
      </c>
      <c r="E169" s="4" t="s">
        <v>22</v>
      </c>
      <c r="F169" s="4" t="s">
        <v>949</v>
      </c>
      <c r="G169" s="4" t="s">
        <v>950</v>
      </c>
      <c r="H169" s="3" t="s">
        <v>25</v>
      </c>
      <c r="I169" s="3" t="s">
        <v>951</v>
      </c>
      <c r="J169" s="3" t="s">
        <v>952</v>
      </c>
      <c r="K169" s="3" t="s">
        <v>953</v>
      </c>
      <c r="L169" s="3" t="s">
        <v>954</v>
      </c>
      <c r="M169" s="4"/>
      <c r="N169" s="3" t="s">
        <v>37</v>
      </c>
      <c r="O169" s="3" t="s">
        <v>38</v>
      </c>
      <c r="P169" s="5">
        <v>11</v>
      </c>
      <c r="Q169" s="5">
        <v>165</v>
      </c>
      <c r="R169" s="5">
        <v>11</v>
      </c>
      <c r="S169" s="5">
        <v>164</v>
      </c>
    </row>
    <row r="170" spans="1:19" ht="28" x14ac:dyDescent="0.15">
      <c r="A170" s="2">
        <f>HYPERLINK("https://open-school.uspishnemisto.com.ua/school/50171/", 50171)</f>
        <v>50171</v>
      </c>
      <c r="B170" s="3" t="s">
        <v>955</v>
      </c>
      <c r="C170" s="3" t="s">
        <v>31</v>
      </c>
      <c r="D170" s="3" t="s">
        <v>175</v>
      </c>
      <c r="E170" s="4" t="s">
        <v>22</v>
      </c>
      <c r="F170" s="4" t="s">
        <v>949</v>
      </c>
      <c r="G170" s="4" t="s">
        <v>956</v>
      </c>
      <c r="H170" s="3" t="s">
        <v>25</v>
      </c>
      <c r="I170" s="3" t="s">
        <v>957</v>
      </c>
      <c r="J170" s="3" t="s">
        <v>958</v>
      </c>
      <c r="K170" s="3" t="s">
        <v>959</v>
      </c>
      <c r="L170" s="3" t="s">
        <v>960</v>
      </c>
      <c r="M170" s="4"/>
      <c r="N170" s="3" t="s">
        <v>37</v>
      </c>
      <c r="O170" s="3" t="s">
        <v>38</v>
      </c>
      <c r="P170" s="5">
        <v>9</v>
      </c>
      <c r="Q170" s="5">
        <v>57</v>
      </c>
      <c r="R170" s="5">
        <v>9</v>
      </c>
      <c r="S170" s="5">
        <v>63</v>
      </c>
    </row>
    <row r="171" spans="1:19" ht="28" x14ac:dyDescent="0.15">
      <c r="A171" s="2">
        <f>HYPERLINK("https://open-school.uspishnemisto.com.ua/school/50172/", 50172)</f>
        <v>50172</v>
      </c>
      <c r="B171" s="3" t="s">
        <v>961</v>
      </c>
      <c r="C171" s="3" t="s">
        <v>31</v>
      </c>
      <c r="D171" s="3" t="s">
        <v>32</v>
      </c>
      <c r="E171" s="4" t="s">
        <v>22</v>
      </c>
      <c r="F171" s="4" t="s">
        <v>962</v>
      </c>
      <c r="G171" s="4" t="s">
        <v>963</v>
      </c>
      <c r="H171" s="3" t="s">
        <v>25</v>
      </c>
      <c r="I171" s="3" t="s">
        <v>964</v>
      </c>
      <c r="J171" s="3" t="s">
        <v>965</v>
      </c>
      <c r="K171" s="3" t="s">
        <v>966</v>
      </c>
      <c r="L171" s="3"/>
      <c r="M171" s="4"/>
      <c r="N171" s="3" t="s">
        <v>37</v>
      </c>
      <c r="O171" s="3" t="s">
        <v>967</v>
      </c>
      <c r="P171" s="5">
        <v>12</v>
      </c>
      <c r="Q171" s="5">
        <v>215</v>
      </c>
      <c r="R171" s="5">
        <v>11</v>
      </c>
      <c r="S171" s="5">
        <v>195</v>
      </c>
    </row>
    <row r="172" spans="1:19" ht="28" x14ac:dyDescent="0.15">
      <c r="A172" s="2">
        <f>HYPERLINK("https://open-school.uspishnemisto.com.ua/school/50173/", 50173)</f>
        <v>50173</v>
      </c>
      <c r="B172" s="3" t="s">
        <v>968</v>
      </c>
      <c r="C172" s="3" t="s">
        <v>54</v>
      </c>
      <c r="D172" s="3" t="s">
        <v>32</v>
      </c>
      <c r="E172" s="4" t="s">
        <v>22</v>
      </c>
      <c r="F172" s="4" t="s">
        <v>969</v>
      </c>
      <c r="G172" s="4" t="s">
        <v>970</v>
      </c>
      <c r="H172" s="3" t="s">
        <v>25</v>
      </c>
      <c r="I172" s="3" t="s">
        <v>971</v>
      </c>
      <c r="J172" s="3" t="s">
        <v>903</v>
      </c>
      <c r="K172" s="3" t="s">
        <v>972</v>
      </c>
      <c r="L172" s="3"/>
      <c r="M172" s="4"/>
      <c r="N172" s="3" t="s">
        <v>37</v>
      </c>
      <c r="O172" s="3" t="s">
        <v>38</v>
      </c>
      <c r="P172" s="5">
        <v>11</v>
      </c>
      <c r="Q172" s="5">
        <v>104</v>
      </c>
      <c r="R172" s="5">
        <v>10</v>
      </c>
      <c r="S172" s="5">
        <v>96</v>
      </c>
    </row>
    <row r="173" spans="1:19" ht="28" x14ac:dyDescent="0.15">
      <c r="A173" s="2">
        <f>HYPERLINK("https://open-school.uspishnemisto.com.ua/school/50174/", 50174)</f>
        <v>50174</v>
      </c>
      <c r="B173" s="3" t="s">
        <v>973</v>
      </c>
      <c r="C173" s="3" t="s">
        <v>54</v>
      </c>
      <c r="D173" s="3" t="s">
        <v>32</v>
      </c>
      <c r="E173" s="4" t="s">
        <v>41</v>
      </c>
      <c r="F173" s="4" t="s">
        <v>974</v>
      </c>
      <c r="G173" s="4" t="s">
        <v>975</v>
      </c>
      <c r="H173" s="3" t="s">
        <v>25</v>
      </c>
      <c r="I173" s="3" t="s">
        <v>976</v>
      </c>
      <c r="J173" s="3" t="s">
        <v>977</v>
      </c>
      <c r="K173" s="3" t="s">
        <v>978</v>
      </c>
      <c r="L173" s="3"/>
      <c r="M173" s="4"/>
      <c r="N173" s="3" t="s">
        <v>37</v>
      </c>
      <c r="O173" s="3" t="s">
        <v>70</v>
      </c>
      <c r="P173" s="5">
        <v>13</v>
      </c>
      <c r="Q173" s="5">
        <v>144</v>
      </c>
      <c r="R173" s="5">
        <v>13</v>
      </c>
      <c r="S173" s="5">
        <v>143</v>
      </c>
    </row>
    <row r="174" spans="1:19" ht="28" x14ac:dyDescent="0.15">
      <c r="A174" s="2">
        <f>HYPERLINK("https://open-school.uspishnemisto.com.ua/school/50175/", 50175)</f>
        <v>50175</v>
      </c>
      <c r="B174" s="3" t="s">
        <v>979</v>
      </c>
      <c r="C174" s="3" t="s">
        <v>31</v>
      </c>
      <c r="D174" s="3" t="s">
        <v>32</v>
      </c>
      <c r="E174" s="4" t="s">
        <v>22</v>
      </c>
      <c r="F174" s="4" t="s">
        <v>974</v>
      </c>
      <c r="G174" s="4" t="s">
        <v>980</v>
      </c>
      <c r="H174" s="3" t="s">
        <v>25</v>
      </c>
      <c r="I174" s="3" t="s">
        <v>981</v>
      </c>
      <c r="J174" s="3" t="s">
        <v>982</v>
      </c>
      <c r="K174" s="3" t="s">
        <v>983</v>
      </c>
      <c r="L174" s="3"/>
      <c r="M174" s="4"/>
      <c r="N174" s="3" t="s">
        <v>37</v>
      </c>
      <c r="O174" s="3" t="s">
        <v>38</v>
      </c>
      <c r="P174" s="5">
        <v>11</v>
      </c>
      <c r="Q174" s="5">
        <v>148</v>
      </c>
      <c r="R174" s="5">
        <v>11</v>
      </c>
      <c r="S174" s="5">
        <v>140</v>
      </c>
    </row>
    <row r="175" spans="1:19" ht="28" x14ac:dyDescent="0.15">
      <c r="A175" s="2">
        <f>HYPERLINK("https://open-school.uspishnemisto.com.ua/school/50176/", 50176)</f>
        <v>50176</v>
      </c>
      <c r="B175" s="3" t="s">
        <v>984</v>
      </c>
      <c r="C175" s="3" t="s">
        <v>31</v>
      </c>
      <c r="D175" s="3" t="s">
        <v>32</v>
      </c>
      <c r="E175" s="4" t="s">
        <v>22</v>
      </c>
      <c r="F175" s="4" t="s">
        <v>985</v>
      </c>
      <c r="G175" s="4" t="s">
        <v>986</v>
      </c>
      <c r="H175" s="3" t="s">
        <v>25</v>
      </c>
      <c r="I175" s="3" t="s">
        <v>987</v>
      </c>
      <c r="J175" s="3" t="s">
        <v>988</v>
      </c>
      <c r="K175" s="3" t="s">
        <v>989</v>
      </c>
      <c r="L175" s="3" t="s">
        <v>990</v>
      </c>
      <c r="M175" s="4"/>
      <c r="N175" s="3" t="s">
        <v>37</v>
      </c>
      <c r="O175" s="3" t="s">
        <v>38</v>
      </c>
      <c r="P175" s="5">
        <v>11</v>
      </c>
      <c r="Q175" s="5">
        <v>193</v>
      </c>
      <c r="R175" s="5">
        <v>11</v>
      </c>
      <c r="S175" s="5">
        <v>188</v>
      </c>
    </row>
    <row r="176" spans="1:19" ht="28" x14ac:dyDescent="0.15">
      <c r="A176" s="2">
        <f>HYPERLINK("https://open-school.uspishnemisto.com.ua/school/50177/", 50177)</f>
        <v>50177</v>
      </c>
      <c r="B176" s="3" t="s">
        <v>991</v>
      </c>
      <c r="C176" s="3" t="s">
        <v>31</v>
      </c>
      <c r="D176" s="3" t="s">
        <v>175</v>
      </c>
      <c r="E176" s="4" t="s">
        <v>22</v>
      </c>
      <c r="F176" s="4" t="s">
        <v>985</v>
      </c>
      <c r="G176" s="4" t="s">
        <v>992</v>
      </c>
      <c r="H176" s="3" t="s">
        <v>25</v>
      </c>
      <c r="I176" s="3" t="s">
        <v>993</v>
      </c>
      <c r="J176" s="3" t="s">
        <v>994</v>
      </c>
      <c r="K176" s="3" t="s">
        <v>995</v>
      </c>
      <c r="L176" s="3" t="s">
        <v>996</v>
      </c>
      <c r="M176" s="4"/>
      <c r="N176" s="3" t="s">
        <v>37</v>
      </c>
      <c r="O176" s="3" t="s">
        <v>38</v>
      </c>
      <c r="P176" s="5">
        <v>9</v>
      </c>
      <c r="Q176" s="5">
        <v>108</v>
      </c>
      <c r="R176" s="5">
        <v>9</v>
      </c>
      <c r="S176" s="5">
        <v>108</v>
      </c>
    </row>
    <row r="177" spans="1:19" ht="56" x14ac:dyDescent="0.15">
      <c r="A177" s="2">
        <f>HYPERLINK("https://open-school.uspishnemisto.com.ua/school/50178/", 50178)</f>
        <v>50178</v>
      </c>
      <c r="B177" s="3" t="s">
        <v>997</v>
      </c>
      <c r="C177" s="3" t="s">
        <v>54</v>
      </c>
      <c r="D177" s="3" t="s">
        <v>175</v>
      </c>
      <c r="E177" s="4" t="s">
        <v>22</v>
      </c>
      <c r="F177" s="4" t="s">
        <v>998</v>
      </c>
      <c r="G177" s="4" t="s">
        <v>999</v>
      </c>
      <c r="H177" s="3" t="s">
        <v>25</v>
      </c>
      <c r="I177" s="3" t="s">
        <v>1000</v>
      </c>
      <c r="J177" s="3" t="s">
        <v>1001</v>
      </c>
      <c r="K177" s="3" t="s">
        <v>1002</v>
      </c>
      <c r="L177" s="3" t="s">
        <v>1003</v>
      </c>
      <c r="M177" s="4"/>
      <c r="N177" s="3" t="s">
        <v>37</v>
      </c>
      <c r="O177" s="3" t="s">
        <v>38</v>
      </c>
      <c r="P177" s="5">
        <v>9</v>
      </c>
      <c r="Q177" s="5">
        <v>79</v>
      </c>
      <c r="R177" s="5">
        <v>9</v>
      </c>
      <c r="S177" s="5">
        <v>76</v>
      </c>
    </row>
    <row r="178" spans="1:19" ht="28" x14ac:dyDescent="0.15">
      <c r="A178" s="2">
        <f>HYPERLINK("https://open-school.uspishnemisto.com.ua/school/50179/", 50179)</f>
        <v>50179</v>
      </c>
      <c r="B178" s="3" t="s">
        <v>1004</v>
      </c>
      <c r="C178" s="3" t="s">
        <v>31</v>
      </c>
      <c r="D178" s="3" t="s">
        <v>32</v>
      </c>
      <c r="E178" s="4" t="s">
        <v>22</v>
      </c>
      <c r="F178" s="4" t="s">
        <v>1005</v>
      </c>
      <c r="G178" s="4" t="s">
        <v>1006</v>
      </c>
      <c r="H178" s="3" t="s">
        <v>25</v>
      </c>
      <c r="I178" s="3" t="s">
        <v>1007</v>
      </c>
      <c r="J178" s="3" t="s">
        <v>1008</v>
      </c>
      <c r="K178" s="3" t="s">
        <v>1009</v>
      </c>
      <c r="L178" s="3" t="s">
        <v>1010</v>
      </c>
      <c r="M178" s="4"/>
      <c r="N178" s="3" t="s">
        <v>37</v>
      </c>
      <c r="O178" s="3" t="s">
        <v>38</v>
      </c>
      <c r="P178" s="5">
        <v>14</v>
      </c>
      <c r="Q178" s="5">
        <v>209</v>
      </c>
      <c r="R178" s="5">
        <v>15</v>
      </c>
      <c r="S178" s="5">
        <v>207</v>
      </c>
    </row>
    <row r="179" spans="1:19" ht="28" x14ac:dyDescent="0.15">
      <c r="A179" s="2">
        <f>HYPERLINK("https://open-school.uspishnemisto.com.ua/school/50180/", 50180)</f>
        <v>50180</v>
      </c>
      <c r="B179" s="3" t="s">
        <v>1011</v>
      </c>
      <c r="C179" s="3" t="s">
        <v>31</v>
      </c>
      <c r="D179" s="3" t="s">
        <v>175</v>
      </c>
      <c r="E179" s="4" t="s">
        <v>22</v>
      </c>
      <c r="F179" s="4" t="s">
        <v>1012</v>
      </c>
      <c r="G179" s="4" t="s">
        <v>1013</v>
      </c>
      <c r="H179" s="3" t="s">
        <v>25</v>
      </c>
      <c r="I179" s="3" t="s">
        <v>1014</v>
      </c>
      <c r="J179" s="3" t="s">
        <v>1015</v>
      </c>
      <c r="K179" s="3" t="s">
        <v>1016</v>
      </c>
      <c r="L179" s="3" t="s">
        <v>1017</v>
      </c>
      <c r="M179" s="4"/>
      <c r="N179" s="3" t="s">
        <v>37</v>
      </c>
      <c r="O179" s="3" t="s">
        <v>38</v>
      </c>
      <c r="P179" s="5">
        <v>9</v>
      </c>
      <c r="Q179" s="5">
        <v>87</v>
      </c>
      <c r="R179" s="5">
        <v>8</v>
      </c>
      <c r="S179" s="5">
        <v>74</v>
      </c>
    </row>
    <row r="180" spans="1:19" ht="28" x14ac:dyDescent="0.15">
      <c r="A180" s="2">
        <f>HYPERLINK("https://open-school.uspishnemisto.com.ua/school/50181/", 50181)</f>
        <v>50181</v>
      </c>
      <c r="B180" s="3" t="s">
        <v>1018</v>
      </c>
      <c r="C180" s="3" t="s">
        <v>31</v>
      </c>
      <c r="D180" s="3" t="s">
        <v>32</v>
      </c>
      <c r="E180" s="4" t="s">
        <v>22</v>
      </c>
      <c r="F180" s="4" t="s">
        <v>1019</v>
      </c>
      <c r="G180" s="4" t="s">
        <v>1020</v>
      </c>
      <c r="H180" s="3" t="s">
        <v>25</v>
      </c>
      <c r="I180" s="3" t="s">
        <v>1021</v>
      </c>
      <c r="J180" s="3" t="s">
        <v>1022</v>
      </c>
      <c r="K180" s="3" t="s">
        <v>1023</v>
      </c>
      <c r="L180" s="3" t="s">
        <v>1024</v>
      </c>
      <c r="M180" s="4"/>
      <c r="N180" s="3" t="s">
        <v>37</v>
      </c>
      <c r="O180" s="3" t="s">
        <v>38</v>
      </c>
      <c r="P180" s="5">
        <v>13</v>
      </c>
      <c r="Q180" s="5">
        <v>230</v>
      </c>
      <c r="R180" s="5">
        <v>13</v>
      </c>
      <c r="S180" s="5">
        <v>232</v>
      </c>
    </row>
    <row r="181" spans="1:19" ht="28" x14ac:dyDescent="0.15">
      <c r="A181" s="2">
        <f>HYPERLINK("https://open-school.uspishnemisto.com.ua/school/50182/", 50182)</f>
        <v>50182</v>
      </c>
      <c r="B181" s="3" t="s">
        <v>1025</v>
      </c>
      <c r="C181" s="3" t="s">
        <v>31</v>
      </c>
      <c r="D181" s="3" t="s">
        <v>175</v>
      </c>
      <c r="E181" s="4" t="s">
        <v>22</v>
      </c>
      <c r="F181" s="4" t="s">
        <v>1026</v>
      </c>
      <c r="G181" s="4" t="s">
        <v>1027</v>
      </c>
      <c r="H181" s="3" t="s">
        <v>25</v>
      </c>
      <c r="I181" s="3" t="s">
        <v>1028</v>
      </c>
      <c r="J181" s="3" t="s">
        <v>479</v>
      </c>
      <c r="K181" s="3" t="s">
        <v>1029</v>
      </c>
      <c r="L181" s="3"/>
      <c r="M181" s="4"/>
      <c r="N181" s="3" t="s">
        <v>37</v>
      </c>
      <c r="O181" s="3" t="s">
        <v>38</v>
      </c>
      <c r="P181" s="5">
        <v>9</v>
      </c>
      <c r="Q181" s="5">
        <v>121</v>
      </c>
      <c r="R181" s="5">
        <v>9</v>
      </c>
      <c r="S181" s="5">
        <v>107</v>
      </c>
    </row>
    <row r="182" spans="1:19" ht="42" x14ac:dyDescent="0.15">
      <c r="A182" s="2">
        <f>HYPERLINK("https://open-school.uspishnemisto.com.ua/school/50183/", 50183)</f>
        <v>50183</v>
      </c>
      <c r="B182" s="3" t="s">
        <v>1030</v>
      </c>
      <c r="C182" s="3" t="s">
        <v>54</v>
      </c>
      <c r="D182" s="3" t="s">
        <v>32</v>
      </c>
      <c r="E182" s="4" t="s">
        <v>22</v>
      </c>
      <c r="F182" s="4" t="s">
        <v>1031</v>
      </c>
      <c r="G182" s="4" t="s">
        <v>1032</v>
      </c>
      <c r="H182" s="3" t="s">
        <v>25</v>
      </c>
      <c r="I182" s="3" t="s">
        <v>1033</v>
      </c>
      <c r="J182" s="3" t="s">
        <v>1034</v>
      </c>
      <c r="K182" s="3" t="s">
        <v>1035</v>
      </c>
      <c r="L182" s="3" t="s">
        <v>1036</v>
      </c>
      <c r="M182" s="4"/>
      <c r="N182" s="3" t="s">
        <v>37</v>
      </c>
      <c r="O182" s="3" t="s">
        <v>38</v>
      </c>
      <c r="P182" s="5">
        <v>11</v>
      </c>
      <c r="Q182" s="5">
        <v>139</v>
      </c>
      <c r="R182" s="5">
        <v>11</v>
      </c>
      <c r="S182" s="5">
        <v>115</v>
      </c>
    </row>
    <row r="183" spans="1:19" ht="42" x14ac:dyDescent="0.15">
      <c r="A183" s="2">
        <f>HYPERLINK("https://open-school.uspishnemisto.com.ua/school/50184/", 50184)</f>
        <v>50184</v>
      </c>
      <c r="B183" s="3" t="s">
        <v>1037</v>
      </c>
      <c r="C183" s="3" t="s">
        <v>54</v>
      </c>
      <c r="D183" s="3" t="s">
        <v>60</v>
      </c>
      <c r="E183" s="4" t="s">
        <v>22</v>
      </c>
      <c r="F183" s="4" t="s">
        <v>1038</v>
      </c>
      <c r="G183" s="4" t="s">
        <v>1039</v>
      </c>
      <c r="H183" s="3" t="s">
        <v>25</v>
      </c>
      <c r="I183" s="3" t="s">
        <v>1040</v>
      </c>
      <c r="J183" s="3" t="s">
        <v>1041</v>
      </c>
      <c r="K183" s="3" t="s">
        <v>1042</v>
      </c>
      <c r="L183" s="3" t="s">
        <v>1043</v>
      </c>
      <c r="M183" s="4"/>
      <c r="N183" s="3" t="s">
        <v>37</v>
      </c>
      <c r="O183" s="3" t="s">
        <v>52</v>
      </c>
      <c r="P183" s="5">
        <v>0</v>
      </c>
      <c r="Q183" s="5">
        <v>8</v>
      </c>
      <c r="R183" s="5">
        <v>3</v>
      </c>
      <c r="S183" s="5">
        <v>16</v>
      </c>
    </row>
    <row r="184" spans="1:19" ht="28" x14ac:dyDescent="0.15">
      <c r="A184" s="2">
        <f>HYPERLINK("https://open-school.uspishnemisto.com.ua/school/50185/", 50185)</f>
        <v>50185</v>
      </c>
      <c r="B184" s="3" t="s">
        <v>1044</v>
      </c>
      <c r="C184" s="3" t="s">
        <v>54</v>
      </c>
      <c r="D184" s="3" t="s">
        <v>32</v>
      </c>
      <c r="E184" s="4" t="s">
        <v>22</v>
      </c>
      <c r="F184" s="4" t="s">
        <v>1045</v>
      </c>
      <c r="G184" s="4" t="s">
        <v>1046</v>
      </c>
      <c r="H184" s="3" t="s">
        <v>25</v>
      </c>
      <c r="I184" s="3" t="s">
        <v>1047</v>
      </c>
      <c r="J184" s="3" t="s">
        <v>1048</v>
      </c>
      <c r="K184" s="3" t="s">
        <v>1049</v>
      </c>
      <c r="L184" s="3"/>
      <c r="M184" s="4"/>
      <c r="N184" s="3" t="s">
        <v>37</v>
      </c>
      <c r="O184" s="3" t="s">
        <v>70</v>
      </c>
      <c r="P184" s="5">
        <v>19</v>
      </c>
      <c r="Q184" s="5">
        <v>387</v>
      </c>
      <c r="R184" s="5">
        <v>19</v>
      </c>
      <c r="S184" s="5">
        <v>373</v>
      </c>
    </row>
    <row r="185" spans="1:19" ht="28" x14ac:dyDescent="0.15">
      <c r="A185" s="2">
        <f>HYPERLINK("https://open-school.uspishnemisto.com.ua/school/50186/", 50186)</f>
        <v>50186</v>
      </c>
      <c r="B185" s="3" t="s">
        <v>1050</v>
      </c>
      <c r="C185" s="3" t="s">
        <v>31</v>
      </c>
      <c r="D185" s="3" t="s">
        <v>175</v>
      </c>
      <c r="E185" s="4" t="s">
        <v>22</v>
      </c>
      <c r="F185" s="4" t="s">
        <v>1045</v>
      </c>
      <c r="G185" s="4" t="s">
        <v>1051</v>
      </c>
      <c r="H185" s="3" t="s">
        <v>25</v>
      </c>
      <c r="I185" s="3" t="s">
        <v>1052</v>
      </c>
      <c r="J185" s="3" t="s">
        <v>1053</v>
      </c>
      <c r="K185" s="3" t="s">
        <v>1054</v>
      </c>
      <c r="L185" s="3"/>
      <c r="M185" s="4"/>
      <c r="N185" s="3" t="s">
        <v>37</v>
      </c>
      <c r="O185" s="3" t="s">
        <v>38</v>
      </c>
      <c r="P185" s="5">
        <v>13</v>
      </c>
      <c r="Q185" s="5">
        <v>160</v>
      </c>
      <c r="R185" s="5">
        <v>13</v>
      </c>
      <c r="S185" s="5">
        <v>154</v>
      </c>
    </row>
    <row r="186" spans="1:19" ht="42" x14ac:dyDescent="0.15">
      <c r="A186" s="2">
        <f>HYPERLINK("https://open-school.uspishnemisto.com.ua/school/50187/", 50187)</f>
        <v>50187</v>
      </c>
      <c r="B186" s="3" t="s">
        <v>1055</v>
      </c>
      <c r="C186" s="3" t="s">
        <v>54</v>
      </c>
      <c r="D186" s="3" t="s">
        <v>32</v>
      </c>
      <c r="E186" s="4" t="s">
        <v>22</v>
      </c>
      <c r="F186" s="4" t="s">
        <v>1056</v>
      </c>
      <c r="G186" s="4" t="s">
        <v>1057</v>
      </c>
      <c r="H186" s="3" t="s">
        <v>25</v>
      </c>
      <c r="I186" s="3" t="s">
        <v>1058</v>
      </c>
      <c r="J186" s="3" t="s">
        <v>1059</v>
      </c>
      <c r="K186" s="3" t="s">
        <v>1060</v>
      </c>
      <c r="L186" s="3" t="s">
        <v>1061</v>
      </c>
      <c r="M186" s="4" t="s">
        <v>1062</v>
      </c>
      <c r="N186" s="3" t="s">
        <v>37</v>
      </c>
      <c r="O186" s="3" t="s">
        <v>52</v>
      </c>
      <c r="P186" s="5">
        <v>34</v>
      </c>
      <c r="Q186" s="5">
        <v>783</v>
      </c>
      <c r="R186" s="5">
        <v>35</v>
      </c>
      <c r="S186" s="5">
        <v>771</v>
      </c>
    </row>
    <row r="187" spans="1:19" ht="28" x14ac:dyDescent="0.15">
      <c r="A187" s="2">
        <f>HYPERLINK("https://open-school.uspishnemisto.com.ua/school/50188/", 50188)</f>
        <v>50188</v>
      </c>
      <c r="B187" s="3" t="s">
        <v>1063</v>
      </c>
      <c r="C187" s="3" t="s">
        <v>54</v>
      </c>
      <c r="D187" s="3" t="s">
        <v>32</v>
      </c>
      <c r="E187" s="4" t="s">
        <v>22</v>
      </c>
      <c r="F187" s="4" t="s">
        <v>1056</v>
      </c>
      <c r="G187" s="4" t="s">
        <v>1057</v>
      </c>
      <c r="H187" s="3" t="s">
        <v>25</v>
      </c>
      <c r="I187" s="3" t="s">
        <v>1058</v>
      </c>
      <c r="J187" s="3" t="s">
        <v>1064</v>
      </c>
      <c r="K187" s="3" t="s">
        <v>1065</v>
      </c>
      <c r="L187" s="3" t="s">
        <v>1066</v>
      </c>
      <c r="M187" s="4"/>
      <c r="N187" s="3" t="s">
        <v>37</v>
      </c>
      <c r="O187" s="3" t="s">
        <v>70</v>
      </c>
      <c r="P187" s="5">
        <v>24</v>
      </c>
      <c r="Q187" s="5">
        <v>571</v>
      </c>
      <c r="R187" s="5">
        <v>23</v>
      </c>
      <c r="S187" s="5">
        <v>541</v>
      </c>
    </row>
    <row r="188" spans="1:19" ht="28" x14ac:dyDescent="0.15">
      <c r="A188" s="2">
        <f>HYPERLINK("https://open-school.uspishnemisto.com.ua/school/50189/", 50189)</f>
        <v>50189</v>
      </c>
      <c r="B188" s="3" t="s">
        <v>1067</v>
      </c>
      <c r="C188" s="3" t="s">
        <v>54</v>
      </c>
      <c r="D188" s="3" t="s">
        <v>32</v>
      </c>
      <c r="E188" s="4" t="s">
        <v>22</v>
      </c>
      <c r="F188" s="4" t="s">
        <v>1056</v>
      </c>
      <c r="G188" s="4" t="s">
        <v>1057</v>
      </c>
      <c r="H188" s="3" t="s">
        <v>25</v>
      </c>
      <c r="I188" s="3" t="s">
        <v>1058</v>
      </c>
      <c r="J188" s="3" t="s">
        <v>664</v>
      </c>
      <c r="K188" s="3" t="s">
        <v>1068</v>
      </c>
      <c r="L188" s="3"/>
      <c r="M188" s="4"/>
      <c r="N188" s="3" t="s">
        <v>128</v>
      </c>
      <c r="O188" s="3" t="s">
        <v>70</v>
      </c>
      <c r="P188" s="5">
        <v>23</v>
      </c>
      <c r="Q188" s="5">
        <v>559</v>
      </c>
      <c r="R188" s="5">
        <v>23</v>
      </c>
      <c r="S188" s="5">
        <v>532</v>
      </c>
    </row>
    <row r="189" spans="1:19" ht="28" x14ac:dyDescent="0.15">
      <c r="A189" s="2">
        <f>HYPERLINK("https://open-school.uspishnemisto.com.ua/school/50190/", 50190)</f>
        <v>50190</v>
      </c>
      <c r="B189" s="3" t="s">
        <v>1069</v>
      </c>
      <c r="C189" s="3" t="s">
        <v>31</v>
      </c>
      <c r="D189" s="3" t="s">
        <v>32</v>
      </c>
      <c r="E189" s="4" t="s">
        <v>22</v>
      </c>
      <c r="F189" s="4" t="s">
        <v>1056</v>
      </c>
      <c r="G189" s="4" t="s">
        <v>1057</v>
      </c>
      <c r="H189" s="3" t="s">
        <v>25</v>
      </c>
      <c r="I189" s="3" t="s">
        <v>1058</v>
      </c>
      <c r="J189" s="3" t="s">
        <v>1070</v>
      </c>
      <c r="K189" s="3" t="s">
        <v>1071</v>
      </c>
      <c r="L189" s="3" t="s">
        <v>1072</v>
      </c>
      <c r="M189" s="4"/>
      <c r="N189" s="3" t="s">
        <v>37</v>
      </c>
      <c r="O189" s="3" t="s">
        <v>38</v>
      </c>
      <c r="P189" s="5">
        <v>11</v>
      </c>
      <c r="Q189" s="5">
        <v>171</v>
      </c>
      <c r="R189" s="5">
        <v>11</v>
      </c>
      <c r="S189" s="5">
        <v>172</v>
      </c>
    </row>
    <row r="190" spans="1:19" ht="28" x14ac:dyDescent="0.15">
      <c r="A190" s="2">
        <f>HYPERLINK("https://open-school.uspishnemisto.com.ua/school/50191/", 50191)</f>
        <v>50191</v>
      </c>
      <c r="B190" s="3" t="s">
        <v>1073</v>
      </c>
      <c r="C190" s="3" t="s">
        <v>31</v>
      </c>
      <c r="D190" s="3" t="s">
        <v>32</v>
      </c>
      <c r="E190" s="4" t="s">
        <v>22</v>
      </c>
      <c r="F190" s="4" t="s">
        <v>1056</v>
      </c>
      <c r="G190" s="4" t="s">
        <v>1057</v>
      </c>
      <c r="H190" s="3" t="s">
        <v>25</v>
      </c>
      <c r="I190" s="3" t="s">
        <v>1058</v>
      </c>
      <c r="J190" s="3" t="s">
        <v>1074</v>
      </c>
      <c r="K190" s="3" t="s">
        <v>1075</v>
      </c>
      <c r="L190" s="3" t="s">
        <v>1076</v>
      </c>
      <c r="M190" s="4"/>
      <c r="N190" s="3" t="s">
        <v>37</v>
      </c>
      <c r="O190" s="3" t="s">
        <v>46</v>
      </c>
      <c r="P190" s="5">
        <v>11</v>
      </c>
      <c r="Q190" s="5">
        <v>155</v>
      </c>
      <c r="R190" s="5">
        <v>11</v>
      </c>
      <c r="S190" s="5">
        <v>150</v>
      </c>
    </row>
    <row r="191" spans="1:19" ht="28" x14ac:dyDescent="0.15">
      <c r="A191" s="2">
        <f>HYPERLINK("https://open-school.uspishnemisto.com.ua/school/50192/", 50192)</f>
        <v>50192</v>
      </c>
      <c r="B191" s="3" t="s">
        <v>1077</v>
      </c>
      <c r="C191" s="3" t="s">
        <v>31</v>
      </c>
      <c r="D191" s="3" t="s">
        <v>32</v>
      </c>
      <c r="E191" s="4" t="s">
        <v>22</v>
      </c>
      <c r="F191" s="4" t="s">
        <v>1056</v>
      </c>
      <c r="G191" s="4" t="s">
        <v>1057</v>
      </c>
      <c r="H191" s="3" t="s">
        <v>25</v>
      </c>
      <c r="I191" s="3" t="s">
        <v>1058</v>
      </c>
      <c r="J191" s="3" t="s">
        <v>1078</v>
      </c>
      <c r="K191" s="3" t="s">
        <v>1079</v>
      </c>
      <c r="L191" s="3" t="s">
        <v>1080</v>
      </c>
      <c r="M191" s="4"/>
      <c r="N191" s="3" t="s">
        <v>37</v>
      </c>
      <c r="O191" s="3" t="s">
        <v>1081</v>
      </c>
      <c r="P191" s="5">
        <v>22</v>
      </c>
      <c r="Q191" s="5">
        <v>527</v>
      </c>
      <c r="R191" s="5">
        <v>21</v>
      </c>
      <c r="S191" s="5">
        <v>512</v>
      </c>
    </row>
    <row r="192" spans="1:19" ht="28" x14ac:dyDescent="0.15">
      <c r="A192" s="2">
        <f>HYPERLINK("https://open-school.uspishnemisto.com.ua/school/50193/", 50193)</f>
        <v>50193</v>
      </c>
      <c r="B192" s="3" t="s">
        <v>1082</v>
      </c>
      <c r="C192" s="3" t="s">
        <v>31</v>
      </c>
      <c r="D192" s="3" t="s">
        <v>32</v>
      </c>
      <c r="E192" s="4" t="s">
        <v>22</v>
      </c>
      <c r="F192" s="4" t="s">
        <v>1056</v>
      </c>
      <c r="G192" s="4" t="s">
        <v>1057</v>
      </c>
      <c r="H192" s="3" t="s">
        <v>25</v>
      </c>
      <c r="I192" s="3" t="s">
        <v>1058</v>
      </c>
      <c r="J192" s="3" t="s">
        <v>1083</v>
      </c>
      <c r="K192" s="3" t="s">
        <v>1084</v>
      </c>
      <c r="L192" s="3" t="s">
        <v>1085</v>
      </c>
      <c r="M192" s="4"/>
      <c r="N192" s="3" t="s">
        <v>37</v>
      </c>
      <c r="O192" s="3" t="s">
        <v>721</v>
      </c>
      <c r="P192" s="5">
        <v>11</v>
      </c>
      <c r="Q192" s="5">
        <v>193</v>
      </c>
      <c r="R192" s="5">
        <v>11</v>
      </c>
      <c r="S192" s="5">
        <v>197</v>
      </c>
    </row>
    <row r="193" spans="1:19" ht="42" x14ac:dyDescent="0.15">
      <c r="A193" s="2">
        <f>HYPERLINK("https://open-school.uspishnemisto.com.ua/school/50194/", 50194)</f>
        <v>50194</v>
      </c>
      <c r="B193" s="3" t="s">
        <v>1086</v>
      </c>
      <c r="C193" s="3" t="s">
        <v>54</v>
      </c>
      <c r="D193" s="3" t="s">
        <v>32</v>
      </c>
      <c r="E193" s="4" t="s">
        <v>22</v>
      </c>
      <c r="F193" s="4" t="s">
        <v>1087</v>
      </c>
      <c r="G193" s="4" t="s">
        <v>1088</v>
      </c>
      <c r="H193" s="3" t="s">
        <v>25</v>
      </c>
      <c r="I193" s="3" t="s">
        <v>1089</v>
      </c>
      <c r="J193" s="3" t="s">
        <v>1090</v>
      </c>
      <c r="K193" s="3" t="s">
        <v>1091</v>
      </c>
      <c r="L193" s="3" t="s">
        <v>1092</v>
      </c>
      <c r="M193" s="4"/>
      <c r="N193" s="3" t="s">
        <v>37</v>
      </c>
      <c r="O193" s="3" t="s">
        <v>52</v>
      </c>
      <c r="P193" s="5">
        <v>11</v>
      </c>
      <c r="Q193" s="5">
        <v>91</v>
      </c>
      <c r="R193" s="5">
        <v>11</v>
      </c>
      <c r="S193" s="5">
        <v>91</v>
      </c>
    </row>
    <row r="194" spans="1:19" ht="28" x14ac:dyDescent="0.15">
      <c r="A194" s="2">
        <f>HYPERLINK("https://open-school.uspishnemisto.com.ua/school/50195/", 50195)</f>
        <v>50195</v>
      </c>
      <c r="B194" s="3" t="s">
        <v>1093</v>
      </c>
      <c r="C194" s="3" t="s">
        <v>31</v>
      </c>
      <c r="D194" s="3" t="s">
        <v>32</v>
      </c>
      <c r="E194" s="4" t="s">
        <v>22</v>
      </c>
      <c r="F194" s="4" t="s">
        <v>1094</v>
      </c>
      <c r="G194" s="4" t="s">
        <v>1095</v>
      </c>
      <c r="H194" s="3" t="s">
        <v>25</v>
      </c>
      <c r="I194" s="3" t="s">
        <v>1096</v>
      </c>
      <c r="J194" s="3" t="s">
        <v>1097</v>
      </c>
      <c r="K194" s="3" t="s">
        <v>1098</v>
      </c>
      <c r="L194" s="3"/>
      <c r="M194" s="4"/>
      <c r="N194" s="3" t="s">
        <v>37</v>
      </c>
      <c r="O194" s="3" t="s">
        <v>46</v>
      </c>
      <c r="P194" s="5">
        <v>9</v>
      </c>
      <c r="Q194" s="5">
        <v>65</v>
      </c>
      <c r="R194" s="5">
        <v>10</v>
      </c>
      <c r="S194" s="5">
        <v>69</v>
      </c>
    </row>
    <row r="195" spans="1:19" ht="28" x14ac:dyDescent="0.15">
      <c r="A195" s="2">
        <f>HYPERLINK("https://open-school.uspishnemisto.com.ua/school/50196/", 50196)</f>
        <v>50196</v>
      </c>
      <c r="B195" s="3" t="s">
        <v>1099</v>
      </c>
      <c r="C195" s="3" t="s">
        <v>31</v>
      </c>
      <c r="D195" s="3" t="s">
        <v>32</v>
      </c>
      <c r="E195" s="4" t="s">
        <v>22</v>
      </c>
      <c r="F195" s="4" t="s">
        <v>1100</v>
      </c>
      <c r="G195" s="4" t="s">
        <v>1101</v>
      </c>
      <c r="H195" s="3" t="s">
        <v>25</v>
      </c>
      <c r="I195" s="3" t="s">
        <v>1102</v>
      </c>
      <c r="J195" s="3" t="s">
        <v>1103</v>
      </c>
      <c r="K195" s="3" t="s">
        <v>1104</v>
      </c>
      <c r="L195" s="3" t="s">
        <v>1105</v>
      </c>
      <c r="M195" s="4"/>
      <c r="N195" s="3" t="s">
        <v>37</v>
      </c>
      <c r="O195" s="3" t="s">
        <v>38</v>
      </c>
      <c r="P195" s="5">
        <v>11</v>
      </c>
      <c r="Q195" s="5">
        <v>194</v>
      </c>
      <c r="R195" s="5">
        <v>12</v>
      </c>
      <c r="S195" s="5">
        <v>199</v>
      </c>
    </row>
    <row r="196" spans="1:19" ht="28" x14ac:dyDescent="0.15">
      <c r="A196" s="2">
        <f>HYPERLINK("https://open-school.uspishnemisto.com.ua/school/50197/", 50197)</f>
        <v>50197</v>
      </c>
      <c r="B196" s="3" t="s">
        <v>1106</v>
      </c>
      <c r="C196" s="3" t="s">
        <v>31</v>
      </c>
      <c r="D196" s="3" t="s">
        <v>175</v>
      </c>
      <c r="E196" s="4" t="s">
        <v>22</v>
      </c>
      <c r="F196" s="4" t="s">
        <v>1107</v>
      </c>
      <c r="G196" s="4" t="s">
        <v>1108</v>
      </c>
      <c r="H196" s="3" t="s">
        <v>25</v>
      </c>
      <c r="I196" s="3" t="s">
        <v>1109</v>
      </c>
      <c r="J196" s="3" t="s">
        <v>1110</v>
      </c>
      <c r="K196" s="3" t="s">
        <v>1111</v>
      </c>
      <c r="L196" s="3"/>
      <c r="M196" s="4"/>
      <c r="N196" s="3" t="s">
        <v>37</v>
      </c>
      <c r="O196" s="3" t="s">
        <v>46</v>
      </c>
      <c r="P196" s="5">
        <v>7</v>
      </c>
      <c r="Q196" s="5">
        <v>51</v>
      </c>
      <c r="R196" s="5">
        <v>6</v>
      </c>
      <c r="S196" s="5">
        <v>47</v>
      </c>
    </row>
    <row r="197" spans="1:19" ht="28" x14ac:dyDescent="0.15">
      <c r="A197" s="2">
        <f>HYPERLINK("https://open-school.uspishnemisto.com.ua/school/50198/", 50198)</f>
        <v>50198</v>
      </c>
      <c r="B197" s="3" t="s">
        <v>1112</v>
      </c>
      <c r="C197" s="3" t="s">
        <v>31</v>
      </c>
      <c r="D197" s="3" t="s">
        <v>32</v>
      </c>
      <c r="E197" s="4" t="s">
        <v>22</v>
      </c>
      <c r="F197" s="4" t="s">
        <v>1113</v>
      </c>
      <c r="G197" s="4" t="s">
        <v>1114</v>
      </c>
      <c r="H197" s="3" t="s">
        <v>25</v>
      </c>
      <c r="I197" s="3" t="s">
        <v>1115</v>
      </c>
      <c r="J197" s="3" t="s">
        <v>1116</v>
      </c>
      <c r="K197" s="3" t="s">
        <v>1117</v>
      </c>
      <c r="L197" s="3"/>
      <c r="M197" s="4"/>
      <c r="N197" s="3" t="s">
        <v>37</v>
      </c>
      <c r="O197" s="3" t="s">
        <v>46</v>
      </c>
      <c r="P197" s="5">
        <v>11</v>
      </c>
      <c r="Q197" s="5">
        <v>151</v>
      </c>
      <c r="R197" s="5">
        <v>11</v>
      </c>
      <c r="S197" s="5">
        <v>146</v>
      </c>
    </row>
    <row r="198" spans="1:19" ht="28" x14ac:dyDescent="0.15">
      <c r="A198" s="2">
        <f>HYPERLINK("https://open-school.uspishnemisto.com.ua/school/50199/", 50199)</f>
        <v>50199</v>
      </c>
      <c r="B198" s="3" t="s">
        <v>1118</v>
      </c>
      <c r="C198" s="3" t="s">
        <v>31</v>
      </c>
      <c r="D198" s="3" t="s">
        <v>175</v>
      </c>
      <c r="E198" s="4" t="s">
        <v>22</v>
      </c>
      <c r="F198" s="4" t="s">
        <v>1119</v>
      </c>
      <c r="G198" s="4" t="s">
        <v>1120</v>
      </c>
      <c r="H198" s="3" t="s">
        <v>25</v>
      </c>
      <c r="I198" s="3" t="s">
        <v>1121</v>
      </c>
      <c r="J198" s="3" t="s">
        <v>1122</v>
      </c>
      <c r="K198" s="3"/>
      <c r="L198" s="3"/>
      <c r="M198" s="4"/>
      <c r="N198" s="3" t="s">
        <v>37</v>
      </c>
      <c r="O198" s="3" t="s">
        <v>52</v>
      </c>
      <c r="P198" s="5">
        <v>6</v>
      </c>
      <c r="Q198" s="5">
        <v>49</v>
      </c>
      <c r="R198" s="5">
        <v>6</v>
      </c>
      <c r="S198" s="5">
        <v>50</v>
      </c>
    </row>
    <row r="199" spans="1:19" ht="28" x14ac:dyDescent="0.15">
      <c r="A199" s="2">
        <f>HYPERLINK("https://open-school.uspishnemisto.com.ua/school/50200/", 50200)</f>
        <v>50200</v>
      </c>
      <c r="B199" s="3" t="s">
        <v>1123</v>
      </c>
      <c r="C199" s="3" t="s">
        <v>31</v>
      </c>
      <c r="D199" s="3" t="s">
        <v>175</v>
      </c>
      <c r="E199" s="4" t="s">
        <v>22</v>
      </c>
      <c r="F199" s="4" t="s">
        <v>1124</v>
      </c>
      <c r="G199" s="4" t="s">
        <v>1125</v>
      </c>
      <c r="H199" s="3" t="s">
        <v>25</v>
      </c>
      <c r="I199" s="3" t="s">
        <v>1126</v>
      </c>
      <c r="J199" s="3" t="s">
        <v>1127</v>
      </c>
      <c r="K199" s="3" t="s">
        <v>1128</v>
      </c>
      <c r="L199" s="3"/>
      <c r="M199" s="4"/>
      <c r="N199" s="3" t="s">
        <v>37</v>
      </c>
      <c r="O199" s="3" t="s">
        <v>38</v>
      </c>
      <c r="P199" s="5">
        <v>7</v>
      </c>
      <c r="Q199" s="5">
        <v>50</v>
      </c>
      <c r="R199" s="5">
        <v>8</v>
      </c>
      <c r="S199" s="5">
        <v>52</v>
      </c>
    </row>
    <row r="200" spans="1:19" ht="42" x14ac:dyDescent="0.15">
      <c r="A200" s="2">
        <f>HYPERLINK("https://open-school.uspishnemisto.com.ua/school/50201/", 50201)</f>
        <v>50201</v>
      </c>
      <c r="B200" s="3" t="s">
        <v>1129</v>
      </c>
      <c r="C200" s="3" t="s">
        <v>31</v>
      </c>
      <c r="D200" s="3" t="s">
        <v>32</v>
      </c>
      <c r="E200" s="4" t="s">
        <v>22</v>
      </c>
      <c r="F200" s="4" t="s">
        <v>1130</v>
      </c>
      <c r="G200" s="4" t="s">
        <v>1131</v>
      </c>
      <c r="H200" s="3" t="s">
        <v>25</v>
      </c>
      <c r="I200" s="3" t="s">
        <v>1132</v>
      </c>
      <c r="J200" s="3" t="s">
        <v>1133</v>
      </c>
      <c r="K200" s="3" t="s">
        <v>1134</v>
      </c>
      <c r="L200" s="3" t="s">
        <v>1135</v>
      </c>
      <c r="M200" s="4"/>
      <c r="N200" s="3" t="s">
        <v>37</v>
      </c>
      <c r="O200" s="3" t="s">
        <v>38</v>
      </c>
      <c r="P200" s="5">
        <v>10</v>
      </c>
      <c r="Q200" s="5">
        <v>121</v>
      </c>
      <c r="R200" s="5">
        <v>11</v>
      </c>
      <c r="S200" s="5">
        <v>121</v>
      </c>
    </row>
    <row r="201" spans="1:19" ht="28" x14ac:dyDescent="0.15">
      <c r="A201" s="2">
        <f>HYPERLINK("https://open-school.uspishnemisto.com.ua/school/50202/", 50202)</f>
        <v>50202</v>
      </c>
      <c r="B201" s="3" t="s">
        <v>1136</v>
      </c>
      <c r="C201" s="3" t="s">
        <v>31</v>
      </c>
      <c r="D201" s="3" t="s">
        <v>32</v>
      </c>
      <c r="E201" s="4" t="s">
        <v>22</v>
      </c>
      <c r="F201" s="4" t="s">
        <v>1137</v>
      </c>
      <c r="G201" s="4" t="s">
        <v>1138</v>
      </c>
      <c r="H201" s="3" t="s">
        <v>25</v>
      </c>
      <c r="I201" s="3" t="s">
        <v>1139</v>
      </c>
      <c r="J201" s="3" t="s">
        <v>1140</v>
      </c>
      <c r="K201" s="3" t="s">
        <v>1141</v>
      </c>
      <c r="L201" s="3" t="s">
        <v>1142</v>
      </c>
      <c r="M201" s="4"/>
      <c r="N201" s="3" t="s">
        <v>37</v>
      </c>
      <c r="O201" s="3" t="s">
        <v>70</v>
      </c>
      <c r="P201" s="5">
        <v>11</v>
      </c>
      <c r="Q201" s="5">
        <v>89</v>
      </c>
      <c r="R201" s="5">
        <v>11</v>
      </c>
      <c r="S201" s="5">
        <v>87</v>
      </c>
    </row>
    <row r="202" spans="1:19" ht="56" x14ac:dyDescent="0.15">
      <c r="A202" s="2">
        <f>HYPERLINK("https://open-school.uspishnemisto.com.ua/school/50203/", 50203)</f>
        <v>50203</v>
      </c>
      <c r="B202" s="3" t="s">
        <v>1143</v>
      </c>
      <c r="C202" s="3" t="s">
        <v>181</v>
      </c>
      <c r="D202" s="3" t="s">
        <v>32</v>
      </c>
      <c r="E202" s="4" t="s">
        <v>22</v>
      </c>
      <c r="F202" s="4" t="s">
        <v>1144</v>
      </c>
      <c r="G202" s="4" t="s">
        <v>1145</v>
      </c>
      <c r="H202" s="3" t="s">
        <v>25</v>
      </c>
      <c r="I202" s="3" t="s">
        <v>1146</v>
      </c>
      <c r="J202" s="3" t="s">
        <v>1147</v>
      </c>
      <c r="K202" s="3"/>
      <c r="L202" s="3"/>
      <c r="M202" s="4" t="s">
        <v>1148</v>
      </c>
      <c r="N202" s="3" t="s">
        <v>37</v>
      </c>
      <c r="O202" s="3" t="s">
        <v>52</v>
      </c>
      <c r="P202" s="5">
        <v>15</v>
      </c>
      <c r="Q202" s="5">
        <v>111</v>
      </c>
      <c r="R202" s="5">
        <v>15</v>
      </c>
      <c r="S202" s="5">
        <v>98</v>
      </c>
    </row>
    <row r="203" spans="1:19" ht="28" x14ac:dyDescent="0.15">
      <c r="A203" s="2">
        <f>HYPERLINK("https://open-school.uspishnemisto.com.ua/school/50204/", 50204)</f>
        <v>50204</v>
      </c>
      <c r="B203" s="3" t="s">
        <v>1149</v>
      </c>
      <c r="C203" s="3" t="s">
        <v>31</v>
      </c>
      <c r="D203" s="3" t="s">
        <v>32</v>
      </c>
      <c r="E203" s="4" t="s">
        <v>22</v>
      </c>
      <c r="F203" s="4" t="s">
        <v>1144</v>
      </c>
      <c r="G203" s="4" t="s">
        <v>1145</v>
      </c>
      <c r="H203" s="3" t="s">
        <v>25</v>
      </c>
      <c r="I203" s="3" t="s">
        <v>1146</v>
      </c>
      <c r="J203" s="3" t="s">
        <v>1150</v>
      </c>
      <c r="K203" s="3" t="s">
        <v>1151</v>
      </c>
      <c r="L203" s="3"/>
      <c r="M203" s="4"/>
      <c r="N203" s="3" t="s">
        <v>37</v>
      </c>
      <c r="O203" s="3" t="s">
        <v>38</v>
      </c>
      <c r="P203" s="5">
        <v>11</v>
      </c>
      <c r="Q203" s="5">
        <v>76</v>
      </c>
      <c r="R203" s="5">
        <v>11</v>
      </c>
      <c r="S203" s="5">
        <v>77</v>
      </c>
    </row>
    <row r="204" spans="1:19" ht="28" x14ac:dyDescent="0.15">
      <c r="A204" s="2">
        <f>HYPERLINK("https://open-school.uspishnemisto.com.ua/school/50205/", 50205)</f>
        <v>50205</v>
      </c>
      <c r="B204" s="3" t="s">
        <v>1152</v>
      </c>
      <c r="C204" s="3" t="s">
        <v>31</v>
      </c>
      <c r="D204" s="3" t="s">
        <v>32</v>
      </c>
      <c r="E204" s="4" t="s">
        <v>22</v>
      </c>
      <c r="F204" s="4" t="s">
        <v>1153</v>
      </c>
      <c r="G204" s="4" t="s">
        <v>1154</v>
      </c>
      <c r="H204" s="3" t="s">
        <v>25</v>
      </c>
      <c r="I204" s="3" t="s">
        <v>1155</v>
      </c>
      <c r="J204" s="3" t="s">
        <v>1156</v>
      </c>
      <c r="K204" s="3" t="s">
        <v>1157</v>
      </c>
      <c r="L204" s="3"/>
      <c r="M204" s="4"/>
      <c r="N204" s="3" t="s">
        <v>37</v>
      </c>
      <c r="O204" s="3" t="s">
        <v>38</v>
      </c>
      <c r="P204" s="5">
        <v>11</v>
      </c>
      <c r="Q204" s="5">
        <v>101</v>
      </c>
      <c r="R204" s="5">
        <v>11</v>
      </c>
      <c r="S204" s="5">
        <v>111</v>
      </c>
    </row>
    <row r="205" spans="1:19" ht="28" x14ac:dyDescent="0.15">
      <c r="A205" s="2">
        <f>HYPERLINK("https://open-school.uspishnemisto.com.ua/school/50206/", 50206)</f>
        <v>50206</v>
      </c>
      <c r="B205" s="3" t="s">
        <v>1158</v>
      </c>
      <c r="C205" s="3" t="s">
        <v>31</v>
      </c>
      <c r="D205" s="3" t="s">
        <v>175</v>
      </c>
      <c r="E205" s="4" t="s">
        <v>22</v>
      </c>
      <c r="F205" s="4" t="s">
        <v>1056</v>
      </c>
      <c r="G205" s="4" t="s">
        <v>1159</v>
      </c>
      <c r="H205" s="3" t="s">
        <v>25</v>
      </c>
      <c r="I205" s="3" t="s">
        <v>1160</v>
      </c>
      <c r="J205" s="3" t="s">
        <v>1161</v>
      </c>
      <c r="K205" s="3" t="s">
        <v>1162</v>
      </c>
      <c r="L205" s="3"/>
      <c r="M205" s="4"/>
      <c r="N205" s="3" t="s">
        <v>37</v>
      </c>
      <c r="O205" s="3" t="s">
        <v>46</v>
      </c>
      <c r="P205" s="5">
        <v>4</v>
      </c>
      <c r="Q205" s="5">
        <v>27</v>
      </c>
      <c r="R205" s="5">
        <v>5</v>
      </c>
      <c r="S205" s="5">
        <v>29</v>
      </c>
    </row>
    <row r="206" spans="1:19" ht="28" x14ac:dyDescent="0.15">
      <c r="A206" s="2">
        <f>HYPERLINK("https://open-school.uspishnemisto.com.ua/school/50207/", 50207)</f>
        <v>50207</v>
      </c>
      <c r="B206" s="3" t="s">
        <v>1163</v>
      </c>
      <c r="C206" s="3" t="s">
        <v>31</v>
      </c>
      <c r="D206" s="3" t="s">
        <v>32</v>
      </c>
      <c r="E206" s="4" t="s">
        <v>22</v>
      </c>
      <c r="F206" s="4" t="s">
        <v>1164</v>
      </c>
      <c r="G206" s="4" t="s">
        <v>1165</v>
      </c>
      <c r="H206" s="3" t="s">
        <v>25</v>
      </c>
      <c r="I206" s="3" t="s">
        <v>1166</v>
      </c>
      <c r="J206" s="3" t="s">
        <v>1167</v>
      </c>
      <c r="K206" s="3" t="s">
        <v>1168</v>
      </c>
      <c r="L206" s="3" t="s">
        <v>1169</v>
      </c>
      <c r="M206" s="4"/>
      <c r="N206" s="3" t="s">
        <v>37</v>
      </c>
      <c r="O206" s="3" t="s">
        <v>38</v>
      </c>
      <c r="P206" s="5">
        <v>11</v>
      </c>
      <c r="Q206" s="5">
        <v>123</v>
      </c>
      <c r="R206" s="5">
        <v>11</v>
      </c>
      <c r="S206" s="5">
        <v>125</v>
      </c>
    </row>
    <row r="207" spans="1:19" ht="28" x14ac:dyDescent="0.15">
      <c r="A207" s="2">
        <f>HYPERLINK("https://open-school.uspishnemisto.com.ua/school/50208/", 50208)</f>
        <v>50208</v>
      </c>
      <c r="B207" s="3" t="s">
        <v>1170</v>
      </c>
      <c r="C207" s="3" t="s">
        <v>31</v>
      </c>
      <c r="D207" s="3" t="s">
        <v>32</v>
      </c>
      <c r="E207" s="4" t="s">
        <v>22</v>
      </c>
      <c r="F207" s="4" t="s">
        <v>1171</v>
      </c>
      <c r="G207" s="4" t="s">
        <v>1172</v>
      </c>
      <c r="H207" s="3" t="s">
        <v>25</v>
      </c>
      <c r="I207" s="3" t="s">
        <v>496</v>
      </c>
      <c r="J207" s="3" t="s">
        <v>1173</v>
      </c>
      <c r="K207" s="3" t="s">
        <v>1174</v>
      </c>
      <c r="L207" s="3" t="s">
        <v>1175</v>
      </c>
      <c r="M207" s="4"/>
      <c r="N207" s="3" t="s">
        <v>37</v>
      </c>
      <c r="O207" s="3" t="s">
        <v>38</v>
      </c>
      <c r="P207" s="5">
        <v>10</v>
      </c>
      <c r="Q207" s="5">
        <v>64</v>
      </c>
      <c r="R207" s="5">
        <v>10</v>
      </c>
      <c r="S207" s="5">
        <v>66</v>
      </c>
    </row>
    <row r="208" spans="1:19" ht="28" x14ac:dyDescent="0.15">
      <c r="A208" s="2">
        <f>HYPERLINK("https://open-school.uspishnemisto.com.ua/school/50209/", 50209)</f>
        <v>50209</v>
      </c>
      <c r="B208" s="3" t="s">
        <v>1176</v>
      </c>
      <c r="C208" s="3" t="s">
        <v>31</v>
      </c>
      <c r="D208" s="3" t="s">
        <v>32</v>
      </c>
      <c r="E208" s="4" t="s">
        <v>22</v>
      </c>
      <c r="F208" s="4" t="s">
        <v>1177</v>
      </c>
      <c r="G208" s="4" t="s">
        <v>1178</v>
      </c>
      <c r="H208" s="3" t="s">
        <v>25</v>
      </c>
      <c r="I208" s="3" t="s">
        <v>1179</v>
      </c>
      <c r="J208" s="3" t="s">
        <v>1180</v>
      </c>
      <c r="K208" s="3" t="s">
        <v>1181</v>
      </c>
      <c r="L208" s="3"/>
      <c r="M208" s="4"/>
      <c r="N208" s="3" t="s">
        <v>37</v>
      </c>
      <c r="O208" s="3" t="s">
        <v>52</v>
      </c>
      <c r="P208" s="5">
        <v>9</v>
      </c>
      <c r="Q208" s="5">
        <v>89</v>
      </c>
      <c r="R208" s="5">
        <v>10</v>
      </c>
      <c r="S208" s="5">
        <v>86</v>
      </c>
    </row>
    <row r="209" spans="1:19" ht="28" x14ac:dyDescent="0.15">
      <c r="A209" s="2">
        <f>HYPERLINK("https://open-school.uspishnemisto.com.ua/school/50210/", 50210)</f>
        <v>50210</v>
      </c>
      <c r="B209" s="3" t="s">
        <v>1182</v>
      </c>
      <c r="C209" s="3" t="s">
        <v>31</v>
      </c>
      <c r="D209" s="3" t="s">
        <v>32</v>
      </c>
      <c r="E209" s="4" t="s">
        <v>22</v>
      </c>
      <c r="F209" s="4" t="s">
        <v>1183</v>
      </c>
      <c r="G209" s="4" t="s">
        <v>1184</v>
      </c>
      <c r="H209" s="3" t="s">
        <v>25</v>
      </c>
      <c r="I209" s="3" t="s">
        <v>1185</v>
      </c>
      <c r="J209" s="3" t="s">
        <v>1186</v>
      </c>
      <c r="K209" s="3" t="s">
        <v>1187</v>
      </c>
      <c r="L209" s="3"/>
      <c r="M209" s="4"/>
      <c r="N209" s="3" t="s">
        <v>37</v>
      </c>
      <c r="O209" s="3" t="s">
        <v>52</v>
      </c>
      <c r="P209" s="5">
        <v>11</v>
      </c>
      <c r="Q209" s="5">
        <v>178</v>
      </c>
      <c r="R209" s="5">
        <v>11</v>
      </c>
      <c r="S209" s="5">
        <v>170</v>
      </c>
    </row>
    <row r="210" spans="1:19" ht="28" x14ac:dyDescent="0.15">
      <c r="A210" s="2">
        <f>HYPERLINK("https://open-school.uspishnemisto.com.ua/school/50211/", 50211)</f>
        <v>50211</v>
      </c>
      <c r="B210" s="3" t="s">
        <v>1188</v>
      </c>
      <c r="C210" s="3" t="s">
        <v>31</v>
      </c>
      <c r="D210" s="3" t="s">
        <v>32</v>
      </c>
      <c r="E210" s="4" t="s">
        <v>22</v>
      </c>
      <c r="F210" s="4" t="s">
        <v>1189</v>
      </c>
      <c r="G210" s="4" t="s">
        <v>1190</v>
      </c>
      <c r="H210" s="3" t="s">
        <v>25</v>
      </c>
      <c r="I210" s="3" t="s">
        <v>1191</v>
      </c>
      <c r="J210" s="3" t="s">
        <v>1192</v>
      </c>
      <c r="K210" s="3" t="s">
        <v>1193</v>
      </c>
      <c r="L210" s="3"/>
      <c r="M210" s="4"/>
      <c r="N210" s="3" t="s">
        <v>37</v>
      </c>
      <c r="O210" s="3" t="s">
        <v>38</v>
      </c>
      <c r="P210" s="5">
        <v>11</v>
      </c>
      <c r="Q210" s="5">
        <v>94</v>
      </c>
      <c r="R210" s="5">
        <v>11</v>
      </c>
      <c r="S210" s="5">
        <v>89</v>
      </c>
    </row>
    <row r="211" spans="1:19" ht="28" x14ac:dyDescent="0.15">
      <c r="A211" s="2">
        <f>HYPERLINK("https://open-school.uspishnemisto.com.ua/school/50212/", 50212)</f>
        <v>50212</v>
      </c>
      <c r="B211" s="3" t="s">
        <v>1194</v>
      </c>
      <c r="C211" s="3" t="s">
        <v>31</v>
      </c>
      <c r="D211" s="3" t="s">
        <v>175</v>
      </c>
      <c r="E211" s="4" t="s">
        <v>22</v>
      </c>
      <c r="F211" s="4" t="s">
        <v>1195</v>
      </c>
      <c r="G211" s="4" t="s">
        <v>1196</v>
      </c>
      <c r="H211" s="3" t="s">
        <v>25</v>
      </c>
      <c r="I211" s="3" t="s">
        <v>1197</v>
      </c>
      <c r="J211" s="3" t="s">
        <v>1198</v>
      </c>
      <c r="K211" s="3" t="s">
        <v>1199</v>
      </c>
      <c r="L211" s="3"/>
      <c r="M211" s="4"/>
      <c r="N211" s="3" t="s">
        <v>37</v>
      </c>
      <c r="O211" s="3" t="s">
        <v>52</v>
      </c>
      <c r="P211" s="5">
        <v>8</v>
      </c>
      <c r="Q211" s="5">
        <v>50</v>
      </c>
      <c r="R211" s="5">
        <v>7</v>
      </c>
      <c r="S211" s="5">
        <v>42</v>
      </c>
    </row>
    <row r="212" spans="1:19" ht="28" x14ac:dyDescent="0.15">
      <c r="A212" s="2">
        <f>HYPERLINK("https://open-school.uspishnemisto.com.ua/school/50213/", 50213)</f>
        <v>50213</v>
      </c>
      <c r="B212" s="3" t="s">
        <v>1200</v>
      </c>
      <c r="C212" s="3" t="s">
        <v>31</v>
      </c>
      <c r="D212" s="3" t="s">
        <v>175</v>
      </c>
      <c r="E212" s="4" t="s">
        <v>22</v>
      </c>
      <c r="F212" s="4" t="s">
        <v>1201</v>
      </c>
      <c r="G212" s="4" t="s">
        <v>1202</v>
      </c>
      <c r="H212" s="3" t="s">
        <v>25</v>
      </c>
      <c r="I212" s="3" t="s">
        <v>1203</v>
      </c>
      <c r="J212" s="3" t="s">
        <v>1204</v>
      </c>
      <c r="K212" s="3" t="s">
        <v>1205</v>
      </c>
      <c r="L212" s="3"/>
      <c r="M212" s="4"/>
      <c r="N212" s="3" t="s">
        <v>37</v>
      </c>
      <c r="O212" s="3" t="s">
        <v>38</v>
      </c>
      <c r="P212" s="5">
        <v>8</v>
      </c>
      <c r="Q212" s="5">
        <v>57</v>
      </c>
      <c r="R212" s="5">
        <v>7</v>
      </c>
      <c r="S212" s="5">
        <v>62</v>
      </c>
    </row>
    <row r="213" spans="1:19" ht="28" x14ac:dyDescent="0.15">
      <c r="A213" s="2">
        <f>HYPERLINK("https://open-school.uspishnemisto.com.ua/school/50214/", 50214)</f>
        <v>50214</v>
      </c>
      <c r="B213" s="3" t="s">
        <v>1206</v>
      </c>
      <c r="C213" s="3" t="s">
        <v>31</v>
      </c>
      <c r="D213" s="3" t="s">
        <v>32</v>
      </c>
      <c r="E213" s="4" t="s">
        <v>22</v>
      </c>
      <c r="F213" s="4" t="s">
        <v>1207</v>
      </c>
      <c r="G213" s="4" t="s">
        <v>1208</v>
      </c>
      <c r="H213" s="3" t="s">
        <v>25</v>
      </c>
      <c r="I213" s="3" t="s">
        <v>688</v>
      </c>
      <c r="J213" s="3" t="s">
        <v>1209</v>
      </c>
      <c r="K213" s="3" t="s">
        <v>1210</v>
      </c>
      <c r="L213" s="3" t="s">
        <v>1211</v>
      </c>
      <c r="M213" s="4"/>
      <c r="N213" s="3" t="s">
        <v>37</v>
      </c>
      <c r="O213" s="3" t="s">
        <v>38</v>
      </c>
      <c r="P213" s="5">
        <v>11</v>
      </c>
      <c r="Q213" s="5">
        <v>152</v>
      </c>
      <c r="R213" s="5">
        <v>11</v>
      </c>
      <c r="S213" s="5">
        <v>139</v>
      </c>
    </row>
    <row r="214" spans="1:19" ht="28" x14ac:dyDescent="0.15">
      <c r="A214" s="2">
        <f>HYPERLINK("https://open-school.uspishnemisto.com.ua/school/50215/", 50215)</f>
        <v>50215</v>
      </c>
      <c r="B214" s="3" t="s">
        <v>1212</v>
      </c>
      <c r="C214" s="3" t="s">
        <v>31</v>
      </c>
      <c r="D214" s="3" t="s">
        <v>175</v>
      </c>
      <c r="E214" s="4" t="s">
        <v>22</v>
      </c>
      <c r="F214" s="4" t="s">
        <v>1213</v>
      </c>
      <c r="G214" s="4" t="s">
        <v>1214</v>
      </c>
      <c r="H214" s="3" t="s">
        <v>25</v>
      </c>
      <c r="I214" s="3" t="s">
        <v>1215</v>
      </c>
      <c r="J214" s="3" t="s">
        <v>1216</v>
      </c>
      <c r="K214" s="3" t="s">
        <v>1217</v>
      </c>
      <c r="L214" s="3"/>
      <c r="M214" s="4"/>
      <c r="N214" s="3" t="s">
        <v>37</v>
      </c>
      <c r="O214" s="3" t="s">
        <v>46</v>
      </c>
      <c r="P214" s="5">
        <v>5</v>
      </c>
      <c r="Q214" s="5">
        <v>39</v>
      </c>
      <c r="R214" s="5">
        <v>4</v>
      </c>
      <c r="S214" s="5">
        <v>39</v>
      </c>
    </row>
    <row r="215" spans="1:19" ht="28" x14ac:dyDescent="0.15">
      <c r="A215" s="2">
        <f>HYPERLINK("https://open-school.uspishnemisto.com.ua/school/50216/", 50216)</f>
        <v>50216</v>
      </c>
      <c r="B215" s="3" t="s">
        <v>1218</v>
      </c>
      <c r="C215" s="3" t="s">
        <v>31</v>
      </c>
      <c r="D215" s="3" t="s">
        <v>32</v>
      </c>
      <c r="E215" s="4" t="s">
        <v>22</v>
      </c>
      <c r="F215" s="4" t="s">
        <v>1219</v>
      </c>
      <c r="G215" s="4" t="s">
        <v>1220</v>
      </c>
      <c r="H215" s="3" t="s">
        <v>25</v>
      </c>
      <c r="I215" s="3" t="s">
        <v>1221</v>
      </c>
      <c r="J215" s="3" t="s">
        <v>1222</v>
      </c>
      <c r="K215" s="3" t="s">
        <v>1223</v>
      </c>
      <c r="L215" s="3" t="s">
        <v>1224</v>
      </c>
      <c r="M215" s="4"/>
      <c r="N215" s="3" t="s">
        <v>37</v>
      </c>
      <c r="O215" s="3" t="s">
        <v>52</v>
      </c>
      <c r="P215" s="5">
        <v>11</v>
      </c>
      <c r="Q215" s="5">
        <v>73</v>
      </c>
      <c r="R215" s="5">
        <v>9</v>
      </c>
      <c r="S215" s="5">
        <v>75</v>
      </c>
    </row>
    <row r="216" spans="1:19" ht="28" x14ac:dyDescent="0.15">
      <c r="A216" s="2">
        <f>HYPERLINK("https://open-school.uspishnemisto.com.ua/school/50217/", 50217)</f>
        <v>50217</v>
      </c>
      <c r="B216" s="3" t="s">
        <v>1225</v>
      </c>
      <c r="C216" s="3" t="s">
        <v>31</v>
      </c>
      <c r="D216" s="3" t="s">
        <v>32</v>
      </c>
      <c r="E216" s="4" t="s">
        <v>22</v>
      </c>
      <c r="F216" s="4" t="s">
        <v>1226</v>
      </c>
      <c r="G216" s="4" t="s">
        <v>1227</v>
      </c>
      <c r="H216" s="3" t="s">
        <v>25</v>
      </c>
      <c r="I216" s="3" t="s">
        <v>1228</v>
      </c>
      <c r="J216" s="3" t="s">
        <v>946</v>
      </c>
      <c r="K216" s="3" t="s">
        <v>1229</v>
      </c>
      <c r="L216" s="3"/>
      <c r="M216" s="4"/>
      <c r="N216" s="3" t="s">
        <v>37</v>
      </c>
      <c r="O216" s="3" t="s">
        <v>38</v>
      </c>
      <c r="P216" s="5">
        <v>8</v>
      </c>
      <c r="Q216" s="5">
        <v>50</v>
      </c>
      <c r="R216" s="5">
        <v>9</v>
      </c>
      <c r="S216" s="5">
        <v>68</v>
      </c>
    </row>
    <row r="217" spans="1:19" ht="28" x14ac:dyDescent="0.15">
      <c r="A217" s="2">
        <f>HYPERLINK("https://open-school.uspishnemisto.com.ua/school/50218/", 50218)</f>
        <v>50218</v>
      </c>
      <c r="B217" s="3" t="s">
        <v>1230</v>
      </c>
      <c r="C217" s="3" t="s">
        <v>31</v>
      </c>
      <c r="D217" s="3" t="s">
        <v>175</v>
      </c>
      <c r="E217" s="4" t="s">
        <v>22</v>
      </c>
      <c r="F217" s="4" t="s">
        <v>1231</v>
      </c>
      <c r="G217" s="4" t="s">
        <v>1232</v>
      </c>
      <c r="H217" s="3" t="s">
        <v>25</v>
      </c>
      <c r="I217" s="3" t="s">
        <v>1233</v>
      </c>
      <c r="J217" s="3" t="s">
        <v>1234</v>
      </c>
      <c r="K217" s="3" t="s">
        <v>1235</v>
      </c>
      <c r="L217" s="3"/>
      <c r="M217" s="4"/>
      <c r="N217" s="3" t="s">
        <v>37</v>
      </c>
      <c r="O217" s="3" t="s">
        <v>38</v>
      </c>
      <c r="P217" s="5">
        <v>6</v>
      </c>
      <c r="Q217" s="5">
        <v>49</v>
      </c>
      <c r="R217" s="5">
        <v>6</v>
      </c>
      <c r="S217" s="5">
        <v>45</v>
      </c>
    </row>
    <row r="218" spans="1:19" ht="28" x14ac:dyDescent="0.15">
      <c r="A218" s="2">
        <f>HYPERLINK("https://open-school.uspishnemisto.com.ua/school/50219/", 50219)</f>
        <v>50219</v>
      </c>
      <c r="B218" s="3" t="s">
        <v>1236</v>
      </c>
      <c r="C218" s="3" t="s">
        <v>31</v>
      </c>
      <c r="D218" s="3" t="s">
        <v>175</v>
      </c>
      <c r="E218" s="4" t="s">
        <v>22</v>
      </c>
      <c r="F218" s="4" t="s">
        <v>1056</v>
      </c>
      <c r="G218" s="4" t="s">
        <v>1237</v>
      </c>
      <c r="H218" s="3" t="s">
        <v>25</v>
      </c>
      <c r="I218" s="3" t="s">
        <v>1238</v>
      </c>
      <c r="J218" s="3" t="s">
        <v>1239</v>
      </c>
      <c r="K218" s="3" t="s">
        <v>1240</v>
      </c>
      <c r="L218" s="3"/>
      <c r="M218" s="4"/>
      <c r="N218" s="3" t="s">
        <v>37</v>
      </c>
      <c r="O218" s="3" t="s">
        <v>52</v>
      </c>
      <c r="P218" s="5">
        <v>4</v>
      </c>
      <c r="Q218" s="5">
        <v>31</v>
      </c>
      <c r="R218" s="5">
        <v>4</v>
      </c>
      <c r="S218" s="5">
        <v>32</v>
      </c>
    </row>
    <row r="219" spans="1:19" ht="28" x14ac:dyDescent="0.15">
      <c r="A219" s="2">
        <f>HYPERLINK("https://open-school.uspishnemisto.com.ua/school/50220/", 50220)</f>
        <v>50220</v>
      </c>
      <c r="B219" s="3" t="s">
        <v>1241</v>
      </c>
      <c r="C219" s="3" t="s">
        <v>31</v>
      </c>
      <c r="D219" s="3" t="s">
        <v>32</v>
      </c>
      <c r="E219" s="4" t="s">
        <v>22</v>
      </c>
      <c r="F219" s="4" t="s">
        <v>1242</v>
      </c>
      <c r="G219" s="4" t="s">
        <v>1243</v>
      </c>
      <c r="H219" s="3" t="s">
        <v>25</v>
      </c>
      <c r="I219" s="3" t="s">
        <v>1244</v>
      </c>
      <c r="J219" s="3" t="s">
        <v>1245</v>
      </c>
      <c r="K219" s="3" t="s">
        <v>1246</v>
      </c>
      <c r="L219" s="3" t="s">
        <v>1247</v>
      </c>
      <c r="M219" s="4"/>
      <c r="N219" s="3" t="s">
        <v>37</v>
      </c>
      <c r="O219" s="3" t="s">
        <v>38</v>
      </c>
      <c r="P219" s="5">
        <v>8</v>
      </c>
      <c r="Q219" s="5">
        <v>58</v>
      </c>
      <c r="R219" s="5">
        <v>8</v>
      </c>
      <c r="S219" s="5">
        <v>63</v>
      </c>
    </row>
    <row r="220" spans="1:19" ht="28" x14ac:dyDescent="0.15">
      <c r="A220" s="2">
        <f>HYPERLINK("https://open-school.uspishnemisto.com.ua/school/50221/", 50221)</f>
        <v>50221</v>
      </c>
      <c r="B220" s="3" t="s">
        <v>1248</v>
      </c>
      <c r="C220" s="3" t="s">
        <v>31</v>
      </c>
      <c r="D220" s="3" t="s">
        <v>32</v>
      </c>
      <c r="E220" s="4" t="s">
        <v>22</v>
      </c>
      <c r="F220" s="4" t="s">
        <v>1249</v>
      </c>
      <c r="G220" s="4" t="s">
        <v>1250</v>
      </c>
      <c r="H220" s="3" t="s">
        <v>25</v>
      </c>
      <c r="I220" s="3" t="s">
        <v>1251</v>
      </c>
      <c r="J220" s="3" t="s">
        <v>1252</v>
      </c>
      <c r="K220" s="3" t="s">
        <v>1253</v>
      </c>
      <c r="L220" s="3" t="s">
        <v>1254</v>
      </c>
      <c r="M220" s="4"/>
      <c r="N220" s="3" t="s">
        <v>37</v>
      </c>
      <c r="O220" s="3" t="s">
        <v>52</v>
      </c>
      <c r="P220" s="5">
        <v>10</v>
      </c>
      <c r="Q220" s="5">
        <v>66</v>
      </c>
      <c r="R220" s="5">
        <v>10</v>
      </c>
      <c r="S220" s="5">
        <v>71</v>
      </c>
    </row>
    <row r="221" spans="1:19" ht="28" x14ac:dyDescent="0.15">
      <c r="A221" s="2">
        <f>HYPERLINK("https://open-school.uspishnemisto.com.ua/school/50222/", 50222)</f>
        <v>50222</v>
      </c>
      <c r="B221" s="3" t="s">
        <v>1255</v>
      </c>
      <c r="C221" s="3" t="s">
        <v>31</v>
      </c>
      <c r="D221" s="3" t="s">
        <v>32</v>
      </c>
      <c r="E221" s="4" t="s">
        <v>22</v>
      </c>
      <c r="F221" s="4" t="s">
        <v>1256</v>
      </c>
      <c r="G221" s="4" t="s">
        <v>1257</v>
      </c>
      <c r="H221" s="3" t="s">
        <v>25</v>
      </c>
      <c r="I221" s="3" t="s">
        <v>1258</v>
      </c>
      <c r="J221" s="3" t="s">
        <v>1259</v>
      </c>
      <c r="K221" s="3" t="s">
        <v>1260</v>
      </c>
      <c r="L221" s="3" t="s">
        <v>1261</v>
      </c>
      <c r="M221" s="4"/>
      <c r="N221" s="3" t="s">
        <v>37</v>
      </c>
      <c r="O221" s="3" t="s">
        <v>52</v>
      </c>
      <c r="P221" s="5">
        <v>10</v>
      </c>
      <c r="Q221" s="5">
        <v>122</v>
      </c>
      <c r="R221" s="5">
        <v>10</v>
      </c>
      <c r="S221" s="5">
        <v>111</v>
      </c>
    </row>
    <row r="222" spans="1:19" ht="42" x14ac:dyDescent="0.15">
      <c r="A222" s="2">
        <f>HYPERLINK("https://open-school.uspishnemisto.com.ua/school/50223/", 50223)</f>
        <v>50223</v>
      </c>
      <c r="B222" s="3" t="s">
        <v>1262</v>
      </c>
      <c r="C222" s="3" t="s">
        <v>54</v>
      </c>
      <c r="D222" s="3" t="s">
        <v>175</v>
      </c>
      <c r="E222" s="4" t="s">
        <v>22</v>
      </c>
      <c r="F222" s="4" t="s">
        <v>1263</v>
      </c>
      <c r="G222" s="4" t="s">
        <v>1264</v>
      </c>
      <c r="H222" s="3" t="s">
        <v>25</v>
      </c>
      <c r="I222" s="3" t="s">
        <v>1265</v>
      </c>
      <c r="J222" s="3" t="s">
        <v>1266</v>
      </c>
      <c r="K222" s="3" t="s">
        <v>1267</v>
      </c>
      <c r="L222" s="3"/>
      <c r="M222" s="4"/>
      <c r="N222" s="3" t="s">
        <v>37</v>
      </c>
      <c r="O222" s="3" t="s">
        <v>38</v>
      </c>
      <c r="P222" s="5">
        <v>4</v>
      </c>
      <c r="Q222" s="5">
        <v>34</v>
      </c>
      <c r="R222" s="5">
        <v>5</v>
      </c>
      <c r="S222" s="5">
        <v>36</v>
      </c>
    </row>
    <row r="223" spans="1:19" ht="28" x14ac:dyDescent="0.15">
      <c r="A223" s="2">
        <f>HYPERLINK("https://open-school.uspishnemisto.com.ua/school/50224/", 50224)</f>
        <v>50224</v>
      </c>
      <c r="B223" s="3" t="s">
        <v>1268</v>
      </c>
      <c r="C223" s="3" t="s">
        <v>31</v>
      </c>
      <c r="D223" s="3" t="s">
        <v>175</v>
      </c>
      <c r="E223" s="4" t="s">
        <v>22</v>
      </c>
      <c r="F223" s="4" t="s">
        <v>1269</v>
      </c>
      <c r="G223" s="4" t="s">
        <v>1270</v>
      </c>
      <c r="H223" s="3" t="s">
        <v>25</v>
      </c>
      <c r="I223" s="3" t="s">
        <v>1271</v>
      </c>
      <c r="J223" s="3" t="s">
        <v>1272</v>
      </c>
      <c r="K223" s="3" t="s">
        <v>1273</v>
      </c>
      <c r="L223" s="3"/>
      <c r="M223" s="4"/>
      <c r="N223" s="3" t="s">
        <v>37</v>
      </c>
      <c r="O223" s="3" t="s">
        <v>38</v>
      </c>
      <c r="P223" s="5">
        <v>9</v>
      </c>
      <c r="Q223" s="5">
        <v>77</v>
      </c>
      <c r="R223" s="5">
        <v>9</v>
      </c>
      <c r="S223" s="5">
        <v>81</v>
      </c>
    </row>
    <row r="224" spans="1:19" ht="28" x14ac:dyDescent="0.15">
      <c r="A224" s="2">
        <f>HYPERLINK("https://open-school.uspishnemisto.com.ua/school/50225/", 50225)</f>
        <v>50225</v>
      </c>
      <c r="B224" s="3" t="s">
        <v>1274</v>
      </c>
      <c r="C224" s="3" t="s">
        <v>31</v>
      </c>
      <c r="D224" s="3" t="s">
        <v>175</v>
      </c>
      <c r="E224" s="4" t="s">
        <v>22</v>
      </c>
      <c r="F224" s="4" t="s">
        <v>1275</v>
      </c>
      <c r="G224" s="4" t="s">
        <v>1276</v>
      </c>
      <c r="H224" s="3" t="s">
        <v>25</v>
      </c>
      <c r="I224" s="3" t="s">
        <v>1277</v>
      </c>
      <c r="J224" s="3" t="s">
        <v>1278</v>
      </c>
      <c r="K224" s="3" t="s">
        <v>1279</v>
      </c>
      <c r="L224" s="3"/>
      <c r="M224" s="4"/>
      <c r="N224" s="3" t="s">
        <v>37</v>
      </c>
      <c r="O224" s="3" t="s">
        <v>38</v>
      </c>
      <c r="P224" s="5">
        <v>9</v>
      </c>
      <c r="Q224" s="5">
        <v>197</v>
      </c>
      <c r="R224" s="5">
        <v>9</v>
      </c>
      <c r="S224" s="5">
        <v>192</v>
      </c>
    </row>
    <row r="225" spans="1:19" ht="42" x14ac:dyDescent="0.15">
      <c r="A225" s="2">
        <f>HYPERLINK("https://open-school.uspishnemisto.com.ua/school/50226/", 50226)</f>
        <v>50226</v>
      </c>
      <c r="B225" s="3" t="s">
        <v>1280</v>
      </c>
      <c r="C225" s="3" t="s">
        <v>31</v>
      </c>
      <c r="D225" s="3" t="s">
        <v>32</v>
      </c>
      <c r="E225" s="4" t="s">
        <v>22</v>
      </c>
      <c r="F225" s="4" t="s">
        <v>1275</v>
      </c>
      <c r="G225" s="4" t="s">
        <v>1276</v>
      </c>
      <c r="H225" s="3" t="s">
        <v>25</v>
      </c>
      <c r="I225" s="3" t="s">
        <v>1277</v>
      </c>
      <c r="J225" s="3" t="s">
        <v>1281</v>
      </c>
      <c r="K225" s="3" t="s">
        <v>1282</v>
      </c>
      <c r="L225" s="3"/>
      <c r="M225" s="4"/>
      <c r="N225" s="3" t="s">
        <v>37</v>
      </c>
      <c r="O225" s="3" t="s">
        <v>38</v>
      </c>
      <c r="P225" s="5">
        <v>20</v>
      </c>
      <c r="Q225" s="5">
        <v>461</v>
      </c>
      <c r="R225" s="5">
        <v>20</v>
      </c>
      <c r="S225" s="5">
        <v>445</v>
      </c>
    </row>
    <row r="226" spans="1:19" ht="42" x14ac:dyDescent="0.15">
      <c r="A226" s="2">
        <f>HYPERLINK("https://open-school.uspishnemisto.com.ua/school/50227/", 50227)</f>
        <v>50227</v>
      </c>
      <c r="B226" s="3" t="s">
        <v>1283</v>
      </c>
      <c r="C226" s="3" t="s">
        <v>31</v>
      </c>
      <c r="D226" s="3" t="s">
        <v>175</v>
      </c>
      <c r="E226" s="4" t="s">
        <v>22</v>
      </c>
      <c r="F226" s="4" t="s">
        <v>1284</v>
      </c>
      <c r="G226" s="4" t="s">
        <v>1285</v>
      </c>
      <c r="H226" s="3" t="s">
        <v>25</v>
      </c>
      <c r="I226" s="3" t="s">
        <v>1286</v>
      </c>
      <c r="J226" s="3" t="s">
        <v>466</v>
      </c>
      <c r="K226" s="3" t="s">
        <v>1287</v>
      </c>
      <c r="L226" s="3"/>
      <c r="M226" s="4"/>
      <c r="N226" s="3" t="s">
        <v>37</v>
      </c>
      <c r="O226" s="3" t="s">
        <v>38</v>
      </c>
      <c r="P226" s="5">
        <v>9</v>
      </c>
      <c r="Q226" s="5">
        <v>60</v>
      </c>
      <c r="R226" s="5">
        <v>8</v>
      </c>
      <c r="S226" s="5">
        <v>58</v>
      </c>
    </row>
    <row r="227" spans="1:19" ht="28" x14ac:dyDescent="0.15">
      <c r="A227" s="2">
        <f>HYPERLINK("https://open-school.uspishnemisto.com.ua/school/50228/", 50228)</f>
        <v>50228</v>
      </c>
      <c r="B227" s="3" t="s">
        <v>1288</v>
      </c>
      <c r="C227" s="3" t="s">
        <v>31</v>
      </c>
      <c r="D227" s="3" t="s">
        <v>32</v>
      </c>
      <c r="E227" s="4" t="s">
        <v>22</v>
      </c>
      <c r="F227" s="4" t="s">
        <v>1289</v>
      </c>
      <c r="G227" s="4" t="s">
        <v>1290</v>
      </c>
      <c r="H227" s="3" t="s">
        <v>25</v>
      </c>
      <c r="I227" s="3" t="s">
        <v>1291</v>
      </c>
      <c r="J227" s="3" t="s">
        <v>1292</v>
      </c>
      <c r="K227" s="3" t="s">
        <v>1293</v>
      </c>
      <c r="L227" s="3" t="s">
        <v>1294</v>
      </c>
      <c r="M227" s="4"/>
      <c r="N227" s="3" t="s">
        <v>37</v>
      </c>
      <c r="O227" s="3" t="s">
        <v>38</v>
      </c>
      <c r="P227" s="5">
        <v>11</v>
      </c>
      <c r="Q227" s="5">
        <v>92</v>
      </c>
      <c r="R227" s="5">
        <v>11</v>
      </c>
      <c r="S227" s="5">
        <v>96</v>
      </c>
    </row>
    <row r="228" spans="1:19" ht="28" x14ac:dyDescent="0.15">
      <c r="A228" s="2">
        <f>HYPERLINK("https://open-school.uspishnemisto.com.ua/school/50229/", 50229)</f>
        <v>50229</v>
      </c>
      <c r="B228" s="3" t="s">
        <v>1295</v>
      </c>
      <c r="C228" s="3" t="s">
        <v>31</v>
      </c>
      <c r="D228" s="3" t="s">
        <v>175</v>
      </c>
      <c r="E228" s="4" t="s">
        <v>22</v>
      </c>
      <c r="F228" s="4" t="s">
        <v>1296</v>
      </c>
      <c r="G228" s="4" t="s">
        <v>1297</v>
      </c>
      <c r="H228" s="3" t="s">
        <v>25</v>
      </c>
      <c r="I228" s="3" t="s">
        <v>1298</v>
      </c>
      <c r="J228" s="3" t="s">
        <v>740</v>
      </c>
      <c r="K228" s="3" t="s">
        <v>1299</v>
      </c>
      <c r="L228" s="3"/>
      <c r="M228" s="4"/>
      <c r="N228" s="3" t="s">
        <v>37</v>
      </c>
      <c r="O228" s="3" t="s">
        <v>38</v>
      </c>
      <c r="P228" s="5">
        <v>8</v>
      </c>
      <c r="Q228" s="5">
        <v>65</v>
      </c>
      <c r="R228" s="5">
        <v>8</v>
      </c>
      <c r="S228" s="5">
        <v>60</v>
      </c>
    </row>
    <row r="229" spans="1:19" ht="42" x14ac:dyDescent="0.15">
      <c r="A229" s="2">
        <f>HYPERLINK("https://open-school.uspishnemisto.com.ua/school/50230/", 50230)</f>
        <v>50230</v>
      </c>
      <c r="B229" s="3" t="s">
        <v>1300</v>
      </c>
      <c r="C229" s="3" t="s">
        <v>54</v>
      </c>
      <c r="D229" s="3" t="s">
        <v>60</v>
      </c>
      <c r="E229" s="4" t="s">
        <v>22</v>
      </c>
      <c r="F229" s="4" t="s">
        <v>1301</v>
      </c>
      <c r="G229" s="4" t="s">
        <v>1302</v>
      </c>
      <c r="H229" s="3" t="s">
        <v>25</v>
      </c>
      <c r="I229" s="3" t="s">
        <v>1303</v>
      </c>
      <c r="J229" s="3" t="s">
        <v>634</v>
      </c>
      <c r="K229" s="3" t="s">
        <v>1304</v>
      </c>
      <c r="L229" s="3"/>
      <c r="M229" s="4"/>
      <c r="N229" s="3" t="s">
        <v>37</v>
      </c>
      <c r="O229" s="3" t="s">
        <v>52</v>
      </c>
      <c r="P229" s="5">
        <v>1</v>
      </c>
      <c r="Q229" s="5">
        <v>5</v>
      </c>
      <c r="R229" s="5">
        <v>5</v>
      </c>
      <c r="S229" s="5">
        <v>25</v>
      </c>
    </row>
    <row r="230" spans="1:19" ht="28" x14ac:dyDescent="0.15">
      <c r="A230" s="2">
        <f>HYPERLINK("https://open-school.uspishnemisto.com.ua/school/50231/", 50231)</f>
        <v>50231</v>
      </c>
      <c r="B230" s="3" t="s">
        <v>1305</v>
      </c>
      <c r="C230" s="3" t="s">
        <v>31</v>
      </c>
      <c r="D230" s="3" t="s">
        <v>32</v>
      </c>
      <c r="E230" s="4" t="s">
        <v>22</v>
      </c>
      <c r="F230" s="4" t="s">
        <v>1306</v>
      </c>
      <c r="G230" s="4" t="s">
        <v>1307</v>
      </c>
      <c r="H230" s="3" t="s">
        <v>25</v>
      </c>
      <c r="I230" s="3" t="s">
        <v>1308</v>
      </c>
      <c r="J230" s="3" t="s">
        <v>1309</v>
      </c>
      <c r="K230" s="3" t="s">
        <v>1310</v>
      </c>
      <c r="L230" s="3"/>
      <c r="M230" s="4"/>
      <c r="N230" s="3" t="s">
        <v>37</v>
      </c>
      <c r="O230" s="3" t="s">
        <v>38</v>
      </c>
      <c r="P230" s="5">
        <v>11</v>
      </c>
      <c r="Q230" s="5">
        <v>124</v>
      </c>
      <c r="R230" s="5">
        <v>11</v>
      </c>
      <c r="S230" s="5">
        <v>119</v>
      </c>
    </row>
    <row r="231" spans="1:19" ht="28" x14ac:dyDescent="0.15">
      <c r="A231" s="2">
        <f>HYPERLINK("https://open-school.uspishnemisto.com.ua/school/50232/", 50232)</f>
        <v>50232</v>
      </c>
      <c r="B231" s="3" t="s">
        <v>1311</v>
      </c>
      <c r="C231" s="3" t="s">
        <v>31</v>
      </c>
      <c r="D231" s="3" t="s">
        <v>175</v>
      </c>
      <c r="E231" s="4" t="s">
        <v>22</v>
      </c>
      <c r="F231" s="4" t="s">
        <v>1312</v>
      </c>
      <c r="G231" s="4" t="s">
        <v>1313</v>
      </c>
      <c r="H231" s="3" t="s">
        <v>25</v>
      </c>
      <c r="I231" s="3" t="s">
        <v>1314</v>
      </c>
      <c r="J231" s="3" t="s">
        <v>1315</v>
      </c>
      <c r="K231" s="3" t="s">
        <v>1316</v>
      </c>
      <c r="L231" s="3"/>
      <c r="M231" s="4"/>
      <c r="N231" s="3" t="s">
        <v>37</v>
      </c>
      <c r="O231" s="3" t="s">
        <v>38</v>
      </c>
      <c r="P231" s="5">
        <v>6</v>
      </c>
      <c r="Q231" s="5">
        <v>38</v>
      </c>
      <c r="R231" s="5">
        <v>6</v>
      </c>
      <c r="S231" s="5">
        <v>39</v>
      </c>
    </row>
    <row r="232" spans="1:19" ht="28" x14ac:dyDescent="0.15">
      <c r="A232" s="2">
        <f>HYPERLINK("https://open-school.uspishnemisto.com.ua/school/50233/", 50233)</f>
        <v>50233</v>
      </c>
      <c r="B232" s="3" t="s">
        <v>1317</v>
      </c>
      <c r="C232" s="3" t="s">
        <v>31</v>
      </c>
      <c r="D232" s="3" t="s">
        <v>32</v>
      </c>
      <c r="E232" s="4" t="s">
        <v>22</v>
      </c>
      <c r="F232" s="4" t="s">
        <v>1318</v>
      </c>
      <c r="G232" s="4" t="s">
        <v>1319</v>
      </c>
      <c r="H232" s="3" t="s">
        <v>25</v>
      </c>
      <c r="I232" s="3" t="s">
        <v>1320</v>
      </c>
      <c r="J232" s="3" t="s">
        <v>1321</v>
      </c>
      <c r="K232" s="3" t="s">
        <v>1322</v>
      </c>
      <c r="L232" s="3"/>
      <c r="M232" s="4"/>
      <c r="N232" s="3" t="s">
        <v>37</v>
      </c>
      <c r="O232" s="3" t="s">
        <v>38</v>
      </c>
      <c r="P232" s="5">
        <v>11</v>
      </c>
      <c r="Q232" s="5">
        <v>154</v>
      </c>
      <c r="R232" s="5">
        <v>11</v>
      </c>
      <c r="S232" s="5">
        <v>156</v>
      </c>
    </row>
    <row r="233" spans="1:19" ht="28" x14ac:dyDescent="0.15">
      <c r="A233" s="2">
        <f>HYPERLINK("https://open-school.uspishnemisto.com.ua/school/50234/", 50234)</f>
        <v>50234</v>
      </c>
      <c r="B233" s="3" t="s">
        <v>1323</v>
      </c>
      <c r="C233" s="3" t="s">
        <v>54</v>
      </c>
      <c r="D233" s="3" t="s">
        <v>60</v>
      </c>
      <c r="E233" s="4" t="s">
        <v>22</v>
      </c>
      <c r="F233" s="4" t="s">
        <v>1324</v>
      </c>
      <c r="G233" s="4" t="s">
        <v>1325</v>
      </c>
      <c r="H233" s="3" t="s">
        <v>25</v>
      </c>
      <c r="I233" s="3" t="s">
        <v>1326</v>
      </c>
      <c r="J233" s="3" t="s">
        <v>1327</v>
      </c>
      <c r="K233" s="3" t="s">
        <v>1328</v>
      </c>
      <c r="L233" s="3"/>
      <c r="M233" s="4"/>
      <c r="N233" s="3" t="s">
        <v>37</v>
      </c>
      <c r="O233" s="3" t="s">
        <v>52</v>
      </c>
      <c r="P233" s="5">
        <v>2</v>
      </c>
      <c r="Q233" s="5">
        <v>13</v>
      </c>
      <c r="R233" s="5">
        <v>2</v>
      </c>
      <c r="S233" s="5">
        <v>13</v>
      </c>
    </row>
    <row r="234" spans="1:19" ht="28" x14ac:dyDescent="0.15">
      <c r="A234" s="2">
        <f>HYPERLINK("https://open-school.uspishnemisto.com.ua/school/50235/", 50235)</f>
        <v>50235</v>
      </c>
      <c r="B234" s="3" t="s">
        <v>1329</v>
      </c>
      <c r="C234" s="3" t="s">
        <v>31</v>
      </c>
      <c r="D234" s="3" t="s">
        <v>175</v>
      </c>
      <c r="E234" s="4" t="s">
        <v>22</v>
      </c>
      <c r="F234" s="4" t="s">
        <v>1330</v>
      </c>
      <c r="G234" s="4" t="s">
        <v>1331</v>
      </c>
      <c r="H234" s="3" t="s">
        <v>25</v>
      </c>
      <c r="I234" s="3" t="s">
        <v>1332</v>
      </c>
      <c r="J234" s="3" t="s">
        <v>1333</v>
      </c>
      <c r="K234" s="3" t="s">
        <v>1334</v>
      </c>
      <c r="L234" s="3"/>
      <c r="M234" s="4"/>
      <c r="N234" s="3" t="s">
        <v>37</v>
      </c>
      <c r="O234" s="3" t="s">
        <v>38</v>
      </c>
      <c r="P234" s="5">
        <v>10</v>
      </c>
      <c r="Q234" s="5">
        <v>81</v>
      </c>
      <c r="R234" s="5">
        <v>10</v>
      </c>
      <c r="S234" s="5">
        <v>80</v>
      </c>
    </row>
    <row r="235" spans="1:19" ht="28" x14ac:dyDescent="0.15">
      <c r="A235" s="2">
        <f>HYPERLINK("https://open-school.uspishnemisto.com.ua/school/50236/", 50236)</f>
        <v>50236</v>
      </c>
      <c r="B235" s="3" t="s">
        <v>1335</v>
      </c>
      <c r="C235" s="3" t="s">
        <v>31</v>
      </c>
      <c r="D235" s="3" t="s">
        <v>175</v>
      </c>
      <c r="E235" s="4" t="s">
        <v>22</v>
      </c>
      <c r="F235" s="4" t="s">
        <v>1336</v>
      </c>
      <c r="G235" s="4" t="s">
        <v>1337</v>
      </c>
      <c r="H235" s="3" t="s">
        <v>25</v>
      </c>
      <c r="I235" s="3" t="s">
        <v>1338</v>
      </c>
      <c r="J235" s="3" t="s">
        <v>466</v>
      </c>
      <c r="K235" s="3" t="s">
        <v>1339</v>
      </c>
      <c r="L235" s="3"/>
      <c r="M235" s="4"/>
      <c r="N235" s="3" t="s">
        <v>37</v>
      </c>
      <c r="O235" s="3" t="s">
        <v>38</v>
      </c>
      <c r="P235" s="5">
        <v>4</v>
      </c>
      <c r="Q235" s="5">
        <v>33</v>
      </c>
      <c r="R235" s="5">
        <v>7</v>
      </c>
      <c r="S235" s="5">
        <v>42</v>
      </c>
    </row>
    <row r="236" spans="1:19" ht="28" x14ac:dyDescent="0.15">
      <c r="A236" s="2">
        <f>HYPERLINK("https://open-school.uspishnemisto.com.ua/school/50237/", 50237)</f>
        <v>50237</v>
      </c>
      <c r="B236" s="3" t="s">
        <v>1340</v>
      </c>
      <c r="C236" s="3" t="s">
        <v>31</v>
      </c>
      <c r="D236" s="3" t="s">
        <v>175</v>
      </c>
      <c r="E236" s="4" t="s">
        <v>22</v>
      </c>
      <c r="F236" s="4"/>
      <c r="G236" s="4" t="s">
        <v>1341</v>
      </c>
      <c r="H236" s="3" t="s">
        <v>25</v>
      </c>
      <c r="I236" s="3" t="s">
        <v>1342</v>
      </c>
      <c r="J236" s="3" t="s">
        <v>1343</v>
      </c>
      <c r="K236" s="3"/>
      <c r="L236" s="3"/>
      <c r="M236" s="4"/>
      <c r="N236" s="3" t="s">
        <v>37</v>
      </c>
      <c r="O236" s="3" t="s">
        <v>38</v>
      </c>
      <c r="P236" s="5">
        <v>7</v>
      </c>
      <c r="Q236" s="5">
        <v>51</v>
      </c>
      <c r="R236" s="5">
        <v>6</v>
      </c>
      <c r="S236" s="5">
        <v>52</v>
      </c>
    </row>
    <row r="237" spans="1:19" ht="42" x14ac:dyDescent="0.15">
      <c r="A237" s="2">
        <f>HYPERLINK("https://open-school.uspishnemisto.com.ua/school/50238/", 50238)</f>
        <v>50238</v>
      </c>
      <c r="B237" s="3" t="s">
        <v>1344</v>
      </c>
      <c r="C237" s="3" t="s">
        <v>31</v>
      </c>
      <c r="D237" s="3" t="s">
        <v>32</v>
      </c>
      <c r="E237" s="4" t="s">
        <v>22</v>
      </c>
      <c r="F237" s="4" t="s">
        <v>1345</v>
      </c>
      <c r="G237" s="4" t="s">
        <v>1346</v>
      </c>
      <c r="H237" s="3" t="s">
        <v>25</v>
      </c>
      <c r="I237" s="3" t="s">
        <v>1347</v>
      </c>
      <c r="J237" s="3" t="s">
        <v>1348</v>
      </c>
      <c r="K237" s="3" t="s">
        <v>1349</v>
      </c>
      <c r="L237" s="3"/>
      <c r="M237" s="4"/>
      <c r="N237" s="3" t="s">
        <v>37</v>
      </c>
      <c r="O237" s="3" t="s">
        <v>38</v>
      </c>
      <c r="P237" s="5">
        <v>11</v>
      </c>
      <c r="Q237" s="5">
        <v>103</v>
      </c>
      <c r="R237" s="5">
        <v>11</v>
      </c>
      <c r="S237" s="5">
        <v>101</v>
      </c>
    </row>
    <row r="238" spans="1:19" ht="28" x14ac:dyDescent="0.15">
      <c r="A238" s="2">
        <f>HYPERLINK("https://open-school.uspishnemisto.com.ua/school/50239/", 50239)</f>
        <v>50239</v>
      </c>
      <c r="B238" s="3" t="s">
        <v>1350</v>
      </c>
      <c r="C238" s="3" t="s">
        <v>31</v>
      </c>
      <c r="D238" s="3" t="s">
        <v>32</v>
      </c>
      <c r="E238" s="4" t="s">
        <v>22</v>
      </c>
      <c r="F238" s="4" t="s">
        <v>1351</v>
      </c>
      <c r="G238" s="4" t="s">
        <v>1352</v>
      </c>
      <c r="H238" s="3" t="s">
        <v>25</v>
      </c>
      <c r="I238" s="3" t="s">
        <v>1353</v>
      </c>
      <c r="J238" s="3" t="s">
        <v>1354</v>
      </c>
      <c r="K238" s="3" t="s">
        <v>1355</v>
      </c>
      <c r="L238" s="3"/>
      <c r="M238" s="4"/>
      <c r="N238" s="3" t="s">
        <v>37</v>
      </c>
      <c r="O238" s="3" t="s">
        <v>38</v>
      </c>
      <c r="P238" s="5">
        <v>8</v>
      </c>
      <c r="Q238" s="5">
        <v>71</v>
      </c>
      <c r="R238" s="5">
        <v>8</v>
      </c>
      <c r="S238" s="5">
        <v>49</v>
      </c>
    </row>
    <row r="239" spans="1:19" ht="28" x14ac:dyDescent="0.15">
      <c r="A239" s="2">
        <f>HYPERLINK("https://open-school.uspishnemisto.com.ua/school/50240/", 50240)</f>
        <v>50240</v>
      </c>
      <c r="B239" s="3" t="s">
        <v>1356</v>
      </c>
      <c r="C239" s="3" t="s">
        <v>31</v>
      </c>
      <c r="D239" s="3" t="s">
        <v>175</v>
      </c>
      <c r="E239" s="4" t="s">
        <v>22</v>
      </c>
      <c r="F239" s="4" t="s">
        <v>1357</v>
      </c>
      <c r="G239" s="4" t="s">
        <v>1358</v>
      </c>
      <c r="H239" s="3" t="s">
        <v>25</v>
      </c>
      <c r="I239" s="3" t="s">
        <v>1359</v>
      </c>
      <c r="J239" s="3" t="s">
        <v>1360</v>
      </c>
      <c r="K239" s="3" t="s">
        <v>1361</v>
      </c>
      <c r="L239" s="3"/>
      <c r="M239" s="4"/>
      <c r="N239" s="3" t="s">
        <v>37</v>
      </c>
      <c r="O239" s="3" t="s">
        <v>38</v>
      </c>
      <c r="P239" s="5">
        <v>9</v>
      </c>
      <c r="Q239" s="5">
        <v>86</v>
      </c>
      <c r="R239" s="5">
        <v>9</v>
      </c>
      <c r="S239" s="5">
        <v>88</v>
      </c>
    </row>
    <row r="240" spans="1:19" ht="28" x14ac:dyDescent="0.15">
      <c r="A240" s="2">
        <f>HYPERLINK("https://open-school.uspishnemisto.com.ua/school/50241/", 50241)</f>
        <v>50241</v>
      </c>
      <c r="B240" s="3" t="s">
        <v>1362</v>
      </c>
      <c r="C240" s="3" t="s">
        <v>31</v>
      </c>
      <c r="D240" s="3" t="s">
        <v>60</v>
      </c>
      <c r="E240" s="4" t="s">
        <v>22</v>
      </c>
      <c r="F240" s="4" t="s">
        <v>1363</v>
      </c>
      <c r="G240" s="4" t="s">
        <v>1364</v>
      </c>
      <c r="H240" s="3" t="s">
        <v>25</v>
      </c>
      <c r="I240" s="3" t="s">
        <v>1365</v>
      </c>
      <c r="J240" s="3" t="s">
        <v>1366</v>
      </c>
      <c r="K240" s="3" t="s">
        <v>1367</v>
      </c>
      <c r="L240" s="3"/>
      <c r="M240" s="4"/>
      <c r="N240" s="3" t="s">
        <v>37</v>
      </c>
      <c r="O240" s="3" t="s">
        <v>52</v>
      </c>
      <c r="P240" s="5">
        <v>0</v>
      </c>
      <c r="Q240" s="5">
        <v>4</v>
      </c>
      <c r="R240" s="5">
        <v>6</v>
      </c>
      <c r="S240" s="5">
        <v>42</v>
      </c>
    </row>
    <row r="241" spans="1:19" ht="42" x14ac:dyDescent="0.15">
      <c r="A241" s="2">
        <f>HYPERLINK("https://open-school.uspishnemisto.com.ua/school/50242/", 50242)</f>
        <v>50242</v>
      </c>
      <c r="B241" s="3" t="s">
        <v>1368</v>
      </c>
      <c r="C241" s="3" t="s">
        <v>54</v>
      </c>
      <c r="D241" s="3" t="s">
        <v>60</v>
      </c>
      <c r="E241" s="4" t="s">
        <v>22</v>
      </c>
      <c r="F241" s="4" t="s">
        <v>1369</v>
      </c>
      <c r="G241" s="4" t="s">
        <v>1370</v>
      </c>
      <c r="H241" s="3" t="s">
        <v>25</v>
      </c>
      <c r="I241" s="3" t="s">
        <v>1371</v>
      </c>
      <c r="J241" s="3" t="s">
        <v>1372</v>
      </c>
      <c r="K241" s="3" t="s">
        <v>1373</v>
      </c>
      <c r="L241" s="3"/>
      <c r="M241" s="4"/>
      <c r="N241" s="3" t="s">
        <v>37</v>
      </c>
      <c r="O241" s="3" t="s">
        <v>52</v>
      </c>
      <c r="P241" s="5">
        <v>2</v>
      </c>
      <c r="Q241" s="5">
        <v>19</v>
      </c>
      <c r="R241" s="5">
        <v>1</v>
      </c>
      <c r="S241" s="5">
        <v>16</v>
      </c>
    </row>
    <row r="242" spans="1:19" ht="28" x14ac:dyDescent="0.15">
      <c r="A242" s="2">
        <f>HYPERLINK("https://open-school.uspishnemisto.com.ua/school/50243/", 50243)</f>
        <v>50243</v>
      </c>
      <c r="B242" s="3" t="s">
        <v>1374</v>
      </c>
      <c r="C242" s="3" t="s">
        <v>31</v>
      </c>
      <c r="D242" s="3" t="s">
        <v>60</v>
      </c>
      <c r="E242" s="4" t="s">
        <v>22</v>
      </c>
      <c r="F242" s="4" t="s">
        <v>1375</v>
      </c>
      <c r="G242" s="4" t="s">
        <v>1376</v>
      </c>
      <c r="H242" s="3" t="s">
        <v>25</v>
      </c>
      <c r="I242" s="3" t="s">
        <v>1377</v>
      </c>
      <c r="J242" s="3" t="s">
        <v>1378</v>
      </c>
      <c r="K242" s="3" t="s">
        <v>1379</v>
      </c>
      <c r="L242" s="3"/>
      <c r="M242" s="4"/>
      <c r="N242" s="3" t="s">
        <v>37</v>
      </c>
      <c r="O242" s="3" t="s">
        <v>52</v>
      </c>
      <c r="P242" s="5">
        <v>1</v>
      </c>
      <c r="Q242" s="5">
        <v>9</v>
      </c>
      <c r="R242" s="5">
        <v>6</v>
      </c>
      <c r="S242" s="5">
        <v>37</v>
      </c>
    </row>
    <row r="243" spans="1:19" ht="28" x14ac:dyDescent="0.15">
      <c r="A243" s="2">
        <f>HYPERLINK("https://open-school.uspishnemisto.com.ua/school/50244/", 50244)</f>
        <v>50244</v>
      </c>
      <c r="B243" s="3" t="s">
        <v>1380</v>
      </c>
      <c r="C243" s="3" t="s">
        <v>31</v>
      </c>
      <c r="D243" s="3" t="s">
        <v>175</v>
      </c>
      <c r="E243" s="4" t="s">
        <v>22</v>
      </c>
      <c r="F243" s="4"/>
      <c r="G243" s="4" t="s">
        <v>1381</v>
      </c>
      <c r="H243" s="3" t="s">
        <v>25</v>
      </c>
      <c r="I243" s="3" t="s">
        <v>1382</v>
      </c>
      <c r="J243" s="3" t="s">
        <v>946</v>
      </c>
      <c r="K243" s="3" t="s">
        <v>1383</v>
      </c>
      <c r="L243" s="3"/>
      <c r="M243" s="4"/>
      <c r="N243" s="3" t="s">
        <v>37</v>
      </c>
      <c r="O243" s="3" t="s">
        <v>38</v>
      </c>
      <c r="P243" s="5">
        <v>7</v>
      </c>
      <c r="Q243" s="5">
        <v>44</v>
      </c>
      <c r="R243" s="5">
        <v>7</v>
      </c>
      <c r="S243" s="5">
        <v>48</v>
      </c>
    </row>
    <row r="244" spans="1:19" ht="28" x14ac:dyDescent="0.15">
      <c r="A244" s="2">
        <f>HYPERLINK("https://open-school.uspishnemisto.com.ua/school/50245/", 50245)</f>
        <v>50245</v>
      </c>
      <c r="B244" s="3" t="s">
        <v>1384</v>
      </c>
      <c r="C244" s="3" t="s">
        <v>31</v>
      </c>
      <c r="D244" s="3" t="s">
        <v>32</v>
      </c>
      <c r="E244" s="4" t="s">
        <v>22</v>
      </c>
      <c r="F244" s="4" t="s">
        <v>1385</v>
      </c>
      <c r="G244" s="4" t="s">
        <v>1386</v>
      </c>
      <c r="H244" s="3" t="s">
        <v>25</v>
      </c>
      <c r="I244" s="3" t="s">
        <v>1387</v>
      </c>
      <c r="J244" s="3" t="s">
        <v>466</v>
      </c>
      <c r="K244" s="3" t="s">
        <v>1388</v>
      </c>
      <c r="L244" s="3"/>
      <c r="M244" s="4"/>
      <c r="N244" s="3" t="s">
        <v>37</v>
      </c>
      <c r="O244" s="3" t="s">
        <v>38</v>
      </c>
      <c r="P244" s="5">
        <v>11</v>
      </c>
      <c r="Q244" s="5">
        <v>153</v>
      </c>
      <c r="R244" s="5">
        <v>11</v>
      </c>
      <c r="S244" s="5">
        <v>137</v>
      </c>
    </row>
    <row r="245" spans="1:19" ht="28" x14ac:dyDescent="0.15">
      <c r="A245" s="2">
        <f>HYPERLINK("https://open-school.uspishnemisto.com.ua/school/50246/", 50246)</f>
        <v>50246</v>
      </c>
      <c r="B245" s="3" t="s">
        <v>1389</v>
      </c>
      <c r="C245" s="3" t="s">
        <v>31</v>
      </c>
      <c r="D245" s="3" t="s">
        <v>175</v>
      </c>
      <c r="E245" s="4" t="s">
        <v>22</v>
      </c>
      <c r="F245" s="4" t="s">
        <v>1390</v>
      </c>
      <c r="G245" s="4" t="s">
        <v>1391</v>
      </c>
      <c r="H245" s="3" t="s">
        <v>25</v>
      </c>
      <c r="I245" s="3" t="s">
        <v>1392</v>
      </c>
      <c r="J245" s="3" t="s">
        <v>1393</v>
      </c>
      <c r="K245" s="3"/>
      <c r="L245" s="3"/>
      <c r="M245" s="4"/>
      <c r="N245" s="3" t="s">
        <v>37</v>
      </c>
      <c r="O245" s="3" t="s">
        <v>38</v>
      </c>
      <c r="P245" s="5">
        <v>7</v>
      </c>
      <c r="Q245" s="5">
        <v>42</v>
      </c>
      <c r="R245" s="5">
        <v>8</v>
      </c>
      <c r="S245" s="5">
        <v>53</v>
      </c>
    </row>
    <row r="246" spans="1:19" ht="28" x14ac:dyDescent="0.15">
      <c r="A246" s="2">
        <f>HYPERLINK("https://open-school.uspishnemisto.com.ua/school/50247/", 50247)</f>
        <v>50247</v>
      </c>
      <c r="B246" s="3" t="s">
        <v>1394</v>
      </c>
      <c r="C246" s="3" t="s">
        <v>31</v>
      </c>
      <c r="D246" s="3" t="s">
        <v>32</v>
      </c>
      <c r="E246" s="4" t="s">
        <v>22</v>
      </c>
      <c r="F246" s="4" t="s">
        <v>1395</v>
      </c>
      <c r="G246" s="4" t="s">
        <v>1396</v>
      </c>
      <c r="H246" s="3" t="s">
        <v>25</v>
      </c>
      <c r="I246" s="3" t="s">
        <v>1397</v>
      </c>
      <c r="J246" s="3" t="s">
        <v>1398</v>
      </c>
      <c r="K246" s="3" t="s">
        <v>1399</v>
      </c>
      <c r="L246" s="3"/>
      <c r="M246" s="4"/>
      <c r="N246" s="3" t="s">
        <v>37</v>
      </c>
      <c r="O246" s="3" t="s">
        <v>38</v>
      </c>
      <c r="P246" s="5">
        <v>10</v>
      </c>
      <c r="Q246" s="5">
        <v>135</v>
      </c>
      <c r="R246" s="5">
        <v>10</v>
      </c>
      <c r="S246" s="5">
        <v>114</v>
      </c>
    </row>
    <row r="247" spans="1:19" ht="28" x14ac:dyDescent="0.15">
      <c r="A247" s="2">
        <f>HYPERLINK("https://open-school.uspishnemisto.com.ua/school/50248/", 50248)</f>
        <v>50248</v>
      </c>
      <c r="B247" s="3" t="s">
        <v>1400</v>
      </c>
      <c r="C247" s="3" t="s">
        <v>31</v>
      </c>
      <c r="D247" s="3" t="s">
        <v>175</v>
      </c>
      <c r="E247" s="4" t="s">
        <v>22</v>
      </c>
      <c r="F247" s="4" t="s">
        <v>1401</v>
      </c>
      <c r="G247" s="4" t="s">
        <v>1402</v>
      </c>
      <c r="H247" s="3" t="s">
        <v>25</v>
      </c>
      <c r="I247" s="3" t="s">
        <v>1403</v>
      </c>
      <c r="J247" s="3" t="s">
        <v>1404</v>
      </c>
      <c r="K247" s="3" t="s">
        <v>1405</v>
      </c>
      <c r="L247" s="3"/>
      <c r="M247" s="4"/>
      <c r="N247" s="3" t="s">
        <v>37</v>
      </c>
      <c r="O247" s="3" t="s">
        <v>38</v>
      </c>
      <c r="P247" s="5">
        <v>9</v>
      </c>
      <c r="Q247" s="5">
        <v>54</v>
      </c>
      <c r="R247" s="5">
        <v>8</v>
      </c>
      <c r="S247" s="5">
        <v>54</v>
      </c>
    </row>
    <row r="248" spans="1:19" ht="28" x14ac:dyDescent="0.15">
      <c r="A248" s="2">
        <f>HYPERLINK("https://open-school.uspishnemisto.com.ua/school/50249/", 50249)</f>
        <v>50249</v>
      </c>
      <c r="B248" s="3" t="s">
        <v>1406</v>
      </c>
      <c r="C248" s="3" t="s">
        <v>31</v>
      </c>
      <c r="D248" s="3" t="s">
        <v>32</v>
      </c>
      <c r="E248" s="4" t="s">
        <v>22</v>
      </c>
      <c r="F248" s="4" t="s">
        <v>1407</v>
      </c>
      <c r="G248" s="4" t="s">
        <v>1408</v>
      </c>
      <c r="H248" s="3" t="s">
        <v>25</v>
      </c>
      <c r="I248" s="3" t="s">
        <v>1409</v>
      </c>
      <c r="J248" s="3" t="s">
        <v>1410</v>
      </c>
      <c r="K248" s="3" t="s">
        <v>1411</v>
      </c>
      <c r="L248" s="3" t="s">
        <v>1412</v>
      </c>
      <c r="M248" s="4"/>
      <c r="N248" s="3" t="s">
        <v>37</v>
      </c>
      <c r="O248" s="3" t="s">
        <v>38</v>
      </c>
      <c r="P248" s="5">
        <v>10</v>
      </c>
      <c r="Q248" s="5">
        <v>206</v>
      </c>
      <c r="R248" s="5">
        <v>11</v>
      </c>
      <c r="S248" s="5">
        <v>198</v>
      </c>
    </row>
    <row r="249" spans="1:19" ht="70" x14ac:dyDescent="0.15">
      <c r="A249" s="2">
        <f>HYPERLINK("https://open-school.uspishnemisto.com.ua/school/50250/", 50250)</f>
        <v>50250</v>
      </c>
      <c r="B249" s="3" t="s">
        <v>1413</v>
      </c>
      <c r="C249" s="3" t="s">
        <v>54</v>
      </c>
      <c r="D249" s="3" t="s">
        <v>32</v>
      </c>
      <c r="E249" s="4" t="s">
        <v>22</v>
      </c>
      <c r="F249" s="4" t="s">
        <v>1414</v>
      </c>
      <c r="G249" s="4" t="s">
        <v>1415</v>
      </c>
      <c r="H249" s="3" t="s">
        <v>25</v>
      </c>
      <c r="I249" s="3" t="s">
        <v>1416</v>
      </c>
      <c r="J249" s="3" t="s">
        <v>1417</v>
      </c>
      <c r="K249" s="3" t="s">
        <v>1418</v>
      </c>
      <c r="L249" s="3"/>
      <c r="M249" s="4"/>
      <c r="N249" s="3" t="s">
        <v>37</v>
      </c>
      <c r="O249" s="3" t="s">
        <v>38</v>
      </c>
      <c r="P249" s="5">
        <v>11</v>
      </c>
      <c r="Q249" s="5">
        <v>97</v>
      </c>
      <c r="R249" s="5">
        <v>11</v>
      </c>
      <c r="S249" s="5">
        <v>91</v>
      </c>
    </row>
    <row r="250" spans="1:19" ht="42" x14ac:dyDescent="0.15">
      <c r="A250" s="2">
        <f>HYPERLINK("https://open-school.uspishnemisto.com.ua/school/50251/", 50251)</f>
        <v>50251</v>
      </c>
      <c r="B250" s="3" t="s">
        <v>1419</v>
      </c>
      <c r="C250" s="3" t="s">
        <v>54</v>
      </c>
      <c r="D250" s="3" t="s">
        <v>175</v>
      </c>
      <c r="E250" s="4" t="s">
        <v>22</v>
      </c>
      <c r="F250" s="4" t="s">
        <v>1330</v>
      </c>
      <c r="G250" s="4" t="s">
        <v>1420</v>
      </c>
      <c r="H250" s="3" t="s">
        <v>25</v>
      </c>
      <c r="I250" s="3" t="s">
        <v>1421</v>
      </c>
      <c r="J250" s="3" t="s">
        <v>1422</v>
      </c>
      <c r="K250" s="3" t="s">
        <v>1423</v>
      </c>
      <c r="L250" s="3"/>
      <c r="M250" s="4"/>
      <c r="N250" s="3" t="s">
        <v>37</v>
      </c>
      <c r="O250" s="3" t="s">
        <v>38</v>
      </c>
      <c r="P250" s="5">
        <v>5</v>
      </c>
      <c r="Q250" s="5">
        <v>30</v>
      </c>
      <c r="R250" s="5">
        <v>5</v>
      </c>
      <c r="S250" s="5">
        <v>31</v>
      </c>
    </row>
    <row r="251" spans="1:19" ht="28" x14ac:dyDescent="0.15">
      <c r="A251" s="2">
        <f>HYPERLINK("https://open-school.uspishnemisto.com.ua/school/50252/", 50252)</f>
        <v>50252</v>
      </c>
      <c r="B251" s="3" t="s">
        <v>1424</v>
      </c>
      <c r="C251" s="3" t="s">
        <v>31</v>
      </c>
      <c r="D251" s="3" t="s">
        <v>32</v>
      </c>
      <c r="E251" s="4" t="s">
        <v>22</v>
      </c>
      <c r="F251" s="4" t="s">
        <v>1425</v>
      </c>
      <c r="G251" s="4" t="s">
        <v>1426</v>
      </c>
      <c r="H251" s="3" t="s">
        <v>25</v>
      </c>
      <c r="I251" s="3" t="s">
        <v>1427</v>
      </c>
      <c r="J251" s="3" t="s">
        <v>1348</v>
      </c>
      <c r="K251" s="3" t="s">
        <v>1428</v>
      </c>
      <c r="L251" s="3" t="s">
        <v>1429</v>
      </c>
      <c r="M251" s="4"/>
      <c r="N251" s="3" t="s">
        <v>37</v>
      </c>
      <c r="O251" s="3" t="s">
        <v>38</v>
      </c>
      <c r="P251" s="5">
        <v>11</v>
      </c>
      <c r="Q251" s="5">
        <v>235</v>
      </c>
      <c r="R251" s="5">
        <v>11</v>
      </c>
      <c r="S251" s="5">
        <v>228</v>
      </c>
    </row>
    <row r="252" spans="1:19" ht="28" x14ac:dyDescent="0.15">
      <c r="A252" s="2">
        <f>HYPERLINK("https://open-school.uspishnemisto.com.ua/school/50253/", 50253)</f>
        <v>50253</v>
      </c>
      <c r="B252" s="3" t="s">
        <v>1430</v>
      </c>
      <c r="C252" s="3" t="s">
        <v>31</v>
      </c>
      <c r="D252" s="3" t="s">
        <v>175</v>
      </c>
      <c r="E252" s="4" t="s">
        <v>22</v>
      </c>
      <c r="F252" s="4" t="s">
        <v>1431</v>
      </c>
      <c r="G252" s="4" t="s">
        <v>1432</v>
      </c>
      <c r="H252" s="3" t="s">
        <v>25</v>
      </c>
      <c r="I252" s="3" t="s">
        <v>1433</v>
      </c>
      <c r="J252" s="3" t="s">
        <v>1434</v>
      </c>
      <c r="K252" s="3" t="s">
        <v>1435</v>
      </c>
      <c r="L252" s="3"/>
      <c r="M252" s="4"/>
      <c r="N252" s="3" t="s">
        <v>37</v>
      </c>
      <c r="O252" s="3" t="s">
        <v>38</v>
      </c>
      <c r="P252" s="5">
        <v>7</v>
      </c>
      <c r="Q252" s="5">
        <v>47</v>
      </c>
      <c r="R252" s="5">
        <v>7</v>
      </c>
      <c r="S252" s="5">
        <v>50</v>
      </c>
    </row>
    <row r="253" spans="1:19" ht="28" x14ac:dyDescent="0.15">
      <c r="A253" s="2">
        <f>HYPERLINK("https://open-school.uspishnemisto.com.ua/school/50254/", 50254)</f>
        <v>50254</v>
      </c>
      <c r="B253" s="3" t="s">
        <v>1436</v>
      </c>
      <c r="C253" s="3" t="s">
        <v>31</v>
      </c>
      <c r="D253" s="3" t="s">
        <v>175</v>
      </c>
      <c r="E253" s="4" t="s">
        <v>22</v>
      </c>
      <c r="F253" s="4" t="s">
        <v>1437</v>
      </c>
      <c r="G253" s="4" t="s">
        <v>1438</v>
      </c>
      <c r="H253" s="3" t="s">
        <v>25</v>
      </c>
      <c r="I253" s="3" t="s">
        <v>1439</v>
      </c>
      <c r="J253" s="3" t="s">
        <v>554</v>
      </c>
      <c r="K253" s="3" t="s">
        <v>1440</v>
      </c>
      <c r="L253" s="3"/>
      <c r="M253" s="4"/>
      <c r="N253" s="3" t="s">
        <v>37</v>
      </c>
      <c r="O253" s="3" t="s">
        <v>38</v>
      </c>
      <c r="P253" s="5">
        <v>8</v>
      </c>
      <c r="Q253" s="5">
        <v>51</v>
      </c>
      <c r="R253" s="5">
        <v>8</v>
      </c>
      <c r="S253" s="5">
        <v>48</v>
      </c>
    </row>
    <row r="254" spans="1:19" ht="28" x14ac:dyDescent="0.15">
      <c r="A254" s="2">
        <f>HYPERLINK("https://open-school.uspishnemisto.com.ua/school/50255/", 50255)</f>
        <v>50255</v>
      </c>
      <c r="B254" s="3" t="s">
        <v>1441</v>
      </c>
      <c r="C254" s="3" t="s">
        <v>31</v>
      </c>
      <c r="D254" s="3" t="s">
        <v>175</v>
      </c>
      <c r="E254" s="4" t="s">
        <v>22</v>
      </c>
      <c r="F254" s="4" t="s">
        <v>1442</v>
      </c>
      <c r="G254" s="4" t="s">
        <v>1443</v>
      </c>
      <c r="H254" s="3" t="s">
        <v>25</v>
      </c>
      <c r="I254" s="3" t="s">
        <v>1444</v>
      </c>
      <c r="J254" s="3" t="s">
        <v>1445</v>
      </c>
      <c r="K254" s="3" t="s">
        <v>1446</v>
      </c>
      <c r="L254" s="3"/>
      <c r="M254" s="4"/>
      <c r="N254" s="3" t="s">
        <v>37</v>
      </c>
      <c r="O254" s="3" t="s">
        <v>38</v>
      </c>
      <c r="P254" s="5">
        <v>8</v>
      </c>
      <c r="Q254" s="5">
        <v>59</v>
      </c>
      <c r="R254" s="5">
        <v>8</v>
      </c>
      <c r="S254" s="5">
        <v>56</v>
      </c>
    </row>
    <row r="255" spans="1:19" ht="28" x14ac:dyDescent="0.15">
      <c r="A255" s="2">
        <f>HYPERLINK("https://open-school.uspishnemisto.com.ua/school/50256/", 50256)</f>
        <v>50256</v>
      </c>
      <c r="B255" s="3" t="s">
        <v>1447</v>
      </c>
      <c r="C255" s="3" t="s">
        <v>31</v>
      </c>
      <c r="D255" s="3" t="s">
        <v>60</v>
      </c>
      <c r="E255" s="4" t="s">
        <v>22</v>
      </c>
      <c r="F255" s="4" t="s">
        <v>1448</v>
      </c>
      <c r="G255" s="4" t="s">
        <v>1449</v>
      </c>
      <c r="H255" s="3" t="s">
        <v>25</v>
      </c>
      <c r="I255" s="3" t="s">
        <v>1450</v>
      </c>
      <c r="J255" s="3" t="s">
        <v>1451</v>
      </c>
      <c r="K255" s="3" t="s">
        <v>1452</v>
      </c>
      <c r="L255" s="3"/>
      <c r="M255" s="4"/>
      <c r="N255" s="3" t="s">
        <v>37</v>
      </c>
      <c r="O255" s="3" t="s">
        <v>52</v>
      </c>
      <c r="P255" s="5">
        <v>2</v>
      </c>
      <c r="Q255" s="5">
        <v>10</v>
      </c>
      <c r="R255" s="5">
        <v>4</v>
      </c>
      <c r="S255" s="5">
        <v>27</v>
      </c>
    </row>
    <row r="256" spans="1:19" ht="28" x14ac:dyDescent="0.15">
      <c r="A256" s="2">
        <f>HYPERLINK("https://open-school.uspishnemisto.com.ua/school/50257/", 50257)</f>
        <v>50257</v>
      </c>
      <c r="B256" s="3" t="s">
        <v>1453</v>
      </c>
      <c r="C256" s="3" t="s">
        <v>31</v>
      </c>
      <c r="D256" s="3" t="s">
        <v>32</v>
      </c>
      <c r="E256" s="4" t="s">
        <v>22</v>
      </c>
      <c r="F256" s="4" t="s">
        <v>1454</v>
      </c>
      <c r="G256" s="4" t="s">
        <v>1455</v>
      </c>
      <c r="H256" s="3" t="s">
        <v>25</v>
      </c>
      <c r="I256" s="3" t="s">
        <v>1456</v>
      </c>
      <c r="J256" s="3" t="s">
        <v>1457</v>
      </c>
      <c r="K256" s="3" t="s">
        <v>1458</v>
      </c>
      <c r="L256" s="3"/>
      <c r="M256" s="4"/>
      <c r="N256" s="3" t="s">
        <v>37</v>
      </c>
      <c r="O256" s="3" t="s">
        <v>38</v>
      </c>
      <c r="P256" s="5">
        <v>10</v>
      </c>
      <c r="Q256" s="5">
        <v>161</v>
      </c>
      <c r="R256" s="5">
        <v>11</v>
      </c>
      <c r="S256" s="5">
        <v>168</v>
      </c>
    </row>
    <row r="257" spans="1:19" ht="28" x14ac:dyDescent="0.15">
      <c r="A257" s="2">
        <f>HYPERLINK("https://open-school.uspishnemisto.com.ua/school/50258/", 50258)</f>
        <v>50258</v>
      </c>
      <c r="B257" s="3" t="s">
        <v>1459</v>
      </c>
      <c r="C257" s="3" t="s">
        <v>31</v>
      </c>
      <c r="D257" s="3" t="s">
        <v>32</v>
      </c>
      <c r="E257" s="4" t="s">
        <v>22</v>
      </c>
      <c r="F257" s="4" t="s">
        <v>1460</v>
      </c>
      <c r="G257" s="4" t="s">
        <v>1461</v>
      </c>
      <c r="H257" s="3" t="s">
        <v>25</v>
      </c>
      <c r="I257" s="3" t="s">
        <v>1462</v>
      </c>
      <c r="J257" s="3" t="s">
        <v>1463</v>
      </c>
      <c r="K257" s="3" t="s">
        <v>1464</v>
      </c>
      <c r="L257" s="3" t="s">
        <v>1465</v>
      </c>
      <c r="M257" s="4"/>
      <c r="N257" s="3" t="s">
        <v>37</v>
      </c>
      <c r="O257" s="3" t="s">
        <v>52</v>
      </c>
      <c r="P257" s="5">
        <v>23</v>
      </c>
      <c r="Q257" s="5">
        <v>519</v>
      </c>
      <c r="R257" s="5">
        <v>22</v>
      </c>
      <c r="S257" s="5">
        <v>514</v>
      </c>
    </row>
    <row r="258" spans="1:19" ht="28" x14ac:dyDescent="0.15">
      <c r="A258" s="2">
        <f>HYPERLINK("https://open-school.uspishnemisto.com.ua/school/50259/", 50259)</f>
        <v>50259</v>
      </c>
      <c r="B258" s="3" t="s">
        <v>1466</v>
      </c>
      <c r="C258" s="3" t="s">
        <v>31</v>
      </c>
      <c r="D258" s="3" t="s">
        <v>32</v>
      </c>
      <c r="E258" s="4" t="s">
        <v>22</v>
      </c>
      <c r="F258" s="4" t="s">
        <v>1460</v>
      </c>
      <c r="G258" s="4" t="s">
        <v>1461</v>
      </c>
      <c r="H258" s="3" t="s">
        <v>25</v>
      </c>
      <c r="I258" s="3" t="s">
        <v>1462</v>
      </c>
      <c r="J258" s="3" t="s">
        <v>1467</v>
      </c>
      <c r="K258" s="3" t="s">
        <v>1468</v>
      </c>
      <c r="L258" s="3" t="s">
        <v>1469</v>
      </c>
      <c r="M258" s="4"/>
      <c r="N258" s="3" t="s">
        <v>37</v>
      </c>
      <c r="O258" s="3" t="s">
        <v>46</v>
      </c>
      <c r="P258" s="5">
        <v>11</v>
      </c>
      <c r="Q258" s="5">
        <v>188</v>
      </c>
      <c r="R258" s="5">
        <v>11</v>
      </c>
      <c r="S258" s="5">
        <v>183</v>
      </c>
    </row>
    <row r="259" spans="1:19" ht="42" x14ac:dyDescent="0.15">
      <c r="A259" s="2">
        <f>HYPERLINK("https://open-school.uspishnemisto.com.ua/school/50260/", 50260)</f>
        <v>50260</v>
      </c>
      <c r="B259" s="3" t="s">
        <v>1470</v>
      </c>
      <c r="C259" s="3" t="s">
        <v>54</v>
      </c>
      <c r="D259" s="3" t="s">
        <v>32</v>
      </c>
      <c r="E259" s="4" t="s">
        <v>22</v>
      </c>
      <c r="F259" s="4" t="s">
        <v>1460</v>
      </c>
      <c r="G259" s="4" t="s">
        <v>1461</v>
      </c>
      <c r="H259" s="3" t="s">
        <v>25</v>
      </c>
      <c r="I259" s="3" t="s">
        <v>1462</v>
      </c>
      <c r="J259" s="3" t="s">
        <v>1471</v>
      </c>
      <c r="K259" s="3" t="s">
        <v>1472</v>
      </c>
      <c r="L259" s="3"/>
      <c r="M259" s="4"/>
      <c r="N259" s="3" t="s">
        <v>37</v>
      </c>
      <c r="O259" s="3" t="s">
        <v>52</v>
      </c>
      <c r="P259" s="5">
        <v>32</v>
      </c>
      <c r="Q259" s="5">
        <v>785</v>
      </c>
      <c r="R259" s="5">
        <v>31</v>
      </c>
      <c r="S259" s="5">
        <v>733</v>
      </c>
    </row>
    <row r="260" spans="1:19" ht="28" x14ac:dyDescent="0.15">
      <c r="A260" s="2">
        <f>HYPERLINK("https://open-school.uspishnemisto.com.ua/school/50262/", 50262)</f>
        <v>50262</v>
      </c>
      <c r="B260" s="3" t="s">
        <v>1473</v>
      </c>
      <c r="C260" s="3" t="s">
        <v>31</v>
      </c>
      <c r="D260" s="3" t="s">
        <v>32</v>
      </c>
      <c r="E260" s="4" t="s">
        <v>22</v>
      </c>
      <c r="F260" s="4" t="s">
        <v>1474</v>
      </c>
      <c r="G260" s="4" t="s">
        <v>1475</v>
      </c>
      <c r="H260" s="3" t="s">
        <v>25</v>
      </c>
      <c r="I260" s="3" t="s">
        <v>1476</v>
      </c>
      <c r="J260" s="3" t="s">
        <v>952</v>
      </c>
      <c r="K260" s="3" t="s">
        <v>1477</v>
      </c>
      <c r="L260" s="3"/>
      <c r="M260" s="4"/>
      <c r="N260" s="3" t="s">
        <v>37</v>
      </c>
      <c r="O260" s="3" t="s">
        <v>139</v>
      </c>
      <c r="P260" s="5">
        <v>15</v>
      </c>
      <c r="Q260" s="5">
        <v>316</v>
      </c>
      <c r="R260" s="5">
        <v>15</v>
      </c>
      <c r="S260" s="5">
        <v>307</v>
      </c>
    </row>
    <row r="261" spans="1:19" ht="28" x14ac:dyDescent="0.15">
      <c r="A261" s="2">
        <f>HYPERLINK("https://open-school.uspishnemisto.com.ua/school/50263/", 50263)</f>
        <v>50263</v>
      </c>
      <c r="B261" s="3" t="s">
        <v>1478</v>
      </c>
      <c r="C261" s="3" t="s">
        <v>31</v>
      </c>
      <c r="D261" s="3" t="s">
        <v>175</v>
      </c>
      <c r="E261" s="4" t="s">
        <v>22</v>
      </c>
      <c r="F261" s="4" t="s">
        <v>1474</v>
      </c>
      <c r="G261" s="4" t="s">
        <v>1475</v>
      </c>
      <c r="H261" s="3" t="s">
        <v>25</v>
      </c>
      <c r="I261" s="3" t="s">
        <v>1476</v>
      </c>
      <c r="J261" s="3" t="s">
        <v>1479</v>
      </c>
      <c r="K261" s="3" t="s">
        <v>1480</v>
      </c>
      <c r="L261" s="3"/>
      <c r="M261" s="4"/>
      <c r="N261" s="3" t="s">
        <v>37</v>
      </c>
      <c r="O261" s="3" t="s">
        <v>52</v>
      </c>
      <c r="P261" s="5">
        <v>9</v>
      </c>
      <c r="Q261" s="5">
        <v>130</v>
      </c>
      <c r="R261" s="5">
        <v>9</v>
      </c>
      <c r="S261" s="5">
        <v>134</v>
      </c>
    </row>
    <row r="262" spans="1:19" ht="28" x14ac:dyDescent="0.15">
      <c r="A262" s="2">
        <f>HYPERLINK("https://open-school.uspishnemisto.com.ua/school/50264/", 50264)</f>
        <v>50264</v>
      </c>
      <c r="B262" s="3" t="s">
        <v>1481</v>
      </c>
      <c r="C262" s="3" t="s">
        <v>181</v>
      </c>
      <c r="D262" s="3" t="s">
        <v>175</v>
      </c>
      <c r="E262" s="4" t="s">
        <v>22</v>
      </c>
      <c r="F262" s="4" t="s">
        <v>1474</v>
      </c>
      <c r="G262" s="4" t="s">
        <v>1475</v>
      </c>
      <c r="H262" s="3" t="s">
        <v>25</v>
      </c>
      <c r="I262" s="3" t="s">
        <v>1476</v>
      </c>
      <c r="J262" s="3" t="s">
        <v>1482</v>
      </c>
      <c r="K262" s="3" t="s">
        <v>1483</v>
      </c>
      <c r="L262" s="3" t="s">
        <v>1484</v>
      </c>
      <c r="M262" s="4"/>
      <c r="N262" s="3" t="s">
        <v>37</v>
      </c>
      <c r="O262" s="3"/>
      <c r="P262" s="5">
        <v>10</v>
      </c>
      <c r="Q262" s="5">
        <v>85</v>
      </c>
      <c r="R262" s="5">
        <v>11</v>
      </c>
      <c r="S262" s="5">
        <v>95</v>
      </c>
    </row>
    <row r="263" spans="1:19" ht="28" x14ac:dyDescent="0.15">
      <c r="A263" s="2">
        <f>HYPERLINK("https://open-school.uspishnemisto.com.ua/school/50265/", 50265)</f>
        <v>50265</v>
      </c>
      <c r="B263" s="3" t="s">
        <v>1485</v>
      </c>
      <c r="C263" s="3" t="s">
        <v>31</v>
      </c>
      <c r="D263" s="3" t="s">
        <v>32</v>
      </c>
      <c r="E263" s="4" t="s">
        <v>22</v>
      </c>
      <c r="F263" s="4" t="s">
        <v>1486</v>
      </c>
      <c r="G263" s="4" t="s">
        <v>1487</v>
      </c>
      <c r="H263" s="3" t="s">
        <v>25</v>
      </c>
      <c r="I263" s="3" t="s">
        <v>1488</v>
      </c>
      <c r="J263" s="3" t="s">
        <v>1489</v>
      </c>
      <c r="K263" s="3" t="s">
        <v>1490</v>
      </c>
      <c r="L263" s="3"/>
      <c r="M263" s="4"/>
      <c r="N263" s="3" t="s">
        <v>37</v>
      </c>
      <c r="O263" s="3" t="s">
        <v>46</v>
      </c>
      <c r="P263" s="5">
        <v>11</v>
      </c>
      <c r="Q263" s="5">
        <v>155</v>
      </c>
      <c r="R263" s="5">
        <v>10</v>
      </c>
      <c r="S263" s="5">
        <v>158</v>
      </c>
    </row>
    <row r="264" spans="1:19" ht="28" x14ac:dyDescent="0.15">
      <c r="A264" s="2">
        <f>HYPERLINK("https://open-school.uspishnemisto.com.ua/school/50266/", 50266)</f>
        <v>50266</v>
      </c>
      <c r="B264" s="3" t="s">
        <v>1491</v>
      </c>
      <c r="C264" s="3" t="s">
        <v>31</v>
      </c>
      <c r="D264" s="3" t="s">
        <v>32</v>
      </c>
      <c r="E264" s="4" t="s">
        <v>22</v>
      </c>
      <c r="F264" s="4" t="s">
        <v>1492</v>
      </c>
      <c r="G264" s="4" t="s">
        <v>1493</v>
      </c>
      <c r="H264" s="3" t="s">
        <v>25</v>
      </c>
      <c r="I264" s="3" t="s">
        <v>1494</v>
      </c>
      <c r="J264" s="3" t="s">
        <v>1495</v>
      </c>
      <c r="K264" s="3" t="s">
        <v>1496</v>
      </c>
      <c r="L264" s="3"/>
      <c r="M264" s="4"/>
      <c r="N264" s="3" t="s">
        <v>37</v>
      </c>
      <c r="O264" s="3" t="s">
        <v>52</v>
      </c>
      <c r="P264" s="5">
        <v>10</v>
      </c>
      <c r="Q264" s="5">
        <v>108</v>
      </c>
      <c r="R264" s="5">
        <v>11</v>
      </c>
      <c r="S264" s="5">
        <v>106</v>
      </c>
    </row>
    <row r="265" spans="1:19" ht="28" x14ac:dyDescent="0.15">
      <c r="A265" s="2">
        <f>HYPERLINK("https://open-school.uspishnemisto.com.ua/school/50267/", 50267)</f>
        <v>50267</v>
      </c>
      <c r="B265" s="3" t="s">
        <v>1497</v>
      </c>
      <c r="C265" s="3" t="s">
        <v>31</v>
      </c>
      <c r="D265" s="3" t="s">
        <v>175</v>
      </c>
      <c r="E265" s="4" t="s">
        <v>22</v>
      </c>
      <c r="F265" s="4" t="s">
        <v>1498</v>
      </c>
      <c r="G265" s="4" t="s">
        <v>1499</v>
      </c>
      <c r="H265" s="3" t="s">
        <v>25</v>
      </c>
      <c r="I265" s="3" t="s">
        <v>1500</v>
      </c>
      <c r="J265" s="3" t="s">
        <v>1501</v>
      </c>
      <c r="K265" s="3" t="s">
        <v>1502</v>
      </c>
      <c r="L265" s="3"/>
      <c r="M265" s="4"/>
      <c r="N265" s="3" t="s">
        <v>37</v>
      </c>
      <c r="O265" s="3" t="s">
        <v>46</v>
      </c>
      <c r="P265" s="5">
        <v>4</v>
      </c>
      <c r="Q265" s="5">
        <v>30</v>
      </c>
      <c r="R265" s="5">
        <v>5</v>
      </c>
      <c r="S265" s="5">
        <v>36</v>
      </c>
    </row>
    <row r="266" spans="1:19" ht="28" x14ac:dyDescent="0.15">
      <c r="A266" s="2">
        <f>HYPERLINK("https://open-school.uspishnemisto.com.ua/school/50268/", 50268)</f>
        <v>50268</v>
      </c>
      <c r="B266" s="3" t="s">
        <v>1503</v>
      </c>
      <c r="C266" s="3" t="s">
        <v>31</v>
      </c>
      <c r="D266" s="3" t="s">
        <v>32</v>
      </c>
      <c r="E266" s="4" t="s">
        <v>22</v>
      </c>
      <c r="F266" s="4" t="s">
        <v>1504</v>
      </c>
      <c r="G266" s="4" t="s">
        <v>1505</v>
      </c>
      <c r="H266" s="3" t="s">
        <v>25</v>
      </c>
      <c r="I266" s="3" t="s">
        <v>1506</v>
      </c>
      <c r="J266" s="3" t="s">
        <v>1507</v>
      </c>
      <c r="K266" s="3" t="s">
        <v>1508</v>
      </c>
      <c r="L266" s="3"/>
      <c r="M266" s="4"/>
      <c r="N266" s="3" t="s">
        <v>37</v>
      </c>
      <c r="O266" s="3" t="s">
        <v>52</v>
      </c>
      <c r="P266" s="5">
        <v>11</v>
      </c>
      <c r="Q266" s="5">
        <v>129</v>
      </c>
      <c r="R266" s="5">
        <v>11</v>
      </c>
      <c r="S266" s="5">
        <v>132</v>
      </c>
    </row>
    <row r="267" spans="1:19" ht="28" x14ac:dyDescent="0.15">
      <c r="A267" s="2">
        <f>HYPERLINK("https://open-school.uspishnemisto.com.ua/school/50269/", 50269)</f>
        <v>50269</v>
      </c>
      <c r="B267" s="3" t="s">
        <v>1509</v>
      </c>
      <c r="C267" s="3" t="s">
        <v>31</v>
      </c>
      <c r="D267" s="3" t="s">
        <v>32</v>
      </c>
      <c r="E267" s="4" t="s">
        <v>22</v>
      </c>
      <c r="F267" s="4" t="s">
        <v>1510</v>
      </c>
      <c r="G267" s="4" t="s">
        <v>1511</v>
      </c>
      <c r="H267" s="3" t="s">
        <v>25</v>
      </c>
      <c r="I267" s="3" t="s">
        <v>1512</v>
      </c>
      <c r="J267" s="3" t="s">
        <v>1513</v>
      </c>
      <c r="K267" s="3" t="s">
        <v>1514</v>
      </c>
      <c r="L267" s="3"/>
      <c r="M267" s="4"/>
      <c r="N267" s="3" t="s">
        <v>37</v>
      </c>
      <c r="O267" s="3" t="s">
        <v>52</v>
      </c>
      <c r="P267" s="5">
        <v>10</v>
      </c>
      <c r="Q267" s="5">
        <v>134</v>
      </c>
      <c r="R267" s="5">
        <v>11</v>
      </c>
      <c r="S267" s="5">
        <v>138</v>
      </c>
    </row>
    <row r="268" spans="1:19" ht="28" x14ac:dyDescent="0.15">
      <c r="A268" s="2">
        <f>HYPERLINK("https://open-school.uspishnemisto.com.ua/school/50270/", 50270)</f>
        <v>50270</v>
      </c>
      <c r="B268" s="3" t="s">
        <v>1515</v>
      </c>
      <c r="C268" s="3" t="s">
        <v>31</v>
      </c>
      <c r="D268" s="3" t="s">
        <v>32</v>
      </c>
      <c r="E268" s="4" t="s">
        <v>22</v>
      </c>
      <c r="F268" s="4" t="s">
        <v>1516</v>
      </c>
      <c r="G268" s="4" t="s">
        <v>1517</v>
      </c>
      <c r="H268" s="3" t="s">
        <v>25</v>
      </c>
      <c r="I268" s="3" t="s">
        <v>1518</v>
      </c>
      <c r="J268" s="3" t="s">
        <v>1519</v>
      </c>
      <c r="K268" s="3" t="s">
        <v>1520</v>
      </c>
      <c r="L268" s="3"/>
      <c r="M268" s="4"/>
      <c r="N268" s="3" t="s">
        <v>37</v>
      </c>
      <c r="O268" s="3" t="s">
        <v>52</v>
      </c>
      <c r="P268" s="5">
        <v>11</v>
      </c>
      <c r="Q268" s="5">
        <v>102</v>
      </c>
      <c r="R268" s="5">
        <v>11</v>
      </c>
      <c r="S268" s="5">
        <v>109</v>
      </c>
    </row>
    <row r="269" spans="1:19" ht="28" x14ac:dyDescent="0.15">
      <c r="A269" s="2">
        <f>HYPERLINK("https://open-school.uspishnemisto.com.ua/school/50271/", 50271)</f>
        <v>50271</v>
      </c>
      <c r="B269" s="3" t="s">
        <v>1521</v>
      </c>
      <c r="C269" s="3" t="s">
        <v>31</v>
      </c>
      <c r="D269" s="3" t="s">
        <v>32</v>
      </c>
      <c r="E269" s="4" t="s">
        <v>22</v>
      </c>
      <c r="F269" s="4" t="s">
        <v>1522</v>
      </c>
      <c r="G269" s="4" t="s">
        <v>1523</v>
      </c>
      <c r="H269" s="3" t="s">
        <v>25</v>
      </c>
      <c r="I269" s="3" t="s">
        <v>1524</v>
      </c>
      <c r="J269" s="3" t="s">
        <v>1525</v>
      </c>
      <c r="K269" s="3" t="s">
        <v>1526</v>
      </c>
      <c r="L269" s="3"/>
      <c r="M269" s="4"/>
      <c r="N269" s="3" t="s">
        <v>37</v>
      </c>
      <c r="O269" s="3" t="s">
        <v>52</v>
      </c>
      <c r="P269" s="5">
        <v>11</v>
      </c>
      <c r="Q269" s="5">
        <v>149</v>
      </c>
      <c r="R269" s="5">
        <v>11</v>
      </c>
      <c r="S269" s="5">
        <v>142</v>
      </c>
    </row>
    <row r="270" spans="1:19" ht="28" x14ac:dyDescent="0.15">
      <c r="A270" s="2">
        <f>HYPERLINK("https://open-school.uspishnemisto.com.ua/school/50272/", 50272)</f>
        <v>50272</v>
      </c>
      <c r="B270" s="3" t="s">
        <v>1527</v>
      </c>
      <c r="C270" s="3" t="s">
        <v>31</v>
      </c>
      <c r="D270" s="3" t="s">
        <v>32</v>
      </c>
      <c r="E270" s="4" t="s">
        <v>22</v>
      </c>
      <c r="F270" s="4" t="s">
        <v>1528</v>
      </c>
      <c r="G270" s="4" t="s">
        <v>1529</v>
      </c>
      <c r="H270" s="3" t="s">
        <v>25</v>
      </c>
      <c r="I270" s="3" t="s">
        <v>1530</v>
      </c>
      <c r="J270" s="3" t="s">
        <v>1531</v>
      </c>
      <c r="K270" s="3" t="s">
        <v>1532</v>
      </c>
      <c r="L270" s="3"/>
      <c r="M270" s="4"/>
      <c r="N270" s="3" t="s">
        <v>37</v>
      </c>
      <c r="O270" s="3" t="s">
        <v>52</v>
      </c>
      <c r="P270" s="5">
        <v>11</v>
      </c>
      <c r="Q270" s="5">
        <v>116</v>
      </c>
      <c r="R270" s="5">
        <v>11</v>
      </c>
      <c r="S270" s="5">
        <v>127</v>
      </c>
    </row>
    <row r="271" spans="1:19" ht="42" x14ac:dyDescent="0.15">
      <c r="A271" s="2">
        <f>HYPERLINK("https://open-school.uspishnemisto.com.ua/school/50273/", 50273)</f>
        <v>50273</v>
      </c>
      <c r="B271" s="3" t="s">
        <v>1533</v>
      </c>
      <c r="C271" s="3" t="s">
        <v>31</v>
      </c>
      <c r="D271" s="3" t="s">
        <v>32</v>
      </c>
      <c r="E271" s="4" t="s">
        <v>22</v>
      </c>
      <c r="F271" s="4" t="s">
        <v>1534</v>
      </c>
      <c r="G271" s="4" t="s">
        <v>1535</v>
      </c>
      <c r="H271" s="3" t="s">
        <v>25</v>
      </c>
      <c r="I271" s="3" t="s">
        <v>1536</v>
      </c>
      <c r="J271" s="3" t="s">
        <v>466</v>
      </c>
      <c r="K271" s="3" t="s">
        <v>1537</v>
      </c>
      <c r="L271" s="3"/>
      <c r="M271" s="4"/>
      <c r="N271" s="3" t="s">
        <v>37</v>
      </c>
      <c r="O271" s="3" t="s">
        <v>52</v>
      </c>
      <c r="P271" s="5">
        <v>6</v>
      </c>
      <c r="Q271" s="5">
        <v>62</v>
      </c>
      <c r="R271" s="5">
        <v>7</v>
      </c>
      <c r="S271" s="5">
        <v>53</v>
      </c>
    </row>
    <row r="272" spans="1:19" ht="28" x14ac:dyDescent="0.15">
      <c r="A272" s="2">
        <f>HYPERLINK("https://open-school.uspishnemisto.com.ua/school/50274/", 50274)</f>
        <v>50274</v>
      </c>
      <c r="B272" s="3" t="s">
        <v>1538</v>
      </c>
      <c r="C272" s="3" t="s">
        <v>31</v>
      </c>
      <c r="D272" s="3" t="s">
        <v>32</v>
      </c>
      <c r="E272" s="4" t="s">
        <v>22</v>
      </c>
      <c r="F272" s="4" t="s">
        <v>1539</v>
      </c>
      <c r="G272" s="4" t="s">
        <v>1540</v>
      </c>
      <c r="H272" s="3" t="s">
        <v>25</v>
      </c>
      <c r="I272" s="3" t="s">
        <v>1541</v>
      </c>
      <c r="J272" s="3" t="s">
        <v>466</v>
      </c>
      <c r="K272" s="3" t="s">
        <v>1542</v>
      </c>
      <c r="L272" s="3"/>
      <c r="M272" s="4"/>
      <c r="N272" s="3" t="s">
        <v>37</v>
      </c>
      <c r="O272" s="3" t="s">
        <v>52</v>
      </c>
      <c r="P272" s="5">
        <v>11</v>
      </c>
      <c r="Q272" s="5">
        <v>114</v>
      </c>
      <c r="R272" s="5">
        <v>11</v>
      </c>
      <c r="S272" s="5">
        <v>113</v>
      </c>
    </row>
    <row r="273" spans="1:19" ht="28" x14ac:dyDescent="0.15">
      <c r="A273" s="2">
        <f>HYPERLINK("https://open-school.uspishnemisto.com.ua/school/50275/", 50275)</f>
        <v>50275</v>
      </c>
      <c r="B273" s="3" t="s">
        <v>1543</v>
      </c>
      <c r="C273" s="3" t="s">
        <v>31</v>
      </c>
      <c r="D273" s="3" t="s">
        <v>60</v>
      </c>
      <c r="E273" s="4" t="s">
        <v>22</v>
      </c>
      <c r="F273" s="4" t="s">
        <v>1544</v>
      </c>
      <c r="G273" s="4" t="s">
        <v>1545</v>
      </c>
      <c r="H273" s="3" t="s">
        <v>25</v>
      </c>
      <c r="I273" s="3" t="s">
        <v>1342</v>
      </c>
      <c r="J273" s="3" t="s">
        <v>1348</v>
      </c>
      <c r="K273" s="3" t="s">
        <v>1546</v>
      </c>
      <c r="L273" s="3"/>
      <c r="M273" s="4"/>
      <c r="N273" s="3" t="s">
        <v>37</v>
      </c>
      <c r="O273" s="3" t="s">
        <v>52</v>
      </c>
      <c r="P273" s="5">
        <v>3</v>
      </c>
      <c r="Q273" s="5">
        <v>22</v>
      </c>
      <c r="R273" s="5">
        <v>3</v>
      </c>
      <c r="S273" s="5">
        <v>18</v>
      </c>
    </row>
    <row r="274" spans="1:19" ht="28" x14ac:dyDescent="0.15">
      <c r="A274" s="2">
        <f>HYPERLINK("https://open-school.uspishnemisto.com.ua/school/50276/", 50276)</f>
        <v>50276</v>
      </c>
      <c r="B274" s="3" t="s">
        <v>1547</v>
      </c>
      <c r="C274" s="3" t="s">
        <v>31</v>
      </c>
      <c r="D274" s="3" t="s">
        <v>175</v>
      </c>
      <c r="E274" s="4" t="s">
        <v>22</v>
      </c>
      <c r="F274" s="4" t="s">
        <v>1548</v>
      </c>
      <c r="G274" s="4" t="s">
        <v>1549</v>
      </c>
      <c r="H274" s="3" t="s">
        <v>25</v>
      </c>
      <c r="I274" s="3" t="s">
        <v>1550</v>
      </c>
      <c r="J274" s="3" t="s">
        <v>1551</v>
      </c>
      <c r="K274" s="3" t="s">
        <v>1552</v>
      </c>
      <c r="L274" s="3"/>
      <c r="M274" s="4"/>
      <c r="N274" s="3" t="s">
        <v>37</v>
      </c>
      <c r="O274" s="3" t="s">
        <v>52</v>
      </c>
      <c r="P274" s="5">
        <v>7</v>
      </c>
      <c r="Q274" s="5">
        <v>49</v>
      </c>
      <c r="R274" s="5"/>
      <c r="S274" s="5"/>
    </row>
    <row r="275" spans="1:19" ht="28" x14ac:dyDescent="0.15">
      <c r="A275" s="2">
        <f>HYPERLINK("https://open-school.uspishnemisto.com.ua/school/50277/", 50277)</f>
        <v>50277</v>
      </c>
      <c r="B275" s="3" t="s">
        <v>1553</v>
      </c>
      <c r="C275" s="3" t="s">
        <v>31</v>
      </c>
      <c r="D275" s="3" t="s">
        <v>32</v>
      </c>
      <c r="E275" s="4" t="s">
        <v>22</v>
      </c>
      <c r="F275" s="4" t="s">
        <v>1554</v>
      </c>
      <c r="G275" s="4" t="s">
        <v>1555</v>
      </c>
      <c r="H275" s="3" t="s">
        <v>25</v>
      </c>
      <c r="I275" s="3" t="s">
        <v>1556</v>
      </c>
      <c r="J275" s="3" t="s">
        <v>1557</v>
      </c>
      <c r="K275" s="3" t="s">
        <v>1558</v>
      </c>
      <c r="L275" s="3" t="s">
        <v>1559</v>
      </c>
      <c r="M275" s="4"/>
      <c r="N275" s="3" t="s">
        <v>37</v>
      </c>
      <c r="O275" s="3" t="s">
        <v>52</v>
      </c>
      <c r="P275" s="5">
        <v>9</v>
      </c>
      <c r="Q275" s="5">
        <v>77</v>
      </c>
      <c r="R275" s="5">
        <v>9</v>
      </c>
      <c r="S275" s="5">
        <v>79</v>
      </c>
    </row>
    <row r="276" spans="1:19" ht="28" x14ac:dyDescent="0.15">
      <c r="A276" s="2">
        <f>HYPERLINK("https://open-school.uspishnemisto.com.ua/school/50278/", 50278)</f>
        <v>50278</v>
      </c>
      <c r="B276" s="3" t="s">
        <v>1560</v>
      </c>
      <c r="C276" s="3" t="s">
        <v>31</v>
      </c>
      <c r="D276" s="3" t="s">
        <v>175</v>
      </c>
      <c r="E276" s="4" t="s">
        <v>22</v>
      </c>
      <c r="F276" s="4" t="s">
        <v>1561</v>
      </c>
      <c r="G276" s="4" t="s">
        <v>1562</v>
      </c>
      <c r="H276" s="3" t="s">
        <v>25</v>
      </c>
      <c r="I276" s="3" t="s">
        <v>1563</v>
      </c>
      <c r="J276" s="3" t="s">
        <v>1564</v>
      </c>
      <c r="K276" s="3" t="s">
        <v>1565</v>
      </c>
      <c r="L276" s="3"/>
      <c r="M276" s="4"/>
      <c r="N276" s="3" t="s">
        <v>37</v>
      </c>
      <c r="O276" s="3" t="s">
        <v>52</v>
      </c>
      <c r="P276" s="5">
        <v>7</v>
      </c>
      <c r="Q276" s="5">
        <v>42</v>
      </c>
      <c r="R276" s="5">
        <v>7</v>
      </c>
      <c r="S276" s="5">
        <v>43</v>
      </c>
    </row>
    <row r="277" spans="1:19" ht="28" x14ac:dyDescent="0.15">
      <c r="A277" s="2">
        <f>HYPERLINK("https://open-school.uspishnemisto.com.ua/school/50279/", 50279)</f>
        <v>50279</v>
      </c>
      <c r="B277" s="3" t="s">
        <v>1566</v>
      </c>
      <c r="C277" s="3" t="s">
        <v>31</v>
      </c>
      <c r="D277" s="3" t="s">
        <v>175</v>
      </c>
      <c r="E277" s="4" t="s">
        <v>22</v>
      </c>
      <c r="F277" s="4" t="s">
        <v>1567</v>
      </c>
      <c r="G277" s="4" t="s">
        <v>1568</v>
      </c>
      <c r="H277" s="3" t="s">
        <v>25</v>
      </c>
      <c r="I277" s="3" t="s">
        <v>1569</v>
      </c>
      <c r="J277" s="3" t="s">
        <v>1570</v>
      </c>
      <c r="K277" s="3" t="s">
        <v>1571</v>
      </c>
      <c r="L277" s="3"/>
      <c r="M277" s="4"/>
      <c r="N277" s="3" t="s">
        <v>37</v>
      </c>
      <c r="O277" s="3" t="s">
        <v>52</v>
      </c>
      <c r="P277" s="5">
        <v>7</v>
      </c>
      <c r="Q277" s="5">
        <v>53</v>
      </c>
      <c r="R277" s="5">
        <v>0</v>
      </c>
      <c r="S277" s="5">
        <v>54</v>
      </c>
    </row>
    <row r="278" spans="1:19" ht="28" x14ac:dyDescent="0.15">
      <c r="A278" s="2">
        <f>HYPERLINK("https://open-school.uspishnemisto.com.ua/school/50280/", 50280)</f>
        <v>50280</v>
      </c>
      <c r="B278" s="3" t="s">
        <v>1572</v>
      </c>
      <c r="C278" s="3" t="s">
        <v>31</v>
      </c>
      <c r="D278" s="3" t="s">
        <v>175</v>
      </c>
      <c r="E278" s="4" t="s">
        <v>22</v>
      </c>
      <c r="F278" s="4" t="s">
        <v>1573</v>
      </c>
      <c r="G278" s="4" t="s">
        <v>1574</v>
      </c>
      <c r="H278" s="3" t="s">
        <v>25</v>
      </c>
      <c r="I278" s="3" t="s">
        <v>1575</v>
      </c>
      <c r="J278" s="3" t="s">
        <v>1576</v>
      </c>
      <c r="K278" s="3" t="s">
        <v>1577</v>
      </c>
      <c r="L278" s="3"/>
      <c r="M278" s="4"/>
      <c r="N278" s="3" t="s">
        <v>37</v>
      </c>
      <c r="O278" s="3" t="s">
        <v>52</v>
      </c>
      <c r="P278" s="5">
        <v>8</v>
      </c>
      <c r="Q278" s="5">
        <v>67</v>
      </c>
      <c r="R278" s="5">
        <v>7</v>
      </c>
      <c r="S278" s="5">
        <v>70</v>
      </c>
    </row>
    <row r="279" spans="1:19" ht="28" x14ac:dyDescent="0.15">
      <c r="A279" s="2">
        <f>HYPERLINK("https://open-school.uspishnemisto.com.ua/school/50281/", 50281)</f>
        <v>50281</v>
      </c>
      <c r="B279" s="3" t="s">
        <v>1578</v>
      </c>
      <c r="C279" s="3" t="s">
        <v>31</v>
      </c>
      <c r="D279" s="3" t="s">
        <v>32</v>
      </c>
      <c r="E279" s="4" t="s">
        <v>22</v>
      </c>
      <c r="F279" s="4" t="s">
        <v>1579</v>
      </c>
      <c r="G279" s="4" t="s">
        <v>1580</v>
      </c>
      <c r="H279" s="3" t="s">
        <v>25</v>
      </c>
      <c r="I279" s="3" t="s">
        <v>1581</v>
      </c>
      <c r="J279" s="3" t="s">
        <v>1582</v>
      </c>
      <c r="K279" s="3" t="s">
        <v>1583</v>
      </c>
      <c r="L279" s="3"/>
      <c r="M279" s="4"/>
      <c r="N279" s="3" t="s">
        <v>37</v>
      </c>
      <c r="O279" s="3" t="s">
        <v>52</v>
      </c>
      <c r="P279" s="5">
        <v>11</v>
      </c>
      <c r="Q279" s="5">
        <v>112</v>
      </c>
      <c r="R279" s="5">
        <v>11</v>
      </c>
      <c r="S279" s="5">
        <v>116</v>
      </c>
    </row>
    <row r="280" spans="1:19" ht="28" x14ac:dyDescent="0.15">
      <c r="A280" s="2">
        <f>HYPERLINK("https://open-school.uspishnemisto.com.ua/school/50261/", 50261)</f>
        <v>50261</v>
      </c>
      <c r="B280" s="3" t="s">
        <v>1584</v>
      </c>
      <c r="C280" s="3" t="s">
        <v>31</v>
      </c>
      <c r="D280" s="3" t="s">
        <v>175</v>
      </c>
      <c r="E280" s="4" t="s">
        <v>22</v>
      </c>
      <c r="F280" s="4" t="s">
        <v>1585</v>
      </c>
      <c r="G280" s="4" t="s">
        <v>1586</v>
      </c>
      <c r="H280" s="3" t="s">
        <v>25</v>
      </c>
      <c r="I280" s="3" t="s">
        <v>1587</v>
      </c>
      <c r="J280" s="3" t="s">
        <v>1588</v>
      </c>
      <c r="K280" s="3" t="s">
        <v>1589</v>
      </c>
      <c r="L280" s="3"/>
      <c r="M280" s="4"/>
      <c r="N280" s="3" t="s">
        <v>37</v>
      </c>
      <c r="O280" s="3" t="s">
        <v>52</v>
      </c>
      <c r="P280" s="5">
        <v>2</v>
      </c>
      <c r="Q280" s="5">
        <v>44</v>
      </c>
      <c r="R280" s="5">
        <v>7</v>
      </c>
      <c r="S280" s="5">
        <v>47</v>
      </c>
    </row>
    <row r="281" spans="1:19" ht="28" x14ac:dyDescent="0.15">
      <c r="A281" s="2">
        <f>HYPERLINK("https://open-school.uspishnemisto.com.ua/school/50282/", 50282)</f>
        <v>50282</v>
      </c>
      <c r="B281" s="3" t="s">
        <v>1590</v>
      </c>
      <c r="C281" s="3" t="s">
        <v>31</v>
      </c>
      <c r="D281" s="3" t="s">
        <v>175</v>
      </c>
      <c r="E281" s="4" t="s">
        <v>22</v>
      </c>
      <c r="F281" s="4" t="s">
        <v>1591</v>
      </c>
      <c r="G281" s="4" t="s">
        <v>1592</v>
      </c>
      <c r="H281" s="3" t="s">
        <v>25</v>
      </c>
      <c r="I281" s="3" t="s">
        <v>1593</v>
      </c>
      <c r="J281" s="3" t="s">
        <v>1594</v>
      </c>
      <c r="K281" s="3" t="s">
        <v>1595</v>
      </c>
      <c r="L281" s="3"/>
      <c r="M281" s="4"/>
      <c r="N281" s="3" t="s">
        <v>37</v>
      </c>
      <c r="O281" s="3" t="s">
        <v>52</v>
      </c>
      <c r="P281" s="5">
        <v>3</v>
      </c>
      <c r="Q281" s="5">
        <v>45</v>
      </c>
      <c r="R281" s="5">
        <v>3</v>
      </c>
      <c r="S281" s="5">
        <v>46</v>
      </c>
    </row>
    <row r="282" spans="1:19" ht="28" x14ac:dyDescent="0.15">
      <c r="A282" s="2">
        <f>HYPERLINK("https://open-school.uspishnemisto.com.ua/school/50283/", 50283)</f>
        <v>50283</v>
      </c>
      <c r="B282" s="3" t="s">
        <v>1596</v>
      </c>
      <c r="C282" s="3" t="s">
        <v>31</v>
      </c>
      <c r="D282" s="3" t="s">
        <v>175</v>
      </c>
      <c r="E282" s="4" t="s">
        <v>22</v>
      </c>
      <c r="F282" s="4" t="s">
        <v>1597</v>
      </c>
      <c r="G282" s="4" t="s">
        <v>1598</v>
      </c>
      <c r="H282" s="3" t="s">
        <v>25</v>
      </c>
      <c r="I282" s="3" t="s">
        <v>1599</v>
      </c>
      <c r="J282" s="3" t="s">
        <v>1600</v>
      </c>
      <c r="K282" s="3"/>
      <c r="L282" s="3" t="s">
        <v>1601</v>
      </c>
      <c r="M282" s="4"/>
      <c r="N282" s="3" t="s">
        <v>37</v>
      </c>
      <c r="O282" s="3" t="s">
        <v>618</v>
      </c>
      <c r="P282" s="5">
        <v>4</v>
      </c>
      <c r="Q282" s="5">
        <v>34</v>
      </c>
      <c r="R282" s="5">
        <v>5</v>
      </c>
      <c r="S282" s="5">
        <v>35</v>
      </c>
    </row>
    <row r="283" spans="1:19" ht="28" x14ac:dyDescent="0.15">
      <c r="A283" s="2">
        <f>HYPERLINK("https://open-school.uspishnemisto.com.ua/school/50284/", 50284)</f>
        <v>50284</v>
      </c>
      <c r="B283" s="3" t="s">
        <v>1602</v>
      </c>
      <c r="C283" s="3" t="s">
        <v>31</v>
      </c>
      <c r="D283" s="3" t="s">
        <v>32</v>
      </c>
      <c r="E283" s="4" t="s">
        <v>22</v>
      </c>
      <c r="F283" s="4" t="s">
        <v>1603</v>
      </c>
      <c r="G283" s="4" t="s">
        <v>1604</v>
      </c>
      <c r="H283" s="3" t="s">
        <v>25</v>
      </c>
      <c r="I283" s="3" t="s">
        <v>1605</v>
      </c>
      <c r="J283" s="3" t="s">
        <v>1606</v>
      </c>
      <c r="K283" s="3" t="s">
        <v>1607</v>
      </c>
      <c r="L283" s="3"/>
      <c r="M283" s="4"/>
      <c r="N283" s="3" t="s">
        <v>37</v>
      </c>
      <c r="O283" s="3" t="s">
        <v>52</v>
      </c>
      <c r="P283" s="5">
        <v>11</v>
      </c>
      <c r="Q283" s="5">
        <v>101</v>
      </c>
      <c r="R283" s="5">
        <v>11</v>
      </c>
      <c r="S283" s="5">
        <v>102</v>
      </c>
    </row>
    <row r="284" spans="1:19" ht="28" x14ac:dyDescent="0.15">
      <c r="A284" s="2">
        <f>HYPERLINK("https://open-school.uspishnemisto.com.ua/school/50285/", 50285)</f>
        <v>50285</v>
      </c>
      <c r="B284" s="3" t="s">
        <v>1608</v>
      </c>
      <c r="C284" s="3" t="s">
        <v>31</v>
      </c>
      <c r="D284" s="3" t="s">
        <v>175</v>
      </c>
      <c r="E284" s="4" t="s">
        <v>22</v>
      </c>
      <c r="F284" s="4" t="s">
        <v>1609</v>
      </c>
      <c r="G284" s="4" t="s">
        <v>1610</v>
      </c>
      <c r="H284" s="3" t="s">
        <v>25</v>
      </c>
      <c r="I284" s="3" t="s">
        <v>1611</v>
      </c>
      <c r="J284" s="3" t="s">
        <v>1612</v>
      </c>
      <c r="K284" s="3" t="s">
        <v>1613</v>
      </c>
      <c r="L284" s="3"/>
      <c r="M284" s="4"/>
      <c r="N284" s="3" t="s">
        <v>37</v>
      </c>
      <c r="O284" s="3" t="s">
        <v>52</v>
      </c>
      <c r="P284" s="5">
        <v>6</v>
      </c>
      <c r="Q284" s="5">
        <v>56</v>
      </c>
      <c r="R284" s="5">
        <v>9</v>
      </c>
      <c r="S284" s="5">
        <v>63</v>
      </c>
    </row>
    <row r="285" spans="1:19" ht="28" x14ac:dyDescent="0.15">
      <c r="A285" s="2">
        <f>HYPERLINK("https://open-school.uspishnemisto.com.ua/school/50286/", 50286)</f>
        <v>50286</v>
      </c>
      <c r="B285" s="3" t="s">
        <v>1614</v>
      </c>
      <c r="C285" s="3" t="s">
        <v>31</v>
      </c>
      <c r="D285" s="3" t="s">
        <v>32</v>
      </c>
      <c r="E285" s="4" t="s">
        <v>22</v>
      </c>
      <c r="F285" s="4" t="s">
        <v>1615</v>
      </c>
      <c r="G285" s="4" t="s">
        <v>1616</v>
      </c>
      <c r="H285" s="3" t="s">
        <v>25</v>
      </c>
      <c r="I285" s="3" t="s">
        <v>1617</v>
      </c>
      <c r="J285" s="3" t="s">
        <v>1618</v>
      </c>
      <c r="K285" s="3" t="s">
        <v>1619</v>
      </c>
      <c r="L285" s="3"/>
      <c r="M285" s="4"/>
      <c r="N285" s="3" t="s">
        <v>37</v>
      </c>
      <c r="O285" s="3" t="s">
        <v>52</v>
      </c>
      <c r="P285" s="5">
        <v>9</v>
      </c>
      <c r="Q285" s="5">
        <v>77</v>
      </c>
      <c r="R285" s="5">
        <v>10</v>
      </c>
      <c r="S285" s="5">
        <v>82</v>
      </c>
    </row>
    <row r="286" spans="1:19" ht="28" x14ac:dyDescent="0.15">
      <c r="A286" s="2">
        <f>HYPERLINK("https://open-school.uspishnemisto.com.ua/school/50287/", 50287)</f>
        <v>50287</v>
      </c>
      <c r="B286" s="3" t="s">
        <v>1620</v>
      </c>
      <c r="C286" s="3" t="s">
        <v>31</v>
      </c>
      <c r="D286" s="3" t="s">
        <v>32</v>
      </c>
      <c r="E286" s="4" t="s">
        <v>22</v>
      </c>
      <c r="F286" s="4" t="s">
        <v>1621</v>
      </c>
      <c r="G286" s="4" t="s">
        <v>1622</v>
      </c>
      <c r="H286" s="3" t="s">
        <v>25</v>
      </c>
      <c r="I286" s="3" t="s">
        <v>1623</v>
      </c>
      <c r="J286" s="3" t="s">
        <v>1624</v>
      </c>
      <c r="K286" s="3" t="s">
        <v>1625</v>
      </c>
      <c r="L286" s="3"/>
      <c r="M286" s="4"/>
      <c r="N286" s="3" t="s">
        <v>37</v>
      </c>
      <c r="O286" s="3" t="s">
        <v>52</v>
      </c>
      <c r="P286" s="5">
        <v>4</v>
      </c>
      <c r="Q286" s="5">
        <v>44</v>
      </c>
      <c r="R286" s="5">
        <v>8</v>
      </c>
      <c r="S286" s="5">
        <v>50</v>
      </c>
    </row>
    <row r="287" spans="1:19" ht="28" x14ac:dyDescent="0.15">
      <c r="A287" s="2">
        <f>HYPERLINK("https://open-school.uspishnemisto.com.ua/school/50288/", 50288)</f>
        <v>50288</v>
      </c>
      <c r="B287" s="3" t="s">
        <v>1626</v>
      </c>
      <c r="C287" s="3" t="s">
        <v>54</v>
      </c>
      <c r="D287" s="3" t="s">
        <v>32</v>
      </c>
      <c r="E287" s="4" t="s">
        <v>22</v>
      </c>
      <c r="F287" s="4" t="s">
        <v>1627</v>
      </c>
      <c r="G287" s="4" t="s">
        <v>1628</v>
      </c>
      <c r="H287" s="3" t="s">
        <v>25</v>
      </c>
      <c r="I287" s="3" t="s">
        <v>1629</v>
      </c>
      <c r="J287" s="3" t="s">
        <v>1630</v>
      </c>
      <c r="K287" s="3" t="s">
        <v>1631</v>
      </c>
      <c r="L287" s="3"/>
      <c r="M287" s="4"/>
      <c r="N287" s="3" t="s">
        <v>37</v>
      </c>
      <c r="O287" s="3" t="s">
        <v>52</v>
      </c>
      <c r="P287" s="5">
        <v>11</v>
      </c>
      <c r="Q287" s="5">
        <v>223</v>
      </c>
      <c r="R287" s="5">
        <v>11</v>
      </c>
      <c r="S287" s="5">
        <v>208</v>
      </c>
    </row>
    <row r="288" spans="1:19" ht="28" x14ac:dyDescent="0.15">
      <c r="A288" s="2">
        <f>HYPERLINK("https://open-school.uspishnemisto.com.ua/school/50289/", 50289)</f>
        <v>50289</v>
      </c>
      <c r="B288" s="3" t="s">
        <v>1632</v>
      </c>
      <c r="C288" s="3" t="s">
        <v>31</v>
      </c>
      <c r="D288" s="3" t="s">
        <v>32</v>
      </c>
      <c r="E288" s="4" t="s">
        <v>22</v>
      </c>
      <c r="F288" s="4" t="s">
        <v>1633</v>
      </c>
      <c r="G288" s="4" t="s">
        <v>1634</v>
      </c>
      <c r="H288" s="3" t="s">
        <v>25</v>
      </c>
      <c r="I288" s="3" t="s">
        <v>1635</v>
      </c>
      <c r="J288" s="3" t="s">
        <v>1636</v>
      </c>
      <c r="K288" s="3" t="s">
        <v>1637</v>
      </c>
      <c r="L288" s="3"/>
      <c r="M288" s="4"/>
      <c r="N288" s="3" t="s">
        <v>37</v>
      </c>
      <c r="O288" s="3" t="s">
        <v>52</v>
      </c>
      <c r="P288" s="5">
        <v>20</v>
      </c>
      <c r="Q288" s="5">
        <v>346</v>
      </c>
      <c r="R288" s="5">
        <v>21</v>
      </c>
      <c r="S288" s="5">
        <v>358</v>
      </c>
    </row>
    <row r="289" spans="1:19" ht="28" x14ac:dyDescent="0.15">
      <c r="A289" s="2">
        <f>HYPERLINK("https://open-school.uspishnemisto.com.ua/school/50290/", 50290)</f>
        <v>50290</v>
      </c>
      <c r="B289" s="3" t="s">
        <v>1638</v>
      </c>
      <c r="C289" s="3" t="s">
        <v>54</v>
      </c>
      <c r="D289" s="3" t="s">
        <v>32</v>
      </c>
      <c r="E289" s="4" t="s">
        <v>22</v>
      </c>
      <c r="F289" s="4" t="s">
        <v>1639</v>
      </c>
      <c r="G289" s="4" t="s">
        <v>1640</v>
      </c>
      <c r="H289" s="3" t="s">
        <v>25</v>
      </c>
      <c r="I289" s="3" t="s">
        <v>1641</v>
      </c>
      <c r="J289" s="3" t="s">
        <v>1612</v>
      </c>
      <c r="K289" s="3" t="s">
        <v>1642</v>
      </c>
      <c r="L289" s="3"/>
      <c r="M289" s="4"/>
      <c r="N289" s="3" t="s">
        <v>37</v>
      </c>
      <c r="O289" s="3" t="s">
        <v>52</v>
      </c>
      <c r="P289" s="5">
        <v>11</v>
      </c>
      <c r="Q289" s="5">
        <v>101</v>
      </c>
      <c r="R289" s="5">
        <v>11</v>
      </c>
      <c r="S289" s="5">
        <v>101</v>
      </c>
    </row>
    <row r="290" spans="1:19" ht="28" x14ac:dyDescent="0.15">
      <c r="A290" s="2">
        <f>HYPERLINK("https://open-school.uspishnemisto.com.ua/school/50291/", 50291)</f>
        <v>50291</v>
      </c>
      <c r="B290" s="3" t="s">
        <v>1643</v>
      </c>
      <c r="C290" s="3" t="s">
        <v>31</v>
      </c>
      <c r="D290" s="3" t="s">
        <v>32</v>
      </c>
      <c r="E290" s="4" t="s">
        <v>22</v>
      </c>
      <c r="F290" s="4" t="s">
        <v>1644</v>
      </c>
      <c r="G290" s="4" t="s">
        <v>1645</v>
      </c>
      <c r="H290" s="3" t="s">
        <v>25</v>
      </c>
      <c r="I290" s="3" t="s">
        <v>1646</v>
      </c>
      <c r="J290" s="3" t="s">
        <v>466</v>
      </c>
      <c r="K290" s="3" t="s">
        <v>1647</v>
      </c>
      <c r="L290" s="3"/>
      <c r="M290" s="4"/>
      <c r="N290" s="3" t="s">
        <v>37</v>
      </c>
      <c r="O290" s="3" t="s">
        <v>46</v>
      </c>
      <c r="P290" s="5">
        <v>10</v>
      </c>
      <c r="Q290" s="5">
        <v>92</v>
      </c>
      <c r="R290" s="5">
        <v>10</v>
      </c>
      <c r="S290" s="5">
        <v>93</v>
      </c>
    </row>
    <row r="291" spans="1:19" ht="28" x14ac:dyDescent="0.15">
      <c r="A291" s="2">
        <f>HYPERLINK("https://open-school.uspishnemisto.com.ua/school/50292/", 50292)</f>
        <v>50292</v>
      </c>
      <c r="B291" s="3" t="s">
        <v>1648</v>
      </c>
      <c r="C291" s="3" t="s">
        <v>54</v>
      </c>
      <c r="D291" s="3" t="s">
        <v>32</v>
      </c>
      <c r="E291" s="4" t="s">
        <v>22</v>
      </c>
      <c r="F291" s="4" t="s">
        <v>1649</v>
      </c>
      <c r="G291" s="4" t="s">
        <v>1650</v>
      </c>
      <c r="H291" s="3" t="s">
        <v>25</v>
      </c>
      <c r="I291" s="3" t="s">
        <v>1651</v>
      </c>
      <c r="J291" s="3" t="s">
        <v>1652</v>
      </c>
      <c r="K291" s="3"/>
      <c r="L291" s="3"/>
      <c r="M291" s="4"/>
      <c r="N291" s="3" t="s">
        <v>37</v>
      </c>
      <c r="O291" s="3" t="s">
        <v>139</v>
      </c>
      <c r="P291" s="5">
        <v>11</v>
      </c>
      <c r="Q291" s="5">
        <v>126</v>
      </c>
      <c r="R291" s="5">
        <v>11</v>
      </c>
      <c r="S291" s="5">
        <v>117</v>
      </c>
    </row>
    <row r="292" spans="1:19" ht="28" x14ac:dyDescent="0.15">
      <c r="A292" s="2">
        <f>HYPERLINK("https://open-school.uspishnemisto.com.ua/school/50293/", 50293)</f>
        <v>50293</v>
      </c>
      <c r="B292" s="3" t="s">
        <v>1653</v>
      </c>
      <c r="C292" s="3" t="s">
        <v>54</v>
      </c>
      <c r="D292" s="3" t="s">
        <v>32</v>
      </c>
      <c r="E292" s="4" t="s">
        <v>22</v>
      </c>
      <c r="F292" s="4" t="s">
        <v>1654</v>
      </c>
      <c r="G292" s="4" t="s">
        <v>1655</v>
      </c>
      <c r="H292" s="3" t="s">
        <v>25</v>
      </c>
      <c r="I292" s="3" t="s">
        <v>1656</v>
      </c>
      <c r="J292" s="3" t="s">
        <v>1657</v>
      </c>
      <c r="K292" s="3" t="s">
        <v>1658</v>
      </c>
      <c r="L292" s="3"/>
      <c r="M292" s="4"/>
      <c r="N292" s="3" t="s">
        <v>37</v>
      </c>
      <c r="O292" s="3" t="s">
        <v>52</v>
      </c>
      <c r="P292" s="5">
        <v>6</v>
      </c>
      <c r="Q292" s="5">
        <v>55</v>
      </c>
      <c r="R292" s="5">
        <v>5</v>
      </c>
      <c r="S292" s="5">
        <v>56</v>
      </c>
    </row>
    <row r="293" spans="1:19" ht="28" x14ac:dyDescent="0.15">
      <c r="A293" s="2">
        <f>HYPERLINK("https://open-school.uspishnemisto.com.ua/school/50294/", 50294)</f>
        <v>50294</v>
      </c>
      <c r="B293" s="3" t="s">
        <v>1659</v>
      </c>
      <c r="C293" s="3" t="s">
        <v>54</v>
      </c>
      <c r="D293" s="3" t="s">
        <v>32</v>
      </c>
      <c r="E293" s="4" t="s">
        <v>22</v>
      </c>
      <c r="F293" s="4" t="s">
        <v>1660</v>
      </c>
      <c r="G293" s="4" t="s">
        <v>1661</v>
      </c>
      <c r="H293" s="3" t="s">
        <v>25</v>
      </c>
      <c r="I293" s="3" t="s">
        <v>1662</v>
      </c>
      <c r="J293" s="3" t="s">
        <v>554</v>
      </c>
      <c r="K293" s="3" t="s">
        <v>1663</v>
      </c>
      <c r="L293" s="3"/>
      <c r="M293" s="4"/>
      <c r="N293" s="3" t="s">
        <v>37</v>
      </c>
      <c r="O293" s="3" t="s">
        <v>52</v>
      </c>
      <c r="P293" s="5">
        <v>13</v>
      </c>
      <c r="Q293" s="5">
        <v>105</v>
      </c>
      <c r="R293" s="5">
        <v>10</v>
      </c>
      <c r="S293" s="5">
        <v>94</v>
      </c>
    </row>
    <row r="294" spans="1:19" ht="28" x14ac:dyDescent="0.15">
      <c r="A294" s="2">
        <f>HYPERLINK("https://open-school.uspishnemisto.com.ua/school/50295/", 50295)</f>
        <v>50295</v>
      </c>
      <c r="B294" s="3" t="s">
        <v>1664</v>
      </c>
      <c r="C294" s="3" t="s">
        <v>54</v>
      </c>
      <c r="D294" s="3" t="s">
        <v>32</v>
      </c>
      <c r="E294" s="4" t="s">
        <v>22</v>
      </c>
      <c r="F294" s="4" t="s">
        <v>1665</v>
      </c>
      <c r="G294" s="4" t="s">
        <v>1666</v>
      </c>
      <c r="H294" s="3" t="s">
        <v>25</v>
      </c>
      <c r="I294" s="3" t="s">
        <v>1667</v>
      </c>
      <c r="J294" s="3" t="s">
        <v>1668</v>
      </c>
      <c r="K294" s="3"/>
      <c r="L294" s="3"/>
      <c r="M294" s="4"/>
      <c r="N294" s="3" t="s">
        <v>37</v>
      </c>
      <c r="O294" s="3" t="s">
        <v>52</v>
      </c>
      <c r="P294" s="5">
        <v>11</v>
      </c>
      <c r="Q294" s="5">
        <v>123</v>
      </c>
      <c r="R294" s="5">
        <v>11</v>
      </c>
      <c r="S294" s="5">
        <v>125</v>
      </c>
    </row>
    <row r="295" spans="1:19" ht="28" x14ac:dyDescent="0.15">
      <c r="A295" s="2">
        <f>HYPERLINK("https://open-school.uspishnemisto.com.ua/school/50296/", 50296)</f>
        <v>50296</v>
      </c>
      <c r="B295" s="3" t="s">
        <v>1669</v>
      </c>
      <c r="C295" s="3" t="s">
        <v>31</v>
      </c>
      <c r="D295" s="3" t="s">
        <v>60</v>
      </c>
      <c r="E295" s="4" t="s">
        <v>22</v>
      </c>
      <c r="F295" s="4" t="s">
        <v>1670</v>
      </c>
      <c r="G295" s="4" t="s">
        <v>1671</v>
      </c>
      <c r="H295" s="3" t="s">
        <v>25</v>
      </c>
      <c r="I295" s="3" t="s">
        <v>1672</v>
      </c>
      <c r="J295" s="3" t="s">
        <v>1673</v>
      </c>
      <c r="K295" s="3" t="s">
        <v>1674</v>
      </c>
      <c r="L295" s="3"/>
      <c r="M295" s="4"/>
      <c r="N295" s="3" t="s">
        <v>37</v>
      </c>
      <c r="O295" s="3" t="s">
        <v>52</v>
      </c>
      <c r="P295" s="5">
        <v>0</v>
      </c>
      <c r="Q295" s="5">
        <v>0</v>
      </c>
      <c r="R295" s="5">
        <v>3</v>
      </c>
      <c r="S295" s="5">
        <v>22</v>
      </c>
    </row>
    <row r="296" spans="1:19" ht="28" x14ac:dyDescent="0.15">
      <c r="A296" s="2">
        <f>HYPERLINK("https://open-school.uspishnemisto.com.ua/school/50297/", 50297)</f>
        <v>50297</v>
      </c>
      <c r="B296" s="3" t="s">
        <v>1675</v>
      </c>
      <c r="C296" s="3" t="s">
        <v>54</v>
      </c>
      <c r="D296" s="3" t="s">
        <v>32</v>
      </c>
      <c r="E296" s="4" t="s">
        <v>22</v>
      </c>
      <c r="F296" s="4" t="s">
        <v>1676</v>
      </c>
      <c r="G296" s="4" t="s">
        <v>1677</v>
      </c>
      <c r="H296" s="3" t="s">
        <v>25</v>
      </c>
      <c r="I296" s="3" t="s">
        <v>1678</v>
      </c>
      <c r="J296" s="3" t="s">
        <v>1679</v>
      </c>
      <c r="K296" s="3" t="s">
        <v>1680</v>
      </c>
      <c r="L296" s="3"/>
      <c r="M296" s="4"/>
      <c r="N296" s="3" t="s">
        <v>37</v>
      </c>
      <c r="O296" s="3" t="s">
        <v>52</v>
      </c>
      <c r="P296" s="5">
        <v>11</v>
      </c>
      <c r="Q296" s="5">
        <v>165</v>
      </c>
      <c r="R296" s="5">
        <v>11</v>
      </c>
      <c r="S296" s="5">
        <v>164</v>
      </c>
    </row>
    <row r="297" spans="1:19" ht="28" x14ac:dyDescent="0.15">
      <c r="A297" s="2">
        <f>HYPERLINK("https://open-school.uspishnemisto.com.ua/school/50298/", 50298)</f>
        <v>50298</v>
      </c>
      <c r="B297" s="3" t="s">
        <v>1681</v>
      </c>
      <c r="C297" s="3" t="s">
        <v>54</v>
      </c>
      <c r="D297" s="3" t="s">
        <v>32</v>
      </c>
      <c r="E297" s="4" t="s">
        <v>22</v>
      </c>
      <c r="F297" s="4" t="s">
        <v>1682</v>
      </c>
      <c r="G297" s="4" t="s">
        <v>1683</v>
      </c>
      <c r="H297" s="3" t="s">
        <v>25</v>
      </c>
      <c r="I297" s="3" t="s">
        <v>1684</v>
      </c>
      <c r="J297" s="3" t="s">
        <v>1685</v>
      </c>
      <c r="K297" s="3" t="s">
        <v>1686</v>
      </c>
      <c r="L297" s="3" t="s">
        <v>1687</v>
      </c>
      <c r="M297" s="4"/>
      <c r="N297" s="3" t="s">
        <v>37</v>
      </c>
      <c r="O297" s="3" t="s">
        <v>52</v>
      </c>
      <c r="P297" s="5">
        <v>11</v>
      </c>
      <c r="Q297" s="5">
        <v>126</v>
      </c>
      <c r="R297" s="5">
        <v>11</v>
      </c>
      <c r="S297" s="5">
        <v>121</v>
      </c>
    </row>
    <row r="298" spans="1:19" ht="28" x14ac:dyDescent="0.15">
      <c r="A298" s="2">
        <f>HYPERLINK("https://open-school.uspishnemisto.com.ua/school/50299/", 50299)</f>
        <v>50299</v>
      </c>
      <c r="B298" s="3" t="s">
        <v>1688</v>
      </c>
      <c r="C298" s="3" t="s">
        <v>31</v>
      </c>
      <c r="D298" s="3" t="s">
        <v>32</v>
      </c>
      <c r="E298" s="4" t="s">
        <v>22</v>
      </c>
      <c r="F298" s="4" t="s">
        <v>1689</v>
      </c>
      <c r="G298" s="4" t="s">
        <v>1690</v>
      </c>
      <c r="H298" s="3" t="s">
        <v>25</v>
      </c>
      <c r="I298" s="3" t="s">
        <v>322</v>
      </c>
      <c r="J298" s="3" t="s">
        <v>1691</v>
      </c>
      <c r="K298" s="3"/>
      <c r="L298" s="3"/>
      <c r="M298" s="4"/>
      <c r="N298" s="3" t="s">
        <v>37</v>
      </c>
      <c r="O298" s="3" t="s">
        <v>139</v>
      </c>
      <c r="P298" s="5">
        <v>12</v>
      </c>
      <c r="Q298" s="5">
        <v>179</v>
      </c>
      <c r="R298" s="5">
        <v>12</v>
      </c>
      <c r="S298" s="5">
        <v>185</v>
      </c>
    </row>
    <row r="299" spans="1:19" ht="28" x14ac:dyDescent="0.15">
      <c r="A299" s="2">
        <f>HYPERLINK("https://open-school.uspishnemisto.com.ua/school/50300/", 50300)</f>
        <v>50300</v>
      </c>
      <c r="B299" s="3" t="s">
        <v>1692</v>
      </c>
      <c r="C299" s="3" t="s">
        <v>31</v>
      </c>
      <c r="D299" s="3" t="s">
        <v>175</v>
      </c>
      <c r="E299" s="4" t="s">
        <v>22</v>
      </c>
      <c r="F299" s="4" t="s">
        <v>1689</v>
      </c>
      <c r="G299" s="4" t="s">
        <v>1693</v>
      </c>
      <c r="H299" s="3" t="s">
        <v>25</v>
      </c>
      <c r="I299" s="3" t="s">
        <v>1694</v>
      </c>
      <c r="J299" s="3" t="s">
        <v>1695</v>
      </c>
      <c r="K299" s="3"/>
      <c r="L299" s="3"/>
      <c r="M299" s="4"/>
      <c r="N299" s="3" t="s">
        <v>37</v>
      </c>
      <c r="O299" s="3" t="s">
        <v>52</v>
      </c>
      <c r="P299" s="5">
        <v>9</v>
      </c>
      <c r="Q299" s="5">
        <v>68</v>
      </c>
      <c r="R299" s="5">
        <v>9</v>
      </c>
      <c r="S299" s="5">
        <v>74</v>
      </c>
    </row>
    <row r="300" spans="1:19" ht="42" x14ac:dyDescent="0.15">
      <c r="A300" s="2">
        <f>HYPERLINK("https://open-school.uspishnemisto.com.ua/school/50301/", 50301)</f>
        <v>50301</v>
      </c>
      <c r="B300" s="3" t="s">
        <v>1696</v>
      </c>
      <c r="C300" s="3" t="s">
        <v>54</v>
      </c>
      <c r="D300" s="3" t="s">
        <v>175</v>
      </c>
      <c r="E300" s="4" t="s">
        <v>22</v>
      </c>
      <c r="F300" s="4" t="s">
        <v>1697</v>
      </c>
      <c r="G300" s="4" t="s">
        <v>1698</v>
      </c>
      <c r="H300" s="3" t="s">
        <v>25</v>
      </c>
      <c r="I300" s="3" t="s">
        <v>1699</v>
      </c>
      <c r="J300" s="3" t="s">
        <v>1700</v>
      </c>
      <c r="K300" s="3" t="s">
        <v>1701</v>
      </c>
      <c r="L300" s="3" t="s">
        <v>1702</v>
      </c>
      <c r="M300" s="4"/>
      <c r="N300" s="3" t="s">
        <v>37</v>
      </c>
      <c r="O300" s="3" t="s">
        <v>52</v>
      </c>
      <c r="P300" s="5">
        <v>9</v>
      </c>
      <c r="Q300" s="5">
        <v>59</v>
      </c>
      <c r="R300" s="5">
        <v>9</v>
      </c>
      <c r="S300" s="5">
        <v>53</v>
      </c>
    </row>
    <row r="301" spans="1:19" ht="28" x14ac:dyDescent="0.15">
      <c r="A301" s="2">
        <f>HYPERLINK("https://open-school.uspishnemisto.com.ua/school/50302/", 50302)</f>
        <v>50302</v>
      </c>
      <c r="B301" s="3" t="s">
        <v>1703</v>
      </c>
      <c r="C301" s="3" t="s">
        <v>31</v>
      </c>
      <c r="D301" s="3" t="s">
        <v>32</v>
      </c>
      <c r="E301" s="4" t="s">
        <v>22</v>
      </c>
      <c r="F301" s="4" t="s">
        <v>1704</v>
      </c>
      <c r="G301" s="4" t="s">
        <v>1705</v>
      </c>
      <c r="H301" s="3" t="s">
        <v>25</v>
      </c>
      <c r="I301" s="3" t="s">
        <v>1706</v>
      </c>
      <c r="J301" s="3" t="s">
        <v>634</v>
      </c>
      <c r="K301" s="3" t="s">
        <v>1707</v>
      </c>
      <c r="L301" s="3"/>
      <c r="M301" s="4"/>
      <c r="N301" s="3" t="s">
        <v>37</v>
      </c>
      <c r="O301" s="3" t="s">
        <v>52</v>
      </c>
      <c r="P301" s="5">
        <v>20</v>
      </c>
      <c r="Q301" s="5">
        <v>365</v>
      </c>
      <c r="R301" s="5">
        <v>20</v>
      </c>
      <c r="S301" s="5">
        <v>357</v>
      </c>
    </row>
    <row r="302" spans="1:19" ht="28" x14ac:dyDescent="0.15">
      <c r="A302" s="2">
        <f>HYPERLINK("https://open-school.uspishnemisto.com.ua/school/50303/", 50303)</f>
        <v>50303</v>
      </c>
      <c r="B302" s="3" t="s">
        <v>1708</v>
      </c>
      <c r="C302" s="3" t="s">
        <v>31</v>
      </c>
      <c r="D302" s="3" t="s">
        <v>32</v>
      </c>
      <c r="E302" s="4" t="s">
        <v>22</v>
      </c>
      <c r="F302" s="4" t="s">
        <v>1709</v>
      </c>
      <c r="G302" s="4" t="s">
        <v>1710</v>
      </c>
      <c r="H302" s="3" t="s">
        <v>25</v>
      </c>
      <c r="I302" s="3" t="s">
        <v>1711</v>
      </c>
      <c r="J302" s="3" t="s">
        <v>1712</v>
      </c>
      <c r="K302" s="3" t="s">
        <v>1713</v>
      </c>
      <c r="L302" s="3" t="s">
        <v>1714</v>
      </c>
      <c r="M302" s="4"/>
      <c r="N302" s="3" t="s">
        <v>37</v>
      </c>
      <c r="O302" s="3" t="s">
        <v>52</v>
      </c>
      <c r="P302" s="5">
        <v>10</v>
      </c>
      <c r="Q302" s="5">
        <v>111</v>
      </c>
      <c r="R302" s="5">
        <v>9</v>
      </c>
      <c r="S302" s="5">
        <v>104</v>
      </c>
    </row>
    <row r="303" spans="1:19" ht="28" x14ac:dyDescent="0.15">
      <c r="A303" s="2">
        <f>HYPERLINK("https://open-school.uspishnemisto.com.ua/school/50304/", 50304)</f>
        <v>50304</v>
      </c>
      <c r="B303" s="3" t="s">
        <v>1715</v>
      </c>
      <c r="C303" s="3" t="s">
        <v>31</v>
      </c>
      <c r="D303" s="3" t="s">
        <v>32</v>
      </c>
      <c r="E303" s="4" t="s">
        <v>22</v>
      </c>
      <c r="F303" s="4" t="s">
        <v>1716</v>
      </c>
      <c r="G303" s="4" t="s">
        <v>1717</v>
      </c>
      <c r="H303" s="3" t="s">
        <v>25</v>
      </c>
      <c r="I303" s="3" t="s">
        <v>1718</v>
      </c>
      <c r="J303" s="3" t="s">
        <v>1719</v>
      </c>
      <c r="K303" s="3"/>
      <c r="L303" s="3"/>
      <c r="M303" s="4"/>
      <c r="N303" s="3" t="s">
        <v>37</v>
      </c>
      <c r="O303" s="3" t="s">
        <v>52</v>
      </c>
      <c r="P303" s="5">
        <v>11</v>
      </c>
      <c r="Q303" s="5">
        <v>146</v>
      </c>
      <c r="R303" s="5">
        <v>11</v>
      </c>
      <c r="S303" s="5">
        <v>153</v>
      </c>
    </row>
    <row r="304" spans="1:19" ht="28" x14ac:dyDescent="0.15">
      <c r="A304" s="2">
        <f>HYPERLINK("https://open-school.uspishnemisto.com.ua/school/50305/", 50305)</f>
        <v>50305</v>
      </c>
      <c r="B304" s="3" t="s">
        <v>1720</v>
      </c>
      <c r="C304" s="3" t="s">
        <v>54</v>
      </c>
      <c r="D304" s="3" t="s">
        <v>32</v>
      </c>
      <c r="E304" s="4" t="s">
        <v>22</v>
      </c>
      <c r="F304" s="4" t="s">
        <v>1721</v>
      </c>
      <c r="G304" s="4" t="s">
        <v>1722</v>
      </c>
      <c r="H304" s="3" t="s">
        <v>25</v>
      </c>
      <c r="I304" s="3" t="s">
        <v>1040</v>
      </c>
      <c r="J304" s="3" t="s">
        <v>1074</v>
      </c>
      <c r="K304" s="3" t="s">
        <v>1723</v>
      </c>
      <c r="L304" s="3" t="s">
        <v>1724</v>
      </c>
      <c r="M304" s="4"/>
      <c r="N304" s="3" t="s">
        <v>37</v>
      </c>
      <c r="O304" s="3" t="s">
        <v>52</v>
      </c>
      <c r="P304" s="5">
        <v>11</v>
      </c>
      <c r="Q304" s="5">
        <v>90</v>
      </c>
      <c r="R304" s="5">
        <v>11</v>
      </c>
      <c r="S304" s="5">
        <v>92</v>
      </c>
    </row>
    <row r="305" spans="1:19" ht="28" x14ac:dyDescent="0.15">
      <c r="A305" s="2">
        <f>HYPERLINK("https://open-school.uspishnemisto.com.ua/school/50306/", 50306)</f>
        <v>50306</v>
      </c>
      <c r="B305" s="3" t="s">
        <v>1725</v>
      </c>
      <c r="C305" s="3" t="s">
        <v>54</v>
      </c>
      <c r="D305" s="3" t="s">
        <v>32</v>
      </c>
      <c r="E305" s="4" t="s">
        <v>22</v>
      </c>
      <c r="F305" s="4" t="s">
        <v>1726</v>
      </c>
      <c r="G305" s="4" t="s">
        <v>1727</v>
      </c>
      <c r="H305" s="3" t="s">
        <v>25</v>
      </c>
      <c r="I305" s="3" t="s">
        <v>1728</v>
      </c>
      <c r="J305" s="3" t="s">
        <v>1729</v>
      </c>
      <c r="K305" s="3" t="s">
        <v>1730</v>
      </c>
      <c r="L305" s="3"/>
      <c r="M305" s="4"/>
      <c r="N305" s="3" t="s">
        <v>37</v>
      </c>
      <c r="O305" s="3" t="s">
        <v>46</v>
      </c>
      <c r="P305" s="5">
        <v>22</v>
      </c>
      <c r="Q305" s="5">
        <v>166</v>
      </c>
      <c r="R305" s="5">
        <v>11</v>
      </c>
      <c r="S305" s="5">
        <v>81</v>
      </c>
    </row>
    <row r="306" spans="1:19" ht="28" x14ac:dyDescent="0.15">
      <c r="A306" s="2">
        <f>HYPERLINK("https://open-school.uspishnemisto.com.ua/school/50307/", 50307)</f>
        <v>50307</v>
      </c>
      <c r="B306" s="3" t="s">
        <v>1731</v>
      </c>
      <c r="C306" s="3" t="s">
        <v>31</v>
      </c>
      <c r="D306" s="3" t="s">
        <v>32</v>
      </c>
      <c r="E306" s="4" t="s">
        <v>22</v>
      </c>
      <c r="F306" s="4" t="s">
        <v>1732</v>
      </c>
      <c r="G306" s="4" t="s">
        <v>1733</v>
      </c>
      <c r="H306" s="3" t="s">
        <v>25</v>
      </c>
      <c r="I306" s="3" t="s">
        <v>1734</v>
      </c>
      <c r="J306" s="3" t="s">
        <v>566</v>
      </c>
      <c r="K306" s="3" t="s">
        <v>1735</v>
      </c>
      <c r="L306" s="3" t="s">
        <v>1736</v>
      </c>
      <c r="M306" s="4"/>
      <c r="N306" s="3" t="s">
        <v>37</v>
      </c>
      <c r="O306" s="3" t="s">
        <v>52</v>
      </c>
      <c r="P306" s="5">
        <v>0</v>
      </c>
      <c r="Q306" s="5">
        <v>0</v>
      </c>
      <c r="R306" s="5">
        <v>11</v>
      </c>
      <c r="S306" s="5">
        <v>90</v>
      </c>
    </row>
    <row r="307" spans="1:19" ht="42" x14ac:dyDescent="0.15">
      <c r="A307" s="2">
        <f>HYPERLINK("https://open-school.uspishnemisto.com.ua/school/50308/", 50308)</f>
        <v>50308</v>
      </c>
      <c r="B307" s="3" t="s">
        <v>1737</v>
      </c>
      <c r="C307" s="3" t="s">
        <v>54</v>
      </c>
      <c r="D307" s="3" t="s">
        <v>32</v>
      </c>
      <c r="E307" s="4" t="s">
        <v>22</v>
      </c>
      <c r="F307" s="4" t="s">
        <v>1738</v>
      </c>
      <c r="G307" s="4" t="s">
        <v>1739</v>
      </c>
      <c r="H307" s="3" t="s">
        <v>25</v>
      </c>
      <c r="I307" s="3" t="s">
        <v>1740</v>
      </c>
      <c r="J307" s="3" t="s">
        <v>1741</v>
      </c>
      <c r="K307" s="3" t="s">
        <v>1742</v>
      </c>
      <c r="L307" s="3"/>
      <c r="M307" s="4"/>
      <c r="N307" s="3" t="s">
        <v>37</v>
      </c>
      <c r="O307" s="3" t="s">
        <v>52</v>
      </c>
      <c r="P307" s="5">
        <v>10</v>
      </c>
      <c r="Q307" s="5">
        <v>96</v>
      </c>
      <c r="R307" s="5">
        <v>11</v>
      </c>
      <c r="S307" s="5">
        <v>88</v>
      </c>
    </row>
    <row r="308" spans="1:19" ht="28" x14ac:dyDescent="0.15">
      <c r="A308" s="2">
        <f>HYPERLINK("https://open-school.uspishnemisto.com.ua/school/50309/", 50309)</f>
        <v>50309</v>
      </c>
      <c r="B308" s="3" t="s">
        <v>1743</v>
      </c>
      <c r="C308" s="3" t="s">
        <v>31</v>
      </c>
      <c r="D308" s="3" t="s">
        <v>32</v>
      </c>
      <c r="E308" s="4" t="s">
        <v>22</v>
      </c>
      <c r="F308" s="4" t="s">
        <v>1744</v>
      </c>
      <c r="G308" s="4" t="s">
        <v>1745</v>
      </c>
      <c r="H308" s="3" t="s">
        <v>25</v>
      </c>
      <c r="I308" s="3" t="s">
        <v>1746</v>
      </c>
      <c r="J308" s="3" t="s">
        <v>1747</v>
      </c>
      <c r="K308" s="3" t="s">
        <v>1748</v>
      </c>
      <c r="L308" s="3"/>
      <c r="M308" s="4"/>
      <c r="N308" s="3" t="s">
        <v>37</v>
      </c>
      <c r="O308" s="3" t="s">
        <v>52</v>
      </c>
      <c r="P308" s="5">
        <v>11</v>
      </c>
      <c r="Q308" s="5">
        <v>106</v>
      </c>
      <c r="R308" s="5">
        <v>11</v>
      </c>
      <c r="S308" s="5">
        <v>104</v>
      </c>
    </row>
    <row r="309" spans="1:19" ht="28" x14ac:dyDescent="0.15">
      <c r="A309" s="2">
        <f>HYPERLINK("https://open-school.uspishnemisto.com.ua/school/50310/", 50310)</f>
        <v>50310</v>
      </c>
      <c r="B309" s="3" t="s">
        <v>1749</v>
      </c>
      <c r="C309" s="3" t="s">
        <v>54</v>
      </c>
      <c r="D309" s="3" t="s">
        <v>32</v>
      </c>
      <c r="E309" s="4" t="s">
        <v>22</v>
      </c>
      <c r="F309" s="4" t="s">
        <v>1750</v>
      </c>
      <c r="G309" s="4" t="s">
        <v>1751</v>
      </c>
      <c r="H309" s="3" t="s">
        <v>25</v>
      </c>
      <c r="I309" s="3" t="s">
        <v>1752</v>
      </c>
      <c r="J309" s="3" t="s">
        <v>1753</v>
      </c>
      <c r="K309" s="3" t="s">
        <v>1754</v>
      </c>
      <c r="L309" s="3" t="s">
        <v>1755</v>
      </c>
      <c r="M309" s="4"/>
      <c r="N309" s="3" t="s">
        <v>37</v>
      </c>
      <c r="O309" s="3" t="s">
        <v>52</v>
      </c>
      <c r="P309" s="5">
        <v>10</v>
      </c>
      <c r="Q309" s="5">
        <v>99</v>
      </c>
      <c r="R309" s="5">
        <v>11</v>
      </c>
      <c r="S309" s="5">
        <v>93</v>
      </c>
    </row>
    <row r="310" spans="1:19" ht="28" x14ac:dyDescent="0.15">
      <c r="A310" s="2">
        <f>HYPERLINK("https://open-school.uspishnemisto.com.ua/school/50311/", 50311)</f>
        <v>50311</v>
      </c>
      <c r="B310" s="3" t="s">
        <v>1756</v>
      </c>
      <c r="C310" s="3" t="s">
        <v>54</v>
      </c>
      <c r="D310" s="3" t="s">
        <v>32</v>
      </c>
      <c r="E310" s="4" t="s">
        <v>22</v>
      </c>
      <c r="F310" s="4" t="s">
        <v>1757</v>
      </c>
      <c r="G310" s="4" t="s">
        <v>1758</v>
      </c>
      <c r="H310" s="3" t="s">
        <v>25</v>
      </c>
      <c r="I310" s="3" t="s">
        <v>1759</v>
      </c>
      <c r="J310" s="3" t="s">
        <v>1760</v>
      </c>
      <c r="K310" s="3"/>
      <c r="L310" s="3"/>
      <c r="M310" s="4"/>
      <c r="N310" s="3" t="s">
        <v>37</v>
      </c>
      <c r="O310" s="3" t="s">
        <v>52</v>
      </c>
      <c r="P310" s="5">
        <v>10</v>
      </c>
      <c r="Q310" s="5">
        <v>58</v>
      </c>
      <c r="R310" s="5">
        <v>10</v>
      </c>
      <c r="S310" s="5">
        <v>56</v>
      </c>
    </row>
    <row r="311" spans="1:19" ht="28" x14ac:dyDescent="0.15">
      <c r="A311" s="2">
        <f>HYPERLINK("https://open-school.uspishnemisto.com.ua/school/50312/", 50312)</f>
        <v>50312</v>
      </c>
      <c r="B311" s="3" t="s">
        <v>1761</v>
      </c>
      <c r="C311" s="3" t="s">
        <v>54</v>
      </c>
      <c r="D311" s="3" t="s">
        <v>175</v>
      </c>
      <c r="E311" s="4" t="s">
        <v>22</v>
      </c>
      <c r="F311" s="4" t="s">
        <v>1762</v>
      </c>
      <c r="G311" s="4" t="s">
        <v>1763</v>
      </c>
      <c r="H311" s="3" t="s">
        <v>25</v>
      </c>
      <c r="I311" s="3" t="s">
        <v>1764</v>
      </c>
      <c r="J311" s="3" t="s">
        <v>792</v>
      </c>
      <c r="K311" s="3" t="s">
        <v>1765</v>
      </c>
      <c r="L311" s="3"/>
      <c r="M311" s="4"/>
      <c r="N311" s="3" t="s">
        <v>37</v>
      </c>
      <c r="O311" s="3" t="s">
        <v>52</v>
      </c>
      <c r="P311" s="5">
        <v>7</v>
      </c>
      <c r="Q311" s="5">
        <v>42</v>
      </c>
      <c r="R311" s="5">
        <v>7</v>
      </c>
      <c r="S311" s="5">
        <v>41</v>
      </c>
    </row>
    <row r="312" spans="1:19" ht="28" x14ac:dyDescent="0.15">
      <c r="A312" s="2">
        <f>HYPERLINK("https://open-school.uspishnemisto.com.ua/school/50313/", 50313)</f>
        <v>50313</v>
      </c>
      <c r="B312" s="3" t="s">
        <v>1766</v>
      </c>
      <c r="C312" s="3" t="s">
        <v>181</v>
      </c>
      <c r="D312" s="3" t="s">
        <v>32</v>
      </c>
      <c r="E312" s="4" t="s">
        <v>22</v>
      </c>
      <c r="F312" s="4" t="s">
        <v>1767</v>
      </c>
      <c r="G312" s="4" t="s">
        <v>1768</v>
      </c>
      <c r="H312" s="3" t="s">
        <v>25</v>
      </c>
      <c r="I312" s="3" t="s">
        <v>1769</v>
      </c>
      <c r="J312" s="3" t="s">
        <v>1770</v>
      </c>
      <c r="K312" s="3"/>
      <c r="L312" s="3"/>
      <c r="M312" s="4" t="s">
        <v>1771</v>
      </c>
      <c r="N312" s="3" t="s">
        <v>37</v>
      </c>
      <c r="O312" s="3" t="s">
        <v>52</v>
      </c>
      <c r="P312" s="5">
        <v>14</v>
      </c>
      <c r="Q312" s="5">
        <v>165</v>
      </c>
      <c r="R312" s="5">
        <v>14</v>
      </c>
      <c r="S312" s="5">
        <v>165</v>
      </c>
    </row>
    <row r="313" spans="1:19" ht="42" x14ac:dyDescent="0.15">
      <c r="A313" s="2">
        <f>HYPERLINK("https://open-school.uspishnemisto.com.ua/school/50314/", 50314)</f>
        <v>50314</v>
      </c>
      <c r="B313" s="3" t="s">
        <v>1772</v>
      </c>
      <c r="C313" s="3" t="s">
        <v>54</v>
      </c>
      <c r="D313" s="3" t="s">
        <v>32</v>
      </c>
      <c r="E313" s="4" t="s">
        <v>22</v>
      </c>
      <c r="F313" s="4" t="s">
        <v>1767</v>
      </c>
      <c r="G313" s="4" t="s">
        <v>1768</v>
      </c>
      <c r="H313" s="3" t="s">
        <v>25</v>
      </c>
      <c r="I313" s="3" t="s">
        <v>1769</v>
      </c>
      <c r="J313" s="3" t="s">
        <v>1773</v>
      </c>
      <c r="K313" s="3" t="s">
        <v>1774</v>
      </c>
      <c r="L313" s="3" t="s">
        <v>1775</v>
      </c>
      <c r="M313" s="4"/>
      <c r="N313" s="3" t="s">
        <v>37</v>
      </c>
      <c r="O313" s="3" t="s">
        <v>52</v>
      </c>
      <c r="P313" s="5">
        <v>11</v>
      </c>
      <c r="Q313" s="5">
        <v>166</v>
      </c>
      <c r="R313" s="5">
        <v>11</v>
      </c>
      <c r="S313" s="5">
        <v>178</v>
      </c>
    </row>
    <row r="314" spans="1:19" ht="42" x14ac:dyDescent="0.15">
      <c r="A314" s="2">
        <f>HYPERLINK("https://open-school.uspishnemisto.com.ua/school/50315/", 50315)</f>
        <v>50315</v>
      </c>
      <c r="B314" s="3" t="s">
        <v>1776</v>
      </c>
      <c r="C314" s="3" t="s">
        <v>54</v>
      </c>
      <c r="D314" s="3" t="s">
        <v>32</v>
      </c>
      <c r="E314" s="4" t="s">
        <v>22</v>
      </c>
      <c r="F314" s="4" t="s">
        <v>1777</v>
      </c>
      <c r="G314" s="4" t="s">
        <v>1778</v>
      </c>
      <c r="H314" s="3" t="s">
        <v>25</v>
      </c>
      <c r="I314" s="3" t="s">
        <v>1779</v>
      </c>
      <c r="J314" s="3" t="s">
        <v>1780</v>
      </c>
      <c r="K314" s="3" t="s">
        <v>1781</v>
      </c>
      <c r="L314" s="3"/>
      <c r="M314" s="4"/>
      <c r="N314" s="3" t="s">
        <v>37</v>
      </c>
      <c r="O314" s="3" t="s">
        <v>46</v>
      </c>
      <c r="P314" s="5">
        <v>11</v>
      </c>
      <c r="Q314" s="5">
        <v>84</v>
      </c>
      <c r="R314" s="5">
        <v>11</v>
      </c>
      <c r="S314" s="5">
        <v>82</v>
      </c>
    </row>
    <row r="315" spans="1:19" ht="42" x14ac:dyDescent="0.15">
      <c r="A315" s="2">
        <f>HYPERLINK("https://open-school.uspishnemisto.com.ua/school/50316/", 50316)</f>
        <v>50316</v>
      </c>
      <c r="B315" s="3" t="s">
        <v>1782</v>
      </c>
      <c r="C315" s="3" t="s">
        <v>54</v>
      </c>
      <c r="D315" s="3" t="s">
        <v>32</v>
      </c>
      <c r="E315" s="4" t="s">
        <v>22</v>
      </c>
      <c r="F315" s="4" t="s">
        <v>330</v>
      </c>
      <c r="G315" s="4" t="s">
        <v>1783</v>
      </c>
      <c r="H315" s="3" t="s">
        <v>25</v>
      </c>
      <c r="I315" s="3" t="s">
        <v>1784</v>
      </c>
      <c r="J315" s="3" t="s">
        <v>1785</v>
      </c>
      <c r="K315" s="3"/>
      <c r="L315" s="3" t="s">
        <v>1786</v>
      </c>
      <c r="M315" s="4" t="s">
        <v>1787</v>
      </c>
      <c r="N315" s="3" t="s">
        <v>37</v>
      </c>
      <c r="O315" s="3" t="s">
        <v>52</v>
      </c>
      <c r="P315" s="5">
        <v>24</v>
      </c>
      <c r="Q315" s="5">
        <v>562</v>
      </c>
      <c r="R315" s="5">
        <v>23</v>
      </c>
      <c r="S315" s="5">
        <v>530</v>
      </c>
    </row>
    <row r="316" spans="1:19" ht="28" x14ac:dyDescent="0.15">
      <c r="A316" s="2">
        <f>HYPERLINK("https://open-school.uspishnemisto.com.ua/school/50317/", 50317)</f>
        <v>50317</v>
      </c>
      <c r="B316" s="3" t="s">
        <v>1788</v>
      </c>
      <c r="C316" s="3" t="s">
        <v>54</v>
      </c>
      <c r="D316" s="3" t="s">
        <v>32</v>
      </c>
      <c r="E316" s="4" t="s">
        <v>22</v>
      </c>
      <c r="F316" s="4" t="s">
        <v>1789</v>
      </c>
      <c r="G316" s="4" t="s">
        <v>1790</v>
      </c>
      <c r="H316" s="3" t="s">
        <v>25</v>
      </c>
      <c r="I316" s="3" t="s">
        <v>1791</v>
      </c>
      <c r="J316" s="3" t="s">
        <v>1792</v>
      </c>
      <c r="K316" s="3" t="s">
        <v>1793</v>
      </c>
      <c r="L316" s="3"/>
      <c r="M316" s="4"/>
      <c r="N316" s="3" t="s">
        <v>37</v>
      </c>
      <c r="O316" s="3" t="s">
        <v>52</v>
      </c>
      <c r="P316" s="5">
        <v>10</v>
      </c>
      <c r="Q316" s="5">
        <v>65</v>
      </c>
      <c r="R316" s="5">
        <v>11</v>
      </c>
      <c r="S316" s="5">
        <v>64</v>
      </c>
    </row>
    <row r="317" spans="1:19" ht="28" x14ac:dyDescent="0.15">
      <c r="A317" s="2">
        <f>HYPERLINK("https://open-school.uspishnemisto.com.ua/school/50318/", 50318)</f>
        <v>50318</v>
      </c>
      <c r="B317" s="3" t="s">
        <v>1794</v>
      </c>
      <c r="C317" s="3" t="s">
        <v>54</v>
      </c>
      <c r="D317" s="3" t="s">
        <v>32</v>
      </c>
      <c r="E317" s="4" t="s">
        <v>22</v>
      </c>
      <c r="F317" s="4" t="s">
        <v>1795</v>
      </c>
      <c r="G317" s="4" t="s">
        <v>1796</v>
      </c>
      <c r="H317" s="3" t="s">
        <v>25</v>
      </c>
      <c r="I317" s="3" t="s">
        <v>1797</v>
      </c>
      <c r="J317" s="3" t="s">
        <v>1798</v>
      </c>
      <c r="K317" s="3" t="s">
        <v>1799</v>
      </c>
      <c r="L317" s="3"/>
      <c r="M317" s="4"/>
      <c r="N317" s="3" t="s">
        <v>37</v>
      </c>
      <c r="O317" s="3" t="s">
        <v>46</v>
      </c>
      <c r="P317" s="5">
        <v>11</v>
      </c>
      <c r="Q317" s="5">
        <v>63</v>
      </c>
      <c r="R317" s="5">
        <v>9</v>
      </c>
      <c r="S317" s="5">
        <v>56</v>
      </c>
    </row>
    <row r="318" spans="1:19" ht="28" x14ac:dyDescent="0.15">
      <c r="A318" s="2">
        <f>HYPERLINK("https://open-school.uspishnemisto.com.ua/school/50319/", 50319)</f>
        <v>50319</v>
      </c>
      <c r="B318" s="3" t="s">
        <v>1800</v>
      </c>
      <c r="C318" s="3" t="s">
        <v>31</v>
      </c>
      <c r="D318" s="3" t="s">
        <v>175</v>
      </c>
      <c r="E318" s="4" t="s">
        <v>22</v>
      </c>
      <c r="F318" s="4" t="s">
        <v>1801</v>
      </c>
      <c r="G318" s="4" t="s">
        <v>1802</v>
      </c>
      <c r="H318" s="3" t="s">
        <v>25</v>
      </c>
      <c r="I318" s="3" t="s">
        <v>1803</v>
      </c>
      <c r="J318" s="3" t="s">
        <v>1804</v>
      </c>
      <c r="K318" s="3" t="s">
        <v>1805</v>
      </c>
      <c r="L318" s="3"/>
      <c r="M318" s="4"/>
      <c r="N318" s="3" t="s">
        <v>37</v>
      </c>
      <c r="O318" s="3" t="s">
        <v>38</v>
      </c>
      <c r="P318" s="5">
        <v>9</v>
      </c>
      <c r="Q318" s="5">
        <v>158</v>
      </c>
      <c r="R318" s="5">
        <v>9</v>
      </c>
      <c r="S318" s="5">
        <v>156</v>
      </c>
    </row>
    <row r="319" spans="1:19" ht="28" x14ac:dyDescent="0.15">
      <c r="A319" s="2">
        <f>HYPERLINK("https://open-school.uspishnemisto.com.ua/school/50320/", 50320)</f>
        <v>50320</v>
      </c>
      <c r="B319" s="3" t="s">
        <v>1806</v>
      </c>
      <c r="C319" s="3" t="s">
        <v>31</v>
      </c>
      <c r="D319" s="3" t="s">
        <v>32</v>
      </c>
      <c r="E319" s="4" t="s">
        <v>22</v>
      </c>
      <c r="F319" s="4" t="s">
        <v>1801</v>
      </c>
      <c r="G319" s="4" t="s">
        <v>1802</v>
      </c>
      <c r="H319" s="3" t="s">
        <v>25</v>
      </c>
      <c r="I319" s="3" t="s">
        <v>1803</v>
      </c>
      <c r="J319" s="3" t="s">
        <v>1807</v>
      </c>
      <c r="K319" s="3" t="s">
        <v>1808</v>
      </c>
      <c r="L319" s="3" t="s">
        <v>1809</v>
      </c>
      <c r="M319" s="4"/>
      <c r="N319" s="3" t="s">
        <v>37</v>
      </c>
      <c r="O319" s="3" t="s">
        <v>70</v>
      </c>
      <c r="P319" s="5">
        <v>41</v>
      </c>
      <c r="Q319" s="5">
        <v>955</v>
      </c>
      <c r="R319" s="5">
        <v>39</v>
      </c>
      <c r="S319" s="5">
        <v>910</v>
      </c>
    </row>
    <row r="320" spans="1:19" ht="28" x14ac:dyDescent="0.15">
      <c r="A320" s="2">
        <f>HYPERLINK("https://open-school.uspishnemisto.com.ua/school/50321/", 50321)</f>
        <v>50321</v>
      </c>
      <c r="B320" s="3" t="s">
        <v>1810</v>
      </c>
      <c r="C320" s="3" t="s">
        <v>31</v>
      </c>
      <c r="D320" s="3" t="s">
        <v>32</v>
      </c>
      <c r="E320" s="4" t="s">
        <v>22</v>
      </c>
      <c r="F320" s="4" t="s">
        <v>1801</v>
      </c>
      <c r="G320" s="4" t="s">
        <v>1802</v>
      </c>
      <c r="H320" s="3" t="s">
        <v>25</v>
      </c>
      <c r="I320" s="3" t="s">
        <v>1803</v>
      </c>
      <c r="J320" s="3" t="s">
        <v>1811</v>
      </c>
      <c r="K320" s="3" t="s">
        <v>1812</v>
      </c>
      <c r="L320" s="3" t="s">
        <v>1813</v>
      </c>
      <c r="M320" s="4"/>
      <c r="N320" s="3" t="s">
        <v>37</v>
      </c>
      <c r="O320" s="3" t="s">
        <v>70</v>
      </c>
      <c r="P320" s="5">
        <v>20</v>
      </c>
      <c r="Q320" s="5">
        <v>332</v>
      </c>
      <c r="R320" s="5">
        <v>19</v>
      </c>
      <c r="S320" s="5">
        <v>320</v>
      </c>
    </row>
    <row r="321" spans="1:19" ht="28" x14ac:dyDescent="0.15">
      <c r="A321" s="2">
        <f>HYPERLINK("https://open-school.uspishnemisto.com.ua/school/50322/", 50322)</f>
        <v>50322</v>
      </c>
      <c r="B321" s="3" t="s">
        <v>1814</v>
      </c>
      <c r="C321" s="3" t="s">
        <v>54</v>
      </c>
      <c r="D321" s="3" t="s">
        <v>32</v>
      </c>
      <c r="E321" s="4" t="s">
        <v>22</v>
      </c>
      <c r="F321" s="4" t="s">
        <v>1801</v>
      </c>
      <c r="G321" s="4" t="s">
        <v>1802</v>
      </c>
      <c r="H321" s="3" t="s">
        <v>25</v>
      </c>
      <c r="I321" s="3" t="s">
        <v>1803</v>
      </c>
      <c r="J321" s="3" t="s">
        <v>1815</v>
      </c>
      <c r="K321" s="3" t="s">
        <v>1816</v>
      </c>
      <c r="L321" s="3"/>
      <c r="M321" s="4"/>
      <c r="N321" s="3" t="s">
        <v>37</v>
      </c>
      <c r="O321" s="3" t="s">
        <v>129</v>
      </c>
      <c r="P321" s="5">
        <v>40</v>
      </c>
      <c r="Q321" s="5">
        <v>957</v>
      </c>
      <c r="R321" s="5">
        <v>39</v>
      </c>
      <c r="S321" s="5">
        <v>964</v>
      </c>
    </row>
    <row r="322" spans="1:19" ht="56" x14ac:dyDescent="0.15">
      <c r="A322" s="2">
        <f>HYPERLINK("https://open-school.uspishnemisto.com.ua/school/50324/", 50324)</f>
        <v>50324</v>
      </c>
      <c r="B322" s="3" t="s">
        <v>1817</v>
      </c>
      <c r="C322" s="3" t="s">
        <v>54</v>
      </c>
      <c r="D322" s="3" t="s">
        <v>175</v>
      </c>
      <c r="E322" s="4" t="s">
        <v>22</v>
      </c>
      <c r="F322" s="4" t="s">
        <v>1818</v>
      </c>
      <c r="G322" s="4" t="s">
        <v>1819</v>
      </c>
      <c r="H322" s="3" t="s">
        <v>25</v>
      </c>
      <c r="I322" s="3" t="s">
        <v>1820</v>
      </c>
      <c r="J322" s="3" t="s">
        <v>1821</v>
      </c>
      <c r="K322" s="3" t="s">
        <v>1822</v>
      </c>
      <c r="L322" s="3"/>
      <c r="M322" s="4"/>
      <c r="N322" s="3" t="s">
        <v>37</v>
      </c>
      <c r="O322" s="3" t="s">
        <v>38</v>
      </c>
      <c r="P322" s="5">
        <v>8</v>
      </c>
      <c r="Q322" s="5">
        <v>58</v>
      </c>
      <c r="R322" s="5">
        <v>7</v>
      </c>
      <c r="S322" s="5">
        <v>51</v>
      </c>
    </row>
    <row r="323" spans="1:19" ht="28" x14ac:dyDescent="0.15">
      <c r="A323" s="2">
        <f>HYPERLINK("https://open-school.uspishnemisto.com.ua/school/50325/", 50325)</f>
        <v>50325</v>
      </c>
      <c r="B323" s="3" t="s">
        <v>1823</v>
      </c>
      <c r="C323" s="3" t="s">
        <v>31</v>
      </c>
      <c r="D323" s="3" t="s">
        <v>32</v>
      </c>
      <c r="E323" s="4" t="s">
        <v>22</v>
      </c>
      <c r="F323" s="4" t="s">
        <v>1824</v>
      </c>
      <c r="G323" s="4" t="s">
        <v>1825</v>
      </c>
      <c r="H323" s="3" t="s">
        <v>25</v>
      </c>
      <c r="I323" s="3" t="s">
        <v>1826</v>
      </c>
      <c r="J323" s="3" t="s">
        <v>1827</v>
      </c>
      <c r="K323" s="3" t="s">
        <v>1828</v>
      </c>
      <c r="L323" s="3"/>
      <c r="M323" s="4"/>
      <c r="N323" s="3" t="s">
        <v>37</v>
      </c>
      <c r="O323" s="3" t="s">
        <v>38</v>
      </c>
      <c r="P323" s="5">
        <v>11</v>
      </c>
      <c r="Q323" s="5">
        <v>117</v>
      </c>
      <c r="R323" s="5">
        <v>11</v>
      </c>
      <c r="S323" s="5">
        <v>113</v>
      </c>
    </row>
    <row r="324" spans="1:19" ht="28" x14ac:dyDescent="0.15">
      <c r="A324" s="2">
        <f>HYPERLINK("https://open-school.uspishnemisto.com.ua/school/50326/", 50326)</f>
        <v>50326</v>
      </c>
      <c r="B324" s="3" t="s">
        <v>1829</v>
      </c>
      <c r="C324" s="3" t="s">
        <v>31</v>
      </c>
      <c r="D324" s="3" t="s">
        <v>32</v>
      </c>
      <c r="E324" s="4" t="s">
        <v>22</v>
      </c>
      <c r="F324" s="4" t="s">
        <v>1830</v>
      </c>
      <c r="G324" s="4" t="s">
        <v>1831</v>
      </c>
      <c r="H324" s="3" t="s">
        <v>25</v>
      </c>
      <c r="I324" s="3" t="s">
        <v>1832</v>
      </c>
      <c r="J324" s="3" t="s">
        <v>466</v>
      </c>
      <c r="K324" s="3" t="s">
        <v>1833</v>
      </c>
      <c r="L324" s="3" t="s">
        <v>1834</v>
      </c>
      <c r="M324" s="4"/>
      <c r="N324" s="3" t="s">
        <v>37</v>
      </c>
      <c r="O324" s="3" t="s">
        <v>38</v>
      </c>
      <c r="P324" s="5">
        <v>11</v>
      </c>
      <c r="Q324" s="5">
        <v>113</v>
      </c>
      <c r="R324" s="5">
        <v>11</v>
      </c>
      <c r="S324" s="5">
        <v>115</v>
      </c>
    </row>
    <row r="325" spans="1:19" ht="42" x14ac:dyDescent="0.15">
      <c r="A325" s="2">
        <f>HYPERLINK("https://open-school.uspishnemisto.com.ua/school/50327/", 50327)</f>
        <v>50327</v>
      </c>
      <c r="B325" s="3" t="s">
        <v>1835</v>
      </c>
      <c r="C325" s="3" t="s">
        <v>31</v>
      </c>
      <c r="D325" s="3" t="s">
        <v>32</v>
      </c>
      <c r="E325" s="4" t="s">
        <v>22</v>
      </c>
      <c r="F325" s="4" t="s">
        <v>1836</v>
      </c>
      <c r="G325" s="4" t="s">
        <v>1837</v>
      </c>
      <c r="H325" s="3" t="s">
        <v>25</v>
      </c>
      <c r="I325" s="3" t="s">
        <v>1838</v>
      </c>
      <c r="J325" s="3" t="s">
        <v>1839</v>
      </c>
      <c r="K325" s="3" t="s">
        <v>1840</v>
      </c>
      <c r="L325" s="3"/>
      <c r="M325" s="4"/>
      <c r="N325" s="3" t="s">
        <v>37</v>
      </c>
      <c r="O325" s="3" t="s">
        <v>38</v>
      </c>
      <c r="P325" s="5">
        <v>14</v>
      </c>
      <c r="Q325" s="5">
        <v>242</v>
      </c>
      <c r="R325" s="5">
        <v>16</v>
      </c>
      <c r="S325" s="5">
        <v>248</v>
      </c>
    </row>
    <row r="326" spans="1:19" ht="28" x14ac:dyDescent="0.15">
      <c r="A326" s="2">
        <f>HYPERLINK("https://open-school.uspishnemisto.com.ua/school/50328/", 50328)</f>
        <v>50328</v>
      </c>
      <c r="B326" s="3" t="s">
        <v>1841</v>
      </c>
      <c r="C326" s="3" t="s">
        <v>31</v>
      </c>
      <c r="D326" s="3" t="s">
        <v>32</v>
      </c>
      <c r="E326" s="4" t="s">
        <v>22</v>
      </c>
      <c r="F326" s="4" t="s">
        <v>1842</v>
      </c>
      <c r="G326" s="4" t="s">
        <v>1843</v>
      </c>
      <c r="H326" s="3" t="s">
        <v>25</v>
      </c>
      <c r="I326" s="3" t="s">
        <v>1844</v>
      </c>
      <c r="J326" s="3" t="s">
        <v>1845</v>
      </c>
      <c r="K326" s="3" t="s">
        <v>1846</v>
      </c>
      <c r="L326" s="3"/>
      <c r="M326" s="4"/>
      <c r="N326" s="3" t="s">
        <v>37</v>
      </c>
      <c r="O326" s="3" t="s">
        <v>38</v>
      </c>
      <c r="P326" s="5">
        <v>11</v>
      </c>
      <c r="Q326" s="5">
        <v>161</v>
      </c>
      <c r="R326" s="5">
        <v>11</v>
      </c>
      <c r="S326" s="5">
        <v>152</v>
      </c>
    </row>
    <row r="327" spans="1:19" ht="28" x14ac:dyDescent="0.15">
      <c r="A327" s="2">
        <f>HYPERLINK("https://open-school.uspishnemisto.com.ua/school/50329/", 50329)</f>
        <v>50329</v>
      </c>
      <c r="B327" s="3" t="s">
        <v>1847</v>
      </c>
      <c r="C327" s="3" t="s">
        <v>31</v>
      </c>
      <c r="D327" s="3" t="s">
        <v>175</v>
      </c>
      <c r="E327" s="4" t="s">
        <v>22</v>
      </c>
      <c r="F327" s="4" t="s">
        <v>1848</v>
      </c>
      <c r="G327" s="4" t="s">
        <v>1849</v>
      </c>
      <c r="H327" s="3" t="s">
        <v>25</v>
      </c>
      <c r="I327" s="3" t="s">
        <v>1850</v>
      </c>
      <c r="J327" s="3" t="s">
        <v>1851</v>
      </c>
      <c r="K327" s="3" t="s">
        <v>1852</v>
      </c>
      <c r="L327" s="3"/>
      <c r="M327" s="4"/>
      <c r="N327" s="3" t="s">
        <v>37</v>
      </c>
      <c r="O327" s="3" t="s">
        <v>38</v>
      </c>
      <c r="P327" s="5">
        <v>8</v>
      </c>
      <c r="Q327" s="5">
        <v>59</v>
      </c>
      <c r="R327" s="5">
        <v>8</v>
      </c>
      <c r="S327" s="5">
        <v>59</v>
      </c>
    </row>
    <row r="328" spans="1:19" ht="56" x14ac:dyDescent="0.15">
      <c r="A328" s="2">
        <f>HYPERLINK("https://open-school.uspishnemisto.com.ua/school/50330/", 50330)</f>
        <v>50330</v>
      </c>
      <c r="B328" s="3" t="s">
        <v>1853</v>
      </c>
      <c r="C328" s="3" t="s">
        <v>54</v>
      </c>
      <c r="D328" s="3" t="s">
        <v>175</v>
      </c>
      <c r="E328" s="4" t="s">
        <v>22</v>
      </c>
      <c r="F328" s="4" t="s">
        <v>1854</v>
      </c>
      <c r="G328" s="4" t="s">
        <v>1855</v>
      </c>
      <c r="H328" s="3" t="s">
        <v>25</v>
      </c>
      <c r="I328" s="3" t="s">
        <v>1856</v>
      </c>
      <c r="J328" s="3" t="s">
        <v>1857</v>
      </c>
      <c r="K328" s="3" t="s">
        <v>1858</v>
      </c>
      <c r="L328" s="3"/>
      <c r="M328" s="4"/>
      <c r="N328" s="3" t="s">
        <v>37</v>
      </c>
      <c r="O328" s="3" t="s">
        <v>38</v>
      </c>
      <c r="P328" s="5">
        <v>5</v>
      </c>
      <c r="Q328" s="5">
        <v>34</v>
      </c>
      <c r="R328" s="5">
        <v>5</v>
      </c>
      <c r="S328" s="5">
        <v>38</v>
      </c>
    </row>
    <row r="329" spans="1:19" ht="28" x14ac:dyDescent="0.15">
      <c r="A329" s="2">
        <f>HYPERLINK("https://open-school.uspishnemisto.com.ua/school/50331/", 50331)</f>
        <v>50331</v>
      </c>
      <c r="B329" s="3" t="s">
        <v>1859</v>
      </c>
      <c r="C329" s="3" t="s">
        <v>31</v>
      </c>
      <c r="D329" s="3" t="s">
        <v>32</v>
      </c>
      <c r="E329" s="4" t="s">
        <v>22</v>
      </c>
      <c r="F329" s="4" t="s">
        <v>1860</v>
      </c>
      <c r="G329" s="4" t="s">
        <v>1861</v>
      </c>
      <c r="H329" s="3" t="s">
        <v>25</v>
      </c>
      <c r="I329" s="3" t="s">
        <v>1862</v>
      </c>
      <c r="J329" s="3" t="s">
        <v>466</v>
      </c>
      <c r="K329" s="3" t="s">
        <v>1863</v>
      </c>
      <c r="L329" s="3"/>
      <c r="M329" s="4"/>
      <c r="N329" s="3" t="s">
        <v>37</v>
      </c>
      <c r="O329" s="3" t="s">
        <v>38</v>
      </c>
      <c r="P329" s="5">
        <v>10</v>
      </c>
      <c r="Q329" s="5">
        <v>137</v>
      </c>
      <c r="R329" s="5">
        <v>10</v>
      </c>
      <c r="S329" s="5">
        <v>144</v>
      </c>
    </row>
    <row r="330" spans="1:19" ht="28" x14ac:dyDescent="0.15">
      <c r="A330" s="2">
        <f>HYPERLINK("https://open-school.uspishnemisto.com.ua/school/50332/", 50332)</f>
        <v>50332</v>
      </c>
      <c r="B330" s="3" t="s">
        <v>1864</v>
      </c>
      <c r="C330" s="3" t="s">
        <v>54</v>
      </c>
      <c r="D330" s="3" t="s">
        <v>175</v>
      </c>
      <c r="E330" s="4" t="s">
        <v>22</v>
      </c>
      <c r="F330" s="4" t="s">
        <v>1865</v>
      </c>
      <c r="G330" s="4" t="s">
        <v>1866</v>
      </c>
      <c r="H330" s="3" t="s">
        <v>25</v>
      </c>
      <c r="I330" s="3" t="s">
        <v>1867</v>
      </c>
      <c r="J330" s="3" t="s">
        <v>1868</v>
      </c>
      <c r="K330" s="3" t="s">
        <v>1869</v>
      </c>
      <c r="L330" s="3"/>
      <c r="M330" s="4"/>
      <c r="N330" s="3" t="s">
        <v>37</v>
      </c>
      <c r="O330" s="3" t="s">
        <v>38</v>
      </c>
      <c r="P330" s="5">
        <v>9</v>
      </c>
      <c r="Q330" s="5">
        <v>54</v>
      </c>
      <c r="R330" s="5">
        <v>8</v>
      </c>
      <c r="S330" s="5">
        <v>53</v>
      </c>
    </row>
    <row r="331" spans="1:19" ht="28" x14ac:dyDescent="0.15">
      <c r="A331" s="2">
        <f>HYPERLINK("https://open-school.uspishnemisto.com.ua/school/50333/", 50333)</f>
        <v>50333</v>
      </c>
      <c r="B331" s="3" t="s">
        <v>1870</v>
      </c>
      <c r="C331" s="3" t="s">
        <v>31</v>
      </c>
      <c r="D331" s="3" t="s">
        <v>32</v>
      </c>
      <c r="E331" s="4" t="s">
        <v>22</v>
      </c>
      <c r="F331" s="4" t="s">
        <v>1871</v>
      </c>
      <c r="G331" s="4" t="s">
        <v>1872</v>
      </c>
      <c r="H331" s="3" t="s">
        <v>25</v>
      </c>
      <c r="I331" s="3" t="s">
        <v>1873</v>
      </c>
      <c r="J331" s="3" t="s">
        <v>1874</v>
      </c>
      <c r="K331" s="3" t="s">
        <v>1875</v>
      </c>
      <c r="L331" s="3" t="s">
        <v>1876</v>
      </c>
      <c r="M331" s="4"/>
      <c r="N331" s="3" t="s">
        <v>37</v>
      </c>
      <c r="O331" s="3" t="s">
        <v>38</v>
      </c>
      <c r="P331" s="5">
        <v>22</v>
      </c>
      <c r="Q331" s="5">
        <v>434</v>
      </c>
      <c r="R331" s="5">
        <v>22</v>
      </c>
      <c r="S331" s="5">
        <v>435</v>
      </c>
    </row>
    <row r="332" spans="1:19" ht="42" x14ac:dyDescent="0.15">
      <c r="A332" s="2">
        <f>HYPERLINK("https://open-school.uspishnemisto.com.ua/school/50334/", 50334)</f>
        <v>50334</v>
      </c>
      <c r="B332" s="3" t="s">
        <v>1877</v>
      </c>
      <c r="C332" s="3" t="s">
        <v>181</v>
      </c>
      <c r="D332" s="3" t="s">
        <v>175</v>
      </c>
      <c r="E332" s="4" t="s">
        <v>22</v>
      </c>
      <c r="F332" s="4" t="s">
        <v>1871</v>
      </c>
      <c r="G332" s="4" t="s">
        <v>1872</v>
      </c>
      <c r="H332" s="3" t="s">
        <v>25</v>
      </c>
      <c r="I332" s="3" t="s">
        <v>1873</v>
      </c>
      <c r="J332" s="3" t="s">
        <v>903</v>
      </c>
      <c r="K332" s="3" t="s">
        <v>1878</v>
      </c>
      <c r="L332" s="3"/>
      <c r="M332" s="4" t="s">
        <v>1879</v>
      </c>
      <c r="N332" s="3" t="s">
        <v>37</v>
      </c>
      <c r="O332" s="3"/>
      <c r="P332" s="5">
        <v>10</v>
      </c>
      <c r="Q332" s="5">
        <v>93</v>
      </c>
      <c r="R332" s="5">
        <v>10</v>
      </c>
      <c r="S332" s="5">
        <v>93</v>
      </c>
    </row>
    <row r="333" spans="1:19" ht="28" x14ac:dyDescent="0.15">
      <c r="A333" s="2">
        <f>HYPERLINK("https://open-school.uspishnemisto.com.ua/school/50335/", 50335)</f>
        <v>50335</v>
      </c>
      <c r="B333" s="3" t="s">
        <v>1880</v>
      </c>
      <c r="C333" s="3" t="s">
        <v>31</v>
      </c>
      <c r="D333" s="3" t="s">
        <v>32</v>
      </c>
      <c r="E333" s="4" t="s">
        <v>22</v>
      </c>
      <c r="F333" s="4" t="s">
        <v>1881</v>
      </c>
      <c r="G333" s="4" t="s">
        <v>1882</v>
      </c>
      <c r="H333" s="3" t="s">
        <v>25</v>
      </c>
      <c r="I333" s="3" t="s">
        <v>1883</v>
      </c>
      <c r="J333" s="3" t="s">
        <v>1884</v>
      </c>
      <c r="K333" s="3" t="s">
        <v>1885</v>
      </c>
      <c r="L333" s="3"/>
      <c r="M333" s="4"/>
      <c r="N333" s="3" t="s">
        <v>37</v>
      </c>
      <c r="O333" s="3" t="s">
        <v>38</v>
      </c>
      <c r="P333" s="5">
        <v>9</v>
      </c>
      <c r="Q333" s="5">
        <v>89</v>
      </c>
      <c r="R333" s="5">
        <v>9</v>
      </c>
      <c r="S333" s="5">
        <v>86</v>
      </c>
    </row>
    <row r="334" spans="1:19" ht="28" x14ac:dyDescent="0.15">
      <c r="A334" s="2">
        <f>HYPERLINK("https://open-school.uspishnemisto.com.ua/school/50336/", 50336)</f>
        <v>50336</v>
      </c>
      <c r="B334" s="3" t="s">
        <v>1886</v>
      </c>
      <c r="C334" s="3" t="s">
        <v>31</v>
      </c>
      <c r="D334" s="3" t="s">
        <v>175</v>
      </c>
      <c r="E334" s="4" t="s">
        <v>22</v>
      </c>
      <c r="F334" s="4" t="s">
        <v>1887</v>
      </c>
      <c r="G334" s="4" t="s">
        <v>1888</v>
      </c>
      <c r="H334" s="3" t="s">
        <v>25</v>
      </c>
      <c r="I334" s="3" t="s">
        <v>1889</v>
      </c>
      <c r="J334" s="3" t="s">
        <v>466</v>
      </c>
      <c r="K334" s="3" t="s">
        <v>1890</v>
      </c>
      <c r="L334" s="3"/>
      <c r="M334" s="4"/>
      <c r="N334" s="3" t="s">
        <v>37</v>
      </c>
      <c r="O334" s="3" t="s">
        <v>70</v>
      </c>
      <c r="P334" s="5">
        <v>9</v>
      </c>
      <c r="Q334" s="5">
        <v>70</v>
      </c>
      <c r="R334" s="5">
        <v>9</v>
      </c>
      <c r="S334" s="5">
        <v>65</v>
      </c>
    </row>
    <row r="335" spans="1:19" ht="42" x14ac:dyDescent="0.15">
      <c r="A335" s="2">
        <f>HYPERLINK("https://open-school.uspishnemisto.com.ua/school/50337/", 50337)</f>
        <v>50337</v>
      </c>
      <c r="B335" s="3" t="s">
        <v>1891</v>
      </c>
      <c r="C335" s="3" t="s">
        <v>54</v>
      </c>
      <c r="D335" s="3" t="s">
        <v>175</v>
      </c>
      <c r="E335" s="4" t="s">
        <v>22</v>
      </c>
      <c r="F335" s="4" t="s">
        <v>1887</v>
      </c>
      <c r="G335" s="4" t="s">
        <v>1892</v>
      </c>
      <c r="H335" s="3" t="s">
        <v>25</v>
      </c>
      <c r="I335" s="3" t="s">
        <v>1893</v>
      </c>
      <c r="J335" s="3" t="s">
        <v>1894</v>
      </c>
      <c r="K335" s="3" t="s">
        <v>1895</v>
      </c>
      <c r="L335" s="3"/>
      <c r="M335" s="4"/>
      <c r="N335" s="3" t="s">
        <v>37</v>
      </c>
      <c r="O335" s="3" t="s">
        <v>38</v>
      </c>
      <c r="P335" s="5">
        <v>3</v>
      </c>
      <c r="Q335" s="5">
        <v>29</v>
      </c>
      <c r="R335" s="5">
        <v>4</v>
      </c>
      <c r="S335" s="5">
        <v>34</v>
      </c>
    </row>
    <row r="336" spans="1:19" ht="28" x14ac:dyDescent="0.15">
      <c r="A336" s="2">
        <f>HYPERLINK("https://open-school.uspishnemisto.com.ua/school/50338/", 50338)</f>
        <v>50338</v>
      </c>
      <c r="B336" s="3" t="s">
        <v>1896</v>
      </c>
      <c r="C336" s="3" t="s">
        <v>31</v>
      </c>
      <c r="D336" s="3" t="s">
        <v>32</v>
      </c>
      <c r="E336" s="4" t="s">
        <v>22</v>
      </c>
      <c r="F336" s="4" t="s">
        <v>1897</v>
      </c>
      <c r="G336" s="4" t="s">
        <v>1898</v>
      </c>
      <c r="H336" s="3" t="s">
        <v>25</v>
      </c>
      <c r="I336" s="3" t="s">
        <v>1899</v>
      </c>
      <c r="J336" s="3" t="s">
        <v>1900</v>
      </c>
      <c r="K336" s="3" t="s">
        <v>1901</v>
      </c>
      <c r="L336" s="3"/>
      <c r="M336" s="4"/>
      <c r="N336" s="3" t="s">
        <v>37</v>
      </c>
      <c r="O336" s="3" t="s">
        <v>38</v>
      </c>
      <c r="P336" s="5">
        <v>10</v>
      </c>
      <c r="Q336" s="5">
        <v>116</v>
      </c>
      <c r="R336" s="5">
        <v>10</v>
      </c>
      <c r="S336" s="5">
        <v>115</v>
      </c>
    </row>
    <row r="337" spans="1:19" ht="28" x14ac:dyDescent="0.15">
      <c r="A337" s="2">
        <f>HYPERLINK("https://open-school.uspishnemisto.com.ua/school/50339/", 50339)</f>
        <v>50339</v>
      </c>
      <c r="B337" s="3" t="s">
        <v>1902</v>
      </c>
      <c r="C337" s="3" t="s">
        <v>31</v>
      </c>
      <c r="D337" s="3" t="s">
        <v>32</v>
      </c>
      <c r="E337" s="4" t="s">
        <v>22</v>
      </c>
      <c r="F337" s="4" t="s">
        <v>1903</v>
      </c>
      <c r="G337" s="4" t="s">
        <v>1904</v>
      </c>
      <c r="H337" s="3" t="s">
        <v>25</v>
      </c>
      <c r="I337" s="3" t="s">
        <v>1905</v>
      </c>
      <c r="J337" s="3" t="s">
        <v>1906</v>
      </c>
      <c r="K337" s="3" t="s">
        <v>1907</v>
      </c>
      <c r="L337" s="3" t="s">
        <v>1908</v>
      </c>
      <c r="M337" s="4"/>
      <c r="N337" s="3" t="s">
        <v>37</v>
      </c>
      <c r="O337" s="3" t="s">
        <v>38</v>
      </c>
      <c r="P337" s="5">
        <v>18</v>
      </c>
      <c r="Q337" s="5">
        <v>361</v>
      </c>
      <c r="R337" s="5">
        <v>18</v>
      </c>
      <c r="S337" s="5">
        <v>366</v>
      </c>
    </row>
    <row r="338" spans="1:19" ht="42" x14ac:dyDescent="0.15">
      <c r="A338" s="2">
        <f>HYPERLINK("https://open-school.uspishnemisto.com.ua/school/50340/", 50340)</f>
        <v>50340</v>
      </c>
      <c r="B338" s="3" t="s">
        <v>1909</v>
      </c>
      <c r="C338" s="3" t="s">
        <v>54</v>
      </c>
      <c r="D338" s="3" t="s">
        <v>175</v>
      </c>
      <c r="E338" s="4" t="s">
        <v>22</v>
      </c>
      <c r="F338" s="4" t="s">
        <v>1910</v>
      </c>
      <c r="G338" s="4" t="s">
        <v>1911</v>
      </c>
      <c r="H338" s="3" t="s">
        <v>25</v>
      </c>
      <c r="I338" s="3" t="s">
        <v>1912</v>
      </c>
      <c r="J338" s="3" t="s">
        <v>1913</v>
      </c>
      <c r="K338" s="3" t="s">
        <v>1914</v>
      </c>
      <c r="L338" s="3"/>
      <c r="M338" s="4"/>
      <c r="N338" s="3" t="s">
        <v>37</v>
      </c>
      <c r="O338" s="3" t="s">
        <v>38</v>
      </c>
      <c r="P338" s="5">
        <v>3</v>
      </c>
      <c r="Q338" s="5">
        <v>25</v>
      </c>
      <c r="R338" s="5">
        <v>3</v>
      </c>
      <c r="S338" s="5">
        <v>31</v>
      </c>
    </row>
    <row r="339" spans="1:19" ht="56" x14ac:dyDescent="0.15">
      <c r="A339" s="2">
        <f>HYPERLINK("https://open-school.uspishnemisto.com.ua/school/50341/", 50341)</f>
        <v>50341</v>
      </c>
      <c r="B339" s="3" t="s">
        <v>1915</v>
      </c>
      <c r="C339" s="3" t="s">
        <v>54</v>
      </c>
      <c r="D339" s="3" t="s">
        <v>32</v>
      </c>
      <c r="E339" s="4" t="s">
        <v>22</v>
      </c>
      <c r="F339" s="4" t="s">
        <v>1916</v>
      </c>
      <c r="G339" s="4" t="s">
        <v>1917</v>
      </c>
      <c r="H339" s="3" t="s">
        <v>25</v>
      </c>
      <c r="I339" s="3" t="s">
        <v>1918</v>
      </c>
      <c r="J339" s="3" t="s">
        <v>1919</v>
      </c>
      <c r="K339" s="3" t="s">
        <v>1920</v>
      </c>
      <c r="L339" s="3"/>
      <c r="M339" s="4"/>
      <c r="N339" s="3" t="s">
        <v>37</v>
      </c>
      <c r="O339" s="3" t="s">
        <v>70</v>
      </c>
      <c r="P339" s="5">
        <v>10</v>
      </c>
      <c r="Q339" s="5">
        <v>98</v>
      </c>
      <c r="R339" s="5">
        <v>11</v>
      </c>
      <c r="S339" s="5">
        <v>96</v>
      </c>
    </row>
    <row r="340" spans="1:19" ht="56" x14ac:dyDescent="0.15">
      <c r="A340" s="2">
        <f>HYPERLINK("https://open-school.uspishnemisto.com.ua/school/50342/", 50342)</f>
        <v>50342</v>
      </c>
      <c r="B340" s="3" t="s">
        <v>1921</v>
      </c>
      <c r="C340" s="3" t="s">
        <v>54</v>
      </c>
      <c r="D340" s="3" t="s">
        <v>32</v>
      </c>
      <c r="E340" s="4" t="s">
        <v>22</v>
      </c>
      <c r="F340" s="4" t="s">
        <v>1922</v>
      </c>
      <c r="G340" s="4" t="s">
        <v>1923</v>
      </c>
      <c r="H340" s="3" t="s">
        <v>25</v>
      </c>
      <c r="I340" s="3" t="s">
        <v>1924</v>
      </c>
      <c r="J340" s="3" t="s">
        <v>466</v>
      </c>
      <c r="K340" s="3" t="s">
        <v>1925</v>
      </c>
      <c r="L340" s="3"/>
      <c r="M340" s="4"/>
      <c r="N340" s="3" t="s">
        <v>37</v>
      </c>
      <c r="O340" s="3" t="s">
        <v>38</v>
      </c>
      <c r="P340" s="5">
        <v>8</v>
      </c>
      <c r="Q340" s="5">
        <v>67</v>
      </c>
      <c r="R340" s="5">
        <v>9</v>
      </c>
      <c r="S340" s="5">
        <v>69</v>
      </c>
    </row>
    <row r="341" spans="1:19" ht="28" x14ac:dyDescent="0.15">
      <c r="A341" s="2">
        <f>HYPERLINK("https://open-school.uspishnemisto.com.ua/school/50343/", 50343)</f>
        <v>50343</v>
      </c>
      <c r="B341" s="3" t="s">
        <v>1926</v>
      </c>
      <c r="C341" s="3" t="s">
        <v>31</v>
      </c>
      <c r="D341" s="3" t="s">
        <v>175</v>
      </c>
      <c r="E341" s="4" t="s">
        <v>22</v>
      </c>
      <c r="F341" s="4" t="s">
        <v>1927</v>
      </c>
      <c r="G341" s="4" t="s">
        <v>1928</v>
      </c>
      <c r="H341" s="3" t="s">
        <v>25</v>
      </c>
      <c r="I341" s="3" t="s">
        <v>1929</v>
      </c>
      <c r="J341" s="3" t="s">
        <v>1930</v>
      </c>
      <c r="K341" s="3" t="s">
        <v>1931</v>
      </c>
      <c r="L341" s="3"/>
      <c r="M341" s="4"/>
      <c r="N341" s="3" t="s">
        <v>37</v>
      </c>
      <c r="O341" s="3" t="s">
        <v>70</v>
      </c>
      <c r="P341" s="5">
        <v>7</v>
      </c>
      <c r="Q341" s="5">
        <v>40</v>
      </c>
      <c r="R341" s="5">
        <v>7</v>
      </c>
      <c r="S341" s="5">
        <v>41</v>
      </c>
    </row>
    <row r="342" spans="1:19" ht="42" x14ac:dyDescent="0.15">
      <c r="A342" s="2">
        <f>HYPERLINK("https://open-school.uspishnemisto.com.ua/school/50344/", 50344)</f>
        <v>50344</v>
      </c>
      <c r="B342" s="3" t="s">
        <v>1932</v>
      </c>
      <c r="C342" s="3" t="s">
        <v>54</v>
      </c>
      <c r="D342" s="3" t="s">
        <v>32</v>
      </c>
      <c r="E342" s="4" t="s">
        <v>22</v>
      </c>
      <c r="F342" s="4" t="s">
        <v>1933</v>
      </c>
      <c r="G342" s="4" t="s">
        <v>1934</v>
      </c>
      <c r="H342" s="3" t="s">
        <v>25</v>
      </c>
      <c r="I342" s="3" t="s">
        <v>1935</v>
      </c>
      <c r="J342" s="3" t="s">
        <v>817</v>
      </c>
      <c r="K342" s="3" t="s">
        <v>1936</v>
      </c>
      <c r="L342" s="3"/>
      <c r="M342" s="4"/>
      <c r="N342" s="3" t="s">
        <v>37</v>
      </c>
      <c r="O342" s="3" t="s">
        <v>38</v>
      </c>
      <c r="P342" s="5">
        <v>8</v>
      </c>
      <c r="Q342" s="5">
        <v>57</v>
      </c>
      <c r="R342" s="5">
        <v>7</v>
      </c>
      <c r="S342" s="5">
        <v>56</v>
      </c>
    </row>
    <row r="343" spans="1:19" ht="28" x14ac:dyDescent="0.15">
      <c r="A343" s="2">
        <f>HYPERLINK("https://open-school.uspishnemisto.com.ua/school/50345/", 50345)</f>
        <v>50345</v>
      </c>
      <c r="B343" s="3" t="s">
        <v>1937</v>
      </c>
      <c r="C343" s="3" t="s">
        <v>31</v>
      </c>
      <c r="D343" s="3" t="s">
        <v>175</v>
      </c>
      <c r="E343" s="4" t="s">
        <v>253</v>
      </c>
      <c r="F343" s="4" t="s">
        <v>1938</v>
      </c>
      <c r="G343" s="4" t="s">
        <v>1939</v>
      </c>
      <c r="H343" s="3" t="s">
        <v>25</v>
      </c>
      <c r="I343" s="3" t="s">
        <v>1940</v>
      </c>
      <c r="J343" s="3" t="s">
        <v>466</v>
      </c>
      <c r="K343" s="3" t="s">
        <v>1941</v>
      </c>
      <c r="L343" s="3"/>
      <c r="M343" s="4"/>
      <c r="N343" s="3" t="s">
        <v>37</v>
      </c>
      <c r="O343" s="3" t="s">
        <v>38</v>
      </c>
      <c r="P343" s="5">
        <v>8</v>
      </c>
      <c r="Q343" s="5">
        <v>53</v>
      </c>
      <c r="R343" s="5">
        <v>7</v>
      </c>
      <c r="S343" s="5">
        <v>48</v>
      </c>
    </row>
    <row r="344" spans="1:19" ht="28" x14ac:dyDescent="0.15">
      <c r="A344" s="2">
        <f>HYPERLINK("https://open-school.uspishnemisto.com.ua/school/50346/", 50346)</f>
        <v>50346</v>
      </c>
      <c r="B344" s="3" t="s">
        <v>1942</v>
      </c>
      <c r="C344" s="3" t="s">
        <v>31</v>
      </c>
      <c r="D344" s="3" t="s">
        <v>32</v>
      </c>
      <c r="E344" s="4" t="s">
        <v>22</v>
      </c>
      <c r="F344" s="4" t="s">
        <v>1943</v>
      </c>
      <c r="G344" s="4" t="s">
        <v>1944</v>
      </c>
      <c r="H344" s="3" t="s">
        <v>25</v>
      </c>
      <c r="I344" s="3" t="s">
        <v>1945</v>
      </c>
      <c r="J344" s="3" t="s">
        <v>1946</v>
      </c>
      <c r="K344" s="3" t="s">
        <v>1947</v>
      </c>
      <c r="L344" s="3"/>
      <c r="M344" s="4"/>
      <c r="N344" s="3" t="s">
        <v>37</v>
      </c>
      <c r="O344" s="3" t="s">
        <v>38</v>
      </c>
      <c r="P344" s="5">
        <v>11</v>
      </c>
      <c r="Q344" s="5">
        <v>145</v>
      </c>
      <c r="R344" s="5">
        <v>11</v>
      </c>
      <c r="S344" s="5">
        <v>132</v>
      </c>
    </row>
    <row r="345" spans="1:19" ht="28" x14ac:dyDescent="0.15">
      <c r="A345" s="2">
        <f>HYPERLINK("https://open-school.uspishnemisto.com.ua/school/50347/", 50347)</f>
        <v>50347</v>
      </c>
      <c r="B345" s="3" t="s">
        <v>1948</v>
      </c>
      <c r="C345" s="3" t="s">
        <v>31</v>
      </c>
      <c r="D345" s="3" t="s">
        <v>32</v>
      </c>
      <c r="E345" s="4" t="s">
        <v>22</v>
      </c>
      <c r="F345" s="4" t="s">
        <v>1949</v>
      </c>
      <c r="G345" s="4" t="s">
        <v>1950</v>
      </c>
      <c r="H345" s="3" t="s">
        <v>25</v>
      </c>
      <c r="I345" s="3" t="s">
        <v>1587</v>
      </c>
      <c r="J345" s="3" t="s">
        <v>554</v>
      </c>
      <c r="K345" s="3" t="s">
        <v>1951</v>
      </c>
      <c r="L345" s="3"/>
      <c r="M345" s="4"/>
      <c r="N345" s="3" t="s">
        <v>37</v>
      </c>
      <c r="O345" s="3" t="s">
        <v>38</v>
      </c>
      <c r="P345" s="5">
        <v>20</v>
      </c>
      <c r="Q345" s="5">
        <v>397</v>
      </c>
      <c r="R345" s="5">
        <v>19</v>
      </c>
      <c r="S345" s="5">
        <v>391</v>
      </c>
    </row>
    <row r="346" spans="1:19" ht="28" x14ac:dyDescent="0.15">
      <c r="A346" s="2">
        <f>HYPERLINK("https://open-school.uspishnemisto.com.ua/school/50348/", 50348)</f>
        <v>50348</v>
      </c>
      <c r="B346" s="3" t="s">
        <v>1952</v>
      </c>
      <c r="C346" s="3" t="s">
        <v>31</v>
      </c>
      <c r="D346" s="3" t="s">
        <v>32</v>
      </c>
      <c r="E346" s="4" t="s">
        <v>22</v>
      </c>
      <c r="F346" s="4" t="s">
        <v>1953</v>
      </c>
      <c r="G346" s="4" t="s">
        <v>1954</v>
      </c>
      <c r="H346" s="3" t="s">
        <v>25</v>
      </c>
      <c r="I346" s="3" t="s">
        <v>1955</v>
      </c>
      <c r="J346" s="3" t="s">
        <v>946</v>
      </c>
      <c r="K346" s="3" t="s">
        <v>1956</v>
      </c>
      <c r="L346" s="3" t="s">
        <v>1957</v>
      </c>
      <c r="M346" s="4"/>
      <c r="N346" s="3" t="s">
        <v>37</v>
      </c>
      <c r="O346" s="3" t="s">
        <v>38</v>
      </c>
      <c r="P346" s="5">
        <v>11</v>
      </c>
      <c r="Q346" s="5">
        <v>79</v>
      </c>
      <c r="R346" s="5">
        <v>11</v>
      </c>
      <c r="S346" s="5">
        <v>89</v>
      </c>
    </row>
    <row r="347" spans="1:19" ht="28" x14ac:dyDescent="0.15">
      <c r="A347" s="2">
        <f>HYPERLINK("https://open-school.uspishnemisto.com.ua/school/50349/", 50349)</f>
        <v>50349</v>
      </c>
      <c r="B347" s="3" t="s">
        <v>1958</v>
      </c>
      <c r="C347" s="3" t="s">
        <v>31</v>
      </c>
      <c r="D347" s="3" t="s">
        <v>32</v>
      </c>
      <c r="E347" s="4" t="s">
        <v>22</v>
      </c>
      <c r="F347" s="4" t="s">
        <v>1953</v>
      </c>
      <c r="G347" s="4" t="s">
        <v>1954</v>
      </c>
      <c r="H347" s="3" t="s">
        <v>25</v>
      </c>
      <c r="I347" s="3" t="s">
        <v>1955</v>
      </c>
      <c r="J347" s="3" t="s">
        <v>1959</v>
      </c>
      <c r="K347" s="3" t="s">
        <v>1960</v>
      </c>
      <c r="L347" s="3"/>
      <c r="M347" s="4"/>
      <c r="N347" s="3" t="s">
        <v>37</v>
      </c>
      <c r="O347" s="3" t="s">
        <v>38</v>
      </c>
      <c r="P347" s="5">
        <v>11</v>
      </c>
      <c r="Q347" s="5">
        <v>81</v>
      </c>
      <c r="R347" s="5">
        <v>10</v>
      </c>
      <c r="S347" s="5">
        <v>87</v>
      </c>
    </row>
    <row r="348" spans="1:19" ht="56" x14ac:dyDescent="0.15">
      <c r="A348" s="2">
        <f>HYPERLINK("https://open-school.uspishnemisto.com.ua/school/50350/", 50350)</f>
        <v>50350</v>
      </c>
      <c r="B348" s="3" t="s">
        <v>1961</v>
      </c>
      <c r="C348" s="3" t="s">
        <v>54</v>
      </c>
      <c r="D348" s="3" t="s">
        <v>175</v>
      </c>
      <c r="E348" s="4" t="s">
        <v>22</v>
      </c>
      <c r="F348" s="4" t="s">
        <v>1962</v>
      </c>
      <c r="G348" s="4" t="s">
        <v>1963</v>
      </c>
      <c r="H348" s="3" t="s">
        <v>25</v>
      </c>
      <c r="I348" s="3" t="s">
        <v>1964</v>
      </c>
      <c r="J348" s="3" t="s">
        <v>1965</v>
      </c>
      <c r="K348" s="3" t="s">
        <v>1966</v>
      </c>
      <c r="L348" s="3"/>
      <c r="M348" s="4"/>
      <c r="N348" s="3" t="s">
        <v>37</v>
      </c>
      <c r="O348" s="3" t="s">
        <v>38</v>
      </c>
      <c r="P348" s="5">
        <v>6</v>
      </c>
      <c r="Q348" s="5">
        <v>33</v>
      </c>
      <c r="R348" s="5">
        <v>6</v>
      </c>
      <c r="S348" s="5">
        <v>38</v>
      </c>
    </row>
    <row r="349" spans="1:19" ht="56" x14ac:dyDescent="0.15">
      <c r="A349" s="2">
        <f>HYPERLINK("https://open-school.uspishnemisto.com.ua/school/50351/", 50351)</f>
        <v>50351</v>
      </c>
      <c r="B349" s="3" t="s">
        <v>1967</v>
      </c>
      <c r="C349" s="3" t="s">
        <v>54</v>
      </c>
      <c r="D349" s="3" t="s">
        <v>32</v>
      </c>
      <c r="E349" s="4" t="s">
        <v>22</v>
      </c>
      <c r="F349" s="4" t="s">
        <v>1968</v>
      </c>
      <c r="G349" s="4" t="s">
        <v>1969</v>
      </c>
      <c r="H349" s="3" t="s">
        <v>25</v>
      </c>
      <c r="I349" s="3" t="s">
        <v>987</v>
      </c>
      <c r="J349" s="3" t="s">
        <v>1970</v>
      </c>
      <c r="K349" s="3" t="s">
        <v>1971</v>
      </c>
      <c r="L349" s="3"/>
      <c r="M349" s="4"/>
      <c r="N349" s="3" t="s">
        <v>37</v>
      </c>
      <c r="O349" s="3" t="s">
        <v>38</v>
      </c>
      <c r="P349" s="5">
        <v>9</v>
      </c>
      <c r="Q349" s="5">
        <v>75</v>
      </c>
      <c r="R349" s="5">
        <v>10</v>
      </c>
      <c r="S349" s="5">
        <v>83</v>
      </c>
    </row>
    <row r="350" spans="1:19" ht="28" x14ac:dyDescent="0.15">
      <c r="A350" s="2">
        <f>HYPERLINK("https://open-school.uspishnemisto.com.ua/school/50352/", 50352)</f>
        <v>50352</v>
      </c>
      <c r="B350" s="3" t="s">
        <v>1972</v>
      </c>
      <c r="C350" s="3" t="s">
        <v>31</v>
      </c>
      <c r="D350" s="3" t="s">
        <v>32</v>
      </c>
      <c r="E350" s="4" t="s">
        <v>22</v>
      </c>
      <c r="F350" s="4" t="s">
        <v>1973</v>
      </c>
      <c r="G350" s="4" t="s">
        <v>1974</v>
      </c>
      <c r="H350" s="3" t="s">
        <v>25</v>
      </c>
      <c r="I350" s="3" t="s">
        <v>1975</v>
      </c>
      <c r="J350" s="3" t="s">
        <v>1348</v>
      </c>
      <c r="K350" s="3" t="s">
        <v>1976</v>
      </c>
      <c r="L350" s="3"/>
      <c r="M350" s="4"/>
      <c r="N350" s="3" t="s">
        <v>37</v>
      </c>
      <c r="O350" s="3" t="s">
        <v>38</v>
      </c>
      <c r="P350" s="5">
        <v>11</v>
      </c>
      <c r="Q350" s="5">
        <v>114</v>
      </c>
      <c r="R350" s="5">
        <v>11</v>
      </c>
      <c r="S350" s="5">
        <v>114</v>
      </c>
    </row>
    <row r="351" spans="1:19" ht="42" x14ac:dyDescent="0.15">
      <c r="A351" s="2">
        <f>HYPERLINK("https://open-school.uspishnemisto.com.ua/school/50353/", 50353)</f>
        <v>50353</v>
      </c>
      <c r="B351" s="3" t="s">
        <v>1977</v>
      </c>
      <c r="C351" s="3" t="s">
        <v>54</v>
      </c>
      <c r="D351" s="3" t="s">
        <v>32</v>
      </c>
      <c r="E351" s="4" t="s">
        <v>22</v>
      </c>
      <c r="F351" s="4" t="s">
        <v>1978</v>
      </c>
      <c r="G351" s="4" t="s">
        <v>1979</v>
      </c>
      <c r="H351" s="3" t="s">
        <v>25</v>
      </c>
      <c r="I351" s="3" t="s">
        <v>1980</v>
      </c>
      <c r="J351" s="3" t="s">
        <v>1981</v>
      </c>
      <c r="K351" s="3" t="s">
        <v>1982</v>
      </c>
      <c r="L351" s="3"/>
      <c r="M351" s="4"/>
      <c r="N351" s="3" t="s">
        <v>37</v>
      </c>
      <c r="O351" s="3" t="s">
        <v>38</v>
      </c>
      <c r="P351" s="5">
        <v>11</v>
      </c>
      <c r="Q351" s="5">
        <v>189</v>
      </c>
      <c r="R351" s="5">
        <v>11</v>
      </c>
      <c r="S351" s="5">
        <v>190</v>
      </c>
    </row>
    <row r="352" spans="1:19" ht="42" x14ac:dyDescent="0.15">
      <c r="A352" s="2">
        <f>HYPERLINK("https://open-school.uspishnemisto.com.ua/school/50354/", 50354)</f>
        <v>50354</v>
      </c>
      <c r="B352" s="3" t="s">
        <v>1983</v>
      </c>
      <c r="C352" s="3" t="s">
        <v>54</v>
      </c>
      <c r="D352" s="3" t="s">
        <v>32</v>
      </c>
      <c r="E352" s="4" t="s">
        <v>22</v>
      </c>
      <c r="F352" s="4" t="s">
        <v>1984</v>
      </c>
      <c r="G352" s="4" t="s">
        <v>1985</v>
      </c>
      <c r="H352" s="3" t="s">
        <v>25</v>
      </c>
      <c r="I352" s="3" t="s">
        <v>1986</v>
      </c>
      <c r="J352" s="3" t="s">
        <v>1987</v>
      </c>
      <c r="K352" s="3" t="s">
        <v>1988</v>
      </c>
      <c r="L352" s="3"/>
      <c r="M352" s="4"/>
      <c r="N352" s="3" t="s">
        <v>37</v>
      </c>
      <c r="O352" s="3" t="s">
        <v>38</v>
      </c>
      <c r="P352" s="5">
        <v>9</v>
      </c>
      <c r="Q352" s="5">
        <v>65</v>
      </c>
      <c r="R352" s="5">
        <v>9</v>
      </c>
      <c r="S352" s="5">
        <v>60</v>
      </c>
    </row>
    <row r="353" spans="1:19" ht="28" x14ac:dyDescent="0.15">
      <c r="A353" s="2">
        <f>HYPERLINK("https://open-school.uspishnemisto.com.ua/school/50355/", 50355)</f>
        <v>50355</v>
      </c>
      <c r="B353" s="3" t="s">
        <v>1989</v>
      </c>
      <c r="C353" s="3" t="s">
        <v>31</v>
      </c>
      <c r="D353" s="3" t="s">
        <v>32</v>
      </c>
      <c r="E353" s="4" t="s">
        <v>22</v>
      </c>
      <c r="F353" s="4" t="s">
        <v>1990</v>
      </c>
      <c r="G353" s="4" t="s">
        <v>1991</v>
      </c>
      <c r="H353" s="3" t="s">
        <v>25</v>
      </c>
      <c r="I353" s="3" t="s">
        <v>1992</v>
      </c>
      <c r="J353" s="3" t="s">
        <v>1993</v>
      </c>
      <c r="K353" s="3" t="s">
        <v>1994</v>
      </c>
      <c r="L353" s="3" t="s">
        <v>1995</v>
      </c>
      <c r="M353" s="4"/>
      <c r="N353" s="3" t="s">
        <v>37</v>
      </c>
      <c r="O353" s="3" t="s">
        <v>38</v>
      </c>
      <c r="P353" s="5">
        <v>11</v>
      </c>
      <c r="Q353" s="5">
        <v>128</v>
      </c>
      <c r="R353" s="5">
        <v>11</v>
      </c>
      <c r="S353" s="5">
        <v>133</v>
      </c>
    </row>
    <row r="354" spans="1:19" ht="42" x14ac:dyDescent="0.15">
      <c r="A354" s="2">
        <f>HYPERLINK("https://open-school.uspishnemisto.com.ua/school/50356/", 50356)</f>
        <v>50356</v>
      </c>
      <c r="B354" s="3" t="s">
        <v>1996</v>
      </c>
      <c r="C354" s="3" t="s">
        <v>54</v>
      </c>
      <c r="D354" s="3" t="s">
        <v>175</v>
      </c>
      <c r="E354" s="4" t="s">
        <v>22</v>
      </c>
      <c r="F354" s="4" t="s">
        <v>1997</v>
      </c>
      <c r="G354" s="4" t="s">
        <v>1998</v>
      </c>
      <c r="H354" s="3" t="s">
        <v>25</v>
      </c>
      <c r="I354" s="3" t="s">
        <v>1456</v>
      </c>
      <c r="J354" s="3" t="s">
        <v>1999</v>
      </c>
      <c r="K354" s="3" t="s">
        <v>2000</v>
      </c>
      <c r="L354" s="3"/>
      <c r="M354" s="4"/>
      <c r="N354" s="3" t="s">
        <v>37</v>
      </c>
      <c r="O354" s="3" t="s">
        <v>38</v>
      </c>
      <c r="P354" s="5">
        <v>7</v>
      </c>
      <c r="Q354" s="5">
        <v>47</v>
      </c>
      <c r="R354" s="5">
        <v>7</v>
      </c>
      <c r="S354" s="5">
        <v>48</v>
      </c>
    </row>
    <row r="355" spans="1:19" ht="42" x14ac:dyDescent="0.15">
      <c r="A355" s="2">
        <f>HYPERLINK("https://open-school.uspishnemisto.com.ua/school/50357/", 50357)</f>
        <v>50357</v>
      </c>
      <c r="B355" s="3" t="s">
        <v>2001</v>
      </c>
      <c r="C355" s="3" t="s">
        <v>31</v>
      </c>
      <c r="D355" s="3" t="s">
        <v>32</v>
      </c>
      <c r="E355" s="4" t="s">
        <v>22</v>
      </c>
      <c r="F355" s="4" t="s">
        <v>2002</v>
      </c>
      <c r="G355" s="4" t="s">
        <v>2003</v>
      </c>
      <c r="H355" s="3" t="s">
        <v>25</v>
      </c>
      <c r="I355" s="3" t="s">
        <v>2004</v>
      </c>
      <c r="J355" s="3" t="s">
        <v>2005</v>
      </c>
      <c r="K355" s="3"/>
      <c r="L355" s="3"/>
      <c r="M355" s="4" t="s">
        <v>2006</v>
      </c>
      <c r="N355" s="3" t="s">
        <v>37</v>
      </c>
      <c r="O355" s="3" t="s">
        <v>70</v>
      </c>
      <c r="P355" s="5">
        <v>31</v>
      </c>
      <c r="Q355" s="5">
        <v>766</v>
      </c>
      <c r="R355" s="5">
        <v>31</v>
      </c>
      <c r="S355" s="5">
        <v>742</v>
      </c>
    </row>
    <row r="356" spans="1:19" ht="42" x14ac:dyDescent="0.15">
      <c r="A356" s="2">
        <f>HYPERLINK("https://open-school.uspishnemisto.com.ua/school/50358/", 50358)</f>
        <v>50358</v>
      </c>
      <c r="B356" s="3" t="s">
        <v>2007</v>
      </c>
      <c r="C356" s="3" t="s">
        <v>31</v>
      </c>
      <c r="D356" s="3" t="s">
        <v>32</v>
      </c>
      <c r="E356" s="4" t="s">
        <v>22</v>
      </c>
      <c r="F356" s="4" t="s">
        <v>2002</v>
      </c>
      <c r="G356" s="4" t="s">
        <v>2003</v>
      </c>
      <c r="H356" s="3" t="s">
        <v>25</v>
      </c>
      <c r="I356" s="3" t="s">
        <v>2004</v>
      </c>
      <c r="J356" s="3" t="s">
        <v>2008</v>
      </c>
      <c r="K356" s="3" t="s">
        <v>2009</v>
      </c>
      <c r="L356" s="3"/>
      <c r="M356" s="4" t="s">
        <v>2010</v>
      </c>
      <c r="N356" s="3" t="s">
        <v>37</v>
      </c>
      <c r="O356" s="3" t="s">
        <v>70</v>
      </c>
      <c r="P356" s="5">
        <v>23</v>
      </c>
      <c r="Q356" s="5">
        <v>522</v>
      </c>
      <c r="R356" s="5">
        <v>23</v>
      </c>
      <c r="S356" s="5">
        <v>516</v>
      </c>
    </row>
    <row r="357" spans="1:19" ht="56" x14ac:dyDescent="0.15">
      <c r="A357" s="2">
        <f>HYPERLINK("https://open-school.uspishnemisto.com.ua/school/50359/", 50359)</f>
        <v>50359</v>
      </c>
      <c r="B357" s="3" t="s">
        <v>2011</v>
      </c>
      <c r="C357" s="3" t="s">
        <v>54</v>
      </c>
      <c r="D357" s="3" t="s">
        <v>175</v>
      </c>
      <c r="E357" s="4" t="s">
        <v>22</v>
      </c>
      <c r="F357" s="4" t="s">
        <v>2012</v>
      </c>
      <c r="G357" s="4" t="s">
        <v>2013</v>
      </c>
      <c r="H357" s="3" t="s">
        <v>25</v>
      </c>
      <c r="I357" s="3" t="s">
        <v>2014</v>
      </c>
      <c r="J357" s="3" t="s">
        <v>2015</v>
      </c>
      <c r="K357" s="3" t="s">
        <v>2016</v>
      </c>
      <c r="L357" s="3"/>
      <c r="M357" s="4"/>
      <c r="N357" s="3" t="s">
        <v>37</v>
      </c>
      <c r="O357" s="3" t="s">
        <v>38</v>
      </c>
      <c r="P357" s="5">
        <v>3</v>
      </c>
      <c r="Q357" s="5">
        <v>26</v>
      </c>
      <c r="R357" s="5">
        <v>2</v>
      </c>
      <c r="S357" s="5">
        <v>26</v>
      </c>
    </row>
    <row r="358" spans="1:19" ht="28" x14ac:dyDescent="0.15">
      <c r="A358" s="2">
        <f>HYPERLINK("https://open-school.uspishnemisto.com.ua/school/50360/", 50360)</f>
        <v>50360</v>
      </c>
      <c r="B358" s="3" t="s">
        <v>2017</v>
      </c>
      <c r="C358" s="3" t="s">
        <v>31</v>
      </c>
      <c r="D358" s="3" t="s">
        <v>32</v>
      </c>
      <c r="E358" s="4" t="s">
        <v>22</v>
      </c>
      <c r="F358" s="4" t="s">
        <v>2018</v>
      </c>
      <c r="G358" s="4" t="s">
        <v>2019</v>
      </c>
      <c r="H358" s="3" t="s">
        <v>25</v>
      </c>
      <c r="I358" s="3" t="s">
        <v>2020</v>
      </c>
      <c r="J358" s="3" t="s">
        <v>2021</v>
      </c>
      <c r="K358" s="3" t="s">
        <v>2022</v>
      </c>
      <c r="L358" s="3"/>
      <c r="M358" s="4"/>
      <c r="N358" s="3" t="s">
        <v>37</v>
      </c>
      <c r="O358" s="3" t="s">
        <v>38</v>
      </c>
      <c r="P358" s="5">
        <v>10</v>
      </c>
      <c r="Q358" s="5">
        <v>81</v>
      </c>
      <c r="R358" s="5">
        <v>10</v>
      </c>
      <c r="S358" s="5">
        <v>82</v>
      </c>
    </row>
    <row r="359" spans="1:19" ht="28" x14ac:dyDescent="0.15">
      <c r="A359" s="2">
        <f>HYPERLINK("https://open-school.uspishnemisto.com.ua/school/50361/", 50361)</f>
        <v>50361</v>
      </c>
      <c r="B359" s="3" t="s">
        <v>2023</v>
      </c>
      <c r="C359" s="3" t="s">
        <v>31</v>
      </c>
      <c r="D359" s="3" t="s">
        <v>175</v>
      </c>
      <c r="E359" s="4" t="s">
        <v>22</v>
      </c>
      <c r="F359" s="4" t="s">
        <v>2024</v>
      </c>
      <c r="G359" s="4" t="s">
        <v>2025</v>
      </c>
      <c r="H359" s="3" t="s">
        <v>25</v>
      </c>
      <c r="I359" s="3" t="s">
        <v>2026</v>
      </c>
      <c r="J359" s="3" t="s">
        <v>2027</v>
      </c>
      <c r="K359" s="3" t="s">
        <v>2028</v>
      </c>
      <c r="L359" s="3"/>
      <c r="M359" s="4"/>
      <c r="N359" s="3" t="s">
        <v>37</v>
      </c>
      <c r="O359" s="3" t="s">
        <v>38</v>
      </c>
      <c r="P359" s="5">
        <v>8</v>
      </c>
      <c r="Q359" s="5">
        <v>59</v>
      </c>
      <c r="R359" s="5">
        <v>8</v>
      </c>
      <c r="S359" s="5">
        <v>55</v>
      </c>
    </row>
    <row r="360" spans="1:19" ht="28" x14ac:dyDescent="0.15">
      <c r="A360" s="2">
        <f>HYPERLINK("https://open-school.uspishnemisto.com.ua/school/50362/", 50362)</f>
        <v>50362</v>
      </c>
      <c r="B360" s="3" t="s">
        <v>2029</v>
      </c>
      <c r="C360" s="3" t="s">
        <v>31</v>
      </c>
      <c r="D360" s="3" t="s">
        <v>32</v>
      </c>
      <c r="E360" s="4" t="s">
        <v>22</v>
      </c>
      <c r="F360" s="4" t="s">
        <v>2030</v>
      </c>
      <c r="G360" s="4" t="s">
        <v>2031</v>
      </c>
      <c r="H360" s="3" t="s">
        <v>25</v>
      </c>
      <c r="I360" s="3" t="s">
        <v>2032</v>
      </c>
      <c r="J360" s="3" t="s">
        <v>718</v>
      </c>
      <c r="K360" s="3" t="s">
        <v>2033</v>
      </c>
      <c r="L360" s="3" t="s">
        <v>2034</v>
      </c>
      <c r="M360" s="4"/>
      <c r="N360" s="3" t="s">
        <v>37</v>
      </c>
      <c r="O360" s="3" t="s">
        <v>38</v>
      </c>
      <c r="P360" s="5">
        <v>15</v>
      </c>
      <c r="Q360" s="5">
        <v>305</v>
      </c>
      <c r="R360" s="5">
        <v>14</v>
      </c>
      <c r="S360" s="5">
        <v>302</v>
      </c>
    </row>
    <row r="361" spans="1:19" ht="28" x14ac:dyDescent="0.15">
      <c r="A361" s="2">
        <f>HYPERLINK("https://open-school.uspishnemisto.com.ua/school/50363/", 50363)</f>
        <v>50363</v>
      </c>
      <c r="B361" s="3" t="s">
        <v>2035</v>
      </c>
      <c r="C361" s="3" t="s">
        <v>31</v>
      </c>
      <c r="D361" s="3" t="s">
        <v>32</v>
      </c>
      <c r="E361" s="4" t="s">
        <v>22</v>
      </c>
      <c r="F361" s="4" t="s">
        <v>2030</v>
      </c>
      <c r="G361" s="4" t="s">
        <v>2031</v>
      </c>
      <c r="H361" s="3" t="s">
        <v>25</v>
      </c>
      <c r="I361" s="3" t="s">
        <v>2032</v>
      </c>
      <c r="J361" s="3" t="s">
        <v>2036</v>
      </c>
      <c r="K361" s="3" t="s">
        <v>2037</v>
      </c>
      <c r="L361" s="3"/>
      <c r="M361" s="4"/>
      <c r="N361" s="3" t="s">
        <v>37</v>
      </c>
      <c r="O361" s="3" t="s">
        <v>38</v>
      </c>
      <c r="P361" s="5">
        <v>18</v>
      </c>
      <c r="Q361" s="5">
        <v>329</v>
      </c>
      <c r="R361" s="5">
        <v>17</v>
      </c>
      <c r="S361" s="5">
        <v>312</v>
      </c>
    </row>
    <row r="362" spans="1:19" ht="28" x14ac:dyDescent="0.15">
      <c r="A362" s="2">
        <f>HYPERLINK("https://open-school.uspishnemisto.com.ua/school/50364/", 50364)</f>
        <v>50364</v>
      </c>
      <c r="B362" s="3" t="s">
        <v>2038</v>
      </c>
      <c r="C362" s="3" t="s">
        <v>31</v>
      </c>
      <c r="D362" s="3" t="s">
        <v>32</v>
      </c>
      <c r="E362" s="4" t="s">
        <v>22</v>
      </c>
      <c r="F362" s="4" t="s">
        <v>2039</v>
      </c>
      <c r="G362" s="4" t="s">
        <v>2040</v>
      </c>
      <c r="H362" s="3" t="s">
        <v>25</v>
      </c>
      <c r="I362" s="3" t="s">
        <v>2041</v>
      </c>
      <c r="J362" s="3" t="s">
        <v>2042</v>
      </c>
      <c r="K362" s="3"/>
      <c r="L362" s="3"/>
      <c r="M362" s="4"/>
      <c r="N362" s="3" t="s">
        <v>37</v>
      </c>
      <c r="O362" s="3" t="s">
        <v>38</v>
      </c>
      <c r="P362" s="5">
        <v>10</v>
      </c>
      <c r="Q362" s="5">
        <v>140</v>
      </c>
      <c r="R362" s="5">
        <v>10</v>
      </c>
      <c r="S362" s="5">
        <v>137</v>
      </c>
    </row>
    <row r="363" spans="1:19" ht="56" x14ac:dyDescent="0.15">
      <c r="A363" s="2">
        <f>HYPERLINK("https://open-school.uspishnemisto.com.ua/school/50365/", 50365)</f>
        <v>50365</v>
      </c>
      <c r="B363" s="3" t="s">
        <v>2043</v>
      </c>
      <c r="C363" s="3" t="s">
        <v>54</v>
      </c>
      <c r="D363" s="3" t="s">
        <v>175</v>
      </c>
      <c r="E363" s="4" t="s">
        <v>22</v>
      </c>
      <c r="F363" s="4" t="s">
        <v>2044</v>
      </c>
      <c r="G363" s="4" t="s">
        <v>2045</v>
      </c>
      <c r="H363" s="3" t="s">
        <v>25</v>
      </c>
      <c r="I363" s="3" t="s">
        <v>2046</v>
      </c>
      <c r="J363" s="3" t="s">
        <v>2047</v>
      </c>
      <c r="K363" s="3"/>
      <c r="L363" s="3"/>
      <c r="M363" s="4"/>
      <c r="N363" s="3" t="s">
        <v>37</v>
      </c>
      <c r="O363" s="3" t="s">
        <v>38</v>
      </c>
      <c r="P363" s="5">
        <v>2</v>
      </c>
      <c r="Q363" s="5">
        <v>25</v>
      </c>
      <c r="R363" s="5">
        <v>0</v>
      </c>
      <c r="S363" s="5">
        <v>27</v>
      </c>
    </row>
    <row r="364" spans="1:19" ht="28" x14ac:dyDescent="0.15">
      <c r="A364" s="2">
        <f>HYPERLINK("https://open-school.uspishnemisto.com.ua/school/50366/", 50366)</f>
        <v>50366</v>
      </c>
      <c r="B364" s="3" t="s">
        <v>2048</v>
      </c>
      <c r="C364" s="3" t="s">
        <v>31</v>
      </c>
      <c r="D364" s="3" t="s">
        <v>32</v>
      </c>
      <c r="E364" s="4" t="s">
        <v>22</v>
      </c>
      <c r="F364" s="4" t="s">
        <v>2049</v>
      </c>
      <c r="G364" s="4" t="s">
        <v>2050</v>
      </c>
      <c r="H364" s="3" t="s">
        <v>25</v>
      </c>
      <c r="I364" s="3" t="s">
        <v>2051</v>
      </c>
      <c r="J364" s="3" t="s">
        <v>2052</v>
      </c>
      <c r="K364" s="3" t="s">
        <v>2053</v>
      </c>
      <c r="L364" s="3"/>
      <c r="M364" s="4"/>
      <c r="N364" s="3" t="s">
        <v>37</v>
      </c>
      <c r="O364" s="3" t="s">
        <v>38</v>
      </c>
      <c r="P364" s="5">
        <v>11</v>
      </c>
      <c r="Q364" s="5">
        <v>146</v>
      </c>
      <c r="R364" s="5">
        <v>11</v>
      </c>
      <c r="S364" s="5">
        <v>148</v>
      </c>
    </row>
    <row r="365" spans="1:19" ht="28" x14ac:dyDescent="0.15">
      <c r="A365" s="2">
        <f>HYPERLINK("https://open-school.uspishnemisto.com.ua/school/50367/", 50367)</f>
        <v>50367</v>
      </c>
      <c r="B365" s="3" t="s">
        <v>2054</v>
      </c>
      <c r="C365" s="3" t="s">
        <v>31</v>
      </c>
      <c r="D365" s="3" t="s">
        <v>175</v>
      </c>
      <c r="E365" s="4" t="s">
        <v>22</v>
      </c>
      <c r="F365" s="4" t="s">
        <v>2055</v>
      </c>
      <c r="G365" s="4" t="s">
        <v>2056</v>
      </c>
      <c r="H365" s="3" t="s">
        <v>25</v>
      </c>
      <c r="I365" s="3" t="s">
        <v>2057</v>
      </c>
      <c r="J365" s="3" t="s">
        <v>2058</v>
      </c>
      <c r="K365" s="3"/>
      <c r="L365" s="3"/>
      <c r="M365" s="4"/>
      <c r="N365" s="3" t="s">
        <v>37</v>
      </c>
      <c r="O365" s="3" t="s">
        <v>38</v>
      </c>
      <c r="P365" s="5">
        <v>9</v>
      </c>
      <c r="Q365" s="5">
        <v>86</v>
      </c>
      <c r="R365" s="5">
        <v>9</v>
      </c>
      <c r="S365" s="5">
        <v>91</v>
      </c>
    </row>
    <row r="366" spans="1:19" ht="56" x14ac:dyDescent="0.15">
      <c r="A366" s="2">
        <f>HYPERLINK("https://open-school.uspishnemisto.com.ua/school/50368/", 50368)</f>
        <v>50368</v>
      </c>
      <c r="B366" s="3" t="s">
        <v>2059</v>
      </c>
      <c r="C366" s="3" t="s">
        <v>54</v>
      </c>
      <c r="D366" s="3" t="s">
        <v>175</v>
      </c>
      <c r="E366" s="4" t="s">
        <v>22</v>
      </c>
      <c r="F366" s="4" t="s">
        <v>2060</v>
      </c>
      <c r="G366" s="4" t="s">
        <v>2061</v>
      </c>
      <c r="H366" s="3" t="s">
        <v>25</v>
      </c>
      <c r="I366" s="3" t="s">
        <v>2062</v>
      </c>
      <c r="J366" s="3" t="s">
        <v>2063</v>
      </c>
      <c r="K366" s="3"/>
      <c r="L366" s="3"/>
      <c r="M366" s="4"/>
      <c r="N366" s="3" t="s">
        <v>37</v>
      </c>
      <c r="O366" s="3" t="s">
        <v>112</v>
      </c>
      <c r="P366" s="5">
        <v>2</v>
      </c>
      <c r="Q366" s="5">
        <v>33</v>
      </c>
      <c r="R366" s="5">
        <v>3</v>
      </c>
      <c r="S366" s="5">
        <v>34</v>
      </c>
    </row>
    <row r="367" spans="1:19" ht="28" x14ac:dyDescent="0.15">
      <c r="A367" s="2">
        <f>HYPERLINK("https://open-school.uspishnemisto.com.ua/school/50369/", 50369)</f>
        <v>50369</v>
      </c>
      <c r="B367" s="3" t="s">
        <v>2064</v>
      </c>
      <c r="C367" s="3" t="s">
        <v>31</v>
      </c>
      <c r="D367" s="3" t="s">
        <v>32</v>
      </c>
      <c r="E367" s="4" t="s">
        <v>22</v>
      </c>
      <c r="F367" s="4" t="s">
        <v>2065</v>
      </c>
      <c r="G367" s="4" t="s">
        <v>2066</v>
      </c>
      <c r="H367" s="3" t="s">
        <v>25</v>
      </c>
      <c r="I367" s="3" t="s">
        <v>2067</v>
      </c>
      <c r="J367" s="3" t="s">
        <v>2068</v>
      </c>
      <c r="K367" s="3" t="s">
        <v>2069</v>
      </c>
      <c r="L367" s="3"/>
      <c r="M367" s="4"/>
      <c r="N367" s="3" t="s">
        <v>37</v>
      </c>
      <c r="O367" s="3" t="s">
        <v>38</v>
      </c>
      <c r="P367" s="5">
        <v>10</v>
      </c>
      <c r="Q367" s="5">
        <v>91</v>
      </c>
      <c r="R367" s="5">
        <v>9</v>
      </c>
      <c r="S367" s="5">
        <v>89</v>
      </c>
    </row>
    <row r="368" spans="1:19" ht="56" x14ac:dyDescent="0.15">
      <c r="A368" s="2">
        <f>HYPERLINK("https://open-school.uspishnemisto.com.ua/school/50370/", 50370)</f>
        <v>50370</v>
      </c>
      <c r="B368" s="3" t="s">
        <v>2070</v>
      </c>
      <c r="C368" s="3" t="s">
        <v>54</v>
      </c>
      <c r="D368" s="3" t="s">
        <v>175</v>
      </c>
      <c r="E368" s="4" t="s">
        <v>22</v>
      </c>
      <c r="F368" s="4" t="s">
        <v>2071</v>
      </c>
      <c r="G368" s="4" t="s">
        <v>2072</v>
      </c>
      <c r="H368" s="3" t="s">
        <v>25</v>
      </c>
      <c r="I368" s="3" t="s">
        <v>2073</v>
      </c>
      <c r="J368" s="3" t="s">
        <v>2074</v>
      </c>
      <c r="K368" s="3" t="s">
        <v>2075</v>
      </c>
      <c r="L368" s="3"/>
      <c r="M368" s="4"/>
      <c r="N368" s="3" t="s">
        <v>37</v>
      </c>
      <c r="O368" s="3" t="s">
        <v>112</v>
      </c>
      <c r="P368" s="5">
        <v>6</v>
      </c>
      <c r="Q368" s="5">
        <v>40</v>
      </c>
      <c r="R368" s="5">
        <v>6</v>
      </c>
      <c r="S368" s="5">
        <v>37</v>
      </c>
    </row>
    <row r="369" spans="1:19" ht="28" x14ac:dyDescent="0.15">
      <c r="A369" s="2">
        <f>HYPERLINK("https://open-school.uspishnemisto.com.ua/school/50371/", 50371)</f>
        <v>50371</v>
      </c>
      <c r="B369" s="3" t="s">
        <v>2076</v>
      </c>
      <c r="C369" s="3" t="s">
        <v>31</v>
      </c>
      <c r="D369" s="3" t="s">
        <v>32</v>
      </c>
      <c r="E369" s="4" t="s">
        <v>22</v>
      </c>
      <c r="F369" s="4" t="s">
        <v>2077</v>
      </c>
      <c r="G369" s="4" t="s">
        <v>2078</v>
      </c>
      <c r="H369" s="3" t="s">
        <v>25</v>
      </c>
      <c r="I369" s="3" t="s">
        <v>2079</v>
      </c>
      <c r="J369" s="3" t="s">
        <v>2080</v>
      </c>
      <c r="K369" s="3" t="s">
        <v>2081</v>
      </c>
      <c r="L369" s="3"/>
      <c r="M369" s="4"/>
      <c r="N369" s="3" t="s">
        <v>37</v>
      </c>
      <c r="O369" s="3" t="s">
        <v>721</v>
      </c>
      <c r="P369" s="5">
        <v>10</v>
      </c>
      <c r="Q369" s="5">
        <v>99</v>
      </c>
      <c r="R369" s="5">
        <v>10</v>
      </c>
      <c r="S369" s="5">
        <v>99</v>
      </c>
    </row>
    <row r="370" spans="1:19" ht="56" x14ac:dyDescent="0.15">
      <c r="A370" s="2">
        <f>HYPERLINK("https://open-school.uspishnemisto.com.ua/school/50372/", 50372)</f>
        <v>50372</v>
      </c>
      <c r="B370" s="3" t="s">
        <v>2082</v>
      </c>
      <c r="C370" s="3" t="s">
        <v>54</v>
      </c>
      <c r="D370" s="3" t="s">
        <v>175</v>
      </c>
      <c r="E370" s="4" t="s">
        <v>22</v>
      </c>
      <c r="F370" s="4" t="s">
        <v>2083</v>
      </c>
      <c r="G370" s="4" t="s">
        <v>2084</v>
      </c>
      <c r="H370" s="3" t="s">
        <v>25</v>
      </c>
      <c r="I370" s="3" t="s">
        <v>1587</v>
      </c>
      <c r="J370" s="3" t="s">
        <v>2085</v>
      </c>
      <c r="K370" s="3" t="s">
        <v>2086</v>
      </c>
      <c r="L370" s="3"/>
      <c r="M370" s="4"/>
      <c r="N370" s="3" t="s">
        <v>37</v>
      </c>
      <c r="O370" s="3" t="s">
        <v>38</v>
      </c>
      <c r="P370" s="5">
        <v>3</v>
      </c>
      <c r="Q370" s="5">
        <v>28</v>
      </c>
      <c r="R370" s="5">
        <v>4</v>
      </c>
      <c r="S370" s="5">
        <v>29</v>
      </c>
    </row>
    <row r="371" spans="1:19" ht="56" x14ac:dyDescent="0.15">
      <c r="A371" s="2">
        <f>HYPERLINK("https://open-school.uspishnemisto.com.ua/school/50373/", 50373)</f>
        <v>50373</v>
      </c>
      <c r="B371" s="3" t="s">
        <v>2087</v>
      </c>
      <c r="C371" s="3" t="s">
        <v>54</v>
      </c>
      <c r="D371" s="3" t="s">
        <v>60</v>
      </c>
      <c r="E371" s="4" t="s">
        <v>22</v>
      </c>
      <c r="F371" s="4" t="s">
        <v>2088</v>
      </c>
      <c r="G371" s="4" t="s">
        <v>2089</v>
      </c>
      <c r="H371" s="3" t="s">
        <v>25</v>
      </c>
      <c r="I371" s="3" t="s">
        <v>2090</v>
      </c>
      <c r="J371" s="3" t="s">
        <v>2091</v>
      </c>
      <c r="K371" s="3" t="s">
        <v>2092</v>
      </c>
      <c r="L371" s="3"/>
      <c r="M371" s="4"/>
      <c r="N371" s="3" t="s">
        <v>37</v>
      </c>
      <c r="O371" s="3" t="s">
        <v>52</v>
      </c>
      <c r="P371" s="5">
        <v>1</v>
      </c>
      <c r="Q371" s="5">
        <v>11</v>
      </c>
      <c r="R371" s="5">
        <v>0</v>
      </c>
      <c r="S371" s="5">
        <v>0</v>
      </c>
    </row>
    <row r="372" spans="1:19" ht="28" x14ac:dyDescent="0.15">
      <c r="A372" s="2">
        <f>HYPERLINK("https://open-school.uspishnemisto.com.ua/school/50374/", 50374)</f>
        <v>50374</v>
      </c>
      <c r="B372" s="3" t="s">
        <v>2093</v>
      </c>
      <c r="C372" s="3" t="s">
        <v>31</v>
      </c>
      <c r="D372" s="3" t="s">
        <v>32</v>
      </c>
      <c r="E372" s="4" t="s">
        <v>22</v>
      </c>
      <c r="F372" s="4" t="s">
        <v>2094</v>
      </c>
      <c r="G372" s="4" t="s">
        <v>2095</v>
      </c>
      <c r="H372" s="3" t="s">
        <v>25</v>
      </c>
      <c r="I372" s="3" t="s">
        <v>2096</v>
      </c>
      <c r="J372" s="3" t="s">
        <v>2097</v>
      </c>
      <c r="K372" s="3" t="s">
        <v>2098</v>
      </c>
      <c r="L372" s="3"/>
      <c r="M372" s="4"/>
      <c r="N372" s="3" t="s">
        <v>37</v>
      </c>
      <c r="O372" s="3" t="s">
        <v>70</v>
      </c>
      <c r="P372" s="5">
        <v>9</v>
      </c>
      <c r="Q372" s="5">
        <v>77</v>
      </c>
      <c r="R372" s="5">
        <v>9</v>
      </c>
      <c r="S372" s="5">
        <v>88</v>
      </c>
    </row>
    <row r="373" spans="1:19" ht="28" x14ac:dyDescent="0.15">
      <c r="A373" s="2">
        <f>HYPERLINK("https://open-school.uspishnemisto.com.ua/school/50375/", 50375)</f>
        <v>50375</v>
      </c>
      <c r="B373" s="3" t="s">
        <v>2099</v>
      </c>
      <c r="C373" s="3" t="s">
        <v>31</v>
      </c>
      <c r="D373" s="3" t="s">
        <v>175</v>
      </c>
      <c r="E373" s="4" t="s">
        <v>22</v>
      </c>
      <c r="F373" s="4" t="s">
        <v>2094</v>
      </c>
      <c r="G373" s="4" t="s">
        <v>2095</v>
      </c>
      <c r="H373" s="3" t="s">
        <v>25</v>
      </c>
      <c r="I373" s="3" t="s">
        <v>2096</v>
      </c>
      <c r="J373" s="3" t="s">
        <v>2100</v>
      </c>
      <c r="K373" s="3"/>
      <c r="L373" s="3"/>
      <c r="M373" s="4"/>
      <c r="N373" s="3" t="s">
        <v>37</v>
      </c>
      <c r="O373" s="3" t="s">
        <v>70</v>
      </c>
      <c r="P373" s="5">
        <v>8</v>
      </c>
      <c r="Q373" s="5">
        <v>59</v>
      </c>
      <c r="R373" s="5">
        <v>8</v>
      </c>
      <c r="S373" s="5">
        <v>67</v>
      </c>
    </row>
    <row r="374" spans="1:19" ht="56" x14ac:dyDescent="0.15">
      <c r="A374" s="2">
        <f>HYPERLINK("https://open-school.uspishnemisto.com.ua/school/50376/", 50376)</f>
        <v>50376</v>
      </c>
      <c r="B374" s="3" t="s">
        <v>2101</v>
      </c>
      <c r="C374" s="3" t="s">
        <v>54</v>
      </c>
      <c r="D374" s="3" t="s">
        <v>175</v>
      </c>
      <c r="E374" s="4" t="s">
        <v>22</v>
      </c>
      <c r="F374" s="4" t="s">
        <v>2102</v>
      </c>
      <c r="G374" s="4" t="s">
        <v>2103</v>
      </c>
      <c r="H374" s="3" t="s">
        <v>25</v>
      </c>
      <c r="I374" s="3" t="s">
        <v>2104</v>
      </c>
      <c r="J374" s="3" t="s">
        <v>2105</v>
      </c>
      <c r="K374" s="3" t="s">
        <v>2106</v>
      </c>
      <c r="L374" s="3"/>
      <c r="M374" s="4"/>
      <c r="N374" s="3" t="s">
        <v>37</v>
      </c>
      <c r="O374" s="3" t="s">
        <v>112</v>
      </c>
      <c r="P374" s="5">
        <v>6</v>
      </c>
      <c r="Q374" s="5">
        <v>42</v>
      </c>
      <c r="R374" s="5">
        <v>3</v>
      </c>
      <c r="S374" s="5">
        <v>31</v>
      </c>
    </row>
    <row r="375" spans="1:19" ht="56" x14ac:dyDescent="0.15">
      <c r="A375" s="2">
        <f>HYPERLINK("https://open-school.uspishnemisto.com.ua/school/50377/", 50377)</f>
        <v>50377</v>
      </c>
      <c r="B375" s="3" t="s">
        <v>2107</v>
      </c>
      <c r="C375" s="3" t="s">
        <v>54</v>
      </c>
      <c r="D375" s="3" t="s">
        <v>175</v>
      </c>
      <c r="E375" s="4" t="s">
        <v>22</v>
      </c>
      <c r="F375" s="4" t="s">
        <v>2108</v>
      </c>
      <c r="G375" s="4" t="s">
        <v>2109</v>
      </c>
      <c r="H375" s="3" t="s">
        <v>25</v>
      </c>
      <c r="I375" s="3" t="s">
        <v>753</v>
      </c>
      <c r="J375" s="3" t="s">
        <v>2110</v>
      </c>
      <c r="K375" s="3" t="s">
        <v>2111</v>
      </c>
      <c r="L375" s="3"/>
      <c r="M375" s="4"/>
      <c r="N375" s="3" t="s">
        <v>37</v>
      </c>
      <c r="O375" s="3" t="s">
        <v>38</v>
      </c>
      <c r="P375" s="5">
        <v>6</v>
      </c>
      <c r="Q375" s="5">
        <v>50</v>
      </c>
      <c r="R375" s="5">
        <v>6</v>
      </c>
      <c r="S375" s="5">
        <v>50</v>
      </c>
    </row>
    <row r="376" spans="1:19" ht="56" x14ac:dyDescent="0.15">
      <c r="A376" s="2">
        <f>HYPERLINK("https://open-school.uspishnemisto.com.ua/school/50378/", 50378)</f>
        <v>50378</v>
      </c>
      <c r="B376" s="3" t="s">
        <v>2112</v>
      </c>
      <c r="C376" s="3" t="s">
        <v>54</v>
      </c>
      <c r="D376" s="3" t="s">
        <v>32</v>
      </c>
      <c r="E376" s="4" t="s">
        <v>22</v>
      </c>
      <c r="F376" s="4" t="s">
        <v>2113</v>
      </c>
      <c r="G376" s="4" t="s">
        <v>2114</v>
      </c>
      <c r="H376" s="3" t="s">
        <v>25</v>
      </c>
      <c r="I376" s="3" t="s">
        <v>2115</v>
      </c>
      <c r="J376" s="3" t="s">
        <v>297</v>
      </c>
      <c r="K376" s="3"/>
      <c r="L376" s="3"/>
      <c r="M376" s="4"/>
      <c r="N376" s="3" t="s">
        <v>37</v>
      </c>
      <c r="O376" s="3" t="s">
        <v>38</v>
      </c>
      <c r="P376" s="5">
        <v>7</v>
      </c>
      <c r="Q376" s="5">
        <v>66</v>
      </c>
      <c r="R376" s="5">
        <v>8</v>
      </c>
      <c r="S376" s="5">
        <v>70</v>
      </c>
    </row>
    <row r="377" spans="1:19" ht="28" x14ac:dyDescent="0.15">
      <c r="A377" s="2">
        <f>HYPERLINK("https://open-school.uspishnemisto.com.ua/school/50379/", 50379)</f>
        <v>50379</v>
      </c>
      <c r="B377" s="3" t="s">
        <v>2116</v>
      </c>
      <c r="C377" s="3" t="s">
        <v>31</v>
      </c>
      <c r="D377" s="3" t="s">
        <v>32</v>
      </c>
      <c r="E377" s="4" t="s">
        <v>22</v>
      </c>
      <c r="F377" s="4" t="s">
        <v>2117</v>
      </c>
      <c r="G377" s="4" t="s">
        <v>2118</v>
      </c>
      <c r="H377" s="3" t="s">
        <v>25</v>
      </c>
      <c r="I377" s="3" t="s">
        <v>2119</v>
      </c>
      <c r="J377" s="3" t="s">
        <v>2120</v>
      </c>
      <c r="K377" s="3" t="s">
        <v>2121</v>
      </c>
      <c r="L377" s="3" t="s">
        <v>2122</v>
      </c>
      <c r="M377" s="4"/>
      <c r="N377" s="3" t="s">
        <v>37</v>
      </c>
      <c r="O377" s="3" t="s">
        <v>70</v>
      </c>
      <c r="P377" s="5">
        <v>11</v>
      </c>
      <c r="Q377" s="5">
        <v>154</v>
      </c>
      <c r="R377" s="5">
        <v>11</v>
      </c>
      <c r="S377" s="5">
        <v>156</v>
      </c>
    </row>
    <row r="378" spans="1:19" ht="28" x14ac:dyDescent="0.15">
      <c r="A378" s="2">
        <f>HYPERLINK("https://open-school.uspishnemisto.com.ua/school/50380/", 50380)</f>
        <v>50380</v>
      </c>
      <c r="B378" s="3" t="s">
        <v>2123</v>
      </c>
      <c r="C378" s="3" t="s">
        <v>31</v>
      </c>
      <c r="D378" s="3" t="s">
        <v>32</v>
      </c>
      <c r="E378" s="4" t="s">
        <v>253</v>
      </c>
      <c r="F378" s="4" t="s">
        <v>2117</v>
      </c>
      <c r="G378" s="4" t="s">
        <v>2118</v>
      </c>
      <c r="H378" s="3" t="s">
        <v>25</v>
      </c>
      <c r="I378" s="3" t="s">
        <v>2119</v>
      </c>
      <c r="J378" s="3" t="s">
        <v>2124</v>
      </c>
      <c r="K378" s="3" t="s">
        <v>2125</v>
      </c>
      <c r="L378" s="3" t="s">
        <v>2126</v>
      </c>
      <c r="M378" s="4"/>
      <c r="N378" s="3" t="s">
        <v>37</v>
      </c>
      <c r="O378" s="3" t="s">
        <v>70</v>
      </c>
      <c r="P378" s="5">
        <v>27</v>
      </c>
      <c r="Q378" s="5">
        <v>580</v>
      </c>
      <c r="R378" s="5">
        <v>26</v>
      </c>
      <c r="S378" s="5">
        <v>559</v>
      </c>
    </row>
    <row r="379" spans="1:19" ht="28" x14ac:dyDescent="0.15">
      <c r="A379" s="2">
        <f>HYPERLINK("https://open-school.uspishnemisto.com.ua/school/50381/", 50381)</f>
        <v>50381</v>
      </c>
      <c r="B379" s="3" t="s">
        <v>2127</v>
      </c>
      <c r="C379" s="3" t="s">
        <v>2128</v>
      </c>
      <c r="D379" s="3" t="s">
        <v>32</v>
      </c>
      <c r="E379" s="4" t="s">
        <v>22</v>
      </c>
      <c r="F379" s="4" t="s">
        <v>2117</v>
      </c>
      <c r="G379" s="4" t="s">
        <v>2118</v>
      </c>
      <c r="H379" s="3" t="s">
        <v>25</v>
      </c>
      <c r="I379" s="3" t="s">
        <v>2119</v>
      </c>
      <c r="J379" s="3" t="s">
        <v>634</v>
      </c>
      <c r="K379" s="3" t="s">
        <v>2129</v>
      </c>
      <c r="L379" s="3" t="s">
        <v>2130</v>
      </c>
      <c r="M379" s="4" t="s">
        <v>2131</v>
      </c>
      <c r="N379" s="3" t="s">
        <v>37</v>
      </c>
      <c r="O379" s="3" t="s">
        <v>38</v>
      </c>
      <c r="P379" s="5">
        <v>18</v>
      </c>
      <c r="Q379" s="5">
        <v>346</v>
      </c>
      <c r="R379" s="5">
        <v>17</v>
      </c>
      <c r="S379" s="5">
        <v>336</v>
      </c>
    </row>
    <row r="380" spans="1:19" ht="28" x14ac:dyDescent="0.15">
      <c r="A380" s="2">
        <f>HYPERLINK("https://open-school.uspishnemisto.com.ua/school/50382/", 50382)</f>
        <v>50382</v>
      </c>
      <c r="B380" s="3" t="s">
        <v>2132</v>
      </c>
      <c r="C380" s="3" t="s">
        <v>31</v>
      </c>
      <c r="D380" s="3" t="s">
        <v>32</v>
      </c>
      <c r="E380" s="4" t="s">
        <v>22</v>
      </c>
      <c r="F380" s="4" t="s">
        <v>2133</v>
      </c>
      <c r="G380" s="4" t="s">
        <v>2134</v>
      </c>
      <c r="H380" s="3" t="s">
        <v>25</v>
      </c>
      <c r="I380" s="3" t="s">
        <v>2135</v>
      </c>
      <c r="J380" s="3" t="s">
        <v>2136</v>
      </c>
      <c r="K380" s="3" t="s">
        <v>2137</v>
      </c>
      <c r="L380" s="3"/>
      <c r="M380" s="4"/>
      <c r="N380" s="3" t="s">
        <v>37</v>
      </c>
      <c r="O380" s="3" t="s">
        <v>46</v>
      </c>
      <c r="P380" s="5">
        <v>22</v>
      </c>
      <c r="Q380" s="5">
        <v>471</v>
      </c>
      <c r="R380" s="5">
        <v>23</v>
      </c>
      <c r="S380" s="5">
        <v>480</v>
      </c>
    </row>
    <row r="381" spans="1:19" ht="28" x14ac:dyDescent="0.15">
      <c r="A381" s="2">
        <f>HYPERLINK("https://open-school.uspishnemisto.com.ua/school/50383/", 50383)</f>
        <v>50383</v>
      </c>
      <c r="B381" s="3" t="s">
        <v>2138</v>
      </c>
      <c r="C381" s="3" t="s">
        <v>31</v>
      </c>
      <c r="D381" s="3" t="s">
        <v>32</v>
      </c>
      <c r="E381" s="4" t="s">
        <v>22</v>
      </c>
      <c r="F381" s="4" t="s">
        <v>2133</v>
      </c>
      <c r="G381" s="4" t="s">
        <v>2134</v>
      </c>
      <c r="H381" s="3" t="s">
        <v>25</v>
      </c>
      <c r="I381" s="3" t="s">
        <v>2135</v>
      </c>
      <c r="J381" s="3" t="s">
        <v>2139</v>
      </c>
      <c r="K381" s="3" t="s">
        <v>2140</v>
      </c>
      <c r="L381" s="3"/>
      <c r="M381" s="4"/>
      <c r="N381" s="3" t="s">
        <v>37</v>
      </c>
      <c r="O381" s="3" t="s">
        <v>52</v>
      </c>
      <c r="P381" s="5">
        <v>17</v>
      </c>
      <c r="Q381" s="5">
        <v>331</v>
      </c>
      <c r="R381" s="5">
        <v>17</v>
      </c>
      <c r="S381" s="5">
        <v>313</v>
      </c>
    </row>
    <row r="382" spans="1:19" ht="28" x14ac:dyDescent="0.15">
      <c r="A382" s="2">
        <f>HYPERLINK("https://open-school.uspishnemisto.com.ua/school/50384/", 50384)</f>
        <v>50384</v>
      </c>
      <c r="B382" s="3" t="s">
        <v>2141</v>
      </c>
      <c r="C382" s="3" t="s">
        <v>31</v>
      </c>
      <c r="D382" s="3" t="s">
        <v>175</v>
      </c>
      <c r="E382" s="4" t="s">
        <v>22</v>
      </c>
      <c r="F382" s="4" t="s">
        <v>2142</v>
      </c>
      <c r="G382" s="4" t="s">
        <v>2143</v>
      </c>
      <c r="H382" s="3" t="s">
        <v>25</v>
      </c>
      <c r="I382" s="3" t="s">
        <v>2144</v>
      </c>
      <c r="J382" s="3" t="s">
        <v>2145</v>
      </c>
      <c r="K382" s="3" t="s">
        <v>2146</v>
      </c>
      <c r="L382" s="3"/>
      <c r="M382" s="4"/>
      <c r="N382" s="3" t="s">
        <v>37</v>
      </c>
      <c r="O382" s="3" t="s">
        <v>112</v>
      </c>
      <c r="P382" s="5">
        <v>5</v>
      </c>
      <c r="Q382" s="5">
        <v>35</v>
      </c>
      <c r="R382" s="5">
        <v>4</v>
      </c>
      <c r="S382" s="5">
        <v>32</v>
      </c>
    </row>
    <row r="383" spans="1:19" ht="28" x14ac:dyDescent="0.15">
      <c r="A383" s="2">
        <f>HYPERLINK("https://open-school.uspishnemisto.com.ua/school/50385/", 50385)</f>
        <v>50385</v>
      </c>
      <c r="B383" s="3" t="s">
        <v>2147</v>
      </c>
      <c r="C383" s="3" t="s">
        <v>31</v>
      </c>
      <c r="D383" s="3" t="s">
        <v>175</v>
      </c>
      <c r="E383" s="4" t="s">
        <v>22</v>
      </c>
      <c r="F383" s="4" t="s">
        <v>2148</v>
      </c>
      <c r="G383" s="4" t="s">
        <v>2149</v>
      </c>
      <c r="H383" s="3" t="s">
        <v>25</v>
      </c>
      <c r="I383" s="3" t="s">
        <v>2150</v>
      </c>
      <c r="J383" s="3" t="s">
        <v>2151</v>
      </c>
      <c r="K383" s="3" t="s">
        <v>2152</v>
      </c>
      <c r="L383" s="3"/>
      <c r="M383" s="4"/>
      <c r="N383" s="3" t="s">
        <v>37</v>
      </c>
      <c r="O383" s="3" t="s">
        <v>38</v>
      </c>
      <c r="P383" s="5">
        <v>4</v>
      </c>
      <c r="Q383" s="5">
        <v>35</v>
      </c>
      <c r="R383" s="5">
        <v>2</v>
      </c>
      <c r="S383" s="5">
        <v>31</v>
      </c>
    </row>
    <row r="384" spans="1:19" ht="28" x14ac:dyDescent="0.15">
      <c r="A384" s="2">
        <f>HYPERLINK("https://open-school.uspishnemisto.com.ua/school/50386/", 50386)</f>
        <v>50386</v>
      </c>
      <c r="B384" s="3" t="s">
        <v>2153</v>
      </c>
      <c r="C384" s="3" t="s">
        <v>31</v>
      </c>
      <c r="D384" s="3" t="s">
        <v>32</v>
      </c>
      <c r="E384" s="4" t="s">
        <v>22</v>
      </c>
      <c r="F384" s="4" t="s">
        <v>2154</v>
      </c>
      <c r="G384" s="4" t="s">
        <v>2155</v>
      </c>
      <c r="H384" s="3" t="s">
        <v>25</v>
      </c>
      <c r="I384" s="3" t="s">
        <v>2156</v>
      </c>
      <c r="J384" s="3" t="s">
        <v>2157</v>
      </c>
      <c r="K384" s="3" t="s">
        <v>2158</v>
      </c>
      <c r="L384" s="3"/>
      <c r="M384" s="4"/>
      <c r="N384" s="3" t="s">
        <v>37</v>
      </c>
      <c r="O384" s="3" t="s">
        <v>721</v>
      </c>
      <c r="P384" s="5">
        <v>12</v>
      </c>
      <c r="Q384" s="5">
        <v>201</v>
      </c>
      <c r="R384" s="5">
        <v>12</v>
      </c>
      <c r="S384" s="5">
        <v>170</v>
      </c>
    </row>
    <row r="385" spans="1:19" ht="28" x14ac:dyDescent="0.15">
      <c r="A385" s="2">
        <f>HYPERLINK("https://open-school.uspishnemisto.com.ua/school/50387/", 50387)</f>
        <v>50387</v>
      </c>
      <c r="B385" s="3" t="s">
        <v>2159</v>
      </c>
      <c r="C385" s="3" t="s">
        <v>31</v>
      </c>
      <c r="D385" s="3" t="s">
        <v>32</v>
      </c>
      <c r="E385" s="4" t="s">
        <v>22</v>
      </c>
      <c r="F385" s="4" t="s">
        <v>2160</v>
      </c>
      <c r="G385" s="4" t="s">
        <v>2161</v>
      </c>
      <c r="H385" s="3" t="s">
        <v>25</v>
      </c>
      <c r="I385" s="3" t="s">
        <v>2162</v>
      </c>
      <c r="J385" s="3" t="s">
        <v>2110</v>
      </c>
      <c r="K385" s="3" t="s">
        <v>2163</v>
      </c>
      <c r="L385" s="3" t="s">
        <v>2164</v>
      </c>
      <c r="M385" s="4"/>
      <c r="N385" s="3" t="s">
        <v>37</v>
      </c>
      <c r="O385" s="3" t="s">
        <v>38</v>
      </c>
      <c r="P385" s="5">
        <v>11</v>
      </c>
      <c r="Q385" s="5">
        <v>189</v>
      </c>
      <c r="R385" s="5">
        <v>11</v>
      </c>
      <c r="S385" s="5">
        <v>192</v>
      </c>
    </row>
    <row r="386" spans="1:19" ht="28" x14ac:dyDescent="0.15">
      <c r="A386" s="2">
        <f>HYPERLINK("https://open-school.uspishnemisto.com.ua/school/50388/", 50388)</f>
        <v>50388</v>
      </c>
      <c r="B386" s="3" t="s">
        <v>2165</v>
      </c>
      <c r="C386" s="3" t="s">
        <v>31</v>
      </c>
      <c r="D386" s="3" t="s">
        <v>32</v>
      </c>
      <c r="E386" s="4" t="s">
        <v>22</v>
      </c>
      <c r="F386" s="4" t="s">
        <v>2166</v>
      </c>
      <c r="G386" s="4" t="s">
        <v>2167</v>
      </c>
      <c r="H386" s="3" t="s">
        <v>25</v>
      </c>
      <c r="I386" s="3" t="s">
        <v>2168</v>
      </c>
      <c r="J386" s="3" t="s">
        <v>2169</v>
      </c>
      <c r="K386" s="3" t="s">
        <v>2170</v>
      </c>
      <c r="L386" s="3"/>
      <c r="M386" s="4"/>
      <c r="N386" s="3" t="s">
        <v>37</v>
      </c>
      <c r="O386" s="3" t="s">
        <v>46</v>
      </c>
      <c r="P386" s="5">
        <v>10</v>
      </c>
      <c r="Q386" s="5">
        <v>54</v>
      </c>
      <c r="R386" s="5">
        <v>7</v>
      </c>
      <c r="S386" s="5">
        <v>55</v>
      </c>
    </row>
    <row r="387" spans="1:19" ht="28" x14ac:dyDescent="0.15">
      <c r="A387" s="2">
        <f>HYPERLINK("https://open-school.uspishnemisto.com.ua/school/50389/", 50389)</f>
        <v>50389</v>
      </c>
      <c r="B387" s="3" t="s">
        <v>2171</v>
      </c>
      <c r="C387" s="3" t="s">
        <v>31</v>
      </c>
      <c r="D387" s="3" t="s">
        <v>32</v>
      </c>
      <c r="E387" s="4" t="s">
        <v>22</v>
      </c>
      <c r="F387" s="4" t="s">
        <v>2172</v>
      </c>
      <c r="G387" s="4" t="s">
        <v>2173</v>
      </c>
      <c r="H387" s="3" t="s">
        <v>25</v>
      </c>
      <c r="I387" s="3" t="s">
        <v>2174</v>
      </c>
      <c r="J387" s="3" t="s">
        <v>792</v>
      </c>
      <c r="K387" s="3" t="s">
        <v>2175</v>
      </c>
      <c r="L387" s="3"/>
      <c r="M387" s="4"/>
      <c r="N387" s="3" t="s">
        <v>37</v>
      </c>
      <c r="O387" s="3" t="s">
        <v>38</v>
      </c>
      <c r="P387" s="5">
        <v>9</v>
      </c>
      <c r="Q387" s="5">
        <v>73</v>
      </c>
      <c r="R387" s="5">
        <v>8</v>
      </c>
      <c r="S387" s="5">
        <v>70</v>
      </c>
    </row>
    <row r="388" spans="1:19" ht="28" x14ac:dyDescent="0.15">
      <c r="A388" s="2">
        <f>HYPERLINK("https://open-school.uspishnemisto.com.ua/school/50390/", 50390)</f>
        <v>50390</v>
      </c>
      <c r="B388" s="3" t="s">
        <v>2176</v>
      </c>
      <c r="C388" s="3" t="s">
        <v>31</v>
      </c>
      <c r="D388" s="3" t="s">
        <v>175</v>
      </c>
      <c r="E388" s="4" t="s">
        <v>22</v>
      </c>
      <c r="F388" s="4" t="s">
        <v>2177</v>
      </c>
      <c r="G388" s="4" t="s">
        <v>2178</v>
      </c>
      <c r="H388" s="3" t="s">
        <v>25</v>
      </c>
      <c r="I388" s="3" t="s">
        <v>2179</v>
      </c>
      <c r="J388" s="3" t="s">
        <v>2180</v>
      </c>
      <c r="K388" s="3" t="s">
        <v>2181</v>
      </c>
      <c r="L388" s="3"/>
      <c r="M388" s="4"/>
      <c r="N388" s="3" t="s">
        <v>37</v>
      </c>
      <c r="O388" s="3" t="s">
        <v>38</v>
      </c>
      <c r="P388" s="5">
        <v>6</v>
      </c>
      <c r="Q388" s="5">
        <v>58</v>
      </c>
      <c r="R388" s="5">
        <v>6</v>
      </c>
      <c r="S388" s="5">
        <v>57</v>
      </c>
    </row>
    <row r="389" spans="1:19" ht="28" x14ac:dyDescent="0.15">
      <c r="A389" s="2">
        <f>HYPERLINK("https://open-school.uspishnemisto.com.ua/school/50391/", 50391)</f>
        <v>50391</v>
      </c>
      <c r="B389" s="3" t="s">
        <v>2182</v>
      </c>
      <c r="C389" s="3" t="s">
        <v>31</v>
      </c>
      <c r="D389" s="3" t="s">
        <v>32</v>
      </c>
      <c r="E389" s="4" t="s">
        <v>22</v>
      </c>
      <c r="F389" s="4" t="s">
        <v>2183</v>
      </c>
      <c r="G389" s="4" t="s">
        <v>2184</v>
      </c>
      <c r="H389" s="3" t="s">
        <v>25</v>
      </c>
      <c r="I389" s="3" t="s">
        <v>362</v>
      </c>
      <c r="J389" s="3" t="s">
        <v>2185</v>
      </c>
      <c r="K389" s="3" t="s">
        <v>2186</v>
      </c>
      <c r="L389" s="3" t="s">
        <v>2187</v>
      </c>
      <c r="M389" s="4"/>
      <c r="N389" s="3" t="s">
        <v>37</v>
      </c>
      <c r="O389" s="3" t="s">
        <v>38</v>
      </c>
      <c r="P389" s="5">
        <v>10</v>
      </c>
      <c r="Q389" s="5">
        <v>83</v>
      </c>
      <c r="R389" s="5">
        <v>10</v>
      </c>
      <c r="S389" s="5">
        <v>85</v>
      </c>
    </row>
    <row r="390" spans="1:19" ht="28" x14ac:dyDescent="0.15">
      <c r="A390" s="2">
        <f>HYPERLINK("https://open-school.uspishnemisto.com.ua/school/50392/", 50392)</f>
        <v>50392</v>
      </c>
      <c r="B390" s="3" t="s">
        <v>2188</v>
      </c>
      <c r="C390" s="3" t="s">
        <v>31</v>
      </c>
      <c r="D390" s="3" t="s">
        <v>175</v>
      </c>
      <c r="E390" s="4" t="s">
        <v>22</v>
      </c>
      <c r="F390" s="4" t="s">
        <v>2189</v>
      </c>
      <c r="G390" s="4" t="s">
        <v>2190</v>
      </c>
      <c r="H390" s="3" t="s">
        <v>25</v>
      </c>
      <c r="I390" s="3" t="s">
        <v>1940</v>
      </c>
      <c r="J390" s="3" t="s">
        <v>2191</v>
      </c>
      <c r="K390" s="3" t="s">
        <v>2192</v>
      </c>
      <c r="L390" s="3"/>
      <c r="M390" s="4"/>
      <c r="N390" s="3" t="s">
        <v>37</v>
      </c>
      <c r="O390" s="3" t="s">
        <v>38</v>
      </c>
      <c r="P390" s="5">
        <v>8</v>
      </c>
      <c r="Q390" s="5">
        <v>70</v>
      </c>
      <c r="R390" s="5">
        <v>8</v>
      </c>
      <c r="S390" s="5">
        <v>74</v>
      </c>
    </row>
    <row r="391" spans="1:19" ht="28" x14ac:dyDescent="0.15">
      <c r="A391" s="2">
        <f>HYPERLINK("https://open-school.uspishnemisto.com.ua/school/50393/", 50393)</f>
        <v>50393</v>
      </c>
      <c r="B391" s="3" t="s">
        <v>2193</v>
      </c>
      <c r="C391" s="3" t="s">
        <v>31</v>
      </c>
      <c r="D391" s="3" t="s">
        <v>175</v>
      </c>
      <c r="E391" s="4" t="s">
        <v>22</v>
      </c>
      <c r="F391" s="4" t="s">
        <v>2194</v>
      </c>
      <c r="G391" s="4" t="s">
        <v>2195</v>
      </c>
      <c r="H391" s="3" t="s">
        <v>25</v>
      </c>
      <c r="I391" s="3" t="s">
        <v>2196</v>
      </c>
      <c r="J391" s="3" t="s">
        <v>2197</v>
      </c>
      <c r="K391" s="3" t="s">
        <v>2198</v>
      </c>
      <c r="L391" s="3"/>
      <c r="M391" s="4"/>
      <c r="N391" s="3" t="s">
        <v>37</v>
      </c>
      <c r="O391" s="3" t="s">
        <v>38</v>
      </c>
      <c r="P391" s="5">
        <v>9</v>
      </c>
      <c r="Q391" s="5">
        <v>100</v>
      </c>
      <c r="R391" s="5">
        <v>9</v>
      </c>
      <c r="S391" s="5">
        <v>109</v>
      </c>
    </row>
    <row r="392" spans="1:19" ht="28" x14ac:dyDescent="0.15">
      <c r="A392" s="2">
        <f>HYPERLINK("https://open-school.uspishnemisto.com.ua/school/50394/", 50394)</f>
        <v>50394</v>
      </c>
      <c r="B392" s="3" t="s">
        <v>2199</v>
      </c>
      <c r="C392" s="3" t="s">
        <v>31</v>
      </c>
      <c r="D392" s="3" t="s">
        <v>175</v>
      </c>
      <c r="E392" s="4" t="s">
        <v>22</v>
      </c>
      <c r="F392" s="4" t="s">
        <v>2200</v>
      </c>
      <c r="G392" s="4" t="s">
        <v>2201</v>
      </c>
      <c r="H392" s="3" t="s">
        <v>25</v>
      </c>
      <c r="I392" s="3" t="s">
        <v>2202</v>
      </c>
      <c r="J392" s="3" t="s">
        <v>2203</v>
      </c>
      <c r="K392" s="3" t="s">
        <v>2204</v>
      </c>
      <c r="L392" s="3"/>
      <c r="M392" s="4"/>
      <c r="N392" s="3" t="s">
        <v>37</v>
      </c>
      <c r="O392" s="3" t="s">
        <v>38</v>
      </c>
      <c r="P392" s="5">
        <v>6</v>
      </c>
      <c r="Q392" s="5">
        <v>37</v>
      </c>
      <c r="R392" s="5">
        <v>6</v>
      </c>
      <c r="S392" s="5">
        <v>41</v>
      </c>
    </row>
    <row r="393" spans="1:19" ht="28" x14ac:dyDescent="0.15">
      <c r="A393" s="2">
        <f>HYPERLINK("https://open-school.uspishnemisto.com.ua/school/50395/", 50395)</f>
        <v>50395</v>
      </c>
      <c r="B393" s="3" t="s">
        <v>2205</v>
      </c>
      <c r="C393" s="3" t="s">
        <v>31</v>
      </c>
      <c r="D393" s="3" t="s">
        <v>175</v>
      </c>
      <c r="E393" s="4" t="s">
        <v>22</v>
      </c>
      <c r="F393" s="4" t="s">
        <v>2206</v>
      </c>
      <c r="G393" s="4" t="s">
        <v>2207</v>
      </c>
      <c r="H393" s="3" t="s">
        <v>25</v>
      </c>
      <c r="I393" s="3" t="s">
        <v>2208</v>
      </c>
      <c r="J393" s="3" t="s">
        <v>2209</v>
      </c>
      <c r="K393" s="3" t="s">
        <v>2210</v>
      </c>
      <c r="L393" s="3"/>
      <c r="M393" s="4"/>
      <c r="N393" s="3" t="s">
        <v>37</v>
      </c>
      <c r="O393" s="3" t="s">
        <v>70</v>
      </c>
      <c r="P393" s="5">
        <v>8</v>
      </c>
      <c r="Q393" s="5">
        <v>88</v>
      </c>
      <c r="R393" s="5">
        <v>8</v>
      </c>
      <c r="S393" s="5">
        <v>78</v>
      </c>
    </row>
    <row r="394" spans="1:19" ht="28" x14ac:dyDescent="0.15">
      <c r="A394" s="2">
        <f>HYPERLINK("https://open-school.uspishnemisto.com.ua/school/50396/", 50396)</f>
        <v>50396</v>
      </c>
      <c r="B394" s="3" t="s">
        <v>2211</v>
      </c>
      <c r="C394" s="3" t="s">
        <v>31</v>
      </c>
      <c r="D394" s="3" t="s">
        <v>175</v>
      </c>
      <c r="E394" s="4" t="s">
        <v>22</v>
      </c>
      <c r="F394" s="4" t="s">
        <v>2172</v>
      </c>
      <c r="G394" s="4" t="s">
        <v>2212</v>
      </c>
      <c r="H394" s="3" t="s">
        <v>25</v>
      </c>
      <c r="I394" s="3" t="s">
        <v>2213</v>
      </c>
      <c r="J394" s="3" t="s">
        <v>2214</v>
      </c>
      <c r="K394" s="3" t="s">
        <v>2215</v>
      </c>
      <c r="L394" s="3"/>
      <c r="M394" s="4"/>
      <c r="N394" s="3" t="s">
        <v>37</v>
      </c>
      <c r="O394" s="3" t="s">
        <v>38</v>
      </c>
      <c r="P394" s="5">
        <v>8</v>
      </c>
      <c r="Q394" s="5">
        <v>58</v>
      </c>
      <c r="R394" s="5">
        <v>7</v>
      </c>
      <c r="S394" s="5">
        <v>55</v>
      </c>
    </row>
    <row r="395" spans="1:19" ht="42" x14ac:dyDescent="0.15">
      <c r="A395" s="2">
        <f>HYPERLINK("https://open-school.uspishnemisto.com.ua/school/50397/", 50397)</f>
        <v>50397</v>
      </c>
      <c r="B395" s="3" t="s">
        <v>2216</v>
      </c>
      <c r="C395" s="3" t="s">
        <v>31</v>
      </c>
      <c r="D395" s="3" t="s">
        <v>32</v>
      </c>
      <c r="E395" s="4" t="s">
        <v>22</v>
      </c>
      <c r="F395" s="4" t="s">
        <v>2217</v>
      </c>
      <c r="G395" s="4" t="s">
        <v>2218</v>
      </c>
      <c r="H395" s="3" t="s">
        <v>25</v>
      </c>
      <c r="I395" s="3" t="s">
        <v>2219</v>
      </c>
      <c r="J395" s="3" t="s">
        <v>1668</v>
      </c>
      <c r="K395" s="3" t="s">
        <v>2220</v>
      </c>
      <c r="L395" s="3"/>
      <c r="M395" s="4" t="s">
        <v>2221</v>
      </c>
      <c r="N395" s="3" t="s">
        <v>37</v>
      </c>
      <c r="O395" s="3" t="s">
        <v>38</v>
      </c>
      <c r="P395" s="5">
        <v>11</v>
      </c>
      <c r="Q395" s="5">
        <v>201</v>
      </c>
      <c r="R395" s="5">
        <v>11</v>
      </c>
      <c r="S395" s="5">
        <v>200</v>
      </c>
    </row>
    <row r="396" spans="1:19" ht="28" x14ac:dyDescent="0.15">
      <c r="A396" s="2">
        <f>HYPERLINK("https://open-school.uspishnemisto.com.ua/school/50398/", 50398)</f>
        <v>50398</v>
      </c>
      <c r="B396" s="3" t="s">
        <v>2222</v>
      </c>
      <c r="C396" s="3" t="s">
        <v>31</v>
      </c>
      <c r="D396" s="3" t="s">
        <v>175</v>
      </c>
      <c r="E396" s="4" t="s">
        <v>22</v>
      </c>
      <c r="F396" s="4" t="s">
        <v>2223</v>
      </c>
      <c r="G396" s="4" t="s">
        <v>2224</v>
      </c>
      <c r="H396" s="3" t="s">
        <v>25</v>
      </c>
      <c r="I396" s="3" t="s">
        <v>2225</v>
      </c>
      <c r="J396" s="3" t="s">
        <v>2226</v>
      </c>
      <c r="K396" s="3" t="s">
        <v>2227</v>
      </c>
      <c r="L396" s="3"/>
      <c r="M396" s="4"/>
      <c r="N396" s="3" t="s">
        <v>37</v>
      </c>
      <c r="O396" s="3" t="s">
        <v>70</v>
      </c>
      <c r="P396" s="5">
        <v>9</v>
      </c>
      <c r="Q396" s="5">
        <v>90</v>
      </c>
      <c r="R396" s="5">
        <v>9</v>
      </c>
      <c r="S396" s="5">
        <v>89</v>
      </c>
    </row>
    <row r="397" spans="1:19" ht="28" x14ac:dyDescent="0.15">
      <c r="A397" s="2">
        <f>HYPERLINK("https://open-school.uspishnemisto.com.ua/school/50399/", 50399)</f>
        <v>50399</v>
      </c>
      <c r="B397" s="3" t="s">
        <v>2228</v>
      </c>
      <c r="C397" s="3" t="s">
        <v>31</v>
      </c>
      <c r="D397" s="3" t="s">
        <v>175</v>
      </c>
      <c r="E397" s="4" t="s">
        <v>22</v>
      </c>
      <c r="F397" s="4" t="s">
        <v>2229</v>
      </c>
      <c r="G397" s="4" t="s">
        <v>2230</v>
      </c>
      <c r="H397" s="3" t="s">
        <v>25</v>
      </c>
      <c r="I397" s="3" t="s">
        <v>2231</v>
      </c>
      <c r="J397" s="3" t="s">
        <v>466</v>
      </c>
      <c r="K397" s="3" t="s">
        <v>2232</v>
      </c>
      <c r="L397" s="3"/>
      <c r="M397" s="4"/>
      <c r="N397" s="3" t="s">
        <v>37</v>
      </c>
      <c r="O397" s="3" t="s">
        <v>38</v>
      </c>
      <c r="P397" s="5">
        <v>9</v>
      </c>
      <c r="Q397" s="5">
        <v>48</v>
      </c>
      <c r="R397" s="5">
        <v>9</v>
      </c>
      <c r="S397" s="5">
        <v>43</v>
      </c>
    </row>
    <row r="398" spans="1:19" ht="28" x14ac:dyDescent="0.15">
      <c r="A398" s="2">
        <f>HYPERLINK("https://open-school.uspishnemisto.com.ua/school/50400/", 50400)</f>
        <v>50400</v>
      </c>
      <c r="B398" s="3" t="s">
        <v>2233</v>
      </c>
      <c r="C398" s="3" t="s">
        <v>31</v>
      </c>
      <c r="D398" s="3" t="s">
        <v>175</v>
      </c>
      <c r="E398" s="4" t="s">
        <v>22</v>
      </c>
      <c r="F398" s="4" t="s">
        <v>2234</v>
      </c>
      <c r="G398" s="4" t="s">
        <v>2235</v>
      </c>
      <c r="H398" s="3" t="s">
        <v>25</v>
      </c>
      <c r="I398" s="3" t="s">
        <v>2236</v>
      </c>
      <c r="J398" s="3" t="s">
        <v>792</v>
      </c>
      <c r="K398" s="3" t="s">
        <v>2237</v>
      </c>
      <c r="L398" s="3"/>
      <c r="M398" s="4"/>
      <c r="N398" s="3" t="s">
        <v>37</v>
      </c>
      <c r="O398" s="3" t="s">
        <v>38</v>
      </c>
      <c r="P398" s="5">
        <v>3</v>
      </c>
      <c r="Q398" s="5">
        <v>32</v>
      </c>
      <c r="R398" s="5">
        <v>3</v>
      </c>
      <c r="S398" s="5">
        <v>33</v>
      </c>
    </row>
    <row r="399" spans="1:19" ht="28" x14ac:dyDescent="0.15">
      <c r="A399" s="2">
        <f>HYPERLINK("https://open-school.uspishnemisto.com.ua/school/50401/", 50401)</f>
        <v>50401</v>
      </c>
      <c r="B399" s="3" t="s">
        <v>2238</v>
      </c>
      <c r="C399" s="3" t="s">
        <v>31</v>
      </c>
      <c r="D399" s="3" t="s">
        <v>32</v>
      </c>
      <c r="E399" s="4" t="s">
        <v>22</v>
      </c>
      <c r="F399" s="4" t="s">
        <v>2239</v>
      </c>
      <c r="G399" s="4" t="s">
        <v>2240</v>
      </c>
      <c r="H399" s="3" t="s">
        <v>25</v>
      </c>
      <c r="I399" s="3" t="s">
        <v>2241</v>
      </c>
      <c r="J399" s="3" t="s">
        <v>2242</v>
      </c>
      <c r="K399" s="3" t="s">
        <v>2243</v>
      </c>
      <c r="L399" s="3"/>
      <c r="M399" s="4"/>
      <c r="N399" s="3" t="s">
        <v>37</v>
      </c>
      <c r="O399" s="3" t="s">
        <v>46</v>
      </c>
      <c r="P399" s="5">
        <v>11</v>
      </c>
      <c r="Q399" s="5">
        <v>102</v>
      </c>
      <c r="R399" s="5">
        <v>8</v>
      </c>
      <c r="S399" s="5">
        <v>88</v>
      </c>
    </row>
    <row r="400" spans="1:19" ht="28" x14ac:dyDescent="0.15">
      <c r="A400" s="2">
        <f>HYPERLINK("https://open-school.uspishnemisto.com.ua/school/50402/", 50402)</f>
        <v>50402</v>
      </c>
      <c r="B400" s="3" t="s">
        <v>2244</v>
      </c>
      <c r="C400" s="3" t="s">
        <v>181</v>
      </c>
      <c r="D400" s="3" t="s">
        <v>32</v>
      </c>
      <c r="E400" s="4" t="s">
        <v>22</v>
      </c>
      <c r="F400" s="4" t="s">
        <v>2239</v>
      </c>
      <c r="G400" s="4" t="s">
        <v>2240</v>
      </c>
      <c r="H400" s="3" t="s">
        <v>25</v>
      </c>
      <c r="I400" s="3" t="s">
        <v>2241</v>
      </c>
      <c r="J400" s="3" t="s">
        <v>2245</v>
      </c>
      <c r="K400" s="3" t="s">
        <v>2246</v>
      </c>
      <c r="L400" s="3" t="s">
        <v>2247</v>
      </c>
      <c r="M400" s="4" t="s">
        <v>2248</v>
      </c>
      <c r="N400" s="3" t="s">
        <v>37</v>
      </c>
      <c r="O400" s="3"/>
      <c r="P400" s="5">
        <v>10</v>
      </c>
      <c r="Q400" s="5">
        <v>113</v>
      </c>
      <c r="R400" s="5">
        <v>10</v>
      </c>
      <c r="S400" s="5">
        <v>105</v>
      </c>
    </row>
    <row r="401" spans="1:19" ht="28" x14ac:dyDescent="0.15">
      <c r="A401" s="2">
        <f>HYPERLINK("https://open-school.uspishnemisto.com.ua/school/50403/", 50403)</f>
        <v>50403</v>
      </c>
      <c r="B401" s="3" t="s">
        <v>2249</v>
      </c>
      <c r="C401" s="3" t="s">
        <v>31</v>
      </c>
      <c r="D401" s="3" t="s">
        <v>175</v>
      </c>
      <c r="E401" s="4" t="s">
        <v>22</v>
      </c>
      <c r="F401" s="4" t="s">
        <v>2250</v>
      </c>
      <c r="G401" s="4" t="s">
        <v>2251</v>
      </c>
      <c r="H401" s="3" t="s">
        <v>25</v>
      </c>
      <c r="I401" s="3" t="s">
        <v>2252</v>
      </c>
      <c r="J401" s="3" t="s">
        <v>2253</v>
      </c>
      <c r="K401" s="3" t="s">
        <v>2254</v>
      </c>
      <c r="L401" s="3"/>
      <c r="M401" s="4"/>
      <c r="N401" s="3" t="s">
        <v>37</v>
      </c>
      <c r="O401" s="3" t="s">
        <v>38</v>
      </c>
      <c r="P401" s="5">
        <v>4</v>
      </c>
      <c r="Q401" s="5">
        <v>44</v>
      </c>
      <c r="R401" s="5">
        <v>5</v>
      </c>
      <c r="S401" s="5">
        <v>42</v>
      </c>
    </row>
    <row r="402" spans="1:19" ht="28" x14ac:dyDescent="0.15">
      <c r="A402" s="2">
        <f>HYPERLINK("https://open-school.uspishnemisto.com.ua/school/50404/", 50404)</f>
        <v>50404</v>
      </c>
      <c r="B402" s="3" t="s">
        <v>2255</v>
      </c>
      <c r="C402" s="3" t="s">
        <v>31</v>
      </c>
      <c r="D402" s="3" t="s">
        <v>32</v>
      </c>
      <c r="E402" s="4" t="s">
        <v>22</v>
      </c>
      <c r="F402" s="4" t="s">
        <v>2256</v>
      </c>
      <c r="G402" s="4" t="s">
        <v>2257</v>
      </c>
      <c r="H402" s="3" t="s">
        <v>25</v>
      </c>
      <c r="I402" s="3" t="s">
        <v>2258</v>
      </c>
      <c r="J402" s="3" t="s">
        <v>2259</v>
      </c>
      <c r="K402" s="3" t="s">
        <v>2260</v>
      </c>
      <c r="L402" s="3"/>
      <c r="M402" s="4"/>
      <c r="N402" s="3" t="s">
        <v>37</v>
      </c>
      <c r="O402" s="3" t="s">
        <v>38</v>
      </c>
      <c r="P402" s="5">
        <v>10</v>
      </c>
      <c r="Q402" s="5">
        <v>90</v>
      </c>
      <c r="R402" s="5">
        <v>11</v>
      </c>
      <c r="S402" s="5">
        <v>108</v>
      </c>
    </row>
    <row r="403" spans="1:19" ht="28" x14ac:dyDescent="0.15">
      <c r="A403" s="2">
        <f>HYPERLINK("https://open-school.uspishnemisto.com.ua/school/50405/", 50405)</f>
        <v>50405</v>
      </c>
      <c r="B403" s="3" t="s">
        <v>2261</v>
      </c>
      <c r="C403" s="3" t="s">
        <v>31</v>
      </c>
      <c r="D403" s="3" t="s">
        <v>175</v>
      </c>
      <c r="E403" s="4" t="s">
        <v>22</v>
      </c>
      <c r="F403" s="4" t="s">
        <v>2262</v>
      </c>
      <c r="G403" s="4" t="s">
        <v>2263</v>
      </c>
      <c r="H403" s="3" t="s">
        <v>25</v>
      </c>
      <c r="I403" s="3" t="s">
        <v>2264</v>
      </c>
      <c r="J403" s="3" t="s">
        <v>466</v>
      </c>
      <c r="K403" s="3" t="s">
        <v>2265</v>
      </c>
      <c r="L403" s="3"/>
      <c r="M403" s="4"/>
      <c r="N403" s="3" t="s">
        <v>37</v>
      </c>
      <c r="O403" s="3" t="s">
        <v>38</v>
      </c>
      <c r="P403" s="5">
        <v>3</v>
      </c>
      <c r="Q403" s="5">
        <v>42</v>
      </c>
      <c r="R403" s="5">
        <v>3</v>
      </c>
      <c r="S403" s="5">
        <v>42</v>
      </c>
    </row>
    <row r="404" spans="1:19" ht="28" x14ac:dyDescent="0.15">
      <c r="A404" s="2">
        <f>HYPERLINK("https://open-school.uspishnemisto.com.ua/school/50406/", 50406)</f>
        <v>50406</v>
      </c>
      <c r="B404" s="3" t="s">
        <v>2266</v>
      </c>
      <c r="C404" s="3" t="s">
        <v>31</v>
      </c>
      <c r="D404" s="3" t="s">
        <v>32</v>
      </c>
      <c r="E404" s="4" t="s">
        <v>22</v>
      </c>
      <c r="F404" s="4" t="s">
        <v>2267</v>
      </c>
      <c r="G404" s="4" t="s">
        <v>2268</v>
      </c>
      <c r="H404" s="3" t="s">
        <v>25</v>
      </c>
      <c r="I404" s="3" t="s">
        <v>2269</v>
      </c>
      <c r="J404" s="3" t="s">
        <v>2270</v>
      </c>
      <c r="K404" s="3" t="s">
        <v>2271</v>
      </c>
      <c r="L404" s="3"/>
      <c r="M404" s="4"/>
      <c r="N404" s="3" t="s">
        <v>37</v>
      </c>
      <c r="O404" s="3" t="s">
        <v>266</v>
      </c>
      <c r="P404" s="5">
        <v>24</v>
      </c>
      <c r="Q404" s="5">
        <v>567</v>
      </c>
      <c r="R404" s="5">
        <v>24</v>
      </c>
      <c r="S404" s="5">
        <v>564</v>
      </c>
    </row>
    <row r="405" spans="1:19" ht="28" x14ac:dyDescent="0.15">
      <c r="A405" s="2">
        <f>HYPERLINK("https://open-school.uspishnemisto.com.ua/school/50407/", 50407)</f>
        <v>50407</v>
      </c>
      <c r="B405" s="3" t="s">
        <v>2272</v>
      </c>
      <c r="C405" s="3" t="s">
        <v>31</v>
      </c>
      <c r="D405" s="3" t="s">
        <v>32</v>
      </c>
      <c r="E405" s="4" t="s">
        <v>22</v>
      </c>
      <c r="F405" s="4" t="s">
        <v>2267</v>
      </c>
      <c r="G405" s="4" t="s">
        <v>2268</v>
      </c>
      <c r="H405" s="3" t="s">
        <v>25</v>
      </c>
      <c r="I405" s="3" t="s">
        <v>2269</v>
      </c>
      <c r="J405" s="3" t="s">
        <v>2273</v>
      </c>
      <c r="K405" s="3" t="s">
        <v>2274</v>
      </c>
      <c r="L405" s="3"/>
      <c r="M405" s="4"/>
      <c r="N405" s="3" t="s">
        <v>37</v>
      </c>
      <c r="O405" s="3" t="s">
        <v>52</v>
      </c>
      <c r="P405" s="5">
        <v>23</v>
      </c>
      <c r="Q405" s="5">
        <v>570</v>
      </c>
      <c r="R405" s="5">
        <v>23</v>
      </c>
      <c r="S405" s="5">
        <v>519</v>
      </c>
    </row>
    <row r="406" spans="1:19" ht="28" x14ac:dyDescent="0.15">
      <c r="A406" s="2">
        <f>HYPERLINK("https://open-school.uspishnemisto.com.ua/school/50408/", 50408)</f>
        <v>50408</v>
      </c>
      <c r="B406" s="3" t="s">
        <v>2275</v>
      </c>
      <c r="C406" s="3" t="s">
        <v>31</v>
      </c>
      <c r="D406" s="3" t="s">
        <v>32</v>
      </c>
      <c r="E406" s="4" t="s">
        <v>22</v>
      </c>
      <c r="F406" s="4" t="s">
        <v>2276</v>
      </c>
      <c r="G406" s="4" t="s">
        <v>2277</v>
      </c>
      <c r="H406" s="3" t="s">
        <v>25</v>
      </c>
      <c r="I406" s="3" t="s">
        <v>2278</v>
      </c>
      <c r="J406" s="3" t="s">
        <v>2279</v>
      </c>
      <c r="K406" s="3" t="s">
        <v>2280</v>
      </c>
      <c r="L406" s="3"/>
      <c r="M406" s="4"/>
      <c r="N406" s="3" t="s">
        <v>37</v>
      </c>
      <c r="O406" s="3" t="s">
        <v>38</v>
      </c>
      <c r="P406" s="5">
        <v>11</v>
      </c>
      <c r="Q406" s="5">
        <v>148</v>
      </c>
      <c r="R406" s="5">
        <v>11</v>
      </c>
      <c r="S406" s="5">
        <v>147</v>
      </c>
    </row>
    <row r="407" spans="1:19" ht="42" x14ac:dyDescent="0.15">
      <c r="A407" s="2">
        <f>HYPERLINK("https://open-school.uspishnemisto.com.ua/school/50409/", 50409)</f>
        <v>50409</v>
      </c>
      <c r="B407" s="3" t="s">
        <v>2281</v>
      </c>
      <c r="C407" s="3" t="s">
        <v>54</v>
      </c>
      <c r="D407" s="3" t="s">
        <v>32</v>
      </c>
      <c r="E407" s="4" t="s">
        <v>22</v>
      </c>
      <c r="F407" s="4" t="s">
        <v>2282</v>
      </c>
      <c r="G407" s="4" t="s">
        <v>2283</v>
      </c>
      <c r="H407" s="3" t="s">
        <v>25</v>
      </c>
      <c r="I407" s="3" t="s">
        <v>2284</v>
      </c>
      <c r="J407" s="3" t="s">
        <v>2285</v>
      </c>
      <c r="K407" s="3" t="s">
        <v>2286</v>
      </c>
      <c r="L407" s="3"/>
      <c r="M407" s="4"/>
      <c r="N407" s="3" t="s">
        <v>37</v>
      </c>
      <c r="O407" s="3" t="s">
        <v>38</v>
      </c>
      <c r="P407" s="5">
        <v>11</v>
      </c>
      <c r="Q407" s="5">
        <v>82</v>
      </c>
      <c r="R407" s="5">
        <v>11</v>
      </c>
      <c r="S407" s="5">
        <v>83</v>
      </c>
    </row>
    <row r="408" spans="1:19" ht="28" x14ac:dyDescent="0.15">
      <c r="A408" s="2">
        <f>HYPERLINK("https://open-school.uspishnemisto.com.ua/school/50410/", 50410)</f>
        <v>50410</v>
      </c>
      <c r="B408" s="3" t="s">
        <v>2287</v>
      </c>
      <c r="C408" s="3" t="s">
        <v>31</v>
      </c>
      <c r="D408" s="3" t="s">
        <v>32</v>
      </c>
      <c r="E408" s="4" t="s">
        <v>22</v>
      </c>
      <c r="F408" s="4" t="s">
        <v>2288</v>
      </c>
      <c r="G408" s="4" t="s">
        <v>2289</v>
      </c>
      <c r="H408" s="3" t="s">
        <v>25</v>
      </c>
      <c r="I408" s="3" t="s">
        <v>2290</v>
      </c>
      <c r="J408" s="3" t="s">
        <v>2291</v>
      </c>
      <c r="K408" s="3" t="s">
        <v>2292</v>
      </c>
      <c r="L408" s="3"/>
      <c r="M408" s="4"/>
      <c r="N408" s="3" t="s">
        <v>37</v>
      </c>
      <c r="O408" s="3" t="s">
        <v>52</v>
      </c>
      <c r="P408" s="5">
        <v>11</v>
      </c>
      <c r="Q408" s="5">
        <v>115</v>
      </c>
      <c r="R408" s="5">
        <v>11</v>
      </c>
      <c r="S408" s="5">
        <v>115</v>
      </c>
    </row>
    <row r="409" spans="1:19" ht="28" x14ac:dyDescent="0.15">
      <c r="A409" s="2">
        <f>HYPERLINK("https://open-school.uspishnemisto.com.ua/school/50411/", 50411)</f>
        <v>50411</v>
      </c>
      <c r="B409" s="3" t="s">
        <v>2293</v>
      </c>
      <c r="C409" s="3" t="s">
        <v>31</v>
      </c>
      <c r="D409" s="3" t="s">
        <v>175</v>
      </c>
      <c r="E409" s="4" t="s">
        <v>22</v>
      </c>
      <c r="F409" s="4" t="s">
        <v>2294</v>
      </c>
      <c r="G409" s="4" t="s">
        <v>2295</v>
      </c>
      <c r="H409" s="3" t="s">
        <v>25</v>
      </c>
      <c r="I409" s="3" t="s">
        <v>2296</v>
      </c>
      <c r="J409" s="3" t="s">
        <v>1946</v>
      </c>
      <c r="K409" s="3" t="s">
        <v>2297</v>
      </c>
      <c r="L409" s="3"/>
      <c r="M409" s="4"/>
      <c r="N409" s="3" t="s">
        <v>37</v>
      </c>
      <c r="O409" s="3" t="s">
        <v>38</v>
      </c>
      <c r="P409" s="5">
        <v>1</v>
      </c>
      <c r="Q409" s="5">
        <v>26</v>
      </c>
      <c r="R409" s="5">
        <v>2</v>
      </c>
      <c r="S409" s="5">
        <v>28</v>
      </c>
    </row>
    <row r="410" spans="1:19" ht="28" x14ac:dyDescent="0.15">
      <c r="A410" s="2">
        <f>HYPERLINK("https://open-school.uspishnemisto.com.ua/school/50412/", 50412)</f>
        <v>50412</v>
      </c>
      <c r="B410" s="3" t="s">
        <v>2298</v>
      </c>
      <c r="C410" s="3" t="s">
        <v>31</v>
      </c>
      <c r="D410" s="3" t="s">
        <v>32</v>
      </c>
      <c r="E410" s="4" t="s">
        <v>22</v>
      </c>
      <c r="F410" s="4" t="s">
        <v>2299</v>
      </c>
      <c r="G410" s="4" t="s">
        <v>2300</v>
      </c>
      <c r="H410" s="3" t="s">
        <v>25</v>
      </c>
      <c r="I410" s="3" t="s">
        <v>2301</v>
      </c>
      <c r="J410" s="3" t="s">
        <v>2302</v>
      </c>
      <c r="K410" s="3" t="s">
        <v>2303</v>
      </c>
      <c r="L410" s="3"/>
      <c r="M410" s="4"/>
      <c r="N410" s="3" t="s">
        <v>37</v>
      </c>
      <c r="O410" s="3" t="s">
        <v>38</v>
      </c>
      <c r="P410" s="5">
        <v>8</v>
      </c>
      <c r="Q410" s="5">
        <v>68</v>
      </c>
      <c r="R410" s="5">
        <v>8</v>
      </c>
      <c r="S410" s="5">
        <v>66</v>
      </c>
    </row>
    <row r="411" spans="1:19" ht="42" x14ac:dyDescent="0.15">
      <c r="A411" s="2">
        <f>HYPERLINK("https://open-school.uspishnemisto.com.ua/school/50413/", 50413)</f>
        <v>50413</v>
      </c>
      <c r="B411" s="3" t="s">
        <v>2304</v>
      </c>
      <c r="C411" s="3" t="s">
        <v>54</v>
      </c>
      <c r="D411" s="3" t="s">
        <v>32</v>
      </c>
      <c r="E411" s="4" t="s">
        <v>22</v>
      </c>
      <c r="F411" s="4" t="s">
        <v>2305</v>
      </c>
      <c r="G411" s="4" t="s">
        <v>2306</v>
      </c>
      <c r="H411" s="3" t="s">
        <v>25</v>
      </c>
      <c r="I411" s="3" t="s">
        <v>2307</v>
      </c>
      <c r="J411" s="3" t="s">
        <v>447</v>
      </c>
      <c r="K411" s="3" t="s">
        <v>2308</v>
      </c>
      <c r="L411" s="3"/>
      <c r="M411" s="4"/>
      <c r="N411" s="3" t="s">
        <v>37</v>
      </c>
      <c r="O411" s="3" t="s">
        <v>38</v>
      </c>
      <c r="P411" s="5">
        <v>9</v>
      </c>
      <c r="Q411" s="5">
        <v>70</v>
      </c>
      <c r="R411" s="5">
        <v>9</v>
      </c>
      <c r="S411" s="5">
        <v>65</v>
      </c>
    </row>
    <row r="412" spans="1:19" ht="28" x14ac:dyDescent="0.15">
      <c r="A412" s="2">
        <f>HYPERLINK("https://open-school.uspishnemisto.com.ua/school/50414/", 50414)</f>
        <v>50414</v>
      </c>
      <c r="B412" s="3" t="s">
        <v>2309</v>
      </c>
      <c r="C412" s="3" t="s">
        <v>31</v>
      </c>
      <c r="D412" s="3" t="s">
        <v>32</v>
      </c>
      <c r="E412" s="4" t="s">
        <v>22</v>
      </c>
      <c r="F412" s="4" t="s">
        <v>2310</v>
      </c>
      <c r="G412" s="4" t="s">
        <v>2311</v>
      </c>
      <c r="H412" s="3" t="s">
        <v>25</v>
      </c>
      <c r="I412" s="3" t="s">
        <v>2312</v>
      </c>
      <c r="J412" s="3" t="s">
        <v>2313</v>
      </c>
      <c r="K412" s="3" t="s">
        <v>2314</v>
      </c>
      <c r="L412" s="3"/>
      <c r="M412" s="4"/>
      <c r="N412" s="3" t="s">
        <v>37</v>
      </c>
      <c r="O412" s="3" t="s">
        <v>38</v>
      </c>
      <c r="P412" s="5">
        <v>11</v>
      </c>
      <c r="Q412" s="5">
        <v>238</v>
      </c>
      <c r="R412" s="5">
        <v>11</v>
      </c>
      <c r="S412" s="5">
        <v>229</v>
      </c>
    </row>
    <row r="413" spans="1:19" ht="42" x14ac:dyDescent="0.15">
      <c r="A413" s="2">
        <f>HYPERLINK("https://open-school.uspishnemisto.com.ua/school/50415/", 50415)</f>
        <v>50415</v>
      </c>
      <c r="B413" s="3" t="s">
        <v>2315</v>
      </c>
      <c r="C413" s="3" t="s">
        <v>54</v>
      </c>
      <c r="D413" s="3" t="s">
        <v>60</v>
      </c>
      <c r="E413" s="4" t="s">
        <v>22</v>
      </c>
      <c r="F413" s="4" t="s">
        <v>2316</v>
      </c>
      <c r="G413" s="4" t="s">
        <v>2317</v>
      </c>
      <c r="H413" s="3" t="s">
        <v>25</v>
      </c>
      <c r="I413" s="3" t="s">
        <v>362</v>
      </c>
      <c r="J413" s="3" t="s">
        <v>2318</v>
      </c>
      <c r="K413" s="3" t="s">
        <v>2319</v>
      </c>
      <c r="L413" s="3"/>
      <c r="M413" s="4"/>
      <c r="N413" s="3" t="s">
        <v>37</v>
      </c>
      <c r="O413" s="3" t="s">
        <v>52</v>
      </c>
      <c r="P413" s="5">
        <v>1</v>
      </c>
      <c r="Q413" s="5">
        <v>15</v>
      </c>
      <c r="R413" s="5">
        <v>2</v>
      </c>
      <c r="S413" s="5">
        <v>18</v>
      </c>
    </row>
    <row r="414" spans="1:19" ht="56" x14ac:dyDescent="0.15">
      <c r="A414" s="2">
        <f>HYPERLINK("https://open-school.uspishnemisto.com.ua/school/50416/", 50416)</f>
        <v>50416</v>
      </c>
      <c r="B414" s="3" t="s">
        <v>2320</v>
      </c>
      <c r="C414" s="3" t="s">
        <v>54</v>
      </c>
      <c r="D414" s="3" t="s">
        <v>32</v>
      </c>
      <c r="E414" s="4" t="s">
        <v>22</v>
      </c>
      <c r="F414" s="4" t="s">
        <v>2321</v>
      </c>
      <c r="G414" s="4" t="s">
        <v>2322</v>
      </c>
      <c r="H414" s="3" t="s">
        <v>25</v>
      </c>
      <c r="I414" s="3" t="s">
        <v>2323</v>
      </c>
      <c r="J414" s="3" t="s">
        <v>297</v>
      </c>
      <c r="K414" s="3" t="s">
        <v>2324</v>
      </c>
      <c r="L414" s="3"/>
      <c r="M414" s="4"/>
      <c r="N414" s="3" t="s">
        <v>37</v>
      </c>
      <c r="O414" s="3" t="s">
        <v>38</v>
      </c>
      <c r="P414" s="5">
        <v>9</v>
      </c>
      <c r="Q414" s="5">
        <v>93</v>
      </c>
      <c r="R414" s="5">
        <v>10</v>
      </c>
      <c r="S414" s="5">
        <v>91</v>
      </c>
    </row>
    <row r="415" spans="1:19" ht="28" x14ac:dyDescent="0.15">
      <c r="A415" s="2">
        <f>HYPERLINK("https://open-school.uspishnemisto.com.ua/school/50417/", 50417)</f>
        <v>50417</v>
      </c>
      <c r="B415" s="3" t="s">
        <v>2325</v>
      </c>
      <c r="C415" s="3" t="s">
        <v>31</v>
      </c>
      <c r="D415" s="3" t="s">
        <v>32</v>
      </c>
      <c r="E415" s="4" t="s">
        <v>22</v>
      </c>
      <c r="F415" s="4" t="s">
        <v>2326</v>
      </c>
      <c r="G415" s="4" t="s">
        <v>2327</v>
      </c>
      <c r="H415" s="3" t="s">
        <v>25</v>
      </c>
      <c r="I415" s="3" t="s">
        <v>2328</v>
      </c>
      <c r="J415" s="3" t="s">
        <v>2329</v>
      </c>
      <c r="K415" s="3" t="s">
        <v>2330</v>
      </c>
      <c r="L415" s="3" t="s">
        <v>2331</v>
      </c>
      <c r="M415" s="4"/>
      <c r="N415" s="3" t="s">
        <v>37</v>
      </c>
      <c r="O415" s="3" t="s">
        <v>38</v>
      </c>
      <c r="P415" s="5">
        <v>11</v>
      </c>
      <c r="Q415" s="5">
        <v>150</v>
      </c>
      <c r="R415" s="5">
        <v>11</v>
      </c>
      <c r="S415" s="5">
        <v>149</v>
      </c>
    </row>
    <row r="416" spans="1:19" ht="28" x14ac:dyDescent="0.15">
      <c r="A416" s="2">
        <f>HYPERLINK("https://open-school.uspishnemisto.com.ua/school/50418/", 50418)</f>
        <v>50418</v>
      </c>
      <c r="B416" s="3" t="s">
        <v>2332</v>
      </c>
      <c r="C416" s="3" t="s">
        <v>31</v>
      </c>
      <c r="D416" s="3" t="s">
        <v>32</v>
      </c>
      <c r="E416" s="4" t="s">
        <v>22</v>
      </c>
      <c r="F416" s="4" t="s">
        <v>2333</v>
      </c>
      <c r="G416" s="4" t="s">
        <v>2334</v>
      </c>
      <c r="H416" s="3" t="s">
        <v>25</v>
      </c>
      <c r="I416" s="3" t="s">
        <v>2335</v>
      </c>
      <c r="J416" s="3" t="s">
        <v>2336</v>
      </c>
      <c r="K416" s="3" t="s">
        <v>2337</v>
      </c>
      <c r="L416" s="3"/>
      <c r="M416" s="4"/>
      <c r="N416" s="3" t="s">
        <v>37</v>
      </c>
      <c r="O416" s="3" t="s">
        <v>38</v>
      </c>
      <c r="P416" s="5">
        <v>10</v>
      </c>
      <c r="Q416" s="5">
        <v>102</v>
      </c>
      <c r="R416" s="5">
        <v>11</v>
      </c>
      <c r="S416" s="5">
        <v>111</v>
      </c>
    </row>
    <row r="417" spans="1:19" ht="28" x14ac:dyDescent="0.15">
      <c r="A417" s="2">
        <f>HYPERLINK("https://open-school.uspishnemisto.com.ua/school/50419/", 50419)</f>
        <v>50419</v>
      </c>
      <c r="B417" s="3" t="s">
        <v>2338</v>
      </c>
      <c r="C417" s="3" t="s">
        <v>31</v>
      </c>
      <c r="D417" s="3" t="s">
        <v>32</v>
      </c>
      <c r="E417" s="4" t="s">
        <v>22</v>
      </c>
      <c r="F417" s="4" t="s">
        <v>2339</v>
      </c>
      <c r="G417" s="4" t="s">
        <v>2340</v>
      </c>
      <c r="H417" s="3" t="s">
        <v>25</v>
      </c>
      <c r="I417" s="3" t="s">
        <v>2341</v>
      </c>
      <c r="J417" s="3" t="s">
        <v>2342</v>
      </c>
      <c r="K417" s="3" t="s">
        <v>2343</v>
      </c>
      <c r="L417" s="3"/>
      <c r="M417" s="4"/>
      <c r="N417" s="3" t="s">
        <v>37</v>
      </c>
      <c r="O417" s="3" t="s">
        <v>52</v>
      </c>
      <c r="P417" s="5">
        <v>11</v>
      </c>
      <c r="Q417" s="5">
        <v>123</v>
      </c>
      <c r="R417" s="5">
        <v>10</v>
      </c>
      <c r="S417" s="5">
        <v>120</v>
      </c>
    </row>
    <row r="418" spans="1:19" ht="28" x14ac:dyDescent="0.15">
      <c r="A418" s="2">
        <f>HYPERLINK("https://open-school.uspishnemisto.com.ua/school/50420/", 50420)</f>
        <v>50420</v>
      </c>
      <c r="B418" s="3" t="s">
        <v>2344</v>
      </c>
      <c r="C418" s="3" t="s">
        <v>31</v>
      </c>
      <c r="D418" s="3" t="s">
        <v>175</v>
      </c>
      <c r="E418" s="4" t="s">
        <v>22</v>
      </c>
      <c r="F418" s="4" t="s">
        <v>2345</v>
      </c>
      <c r="G418" s="4" t="s">
        <v>2346</v>
      </c>
      <c r="H418" s="3" t="s">
        <v>25</v>
      </c>
      <c r="I418" s="3" t="s">
        <v>2347</v>
      </c>
      <c r="J418" s="3" t="s">
        <v>1807</v>
      </c>
      <c r="K418" s="3" t="s">
        <v>2348</v>
      </c>
      <c r="L418" s="3"/>
      <c r="M418" s="4"/>
      <c r="N418" s="3" t="s">
        <v>37</v>
      </c>
      <c r="O418" s="3" t="s">
        <v>38</v>
      </c>
      <c r="P418" s="5">
        <v>0</v>
      </c>
      <c r="Q418" s="5">
        <v>26</v>
      </c>
      <c r="R418" s="5">
        <v>1</v>
      </c>
      <c r="S418" s="5">
        <v>29</v>
      </c>
    </row>
    <row r="419" spans="1:19" ht="28" x14ac:dyDescent="0.15">
      <c r="A419" s="2">
        <f>HYPERLINK("https://open-school.uspishnemisto.com.ua/school/50421/", 50421)</f>
        <v>50421</v>
      </c>
      <c r="B419" s="3" t="s">
        <v>2349</v>
      </c>
      <c r="C419" s="3" t="s">
        <v>31</v>
      </c>
      <c r="D419" s="3" t="s">
        <v>175</v>
      </c>
      <c r="E419" s="4" t="s">
        <v>22</v>
      </c>
      <c r="F419" s="4" t="s">
        <v>2350</v>
      </c>
      <c r="G419" s="4" t="s">
        <v>2351</v>
      </c>
      <c r="H419" s="3" t="s">
        <v>25</v>
      </c>
      <c r="I419" s="3" t="s">
        <v>2352</v>
      </c>
      <c r="J419" s="3" t="s">
        <v>2353</v>
      </c>
      <c r="K419" s="3" t="s">
        <v>2354</v>
      </c>
      <c r="L419" s="3" t="s">
        <v>2355</v>
      </c>
      <c r="M419" s="4"/>
      <c r="N419" s="3" t="s">
        <v>37</v>
      </c>
      <c r="O419" s="3" t="s">
        <v>52</v>
      </c>
      <c r="P419" s="5">
        <v>2</v>
      </c>
      <c r="Q419" s="5">
        <v>30</v>
      </c>
      <c r="R419" s="5">
        <v>2</v>
      </c>
      <c r="S419" s="5">
        <v>27</v>
      </c>
    </row>
    <row r="420" spans="1:19" ht="42" x14ac:dyDescent="0.15">
      <c r="A420" s="2">
        <f>HYPERLINK("https://open-school.uspishnemisto.com.ua/school/50422/", 50422)</f>
        <v>50422</v>
      </c>
      <c r="B420" s="3" t="s">
        <v>2356</v>
      </c>
      <c r="C420" s="3" t="s">
        <v>54</v>
      </c>
      <c r="D420" s="3" t="s">
        <v>32</v>
      </c>
      <c r="E420" s="4" t="s">
        <v>22</v>
      </c>
      <c r="F420" s="4" t="s">
        <v>2357</v>
      </c>
      <c r="G420" s="4" t="s">
        <v>2358</v>
      </c>
      <c r="H420" s="3" t="s">
        <v>25</v>
      </c>
      <c r="I420" s="3" t="s">
        <v>2359</v>
      </c>
      <c r="J420" s="3" t="s">
        <v>2360</v>
      </c>
      <c r="K420" s="3" t="s">
        <v>2361</v>
      </c>
      <c r="L420" s="3"/>
      <c r="M420" s="4"/>
      <c r="N420" s="3" t="s">
        <v>37</v>
      </c>
      <c r="O420" s="3" t="s">
        <v>52</v>
      </c>
      <c r="P420" s="5">
        <v>10</v>
      </c>
      <c r="Q420" s="5">
        <v>76</v>
      </c>
      <c r="R420" s="5">
        <v>11</v>
      </c>
      <c r="S420" s="5">
        <v>82</v>
      </c>
    </row>
    <row r="421" spans="1:19" ht="28" x14ac:dyDescent="0.15">
      <c r="A421" s="2">
        <f>HYPERLINK("https://open-school.uspishnemisto.com.ua/school/50423/", 50423)</f>
        <v>50423</v>
      </c>
      <c r="B421" s="3" t="s">
        <v>2362</v>
      </c>
      <c r="C421" s="3" t="s">
        <v>31</v>
      </c>
      <c r="D421" s="3" t="s">
        <v>175</v>
      </c>
      <c r="E421" s="4" t="s">
        <v>22</v>
      </c>
      <c r="F421" s="4" t="s">
        <v>2363</v>
      </c>
      <c r="G421" s="4" t="s">
        <v>2364</v>
      </c>
      <c r="H421" s="3" t="s">
        <v>25</v>
      </c>
      <c r="I421" s="3" t="s">
        <v>2365</v>
      </c>
      <c r="J421" s="3" t="s">
        <v>2366</v>
      </c>
      <c r="K421" s="3" t="s">
        <v>2367</v>
      </c>
      <c r="L421" s="3"/>
      <c r="M421" s="4"/>
      <c r="N421" s="3" t="s">
        <v>37</v>
      </c>
      <c r="O421" s="3" t="s">
        <v>38</v>
      </c>
      <c r="P421" s="5">
        <v>8</v>
      </c>
      <c r="Q421" s="5">
        <v>48</v>
      </c>
      <c r="R421" s="5">
        <v>8</v>
      </c>
      <c r="S421" s="5">
        <v>47</v>
      </c>
    </row>
    <row r="422" spans="1:19" ht="28" x14ac:dyDescent="0.15">
      <c r="A422" s="2">
        <f>HYPERLINK("https://open-school.uspishnemisto.com.ua/school/50424/", 50424)</f>
        <v>50424</v>
      </c>
      <c r="B422" s="3" t="s">
        <v>2368</v>
      </c>
      <c r="C422" s="3" t="s">
        <v>31</v>
      </c>
      <c r="D422" s="3" t="s">
        <v>175</v>
      </c>
      <c r="E422" s="4" t="s">
        <v>22</v>
      </c>
      <c r="F422" s="4" t="s">
        <v>2369</v>
      </c>
      <c r="G422" s="4" t="s">
        <v>2370</v>
      </c>
      <c r="H422" s="3" t="s">
        <v>25</v>
      </c>
      <c r="I422" s="3" t="s">
        <v>2371</v>
      </c>
      <c r="J422" s="3" t="s">
        <v>2372</v>
      </c>
      <c r="K422" s="3" t="s">
        <v>2373</v>
      </c>
      <c r="L422" s="3"/>
      <c r="M422" s="4"/>
      <c r="N422" s="3" t="s">
        <v>37</v>
      </c>
      <c r="O422" s="3" t="s">
        <v>38</v>
      </c>
      <c r="P422" s="5">
        <v>3</v>
      </c>
      <c r="Q422" s="5">
        <v>26</v>
      </c>
      <c r="R422" s="5">
        <v>5</v>
      </c>
      <c r="S422" s="5">
        <v>38</v>
      </c>
    </row>
    <row r="423" spans="1:19" ht="28" x14ac:dyDescent="0.15">
      <c r="A423" s="2">
        <f>HYPERLINK("https://open-school.uspishnemisto.com.ua/school/50425/", 50425)</f>
        <v>50425</v>
      </c>
      <c r="B423" s="3" t="s">
        <v>2374</v>
      </c>
      <c r="C423" s="3" t="s">
        <v>31</v>
      </c>
      <c r="D423" s="3" t="s">
        <v>32</v>
      </c>
      <c r="E423" s="4" t="s">
        <v>22</v>
      </c>
      <c r="F423" s="4" t="s">
        <v>2375</v>
      </c>
      <c r="G423" s="4" t="s">
        <v>2376</v>
      </c>
      <c r="H423" s="3" t="s">
        <v>25</v>
      </c>
      <c r="I423" s="3" t="s">
        <v>2377</v>
      </c>
      <c r="J423" s="3" t="s">
        <v>2378</v>
      </c>
      <c r="K423" s="3" t="s">
        <v>2379</v>
      </c>
      <c r="L423" s="3"/>
      <c r="M423" s="4"/>
      <c r="N423" s="3" t="s">
        <v>37</v>
      </c>
      <c r="O423" s="3" t="s">
        <v>52</v>
      </c>
      <c r="P423" s="5">
        <v>10</v>
      </c>
      <c r="Q423" s="5">
        <v>83</v>
      </c>
      <c r="R423" s="5">
        <v>10</v>
      </c>
      <c r="S423" s="5">
        <v>87</v>
      </c>
    </row>
    <row r="424" spans="1:19" ht="28" x14ac:dyDescent="0.15">
      <c r="A424" s="2">
        <f>HYPERLINK("https://open-school.uspishnemisto.com.ua/school/50426/", 50426)</f>
        <v>50426</v>
      </c>
      <c r="B424" s="3" t="s">
        <v>2380</v>
      </c>
      <c r="C424" s="3" t="s">
        <v>31</v>
      </c>
      <c r="D424" s="3" t="s">
        <v>175</v>
      </c>
      <c r="E424" s="4" t="s">
        <v>22</v>
      </c>
      <c r="F424" s="4" t="s">
        <v>2381</v>
      </c>
      <c r="G424" s="4" t="s">
        <v>2382</v>
      </c>
      <c r="H424" s="3" t="s">
        <v>25</v>
      </c>
      <c r="I424" s="3" t="s">
        <v>2383</v>
      </c>
      <c r="J424" s="3" t="s">
        <v>2384</v>
      </c>
      <c r="K424" s="3" t="s">
        <v>2385</v>
      </c>
      <c r="L424" s="3"/>
      <c r="M424" s="4"/>
      <c r="N424" s="3" t="s">
        <v>37</v>
      </c>
      <c r="O424" s="3" t="s">
        <v>52</v>
      </c>
      <c r="P424" s="5">
        <v>4</v>
      </c>
      <c r="Q424" s="5">
        <v>38</v>
      </c>
      <c r="R424" s="5">
        <v>5</v>
      </c>
      <c r="S424" s="5">
        <v>36</v>
      </c>
    </row>
    <row r="425" spans="1:19" ht="28" x14ac:dyDescent="0.15">
      <c r="A425" s="2">
        <f>HYPERLINK("https://open-school.uspishnemisto.com.ua/school/50427/", 50427)</f>
        <v>50427</v>
      </c>
      <c r="B425" s="3" t="s">
        <v>2386</v>
      </c>
      <c r="C425" s="3" t="s">
        <v>54</v>
      </c>
      <c r="D425" s="3" t="s">
        <v>60</v>
      </c>
      <c r="E425" s="4" t="s">
        <v>22</v>
      </c>
      <c r="F425" s="4" t="s">
        <v>2387</v>
      </c>
      <c r="G425" s="4" t="s">
        <v>2388</v>
      </c>
      <c r="H425" s="3" t="s">
        <v>25</v>
      </c>
      <c r="I425" s="3" t="s">
        <v>1740</v>
      </c>
      <c r="J425" s="3" t="s">
        <v>2389</v>
      </c>
      <c r="K425" s="3" t="s">
        <v>2390</v>
      </c>
      <c r="L425" s="3"/>
      <c r="M425" s="4"/>
      <c r="N425" s="3" t="s">
        <v>37</v>
      </c>
      <c r="O425" s="3" t="s">
        <v>52</v>
      </c>
      <c r="P425" s="5">
        <v>2</v>
      </c>
      <c r="Q425" s="5">
        <v>15</v>
      </c>
      <c r="R425" s="5">
        <v>3</v>
      </c>
      <c r="S425" s="5">
        <v>23</v>
      </c>
    </row>
    <row r="426" spans="1:19" ht="28" x14ac:dyDescent="0.15">
      <c r="A426" s="2">
        <f>HYPERLINK("https://open-school.uspishnemisto.com.ua/school/50428/", 50428)</f>
        <v>50428</v>
      </c>
      <c r="B426" s="3" t="s">
        <v>2391</v>
      </c>
      <c r="C426" s="3" t="s">
        <v>31</v>
      </c>
      <c r="D426" s="3" t="s">
        <v>32</v>
      </c>
      <c r="E426" s="4" t="s">
        <v>22</v>
      </c>
      <c r="F426" s="4" t="s">
        <v>2392</v>
      </c>
      <c r="G426" s="4" t="s">
        <v>2393</v>
      </c>
      <c r="H426" s="3" t="s">
        <v>25</v>
      </c>
      <c r="I426" s="3" t="s">
        <v>2394</v>
      </c>
      <c r="J426" s="3" t="s">
        <v>2395</v>
      </c>
      <c r="K426" s="3" t="s">
        <v>2396</v>
      </c>
      <c r="L426" s="3"/>
      <c r="M426" s="4"/>
      <c r="N426" s="3" t="s">
        <v>37</v>
      </c>
      <c r="O426" s="3" t="s">
        <v>38</v>
      </c>
      <c r="P426" s="5">
        <v>11</v>
      </c>
      <c r="Q426" s="5">
        <v>187</v>
      </c>
      <c r="R426" s="5">
        <v>11</v>
      </c>
      <c r="S426" s="5">
        <v>185</v>
      </c>
    </row>
    <row r="427" spans="1:19" ht="28" x14ac:dyDescent="0.15">
      <c r="A427" s="2">
        <f>HYPERLINK("https://open-school.uspishnemisto.com.ua/school/50429/", 50429)</f>
        <v>50429</v>
      </c>
      <c r="B427" s="3" t="s">
        <v>2397</v>
      </c>
      <c r="C427" s="3" t="s">
        <v>31</v>
      </c>
      <c r="D427" s="3" t="s">
        <v>60</v>
      </c>
      <c r="E427" s="4" t="s">
        <v>22</v>
      </c>
      <c r="F427" s="4" t="s">
        <v>2392</v>
      </c>
      <c r="G427" s="4" t="s">
        <v>2398</v>
      </c>
      <c r="H427" s="3" t="s">
        <v>25</v>
      </c>
      <c r="I427" s="3" t="s">
        <v>2399</v>
      </c>
      <c r="J427" s="3" t="s">
        <v>2400</v>
      </c>
      <c r="K427" s="3"/>
      <c r="L427" s="3"/>
      <c r="M427" s="4"/>
      <c r="N427" s="3" t="s">
        <v>37</v>
      </c>
      <c r="O427" s="3" t="s">
        <v>52</v>
      </c>
      <c r="P427" s="5">
        <v>3</v>
      </c>
      <c r="Q427" s="5">
        <v>17</v>
      </c>
      <c r="R427" s="5">
        <v>3</v>
      </c>
      <c r="S427" s="5">
        <v>17</v>
      </c>
    </row>
    <row r="428" spans="1:19" ht="28" x14ac:dyDescent="0.15">
      <c r="A428" s="2">
        <f>HYPERLINK("https://open-school.uspishnemisto.com.ua/school/50430/", 50430)</f>
        <v>50430</v>
      </c>
      <c r="B428" s="3" t="s">
        <v>2401</v>
      </c>
      <c r="C428" s="3" t="s">
        <v>31</v>
      </c>
      <c r="D428" s="3" t="s">
        <v>60</v>
      </c>
      <c r="E428" s="4" t="s">
        <v>22</v>
      </c>
      <c r="F428" s="4" t="s">
        <v>2402</v>
      </c>
      <c r="G428" s="4" t="s">
        <v>2403</v>
      </c>
      <c r="H428" s="3" t="s">
        <v>25</v>
      </c>
      <c r="I428" s="3" t="s">
        <v>2404</v>
      </c>
      <c r="J428" s="3" t="s">
        <v>2405</v>
      </c>
      <c r="K428" s="3" t="s">
        <v>2406</v>
      </c>
      <c r="L428" s="3"/>
      <c r="M428" s="4"/>
      <c r="N428" s="3" t="s">
        <v>37</v>
      </c>
      <c r="O428" s="3" t="s">
        <v>52</v>
      </c>
      <c r="P428" s="5">
        <v>4</v>
      </c>
      <c r="Q428" s="5">
        <v>17</v>
      </c>
      <c r="R428" s="5">
        <v>4</v>
      </c>
      <c r="S428" s="5">
        <v>19</v>
      </c>
    </row>
    <row r="429" spans="1:19" ht="28" x14ac:dyDescent="0.15">
      <c r="A429" s="2">
        <f>HYPERLINK("https://open-school.uspishnemisto.com.ua/school/50431/", 50431)</f>
        <v>50431</v>
      </c>
      <c r="B429" s="3" t="s">
        <v>2407</v>
      </c>
      <c r="C429" s="3" t="s">
        <v>31</v>
      </c>
      <c r="D429" s="3" t="s">
        <v>32</v>
      </c>
      <c r="E429" s="4" t="s">
        <v>22</v>
      </c>
      <c r="F429" s="4" t="s">
        <v>2408</v>
      </c>
      <c r="G429" s="4" t="s">
        <v>2409</v>
      </c>
      <c r="H429" s="3" t="s">
        <v>25</v>
      </c>
      <c r="I429" s="3" t="s">
        <v>2410</v>
      </c>
      <c r="J429" s="3" t="s">
        <v>2411</v>
      </c>
      <c r="K429" s="3" t="s">
        <v>2412</v>
      </c>
      <c r="L429" s="3"/>
      <c r="M429" s="4"/>
      <c r="N429" s="3" t="s">
        <v>37</v>
      </c>
      <c r="O429" s="3" t="s">
        <v>38</v>
      </c>
      <c r="P429" s="5">
        <v>10</v>
      </c>
      <c r="Q429" s="5">
        <v>72</v>
      </c>
      <c r="R429" s="5">
        <v>11</v>
      </c>
      <c r="S429" s="5">
        <v>77</v>
      </c>
    </row>
    <row r="430" spans="1:19" ht="28" x14ac:dyDescent="0.15">
      <c r="A430" s="2">
        <f>HYPERLINK("https://open-school.uspishnemisto.com.ua/school/50432/", 50432)</f>
        <v>50432</v>
      </c>
      <c r="B430" s="3" t="s">
        <v>2413</v>
      </c>
      <c r="C430" s="3" t="s">
        <v>54</v>
      </c>
      <c r="D430" s="3" t="s">
        <v>175</v>
      </c>
      <c r="E430" s="4" t="s">
        <v>22</v>
      </c>
      <c r="F430" s="4" t="s">
        <v>2414</v>
      </c>
      <c r="G430" s="4" t="s">
        <v>2415</v>
      </c>
      <c r="H430" s="3" t="s">
        <v>25</v>
      </c>
      <c r="I430" s="3" t="s">
        <v>2416</v>
      </c>
      <c r="J430" s="3" t="s">
        <v>2417</v>
      </c>
      <c r="K430" s="3" t="s">
        <v>2418</v>
      </c>
      <c r="L430" s="3"/>
      <c r="M430" s="4"/>
      <c r="N430" s="3" t="s">
        <v>37</v>
      </c>
      <c r="O430" s="3" t="s">
        <v>38</v>
      </c>
      <c r="P430" s="5">
        <v>9</v>
      </c>
      <c r="Q430" s="5">
        <v>82</v>
      </c>
      <c r="R430" s="5">
        <v>9</v>
      </c>
      <c r="S430" s="5">
        <v>79</v>
      </c>
    </row>
    <row r="431" spans="1:19" ht="28" x14ac:dyDescent="0.15">
      <c r="A431" s="2">
        <f>HYPERLINK("https://open-school.uspishnemisto.com.ua/school/50433/", 50433)</f>
        <v>50433</v>
      </c>
      <c r="B431" s="3" t="s">
        <v>2419</v>
      </c>
      <c r="C431" s="3" t="s">
        <v>31</v>
      </c>
      <c r="D431" s="3" t="s">
        <v>32</v>
      </c>
      <c r="E431" s="4" t="s">
        <v>22</v>
      </c>
      <c r="F431" s="4" t="s">
        <v>2420</v>
      </c>
      <c r="G431" s="4" t="s">
        <v>2421</v>
      </c>
      <c r="H431" s="3" t="s">
        <v>25</v>
      </c>
      <c r="I431" s="3" t="s">
        <v>2422</v>
      </c>
      <c r="J431" s="3" t="s">
        <v>2423</v>
      </c>
      <c r="K431" s="3" t="s">
        <v>2424</v>
      </c>
      <c r="L431" s="3" t="s">
        <v>2425</v>
      </c>
      <c r="M431" s="4"/>
      <c r="N431" s="3" t="s">
        <v>37</v>
      </c>
      <c r="O431" s="3" t="s">
        <v>38</v>
      </c>
      <c r="P431" s="5">
        <v>11</v>
      </c>
      <c r="Q431" s="5">
        <v>131</v>
      </c>
      <c r="R431" s="5">
        <v>11</v>
      </c>
      <c r="S431" s="5">
        <v>132</v>
      </c>
    </row>
    <row r="432" spans="1:19" ht="28" x14ac:dyDescent="0.15">
      <c r="A432" s="2">
        <f>HYPERLINK("https://open-school.uspishnemisto.com.ua/school/50434/", 50434)</f>
        <v>50434</v>
      </c>
      <c r="B432" s="3" t="s">
        <v>2426</v>
      </c>
      <c r="C432" s="3" t="s">
        <v>31</v>
      </c>
      <c r="D432" s="3" t="s">
        <v>60</v>
      </c>
      <c r="E432" s="4" t="s">
        <v>22</v>
      </c>
      <c r="F432" s="4" t="s">
        <v>2427</v>
      </c>
      <c r="G432" s="4" t="s">
        <v>2428</v>
      </c>
      <c r="H432" s="3" t="s">
        <v>25</v>
      </c>
      <c r="I432" s="3" t="s">
        <v>2429</v>
      </c>
      <c r="J432" s="3" t="s">
        <v>2430</v>
      </c>
      <c r="K432" s="3" t="s">
        <v>2431</v>
      </c>
      <c r="L432" s="3"/>
      <c r="M432" s="4"/>
      <c r="N432" s="3" t="s">
        <v>37</v>
      </c>
      <c r="O432" s="3" t="s">
        <v>52</v>
      </c>
      <c r="P432" s="5">
        <v>4</v>
      </c>
      <c r="Q432" s="5">
        <v>23</v>
      </c>
      <c r="R432" s="5">
        <v>4</v>
      </c>
      <c r="S432" s="5">
        <v>22</v>
      </c>
    </row>
    <row r="433" spans="1:19" ht="28" x14ac:dyDescent="0.15">
      <c r="A433" s="2">
        <f>HYPERLINK("https://open-school.uspishnemisto.com.ua/school/50435/", 50435)</f>
        <v>50435</v>
      </c>
      <c r="B433" s="3" t="s">
        <v>2432</v>
      </c>
      <c r="C433" s="3" t="s">
        <v>31</v>
      </c>
      <c r="D433" s="3" t="s">
        <v>32</v>
      </c>
      <c r="E433" s="4" t="s">
        <v>22</v>
      </c>
      <c r="F433" s="4" t="s">
        <v>2433</v>
      </c>
      <c r="G433" s="4" t="s">
        <v>2428</v>
      </c>
      <c r="H433" s="3" t="s">
        <v>25</v>
      </c>
      <c r="I433" s="3" t="s">
        <v>2429</v>
      </c>
      <c r="J433" s="3" t="s">
        <v>2434</v>
      </c>
      <c r="K433" s="3" t="s">
        <v>2435</v>
      </c>
      <c r="L433" s="3"/>
      <c r="M433" s="4"/>
      <c r="N433" s="3" t="s">
        <v>37</v>
      </c>
      <c r="O433" s="3" t="s">
        <v>70</v>
      </c>
      <c r="P433" s="5">
        <v>11</v>
      </c>
      <c r="Q433" s="5">
        <v>194</v>
      </c>
      <c r="R433" s="5">
        <v>11</v>
      </c>
      <c r="S433" s="5">
        <v>201</v>
      </c>
    </row>
    <row r="434" spans="1:19" ht="28" x14ac:dyDescent="0.15">
      <c r="A434" s="2">
        <f>HYPERLINK("https://open-school.uspishnemisto.com.ua/school/50436/", 50436)</f>
        <v>50436</v>
      </c>
      <c r="B434" s="3" t="s">
        <v>2436</v>
      </c>
      <c r="C434" s="3" t="s">
        <v>31</v>
      </c>
      <c r="D434" s="3" t="s">
        <v>175</v>
      </c>
      <c r="E434" s="4" t="s">
        <v>22</v>
      </c>
      <c r="F434" s="4" t="s">
        <v>2437</v>
      </c>
      <c r="G434" s="4" t="s">
        <v>2438</v>
      </c>
      <c r="H434" s="3" t="s">
        <v>25</v>
      </c>
      <c r="I434" s="3" t="s">
        <v>2439</v>
      </c>
      <c r="J434" s="3" t="s">
        <v>2440</v>
      </c>
      <c r="K434" s="3" t="s">
        <v>2441</v>
      </c>
      <c r="L434" s="3"/>
      <c r="M434" s="4"/>
      <c r="N434" s="3" t="s">
        <v>37</v>
      </c>
      <c r="O434" s="3" t="s">
        <v>139</v>
      </c>
      <c r="P434" s="5">
        <v>9</v>
      </c>
      <c r="Q434" s="5">
        <v>66</v>
      </c>
      <c r="R434" s="5">
        <v>9</v>
      </c>
      <c r="S434" s="5">
        <v>65</v>
      </c>
    </row>
    <row r="435" spans="1:19" ht="28" x14ac:dyDescent="0.15">
      <c r="A435" s="2">
        <f>HYPERLINK("https://open-school.uspishnemisto.com.ua/school/50437/", 50437)</f>
        <v>50437</v>
      </c>
      <c r="B435" s="3" t="s">
        <v>2442</v>
      </c>
      <c r="C435" s="3" t="s">
        <v>31</v>
      </c>
      <c r="D435" s="3" t="s">
        <v>32</v>
      </c>
      <c r="E435" s="4" t="s">
        <v>22</v>
      </c>
      <c r="F435" s="4" t="s">
        <v>2443</v>
      </c>
      <c r="G435" s="4" t="s">
        <v>2444</v>
      </c>
      <c r="H435" s="3" t="s">
        <v>25</v>
      </c>
      <c r="I435" s="3" t="s">
        <v>2445</v>
      </c>
      <c r="J435" s="3" t="s">
        <v>2446</v>
      </c>
      <c r="K435" s="3" t="s">
        <v>2447</v>
      </c>
      <c r="L435" s="3" t="s">
        <v>2448</v>
      </c>
      <c r="M435" s="4"/>
      <c r="N435" s="3" t="s">
        <v>37</v>
      </c>
      <c r="O435" s="3" t="s">
        <v>38</v>
      </c>
      <c r="P435" s="5">
        <v>10</v>
      </c>
      <c r="Q435" s="5">
        <v>99</v>
      </c>
      <c r="R435" s="5">
        <v>10</v>
      </c>
      <c r="S435" s="5">
        <v>96</v>
      </c>
    </row>
    <row r="436" spans="1:19" ht="28" x14ac:dyDescent="0.15">
      <c r="A436" s="2">
        <f>HYPERLINK("https://open-school.uspishnemisto.com.ua/school/50438/", 50438)</f>
        <v>50438</v>
      </c>
      <c r="B436" s="3" t="s">
        <v>2449</v>
      </c>
      <c r="C436" s="3" t="s">
        <v>31</v>
      </c>
      <c r="D436" s="3" t="s">
        <v>32</v>
      </c>
      <c r="E436" s="4" t="s">
        <v>22</v>
      </c>
      <c r="F436" s="4" t="s">
        <v>2450</v>
      </c>
      <c r="G436" s="4" t="s">
        <v>2451</v>
      </c>
      <c r="H436" s="3" t="s">
        <v>25</v>
      </c>
      <c r="I436" s="3" t="s">
        <v>2452</v>
      </c>
      <c r="J436" s="3" t="s">
        <v>2453</v>
      </c>
      <c r="K436" s="3" t="s">
        <v>2454</v>
      </c>
      <c r="L436" s="3"/>
      <c r="M436" s="4"/>
      <c r="N436" s="3" t="s">
        <v>37</v>
      </c>
      <c r="O436" s="3" t="s">
        <v>38</v>
      </c>
      <c r="P436" s="5">
        <v>16</v>
      </c>
      <c r="Q436" s="5">
        <v>320</v>
      </c>
      <c r="R436" s="5">
        <v>17</v>
      </c>
      <c r="S436" s="5">
        <v>319</v>
      </c>
    </row>
    <row r="437" spans="1:19" ht="42" x14ac:dyDescent="0.15">
      <c r="A437" s="2">
        <f>HYPERLINK("https://open-school.uspishnemisto.com.ua/school/50439/", 50439)</f>
        <v>50439</v>
      </c>
      <c r="B437" s="3" t="s">
        <v>2455</v>
      </c>
      <c r="C437" s="3" t="s">
        <v>54</v>
      </c>
      <c r="D437" s="3" t="s">
        <v>175</v>
      </c>
      <c r="E437" s="4" t="s">
        <v>22</v>
      </c>
      <c r="F437" s="4" t="s">
        <v>2456</v>
      </c>
      <c r="G437" s="4" t="s">
        <v>2457</v>
      </c>
      <c r="H437" s="3" t="s">
        <v>25</v>
      </c>
      <c r="I437" s="3" t="s">
        <v>2458</v>
      </c>
      <c r="J437" s="3" t="s">
        <v>2459</v>
      </c>
      <c r="K437" s="3" t="s">
        <v>2460</v>
      </c>
      <c r="L437" s="3"/>
      <c r="M437" s="4"/>
      <c r="N437" s="3" t="s">
        <v>37</v>
      </c>
      <c r="O437" s="3" t="s">
        <v>52</v>
      </c>
      <c r="P437" s="5">
        <v>5</v>
      </c>
      <c r="Q437" s="5">
        <v>31</v>
      </c>
      <c r="R437" s="5">
        <v>6</v>
      </c>
      <c r="S437" s="5">
        <v>40</v>
      </c>
    </row>
    <row r="438" spans="1:19" ht="42" x14ac:dyDescent="0.15">
      <c r="A438" s="2">
        <f>HYPERLINK("https://open-school.uspishnemisto.com.ua/school/50440/", 50440)</f>
        <v>50440</v>
      </c>
      <c r="B438" s="3" t="s">
        <v>2461</v>
      </c>
      <c r="C438" s="3" t="s">
        <v>54</v>
      </c>
      <c r="D438" s="3" t="s">
        <v>175</v>
      </c>
      <c r="E438" s="4" t="s">
        <v>22</v>
      </c>
      <c r="F438" s="4" t="s">
        <v>2462</v>
      </c>
      <c r="G438" s="4" t="s">
        <v>2463</v>
      </c>
      <c r="H438" s="3" t="s">
        <v>25</v>
      </c>
      <c r="I438" s="3" t="s">
        <v>2464</v>
      </c>
      <c r="J438" s="3" t="s">
        <v>2465</v>
      </c>
      <c r="K438" s="3" t="s">
        <v>2466</v>
      </c>
      <c r="L438" s="3"/>
      <c r="M438" s="4"/>
      <c r="N438" s="3" t="s">
        <v>37</v>
      </c>
      <c r="O438" s="3" t="s">
        <v>38</v>
      </c>
      <c r="P438" s="5">
        <v>7</v>
      </c>
      <c r="Q438" s="5">
        <v>54</v>
      </c>
      <c r="R438" s="5">
        <v>7</v>
      </c>
      <c r="S438" s="5">
        <v>52</v>
      </c>
    </row>
    <row r="439" spans="1:19" ht="28" x14ac:dyDescent="0.15">
      <c r="A439" s="2">
        <f>HYPERLINK("https://open-school.uspishnemisto.com.ua/school/50441/", 50441)</f>
        <v>50441</v>
      </c>
      <c r="B439" s="3" t="s">
        <v>2467</v>
      </c>
      <c r="C439" s="3" t="s">
        <v>31</v>
      </c>
      <c r="D439" s="3" t="s">
        <v>175</v>
      </c>
      <c r="E439" s="4" t="s">
        <v>22</v>
      </c>
      <c r="F439" s="4" t="s">
        <v>2468</v>
      </c>
      <c r="G439" s="4" t="s">
        <v>2469</v>
      </c>
      <c r="H439" s="3" t="s">
        <v>25</v>
      </c>
      <c r="I439" s="3" t="s">
        <v>2470</v>
      </c>
      <c r="J439" s="3" t="s">
        <v>2471</v>
      </c>
      <c r="K439" s="3" t="s">
        <v>2472</v>
      </c>
      <c r="L439" s="3"/>
      <c r="M439" s="4"/>
      <c r="N439" s="3" t="s">
        <v>37</v>
      </c>
      <c r="O439" s="3" t="s">
        <v>38</v>
      </c>
      <c r="P439" s="5">
        <v>9</v>
      </c>
      <c r="Q439" s="5">
        <v>110</v>
      </c>
      <c r="R439" s="5">
        <v>9</v>
      </c>
      <c r="S439" s="5">
        <v>126</v>
      </c>
    </row>
    <row r="440" spans="1:19" ht="28" x14ac:dyDescent="0.15">
      <c r="A440" s="2">
        <f>HYPERLINK("https://open-school.uspishnemisto.com.ua/school/50442/", 50442)</f>
        <v>50442</v>
      </c>
      <c r="B440" s="3" t="s">
        <v>2473</v>
      </c>
      <c r="C440" s="3" t="s">
        <v>31</v>
      </c>
      <c r="D440" s="3" t="s">
        <v>60</v>
      </c>
      <c r="E440" s="4" t="s">
        <v>22</v>
      </c>
      <c r="F440" s="4" t="s">
        <v>2468</v>
      </c>
      <c r="G440" s="4" t="s">
        <v>2474</v>
      </c>
      <c r="H440" s="3" t="s">
        <v>25</v>
      </c>
      <c r="I440" s="3" t="s">
        <v>2475</v>
      </c>
      <c r="J440" s="3" t="s">
        <v>2476</v>
      </c>
      <c r="K440" s="3" t="s">
        <v>2477</v>
      </c>
      <c r="L440" s="3"/>
      <c r="M440" s="4"/>
      <c r="N440" s="3" t="s">
        <v>37</v>
      </c>
      <c r="O440" s="3" t="s">
        <v>52</v>
      </c>
      <c r="P440" s="5">
        <v>2</v>
      </c>
      <c r="Q440" s="5">
        <v>13</v>
      </c>
      <c r="R440" s="5">
        <v>1</v>
      </c>
      <c r="S440" s="5">
        <v>10</v>
      </c>
    </row>
    <row r="441" spans="1:19" ht="28" x14ac:dyDescent="0.15">
      <c r="A441" s="2">
        <f>HYPERLINK("https://open-school.uspishnemisto.com.ua/school/50443/", 50443)</f>
        <v>50443</v>
      </c>
      <c r="B441" s="3" t="s">
        <v>2478</v>
      </c>
      <c r="C441" s="3" t="s">
        <v>31</v>
      </c>
      <c r="D441" s="3" t="s">
        <v>175</v>
      </c>
      <c r="E441" s="4" t="s">
        <v>22</v>
      </c>
      <c r="F441" s="4" t="s">
        <v>2479</v>
      </c>
      <c r="G441" s="4" t="s">
        <v>2480</v>
      </c>
      <c r="H441" s="3" t="s">
        <v>25</v>
      </c>
      <c r="I441" s="3" t="s">
        <v>971</v>
      </c>
      <c r="J441" s="3" t="s">
        <v>2481</v>
      </c>
      <c r="K441" s="3" t="s">
        <v>2482</v>
      </c>
      <c r="L441" s="3"/>
      <c r="M441" s="4"/>
      <c r="N441" s="3" t="s">
        <v>37</v>
      </c>
      <c r="O441" s="3" t="s">
        <v>52</v>
      </c>
      <c r="P441" s="5">
        <v>8</v>
      </c>
      <c r="Q441" s="5">
        <v>60</v>
      </c>
      <c r="R441" s="5">
        <v>8</v>
      </c>
      <c r="S441" s="5">
        <v>59</v>
      </c>
    </row>
    <row r="442" spans="1:19" ht="28" x14ac:dyDescent="0.15">
      <c r="A442" s="2">
        <f>HYPERLINK("https://open-school.uspishnemisto.com.ua/school/50444/", 50444)</f>
        <v>50444</v>
      </c>
      <c r="B442" s="3" t="s">
        <v>2483</v>
      </c>
      <c r="C442" s="3" t="s">
        <v>31</v>
      </c>
      <c r="D442" s="3" t="s">
        <v>175</v>
      </c>
      <c r="E442" s="4" t="s">
        <v>22</v>
      </c>
      <c r="F442" s="4" t="s">
        <v>2484</v>
      </c>
      <c r="G442" s="4" t="s">
        <v>2485</v>
      </c>
      <c r="H442" s="3" t="s">
        <v>25</v>
      </c>
      <c r="I442" s="3" t="s">
        <v>2486</v>
      </c>
      <c r="J442" s="3" t="s">
        <v>2384</v>
      </c>
      <c r="K442" s="3" t="s">
        <v>2487</v>
      </c>
      <c r="L442" s="3"/>
      <c r="M442" s="4"/>
      <c r="N442" s="3" t="s">
        <v>37</v>
      </c>
      <c r="O442" s="3" t="s">
        <v>52</v>
      </c>
      <c r="P442" s="5">
        <v>8</v>
      </c>
      <c r="Q442" s="5">
        <v>63</v>
      </c>
      <c r="R442" s="5">
        <v>7</v>
      </c>
      <c r="S442" s="5">
        <v>58</v>
      </c>
    </row>
    <row r="443" spans="1:19" ht="28" x14ac:dyDescent="0.15">
      <c r="A443" s="2">
        <f>HYPERLINK("https://open-school.uspishnemisto.com.ua/school/50445/", 50445)</f>
        <v>50445</v>
      </c>
      <c r="B443" s="3" t="s">
        <v>2488</v>
      </c>
      <c r="C443" s="3" t="s">
        <v>31</v>
      </c>
      <c r="D443" s="3" t="s">
        <v>175</v>
      </c>
      <c r="E443" s="4" t="s">
        <v>22</v>
      </c>
      <c r="F443" s="4" t="s">
        <v>2489</v>
      </c>
      <c r="G443" s="4" t="s">
        <v>2490</v>
      </c>
      <c r="H443" s="3" t="s">
        <v>25</v>
      </c>
      <c r="I443" s="3" t="s">
        <v>2491</v>
      </c>
      <c r="J443" s="3" t="s">
        <v>2492</v>
      </c>
      <c r="K443" s="3" t="s">
        <v>2493</v>
      </c>
      <c r="L443" s="3"/>
      <c r="M443" s="4"/>
      <c r="N443" s="3" t="s">
        <v>37</v>
      </c>
      <c r="O443" s="3" t="s">
        <v>52</v>
      </c>
      <c r="P443" s="5">
        <v>4</v>
      </c>
      <c r="Q443" s="5">
        <v>27</v>
      </c>
      <c r="R443" s="5">
        <v>3</v>
      </c>
      <c r="S443" s="5">
        <v>26</v>
      </c>
    </row>
    <row r="444" spans="1:19" ht="56" x14ac:dyDescent="0.15">
      <c r="A444" s="2">
        <f>HYPERLINK("https://open-school.uspishnemisto.com.ua/school/50446/", 50446)</f>
        <v>50446</v>
      </c>
      <c r="B444" s="3" t="s">
        <v>2494</v>
      </c>
      <c r="C444" s="3" t="s">
        <v>54</v>
      </c>
      <c r="D444" s="3" t="s">
        <v>32</v>
      </c>
      <c r="E444" s="4" t="s">
        <v>22</v>
      </c>
      <c r="F444" s="4" t="s">
        <v>2495</v>
      </c>
      <c r="G444" s="4" t="s">
        <v>2496</v>
      </c>
      <c r="H444" s="3" t="s">
        <v>25</v>
      </c>
      <c r="I444" s="3" t="s">
        <v>2497</v>
      </c>
      <c r="J444" s="3" t="s">
        <v>2498</v>
      </c>
      <c r="K444" s="3" t="s">
        <v>2499</v>
      </c>
      <c r="L444" s="3"/>
      <c r="M444" s="4"/>
      <c r="N444" s="3" t="s">
        <v>37</v>
      </c>
      <c r="O444" s="3" t="s">
        <v>38</v>
      </c>
      <c r="P444" s="5">
        <v>9</v>
      </c>
      <c r="Q444" s="5">
        <v>94</v>
      </c>
      <c r="R444" s="5">
        <v>10</v>
      </c>
      <c r="S444" s="5">
        <v>93</v>
      </c>
    </row>
    <row r="445" spans="1:19" ht="28" x14ac:dyDescent="0.15">
      <c r="A445" s="2">
        <f>HYPERLINK("https://open-school.uspishnemisto.com.ua/school/50447/", 50447)</f>
        <v>50447</v>
      </c>
      <c r="B445" s="3" t="s">
        <v>2500</v>
      </c>
      <c r="C445" s="3" t="s">
        <v>31</v>
      </c>
      <c r="D445" s="3" t="s">
        <v>175</v>
      </c>
      <c r="E445" s="4" t="s">
        <v>22</v>
      </c>
      <c r="F445" s="4" t="s">
        <v>2501</v>
      </c>
      <c r="G445" s="4" t="s">
        <v>2502</v>
      </c>
      <c r="H445" s="3" t="s">
        <v>25</v>
      </c>
      <c r="I445" s="3" t="s">
        <v>2503</v>
      </c>
      <c r="J445" s="3" t="s">
        <v>2504</v>
      </c>
      <c r="K445" s="3" t="s">
        <v>2505</v>
      </c>
      <c r="L445" s="3"/>
      <c r="M445" s="4"/>
      <c r="N445" s="3" t="s">
        <v>37</v>
      </c>
      <c r="O445" s="3" t="s">
        <v>38</v>
      </c>
      <c r="P445" s="5">
        <v>8</v>
      </c>
      <c r="Q445" s="5">
        <v>58</v>
      </c>
      <c r="R445" s="5">
        <v>7</v>
      </c>
      <c r="S445" s="5">
        <v>57</v>
      </c>
    </row>
    <row r="446" spans="1:19" ht="28" x14ac:dyDescent="0.15">
      <c r="A446" s="2">
        <f>HYPERLINK("https://open-school.uspishnemisto.com.ua/school/50448/", 50448)</f>
        <v>50448</v>
      </c>
      <c r="B446" s="3" t="s">
        <v>2506</v>
      </c>
      <c r="C446" s="3" t="s">
        <v>31</v>
      </c>
      <c r="D446" s="3" t="s">
        <v>32</v>
      </c>
      <c r="E446" s="4" t="s">
        <v>22</v>
      </c>
      <c r="F446" s="4" t="s">
        <v>2507</v>
      </c>
      <c r="G446" s="4" t="s">
        <v>2508</v>
      </c>
      <c r="H446" s="3" t="s">
        <v>25</v>
      </c>
      <c r="I446" s="3" t="s">
        <v>2509</v>
      </c>
      <c r="J446" s="3" t="s">
        <v>356</v>
      </c>
      <c r="K446" s="3"/>
      <c r="L446" s="3"/>
      <c r="M446" s="4"/>
      <c r="N446" s="3" t="s">
        <v>37</v>
      </c>
      <c r="O446" s="3" t="s">
        <v>52</v>
      </c>
      <c r="P446" s="5">
        <v>6</v>
      </c>
      <c r="Q446" s="5">
        <v>46</v>
      </c>
      <c r="R446" s="5">
        <v>8</v>
      </c>
      <c r="S446" s="5">
        <v>57</v>
      </c>
    </row>
    <row r="447" spans="1:19" ht="28" x14ac:dyDescent="0.15">
      <c r="A447" s="2">
        <f>HYPERLINK("https://open-school.uspishnemisto.com.ua/school/50449/", 50449)</f>
        <v>50449</v>
      </c>
      <c r="B447" s="3" t="s">
        <v>2510</v>
      </c>
      <c r="C447" s="3" t="s">
        <v>31</v>
      </c>
      <c r="D447" s="3" t="s">
        <v>175</v>
      </c>
      <c r="E447" s="4" t="s">
        <v>22</v>
      </c>
      <c r="F447" s="4" t="s">
        <v>2511</v>
      </c>
      <c r="G447" s="4" t="s">
        <v>2512</v>
      </c>
      <c r="H447" s="3" t="s">
        <v>25</v>
      </c>
      <c r="I447" s="3" t="s">
        <v>2513</v>
      </c>
      <c r="J447" s="3" t="s">
        <v>2514</v>
      </c>
      <c r="K447" s="3" t="s">
        <v>2515</v>
      </c>
      <c r="L447" s="3"/>
      <c r="M447" s="4"/>
      <c r="N447" s="3" t="s">
        <v>37</v>
      </c>
      <c r="O447" s="3" t="s">
        <v>52</v>
      </c>
      <c r="P447" s="5">
        <v>7</v>
      </c>
      <c r="Q447" s="5">
        <v>51</v>
      </c>
      <c r="R447" s="5">
        <v>6</v>
      </c>
      <c r="S447" s="5">
        <v>42</v>
      </c>
    </row>
    <row r="448" spans="1:19" ht="28" x14ac:dyDescent="0.15">
      <c r="A448" s="2">
        <f>HYPERLINK("https://open-school.uspishnemisto.com.ua/school/50450/", 50450)</f>
        <v>50450</v>
      </c>
      <c r="B448" s="3" t="s">
        <v>2516</v>
      </c>
      <c r="C448" s="3" t="s">
        <v>31</v>
      </c>
      <c r="D448" s="3" t="s">
        <v>60</v>
      </c>
      <c r="E448" s="4" t="s">
        <v>22</v>
      </c>
      <c r="F448" s="4" t="s">
        <v>2517</v>
      </c>
      <c r="G448" s="4" t="s">
        <v>2518</v>
      </c>
      <c r="H448" s="3" t="s">
        <v>25</v>
      </c>
      <c r="I448" s="3" t="s">
        <v>2519</v>
      </c>
      <c r="J448" s="3" t="s">
        <v>2520</v>
      </c>
      <c r="K448" s="3" t="s">
        <v>2521</v>
      </c>
      <c r="L448" s="3"/>
      <c r="M448" s="4"/>
      <c r="N448" s="3" t="s">
        <v>37</v>
      </c>
      <c r="O448" s="3" t="s">
        <v>52</v>
      </c>
      <c r="P448" s="5">
        <v>1</v>
      </c>
      <c r="Q448" s="5">
        <v>13</v>
      </c>
      <c r="R448" s="5">
        <v>2</v>
      </c>
      <c r="S448" s="5">
        <v>15</v>
      </c>
    </row>
    <row r="449" spans="1:19" ht="28" x14ac:dyDescent="0.15">
      <c r="A449" s="2">
        <f>HYPERLINK("https://open-school.uspishnemisto.com.ua/school/50451/", 50451)</f>
        <v>50451</v>
      </c>
      <c r="B449" s="3" t="s">
        <v>2522</v>
      </c>
      <c r="C449" s="3" t="s">
        <v>31</v>
      </c>
      <c r="D449" s="3" t="s">
        <v>175</v>
      </c>
      <c r="E449" s="4" t="s">
        <v>22</v>
      </c>
      <c r="F449" s="4" t="s">
        <v>2523</v>
      </c>
      <c r="G449" s="4" t="s">
        <v>2524</v>
      </c>
      <c r="H449" s="3" t="s">
        <v>25</v>
      </c>
      <c r="I449" s="3" t="s">
        <v>2525</v>
      </c>
      <c r="J449" s="3" t="s">
        <v>2526</v>
      </c>
      <c r="K449" s="3" t="s">
        <v>2527</v>
      </c>
      <c r="L449" s="3"/>
      <c r="M449" s="4"/>
      <c r="N449" s="3" t="s">
        <v>37</v>
      </c>
      <c r="O449" s="3" t="s">
        <v>46</v>
      </c>
      <c r="P449" s="5">
        <v>1</v>
      </c>
      <c r="Q449" s="5">
        <v>25</v>
      </c>
      <c r="R449" s="5">
        <v>2</v>
      </c>
      <c r="S449" s="5">
        <v>25</v>
      </c>
    </row>
    <row r="450" spans="1:19" ht="42" x14ac:dyDescent="0.15">
      <c r="A450" s="2">
        <f>HYPERLINK("https://open-school.uspishnemisto.com.ua/school/50452/", 50452)</f>
        <v>50452</v>
      </c>
      <c r="B450" s="3" t="s">
        <v>2528</v>
      </c>
      <c r="C450" s="3" t="s">
        <v>31</v>
      </c>
      <c r="D450" s="3" t="s">
        <v>32</v>
      </c>
      <c r="E450" s="4" t="s">
        <v>22</v>
      </c>
      <c r="F450" s="4" t="s">
        <v>2529</v>
      </c>
      <c r="G450" s="4" t="s">
        <v>2530</v>
      </c>
      <c r="H450" s="3" t="s">
        <v>25</v>
      </c>
      <c r="I450" s="3" t="s">
        <v>2531</v>
      </c>
      <c r="J450" s="3" t="s">
        <v>2532</v>
      </c>
      <c r="K450" s="3" t="s">
        <v>2533</v>
      </c>
      <c r="L450" s="3"/>
      <c r="M450" s="4"/>
      <c r="N450" s="3" t="s">
        <v>37</v>
      </c>
      <c r="O450" s="3" t="s">
        <v>38</v>
      </c>
      <c r="P450" s="5">
        <v>9</v>
      </c>
      <c r="Q450" s="5">
        <v>70</v>
      </c>
      <c r="R450" s="5">
        <v>9</v>
      </c>
      <c r="S450" s="5">
        <v>78</v>
      </c>
    </row>
    <row r="451" spans="1:19" ht="28" x14ac:dyDescent="0.15">
      <c r="A451" s="2">
        <f>HYPERLINK("https://open-school.uspishnemisto.com.ua/school/50453/", 50453)</f>
        <v>50453</v>
      </c>
      <c r="B451" s="3" t="s">
        <v>2534</v>
      </c>
      <c r="C451" s="3" t="s">
        <v>31</v>
      </c>
      <c r="D451" s="3" t="s">
        <v>175</v>
      </c>
      <c r="E451" s="4" t="s">
        <v>22</v>
      </c>
      <c r="F451" s="4" t="s">
        <v>2535</v>
      </c>
      <c r="G451" s="4" t="s">
        <v>2536</v>
      </c>
      <c r="H451" s="3" t="s">
        <v>25</v>
      </c>
      <c r="I451" s="3" t="s">
        <v>2537</v>
      </c>
      <c r="J451" s="3" t="s">
        <v>2538</v>
      </c>
      <c r="K451" s="3" t="s">
        <v>2539</v>
      </c>
      <c r="L451" s="3"/>
      <c r="M451" s="4"/>
      <c r="N451" s="3" t="s">
        <v>37</v>
      </c>
      <c r="O451" s="3" t="s">
        <v>38</v>
      </c>
      <c r="P451" s="5">
        <v>6</v>
      </c>
      <c r="Q451" s="5">
        <v>47</v>
      </c>
      <c r="R451" s="5">
        <v>6</v>
      </c>
      <c r="S451" s="5">
        <v>44</v>
      </c>
    </row>
    <row r="452" spans="1:19" ht="28" x14ac:dyDescent="0.15">
      <c r="A452" s="2">
        <f>HYPERLINK("https://open-school.uspishnemisto.com.ua/school/50454/", 50454)</f>
        <v>50454</v>
      </c>
      <c r="B452" s="3" t="s">
        <v>2540</v>
      </c>
      <c r="C452" s="3" t="s">
        <v>31</v>
      </c>
      <c r="D452" s="3" t="s">
        <v>175</v>
      </c>
      <c r="E452" s="4" t="s">
        <v>22</v>
      </c>
      <c r="F452" s="4" t="s">
        <v>2541</v>
      </c>
      <c r="G452" s="4" t="s">
        <v>2542</v>
      </c>
      <c r="H452" s="3" t="s">
        <v>25</v>
      </c>
      <c r="I452" s="3" t="s">
        <v>2543</v>
      </c>
      <c r="J452" s="3" t="s">
        <v>2544</v>
      </c>
      <c r="K452" s="3" t="s">
        <v>2545</v>
      </c>
      <c r="L452" s="3"/>
      <c r="M452" s="4"/>
      <c r="N452" s="3" t="s">
        <v>37</v>
      </c>
      <c r="O452" s="3" t="s">
        <v>38</v>
      </c>
      <c r="P452" s="5">
        <v>9</v>
      </c>
      <c r="Q452" s="5">
        <v>149</v>
      </c>
      <c r="R452" s="5">
        <v>9</v>
      </c>
      <c r="S452" s="5">
        <v>148</v>
      </c>
    </row>
    <row r="453" spans="1:19" ht="28" x14ac:dyDescent="0.15">
      <c r="A453" s="2">
        <f>HYPERLINK("https://open-school.uspishnemisto.com.ua/school/50455/", 50455)</f>
        <v>50455</v>
      </c>
      <c r="B453" s="3" t="s">
        <v>2546</v>
      </c>
      <c r="C453" s="3" t="s">
        <v>31</v>
      </c>
      <c r="D453" s="3" t="s">
        <v>32</v>
      </c>
      <c r="E453" s="4" t="s">
        <v>22</v>
      </c>
      <c r="F453" s="4" t="s">
        <v>2547</v>
      </c>
      <c r="G453" s="4" t="s">
        <v>2548</v>
      </c>
      <c r="H453" s="3" t="s">
        <v>25</v>
      </c>
      <c r="I453" s="3" t="s">
        <v>2549</v>
      </c>
      <c r="J453" s="3" t="s">
        <v>903</v>
      </c>
      <c r="K453" s="3" t="s">
        <v>2550</v>
      </c>
      <c r="L453" s="3"/>
      <c r="M453" s="4"/>
      <c r="N453" s="3" t="s">
        <v>37</v>
      </c>
      <c r="O453" s="3" t="s">
        <v>52</v>
      </c>
      <c r="P453" s="5">
        <v>11</v>
      </c>
      <c r="Q453" s="5">
        <v>121</v>
      </c>
      <c r="R453" s="5">
        <v>11</v>
      </c>
      <c r="S453" s="5">
        <v>117</v>
      </c>
    </row>
    <row r="454" spans="1:19" ht="28" x14ac:dyDescent="0.15">
      <c r="A454" s="2">
        <f>HYPERLINK("https://open-school.uspishnemisto.com.ua/school/50456/", 50456)</f>
        <v>50456</v>
      </c>
      <c r="B454" s="3" t="s">
        <v>2551</v>
      </c>
      <c r="C454" s="3" t="s">
        <v>31</v>
      </c>
      <c r="D454" s="3" t="s">
        <v>60</v>
      </c>
      <c r="E454" s="4" t="s">
        <v>22</v>
      </c>
      <c r="F454" s="4" t="s">
        <v>2552</v>
      </c>
      <c r="G454" s="4" t="s">
        <v>2553</v>
      </c>
      <c r="H454" s="3" t="s">
        <v>25</v>
      </c>
      <c r="I454" s="3" t="s">
        <v>2554</v>
      </c>
      <c r="J454" s="3" t="s">
        <v>2555</v>
      </c>
      <c r="K454" s="3" t="s">
        <v>2556</v>
      </c>
      <c r="L454" s="3"/>
      <c r="M454" s="4"/>
      <c r="N454" s="3" t="s">
        <v>37</v>
      </c>
      <c r="O454" s="3" t="s">
        <v>52</v>
      </c>
      <c r="P454" s="5">
        <v>1</v>
      </c>
      <c r="Q454" s="5">
        <v>6</v>
      </c>
      <c r="R454" s="5">
        <v>1</v>
      </c>
      <c r="S454" s="5">
        <v>7</v>
      </c>
    </row>
    <row r="455" spans="1:19" ht="28" x14ac:dyDescent="0.15">
      <c r="A455" s="2">
        <f>HYPERLINK("https://open-school.uspishnemisto.com.ua/school/50457/", 50457)</f>
        <v>50457</v>
      </c>
      <c r="B455" s="3" t="s">
        <v>2557</v>
      </c>
      <c r="C455" s="3" t="s">
        <v>31</v>
      </c>
      <c r="D455" s="3" t="s">
        <v>32</v>
      </c>
      <c r="E455" s="4" t="s">
        <v>22</v>
      </c>
      <c r="F455" s="4" t="s">
        <v>2558</v>
      </c>
      <c r="G455" s="4" t="s">
        <v>2559</v>
      </c>
      <c r="H455" s="3" t="s">
        <v>25</v>
      </c>
      <c r="I455" s="3" t="s">
        <v>2560</v>
      </c>
      <c r="J455" s="3" t="s">
        <v>2561</v>
      </c>
      <c r="K455" s="3" t="s">
        <v>2562</v>
      </c>
      <c r="L455" s="3" t="s">
        <v>2563</v>
      </c>
      <c r="M455" s="4"/>
      <c r="N455" s="3" t="s">
        <v>37</v>
      </c>
      <c r="O455" s="3" t="s">
        <v>52</v>
      </c>
      <c r="P455" s="5">
        <v>11</v>
      </c>
      <c r="Q455" s="5">
        <v>152</v>
      </c>
      <c r="R455" s="5">
        <v>11</v>
      </c>
      <c r="S455" s="5">
        <v>155</v>
      </c>
    </row>
    <row r="456" spans="1:19" ht="28" x14ac:dyDescent="0.15">
      <c r="A456" s="2">
        <f>HYPERLINK("https://open-school.uspishnemisto.com.ua/school/50458/", 50458)</f>
        <v>50458</v>
      </c>
      <c r="B456" s="3" t="s">
        <v>2564</v>
      </c>
      <c r="C456" s="3" t="s">
        <v>181</v>
      </c>
      <c r="D456" s="3" t="s">
        <v>32</v>
      </c>
      <c r="E456" s="4" t="s">
        <v>22</v>
      </c>
      <c r="F456" s="4" t="s">
        <v>2558</v>
      </c>
      <c r="G456" s="4" t="s">
        <v>2559</v>
      </c>
      <c r="H456" s="3" t="s">
        <v>25</v>
      </c>
      <c r="I456" s="3" t="s">
        <v>2560</v>
      </c>
      <c r="J456" s="3" t="s">
        <v>2565</v>
      </c>
      <c r="K456" s="3" t="s">
        <v>2566</v>
      </c>
      <c r="L456" s="3"/>
      <c r="M456" s="4" t="s">
        <v>2567</v>
      </c>
      <c r="N456" s="3" t="s">
        <v>37</v>
      </c>
      <c r="O456" s="3"/>
      <c r="P456" s="5">
        <v>10</v>
      </c>
      <c r="Q456" s="5">
        <v>90</v>
      </c>
      <c r="R456" s="5">
        <v>10</v>
      </c>
      <c r="S456" s="5">
        <v>88</v>
      </c>
    </row>
    <row r="457" spans="1:19" ht="28" x14ac:dyDescent="0.15">
      <c r="A457" s="2">
        <f>HYPERLINK("https://open-school.uspishnemisto.com.ua/school/50459/", 50459)</f>
        <v>50459</v>
      </c>
      <c r="B457" s="3" t="s">
        <v>2568</v>
      </c>
      <c r="C457" s="3" t="s">
        <v>31</v>
      </c>
      <c r="D457" s="3" t="s">
        <v>32</v>
      </c>
      <c r="E457" s="4" t="s">
        <v>22</v>
      </c>
      <c r="F457" s="4" t="s">
        <v>2569</v>
      </c>
      <c r="G457" s="4" t="s">
        <v>2570</v>
      </c>
      <c r="H457" s="3" t="s">
        <v>25</v>
      </c>
      <c r="I457" s="3" t="s">
        <v>2571</v>
      </c>
      <c r="J457" s="3" t="s">
        <v>2572</v>
      </c>
      <c r="K457" s="3" t="s">
        <v>2573</v>
      </c>
      <c r="L457" s="3"/>
      <c r="M457" s="4"/>
      <c r="N457" s="3" t="s">
        <v>37</v>
      </c>
      <c r="O457" s="3" t="s">
        <v>38</v>
      </c>
      <c r="P457" s="5">
        <v>8</v>
      </c>
      <c r="Q457" s="5">
        <v>70</v>
      </c>
      <c r="R457" s="5">
        <v>10</v>
      </c>
      <c r="S457" s="5">
        <v>70</v>
      </c>
    </row>
    <row r="458" spans="1:19" ht="28" x14ac:dyDescent="0.15">
      <c r="A458" s="2">
        <f>HYPERLINK("https://open-school.uspishnemisto.com.ua/school/50460/", 50460)</f>
        <v>50460</v>
      </c>
      <c r="B458" s="3" t="s">
        <v>2574</v>
      </c>
      <c r="C458" s="3" t="s">
        <v>54</v>
      </c>
      <c r="D458" s="3" t="s">
        <v>60</v>
      </c>
      <c r="E458" s="4" t="s">
        <v>22</v>
      </c>
      <c r="F458" s="4" t="s">
        <v>2575</v>
      </c>
      <c r="G458" s="4" t="s">
        <v>2576</v>
      </c>
      <c r="H458" s="3" t="s">
        <v>25</v>
      </c>
      <c r="I458" s="3" t="s">
        <v>2577</v>
      </c>
      <c r="J458" s="3" t="s">
        <v>2578</v>
      </c>
      <c r="K458" s="3" t="s">
        <v>2579</v>
      </c>
      <c r="L458" s="3"/>
      <c r="M458" s="4"/>
      <c r="N458" s="3" t="s">
        <v>37</v>
      </c>
      <c r="O458" s="3" t="s">
        <v>52</v>
      </c>
      <c r="P458" s="5">
        <v>1</v>
      </c>
      <c r="Q458" s="5">
        <v>15</v>
      </c>
      <c r="R458" s="5">
        <v>2</v>
      </c>
      <c r="S458" s="5">
        <v>21</v>
      </c>
    </row>
    <row r="459" spans="1:19" ht="28" x14ac:dyDescent="0.15">
      <c r="A459" s="2">
        <f>HYPERLINK("https://open-school.uspishnemisto.com.ua/school/50461/", 50461)</f>
        <v>50461</v>
      </c>
      <c r="B459" s="3" t="s">
        <v>2580</v>
      </c>
      <c r="C459" s="3" t="s">
        <v>31</v>
      </c>
      <c r="D459" s="3" t="s">
        <v>175</v>
      </c>
      <c r="E459" s="4" t="s">
        <v>22</v>
      </c>
      <c r="F459" s="4" t="s">
        <v>2581</v>
      </c>
      <c r="G459" s="4" t="s">
        <v>2582</v>
      </c>
      <c r="H459" s="3" t="s">
        <v>25</v>
      </c>
      <c r="I459" s="3" t="s">
        <v>2583</v>
      </c>
      <c r="J459" s="3" t="s">
        <v>2584</v>
      </c>
      <c r="K459" s="3" t="s">
        <v>2585</v>
      </c>
      <c r="L459" s="3"/>
      <c r="M459" s="4"/>
      <c r="N459" s="3" t="s">
        <v>37</v>
      </c>
      <c r="O459" s="3" t="s">
        <v>38</v>
      </c>
      <c r="P459" s="5">
        <v>4</v>
      </c>
      <c r="Q459" s="5">
        <v>27</v>
      </c>
      <c r="R459" s="5">
        <v>4</v>
      </c>
      <c r="S459" s="5">
        <v>28</v>
      </c>
    </row>
    <row r="460" spans="1:19" ht="28" x14ac:dyDescent="0.15">
      <c r="A460" s="2">
        <f>HYPERLINK("https://open-school.uspishnemisto.com.ua/school/50462/", 50462)</f>
        <v>50462</v>
      </c>
      <c r="B460" s="3" t="s">
        <v>2586</v>
      </c>
      <c r="C460" s="3" t="s">
        <v>31</v>
      </c>
      <c r="D460" s="3" t="s">
        <v>60</v>
      </c>
      <c r="E460" s="4" t="s">
        <v>22</v>
      </c>
      <c r="F460" s="4" t="s">
        <v>2587</v>
      </c>
      <c r="G460" s="4" t="s">
        <v>2588</v>
      </c>
      <c r="H460" s="3" t="s">
        <v>25</v>
      </c>
      <c r="I460" s="3" t="s">
        <v>2589</v>
      </c>
      <c r="J460" s="3" t="s">
        <v>2590</v>
      </c>
      <c r="K460" s="3" t="s">
        <v>2591</v>
      </c>
      <c r="L460" s="3"/>
      <c r="M460" s="4"/>
      <c r="N460" s="3" t="s">
        <v>37</v>
      </c>
      <c r="O460" s="3" t="s">
        <v>52</v>
      </c>
      <c r="P460" s="5">
        <v>0</v>
      </c>
      <c r="Q460" s="5">
        <v>6</v>
      </c>
      <c r="R460" s="5">
        <v>0</v>
      </c>
      <c r="S460" s="5">
        <v>11</v>
      </c>
    </row>
    <row r="461" spans="1:19" ht="28" x14ac:dyDescent="0.15">
      <c r="A461" s="2">
        <f>HYPERLINK("https://open-school.uspishnemisto.com.ua/school/50464/", 50464)</f>
        <v>50464</v>
      </c>
      <c r="B461" s="3" t="s">
        <v>2592</v>
      </c>
      <c r="C461" s="3" t="s">
        <v>31</v>
      </c>
      <c r="D461" s="3" t="s">
        <v>32</v>
      </c>
      <c r="E461" s="4" t="s">
        <v>22</v>
      </c>
      <c r="F461" s="4" t="s">
        <v>2593</v>
      </c>
      <c r="G461" s="4" t="s">
        <v>2594</v>
      </c>
      <c r="H461" s="3" t="s">
        <v>25</v>
      </c>
      <c r="I461" s="3" t="s">
        <v>2595</v>
      </c>
      <c r="J461" s="3" t="s">
        <v>785</v>
      </c>
      <c r="K461" s="3" t="s">
        <v>2596</v>
      </c>
      <c r="L461" s="3"/>
      <c r="M461" s="4"/>
      <c r="N461" s="3" t="s">
        <v>37</v>
      </c>
      <c r="O461" s="3" t="s">
        <v>38</v>
      </c>
      <c r="P461" s="5">
        <v>9</v>
      </c>
      <c r="Q461" s="5">
        <v>97</v>
      </c>
      <c r="R461" s="5">
        <v>10</v>
      </c>
      <c r="S461" s="5">
        <v>101</v>
      </c>
    </row>
    <row r="462" spans="1:19" ht="28" x14ac:dyDescent="0.15">
      <c r="A462" s="2">
        <f>HYPERLINK("https://open-school.uspishnemisto.com.ua/school/50465/", 50465)</f>
        <v>50465</v>
      </c>
      <c r="B462" s="3" t="s">
        <v>2597</v>
      </c>
      <c r="C462" s="3" t="s">
        <v>31</v>
      </c>
      <c r="D462" s="3" t="s">
        <v>175</v>
      </c>
      <c r="E462" s="4" t="s">
        <v>22</v>
      </c>
      <c r="F462" s="4" t="s">
        <v>2598</v>
      </c>
      <c r="G462" s="4" t="s">
        <v>2599</v>
      </c>
      <c r="H462" s="3" t="s">
        <v>25</v>
      </c>
      <c r="I462" s="3" t="s">
        <v>2600</v>
      </c>
      <c r="J462" s="3" t="s">
        <v>2601</v>
      </c>
      <c r="K462" s="3" t="s">
        <v>2602</v>
      </c>
      <c r="L462" s="3"/>
      <c r="M462" s="4"/>
      <c r="N462" s="3" t="s">
        <v>37</v>
      </c>
      <c r="O462" s="3" t="s">
        <v>46</v>
      </c>
      <c r="P462" s="5">
        <v>9</v>
      </c>
      <c r="Q462" s="5">
        <v>53</v>
      </c>
      <c r="R462" s="5">
        <v>8</v>
      </c>
      <c r="S462" s="5">
        <v>51</v>
      </c>
    </row>
    <row r="463" spans="1:19" ht="28" x14ac:dyDescent="0.15">
      <c r="A463" s="2">
        <f>HYPERLINK("https://open-school.uspishnemisto.com.ua/school/50466/", 50466)</f>
        <v>50466</v>
      </c>
      <c r="B463" s="3" t="s">
        <v>2603</v>
      </c>
      <c r="C463" s="3" t="s">
        <v>31</v>
      </c>
      <c r="D463" s="3" t="s">
        <v>32</v>
      </c>
      <c r="E463" s="4" t="s">
        <v>22</v>
      </c>
      <c r="F463" s="4" t="s">
        <v>2604</v>
      </c>
      <c r="G463" s="4" t="s">
        <v>2605</v>
      </c>
      <c r="H463" s="3" t="s">
        <v>25</v>
      </c>
      <c r="I463" s="3" t="s">
        <v>2606</v>
      </c>
      <c r="J463" s="3" t="s">
        <v>2607</v>
      </c>
      <c r="K463" s="3" t="s">
        <v>2608</v>
      </c>
      <c r="L463" s="3"/>
      <c r="M463" s="4"/>
      <c r="N463" s="3" t="s">
        <v>37</v>
      </c>
      <c r="O463" s="3" t="s">
        <v>52</v>
      </c>
      <c r="P463" s="5">
        <v>11</v>
      </c>
      <c r="Q463" s="5">
        <v>70</v>
      </c>
      <c r="R463" s="5">
        <v>11</v>
      </c>
      <c r="S463" s="5">
        <v>74</v>
      </c>
    </row>
    <row r="464" spans="1:19" ht="28" x14ac:dyDescent="0.15">
      <c r="A464" s="2">
        <f>HYPERLINK("https://open-school.uspishnemisto.com.ua/school/50467/", 50467)</f>
        <v>50467</v>
      </c>
      <c r="B464" s="3" t="s">
        <v>2609</v>
      </c>
      <c r="C464" s="3" t="s">
        <v>31</v>
      </c>
      <c r="D464" s="3" t="s">
        <v>32</v>
      </c>
      <c r="E464" s="4" t="s">
        <v>22</v>
      </c>
      <c r="F464" s="4" t="s">
        <v>2610</v>
      </c>
      <c r="G464" s="4" t="s">
        <v>2611</v>
      </c>
      <c r="H464" s="3" t="s">
        <v>25</v>
      </c>
      <c r="I464" s="3" t="s">
        <v>2612</v>
      </c>
      <c r="J464" s="3" t="s">
        <v>2613</v>
      </c>
      <c r="K464" s="3" t="s">
        <v>2614</v>
      </c>
      <c r="L464" s="3"/>
      <c r="M464" s="4"/>
      <c r="N464" s="3" t="s">
        <v>37</v>
      </c>
      <c r="O464" s="3" t="s">
        <v>52</v>
      </c>
      <c r="P464" s="5">
        <v>10</v>
      </c>
      <c r="Q464" s="5">
        <v>83</v>
      </c>
      <c r="R464" s="5">
        <v>9</v>
      </c>
      <c r="S464" s="5">
        <v>76</v>
      </c>
    </row>
    <row r="465" spans="1:19" ht="28" x14ac:dyDescent="0.15">
      <c r="A465" s="2">
        <f>HYPERLINK("https://open-school.uspishnemisto.com.ua/school/50468/", 50468)</f>
        <v>50468</v>
      </c>
      <c r="B465" s="3" t="s">
        <v>2615</v>
      </c>
      <c r="C465" s="3" t="s">
        <v>31</v>
      </c>
      <c r="D465" s="3" t="s">
        <v>32</v>
      </c>
      <c r="E465" s="4" t="s">
        <v>22</v>
      </c>
      <c r="F465" s="4" t="s">
        <v>2616</v>
      </c>
      <c r="G465" s="4" t="s">
        <v>2617</v>
      </c>
      <c r="H465" s="3" t="s">
        <v>25</v>
      </c>
      <c r="I465" s="3" t="s">
        <v>2618</v>
      </c>
      <c r="J465" s="3" t="s">
        <v>2619</v>
      </c>
      <c r="K465" s="3" t="s">
        <v>2620</v>
      </c>
      <c r="L465" s="3"/>
      <c r="M465" s="4"/>
      <c r="N465" s="3" t="s">
        <v>37</v>
      </c>
      <c r="O465" s="3" t="s">
        <v>38</v>
      </c>
      <c r="P465" s="5">
        <v>8</v>
      </c>
      <c r="Q465" s="5">
        <v>54</v>
      </c>
      <c r="R465" s="5">
        <v>4</v>
      </c>
      <c r="S465" s="5">
        <v>44</v>
      </c>
    </row>
    <row r="466" spans="1:19" ht="28" x14ac:dyDescent="0.15">
      <c r="A466" s="2">
        <f>HYPERLINK("https://open-school.uspishnemisto.com.ua/school/50469/", 50469)</f>
        <v>50469</v>
      </c>
      <c r="B466" s="3" t="s">
        <v>2621</v>
      </c>
      <c r="C466" s="3" t="s">
        <v>31</v>
      </c>
      <c r="D466" s="3" t="s">
        <v>32</v>
      </c>
      <c r="E466" s="4" t="s">
        <v>22</v>
      </c>
      <c r="F466" s="4" t="s">
        <v>2622</v>
      </c>
      <c r="G466" s="4" t="s">
        <v>2623</v>
      </c>
      <c r="H466" s="3" t="s">
        <v>25</v>
      </c>
      <c r="I466" s="3" t="s">
        <v>2624</v>
      </c>
      <c r="J466" s="3" t="s">
        <v>2625</v>
      </c>
      <c r="K466" s="3" t="s">
        <v>2626</v>
      </c>
      <c r="L466" s="3"/>
      <c r="M466" s="4"/>
      <c r="N466" s="3" t="s">
        <v>37</v>
      </c>
      <c r="O466" s="3" t="s">
        <v>52</v>
      </c>
      <c r="P466" s="5">
        <v>9</v>
      </c>
      <c r="Q466" s="5">
        <v>142</v>
      </c>
      <c r="R466" s="5">
        <v>10</v>
      </c>
      <c r="S466" s="5">
        <v>144</v>
      </c>
    </row>
    <row r="467" spans="1:19" ht="56" x14ac:dyDescent="0.15">
      <c r="A467" s="2">
        <f>HYPERLINK("https://open-school.uspishnemisto.com.ua/school/50470/", 50470)</f>
        <v>50470</v>
      </c>
      <c r="B467" s="3" t="s">
        <v>2627</v>
      </c>
      <c r="C467" s="3" t="s">
        <v>54</v>
      </c>
      <c r="D467" s="3" t="s">
        <v>175</v>
      </c>
      <c r="E467" s="4" t="s">
        <v>22</v>
      </c>
      <c r="F467" s="4" t="s">
        <v>2628</v>
      </c>
      <c r="G467" s="4" t="s">
        <v>2629</v>
      </c>
      <c r="H467" s="3" t="s">
        <v>25</v>
      </c>
      <c r="I467" s="3" t="s">
        <v>2630</v>
      </c>
      <c r="J467" s="3" t="s">
        <v>2631</v>
      </c>
      <c r="K467" s="3" t="s">
        <v>2632</v>
      </c>
      <c r="L467" s="3"/>
      <c r="M467" s="4"/>
      <c r="N467" s="3" t="s">
        <v>37</v>
      </c>
      <c r="O467" s="3" t="s">
        <v>38</v>
      </c>
      <c r="P467" s="5">
        <v>8</v>
      </c>
      <c r="Q467" s="5">
        <v>46</v>
      </c>
      <c r="R467" s="5">
        <v>7</v>
      </c>
      <c r="S467" s="5">
        <v>39</v>
      </c>
    </row>
    <row r="468" spans="1:19" ht="28" x14ac:dyDescent="0.15">
      <c r="A468" s="2">
        <f>HYPERLINK("https://open-school.uspishnemisto.com.ua/school/50471/", 50471)</f>
        <v>50471</v>
      </c>
      <c r="B468" s="3" t="s">
        <v>2633</v>
      </c>
      <c r="C468" s="3" t="s">
        <v>2634</v>
      </c>
      <c r="D468" s="3" t="s">
        <v>32</v>
      </c>
      <c r="E468" s="4" t="s">
        <v>22</v>
      </c>
      <c r="F468" s="4" t="s">
        <v>2635</v>
      </c>
      <c r="G468" s="4" t="s">
        <v>2636</v>
      </c>
      <c r="H468" s="3" t="s">
        <v>25</v>
      </c>
      <c r="I468" s="3" t="s">
        <v>2637</v>
      </c>
      <c r="J468" s="3" t="s">
        <v>2638</v>
      </c>
      <c r="K468" s="3" t="s">
        <v>2639</v>
      </c>
      <c r="L468" s="3"/>
      <c r="M468" s="4" t="s">
        <v>2640</v>
      </c>
      <c r="N468" s="3" t="s">
        <v>37</v>
      </c>
      <c r="O468" s="3" t="s">
        <v>52</v>
      </c>
      <c r="P468" s="5">
        <v>12</v>
      </c>
      <c r="Q468" s="5">
        <v>195</v>
      </c>
      <c r="R468" s="5">
        <v>13</v>
      </c>
      <c r="S468" s="5">
        <v>196</v>
      </c>
    </row>
    <row r="469" spans="1:19" ht="28" x14ac:dyDescent="0.15">
      <c r="A469" s="2">
        <f>HYPERLINK("https://open-school.uspishnemisto.com.ua/school/50472/", 50472)</f>
        <v>50472</v>
      </c>
      <c r="B469" s="3" t="s">
        <v>2641</v>
      </c>
      <c r="C469" s="3" t="s">
        <v>54</v>
      </c>
      <c r="D469" s="3" t="s">
        <v>32</v>
      </c>
      <c r="E469" s="4" t="s">
        <v>22</v>
      </c>
      <c r="F469" s="4" t="s">
        <v>2635</v>
      </c>
      <c r="G469" s="4" t="s">
        <v>2636</v>
      </c>
      <c r="H469" s="3" t="s">
        <v>25</v>
      </c>
      <c r="I469" s="3" t="s">
        <v>2637</v>
      </c>
      <c r="J469" s="3" t="s">
        <v>2642</v>
      </c>
      <c r="K469" s="3" t="s">
        <v>2643</v>
      </c>
      <c r="L469" s="3"/>
      <c r="M469" s="4"/>
      <c r="N469" s="3" t="s">
        <v>37</v>
      </c>
      <c r="O469" s="3" t="s">
        <v>52</v>
      </c>
      <c r="P469" s="5">
        <v>18</v>
      </c>
      <c r="Q469" s="5">
        <v>375</v>
      </c>
      <c r="R469" s="5">
        <v>18</v>
      </c>
      <c r="S469" s="5">
        <v>347</v>
      </c>
    </row>
    <row r="470" spans="1:19" ht="42" x14ac:dyDescent="0.15">
      <c r="A470" s="2">
        <f>HYPERLINK("https://open-school.uspishnemisto.com.ua/school/50473/", 50473)</f>
        <v>50473</v>
      </c>
      <c r="B470" s="3" t="s">
        <v>2644</v>
      </c>
      <c r="C470" s="3" t="s">
        <v>31</v>
      </c>
      <c r="D470" s="3" t="s">
        <v>32</v>
      </c>
      <c r="E470" s="4" t="s">
        <v>22</v>
      </c>
      <c r="F470" s="4" t="s">
        <v>2635</v>
      </c>
      <c r="G470" s="4" t="s">
        <v>2636</v>
      </c>
      <c r="H470" s="3" t="s">
        <v>25</v>
      </c>
      <c r="I470" s="3" t="s">
        <v>2637</v>
      </c>
      <c r="J470" s="3" t="s">
        <v>2645</v>
      </c>
      <c r="K470" s="3" t="s">
        <v>2646</v>
      </c>
      <c r="L470" s="3"/>
      <c r="M470" s="4"/>
      <c r="N470" s="3" t="s">
        <v>37</v>
      </c>
      <c r="O470" s="3" t="s">
        <v>38</v>
      </c>
      <c r="P470" s="5">
        <v>12</v>
      </c>
      <c r="Q470" s="5">
        <v>225</v>
      </c>
      <c r="R470" s="5">
        <v>12</v>
      </c>
      <c r="S470" s="5">
        <v>208</v>
      </c>
    </row>
    <row r="471" spans="1:19" ht="28" x14ac:dyDescent="0.15">
      <c r="A471" s="2">
        <f>HYPERLINK("https://open-school.uspishnemisto.com.ua/school/50474/", 50474)</f>
        <v>50474</v>
      </c>
      <c r="B471" s="3" t="s">
        <v>2647</v>
      </c>
      <c r="C471" s="3" t="s">
        <v>54</v>
      </c>
      <c r="D471" s="3" t="s">
        <v>175</v>
      </c>
      <c r="E471" s="4" t="s">
        <v>22</v>
      </c>
      <c r="F471" s="4" t="s">
        <v>2648</v>
      </c>
      <c r="G471" s="4" t="s">
        <v>2649</v>
      </c>
      <c r="H471" s="3" t="s">
        <v>25</v>
      </c>
      <c r="I471" s="3" t="s">
        <v>2650</v>
      </c>
      <c r="J471" s="3" t="s">
        <v>2651</v>
      </c>
      <c r="K471" s="3" t="s">
        <v>2652</v>
      </c>
      <c r="L471" s="3"/>
      <c r="M471" s="4"/>
      <c r="N471" s="3" t="s">
        <v>37</v>
      </c>
      <c r="O471" s="3" t="s">
        <v>38</v>
      </c>
      <c r="P471" s="5">
        <v>9</v>
      </c>
      <c r="Q471" s="5">
        <v>69</v>
      </c>
      <c r="R471" s="5">
        <v>9</v>
      </c>
      <c r="S471" s="5">
        <v>74</v>
      </c>
    </row>
    <row r="472" spans="1:19" ht="42" x14ac:dyDescent="0.15">
      <c r="A472" s="2">
        <f>HYPERLINK("https://open-school.uspishnemisto.com.ua/school/50475/", 50475)</f>
        <v>50475</v>
      </c>
      <c r="B472" s="3" t="s">
        <v>2653</v>
      </c>
      <c r="C472" s="3" t="s">
        <v>54</v>
      </c>
      <c r="D472" s="3" t="s">
        <v>32</v>
      </c>
      <c r="E472" s="4" t="s">
        <v>22</v>
      </c>
      <c r="F472" s="4" t="s">
        <v>2635</v>
      </c>
      <c r="G472" s="4" t="s">
        <v>2654</v>
      </c>
      <c r="H472" s="3" t="s">
        <v>25</v>
      </c>
      <c r="I472" s="3" t="s">
        <v>2655</v>
      </c>
      <c r="J472" s="3" t="s">
        <v>2656</v>
      </c>
      <c r="K472" s="3" t="s">
        <v>2657</v>
      </c>
      <c r="L472" s="3"/>
      <c r="M472" s="4"/>
      <c r="N472" s="3" t="s">
        <v>37</v>
      </c>
      <c r="O472" s="3" t="s">
        <v>52</v>
      </c>
      <c r="P472" s="5">
        <v>7</v>
      </c>
      <c r="Q472" s="5">
        <v>61</v>
      </c>
      <c r="R472" s="5">
        <v>9</v>
      </c>
      <c r="S472" s="5">
        <v>73</v>
      </c>
    </row>
    <row r="473" spans="1:19" ht="28" x14ac:dyDescent="0.15">
      <c r="A473" s="2">
        <f>HYPERLINK("https://open-school.uspishnemisto.com.ua/school/50476/", 50476)</f>
        <v>50476</v>
      </c>
      <c r="B473" s="3" t="s">
        <v>2658</v>
      </c>
      <c r="C473" s="3" t="s">
        <v>31</v>
      </c>
      <c r="D473" s="3" t="s">
        <v>32</v>
      </c>
      <c r="E473" s="4" t="s">
        <v>22</v>
      </c>
      <c r="F473" s="4" t="s">
        <v>2659</v>
      </c>
      <c r="G473" s="4" t="s">
        <v>2660</v>
      </c>
      <c r="H473" s="3" t="s">
        <v>25</v>
      </c>
      <c r="I473" s="3" t="s">
        <v>2661</v>
      </c>
      <c r="J473" s="3" t="s">
        <v>2662</v>
      </c>
      <c r="K473" s="3" t="s">
        <v>2663</v>
      </c>
      <c r="L473" s="3"/>
      <c r="M473" s="4"/>
      <c r="N473" s="3" t="s">
        <v>37</v>
      </c>
      <c r="O473" s="3" t="s">
        <v>52</v>
      </c>
      <c r="P473" s="5">
        <v>11</v>
      </c>
      <c r="Q473" s="5">
        <v>185</v>
      </c>
      <c r="R473" s="5">
        <v>11</v>
      </c>
      <c r="S473" s="5">
        <v>184</v>
      </c>
    </row>
    <row r="474" spans="1:19" ht="42" x14ac:dyDescent="0.15">
      <c r="A474" s="2">
        <f>HYPERLINK("https://open-school.uspishnemisto.com.ua/school/50477/", 50477)</f>
        <v>50477</v>
      </c>
      <c r="B474" s="3" t="s">
        <v>2664</v>
      </c>
      <c r="C474" s="3" t="s">
        <v>54</v>
      </c>
      <c r="D474" s="3" t="s">
        <v>175</v>
      </c>
      <c r="E474" s="4" t="s">
        <v>22</v>
      </c>
      <c r="F474" s="4" t="s">
        <v>2665</v>
      </c>
      <c r="G474" s="4" t="s">
        <v>2666</v>
      </c>
      <c r="H474" s="3" t="s">
        <v>25</v>
      </c>
      <c r="I474" s="3" t="s">
        <v>2667</v>
      </c>
      <c r="J474" s="3" t="s">
        <v>2191</v>
      </c>
      <c r="K474" s="3" t="s">
        <v>2668</v>
      </c>
      <c r="L474" s="3"/>
      <c r="M474" s="4"/>
      <c r="N474" s="3" t="s">
        <v>37</v>
      </c>
      <c r="O474" s="3" t="s">
        <v>46</v>
      </c>
      <c r="P474" s="5">
        <v>8</v>
      </c>
      <c r="Q474" s="5">
        <v>66</v>
      </c>
      <c r="R474" s="5">
        <v>7</v>
      </c>
      <c r="S474" s="5">
        <v>61</v>
      </c>
    </row>
    <row r="475" spans="1:19" ht="42" x14ac:dyDescent="0.15">
      <c r="A475" s="2">
        <f>HYPERLINK("https://open-school.uspishnemisto.com.ua/school/50478/", 50478)</f>
        <v>50478</v>
      </c>
      <c r="B475" s="3" t="s">
        <v>2669</v>
      </c>
      <c r="C475" s="3" t="s">
        <v>54</v>
      </c>
      <c r="D475" s="3" t="s">
        <v>32</v>
      </c>
      <c r="E475" s="4" t="s">
        <v>22</v>
      </c>
      <c r="F475" s="4" t="s">
        <v>2670</v>
      </c>
      <c r="G475" s="4" t="s">
        <v>2671</v>
      </c>
      <c r="H475" s="3" t="s">
        <v>25</v>
      </c>
      <c r="I475" s="3" t="s">
        <v>2672</v>
      </c>
      <c r="J475" s="3" t="s">
        <v>2411</v>
      </c>
      <c r="K475" s="3" t="s">
        <v>2673</v>
      </c>
      <c r="L475" s="3"/>
      <c r="M475" s="4"/>
      <c r="N475" s="3" t="s">
        <v>37</v>
      </c>
      <c r="O475" s="3" t="s">
        <v>38</v>
      </c>
      <c r="P475" s="5">
        <v>9</v>
      </c>
      <c r="Q475" s="5">
        <v>68</v>
      </c>
      <c r="R475" s="5">
        <v>10</v>
      </c>
      <c r="S475" s="5">
        <v>73</v>
      </c>
    </row>
    <row r="476" spans="1:19" ht="42" x14ac:dyDescent="0.15">
      <c r="A476" s="2">
        <f>HYPERLINK("https://open-school.uspishnemisto.com.ua/school/50479/", 50479)</f>
        <v>50479</v>
      </c>
      <c r="B476" s="3" t="s">
        <v>2674</v>
      </c>
      <c r="C476" s="3" t="s">
        <v>54</v>
      </c>
      <c r="D476" s="3" t="s">
        <v>32</v>
      </c>
      <c r="E476" s="4" t="s">
        <v>22</v>
      </c>
      <c r="F476" s="4" t="s">
        <v>2675</v>
      </c>
      <c r="G476" s="4" t="s">
        <v>2676</v>
      </c>
      <c r="H476" s="3" t="s">
        <v>25</v>
      </c>
      <c r="I476" s="3" t="s">
        <v>2677</v>
      </c>
      <c r="J476" s="3" t="s">
        <v>2678</v>
      </c>
      <c r="K476" s="3" t="s">
        <v>2679</v>
      </c>
      <c r="L476" s="3"/>
      <c r="M476" s="4"/>
      <c r="N476" s="3" t="s">
        <v>37</v>
      </c>
      <c r="O476" s="3" t="s">
        <v>38</v>
      </c>
      <c r="P476" s="5">
        <v>11</v>
      </c>
      <c r="Q476" s="5">
        <v>142</v>
      </c>
      <c r="R476" s="5">
        <v>10</v>
      </c>
      <c r="S476" s="5">
        <v>141</v>
      </c>
    </row>
    <row r="477" spans="1:19" ht="42" x14ac:dyDescent="0.15">
      <c r="A477" s="2">
        <f>HYPERLINK("https://open-school.uspishnemisto.com.ua/school/50480/", 50480)</f>
        <v>50480</v>
      </c>
      <c r="B477" s="3" t="s">
        <v>2680</v>
      </c>
      <c r="C477" s="3" t="s">
        <v>181</v>
      </c>
      <c r="D477" s="3" t="s">
        <v>175</v>
      </c>
      <c r="E477" s="4" t="s">
        <v>22</v>
      </c>
      <c r="F477" s="4" t="s">
        <v>2681</v>
      </c>
      <c r="G477" s="4" t="s">
        <v>2682</v>
      </c>
      <c r="H477" s="3" t="s">
        <v>25</v>
      </c>
      <c r="I477" s="3" t="s">
        <v>2683</v>
      </c>
      <c r="J477" s="3" t="s">
        <v>2253</v>
      </c>
      <c r="K477" s="3" t="s">
        <v>2684</v>
      </c>
      <c r="L477" s="3"/>
      <c r="M477" s="4" t="s">
        <v>2685</v>
      </c>
      <c r="N477" s="3" t="s">
        <v>37</v>
      </c>
      <c r="O477" s="3"/>
      <c r="P477" s="5">
        <v>10</v>
      </c>
      <c r="Q477" s="5">
        <v>60</v>
      </c>
      <c r="R477" s="5">
        <v>10</v>
      </c>
      <c r="S477" s="5">
        <v>54</v>
      </c>
    </row>
    <row r="478" spans="1:19" ht="42" x14ac:dyDescent="0.15">
      <c r="A478" s="2">
        <f>HYPERLINK("https://open-school.uspishnemisto.com.ua/school/50481/", 50481)</f>
        <v>50481</v>
      </c>
      <c r="B478" s="3" t="s">
        <v>2686</v>
      </c>
      <c r="C478" s="3" t="s">
        <v>54</v>
      </c>
      <c r="D478" s="3" t="s">
        <v>32</v>
      </c>
      <c r="E478" s="4" t="s">
        <v>22</v>
      </c>
      <c r="F478" s="4" t="s">
        <v>2681</v>
      </c>
      <c r="G478" s="4" t="s">
        <v>2682</v>
      </c>
      <c r="H478" s="3" t="s">
        <v>25</v>
      </c>
      <c r="I478" s="3" t="s">
        <v>2683</v>
      </c>
      <c r="J478" s="3" t="s">
        <v>2687</v>
      </c>
      <c r="K478" s="3" t="s">
        <v>2688</v>
      </c>
      <c r="L478" s="3"/>
      <c r="M478" s="4"/>
      <c r="N478" s="3" t="s">
        <v>37</v>
      </c>
      <c r="O478" s="3" t="s">
        <v>38</v>
      </c>
      <c r="P478" s="5">
        <v>7</v>
      </c>
      <c r="Q478" s="5">
        <v>59</v>
      </c>
      <c r="R478" s="5">
        <v>6</v>
      </c>
      <c r="S478" s="5">
        <v>56</v>
      </c>
    </row>
    <row r="479" spans="1:19" ht="56" x14ac:dyDescent="0.15">
      <c r="A479" s="2">
        <f>HYPERLINK("https://open-school.uspishnemisto.com.ua/school/50482/", 50482)</f>
        <v>50482</v>
      </c>
      <c r="B479" s="3" t="s">
        <v>2689</v>
      </c>
      <c r="C479" s="3" t="s">
        <v>54</v>
      </c>
      <c r="D479" s="3" t="s">
        <v>175</v>
      </c>
      <c r="E479" s="4" t="s">
        <v>22</v>
      </c>
      <c r="F479" s="4" t="s">
        <v>2690</v>
      </c>
      <c r="G479" s="4" t="s">
        <v>2691</v>
      </c>
      <c r="H479" s="3" t="s">
        <v>25</v>
      </c>
      <c r="I479" s="3" t="s">
        <v>2692</v>
      </c>
      <c r="J479" s="3" t="s">
        <v>2693</v>
      </c>
      <c r="K479" s="3" t="s">
        <v>2694</v>
      </c>
      <c r="L479" s="3"/>
      <c r="M479" s="4"/>
      <c r="N479" s="3" t="s">
        <v>37</v>
      </c>
      <c r="O479" s="3" t="s">
        <v>38</v>
      </c>
      <c r="P479" s="5">
        <v>6</v>
      </c>
      <c r="Q479" s="5">
        <v>57</v>
      </c>
      <c r="R479" s="5">
        <v>7</v>
      </c>
      <c r="S479" s="5">
        <v>56</v>
      </c>
    </row>
    <row r="480" spans="1:19" ht="56" x14ac:dyDescent="0.15">
      <c r="A480" s="2">
        <f>HYPERLINK("https://open-school.uspishnemisto.com.ua/school/50483/", 50483)</f>
        <v>50483</v>
      </c>
      <c r="B480" s="3" t="s">
        <v>2695</v>
      </c>
      <c r="C480" s="3" t="s">
        <v>54</v>
      </c>
      <c r="D480" s="3" t="s">
        <v>32</v>
      </c>
      <c r="E480" s="4" t="s">
        <v>22</v>
      </c>
      <c r="F480" s="4" t="s">
        <v>2696</v>
      </c>
      <c r="G480" s="4" t="s">
        <v>2697</v>
      </c>
      <c r="H480" s="3" t="s">
        <v>25</v>
      </c>
      <c r="I480" s="3" t="s">
        <v>2698</v>
      </c>
      <c r="J480" s="3" t="s">
        <v>2699</v>
      </c>
      <c r="K480" s="3" t="s">
        <v>2700</v>
      </c>
      <c r="L480" s="3" t="s">
        <v>2701</v>
      </c>
      <c r="M480" s="4"/>
      <c r="N480" s="3" t="s">
        <v>37</v>
      </c>
      <c r="O480" s="3" t="s">
        <v>38</v>
      </c>
      <c r="P480" s="5">
        <v>8</v>
      </c>
      <c r="Q480" s="5">
        <v>56</v>
      </c>
      <c r="R480" s="5">
        <v>8</v>
      </c>
      <c r="S480" s="5">
        <v>56</v>
      </c>
    </row>
    <row r="481" spans="1:19" ht="56" x14ac:dyDescent="0.15">
      <c r="A481" s="2">
        <f>HYPERLINK("https://open-school.uspishnemisto.com.ua/school/50484/", 50484)</f>
        <v>50484</v>
      </c>
      <c r="B481" s="3" t="s">
        <v>2702</v>
      </c>
      <c r="C481" s="3" t="s">
        <v>54</v>
      </c>
      <c r="D481" s="3" t="s">
        <v>175</v>
      </c>
      <c r="E481" s="4" t="s">
        <v>22</v>
      </c>
      <c r="F481" s="4" t="s">
        <v>2703</v>
      </c>
      <c r="G481" s="4" t="s">
        <v>2704</v>
      </c>
      <c r="H481" s="3" t="s">
        <v>25</v>
      </c>
      <c r="I481" s="3" t="s">
        <v>2705</v>
      </c>
      <c r="J481" s="3" t="s">
        <v>2706</v>
      </c>
      <c r="K481" s="3" t="s">
        <v>2707</v>
      </c>
      <c r="L481" s="3"/>
      <c r="M481" s="4"/>
      <c r="N481" s="3" t="s">
        <v>37</v>
      </c>
      <c r="O481" s="3" t="s">
        <v>38</v>
      </c>
      <c r="P481" s="5">
        <v>7</v>
      </c>
      <c r="Q481" s="5">
        <v>51</v>
      </c>
      <c r="R481" s="5">
        <v>7</v>
      </c>
      <c r="S481" s="5">
        <v>49</v>
      </c>
    </row>
    <row r="482" spans="1:19" ht="42" x14ac:dyDescent="0.15">
      <c r="A482" s="2">
        <f>HYPERLINK("https://open-school.uspishnemisto.com.ua/school/50485/", 50485)</f>
        <v>50485</v>
      </c>
      <c r="B482" s="3" t="s">
        <v>2708</v>
      </c>
      <c r="C482" s="3" t="s">
        <v>54</v>
      </c>
      <c r="D482" s="3" t="s">
        <v>32</v>
      </c>
      <c r="E482" s="4" t="s">
        <v>22</v>
      </c>
      <c r="F482" s="4" t="s">
        <v>2709</v>
      </c>
      <c r="G482" s="4" t="s">
        <v>2710</v>
      </c>
      <c r="H482" s="3" t="s">
        <v>25</v>
      </c>
      <c r="I482" s="3" t="s">
        <v>2711</v>
      </c>
      <c r="J482" s="3" t="s">
        <v>2712</v>
      </c>
      <c r="K482" s="3" t="s">
        <v>2713</v>
      </c>
      <c r="L482" s="3" t="s">
        <v>2714</v>
      </c>
      <c r="M482" s="4"/>
      <c r="N482" s="3" t="s">
        <v>37</v>
      </c>
      <c r="O482" s="3" t="s">
        <v>52</v>
      </c>
      <c r="P482" s="5">
        <v>7</v>
      </c>
      <c r="Q482" s="5">
        <v>62</v>
      </c>
      <c r="R482" s="5">
        <v>7</v>
      </c>
      <c r="S482" s="5">
        <v>70</v>
      </c>
    </row>
    <row r="483" spans="1:19" ht="42" x14ac:dyDescent="0.15">
      <c r="A483" s="2">
        <f>HYPERLINK("https://open-school.uspishnemisto.com.ua/school/50486/", 50486)</f>
        <v>50486</v>
      </c>
      <c r="B483" s="3" t="s">
        <v>2715</v>
      </c>
      <c r="C483" s="3" t="s">
        <v>54</v>
      </c>
      <c r="D483" s="3" t="s">
        <v>175</v>
      </c>
      <c r="E483" s="4" t="s">
        <v>22</v>
      </c>
      <c r="F483" s="4" t="s">
        <v>2716</v>
      </c>
      <c r="G483" s="4" t="s">
        <v>2717</v>
      </c>
      <c r="H483" s="3" t="s">
        <v>25</v>
      </c>
      <c r="I483" s="3" t="s">
        <v>2718</v>
      </c>
      <c r="J483" s="3" t="s">
        <v>2719</v>
      </c>
      <c r="K483" s="3" t="s">
        <v>2720</v>
      </c>
      <c r="L483" s="3"/>
      <c r="M483" s="4"/>
      <c r="N483" s="3" t="s">
        <v>37</v>
      </c>
      <c r="O483" s="3" t="s">
        <v>38</v>
      </c>
      <c r="P483" s="5">
        <v>4</v>
      </c>
      <c r="Q483" s="5">
        <v>41</v>
      </c>
      <c r="R483" s="5">
        <v>6</v>
      </c>
      <c r="S483" s="5">
        <v>47</v>
      </c>
    </row>
    <row r="484" spans="1:19" ht="42" x14ac:dyDescent="0.15">
      <c r="A484" s="2">
        <f>HYPERLINK("https://open-school.uspishnemisto.com.ua/school/50487/", 50487)</f>
        <v>50487</v>
      </c>
      <c r="B484" s="3" t="s">
        <v>2721</v>
      </c>
      <c r="C484" s="3" t="s">
        <v>54</v>
      </c>
      <c r="D484" s="3" t="s">
        <v>32</v>
      </c>
      <c r="E484" s="4" t="s">
        <v>22</v>
      </c>
      <c r="F484" s="4" t="s">
        <v>2722</v>
      </c>
      <c r="G484" s="4" t="s">
        <v>2723</v>
      </c>
      <c r="H484" s="3" t="s">
        <v>25</v>
      </c>
      <c r="I484" s="3" t="s">
        <v>2724</v>
      </c>
      <c r="J484" s="3" t="s">
        <v>554</v>
      </c>
      <c r="K484" s="3" t="s">
        <v>2725</v>
      </c>
      <c r="L484" s="3"/>
      <c r="M484" s="4"/>
      <c r="N484" s="3" t="s">
        <v>37</v>
      </c>
      <c r="O484" s="3" t="s">
        <v>46</v>
      </c>
      <c r="P484" s="5">
        <v>10</v>
      </c>
      <c r="Q484" s="5">
        <v>60</v>
      </c>
      <c r="R484" s="5">
        <v>8</v>
      </c>
      <c r="S484" s="5">
        <v>60</v>
      </c>
    </row>
    <row r="485" spans="1:19" ht="28" x14ac:dyDescent="0.15">
      <c r="A485" s="2">
        <f>HYPERLINK("https://open-school.uspishnemisto.com.ua/school/50488/", 50488)</f>
        <v>50488</v>
      </c>
      <c r="B485" s="3" t="s">
        <v>2726</v>
      </c>
      <c r="C485" s="3" t="s">
        <v>31</v>
      </c>
      <c r="D485" s="3" t="s">
        <v>32</v>
      </c>
      <c r="E485" s="4" t="s">
        <v>22</v>
      </c>
      <c r="F485" s="4" t="s">
        <v>2727</v>
      </c>
      <c r="G485" s="4" t="s">
        <v>2728</v>
      </c>
      <c r="H485" s="3" t="s">
        <v>25</v>
      </c>
      <c r="I485" s="3" t="s">
        <v>2729</v>
      </c>
      <c r="J485" s="3" t="s">
        <v>2730</v>
      </c>
      <c r="K485" s="3" t="s">
        <v>2731</v>
      </c>
      <c r="L485" s="3" t="s">
        <v>2732</v>
      </c>
      <c r="M485" s="4"/>
      <c r="N485" s="3" t="s">
        <v>37</v>
      </c>
      <c r="O485" s="3" t="s">
        <v>38</v>
      </c>
      <c r="P485" s="5">
        <v>9</v>
      </c>
      <c r="Q485" s="5">
        <v>65</v>
      </c>
      <c r="R485" s="5">
        <v>9</v>
      </c>
      <c r="S485" s="5">
        <v>64</v>
      </c>
    </row>
    <row r="486" spans="1:19" ht="28" x14ac:dyDescent="0.15">
      <c r="A486" s="2">
        <f>HYPERLINK("https://open-school.uspishnemisto.com.ua/school/50489/", 50489)</f>
        <v>50489</v>
      </c>
      <c r="B486" s="3" t="s">
        <v>2733</v>
      </c>
      <c r="C486" s="3" t="s">
        <v>31</v>
      </c>
      <c r="D486" s="3" t="s">
        <v>32</v>
      </c>
      <c r="E486" s="4" t="s">
        <v>22</v>
      </c>
      <c r="F486" s="4" t="s">
        <v>2734</v>
      </c>
      <c r="G486" s="4" t="s">
        <v>2735</v>
      </c>
      <c r="H486" s="3" t="s">
        <v>25</v>
      </c>
      <c r="I486" s="3" t="s">
        <v>2736</v>
      </c>
      <c r="J486" s="3" t="s">
        <v>2737</v>
      </c>
      <c r="K486" s="3" t="s">
        <v>2738</v>
      </c>
      <c r="L486" s="3" t="s">
        <v>2739</v>
      </c>
      <c r="M486" s="4"/>
      <c r="N486" s="3" t="s">
        <v>37</v>
      </c>
      <c r="O486" s="3" t="s">
        <v>2740</v>
      </c>
      <c r="P486" s="5">
        <v>11</v>
      </c>
      <c r="Q486" s="5">
        <v>160</v>
      </c>
      <c r="R486" s="5">
        <v>11</v>
      </c>
      <c r="S486" s="5">
        <v>163</v>
      </c>
    </row>
    <row r="487" spans="1:19" ht="42" x14ac:dyDescent="0.15">
      <c r="A487" s="2">
        <f>HYPERLINK("https://open-school.uspishnemisto.com.ua/school/50491/", 50491)</f>
        <v>50491</v>
      </c>
      <c r="B487" s="3" t="s">
        <v>2741</v>
      </c>
      <c r="C487" s="3" t="s">
        <v>54</v>
      </c>
      <c r="D487" s="3" t="s">
        <v>32</v>
      </c>
      <c r="E487" s="4" t="s">
        <v>22</v>
      </c>
      <c r="F487" s="4" t="s">
        <v>2742</v>
      </c>
      <c r="G487" s="4" t="s">
        <v>2743</v>
      </c>
      <c r="H487" s="3" t="s">
        <v>25</v>
      </c>
      <c r="I487" s="3" t="s">
        <v>2744</v>
      </c>
      <c r="J487" s="3" t="s">
        <v>2745</v>
      </c>
      <c r="K487" s="3" t="s">
        <v>2746</v>
      </c>
      <c r="L487" s="3"/>
      <c r="M487" s="4"/>
      <c r="N487" s="3" t="s">
        <v>37</v>
      </c>
      <c r="O487" s="3" t="s">
        <v>38</v>
      </c>
      <c r="P487" s="5">
        <v>11</v>
      </c>
      <c r="Q487" s="5">
        <v>139</v>
      </c>
      <c r="R487" s="5">
        <v>11</v>
      </c>
      <c r="S487" s="5">
        <v>116</v>
      </c>
    </row>
    <row r="488" spans="1:19" ht="56" x14ac:dyDescent="0.15">
      <c r="A488" s="2">
        <f>HYPERLINK("https://open-school.uspishnemisto.com.ua/school/50492/", 50492)</f>
        <v>50492</v>
      </c>
      <c r="B488" s="3" t="s">
        <v>2747</v>
      </c>
      <c r="C488" s="3" t="s">
        <v>54</v>
      </c>
      <c r="D488" s="3" t="s">
        <v>175</v>
      </c>
      <c r="E488" s="4" t="s">
        <v>22</v>
      </c>
      <c r="F488" s="4" t="s">
        <v>2748</v>
      </c>
      <c r="G488" s="4" t="s">
        <v>2749</v>
      </c>
      <c r="H488" s="3" t="s">
        <v>25</v>
      </c>
      <c r="I488" s="3" t="s">
        <v>2750</v>
      </c>
      <c r="J488" s="3" t="s">
        <v>2751</v>
      </c>
      <c r="K488" s="3" t="s">
        <v>2752</v>
      </c>
      <c r="L488" s="3"/>
      <c r="M488" s="4"/>
      <c r="N488" s="3" t="s">
        <v>37</v>
      </c>
      <c r="O488" s="3" t="s">
        <v>70</v>
      </c>
      <c r="P488" s="5">
        <v>5</v>
      </c>
      <c r="Q488" s="5">
        <v>45</v>
      </c>
      <c r="R488" s="5">
        <v>4</v>
      </c>
      <c r="S488" s="5">
        <v>37</v>
      </c>
    </row>
    <row r="489" spans="1:19" ht="28" x14ac:dyDescent="0.15">
      <c r="A489" s="2">
        <f>HYPERLINK("https://open-school.uspishnemisto.com.ua/school/50493/", 50493)</f>
        <v>50493</v>
      </c>
      <c r="B489" s="3" t="s">
        <v>2753</v>
      </c>
      <c r="C489" s="3" t="s">
        <v>31</v>
      </c>
      <c r="D489" s="3" t="s">
        <v>175</v>
      </c>
      <c r="E489" s="4" t="s">
        <v>22</v>
      </c>
      <c r="F489" s="4" t="s">
        <v>2754</v>
      </c>
      <c r="G489" s="4" t="s">
        <v>2755</v>
      </c>
      <c r="H489" s="3" t="s">
        <v>25</v>
      </c>
      <c r="I489" s="3" t="s">
        <v>2756</v>
      </c>
      <c r="J489" s="3" t="s">
        <v>2757</v>
      </c>
      <c r="K489" s="3" t="s">
        <v>2758</v>
      </c>
      <c r="L489" s="3" t="s">
        <v>2759</v>
      </c>
      <c r="M489" s="4"/>
      <c r="N489" s="3" t="s">
        <v>37</v>
      </c>
      <c r="O489" s="3" t="s">
        <v>38</v>
      </c>
      <c r="P489" s="5">
        <v>9</v>
      </c>
      <c r="Q489" s="5">
        <v>65</v>
      </c>
      <c r="R489" s="5">
        <v>9</v>
      </c>
      <c r="S489" s="5">
        <v>69</v>
      </c>
    </row>
    <row r="490" spans="1:19" ht="28" x14ac:dyDescent="0.15">
      <c r="A490" s="2">
        <f>HYPERLINK("https://open-school.uspishnemisto.com.ua/school/50494/", 50494)</f>
        <v>50494</v>
      </c>
      <c r="B490" s="3" t="s">
        <v>2760</v>
      </c>
      <c r="C490" s="3" t="s">
        <v>181</v>
      </c>
      <c r="D490" s="3" t="s">
        <v>175</v>
      </c>
      <c r="E490" s="4" t="s">
        <v>22</v>
      </c>
      <c r="F490" s="4" t="s">
        <v>2761</v>
      </c>
      <c r="G490" s="4" t="s">
        <v>2762</v>
      </c>
      <c r="H490" s="3" t="s">
        <v>25</v>
      </c>
      <c r="I490" s="3" t="s">
        <v>2763</v>
      </c>
      <c r="J490" s="3" t="s">
        <v>2764</v>
      </c>
      <c r="K490" s="3" t="s">
        <v>2765</v>
      </c>
      <c r="L490" s="3"/>
      <c r="M490" s="4" t="s">
        <v>2766</v>
      </c>
      <c r="N490" s="3" t="s">
        <v>37</v>
      </c>
      <c r="O490" s="3" t="s">
        <v>52</v>
      </c>
      <c r="P490" s="5">
        <v>11</v>
      </c>
      <c r="Q490" s="5">
        <v>96</v>
      </c>
      <c r="R490" s="5">
        <v>11</v>
      </c>
      <c r="S490" s="5">
        <v>108</v>
      </c>
    </row>
    <row r="491" spans="1:19" ht="42" x14ac:dyDescent="0.15">
      <c r="A491" s="2">
        <f>HYPERLINK("https://open-school.uspishnemisto.com.ua/school/50495/", 50495)</f>
        <v>50495</v>
      </c>
      <c r="B491" s="3" t="s">
        <v>2767</v>
      </c>
      <c r="C491" s="3" t="s">
        <v>54</v>
      </c>
      <c r="D491" s="3" t="s">
        <v>32</v>
      </c>
      <c r="E491" s="4" t="s">
        <v>22</v>
      </c>
      <c r="F491" s="4" t="s">
        <v>2761</v>
      </c>
      <c r="G491" s="4" t="s">
        <v>2762</v>
      </c>
      <c r="H491" s="3" t="s">
        <v>25</v>
      </c>
      <c r="I491" s="3" t="s">
        <v>2763</v>
      </c>
      <c r="J491" s="3" t="s">
        <v>2768</v>
      </c>
      <c r="K491" s="3" t="s">
        <v>2769</v>
      </c>
      <c r="L491" s="3" t="s">
        <v>2770</v>
      </c>
      <c r="M491" s="4" t="s">
        <v>2771</v>
      </c>
      <c r="N491" s="3" t="s">
        <v>37</v>
      </c>
      <c r="O491" s="3" t="s">
        <v>129</v>
      </c>
      <c r="P491" s="5">
        <v>32</v>
      </c>
      <c r="Q491" s="5">
        <v>774</v>
      </c>
      <c r="R491" s="5">
        <v>31</v>
      </c>
      <c r="S491" s="5">
        <v>758</v>
      </c>
    </row>
    <row r="492" spans="1:19" ht="56" x14ac:dyDescent="0.15">
      <c r="A492" s="2">
        <f>HYPERLINK("https://open-school.uspishnemisto.com.ua/school/50496/", 50496)</f>
        <v>50496</v>
      </c>
      <c r="B492" s="3" t="s">
        <v>2772</v>
      </c>
      <c r="C492" s="3" t="s">
        <v>54</v>
      </c>
      <c r="D492" s="3" t="s">
        <v>32</v>
      </c>
      <c r="E492" s="4" t="s">
        <v>22</v>
      </c>
      <c r="F492" s="4" t="s">
        <v>2761</v>
      </c>
      <c r="G492" s="4" t="s">
        <v>2762</v>
      </c>
      <c r="H492" s="3" t="s">
        <v>25</v>
      </c>
      <c r="I492" s="3" t="s">
        <v>2763</v>
      </c>
      <c r="J492" s="3" t="s">
        <v>2773</v>
      </c>
      <c r="K492" s="3" t="s">
        <v>2774</v>
      </c>
      <c r="L492" s="3"/>
      <c r="M492" s="4" t="s">
        <v>2775</v>
      </c>
      <c r="N492" s="3" t="s">
        <v>37</v>
      </c>
      <c r="O492" s="3" t="s">
        <v>2776</v>
      </c>
      <c r="P492" s="5">
        <v>27</v>
      </c>
      <c r="Q492" s="5">
        <v>600</v>
      </c>
      <c r="R492" s="5">
        <v>27</v>
      </c>
      <c r="S492" s="5">
        <v>591</v>
      </c>
    </row>
    <row r="493" spans="1:19" ht="42" x14ac:dyDescent="0.15">
      <c r="A493" s="2">
        <f>HYPERLINK("https://open-school.uspishnemisto.com.ua/school/50497/", 50497)</f>
        <v>50497</v>
      </c>
      <c r="B493" s="3" t="s">
        <v>2777</v>
      </c>
      <c r="C493" s="3" t="s">
        <v>54</v>
      </c>
      <c r="D493" s="3" t="s">
        <v>32</v>
      </c>
      <c r="E493" s="4" t="s">
        <v>22</v>
      </c>
      <c r="F493" s="4" t="s">
        <v>2778</v>
      </c>
      <c r="G493" s="4" t="s">
        <v>2779</v>
      </c>
      <c r="H493" s="3" t="s">
        <v>25</v>
      </c>
      <c r="I493" s="3" t="s">
        <v>2780</v>
      </c>
      <c r="J493" s="3" t="s">
        <v>2781</v>
      </c>
      <c r="K493" s="3" t="s">
        <v>2782</v>
      </c>
      <c r="L493" s="3"/>
      <c r="M493" s="4" t="s">
        <v>2783</v>
      </c>
      <c r="N493" s="3" t="s">
        <v>37</v>
      </c>
      <c r="O493" s="3" t="s">
        <v>70</v>
      </c>
      <c r="P493" s="5">
        <v>18</v>
      </c>
      <c r="Q493" s="5">
        <v>329</v>
      </c>
      <c r="R493" s="5">
        <v>17</v>
      </c>
      <c r="S493" s="5">
        <v>352</v>
      </c>
    </row>
    <row r="494" spans="1:19" ht="42" x14ac:dyDescent="0.15">
      <c r="A494" s="2">
        <f>HYPERLINK("https://open-school.uspishnemisto.com.ua/school/50498/", 50498)</f>
        <v>50498</v>
      </c>
      <c r="B494" s="3" t="s">
        <v>2784</v>
      </c>
      <c r="C494" s="3" t="s">
        <v>54</v>
      </c>
      <c r="D494" s="3" t="s">
        <v>32</v>
      </c>
      <c r="E494" s="4" t="s">
        <v>22</v>
      </c>
      <c r="F494" s="4" t="s">
        <v>2778</v>
      </c>
      <c r="G494" s="4" t="s">
        <v>2779</v>
      </c>
      <c r="H494" s="3" t="s">
        <v>25</v>
      </c>
      <c r="I494" s="3" t="s">
        <v>2780</v>
      </c>
      <c r="J494" s="3" t="s">
        <v>2785</v>
      </c>
      <c r="K494" s="3" t="s">
        <v>2786</v>
      </c>
      <c r="L494" s="3" t="s">
        <v>2787</v>
      </c>
      <c r="M494" s="4" t="s">
        <v>2788</v>
      </c>
      <c r="N494" s="3" t="s">
        <v>37</v>
      </c>
      <c r="O494" s="3" t="s">
        <v>46</v>
      </c>
      <c r="P494" s="5">
        <v>12</v>
      </c>
      <c r="Q494" s="5">
        <v>208</v>
      </c>
      <c r="R494" s="5">
        <v>12</v>
      </c>
      <c r="S494" s="5">
        <v>216</v>
      </c>
    </row>
    <row r="495" spans="1:19" ht="28" x14ac:dyDescent="0.15">
      <c r="A495" s="2">
        <f>HYPERLINK("https://open-school.uspishnemisto.com.ua/school/50499/", 50499)</f>
        <v>50499</v>
      </c>
      <c r="B495" s="3" t="s">
        <v>2789</v>
      </c>
      <c r="C495" s="3" t="s">
        <v>31</v>
      </c>
      <c r="D495" s="3" t="s">
        <v>32</v>
      </c>
      <c r="E495" s="4" t="s">
        <v>22</v>
      </c>
      <c r="F495" s="4" t="s">
        <v>2790</v>
      </c>
      <c r="G495" s="4" t="s">
        <v>2791</v>
      </c>
      <c r="H495" s="3" t="s">
        <v>25</v>
      </c>
      <c r="I495" s="3" t="s">
        <v>2792</v>
      </c>
      <c r="J495" s="3" t="s">
        <v>2793</v>
      </c>
      <c r="K495" s="3"/>
      <c r="L495" s="3"/>
      <c r="M495" s="4"/>
      <c r="N495" s="3" t="s">
        <v>37</v>
      </c>
      <c r="O495" s="3" t="s">
        <v>38</v>
      </c>
      <c r="P495" s="5">
        <v>11</v>
      </c>
      <c r="Q495" s="5">
        <v>199</v>
      </c>
      <c r="R495" s="5">
        <v>11</v>
      </c>
      <c r="S495" s="5">
        <v>200</v>
      </c>
    </row>
    <row r="496" spans="1:19" ht="28" x14ac:dyDescent="0.15">
      <c r="A496" s="2">
        <f>HYPERLINK("https://open-school.uspishnemisto.com.ua/school/50500/", 50500)</f>
        <v>50500</v>
      </c>
      <c r="B496" s="3" t="s">
        <v>2794</v>
      </c>
      <c r="C496" s="3" t="s">
        <v>181</v>
      </c>
      <c r="D496" s="3" t="s">
        <v>175</v>
      </c>
      <c r="E496" s="4" t="s">
        <v>22</v>
      </c>
      <c r="F496" s="4" t="s">
        <v>2790</v>
      </c>
      <c r="G496" s="4" t="s">
        <v>2791</v>
      </c>
      <c r="H496" s="3" t="s">
        <v>25</v>
      </c>
      <c r="I496" s="3" t="s">
        <v>2792</v>
      </c>
      <c r="J496" s="3" t="s">
        <v>2795</v>
      </c>
      <c r="K496" s="3" t="s">
        <v>2796</v>
      </c>
      <c r="L496" s="3"/>
      <c r="M496" s="4" t="s">
        <v>2797</v>
      </c>
      <c r="N496" s="3" t="s">
        <v>37</v>
      </c>
      <c r="O496" s="3"/>
      <c r="P496" s="5">
        <v>11</v>
      </c>
      <c r="Q496" s="5">
        <v>103</v>
      </c>
      <c r="R496" s="5">
        <v>11</v>
      </c>
      <c r="S496" s="5">
        <v>99</v>
      </c>
    </row>
    <row r="497" spans="1:19" ht="42" x14ac:dyDescent="0.15">
      <c r="A497" s="2">
        <f>HYPERLINK("https://open-school.uspishnemisto.com.ua/school/50501/", 50501)</f>
        <v>50501</v>
      </c>
      <c r="B497" s="3" t="s">
        <v>2798</v>
      </c>
      <c r="C497" s="3" t="s">
        <v>31</v>
      </c>
      <c r="D497" s="3" t="s">
        <v>32</v>
      </c>
      <c r="E497" s="4" t="s">
        <v>22</v>
      </c>
      <c r="F497" s="4" t="s">
        <v>2799</v>
      </c>
      <c r="G497" s="4" t="s">
        <v>2800</v>
      </c>
      <c r="H497" s="3" t="s">
        <v>25</v>
      </c>
      <c r="I497" s="3" t="s">
        <v>2801</v>
      </c>
      <c r="J497" s="3" t="s">
        <v>2802</v>
      </c>
      <c r="K497" s="3" t="s">
        <v>2803</v>
      </c>
      <c r="L497" s="3"/>
      <c r="M497" s="4"/>
      <c r="N497" s="3" t="s">
        <v>37</v>
      </c>
      <c r="O497" s="3" t="s">
        <v>38</v>
      </c>
      <c r="P497" s="5">
        <v>9</v>
      </c>
      <c r="Q497" s="5">
        <v>56</v>
      </c>
      <c r="R497" s="5">
        <v>9</v>
      </c>
      <c r="S497" s="5">
        <v>53</v>
      </c>
    </row>
    <row r="498" spans="1:19" ht="28" x14ac:dyDescent="0.15">
      <c r="A498" s="2">
        <f>HYPERLINK("https://open-school.uspishnemisto.com.ua/school/50502/", 50502)</f>
        <v>50502</v>
      </c>
      <c r="B498" s="3" t="s">
        <v>2804</v>
      </c>
      <c r="C498" s="3" t="s">
        <v>31</v>
      </c>
      <c r="D498" s="3" t="s">
        <v>60</v>
      </c>
      <c r="E498" s="4" t="s">
        <v>22</v>
      </c>
      <c r="F498" s="4" t="s">
        <v>2805</v>
      </c>
      <c r="G498" s="4" t="s">
        <v>2806</v>
      </c>
      <c r="H498" s="3" t="s">
        <v>25</v>
      </c>
      <c r="I498" s="3" t="s">
        <v>2807</v>
      </c>
      <c r="J498" s="3" t="s">
        <v>2808</v>
      </c>
      <c r="K498" s="3" t="s">
        <v>2809</v>
      </c>
      <c r="L498" s="3"/>
      <c r="M498" s="4"/>
      <c r="N498" s="3" t="s">
        <v>37</v>
      </c>
      <c r="O498" s="3" t="s">
        <v>52</v>
      </c>
      <c r="P498" s="5">
        <v>1</v>
      </c>
      <c r="Q498" s="5">
        <v>12</v>
      </c>
      <c r="R498" s="5">
        <v>1</v>
      </c>
      <c r="S498" s="5">
        <v>8</v>
      </c>
    </row>
    <row r="499" spans="1:19" ht="28" x14ac:dyDescent="0.15">
      <c r="A499" s="2">
        <f>HYPERLINK("https://open-school.uspishnemisto.com.ua/school/50504/", 50504)</f>
        <v>50504</v>
      </c>
      <c r="B499" s="3" t="s">
        <v>2810</v>
      </c>
      <c r="C499" s="3" t="s">
        <v>31</v>
      </c>
      <c r="D499" s="3" t="s">
        <v>175</v>
      </c>
      <c r="E499" s="4" t="s">
        <v>22</v>
      </c>
      <c r="F499" s="4" t="s">
        <v>2811</v>
      </c>
      <c r="G499" s="4" t="s">
        <v>2812</v>
      </c>
      <c r="H499" s="3" t="s">
        <v>25</v>
      </c>
      <c r="I499" s="3" t="s">
        <v>2813</v>
      </c>
      <c r="J499" s="3" t="s">
        <v>466</v>
      </c>
      <c r="K499" s="3" t="s">
        <v>2814</v>
      </c>
      <c r="L499" s="3" t="s">
        <v>2815</v>
      </c>
      <c r="M499" s="4"/>
      <c r="N499" s="3" t="s">
        <v>37</v>
      </c>
      <c r="O499" s="3" t="s">
        <v>38</v>
      </c>
      <c r="P499" s="5">
        <v>9</v>
      </c>
      <c r="Q499" s="5">
        <v>87</v>
      </c>
      <c r="R499" s="5">
        <v>9</v>
      </c>
      <c r="S499" s="5">
        <v>94</v>
      </c>
    </row>
    <row r="500" spans="1:19" ht="28" x14ac:dyDescent="0.15">
      <c r="A500" s="2">
        <f>HYPERLINK("https://open-school.uspishnemisto.com.ua/school/50505/", 50505)</f>
        <v>50505</v>
      </c>
      <c r="B500" s="3" t="s">
        <v>2816</v>
      </c>
      <c r="C500" s="3" t="s">
        <v>31</v>
      </c>
      <c r="D500" s="3" t="s">
        <v>175</v>
      </c>
      <c r="E500" s="4" t="s">
        <v>22</v>
      </c>
      <c r="F500" s="4" t="s">
        <v>2817</v>
      </c>
      <c r="G500" s="4" t="s">
        <v>2818</v>
      </c>
      <c r="H500" s="3" t="s">
        <v>25</v>
      </c>
      <c r="I500" s="3" t="s">
        <v>2819</v>
      </c>
      <c r="J500" s="3" t="s">
        <v>2820</v>
      </c>
      <c r="K500" s="3" t="s">
        <v>2821</v>
      </c>
      <c r="L500" s="3"/>
      <c r="M500" s="4"/>
      <c r="N500" s="3" t="s">
        <v>37</v>
      </c>
      <c r="O500" s="3" t="s">
        <v>618</v>
      </c>
      <c r="P500" s="5">
        <v>9</v>
      </c>
      <c r="Q500" s="5">
        <v>85</v>
      </c>
      <c r="R500" s="5">
        <v>9</v>
      </c>
      <c r="S500" s="5">
        <v>81</v>
      </c>
    </row>
    <row r="501" spans="1:19" ht="42" x14ac:dyDescent="0.15">
      <c r="A501" s="2">
        <f>HYPERLINK("https://open-school.uspishnemisto.com.ua/school/50506/", 50506)</f>
        <v>50506</v>
      </c>
      <c r="B501" s="3" t="s">
        <v>2822</v>
      </c>
      <c r="C501" s="3" t="s">
        <v>31</v>
      </c>
      <c r="D501" s="3" t="s">
        <v>32</v>
      </c>
      <c r="E501" s="4" t="s">
        <v>22</v>
      </c>
      <c r="F501" s="4" t="s">
        <v>2823</v>
      </c>
      <c r="G501" s="4" t="s">
        <v>2824</v>
      </c>
      <c r="H501" s="3" t="s">
        <v>25</v>
      </c>
      <c r="I501" s="3" t="s">
        <v>2825</v>
      </c>
      <c r="J501" s="3" t="s">
        <v>2826</v>
      </c>
      <c r="K501" s="3"/>
      <c r="L501" s="3"/>
      <c r="M501" s="4"/>
      <c r="N501" s="3" t="s">
        <v>37</v>
      </c>
      <c r="O501" s="3" t="s">
        <v>52</v>
      </c>
      <c r="P501" s="5">
        <v>9</v>
      </c>
      <c r="Q501" s="5">
        <v>54</v>
      </c>
      <c r="R501" s="5">
        <v>7</v>
      </c>
      <c r="S501" s="5">
        <v>55</v>
      </c>
    </row>
    <row r="502" spans="1:19" ht="28" x14ac:dyDescent="0.15">
      <c r="A502" s="2">
        <f>HYPERLINK("https://open-school.uspishnemisto.com.ua/school/50507/", 50507)</f>
        <v>50507</v>
      </c>
      <c r="B502" s="3" t="s">
        <v>2827</v>
      </c>
      <c r="C502" s="3" t="s">
        <v>31</v>
      </c>
      <c r="D502" s="3" t="s">
        <v>175</v>
      </c>
      <c r="E502" s="4" t="s">
        <v>22</v>
      </c>
      <c r="F502" s="4" t="s">
        <v>2828</v>
      </c>
      <c r="G502" s="4" t="s">
        <v>2829</v>
      </c>
      <c r="H502" s="3" t="s">
        <v>25</v>
      </c>
      <c r="I502" s="3" t="s">
        <v>2830</v>
      </c>
      <c r="J502" s="3" t="s">
        <v>2831</v>
      </c>
      <c r="K502" s="3"/>
      <c r="L502" s="3"/>
      <c r="M502" s="4"/>
      <c r="N502" s="3" t="s">
        <v>37</v>
      </c>
      <c r="O502" s="3" t="s">
        <v>70</v>
      </c>
      <c r="P502" s="5">
        <v>9</v>
      </c>
      <c r="Q502" s="5">
        <v>76</v>
      </c>
      <c r="R502" s="5">
        <v>9</v>
      </c>
      <c r="S502" s="5">
        <v>71</v>
      </c>
    </row>
    <row r="503" spans="1:19" ht="28" x14ac:dyDescent="0.15">
      <c r="A503" s="2">
        <f>HYPERLINK("https://open-school.uspishnemisto.com.ua/school/50508/", 50508)</f>
        <v>50508</v>
      </c>
      <c r="B503" s="3" t="s">
        <v>2832</v>
      </c>
      <c r="C503" s="3" t="s">
        <v>31</v>
      </c>
      <c r="D503" s="3" t="s">
        <v>32</v>
      </c>
      <c r="E503" s="4" t="s">
        <v>22</v>
      </c>
      <c r="F503" s="4" t="s">
        <v>2833</v>
      </c>
      <c r="G503" s="4" t="s">
        <v>2834</v>
      </c>
      <c r="H503" s="3" t="s">
        <v>25</v>
      </c>
      <c r="I503" s="3" t="s">
        <v>2835</v>
      </c>
      <c r="J503" s="3" t="s">
        <v>2555</v>
      </c>
      <c r="K503" s="3" t="s">
        <v>2836</v>
      </c>
      <c r="L503" s="3"/>
      <c r="M503" s="4"/>
      <c r="N503" s="3" t="s">
        <v>37</v>
      </c>
      <c r="O503" s="3" t="s">
        <v>38</v>
      </c>
      <c r="P503" s="5">
        <v>8</v>
      </c>
      <c r="Q503" s="5">
        <v>59</v>
      </c>
      <c r="R503" s="5">
        <v>9</v>
      </c>
      <c r="S503" s="5">
        <v>58</v>
      </c>
    </row>
    <row r="504" spans="1:19" ht="28" x14ac:dyDescent="0.15">
      <c r="A504" s="2">
        <f>HYPERLINK("https://open-school.uspishnemisto.com.ua/school/50509/", 50509)</f>
        <v>50509</v>
      </c>
      <c r="B504" s="3" t="s">
        <v>2837</v>
      </c>
      <c r="C504" s="3" t="s">
        <v>31</v>
      </c>
      <c r="D504" s="3" t="s">
        <v>175</v>
      </c>
      <c r="E504" s="4" t="s">
        <v>22</v>
      </c>
      <c r="F504" s="4" t="s">
        <v>2838</v>
      </c>
      <c r="G504" s="4" t="s">
        <v>2839</v>
      </c>
      <c r="H504" s="3" t="s">
        <v>25</v>
      </c>
      <c r="I504" s="3" t="s">
        <v>2840</v>
      </c>
      <c r="J504" s="3" t="s">
        <v>2841</v>
      </c>
      <c r="K504" s="3" t="s">
        <v>2842</v>
      </c>
      <c r="L504" s="3"/>
      <c r="M504" s="4"/>
      <c r="N504" s="3" t="s">
        <v>37</v>
      </c>
      <c r="O504" s="3" t="s">
        <v>38</v>
      </c>
      <c r="P504" s="5">
        <v>5</v>
      </c>
      <c r="Q504" s="5">
        <v>48</v>
      </c>
      <c r="R504" s="5">
        <v>2</v>
      </c>
      <c r="S504" s="5">
        <v>26</v>
      </c>
    </row>
    <row r="505" spans="1:19" ht="28" x14ac:dyDescent="0.15">
      <c r="A505" s="2">
        <f>HYPERLINK("https://open-school.uspishnemisto.com.ua/school/50510/", 50510)</f>
        <v>50510</v>
      </c>
      <c r="B505" s="3" t="s">
        <v>2843</v>
      </c>
      <c r="C505" s="3" t="s">
        <v>31</v>
      </c>
      <c r="D505" s="3" t="s">
        <v>32</v>
      </c>
      <c r="E505" s="4" t="s">
        <v>22</v>
      </c>
      <c r="F505" s="4" t="s">
        <v>2844</v>
      </c>
      <c r="G505" s="4" t="s">
        <v>2845</v>
      </c>
      <c r="H505" s="3" t="s">
        <v>25</v>
      </c>
      <c r="I505" s="3" t="s">
        <v>2846</v>
      </c>
      <c r="J505" s="3" t="s">
        <v>2847</v>
      </c>
      <c r="K505" s="3"/>
      <c r="L505" s="3"/>
      <c r="M505" s="4"/>
      <c r="N505" s="3" t="s">
        <v>37</v>
      </c>
      <c r="O505" s="3" t="s">
        <v>38</v>
      </c>
      <c r="P505" s="5">
        <v>3</v>
      </c>
      <c r="Q505" s="5">
        <v>26</v>
      </c>
      <c r="R505" s="5">
        <v>3</v>
      </c>
      <c r="S505" s="5">
        <v>27</v>
      </c>
    </row>
    <row r="506" spans="1:19" ht="42" x14ac:dyDescent="0.15">
      <c r="A506" s="2">
        <f>HYPERLINK("https://open-school.uspishnemisto.com.ua/school/50511/", 50511)</f>
        <v>50511</v>
      </c>
      <c r="B506" s="3" t="s">
        <v>2848</v>
      </c>
      <c r="C506" s="3" t="s">
        <v>31</v>
      </c>
      <c r="D506" s="3" t="s">
        <v>32</v>
      </c>
      <c r="E506" s="4" t="s">
        <v>22</v>
      </c>
      <c r="F506" s="4" t="s">
        <v>2849</v>
      </c>
      <c r="G506" s="4" t="s">
        <v>2850</v>
      </c>
      <c r="H506" s="3" t="s">
        <v>25</v>
      </c>
      <c r="I506" s="3" t="s">
        <v>2851</v>
      </c>
      <c r="J506" s="3" t="s">
        <v>2852</v>
      </c>
      <c r="K506" s="3" t="s">
        <v>2853</v>
      </c>
      <c r="L506" s="3"/>
      <c r="M506" s="4"/>
      <c r="N506" s="3" t="s">
        <v>37</v>
      </c>
      <c r="O506" s="3" t="s">
        <v>38</v>
      </c>
      <c r="P506" s="5">
        <v>10</v>
      </c>
      <c r="Q506" s="5">
        <v>95</v>
      </c>
      <c r="R506" s="5">
        <v>10</v>
      </c>
      <c r="S506" s="5">
        <v>103</v>
      </c>
    </row>
    <row r="507" spans="1:19" ht="42" x14ac:dyDescent="0.15">
      <c r="A507" s="2">
        <f>HYPERLINK("https://open-school.uspishnemisto.com.ua/school/50512/", 50512)</f>
        <v>50512</v>
      </c>
      <c r="B507" s="3" t="s">
        <v>2854</v>
      </c>
      <c r="C507" s="3" t="s">
        <v>54</v>
      </c>
      <c r="D507" s="3" t="s">
        <v>32</v>
      </c>
      <c r="E507" s="4" t="s">
        <v>22</v>
      </c>
      <c r="F507" s="4" t="s">
        <v>2855</v>
      </c>
      <c r="G507" s="4" t="s">
        <v>2856</v>
      </c>
      <c r="H507" s="3" t="s">
        <v>25</v>
      </c>
      <c r="I507" s="3" t="s">
        <v>2857</v>
      </c>
      <c r="J507" s="3" t="s">
        <v>2858</v>
      </c>
      <c r="K507" s="3" t="s">
        <v>2859</v>
      </c>
      <c r="L507" s="3"/>
      <c r="M507" s="4"/>
      <c r="N507" s="3" t="s">
        <v>37</v>
      </c>
      <c r="O507" s="3" t="s">
        <v>38</v>
      </c>
      <c r="P507" s="5">
        <v>18</v>
      </c>
      <c r="Q507" s="5">
        <v>350</v>
      </c>
      <c r="R507" s="5">
        <v>18</v>
      </c>
      <c r="S507" s="5">
        <v>362</v>
      </c>
    </row>
    <row r="508" spans="1:19" ht="28" x14ac:dyDescent="0.15">
      <c r="A508" s="2">
        <f>HYPERLINK("https://open-school.uspishnemisto.com.ua/school/50513/", 50513)</f>
        <v>50513</v>
      </c>
      <c r="B508" s="3" t="s">
        <v>2860</v>
      </c>
      <c r="C508" s="3" t="s">
        <v>31</v>
      </c>
      <c r="D508" s="3" t="s">
        <v>32</v>
      </c>
      <c r="E508" s="4" t="s">
        <v>22</v>
      </c>
      <c r="F508" s="4" t="s">
        <v>2861</v>
      </c>
      <c r="G508" s="4" t="s">
        <v>2862</v>
      </c>
      <c r="H508" s="3" t="s">
        <v>25</v>
      </c>
      <c r="I508" s="3" t="s">
        <v>2863</v>
      </c>
      <c r="J508" s="3" t="s">
        <v>578</v>
      </c>
      <c r="K508" s="3" t="s">
        <v>2864</v>
      </c>
      <c r="L508" s="3"/>
      <c r="M508" s="4"/>
      <c r="N508" s="3" t="s">
        <v>37</v>
      </c>
      <c r="O508" s="3" t="s">
        <v>38</v>
      </c>
      <c r="P508" s="5">
        <v>3</v>
      </c>
      <c r="Q508" s="5">
        <v>30</v>
      </c>
      <c r="R508" s="5">
        <v>5</v>
      </c>
      <c r="S508" s="5">
        <v>36</v>
      </c>
    </row>
    <row r="509" spans="1:19" ht="28" x14ac:dyDescent="0.15">
      <c r="A509" s="2">
        <f>HYPERLINK("https://open-school.uspishnemisto.com.ua/school/50514/", 50514)</f>
        <v>50514</v>
      </c>
      <c r="B509" s="3" t="s">
        <v>2865</v>
      </c>
      <c r="C509" s="3" t="s">
        <v>31</v>
      </c>
      <c r="D509" s="3" t="s">
        <v>32</v>
      </c>
      <c r="E509" s="4" t="s">
        <v>22</v>
      </c>
      <c r="F509" s="4" t="s">
        <v>2866</v>
      </c>
      <c r="G509" s="4" t="s">
        <v>2867</v>
      </c>
      <c r="H509" s="3" t="s">
        <v>25</v>
      </c>
      <c r="I509" s="3" t="s">
        <v>2868</v>
      </c>
      <c r="J509" s="3" t="s">
        <v>554</v>
      </c>
      <c r="K509" s="3"/>
      <c r="L509" s="3"/>
      <c r="M509" s="4"/>
      <c r="N509" s="3" t="s">
        <v>37</v>
      </c>
      <c r="O509" s="3" t="s">
        <v>70</v>
      </c>
      <c r="P509" s="5">
        <v>10</v>
      </c>
      <c r="Q509" s="5">
        <v>86</v>
      </c>
      <c r="R509" s="5">
        <v>9</v>
      </c>
      <c r="S509" s="5">
        <v>83</v>
      </c>
    </row>
    <row r="510" spans="1:19" ht="42" x14ac:dyDescent="0.15">
      <c r="A510" s="2">
        <f>HYPERLINK("https://open-school.uspishnemisto.com.ua/school/50515/", 50515)</f>
        <v>50515</v>
      </c>
      <c r="B510" s="3" t="s">
        <v>2869</v>
      </c>
      <c r="C510" s="3" t="s">
        <v>31</v>
      </c>
      <c r="D510" s="3" t="s">
        <v>175</v>
      </c>
      <c r="E510" s="4" t="s">
        <v>22</v>
      </c>
      <c r="F510" s="4" t="s">
        <v>2870</v>
      </c>
      <c r="G510" s="4" t="s">
        <v>2871</v>
      </c>
      <c r="H510" s="3" t="s">
        <v>25</v>
      </c>
      <c r="I510" s="3" t="s">
        <v>2872</v>
      </c>
      <c r="J510" s="3" t="s">
        <v>2873</v>
      </c>
      <c r="K510" s="3" t="s">
        <v>2874</v>
      </c>
      <c r="L510" s="3"/>
      <c r="M510" s="4"/>
      <c r="N510" s="3" t="s">
        <v>37</v>
      </c>
      <c r="O510" s="3" t="s">
        <v>46</v>
      </c>
      <c r="P510" s="5">
        <v>7</v>
      </c>
      <c r="Q510" s="5">
        <v>48</v>
      </c>
      <c r="R510" s="5">
        <v>7</v>
      </c>
      <c r="S510" s="5">
        <v>48</v>
      </c>
    </row>
    <row r="511" spans="1:19" ht="42" x14ac:dyDescent="0.15">
      <c r="A511" s="2">
        <f>HYPERLINK("https://open-school.uspishnemisto.com.ua/school/50516/", 50516)</f>
        <v>50516</v>
      </c>
      <c r="B511" s="3" t="s">
        <v>2875</v>
      </c>
      <c r="C511" s="3" t="s">
        <v>31</v>
      </c>
      <c r="D511" s="3" t="s">
        <v>32</v>
      </c>
      <c r="E511" s="4" t="s">
        <v>22</v>
      </c>
      <c r="F511" s="4" t="s">
        <v>2876</v>
      </c>
      <c r="G511" s="4" t="s">
        <v>2877</v>
      </c>
      <c r="H511" s="3" t="s">
        <v>25</v>
      </c>
      <c r="I511" s="3" t="s">
        <v>2878</v>
      </c>
      <c r="J511" s="3" t="s">
        <v>2110</v>
      </c>
      <c r="K511" s="3" t="s">
        <v>2879</v>
      </c>
      <c r="L511" s="3"/>
      <c r="M511" s="4"/>
      <c r="N511" s="3" t="s">
        <v>37</v>
      </c>
      <c r="O511" s="3" t="s">
        <v>38</v>
      </c>
      <c r="P511" s="5">
        <v>9</v>
      </c>
      <c r="Q511" s="5">
        <v>104</v>
      </c>
      <c r="R511" s="5">
        <v>9</v>
      </c>
      <c r="S511" s="5">
        <v>93</v>
      </c>
    </row>
    <row r="512" spans="1:19" ht="28" x14ac:dyDescent="0.15">
      <c r="A512" s="2">
        <f>HYPERLINK("https://open-school.uspishnemisto.com.ua/school/50517/", 50517)</f>
        <v>50517</v>
      </c>
      <c r="B512" s="3" t="s">
        <v>2880</v>
      </c>
      <c r="C512" s="3" t="s">
        <v>31</v>
      </c>
      <c r="D512" s="3" t="s">
        <v>21</v>
      </c>
      <c r="E512" s="4" t="s">
        <v>22</v>
      </c>
      <c r="F512" s="4" t="s">
        <v>2881</v>
      </c>
      <c r="G512" s="4" t="s">
        <v>2882</v>
      </c>
      <c r="H512" s="3" t="s">
        <v>25</v>
      </c>
      <c r="I512" s="3" t="s">
        <v>2883</v>
      </c>
      <c r="J512" s="3" t="s">
        <v>2884</v>
      </c>
      <c r="K512" s="3" t="s">
        <v>2885</v>
      </c>
      <c r="L512" s="3"/>
      <c r="M512" s="4"/>
      <c r="N512" s="3" t="s">
        <v>37</v>
      </c>
      <c r="O512" s="3" t="s">
        <v>70</v>
      </c>
      <c r="P512" s="5">
        <v>10</v>
      </c>
      <c r="Q512" s="5">
        <v>67</v>
      </c>
      <c r="R512" s="5">
        <v>11</v>
      </c>
      <c r="S512" s="5">
        <v>74</v>
      </c>
    </row>
    <row r="513" spans="1:19" ht="28" x14ac:dyDescent="0.15">
      <c r="A513" s="2">
        <f>HYPERLINK("https://open-school.uspishnemisto.com.ua/school/50518/", 50518)</f>
        <v>50518</v>
      </c>
      <c r="B513" s="3" t="s">
        <v>2886</v>
      </c>
      <c r="C513" s="3" t="s">
        <v>31</v>
      </c>
      <c r="D513" s="3" t="s">
        <v>32</v>
      </c>
      <c r="E513" s="4" t="s">
        <v>22</v>
      </c>
      <c r="F513" s="4" t="s">
        <v>2887</v>
      </c>
      <c r="G513" s="4" t="s">
        <v>2888</v>
      </c>
      <c r="H513" s="3" t="s">
        <v>25</v>
      </c>
      <c r="I513" s="3" t="s">
        <v>2889</v>
      </c>
      <c r="J513" s="3" t="s">
        <v>2890</v>
      </c>
      <c r="K513" s="3" t="s">
        <v>2891</v>
      </c>
      <c r="L513" s="3"/>
      <c r="M513" s="4"/>
      <c r="N513" s="3" t="s">
        <v>37</v>
      </c>
      <c r="O513" s="3" t="s">
        <v>38</v>
      </c>
      <c r="P513" s="5">
        <v>7</v>
      </c>
      <c r="Q513" s="5">
        <v>58</v>
      </c>
      <c r="R513" s="5">
        <v>8</v>
      </c>
      <c r="S513" s="5">
        <v>64</v>
      </c>
    </row>
    <row r="514" spans="1:19" ht="28" x14ac:dyDescent="0.15">
      <c r="A514" s="2">
        <f>HYPERLINK("https://open-school.uspishnemisto.com.ua/school/50519/", 50519)</f>
        <v>50519</v>
      </c>
      <c r="B514" s="3" t="s">
        <v>2892</v>
      </c>
      <c r="C514" s="3" t="s">
        <v>31</v>
      </c>
      <c r="D514" s="3" t="s">
        <v>32</v>
      </c>
      <c r="E514" s="4" t="s">
        <v>22</v>
      </c>
      <c r="F514" s="4" t="s">
        <v>2893</v>
      </c>
      <c r="G514" s="4" t="s">
        <v>2894</v>
      </c>
      <c r="H514" s="3" t="s">
        <v>25</v>
      </c>
      <c r="I514" s="3" t="s">
        <v>2895</v>
      </c>
      <c r="J514" s="3" t="s">
        <v>1874</v>
      </c>
      <c r="K514" s="3" t="s">
        <v>2896</v>
      </c>
      <c r="L514" s="3"/>
      <c r="M514" s="4"/>
      <c r="N514" s="3" t="s">
        <v>37</v>
      </c>
      <c r="O514" s="3" t="s">
        <v>38</v>
      </c>
      <c r="P514" s="5">
        <v>11</v>
      </c>
      <c r="Q514" s="5">
        <v>151</v>
      </c>
      <c r="R514" s="5">
        <v>10</v>
      </c>
      <c r="S514" s="5">
        <v>150</v>
      </c>
    </row>
    <row r="515" spans="1:19" ht="28" x14ac:dyDescent="0.15">
      <c r="A515" s="2">
        <f>HYPERLINK("https://open-school.uspishnemisto.com.ua/school/50520/", 50520)</f>
        <v>50520</v>
      </c>
      <c r="B515" s="3" t="s">
        <v>2897</v>
      </c>
      <c r="C515" s="3" t="s">
        <v>31</v>
      </c>
      <c r="D515" s="3" t="s">
        <v>175</v>
      </c>
      <c r="E515" s="4" t="s">
        <v>22</v>
      </c>
      <c r="F515" s="4" t="s">
        <v>2898</v>
      </c>
      <c r="G515" s="4" t="s">
        <v>2899</v>
      </c>
      <c r="H515" s="3" t="s">
        <v>25</v>
      </c>
      <c r="I515" s="3" t="s">
        <v>2900</v>
      </c>
      <c r="J515" s="3" t="s">
        <v>2901</v>
      </c>
      <c r="K515" s="3"/>
      <c r="L515" s="3"/>
      <c r="M515" s="4"/>
      <c r="N515" s="3" t="s">
        <v>37</v>
      </c>
      <c r="O515" s="3" t="s">
        <v>112</v>
      </c>
      <c r="P515" s="5">
        <v>3</v>
      </c>
      <c r="Q515" s="5">
        <v>31</v>
      </c>
      <c r="R515" s="5">
        <v>5</v>
      </c>
      <c r="S515" s="5">
        <v>33</v>
      </c>
    </row>
    <row r="516" spans="1:19" ht="28" x14ac:dyDescent="0.15">
      <c r="A516" s="2">
        <f>HYPERLINK("https://open-school.uspishnemisto.com.ua/school/50521/", 50521)</f>
        <v>50521</v>
      </c>
      <c r="B516" s="3" t="s">
        <v>2902</v>
      </c>
      <c r="C516" s="3" t="s">
        <v>31</v>
      </c>
      <c r="D516" s="3" t="s">
        <v>175</v>
      </c>
      <c r="E516" s="4" t="s">
        <v>22</v>
      </c>
      <c r="F516" s="4" t="s">
        <v>2903</v>
      </c>
      <c r="G516" s="4" t="s">
        <v>2904</v>
      </c>
      <c r="H516" s="3" t="s">
        <v>25</v>
      </c>
      <c r="I516" s="3" t="s">
        <v>2905</v>
      </c>
      <c r="J516" s="3" t="s">
        <v>2417</v>
      </c>
      <c r="K516" s="3" t="s">
        <v>2906</v>
      </c>
      <c r="L516" s="3"/>
      <c r="M516" s="4"/>
      <c r="N516" s="3" t="s">
        <v>37</v>
      </c>
      <c r="O516" s="3" t="s">
        <v>52</v>
      </c>
      <c r="P516" s="5">
        <v>3</v>
      </c>
      <c r="Q516" s="5">
        <v>26</v>
      </c>
      <c r="R516" s="5">
        <v>5</v>
      </c>
      <c r="S516" s="5">
        <v>43</v>
      </c>
    </row>
    <row r="517" spans="1:19" ht="28" x14ac:dyDescent="0.15">
      <c r="A517" s="2">
        <f>HYPERLINK("https://open-school.uspishnemisto.com.ua/school/50522/", 50522)</f>
        <v>50522</v>
      </c>
      <c r="B517" s="3" t="s">
        <v>2907</v>
      </c>
      <c r="C517" s="3" t="s">
        <v>31</v>
      </c>
      <c r="D517" s="3" t="s">
        <v>32</v>
      </c>
      <c r="E517" s="4" t="s">
        <v>22</v>
      </c>
      <c r="F517" s="4" t="s">
        <v>2908</v>
      </c>
      <c r="G517" s="4" t="s">
        <v>2909</v>
      </c>
      <c r="H517" s="3" t="s">
        <v>25</v>
      </c>
      <c r="I517" s="3" t="s">
        <v>2910</v>
      </c>
      <c r="J517" s="3" t="s">
        <v>2185</v>
      </c>
      <c r="K517" s="3" t="s">
        <v>2911</v>
      </c>
      <c r="L517" s="3"/>
      <c r="M517" s="4"/>
      <c r="N517" s="3" t="s">
        <v>37</v>
      </c>
      <c r="O517" s="3" t="s">
        <v>38</v>
      </c>
      <c r="P517" s="5">
        <v>11</v>
      </c>
      <c r="Q517" s="5">
        <v>128</v>
      </c>
      <c r="R517" s="5">
        <v>11</v>
      </c>
      <c r="S517" s="5">
        <v>129</v>
      </c>
    </row>
    <row r="518" spans="1:19" ht="28" x14ac:dyDescent="0.15">
      <c r="A518" s="2">
        <f>HYPERLINK("https://open-school.uspishnemisto.com.ua/school/50523/", 50523)</f>
        <v>50523</v>
      </c>
      <c r="B518" s="3" t="s">
        <v>2912</v>
      </c>
      <c r="C518" s="3" t="s">
        <v>31</v>
      </c>
      <c r="D518" s="3" t="s">
        <v>32</v>
      </c>
      <c r="E518" s="4" t="s">
        <v>22</v>
      </c>
      <c r="F518" s="4" t="s">
        <v>2913</v>
      </c>
      <c r="G518" s="4" t="s">
        <v>2914</v>
      </c>
      <c r="H518" s="3" t="s">
        <v>25</v>
      </c>
      <c r="I518" s="3" t="s">
        <v>2915</v>
      </c>
      <c r="J518" s="3" t="s">
        <v>700</v>
      </c>
      <c r="K518" s="3" t="s">
        <v>2916</v>
      </c>
      <c r="L518" s="3"/>
      <c r="M518" s="4"/>
      <c r="N518" s="3" t="s">
        <v>37</v>
      </c>
      <c r="O518" s="3" t="s">
        <v>38</v>
      </c>
      <c r="P518" s="5">
        <v>7</v>
      </c>
      <c r="Q518" s="5">
        <v>62</v>
      </c>
      <c r="R518" s="5">
        <v>5</v>
      </c>
      <c r="S518" s="5">
        <v>58</v>
      </c>
    </row>
    <row r="519" spans="1:19" ht="28" x14ac:dyDescent="0.15">
      <c r="A519" s="2">
        <f>HYPERLINK("https://open-school.uspishnemisto.com.ua/school/50524/", 50524)</f>
        <v>50524</v>
      </c>
      <c r="B519" s="3" t="s">
        <v>2917</v>
      </c>
      <c r="C519" s="3" t="s">
        <v>31</v>
      </c>
      <c r="D519" s="3" t="s">
        <v>32</v>
      </c>
      <c r="E519" s="4" t="s">
        <v>22</v>
      </c>
      <c r="F519" s="4" t="s">
        <v>2918</v>
      </c>
      <c r="G519" s="4" t="s">
        <v>2919</v>
      </c>
      <c r="H519" s="3" t="s">
        <v>25</v>
      </c>
      <c r="I519" s="3" t="s">
        <v>2920</v>
      </c>
      <c r="J519" s="3" t="s">
        <v>2921</v>
      </c>
      <c r="K519" s="3" t="s">
        <v>2922</v>
      </c>
      <c r="L519" s="3"/>
      <c r="M519" s="4"/>
      <c r="N519" s="3" t="s">
        <v>37</v>
      </c>
      <c r="O519" s="3" t="s">
        <v>38</v>
      </c>
      <c r="P519" s="5">
        <v>9</v>
      </c>
      <c r="Q519" s="5">
        <v>93</v>
      </c>
      <c r="R519" s="5">
        <v>10</v>
      </c>
      <c r="S519" s="5">
        <v>88</v>
      </c>
    </row>
    <row r="520" spans="1:19" ht="42" x14ac:dyDescent="0.15">
      <c r="A520" s="2">
        <f>HYPERLINK("https://open-school.uspishnemisto.com.ua/school/50525/", 50525)</f>
        <v>50525</v>
      </c>
      <c r="B520" s="3" t="s">
        <v>2923</v>
      </c>
      <c r="C520" s="3" t="s">
        <v>31</v>
      </c>
      <c r="D520" s="3" t="s">
        <v>175</v>
      </c>
      <c r="E520" s="4" t="s">
        <v>22</v>
      </c>
      <c r="F520" s="4" t="s">
        <v>2924</v>
      </c>
      <c r="G520" s="4" t="s">
        <v>2925</v>
      </c>
      <c r="H520" s="3" t="s">
        <v>25</v>
      </c>
      <c r="I520" s="3" t="s">
        <v>2926</v>
      </c>
      <c r="J520" s="3" t="s">
        <v>2927</v>
      </c>
      <c r="K520" s="3" t="s">
        <v>2928</v>
      </c>
      <c r="L520" s="3"/>
      <c r="M520" s="4"/>
      <c r="N520" s="3" t="s">
        <v>37</v>
      </c>
      <c r="O520" s="3" t="s">
        <v>38</v>
      </c>
      <c r="P520" s="5">
        <v>2</v>
      </c>
      <c r="Q520" s="5">
        <v>25</v>
      </c>
      <c r="R520" s="5">
        <v>3</v>
      </c>
      <c r="S520" s="5">
        <v>25</v>
      </c>
    </row>
    <row r="521" spans="1:19" ht="28" x14ac:dyDescent="0.15">
      <c r="A521" s="2">
        <f>HYPERLINK("https://open-school.uspishnemisto.com.ua/school/50526/", 50526)</f>
        <v>50526</v>
      </c>
      <c r="B521" s="3" t="s">
        <v>2929</v>
      </c>
      <c r="C521" s="3" t="s">
        <v>31</v>
      </c>
      <c r="D521" s="3" t="s">
        <v>32</v>
      </c>
      <c r="E521" s="4" t="s">
        <v>22</v>
      </c>
      <c r="F521" s="4" t="s">
        <v>2930</v>
      </c>
      <c r="G521" s="4" t="s">
        <v>2931</v>
      </c>
      <c r="H521" s="3" t="s">
        <v>25</v>
      </c>
      <c r="I521" s="3" t="s">
        <v>2932</v>
      </c>
      <c r="J521" s="3" t="s">
        <v>2933</v>
      </c>
      <c r="K521" s="3" t="s">
        <v>2934</v>
      </c>
      <c r="L521" s="3" t="s">
        <v>2935</v>
      </c>
      <c r="M521" s="4"/>
      <c r="N521" s="3" t="s">
        <v>37</v>
      </c>
      <c r="O521" s="3" t="s">
        <v>52</v>
      </c>
      <c r="P521" s="5">
        <v>9</v>
      </c>
      <c r="Q521" s="5">
        <v>81</v>
      </c>
      <c r="R521" s="5">
        <v>11</v>
      </c>
      <c r="S521" s="5">
        <v>91</v>
      </c>
    </row>
    <row r="522" spans="1:19" ht="28" x14ac:dyDescent="0.15">
      <c r="A522" s="2">
        <f>HYPERLINK("https://open-school.uspishnemisto.com.ua/school/50527/", 50527)</f>
        <v>50527</v>
      </c>
      <c r="B522" s="3" t="s">
        <v>2936</v>
      </c>
      <c r="C522" s="3" t="s">
        <v>31</v>
      </c>
      <c r="D522" s="3" t="s">
        <v>32</v>
      </c>
      <c r="E522" s="4" t="s">
        <v>22</v>
      </c>
      <c r="F522" s="4" t="s">
        <v>2937</v>
      </c>
      <c r="G522" s="4" t="s">
        <v>2938</v>
      </c>
      <c r="H522" s="3" t="s">
        <v>25</v>
      </c>
      <c r="I522" s="3" t="s">
        <v>2612</v>
      </c>
      <c r="J522" s="3" t="s">
        <v>726</v>
      </c>
      <c r="K522" s="3"/>
      <c r="L522" s="3"/>
      <c r="M522" s="4"/>
      <c r="N522" s="3" t="s">
        <v>37</v>
      </c>
      <c r="O522" s="3" t="s">
        <v>38</v>
      </c>
      <c r="P522" s="5">
        <v>10</v>
      </c>
      <c r="Q522" s="5">
        <v>84</v>
      </c>
      <c r="R522" s="5">
        <v>10</v>
      </c>
      <c r="S522" s="5">
        <v>80</v>
      </c>
    </row>
    <row r="523" spans="1:19" ht="28" x14ac:dyDescent="0.15">
      <c r="A523" s="2">
        <f>HYPERLINK("https://open-school.uspishnemisto.com.ua/school/50528/", 50528)</f>
        <v>50528</v>
      </c>
      <c r="B523" s="3" t="s">
        <v>2939</v>
      </c>
      <c r="C523" s="3" t="s">
        <v>31</v>
      </c>
      <c r="D523" s="3" t="s">
        <v>175</v>
      </c>
      <c r="E523" s="4" t="s">
        <v>22</v>
      </c>
      <c r="F523" s="4" t="s">
        <v>2940</v>
      </c>
      <c r="G523" s="4" t="s">
        <v>2941</v>
      </c>
      <c r="H523" s="3" t="s">
        <v>25</v>
      </c>
      <c r="I523" s="3" t="s">
        <v>2942</v>
      </c>
      <c r="J523" s="3" t="s">
        <v>2943</v>
      </c>
      <c r="K523" s="3" t="s">
        <v>2944</v>
      </c>
      <c r="L523" s="3"/>
      <c r="M523" s="4"/>
      <c r="N523" s="3" t="s">
        <v>37</v>
      </c>
      <c r="O523" s="3" t="s">
        <v>38</v>
      </c>
      <c r="P523" s="5">
        <v>8</v>
      </c>
      <c r="Q523" s="5">
        <v>70</v>
      </c>
      <c r="R523" s="5">
        <v>8</v>
      </c>
      <c r="S523" s="5">
        <v>64</v>
      </c>
    </row>
    <row r="524" spans="1:19" ht="42" x14ac:dyDescent="0.15">
      <c r="A524" s="2">
        <f>HYPERLINK("https://open-school.uspishnemisto.com.ua/school/50529/", 50529)</f>
        <v>50529</v>
      </c>
      <c r="B524" s="3" t="s">
        <v>2945</v>
      </c>
      <c r="C524" s="3" t="s">
        <v>31</v>
      </c>
      <c r="D524" s="3" t="s">
        <v>32</v>
      </c>
      <c r="E524" s="4" t="s">
        <v>22</v>
      </c>
      <c r="F524" s="4" t="s">
        <v>2946</v>
      </c>
      <c r="G524" s="4" t="s">
        <v>2947</v>
      </c>
      <c r="H524" s="3" t="s">
        <v>25</v>
      </c>
      <c r="I524" s="3" t="s">
        <v>2948</v>
      </c>
      <c r="J524" s="3" t="s">
        <v>2949</v>
      </c>
      <c r="K524" s="3" t="s">
        <v>2950</v>
      </c>
      <c r="L524" s="3"/>
      <c r="M524" s="4"/>
      <c r="N524" s="3" t="s">
        <v>37</v>
      </c>
      <c r="O524" s="3" t="s">
        <v>70</v>
      </c>
      <c r="P524" s="5">
        <v>26</v>
      </c>
      <c r="Q524" s="5">
        <v>568</v>
      </c>
      <c r="R524" s="5">
        <v>27</v>
      </c>
      <c r="S524" s="5">
        <v>568</v>
      </c>
    </row>
    <row r="525" spans="1:19" ht="28" x14ac:dyDescent="0.15">
      <c r="A525" s="2">
        <f>HYPERLINK("https://open-school.uspishnemisto.com.ua/school/50530/", 50530)</f>
        <v>50530</v>
      </c>
      <c r="B525" s="3" t="s">
        <v>2951</v>
      </c>
      <c r="C525" s="3" t="s">
        <v>31</v>
      </c>
      <c r="D525" s="3" t="s">
        <v>32</v>
      </c>
      <c r="E525" s="4" t="s">
        <v>22</v>
      </c>
      <c r="F525" s="4" t="s">
        <v>2952</v>
      </c>
      <c r="G525" s="4" t="s">
        <v>2953</v>
      </c>
      <c r="H525" s="3" t="s">
        <v>25</v>
      </c>
      <c r="I525" s="3" t="s">
        <v>2954</v>
      </c>
      <c r="J525" s="3" t="s">
        <v>2955</v>
      </c>
      <c r="K525" s="3" t="s">
        <v>2956</v>
      </c>
      <c r="L525" s="3"/>
      <c r="M525" s="4"/>
      <c r="N525" s="3" t="s">
        <v>37</v>
      </c>
      <c r="O525" s="3" t="s">
        <v>2740</v>
      </c>
      <c r="P525" s="5">
        <v>11</v>
      </c>
      <c r="Q525" s="5">
        <v>142</v>
      </c>
      <c r="R525" s="5">
        <v>11</v>
      </c>
      <c r="S525" s="5">
        <v>145</v>
      </c>
    </row>
    <row r="526" spans="1:19" ht="28" x14ac:dyDescent="0.15">
      <c r="A526" s="2">
        <f>HYPERLINK("https://open-school.uspishnemisto.com.ua/school/50531/", 50531)</f>
        <v>50531</v>
      </c>
      <c r="B526" s="3" t="s">
        <v>2957</v>
      </c>
      <c r="C526" s="3" t="s">
        <v>31</v>
      </c>
      <c r="D526" s="3" t="s">
        <v>32</v>
      </c>
      <c r="E526" s="4" t="s">
        <v>22</v>
      </c>
      <c r="F526" s="4" t="s">
        <v>2958</v>
      </c>
      <c r="G526" s="4" t="s">
        <v>2959</v>
      </c>
      <c r="H526" s="3" t="s">
        <v>25</v>
      </c>
      <c r="I526" s="3" t="s">
        <v>2960</v>
      </c>
      <c r="J526" s="3" t="s">
        <v>2465</v>
      </c>
      <c r="K526" s="3" t="s">
        <v>2961</v>
      </c>
      <c r="L526" s="3"/>
      <c r="M526" s="4"/>
      <c r="N526" s="3" t="s">
        <v>37</v>
      </c>
      <c r="O526" s="3" t="s">
        <v>38</v>
      </c>
      <c r="P526" s="5">
        <v>10</v>
      </c>
      <c r="Q526" s="5">
        <v>145</v>
      </c>
      <c r="R526" s="5">
        <v>11</v>
      </c>
      <c r="S526" s="5">
        <v>123</v>
      </c>
    </row>
    <row r="527" spans="1:19" ht="42" x14ac:dyDescent="0.15">
      <c r="A527" s="2">
        <f>HYPERLINK("https://open-school.uspishnemisto.com.ua/school/50532/", 50532)</f>
        <v>50532</v>
      </c>
      <c r="B527" s="3" t="s">
        <v>2962</v>
      </c>
      <c r="C527" s="3" t="s">
        <v>54</v>
      </c>
      <c r="D527" s="3" t="s">
        <v>175</v>
      </c>
      <c r="E527" s="4" t="s">
        <v>22</v>
      </c>
      <c r="F527" s="4" t="s">
        <v>2963</v>
      </c>
      <c r="G527" s="4" t="s">
        <v>2964</v>
      </c>
      <c r="H527" s="3" t="s">
        <v>25</v>
      </c>
      <c r="I527" s="3" t="s">
        <v>2965</v>
      </c>
      <c r="J527" s="3" t="s">
        <v>2966</v>
      </c>
      <c r="K527" s="3" t="s">
        <v>2967</v>
      </c>
      <c r="L527" s="3"/>
      <c r="M527" s="4"/>
      <c r="N527" s="3" t="s">
        <v>37</v>
      </c>
      <c r="O527" s="3" t="s">
        <v>52</v>
      </c>
      <c r="P527" s="5">
        <v>6</v>
      </c>
      <c r="Q527" s="5">
        <v>32</v>
      </c>
      <c r="R527" s="5">
        <v>4</v>
      </c>
      <c r="S527" s="5">
        <v>34</v>
      </c>
    </row>
    <row r="528" spans="1:19" ht="28" x14ac:dyDescent="0.15">
      <c r="A528" s="2">
        <f>HYPERLINK("https://open-school.uspishnemisto.com.ua/school/50533/", 50533)</f>
        <v>50533</v>
      </c>
      <c r="B528" s="3" t="s">
        <v>2968</v>
      </c>
      <c r="C528" s="3" t="s">
        <v>31</v>
      </c>
      <c r="D528" s="3" t="s">
        <v>175</v>
      </c>
      <c r="E528" s="4" t="s">
        <v>22</v>
      </c>
      <c r="F528" s="4" t="s">
        <v>2969</v>
      </c>
      <c r="G528" s="4" t="s">
        <v>2970</v>
      </c>
      <c r="H528" s="3" t="s">
        <v>25</v>
      </c>
      <c r="I528" s="3" t="s">
        <v>2971</v>
      </c>
      <c r="J528" s="3" t="s">
        <v>2972</v>
      </c>
      <c r="K528" s="3" t="s">
        <v>2973</v>
      </c>
      <c r="L528" s="3"/>
      <c r="M528" s="4"/>
      <c r="N528" s="3" t="s">
        <v>37</v>
      </c>
      <c r="O528" s="3" t="s">
        <v>38</v>
      </c>
      <c r="P528" s="5">
        <v>7</v>
      </c>
      <c r="Q528" s="5">
        <v>47</v>
      </c>
      <c r="R528" s="5">
        <v>7</v>
      </c>
      <c r="S528" s="5">
        <v>48</v>
      </c>
    </row>
    <row r="529" spans="1:19" ht="28" x14ac:dyDescent="0.15">
      <c r="A529" s="2">
        <f>HYPERLINK("https://open-school.uspishnemisto.com.ua/school/50534/", 50534)</f>
        <v>50534</v>
      </c>
      <c r="B529" s="3" t="s">
        <v>2974</v>
      </c>
      <c r="C529" s="3" t="s">
        <v>31</v>
      </c>
      <c r="D529" s="3" t="s">
        <v>175</v>
      </c>
      <c r="E529" s="4" t="s">
        <v>22</v>
      </c>
      <c r="F529" s="4" t="s">
        <v>2975</v>
      </c>
      <c r="G529" s="4" t="s">
        <v>2976</v>
      </c>
      <c r="H529" s="3" t="s">
        <v>25</v>
      </c>
      <c r="I529" s="3" t="s">
        <v>2977</v>
      </c>
      <c r="J529" s="3" t="s">
        <v>2978</v>
      </c>
      <c r="K529" s="3" t="s">
        <v>2979</v>
      </c>
      <c r="L529" s="3"/>
      <c r="M529" s="4"/>
      <c r="N529" s="3" t="s">
        <v>37</v>
      </c>
      <c r="O529" s="3" t="s">
        <v>46</v>
      </c>
      <c r="P529" s="5">
        <v>6</v>
      </c>
      <c r="Q529" s="5">
        <v>46</v>
      </c>
      <c r="R529" s="5">
        <v>5</v>
      </c>
      <c r="S529" s="5">
        <v>41</v>
      </c>
    </row>
    <row r="530" spans="1:19" ht="42" x14ac:dyDescent="0.15">
      <c r="A530" s="2">
        <f>HYPERLINK("https://open-school.uspishnemisto.com.ua/school/50535/", 50535)</f>
        <v>50535</v>
      </c>
      <c r="B530" s="3" t="s">
        <v>2980</v>
      </c>
      <c r="C530" s="3" t="s">
        <v>54</v>
      </c>
      <c r="D530" s="3" t="s">
        <v>175</v>
      </c>
      <c r="E530" s="4" t="s">
        <v>22</v>
      </c>
      <c r="F530" s="4" t="s">
        <v>2981</v>
      </c>
      <c r="G530" s="4" t="s">
        <v>2982</v>
      </c>
      <c r="H530" s="3" t="s">
        <v>25</v>
      </c>
      <c r="I530" s="3" t="s">
        <v>2983</v>
      </c>
      <c r="J530" s="3" t="s">
        <v>2984</v>
      </c>
      <c r="K530" s="3" t="s">
        <v>2985</v>
      </c>
      <c r="L530" s="3"/>
      <c r="M530" s="4"/>
      <c r="N530" s="3" t="s">
        <v>37</v>
      </c>
      <c r="O530" s="3" t="s">
        <v>112</v>
      </c>
      <c r="P530" s="5">
        <v>6</v>
      </c>
      <c r="Q530" s="5">
        <v>43</v>
      </c>
      <c r="R530" s="5">
        <v>6</v>
      </c>
      <c r="S530" s="5">
        <v>43</v>
      </c>
    </row>
    <row r="531" spans="1:19" ht="28" x14ac:dyDescent="0.15">
      <c r="A531" s="2">
        <f>HYPERLINK("https://open-school.uspishnemisto.com.ua/school/50536/", 50536)</f>
        <v>50536</v>
      </c>
      <c r="B531" s="3" t="s">
        <v>2986</v>
      </c>
      <c r="C531" s="3" t="s">
        <v>31</v>
      </c>
      <c r="D531" s="3" t="s">
        <v>175</v>
      </c>
      <c r="E531" s="4" t="s">
        <v>22</v>
      </c>
      <c r="F531" s="4" t="s">
        <v>2987</v>
      </c>
      <c r="G531" s="4" t="s">
        <v>2988</v>
      </c>
      <c r="H531" s="3" t="s">
        <v>25</v>
      </c>
      <c r="I531" s="3" t="s">
        <v>2989</v>
      </c>
      <c r="J531" s="3" t="s">
        <v>2990</v>
      </c>
      <c r="K531" s="3" t="s">
        <v>2991</v>
      </c>
      <c r="L531" s="3"/>
      <c r="M531" s="4"/>
      <c r="N531" s="3" t="s">
        <v>37</v>
      </c>
      <c r="O531" s="3" t="s">
        <v>112</v>
      </c>
      <c r="P531" s="5">
        <v>6</v>
      </c>
      <c r="Q531" s="5">
        <v>39</v>
      </c>
      <c r="R531" s="5">
        <v>6</v>
      </c>
      <c r="S531" s="5">
        <v>43</v>
      </c>
    </row>
    <row r="532" spans="1:19" ht="28" x14ac:dyDescent="0.15">
      <c r="A532" s="2">
        <f>HYPERLINK("https://open-school.uspishnemisto.com.ua/school/50537/", 50537)</f>
        <v>50537</v>
      </c>
      <c r="B532" s="3" t="s">
        <v>2992</v>
      </c>
      <c r="C532" s="3" t="s">
        <v>31</v>
      </c>
      <c r="D532" s="3" t="s">
        <v>175</v>
      </c>
      <c r="E532" s="4" t="s">
        <v>22</v>
      </c>
      <c r="F532" s="4" t="s">
        <v>2993</v>
      </c>
      <c r="G532" s="4" t="s">
        <v>2994</v>
      </c>
      <c r="H532" s="3" t="s">
        <v>25</v>
      </c>
      <c r="I532" s="3" t="s">
        <v>2995</v>
      </c>
      <c r="J532" s="3" t="s">
        <v>2996</v>
      </c>
      <c r="K532" s="3" t="s">
        <v>2997</v>
      </c>
      <c r="L532" s="3" t="s">
        <v>2998</v>
      </c>
      <c r="M532" s="4"/>
      <c r="N532" s="3"/>
      <c r="O532" s="3"/>
      <c r="P532" s="5">
        <v>0</v>
      </c>
      <c r="Q532" s="5">
        <v>0</v>
      </c>
      <c r="R532" s="5"/>
      <c r="S532" s="5"/>
    </row>
    <row r="533" spans="1:19" ht="42" x14ac:dyDescent="0.15">
      <c r="A533" s="2">
        <f>HYPERLINK("https://open-school.uspishnemisto.com.ua/school/50538/", 50538)</f>
        <v>50538</v>
      </c>
      <c r="B533" s="3" t="s">
        <v>2999</v>
      </c>
      <c r="C533" s="3" t="s">
        <v>54</v>
      </c>
      <c r="D533" s="3" t="s">
        <v>175</v>
      </c>
      <c r="E533" s="4" t="s">
        <v>22</v>
      </c>
      <c r="F533" s="4" t="s">
        <v>3000</v>
      </c>
      <c r="G533" s="4" t="s">
        <v>3001</v>
      </c>
      <c r="H533" s="3" t="s">
        <v>25</v>
      </c>
      <c r="I533" s="3" t="s">
        <v>3002</v>
      </c>
      <c r="J533" s="3" t="s">
        <v>2972</v>
      </c>
      <c r="K533" s="3" t="s">
        <v>3003</v>
      </c>
      <c r="L533" s="3"/>
      <c r="M533" s="4"/>
      <c r="N533" s="3" t="s">
        <v>37</v>
      </c>
      <c r="O533" s="3" t="s">
        <v>46</v>
      </c>
      <c r="P533" s="5">
        <v>2</v>
      </c>
      <c r="Q533" s="5">
        <v>35</v>
      </c>
      <c r="R533" s="5">
        <v>2</v>
      </c>
      <c r="S533" s="5">
        <v>31</v>
      </c>
    </row>
    <row r="534" spans="1:19" ht="28" x14ac:dyDescent="0.15">
      <c r="A534" s="2">
        <f>HYPERLINK("https://open-school.uspishnemisto.com.ua/school/50539/", 50539)</f>
        <v>50539</v>
      </c>
      <c r="B534" s="3" t="s">
        <v>3004</v>
      </c>
      <c r="C534" s="3" t="s">
        <v>31</v>
      </c>
      <c r="D534" s="3" t="s">
        <v>175</v>
      </c>
      <c r="E534" s="4" t="s">
        <v>22</v>
      </c>
      <c r="F534" s="4" t="s">
        <v>3005</v>
      </c>
      <c r="G534" s="4" t="s">
        <v>3006</v>
      </c>
      <c r="H534" s="3" t="s">
        <v>25</v>
      </c>
      <c r="I534" s="3" t="s">
        <v>3007</v>
      </c>
      <c r="J534" s="3" t="s">
        <v>363</v>
      </c>
      <c r="K534" s="3" t="s">
        <v>3008</v>
      </c>
      <c r="L534" s="3"/>
      <c r="M534" s="4"/>
      <c r="N534" s="3" t="s">
        <v>37</v>
      </c>
      <c r="O534" s="3" t="s">
        <v>112</v>
      </c>
      <c r="P534" s="5">
        <v>7</v>
      </c>
      <c r="Q534" s="5">
        <v>62</v>
      </c>
      <c r="R534" s="5">
        <v>8</v>
      </c>
      <c r="S534" s="5">
        <v>65</v>
      </c>
    </row>
    <row r="535" spans="1:19" ht="28" x14ac:dyDescent="0.15">
      <c r="A535" s="2">
        <f>HYPERLINK("https://open-school.uspishnemisto.com.ua/school/50540/", 50540)</f>
        <v>50540</v>
      </c>
      <c r="B535" s="3" t="s">
        <v>3009</v>
      </c>
      <c r="C535" s="3" t="s">
        <v>31</v>
      </c>
      <c r="D535" s="3" t="s">
        <v>32</v>
      </c>
      <c r="E535" s="4" t="s">
        <v>22</v>
      </c>
      <c r="F535" s="4" t="s">
        <v>3010</v>
      </c>
      <c r="G535" s="4" t="s">
        <v>3011</v>
      </c>
      <c r="H535" s="3" t="s">
        <v>25</v>
      </c>
      <c r="I535" s="3" t="s">
        <v>3012</v>
      </c>
      <c r="J535" s="3" t="s">
        <v>3013</v>
      </c>
      <c r="K535" s="3" t="s">
        <v>3014</v>
      </c>
      <c r="L535" s="3"/>
      <c r="M535" s="4"/>
      <c r="N535" s="3" t="s">
        <v>37</v>
      </c>
      <c r="O535" s="3" t="s">
        <v>2740</v>
      </c>
      <c r="P535" s="5">
        <v>11</v>
      </c>
      <c r="Q535" s="5">
        <v>120</v>
      </c>
      <c r="R535" s="5">
        <v>11</v>
      </c>
      <c r="S535" s="5">
        <v>120</v>
      </c>
    </row>
    <row r="536" spans="1:19" ht="42" x14ac:dyDescent="0.15">
      <c r="A536" s="2">
        <f>HYPERLINK("https://open-school.uspishnemisto.com.ua/school/50541/", 50541)</f>
        <v>50541</v>
      </c>
      <c r="B536" s="3" t="s">
        <v>3015</v>
      </c>
      <c r="C536" s="3" t="s">
        <v>54</v>
      </c>
      <c r="D536" s="3" t="s">
        <v>60</v>
      </c>
      <c r="E536" s="4" t="s">
        <v>22</v>
      </c>
      <c r="F536" s="4" t="s">
        <v>3016</v>
      </c>
      <c r="G536" s="4" t="s">
        <v>3017</v>
      </c>
      <c r="H536" s="3" t="s">
        <v>25</v>
      </c>
      <c r="I536" s="3" t="s">
        <v>2948</v>
      </c>
      <c r="J536" s="3" t="s">
        <v>3018</v>
      </c>
      <c r="K536" s="3" t="s">
        <v>3019</v>
      </c>
      <c r="L536" s="3"/>
      <c r="M536" s="4"/>
      <c r="N536" s="3" t="s">
        <v>37</v>
      </c>
      <c r="O536" s="3" t="s">
        <v>52</v>
      </c>
      <c r="P536" s="5">
        <v>2</v>
      </c>
      <c r="Q536" s="5">
        <v>19</v>
      </c>
      <c r="R536" s="5">
        <v>3</v>
      </c>
      <c r="S536" s="5">
        <v>23</v>
      </c>
    </row>
    <row r="537" spans="1:19" ht="28" x14ac:dyDescent="0.15">
      <c r="A537" s="2">
        <f>HYPERLINK("https://open-school.uspishnemisto.com.ua/school/50542/", 50542)</f>
        <v>50542</v>
      </c>
      <c r="B537" s="3" t="s">
        <v>3020</v>
      </c>
      <c r="C537" s="3" t="s">
        <v>31</v>
      </c>
      <c r="D537" s="3" t="s">
        <v>175</v>
      </c>
      <c r="E537" s="4" t="s">
        <v>22</v>
      </c>
      <c r="F537" s="4" t="s">
        <v>3021</v>
      </c>
      <c r="G537" s="4" t="s">
        <v>3022</v>
      </c>
      <c r="H537" s="3" t="s">
        <v>25</v>
      </c>
      <c r="I537" s="3" t="s">
        <v>3023</v>
      </c>
      <c r="J537" s="3" t="s">
        <v>3024</v>
      </c>
      <c r="K537" s="3" t="s">
        <v>3025</v>
      </c>
      <c r="L537" s="3"/>
      <c r="M537" s="4"/>
      <c r="N537" s="3" t="s">
        <v>37</v>
      </c>
      <c r="O537" s="3" t="s">
        <v>70</v>
      </c>
      <c r="P537" s="5">
        <v>4</v>
      </c>
      <c r="Q537" s="5">
        <v>35</v>
      </c>
      <c r="R537" s="5">
        <v>5</v>
      </c>
      <c r="S537" s="5">
        <v>39</v>
      </c>
    </row>
    <row r="538" spans="1:19" ht="28" x14ac:dyDescent="0.15">
      <c r="A538" s="2">
        <f>HYPERLINK("https://open-school.uspishnemisto.com.ua/school/50543/", 50543)</f>
        <v>50543</v>
      </c>
      <c r="B538" s="3" t="s">
        <v>3026</v>
      </c>
      <c r="C538" s="3" t="s">
        <v>31</v>
      </c>
      <c r="D538" s="3" t="s">
        <v>32</v>
      </c>
      <c r="E538" s="4" t="s">
        <v>22</v>
      </c>
      <c r="F538" s="4" t="s">
        <v>3027</v>
      </c>
      <c r="G538" s="4" t="s">
        <v>3028</v>
      </c>
      <c r="H538" s="3" t="s">
        <v>25</v>
      </c>
      <c r="I538" s="3" t="s">
        <v>3029</v>
      </c>
      <c r="J538" s="3" t="s">
        <v>3030</v>
      </c>
      <c r="K538" s="3" t="s">
        <v>3031</v>
      </c>
      <c r="L538" s="3"/>
      <c r="M538" s="4"/>
      <c r="N538" s="3" t="s">
        <v>37</v>
      </c>
      <c r="O538" s="3" t="s">
        <v>112</v>
      </c>
      <c r="P538" s="5">
        <v>3</v>
      </c>
      <c r="Q538" s="5">
        <v>34</v>
      </c>
      <c r="R538" s="5">
        <v>3</v>
      </c>
      <c r="S538" s="5">
        <v>39</v>
      </c>
    </row>
    <row r="539" spans="1:19" ht="28" x14ac:dyDescent="0.15">
      <c r="A539" s="2">
        <f>HYPERLINK("https://open-school.uspishnemisto.com.ua/school/50546/", 50546)</f>
        <v>50546</v>
      </c>
      <c r="B539" s="3" t="s">
        <v>3032</v>
      </c>
      <c r="C539" s="3" t="s">
        <v>31</v>
      </c>
      <c r="D539" s="3" t="s">
        <v>175</v>
      </c>
      <c r="E539" s="4" t="s">
        <v>22</v>
      </c>
      <c r="F539" s="4" t="s">
        <v>3033</v>
      </c>
      <c r="G539" s="4" t="s">
        <v>3034</v>
      </c>
      <c r="H539" s="3" t="s">
        <v>25</v>
      </c>
      <c r="I539" s="3" t="s">
        <v>3035</v>
      </c>
      <c r="J539" s="3" t="s">
        <v>3036</v>
      </c>
      <c r="K539" s="3" t="s">
        <v>3037</v>
      </c>
      <c r="L539" s="3"/>
      <c r="M539" s="4"/>
      <c r="N539" s="3" t="s">
        <v>37</v>
      </c>
      <c r="O539" s="3" t="s">
        <v>46</v>
      </c>
      <c r="P539" s="5">
        <v>6</v>
      </c>
      <c r="Q539" s="5">
        <v>43</v>
      </c>
      <c r="R539" s="5">
        <v>7</v>
      </c>
      <c r="S539" s="5">
        <v>53</v>
      </c>
    </row>
    <row r="540" spans="1:19" ht="28" x14ac:dyDescent="0.15">
      <c r="A540" s="2">
        <f>HYPERLINK("https://open-school.uspishnemisto.com.ua/school/50547/", 50547)</f>
        <v>50547</v>
      </c>
      <c r="B540" s="3" t="s">
        <v>3038</v>
      </c>
      <c r="C540" s="3" t="s">
        <v>31</v>
      </c>
      <c r="D540" s="3" t="s">
        <v>32</v>
      </c>
      <c r="E540" s="4" t="s">
        <v>22</v>
      </c>
      <c r="F540" s="4" t="s">
        <v>3039</v>
      </c>
      <c r="G540" s="4" t="s">
        <v>3040</v>
      </c>
      <c r="H540" s="3" t="s">
        <v>25</v>
      </c>
      <c r="I540" s="3" t="s">
        <v>3041</v>
      </c>
      <c r="J540" s="3" t="s">
        <v>3042</v>
      </c>
      <c r="K540" s="3" t="s">
        <v>3043</v>
      </c>
      <c r="L540" s="3"/>
      <c r="M540" s="4"/>
      <c r="N540" s="3" t="s">
        <v>37</v>
      </c>
      <c r="O540" s="3" t="s">
        <v>46</v>
      </c>
      <c r="P540" s="5">
        <v>9</v>
      </c>
      <c r="Q540" s="5">
        <v>85</v>
      </c>
      <c r="R540" s="5">
        <v>10</v>
      </c>
      <c r="S540" s="5">
        <v>85</v>
      </c>
    </row>
    <row r="541" spans="1:19" ht="28" x14ac:dyDescent="0.15">
      <c r="A541" s="2">
        <f>HYPERLINK("https://open-school.uspishnemisto.com.ua/school/50548/", 50548)</f>
        <v>50548</v>
      </c>
      <c r="B541" s="3" t="s">
        <v>3044</v>
      </c>
      <c r="C541" s="3" t="s">
        <v>31</v>
      </c>
      <c r="D541" s="3" t="s">
        <v>175</v>
      </c>
      <c r="E541" s="4" t="s">
        <v>22</v>
      </c>
      <c r="F541" s="4" t="s">
        <v>3033</v>
      </c>
      <c r="G541" s="4" t="s">
        <v>3045</v>
      </c>
      <c r="H541" s="3" t="s">
        <v>25</v>
      </c>
      <c r="I541" s="3" t="s">
        <v>3046</v>
      </c>
      <c r="J541" s="3" t="s">
        <v>3047</v>
      </c>
      <c r="K541" s="3" t="s">
        <v>3048</v>
      </c>
      <c r="L541" s="3"/>
      <c r="M541" s="4"/>
      <c r="N541" s="3" t="s">
        <v>37</v>
      </c>
      <c r="O541" s="3" t="s">
        <v>112</v>
      </c>
      <c r="P541" s="5">
        <v>2</v>
      </c>
      <c r="Q541" s="5">
        <v>25</v>
      </c>
      <c r="R541" s="5">
        <v>3</v>
      </c>
      <c r="S541" s="5">
        <v>27</v>
      </c>
    </row>
    <row r="542" spans="1:19" ht="28" x14ac:dyDescent="0.15">
      <c r="A542" s="2">
        <f>HYPERLINK("https://open-school.uspishnemisto.com.ua/school/50549/", 50549)</f>
        <v>50549</v>
      </c>
      <c r="B542" s="3" t="s">
        <v>3049</v>
      </c>
      <c r="C542" s="3" t="s">
        <v>31</v>
      </c>
      <c r="D542" s="3" t="s">
        <v>175</v>
      </c>
      <c r="E542" s="4" t="s">
        <v>22</v>
      </c>
      <c r="F542" s="4" t="s">
        <v>3050</v>
      </c>
      <c r="G542" s="4" t="s">
        <v>3051</v>
      </c>
      <c r="H542" s="3" t="s">
        <v>25</v>
      </c>
      <c r="I542" s="3" t="s">
        <v>3052</v>
      </c>
      <c r="J542" s="3" t="s">
        <v>466</v>
      </c>
      <c r="K542" s="3" t="s">
        <v>3053</v>
      </c>
      <c r="L542" s="3"/>
      <c r="M542" s="4"/>
      <c r="N542" s="3" t="s">
        <v>37</v>
      </c>
      <c r="O542" s="3" t="s">
        <v>618</v>
      </c>
      <c r="P542" s="5">
        <v>3</v>
      </c>
      <c r="Q542" s="5">
        <v>26</v>
      </c>
      <c r="R542" s="5">
        <v>3</v>
      </c>
      <c r="S542" s="5">
        <v>28</v>
      </c>
    </row>
    <row r="543" spans="1:19" ht="28" x14ac:dyDescent="0.15">
      <c r="A543" s="2">
        <f>HYPERLINK("https://open-school.uspishnemisto.com.ua/school/50550/", 50550)</f>
        <v>50550</v>
      </c>
      <c r="B543" s="3" t="s">
        <v>3054</v>
      </c>
      <c r="C543" s="3" t="s">
        <v>31</v>
      </c>
      <c r="D543" s="3" t="s">
        <v>175</v>
      </c>
      <c r="E543" s="4" t="s">
        <v>22</v>
      </c>
      <c r="F543" s="4" t="s">
        <v>3055</v>
      </c>
      <c r="G543" s="4" t="s">
        <v>3056</v>
      </c>
      <c r="H543" s="3" t="s">
        <v>25</v>
      </c>
      <c r="I543" s="3" t="s">
        <v>3057</v>
      </c>
      <c r="J543" s="3" t="s">
        <v>3058</v>
      </c>
      <c r="K543" s="3" t="s">
        <v>3059</v>
      </c>
      <c r="L543" s="3"/>
      <c r="M543" s="4"/>
      <c r="N543" s="3"/>
      <c r="O543" s="3"/>
      <c r="P543" s="5">
        <v>0</v>
      </c>
      <c r="Q543" s="5">
        <v>0</v>
      </c>
      <c r="R543" s="5"/>
      <c r="S543" s="5"/>
    </row>
    <row r="544" spans="1:19" ht="42" x14ac:dyDescent="0.15">
      <c r="A544" s="2">
        <f>HYPERLINK("https://open-school.uspishnemisto.com.ua/school/50551/", 50551)</f>
        <v>50551</v>
      </c>
      <c r="B544" s="3" t="s">
        <v>3060</v>
      </c>
      <c r="C544" s="3" t="s">
        <v>54</v>
      </c>
      <c r="D544" s="3" t="s">
        <v>32</v>
      </c>
      <c r="E544" s="4" t="s">
        <v>22</v>
      </c>
      <c r="F544" s="4" t="s">
        <v>3061</v>
      </c>
      <c r="G544" s="4" t="s">
        <v>3062</v>
      </c>
      <c r="H544" s="3" t="s">
        <v>25</v>
      </c>
      <c r="I544" s="3" t="s">
        <v>3063</v>
      </c>
      <c r="J544" s="3" t="s">
        <v>3064</v>
      </c>
      <c r="K544" s="3" t="s">
        <v>3065</v>
      </c>
      <c r="L544" s="3" t="s">
        <v>3066</v>
      </c>
      <c r="M544" s="4"/>
      <c r="N544" s="3" t="s">
        <v>37</v>
      </c>
      <c r="O544" s="3" t="s">
        <v>70</v>
      </c>
      <c r="P544" s="5">
        <v>7</v>
      </c>
      <c r="Q544" s="5">
        <v>69</v>
      </c>
      <c r="R544" s="5">
        <v>7</v>
      </c>
      <c r="S544" s="5">
        <v>56</v>
      </c>
    </row>
    <row r="545" spans="1:19" ht="28" x14ac:dyDescent="0.15">
      <c r="A545" s="2">
        <f>HYPERLINK("https://open-school.uspishnemisto.com.ua/school/50552/", 50552)</f>
        <v>50552</v>
      </c>
      <c r="B545" s="3" t="s">
        <v>3067</v>
      </c>
      <c r="C545" s="3" t="s">
        <v>31</v>
      </c>
      <c r="D545" s="3" t="s">
        <v>32</v>
      </c>
      <c r="E545" s="4" t="s">
        <v>22</v>
      </c>
      <c r="F545" s="4" t="s">
        <v>3068</v>
      </c>
      <c r="G545" s="4" t="s">
        <v>3069</v>
      </c>
      <c r="H545" s="3" t="s">
        <v>25</v>
      </c>
      <c r="I545" s="3" t="s">
        <v>3070</v>
      </c>
      <c r="J545" s="3" t="s">
        <v>3071</v>
      </c>
      <c r="K545" s="3" t="s">
        <v>3072</v>
      </c>
      <c r="L545" s="3"/>
      <c r="M545" s="4"/>
      <c r="N545" s="3" t="s">
        <v>37</v>
      </c>
      <c r="O545" s="3" t="s">
        <v>70</v>
      </c>
      <c r="P545" s="5">
        <v>11</v>
      </c>
      <c r="Q545" s="5">
        <v>126</v>
      </c>
      <c r="R545" s="5">
        <v>10</v>
      </c>
      <c r="S545" s="5">
        <v>112</v>
      </c>
    </row>
    <row r="546" spans="1:19" ht="42" x14ac:dyDescent="0.15">
      <c r="A546" s="2">
        <f>HYPERLINK("https://open-school.uspishnemisto.com.ua/school/50553/", 50553)</f>
        <v>50553</v>
      </c>
      <c r="B546" s="3" t="s">
        <v>3073</v>
      </c>
      <c r="C546" s="3" t="s">
        <v>54</v>
      </c>
      <c r="D546" s="3" t="s">
        <v>60</v>
      </c>
      <c r="E546" s="4" t="s">
        <v>22</v>
      </c>
      <c r="F546" s="4" t="s">
        <v>3074</v>
      </c>
      <c r="G546" s="4" t="s">
        <v>3075</v>
      </c>
      <c r="H546" s="3" t="s">
        <v>25</v>
      </c>
      <c r="I546" s="3" t="s">
        <v>3076</v>
      </c>
      <c r="J546" s="3" t="s">
        <v>3077</v>
      </c>
      <c r="K546" s="3" t="s">
        <v>3078</v>
      </c>
      <c r="L546" s="3"/>
      <c r="M546" s="4"/>
      <c r="N546" s="3" t="s">
        <v>37</v>
      </c>
      <c r="O546" s="3" t="s">
        <v>618</v>
      </c>
      <c r="P546" s="5">
        <v>1</v>
      </c>
      <c r="Q546" s="5">
        <v>14</v>
      </c>
      <c r="R546" s="5">
        <v>1</v>
      </c>
      <c r="S546" s="5">
        <v>14</v>
      </c>
    </row>
    <row r="547" spans="1:19" ht="28" x14ac:dyDescent="0.15">
      <c r="A547" s="2">
        <f>HYPERLINK("https://open-school.uspishnemisto.com.ua/school/50554/", 50554)</f>
        <v>50554</v>
      </c>
      <c r="B547" s="3" t="s">
        <v>3079</v>
      </c>
      <c r="C547" s="3" t="s">
        <v>31</v>
      </c>
      <c r="D547" s="3" t="s">
        <v>32</v>
      </c>
      <c r="E547" s="4" t="s">
        <v>22</v>
      </c>
      <c r="F547" s="4" t="s">
        <v>3080</v>
      </c>
      <c r="G547" s="4" t="s">
        <v>3081</v>
      </c>
      <c r="H547" s="3" t="s">
        <v>25</v>
      </c>
      <c r="I547" s="3" t="s">
        <v>3082</v>
      </c>
      <c r="J547" s="3" t="s">
        <v>1719</v>
      </c>
      <c r="K547" s="3" t="s">
        <v>3083</v>
      </c>
      <c r="L547" s="3"/>
      <c r="M547" s="4"/>
      <c r="N547" s="3" t="s">
        <v>37</v>
      </c>
      <c r="O547" s="3" t="s">
        <v>112</v>
      </c>
      <c r="P547" s="5">
        <v>3</v>
      </c>
      <c r="Q547" s="5">
        <v>34</v>
      </c>
      <c r="R547" s="5">
        <v>5</v>
      </c>
      <c r="S547" s="5">
        <v>36</v>
      </c>
    </row>
    <row r="548" spans="1:19" ht="28" x14ac:dyDescent="0.15">
      <c r="A548" s="2">
        <f>HYPERLINK("https://open-school.uspishnemisto.com.ua/school/50555/", 50555)</f>
        <v>50555</v>
      </c>
      <c r="B548" s="3" t="s">
        <v>3084</v>
      </c>
      <c r="C548" s="3" t="s">
        <v>31</v>
      </c>
      <c r="D548" s="3" t="s">
        <v>32</v>
      </c>
      <c r="E548" s="4" t="s">
        <v>22</v>
      </c>
      <c r="F548" s="4" t="s">
        <v>3085</v>
      </c>
      <c r="G548" s="4" t="s">
        <v>3086</v>
      </c>
      <c r="H548" s="3" t="s">
        <v>25</v>
      </c>
      <c r="I548" s="3" t="s">
        <v>3087</v>
      </c>
      <c r="J548" s="3" t="s">
        <v>3088</v>
      </c>
      <c r="K548" s="3" t="s">
        <v>3089</v>
      </c>
      <c r="L548" s="3"/>
      <c r="M548" s="4"/>
      <c r="N548" s="3" t="s">
        <v>37</v>
      </c>
      <c r="O548" s="3" t="s">
        <v>70</v>
      </c>
      <c r="P548" s="5">
        <v>10</v>
      </c>
      <c r="Q548" s="5">
        <v>77</v>
      </c>
      <c r="R548" s="5">
        <v>11</v>
      </c>
      <c r="S548" s="5">
        <v>77</v>
      </c>
    </row>
    <row r="549" spans="1:19" ht="28" x14ac:dyDescent="0.15">
      <c r="A549" s="2">
        <f>HYPERLINK("https://open-school.uspishnemisto.com.ua/school/50556/", 50556)</f>
        <v>50556</v>
      </c>
      <c r="B549" s="3" t="s">
        <v>3090</v>
      </c>
      <c r="C549" s="3" t="s">
        <v>31</v>
      </c>
      <c r="D549" s="3" t="s">
        <v>175</v>
      </c>
      <c r="E549" s="4" t="s">
        <v>253</v>
      </c>
      <c r="F549" s="4" t="s">
        <v>3091</v>
      </c>
      <c r="G549" s="4" t="s">
        <v>3092</v>
      </c>
      <c r="H549" s="3" t="s">
        <v>25</v>
      </c>
      <c r="I549" s="3" t="s">
        <v>3093</v>
      </c>
      <c r="J549" s="3" t="s">
        <v>1668</v>
      </c>
      <c r="K549" s="3" t="s">
        <v>3094</v>
      </c>
      <c r="L549" s="3"/>
      <c r="M549" s="4"/>
      <c r="N549" s="3"/>
      <c r="O549" s="3"/>
      <c r="P549" s="5">
        <v>0</v>
      </c>
      <c r="Q549" s="5">
        <v>0</v>
      </c>
      <c r="R549" s="5"/>
      <c r="S549" s="5"/>
    </row>
    <row r="550" spans="1:19" ht="28" x14ac:dyDescent="0.15">
      <c r="A550" s="2">
        <f>HYPERLINK("https://open-school.uspishnemisto.com.ua/school/50557/", 50557)</f>
        <v>50557</v>
      </c>
      <c r="B550" s="3" t="s">
        <v>3095</v>
      </c>
      <c r="C550" s="3" t="s">
        <v>181</v>
      </c>
      <c r="D550" s="3" t="s">
        <v>32</v>
      </c>
      <c r="E550" s="4" t="s">
        <v>22</v>
      </c>
      <c r="F550" s="4" t="s">
        <v>3096</v>
      </c>
      <c r="G550" s="4" t="s">
        <v>3097</v>
      </c>
      <c r="H550" s="3" t="s">
        <v>25</v>
      </c>
      <c r="I550" s="3" t="s">
        <v>3098</v>
      </c>
      <c r="J550" s="3" t="s">
        <v>3099</v>
      </c>
      <c r="K550" s="3" t="s">
        <v>3100</v>
      </c>
      <c r="L550" s="3"/>
      <c r="M550" s="4" t="s">
        <v>3101</v>
      </c>
      <c r="N550" s="3" t="s">
        <v>37</v>
      </c>
      <c r="O550" s="3" t="s">
        <v>52</v>
      </c>
      <c r="P550" s="5">
        <v>10</v>
      </c>
      <c r="Q550" s="5">
        <v>44</v>
      </c>
      <c r="R550" s="5">
        <v>9</v>
      </c>
      <c r="S550" s="5">
        <v>33</v>
      </c>
    </row>
    <row r="551" spans="1:19" ht="42" x14ac:dyDescent="0.15">
      <c r="A551" s="2">
        <f>HYPERLINK("https://open-school.uspishnemisto.com.ua/school/50558/", 50558)</f>
        <v>50558</v>
      </c>
      <c r="B551" s="3" t="s">
        <v>3102</v>
      </c>
      <c r="C551" s="3" t="s">
        <v>54</v>
      </c>
      <c r="D551" s="3" t="s">
        <v>32</v>
      </c>
      <c r="E551" s="4" t="s">
        <v>22</v>
      </c>
      <c r="F551" s="4" t="s">
        <v>3096</v>
      </c>
      <c r="G551" s="4" t="s">
        <v>3097</v>
      </c>
      <c r="H551" s="3" t="s">
        <v>25</v>
      </c>
      <c r="I551" s="3" t="s">
        <v>3098</v>
      </c>
      <c r="J551" s="3" t="s">
        <v>466</v>
      </c>
      <c r="K551" s="3" t="s">
        <v>3103</v>
      </c>
      <c r="L551" s="3" t="s">
        <v>3104</v>
      </c>
      <c r="M551" s="4"/>
      <c r="N551" s="3" t="s">
        <v>37</v>
      </c>
      <c r="O551" s="3" t="s">
        <v>52</v>
      </c>
      <c r="P551" s="5">
        <v>15</v>
      </c>
      <c r="Q551" s="5">
        <v>261</v>
      </c>
      <c r="R551" s="5">
        <v>15</v>
      </c>
      <c r="S551" s="5">
        <v>274</v>
      </c>
    </row>
    <row r="552" spans="1:19" ht="28" x14ac:dyDescent="0.15">
      <c r="A552" s="2">
        <f>HYPERLINK("https://open-school.uspishnemisto.com.ua/school/50559/", 50559)</f>
        <v>50559</v>
      </c>
      <c r="B552" s="3" t="s">
        <v>3105</v>
      </c>
      <c r="C552" s="3" t="s">
        <v>54</v>
      </c>
      <c r="D552" s="3" t="s">
        <v>32</v>
      </c>
      <c r="E552" s="4" t="s">
        <v>22</v>
      </c>
      <c r="F552" s="4" t="s">
        <v>3096</v>
      </c>
      <c r="G552" s="4" t="s">
        <v>3097</v>
      </c>
      <c r="H552" s="3" t="s">
        <v>25</v>
      </c>
      <c r="I552" s="3" t="s">
        <v>3098</v>
      </c>
      <c r="J552" s="3" t="s">
        <v>3106</v>
      </c>
      <c r="K552" s="3" t="s">
        <v>3107</v>
      </c>
      <c r="L552" s="3"/>
      <c r="M552" s="4"/>
      <c r="N552" s="3" t="s">
        <v>37</v>
      </c>
      <c r="O552" s="3" t="s">
        <v>52</v>
      </c>
      <c r="P552" s="5">
        <v>20</v>
      </c>
      <c r="Q552" s="5">
        <v>384</v>
      </c>
      <c r="R552" s="5">
        <v>20</v>
      </c>
      <c r="S552" s="5">
        <v>382</v>
      </c>
    </row>
    <row r="553" spans="1:19" ht="28" x14ac:dyDescent="0.15">
      <c r="A553" s="2">
        <f>HYPERLINK("https://open-school.uspishnemisto.com.ua/school/50560/", 50560)</f>
        <v>50560</v>
      </c>
      <c r="B553" s="3" t="s">
        <v>3108</v>
      </c>
      <c r="C553" s="3" t="s">
        <v>31</v>
      </c>
      <c r="D553" s="3" t="s">
        <v>32</v>
      </c>
      <c r="E553" s="4" t="s">
        <v>22</v>
      </c>
      <c r="F553" s="4" t="s">
        <v>3109</v>
      </c>
      <c r="G553" s="4" t="s">
        <v>3110</v>
      </c>
      <c r="H553" s="3" t="s">
        <v>25</v>
      </c>
      <c r="I553" s="3" t="s">
        <v>3111</v>
      </c>
      <c r="J553" s="3" t="s">
        <v>3112</v>
      </c>
      <c r="K553" s="3" t="s">
        <v>3113</v>
      </c>
      <c r="L553" s="3"/>
      <c r="M553" s="4"/>
      <c r="N553" s="3" t="s">
        <v>37</v>
      </c>
      <c r="O553" s="3" t="s">
        <v>52</v>
      </c>
      <c r="P553" s="5">
        <v>10</v>
      </c>
      <c r="Q553" s="5">
        <v>116</v>
      </c>
      <c r="R553" s="5">
        <v>11</v>
      </c>
      <c r="S553" s="5">
        <v>119</v>
      </c>
    </row>
    <row r="554" spans="1:19" ht="28" x14ac:dyDescent="0.15">
      <c r="A554" s="2">
        <f>HYPERLINK("https://open-school.uspishnemisto.com.ua/school/50561/", 50561)</f>
        <v>50561</v>
      </c>
      <c r="B554" s="3" t="s">
        <v>3114</v>
      </c>
      <c r="C554" s="3" t="s">
        <v>31</v>
      </c>
      <c r="D554" s="3" t="s">
        <v>32</v>
      </c>
      <c r="E554" s="4" t="s">
        <v>22</v>
      </c>
      <c r="F554" s="4" t="s">
        <v>3115</v>
      </c>
      <c r="G554" s="4" t="s">
        <v>3116</v>
      </c>
      <c r="H554" s="3" t="s">
        <v>25</v>
      </c>
      <c r="I554" s="3" t="s">
        <v>3117</v>
      </c>
      <c r="J554" s="3" t="s">
        <v>3118</v>
      </c>
      <c r="K554" s="3" t="s">
        <v>3119</v>
      </c>
      <c r="L554" s="3"/>
      <c r="M554" s="4"/>
      <c r="N554" s="3" t="s">
        <v>37</v>
      </c>
      <c r="O554" s="3" t="s">
        <v>618</v>
      </c>
      <c r="P554" s="5">
        <v>11</v>
      </c>
      <c r="Q554" s="5">
        <v>78</v>
      </c>
      <c r="R554" s="5">
        <v>11</v>
      </c>
      <c r="S554" s="5">
        <v>90</v>
      </c>
    </row>
    <row r="555" spans="1:19" ht="42" x14ac:dyDescent="0.15">
      <c r="A555" s="2">
        <f>HYPERLINK("https://open-school.uspishnemisto.com.ua/school/50562/", 50562)</f>
        <v>50562</v>
      </c>
      <c r="B555" s="3" t="s">
        <v>3120</v>
      </c>
      <c r="C555" s="3" t="s">
        <v>54</v>
      </c>
      <c r="D555" s="3" t="s">
        <v>175</v>
      </c>
      <c r="E555" s="4" t="s">
        <v>22</v>
      </c>
      <c r="F555" s="4" t="s">
        <v>3121</v>
      </c>
      <c r="G555" s="4" t="s">
        <v>3122</v>
      </c>
      <c r="H555" s="3" t="s">
        <v>25</v>
      </c>
      <c r="I555" s="3" t="s">
        <v>3123</v>
      </c>
      <c r="J555" s="3" t="s">
        <v>3124</v>
      </c>
      <c r="K555" s="3" t="s">
        <v>3125</v>
      </c>
      <c r="L555" s="3"/>
      <c r="M555" s="4"/>
      <c r="N555" s="3" t="s">
        <v>37</v>
      </c>
      <c r="O555" s="3" t="s">
        <v>52</v>
      </c>
      <c r="P555" s="5">
        <v>6</v>
      </c>
      <c r="Q555" s="5">
        <v>46</v>
      </c>
      <c r="R555" s="5">
        <v>6</v>
      </c>
      <c r="S555" s="5">
        <v>41</v>
      </c>
    </row>
    <row r="556" spans="1:19" ht="28" x14ac:dyDescent="0.15">
      <c r="A556" s="2">
        <f>HYPERLINK("https://open-school.uspishnemisto.com.ua/school/50563/", 50563)</f>
        <v>50563</v>
      </c>
      <c r="B556" s="3" t="s">
        <v>3126</v>
      </c>
      <c r="C556" s="3" t="s">
        <v>31</v>
      </c>
      <c r="D556" s="3" t="s">
        <v>175</v>
      </c>
      <c r="E556" s="4" t="s">
        <v>22</v>
      </c>
      <c r="F556" s="4" t="s">
        <v>3127</v>
      </c>
      <c r="G556" s="4" t="s">
        <v>3128</v>
      </c>
      <c r="H556" s="3" t="s">
        <v>25</v>
      </c>
      <c r="I556" s="3" t="s">
        <v>2422</v>
      </c>
      <c r="J556" s="3" t="s">
        <v>3129</v>
      </c>
      <c r="K556" s="3" t="s">
        <v>3130</v>
      </c>
      <c r="L556" s="3"/>
      <c r="M556" s="4"/>
      <c r="N556" s="3" t="s">
        <v>37</v>
      </c>
      <c r="O556" s="3" t="s">
        <v>618</v>
      </c>
      <c r="P556" s="5">
        <v>4</v>
      </c>
      <c r="Q556" s="5">
        <v>30</v>
      </c>
      <c r="R556" s="5">
        <v>3</v>
      </c>
      <c r="S556" s="5">
        <v>32</v>
      </c>
    </row>
    <row r="557" spans="1:19" ht="28" x14ac:dyDescent="0.15">
      <c r="A557" s="2">
        <f>HYPERLINK("https://open-school.uspishnemisto.com.ua/school/50564/", 50564)</f>
        <v>50564</v>
      </c>
      <c r="B557" s="3" t="s">
        <v>3131</v>
      </c>
      <c r="C557" s="3" t="s">
        <v>31</v>
      </c>
      <c r="D557" s="3" t="s">
        <v>32</v>
      </c>
      <c r="E557" s="4" t="s">
        <v>22</v>
      </c>
      <c r="F557" s="4" t="s">
        <v>3132</v>
      </c>
      <c r="G557" s="4" t="s">
        <v>3133</v>
      </c>
      <c r="H557" s="3" t="s">
        <v>25</v>
      </c>
      <c r="I557" s="3" t="s">
        <v>3134</v>
      </c>
      <c r="J557" s="3" t="s">
        <v>3135</v>
      </c>
      <c r="K557" s="3" t="s">
        <v>3136</v>
      </c>
      <c r="L557" s="3"/>
      <c r="M557" s="4"/>
      <c r="N557" s="3" t="s">
        <v>37</v>
      </c>
      <c r="O557" s="3" t="s">
        <v>618</v>
      </c>
      <c r="P557" s="5">
        <v>10</v>
      </c>
      <c r="Q557" s="5">
        <v>131</v>
      </c>
      <c r="R557" s="5">
        <v>11</v>
      </c>
      <c r="S557" s="5">
        <v>134</v>
      </c>
    </row>
    <row r="558" spans="1:19" ht="28" x14ac:dyDescent="0.15">
      <c r="A558" s="2">
        <f>HYPERLINK("https://open-school.uspishnemisto.com.ua/school/50565/", 50565)</f>
        <v>50565</v>
      </c>
      <c r="B558" s="3" t="s">
        <v>3137</v>
      </c>
      <c r="C558" s="3" t="s">
        <v>31</v>
      </c>
      <c r="D558" s="3" t="s">
        <v>175</v>
      </c>
      <c r="E558" s="4" t="s">
        <v>22</v>
      </c>
      <c r="F558" s="4" t="s">
        <v>3138</v>
      </c>
      <c r="G558" s="4" t="s">
        <v>3139</v>
      </c>
      <c r="H558" s="3" t="s">
        <v>25</v>
      </c>
      <c r="I558" s="3" t="s">
        <v>3140</v>
      </c>
      <c r="J558" s="3" t="s">
        <v>466</v>
      </c>
      <c r="K558" s="3" t="s">
        <v>3141</v>
      </c>
      <c r="L558" s="3"/>
      <c r="M558" s="4"/>
      <c r="N558" s="3" t="s">
        <v>37</v>
      </c>
      <c r="O558" s="3" t="s">
        <v>52</v>
      </c>
      <c r="P558" s="5">
        <v>9</v>
      </c>
      <c r="Q558" s="5">
        <v>63</v>
      </c>
      <c r="R558" s="5">
        <v>8</v>
      </c>
      <c r="S558" s="5">
        <v>60</v>
      </c>
    </row>
    <row r="559" spans="1:19" ht="28" x14ac:dyDescent="0.15">
      <c r="A559" s="2">
        <f>HYPERLINK("https://open-school.uspishnemisto.com.ua/school/50566/", 50566)</f>
        <v>50566</v>
      </c>
      <c r="B559" s="3" t="s">
        <v>3142</v>
      </c>
      <c r="C559" s="3" t="s">
        <v>31</v>
      </c>
      <c r="D559" s="3" t="s">
        <v>32</v>
      </c>
      <c r="E559" s="4" t="s">
        <v>22</v>
      </c>
      <c r="F559" s="4" t="s">
        <v>3143</v>
      </c>
      <c r="G559" s="4" t="s">
        <v>3144</v>
      </c>
      <c r="H559" s="3" t="s">
        <v>25</v>
      </c>
      <c r="I559" s="3" t="s">
        <v>3145</v>
      </c>
      <c r="J559" s="3" t="s">
        <v>3146</v>
      </c>
      <c r="K559" s="3" t="s">
        <v>3147</v>
      </c>
      <c r="L559" s="3"/>
      <c r="M559" s="4"/>
      <c r="N559" s="3" t="s">
        <v>37</v>
      </c>
      <c r="O559" s="3" t="s">
        <v>52</v>
      </c>
      <c r="P559" s="5">
        <v>10</v>
      </c>
      <c r="Q559" s="5">
        <v>89</v>
      </c>
      <c r="R559" s="5">
        <v>9</v>
      </c>
      <c r="S559" s="5">
        <v>81</v>
      </c>
    </row>
    <row r="560" spans="1:19" ht="28" x14ac:dyDescent="0.15">
      <c r="A560" s="2">
        <f>HYPERLINK("https://open-school.uspishnemisto.com.ua/school/50567/", 50567)</f>
        <v>50567</v>
      </c>
      <c r="B560" s="3" t="s">
        <v>3148</v>
      </c>
      <c r="C560" s="3" t="s">
        <v>31</v>
      </c>
      <c r="D560" s="3" t="s">
        <v>175</v>
      </c>
      <c r="E560" s="4" t="s">
        <v>22</v>
      </c>
      <c r="F560" s="4" t="s">
        <v>3149</v>
      </c>
      <c r="G560" s="4" t="s">
        <v>3150</v>
      </c>
      <c r="H560" s="3" t="s">
        <v>25</v>
      </c>
      <c r="I560" s="3" t="s">
        <v>3151</v>
      </c>
      <c r="J560" s="3" t="s">
        <v>627</v>
      </c>
      <c r="K560" s="3" t="s">
        <v>3152</v>
      </c>
      <c r="L560" s="3"/>
      <c r="M560" s="4"/>
      <c r="N560" s="3" t="s">
        <v>37</v>
      </c>
      <c r="O560" s="3" t="s">
        <v>52</v>
      </c>
      <c r="P560" s="5">
        <v>6</v>
      </c>
      <c r="Q560" s="5">
        <v>40</v>
      </c>
      <c r="R560" s="5">
        <v>5</v>
      </c>
      <c r="S560" s="5">
        <v>39</v>
      </c>
    </row>
    <row r="561" spans="1:19" ht="42" x14ac:dyDescent="0.15">
      <c r="A561" s="2">
        <f>HYPERLINK("https://open-school.uspishnemisto.com.ua/school/50568/", 50568)</f>
        <v>50568</v>
      </c>
      <c r="B561" s="3" t="s">
        <v>3153</v>
      </c>
      <c r="C561" s="3" t="s">
        <v>54</v>
      </c>
      <c r="D561" s="3" t="s">
        <v>175</v>
      </c>
      <c r="E561" s="4" t="s">
        <v>22</v>
      </c>
      <c r="F561" s="4" t="s">
        <v>3154</v>
      </c>
      <c r="G561" s="4" t="s">
        <v>3155</v>
      </c>
      <c r="H561" s="3" t="s">
        <v>25</v>
      </c>
      <c r="I561" s="3" t="s">
        <v>739</v>
      </c>
      <c r="J561" s="3" t="s">
        <v>3156</v>
      </c>
      <c r="K561" s="3" t="s">
        <v>3157</v>
      </c>
      <c r="L561" s="3"/>
      <c r="M561" s="4"/>
      <c r="N561" s="3" t="s">
        <v>37</v>
      </c>
      <c r="O561" s="3" t="s">
        <v>52</v>
      </c>
      <c r="P561" s="5">
        <v>7</v>
      </c>
      <c r="Q561" s="5">
        <v>38</v>
      </c>
      <c r="R561" s="5">
        <v>5</v>
      </c>
      <c r="S561" s="5">
        <v>38</v>
      </c>
    </row>
    <row r="562" spans="1:19" ht="42" x14ac:dyDescent="0.15">
      <c r="A562" s="2">
        <f>HYPERLINK("https://open-school.uspishnemisto.com.ua/school/50569/", 50569)</f>
        <v>50569</v>
      </c>
      <c r="B562" s="3" t="s">
        <v>3158</v>
      </c>
      <c r="C562" s="3" t="s">
        <v>31</v>
      </c>
      <c r="D562" s="3" t="s">
        <v>32</v>
      </c>
      <c r="E562" s="4" t="s">
        <v>22</v>
      </c>
      <c r="F562" s="4" t="s">
        <v>3159</v>
      </c>
      <c r="G562" s="4" t="s">
        <v>3160</v>
      </c>
      <c r="H562" s="3" t="s">
        <v>25</v>
      </c>
      <c r="I562" s="3" t="s">
        <v>3161</v>
      </c>
      <c r="J562" s="3" t="s">
        <v>3162</v>
      </c>
      <c r="K562" s="3" t="s">
        <v>3163</v>
      </c>
      <c r="L562" s="3"/>
      <c r="M562" s="4"/>
      <c r="N562" s="3" t="s">
        <v>37</v>
      </c>
      <c r="O562" s="3" t="s">
        <v>52</v>
      </c>
      <c r="P562" s="5">
        <v>11</v>
      </c>
      <c r="Q562" s="5">
        <v>201</v>
      </c>
      <c r="R562" s="5">
        <v>11</v>
      </c>
      <c r="S562" s="5">
        <v>206</v>
      </c>
    </row>
    <row r="563" spans="1:19" ht="28" x14ac:dyDescent="0.15">
      <c r="A563" s="2">
        <f>HYPERLINK("https://open-school.uspishnemisto.com.ua/school/50570/", 50570)</f>
        <v>50570</v>
      </c>
      <c r="B563" s="3" t="s">
        <v>3164</v>
      </c>
      <c r="C563" s="3" t="s">
        <v>31</v>
      </c>
      <c r="D563" s="3" t="s">
        <v>32</v>
      </c>
      <c r="E563" s="4" t="s">
        <v>22</v>
      </c>
      <c r="F563" s="4" t="s">
        <v>3165</v>
      </c>
      <c r="G563" s="4" t="s">
        <v>3166</v>
      </c>
      <c r="H563" s="3" t="s">
        <v>25</v>
      </c>
      <c r="I563" s="3" t="s">
        <v>3167</v>
      </c>
      <c r="J563" s="3" t="s">
        <v>718</v>
      </c>
      <c r="K563" s="3" t="s">
        <v>3168</v>
      </c>
      <c r="L563" s="3"/>
      <c r="M563" s="4"/>
      <c r="N563" s="3" t="s">
        <v>37</v>
      </c>
      <c r="O563" s="3" t="s">
        <v>52</v>
      </c>
      <c r="P563" s="5">
        <v>8</v>
      </c>
      <c r="Q563" s="5">
        <v>68</v>
      </c>
      <c r="R563" s="5">
        <v>7</v>
      </c>
      <c r="S563" s="5">
        <v>63</v>
      </c>
    </row>
    <row r="564" spans="1:19" ht="28" x14ac:dyDescent="0.15">
      <c r="A564" s="2">
        <f>HYPERLINK("https://open-school.uspishnemisto.com.ua/school/50571/", 50571)</f>
        <v>50571</v>
      </c>
      <c r="B564" s="3" t="s">
        <v>3169</v>
      </c>
      <c r="C564" s="3" t="s">
        <v>293</v>
      </c>
      <c r="D564" s="3" t="s">
        <v>32</v>
      </c>
      <c r="E564" s="4" t="s">
        <v>22</v>
      </c>
      <c r="F564" s="4" t="s">
        <v>3170</v>
      </c>
      <c r="G564" s="4" t="s">
        <v>3171</v>
      </c>
      <c r="H564" s="3" t="s">
        <v>25</v>
      </c>
      <c r="I564" s="3" t="s">
        <v>3172</v>
      </c>
      <c r="J564" s="3" t="s">
        <v>3173</v>
      </c>
      <c r="K564" s="3" t="s">
        <v>3174</v>
      </c>
      <c r="L564" s="3"/>
      <c r="M564" s="4"/>
      <c r="N564" s="3" t="s">
        <v>37</v>
      </c>
      <c r="O564" s="3" t="s">
        <v>52</v>
      </c>
      <c r="P564" s="5">
        <v>11</v>
      </c>
      <c r="Q564" s="5">
        <v>184</v>
      </c>
      <c r="R564" s="5">
        <v>11</v>
      </c>
      <c r="S564" s="5">
        <v>191</v>
      </c>
    </row>
    <row r="565" spans="1:19" ht="28" x14ac:dyDescent="0.15">
      <c r="A565" s="2">
        <f>HYPERLINK("https://open-school.uspishnemisto.com.ua/school/50572/", 50572)</f>
        <v>50572</v>
      </c>
      <c r="B565" s="3" t="s">
        <v>3175</v>
      </c>
      <c r="C565" s="3" t="s">
        <v>31</v>
      </c>
      <c r="D565" s="3" t="s">
        <v>32</v>
      </c>
      <c r="E565" s="4" t="s">
        <v>22</v>
      </c>
      <c r="F565" s="4" t="s">
        <v>3176</v>
      </c>
      <c r="G565" s="4" t="s">
        <v>3177</v>
      </c>
      <c r="H565" s="3" t="s">
        <v>25</v>
      </c>
      <c r="I565" s="3" t="s">
        <v>3178</v>
      </c>
      <c r="J565" s="3" t="s">
        <v>3179</v>
      </c>
      <c r="K565" s="3" t="s">
        <v>3180</v>
      </c>
      <c r="L565" s="3"/>
      <c r="M565" s="4"/>
      <c r="N565" s="3" t="s">
        <v>37</v>
      </c>
      <c r="O565" s="3" t="s">
        <v>52</v>
      </c>
      <c r="P565" s="5">
        <v>6</v>
      </c>
      <c r="Q565" s="5">
        <v>53</v>
      </c>
      <c r="R565" s="5">
        <v>8</v>
      </c>
      <c r="S565" s="5">
        <v>51</v>
      </c>
    </row>
    <row r="566" spans="1:19" ht="42" x14ac:dyDescent="0.15">
      <c r="A566" s="2">
        <f>HYPERLINK("https://open-school.uspishnemisto.com.ua/school/50573/", 50573)</f>
        <v>50573</v>
      </c>
      <c r="B566" s="3" t="s">
        <v>3181</v>
      </c>
      <c r="C566" s="3" t="s">
        <v>31</v>
      </c>
      <c r="D566" s="3" t="s">
        <v>32</v>
      </c>
      <c r="E566" s="4" t="s">
        <v>22</v>
      </c>
      <c r="F566" s="4" t="s">
        <v>3182</v>
      </c>
      <c r="G566" s="4" t="s">
        <v>3183</v>
      </c>
      <c r="H566" s="3" t="s">
        <v>25</v>
      </c>
      <c r="I566" s="3" t="s">
        <v>3184</v>
      </c>
      <c r="J566" s="3" t="s">
        <v>3185</v>
      </c>
      <c r="K566" s="3" t="s">
        <v>3186</v>
      </c>
      <c r="L566" s="3"/>
      <c r="M566" s="4" t="s">
        <v>3187</v>
      </c>
      <c r="N566" s="3" t="s">
        <v>37</v>
      </c>
      <c r="O566" s="3" t="s">
        <v>70</v>
      </c>
      <c r="P566" s="5">
        <v>32</v>
      </c>
      <c r="Q566" s="5">
        <v>809</v>
      </c>
      <c r="R566" s="5">
        <v>31</v>
      </c>
      <c r="S566" s="5">
        <v>753</v>
      </c>
    </row>
    <row r="567" spans="1:19" ht="42" x14ac:dyDescent="0.15">
      <c r="A567" s="2">
        <f>HYPERLINK("https://open-school.uspishnemisto.com.ua/school/50574/", 50574)</f>
        <v>50574</v>
      </c>
      <c r="B567" s="3" t="s">
        <v>3188</v>
      </c>
      <c r="C567" s="3" t="s">
        <v>31</v>
      </c>
      <c r="D567" s="3" t="s">
        <v>32</v>
      </c>
      <c r="E567" s="4" t="s">
        <v>22</v>
      </c>
      <c r="F567" s="4" t="s">
        <v>3182</v>
      </c>
      <c r="G567" s="4" t="s">
        <v>3183</v>
      </c>
      <c r="H567" s="3" t="s">
        <v>25</v>
      </c>
      <c r="I567" s="3" t="s">
        <v>3184</v>
      </c>
      <c r="J567" s="3" t="s">
        <v>3189</v>
      </c>
      <c r="K567" s="3" t="s">
        <v>3190</v>
      </c>
      <c r="L567" s="3" t="s">
        <v>3191</v>
      </c>
      <c r="M567" s="4"/>
      <c r="N567" s="3" t="s">
        <v>37</v>
      </c>
      <c r="O567" s="3" t="s">
        <v>38</v>
      </c>
      <c r="P567" s="5">
        <v>19</v>
      </c>
      <c r="Q567" s="5">
        <v>365</v>
      </c>
      <c r="R567" s="5">
        <v>19</v>
      </c>
      <c r="S567" s="5">
        <v>360</v>
      </c>
    </row>
    <row r="568" spans="1:19" ht="42" x14ac:dyDescent="0.15">
      <c r="A568" s="2">
        <f>HYPERLINK("https://open-school.uspishnemisto.com.ua/school/50576/", 50576)</f>
        <v>50576</v>
      </c>
      <c r="B568" s="3" t="s">
        <v>3192</v>
      </c>
      <c r="C568" s="3" t="s">
        <v>31</v>
      </c>
      <c r="D568" s="3" t="s">
        <v>175</v>
      </c>
      <c r="E568" s="4" t="s">
        <v>22</v>
      </c>
      <c r="F568" s="4" t="s">
        <v>3193</v>
      </c>
      <c r="G568" s="4" t="s">
        <v>3194</v>
      </c>
      <c r="H568" s="3" t="s">
        <v>25</v>
      </c>
      <c r="I568" s="3" t="s">
        <v>3195</v>
      </c>
      <c r="J568" s="3" t="s">
        <v>3196</v>
      </c>
      <c r="K568" s="3" t="s">
        <v>3197</v>
      </c>
      <c r="L568" s="3"/>
      <c r="M568" s="4"/>
      <c r="N568" s="3" t="s">
        <v>37</v>
      </c>
      <c r="O568" s="3" t="s">
        <v>70</v>
      </c>
      <c r="P568" s="5">
        <v>8</v>
      </c>
      <c r="Q568" s="5">
        <v>59</v>
      </c>
      <c r="R568" s="5">
        <v>8</v>
      </c>
      <c r="S568" s="5">
        <v>58</v>
      </c>
    </row>
    <row r="569" spans="1:19" ht="28" x14ac:dyDescent="0.15">
      <c r="A569" s="2">
        <f>HYPERLINK("https://open-school.uspishnemisto.com.ua/school/50577/", 50577)</f>
        <v>50577</v>
      </c>
      <c r="B569" s="3" t="s">
        <v>3198</v>
      </c>
      <c r="C569" s="3" t="s">
        <v>31</v>
      </c>
      <c r="D569" s="3" t="s">
        <v>32</v>
      </c>
      <c r="E569" s="4" t="s">
        <v>22</v>
      </c>
      <c r="F569" s="4" t="s">
        <v>3199</v>
      </c>
      <c r="G569" s="4" t="s">
        <v>3200</v>
      </c>
      <c r="H569" s="3" t="s">
        <v>25</v>
      </c>
      <c r="I569" s="3" t="s">
        <v>3201</v>
      </c>
      <c r="J569" s="3" t="s">
        <v>3202</v>
      </c>
      <c r="K569" s="3" t="s">
        <v>3203</v>
      </c>
      <c r="L569" s="3"/>
      <c r="M569" s="4"/>
      <c r="N569" s="3" t="s">
        <v>37</v>
      </c>
      <c r="O569" s="3" t="s">
        <v>52</v>
      </c>
      <c r="P569" s="5">
        <v>10</v>
      </c>
      <c r="Q569" s="5">
        <v>90</v>
      </c>
      <c r="R569" s="5">
        <v>9</v>
      </c>
      <c r="S569" s="5">
        <v>87</v>
      </c>
    </row>
    <row r="570" spans="1:19" ht="42" x14ac:dyDescent="0.15">
      <c r="A570" s="2">
        <f>HYPERLINK("https://open-school.uspishnemisto.com.ua/school/50578/", 50578)</f>
        <v>50578</v>
      </c>
      <c r="B570" s="3" t="s">
        <v>3204</v>
      </c>
      <c r="C570" s="3" t="s">
        <v>31</v>
      </c>
      <c r="D570" s="3" t="s">
        <v>32</v>
      </c>
      <c r="E570" s="4" t="s">
        <v>22</v>
      </c>
      <c r="F570" s="4" t="s">
        <v>3205</v>
      </c>
      <c r="G570" s="4" t="s">
        <v>3206</v>
      </c>
      <c r="H570" s="3" t="s">
        <v>25</v>
      </c>
      <c r="I570" s="3" t="s">
        <v>3207</v>
      </c>
      <c r="J570" s="3" t="s">
        <v>3208</v>
      </c>
      <c r="K570" s="3"/>
      <c r="L570" s="3"/>
      <c r="M570" s="4"/>
      <c r="N570" s="3" t="s">
        <v>37</v>
      </c>
      <c r="O570" s="3" t="s">
        <v>38</v>
      </c>
      <c r="P570" s="5">
        <v>11</v>
      </c>
      <c r="Q570" s="5">
        <v>144</v>
      </c>
      <c r="R570" s="5">
        <v>10</v>
      </c>
      <c r="S570" s="5">
        <v>141</v>
      </c>
    </row>
    <row r="571" spans="1:19" ht="42" x14ac:dyDescent="0.15">
      <c r="A571" s="2">
        <f>HYPERLINK("https://open-school.uspishnemisto.com.ua/school/50579/", 50579)</f>
        <v>50579</v>
      </c>
      <c r="B571" s="3" t="s">
        <v>3209</v>
      </c>
      <c r="C571" s="3" t="s">
        <v>31</v>
      </c>
      <c r="D571" s="3" t="s">
        <v>32</v>
      </c>
      <c r="E571" s="4" t="s">
        <v>22</v>
      </c>
      <c r="F571" s="4" t="s">
        <v>3210</v>
      </c>
      <c r="G571" s="4" t="s">
        <v>3211</v>
      </c>
      <c r="H571" s="3" t="s">
        <v>25</v>
      </c>
      <c r="I571" s="3" t="s">
        <v>3212</v>
      </c>
      <c r="J571" s="3" t="s">
        <v>3213</v>
      </c>
      <c r="K571" s="3"/>
      <c r="L571" s="3"/>
      <c r="M571" s="4"/>
      <c r="N571" s="3" t="s">
        <v>37</v>
      </c>
      <c r="O571" s="3" t="s">
        <v>38</v>
      </c>
      <c r="P571" s="5">
        <v>10</v>
      </c>
      <c r="Q571" s="5">
        <v>112</v>
      </c>
      <c r="R571" s="5">
        <v>10</v>
      </c>
      <c r="S571" s="5">
        <v>103</v>
      </c>
    </row>
    <row r="572" spans="1:19" ht="42" x14ac:dyDescent="0.15">
      <c r="A572" s="2">
        <f>HYPERLINK("https://open-school.uspishnemisto.com.ua/school/50580/", 50580)</f>
        <v>50580</v>
      </c>
      <c r="B572" s="3" t="s">
        <v>3214</v>
      </c>
      <c r="C572" s="3" t="s">
        <v>31</v>
      </c>
      <c r="D572" s="3" t="s">
        <v>175</v>
      </c>
      <c r="E572" s="4" t="s">
        <v>22</v>
      </c>
      <c r="F572" s="4" t="s">
        <v>3215</v>
      </c>
      <c r="G572" s="4" t="s">
        <v>3216</v>
      </c>
      <c r="H572" s="3" t="s">
        <v>25</v>
      </c>
      <c r="I572" s="3" t="s">
        <v>3217</v>
      </c>
      <c r="J572" s="3" t="s">
        <v>466</v>
      </c>
      <c r="K572" s="3" t="s">
        <v>3218</v>
      </c>
      <c r="L572" s="3"/>
      <c r="M572" s="4"/>
      <c r="N572" s="3" t="s">
        <v>37</v>
      </c>
      <c r="O572" s="3" t="s">
        <v>618</v>
      </c>
      <c r="P572" s="5">
        <v>5</v>
      </c>
      <c r="Q572" s="5">
        <v>40</v>
      </c>
      <c r="R572" s="5">
        <v>4</v>
      </c>
      <c r="S572" s="5">
        <v>39</v>
      </c>
    </row>
    <row r="573" spans="1:19" ht="42" x14ac:dyDescent="0.15">
      <c r="A573" s="2">
        <f>HYPERLINK("https://open-school.uspishnemisto.com.ua/school/50581/", 50581)</f>
        <v>50581</v>
      </c>
      <c r="B573" s="3" t="s">
        <v>3219</v>
      </c>
      <c r="C573" s="3" t="s">
        <v>31</v>
      </c>
      <c r="D573" s="3" t="s">
        <v>175</v>
      </c>
      <c r="E573" s="4" t="s">
        <v>22</v>
      </c>
      <c r="F573" s="4" t="s">
        <v>3220</v>
      </c>
      <c r="G573" s="4" t="s">
        <v>3221</v>
      </c>
      <c r="H573" s="3" t="s">
        <v>25</v>
      </c>
      <c r="I573" s="3" t="s">
        <v>3222</v>
      </c>
      <c r="J573" s="3" t="s">
        <v>3223</v>
      </c>
      <c r="K573" s="3" t="s">
        <v>3224</v>
      </c>
      <c r="L573" s="3"/>
      <c r="M573" s="4"/>
      <c r="N573" s="3" t="s">
        <v>37</v>
      </c>
      <c r="O573" s="3" t="s">
        <v>618</v>
      </c>
      <c r="P573" s="5">
        <v>6</v>
      </c>
      <c r="Q573" s="5">
        <v>28</v>
      </c>
      <c r="R573" s="5">
        <v>2</v>
      </c>
      <c r="S573" s="5">
        <v>25</v>
      </c>
    </row>
    <row r="574" spans="1:19" ht="28" x14ac:dyDescent="0.15">
      <c r="A574" s="2">
        <f>HYPERLINK("https://open-school.uspishnemisto.com.ua/school/50582/", 50582)</f>
        <v>50582</v>
      </c>
      <c r="B574" s="3" t="s">
        <v>3225</v>
      </c>
      <c r="C574" s="3" t="s">
        <v>31</v>
      </c>
      <c r="D574" s="3" t="s">
        <v>175</v>
      </c>
      <c r="E574" s="4" t="s">
        <v>22</v>
      </c>
      <c r="F574" s="4" t="s">
        <v>3226</v>
      </c>
      <c r="G574" s="4" t="s">
        <v>3227</v>
      </c>
      <c r="H574" s="3" t="s">
        <v>25</v>
      </c>
      <c r="I574" s="3" t="s">
        <v>2718</v>
      </c>
      <c r="J574" s="3" t="s">
        <v>3196</v>
      </c>
      <c r="K574" s="3" t="s">
        <v>3228</v>
      </c>
      <c r="L574" s="3"/>
      <c r="M574" s="4"/>
      <c r="N574" s="3" t="s">
        <v>37</v>
      </c>
      <c r="O574" s="3" t="s">
        <v>112</v>
      </c>
      <c r="P574" s="5">
        <v>4</v>
      </c>
      <c r="Q574" s="5">
        <v>30</v>
      </c>
      <c r="R574" s="5">
        <v>5</v>
      </c>
      <c r="S574" s="5">
        <v>34</v>
      </c>
    </row>
    <row r="575" spans="1:19" ht="42" x14ac:dyDescent="0.15">
      <c r="A575" s="2">
        <f>HYPERLINK("https://open-school.uspishnemisto.com.ua/school/50583/", 50583)</f>
        <v>50583</v>
      </c>
      <c r="B575" s="3" t="s">
        <v>3229</v>
      </c>
      <c r="C575" s="3" t="s">
        <v>31</v>
      </c>
      <c r="D575" s="3" t="s">
        <v>175</v>
      </c>
      <c r="E575" s="4" t="s">
        <v>22</v>
      </c>
      <c r="F575" s="4" t="s">
        <v>3230</v>
      </c>
      <c r="G575" s="4" t="s">
        <v>3231</v>
      </c>
      <c r="H575" s="3" t="s">
        <v>25</v>
      </c>
      <c r="I575" s="3" t="s">
        <v>3232</v>
      </c>
      <c r="J575" s="3" t="s">
        <v>466</v>
      </c>
      <c r="K575" s="3" t="s">
        <v>3233</v>
      </c>
      <c r="L575" s="3"/>
      <c r="M575" s="4"/>
      <c r="N575" s="3" t="s">
        <v>37</v>
      </c>
      <c r="O575" s="3" t="s">
        <v>618</v>
      </c>
      <c r="P575" s="5">
        <v>8</v>
      </c>
      <c r="Q575" s="5">
        <v>52</v>
      </c>
      <c r="R575" s="5">
        <v>7</v>
      </c>
      <c r="S575" s="5">
        <v>50</v>
      </c>
    </row>
    <row r="576" spans="1:19" ht="42" x14ac:dyDescent="0.15">
      <c r="A576" s="2">
        <f>HYPERLINK("https://open-school.uspishnemisto.com.ua/school/50584/", 50584)</f>
        <v>50584</v>
      </c>
      <c r="B576" s="3" t="s">
        <v>3234</v>
      </c>
      <c r="C576" s="3" t="s">
        <v>31</v>
      </c>
      <c r="D576" s="3" t="s">
        <v>32</v>
      </c>
      <c r="E576" s="4" t="s">
        <v>22</v>
      </c>
      <c r="F576" s="4" t="s">
        <v>3235</v>
      </c>
      <c r="G576" s="4" t="s">
        <v>3236</v>
      </c>
      <c r="H576" s="3" t="s">
        <v>25</v>
      </c>
      <c r="I576" s="3" t="s">
        <v>3237</v>
      </c>
      <c r="J576" s="3" t="s">
        <v>3238</v>
      </c>
      <c r="K576" s="3" t="s">
        <v>3239</v>
      </c>
      <c r="L576" s="3"/>
      <c r="M576" s="4"/>
      <c r="N576" s="3" t="s">
        <v>37</v>
      </c>
      <c r="O576" s="3" t="s">
        <v>112</v>
      </c>
      <c r="P576" s="5">
        <v>8</v>
      </c>
      <c r="Q576" s="5">
        <v>94</v>
      </c>
      <c r="R576" s="5">
        <v>9</v>
      </c>
      <c r="S576" s="5">
        <v>103</v>
      </c>
    </row>
    <row r="577" spans="1:19" ht="42" x14ac:dyDescent="0.15">
      <c r="A577" s="2">
        <f>HYPERLINK("https://open-school.uspishnemisto.com.ua/school/50585/", 50585)</f>
        <v>50585</v>
      </c>
      <c r="B577" s="3" t="s">
        <v>3240</v>
      </c>
      <c r="C577" s="3" t="s">
        <v>31</v>
      </c>
      <c r="D577" s="3" t="s">
        <v>32</v>
      </c>
      <c r="E577" s="4" t="s">
        <v>22</v>
      </c>
      <c r="F577" s="4" t="s">
        <v>3241</v>
      </c>
      <c r="G577" s="4" t="s">
        <v>3242</v>
      </c>
      <c r="H577" s="3" t="s">
        <v>25</v>
      </c>
      <c r="I577" s="3" t="s">
        <v>3243</v>
      </c>
      <c r="J577" s="3" t="s">
        <v>3244</v>
      </c>
      <c r="K577" s="3" t="s">
        <v>3245</v>
      </c>
      <c r="L577" s="3"/>
      <c r="M577" s="4"/>
      <c r="N577" s="3" t="s">
        <v>37</v>
      </c>
      <c r="O577" s="3" t="s">
        <v>46</v>
      </c>
      <c r="P577" s="5">
        <v>4</v>
      </c>
      <c r="Q577" s="5">
        <v>41</v>
      </c>
      <c r="R577" s="5">
        <v>4</v>
      </c>
      <c r="S577" s="5">
        <v>39</v>
      </c>
    </row>
    <row r="578" spans="1:19" ht="42" x14ac:dyDescent="0.15">
      <c r="A578" s="2">
        <f>HYPERLINK("https://open-school.uspishnemisto.com.ua/school/50586/", 50586)</f>
        <v>50586</v>
      </c>
      <c r="B578" s="3" t="s">
        <v>3246</v>
      </c>
      <c r="C578" s="3" t="s">
        <v>31</v>
      </c>
      <c r="D578" s="3" t="s">
        <v>32</v>
      </c>
      <c r="E578" s="4" t="s">
        <v>22</v>
      </c>
      <c r="F578" s="4" t="s">
        <v>3247</v>
      </c>
      <c r="G578" s="4" t="s">
        <v>3248</v>
      </c>
      <c r="H578" s="3" t="s">
        <v>25</v>
      </c>
      <c r="I578" s="3" t="s">
        <v>3249</v>
      </c>
      <c r="J578" s="3" t="s">
        <v>1192</v>
      </c>
      <c r="K578" s="3" t="s">
        <v>3250</v>
      </c>
      <c r="L578" s="3"/>
      <c r="M578" s="4"/>
      <c r="N578" s="3" t="s">
        <v>37</v>
      </c>
      <c r="O578" s="3" t="s">
        <v>38</v>
      </c>
      <c r="P578" s="5">
        <v>5</v>
      </c>
      <c r="Q578" s="5">
        <v>48</v>
      </c>
      <c r="R578" s="5">
        <v>5</v>
      </c>
      <c r="S578" s="5">
        <v>45</v>
      </c>
    </row>
    <row r="579" spans="1:19" ht="42" x14ac:dyDescent="0.15">
      <c r="A579" s="2">
        <f>HYPERLINK("https://open-school.uspishnemisto.com.ua/school/50587/", 50587)</f>
        <v>50587</v>
      </c>
      <c r="B579" s="3" t="s">
        <v>3251</v>
      </c>
      <c r="C579" s="3" t="s">
        <v>31</v>
      </c>
      <c r="D579" s="3" t="s">
        <v>175</v>
      </c>
      <c r="E579" s="4" t="s">
        <v>22</v>
      </c>
      <c r="F579" s="4" t="s">
        <v>3252</v>
      </c>
      <c r="G579" s="4" t="s">
        <v>3253</v>
      </c>
      <c r="H579" s="3" t="s">
        <v>25</v>
      </c>
      <c r="I579" s="3" t="s">
        <v>1587</v>
      </c>
      <c r="J579" s="3" t="s">
        <v>3254</v>
      </c>
      <c r="K579" s="3" t="s">
        <v>3255</v>
      </c>
      <c r="L579" s="3"/>
      <c r="M579" s="4"/>
      <c r="N579" s="3" t="s">
        <v>37</v>
      </c>
      <c r="O579" s="3" t="s">
        <v>112</v>
      </c>
      <c r="P579" s="5">
        <v>9</v>
      </c>
      <c r="Q579" s="5">
        <v>50</v>
      </c>
      <c r="R579" s="5">
        <v>8</v>
      </c>
      <c r="S579" s="5">
        <v>50</v>
      </c>
    </row>
    <row r="580" spans="1:19" ht="42" x14ac:dyDescent="0.15">
      <c r="A580" s="2">
        <f>HYPERLINK("https://open-school.uspishnemisto.com.ua/school/50588/", 50588)</f>
        <v>50588</v>
      </c>
      <c r="B580" s="3" t="s">
        <v>3256</v>
      </c>
      <c r="C580" s="3" t="s">
        <v>54</v>
      </c>
      <c r="D580" s="3" t="s">
        <v>60</v>
      </c>
      <c r="E580" s="4" t="s">
        <v>22</v>
      </c>
      <c r="F580" s="4" t="s">
        <v>3257</v>
      </c>
      <c r="G580" s="4" t="s">
        <v>3258</v>
      </c>
      <c r="H580" s="3" t="s">
        <v>25</v>
      </c>
      <c r="I580" s="3" t="s">
        <v>3259</v>
      </c>
      <c r="J580" s="3" t="s">
        <v>3260</v>
      </c>
      <c r="K580" s="3" t="s">
        <v>3261</v>
      </c>
      <c r="L580" s="3"/>
      <c r="M580" s="4"/>
      <c r="N580" s="3" t="s">
        <v>37</v>
      </c>
      <c r="O580" s="3" t="s">
        <v>52</v>
      </c>
      <c r="P580" s="5">
        <v>1</v>
      </c>
      <c r="Q580" s="5">
        <v>12</v>
      </c>
      <c r="R580" s="5">
        <v>1</v>
      </c>
      <c r="S580" s="5">
        <v>17</v>
      </c>
    </row>
    <row r="581" spans="1:19" ht="28" x14ac:dyDescent="0.15">
      <c r="A581" s="2">
        <f>HYPERLINK("https://open-school.uspishnemisto.com.ua/school/50589/", 50589)</f>
        <v>50589</v>
      </c>
      <c r="B581" s="3" t="s">
        <v>3262</v>
      </c>
      <c r="C581" s="3" t="s">
        <v>31</v>
      </c>
      <c r="D581" s="3" t="s">
        <v>32</v>
      </c>
      <c r="E581" s="4" t="s">
        <v>22</v>
      </c>
      <c r="F581" s="4" t="s">
        <v>3263</v>
      </c>
      <c r="G581" s="4" t="s">
        <v>3264</v>
      </c>
      <c r="H581" s="3" t="s">
        <v>25</v>
      </c>
      <c r="I581" s="3" t="s">
        <v>3265</v>
      </c>
      <c r="J581" s="3" t="s">
        <v>3266</v>
      </c>
      <c r="K581" s="3" t="s">
        <v>3267</v>
      </c>
      <c r="L581" s="3"/>
      <c r="M581" s="4"/>
      <c r="N581" s="3" t="s">
        <v>37</v>
      </c>
      <c r="O581" s="3" t="s">
        <v>70</v>
      </c>
      <c r="P581" s="5">
        <v>11</v>
      </c>
      <c r="Q581" s="5">
        <v>105</v>
      </c>
      <c r="R581" s="5">
        <v>11</v>
      </c>
      <c r="S581" s="5">
        <v>94</v>
      </c>
    </row>
    <row r="582" spans="1:19" ht="42" x14ac:dyDescent="0.15">
      <c r="A582" s="2">
        <f>HYPERLINK("https://open-school.uspishnemisto.com.ua/school/50590/", 50590)</f>
        <v>50590</v>
      </c>
      <c r="B582" s="3" t="s">
        <v>3268</v>
      </c>
      <c r="C582" s="3" t="s">
        <v>31</v>
      </c>
      <c r="D582" s="3" t="s">
        <v>175</v>
      </c>
      <c r="E582" s="4" t="s">
        <v>22</v>
      </c>
      <c r="F582" s="4" t="s">
        <v>3269</v>
      </c>
      <c r="G582" s="4" t="s">
        <v>3270</v>
      </c>
      <c r="H582" s="3" t="s">
        <v>25</v>
      </c>
      <c r="I582" s="3" t="s">
        <v>3271</v>
      </c>
      <c r="J582" s="3" t="s">
        <v>1348</v>
      </c>
      <c r="K582" s="3" t="s">
        <v>3272</v>
      </c>
      <c r="L582" s="3"/>
      <c r="M582" s="4"/>
      <c r="N582" s="3" t="s">
        <v>37</v>
      </c>
      <c r="O582" s="3" t="s">
        <v>52</v>
      </c>
      <c r="P582" s="5">
        <v>5</v>
      </c>
      <c r="Q582" s="5">
        <v>40</v>
      </c>
      <c r="R582" s="5">
        <v>6</v>
      </c>
      <c r="S582" s="5">
        <v>38</v>
      </c>
    </row>
    <row r="583" spans="1:19" ht="42" x14ac:dyDescent="0.15">
      <c r="A583" s="2">
        <f>HYPERLINK("https://open-school.uspishnemisto.com.ua/school/50591/", 50591)</f>
        <v>50591</v>
      </c>
      <c r="B583" s="3" t="s">
        <v>3273</v>
      </c>
      <c r="C583" s="3" t="s">
        <v>31</v>
      </c>
      <c r="D583" s="3" t="s">
        <v>175</v>
      </c>
      <c r="E583" s="4" t="s">
        <v>22</v>
      </c>
      <c r="F583" s="4" t="s">
        <v>3274</v>
      </c>
      <c r="G583" s="4" t="s">
        <v>3275</v>
      </c>
      <c r="H583" s="3" t="s">
        <v>25</v>
      </c>
      <c r="I583" s="3" t="s">
        <v>3276</v>
      </c>
      <c r="J583" s="3" t="s">
        <v>634</v>
      </c>
      <c r="K583" s="3" t="s">
        <v>3277</v>
      </c>
      <c r="L583" s="3"/>
      <c r="M583" s="4"/>
      <c r="N583" s="3" t="s">
        <v>37</v>
      </c>
      <c r="O583" s="3" t="s">
        <v>112</v>
      </c>
      <c r="P583" s="5">
        <v>6</v>
      </c>
      <c r="Q583" s="5">
        <v>40</v>
      </c>
      <c r="R583" s="5">
        <v>7</v>
      </c>
      <c r="S583" s="5">
        <v>43</v>
      </c>
    </row>
    <row r="584" spans="1:19" ht="42" x14ac:dyDescent="0.15">
      <c r="A584" s="2">
        <f>HYPERLINK("https://open-school.uspishnemisto.com.ua/school/50592/", 50592)</f>
        <v>50592</v>
      </c>
      <c r="B584" s="3" t="s">
        <v>3278</v>
      </c>
      <c r="C584" s="3" t="s">
        <v>31</v>
      </c>
      <c r="D584" s="3" t="s">
        <v>175</v>
      </c>
      <c r="E584" s="4" t="s">
        <v>22</v>
      </c>
      <c r="F584" s="4" t="s">
        <v>3279</v>
      </c>
      <c r="G584" s="4" t="s">
        <v>3280</v>
      </c>
      <c r="H584" s="3" t="s">
        <v>25</v>
      </c>
      <c r="I584" s="3" t="s">
        <v>3281</v>
      </c>
      <c r="J584" s="3" t="s">
        <v>3282</v>
      </c>
      <c r="K584" s="3" t="s">
        <v>3283</v>
      </c>
      <c r="L584" s="3"/>
      <c r="M584" s="4"/>
      <c r="N584" s="3" t="s">
        <v>37</v>
      </c>
      <c r="O584" s="3" t="s">
        <v>46</v>
      </c>
      <c r="P584" s="5">
        <v>6</v>
      </c>
      <c r="Q584" s="5">
        <v>47</v>
      </c>
      <c r="R584" s="5">
        <v>5</v>
      </c>
      <c r="S584" s="5">
        <v>43</v>
      </c>
    </row>
    <row r="585" spans="1:19" ht="28" x14ac:dyDescent="0.15">
      <c r="A585" s="2">
        <f>HYPERLINK("https://open-school.uspishnemisto.com.ua/school/50593/", 50593)</f>
        <v>50593</v>
      </c>
      <c r="B585" s="3" t="s">
        <v>3284</v>
      </c>
      <c r="C585" s="3" t="s">
        <v>31</v>
      </c>
      <c r="D585" s="3" t="s">
        <v>32</v>
      </c>
      <c r="E585" s="4" t="s">
        <v>22</v>
      </c>
      <c r="F585" s="4" t="s">
        <v>3285</v>
      </c>
      <c r="G585" s="4" t="s">
        <v>3286</v>
      </c>
      <c r="H585" s="3" t="s">
        <v>25</v>
      </c>
      <c r="I585" s="3" t="s">
        <v>3287</v>
      </c>
      <c r="J585" s="3" t="s">
        <v>2555</v>
      </c>
      <c r="K585" s="3" t="s">
        <v>3288</v>
      </c>
      <c r="L585" s="3"/>
      <c r="M585" s="4"/>
      <c r="N585" s="3" t="s">
        <v>37</v>
      </c>
      <c r="O585" s="3" t="s">
        <v>52</v>
      </c>
      <c r="P585" s="5">
        <v>8</v>
      </c>
      <c r="Q585" s="5">
        <v>26</v>
      </c>
      <c r="R585" s="5">
        <v>6</v>
      </c>
      <c r="S585" s="5">
        <v>40</v>
      </c>
    </row>
    <row r="586" spans="1:19" ht="42" x14ac:dyDescent="0.15">
      <c r="A586" s="2">
        <f>HYPERLINK("https://open-school.uspishnemisto.com.ua/school/50594/", 50594)</f>
        <v>50594</v>
      </c>
      <c r="B586" s="3" t="s">
        <v>3289</v>
      </c>
      <c r="C586" s="3" t="s">
        <v>31</v>
      </c>
      <c r="D586" s="3" t="s">
        <v>175</v>
      </c>
      <c r="E586" s="4" t="s">
        <v>22</v>
      </c>
      <c r="F586" s="4" t="s">
        <v>3290</v>
      </c>
      <c r="G586" s="4" t="s">
        <v>3291</v>
      </c>
      <c r="H586" s="3" t="s">
        <v>25</v>
      </c>
      <c r="I586" s="3" t="s">
        <v>3292</v>
      </c>
      <c r="J586" s="3" t="s">
        <v>3293</v>
      </c>
      <c r="K586" s="3" t="s">
        <v>3294</v>
      </c>
      <c r="L586" s="3"/>
      <c r="M586" s="4"/>
      <c r="N586" s="3" t="s">
        <v>37</v>
      </c>
      <c r="O586" s="3" t="s">
        <v>618</v>
      </c>
      <c r="P586" s="5">
        <v>5</v>
      </c>
      <c r="Q586" s="5">
        <v>43</v>
      </c>
      <c r="R586" s="5">
        <v>6</v>
      </c>
      <c r="S586" s="5">
        <v>48</v>
      </c>
    </row>
    <row r="587" spans="1:19" ht="42" x14ac:dyDescent="0.15">
      <c r="A587" s="2">
        <f>HYPERLINK("https://open-school.uspishnemisto.com.ua/school/50595/", 50595)</f>
        <v>50595</v>
      </c>
      <c r="B587" s="3" t="s">
        <v>3295</v>
      </c>
      <c r="C587" s="3" t="s">
        <v>31</v>
      </c>
      <c r="D587" s="3" t="s">
        <v>175</v>
      </c>
      <c r="E587" s="4" t="s">
        <v>22</v>
      </c>
      <c r="F587" s="4" t="s">
        <v>3296</v>
      </c>
      <c r="G587" s="4" t="s">
        <v>3297</v>
      </c>
      <c r="H587" s="3" t="s">
        <v>25</v>
      </c>
      <c r="I587" s="3" t="s">
        <v>3298</v>
      </c>
      <c r="J587" s="3" t="s">
        <v>1360</v>
      </c>
      <c r="K587" s="3" t="s">
        <v>3299</v>
      </c>
      <c r="L587" s="3"/>
      <c r="M587" s="4"/>
      <c r="N587" s="3" t="s">
        <v>37</v>
      </c>
      <c r="O587" s="3" t="s">
        <v>52</v>
      </c>
      <c r="P587" s="5">
        <v>5</v>
      </c>
      <c r="Q587" s="5">
        <v>44</v>
      </c>
      <c r="R587" s="5">
        <v>6</v>
      </c>
      <c r="S587" s="5">
        <v>46</v>
      </c>
    </row>
    <row r="588" spans="1:19" ht="42" x14ac:dyDescent="0.15">
      <c r="A588" s="2">
        <f>HYPERLINK("https://open-school.uspishnemisto.com.ua/school/50596/", 50596)</f>
        <v>50596</v>
      </c>
      <c r="B588" s="3" t="s">
        <v>3300</v>
      </c>
      <c r="C588" s="3" t="s">
        <v>31</v>
      </c>
      <c r="D588" s="3" t="s">
        <v>175</v>
      </c>
      <c r="E588" s="4" t="s">
        <v>22</v>
      </c>
      <c r="F588" s="4" t="s">
        <v>3301</v>
      </c>
      <c r="G588" s="4" t="s">
        <v>3302</v>
      </c>
      <c r="H588" s="3" t="s">
        <v>25</v>
      </c>
      <c r="I588" s="3" t="s">
        <v>3303</v>
      </c>
      <c r="J588" s="3" t="s">
        <v>3304</v>
      </c>
      <c r="K588" s="3"/>
      <c r="L588" s="3"/>
      <c r="M588" s="4"/>
      <c r="N588" s="3" t="s">
        <v>37</v>
      </c>
      <c r="O588" s="3" t="s">
        <v>38</v>
      </c>
      <c r="P588" s="5">
        <v>5</v>
      </c>
      <c r="Q588" s="5">
        <v>43</v>
      </c>
      <c r="R588" s="5">
        <v>6</v>
      </c>
      <c r="S588" s="5">
        <v>43</v>
      </c>
    </row>
    <row r="589" spans="1:19" ht="42" x14ac:dyDescent="0.15">
      <c r="A589" s="2">
        <f>HYPERLINK("https://open-school.uspishnemisto.com.ua/school/50597/", 50597)</f>
        <v>50597</v>
      </c>
      <c r="B589" s="3" t="s">
        <v>3305</v>
      </c>
      <c r="C589" s="3" t="s">
        <v>31</v>
      </c>
      <c r="D589" s="3" t="s">
        <v>32</v>
      </c>
      <c r="E589" s="4" t="s">
        <v>22</v>
      </c>
      <c r="F589" s="4" t="s">
        <v>3306</v>
      </c>
      <c r="G589" s="4" t="s">
        <v>3307</v>
      </c>
      <c r="H589" s="3" t="s">
        <v>25</v>
      </c>
      <c r="I589" s="3" t="s">
        <v>2756</v>
      </c>
      <c r="J589" s="3" t="s">
        <v>2719</v>
      </c>
      <c r="K589" s="3" t="s">
        <v>3308</v>
      </c>
      <c r="L589" s="3"/>
      <c r="M589" s="4"/>
      <c r="N589" s="3" t="s">
        <v>37</v>
      </c>
      <c r="O589" s="3" t="s">
        <v>38</v>
      </c>
      <c r="P589" s="5">
        <v>11</v>
      </c>
      <c r="Q589" s="5">
        <v>115</v>
      </c>
      <c r="R589" s="5">
        <v>11</v>
      </c>
      <c r="S589" s="5">
        <v>104</v>
      </c>
    </row>
    <row r="590" spans="1:19" ht="42" x14ac:dyDescent="0.15">
      <c r="A590" s="2">
        <f>HYPERLINK("https://open-school.uspishnemisto.com.ua/school/50598/", 50598)</f>
        <v>50598</v>
      </c>
      <c r="B590" s="3" t="s">
        <v>3309</v>
      </c>
      <c r="C590" s="3" t="s">
        <v>31</v>
      </c>
      <c r="D590" s="3" t="s">
        <v>32</v>
      </c>
      <c r="E590" s="4" t="s">
        <v>22</v>
      </c>
      <c r="F590" s="4" t="s">
        <v>3310</v>
      </c>
      <c r="G590" s="4" t="s">
        <v>3311</v>
      </c>
      <c r="H590" s="3" t="s">
        <v>25</v>
      </c>
      <c r="I590" s="3" t="s">
        <v>3312</v>
      </c>
      <c r="J590" s="3" t="s">
        <v>3313</v>
      </c>
      <c r="K590" s="3" t="s">
        <v>3314</v>
      </c>
      <c r="L590" s="3"/>
      <c r="M590" s="4"/>
      <c r="N590" s="3" t="s">
        <v>37</v>
      </c>
      <c r="O590" s="3" t="s">
        <v>70</v>
      </c>
      <c r="P590" s="5">
        <v>10</v>
      </c>
      <c r="Q590" s="5">
        <v>92</v>
      </c>
      <c r="R590" s="5">
        <v>10</v>
      </c>
      <c r="S590" s="5">
        <v>90</v>
      </c>
    </row>
    <row r="591" spans="1:19" ht="28" x14ac:dyDescent="0.15">
      <c r="A591" s="2">
        <f>HYPERLINK("https://open-school.uspishnemisto.com.ua/school/50599/", 50599)</f>
        <v>50599</v>
      </c>
      <c r="B591" s="3" t="s">
        <v>3315</v>
      </c>
      <c r="C591" s="3" t="s">
        <v>31</v>
      </c>
      <c r="D591" s="3" t="s">
        <v>32</v>
      </c>
      <c r="E591" s="4" t="s">
        <v>22</v>
      </c>
      <c r="F591" s="4" t="s">
        <v>3316</v>
      </c>
      <c r="G591" s="4" t="s">
        <v>3317</v>
      </c>
      <c r="H591" s="3" t="s">
        <v>25</v>
      </c>
      <c r="I591" s="3" t="s">
        <v>3318</v>
      </c>
      <c r="J591" s="3" t="s">
        <v>3319</v>
      </c>
      <c r="K591" s="3" t="s">
        <v>3320</v>
      </c>
      <c r="L591" s="3" t="s">
        <v>3321</v>
      </c>
      <c r="M591" s="4"/>
      <c r="N591" s="3" t="s">
        <v>37</v>
      </c>
      <c r="O591" s="3" t="s">
        <v>70</v>
      </c>
      <c r="P591" s="5">
        <v>22</v>
      </c>
      <c r="Q591" s="5">
        <v>462</v>
      </c>
      <c r="R591" s="5">
        <v>21</v>
      </c>
      <c r="S591" s="5">
        <v>442</v>
      </c>
    </row>
    <row r="592" spans="1:19" ht="28" x14ac:dyDescent="0.15">
      <c r="A592" s="2">
        <f>HYPERLINK("https://open-school.uspishnemisto.com.ua/school/50600/", 50600)</f>
        <v>50600</v>
      </c>
      <c r="B592" s="3" t="s">
        <v>3322</v>
      </c>
      <c r="C592" s="3" t="s">
        <v>31</v>
      </c>
      <c r="D592" s="3" t="s">
        <v>32</v>
      </c>
      <c r="E592" s="4" t="s">
        <v>22</v>
      </c>
      <c r="F592" s="4" t="s">
        <v>3316</v>
      </c>
      <c r="G592" s="4" t="s">
        <v>3317</v>
      </c>
      <c r="H592" s="3" t="s">
        <v>25</v>
      </c>
      <c r="I592" s="3" t="s">
        <v>3318</v>
      </c>
      <c r="J592" s="3" t="s">
        <v>3323</v>
      </c>
      <c r="K592" s="3" t="s">
        <v>3324</v>
      </c>
      <c r="L592" s="3" t="s">
        <v>3325</v>
      </c>
      <c r="M592" s="4"/>
      <c r="N592" s="3" t="s">
        <v>37</v>
      </c>
      <c r="O592" s="3" t="s">
        <v>266</v>
      </c>
      <c r="P592" s="5">
        <v>16</v>
      </c>
      <c r="Q592" s="5">
        <v>317</v>
      </c>
      <c r="R592" s="5">
        <v>18</v>
      </c>
      <c r="S592" s="5">
        <v>333</v>
      </c>
    </row>
    <row r="593" spans="1:19" ht="28" x14ac:dyDescent="0.15">
      <c r="A593" s="2">
        <f>HYPERLINK("https://open-school.uspishnemisto.com.ua/school/50601/", 50601)</f>
        <v>50601</v>
      </c>
      <c r="B593" s="3" t="s">
        <v>3326</v>
      </c>
      <c r="C593" s="3" t="s">
        <v>31</v>
      </c>
      <c r="D593" s="3" t="s">
        <v>175</v>
      </c>
      <c r="E593" s="4" t="s">
        <v>22</v>
      </c>
      <c r="F593" s="4" t="s">
        <v>3327</v>
      </c>
      <c r="G593" s="4" t="s">
        <v>3328</v>
      </c>
      <c r="H593" s="3" t="s">
        <v>25</v>
      </c>
      <c r="I593" s="3" t="s">
        <v>3329</v>
      </c>
      <c r="J593" s="3" t="s">
        <v>3330</v>
      </c>
      <c r="K593" s="3" t="s">
        <v>3331</v>
      </c>
      <c r="L593" s="3"/>
      <c r="M593" s="4"/>
      <c r="N593" s="3" t="s">
        <v>37</v>
      </c>
      <c r="O593" s="3" t="s">
        <v>52</v>
      </c>
      <c r="P593" s="5">
        <v>9</v>
      </c>
      <c r="Q593" s="5">
        <v>64</v>
      </c>
      <c r="R593" s="5">
        <v>9</v>
      </c>
      <c r="S593" s="5">
        <v>66</v>
      </c>
    </row>
    <row r="594" spans="1:19" ht="42" x14ac:dyDescent="0.15">
      <c r="A594" s="2">
        <f>HYPERLINK("https://open-school.uspishnemisto.com.ua/school/50602/", 50602)</f>
        <v>50602</v>
      </c>
      <c r="B594" s="3" t="s">
        <v>3332</v>
      </c>
      <c r="C594" s="3" t="s">
        <v>54</v>
      </c>
      <c r="D594" s="3" t="s">
        <v>60</v>
      </c>
      <c r="E594" s="4" t="s">
        <v>22</v>
      </c>
      <c r="F594" s="4" t="s">
        <v>3333</v>
      </c>
      <c r="G594" s="4" t="s">
        <v>3334</v>
      </c>
      <c r="H594" s="3" t="s">
        <v>25</v>
      </c>
      <c r="I594" s="3" t="s">
        <v>3335</v>
      </c>
      <c r="J594" s="3" t="s">
        <v>1636</v>
      </c>
      <c r="K594" s="3" t="s">
        <v>3336</v>
      </c>
      <c r="L594" s="3"/>
      <c r="M594" s="4"/>
      <c r="N594" s="3" t="s">
        <v>37</v>
      </c>
      <c r="O594" s="3" t="s">
        <v>52</v>
      </c>
      <c r="P594" s="5">
        <v>2</v>
      </c>
      <c r="Q594" s="5">
        <v>13</v>
      </c>
      <c r="R594" s="5">
        <v>1</v>
      </c>
      <c r="S594" s="5">
        <v>16</v>
      </c>
    </row>
    <row r="595" spans="1:19" ht="28" x14ac:dyDescent="0.15">
      <c r="A595" s="2">
        <f>HYPERLINK("https://open-school.uspishnemisto.com.ua/school/50603/", 50603)</f>
        <v>50603</v>
      </c>
      <c r="B595" s="3" t="s">
        <v>3337</v>
      </c>
      <c r="C595" s="3" t="s">
        <v>31</v>
      </c>
      <c r="D595" s="3" t="s">
        <v>32</v>
      </c>
      <c r="E595" s="4" t="s">
        <v>22</v>
      </c>
      <c r="F595" s="4" t="s">
        <v>3338</v>
      </c>
      <c r="G595" s="4" t="s">
        <v>3339</v>
      </c>
      <c r="H595" s="3" t="s">
        <v>25</v>
      </c>
      <c r="I595" s="3" t="s">
        <v>3340</v>
      </c>
      <c r="J595" s="3" t="s">
        <v>718</v>
      </c>
      <c r="K595" s="3" t="s">
        <v>3341</v>
      </c>
      <c r="L595" s="3" t="s">
        <v>3342</v>
      </c>
      <c r="M595" s="4"/>
      <c r="N595" s="3" t="s">
        <v>37</v>
      </c>
      <c r="O595" s="3" t="s">
        <v>70</v>
      </c>
      <c r="P595" s="5">
        <v>10</v>
      </c>
      <c r="Q595" s="5">
        <v>80</v>
      </c>
      <c r="R595" s="5">
        <v>11</v>
      </c>
      <c r="S595" s="5">
        <v>84</v>
      </c>
    </row>
    <row r="596" spans="1:19" ht="28" x14ac:dyDescent="0.15">
      <c r="A596" s="2">
        <f>HYPERLINK("https://open-school.uspishnemisto.com.ua/school/50604/", 50604)</f>
        <v>50604</v>
      </c>
      <c r="B596" s="3" t="s">
        <v>3343</v>
      </c>
      <c r="C596" s="3" t="s">
        <v>31</v>
      </c>
      <c r="D596" s="3" t="s">
        <v>32</v>
      </c>
      <c r="E596" s="4" t="s">
        <v>22</v>
      </c>
      <c r="F596" s="4" t="s">
        <v>3344</v>
      </c>
      <c r="G596" s="4" t="s">
        <v>3345</v>
      </c>
      <c r="H596" s="3" t="s">
        <v>25</v>
      </c>
      <c r="I596" s="3" t="s">
        <v>3346</v>
      </c>
      <c r="J596" s="3" t="s">
        <v>2978</v>
      </c>
      <c r="K596" s="3" t="s">
        <v>3347</v>
      </c>
      <c r="L596" s="3"/>
      <c r="M596" s="4"/>
      <c r="N596" s="3" t="s">
        <v>37</v>
      </c>
      <c r="O596" s="3" t="s">
        <v>52</v>
      </c>
      <c r="P596" s="5">
        <v>5</v>
      </c>
      <c r="Q596" s="5">
        <v>46</v>
      </c>
      <c r="R596" s="5">
        <v>6</v>
      </c>
      <c r="S596" s="5">
        <v>49</v>
      </c>
    </row>
    <row r="597" spans="1:19" ht="28" x14ac:dyDescent="0.15">
      <c r="A597" s="2">
        <f>HYPERLINK("https://open-school.uspishnemisto.com.ua/school/50605/", 50605)</f>
        <v>50605</v>
      </c>
      <c r="B597" s="3" t="s">
        <v>3348</v>
      </c>
      <c r="C597" s="3" t="s">
        <v>31</v>
      </c>
      <c r="D597" s="3" t="s">
        <v>32</v>
      </c>
      <c r="E597" s="4" t="s">
        <v>22</v>
      </c>
      <c r="F597" s="4" t="s">
        <v>3349</v>
      </c>
      <c r="G597" s="4" t="s">
        <v>3350</v>
      </c>
      <c r="H597" s="3" t="s">
        <v>25</v>
      </c>
      <c r="I597" s="3" t="s">
        <v>3351</v>
      </c>
      <c r="J597" s="3" t="s">
        <v>3352</v>
      </c>
      <c r="K597" s="3" t="s">
        <v>3353</v>
      </c>
      <c r="L597" s="3"/>
      <c r="M597" s="4"/>
      <c r="N597" s="3" t="s">
        <v>37</v>
      </c>
      <c r="O597" s="3" t="s">
        <v>52</v>
      </c>
      <c r="P597" s="5">
        <v>3</v>
      </c>
      <c r="Q597" s="5">
        <v>30</v>
      </c>
      <c r="R597" s="5">
        <v>4</v>
      </c>
      <c r="S597" s="5">
        <v>35</v>
      </c>
    </row>
    <row r="598" spans="1:19" ht="28" x14ac:dyDescent="0.15">
      <c r="A598" s="2">
        <f>HYPERLINK("https://open-school.uspishnemisto.com.ua/school/50606/", 50606)</f>
        <v>50606</v>
      </c>
      <c r="B598" s="3" t="s">
        <v>3354</v>
      </c>
      <c r="C598" s="3" t="s">
        <v>31</v>
      </c>
      <c r="D598" s="3" t="s">
        <v>175</v>
      </c>
      <c r="E598" s="4" t="s">
        <v>22</v>
      </c>
      <c r="F598" s="4" t="s">
        <v>3355</v>
      </c>
      <c r="G598" s="4" t="s">
        <v>3356</v>
      </c>
      <c r="H598" s="3" t="s">
        <v>25</v>
      </c>
      <c r="I598" s="3" t="s">
        <v>3357</v>
      </c>
      <c r="J598" s="3" t="s">
        <v>297</v>
      </c>
      <c r="K598" s="3" t="s">
        <v>3358</v>
      </c>
      <c r="L598" s="3"/>
      <c r="M598" s="4"/>
      <c r="N598" s="3" t="s">
        <v>37</v>
      </c>
      <c r="O598" s="3" t="s">
        <v>52</v>
      </c>
      <c r="P598" s="5">
        <v>6</v>
      </c>
      <c r="Q598" s="5">
        <v>62</v>
      </c>
      <c r="R598" s="5">
        <v>9</v>
      </c>
      <c r="S598" s="5">
        <v>64</v>
      </c>
    </row>
    <row r="599" spans="1:19" ht="28" x14ac:dyDescent="0.15">
      <c r="A599" s="2">
        <f>HYPERLINK("https://open-school.uspishnemisto.com.ua/school/50607/", 50607)</f>
        <v>50607</v>
      </c>
      <c r="B599" s="3" t="s">
        <v>3359</v>
      </c>
      <c r="C599" s="3" t="s">
        <v>31</v>
      </c>
      <c r="D599" s="3" t="s">
        <v>32</v>
      </c>
      <c r="E599" s="4" t="s">
        <v>22</v>
      </c>
      <c r="F599" s="4" t="s">
        <v>3360</v>
      </c>
      <c r="G599" s="4" t="s">
        <v>3361</v>
      </c>
      <c r="H599" s="3" t="s">
        <v>25</v>
      </c>
      <c r="I599" s="3" t="s">
        <v>3362</v>
      </c>
      <c r="J599" s="3" t="s">
        <v>3363</v>
      </c>
      <c r="K599" s="3" t="s">
        <v>3364</v>
      </c>
      <c r="L599" s="3" t="s">
        <v>3365</v>
      </c>
      <c r="M599" s="4"/>
      <c r="N599" s="3" t="s">
        <v>37</v>
      </c>
      <c r="O599" s="3" t="s">
        <v>52</v>
      </c>
      <c r="P599" s="5">
        <v>10</v>
      </c>
      <c r="Q599" s="5">
        <v>75</v>
      </c>
      <c r="R599" s="5">
        <v>11</v>
      </c>
      <c r="S599" s="5">
        <v>83</v>
      </c>
    </row>
    <row r="600" spans="1:19" ht="28" x14ac:dyDescent="0.15">
      <c r="A600" s="2">
        <f>HYPERLINK("https://open-school.uspishnemisto.com.ua/school/50608/", 50608)</f>
        <v>50608</v>
      </c>
      <c r="B600" s="3" t="s">
        <v>3366</v>
      </c>
      <c r="C600" s="3" t="s">
        <v>31</v>
      </c>
      <c r="D600" s="3" t="s">
        <v>175</v>
      </c>
      <c r="E600" s="4" t="s">
        <v>22</v>
      </c>
      <c r="F600" s="4" t="s">
        <v>3367</v>
      </c>
      <c r="G600" s="4" t="s">
        <v>3368</v>
      </c>
      <c r="H600" s="3" t="s">
        <v>25</v>
      </c>
      <c r="I600" s="3" t="s">
        <v>3369</v>
      </c>
      <c r="J600" s="3" t="s">
        <v>3370</v>
      </c>
      <c r="K600" s="3" t="s">
        <v>3371</v>
      </c>
      <c r="L600" s="3"/>
      <c r="M600" s="4"/>
      <c r="N600" s="3" t="s">
        <v>37</v>
      </c>
      <c r="O600" s="3" t="s">
        <v>52</v>
      </c>
      <c r="P600" s="5">
        <v>7</v>
      </c>
      <c r="Q600" s="5">
        <v>48</v>
      </c>
      <c r="R600" s="5">
        <v>8</v>
      </c>
      <c r="S600" s="5">
        <v>53</v>
      </c>
    </row>
    <row r="601" spans="1:19" ht="28" x14ac:dyDescent="0.15">
      <c r="A601" s="2">
        <f>HYPERLINK("https://open-school.uspishnemisto.com.ua/school/50609/", 50609)</f>
        <v>50609</v>
      </c>
      <c r="B601" s="3" t="s">
        <v>3372</v>
      </c>
      <c r="C601" s="3" t="s">
        <v>31</v>
      </c>
      <c r="D601" s="3" t="s">
        <v>175</v>
      </c>
      <c r="E601" s="4" t="s">
        <v>22</v>
      </c>
      <c r="F601" s="4" t="s">
        <v>3373</v>
      </c>
      <c r="G601" s="4" t="s">
        <v>3374</v>
      </c>
      <c r="H601" s="3" t="s">
        <v>25</v>
      </c>
      <c r="I601" s="3" t="s">
        <v>3375</v>
      </c>
      <c r="J601" s="3" t="s">
        <v>3376</v>
      </c>
      <c r="K601" s="3" t="s">
        <v>3377</v>
      </c>
      <c r="L601" s="3"/>
      <c r="M601" s="4"/>
      <c r="N601" s="3" t="s">
        <v>37</v>
      </c>
      <c r="O601" s="3" t="s">
        <v>52</v>
      </c>
      <c r="P601" s="5">
        <v>8</v>
      </c>
      <c r="Q601" s="5">
        <v>66</v>
      </c>
      <c r="R601" s="5">
        <v>9</v>
      </c>
      <c r="S601" s="5">
        <v>73</v>
      </c>
    </row>
    <row r="602" spans="1:19" ht="28" x14ac:dyDescent="0.15">
      <c r="A602" s="2">
        <f>HYPERLINK("https://open-school.uspishnemisto.com.ua/school/50610/", 50610)</f>
        <v>50610</v>
      </c>
      <c r="B602" s="3" t="s">
        <v>3378</v>
      </c>
      <c r="C602" s="3" t="s">
        <v>31</v>
      </c>
      <c r="D602" s="3" t="s">
        <v>175</v>
      </c>
      <c r="E602" s="4" t="s">
        <v>22</v>
      </c>
      <c r="F602" s="4" t="s">
        <v>3379</v>
      </c>
      <c r="G602" s="4" t="s">
        <v>3380</v>
      </c>
      <c r="H602" s="3" t="s">
        <v>25</v>
      </c>
      <c r="I602" s="3" t="s">
        <v>3381</v>
      </c>
      <c r="J602" s="3" t="s">
        <v>3382</v>
      </c>
      <c r="K602" s="3" t="s">
        <v>3383</v>
      </c>
      <c r="L602" s="3"/>
      <c r="M602" s="4"/>
      <c r="N602" s="3" t="s">
        <v>37</v>
      </c>
      <c r="O602" s="3" t="s">
        <v>52</v>
      </c>
      <c r="P602" s="5">
        <v>8</v>
      </c>
      <c r="Q602" s="5">
        <v>62</v>
      </c>
      <c r="R602" s="5">
        <v>8</v>
      </c>
      <c r="S602" s="5">
        <v>61</v>
      </c>
    </row>
    <row r="603" spans="1:19" ht="28" x14ac:dyDescent="0.15">
      <c r="A603" s="2">
        <f>HYPERLINK("https://open-school.uspishnemisto.com.ua/school/50611/", 50611)</f>
        <v>50611</v>
      </c>
      <c r="B603" s="3" t="s">
        <v>3384</v>
      </c>
      <c r="C603" s="3" t="s">
        <v>31</v>
      </c>
      <c r="D603" s="3" t="s">
        <v>175</v>
      </c>
      <c r="E603" s="4" t="s">
        <v>22</v>
      </c>
      <c r="F603" s="4" t="s">
        <v>3385</v>
      </c>
      <c r="G603" s="4" t="s">
        <v>3386</v>
      </c>
      <c r="H603" s="3" t="s">
        <v>25</v>
      </c>
      <c r="I603" s="3" t="s">
        <v>3387</v>
      </c>
      <c r="J603" s="3" t="s">
        <v>1078</v>
      </c>
      <c r="K603" s="3" t="s">
        <v>3388</v>
      </c>
      <c r="L603" s="3"/>
      <c r="M603" s="4"/>
      <c r="N603" s="3" t="s">
        <v>37</v>
      </c>
      <c r="O603" s="3" t="s">
        <v>46</v>
      </c>
      <c r="P603" s="5">
        <v>7</v>
      </c>
      <c r="Q603" s="5">
        <v>47</v>
      </c>
      <c r="R603" s="5">
        <v>6</v>
      </c>
      <c r="S603" s="5">
        <v>45</v>
      </c>
    </row>
    <row r="604" spans="1:19" ht="28" x14ac:dyDescent="0.15">
      <c r="A604" s="2">
        <f>HYPERLINK("https://open-school.uspishnemisto.com.ua/school/50612/", 50612)</f>
        <v>50612</v>
      </c>
      <c r="B604" s="3" t="s">
        <v>3389</v>
      </c>
      <c r="C604" s="3" t="s">
        <v>31</v>
      </c>
      <c r="D604" s="3" t="s">
        <v>32</v>
      </c>
      <c r="E604" s="4" t="s">
        <v>22</v>
      </c>
      <c r="F604" s="4" t="s">
        <v>3390</v>
      </c>
      <c r="G604" s="4" t="s">
        <v>3391</v>
      </c>
      <c r="H604" s="3" t="s">
        <v>25</v>
      </c>
      <c r="I604" s="3" t="s">
        <v>3392</v>
      </c>
      <c r="J604" s="3" t="s">
        <v>3393</v>
      </c>
      <c r="K604" s="3" t="s">
        <v>3394</v>
      </c>
      <c r="L604" s="3"/>
      <c r="M604" s="4"/>
      <c r="N604" s="3" t="s">
        <v>37</v>
      </c>
      <c r="O604" s="3" t="s">
        <v>52</v>
      </c>
      <c r="P604" s="5">
        <v>5</v>
      </c>
      <c r="Q604" s="5">
        <v>48</v>
      </c>
      <c r="R604" s="5">
        <v>4</v>
      </c>
      <c r="S604" s="5">
        <v>42</v>
      </c>
    </row>
    <row r="605" spans="1:19" ht="42" x14ac:dyDescent="0.15">
      <c r="A605" s="2">
        <f>HYPERLINK("https://open-school.uspishnemisto.com.ua/school/50878/", 50878)</f>
        <v>50878</v>
      </c>
      <c r="B605" s="3" t="s">
        <v>3395</v>
      </c>
      <c r="C605" s="3" t="s">
        <v>54</v>
      </c>
      <c r="D605" s="3" t="s">
        <v>60</v>
      </c>
      <c r="E605" s="4" t="s">
        <v>22</v>
      </c>
      <c r="F605" s="4" t="s">
        <v>3396</v>
      </c>
      <c r="G605" s="4" t="s">
        <v>3397</v>
      </c>
      <c r="H605" s="3" t="s">
        <v>25</v>
      </c>
      <c r="I605" s="3" t="s">
        <v>3398</v>
      </c>
      <c r="J605" s="3" t="s">
        <v>3399</v>
      </c>
      <c r="K605" s="3"/>
      <c r="L605" s="3"/>
      <c r="M605" s="4"/>
      <c r="N605" s="3" t="s">
        <v>37</v>
      </c>
      <c r="O605" s="3"/>
      <c r="P605" s="5">
        <v>1</v>
      </c>
      <c r="Q605" s="5">
        <v>4</v>
      </c>
      <c r="R605" s="5"/>
      <c r="S605" s="5"/>
    </row>
    <row r="606" spans="1:19" ht="28" x14ac:dyDescent="0.15">
      <c r="A606" s="2">
        <f>HYPERLINK("https://open-school.uspishnemisto.com.ua/school/50613/", 50613)</f>
        <v>50613</v>
      </c>
      <c r="B606" s="3" t="s">
        <v>3400</v>
      </c>
      <c r="C606" s="3" t="s">
        <v>31</v>
      </c>
      <c r="D606" s="3" t="s">
        <v>175</v>
      </c>
      <c r="E606" s="4" t="s">
        <v>22</v>
      </c>
      <c r="F606" s="4" t="s">
        <v>3401</v>
      </c>
      <c r="G606" s="4" t="s">
        <v>3402</v>
      </c>
      <c r="H606" s="3" t="s">
        <v>25</v>
      </c>
      <c r="I606" s="3" t="s">
        <v>3403</v>
      </c>
      <c r="J606" s="3" t="s">
        <v>3404</v>
      </c>
      <c r="K606" s="3" t="s">
        <v>3405</v>
      </c>
      <c r="L606" s="3"/>
      <c r="M606" s="4"/>
      <c r="N606" s="3" t="s">
        <v>37</v>
      </c>
      <c r="O606" s="3" t="s">
        <v>52</v>
      </c>
      <c r="P606" s="5">
        <v>6</v>
      </c>
      <c r="Q606" s="5">
        <v>46</v>
      </c>
      <c r="R606" s="5">
        <v>7</v>
      </c>
      <c r="S606" s="5">
        <v>44</v>
      </c>
    </row>
    <row r="607" spans="1:19" ht="28" x14ac:dyDescent="0.15">
      <c r="A607" s="2">
        <f>HYPERLINK("https://open-school.uspishnemisto.com.ua/school/50614/", 50614)</f>
        <v>50614</v>
      </c>
      <c r="B607" s="3" t="s">
        <v>3406</v>
      </c>
      <c r="C607" s="3" t="s">
        <v>31</v>
      </c>
      <c r="D607" s="3" t="s">
        <v>32</v>
      </c>
      <c r="E607" s="4" t="s">
        <v>22</v>
      </c>
      <c r="F607" s="4" t="s">
        <v>3407</v>
      </c>
      <c r="G607" s="4" t="s">
        <v>3408</v>
      </c>
      <c r="H607" s="3" t="s">
        <v>25</v>
      </c>
      <c r="I607" s="3" t="s">
        <v>3409</v>
      </c>
      <c r="J607" s="3" t="s">
        <v>3410</v>
      </c>
      <c r="K607" s="3" t="s">
        <v>3411</v>
      </c>
      <c r="L607" s="3"/>
      <c r="M607" s="4"/>
      <c r="N607" s="3" t="s">
        <v>37</v>
      </c>
      <c r="O607" s="3" t="s">
        <v>46</v>
      </c>
      <c r="P607" s="5">
        <v>11</v>
      </c>
      <c r="Q607" s="5">
        <v>80</v>
      </c>
      <c r="R607" s="5">
        <v>11</v>
      </c>
      <c r="S607" s="5">
        <v>75</v>
      </c>
    </row>
    <row r="608" spans="1:19" ht="28" x14ac:dyDescent="0.15">
      <c r="A608" s="2">
        <f>HYPERLINK("https://open-school.uspishnemisto.com.ua/school/50615/", 50615)</f>
        <v>50615</v>
      </c>
      <c r="B608" s="3" t="s">
        <v>3412</v>
      </c>
      <c r="C608" s="3" t="s">
        <v>31</v>
      </c>
      <c r="D608" s="3" t="s">
        <v>175</v>
      </c>
      <c r="E608" s="4" t="s">
        <v>22</v>
      </c>
      <c r="F608" s="4" t="s">
        <v>3413</v>
      </c>
      <c r="G608" s="4" t="s">
        <v>3414</v>
      </c>
      <c r="H608" s="3" t="s">
        <v>25</v>
      </c>
      <c r="I608" s="3" t="s">
        <v>2219</v>
      </c>
      <c r="J608" s="3" t="s">
        <v>3415</v>
      </c>
      <c r="K608" s="3" t="s">
        <v>3416</v>
      </c>
      <c r="L608" s="3"/>
      <c r="M608" s="4"/>
      <c r="N608" s="3" t="s">
        <v>37</v>
      </c>
      <c r="O608" s="3" t="s">
        <v>52</v>
      </c>
      <c r="P608" s="5">
        <v>8</v>
      </c>
      <c r="Q608" s="5">
        <v>69</v>
      </c>
      <c r="R608" s="5">
        <v>9</v>
      </c>
      <c r="S608" s="5">
        <v>76</v>
      </c>
    </row>
    <row r="609" spans="1:19" ht="28" x14ac:dyDescent="0.15">
      <c r="A609" s="2">
        <f>HYPERLINK("https://open-school.uspishnemisto.com.ua/school/50616/", 50616)</f>
        <v>50616</v>
      </c>
      <c r="B609" s="3" t="s">
        <v>3417</v>
      </c>
      <c r="C609" s="3" t="s">
        <v>31</v>
      </c>
      <c r="D609" s="3" t="s">
        <v>175</v>
      </c>
      <c r="E609" s="4" t="s">
        <v>22</v>
      </c>
      <c r="F609" s="4" t="s">
        <v>3418</v>
      </c>
      <c r="G609" s="4" t="s">
        <v>3419</v>
      </c>
      <c r="H609" s="3" t="s">
        <v>25</v>
      </c>
      <c r="I609" s="3" t="s">
        <v>3420</v>
      </c>
      <c r="J609" s="3" t="s">
        <v>3421</v>
      </c>
      <c r="K609" s="3" t="s">
        <v>3422</v>
      </c>
      <c r="L609" s="3"/>
      <c r="M609" s="4"/>
      <c r="N609" s="3" t="s">
        <v>37</v>
      </c>
      <c r="O609" s="3" t="s">
        <v>52</v>
      </c>
      <c r="P609" s="5">
        <v>9</v>
      </c>
      <c r="Q609" s="5">
        <v>78</v>
      </c>
      <c r="R609" s="5">
        <v>9</v>
      </c>
      <c r="S609" s="5">
        <v>79</v>
      </c>
    </row>
    <row r="610" spans="1:19" ht="28" x14ac:dyDescent="0.15">
      <c r="A610" s="2">
        <f>HYPERLINK("https://open-school.uspishnemisto.com.ua/school/50617/", 50617)</f>
        <v>50617</v>
      </c>
      <c r="B610" s="3" t="s">
        <v>3423</v>
      </c>
      <c r="C610" s="3" t="s">
        <v>31</v>
      </c>
      <c r="D610" s="3" t="s">
        <v>32</v>
      </c>
      <c r="E610" s="4" t="s">
        <v>22</v>
      </c>
      <c r="F610" s="4" t="s">
        <v>3418</v>
      </c>
      <c r="G610" s="4" t="s">
        <v>3419</v>
      </c>
      <c r="H610" s="3" t="s">
        <v>25</v>
      </c>
      <c r="I610" s="3" t="s">
        <v>3420</v>
      </c>
      <c r="J610" s="3" t="s">
        <v>3424</v>
      </c>
      <c r="K610" s="3"/>
      <c r="L610" s="3"/>
      <c r="M610" s="4"/>
      <c r="N610" s="3" t="s">
        <v>37</v>
      </c>
      <c r="O610" s="3" t="s">
        <v>38</v>
      </c>
      <c r="P610" s="5">
        <v>11</v>
      </c>
      <c r="Q610" s="5">
        <v>202</v>
      </c>
      <c r="R610" s="5">
        <v>11</v>
      </c>
      <c r="S610" s="5">
        <v>212</v>
      </c>
    </row>
    <row r="611" spans="1:19" ht="28" x14ac:dyDescent="0.15">
      <c r="A611" s="2">
        <f>HYPERLINK("https://open-school.uspishnemisto.com.ua/school/50618/", 50618)</f>
        <v>50618</v>
      </c>
      <c r="B611" s="3" t="s">
        <v>3425</v>
      </c>
      <c r="C611" s="3" t="s">
        <v>31</v>
      </c>
      <c r="D611" s="3" t="s">
        <v>32</v>
      </c>
      <c r="E611" s="4" t="s">
        <v>22</v>
      </c>
      <c r="F611" s="4" t="s">
        <v>3426</v>
      </c>
      <c r="G611" s="4" t="s">
        <v>3427</v>
      </c>
      <c r="H611" s="3" t="s">
        <v>25</v>
      </c>
      <c r="I611" s="3" t="s">
        <v>1033</v>
      </c>
      <c r="J611" s="3" t="s">
        <v>3428</v>
      </c>
      <c r="K611" s="3" t="s">
        <v>3429</v>
      </c>
      <c r="L611" s="3"/>
      <c r="M611" s="4"/>
      <c r="N611" s="3" t="s">
        <v>37</v>
      </c>
      <c r="O611" s="3" t="s">
        <v>52</v>
      </c>
      <c r="P611" s="5">
        <v>11</v>
      </c>
      <c r="Q611" s="5">
        <v>182</v>
      </c>
      <c r="R611" s="5">
        <v>11</v>
      </c>
      <c r="S611" s="5">
        <v>205</v>
      </c>
    </row>
    <row r="612" spans="1:19" ht="28" x14ac:dyDescent="0.15">
      <c r="A612" s="2">
        <f>HYPERLINK("https://open-school.uspishnemisto.com.ua/school/50619/", 50619)</f>
        <v>50619</v>
      </c>
      <c r="B612" s="3" t="s">
        <v>3430</v>
      </c>
      <c r="C612" s="3" t="s">
        <v>31</v>
      </c>
      <c r="D612" s="3" t="s">
        <v>175</v>
      </c>
      <c r="E612" s="4" t="s">
        <v>22</v>
      </c>
      <c r="F612" s="4" t="s">
        <v>3431</v>
      </c>
      <c r="G612" s="4" t="s">
        <v>3432</v>
      </c>
      <c r="H612" s="3" t="s">
        <v>25</v>
      </c>
      <c r="I612" s="3" t="s">
        <v>3433</v>
      </c>
      <c r="J612" s="3" t="s">
        <v>3434</v>
      </c>
      <c r="K612" s="3" t="s">
        <v>3435</v>
      </c>
      <c r="L612" s="3"/>
      <c r="M612" s="4"/>
      <c r="N612" s="3" t="s">
        <v>37</v>
      </c>
      <c r="O612" s="3" t="s">
        <v>52</v>
      </c>
      <c r="P612" s="5">
        <v>5</v>
      </c>
      <c r="Q612" s="5">
        <v>39</v>
      </c>
      <c r="R612" s="5">
        <v>6</v>
      </c>
      <c r="S612" s="5">
        <v>46</v>
      </c>
    </row>
    <row r="613" spans="1:19" ht="28" x14ac:dyDescent="0.15">
      <c r="A613" s="2">
        <f>HYPERLINK("https://open-school.uspishnemisto.com.ua/school/50620/", 50620)</f>
        <v>50620</v>
      </c>
      <c r="B613" s="3" t="s">
        <v>3436</v>
      </c>
      <c r="C613" s="3" t="s">
        <v>31</v>
      </c>
      <c r="D613" s="3" t="s">
        <v>175</v>
      </c>
      <c r="E613" s="4" t="s">
        <v>22</v>
      </c>
      <c r="F613" s="4" t="s">
        <v>3437</v>
      </c>
      <c r="G613" s="4" t="s">
        <v>3438</v>
      </c>
      <c r="H613" s="3" t="s">
        <v>25</v>
      </c>
      <c r="I613" s="3" t="s">
        <v>3439</v>
      </c>
      <c r="J613" s="3" t="s">
        <v>3440</v>
      </c>
      <c r="K613" s="3" t="s">
        <v>3441</v>
      </c>
      <c r="L613" s="3"/>
      <c r="M613" s="4"/>
      <c r="N613" s="3" t="s">
        <v>37</v>
      </c>
      <c r="O613" s="3" t="s">
        <v>52</v>
      </c>
      <c r="P613" s="5">
        <v>3</v>
      </c>
      <c r="Q613" s="5">
        <v>33</v>
      </c>
      <c r="R613" s="5">
        <v>3</v>
      </c>
      <c r="S613" s="5">
        <v>34</v>
      </c>
    </row>
    <row r="614" spans="1:19" ht="28" x14ac:dyDescent="0.15">
      <c r="A614" s="2">
        <f>HYPERLINK("https://open-school.uspishnemisto.com.ua/school/50621/", 50621)</f>
        <v>50621</v>
      </c>
      <c r="B614" s="3" t="s">
        <v>3442</v>
      </c>
      <c r="C614" s="3" t="s">
        <v>31</v>
      </c>
      <c r="D614" s="3" t="s">
        <v>175</v>
      </c>
      <c r="E614" s="4" t="s">
        <v>22</v>
      </c>
      <c r="F614" s="4" t="s">
        <v>3443</v>
      </c>
      <c r="G614" s="4" t="s">
        <v>3444</v>
      </c>
      <c r="H614" s="3" t="s">
        <v>25</v>
      </c>
      <c r="I614" s="3" t="s">
        <v>3445</v>
      </c>
      <c r="J614" s="3" t="s">
        <v>3446</v>
      </c>
      <c r="K614" s="3" t="s">
        <v>3447</v>
      </c>
      <c r="L614" s="3" t="s">
        <v>3448</v>
      </c>
      <c r="M614" s="4"/>
      <c r="N614" s="3" t="s">
        <v>37</v>
      </c>
      <c r="O614" s="3" t="s">
        <v>52</v>
      </c>
      <c r="P614" s="5">
        <v>5</v>
      </c>
      <c r="Q614" s="5">
        <v>42</v>
      </c>
      <c r="R614" s="5">
        <v>8</v>
      </c>
      <c r="S614" s="5">
        <v>47</v>
      </c>
    </row>
    <row r="615" spans="1:19" ht="28" x14ac:dyDescent="0.15">
      <c r="A615" s="2">
        <f>HYPERLINK("https://open-school.uspishnemisto.com.ua/school/50622/", 50622)</f>
        <v>50622</v>
      </c>
      <c r="B615" s="3" t="s">
        <v>3449</v>
      </c>
      <c r="C615" s="3" t="s">
        <v>31</v>
      </c>
      <c r="D615" s="3" t="s">
        <v>32</v>
      </c>
      <c r="E615" s="4" t="s">
        <v>22</v>
      </c>
      <c r="F615" s="4" t="s">
        <v>3413</v>
      </c>
      <c r="G615" s="4" t="s">
        <v>3450</v>
      </c>
      <c r="H615" s="3" t="s">
        <v>25</v>
      </c>
      <c r="I615" s="3" t="s">
        <v>3451</v>
      </c>
      <c r="J615" s="3" t="s">
        <v>3452</v>
      </c>
      <c r="K615" s="3" t="s">
        <v>3453</v>
      </c>
      <c r="L615" s="3"/>
      <c r="M615" s="4"/>
      <c r="N615" s="3" t="s">
        <v>37</v>
      </c>
      <c r="O615" s="3" t="s">
        <v>52</v>
      </c>
      <c r="P615" s="5">
        <v>10</v>
      </c>
      <c r="Q615" s="5">
        <v>79</v>
      </c>
      <c r="R615" s="5">
        <v>9</v>
      </c>
      <c r="S615" s="5">
        <v>77</v>
      </c>
    </row>
    <row r="616" spans="1:19" ht="28" x14ac:dyDescent="0.15">
      <c r="A616" s="2">
        <f>HYPERLINK("https://open-school.uspishnemisto.com.ua/school/50623/", 50623)</f>
        <v>50623</v>
      </c>
      <c r="B616" s="3" t="s">
        <v>3454</v>
      </c>
      <c r="C616" s="3" t="s">
        <v>31</v>
      </c>
      <c r="D616" s="3" t="s">
        <v>175</v>
      </c>
      <c r="E616" s="4" t="s">
        <v>22</v>
      </c>
      <c r="F616" s="4" t="s">
        <v>3455</v>
      </c>
      <c r="G616" s="4" t="s">
        <v>3456</v>
      </c>
      <c r="H616" s="3" t="s">
        <v>25</v>
      </c>
      <c r="I616" s="3" t="s">
        <v>3457</v>
      </c>
      <c r="J616" s="3" t="s">
        <v>3458</v>
      </c>
      <c r="K616" s="3"/>
      <c r="L616" s="3"/>
      <c r="M616" s="4"/>
      <c r="N616" s="3" t="s">
        <v>37</v>
      </c>
      <c r="O616" s="3" t="s">
        <v>52</v>
      </c>
      <c r="P616" s="5">
        <v>2</v>
      </c>
      <c r="Q616" s="5">
        <v>23</v>
      </c>
      <c r="R616" s="5">
        <v>2</v>
      </c>
      <c r="S616" s="5">
        <v>27</v>
      </c>
    </row>
    <row r="617" spans="1:19" ht="28" x14ac:dyDescent="0.15">
      <c r="A617" s="2">
        <f>HYPERLINK("https://open-school.uspishnemisto.com.ua/school/50624/", 50624)</f>
        <v>50624</v>
      </c>
      <c r="B617" s="3" t="s">
        <v>3459</v>
      </c>
      <c r="C617" s="3" t="s">
        <v>54</v>
      </c>
      <c r="D617" s="3" t="s">
        <v>32</v>
      </c>
      <c r="E617" s="4" t="s">
        <v>22</v>
      </c>
      <c r="F617" s="4" t="s">
        <v>3460</v>
      </c>
      <c r="G617" s="4" t="s">
        <v>3461</v>
      </c>
      <c r="H617" s="3" t="s">
        <v>25</v>
      </c>
      <c r="I617" s="3" t="s">
        <v>3462</v>
      </c>
      <c r="J617" s="3" t="s">
        <v>3463</v>
      </c>
      <c r="K617" s="3" t="s">
        <v>3464</v>
      </c>
      <c r="L617" s="3" t="s">
        <v>3465</v>
      </c>
      <c r="M617" s="4"/>
      <c r="N617" s="3" t="s">
        <v>37</v>
      </c>
      <c r="O617" s="3" t="s">
        <v>46</v>
      </c>
      <c r="P617" s="5">
        <v>31</v>
      </c>
      <c r="Q617" s="5">
        <v>789</v>
      </c>
      <c r="R617" s="5">
        <v>31</v>
      </c>
      <c r="S617" s="5">
        <v>768</v>
      </c>
    </row>
    <row r="618" spans="1:19" ht="56" x14ac:dyDescent="0.15">
      <c r="A618" s="2">
        <f>HYPERLINK("https://open-school.uspishnemisto.com.ua/school/50625/", 50625)</f>
        <v>50625</v>
      </c>
      <c r="B618" s="3" t="s">
        <v>3466</v>
      </c>
      <c r="C618" s="3" t="s">
        <v>31</v>
      </c>
      <c r="D618" s="3" t="s">
        <v>32</v>
      </c>
      <c r="E618" s="4" t="s">
        <v>22</v>
      </c>
      <c r="F618" s="4" t="s">
        <v>3467</v>
      </c>
      <c r="G618" s="4" t="s">
        <v>3468</v>
      </c>
      <c r="H618" s="3" t="s">
        <v>25</v>
      </c>
      <c r="I618" s="3" t="s">
        <v>3469</v>
      </c>
      <c r="J618" s="3" t="s">
        <v>1278</v>
      </c>
      <c r="K618" s="3" t="s">
        <v>3470</v>
      </c>
      <c r="L618" s="3"/>
      <c r="M618" s="4"/>
      <c r="N618" s="3" t="s">
        <v>37</v>
      </c>
      <c r="O618" s="3" t="s">
        <v>52</v>
      </c>
      <c r="P618" s="5">
        <v>22</v>
      </c>
      <c r="Q618" s="5">
        <v>472</v>
      </c>
      <c r="R618" s="5">
        <v>21</v>
      </c>
      <c r="S618" s="5">
        <v>440</v>
      </c>
    </row>
    <row r="619" spans="1:19" ht="42" x14ac:dyDescent="0.15">
      <c r="A619" s="2">
        <f>HYPERLINK("https://open-school.uspishnemisto.com.ua/school/50626/", 50626)</f>
        <v>50626</v>
      </c>
      <c r="B619" s="3" t="s">
        <v>3471</v>
      </c>
      <c r="C619" s="3" t="s">
        <v>31</v>
      </c>
      <c r="D619" s="3" t="s">
        <v>32</v>
      </c>
      <c r="E619" s="4" t="s">
        <v>22</v>
      </c>
      <c r="F619" s="4" t="s">
        <v>3467</v>
      </c>
      <c r="G619" s="4" t="s">
        <v>3468</v>
      </c>
      <c r="H619" s="3" t="s">
        <v>25</v>
      </c>
      <c r="I619" s="3" t="s">
        <v>3469</v>
      </c>
      <c r="J619" s="3" t="s">
        <v>3472</v>
      </c>
      <c r="K619" s="3" t="s">
        <v>3473</v>
      </c>
      <c r="L619" s="3"/>
      <c r="M619" s="4"/>
      <c r="N619" s="3" t="s">
        <v>37</v>
      </c>
      <c r="O619" s="3" t="s">
        <v>52</v>
      </c>
      <c r="P619" s="5">
        <v>14</v>
      </c>
      <c r="Q619" s="5">
        <v>255</v>
      </c>
      <c r="R619" s="5">
        <v>14</v>
      </c>
      <c r="S619" s="5">
        <v>236</v>
      </c>
    </row>
    <row r="620" spans="1:19" ht="70" x14ac:dyDescent="0.15">
      <c r="A620" s="2">
        <f>HYPERLINK("https://open-school.uspishnemisto.com.ua/school/50627/", 50627)</f>
        <v>50627</v>
      </c>
      <c r="B620" s="3" t="s">
        <v>3474</v>
      </c>
      <c r="C620" s="3" t="s">
        <v>54</v>
      </c>
      <c r="D620" s="3" t="s">
        <v>32</v>
      </c>
      <c r="E620" s="4" t="s">
        <v>22</v>
      </c>
      <c r="F620" s="4" t="s">
        <v>3475</v>
      </c>
      <c r="G620" s="4" t="s">
        <v>3468</v>
      </c>
      <c r="H620" s="3" t="s">
        <v>25</v>
      </c>
      <c r="I620" s="3" t="s">
        <v>3469</v>
      </c>
      <c r="J620" s="3" t="s">
        <v>3476</v>
      </c>
      <c r="K620" s="3" t="s">
        <v>3477</v>
      </c>
      <c r="L620" s="3"/>
      <c r="M620" s="4"/>
      <c r="N620" s="3" t="s">
        <v>37</v>
      </c>
      <c r="O620" s="3" t="s">
        <v>52</v>
      </c>
      <c r="P620" s="5">
        <v>11</v>
      </c>
      <c r="Q620" s="5">
        <v>173</v>
      </c>
      <c r="R620" s="5">
        <v>11</v>
      </c>
      <c r="S620" s="5">
        <v>173</v>
      </c>
    </row>
    <row r="621" spans="1:19" ht="28" x14ac:dyDescent="0.15">
      <c r="A621" s="2">
        <f>HYPERLINK("https://open-school.uspishnemisto.com.ua/school/50628/", 50628)</f>
        <v>50628</v>
      </c>
      <c r="B621" s="3" t="s">
        <v>3478</v>
      </c>
      <c r="C621" s="3" t="s">
        <v>31</v>
      </c>
      <c r="D621" s="3" t="s">
        <v>32</v>
      </c>
      <c r="E621" s="4" t="s">
        <v>22</v>
      </c>
      <c r="F621" s="4" t="s">
        <v>3479</v>
      </c>
      <c r="G621" s="4" t="s">
        <v>3480</v>
      </c>
      <c r="H621" s="3" t="s">
        <v>25</v>
      </c>
      <c r="I621" s="3" t="s">
        <v>3481</v>
      </c>
      <c r="J621" s="3" t="s">
        <v>3482</v>
      </c>
      <c r="K621" s="3" t="s">
        <v>3483</v>
      </c>
      <c r="L621" s="3" t="s">
        <v>3484</v>
      </c>
      <c r="M621" s="4"/>
      <c r="N621" s="3" t="s">
        <v>37</v>
      </c>
      <c r="O621" s="3" t="s">
        <v>52</v>
      </c>
      <c r="P621" s="5">
        <v>11</v>
      </c>
      <c r="Q621" s="5">
        <v>102</v>
      </c>
      <c r="R621" s="5">
        <v>11</v>
      </c>
      <c r="S621" s="5">
        <v>110</v>
      </c>
    </row>
    <row r="622" spans="1:19" ht="28" x14ac:dyDescent="0.15">
      <c r="A622" s="2">
        <f>HYPERLINK("https://open-school.uspishnemisto.com.ua/school/50629/", 50629)</f>
        <v>50629</v>
      </c>
      <c r="B622" s="3" t="s">
        <v>3485</v>
      </c>
      <c r="C622" s="3" t="s">
        <v>31</v>
      </c>
      <c r="D622" s="3" t="s">
        <v>32</v>
      </c>
      <c r="E622" s="4" t="s">
        <v>22</v>
      </c>
      <c r="F622" s="4" t="s">
        <v>3486</v>
      </c>
      <c r="G622" s="4" t="s">
        <v>3487</v>
      </c>
      <c r="H622" s="3" t="s">
        <v>25</v>
      </c>
      <c r="I622" s="3" t="s">
        <v>3488</v>
      </c>
      <c r="J622" s="3" t="s">
        <v>2384</v>
      </c>
      <c r="K622" s="3" t="s">
        <v>3489</v>
      </c>
      <c r="L622" s="3"/>
      <c r="M622" s="4"/>
      <c r="N622" s="3" t="s">
        <v>37</v>
      </c>
      <c r="O622" s="3" t="s">
        <v>2740</v>
      </c>
      <c r="P622" s="5">
        <v>11</v>
      </c>
      <c r="Q622" s="5">
        <v>117</v>
      </c>
      <c r="R622" s="5">
        <v>11</v>
      </c>
      <c r="S622" s="5">
        <v>119</v>
      </c>
    </row>
    <row r="623" spans="1:19" ht="42" x14ac:dyDescent="0.15">
      <c r="A623" s="2">
        <f>HYPERLINK("https://open-school.uspishnemisto.com.ua/school/50630/", 50630)</f>
        <v>50630</v>
      </c>
      <c r="B623" s="3" t="s">
        <v>3490</v>
      </c>
      <c r="C623" s="3" t="s">
        <v>54</v>
      </c>
      <c r="D623" s="3" t="s">
        <v>60</v>
      </c>
      <c r="E623" s="4" t="s">
        <v>22</v>
      </c>
      <c r="F623" s="4" t="s">
        <v>3491</v>
      </c>
      <c r="G623" s="4" t="s">
        <v>3492</v>
      </c>
      <c r="H623" s="3" t="s">
        <v>25</v>
      </c>
      <c r="I623" s="3" t="s">
        <v>3493</v>
      </c>
      <c r="J623" s="3" t="s">
        <v>3494</v>
      </c>
      <c r="K623" s="3" t="s">
        <v>3495</v>
      </c>
      <c r="L623" s="3" t="s">
        <v>3496</v>
      </c>
      <c r="M623" s="4"/>
      <c r="N623" s="3" t="s">
        <v>37</v>
      </c>
      <c r="O623" s="3" t="s">
        <v>52</v>
      </c>
      <c r="P623" s="5">
        <v>3</v>
      </c>
      <c r="Q623" s="5">
        <v>17</v>
      </c>
      <c r="R623" s="5">
        <v>3</v>
      </c>
      <c r="S623" s="5">
        <v>28</v>
      </c>
    </row>
    <row r="624" spans="1:19" ht="28" x14ac:dyDescent="0.15">
      <c r="A624" s="2">
        <f>HYPERLINK("https://open-school.uspishnemisto.com.ua/school/50631/", 50631)</f>
        <v>50631</v>
      </c>
      <c r="B624" s="3" t="s">
        <v>3497</v>
      </c>
      <c r="C624" s="3" t="s">
        <v>31</v>
      </c>
      <c r="D624" s="3" t="s">
        <v>175</v>
      </c>
      <c r="E624" s="4" t="s">
        <v>22</v>
      </c>
      <c r="F624" s="4" t="s">
        <v>3498</v>
      </c>
      <c r="G624" s="4" t="s">
        <v>3499</v>
      </c>
      <c r="H624" s="3" t="s">
        <v>25</v>
      </c>
      <c r="I624" s="3" t="s">
        <v>3500</v>
      </c>
      <c r="J624" s="3" t="s">
        <v>3501</v>
      </c>
      <c r="K624" s="3" t="s">
        <v>3502</v>
      </c>
      <c r="L624" s="3"/>
      <c r="M624" s="4"/>
      <c r="N624" s="3" t="s">
        <v>37</v>
      </c>
      <c r="O624" s="3" t="s">
        <v>52</v>
      </c>
      <c r="P624" s="5">
        <v>8</v>
      </c>
      <c r="Q624" s="5">
        <v>76</v>
      </c>
      <c r="R624" s="5">
        <v>9</v>
      </c>
      <c r="S624" s="5">
        <v>74</v>
      </c>
    </row>
    <row r="625" spans="1:19" ht="28" x14ac:dyDescent="0.15">
      <c r="A625" s="2">
        <f>HYPERLINK("https://open-school.uspishnemisto.com.ua/school/50632/", 50632)</f>
        <v>50632</v>
      </c>
      <c r="B625" s="3" t="s">
        <v>3503</v>
      </c>
      <c r="C625" s="3" t="s">
        <v>31</v>
      </c>
      <c r="D625" s="3" t="s">
        <v>32</v>
      </c>
      <c r="E625" s="4" t="s">
        <v>22</v>
      </c>
      <c r="F625" s="4" t="s">
        <v>3504</v>
      </c>
      <c r="G625" s="4" t="s">
        <v>3505</v>
      </c>
      <c r="H625" s="3" t="s">
        <v>25</v>
      </c>
      <c r="I625" s="3" t="s">
        <v>3506</v>
      </c>
      <c r="J625" s="3" t="s">
        <v>3507</v>
      </c>
      <c r="K625" s="3" t="s">
        <v>3508</v>
      </c>
      <c r="L625" s="3"/>
      <c r="M625" s="4"/>
      <c r="N625" s="3" t="s">
        <v>37</v>
      </c>
      <c r="O625" s="3" t="s">
        <v>52</v>
      </c>
      <c r="P625" s="5">
        <v>10</v>
      </c>
      <c r="Q625" s="5">
        <v>141</v>
      </c>
      <c r="R625" s="5">
        <v>10</v>
      </c>
      <c r="S625" s="5">
        <v>138</v>
      </c>
    </row>
    <row r="626" spans="1:19" ht="28" x14ac:dyDescent="0.15">
      <c r="A626" s="2">
        <f>HYPERLINK("https://open-school.uspishnemisto.com.ua/school/50633/", 50633)</f>
        <v>50633</v>
      </c>
      <c r="B626" s="3" t="s">
        <v>3509</v>
      </c>
      <c r="C626" s="3" t="s">
        <v>31</v>
      </c>
      <c r="D626" s="3" t="s">
        <v>32</v>
      </c>
      <c r="E626" s="4" t="s">
        <v>22</v>
      </c>
      <c r="F626" s="4" t="s">
        <v>3510</v>
      </c>
      <c r="G626" s="4" t="s">
        <v>3511</v>
      </c>
      <c r="H626" s="3" t="s">
        <v>25</v>
      </c>
      <c r="I626" s="3" t="s">
        <v>3512</v>
      </c>
      <c r="J626" s="3" t="s">
        <v>1360</v>
      </c>
      <c r="K626" s="3" t="s">
        <v>3513</v>
      </c>
      <c r="L626" s="3"/>
      <c r="M626" s="4"/>
      <c r="N626" s="3" t="s">
        <v>37</v>
      </c>
      <c r="O626" s="3" t="s">
        <v>52</v>
      </c>
      <c r="P626" s="5">
        <v>11</v>
      </c>
      <c r="Q626" s="5">
        <v>132</v>
      </c>
      <c r="R626" s="5">
        <v>10</v>
      </c>
      <c r="S626" s="5">
        <v>125</v>
      </c>
    </row>
    <row r="627" spans="1:19" ht="28" x14ac:dyDescent="0.15">
      <c r="A627" s="2">
        <f>HYPERLINK("https://open-school.uspishnemisto.com.ua/school/50634/", 50634)</f>
        <v>50634</v>
      </c>
      <c r="B627" s="3" t="s">
        <v>3514</v>
      </c>
      <c r="C627" s="3" t="s">
        <v>31</v>
      </c>
      <c r="D627" s="3" t="s">
        <v>175</v>
      </c>
      <c r="E627" s="4" t="s">
        <v>22</v>
      </c>
      <c r="F627" s="4" t="s">
        <v>3515</v>
      </c>
      <c r="G627" s="4" t="s">
        <v>3516</v>
      </c>
      <c r="H627" s="3" t="s">
        <v>25</v>
      </c>
      <c r="I627" s="3" t="s">
        <v>3517</v>
      </c>
      <c r="J627" s="3" t="s">
        <v>3518</v>
      </c>
      <c r="K627" s="3" t="s">
        <v>3519</v>
      </c>
      <c r="L627" s="3" t="s">
        <v>3520</v>
      </c>
      <c r="M627" s="4"/>
      <c r="N627" s="3" t="s">
        <v>37</v>
      </c>
      <c r="O627" s="3" t="s">
        <v>52</v>
      </c>
      <c r="P627" s="5">
        <v>8</v>
      </c>
      <c r="Q627" s="5">
        <v>51</v>
      </c>
      <c r="R627" s="5">
        <v>8</v>
      </c>
      <c r="S627" s="5">
        <v>50</v>
      </c>
    </row>
    <row r="628" spans="1:19" ht="28" x14ac:dyDescent="0.15">
      <c r="A628" s="2">
        <f>HYPERLINK("https://open-school.uspishnemisto.com.ua/school/50635/", 50635)</f>
        <v>50635</v>
      </c>
      <c r="B628" s="3" t="s">
        <v>3521</v>
      </c>
      <c r="C628" s="3" t="s">
        <v>31</v>
      </c>
      <c r="D628" s="3" t="s">
        <v>32</v>
      </c>
      <c r="E628" s="4" t="s">
        <v>22</v>
      </c>
      <c r="F628" s="4" t="s">
        <v>3522</v>
      </c>
      <c r="G628" s="4" t="s">
        <v>3523</v>
      </c>
      <c r="H628" s="3" t="s">
        <v>25</v>
      </c>
      <c r="I628" s="3" t="s">
        <v>3524</v>
      </c>
      <c r="J628" s="3" t="s">
        <v>3525</v>
      </c>
      <c r="K628" s="3" t="s">
        <v>3526</v>
      </c>
      <c r="L628" s="3" t="s">
        <v>3527</v>
      </c>
      <c r="M628" s="4"/>
      <c r="N628" s="3" t="s">
        <v>37</v>
      </c>
      <c r="O628" s="3" t="s">
        <v>52</v>
      </c>
      <c r="P628" s="5">
        <v>11</v>
      </c>
      <c r="Q628" s="5">
        <v>195</v>
      </c>
      <c r="R628" s="5">
        <v>11</v>
      </c>
      <c r="S628" s="5">
        <v>197</v>
      </c>
    </row>
    <row r="629" spans="1:19" ht="28" x14ac:dyDescent="0.15">
      <c r="A629" s="2">
        <f>HYPERLINK("https://open-school.uspishnemisto.com.ua/school/50636/", 50636)</f>
        <v>50636</v>
      </c>
      <c r="B629" s="3" t="s">
        <v>3528</v>
      </c>
      <c r="C629" s="3" t="s">
        <v>31</v>
      </c>
      <c r="D629" s="3" t="s">
        <v>32</v>
      </c>
      <c r="E629" s="4" t="s">
        <v>22</v>
      </c>
      <c r="F629" s="4" t="s">
        <v>3529</v>
      </c>
      <c r="G629" s="4" t="s">
        <v>3530</v>
      </c>
      <c r="H629" s="3" t="s">
        <v>25</v>
      </c>
      <c r="I629" s="3" t="s">
        <v>3531</v>
      </c>
      <c r="J629" s="3" t="s">
        <v>3532</v>
      </c>
      <c r="K629" s="3" t="s">
        <v>3533</v>
      </c>
      <c r="L629" s="3"/>
      <c r="M629" s="4"/>
      <c r="N629" s="3" t="s">
        <v>37</v>
      </c>
      <c r="O629" s="3" t="s">
        <v>52</v>
      </c>
      <c r="P629" s="5">
        <v>10</v>
      </c>
      <c r="Q629" s="5">
        <v>123</v>
      </c>
      <c r="R629" s="5">
        <v>11</v>
      </c>
      <c r="S629" s="5">
        <v>124</v>
      </c>
    </row>
    <row r="630" spans="1:19" ht="28" x14ac:dyDescent="0.15">
      <c r="A630" s="2">
        <f>HYPERLINK("https://open-school.uspishnemisto.com.ua/school/50637/", 50637)</f>
        <v>50637</v>
      </c>
      <c r="B630" s="3" t="s">
        <v>3534</v>
      </c>
      <c r="C630" s="3" t="s">
        <v>31</v>
      </c>
      <c r="D630" s="3" t="s">
        <v>175</v>
      </c>
      <c r="E630" s="4" t="s">
        <v>22</v>
      </c>
      <c r="F630" s="4" t="s">
        <v>3535</v>
      </c>
      <c r="G630" s="4" t="s">
        <v>3536</v>
      </c>
      <c r="H630" s="3" t="s">
        <v>25</v>
      </c>
      <c r="I630" s="3" t="s">
        <v>3537</v>
      </c>
      <c r="J630" s="3" t="s">
        <v>3538</v>
      </c>
      <c r="K630" s="3" t="s">
        <v>3539</v>
      </c>
      <c r="L630" s="3"/>
      <c r="M630" s="4"/>
      <c r="N630" s="3" t="s">
        <v>37</v>
      </c>
      <c r="O630" s="3" t="s">
        <v>618</v>
      </c>
      <c r="P630" s="5">
        <v>8</v>
      </c>
      <c r="Q630" s="5">
        <v>55</v>
      </c>
      <c r="R630" s="5">
        <v>8</v>
      </c>
      <c r="S630" s="5">
        <v>55</v>
      </c>
    </row>
    <row r="631" spans="1:19" ht="28" x14ac:dyDescent="0.15">
      <c r="A631" s="2">
        <f>HYPERLINK("https://open-school.uspishnemisto.com.ua/school/50638/", 50638)</f>
        <v>50638</v>
      </c>
      <c r="B631" s="3" t="s">
        <v>3540</v>
      </c>
      <c r="C631" s="3" t="s">
        <v>31</v>
      </c>
      <c r="D631" s="3" t="s">
        <v>175</v>
      </c>
      <c r="E631" s="4" t="s">
        <v>22</v>
      </c>
      <c r="F631" s="4" t="s">
        <v>3541</v>
      </c>
      <c r="G631" s="4" t="s">
        <v>3542</v>
      </c>
      <c r="H631" s="3" t="s">
        <v>25</v>
      </c>
      <c r="I631" s="3" t="s">
        <v>3543</v>
      </c>
      <c r="J631" s="3" t="s">
        <v>3544</v>
      </c>
      <c r="K631" s="3" t="s">
        <v>3545</v>
      </c>
      <c r="L631" s="3"/>
      <c r="M631" s="4"/>
      <c r="N631" s="3" t="s">
        <v>37</v>
      </c>
      <c r="O631" s="3" t="s">
        <v>618</v>
      </c>
      <c r="P631" s="5">
        <v>7</v>
      </c>
      <c r="Q631" s="5">
        <v>46</v>
      </c>
      <c r="R631" s="5">
        <v>8</v>
      </c>
      <c r="S631" s="5">
        <v>49</v>
      </c>
    </row>
    <row r="632" spans="1:19" ht="28" x14ac:dyDescent="0.15">
      <c r="A632" s="2">
        <f>HYPERLINK("https://open-school.uspishnemisto.com.ua/school/50639/", 50639)</f>
        <v>50639</v>
      </c>
      <c r="B632" s="3" t="s">
        <v>3546</v>
      </c>
      <c r="C632" s="3" t="s">
        <v>31</v>
      </c>
      <c r="D632" s="3" t="s">
        <v>175</v>
      </c>
      <c r="E632" s="4" t="s">
        <v>22</v>
      </c>
      <c r="F632" s="4" t="s">
        <v>3547</v>
      </c>
      <c r="G632" s="4" t="s">
        <v>3548</v>
      </c>
      <c r="H632" s="3" t="s">
        <v>25</v>
      </c>
      <c r="I632" s="3" t="s">
        <v>3549</v>
      </c>
      <c r="J632" s="3" t="s">
        <v>3550</v>
      </c>
      <c r="K632" s="3" t="s">
        <v>3551</v>
      </c>
      <c r="L632" s="3"/>
      <c r="M632" s="4"/>
      <c r="N632" s="3" t="s">
        <v>37</v>
      </c>
      <c r="O632" s="3" t="s">
        <v>52</v>
      </c>
      <c r="P632" s="5">
        <v>9</v>
      </c>
      <c r="Q632" s="5">
        <v>80</v>
      </c>
      <c r="R632" s="5">
        <v>9</v>
      </c>
      <c r="S632" s="5">
        <v>79</v>
      </c>
    </row>
    <row r="633" spans="1:19" ht="28" x14ac:dyDescent="0.15">
      <c r="A633" s="2">
        <f>HYPERLINK("https://open-school.uspishnemisto.com.ua/school/50640/", 50640)</f>
        <v>50640</v>
      </c>
      <c r="B633" s="3" t="s">
        <v>3552</v>
      </c>
      <c r="C633" s="3" t="s">
        <v>31</v>
      </c>
      <c r="D633" s="3" t="s">
        <v>32</v>
      </c>
      <c r="E633" s="4" t="s">
        <v>22</v>
      </c>
      <c r="F633" s="4" t="s">
        <v>3553</v>
      </c>
      <c r="G633" s="4" t="s">
        <v>3554</v>
      </c>
      <c r="H633" s="3" t="s">
        <v>25</v>
      </c>
      <c r="I633" s="3" t="s">
        <v>3555</v>
      </c>
      <c r="J633" s="3" t="s">
        <v>3556</v>
      </c>
      <c r="K633" s="3" t="s">
        <v>3557</v>
      </c>
      <c r="L633" s="3" t="s">
        <v>3558</v>
      </c>
      <c r="M633" s="4"/>
      <c r="N633" s="3" t="s">
        <v>37</v>
      </c>
      <c r="O633" s="3" t="s">
        <v>112</v>
      </c>
      <c r="P633" s="5">
        <v>8</v>
      </c>
      <c r="Q633" s="5">
        <v>66</v>
      </c>
      <c r="R633" s="5">
        <v>9</v>
      </c>
      <c r="S633" s="5">
        <v>67</v>
      </c>
    </row>
    <row r="634" spans="1:19" ht="28" x14ac:dyDescent="0.15">
      <c r="A634" s="2">
        <f>HYPERLINK("https://open-school.uspishnemisto.com.ua/school/50641/", 50641)</f>
        <v>50641</v>
      </c>
      <c r="B634" s="3" t="s">
        <v>3559</v>
      </c>
      <c r="C634" s="3" t="s">
        <v>31</v>
      </c>
      <c r="D634" s="3" t="s">
        <v>175</v>
      </c>
      <c r="E634" s="4" t="s">
        <v>22</v>
      </c>
      <c r="F634" s="4" t="s">
        <v>3460</v>
      </c>
      <c r="G634" s="4" t="s">
        <v>3560</v>
      </c>
      <c r="H634" s="3" t="s">
        <v>25</v>
      </c>
      <c r="I634" s="3" t="s">
        <v>3561</v>
      </c>
      <c r="J634" s="3" t="s">
        <v>1348</v>
      </c>
      <c r="K634" s="3" t="s">
        <v>3562</v>
      </c>
      <c r="L634" s="3"/>
      <c r="M634" s="4"/>
      <c r="N634" s="3" t="s">
        <v>37</v>
      </c>
      <c r="O634" s="3" t="s">
        <v>52</v>
      </c>
      <c r="P634" s="5">
        <v>9</v>
      </c>
      <c r="Q634" s="5">
        <v>59</v>
      </c>
      <c r="R634" s="5">
        <v>9</v>
      </c>
      <c r="S634" s="5">
        <v>54</v>
      </c>
    </row>
    <row r="635" spans="1:19" ht="28" x14ac:dyDescent="0.15">
      <c r="A635" s="2">
        <f>HYPERLINK("https://open-school.uspishnemisto.com.ua/school/50642/", 50642)</f>
        <v>50642</v>
      </c>
      <c r="B635" s="3" t="s">
        <v>3563</v>
      </c>
      <c r="C635" s="3" t="s">
        <v>31</v>
      </c>
      <c r="D635" s="3" t="s">
        <v>32</v>
      </c>
      <c r="E635" s="4" t="s">
        <v>22</v>
      </c>
      <c r="F635" s="4" t="s">
        <v>3564</v>
      </c>
      <c r="G635" s="4" t="s">
        <v>3565</v>
      </c>
      <c r="H635" s="3" t="s">
        <v>25</v>
      </c>
      <c r="I635" s="3" t="s">
        <v>3566</v>
      </c>
      <c r="J635" s="3" t="s">
        <v>2085</v>
      </c>
      <c r="K635" s="3" t="s">
        <v>3567</v>
      </c>
      <c r="L635" s="3"/>
      <c r="M635" s="4"/>
      <c r="N635" s="3" t="s">
        <v>37</v>
      </c>
      <c r="O635" s="3" t="s">
        <v>618</v>
      </c>
      <c r="P635" s="5">
        <v>11</v>
      </c>
      <c r="Q635" s="5">
        <v>93</v>
      </c>
      <c r="R635" s="5">
        <v>11</v>
      </c>
      <c r="S635" s="5">
        <v>94</v>
      </c>
    </row>
    <row r="636" spans="1:19" ht="28" x14ac:dyDescent="0.15">
      <c r="A636" s="2">
        <f>HYPERLINK("https://open-school.uspishnemisto.com.ua/school/50643/", 50643)</f>
        <v>50643</v>
      </c>
      <c r="B636" s="3" t="s">
        <v>3568</v>
      </c>
      <c r="C636" s="3" t="s">
        <v>31</v>
      </c>
      <c r="D636" s="3" t="s">
        <v>32</v>
      </c>
      <c r="E636" s="4" t="s">
        <v>22</v>
      </c>
      <c r="F636" s="4" t="s">
        <v>3569</v>
      </c>
      <c r="G636" s="4" t="s">
        <v>3570</v>
      </c>
      <c r="H636" s="3" t="s">
        <v>25</v>
      </c>
      <c r="I636" s="3" t="s">
        <v>3571</v>
      </c>
      <c r="J636" s="3" t="s">
        <v>3572</v>
      </c>
      <c r="K636" s="3" t="s">
        <v>3573</v>
      </c>
      <c r="L636" s="3"/>
      <c r="M636" s="4"/>
      <c r="N636" s="3" t="s">
        <v>37</v>
      </c>
      <c r="O636" s="3" t="s">
        <v>618</v>
      </c>
      <c r="P636" s="5">
        <v>10</v>
      </c>
      <c r="Q636" s="5">
        <v>69</v>
      </c>
      <c r="R636" s="5">
        <v>9</v>
      </c>
      <c r="S636" s="5">
        <v>65</v>
      </c>
    </row>
    <row r="637" spans="1:19" ht="28" x14ac:dyDescent="0.15">
      <c r="A637" s="2">
        <f>HYPERLINK("https://open-school.uspishnemisto.com.ua/school/50644/", 50644)</f>
        <v>50644</v>
      </c>
      <c r="B637" s="3" t="s">
        <v>3574</v>
      </c>
      <c r="C637" s="3" t="s">
        <v>31</v>
      </c>
      <c r="D637" s="3" t="s">
        <v>32</v>
      </c>
      <c r="E637" s="4" t="s">
        <v>22</v>
      </c>
      <c r="F637" s="4" t="s">
        <v>3575</v>
      </c>
      <c r="G637" s="4" t="s">
        <v>3576</v>
      </c>
      <c r="H637" s="3" t="s">
        <v>25</v>
      </c>
      <c r="I637" s="3" t="s">
        <v>811</v>
      </c>
      <c r="J637" s="3" t="s">
        <v>903</v>
      </c>
      <c r="K637" s="3" t="s">
        <v>3577</v>
      </c>
      <c r="L637" s="3"/>
      <c r="M637" s="4"/>
      <c r="N637" s="3" t="s">
        <v>37</v>
      </c>
      <c r="O637" s="3" t="s">
        <v>46</v>
      </c>
      <c r="P637" s="5">
        <v>11</v>
      </c>
      <c r="Q637" s="5">
        <v>100</v>
      </c>
      <c r="R637" s="5">
        <v>11</v>
      </c>
      <c r="S637" s="5">
        <v>107</v>
      </c>
    </row>
    <row r="638" spans="1:19" ht="28" x14ac:dyDescent="0.15">
      <c r="A638" s="2">
        <f>HYPERLINK("https://open-school.uspishnemisto.com.ua/school/50645/", 50645)</f>
        <v>50645</v>
      </c>
      <c r="B638" s="3" t="s">
        <v>3578</v>
      </c>
      <c r="C638" s="3" t="s">
        <v>54</v>
      </c>
      <c r="D638" s="3" t="s">
        <v>32</v>
      </c>
      <c r="E638" s="4" t="s">
        <v>22</v>
      </c>
      <c r="F638" s="4" t="s">
        <v>3579</v>
      </c>
      <c r="G638" s="4" t="s">
        <v>3580</v>
      </c>
      <c r="H638" s="3" t="s">
        <v>25</v>
      </c>
      <c r="I638" s="3" t="s">
        <v>3581</v>
      </c>
      <c r="J638" s="3" t="s">
        <v>554</v>
      </c>
      <c r="K638" s="3" t="s">
        <v>3582</v>
      </c>
      <c r="L638" s="3" t="s">
        <v>3583</v>
      </c>
      <c r="M638" s="4"/>
      <c r="N638" s="3" t="s">
        <v>37</v>
      </c>
      <c r="O638" s="3" t="s">
        <v>52</v>
      </c>
      <c r="P638" s="5">
        <v>24</v>
      </c>
      <c r="Q638" s="5">
        <v>528</v>
      </c>
      <c r="R638" s="5">
        <v>23</v>
      </c>
      <c r="S638" s="5">
        <v>502</v>
      </c>
    </row>
    <row r="639" spans="1:19" ht="28" x14ac:dyDescent="0.15">
      <c r="A639" s="2">
        <f>HYPERLINK("https://open-school.uspishnemisto.com.ua/school/50646/", 50646)</f>
        <v>50646</v>
      </c>
      <c r="B639" s="3" t="s">
        <v>3584</v>
      </c>
      <c r="C639" s="3" t="s">
        <v>31</v>
      </c>
      <c r="D639" s="3" t="s">
        <v>32</v>
      </c>
      <c r="E639" s="4" t="s">
        <v>22</v>
      </c>
      <c r="F639" s="4" t="s">
        <v>3579</v>
      </c>
      <c r="G639" s="4" t="s">
        <v>3580</v>
      </c>
      <c r="H639" s="3" t="s">
        <v>25</v>
      </c>
      <c r="I639" s="3" t="s">
        <v>3581</v>
      </c>
      <c r="J639" s="3" t="s">
        <v>152</v>
      </c>
      <c r="K639" s="3" t="s">
        <v>3585</v>
      </c>
      <c r="L639" s="3"/>
      <c r="M639" s="4"/>
      <c r="N639" s="3" t="s">
        <v>37</v>
      </c>
      <c r="O639" s="3" t="s">
        <v>52</v>
      </c>
      <c r="P639" s="5">
        <v>11</v>
      </c>
      <c r="Q639" s="5">
        <v>190</v>
      </c>
      <c r="R639" s="5">
        <v>11</v>
      </c>
      <c r="S639" s="5">
        <v>192</v>
      </c>
    </row>
    <row r="640" spans="1:19" ht="28" x14ac:dyDescent="0.15">
      <c r="A640" s="2">
        <f>HYPERLINK("https://open-school.uspishnemisto.com.ua/school/50647/", 50647)</f>
        <v>50647</v>
      </c>
      <c r="B640" s="3" t="s">
        <v>3586</v>
      </c>
      <c r="C640" s="3" t="s">
        <v>31</v>
      </c>
      <c r="D640" s="3" t="s">
        <v>32</v>
      </c>
      <c r="E640" s="4" t="s">
        <v>22</v>
      </c>
      <c r="F640" s="4" t="s">
        <v>3587</v>
      </c>
      <c r="G640" s="4" t="s">
        <v>3588</v>
      </c>
      <c r="H640" s="3" t="s">
        <v>25</v>
      </c>
      <c r="I640" s="3" t="s">
        <v>1291</v>
      </c>
      <c r="J640" s="3" t="s">
        <v>3589</v>
      </c>
      <c r="K640" s="3" t="s">
        <v>3590</v>
      </c>
      <c r="L640" s="3"/>
      <c r="M640" s="4"/>
      <c r="N640" s="3" t="s">
        <v>37</v>
      </c>
      <c r="O640" s="3" t="s">
        <v>52</v>
      </c>
      <c r="P640" s="5">
        <v>11</v>
      </c>
      <c r="Q640" s="5">
        <v>142</v>
      </c>
      <c r="R640" s="5">
        <v>11</v>
      </c>
      <c r="S640" s="5">
        <v>139</v>
      </c>
    </row>
    <row r="641" spans="1:19" ht="28" x14ac:dyDescent="0.15">
      <c r="A641" s="2">
        <f>HYPERLINK("https://open-school.uspishnemisto.com.ua/school/50648/", 50648)</f>
        <v>50648</v>
      </c>
      <c r="B641" s="3" t="s">
        <v>3591</v>
      </c>
      <c r="C641" s="3" t="s">
        <v>31</v>
      </c>
      <c r="D641" s="3" t="s">
        <v>175</v>
      </c>
      <c r="E641" s="4" t="s">
        <v>22</v>
      </c>
      <c r="F641" s="4"/>
      <c r="G641" s="4" t="s">
        <v>3592</v>
      </c>
      <c r="H641" s="3" t="s">
        <v>25</v>
      </c>
      <c r="I641" s="3" t="s">
        <v>3593</v>
      </c>
      <c r="J641" s="3" t="s">
        <v>466</v>
      </c>
      <c r="K641" s="3" t="s">
        <v>3594</v>
      </c>
      <c r="L641" s="3"/>
      <c r="M641" s="4"/>
      <c r="N641" s="3" t="s">
        <v>37</v>
      </c>
      <c r="O641" s="3" t="s">
        <v>52</v>
      </c>
      <c r="P641" s="5">
        <v>8</v>
      </c>
      <c r="Q641" s="5">
        <v>56</v>
      </c>
      <c r="R641" s="5">
        <v>7</v>
      </c>
      <c r="S641" s="5">
        <v>55</v>
      </c>
    </row>
    <row r="642" spans="1:19" ht="28" x14ac:dyDescent="0.15">
      <c r="A642" s="2">
        <f>HYPERLINK("https://open-school.uspishnemisto.com.ua/school/50649/", 50649)</f>
        <v>50649</v>
      </c>
      <c r="B642" s="3" t="s">
        <v>3595</v>
      </c>
      <c r="C642" s="3" t="s">
        <v>31</v>
      </c>
      <c r="D642" s="3" t="s">
        <v>32</v>
      </c>
      <c r="E642" s="4" t="s">
        <v>22</v>
      </c>
      <c r="F642" s="4" t="s">
        <v>3596</v>
      </c>
      <c r="G642" s="4" t="s">
        <v>3597</v>
      </c>
      <c r="H642" s="3" t="s">
        <v>25</v>
      </c>
      <c r="I642" s="3" t="s">
        <v>3598</v>
      </c>
      <c r="J642" s="3" t="s">
        <v>3599</v>
      </c>
      <c r="K642" s="3" t="s">
        <v>3600</v>
      </c>
      <c r="L642" s="3"/>
      <c r="M642" s="4"/>
      <c r="N642" s="3" t="s">
        <v>37</v>
      </c>
      <c r="O642" s="3" t="s">
        <v>52</v>
      </c>
      <c r="P642" s="5">
        <v>11</v>
      </c>
      <c r="Q642" s="5">
        <v>134</v>
      </c>
      <c r="R642" s="5">
        <v>11</v>
      </c>
      <c r="S642" s="5">
        <v>137</v>
      </c>
    </row>
    <row r="643" spans="1:19" ht="28" x14ac:dyDescent="0.15">
      <c r="A643" s="2">
        <f>HYPERLINK("https://open-school.uspishnemisto.com.ua/school/50650/", 50650)</f>
        <v>50650</v>
      </c>
      <c r="B643" s="3" t="s">
        <v>3601</v>
      </c>
      <c r="C643" s="3" t="s">
        <v>31</v>
      </c>
      <c r="D643" s="3" t="s">
        <v>32</v>
      </c>
      <c r="E643" s="4" t="s">
        <v>22</v>
      </c>
      <c r="F643" s="4" t="s">
        <v>3602</v>
      </c>
      <c r="G643" s="4" t="s">
        <v>3603</v>
      </c>
      <c r="H643" s="3" t="s">
        <v>25</v>
      </c>
      <c r="I643" s="3" t="s">
        <v>430</v>
      </c>
      <c r="J643" s="3" t="s">
        <v>3604</v>
      </c>
      <c r="K643" s="3" t="s">
        <v>3605</v>
      </c>
      <c r="L643" s="3"/>
      <c r="M643" s="4"/>
      <c r="N643" s="3" t="s">
        <v>37</v>
      </c>
      <c r="O643" s="3" t="s">
        <v>52</v>
      </c>
      <c r="P643" s="5">
        <v>11</v>
      </c>
      <c r="Q643" s="5">
        <v>83</v>
      </c>
      <c r="R643" s="5">
        <v>10</v>
      </c>
      <c r="S643" s="5">
        <v>82</v>
      </c>
    </row>
    <row r="644" spans="1:19" ht="28" x14ac:dyDescent="0.15">
      <c r="A644" s="2">
        <f>HYPERLINK("https://open-school.uspishnemisto.com.ua/school/50651/", 50651)</f>
        <v>50651</v>
      </c>
      <c r="B644" s="3" t="s">
        <v>3606</v>
      </c>
      <c r="C644" s="3" t="s">
        <v>31</v>
      </c>
      <c r="D644" s="3" t="s">
        <v>175</v>
      </c>
      <c r="E644" s="4" t="s">
        <v>22</v>
      </c>
      <c r="F644" s="4" t="s">
        <v>3607</v>
      </c>
      <c r="G644" s="4" t="s">
        <v>3608</v>
      </c>
      <c r="H644" s="3" t="s">
        <v>25</v>
      </c>
      <c r="I644" s="3" t="s">
        <v>2174</v>
      </c>
      <c r="J644" s="3" t="s">
        <v>3609</v>
      </c>
      <c r="K644" s="3" t="s">
        <v>3610</v>
      </c>
      <c r="L644" s="3"/>
      <c r="M644" s="4"/>
      <c r="N644" s="3" t="s">
        <v>37</v>
      </c>
      <c r="O644" s="3" t="s">
        <v>52</v>
      </c>
      <c r="P644" s="5">
        <v>5</v>
      </c>
      <c r="Q644" s="5">
        <v>38</v>
      </c>
      <c r="R644" s="5">
        <v>4</v>
      </c>
      <c r="S644" s="5">
        <v>38</v>
      </c>
    </row>
    <row r="645" spans="1:19" ht="28" x14ac:dyDescent="0.15">
      <c r="A645" s="2">
        <f>HYPERLINK("https://open-school.uspishnemisto.com.ua/school/50652/", 50652)</f>
        <v>50652</v>
      </c>
      <c r="B645" s="3" t="s">
        <v>3611</v>
      </c>
      <c r="C645" s="3" t="s">
        <v>31</v>
      </c>
      <c r="D645" s="3" t="s">
        <v>175</v>
      </c>
      <c r="E645" s="4" t="s">
        <v>22</v>
      </c>
      <c r="F645" s="4" t="s">
        <v>3612</v>
      </c>
      <c r="G645" s="4" t="s">
        <v>3613</v>
      </c>
      <c r="H645" s="3" t="s">
        <v>25</v>
      </c>
      <c r="I645" s="3" t="s">
        <v>3614</v>
      </c>
      <c r="J645" s="3" t="s">
        <v>1636</v>
      </c>
      <c r="K645" s="3" t="s">
        <v>3615</v>
      </c>
      <c r="L645" s="3"/>
      <c r="M645" s="4"/>
      <c r="N645" s="3" t="s">
        <v>37</v>
      </c>
      <c r="O645" s="3" t="s">
        <v>52</v>
      </c>
      <c r="P645" s="5">
        <v>7</v>
      </c>
      <c r="Q645" s="5">
        <v>60</v>
      </c>
      <c r="R645" s="5">
        <v>8</v>
      </c>
      <c r="S645" s="5">
        <v>71</v>
      </c>
    </row>
    <row r="646" spans="1:19" ht="28" x14ac:dyDescent="0.15">
      <c r="A646" s="2">
        <f>HYPERLINK("https://open-school.uspishnemisto.com.ua/school/50653/", 50653)</f>
        <v>50653</v>
      </c>
      <c r="B646" s="3" t="s">
        <v>3616</v>
      </c>
      <c r="C646" s="3" t="s">
        <v>31</v>
      </c>
      <c r="D646" s="3" t="s">
        <v>32</v>
      </c>
      <c r="E646" s="4" t="s">
        <v>22</v>
      </c>
      <c r="F646" s="4" t="s">
        <v>3617</v>
      </c>
      <c r="G646" s="4" t="s">
        <v>3618</v>
      </c>
      <c r="H646" s="3" t="s">
        <v>25</v>
      </c>
      <c r="I646" s="3" t="s">
        <v>3619</v>
      </c>
      <c r="J646" s="3" t="s">
        <v>3620</v>
      </c>
      <c r="K646" s="3" t="s">
        <v>3621</v>
      </c>
      <c r="L646" s="3"/>
      <c r="M646" s="4"/>
      <c r="N646" s="3" t="s">
        <v>37</v>
      </c>
      <c r="O646" s="3" t="s">
        <v>52</v>
      </c>
      <c r="P646" s="5">
        <v>8</v>
      </c>
      <c r="Q646" s="5">
        <v>61</v>
      </c>
      <c r="R646" s="5">
        <v>8</v>
      </c>
      <c r="S646" s="5">
        <v>64</v>
      </c>
    </row>
    <row r="647" spans="1:19" ht="28" x14ac:dyDescent="0.15">
      <c r="A647" s="2">
        <f>HYPERLINK("https://open-school.uspishnemisto.com.ua/school/50654/", 50654)</f>
        <v>50654</v>
      </c>
      <c r="B647" s="3" t="s">
        <v>3622</v>
      </c>
      <c r="C647" s="3" t="s">
        <v>31</v>
      </c>
      <c r="D647" s="3" t="s">
        <v>175</v>
      </c>
      <c r="E647" s="4" t="s">
        <v>22</v>
      </c>
      <c r="F647" s="4" t="s">
        <v>3623</v>
      </c>
      <c r="G647" s="4" t="s">
        <v>3624</v>
      </c>
      <c r="H647" s="3" t="s">
        <v>25</v>
      </c>
      <c r="I647" s="3" t="s">
        <v>3625</v>
      </c>
      <c r="J647" s="3" t="s">
        <v>3626</v>
      </c>
      <c r="K647" s="3" t="s">
        <v>3627</v>
      </c>
      <c r="L647" s="3"/>
      <c r="M647" s="4"/>
      <c r="N647" s="3" t="s">
        <v>37</v>
      </c>
      <c r="O647" s="3" t="s">
        <v>52</v>
      </c>
      <c r="P647" s="5">
        <v>5</v>
      </c>
      <c r="Q647" s="5">
        <v>35</v>
      </c>
      <c r="R647" s="5">
        <v>4</v>
      </c>
      <c r="S647" s="5">
        <v>34</v>
      </c>
    </row>
    <row r="648" spans="1:19" ht="28" x14ac:dyDescent="0.15">
      <c r="A648" s="2">
        <f>HYPERLINK("https://open-school.uspishnemisto.com.ua/school/50655/", 50655)</f>
        <v>50655</v>
      </c>
      <c r="B648" s="3" t="s">
        <v>1311</v>
      </c>
      <c r="C648" s="3" t="s">
        <v>31</v>
      </c>
      <c r="D648" s="3" t="s">
        <v>175</v>
      </c>
      <c r="E648" s="4" t="s">
        <v>22</v>
      </c>
      <c r="F648" s="4" t="s">
        <v>3628</v>
      </c>
      <c r="G648" s="4" t="s">
        <v>3629</v>
      </c>
      <c r="H648" s="3" t="s">
        <v>25</v>
      </c>
      <c r="I648" s="3" t="s">
        <v>1314</v>
      </c>
      <c r="J648" s="3" t="s">
        <v>3630</v>
      </c>
      <c r="K648" s="3" t="s">
        <v>3631</v>
      </c>
      <c r="L648" s="3"/>
      <c r="M648" s="4"/>
      <c r="N648" s="3" t="s">
        <v>37</v>
      </c>
      <c r="O648" s="3" t="s">
        <v>52</v>
      </c>
      <c r="P648" s="5">
        <v>0</v>
      </c>
      <c r="Q648" s="5">
        <v>0</v>
      </c>
      <c r="R648" s="5">
        <v>2</v>
      </c>
      <c r="S648" s="5">
        <v>28</v>
      </c>
    </row>
    <row r="649" spans="1:19" ht="28" x14ac:dyDescent="0.15">
      <c r="A649" s="2">
        <f>HYPERLINK("https://open-school.uspishnemisto.com.ua/school/50656/", 50656)</f>
        <v>50656</v>
      </c>
      <c r="B649" s="3" t="s">
        <v>3632</v>
      </c>
      <c r="C649" s="3" t="s">
        <v>31</v>
      </c>
      <c r="D649" s="3" t="s">
        <v>32</v>
      </c>
      <c r="E649" s="4" t="s">
        <v>22</v>
      </c>
      <c r="F649" s="4" t="s">
        <v>3633</v>
      </c>
      <c r="G649" s="4" t="s">
        <v>3634</v>
      </c>
      <c r="H649" s="3" t="s">
        <v>25</v>
      </c>
      <c r="I649" s="3" t="s">
        <v>3635</v>
      </c>
      <c r="J649" s="3" t="s">
        <v>3636</v>
      </c>
      <c r="K649" s="3" t="s">
        <v>3637</v>
      </c>
      <c r="L649" s="3"/>
      <c r="M649" s="4"/>
      <c r="N649" s="3" t="s">
        <v>37</v>
      </c>
      <c r="O649" s="3" t="s">
        <v>52</v>
      </c>
      <c r="P649" s="5">
        <v>8</v>
      </c>
      <c r="Q649" s="5">
        <v>75</v>
      </c>
      <c r="R649" s="5">
        <v>8</v>
      </c>
      <c r="S649" s="5">
        <v>81</v>
      </c>
    </row>
    <row r="650" spans="1:19" ht="28" x14ac:dyDescent="0.15">
      <c r="A650" s="2">
        <f>HYPERLINK("https://open-school.uspishnemisto.com.ua/school/50657/", 50657)</f>
        <v>50657</v>
      </c>
      <c r="B650" s="3" t="s">
        <v>3638</v>
      </c>
      <c r="C650" s="3" t="s">
        <v>31</v>
      </c>
      <c r="D650" s="3" t="s">
        <v>32</v>
      </c>
      <c r="E650" s="4" t="s">
        <v>22</v>
      </c>
      <c r="F650" s="4" t="s">
        <v>3639</v>
      </c>
      <c r="G650" s="4" t="s">
        <v>3640</v>
      </c>
      <c r="H650" s="3" t="s">
        <v>25</v>
      </c>
      <c r="I650" s="3" t="s">
        <v>3641</v>
      </c>
      <c r="J650" s="3" t="s">
        <v>3642</v>
      </c>
      <c r="K650" s="3" t="s">
        <v>3643</v>
      </c>
      <c r="L650" s="3"/>
      <c r="M650" s="4"/>
      <c r="N650" s="3" t="s">
        <v>37</v>
      </c>
      <c r="O650" s="3" t="s">
        <v>52</v>
      </c>
      <c r="P650" s="5">
        <v>11</v>
      </c>
      <c r="Q650" s="5">
        <v>172</v>
      </c>
      <c r="R650" s="5">
        <v>10</v>
      </c>
      <c r="S650" s="5">
        <v>165</v>
      </c>
    </row>
    <row r="651" spans="1:19" ht="28" x14ac:dyDescent="0.15">
      <c r="A651" s="2">
        <f>HYPERLINK("https://open-school.uspishnemisto.com.ua/school/50658/", 50658)</f>
        <v>50658</v>
      </c>
      <c r="B651" s="3" t="s">
        <v>3644</v>
      </c>
      <c r="C651" s="3" t="s">
        <v>31</v>
      </c>
      <c r="D651" s="3" t="s">
        <v>32</v>
      </c>
      <c r="E651" s="4" t="s">
        <v>22</v>
      </c>
      <c r="F651" s="4" t="s">
        <v>3645</v>
      </c>
      <c r="G651" s="4" t="s">
        <v>3646</v>
      </c>
      <c r="H651" s="3" t="s">
        <v>25</v>
      </c>
      <c r="I651" s="3" t="s">
        <v>3647</v>
      </c>
      <c r="J651" s="3" t="s">
        <v>1894</v>
      </c>
      <c r="K651" s="3" t="s">
        <v>3648</v>
      </c>
      <c r="L651" s="3" t="s">
        <v>3649</v>
      </c>
      <c r="M651" s="4"/>
      <c r="N651" s="3" t="s">
        <v>37</v>
      </c>
      <c r="O651" s="3" t="s">
        <v>52</v>
      </c>
      <c r="P651" s="5">
        <v>12</v>
      </c>
      <c r="Q651" s="5">
        <v>213</v>
      </c>
      <c r="R651" s="5">
        <v>12</v>
      </c>
      <c r="S651" s="5">
        <v>208</v>
      </c>
    </row>
    <row r="652" spans="1:19" ht="28" x14ac:dyDescent="0.15">
      <c r="A652" s="2">
        <f>HYPERLINK("https://open-school.uspishnemisto.com.ua/school/50659/", 50659)</f>
        <v>50659</v>
      </c>
      <c r="B652" s="3" t="s">
        <v>3650</v>
      </c>
      <c r="C652" s="3" t="s">
        <v>31</v>
      </c>
      <c r="D652" s="3" t="s">
        <v>32</v>
      </c>
      <c r="E652" s="4" t="s">
        <v>22</v>
      </c>
      <c r="F652" s="4" t="s">
        <v>3651</v>
      </c>
      <c r="G652" s="4" t="s">
        <v>3652</v>
      </c>
      <c r="H652" s="3" t="s">
        <v>25</v>
      </c>
      <c r="I652" s="3" t="s">
        <v>3653</v>
      </c>
      <c r="J652" s="3" t="s">
        <v>466</v>
      </c>
      <c r="K652" s="3" t="s">
        <v>3654</v>
      </c>
      <c r="L652" s="3"/>
      <c r="M652" s="4"/>
      <c r="N652" s="3" t="s">
        <v>37</v>
      </c>
      <c r="O652" s="3" t="s">
        <v>52</v>
      </c>
      <c r="P652" s="5">
        <v>16</v>
      </c>
      <c r="Q652" s="5">
        <v>301</v>
      </c>
      <c r="R652" s="5">
        <v>15</v>
      </c>
      <c r="S652" s="5">
        <v>284</v>
      </c>
    </row>
    <row r="653" spans="1:19" ht="28" x14ac:dyDescent="0.15">
      <c r="A653" s="2">
        <f>HYPERLINK("https://open-school.uspishnemisto.com.ua/school/50660/", 50660)</f>
        <v>50660</v>
      </c>
      <c r="B653" s="3" t="s">
        <v>3655</v>
      </c>
      <c r="C653" s="3" t="s">
        <v>31</v>
      </c>
      <c r="D653" s="3" t="s">
        <v>175</v>
      </c>
      <c r="E653" s="4" t="s">
        <v>22</v>
      </c>
      <c r="F653" s="4" t="s">
        <v>3656</v>
      </c>
      <c r="G653" s="4" t="s">
        <v>3657</v>
      </c>
      <c r="H653" s="3" t="s">
        <v>25</v>
      </c>
      <c r="I653" s="3" t="s">
        <v>3658</v>
      </c>
      <c r="J653" s="3" t="s">
        <v>3659</v>
      </c>
      <c r="K653" s="3"/>
      <c r="L653" s="3"/>
      <c r="M653" s="4"/>
      <c r="N653" s="3" t="s">
        <v>37</v>
      </c>
      <c r="O653" s="3" t="s">
        <v>52</v>
      </c>
      <c r="P653" s="5">
        <v>5</v>
      </c>
      <c r="Q653" s="5">
        <v>49</v>
      </c>
      <c r="R653" s="5">
        <v>6</v>
      </c>
      <c r="S653" s="5">
        <v>65</v>
      </c>
    </row>
    <row r="654" spans="1:19" ht="28" x14ac:dyDescent="0.15">
      <c r="A654" s="2">
        <f>HYPERLINK("https://open-school.uspishnemisto.com.ua/school/50661/", 50661)</f>
        <v>50661</v>
      </c>
      <c r="B654" s="3" t="s">
        <v>3660</v>
      </c>
      <c r="C654" s="3" t="s">
        <v>31</v>
      </c>
      <c r="D654" s="3" t="s">
        <v>32</v>
      </c>
      <c r="E654" s="4" t="s">
        <v>22</v>
      </c>
      <c r="F654" s="4" t="s">
        <v>3656</v>
      </c>
      <c r="G654" s="4" t="s">
        <v>3657</v>
      </c>
      <c r="H654" s="3" t="s">
        <v>25</v>
      </c>
      <c r="I654" s="3" t="s">
        <v>3658</v>
      </c>
      <c r="J654" s="3" t="s">
        <v>3661</v>
      </c>
      <c r="K654" s="3" t="s">
        <v>3662</v>
      </c>
      <c r="L654" s="3"/>
      <c r="M654" s="4"/>
      <c r="N654" s="3" t="s">
        <v>37</v>
      </c>
      <c r="O654" s="3" t="s">
        <v>52</v>
      </c>
      <c r="P654" s="5">
        <v>11</v>
      </c>
      <c r="Q654" s="5">
        <v>181</v>
      </c>
      <c r="R654" s="5">
        <v>11</v>
      </c>
      <c r="S654" s="5">
        <v>157</v>
      </c>
    </row>
    <row r="655" spans="1:19" ht="28" x14ac:dyDescent="0.15">
      <c r="A655" s="2">
        <f>HYPERLINK("https://open-school.uspishnemisto.com.ua/school/50662/", 50662)</f>
        <v>50662</v>
      </c>
      <c r="B655" s="3" t="s">
        <v>3663</v>
      </c>
      <c r="C655" s="3" t="s">
        <v>181</v>
      </c>
      <c r="D655" s="3" t="s">
        <v>175</v>
      </c>
      <c r="E655" s="4" t="s">
        <v>22</v>
      </c>
      <c r="F655" s="4" t="s">
        <v>3656</v>
      </c>
      <c r="G655" s="4" t="s">
        <v>3657</v>
      </c>
      <c r="H655" s="3" t="s">
        <v>25</v>
      </c>
      <c r="I655" s="3" t="s">
        <v>3658</v>
      </c>
      <c r="J655" s="3" t="s">
        <v>3664</v>
      </c>
      <c r="K655" s="3" t="s">
        <v>3665</v>
      </c>
      <c r="L655" s="3"/>
      <c r="M655" s="4" t="s">
        <v>3666</v>
      </c>
      <c r="N655" s="3" t="s">
        <v>37</v>
      </c>
      <c r="O655" s="3"/>
      <c r="P655" s="5">
        <v>10</v>
      </c>
      <c r="Q655" s="5">
        <v>110</v>
      </c>
      <c r="R655" s="5">
        <v>10</v>
      </c>
      <c r="S655" s="5">
        <v>111</v>
      </c>
    </row>
    <row r="656" spans="1:19" ht="28" x14ac:dyDescent="0.15">
      <c r="A656" s="2">
        <f>HYPERLINK("https://open-school.uspishnemisto.com.ua/school/50663/", 50663)</f>
        <v>50663</v>
      </c>
      <c r="B656" s="3" t="s">
        <v>3667</v>
      </c>
      <c r="C656" s="3" t="s">
        <v>31</v>
      </c>
      <c r="D656" s="3" t="s">
        <v>32</v>
      </c>
      <c r="E656" s="4" t="s">
        <v>22</v>
      </c>
      <c r="F656" s="4" t="s">
        <v>3668</v>
      </c>
      <c r="G656" s="4" t="s">
        <v>3669</v>
      </c>
      <c r="H656" s="3" t="s">
        <v>25</v>
      </c>
      <c r="I656" s="3" t="s">
        <v>3670</v>
      </c>
      <c r="J656" s="3" t="s">
        <v>3671</v>
      </c>
      <c r="K656" s="3" t="s">
        <v>3672</v>
      </c>
      <c r="L656" s="3"/>
      <c r="M656" s="4"/>
      <c r="N656" s="3" t="s">
        <v>37</v>
      </c>
      <c r="O656" s="3" t="s">
        <v>52</v>
      </c>
      <c r="P656" s="5">
        <v>11</v>
      </c>
      <c r="Q656" s="5">
        <v>108</v>
      </c>
      <c r="R656" s="5">
        <v>10</v>
      </c>
      <c r="S656" s="5">
        <v>104</v>
      </c>
    </row>
    <row r="657" spans="1:19" ht="28" x14ac:dyDescent="0.15">
      <c r="A657" s="2">
        <f>HYPERLINK("https://open-school.uspishnemisto.com.ua/school/50664/", 50664)</f>
        <v>50664</v>
      </c>
      <c r="B657" s="3" t="s">
        <v>3673</v>
      </c>
      <c r="C657" s="3" t="s">
        <v>31</v>
      </c>
      <c r="D657" s="3" t="s">
        <v>32</v>
      </c>
      <c r="E657" s="4" t="s">
        <v>22</v>
      </c>
      <c r="F657" s="4" t="s">
        <v>3674</v>
      </c>
      <c r="G657" s="4" t="s">
        <v>3675</v>
      </c>
      <c r="H657" s="3" t="s">
        <v>25</v>
      </c>
      <c r="I657" s="3" t="s">
        <v>3676</v>
      </c>
      <c r="J657" s="3" t="s">
        <v>3677</v>
      </c>
      <c r="K657" s="3" t="s">
        <v>3678</v>
      </c>
      <c r="L657" s="3"/>
      <c r="M657" s="4"/>
      <c r="N657" s="3" t="s">
        <v>37</v>
      </c>
      <c r="O657" s="3" t="s">
        <v>52</v>
      </c>
      <c r="P657" s="5">
        <v>10</v>
      </c>
      <c r="Q657" s="5">
        <v>97</v>
      </c>
      <c r="R657" s="5">
        <v>10</v>
      </c>
      <c r="S657" s="5">
        <v>90</v>
      </c>
    </row>
    <row r="658" spans="1:19" ht="28" x14ac:dyDescent="0.15">
      <c r="A658" s="2">
        <f>HYPERLINK("https://open-school.uspishnemisto.com.ua/school/50665/", 50665)</f>
        <v>50665</v>
      </c>
      <c r="B658" s="3" t="s">
        <v>3679</v>
      </c>
      <c r="C658" s="3" t="s">
        <v>31</v>
      </c>
      <c r="D658" s="3" t="s">
        <v>175</v>
      </c>
      <c r="E658" s="4" t="s">
        <v>22</v>
      </c>
      <c r="F658" s="4" t="s">
        <v>3680</v>
      </c>
      <c r="G658" s="4" t="s">
        <v>3681</v>
      </c>
      <c r="H658" s="3" t="s">
        <v>25</v>
      </c>
      <c r="I658" s="3" t="s">
        <v>3682</v>
      </c>
      <c r="J658" s="3" t="s">
        <v>3683</v>
      </c>
      <c r="K658" s="3" t="s">
        <v>3684</v>
      </c>
      <c r="L658" s="3"/>
      <c r="M658" s="4"/>
      <c r="N658" s="3" t="s">
        <v>37</v>
      </c>
      <c r="O658" s="3" t="s">
        <v>618</v>
      </c>
      <c r="P658" s="5">
        <v>2</v>
      </c>
      <c r="Q658" s="5">
        <v>34</v>
      </c>
      <c r="R658" s="5">
        <v>2</v>
      </c>
      <c r="S658" s="5">
        <v>33</v>
      </c>
    </row>
    <row r="659" spans="1:19" ht="28" x14ac:dyDescent="0.15">
      <c r="A659" s="2">
        <f>HYPERLINK("https://open-school.uspishnemisto.com.ua/school/50666/", 50666)</f>
        <v>50666</v>
      </c>
      <c r="B659" s="3" t="s">
        <v>3685</v>
      </c>
      <c r="C659" s="3" t="s">
        <v>31</v>
      </c>
      <c r="D659" s="3" t="s">
        <v>32</v>
      </c>
      <c r="E659" s="4" t="s">
        <v>22</v>
      </c>
      <c r="F659" s="4" t="s">
        <v>2659</v>
      </c>
      <c r="G659" s="4" t="s">
        <v>3686</v>
      </c>
      <c r="H659" s="3" t="s">
        <v>25</v>
      </c>
      <c r="I659" s="3" t="s">
        <v>3687</v>
      </c>
      <c r="J659" s="3" t="s">
        <v>792</v>
      </c>
      <c r="K659" s="3" t="s">
        <v>3688</v>
      </c>
      <c r="L659" s="3"/>
      <c r="M659" s="4"/>
      <c r="N659" s="3" t="s">
        <v>37</v>
      </c>
      <c r="O659" s="3" t="s">
        <v>52</v>
      </c>
      <c r="P659" s="5">
        <v>11</v>
      </c>
      <c r="Q659" s="5">
        <v>96</v>
      </c>
      <c r="R659" s="5">
        <v>10</v>
      </c>
      <c r="S659" s="5">
        <v>90</v>
      </c>
    </row>
    <row r="660" spans="1:19" ht="28" x14ac:dyDescent="0.15">
      <c r="A660" s="2">
        <f>HYPERLINK("https://open-school.uspishnemisto.com.ua/school/50667/", 50667)</f>
        <v>50667</v>
      </c>
      <c r="B660" s="3" t="s">
        <v>3689</v>
      </c>
      <c r="C660" s="3" t="s">
        <v>31</v>
      </c>
      <c r="D660" s="3" t="s">
        <v>32</v>
      </c>
      <c r="E660" s="4" t="s">
        <v>22</v>
      </c>
      <c r="F660" s="4" t="s">
        <v>3690</v>
      </c>
      <c r="G660" s="4" t="s">
        <v>3691</v>
      </c>
      <c r="H660" s="3" t="s">
        <v>25</v>
      </c>
      <c r="I660" s="3" t="s">
        <v>3692</v>
      </c>
      <c r="J660" s="3" t="s">
        <v>3693</v>
      </c>
      <c r="K660" s="3" t="s">
        <v>3694</v>
      </c>
      <c r="L660" s="3"/>
      <c r="M660" s="4"/>
      <c r="N660" s="3" t="s">
        <v>37</v>
      </c>
      <c r="O660" s="3" t="s">
        <v>52</v>
      </c>
      <c r="P660" s="5">
        <v>11</v>
      </c>
      <c r="Q660" s="5">
        <v>105</v>
      </c>
      <c r="R660" s="5">
        <v>11</v>
      </c>
      <c r="S660" s="5">
        <v>104</v>
      </c>
    </row>
    <row r="661" spans="1:19" ht="28" x14ac:dyDescent="0.15">
      <c r="A661" s="2">
        <f>HYPERLINK("https://open-school.uspishnemisto.com.ua/school/50668/", 50668)</f>
        <v>50668</v>
      </c>
      <c r="B661" s="3" t="s">
        <v>3695</v>
      </c>
      <c r="C661" s="3" t="s">
        <v>31</v>
      </c>
      <c r="D661" s="3" t="s">
        <v>32</v>
      </c>
      <c r="E661" s="4" t="s">
        <v>22</v>
      </c>
      <c r="F661" s="4" t="s">
        <v>3696</v>
      </c>
      <c r="G661" s="4" t="s">
        <v>3697</v>
      </c>
      <c r="H661" s="3" t="s">
        <v>25</v>
      </c>
      <c r="I661" s="3" t="s">
        <v>3698</v>
      </c>
      <c r="J661" s="3" t="s">
        <v>3699</v>
      </c>
      <c r="K661" s="3" t="s">
        <v>3700</v>
      </c>
      <c r="L661" s="3"/>
      <c r="M661" s="4"/>
      <c r="N661" s="3" t="s">
        <v>37</v>
      </c>
      <c r="O661" s="3" t="s">
        <v>52</v>
      </c>
      <c r="P661" s="5">
        <v>11</v>
      </c>
      <c r="Q661" s="5">
        <v>125</v>
      </c>
      <c r="R661" s="5">
        <v>11</v>
      </c>
      <c r="S661" s="5">
        <v>122</v>
      </c>
    </row>
    <row r="662" spans="1:19" ht="42" x14ac:dyDescent="0.15">
      <c r="A662" s="2">
        <f>HYPERLINK("https://open-school.uspishnemisto.com.ua/school/50669/", 50669)</f>
        <v>50669</v>
      </c>
      <c r="B662" s="3" t="s">
        <v>3701</v>
      </c>
      <c r="C662" s="3" t="s">
        <v>31</v>
      </c>
      <c r="D662" s="3" t="s">
        <v>32</v>
      </c>
      <c r="E662" s="4" t="s">
        <v>22</v>
      </c>
      <c r="F662" s="4" t="s">
        <v>3702</v>
      </c>
      <c r="G662" s="4" t="s">
        <v>3703</v>
      </c>
      <c r="H662" s="3" t="s">
        <v>25</v>
      </c>
      <c r="I662" s="3" t="s">
        <v>3704</v>
      </c>
      <c r="J662" s="3" t="s">
        <v>3705</v>
      </c>
      <c r="K662" s="3" t="s">
        <v>3706</v>
      </c>
      <c r="L662" s="3"/>
      <c r="M662" s="4"/>
      <c r="N662" s="3" t="s">
        <v>37</v>
      </c>
      <c r="O662" s="3" t="s">
        <v>46</v>
      </c>
      <c r="P662" s="5">
        <v>24</v>
      </c>
      <c r="Q662" s="5">
        <v>593</v>
      </c>
      <c r="R662" s="5">
        <v>25</v>
      </c>
      <c r="S662" s="5">
        <v>616</v>
      </c>
    </row>
    <row r="663" spans="1:19" ht="28" x14ac:dyDescent="0.15">
      <c r="A663" s="2">
        <f>HYPERLINK("https://open-school.uspishnemisto.com.ua/school/50670/", 50670)</f>
        <v>50670</v>
      </c>
      <c r="B663" s="3" t="s">
        <v>3707</v>
      </c>
      <c r="C663" s="3" t="s">
        <v>31</v>
      </c>
      <c r="D663" s="3" t="s">
        <v>32</v>
      </c>
      <c r="E663" s="4" t="s">
        <v>22</v>
      </c>
      <c r="F663" s="4" t="s">
        <v>3702</v>
      </c>
      <c r="G663" s="4" t="s">
        <v>3703</v>
      </c>
      <c r="H663" s="3" t="s">
        <v>25</v>
      </c>
      <c r="I663" s="3" t="s">
        <v>3704</v>
      </c>
      <c r="J663" s="3" t="s">
        <v>3708</v>
      </c>
      <c r="K663" s="3" t="s">
        <v>3709</v>
      </c>
      <c r="L663" s="3"/>
      <c r="M663" s="4"/>
      <c r="N663" s="3" t="s">
        <v>37</v>
      </c>
      <c r="O663" s="3" t="s">
        <v>52</v>
      </c>
      <c r="P663" s="5">
        <v>32</v>
      </c>
      <c r="Q663" s="5">
        <v>802</v>
      </c>
      <c r="R663" s="5">
        <v>30</v>
      </c>
      <c r="S663" s="5">
        <v>739</v>
      </c>
    </row>
    <row r="664" spans="1:19" ht="42" x14ac:dyDescent="0.15">
      <c r="A664" s="2">
        <f>HYPERLINK("https://open-school.uspishnemisto.com.ua/school/50671/", 50671)</f>
        <v>50671</v>
      </c>
      <c r="B664" s="3" t="s">
        <v>3710</v>
      </c>
      <c r="C664" s="3" t="s">
        <v>31</v>
      </c>
      <c r="D664" s="3" t="s">
        <v>32</v>
      </c>
      <c r="E664" s="4" t="s">
        <v>22</v>
      </c>
      <c r="F664" s="4" t="s">
        <v>3702</v>
      </c>
      <c r="G664" s="4" t="s">
        <v>3703</v>
      </c>
      <c r="H664" s="3" t="s">
        <v>25</v>
      </c>
      <c r="I664" s="3" t="s">
        <v>3704</v>
      </c>
      <c r="J664" s="3" t="s">
        <v>3711</v>
      </c>
      <c r="K664" s="3" t="s">
        <v>3712</v>
      </c>
      <c r="L664" s="3" t="s">
        <v>3713</v>
      </c>
      <c r="M664" s="4"/>
      <c r="N664" s="3" t="s">
        <v>37</v>
      </c>
      <c r="O664" s="3" t="s">
        <v>52</v>
      </c>
      <c r="P664" s="5">
        <v>27</v>
      </c>
      <c r="Q664" s="5">
        <v>570</v>
      </c>
      <c r="R664" s="5">
        <v>26</v>
      </c>
      <c r="S664" s="5">
        <v>527</v>
      </c>
    </row>
    <row r="665" spans="1:19" ht="42" x14ac:dyDescent="0.15">
      <c r="A665" s="2">
        <f>HYPERLINK("https://open-school.uspishnemisto.com.ua/school/50672/", 50672)</f>
        <v>50672</v>
      </c>
      <c r="B665" s="3" t="s">
        <v>3714</v>
      </c>
      <c r="C665" s="3" t="s">
        <v>293</v>
      </c>
      <c r="D665" s="3" t="s">
        <v>32</v>
      </c>
      <c r="E665" s="4" t="s">
        <v>22</v>
      </c>
      <c r="F665" s="4" t="s">
        <v>3702</v>
      </c>
      <c r="G665" s="4" t="s">
        <v>3703</v>
      </c>
      <c r="H665" s="3" t="s">
        <v>25</v>
      </c>
      <c r="I665" s="3" t="s">
        <v>3704</v>
      </c>
      <c r="J665" s="3" t="s">
        <v>3715</v>
      </c>
      <c r="K665" s="3"/>
      <c r="L665" s="3"/>
      <c r="M665" s="4" t="s">
        <v>3716</v>
      </c>
      <c r="N665" s="3" t="s">
        <v>37</v>
      </c>
      <c r="O665" s="3" t="s">
        <v>46</v>
      </c>
      <c r="P665" s="5">
        <v>19</v>
      </c>
      <c r="Q665" s="5">
        <v>405</v>
      </c>
      <c r="R665" s="5">
        <v>21</v>
      </c>
      <c r="S665" s="5">
        <v>419</v>
      </c>
    </row>
    <row r="666" spans="1:19" ht="28" x14ac:dyDescent="0.15">
      <c r="A666" s="2">
        <f>HYPERLINK("https://open-school.uspishnemisto.com.ua/school/50673/", 50673)</f>
        <v>50673</v>
      </c>
      <c r="B666" s="3" t="s">
        <v>3717</v>
      </c>
      <c r="C666" s="3" t="s">
        <v>31</v>
      </c>
      <c r="D666" s="3" t="s">
        <v>175</v>
      </c>
      <c r="E666" s="4" t="s">
        <v>22</v>
      </c>
      <c r="F666" s="4" t="s">
        <v>3718</v>
      </c>
      <c r="G666" s="4" t="s">
        <v>3719</v>
      </c>
      <c r="H666" s="3" t="s">
        <v>25</v>
      </c>
      <c r="I666" s="3" t="s">
        <v>3720</v>
      </c>
      <c r="J666" s="3" t="s">
        <v>3721</v>
      </c>
      <c r="K666" s="3" t="s">
        <v>3722</v>
      </c>
      <c r="L666" s="3" t="s">
        <v>3723</v>
      </c>
      <c r="M666" s="4"/>
      <c r="N666" s="3" t="s">
        <v>37</v>
      </c>
      <c r="O666" s="3" t="s">
        <v>52</v>
      </c>
      <c r="P666" s="5">
        <v>9</v>
      </c>
      <c r="Q666" s="5">
        <v>89</v>
      </c>
      <c r="R666" s="5">
        <v>9</v>
      </c>
      <c r="S666" s="5">
        <v>84</v>
      </c>
    </row>
    <row r="667" spans="1:19" ht="28" x14ac:dyDescent="0.15">
      <c r="A667" s="2">
        <f>HYPERLINK("https://open-school.uspishnemisto.com.ua/school/50674/", 50674)</f>
        <v>50674</v>
      </c>
      <c r="B667" s="3" t="s">
        <v>3724</v>
      </c>
      <c r="C667" s="3" t="s">
        <v>31</v>
      </c>
      <c r="D667" s="3" t="s">
        <v>32</v>
      </c>
      <c r="E667" s="4" t="s">
        <v>22</v>
      </c>
      <c r="F667" s="4" t="s">
        <v>3718</v>
      </c>
      <c r="G667" s="4" t="s">
        <v>3719</v>
      </c>
      <c r="H667" s="3" t="s">
        <v>25</v>
      </c>
      <c r="I667" s="3" t="s">
        <v>3720</v>
      </c>
      <c r="J667" s="3" t="s">
        <v>3725</v>
      </c>
      <c r="K667" s="3" t="s">
        <v>3726</v>
      </c>
      <c r="L667" s="3" t="s">
        <v>3727</v>
      </c>
      <c r="M667" s="4"/>
      <c r="N667" s="3" t="s">
        <v>37</v>
      </c>
      <c r="O667" s="3" t="s">
        <v>52</v>
      </c>
      <c r="P667" s="5">
        <v>20</v>
      </c>
      <c r="Q667" s="5">
        <v>378</v>
      </c>
      <c r="R667" s="5">
        <v>20</v>
      </c>
      <c r="S667" s="5">
        <v>385</v>
      </c>
    </row>
    <row r="668" spans="1:19" ht="28" x14ac:dyDescent="0.15">
      <c r="A668" s="2">
        <f>HYPERLINK("https://open-school.uspishnemisto.com.ua/school/50675/", 50675)</f>
        <v>50675</v>
      </c>
      <c r="B668" s="3" t="s">
        <v>3728</v>
      </c>
      <c r="C668" s="3" t="s">
        <v>31</v>
      </c>
      <c r="D668" s="3" t="s">
        <v>32</v>
      </c>
      <c r="E668" s="4" t="s">
        <v>22</v>
      </c>
      <c r="F668" s="4" t="s">
        <v>3729</v>
      </c>
      <c r="G668" s="4" t="s">
        <v>3730</v>
      </c>
      <c r="H668" s="3" t="s">
        <v>25</v>
      </c>
      <c r="I668" s="3" t="s">
        <v>3731</v>
      </c>
      <c r="J668" s="3" t="s">
        <v>3732</v>
      </c>
      <c r="K668" s="3" t="s">
        <v>3733</v>
      </c>
      <c r="L668" s="3"/>
      <c r="M668" s="4"/>
      <c r="N668" s="3" t="s">
        <v>37</v>
      </c>
      <c r="O668" s="3" t="s">
        <v>52</v>
      </c>
      <c r="P668" s="5">
        <v>19</v>
      </c>
      <c r="Q668" s="5">
        <v>352</v>
      </c>
      <c r="R668" s="5">
        <v>19</v>
      </c>
      <c r="S668" s="5">
        <v>349</v>
      </c>
    </row>
    <row r="669" spans="1:19" ht="28" x14ac:dyDescent="0.15">
      <c r="A669" s="2">
        <f>HYPERLINK("https://open-school.uspishnemisto.com.ua/school/50676/", 50676)</f>
        <v>50676</v>
      </c>
      <c r="B669" s="3" t="s">
        <v>3734</v>
      </c>
      <c r="C669" s="3" t="s">
        <v>31</v>
      </c>
      <c r="D669" s="3" t="s">
        <v>32</v>
      </c>
      <c r="E669" s="4" t="s">
        <v>22</v>
      </c>
      <c r="F669" s="4" t="s">
        <v>3735</v>
      </c>
      <c r="G669" s="4" t="s">
        <v>3736</v>
      </c>
      <c r="H669" s="3" t="s">
        <v>25</v>
      </c>
      <c r="I669" s="3" t="s">
        <v>3737</v>
      </c>
      <c r="J669" s="3" t="s">
        <v>3738</v>
      </c>
      <c r="K669" s="3" t="s">
        <v>3739</v>
      </c>
      <c r="L669" s="3" t="s">
        <v>3740</v>
      </c>
      <c r="M669" s="4"/>
      <c r="N669" s="3" t="s">
        <v>37</v>
      </c>
      <c r="O669" s="3" t="s">
        <v>52</v>
      </c>
      <c r="P669" s="5">
        <v>11</v>
      </c>
      <c r="Q669" s="5">
        <v>84</v>
      </c>
      <c r="R669" s="5">
        <v>11</v>
      </c>
      <c r="S669" s="5">
        <v>86</v>
      </c>
    </row>
    <row r="670" spans="1:19" ht="28" x14ac:dyDescent="0.15">
      <c r="A670" s="2">
        <f>HYPERLINK("https://open-school.uspishnemisto.com.ua/school/50677/", 50677)</f>
        <v>50677</v>
      </c>
      <c r="B670" s="3" t="s">
        <v>3741</v>
      </c>
      <c r="C670" s="3" t="s">
        <v>31</v>
      </c>
      <c r="D670" s="3" t="s">
        <v>32</v>
      </c>
      <c r="E670" s="4" t="s">
        <v>22</v>
      </c>
      <c r="F670" s="4" t="s">
        <v>3742</v>
      </c>
      <c r="G670" s="4" t="s">
        <v>3743</v>
      </c>
      <c r="H670" s="3" t="s">
        <v>25</v>
      </c>
      <c r="I670" s="3" t="s">
        <v>3744</v>
      </c>
      <c r="J670" s="3" t="s">
        <v>3745</v>
      </c>
      <c r="K670" s="3" t="s">
        <v>3746</v>
      </c>
      <c r="L670" s="3" t="s">
        <v>3747</v>
      </c>
      <c r="M670" s="4"/>
      <c r="N670" s="3" t="s">
        <v>37</v>
      </c>
      <c r="O670" s="3" t="s">
        <v>46</v>
      </c>
      <c r="P670" s="5">
        <v>8</v>
      </c>
      <c r="Q670" s="5">
        <v>57</v>
      </c>
      <c r="R670" s="5">
        <v>7</v>
      </c>
      <c r="S670" s="5">
        <v>57</v>
      </c>
    </row>
    <row r="671" spans="1:19" ht="28" x14ac:dyDescent="0.15">
      <c r="A671" s="2">
        <f>HYPERLINK("https://open-school.uspishnemisto.com.ua/school/50678/", 50678)</f>
        <v>50678</v>
      </c>
      <c r="B671" s="3" t="s">
        <v>3748</v>
      </c>
      <c r="C671" s="3" t="s">
        <v>31</v>
      </c>
      <c r="D671" s="3" t="s">
        <v>175</v>
      </c>
      <c r="E671" s="4" t="s">
        <v>22</v>
      </c>
      <c r="F671" s="4" t="s">
        <v>3749</v>
      </c>
      <c r="G671" s="4" t="s">
        <v>3750</v>
      </c>
      <c r="H671" s="3" t="s">
        <v>25</v>
      </c>
      <c r="I671" s="3" t="s">
        <v>3751</v>
      </c>
      <c r="J671" s="3" t="s">
        <v>3752</v>
      </c>
      <c r="K671" s="3" t="s">
        <v>3753</v>
      </c>
      <c r="L671" s="3"/>
      <c r="M671" s="4"/>
      <c r="N671" s="3" t="s">
        <v>37</v>
      </c>
      <c r="O671" s="3" t="s">
        <v>52</v>
      </c>
      <c r="P671" s="5">
        <v>4</v>
      </c>
      <c r="Q671" s="5">
        <v>44</v>
      </c>
      <c r="R671" s="5">
        <v>6</v>
      </c>
      <c r="S671" s="5">
        <v>52</v>
      </c>
    </row>
    <row r="672" spans="1:19" ht="28" x14ac:dyDescent="0.15">
      <c r="A672" s="2">
        <f>HYPERLINK("https://open-school.uspishnemisto.com.ua/school/50679/", 50679)</f>
        <v>50679</v>
      </c>
      <c r="B672" s="3" t="s">
        <v>3754</v>
      </c>
      <c r="C672" s="3" t="s">
        <v>31</v>
      </c>
      <c r="D672" s="3" t="s">
        <v>60</v>
      </c>
      <c r="E672" s="4" t="s">
        <v>22</v>
      </c>
      <c r="F672" s="4" t="s">
        <v>3755</v>
      </c>
      <c r="G672" s="4" t="s">
        <v>3756</v>
      </c>
      <c r="H672" s="3" t="s">
        <v>25</v>
      </c>
      <c r="I672" s="3" t="s">
        <v>3757</v>
      </c>
      <c r="J672" s="3" t="s">
        <v>3758</v>
      </c>
      <c r="K672" s="3" t="s">
        <v>3759</v>
      </c>
      <c r="L672" s="3"/>
      <c r="M672" s="4"/>
      <c r="N672" s="3" t="s">
        <v>37</v>
      </c>
      <c r="O672" s="3" t="s">
        <v>52</v>
      </c>
      <c r="P672" s="5">
        <v>2</v>
      </c>
      <c r="Q672" s="5">
        <v>17</v>
      </c>
      <c r="R672" s="5">
        <v>3</v>
      </c>
      <c r="S672" s="5">
        <v>18</v>
      </c>
    </row>
    <row r="673" spans="1:19" ht="28" x14ac:dyDescent="0.15">
      <c r="A673" s="2">
        <f>HYPERLINK("https://open-school.uspishnemisto.com.ua/school/50680/", 50680)</f>
        <v>50680</v>
      </c>
      <c r="B673" s="3" t="s">
        <v>3760</v>
      </c>
      <c r="C673" s="3" t="s">
        <v>31</v>
      </c>
      <c r="D673" s="3" t="s">
        <v>175</v>
      </c>
      <c r="E673" s="4" t="s">
        <v>22</v>
      </c>
      <c r="F673" s="4" t="s">
        <v>3761</v>
      </c>
      <c r="G673" s="4" t="s">
        <v>3762</v>
      </c>
      <c r="H673" s="3" t="s">
        <v>25</v>
      </c>
      <c r="I673" s="3" t="s">
        <v>3763</v>
      </c>
      <c r="J673" s="3" t="s">
        <v>3764</v>
      </c>
      <c r="K673" s="3" t="s">
        <v>3765</v>
      </c>
      <c r="L673" s="3"/>
      <c r="M673" s="4"/>
      <c r="N673" s="3" t="s">
        <v>37</v>
      </c>
      <c r="O673" s="3" t="s">
        <v>52</v>
      </c>
      <c r="P673" s="5">
        <v>8</v>
      </c>
      <c r="Q673" s="5">
        <v>59</v>
      </c>
      <c r="R673" s="5">
        <v>8</v>
      </c>
      <c r="S673" s="5">
        <v>63</v>
      </c>
    </row>
    <row r="674" spans="1:19" ht="28" x14ac:dyDescent="0.15">
      <c r="A674" s="2">
        <f>HYPERLINK("https://open-school.uspishnemisto.com.ua/school/50681/", 50681)</f>
        <v>50681</v>
      </c>
      <c r="B674" s="3" t="s">
        <v>3766</v>
      </c>
      <c r="C674" s="3" t="s">
        <v>31</v>
      </c>
      <c r="D674" s="3" t="s">
        <v>32</v>
      </c>
      <c r="E674" s="4" t="s">
        <v>22</v>
      </c>
      <c r="F674" s="4" t="s">
        <v>3767</v>
      </c>
      <c r="G674" s="4" t="s">
        <v>3768</v>
      </c>
      <c r="H674" s="3" t="s">
        <v>25</v>
      </c>
      <c r="I674" s="3" t="s">
        <v>465</v>
      </c>
      <c r="J674" s="3" t="s">
        <v>3769</v>
      </c>
      <c r="K674" s="3" t="s">
        <v>3770</v>
      </c>
      <c r="L674" s="3"/>
      <c r="M674" s="4"/>
      <c r="N674" s="3" t="s">
        <v>37</v>
      </c>
      <c r="O674" s="3" t="s">
        <v>52</v>
      </c>
      <c r="P674" s="5">
        <v>11</v>
      </c>
      <c r="Q674" s="5">
        <v>115</v>
      </c>
      <c r="R674" s="5">
        <v>11</v>
      </c>
      <c r="S674" s="5">
        <v>116</v>
      </c>
    </row>
    <row r="675" spans="1:19" ht="28" x14ac:dyDescent="0.15">
      <c r="A675" s="2">
        <f>HYPERLINK("https://open-school.uspishnemisto.com.ua/school/50682/", 50682)</f>
        <v>50682</v>
      </c>
      <c r="B675" s="3" t="s">
        <v>3771</v>
      </c>
      <c r="C675" s="3" t="s">
        <v>31</v>
      </c>
      <c r="D675" s="3" t="s">
        <v>32</v>
      </c>
      <c r="E675" s="4" t="s">
        <v>22</v>
      </c>
      <c r="F675" s="4" t="s">
        <v>3772</v>
      </c>
      <c r="G675" s="4" t="s">
        <v>3773</v>
      </c>
      <c r="H675" s="3" t="s">
        <v>25</v>
      </c>
      <c r="I675" s="3" t="s">
        <v>3774</v>
      </c>
      <c r="J675" s="3" t="s">
        <v>3775</v>
      </c>
      <c r="K675" s="3" t="s">
        <v>3776</v>
      </c>
      <c r="L675" s="3"/>
      <c r="M675" s="4"/>
      <c r="N675" s="3" t="s">
        <v>37</v>
      </c>
      <c r="O675" s="3" t="s">
        <v>46</v>
      </c>
      <c r="P675" s="5">
        <v>10</v>
      </c>
      <c r="Q675" s="5">
        <v>85</v>
      </c>
      <c r="R675" s="5">
        <v>10</v>
      </c>
      <c r="S675" s="5">
        <v>87</v>
      </c>
    </row>
    <row r="676" spans="1:19" ht="28" x14ac:dyDescent="0.15">
      <c r="A676" s="2">
        <f>HYPERLINK("https://open-school.uspishnemisto.com.ua/school/50683/", 50683)</f>
        <v>50683</v>
      </c>
      <c r="B676" s="3" t="s">
        <v>3777</v>
      </c>
      <c r="C676" s="3" t="s">
        <v>31</v>
      </c>
      <c r="D676" s="3" t="s">
        <v>60</v>
      </c>
      <c r="E676" s="4" t="s">
        <v>22</v>
      </c>
      <c r="F676" s="4" t="s">
        <v>3778</v>
      </c>
      <c r="G676" s="4" t="s">
        <v>3779</v>
      </c>
      <c r="H676" s="3" t="s">
        <v>25</v>
      </c>
      <c r="I676" s="3" t="s">
        <v>1500</v>
      </c>
      <c r="J676" s="3" t="s">
        <v>3780</v>
      </c>
      <c r="K676" s="3"/>
      <c r="L676" s="3"/>
      <c r="M676" s="4"/>
      <c r="N676" s="3" t="s">
        <v>37</v>
      </c>
      <c r="O676" s="3" t="s">
        <v>618</v>
      </c>
      <c r="P676" s="5">
        <v>1</v>
      </c>
      <c r="Q676" s="5">
        <v>7</v>
      </c>
      <c r="R676" s="5">
        <v>0</v>
      </c>
      <c r="S676" s="5">
        <v>6</v>
      </c>
    </row>
    <row r="677" spans="1:19" ht="28" x14ac:dyDescent="0.15">
      <c r="A677" s="2">
        <f>HYPERLINK("https://open-school.uspishnemisto.com.ua/school/50684/", 50684)</f>
        <v>50684</v>
      </c>
      <c r="B677" s="3" t="s">
        <v>3781</v>
      </c>
      <c r="C677" s="3" t="s">
        <v>31</v>
      </c>
      <c r="D677" s="3" t="s">
        <v>175</v>
      </c>
      <c r="E677" s="4" t="s">
        <v>22</v>
      </c>
      <c r="F677" s="4" t="s">
        <v>3782</v>
      </c>
      <c r="G677" s="4" t="s">
        <v>3783</v>
      </c>
      <c r="H677" s="3" t="s">
        <v>25</v>
      </c>
      <c r="I677" s="3" t="s">
        <v>3784</v>
      </c>
      <c r="J677" s="3" t="s">
        <v>3785</v>
      </c>
      <c r="K677" s="3" t="s">
        <v>3786</v>
      </c>
      <c r="L677" s="3"/>
      <c r="M677" s="4"/>
      <c r="N677" s="3" t="s">
        <v>37</v>
      </c>
      <c r="O677" s="3" t="s">
        <v>52</v>
      </c>
      <c r="P677" s="5">
        <v>9</v>
      </c>
      <c r="Q677" s="5">
        <v>82</v>
      </c>
      <c r="R677" s="5">
        <v>9</v>
      </c>
      <c r="S677" s="5">
        <v>80</v>
      </c>
    </row>
    <row r="678" spans="1:19" ht="28" x14ac:dyDescent="0.15">
      <c r="A678" s="2">
        <f>HYPERLINK("https://open-school.uspishnemisto.com.ua/school/50685/", 50685)</f>
        <v>50685</v>
      </c>
      <c r="B678" s="3" t="s">
        <v>3787</v>
      </c>
      <c r="C678" s="3" t="s">
        <v>31</v>
      </c>
      <c r="D678" s="3" t="s">
        <v>32</v>
      </c>
      <c r="E678" s="4" t="s">
        <v>22</v>
      </c>
      <c r="F678" s="4" t="s">
        <v>3788</v>
      </c>
      <c r="G678" s="4" t="s">
        <v>3789</v>
      </c>
      <c r="H678" s="3" t="s">
        <v>25</v>
      </c>
      <c r="I678" s="3" t="s">
        <v>3790</v>
      </c>
      <c r="J678" s="3" t="s">
        <v>3791</v>
      </c>
      <c r="K678" s="3" t="s">
        <v>3792</v>
      </c>
      <c r="L678" s="3"/>
      <c r="M678" s="4"/>
      <c r="N678" s="3" t="s">
        <v>37</v>
      </c>
      <c r="O678" s="3" t="s">
        <v>52</v>
      </c>
      <c r="P678" s="5">
        <v>9</v>
      </c>
      <c r="Q678" s="5">
        <v>100</v>
      </c>
      <c r="R678" s="5">
        <v>9</v>
      </c>
      <c r="S678" s="5">
        <v>93</v>
      </c>
    </row>
    <row r="679" spans="1:19" ht="28" x14ac:dyDescent="0.15">
      <c r="A679" s="2">
        <f>HYPERLINK("https://open-school.uspishnemisto.com.ua/school/50686/", 50686)</f>
        <v>50686</v>
      </c>
      <c r="B679" s="3" t="s">
        <v>3793</v>
      </c>
      <c r="C679" s="3" t="s">
        <v>31</v>
      </c>
      <c r="D679" s="3" t="s">
        <v>32</v>
      </c>
      <c r="E679" s="4" t="s">
        <v>22</v>
      </c>
      <c r="F679" s="4" t="s">
        <v>3794</v>
      </c>
      <c r="G679" s="4" t="s">
        <v>3795</v>
      </c>
      <c r="H679" s="3" t="s">
        <v>25</v>
      </c>
      <c r="I679" s="3" t="s">
        <v>3796</v>
      </c>
      <c r="J679" s="3" t="s">
        <v>3797</v>
      </c>
      <c r="K679" s="3" t="s">
        <v>3798</v>
      </c>
      <c r="L679" s="3"/>
      <c r="M679" s="4"/>
      <c r="N679" s="3" t="s">
        <v>37</v>
      </c>
      <c r="O679" s="3" t="s">
        <v>52</v>
      </c>
      <c r="P679" s="5">
        <v>9</v>
      </c>
      <c r="Q679" s="5">
        <v>113</v>
      </c>
      <c r="R679" s="5">
        <v>9</v>
      </c>
      <c r="S679" s="5">
        <v>106</v>
      </c>
    </row>
    <row r="680" spans="1:19" ht="28" x14ac:dyDescent="0.15">
      <c r="A680" s="2">
        <f>HYPERLINK("https://open-school.uspishnemisto.com.ua/school/50687/", 50687)</f>
        <v>50687</v>
      </c>
      <c r="B680" s="3" t="s">
        <v>3799</v>
      </c>
      <c r="C680" s="3" t="s">
        <v>31</v>
      </c>
      <c r="D680" s="3" t="s">
        <v>175</v>
      </c>
      <c r="E680" s="4" t="s">
        <v>22</v>
      </c>
      <c r="F680" s="4" t="s">
        <v>3800</v>
      </c>
      <c r="G680" s="4" t="s">
        <v>3801</v>
      </c>
      <c r="H680" s="3" t="s">
        <v>25</v>
      </c>
      <c r="I680" s="3" t="s">
        <v>3802</v>
      </c>
      <c r="J680" s="3" t="s">
        <v>3803</v>
      </c>
      <c r="K680" s="3" t="s">
        <v>3804</v>
      </c>
      <c r="L680" s="3"/>
      <c r="M680" s="4"/>
      <c r="N680" s="3" t="s">
        <v>37</v>
      </c>
      <c r="O680" s="3" t="s">
        <v>52</v>
      </c>
      <c r="P680" s="5">
        <v>9</v>
      </c>
      <c r="Q680" s="5">
        <v>92</v>
      </c>
      <c r="R680" s="5">
        <v>9</v>
      </c>
      <c r="S680" s="5">
        <v>85</v>
      </c>
    </row>
    <row r="681" spans="1:19" ht="28" x14ac:dyDescent="0.15">
      <c r="A681" s="2">
        <f>HYPERLINK("https://open-school.uspishnemisto.com.ua/school/50688/", 50688)</f>
        <v>50688</v>
      </c>
      <c r="B681" s="3" t="s">
        <v>3805</v>
      </c>
      <c r="C681" s="3" t="s">
        <v>31</v>
      </c>
      <c r="D681" s="3" t="s">
        <v>175</v>
      </c>
      <c r="E681" s="4" t="s">
        <v>22</v>
      </c>
      <c r="F681" s="4" t="s">
        <v>3806</v>
      </c>
      <c r="G681" s="4" t="s">
        <v>3807</v>
      </c>
      <c r="H681" s="3" t="s">
        <v>25</v>
      </c>
      <c r="I681" s="3" t="s">
        <v>3808</v>
      </c>
      <c r="J681" s="3" t="s">
        <v>3809</v>
      </c>
      <c r="K681" s="3" t="s">
        <v>3810</v>
      </c>
      <c r="L681" s="3"/>
      <c r="M681" s="4"/>
      <c r="N681" s="3" t="s">
        <v>37</v>
      </c>
      <c r="O681" s="3" t="s">
        <v>52</v>
      </c>
      <c r="P681" s="5">
        <v>9</v>
      </c>
      <c r="Q681" s="5">
        <v>104</v>
      </c>
      <c r="R681" s="5">
        <v>9</v>
      </c>
      <c r="S681" s="5">
        <v>119</v>
      </c>
    </row>
    <row r="682" spans="1:19" ht="28" x14ac:dyDescent="0.15">
      <c r="A682" s="2">
        <f>HYPERLINK("https://open-school.uspishnemisto.com.ua/school/50689/", 50689)</f>
        <v>50689</v>
      </c>
      <c r="B682" s="3" t="s">
        <v>3811</v>
      </c>
      <c r="C682" s="3" t="s">
        <v>31</v>
      </c>
      <c r="D682" s="3" t="s">
        <v>32</v>
      </c>
      <c r="E682" s="4" t="s">
        <v>22</v>
      </c>
      <c r="F682" s="4" t="s">
        <v>3812</v>
      </c>
      <c r="G682" s="4" t="s">
        <v>3813</v>
      </c>
      <c r="H682" s="3" t="s">
        <v>25</v>
      </c>
      <c r="I682" s="3" t="s">
        <v>3814</v>
      </c>
      <c r="J682" s="3" t="s">
        <v>3815</v>
      </c>
      <c r="K682" s="3" t="s">
        <v>3816</v>
      </c>
      <c r="L682" s="3"/>
      <c r="M682" s="4"/>
      <c r="N682" s="3" t="s">
        <v>37</v>
      </c>
      <c r="O682" s="3" t="s">
        <v>52</v>
      </c>
      <c r="P682" s="5">
        <v>11</v>
      </c>
      <c r="Q682" s="5">
        <v>158</v>
      </c>
      <c r="R682" s="5">
        <v>10</v>
      </c>
      <c r="S682" s="5">
        <v>150</v>
      </c>
    </row>
    <row r="683" spans="1:19" ht="28" x14ac:dyDescent="0.15">
      <c r="A683" s="2">
        <f>HYPERLINK("https://open-school.uspishnemisto.com.ua/school/50690/", 50690)</f>
        <v>50690</v>
      </c>
      <c r="B683" s="3" t="s">
        <v>3817</v>
      </c>
      <c r="C683" s="3" t="s">
        <v>31</v>
      </c>
      <c r="D683" s="3" t="s">
        <v>175</v>
      </c>
      <c r="E683" s="4" t="s">
        <v>22</v>
      </c>
      <c r="F683" s="4" t="s">
        <v>3818</v>
      </c>
      <c r="G683" s="4" t="s">
        <v>3819</v>
      </c>
      <c r="H683" s="3" t="s">
        <v>25</v>
      </c>
      <c r="I683" s="3" t="s">
        <v>1550</v>
      </c>
      <c r="J683" s="3" t="s">
        <v>785</v>
      </c>
      <c r="K683" s="3" t="s">
        <v>3820</v>
      </c>
      <c r="L683" s="3"/>
      <c r="M683" s="4"/>
      <c r="N683" s="3" t="s">
        <v>37</v>
      </c>
      <c r="O683" s="3" t="s">
        <v>52</v>
      </c>
      <c r="P683" s="5">
        <v>8</v>
      </c>
      <c r="Q683" s="5">
        <v>61</v>
      </c>
      <c r="R683" s="5">
        <v>8</v>
      </c>
      <c r="S683" s="5">
        <v>56</v>
      </c>
    </row>
    <row r="684" spans="1:19" ht="28" x14ac:dyDescent="0.15">
      <c r="A684" s="2">
        <f>HYPERLINK("https://open-school.uspishnemisto.com.ua/school/50691/", 50691)</f>
        <v>50691</v>
      </c>
      <c r="B684" s="3" t="s">
        <v>3821</v>
      </c>
      <c r="C684" s="3" t="s">
        <v>31</v>
      </c>
      <c r="D684" s="3" t="s">
        <v>32</v>
      </c>
      <c r="E684" s="4" t="s">
        <v>22</v>
      </c>
      <c r="F684" s="4" t="s">
        <v>3822</v>
      </c>
      <c r="G684" s="4" t="s">
        <v>3823</v>
      </c>
      <c r="H684" s="3" t="s">
        <v>25</v>
      </c>
      <c r="I684" s="3" t="s">
        <v>3824</v>
      </c>
      <c r="J684" s="3" t="s">
        <v>3825</v>
      </c>
      <c r="K684" s="3" t="s">
        <v>3826</v>
      </c>
      <c r="L684" s="3" t="s">
        <v>3827</v>
      </c>
      <c r="M684" s="4"/>
      <c r="N684" s="3" t="s">
        <v>37</v>
      </c>
      <c r="O684" s="3" t="s">
        <v>52</v>
      </c>
      <c r="P684" s="5">
        <v>10</v>
      </c>
      <c r="Q684" s="5">
        <v>110</v>
      </c>
      <c r="R684" s="5">
        <v>10</v>
      </c>
      <c r="S684" s="5">
        <v>109</v>
      </c>
    </row>
    <row r="685" spans="1:19" ht="28" x14ac:dyDescent="0.15">
      <c r="A685" s="2">
        <f>HYPERLINK("https://open-school.uspishnemisto.com.ua/school/50692/", 50692)</f>
        <v>50692</v>
      </c>
      <c r="B685" s="3" t="s">
        <v>3828</v>
      </c>
      <c r="C685" s="3" t="s">
        <v>181</v>
      </c>
      <c r="D685" s="3"/>
      <c r="E685" s="4" t="s">
        <v>22</v>
      </c>
      <c r="F685" s="4" t="s">
        <v>3822</v>
      </c>
      <c r="G685" s="4" t="s">
        <v>3823</v>
      </c>
      <c r="H685" s="3" t="s">
        <v>25</v>
      </c>
      <c r="I685" s="3" t="s">
        <v>3824</v>
      </c>
      <c r="J685" s="3" t="s">
        <v>2080</v>
      </c>
      <c r="K685" s="3" t="s">
        <v>3829</v>
      </c>
      <c r="L685" s="3"/>
      <c r="M685" s="4" t="s">
        <v>3830</v>
      </c>
      <c r="N685" s="3" t="s">
        <v>37</v>
      </c>
      <c r="O685" s="3"/>
      <c r="P685" s="5">
        <v>8</v>
      </c>
      <c r="Q685" s="5">
        <v>54</v>
      </c>
      <c r="R685" s="5">
        <v>9</v>
      </c>
      <c r="S685" s="5">
        <v>64</v>
      </c>
    </row>
    <row r="686" spans="1:19" ht="28" x14ac:dyDescent="0.15">
      <c r="A686" s="2">
        <f>HYPERLINK("https://open-school.uspishnemisto.com.ua/school/50693/", 50693)</f>
        <v>50693</v>
      </c>
      <c r="B686" s="3" t="s">
        <v>3831</v>
      </c>
      <c r="C686" s="3" t="s">
        <v>31</v>
      </c>
      <c r="D686" s="3" t="s">
        <v>175</v>
      </c>
      <c r="E686" s="4" t="s">
        <v>22</v>
      </c>
      <c r="F686" s="4" t="s">
        <v>3832</v>
      </c>
      <c r="G686" s="4" t="s">
        <v>3833</v>
      </c>
      <c r="H686" s="3" t="s">
        <v>25</v>
      </c>
      <c r="I686" s="3" t="s">
        <v>3834</v>
      </c>
      <c r="J686" s="3" t="s">
        <v>634</v>
      </c>
      <c r="K686" s="3" t="s">
        <v>3835</v>
      </c>
      <c r="L686" s="3"/>
      <c r="M686" s="4"/>
      <c r="N686" s="3" t="s">
        <v>37</v>
      </c>
      <c r="O686" s="3" t="s">
        <v>52</v>
      </c>
      <c r="P686" s="5">
        <v>7</v>
      </c>
      <c r="Q686" s="5">
        <v>46</v>
      </c>
      <c r="R686" s="5">
        <v>8</v>
      </c>
      <c r="S686" s="5">
        <v>46</v>
      </c>
    </row>
    <row r="687" spans="1:19" ht="28" x14ac:dyDescent="0.15">
      <c r="A687" s="2">
        <f>HYPERLINK("https://open-school.uspishnemisto.com.ua/school/50694/", 50694)</f>
        <v>50694</v>
      </c>
      <c r="B687" s="3" t="s">
        <v>3836</v>
      </c>
      <c r="C687" s="3" t="s">
        <v>31</v>
      </c>
      <c r="D687" s="3" t="s">
        <v>175</v>
      </c>
      <c r="E687" s="4" t="s">
        <v>22</v>
      </c>
      <c r="F687" s="4" t="s">
        <v>3837</v>
      </c>
      <c r="G687" s="4" t="s">
        <v>3838</v>
      </c>
      <c r="H687" s="3" t="s">
        <v>25</v>
      </c>
      <c r="I687" s="3" t="s">
        <v>688</v>
      </c>
      <c r="J687" s="3" t="s">
        <v>3839</v>
      </c>
      <c r="K687" s="3" t="s">
        <v>3840</v>
      </c>
      <c r="L687" s="3"/>
      <c r="M687" s="4"/>
      <c r="N687" s="3" t="s">
        <v>37</v>
      </c>
      <c r="O687" s="3" t="s">
        <v>52</v>
      </c>
      <c r="P687" s="5">
        <v>5</v>
      </c>
      <c r="Q687" s="5">
        <v>39</v>
      </c>
      <c r="R687" s="5">
        <v>6</v>
      </c>
      <c r="S687" s="5">
        <v>42</v>
      </c>
    </row>
    <row r="688" spans="1:19" ht="28" x14ac:dyDescent="0.15">
      <c r="A688" s="2">
        <f>HYPERLINK("https://open-school.uspishnemisto.com.ua/school/50695/", 50695)</f>
        <v>50695</v>
      </c>
      <c r="B688" s="3" t="s">
        <v>3841</v>
      </c>
      <c r="C688" s="3" t="s">
        <v>31</v>
      </c>
      <c r="D688" s="3" t="s">
        <v>32</v>
      </c>
      <c r="E688" s="4" t="s">
        <v>22</v>
      </c>
      <c r="F688" s="4" t="s">
        <v>3842</v>
      </c>
      <c r="G688" s="4" t="s">
        <v>3843</v>
      </c>
      <c r="H688" s="3" t="s">
        <v>25</v>
      </c>
      <c r="I688" s="3" t="s">
        <v>3844</v>
      </c>
      <c r="J688" s="3" t="s">
        <v>3845</v>
      </c>
      <c r="K688" s="3" t="s">
        <v>3846</v>
      </c>
      <c r="L688" s="3" t="s">
        <v>3847</v>
      </c>
      <c r="M688" s="4"/>
      <c r="N688" s="3" t="s">
        <v>37</v>
      </c>
      <c r="O688" s="3" t="s">
        <v>52</v>
      </c>
      <c r="P688" s="5">
        <v>9</v>
      </c>
      <c r="Q688" s="5">
        <v>102</v>
      </c>
      <c r="R688" s="5">
        <v>10</v>
      </c>
      <c r="S688" s="5">
        <v>99</v>
      </c>
    </row>
    <row r="689" spans="1:19" ht="28" x14ac:dyDescent="0.15">
      <c r="A689" s="2">
        <f>HYPERLINK("https://open-school.uspishnemisto.com.ua/school/50696/", 50696)</f>
        <v>50696</v>
      </c>
      <c r="B689" s="3" t="s">
        <v>3848</v>
      </c>
      <c r="C689" s="3" t="s">
        <v>31</v>
      </c>
      <c r="D689" s="3" t="s">
        <v>175</v>
      </c>
      <c r="E689" s="4" t="s">
        <v>22</v>
      </c>
      <c r="F689" s="4" t="s">
        <v>3849</v>
      </c>
      <c r="G689" s="4" t="s">
        <v>3850</v>
      </c>
      <c r="H689" s="3" t="s">
        <v>25</v>
      </c>
      <c r="I689" s="3" t="s">
        <v>3851</v>
      </c>
      <c r="J689" s="3" t="s">
        <v>3852</v>
      </c>
      <c r="K689" s="3" t="s">
        <v>3853</v>
      </c>
      <c r="L689" s="3"/>
      <c r="M689" s="4"/>
      <c r="N689" s="3" t="s">
        <v>37</v>
      </c>
      <c r="O689" s="3" t="s">
        <v>52</v>
      </c>
      <c r="P689" s="5">
        <v>2</v>
      </c>
      <c r="Q689" s="5">
        <v>26</v>
      </c>
      <c r="R689" s="5">
        <v>2</v>
      </c>
      <c r="S689" s="5">
        <v>28</v>
      </c>
    </row>
    <row r="690" spans="1:19" ht="28" x14ac:dyDescent="0.15">
      <c r="A690" s="2">
        <f>HYPERLINK("https://open-school.uspishnemisto.com.ua/school/50697/", 50697)</f>
        <v>50697</v>
      </c>
      <c r="B690" s="3" t="s">
        <v>3854</v>
      </c>
      <c r="C690" s="3" t="s">
        <v>31</v>
      </c>
      <c r="D690" s="3" t="s">
        <v>32</v>
      </c>
      <c r="E690" s="4" t="s">
        <v>22</v>
      </c>
      <c r="F690" s="4" t="s">
        <v>3855</v>
      </c>
      <c r="G690" s="4" t="s">
        <v>3856</v>
      </c>
      <c r="H690" s="3" t="s">
        <v>25</v>
      </c>
      <c r="I690" s="3" t="s">
        <v>3857</v>
      </c>
      <c r="J690" s="3" t="s">
        <v>3858</v>
      </c>
      <c r="K690" s="3" t="s">
        <v>3859</v>
      </c>
      <c r="L690" s="3"/>
      <c r="M690" s="4"/>
      <c r="N690" s="3" t="s">
        <v>37</v>
      </c>
      <c r="O690" s="3" t="s">
        <v>52</v>
      </c>
      <c r="P690" s="5">
        <v>8</v>
      </c>
      <c r="Q690" s="5">
        <v>75</v>
      </c>
      <c r="R690" s="5">
        <v>8</v>
      </c>
      <c r="S690" s="5">
        <v>90</v>
      </c>
    </row>
    <row r="691" spans="1:19" ht="28" x14ac:dyDescent="0.15">
      <c r="A691" s="2">
        <f>HYPERLINK("https://open-school.uspishnemisto.com.ua/school/50698/", 50698)</f>
        <v>50698</v>
      </c>
      <c r="B691" s="3" t="s">
        <v>3860</v>
      </c>
      <c r="C691" s="3" t="s">
        <v>31</v>
      </c>
      <c r="D691" s="3" t="s">
        <v>32</v>
      </c>
      <c r="E691" s="4" t="s">
        <v>22</v>
      </c>
      <c r="F691" s="4" t="s">
        <v>3855</v>
      </c>
      <c r="G691" s="4" t="s">
        <v>3856</v>
      </c>
      <c r="H691" s="3" t="s">
        <v>25</v>
      </c>
      <c r="I691" s="3" t="s">
        <v>3857</v>
      </c>
      <c r="J691" s="3" t="s">
        <v>1192</v>
      </c>
      <c r="K691" s="3" t="s">
        <v>3861</v>
      </c>
      <c r="L691" s="3" t="s">
        <v>3862</v>
      </c>
      <c r="M691" s="4"/>
      <c r="N691" s="3" t="s">
        <v>37</v>
      </c>
      <c r="O691" s="3" t="s">
        <v>52</v>
      </c>
      <c r="P691" s="5">
        <v>9</v>
      </c>
      <c r="Q691" s="5">
        <v>62</v>
      </c>
      <c r="R691" s="5">
        <v>8</v>
      </c>
      <c r="S691" s="5">
        <v>65</v>
      </c>
    </row>
    <row r="692" spans="1:19" ht="28" x14ac:dyDescent="0.15">
      <c r="A692" s="2">
        <f>HYPERLINK("https://open-school.uspishnemisto.com.ua/school/50699/", 50699)</f>
        <v>50699</v>
      </c>
      <c r="B692" s="3" t="s">
        <v>3863</v>
      </c>
      <c r="C692" s="3" t="s">
        <v>31</v>
      </c>
      <c r="D692" s="3" t="s">
        <v>175</v>
      </c>
      <c r="E692" s="4" t="s">
        <v>22</v>
      </c>
      <c r="F692" s="4" t="s">
        <v>3864</v>
      </c>
      <c r="G692" s="4" t="s">
        <v>3865</v>
      </c>
      <c r="H692" s="3" t="s">
        <v>25</v>
      </c>
      <c r="I692" s="3" t="s">
        <v>1439</v>
      </c>
      <c r="J692" s="3" t="s">
        <v>3866</v>
      </c>
      <c r="K692" s="3" t="s">
        <v>3867</v>
      </c>
      <c r="L692" s="3"/>
      <c r="M692" s="4"/>
      <c r="N692" s="3" t="s">
        <v>37</v>
      </c>
      <c r="O692" s="3" t="s">
        <v>52</v>
      </c>
      <c r="P692" s="5">
        <v>7</v>
      </c>
      <c r="Q692" s="5">
        <v>45</v>
      </c>
      <c r="R692" s="5">
        <v>7</v>
      </c>
      <c r="S692" s="5">
        <v>49</v>
      </c>
    </row>
    <row r="693" spans="1:19" ht="28" x14ac:dyDescent="0.15">
      <c r="A693" s="2">
        <f>HYPERLINK("https://open-school.uspishnemisto.com.ua/school/50700/", 50700)</f>
        <v>50700</v>
      </c>
      <c r="B693" s="3" t="s">
        <v>3868</v>
      </c>
      <c r="C693" s="3" t="s">
        <v>31</v>
      </c>
      <c r="D693" s="3" t="s">
        <v>32</v>
      </c>
      <c r="E693" s="4" t="s">
        <v>22</v>
      </c>
      <c r="F693" s="4" t="s">
        <v>3869</v>
      </c>
      <c r="G693" s="4" t="s">
        <v>3870</v>
      </c>
      <c r="H693" s="3" t="s">
        <v>25</v>
      </c>
      <c r="I693" s="3" t="s">
        <v>3871</v>
      </c>
      <c r="J693" s="3" t="s">
        <v>2411</v>
      </c>
      <c r="K693" s="3" t="s">
        <v>3872</v>
      </c>
      <c r="L693" s="3"/>
      <c r="M693" s="4"/>
      <c r="N693" s="3" t="s">
        <v>37</v>
      </c>
      <c r="O693" s="3" t="s">
        <v>52</v>
      </c>
      <c r="P693" s="5">
        <v>11</v>
      </c>
      <c r="Q693" s="5">
        <v>173</v>
      </c>
      <c r="R693" s="5">
        <v>11</v>
      </c>
      <c r="S693" s="5">
        <v>163</v>
      </c>
    </row>
    <row r="694" spans="1:19" ht="28" x14ac:dyDescent="0.15">
      <c r="A694" s="2">
        <f>HYPERLINK("https://open-school.uspishnemisto.com.ua/school/50701/", 50701)</f>
        <v>50701</v>
      </c>
      <c r="B694" s="3" t="s">
        <v>3873</v>
      </c>
      <c r="C694" s="3" t="s">
        <v>31</v>
      </c>
      <c r="D694" s="3" t="s">
        <v>175</v>
      </c>
      <c r="E694" s="4" t="s">
        <v>22</v>
      </c>
      <c r="F694" s="4" t="s">
        <v>3874</v>
      </c>
      <c r="G694" s="4" t="s">
        <v>3875</v>
      </c>
      <c r="H694" s="3" t="s">
        <v>25</v>
      </c>
      <c r="I694" s="3" t="s">
        <v>3876</v>
      </c>
      <c r="J694" s="3" t="s">
        <v>3877</v>
      </c>
      <c r="K694" s="3" t="s">
        <v>3878</v>
      </c>
      <c r="L694" s="3" t="s">
        <v>3879</v>
      </c>
      <c r="M694" s="4"/>
      <c r="N694" s="3" t="s">
        <v>37</v>
      </c>
      <c r="O694" s="3" t="s">
        <v>52</v>
      </c>
      <c r="P694" s="5">
        <v>7</v>
      </c>
      <c r="Q694" s="5">
        <v>52</v>
      </c>
      <c r="R694" s="5">
        <v>7</v>
      </c>
      <c r="S694" s="5">
        <v>48</v>
      </c>
    </row>
    <row r="695" spans="1:19" ht="28" x14ac:dyDescent="0.15">
      <c r="A695" s="2">
        <f>HYPERLINK("https://open-school.uspishnemisto.com.ua/school/50702/", 50702)</f>
        <v>50702</v>
      </c>
      <c r="B695" s="3" t="s">
        <v>3880</v>
      </c>
      <c r="C695" s="3" t="s">
        <v>31</v>
      </c>
      <c r="D695" s="3" t="s">
        <v>175</v>
      </c>
      <c r="E695" s="4" t="s">
        <v>22</v>
      </c>
      <c r="F695" s="4" t="s">
        <v>3881</v>
      </c>
      <c r="G695" s="4" t="s">
        <v>3882</v>
      </c>
      <c r="H695" s="3" t="s">
        <v>25</v>
      </c>
      <c r="I695" s="3" t="s">
        <v>3883</v>
      </c>
      <c r="J695" s="3" t="s">
        <v>3884</v>
      </c>
      <c r="K695" s="3" t="s">
        <v>3885</v>
      </c>
      <c r="L695" s="3"/>
      <c r="M695" s="4"/>
      <c r="N695" s="3" t="s">
        <v>37</v>
      </c>
      <c r="O695" s="3" t="s">
        <v>52</v>
      </c>
      <c r="P695" s="5">
        <v>8</v>
      </c>
      <c r="Q695" s="5">
        <v>57</v>
      </c>
      <c r="R695" s="5">
        <v>8</v>
      </c>
      <c r="S695" s="5">
        <v>55</v>
      </c>
    </row>
    <row r="696" spans="1:19" ht="28" x14ac:dyDescent="0.15">
      <c r="A696" s="2">
        <f>HYPERLINK("https://open-school.uspishnemisto.com.ua/school/50703/", 50703)</f>
        <v>50703</v>
      </c>
      <c r="B696" s="3" t="s">
        <v>3886</v>
      </c>
      <c r="C696" s="3" t="s">
        <v>31</v>
      </c>
      <c r="D696" s="3" t="s">
        <v>32</v>
      </c>
      <c r="E696" s="4" t="s">
        <v>22</v>
      </c>
      <c r="F696" s="4" t="s">
        <v>3887</v>
      </c>
      <c r="G696" s="4" t="s">
        <v>3888</v>
      </c>
      <c r="H696" s="3" t="s">
        <v>25</v>
      </c>
      <c r="I696" s="3" t="s">
        <v>3889</v>
      </c>
      <c r="J696" s="3" t="s">
        <v>3890</v>
      </c>
      <c r="K696" s="3" t="s">
        <v>3891</v>
      </c>
      <c r="L696" s="3"/>
      <c r="M696" s="4"/>
      <c r="N696" s="3" t="s">
        <v>37</v>
      </c>
      <c r="O696" s="3" t="s">
        <v>52</v>
      </c>
      <c r="P696" s="5">
        <v>7</v>
      </c>
      <c r="Q696" s="5">
        <v>58</v>
      </c>
      <c r="R696" s="5">
        <v>7</v>
      </c>
      <c r="S696" s="5">
        <v>59</v>
      </c>
    </row>
    <row r="697" spans="1:19" ht="28" x14ac:dyDescent="0.15">
      <c r="A697" s="2">
        <f>HYPERLINK("https://open-school.uspishnemisto.com.ua/school/50704/", 50704)</f>
        <v>50704</v>
      </c>
      <c r="B697" s="3" t="s">
        <v>3892</v>
      </c>
      <c r="C697" s="3" t="s">
        <v>31</v>
      </c>
      <c r="D697" s="3" t="s">
        <v>32</v>
      </c>
      <c r="E697" s="4" t="s">
        <v>22</v>
      </c>
      <c r="F697" s="4" t="s">
        <v>3893</v>
      </c>
      <c r="G697" s="4" t="s">
        <v>3894</v>
      </c>
      <c r="H697" s="3" t="s">
        <v>25</v>
      </c>
      <c r="I697" s="3" t="s">
        <v>3895</v>
      </c>
      <c r="J697" s="3" t="s">
        <v>3896</v>
      </c>
      <c r="K697" s="3" t="s">
        <v>3897</v>
      </c>
      <c r="L697" s="3"/>
      <c r="M697" s="4"/>
      <c r="N697" s="3" t="s">
        <v>37</v>
      </c>
      <c r="O697" s="3" t="s">
        <v>46</v>
      </c>
      <c r="P697" s="5">
        <v>11</v>
      </c>
      <c r="Q697" s="5">
        <v>91</v>
      </c>
      <c r="R697" s="5">
        <v>11</v>
      </c>
      <c r="S697" s="5">
        <v>91</v>
      </c>
    </row>
    <row r="698" spans="1:19" ht="42" x14ac:dyDescent="0.15">
      <c r="A698" s="2">
        <f>HYPERLINK("https://open-school.uspishnemisto.com.ua/school/50705/", 50705)</f>
        <v>50705</v>
      </c>
      <c r="B698" s="3" t="s">
        <v>3898</v>
      </c>
      <c r="C698" s="3" t="s">
        <v>31</v>
      </c>
      <c r="D698" s="3" t="s">
        <v>32</v>
      </c>
      <c r="E698" s="4" t="s">
        <v>22</v>
      </c>
      <c r="F698" s="4" t="s">
        <v>3899</v>
      </c>
      <c r="G698" s="4" t="s">
        <v>3900</v>
      </c>
      <c r="H698" s="3" t="s">
        <v>25</v>
      </c>
      <c r="I698" s="3" t="s">
        <v>3901</v>
      </c>
      <c r="J698" s="3" t="s">
        <v>3902</v>
      </c>
      <c r="K698" s="3" t="s">
        <v>3903</v>
      </c>
      <c r="L698" s="3" t="s">
        <v>3904</v>
      </c>
      <c r="M698" s="4"/>
      <c r="N698" s="3" t="s">
        <v>37</v>
      </c>
      <c r="O698" s="3" t="s">
        <v>70</v>
      </c>
      <c r="P698" s="5">
        <v>21</v>
      </c>
      <c r="Q698" s="5">
        <v>500</v>
      </c>
      <c r="R698" s="5">
        <v>21</v>
      </c>
      <c r="S698" s="5">
        <v>498</v>
      </c>
    </row>
    <row r="699" spans="1:19" ht="28" x14ac:dyDescent="0.15">
      <c r="A699" s="2">
        <f>HYPERLINK("https://open-school.uspishnemisto.com.ua/school/50706/", 50706)</f>
        <v>50706</v>
      </c>
      <c r="B699" s="3" t="s">
        <v>3905</v>
      </c>
      <c r="C699" s="3" t="s">
        <v>31</v>
      </c>
      <c r="D699" s="3" t="s">
        <v>32</v>
      </c>
      <c r="E699" s="4" t="s">
        <v>22</v>
      </c>
      <c r="F699" s="4" t="s">
        <v>3899</v>
      </c>
      <c r="G699" s="4" t="s">
        <v>3900</v>
      </c>
      <c r="H699" s="3" t="s">
        <v>25</v>
      </c>
      <c r="I699" s="3" t="s">
        <v>3901</v>
      </c>
      <c r="J699" s="3" t="s">
        <v>3906</v>
      </c>
      <c r="K699" s="3" t="s">
        <v>3907</v>
      </c>
      <c r="L699" s="3"/>
      <c r="M699" s="4"/>
      <c r="N699" s="3" t="s">
        <v>37</v>
      </c>
      <c r="O699" s="3" t="s">
        <v>38</v>
      </c>
      <c r="P699" s="5">
        <v>11</v>
      </c>
      <c r="Q699" s="5">
        <v>194</v>
      </c>
      <c r="R699" s="5">
        <v>11</v>
      </c>
      <c r="S699" s="5">
        <v>195</v>
      </c>
    </row>
    <row r="700" spans="1:19" ht="28" x14ac:dyDescent="0.15">
      <c r="A700" s="2">
        <f>HYPERLINK("https://open-school.uspishnemisto.com.ua/school/50707/", 50707)</f>
        <v>50707</v>
      </c>
      <c r="B700" s="3" t="s">
        <v>3908</v>
      </c>
      <c r="C700" s="3" t="s">
        <v>54</v>
      </c>
      <c r="D700" s="3" t="s">
        <v>32</v>
      </c>
      <c r="E700" s="4" t="s">
        <v>22</v>
      </c>
      <c r="F700" s="4" t="s">
        <v>3899</v>
      </c>
      <c r="G700" s="4" t="s">
        <v>3900</v>
      </c>
      <c r="H700" s="3" t="s">
        <v>25</v>
      </c>
      <c r="I700" s="3" t="s">
        <v>3901</v>
      </c>
      <c r="J700" s="3" t="s">
        <v>3909</v>
      </c>
      <c r="K700" s="3" t="s">
        <v>3910</v>
      </c>
      <c r="L700" s="3" t="s">
        <v>3911</v>
      </c>
      <c r="M700" s="4"/>
      <c r="N700" s="3" t="s">
        <v>37</v>
      </c>
      <c r="O700" s="3" t="s">
        <v>70</v>
      </c>
      <c r="P700" s="5">
        <v>28</v>
      </c>
      <c r="Q700" s="5">
        <v>679</v>
      </c>
      <c r="R700" s="5">
        <v>27</v>
      </c>
      <c r="S700" s="5">
        <v>669</v>
      </c>
    </row>
    <row r="701" spans="1:19" ht="28" x14ac:dyDescent="0.15">
      <c r="A701" s="2">
        <f>HYPERLINK("https://open-school.uspishnemisto.com.ua/school/50708/", 50708)</f>
        <v>50708</v>
      </c>
      <c r="B701" s="3" t="s">
        <v>3912</v>
      </c>
      <c r="C701" s="3" t="s">
        <v>31</v>
      </c>
      <c r="D701" s="3" t="s">
        <v>175</v>
      </c>
      <c r="E701" s="4" t="s">
        <v>22</v>
      </c>
      <c r="F701" s="4" t="s">
        <v>3899</v>
      </c>
      <c r="G701" s="4" t="s">
        <v>3913</v>
      </c>
      <c r="H701" s="3" t="s">
        <v>25</v>
      </c>
      <c r="I701" s="3" t="s">
        <v>3914</v>
      </c>
      <c r="J701" s="3" t="s">
        <v>3915</v>
      </c>
      <c r="K701" s="3"/>
      <c r="L701" s="3" t="s">
        <v>3916</v>
      </c>
      <c r="M701" s="4"/>
      <c r="N701" s="3" t="s">
        <v>37</v>
      </c>
      <c r="O701" s="3" t="s">
        <v>70</v>
      </c>
      <c r="P701" s="5">
        <v>9</v>
      </c>
      <c r="Q701" s="5">
        <v>84</v>
      </c>
      <c r="R701" s="5">
        <v>9</v>
      </c>
      <c r="S701" s="5">
        <v>82</v>
      </c>
    </row>
    <row r="702" spans="1:19" ht="28" x14ac:dyDescent="0.15">
      <c r="A702" s="2">
        <f>HYPERLINK("https://open-school.uspishnemisto.com.ua/school/50709/", 50709)</f>
        <v>50709</v>
      </c>
      <c r="B702" s="3" t="s">
        <v>3917</v>
      </c>
      <c r="C702" s="3" t="s">
        <v>31</v>
      </c>
      <c r="D702" s="3" t="s">
        <v>32</v>
      </c>
      <c r="E702" s="4" t="s">
        <v>22</v>
      </c>
      <c r="F702" s="4" t="s">
        <v>3918</v>
      </c>
      <c r="G702" s="4" t="s">
        <v>3919</v>
      </c>
      <c r="H702" s="3" t="s">
        <v>25</v>
      </c>
      <c r="I702" s="3" t="s">
        <v>3920</v>
      </c>
      <c r="J702" s="3" t="s">
        <v>3921</v>
      </c>
      <c r="K702" s="3" t="s">
        <v>3922</v>
      </c>
      <c r="L702" s="3" t="s">
        <v>3923</v>
      </c>
      <c r="M702" s="4"/>
      <c r="N702" s="3" t="s">
        <v>37</v>
      </c>
      <c r="O702" s="3" t="s">
        <v>70</v>
      </c>
      <c r="P702" s="5">
        <v>20</v>
      </c>
      <c r="Q702" s="5">
        <v>416</v>
      </c>
      <c r="R702" s="5">
        <v>19</v>
      </c>
      <c r="S702" s="5">
        <v>405</v>
      </c>
    </row>
    <row r="703" spans="1:19" ht="28" x14ac:dyDescent="0.15">
      <c r="A703" s="2">
        <f>HYPERLINK("https://open-school.uspishnemisto.com.ua/school/50710/", 50710)</f>
        <v>50710</v>
      </c>
      <c r="B703" s="3" t="s">
        <v>3924</v>
      </c>
      <c r="C703" s="3" t="s">
        <v>48</v>
      </c>
      <c r="D703" s="3" t="s">
        <v>32</v>
      </c>
      <c r="E703" s="4" t="s">
        <v>22</v>
      </c>
      <c r="F703" s="4" t="s">
        <v>3918</v>
      </c>
      <c r="G703" s="4" t="s">
        <v>3919</v>
      </c>
      <c r="H703" s="3" t="s">
        <v>25</v>
      </c>
      <c r="I703" s="3" t="s">
        <v>3920</v>
      </c>
      <c r="J703" s="3" t="s">
        <v>3925</v>
      </c>
      <c r="K703" s="3" t="s">
        <v>3926</v>
      </c>
      <c r="L703" s="3"/>
      <c r="M703" s="4"/>
      <c r="N703" s="3" t="s">
        <v>37</v>
      </c>
      <c r="O703" s="3" t="s">
        <v>46</v>
      </c>
      <c r="P703" s="5">
        <v>15</v>
      </c>
      <c r="Q703" s="5">
        <v>288</v>
      </c>
      <c r="R703" s="5">
        <v>15</v>
      </c>
      <c r="S703" s="5">
        <v>280</v>
      </c>
    </row>
    <row r="704" spans="1:19" ht="28" x14ac:dyDescent="0.15">
      <c r="A704" s="2">
        <f>HYPERLINK("https://open-school.uspishnemisto.com.ua/school/50711/", 50711)</f>
        <v>50711</v>
      </c>
      <c r="B704" s="3" t="s">
        <v>3927</v>
      </c>
      <c r="C704" s="3" t="s">
        <v>31</v>
      </c>
      <c r="D704" s="3" t="s">
        <v>32</v>
      </c>
      <c r="E704" s="4" t="s">
        <v>22</v>
      </c>
      <c r="F704" s="4" t="s">
        <v>3928</v>
      </c>
      <c r="G704" s="4" t="s">
        <v>3929</v>
      </c>
      <c r="H704" s="3" t="s">
        <v>25</v>
      </c>
      <c r="I704" s="3" t="s">
        <v>3930</v>
      </c>
      <c r="J704" s="3" t="s">
        <v>3931</v>
      </c>
      <c r="K704" s="3" t="s">
        <v>3932</v>
      </c>
      <c r="L704" s="3"/>
      <c r="M704" s="4"/>
      <c r="N704" s="3" t="s">
        <v>37</v>
      </c>
      <c r="O704" s="3" t="s">
        <v>38</v>
      </c>
      <c r="P704" s="5">
        <v>22</v>
      </c>
      <c r="Q704" s="5">
        <v>438</v>
      </c>
      <c r="R704" s="5">
        <v>21</v>
      </c>
      <c r="S704" s="5">
        <v>438</v>
      </c>
    </row>
    <row r="705" spans="1:19" ht="28" x14ac:dyDescent="0.15">
      <c r="A705" s="2">
        <f>HYPERLINK("https://open-school.uspishnemisto.com.ua/school/50712/", 50712)</f>
        <v>50712</v>
      </c>
      <c r="B705" s="3" t="s">
        <v>3933</v>
      </c>
      <c r="C705" s="3" t="s">
        <v>293</v>
      </c>
      <c r="D705" s="3" t="s">
        <v>32</v>
      </c>
      <c r="E705" s="4" t="s">
        <v>22</v>
      </c>
      <c r="F705" s="4" t="s">
        <v>3928</v>
      </c>
      <c r="G705" s="4" t="s">
        <v>3929</v>
      </c>
      <c r="H705" s="3" t="s">
        <v>25</v>
      </c>
      <c r="I705" s="3" t="s">
        <v>3930</v>
      </c>
      <c r="J705" s="3" t="s">
        <v>3934</v>
      </c>
      <c r="K705" s="3" t="s">
        <v>3935</v>
      </c>
      <c r="L705" s="3" t="s">
        <v>3936</v>
      </c>
      <c r="M705" s="4"/>
      <c r="N705" s="3" t="s">
        <v>37</v>
      </c>
      <c r="O705" s="3" t="s">
        <v>38</v>
      </c>
      <c r="P705" s="5">
        <v>11</v>
      </c>
      <c r="Q705" s="5">
        <v>137</v>
      </c>
      <c r="R705" s="5">
        <v>11</v>
      </c>
      <c r="S705" s="5">
        <v>143</v>
      </c>
    </row>
    <row r="706" spans="1:19" ht="28" x14ac:dyDescent="0.15">
      <c r="A706" s="2">
        <f>HYPERLINK("https://open-school.uspishnemisto.com.ua/school/50713/", 50713)</f>
        <v>50713</v>
      </c>
      <c r="B706" s="3" t="s">
        <v>3937</v>
      </c>
      <c r="C706" s="3" t="s">
        <v>31</v>
      </c>
      <c r="D706" s="3" t="s">
        <v>175</v>
      </c>
      <c r="E706" s="4" t="s">
        <v>22</v>
      </c>
      <c r="F706" s="4" t="s">
        <v>3938</v>
      </c>
      <c r="G706" s="4" t="s">
        <v>3939</v>
      </c>
      <c r="H706" s="3" t="s">
        <v>25</v>
      </c>
      <c r="I706" s="3" t="s">
        <v>3940</v>
      </c>
      <c r="J706" s="3" t="s">
        <v>3941</v>
      </c>
      <c r="K706" s="3"/>
      <c r="L706" s="3"/>
      <c r="M706" s="4"/>
      <c r="N706" s="3" t="s">
        <v>37</v>
      </c>
      <c r="O706" s="3" t="s">
        <v>52</v>
      </c>
      <c r="P706" s="5">
        <v>3</v>
      </c>
      <c r="Q706" s="5">
        <v>34</v>
      </c>
      <c r="R706" s="5">
        <v>4</v>
      </c>
      <c r="S706" s="5">
        <v>37</v>
      </c>
    </row>
    <row r="707" spans="1:19" ht="28" x14ac:dyDescent="0.15">
      <c r="A707" s="2">
        <f>HYPERLINK("https://open-school.uspishnemisto.com.ua/school/50714/", 50714)</f>
        <v>50714</v>
      </c>
      <c r="B707" s="3" t="s">
        <v>3942</v>
      </c>
      <c r="C707" s="3" t="s">
        <v>31</v>
      </c>
      <c r="D707" s="3" t="s">
        <v>175</v>
      </c>
      <c r="E707" s="4" t="s">
        <v>22</v>
      </c>
      <c r="F707" s="4" t="s">
        <v>3943</v>
      </c>
      <c r="G707" s="4" t="s">
        <v>3944</v>
      </c>
      <c r="H707" s="3" t="s">
        <v>25</v>
      </c>
      <c r="I707" s="3" t="s">
        <v>1500</v>
      </c>
      <c r="J707" s="3" t="s">
        <v>1636</v>
      </c>
      <c r="K707" s="3" t="s">
        <v>3945</v>
      </c>
      <c r="L707" s="3"/>
      <c r="M707" s="4"/>
      <c r="N707" s="3" t="s">
        <v>37</v>
      </c>
      <c r="O707" s="3" t="s">
        <v>52</v>
      </c>
      <c r="P707" s="5">
        <v>8</v>
      </c>
      <c r="Q707" s="5">
        <v>74</v>
      </c>
      <c r="R707" s="5">
        <v>7</v>
      </c>
      <c r="S707" s="5">
        <v>68</v>
      </c>
    </row>
    <row r="708" spans="1:19" ht="28" x14ac:dyDescent="0.15">
      <c r="A708" s="2">
        <f>HYPERLINK("https://open-school.uspishnemisto.com.ua/school/50715/", 50715)</f>
        <v>50715</v>
      </c>
      <c r="B708" s="3" t="s">
        <v>3946</v>
      </c>
      <c r="C708" s="3" t="s">
        <v>31</v>
      </c>
      <c r="D708" s="3" t="s">
        <v>175</v>
      </c>
      <c r="E708" s="4" t="s">
        <v>22</v>
      </c>
      <c r="F708" s="4" t="s">
        <v>3947</v>
      </c>
      <c r="G708" s="4" t="s">
        <v>3948</v>
      </c>
      <c r="H708" s="3" t="s">
        <v>25</v>
      </c>
      <c r="I708" s="3" t="s">
        <v>3949</v>
      </c>
      <c r="J708" s="3" t="s">
        <v>3950</v>
      </c>
      <c r="K708" s="3" t="s">
        <v>3951</v>
      </c>
      <c r="L708" s="3" t="s">
        <v>3952</v>
      </c>
      <c r="M708" s="4"/>
      <c r="N708" s="3" t="s">
        <v>37</v>
      </c>
      <c r="O708" s="3" t="s">
        <v>38</v>
      </c>
      <c r="P708" s="5">
        <v>9</v>
      </c>
      <c r="Q708" s="5">
        <v>76</v>
      </c>
      <c r="R708" s="5">
        <v>9</v>
      </c>
      <c r="S708" s="5">
        <v>72</v>
      </c>
    </row>
    <row r="709" spans="1:19" ht="28" x14ac:dyDescent="0.15">
      <c r="A709" s="2">
        <f>HYPERLINK("https://open-school.uspishnemisto.com.ua/school/50716/", 50716)</f>
        <v>50716</v>
      </c>
      <c r="B709" s="3" t="s">
        <v>3953</v>
      </c>
      <c r="C709" s="3" t="s">
        <v>31</v>
      </c>
      <c r="D709" s="3" t="s">
        <v>32</v>
      </c>
      <c r="E709" s="4" t="s">
        <v>22</v>
      </c>
      <c r="F709" s="4" t="s">
        <v>3954</v>
      </c>
      <c r="G709" s="4" t="s">
        <v>3955</v>
      </c>
      <c r="H709" s="3" t="s">
        <v>25</v>
      </c>
      <c r="I709" s="3" t="s">
        <v>3956</v>
      </c>
      <c r="J709" s="3" t="s">
        <v>3957</v>
      </c>
      <c r="K709" s="3"/>
      <c r="L709" s="3"/>
      <c r="M709" s="4"/>
      <c r="N709" s="3" t="s">
        <v>37</v>
      </c>
      <c r="O709" s="3" t="s">
        <v>38</v>
      </c>
      <c r="P709" s="5">
        <v>11</v>
      </c>
      <c r="Q709" s="5">
        <v>135</v>
      </c>
      <c r="R709" s="5">
        <v>11</v>
      </c>
      <c r="S709" s="5">
        <v>130</v>
      </c>
    </row>
    <row r="710" spans="1:19" ht="42" x14ac:dyDescent="0.15">
      <c r="A710" s="2">
        <f>HYPERLINK("https://open-school.uspishnemisto.com.ua/school/50717/", 50717)</f>
        <v>50717</v>
      </c>
      <c r="B710" s="3" t="s">
        <v>3958</v>
      </c>
      <c r="C710" s="3" t="s">
        <v>54</v>
      </c>
      <c r="D710" s="3" t="s">
        <v>60</v>
      </c>
      <c r="E710" s="4" t="s">
        <v>22</v>
      </c>
      <c r="F710" s="4" t="s">
        <v>3954</v>
      </c>
      <c r="G710" s="4" t="s">
        <v>3959</v>
      </c>
      <c r="H710" s="3" t="s">
        <v>25</v>
      </c>
      <c r="I710" s="3" t="s">
        <v>3960</v>
      </c>
      <c r="J710" s="3" t="s">
        <v>3961</v>
      </c>
      <c r="K710" s="3" t="s">
        <v>2696</v>
      </c>
      <c r="L710" s="3"/>
      <c r="M710" s="4"/>
      <c r="N710" s="3" t="s">
        <v>37</v>
      </c>
      <c r="O710" s="3" t="s">
        <v>52</v>
      </c>
      <c r="P710" s="5">
        <v>4</v>
      </c>
      <c r="Q710" s="5">
        <v>24</v>
      </c>
      <c r="R710" s="5">
        <v>3</v>
      </c>
      <c r="S710" s="5">
        <v>24</v>
      </c>
    </row>
    <row r="711" spans="1:19" ht="28" x14ac:dyDescent="0.15">
      <c r="A711" s="2">
        <f>HYPERLINK("https://open-school.uspishnemisto.com.ua/school/50718/", 50718)</f>
        <v>50718</v>
      </c>
      <c r="B711" s="3" t="s">
        <v>3962</v>
      </c>
      <c r="C711" s="3" t="s">
        <v>31</v>
      </c>
      <c r="D711" s="3" t="s">
        <v>175</v>
      </c>
      <c r="E711" s="4" t="s">
        <v>22</v>
      </c>
      <c r="F711" s="4" t="s">
        <v>3963</v>
      </c>
      <c r="G711" s="4" t="s">
        <v>3964</v>
      </c>
      <c r="H711" s="3" t="s">
        <v>25</v>
      </c>
      <c r="I711" s="3" t="s">
        <v>3965</v>
      </c>
      <c r="J711" s="3" t="s">
        <v>3966</v>
      </c>
      <c r="K711" s="3" t="s">
        <v>3967</v>
      </c>
      <c r="L711" s="3"/>
      <c r="M711" s="4"/>
      <c r="N711" s="3" t="s">
        <v>37</v>
      </c>
      <c r="O711" s="3" t="s">
        <v>38</v>
      </c>
      <c r="P711" s="5">
        <v>6</v>
      </c>
      <c r="Q711" s="5">
        <v>53</v>
      </c>
      <c r="R711" s="5">
        <v>6</v>
      </c>
      <c r="S711" s="5">
        <v>49</v>
      </c>
    </row>
    <row r="712" spans="1:19" ht="28" x14ac:dyDescent="0.15">
      <c r="A712" s="2">
        <f>HYPERLINK("https://open-school.uspishnemisto.com.ua/school/50719/", 50719)</f>
        <v>50719</v>
      </c>
      <c r="B712" s="3" t="s">
        <v>3968</v>
      </c>
      <c r="C712" s="3" t="s">
        <v>31</v>
      </c>
      <c r="D712" s="3" t="s">
        <v>175</v>
      </c>
      <c r="E712" s="4" t="s">
        <v>22</v>
      </c>
      <c r="F712" s="4" t="s">
        <v>3969</v>
      </c>
      <c r="G712" s="4" t="s">
        <v>3970</v>
      </c>
      <c r="H712" s="3" t="s">
        <v>25</v>
      </c>
      <c r="I712" s="3" t="s">
        <v>3971</v>
      </c>
      <c r="J712" s="3" t="s">
        <v>946</v>
      </c>
      <c r="K712" s="3" t="s">
        <v>3972</v>
      </c>
      <c r="L712" s="3"/>
      <c r="M712" s="4"/>
      <c r="N712" s="3" t="s">
        <v>37</v>
      </c>
      <c r="O712" s="3" t="s">
        <v>52</v>
      </c>
      <c r="P712" s="5">
        <v>4</v>
      </c>
      <c r="Q712" s="5">
        <v>39</v>
      </c>
      <c r="R712" s="5">
        <v>3</v>
      </c>
      <c r="S712" s="5">
        <v>36</v>
      </c>
    </row>
    <row r="713" spans="1:19" ht="28" x14ac:dyDescent="0.15">
      <c r="A713" s="2">
        <f>HYPERLINK("https://open-school.uspishnemisto.com.ua/school/50720/", 50720)</f>
        <v>50720</v>
      </c>
      <c r="B713" s="3" t="s">
        <v>3973</v>
      </c>
      <c r="C713" s="3" t="s">
        <v>31</v>
      </c>
      <c r="D713" s="3" t="s">
        <v>60</v>
      </c>
      <c r="E713" s="4" t="s">
        <v>22</v>
      </c>
      <c r="F713" s="4" t="s">
        <v>3974</v>
      </c>
      <c r="G713" s="4" t="s">
        <v>3975</v>
      </c>
      <c r="H713" s="3" t="s">
        <v>25</v>
      </c>
      <c r="I713" s="3" t="s">
        <v>3976</v>
      </c>
      <c r="J713" s="3" t="s">
        <v>3977</v>
      </c>
      <c r="K713" s="3" t="s">
        <v>3978</v>
      </c>
      <c r="L713" s="3"/>
      <c r="M713" s="4"/>
      <c r="N713" s="3" t="s">
        <v>37</v>
      </c>
      <c r="O713" s="3" t="s">
        <v>52</v>
      </c>
      <c r="P713" s="5">
        <v>3</v>
      </c>
      <c r="Q713" s="5">
        <v>23</v>
      </c>
      <c r="R713" s="5">
        <v>3</v>
      </c>
      <c r="S713" s="5">
        <v>22</v>
      </c>
    </row>
    <row r="714" spans="1:19" ht="28" x14ac:dyDescent="0.15">
      <c r="A714" s="2">
        <f>HYPERLINK("https://open-school.uspishnemisto.com.ua/school/50721/", 50721)</f>
        <v>50721</v>
      </c>
      <c r="B714" s="3" t="s">
        <v>3979</v>
      </c>
      <c r="C714" s="3" t="s">
        <v>31</v>
      </c>
      <c r="D714" s="3" t="s">
        <v>175</v>
      </c>
      <c r="E714" s="4" t="s">
        <v>22</v>
      </c>
      <c r="F714" s="4" t="s">
        <v>3980</v>
      </c>
      <c r="G714" s="4" t="s">
        <v>3981</v>
      </c>
      <c r="H714" s="3" t="s">
        <v>25</v>
      </c>
      <c r="I714" s="3" t="s">
        <v>3982</v>
      </c>
      <c r="J714" s="3" t="s">
        <v>3983</v>
      </c>
      <c r="K714" s="3"/>
      <c r="L714" s="3" t="s">
        <v>3984</v>
      </c>
      <c r="M714" s="4"/>
      <c r="N714" s="3" t="s">
        <v>37</v>
      </c>
      <c r="O714" s="3" t="s">
        <v>38</v>
      </c>
      <c r="P714" s="5">
        <v>8</v>
      </c>
      <c r="Q714" s="5">
        <v>68</v>
      </c>
      <c r="R714" s="5">
        <v>8</v>
      </c>
      <c r="S714" s="5">
        <v>68</v>
      </c>
    </row>
    <row r="715" spans="1:19" ht="42" x14ac:dyDescent="0.15">
      <c r="A715" s="2">
        <f>HYPERLINK("https://open-school.uspishnemisto.com.ua/school/50722/", 50722)</f>
        <v>50722</v>
      </c>
      <c r="B715" s="3" t="s">
        <v>3985</v>
      </c>
      <c r="C715" s="3" t="s">
        <v>54</v>
      </c>
      <c r="D715" s="3" t="s">
        <v>60</v>
      </c>
      <c r="E715" s="4" t="s">
        <v>22</v>
      </c>
      <c r="F715" s="4" t="s">
        <v>3986</v>
      </c>
      <c r="G715" s="4" t="s">
        <v>3987</v>
      </c>
      <c r="H715" s="3" t="s">
        <v>25</v>
      </c>
      <c r="I715" s="3" t="s">
        <v>1694</v>
      </c>
      <c r="J715" s="3" t="s">
        <v>3988</v>
      </c>
      <c r="K715" s="3" t="s">
        <v>3989</v>
      </c>
      <c r="L715" s="3"/>
      <c r="M715" s="4"/>
      <c r="N715" s="3" t="s">
        <v>37</v>
      </c>
      <c r="O715" s="3" t="s">
        <v>52</v>
      </c>
      <c r="P715" s="5">
        <v>1</v>
      </c>
      <c r="Q715" s="5">
        <v>15</v>
      </c>
      <c r="R715" s="5">
        <v>1</v>
      </c>
      <c r="S715" s="5">
        <v>17</v>
      </c>
    </row>
    <row r="716" spans="1:19" ht="28" x14ac:dyDescent="0.15">
      <c r="A716" s="2">
        <f>HYPERLINK("https://open-school.uspishnemisto.com.ua/school/50723/", 50723)</f>
        <v>50723</v>
      </c>
      <c r="B716" s="3" t="s">
        <v>3990</v>
      </c>
      <c r="C716" s="3" t="s">
        <v>31</v>
      </c>
      <c r="D716" s="3" t="s">
        <v>175</v>
      </c>
      <c r="E716" s="4" t="s">
        <v>22</v>
      </c>
      <c r="F716" s="4" t="s">
        <v>3991</v>
      </c>
      <c r="G716" s="4" t="s">
        <v>3992</v>
      </c>
      <c r="H716" s="3" t="s">
        <v>25</v>
      </c>
      <c r="I716" s="3" t="s">
        <v>3993</v>
      </c>
      <c r="J716" s="3" t="s">
        <v>3994</v>
      </c>
      <c r="K716" s="3" t="s">
        <v>3995</v>
      </c>
      <c r="L716" s="3"/>
      <c r="M716" s="4"/>
      <c r="N716" s="3" t="s">
        <v>37</v>
      </c>
      <c r="O716" s="3" t="s">
        <v>38</v>
      </c>
      <c r="P716" s="5">
        <v>4</v>
      </c>
      <c r="Q716" s="5">
        <v>31</v>
      </c>
      <c r="R716" s="5">
        <v>6</v>
      </c>
      <c r="S716" s="5">
        <v>34</v>
      </c>
    </row>
    <row r="717" spans="1:19" ht="28" x14ac:dyDescent="0.15">
      <c r="A717" s="2">
        <f>HYPERLINK("https://open-school.uspishnemisto.com.ua/school/50724/", 50724)</f>
        <v>50724</v>
      </c>
      <c r="B717" s="3" t="s">
        <v>3996</v>
      </c>
      <c r="C717" s="3" t="s">
        <v>31</v>
      </c>
      <c r="D717" s="3" t="s">
        <v>175</v>
      </c>
      <c r="E717" s="4" t="s">
        <v>22</v>
      </c>
      <c r="F717" s="4" t="s">
        <v>3997</v>
      </c>
      <c r="G717" s="4" t="s">
        <v>3998</v>
      </c>
      <c r="H717" s="3" t="s">
        <v>25</v>
      </c>
      <c r="I717" s="3" t="s">
        <v>3999</v>
      </c>
      <c r="J717" s="3" t="s">
        <v>2745</v>
      </c>
      <c r="K717" s="3" t="s">
        <v>4000</v>
      </c>
      <c r="L717" s="3" t="s">
        <v>4001</v>
      </c>
      <c r="M717" s="4"/>
      <c r="N717" s="3" t="s">
        <v>37</v>
      </c>
      <c r="O717" s="3" t="s">
        <v>38</v>
      </c>
      <c r="P717" s="5">
        <v>5</v>
      </c>
      <c r="Q717" s="5">
        <v>36</v>
      </c>
      <c r="R717" s="5">
        <v>4</v>
      </c>
      <c r="S717" s="5">
        <v>33</v>
      </c>
    </row>
    <row r="718" spans="1:19" ht="28" x14ac:dyDescent="0.15">
      <c r="A718" s="2">
        <f>HYPERLINK("https://open-school.uspishnemisto.com.ua/school/50725/", 50725)</f>
        <v>50725</v>
      </c>
      <c r="B718" s="3" t="s">
        <v>4002</v>
      </c>
      <c r="C718" s="3" t="s">
        <v>31</v>
      </c>
      <c r="D718" s="3" t="s">
        <v>32</v>
      </c>
      <c r="E718" s="4" t="s">
        <v>22</v>
      </c>
      <c r="F718" s="4" t="s">
        <v>4003</v>
      </c>
      <c r="G718" s="4" t="s">
        <v>4004</v>
      </c>
      <c r="H718" s="3" t="s">
        <v>25</v>
      </c>
      <c r="I718" s="3" t="s">
        <v>4005</v>
      </c>
      <c r="J718" s="3" t="s">
        <v>4006</v>
      </c>
      <c r="K718" s="3" t="s">
        <v>4007</v>
      </c>
      <c r="L718" s="3" t="s">
        <v>4008</v>
      </c>
      <c r="M718" s="4"/>
      <c r="N718" s="3" t="s">
        <v>37</v>
      </c>
      <c r="O718" s="3" t="s">
        <v>38</v>
      </c>
      <c r="P718" s="5">
        <v>11</v>
      </c>
      <c r="Q718" s="5">
        <v>205</v>
      </c>
      <c r="R718" s="5">
        <v>10</v>
      </c>
      <c r="S718" s="5">
        <v>192</v>
      </c>
    </row>
    <row r="719" spans="1:19" ht="28" x14ac:dyDescent="0.15">
      <c r="A719" s="2">
        <f>HYPERLINK("https://open-school.uspishnemisto.com.ua/school/50726/", 50726)</f>
        <v>50726</v>
      </c>
      <c r="B719" s="3" t="s">
        <v>4009</v>
      </c>
      <c r="C719" s="3" t="s">
        <v>31</v>
      </c>
      <c r="D719" s="3" t="s">
        <v>175</v>
      </c>
      <c r="E719" s="4" t="s">
        <v>22</v>
      </c>
      <c r="F719" s="4" t="s">
        <v>4010</v>
      </c>
      <c r="G719" s="4" t="s">
        <v>4011</v>
      </c>
      <c r="H719" s="3" t="s">
        <v>25</v>
      </c>
      <c r="I719" s="3" t="s">
        <v>4012</v>
      </c>
      <c r="J719" s="3" t="s">
        <v>4013</v>
      </c>
      <c r="K719" s="3" t="s">
        <v>4014</v>
      </c>
      <c r="L719" s="3"/>
      <c r="M719" s="4"/>
      <c r="N719" s="3" t="s">
        <v>37</v>
      </c>
      <c r="O719" s="3" t="s">
        <v>38</v>
      </c>
      <c r="P719" s="5">
        <v>8</v>
      </c>
      <c r="Q719" s="5">
        <v>76</v>
      </c>
      <c r="R719" s="5">
        <v>9</v>
      </c>
      <c r="S719" s="5">
        <v>69</v>
      </c>
    </row>
    <row r="720" spans="1:19" ht="28" x14ac:dyDescent="0.15">
      <c r="A720" s="2">
        <f>HYPERLINK("https://open-school.uspishnemisto.com.ua/school/50727/", 50727)</f>
        <v>50727</v>
      </c>
      <c r="B720" s="3" t="s">
        <v>4015</v>
      </c>
      <c r="C720" s="3" t="s">
        <v>31</v>
      </c>
      <c r="D720" s="3" t="s">
        <v>175</v>
      </c>
      <c r="E720" s="4" t="s">
        <v>22</v>
      </c>
      <c r="F720" s="4" t="s">
        <v>4016</v>
      </c>
      <c r="G720" s="4" t="s">
        <v>4017</v>
      </c>
      <c r="H720" s="3" t="s">
        <v>25</v>
      </c>
      <c r="I720" s="3" t="s">
        <v>4018</v>
      </c>
      <c r="J720" s="3" t="s">
        <v>4019</v>
      </c>
      <c r="K720" s="3"/>
      <c r="L720" s="3"/>
      <c r="M720" s="4"/>
      <c r="N720" s="3" t="s">
        <v>37</v>
      </c>
      <c r="O720" s="3" t="s">
        <v>52</v>
      </c>
      <c r="P720" s="5">
        <v>5</v>
      </c>
      <c r="Q720" s="5">
        <v>32</v>
      </c>
      <c r="R720" s="5">
        <v>5</v>
      </c>
      <c r="S720" s="5">
        <v>35</v>
      </c>
    </row>
    <row r="721" spans="1:19" ht="28" x14ac:dyDescent="0.15">
      <c r="A721" s="2">
        <f>HYPERLINK("https://open-school.uspishnemisto.com.ua/school/50728/", 50728)</f>
        <v>50728</v>
      </c>
      <c r="B721" s="3" t="s">
        <v>4020</v>
      </c>
      <c r="C721" s="3" t="s">
        <v>31</v>
      </c>
      <c r="D721" s="3" t="s">
        <v>32</v>
      </c>
      <c r="E721" s="4" t="s">
        <v>22</v>
      </c>
      <c r="F721" s="4" t="s">
        <v>4021</v>
      </c>
      <c r="G721" s="4" t="s">
        <v>4022</v>
      </c>
      <c r="H721" s="3" t="s">
        <v>25</v>
      </c>
      <c r="I721" s="3" t="s">
        <v>2410</v>
      </c>
      <c r="J721" s="3" t="s">
        <v>4023</v>
      </c>
      <c r="K721" s="3" t="s">
        <v>4024</v>
      </c>
      <c r="L721" s="3" t="s">
        <v>4025</v>
      </c>
      <c r="M721" s="4"/>
      <c r="N721" s="3" t="s">
        <v>37</v>
      </c>
      <c r="O721" s="3" t="s">
        <v>38</v>
      </c>
      <c r="P721" s="5">
        <v>11</v>
      </c>
      <c r="Q721" s="5">
        <v>226</v>
      </c>
      <c r="R721" s="5">
        <v>11</v>
      </c>
      <c r="S721" s="5">
        <v>213</v>
      </c>
    </row>
    <row r="722" spans="1:19" ht="28" x14ac:dyDescent="0.15">
      <c r="A722" s="2">
        <f>HYPERLINK("https://open-school.uspishnemisto.com.ua/school/50729/", 50729)</f>
        <v>50729</v>
      </c>
      <c r="B722" s="3" t="s">
        <v>4026</v>
      </c>
      <c r="C722" s="3" t="s">
        <v>31</v>
      </c>
      <c r="D722" s="3" t="s">
        <v>175</v>
      </c>
      <c r="E722" s="4" t="s">
        <v>22</v>
      </c>
      <c r="F722" s="4" t="s">
        <v>4027</v>
      </c>
      <c r="G722" s="4" t="s">
        <v>4028</v>
      </c>
      <c r="H722" s="3" t="s">
        <v>25</v>
      </c>
      <c r="I722" s="3" t="s">
        <v>2583</v>
      </c>
      <c r="J722" s="3" t="s">
        <v>4029</v>
      </c>
      <c r="K722" s="3" t="s">
        <v>4030</v>
      </c>
      <c r="L722" s="3"/>
      <c r="M722" s="4"/>
      <c r="N722" s="3" t="s">
        <v>37</v>
      </c>
      <c r="O722" s="3" t="s">
        <v>52</v>
      </c>
      <c r="P722" s="5">
        <v>3</v>
      </c>
      <c r="Q722" s="5">
        <v>34</v>
      </c>
      <c r="R722" s="5">
        <v>3</v>
      </c>
      <c r="S722" s="5">
        <v>35</v>
      </c>
    </row>
    <row r="723" spans="1:19" ht="28" x14ac:dyDescent="0.15">
      <c r="A723" s="2">
        <f>HYPERLINK("https://open-school.uspishnemisto.com.ua/school/50730/", 50730)</f>
        <v>50730</v>
      </c>
      <c r="B723" s="3" t="s">
        <v>4031</v>
      </c>
      <c r="C723" s="3" t="s">
        <v>31</v>
      </c>
      <c r="D723" s="3" t="s">
        <v>32</v>
      </c>
      <c r="E723" s="4" t="s">
        <v>22</v>
      </c>
      <c r="F723" s="4" t="s">
        <v>4032</v>
      </c>
      <c r="G723" s="4" t="s">
        <v>4033</v>
      </c>
      <c r="H723" s="3" t="s">
        <v>25</v>
      </c>
      <c r="I723" s="3" t="s">
        <v>4034</v>
      </c>
      <c r="J723" s="3" t="s">
        <v>4035</v>
      </c>
      <c r="K723" s="3" t="s">
        <v>4036</v>
      </c>
      <c r="L723" s="3" t="s">
        <v>4037</v>
      </c>
      <c r="M723" s="4"/>
      <c r="N723" s="3" t="s">
        <v>37</v>
      </c>
      <c r="O723" s="3" t="s">
        <v>38</v>
      </c>
      <c r="P723" s="5">
        <v>9</v>
      </c>
      <c r="Q723" s="5">
        <v>149</v>
      </c>
      <c r="R723" s="5">
        <v>10</v>
      </c>
      <c r="S723" s="5">
        <v>152</v>
      </c>
    </row>
    <row r="724" spans="1:19" ht="28" x14ac:dyDescent="0.15">
      <c r="A724" s="2">
        <f>HYPERLINK("https://open-school.uspishnemisto.com.ua/school/50731/", 50731)</f>
        <v>50731</v>
      </c>
      <c r="B724" s="3" t="s">
        <v>4038</v>
      </c>
      <c r="C724" s="3" t="s">
        <v>31</v>
      </c>
      <c r="D724" s="3" t="s">
        <v>32</v>
      </c>
      <c r="E724" s="4" t="s">
        <v>22</v>
      </c>
      <c r="F724" s="4" t="s">
        <v>4039</v>
      </c>
      <c r="G724" s="4" t="s">
        <v>4040</v>
      </c>
      <c r="H724" s="3" t="s">
        <v>25</v>
      </c>
      <c r="I724" s="3" t="s">
        <v>3581</v>
      </c>
      <c r="J724" s="3" t="s">
        <v>4041</v>
      </c>
      <c r="K724" s="3"/>
      <c r="L724" s="3"/>
      <c r="M724" s="4"/>
      <c r="N724" s="3" t="s">
        <v>37</v>
      </c>
      <c r="O724" s="3" t="s">
        <v>52</v>
      </c>
      <c r="P724" s="5">
        <v>10</v>
      </c>
      <c r="Q724" s="5">
        <v>124</v>
      </c>
      <c r="R724" s="5">
        <v>10</v>
      </c>
      <c r="S724" s="5">
        <v>117</v>
      </c>
    </row>
    <row r="725" spans="1:19" ht="28" x14ac:dyDescent="0.15">
      <c r="A725" s="2">
        <f>HYPERLINK("https://open-school.uspishnemisto.com.ua/school/50732/", 50732)</f>
        <v>50732</v>
      </c>
      <c r="B725" s="3" t="s">
        <v>4042</v>
      </c>
      <c r="C725" s="3" t="s">
        <v>31</v>
      </c>
      <c r="D725" s="3" t="s">
        <v>175</v>
      </c>
      <c r="E725" s="4" t="s">
        <v>22</v>
      </c>
      <c r="F725" s="4" t="s">
        <v>4043</v>
      </c>
      <c r="G725" s="4" t="s">
        <v>4044</v>
      </c>
      <c r="H725" s="3" t="s">
        <v>25</v>
      </c>
      <c r="I725" s="3" t="s">
        <v>4045</v>
      </c>
      <c r="J725" s="3" t="s">
        <v>4046</v>
      </c>
      <c r="K725" s="3" t="s">
        <v>4047</v>
      </c>
      <c r="L725" s="3"/>
      <c r="M725" s="4"/>
      <c r="N725" s="3" t="s">
        <v>37</v>
      </c>
      <c r="O725" s="3" t="s">
        <v>52</v>
      </c>
      <c r="P725" s="5">
        <v>5</v>
      </c>
      <c r="Q725" s="5">
        <v>43</v>
      </c>
      <c r="R725" s="5">
        <v>5</v>
      </c>
      <c r="S725" s="5">
        <v>37</v>
      </c>
    </row>
    <row r="726" spans="1:19" ht="28" x14ac:dyDescent="0.15">
      <c r="A726" s="2">
        <f>HYPERLINK("https://open-school.uspishnemisto.com.ua/school/50733/", 50733)</f>
        <v>50733</v>
      </c>
      <c r="B726" s="3" t="s">
        <v>4048</v>
      </c>
      <c r="C726" s="3" t="s">
        <v>31</v>
      </c>
      <c r="D726" s="3" t="s">
        <v>175</v>
      </c>
      <c r="E726" s="4" t="s">
        <v>22</v>
      </c>
      <c r="F726" s="4" t="s">
        <v>4049</v>
      </c>
      <c r="G726" s="4" t="s">
        <v>4050</v>
      </c>
      <c r="H726" s="3" t="s">
        <v>25</v>
      </c>
      <c r="I726" s="3" t="s">
        <v>3303</v>
      </c>
      <c r="J726" s="3" t="s">
        <v>1946</v>
      </c>
      <c r="K726" s="3" t="s">
        <v>4051</v>
      </c>
      <c r="L726" s="3"/>
      <c r="M726" s="4"/>
      <c r="N726" s="3" t="s">
        <v>37</v>
      </c>
      <c r="O726" s="3" t="s">
        <v>38</v>
      </c>
      <c r="P726" s="5">
        <v>8</v>
      </c>
      <c r="Q726" s="5">
        <v>62</v>
      </c>
      <c r="R726" s="5">
        <v>8</v>
      </c>
      <c r="S726" s="5">
        <v>59</v>
      </c>
    </row>
    <row r="727" spans="1:19" ht="28" x14ac:dyDescent="0.15">
      <c r="A727" s="2">
        <f>HYPERLINK("https://open-school.uspishnemisto.com.ua/school/50734/", 50734)</f>
        <v>50734</v>
      </c>
      <c r="B727" s="3" t="s">
        <v>4052</v>
      </c>
      <c r="C727" s="3" t="s">
        <v>31</v>
      </c>
      <c r="D727" s="3" t="s">
        <v>175</v>
      </c>
      <c r="E727" s="4" t="s">
        <v>22</v>
      </c>
      <c r="F727" s="4" t="s">
        <v>4053</v>
      </c>
      <c r="G727" s="4" t="s">
        <v>4054</v>
      </c>
      <c r="H727" s="3" t="s">
        <v>25</v>
      </c>
      <c r="I727" s="3" t="s">
        <v>4055</v>
      </c>
      <c r="J727" s="3" t="s">
        <v>4056</v>
      </c>
      <c r="K727" s="3" t="s">
        <v>4057</v>
      </c>
      <c r="L727" s="3"/>
      <c r="M727" s="4"/>
      <c r="N727" s="3" t="s">
        <v>37</v>
      </c>
      <c r="O727" s="3" t="s">
        <v>38</v>
      </c>
      <c r="P727" s="5">
        <v>3</v>
      </c>
      <c r="Q727" s="5">
        <v>28</v>
      </c>
      <c r="R727" s="5">
        <v>3</v>
      </c>
      <c r="S727" s="5">
        <v>31</v>
      </c>
    </row>
    <row r="728" spans="1:19" ht="28" x14ac:dyDescent="0.15">
      <c r="A728" s="2">
        <f>HYPERLINK("https://open-school.uspishnemisto.com.ua/school/50735/", 50735)</f>
        <v>50735</v>
      </c>
      <c r="B728" s="3" t="s">
        <v>4058</v>
      </c>
      <c r="C728" s="3" t="s">
        <v>31</v>
      </c>
      <c r="D728" s="3" t="s">
        <v>175</v>
      </c>
      <c r="E728" s="4" t="s">
        <v>22</v>
      </c>
      <c r="F728" s="4" t="s">
        <v>4059</v>
      </c>
      <c r="G728" s="4" t="s">
        <v>4060</v>
      </c>
      <c r="H728" s="3" t="s">
        <v>25</v>
      </c>
      <c r="I728" s="3" t="s">
        <v>4061</v>
      </c>
      <c r="J728" s="3" t="s">
        <v>4062</v>
      </c>
      <c r="K728" s="3"/>
      <c r="L728" s="3"/>
      <c r="M728" s="4"/>
      <c r="N728" s="3" t="s">
        <v>37</v>
      </c>
      <c r="O728" s="3" t="s">
        <v>46</v>
      </c>
      <c r="P728" s="5">
        <v>6</v>
      </c>
      <c r="Q728" s="5">
        <v>55</v>
      </c>
      <c r="R728" s="5">
        <v>6</v>
      </c>
      <c r="S728" s="5">
        <v>58</v>
      </c>
    </row>
    <row r="729" spans="1:19" ht="28" x14ac:dyDescent="0.15">
      <c r="A729" s="2">
        <f>HYPERLINK("https://open-school.uspishnemisto.com.ua/school/50736/", 50736)</f>
        <v>50736</v>
      </c>
      <c r="B729" s="3" t="s">
        <v>4063</v>
      </c>
      <c r="C729" s="3" t="s">
        <v>31</v>
      </c>
      <c r="D729" s="3" t="s">
        <v>175</v>
      </c>
      <c r="E729" s="4" t="s">
        <v>22</v>
      </c>
      <c r="F729" s="4" t="s">
        <v>4064</v>
      </c>
      <c r="G729" s="4" t="s">
        <v>4065</v>
      </c>
      <c r="H729" s="3" t="s">
        <v>25</v>
      </c>
      <c r="I729" s="3" t="s">
        <v>4066</v>
      </c>
      <c r="J729" s="3" t="s">
        <v>3399</v>
      </c>
      <c r="K729" s="3" t="s">
        <v>4067</v>
      </c>
      <c r="L729" s="3"/>
      <c r="M729" s="4"/>
      <c r="N729" s="3" t="s">
        <v>37</v>
      </c>
      <c r="O729" s="3" t="s">
        <v>38</v>
      </c>
      <c r="P729" s="5">
        <v>9</v>
      </c>
      <c r="Q729" s="5">
        <v>135</v>
      </c>
      <c r="R729" s="5">
        <v>9</v>
      </c>
      <c r="S729" s="5">
        <v>130</v>
      </c>
    </row>
    <row r="730" spans="1:19" ht="42" x14ac:dyDescent="0.15">
      <c r="A730" s="2">
        <f>HYPERLINK("https://open-school.uspishnemisto.com.ua/school/50737/", 50737)</f>
        <v>50737</v>
      </c>
      <c r="B730" s="3" t="s">
        <v>4068</v>
      </c>
      <c r="C730" s="3" t="s">
        <v>54</v>
      </c>
      <c r="D730" s="3" t="s">
        <v>32</v>
      </c>
      <c r="E730" s="4" t="s">
        <v>22</v>
      </c>
      <c r="F730" s="4" t="s">
        <v>4069</v>
      </c>
      <c r="G730" s="4" t="s">
        <v>4070</v>
      </c>
      <c r="H730" s="3" t="s">
        <v>25</v>
      </c>
      <c r="I730" s="3" t="s">
        <v>4071</v>
      </c>
      <c r="J730" s="3" t="s">
        <v>4072</v>
      </c>
      <c r="K730" s="3" t="s">
        <v>4073</v>
      </c>
      <c r="L730" s="3" t="s">
        <v>4074</v>
      </c>
      <c r="M730" s="4"/>
      <c r="N730" s="3" t="s">
        <v>37</v>
      </c>
      <c r="O730" s="3" t="s">
        <v>52</v>
      </c>
      <c r="P730" s="5">
        <v>9</v>
      </c>
      <c r="Q730" s="5">
        <v>97</v>
      </c>
      <c r="R730" s="5">
        <v>11</v>
      </c>
      <c r="S730" s="5">
        <v>97</v>
      </c>
    </row>
    <row r="731" spans="1:19" ht="28" x14ac:dyDescent="0.15">
      <c r="A731" s="2">
        <f>HYPERLINK("https://open-school.uspishnemisto.com.ua/school/50738/", 50738)</f>
        <v>50738</v>
      </c>
      <c r="B731" s="3" t="s">
        <v>4075</v>
      </c>
      <c r="C731" s="3" t="s">
        <v>31</v>
      </c>
      <c r="D731" s="3" t="s">
        <v>32</v>
      </c>
      <c r="E731" s="4" t="s">
        <v>22</v>
      </c>
      <c r="F731" s="4" t="s">
        <v>4076</v>
      </c>
      <c r="G731" s="4" t="s">
        <v>4077</v>
      </c>
      <c r="H731" s="3" t="s">
        <v>25</v>
      </c>
      <c r="I731" s="3" t="s">
        <v>4078</v>
      </c>
      <c r="J731" s="3" t="s">
        <v>1078</v>
      </c>
      <c r="K731" s="3" t="s">
        <v>4079</v>
      </c>
      <c r="L731" s="3"/>
      <c r="M731" s="4"/>
      <c r="N731" s="3" t="s">
        <v>37</v>
      </c>
      <c r="O731" s="3" t="s">
        <v>52</v>
      </c>
      <c r="P731" s="5">
        <v>11</v>
      </c>
      <c r="Q731" s="5">
        <v>165</v>
      </c>
      <c r="R731" s="5">
        <v>11</v>
      </c>
      <c r="S731" s="5">
        <v>161</v>
      </c>
    </row>
    <row r="732" spans="1:19" ht="42" x14ac:dyDescent="0.15">
      <c r="A732" s="2">
        <f>HYPERLINK("https://open-school.uspishnemisto.com.ua/school/50739/", 50739)</f>
        <v>50739</v>
      </c>
      <c r="B732" s="3" t="s">
        <v>4080</v>
      </c>
      <c r="C732" s="3" t="s">
        <v>54</v>
      </c>
      <c r="D732" s="3" t="s">
        <v>32</v>
      </c>
      <c r="E732" s="4" t="s">
        <v>22</v>
      </c>
      <c r="F732" s="4" t="s">
        <v>4076</v>
      </c>
      <c r="G732" s="4" t="s">
        <v>4081</v>
      </c>
      <c r="H732" s="3" t="s">
        <v>25</v>
      </c>
      <c r="I732" s="3" t="s">
        <v>4082</v>
      </c>
      <c r="J732" s="3" t="s">
        <v>4083</v>
      </c>
      <c r="K732" s="3" t="s">
        <v>4084</v>
      </c>
      <c r="L732" s="3"/>
      <c r="M732" s="4"/>
      <c r="N732" s="3" t="s">
        <v>37</v>
      </c>
      <c r="O732" s="3" t="s">
        <v>52</v>
      </c>
      <c r="P732" s="5">
        <v>10</v>
      </c>
      <c r="Q732" s="5">
        <v>86</v>
      </c>
      <c r="R732" s="5">
        <v>11</v>
      </c>
      <c r="S732" s="5">
        <v>78</v>
      </c>
    </row>
    <row r="733" spans="1:19" ht="28" x14ac:dyDescent="0.15">
      <c r="A733" s="2">
        <f>HYPERLINK("https://open-school.uspishnemisto.com.ua/school/50740/", 50740)</f>
        <v>50740</v>
      </c>
      <c r="B733" s="3" t="s">
        <v>4085</v>
      </c>
      <c r="C733" s="3" t="s">
        <v>31</v>
      </c>
      <c r="D733" s="3" t="s">
        <v>175</v>
      </c>
      <c r="E733" s="4" t="s">
        <v>22</v>
      </c>
      <c r="F733" s="4" t="s">
        <v>4086</v>
      </c>
      <c r="G733" s="4" t="s">
        <v>4087</v>
      </c>
      <c r="H733" s="3" t="s">
        <v>25</v>
      </c>
      <c r="I733" s="3" t="s">
        <v>4088</v>
      </c>
      <c r="J733" s="3" t="s">
        <v>4089</v>
      </c>
      <c r="K733" s="3" t="s">
        <v>4090</v>
      </c>
      <c r="L733" s="3"/>
      <c r="M733" s="4"/>
      <c r="N733" s="3" t="s">
        <v>37</v>
      </c>
      <c r="O733" s="3" t="s">
        <v>52</v>
      </c>
      <c r="P733" s="5">
        <v>4</v>
      </c>
      <c r="Q733" s="5">
        <v>35</v>
      </c>
      <c r="R733" s="5">
        <v>5</v>
      </c>
      <c r="S733" s="5">
        <v>38</v>
      </c>
    </row>
    <row r="734" spans="1:19" ht="42" x14ac:dyDescent="0.15">
      <c r="A734" s="2">
        <f>HYPERLINK("https://open-school.uspishnemisto.com.ua/school/50741/", 50741)</f>
        <v>50741</v>
      </c>
      <c r="B734" s="3" t="s">
        <v>4091</v>
      </c>
      <c r="C734" s="3" t="s">
        <v>54</v>
      </c>
      <c r="D734" s="3" t="s">
        <v>175</v>
      </c>
      <c r="E734" s="4" t="s">
        <v>22</v>
      </c>
      <c r="F734" s="4" t="s">
        <v>4092</v>
      </c>
      <c r="G734" s="4" t="s">
        <v>4093</v>
      </c>
      <c r="H734" s="3" t="s">
        <v>25</v>
      </c>
      <c r="I734" s="3" t="s">
        <v>4094</v>
      </c>
      <c r="J734" s="3" t="s">
        <v>466</v>
      </c>
      <c r="K734" s="3" t="s">
        <v>4095</v>
      </c>
      <c r="L734" s="3"/>
      <c r="M734" s="4"/>
      <c r="N734" s="3" t="s">
        <v>37</v>
      </c>
      <c r="O734" s="3" t="s">
        <v>52</v>
      </c>
      <c r="P734" s="5">
        <v>5</v>
      </c>
      <c r="Q734" s="5">
        <v>37</v>
      </c>
      <c r="R734" s="5">
        <v>4</v>
      </c>
      <c r="S734" s="5">
        <v>41</v>
      </c>
    </row>
    <row r="735" spans="1:19" ht="28" x14ac:dyDescent="0.15">
      <c r="A735" s="2">
        <f>HYPERLINK("https://open-school.uspishnemisto.com.ua/school/50742/", 50742)</f>
        <v>50742</v>
      </c>
      <c r="B735" s="3" t="s">
        <v>4096</v>
      </c>
      <c r="C735" s="3" t="s">
        <v>31</v>
      </c>
      <c r="D735" s="3" t="s">
        <v>32</v>
      </c>
      <c r="E735" s="4" t="s">
        <v>22</v>
      </c>
      <c r="F735" s="4" t="s">
        <v>4097</v>
      </c>
      <c r="G735" s="4" t="s">
        <v>4098</v>
      </c>
      <c r="H735" s="3" t="s">
        <v>25</v>
      </c>
      <c r="I735" s="3" t="s">
        <v>4099</v>
      </c>
      <c r="J735" s="3" t="s">
        <v>2820</v>
      </c>
      <c r="K735" s="3" t="s">
        <v>4100</v>
      </c>
      <c r="L735" s="3"/>
      <c r="M735" s="4"/>
      <c r="N735" s="3" t="s">
        <v>37</v>
      </c>
      <c r="O735" s="3" t="s">
        <v>52</v>
      </c>
      <c r="P735" s="5">
        <v>11</v>
      </c>
      <c r="Q735" s="5">
        <v>114</v>
      </c>
      <c r="R735" s="5">
        <v>11</v>
      </c>
      <c r="S735" s="5">
        <v>113</v>
      </c>
    </row>
    <row r="736" spans="1:19" ht="28" x14ac:dyDescent="0.15">
      <c r="A736" s="2">
        <f>HYPERLINK("https://open-school.uspishnemisto.com.ua/school/50743/", 50743)</f>
        <v>50743</v>
      </c>
      <c r="B736" s="3" t="s">
        <v>4101</v>
      </c>
      <c r="C736" s="3" t="s">
        <v>31</v>
      </c>
      <c r="D736" s="3" t="s">
        <v>175</v>
      </c>
      <c r="E736" s="4" t="s">
        <v>22</v>
      </c>
      <c r="F736" s="4" t="s">
        <v>4102</v>
      </c>
      <c r="G736" s="4" t="s">
        <v>4103</v>
      </c>
      <c r="H736" s="3" t="s">
        <v>25</v>
      </c>
      <c r="I736" s="3" t="s">
        <v>4104</v>
      </c>
      <c r="J736" s="3" t="s">
        <v>4105</v>
      </c>
      <c r="K736" s="3" t="s">
        <v>4106</v>
      </c>
      <c r="L736" s="3"/>
      <c r="M736" s="4"/>
      <c r="N736" s="3" t="s">
        <v>37</v>
      </c>
      <c r="O736" s="3" t="s">
        <v>52</v>
      </c>
      <c r="P736" s="5">
        <v>8</v>
      </c>
      <c r="Q736" s="5">
        <v>65</v>
      </c>
      <c r="R736" s="5">
        <v>6</v>
      </c>
      <c r="S736" s="5">
        <v>61</v>
      </c>
    </row>
    <row r="737" spans="1:19" ht="28" x14ac:dyDescent="0.15">
      <c r="A737" s="2">
        <f>HYPERLINK("https://open-school.uspishnemisto.com.ua/school/50744/", 50744)</f>
        <v>50744</v>
      </c>
      <c r="B737" s="3" t="s">
        <v>4107</v>
      </c>
      <c r="C737" s="3" t="s">
        <v>31</v>
      </c>
      <c r="D737" s="3" t="s">
        <v>32</v>
      </c>
      <c r="E737" s="4" t="s">
        <v>22</v>
      </c>
      <c r="F737" s="4" t="s">
        <v>4108</v>
      </c>
      <c r="G737" s="4" t="s">
        <v>4109</v>
      </c>
      <c r="H737" s="3" t="s">
        <v>25</v>
      </c>
      <c r="I737" s="3" t="s">
        <v>4110</v>
      </c>
      <c r="J737" s="3" t="s">
        <v>4111</v>
      </c>
      <c r="K737" s="3" t="s">
        <v>4112</v>
      </c>
      <c r="L737" s="3" t="s">
        <v>4113</v>
      </c>
      <c r="M737" s="4"/>
      <c r="N737" s="3" t="s">
        <v>37</v>
      </c>
      <c r="O737" s="3" t="s">
        <v>52</v>
      </c>
      <c r="P737" s="5">
        <v>11</v>
      </c>
      <c r="Q737" s="5">
        <v>196</v>
      </c>
      <c r="R737" s="5">
        <v>11</v>
      </c>
      <c r="S737" s="5">
        <v>180</v>
      </c>
    </row>
    <row r="738" spans="1:19" ht="28" x14ac:dyDescent="0.15">
      <c r="A738" s="2">
        <f>HYPERLINK("https://open-school.uspishnemisto.com.ua/school/50745/", 50745)</f>
        <v>50745</v>
      </c>
      <c r="B738" s="3" t="s">
        <v>4114</v>
      </c>
      <c r="C738" s="3" t="s">
        <v>31</v>
      </c>
      <c r="D738" s="3" t="s">
        <v>32</v>
      </c>
      <c r="E738" s="4" t="s">
        <v>22</v>
      </c>
      <c r="F738" s="4" t="s">
        <v>4115</v>
      </c>
      <c r="G738" s="4" t="s">
        <v>4116</v>
      </c>
      <c r="H738" s="3" t="s">
        <v>25</v>
      </c>
      <c r="I738" s="3" t="s">
        <v>4117</v>
      </c>
      <c r="J738" s="3" t="s">
        <v>4118</v>
      </c>
      <c r="K738" s="3" t="s">
        <v>4119</v>
      </c>
      <c r="L738" s="3"/>
      <c r="M738" s="4"/>
      <c r="N738" s="3" t="s">
        <v>37</v>
      </c>
      <c r="O738" s="3" t="s">
        <v>52</v>
      </c>
      <c r="P738" s="5">
        <v>11</v>
      </c>
      <c r="Q738" s="5">
        <v>151</v>
      </c>
      <c r="R738" s="5">
        <v>11</v>
      </c>
      <c r="S738" s="5">
        <v>156</v>
      </c>
    </row>
    <row r="739" spans="1:19" ht="28" x14ac:dyDescent="0.15">
      <c r="A739" s="2">
        <f>HYPERLINK("https://open-school.uspishnemisto.com.ua/school/50746/", 50746)</f>
        <v>50746</v>
      </c>
      <c r="B739" s="3" t="s">
        <v>4120</v>
      </c>
      <c r="C739" s="3" t="s">
        <v>31</v>
      </c>
      <c r="D739" s="3" t="s">
        <v>175</v>
      </c>
      <c r="E739" s="4" t="s">
        <v>22</v>
      </c>
      <c r="F739" s="4" t="s">
        <v>4121</v>
      </c>
      <c r="G739" s="4" t="s">
        <v>4122</v>
      </c>
      <c r="H739" s="3" t="s">
        <v>25</v>
      </c>
      <c r="I739" s="3" t="s">
        <v>4123</v>
      </c>
      <c r="J739" s="3" t="s">
        <v>4124</v>
      </c>
      <c r="K739" s="3" t="s">
        <v>4125</v>
      </c>
      <c r="L739" s="3"/>
      <c r="M739" s="4"/>
      <c r="N739" s="3" t="s">
        <v>37</v>
      </c>
      <c r="O739" s="3" t="s">
        <v>52</v>
      </c>
      <c r="P739" s="5">
        <v>6</v>
      </c>
      <c r="Q739" s="5">
        <v>29</v>
      </c>
      <c r="R739" s="5">
        <v>5</v>
      </c>
      <c r="S739" s="5">
        <v>34</v>
      </c>
    </row>
    <row r="740" spans="1:19" ht="28" x14ac:dyDescent="0.15">
      <c r="A740" s="2">
        <f>HYPERLINK("https://open-school.uspishnemisto.com.ua/school/50748/", 50748)</f>
        <v>50748</v>
      </c>
      <c r="B740" s="3" t="s">
        <v>4126</v>
      </c>
      <c r="C740" s="3" t="s">
        <v>54</v>
      </c>
      <c r="D740" s="3" t="s">
        <v>175</v>
      </c>
      <c r="E740" s="4" t="s">
        <v>22</v>
      </c>
      <c r="F740" s="4" t="s">
        <v>4127</v>
      </c>
      <c r="G740" s="4" t="s">
        <v>4128</v>
      </c>
      <c r="H740" s="3" t="s">
        <v>25</v>
      </c>
      <c r="I740" s="3" t="s">
        <v>4129</v>
      </c>
      <c r="J740" s="3" t="s">
        <v>4130</v>
      </c>
      <c r="K740" s="3" t="s">
        <v>4131</v>
      </c>
      <c r="L740" s="3"/>
      <c r="M740" s="4"/>
      <c r="N740" s="3" t="s">
        <v>37</v>
      </c>
      <c r="O740" s="3" t="s">
        <v>46</v>
      </c>
      <c r="P740" s="5">
        <v>2</v>
      </c>
      <c r="Q740" s="5">
        <v>27</v>
      </c>
      <c r="R740" s="5">
        <v>3</v>
      </c>
      <c r="S740" s="5">
        <v>25</v>
      </c>
    </row>
    <row r="741" spans="1:19" ht="28" x14ac:dyDescent="0.15">
      <c r="A741" s="2">
        <f>HYPERLINK("https://open-school.uspishnemisto.com.ua/school/50749/", 50749)</f>
        <v>50749</v>
      </c>
      <c r="B741" s="3" t="s">
        <v>4132</v>
      </c>
      <c r="C741" s="3" t="s">
        <v>31</v>
      </c>
      <c r="D741" s="3" t="s">
        <v>32</v>
      </c>
      <c r="E741" s="4" t="s">
        <v>22</v>
      </c>
      <c r="F741" s="4" t="s">
        <v>4133</v>
      </c>
      <c r="G741" s="4" t="s">
        <v>4134</v>
      </c>
      <c r="H741" s="3" t="s">
        <v>25</v>
      </c>
      <c r="I741" s="3" t="s">
        <v>4135</v>
      </c>
      <c r="J741" s="3" t="s">
        <v>4136</v>
      </c>
      <c r="K741" s="3" t="s">
        <v>4137</v>
      </c>
      <c r="L741" s="3"/>
      <c r="M741" s="4"/>
      <c r="N741" s="3" t="s">
        <v>37</v>
      </c>
      <c r="O741" s="3" t="s">
        <v>52</v>
      </c>
      <c r="P741" s="5">
        <v>9</v>
      </c>
      <c r="Q741" s="5">
        <v>73</v>
      </c>
      <c r="R741" s="5">
        <v>10</v>
      </c>
      <c r="S741" s="5">
        <v>67</v>
      </c>
    </row>
    <row r="742" spans="1:19" ht="28" x14ac:dyDescent="0.15">
      <c r="A742" s="2">
        <f>HYPERLINK("https://open-school.uspishnemisto.com.ua/school/50750/", 50750)</f>
        <v>50750</v>
      </c>
      <c r="B742" s="3" t="s">
        <v>4138</v>
      </c>
      <c r="C742" s="3" t="s">
        <v>31</v>
      </c>
      <c r="D742" s="3" t="s">
        <v>175</v>
      </c>
      <c r="E742" s="4" t="s">
        <v>22</v>
      </c>
      <c r="F742" s="4" t="s">
        <v>4139</v>
      </c>
      <c r="G742" s="4" t="s">
        <v>4140</v>
      </c>
      <c r="H742" s="3" t="s">
        <v>25</v>
      </c>
      <c r="I742" s="3" t="s">
        <v>4141</v>
      </c>
      <c r="J742" s="3" t="s">
        <v>4142</v>
      </c>
      <c r="K742" s="3" t="s">
        <v>4143</v>
      </c>
      <c r="L742" s="3"/>
      <c r="M742" s="4"/>
      <c r="N742" s="3" t="s">
        <v>37</v>
      </c>
      <c r="O742" s="3" t="s">
        <v>52</v>
      </c>
      <c r="P742" s="5">
        <v>9</v>
      </c>
      <c r="Q742" s="5">
        <v>55</v>
      </c>
      <c r="R742" s="5">
        <v>9</v>
      </c>
      <c r="S742" s="5">
        <v>53</v>
      </c>
    </row>
    <row r="743" spans="1:19" ht="28" x14ac:dyDescent="0.15">
      <c r="A743" s="2">
        <f>HYPERLINK("https://open-school.uspishnemisto.com.ua/school/50751/", 50751)</f>
        <v>50751</v>
      </c>
      <c r="B743" s="3" t="s">
        <v>4144</v>
      </c>
      <c r="C743" s="3" t="s">
        <v>31</v>
      </c>
      <c r="D743" s="3" t="s">
        <v>32</v>
      </c>
      <c r="E743" s="4" t="s">
        <v>22</v>
      </c>
      <c r="F743" s="4" t="s">
        <v>4145</v>
      </c>
      <c r="G743" s="4" t="s">
        <v>4146</v>
      </c>
      <c r="H743" s="3" t="s">
        <v>25</v>
      </c>
      <c r="I743" s="3" t="s">
        <v>4147</v>
      </c>
      <c r="J743" s="3" t="s">
        <v>466</v>
      </c>
      <c r="K743" s="3" t="s">
        <v>4148</v>
      </c>
      <c r="L743" s="3"/>
      <c r="M743" s="4"/>
      <c r="N743" s="3" t="s">
        <v>37</v>
      </c>
      <c r="O743" s="3" t="s">
        <v>618</v>
      </c>
      <c r="P743" s="5">
        <v>5</v>
      </c>
      <c r="Q743" s="5">
        <v>51</v>
      </c>
      <c r="R743" s="5">
        <v>7</v>
      </c>
      <c r="S743" s="5">
        <v>55</v>
      </c>
    </row>
    <row r="744" spans="1:19" ht="28" x14ac:dyDescent="0.15">
      <c r="A744" s="2">
        <f>HYPERLINK("https://open-school.uspishnemisto.com.ua/school/50752/", 50752)</f>
        <v>50752</v>
      </c>
      <c r="B744" s="3" t="s">
        <v>4149</v>
      </c>
      <c r="C744" s="3" t="s">
        <v>54</v>
      </c>
      <c r="D744" s="3" t="s">
        <v>60</v>
      </c>
      <c r="E744" s="4" t="s">
        <v>22</v>
      </c>
      <c r="F744" s="4" t="s">
        <v>366</v>
      </c>
      <c r="G744" s="4" t="s">
        <v>4150</v>
      </c>
      <c r="H744" s="3" t="s">
        <v>25</v>
      </c>
      <c r="I744" s="3" t="s">
        <v>4151</v>
      </c>
      <c r="J744" s="3" t="s">
        <v>4152</v>
      </c>
      <c r="K744" s="3" t="s">
        <v>4153</v>
      </c>
      <c r="L744" s="3"/>
      <c r="M744" s="4"/>
      <c r="N744" s="3" t="s">
        <v>37</v>
      </c>
      <c r="O744" s="3" t="s">
        <v>52</v>
      </c>
      <c r="P744" s="5">
        <v>1</v>
      </c>
      <c r="Q744" s="5">
        <v>14</v>
      </c>
      <c r="R744" s="5">
        <v>3</v>
      </c>
      <c r="S744" s="5">
        <v>16</v>
      </c>
    </row>
    <row r="745" spans="1:19" ht="28" x14ac:dyDescent="0.15">
      <c r="A745" s="2">
        <f>HYPERLINK("https://open-school.uspishnemisto.com.ua/school/50753/", 50753)</f>
        <v>50753</v>
      </c>
      <c r="B745" s="3" t="s">
        <v>4154</v>
      </c>
      <c r="C745" s="3" t="s">
        <v>31</v>
      </c>
      <c r="D745" s="3" t="s">
        <v>32</v>
      </c>
      <c r="E745" s="4" t="s">
        <v>22</v>
      </c>
      <c r="F745" s="4" t="s">
        <v>4155</v>
      </c>
      <c r="G745" s="4" t="s">
        <v>4156</v>
      </c>
      <c r="H745" s="3" t="s">
        <v>25</v>
      </c>
      <c r="I745" s="3" t="s">
        <v>4157</v>
      </c>
      <c r="J745" s="3" t="s">
        <v>4158</v>
      </c>
      <c r="K745" s="3" t="s">
        <v>4159</v>
      </c>
      <c r="L745" s="3"/>
      <c r="M745" s="4"/>
      <c r="N745" s="3" t="s">
        <v>37</v>
      </c>
      <c r="O745" s="3" t="s">
        <v>52</v>
      </c>
      <c r="P745" s="5">
        <v>9</v>
      </c>
      <c r="Q745" s="5">
        <v>73</v>
      </c>
      <c r="R745" s="5">
        <v>9</v>
      </c>
      <c r="S745" s="5">
        <v>71</v>
      </c>
    </row>
    <row r="746" spans="1:19" ht="28" x14ac:dyDescent="0.15">
      <c r="A746" s="2">
        <f>HYPERLINK("https://open-school.uspishnemisto.com.ua/school/50754/", 50754)</f>
        <v>50754</v>
      </c>
      <c r="B746" s="3" t="s">
        <v>4160</v>
      </c>
      <c r="C746" s="3" t="s">
        <v>31</v>
      </c>
      <c r="D746" s="3" t="s">
        <v>60</v>
      </c>
      <c r="E746" s="4" t="s">
        <v>22</v>
      </c>
      <c r="F746" s="4"/>
      <c r="G746" s="4" t="s">
        <v>4161</v>
      </c>
      <c r="H746" s="3" t="s">
        <v>25</v>
      </c>
      <c r="I746" s="3" t="s">
        <v>2718</v>
      </c>
      <c r="J746" s="3"/>
      <c r="K746" s="3" t="s">
        <v>4162</v>
      </c>
      <c r="L746" s="3"/>
      <c r="M746" s="4"/>
      <c r="N746" s="3" t="s">
        <v>37</v>
      </c>
      <c r="O746" s="3" t="s">
        <v>52</v>
      </c>
      <c r="P746" s="5">
        <v>2</v>
      </c>
      <c r="Q746" s="5">
        <v>14</v>
      </c>
      <c r="R746" s="5">
        <v>1</v>
      </c>
      <c r="S746" s="5">
        <v>11</v>
      </c>
    </row>
    <row r="747" spans="1:19" ht="28" x14ac:dyDescent="0.15">
      <c r="A747" s="2">
        <f>HYPERLINK("https://open-school.uspishnemisto.com.ua/school/50755/", 50755)</f>
        <v>50755</v>
      </c>
      <c r="B747" s="3" t="s">
        <v>4163</v>
      </c>
      <c r="C747" s="3" t="s">
        <v>31</v>
      </c>
      <c r="D747" s="3" t="s">
        <v>32</v>
      </c>
      <c r="E747" s="4" t="s">
        <v>22</v>
      </c>
      <c r="F747" s="4" t="s">
        <v>4164</v>
      </c>
      <c r="G747" s="4" t="s">
        <v>4165</v>
      </c>
      <c r="H747" s="3" t="s">
        <v>25</v>
      </c>
      <c r="I747" s="3" t="s">
        <v>4166</v>
      </c>
      <c r="J747" s="3" t="s">
        <v>1636</v>
      </c>
      <c r="K747" s="3" t="s">
        <v>4167</v>
      </c>
      <c r="L747" s="3"/>
      <c r="M747" s="4"/>
      <c r="N747" s="3" t="s">
        <v>37</v>
      </c>
      <c r="O747" s="3" t="s">
        <v>52</v>
      </c>
      <c r="P747" s="5">
        <v>8</v>
      </c>
      <c r="Q747" s="5">
        <v>60</v>
      </c>
      <c r="R747" s="5">
        <v>7</v>
      </c>
      <c r="S747" s="5">
        <v>60</v>
      </c>
    </row>
    <row r="748" spans="1:19" ht="28" x14ac:dyDescent="0.15">
      <c r="A748" s="2">
        <f>HYPERLINK("https://open-school.uspishnemisto.com.ua/school/50756/", 50756)</f>
        <v>50756</v>
      </c>
      <c r="B748" s="3" t="s">
        <v>4168</v>
      </c>
      <c r="C748" s="3" t="s">
        <v>54</v>
      </c>
      <c r="D748" s="3" t="s">
        <v>32</v>
      </c>
      <c r="E748" s="4" t="s">
        <v>22</v>
      </c>
      <c r="F748" s="4" t="s">
        <v>4169</v>
      </c>
      <c r="G748" s="4" t="s">
        <v>4170</v>
      </c>
      <c r="H748" s="3" t="s">
        <v>25</v>
      </c>
      <c r="I748" s="3" t="s">
        <v>4171</v>
      </c>
      <c r="J748" s="3" t="s">
        <v>4172</v>
      </c>
      <c r="K748" s="3" t="s">
        <v>4173</v>
      </c>
      <c r="L748" s="3"/>
      <c r="M748" s="4"/>
      <c r="N748" s="3" t="s">
        <v>37</v>
      </c>
      <c r="O748" s="3" t="s">
        <v>52</v>
      </c>
      <c r="P748" s="5">
        <v>11</v>
      </c>
      <c r="Q748" s="5">
        <v>102</v>
      </c>
      <c r="R748" s="5">
        <v>11</v>
      </c>
      <c r="S748" s="5">
        <v>107</v>
      </c>
    </row>
    <row r="749" spans="1:19" ht="28" x14ac:dyDescent="0.15">
      <c r="A749" s="2">
        <f>HYPERLINK("https://open-school.uspishnemisto.com.ua/school/50757/", 50757)</f>
        <v>50757</v>
      </c>
      <c r="B749" s="3" t="s">
        <v>4174</v>
      </c>
      <c r="C749" s="3" t="s">
        <v>31</v>
      </c>
      <c r="D749" s="3" t="s">
        <v>32</v>
      </c>
      <c r="E749" s="4" t="s">
        <v>22</v>
      </c>
      <c r="F749" s="4" t="s">
        <v>4175</v>
      </c>
      <c r="G749" s="4" t="s">
        <v>4176</v>
      </c>
      <c r="H749" s="3" t="s">
        <v>25</v>
      </c>
      <c r="I749" s="3" t="s">
        <v>4177</v>
      </c>
      <c r="J749" s="3" t="s">
        <v>1606</v>
      </c>
      <c r="K749" s="3" t="s">
        <v>4178</v>
      </c>
      <c r="L749" s="3"/>
      <c r="M749" s="4"/>
      <c r="N749" s="3" t="s">
        <v>37</v>
      </c>
      <c r="O749" s="3" t="s">
        <v>52</v>
      </c>
      <c r="P749" s="5">
        <v>9</v>
      </c>
      <c r="Q749" s="5">
        <v>85</v>
      </c>
      <c r="R749" s="5">
        <v>9</v>
      </c>
      <c r="S749" s="5">
        <v>84</v>
      </c>
    </row>
    <row r="750" spans="1:19" ht="28" x14ac:dyDescent="0.15">
      <c r="A750" s="2">
        <f>HYPERLINK("https://open-school.uspishnemisto.com.ua/school/50758/", 50758)</f>
        <v>50758</v>
      </c>
      <c r="B750" s="3" t="s">
        <v>4179</v>
      </c>
      <c r="C750" s="3" t="s">
        <v>31</v>
      </c>
      <c r="D750" s="3" t="s">
        <v>32</v>
      </c>
      <c r="E750" s="4" t="s">
        <v>22</v>
      </c>
      <c r="F750" s="4" t="s">
        <v>4180</v>
      </c>
      <c r="G750" s="4" t="s">
        <v>4181</v>
      </c>
      <c r="H750" s="3" t="s">
        <v>25</v>
      </c>
      <c r="I750" s="3" t="s">
        <v>440</v>
      </c>
      <c r="J750" s="3" t="s">
        <v>4182</v>
      </c>
      <c r="K750" s="3" t="s">
        <v>4183</v>
      </c>
      <c r="L750" s="3"/>
      <c r="M750" s="4"/>
      <c r="N750" s="3" t="s">
        <v>37</v>
      </c>
      <c r="O750" s="3" t="s">
        <v>52</v>
      </c>
      <c r="P750" s="5">
        <v>6</v>
      </c>
      <c r="Q750" s="5">
        <v>57</v>
      </c>
      <c r="R750" s="5">
        <v>7</v>
      </c>
      <c r="S750" s="5">
        <v>62</v>
      </c>
    </row>
    <row r="751" spans="1:19" ht="28" x14ac:dyDescent="0.15">
      <c r="A751" s="2">
        <f>HYPERLINK("https://open-school.uspishnemisto.com.ua/school/50759/", 50759)</f>
        <v>50759</v>
      </c>
      <c r="B751" s="3" t="s">
        <v>4184</v>
      </c>
      <c r="C751" s="3" t="s">
        <v>54</v>
      </c>
      <c r="D751" s="3" t="s">
        <v>175</v>
      </c>
      <c r="E751" s="4" t="s">
        <v>22</v>
      </c>
      <c r="F751" s="4" t="s">
        <v>4185</v>
      </c>
      <c r="G751" s="4" t="s">
        <v>4186</v>
      </c>
      <c r="H751" s="3" t="s">
        <v>25</v>
      </c>
      <c r="I751" s="3" t="s">
        <v>4187</v>
      </c>
      <c r="J751" s="3" t="s">
        <v>4188</v>
      </c>
      <c r="K751" s="3" t="s">
        <v>4189</v>
      </c>
      <c r="L751" s="3"/>
      <c r="M751" s="4"/>
      <c r="N751" s="3" t="s">
        <v>37</v>
      </c>
      <c r="O751" s="3" t="s">
        <v>52</v>
      </c>
      <c r="P751" s="5">
        <v>3</v>
      </c>
      <c r="Q751" s="5">
        <v>33</v>
      </c>
      <c r="R751" s="5">
        <v>4</v>
      </c>
      <c r="S751" s="5">
        <v>34</v>
      </c>
    </row>
    <row r="752" spans="1:19" ht="28" x14ac:dyDescent="0.15">
      <c r="A752" s="2">
        <f>HYPERLINK("https://open-school.uspishnemisto.com.ua/school/50760/", 50760)</f>
        <v>50760</v>
      </c>
      <c r="B752" s="3" t="s">
        <v>4190</v>
      </c>
      <c r="C752" s="3" t="s">
        <v>31</v>
      </c>
      <c r="D752" s="3" t="s">
        <v>32</v>
      </c>
      <c r="E752" s="4" t="s">
        <v>22</v>
      </c>
      <c r="F752" s="4" t="s">
        <v>4191</v>
      </c>
      <c r="G752" s="4" t="s">
        <v>4192</v>
      </c>
      <c r="H752" s="3" t="s">
        <v>25</v>
      </c>
      <c r="I752" s="3" t="s">
        <v>4193</v>
      </c>
      <c r="J752" s="3" t="s">
        <v>4194</v>
      </c>
      <c r="K752" s="3" t="s">
        <v>4195</v>
      </c>
      <c r="L752" s="3"/>
      <c r="M752" s="4"/>
      <c r="N752" s="3" t="s">
        <v>37</v>
      </c>
      <c r="O752" s="3" t="s">
        <v>52</v>
      </c>
      <c r="P752" s="5">
        <v>11</v>
      </c>
      <c r="Q752" s="5">
        <v>105</v>
      </c>
      <c r="R752" s="5">
        <v>11</v>
      </c>
      <c r="S752" s="5">
        <v>115</v>
      </c>
    </row>
    <row r="753" spans="1:19" ht="28" x14ac:dyDescent="0.15">
      <c r="A753" s="2">
        <f>HYPERLINK("https://open-school.uspishnemisto.com.ua/school/50761/", 50761)</f>
        <v>50761</v>
      </c>
      <c r="B753" s="3" t="s">
        <v>4196</v>
      </c>
      <c r="C753" s="3" t="s">
        <v>31</v>
      </c>
      <c r="D753" s="3" t="s">
        <v>175</v>
      </c>
      <c r="E753" s="4" t="s">
        <v>22</v>
      </c>
      <c r="F753" s="4" t="s">
        <v>4191</v>
      </c>
      <c r="G753" s="4" t="s">
        <v>4197</v>
      </c>
      <c r="H753" s="3" t="s">
        <v>25</v>
      </c>
      <c r="I753" s="3" t="s">
        <v>4198</v>
      </c>
      <c r="J753" s="3" t="s">
        <v>4199</v>
      </c>
      <c r="K753" s="3" t="s">
        <v>4200</v>
      </c>
      <c r="L753" s="3"/>
      <c r="M753" s="4"/>
      <c r="N753" s="3" t="s">
        <v>37</v>
      </c>
      <c r="O753" s="3" t="s">
        <v>52</v>
      </c>
      <c r="P753" s="5">
        <v>4</v>
      </c>
      <c r="Q753" s="5">
        <v>32</v>
      </c>
      <c r="R753" s="5">
        <v>4</v>
      </c>
      <c r="S753" s="5">
        <v>31</v>
      </c>
    </row>
    <row r="754" spans="1:19" ht="42" x14ac:dyDescent="0.15">
      <c r="A754" s="2">
        <f>HYPERLINK("https://open-school.uspishnemisto.com.ua/school/50762/", 50762)</f>
        <v>50762</v>
      </c>
      <c r="B754" s="3" t="s">
        <v>4201</v>
      </c>
      <c r="C754" s="3" t="s">
        <v>54</v>
      </c>
      <c r="D754" s="3" t="s">
        <v>32</v>
      </c>
      <c r="E754" s="4" t="s">
        <v>22</v>
      </c>
      <c r="F754" s="4" t="s">
        <v>4202</v>
      </c>
      <c r="G754" s="4" t="s">
        <v>4203</v>
      </c>
      <c r="H754" s="3" t="s">
        <v>25</v>
      </c>
      <c r="I754" s="3" t="s">
        <v>3462</v>
      </c>
      <c r="J754" s="3" t="s">
        <v>4204</v>
      </c>
      <c r="K754" s="3" t="s">
        <v>4205</v>
      </c>
      <c r="L754" s="3"/>
      <c r="M754" s="4"/>
      <c r="N754" s="3" t="s">
        <v>37</v>
      </c>
      <c r="O754" s="3" t="s">
        <v>46</v>
      </c>
      <c r="P754" s="5">
        <v>6</v>
      </c>
      <c r="Q754" s="5">
        <v>46</v>
      </c>
      <c r="R754" s="5">
        <v>6</v>
      </c>
      <c r="S754" s="5">
        <v>42</v>
      </c>
    </row>
    <row r="755" spans="1:19" ht="28" x14ac:dyDescent="0.15">
      <c r="A755" s="2">
        <f>HYPERLINK("https://open-school.uspishnemisto.com.ua/school/50763/", 50763)</f>
        <v>50763</v>
      </c>
      <c r="B755" s="3" t="s">
        <v>4206</v>
      </c>
      <c r="C755" s="3" t="s">
        <v>31</v>
      </c>
      <c r="D755" s="3" t="s">
        <v>32</v>
      </c>
      <c r="E755" s="4" t="s">
        <v>22</v>
      </c>
      <c r="F755" s="4" t="s">
        <v>4207</v>
      </c>
      <c r="G755" s="4" t="s">
        <v>4208</v>
      </c>
      <c r="H755" s="3" t="s">
        <v>25</v>
      </c>
      <c r="I755" s="3" t="s">
        <v>1678</v>
      </c>
      <c r="J755" s="3" t="s">
        <v>4209</v>
      </c>
      <c r="K755" s="3" t="s">
        <v>4210</v>
      </c>
      <c r="L755" s="3"/>
      <c r="M755" s="4"/>
      <c r="N755" s="3" t="s">
        <v>37</v>
      </c>
      <c r="O755" s="3" t="s">
        <v>52</v>
      </c>
      <c r="P755" s="5">
        <v>11</v>
      </c>
      <c r="Q755" s="5">
        <v>76</v>
      </c>
      <c r="R755" s="5">
        <v>11</v>
      </c>
      <c r="S755" s="5">
        <v>81</v>
      </c>
    </row>
    <row r="756" spans="1:19" ht="28" x14ac:dyDescent="0.15">
      <c r="A756" s="2">
        <f>HYPERLINK("https://open-school.uspishnemisto.com.ua/school/50764/", 50764)</f>
        <v>50764</v>
      </c>
      <c r="B756" s="3" t="s">
        <v>4211</v>
      </c>
      <c r="C756" s="3" t="s">
        <v>31</v>
      </c>
      <c r="D756" s="3" t="s">
        <v>175</v>
      </c>
      <c r="E756" s="4" t="s">
        <v>22</v>
      </c>
      <c r="F756" s="4" t="s">
        <v>4212</v>
      </c>
      <c r="G756" s="4" t="s">
        <v>4213</v>
      </c>
      <c r="H756" s="3" t="s">
        <v>25</v>
      </c>
      <c r="I756" s="3" t="s">
        <v>4214</v>
      </c>
      <c r="J756" s="3" t="s">
        <v>554</v>
      </c>
      <c r="K756" s="3" t="s">
        <v>4215</v>
      </c>
      <c r="L756" s="3"/>
      <c r="M756" s="4"/>
      <c r="N756" s="3" t="s">
        <v>37</v>
      </c>
      <c r="O756" s="3" t="s">
        <v>52</v>
      </c>
      <c r="P756" s="5">
        <v>9</v>
      </c>
      <c r="Q756" s="5">
        <v>62</v>
      </c>
      <c r="R756" s="5">
        <v>9</v>
      </c>
      <c r="S756" s="5">
        <v>62</v>
      </c>
    </row>
    <row r="757" spans="1:19" ht="28" x14ac:dyDescent="0.15">
      <c r="A757" s="2">
        <f>HYPERLINK("https://open-school.uspishnemisto.com.ua/school/50765/", 50765)</f>
        <v>50765</v>
      </c>
      <c r="B757" s="3" t="s">
        <v>4216</v>
      </c>
      <c r="C757" s="3" t="s">
        <v>54</v>
      </c>
      <c r="D757" s="3" t="s">
        <v>32</v>
      </c>
      <c r="E757" s="4" t="s">
        <v>22</v>
      </c>
      <c r="F757" s="4" t="s">
        <v>4217</v>
      </c>
      <c r="G757" s="4" t="s">
        <v>4218</v>
      </c>
      <c r="H757" s="3" t="s">
        <v>25</v>
      </c>
      <c r="I757" s="3" t="s">
        <v>4219</v>
      </c>
      <c r="J757" s="3" t="s">
        <v>4220</v>
      </c>
      <c r="K757" s="3" t="s">
        <v>4221</v>
      </c>
      <c r="L757" s="3"/>
      <c r="M757" s="4"/>
      <c r="N757" s="3" t="s">
        <v>37</v>
      </c>
      <c r="O757" s="3" t="s">
        <v>52</v>
      </c>
      <c r="P757" s="5">
        <v>11</v>
      </c>
      <c r="Q757" s="5">
        <v>181</v>
      </c>
      <c r="R757" s="5">
        <v>11</v>
      </c>
      <c r="S757" s="5">
        <v>177</v>
      </c>
    </row>
    <row r="758" spans="1:19" ht="42" x14ac:dyDescent="0.15">
      <c r="A758" s="2">
        <f>HYPERLINK("https://open-school.uspishnemisto.com.ua/school/50766/", 50766)</f>
        <v>50766</v>
      </c>
      <c r="B758" s="3" t="s">
        <v>4222</v>
      </c>
      <c r="C758" s="3" t="s">
        <v>54</v>
      </c>
      <c r="D758" s="3" t="s">
        <v>32</v>
      </c>
      <c r="E758" s="4" t="s">
        <v>22</v>
      </c>
      <c r="F758" s="4" t="s">
        <v>4223</v>
      </c>
      <c r="G758" s="4" t="s">
        <v>4224</v>
      </c>
      <c r="H758" s="3" t="s">
        <v>25</v>
      </c>
      <c r="I758" s="3" t="s">
        <v>1286</v>
      </c>
      <c r="J758" s="3" t="s">
        <v>634</v>
      </c>
      <c r="K758" s="3" t="s">
        <v>4225</v>
      </c>
      <c r="L758" s="3" t="s">
        <v>4226</v>
      </c>
      <c r="M758" s="4"/>
      <c r="N758" s="3" t="s">
        <v>37</v>
      </c>
      <c r="O758" s="3" t="s">
        <v>46</v>
      </c>
      <c r="P758" s="5">
        <v>10</v>
      </c>
      <c r="Q758" s="5">
        <v>78</v>
      </c>
      <c r="R758" s="5">
        <v>9</v>
      </c>
      <c r="S758" s="5">
        <v>72</v>
      </c>
    </row>
    <row r="759" spans="1:19" ht="42" x14ac:dyDescent="0.15">
      <c r="A759" s="2">
        <f>HYPERLINK("https://open-school.uspishnemisto.com.ua/school/50767/", 50767)</f>
        <v>50767</v>
      </c>
      <c r="B759" s="3" t="s">
        <v>4227</v>
      </c>
      <c r="C759" s="3" t="s">
        <v>31</v>
      </c>
      <c r="D759" s="3" t="s">
        <v>175</v>
      </c>
      <c r="E759" s="4" t="s">
        <v>22</v>
      </c>
      <c r="F759" s="4" t="s">
        <v>4228</v>
      </c>
      <c r="G759" s="4" t="s">
        <v>4229</v>
      </c>
      <c r="H759" s="3" t="s">
        <v>25</v>
      </c>
      <c r="I759" s="3" t="s">
        <v>4230</v>
      </c>
      <c r="J759" s="3" t="s">
        <v>4231</v>
      </c>
      <c r="K759" s="3" t="s">
        <v>4232</v>
      </c>
      <c r="L759" s="3"/>
      <c r="M759" s="4"/>
      <c r="N759" s="3" t="s">
        <v>37</v>
      </c>
      <c r="O759" s="3" t="s">
        <v>46</v>
      </c>
      <c r="P759" s="5">
        <v>5</v>
      </c>
      <c r="Q759" s="5">
        <v>45</v>
      </c>
      <c r="R759" s="5">
        <v>5</v>
      </c>
      <c r="S759" s="5">
        <v>39</v>
      </c>
    </row>
    <row r="760" spans="1:19" ht="28" x14ac:dyDescent="0.15">
      <c r="A760" s="2">
        <f>HYPERLINK("https://open-school.uspishnemisto.com.ua/school/50768/", 50768)</f>
        <v>50768</v>
      </c>
      <c r="B760" s="3" t="s">
        <v>4233</v>
      </c>
      <c r="C760" s="3" t="s">
        <v>31</v>
      </c>
      <c r="D760" s="3" t="s">
        <v>175</v>
      </c>
      <c r="E760" s="4" t="s">
        <v>22</v>
      </c>
      <c r="F760" s="4" t="s">
        <v>4234</v>
      </c>
      <c r="G760" s="4" t="s">
        <v>4235</v>
      </c>
      <c r="H760" s="3" t="s">
        <v>25</v>
      </c>
      <c r="I760" s="3" t="s">
        <v>4236</v>
      </c>
      <c r="J760" s="3" t="s">
        <v>4237</v>
      </c>
      <c r="K760" s="3" t="s">
        <v>4238</v>
      </c>
      <c r="L760" s="3"/>
      <c r="M760" s="4"/>
      <c r="N760" s="3" t="s">
        <v>37</v>
      </c>
      <c r="O760" s="3" t="s">
        <v>52</v>
      </c>
      <c r="P760" s="5">
        <v>6</v>
      </c>
      <c r="Q760" s="5">
        <v>40</v>
      </c>
      <c r="R760" s="5">
        <v>6</v>
      </c>
      <c r="S760" s="5">
        <v>41</v>
      </c>
    </row>
    <row r="761" spans="1:19" ht="28" x14ac:dyDescent="0.15">
      <c r="A761" s="2">
        <f>HYPERLINK("https://open-school.uspishnemisto.com.ua/school/50769/", 50769)</f>
        <v>50769</v>
      </c>
      <c r="B761" s="3" t="s">
        <v>4239</v>
      </c>
      <c r="C761" s="3" t="s">
        <v>31</v>
      </c>
      <c r="D761" s="3" t="s">
        <v>175</v>
      </c>
      <c r="E761" s="4" t="s">
        <v>22</v>
      </c>
      <c r="F761" s="4" t="s">
        <v>4240</v>
      </c>
      <c r="G761" s="4" t="s">
        <v>4241</v>
      </c>
      <c r="H761" s="3" t="s">
        <v>25</v>
      </c>
      <c r="I761" s="3" t="s">
        <v>4242</v>
      </c>
      <c r="J761" s="3" t="s">
        <v>4243</v>
      </c>
      <c r="K761" s="3" t="s">
        <v>4244</v>
      </c>
      <c r="L761" s="3"/>
      <c r="M761" s="4"/>
      <c r="N761" s="3" t="s">
        <v>37</v>
      </c>
      <c r="O761" s="3" t="s">
        <v>52</v>
      </c>
      <c r="P761" s="5">
        <v>9</v>
      </c>
      <c r="Q761" s="5">
        <v>66</v>
      </c>
      <c r="R761" s="5">
        <v>9</v>
      </c>
      <c r="S761" s="5">
        <v>65</v>
      </c>
    </row>
    <row r="762" spans="1:19" ht="28" x14ac:dyDescent="0.15">
      <c r="A762" s="2">
        <f>HYPERLINK("https://open-school.uspishnemisto.com.ua/school/50770/", 50770)</f>
        <v>50770</v>
      </c>
      <c r="B762" s="3" t="s">
        <v>4245</v>
      </c>
      <c r="C762" s="3" t="s">
        <v>31</v>
      </c>
      <c r="D762" s="3" t="s">
        <v>175</v>
      </c>
      <c r="E762" s="4" t="s">
        <v>22</v>
      </c>
      <c r="F762" s="4" t="s">
        <v>4246</v>
      </c>
      <c r="G762" s="4" t="s">
        <v>4247</v>
      </c>
      <c r="H762" s="3" t="s">
        <v>25</v>
      </c>
      <c r="I762" s="3" t="s">
        <v>4248</v>
      </c>
      <c r="J762" s="3" t="s">
        <v>4249</v>
      </c>
      <c r="K762" s="3" t="s">
        <v>4250</v>
      </c>
      <c r="L762" s="3"/>
      <c r="M762" s="4"/>
      <c r="N762" s="3" t="s">
        <v>37</v>
      </c>
      <c r="O762" s="3" t="s">
        <v>52</v>
      </c>
      <c r="P762" s="5">
        <v>5</v>
      </c>
      <c r="Q762" s="5">
        <v>35</v>
      </c>
      <c r="R762" s="5">
        <v>4</v>
      </c>
      <c r="S762" s="5">
        <v>30</v>
      </c>
    </row>
    <row r="763" spans="1:19" ht="28" x14ac:dyDescent="0.15">
      <c r="A763" s="2">
        <f>HYPERLINK("https://open-school.uspishnemisto.com.ua/school/50771/", 50771)</f>
        <v>50771</v>
      </c>
      <c r="B763" s="3" t="s">
        <v>4251</v>
      </c>
      <c r="C763" s="3" t="s">
        <v>31</v>
      </c>
      <c r="D763" s="3" t="s">
        <v>175</v>
      </c>
      <c r="E763" s="4" t="s">
        <v>22</v>
      </c>
      <c r="F763" s="4" t="s">
        <v>4252</v>
      </c>
      <c r="G763" s="4" t="s">
        <v>4253</v>
      </c>
      <c r="H763" s="3" t="s">
        <v>25</v>
      </c>
      <c r="I763" s="3" t="s">
        <v>4254</v>
      </c>
      <c r="J763" s="3" t="s">
        <v>4255</v>
      </c>
      <c r="K763" s="3" t="s">
        <v>4256</v>
      </c>
      <c r="L763" s="3"/>
      <c r="M763" s="4"/>
      <c r="N763" s="3" t="s">
        <v>37</v>
      </c>
      <c r="O763" s="3" t="s">
        <v>52</v>
      </c>
      <c r="P763" s="5">
        <v>7</v>
      </c>
      <c r="Q763" s="5">
        <v>48</v>
      </c>
      <c r="R763" s="5">
        <v>8</v>
      </c>
      <c r="S763" s="5">
        <v>59</v>
      </c>
    </row>
    <row r="764" spans="1:19" ht="28" x14ac:dyDescent="0.15">
      <c r="A764" s="2">
        <f>HYPERLINK("https://open-school.uspishnemisto.com.ua/school/50772/", 50772)</f>
        <v>50772</v>
      </c>
      <c r="B764" s="3" t="s">
        <v>4257</v>
      </c>
      <c r="C764" s="3" t="s">
        <v>31</v>
      </c>
      <c r="D764" s="3" t="s">
        <v>32</v>
      </c>
      <c r="E764" s="4" t="s">
        <v>22</v>
      </c>
      <c r="F764" s="4" t="s">
        <v>4212</v>
      </c>
      <c r="G764" s="4" t="s">
        <v>4258</v>
      </c>
      <c r="H764" s="3" t="s">
        <v>25</v>
      </c>
      <c r="I764" s="3" t="s">
        <v>4259</v>
      </c>
      <c r="J764" s="3" t="s">
        <v>3525</v>
      </c>
      <c r="K764" s="3" t="s">
        <v>4260</v>
      </c>
      <c r="L764" s="3"/>
      <c r="M764" s="4"/>
      <c r="N764" s="3" t="s">
        <v>37</v>
      </c>
      <c r="O764" s="3" t="s">
        <v>52</v>
      </c>
      <c r="P764" s="5">
        <v>19</v>
      </c>
      <c r="Q764" s="5">
        <v>377</v>
      </c>
      <c r="R764" s="5">
        <v>19</v>
      </c>
      <c r="S764" s="5">
        <v>361</v>
      </c>
    </row>
    <row r="765" spans="1:19" ht="28" x14ac:dyDescent="0.15">
      <c r="A765" s="2">
        <f>HYPERLINK("https://open-school.uspishnemisto.com.ua/school/50773/", 50773)</f>
        <v>50773</v>
      </c>
      <c r="B765" s="3" t="s">
        <v>4261</v>
      </c>
      <c r="C765" s="3" t="s">
        <v>54</v>
      </c>
      <c r="D765" s="3" t="s">
        <v>175</v>
      </c>
      <c r="E765" s="4" t="s">
        <v>22</v>
      </c>
      <c r="F765" s="4" t="s">
        <v>4262</v>
      </c>
      <c r="G765" s="4" t="s">
        <v>4263</v>
      </c>
      <c r="H765" s="3" t="s">
        <v>25</v>
      </c>
      <c r="I765" s="3" t="s">
        <v>4264</v>
      </c>
      <c r="J765" s="3" t="s">
        <v>466</v>
      </c>
      <c r="K765" s="3" t="s">
        <v>4265</v>
      </c>
      <c r="L765" s="3"/>
      <c r="M765" s="4"/>
      <c r="N765" s="3" t="s">
        <v>37</v>
      </c>
      <c r="O765" s="3" t="s">
        <v>52</v>
      </c>
      <c r="P765" s="5">
        <v>7</v>
      </c>
      <c r="Q765" s="5">
        <v>45</v>
      </c>
      <c r="R765" s="5">
        <v>6</v>
      </c>
      <c r="S765" s="5">
        <v>40</v>
      </c>
    </row>
    <row r="766" spans="1:19" ht="28" x14ac:dyDescent="0.15">
      <c r="A766" s="2">
        <f>HYPERLINK("https://open-school.uspishnemisto.com.ua/school/50774/", 50774)</f>
        <v>50774</v>
      </c>
      <c r="B766" s="3" t="s">
        <v>4266</v>
      </c>
      <c r="C766" s="3" t="s">
        <v>54</v>
      </c>
      <c r="D766" s="3" t="s">
        <v>175</v>
      </c>
      <c r="E766" s="4" t="s">
        <v>22</v>
      </c>
      <c r="F766" s="4" t="s">
        <v>4212</v>
      </c>
      <c r="G766" s="4" t="s">
        <v>4267</v>
      </c>
      <c r="H766" s="3" t="s">
        <v>25</v>
      </c>
      <c r="I766" s="3" t="s">
        <v>4268</v>
      </c>
      <c r="J766" s="3" t="s">
        <v>1600</v>
      </c>
      <c r="K766" s="3" t="s">
        <v>4269</v>
      </c>
      <c r="L766" s="3" t="s">
        <v>4270</v>
      </c>
      <c r="M766" s="4"/>
      <c r="N766" s="3" t="s">
        <v>37</v>
      </c>
      <c r="O766" s="3" t="s">
        <v>52</v>
      </c>
      <c r="P766" s="5">
        <v>3</v>
      </c>
      <c r="Q766" s="5">
        <v>28</v>
      </c>
      <c r="R766" s="5">
        <v>6</v>
      </c>
      <c r="S766" s="5">
        <v>40</v>
      </c>
    </row>
    <row r="767" spans="1:19" ht="28" x14ac:dyDescent="0.15">
      <c r="A767" s="2">
        <f>HYPERLINK("https://open-school.uspishnemisto.com.ua/school/50775/", 50775)</f>
        <v>50775</v>
      </c>
      <c r="B767" s="3" t="s">
        <v>4271</v>
      </c>
      <c r="C767" s="3" t="s">
        <v>54</v>
      </c>
      <c r="D767" s="3" t="s">
        <v>175</v>
      </c>
      <c r="E767" s="4" t="s">
        <v>22</v>
      </c>
      <c r="F767" s="4" t="s">
        <v>4272</v>
      </c>
      <c r="G767" s="4" t="s">
        <v>4273</v>
      </c>
      <c r="H767" s="3" t="s">
        <v>25</v>
      </c>
      <c r="I767" s="3" t="s">
        <v>4274</v>
      </c>
      <c r="J767" s="3" t="s">
        <v>4275</v>
      </c>
      <c r="K767" s="3" t="s">
        <v>4276</v>
      </c>
      <c r="L767" s="3"/>
      <c r="M767" s="4"/>
      <c r="N767" s="3" t="s">
        <v>37</v>
      </c>
      <c r="O767" s="3" t="s">
        <v>52</v>
      </c>
      <c r="P767" s="5">
        <v>5</v>
      </c>
      <c r="Q767" s="5">
        <v>38</v>
      </c>
      <c r="R767" s="5">
        <v>7</v>
      </c>
      <c r="S767" s="5">
        <v>45</v>
      </c>
    </row>
    <row r="768" spans="1:19" ht="28" x14ac:dyDescent="0.15">
      <c r="A768" s="2">
        <f>HYPERLINK("https://open-school.uspishnemisto.com.ua/school/50776/", 50776)</f>
        <v>50776</v>
      </c>
      <c r="B768" s="3" t="s">
        <v>4277</v>
      </c>
      <c r="C768" s="3" t="s">
        <v>31</v>
      </c>
      <c r="D768" s="3" t="s">
        <v>32</v>
      </c>
      <c r="E768" s="4" t="s">
        <v>22</v>
      </c>
      <c r="F768" s="4" t="s">
        <v>4278</v>
      </c>
      <c r="G768" s="4" t="s">
        <v>4279</v>
      </c>
      <c r="H768" s="3" t="s">
        <v>25</v>
      </c>
      <c r="I768" s="3" t="s">
        <v>1040</v>
      </c>
      <c r="J768" s="3" t="s">
        <v>4280</v>
      </c>
      <c r="K768" s="3" t="s">
        <v>4281</v>
      </c>
      <c r="L768" s="3"/>
      <c r="M768" s="4"/>
      <c r="N768" s="3" t="s">
        <v>37</v>
      </c>
      <c r="O768" s="3" t="s">
        <v>52</v>
      </c>
      <c r="P768" s="5">
        <v>11</v>
      </c>
      <c r="Q768" s="5">
        <v>204</v>
      </c>
      <c r="R768" s="5">
        <v>11</v>
      </c>
      <c r="S768" s="5">
        <v>202</v>
      </c>
    </row>
    <row r="769" spans="1:19" ht="42" x14ac:dyDescent="0.15">
      <c r="A769" s="2">
        <f>HYPERLINK("https://open-school.uspishnemisto.com.ua/school/50777/", 50777)</f>
        <v>50777</v>
      </c>
      <c r="B769" s="3" t="s">
        <v>4282</v>
      </c>
      <c r="C769" s="3" t="s">
        <v>31</v>
      </c>
      <c r="D769" s="3" t="s">
        <v>32</v>
      </c>
      <c r="E769" s="4" t="s">
        <v>22</v>
      </c>
      <c r="F769" s="4" t="s">
        <v>4283</v>
      </c>
      <c r="G769" s="4" t="s">
        <v>4284</v>
      </c>
      <c r="H769" s="3" t="s">
        <v>25</v>
      </c>
      <c r="I769" s="3" t="s">
        <v>4285</v>
      </c>
      <c r="J769" s="3" t="s">
        <v>4286</v>
      </c>
      <c r="K769" s="3" t="s">
        <v>4287</v>
      </c>
      <c r="L769" s="3"/>
      <c r="M769" s="4"/>
      <c r="N769" s="3" t="s">
        <v>37</v>
      </c>
      <c r="O769" s="3" t="s">
        <v>38</v>
      </c>
      <c r="P769" s="5">
        <v>11</v>
      </c>
      <c r="Q769" s="5">
        <v>221</v>
      </c>
      <c r="R769" s="5">
        <v>11</v>
      </c>
      <c r="S769" s="5">
        <v>226</v>
      </c>
    </row>
    <row r="770" spans="1:19" ht="28" x14ac:dyDescent="0.15">
      <c r="A770" s="2">
        <f>HYPERLINK("https://open-school.uspishnemisto.com.ua/school/50778/", 50778)</f>
        <v>50778</v>
      </c>
      <c r="B770" s="3" t="s">
        <v>4288</v>
      </c>
      <c r="C770" s="3" t="s">
        <v>31</v>
      </c>
      <c r="D770" s="3" t="s">
        <v>32</v>
      </c>
      <c r="E770" s="4" t="s">
        <v>22</v>
      </c>
      <c r="F770" s="4" t="s">
        <v>4283</v>
      </c>
      <c r="G770" s="4" t="s">
        <v>4284</v>
      </c>
      <c r="H770" s="3" t="s">
        <v>25</v>
      </c>
      <c r="I770" s="3" t="s">
        <v>4285</v>
      </c>
      <c r="J770" s="3" t="s">
        <v>4289</v>
      </c>
      <c r="K770" s="3" t="s">
        <v>4290</v>
      </c>
      <c r="L770" s="3"/>
      <c r="M770" s="4"/>
      <c r="N770" s="3" t="s">
        <v>37</v>
      </c>
      <c r="O770" s="3" t="s">
        <v>52</v>
      </c>
      <c r="P770" s="5">
        <v>11</v>
      </c>
      <c r="Q770" s="5">
        <v>204</v>
      </c>
      <c r="R770" s="5">
        <v>11</v>
      </c>
      <c r="S770" s="5">
        <v>164</v>
      </c>
    </row>
    <row r="771" spans="1:19" ht="28" x14ac:dyDescent="0.15">
      <c r="A771" s="2">
        <f>HYPERLINK("https://open-school.uspishnemisto.com.ua/school/50779/", 50779)</f>
        <v>50779</v>
      </c>
      <c r="B771" s="3" t="s">
        <v>4291</v>
      </c>
      <c r="C771" s="3" t="s">
        <v>31</v>
      </c>
      <c r="D771" s="3" t="s">
        <v>175</v>
      </c>
      <c r="E771" s="4" t="s">
        <v>22</v>
      </c>
      <c r="F771" s="4" t="s">
        <v>4292</v>
      </c>
      <c r="G771" s="4" t="s">
        <v>4293</v>
      </c>
      <c r="H771" s="3" t="s">
        <v>25</v>
      </c>
      <c r="I771" s="3" t="s">
        <v>4294</v>
      </c>
      <c r="J771" s="3" t="s">
        <v>4295</v>
      </c>
      <c r="K771" s="3" t="s">
        <v>4296</v>
      </c>
      <c r="L771" s="3"/>
      <c r="M771" s="4"/>
      <c r="N771" s="3" t="s">
        <v>37</v>
      </c>
      <c r="O771" s="3" t="s">
        <v>38</v>
      </c>
      <c r="P771" s="5">
        <v>3</v>
      </c>
      <c r="Q771" s="5">
        <v>29</v>
      </c>
      <c r="R771" s="5">
        <v>3</v>
      </c>
      <c r="S771" s="5">
        <v>31</v>
      </c>
    </row>
    <row r="772" spans="1:19" ht="28" x14ac:dyDescent="0.15">
      <c r="A772" s="2">
        <f>HYPERLINK("https://open-school.uspishnemisto.com.ua/school/50780/", 50780)</f>
        <v>50780</v>
      </c>
      <c r="B772" s="3" t="s">
        <v>4297</v>
      </c>
      <c r="C772" s="3" t="s">
        <v>31</v>
      </c>
      <c r="D772" s="3" t="s">
        <v>32</v>
      </c>
      <c r="E772" s="4" t="s">
        <v>22</v>
      </c>
      <c r="F772" s="4" t="s">
        <v>4292</v>
      </c>
      <c r="G772" s="4" t="s">
        <v>4293</v>
      </c>
      <c r="H772" s="3" t="s">
        <v>25</v>
      </c>
      <c r="I772" s="3" t="s">
        <v>4294</v>
      </c>
      <c r="J772" s="3" t="s">
        <v>4298</v>
      </c>
      <c r="K772" s="3" t="s">
        <v>4299</v>
      </c>
      <c r="L772" s="3"/>
      <c r="M772" s="4" t="s">
        <v>4300</v>
      </c>
      <c r="N772" s="3" t="s">
        <v>37</v>
      </c>
      <c r="O772" s="3" t="s">
        <v>38</v>
      </c>
      <c r="P772" s="5">
        <v>11</v>
      </c>
      <c r="Q772" s="5">
        <v>120</v>
      </c>
      <c r="R772" s="5">
        <v>11</v>
      </c>
      <c r="S772" s="5">
        <v>134</v>
      </c>
    </row>
    <row r="773" spans="1:19" ht="28" x14ac:dyDescent="0.15">
      <c r="A773" s="2">
        <f>HYPERLINK("https://open-school.uspishnemisto.com.ua/school/50781/", 50781)</f>
        <v>50781</v>
      </c>
      <c r="B773" s="3" t="s">
        <v>4301</v>
      </c>
      <c r="C773" s="3" t="s">
        <v>31</v>
      </c>
      <c r="D773" s="3" t="s">
        <v>32</v>
      </c>
      <c r="E773" s="4" t="s">
        <v>22</v>
      </c>
      <c r="F773" s="4" t="s">
        <v>4302</v>
      </c>
      <c r="G773" s="4" t="s">
        <v>4303</v>
      </c>
      <c r="H773" s="3" t="s">
        <v>25</v>
      </c>
      <c r="I773" s="3" t="s">
        <v>4304</v>
      </c>
      <c r="J773" s="3" t="s">
        <v>4305</v>
      </c>
      <c r="K773" s="3" t="s">
        <v>4306</v>
      </c>
      <c r="L773" s="3"/>
      <c r="M773" s="4"/>
      <c r="N773" s="3" t="s">
        <v>37</v>
      </c>
      <c r="O773" s="3" t="s">
        <v>38</v>
      </c>
      <c r="P773" s="5">
        <v>11</v>
      </c>
      <c r="Q773" s="5">
        <v>80</v>
      </c>
      <c r="R773" s="5">
        <v>11</v>
      </c>
      <c r="S773" s="5">
        <v>91</v>
      </c>
    </row>
    <row r="774" spans="1:19" ht="28" x14ac:dyDescent="0.15">
      <c r="A774" s="2">
        <f>HYPERLINK("https://open-school.uspishnemisto.com.ua/school/50782/", 50782)</f>
        <v>50782</v>
      </c>
      <c r="B774" s="3" t="s">
        <v>4307</v>
      </c>
      <c r="C774" s="3" t="s">
        <v>31</v>
      </c>
      <c r="D774" s="3" t="s">
        <v>32</v>
      </c>
      <c r="E774" s="4" t="s">
        <v>22</v>
      </c>
      <c r="F774" s="4" t="s">
        <v>4308</v>
      </c>
      <c r="G774" s="4" t="s">
        <v>4309</v>
      </c>
      <c r="H774" s="3" t="s">
        <v>25</v>
      </c>
      <c r="I774" s="3" t="s">
        <v>725</v>
      </c>
      <c r="J774" s="3" t="s">
        <v>2417</v>
      </c>
      <c r="K774" s="3" t="s">
        <v>4310</v>
      </c>
      <c r="L774" s="3"/>
      <c r="M774" s="4"/>
      <c r="N774" s="3" t="s">
        <v>37</v>
      </c>
      <c r="O774" s="3" t="s">
        <v>46</v>
      </c>
      <c r="P774" s="5">
        <v>11</v>
      </c>
      <c r="Q774" s="5">
        <v>140</v>
      </c>
      <c r="R774" s="5">
        <v>11</v>
      </c>
      <c r="S774" s="5">
        <v>138</v>
      </c>
    </row>
    <row r="775" spans="1:19" ht="28" x14ac:dyDescent="0.15">
      <c r="A775" s="2">
        <f>HYPERLINK("https://open-school.uspishnemisto.com.ua/school/50783/", 50783)</f>
        <v>50783</v>
      </c>
      <c r="B775" s="3" t="s">
        <v>4311</v>
      </c>
      <c r="C775" s="3" t="s">
        <v>31</v>
      </c>
      <c r="D775" s="3" t="s">
        <v>32</v>
      </c>
      <c r="E775" s="4" t="s">
        <v>22</v>
      </c>
      <c r="F775" s="4" t="s">
        <v>4312</v>
      </c>
      <c r="G775" s="4" t="s">
        <v>4313</v>
      </c>
      <c r="H775" s="3" t="s">
        <v>25</v>
      </c>
      <c r="I775" s="3" t="s">
        <v>4314</v>
      </c>
      <c r="J775" s="3" t="s">
        <v>4315</v>
      </c>
      <c r="K775" s="3" t="s">
        <v>4316</v>
      </c>
      <c r="L775" s="3"/>
      <c r="M775" s="4" t="s">
        <v>4317</v>
      </c>
      <c r="N775" s="3" t="s">
        <v>37</v>
      </c>
      <c r="O775" s="3" t="s">
        <v>46</v>
      </c>
      <c r="P775" s="5">
        <v>11</v>
      </c>
      <c r="Q775" s="5">
        <v>152</v>
      </c>
      <c r="R775" s="5">
        <v>11</v>
      </c>
      <c r="S775" s="5">
        <v>165</v>
      </c>
    </row>
    <row r="776" spans="1:19" ht="28" x14ac:dyDescent="0.15">
      <c r="A776" s="2">
        <f>HYPERLINK("https://open-school.uspishnemisto.com.ua/school/50784/", 50784)</f>
        <v>50784</v>
      </c>
      <c r="B776" s="3" t="s">
        <v>4318</v>
      </c>
      <c r="C776" s="3" t="s">
        <v>31</v>
      </c>
      <c r="D776" s="3" t="s">
        <v>175</v>
      </c>
      <c r="E776" s="4" t="s">
        <v>22</v>
      </c>
      <c r="F776" s="4"/>
      <c r="G776" s="4" t="s">
        <v>4313</v>
      </c>
      <c r="H776" s="3" t="s">
        <v>25</v>
      </c>
      <c r="I776" s="3" t="s">
        <v>4314</v>
      </c>
      <c r="J776" s="3" t="s">
        <v>4319</v>
      </c>
      <c r="K776" s="3" t="s">
        <v>4320</v>
      </c>
      <c r="L776" s="3"/>
      <c r="M776" s="4"/>
      <c r="N776" s="3" t="s">
        <v>37</v>
      </c>
      <c r="O776" s="3" t="s">
        <v>38</v>
      </c>
      <c r="P776" s="5">
        <v>9</v>
      </c>
      <c r="Q776" s="5">
        <v>122</v>
      </c>
      <c r="R776" s="5">
        <v>9</v>
      </c>
      <c r="S776" s="5">
        <v>116</v>
      </c>
    </row>
    <row r="777" spans="1:19" ht="28" x14ac:dyDescent="0.15">
      <c r="A777" s="2">
        <f>HYPERLINK("https://open-school.uspishnemisto.com.ua/school/50785/", 50785)</f>
        <v>50785</v>
      </c>
      <c r="B777" s="3" t="s">
        <v>4321</v>
      </c>
      <c r="C777" s="3" t="s">
        <v>31</v>
      </c>
      <c r="D777" s="3" t="s">
        <v>32</v>
      </c>
      <c r="E777" s="4" t="s">
        <v>22</v>
      </c>
      <c r="F777" s="4" t="s">
        <v>4322</v>
      </c>
      <c r="G777" s="4" t="s">
        <v>4323</v>
      </c>
      <c r="H777" s="3" t="s">
        <v>25</v>
      </c>
      <c r="I777" s="3" t="s">
        <v>4324</v>
      </c>
      <c r="J777" s="3" t="s">
        <v>3244</v>
      </c>
      <c r="K777" s="3" t="s">
        <v>4325</v>
      </c>
      <c r="L777" s="3"/>
      <c r="M777" s="4"/>
      <c r="N777" s="3" t="s">
        <v>37</v>
      </c>
      <c r="O777" s="3" t="s">
        <v>38</v>
      </c>
      <c r="P777" s="5">
        <v>3</v>
      </c>
      <c r="Q777" s="5">
        <v>32</v>
      </c>
      <c r="R777" s="5">
        <v>3</v>
      </c>
      <c r="S777" s="5">
        <v>33</v>
      </c>
    </row>
    <row r="778" spans="1:19" ht="28" x14ac:dyDescent="0.15">
      <c r="A778" s="2">
        <f>HYPERLINK("https://open-school.uspishnemisto.com.ua/school/50786/", 50786)</f>
        <v>50786</v>
      </c>
      <c r="B778" s="3" t="s">
        <v>4326</v>
      </c>
      <c r="C778" s="3" t="s">
        <v>31</v>
      </c>
      <c r="D778" s="3" t="s">
        <v>60</v>
      </c>
      <c r="E778" s="4" t="s">
        <v>22</v>
      </c>
      <c r="F778" s="4" t="s">
        <v>4327</v>
      </c>
      <c r="G778" s="4" t="s">
        <v>4328</v>
      </c>
      <c r="H778" s="3" t="s">
        <v>25</v>
      </c>
      <c r="I778" s="3" t="s">
        <v>4329</v>
      </c>
      <c r="J778" s="3" t="s">
        <v>4330</v>
      </c>
      <c r="K778" s="3" t="s">
        <v>4331</v>
      </c>
      <c r="L778" s="3"/>
      <c r="M778" s="4"/>
      <c r="N778" s="3" t="s">
        <v>37</v>
      </c>
      <c r="O778" s="3" t="s">
        <v>52</v>
      </c>
      <c r="P778" s="5">
        <v>0</v>
      </c>
      <c r="Q778" s="5">
        <v>6</v>
      </c>
      <c r="R778" s="5">
        <v>0</v>
      </c>
      <c r="S778" s="5">
        <v>6</v>
      </c>
    </row>
    <row r="779" spans="1:19" ht="28" x14ac:dyDescent="0.15">
      <c r="A779" s="2">
        <f>HYPERLINK("https://open-school.uspishnemisto.com.ua/school/50787/", 50787)</f>
        <v>50787</v>
      </c>
      <c r="B779" s="3" t="s">
        <v>4332</v>
      </c>
      <c r="C779" s="3" t="s">
        <v>31</v>
      </c>
      <c r="D779" s="3" t="s">
        <v>175</v>
      </c>
      <c r="E779" s="4" t="s">
        <v>22</v>
      </c>
      <c r="F779" s="4" t="s">
        <v>4333</v>
      </c>
      <c r="G779" s="4" t="s">
        <v>4334</v>
      </c>
      <c r="H779" s="3" t="s">
        <v>25</v>
      </c>
      <c r="I779" s="3" t="s">
        <v>4335</v>
      </c>
      <c r="J779" s="3" t="s">
        <v>4336</v>
      </c>
      <c r="K779" s="3" t="s">
        <v>4337</v>
      </c>
      <c r="L779" s="3" t="s">
        <v>4338</v>
      </c>
      <c r="M779" s="4"/>
      <c r="N779" s="3" t="s">
        <v>37</v>
      </c>
      <c r="O779" s="3" t="s">
        <v>38</v>
      </c>
      <c r="P779" s="5">
        <v>5</v>
      </c>
      <c r="Q779" s="5">
        <v>42</v>
      </c>
      <c r="R779" s="5">
        <v>6</v>
      </c>
      <c r="S779" s="5">
        <v>47</v>
      </c>
    </row>
    <row r="780" spans="1:19" ht="28" x14ac:dyDescent="0.15">
      <c r="A780" s="2">
        <f>HYPERLINK("https://open-school.uspishnemisto.com.ua/school/50793/", 50793)</f>
        <v>50793</v>
      </c>
      <c r="B780" s="3" t="s">
        <v>4339</v>
      </c>
      <c r="C780" s="3" t="s">
        <v>31</v>
      </c>
      <c r="D780" s="3" t="s">
        <v>32</v>
      </c>
      <c r="E780" s="4" t="s">
        <v>22</v>
      </c>
      <c r="F780" s="4" t="s">
        <v>4340</v>
      </c>
      <c r="G780" s="4" t="s">
        <v>4341</v>
      </c>
      <c r="H780" s="3" t="s">
        <v>25</v>
      </c>
      <c r="I780" s="3" t="s">
        <v>4342</v>
      </c>
      <c r="J780" s="3" t="s">
        <v>4343</v>
      </c>
      <c r="K780" s="3" t="s">
        <v>4344</v>
      </c>
      <c r="L780" s="3"/>
      <c r="M780" s="4"/>
      <c r="N780" s="3" t="s">
        <v>37</v>
      </c>
      <c r="O780" s="3" t="s">
        <v>38</v>
      </c>
      <c r="P780" s="5">
        <v>11</v>
      </c>
      <c r="Q780" s="5">
        <v>102</v>
      </c>
      <c r="R780" s="5">
        <v>10</v>
      </c>
      <c r="S780" s="5">
        <v>101</v>
      </c>
    </row>
    <row r="781" spans="1:19" ht="28" x14ac:dyDescent="0.15">
      <c r="A781" s="2">
        <f>HYPERLINK("https://open-school.uspishnemisto.com.ua/school/50789/", 50789)</f>
        <v>50789</v>
      </c>
      <c r="B781" s="3" t="s">
        <v>4345</v>
      </c>
      <c r="C781" s="3" t="s">
        <v>31</v>
      </c>
      <c r="D781" s="3" t="s">
        <v>32</v>
      </c>
      <c r="E781" s="4" t="s">
        <v>22</v>
      </c>
      <c r="F781" s="4" t="s">
        <v>4346</v>
      </c>
      <c r="G781" s="4" t="s">
        <v>4347</v>
      </c>
      <c r="H781" s="3" t="s">
        <v>25</v>
      </c>
      <c r="I781" s="3" t="s">
        <v>4348</v>
      </c>
      <c r="J781" s="3" t="s">
        <v>2411</v>
      </c>
      <c r="K781" s="3" t="s">
        <v>4349</v>
      </c>
      <c r="L781" s="3"/>
      <c r="M781" s="4"/>
      <c r="N781" s="3" t="s">
        <v>37</v>
      </c>
      <c r="O781" s="3" t="s">
        <v>38</v>
      </c>
      <c r="P781" s="5">
        <v>8</v>
      </c>
      <c r="Q781" s="5">
        <v>62</v>
      </c>
      <c r="R781" s="5">
        <v>7</v>
      </c>
      <c r="S781" s="5">
        <v>65</v>
      </c>
    </row>
    <row r="782" spans="1:19" ht="28" x14ac:dyDescent="0.15">
      <c r="A782" s="2">
        <f>HYPERLINK("https://open-school.uspishnemisto.com.ua/school/50791/", 50791)</f>
        <v>50791</v>
      </c>
      <c r="B782" s="3" t="s">
        <v>4350</v>
      </c>
      <c r="C782" s="3" t="s">
        <v>31</v>
      </c>
      <c r="D782" s="3" t="s">
        <v>32</v>
      </c>
      <c r="E782" s="4" t="s">
        <v>22</v>
      </c>
      <c r="F782" s="4" t="s">
        <v>4351</v>
      </c>
      <c r="G782" s="4" t="s">
        <v>4352</v>
      </c>
      <c r="H782" s="3" t="s">
        <v>25</v>
      </c>
      <c r="I782" s="3" t="s">
        <v>3802</v>
      </c>
      <c r="J782" s="3" t="s">
        <v>4353</v>
      </c>
      <c r="K782" s="3" t="s">
        <v>4354</v>
      </c>
      <c r="L782" s="3"/>
      <c r="M782" s="4"/>
      <c r="N782" s="3" t="s">
        <v>37</v>
      </c>
      <c r="O782" s="3" t="s">
        <v>38</v>
      </c>
      <c r="P782" s="5">
        <v>11</v>
      </c>
      <c r="Q782" s="5">
        <v>153</v>
      </c>
      <c r="R782" s="5">
        <v>11</v>
      </c>
      <c r="S782" s="5">
        <v>149</v>
      </c>
    </row>
    <row r="783" spans="1:19" ht="28" x14ac:dyDescent="0.15">
      <c r="A783" s="2">
        <f>HYPERLINK("https://open-school.uspishnemisto.com.ua/school/50792/", 50792)</f>
        <v>50792</v>
      </c>
      <c r="B783" s="3" t="s">
        <v>4355</v>
      </c>
      <c r="C783" s="3" t="s">
        <v>31</v>
      </c>
      <c r="D783" s="3" t="s">
        <v>32</v>
      </c>
      <c r="E783" s="4" t="s">
        <v>22</v>
      </c>
      <c r="F783" s="4" t="s">
        <v>4356</v>
      </c>
      <c r="G783" s="4" t="s">
        <v>4357</v>
      </c>
      <c r="H783" s="3" t="s">
        <v>25</v>
      </c>
      <c r="I783" s="3" t="s">
        <v>4358</v>
      </c>
      <c r="J783" s="3" t="s">
        <v>466</v>
      </c>
      <c r="K783" s="3" t="s">
        <v>4359</v>
      </c>
      <c r="L783" s="3"/>
      <c r="M783" s="4"/>
      <c r="N783" s="3" t="s">
        <v>37</v>
      </c>
      <c r="O783" s="3" t="s">
        <v>38</v>
      </c>
      <c r="P783" s="5">
        <v>11</v>
      </c>
      <c r="Q783" s="5">
        <v>145</v>
      </c>
      <c r="R783" s="5">
        <v>11</v>
      </c>
      <c r="S783" s="5">
        <v>160</v>
      </c>
    </row>
    <row r="784" spans="1:19" ht="28" x14ac:dyDescent="0.15">
      <c r="A784" s="2">
        <f>HYPERLINK("https://open-school.uspishnemisto.com.ua/school/50788/", 50788)</f>
        <v>50788</v>
      </c>
      <c r="B784" s="3" t="s">
        <v>4360</v>
      </c>
      <c r="C784" s="3" t="s">
        <v>54</v>
      </c>
      <c r="D784" s="3" t="s">
        <v>175</v>
      </c>
      <c r="E784" s="4" t="s">
        <v>22</v>
      </c>
      <c r="F784" s="4" t="s">
        <v>4340</v>
      </c>
      <c r="G784" s="4" t="s">
        <v>4361</v>
      </c>
      <c r="H784" s="3" t="s">
        <v>25</v>
      </c>
      <c r="I784" s="3" t="s">
        <v>4362</v>
      </c>
      <c r="J784" s="3" t="s">
        <v>4363</v>
      </c>
      <c r="K784" s="3" t="s">
        <v>4364</v>
      </c>
      <c r="L784" s="3"/>
      <c r="M784" s="4"/>
      <c r="N784" s="3" t="s">
        <v>37</v>
      </c>
      <c r="O784" s="3" t="s">
        <v>52</v>
      </c>
      <c r="P784" s="5">
        <v>3</v>
      </c>
      <c r="Q784" s="5">
        <v>34</v>
      </c>
      <c r="R784" s="5">
        <v>2</v>
      </c>
      <c r="S784" s="5">
        <v>32</v>
      </c>
    </row>
    <row r="785" spans="1:19" ht="28" x14ac:dyDescent="0.15">
      <c r="A785" s="2">
        <f>HYPERLINK("https://open-school.uspishnemisto.com.ua/school/50794/", 50794)</f>
        <v>50794</v>
      </c>
      <c r="B785" s="3" t="s">
        <v>4365</v>
      </c>
      <c r="C785" s="3" t="s">
        <v>31</v>
      </c>
      <c r="D785" s="3" t="s">
        <v>32</v>
      </c>
      <c r="E785" s="4" t="s">
        <v>22</v>
      </c>
      <c r="F785" s="4" t="s">
        <v>4366</v>
      </c>
      <c r="G785" s="4" t="s">
        <v>4367</v>
      </c>
      <c r="H785" s="3" t="s">
        <v>25</v>
      </c>
      <c r="I785" s="3" t="s">
        <v>4368</v>
      </c>
      <c r="J785" s="3" t="s">
        <v>4369</v>
      </c>
      <c r="K785" s="3" t="s">
        <v>4370</v>
      </c>
      <c r="L785" s="3"/>
      <c r="M785" s="4"/>
      <c r="N785" s="3" t="s">
        <v>37</v>
      </c>
      <c r="O785" s="3" t="s">
        <v>38</v>
      </c>
      <c r="P785" s="5">
        <v>11</v>
      </c>
      <c r="Q785" s="5">
        <v>136</v>
      </c>
      <c r="R785" s="5">
        <v>11</v>
      </c>
      <c r="S785" s="5">
        <v>136</v>
      </c>
    </row>
    <row r="786" spans="1:19" ht="42" x14ac:dyDescent="0.15">
      <c r="A786" s="2">
        <f>HYPERLINK("https://open-school.uspishnemisto.com.ua/school/50795/", 50795)</f>
        <v>50795</v>
      </c>
      <c r="B786" s="3" t="s">
        <v>4371</v>
      </c>
      <c r="C786" s="3" t="s">
        <v>31</v>
      </c>
      <c r="D786" s="3" t="s">
        <v>32</v>
      </c>
      <c r="E786" s="4" t="s">
        <v>22</v>
      </c>
      <c r="F786" s="4" t="s">
        <v>4372</v>
      </c>
      <c r="G786" s="4" t="s">
        <v>4373</v>
      </c>
      <c r="H786" s="3" t="s">
        <v>25</v>
      </c>
      <c r="I786" s="3" t="s">
        <v>4374</v>
      </c>
      <c r="J786" s="3" t="s">
        <v>4375</v>
      </c>
      <c r="K786" s="3" t="s">
        <v>4376</v>
      </c>
      <c r="L786" s="3" t="s">
        <v>4377</v>
      </c>
      <c r="M786" s="4"/>
      <c r="N786" s="3" t="s">
        <v>37</v>
      </c>
      <c r="O786" s="3" t="s">
        <v>38</v>
      </c>
      <c r="P786" s="5">
        <v>19</v>
      </c>
      <c r="Q786" s="5">
        <v>374</v>
      </c>
      <c r="R786" s="5">
        <v>19</v>
      </c>
      <c r="S786" s="5">
        <v>374</v>
      </c>
    </row>
    <row r="787" spans="1:19" ht="42" x14ac:dyDescent="0.15">
      <c r="A787" s="2">
        <f>HYPERLINK("https://open-school.uspishnemisto.com.ua/school/50796/", 50796)</f>
        <v>50796</v>
      </c>
      <c r="B787" s="3" t="s">
        <v>4378</v>
      </c>
      <c r="C787" s="3" t="s">
        <v>31</v>
      </c>
      <c r="D787" s="3" t="s">
        <v>32</v>
      </c>
      <c r="E787" s="4" t="s">
        <v>22</v>
      </c>
      <c r="F787" s="4" t="s">
        <v>4372</v>
      </c>
      <c r="G787" s="4" t="s">
        <v>4373</v>
      </c>
      <c r="H787" s="3" t="s">
        <v>25</v>
      </c>
      <c r="I787" s="3" t="s">
        <v>4374</v>
      </c>
      <c r="J787" s="3" t="s">
        <v>4379</v>
      </c>
      <c r="K787" s="3" t="s">
        <v>4380</v>
      </c>
      <c r="L787" s="3"/>
      <c r="M787" s="4"/>
      <c r="N787" s="3" t="s">
        <v>37</v>
      </c>
      <c r="O787" s="3" t="s">
        <v>52</v>
      </c>
      <c r="P787" s="5">
        <v>11</v>
      </c>
      <c r="Q787" s="5">
        <v>208</v>
      </c>
      <c r="R787" s="5">
        <v>11</v>
      </c>
      <c r="S787" s="5">
        <v>213</v>
      </c>
    </row>
    <row r="788" spans="1:19" ht="42" x14ac:dyDescent="0.15">
      <c r="A788" s="2">
        <f>HYPERLINK("https://open-school.uspishnemisto.com.ua/school/50797/", 50797)</f>
        <v>50797</v>
      </c>
      <c r="B788" s="3" t="s">
        <v>4381</v>
      </c>
      <c r="C788" s="3" t="s">
        <v>31</v>
      </c>
      <c r="D788" s="3" t="s">
        <v>175</v>
      </c>
      <c r="E788" s="4" t="s">
        <v>22</v>
      </c>
      <c r="F788" s="4" t="s">
        <v>4382</v>
      </c>
      <c r="G788" s="4" t="s">
        <v>4383</v>
      </c>
      <c r="H788" s="3" t="s">
        <v>25</v>
      </c>
      <c r="I788" s="3" t="s">
        <v>4384</v>
      </c>
      <c r="J788" s="3" t="s">
        <v>4385</v>
      </c>
      <c r="K788" s="3" t="s">
        <v>4386</v>
      </c>
      <c r="L788" s="3" t="s">
        <v>4387</v>
      </c>
      <c r="M788" s="4"/>
      <c r="N788" s="3" t="s">
        <v>37</v>
      </c>
      <c r="O788" s="3" t="s">
        <v>38</v>
      </c>
      <c r="P788" s="5">
        <v>5</v>
      </c>
      <c r="Q788" s="5">
        <v>38</v>
      </c>
      <c r="R788" s="5">
        <v>5</v>
      </c>
      <c r="S788" s="5">
        <v>42</v>
      </c>
    </row>
    <row r="789" spans="1:19" ht="42" x14ac:dyDescent="0.15">
      <c r="A789" s="2">
        <f>HYPERLINK("https://open-school.uspishnemisto.com.ua/school/50798/", 50798)</f>
        <v>50798</v>
      </c>
      <c r="B789" s="3" t="s">
        <v>4388</v>
      </c>
      <c r="C789" s="3" t="s">
        <v>31</v>
      </c>
      <c r="D789" s="3" t="s">
        <v>175</v>
      </c>
      <c r="E789" s="4" t="s">
        <v>22</v>
      </c>
      <c r="F789" s="4" t="s">
        <v>4389</v>
      </c>
      <c r="G789" s="4" t="s">
        <v>4390</v>
      </c>
      <c r="H789" s="3" t="s">
        <v>25</v>
      </c>
      <c r="I789" s="3" t="s">
        <v>4391</v>
      </c>
      <c r="J789" s="3" t="s">
        <v>4392</v>
      </c>
      <c r="K789" s="3" t="s">
        <v>4393</v>
      </c>
      <c r="L789" s="3"/>
      <c r="M789" s="4"/>
      <c r="N789" s="3" t="s">
        <v>37</v>
      </c>
      <c r="O789" s="3" t="s">
        <v>618</v>
      </c>
      <c r="P789" s="5">
        <v>9</v>
      </c>
      <c r="Q789" s="5">
        <v>64</v>
      </c>
      <c r="R789" s="5">
        <v>9</v>
      </c>
      <c r="S789" s="5">
        <v>65</v>
      </c>
    </row>
    <row r="790" spans="1:19" ht="42" x14ac:dyDescent="0.15">
      <c r="A790" s="2">
        <f>HYPERLINK("https://open-school.uspishnemisto.com.ua/school/50799/", 50799)</f>
        <v>50799</v>
      </c>
      <c r="B790" s="3" t="s">
        <v>4394</v>
      </c>
      <c r="C790" s="3" t="s">
        <v>31</v>
      </c>
      <c r="D790" s="3" t="s">
        <v>32</v>
      </c>
      <c r="E790" s="4" t="s">
        <v>22</v>
      </c>
      <c r="F790" s="4" t="s">
        <v>4395</v>
      </c>
      <c r="G790" s="4" t="s">
        <v>4396</v>
      </c>
      <c r="H790" s="3" t="s">
        <v>25</v>
      </c>
      <c r="I790" s="3" t="s">
        <v>4397</v>
      </c>
      <c r="J790" s="3" t="s">
        <v>792</v>
      </c>
      <c r="K790" s="3" t="s">
        <v>4398</v>
      </c>
      <c r="L790" s="3"/>
      <c r="M790" s="4"/>
      <c r="N790" s="3" t="s">
        <v>37</v>
      </c>
      <c r="O790" s="3" t="s">
        <v>52</v>
      </c>
      <c r="P790" s="5">
        <v>6</v>
      </c>
      <c r="Q790" s="5">
        <v>57</v>
      </c>
      <c r="R790" s="5">
        <v>6</v>
      </c>
      <c r="S790" s="5">
        <v>62</v>
      </c>
    </row>
    <row r="791" spans="1:19" ht="42" x14ac:dyDescent="0.15">
      <c r="A791" s="2">
        <f>HYPERLINK("https://open-school.uspishnemisto.com.ua/school/50800/", 50800)</f>
        <v>50800</v>
      </c>
      <c r="B791" s="3" t="s">
        <v>4399</v>
      </c>
      <c r="C791" s="3" t="s">
        <v>31</v>
      </c>
      <c r="D791" s="3" t="s">
        <v>175</v>
      </c>
      <c r="E791" s="4" t="s">
        <v>22</v>
      </c>
      <c r="F791" s="4" t="s">
        <v>4400</v>
      </c>
      <c r="G791" s="4" t="s">
        <v>4401</v>
      </c>
      <c r="H791" s="3" t="s">
        <v>25</v>
      </c>
      <c r="I791" s="3" t="s">
        <v>4402</v>
      </c>
      <c r="J791" s="3" t="s">
        <v>4403</v>
      </c>
      <c r="K791" s="3" t="s">
        <v>4404</v>
      </c>
      <c r="L791" s="3"/>
      <c r="M791" s="4"/>
      <c r="N791" s="3" t="s">
        <v>37</v>
      </c>
      <c r="O791" s="3" t="s">
        <v>52</v>
      </c>
      <c r="P791" s="5">
        <v>4</v>
      </c>
      <c r="Q791" s="5">
        <v>41</v>
      </c>
      <c r="R791" s="5">
        <v>6</v>
      </c>
      <c r="S791" s="5">
        <v>47</v>
      </c>
    </row>
    <row r="792" spans="1:19" ht="42" x14ac:dyDescent="0.15">
      <c r="A792" s="2">
        <f>HYPERLINK("https://open-school.uspishnemisto.com.ua/school/50801/", 50801)</f>
        <v>50801</v>
      </c>
      <c r="B792" s="3" t="s">
        <v>4405</v>
      </c>
      <c r="C792" s="3" t="s">
        <v>31</v>
      </c>
      <c r="D792" s="3" t="s">
        <v>32</v>
      </c>
      <c r="E792" s="4" t="s">
        <v>22</v>
      </c>
      <c r="F792" s="4" t="s">
        <v>4406</v>
      </c>
      <c r="G792" s="4" t="s">
        <v>4407</v>
      </c>
      <c r="H792" s="3" t="s">
        <v>25</v>
      </c>
      <c r="I792" s="3" t="s">
        <v>2020</v>
      </c>
      <c r="J792" s="3" t="s">
        <v>4408</v>
      </c>
      <c r="K792" s="3" t="s">
        <v>4409</v>
      </c>
      <c r="L792" s="3"/>
      <c r="M792" s="4"/>
      <c r="N792" s="3" t="s">
        <v>37</v>
      </c>
      <c r="O792" s="3" t="s">
        <v>38</v>
      </c>
      <c r="P792" s="5">
        <v>11</v>
      </c>
      <c r="Q792" s="5">
        <v>131</v>
      </c>
      <c r="R792" s="5">
        <v>11</v>
      </c>
      <c r="S792" s="5">
        <v>134</v>
      </c>
    </row>
    <row r="793" spans="1:19" ht="42" x14ac:dyDescent="0.15">
      <c r="A793" s="2">
        <f>HYPERLINK("https://open-school.uspishnemisto.com.ua/school/50802/", 50802)</f>
        <v>50802</v>
      </c>
      <c r="B793" s="3" t="s">
        <v>4410</v>
      </c>
      <c r="C793" s="3" t="s">
        <v>31</v>
      </c>
      <c r="D793" s="3" t="s">
        <v>32</v>
      </c>
      <c r="E793" s="4" t="s">
        <v>22</v>
      </c>
      <c r="F793" s="4" t="s">
        <v>4411</v>
      </c>
      <c r="G793" s="4" t="s">
        <v>4412</v>
      </c>
      <c r="H793" s="3" t="s">
        <v>25</v>
      </c>
      <c r="I793" s="3" t="s">
        <v>4413</v>
      </c>
      <c r="J793" s="3" t="s">
        <v>466</v>
      </c>
      <c r="K793" s="3" t="s">
        <v>4414</v>
      </c>
      <c r="L793" s="3"/>
      <c r="M793" s="4"/>
      <c r="N793" s="3" t="s">
        <v>37</v>
      </c>
      <c r="O793" s="3" t="s">
        <v>112</v>
      </c>
      <c r="P793" s="5">
        <v>11</v>
      </c>
      <c r="Q793" s="5">
        <v>93</v>
      </c>
      <c r="R793" s="5">
        <v>11</v>
      </c>
      <c r="S793" s="5">
        <v>96</v>
      </c>
    </row>
    <row r="794" spans="1:19" ht="42" x14ac:dyDescent="0.15">
      <c r="A794" s="2">
        <f>HYPERLINK("https://open-school.uspishnemisto.com.ua/school/50803/", 50803)</f>
        <v>50803</v>
      </c>
      <c r="B794" s="3" t="s">
        <v>4415</v>
      </c>
      <c r="C794" s="3" t="s">
        <v>31</v>
      </c>
      <c r="D794" s="3" t="s">
        <v>175</v>
      </c>
      <c r="E794" s="4" t="s">
        <v>22</v>
      </c>
      <c r="F794" s="4" t="s">
        <v>4416</v>
      </c>
      <c r="G794" s="4" t="s">
        <v>4417</v>
      </c>
      <c r="H794" s="3" t="s">
        <v>25</v>
      </c>
      <c r="I794" s="3" t="s">
        <v>4418</v>
      </c>
      <c r="J794" s="3" t="s">
        <v>4419</v>
      </c>
      <c r="K794" s="3" t="s">
        <v>4420</v>
      </c>
      <c r="L794" s="3"/>
      <c r="M794" s="4"/>
      <c r="N794" s="3" t="s">
        <v>37</v>
      </c>
      <c r="O794" s="3" t="s">
        <v>38</v>
      </c>
      <c r="P794" s="5">
        <v>7</v>
      </c>
      <c r="Q794" s="5">
        <v>46</v>
      </c>
      <c r="R794" s="5">
        <v>6</v>
      </c>
      <c r="S794" s="5">
        <v>42</v>
      </c>
    </row>
    <row r="795" spans="1:19" ht="42" x14ac:dyDescent="0.15">
      <c r="A795" s="2">
        <f>HYPERLINK("https://open-school.uspishnemisto.com.ua/school/50804/", 50804)</f>
        <v>50804</v>
      </c>
      <c r="B795" s="3" t="s">
        <v>4421</v>
      </c>
      <c r="C795" s="3" t="s">
        <v>31</v>
      </c>
      <c r="D795" s="3" t="s">
        <v>175</v>
      </c>
      <c r="E795" s="4" t="s">
        <v>22</v>
      </c>
      <c r="F795" s="4" t="s">
        <v>4422</v>
      </c>
      <c r="G795" s="4" t="s">
        <v>4423</v>
      </c>
      <c r="H795" s="3" t="s">
        <v>25</v>
      </c>
      <c r="I795" s="3" t="s">
        <v>4424</v>
      </c>
      <c r="J795" s="3" t="s">
        <v>4425</v>
      </c>
      <c r="K795" s="3" t="s">
        <v>4426</v>
      </c>
      <c r="L795" s="3"/>
      <c r="M795" s="4"/>
      <c r="N795" s="3" t="s">
        <v>37</v>
      </c>
      <c r="O795" s="3" t="s">
        <v>112</v>
      </c>
      <c r="P795" s="5">
        <v>6</v>
      </c>
      <c r="Q795" s="5">
        <v>40</v>
      </c>
      <c r="R795" s="5">
        <v>5</v>
      </c>
      <c r="S795" s="5">
        <v>40</v>
      </c>
    </row>
    <row r="796" spans="1:19" ht="42" x14ac:dyDescent="0.15">
      <c r="A796" s="2">
        <f>HYPERLINK("https://open-school.uspishnemisto.com.ua/school/50805/", 50805)</f>
        <v>50805</v>
      </c>
      <c r="B796" s="3" t="s">
        <v>4427</v>
      </c>
      <c r="C796" s="3" t="s">
        <v>31</v>
      </c>
      <c r="D796" s="3" t="s">
        <v>175</v>
      </c>
      <c r="E796" s="4" t="s">
        <v>22</v>
      </c>
      <c r="F796" s="4" t="s">
        <v>4428</v>
      </c>
      <c r="G796" s="4" t="s">
        <v>4429</v>
      </c>
      <c r="H796" s="3" t="s">
        <v>25</v>
      </c>
      <c r="I796" s="3" t="s">
        <v>4430</v>
      </c>
      <c r="J796" s="3" t="s">
        <v>4425</v>
      </c>
      <c r="K796" s="3" t="s">
        <v>4431</v>
      </c>
      <c r="L796" s="3"/>
      <c r="M796" s="4"/>
      <c r="N796" s="3" t="s">
        <v>37</v>
      </c>
      <c r="O796" s="3" t="s">
        <v>52</v>
      </c>
      <c r="P796" s="5">
        <v>5</v>
      </c>
      <c r="Q796" s="5">
        <v>48</v>
      </c>
      <c r="R796" s="5">
        <v>4</v>
      </c>
      <c r="S796" s="5">
        <v>48</v>
      </c>
    </row>
    <row r="797" spans="1:19" ht="56" x14ac:dyDescent="0.15">
      <c r="A797" s="2">
        <f>HYPERLINK("https://open-school.uspishnemisto.com.ua/school/50806/", 50806)</f>
        <v>50806</v>
      </c>
      <c r="B797" s="3" t="s">
        <v>4432</v>
      </c>
      <c r="C797" s="3" t="s">
        <v>54</v>
      </c>
      <c r="D797" s="3" t="s">
        <v>175</v>
      </c>
      <c r="E797" s="4" t="s">
        <v>22</v>
      </c>
      <c r="F797" s="4" t="s">
        <v>4433</v>
      </c>
      <c r="G797" s="4" t="s">
        <v>4434</v>
      </c>
      <c r="H797" s="3" t="s">
        <v>25</v>
      </c>
      <c r="I797" s="3" t="s">
        <v>4435</v>
      </c>
      <c r="J797" s="3" t="s">
        <v>4436</v>
      </c>
      <c r="K797" s="3" t="s">
        <v>4437</v>
      </c>
      <c r="L797" s="3"/>
      <c r="M797" s="4"/>
      <c r="N797" s="3" t="s">
        <v>37</v>
      </c>
      <c r="O797" s="3" t="s">
        <v>618</v>
      </c>
      <c r="P797" s="5">
        <v>8</v>
      </c>
      <c r="Q797" s="5">
        <v>48</v>
      </c>
      <c r="R797" s="5">
        <v>8</v>
      </c>
      <c r="S797" s="5">
        <v>46</v>
      </c>
    </row>
    <row r="798" spans="1:19" ht="42" x14ac:dyDescent="0.15">
      <c r="A798" s="2">
        <f>HYPERLINK("https://open-school.uspishnemisto.com.ua/school/50807/", 50807)</f>
        <v>50807</v>
      </c>
      <c r="B798" s="3" t="s">
        <v>4438</v>
      </c>
      <c r="C798" s="3" t="s">
        <v>31</v>
      </c>
      <c r="D798" s="3" t="s">
        <v>32</v>
      </c>
      <c r="E798" s="4" t="s">
        <v>22</v>
      </c>
      <c r="F798" s="4" t="s">
        <v>4439</v>
      </c>
      <c r="G798" s="4" t="s">
        <v>4440</v>
      </c>
      <c r="H798" s="3" t="s">
        <v>25</v>
      </c>
      <c r="I798" s="3" t="s">
        <v>4441</v>
      </c>
      <c r="J798" s="3" t="s">
        <v>4442</v>
      </c>
      <c r="K798" s="3" t="s">
        <v>4443</v>
      </c>
      <c r="L798" s="3"/>
      <c r="M798" s="4"/>
      <c r="N798" s="3" t="s">
        <v>37</v>
      </c>
      <c r="O798" s="3" t="s">
        <v>70</v>
      </c>
      <c r="P798" s="5">
        <v>15</v>
      </c>
      <c r="Q798" s="5">
        <v>292</v>
      </c>
      <c r="R798" s="5">
        <v>15</v>
      </c>
      <c r="S798" s="5">
        <v>276</v>
      </c>
    </row>
    <row r="799" spans="1:19" ht="42" x14ac:dyDescent="0.15">
      <c r="A799" s="2">
        <f>HYPERLINK("https://open-school.uspishnemisto.com.ua/school/50808/", 50808)</f>
        <v>50808</v>
      </c>
      <c r="B799" s="3" t="s">
        <v>4444</v>
      </c>
      <c r="C799" s="3" t="s">
        <v>31</v>
      </c>
      <c r="D799" s="3" t="s">
        <v>175</v>
      </c>
      <c r="E799" s="4" t="s">
        <v>22</v>
      </c>
      <c r="F799" s="4" t="s">
        <v>4445</v>
      </c>
      <c r="G799" s="4" t="s">
        <v>4446</v>
      </c>
      <c r="H799" s="3" t="s">
        <v>25</v>
      </c>
      <c r="I799" s="3" t="s">
        <v>4447</v>
      </c>
      <c r="J799" s="3" t="s">
        <v>4448</v>
      </c>
      <c r="K799" s="3" t="s">
        <v>4449</v>
      </c>
      <c r="L799" s="3"/>
      <c r="M799" s="4"/>
      <c r="N799" s="3" t="s">
        <v>37</v>
      </c>
      <c r="O799" s="3" t="s">
        <v>70</v>
      </c>
      <c r="P799" s="5">
        <v>9</v>
      </c>
      <c r="Q799" s="5">
        <v>60</v>
      </c>
      <c r="R799" s="5">
        <v>9</v>
      </c>
      <c r="S799" s="5">
        <v>61</v>
      </c>
    </row>
    <row r="800" spans="1:19" ht="56" x14ac:dyDescent="0.15">
      <c r="A800" s="2">
        <f>HYPERLINK("https://open-school.uspishnemisto.com.ua/school/50809/", 50809)</f>
        <v>50809</v>
      </c>
      <c r="B800" s="3" t="s">
        <v>4450</v>
      </c>
      <c r="C800" s="3" t="s">
        <v>54</v>
      </c>
      <c r="D800" s="3" t="s">
        <v>32</v>
      </c>
      <c r="E800" s="4" t="s">
        <v>22</v>
      </c>
      <c r="F800" s="4" t="s">
        <v>4451</v>
      </c>
      <c r="G800" s="4" t="s">
        <v>4452</v>
      </c>
      <c r="H800" s="3" t="s">
        <v>25</v>
      </c>
      <c r="I800" s="3" t="s">
        <v>4453</v>
      </c>
      <c r="J800" s="3" t="s">
        <v>4454</v>
      </c>
      <c r="K800" s="3" t="s">
        <v>4455</v>
      </c>
      <c r="L800" s="3" t="s">
        <v>4456</v>
      </c>
      <c r="M800" s="4"/>
      <c r="N800" s="3" t="s">
        <v>37</v>
      </c>
      <c r="O800" s="3" t="s">
        <v>38</v>
      </c>
      <c r="P800" s="5">
        <v>11</v>
      </c>
      <c r="Q800" s="5">
        <v>81</v>
      </c>
      <c r="R800" s="5">
        <v>11</v>
      </c>
      <c r="S800" s="5">
        <v>89</v>
      </c>
    </row>
    <row r="801" spans="1:19" ht="42" x14ac:dyDescent="0.15">
      <c r="A801" s="2">
        <f>HYPERLINK("https://open-school.uspishnemisto.com.ua/school/50810/", 50810)</f>
        <v>50810</v>
      </c>
      <c r="B801" s="3" t="s">
        <v>4457</v>
      </c>
      <c r="C801" s="3" t="s">
        <v>31</v>
      </c>
      <c r="D801" s="3" t="s">
        <v>175</v>
      </c>
      <c r="E801" s="4" t="s">
        <v>22</v>
      </c>
      <c r="F801" s="4" t="s">
        <v>4458</v>
      </c>
      <c r="G801" s="4" t="s">
        <v>4459</v>
      </c>
      <c r="H801" s="3" t="s">
        <v>25</v>
      </c>
      <c r="I801" s="3" t="s">
        <v>4460</v>
      </c>
      <c r="J801" s="3" t="s">
        <v>4461</v>
      </c>
      <c r="K801" s="3" t="s">
        <v>4462</v>
      </c>
      <c r="L801" s="3"/>
      <c r="M801" s="4"/>
      <c r="N801" s="3" t="s">
        <v>37</v>
      </c>
      <c r="O801" s="3" t="s">
        <v>52</v>
      </c>
      <c r="P801" s="5">
        <v>5</v>
      </c>
      <c r="Q801" s="5">
        <v>48</v>
      </c>
      <c r="R801" s="5">
        <v>5</v>
      </c>
      <c r="S801" s="5">
        <v>48</v>
      </c>
    </row>
    <row r="802" spans="1:19" ht="42" x14ac:dyDescent="0.15">
      <c r="A802" s="2">
        <f>HYPERLINK("https://open-school.uspishnemisto.com.ua/school/50811/", 50811)</f>
        <v>50811</v>
      </c>
      <c r="B802" s="3" t="s">
        <v>4463</v>
      </c>
      <c r="C802" s="3" t="s">
        <v>31</v>
      </c>
      <c r="D802" s="3" t="s">
        <v>32</v>
      </c>
      <c r="E802" s="4" t="s">
        <v>22</v>
      </c>
      <c r="F802" s="4" t="s">
        <v>4464</v>
      </c>
      <c r="G802" s="4" t="s">
        <v>4465</v>
      </c>
      <c r="H802" s="3" t="s">
        <v>25</v>
      </c>
      <c r="I802" s="3" t="s">
        <v>4466</v>
      </c>
      <c r="J802" s="3" t="s">
        <v>4467</v>
      </c>
      <c r="K802" s="3" t="s">
        <v>4468</v>
      </c>
      <c r="L802" s="3"/>
      <c r="M802" s="4"/>
      <c r="N802" s="3" t="s">
        <v>37</v>
      </c>
      <c r="O802" s="3" t="s">
        <v>38</v>
      </c>
      <c r="P802" s="5">
        <v>10</v>
      </c>
      <c r="Q802" s="5">
        <v>84</v>
      </c>
      <c r="R802" s="5">
        <v>10</v>
      </c>
      <c r="S802" s="5">
        <v>86</v>
      </c>
    </row>
    <row r="803" spans="1:19" ht="28" x14ac:dyDescent="0.15">
      <c r="A803" s="2">
        <f>HYPERLINK("https://open-school.uspishnemisto.com.ua/school/50812/", 50812)</f>
        <v>50812</v>
      </c>
      <c r="B803" s="3" t="s">
        <v>4469</v>
      </c>
      <c r="C803" s="3" t="s">
        <v>40</v>
      </c>
      <c r="D803" s="3" t="s">
        <v>32</v>
      </c>
      <c r="E803" s="4" t="s">
        <v>22</v>
      </c>
      <c r="F803" s="4" t="s">
        <v>4470</v>
      </c>
      <c r="G803" s="4" t="s">
        <v>4471</v>
      </c>
      <c r="H803" s="3" t="s">
        <v>25</v>
      </c>
      <c r="I803" s="3" t="s">
        <v>4472</v>
      </c>
      <c r="J803" s="3" t="s">
        <v>4473</v>
      </c>
      <c r="K803" s="3" t="s">
        <v>4474</v>
      </c>
      <c r="L803" s="3" t="s">
        <v>4475</v>
      </c>
      <c r="M803" s="4"/>
      <c r="N803" s="3" t="s">
        <v>37</v>
      </c>
      <c r="O803" s="3" t="s">
        <v>38</v>
      </c>
      <c r="P803" s="5">
        <v>16</v>
      </c>
      <c r="Q803" s="5">
        <v>347</v>
      </c>
      <c r="R803" s="5">
        <v>16</v>
      </c>
      <c r="S803" s="5">
        <v>347</v>
      </c>
    </row>
    <row r="804" spans="1:19" ht="28" x14ac:dyDescent="0.15">
      <c r="A804" s="2">
        <f>HYPERLINK("https://open-school.uspishnemisto.com.ua/school/50813/", 50813)</f>
        <v>50813</v>
      </c>
      <c r="B804" s="3" t="s">
        <v>4476</v>
      </c>
      <c r="C804" s="3" t="s">
        <v>31</v>
      </c>
      <c r="D804" s="3" t="s">
        <v>32</v>
      </c>
      <c r="E804" s="4" t="s">
        <v>22</v>
      </c>
      <c r="F804" s="4" t="s">
        <v>4470</v>
      </c>
      <c r="G804" s="4" t="s">
        <v>4471</v>
      </c>
      <c r="H804" s="3" t="s">
        <v>25</v>
      </c>
      <c r="I804" s="3" t="s">
        <v>4472</v>
      </c>
      <c r="J804" s="3" t="s">
        <v>4477</v>
      </c>
      <c r="K804" s="3" t="s">
        <v>4478</v>
      </c>
      <c r="L804" s="3" t="s">
        <v>4479</v>
      </c>
      <c r="M804" s="4"/>
      <c r="N804" s="3" t="s">
        <v>37</v>
      </c>
      <c r="O804" s="3" t="s">
        <v>38</v>
      </c>
      <c r="P804" s="5">
        <v>25</v>
      </c>
      <c r="Q804" s="5">
        <v>525</v>
      </c>
      <c r="R804" s="5">
        <v>25</v>
      </c>
      <c r="S804" s="5">
        <v>528</v>
      </c>
    </row>
    <row r="805" spans="1:19" ht="28" x14ac:dyDescent="0.15">
      <c r="A805" s="2">
        <f>HYPERLINK("https://open-school.uspishnemisto.com.ua/school/50814/", 50814)</f>
        <v>50814</v>
      </c>
      <c r="B805" s="3" t="s">
        <v>4480</v>
      </c>
      <c r="C805" s="3" t="s">
        <v>31</v>
      </c>
      <c r="D805" s="3" t="s">
        <v>32</v>
      </c>
      <c r="E805" s="4" t="s">
        <v>22</v>
      </c>
      <c r="F805" s="4" t="s">
        <v>4481</v>
      </c>
      <c r="G805" s="4" t="s">
        <v>4471</v>
      </c>
      <c r="H805" s="3" t="s">
        <v>25</v>
      </c>
      <c r="I805" s="3" t="s">
        <v>4472</v>
      </c>
      <c r="J805" s="3" t="s">
        <v>4482</v>
      </c>
      <c r="K805" s="3" t="s">
        <v>4483</v>
      </c>
      <c r="L805" s="3" t="s">
        <v>4484</v>
      </c>
      <c r="M805" s="4"/>
      <c r="N805" s="3" t="s">
        <v>37</v>
      </c>
      <c r="O805" s="3" t="s">
        <v>38</v>
      </c>
      <c r="P805" s="5">
        <v>11</v>
      </c>
      <c r="Q805" s="5">
        <v>183</v>
      </c>
      <c r="R805" s="5">
        <v>11</v>
      </c>
      <c r="S805" s="5">
        <v>177</v>
      </c>
    </row>
    <row r="806" spans="1:19" ht="28" x14ac:dyDescent="0.15">
      <c r="A806" s="2">
        <f>HYPERLINK("https://open-school.uspishnemisto.com.ua/school/50815/", 50815)</f>
        <v>50815</v>
      </c>
      <c r="B806" s="3" t="s">
        <v>4485</v>
      </c>
      <c r="C806" s="3" t="s">
        <v>31</v>
      </c>
      <c r="D806" s="3" t="s">
        <v>32</v>
      </c>
      <c r="E806" s="4" t="s">
        <v>22</v>
      </c>
      <c r="F806" s="4" t="s">
        <v>4486</v>
      </c>
      <c r="G806" s="4" t="s">
        <v>4487</v>
      </c>
      <c r="H806" s="3" t="s">
        <v>25</v>
      </c>
      <c r="I806" s="3" t="s">
        <v>4488</v>
      </c>
      <c r="J806" s="3" t="s">
        <v>4489</v>
      </c>
      <c r="K806" s="3" t="s">
        <v>4490</v>
      </c>
      <c r="L806" s="3"/>
      <c r="M806" s="4"/>
      <c r="N806" s="3" t="s">
        <v>37</v>
      </c>
      <c r="O806" s="3" t="s">
        <v>52</v>
      </c>
      <c r="P806" s="5">
        <v>11</v>
      </c>
      <c r="Q806" s="5">
        <v>126</v>
      </c>
      <c r="R806" s="5">
        <v>11</v>
      </c>
      <c r="S806" s="5">
        <v>129</v>
      </c>
    </row>
    <row r="807" spans="1:19" ht="56" x14ac:dyDescent="0.15">
      <c r="A807" s="2">
        <f>HYPERLINK("https://open-school.uspishnemisto.com.ua/school/50816/", 50816)</f>
        <v>50816</v>
      </c>
      <c r="B807" s="3" t="s">
        <v>4491</v>
      </c>
      <c r="C807" s="3" t="s">
        <v>54</v>
      </c>
      <c r="D807" s="3" t="s">
        <v>175</v>
      </c>
      <c r="E807" s="4" t="s">
        <v>22</v>
      </c>
      <c r="F807" s="4" t="s">
        <v>4492</v>
      </c>
      <c r="G807" s="4" t="s">
        <v>4493</v>
      </c>
      <c r="H807" s="3" t="s">
        <v>25</v>
      </c>
      <c r="I807" s="3" t="s">
        <v>4494</v>
      </c>
      <c r="J807" s="3" t="s">
        <v>4495</v>
      </c>
      <c r="K807" s="3" t="s">
        <v>4496</v>
      </c>
      <c r="L807" s="3"/>
      <c r="M807" s="4"/>
      <c r="N807" s="3" t="s">
        <v>37</v>
      </c>
      <c r="O807" s="3" t="s">
        <v>38</v>
      </c>
      <c r="P807" s="5">
        <v>4</v>
      </c>
      <c r="Q807" s="5">
        <v>31</v>
      </c>
      <c r="R807" s="5">
        <v>3</v>
      </c>
      <c r="S807" s="5">
        <v>27</v>
      </c>
    </row>
    <row r="808" spans="1:19" ht="28" x14ac:dyDescent="0.15">
      <c r="A808" s="2">
        <f>HYPERLINK("https://open-school.uspishnemisto.com.ua/school/50817/", 50817)</f>
        <v>50817</v>
      </c>
      <c r="B808" s="3" t="s">
        <v>4497</v>
      </c>
      <c r="C808" s="3" t="s">
        <v>31</v>
      </c>
      <c r="D808" s="3" t="s">
        <v>32</v>
      </c>
      <c r="E808" s="4" t="s">
        <v>22</v>
      </c>
      <c r="F808" s="4" t="s">
        <v>4498</v>
      </c>
      <c r="G808" s="4" t="s">
        <v>4499</v>
      </c>
      <c r="H808" s="3" t="s">
        <v>25</v>
      </c>
      <c r="I808" s="3" t="s">
        <v>4500</v>
      </c>
      <c r="J808" s="3" t="s">
        <v>4501</v>
      </c>
      <c r="K808" s="3" t="s">
        <v>4502</v>
      </c>
      <c r="L808" s="3"/>
      <c r="M808" s="4"/>
      <c r="N808" s="3" t="s">
        <v>37</v>
      </c>
      <c r="O808" s="3" t="s">
        <v>38</v>
      </c>
      <c r="P808" s="5">
        <v>11</v>
      </c>
      <c r="Q808" s="5">
        <v>76</v>
      </c>
      <c r="R808" s="5">
        <v>11</v>
      </c>
      <c r="S808" s="5">
        <v>78</v>
      </c>
    </row>
    <row r="809" spans="1:19" ht="42" x14ac:dyDescent="0.15">
      <c r="A809" s="2">
        <f>HYPERLINK("https://open-school.uspishnemisto.com.ua/school/50818/", 50818)</f>
        <v>50818</v>
      </c>
      <c r="B809" s="3" t="s">
        <v>4503</v>
      </c>
      <c r="C809" s="3" t="s">
        <v>31</v>
      </c>
      <c r="D809" s="3" t="s">
        <v>32</v>
      </c>
      <c r="E809" s="4" t="s">
        <v>22</v>
      </c>
      <c r="F809" s="4" t="s">
        <v>4504</v>
      </c>
      <c r="G809" s="4" t="s">
        <v>4505</v>
      </c>
      <c r="H809" s="3" t="s">
        <v>25</v>
      </c>
      <c r="I809" s="3" t="s">
        <v>4506</v>
      </c>
      <c r="J809" s="3" t="s">
        <v>1636</v>
      </c>
      <c r="K809" s="3" t="s">
        <v>4507</v>
      </c>
      <c r="L809" s="3"/>
      <c r="M809" s="4"/>
      <c r="N809" s="3" t="s">
        <v>37</v>
      </c>
      <c r="O809" s="3" t="s">
        <v>52</v>
      </c>
      <c r="P809" s="5">
        <v>12</v>
      </c>
      <c r="Q809" s="5">
        <v>214</v>
      </c>
      <c r="R809" s="5">
        <v>12</v>
      </c>
      <c r="S809" s="5">
        <v>226</v>
      </c>
    </row>
    <row r="810" spans="1:19" ht="28" x14ac:dyDescent="0.15">
      <c r="A810" s="2">
        <f>HYPERLINK("https://open-school.uspishnemisto.com.ua/school/50819/", 50819)</f>
        <v>50819</v>
      </c>
      <c r="B810" s="3" t="s">
        <v>4508</v>
      </c>
      <c r="C810" s="3" t="s">
        <v>31</v>
      </c>
      <c r="D810" s="3" t="s">
        <v>32</v>
      </c>
      <c r="E810" s="4" t="s">
        <v>22</v>
      </c>
      <c r="F810" s="4" t="s">
        <v>4509</v>
      </c>
      <c r="G810" s="4" t="s">
        <v>4510</v>
      </c>
      <c r="H810" s="3" t="s">
        <v>25</v>
      </c>
      <c r="I810" s="3" t="s">
        <v>4511</v>
      </c>
      <c r="J810" s="3" t="s">
        <v>4512</v>
      </c>
      <c r="K810" s="3" t="s">
        <v>4513</v>
      </c>
      <c r="L810" s="3" t="s">
        <v>4514</v>
      </c>
      <c r="M810" s="4"/>
      <c r="N810" s="3" t="s">
        <v>37</v>
      </c>
      <c r="O810" s="3" t="s">
        <v>38</v>
      </c>
      <c r="P810" s="5">
        <v>14</v>
      </c>
      <c r="Q810" s="5">
        <v>280</v>
      </c>
      <c r="R810" s="5">
        <v>15</v>
      </c>
      <c r="S810" s="5">
        <v>287</v>
      </c>
    </row>
    <row r="811" spans="1:19" ht="28" x14ac:dyDescent="0.15">
      <c r="A811" s="2">
        <f>HYPERLINK("https://open-school.uspishnemisto.com.ua/school/50820/", 50820)</f>
        <v>50820</v>
      </c>
      <c r="B811" s="3" t="s">
        <v>4515</v>
      </c>
      <c r="C811" s="3" t="s">
        <v>31</v>
      </c>
      <c r="D811" s="3" t="s">
        <v>32</v>
      </c>
      <c r="E811" s="4" t="s">
        <v>22</v>
      </c>
      <c r="F811" s="4" t="s">
        <v>4516</v>
      </c>
      <c r="G811" s="4" t="s">
        <v>4517</v>
      </c>
      <c r="H811" s="3" t="s">
        <v>25</v>
      </c>
      <c r="I811" s="3" t="s">
        <v>4518</v>
      </c>
      <c r="J811" s="3" t="s">
        <v>4519</v>
      </c>
      <c r="K811" s="3" t="s">
        <v>4520</v>
      </c>
      <c r="L811" s="3" t="s">
        <v>4521</v>
      </c>
      <c r="M811" s="4"/>
      <c r="N811" s="3" t="s">
        <v>37</v>
      </c>
      <c r="O811" s="3" t="s">
        <v>52</v>
      </c>
      <c r="P811" s="5">
        <v>19</v>
      </c>
      <c r="Q811" s="5">
        <v>338</v>
      </c>
      <c r="R811" s="5">
        <v>19</v>
      </c>
      <c r="S811" s="5">
        <v>336</v>
      </c>
    </row>
    <row r="812" spans="1:19" ht="28" x14ac:dyDescent="0.15">
      <c r="A812" s="2">
        <f>HYPERLINK("https://open-school.uspishnemisto.com.ua/school/50821/", 50821)</f>
        <v>50821</v>
      </c>
      <c r="B812" s="3" t="s">
        <v>4522</v>
      </c>
      <c r="C812" s="3" t="s">
        <v>31</v>
      </c>
      <c r="D812" s="3" t="s">
        <v>32</v>
      </c>
      <c r="E812" s="4" t="s">
        <v>22</v>
      </c>
      <c r="F812" s="4" t="s">
        <v>4523</v>
      </c>
      <c r="G812" s="4" t="s">
        <v>4524</v>
      </c>
      <c r="H812" s="3" t="s">
        <v>25</v>
      </c>
      <c r="I812" s="3" t="s">
        <v>4525</v>
      </c>
      <c r="J812" s="3" t="s">
        <v>2253</v>
      </c>
      <c r="K812" s="3" t="s">
        <v>4526</v>
      </c>
      <c r="L812" s="3"/>
      <c r="M812" s="4"/>
      <c r="N812" s="3" t="s">
        <v>37</v>
      </c>
      <c r="O812" s="3" t="s">
        <v>38</v>
      </c>
      <c r="P812" s="5">
        <v>11</v>
      </c>
      <c r="Q812" s="5">
        <v>121</v>
      </c>
      <c r="R812" s="5">
        <v>11</v>
      </c>
      <c r="S812" s="5">
        <v>115</v>
      </c>
    </row>
    <row r="813" spans="1:19" ht="28" x14ac:dyDescent="0.15">
      <c r="A813" s="2">
        <f>HYPERLINK("https://open-school.uspishnemisto.com.ua/school/50822/", 50822)</f>
        <v>50822</v>
      </c>
      <c r="B813" s="3" t="s">
        <v>4527</v>
      </c>
      <c r="C813" s="3" t="s">
        <v>31</v>
      </c>
      <c r="D813" s="3" t="s">
        <v>32</v>
      </c>
      <c r="E813" s="4" t="s">
        <v>22</v>
      </c>
      <c r="F813" s="4" t="s">
        <v>4528</v>
      </c>
      <c r="G813" s="4" t="s">
        <v>4529</v>
      </c>
      <c r="H813" s="3" t="s">
        <v>25</v>
      </c>
      <c r="I813" s="3" t="s">
        <v>4530</v>
      </c>
      <c r="J813" s="3" t="s">
        <v>4531</v>
      </c>
      <c r="K813" s="3" t="s">
        <v>4532</v>
      </c>
      <c r="L813" s="3"/>
      <c r="M813" s="4"/>
      <c r="N813" s="3" t="s">
        <v>37</v>
      </c>
      <c r="O813" s="3" t="s">
        <v>70</v>
      </c>
      <c r="P813" s="5">
        <v>11</v>
      </c>
      <c r="Q813" s="5">
        <v>137</v>
      </c>
      <c r="R813" s="5">
        <v>11</v>
      </c>
      <c r="S813" s="5">
        <v>131</v>
      </c>
    </row>
    <row r="814" spans="1:19" ht="28" x14ac:dyDescent="0.15">
      <c r="A814" s="2">
        <f>HYPERLINK("https://open-school.uspishnemisto.com.ua/school/50823/", 50823)</f>
        <v>50823</v>
      </c>
      <c r="B814" s="3" t="s">
        <v>4533</v>
      </c>
      <c r="C814" s="3" t="s">
        <v>31</v>
      </c>
      <c r="D814" s="3" t="s">
        <v>32</v>
      </c>
      <c r="E814" s="4" t="s">
        <v>22</v>
      </c>
      <c r="F814" s="4" t="s">
        <v>4534</v>
      </c>
      <c r="G814" s="4" t="s">
        <v>4535</v>
      </c>
      <c r="H814" s="3" t="s">
        <v>25</v>
      </c>
      <c r="I814" s="3" t="s">
        <v>4536</v>
      </c>
      <c r="J814" s="3" t="s">
        <v>4537</v>
      </c>
      <c r="K814" s="3" t="s">
        <v>4538</v>
      </c>
      <c r="L814" s="3" t="s">
        <v>4539</v>
      </c>
      <c r="M814" s="4"/>
      <c r="N814" s="3" t="s">
        <v>37</v>
      </c>
      <c r="O814" s="3" t="s">
        <v>70</v>
      </c>
      <c r="P814" s="5">
        <v>11</v>
      </c>
      <c r="Q814" s="5">
        <v>132</v>
      </c>
      <c r="R814" s="5">
        <v>11</v>
      </c>
      <c r="S814" s="5">
        <v>128</v>
      </c>
    </row>
    <row r="815" spans="1:19" ht="28" x14ac:dyDescent="0.15">
      <c r="A815" s="2">
        <f>HYPERLINK("https://open-school.uspishnemisto.com.ua/school/50824/", 50824)</f>
        <v>50824</v>
      </c>
      <c r="B815" s="3" t="s">
        <v>4540</v>
      </c>
      <c r="C815" s="3" t="s">
        <v>31</v>
      </c>
      <c r="D815" s="3" t="s">
        <v>32</v>
      </c>
      <c r="E815" s="4" t="s">
        <v>22</v>
      </c>
      <c r="F815" s="4" t="s">
        <v>4541</v>
      </c>
      <c r="G815" s="4" t="s">
        <v>4542</v>
      </c>
      <c r="H815" s="3" t="s">
        <v>25</v>
      </c>
      <c r="I815" s="3" t="s">
        <v>4543</v>
      </c>
      <c r="J815" s="3" t="s">
        <v>4544</v>
      </c>
      <c r="K815" s="3" t="s">
        <v>4545</v>
      </c>
      <c r="L815" s="3"/>
      <c r="M815" s="4"/>
      <c r="N815" s="3" t="s">
        <v>37</v>
      </c>
      <c r="O815" s="3" t="s">
        <v>52</v>
      </c>
      <c r="P815" s="5">
        <v>11</v>
      </c>
      <c r="Q815" s="5">
        <v>108</v>
      </c>
      <c r="R815" s="5">
        <v>11</v>
      </c>
      <c r="S815" s="5">
        <v>124</v>
      </c>
    </row>
    <row r="816" spans="1:19" ht="28" x14ac:dyDescent="0.15">
      <c r="A816" s="2">
        <f>HYPERLINK("https://open-school.uspishnemisto.com.ua/school/50825/", 50825)</f>
        <v>50825</v>
      </c>
      <c r="B816" s="3" t="s">
        <v>4546</v>
      </c>
      <c r="C816" s="3" t="s">
        <v>31</v>
      </c>
      <c r="D816" s="3" t="s">
        <v>32</v>
      </c>
      <c r="E816" s="4" t="s">
        <v>22</v>
      </c>
      <c r="F816" s="4" t="s">
        <v>4547</v>
      </c>
      <c r="G816" s="4" t="s">
        <v>4548</v>
      </c>
      <c r="H816" s="3" t="s">
        <v>25</v>
      </c>
      <c r="I816" s="3" t="s">
        <v>4549</v>
      </c>
      <c r="J816" s="3" t="s">
        <v>4550</v>
      </c>
      <c r="K816" s="3" t="s">
        <v>4551</v>
      </c>
      <c r="L816" s="3" t="s">
        <v>4552</v>
      </c>
      <c r="M816" s="4"/>
      <c r="N816" s="3" t="s">
        <v>37</v>
      </c>
      <c r="O816" s="3" t="s">
        <v>52</v>
      </c>
      <c r="P816" s="5">
        <v>23</v>
      </c>
      <c r="Q816" s="5">
        <v>539</v>
      </c>
      <c r="R816" s="5">
        <v>23</v>
      </c>
      <c r="S816" s="5">
        <v>548</v>
      </c>
    </row>
    <row r="817" spans="1:19" ht="28" x14ac:dyDescent="0.15">
      <c r="A817" s="2">
        <f>HYPERLINK("https://open-school.uspishnemisto.com.ua/school/50826/", 50826)</f>
        <v>50826</v>
      </c>
      <c r="B817" s="3" t="s">
        <v>4553</v>
      </c>
      <c r="C817" s="3" t="s">
        <v>31</v>
      </c>
      <c r="D817" s="3" t="s">
        <v>32</v>
      </c>
      <c r="E817" s="4" t="s">
        <v>22</v>
      </c>
      <c r="F817" s="4" t="s">
        <v>4554</v>
      </c>
      <c r="G817" s="4" t="s">
        <v>4555</v>
      </c>
      <c r="H817" s="3" t="s">
        <v>25</v>
      </c>
      <c r="I817" s="3" t="s">
        <v>4556</v>
      </c>
      <c r="J817" s="3" t="s">
        <v>4557</v>
      </c>
      <c r="K817" s="3" t="s">
        <v>4558</v>
      </c>
      <c r="L817" s="3" t="s">
        <v>4559</v>
      </c>
      <c r="M817" s="4"/>
      <c r="N817" s="3" t="s">
        <v>37</v>
      </c>
      <c r="O817" s="3" t="s">
        <v>38</v>
      </c>
      <c r="P817" s="5">
        <v>11</v>
      </c>
      <c r="Q817" s="5">
        <v>105</v>
      </c>
      <c r="R817" s="5">
        <v>11</v>
      </c>
      <c r="S817" s="5">
        <v>109</v>
      </c>
    </row>
    <row r="818" spans="1:19" ht="56" x14ac:dyDescent="0.15">
      <c r="A818" s="2">
        <f>HYPERLINK("https://open-school.uspishnemisto.com.ua/school/50827/", 50827)</f>
        <v>50827</v>
      </c>
      <c r="B818" s="3" t="s">
        <v>4560</v>
      </c>
      <c r="C818" s="3" t="s">
        <v>54</v>
      </c>
      <c r="D818" s="3" t="s">
        <v>175</v>
      </c>
      <c r="E818" s="4" t="s">
        <v>22</v>
      </c>
      <c r="F818" s="4" t="s">
        <v>4561</v>
      </c>
      <c r="G818" s="4" t="s">
        <v>4562</v>
      </c>
      <c r="H818" s="3" t="s">
        <v>25</v>
      </c>
      <c r="I818" s="3" t="s">
        <v>4563</v>
      </c>
      <c r="J818" s="3" t="s">
        <v>4564</v>
      </c>
      <c r="K818" s="3" t="s">
        <v>4565</v>
      </c>
      <c r="L818" s="3"/>
      <c r="M818" s="4"/>
      <c r="N818" s="3" t="s">
        <v>37</v>
      </c>
      <c r="O818" s="3" t="s">
        <v>112</v>
      </c>
      <c r="P818" s="5">
        <v>3</v>
      </c>
      <c r="Q818" s="5">
        <v>31</v>
      </c>
      <c r="R818" s="5">
        <v>2</v>
      </c>
      <c r="S818" s="5">
        <v>29</v>
      </c>
    </row>
    <row r="819" spans="1:19" ht="28" x14ac:dyDescent="0.15">
      <c r="A819" s="2">
        <f>HYPERLINK("https://open-school.uspishnemisto.com.ua/school/50828/", 50828)</f>
        <v>50828</v>
      </c>
      <c r="B819" s="3" t="s">
        <v>4566</v>
      </c>
      <c r="C819" s="3" t="s">
        <v>31</v>
      </c>
      <c r="D819" s="3" t="s">
        <v>32</v>
      </c>
      <c r="E819" s="4" t="s">
        <v>22</v>
      </c>
      <c r="F819" s="4" t="s">
        <v>4567</v>
      </c>
      <c r="G819" s="4" t="s">
        <v>4568</v>
      </c>
      <c r="H819" s="3" t="s">
        <v>25</v>
      </c>
      <c r="I819" s="3" t="s">
        <v>4569</v>
      </c>
      <c r="J819" s="3" t="s">
        <v>4570</v>
      </c>
      <c r="K819" s="3" t="s">
        <v>4571</v>
      </c>
      <c r="L819" s="3"/>
      <c r="M819" s="4"/>
      <c r="N819" s="3" t="s">
        <v>37</v>
      </c>
      <c r="O819" s="3" t="s">
        <v>38</v>
      </c>
      <c r="P819" s="5">
        <v>11</v>
      </c>
      <c r="Q819" s="5">
        <v>104</v>
      </c>
      <c r="R819" s="5">
        <v>11</v>
      </c>
      <c r="S819" s="5">
        <v>101</v>
      </c>
    </row>
    <row r="820" spans="1:19" ht="28" x14ac:dyDescent="0.15">
      <c r="A820" s="2">
        <f>HYPERLINK("https://open-school.uspishnemisto.com.ua/school/50829/", 50829)</f>
        <v>50829</v>
      </c>
      <c r="B820" s="3" t="s">
        <v>4572</v>
      </c>
      <c r="C820" s="3" t="s">
        <v>31</v>
      </c>
      <c r="D820" s="3" t="s">
        <v>32</v>
      </c>
      <c r="E820" s="4" t="s">
        <v>22</v>
      </c>
      <c r="F820" s="4" t="s">
        <v>4573</v>
      </c>
      <c r="G820" s="4" t="s">
        <v>4574</v>
      </c>
      <c r="H820" s="3" t="s">
        <v>25</v>
      </c>
      <c r="I820" s="3" t="s">
        <v>4171</v>
      </c>
      <c r="J820" s="3" t="s">
        <v>4575</v>
      </c>
      <c r="K820" s="3" t="s">
        <v>4576</v>
      </c>
      <c r="L820" s="3"/>
      <c r="M820" s="4"/>
      <c r="N820" s="3" t="s">
        <v>37</v>
      </c>
      <c r="O820" s="3" t="s">
        <v>112</v>
      </c>
      <c r="P820" s="5">
        <v>11</v>
      </c>
      <c r="Q820" s="5">
        <v>100</v>
      </c>
      <c r="R820" s="5">
        <v>11</v>
      </c>
      <c r="S820" s="5">
        <v>98</v>
      </c>
    </row>
    <row r="821" spans="1:19" ht="28" x14ac:dyDescent="0.15">
      <c r="A821" s="2">
        <f>HYPERLINK("https://open-school.uspishnemisto.com.ua/school/50830/", 50830)</f>
        <v>50830</v>
      </c>
      <c r="B821" s="3" t="s">
        <v>4577</v>
      </c>
      <c r="C821" s="3" t="s">
        <v>31</v>
      </c>
      <c r="D821" s="3" t="s">
        <v>60</v>
      </c>
      <c r="E821" s="4" t="s">
        <v>22</v>
      </c>
      <c r="F821" s="4" t="s">
        <v>4573</v>
      </c>
      <c r="G821" s="4" t="s">
        <v>4578</v>
      </c>
      <c r="H821" s="3" t="s">
        <v>25</v>
      </c>
      <c r="I821" s="3" t="s">
        <v>4579</v>
      </c>
      <c r="J821" s="3" t="s">
        <v>903</v>
      </c>
      <c r="K821" s="3" t="s">
        <v>4580</v>
      </c>
      <c r="L821" s="3"/>
      <c r="M821" s="4"/>
      <c r="N821" s="3" t="s">
        <v>37</v>
      </c>
      <c r="O821" s="3" t="s">
        <v>52</v>
      </c>
      <c r="P821" s="5">
        <v>0</v>
      </c>
      <c r="Q821" s="5">
        <v>7</v>
      </c>
      <c r="R821" s="5">
        <v>0</v>
      </c>
      <c r="S821" s="5">
        <v>9</v>
      </c>
    </row>
    <row r="822" spans="1:19" ht="28" x14ac:dyDescent="0.15">
      <c r="A822" s="2">
        <f>HYPERLINK("https://open-school.uspishnemisto.com.ua/school/50831/", 50831)</f>
        <v>50831</v>
      </c>
      <c r="B822" s="3" t="s">
        <v>4581</v>
      </c>
      <c r="C822" s="3" t="s">
        <v>31</v>
      </c>
      <c r="D822" s="3" t="s">
        <v>32</v>
      </c>
      <c r="E822" s="4" t="s">
        <v>22</v>
      </c>
      <c r="F822" s="4" t="s">
        <v>4582</v>
      </c>
      <c r="G822" s="4" t="s">
        <v>4583</v>
      </c>
      <c r="H822" s="3" t="s">
        <v>25</v>
      </c>
      <c r="I822" s="3" t="s">
        <v>688</v>
      </c>
      <c r="J822" s="3" t="s">
        <v>4584</v>
      </c>
      <c r="K822" s="3" t="s">
        <v>4585</v>
      </c>
      <c r="L822" s="3"/>
      <c r="M822" s="4"/>
      <c r="N822" s="3" t="s">
        <v>37</v>
      </c>
      <c r="O822" s="3" t="s">
        <v>38</v>
      </c>
      <c r="P822" s="5">
        <v>12</v>
      </c>
      <c r="Q822" s="5">
        <v>207</v>
      </c>
      <c r="R822" s="5">
        <v>12</v>
      </c>
      <c r="S822" s="5">
        <v>201</v>
      </c>
    </row>
    <row r="823" spans="1:19" ht="28" x14ac:dyDescent="0.15">
      <c r="A823" s="2">
        <f>HYPERLINK("https://open-school.uspishnemisto.com.ua/school/50832/", 50832)</f>
        <v>50832</v>
      </c>
      <c r="B823" s="3" t="s">
        <v>4586</v>
      </c>
      <c r="C823" s="3" t="s">
        <v>31</v>
      </c>
      <c r="D823" s="3" t="s">
        <v>175</v>
      </c>
      <c r="E823" s="4" t="s">
        <v>22</v>
      </c>
      <c r="F823" s="4"/>
      <c r="G823" s="4" t="s">
        <v>4587</v>
      </c>
      <c r="H823" s="3" t="s">
        <v>25</v>
      </c>
      <c r="I823" s="3" t="s">
        <v>4588</v>
      </c>
      <c r="J823" s="3" t="s">
        <v>4589</v>
      </c>
      <c r="K823" s="3" t="s">
        <v>4590</v>
      </c>
      <c r="L823" s="3"/>
      <c r="M823" s="4"/>
      <c r="N823" s="3" t="s">
        <v>37</v>
      </c>
      <c r="O823" s="3" t="s">
        <v>38</v>
      </c>
      <c r="P823" s="5">
        <v>9</v>
      </c>
      <c r="Q823" s="5">
        <v>74</v>
      </c>
      <c r="R823" s="5">
        <v>9</v>
      </c>
      <c r="S823" s="5">
        <v>69</v>
      </c>
    </row>
    <row r="824" spans="1:19" ht="28" x14ac:dyDescent="0.15">
      <c r="A824" s="2">
        <f>HYPERLINK("https://open-school.uspishnemisto.com.ua/school/50833/", 50833)</f>
        <v>50833</v>
      </c>
      <c r="B824" s="3" t="s">
        <v>4591</v>
      </c>
      <c r="C824" s="3" t="s">
        <v>31</v>
      </c>
      <c r="D824" s="3" t="s">
        <v>60</v>
      </c>
      <c r="E824" s="4" t="s">
        <v>22</v>
      </c>
      <c r="F824" s="4" t="s">
        <v>4592</v>
      </c>
      <c r="G824" s="4" t="s">
        <v>4593</v>
      </c>
      <c r="H824" s="3" t="s">
        <v>25</v>
      </c>
      <c r="I824" s="3" t="s">
        <v>4594</v>
      </c>
      <c r="J824" s="3" t="s">
        <v>4595</v>
      </c>
      <c r="K824" s="3" t="s">
        <v>4596</v>
      </c>
      <c r="L824" s="3" t="s">
        <v>4597</v>
      </c>
      <c r="M824" s="4"/>
      <c r="N824" s="3" t="s">
        <v>37</v>
      </c>
      <c r="O824" s="3" t="s">
        <v>52</v>
      </c>
      <c r="P824" s="5">
        <v>0</v>
      </c>
      <c r="Q824" s="5">
        <v>5</v>
      </c>
      <c r="R824" s="5">
        <v>1</v>
      </c>
      <c r="S824" s="5">
        <v>10</v>
      </c>
    </row>
    <row r="825" spans="1:19" ht="56" x14ac:dyDescent="0.15">
      <c r="A825" s="2">
        <f>HYPERLINK("https://open-school.uspishnemisto.com.ua/school/50834/", 50834)</f>
        <v>50834</v>
      </c>
      <c r="B825" s="3" t="s">
        <v>4598</v>
      </c>
      <c r="C825" s="3" t="s">
        <v>54</v>
      </c>
      <c r="D825" s="3" t="s">
        <v>175</v>
      </c>
      <c r="E825" s="4" t="s">
        <v>22</v>
      </c>
      <c r="F825" s="4" t="s">
        <v>4599</v>
      </c>
      <c r="G825" s="4" t="s">
        <v>4600</v>
      </c>
      <c r="H825" s="3" t="s">
        <v>25</v>
      </c>
      <c r="I825" s="3" t="s">
        <v>4601</v>
      </c>
      <c r="J825" s="3" t="s">
        <v>2532</v>
      </c>
      <c r="K825" s="3" t="s">
        <v>4602</v>
      </c>
      <c r="L825" s="3"/>
      <c r="M825" s="4"/>
      <c r="N825" s="3" t="s">
        <v>37</v>
      </c>
      <c r="O825" s="3" t="s">
        <v>967</v>
      </c>
      <c r="P825" s="5">
        <v>6</v>
      </c>
      <c r="Q825" s="5">
        <v>53</v>
      </c>
      <c r="R825" s="5">
        <v>7</v>
      </c>
      <c r="S825" s="5">
        <v>60</v>
      </c>
    </row>
    <row r="826" spans="1:19" ht="28" x14ac:dyDescent="0.15">
      <c r="A826" s="2">
        <f>HYPERLINK("https://open-school.uspishnemisto.com.ua/school/50835/", 50835)</f>
        <v>50835</v>
      </c>
      <c r="B826" s="3" t="s">
        <v>4603</v>
      </c>
      <c r="C826" s="3" t="s">
        <v>31</v>
      </c>
      <c r="D826" s="3" t="s">
        <v>32</v>
      </c>
      <c r="E826" s="4" t="s">
        <v>22</v>
      </c>
      <c r="F826" s="4" t="s">
        <v>4604</v>
      </c>
      <c r="G826" s="4" t="s">
        <v>4605</v>
      </c>
      <c r="H826" s="3" t="s">
        <v>25</v>
      </c>
      <c r="I826" s="3" t="s">
        <v>2394</v>
      </c>
      <c r="J826" s="3" t="s">
        <v>4606</v>
      </c>
      <c r="K826" s="3" t="s">
        <v>4607</v>
      </c>
      <c r="L826" s="3"/>
      <c r="M826" s="4"/>
      <c r="N826" s="3" t="s">
        <v>37</v>
      </c>
      <c r="O826" s="3" t="s">
        <v>38</v>
      </c>
      <c r="P826" s="5">
        <v>16</v>
      </c>
      <c r="Q826" s="5">
        <v>287</v>
      </c>
      <c r="R826" s="5">
        <v>15</v>
      </c>
      <c r="S826" s="5">
        <v>269</v>
      </c>
    </row>
    <row r="827" spans="1:19" ht="28" x14ac:dyDescent="0.15">
      <c r="A827" s="2">
        <f>HYPERLINK("https://open-school.uspishnemisto.com.ua/school/50836/", 50836)</f>
        <v>50836</v>
      </c>
      <c r="B827" s="3" t="s">
        <v>4608</v>
      </c>
      <c r="C827" s="3" t="s">
        <v>31</v>
      </c>
      <c r="D827" s="3" t="s">
        <v>175</v>
      </c>
      <c r="E827" s="4" t="s">
        <v>22</v>
      </c>
      <c r="F827" s="4" t="s">
        <v>4609</v>
      </c>
      <c r="G827" s="4" t="s">
        <v>4610</v>
      </c>
      <c r="H827" s="3" t="s">
        <v>25</v>
      </c>
      <c r="I827" s="3" t="s">
        <v>4611</v>
      </c>
      <c r="J827" s="3" t="s">
        <v>4612</v>
      </c>
      <c r="K827" s="3" t="s">
        <v>4613</v>
      </c>
      <c r="L827" s="3"/>
      <c r="M827" s="4"/>
      <c r="N827" s="3" t="s">
        <v>37</v>
      </c>
      <c r="O827" s="3" t="s">
        <v>70</v>
      </c>
      <c r="P827" s="5">
        <v>9</v>
      </c>
      <c r="Q827" s="5">
        <v>84</v>
      </c>
      <c r="R827" s="5">
        <v>9</v>
      </c>
      <c r="S827" s="5">
        <v>89</v>
      </c>
    </row>
    <row r="828" spans="1:19" ht="28" x14ac:dyDescent="0.15">
      <c r="A828" s="2">
        <f>HYPERLINK("https://open-school.uspishnemisto.com.ua/school/50837/", 50837)</f>
        <v>50837</v>
      </c>
      <c r="B828" s="3" t="s">
        <v>4614</v>
      </c>
      <c r="C828" s="3" t="s">
        <v>31</v>
      </c>
      <c r="D828" s="3" t="s">
        <v>32</v>
      </c>
      <c r="E828" s="4" t="s">
        <v>22</v>
      </c>
      <c r="F828" s="4" t="s">
        <v>4615</v>
      </c>
      <c r="G828" s="4" t="s">
        <v>4616</v>
      </c>
      <c r="H828" s="3" t="s">
        <v>25</v>
      </c>
      <c r="I828" s="3" t="s">
        <v>4617</v>
      </c>
      <c r="J828" s="3" t="s">
        <v>1668</v>
      </c>
      <c r="K828" s="3" t="s">
        <v>4618</v>
      </c>
      <c r="L828" s="3" t="s">
        <v>4619</v>
      </c>
      <c r="M828" s="4"/>
      <c r="N828" s="3" t="s">
        <v>37</v>
      </c>
      <c r="O828" s="3" t="s">
        <v>38</v>
      </c>
      <c r="P828" s="5">
        <v>11</v>
      </c>
      <c r="Q828" s="5">
        <v>205</v>
      </c>
      <c r="R828" s="5">
        <v>11</v>
      </c>
      <c r="S828" s="5">
        <v>203</v>
      </c>
    </row>
    <row r="829" spans="1:19" ht="56" x14ac:dyDescent="0.15">
      <c r="A829" s="2">
        <f>HYPERLINK("https://open-school.uspishnemisto.com.ua/school/50838/", 50838)</f>
        <v>50838</v>
      </c>
      <c r="B829" s="3" t="s">
        <v>4620</v>
      </c>
      <c r="C829" s="3" t="s">
        <v>54</v>
      </c>
      <c r="D829" s="3" t="s">
        <v>175</v>
      </c>
      <c r="E829" s="4" t="s">
        <v>22</v>
      </c>
      <c r="F829" s="4" t="s">
        <v>4621</v>
      </c>
      <c r="G829" s="4" t="s">
        <v>4622</v>
      </c>
      <c r="H829" s="3" t="s">
        <v>25</v>
      </c>
      <c r="I829" s="3" t="s">
        <v>987</v>
      </c>
      <c r="J829" s="3" t="s">
        <v>4623</v>
      </c>
      <c r="K829" s="3" t="s">
        <v>4624</v>
      </c>
      <c r="L829" s="3" t="s">
        <v>4625</v>
      </c>
      <c r="M829" s="4"/>
      <c r="N829" s="3" t="s">
        <v>37</v>
      </c>
      <c r="O829" s="3" t="s">
        <v>70</v>
      </c>
      <c r="P829" s="5">
        <v>6</v>
      </c>
      <c r="Q829" s="5">
        <v>34</v>
      </c>
      <c r="R829" s="5">
        <v>6</v>
      </c>
      <c r="S829" s="5">
        <v>38</v>
      </c>
    </row>
    <row r="830" spans="1:19" ht="56" x14ac:dyDescent="0.15">
      <c r="A830" s="2">
        <f>HYPERLINK("https://open-school.uspishnemisto.com.ua/school/50839/", 50839)</f>
        <v>50839</v>
      </c>
      <c r="B830" s="3" t="s">
        <v>4626</v>
      </c>
      <c r="C830" s="3" t="s">
        <v>54</v>
      </c>
      <c r="D830" s="3" t="s">
        <v>175</v>
      </c>
      <c r="E830" s="4" t="s">
        <v>22</v>
      </c>
      <c r="F830" s="4" t="s">
        <v>4627</v>
      </c>
      <c r="G830" s="4" t="s">
        <v>4628</v>
      </c>
      <c r="H830" s="3" t="s">
        <v>25</v>
      </c>
      <c r="I830" s="3" t="s">
        <v>4629</v>
      </c>
      <c r="J830" s="3" t="s">
        <v>4630</v>
      </c>
      <c r="K830" s="3" t="s">
        <v>4631</v>
      </c>
      <c r="L830" s="3"/>
      <c r="M830" s="4"/>
      <c r="N830" s="3" t="s">
        <v>37</v>
      </c>
      <c r="O830" s="3" t="s">
        <v>38</v>
      </c>
      <c r="P830" s="5">
        <v>8</v>
      </c>
      <c r="Q830" s="5">
        <v>41</v>
      </c>
      <c r="R830" s="5">
        <v>8</v>
      </c>
      <c r="S830" s="5">
        <v>41</v>
      </c>
    </row>
    <row r="831" spans="1:19" ht="28" x14ac:dyDescent="0.15">
      <c r="A831" s="2">
        <f>HYPERLINK("https://open-school.uspishnemisto.com.ua/school/50840/", 50840)</f>
        <v>50840</v>
      </c>
      <c r="B831" s="3" t="s">
        <v>4632</v>
      </c>
      <c r="C831" s="3" t="s">
        <v>31</v>
      </c>
      <c r="D831" s="3" t="s">
        <v>32</v>
      </c>
      <c r="E831" s="4" t="s">
        <v>22</v>
      </c>
      <c r="F831" s="4" t="s">
        <v>4633</v>
      </c>
      <c r="G831" s="4" t="s">
        <v>4634</v>
      </c>
      <c r="H831" s="3" t="s">
        <v>25</v>
      </c>
      <c r="I831" s="3" t="s">
        <v>4635</v>
      </c>
      <c r="J831" s="3" t="s">
        <v>4636</v>
      </c>
      <c r="K831" s="3" t="s">
        <v>4637</v>
      </c>
      <c r="L831" s="3" t="s">
        <v>4638</v>
      </c>
      <c r="M831" s="4" t="s">
        <v>4639</v>
      </c>
      <c r="N831" s="3" t="s">
        <v>37</v>
      </c>
      <c r="O831" s="3" t="s">
        <v>52</v>
      </c>
      <c r="P831" s="5">
        <v>21</v>
      </c>
      <c r="Q831" s="5">
        <v>417</v>
      </c>
      <c r="R831" s="5">
        <v>20</v>
      </c>
      <c r="S831" s="5">
        <v>386</v>
      </c>
    </row>
    <row r="832" spans="1:19" ht="28" x14ac:dyDescent="0.15">
      <c r="A832" s="2">
        <f>HYPERLINK("https://open-school.uspishnemisto.com.ua/school/50841/", 50841)</f>
        <v>50841</v>
      </c>
      <c r="B832" s="3" t="s">
        <v>4640</v>
      </c>
      <c r="C832" s="3" t="s">
        <v>31</v>
      </c>
      <c r="D832" s="3" t="s">
        <v>32</v>
      </c>
      <c r="E832" s="4" t="s">
        <v>22</v>
      </c>
      <c r="F832" s="4" t="s">
        <v>4633</v>
      </c>
      <c r="G832" s="4" t="s">
        <v>4634</v>
      </c>
      <c r="H832" s="3" t="s">
        <v>25</v>
      </c>
      <c r="I832" s="3" t="s">
        <v>4635</v>
      </c>
      <c r="J832" s="3" t="s">
        <v>3393</v>
      </c>
      <c r="K832" s="3" t="s">
        <v>4641</v>
      </c>
      <c r="L832" s="3"/>
      <c r="M832" s="4"/>
      <c r="N832" s="3" t="s">
        <v>37</v>
      </c>
      <c r="O832" s="3" t="s">
        <v>38</v>
      </c>
      <c r="P832" s="5">
        <v>11</v>
      </c>
      <c r="Q832" s="5">
        <v>146</v>
      </c>
      <c r="R832" s="5">
        <v>11</v>
      </c>
      <c r="S832" s="5">
        <v>141</v>
      </c>
    </row>
    <row r="833" spans="1:19" ht="28" x14ac:dyDescent="0.15">
      <c r="A833" s="2">
        <f>HYPERLINK("https://open-school.uspishnemisto.com.ua/school/50842/", 50842)</f>
        <v>50842</v>
      </c>
      <c r="B833" s="3" t="s">
        <v>4642</v>
      </c>
      <c r="C833" s="3" t="s">
        <v>31</v>
      </c>
      <c r="D833" s="3" t="s">
        <v>32</v>
      </c>
      <c r="E833" s="4" t="s">
        <v>22</v>
      </c>
      <c r="F833" s="4" t="s">
        <v>4643</v>
      </c>
      <c r="G833" s="4" t="s">
        <v>4644</v>
      </c>
      <c r="H833" s="3" t="s">
        <v>25</v>
      </c>
      <c r="I833" s="3" t="s">
        <v>4645</v>
      </c>
      <c r="J833" s="3" t="s">
        <v>4646</v>
      </c>
      <c r="K833" s="3" t="s">
        <v>4647</v>
      </c>
      <c r="L833" s="3"/>
      <c r="M833" s="4"/>
      <c r="N833" s="3" t="s">
        <v>37</v>
      </c>
      <c r="O833" s="3" t="s">
        <v>46</v>
      </c>
      <c r="P833" s="5">
        <v>11</v>
      </c>
      <c r="Q833" s="5">
        <v>113</v>
      </c>
      <c r="R833" s="5">
        <v>11</v>
      </c>
      <c r="S833" s="5">
        <v>111</v>
      </c>
    </row>
    <row r="834" spans="1:19" ht="42" x14ac:dyDescent="0.15">
      <c r="A834" s="2">
        <f>HYPERLINK("https://open-school.uspishnemisto.com.ua/school/50843/", 50843)</f>
        <v>50843</v>
      </c>
      <c r="B834" s="3" t="s">
        <v>4648</v>
      </c>
      <c r="C834" s="3" t="s">
        <v>54</v>
      </c>
      <c r="D834" s="3" t="s">
        <v>60</v>
      </c>
      <c r="E834" s="4" t="s">
        <v>22</v>
      </c>
      <c r="F834" s="4" t="s">
        <v>4649</v>
      </c>
      <c r="G834" s="4" t="s">
        <v>4650</v>
      </c>
      <c r="H834" s="3" t="s">
        <v>25</v>
      </c>
      <c r="I834" s="3" t="s">
        <v>4651</v>
      </c>
      <c r="J834" s="3" t="s">
        <v>933</v>
      </c>
      <c r="K834" s="3" t="s">
        <v>4652</v>
      </c>
      <c r="L834" s="3" t="s">
        <v>4653</v>
      </c>
      <c r="M834" s="4"/>
      <c r="N834" s="3" t="s">
        <v>37</v>
      </c>
      <c r="O834" s="3" t="s">
        <v>52</v>
      </c>
      <c r="P834" s="5">
        <v>0</v>
      </c>
      <c r="Q834" s="5">
        <v>12</v>
      </c>
      <c r="R834" s="5">
        <v>0</v>
      </c>
      <c r="S834" s="5">
        <v>9</v>
      </c>
    </row>
    <row r="835" spans="1:19" ht="28" x14ac:dyDescent="0.15">
      <c r="A835" s="2">
        <f>HYPERLINK("https://open-school.uspishnemisto.com.ua/school/50844/", 50844)</f>
        <v>50844</v>
      </c>
      <c r="B835" s="3" t="s">
        <v>4654</v>
      </c>
      <c r="C835" s="3" t="s">
        <v>31</v>
      </c>
      <c r="D835" s="3" t="s">
        <v>175</v>
      </c>
      <c r="E835" s="4" t="s">
        <v>22</v>
      </c>
      <c r="F835" s="4" t="s">
        <v>4655</v>
      </c>
      <c r="G835" s="4" t="s">
        <v>4656</v>
      </c>
      <c r="H835" s="3" t="s">
        <v>25</v>
      </c>
      <c r="I835" s="3" t="s">
        <v>4657</v>
      </c>
      <c r="J835" s="3" t="s">
        <v>4658</v>
      </c>
      <c r="K835" s="3" t="s">
        <v>4659</v>
      </c>
      <c r="L835" s="3"/>
      <c r="M835" s="4"/>
      <c r="N835" s="3" t="s">
        <v>37</v>
      </c>
      <c r="O835" s="3" t="s">
        <v>52</v>
      </c>
      <c r="P835" s="5">
        <v>9</v>
      </c>
      <c r="Q835" s="5">
        <v>71</v>
      </c>
      <c r="R835" s="5"/>
      <c r="S835" s="5"/>
    </row>
    <row r="836" spans="1:19" ht="28" x14ac:dyDescent="0.15">
      <c r="A836" s="2">
        <f>HYPERLINK("https://open-school.uspishnemisto.com.ua/school/50845/", 50845)</f>
        <v>50845</v>
      </c>
      <c r="B836" s="3" t="s">
        <v>4660</v>
      </c>
      <c r="C836" s="3" t="s">
        <v>31</v>
      </c>
      <c r="D836" s="3" t="s">
        <v>32</v>
      </c>
      <c r="E836" s="4" t="s">
        <v>22</v>
      </c>
      <c r="F836" s="4" t="s">
        <v>4661</v>
      </c>
      <c r="G836" s="4" t="s">
        <v>4662</v>
      </c>
      <c r="H836" s="3" t="s">
        <v>25</v>
      </c>
      <c r="I836" s="3" t="s">
        <v>4663</v>
      </c>
      <c r="J836" s="3" t="s">
        <v>4664</v>
      </c>
      <c r="K836" s="3" t="s">
        <v>4665</v>
      </c>
      <c r="L836" s="3"/>
      <c r="M836" s="4"/>
      <c r="N836" s="3" t="s">
        <v>37</v>
      </c>
      <c r="O836" s="3" t="s">
        <v>38</v>
      </c>
      <c r="P836" s="5">
        <v>12</v>
      </c>
      <c r="Q836" s="5">
        <v>206</v>
      </c>
      <c r="R836" s="5">
        <v>12</v>
      </c>
      <c r="S836" s="5">
        <v>202</v>
      </c>
    </row>
    <row r="837" spans="1:19" ht="28" x14ac:dyDescent="0.15">
      <c r="A837" s="2">
        <f>HYPERLINK("https://open-school.uspishnemisto.com.ua/school/50846/", 50846)</f>
        <v>50846</v>
      </c>
      <c r="B837" s="3" t="s">
        <v>4666</v>
      </c>
      <c r="C837" s="3" t="s">
        <v>181</v>
      </c>
      <c r="D837" s="3" t="s">
        <v>175</v>
      </c>
      <c r="E837" s="4" t="s">
        <v>22</v>
      </c>
      <c r="F837" s="4" t="s">
        <v>4667</v>
      </c>
      <c r="G837" s="4" t="s">
        <v>4668</v>
      </c>
      <c r="H837" s="3" t="s">
        <v>25</v>
      </c>
      <c r="I837" s="3" t="s">
        <v>4669</v>
      </c>
      <c r="J837" s="3" t="s">
        <v>356</v>
      </c>
      <c r="K837" s="3"/>
      <c r="L837" s="3"/>
      <c r="M837" s="4" t="s">
        <v>4670</v>
      </c>
      <c r="N837" s="3" t="s">
        <v>37</v>
      </c>
      <c r="O837" s="3"/>
      <c r="P837" s="5">
        <v>10</v>
      </c>
      <c r="Q837" s="5">
        <v>84</v>
      </c>
      <c r="R837" s="5">
        <v>10</v>
      </c>
      <c r="S837" s="5">
        <v>82</v>
      </c>
    </row>
    <row r="838" spans="1:19" ht="42" x14ac:dyDescent="0.15">
      <c r="A838" s="2">
        <f>HYPERLINK("https://open-school.uspishnemisto.com.ua/school/50847/", 50847)</f>
        <v>50847</v>
      </c>
      <c r="B838" s="3" t="s">
        <v>4671</v>
      </c>
      <c r="C838" s="3" t="s">
        <v>54</v>
      </c>
      <c r="D838" s="3" t="s">
        <v>175</v>
      </c>
      <c r="E838" s="4" t="s">
        <v>22</v>
      </c>
      <c r="F838" s="4" t="s">
        <v>4667</v>
      </c>
      <c r="G838" s="4" t="s">
        <v>4668</v>
      </c>
      <c r="H838" s="3" t="s">
        <v>25</v>
      </c>
      <c r="I838" s="3" t="s">
        <v>4669</v>
      </c>
      <c r="J838" s="3" t="s">
        <v>946</v>
      </c>
      <c r="K838" s="3" t="s">
        <v>4672</v>
      </c>
      <c r="L838" s="3" t="s">
        <v>4673</v>
      </c>
      <c r="M838" s="4"/>
      <c r="N838" s="3" t="s">
        <v>37</v>
      </c>
      <c r="O838" s="3" t="s">
        <v>38</v>
      </c>
      <c r="P838" s="5">
        <v>7</v>
      </c>
      <c r="Q838" s="5">
        <v>46</v>
      </c>
      <c r="R838" s="5">
        <v>7</v>
      </c>
      <c r="S838" s="5">
        <v>47</v>
      </c>
    </row>
    <row r="839" spans="1:19" ht="28" x14ac:dyDescent="0.15">
      <c r="A839" s="2">
        <f>HYPERLINK("https://open-school.uspishnemisto.com.ua/school/50848/", 50848)</f>
        <v>50848</v>
      </c>
      <c r="B839" s="3" t="s">
        <v>4674</v>
      </c>
      <c r="C839" s="3" t="s">
        <v>31</v>
      </c>
      <c r="D839" s="3" t="s">
        <v>175</v>
      </c>
      <c r="E839" s="4" t="s">
        <v>22</v>
      </c>
      <c r="F839" s="4" t="s">
        <v>4675</v>
      </c>
      <c r="G839" s="4" t="s">
        <v>4676</v>
      </c>
      <c r="H839" s="3" t="s">
        <v>25</v>
      </c>
      <c r="I839" s="3" t="s">
        <v>4677</v>
      </c>
      <c r="J839" s="3" t="s">
        <v>4678</v>
      </c>
      <c r="K839" s="3" t="s">
        <v>4679</v>
      </c>
      <c r="L839" s="3"/>
      <c r="M839" s="4"/>
      <c r="N839" s="3" t="s">
        <v>37</v>
      </c>
      <c r="O839" s="3" t="s">
        <v>38</v>
      </c>
      <c r="P839" s="5">
        <v>9</v>
      </c>
      <c r="Q839" s="5">
        <v>65</v>
      </c>
      <c r="R839" s="5">
        <v>9</v>
      </c>
      <c r="S839" s="5">
        <v>70</v>
      </c>
    </row>
    <row r="840" spans="1:19" ht="56" x14ac:dyDescent="0.15">
      <c r="A840" s="2">
        <f>HYPERLINK("https://open-school.uspishnemisto.com.ua/school/50849/", 50849)</f>
        <v>50849</v>
      </c>
      <c r="B840" s="3" t="s">
        <v>4680</v>
      </c>
      <c r="C840" s="3" t="s">
        <v>54</v>
      </c>
      <c r="D840" s="3" t="s">
        <v>32</v>
      </c>
      <c r="E840" s="4" t="s">
        <v>22</v>
      </c>
      <c r="F840" s="4" t="s">
        <v>4681</v>
      </c>
      <c r="G840" s="4" t="s">
        <v>4682</v>
      </c>
      <c r="H840" s="3" t="s">
        <v>25</v>
      </c>
      <c r="I840" s="3" t="s">
        <v>4683</v>
      </c>
      <c r="J840" s="3" t="s">
        <v>4684</v>
      </c>
      <c r="K840" s="3" t="s">
        <v>4685</v>
      </c>
      <c r="L840" s="3"/>
      <c r="M840" s="4"/>
      <c r="N840" s="3" t="s">
        <v>37</v>
      </c>
      <c r="O840" s="3" t="s">
        <v>38</v>
      </c>
      <c r="P840" s="5">
        <v>10</v>
      </c>
      <c r="Q840" s="5">
        <v>82</v>
      </c>
      <c r="R840" s="5">
        <v>11</v>
      </c>
      <c r="S840" s="5">
        <v>86</v>
      </c>
    </row>
    <row r="841" spans="1:19" ht="28" x14ac:dyDescent="0.15">
      <c r="A841" s="2">
        <f>HYPERLINK("https://open-school.uspishnemisto.com.ua/school/50850/", 50850)</f>
        <v>50850</v>
      </c>
      <c r="B841" s="3" t="s">
        <v>4686</v>
      </c>
      <c r="C841" s="3" t="s">
        <v>31</v>
      </c>
      <c r="D841" s="3" t="s">
        <v>32</v>
      </c>
      <c r="E841" s="4" t="s">
        <v>22</v>
      </c>
      <c r="F841" s="4" t="s">
        <v>4687</v>
      </c>
      <c r="G841" s="4" t="s">
        <v>4688</v>
      </c>
      <c r="H841" s="3" t="s">
        <v>25</v>
      </c>
      <c r="I841" s="3" t="s">
        <v>4689</v>
      </c>
      <c r="J841" s="3" t="s">
        <v>4690</v>
      </c>
      <c r="K841" s="3" t="s">
        <v>4691</v>
      </c>
      <c r="L841" s="3" t="s">
        <v>4692</v>
      </c>
      <c r="M841" s="4"/>
      <c r="N841" s="3" t="s">
        <v>37</v>
      </c>
      <c r="O841" s="3" t="s">
        <v>52</v>
      </c>
      <c r="P841" s="5">
        <v>11</v>
      </c>
      <c r="Q841" s="5">
        <v>171</v>
      </c>
      <c r="R841" s="5">
        <v>11</v>
      </c>
      <c r="S841" s="5">
        <v>175</v>
      </c>
    </row>
    <row r="842" spans="1:19" ht="42" x14ac:dyDescent="0.15">
      <c r="A842" s="2">
        <f>HYPERLINK("https://open-school.uspishnemisto.com.ua/school/50851/", 50851)</f>
        <v>50851</v>
      </c>
      <c r="B842" s="3" t="s">
        <v>4693</v>
      </c>
      <c r="C842" s="3" t="s">
        <v>54</v>
      </c>
      <c r="D842" s="3" t="s">
        <v>175</v>
      </c>
      <c r="E842" s="4" t="s">
        <v>22</v>
      </c>
      <c r="F842" s="4" t="s">
        <v>4694</v>
      </c>
      <c r="G842" s="4" t="s">
        <v>4695</v>
      </c>
      <c r="H842" s="3" t="s">
        <v>25</v>
      </c>
      <c r="I842" s="3" t="s">
        <v>4696</v>
      </c>
      <c r="J842" s="3" t="s">
        <v>2532</v>
      </c>
      <c r="K842" s="3" t="s">
        <v>4697</v>
      </c>
      <c r="L842" s="3"/>
      <c r="M842" s="4"/>
      <c r="N842" s="3" t="s">
        <v>37</v>
      </c>
      <c r="O842" s="3" t="s">
        <v>618</v>
      </c>
      <c r="P842" s="5">
        <v>6</v>
      </c>
      <c r="Q842" s="5">
        <v>41</v>
      </c>
      <c r="R842" s="5">
        <v>6</v>
      </c>
      <c r="S842" s="5">
        <v>41</v>
      </c>
    </row>
    <row r="843" spans="1:19" ht="28" x14ac:dyDescent="0.15">
      <c r="A843" s="2">
        <f>HYPERLINK("https://open-school.uspishnemisto.com.ua/school/50852/", 50852)</f>
        <v>50852</v>
      </c>
      <c r="B843" s="3" t="s">
        <v>4698</v>
      </c>
      <c r="C843" s="3" t="s">
        <v>31</v>
      </c>
      <c r="D843" s="3" t="s">
        <v>32</v>
      </c>
      <c r="E843" s="4" t="s">
        <v>22</v>
      </c>
      <c r="F843" s="4" t="s">
        <v>4699</v>
      </c>
      <c r="G843" s="4" t="s">
        <v>4700</v>
      </c>
      <c r="H843" s="3" t="s">
        <v>25</v>
      </c>
      <c r="I843" s="3" t="s">
        <v>4701</v>
      </c>
      <c r="J843" s="3" t="s">
        <v>4702</v>
      </c>
      <c r="K843" s="3" t="s">
        <v>4703</v>
      </c>
      <c r="L843" s="3" t="s">
        <v>4704</v>
      </c>
      <c r="M843" s="4"/>
      <c r="N843" s="3" t="s">
        <v>37</v>
      </c>
      <c r="O843" s="3" t="s">
        <v>38</v>
      </c>
      <c r="P843" s="5">
        <v>10</v>
      </c>
      <c r="Q843" s="5">
        <v>115</v>
      </c>
      <c r="R843" s="5">
        <v>10</v>
      </c>
      <c r="S843" s="5">
        <v>116</v>
      </c>
    </row>
    <row r="844" spans="1:19" ht="28" x14ac:dyDescent="0.15">
      <c r="A844" s="2">
        <f>HYPERLINK("https://open-school.uspishnemisto.com.ua/school/50853/", 50853)</f>
        <v>50853</v>
      </c>
      <c r="B844" s="3" t="s">
        <v>4705</v>
      </c>
      <c r="C844" s="3" t="s">
        <v>31</v>
      </c>
      <c r="D844" s="3" t="s">
        <v>32</v>
      </c>
      <c r="E844" s="4" t="s">
        <v>22</v>
      </c>
      <c r="F844" s="4" t="s">
        <v>4706</v>
      </c>
      <c r="G844" s="4" t="s">
        <v>4707</v>
      </c>
      <c r="H844" s="3" t="s">
        <v>25</v>
      </c>
      <c r="I844" s="3" t="s">
        <v>4708</v>
      </c>
      <c r="J844" s="3" t="s">
        <v>785</v>
      </c>
      <c r="K844" s="3" t="s">
        <v>4709</v>
      </c>
      <c r="L844" s="3"/>
      <c r="M844" s="4" t="s">
        <v>4710</v>
      </c>
      <c r="N844" s="3" t="s">
        <v>37</v>
      </c>
      <c r="O844" s="3" t="s">
        <v>38</v>
      </c>
      <c r="P844" s="5">
        <v>19</v>
      </c>
      <c r="Q844" s="5">
        <v>390</v>
      </c>
      <c r="R844" s="5">
        <v>18</v>
      </c>
      <c r="S844" s="5">
        <v>379</v>
      </c>
    </row>
    <row r="845" spans="1:19" ht="28" x14ac:dyDescent="0.15">
      <c r="A845" s="2">
        <f>HYPERLINK("https://open-school.uspishnemisto.com.ua/school/50854/", 50854)</f>
        <v>50854</v>
      </c>
      <c r="B845" s="3" t="s">
        <v>4711</v>
      </c>
      <c r="C845" s="3" t="s">
        <v>31</v>
      </c>
      <c r="D845" s="3" t="s">
        <v>32</v>
      </c>
      <c r="E845" s="4" t="s">
        <v>22</v>
      </c>
      <c r="F845" s="4" t="s">
        <v>4706</v>
      </c>
      <c r="G845" s="4" t="s">
        <v>4707</v>
      </c>
      <c r="H845" s="3" t="s">
        <v>25</v>
      </c>
      <c r="I845" s="3" t="s">
        <v>4708</v>
      </c>
      <c r="J845" s="3" t="s">
        <v>4712</v>
      </c>
      <c r="K845" s="3" t="s">
        <v>4713</v>
      </c>
      <c r="L845" s="3" t="s">
        <v>4714</v>
      </c>
      <c r="M845" s="4" t="s">
        <v>4715</v>
      </c>
      <c r="N845" s="3" t="s">
        <v>37</v>
      </c>
      <c r="O845" s="3" t="s">
        <v>70</v>
      </c>
      <c r="P845" s="5">
        <v>21</v>
      </c>
      <c r="Q845" s="5">
        <v>462</v>
      </c>
      <c r="R845" s="5">
        <v>22</v>
      </c>
      <c r="S845" s="5">
        <v>470</v>
      </c>
    </row>
    <row r="846" spans="1:19" ht="28" x14ac:dyDescent="0.15">
      <c r="A846" s="2">
        <f>HYPERLINK("https://open-school.uspishnemisto.com.ua/school/50855/", 50855)</f>
        <v>50855</v>
      </c>
      <c r="B846" s="3" t="s">
        <v>4716</v>
      </c>
      <c r="C846" s="3" t="s">
        <v>54</v>
      </c>
      <c r="D846" s="3" t="s">
        <v>32</v>
      </c>
      <c r="E846" s="4" t="s">
        <v>22</v>
      </c>
      <c r="F846" s="4" t="s">
        <v>4706</v>
      </c>
      <c r="G846" s="4" t="s">
        <v>4707</v>
      </c>
      <c r="H846" s="3" t="s">
        <v>25</v>
      </c>
      <c r="I846" s="3" t="s">
        <v>4708</v>
      </c>
      <c r="J846" s="3" t="s">
        <v>4717</v>
      </c>
      <c r="K846" s="3"/>
      <c r="L846" s="3" t="s">
        <v>4718</v>
      </c>
      <c r="M846" s="4"/>
      <c r="N846" s="3" t="s">
        <v>37</v>
      </c>
      <c r="O846" s="3" t="s">
        <v>129</v>
      </c>
      <c r="P846" s="5">
        <v>21</v>
      </c>
      <c r="Q846" s="5">
        <v>400</v>
      </c>
      <c r="R846" s="5">
        <v>21</v>
      </c>
      <c r="S846" s="5">
        <v>401</v>
      </c>
    </row>
    <row r="847" spans="1:19" ht="42" x14ac:dyDescent="0.15">
      <c r="A847" s="2">
        <f>HYPERLINK("https://open-school.uspishnemisto.com.ua/school/50856/", 50856)</f>
        <v>50856</v>
      </c>
      <c r="B847" s="3" t="s">
        <v>4719</v>
      </c>
      <c r="C847" s="3" t="s">
        <v>54</v>
      </c>
      <c r="D847" s="3" t="s">
        <v>175</v>
      </c>
      <c r="E847" s="4" t="s">
        <v>22</v>
      </c>
      <c r="F847" s="4" t="s">
        <v>4720</v>
      </c>
      <c r="G847" s="4" t="s">
        <v>4721</v>
      </c>
      <c r="H847" s="3" t="s">
        <v>25</v>
      </c>
      <c r="I847" s="3" t="s">
        <v>4722</v>
      </c>
      <c r="J847" s="3" t="s">
        <v>554</v>
      </c>
      <c r="K847" s="3" t="s">
        <v>4723</v>
      </c>
      <c r="L847" s="3"/>
      <c r="M847" s="4"/>
      <c r="N847" s="3" t="s">
        <v>37</v>
      </c>
      <c r="O847" s="3" t="s">
        <v>38</v>
      </c>
      <c r="P847" s="5">
        <v>9</v>
      </c>
      <c r="Q847" s="5">
        <v>82</v>
      </c>
      <c r="R847" s="5">
        <v>9</v>
      </c>
      <c r="S847" s="5">
        <v>80</v>
      </c>
    </row>
    <row r="848" spans="1:19" ht="28" x14ac:dyDescent="0.15">
      <c r="A848" s="2">
        <f>HYPERLINK("https://open-school.uspishnemisto.com.ua/school/50857/", 50857)</f>
        <v>50857</v>
      </c>
      <c r="B848" s="3" t="s">
        <v>4724</v>
      </c>
      <c r="C848" s="3" t="s">
        <v>31</v>
      </c>
      <c r="D848" s="3" t="s">
        <v>32</v>
      </c>
      <c r="E848" s="4" t="s">
        <v>22</v>
      </c>
      <c r="F848" s="4" t="s">
        <v>4725</v>
      </c>
      <c r="G848" s="4" t="s">
        <v>4726</v>
      </c>
      <c r="H848" s="3" t="s">
        <v>25</v>
      </c>
      <c r="I848" s="3" t="s">
        <v>4727</v>
      </c>
      <c r="J848" s="3" t="s">
        <v>4728</v>
      </c>
      <c r="K848" s="3" t="s">
        <v>4729</v>
      </c>
      <c r="L848" s="3"/>
      <c r="M848" s="4"/>
      <c r="N848" s="3" t="s">
        <v>37</v>
      </c>
      <c r="O848" s="3" t="s">
        <v>52</v>
      </c>
      <c r="P848" s="5">
        <v>11</v>
      </c>
      <c r="Q848" s="5">
        <v>93</v>
      </c>
      <c r="R848" s="5">
        <v>11</v>
      </c>
      <c r="S848" s="5">
        <v>105</v>
      </c>
    </row>
    <row r="849" spans="1:19" ht="28" x14ac:dyDescent="0.15">
      <c r="A849" s="2">
        <f>HYPERLINK("https://open-school.uspishnemisto.com.ua/school/50858/", 50858)</f>
        <v>50858</v>
      </c>
      <c r="B849" s="3" t="s">
        <v>4730</v>
      </c>
      <c r="C849" s="3" t="s">
        <v>31</v>
      </c>
      <c r="D849" s="3" t="s">
        <v>32</v>
      </c>
      <c r="E849" s="4" t="s">
        <v>22</v>
      </c>
      <c r="F849" s="4" t="s">
        <v>4731</v>
      </c>
      <c r="G849" s="4" t="s">
        <v>4732</v>
      </c>
      <c r="H849" s="3" t="s">
        <v>25</v>
      </c>
      <c r="I849" s="3" t="s">
        <v>4733</v>
      </c>
      <c r="J849" s="3" t="s">
        <v>4734</v>
      </c>
      <c r="K849" s="3" t="s">
        <v>4735</v>
      </c>
      <c r="L849" s="3"/>
      <c r="M849" s="4"/>
      <c r="N849" s="3" t="s">
        <v>37</v>
      </c>
      <c r="O849" s="3" t="s">
        <v>52</v>
      </c>
      <c r="P849" s="5">
        <v>11</v>
      </c>
      <c r="Q849" s="5">
        <v>208</v>
      </c>
      <c r="R849" s="5">
        <v>11</v>
      </c>
      <c r="S849" s="5">
        <v>203</v>
      </c>
    </row>
    <row r="850" spans="1:19" ht="28" x14ac:dyDescent="0.15">
      <c r="A850" s="2">
        <f>HYPERLINK("https://open-school.uspishnemisto.com.ua/school/50859/", 50859)</f>
        <v>50859</v>
      </c>
      <c r="B850" s="3" t="s">
        <v>4736</v>
      </c>
      <c r="C850" s="3" t="s">
        <v>31</v>
      </c>
      <c r="D850" s="3" t="s">
        <v>32</v>
      </c>
      <c r="E850" s="4" t="s">
        <v>22</v>
      </c>
      <c r="F850" s="4" t="s">
        <v>4737</v>
      </c>
      <c r="G850" s="4" t="s">
        <v>4738</v>
      </c>
      <c r="H850" s="3" t="s">
        <v>25</v>
      </c>
      <c r="I850" s="3" t="s">
        <v>4739</v>
      </c>
      <c r="J850" s="3" t="s">
        <v>4740</v>
      </c>
      <c r="K850" s="3" t="s">
        <v>4741</v>
      </c>
      <c r="L850" s="3" t="s">
        <v>4742</v>
      </c>
      <c r="M850" s="4"/>
      <c r="N850" s="3" t="s">
        <v>37</v>
      </c>
      <c r="O850" s="3" t="s">
        <v>52</v>
      </c>
      <c r="P850" s="5">
        <v>11</v>
      </c>
      <c r="Q850" s="5">
        <v>184</v>
      </c>
      <c r="R850" s="5">
        <v>11</v>
      </c>
      <c r="S850" s="5">
        <v>179</v>
      </c>
    </row>
    <row r="851" spans="1:19" ht="28" x14ac:dyDescent="0.15">
      <c r="A851" s="2">
        <f>HYPERLINK("https://open-school.uspishnemisto.com.ua/school/50860/", 50860)</f>
        <v>50860</v>
      </c>
      <c r="B851" s="3" t="s">
        <v>4743</v>
      </c>
      <c r="C851" s="3" t="s">
        <v>31</v>
      </c>
      <c r="D851" s="3" t="s">
        <v>32</v>
      </c>
      <c r="E851" s="4" t="s">
        <v>22</v>
      </c>
      <c r="F851" s="4" t="s">
        <v>4744</v>
      </c>
      <c r="G851" s="4" t="s">
        <v>4745</v>
      </c>
      <c r="H851" s="3" t="s">
        <v>25</v>
      </c>
      <c r="I851" s="3" t="s">
        <v>4746</v>
      </c>
      <c r="J851" s="3" t="s">
        <v>4747</v>
      </c>
      <c r="K851" s="3" t="s">
        <v>4748</v>
      </c>
      <c r="L851" s="3"/>
      <c r="M851" s="4"/>
      <c r="N851" s="3" t="s">
        <v>37</v>
      </c>
      <c r="O851" s="3" t="s">
        <v>38</v>
      </c>
      <c r="P851" s="5">
        <v>14</v>
      </c>
      <c r="Q851" s="5">
        <v>273</v>
      </c>
      <c r="R851" s="5">
        <v>14</v>
      </c>
      <c r="S851" s="5">
        <v>281</v>
      </c>
    </row>
    <row r="852" spans="1:19" ht="42" x14ac:dyDescent="0.15">
      <c r="A852" s="2">
        <f>HYPERLINK("https://open-school.uspishnemisto.com.ua/school/50861/", 50861)</f>
        <v>50861</v>
      </c>
      <c r="B852" s="3" t="s">
        <v>4749</v>
      </c>
      <c r="C852" s="3" t="s">
        <v>31</v>
      </c>
      <c r="D852" s="3" t="s">
        <v>32</v>
      </c>
      <c r="E852" s="4" t="s">
        <v>22</v>
      </c>
      <c r="F852" s="4" t="s">
        <v>4750</v>
      </c>
      <c r="G852" s="4" t="s">
        <v>4751</v>
      </c>
      <c r="H852" s="3" t="s">
        <v>25</v>
      </c>
      <c r="I852" s="3" t="s">
        <v>4525</v>
      </c>
      <c r="J852" s="3" t="s">
        <v>4752</v>
      </c>
      <c r="K852" s="3" t="s">
        <v>4753</v>
      </c>
      <c r="L852" s="3" t="s">
        <v>4754</v>
      </c>
      <c r="M852" s="4"/>
      <c r="N852" s="3" t="s">
        <v>37</v>
      </c>
      <c r="O852" s="3" t="s">
        <v>2740</v>
      </c>
      <c r="P852" s="5">
        <v>11</v>
      </c>
      <c r="Q852" s="5">
        <v>137</v>
      </c>
      <c r="R852" s="5">
        <v>11</v>
      </c>
      <c r="S852" s="5">
        <v>139</v>
      </c>
    </row>
    <row r="853" spans="1:19" ht="28" x14ac:dyDescent="0.15">
      <c r="A853" s="2">
        <f>HYPERLINK("https://open-school.uspishnemisto.com.ua/school/50862/", 50862)</f>
        <v>50862</v>
      </c>
      <c r="B853" s="3" t="s">
        <v>4755</v>
      </c>
      <c r="C853" s="3" t="s">
        <v>31</v>
      </c>
      <c r="D853" s="3" t="s">
        <v>32</v>
      </c>
      <c r="E853" s="4" t="s">
        <v>22</v>
      </c>
      <c r="F853" s="4" t="s">
        <v>4756</v>
      </c>
      <c r="G853" s="4" t="s">
        <v>4757</v>
      </c>
      <c r="H853" s="3" t="s">
        <v>25</v>
      </c>
      <c r="I853" s="3" t="s">
        <v>4758</v>
      </c>
      <c r="J853" s="3" t="s">
        <v>4759</v>
      </c>
      <c r="K853" s="3" t="s">
        <v>4760</v>
      </c>
      <c r="L853" s="3" t="s">
        <v>4761</v>
      </c>
      <c r="M853" s="4"/>
      <c r="N853" s="3" t="s">
        <v>37</v>
      </c>
      <c r="O853" s="3" t="s">
        <v>52</v>
      </c>
      <c r="P853" s="5">
        <v>11</v>
      </c>
      <c r="Q853" s="5">
        <v>115</v>
      </c>
      <c r="R853" s="5">
        <v>11</v>
      </c>
      <c r="S853" s="5">
        <v>116</v>
      </c>
    </row>
    <row r="854" spans="1:19" ht="28" x14ac:dyDescent="0.15">
      <c r="A854" s="2">
        <f>HYPERLINK("https://open-school.uspishnemisto.com.ua/school/50863/", 50863)</f>
        <v>50863</v>
      </c>
      <c r="B854" s="3" t="s">
        <v>4762</v>
      </c>
      <c r="C854" s="3" t="s">
        <v>31</v>
      </c>
      <c r="D854" s="3" t="s">
        <v>32</v>
      </c>
      <c r="E854" s="4" t="s">
        <v>22</v>
      </c>
      <c r="F854" s="4" t="s">
        <v>4763</v>
      </c>
      <c r="G854" s="4" t="s">
        <v>4764</v>
      </c>
      <c r="H854" s="3" t="s">
        <v>25</v>
      </c>
      <c r="I854" s="3" t="s">
        <v>4765</v>
      </c>
      <c r="J854" s="3" t="s">
        <v>4766</v>
      </c>
      <c r="K854" s="3" t="s">
        <v>4767</v>
      </c>
      <c r="L854" s="3"/>
      <c r="M854" s="4"/>
      <c r="N854" s="3" t="s">
        <v>37</v>
      </c>
      <c r="O854" s="3" t="s">
        <v>38</v>
      </c>
      <c r="P854" s="5">
        <v>13</v>
      </c>
      <c r="Q854" s="5">
        <v>248</v>
      </c>
      <c r="R854" s="5">
        <v>13</v>
      </c>
      <c r="S854" s="5">
        <v>248</v>
      </c>
    </row>
    <row r="855" spans="1:19" ht="42" x14ac:dyDescent="0.15">
      <c r="A855" s="2">
        <f>HYPERLINK("https://open-school.uspishnemisto.com.ua/school/50864/", 50864)</f>
        <v>50864</v>
      </c>
      <c r="B855" s="3" t="s">
        <v>4768</v>
      </c>
      <c r="C855" s="3" t="s">
        <v>54</v>
      </c>
      <c r="D855" s="3" t="s">
        <v>32</v>
      </c>
      <c r="E855" s="4" t="s">
        <v>22</v>
      </c>
      <c r="F855" s="4" t="s">
        <v>4769</v>
      </c>
      <c r="G855" s="4" t="s">
        <v>4770</v>
      </c>
      <c r="H855" s="3" t="s">
        <v>25</v>
      </c>
      <c r="I855" s="3" t="s">
        <v>688</v>
      </c>
      <c r="J855" s="3" t="s">
        <v>3472</v>
      </c>
      <c r="K855" s="3"/>
      <c r="L855" s="3"/>
      <c r="M855" s="4"/>
      <c r="N855" s="3" t="s">
        <v>37</v>
      </c>
      <c r="O855" s="3" t="s">
        <v>52</v>
      </c>
      <c r="P855" s="5">
        <v>9</v>
      </c>
      <c r="Q855" s="5">
        <v>75</v>
      </c>
      <c r="R855" s="5">
        <v>9</v>
      </c>
      <c r="S855" s="5">
        <v>75</v>
      </c>
    </row>
    <row r="856" spans="1:19" ht="28" x14ac:dyDescent="0.15">
      <c r="A856" s="2">
        <f>HYPERLINK("https://open-school.uspishnemisto.com.ua/school/50865/", 50865)</f>
        <v>50865</v>
      </c>
      <c r="B856" s="3" t="s">
        <v>4771</v>
      </c>
      <c r="C856" s="3" t="s">
        <v>31</v>
      </c>
      <c r="D856" s="3" t="s">
        <v>32</v>
      </c>
      <c r="E856" s="4" t="s">
        <v>22</v>
      </c>
      <c r="F856" s="4" t="s">
        <v>4772</v>
      </c>
      <c r="G856" s="4" t="s">
        <v>4773</v>
      </c>
      <c r="H856" s="3" t="s">
        <v>25</v>
      </c>
      <c r="I856" s="3" t="s">
        <v>4774</v>
      </c>
      <c r="J856" s="3" t="s">
        <v>4775</v>
      </c>
      <c r="K856" s="3" t="s">
        <v>4776</v>
      </c>
      <c r="L856" s="3"/>
      <c r="M856" s="4"/>
      <c r="N856" s="3" t="s">
        <v>37</v>
      </c>
      <c r="O856" s="3" t="s">
        <v>52</v>
      </c>
      <c r="P856" s="5">
        <v>11</v>
      </c>
      <c r="Q856" s="5">
        <v>90</v>
      </c>
      <c r="R856" s="5">
        <v>11</v>
      </c>
      <c r="S856" s="5">
        <v>100</v>
      </c>
    </row>
    <row r="857" spans="1:19" ht="28" x14ac:dyDescent="0.15">
      <c r="A857" s="2">
        <f>HYPERLINK("https://open-school.uspishnemisto.com.ua/school/50866/", 50866)</f>
        <v>50866</v>
      </c>
      <c r="B857" s="3" t="s">
        <v>4777</v>
      </c>
      <c r="C857" s="3" t="s">
        <v>31</v>
      </c>
      <c r="D857" s="3" t="s">
        <v>32</v>
      </c>
      <c r="E857" s="4" t="s">
        <v>22</v>
      </c>
      <c r="F857" s="4" t="s">
        <v>4778</v>
      </c>
      <c r="G857" s="4" t="s">
        <v>4779</v>
      </c>
      <c r="H857" s="3" t="s">
        <v>25</v>
      </c>
      <c r="I857" s="3" t="s">
        <v>987</v>
      </c>
      <c r="J857" s="3" t="s">
        <v>1001</v>
      </c>
      <c r="K857" s="3" t="s">
        <v>4780</v>
      </c>
      <c r="L857" s="3"/>
      <c r="M857" s="4"/>
      <c r="N857" s="3" t="s">
        <v>37</v>
      </c>
      <c r="O857" s="3" t="s">
        <v>52</v>
      </c>
      <c r="P857" s="5">
        <v>11</v>
      </c>
      <c r="Q857" s="5">
        <v>99</v>
      </c>
      <c r="R857" s="5">
        <v>11</v>
      </c>
      <c r="S857" s="5">
        <v>101</v>
      </c>
    </row>
    <row r="858" spans="1:19" ht="28" x14ac:dyDescent="0.15">
      <c r="A858" s="2">
        <f>HYPERLINK("https://open-school.uspishnemisto.com.ua/school/50867/", 50867)</f>
        <v>50867</v>
      </c>
      <c r="B858" s="3" t="s">
        <v>4781</v>
      </c>
      <c r="C858" s="3" t="s">
        <v>31</v>
      </c>
      <c r="D858" s="3" t="s">
        <v>32</v>
      </c>
      <c r="E858" s="4" t="s">
        <v>22</v>
      </c>
      <c r="F858" s="4" t="s">
        <v>4782</v>
      </c>
      <c r="G858" s="4" t="s">
        <v>4783</v>
      </c>
      <c r="H858" s="3" t="s">
        <v>25</v>
      </c>
      <c r="I858" s="3" t="s">
        <v>4784</v>
      </c>
      <c r="J858" s="3" t="s">
        <v>4785</v>
      </c>
      <c r="K858" s="3" t="s">
        <v>4786</v>
      </c>
      <c r="L858" s="3"/>
      <c r="M858" s="4" t="s">
        <v>4787</v>
      </c>
      <c r="N858" s="3" t="s">
        <v>37</v>
      </c>
      <c r="O858" s="3" t="s">
        <v>38</v>
      </c>
      <c r="P858" s="5">
        <v>11</v>
      </c>
      <c r="Q858" s="5">
        <v>85</v>
      </c>
      <c r="R858" s="5">
        <v>11</v>
      </c>
      <c r="S858" s="5">
        <v>95</v>
      </c>
    </row>
    <row r="859" spans="1:19" ht="28" x14ac:dyDescent="0.15">
      <c r="A859" s="2">
        <f>HYPERLINK("https://open-school.uspishnemisto.com.ua/school/50868/", 50868)</f>
        <v>50868</v>
      </c>
      <c r="B859" s="3" t="s">
        <v>4788</v>
      </c>
      <c r="C859" s="3" t="s">
        <v>54</v>
      </c>
      <c r="D859" s="3" t="s">
        <v>175</v>
      </c>
      <c r="E859" s="4" t="s">
        <v>22</v>
      </c>
      <c r="F859" s="4" t="s">
        <v>4789</v>
      </c>
      <c r="G859" s="4" t="s">
        <v>4790</v>
      </c>
      <c r="H859" s="3" t="s">
        <v>25</v>
      </c>
      <c r="I859" s="3" t="s">
        <v>4791</v>
      </c>
      <c r="J859" s="3" t="s">
        <v>4792</v>
      </c>
      <c r="K859" s="3" t="s">
        <v>4793</v>
      </c>
      <c r="L859" s="3"/>
      <c r="M859" s="4"/>
      <c r="N859" s="3" t="s">
        <v>37</v>
      </c>
      <c r="O859" s="3" t="s">
        <v>52</v>
      </c>
      <c r="P859" s="5">
        <v>2</v>
      </c>
      <c r="Q859" s="5">
        <v>7</v>
      </c>
      <c r="R859" s="5">
        <v>2</v>
      </c>
      <c r="S859" s="5">
        <v>7</v>
      </c>
    </row>
    <row r="860" spans="1:19" ht="28" x14ac:dyDescent="0.15">
      <c r="A860" s="2">
        <f>HYPERLINK("https://open-school.uspishnemisto.com.ua/school/50869/", 50869)</f>
        <v>50869</v>
      </c>
      <c r="B860" s="3" t="s">
        <v>4794</v>
      </c>
      <c r="C860" s="3" t="s">
        <v>54</v>
      </c>
      <c r="D860" s="3" t="s">
        <v>175</v>
      </c>
      <c r="E860" s="4" t="s">
        <v>22</v>
      </c>
      <c r="F860" s="4" t="s">
        <v>4795</v>
      </c>
      <c r="G860" s="4" t="s">
        <v>4796</v>
      </c>
      <c r="H860" s="3" t="s">
        <v>25</v>
      </c>
      <c r="I860" s="3" t="s">
        <v>4797</v>
      </c>
      <c r="J860" s="3" t="s">
        <v>4798</v>
      </c>
      <c r="K860" s="3" t="s">
        <v>4799</v>
      </c>
      <c r="L860" s="3"/>
      <c r="M860" s="4"/>
      <c r="N860" s="3" t="s">
        <v>37</v>
      </c>
      <c r="O860" s="3" t="s">
        <v>52</v>
      </c>
      <c r="P860" s="5">
        <v>6</v>
      </c>
      <c r="Q860" s="5">
        <v>25</v>
      </c>
      <c r="R860" s="5">
        <v>7</v>
      </c>
      <c r="S860" s="5">
        <v>27</v>
      </c>
    </row>
    <row r="861" spans="1:19" ht="42" x14ac:dyDescent="0.15">
      <c r="A861" s="2">
        <f>HYPERLINK("https://open-school.uspishnemisto.com.ua/school/50870/", 50870)</f>
        <v>50870</v>
      </c>
      <c r="B861" s="3" t="s">
        <v>4800</v>
      </c>
      <c r="C861" s="3" t="s">
        <v>54</v>
      </c>
      <c r="D861" s="3" t="s">
        <v>175</v>
      </c>
      <c r="E861" s="4" t="s">
        <v>22</v>
      </c>
      <c r="F861" s="4" t="s">
        <v>4801</v>
      </c>
      <c r="G861" s="4" t="s">
        <v>4802</v>
      </c>
      <c r="H861" s="3" t="s">
        <v>25</v>
      </c>
      <c r="I861" s="3" t="s">
        <v>4803</v>
      </c>
      <c r="J861" s="3" t="s">
        <v>1348</v>
      </c>
      <c r="K861" s="3"/>
      <c r="L861" s="3"/>
      <c r="M861" s="4"/>
      <c r="N861" s="3" t="s">
        <v>37</v>
      </c>
      <c r="O861" s="3" t="s">
        <v>52</v>
      </c>
      <c r="P861" s="5">
        <v>9</v>
      </c>
      <c r="Q861" s="5">
        <v>83</v>
      </c>
      <c r="R861" s="5">
        <v>9</v>
      </c>
      <c r="S861" s="5">
        <v>79</v>
      </c>
    </row>
    <row r="862" spans="1:19" ht="28" x14ac:dyDescent="0.15">
      <c r="A862" s="2">
        <f>HYPERLINK("https://open-school.uspishnemisto.com.ua/school/50871/", 50871)</f>
        <v>50871</v>
      </c>
      <c r="B862" s="3" t="s">
        <v>4804</v>
      </c>
      <c r="C862" s="3" t="s">
        <v>181</v>
      </c>
      <c r="D862" s="3" t="s">
        <v>175</v>
      </c>
      <c r="E862" s="4" t="s">
        <v>22</v>
      </c>
      <c r="F862" s="4" t="s">
        <v>4801</v>
      </c>
      <c r="G862" s="4" t="s">
        <v>4805</v>
      </c>
      <c r="H862" s="3" t="s">
        <v>25</v>
      </c>
      <c r="I862" s="3" t="s">
        <v>4806</v>
      </c>
      <c r="J862" s="3" t="s">
        <v>566</v>
      </c>
      <c r="K862" s="3" t="s">
        <v>4807</v>
      </c>
      <c r="L862" s="3"/>
      <c r="M862" s="4" t="s">
        <v>4808</v>
      </c>
      <c r="N862" s="3" t="s">
        <v>37</v>
      </c>
      <c r="O862" s="3"/>
      <c r="P862" s="5">
        <v>10</v>
      </c>
      <c r="Q862" s="5">
        <v>78</v>
      </c>
      <c r="R862" s="5">
        <v>10</v>
      </c>
      <c r="S862" s="5">
        <v>79</v>
      </c>
    </row>
    <row r="863" spans="1:19" ht="28" x14ac:dyDescent="0.15">
      <c r="A863" s="2">
        <f>HYPERLINK("https://open-school.uspishnemisto.com.ua/school/50872/", 50872)</f>
        <v>50872</v>
      </c>
      <c r="B863" s="3" t="s">
        <v>4809</v>
      </c>
      <c r="C863" s="3" t="s">
        <v>31</v>
      </c>
      <c r="D863" s="3" t="s">
        <v>175</v>
      </c>
      <c r="E863" s="4" t="s">
        <v>22</v>
      </c>
      <c r="F863" s="4" t="s">
        <v>4810</v>
      </c>
      <c r="G863" s="4" t="s">
        <v>4811</v>
      </c>
      <c r="H863" s="3" t="s">
        <v>25</v>
      </c>
      <c r="I863" s="3" t="s">
        <v>1409</v>
      </c>
      <c r="J863" s="3" t="s">
        <v>501</v>
      </c>
      <c r="K863" s="3" t="s">
        <v>4812</v>
      </c>
      <c r="L863" s="3"/>
      <c r="M863" s="4"/>
      <c r="N863" s="3" t="s">
        <v>37</v>
      </c>
      <c r="O863" s="3" t="s">
        <v>52</v>
      </c>
      <c r="P863" s="5">
        <v>8</v>
      </c>
      <c r="Q863" s="5">
        <v>76</v>
      </c>
      <c r="R863" s="5">
        <v>7</v>
      </c>
      <c r="S863" s="5">
        <v>80</v>
      </c>
    </row>
    <row r="864" spans="1:19" ht="28" x14ac:dyDescent="0.15">
      <c r="A864" s="2">
        <f>HYPERLINK("https://open-school.uspishnemisto.com.ua/school/50873/", 50873)</f>
        <v>50873</v>
      </c>
      <c r="B864" s="3" t="s">
        <v>4813</v>
      </c>
      <c r="C864" s="3" t="s">
        <v>31</v>
      </c>
      <c r="D864" s="3" t="s">
        <v>32</v>
      </c>
      <c r="E864" s="4" t="s">
        <v>22</v>
      </c>
      <c r="F864" s="4" t="s">
        <v>4814</v>
      </c>
      <c r="G864" s="4" t="s">
        <v>4815</v>
      </c>
      <c r="H864" s="3" t="s">
        <v>25</v>
      </c>
      <c r="I864" s="3" t="s">
        <v>4816</v>
      </c>
      <c r="J864" s="3" t="s">
        <v>1576</v>
      </c>
      <c r="K864" s="3" t="s">
        <v>4817</v>
      </c>
      <c r="L864" s="3"/>
      <c r="M864" s="4"/>
      <c r="N864" s="3" t="s">
        <v>37</v>
      </c>
      <c r="O864" s="3" t="s">
        <v>618</v>
      </c>
      <c r="P864" s="5">
        <v>11</v>
      </c>
      <c r="Q864" s="5">
        <v>77</v>
      </c>
      <c r="R864" s="5">
        <v>11</v>
      </c>
      <c r="S864" s="5">
        <v>77</v>
      </c>
    </row>
    <row r="865" spans="1:19" ht="28" x14ac:dyDescent="0.15">
      <c r="A865" s="2">
        <f>HYPERLINK("https://open-school.uspishnemisto.com.ua/school/50874/", 50874)</f>
        <v>50874</v>
      </c>
      <c r="B865" s="3" t="s">
        <v>4818</v>
      </c>
      <c r="C865" s="3" t="s">
        <v>54</v>
      </c>
      <c r="D865" s="3" t="s">
        <v>175</v>
      </c>
      <c r="E865" s="4" t="s">
        <v>22</v>
      </c>
      <c r="F865" s="4" t="s">
        <v>4819</v>
      </c>
      <c r="G865" s="4" t="s">
        <v>4820</v>
      </c>
      <c r="H865" s="3" t="s">
        <v>25</v>
      </c>
      <c r="I865" s="3" t="s">
        <v>4821</v>
      </c>
      <c r="J865" s="3" t="s">
        <v>4822</v>
      </c>
      <c r="K865" s="3" t="s">
        <v>4823</v>
      </c>
      <c r="L865" s="3"/>
      <c r="M865" s="4"/>
      <c r="N865" s="3" t="s">
        <v>37</v>
      </c>
      <c r="O865" s="3" t="s">
        <v>52</v>
      </c>
      <c r="P865" s="5">
        <v>3</v>
      </c>
      <c r="Q865" s="5">
        <v>8</v>
      </c>
      <c r="R865" s="5">
        <v>3</v>
      </c>
      <c r="S865" s="5">
        <v>8</v>
      </c>
    </row>
    <row r="866" spans="1:19" ht="28" x14ac:dyDescent="0.15">
      <c r="A866" s="2">
        <f>HYPERLINK("https://open-school.uspishnemisto.com.ua/school/50875/", 50875)</f>
        <v>50875</v>
      </c>
      <c r="B866" s="3" t="s">
        <v>4824</v>
      </c>
      <c r="C866" s="3" t="s">
        <v>31</v>
      </c>
      <c r="D866" s="3" t="s">
        <v>32</v>
      </c>
      <c r="E866" s="4" t="s">
        <v>22</v>
      </c>
      <c r="F866" s="4" t="s">
        <v>4825</v>
      </c>
      <c r="G866" s="4" t="s">
        <v>4826</v>
      </c>
      <c r="H866" s="3" t="s">
        <v>25</v>
      </c>
      <c r="I866" s="3" t="s">
        <v>3123</v>
      </c>
      <c r="J866" s="3" t="s">
        <v>4827</v>
      </c>
      <c r="K866" s="3" t="s">
        <v>4828</v>
      </c>
      <c r="L866" s="3"/>
      <c r="M866" s="4"/>
      <c r="N866" s="3" t="s">
        <v>37</v>
      </c>
      <c r="O866" s="3" t="s">
        <v>52</v>
      </c>
      <c r="P866" s="5">
        <v>10</v>
      </c>
      <c r="Q866" s="5">
        <v>123</v>
      </c>
      <c r="R866" s="5">
        <v>11</v>
      </c>
      <c r="S866" s="5">
        <v>127</v>
      </c>
    </row>
    <row r="867" spans="1:19" ht="28" x14ac:dyDescent="0.15">
      <c r="A867" s="2">
        <f>HYPERLINK("https://open-school.uspishnemisto.com.ua/school/50876/", 50876)</f>
        <v>50876</v>
      </c>
      <c r="B867" s="3" t="s">
        <v>4829</v>
      </c>
      <c r="C867" s="3" t="s">
        <v>31</v>
      </c>
      <c r="D867" s="3" t="s">
        <v>32</v>
      </c>
      <c r="E867" s="4" t="s">
        <v>22</v>
      </c>
      <c r="F867" s="4" t="s">
        <v>4830</v>
      </c>
      <c r="G867" s="4" t="s">
        <v>4831</v>
      </c>
      <c r="H867" s="3" t="s">
        <v>25</v>
      </c>
      <c r="I867" s="3" t="s">
        <v>4832</v>
      </c>
      <c r="J867" s="3" t="s">
        <v>4833</v>
      </c>
      <c r="K867" s="3" t="s">
        <v>4834</v>
      </c>
      <c r="L867" s="3" t="s">
        <v>4835</v>
      </c>
      <c r="M867" s="4"/>
      <c r="N867" s="3" t="s">
        <v>37</v>
      </c>
      <c r="O867" s="3" t="s">
        <v>52</v>
      </c>
      <c r="P867" s="5">
        <v>10</v>
      </c>
      <c r="Q867" s="5">
        <v>103</v>
      </c>
      <c r="R867" s="5">
        <v>10</v>
      </c>
      <c r="S867" s="5">
        <v>106</v>
      </c>
    </row>
    <row r="868" spans="1:19" ht="28" x14ac:dyDescent="0.15">
      <c r="A868" s="2">
        <f>HYPERLINK("https://open-school.uspishnemisto.com.ua/school/70001/", 70001)</f>
        <v>70001</v>
      </c>
      <c r="B868" s="3" t="s">
        <v>4836</v>
      </c>
      <c r="C868" s="3" t="s">
        <v>48</v>
      </c>
      <c r="D868" s="3" t="s">
        <v>32</v>
      </c>
      <c r="E868" s="4" t="s">
        <v>22</v>
      </c>
      <c r="F868" s="4" t="s">
        <v>4837</v>
      </c>
      <c r="G868" s="4" t="s">
        <v>4838</v>
      </c>
      <c r="H868" s="3" t="s">
        <v>4839</v>
      </c>
      <c r="I868" s="3" t="s">
        <v>4840</v>
      </c>
      <c r="J868" s="3" t="s">
        <v>4841</v>
      </c>
      <c r="K868" s="3" t="s">
        <v>4842</v>
      </c>
      <c r="L868" s="3" t="s">
        <v>4843</v>
      </c>
      <c r="M868" s="4" t="s">
        <v>4844</v>
      </c>
      <c r="N868" s="3" t="s">
        <v>37</v>
      </c>
      <c r="O868" s="3" t="s">
        <v>52</v>
      </c>
      <c r="P868" s="5">
        <v>10</v>
      </c>
      <c r="Q868" s="5">
        <v>284</v>
      </c>
      <c r="R868" s="5">
        <v>10</v>
      </c>
      <c r="S868" s="5">
        <v>289</v>
      </c>
    </row>
    <row r="869" spans="1:19" ht="28" x14ac:dyDescent="0.15">
      <c r="A869" s="2">
        <f>HYPERLINK("https://open-school.uspishnemisto.com.ua/school/70002/", 70002)</f>
        <v>70002</v>
      </c>
      <c r="B869" s="3" t="s">
        <v>4845</v>
      </c>
      <c r="C869" s="3" t="s">
        <v>188</v>
      </c>
      <c r="D869" s="3" t="s">
        <v>32</v>
      </c>
      <c r="E869" s="4" t="s">
        <v>22</v>
      </c>
      <c r="F869" s="4" t="s">
        <v>4846</v>
      </c>
      <c r="G869" s="4" t="s">
        <v>4838</v>
      </c>
      <c r="H869" s="3" t="s">
        <v>4839</v>
      </c>
      <c r="I869" s="3" t="s">
        <v>4840</v>
      </c>
      <c r="J869" s="3" t="s">
        <v>4847</v>
      </c>
      <c r="K869" s="3"/>
      <c r="L869" s="3"/>
      <c r="M869" s="4" t="s">
        <v>4848</v>
      </c>
      <c r="N869" s="3" t="s">
        <v>37</v>
      </c>
      <c r="O869" s="3" t="s">
        <v>123</v>
      </c>
      <c r="P869" s="5">
        <v>27</v>
      </c>
      <c r="Q869" s="5">
        <v>794</v>
      </c>
      <c r="R869" s="5">
        <v>19</v>
      </c>
      <c r="S869" s="5">
        <v>545</v>
      </c>
    </row>
    <row r="870" spans="1:19" ht="28" x14ac:dyDescent="0.15">
      <c r="A870" s="2">
        <f>HYPERLINK("https://open-school.uspishnemisto.com.ua/school/70003/", 70003)</f>
        <v>70003</v>
      </c>
      <c r="B870" s="3" t="s">
        <v>4849</v>
      </c>
      <c r="C870" s="3" t="s">
        <v>20</v>
      </c>
      <c r="D870" s="3" t="s">
        <v>21</v>
      </c>
      <c r="E870" s="4" t="s">
        <v>22</v>
      </c>
      <c r="F870" s="4" t="s">
        <v>4850</v>
      </c>
      <c r="G870" s="4" t="s">
        <v>4838</v>
      </c>
      <c r="H870" s="3" t="s">
        <v>4839</v>
      </c>
      <c r="I870" s="3" t="s">
        <v>4840</v>
      </c>
      <c r="J870" s="3" t="s">
        <v>4851</v>
      </c>
      <c r="K870" s="3" t="s">
        <v>4852</v>
      </c>
      <c r="L870" s="3" t="s">
        <v>4853</v>
      </c>
      <c r="M870" s="4"/>
      <c r="N870" s="3"/>
      <c r="O870" s="3"/>
      <c r="P870" s="5">
        <v>0</v>
      </c>
      <c r="Q870" s="5">
        <v>0</v>
      </c>
      <c r="R870" s="5"/>
      <c r="S870" s="5"/>
    </row>
    <row r="871" spans="1:19" ht="28" x14ac:dyDescent="0.15">
      <c r="A871" s="2">
        <f>HYPERLINK("https://open-school.uspishnemisto.com.ua/school/70004/", 70004)</f>
        <v>70004</v>
      </c>
      <c r="B871" s="3" t="s">
        <v>4854</v>
      </c>
      <c r="C871" s="3" t="s">
        <v>40</v>
      </c>
      <c r="D871" s="3" t="s">
        <v>32</v>
      </c>
      <c r="E871" s="4" t="s">
        <v>22</v>
      </c>
      <c r="F871" s="4" t="s">
        <v>4855</v>
      </c>
      <c r="G871" s="4" t="s">
        <v>4838</v>
      </c>
      <c r="H871" s="3" t="s">
        <v>4839</v>
      </c>
      <c r="I871" s="3" t="s">
        <v>4840</v>
      </c>
      <c r="J871" s="3" t="s">
        <v>4856</v>
      </c>
      <c r="K871" s="3" t="s">
        <v>4857</v>
      </c>
      <c r="L871" s="3"/>
      <c r="M871" s="4"/>
      <c r="N871" s="3" t="s">
        <v>37</v>
      </c>
      <c r="O871" s="3" t="s">
        <v>4858</v>
      </c>
      <c r="P871" s="5">
        <v>36</v>
      </c>
      <c r="Q871" s="5">
        <v>1073</v>
      </c>
      <c r="R871" s="5">
        <v>36</v>
      </c>
      <c r="S871" s="5">
        <v>1051</v>
      </c>
    </row>
    <row r="872" spans="1:19" ht="28" x14ac:dyDescent="0.15">
      <c r="A872" s="2">
        <f>HYPERLINK("https://open-school.uspishnemisto.com.ua/school/70005/", 70005)</f>
        <v>70005</v>
      </c>
      <c r="B872" s="3" t="s">
        <v>4859</v>
      </c>
      <c r="C872" s="3" t="s">
        <v>40</v>
      </c>
      <c r="D872" s="3" t="s">
        <v>32</v>
      </c>
      <c r="E872" s="4" t="s">
        <v>22</v>
      </c>
      <c r="F872" s="4" t="s">
        <v>4860</v>
      </c>
      <c r="G872" s="4" t="s">
        <v>4838</v>
      </c>
      <c r="H872" s="3" t="s">
        <v>4839</v>
      </c>
      <c r="I872" s="3" t="s">
        <v>4840</v>
      </c>
      <c r="J872" s="3" t="s">
        <v>4861</v>
      </c>
      <c r="K872" s="3" t="s">
        <v>4862</v>
      </c>
      <c r="L872" s="3" t="s">
        <v>4863</v>
      </c>
      <c r="M872" s="4" t="s">
        <v>4864</v>
      </c>
      <c r="N872" s="3" t="s">
        <v>37</v>
      </c>
      <c r="O872" s="3" t="s">
        <v>237</v>
      </c>
      <c r="P872" s="5">
        <v>43</v>
      </c>
      <c r="Q872" s="5">
        <v>1342</v>
      </c>
      <c r="R872" s="5">
        <v>42</v>
      </c>
      <c r="S872" s="5">
        <v>1307</v>
      </c>
    </row>
    <row r="873" spans="1:19" ht="28" x14ac:dyDescent="0.15">
      <c r="A873" s="2">
        <f>HYPERLINK("https://open-school.uspishnemisto.com.ua/school/70006/", 70006)</f>
        <v>70006</v>
      </c>
      <c r="B873" s="3" t="s">
        <v>4865</v>
      </c>
      <c r="C873" s="3" t="s">
        <v>40</v>
      </c>
      <c r="D873" s="3" t="s">
        <v>32</v>
      </c>
      <c r="E873" s="4" t="s">
        <v>22</v>
      </c>
      <c r="F873" s="4" t="s">
        <v>4866</v>
      </c>
      <c r="G873" s="4" t="s">
        <v>4838</v>
      </c>
      <c r="H873" s="3" t="s">
        <v>4839</v>
      </c>
      <c r="I873" s="3" t="s">
        <v>4840</v>
      </c>
      <c r="J873" s="3" t="s">
        <v>4867</v>
      </c>
      <c r="K873" s="3" t="s">
        <v>4868</v>
      </c>
      <c r="L873" s="3"/>
      <c r="M873" s="4"/>
      <c r="N873" s="3" t="s">
        <v>37</v>
      </c>
      <c r="O873" s="3" t="s">
        <v>237</v>
      </c>
      <c r="P873" s="5">
        <v>46</v>
      </c>
      <c r="Q873" s="5">
        <v>1340</v>
      </c>
      <c r="R873" s="5">
        <v>45</v>
      </c>
      <c r="S873" s="5">
        <v>1293</v>
      </c>
    </row>
    <row r="874" spans="1:19" ht="28" x14ac:dyDescent="0.15">
      <c r="A874" s="2">
        <f>HYPERLINK("https://open-school.uspishnemisto.com.ua/school/70007/", 70007)</f>
        <v>70007</v>
      </c>
      <c r="B874" s="3" t="s">
        <v>4869</v>
      </c>
      <c r="C874" s="3" t="s">
        <v>31</v>
      </c>
      <c r="D874" s="3" t="s">
        <v>32</v>
      </c>
      <c r="E874" s="4" t="s">
        <v>22</v>
      </c>
      <c r="F874" s="4" t="s">
        <v>4870</v>
      </c>
      <c r="G874" s="4" t="s">
        <v>4838</v>
      </c>
      <c r="H874" s="3" t="s">
        <v>4839</v>
      </c>
      <c r="I874" s="3" t="s">
        <v>4840</v>
      </c>
      <c r="J874" s="3" t="s">
        <v>4871</v>
      </c>
      <c r="K874" s="3" t="s">
        <v>4872</v>
      </c>
      <c r="L874" s="3" t="s">
        <v>4873</v>
      </c>
      <c r="M874" s="4"/>
      <c r="N874" s="3" t="s">
        <v>37</v>
      </c>
      <c r="O874" s="3" t="s">
        <v>46</v>
      </c>
      <c r="P874" s="5">
        <v>26</v>
      </c>
      <c r="Q874" s="5">
        <v>637</v>
      </c>
      <c r="R874" s="5">
        <v>25</v>
      </c>
      <c r="S874" s="5">
        <v>613</v>
      </c>
    </row>
    <row r="875" spans="1:19" ht="28" x14ac:dyDescent="0.15">
      <c r="A875" s="2">
        <f>HYPERLINK("https://open-school.uspishnemisto.com.ua/school/70008/", 70008)</f>
        <v>70008</v>
      </c>
      <c r="B875" s="3" t="s">
        <v>4874</v>
      </c>
      <c r="C875" s="3" t="s">
        <v>31</v>
      </c>
      <c r="D875" s="3" t="s">
        <v>32</v>
      </c>
      <c r="E875" s="4" t="s">
        <v>22</v>
      </c>
      <c r="F875" s="4" t="s">
        <v>4837</v>
      </c>
      <c r="G875" s="4" t="s">
        <v>4838</v>
      </c>
      <c r="H875" s="3" t="s">
        <v>4839</v>
      </c>
      <c r="I875" s="3" t="s">
        <v>4840</v>
      </c>
      <c r="J875" s="3" t="s">
        <v>4875</v>
      </c>
      <c r="K875" s="3" t="s">
        <v>4876</v>
      </c>
      <c r="L875" s="3" t="s">
        <v>4877</v>
      </c>
      <c r="M875" s="4"/>
      <c r="N875" s="3" t="s">
        <v>37</v>
      </c>
      <c r="O875" s="3" t="s">
        <v>2740</v>
      </c>
      <c r="P875" s="5">
        <v>20</v>
      </c>
      <c r="Q875" s="5">
        <v>492</v>
      </c>
      <c r="R875" s="5">
        <v>20</v>
      </c>
      <c r="S875" s="5">
        <v>467</v>
      </c>
    </row>
    <row r="876" spans="1:19" ht="28" x14ac:dyDescent="0.15">
      <c r="A876" s="2">
        <f>HYPERLINK("https://open-school.uspishnemisto.com.ua/school/70009/", 70009)</f>
        <v>70009</v>
      </c>
      <c r="B876" s="3" t="s">
        <v>4878</v>
      </c>
      <c r="C876" s="3" t="s">
        <v>31</v>
      </c>
      <c r="D876" s="3" t="s">
        <v>32</v>
      </c>
      <c r="E876" s="4" t="s">
        <v>22</v>
      </c>
      <c r="F876" s="4" t="s">
        <v>4879</v>
      </c>
      <c r="G876" s="4" t="s">
        <v>4838</v>
      </c>
      <c r="H876" s="3" t="s">
        <v>4839</v>
      </c>
      <c r="I876" s="3" t="s">
        <v>4840</v>
      </c>
      <c r="J876" s="3" t="s">
        <v>4880</v>
      </c>
      <c r="K876" s="3" t="s">
        <v>4881</v>
      </c>
      <c r="L876" s="3"/>
      <c r="M876" s="4"/>
      <c r="N876" s="3" t="s">
        <v>37</v>
      </c>
      <c r="O876" s="3" t="s">
        <v>237</v>
      </c>
      <c r="P876" s="5">
        <v>41</v>
      </c>
      <c r="Q876" s="5">
        <v>1039</v>
      </c>
      <c r="R876" s="5">
        <v>37</v>
      </c>
      <c r="S876" s="5">
        <v>960</v>
      </c>
    </row>
    <row r="877" spans="1:19" ht="28" x14ac:dyDescent="0.15">
      <c r="A877" s="2">
        <f>HYPERLINK("https://open-school.uspishnemisto.com.ua/school/70010/", 70010)</f>
        <v>70010</v>
      </c>
      <c r="B877" s="3" t="s">
        <v>4882</v>
      </c>
      <c r="C877" s="3" t="s">
        <v>2128</v>
      </c>
      <c r="D877" s="3" t="s">
        <v>32</v>
      </c>
      <c r="E877" s="4" t="s">
        <v>22</v>
      </c>
      <c r="F877" s="4" t="s">
        <v>4883</v>
      </c>
      <c r="G877" s="4" t="s">
        <v>4838</v>
      </c>
      <c r="H877" s="3" t="s">
        <v>4839</v>
      </c>
      <c r="I877" s="3" t="s">
        <v>4840</v>
      </c>
      <c r="J877" s="3" t="s">
        <v>4884</v>
      </c>
      <c r="K877" s="3" t="s">
        <v>4885</v>
      </c>
      <c r="L877" s="3"/>
      <c r="M877" s="4"/>
      <c r="N877" s="3" t="s">
        <v>37</v>
      </c>
      <c r="O877" s="3" t="s">
        <v>1081</v>
      </c>
      <c r="P877" s="5">
        <v>29</v>
      </c>
      <c r="Q877" s="5">
        <v>785</v>
      </c>
      <c r="R877" s="5">
        <v>28</v>
      </c>
      <c r="S877" s="5">
        <v>765</v>
      </c>
    </row>
    <row r="878" spans="1:19" ht="28" x14ac:dyDescent="0.15">
      <c r="A878" s="2">
        <f>HYPERLINK("https://open-school.uspishnemisto.com.ua/school/70011/", 70011)</f>
        <v>70011</v>
      </c>
      <c r="B878" s="3" t="s">
        <v>4886</v>
      </c>
      <c r="C878" s="3" t="s">
        <v>31</v>
      </c>
      <c r="D878" s="3" t="s">
        <v>32</v>
      </c>
      <c r="E878" s="4" t="s">
        <v>22</v>
      </c>
      <c r="F878" s="4" t="s">
        <v>4887</v>
      </c>
      <c r="G878" s="4" t="s">
        <v>4838</v>
      </c>
      <c r="H878" s="3" t="s">
        <v>4839</v>
      </c>
      <c r="I878" s="3" t="s">
        <v>4840</v>
      </c>
      <c r="J878" s="3" t="s">
        <v>4888</v>
      </c>
      <c r="K878" s="3" t="s">
        <v>4889</v>
      </c>
      <c r="L878" s="3"/>
      <c r="M878" s="4"/>
      <c r="N878" s="3" t="s">
        <v>37</v>
      </c>
      <c r="O878" s="3" t="s">
        <v>2740</v>
      </c>
      <c r="P878" s="5">
        <v>29</v>
      </c>
      <c r="Q878" s="5">
        <v>772</v>
      </c>
      <c r="R878" s="5">
        <v>29</v>
      </c>
      <c r="S878" s="5">
        <v>763</v>
      </c>
    </row>
    <row r="879" spans="1:19" ht="28" x14ac:dyDescent="0.15">
      <c r="A879" s="2">
        <f>HYPERLINK("https://open-school.uspishnemisto.com.ua/school/70012/", 70012)</f>
        <v>70012</v>
      </c>
      <c r="B879" s="3" t="s">
        <v>4890</v>
      </c>
      <c r="C879" s="3" t="s">
        <v>31</v>
      </c>
      <c r="D879" s="3" t="s">
        <v>32</v>
      </c>
      <c r="E879" s="4" t="s">
        <v>22</v>
      </c>
      <c r="F879" s="4" t="s">
        <v>4855</v>
      </c>
      <c r="G879" s="4" t="s">
        <v>4838</v>
      </c>
      <c r="H879" s="3" t="s">
        <v>4839</v>
      </c>
      <c r="I879" s="3" t="s">
        <v>4840</v>
      </c>
      <c r="J879" s="3" t="s">
        <v>4891</v>
      </c>
      <c r="K879" s="3" t="s">
        <v>4892</v>
      </c>
      <c r="L879" s="3"/>
      <c r="M879" s="4"/>
      <c r="N879" s="3" t="s">
        <v>37</v>
      </c>
      <c r="O879" s="3" t="s">
        <v>237</v>
      </c>
      <c r="P879" s="5">
        <v>45</v>
      </c>
      <c r="Q879" s="5">
        <v>1243</v>
      </c>
      <c r="R879" s="5">
        <v>44</v>
      </c>
      <c r="S879" s="5">
        <v>1240</v>
      </c>
    </row>
    <row r="880" spans="1:19" ht="28" x14ac:dyDescent="0.15">
      <c r="A880" s="2">
        <f>HYPERLINK("https://open-school.uspishnemisto.com.ua/school/70013/", 70013)</f>
        <v>70013</v>
      </c>
      <c r="B880" s="3" t="s">
        <v>4893</v>
      </c>
      <c r="C880" s="3" t="s">
        <v>31</v>
      </c>
      <c r="D880" s="3" t="s">
        <v>32</v>
      </c>
      <c r="E880" s="4" t="s">
        <v>22</v>
      </c>
      <c r="F880" s="4" t="s">
        <v>4894</v>
      </c>
      <c r="G880" s="4" t="s">
        <v>4838</v>
      </c>
      <c r="H880" s="3" t="s">
        <v>4839</v>
      </c>
      <c r="I880" s="3" t="s">
        <v>4840</v>
      </c>
      <c r="J880" s="3" t="s">
        <v>4895</v>
      </c>
      <c r="K880" s="3" t="s">
        <v>4896</v>
      </c>
      <c r="L880" s="3" t="s">
        <v>4897</v>
      </c>
      <c r="M880" s="4"/>
      <c r="N880" s="3" t="s">
        <v>37</v>
      </c>
      <c r="O880" s="3" t="s">
        <v>139</v>
      </c>
      <c r="P880" s="5">
        <v>22</v>
      </c>
      <c r="Q880" s="5">
        <v>517</v>
      </c>
      <c r="R880" s="5">
        <v>22</v>
      </c>
      <c r="S880" s="5">
        <v>516</v>
      </c>
    </row>
    <row r="881" spans="1:19" ht="28" x14ac:dyDescent="0.15">
      <c r="A881" s="2">
        <f>HYPERLINK("https://open-school.uspishnemisto.com.ua/school/70014/", 70014)</f>
        <v>70014</v>
      </c>
      <c r="B881" s="3" t="s">
        <v>4898</v>
      </c>
      <c r="C881" s="3" t="s">
        <v>31</v>
      </c>
      <c r="D881" s="3" t="s">
        <v>32</v>
      </c>
      <c r="E881" s="4" t="s">
        <v>22</v>
      </c>
      <c r="F881" s="4" t="s">
        <v>4855</v>
      </c>
      <c r="G881" s="4" t="s">
        <v>4838</v>
      </c>
      <c r="H881" s="3" t="s">
        <v>4839</v>
      </c>
      <c r="I881" s="3" t="s">
        <v>4840</v>
      </c>
      <c r="J881" s="3" t="s">
        <v>4899</v>
      </c>
      <c r="K881" s="3" t="s">
        <v>4900</v>
      </c>
      <c r="L881" s="3" t="s">
        <v>4901</v>
      </c>
      <c r="M881" s="4"/>
      <c r="N881" s="3" t="s">
        <v>37</v>
      </c>
      <c r="O881" s="3" t="s">
        <v>237</v>
      </c>
      <c r="P881" s="5">
        <v>20</v>
      </c>
      <c r="Q881" s="5">
        <v>520</v>
      </c>
      <c r="R881" s="5">
        <v>20</v>
      </c>
      <c r="S881" s="5">
        <v>511</v>
      </c>
    </row>
    <row r="882" spans="1:19" ht="28" x14ac:dyDescent="0.15">
      <c r="A882" s="2">
        <f>HYPERLINK("https://open-school.uspishnemisto.com.ua/school/70015/", 70015)</f>
        <v>70015</v>
      </c>
      <c r="B882" s="3" t="s">
        <v>4902</v>
      </c>
      <c r="C882" s="3" t="s">
        <v>31</v>
      </c>
      <c r="D882" s="3" t="s">
        <v>32</v>
      </c>
      <c r="E882" s="4" t="s">
        <v>22</v>
      </c>
      <c r="F882" s="4" t="s">
        <v>4850</v>
      </c>
      <c r="G882" s="4" t="s">
        <v>4838</v>
      </c>
      <c r="H882" s="3" t="s">
        <v>4839</v>
      </c>
      <c r="I882" s="3" t="s">
        <v>4840</v>
      </c>
      <c r="J882" s="3" t="s">
        <v>4903</v>
      </c>
      <c r="K882" s="3" t="s">
        <v>4904</v>
      </c>
      <c r="L882" s="3"/>
      <c r="M882" s="4"/>
      <c r="N882" s="3" t="s">
        <v>37</v>
      </c>
      <c r="O882" s="3" t="s">
        <v>1081</v>
      </c>
      <c r="P882" s="5">
        <v>37</v>
      </c>
      <c r="Q882" s="5">
        <v>970</v>
      </c>
      <c r="R882" s="5">
        <v>36</v>
      </c>
      <c r="S882" s="5">
        <v>950</v>
      </c>
    </row>
    <row r="883" spans="1:19" ht="42" x14ac:dyDescent="0.15">
      <c r="A883" s="2">
        <f>HYPERLINK("https://open-school.uspishnemisto.com.ua/school/70016/", 70016)</f>
        <v>70016</v>
      </c>
      <c r="B883" s="3" t="s">
        <v>4905</v>
      </c>
      <c r="C883" s="3" t="s">
        <v>40</v>
      </c>
      <c r="D883" s="3" t="s">
        <v>32</v>
      </c>
      <c r="E883" s="4" t="s">
        <v>22</v>
      </c>
      <c r="F883" s="4" t="s">
        <v>4887</v>
      </c>
      <c r="G883" s="4" t="s">
        <v>4838</v>
      </c>
      <c r="H883" s="3" t="s">
        <v>4839</v>
      </c>
      <c r="I883" s="3" t="s">
        <v>4840</v>
      </c>
      <c r="J883" s="3" t="s">
        <v>4906</v>
      </c>
      <c r="K883" s="3" t="s">
        <v>4907</v>
      </c>
      <c r="L883" s="3" t="s">
        <v>4908</v>
      </c>
      <c r="M883" s="4" t="s">
        <v>4909</v>
      </c>
      <c r="N883" s="3" t="s">
        <v>37</v>
      </c>
      <c r="O883" s="3" t="s">
        <v>237</v>
      </c>
      <c r="P883" s="5">
        <v>35</v>
      </c>
      <c r="Q883" s="5">
        <v>1086</v>
      </c>
      <c r="R883" s="5">
        <v>35</v>
      </c>
      <c r="S883" s="5">
        <v>1068</v>
      </c>
    </row>
    <row r="884" spans="1:19" ht="42" x14ac:dyDescent="0.15">
      <c r="A884" s="2">
        <f>HYPERLINK("https://open-school.uspishnemisto.com.ua/school/70017/", 70017)</f>
        <v>70017</v>
      </c>
      <c r="B884" s="3" t="s">
        <v>4910</v>
      </c>
      <c r="C884" s="3" t="s">
        <v>188</v>
      </c>
      <c r="D884" s="3" t="s">
        <v>32</v>
      </c>
      <c r="E884" s="4" t="s">
        <v>22</v>
      </c>
      <c r="F884" s="4" t="s">
        <v>4855</v>
      </c>
      <c r="G884" s="4" t="s">
        <v>4838</v>
      </c>
      <c r="H884" s="3" t="s">
        <v>4839</v>
      </c>
      <c r="I884" s="3" t="s">
        <v>4840</v>
      </c>
      <c r="J884" s="3" t="s">
        <v>4911</v>
      </c>
      <c r="K884" s="3" t="s">
        <v>4912</v>
      </c>
      <c r="L884" s="3" t="s">
        <v>4913</v>
      </c>
      <c r="M884" s="4"/>
      <c r="N884" s="3" t="s">
        <v>37</v>
      </c>
      <c r="O884" s="3" t="s">
        <v>52</v>
      </c>
      <c r="P884" s="5">
        <v>44</v>
      </c>
      <c r="Q884" s="5">
        <v>1358</v>
      </c>
      <c r="R884" s="5">
        <v>44</v>
      </c>
      <c r="S884" s="5">
        <v>1346</v>
      </c>
    </row>
    <row r="885" spans="1:19" ht="28" x14ac:dyDescent="0.15">
      <c r="A885" s="2">
        <f>HYPERLINK("https://open-school.uspishnemisto.com.ua/school/70018/", 70018)</f>
        <v>70018</v>
      </c>
      <c r="B885" s="3" t="s">
        <v>4914</v>
      </c>
      <c r="C885" s="3" t="s">
        <v>188</v>
      </c>
      <c r="D885" s="3" t="s">
        <v>32</v>
      </c>
      <c r="E885" s="4" t="s">
        <v>22</v>
      </c>
      <c r="F885" s="4" t="s">
        <v>4860</v>
      </c>
      <c r="G885" s="4" t="s">
        <v>4838</v>
      </c>
      <c r="H885" s="3" t="s">
        <v>4839</v>
      </c>
      <c r="I885" s="3" t="s">
        <v>4840</v>
      </c>
      <c r="J885" s="3" t="s">
        <v>4915</v>
      </c>
      <c r="K885" s="3" t="s">
        <v>4916</v>
      </c>
      <c r="L885" s="3"/>
      <c r="M885" s="4"/>
      <c r="N885" s="3" t="s">
        <v>37</v>
      </c>
      <c r="O885" s="3" t="s">
        <v>237</v>
      </c>
      <c r="P885" s="5">
        <v>74</v>
      </c>
      <c r="Q885" s="5">
        <v>2103</v>
      </c>
      <c r="R885" s="5">
        <v>70</v>
      </c>
      <c r="S885" s="5">
        <v>2002</v>
      </c>
    </row>
    <row r="886" spans="1:19" ht="28" x14ac:dyDescent="0.15">
      <c r="A886" s="2">
        <f>HYPERLINK("https://open-school.uspishnemisto.com.ua/school/70019/", 70019)</f>
        <v>70019</v>
      </c>
      <c r="B886" s="3" t="s">
        <v>4917</v>
      </c>
      <c r="C886" s="3" t="s">
        <v>188</v>
      </c>
      <c r="D886" s="3" t="s">
        <v>32</v>
      </c>
      <c r="E886" s="4" t="s">
        <v>22</v>
      </c>
      <c r="F886" s="4" t="s">
        <v>4866</v>
      </c>
      <c r="G886" s="4" t="s">
        <v>4838</v>
      </c>
      <c r="H886" s="3" t="s">
        <v>4839</v>
      </c>
      <c r="I886" s="3" t="s">
        <v>4840</v>
      </c>
      <c r="J886" s="3" t="s">
        <v>4918</v>
      </c>
      <c r="K886" s="3" t="s">
        <v>4919</v>
      </c>
      <c r="L886" s="3" t="s">
        <v>4920</v>
      </c>
      <c r="M886" s="4"/>
      <c r="N886" s="3" t="s">
        <v>37</v>
      </c>
      <c r="O886" s="3" t="s">
        <v>46</v>
      </c>
      <c r="P886" s="5">
        <v>48</v>
      </c>
      <c r="Q886" s="5">
        <v>1429</v>
      </c>
      <c r="R886" s="5">
        <v>47</v>
      </c>
      <c r="S886" s="5">
        <v>1411</v>
      </c>
    </row>
    <row r="887" spans="1:19" ht="42" x14ac:dyDescent="0.15">
      <c r="A887" s="2">
        <f>HYPERLINK("https://open-school.uspishnemisto.com.ua/school/70020/", 70020)</f>
        <v>70020</v>
      </c>
      <c r="B887" s="3" t="s">
        <v>4921</v>
      </c>
      <c r="C887" s="3" t="s">
        <v>188</v>
      </c>
      <c r="D887" s="3" t="s">
        <v>32</v>
      </c>
      <c r="E887" s="4" t="s">
        <v>22</v>
      </c>
      <c r="F887" s="4" t="s">
        <v>4855</v>
      </c>
      <c r="G887" s="4" t="s">
        <v>4838</v>
      </c>
      <c r="H887" s="3" t="s">
        <v>4839</v>
      </c>
      <c r="I887" s="3" t="s">
        <v>4840</v>
      </c>
      <c r="J887" s="3" t="s">
        <v>4922</v>
      </c>
      <c r="K887" s="3" t="s">
        <v>4923</v>
      </c>
      <c r="L887" s="3"/>
      <c r="M887" s="4"/>
      <c r="N887" s="3" t="s">
        <v>37</v>
      </c>
      <c r="O887" s="3" t="s">
        <v>237</v>
      </c>
      <c r="P887" s="5">
        <v>46</v>
      </c>
      <c r="Q887" s="5">
        <v>1255</v>
      </c>
      <c r="R887" s="5">
        <v>42</v>
      </c>
      <c r="S887" s="5">
        <v>1156</v>
      </c>
    </row>
    <row r="888" spans="1:19" ht="56" x14ac:dyDescent="0.15">
      <c r="A888" s="2">
        <f>HYPERLINK("https://open-school.uspishnemisto.com.ua/school/70021/", 70021)</f>
        <v>70021</v>
      </c>
      <c r="B888" s="3" t="s">
        <v>4924</v>
      </c>
      <c r="C888" s="3" t="s">
        <v>188</v>
      </c>
      <c r="D888" s="3" t="s">
        <v>32</v>
      </c>
      <c r="E888" s="4" t="s">
        <v>22</v>
      </c>
      <c r="F888" s="4" t="s">
        <v>4925</v>
      </c>
      <c r="G888" s="4" t="s">
        <v>4838</v>
      </c>
      <c r="H888" s="3" t="s">
        <v>4839</v>
      </c>
      <c r="I888" s="3" t="s">
        <v>4840</v>
      </c>
      <c r="J888" s="3" t="s">
        <v>4926</v>
      </c>
      <c r="K888" s="3" t="s">
        <v>4927</v>
      </c>
      <c r="L888" s="3"/>
      <c r="M888" s="4"/>
      <c r="N888" s="3" t="s">
        <v>37</v>
      </c>
      <c r="O888" s="3" t="s">
        <v>237</v>
      </c>
      <c r="P888" s="5">
        <v>31</v>
      </c>
      <c r="Q888" s="5">
        <v>815</v>
      </c>
      <c r="R888" s="5">
        <v>29</v>
      </c>
      <c r="S888" s="5">
        <v>774</v>
      </c>
    </row>
    <row r="889" spans="1:19" ht="56" x14ac:dyDescent="0.15">
      <c r="A889" s="2">
        <f>HYPERLINK("https://open-school.uspishnemisto.com.ua/school/70022/", 70022)</f>
        <v>70022</v>
      </c>
      <c r="B889" s="3" t="s">
        <v>4928</v>
      </c>
      <c r="C889" s="3" t="s">
        <v>48</v>
      </c>
      <c r="D889" s="3" t="s">
        <v>32</v>
      </c>
      <c r="E889" s="4" t="s">
        <v>22</v>
      </c>
      <c r="F889" s="4" t="s">
        <v>4925</v>
      </c>
      <c r="G889" s="4" t="s">
        <v>4838</v>
      </c>
      <c r="H889" s="3" t="s">
        <v>4839</v>
      </c>
      <c r="I889" s="3" t="s">
        <v>4840</v>
      </c>
      <c r="J889" s="3" t="s">
        <v>4929</v>
      </c>
      <c r="K889" s="3" t="s">
        <v>4930</v>
      </c>
      <c r="L889" s="3"/>
      <c r="M889" s="4" t="s">
        <v>4931</v>
      </c>
      <c r="N889" s="3" t="s">
        <v>37</v>
      </c>
      <c r="O889" s="3" t="s">
        <v>2740</v>
      </c>
      <c r="P889" s="5">
        <v>20</v>
      </c>
      <c r="Q889" s="5">
        <v>481</v>
      </c>
      <c r="R889" s="5">
        <v>19</v>
      </c>
      <c r="S889" s="5">
        <v>466</v>
      </c>
    </row>
    <row r="890" spans="1:19" ht="28" x14ac:dyDescent="0.15">
      <c r="A890" s="2">
        <f>HYPERLINK("https://open-school.uspishnemisto.com.ua/school/70023/", 70023)</f>
        <v>70023</v>
      </c>
      <c r="B890" s="3" t="s">
        <v>4932</v>
      </c>
      <c r="C890" s="3" t="s">
        <v>174</v>
      </c>
      <c r="D890" s="3" t="s">
        <v>32</v>
      </c>
      <c r="E890" s="4" t="s">
        <v>22</v>
      </c>
      <c r="F890" s="4" t="s">
        <v>4850</v>
      </c>
      <c r="G890" s="4" t="s">
        <v>4838</v>
      </c>
      <c r="H890" s="3" t="s">
        <v>4839</v>
      </c>
      <c r="I890" s="3" t="s">
        <v>4840</v>
      </c>
      <c r="J890" s="3" t="s">
        <v>4933</v>
      </c>
      <c r="K890" s="3" t="s">
        <v>4934</v>
      </c>
      <c r="L890" s="3"/>
      <c r="M890" s="4"/>
      <c r="N890" s="3" t="s">
        <v>37</v>
      </c>
      <c r="O890" s="3" t="s">
        <v>52</v>
      </c>
      <c r="P890" s="5">
        <v>21</v>
      </c>
      <c r="Q890" s="5">
        <v>273</v>
      </c>
      <c r="R890" s="5">
        <v>21</v>
      </c>
      <c r="S890" s="5">
        <v>260</v>
      </c>
    </row>
    <row r="891" spans="1:19" ht="28" x14ac:dyDescent="0.15">
      <c r="A891" s="2">
        <f>HYPERLINK("https://open-school.uspishnemisto.com.ua/school/70024/", 70024)</f>
        <v>70024</v>
      </c>
      <c r="B891" s="3" t="s">
        <v>4935</v>
      </c>
      <c r="C891" s="3" t="s">
        <v>31</v>
      </c>
      <c r="D891" s="3" t="s">
        <v>32</v>
      </c>
      <c r="E891" s="4" t="s">
        <v>22</v>
      </c>
      <c r="F891" s="4" t="s">
        <v>4936</v>
      </c>
      <c r="G891" s="4" t="s">
        <v>4838</v>
      </c>
      <c r="H891" s="3" t="s">
        <v>4839</v>
      </c>
      <c r="I891" s="3" t="s">
        <v>4840</v>
      </c>
      <c r="J891" s="3" t="s">
        <v>4937</v>
      </c>
      <c r="K891" s="3" t="s">
        <v>4938</v>
      </c>
      <c r="L891" s="3"/>
      <c r="M891" s="4"/>
      <c r="N891" s="3" t="s">
        <v>37</v>
      </c>
      <c r="O891" s="3" t="s">
        <v>52</v>
      </c>
      <c r="P891" s="5">
        <v>33</v>
      </c>
      <c r="Q891" s="5">
        <v>881</v>
      </c>
      <c r="R891" s="5">
        <v>31</v>
      </c>
      <c r="S891" s="5">
        <v>851</v>
      </c>
    </row>
    <row r="892" spans="1:19" ht="28" x14ac:dyDescent="0.15">
      <c r="A892" s="2">
        <f>HYPERLINK("https://open-school.uspishnemisto.com.ua/school/70025/", 70025)</f>
        <v>70025</v>
      </c>
      <c r="B892" s="3" t="s">
        <v>4939</v>
      </c>
      <c r="C892" s="3" t="s">
        <v>31</v>
      </c>
      <c r="D892" s="3" t="s">
        <v>32</v>
      </c>
      <c r="E892" s="4" t="s">
        <v>22</v>
      </c>
      <c r="F892" s="4" t="s">
        <v>4860</v>
      </c>
      <c r="G892" s="4" t="s">
        <v>4838</v>
      </c>
      <c r="H892" s="3" t="s">
        <v>4839</v>
      </c>
      <c r="I892" s="3" t="s">
        <v>4840</v>
      </c>
      <c r="J892" s="3" t="s">
        <v>4940</v>
      </c>
      <c r="K892" s="3" t="s">
        <v>4941</v>
      </c>
      <c r="L892" s="3"/>
      <c r="M892" s="4"/>
      <c r="N892" s="3" t="s">
        <v>37</v>
      </c>
      <c r="O892" s="3" t="s">
        <v>139</v>
      </c>
      <c r="P892" s="5">
        <v>52</v>
      </c>
      <c r="Q892" s="5">
        <v>1511</v>
      </c>
      <c r="R892" s="5">
        <v>51</v>
      </c>
      <c r="S892" s="5">
        <v>1442</v>
      </c>
    </row>
    <row r="893" spans="1:19" ht="28" x14ac:dyDescent="0.15">
      <c r="A893" s="2">
        <f>HYPERLINK("https://open-school.uspishnemisto.com.ua/school/70026/", 70026)</f>
        <v>70026</v>
      </c>
      <c r="B893" s="3" t="s">
        <v>4942</v>
      </c>
      <c r="C893" s="3" t="s">
        <v>31</v>
      </c>
      <c r="D893" s="3" t="s">
        <v>32</v>
      </c>
      <c r="E893" s="4" t="s">
        <v>22</v>
      </c>
      <c r="F893" s="4" t="s">
        <v>4943</v>
      </c>
      <c r="G893" s="4" t="s">
        <v>4838</v>
      </c>
      <c r="H893" s="3" t="s">
        <v>4839</v>
      </c>
      <c r="I893" s="3" t="s">
        <v>4840</v>
      </c>
      <c r="J893" s="3" t="s">
        <v>4944</v>
      </c>
      <c r="K893" s="3" t="s">
        <v>4945</v>
      </c>
      <c r="L893" s="3"/>
      <c r="M893" s="4"/>
      <c r="N893" s="3" t="s">
        <v>37</v>
      </c>
      <c r="O893" s="3" t="s">
        <v>46</v>
      </c>
      <c r="P893" s="5">
        <v>24</v>
      </c>
      <c r="Q893" s="5">
        <v>630</v>
      </c>
      <c r="R893" s="5">
        <v>23</v>
      </c>
      <c r="S893" s="5">
        <v>595</v>
      </c>
    </row>
    <row r="894" spans="1:19" ht="42" x14ac:dyDescent="0.15">
      <c r="A894" s="2">
        <f>HYPERLINK("https://open-school.uspishnemisto.com.ua/school/70027/", 70027)</f>
        <v>70027</v>
      </c>
      <c r="B894" s="3" t="s">
        <v>4946</v>
      </c>
      <c r="C894" s="3" t="s">
        <v>244</v>
      </c>
      <c r="D894" s="3" t="s">
        <v>32</v>
      </c>
      <c r="E894" s="4" t="s">
        <v>22</v>
      </c>
      <c r="F894" s="4" t="s">
        <v>4879</v>
      </c>
      <c r="G894" s="4" t="s">
        <v>4838</v>
      </c>
      <c r="H894" s="3" t="s">
        <v>4839</v>
      </c>
      <c r="I894" s="3" t="s">
        <v>4840</v>
      </c>
      <c r="J894" s="3" t="s">
        <v>4947</v>
      </c>
      <c r="K894" s="3" t="s">
        <v>4948</v>
      </c>
      <c r="L894" s="3"/>
      <c r="M894" s="4"/>
      <c r="N894" s="3" t="s">
        <v>128</v>
      </c>
      <c r="O894" s="3" t="s">
        <v>70</v>
      </c>
      <c r="P894" s="5">
        <v>32</v>
      </c>
      <c r="Q894" s="5">
        <v>751</v>
      </c>
      <c r="R894" s="5">
        <v>32</v>
      </c>
      <c r="S894" s="5">
        <v>740</v>
      </c>
    </row>
    <row r="895" spans="1:19" ht="28" x14ac:dyDescent="0.15">
      <c r="A895" s="2">
        <f>HYPERLINK("https://open-school.uspishnemisto.com.ua/school/70028/", 70028)</f>
        <v>70028</v>
      </c>
      <c r="B895" s="3" t="s">
        <v>4949</v>
      </c>
      <c r="C895" s="3" t="s">
        <v>244</v>
      </c>
      <c r="D895" s="3" t="s">
        <v>32</v>
      </c>
      <c r="E895" s="4" t="s">
        <v>22</v>
      </c>
      <c r="F895" s="4" t="s">
        <v>4866</v>
      </c>
      <c r="G895" s="4" t="s">
        <v>4838</v>
      </c>
      <c r="H895" s="3" t="s">
        <v>4839</v>
      </c>
      <c r="I895" s="3" t="s">
        <v>4840</v>
      </c>
      <c r="J895" s="3" t="s">
        <v>4950</v>
      </c>
      <c r="K895" s="3" t="s">
        <v>4951</v>
      </c>
      <c r="L895" s="3"/>
      <c r="M895" s="4"/>
      <c r="N895" s="3" t="s">
        <v>37</v>
      </c>
      <c r="O895" s="3" t="s">
        <v>2776</v>
      </c>
      <c r="P895" s="5">
        <v>37</v>
      </c>
      <c r="Q895" s="5">
        <v>1116</v>
      </c>
      <c r="R895" s="5">
        <v>36</v>
      </c>
      <c r="S895" s="5">
        <v>1087</v>
      </c>
    </row>
    <row r="896" spans="1:19" ht="28" x14ac:dyDescent="0.15">
      <c r="A896" s="2">
        <f>HYPERLINK("https://open-school.uspishnemisto.com.ua/school/70029/", 70029)</f>
        <v>70029</v>
      </c>
      <c r="B896" s="3" t="s">
        <v>4952</v>
      </c>
      <c r="C896" s="3" t="s">
        <v>188</v>
      </c>
      <c r="D896" s="3" t="s">
        <v>32</v>
      </c>
      <c r="E896" s="4" t="s">
        <v>22</v>
      </c>
      <c r="F896" s="4" t="s">
        <v>4936</v>
      </c>
      <c r="G896" s="4" t="s">
        <v>4838</v>
      </c>
      <c r="H896" s="3" t="s">
        <v>4839</v>
      </c>
      <c r="I896" s="3" t="s">
        <v>4840</v>
      </c>
      <c r="J896" s="3" t="s">
        <v>4953</v>
      </c>
      <c r="K896" s="3" t="s">
        <v>4954</v>
      </c>
      <c r="L896" s="3" t="s">
        <v>4955</v>
      </c>
      <c r="M896" s="4"/>
      <c r="N896" s="3" t="s">
        <v>37</v>
      </c>
      <c r="O896" s="3" t="s">
        <v>237</v>
      </c>
      <c r="P896" s="5">
        <v>37</v>
      </c>
      <c r="Q896" s="5">
        <v>970</v>
      </c>
      <c r="R896" s="5">
        <v>34</v>
      </c>
      <c r="S896" s="5">
        <v>932</v>
      </c>
    </row>
    <row r="897" spans="1:19" ht="28" x14ac:dyDescent="0.15">
      <c r="A897" s="2">
        <f>HYPERLINK("https://open-school.uspishnemisto.com.ua/school/70030/", 70030)</f>
        <v>70030</v>
      </c>
      <c r="B897" s="3" t="s">
        <v>4956</v>
      </c>
      <c r="C897" s="3" t="s">
        <v>244</v>
      </c>
      <c r="D897" s="3" t="s">
        <v>32</v>
      </c>
      <c r="E897" s="4" t="s">
        <v>41</v>
      </c>
      <c r="F897" s="4" t="s">
        <v>4936</v>
      </c>
      <c r="G897" s="4" t="s">
        <v>4838</v>
      </c>
      <c r="H897" s="3" t="s">
        <v>4839</v>
      </c>
      <c r="I897" s="3" t="s">
        <v>4840</v>
      </c>
      <c r="J897" s="3" t="s">
        <v>4957</v>
      </c>
      <c r="K897" s="3" t="s">
        <v>4958</v>
      </c>
      <c r="L897" s="3"/>
      <c r="M897" s="4"/>
      <c r="N897" s="3" t="s">
        <v>37</v>
      </c>
      <c r="O897" s="3" t="s">
        <v>139</v>
      </c>
      <c r="P897" s="5">
        <v>7</v>
      </c>
      <c r="Q897" s="5">
        <v>101</v>
      </c>
      <c r="R897" s="5">
        <v>6</v>
      </c>
      <c r="S897" s="5">
        <v>86</v>
      </c>
    </row>
    <row r="898" spans="1:19" ht="42" x14ac:dyDescent="0.15">
      <c r="A898" s="2">
        <f>HYPERLINK("https://open-school.uspishnemisto.com.ua/school/70031/", 70031)</f>
        <v>70031</v>
      </c>
      <c r="B898" s="3" t="s">
        <v>4959</v>
      </c>
      <c r="C898" s="3" t="s">
        <v>40</v>
      </c>
      <c r="D898" s="3" t="s">
        <v>32</v>
      </c>
      <c r="E898" s="4" t="s">
        <v>22</v>
      </c>
      <c r="F898" s="4" t="s">
        <v>4960</v>
      </c>
      <c r="G898" s="4" t="s">
        <v>4961</v>
      </c>
      <c r="H898" s="3" t="s">
        <v>4839</v>
      </c>
      <c r="I898" s="3" t="s">
        <v>4962</v>
      </c>
      <c r="J898" s="3" t="s">
        <v>4963</v>
      </c>
      <c r="K898" s="3" t="s">
        <v>4964</v>
      </c>
      <c r="L898" s="3" t="s">
        <v>4965</v>
      </c>
      <c r="M898" s="4" t="s">
        <v>4966</v>
      </c>
      <c r="N898" s="3" t="s">
        <v>37</v>
      </c>
      <c r="O898" s="3" t="s">
        <v>167</v>
      </c>
      <c r="P898" s="5">
        <v>26</v>
      </c>
      <c r="Q898" s="5">
        <v>670</v>
      </c>
      <c r="R898" s="5">
        <v>24</v>
      </c>
      <c r="S898" s="5">
        <v>624</v>
      </c>
    </row>
    <row r="899" spans="1:19" ht="42" x14ac:dyDescent="0.15">
      <c r="A899" s="2">
        <f>HYPERLINK("https://open-school.uspishnemisto.com.ua/school/70032/", 70032)</f>
        <v>70032</v>
      </c>
      <c r="B899" s="3" t="s">
        <v>4967</v>
      </c>
      <c r="C899" s="3" t="s">
        <v>31</v>
      </c>
      <c r="D899" s="3" t="s">
        <v>32</v>
      </c>
      <c r="E899" s="4" t="s">
        <v>22</v>
      </c>
      <c r="F899" s="4" t="s">
        <v>4960</v>
      </c>
      <c r="G899" s="4" t="s">
        <v>4961</v>
      </c>
      <c r="H899" s="3" t="s">
        <v>4839</v>
      </c>
      <c r="I899" s="3" t="s">
        <v>4962</v>
      </c>
      <c r="J899" s="3" t="s">
        <v>4968</v>
      </c>
      <c r="K899" s="3" t="s">
        <v>4969</v>
      </c>
      <c r="L899" s="3"/>
      <c r="M899" s="4" t="s">
        <v>4970</v>
      </c>
      <c r="N899" s="3" t="s">
        <v>37</v>
      </c>
      <c r="O899" s="3" t="s">
        <v>129</v>
      </c>
      <c r="P899" s="5">
        <v>23</v>
      </c>
      <c r="Q899" s="5">
        <v>554</v>
      </c>
      <c r="R899" s="5">
        <v>22</v>
      </c>
      <c r="S899" s="5">
        <v>541</v>
      </c>
    </row>
    <row r="900" spans="1:19" ht="28" x14ac:dyDescent="0.15">
      <c r="A900" s="2">
        <f>HYPERLINK("https://open-school.uspishnemisto.com.ua/school/70033/", 70033)</f>
        <v>70033</v>
      </c>
      <c r="B900" s="3" t="s">
        <v>4971</v>
      </c>
      <c r="C900" s="3" t="s">
        <v>31</v>
      </c>
      <c r="D900" s="3" t="s">
        <v>32</v>
      </c>
      <c r="E900" s="4" t="s">
        <v>22</v>
      </c>
      <c r="F900" s="4" t="s">
        <v>4960</v>
      </c>
      <c r="G900" s="4" t="s">
        <v>4961</v>
      </c>
      <c r="H900" s="3" t="s">
        <v>4839</v>
      </c>
      <c r="I900" s="3" t="s">
        <v>4962</v>
      </c>
      <c r="J900" s="3" t="s">
        <v>4972</v>
      </c>
      <c r="K900" s="3" t="s">
        <v>4973</v>
      </c>
      <c r="L900" s="3"/>
      <c r="M900" s="4" t="s">
        <v>4974</v>
      </c>
      <c r="N900" s="3" t="s">
        <v>37</v>
      </c>
      <c r="O900" s="3" t="s">
        <v>266</v>
      </c>
      <c r="P900" s="5">
        <v>20</v>
      </c>
      <c r="Q900" s="5">
        <v>509</v>
      </c>
      <c r="R900" s="5">
        <v>20</v>
      </c>
      <c r="S900" s="5">
        <v>502</v>
      </c>
    </row>
    <row r="901" spans="1:19" ht="42" x14ac:dyDescent="0.15">
      <c r="A901" s="2">
        <f>HYPERLINK("https://open-school.uspishnemisto.com.ua/school/70034/", 70034)</f>
        <v>70034</v>
      </c>
      <c r="B901" s="3" t="s">
        <v>4975</v>
      </c>
      <c r="C901" s="3" t="s">
        <v>31</v>
      </c>
      <c r="D901" s="3" t="s">
        <v>32</v>
      </c>
      <c r="E901" s="4" t="s">
        <v>22</v>
      </c>
      <c r="F901" s="4" t="s">
        <v>4960</v>
      </c>
      <c r="G901" s="4" t="s">
        <v>4961</v>
      </c>
      <c r="H901" s="3" t="s">
        <v>4839</v>
      </c>
      <c r="I901" s="3" t="s">
        <v>4962</v>
      </c>
      <c r="J901" s="3" t="s">
        <v>4976</v>
      </c>
      <c r="K901" s="3" t="s">
        <v>4977</v>
      </c>
      <c r="L901" s="3"/>
      <c r="M901" s="4" t="s">
        <v>4978</v>
      </c>
      <c r="N901" s="3" t="s">
        <v>37</v>
      </c>
      <c r="O901" s="3" t="s">
        <v>129</v>
      </c>
      <c r="P901" s="5">
        <v>47</v>
      </c>
      <c r="Q901" s="5">
        <v>1284</v>
      </c>
      <c r="R901" s="5">
        <v>47</v>
      </c>
      <c r="S901" s="5">
        <v>1268</v>
      </c>
    </row>
    <row r="902" spans="1:19" ht="28" x14ac:dyDescent="0.15">
      <c r="A902" s="2">
        <f>HYPERLINK("https://open-school.uspishnemisto.com.ua/school/70035/", 70035)</f>
        <v>70035</v>
      </c>
      <c r="B902" s="3" t="s">
        <v>4979</v>
      </c>
      <c r="C902" s="3" t="s">
        <v>181</v>
      </c>
      <c r="D902" s="3" t="s">
        <v>32</v>
      </c>
      <c r="E902" s="4" t="s">
        <v>22</v>
      </c>
      <c r="F902" s="4" t="s">
        <v>4960</v>
      </c>
      <c r="G902" s="4" t="s">
        <v>4961</v>
      </c>
      <c r="H902" s="3" t="s">
        <v>4839</v>
      </c>
      <c r="I902" s="3" t="s">
        <v>4962</v>
      </c>
      <c r="J902" s="3" t="s">
        <v>4980</v>
      </c>
      <c r="K902" s="3" t="s">
        <v>4981</v>
      </c>
      <c r="L902" s="3"/>
      <c r="M902" s="4" t="s">
        <v>4982</v>
      </c>
      <c r="N902" s="3" t="s">
        <v>37</v>
      </c>
      <c r="O902" s="3" t="s">
        <v>52</v>
      </c>
      <c r="P902" s="5">
        <v>16</v>
      </c>
      <c r="Q902" s="5">
        <v>111</v>
      </c>
      <c r="R902" s="5">
        <v>16</v>
      </c>
      <c r="S902" s="5">
        <v>111</v>
      </c>
    </row>
    <row r="903" spans="1:19" ht="42" x14ac:dyDescent="0.15">
      <c r="A903" s="2">
        <f>HYPERLINK("https://open-school.uspishnemisto.com.ua/school/70036/", 70036)</f>
        <v>70036</v>
      </c>
      <c r="B903" s="3" t="s">
        <v>4983</v>
      </c>
      <c r="C903" s="3" t="s">
        <v>188</v>
      </c>
      <c r="D903" s="3" t="s">
        <v>32</v>
      </c>
      <c r="E903" s="4" t="s">
        <v>22</v>
      </c>
      <c r="F903" s="4" t="s">
        <v>4960</v>
      </c>
      <c r="G903" s="4" t="s">
        <v>4961</v>
      </c>
      <c r="H903" s="3" t="s">
        <v>4839</v>
      </c>
      <c r="I903" s="3" t="s">
        <v>4962</v>
      </c>
      <c r="J903" s="3" t="s">
        <v>4984</v>
      </c>
      <c r="K903" s="3" t="s">
        <v>4985</v>
      </c>
      <c r="L903" s="3" t="s">
        <v>4986</v>
      </c>
      <c r="M903" s="4" t="s">
        <v>4987</v>
      </c>
      <c r="N903" s="3" t="s">
        <v>37</v>
      </c>
      <c r="O903" s="3" t="s">
        <v>70</v>
      </c>
      <c r="P903" s="5">
        <v>44</v>
      </c>
      <c r="Q903" s="5">
        <v>1178</v>
      </c>
      <c r="R903" s="5">
        <v>42</v>
      </c>
      <c r="S903" s="5">
        <v>1145</v>
      </c>
    </row>
    <row r="904" spans="1:19" ht="28" x14ac:dyDescent="0.15">
      <c r="A904" s="2">
        <f>HYPERLINK("https://open-school.uspishnemisto.com.ua/school/70037/", 70037)</f>
        <v>70037</v>
      </c>
      <c r="B904" s="3" t="s">
        <v>4988</v>
      </c>
      <c r="C904" s="3" t="s">
        <v>4989</v>
      </c>
      <c r="D904" s="3" t="s">
        <v>32</v>
      </c>
      <c r="E904" s="4" t="s">
        <v>22</v>
      </c>
      <c r="F904" s="4" t="s">
        <v>4960</v>
      </c>
      <c r="G904" s="4" t="s">
        <v>4961</v>
      </c>
      <c r="H904" s="3" t="s">
        <v>4839</v>
      </c>
      <c r="I904" s="3" t="s">
        <v>4962</v>
      </c>
      <c r="J904" s="3" t="s">
        <v>4990</v>
      </c>
      <c r="K904" s="3" t="s">
        <v>4991</v>
      </c>
      <c r="L904" s="3" t="s">
        <v>4992</v>
      </c>
      <c r="M904" s="4" t="s">
        <v>4993</v>
      </c>
      <c r="N904" s="3" t="s">
        <v>37</v>
      </c>
      <c r="O904" s="3" t="s">
        <v>237</v>
      </c>
      <c r="P904" s="5">
        <v>21</v>
      </c>
      <c r="Q904" s="5">
        <v>582</v>
      </c>
      <c r="R904" s="5">
        <v>22</v>
      </c>
      <c r="S904" s="5">
        <v>558</v>
      </c>
    </row>
    <row r="905" spans="1:19" ht="28" x14ac:dyDescent="0.15">
      <c r="A905" s="2">
        <f>HYPERLINK("https://open-school.uspishnemisto.com.ua/school/70038/", 70038)</f>
        <v>70038</v>
      </c>
      <c r="B905" s="3" t="s">
        <v>4994</v>
      </c>
      <c r="C905" s="3" t="s">
        <v>20</v>
      </c>
      <c r="D905" s="3" t="s">
        <v>21</v>
      </c>
      <c r="E905" s="4" t="s">
        <v>22</v>
      </c>
      <c r="F905" s="4" t="s">
        <v>4995</v>
      </c>
      <c r="G905" s="4" t="s">
        <v>4996</v>
      </c>
      <c r="H905" s="3" t="s">
        <v>4839</v>
      </c>
      <c r="I905" s="3" t="s">
        <v>4997</v>
      </c>
      <c r="J905" s="3" t="s">
        <v>4998</v>
      </c>
      <c r="K905" s="3" t="s">
        <v>4999</v>
      </c>
      <c r="L905" s="3"/>
      <c r="M905" s="4"/>
      <c r="N905" s="3"/>
      <c r="O905" s="3"/>
      <c r="P905" s="5">
        <v>0</v>
      </c>
      <c r="Q905" s="5">
        <v>0</v>
      </c>
      <c r="R905" s="5"/>
      <c r="S905" s="5"/>
    </row>
    <row r="906" spans="1:19" ht="28" x14ac:dyDescent="0.15">
      <c r="A906" s="2">
        <f>HYPERLINK("https://open-school.uspishnemisto.com.ua/school/70039/", 70039)</f>
        <v>70039</v>
      </c>
      <c r="B906" s="3" t="s">
        <v>5000</v>
      </c>
      <c r="C906" s="3" t="s">
        <v>31</v>
      </c>
      <c r="D906" s="3" t="s">
        <v>32</v>
      </c>
      <c r="E906" s="4" t="s">
        <v>22</v>
      </c>
      <c r="F906" s="4" t="s">
        <v>4995</v>
      </c>
      <c r="G906" s="4" t="s">
        <v>4996</v>
      </c>
      <c r="H906" s="3" t="s">
        <v>4839</v>
      </c>
      <c r="I906" s="3" t="s">
        <v>4997</v>
      </c>
      <c r="J906" s="3" t="s">
        <v>5001</v>
      </c>
      <c r="K906" s="3" t="s">
        <v>5002</v>
      </c>
      <c r="L906" s="3"/>
      <c r="M906" s="4"/>
      <c r="N906" s="3" t="s">
        <v>37</v>
      </c>
      <c r="O906" s="3" t="s">
        <v>46</v>
      </c>
      <c r="P906" s="5">
        <v>19</v>
      </c>
      <c r="Q906" s="5">
        <v>485</v>
      </c>
      <c r="R906" s="5">
        <v>18</v>
      </c>
      <c r="S906" s="5">
        <v>464</v>
      </c>
    </row>
    <row r="907" spans="1:19" ht="28" x14ac:dyDescent="0.15">
      <c r="A907" s="2">
        <f>HYPERLINK("https://open-school.uspishnemisto.com.ua/school/70040/", 70040)</f>
        <v>70040</v>
      </c>
      <c r="B907" s="3" t="s">
        <v>5003</v>
      </c>
      <c r="C907" s="3" t="s">
        <v>31</v>
      </c>
      <c r="D907" s="3" t="s">
        <v>175</v>
      </c>
      <c r="E907" s="4" t="s">
        <v>22</v>
      </c>
      <c r="F907" s="4" t="s">
        <v>4995</v>
      </c>
      <c r="G907" s="4" t="s">
        <v>4996</v>
      </c>
      <c r="H907" s="3" t="s">
        <v>4839</v>
      </c>
      <c r="I907" s="3" t="s">
        <v>4997</v>
      </c>
      <c r="J907" s="3" t="s">
        <v>4998</v>
      </c>
      <c r="K907" s="3" t="s">
        <v>5004</v>
      </c>
      <c r="L907" s="3"/>
      <c r="M907" s="4"/>
      <c r="N907" s="3" t="s">
        <v>37</v>
      </c>
      <c r="O907" s="3" t="s">
        <v>52</v>
      </c>
      <c r="P907" s="5">
        <v>10</v>
      </c>
      <c r="Q907" s="5">
        <v>246</v>
      </c>
      <c r="R907" s="5">
        <v>10</v>
      </c>
      <c r="S907" s="5">
        <v>238</v>
      </c>
    </row>
    <row r="908" spans="1:19" ht="28" x14ac:dyDescent="0.15">
      <c r="A908" s="2">
        <f>HYPERLINK("https://open-school.uspishnemisto.com.ua/school/70041/", 70041)</f>
        <v>70041</v>
      </c>
      <c r="B908" s="3" t="s">
        <v>5005</v>
      </c>
      <c r="C908" s="3" t="s">
        <v>31</v>
      </c>
      <c r="D908" s="3" t="s">
        <v>175</v>
      </c>
      <c r="E908" s="4" t="s">
        <v>22</v>
      </c>
      <c r="F908" s="4" t="s">
        <v>4995</v>
      </c>
      <c r="G908" s="4" t="s">
        <v>4996</v>
      </c>
      <c r="H908" s="3" t="s">
        <v>4839</v>
      </c>
      <c r="I908" s="3" t="s">
        <v>4997</v>
      </c>
      <c r="J908" s="3" t="s">
        <v>5006</v>
      </c>
      <c r="K908" s="3" t="s">
        <v>5007</v>
      </c>
      <c r="L908" s="3"/>
      <c r="M908" s="4"/>
      <c r="N908" s="3" t="s">
        <v>37</v>
      </c>
      <c r="O908" s="3" t="s">
        <v>38</v>
      </c>
      <c r="P908" s="5">
        <v>9</v>
      </c>
      <c r="Q908" s="5">
        <v>209</v>
      </c>
      <c r="R908" s="5">
        <v>9</v>
      </c>
      <c r="S908" s="5">
        <v>208</v>
      </c>
    </row>
    <row r="909" spans="1:19" ht="28" x14ac:dyDescent="0.15">
      <c r="A909" s="2">
        <f>HYPERLINK("https://open-school.uspishnemisto.com.ua/school/70042/", 70042)</f>
        <v>70042</v>
      </c>
      <c r="B909" s="3" t="s">
        <v>5008</v>
      </c>
      <c r="C909" s="3" t="s">
        <v>31</v>
      </c>
      <c r="D909" s="3" t="s">
        <v>32</v>
      </c>
      <c r="E909" s="4" t="s">
        <v>22</v>
      </c>
      <c r="F909" s="4" t="s">
        <v>5009</v>
      </c>
      <c r="G909" s="4" t="s">
        <v>4996</v>
      </c>
      <c r="H909" s="3" t="s">
        <v>4839</v>
      </c>
      <c r="I909" s="3" t="s">
        <v>4997</v>
      </c>
      <c r="J909" s="3" t="s">
        <v>5010</v>
      </c>
      <c r="K909" s="3" t="s">
        <v>5011</v>
      </c>
      <c r="L909" s="3" t="s">
        <v>5012</v>
      </c>
      <c r="M909" s="4"/>
      <c r="N909" s="3" t="s">
        <v>37</v>
      </c>
      <c r="O909" s="3" t="s">
        <v>46</v>
      </c>
      <c r="P909" s="5">
        <v>33</v>
      </c>
      <c r="Q909" s="5">
        <v>885</v>
      </c>
      <c r="R909" s="5">
        <v>32</v>
      </c>
      <c r="S909" s="5">
        <v>884</v>
      </c>
    </row>
    <row r="910" spans="1:19" ht="28" x14ac:dyDescent="0.15">
      <c r="A910" s="2">
        <f>HYPERLINK("https://open-school.uspishnemisto.com.ua/school/70043/", 70043)</f>
        <v>70043</v>
      </c>
      <c r="B910" s="3" t="s">
        <v>5013</v>
      </c>
      <c r="C910" s="3" t="s">
        <v>31</v>
      </c>
      <c r="D910" s="3" t="s">
        <v>32</v>
      </c>
      <c r="E910" s="4" t="s">
        <v>22</v>
      </c>
      <c r="F910" s="4" t="s">
        <v>4995</v>
      </c>
      <c r="G910" s="4" t="s">
        <v>4996</v>
      </c>
      <c r="H910" s="3" t="s">
        <v>4839</v>
      </c>
      <c r="I910" s="3" t="s">
        <v>4997</v>
      </c>
      <c r="J910" s="3" t="s">
        <v>5014</v>
      </c>
      <c r="K910" s="3"/>
      <c r="L910" s="3"/>
      <c r="M910" s="4"/>
      <c r="N910" s="3" t="s">
        <v>37</v>
      </c>
      <c r="O910" s="3" t="s">
        <v>52</v>
      </c>
      <c r="P910" s="5">
        <v>34</v>
      </c>
      <c r="Q910" s="5">
        <v>983</v>
      </c>
      <c r="R910" s="5">
        <v>33</v>
      </c>
      <c r="S910" s="5">
        <v>975</v>
      </c>
    </row>
    <row r="911" spans="1:19" ht="28" x14ac:dyDescent="0.15">
      <c r="A911" s="2">
        <f>HYPERLINK("https://open-school.uspishnemisto.com.ua/school/70044/", 70044)</f>
        <v>70044</v>
      </c>
      <c r="B911" s="3" t="s">
        <v>5015</v>
      </c>
      <c r="C911" s="3" t="s">
        <v>31</v>
      </c>
      <c r="D911" s="3" t="s">
        <v>32</v>
      </c>
      <c r="E911" s="4" t="s">
        <v>22</v>
      </c>
      <c r="F911" s="4" t="s">
        <v>5016</v>
      </c>
      <c r="G911" s="4" t="s">
        <v>4996</v>
      </c>
      <c r="H911" s="3" t="s">
        <v>4839</v>
      </c>
      <c r="I911" s="3" t="s">
        <v>4997</v>
      </c>
      <c r="J911" s="3" t="s">
        <v>5017</v>
      </c>
      <c r="K911" s="3" t="s">
        <v>5018</v>
      </c>
      <c r="L911" s="3"/>
      <c r="M911" s="4"/>
      <c r="N911" s="3" t="s">
        <v>37</v>
      </c>
      <c r="O911" s="3" t="s">
        <v>266</v>
      </c>
      <c r="P911" s="5">
        <v>39</v>
      </c>
      <c r="Q911" s="5">
        <v>1128</v>
      </c>
      <c r="R911" s="5">
        <v>39</v>
      </c>
      <c r="S911" s="5">
        <v>1101</v>
      </c>
    </row>
    <row r="912" spans="1:19" ht="28" x14ac:dyDescent="0.15">
      <c r="A912" s="2">
        <f>HYPERLINK("https://open-school.uspishnemisto.com.ua/school/70045/", 70045)</f>
        <v>70045</v>
      </c>
      <c r="B912" s="3" t="s">
        <v>5019</v>
      </c>
      <c r="C912" s="3" t="s">
        <v>31</v>
      </c>
      <c r="D912" s="3" t="s">
        <v>32</v>
      </c>
      <c r="E912" s="4" t="s">
        <v>22</v>
      </c>
      <c r="F912" s="4" t="s">
        <v>4995</v>
      </c>
      <c r="G912" s="4" t="s">
        <v>4996</v>
      </c>
      <c r="H912" s="3" t="s">
        <v>4839</v>
      </c>
      <c r="I912" s="3" t="s">
        <v>4997</v>
      </c>
      <c r="J912" s="3" t="s">
        <v>5020</v>
      </c>
      <c r="K912" s="3" t="s">
        <v>5021</v>
      </c>
      <c r="L912" s="3"/>
      <c r="M912" s="4"/>
      <c r="N912" s="3" t="s">
        <v>37</v>
      </c>
      <c r="O912" s="3" t="s">
        <v>129</v>
      </c>
      <c r="P912" s="5">
        <v>18</v>
      </c>
      <c r="Q912" s="5">
        <v>407</v>
      </c>
      <c r="R912" s="5">
        <v>18</v>
      </c>
      <c r="S912" s="5">
        <v>421</v>
      </c>
    </row>
    <row r="913" spans="1:19" ht="28" x14ac:dyDescent="0.15">
      <c r="A913" s="2">
        <f>HYPERLINK("https://open-school.uspishnemisto.com.ua/school/70046/", 70046)</f>
        <v>70046</v>
      </c>
      <c r="B913" s="3" t="s">
        <v>5022</v>
      </c>
      <c r="C913" s="3" t="s">
        <v>31</v>
      </c>
      <c r="D913" s="3" t="s">
        <v>32</v>
      </c>
      <c r="E913" s="4" t="s">
        <v>22</v>
      </c>
      <c r="F913" s="4" t="s">
        <v>4995</v>
      </c>
      <c r="G913" s="4" t="s">
        <v>4996</v>
      </c>
      <c r="H913" s="3" t="s">
        <v>4839</v>
      </c>
      <c r="I913" s="3" t="s">
        <v>4997</v>
      </c>
      <c r="J913" s="3" t="s">
        <v>5023</v>
      </c>
      <c r="K913" s="3" t="s">
        <v>5024</v>
      </c>
      <c r="L913" s="3"/>
      <c r="M913" s="4"/>
      <c r="N913" s="3" t="s">
        <v>37</v>
      </c>
      <c r="O913" s="3" t="s">
        <v>139</v>
      </c>
      <c r="P913" s="5">
        <v>11</v>
      </c>
      <c r="Q913" s="5">
        <v>276</v>
      </c>
      <c r="R913" s="5">
        <v>11</v>
      </c>
      <c r="S913" s="5">
        <v>269</v>
      </c>
    </row>
    <row r="914" spans="1:19" ht="28" x14ac:dyDescent="0.15">
      <c r="A914" s="2">
        <f>HYPERLINK("https://open-school.uspishnemisto.com.ua/school/70047/", 70047)</f>
        <v>70047</v>
      </c>
      <c r="B914" s="3" t="s">
        <v>5025</v>
      </c>
      <c r="C914" s="3" t="s">
        <v>31</v>
      </c>
      <c r="D914" s="3" t="s">
        <v>32</v>
      </c>
      <c r="E914" s="4" t="s">
        <v>22</v>
      </c>
      <c r="F914" s="4" t="s">
        <v>4995</v>
      </c>
      <c r="G914" s="4" t="s">
        <v>4996</v>
      </c>
      <c r="H914" s="3" t="s">
        <v>4839</v>
      </c>
      <c r="I914" s="3" t="s">
        <v>4997</v>
      </c>
      <c r="J914" s="3" t="s">
        <v>5026</v>
      </c>
      <c r="K914" s="3" t="s">
        <v>5027</v>
      </c>
      <c r="L914" s="3"/>
      <c r="M914" s="4"/>
      <c r="N914" s="3" t="s">
        <v>37</v>
      </c>
      <c r="O914" s="3" t="s">
        <v>46</v>
      </c>
      <c r="P914" s="5">
        <v>37</v>
      </c>
      <c r="Q914" s="5">
        <v>1004</v>
      </c>
      <c r="R914" s="5">
        <v>37</v>
      </c>
      <c r="S914" s="5">
        <v>1002</v>
      </c>
    </row>
    <row r="915" spans="1:19" ht="28" x14ac:dyDescent="0.15">
      <c r="A915" s="2">
        <f>HYPERLINK("https://open-school.uspishnemisto.com.ua/school/70048/", 70048)</f>
        <v>70048</v>
      </c>
      <c r="B915" s="3" t="s">
        <v>5028</v>
      </c>
      <c r="C915" s="3" t="s">
        <v>31</v>
      </c>
      <c r="D915" s="3" t="s">
        <v>21</v>
      </c>
      <c r="E915" s="4" t="s">
        <v>253</v>
      </c>
      <c r="F915" s="4" t="s">
        <v>4995</v>
      </c>
      <c r="G915" s="4" t="s">
        <v>4996</v>
      </c>
      <c r="H915" s="3" t="s">
        <v>4839</v>
      </c>
      <c r="I915" s="3" t="s">
        <v>4997</v>
      </c>
      <c r="J915" s="3" t="s">
        <v>5029</v>
      </c>
      <c r="K915" s="3" t="s">
        <v>5030</v>
      </c>
      <c r="L915" s="3"/>
      <c r="M915" s="4"/>
      <c r="N915" s="3" t="s">
        <v>37</v>
      </c>
      <c r="O915" s="3" t="s">
        <v>52</v>
      </c>
      <c r="P915" s="5">
        <v>2</v>
      </c>
      <c r="Q915" s="5">
        <v>23</v>
      </c>
      <c r="R915" s="5">
        <v>5</v>
      </c>
      <c r="S915" s="5">
        <v>52</v>
      </c>
    </row>
    <row r="916" spans="1:19" ht="28" x14ac:dyDescent="0.15">
      <c r="A916" s="2">
        <f>HYPERLINK("https://open-school.uspishnemisto.com.ua/school/70049/", 70049)</f>
        <v>70049</v>
      </c>
      <c r="B916" s="3" t="s">
        <v>5031</v>
      </c>
      <c r="C916" s="3" t="s">
        <v>40</v>
      </c>
      <c r="D916" s="3" t="s">
        <v>32</v>
      </c>
      <c r="E916" s="4" t="s">
        <v>22</v>
      </c>
      <c r="F916" s="4" t="s">
        <v>4995</v>
      </c>
      <c r="G916" s="4" t="s">
        <v>4996</v>
      </c>
      <c r="H916" s="3" t="s">
        <v>4839</v>
      </c>
      <c r="I916" s="3" t="s">
        <v>4997</v>
      </c>
      <c r="J916" s="3" t="s">
        <v>5032</v>
      </c>
      <c r="K916" s="3" t="s">
        <v>5033</v>
      </c>
      <c r="L916" s="3"/>
      <c r="M916" s="4"/>
      <c r="N916" s="3" t="s">
        <v>37</v>
      </c>
      <c r="O916" s="3" t="s">
        <v>70</v>
      </c>
      <c r="P916" s="5">
        <v>16</v>
      </c>
      <c r="Q916" s="5">
        <v>409</v>
      </c>
      <c r="R916" s="5">
        <v>15</v>
      </c>
      <c r="S916" s="5">
        <v>365</v>
      </c>
    </row>
    <row r="917" spans="1:19" ht="28" x14ac:dyDescent="0.15">
      <c r="A917" s="2">
        <f>HYPERLINK("https://open-school.uspishnemisto.com.ua/school/70050/", 70050)</f>
        <v>70050</v>
      </c>
      <c r="B917" s="3" t="s">
        <v>5034</v>
      </c>
      <c r="C917" s="3" t="s">
        <v>244</v>
      </c>
      <c r="D917" s="3" t="s">
        <v>32</v>
      </c>
      <c r="E917" s="4" t="s">
        <v>22</v>
      </c>
      <c r="F917" s="4" t="s">
        <v>4995</v>
      </c>
      <c r="G917" s="4" t="s">
        <v>4996</v>
      </c>
      <c r="H917" s="3" t="s">
        <v>4839</v>
      </c>
      <c r="I917" s="3" t="s">
        <v>4997</v>
      </c>
      <c r="J917" s="3" t="s">
        <v>5035</v>
      </c>
      <c r="K917" s="3" t="s">
        <v>5036</v>
      </c>
      <c r="L917" s="3" t="s">
        <v>5037</v>
      </c>
      <c r="M917" s="4"/>
      <c r="N917" s="3" t="s">
        <v>37</v>
      </c>
      <c r="O917" s="3" t="s">
        <v>46</v>
      </c>
      <c r="P917" s="5">
        <v>30</v>
      </c>
      <c r="Q917" s="5">
        <v>856</v>
      </c>
      <c r="R917" s="5">
        <v>30</v>
      </c>
      <c r="S917" s="5">
        <v>837</v>
      </c>
    </row>
    <row r="918" spans="1:19" ht="42" x14ac:dyDescent="0.15">
      <c r="A918" s="2">
        <f>HYPERLINK("https://open-school.uspishnemisto.com.ua/school/70051/", 70051)</f>
        <v>70051</v>
      </c>
      <c r="B918" s="3" t="s">
        <v>5038</v>
      </c>
      <c r="C918" s="3" t="s">
        <v>2128</v>
      </c>
      <c r="D918" s="3" t="s">
        <v>32</v>
      </c>
      <c r="E918" s="4" t="s">
        <v>22</v>
      </c>
      <c r="F918" s="4" t="s">
        <v>5039</v>
      </c>
      <c r="G918" s="4" t="s">
        <v>4996</v>
      </c>
      <c r="H918" s="3" t="s">
        <v>4839</v>
      </c>
      <c r="I918" s="3" t="s">
        <v>4997</v>
      </c>
      <c r="J918" s="3" t="s">
        <v>5040</v>
      </c>
      <c r="K918" s="3" t="s">
        <v>5041</v>
      </c>
      <c r="L918" s="3"/>
      <c r="M918" s="4"/>
      <c r="N918" s="3" t="s">
        <v>37</v>
      </c>
      <c r="O918" s="3" t="s">
        <v>46</v>
      </c>
      <c r="P918" s="5">
        <v>45</v>
      </c>
      <c r="Q918" s="5">
        <v>1258</v>
      </c>
      <c r="R918" s="5">
        <v>45</v>
      </c>
      <c r="S918" s="5">
        <v>1229</v>
      </c>
    </row>
    <row r="919" spans="1:19" ht="42" x14ac:dyDescent="0.15">
      <c r="A919" s="2">
        <f>HYPERLINK("https://open-school.uspishnemisto.com.ua/school/70052/", 70052)</f>
        <v>70052</v>
      </c>
      <c r="B919" s="3" t="s">
        <v>5042</v>
      </c>
      <c r="C919" s="3" t="s">
        <v>188</v>
      </c>
      <c r="D919" s="3" t="s">
        <v>32</v>
      </c>
      <c r="E919" s="4" t="s">
        <v>22</v>
      </c>
      <c r="F919" s="4" t="s">
        <v>4995</v>
      </c>
      <c r="G919" s="4" t="s">
        <v>4996</v>
      </c>
      <c r="H919" s="3" t="s">
        <v>4839</v>
      </c>
      <c r="I919" s="3" t="s">
        <v>4997</v>
      </c>
      <c r="J919" s="3" t="s">
        <v>5043</v>
      </c>
      <c r="K919" s="3" t="s">
        <v>5044</v>
      </c>
      <c r="L919" s="3" t="s">
        <v>5045</v>
      </c>
      <c r="M919" s="4"/>
      <c r="N919" s="3" t="s">
        <v>37</v>
      </c>
      <c r="O919" s="3" t="s">
        <v>139</v>
      </c>
      <c r="P919" s="5">
        <v>40</v>
      </c>
      <c r="Q919" s="5">
        <v>1055</v>
      </c>
      <c r="R919" s="5">
        <v>37</v>
      </c>
      <c r="S919" s="5">
        <v>1012</v>
      </c>
    </row>
    <row r="920" spans="1:19" ht="42" x14ac:dyDescent="0.15">
      <c r="A920" s="2">
        <f>HYPERLINK("https://open-school.uspishnemisto.com.ua/school/70053/", 70053)</f>
        <v>70053</v>
      </c>
      <c r="B920" s="3" t="s">
        <v>5046</v>
      </c>
      <c r="C920" s="3" t="s">
        <v>2128</v>
      </c>
      <c r="D920" s="3" t="s">
        <v>32</v>
      </c>
      <c r="E920" s="4" t="s">
        <v>22</v>
      </c>
      <c r="F920" s="4" t="s">
        <v>5047</v>
      </c>
      <c r="G920" s="4" t="s">
        <v>5048</v>
      </c>
      <c r="H920" s="3" t="s">
        <v>4839</v>
      </c>
      <c r="I920" s="3" t="s">
        <v>5049</v>
      </c>
      <c r="J920" s="3" t="s">
        <v>5050</v>
      </c>
      <c r="K920" s="3" t="s">
        <v>5051</v>
      </c>
      <c r="L920" s="3" t="s">
        <v>5052</v>
      </c>
      <c r="M920" s="4"/>
      <c r="N920" s="3" t="s">
        <v>37</v>
      </c>
      <c r="O920" s="3" t="s">
        <v>4858</v>
      </c>
      <c r="P920" s="5">
        <v>25</v>
      </c>
      <c r="Q920" s="5">
        <v>763</v>
      </c>
      <c r="R920" s="5">
        <v>26</v>
      </c>
      <c r="S920" s="5">
        <v>771</v>
      </c>
    </row>
    <row r="921" spans="1:19" ht="28" x14ac:dyDescent="0.15">
      <c r="A921" s="2">
        <f>HYPERLINK("https://open-school.uspishnemisto.com.ua/school/70054/", 70054)</f>
        <v>70054</v>
      </c>
      <c r="B921" s="3" t="s">
        <v>5053</v>
      </c>
      <c r="C921" s="3" t="s">
        <v>40</v>
      </c>
      <c r="D921" s="3" t="s">
        <v>32</v>
      </c>
      <c r="E921" s="4" t="s">
        <v>22</v>
      </c>
      <c r="F921" s="4" t="s">
        <v>5047</v>
      </c>
      <c r="G921" s="4" t="s">
        <v>5048</v>
      </c>
      <c r="H921" s="3" t="s">
        <v>4839</v>
      </c>
      <c r="I921" s="3" t="s">
        <v>5049</v>
      </c>
      <c r="J921" s="3" t="s">
        <v>5054</v>
      </c>
      <c r="K921" s="3" t="s">
        <v>5055</v>
      </c>
      <c r="L921" s="3"/>
      <c r="M921" s="4"/>
      <c r="N921" s="3" t="s">
        <v>37</v>
      </c>
      <c r="O921" s="3" t="s">
        <v>46</v>
      </c>
      <c r="P921" s="5">
        <v>23</v>
      </c>
      <c r="Q921" s="5">
        <v>645</v>
      </c>
      <c r="R921" s="5">
        <v>23</v>
      </c>
      <c r="S921" s="5">
        <v>619</v>
      </c>
    </row>
    <row r="922" spans="1:19" ht="28" x14ac:dyDescent="0.15">
      <c r="A922" s="2">
        <f>HYPERLINK("https://open-school.uspishnemisto.com.ua/school/70055/", 70055)</f>
        <v>70055</v>
      </c>
      <c r="B922" s="3" t="s">
        <v>5056</v>
      </c>
      <c r="C922" s="3" t="s">
        <v>31</v>
      </c>
      <c r="D922" s="3" t="s">
        <v>32</v>
      </c>
      <c r="E922" s="4" t="s">
        <v>22</v>
      </c>
      <c r="F922" s="4" t="s">
        <v>5047</v>
      </c>
      <c r="G922" s="4" t="s">
        <v>5048</v>
      </c>
      <c r="H922" s="3" t="s">
        <v>4839</v>
      </c>
      <c r="I922" s="3" t="s">
        <v>5049</v>
      </c>
      <c r="J922" s="3" t="s">
        <v>5057</v>
      </c>
      <c r="K922" s="3" t="s">
        <v>5058</v>
      </c>
      <c r="L922" s="3"/>
      <c r="M922" s="4"/>
      <c r="N922" s="3" t="s">
        <v>37</v>
      </c>
      <c r="O922" s="3" t="s">
        <v>38</v>
      </c>
      <c r="P922" s="5">
        <v>20</v>
      </c>
      <c r="Q922" s="5">
        <v>611</v>
      </c>
      <c r="R922" s="5">
        <v>20</v>
      </c>
      <c r="S922" s="5">
        <v>583</v>
      </c>
    </row>
    <row r="923" spans="1:19" ht="28" x14ac:dyDescent="0.15">
      <c r="A923" s="2">
        <f>HYPERLINK("https://open-school.uspishnemisto.com.ua/school/70056/", 70056)</f>
        <v>70056</v>
      </c>
      <c r="B923" s="3" t="s">
        <v>5059</v>
      </c>
      <c r="C923" s="3" t="s">
        <v>31</v>
      </c>
      <c r="D923" s="3" t="s">
        <v>32</v>
      </c>
      <c r="E923" s="4" t="s">
        <v>22</v>
      </c>
      <c r="F923" s="4" t="s">
        <v>5060</v>
      </c>
      <c r="G923" s="4" t="s">
        <v>5048</v>
      </c>
      <c r="H923" s="3" t="s">
        <v>4839</v>
      </c>
      <c r="I923" s="3" t="s">
        <v>5049</v>
      </c>
      <c r="J923" s="3" t="s">
        <v>5061</v>
      </c>
      <c r="K923" s="3" t="s">
        <v>5062</v>
      </c>
      <c r="L923" s="3"/>
      <c r="M923" s="4"/>
      <c r="N923" s="3" t="s">
        <v>37</v>
      </c>
      <c r="O923" s="3" t="s">
        <v>46</v>
      </c>
      <c r="P923" s="5">
        <v>26</v>
      </c>
      <c r="Q923" s="5">
        <v>787</v>
      </c>
      <c r="R923" s="5">
        <v>27</v>
      </c>
      <c r="S923" s="5">
        <v>803</v>
      </c>
    </row>
    <row r="924" spans="1:19" ht="28" x14ac:dyDescent="0.15">
      <c r="A924" s="2">
        <f>HYPERLINK("https://open-school.uspishnemisto.com.ua/school/70057/", 70057)</f>
        <v>70057</v>
      </c>
      <c r="B924" s="3" t="s">
        <v>5063</v>
      </c>
      <c r="C924" s="3" t="s">
        <v>31</v>
      </c>
      <c r="D924" s="3" t="s">
        <v>32</v>
      </c>
      <c r="E924" s="4" t="s">
        <v>22</v>
      </c>
      <c r="F924" s="4" t="s">
        <v>5047</v>
      </c>
      <c r="G924" s="4" t="s">
        <v>5048</v>
      </c>
      <c r="H924" s="3" t="s">
        <v>4839</v>
      </c>
      <c r="I924" s="3" t="s">
        <v>5049</v>
      </c>
      <c r="J924" s="3" t="s">
        <v>5064</v>
      </c>
      <c r="K924" s="3" t="s">
        <v>5065</v>
      </c>
      <c r="L924" s="3" t="s">
        <v>5066</v>
      </c>
      <c r="M924" s="4"/>
      <c r="N924" s="3" t="s">
        <v>37</v>
      </c>
      <c r="O924" s="3" t="s">
        <v>139</v>
      </c>
      <c r="P924" s="5">
        <v>19</v>
      </c>
      <c r="Q924" s="5">
        <v>558</v>
      </c>
      <c r="R924" s="5">
        <v>20</v>
      </c>
      <c r="S924" s="5">
        <v>551</v>
      </c>
    </row>
    <row r="925" spans="1:19" ht="28" x14ac:dyDescent="0.15">
      <c r="A925" s="2">
        <f>HYPERLINK("https://open-school.uspishnemisto.com.ua/school/70058/", 70058)</f>
        <v>70058</v>
      </c>
      <c r="B925" s="3" t="s">
        <v>5067</v>
      </c>
      <c r="C925" s="3" t="s">
        <v>31</v>
      </c>
      <c r="D925" s="3" t="s">
        <v>32</v>
      </c>
      <c r="E925" s="4" t="s">
        <v>22</v>
      </c>
      <c r="F925" s="4" t="s">
        <v>5047</v>
      </c>
      <c r="G925" s="4" t="s">
        <v>5048</v>
      </c>
      <c r="H925" s="3" t="s">
        <v>4839</v>
      </c>
      <c r="I925" s="3" t="s">
        <v>5049</v>
      </c>
      <c r="J925" s="3" t="s">
        <v>5068</v>
      </c>
      <c r="K925" s="3" t="s">
        <v>5069</v>
      </c>
      <c r="L925" s="3"/>
      <c r="M925" s="4"/>
      <c r="N925" s="3" t="s">
        <v>37</v>
      </c>
      <c r="O925" s="3" t="s">
        <v>46</v>
      </c>
      <c r="P925" s="5">
        <v>26</v>
      </c>
      <c r="Q925" s="5">
        <v>744</v>
      </c>
      <c r="R925" s="5">
        <v>26</v>
      </c>
      <c r="S925" s="5">
        <v>726</v>
      </c>
    </row>
    <row r="926" spans="1:19" ht="42" x14ac:dyDescent="0.15">
      <c r="A926" s="2">
        <f>HYPERLINK("https://open-school.uspishnemisto.com.ua/school/70059/", 70059)</f>
        <v>70059</v>
      </c>
      <c r="B926" s="3" t="s">
        <v>5070</v>
      </c>
      <c r="C926" s="3" t="s">
        <v>31</v>
      </c>
      <c r="D926" s="3" t="s">
        <v>32</v>
      </c>
      <c r="E926" s="4" t="s">
        <v>22</v>
      </c>
      <c r="F926" s="4" t="s">
        <v>5047</v>
      </c>
      <c r="G926" s="4" t="s">
        <v>5048</v>
      </c>
      <c r="H926" s="3" t="s">
        <v>4839</v>
      </c>
      <c r="I926" s="3" t="s">
        <v>5049</v>
      </c>
      <c r="J926" s="3" t="s">
        <v>5071</v>
      </c>
      <c r="K926" s="3" t="s">
        <v>5072</v>
      </c>
      <c r="L926" s="3" t="s">
        <v>5073</v>
      </c>
      <c r="M926" s="4"/>
      <c r="N926" s="3" t="s">
        <v>37</v>
      </c>
      <c r="O926" s="3" t="s">
        <v>123</v>
      </c>
      <c r="P926" s="5">
        <v>18</v>
      </c>
      <c r="Q926" s="5">
        <v>479</v>
      </c>
      <c r="R926" s="5">
        <v>18</v>
      </c>
      <c r="S926" s="5">
        <v>470</v>
      </c>
    </row>
    <row r="927" spans="1:19" ht="28" x14ac:dyDescent="0.15">
      <c r="A927" s="2">
        <f>HYPERLINK("https://open-school.uspishnemisto.com.ua/school/70060/", 70060)</f>
        <v>70060</v>
      </c>
      <c r="B927" s="3" t="s">
        <v>5074</v>
      </c>
      <c r="C927" s="3" t="s">
        <v>31</v>
      </c>
      <c r="D927" s="3" t="s">
        <v>32</v>
      </c>
      <c r="E927" s="4" t="s">
        <v>22</v>
      </c>
      <c r="F927" s="4" t="s">
        <v>5047</v>
      </c>
      <c r="G927" s="4" t="s">
        <v>5048</v>
      </c>
      <c r="H927" s="3" t="s">
        <v>4839</v>
      </c>
      <c r="I927" s="3" t="s">
        <v>5049</v>
      </c>
      <c r="J927" s="3" t="s">
        <v>5075</v>
      </c>
      <c r="K927" s="3" t="s">
        <v>5076</v>
      </c>
      <c r="L927" s="3"/>
      <c r="M927" s="4"/>
      <c r="N927" s="3" t="s">
        <v>37</v>
      </c>
      <c r="O927" s="3" t="s">
        <v>46</v>
      </c>
      <c r="P927" s="5">
        <v>21</v>
      </c>
      <c r="Q927" s="5">
        <v>539</v>
      </c>
      <c r="R927" s="5">
        <v>21</v>
      </c>
      <c r="S927" s="5">
        <v>543</v>
      </c>
    </row>
    <row r="928" spans="1:19" ht="28" x14ac:dyDescent="0.15">
      <c r="A928" s="2">
        <f>HYPERLINK("https://open-school.uspishnemisto.com.ua/school/70061/", 70061)</f>
        <v>70061</v>
      </c>
      <c r="B928" s="3" t="s">
        <v>5077</v>
      </c>
      <c r="C928" s="3" t="s">
        <v>174</v>
      </c>
      <c r="D928" s="3"/>
      <c r="E928" s="4" t="s">
        <v>22</v>
      </c>
      <c r="F928" s="4" t="s">
        <v>5047</v>
      </c>
      <c r="G928" s="4" t="s">
        <v>5048</v>
      </c>
      <c r="H928" s="3" t="s">
        <v>4839</v>
      </c>
      <c r="I928" s="3" t="s">
        <v>5049</v>
      </c>
      <c r="J928" s="3" t="s">
        <v>5078</v>
      </c>
      <c r="K928" s="3" t="s">
        <v>5079</v>
      </c>
      <c r="L928" s="3"/>
      <c r="M928" s="4" t="s">
        <v>5080</v>
      </c>
      <c r="N928" s="3" t="s">
        <v>37</v>
      </c>
      <c r="O928" s="3" t="s">
        <v>52</v>
      </c>
      <c r="P928" s="5">
        <v>14</v>
      </c>
      <c r="Q928" s="5">
        <v>171</v>
      </c>
      <c r="R928" s="5">
        <v>13</v>
      </c>
      <c r="S928" s="5">
        <v>166</v>
      </c>
    </row>
    <row r="929" spans="1:19" ht="28" x14ac:dyDescent="0.15">
      <c r="A929" s="2">
        <f>HYPERLINK("https://open-school.uspishnemisto.com.ua/school/70062/", 70062)</f>
        <v>70062</v>
      </c>
      <c r="B929" s="3" t="s">
        <v>5081</v>
      </c>
      <c r="C929" s="3" t="s">
        <v>48</v>
      </c>
      <c r="D929" s="3" t="s">
        <v>32</v>
      </c>
      <c r="E929" s="4" t="s">
        <v>22</v>
      </c>
      <c r="F929" s="4" t="s">
        <v>5047</v>
      </c>
      <c r="G929" s="4" t="s">
        <v>5048</v>
      </c>
      <c r="H929" s="3" t="s">
        <v>4839</v>
      </c>
      <c r="I929" s="3" t="s">
        <v>5049</v>
      </c>
      <c r="J929" s="3" t="s">
        <v>3507</v>
      </c>
      <c r="K929" s="3" t="s">
        <v>5082</v>
      </c>
      <c r="L929" s="3" t="s">
        <v>5083</v>
      </c>
      <c r="M929" s="4" t="s">
        <v>5084</v>
      </c>
      <c r="N929" s="3" t="s">
        <v>37</v>
      </c>
      <c r="O929" s="3" t="s">
        <v>123</v>
      </c>
      <c r="P929" s="5">
        <v>13</v>
      </c>
      <c r="Q929" s="5">
        <v>305</v>
      </c>
      <c r="R929" s="5">
        <v>13</v>
      </c>
      <c r="S929" s="5">
        <v>311</v>
      </c>
    </row>
    <row r="930" spans="1:19" ht="28" x14ac:dyDescent="0.15">
      <c r="A930" s="2">
        <f>HYPERLINK("https://open-school.uspishnemisto.com.ua/school/70063/", 70063)</f>
        <v>70063</v>
      </c>
      <c r="B930" s="3" t="s">
        <v>5085</v>
      </c>
      <c r="C930" s="3" t="s">
        <v>31</v>
      </c>
      <c r="D930" s="3" t="s">
        <v>32</v>
      </c>
      <c r="E930" s="4" t="s">
        <v>22</v>
      </c>
      <c r="F930" s="4" t="s">
        <v>5086</v>
      </c>
      <c r="G930" s="4" t="s">
        <v>5087</v>
      </c>
      <c r="H930" s="3" t="s">
        <v>4839</v>
      </c>
      <c r="I930" s="3" t="s">
        <v>5088</v>
      </c>
      <c r="J930" s="3" t="s">
        <v>1482</v>
      </c>
      <c r="K930" s="3" t="s">
        <v>5089</v>
      </c>
      <c r="L930" s="3" t="s">
        <v>5090</v>
      </c>
      <c r="M930" s="4"/>
      <c r="N930" s="3" t="s">
        <v>37</v>
      </c>
      <c r="O930" s="3" t="s">
        <v>52</v>
      </c>
      <c r="P930" s="5">
        <v>19</v>
      </c>
      <c r="Q930" s="5">
        <v>407</v>
      </c>
      <c r="R930" s="5">
        <v>18</v>
      </c>
      <c r="S930" s="5">
        <v>396</v>
      </c>
    </row>
    <row r="931" spans="1:19" ht="28" x14ac:dyDescent="0.15">
      <c r="A931" s="2">
        <f>HYPERLINK("https://open-school.uspishnemisto.com.ua/school/70064/", 70064)</f>
        <v>70064</v>
      </c>
      <c r="B931" s="3" t="s">
        <v>5091</v>
      </c>
      <c r="C931" s="3" t="s">
        <v>31</v>
      </c>
      <c r="D931" s="3" t="s">
        <v>32</v>
      </c>
      <c r="E931" s="4" t="s">
        <v>22</v>
      </c>
      <c r="F931" s="4" t="s">
        <v>5092</v>
      </c>
      <c r="G931" s="4" t="s">
        <v>5093</v>
      </c>
      <c r="H931" s="3" t="s">
        <v>4839</v>
      </c>
      <c r="I931" s="3" t="s">
        <v>5094</v>
      </c>
      <c r="J931" s="3" t="s">
        <v>5095</v>
      </c>
      <c r="K931" s="3" t="s">
        <v>5096</v>
      </c>
      <c r="L931" s="3" t="s">
        <v>5097</v>
      </c>
      <c r="M931" s="4"/>
      <c r="N931" s="3" t="s">
        <v>37</v>
      </c>
      <c r="O931" s="3" t="s">
        <v>52</v>
      </c>
      <c r="P931" s="5">
        <v>18</v>
      </c>
      <c r="Q931" s="5">
        <v>317</v>
      </c>
      <c r="R931" s="5">
        <v>17</v>
      </c>
      <c r="S931" s="5">
        <v>310</v>
      </c>
    </row>
    <row r="932" spans="1:19" ht="28" x14ac:dyDescent="0.15">
      <c r="A932" s="2">
        <f>HYPERLINK("https://open-school.uspishnemisto.com.ua/school/70065/", 70065)</f>
        <v>70065</v>
      </c>
      <c r="B932" s="3" t="s">
        <v>5098</v>
      </c>
      <c r="C932" s="3" t="s">
        <v>54</v>
      </c>
      <c r="D932" s="3" t="s">
        <v>60</v>
      </c>
      <c r="E932" s="4" t="s">
        <v>22</v>
      </c>
      <c r="F932" s="4" t="s">
        <v>5099</v>
      </c>
      <c r="G932" s="4" t="s">
        <v>5100</v>
      </c>
      <c r="H932" s="3" t="s">
        <v>4839</v>
      </c>
      <c r="I932" s="3" t="s">
        <v>5101</v>
      </c>
      <c r="J932" s="3" t="s">
        <v>5102</v>
      </c>
      <c r="K932" s="3" t="s">
        <v>5103</v>
      </c>
      <c r="L932" s="3"/>
      <c r="M932" s="4"/>
      <c r="N932" s="3" t="s">
        <v>37</v>
      </c>
      <c r="O932" s="3" t="s">
        <v>52</v>
      </c>
      <c r="P932" s="5">
        <v>2</v>
      </c>
      <c r="Q932" s="5">
        <v>24</v>
      </c>
      <c r="R932" s="5">
        <v>2</v>
      </c>
      <c r="S932" s="5">
        <v>23</v>
      </c>
    </row>
    <row r="933" spans="1:19" ht="28" x14ac:dyDescent="0.15">
      <c r="A933" s="2">
        <f>HYPERLINK("https://open-school.uspishnemisto.com.ua/school/70066/", 70066)</f>
        <v>70066</v>
      </c>
      <c r="B933" s="3" t="s">
        <v>5104</v>
      </c>
      <c r="C933" s="3" t="s">
        <v>31</v>
      </c>
      <c r="D933" s="3" t="s">
        <v>60</v>
      </c>
      <c r="E933" s="4" t="s">
        <v>22</v>
      </c>
      <c r="F933" s="4" t="s">
        <v>5105</v>
      </c>
      <c r="G933" s="4" t="s">
        <v>5106</v>
      </c>
      <c r="H933" s="3" t="s">
        <v>4839</v>
      </c>
      <c r="I933" s="3" t="s">
        <v>5107</v>
      </c>
      <c r="J933" s="3" t="s">
        <v>5108</v>
      </c>
      <c r="K933" s="3"/>
      <c r="L933" s="3"/>
      <c r="M933" s="4"/>
      <c r="N933" s="3" t="s">
        <v>37</v>
      </c>
      <c r="O933" s="3" t="s">
        <v>52</v>
      </c>
      <c r="P933" s="5">
        <v>3</v>
      </c>
      <c r="Q933" s="5">
        <v>24</v>
      </c>
      <c r="R933" s="5">
        <v>3</v>
      </c>
      <c r="S933" s="5">
        <v>23</v>
      </c>
    </row>
    <row r="934" spans="1:19" ht="28" x14ac:dyDescent="0.15">
      <c r="A934" s="2">
        <f>HYPERLINK("https://open-school.uspishnemisto.com.ua/school/70067/", 70067)</f>
        <v>70067</v>
      </c>
      <c r="B934" s="3" t="s">
        <v>5109</v>
      </c>
      <c r="C934" s="3" t="s">
        <v>31</v>
      </c>
      <c r="D934" s="3" t="s">
        <v>32</v>
      </c>
      <c r="E934" s="4" t="s">
        <v>22</v>
      </c>
      <c r="F934" s="4" t="s">
        <v>5110</v>
      </c>
      <c r="G934" s="4" t="s">
        <v>5111</v>
      </c>
      <c r="H934" s="3" t="s">
        <v>4839</v>
      </c>
      <c r="I934" s="3" t="s">
        <v>5112</v>
      </c>
      <c r="J934" s="3" t="s">
        <v>466</v>
      </c>
      <c r="K934" s="3" t="s">
        <v>5113</v>
      </c>
      <c r="L934" s="3"/>
      <c r="M934" s="4"/>
      <c r="N934" s="3" t="s">
        <v>37</v>
      </c>
      <c r="O934" s="3" t="s">
        <v>46</v>
      </c>
      <c r="P934" s="5">
        <v>11</v>
      </c>
      <c r="Q934" s="5">
        <v>131</v>
      </c>
      <c r="R934" s="5">
        <v>11</v>
      </c>
      <c r="S934" s="5">
        <v>122</v>
      </c>
    </row>
    <row r="935" spans="1:19" ht="28" x14ac:dyDescent="0.15">
      <c r="A935" s="2">
        <f>HYPERLINK("https://open-school.uspishnemisto.com.ua/school/70070/", 70070)</f>
        <v>70070</v>
      </c>
      <c r="B935" s="3" t="s">
        <v>5114</v>
      </c>
      <c r="C935" s="3" t="s">
        <v>31</v>
      </c>
      <c r="D935" s="3" t="s">
        <v>32</v>
      </c>
      <c r="E935" s="4" t="s">
        <v>22</v>
      </c>
      <c r="F935" s="4" t="s">
        <v>5115</v>
      </c>
      <c r="G935" s="4" t="s">
        <v>5116</v>
      </c>
      <c r="H935" s="3" t="s">
        <v>4839</v>
      </c>
      <c r="I935" s="3" t="s">
        <v>5117</v>
      </c>
      <c r="J935" s="3" t="s">
        <v>466</v>
      </c>
      <c r="K935" s="3" t="s">
        <v>5118</v>
      </c>
      <c r="L935" s="3" t="s">
        <v>5119</v>
      </c>
      <c r="M935" s="4"/>
      <c r="N935" s="3" t="s">
        <v>37</v>
      </c>
      <c r="O935" s="3" t="s">
        <v>46</v>
      </c>
      <c r="P935" s="5">
        <v>10</v>
      </c>
      <c r="Q935" s="5">
        <v>93</v>
      </c>
      <c r="R935" s="5">
        <v>11</v>
      </c>
      <c r="S935" s="5">
        <v>94</v>
      </c>
    </row>
    <row r="936" spans="1:19" ht="42" x14ac:dyDescent="0.15">
      <c r="A936" s="2">
        <f>HYPERLINK("https://open-school.uspishnemisto.com.ua/school/70073/", 70073)</f>
        <v>70073</v>
      </c>
      <c r="B936" s="3" t="s">
        <v>5120</v>
      </c>
      <c r="C936" s="3" t="s">
        <v>31</v>
      </c>
      <c r="D936" s="3" t="s">
        <v>32</v>
      </c>
      <c r="E936" s="4" t="s">
        <v>22</v>
      </c>
      <c r="F936" s="4" t="s">
        <v>5121</v>
      </c>
      <c r="G936" s="4" t="s">
        <v>5122</v>
      </c>
      <c r="H936" s="3" t="s">
        <v>4839</v>
      </c>
      <c r="I936" s="3" t="s">
        <v>5123</v>
      </c>
      <c r="J936" s="3" t="s">
        <v>1451</v>
      </c>
      <c r="K936" s="3" t="s">
        <v>5124</v>
      </c>
      <c r="L936" s="3" t="s">
        <v>5125</v>
      </c>
      <c r="M936" s="4"/>
      <c r="N936" s="3" t="s">
        <v>37</v>
      </c>
      <c r="O936" s="3" t="s">
        <v>52</v>
      </c>
      <c r="P936" s="5">
        <v>15</v>
      </c>
      <c r="Q936" s="5">
        <v>202</v>
      </c>
      <c r="R936" s="5">
        <v>11</v>
      </c>
      <c r="S936" s="5">
        <v>157</v>
      </c>
    </row>
    <row r="937" spans="1:19" ht="28" x14ac:dyDescent="0.15">
      <c r="A937" s="2">
        <f>HYPERLINK("https://open-school.uspishnemisto.com.ua/school/70074/", 70074)</f>
        <v>70074</v>
      </c>
      <c r="B937" s="3" t="s">
        <v>5126</v>
      </c>
      <c r="C937" s="3" t="s">
        <v>31</v>
      </c>
      <c r="D937" s="3" t="s">
        <v>175</v>
      </c>
      <c r="E937" s="4" t="s">
        <v>22</v>
      </c>
      <c r="F937" s="4" t="s">
        <v>5127</v>
      </c>
      <c r="G937" s="4" t="s">
        <v>5128</v>
      </c>
      <c r="H937" s="3" t="s">
        <v>4839</v>
      </c>
      <c r="I937" s="3" t="s">
        <v>5129</v>
      </c>
      <c r="J937" s="3" t="s">
        <v>466</v>
      </c>
      <c r="K937" s="3" t="s">
        <v>5130</v>
      </c>
      <c r="L937" s="3"/>
      <c r="M937" s="4"/>
      <c r="N937" s="3" t="s">
        <v>37</v>
      </c>
      <c r="O937" s="3" t="s">
        <v>52</v>
      </c>
      <c r="P937" s="5">
        <v>9</v>
      </c>
      <c r="Q937" s="5">
        <v>82</v>
      </c>
      <c r="R937" s="5">
        <v>9</v>
      </c>
      <c r="S937" s="5">
        <v>85</v>
      </c>
    </row>
    <row r="938" spans="1:19" ht="28" x14ac:dyDescent="0.15">
      <c r="A938" s="2">
        <f>HYPERLINK("https://open-school.uspishnemisto.com.ua/school/70075/", 70075)</f>
        <v>70075</v>
      </c>
      <c r="B938" s="3" t="s">
        <v>5131</v>
      </c>
      <c r="C938" s="3" t="s">
        <v>188</v>
      </c>
      <c r="D938" s="3" t="s">
        <v>32</v>
      </c>
      <c r="E938" s="4" t="s">
        <v>22</v>
      </c>
      <c r="F938" s="4" t="s">
        <v>5132</v>
      </c>
      <c r="G938" s="4" t="s">
        <v>5133</v>
      </c>
      <c r="H938" s="3" t="s">
        <v>4839</v>
      </c>
      <c r="I938" s="3" t="s">
        <v>5134</v>
      </c>
      <c r="J938" s="3" t="s">
        <v>4425</v>
      </c>
      <c r="K938" s="3" t="s">
        <v>5135</v>
      </c>
      <c r="L938" s="3"/>
      <c r="M938" s="4"/>
      <c r="N938" s="3" t="s">
        <v>37</v>
      </c>
      <c r="O938" s="3" t="s">
        <v>52</v>
      </c>
      <c r="P938" s="5">
        <v>11</v>
      </c>
      <c r="Q938" s="5">
        <v>168</v>
      </c>
      <c r="R938" s="5">
        <v>11</v>
      </c>
      <c r="S938" s="5">
        <v>180</v>
      </c>
    </row>
    <row r="939" spans="1:19" ht="28" x14ac:dyDescent="0.15">
      <c r="A939" s="2">
        <f>HYPERLINK("https://open-school.uspishnemisto.com.ua/school/70076/", 70076)</f>
        <v>70076</v>
      </c>
      <c r="B939" s="3" t="s">
        <v>5136</v>
      </c>
      <c r="C939" s="3" t="s">
        <v>31</v>
      </c>
      <c r="D939" s="3" t="s">
        <v>60</v>
      </c>
      <c r="E939" s="4" t="s">
        <v>22</v>
      </c>
      <c r="F939" s="4" t="s">
        <v>5115</v>
      </c>
      <c r="G939" s="4" t="s">
        <v>5137</v>
      </c>
      <c r="H939" s="3" t="s">
        <v>4839</v>
      </c>
      <c r="I939" s="3" t="s">
        <v>5138</v>
      </c>
      <c r="J939" s="3" t="s">
        <v>5139</v>
      </c>
      <c r="K939" s="3" t="s">
        <v>5140</v>
      </c>
      <c r="L939" s="3"/>
      <c r="M939" s="4"/>
      <c r="N939" s="3" t="s">
        <v>37</v>
      </c>
      <c r="O939" s="3" t="s">
        <v>46</v>
      </c>
      <c r="P939" s="5">
        <v>1</v>
      </c>
      <c r="Q939" s="5">
        <v>13</v>
      </c>
      <c r="R939" s="5">
        <v>1</v>
      </c>
      <c r="S939" s="5">
        <v>12</v>
      </c>
    </row>
    <row r="940" spans="1:19" ht="28" x14ac:dyDescent="0.15">
      <c r="A940" s="2">
        <f>HYPERLINK("https://open-school.uspishnemisto.com.ua/school/70077/", 70077)</f>
        <v>70077</v>
      </c>
      <c r="B940" s="3" t="s">
        <v>5141</v>
      </c>
      <c r="C940" s="3" t="s">
        <v>31</v>
      </c>
      <c r="D940" s="3" t="s">
        <v>175</v>
      </c>
      <c r="E940" s="4" t="s">
        <v>22</v>
      </c>
      <c r="F940" s="4" t="s">
        <v>5142</v>
      </c>
      <c r="G940" s="4" t="s">
        <v>5143</v>
      </c>
      <c r="H940" s="3" t="s">
        <v>4839</v>
      </c>
      <c r="I940" s="3" t="s">
        <v>5144</v>
      </c>
      <c r="J940" s="3" t="s">
        <v>5145</v>
      </c>
      <c r="K940" s="3" t="s">
        <v>5146</v>
      </c>
      <c r="L940" s="3" t="s">
        <v>5147</v>
      </c>
      <c r="M940" s="4"/>
      <c r="N940" s="3" t="s">
        <v>37</v>
      </c>
      <c r="O940" s="3" t="s">
        <v>52</v>
      </c>
      <c r="P940" s="5">
        <v>9</v>
      </c>
      <c r="Q940" s="5">
        <v>87</v>
      </c>
      <c r="R940" s="5">
        <v>9</v>
      </c>
      <c r="S940" s="5">
        <v>80</v>
      </c>
    </row>
    <row r="941" spans="1:19" ht="28" x14ac:dyDescent="0.15">
      <c r="A941" s="2">
        <f>HYPERLINK("https://open-school.uspishnemisto.com.ua/school/70078/", 70078)</f>
        <v>70078</v>
      </c>
      <c r="B941" s="3" t="s">
        <v>5148</v>
      </c>
      <c r="C941" s="3" t="s">
        <v>31</v>
      </c>
      <c r="D941" s="3" t="s">
        <v>60</v>
      </c>
      <c r="E941" s="4" t="s">
        <v>22</v>
      </c>
      <c r="F941" s="4" t="s">
        <v>5142</v>
      </c>
      <c r="G941" s="4" t="s">
        <v>5149</v>
      </c>
      <c r="H941" s="3" t="s">
        <v>4839</v>
      </c>
      <c r="I941" s="3" t="s">
        <v>5150</v>
      </c>
      <c r="J941" s="3" t="s">
        <v>5151</v>
      </c>
      <c r="K941" s="3" t="s">
        <v>5152</v>
      </c>
      <c r="L941" s="3"/>
      <c r="M941" s="4"/>
      <c r="N941" s="3" t="s">
        <v>37</v>
      </c>
      <c r="O941" s="3" t="s">
        <v>52</v>
      </c>
      <c r="P941" s="5">
        <v>1</v>
      </c>
      <c r="Q941" s="5">
        <v>14</v>
      </c>
      <c r="R941" s="5">
        <v>1</v>
      </c>
      <c r="S941" s="5">
        <v>11</v>
      </c>
    </row>
    <row r="942" spans="1:19" ht="42" x14ac:dyDescent="0.15">
      <c r="A942" s="2">
        <f>HYPERLINK("https://open-school.uspishnemisto.com.ua/school/70079/", 70079)</f>
        <v>70079</v>
      </c>
      <c r="B942" s="3" t="s">
        <v>5153</v>
      </c>
      <c r="C942" s="3" t="s">
        <v>54</v>
      </c>
      <c r="D942" s="3" t="s">
        <v>32</v>
      </c>
      <c r="E942" s="4" t="s">
        <v>22</v>
      </c>
      <c r="F942" s="4" t="s">
        <v>5154</v>
      </c>
      <c r="G942" s="4" t="s">
        <v>5155</v>
      </c>
      <c r="H942" s="3" t="s">
        <v>4839</v>
      </c>
      <c r="I942" s="3" t="s">
        <v>5156</v>
      </c>
      <c r="J942" s="3" t="s">
        <v>2253</v>
      </c>
      <c r="K942" s="3" t="s">
        <v>5157</v>
      </c>
      <c r="L942" s="3" t="s">
        <v>5158</v>
      </c>
      <c r="M942" s="4"/>
      <c r="N942" s="3" t="s">
        <v>37</v>
      </c>
      <c r="O942" s="3" t="s">
        <v>52</v>
      </c>
      <c r="P942" s="5">
        <v>12</v>
      </c>
      <c r="Q942" s="5">
        <v>239</v>
      </c>
      <c r="R942" s="5">
        <v>11</v>
      </c>
      <c r="S942" s="5">
        <v>217</v>
      </c>
    </row>
    <row r="943" spans="1:19" ht="28" x14ac:dyDescent="0.15">
      <c r="A943" s="2">
        <f>HYPERLINK("https://open-school.uspishnemisto.com.ua/school/70080/", 70080)</f>
        <v>70080</v>
      </c>
      <c r="B943" s="3" t="s">
        <v>5159</v>
      </c>
      <c r="C943" s="3" t="s">
        <v>31</v>
      </c>
      <c r="D943" s="3" t="s">
        <v>32</v>
      </c>
      <c r="E943" s="4" t="s">
        <v>22</v>
      </c>
      <c r="F943" s="4" t="s">
        <v>5160</v>
      </c>
      <c r="G943" s="4" t="s">
        <v>5161</v>
      </c>
      <c r="H943" s="3" t="s">
        <v>4839</v>
      </c>
      <c r="I943" s="3" t="s">
        <v>5162</v>
      </c>
      <c r="J943" s="3" t="s">
        <v>5163</v>
      </c>
      <c r="K943" s="3" t="s">
        <v>5164</v>
      </c>
      <c r="L943" s="3"/>
      <c r="M943" s="4"/>
      <c r="N943" s="3" t="s">
        <v>37</v>
      </c>
      <c r="O943" s="3" t="s">
        <v>52</v>
      </c>
      <c r="P943" s="5">
        <v>11</v>
      </c>
      <c r="Q943" s="5">
        <v>119</v>
      </c>
      <c r="R943" s="5">
        <v>11</v>
      </c>
      <c r="S943" s="5">
        <v>109</v>
      </c>
    </row>
    <row r="944" spans="1:19" ht="28" x14ac:dyDescent="0.15">
      <c r="A944" s="2">
        <f>HYPERLINK("https://open-school.uspishnemisto.com.ua/school/70082/", 70082)</f>
        <v>70082</v>
      </c>
      <c r="B944" s="3" t="s">
        <v>5165</v>
      </c>
      <c r="C944" s="3" t="s">
        <v>31</v>
      </c>
      <c r="D944" s="3" t="s">
        <v>175</v>
      </c>
      <c r="E944" s="4" t="s">
        <v>22</v>
      </c>
      <c r="F944" s="4" t="s">
        <v>5166</v>
      </c>
      <c r="G944" s="4" t="s">
        <v>5167</v>
      </c>
      <c r="H944" s="3" t="s">
        <v>4839</v>
      </c>
      <c r="I944" s="3" t="s">
        <v>5168</v>
      </c>
      <c r="J944" s="3" t="s">
        <v>651</v>
      </c>
      <c r="K944" s="3" t="s">
        <v>5169</v>
      </c>
      <c r="L944" s="3" t="s">
        <v>5170</v>
      </c>
      <c r="M944" s="4"/>
      <c r="N944" s="3" t="s">
        <v>37</v>
      </c>
      <c r="O944" s="3" t="s">
        <v>52</v>
      </c>
      <c r="P944" s="5">
        <v>6</v>
      </c>
      <c r="Q944" s="5">
        <v>54</v>
      </c>
      <c r="R944" s="5">
        <v>6</v>
      </c>
      <c r="S944" s="5">
        <v>53</v>
      </c>
    </row>
    <row r="945" spans="1:19" ht="28" x14ac:dyDescent="0.15">
      <c r="A945" s="2">
        <f>HYPERLINK("https://open-school.uspishnemisto.com.ua/school/70083/", 70083)</f>
        <v>70083</v>
      </c>
      <c r="B945" s="3" t="s">
        <v>5171</v>
      </c>
      <c r="C945" s="3" t="s">
        <v>31</v>
      </c>
      <c r="D945" s="3" t="s">
        <v>32</v>
      </c>
      <c r="E945" s="4" t="s">
        <v>22</v>
      </c>
      <c r="F945" s="4" t="s">
        <v>5172</v>
      </c>
      <c r="G945" s="4" t="s">
        <v>5173</v>
      </c>
      <c r="H945" s="3" t="s">
        <v>4839</v>
      </c>
      <c r="I945" s="3" t="s">
        <v>5174</v>
      </c>
      <c r="J945" s="3" t="s">
        <v>1636</v>
      </c>
      <c r="K945" s="3" t="s">
        <v>5175</v>
      </c>
      <c r="L945" s="3" t="s">
        <v>5176</v>
      </c>
      <c r="M945" s="4"/>
      <c r="N945" s="3" t="s">
        <v>37</v>
      </c>
      <c r="O945" s="3" t="s">
        <v>52</v>
      </c>
      <c r="P945" s="5">
        <v>10</v>
      </c>
      <c r="Q945" s="5">
        <v>135</v>
      </c>
      <c r="R945" s="5">
        <v>11</v>
      </c>
      <c r="S945" s="5">
        <v>130</v>
      </c>
    </row>
    <row r="946" spans="1:19" ht="28" x14ac:dyDescent="0.15">
      <c r="A946" s="2">
        <f>HYPERLINK("https://open-school.uspishnemisto.com.ua/school/70084/", 70084)</f>
        <v>70084</v>
      </c>
      <c r="B946" s="3" t="s">
        <v>5177</v>
      </c>
      <c r="C946" s="3" t="s">
        <v>31</v>
      </c>
      <c r="D946" s="3" t="s">
        <v>175</v>
      </c>
      <c r="E946" s="4" t="s">
        <v>22</v>
      </c>
      <c r="F946" s="4" t="s">
        <v>5105</v>
      </c>
      <c r="G946" s="4" t="s">
        <v>5178</v>
      </c>
      <c r="H946" s="3" t="s">
        <v>4839</v>
      </c>
      <c r="I946" s="3" t="s">
        <v>5179</v>
      </c>
      <c r="J946" s="3" t="s">
        <v>566</v>
      </c>
      <c r="K946" s="3" t="s">
        <v>5180</v>
      </c>
      <c r="L946" s="3"/>
      <c r="M946" s="4"/>
      <c r="N946" s="3" t="s">
        <v>37</v>
      </c>
      <c r="O946" s="3" t="s">
        <v>52</v>
      </c>
      <c r="P946" s="5">
        <v>8</v>
      </c>
      <c r="Q946" s="5">
        <v>80</v>
      </c>
      <c r="R946" s="5">
        <v>8</v>
      </c>
      <c r="S946" s="5">
        <v>82</v>
      </c>
    </row>
    <row r="947" spans="1:19" ht="28" x14ac:dyDescent="0.15">
      <c r="A947" s="2">
        <f>HYPERLINK("https://open-school.uspishnemisto.com.ua/school/70085/", 70085)</f>
        <v>70085</v>
      </c>
      <c r="B947" s="3" t="s">
        <v>5181</v>
      </c>
      <c r="C947" s="3" t="s">
        <v>31</v>
      </c>
      <c r="D947" s="3" t="s">
        <v>175</v>
      </c>
      <c r="E947" s="4" t="s">
        <v>22</v>
      </c>
      <c r="F947" s="4" t="s">
        <v>5182</v>
      </c>
      <c r="G947" s="4" t="s">
        <v>5183</v>
      </c>
      <c r="H947" s="3" t="s">
        <v>4839</v>
      </c>
      <c r="I947" s="3" t="s">
        <v>5184</v>
      </c>
      <c r="J947" s="3" t="s">
        <v>5185</v>
      </c>
      <c r="K947" s="3" t="s">
        <v>5186</v>
      </c>
      <c r="L947" s="3" t="s">
        <v>5187</v>
      </c>
      <c r="M947" s="4"/>
      <c r="N947" s="3" t="s">
        <v>37</v>
      </c>
      <c r="O947" s="3" t="s">
        <v>52</v>
      </c>
      <c r="P947" s="5">
        <v>9</v>
      </c>
      <c r="Q947" s="5">
        <v>83</v>
      </c>
      <c r="R947" s="5">
        <v>9</v>
      </c>
      <c r="S947" s="5">
        <v>87</v>
      </c>
    </row>
    <row r="948" spans="1:19" ht="28" x14ac:dyDescent="0.15">
      <c r="A948" s="2">
        <f>HYPERLINK("https://open-school.uspishnemisto.com.ua/school/70086/", 70086)</f>
        <v>70086</v>
      </c>
      <c r="B948" s="3" t="s">
        <v>5188</v>
      </c>
      <c r="C948" s="3" t="s">
        <v>31</v>
      </c>
      <c r="D948" s="3" t="s">
        <v>175</v>
      </c>
      <c r="E948" s="4" t="s">
        <v>22</v>
      </c>
      <c r="F948" s="4" t="s">
        <v>5189</v>
      </c>
      <c r="G948" s="4" t="s">
        <v>5190</v>
      </c>
      <c r="H948" s="3" t="s">
        <v>4839</v>
      </c>
      <c r="I948" s="3" t="s">
        <v>5191</v>
      </c>
      <c r="J948" s="3" t="s">
        <v>878</v>
      </c>
      <c r="K948" s="3" t="s">
        <v>5192</v>
      </c>
      <c r="L948" s="3"/>
      <c r="M948" s="4"/>
      <c r="N948" s="3" t="s">
        <v>37</v>
      </c>
      <c r="O948" s="3" t="s">
        <v>52</v>
      </c>
      <c r="P948" s="5">
        <v>9</v>
      </c>
      <c r="Q948" s="5">
        <v>89</v>
      </c>
      <c r="R948" s="5">
        <v>9</v>
      </c>
      <c r="S948" s="5">
        <v>90</v>
      </c>
    </row>
    <row r="949" spans="1:19" ht="28" x14ac:dyDescent="0.15">
      <c r="A949" s="2">
        <f>HYPERLINK("https://open-school.uspishnemisto.com.ua/school/70087/", 70087)</f>
        <v>70087</v>
      </c>
      <c r="B949" s="3" t="s">
        <v>5193</v>
      </c>
      <c r="C949" s="3" t="s">
        <v>31</v>
      </c>
      <c r="D949" s="3" t="s">
        <v>60</v>
      </c>
      <c r="E949" s="4" t="s">
        <v>22</v>
      </c>
      <c r="F949" s="4" t="s">
        <v>5194</v>
      </c>
      <c r="G949" s="4" t="s">
        <v>5195</v>
      </c>
      <c r="H949" s="3" t="s">
        <v>4839</v>
      </c>
      <c r="I949" s="3" t="s">
        <v>5196</v>
      </c>
      <c r="J949" s="3" t="s">
        <v>5197</v>
      </c>
      <c r="K949" s="3" t="s">
        <v>5198</v>
      </c>
      <c r="L949" s="3"/>
      <c r="M949" s="4"/>
      <c r="N949" s="3" t="s">
        <v>37</v>
      </c>
      <c r="O949" s="3" t="s">
        <v>52</v>
      </c>
      <c r="P949" s="5">
        <v>3</v>
      </c>
      <c r="Q949" s="5">
        <v>21</v>
      </c>
      <c r="R949" s="5">
        <v>2</v>
      </c>
      <c r="S949" s="5">
        <v>19</v>
      </c>
    </row>
    <row r="950" spans="1:19" ht="42" x14ac:dyDescent="0.15">
      <c r="A950" s="2">
        <f>HYPERLINK("https://open-school.uspishnemisto.com.ua/school/70089/", 70089)</f>
        <v>70089</v>
      </c>
      <c r="B950" s="3" t="s">
        <v>5199</v>
      </c>
      <c r="C950" s="3" t="s">
        <v>31</v>
      </c>
      <c r="D950" s="3" t="s">
        <v>32</v>
      </c>
      <c r="E950" s="4" t="s">
        <v>22</v>
      </c>
      <c r="F950" s="4" t="s">
        <v>5200</v>
      </c>
      <c r="G950" s="4" t="s">
        <v>5201</v>
      </c>
      <c r="H950" s="3" t="s">
        <v>4839</v>
      </c>
      <c r="I950" s="3" t="s">
        <v>5202</v>
      </c>
      <c r="J950" s="3" t="s">
        <v>5203</v>
      </c>
      <c r="K950" s="3" t="s">
        <v>5204</v>
      </c>
      <c r="L950" s="3"/>
      <c r="M950" s="4"/>
      <c r="N950" s="3" t="s">
        <v>37</v>
      </c>
      <c r="O950" s="3" t="s">
        <v>52</v>
      </c>
      <c r="P950" s="5">
        <v>9</v>
      </c>
      <c r="Q950" s="5">
        <v>63</v>
      </c>
      <c r="R950" s="5">
        <v>8</v>
      </c>
      <c r="S950" s="5">
        <v>57</v>
      </c>
    </row>
    <row r="951" spans="1:19" ht="28" x14ac:dyDescent="0.15">
      <c r="A951" s="2">
        <f>HYPERLINK("https://open-school.uspishnemisto.com.ua/school/70090/", 70090)</f>
        <v>70090</v>
      </c>
      <c r="B951" s="3" t="s">
        <v>5205</v>
      </c>
      <c r="C951" s="3" t="s">
        <v>31</v>
      </c>
      <c r="D951" s="3" t="s">
        <v>175</v>
      </c>
      <c r="E951" s="4" t="s">
        <v>22</v>
      </c>
      <c r="F951" s="4" t="s">
        <v>5206</v>
      </c>
      <c r="G951" s="4" t="s">
        <v>5207</v>
      </c>
      <c r="H951" s="3" t="s">
        <v>4839</v>
      </c>
      <c r="I951" s="3" t="s">
        <v>5208</v>
      </c>
      <c r="J951" s="3" t="s">
        <v>466</v>
      </c>
      <c r="K951" s="3" t="s">
        <v>5209</v>
      </c>
      <c r="L951" s="3" t="s">
        <v>5210</v>
      </c>
      <c r="M951" s="4"/>
      <c r="N951" s="3" t="s">
        <v>37</v>
      </c>
      <c r="O951" s="3" t="s">
        <v>52</v>
      </c>
      <c r="P951" s="5">
        <v>9</v>
      </c>
      <c r="Q951" s="5">
        <v>78</v>
      </c>
      <c r="R951" s="5">
        <v>9</v>
      </c>
      <c r="S951" s="5">
        <v>81</v>
      </c>
    </row>
    <row r="952" spans="1:19" ht="28" x14ac:dyDescent="0.15">
      <c r="A952" s="2">
        <f>HYPERLINK("https://open-school.uspishnemisto.com.ua/school/70091/", 70091)</f>
        <v>70091</v>
      </c>
      <c r="B952" s="3" t="s">
        <v>5211</v>
      </c>
      <c r="C952" s="3" t="s">
        <v>31</v>
      </c>
      <c r="D952" s="3" t="s">
        <v>32</v>
      </c>
      <c r="E952" s="4" t="s">
        <v>22</v>
      </c>
      <c r="F952" s="4" t="s">
        <v>5212</v>
      </c>
      <c r="G952" s="4" t="s">
        <v>5213</v>
      </c>
      <c r="H952" s="3" t="s">
        <v>4839</v>
      </c>
      <c r="I952" s="3" t="s">
        <v>5214</v>
      </c>
      <c r="J952" s="3" t="s">
        <v>2601</v>
      </c>
      <c r="K952" s="3"/>
      <c r="L952" s="3"/>
      <c r="M952" s="4"/>
      <c r="N952" s="3" t="s">
        <v>37</v>
      </c>
      <c r="O952" s="3" t="s">
        <v>52</v>
      </c>
      <c r="P952" s="5">
        <v>10</v>
      </c>
      <c r="Q952" s="5">
        <v>98</v>
      </c>
      <c r="R952" s="5">
        <v>11</v>
      </c>
      <c r="S952" s="5">
        <v>108</v>
      </c>
    </row>
    <row r="953" spans="1:19" ht="28" x14ac:dyDescent="0.15">
      <c r="A953" s="2">
        <f>HYPERLINK("https://open-school.uspishnemisto.com.ua/school/70092/", 70092)</f>
        <v>70092</v>
      </c>
      <c r="B953" s="3" t="s">
        <v>5215</v>
      </c>
      <c r="C953" s="3" t="s">
        <v>31</v>
      </c>
      <c r="D953" s="3" t="s">
        <v>175</v>
      </c>
      <c r="E953" s="4" t="s">
        <v>22</v>
      </c>
      <c r="F953" s="4" t="s">
        <v>5216</v>
      </c>
      <c r="G953" s="4" t="s">
        <v>5217</v>
      </c>
      <c r="H953" s="3" t="s">
        <v>4839</v>
      </c>
      <c r="I953" s="3" t="s">
        <v>5218</v>
      </c>
      <c r="J953" s="3" t="s">
        <v>5219</v>
      </c>
      <c r="K953" s="3" t="s">
        <v>5220</v>
      </c>
      <c r="L953" s="3"/>
      <c r="M953" s="4"/>
      <c r="N953" s="3" t="s">
        <v>37</v>
      </c>
      <c r="O953" s="3" t="s">
        <v>46</v>
      </c>
      <c r="P953" s="5">
        <v>9</v>
      </c>
      <c r="Q953" s="5">
        <v>71</v>
      </c>
      <c r="R953" s="5">
        <v>9</v>
      </c>
      <c r="S953" s="5">
        <v>73</v>
      </c>
    </row>
    <row r="954" spans="1:19" ht="56" x14ac:dyDescent="0.15">
      <c r="A954" s="2">
        <f>HYPERLINK("https://open-school.uspishnemisto.com.ua/school/70093/", 70093)</f>
        <v>70093</v>
      </c>
      <c r="B954" s="3" t="s">
        <v>5221</v>
      </c>
      <c r="C954" s="3" t="s">
        <v>54</v>
      </c>
      <c r="D954" s="3" t="s">
        <v>60</v>
      </c>
      <c r="E954" s="4" t="s">
        <v>22</v>
      </c>
      <c r="F954" s="4" t="s">
        <v>5092</v>
      </c>
      <c r="G954" s="4" t="s">
        <v>5222</v>
      </c>
      <c r="H954" s="3" t="s">
        <v>4839</v>
      </c>
      <c r="I954" s="3" t="s">
        <v>5223</v>
      </c>
      <c r="J954" s="3" t="s">
        <v>5224</v>
      </c>
      <c r="K954" s="3" t="s">
        <v>5225</v>
      </c>
      <c r="L954" s="3"/>
      <c r="M954" s="4"/>
      <c r="N954" s="3" t="s">
        <v>37</v>
      </c>
      <c r="O954" s="3" t="s">
        <v>52</v>
      </c>
      <c r="P954" s="5">
        <v>1</v>
      </c>
      <c r="Q954" s="5">
        <v>11</v>
      </c>
      <c r="R954" s="5">
        <v>2</v>
      </c>
      <c r="S954" s="5">
        <v>16</v>
      </c>
    </row>
    <row r="955" spans="1:19" ht="28" x14ac:dyDescent="0.15">
      <c r="A955" s="2">
        <f>HYPERLINK("https://open-school.uspishnemisto.com.ua/school/70094/", 70094)</f>
        <v>70094</v>
      </c>
      <c r="B955" s="3" t="s">
        <v>5226</v>
      </c>
      <c r="C955" s="3" t="s">
        <v>31</v>
      </c>
      <c r="D955" s="3" t="s">
        <v>32</v>
      </c>
      <c r="E955" s="4" t="s">
        <v>22</v>
      </c>
      <c r="F955" s="4" t="s">
        <v>5227</v>
      </c>
      <c r="G955" s="4" t="s">
        <v>5228</v>
      </c>
      <c r="H955" s="3" t="s">
        <v>4839</v>
      </c>
      <c r="I955" s="3" t="s">
        <v>5229</v>
      </c>
      <c r="J955" s="3" t="s">
        <v>5230</v>
      </c>
      <c r="K955" s="3" t="s">
        <v>5231</v>
      </c>
      <c r="L955" s="3" t="s">
        <v>5232</v>
      </c>
      <c r="M955" s="4"/>
      <c r="N955" s="3" t="s">
        <v>37</v>
      </c>
      <c r="O955" s="3" t="s">
        <v>52</v>
      </c>
      <c r="P955" s="5">
        <v>23</v>
      </c>
      <c r="Q955" s="5">
        <v>563</v>
      </c>
      <c r="R955" s="5">
        <v>23</v>
      </c>
      <c r="S955" s="5">
        <v>550</v>
      </c>
    </row>
    <row r="956" spans="1:19" ht="28" x14ac:dyDescent="0.15">
      <c r="A956" s="2">
        <f>HYPERLINK("https://open-school.uspishnemisto.com.ua/school/70095/", 70095)</f>
        <v>70095</v>
      </c>
      <c r="B956" s="3" t="s">
        <v>5233</v>
      </c>
      <c r="C956" s="3" t="s">
        <v>40</v>
      </c>
      <c r="D956" s="3" t="s">
        <v>32</v>
      </c>
      <c r="E956" s="4" t="s">
        <v>22</v>
      </c>
      <c r="F956" s="4" t="s">
        <v>5227</v>
      </c>
      <c r="G956" s="4" t="s">
        <v>5228</v>
      </c>
      <c r="H956" s="3" t="s">
        <v>4839</v>
      </c>
      <c r="I956" s="3" t="s">
        <v>5229</v>
      </c>
      <c r="J956" s="3" t="s">
        <v>5234</v>
      </c>
      <c r="K956" s="3" t="s">
        <v>5235</v>
      </c>
      <c r="L956" s="3" t="s">
        <v>5236</v>
      </c>
      <c r="M956" s="4"/>
      <c r="N956" s="3" t="s">
        <v>37</v>
      </c>
      <c r="O956" s="3" t="s">
        <v>46</v>
      </c>
      <c r="P956" s="5">
        <v>27</v>
      </c>
      <c r="Q956" s="5">
        <v>566</v>
      </c>
      <c r="R956" s="5">
        <v>26</v>
      </c>
      <c r="S956" s="5">
        <v>558</v>
      </c>
    </row>
    <row r="957" spans="1:19" ht="28" x14ac:dyDescent="0.15">
      <c r="A957" s="2">
        <f>HYPERLINK("https://open-school.uspishnemisto.com.ua/school/70096/", 70096)</f>
        <v>70096</v>
      </c>
      <c r="B957" s="3" t="s">
        <v>5237</v>
      </c>
      <c r="C957" s="3" t="s">
        <v>31</v>
      </c>
      <c r="D957" s="3" t="s">
        <v>32</v>
      </c>
      <c r="E957" s="4" t="s">
        <v>22</v>
      </c>
      <c r="F957" s="4" t="s">
        <v>5238</v>
      </c>
      <c r="G957" s="4" t="s">
        <v>5239</v>
      </c>
      <c r="H957" s="3" t="s">
        <v>4839</v>
      </c>
      <c r="I957" s="3" t="s">
        <v>5240</v>
      </c>
      <c r="J957" s="3" t="s">
        <v>5241</v>
      </c>
      <c r="K957" s="3"/>
      <c r="L957" s="3" t="s">
        <v>5242</v>
      </c>
      <c r="M957" s="4"/>
      <c r="N957" s="3" t="s">
        <v>37</v>
      </c>
      <c r="O957" s="3" t="s">
        <v>52</v>
      </c>
      <c r="P957" s="5">
        <v>16</v>
      </c>
      <c r="Q957" s="5">
        <v>312</v>
      </c>
      <c r="R957" s="5">
        <v>17</v>
      </c>
      <c r="S957" s="5">
        <v>316</v>
      </c>
    </row>
    <row r="958" spans="1:19" ht="28" x14ac:dyDescent="0.15">
      <c r="A958" s="2">
        <f>HYPERLINK("https://open-school.uspishnemisto.com.ua/school/70097/", 70097)</f>
        <v>70097</v>
      </c>
      <c r="B958" s="3" t="s">
        <v>5243</v>
      </c>
      <c r="C958" s="3" t="s">
        <v>31</v>
      </c>
      <c r="D958" s="3" t="s">
        <v>32</v>
      </c>
      <c r="E958" s="4" t="s">
        <v>22</v>
      </c>
      <c r="F958" s="4" t="s">
        <v>5244</v>
      </c>
      <c r="G958" s="4" t="s">
        <v>5245</v>
      </c>
      <c r="H958" s="3" t="s">
        <v>4839</v>
      </c>
      <c r="I958" s="3" t="s">
        <v>440</v>
      </c>
      <c r="J958" s="3" t="s">
        <v>2858</v>
      </c>
      <c r="K958" s="3" t="s">
        <v>5246</v>
      </c>
      <c r="L958" s="3" t="s">
        <v>5247</v>
      </c>
      <c r="M958" s="4"/>
      <c r="N958" s="3" t="s">
        <v>37</v>
      </c>
      <c r="O958" s="3" t="s">
        <v>52</v>
      </c>
      <c r="P958" s="5">
        <v>19</v>
      </c>
      <c r="Q958" s="5">
        <v>395</v>
      </c>
      <c r="R958" s="5">
        <v>19</v>
      </c>
      <c r="S958" s="5">
        <v>382</v>
      </c>
    </row>
    <row r="959" spans="1:19" ht="28" x14ac:dyDescent="0.15">
      <c r="A959" s="2">
        <f>HYPERLINK("https://open-school.uspishnemisto.com.ua/school/70098/", 70098)</f>
        <v>70098</v>
      </c>
      <c r="B959" s="3" t="s">
        <v>5248</v>
      </c>
      <c r="C959" s="3" t="s">
        <v>31</v>
      </c>
      <c r="D959" s="3" t="s">
        <v>32</v>
      </c>
      <c r="E959" s="4" t="s">
        <v>22</v>
      </c>
      <c r="F959" s="4" t="s">
        <v>5249</v>
      </c>
      <c r="G959" s="4" t="s">
        <v>5250</v>
      </c>
      <c r="H959" s="3" t="s">
        <v>4839</v>
      </c>
      <c r="I959" s="3" t="s">
        <v>5251</v>
      </c>
      <c r="J959" s="3" t="s">
        <v>5252</v>
      </c>
      <c r="K959" s="3" t="s">
        <v>5253</v>
      </c>
      <c r="L959" s="3" t="s">
        <v>5254</v>
      </c>
      <c r="M959" s="4"/>
      <c r="N959" s="3" t="s">
        <v>37</v>
      </c>
      <c r="O959" s="3" t="s">
        <v>52</v>
      </c>
      <c r="P959" s="5">
        <v>11</v>
      </c>
      <c r="Q959" s="5">
        <v>135</v>
      </c>
      <c r="R959" s="5">
        <v>11</v>
      </c>
      <c r="S959" s="5">
        <v>131</v>
      </c>
    </row>
    <row r="960" spans="1:19" ht="28" x14ac:dyDescent="0.15">
      <c r="A960" s="2">
        <f>HYPERLINK("https://open-school.uspishnemisto.com.ua/school/70099/", 70099)</f>
        <v>70099</v>
      </c>
      <c r="B960" s="3" t="s">
        <v>5255</v>
      </c>
      <c r="C960" s="3" t="s">
        <v>293</v>
      </c>
      <c r="D960" s="3" t="s">
        <v>32</v>
      </c>
      <c r="E960" s="4" t="s">
        <v>22</v>
      </c>
      <c r="F960" s="4" t="s">
        <v>5249</v>
      </c>
      <c r="G960" s="4" t="s">
        <v>5250</v>
      </c>
      <c r="H960" s="3" t="s">
        <v>4839</v>
      </c>
      <c r="I960" s="3" t="s">
        <v>5251</v>
      </c>
      <c r="J960" s="3" t="s">
        <v>5256</v>
      </c>
      <c r="K960" s="3" t="s">
        <v>5257</v>
      </c>
      <c r="L960" s="3" t="s">
        <v>5258</v>
      </c>
      <c r="M960" s="4" t="s">
        <v>5259</v>
      </c>
      <c r="N960" s="3" t="s">
        <v>37</v>
      </c>
      <c r="O960" s="3" t="s">
        <v>52</v>
      </c>
      <c r="P960" s="5">
        <v>11</v>
      </c>
      <c r="Q960" s="5">
        <v>119</v>
      </c>
      <c r="R960" s="5">
        <v>11</v>
      </c>
      <c r="S960" s="5">
        <v>117</v>
      </c>
    </row>
    <row r="961" spans="1:19" ht="28" x14ac:dyDescent="0.15">
      <c r="A961" s="2">
        <f>HYPERLINK("https://open-school.uspishnemisto.com.ua/school/70100/", 70100)</f>
        <v>70100</v>
      </c>
      <c r="B961" s="3" t="s">
        <v>5260</v>
      </c>
      <c r="C961" s="3" t="s">
        <v>31</v>
      </c>
      <c r="D961" s="3" t="s">
        <v>175</v>
      </c>
      <c r="E961" s="4" t="s">
        <v>22</v>
      </c>
      <c r="F961" s="4" t="s">
        <v>5261</v>
      </c>
      <c r="G961" s="4" t="s">
        <v>5262</v>
      </c>
      <c r="H961" s="3" t="s">
        <v>4839</v>
      </c>
      <c r="I961" s="3" t="s">
        <v>5263</v>
      </c>
      <c r="J961" s="3" t="s">
        <v>5264</v>
      </c>
      <c r="K961" s="3" t="s">
        <v>5265</v>
      </c>
      <c r="L961" s="3" t="s">
        <v>5266</v>
      </c>
      <c r="M961" s="4"/>
      <c r="N961" s="3" t="s">
        <v>37</v>
      </c>
      <c r="O961" s="3" t="s">
        <v>46</v>
      </c>
      <c r="P961" s="5">
        <v>6</v>
      </c>
      <c r="Q961" s="5">
        <v>44</v>
      </c>
      <c r="R961" s="5">
        <v>3</v>
      </c>
      <c r="S961" s="5">
        <v>35</v>
      </c>
    </row>
    <row r="962" spans="1:19" ht="28" x14ac:dyDescent="0.15">
      <c r="A962" s="2">
        <f>HYPERLINK("https://open-school.uspishnemisto.com.ua/school/70101/", 70101)</f>
        <v>70101</v>
      </c>
      <c r="B962" s="3" t="s">
        <v>5267</v>
      </c>
      <c r="C962" s="3" t="s">
        <v>31</v>
      </c>
      <c r="D962" s="3" t="s">
        <v>32</v>
      </c>
      <c r="E962" s="4" t="s">
        <v>22</v>
      </c>
      <c r="F962" s="4" t="s">
        <v>5268</v>
      </c>
      <c r="G962" s="4" t="s">
        <v>5269</v>
      </c>
      <c r="H962" s="3" t="s">
        <v>4839</v>
      </c>
      <c r="I962" s="3" t="s">
        <v>5270</v>
      </c>
      <c r="J962" s="3" t="s">
        <v>297</v>
      </c>
      <c r="K962" s="3" t="s">
        <v>5271</v>
      </c>
      <c r="L962" s="3"/>
      <c r="M962" s="4"/>
      <c r="N962" s="3" t="s">
        <v>37</v>
      </c>
      <c r="O962" s="3" t="s">
        <v>46</v>
      </c>
      <c r="P962" s="5">
        <v>11</v>
      </c>
      <c r="Q962" s="5">
        <v>160</v>
      </c>
      <c r="R962" s="5">
        <v>11</v>
      </c>
      <c r="S962" s="5">
        <v>149</v>
      </c>
    </row>
    <row r="963" spans="1:19" ht="28" x14ac:dyDescent="0.15">
      <c r="A963" s="2">
        <f>HYPERLINK("https://open-school.uspishnemisto.com.ua/school/70102/", 70102)</f>
        <v>70102</v>
      </c>
      <c r="B963" s="3" t="s">
        <v>5272</v>
      </c>
      <c r="C963" s="3" t="s">
        <v>31</v>
      </c>
      <c r="D963" s="3" t="s">
        <v>175</v>
      </c>
      <c r="E963" s="4" t="s">
        <v>22</v>
      </c>
      <c r="F963" s="4" t="s">
        <v>5273</v>
      </c>
      <c r="G963" s="4" t="s">
        <v>5274</v>
      </c>
      <c r="H963" s="3" t="s">
        <v>4839</v>
      </c>
      <c r="I963" s="3" t="s">
        <v>5275</v>
      </c>
      <c r="J963" s="3" t="s">
        <v>466</v>
      </c>
      <c r="K963" s="3" t="s">
        <v>5276</v>
      </c>
      <c r="L963" s="3" t="s">
        <v>5277</v>
      </c>
      <c r="M963" s="4"/>
      <c r="N963" s="3" t="s">
        <v>37</v>
      </c>
      <c r="O963" s="3" t="s">
        <v>46</v>
      </c>
      <c r="P963" s="5">
        <v>2</v>
      </c>
      <c r="Q963" s="5">
        <v>36</v>
      </c>
      <c r="R963" s="5">
        <v>3</v>
      </c>
      <c r="S963" s="5">
        <v>37</v>
      </c>
    </row>
    <row r="964" spans="1:19" ht="28" x14ac:dyDescent="0.15">
      <c r="A964" s="2">
        <f>HYPERLINK("https://open-school.uspishnemisto.com.ua/school/70103/", 70103)</f>
        <v>70103</v>
      </c>
      <c r="B964" s="3" t="s">
        <v>5278</v>
      </c>
      <c r="C964" s="3" t="s">
        <v>31</v>
      </c>
      <c r="D964" s="3" t="s">
        <v>32</v>
      </c>
      <c r="E964" s="4" t="s">
        <v>22</v>
      </c>
      <c r="F964" s="4" t="s">
        <v>5279</v>
      </c>
      <c r="G964" s="4" t="s">
        <v>5280</v>
      </c>
      <c r="H964" s="3" t="s">
        <v>4839</v>
      </c>
      <c r="I964" s="3" t="s">
        <v>5281</v>
      </c>
      <c r="J964" s="3" t="s">
        <v>1636</v>
      </c>
      <c r="K964" s="3" t="s">
        <v>5282</v>
      </c>
      <c r="L964" s="3" t="s">
        <v>5283</v>
      </c>
      <c r="M964" s="4"/>
      <c r="N964" s="3" t="s">
        <v>37</v>
      </c>
      <c r="O964" s="3" t="s">
        <v>123</v>
      </c>
      <c r="P964" s="5">
        <v>11</v>
      </c>
      <c r="Q964" s="5">
        <v>112</v>
      </c>
      <c r="R964" s="5">
        <v>11</v>
      </c>
      <c r="S964" s="5">
        <v>116</v>
      </c>
    </row>
    <row r="965" spans="1:19" ht="28" x14ac:dyDescent="0.15">
      <c r="A965" s="2">
        <f>HYPERLINK("https://open-school.uspishnemisto.com.ua/school/70104/", 70104)</f>
        <v>70104</v>
      </c>
      <c r="B965" s="3" t="s">
        <v>5284</v>
      </c>
      <c r="C965" s="3" t="s">
        <v>31</v>
      </c>
      <c r="D965" s="3" t="s">
        <v>175</v>
      </c>
      <c r="E965" s="4" t="s">
        <v>22</v>
      </c>
      <c r="F965" s="4" t="s">
        <v>5285</v>
      </c>
      <c r="G965" s="4" t="s">
        <v>5286</v>
      </c>
      <c r="H965" s="3" t="s">
        <v>4839</v>
      </c>
      <c r="I965" s="3" t="s">
        <v>5287</v>
      </c>
      <c r="J965" s="3" t="s">
        <v>466</v>
      </c>
      <c r="K965" s="3" t="s">
        <v>5288</v>
      </c>
      <c r="L965" s="3" t="s">
        <v>5289</v>
      </c>
      <c r="M965" s="4"/>
      <c r="N965" s="3" t="s">
        <v>37</v>
      </c>
      <c r="O965" s="3" t="s">
        <v>46</v>
      </c>
      <c r="P965" s="5">
        <v>5</v>
      </c>
      <c r="Q965" s="5">
        <v>44</v>
      </c>
      <c r="R965" s="5">
        <v>7</v>
      </c>
      <c r="S965" s="5">
        <v>47</v>
      </c>
    </row>
    <row r="966" spans="1:19" ht="28" x14ac:dyDescent="0.15">
      <c r="A966" s="2">
        <f>HYPERLINK("https://open-school.uspishnemisto.com.ua/school/70105/", 70105)</f>
        <v>70105</v>
      </c>
      <c r="B966" s="3" t="s">
        <v>5290</v>
      </c>
      <c r="C966" s="3" t="s">
        <v>31</v>
      </c>
      <c r="D966" s="3" t="s">
        <v>175</v>
      </c>
      <c r="E966" s="4" t="s">
        <v>22</v>
      </c>
      <c r="F966" s="4" t="s">
        <v>5291</v>
      </c>
      <c r="G966" s="4" t="s">
        <v>5292</v>
      </c>
      <c r="H966" s="3" t="s">
        <v>4839</v>
      </c>
      <c r="I966" s="3" t="s">
        <v>5293</v>
      </c>
      <c r="J966" s="3" t="s">
        <v>3399</v>
      </c>
      <c r="K966" s="3"/>
      <c r="L966" s="3"/>
      <c r="M966" s="4"/>
      <c r="N966" s="3" t="s">
        <v>37</v>
      </c>
      <c r="O966" s="3" t="s">
        <v>52</v>
      </c>
      <c r="P966" s="5">
        <v>3</v>
      </c>
      <c r="Q966" s="5">
        <v>25</v>
      </c>
      <c r="R966" s="5">
        <v>2</v>
      </c>
      <c r="S966" s="5">
        <v>32</v>
      </c>
    </row>
    <row r="967" spans="1:19" ht="28" x14ac:dyDescent="0.15">
      <c r="A967" s="2">
        <f>HYPERLINK("https://open-school.uspishnemisto.com.ua/school/70106/", 70106)</f>
        <v>70106</v>
      </c>
      <c r="B967" s="3" t="s">
        <v>5294</v>
      </c>
      <c r="C967" s="3" t="s">
        <v>31</v>
      </c>
      <c r="D967" s="3" t="s">
        <v>175</v>
      </c>
      <c r="E967" s="4" t="s">
        <v>22</v>
      </c>
      <c r="F967" s="4" t="s">
        <v>5295</v>
      </c>
      <c r="G967" s="4" t="s">
        <v>5296</v>
      </c>
      <c r="H967" s="3" t="s">
        <v>4839</v>
      </c>
      <c r="I967" s="3" t="s">
        <v>5297</v>
      </c>
      <c r="J967" s="3" t="s">
        <v>466</v>
      </c>
      <c r="K967" s="3"/>
      <c r="L967" s="3" t="s">
        <v>5298</v>
      </c>
      <c r="M967" s="4"/>
      <c r="N967" s="3" t="s">
        <v>37</v>
      </c>
      <c r="O967" s="3" t="s">
        <v>52</v>
      </c>
      <c r="P967" s="5">
        <v>9</v>
      </c>
      <c r="Q967" s="5">
        <v>86</v>
      </c>
      <c r="R967" s="5">
        <v>9</v>
      </c>
      <c r="S967" s="5">
        <v>90</v>
      </c>
    </row>
    <row r="968" spans="1:19" ht="28" x14ac:dyDescent="0.15">
      <c r="A968" s="2">
        <f>HYPERLINK("https://open-school.uspishnemisto.com.ua/school/70107/", 70107)</f>
        <v>70107</v>
      </c>
      <c r="B968" s="3" t="s">
        <v>5299</v>
      </c>
      <c r="C968" s="3" t="s">
        <v>31</v>
      </c>
      <c r="D968" s="3" t="s">
        <v>32</v>
      </c>
      <c r="E968" s="4" t="s">
        <v>22</v>
      </c>
      <c r="F968" s="4" t="s">
        <v>5300</v>
      </c>
      <c r="G968" s="4" t="s">
        <v>5301</v>
      </c>
      <c r="H968" s="3" t="s">
        <v>4839</v>
      </c>
      <c r="I968" s="3" t="s">
        <v>5302</v>
      </c>
      <c r="J968" s="3" t="s">
        <v>5303</v>
      </c>
      <c r="K968" s="3" t="s">
        <v>5304</v>
      </c>
      <c r="L968" s="3" t="s">
        <v>5305</v>
      </c>
      <c r="M968" s="4"/>
      <c r="N968" s="3" t="s">
        <v>37</v>
      </c>
      <c r="O968" s="3" t="s">
        <v>52</v>
      </c>
      <c r="P968" s="5">
        <v>11</v>
      </c>
      <c r="Q968" s="5">
        <v>118</v>
      </c>
      <c r="R968" s="5">
        <v>11</v>
      </c>
      <c r="S968" s="5">
        <v>126</v>
      </c>
    </row>
    <row r="969" spans="1:19" ht="28" x14ac:dyDescent="0.15">
      <c r="A969" s="2">
        <f>HYPERLINK("https://open-school.uspishnemisto.com.ua/school/70108/", 70108)</f>
        <v>70108</v>
      </c>
      <c r="B969" s="3" t="s">
        <v>5306</v>
      </c>
      <c r="C969" s="3" t="s">
        <v>31</v>
      </c>
      <c r="D969" s="3" t="s">
        <v>60</v>
      </c>
      <c r="E969" s="4" t="s">
        <v>22</v>
      </c>
      <c r="F969" s="4" t="s">
        <v>5307</v>
      </c>
      <c r="G969" s="4" t="s">
        <v>5308</v>
      </c>
      <c r="H969" s="3" t="s">
        <v>4839</v>
      </c>
      <c r="I969" s="3" t="s">
        <v>5309</v>
      </c>
      <c r="J969" s="3" t="s">
        <v>634</v>
      </c>
      <c r="K969" s="3" t="s">
        <v>5310</v>
      </c>
      <c r="L969" s="3"/>
      <c r="M969" s="4"/>
      <c r="N969" s="3" t="s">
        <v>37</v>
      </c>
      <c r="O969" s="3" t="s">
        <v>52</v>
      </c>
      <c r="P969" s="5">
        <v>1</v>
      </c>
      <c r="Q969" s="5">
        <v>14</v>
      </c>
      <c r="R969" s="5">
        <v>2</v>
      </c>
      <c r="S969" s="5">
        <v>20</v>
      </c>
    </row>
    <row r="970" spans="1:19" ht="28" x14ac:dyDescent="0.15">
      <c r="A970" s="2">
        <f>HYPERLINK("https://open-school.uspishnemisto.com.ua/school/70109/", 70109)</f>
        <v>70109</v>
      </c>
      <c r="B970" s="3" t="s">
        <v>5311</v>
      </c>
      <c r="C970" s="3" t="s">
        <v>31</v>
      </c>
      <c r="D970" s="3" t="s">
        <v>175</v>
      </c>
      <c r="E970" s="4" t="s">
        <v>22</v>
      </c>
      <c r="F970" s="4" t="s">
        <v>5312</v>
      </c>
      <c r="G970" s="4" t="s">
        <v>5313</v>
      </c>
      <c r="H970" s="3" t="s">
        <v>4839</v>
      </c>
      <c r="I970" s="3" t="s">
        <v>5314</v>
      </c>
      <c r="J970" s="3" t="s">
        <v>466</v>
      </c>
      <c r="K970" s="3" t="s">
        <v>5315</v>
      </c>
      <c r="L970" s="3" t="s">
        <v>5316</v>
      </c>
      <c r="M970" s="4"/>
      <c r="N970" s="3" t="s">
        <v>37</v>
      </c>
      <c r="O970" s="3" t="s">
        <v>46</v>
      </c>
      <c r="P970" s="5">
        <v>9</v>
      </c>
      <c r="Q970" s="5">
        <v>113</v>
      </c>
      <c r="R970" s="5">
        <v>9</v>
      </c>
      <c r="S970" s="5">
        <v>110</v>
      </c>
    </row>
    <row r="971" spans="1:19" ht="28" x14ac:dyDescent="0.15">
      <c r="A971" s="2">
        <f>HYPERLINK("https://open-school.uspishnemisto.com.ua/school/70110/", 70110)</f>
        <v>70110</v>
      </c>
      <c r="B971" s="3" t="s">
        <v>5317</v>
      </c>
      <c r="C971" s="3" t="s">
        <v>31</v>
      </c>
      <c r="D971" s="3" t="s">
        <v>175</v>
      </c>
      <c r="E971" s="4" t="s">
        <v>22</v>
      </c>
      <c r="F971" s="4" t="s">
        <v>5318</v>
      </c>
      <c r="G971" s="4" t="s">
        <v>5319</v>
      </c>
      <c r="H971" s="3" t="s">
        <v>4839</v>
      </c>
      <c r="I971" s="3" t="s">
        <v>5320</v>
      </c>
      <c r="J971" s="3" t="s">
        <v>466</v>
      </c>
      <c r="K971" s="3" t="s">
        <v>5321</v>
      </c>
      <c r="L971" s="3" t="s">
        <v>5322</v>
      </c>
      <c r="M971" s="4"/>
      <c r="N971" s="3" t="s">
        <v>37</v>
      </c>
      <c r="O971" s="3" t="s">
        <v>52</v>
      </c>
      <c r="P971" s="5">
        <v>2</v>
      </c>
      <c r="Q971" s="5">
        <v>26</v>
      </c>
      <c r="R971" s="5">
        <v>2</v>
      </c>
      <c r="S971" s="5">
        <v>26</v>
      </c>
    </row>
    <row r="972" spans="1:19" ht="28" x14ac:dyDescent="0.15">
      <c r="A972" s="2">
        <f>HYPERLINK("https://open-school.uspishnemisto.com.ua/school/70111/", 70111)</f>
        <v>70111</v>
      </c>
      <c r="B972" s="3" t="s">
        <v>5323</v>
      </c>
      <c r="C972" s="3" t="s">
        <v>31</v>
      </c>
      <c r="D972" s="3" t="s">
        <v>32</v>
      </c>
      <c r="E972" s="4" t="s">
        <v>22</v>
      </c>
      <c r="F972" s="4" t="s">
        <v>5324</v>
      </c>
      <c r="G972" s="4" t="s">
        <v>5325</v>
      </c>
      <c r="H972" s="3" t="s">
        <v>4839</v>
      </c>
      <c r="I972" s="3" t="s">
        <v>5326</v>
      </c>
      <c r="J972" s="3" t="s">
        <v>5327</v>
      </c>
      <c r="K972" s="3" t="s">
        <v>5328</v>
      </c>
      <c r="L972" s="3"/>
      <c r="M972" s="4"/>
      <c r="N972" s="3" t="s">
        <v>37</v>
      </c>
      <c r="O972" s="3" t="s">
        <v>52</v>
      </c>
      <c r="P972" s="5">
        <v>11</v>
      </c>
      <c r="Q972" s="5">
        <v>125</v>
      </c>
      <c r="R972" s="5">
        <v>11</v>
      </c>
      <c r="S972" s="5">
        <v>118</v>
      </c>
    </row>
    <row r="973" spans="1:19" ht="28" x14ac:dyDescent="0.15">
      <c r="A973" s="2">
        <f>HYPERLINK("https://open-school.uspishnemisto.com.ua/school/70112/", 70112)</f>
        <v>70112</v>
      </c>
      <c r="B973" s="3" t="s">
        <v>5329</v>
      </c>
      <c r="C973" s="3" t="s">
        <v>31</v>
      </c>
      <c r="D973" s="3" t="s">
        <v>175</v>
      </c>
      <c r="E973" s="4" t="s">
        <v>22</v>
      </c>
      <c r="F973" s="4" t="s">
        <v>5330</v>
      </c>
      <c r="G973" s="4" t="s">
        <v>5331</v>
      </c>
      <c r="H973" s="3" t="s">
        <v>4839</v>
      </c>
      <c r="I973" s="3" t="s">
        <v>5332</v>
      </c>
      <c r="J973" s="3" t="s">
        <v>2555</v>
      </c>
      <c r="K973" s="3"/>
      <c r="L973" s="3"/>
      <c r="M973" s="4"/>
      <c r="N973" s="3" t="s">
        <v>37</v>
      </c>
      <c r="O973" s="3" t="s">
        <v>46</v>
      </c>
      <c r="P973" s="5">
        <v>9</v>
      </c>
      <c r="Q973" s="5">
        <v>76</v>
      </c>
      <c r="R973" s="5">
        <v>9</v>
      </c>
      <c r="S973" s="5">
        <v>78</v>
      </c>
    </row>
    <row r="974" spans="1:19" ht="28" x14ac:dyDescent="0.15">
      <c r="A974" s="2">
        <f>HYPERLINK("https://open-school.uspishnemisto.com.ua/school/70113/", 70113)</f>
        <v>70113</v>
      </c>
      <c r="B974" s="3" t="s">
        <v>5333</v>
      </c>
      <c r="C974" s="3" t="s">
        <v>31</v>
      </c>
      <c r="D974" s="3" t="s">
        <v>32</v>
      </c>
      <c r="E974" s="4" t="s">
        <v>22</v>
      </c>
      <c r="F974" s="4" t="s">
        <v>5334</v>
      </c>
      <c r="G974" s="4" t="s">
        <v>5335</v>
      </c>
      <c r="H974" s="3" t="s">
        <v>4839</v>
      </c>
      <c r="I974" s="3" t="s">
        <v>5336</v>
      </c>
      <c r="J974" s="3" t="s">
        <v>946</v>
      </c>
      <c r="K974" s="3" t="s">
        <v>5337</v>
      </c>
      <c r="L974" s="3" t="s">
        <v>5338</v>
      </c>
      <c r="M974" s="4"/>
      <c r="N974" s="3" t="s">
        <v>37</v>
      </c>
      <c r="O974" s="3" t="s">
        <v>52</v>
      </c>
      <c r="P974" s="5">
        <v>10</v>
      </c>
      <c r="Q974" s="5">
        <v>69</v>
      </c>
      <c r="R974" s="5">
        <v>10</v>
      </c>
      <c r="S974" s="5">
        <v>67</v>
      </c>
    </row>
    <row r="975" spans="1:19" ht="28" x14ac:dyDescent="0.15">
      <c r="A975" s="2">
        <f>HYPERLINK("https://open-school.uspishnemisto.com.ua/school/70114/", 70114)</f>
        <v>70114</v>
      </c>
      <c r="B975" s="3" t="s">
        <v>5339</v>
      </c>
      <c r="C975" s="3" t="s">
        <v>31</v>
      </c>
      <c r="D975" s="3" t="s">
        <v>175</v>
      </c>
      <c r="E975" s="4" t="s">
        <v>22</v>
      </c>
      <c r="F975" s="4" t="s">
        <v>5340</v>
      </c>
      <c r="G975" s="4" t="s">
        <v>5341</v>
      </c>
      <c r="H975" s="3" t="s">
        <v>4839</v>
      </c>
      <c r="I975" s="3" t="s">
        <v>5342</v>
      </c>
      <c r="J975" s="3" t="s">
        <v>634</v>
      </c>
      <c r="K975" s="3" t="s">
        <v>5343</v>
      </c>
      <c r="L975" s="3"/>
      <c r="M975" s="4"/>
      <c r="N975" s="3" t="s">
        <v>37</v>
      </c>
      <c r="O975" s="3" t="s">
        <v>52</v>
      </c>
      <c r="P975" s="5">
        <v>7</v>
      </c>
      <c r="Q975" s="5">
        <v>54</v>
      </c>
      <c r="R975" s="5">
        <v>7</v>
      </c>
      <c r="S975" s="5">
        <v>54</v>
      </c>
    </row>
    <row r="976" spans="1:19" ht="28" x14ac:dyDescent="0.15">
      <c r="A976" s="2">
        <f>HYPERLINK("https://open-school.uspishnemisto.com.ua/school/70115/", 70115)</f>
        <v>70115</v>
      </c>
      <c r="B976" s="3" t="s">
        <v>5344</v>
      </c>
      <c r="C976" s="3" t="s">
        <v>31</v>
      </c>
      <c r="D976" s="3" t="s">
        <v>32</v>
      </c>
      <c r="E976" s="4" t="s">
        <v>22</v>
      </c>
      <c r="F976" s="4" t="s">
        <v>5345</v>
      </c>
      <c r="G976" s="4" t="s">
        <v>5346</v>
      </c>
      <c r="H976" s="3" t="s">
        <v>4839</v>
      </c>
      <c r="I976" s="3" t="s">
        <v>5347</v>
      </c>
      <c r="J976" s="3" t="s">
        <v>5348</v>
      </c>
      <c r="K976" s="3" t="s">
        <v>5349</v>
      </c>
      <c r="L976" s="3" t="s">
        <v>5350</v>
      </c>
      <c r="M976" s="4"/>
      <c r="N976" s="3" t="s">
        <v>37</v>
      </c>
      <c r="O976" s="3" t="s">
        <v>52</v>
      </c>
      <c r="P976" s="5">
        <v>11</v>
      </c>
      <c r="Q976" s="5">
        <v>165</v>
      </c>
      <c r="R976" s="5">
        <v>11</v>
      </c>
      <c r="S976" s="5">
        <v>163</v>
      </c>
    </row>
    <row r="977" spans="1:19" ht="28" x14ac:dyDescent="0.15">
      <c r="A977" s="2">
        <f>HYPERLINK("https://open-school.uspishnemisto.com.ua/school/70116/", 70116)</f>
        <v>70116</v>
      </c>
      <c r="B977" s="3" t="s">
        <v>5351</v>
      </c>
      <c r="C977" s="3" t="s">
        <v>31</v>
      </c>
      <c r="D977" s="3" t="s">
        <v>60</v>
      </c>
      <c r="E977" s="4" t="s">
        <v>22</v>
      </c>
      <c r="F977" s="4" t="s">
        <v>5345</v>
      </c>
      <c r="G977" s="4" t="s">
        <v>5352</v>
      </c>
      <c r="H977" s="3" t="s">
        <v>4839</v>
      </c>
      <c r="I977" s="3" t="s">
        <v>5353</v>
      </c>
      <c r="J977" s="3" t="s">
        <v>5354</v>
      </c>
      <c r="K977" s="3" t="s">
        <v>5355</v>
      </c>
      <c r="L977" s="3"/>
      <c r="M977" s="4"/>
      <c r="N977" s="3" t="s">
        <v>37</v>
      </c>
      <c r="O977" s="3" t="s">
        <v>52</v>
      </c>
      <c r="P977" s="5">
        <v>1</v>
      </c>
      <c r="Q977" s="5">
        <v>15</v>
      </c>
      <c r="R977" s="5">
        <v>1</v>
      </c>
      <c r="S977" s="5">
        <v>15</v>
      </c>
    </row>
    <row r="978" spans="1:19" ht="28" x14ac:dyDescent="0.15">
      <c r="A978" s="2">
        <f>HYPERLINK("https://open-school.uspishnemisto.com.ua/school/70117/", 70117)</f>
        <v>70117</v>
      </c>
      <c r="B978" s="3" t="s">
        <v>5356</v>
      </c>
      <c r="C978" s="3" t="s">
        <v>31</v>
      </c>
      <c r="D978" s="3" t="s">
        <v>32</v>
      </c>
      <c r="E978" s="4" t="s">
        <v>22</v>
      </c>
      <c r="F978" s="4" t="s">
        <v>5357</v>
      </c>
      <c r="G978" s="4" t="s">
        <v>5358</v>
      </c>
      <c r="H978" s="3" t="s">
        <v>4839</v>
      </c>
      <c r="I978" s="3" t="s">
        <v>5359</v>
      </c>
      <c r="J978" s="3" t="s">
        <v>5360</v>
      </c>
      <c r="K978" s="3" t="s">
        <v>5361</v>
      </c>
      <c r="L978" s="3" t="s">
        <v>5362</v>
      </c>
      <c r="M978" s="4"/>
      <c r="N978" s="3" t="s">
        <v>37</v>
      </c>
      <c r="O978" s="3" t="s">
        <v>52</v>
      </c>
      <c r="P978" s="5">
        <v>11</v>
      </c>
      <c r="Q978" s="5">
        <v>168</v>
      </c>
      <c r="R978" s="5">
        <v>11</v>
      </c>
      <c r="S978" s="5">
        <v>168</v>
      </c>
    </row>
    <row r="979" spans="1:19" ht="28" x14ac:dyDescent="0.15">
      <c r="A979" s="2">
        <f>HYPERLINK("https://open-school.uspishnemisto.com.ua/school/70118/", 70118)</f>
        <v>70118</v>
      </c>
      <c r="B979" s="3" t="s">
        <v>5363</v>
      </c>
      <c r="C979" s="3" t="s">
        <v>31</v>
      </c>
      <c r="D979" s="3" t="s">
        <v>175</v>
      </c>
      <c r="E979" s="4" t="s">
        <v>22</v>
      </c>
      <c r="F979" s="4" t="s">
        <v>5364</v>
      </c>
      <c r="G979" s="4" t="s">
        <v>5365</v>
      </c>
      <c r="H979" s="3" t="s">
        <v>4839</v>
      </c>
      <c r="I979" s="3" t="s">
        <v>5366</v>
      </c>
      <c r="J979" s="3" t="s">
        <v>634</v>
      </c>
      <c r="K979" s="3" t="s">
        <v>5367</v>
      </c>
      <c r="L979" s="3"/>
      <c r="M979" s="4"/>
      <c r="N979" s="3" t="s">
        <v>37</v>
      </c>
      <c r="O979" s="3" t="s">
        <v>52</v>
      </c>
      <c r="P979" s="5">
        <v>9</v>
      </c>
      <c r="Q979" s="5">
        <v>73</v>
      </c>
      <c r="R979" s="5">
        <v>8</v>
      </c>
      <c r="S979" s="5">
        <v>68</v>
      </c>
    </row>
    <row r="980" spans="1:19" ht="28" x14ac:dyDescent="0.15">
      <c r="A980" s="2">
        <f>HYPERLINK("https://open-school.uspishnemisto.com.ua/school/70119/", 70119)</f>
        <v>70119</v>
      </c>
      <c r="B980" s="3" t="s">
        <v>5368</v>
      </c>
      <c r="C980" s="3" t="s">
        <v>31</v>
      </c>
      <c r="D980" s="3" t="s">
        <v>32</v>
      </c>
      <c r="E980" s="4" t="s">
        <v>22</v>
      </c>
      <c r="F980" s="4" t="s">
        <v>5369</v>
      </c>
      <c r="G980" s="4" t="s">
        <v>5370</v>
      </c>
      <c r="H980" s="3" t="s">
        <v>4839</v>
      </c>
      <c r="I980" s="3" t="s">
        <v>1889</v>
      </c>
      <c r="J980" s="3" t="s">
        <v>5145</v>
      </c>
      <c r="K980" s="3" t="s">
        <v>5371</v>
      </c>
      <c r="L980" s="3" t="s">
        <v>5372</v>
      </c>
      <c r="M980" s="4"/>
      <c r="N980" s="3" t="s">
        <v>37</v>
      </c>
      <c r="O980" s="3" t="s">
        <v>46</v>
      </c>
      <c r="P980" s="5">
        <v>11</v>
      </c>
      <c r="Q980" s="5">
        <v>150</v>
      </c>
      <c r="R980" s="5">
        <v>11</v>
      </c>
      <c r="S980" s="5">
        <v>147</v>
      </c>
    </row>
    <row r="981" spans="1:19" ht="28" x14ac:dyDescent="0.15">
      <c r="A981" s="2">
        <f>HYPERLINK("https://open-school.uspishnemisto.com.ua/school/70120/", 70120)</f>
        <v>70120</v>
      </c>
      <c r="B981" s="3" t="s">
        <v>5373</v>
      </c>
      <c r="C981" s="3" t="s">
        <v>31</v>
      </c>
      <c r="D981" s="3" t="s">
        <v>175</v>
      </c>
      <c r="E981" s="4" t="s">
        <v>22</v>
      </c>
      <c r="F981" s="4" t="s">
        <v>5374</v>
      </c>
      <c r="G981" s="4" t="s">
        <v>5375</v>
      </c>
      <c r="H981" s="3" t="s">
        <v>4839</v>
      </c>
      <c r="I981" s="3" t="s">
        <v>5376</v>
      </c>
      <c r="J981" s="3" t="s">
        <v>5377</v>
      </c>
      <c r="K981" s="3" t="s">
        <v>5378</v>
      </c>
      <c r="L981" s="3" t="s">
        <v>5379</v>
      </c>
      <c r="M981" s="4"/>
      <c r="N981" s="3" t="s">
        <v>37</v>
      </c>
      <c r="O981" s="3" t="s">
        <v>46</v>
      </c>
      <c r="P981" s="5">
        <v>2</v>
      </c>
      <c r="Q981" s="5">
        <v>35</v>
      </c>
      <c r="R981" s="5">
        <v>1</v>
      </c>
      <c r="S981" s="5">
        <v>33</v>
      </c>
    </row>
    <row r="982" spans="1:19" ht="28" x14ac:dyDescent="0.15">
      <c r="A982" s="2">
        <f>HYPERLINK("https://open-school.uspishnemisto.com.ua/school/70121/", 70121)</f>
        <v>70121</v>
      </c>
      <c r="B982" s="3" t="s">
        <v>5380</v>
      </c>
      <c r="C982" s="3" t="s">
        <v>31</v>
      </c>
      <c r="D982" s="3" t="s">
        <v>32</v>
      </c>
      <c r="E982" s="4" t="s">
        <v>22</v>
      </c>
      <c r="F982" s="4" t="s">
        <v>5381</v>
      </c>
      <c r="G982" s="4" t="s">
        <v>5382</v>
      </c>
      <c r="H982" s="3" t="s">
        <v>4839</v>
      </c>
      <c r="I982" s="3" t="s">
        <v>5383</v>
      </c>
      <c r="J982" s="3" t="s">
        <v>634</v>
      </c>
      <c r="K982" s="3" t="s">
        <v>5384</v>
      </c>
      <c r="L982" s="3" t="s">
        <v>5385</v>
      </c>
      <c r="M982" s="4"/>
      <c r="N982" s="3" t="s">
        <v>37</v>
      </c>
      <c r="O982" s="3" t="s">
        <v>46</v>
      </c>
      <c r="P982" s="5">
        <v>8</v>
      </c>
      <c r="Q982" s="5">
        <v>55</v>
      </c>
      <c r="R982" s="5">
        <v>9</v>
      </c>
      <c r="S982" s="5">
        <v>63</v>
      </c>
    </row>
    <row r="983" spans="1:19" ht="28" x14ac:dyDescent="0.15">
      <c r="A983" s="2">
        <f>HYPERLINK("https://open-school.uspishnemisto.com.ua/school/70122/", 70122)</f>
        <v>70122</v>
      </c>
      <c r="B983" s="3" t="s">
        <v>5386</v>
      </c>
      <c r="C983" s="3" t="s">
        <v>31</v>
      </c>
      <c r="D983" s="3" t="s">
        <v>60</v>
      </c>
      <c r="E983" s="4" t="s">
        <v>22</v>
      </c>
      <c r="F983" s="4" t="s">
        <v>5381</v>
      </c>
      <c r="G983" s="4" t="s">
        <v>5387</v>
      </c>
      <c r="H983" s="3" t="s">
        <v>4839</v>
      </c>
      <c r="I983" s="3" t="s">
        <v>5388</v>
      </c>
      <c r="J983" s="3" t="s">
        <v>554</v>
      </c>
      <c r="K983" s="3" t="s">
        <v>5389</v>
      </c>
      <c r="L983" s="3"/>
      <c r="M983" s="4"/>
      <c r="N983" s="3" t="s">
        <v>37</v>
      </c>
      <c r="O983" s="3" t="s">
        <v>52</v>
      </c>
      <c r="P983" s="5">
        <v>1</v>
      </c>
      <c r="Q983" s="5">
        <v>12</v>
      </c>
      <c r="R983" s="5">
        <v>2</v>
      </c>
      <c r="S983" s="5">
        <v>23</v>
      </c>
    </row>
    <row r="984" spans="1:19" ht="28" x14ac:dyDescent="0.15">
      <c r="A984" s="2">
        <f>HYPERLINK("https://open-school.uspishnemisto.com.ua/school/70123/", 70123)</f>
        <v>70123</v>
      </c>
      <c r="B984" s="3" t="s">
        <v>5390</v>
      </c>
      <c r="C984" s="3" t="s">
        <v>31</v>
      </c>
      <c r="D984" s="3" t="s">
        <v>32</v>
      </c>
      <c r="E984" s="4" t="s">
        <v>22</v>
      </c>
      <c r="F984" s="4" t="s">
        <v>5391</v>
      </c>
      <c r="G984" s="4" t="s">
        <v>5392</v>
      </c>
      <c r="H984" s="3" t="s">
        <v>4839</v>
      </c>
      <c r="I984" s="3" t="s">
        <v>5393</v>
      </c>
      <c r="J984" s="3" t="s">
        <v>5394</v>
      </c>
      <c r="K984" s="3"/>
      <c r="L984" s="3"/>
      <c r="M984" s="4"/>
      <c r="N984" s="3" t="s">
        <v>37</v>
      </c>
      <c r="O984" s="3" t="s">
        <v>52</v>
      </c>
      <c r="P984" s="5">
        <v>11</v>
      </c>
      <c r="Q984" s="5">
        <v>148</v>
      </c>
      <c r="R984" s="5">
        <v>11</v>
      </c>
      <c r="S984" s="5">
        <v>140</v>
      </c>
    </row>
    <row r="985" spans="1:19" ht="28" x14ac:dyDescent="0.15">
      <c r="A985" s="2">
        <f>HYPERLINK("https://open-school.uspishnemisto.com.ua/school/70124/", 70124)</f>
        <v>70124</v>
      </c>
      <c r="B985" s="3" t="s">
        <v>5395</v>
      </c>
      <c r="C985" s="3" t="s">
        <v>31</v>
      </c>
      <c r="D985" s="3" t="s">
        <v>32</v>
      </c>
      <c r="E985" s="4" t="s">
        <v>22</v>
      </c>
      <c r="F985" s="4" t="s">
        <v>5396</v>
      </c>
      <c r="G985" s="4" t="s">
        <v>5397</v>
      </c>
      <c r="H985" s="3" t="s">
        <v>4839</v>
      </c>
      <c r="I985" s="3" t="s">
        <v>5398</v>
      </c>
      <c r="J985" s="3" t="s">
        <v>2434</v>
      </c>
      <c r="K985" s="3"/>
      <c r="L985" s="3" t="s">
        <v>5399</v>
      </c>
      <c r="M985" s="4"/>
      <c r="N985" s="3" t="s">
        <v>37</v>
      </c>
      <c r="O985" s="3" t="s">
        <v>52</v>
      </c>
      <c r="P985" s="5">
        <v>10</v>
      </c>
      <c r="Q985" s="5">
        <v>105</v>
      </c>
      <c r="R985" s="5">
        <v>9</v>
      </c>
      <c r="S985" s="5">
        <v>110</v>
      </c>
    </row>
    <row r="986" spans="1:19" ht="28" x14ac:dyDescent="0.15">
      <c r="A986" s="2">
        <f>HYPERLINK("https://open-school.uspishnemisto.com.ua/school/70125/", 70125)</f>
        <v>70125</v>
      </c>
      <c r="B986" s="3" t="s">
        <v>5400</v>
      </c>
      <c r="C986" s="3" t="s">
        <v>31</v>
      </c>
      <c r="D986" s="3" t="s">
        <v>175</v>
      </c>
      <c r="E986" s="4" t="s">
        <v>22</v>
      </c>
      <c r="F986" s="4" t="s">
        <v>5401</v>
      </c>
      <c r="G986" s="4" t="s">
        <v>5402</v>
      </c>
      <c r="H986" s="3" t="s">
        <v>4839</v>
      </c>
      <c r="I986" s="3" t="s">
        <v>5403</v>
      </c>
      <c r="J986" s="3" t="s">
        <v>2901</v>
      </c>
      <c r="K986" s="3" t="s">
        <v>5404</v>
      </c>
      <c r="L986" s="3" t="s">
        <v>5405</v>
      </c>
      <c r="M986" s="4"/>
      <c r="N986" s="3" t="s">
        <v>37</v>
      </c>
      <c r="O986" s="3" t="s">
        <v>52</v>
      </c>
      <c r="P986" s="5">
        <v>2</v>
      </c>
      <c r="Q986" s="5">
        <v>26</v>
      </c>
      <c r="R986" s="5">
        <v>3</v>
      </c>
      <c r="S986" s="5">
        <v>30</v>
      </c>
    </row>
    <row r="987" spans="1:19" ht="28" x14ac:dyDescent="0.15">
      <c r="A987" s="2">
        <f>HYPERLINK("https://open-school.uspishnemisto.com.ua/school/70126/", 70126)</f>
        <v>70126</v>
      </c>
      <c r="B987" s="3" t="s">
        <v>5406</v>
      </c>
      <c r="C987" s="3" t="s">
        <v>31</v>
      </c>
      <c r="D987" s="3" t="s">
        <v>32</v>
      </c>
      <c r="E987" s="4" t="s">
        <v>22</v>
      </c>
      <c r="F987" s="4" t="s">
        <v>5407</v>
      </c>
      <c r="G987" s="4" t="s">
        <v>5408</v>
      </c>
      <c r="H987" s="3" t="s">
        <v>4839</v>
      </c>
      <c r="I987" s="3" t="s">
        <v>5409</v>
      </c>
      <c r="J987" s="3" t="s">
        <v>466</v>
      </c>
      <c r="K987" s="3" t="s">
        <v>5410</v>
      </c>
      <c r="L987" s="3" t="s">
        <v>5411</v>
      </c>
      <c r="M987" s="4"/>
      <c r="N987" s="3" t="s">
        <v>37</v>
      </c>
      <c r="O987" s="3" t="s">
        <v>46</v>
      </c>
      <c r="P987" s="5">
        <v>10</v>
      </c>
      <c r="Q987" s="5">
        <v>103</v>
      </c>
      <c r="R987" s="5">
        <v>10</v>
      </c>
      <c r="S987" s="5">
        <v>103</v>
      </c>
    </row>
    <row r="988" spans="1:19" ht="28" x14ac:dyDescent="0.15">
      <c r="A988" s="2">
        <f>HYPERLINK("https://open-school.uspishnemisto.com.ua/school/70127/", 70127)</f>
        <v>70127</v>
      </c>
      <c r="B988" s="3" t="s">
        <v>5412</v>
      </c>
      <c r="C988" s="3" t="s">
        <v>31</v>
      </c>
      <c r="D988" s="3" t="s">
        <v>175</v>
      </c>
      <c r="E988" s="4" t="s">
        <v>22</v>
      </c>
      <c r="F988" s="4" t="s">
        <v>5407</v>
      </c>
      <c r="G988" s="4" t="s">
        <v>5413</v>
      </c>
      <c r="H988" s="3" t="s">
        <v>4839</v>
      </c>
      <c r="I988" s="3" t="s">
        <v>5414</v>
      </c>
      <c r="J988" s="3" t="s">
        <v>1636</v>
      </c>
      <c r="K988" s="3" t="s">
        <v>5415</v>
      </c>
      <c r="L988" s="3" t="s">
        <v>5416</v>
      </c>
      <c r="M988" s="4"/>
      <c r="N988" s="3" t="s">
        <v>37</v>
      </c>
      <c r="O988" s="3" t="s">
        <v>46</v>
      </c>
      <c r="P988" s="5">
        <v>3</v>
      </c>
      <c r="Q988" s="5">
        <v>35</v>
      </c>
      <c r="R988" s="5">
        <v>4</v>
      </c>
      <c r="S988" s="5">
        <v>36</v>
      </c>
    </row>
    <row r="989" spans="1:19" ht="28" x14ac:dyDescent="0.15">
      <c r="A989" s="2">
        <f>HYPERLINK("https://open-school.uspishnemisto.com.ua/school/70128/", 70128)</f>
        <v>70128</v>
      </c>
      <c r="B989" s="3" t="s">
        <v>5417</v>
      </c>
      <c r="C989" s="3" t="s">
        <v>31</v>
      </c>
      <c r="D989" s="3" t="s">
        <v>175</v>
      </c>
      <c r="E989" s="4" t="s">
        <v>22</v>
      </c>
      <c r="F989" s="4" t="s">
        <v>5418</v>
      </c>
      <c r="G989" s="4" t="s">
        <v>5419</v>
      </c>
      <c r="H989" s="3" t="s">
        <v>4839</v>
      </c>
      <c r="I989" s="3" t="s">
        <v>5420</v>
      </c>
      <c r="J989" s="3" t="s">
        <v>5421</v>
      </c>
      <c r="K989" s="3"/>
      <c r="L989" s="3"/>
      <c r="M989" s="4"/>
      <c r="N989" s="3" t="s">
        <v>37</v>
      </c>
      <c r="O989" s="3" t="s">
        <v>52</v>
      </c>
      <c r="P989" s="5">
        <v>9</v>
      </c>
      <c r="Q989" s="5">
        <v>62</v>
      </c>
      <c r="R989" s="5">
        <v>9</v>
      </c>
      <c r="S989" s="5">
        <v>68</v>
      </c>
    </row>
    <row r="990" spans="1:19" ht="28" x14ac:dyDescent="0.15">
      <c r="A990" s="2">
        <f>HYPERLINK("https://open-school.uspishnemisto.com.ua/school/70129/", 70129)</f>
        <v>70129</v>
      </c>
      <c r="B990" s="3" t="s">
        <v>5422</v>
      </c>
      <c r="C990" s="3" t="s">
        <v>31</v>
      </c>
      <c r="D990" s="3" t="s">
        <v>32</v>
      </c>
      <c r="E990" s="4" t="s">
        <v>22</v>
      </c>
      <c r="F990" s="4" t="s">
        <v>5423</v>
      </c>
      <c r="G990" s="4" t="s">
        <v>5424</v>
      </c>
      <c r="H990" s="3" t="s">
        <v>4839</v>
      </c>
      <c r="I990" s="3" t="s">
        <v>5425</v>
      </c>
      <c r="J990" s="3" t="s">
        <v>297</v>
      </c>
      <c r="K990" s="3" t="s">
        <v>5426</v>
      </c>
      <c r="L990" s="3" t="s">
        <v>5427</v>
      </c>
      <c r="M990" s="4"/>
      <c r="N990" s="3" t="s">
        <v>37</v>
      </c>
      <c r="O990" s="3" t="s">
        <v>52</v>
      </c>
      <c r="P990" s="5">
        <v>11</v>
      </c>
      <c r="Q990" s="5">
        <v>131</v>
      </c>
      <c r="R990" s="5">
        <v>11</v>
      </c>
      <c r="S990" s="5">
        <v>124</v>
      </c>
    </row>
    <row r="991" spans="1:19" ht="28" x14ac:dyDescent="0.15">
      <c r="A991" s="2">
        <f>HYPERLINK("https://open-school.uspishnemisto.com.ua/school/70130/", 70130)</f>
        <v>70130</v>
      </c>
      <c r="B991" s="3" t="s">
        <v>5428</v>
      </c>
      <c r="C991" s="3" t="s">
        <v>31</v>
      </c>
      <c r="D991" s="3" t="s">
        <v>175</v>
      </c>
      <c r="E991" s="4" t="s">
        <v>22</v>
      </c>
      <c r="F991" s="4" t="s">
        <v>5429</v>
      </c>
      <c r="G991" s="4" t="s">
        <v>5430</v>
      </c>
      <c r="H991" s="3" t="s">
        <v>4839</v>
      </c>
      <c r="I991" s="3" t="s">
        <v>5431</v>
      </c>
      <c r="J991" s="3" t="s">
        <v>5432</v>
      </c>
      <c r="K991" s="3" t="s">
        <v>5433</v>
      </c>
      <c r="L991" s="3"/>
      <c r="M991" s="4"/>
      <c r="N991" s="3" t="s">
        <v>37</v>
      </c>
      <c r="O991" s="3" t="s">
        <v>52</v>
      </c>
      <c r="P991" s="5">
        <v>9</v>
      </c>
      <c r="Q991" s="5">
        <v>71</v>
      </c>
      <c r="R991" s="5">
        <v>9</v>
      </c>
      <c r="S991" s="5">
        <v>83</v>
      </c>
    </row>
    <row r="992" spans="1:19" ht="28" x14ac:dyDescent="0.15">
      <c r="A992" s="2">
        <f>HYPERLINK("https://open-school.uspishnemisto.com.ua/school/70131/", 70131)</f>
        <v>70131</v>
      </c>
      <c r="B992" s="3" t="s">
        <v>5434</v>
      </c>
      <c r="C992" s="3" t="s">
        <v>31</v>
      </c>
      <c r="D992" s="3" t="s">
        <v>175</v>
      </c>
      <c r="E992" s="4" t="s">
        <v>22</v>
      </c>
      <c r="F992" s="4" t="s">
        <v>5435</v>
      </c>
      <c r="G992" s="4" t="s">
        <v>5436</v>
      </c>
      <c r="H992" s="3" t="s">
        <v>4839</v>
      </c>
      <c r="I992" s="3" t="s">
        <v>5437</v>
      </c>
      <c r="J992" s="3" t="s">
        <v>1636</v>
      </c>
      <c r="K992" s="3" t="s">
        <v>5438</v>
      </c>
      <c r="L992" s="3" t="s">
        <v>5439</v>
      </c>
      <c r="M992" s="4"/>
      <c r="N992" s="3" t="s">
        <v>37</v>
      </c>
      <c r="O992" s="3" t="s">
        <v>52</v>
      </c>
      <c r="P992" s="5">
        <v>2</v>
      </c>
      <c r="Q992" s="5">
        <v>33</v>
      </c>
      <c r="R992" s="5">
        <v>4</v>
      </c>
      <c r="S992" s="5">
        <v>35</v>
      </c>
    </row>
    <row r="993" spans="1:19" ht="28" x14ac:dyDescent="0.15">
      <c r="A993" s="2">
        <f>HYPERLINK("https://open-school.uspishnemisto.com.ua/school/70132/", 70132)</f>
        <v>70132</v>
      </c>
      <c r="B993" s="3" t="s">
        <v>5440</v>
      </c>
      <c r="C993" s="3" t="s">
        <v>31</v>
      </c>
      <c r="D993" s="3" t="s">
        <v>32</v>
      </c>
      <c r="E993" s="4" t="s">
        <v>22</v>
      </c>
      <c r="F993" s="4" t="s">
        <v>5441</v>
      </c>
      <c r="G993" s="4" t="s">
        <v>5442</v>
      </c>
      <c r="H993" s="3" t="s">
        <v>4839</v>
      </c>
      <c r="I993" s="3" t="s">
        <v>5443</v>
      </c>
      <c r="J993" s="3" t="s">
        <v>1360</v>
      </c>
      <c r="K993" s="3" t="s">
        <v>5444</v>
      </c>
      <c r="L993" s="3" t="s">
        <v>5445</v>
      </c>
      <c r="M993" s="4"/>
      <c r="N993" s="3" t="s">
        <v>37</v>
      </c>
      <c r="O993" s="3" t="s">
        <v>52</v>
      </c>
      <c r="P993" s="5">
        <v>11</v>
      </c>
      <c r="Q993" s="5">
        <v>90</v>
      </c>
      <c r="R993" s="5">
        <v>11</v>
      </c>
      <c r="S993" s="5">
        <v>85</v>
      </c>
    </row>
    <row r="994" spans="1:19" ht="28" x14ac:dyDescent="0.15">
      <c r="A994" s="2">
        <f>HYPERLINK("https://open-school.uspishnemisto.com.ua/school/70133/", 70133)</f>
        <v>70133</v>
      </c>
      <c r="B994" s="3" t="s">
        <v>5446</v>
      </c>
      <c r="C994" s="3" t="s">
        <v>31</v>
      </c>
      <c r="D994" s="3" t="s">
        <v>175</v>
      </c>
      <c r="E994" s="4" t="s">
        <v>22</v>
      </c>
      <c r="F994" s="4" t="s">
        <v>5291</v>
      </c>
      <c r="G994" s="4" t="s">
        <v>5447</v>
      </c>
      <c r="H994" s="3" t="s">
        <v>4839</v>
      </c>
      <c r="I994" s="3" t="s">
        <v>5448</v>
      </c>
      <c r="J994" s="3" t="s">
        <v>297</v>
      </c>
      <c r="K994" s="3" t="s">
        <v>5449</v>
      </c>
      <c r="L994" s="3"/>
      <c r="M994" s="4"/>
      <c r="N994" s="3" t="s">
        <v>37</v>
      </c>
      <c r="O994" s="3" t="s">
        <v>46</v>
      </c>
      <c r="P994" s="5">
        <v>9</v>
      </c>
      <c r="Q994" s="5">
        <v>64</v>
      </c>
      <c r="R994" s="5">
        <v>9</v>
      </c>
      <c r="S994" s="5">
        <v>70</v>
      </c>
    </row>
    <row r="995" spans="1:19" ht="28" x14ac:dyDescent="0.15">
      <c r="A995" s="2">
        <f>HYPERLINK("https://open-school.uspishnemisto.com.ua/school/70134/", 70134)</f>
        <v>70134</v>
      </c>
      <c r="B995" s="3" t="s">
        <v>5450</v>
      </c>
      <c r="C995" s="3" t="s">
        <v>31</v>
      </c>
      <c r="D995" s="3" t="s">
        <v>175</v>
      </c>
      <c r="E995" s="4" t="s">
        <v>22</v>
      </c>
      <c r="F995" s="4" t="s">
        <v>5451</v>
      </c>
      <c r="G995" s="4" t="s">
        <v>5452</v>
      </c>
      <c r="H995" s="3" t="s">
        <v>4839</v>
      </c>
      <c r="I995" s="3" t="s">
        <v>5453</v>
      </c>
      <c r="J995" s="3" t="s">
        <v>466</v>
      </c>
      <c r="K995" s="3" t="s">
        <v>5454</v>
      </c>
      <c r="L995" s="3" t="s">
        <v>5455</v>
      </c>
      <c r="M995" s="4"/>
      <c r="N995" s="3" t="s">
        <v>37</v>
      </c>
      <c r="O995" s="3" t="s">
        <v>46</v>
      </c>
      <c r="P995" s="5">
        <v>9</v>
      </c>
      <c r="Q995" s="5">
        <v>194</v>
      </c>
      <c r="R995" s="5">
        <v>9</v>
      </c>
      <c r="S995" s="5">
        <v>182</v>
      </c>
    </row>
    <row r="996" spans="1:19" ht="28" x14ac:dyDescent="0.15">
      <c r="A996" s="2">
        <f>HYPERLINK("https://open-school.uspishnemisto.com.ua/school/70135/", 70135)</f>
        <v>70135</v>
      </c>
      <c r="B996" s="3" t="s">
        <v>5456</v>
      </c>
      <c r="C996" s="3" t="s">
        <v>31</v>
      </c>
      <c r="D996" s="3" t="s">
        <v>60</v>
      </c>
      <c r="E996" s="4" t="s">
        <v>22</v>
      </c>
      <c r="F996" s="4" t="s">
        <v>5451</v>
      </c>
      <c r="G996" s="4" t="s">
        <v>5457</v>
      </c>
      <c r="H996" s="3" t="s">
        <v>4839</v>
      </c>
      <c r="I996" s="3" t="s">
        <v>5458</v>
      </c>
      <c r="J996" s="3" t="s">
        <v>466</v>
      </c>
      <c r="K996" s="3"/>
      <c r="L996" s="3"/>
      <c r="M996" s="4"/>
      <c r="N996" s="3" t="s">
        <v>37</v>
      </c>
      <c r="O996" s="3" t="s">
        <v>52</v>
      </c>
      <c r="P996" s="5">
        <v>4</v>
      </c>
      <c r="Q996" s="5">
        <v>29</v>
      </c>
      <c r="R996" s="5">
        <v>3</v>
      </c>
      <c r="S996" s="5">
        <v>27</v>
      </c>
    </row>
    <row r="997" spans="1:19" ht="28" x14ac:dyDescent="0.15">
      <c r="A997" s="2">
        <f>HYPERLINK("https://open-school.uspishnemisto.com.ua/school/70136/", 70136)</f>
        <v>70136</v>
      </c>
      <c r="B997" s="3" t="s">
        <v>5459</v>
      </c>
      <c r="C997" s="3" t="s">
        <v>31</v>
      </c>
      <c r="D997" s="3" t="s">
        <v>60</v>
      </c>
      <c r="E997" s="4" t="s">
        <v>22</v>
      </c>
      <c r="F997" s="4" t="s">
        <v>5451</v>
      </c>
      <c r="G997" s="4" t="s">
        <v>5460</v>
      </c>
      <c r="H997" s="3" t="s">
        <v>4839</v>
      </c>
      <c r="I997" s="3" t="s">
        <v>5461</v>
      </c>
      <c r="J997" s="3" t="s">
        <v>5462</v>
      </c>
      <c r="K997" s="3"/>
      <c r="L997" s="3"/>
      <c r="M997" s="4"/>
      <c r="N997" s="3" t="s">
        <v>37</v>
      </c>
      <c r="O997" s="3" t="s">
        <v>52</v>
      </c>
      <c r="P997" s="5">
        <v>3</v>
      </c>
      <c r="Q997" s="5">
        <v>18</v>
      </c>
      <c r="R997" s="5">
        <v>3</v>
      </c>
      <c r="S997" s="5">
        <v>19</v>
      </c>
    </row>
    <row r="998" spans="1:19" ht="28" x14ac:dyDescent="0.15">
      <c r="A998" s="2">
        <f>HYPERLINK("https://open-school.uspishnemisto.com.ua/school/70137/", 70137)</f>
        <v>70137</v>
      </c>
      <c r="B998" s="3" t="s">
        <v>5463</v>
      </c>
      <c r="C998" s="3" t="s">
        <v>31</v>
      </c>
      <c r="D998" s="3" t="s">
        <v>175</v>
      </c>
      <c r="E998" s="4" t="s">
        <v>22</v>
      </c>
      <c r="F998" s="4" t="s">
        <v>5464</v>
      </c>
      <c r="G998" s="4" t="s">
        <v>5465</v>
      </c>
      <c r="H998" s="3" t="s">
        <v>4839</v>
      </c>
      <c r="I998" s="3" t="s">
        <v>5466</v>
      </c>
      <c r="J998" s="3" t="s">
        <v>2226</v>
      </c>
      <c r="K998" s="3" t="s">
        <v>5467</v>
      </c>
      <c r="L998" s="3" t="s">
        <v>5468</v>
      </c>
      <c r="M998" s="4"/>
      <c r="N998" s="3" t="s">
        <v>37</v>
      </c>
      <c r="O998" s="3" t="s">
        <v>52</v>
      </c>
      <c r="P998" s="5">
        <v>2</v>
      </c>
      <c r="Q998" s="5">
        <v>27</v>
      </c>
      <c r="R998" s="5">
        <v>3</v>
      </c>
      <c r="S998" s="5">
        <v>28</v>
      </c>
    </row>
    <row r="999" spans="1:19" ht="28" x14ac:dyDescent="0.15">
      <c r="A999" s="2">
        <f>HYPERLINK("https://open-school.uspishnemisto.com.ua/school/70138/", 70138)</f>
        <v>70138</v>
      </c>
      <c r="B999" s="3" t="s">
        <v>5469</v>
      </c>
      <c r="C999" s="3" t="s">
        <v>31</v>
      </c>
      <c r="D999" s="3" t="s">
        <v>175</v>
      </c>
      <c r="E999" s="4" t="s">
        <v>22</v>
      </c>
      <c r="F999" s="4" t="s">
        <v>5470</v>
      </c>
      <c r="G999" s="4" t="s">
        <v>5471</v>
      </c>
      <c r="H999" s="3" t="s">
        <v>4839</v>
      </c>
      <c r="I999" s="3" t="s">
        <v>5472</v>
      </c>
      <c r="J999" s="3" t="s">
        <v>1636</v>
      </c>
      <c r="K999" s="3" t="s">
        <v>5473</v>
      </c>
      <c r="L999" s="3"/>
      <c r="M999" s="4"/>
      <c r="N999" s="3" t="s">
        <v>37</v>
      </c>
      <c r="O999" s="3" t="s">
        <v>52</v>
      </c>
      <c r="P999" s="5">
        <v>2</v>
      </c>
      <c r="Q999" s="5">
        <v>31</v>
      </c>
      <c r="R999" s="5">
        <v>3</v>
      </c>
      <c r="S999" s="5">
        <v>31</v>
      </c>
    </row>
    <row r="1000" spans="1:19" ht="28" x14ac:dyDescent="0.15">
      <c r="A1000" s="2">
        <f>HYPERLINK("https://open-school.uspishnemisto.com.ua/school/70139/", 70139)</f>
        <v>70139</v>
      </c>
      <c r="B1000" s="3" t="s">
        <v>5474</v>
      </c>
      <c r="C1000" s="3" t="s">
        <v>31</v>
      </c>
      <c r="D1000" s="3" t="s">
        <v>175</v>
      </c>
      <c r="E1000" s="4" t="s">
        <v>22</v>
      </c>
      <c r="F1000" s="4" t="s">
        <v>5475</v>
      </c>
      <c r="G1000" s="4" t="s">
        <v>5476</v>
      </c>
      <c r="H1000" s="3" t="s">
        <v>4839</v>
      </c>
      <c r="I1000" s="3" t="s">
        <v>5477</v>
      </c>
      <c r="J1000" s="3" t="s">
        <v>634</v>
      </c>
      <c r="K1000" s="3" t="s">
        <v>5478</v>
      </c>
      <c r="L1000" s="3"/>
      <c r="M1000" s="4"/>
      <c r="N1000" s="3" t="s">
        <v>37</v>
      </c>
      <c r="O1000" s="3" t="s">
        <v>52</v>
      </c>
      <c r="P1000" s="5">
        <v>5</v>
      </c>
      <c r="Q1000" s="5">
        <v>46</v>
      </c>
      <c r="R1000" s="5">
        <v>5</v>
      </c>
      <c r="S1000" s="5">
        <v>46</v>
      </c>
    </row>
    <row r="1001" spans="1:19" ht="28" x14ac:dyDescent="0.15">
      <c r="A1001" s="2">
        <f>HYPERLINK("https://open-school.uspishnemisto.com.ua/school/70140/", 70140)</f>
        <v>70140</v>
      </c>
      <c r="B1001" s="3" t="s">
        <v>5479</v>
      </c>
      <c r="C1001" s="3" t="s">
        <v>31</v>
      </c>
      <c r="D1001" s="3" t="s">
        <v>60</v>
      </c>
      <c r="E1001" s="4" t="s">
        <v>22</v>
      </c>
      <c r="F1001" s="4" t="s">
        <v>5480</v>
      </c>
      <c r="G1001" s="4" t="s">
        <v>5481</v>
      </c>
      <c r="H1001" s="3" t="s">
        <v>4839</v>
      </c>
      <c r="I1001" s="3" t="s">
        <v>5482</v>
      </c>
      <c r="J1001" s="3" t="s">
        <v>5483</v>
      </c>
      <c r="K1001" s="3"/>
      <c r="L1001" s="3"/>
      <c r="M1001" s="4"/>
      <c r="N1001" s="3" t="s">
        <v>37</v>
      </c>
      <c r="O1001" s="3" t="s">
        <v>52</v>
      </c>
      <c r="P1001" s="5">
        <v>4</v>
      </c>
      <c r="Q1001" s="5">
        <v>37</v>
      </c>
      <c r="R1001" s="5">
        <v>3</v>
      </c>
      <c r="S1001" s="5">
        <v>26</v>
      </c>
    </row>
    <row r="1002" spans="1:19" ht="28" x14ac:dyDescent="0.15">
      <c r="A1002" s="2">
        <f>HYPERLINK("https://open-school.uspishnemisto.com.ua/school/70141/", 70141)</f>
        <v>70141</v>
      </c>
      <c r="B1002" s="3" t="s">
        <v>5484</v>
      </c>
      <c r="C1002" s="3" t="s">
        <v>31</v>
      </c>
      <c r="D1002" s="3" t="s">
        <v>175</v>
      </c>
      <c r="E1002" s="4" t="s">
        <v>22</v>
      </c>
      <c r="F1002" s="4" t="s">
        <v>5480</v>
      </c>
      <c r="G1002" s="4" t="s">
        <v>5485</v>
      </c>
      <c r="H1002" s="3" t="s">
        <v>4839</v>
      </c>
      <c r="I1002" s="3" t="s">
        <v>5486</v>
      </c>
      <c r="J1002" s="3" t="s">
        <v>466</v>
      </c>
      <c r="K1002" s="3" t="s">
        <v>5487</v>
      </c>
      <c r="L1002" s="3"/>
      <c r="M1002" s="4"/>
      <c r="N1002" s="3" t="s">
        <v>37</v>
      </c>
      <c r="O1002" s="3" t="s">
        <v>52</v>
      </c>
      <c r="P1002" s="5">
        <v>8</v>
      </c>
      <c r="Q1002" s="5">
        <v>66</v>
      </c>
      <c r="R1002" s="5">
        <v>8</v>
      </c>
      <c r="S1002" s="5">
        <v>72</v>
      </c>
    </row>
    <row r="1003" spans="1:19" ht="28" x14ac:dyDescent="0.15">
      <c r="A1003" s="2">
        <f>HYPERLINK("https://open-school.uspishnemisto.com.ua/school/70142/", 70142)</f>
        <v>70142</v>
      </c>
      <c r="B1003" s="3" t="s">
        <v>5488</v>
      </c>
      <c r="C1003" s="3" t="s">
        <v>31</v>
      </c>
      <c r="D1003" s="3" t="s">
        <v>32</v>
      </c>
      <c r="E1003" s="4" t="s">
        <v>22</v>
      </c>
      <c r="F1003" s="4" t="s">
        <v>5489</v>
      </c>
      <c r="G1003" s="4" t="s">
        <v>5490</v>
      </c>
      <c r="H1003" s="3" t="s">
        <v>4839</v>
      </c>
      <c r="I1003" s="3" t="s">
        <v>5491</v>
      </c>
      <c r="J1003" s="3" t="s">
        <v>5492</v>
      </c>
      <c r="K1003" s="3" t="s">
        <v>5493</v>
      </c>
      <c r="L1003" s="3" t="s">
        <v>5494</v>
      </c>
      <c r="M1003" s="4"/>
      <c r="N1003" s="3" t="s">
        <v>37</v>
      </c>
      <c r="O1003" s="3" t="s">
        <v>46</v>
      </c>
      <c r="P1003" s="5">
        <v>11</v>
      </c>
      <c r="Q1003" s="5">
        <v>147</v>
      </c>
      <c r="R1003" s="5">
        <v>11</v>
      </c>
      <c r="S1003" s="5">
        <v>147</v>
      </c>
    </row>
    <row r="1004" spans="1:19" ht="28" x14ac:dyDescent="0.15">
      <c r="A1004" s="2">
        <f>HYPERLINK("https://open-school.uspishnemisto.com.ua/school/70143/", 70143)</f>
        <v>70143</v>
      </c>
      <c r="B1004" s="3" t="s">
        <v>5495</v>
      </c>
      <c r="C1004" s="3" t="s">
        <v>31</v>
      </c>
      <c r="D1004" s="3" t="s">
        <v>175</v>
      </c>
      <c r="E1004" s="4" t="s">
        <v>22</v>
      </c>
      <c r="F1004" s="4" t="s">
        <v>5496</v>
      </c>
      <c r="G1004" s="4" t="s">
        <v>5497</v>
      </c>
      <c r="H1004" s="3" t="s">
        <v>4839</v>
      </c>
      <c r="I1004" s="3" t="s">
        <v>5498</v>
      </c>
      <c r="J1004" s="3" t="s">
        <v>466</v>
      </c>
      <c r="K1004" s="3" t="s">
        <v>5499</v>
      </c>
      <c r="L1004" s="3" t="s">
        <v>5500</v>
      </c>
      <c r="M1004" s="4"/>
      <c r="N1004" s="3" t="s">
        <v>37</v>
      </c>
      <c r="O1004" s="3" t="s">
        <v>46</v>
      </c>
      <c r="P1004" s="5">
        <v>9</v>
      </c>
      <c r="Q1004" s="5">
        <v>100</v>
      </c>
      <c r="R1004" s="5">
        <v>9</v>
      </c>
      <c r="S1004" s="5">
        <v>96</v>
      </c>
    </row>
    <row r="1005" spans="1:19" ht="28" x14ac:dyDescent="0.15">
      <c r="A1005" s="2">
        <f>HYPERLINK("https://open-school.uspishnemisto.com.ua/school/70144/", 70144)</f>
        <v>70144</v>
      </c>
      <c r="B1005" s="3" t="s">
        <v>5501</v>
      </c>
      <c r="C1005" s="3" t="s">
        <v>31</v>
      </c>
      <c r="D1005" s="3" t="s">
        <v>60</v>
      </c>
      <c r="E1005" s="4" t="s">
        <v>22</v>
      </c>
      <c r="F1005" s="4" t="s">
        <v>5502</v>
      </c>
      <c r="G1005" s="4" t="s">
        <v>5503</v>
      </c>
      <c r="H1005" s="3" t="s">
        <v>4839</v>
      </c>
      <c r="I1005" s="3" t="s">
        <v>5504</v>
      </c>
      <c r="J1005" s="3" t="s">
        <v>2384</v>
      </c>
      <c r="K1005" s="3"/>
      <c r="L1005" s="3"/>
      <c r="M1005" s="4"/>
      <c r="N1005" s="3" t="s">
        <v>37</v>
      </c>
      <c r="O1005" s="3" t="s">
        <v>52</v>
      </c>
      <c r="P1005" s="5">
        <v>3</v>
      </c>
      <c r="Q1005" s="5">
        <v>22</v>
      </c>
      <c r="R1005" s="5">
        <v>2</v>
      </c>
      <c r="S1005" s="5">
        <v>21</v>
      </c>
    </row>
    <row r="1006" spans="1:19" ht="28" x14ac:dyDescent="0.15">
      <c r="A1006" s="2">
        <f>HYPERLINK("https://open-school.uspishnemisto.com.ua/school/70145/", 70145)</f>
        <v>70145</v>
      </c>
      <c r="B1006" s="3" t="s">
        <v>5505</v>
      </c>
      <c r="C1006" s="3" t="s">
        <v>31</v>
      </c>
      <c r="D1006" s="3" t="s">
        <v>32</v>
      </c>
      <c r="E1006" s="4" t="s">
        <v>22</v>
      </c>
      <c r="F1006" s="4" t="s">
        <v>5506</v>
      </c>
      <c r="G1006" s="4" t="s">
        <v>5507</v>
      </c>
      <c r="H1006" s="3" t="s">
        <v>4839</v>
      </c>
      <c r="I1006" s="3" t="s">
        <v>5508</v>
      </c>
      <c r="J1006" s="3" t="s">
        <v>792</v>
      </c>
      <c r="K1006" s="3" t="s">
        <v>5509</v>
      </c>
      <c r="L1006" s="3" t="s">
        <v>5510</v>
      </c>
      <c r="M1006" s="4"/>
      <c r="N1006" s="3" t="s">
        <v>37</v>
      </c>
      <c r="O1006" s="3" t="s">
        <v>52</v>
      </c>
      <c r="P1006" s="5">
        <v>11</v>
      </c>
      <c r="Q1006" s="5">
        <v>190</v>
      </c>
      <c r="R1006" s="5">
        <v>11</v>
      </c>
      <c r="S1006" s="5">
        <v>188</v>
      </c>
    </row>
    <row r="1007" spans="1:19" ht="28" x14ac:dyDescent="0.15">
      <c r="A1007" s="2">
        <f>HYPERLINK("https://open-school.uspishnemisto.com.ua/school/70146/", 70146)</f>
        <v>70146</v>
      </c>
      <c r="B1007" s="3" t="s">
        <v>5511</v>
      </c>
      <c r="C1007" s="3" t="s">
        <v>31</v>
      </c>
      <c r="D1007" s="3" t="s">
        <v>175</v>
      </c>
      <c r="E1007" s="4" t="s">
        <v>22</v>
      </c>
      <c r="F1007" s="4" t="s">
        <v>5512</v>
      </c>
      <c r="G1007" s="4" t="s">
        <v>5513</v>
      </c>
      <c r="H1007" s="3" t="s">
        <v>4839</v>
      </c>
      <c r="I1007" s="3" t="s">
        <v>5514</v>
      </c>
      <c r="J1007" s="3" t="s">
        <v>878</v>
      </c>
      <c r="K1007" s="3" t="s">
        <v>5515</v>
      </c>
      <c r="L1007" s="3" t="s">
        <v>5516</v>
      </c>
      <c r="M1007" s="4"/>
      <c r="N1007" s="3" t="s">
        <v>37</v>
      </c>
      <c r="O1007" s="3" t="s">
        <v>52</v>
      </c>
      <c r="P1007" s="5">
        <v>8</v>
      </c>
      <c r="Q1007" s="5">
        <v>68</v>
      </c>
      <c r="R1007" s="5">
        <v>7</v>
      </c>
      <c r="S1007" s="5">
        <v>68</v>
      </c>
    </row>
    <row r="1008" spans="1:19" ht="28" x14ac:dyDescent="0.15">
      <c r="A1008" s="2">
        <f>HYPERLINK("https://open-school.uspishnemisto.com.ua/school/70147/", 70147)</f>
        <v>70147</v>
      </c>
      <c r="B1008" s="3" t="s">
        <v>5517</v>
      </c>
      <c r="C1008" s="3" t="s">
        <v>31</v>
      </c>
      <c r="D1008" s="3" t="s">
        <v>60</v>
      </c>
      <c r="E1008" s="4" t="s">
        <v>22</v>
      </c>
      <c r="F1008" s="4" t="s">
        <v>5502</v>
      </c>
      <c r="G1008" s="4" t="s">
        <v>5518</v>
      </c>
      <c r="H1008" s="3" t="s">
        <v>4839</v>
      </c>
      <c r="I1008" s="3" t="s">
        <v>5519</v>
      </c>
      <c r="J1008" s="3" t="s">
        <v>466</v>
      </c>
      <c r="K1008" s="3" t="s">
        <v>5520</v>
      </c>
      <c r="L1008" s="3"/>
      <c r="M1008" s="4"/>
      <c r="N1008" s="3" t="s">
        <v>37</v>
      </c>
      <c r="O1008" s="3" t="s">
        <v>52</v>
      </c>
      <c r="P1008" s="5">
        <v>3</v>
      </c>
      <c r="Q1008" s="5">
        <v>22</v>
      </c>
      <c r="R1008" s="5">
        <v>3</v>
      </c>
      <c r="S1008" s="5">
        <v>21</v>
      </c>
    </row>
    <row r="1009" spans="1:19" ht="28" x14ac:dyDescent="0.15">
      <c r="A1009" s="2">
        <f>HYPERLINK("https://open-school.uspishnemisto.com.ua/school/70148/", 70148)</f>
        <v>70148</v>
      </c>
      <c r="B1009" s="3" t="s">
        <v>5521</v>
      </c>
      <c r="C1009" s="3" t="s">
        <v>31</v>
      </c>
      <c r="D1009" s="3" t="s">
        <v>32</v>
      </c>
      <c r="E1009" s="4" t="s">
        <v>22</v>
      </c>
      <c r="F1009" s="4" t="s">
        <v>5522</v>
      </c>
      <c r="G1009" s="4" t="s">
        <v>5523</v>
      </c>
      <c r="H1009" s="3" t="s">
        <v>4839</v>
      </c>
      <c r="I1009" s="3" t="s">
        <v>5524</v>
      </c>
      <c r="J1009" s="3" t="s">
        <v>5525</v>
      </c>
      <c r="K1009" s="3" t="s">
        <v>5526</v>
      </c>
      <c r="L1009" s="3" t="s">
        <v>5527</v>
      </c>
      <c r="M1009" s="4"/>
      <c r="N1009" s="3" t="s">
        <v>37</v>
      </c>
      <c r="O1009" s="3" t="s">
        <v>52</v>
      </c>
      <c r="P1009" s="5">
        <v>11</v>
      </c>
      <c r="Q1009" s="5">
        <v>109</v>
      </c>
      <c r="R1009" s="5">
        <v>11</v>
      </c>
      <c r="S1009" s="5">
        <v>106</v>
      </c>
    </row>
    <row r="1010" spans="1:19" ht="42" x14ac:dyDescent="0.15">
      <c r="A1010" s="2">
        <f>HYPERLINK("https://open-school.uspishnemisto.com.ua/school/70149/", 70149)</f>
        <v>70149</v>
      </c>
      <c r="B1010" s="3" t="s">
        <v>5528</v>
      </c>
      <c r="C1010" s="3" t="s">
        <v>31</v>
      </c>
      <c r="D1010" s="3" t="s">
        <v>32</v>
      </c>
      <c r="E1010" s="4" t="s">
        <v>22</v>
      </c>
      <c r="F1010" s="4" t="s">
        <v>5529</v>
      </c>
      <c r="G1010" s="4" t="s">
        <v>5530</v>
      </c>
      <c r="H1010" s="3" t="s">
        <v>4839</v>
      </c>
      <c r="I1010" s="3" t="s">
        <v>5531</v>
      </c>
      <c r="J1010" s="3" t="s">
        <v>5532</v>
      </c>
      <c r="K1010" s="3" t="s">
        <v>5533</v>
      </c>
      <c r="L1010" s="3"/>
      <c r="M1010" s="4"/>
      <c r="N1010" s="3" t="s">
        <v>37</v>
      </c>
      <c r="O1010" s="3" t="s">
        <v>46</v>
      </c>
      <c r="P1010" s="5">
        <v>11</v>
      </c>
      <c r="Q1010" s="5">
        <v>197</v>
      </c>
      <c r="R1010" s="5">
        <v>11</v>
      </c>
      <c r="S1010" s="5">
        <v>188</v>
      </c>
    </row>
    <row r="1011" spans="1:19" ht="28" x14ac:dyDescent="0.15">
      <c r="A1011" s="2">
        <f>HYPERLINK("https://open-school.uspishnemisto.com.ua/school/70150/", 70150)</f>
        <v>70150</v>
      </c>
      <c r="B1011" s="3" t="s">
        <v>5534</v>
      </c>
      <c r="C1011" s="3" t="s">
        <v>181</v>
      </c>
      <c r="D1011" s="3"/>
      <c r="E1011" s="4" t="s">
        <v>22</v>
      </c>
      <c r="F1011" s="4" t="s">
        <v>5529</v>
      </c>
      <c r="G1011" s="4" t="s">
        <v>5530</v>
      </c>
      <c r="H1011" s="3" t="s">
        <v>4839</v>
      </c>
      <c r="I1011" s="3" t="s">
        <v>5531</v>
      </c>
      <c r="J1011" s="3" t="s">
        <v>5535</v>
      </c>
      <c r="K1011" s="3" t="s">
        <v>5536</v>
      </c>
      <c r="L1011" s="3"/>
      <c r="M1011" s="4" t="s">
        <v>5537</v>
      </c>
      <c r="N1011" s="3" t="s">
        <v>37</v>
      </c>
      <c r="O1011" s="3"/>
      <c r="P1011" s="5">
        <v>9</v>
      </c>
      <c r="Q1011" s="5">
        <v>88</v>
      </c>
      <c r="R1011" s="5">
        <v>76</v>
      </c>
      <c r="S1011" s="5">
        <v>76</v>
      </c>
    </row>
    <row r="1012" spans="1:19" ht="42" x14ac:dyDescent="0.15">
      <c r="A1012" s="2">
        <f>HYPERLINK("https://open-school.uspishnemisto.com.ua/school/70151/", 70151)</f>
        <v>70151</v>
      </c>
      <c r="B1012" s="3" t="s">
        <v>5538</v>
      </c>
      <c r="C1012" s="3" t="s">
        <v>40</v>
      </c>
      <c r="D1012" s="3" t="s">
        <v>32</v>
      </c>
      <c r="E1012" s="4" t="s">
        <v>22</v>
      </c>
      <c r="F1012" s="4" t="s">
        <v>5529</v>
      </c>
      <c r="G1012" s="4" t="s">
        <v>5530</v>
      </c>
      <c r="H1012" s="3" t="s">
        <v>4839</v>
      </c>
      <c r="I1012" s="3" t="s">
        <v>5531</v>
      </c>
      <c r="J1012" s="3" t="s">
        <v>5539</v>
      </c>
      <c r="K1012" s="3" t="s">
        <v>5540</v>
      </c>
      <c r="L1012" s="3" t="s">
        <v>5541</v>
      </c>
      <c r="M1012" s="4"/>
      <c r="N1012" s="3" t="s">
        <v>37</v>
      </c>
      <c r="O1012" s="3" t="s">
        <v>46</v>
      </c>
      <c r="P1012" s="5">
        <v>28</v>
      </c>
      <c r="Q1012" s="5">
        <v>600</v>
      </c>
      <c r="R1012" s="5">
        <v>28</v>
      </c>
      <c r="S1012" s="5">
        <v>591</v>
      </c>
    </row>
    <row r="1013" spans="1:19" ht="28" x14ac:dyDescent="0.15">
      <c r="A1013" s="2">
        <f>HYPERLINK("https://open-school.uspishnemisto.com.ua/school/70152/", 70152)</f>
        <v>70152</v>
      </c>
      <c r="B1013" s="3" t="s">
        <v>5542</v>
      </c>
      <c r="C1013" s="3" t="s">
        <v>31</v>
      </c>
      <c r="D1013" s="3" t="s">
        <v>60</v>
      </c>
      <c r="E1013" s="4" t="s">
        <v>22</v>
      </c>
      <c r="F1013" s="4" t="s">
        <v>5529</v>
      </c>
      <c r="G1013" s="4" t="s">
        <v>5543</v>
      </c>
      <c r="H1013" s="3" t="s">
        <v>4839</v>
      </c>
      <c r="I1013" s="3" t="s">
        <v>5544</v>
      </c>
      <c r="J1013" s="3" t="s">
        <v>5545</v>
      </c>
      <c r="K1013" s="3"/>
      <c r="L1013" s="3"/>
      <c r="M1013" s="4"/>
      <c r="N1013" s="3" t="s">
        <v>37</v>
      </c>
      <c r="O1013" s="3" t="s">
        <v>52</v>
      </c>
      <c r="P1013" s="5">
        <v>1</v>
      </c>
      <c r="Q1013" s="5">
        <v>14</v>
      </c>
      <c r="R1013" s="5">
        <v>2</v>
      </c>
      <c r="S1013" s="5">
        <v>18</v>
      </c>
    </row>
    <row r="1014" spans="1:19" ht="28" x14ac:dyDescent="0.15">
      <c r="A1014" s="2">
        <f>HYPERLINK("https://open-school.uspishnemisto.com.ua/school/70153/", 70153)</f>
        <v>70153</v>
      </c>
      <c r="B1014" s="3" t="s">
        <v>5546</v>
      </c>
      <c r="C1014" s="3" t="s">
        <v>31</v>
      </c>
      <c r="D1014" s="3" t="s">
        <v>32</v>
      </c>
      <c r="E1014" s="4" t="s">
        <v>22</v>
      </c>
      <c r="F1014" s="4" t="s">
        <v>5547</v>
      </c>
      <c r="G1014" s="4" t="s">
        <v>5548</v>
      </c>
      <c r="H1014" s="3" t="s">
        <v>4839</v>
      </c>
      <c r="I1014" s="3" t="s">
        <v>5549</v>
      </c>
      <c r="J1014" s="3" t="s">
        <v>5550</v>
      </c>
      <c r="K1014" s="3" t="s">
        <v>5551</v>
      </c>
      <c r="L1014" s="3"/>
      <c r="M1014" s="4"/>
      <c r="N1014" s="3" t="s">
        <v>37</v>
      </c>
      <c r="O1014" s="3" t="s">
        <v>46</v>
      </c>
      <c r="P1014" s="5">
        <v>11</v>
      </c>
      <c r="Q1014" s="5">
        <v>147</v>
      </c>
      <c r="R1014" s="5">
        <v>11</v>
      </c>
      <c r="S1014" s="5">
        <v>147</v>
      </c>
    </row>
    <row r="1015" spans="1:19" ht="28" x14ac:dyDescent="0.15">
      <c r="A1015" s="2">
        <f>HYPERLINK("https://open-school.uspishnemisto.com.ua/school/70154/", 70154)</f>
        <v>70154</v>
      </c>
      <c r="B1015" s="3" t="s">
        <v>5552</v>
      </c>
      <c r="C1015" s="3" t="s">
        <v>31</v>
      </c>
      <c r="D1015" s="3" t="s">
        <v>60</v>
      </c>
      <c r="E1015" s="4" t="s">
        <v>22</v>
      </c>
      <c r="F1015" s="4" t="s">
        <v>5547</v>
      </c>
      <c r="G1015" s="4" t="s">
        <v>5553</v>
      </c>
      <c r="H1015" s="3" t="s">
        <v>4839</v>
      </c>
      <c r="I1015" s="3" t="s">
        <v>5554</v>
      </c>
      <c r="J1015" s="3" t="s">
        <v>5555</v>
      </c>
      <c r="K1015" s="3" t="s">
        <v>5556</v>
      </c>
      <c r="L1015" s="3"/>
      <c r="M1015" s="4"/>
      <c r="N1015" s="3" t="s">
        <v>37</v>
      </c>
      <c r="O1015" s="3" t="s">
        <v>52</v>
      </c>
      <c r="P1015" s="5">
        <v>4</v>
      </c>
      <c r="Q1015" s="5">
        <v>22</v>
      </c>
      <c r="R1015" s="5">
        <v>4</v>
      </c>
      <c r="S1015" s="5">
        <v>21</v>
      </c>
    </row>
    <row r="1016" spans="1:19" ht="28" x14ac:dyDescent="0.15">
      <c r="A1016" s="2">
        <f>HYPERLINK("https://open-school.uspishnemisto.com.ua/school/70155/", 70155)</f>
        <v>70155</v>
      </c>
      <c r="B1016" s="3" t="s">
        <v>5557</v>
      </c>
      <c r="C1016" s="3" t="s">
        <v>31</v>
      </c>
      <c r="D1016" s="3" t="s">
        <v>60</v>
      </c>
      <c r="E1016" s="4" t="s">
        <v>22</v>
      </c>
      <c r="F1016" s="4" t="s">
        <v>5547</v>
      </c>
      <c r="G1016" s="4" t="s">
        <v>5558</v>
      </c>
      <c r="H1016" s="3" t="s">
        <v>4839</v>
      </c>
      <c r="I1016" s="3" t="s">
        <v>5559</v>
      </c>
      <c r="J1016" s="3" t="s">
        <v>466</v>
      </c>
      <c r="K1016" s="3" t="s">
        <v>5560</v>
      </c>
      <c r="L1016" s="3"/>
      <c r="M1016" s="4"/>
      <c r="N1016" s="3" t="s">
        <v>37</v>
      </c>
      <c r="O1016" s="3" t="s">
        <v>52</v>
      </c>
      <c r="P1016" s="5">
        <v>0</v>
      </c>
      <c r="Q1016" s="5">
        <v>7</v>
      </c>
      <c r="R1016" s="5">
        <v>0</v>
      </c>
      <c r="S1016" s="5">
        <v>6</v>
      </c>
    </row>
    <row r="1017" spans="1:19" ht="28" x14ac:dyDescent="0.15">
      <c r="A1017" s="2">
        <f>HYPERLINK("https://open-school.uspishnemisto.com.ua/school/70156/", 70156)</f>
        <v>70156</v>
      </c>
      <c r="B1017" s="3" t="s">
        <v>5561</v>
      </c>
      <c r="C1017" s="3" t="s">
        <v>31</v>
      </c>
      <c r="D1017" s="3" t="s">
        <v>175</v>
      </c>
      <c r="E1017" s="4" t="s">
        <v>22</v>
      </c>
      <c r="F1017" s="4" t="s">
        <v>5562</v>
      </c>
      <c r="G1017" s="4" t="s">
        <v>5563</v>
      </c>
      <c r="H1017" s="3" t="s">
        <v>4839</v>
      </c>
      <c r="I1017" s="3" t="s">
        <v>5564</v>
      </c>
      <c r="J1017" s="3" t="s">
        <v>4544</v>
      </c>
      <c r="K1017" s="3" t="s">
        <v>5565</v>
      </c>
      <c r="L1017" s="3"/>
      <c r="M1017" s="4"/>
      <c r="N1017" s="3" t="s">
        <v>37</v>
      </c>
      <c r="O1017" s="3" t="s">
        <v>52</v>
      </c>
      <c r="P1017" s="5">
        <v>9</v>
      </c>
      <c r="Q1017" s="5">
        <v>81</v>
      </c>
      <c r="R1017" s="5">
        <v>9</v>
      </c>
      <c r="S1017" s="5">
        <v>80</v>
      </c>
    </row>
    <row r="1018" spans="1:19" ht="28" x14ac:dyDescent="0.15">
      <c r="A1018" s="2">
        <f>HYPERLINK("https://open-school.uspishnemisto.com.ua/school/70157/", 70157)</f>
        <v>70157</v>
      </c>
      <c r="B1018" s="3" t="s">
        <v>5566</v>
      </c>
      <c r="C1018" s="3" t="s">
        <v>31</v>
      </c>
      <c r="D1018" s="3" t="s">
        <v>32</v>
      </c>
      <c r="E1018" s="4" t="s">
        <v>22</v>
      </c>
      <c r="F1018" s="4" t="s">
        <v>5567</v>
      </c>
      <c r="G1018" s="4" t="s">
        <v>5568</v>
      </c>
      <c r="H1018" s="3" t="s">
        <v>4839</v>
      </c>
      <c r="I1018" s="3" t="s">
        <v>5569</v>
      </c>
      <c r="J1018" s="3" t="s">
        <v>3544</v>
      </c>
      <c r="K1018" s="3" t="s">
        <v>5570</v>
      </c>
      <c r="L1018" s="3"/>
      <c r="M1018" s="4"/>
      <c r="N1018" s="3" t="s">
        <v>37</v>
      </c>
      <c r="O1018" s="3" t="s">
        <v>46</v>
      </c>
      <c r="P1018" s="5">
        <v>11</v>
      </c>
      <c r="Q1018" s="5">
        <v>173</v>
      </c>
      <c r="R1018" s="5">
        <v>11</v>
      </c>
      <c r="S1018" s="5">
        <v>175</v>
      </c>
    </row>
    <row r="1019" spans="1:19" ht="28" x14ac:dyDescent="0.15">
      <c r="A1019" s="2">
        <f>HYPERLINK("https://open-school.uspishnemisto.com.ua/school/70158/", 70158)</f>
        <v>70158</v>
      </c>
      <c r="B1019" s="3" t="s">
        <v>5571</v>
      </c>
      <c r="C1019" s="3" t="s">
        <v>31</v>
      </c>
      <c r="D1019" s="3" t="s">
        <v>175</v>
      </c>
      <c r="E1019" s="4" t="s">
        <v>22</v>
      </c>
      <c r="F1019" s="4" t="s">
        <v>5567</v>
      </c>
      <c r="G1019" s="4" t="s">
        <v>5572</v>
      </c>
      <c r="H1019" s="3" t="s">
        <v>4839</v>
      </c>
      <c r="I1019" s="3" t="s">
        <v>5573</v>
      </c>
      <c r="J1019" s="3" t="s">
        <v>5574</v>
      </c>
      <c r="K1019" s="3" t="s">
        <v>5575</v>
      </c>
      <c r="L1019" s="3"/>
      <c r="M1019" s="4"/>
      <c r="N1019" s="3" t="s">
        <v>37</v>
      </c>
      <c r="O1019" s="3" t="s">
        <v>46</v>
      </c>
      <c r="P1019" s="5">
        <v>9</v>
      </c>
      <c r="Q1019" s="5">
        <v>54</v>
      </c>
      <c r="R1019" s="5">
        <v>9</v>
      </c>
      <c r="S1019" s="5">
        <v>58</v>
      </c>
    </row>
    <row r="1020" spans="1:19" ht="28" x14ac:dyDescent="0.15">
      <c r="A1020" s="2">
        <f>HYPERLINK("https://open-school.uspishnemisto.com.ua/school/70159/", 70159)</f>
        <v>70159</v>
      </c>
      <c r="B1020" s="3" t="s">
        <v>5576</v>
      </c>
      <c r="C1020" s="3" t="s">
        <v>31</v>
      </c>
      <c r="D1020" s="3" t="s">
        <v>175</v>
      </c>
      <c r="E1020" s="4" t="s">
        <v>22</v>
      </c>
      <c r="F1020" s="4" t="s">
        <v>5577</v>
      </c>
      <c r="G1020" s="4" t="s">
        <v>5578</v>
      </c>
      <c r="H1020" s="3" t="s">
        <v>4839</v>
      </c>
      <c r="I1020" s="3" t="s">
        <v>5579</v>
      </c>
      <c r="J1020" s="3" t="s">
        <v>5580</v>
      </c>
      <c r="K1020" s="3" t="s">
        <v>5581</v>
      </c>
      <c r="L1020" s="3"/>
      <c r="M1020" s="4"/>
      <c r="N1020" s="3" t="s">
        <v>37</v>
      </c>
      <c r="O1020" s="3" t="s">
        <v>46</v>
      </c>
      <c r="P1020" s="5">
        <v>7</v>
      </c>
      <c r="Q1020" s="5">
        <v>56</v>
      </c>
      <c r="R1020" s="5">
        <v>6</v>
      </c>
      <c r="S1020" s="5">
        <v>52</v>
      </c>
    </row>
    <row r="1021" spans="1:19" ht="28" x14ac:dyDescent="0.15">
      <c r="A1021" s="2">
        <f>HYPERLINK("https://open-school.uspishnemisto.com.ua/school/70160/", 70160)</f>
        <v>70160</v>
      </c>
      <c r="B1021" s="3" t="s">
        <v>5582</v>
      </c>
      <c r="C1021" s="3" t="s">
        <v>31</v>
      </c>
      <c r="D1021" s="3" t="s">
        <v>32</v>
      </c>
      <c r="E1021" s="4" t="s">
        <v>22</v>
      </c>
      <c r="F1021" s="4" t="s">
        <v>5583</v>
      </c>
      <c r="G1021" s="4" t="s">
        <v>5584</v>
      </c>
      <c r="H1021" s="3" t="s">
        <v>4839</v>
      </c>
      <c r="I1021" s="3" t="s">
        <v>5585</v>
      </c>
      <c r="J1021" s="3" t="s">
        <v>5586</v>
      </c>
      <c r="K1021" s="3" t="s">
        <v>5587</v>
      </c>
      <c r="L1021" s="3" t="s">
        <v>5588</v>
      </c>
      <c r="M1021" s="4"/>
      <c r="N1021" s="3" t="s">
        <v>37</v>
      </c>
      <c r="O1021" s="3" t="s">
        <v>46</v>
      </c>
      <c r="P1021" s="5">
        <v>11</v>
      </c>
      <c r="Q1021" s="5">
        <v>105</v>
      </c>
      <c r="R1021" s="5">
        <v>11</v>
      </c>
      <c r="S1021" s="5">
        <v>99</v>
      </c>
    </row>
    <row r="1022" spans="1:19" ht="28" x14ac:dyDescent="0.15">
      <c r="A1022" s="2">
        <f>HYPERLINK("https://open-school.uspishnemisto.com.ua/school/70161/", 70161)</f>
        <v>70161</v>
      </c>
      <c r="B1022" s="3" t="s">
        <v>5589</v>
      </c>
      <c r="C1022" s="3" t="s">
        <v>31</v>
      </c>
      <c r="D1022" s="3" t="s">
        <v>175</v>
      </c>
      <c r="E1022" s="4" t="s">
        <v>22</v>
      </c>
      <c r="F1022" s="4" t="s">
        <v>5590</v>
      </c>
      <c r="G1022" s="4" t="s">
        <v>5591</v>
      </c>
      <c r="H1022" s="3" t="s">
        <v>4839</v>
      </c>
      <c r="I1022" s="3" t="s">
        <v>5592</v>
      </c>
      <c r="J1022" s="3" t="s">
        <v>5593</v>
      </c>
      <c r="K1022" s="3" t="s">
        <v>5594</v>
      </c>
      <c r="L1022" s="3"/>
      <c r="M1022" s="4"/>
      <c r="N1022" s="3" t="s">
        <v>37</v>
      </c>
      <c r="O1022" s="3" t="s">
        <v>46</v>
      </c>
      <c r="P1022" s="5">
        <v>7</v>
      </c>
      <c r="Q1022" s="5">
        <v>52</v>
      </c>
      <c r="R1022" s="5">
        <v>7</v>
      </c>
      <c r="S1022" s="5">
        <v>50</v>
      </c>
    </row>
    <row r="1023" spans="1:19" ht="28" x14ac:dyDescent="0.15">
      <c r="A1023" s="2">
        <f>HYPERLINK("https://open-school.uspishnemisto.com.ua/school/70162/", 70162)</f>
        <v>70162</v>
      </c>
      <c r="B1023" s="3" t="s">
        <v>5595</v>
      </c>
      <c r="C1023" s="3" t="s">
        <v>31</v>
      </c>
      <c r="D1023" s="3" t="s">
        <v>175</v>
      </c>
      <c r="E1023" s="4" t="s">
        <v>22</v>
      </c>
      <c r="F1023" s="4" t="s">
        <v>5596</v>
      </c>
      <c r="G1023" s="4" t="s">
        <v>5597</v>
      </c>
      <c r="H1023" s="3" t="s">
        <v>4839</v>
      </c>
      <c r="I1023" s="3" t="s">
        <v>5598</v>
      </c>
      <c r="J1023" s="3" t="s">
        <v>5599</v>
      </c>
      <c r="K1023" s="3" t="s">
        <v>5600</v>
      </c>
      <c r="L1023" s="3" t="s">
        <v>5601</v>
      </c>
      <c r="M1023" s="4"/>
      <c r="N1023" s="3" t="s">
        <v>37</v>
      </c>
      <c r="O1023" s="3" t="s">
        <v>46</v>
      </c>
      <c r="P1023" s="5">
        <v>4</v>
      </c>
      <c r="Q1023" s="5">
        <v>36</v>
      </c>
      <c r="R1023" s="5">
        <v>4</v>
      </c>
      <c r="S1023" s="5">
        <v>40</v>
      </c>
    </row>
    <row r="1024" spans="1:19" ht="28" x14ac:dyDescent="0.15">
      <c r="A1024" s="2">
        <f>HYPERLINK("https://open-school.uspishnemisto.com.ua/school/70163/", 70163)</f>
        <v>70163</v>
      </c>
      <c r="B1024" s="3" t="s">
        <v>5602</v>
      </c>
      <c r="C1024" s="3" t="s">
        <v>31</v>
      </c>
      <c r="D1024" s="3" t="s">
        <v>32</v>
      </c>
      <c r="E1024" s="4" t="s">
        <v>22</v>
      </c>
      <c r="F1024" s="4" t="s">
        <v>5603</v>
      </c>
      <c r="G1024" s="4" t="s">
        <v>5604</v>
      </c>
      <c r="H1024" s="3" t="s">
        <v>4839</v>
      </c>
      <c r="I1024" s="3" t="s">
        <v>5605</v>
      </c>
      <c r="J1024" s="3" t="s">
        <v>5606</v>
      </c>
      <c r="K1024" s="3"/>
      <c r="L1024" s="3"/>
      <c r="M1024" s="4"/>
      <c r="N1024" s="3" t="s">
        <v>37</v>
      </c>
      <c r="O1024" s="3" t="s">
        <v>46</v>
      </c>
      <c r="P1024" s="5">
        <v>11</v>
      </c>
      <c r="Q1024" s="5">
        <v>114</v>
      </c>
      <c r="R1024" s="5">
        <v>11</v>
      </c>
      <c r="S1024" s="5">
        <v>120</v>
      </c>
    </row>
    <row r="1025" spans="1:19" ht="28" x14ac:dyDescent="0.15">
      <c r="A1025" s="2">
        <f>HYPERLINK("https://open-school.uspishnemisto.com.ua/school/70164/", 70164)</f>
        <v>70164</v>
      </c>
      <c r="B1025" s="3" t="s">
        <v>5607</v>
      </c>
      <c r="C1025" s="3" t="s">
        <v>31</v>
      </c>
      <c r="D1025" s="3" t="s">
        <v>32</v>
      </c>
      <c r="E1025" s="4" t="s">
        <v>22</v>
      </c>
      <c r="F1025" s="4" t="s">
        <v>5608</v>
      </c>
      <c r="G1025" s="4" t="s">
        <v>5609</v>
      </c>
      <c r="H1025" s="3" t="s">
        <v>4839</v>
      </c>
      <c r="I1025" s="3" t="s">
        <v>5610</v>
      </c>
      <c r="J1025" s="3" t="s">
        <v>785</v>
      </c>
      <c r="K1025" s="3" t="s">
        <v>5611</v>
      </c>
      <c r="L1025" s="3"/>
      <c r="M1025" s="4"/>
      <c r="N1025" s="3" t="s">
        <v>37</v>
      </c>
      <c r="O1025" s="3" t="s">
        <v>52</v>
      </c>
      <c r="P1025" s="5">
        <v>11</v>
      </c>
      <c r="Q1025" s="5">
        <v>120</v>
      </c>
      <c r="R1025" s="5">
        <v>10</v>
      </c>
      <c r="S1025" s="5">
        <v>112</v>
      </c>
    </row>
    <row r="1026" spans="1:19" ht="28" x14ac:dyDescent="0.15">
      <c r="A1026" s="2">
        <f>HYPERLINK("https://open-school.uspishnemisto.com.ua/school/70165/", 70165)</f>
        <v>70165</v>
      </c>
      <c r="B1026" s="3" t="s">
        <v>5612</v>
      </c>
      <c r="C1026" s="3" t="s">
        <v>31</v>
      </c>
      <c r="D1026" s="3" t="s">
        <v>32</v>
      </c>
      <c r="E1026" s="4" t="s">
        <v>22</v>
      </c>
      <c r="F1026" s="4" t="s">
        <v>5613</v>
      </c>
      <c r="G1026" s="4" t="s">
        <v>5614</v>
      </c>
      <c r="H1026" s="3" t="s">
        <v>4839</v>
      </c>
      <c r="I1026" s="3" t="s">
        <v>5615</v>
      </c>
      <c r="J1026" s="3" t="s">
        <v>5616</v>
      </c>
      <c r="K1026" s="3" t="s">
        <v>5617</v>
      </c>
      <c r="L1026" s="3" t="s">
        <v>5618</v>
      </c>
      <c r="M1026" s="4"/>
      <c r="N1026" s="3" t="s">
        <v>37</v>
      </c>
      <c r="O1026" s="3" t="s">
        <v>52</v>
      </c>
      <c r="P1026" s="5">
        <v>10</v>
      </c>
      <c r="Q1026" s="5">
        <v>84</v>
      </c>
      <c r="R1026" s="5">
        <v>10</v>
      </c>
      <c r="S1026" s="5">
        <v>82</v>
      </c>
    </row>
    <row r="1027" spans="1:19" ht="28" x14ac:dyDescent="0.15">
      <c r="A1027" s="2">
        <f>HYPERLINK("https://open-school.uspishnemisto.com.ua/school/70166/", 70166)</f>
        <v>70166</v>
      </c>
      <c r="B1027" s="3" t="s">
        <v>5619</v>
      </c>
      <c r="C1027" s="3" t="s">
        <v>31</v>
      </c>
      <c r="D1027" s="3" t="s">
        <v>60</v>
      </c>
      <c r="E1027" s="4" t="s">
        <v>22</v>
      </c>
      <c r="F1027" s="4" t="s">
        <v>5613</v>
      </c>
      <c r="G1027" s="4" t="s">
        <v>5620</v>
      </c>
      <c r="H1027" s="3" t="s">
        <v>4839</v>
      </c>
      <c r="I1027" s="3" t="s">
        <v>5621</v>
      </c>
      <c r="J1027" s="3" t="s">
        <v>5622</v>
      </c>
      <c r="K1027" s="3" t="s">
        <v>5623</v>
      </c>
      <c r="L1027" s="3"/>
      <c r="M1027" s="4"/>
      <c r="N1027" s="3" t="s">
        <v>37</v>
      </c>
      <c r="O1027" s="3" t="s">
        <v>52</v>
      </c>
      <c r="P1027" s="5">
        <v>0</v>
      </c>
      <c r="Q1027" s="5">
        <v>9</v>
      </c>
      <c r="R1027" s="5">
        <v>0</v>
      </c>
      <c r="S1027" s="5">
        <v>10</v>
      </c>
    </row>
    <row r="1028" spans="1:19" ht="28" x14ac:dyDescent="0.15">
      <c r="A1028" s="2">
        <f>HYPERLINK("https://open-school.uspishnemisto.com.ua/school/70167/", 70167)</f>
        <v>70167</v>
      </c>
      <c r="B1028" s="3" t="s">
        <v>5624</v>
      </c>
      <c r="C1028" s="3" t="s">
        <v>31</v>
      </c>
      <c r="D1028" s="3" t="s">
        <v>175</v>
      </c>
      <c r="E1028" s="4" t="s">
        <v>22</v>
      </c>
      <c r="F1028" s="4" t="s">
        <v>5625</v>
      </c>
      <c r="G1028" s="4" t="s">
        <v>5626</v>
      </c>
      <c r="H1028" s="3" t="s">
        <v>4839</v>
      </c>
      <c r="I1028" s="3" t="s">
        <v>5627</v>
      </c>
      <c r="J1028" s="3" t="s">
        <v>2253</v>
      </c>
      <c r="K1028" s="3" t="s">
        <v>5628</v>
      </c>
      <c r="L1028" s="3"/>
      <c r="M1028" s="4"/>
      <c r="N1028" s="3" t="s">
        <v>37</v>
      </c>
      <c r="O1028" s="3" t="s">
        <v>52</v>
      </c>
      <c r="P1028" s="5">
        <v>7</v>
      </c>
      <c r="Q1028" s="5">
        <v>54</v>
      </c>
      <c r="R1028" s="5">
        <v>7</v>
      </c>
      <c r="S1028" s="5">
        <v>49</v>
      </c>
    </row>
    <row r="1029" spans="1:19" ht="28" x14ac:dyDescent="0.15">
      <c r="A1029" s="2">
        <f>HYPERLINK("https://open-school.uspishnemisto.com.ua/school/70168/", 70168)</f>
        <v>70168</v>
      </c>
      <c r="B1029" s="3" t="s">
        <v>5629</v>
      </c>
      <c r="C1029" s="3" t="s">
        <v>31</v>
      </c>
      <c r="D1029" s="3" t="s">
        <v>60</v>
      </c>
      <c r="E1029" s="4" t="s">
        <v>22</v>
      </c>
      <c r="F1029" s="4" t="s">
        <v>5625</v>
      </c>
      <c r="G1029" s="4" t="s">
        <v>5630</v>
      </c>
      <c r="H1029" s="3" t="s">
        <v>4839</v>
      </c>
      <c r="I1029" s="3" t="s">
        <v>5631</v>
      </c>
      <c r="J1029" s="3" t="s">
        <v>5632</v>
      </c>
      <c r="K1029" s="3"/>
      <c r="L1029" s="3" t="s">
        <v>5633</v>
      </c>
      <c r="M1029" s="4"/>
      <c r="N1029" s="3" t="s">
        <v>37</v>
      </c>
      <c r="O1029" s="3" t="s">
        <v>52</v>
      </c>
      <c r="P1029" s="5">
        <v>0</v>
      </c>
      <c r="Q1029" s="5">
        <v>7</v>
      </c>
      <c r="R1029" s="5">
        <v>0</v>
      </c>
      <c r="S1029" s="5">
        <v>10</v>
      </c>
    </row>
    <row r="1030" spans="1:19" ht="28" x14ac:dyDescent="0.15">
      <c r="A1030" s="2">
        <f>HYPERLINK("https://open-school.uspishnemisto.com.ua/school/70169/", 70169)</f>
        <v>70169</v>
      </c>
      <c r="B1030" s="3" t="s">
        <v>5634</v>
      </c>
      <c r="C1030" s="3" t="s">
        <v>31</v>
      </c>
      <c r="D1030" s="3" t="s">
        <v>175</v>
      </c>
      <c r="E1030" s="4" t="s">
        <v>22</v>
      </c>
      <c r="F1030" s="4" t="s">
        <v>5635</v>
      </c>
      <c r="G1030" s="4" t="s">
        <v>5636</v>
      </c>
      <c r="H1030" s="3" t="s">
        <v>4839</v>
      </c>
      <c r="I1030" s="3" t="s">
        <v>5637</v>
      </c>
      <c r="J1030" s="3" t="s">
        <v>5638</v>
      </c>
      <c r="K1030" s="3" t="s">
        <v>5639</v>
      </c>
      <c r="L1030" s="3"/>
      <c r="M1030" s="4"/>
      <c r="N1030" s="3" t="s">
        <v>37</v>
      </c>
      <c r="O1030" s="3" t="s">
        <v>52</v>
      </c>
      <c r="P1030" s="5">
        <v>8</v>
      </c>
      <c r="Q1030" s="5">
        <v>55</v>
      </c>
      <c r="R1030" s="5">
        <v>8</v>
      </c>
      <c r="S1030" s="5">
        <v>55</v>
      </c>
    </row>
    <row r="1031" spans="1:19" ht="28" x14ac:dyDescent="0.15">
      <c r="A1031" s="2">
        <f>HYPERLINK("https://open-school.uspishnemisto.com.ua/school/70170/", 70170)</f>
        <v>70170</v>
      </c>
      <c r="B1031" s="3" t="s">
        <v>5640</v>
      </c>
      <c r="C1031" s="3" t="s">
        <v>31</v>
      </c>
      <c r="D1031" s="3" t="s">
        <v>175</v>
      </c>
      <c r="E1031" s="4" t="s">
        <v>22</v>
      </c>
      <c r="F1031" s="4" t="s">
        <v>5641</v>
      </c>
      <c r="G1031" s="4" t="s">
        <v>5642</v>
      </c>
      <c r="H1031" s="3" t="s">
        <v>4839</v>
      </c>
      <c r="I1031" s="3" t="s">
        <v>5643</v>
      </c>
      <c r="J1031" s="3" t="s">
        <v>5644</v>
      </c>
      <c r="K1031" s="3" t="s">
        <v>5645</v>
      </c>
      <c r="L1031" s="3"/>
      <c r="M1031" s="4"/>
      <c r="N1031" s="3" t="s">
        <v>37</v>
      </c>
      <c r="O1031" s="3" t="s">
        <v>52</v>
      </c>
      <c r="P1031" s="5">
        <v>8</v>
      </c>
      <c r="Q1031" s="5">
        <v>102</v>
      </c>
      <c r="R1031" s="5">
        <v>9</v>
      </c>
      <c r="S1031" s="5">
        <v>99</v>
      </c>
    </row>
    <row r="1032" spans="1:19" ht="28" x14ac:dyDescent="0.15">
      <c r="A1032" s="2">
        <f>HYPERLINK("https://open-school.uspishnemisto.com.ua/school/70171/", 70171)</f>
        <v>70171</v>
      </c>
      <c r="B1032" s="3" t="s">
        <v>5646</v>
      </c>
      <c r="C1032" s="3" t="s">
        <v>31</v>
      </c>
      <c r="D1032" s="3" t="s">
        <v>32</v>
      </c>
      <c r="E1032" s="4" t="s">
        <v>22</v>
      </c>
      <c r="F1032" s="4" t="s">
        <v>5647</v>
      </c>
      <c r="G1032" s="4" t="s">
        <v>5648</v>
      </c>
      <c r="H1032" s="3" t="s">
        <v>4839</v>
      </c>
      <c r="I1032" s="3" t="s">
        <v>5649</v>
      </c>
      <c r="J1032" s="3" t="s">
        <v>4822</v>
      </c>
      <c r="K1032" s="3" t="s">
        <v>5650</v>
      </c>
      <c r="L1032" s="3"/>
      <c r="M1032" s="4"/>
      <c r="N1032" s="3" t="s">
        <v>37</v>
      </c>
      <c r="O1032" s="3" t="s">
        <v>46</v>
      </c>
      <c r="P1032" s="5">
        <v>11</v>
      </c>
      <c r="Q1032" s="5">
        <v>150</v>
      </c>
      <c r="R1032" s="5">
        <v>11</v>
      </c>
      <c r="S1032" s="5">
        <v>148</v>
      </c>
    </row>
    <row r="1033" spans="1:19" ht="28" x14ac:dyDescent="0.15">
      <c r="A1033" s="2">
        <f>HYPERLINK("https://open-school.uspishnemisto.com.ua/school/70172/", 70172)</f>
        <v>70172</v>
      </c>
      <c r="B1033" s="3" t="s">
        <v>5651</v>
      </c>
      <c r="C1033" s="3" t="s">
        <v>31</v>
      </c>
      <c r="D1033" s="3" t="s">
        <v>60</v>
      </c>
      <c r="E1033" s="4" t="s">
        <v>22</v>
      </c>
      <c r="F1033" s="4" t="s">
        <v>5652</v>
      </c>
      <c r="G1033" s="4" t="s">
        <v>5653</v>
      </c>
      <c r="H1033" s="3" t="s">
        <v>4839</v>
      </c>
      <c r="I1033" s="3" t="s">
        <v>5654</v>
      </c>
      <c r="J1033" s="3" t="s">
        <v>5655</v>
      </c>
      <c r="K1033" s="3" t="s">
        <v>5656</v>
      </c>
      <c r="L1033" s="3" t="s">
        <v>5657</v>
      </c>
      <c r="M1033" s="4"/>
      <c r="N1033" s="3" t="s">
        <v>37</v>
      </c>
      <c r="O1033" s="3" t="s">
        <v>52</v>
      </c>
      <c r="P1033" s="5">
        <v>4</v>
      </c>
      <c r="Q1033" s="5">
        <v>29</v>
      </c>
      <c r="R1033" s="5">
        <v>4</v>
      </c>
      <c r="S1033" s="5">
        <v>25</v>
      </c>
    </row>
    <row r="1034" spans="1:19" ht="28" x14ac:dyDescent="0.15">
      <c r="A1034" s="2">
        <f>HYPERLINK("https://open-school.uspishnemisto.com.ua/school/70173/", 70173)</f>
        <v>70173</v>
      </c>
      <c r="B1034" s="3" t="s">
        <v>5658</v>
      </c>
      <c r="C1034" s="3" t="s">
        <v>31</v>
      </c>
      <c r="D1034" s="3" t="s">
        <v>60</v>
      </c>
      <c r="E1034" s="4" t="s">
        <v>22</v>
      </c>
      <c r="F1034" s="4" t="s">
        <v>5647</v>
      </c>
      <c r="G1034" s="4" t="s">
        <v>5659</v>
      </c>
      <c r="H1034" s="3" t="s">
        <v>4839</v>
      </c>
      <c r="I1034" s="3" t="s">
        <v>883</v>
      </c>
      <c r="J1034" s="3" t="s">
        <v>5660</v>
      </c>
      <c r="K1034" s="3" t="s">
        <v>5661</v>
      </c>
      <c r="L1034" s="3" t="s">
        <v>5662</v>
      </c>
      <c r="M1034" s="4"/>
      <c r="N1034" s="3" t="s">
        <v>37</v>
      </c>
      <c r="O1034" s="3" t="s">
        <v>52</v>
      </c>
      <c r="P1034" s="5">
        <v>3</v>
      </c>
      <c r="Q1034" s="5">
        <v>18</v>
      </c>
      <c r="R1034" s="5">
        <v>2</v>
      </c>
      <c r="S1034" s="5">
        <v>18</v>
      </c>
    </row>
    <row r="1035" spans="1:19" ht="28" x14ac:dyDescent="0.15">
      <c r="A1035" s="2">
        <f>HYPERLINK("https://open-school.uspishnemisto.com.ua/school/70174/", 70174)</f>
        <v>70174</v>
      </c>
      <c r="B1035" s="3" t="s">
        <v>5663</v>
      </c>
      <c r="C1035" s="3" t="s">
        <v>31</v>
      </c>
      <c r="D1035" s="3" t="s">
        <v>32</v>
      </c>
      <c r="E1035" s="4" t="s">
        <v>22</v>
      </c>
      <c r="F1035" s="4" t="s">
        <v>5664</v>
      </c>
      <c r="G1035" s="4" t="s">
        <v>5665</v>
      </c>
      <c r="H1035" s="3" t="s">
        <v>4839</v>
      </c>
      <c r="I1035" s="3" t="s">
        <v>1587</v>
      </c>
      <c r="J1035" s="3" t="s">
        <v>664</v>
      </c>
      <c r="K1035" s="3" t="s">
        <v>5666</v>
      </c>
      <c r="L1035" s="3" t="s">
        <v>5667</v>
      </c>
      <c r="M1035" s="4"/>
      <c r="N1035" s="3" t="s">
        <v>37</v>
      </c>
      <c r="O1035" s="3" t="s">
        <v>46</v>
      </c>
      <c r="P1035" s="5">
        <v>14</v>
      </c>
      <c r="Q1035" s="5">
        <v>241</v>
      </c>
      <c r="R1035" s="5">
        <v>14</v>
      </c>
      <c r="S1035" s="5">
        <v>240</v>
      </c>
    </row>
    <row r="1036" spans="1:19" ht="42" x14ac:dyDescent="0.15">
      <c r="A1036" s="2">
        <f>HYPERLINK("https://open-school.uspishnemisto.com.ua/school/70175/", 70175)</f>
        <v>70175</v>
      </c>
      <c r="B1036" s="3" t="s">
        <v>5668</v>
      </c>
      <c r="C1036" s="3" t="s">
        <v>54</v>
      </c>
      <c r="D1036" s="3" t="s">
        <v>60</v>
      </c>
      <c r="E1036" s="4" t="s">
        <v>22</v>
      </c>
      <c r="F1036" s="4" t="s">
        <v>5664</v>
      </c>
      <c r="G1036" s="4" t="s">
        <v>5669</v>
      </c>
      <c r="H1036" s="3" t="s">
        <v>4839</v>
      </c>
      <c r="I1036" s="3" t="s">
        <v>5670</v>
      </c>
      <c r="J1036" s="3" t="s">
        <v>5671</v>
      </c>
      <c r="K1036" s="3"/>
      <c r="L1036" s="3"/>
      <c r="M1036" s="4"/>
      <c r="N1036" s="3" t="s">
        <v>37</v>
      </c>
      <c r="O1036" s="3" t="s">
        <v>52</v>
      </c>
      <c r="P1036" s="5">
        <v>2</v>
      </c>
      <c r="Q1036" s="5">
        <v>15</v>
      </c>
      <c r="R1036" s="5">
        <v>1</v>
      </c>
      <c r="S1036" s="5">
        <v>14</v>
      </c>
    </row>
    <row r="1037" spans="1:19" ht="28" x14ac:dyDescent="0.15">
      <c r="A1037" s="2">
        <f>HYPERLINK("https://open-school.uspishnemisto.com.ua/school/70176/", 70176)</f>
        <v>70176</v>
      </c>
      <c r="B1037" s="3" t="s">
        <v>5672</v>
      </c>
      <c r="C1037" s="3" t="s">
        <v>31</v>
      </c>
      <c r="D1037" s="3" t="s">
        <v>60</v>
      </c>
      <c r="E1037" s="4" t="s">
        <v>22</v>
      </c>
      <c r="F1037" s="4" t="s">
        <v>5664</v>
      </c>
      <c r="G1037" s="4" t="s">
        <v>5673</v>
      </c>
      <c r="H1037" s="3" t="s">
        <v>4839</v>
      </c>
      <c r="I1037" s="3" t="s">
        <v>5674</v>
      </c>
      <c r="J1037" s="3" t="s">
        <v>5675</v>
      </c>
      <c r="K1037" s="3" t="s">
        <v>5676</v>
      </c>
      <c r="L1037" s="3"/>
      <c r="M1037" s="4"/>
      <c r="N1037" s="3" t="s">
        <v>37</v>
      </c>
      <c r="O1037" s="3" t="s">
        <v>52</v>
      </c>
      <c r="P1037" s="5">
        <v>2</v>
      </c>
      <c r="Q1037" s="5">
        <v>15</v>
      </c>
      <c r="R1037" s="5">
        <v>2</v>
      </c>
      <c r="S1037" s="5">
        <v>12</v>
      </c>
    </row>
    <row r="1038" spans="1:19" ht="28" x14ac:dyDescent="0.15">
      <c r="A1038" s="2">
        <f>HYPERLINK("https://open-school.uspishnemisto.com.ua/school/70177/", 70177)</f>
        <v>70177</v>
      </c>
      <c r="B1038" s="3" t="s">
        <v>5677</v>
      </c>
      <c r="C1038" s="3" t="s">
        <v>31</v>
      </c>
      <c r="D1038" s="3" t="s">
        <v>60</v>
      </c>
      <c r="E1038" s="4" t="s">
        <v>22</v>
      </c>
      <c r="F1038" s="4" t="s">
        <v>5678</v>
      </c>
      <c r="G1038" s="4" t="s">
        <v>5679</v>
      </c>
      <c r="H1038" s="3" t="s">
        <v>4839</v>
      </c>
      <c r="I1038" s="3" t="s">
        <v>5680</v>
      </c>
      <c r="J1038" s="3" t="s">
        <v>5681</v>
      </c>
      <c r="K1038" s="3"/>
      <c r="L1038" s="3"/>
      <c r="M1038" s="4"/>
      <c r="N1038" s="3" t="s">
        <v>37</v>
      </c>
      <c r="O1038" s="3" t="s">
        <v>52</v>
      </c>
      <c r="P1038" s="5">
        <v>3</v>
      </c>
      <c r="Q1038" s="5">
        <v>25</v>
      </c>
      <c r="R1038" s="5">
        <v>3</v>
      </c>
      <c r="S1038" s="5">
        <v>27</v>
      </c>
    </row>
    <row r="1039" spans="1:19" ht="28" x14ac:dyDescent="0.15">
      <c r="A1039" s="2">
        <f>HYPERLINK("https://open-school.uspishnemisto.com.ua/school/70178/", 70178)</f>
        <v>70178</v>
      </c>
      <c r="B1039" s="3" t="s">
        <v>5682</v>
      </c>
      <c r="C1039" s="3" t="s">
        <v>31</v>
      </c>
      <c r="D1039" s="3" t="s">
        <v>175</v>
      </c>
      <c r="E1039" s="4" t="s">
        <v>22</v>
      </c>
      <c r="F1039" s="4" t="s">
        <v>5683</v>
      </c>
      <c r="G1039" s="4" t="s">
        <v>5684</v>
      </c>
      <c r="H1039" s="3" t="s">
        <v>4839</v>
      </c>
      <c r="I1039" s="3" t="s">
        <v>5685</v>
      </c>
      <c r="J1039" s="3" t="s">
        <v>5686</v>
      </c>
      <c r="K1039" s="3" t="s">
        <v>5687</v>
      </c>
      <c r="L1039" s="3"/>
      <c r="M1039" s="4"/>
      <c r="N1039" s="3" t="s">
        <v>37</v>
      </c>
      <c r="O1039" s="3" t="s">
        <v>52</v>
      </c>
      <c r="P1039" s="5">
        <v>9</v>
      </c>
      <c r="Q1039" s="5">
        <v>60</v>
      </c>
      <c r="R1039" s="5">
        <v>9</v>
      </c>
      <c r="S1039" s="5">
        <v>63</v>
      </c>
    </row>
    <row r="1040" spans="1:19" ht="28" x14ac:dyDescent="0.15">
      <c r="A1040" s="2">
        <f>HYPERLINK("https://open-school.uspishnemisto.com.ua/school/70179/", 70179)</f>
        <v>70179</v>
      </c>
      <c r="B1040" s="3" t="s">
        <v>5688</v>
      </c>
      <c r="C1040" s="3" t="s">
        <v>31</v>
      </c>
      <c r="D1040" s="3" t="s">
        <v>32</v>
      </c>
      <c r="E1040" s="4" t="s">
        <v>22</v>
      </c>
      <c r="F1040" s="4" t="s">
        <v>5689</v>
      </c>
      <c r="G1040" s="4" t="s">
        <v>5690</v>
      </c>
      <c r="H1040" s="3" t="s">
        <v>4839</v>
      </c>
      <c r="I1040" s="3" t="s">
        <v>5691</v>
      </c>
      <c r="J1040" s="3" t="s">
        <v>5692</v>
      </c>
      <c r="K1040" s="3" t="s">
        <v>5693</v>
      </c>
      <c r="L1040" s="3" t="s">
        <v>5694</v>
      </c>
      <c r="M1040" s="4"/>
      <c r="N1040" s="3" t="s">
        <v>37</v>
      </c>
      <c r="O1040" s="3" t="s">
        <v>46</v>
      </c>
      <c r="P1040" s="5">
        <v>11</v>
      </c>
      <c r="Q1040" s="5">
        <v>182</v>
      </c>
      <c r="R1040" s="5">
        <v>11</v>
      </c>
      <c r="S1040" s="5">
        <v>170</v>
      </c>
    </row>
    <row r="1041" spans="1:19" ht="28" x14ac:dyDescent="0.15">
      <c r="A1041" s="2">
        <f>HYPERLINK("https://open-school.uspishnemisto.com.ua/school/70180/", 70180)</f>
        <v>70180</v>
      </c>
      <c r="B1041" s="3" t="s">
        <v>5695</v>
      </c>
      <c r="C1041" s="3" t="s">
        <v>31</v>
      </c>
      <c r="D1041" s="3" t="s">
        <v>60</v>
      </c>
      <c r="E1041" s="4" t="s">
        <v>22</v>
      </c>
      <c r="F1041" s="4" t="s">
        <v>5689</v>
      </c>
      <c r="G1041" s="4" t="s">
        <v>5696</v>
      </c>
      <c r="H1041" s="3" t="s">
        <v>4839</v>
      </c>
      <c r="I1041" s="3" t="s">
        <v>5697</v>
      </c>
      <c r="J1041" s="3" t="s">
        <v>700</v>
      </c>
      <c r="K1041" s="3" t="s">
        <v>5698</v>
      </c>
      <c r="L1041" s="3"/>
      <c r="M1041" s="4"/>
      <c r="N1041" s="3" t="s">
        <v>37</v>
      </c>
      <c r="O1041" s="3" t="s">
        <v>52</v>
      </c>
      <c r="P1041" s="5">
        <v>4</v>
      </c>
      <c r="Q1041" s="5">
        <v>30</v>
      </c>
      <c r="R1041" s="5">
        <v>4</v>
      </c>
      <c r="S1041" s="5">
        <v>38</v>
      </c>
    </row>
    <row r="1042" spans="1:19" ht="28" x14ac:dyDescent="0.15">
      <c r="A1042" s="2">
        <f>HYPERLINK("https://open-school.uspishnemisto.com.ua/school/70181/", 70181)</f>
        <v>70181</v>
      </c>
      <c r="B1042" s="3" t="s">
        <v>5699</v>
      </c>
      <c r="C1042" s="3" t="s">
        <v>31</v>
      </c>
      <c r="D1042" s="3" t="s">
        <v>60</v>
      </c>
      <c r="E1042" s="4" t="s">
        <v>22</v>
      </c>
      <c r="F1042" s="4" t="s">
        <v>5689</v>
      </c>
      <c r="G1042" s="4" t="s">
        <v>5700</v>
      </c>
      <c r="H1042" s="3" t="s">
        <v>4839</v>
      </c>
      <c r="I1042" s="3" t="s">
        <v>5701</v>
      </c>
      <c r="J1042" s="3" t="s">
        <v>5702</v>
      </c>
      <c r="K1042" s="3" t="s">
        <v>5703</v>
      </c>
      <c r="L1042" s="3"/>
      <c r="M1042" s="4"/>
      <c r="N1042" s="3" t="s">
        <v>37</v>
      </c>
      <c r="O1042" s="3" t="s">
        <v>52</v>
      </c>
      <c r="P1042" s="5">
        <v>1</v>
      </c>
      <c r="Q1042" s="5">
        <v>10</v>
      </c>
      <c r="R1042" s="5">
        <v>0</v>
      </c>
      <c r="S1042" s="5">
        <v>7</v>
      </c>
    </row>
    <row r="1043" spans="1:19" ht="28" x14ac:dyDescent="0.15">
      <c r="A1043" s="2">
        <f>HYPERLINK("https://open-school.uspishnemisto.com.ua/school/70182/", 70182)</f>
        <v>70182</v>
      </c>
      <c r="B1043" s="3" t="s">
        <v>5704</v>
      </c>
      <c r="C1043" s="3" t="s">
        <v>31</v>
      </c>
      <c r="D1043" s="3" t="s">
        <v>175</v>
      </c>
      <c r="E1043" s="4" t="s">
        <v>22</v>
      </c>
      <c r="F1043" s="4" t="s">
        <v>5705</v>
      </c>
      <c r="G1043" s="4" t="s">
        <v>5706</v>
      </c>
      <c r="H1043" s="3" t="s">
        <v>4839</v>
      </c>
      <c r="I1043" s="3" t="s">
        <v>5707</v>
      </c>
      <c r="J1043" s="3" t="s">
        <v>466</v>
      </c>
      <c r="K1043" s="3"/>
      <c r="L1043" s="3" t="s">
        <v>5708</v>
      </c>
      <c r="M1043" s="4"/>
      <c r="N1043" s="3" t="s">
        <v>37</v>
      </c>
      <c r="O1043" s="3" t="s">
        <v>52</v>
      </c>
      <c r="P1043" s="5">
        <v>6</v>
      </c>
      <c r="Q1043" s="5">
        <v>50</v>
      </c>
      <c r="R1043" s="5">
        <v>8</v>
      </c>
      <c r="S1043" s="5">
        <v>44</v>
      </c>
    </row>
    <row r="1044" spans="1:19" ht="28" x14ac:dyDescent="0.15">
      <c r="A1044" s="2">
        <f>HYPERLINK("https://open-school.uspishnemisto.com.ua/school/70183/", 70183)</f>
        <v>70183</v>
      </c>
      <c r="B1044" s="3" t="s">
        <v>5709</v>
      </c>
      <c r="C1044" s="3" t="s">
        <v>31</v>
      </c>
      <c r="D1044" s="3" t="s">
        <v>60</v>
      </c>
      <c r="E1044" s="4" t="s">
        <v>22</v>
      </c>
      <c r="F1044" s="4" t="s">
        <v>5705</v>
      </c>
      <c r="G1044" s="4" t="s">
        <v>5710</v>
      </c>
      <c r="H1044" s="3" t="s">
        <v>4839</v>
      </c>
      <c r="I1044" s="3" t="s">
        <v>5711</v>
      </c>
      <c r="J1044" s="3" t="s">
        <v>5712</v>
      </c>
      <c r="K1044" s="3"/>
      <c r="L1044" s="3"/>
      <c r="M1044" s="4"/>
      <c r="N1044" s="3" t="s">
        <v>37</v>
      </c>
      <c r="O1044" s="3" t="s">
        <v>52</v>
      </c>
      <c r="P1044" s="5">
        <v>0</v>
      </c>
      <c r="Q1044" s="5">
        <v>12</v>
      </c>
      <c r="R1044" s="5">
        <v>1</v>
      </c>
      <c r="S1044" s="5">
        <v>14</v>
      </c>
    </row>
    <row r="1045" spans="1:19" ht="28" x14ac:dyDescent="0.15">
      <c r="A1045" s="2">
        <f>HYPERLINK("https://open-school.uspishnemisto.com.ua/school/70184/", 70184)</f>
        <v>70184</v>
      </c>
      <c r="B1045" s="3" t="s">
        <v>5713</v>
      </c>
      <c r="C1045" s="3" t="s">
        <v>31</v>
      </c>
      <c r="D1045" s="3" t="s">
        <v>32</v>
      </c>
      <c r="E1045" s="4" t="s">
        <v>22</v>
      </c>
      <c r="F1045" s="4" t="s">
        <v>5714</v>
      </c>
      <c r="G1045" s="4" t="s">
        <v>5715</v>
      </c>
      <c r="H1045" s="3" t="s">
        <v>4839</v>
      </c>
      <c r="I1045" s="3" t="s">
        <v>5716</v>
      </c>
      <c r="J1045" s="3" t="s">
        <v>5717</v>
      </c>
      <c r="K1045" s="3" t="s">
        <v>5718</v>
      </c>
      <c r="L1045" s="3"/>
      <c r="M1045" s="4"/>
      <c r="N1045" s="3" t="s">
        <v>37</v>
      </c>
      <c r="O1045" s="3" t="s">
        <v>46</v>
      </c>
      <c r="P1045" s="5">
        <v>11</v>
      </c>
      <c r="Q1045" s="5">
        <v>135</v>
      </c>
      <c r="R1045" s="5">
        <v>11</v>
      </c>
      <c r="S1045" s="5">
        <v>133</v>
      </c>
    </row>
    <row r="1046" spans="1:19" ht="42" x14ac:dyDescent="0.15">
      <c r="A1046" s="2">
        <f>HYPERLINK("https://open-school.uspishnemisto.com.ua/school/70185/", 70185)</f>
        <v>70185</v>
      </c>
      <c r="B1046" s="3" t="s">
        <v>5719</v>
      </c>
      <c r="C1046" s="3" t="s">
        <v>31</v>
      </c>
      <c r="D1046" s="3" t="s">
        <v>32</v>
      </c>
      <c r="E1046" s="4" t="s">
        <v>22</v>
      </c>
      <c r="F1046" s="4" t="s">
        <v>5720</v>
      </c>
      <c r="G1046" s="4" t="s">
        <v>5721</v>
      </c>
      <c r="H1046" s="3" t="s">
        <v>4839</v>
      </c>
      <c r="I1046" s="3" t="s">
        <v>5722</v>
      </c>
      <c r="J1046" s="3" t="s">
        <v>5723</v>
      </c>
      <c r="K1046" s="3" t="s">
        <v>5724</v>
      </c>
      <c r="L1046" s="3" t="s">
        <v>5725</v>
      </c>
      <c r="M1046" s="4"/>
      <c r="N1046" s="3" t="s">
        <v>37</v>
      </c>
      <c r="O1046" s="3" t="s">
        <v>52</v>
      </c>
      <c r="P1046" s="5">
        <v>10</v>
      </c>
      <c r="Q1046" s="5">
        <v>88</v>
      </c>
      <c r="R1046" s="5">
        <v>11</v>
      </c>
      <c r="S1046" s="5">
        <v>108</v>
      </c>
    </row>
    <row r="1047" spans="1:19" ht="28" x14ac:dyDescent="0.15">
      <c r="A1047" s="2">
        <f>HYPERLINK("https://open-school.uspishnemisto.com.ua/school/70186/", 70186)</f>
        <v>70186</v>
      </c>
      <c r="B1047" s="3" t="s">
        <v>5726</v>
      </c>
      <c r="C1047" s="3" t="s">
        <v>31</v>
      </c>
      <c r="D1047" s="3" t="s">
        <v>60</v>
      </c>
      <c r="E1047" s="4" t="s">
        <v>22</v>
      </c>
      <c r="F1047" s="4" t="s">
        <v>5720</v>
      </c>
      <c r="G1047" s="4" t="s">
        <v>5727</v>
      </c>
      <c r="H1047" s="3" t="s">
        <v>4839</v>
      </c>
      <c r="I1047" s="3" t="s">
        <v>5728</v>
      </c>
      <c r="J1047" s="3" t="s">
        <v>1216</v>
      </c>
      <c r="K1047" s="3" t="s">
        <v>5729</v>
      </c>
      <c r="L1047" s="3" t="s">
        <v>5730</v>
      </c>
      <c r="M1047" s="4"/>
      <c r="N1047" s="3" t="s">
        <v>37</v>
      </c>
      <c r="O1047" s="3" t="s">
        <v>52</v>
      </c>
      <c r="P1047" s="5">
        <v>4</v>
      </c>
      <c r="Q1047" s="5">
        <v>25</v>
      </c>
      <c r="R1047" s="5">
        <v>4</v>
      </c>
      <c r="S1047" s="5">
        <v>25</v>
      </c>
    </row>
    <row r="1048" spans="1:19" ht="28" x14ac:dyDescent="0.15">
      <c r="A1048" s="2">
        <f>HYPERLINK("https://open-school.uspishnemisto.com.ua/school/70187/", 70187)</f>
        <v>70187</v>
      </c>
      <c r="B1048" s="3" t="s">
        <v>5731</v>
      </c>
      <c r="C1048" s="3" t="s">
        <v>31</v>
      </c>
      <c r="D1048" s="3" t="s">
        <v>32</v>
      </c>
      <c r="E1048" s="4" t="s">
        <v>22</v>
      </c>
      <c r="F1048" s="4" t="s">
        <v>5732</v>
      </c>
      <c r="G1048" s="4" t="s">
        <v>5733</v>
      </c>
      <c r="H1048" s="3" t="s">
        <v>4839</v>
      </c>
      <c r="I1048" s="3" t="s">
        <v>5734</v>
      </c>
      <c r="J1048" s="3" t="s">
        <v>2145</v>
      </c>
      <c r="K1048" s="3" t="s">
        <v>5735</v>
      </c>
      <c r="L1048" s="3"/>
      <c r="M1048" s="4"/>
      <c r="N1048" s="3" t="s">
        <v>37</v>
      </c>
      <c r="O1048" s="3" t="s">
        <v>46</v>
      </c>
      <c r="P1048" s="5">
        <v>8</v>
      </c>
      <c r="Q1048" s="5">
        <v>55</v>
      </c>
      <c r="R1048" s="5">
        <v>8</v>
      </c>
      <c r="S1048" s="5">
        <v>54</v>
      </c>
    </row>
    <row r="1049" spans="1:19" ht="28" x14ac:dyDescent="0.15">
      <c r="A1049" s="2">
        <f>HYPERLINK("https://open-school.uspishnemisto.com.ua/school/70188/", 70188)</f>
        <v>70188</v>
      </c>
      <c r="B1049" s="3" t="s">
        <v>5736</v>
      </c>
      <c r="C1049" s="3" t="s">
        <v>31</v>
      </c>
      <c r="D1049" s="3" t="s">
        <v>175</v>
      </c>
      <c r="E1049" s="4" t="s">
        <v>22</v>
      </c>
      <c r="F1049" s="4" t="s">
        <v>5737</v>
      </c>
      <c r="G1049" s="4" t="s">
        <v>5738</v>
      </c>
      <c r="H1049" s="3" t="s">
        <v>4839</v>
      </c>
      <c r="I1049" s="3" t="s">
        <v>5739</v>
      </c>
      <c r="J1049" s="3" t="s">
        <v>5740</v>
      </c>
      <c r="K1049" s="3" t="s">
        <v>5741</v>
      </c>
      <c r="L1049" s="3" t="s">
        <v>5742</v>
      </c>
      <c r="M1049" s="4"/>
      <c r="N1049" s="3" t="s">
        <v>37</v>
      </c>
      <c r="O1049" s="3" t="s">
        <v>52</v>
      </c>
      <c r="P1049" s="5">
        <v>9</v>
      </c>
      <c r="Q1049" s="5">
        <v>84</v>
      </c>
      <c r="R1049" s="5">
        <v>9</v>
      </c>
      <c r="S1049" s="5">
        <v>80</v>
      </c>
    </row>
    <row r="1050" spans="1:19" ht="28" x14ac:dyDescent="0.15">
      <c r="A1050" s="2">
        <f>HYPERLINK("https://open-school.uspishnemisto.com.ua/school/70189/", 70189)</f>
        <v>70189</v>
      </c>
      <c r="B1050" s="3" t="s">
        <v>5743</v>
      </c>
      <c r="C1050" s="3" t="s">
        <v>31</v>
      </c>
      <c r="D1050" s="3" t="s">
        <v>175</v>
      </c>
      <c r="E1050" s="4" t="s">
        <v>22</v>
      </c>
      <c r="F1050" s="4" t="s">
        <v>5744</v>
      </c>
      <c r="G1050" s="4" t="s">
        <v>5745</v>
      </c>
      <c r="H1050" s="3" t="s">
        <v>4839</v>
      </c>
      <c r="I1050" s="3" t="s">
        <v>5746</v>
      </c>
      <c r="J1050" s="3" t="s">
        <v>5747</v>
      </c>
      <c r="K1050" s="3" t="s">
        <v>5748</v>
      </c>
      <c r="L1050" s="3"/>
      <c r="M1050" s="4"/>
      <c r="N1050" s="3" t="s">
        <v>37</v>
      </c>
      <c r="O1050" s="3" t="s">
        <v>139</v>
      </c>
      <c r="P1050" s="5">
        <v>8</v>
      </c>
      <c r="Q1050" s="5">
        <v>47</v>
      </c>
      <c r="R1050" s="5">
        <v>9</v>
      </c>
      <c r="S1050" s="5">
        <v>52</v>
      </c>
    </row>
    <row r="1051" spans="1:19" ht="28" x14ac:dyDescent="0.15">
      <c r="A1051" s="2">
        <f>HYPERLINK("https://open-school.uspishnemisto.com.ua/school/70190/", 70190)</f>
        <v>70190</v>
      </c>
      <c r="B1051" s="3" t="s">
        <v>5749</v>
      </c>
      <c r="C1051" s="3" t="s">
        <v>31</v>
      </c>
      <c r="D1051" s="3" t="s">
        <v>175</v>
      </c>
      <c r="E1051" s="4" t="s">
        <v>22</v>
      </c>
      <c r="F1051" s="4" t="s">
        <v>5750</v>
      </c>
      <c r="G1051" s="4" t="s">
        <v>5751</v>
      </c>
      <c r="H1051" s="3" t="s">
        <v>4839</v>
      </c>
      <c r="I1051" s="3" t="s">
        <v>5752</v>
      </c>
      <c r="J1051" s="3" t="s">
        <v>5753</v>
      </c>
      <c r="K1051" s="3" t="s">
        <v>5754</v>
      </c>
      <c r="L1051" s="3"/>
      <c r="M1051" s="4"/>
      <c r="N1051" s="3" t="s">
        <v>37</v>
      </c>
      <c r="O1051" s="3" t="s">
        <v>52</v>
      </c>
      <c r="P1051" s="5">
        <v>9</v>
      </c>
      <c r="Q1051" s="5">
        <v>69</v>
      </c>
      <c r="R1051" s="5">
        <v>9</v>
      </c>
      <c r="S1051" s="5">
        <v>63</v>
      </c>
    </row>
    <row r="1052" spans="1:19" ht="42" x14ac:dyDescent="0.15">
      <c r="A1052" s="2">
        <f>HYPERLINK("https://open-school.uspishnemisto.com.ua/school/70191/", 70191)</f>
        <v>70191</v>
      </c>
      <c r="B1052" s="3" t="s">
        <v>5755</v>
      </c>
      <c r="C1052" s="3" t="s">
        <v>40</v>
      </c>
      <c r="D1052" s="3" t="s">
        <v>32</v>
      </c>
      <c r="E1052" s="4" t="s">
        <v>22</v>
      </c>
      <c r="F1052" s="4" t="s">
        <v>5756</v>
      </c>
      <c r="G1052" s="4" t="s">
        <v>5757</v>
      </c>
      <c r="H1052" s="3" t="s">
        <v>4839</v>
      </c>
      <c r="I1052" s="3" t="s">
        <v>5758</v>
      </c>
      <c r="J1052" s="3" t="s">
        <v>5759</v>
      </c>
      <c r="K1052" s="3" t="s">
        <v>5760</v>
      </c>
      <c r="L1052" s="3" t="s">
        <v>5761</v>
      </c>
      <c r="M1052" s="4"/>
      <c r="N1052" s="3" t="s">
        <v>37</v>
      </c>
      <c r="O1052" s="3" t="s">
        <v>46</v>
      </c>
      <c r="P1052" s="5">
        <v>32</v>
      </c>
      <c r="Q1052" s="5">
        <v>759</v>
      </c>
      <c r="R1052" s="5">
        <v>30</v>
      </c>
      <c r="S1052" s="5">
        <v>727</v>
      </c>
    </row>
    <row r="1053" spans="1:19" ht="42" x14ac:dyDescent="0.15">
      <c r="A1053" s="2">
        <f>HYPERLINK("https://open-school.uspishnemisto.com.ua/school/70192/", 70192)</f>
        <v>70192</v>
      </c>
      <c r="B1053" s="3" t="s">
        <v>5762</v>
      </c>
      <c r="C1053" s="3" t="s">
        <v>54</v>
      </c>
      <c r="D1053" s="3" t="s">
        <v>32</v>
      </c>
      <c r="E1053" s="4" t="s">
        <v>22</v>
      </c>
      <c r="F1053" s="4" t="s">
        <v>5756</v>
      </c>
      <c r="G1053" s="4" t="s">
        <v>5757</v>
      </c>
      <c r="H1053" s="3" t="s">
        <v>4839</v>
      </c>
      <c r="I1053" s="3" t="s">
        <v>5758</v>
      </c>
      <c r="J1053" s="3" t="s">
        <v>5763</v>
      </c>
      <c r="K1053" s="3" t="s">
        <v>5764</v>
      </c>
      <c r="L1053" s="3"/>
      <c r="M1053" s="4"/>
      <c r="N1053" s="3" t="s">
        <v>37</v>
      </c>
      <c r="O1053" s="3" t="s">
        <v>46</v>
      </c>
      <c r="P1053" s="5">
        <v>46</v>
      </c>
      <c r="Q1053" s="5">
        <v>1138</v>
      </c>
      <c r="R1053" s="5">
        <v>45</v>
      </c>
      <c r="S1053" s="5">
        <v>1079</v>
      </c>
    </row>
    <row r="1054" spans="1:19" ht="28" x14ac:dyDescent="0.15">
      <c r="A1054" s="2">
        <f>HYPERLINK("https://open-school.uspishnemisto.com.ua/school/70193/", 70193)</f>
        <v>70193</v>
      </c>
      <c r="B1054" s="3" t="s">
        <v>5765</v>
      </c>
      <c r="C1054" s="3" t="s">
        <v>31</v>
      </c>
      <c r="D1054" s="3" t="s">
        <v>32</v>
      </c>
      <c r="E1054" s="4" t="s">
        <v>22</v>
      </c>
      <c r="F1054" s="4" t="s">
        <v>5756</v>
      </c>
      <c r="G1054" s="4" t="s">
        <v>5766</v>
      </c>
      <c r="H1054" s="3" t="s">
        <v>4839</v>
      </c>
      <c r="I1054" s="3" t="s">
        <v>5767</v>
      </c>
      <c r="J1054" s="3" t="s">
        <v>5768</v>
      </c>
      <c r="K1054" s="3" t="s">
        <v>5769</v>
      </c>
      <c r="L1054" s="3" t="s">
        <v>5770</v>
      </c>
      <c r="M1054" s="4"/>
      <c r="N1054" s="3" t="s">
        <v>37</v>
      </c>
      <c r="O1054" s="3" t="s">
        <v>52</v>
      </c>
      <c r="P1054" s="5">
        <v>11</v>
      </c>
      <c r="Q1054" s="5">
        <v>187</v>
      </c>
      <c r="R1054" s="5">
        <v>11</v>
      </c>
      <c r="S1054" s="5">
        <v>171</v>
      </c>
    </row>
    <row r="1055" spans="1:19" ht="28" x14ac:dyDescent="0.15">
      <c r="A1055" s="2">
        <f>HYPERLINK("https://open-school.uspishnemisto.com.ua/school/70194/", 70194)</f>
        <v>70194</v>
      </c>
      <c r="B1055" s="3" t="s">
        <v>5771</v>
      </c>
      <c r="C1055" s="3" t="s">
        <v>31</v>
      </c>
      <c r="D1055" s="3" t="s">
        <v>32</v>
      </c>
      <c r="E1055" s="4" t="s">
        <v>22</v>
      </c>
      <c r="F1055" s="4" t="s">
        <v>5772</v>
      </c>
      <c r="G1055" s="4" t="s">
        <v>5773</v>
      </c>
      <c r="H1055" s="3" t="s">
        <v>4839</v>
      </c>
      <c r="I1055" s="3" t="s">
        <v>5774</v>
      </c>
      <c r="J1055" s="3" t="s">
        <v>5775</v>
      </c>
      <c r="K1055" s="3" t="s">
        <v>5776</v>
      </c>
      <c r="L1055" s="3"/>
      <c r="M1055" s="4"/>
      <c r="N1055" s="3" t="s">
        <v>37</v>
      </c>
      <c r="O1055" s="3" t="s">
        <v>46</v>
      </c>
      <c r="P1055" s="5">
        <v>11</v>
      </c>
      <c r="Q1055" s="5">
        <v>185</v>
      </c>
      <c r="R1055" s="5">
        <v>11</v>
      </c>
      <c r="S1055" s="5">
        <v>174</v>
      </c>
    </row>
    <row r="1056" spans="1:19" ht="28" x14ac:dyDescent="0.15">
      <c r="A1056" s="2">
        <f>HYPERLINK("https://open-school.uspishnemisto.com.ua/school/70195/", 70195)</f>
        <v>70195</v>
      </c>
      <c r="B1056" s="3" t="s">
        <v>5777</v>
      </c>
      <c r="C1056" s="3" t="s">
        <v>31</v>
      </c>
      <c r="D1056" s="3" t="s">
        <v>32</v>
      </c>
      <c r="E1056" s="4" t="s">
        <v>22</v>
      </c>
      <c r="F1056" s="4" t="s">
        <v>5772</v>
      </c>
      <c r="G1056" s="4" t="s">
        <v>5778</v>
      </c>
      <c r="H1056" s="3" t="s">
        <v>4839</v>
      </c>
      <c r="I1056" s="3" t="s">
        <v>5779</v>
      </c>
      <c r="J1056" s="3" t="s">
        <v>878</v>
      </c>
      <c r="K1056" s="3" t="s">
        <v>5780</v>
      </c>
      <c r="L1056" s="3" t="s">
        <v>5781</v>
      </c>
      <c r="M1056" s="4"/>
      <c r="N1056" s="3" t="s">
        <v>37</v>
      </c>
      <c r="O1056" s="3" t="s">
        <v>46</v>
      </c>
      <c r="P1056" s="5">
        <v>11</v>
      </c>
      <c r="Q1056" s="5">
        <v>135</v>
      </c>
      <c r="R1056" s="5">
        <v>11</v>
      </c>
      <c r="S1056" s="5">
        <v>141</v>
      </c>
    </row>
    <row r="1057" spans="1:19" ht="28" x14ac:dyDescent="0.15">
      <c r="A1057" s="2">
        <f>HYPERLINK("https://open-school.uspishnemisto.com.ua/school/70196/", 70196)</f>
        <v>70196</v>
      </c>
      <c r="B1057" s="3" t="s">
        <v>5782</v>
      </c>
      <c r="C1057" s="3" t="s">
        <v>31</v>
      </c>
      <c r="D1057" s="3" t="s">
        <v>32</v>
      </c>
      <c r="E1057" s="4" t="s">
        <v>22</v>
      </c>
      <c r="F1057" s="4" t="s">
        <v>5783</v>
      </c>
      <c r="G1057" s="4" t="s">
        <v>5784</v>
      </c>
      <c r="H1057" s="3" t="s">
        <v>4839</v>
      </c>
      <c r="I1057" s="3" t="s">
        <v>5785</v>
      </c>
      <c r="J1057" s="3" t="s">
        <v>5786</v>
      </c>
      <c r="K1057" s="3" t="s">
        <v>5787</v>
      </c>
      <c r="L1057" s="3"/>
      <c r="M1057" s="4"/>
      <c r="N1057" s="3" t="s">
        <v>37</v>
      </c>
      <c r="O1057" s="3" t="s">
        <v>46</v>
      </c>
      <c r="P1057" s="5">
        <v>20</v>
      </c>
      <c r="Q1057" s="5">
        <v>381</v>
      </c>
      <c r="R1057" s="5">
        <v>19</v>
      </c>
      <c r="S1057" s="5">
        <v>381</v>
      </c>
    </row>
    <row r="1058" spans="1:19" ht="28" x14ac:dyDescent="0.15">
      <c r="A1058" s="2">
        <f>HYPERLINK("https://open-school.uspishnemisto.com.ua/school/70197/", 70197)</f>
        <v>70197</v>
      </c>
      <c r="B1058" s="3" t="s">
        <v>5788</v>
      </c>
      <c r="C1058" s="3" t="s">
        <v>31</v>
      </c>
      <c r="D1058" s="3" t="s">
        <v>32</v>
      </c>
      <c r="E1058" s="4" t="s">
        <v>22</v>
      </c>
      <c r="F1058" s="4" t="s">
        <v>5789</v>
      </c>
      <c r="G1058" s="4" t="s">
        <v>5790</v>
      </c>
      <c r="H1058" s="3" t="s">
        <v>4839</v>
      </c>
      <c r="I1058" s="3" t="s">
        <v>5791</v>
      </c>
      <c r="J1058" s="3" t="s">
        <v>5792</v>
      </c>
      <c r="K1058" s="3" t="s">
        <v>5793</v>
      </c>
      <c r="L1058" s="3"/>
      <c r="M1058" s="4"/>
      <c r="N1058" s="3" t="s">
        <v>37</v>
      </c>
      <c r="O1058" s="3" t="s">
        <v>46</v>
      </c>
      <c r="P1058" s="5">
        <v>12</v>
      </c>
      <c r="Q1058" s="5">
        <v>214</v>
      </c>
      <c r="R1058" s="5">
        <v>11</v>
      </c>
      <c r="S1058" s="5">
        <v>204</v>
      </c>
    </row>
    <row r="1059" spans="1:19" ht="28" x14ac:dyDescent="0.15">
      <c r="A1059" s="2">
        <f>HYPERLINK("https://open-school.uspishnemisto.com.ua/school/70198/", 70198)</f>
        <v>70198</v>
      </c>
      <c r="B1059" s="3" t="s">
        <v>5794</v>
      </c>
      <c r="C1059" s="3" t="s">
        <v>31</v>
      </c>
      <c r="D1059" s="3" t="s">
        <v>60</v>
      </c>
      <c r="E1059" s="4" t="s">
        <v>22</v>
      </c>
      <c r="F1059" s="4" t="s">
        <v>5789</v>
      </c>
      <c r="G1059" s="4" t="s">
        <v>5795</v>
      </c>
      <c r="H1059" s="3" t="s">
        <v>4839</v>
      </c>
      <c r="I1059" s="3" t="s">
        <v>5796</v>
      </c>
      <c r="J1059" s="3" t="s">
        <v>5797</v>
      </c>
      <c r="K1059" s="3" t="s">
        <v>5798</v>
      </c>
      <c r="L1059" s="3"/>
      <c r="M1059" s="4"/>
      <c r="N1059" s="3" t="s">
        <v>37</v>
      </c>
      <c r="O1059" s="3" t="s">
        <v>52</v>
      </c>
      <c r="P1059" s="5">
        <v>4</v>
      </c>
      <c r="Q1059" s="5">
        <v>40</v>
      </c>
      <c r="R1059" s="5">
        <v>4</v>
      </c>
      <c r="S1059" s="5">
        <v>43</v>
      </c>
    </row>
    <row r="1060" spans="1:19" ht="28" x14ac:dyDescent="0.15">
      <c r="A1060" s="2">
        <f>HYPERLINK("https://open-school.uspishnemisto.com.ua/school/70199/", 70199)</f>
        <v>70199</v>
      </c>
      <c r="B1060" s="3" t="s">
        <v>5799</v>
      </c>
      <c r="C1060" s="3" t="s">
        <v>31</v>
      </c>
      <c r="D1060" s="3" t="s">
        <v>175</v>
      </c>
      <c r="E1060" s="4" t="s">
        <v>22</v>
      </c>
      <c r="F1060" s="4" t="s">
        <v>5800</v>
      </c>
      <c r="G1060" s="4" t="s">
        <v>5801</v>
      </c>
      <c r="H1060" s="3" t="s">
        <v>4839</v>
      </c>
      <c r="I1060" s="3" t="s">
        <v>5802</v>
      </c>
      <c r="J1060" s="3" t="s">
        <v>5803</v>
      </c>
      <c r="K1060" s="3" t="s">
        <v>5804</v>
      </c>
      <c r="L1060" s="3"/>
      <c r="M1060" s="4"/>
      <c r="N1060" s="3" t="s">
        <v>37</v>
      </c>
      <c r="O1060" s="3" t="s">
        <v>52</v>
      </c>
      <c r="P1060" s="5">
        <v>8</v>
      </c>
      <c r="Q1060" s="5">
        <v>51</v>
      </c>
      <c r="R1060" s="5">
        <v>9</v>
      </c>
      <c r="S1060" s="5">
        <v>68</v>
      </c>
    </row>
    <row r="1061" spans="1:19" ht="28" x14ac:dyDescent="0.15">
      <c r="A1061" s="2">
        <f>HYPERLINK("https://open-school.uspishnemisto.com.ua/school/70200/", 70200)</f>
        <v>70200</v>
      </c>
      <c r="B1061" s="3" t="s">
        <v>5805</v>
      </c>
      <c r="C1061" s="3" t="s">
        <v>31</v>
      </c>
      <c r="D1061" s="3" t="s">
        <v>175</v>
      </c>
      <c r="E1061" s="4" t="s">
        <v>22</v>
      </c>
      <c r="F1061" s="4" t="s">
        <v>5806</v>
      </c>
      <c r="G1061" s="4" t="s">
        <v>5807</v>
      </c>
      <c r="H1061" s="3" t="s">
        <v>4839</v>
      </c>
      <c r="I1061" s="3" t="s">
        <v>5808</v>
      </c>
      <c r="J1061" s="3" t="s">
        <v>5809</v>
      </c>
      <c r="K1061" s="3"/>
      <c r="L1061" s="3"/>
      <c r="M1061" s="4"/>
      <c r="N1061" s="3" t="s">
        <v>37</v>
      </c>
      <c r="O1061" s="3" t="s">
        <v>46</v>
      </c>
      <c r="P1061" s="5">
        <v>9</v>
      </c>
      <c r="Q1061" s="5">
        <v>65</v>
      </c>
      <c r="R1061" s="5">
        <v>9</v>
      </c>
      <c r="S1061" s="5">
        <v>69</v>
      </c>
    </row>
    <row r="1062" spans="1:19" ht="28" x14ac:dyDescent="0.15">
      <c r="A1062" s="2">
        <f>HYPERLINK("https://open-school.uspishnemisto.com.ua/school/70201/", 70201)</f>
        <v>70201</v>
      </c>
      <c r="B1062" s="3" t="s">
        <v>5810</v>
      </c>
      <c r="C1062" s="3" t="s">
        <v>31</v>
      </c>
      <c r="D1062" s="3" t="s">
        <v>32</v>
      </c>
      <c r="E1062" s="4" t="s">
        <v>22</v>
      </c>
      <c r="F1062" s="4" t="s">
        <v>5811</v>
      </c>
      <c r="G1062" s="4" t="s">
        <v>5812</v>
      </c>
      <c r="H1062" s="3" t="s">
        <v>4839</v>
      </c>
      <c r="I1062" s="3" t="s">
        <v>5813</v>
      </c>
      <c r="J1062" s="3" t="s">
        <v>466</v>
      </c>
      <c r="K1062" s="3" t="s">
        <v>5814</v>
      </c>
      <c r="L1062" s="3" t="s">
        <v>5815</v>
      </c>
      <c r="M1062" s="4"/>
      <c r="N1062" s="3" t="s">
        <v>37</v>
      </c>
      <c r="O1062" s="3" t="s">
        <v>46</v>
      </c>
      <c r="P1062" s="5">
        <v>19</v>
      </c>
      <c r="Q1062" s="5">
        <v>373</v>
      </c>
      <c r="R1062" s="5">
        <v>18</v>
      </c>
      <c r="S1062" s="5">
        <v>344</v>
      </c>
    </row>
    <row r="1063" spans="1:19" ht="28" x14ac:dyDescent="0.15">
      <c r="A1063" s="2">
        <f>HYPERLINK("https://open-school.uspishnemisto.com.ua/school/70202/", 70202)</f>
        <v>70202</v>
      </c>
      <c r="B1063" s="3" t="s">
        <v>5816</v>
      </c>
      <c r="C1063" s="3" t="s">
        <v>31</v>
      </c>
      <c r="D1063" s="3" t="s">
        <v>32</v>
      </c>
      <c r="E1063" s="4" t="s">
        <v>22</v>
      </c>
      <c r="F1063" s="4" t="s">
        <v>5817</v>
      </c>
      <c r="G1063" s="4" t="s">
        <v>5818</v>
      </c>
      <c r="H1063" s="3" t="s">
        <v>4839</v>
      </c>
      <c r="I1063" s="3" t="s">
        <v>5819</v>
      </c>
      <c r="J1063" s="3" t="s">
        <v>4833</v>
      </c>
      <c r="K1063" s="3" t="s">
        <v>5820</v>
      </c>
      <c r="L1063" s="3"/>
      <c r="M1063" s="4"/>
      <c r="N1063" s="3" t="s">
        <v>37</v>
      </c>
      <c r="O1063" s="3" t="s">
        <v>52</v>
      </c>
      <c r="P1063" s="5">
        <v>12</v>
      </c>
      <c r="Q1063" s="5">
        <v>224</v>
      </c>
      <c r="R1063" s="5">
        <v>12</v>
      </c>
      <c r="S1063" s="5">
        <v>215</v>
      </c>
    </row>
    <row r="1064" spans="1:19" ht="28" x14ac:dyDescent="0.15">
      <c r="A1064" s="2">
        <f>HYPERLINK("https://open-school.uspishnemisto.com.ua/school/70203/", 70203)</f>
        <v>70203</v>
      </c>
      <c r="B1064" s="3" t="s">
        <v>5821</v>
      </c>
      <c r="C1064" s="3" t="s">
        <v>31</v>
      </c>
      <c r="D1064" s="3" t="s">
        <v>32</v>
      </c>
      <c r="E1064" s="4" t="s">
        <v>22</v>
      </c>
      <c r="F1064" s="4" t="s">
        <v>5822</v>
      </c>
      <c r="G1064" s="4" t="s">
        <v>5823</v>
      </c>
      <c r="H1064" s="3" t="s">
        <v>4839</v>
      </c>
      <c r="I1064" s="3" t="s">
        <v>5824</v>
      </c>
      <c r="J1064" s="3" t="s">
        <v>5825</v>
      </c>
      <c r="K1064" s="3" t="s">
        <v>5826</v>
      </c>
      <c r="L1064" s="3" t="s">
        <v>5827</v>
      </c>
      <c r="M1064" s="4"/>
      <c r="N1064" s="3" t="s">
        <v>37</v>
      </c>
      <c r="O1064" s="3" t="s">
        <v>52</v>
      </c>
      <c r="P1064" s="5">
        <v>20</v>
      </c>
      <c r="Q1064" s="5">
        <v>397</v>
      </c>
      <c r="R1064" s="5">
        <v>19</v>
      </c>
      <c r="S1064" s="5">
        <v>377</v>
      </c>
    </row>
    <row r="1065" spans="1:19" ht="42" x14ac:dyDescent="0.15">
      <c r="A1065" s="2">
        <f>HYPERLINK("https://open-school.uspishnemisto.com.ua/school/70204/", 70204)</f>
        <v>70204</v>
      </c>
      <c r="B1065" s="3" t="s">
        <v>5828</v>
      </c>
      <c r="C1065" s="3" t="s">
        <v>54</v>
      </c>
      <c r="D1065" s="3" t="s">
        <v>32</v>
      </c>
      <c r="E1065" s="4" t="s">
        <v>22</v>
      </c>
      <c r="F1065" s="4" t="s">
        <v>5829</v>
      </c>
      <c r="G1065" s="4" t="s">
        <v>5830</v>
      </c>
      <c r="H1065" s="3" t="s">
        <v>4839</v>
      </c>
      <c r="I1065" s="3" t="s">
        <v>5831</v>
      </c>
      <c r="J1065" s="3" t="s">
        <v>5832</v>
      </c>
      <c r="K1065" s="3" t="s">
        <v>5833</v>
      </c>
      <c r="L1065" s="3"/>
      <c r="M1065" s="4"/>
      <c r="N1065" s="3" t="s">
        <v>37</v>
      </c>
      <c r="O1065" s="3" t="s">
        <v>46</v>
      </c>
      <c r="P1065" s="5">
        <v>11</v>
      </c>
      <c r="Q1065" s="5">
        <v>145</v>
      </c>
      <c r="R1065" s="5">
        <v>11</v>
      </c>
      <c r="S1065" s="5">
        <v>137</v>
      </c>
    </row>
    <row r="1066" spans="1:19" ht="28" x14ac:dyDescent="0.15">
      <c r="A1066" s="2">
        <f>HYPERLINK("https://open-school.uspishnemisto.com.ua/school/70205/", 70205)</f>
        <v>70205</v>
      </c>
      <c r="B1066" s="3" t="s">
        <v>5834</v>
      </c>
      <c r="C1066" s="3" t="s">
        <v>31</v>
      </c>
      <c r="D1066" s="3" t="s">
        <v>60</v>
      </c>
      <c r="E1066" s="4" t="s">
        <v>22</v>
      </c>
      <c r="F1066" s="4" t="s">
        <v>5829</v>
      </c>
      <c r="G1066" s="4" t="s">
        <v>5835</v>
      </c>
      <c r="H1066" s="3" t="s">
        <v>4839</v>
      </c>
      <c r="I1066" s="3" t="s">
        <v>5836</v>
      </c>
      <c r="J1066" s="3" t="s">
        <v>5837</v>
      </c>
      <c r="K1066" s="3" t="s">
        <v>5838</v>
      </c>
      <c r="L1066" s="3"/>
      <c r="M1066" s="4"/>
      <c r="N1066" s="3" t="s">
        <v>37</v>
      </c>
      <c r="O1066" s="3" t="s">
        <v>52</v>
      </c>
      <c r="P1066" s="5">
        <v>3</v>
      </c>
      <c r="Q1066" s="5">
        <v>24</v>
      </c>
      <c r="R1066" s="5">
        <v>2</v>
      </c>
      <c r="S1066" s="5">
        <v>23</v>
      </c>
    </row>
    <row r="1067" spans="1:19" ht="28" x14ac:dyDescent="0.15">
      <c r="A1067" s="2">
        <f>HYPERLINK("https://open-school.uspishnemisto.com.ua/school/70206/", 70206)</f>
        <v>70206</v>
      </c>
      <c r="B1067" s="3" t="s">
        <v>5839</v>
      </c>
      <c r="C1067" s="3" t="s">
        <v>31</v>
      </c>
      <c r="D1067" s="3" t="s">
        <v>175</v>
      </c>
      <c r="E1067" s="4" t="s">
        <v>22</v>
      </c>
      <c r="F1067" s="4" t="s">
        <v>5840</v>
      </c>
      <c r="G1067" s="4" t="s">
        <v>5841</v>
      </c>
      <c r="H1067" s="3" t="s">
        <v>4839</v>
      </c>
      <c r="I1067" s="3" t="s">
        <v>5842</v>
      </c>
      <c r="J1067" s="3" t="s">
        <v>5843</v>
      </c>
      <c r="K1067" s="3" t="s">
        <v>5844</v>
      </c>
      <c r="L1067" s="3"/>
      <c r="M1067" s="4"/>
      <c r="N1067" s="3" t="s">
        <v>37</v>
      </c>
      <c r="O1067" s="3" t="s">
        <v>46</v>
      </c>
      <c r="P1067" s="5">
        <v>8</v>
      </c>
      <c r="Q1067" s="5">
        <v>72</v>
      </c>
      <c r="R1067" s="5">
        <v>8</v>
      </c>
      <c r="S1067" s="5">
        <v>70</v>
      </c>
    </row>
    <row r="1068" spans="1:19" ht="28" x14ac:dyDescent="0.15">
      <c r="A1068" s="2">
        <f>HYPERLINK("https://open-school.uspishnemisto.com.ua/school/70207/", 70207)</f>
        <v>70207</v>
      </c>
      <c r="B1068" s="3" t="s">
        <v>5845</v>
      </c>
      <c r="C1068" s="3" t="s">
        <v>31</v>
      </c>
      <c r="D1068" s="3" t="s">
        <v>32</v>
      </c>
      <c r="E1068" s="4" t="s">
        <v>22</v>
      </c>
      <c r="F1068" s="4" t="s">
        <v>5846</v>
      </c>
      <c r="G1068" s="4" t="s">
        <v>5847</v>
      </c>
      <c r="H1068" s="3" t="s">
        <v>4839</v>
      </c>
      <c r="I1068" s="3" t="s">
        <v>5848</v>
      </c>
      <c r="J1068" s="3" t="s">
        <v>5849</v>
      </c>
      <c r="K1068" s="3" t="s">
        <v>5850</v>
      </c>
      <c r="L1068" s="3" t="s">
        <v>5851</v>
      </c>
      <c r="M1068" s="4"/>
      <c r="N1068" s="3" t="s">
        <v>37</v>
      </c>
      <c r="O1068" s="3" t="s">
        <v>52</v>
      </c>
      <c r="P1068" s="5">
        <v>14</v>
      </c>
      <c r="Q1068" s="5">
        <v>300</v>
      </c>
      <c r="R1068" s="5">
        <v>13</v>
      </c>
      <c r="S1068" s="5">
        <v>284</v>
      </c>
    </row>
    <row r="1069" spans="1:19" ht="28" x14ac:dyDescent="0.15">
      <c r="A1069" s="2">
        <f>HYPERLINK("https://open-school.uspishnemisto.com.ua/school/70208/", 70208)</f>
        <v>70208</v>
      </c>
      <c r="B1069" s="3" t="s">
        <v>5852</v>
      </c>
      <c r="C1069" s="3" t="s">
        <v>31</v>
      </c>
      <c r="D1069" s="3" t="s">
        <v>32</v>
      </c>
      <c r="E1069" s="4" t="s">
        <v>22</v>
      </c>
      <c r="F1069" s="4" t="s">
        <v>5853</v>
      </c>
      <c r="G1069" s="4" t="s">
        <v>5854</v>
      </c>
      <c r="H1069" s="3" t="s">
        <v>4839</v>
      </c>
      <c r="I1069" s="3" t="s">
        <v>5855</v>
      </c>
      <c r="J1069" s="3" t="s">
        <v>5856</v>
      </c>
      <c r="K1069" s="3"/>
      <c r="L1069" s="3"/>
      <c r="M1069" s="4"/>
      <c r="N1069" s="3" t="s">
        <v>37</v>
      </c>
      <c r="O1069" s="3" t="s">
        <v>46</v>
      </c>
      <c r="P1069" s="5">
        <v>11</v>
      </c>
      <c r="Q1069" s="5">
        <v>179</v>
      </c>
      <c r="R1069" s="5">
        <v>11</v>
      </c>
      <c r="S1069" s="5">
        <v>183</v>
      </c>
    </row>
    <row r="1070" spans="1:19" ht="28" x14ac:dyDescent="0.15">
      <c r="A1070" s="2">
        <f>HYPERLINK("https://open-school.uspishnemisto.com.ua/school/70209/", 70209)</f>
        <v>70209</v>
      </c>
      <c r="B1070" s="3" t="s">
        <v>5857</v>
      </c>
      <c r="C1070" s="3" t="s">
        <v>31</v>
      </c>
      <c r="D1070" s="3" t="s">
        <v>32</v>
      </c>
      <c r="E1070" s="4" t="s">
        <v>22</v>
      </c>
      <c r="F1070" s="4" t="s">
        <v>5858</v>
      </c>
      <c r="G1070" s="4" t="s">
        <v>5859</v>
      </c>
      <c r="H1070" s="3" t="s">
        <v>4839</v>
      </c>
      <c r="I1070" s="3" t="s">
        <v>5860</v>
      </c>
      <c r="J1070" s="3" t="s">
        <v>2820</v>
      </c>
      <c r="K1070" s="3" t="s">
        <v>5861</v>
      </c>
      <c r="L1070" s="3"/>
      <c r="M1070" s="4"/>
      <c r="N1070" s="3" t="s">
        <v>37</v>
      </c>
      <c r="O1070" s="3" t="s">
        <v>52</v>
      </c>
      <c r="P1070" s="5">
        <v>11</v>
      </c>
      <c r="Q1070" s="5">
        <v>152</v>
      </c>
      <c r="R1070" s="5">
        <v>11</v>
      </c>
      <c r="S1070" s="5">
        <v>152</v>
      </c>
    </row>
    <row r="1071" spans="1:19" ht="28" x14ac:dyDescent="0.15">
      <c r="A1071" s="2">
        <f>HYPERLINK("https://open-school.uspishnemisto.com.ua/school/70210/", 70210)</f>
        <v>70210</v>
      </c>
      <c r="B1071" s="3" t="s">
        <v>5862</v>
      </c>
      <c r="C1071" s="3" t="s">
        <v>31</v>
      </c>
      <c r="D1071" s="3" t="s">
        <v>32</v>
      </c>
      <c r="E1071" s="4" t="s">
        <v>22</v>
      </c>
      <c r="F1071" s="4" t="s">
        <v>5863</v>
      </c>
      <c r="G1071" s="4" t="s">
        <v>5864</v>
      </c>
      <c r="H1071" s="3" t="s">
        <v>4839</v>
      </c>
      <c r="I1071" s="3" t="s">
        <v>5865</v>
      </c>
      <c r="J1071" s="3" t="s">
        <v>5866</v>
      </c>
      <c r="K1071" s="3" t="s">
        <v>5867</v>
      </c>
      <c r="L1071" s="3"/>
      <c r="M1071" s="4"/>
      <c r="N1071" s="3" t="s">
        <v>37</v>
      </c>
      <c r="O1071" s="3" t="s">
        <v>123</v>
      </c>
      <c r="P1071" s="5">
        <v>11</v>
      </c>
      <c r="Q1071" s="5">
        <v>171</v>
      </c>
      <c r="R1071" s="5">
        <v>11</v>
      </c>
      <c r="S1071" s="5">
        <v>170</v>
      </c>
    </row>
    <row r="1072" spans="1:19" ht="28" x14ac:dyDescent="0.15">
      <c r="A1072" s="2">
        <f>HYPERLINK("https://open-school.uspishnemisto.com.ua/school/70211/", 70211)</f>
        <v>70211</v>
      </c>
      <c r="B1072" s="3" t="s">
        <v>5868</v>
      </c>
      <c r="C1072" s="3" t="s">
        <v>31</v>
      </c>
      <c r="D1072" s="3" t="s">
        <v>32</v>
      </c>
      <c r="E1072" s="4" t="s">
        <v>22</v>
      </c>
      <c r="F1072" s="4" t="s">
        <v>5869</v>
      </c>
      <c r="G1072" s="4" t="s">
        <v>5870</v>
      </c>
      <c r="H1072" s="3" t="s">
        <v>4839</v>
      </c>
      <c r="I1072" s="3" t="s">
        <v>5871</v>
      </c>
      <c r="J1072" s="3" t="s">
        <v>5872</v>
      </c>
      <c r="K1072" s="3" t="s">
        <v>5873</v>
      </c>
      <c r="L1072" s="3"/>
      <c r="M1072" s="4"/>
      <c r="N1072" s="3" t="s">
        <v>37</v>
      </c>
      <c r="O1072" s="3" t="s">
        <v>46</v>
      </c>
      <c r="P1072" s="5">
        <v>11</v>
      </c>
      <c r="Q1072" s="5">
        <v>175</v>
      </c>
      <c r="R1072" s="5">
        <v>11</v>
      </c>
      <c r="S1072" s="5">
        <v>168</v>
      </c>
    </row>
    <row r="1073" spans="1:19" ht="28" x14ac:dyDescent="0.15">
      <c r="A1073" s="2">
        <f>HYPERLINK("https://open-school.uspishnemisto.com.ua/school/70212/", 70212)</f>
        <v>70212</v>
      </c>
      <c r="B1073" s="3" t="s">
        <v>5874</v>
      </c>
      <c r="C1073" s="3" t="s">
        <v>31</v>
      </c>
      <c r="D1073" s="3" t="s">
        <v>60</v>
      </c>
      <c r="E1073" s="4" t="s">
        <v>22</v>
      </c>
      <c r="F1073" s="4" t="s">
        <v>5875</v>
      </c>
      <c r="G1073" s="4" t="s">
        <v>5876</v>
      </c>
      <c r="H1073" s="3" t="s">
        <v>4839</v>
      </c>
      <c r="I1073" s="3" t="s">
        <v>5877</v>
      </c>
      <c r="J1073" s="3" t="s">
        <v>5878</v>
      </c>
      <c r="K1073" s="3" t="s">
        <v>5879</v>
      </c>
      <c r="L1073" s="3"/>
      <c r="M1073" s="4"/>
      <c r="N1073" s="3" t="s">
        <v>37</v>
      </c>
      <c r="O1073" s="3" t="s">
        <v>46</v>
      </c>
      <c r="P1073" s="5">
        <v>4</v>
      </c>
      <c r="Q1073" s="5">
        <v>52</v>
      </c>
      <c r="R1073" s="5">
        <v>4</v>
      </c>
      <c r="S1073" s="5">
        <v>55</v>
      </c>
    </row>
    <row r="1074" spans="1:19" ht="28" x14ac:dyDescent="0.15">
      <c r="A1074" s="2">
        <f>HYPERLINK("https://open-school.uspishnemisto.com.ua/school/70213/", 70213)</f>
        <v>70213</v>
      </c>
      <c r="B1074" s="3" t="s">
        <v>5880</v>
      </c>
      <c r="C1074" s="3" t="s">
        <v>31</v>
      </c>
      <c r="D1074" s="3" t="s">
        <v>32</v>
      </c>
      <c r="E1074" s="4" t="s">
        <v>22</v>
      </c>
      <c r="F1074" s="4" t="s">
        <v>5881</v>
      </c>
      <c r="G1074" s="4" t="s">
        <v>5882</v>
      </c>
      <c r="H1074" s="3" t="s">
        <v>4839</v>
      </c>
      <c r="I1074" s="3" t="s">
        <v>5883</v>
      </c>
      <c r="J1074" s="3" t="s">
        <v>5884</v>
      </c>
      <c r="K1074" s="3" t="s">
        <v>5885</v>
      </c>
      <c r="L1074" s="3"/>
      <c r="M1074" s="4"/>
      <c r="N1074" s="3" t="s">
        <v>37</v>
      </c>
      <c r="O1074" s="3" t="s">
        <v>46</v>
      </c>
      <c r="P1074" s="5">
        <v>11</v>
      </c>
      <c r="Q1074" s="5">
        <v>119</v>
      </c>
      <c r="R1074" s="5">
        <v>11</v>
      </c>
      <c r="S1074" s="5">
        <v>133</v>
      </c>
    </row>
    <row r="1075" spans="1:19" ht="28" x14ac:dyDescent="0.15">
      <c r="A1075" s="2">
        <f>HYPERLINK("https://open-school.uspishnemisto.com.ua/school/70214/", 70214)</f>
        <v>70214</v>
      </c>
      <c r="B1075" s="3" t="s">
        <v>5886</v>
      </c>
      <c r="C1075" s="3" t="s">
        <v>31</v>
      </c>
      <c r="D1075" s="3" t="s">
        <v>175</v>
      </c>
      <c r="E1075" s="4" t="s">
        <v>22</v>
      </c>
      <c r="F1075" s="4" t="s">
        <v>5887</v>
      </c>
      <c r="G1075" s="4" t="s">
        <v>5888</v>
      </c>
      <c r="H1075" s="3" t="s">
        <v>4839</v>
      </c>
      <c r="I1075" s="3" t="s">
        <v>5889</v>
      </c>
      <c r="J1075" s="3" t="s">
        <v>5890</v>
      </c>
      <c r="K1075" s="3" t="s">
        <v>5891</v>
      </c>
      <c r="L1075" s="3"/>
      <c r="M1075" s="4"/>
      <c r="N1075" s="3" t="s">
        <v>37</v>
      </c>
      <c r="O1075" s="3" t="s">
        <v>52</v>
      </c>
      <c r="P1075" s="5">
        <v>8</v>
      </c>
      <c r="Q1075" s="5">
        <v>53</v>
      </c>
      <c r="R1075" s="5">
        <v>8</v>
      </c>
      <c r="S1075" s="5">
        <v>60</v>
      </c>
    </row>
    <row r="1076" spans="1:19" ht="28" x14ac:dyDescent="0.15">
      <c r="A1076" s="2">
        <f>HYPERLINK("https://open-school.uspishnemisto.com.ua/school/70215/", 70215)</f>
        <v>70215</v>
      </c>
      <c r="B1076" s="3" t="s">
        <v>5892</v>
      </c>
      <c r="C1076" s="3" t="s">
        <v>31</v>
      </c>
      <c r="D1076" s="3" t="s">
        <v>175</v>
      </c>
      <c r="E1076" s="4" t="s">
        <v>22</v>
      </c>
      <c r="F1076" s="4" t="s">
        <v>5893</v>
      </c>
      <c r="G1076" s="4" t="s">
        <v>5894</v>
      </c>
      <c r="H1076" s="3" t="s">
        <v>4839</v>
      </c>
      <c r="I1076" s="3" t="s">
        <v>5895</v>
      </c>
      <c r="J1076" s="3" t="s">
        <v>5896</v>
      </c>
      <c r="K1076" s="3" t="s">
        <v>5897</v>
      </c>
      <c r="L1076" s="3"/>
      <c r="M1076" s="4"/>
      <c r="N1076" s="3" t="s">
        <v>37</v>
      </c>
      <c r="O1076" s="3" t="s">
        <v>52</v>
      </c>
      <c r="P1076" s="5">
        <v>9</v>
      </c>
      <c r="Q1076" s="5">
        <v>70</v>
      </c>
      <c r="R1076" s="5">
        <v>8</v>
      </c>
      <c r="S1076" s="5">
        <v>67</v>
      </c>
    </row>
    <row r="1077" spans="1:19" ht="28" x14ac:dyDescent="0.15">
      <c r="A1077" s="2">
        <f>HYPERLINK("https://open-school.uspishnemisto.com.ua/school/70216/", 70216)</f>
        <v>70216</v>
      </c>
      <c r="B1077" s="3" t="s">
        <v>5898</v>
      </c>
      <c r="C1077" s="3" t="s">
        <v>31</v>
      </c>
      <c r="D1077" s="3" t="s">
        <v>175</v>
      </c>
      <c r="E1077" s="4" t="s">
        <v>22</v>
      </c>
      <c r="F1077" s="4" t="s">
        <v>5899</v>
      </c>
      <c r="G1077" s="4" t="s">
        <v>5900</v>
      </c>
      <c r="H1077" s="3" t="s">
        <v>4839</v>
      </c>
      <c r="I1077" s="3" t="s">
        <v>5901</v>
      </c>
      <c r="J1077" s="3" t="s">
        <v>356</v>
      </c>
      <c r="K1077" s="3" t="s">
        <v>5902</v>
      </c>
      <c r="L1077" s="3"/>
      <c r="M1077" s="4"/>
      <c r="N1077" s="3" t="s">
        <v>37</v>
      </c>
      <c r="O1077" s="3" t="s">
        <v>46</v>
      </c>
      <c r="P1077" s="5">
        <v>9</v>
      </c>
      <c r="Q1077" s="5">
        <v>71</v>
      </c>
      <c r="R1077" s="5">
        <v>9</v>
      </c>
      <c r="S1077" s="5">
        <v>75</v>
      </c>
    </row>
    <row r="1078" spans="1:19" ht="28" x14ac:dyDescent="0.15">
      <c r="A1078" s="2">
        <f>HYPERLINK("https://open-school.uspishnemisto.com.ua/school/70217/", 70217)</f>
        <v>70217</v>
      </c>
      <c r="B1078" s="3" t="s">
        <v>5903</v>
      </c>
      <c r="C1078" s="3" t="s">
        <v>31</v>
      </c>
      <c r="D1078" s="3" t="s">
        <v>175</v>
      </c>
      <c r="E1078" s="4" t="s">
        <v>22</v>
      </c>
      <c r="F1078" s="4" t="s">
        <v>5904</v>
      </c>
      <c r="G1078" s="4" t="s">
        <v>5905</v>
      </c>
      <c r="H1078" s="3" t="s">
        <v>4839</v>
      </c>
      <c r="I1078" s="3" t="s">
        <v>5906</v>
      </c>
      <c r="J1078" s="3" t="s">
        <v>5907</v>
      </c>
      <c r="K1078" s="3" t="s">
        <v>5908</v>
      </c>
      <c r="L1078" s="3"/>
      <c r="M1078" s="4"/>
      <c r="N1078" s="3" t="s">
        <v>37</v>
      </c>
      <c r="O1078" s="3" t="s">
        <v>46</v>
      </c>
      <c r="P1078" s="5">
        <v>9</v>
      </c>
      <c r="Q1078" s="5">
        <v>92</v>
      </c>
      <c r="R1078" s="5">
        <v>9</v>
      </c>
      <c r="S1078" s="5">
        <v>89</v>
      </c>
    </row>
    <row r="1079" spans="1:19" ht="28" x14ac:dyDescent="0.15">
      <c r="A1079" s="2">
        <f>HYPERLINK("https://open-school.uspishnemisto.com.ua/school/70218/", 70218)</f>
        <v>70218</v>
      </c>
      <c r="B1079" s="3" t="s">
        <v>5909</v>
      </c>
      <c r="C1079" s="3" t="s">
        <v>31</v>
      </c>
      <c r="D1079" s="3" t="s">
        <v>175</v>
      </c>
      <c r="E1079" s="4" t="s">
        <v>22</v>
      </c>
      <c r="F1079" s="4" t="s">
        <v>5910</v>
      </c>
      <c r="G1079" s="4" t="s">
        <v>5911</v>
      </c>
      <c r="H1079" s="3" t="s">
        <v>4839</v>
      </c>
      <c r="I1079" s="3" t="s">
        <v>5912</v>
      </c>
      <c r="J1079" s="3" t="s">
        <v>5913</v>
      </c>
      <c r="K1079" s="3" t="s">
        <v>5914</v>
      </c>
      <c r="L1079" s="3"/>
      <c r="M1079" s="4"/>
      <c r="N1079" s="3" t="s">
        <v>37</v>
      </c>
      <c r="O1079" s="3" t="s">
        <v>46</v>
      </c>
      <c r="P1079" s="5">
        <v>9</v>
      </c>
      <c r="Q1079" s="5">
        <v>94</v>
      </c>
      <c r="R1079" s="5">
        <v>9</v>
      </c>
      <c r="S1079" s="5">
        <v>89</v>
      </c>
    </row>
    <row r="1080" spans="1:19" ht="28" x14ac:dyDescent="0.15">
      <c r="A1080" s="2">
        <f>HYPERLINK("https://open-school.uspishnemisto.com.ua/school/70219/", 70219)</f>
        <v>70219</v>
      </c>
      <c r="B1080" s="3" t="s">
        <v>5915</v>
      </c>
      <c r="C1080" s="3" t="s">
        <v>31</v>
      </c>
      <c r="D1080" s="3" t="s">
        <v>32</v>
      </c>
      <c r="E1080" s="4" t="s">
        <v>22</v>
      </c>
      <c r="F1080" s="4" t="s">
        <v>5916</v>
      </c>
      <c r="G1080" s="4" t="s">
        <v>5917</v>
      </c>
      <c r="H1080" s="3" t="s">
        <v>4839</v>
      </c>
      <c r="I1080" s="3" t="s">
        <v>5918</v>
      </c>
      <c r="J1080" s="3" t="s">
        <v>2226</v>
      </c>
      <c r="K1080" s="3" t="s">
        <v>5919</v>
      </c>
      <c r="L1080" s="3"/>
      <c r="M1080" s="4"/>
      <c r="N1080" s="3" t="s">
        <v>37</v>
      </c>
      <c r="O1080" s="3" t="s">
        <v>46</v>
      </c>
      <c r="P1080" s="5">
        <v>11</v>
      </c>
      <c r="Q1080" s="5">
        <v>164</v>
      </c>
      <c r="R1080" s="5">
        <v>11</v>
      </c>
      <c r="S1080" s="5">
        <v>163</v>
      </c>
    </row>
    <row r="1081" spans="1:19" ht="28" x14ac:dyDescent="0.15">
      <c r="A1081" s="2">
        <f>HYPERLINK("https://open-school.uspishnemisto.com.ua/school/70220/", 70220)</f>
        <v>70220</v>
      </c>
      <c r="B1081" s="3" t="s">
        <v>5920</v>
      </c>
      <c r="C1081" s="3" t="s">
        <v>31</v>
      </c>
      <c r="D1081" s="3" t="s">
        <v>175</v>
      </c>
      <c r="E1081" s="4" t="s">
        <v>22</v>
      </c>
      <c r="F1081" s="4" t="s">
        <v>5921</v>
      </c>
      <c r="G1081" s="4" t="s">
        <v>5922</v>
      </c>
      <c r="H1081" s="3" t="s">
        <v>4839</v>
      </c>
      <c r="I1081" s="3" t="s">
        <v>5923</v>
      </c>
      <c r="J1081" s="3" t="s">
        <v>5924</v>
      </c>
      <c r="K1081" s="3" t="s">
        <v>5925</v>
      </c>
      <c r="L1081" s="3"/>
      <c r="M1081" s="4"/>
      <c r="N1081" s="3" t="s">
        <v>37</v>
      </c>
      <c r="O1081" s="3" t="s">
        <v>46</v>
      </c>
      <c r="P1081" s="5">
        <v>4</v>
      </c>
      <c r="Q1081" s="5">
        <v>41</v>
      </c>
      <c r="R1081" s="5">
        <v>6</v>
      </c>
      <c r="S1081" s="5">
        <v>48</v>
      </c>
    </row>
    <row r="1082" spans="1:19" ht="28" x14ac:dyDescent="0.15">
      <c r="A1082" s="2">
        <f>HYPERLINK("https://open-school.uspishnemisto.com.ua/school/70221/", 70221)</f>
        <v>70221</v>
      </c>
      <c r="B1082" s="3" t="s">
        <v>5926</v>
      </c>
      <c r="C1082" s="3" t="s">
        <v>31</v>
      </c>
      <c r="D1082" s="3" t="s">
        <v>32</v>
      </c>
      <c r="E1082" s="4" t="s">
        <v>22</v>
      </c>
      <c r="F1082" s="4" t="s">
        <v>5927</v>
      </c>
      <c r="G1082" s="4" t="s">
        <v>5928</v>
      </c>
      <c r="H1082" s="3" t="s">
        <v>4839</v>
      </c>
      <c r="I1082" s="3" t="s">
        <v>5929</v>
      </c>
      <c r="J1082" s="3" t="s">
        <v>5930</v>
      </c>
      <c r="K1082" s="3" t="s">
        <v>5931</v>
      </c>
      <c r="L1082" s="3" t="s">
        <v>5932</v>
      </c>
      <c r="M1082" s="4"/>
      <c r="N1082" s="3" t="s">
        <v>37</v>
      </c>
      <c r="O1082" s="3" t="s">
        <v>2740</v>
      </c>
      <c r="P1082" s="5">
        <v>12</v>
      </c>
      <c r="Q1082" s="5">
        <v>228</v>
      </c>
      <c r="R1082" s="5">
        <v>12</v>
      </c>
      <c r="S1082" s="5">
        <v>220</v>
      </c>
    </row>
    <row r="1083" spans="1:19" ht="28" x14ac:dyDescent="0.15">
      <c r="A1083" s="2">
        <f>HYPERLINK("https://open-school.uspishnemisto.com.ua/school/70222/", 70222)</f>
        <v>70222</v>
      </c>
      <c r="B1083" s="3" t="s">
        <v>5933</v>
      </c>
      <c r="C1083" s="3" t="s">
        <v>31</v>
      </c>
      <c r="D1083" s="3" t="s">
        <v>175</v>
      </c>
      <c r="E1083" s="4" t="s">
        <v>22</v>
      </c>
      <c r="F1083" s="4" t="s">
        <v>5934</v>
      </c>
      <c r="G1083" s="4" t="s">
        <v>5935</v>
      </c>
      <c r="H1083" s="3" t="s">
        <v>4839</v>
      </c>
      <c r="I1083" s="3" t="s">
        <v>5936</v>
      </c>
      <c r="J1083" s="3" t="s">
        <v>5937</v>
      </c>
      <c r="K1083" s="3" t="s">
        <v>5938</v>
      </c>
      <c r="L1083" s="3"/>
      <c r="M1083" s="4"/>
      <c r="N1083" s="3" t="s">
        <v>37</v>
      </c>
      <c r="O1083" s="3" t="s">
        <v>46</v>
      </c>
      <c r="P1083" s="5">
        <v>9</v>
      </c>
      <c r="Q1083" s="5">
        <v>145</v>
      </c>
      <c r="R1083" s="5">
        <v>9</v>
      </c>
      <c r="S1083" s="5">
        <v>143</v>
      </c>
    </row>
    <row r="1084" spans="1:19" ht="28" x14ac:dyDescent="0.15">
      <c r="A1084" s="2">
        <f>HYPERLINK("https://open-school.uspishnemisto.com.ua/school/70223/", 70223)</f>
        <v>70223</v>
      </c>
      <c r="B1084" s="3" t="s">
        <v>5939</v>
      </c>
      <c r="C1084" s="3" t="s">
        <v>31</v>
      </c>
      <c r="D1084" s="3" t="s">
        <v>175</v>
      </c>
      <c r="E1084" s="4" t="s">
        <v>22</v>
      </c>
      <c r="F1084" s="4" t="s">
        <v>5940</v>
      </c>
      <c r="G1084" s="4" t="s">
        <v>5941</v>
      </c>
      <c r="H1084" s="3" t="s">
        <v>4839</v>
      </c>
      <c r="I1084" s="3" t="s">
        <v>5942</v>
      </c>
      <c r="J1084" s="3" t="s">
        <v>3064</v>
      </c>
      <c r="K1084" s="3" t="s">
        <v>5943</v>
      </c>
      <c r="L1084" s="3"/>
      <c r="M1084" s="4"/>
      <c r="N1084" s="3" t="s">
        <v>37</v>
      </c>
      <c r="O1084" s="3" t="s">
        <v>52</v>
      </c>
      <c r="P1084" s="5">
        <v>10</v>
      </c>
      <c r="Q1084" s="5">
        <v>191</v>
      </c>
      <c r="R1084" s="5">
        <v>9</v>
      </c>
      <c r="S1084" s="5">
        <v>181</v>
      </c>
    </row>
    <row r="1085" spans="1:19" ht="28" x14ac:dyDescent="0.15">
      <c r="A1085" s="2">
        <f>HYPERLINK("https://open-school.uspishnemisto.com.ua/school/70224/", 70224)</f>
        <v>70224</v>
      </c>
      <c r="B1085" s="3" t="s">
        <v>5944</v>
      </c>
      <c r="C1085" s="3" t="s">
        <v>31</v>
      </c>
      <c r="D1085" s="3" t="s">
        <v>32</v>
      </c>
      <c r="E1085" s="4" t="s">
        <v>22</v>
      </c>
      <c r="F1085" s="4" t="s">
        <v>5945</v>
      </c>
      <c r="G1085" s="4" t="s">
        <v>5946</v>
      </c>
      <c r="H1085" s="3" t="s">
        <v>4839</v>
      </c>
      <c r="I1085" s="3" t="s">
        <v>5947</v>
      </c>
      <c r="J1085" s="3" t="s">
        <v>5948</v>
      </c>
      <c r="K1085" s="3" t="s">
        <v>5949</v>
      </c>
      <c r="L1085" s="3" t="s">
        <v>5950</v>
      </c>
      <c r="M1085" s="4"/>
      <c r="N1085" s="3" t="s">
        <v>37</v>
      </c>
      <c r="O1085" s="3" t="s">
        <v>46</v>
      </c>
      <c r="P1085" s="5">
        <v>11</v>
      </c>
      <c r="Q1085" s="5">
        <v>219</v>
      </c>
      <c r="R1085" s="5">
        <v>12</v>
      </c>
      <c r="S1085" s="5">
        <v>227</v>
      </c>
    </row>
    <row r="1086" spans="1:19" ht="28" x14ac:dyDescent="0.15">
      <c r="A1086" s="2">
        <f>HYPERLINK("https://open-school.uspishnemisto.com.ua/school/70225/", 70225)</f>
        <v>70225</v>
      </c>
      <c r="B1086" s="3" t="s">
        <v>5951</v>
      </c>
      <c r="C1086" s="3" t="s">
        <v>31</v>
      </c>
      <c r="D1086" s="3" t="s">
        <v>32</v>
      </c>
      <c r="E1086" s="4" t="s">
        <v>22</v>
      </c>
      <c r="F1086" s="4" t="s">
        <v>5952</v>
      </c>
      <c r="G1086" s="4" t="s">
        <v>5953</v>
      </c>
      <c r="H1086" s="3" t="s">
        <v>4839</v>
      </c>
      <c r="I1086" s="3" t="s">
        <v>5954</v>
      </c>
      <c r="J1086" s="3" t="s">
        <v>5955</v>
      </c>
      <c r="K1086" s="3" t="s">
        <v>5956</v>
      </c>
      <c r="L1086" s="3" t="s">
        <v>5957</v>
      </c>
      <c r="M1086" s="4"/>
      <c r="N1086" s="3" t="s">
        <v>37</v>
      </c>
      <c r="O1086" s="3" t="s">
        <v>46</v>
      </c>
      <c r="P1086" s="5">
        <v>34</v>
      </c>
      <c r="Q1086" s="5">
        <v>488</v>
      </c>
      <c r="R1086" s="5">
        <v>34</v>
      </c>
      <c r="S1086" s="5">
        <v>489</v>
      </c>
    </row>
    <row r="1087" spans="1:19" ht="42" x14ac:dyDescent="0.15">
      <c r="A1087" s="2">
        <f>HYPERLINK("https://open-school.uspishnemisto.com.ua/school/70226/", 70226)</f>
        <v>70226</v>
      </c>
      <c r="B1087" s="3" t="s">
        <v>5958</v>
      </c>
      <c r="C1087" s="3" t="s">
        <v>31</v>
      </c>
      <c r="D1087" s="3" t="s">
        <v>60</v>
      </c>
      <c r="E1087" s="4" t="s">
        <v>22</v>
      </c>
      <c r="F1087" s="4" t="s">
        <v>5959</v>
      </c>
      <c r="G1087" s="4" t="s">
        <v>5960</v>
      </c>
      <c r="H1087" s="3" t="s">
        <v>4839</v>
      </c>
      <c r="I1087" s="3" t="s">
        <v>5961</v>
      </c>
      <c r="J1087" s="3" t="s">
        <v>3994</v>
      </c>
      <c r="K1087" s="3" t="s">
        <v>5962</v>
      </c>
      <c r="L1087" s="3"/>
      <c r="M1087" s="4"/>
      <c r="N1087" s="3"/>
      <c r="O1087" s="3"/>
      <c r="P1087" s="5">
        <v>0</v>
      </c>
      <c r="Q1087" s="5">
        <v>0</v>
      </c>
      <c r="R1087" s="5"/>
      <c r="S1087" s="5"/>
    </row>
    <row r="1088" spans="1:19" ht="28" x14ac:dyDescent="0.15">
      <c r="A1088" s="2">
        <f>HYPERLINK("https://open-school.uspishnemisto.com.ua/school/70227/", 70227)</f>
        <v>70227</v>
      </c>
      <c r="B1088" s="3" t="s">
        <v>5963</v>
      </c>
      <c r="C1088" s="3" t="s">
        <v>31</v>
      </c>
      <c r="D1088" s="3" t="s">
        <v>175</v>
      </c>
      <c r="E1088" s="4" t="s">
        <v>22</v>
      </c>
      <c r="F1088" s="4" t="s">
        <v>5952</v>
      </c>
      <c r="G1088" s="4" t="s">
        <v>5964</v>
      </c>
      <c r="H1088" s="3" t="s">
        <v>4839</v>
      </c>
      <c r="I1088" s="3" t="s">
        <v>5965</v>
      </c>
      <c r="J1088" s="3" t="s">
        <v>2063</v>
      </c>
      <c r="K1088" s="3" t="s">
        <v>5966</v>
      </c>
      <c r="L1088" s="3"/>
      <c r="M1088" s="4"/>
      <c r="N1088" s="3"/>
      <c r="O1088" s="3"/>
      <c r="P1088" s="5">
        <v>0</v>
      </c>
      <c r="Q1088" s="5">
        <v>0</v>
      </c>
      <c r="R1088" s="5"/>
      <c r="S1088" s="5"/>
    </row>
    <row r="1089" spans="1:19" ht="28" x14ac:dyDescent="0.15">
      <c r="A1089" s="2">
        <f>HYPERLINK("https://open-school.uspishnemisto.com.ua/school/70228/", 70228)</f>
        <v>70228</v>
      </c>
      <c r="B1089" s="3" t="s">
        <v>5967</v>
      </c>
      <c r="C1089" s="3" t="s">
        <v>31</v>
      </c>
      <c r="D1089" s="3" t="s">
        <v>60</v>
      </c>
      <c r="E1089" s="4" t="s">
        <v>22</v>
      </c>
      <c r="F1089" s="4" t="s">
        <v>5968</v>
      </c>
      <c r="G1089" s="4" t="s">
        <v>5969</v>
      </c>
      <c r="H1089" s="3" t="s">
        <v>4839</v>
      </c>
      <c r="I1089" s="3" t="s">
        <v>5970</v>
      </c>
      <c r="J1089" s="3" t="s">
        <v>5971</v>
      </c>
      <c r="K1089" s="3" t="s">
        <v>5972</v>
      </c>
      <c r="L1089" s="3"/>
      <c r="M1089" s="4"/>
      <c r="N1089" s="3"/>
      <c r="O1089" s="3"/>
      <c r="P1089" s="5">
        <v>0</v>
      </c>
      <c r="Q1089" s="5">
        <v>0</v>
      </c>
      <c r="R1089" s="5"/>
      <c r="S1089" s="5"/>
    </row>
    <row r="1090" spans="1:19" ht="28" x14ac:dyDescent="0.15">
      <c r="A1090" s="2">
        <f>HYPERLINK("https://open-school.uspishnemisto.com.ua/school/70229/", 70229)</f>
        <v>70229</v>
      </c>
      <c r="B1090" s="3" t="s">
        <v>5973</v>
      </c>
      <c r="C1090" s="3" t="s">
        <v>31</v>
      </c>
      <c r="D1090" s="3" t="s">
        <v>32</v>
      </c>
      <c r="E1090" s="4" t="s">
        <v>22</v>
      </c>
      <c r="F1090" s="4" t="s">
        <v>5974</v>
      </c>
      <c r="G1090" s="4" t="s">
        <v>5975</v>
      </c>
      <c r="H1090" s="3" t="s">
        <v>4839</v>
      </c>
      <c r="I1090" s="3" t="s">
        <v>5976</v>
      </c>
      <c r="J1090" s="3" t="s">
        <v>792</v>
      </c>
      <c r="K1090" s="3" t="s">
        <v>5977</v>
      </c>
      <c r="L1090" s="3" t="s">
        <v>5978</v>
      </c>
      <c r="M1090" s="4"/>
      <c r="N1090" s="3" t="s">
        <v>37</v>
      </c>
      <c r="O1090" s="3" t="s">
        <v>52</v>
      </c>
      <c r="P1090" s="5">
        <v>11</v>
      </c>
      <c r="Q1090" s="5">
        <v>139</v>
      </c>
      <c r="R1090" s="5">
        <v>11</v>
      </c>
      <c r="S1090" s="5">
        <v>150</v>
      </c>
    </row>
    <row r="1091" spans="1:19" ht="28" x14ac:dyDescent="0.15">
      <c r="A1091" s="2">
        <f>HYPERLINK("https://open-school.uspishnemisto.com.ua/school/70230/", 70230)</f>
        <v>70230</v>
      </c>
      <c r="B1091" s="3" t="s">
        <v>5979</v>
      </c>
      <c r="C1091" s="3" t="s">
        <v>31</v>
      </c>
      <c r="D1091" s="3" t="s">
        <v>32</v>
      </c>
      <c r="E1091" s="4" t="s">
        <v>22</v>
      </c>
      <c r="F1091" s="4" t="s">
        <v>5980</v>
      </c>
      <c r="G1091" s="4" t="s">
        <v>5981</v>
      </c>
      <c r="H1091" s="3" t="s">
        <v>4839</v>
      </c>
      <c r="I1091" s="3" t="s">
        <v>5982</v>
      </c>
      <c r="J1091" s="3" t="s">
        <v>1636</v>
      </c>
      <c r="K1091" s="3" t="s">
        <v>5983</v>
      </c>
      <c r="L1091" s="3"/>
      <c r="M1091" s="4"/>
      <c r="N1091" s="3" t="s">
        <v>37</v>
      </c>
      <c r="O1091" s="3" t="s">
        <v>52</v>
      </c>
      <c r="P1091" s="5">
        <v>23</v>
      </c>
      <c r="Q1091" s="5">
        <v>534</v>
      </c>
      <c r="R1091" s="5">
        <v>22</v>
      </c>
      <c r="S1091" s="5">
        <v>512</v>
      </c>
    </row>
    <row r="1092" spans="1:19" ht="28" x14ac:dyDescent="0.15">
      <c r="A1092" s="2">
        <f>HYPERLINK("https://open-school.uspishnemisto.com.ua/school/70231/", 70231)</f>
        <v>70231</v>
      </c>
      <c r="B1092" s="3" t="s">
        <v>5984</v>
      </c>
      <c r="C1092" s="3" t="s">
        <v>31</v>
      </c>
      <c r="D1092" s="3" t="s">
        <v>175</v>
      </c>
      <c r="E1092" s="4" t="s">
        <v>22</v>
      </c>
      <c r="F1092" s="4" t="s">
        <v>5985</v>
      </c>
      <c r="G1092" s="4" t="s">
        <v>5986</v>
      </c>
      <c r="H1092" s="3" t="s">
        <v>4839</v>
      </c>
      <c r="I1092" s="3" t="s">
        <v>5987</v>
      </c>
      <c r="J1092" s="3" t="s">
        <v>4425</v>
      </c>
      <c r="K1092" s="3" t="s">
        <v>5988</v>
      </c>
      <c r="L1092" s="3"/>
      <c r="M1092" s="4"/>
      <c r="N1092" s="3" t="s">
        <v>37</v>
      </c>
      <c r="O1092" s="3" t="s">
        <v>46</v>
      </c>
      <c r="P1092" s="5">
        <v>9</v>
      </c>
      <c r="Q1092" s="5">
        <v>90</v>
      </c>
      <c r="R1092" s="5">
        <v>9</v>
      </c>
      <c r="S1092" s="5">
        <v>93</v>
      </c>
    </row>
    <row r="1093" spans="1:19" ht="28" x14ac:dyDescent="0.15">
      <c r="A1093" s="2">
        <f>HYPERLINK("https://open-school.uspishnemisto.com.ua/school/70232/", 70232)</f>
        <v>70232</v>
      </c>
      <c r="B1093" s="3" t="s">
        <v>5989</v>
      </c>
      <c r="C1093" s="3" t="s">
        <v>31</v>
      </c>
      <c r="D1093" s="3" t="s">
        <v>32</v>
      </c>
      <c r="E1093" s="4" t="s">
        <v>22</v>
      </c>
      <c r="F1093" s="4" t="s">
        <v>5990</v>
      </c>
      <c r="G1093" s="4" t="s">
        <v>5991</v>
      </c>
      <c r="H1093" s="3" t="s">
        <v>4839</v>
      </c>
      <c r="I1093" s="3" t="s">
        <v>5992</v>
      </c>
      <c r="J1093" s="3" t="s">
        <v>466</v>
      </c>
      <c r="K1093" s="3" t="s">
        <v>5993</v>
      </c>
      <c r="L1093" s="3"/>
      <c r="M1093" s="4"/>
      <c r="N1093" s="3" t="s">
        <v>37</v>
      </c>
      <c r="O1093" s="3" t="s">
        <v>46</v>
      </c>
      <c r="P1093" s="5">
        <v>15</v>
      </c>
      <c r="Q1093" s="5">
        <v>319</v>
      </c>
      <c r="R1093" s="5">
        <v>15</v>
      </c>
      <c r="S1093" s="5">
        <v>314</v>
      </c>
    </row>
    <row r="1094" spans="1:19" ht="28" x14ac:dyDescent="0.15">
      <c r="A1094" s="2">
        <f>HYPERLINK("https://open-school.uspishnemisto.com.ua/school/70233/", 70233)</f>
        <v>70233</v>
      </c>
      <c r="B1094" s="3" t="s">
        <v>5994</v>
      </c>
      <c r="C1094" s="3" t="s">
        <v>31</v>
      </c>
      <c r="D1094" s="3" t="s">
        <v>175</v>
      </c>
      <c r="E1094" s="4" t="s">
        <v>22</v>
      </c>
      <c r="F1094" s="4" t="s">
        <v>5995</v>
      </c>
      <c r="G1094" s="4" t="s">
        <v>5996</v>
      </c>
      <c r="H1094" s="3" t="s">
        <v>4839</v>
      </c>
      <c r="I1094" s="3" t="s">
        <v>5997</v>
      </c>
      <c r="J1094" s="3" t="s">
        <v>5998</v>
      </c>
      <c r="K1094" s="3" t="s">
        <v>5999</v>
      </c>
      <c r="L1094" s="3"/>
      <c r="M1094" s="4"/>
      <c r="N1094" s="3" t="s">
        <v>37</v>
      </c>
      <c r="O1094" s="3" t="s">
        <v>46</v>
      </c>
      <c r="P1094" s="5">
        <v>13</v>
      </c>
      <c r="Q1094" s="5">
        <v>240</v>
      </c>
      <c r="R1094" s="5">
        <v>13</v>
      </c>
      <c r="S1094" s="5">
        <v>243</v>
      </c>
    </row>
    <row r="1095" spans="1:19" ht="28" x14ac:dyDescent="0.15">
      <c r="A1095" s="2">
        <f>HYPERLINK("https://open-school.uspishnemisto.com.ua/school/70234/", 70234)</f>
        <v>70234</v>
      </c>
      <c r="B1095" s="3" t="s">
        <v>6000</v>
      </c>
      <c r="C1095" s="3" t="s">
        <v>31</v>
      </c>
      <c r="D1095" s="3" t="s">
        <v>175</v>
      </c>
      <c r="E1095" s="4" t="s">
        <v>22</v>
      </c>
      <c r="F1095" s="4" t="s">
        <v>6001</v>
      </c>
      <c r="G1095" s="4" t="s">
        <v>6002</v>
      </c>
      <c r="H1095" s="3" t="s">
        <v>4839</v>
      </c>
      <c r="I1095" s="3" t="s">
        <v>6003</v>
      </c>
      <c r="J1095" s="3" t="s">
        <v>6004</v>
      </c>
      <c r="K1095" s="3"/>
      <c r="L1095" s="3"/>
      <c r="M1095" s="4"/>
      <c r="N1095" s="3" t="s">
        <v>37</v>
      </c>
      <c r="O1095" s="3" t="s">
        <v>46</v>
      </c>
      <c r="P1095" s="5">
        <v>6</v>
      </c>
      <c r="Q1095" s="5">
        <v>42</v>
      </c>
      <c r="R1095" s="5">
        <v>5</v>
      </c>
      <c r="S1095" s="5">
        <v>40</v>
      </c>
    </row>
    <row r="1096" spans="1:19" ht="28" x14ac:dyDescent="0.15">
      <c r="A1096" s="2">
        <f>HYPERLINK("https://open-school.uspishnemisto.com.ua/school/70235/", 70235)</f>
        <v>70235</v>
      </c>
      <c r="B1096" s="3" t="s">
        <v>6005</v>
      </c>
      <c r="C1096" s="3" t="s">
        <v>31</v>
      </c>
      <c r="D1096" s="3" t="s">
        <v>32</v>
      </c>
      <c r="E1096" s="4" t="s">
        <v>22</v>
      </c>
      <c r="F1096" s="4" t="s">
        <v>6006</v>
      </c>
      <c r="G1096" s="4" t="s">
        <v>6007</v>
      </c>
      <c r="H1096" s="3" t="s">
        <v>4839</v>
      </c>
      <c r="I1096" s="3" t="s">
        <v>6008</v>
      </c>
      <c r="J1096" s="3" t="s">
        <v>3047</v>
      </c>
      <c r="K1096" s="3" t="s">
        <v>6009</v>
      </c>
      <c r="L1096" s="3"/>
      <c r="M1096" s="4"/>
      <c r="N1096" s="3" t="s">
        <v>37</v>
      </c>
      <c r="O1096" s="3" t="s">
        <v>46</v>
      </c>
      <c r="P1096" s="5">
        <v>11</v>
      </c>
      <c r="Q1096" s="5">
        <v>225</v>
      </c>
      <c r="R1096" s="5">
        <v>11</v>
      </c>
      <c r="S1096" s="5">
        <v>215</v>
      </c>
    </row>
    <row r="1097" spans="1:19" ht="28" x14ac:dyDescent="0.15">
      <c r="A1097" s="2">
        <f>HYPERLINK("https://open-school.uspishnemisto.com.ua/school/70236/", 70236)</f>
        <v>70236</v>
      </c>
      <c r="B1097" s="3" t="s">
        <v>6010</v>
      </c>
      <c r="C1097" s="3" t="s">
        <v>31</v>
      </c>
      <c r="D1097" s="3" t="s">
        <v>60</v>
      </c>
      <c r="E1097" s="4" t="s">
        <v>22</v>
      </c>
      <c r="F1097" s="4" t="s">
        <v>6006</v>
      </c>
      <c r="G1097" s="4" t="s">
        <v>6011</v>
      </c>
      <c r="H1097" s="3" t="s">
        <v>4839</v>
      </c>
      <c r="I1097" s="3" t="s">
        <v>6012</v>
      </c>
      <c r="J1097" s="3" t="s">
        <v>6013</v>
      </c>
      <c r="K1097" s="3" t="s">
        <v>6014</v>
      </c>
      <c r="L1097" s="3"/>
      <c r="M1097" s="4"/>
      <c r="N1097" s="3" t="s">
        <v>37</v>
      </c>
      <c r="O1097" s="3" t="s">
        <v>46</v>
      </c>
      <c r="P1097" s="5">
        <v>2</v>
      </c>
      <c r="Q1097" s="5">
        <v>16</v>
      </c>
      <c r="R1097" s="5">
        <v>3</v>
      </c>
      <c r="S1097" s="5">
        <v>18</v>
      </c>
    </row>
    <row r="1098" spans="1:19" ht="28" x14ac:dyDescent="0.15">
      <c r="A1098" s="2">
        <f>HYPERLINK("https://open-school.uspishnemisto.com.ua/school/70237/", 70237)</f>
        <v>70237</v>
      </c>
      <c r="B1098" s="3" t="s">
        <v>6015</v>
      </c>
      <c r="C1098" s="3" t="s">
        <v>31</v>
      </c>
      <c r="D1098" s="3" t="s">
        <v>32</v>
      </c>
      <c r="E1098" s="4" t="s">
        <v>22</v>
      </c>
      <c r="F1098" s="4" t="s">
        <v>6016</v>
      </c>
      <c r="G1098" s="4" t="s">
        <v>6017</v>
      </c>
      <c r="H1098" s="3" t="s">
        <v>4839</v>
      </c>
      <c r="I1098" s="3" t="s">
        <v>6018</v>
      </c>
      <c r="J1098" s="3" t="s">
        <v>4933</v>
      </c>
      <c r="K1098" s="3" t="s">
        <v>6019</v>
      </c>
      <c r="L1098" s="3"/>
      <c r="M1098" s="4"/>
      <c r="N1098" s="3" t="s">
        <v>37</v>
      </c>
      <c r="O1098" s="3" t="s">
        <v>52</v>
      </c>
      <c r="P1098" s="5">
        <v>12</v>
      </c>
      <c r="Q1098" s="5">
        <v>231</v>
      </c>
      <c r="R1098" s="5">
        <v>12</v>
      </c>
      <c r="S1098" s="5">
        <v>228</v>
      </c>
    </row>
    <row r="1099" spans="1:19" ht="28" x14ac:dyDescent="0.15">
      <c r="A1099" s="2">
        <f>HYPERLINK("https://open-school.uspishnemisto.com.ua/school/70238/", 70238)</f>
        <v>70238</v>
      </c>
      <c r="B1099" s="3" t="s">
        <v>6020</v>
      </c>
      <c r="C1099" s="3" t="s">
        <v>31</v>
      </c>
      <c r="D1099" s="3" t="s">
        <v>60</v>
      </c>
      <c r="E1099" s="4" t="s">
        <v>22</v>
      </c>
      <c r="F1099" s="4" t="s">
        <v>6016</v>
      </c>
      <c r="G1099" s="4" t="s">
        <v>6021</v>
      </c>
      <c r="H1099" s="3" t="s">
        <v>4839</v>
      </c>
      <c r="I1099" s="3" t="s">
        <v>6022</v>
      </c>
      <c r="J1099" s="3" t="s">
        <v>566</v>
      </c>
      <c r="K1099" s="3"/>
      <c r="L1099" s="3"/>
      <c r="M1099" s="4"/>
      <c r="N1099" s="3" t="s">
        <v>37</v>
      </c>
      <c r="O1099" s="3" t="s">
        <v>52</v>
      </c>
      <c r="P1099" s="5">
        <v>0</v>
      </c>
      <c r="Q1099" s="5">
        <v>10</v>
      </c>
      <c r="R1099" s="5">
        <v>0</v>
      </c>
      <c r="S1099" s="5">
        <v>10</v>
      </c>
    </row>
    <row r="1100" spans="1:19" ht="28" x14ac:dyDescent="0.15">
      <c r="A1100" s="2">
        <f>HYPERLINK("https://open-school.uspishnemisto.com.ua/school/70239/", 70239)</f>
        <v>70239</v>
      </c>
      <c r="B1100" s="3" t="s">
        <v>6023</v>
      </c>
      <c r="C1100" s="3" t="s">
        <v>31</v>
      </c>
      <c r="D1100" s="3" t="s">
        <v>32</v>
      </c>
      <c r="E1100" s="4" t="s">
        <v>22</v>
      </c>
      <c r="F1100" s="4" t="s">
        <v>6024</v>
      </c>
      <c r="G1100" s="4" t="s">
        <v>6025</v>
      </c>
      <c r="H1100" s="3" t="s">
        <v>4839</v>
      </c>
      <c r="I1100" s="3" t="s">
        <v>6026</v>
      </c>
      <c r="J1100" s="3" t="s">
        <v>466</v>
      </c>
      <c r="K1100" s="3" t="s">
        <v>6027</v>
      </c>
      <c r="L1100" s="3"/>
      <c r="M1100" s="4"/>
      <c r="N1100" s="3" t="s">
        <v>37</v>
      </c>
      <c r="O1100" s="3" t="s">
        <v>46</v>
      </c>
      <c r="P1100" s="5">
        <v>18</v>
      </c>
      <c r="Q1100" s="5">
        <v>366</v>
      </c>
      <c r="R1100" s="5">
        <v>18</v>
      </c>
      <c r="S1100" s="5">
        <v>355</v>
      </c>
    </row>
    <row r="1101" spans="1:19" ht="28" x14ac:dyDescent="0.15">
      <c r="A1101" s="2">
        <f>HYPERLINK("https://open-school.uspishnemisto.com.ua/school/70240/", 70240)</f>
        <v>70240</v>
      </c>
      <c r="B1101" s="3" t="s">
        <v>6028</v>
      </c>
      <c r="C1101" s="3" t="s">
        <v>31</v>
      </c>
      <c r="D1101" s="3" t="s">
        <v>60</v>
      </c>
      <c r="E1101" s="4" t="s">
        <v>22</v>
      </c>
      <c r="F1101" s="4" t="s">
        <v>6024</v>
      </c>
      <c r="G1101" s="4" t="s">
        <v>6029</v>
      </c>
      <c r="H1101" s="3" t="s">
        <v>4839</v>
      </c>
      <c r="I1101" s="3" t="s">
        <v>6030</v>
      </c>
      <c r="J1101" s="3" t="s">
        <v>6031</v>
      </c>
      <c r="K1101" s="3" t="s">
        <v>6032</v>
      </c>
      <c r="L1101" s="3"/>
      <c r="M1101" s="4"/>
      <c r="N1101" s="3" t="s">
        <v>37</v>
      </c>
      <c r="O1101" s="3" t="s">
        <v>618</v>
      </c>
      <c r="P1101" s="5">
        <v>4</v>
      </c>
      <c r="Q1101" s="5">
        <v>28</v>
      </c>
      <c r="R1101" s="5">
        <v>4</v>
      </c>
      <c r="S1101" s="5">
        <v>33</v>
      </c>
    </row>
    <row r="1102" spans="1:19" ht="28" x14ac:dyDescent="0.15">
      <c r="A1102" s="2">
        <f>HYPERLINK("https://open-school.uspishnemisto.com.ua/school/70241/", 70241)</f>
        <v>70241</v>
      </c>
      <c r="B1102" s="3" t="s">
        <v>6033</v>
      </c>
      <c r="C1102" s="3" t="s">
        <v>31</v>
      </c>
      <c r="D1102" s="3" t="s">
        <v>175</v>
      </c>
      <c r="E1102" s="4" t="s">
        <v>22</v>
      </c>
      <c r="F1102" s="4" t="s">
        <v>6034</v>
      </c>
      <c r="G1102" s="4" t="s">
        <v>6035</v>
      </c>
      <c r="H1102" s="3" t="s">
        <v>4839</v>
      </c>
      <c r="I1102" s="3" t="s">
        <v>6036</v>
      </c>
      <c r="J1102" s="3" t="s">
        <v>718</v>
      </c>
      <c r="K1102" s="3" t="s">
        <v>6037</v>
      </c>
      <c r="L1102" s="3"/>
      <c r="M1102" s="4"/>
      <c r="N1102" s="3" t="s">
        <v>37</v>
      </c>
      <c r="O1102" s="3" t="s">
        <v>46</v>
      </c>
      <c r="P1102" s="5">
        <v>8</v>
      </c>
      <c r="Q1102" s="5">
        <v>61</v>
      </c>
      <c r="R1102" s="5">
        <v>9</v>
      </c>
      <c r="S1102" s="5">
        <v>66</v>
      </c>
    </row>
    <row r="1103" spans="1:19" ht="28" x14ac:dyDescent="0.15">
      <c r="A1103" s="2">
        <f>HYPERLINK("https://open-school.uspishnemisto.com.ua/school/70242/", 70242)</f>
        <v>70242</v>
      </c>
      <c r="B1103" s="3" t="s">
        <v>6038</v>
      </c>
      <c r="C1103" s="3" t="s">
        <v>31</v>
      </c>
      <c r="D1103" s="3" t="s">
        <v>32</v>
      </c>
      <c r="E1103" s="4" t="s">
        <v>22</v>
      </c>
      <c r="F1103" s="4" t="s">
        <v>6039</v>
      </c>
      <c r="G1103" s="4" t="s">
        <v>6040</v>
      </c>
      <c r="H1103" s="3" t="s">
        <v>4839</v>
      </c>
      <c r="I1103" s="3" t="s">
        <v>6041</v>
      </c>
      <c r="J1103" s="3" t="s">
        <v>6042</v>
      </c>
      <c r="K1103" s="3" t="s">
        <v>6043</v>
      </c>
      <c r="L1103" s="3"/>
      <c r="M1103" s="4"/>
      <c r="N1103" s="3" t="s">
        <v>37</v>
      </c>
      <c r="O1103" s="3" t="s">
        <v>46</v>
      </c>
      <c r="P1103" s="5">
        <v>30</v>
      </c>
      <c r="Q1103" s="5">
        <v>653</v>
      </c>
      <c r="R1103" s="5">
        <v>28</v>
      </c>
      <c r="S1103" s="5">
        <v>629</v>
      </c>
    </row>
    <row r="1104" spans="1:19" ht="28" x14ac:dyDescent="0.15">
      <c r="A1104" s="2">
        <f>HYPERLINK("https://open-school.uspishnemisto.com.ua/school/70243/", 70243)</f>
        <v>70243</v>
      </c>
      <c r="B1104" s="3" t="s">
        <v>6044</v>
      </c>
      <c r="C1104" s="3" t="s">
        <v>31</v>
      </c>
      <c r="D1104" s="3" t="s">
        <v>32</v>
      </c>
      <c r="E1104" s="4" t="s">
        <v>22</v>
      </c>
      <c r="F1104" s="4" t="s">
        <v>6039</v>
      </c>
      <c r="G1104" s="4" t="s">
        <v>6040</v>
      </c>
      <c r="H1104" s="3" t="s">
        <v>4839</v>
      </c>
      <c r="I1104" s="3" t="s">
        <v>6041</v>
      </c>
      <c r="J1104" s="3" t="s">
        <v>6045</v>
      </c>
      <c r="K1104" s="3" t="s">
        <v>6046</v>
      </c>
      <c r="L1104" s="3"/>
      <c r="M1104" s="4"/>
      <c r="N1104" s="3" t="s">
        <v>37</v>
      </c>
      <c r="O1104" s="3" t="s">
        <v>52</v>
      </c>
      <c r="P1104" s="5">
        <v>11</v>
      </c>
      <c r="Q1104" s="5">
        <v>248</v>
      </c>
      <c r="R1104" s="5">
        <v>12</v>
      </c>
      <c r="S1104" s="5">
        <v>247</v>
      </c>
    </row>
    <row r="1105" spans="1:19" ht="28" x14ac:dyDescent="0.15">
      <c r="A1105" s="2">
        <f>HYPERLINK("https://open-school.uspishnemisto.com.ua/school/70244/", 70244)</f>
        <v>70244</v>
      </c>
      <c r="B1105" s="3" t="s">
        <v>6047</v>
      </c>
      <c r="C1105" s="3" t="s">
        <v>31</v>
      </c>
      <c r="D1105" s="3" t="s">
        <v>32</v>
      </c>
      <c r="E1105" s="4" t="s">
        <v>22</v>
      </c>
      <c r="F1105" s="4" t="s">
        <v>6039</v>
      </c>
      <c r="G1105" s="4" t="s">
        <v>6040</v>
      </c>
      <c r="H1105" s="3" t="s">
        <v>4839</v>
      </c>
      <c r="I1105" s="3" t="s">
        <v>6041</v>
      </c>
      <c r="J1105" s="3" t="s">
        <v>3363</v>
      </c>
      <c r="K1105" s="3" t="s">
        <v>6048</v>
      </c>
      <c r="L1105" s="3"/>
      <c r="M1105" s="4"/>
      <c r="N1105" s="3" t="s">
        <v>37</v>
      </c>
      <c r="O1105" s="3" t="s">
        <v>237</v>
      </c>
      <c r="P1105" s="5">
        <v>36</v>
      </c>
      <c r="Q1105" s="5">
        <v>840</v>
      </c>
      <c r="R1105" s="5">
        <v>36</v>
      </c>
      <c r="S1105" s="5">
        <v>807</v>
      </c>
    </row>
    <row r="1106" spans="1:19" ht="42" x14ac:dyDescent="0.15">
      <c r="A1106" s="2">
        <f>HYPERLINK("https://open-school.uspishnemisto.com.ua/school/70245/", 70245)</f>
        <v>70245</v>
      </c>
      <c r="B1106" s="3" t="s">
        <v>6049</v>
      </c>
      <c r="C1106" s="3" t="s">
        <v>31</v>
      </c>
      <c r="D1106" s="3" t="s">
        <v>32</v>
      </c>
      <c r="E1106" s="4" t="s">
        <v>22</v>
      </c>
      <c r="F1106" s="4" t="s">
        <v>6039</v>
      </c>
      <c r="G1106" s="4" t="s">
        <v>6040</v>
      </c>
      <c r="H1106" s="3" t="s">
        <v>4839</v>
      </c>
      <c r="I1106" s="3" t="s">
        <v>6041</v>
      </c>
      <c r="J1106" s="3" t="s">
        <v>6050</v>
      </c>
      <c r="K1106" s="3" t="s">
        <v>6051</v>
      </c>
      <c r="L1106" s="3" t="s">
        <v>6052</v>
      </c>
      <c r="M1106" s="4"/>
      <c r="N1106" s="3" t="s">
        <v>37</v>
      </c>
      <c r="O1106" s="3" t="s">
        <v>46</v>
      </c>
      <c r="P1106" s="5">
        <v>14</v>
      </c>
      <c r="Q1106" s="5">
        <v>245</v>
      </c>
      <c r="R1106" s="5">
        <v>14</v>
      </c>
      <c r="S1106" s="5">
        <v>245</v>
      </c>
    </row>
    <row r="1107" spans="1:19" ht="42" x14ac:dyDescent="0.15">
      <c r="A1107" s="2">
        <f>HYPERLINK("https://open-school.uspishnemisto.com.ua/school/70246/", 70246)</f>
        <v>70246</v>
      </c>
      <c r="B1107" s="3" t="s">
        <v>6053</v>
      </c>
      <c r="C1107" s="3" t="s">
        <v>40</v>
      </c>
      <c r="D1107" s="3" t="s">
        <v>32</v>
      </c>
      <c r="E1107" s="4" t="s">
        <v>22</v>
      </c>
      <c r="F1107" s="4" t="s">
        <v>6039</v>
      </c>
      <c r="G1107" s="4" t="s">
        <v>6040</v>
      </c>
      <c r="H1107" s="3" t="s">
        <v>4839</v>
      </c>
      <c r="I1107" s="3" t="s">
        <v>6041</v>
      </c>
      <c r="J1107" s="3" t="s">
        <v>6054</v>
      </c>
      <c r="K1107" s="3" t="s">
        <v>6055</v>
      </c>
      <c r="L1107" s="3" t="s">
        <v>6056</v>
      </c>
      <c r="M1107" s="4"/>
      <c r="N1107" s="3" t="s">
        <v>37</v>
      </c>
      <c r="O1107" s="3" t="s">
        <v>46</v>
      </c>
      <c r="P1107" s="5">
        <v>19</v>
      </c>
      <c r="Q1107" s="5">
        <v>377</v>
      </c>
      <c r="R1107" s="5">
        <v>20</v>
      </c>
      <c r="S1107" s="5">
        <v>389</v>
      </c>
    </row>
    <row r="1108" spans="1:19" ht="28" x14ac:dyDescent="0.15">
      <c r="A1108" s="2">
        <f>HYPERLINK("https://open-school.uspishnemisto.com.ua/school/70247/", 70247)</f>
        <v>70247</v>
      </c>
      <c r="B1108" s="3" t="s">
        <v>6057</v>
      </c>
      <c r="C1108" s="3" t="s">
        <v>31</v>
      </c>
      <c r="D1108" s="3" t="s">
        <v>32</v>
      </c>
      <c r="E1108" s="4" t="s">
        <v>22</v>
      </c>
      <c r="F1108" s="4" t="s">
        <v>6058</v>
      </c>
      <c r="G1108" s="4" t="s">
        <v>6059</v>
      </c>
      <c r="H1108" s="3" t="s">
        <v>4839</v>
      </c>
      <c r="I1108" s="3" t="s">
        <v>6060</v>
      </c>
      <c r="J1108" s="3" t="s">
        <v>718</v>
      </c>
      <c r="K1108" s="3" t="s">
        <v>6061</v>
      </c>
      <c r="L1108" s="3"/>
      <c r="M1108" s="4"/>
      <c r="N1108" s="3" t="s">
        <v>37</v>
      </c>
      <c r="O1108" s="3" t="s">
        <v>46</v>
      </c>
      <c r="P1108" s="5">
        <v>13</v>
      </c>
      <c r="Q1108" s="5">
        <v>240</v>
      </c>
      <c r="R1108" s="5">
        <v>12</v>
      </c>
      <c r="S1108" s="5">
        <v>230</v>
      </c>
    </row>
    <row r="1109" spans="1:19" ht="28" x14ac:dyDescent="0.15">
      <c r="A1109" s="2">
        <f>HYPERLINK("https://open-school.uspishnemisto.com.ua/school/70248/", 70248)</f>
        <v>70248</v>
      </c>
      <c r="B1109" s="3" t="s">
        <v>6062</v>
      </c>
      <c r="C1109" s="3" t="s">
        <v>31</v>
      </c>
      <c r="D1109" s="3" t="s">
        <v>175</v>
      </c>
      <c r="E1109" s="4" t="s">
        <v>22</v>
      </c>
      <c r="F1109" s="4" t="s">
        <v>6058</v>
      </c>
      <c r="G1109" s="4" t="s">
        <v>6063</v>
      </c>
      <c r="H1109" s="3" t="s">
        <v>4839</v>
      </c>
      <c r="I1109" s="3" t="s">
        <v>6064</v>
      </c>
      <c r="J1109" s="3" t="s">
        <v>6065</v>
      </c>
      <c r="K1109" s="3" t="s">
        <v>6066</v>
      </c>
      <c r="L1109" s="3"/>
      <c r="M1109" s="4"/>
      <c r="N1109" s="3" t="s">
        <v>37</v>
      </c>
      <c r="O1109" s="3" t="s">
        <v>46</v>
      </c>
      <c r="P1109" s="5">
        <v>9</v>
      </c>
      <c r="Q1109" s="5">
        <v>82</v>
      </c>
      <c r="R1109" s="5">
        <v>9</v>
      </c>
      <c r="S1109" s="5">
        <v>80</v>
      </c>
    </row>
    <row r="1110" spans="1:19" ht="28" x14ac:dyDescent="0.15">
      <c r="A1110" s="2">
        <f>HYPERLINK("https://open-school.uspishnemisto.com.ua/school/70249/", 70249)</f>
        <v>70249</v>
      </c>
      <c r="B1110" s="3" t="s">
        <v>6067</v>
      </c>
      <c r="C1110" s="3" t="s">
        <v>31</v>
      </c>
      <c r="D1110" s="3" t="s">
        <v>60</v>
      </c>
      <c r="E1110" s="4" t="s">
        <v>22</v>
      </c>
      <c r="F1110" s="4" t="s">
        <v>6068</v>
      </c>
      <c r="G1110" s="4" t="s">
        <v>6069</v>
      </c>
      <c r="H1110" s="3" t="s">
        <v>4839</v>
      </c>
      <c r="I1110" s="3" t="s">
        <v>6070</v>
      </c>
      <c r="J1110" s="3" t="s">
        <v>6071</v>
      </c>
      <c r="K1110" s="3" t="s">
        <v>6072</v>
      </c>
      <c r="L1110" s="3"/>
      <c r="M1110" s="4"/>
      <c r="N1110" s="3" t="s">
        <v>37</v>
      </c>
      <c r="O1110" s="3" t="s">
        <v>52</v>
      </c>
      <c r="P1110" s="5">
        <v>3</v>
      </c>
      <c r="Q1110" s="5">
        <v>26</v>
      </c>
      <c r="R1110" s="5">
        <v>2</v>
      </c>
      <c r="S1110" s="5">
        <v>20</v>
      </c>
    </row>
    <row r="1111" spans="1:19" ht="28" x14ac:dyDescent="0.15">
      <c r="A1111" s="2">
        <f>HYPERLINK("https://open-school.uspishnemisto.com.ua/school/70250/", 70250)</f>
        <v>70250</v>
      </c>
      <c r="B1111" s="3" t="s">
        <v>6073</v>
      </c>
      <c r="C1111" s="3" t="s">
        <v>31</v>
      </c>
      <c r="D1111" s="3" t="s">
        <v>32</v>
      </c>
      <c r="E1111" s="4" t="s">
        <v>22</v>
      </c>
      <c r="F1111" s="4" t="s">
        <v>6074</v>
      </c>
      <c r="G1111" s="4" t="s">
        <v>6075</v>
      </c>
      <c r="H1111" s="3" t="s">
        <v>4839</v>
      </c>
      <c r="I1111" s="3" t="s">
        <v>6076</v>
      </c>
      <c r="J1111" s="3" t="s">
        <v>6077</v>
      </c>
      <c r="K1111" s="3" t="s">
        <v>6078</v>
      </c>
      <c r="L1111" s="3" t="s">
        <v>6079</v>
      </c>
      <c r="M1111" s="4"/>
      <c r="N1111" s="3" t="s">
        <v>37</v>
      </c>
      <c r="O1111" s="3" t="s">
        <v>139</v>
      </c>
      <c r="P1111" s="5">
        <v>42</v>
      </c>
      <c r="Q1111" s="5">
        <v>1060</v>
      </c>
      <c r="R1111" s="5">
        <v>40</v>
      </c>
      <c r="S1111" s="5">
        <v>1008</v>
      </c>
    </row>
    <row r="1112" spans="1:19" ht="28" x14ac:dyDescent="0.15">
      <c r="A1112" s="2">
        <f>HYPERLINK("https://open-school.uspishnemisto.com.ua/school/70251/", 70251)</f>
        <v>70251</v>
      </c>
      <c r="B1112" s="3" t="s">
        <v>6080</v>
      </c>
      <c r="C1112" s="3" t="s">
        <v>31</v>
      </c>
      <c r="D1112" s="3" t="s">
        <v>60</v>
      </c>
      <c r="E1112" s="4" t="s">
        <v>22</v>
      </c>
      <c r="F1112" s="4" t="s">
        <v>6081</v>
      </c>
      <c r="G1112" s="4" t="s">
        <v>6082</v>
      </c>
      <c r="H1112" s="3" t="s">
        <v>4839</v>
      </c>
      <c r="I1112" s="3" t="s">
        <v>6083</v>
      </c>
      <c r="J1112" s="3" t="s">
        <v>5145</v>
      </c>
      <c r="K1112" s="3" t="s">
        <v>6084</v>
      </c>
      <c r="L1112" s="3"/>
      <c r="M1112" s="4"/>
      <c r="N1112" s="3" t="s">
        <v>37</v>
      </c>
      <c r="O1112" s="3" t="s">
        <v>52</v>
      </c>
      <c r="P1112" s="5">
        <v>2</v>
      </c>
      <c r="Q1112" s="5">
        <v>15</v>
      </c>
      <c r="R1112" s="5">
        <v>1</v>
      </c>
      <c r="S1112" s="5">
        <v>13</v>
      </c>
    </row>
    <row r="1113" spans="1:19" ht="28" x14ac:dyDescent="0.15">
      <c r="A1113" s="2">
        <f>HYPERLINK("https://open-school.uspishnemisto.com.ua/school/70252/", 70252)</f>
        <v>70252</v>
      </c>
      <c r="B1113" s="3" t="s">
        <v>6085</v>
      </c>
      <c r="C1113" s="3" t="s">
        <v>31</v>
      </c>
      <c r="D1113" s="3" t="s">
        <v>32</v>
      </c>
      <c r="E1113" s="4" t="s">
        <v>22</v>
      </c>
      <c r="F1113" s="4" t="s">
        <v>6086</v>
      </c>
      <c r="G1113" s="4" t="s">
        <v>6087</v>
      </c>
      <c r="H1113" s="3" t="s">
        <v>4839</v>
      </c>
      <c r="I1113" s="3" t="s">
        <v>6088</v>
      </c>
      <c r="J1113" s="3" t="s">
        <v>6089</v>
      </c>
      <c r="K1113" s="3" t="s">
        <v>6090</v>
      </c>
      <c r="L1113" s="3"/>
      <c r="M1113" s="4"/>
      <c r="N1113" s="3" t="s">
        <v>37</v>
      </c>
      <c r="O1113" s="3" t="s">
        <v>52</v>
      </c>
      <c r="P1113" s="5">
        <v>11</v>
      </c>
      <c r="Q1113" s="5">
        <v>104</v>
      </c>
      <c r="R1113" s="5">
        <v>11</v>
      </c>
      <c r="S1113" s="5">
        <v>99</v>
      </c>
    </row>
    <row r="1114" spans="1:19" ht="28" x14ac:dyDescent="0.15">
      <c r="A1114" s="2">
        <f>HYPERLINK("https://open-school.uspishnemisto.com.ua/school/70253/", 70253)</f>
        <v>70253</v>
      </c>
      <c r="B1114" s="3" t="s">
        <v>6091</v>
      </c>
      <c r="C1114" s="3" t="s">
        <v>31</v>
      </c>
      <c r="D1114" s="3" t="s">
        <v>175</v>
      </c>
      <c r="E1114" s="4" t="s">
        <v>22</v>
      </c>
      <c r="F1114" s="4" t="s">
        <v>6092</v>
      </c>
      <c r="G1114" s="4" t="s">
        <v>6093</v>
      </c>
      <c r="H1114" s="3" t="s">
        <v>4839</v>
      </c>
      <c r="I1114" s="3" t="s">
        <v>6094</v>
      </c>
      <c r="J1114" s="3" t="s">
        <v>6095</v>
      </c>
      <c r="K1114" s="3" t="s">
        <v>6096</v>
      </c>
      <c r="L1114" s="3"/>
      <c r="M1114" s="4"/>
      <c r="N1114" s="3" t="s">
        <v>37</v>
      </c>
      <c r="O1114" s="3" t="s">
        <v>46</v>
      </c>
      <c r="P1114" s="5">
        <v>9</v>
      </c>
      <c r="Q1114" s="5">
        <v>78</v>
      </c>
      <c r="R1114" s="5">
        <v>8</v>
      </c>
      <c r="S1114" s="5">
        <v>77</v>
      </c>
    </row>
    <row r="1115" spans="1:19" ht="28" x14ac:dyDescent="0.15">
      <c r="A1115" s="2">
        <f>HYPERLINK("https://open-school.uspishnemisto.com.ua/school/70254/", 70254)</f>
        <v>70254</v>
      </c>
      <c r="B1115" s="3" t="s">
        <v>6097</v>
      </c>
      <c r="C1115" s="3" t="s">
        <v>31</v>
      </c>
      <c r="D1115" s="3" t="s">
        <v>60</v>
      </c>
      <c r="E1115" s="4" t="s">
        <v>22</v>
      </c>
      <c r="F1115" s="4" t="s">
        <v>6098</v>
      </c>
      <c r="G1115" s="4" t="s">
        <v>6099</v>
      </c>
      <c r="H1115" s="3" t="s">
        <v>4839</v>
      </c>
      <c r="I1115" s="3" t="s">
        <v>6100</v>
      </c>
      <c r="J1115" s="3" t="s">
        <v>6101</v>
      </c>
      <c r="K1115" s="3" t="s">
        <v>6102</v>
      </c>
      <c r="L1115" s="3"/>
      <c r="M1115" s="4"/>
      <c r="N1115" s="3" t="s">
        <v>37</v>
      </c>
      <c r="O1115" s="3" t="s">
        <v>52</v>
      </c>
      <c r="P1115" s="5">
        <v>3</v>
      </c>
      <c r="Q1115" s="5">
        <v>20</v>
      </c>
      <c r="R1115" s="5">
        <v>3</v>
      </c>
      <c r="S1115" s="5">
        <v>22</v>
      </c>
    </row>
    <row r="1116" spans="1:19" ht="28" x14ac:dyDescent="0.15">
      <c r="A1116" s="2">
        <f>HYPERLINK("https://open-school.uspishnemisto.com.ua/school/70255/", 70255)</f>
        <v>70255</v>
      </c>
      <c r="B1116" s="3" t="s">
        <v>6103</v>
      </c>
      <c r="C1116" s="3" t="s">
        <v>31</v>
      </c>
      <c r="D1116" s="3" t="s">
        <v>32</v>
      </c>
      <c r="E1116" s="4" t="s">
        <v>22</v>
      </c>
      <c r="F1116" s="4" t="s">
        <v>6104</v>
      </c>
      <c r="G1116" s="4" t="s">
        <v>6105</v>
      </c>
      <c r="H1116" s="3" t="s">
        <v>4839</v>
      </c>
      <c r="I1116" s="3" t="s">
        <v>6106</v>
      </c>
      <c r="J1116" s="3" t="s">
        <v>6107</v>
      </c>
      <c r="K1116" s="3" t="s">
        <v>6108</v>
      </c>
      <c r="L1116" s="3"/>
      <c r="M1116" s="4"/>
      <c r="N1116" s="3" t="s">
        <v>37</v>
      </c>
      <c r="O1116" s="3" t="s">
        <v>38</v>
      </c>
      <c r="P1116" s="5">
        <v>11</v>
      </c>
      <c r="Q1116" s="5">
        <v>146</v>
      </c>
      <c r="R1116" s="5">
        <v>11</v>
      </c>
      <c r="S1116" s="5">
        <v>139</v>
      </c>
    </row>
    <row r="1117" spans="1:19" ht="42" x14ac:dyDescent="0.15">
      <c r="A1117" s="2">
        <f>HYPERLINK("https://open-school.uspishnemisto.com.ua/school/70256/", 70256)</f>
        <v>70256</v>
      </c>
      <c r="B1117" s="3" t="s">
        <v>6109</v>
      </c>
      <c r="C1117" s="3" t="s">
        <v>54</v>
      </c>
      <c r="D1117" s="3" t="s">
        <v>60</v>
      </c>
      <c r="E1117" s="4" t="s">
        <v>22</v>
      </c>
      <c r="F1117" s="4" t="s">
        <v>6104</v>
      </c>
      <c r="G1117" s="4" t="s">
        <v>6110</v>
      </c>
      <c r="H1117" s="3" t="s">
        <v>4839</v>
      </c>
      <c r="I1117" s="3" t="s">
        <v>6111</v>
      </c>
      <c r="J1117" s="3" t="s">
        <v>6112</v>
      </c>
      <c r="K1117" s="3" t="s">
        <v>6113</v>
      </c>
      <c r="L1117" s="3"/>
      <c r="M1117" s="4"/>
      <c r="N1117" s="3" t="s">
        <v>37</v>
      </c>
      <c r="O1117" s="3" t="s">
        <v>52</v>
      </c>
      <c r="P1117" s="5">
        <v>3</v>
      </c>
      <c r="Q1117" s="5">
        <v>23</v>
      </c>
      <c r="R1117" s="5">
        <v>2</v>
      </c>
      <c r="S1117" s="5">
        <v>24</v>
      </c>
    </row>
    <row r="1118" spans="1:19" ht="28" x14ac:dyDescent="0.15">
      <c r="A1118" s="2">
        <f>HYPERLINK("https://open-school.uspishnemisto.com.ua/school/70257/", 70257)</f>
        <v>70257</v>
      </c>
      <c r="B1118" s="3" t="s">
        <v>6114</v>
      </c>
      <c r="C1118" s="3" t="s">
        <v>31</v>
      </c>
      <c r="D1118" s="3" t="s">
        <v>32</v>
      </c>
      <c r="E1118" s="4" t="s">
        <v>22</v>
      </c>
      <c r="F1118" s="4" t="s">
        <v>6115</v>
      </c>
      <c r="G1118" s="4" t="s">
        <v>6116</v>
      </c>
      <c r="H1118" s="3" t="s">
        <v>4839</v>
      </c>
      <c r="I1118" s="3" t="s">
        <v>6117</v>
      </c>
      <c r="J1118" s="3" t="s">
        <v>1900</v>
      </c>
      <c r="K1118" s="3" t="s">
        <v>6118</v>
      </c>
      <c r="L1118" s="3"/>
      <c r="M1118" s="4"/>
      <c r="N1118" s="3" t="s">
        <v>37</v>
      </c>
      <c r="O1118" s="3" t="s">
        <v>52</v>
      </c>
      <c r="P1118" s="5">
        <v>11</v>
      </c>
      <c r="Q1118" s="5">
        <v>122</v>
      </c>
      <c r="R1118" s="5">
        <v>11</v>
      </c>
      <c r="S1118" s="5">
        <v>110</v>
      </c>
    </row>
    <row r="1119" spans="1:19" ht="28" x14ac:dyDescent="0.15">
      <c r="A1119" s="2">
        <f>HYPERLINK("https://open-school.uspishnemisto.com.ua/school/70258/", 70258)</f>
        <v>70258</v>
      </c>
      <c r="B1119" s="3" t="s">
        <v>6119</v>
      </c>
      <c r="C1119" s="3" t="s">
        <v>31</v>
      </c>
      <c r="D1119" s="3" t="s">
        <v>175</v>
      </c>
      <c r="E1119" s="4" t="s">
        <v>22</v>
      </c>
      <c r="F1119" s="4" t="s">
        <v>6120</v>
      </c>
      <c r="G1119" s="4" t="s">
        <v>6121</v>
      </c>
      <c r="H1119" s="3" t="s">
        <v>4839</v>
      </c>
      <c r="I1119" s="3" t="s">
        <v>6122</v>
      </c>
      <c r="J1119" s="3" t="s">
        <v>466</v>
      </c>
      <c r="K1119" s="3" t="s">
        <v>6123</v>
      </c>
      <c r="L1119" s="3"/>
      <c r="M1119" s="4"/>
      <c r="N1119" s="3" t="s">
        <v>37</v>
      </c>
      <c r="O1119" s="3" t="s">
        <v>52</v>
      </c>
      <c r="P1119" s="5">
        <v>9</v>
      </c>
      <c r="Q1119" s="5">
        <v>128</v>
      </c>
      <c r="R1119" s="5">
        <v>8</v>
      </c>
      <c r="S1119" s="5">
        <v>114</v>
      </c>
    </row>
    <row r="1120" spans="1:19" ht="28" x14ac:dyDescent="0.15">
      <c r="A1120" s="2">
        <f>HYPERLINK("https://open-school.uspishnemisto.com.ua/school/70259/", 70259)</f>
        <v>70259</v>
      </c>
      <c r="B1120" s="3" t="s">
        <v>6124</v>
      </c>
      <c r="C1120" s="3" t="s">
        <v>31</v>
      </c>
      <c r="D1120" s="3" t="s">
        <v>32</v>
      </c>
      <c r="E1120" s="4" t="s">
        <v>22</v>
      </c>
      <c r="F1120" s="4" t="s">
        <v>6125</v>
      </c>
      <c r="G1120" s="4" t="s">
        <v>6126</v>
      </c>
      <c r="H1120" s="3" t="s">
        <v>4839</v>
      </c>
      <c r="I1120" s="3" t="s">
        <v>6127</v>
      </c>
      <c r="J1120" s="3" t="s">
        <v>6128</v>
      </c>
      <c r="K1120" s="3" t="s">
        <v>6129</v>
      </c>
      <c r="L1120" s="3" t="s">
        <v>6130</v>
      </c>
      <c r="M1120" s="4"/>
      <c r="N1120" s="3" t="s">
        <v>37</v>
      </c>
      <c r="O1120" s="3" t="s">
        <v>52</v>
      </c>
      <c r="P1120" s="5">
        <v>17</v>
      </c>
      <c r="Q1120" s="5">
        <v>341</v>
      </c>
      <c r="R1120" s="5">
        <v>17</v>
      </c>
      <c r="S1120" s="5">
        <v>349</v>
      </c>
    </row>
    <row r="1121" spans="1:19" ht="28" x14ac:dyDescent="0.15">
      <c r="A1121" s="2">
        <f>HYPERLINK("https://open-school.uspishnemisto.com.ua/school/70260/", 70260)</f>
        <v>70260</v>
      </c>
      <c r="B1121" s="3" t="s">
        <v>6131</v>
      </c>
      <c r="C1121" s="3" t="s">
        <v>31</v>
      </c>
      <c r="D1121" s="3" t="s">
        <v>175</v>
      </c>
      <c r="E1121" s="4" t="s">
        <v>22</v>
      </c>
      <c r="F1121" s="4" t="s">
        <v>6125</v>
      </c>
      <c r="G1121" s="4" t="s">
        <v>6132</v>
      </c>
      <c r="H1121" s="3" t="s">
        <v>4839</v>
      </c>
      <c r="I1121" s="3" t="s">
        <v>6133</v>
      </c>
      <c r="J1121" s="3" t="s">
        <v>6134</v>
      </c>
      <c r="K1121" s="3" t="s">
        <v>6135</v>
      </c>
      <c r="L1121" s="3"/>
      <c r="M1121" s="4"/>
      <c r="N1121" s="3" t="s">
        <v>37</v>
      </c>
      <c r="O1121" s="3" t="s">
        <v>46</v>
      </c>
      <c r="P1121" s="5">
        <v>7</v>
      </c>
      <c r="Q1121" s="5">
        <v>51</v>
      </c>
      <c r="R1121" s="5">
        <v>6</v>
      </c>
      <c r="S1121" s="5">
        <v>49</v>
      </c>
    </row>
    <row r="1122" spans="1:19" ht="42" x14ac:dyDescent="0.15">
      <c r="A1122" s="2">
        <f>HYPERLINK("https://open-school.uspishnemisto.com.ua/school/70261/", 70261)</f>
        <v>70261</v>
      </c>
      <c r="B1122" s="3" t="s">
        <v>6136</v>
      </c>
      <c r="C1122" s="3" t="s">
        <v>54</v>
      </c>
      <c r="D1122" s="3" t="s">
        <v>175</v>
      </c>
      <c r="E1122" s="4" t="s">
        <v>22</v>
      </c>
      <c r="F1122" s="4" t="s">
        <v>6125</v>
      </c>
      <c r="G1122" s="4" t="s">
        <v>6137</v>
      </c>
      <c r="H1122" s="3" t="s">
        <v>4839</v>
      </c>
      <c r="I1122" s="3" t="s">
        <v>6138</v>
      </c>
      <c r="J1122" s="3" t="s">
        <v>946</v>
      </c>
      <c r="K1122" s="3" t="s">
        <v>6139</v>
      </c>
      <c r="L1122" s="3"/>
      <c r="M1122" s="4"/>
      <c r="N1122" s="3" t="s">
        <v>37</v>
      </c>
      <c r="O1122" s="3" t="s">
        <v>38</v>
      </c>
      <c r="P1122" s="5">
        <v>6</v>
      </c>
      <c r="Q1122" s="5">
        <v>47</v>
      </c>
      <c r="R1122" s="5">
        <v>5</v>
      </c>
      <c r="S1122" s="5">
        <v>42</v>
      </c>
    </row>
    <row r="1123" spans="1:19" ht="28" x14ac:dyDescent="0.15">
      <c r="A1123" s="2">
        <f>HYPERLINK("https://open-school.uspishnemisto.com.ua/school/70262/", 70262)</f>
        <v>70262</v>
      </c>
      <c r="B1123" s="3" t="s">
        <v>6140</v>
      </c>
      <c r="C1123" s="3" t="s">
        <v>31</v>
      </c>
      <c r="D1123" s="3" t="s">
        <v>60</v>
      </c>
      <c r="E1123" s="4" t="s">
        <v>22</v>
      </c>
      <c r="F1123" s="4" t="s">
        <v>6125</v>
      </c>
      <c r="G1123" s="4" t="s">
        <v>6141</v>
      </c>
      <c r="H1123" s="3" t="s">
        <v>4839</v>
      </c>
      <c r="I1123" s="3" t="s">
        <v>6142</v>
      </c>
      <c r="J1123" s="3" t="s">
        <v>6143</v>
      </c>
      <c r="K1123" s="3" t="s">
        <v>6144</v>
      </c>
      <c r="L1123" s="3"/>
      <c r="M1123" s="4"/>
      <c r="N1123" s="3" t="s">
        <v>37</v>
      </c>
      <c r="O1123" s="3" t="s">
        <v>52</v>
      </c>
      <c r="P1123" s="5">
        <v>0</v>
      </c>
      <c r="Q1123" s="5">
        <v>13</v>
      </c>
      <c r="R1123" s="5">
        <v>1</v>
      </c>
      <c r="S1123" s="5">
        <v>15</v>
      </c>
    </row>
    <row r="1124" spans="1:19" ht="28" x14ac:dyDescent="0.15">
      <c r="A1124" s="2">
        <f>HYPERLINK("https://open-school.uspishnemisto.com.ua/school/70263/", 70263)</f>
        <v>70263</v>
      </c>
      <c r="B1124" s="3" t="s">
        <v>6145</v>
      </c>
      <c r="C1124" s="3" t="s">
        <v>31</v>
      </c>
      <c r="D1124" s="3" t="s">
        <v>175</v>
      </c>
      <c r="E1124" s="4" t="s">
        <v>22</v>
      </c>
      <c r="F1124" s="4" t="s">
        <v>6146</v>
      </c>
      <c r="G1124" s="4" t="s">
        <v>6147</v>
      </c>
      <c r="H1124" s="3" t="s">
        <v>4839</v>
      </c>
      <c r="I1124" s="3" t="s">
        <v>6148</v>
      </c>
      <c r="J1124" s="3" t="s">
        <v>6149</v>
      </c>
      <c r="K1124" s="3" t="s">
        <v>6150</v>
      </c>
      <c r="L1124" s="3"/>
      <c r="M1124" s="4"/>
      <c r="N1124" s="3" t="s">
        <v>37</v>
      </c>
      <c r="O1124" s="3" t="s">
        <v>52</v>
      </c>
      <c r="P1124" s="5">
        <v>4</v>
      </c>
      <c r="Q1124" s="5">
        <v>44</v>
      </c>
      <c r="R1124" s="5">
        <v>3</v>
      </c>
      <c r="S1124" s="5">
        <v>39</v>
      </c>
    </row>
    <row r="1125" spans="1:19" ht="28" x14ac:dyDescent="0.15">
      <c r="A1125" s="2">
        <f>HYPERLINK("https://open-school.uspishnemisto.com.ua/school/70264/", 70264)</f>
        <v>70264</v>
      </c>
      <c r="B1125" s="3" t="s">
        <v>6151</v>
      </c>
      <c r="C1125" s="3" t="s">
        <v>31</v>
      </c>
      <c r="D1125" s="3" t="s">
        <v>175</v>
      </c>
      <c r="E1125" s="4" t="s">
        <v>22</v>
      </c>
      <c r="F1125" s="4" t="s">
        <v>6152</v>
      </c>
      <c r="G1125" s="4" t="s">
        <v>6153</v>
      </c>
      <c r="H1125" s="3" t="s">
        <v>4839</v>
      </c>
      <c r="I1125" s="3" t="s">
        <v>6154</v>
      </c>
      <c r="J1125" s="3" t="s">
        <v>6155</v>
      </c>
      <c r="K1125" s="3" t="s">
        <v>6156</v>
      </c>
      <c r="L1125" s="3"/>
      <c r="M1125" s="4"/>
      <c r="N1125" s="3" t="s">
        <v>37</v>
      </c>
      <c r="O1125" s="3" t="s">
        <v>52</v>
      </c>
      <c r="P1125" s="5">
        <v>13</v>
      </c>
      <c r="Q1125" s="5">
        <v>240</v>
      </c>
      <c r="R1125" s="5">
        <v>12</v>
      </c>
      <c r="S1125" s="5">
        <v>217</v>
      </c>
    </row>
    <row r="1126" spans="1:19" ht="28" x14ac:dyDescent="0.15">
      <c r="A1126" s="2">
        <f>HYPERLINK("https://open-school.uspishnemisto.com.ua/school/70265/", 70265)</f>
        <v>70265</v>
      </c>
      <c r="B1126" s="3" t="s">
        <v>6157</v>
      </c>
      <c r="C1126" s="3" t="s">
        <v>31</v>
      </c>
      <c r="D1126" s="3" t="s">
        <v>32</v>
      </c>
      <c r="E1126" s="4" t="s">
        <v>22</v>
      </c>
      <c r="F1126" s="4" t="s">
        <v>6158</v>
      </c>
      <c r="G1126" s="4" t="s">
        <v>6159</v>
      </c>
      <c r="H1126" s="3" t="s">
        <v>4839</v>
      </c>
      <c r="I1126" s="3" t="s">
        <v>6160</v>
      </c>
      <c r="J1126" s="3" t="s">
        <v>6161</v>
      </c>
      <c r="K1126" s="3" t="s">
        <v>6162</v>
      </c>
      <c r="L1126" s="3"/>
      <c r="M1126" s="4"/>
      <c r="N1126" s="3" t="s">
        <v>37</v>
      </c>
      <c r="O1126" s="3" t="s">
        <v>52</v>
      </c>
      <c r="P1126" s="5">
        <v>20</v>
      </c>
      <c r="Q1126" s="5">
        <v>407</v>
      </c>
      <c r="R1126" s="5">
        <v>20</v>
      </c>
      <c r="S1126" s="5">
        <v>388</v>
      </c>
    </row>
    <row r="1127" spans="1:19" ht="28" x14ac:dyDescent="0.15">
      <c r="A1127" s="2">
        <f>HYPERLINK("https://open-school.uspishnemisto.com.ua/school/70266/", 70266)</f>
        <v>70266</v>
      </c>
      <c r="B1127" s="3" t="s">
        <v>6163</v>
      </c>
      <c r="C1127" s="3" t="s">
        <v>31</v>
      </c>
      <c r="D1127" s="3" t="s">
        <v>60</v>
      </c>
      <c r="E1127" s="4" t="s">
        <v>22</v>
      </c>
      <c r="F1127" s="4" t="s">
        <v>6164</v>
      </c>
      <c r="G1127" s="4" t="s">
        <v>6165</v>
      </c>
      <c r="H1127" s="3" t="s">
        <v>4839</v>
      </c>
      <c r="I1127" s="3" t="s">
        <v>6166</v>
      </c>
      <c r="J1127" s="3" t="s">
        <v>6167</v>
      </c>
      <c r="K1127" s="3"/>
      <c r="L1127" s="3"/>
      <c r="M1127" s="4"/>
      <c r="N1127" s="3" t="s">
        <v>37</v>
      </c>
      <c r="O1127" s="3" t="s">
        <v>52</v>
      </c>
      <c r="P1127" s="5">
        <v>4</v>
      </c>
      <c r="Q1127" s="5">
        <v>41</v>
      </c>
      <c r="R1127" s="5">
        <v>4</v>
      </c>
      <c r="S1127" s="5">
        <v>43</v>
      </c>
    </row>
    <row r="1128" spans="1:19" ht="28" x14ac:dyDescent="0.15">
      <c r="A1128" s="2">
        <f>HYPERLINK("https://open-school.uspishnemisto.com.ua/school/70267/", 70267)</f>
        <v>70267</v>
      </c>
      <c r="B1128" s="3" t="s">
        <v>6168</v>
      </c>
      <c r="C1128" s="3" t="s">
        <v>181</v>
      </c>
      <c r="D1128" s="3" t="s">
        <v>175</v>
      </c>
      <c r="E1128" s="4" t="s">
        <v>22</v>
      </c>
      <c r="F1128" s="4" t="s">
        <v>6158</v>
      </c>
      <c r="G1128" s="4" t="s">
        <v>6169</v>
      </c>
      <c r="H1128" s="3" t="s">
        <v>4839</v>
      </c>
      <c r="I1128" s="3" t="s">
        <v>6170</v>
      </c>
      <c r="J1128" s="3" t="s">
        <v>6171</v>
      </c>
      <c r="K1128" s="3" t="s">
        <v>6172</v>
      </c>
      <c r="L1128" s="3"/>
      <c r="M1128" s="4" t="s">
        <v>6173</v>
      </c>
      <c r="N1128" s="3" t="s">
        <v>37</v>
      </c>
      <c r="O1128" s="3"/>
      <c r="P1128" s="5">
        <v>11</v>
      </c>
      <c r="Q1128" s="5">
        <v>98</v>
      </c>
      <c r="R1128" s="5">
        <v>10</v>
      </c>
      <c r="S1128" s="5">
        <v>96</v>
      </c>
    </row>
    <row r="1129" spans="1:19" ht="28" x14ac:dyDescent="0.15">
      <c r="A1129" s="2">
        <f>HYPERLINK("https://open-school.uspishnemisto.com.ua/school/70268/", 70268)</f>
        <v>70268</v>
      </c>
      <c r="B1129" s="3" t="s">
        <v>6174</v>
      </c>
      <c r="C1129" s="3" t="s">
        <v>31</v>
      </c>
      <c r="D1129" s="3" t="s">
        <v>32</v>
      </c>
      <c r="E1129" s="4" t="s">
        <v>22</v>
      </c>
      <c r="F1129" s="4" t="s">
        <v>6175</v>
      </c>
      <c r="G1129" s="4" t="s">
        <v>6176</v>
      </c>
      <c r="H1129" s="3" t="s">
        <v>4839</v>
      </c>
      <c r="I1129" s="3" t="s">
        <v>1518</v>
      </c>
      <c r="J1129" s="3" t="s">
        <v>6177</v>
      </c>
      <c r="K1129" s="3"/>
      <c r="L1129" s="3"/>
      <c r="M1129" s="4"/>
      <c r="N1129" s="3" t="s">
        <v>37</v>
      </c>
      <c r="O1129" s="3" t="s">
        <v>46</v>
      </c>
      <c r="P1129" s="5">
        <v>11</v>
      </c>
      <c r="Q1129" s="5">
        <v>148</v>
      </c>
      <c r="R1129" s="5">
        <v>11</v>
      </c>
      <c r="S1129" s="5">
        <v>145</v>
      </c>
    </row>
    <row r="1130" spans="1:19" ht="28" x14ac:dyDescent="0.15">
      <c r="A1130" s="2">
        <f>HYPERLINK("https://open-school.uspishnemisto.com.ua/school/70269/", 70269)</f>
        <v>70269</v>
      </c>
      <c r="B1130" s="3" t="s">
        <v>6178</v>
      </c>
      <c r="C1130" s="3" t="s">
        <v>31</v>
      </c>
      <c r="D1130" s="3" t="s">
        <v>60</v>
      </c>
      <c r="E1130" s="4" t="s">
        <v>22</v>
      </c>
      <c r="F1130" s="4" t="s">
        <v>6175</v>
      </c>
      <c r="G1130" s="4" t="s">
        <v>6179</v>
      </c>
      <c r="H1130" s="3" t="s">
        <v>4839</v>
      </c>
      <c r="I1130" s="3" t="s">
        <v>6180</v>
      </c>
      <c r="J1130" s="3" t="s">
        <v>6181</v>
      </c>
      <c r="K1130" s="3" t="s">
        <v>6182</v>
      </c>
      <c r="L1130" s="3"/>
      <c r="M1130" s="4"/>
      <c r="N1130" s="3" t="s">
        <v>37</v>
      </c>
      <c r="O1130" s="3" t="s">
        <v>52</v>
      </c>
      <c r="P1130" s="5">
        <v>1</v>
      </c>
      <c r="Q1130" s="5">
        <v>13</v>
      </c>
      <c r="R1130" s="5">
        <v>1</v>
      </c>
      <c r="S1130" s="5">
        <v>13</v>
      </c>
    </row>
    <row r="1131" spans="1:19" ht="28" x14ac:dyDescent="0.15">
      <c r="A1131" s="2">
        <f>HYPERLINK("https://open-school.uspishnemisto.com.ua/school/70270/", 70270)</f>
        <v>70270</v>
      </c>
      <c r="B1131" s="3" t="s">
        <v>6183</v>
      </c>
      <c r="C1131" s="3" t="s">
        <v>31</v>
      </c>
      <c r="D1131" s="3" t="s">
        <v>60</v>
      </c>
      <c r="E1131" s="4" t="s">
        <v>22</v>
      </c>
      <c r="F1131" s="4" t="s">
        <v>6175</v>
      </c>
      <c r="G1131" s="4" t="s">
        <v>6184</v>
      </c>
      <c r="H1131" s="3" t="s">
        <v>4839</v>
      </c>
      <c r="I1131" s="3" t="s">
        <v>6185</v>
      </c>
      <c r="J1131" s="3" t="s">
        <v>6186</v>
      </c>
      <c r="K1131" s="3"/>
      <c r="L1131" s="3"/>
      <c r="M1131" s="4"/>
      <c r="N1131" s="3" t="s">
        <v>37</v>
      </c>
      <c r="O1131" s="3" t="s">
        <v>52</v>
      </c>
      <c r="P1131" s="5">
        <v>1</v>
      </c>
      <c r="Q1131" s="5">
        <v>12</v>
      </c>
      <c r="R1131" s="5">
        <v>1</v>
      </c>
      <c r="S1131" s="5">
        <v>10</v>
      </c>
    </row>
    <row r="1132" spans="1:19" ht="28" x14ac:dyDescent="0.15">
      <c r="A1132" s="2">
        <f>HYPERLINK("https://open-school.uspishnemisto.com.ua/school/70271/", 70271)</f>
        <v>70271</v>
      </c>
      <c r="B1132" s="3" t="s">
        <v>6187</v>
      </c>
      <c r="C1132" s="3" t="s">
        <v>31</v>
      </c>
      <c r="D1132" s="3" t="s">
        <v>32</v>
      </c>
      <c r="E1132" s="4" t="s">
        <v>22</v>
      </c>
      <c r="F1132" s="4" t="s">
        <v>6188</v>
      </c>
      <c r="G1132" s="4" t="s">
        <v>6189</v>
      </c>
      <c r="H1132" s="3" t="s">
        <v>4839</v>
      </c>
      <c r="I1132" s="3" t="s">
        <v>6190</v>
      </c>
      <c r="J1132" s="3" t="s">
        <v>6191</v>
      </c>
      <c r="K1132" s="3"/>
      <c r="L1132" s="3"/>
      <c r="M1132" s="4"/>
      <c r="N1132" s="3" t="s">
        <v>37</v>
      </c>
      <c r="O1132" s="3" t="s">
        <v>38</v>
      </c>
      <c r="P1132" s="5">
        <v>11</v>
      </c>
      <c r="Q1132" s="5">
        <v>141</v>
      </c>
      <c r="R1132" s="5">
        <v>11</v>
      </c>
      <c r="S1132" s="5">
        <v>135</v>
      </c>
    </row>
    <row r="1133" spans="1:19" ht="42" x14ac:dyDescent="0.15">
      <c r="A1133" s="2">
        <f>HYPERLINK("https://open-school.uspishnemisto.com.ua/school/70272/", 70272)</f>
        <v>70272</v>
      </c>
      <c r="B1133" s="3" t="s">
        <v>6192</v>
      </c>
      <c r="C1133" s="3" t="s">
        <v>54</v>
      </c>
      <c r="D1133" s="3" t="s">
        <v>60</v>
      </c>
      <c r="E1133" s="4" t="s">
        <v>22</v>
      </c>
      <c r="F1133" s="4" t="s">
        <v>6188</v>
      </c>
      <c r="G1133" s="4" t="s">
        <v>6193</v>
      </c>
      <c r="H1133" s="3" t="s">
        <v>4839</v>
      </c>
      <c r="I1133" s="3" t="s">
        <v>6194</v>
      </c>
      <c r="J1133" s="3" t="s">
        <v>6195</v>
      </c>
      <c r="K1133" s="3" t="s">
        <v>6196</v>
      </c>
      <c r="L1133" s="3"/>
      <c r="M1133" s="4"/>
      <c r="N1133" s="3" t="s">
        <v>37</v>
      </c>
      <c r="O1133" s="3" t="s">
        <v>52</v>
      </c>
      <c r="P1133" s="5">
        <v>0</v>
      </c>
      <c r="Q1133" s="5">
        <v>7</v>
      </c>
      <c r="R1133" s="5">
        <v>0</v>
      </c>
      <c r="S1133" s="5">
        <v>11</v>
      </c>
    </row>
    <row r="1134" spans="1:19" ht="28" x14ac:dyDescent="0.15">
      <c r="A1134" s="2">
        <f>HYPERLINK("https://open-school.uspishnemisto.com.ua/school/70273/", 70273)</f>
        <v>70273</v>
      </c>
      <c r="B1134" s="3" t="s">
        <v>6197</v>
      </c>
      <c r="C1134" s="3" t="s">
        <v>31</v>
      </c>
      <c r="D1134" s="3" t="s">
        <v>175</v>
      </c>
      <c r="E1134" s="4" t="s">
        <v>22</v>
      </c>
      <c r="F1134" s="4" t="s">
        <v>6198</v>
      </c>
      <c r="G1134" s="4" t="s">
        <v>6199</v>
      </c>
      <c r="H1134" s="3" t="s">
        <v>4839</v>
      </c>
      <c r="I1134" s="3" t="s">
        <v>6200</v>
      </c>
      <c r="J1134" s="3" t="s">
        <v>6201</v>
      </c>
      <c r="K1134" s="3" t="s">
        <v>6202</v>
      </c>
      <c r="L1134" s="3"/>
      <c r="M1134" s="4"/>
      <c r="N1134" s="3" t="s">
        <v>37</v>
      </c>
      <c r="O1134" s="3" t="s">
        <v>52</v>
      </c>
      <c r="P1134" s="5">
        <v>7</v>
      </c>
      <c r="Q1134" s="5">
        <v>49</v>
      </c>
      <c r="R1134" s="5">
        <v>8</v>
      </c>
      <c r="S1134" s="5">
        <v>52</v>
      </c>
    </row>
    <row r="1135" spans="1:19" ht="28" x14ac:dyDescent="0.15">
      <c r="A1135" s="2">
        <f>HYPERLINK("https://open-school.uspishnemisto.com.ua/school/70274/", 70274)</f>
        <v>70274</v>
      </c>
      <c r="B1135" s="3" t="s">
        <v>6203</v>
      </c>
      <c r="C1135" s="3" t="s">
        <v>31</v>
      </c>
      <c r="D1135" s="3" t="s">
        <v>175</v>
      </c>
      <c r="E1135" s="4" t="s">
        <v>22</v>
      </c>
      <c r="F1135" s="4" t="s">
        <v>6204</v>
      </c>
      <c r="G1135" s="4" t="s">
        <v>6205</v>
      </c>
      <c r="H1135" s="3" t="s">
        <v>4839</v>
      </c>
      <c r="I1135" s="3" t="s">
        <v>6206</v>
      </c>
      <c r="J1135" s="3" t="s">
        <v>6207</v>
      </c>
      <c r="K1135" s="3" t="s">
        <v>6208</v>
      </c>
      <c r="L1135" s="3"/>
      <c r="M1135" s="4"/>
      <c r="N1135" s="3" t="s">
        <v>37</v>
      </c>
      <c r="O1135" s="3" t="s">
        <v>46</v>
      </c>
      <c r="P1135" s="5">
        <v>8</v>
      </c>
      <c r="Q1135" s="5">
        <v>49</v>
      </c>
      <c r="R1135" s="5">
        <v>7</v>
      </c>
      <c r="S1135" s="5">
        <v>44</v>
      </c>
    </row>
    <row r="1136" spans="1:19" ht="28" x14ac:dyDescent="0.15">
      <c r="A1136" s="2">
        <f>HYPERLINK("https://open-school.uspishnemisto.com.ua/school/70275/", 70275)</f>
        <v>70275</v>
      </c>
      <c r="B1136" s="3" t="s">
        <v>6209</v>
      </c>
      <c r="C1136" s="3" t="s">
        <v>31</v>
      </c>
      <c r="D1136" s="3" t="s">
        <v>175</v>
      </c>
      <c r="E1136" s="4" t="s">
        <v>22</v>
      </c>
      <c r="F1136" s="4" t="s">
        <v>6210</v>
      </c>
      <c r="G1136" s="4" t="s">
        <v>6211</v>
      </c>
      <c r="H1136" s="3" t="s">
        <v>4839</v>
      </c>
      <c r="I1136" s="3" t="s">
        <v>6212</v>
      </c>
      <c r="J1136" s="3" t="s">
        <v>6213</v>
      </c>
      <c r="K1136" s="3" t="s">
        <v>6214</v>
      </c>
      <c r="L1136" s="3"/>
      <c r="M1136" s="4"/>
      <c r="N1136" s="3" t="s">
        <v>37</v>
      </c>
      <c r="O1136" s="3" t="s">
        <v>52</v>
      </c>
      <c r="P1136" s="5">
        <v>9</v>
      </c>
      <c r="Q1136" s="5">
        <v>75</v>
      </c>
      <c r="R1136" s="5">
        <v>8</v>
      </c>
      <c r="S1136" s="5">
        <v>68</v>
      </c>
    </row>
    <row r="1137" spans="1:19" ht="28" x14ac:dyDescent="0.15">
      <c r="A1137" s="2">
        <f>HYPERLINK("https://open-school.uspishnemisto.com.ua/school/70276/", 70276)</f>
        <v>70276</v>
      </c>
      <c r="B1137" s="3" t="s">
        <v>6215</v>
      </c>
      <c r="C1137" s="3" t="s">
        <v>31</v>
      </c>
      <c r="D1137" s="3" t="s">
        <v>60</v>
      </c>
      <c r="E1137" s="4" t="s">
        <v>22</v>
      </c>
      <c r="F1137" s="4" t="s">
        <v>6152</v>
      </c>
      <c r="G1137" s="4" t="s">
        <v>6216</v>
      </c>
      <c r="H1137" s="3" t="s">
        <v>4839</v>
      </c>
      <c r="I1137" s="3" t="s">
        <v>6217</v>
      </c>
      <c r="J1137" s="3" t="s">
        <v>6218</v>
      </c>
      <c r="K1137" s="3" t="s">
        <v>6219</v>
      </c>
      <c r="L1137" s="3"/>
      <c r="M1137" s="4"/>
      <c r="N1137" s="3" t="s">
        <v>37</v>
      </c>
      <c r="O1137" s="3" t="s">
        <v>52</v>
      </c>
      <c r="P1137" s="5">
        <v>0</v>
      </c>
      <c r="Q1137" s="5">
        <v>4</v>
      </c>
      <c r="R1137" s="5">
        <v>1</v>
      </c>
      <c r="S1137" s="5">
        <v>12</v>
      </c>
    </row>
    <row r="1138" spans="1:19" ht="28" x14ac:dyDescent="0.15">
      <c r="A1138" s="2">
        <f>HYPERLINK("https://open-school.uspishnemisto.com.ua/school/70277/", 70277)</f>
        <v>70277</v>
      </c>
      <c r="B1138" s="3" t="s">
        <v>6220</v>
      </c>
      <c r="C1138" s="3" t="s">
        <v>31</v>
      </c>
      <c r="D1138" s="3" t="s">
        <v>32</v>
      </c>
      <c r="E1138" s="4" t="s">
        <v>22</v>
      </c>
      <c r="F1138" s="4" t="s">
        <v>6221</v>
      </c>
      <c r="G1138" s="4" t="s">
        <v>6222</v>
      </c>
      <c r="H1138" s="3" t="s">
        <v>4839</v>
      </c>
      <c r="I1138" s="3" t="s">
        <v>5877</v>
      </c>
      <c r="J1138" s="3" t="s">
        <v>6223</v>
      </c>
      <c r="K1138" s="3" t="s">
        <v>6224</v>
      </c>
      <c r="L1138" s="3" t="s">
        <v>6225</v>
      </c>
      <c r="M1138" s="4"/>
      <c r="N1138" s="3" t="s">
        <v>37</v>
      </c>
      <c r="O1138" s="3" t="s">
        <v>2740</v>
      </c>
      <c r="P1138" s="5">
        <v>20</v>
      </c>
      <c r="Q1138" s="5">
        <v>448</v>
      </c>
      <c r="R1138" s="5">
        <v>20</v>
      </c>
      <c r="S1138" s="5">
        <v>438</v>
      </c>
    </row>
    <row r="1139" spans="1:19" ht="28" x14ac:dyDescent="0.15">
      <c r="A1139" s="2">
        <f>HYPERLINK("https://open-school.uspishnemisto.com.ua/school/70278/", 70278)</f>
        <v>70278</v>
      </c>
      <c r="B1139" s="3" t="s">
        <v>6226</v>
      </c>
      <c r="C1139" s="3" t="s">
        <v>31</v>
      </c>
      <c r="D1139" s="3" t="s">
        <v>32</v>
      </c>
      <c r="E1139" s="4" t="s">
        <v>22</v>
      </c>
      <c r="F1139" s="4" t="s">
        <v>6227</v>
      </c>
      <c r="G1139" s="4" t="s">
        <v>6228</v>
      </c>
      <c r="H1139" s="3" t="s">
        <v>4839</v>
      </c>
      <c r="I1139" s="3" t="s">
        <v>6229</v>
      </c>
      <c r="J1139" s="3" t="s">
        <v>3538</v>
      </c>
      <c r="K1139" s="3" t="s">
        <v>6230</v>
      </c>
      <c r="L1139" s="3"/>
      <c r="M1139" s="4"/>
      <c r="N1139" s="3" t="s">
        <v>37</v>
      </c>
      <c r="O1139" s="3" t="s">
        <v>46</v>
      </c>
      <c r="P1139" s="5">
        <v>16</v>
      </c>
      <c r="Q1139" s="5">
        <v>301</v>
      </c>
      <c r="R1139" s="5">
        <v>16</v>
      </c>
      <c r="S1139" s="5">
        <v>306</v>
      </c>
    </row>
    <row r="1140" spans="1:19" ht="28" x14ac:dyDescent="0.15">
      <c r="A1140" s="2">
        <f>HYPERLINK("https://open-school.uspishnemisto.com.ua/school/70279/", 70279)</f>
        <v>70279</v>
      </c>
      <c r="B1140" s="3" t="s">
        <v>6231</v>
      </c>
      <c r="C1140" s="3" t="s">
        <v>31</v>
      </c>
      <c r="D1140" s="3" t="s">
        <v>175</v>
      </c>
      <c r="E1140" s="4" t="s">
        <v>22</v>
      </c>
      <c r="F1140" s="4" t="s">
        <v>6232</v>
      </c>
      <c r="G1140" s="4" t="s">
        <v>6233</v>
      </c>
      <c r="H1140" s="3" t="s">
        <v>4839</v>
      </c>
      <c r="I1140" s="3" t="s">
        <v>6234</v>
      </c>
      <c r="J1140" s="3" t="s">
        <v>2687</v>
      </c>
      <c r="K1140" s="3" t="s">
        <v>6235</v>
      </c>
      <c r="L1140" s="3"/>
      <c r="M1140" s="4"/>
      <c r="N1140" s="3" t="s">
        <v>37</v>
      </c>
      <c r="O1140" s="3" t="s">
        <v>46</v>
      </c>
      <c r="P1140" s="5">
        <v>8</v>
      </c>
      <c r="Q1140" s="5">
        <v>63</v>
      </c>
      <c r="R1140" s="5">
        <v>8</v>
      </c>
      <c r="S1140" s="5">
        <v>60</v>
      </c>
    </row>
    <row r="1141" spans="1:19" ht="28" x14ac:dyDescent="0.15">
      <c r="A1141" s="2">
        <f>HYPERLINK("https://open-school.uspishnemisto.com.ua/school/70280/", 70280)</f>
        <v>70280</v>
      </c>
      <c r="B1141" s="3" t="s">
        <v>6236</v>
      </c>
      <c r="C1141" s="3" t="s">
        <v>31</v>
      </c>
      <c r="D1141" s="3" t="s">
        <v>32</v>
      </c>
      <c r="E1141" s="4" t="s">
        <v>22</v>
      </c>
      <c r="F1141" s="4" t="s">
        <v>6204</v>
      </c>
      <c r="G1141" s="4" t="s">
        <v>6237</v>
      </c>
      <c r="H1141" s="3" t="s">
        <v>4839</v>
      </c>
      <c r="I1141" s="3" t="s">
        <v>6238</v>
      </c>
      <c r="J1141" s="3" t="s">
        <v>6239</v>
      </c>
      <c r="K1141" s="3"/>
      <c r="L1141" s="3"/>
      <c r="M1141" s="4"/>
      <c r="N1141" s="3" t="s">
        <v>37</v>
      </c>
      <c r="O1141" s="3" t="s">
        <v>52</v>
      </c>
      <c r="P1141" s="5">
        <v>9</v>
      </c>
      <c r="Q1141" s="5">
        <v>131</v>
      </c>
      <c r="R1141" s="5">
        <v>9</v>
      </c>
      <c r="S1141" s="5">
        <v>118</v>
      </c>
    </row>
    <row r="1142" spans="1:19" ht="28" x14ac:dyDescent="0.15">
      <c r="A1142" s="2">
        <f>HYPERLINK("https://open-school.uspishnemisto.com.ua/school/70281/", 70281)</f>
        <v>70281</v>
      </c>
      <c r="B1142" s="3" t="s">
        <v>6240</v>
      </c>
      <c r="C1142" s="3" t="s">
        <v>31</v>
      </c>
      <c r="D1142" s="3" t="s">
        <v>60</v>
      </c>
      <c r="E1142" s="4" t="s">
        <v>22</v>
      </c>
      <c r="F1142" s="4" t="s">
        <v>6241</v>
      </c>
      <c r="G1142" s="4" t="s">
        <v>6242</v>
      </c>
      <c r="H1142" s="3" t="s">
        <v>4839</v>
      </c>
      <c r="I1142" s="3" t="s">
        <v>6243</v>
      </c>
      <c r="J1142" s="3" t="s">
        <v>6244</v>
      </c>
      <c r="K1142" s="3" t="s">
        <v>6245</v>
      </c>
      <c r="L1142" s="3"/>
      <c r="M1142" s="4"/>
      <c r="N1142" s="3" t="s">
        <v>37</v>
      </c>
      <c r="O1142" s="3" t="s">
        <v>52</v>
      </c>
      <c r="P1142" s="5">
        <v>3</v>
      </c>
      <c r="Q1142" s="5">
        <v>23</v>
      </c>
      <c r="R1142" s="5">
        <v>2</v>
      </c>
      <c r="S1142" s="5">
        <v>21</v>
      </c>
    </row>
    <row r="1143" spans="1:19" ht="42" x14ac:dyDescent="0.15">
      <c r="A1143" s="2">
        <f>HYPERLINK("https://open-school.uspishnemisto.com.ua/school/70282/", 70282)</f>
        <v>70282</v>
      </c>
      <c r="B1143" s="3" t="s">
        <v>6246</v>
      </c>
      <c r="C1143" s="3" t="s">
        <v>54</v>
      </c>
      <c r="D1143" s="3" t="s">
        <v>175</v>
      </c>
      <c r="E1143" s="4" t="s">
        <v>22</v>
      </c>
      <c r="F1143" s="4" t="s">
        <v>6039</v>
      </c>
      <c r="G1143" s="4" t="s">
        <v>6247</v>
      </c>
      <c r="H1143" s="3" t="s">
        <v>4839</v>
      </c>
      <c r="I1143" s="3" t="s">
        <v>6248</v>
      </c>
      <c r="J1143" s="3" t="s">
        <v>6249</v>
      </c>
      <c r="K1143" s="3" t="s">
        <v>6250</v>
      </c>
      <c r="L1143" s="3"/>
      <c r="M1143" s="4"/>
      <c r="N1143" s="3" t="s">
        <v>37</v>
      </c>
      <c r="O1143" s="3" t="s">
        <v>52</v>
      </c>
      <c r="P1143" s="5">
        <v>6</v>
      </c>
      <c r="Q1143" s="5">
        <v>40</v>
      </c>
      <c r="R1143" s="5">
        <v>5</v>
      </c>
      <c r="S1143" s="5">
        <v>37</v>
      </c>
    </row>
    <row r="1144" spans="1:19" ht="28" x14ac:dyDescent="0.15">
      <c r="A1144" s="2">
        <f>HYPERLINK("https://open-school.uspishnemisto.com.ua/school/70283/", 70283)</f>
        <v>70283</v>
      </c>
      <c r="B1144" s="3" t="s">
        <v>6251</v>
      </c>
      <c r="C1144" s="3" t="s">
        <v>31</v>
      </c>
      <c r="D1144" s="3" t="s">
        <v>60</v>
      </c>
      <c r="E1144" s="4" t="s">
        <v>22</v>
      </c>
      <c r="F1144" s="4" t="s">
        <v>6241</v>
      </c>
      <c r="G1144" s="4" t="s">
        <v>6252</v>
      </c>
      <c r="H1144" s="3" t="s">
        <v>4839</v>
      </c>
      <c r="I1144" s="3" t="s">
        <v>6253</v>
      </c>
      <c r="J1144" s="3" t="s">
        <v>6254</v>
      </c>
      <c r="K1144" s="3" t="s">
        <v>6255</v>
      </c>
      <c r="L1144" s="3"/>
      <c r="M1144" s="4"/>
      <c r="N1144" s="3" t="s">
        <v>37</v>
      </c>
      <c r="O1144" s="3" t="s">
        <v>52</v>
      </c>
      <c r="P1144" s="5">
        <v>0</v>
      </c>
      <c r="Q1144" s="5">
        <v>0</v>
      </c>
      <c r="R1144" s="5">
        <v>0</v>
      </c>
      <c r="S1144" s="5">
        <v>1</v>
      </c>
    </row>
    <row r="1145" spans="1:19" ht="28" x14ac:dyDescent="0.15">
      <c r="A1145" s="2">
        <f>HYPERLINK("https://open-school.uspishnemisto.com.ua/school/70284/", 70284)</f>
        <v>70284</v>
      </c>
      <c r="B1145" s="3" t="s">
        <v>6256</v>
      </c>
      <c r="C1145" s="3" t="s">
        <v>31</v>
      </c>
      <c r="D1145" s="3" t="s">
        <v>32</v>
      </c>
      <c r="E1145" s="4" t="s">
        <v>22</v>
      </c>
      <c r="F1145" s="4" t="s">
        <v>6257</v>
      </c>
      <c r="G1145" s="4" t="s">
        <v>6258</v>
      </c>
      <c r="H1145" s="3" t="s">
        <v>4839</v>
      </c>
      <c r="I1145" s="3" t="s">
        <v>6259</v>
      </c>
      <c r="J1145" s="3" t="s">
        <v>6260</v>
      </c>
      <c r="K1145" s="3" t="s">
        <v>6261</v>
      </c>
      <c r="L1145" s="3" t="s">
        <v>6262</v>
      </c>
      <c r="M1145" s="4"/>
      <c r="N1145" s="3" t="s">
        <v>37</v>
      </c>
      <c r="O1145" s="3" t="s">
        <v>46</v>
      </c>
      <c r="P1145" s="5">
        <v>10</v>
      </c>
      <c r="Q1145" s="5">
        <v>91</v>
      </c>
      <c r="R1145" s="5">
        <v>11</v>
      </c>
      <c r="S1145" s="5">
        <v>95</v>
      </c>
    </row>
    <row r="1146" spans="1:19" ht="28" x14ac:dyDescent="0.15">
      <c r="A1146" s="2">
        <f>HYPERLINK("https://open-school.uspishnemisto.com.ua/school/70285/", 70285)</f>
        <v>70285</v>
      </c>
      <c r="B1146" s="3" t="s">
        <v>6263</v>
      </c>
      <c r="C1146" s="3" t="s">
        <v>31</v>
      </c>
      <c r="D1146" s="3" t="s">
        <v>60</v>
      </c>
      <c r="E1146" s="4" t="s">
        <v>22</v>
      </c>
      <c r="F1146" s="4" t="s">
        <v>6264</v>
      </c>
      <c r="G1146" s="4" t="s">
        <v>6265</v>
      </c>
      <c r="H1146" s="3" t="s">
        <v>4839</v>
      </c>
      <c r="I1146" s="3" t="s">
        <v>6266</v>
      </c>
      <c r="J1146" s="3" t="s">
        <v>1636</v>
      </c>
      <c r="K1146" s="3"/>
      <c r="L1146" s="3"/>
      <c r="M1146" s="4"/>
      <c r="N1146" s="3" t="s">
        <v>37</v>
      </c>
      <c r="O1146" s="3" t="s">
        <v>52</v>
      </c>
      <c r="P1146" s="5">
        <v>2</v>
      </c>
      <c r="Q1146" s="5">
        <v>14</v>
      </c>
      <c r="R1146" s="5">
        <v>1</v>
      </c>
      <c r="S1146" s="5">
        <v>14</v>
      </c>
    </row>
    <row r="1147" spans="1:19" ht="28" x14ac:dyDescent="0.15">
      <c r="A1147" s="2">
        <f>HYPERLINK("https://open-school.uspishnemisto.com.ua/school/70286/", 70286)</f>
        <v>70286</v>
      </c>
      <c r="B1147" s="3" t="s">
        <v>6267</v>
      </c>
      <c r="C1147" s="3" t="s">
        <v>31</v>
      </c>
      <c r="D1147" s="3" t="s">
        <v>32</v>
      </c>
      <c r="E1147" s="4" t="s">
        <v>22</v>
      </c>
      <c r="F1147" s="4" t="s">
        <v>6268</v>
      </c>
      <c r="G1147" s="4" t="s">
        <v>6269</v>
      </c>
      <c r="H1147" s="3" t="s">
        <v>4839</v>
      </c>
      <c r="I1147" s="3" t="s">
        <v>6270</v>
      </c>
      <c r="J1147" s="3" t="s">
        <v>6271</v>
      </c>
      <c r="K1147" s="3" t="s">
        <v>6272</v>
      </c>
      <c r="L1147" s="3" t="s">
        <v>6273</v>
      </c>
      <c r="M1147" s="4"/>
      <c r="N1147" s="3" t="s">
        <v>37</v>
      </c>
      <c r="O1147" s="3" t="s">
        <v>139</v>
      </c>
      <c r="P1147" s="5">
        <v>13</v>
      </c>
      <c r="Q1147" s="5">
        <v>233</v>
      </c>
      <c r="R1147" s="5">
        <v>14</v>
      </c>
      <c r="S1147" s="5">
        <v>249</v>
      </c>
    </row>
    <row r="1148" spans="1:19" ht="28" x14ac:dyDescent="0.15">
      <c r="A1148" s="2">
        <f>HYPERLINK("https://open-school.uspishnemisto.com.ua/school/70287/", 70287)</f>
        <v>70287</v>
      </c>
      <c r="B1148" s="3" t="s">
        <v>6274</v>
      </c>
      <c r="C1148" s="3" t="s">
        <v>31</v>
      </c>
      <c r="D1148" s="3" t="s">
        <v>60</v>
      </c>
      <c r="E1148" s="4" t="s">
        <v>22</v>
      </c>
      <c r="F1148" s="4" t="s">
        <v>6275</v>
      </c>
      <c r="G1148" s="4" t="s">
        <v>6276</v>
      </c>
      <c r="H1148" s="3" t="s">
        <v>4839</v>
      </c>
      <c r="I1148" s="3" t="s">
        <v>6277</v>
      </c>
      <c r="J1148" s="3" t="s">
        <v>6278</v>
      </c>
      <c r="K1148" s="3" t="s">
        <v>6279</v>
      </c>
      <c r="L1148" s="3"/>
      <c r="M1148" s="4"/>
      <c r="N1148" s="3" t="s">
        <v>37</v>
      </c>
      <c r="O1148" s="3" t="s">
        <v>52</v>
      </c>
      <c r="P1148" s="5">
        <v>0</v>
      </c>
      <c r="Q1148" s="5">
        <v>14</v>
      </c>
      <c r="R1148" s="5">
        <v>1</v>
      </c>
      <c r="S1148" s="5">
        <v>15</v>
      </c>
    </row>
    <row r="1149" spans="1:19" ht="28" x14ac:dyDescent="0.15">
      <c r="A1149" s="2">
        <f>HYPERLINK("https://open-school.uspishnemisto.com.ua/school/70288/", 70288)</f>
        <v>70288</v>
      </c>
      <c r="B1149" s="3" t="s">
        <v>6280</v>
      </c>
      <c r="C1149" s="3" t="s">
        <v>31</v>
      </c>
      <c r="D1149" s="3" t="s">
        <v>32</v>
      </c>
      <c r="E1149" s="4" t="s">
        <v>22</v>
      </c>
      <c r="F1149" s="4" t="s">
        <v>6281</v>
      </c>
      <c r="G1149" s="4" t="s">
        <v>6282</v>
      </c>
      <c r="H1149" s="3" t="s">
        <v>4839</v>
      </c>
      <c r="I1149" s="3" t="s">
        <v>6283</v>
      </c>
      <c r="J1149" s="3" t="s">
        <v>466</v>
      </c>
      <c r="K1149" s="3" t="s">
        <v>6284</v>
      </c>
      <c r="L1149" s="3"/>
      <c r="M1149" s="4"/>
      <c r="N1149" s="3" t="s">
        <v>37</v>
      </c>
      <c r="O1149" s="3" t="s">
        <v>52</v>
      </c>
      <c r="P1149" s="5">
        <v>10</v>
      </c>
      <c r="Q1149" s="5">
        <v>69</v>
      </c>
      <c r="R1149" s="5">
        <v>10</v>
      </c>
      <c r="S1149" s="5">
        <v>68</v>
      </c>
    </row>
    <row r="1150" spans="1:19" ht="28" x14ac:dyDescent="0.15">
      <c r="A1150" s="2">
        <f>HYPERLINK("https://open-school.uspishnemisto.com.ua/school/70289/", 70289)</f>
        <v>70289</v>
      </c>
      <c r="B1150" s="3" t="s">
        <v>6285</v>
      </c>
      <c r="C1150" s="3" t="s">
        <v>31</v>
      </c>
      <c r="D1150" s="3" t="s">
        <v>32</v>
      </c>
      <c r="E1150" s="4" t="s">
        <v>22</v>
      </c>
      <c r="F1150" s="4" t="s">
        <v>6286</v>
      </c>
      <c r="G1150" s="4" t="s">
        <v>6287</v>
      </c>
      <c r="H1150" s="3" t="s">
        <v>4839</v>
      </c>
      <c r="I1150" s="3" t="s">
        <v>2422</v>
      </c>
      <c r="J1150" s="3" t="s">
        <v>6288</v>
      </c>
      <c r="K1150" s="3" t="s">
        <v>6289</v>
      </c>
      <c r="L1150" s="3"/>
      <c r="M1150" s="4"/>
      <c r="N1150" s="3" t="s">
        <v>37</v>
      </c>
      <c r="O1150" s="3" t="s">
        <v>1081</v>
      </c>
      <c r="P1150" s="5">
        <v>10</v>
      </c>
      <c r="Q1150" s="5">
        <v>79</v>
      </c>
      <c r="R1150" s="5">
        <v>11</v>
      </c>
      <c r="S1150" s="5">
        <v>90</v>
      </c>
    </row>
    <row r="1151" spans="1:19" ht="28" x14ac:dyDescent="0.15">
      <c r="A1151" s="2">
        <f>HYPERLINK("https://open-school.uspishnemisto.com.ua/school/70290/", 70290)</f>
        <v>70290</v>
      </c>
      <c r="B1151" s="3" t="s">
        <v>6290</v>
      </c>
      <c r="C1151" s="3" t="s">
        <v>31</v>
      </c>
      <c r="D1151" s="3" t="s">
        <v>175</v>
      </c>
      <c r="E1151" s="4" t="s">
        <v>22</v>
      </c>
      <c r="F1151" s="4" t="s">
        <v>6291</v>
      </c>
      <c r="G1151" s="4" t="s">
        <v>6292</v>
      </c>
      <c r="H1151" s="3" t="s">
        <v>4839</v>
      </c>
      <c r="I1151" s="3" t="s">
        <v>6293</v>
      </c>
      <c r="J1151" s="3" t="s">
        <v>466</v>
      </c>
      <c r="K1151" s="3" t="s">
        <v>6294</v>
      </c>
      <c r="L1151" s="3"/>
      <c r="M1151" s="4"/>
      <c r="N1151" s="3" t="s">
        <v>37</v>
      </c>
      <c r="O1151" s="3" t="s">
        <v>52</v>
      </c>
      <c r="P1151" s="5">
        <v>8</v>
      </c>
      <c r="Q1151" s="5">
        <v>93</v>
      </c>
      <c r="R1151" s="5">
        <v>9</v>
      </c>
      <c r="S1151" s="5">
        <v>89</v>
      </c>
    </row>
    <row r="1152" spans="1:19" ht="28" x14ac:dyDescent="0.15">
      <c r="A1152" s="2">
        <f>HYPERLINK("https://open-school.uspishnemisto.com.ua/school/70291/", 70291)</f>
        <v>70291</v>
      </c>
      <c r="B1152" s="3" t="s">
        <v>6295</v>
      </c>
      <c r="C1152" s="3" t="s">
        <v>31</v>
      </c>
      <c r="D1152" s="3" t="s">
        <v>175</v>
      </c>
      <c r="E1152" s="4" t="s">
        <v>22</v>
      </c>
      <c r="F1152" s="4" t="s">
        <v>6296</v>
      </c>
      <c r="G1152" s="4" t="s">
        <v>6297</v>
      </c>
      <c r="H1152" s="3" t="s">
        <v>4839</v>
      </c>
      <c r="I1152" s="3" t="s">
        <v>6298</v>
      </c>
      <c r="J1152" s="3" t="s">
        <v>466</v>
      </c>
      <c r="K1152" s="3" t="s">
        <v>6299</v>
      </c>
      <c r="L1152" s="3"/>
      <c r="M1152" s="4"/>
      <c r="N1152" s="3" t="s">
        <v>37</v>
      </c>
      <c r="O1152" s="3" t="s">
        <v>38</v>
      </c>
      <c r="P1152" s="5">
        <v>9</v>
      </c>
      <c r="Q1152" s="5">
        <v>91</v>
      </c>
      <c r="R1152" s="5">
        <v>9</v>
      </c>
      <c r="S1152" s="5">
        <v>86</v>
      </c>
    </row>
    <row r="1153" spans="1:19" ht="28" x14ac:dyDescent="0.15">
      <c r="A1153" s="2">
        <f>HYPERLINK("https://open-school.uspishnemisto.com.ua/school/70292/", 70292)</f>
        <v>70292</v>
      </c>
      <c r="B1153" s="3" t="s">
        <v>6300</v>
      </c>
      <c r="C1153" s="3" t="s">
        <v>31</v>
      </c>
      <c r="D1153" s="3" t="s">
        <v>175</v>
      </c>
      <c r="E1153" s="4" t="s">
        <v>22</v>
      </c>
      <c r="F1153" s="4" t="s">
        <v>6301</v>
      </c>
      <c r="G1153" s="4" t="s">
        <v>6302</v>
      </c>
      <c r="H1153" s="3" t="s">
        <v>4839</v>
      </c>
      <c r="I1153" s="3" t="s">
        <v>6303</v>
      </c>
      <c r="J1153" s="3" t="s">
        <v>634</v>
      </c>
      <c r="K1153" s="3" t="s">
        <v>6304</v>
      </c>
      <c r="L1153" s="3"/>
      <c r="M1153" s="4"/>
      <c r="N1153" s="3" t="s">
        <v>37</v>
      </c>
      <c r="O1153" s="3" t="s">
        <v>38</v>
      </c>
      <c r="P1153" s="5">
        <v>9</v>
      </c>
      <c r="Q1153" s="5">
        <v>113</v>
      </c>
      <c r="R1153" s="5">
        <v>9</v>
      </c>
      <c r="S1153" s="5">
        <v>99</v>
      </c>
    </row>
    <row r="1154" spans="1:19" ht="28" x14ac:dyDescent="0.15">
      <c r="A1154" s="2">
        <f>HYPERLINK("https://open-school.uspishnemisto.com.ua/school/70293/", 70293)</f>
        <v>70293</v>
      </c>
      <c r="B1154" s="3" t="s">
        <v>6305</v>
      </c>
      <c r="C1154" s="3" t="s">
        <v>31</v>
      </c>
      <c r="D1154" s="3" t="s">
        <v>32</v>
      </c>
      <c r="E1154" s="4" t="s">
        <v>22</v>
      </c>
      <c r="F1154" s="4" t="s">
        <v>6306</v>
      </c>
      <c r="G1154" s="4" t="s">
        <v>6307</v>
      </c>
      <c r="H1154" s="3" t="s">
        <v>4839</v>
      </c>
      <c r="I1154" s="3" t="s">
        <v>6308</v>
      </c>
      <c r="J1154" s="3" t="s">
        <v>4448</v>
      </c>
      <c r="K1154" s="3"/>
      <c r="L1154" s="3"/>
      <c r="M1154" s="4"/>
      <c r="N1154" s="3" t="s">
        <v>37</v>
      </c>
      <c r="O1154" s="3" t="s">
        <v>52</v>
      </c>
      <c r="P1154" s="5">
        <v>11</v>
      </c>
      <c r="Q1154" s="5">
        <v>81</v>
      </c>
      <c r="R1154" s="5">
        <v>10</v>
      </c>
      <c r="S1154" s="5">
        <v>75</v>
      </c>
    </row>
    <row r="1155" spans="1:19" ht="28" x14ac:dyDescent="0.15">
      <c r="A1155" s="2">
        <f>HYPERLINK("https://open-school.uspishnemisto.com.ua/school/70294/", 70294)</f>
        <v>70294</v>
      </c>
      <c r="B1155" s="3" t="s">
        <v>6309</v>
      </c>
      <c r="C1155" s="3" t="s">
        <v>31</v>
      </c>
      <c r="D1155" s="3" t="s">
        <v>175</v>
      </c>
      <c r="E1155" s="4" t="s">
        <v>22</v>
      </c>
      <c r="F1155" s="4" t="s">
        <v>6306</v>
      </c>
      <c r="G1155" s="4" t="s">
        <v>6310</v>
      </c>
      <c r="H1155" s="3" t="s">
        <v>4839</v>
      </c>
      <c r="I1155" s="3" t="s">
        <v>6311</v>
      </c>
      <c r="J1155" s="3" t="s">
        <v>6312</v>
      </c>
      <c r="K1155" s="3" t="s">
        <v>6313</v>
      </c>
      <c r="L1155" s="3"/>
      <c r="M1155" s="4"/>
      <c r="N1155" s="3" t="s">
        <v>37</v>
      </c>
      <c r="O1155" s="3" t="s">
        <v>52</v>
      </c>
      <c r="P1155" s="5">
        <v>4</v>
      </c>
      <c r="Q1155" s="5">
        <v>40</v>
      </c>
      <c r="R1155" s="5">
        <v>4</v>
      </c>
      <c r="S1155" s="5">
        <v>41</v>
      </c>
    </row>
    <row r="1156" spans="1:19" ht="42" x14ac:dyDescent="0.15">
      <c r="A1156" s="2">
        <f>HYPERLINK("https://open-school.uspishnemisto.com.ua/school/70295/", 70295)</f>
        <v>70295</v>
      </c>
      <c r="B1156" s="3" t="s">
        <v>6314</v>
      </c>
      <c r="C1156" s="3" t="s">
        <v>54</v>
      </c>
      <c r="D1156" s="3" t="s">
        <v>175</v>
      </c>
      <c r="E1156" s="4" t="s">
        <v>22</v>
      </c>
      <c r="F1156" s="4" t="s">
        <v>6306</v>
      </c>
      <c r="G1156" s="4" t="s">
        <v>6315</v>
      </c>
      <c r="H1156" s="3" t="s">
        <v>4839</v>
      </c>
      <c r="I1156" s="3" t="s">
        <v>6316</v>
      </c>
      <c r="J1156" s="3" t="s">
        <v>6317</v>
      </c>
      <c r="K1156" s="3" t="s">
        <v>6318</v>
      </c>
      <c r="L1156" s="3"/>
      <c r="M1156" s="4"/>
      <c r="N1156" s="3" t="s">
        <v>37</v>
      </c>
      <c r="O1156" s="3" t="s">
        <v>52</v>
      </c>
      <c r="P1156" s="5">
        <v>7</v>
      </c>
      <c r="Q1156" s="5">
        <v>45</v>
      </c>
      <c r="R1156" s="5">
        <v>7</v>
      </c>
      <c r="S1156" s="5">
        <v>48</v>
      </c>
    </row>
    <row r="1157" spans="1:19" ht="28" x14ac:dyDescent="0.15">
      <c r="A1157" s="2">
        <f>HYPERLINK("https://open-school.uspishnemisto.com.ua/school/70296/", 70296)</f>
        <v>70296</v>
      </c>
      <c r="B1157" s="3" t="s">
        <v>6319</v>
      </c>
      <c r="C1157" s="3" t="s">
        <v>31</v>
      </c>
      <c r="D1157" s="3" t="s">
        <v>32</v>
      </c>
      <c r="E1157" s="4" t="s">
        <v>22</v>
      </c>
      <c r="F1157" s="4" t="s">
        <v>6320</v>
      </c>
      <c r="G1157" s="4" t="s">
        <v>6321</v>
      </c>
      <c r="H1157" s="3" t="s">
        <v>4839</v>
      </c>
      <c r="I1157" s="3" t="s">
        <v>3581</v>
      </c>
      <c r="J1157" s="3" t="s">
        <v>6322</v>
      </c>
      <c r="K1157" s="3"/>
      <c r="L1157" s="3"/>
      <c r="M1157" s="4"/>
      <c r="N1157" s="3" t="s">
        <v>37</v>
      </c>
      <c r="O1157" s="3" t="s">
        <v>46</v>
      </c>
      <c r="P1157" s="5">
        <v>11</v>
      </c>
      <c r="Q1157" s="5">
        <v>158</v>
      </c>
      <c r="R1157" s="5">
        <v>11</v>
      </c>
      <c r="S1157" s="5">
        <v>145</v>
      </c>
    </row>
    <row r="1158" spans="1:19" ht="28" x14ac:dyDescent="0.15">
      <c r="A1158" s="2">
        <f>HYPERLINK("https://open-school.uspishnemisto.com.ua/school/70297/", 70297)</f>
        <v>70297</v>
      </c>
      <c r="B1158" s="3" t="s">
        <v>6323</v>
      </c>
      <c r="C1158" s="3" t="s">
        <v>31</v>
      </c>
      <c r="D1158" s="3" t="s">
        <v>60</v>
      </c>
      <c r="E1158" s="4" t="s">
        <v>22</v>
      </c>
      <c r="F1158" s="4" t="s">
        <v>6320</v>
      </c>
      <c r="G1158" s="4" t="s">
        <v>6324</v>
      </c>
      <c r="H1158" s="3" t="s">
        <v>4839</v>
      </c>
      <c r="I1158" s="3" t="s">
        <v>6325</v>
      </c>
      <c r="J1158" s="3" t="s">
        <v>6326</v>
      </c>
      <c r="K1158" s="3" t="s">
        <v>6327</v>
      </c>
      <c r="L1158" s="3"/>
      <c r="M1158" s="4"/>
      <c r="N1158" s="3" t="s">
        <v>37</v>
      </c>
      <c r="O1158" s="3" t="s">
        <v>52</v>
      </c>
      <c r="P1158" s="5">
        <v>4</v>
      </c>
      <c r="Q1158" s="5">
        <v>22</v>
      </c>
      <c r="R1158" s="5">
        <v>3</v>
      </c>
      <c r="S1158" s="5">
        <v>19</v>
      </c>
    </row>
    <row r="1159" spans="1:19" ht="28" x14ac:dyDescent="0.15">
      <c r="A1159" s="2">
        <f>HYPERLINK("https://open-school.uspishnemisto.com.ua/school/70298/", 70298)</f>
        <v>70298</v>
      </c>
      <c r="B1159" s="3" t="s">
        <v>6328</v>
      </c>
      <c r="C1159" s="3" t="s">
        <v>31</v>
      </c>
      <c r="D1159" s="3" t="s">
        <v>32</v>
      </c>
      <c r="E1159" s="4" t="s">
        <v>22</v>
      </c>
      <c r="F1159" s="4" t="s">
        <v>6329</v>
      </c>
      <c r="G1159" s="4" t="s">
        <v>6330</v>
      </c>
      <c r="H1159" s="3" t="s">
        <v>4839</v>
      </c>
      <c r="I1159" s="3" t="s">
        <v>6331</v>
      </c>
      <c r="J1159" s="3" t="s">
        <v>6332</v>
      </c>
      <c r="K1159" s="3" t="s">
        <v>6333</v>
      </c>
      <c r="L1159" s="3"/>
      <c r="M1159" s="4"/>
      <c r="N1159" s="3" t="s">
        <v>37</v>
      </c>
      <c r="O1159" s="3" t="s">
        <v>46</v>
      </c>
      <c r="P1159" s="5">
        <v>11</v>
      </c>
      <c r="Q1159" s="5">
        <v>158</v>
      </c>
      <c r="R1159" s="5">
        <v>11</v>
      </c>
      <c r="S1159" s="5">
        <v>150</v>
      </c>
    </row>
    <row r="1160" spans="1:19" ht="28" x14ac:dyDescent="0.15">
      <c r="A1160" s="2">
        <f>HYPERLINK("https://open-school.uspishnemisto.com.ua/school/70299/", 70299)</f>
        <v>70299</v>
      </c>
      <c r="B1160" s="3" t="s">
        <v>6334</v>
      </c>
      <c r="C1160" s="3" t="s">
        <v>31</v>
      </c>
      <c r="D1160" s="3" t="s">
        <v>60</v>
      </c>
      <c r="E1160" s="4" t="s">
        <v>22</v>
      </c>
      <c r="F1160" s="4" t="s">
        <v>6329</v>
      </c>
      <c r="G1160" s="4" t="s">
        <v>6335</v>
      </c>
      <c r="H1160" s="3" t="s">
        <v>4839</v>
      </c>
      <c r="I1160" s="3" t="s">
        <v>6336</v>
      </c>
      <c r="J1160" s="3" t="s">
        <v>1360</v>
      </c>
      <c r="K1160" s="3"/>
      <c r="L1160" s="3"/>
      <c r="M1160" s="4"/>
      <c r="N1160" s="3" t="s">
        <v>37</v>
      </c>
      <c r="O1160" s="3" t="s">
        <v>52</v>
      </c>
      <c r="P1160" s="5">
        <v>0</v>
      </c>
      <c r="Q1160" s="5">
        <v>0</v>
      </c>
      <c r="R1160" s="5">
        <v>0</v>
      </c>
      <c r="S1160" s="5">
        <v>1</v>
      </c>
    </row>
    <row r="1161" spans="1:19" ht="42" x14ac:dyDescent="0.15">
      <c r="A1161" s="2">
        <f>HYPERLINK("https://open-school.uspishnemisto.com.ua/school/70300/", 70300)</f>
        <v>70300</v>
      </c>
      <c r="B1161" s="3" t="s">
        <v>6337</v>
      </c>
      <c r="C1161" s="3" t="s">
        <v>31</v>
      </c>
      <c r="D1161" s="3" t="s">
        <v>175</v>
      </c>
      <c r="E1161" s="4" t="s">
        <v>22</v>
      </c>
      <c r="F1161" s="4" t="s">
        <v>6338</v>
      </c>
      <c r="G1161" s="4" t="s">
        <v>6339</v>
      </c>
      <c r="H1161" s="3" t="s">
        <v>4839</v>
      </c>
      <c r="I1161" s="3" t="s">
        <v>6340</v>
      </c>
      <c r="J1161" s="3" t="s">
        <v>6341</v>
      </c>
      <c r="K1161" s="3" t="s">
        <v>6342</v>
      </c>
      <c r="L1161" s="3"/>
      <c r="M1161" s="4"/>
      <c r="N1161" s="3" t="s">
        <v>37</v>
      </c>
      <c r="O1161" s="3" t="s">
        <v>46</v>
      </c>
      <c r="P1161" s="5">
        <v>7</v>
      </c>
      <c r="Q1161" s="5">
        <v>49</v>
      </c>
      <c r="R1161" s="5">
        <v>7</v>
      </c>
      <c r="S1161" s="5">
        <v>47</v>
      </c>
    </row>
    <row r="1162" spans="1:19" ht="28" x14ac:dyDescent="0.15">
      <c r="A1162" s="2">
        <f>HYPERLINK("https://open-school.uspishnemisto.com.ua/school/70301/", 70301)</f>
        <v>70301</v>
      </c>
      <c r="B1162" s="3" t="s">
        <v>6343</v>
      </c>
      <c r="C1162" s="3" t="s">
        <v>54</v>
      </c>
      <c r="D1162" s="3" t="s">
        <v>175</v>
      </c>
      <c r="E1162" s="4" t="s">
        <v>22</v>
      </c>
      <c r="F1162" s="4" t="s">
        <v>6344</v>
      </c>
      <c r="G1162" s="4" t="s">
        <v>6345</v>
      </c>
      <c r="H1162" s="3" t="s">
        <v>4839</v>
      </c>
      <c r="I1162" s="3" t="s">
        <v>6346</v>
      </c>
      <c r="J1162" s="3" t="s">
        <v>4255</v>
      </c>
      <c r="K1162" s="3" t="s">
        <v>6347</v>
      </c>
      <c r="L1162" s="3"/>
      <c r="M1162" s="4"/>
      <c r="N1162" s="3" t="s">
        <v>37</v>
      </c>
      <c r="O1162" s="3" t="s">
        <v>46</v>
      </c>
      <c r="P1162" s="5">
        <v>9</v>
      </c>
      <c r="Q1162" s="5">
        <v>54</v>
      </c>
      <c r="R1162" s="5">
        <v>8</v>
      </c>
      <c r="S1162" s="5">
        <v>51</v>
      </c>
    </row>
    <row r="1163" spans="1:19" ht="42" x14ac:dyDescent="0.15">
      <c r="A1163" s="2">
        <f>HYPERLINK("https://open-school.uspishnemisto.com.ua/school/70302/", 70302)</f>
        <v>70302</v>
      </c>
      <c r="B1163" s="3" t="s">
        <v>6348</v>
      </c>
      <c r="C1163" s="3" t="s">
        <v>40</v>
      </c>
      <c r="D1163" s="3" t="s">
        <v>32</v>
      </c>
      <c r="E1163" s="4" t="s">
        <v>22</v>
      </c>
      <c r="F1163" s="4" t="s">
        <v>6349</v>
      </c>
      <c r="G1163" s="4" t="s">
        <v>6350</v>
      </c>
      <c r="H1163" s="3" t="s">
        <v>4839</v>
      </c>
      <c r="I1163" s="3" t="s">
        <v>6351</v>
      </c>
      <c r="J1163" s="3" t="s">
        <v>3415</v>
      </c>
      <c r="K1163" s="3" t="s">
        <v>6352</v>
      </c>
      <c r="L1163" s="3" t="s">
        <v>6353</v>
      </c>
      <c r="M1163" s="4"/>
      <c r="N1163" s="3" t="s">
        <v>37</v>
      </c>
      <c r="O1163" s="3" t="s">
        <v>6354</v>
      </c>
      <c r="P1163" s="5">
        <v>37</v>
      </c>
      <c r="Q1163" s="5">
        <v>706</v>
      </c>
      <c r="R1163" s="5">
        <v>35</v>
      </c>
      <c r="S1163" s="5">
        <v>670</v>
      </c>
    </row>
    <row r="1164" spans="1:19" ht="42" x14ac:dyDescent="0.15">
      <c r="A1164" s="2">
        <f>HYPERLINK("https://open-school.uspishnemisto.com.ua/school/70303/", 70303)</f>
        <v>70303</v>
      </c>
      <c r="B1164" s="3" t="s">
        <v>6355</v>
      </c>
      <c r="C1164" s="3" t="s">
        <v>31</v>
      </c>
      <c r="D1164" s="3" t="s">
        <v>32</v>
      </c>
      <c r="E1164" s="4" t="s">
        <v>22</v>
      </c>
      <c r="F1164" s="4" t="s">
        <v>6356</v>
      </c>
      <c r="G1164" s="4" t="s">
        <v>6357</v>
      </c>
      <c r="H1164" s="3" t="s">
        <v>4839</v>
      </c>
      <c r="I1164" s="3" t="s">
        <v>6358</v>
      </c>
      <c r="J1164" s="3" t="s">
        <v>2555</v>
      </c>
      <c r="K1164" s="3" t="s">
        <v>6359</v>
      </c>
      <c r="L1164" s="3"/>
      <c r="M1164" s="4"/>
      <c r="N1164" s="3"/>
      <c r="O1164" s="3"/>
      <c r="P1164" s="5">
        <v>0</v>
      </c>
      <c r="Q1164" s="5">
        <v>0</v>
      </c>
      <c r="R1164" s="5"/>
      <c r="S1164" s="5"/>
    </row>
    <row r="1165" spans="1:19" ht="42" x14ac:dyDescent="0.15">
      <c r="A1165" s="2">
        <f>HYPERLINK("https://open-school.uspishnemisto.com.ua/school/70304/", 70304)</f>
        <v>70304</v>
      </c>
      <c r="B1165" s="3" t="s">
        <v>6360</v>
      </c>
      <c r="C1165" s="3" t="s">
        <v>31</v>
      </c>
      <c r="D1165" s="3" t="s">
        <v>32</v>
      </c>
      <c r="E1165" s="4" t="s">
        <v>22</v>
      </c>
      <c r="F1165" s="4" t="s">
        <v>6361</v>
      </c>
      <c r="G1165" s="4" t="s">
        <v>6362</v>
      </c>
      <c r="H1165" s="3" t="s">
        <v>4839</v>
      </c>
      <c r="I1165" s="3" t="s">
        <v>6363</v>
      </c>
      <c r="J1165" s="3" t="s">
        <v>6364</v>
      </c>
      <c r="K1165" s="3" t="s">
        <v>6365</v>
      </c>
      <c r="L1165" s="3"/>
      <c r="M1165" s="4"/>
      <c r="N1165" s="3" t="s">
        <v>37</v>
      </c>
      <c r="O1165" s="3" t="s">
        <v>237</v>
      </c>
      <c r="P1165" s="5">
        <v>29</v>
      </c>
      <c r="Q1165" s="5">
        <v>494</v>
      </c>
      <c r="R1165" s="5">
        <v>21</v>
      </c>
      <c r="S1165" s="5">
        <v>436</v>
      </c>
    </row>
    <row r="1166" spans="1:19" ht="28" x14ac:dyDescent="0.15">
      <c r="A1166" s="2">
        <f>HYPERLINK("https://open-school.uspishnemisto.com.ua/school/70305/", 70305)</f>
        <v>70305</v>
      </c>
      <c r="B1166" s="3" t="s">
        <v>6366</v>
      </c>
      <c r="C1166" s="3" t="s">
        <v>4989</v>
      </c>
      <c r="D1166" s="3" t="s">
        <v>32</v>
      </c>
      <c r="E1166" s="4" t="s">
        <v>22</v>
      </c>
      <c r="F1166" s="4" t="s">
        <v>6361</v>
      </c>
      <c r="G1166" s="4" t="s">
        <v>6362</v>
      </c>
      <c r="H1166" s="3" t="s">
        <v>4839</v>
      </c>
      <c r="I1166" s="3" t="s">
        <v>6363</v>
      </c>
      <c r="J1166" s="3" t="s">
        <v>6367</v>
      </c>
      <c r="K1166" s="3" t="s">
        <v>6368</v>
      </c>
      <c r="L1166" s="3"/>
      <c r="M1166" s="4" t="s">
        <v>6369</v>
      </c>
      <c r="N1166" s="3" t="s">
        <v>37</v>
      </c>
      <c r="O1166" s="3" t="s">
        <v>46</v>
      </c>
      <c r="P1166" s="5">
        <v>17</v>
      </c>
      <c r="Q1166" s="5">
        <v>370</v>
      </c>
      <c r="R1166" s="5">
        <v>15</v>
      </c>
      <c r="S1166" s="5">
        <v>315</v>
      </c>
    </row>
    <row r="1167" spans="1:19" ht="28" x14ac:dyDescent="0.15">
      <c r="A1167" s="2">
        <f>HYPERLINK("https://open-school.uspishnemisto.com.ua/school/70306/", 70306)</f>
        <v>70306</v>
      </c>
      <c r="B1167" s="3" t="s">
        <v>6370</v>
      </c>
      <c r="C1167" s="3" t="s">
        <v>31</v>
      </c>
      <c r="D1167" s="3" t="s">
        <v>175</v>
      </c>
      <c r="E1167" s="4" t="s">
        <v>22</v>
      </c>
      <c r="F1167" s="4" t="s">
        <v>6371</v>
      </c>
      <c r="G1167" s="4" t="s">
        <v>6372</v>
      </c>
      <c r="H1167" s="3" t="s">
        <v>4839</v>
      </c>
      <c r="I1167" s="3" t="s">
        <v>6373</v>
      </c>
      <c r="J1167" s="3" t="s">
        <v>6374</v>
      </c>
      <c r="K1167" s="3" t="s">
        <v>6375</v>
      </c>
      <c r="L1167" s="3"/>
      <c r="M1167" s="4"/>
      <c r="N1167" s="3" t="s">
        <v>37</v>
      </c>
      <c r="O1167" s="3" t="s">
        <v>38</v>
      </c>
      <c r="P1167" s="5">
        <v>7</v>
      </c>
      <c r="Q1167" s="5">
        <v>55</v>
      </c>
      <c r="R1167" s="5">
        <v>6</v>
      </c>
      <c r="S1167" s="5">
        <v>48</v>
      </c>
    </row>
    <row r="1168" spans="1:19" ht="28" x14ac:dyDescent="0.15">
      <c r="A1168" s="2">
        <f>HYPERLINK("https://open-school.uspishnemisto.com.ua/school/70307/", 70307)</f>
        <v>70307</v>
      </c>
      <c r="B1168" s="3" t="s">
        <v>6376</v>
      </c>
      <c r="C1168" s="3" t="s">
        <v>31</v>
      </c>
      <c r="D1168" s="3" t="s">
        <v>32</v>
      </c>
      <c r="E1168" s="4" t="s">
        <v>22</v>
      </c>
      <c r="F1168" s="4" t="s">
        <v>6377</v>
      </c>
      <c r="G1168" s="4" t="s">
        <v>6378</v>
      </c>
      <c r="H1168" s="3" t="s">
        <v>4839</v>
      </c>
      <c r="I1168" s="3" t="s">
        <v>5101</v>
      </c>
      <c r="J1168" s="3" t="s">
        <v>6379</v>
      </c>
      <c r="K1168" s="3" t="s">
        <v>6380</v>
      </c>
      <c r="L1168" s="3"/>
      <c r="M1168" s="4"/>
      <c r="N1168" s="3" t="s">
        <v>37</v>
      </c>
      <c r="O1168" s="3" t="s">
        <v>38</v>
      </c>
      <c r="P1168" s="5">
        <v>10</v>
      </c>
      <c r="Q1168" s="5">
        <v>179</v>
      </c>
      <c r="R1168" s="5">
        <v>9</v>
      </c>
      <c r="S1168" s="5">
        <v>164</v>
      </c>
    </row>
    <row r="1169" spans="1:19" ht="28" x14ac:dyDescent="0.15">
      <c r="A1169" s="2">
        <f>HYPERLINK("https://open-school.uspishnemisto.com.ua/school/70308/", 70308)</f>
        <v>70308</v>
      </c>
      <c r="B1169" s="3" t="s">
        <v>6381</v>
      </c>
      <c r="C1169" s="3" t="s">
        <v>31</v>
      </c>
      <c r="D1169" s="3" t="s">
        <v>60</v>
      </c>
      <c r="E1169" s="4" t="s">
        <v>22</v>
      </c>
      <c r="F1169" s="4" t="s">
        <v>6377</v>
      </c>
      <c r="G1169" s="4" t="s">
        <v>6382</v>
      </c>
      <c r="H1169" s="3" t="s">
        <v>4839</v>
      </c>
      <c r="I1169" s="3" t="s">
        <v>6383</v>
      </c>
      <c r="J1169" s="3" t="s">
        <v>634</v>
      </c>
      <c r="K1169" s="3" t="s">
        <v>6384</v>
      </c>
      <c r="L1169" s="3"/>
      <c r="M1169" s="4"/>
      <c r="N1169" s="3" t="s">
        <v>37</v>
      </c>
      <c r="O1169" s="3" t="s">
        <v>52</v>
      </c>
      <c r="P1169" s="5">
        <v>1</v>
      </c>
      <c r="Q1169" s="5">
        <v>13</v>
      </c>
      <c r="R1169" s="5">
        <v>1</v>
      </c>
      <c r="S1169" s="5">
        <v>16</v>
      </c>
    </row>
    <row r="1170" spans="1:19" ht="42" x14ac:dyDescent="0.15">
      <c r="A1170" s="2">
        <f>HYPERLINK("https://open-school.uspishnemisto.com.ua/school/70309/", 70309)</f>
        <v>70309</v>
      </c>
      <c r="B1170" s="3" t="s">
        <v>6385</v>
      </c>
      <c r="C1170" s="3" t="s">
        <v>31</v>
      </c>
      <c r="D1170" s="3" t="s">
        <v>32</v>
      </c>
      <c r="E1170" s="4" t="s">
        <v>22</v>
      </c>
      <c r="F1170" s="4" t="s">
        <v>6386</v>
      </c>
      <c r="G1170" s="4" t="s">
        <v>6387</v>
      </c>
      <c r="H1170" s="3" t="s">
        <v>4839</v>
      </c>
      <c r="I1170" s="3" t="s">
        <v>6388</v>
      </c>
      <c r="J1170" s="3" t="s">
        <v>6389</v>
      </c>
      <c r="K1170" s="3" t="s">
        <v>6390</v>
      </c>
      <c r="L1170" s="3"/>
      <c r="M1170" s="4"/>
      <c r="N1170" s="3" t="s">
        <v>37</v>
      </c>
      <c r="O1170" s="3" t="s">
        <v>266</v>
      </c>
      <c r="P1170" s="5">
        <v>11</v>
      </c>
      <c r="Q1170" s="5">
        <v>124</v>
      </c>
      <c r="R1170" s="5">
        <v>11</v>
      </c>
      <c r="S1170" s="5">
        <v>128</v>
      </c>
    </row>
    <row r="1171" spans="1:19" ht="28" x14ac:dyDescent="0.15">
      <c r="A1171" s="2">
        <f>HYPERLINK("https://open-school.uspishnemisto.com.ua/school/70311/", 70311)</f>
        <v>70311</v>
      </c>
      <c r="B1171" s="3" t="s">
        <v>6391</v>
      </c>
      <c r="C1171" s="3" t="s">
        <v>31</v>
      </c>
      <c r="D1171" s="3" t="s">
        <v>175</v>
      </c>
      <c r="E1171" s="4" t="s">
        <v>22</v>
      </c>
      <c r="F1171" s="4" t="s">
        <v>6392</v>
      </c>
      <c r="G1171" s="4" t="s">
        <v>6393</v>
      </c>
      <c r="H1171" s="3" t="s">
        <v>4839</v>
      </c>
      <c r="I1171" s="3" t="s">
        <v>2422</v>
      </c>
      <c r="J1171" s="3" t="s">
        <v>6394</v>
      </c>
      <c r="K1171" s="3" t="s">
        <v>6395</v>
      </c>
      <c r="L1171" s="3"/>
      <c r="M1171" s="4"/>
      <c r="N1171" s="3" t="s">
        <v>37</v>
      </c>
      <c r="O1171" s="3" t="s">
        <v>2740</v>
      </c>
      <c r="P1171" s="5">
        <v>0</v>
      </c>
      <c r="Q1171" s="5">
        <v>0</v>
      </c>
      <c r="R1171" s="5">
        <v>1</v>
      </c>
      <c r="S1171" s="5">
        <v>26</v>
      </c>
    </row>
    <row r="1172" spans="1:19" ht="28" x14ac:dyDescent="0.15">
      <c r="A1172" s="2">
        <f>HYPERLINK("https://open-school.uspishnemisto.com.ua/school/70312/", 70312)</f>
        <v>70312</v>
      </c>
      <c r="B1172" s="3" t="s">
        <v>6396</v>
      </c>
      <c r="C1172" s="3" t="s">
        <v>31</v>
      </c>
      <c r="D1172" s="3" t="s">
        <v>175</v>
      </c>
      <c r="E1172" s="4" t="s">
        <v>22</v>
      </c>
      <c r="F1172" s="4" t="s">
        <v>6397</v>
      </c>
      <c r="G1172" s="4" t="s">
        <v>6398</v>
      </c>
      <c r="H1172" s="3" t="s">
        <v>4839</v>
      </c>
      <c r="I1172" s="3" t="s">
        <v>6399</v>
      </c>
      <c r="J1172" s="3" t="s">
        <v>6400</v>
      </c>
      <c r="K1172" s="3" t="s">
        <v>6401</v>
      </c>
      <c r="L1172" s="3"/>
      <c r="M1172" s="4"/>
      <c r="N1172" s="3" t="s">
        <v>37</v>
      </c>
      <c r="O1172" s="3" t="s">
        <v>237</v>
      </c>
      <c r="P1172" s="5">
        <v>5</v>
      </c>
      <c r="Q1172" s="5">
        <v>49</v>
      </c>
      <c r="R1172" s="5">
        <v>6</v>
      </c>
      <c r="S1172" s="5">
        <v>49</v>
      </c>
    </row>
    <row r="1173" spans="1:19" ht="28" x14ac:dyDescent="0.15">
      <c r="A1173" s="2">
        <f>HYPERLINK("https://open-school.uspishnemisto.com.ua/school/70313/", 70313)</f>
        <v>70313</v>
      </c>
      <c r="B1173" s="3" t="s">
        <v>6402</v>
      </c>
      <c r="C1173" s="3" t="s">
        <v>31</v>
      </c>
      <c r="D1173" s="3" t="s">
        <v>175</v>
      </c>
      <c r="E1173" s="4" t="s">
        <v>22</v>
      </c>
      <c r="F1173" s="4" t="s">
        <v>6397</v>
      </c>
      <c r="G1173" s="4" t="s">
        <v>6403</v>
      </c>
      <c r="H1173" s="3" t="s">
        <v>4839</v>
      </c>
      <c r="I1173" s="3" t="s">
        <v>6404</v>
      </c>
      <c r="J1173" s="3" t="s">
        <v>6405</v>
      </c>
      <c r="K1173" s="3" t="s">
        <v>6406</v>
      </c>
      <c r="L1173" s="3"/>
      <c r="M1173" s="4"/>
      <c r="N1173" s="3" t="s">
        <v>37</v>
      </c>
      <c r="O1173" s="3" t="s">
        <v>2740</v>
      </c>
      <c r="P1173" s="5">
        <v>4</v>
      </c>
      <c r="Q1173" s="5">
        <v>30</v>
      </c>
      <c r="R1173" s="5">
        <v>3</v>
      </c>
      <c r="S1173" s="5">
        <v>29</v>
      </c>
    </row>
    <row r="1174" spans="1:19" ht="28" x14ac:dyDescent="0.15">
      <c r="A1174" s="2">
        <f>HYPERLINK("https://open-school.uspishnemisto.com.ua/school/70314/", 70314)</f>
        <v>70314</v>
      </c>
      <c r="B1174" s="3" t="s">
        <v>6407</v>
      </c>
      <c r="C1174" s="3" t="s">
        <v>31</v>
      </c>
      <c r="D1174" s="3" t="s">
        <v>32</v>
      </c>
      <c r="E1174" s="4" t="s">
        <v>22</v>
      </c>
      <c r="F1174" s="4" t="s">
        <v>6408</v>
      </c>
      <c r="G1174" s="4" t="s">
        <v>6409</v>
      </c>
      <c r="H1174" s="3" t="s">
        <v>4839</v>
      </c>
      <c r="I1174" s="3" t="s">
        <v>6410</v>
      </c>
      <c r="J1174" s="3" t="s">
        <v>466</v>
      </c>
      <c r="K1174" s="3" t="s">
        <v>6411</v>
      </c>
      <c r="L1174" s="3"/>
      <c r="M1174" s="4"/>
      <c r="N1174" s="3" t="s">
        <v>37</v>
      </c>
      <c r="O1174" s="3" t="s">
        <v>38</v>
      </c>
      <c r="P1174" s="5">
        <v>11</v>
      </c>
      <c r="Q1174" s="5">
        <v>99</v>
      </c>
      <c r="R1174" s="5">
        <v>11</v>
      </c>
      <c r="S1174" s="5">
        <v>97</v>
      </c>
    </row>
    <row r="1175" spans="1:19" ht="42" x14ac:dyDescent="0.15">
      <c r="A1175" s="2">
        <f>HYPERLINK("https://open-school.uspishnemisto.com.ua/school/70315/", 70315)</f>
        <v>70315</v>
      </c>
      <c r="B1175" s="3" t="s">
        <v>6412</v>
      </c>
      <c r="C1175" s="3" t="s">
        <v>31</v>
      </c>
      <c r="D1175" s="3" t="s">
        <v>32</v>
      </c>
      <c r="E1175" s="4" t="s">
        <v>22</v>
      </c>
      <c r="F1175" s="4" t="s">
        <v>6413</v>
      </c>
      <c r="G1175" s="4" t="s">
        <v>6414</v>
      </c>
      <c r="H1175" s="3" t="s">
        <v>4839</v>
      </c>
      <c r="I1175" s="3" t="s">
        <v>6415</v>
      </c>
      <c r="J1175" s="3" t="s">
        <v>6416</v>
      </c>
      <c r="K1175" s="3" t="s">
        <v>6417</v>
      </c>
      <c r="L1175" s="3"/>
      <c r="M1175" s="4"/>
      <c r="N1175" s="3" t="s">
        <v>37</v>
      </c>
      <c r="O1175" s="3" t="s">
        <v>46</v>
      </c>
      <c r="P1175" s="5">
        <v>25</v>
      </c>
      <c r="Q1175" s="5">
        <v>367</v>
      </c>
      <c r="R1175" s="5">
        <v>13</v>
      </c>
      <c r="S1175" s="5">
        <v>270</v>
      </c>
    </row>
    <row r="1176" spans="1:19" ht="28" x14ac:dyDescent="0.15">
      <c r="A1176" s="2">
        <f>HYPERLINK("https://open-school.uspishnemisto.com.ua/school/70316/", 70316)</f>
        <v>70316</v>
      </c>
      <c r="B1176" s="3" t="s">
        <v>6418</v>
      </c>
      <c r="C1176" s="3" t="s">
        <v>31</v>
      </c>
      <c r="D1176" s="3" t="s">
        <v>175</v>
      </c>
      <c r="E1176" s="4" t="s">
        <v>22</v>
      </c>
      <c r="F1176" s="4" t="s">
        <v>6419</v>
      </c>
      <c r="G1176" s="4" t="s">
        <v>6420</v>
      </c>
      <c r="H1176" s="3" t="s">
        <v>4839</v>
      </c>
      <c r="I1176" s="3" t="s">
        <v>6421</v>
      </c>
      <c r="J1176" s="3" t="s">
        <v>6422</v>
      </c>
      <c r="K1176" s="3" t="s">
        <v>6423</v>
      </c>
      <c r="L1176" s="3"/>
      <c r="M1176" s="4"/>
      <c r="N1176" s="3" t="s">
        <v>37</v>
      </c>
      <c r="O1176" s="3" t="s">
        <v>46</v>
      </c>
      <c r="P1176" s="5">
        <v>0</v>
      </c>
      <c r="Q1176" s="5">
        <v>0</v>
      </c>
      <c r="R1176" s="5">
        <v>8</v>
      </c>
      <c r="S1176" s="5">
        <v>61</v>
      </c>
    </row>
    <row r="1177" spans="1:19" ht="28" x14ac:dyDescent="0.15">
      <c r="A1177" s="2">
        <f>HYPERLINK("https://open-school.uspishnemisto.com.ua/school/70317/", 70317)</f>
        <v>70317</v>
      </c>
      <c r="B1177" s="3" t="s">
        <v>6424</v>
      </c>
      <c r="C1177" s="3" t="s">
        <v>54</v>
      </c>
      <c r="D1177" s="3" t="s">
        <v>32</v>
      </c>
      <c r="E1177" s="4" t="s">
        <v>22</v>
      </c>
      <c r="F1177" s="4" t="s">
        <v>6419</v>
      </c>
      <c r="G1177" s="4" t="s">
        <v>6425</v>
      </c>
      <c r="H1177" s="3" t="s">
        <v>4839</v>
      </c>
      <c r="I1177" s="3" t="s">
        <v>2020</v>
      </c>
      <c r="J1177" s="3" t="s">
        <v>6426</v>
      </c>
      <c r="K1177" s="3" t="s">
        <v>6427</v>
      </c>
      <c r="L1177" s="3"/>
      <c r="M1177" s="4"/>
      <c r="N1177" s="3" t="s">
        <v>37</v>
      </c>
      <c r="O1177" s="3" t="s">
        <v>38</v>
      </c>
      <c r="P1177" s="5">
        <v>19</v>
      </c>
      <c r="Q1177" s="5">
        <v>398</v>
      </c>
      <c r="R1177" s="5">
        <v>18</v>
      </c>
      <c r="S1177" s="5">
        <v>379</v>
      </c>
    </row>
    <row r="1178" spans="1:19" ht="28" x14ac:dyDescent="0.15">
      <c r="A1178" s="2">
        <f>HYPERLINK("https://open-school.uspishnemisto.com.ua/school/70318/", 70318)</f>
        <v>70318</v>
      </c>
      <c r="B1178" s="3" t="s">
        <v>6428</v>
      </c>
      <c r="C1178" s="3" t="s">
        <v>31</v>
      </c>
      <c r="D1178" s="3" t="s">
        <v>32</v>
      </c>
      <c r="E1178" s="4" t="s">
        <v>22</v>
      </c>
      <c r="F1178" s="4" t="s">
        <v>6429</v>
      </c>
      <c r="G1178" s="4" t="s">
        <v>6430</v>
      </c>
      <c r="H1178" s="3" t="s">
        <v>4839</v>
      </c>
      <c r="I1178" s="3" t="s">
        <v>6431</v>
      </c>
      <c r="J1178" s="3" t="s">
        <v>6432</v>
      </c>
      <c r="K1178" s="3" t="s">
        <v>6433</v>
      </c>
      <c r="L1178" s="3"/>
      <c r="M1178" s="4"/>
      <c r="N1178" s="3" t="s">
        <v>37</v>
      </c>
      <c r="O1178" s="3" t="s">
        <v>266</v>
      </c>
      <c r="P1178" s="5">
        <v>10</v>
      </c>
      <c r="Q1178" s="5">
        <v>161</v>
      </c>
      <c r="R1178" s="5">
        <v>9</v>
      </c>
      <c r="S1178" s="5">
        <v>164</v>
      </c>
    </row>
    <row r="1179" spans="1:19" ht="28" x14ac:dyDescent="0.15">
      <c r="A1179" s="2">
        <f>HYPERLINK("https://open-school.uspishnemisto.com.ua/school/70319/", 70319)</f>
        <v>70319</v>
      </c>
      <c r="B1179" s="3" t="s">
        <v>6434</v>
      </c>
      <c r="C1179" s="3" t="s">
        <v>31</v>
      </c>
      <c r="D1179" s="3" t="s">
        <v>32</v>
      </c>
      <c r="E1179" s="4" t="s">
        <v>22</v>
      </c>
      <c r="F1179" s="4" t="s">
        <v>6435</v>
      </c>
      <c r="G1179" s="4" t="s">
        <v>6436</v>
      </c>
      <c r="H1179" s="3" t="s">
        <v>4839</v>
      </c>
      <c r="I1179" s="3" t="s">
        <v>6437</v>
      </c>
      <c r="J1179" s="3" t="s">
        <v>6438</v>
      </c>
      <c r="K1179" s="3"/>
      <c r="L1179" s="3"/>
      <c r="M1179" s="4"/>
      <c r="N1179" s="3" t="s">
        <v>37</v>
      </c>
      <c r="O1179" s="3" t="s">
        <v>38</v>
      </c>
      <c r="P1179" s="5">
        <v>11</v>
      </c>
      <c r="Q1179" s="5">
        <v>161</v>
      </c>
      <c r="R1179" s="5">
        <v>11</v>
      </c>
      <c r="S1179" s="5">
        <v>153</v>
      </c>
    </row>
    <row r="1180" spans="1:19" ht="28" x14ac:dyDescent="0.15">
      <c r="A1180" s="2">
        <f>HYPERLINK("https://open-school.uspishnemisto.com.ua/school/70320/", 70320)</f>
        <v>70320</v>
      </c>
      <c r="B1180" s="3" t="s">
        <v>6439</v>
      </c>
      <c r="C1180" s="3" t="s">
        <v>31</v>
      </c>
      <c r="D1180" s="3" t="s">
        <v>32</v>
      </c>
      <c r="E1180" s="4" t="s">
        <v>22</v>
      </c>
      <c r="F1180" s="4" t="s">
        <v>6440</v>
      </c>
      <c r="G1180" s="4" t="s">
        <v>6441</v>
      </c>
      <c r="H1180" s="3" t="s">
        <v>4839</v>
      </c>
      <c r="I1180" s="3" t="s">
        <v>6442</v>
      </c>
      <c r="J1180" s="3" t="s">
        <v>6443</v>
      </c>
      <c r="K1180" s="3" t="s">
        <v>6444</v>
      </c>
      <c r="L1180" s="3"/>
      <c r="M1180" s="4"/>
      <c r="N1180" s="3" t="s">
        <v>37</v>
      </c>
      <c r="O1180" s="3" t="s">
        <v>38</v>
      </c>
      <c r="P1180" s="5">
        <v>11</v>
      </c>
      <c r="Q1180" s="5">
        <v>80</v>
      </c>
      <c r="R1180" s="5">
        <v>11</v>
      </c>
      <c r="S1180" s="5">
        <v>72</v>
      </c>
    </row>
    <row r="1181" spans="1:19" ht="28" x14ac:dyDescent="0.15">
      <c r="A1181" s="2">
        <f>HYPERLINK("https://open-school.uspishnemisto.com.ua/school/70321/", 70321)</f>
        <v>70321</v>
      </c>
      <c r="B1181" s="3" t="s">
        <v>6445</v>
      </c>
      <c r="C1181" s="3" t="s">
        <v>31</v>
      </c>
      <c r="D1181" s="3" t="s">
        <v>60</v>
      </c>
      <c r="E1181" s="4" t="s">
        <v>22</v>
      </c>
      <c r="F1181" s="4" t="s">
        <v>6446</v>
      </c>
      <c r="G1181" s="4" t="s">
        <v>6447</v>
      </c>
      <c r="H1181" s="3" t="s">
        <v>4839</v>
      </c>
      <c r="I1181" s="3" t="s">
        <v>6448</v>
      </c>
      <c r="J1181" s="3" t="s">
        <v>6449</v>
      </c>
      <c r="K1181" s="3" t="s">
        <v>6450</v>
      </c>
      <c r="L1181" s="3"/>
      <c r="M1181" s="4"/>
      <c r="N1181" s="3" t="s">
        <v>37</v>
      </c>
      <c r="O1181" s="3" t="s">
        <v>52</v>
      </c>
      <c r="P1181" s="5">
        <v>2</v>
      </c>
      <c r="Q1181" s="5">
        <v>16</v>
      </c>
      <c r="R1181" s="5">
        <v>2</v>
      </c>
      <c r="S1181" s="5">
        <v>19</v>
      </c>
    </row>
    <row r="1182" spans="1:19" ht="28" x14ac:dyDescent="0.15">
      <c r="A1182" s="2">
        <f>HYPERLINK("https://open-school.uspishnemisto.com.ua/school/70322/", 70322)</f>
        <v>70322</v>
      </c>
      <c r="B1182" s="3" t="s">
        <v>6451</v>
      </c>
      <c r="C1182" s="3" t="s">
        <v>31</v>
      </c>
      <c r="D1182" s="3" t="s">
        <v>32</v>
      </c>
      <c r="E1182" s="4" t="s">
        <v>22</v>
      </c>
      <c r="F1182" s="4" t="s">
        <v>6452</v>
      </c>
      <c r="G1182" s="4" t="s">
        <v>6453</v>
      </c>
      <c r="H1182" s="3" t="s">
        <v>4839</v>
      </c>
      <c r="I1182" s="3" t="s">
        <v>6454</v>
      </c>
      <c r="J1182" s="3" t="s">
        <v>2719</v>
      </c>
      <c r="K1182" s="3" t="s">
        <v>6455</v>
      </c>
      <c r="L1182" s="3"/>
      <c r="M1182" s="4"/>
      <c r="N1182" s="3" t="s">
        <v>37</v>
      </c>
      <c r="O1182" s="3" t="s">
        <v>38</v>
      </c>
      <c r="P1182" s="5">
        <v>11</v>
      </c>
      <c r="Q1182" s="5">
        <v>120</v>
      </c>
      <c r="R1182" s="5">
        <v>11</v>
      </c>
      <c r="S1182" s="5">
        <v>103</v>
      </c>
    </row>
    <row r="1183" spans="1:19" ht="28" x14ac:dyDescent="0.15">
      <c r="A1183" s="2">
        <f>HYPERLINK("https://open-school.uspishnemisto.com.ua/school/70323/", 70323)</f>
        <v>70323</v>
      </c>
      <c r="B1183" s="3" t="s">
        <v>6456</v>
      </c>
      <c r="C1183" s="3" t="s">
        <v>31</v>
      </c>
      <c r="D1183" s="3" t="s">
        <v>175</v>
      </c>
      <c r="E1183" s="4" t="s">
        <v>22</v>
      </c>
      <c r="F1183" s="4" t="s">
        <v>6457</v>
      </c>
      <c r="G1183" s="4" t="s">
        <v>6458</v>
      </c>
      <c r="H1183" s="3" t="s">
        <v>4839</v>
      </c>
      <c r="I1183" s="3" t="s">
        <v>6459</v>
      </c>
      <c r="J1183" s="3" t="s">
        <v>6460</v>
      </c>
      <c r="K1183" s="3" t="s">
        <v>6461</v>
      </c>
      <c r="L1183" s="3"/>
      <c r="M1183" s="4"/>
      <c r="N1183" s="3" t="s">
        <v>37</v>
      </c>
      <c r="O1183" s="3" t="s">
        <v>38</v>
      </c>
      <c r="P1183" s="5">
        <v>7</v>
      </c>
      <c r="Q1183" s="5">
        <v>59</v>
      </c>
      <c r="R1183" s="5">
        <v>7</v>
      </c>
      <c r="S1183" s="5">
        <v>53</v>
      </c>
    </row>
    <row r="1184" spans="1:19" ht="28" x14ac:dyDescent="0.15">
      <c r="A1184" s="2">
        <f>HYPERLINK("https://open-school.uspishnemisto.com.ua/school/70324/", 70324)</f>
        <v>70324</v>
      </c>
      <c r="B1184" s="3" t="s">
        <v>6462</v>
      </c>
      <c r="C1184" s="3" t="s">
        <v>31</v>
      </c>
      <c r="D1184" s="3" t="s">
        <v>32</v>
      </c>
      <c r="E1184" s="4" t="s">
        <v>22</v>
      </c>
      <c r="F1184" s="4" t="s">
        <v>6463</v>
      </c>
      <c r="G1184" s="4" t="s">
        <v>6464</v>
      </c>
      <c r="H1184" s="3" t="s">
        <v>4839</v>
      </c>
      <c r="I1184" s="3" t="s">
        <v>6465</v>
      </c>
      <c r="J1184" s="3" t="s">
        <v>466</v>
      </c>
      <c r="K1184" s="3"/>
      <c r="L1184" s="3"/>
      <c r="M1184" s="4"/>
      <c r="N1184" s="3" t="s">
        <v>37</v>
      </c>
      <c r="O1184" s="3" t="s">
        <v>46</v>
      </c>
      <c r="P1184" s="5">
        <v>11</v>
      </c>
      <c r="Q1184" s="5">
        <v>138</v>
      </c>
      <c r="R1184" s="5">
        <v>11</v>
      </c>
      <c r="S1184" s="5">
        <v>134</v>
      </c>
    </row>
    <row r="1185" spans="1:19" ht="28" x14ac:dyDescent="0.15">
      <c r="A1185" s="2">
        <f>HYPERLINK("https://open-school.uspishnemisto.com.ua/school/70325/", 70325)</f>
        <v>70325</v>
      </c>
      <c r="B1185" s="3" t="s">
        <v>6466</v>
      </c>
      <c r="C1185" s="3" t="s">
        <v>31</v>
      </c>
      <c r="D1185" s="3" t="s">
        <v>175</v>
      </c>
      <c r="E1185" s="4" t="s">
        <v>22</v>
      </c>
      <c r="F1185" s="4" t="s">
        <v>6463</v>
      </c>
      <c r="G1185" s="4" t="s">
        <v>6467</v>
      </c>
      <c r="H1185" s="3" t="s">
        <v>4839</v>
      </c>
      <c r="I1185" s="3" t="s">
        <v>3303</v>
      </c>
      <c r="J1185" s="3" t="s">
        <v>6468</v>
      </c>
      <c r="K1185" s="3" t="s">
        <v>6469</v>
      </c>
      <c r="L1185" s="3"/>
      <c r="M1185" s="4"/>
      <c r="N1185" s="3" t="s">
        <v>37</v>
      </c>
      <c r="O1185" s="3" t="s">
        <v>38</v>
      </c>
      <c r="P1185" s="5">
        <v>5</v>
      </c>
      <c r="Q1185" s="5">
        <v>50</v>
      </c>
      <c r="R1185" s="5">
        <v>6</v>
      </c>
      <c r="S1185" s="5">
        <v>51</v>
      </c>
    </row>
    <row r="1186" spans="1:19" ht="28" x14ac:dyDescent="0.15">
      <c r="A1186" s="2">
        <f>HYPERLINK("https://open-school.uspishnemisto.com.ua/school/70326/", 70326)</f>
        <v>70326</v>
      </c>
      <c r="B1186" s="3" t="s">
        <v>6470</v>
      </c>
      <c r="C1186" s="3" t="s">
        <v>31</v>
      </c>
      <c r="D1186" s="3" t="s">
        <v>32</v>
      </c>
      <c r="E1186" s="4" t="s">
        <v>22</v>
      </c>
      <c r="F1186" s="4" t="s">
        <v>6471</v>
      </c>
      <c r="G1186" s="4" t="s">
        <v>6472</v>
      </c>
      <c r="H1186" s="3" t="s">
        <v>4839</v>
      </c>
      <c r="I1186" s="3" t="s">
        <v>6473</v>
      </c>
      <c r="J1186" s="3" t="s">
        <v>6474</v>
      </c>
      <c r="K1186" s="3" t="s">
        <v>6475</v>
      </c>
      <c r="L1186" s="3"/>
      <c r="M1186" s="4"/>
      <c r="N1186" s="3" t="s">
        <v>37</v>
      </c>
      <c r="O1186" s="3" t="s">
        <v>38</v>
      </c>
      <c r="P1186" s="5">
        <v>11</v>
      </c>
      <c r="Q1186" s="5">
        <v>198</v>
      </c>
      <c r="R1186" s="5">
        <v>11</v>
      </c>
      <c r="S1186" s="5">
        <v>195</v>
      </c>
    </row>
    <row r="1187" spans="1:19" ht="42" x14ac:dyDescent="0.15">
      <c r="A1187" s="2">
        <f>HYPERLINK("https://open-school.uspishnemisto.com.ua/school/70327/", 70327)</f>
        <v>70327</v>
      </c>
      <c r="B1187" s="3" t="s">
        <v>6476</v>
      </c>
      <c r="C1187" s="3" t="s">
        <v>54</v>
      </c>
      <c r="D1187" s="3" t="s">
        <v>60</v>
      </c>
      <c r="E1187" s="4" t="s">
        <v>22</v>
      </c>
      <c r="F1187" s="4" t="s">
        <v>6471</v>
      </c>
      <c r="G1187" s="4" t="s">
        <v>6477</v>
      </c>
      <c r="H1187" s="3" t="s">
        <v>4839</v>
      </c>
      <c r="I1187" s="3" t="s">
        <v>6478</v>
      </c>
      <c r="J1187" s="3" t="s">
        <v>6479</v>
      </c>
      <c r="K1187" s="3" t="s">
        <v>6480</v>
      </c>
      <c r="L1187" s="3"/>
      <c r="M1187" s="4"/>
      <c r="N1187" s="3" t="s">
        <v>37</v>
      </c>
      <c r="O1187" s="3" t="s">
        <v>52</v>
      </c>
      <c r="P1187" s="5">
        <v>3</v>
      </c>
      <c r="Q1187" s="5">
        <v>33</v>
      </c>
      <c r="R1187" s="5">
        <v>4</v>
      </c>
      <c r="S1187" s="5">
        <v>25</v>
      </c>
    </row>
    <row r="1188" spans="1:19" ht="28" x14ac:dyDescent="0.15">
      <c r="A1188" s="2">
        <f>HYPERLINK("https://open-school.uspishnemisto.com.ua/school/70328/", 70328)</f>
        <v>70328</v>
      </c>
      <c r="B1188" s="3" t="s">
        <v>6481</v>
      </c>
      <c r="C1188" s="3" t="s">
        <v>31</v>
      </c>
      <c r="D1188" s="3" t="s">
        <v>60</v>
      </c>
      <c r="E1188" s="4" t="s">
        <v>22</v>
      </c>
      <c r="F1188" s="4" t="s">
        <v>6471</v>
      </c>
      <c r="G1188" s="4" t="s">
        <v>6482</v>
      </c>
      <c r="H1188" s="3" t="s">
        <v>4839</v>
      </c>
      <c r="I1188" s="3" t="s">
        <v>6483</v>
      </c>
      <c r="J1188" s="3" t="s">
        <v>6484</v>
      </c>
      <c r="K1188" s="3" t="s">
        <v>6485</v>
      </c>
      <c r="L1188" s="3"/>
      <c r="M1188" s="4"/>
      <c r="N1188" s="3" t="s">
        <v>37</v>
      </c>
      <c r="O1188" s="3" t="s">
        <v>52</v>
      </c>
      <c r="P1188" s="5">
        <v>1</v>
      </c>
      <c r="Q1188" s="5">
        <v>11</v>
      </c>
      <c r="R1188" s="5">
        <v>1</v>
      </c>
      <c r="S1188" s="5">
        <v>8</v>
      </c>
    </row>
    <row r="1189" spans="1:19" ht="28" x14ac:dyDescent="0.15">
      <c r="A1189" s="2">
        <f>HYPERLINK("https://open-school.uspishnemisto.com.ua/school/70329/", 70329)</f>
        <v>70329</v>
      </c>
      <c r="B1189" s="3" t="s">
        <v>6486</v>
      </c>
      <c r="C1189" s="3" t="s">
        <v>31</v>
      </c>
      <c r="D1189" s="3" t="s">
        <v>175</v>
      </c>
      <c r="E1189" s="4" t="s">
        <v>22</v>
      </c>
      <c r="F1189" s="4" t="s">
        <v>6487</v>
      </c>
      <c r="G1189" s="4" t="s">
        <v>6488</v>
      </c>
      <c r="H1189" s="3" t="s">
        <v>4839</v>
      </c>
      <c r="I1189" s="3" t="s">
        <v>6489</v>
      </c>
      <c r="J1189" s="3" t="s">
        <v>466</v>
      </c>
      <c r="K1189" s="3" t="s">
        <v>6490</v>
      </c>
      <c r="L1189" s="3"/>
      <c r="M1189" s="4"/>
      <c r="N1189" s="3" t="s">
        <v>37</v>
      </c>
      <c r="O1189" s="3" t="s">
        <v>38</v>
      </c>
      <c r="P1189" s="5">
        <v>6</v>
      </c>
      <c r="Q1189" s="5">
        <v>47</v>
      </c>
      <c r="R1189" s="5">
        <v>6</v>
      </c>
      <c r="S1189" s="5">
        <v>44</v>
      </c>
    </row>
    <row r="1190" spans="1:19" ht="42" x14ac:dyDescent="0.15">
      <c r="A1190" s="2">
        <f>HYPERLINK("https://open-school.uspishnemisto.com.ua/school/70330/", 70330)</f>
        <v>70330</v>
      </c>
      <c r="B1190" s="3" t="s">
        <v>6491</v>
      </c>
      <c r="C1190" s="3" t="s">
        <v>31</v>
      </c>
      <c r="D1190" s="3" t="s">
        <v>60</v>
      </c>
      <c r="E1190" s="4" t="s">
        <v>22</v>
      </c>
      <c r="F1190" s="4" t="s">
        <v>6492</v>
      </c>
      <c r="G1190" s="4" t="s">
        <v>6493</v>
      </c>
      <c r="H1190" s="3" t="s">
        <v>4839</v>
      </c>
      <c r="I1190" s="3" t="s">
        <v>6494</v>
      </c>
      <c r="J1190" s="3" t="s">
        <v>6495</v>
      </c>
      <c r="K1190" s="3" t="s">
        <v>6496</v>
      </c>
      <c r="L1190" s="3"/>
      <c r="M1190" s="4"/>
      <c r="N1190" s="3"/>
      <c r="O1190" s="3"/>
      <c r="P1190" s="5">
        <v>0</v>
      </c>
      <c r="Q1190" s="5">
        <v>0</v>
      </c>
      <c r="R1190" s="5"/>
      <c r="S1190" s="5"/>
    </row>
    <row r="1191" spans="1:19" ht="28" x14ac:dyDescent="0.15">
      <c r="A1191" s="2">
        <f>HYPERLINK("https://open-school.uspishnemisto.com.ua/school/70331/", 70331)</f>
        <v>70331</v>
      </c>
      <c r="B1191" s="3" t="s">
        <v>6497</v>
      </c>
      <c r="C1191" s="3" t="s">
        <v>31</v>
      </c>
      <c r="D1191" s="3" t="s">
        <v>32</v>
      </c>
      <c r="E1191" s="4" t="s">
        <v>22</v>
      </c>
      <c r="F1191" s="4" t="s">
        <v>6498</v>
      </c>
      <c r="G1191" s="4" t="s">
        <v>6499</v>
      </c>
      <c r="H1191" s="3" t="s">
        <v>4839</v>
      </c>
      <c r="I1191" s="3" t="s">
        <v>6500</v>
      </c>
      <c r="J1191" s="3" t="s">
        <v>6501</v>
      </c>
      <c r="K1191" s="3" t="s">
        <v>6502</v>
      </c>
      <c r="L1191" s="3"/>
      <c r="M1191" s="4"/>
      <c r="N1191" s="3" t="s">
        <v>37</v>
      </c>
      <c r="O1191" s="3" t="s">
        <v>266</v>
      </c>
      <c r="P1191" s="5">
        <v>8</v>
      </c>
      <c r="Q1191" s="5">
        <v>66</v>
      </c>
      <c r="R1191" s="5">
        <v>9</v>
      </c>
      <c r="S1191" s="5">
        <v>71</v>
      </c>
    </row>
    <row r="1192" spans="1:19" ht="28" x14ac:dyDescent="0.15">
      <c r="A1192" s="2">
        <f>HYPERLINK("https://open-school.uspishnemisto.com.ua/school/70332/", 70332)</f>
        <v>70332</v>
      </c>
      <c r="B1192" s="3" t="s">
        <v>6503</v>
      </c>
      <c r="C1192" s="3" t="s">
        <v>31</v>
      </c>
      <c r="D1192" s="3" t="s">
        <v>60</v>
      </c>
      <c r="E1192" s="4" t="s">
        <v>22</v>
      </c>
      <c r="F1192" s="4" t="s">
        <v>6498</v>
      </c>
      <c r="G1192" s="4" t="s">
        <v>6504</v>
      </c>
      <c r="H1192" s="3" t="s">
        <v>4839</v>
      </c>
      <c r="I1192" s="3" t="s">
        <v>6505</v>
      </c>
      <c r="J1192" s="3" t="s">
        <v>6506</v>
      </c>
      <c r="K1192" s="3" t="s">
        <v>6507</v>
      </c>
      <c r="L1192" s="3"/>
      <c r="M1192" s="4"/>
      <c r="N1192" s="3"/>
      <c r="O1192" s="3"/>
      <c r="P1192" s="5">
        <v>0</v>
      </c>
      <c r="Q1192" s="5">
        <v>0</v>
      </c>
      <c r="R1192" s="5"/>
      <c r="S1192" s="5"/>
    </row>
    <row r="1193" spans="1:19" ht="28" x14ac:dyDescent="0.15">
      <c r="A1193" s="2">
        <f>HYPERLINK("https://open-school.uspishnemisto.com.ua/school/70333/", 70333)</f>
        <v>70333</v>
      </c>
      <c r="B1193" s="3" t="s">
        <v>6508</v>
      </c>
      <c r="C1193" s="3" t="s">
        <v>31</v>
      </c>
      <c r="D1193" s="3" t="s">
        <v>175</v>
      </c>
      <c r="E1193" s="4" t="s">
        <v>22</v>
      </c>
      <c r="F1193" s="4" t="s">
        <v>6509</v>
      </c>
      <c r="G1193" s="4" t="s">
        <v>6510</v>
      </c>
      <c r="H1193" s="3" t="s">
        <v>4839</v>
      </c>
      <c r="I1193" s="3" t="s">
        <v>6511</v>
      </c>
      <c r="J1193" s="3" t="s">
        <v>6512</v>
      </c>
      <c r="K1193" s="3" t="s">
        <v>6513</v>
      </c>
      <c r="L1193" s="3"/>
      <c r="M1193" s="4"/>
      <c r="N1193" s="3" t="s">
        <v>37</v>
      </c>
      <c r="O1193" s="3" t="s">
        <v>46</v>
      </c>
      <c r="P1193" s="5">
        <v>0</v>
      </c>
      <c r="Q1193" s="5">
        <v>0</v>
      </c>
      <c r="R1193" s="5">
        <v>9</v>
      </c>
      <c r="S1193" s="5">
        <v>78</v>
      </c>
    </row>
    <row r="1194" spans="1:19" ht="28" x14ac:dyDescent="0.15">
      <c r="A1194" s="2">
        <f>HYPERLINK("https://open-school.uspishnemisto.com.ua/school/70334/", 70334)</f>
        <v>70334</v>
      </c>
      <c r="B1194" s="3" t="s">
        <v>6514</v>
      </c>
      <c r="C1194" s="3" t="s">
        <v>31</v>
      </c>
      <c r="D1194" s="3" t="s">
        <v>175</v>
      </c>
      <c r="E1194" s="4" t="s">
        <v>22</v>
      </c>
      <c r="F1194" s="4" t="s">
        <v>6515</v>
      </c>
      <c r="G1194" s="4" t="s">
        <v>6516</v>
      </c>
      <c r="H1194" s="3" t="s">
        <v>4839</v>
      </c>
      <c r="I1194" s="3" t="s">
        <v>6517</v>
      </c>
      <c r="J1194" s="3" t="s">
        <v>6518</v>
      </c>
      <c r="K1194" s="3" t="s">
        <v>6519</v>
      </c>
      <c r="L1194" s="3"/>
      <c r="M1194" s="4"/>
      <c r="N1194" s="3"/>
      <c r="O1194" s="3"/>
      <c r="P1194" s="5">
        <v>0</v>
      </c>
      <c r="Q1194" s="5">
        <v>0</v>
      </c>
      <c r="R1194" s="5"/>
      <c r="S1194" s="5"/>
    </row>
    <row r="1195" spans="1:19" ht="28" x14ac:dyDescent="0.15">
      <c r="A1195" s="2">
        <f>HYPERLINK("https://open-school.uspishnemisto.com.ua/school/70335/", 70335)</f>
        <v>70335</v>
      </c>
      <c r="B1195" s="3" t="s">
        <v>6520</v>
      </c>
      <c r="C1195" s="3" t="s">
        <v>31</v>
      </c>
      <c r="D1195" s="3" t="s">
        <v>32</v>
      </c>
      <c r="E1195" s="4" t="s">
        <v>22</v>
      </c>
      <c r="F1195" s="4" t="s">
        <v>6521</v>
      </c>
      <c r="G1195" s="4" t="s">
        <v>6522</v>
      </c>
      <c r="H1195" s="3" t="s">
        <v>4839</v>
      </c>
      <c r="I1195" s="3" t="s">
        <v>6523</v>
      </c>
      <c r="J1195" s="3" t="s">
        <v>6524</v>
      </c>
      <c r="K1195" s="3" t="s">
        <v>6525</v>
      </c>
      <c r="L1195" s="3"/>
      <c r="M1195" s="4"/>
      <c r="N1195" s="3" t="s">
        <v>37</v>
      </c>
      <c r="O1195" s="3" t="s">
        <v>38</v>
      </c>
      <c r="P1195" s="5">
        <v>10</v>
      </c>
      <c r="Q1195" s="5">
        <v>107</v>
      </c>
      <c r="R1195" s="5">
        <v>9</v>
      </c>
      <c r="S1195" s="5">
        <v>99</v>
      </c>
    </row>
    <row r="1196" spans="1:19" ht="28" x14ac:dyDescent="0.15">
      <c r="A1196" s="2">
        <f>HYPERLINK("https://open-school.uspishnemisto.com.ua/school/70336/", 70336)</f>
        <v>70336</v>
      </c>
      <c r="B1196" s="3" t="s">
        <v>6526</v>
      </c>
      <c r="C1196" s="3" t="s">
        <v>31</v>
      </c>
      <c r="D1196" s="3" t="s">
        <v>32</v>
      </c>
      <c r="E1196" s="4" t="s">
        <v>22</v>
      </c>
      <c r="F1196" s="4" t="s">
        <v>6527</v>
      </c>
      <c r="G1196" s="4" t="s">
        <v>6528</v>
      </c>
      <c r="H1196" s="3" t="s">
        <v>4839</v>
      </c>
      <c r="I1196" s="3" t="s">
        <v>6529</v>
      </c>
      <c r="J1196" s="3" t="s">
        <v>2601</v>
      </c>
      <c r="K1196" s="3" t="s">
        <v>6530</v>
      </c>
      <c r="L1196" s="3"/>
      <c r="M1196" s="4"/>
      <c r="N1196" s="3" t="s">
        <v>37</v>
      </c>
      <c r="O1196" s="3" t="s">
        <v>38</v>
      </c>
      <c r="P1196" s="5">
        <v>10</v>
      </c>
      <c r="Q1196" s="5">
        <v>68</v>
      </c>
      <c r="R1196" s="5">
        <v>9</v>
      </c>
      <c r="S1196" s="5">
        <v>61</v>
      </c>
    </row>
    <row r="1197" spans="1:19" ht="28" x14ac:dyDescent="0.15">
      <c r="A1197" s="2">
        <f>HYPERLINK("https://open-school.uspishnemisto.com.ua/school/70337/", 70337)</f>
        <v>70337</v>
      </c>
      <c r="B1197" s="3" t="s">
        <v>6531</v>
      </c>
      <c r="C1197" s="3" t="s">
        <v>31</v>
      </c>
      <c r="D1197" s="3" t="s">
        <v>32</v>
      </c>
      <c r="E1197" s="4" t="s">
        <v>22</v>
      </c>
      <c r="F1197" s="4" t="s">
        <v>6532</v>
      </c>
      <c r="G1197" s="4" t="s">
        <v>6533</v>
      </c>
      <c r="H1197" s="3" t="s">
        <v>4839</v>
      </c>
      <c r="I1197" s="3" t="s">
        <v>6534</v>
      </c>
      <c r="J1197" s="3" t="s">
        <v>6535</v>
      </c>
      <c r="K1197" s="3" t="s">
        <v>6536</v>
      </c>
      <c r="L1197" s="3"/>
      <c r="M1197" s="4"/>
      <c r="N1197" s="3" t="s">
        <v>37</v>
      </c>
      <c r="O1197" s="3" t="s">
        <v>266</v>
      </c>
      <c r="P1197" s="5">
        <v>12</v>
      </c>
      <c r="Q1197" s="5">
        <v>199</v>
      </c>
      <c r="R1197" s="5">
        <v>12</v>
      </c>
      <c r="S1197" s="5">
        <v>196</v>
      </c>
    </row>
    <row r="1198" spans="1:19" ht="28" x14ac:dyDescent="0.15">
      <c r="A1198" s="2">
        <f>HYPERLINK("https://open-school.uspishnemisto.com.ua/school/70338/", 70338)</f>
        <v>70338</v>
      </c>
      <c r="B1198" s="3" t="s">
        <v>6537</v>
      </c>
      <c r="C1198" s="3" t="s">
        <v>31</v>
      </c>
      <c r="D1198" s="3" t="s">
        <v>60</v>
      </c>
      <c r="E1198" s="4" t="s">
        <v>22</v>
      </c>
      <c r="F1198" s="4" t="s">
        <v>6538</v>
      </c>
      <c r="G1198" s="4" t="s">
        <v>6539</v>
      </c>
      <c r="H1198" s="3" t="s">
        <v>4839</v>
      </c>
      <c r="I1198" s="3" t="s">
        <v>6540</v>
      </c>
      <c r="J1198" s="3" t="s">
        <v>6541</v>
      </c>
      <c r="K1198" s="3" t="s">
        <v>6542</v>
      </c>
      <c r="L1198" s="3"/>
      <c r="M1198" s="4"/>
      <c r="N1198" s="3" t="s">
        <v>37</v>
      </c>
      <c r="O1198" s="3" t="s">
        <v>52</v>
      </c>
      <c r="P1198" s="5">
        <v>1</v>
      </c>
      <c r="Q1198" s="5">
        <v>18</v>
      </c>
      <c r="R1198" s="5">
        <v>0</v>
      </c>
      <c r="S1198" s="5">
        <v>10</v>
      </c>
    </row>
    <row r="1199" spans="1:19" ht="28" x14ac:dyDescent="0.15">
      <c r="A1199" s="2">
        <f>HYPERLINK("https://open-school.uspishnemisto.com.ua/school/70339/", 70339)</f>
        <v>70339</v>
      </c>
      <c r="B1199" s="3" t="s">
        <v>6543</v>
      </c>
      <c r="C1199" s="3" t="s">
        <v>31</v>
      </c>
      <c r="D1199" s="3" t="s">
        <v>175</v>
      </c>
      <c r="E1199" s="4" t="s">
        <v>22</v>
      </c>
      <c r="F1199" s="4" t="s">
        <v>6538</v>
      </c>
      <c r="G1199" s="4" t="s">
        <v>6544</v>
      </c>
      <c r="H1199" s="3" t="s">
        <v>4839</v>
      </c>
      <c r="I1199" s="3" t="s">
        <v>6545</v>
      </c>
      <c r="J1199" s="3" t="s">
        <v>726</v>
      </c>
      <c r="K1199" s="3" t="s">
        <v>6546</v>
      </c>
      <c r="L1199" s="3"/>
      <c r="M1199" s="4"/>
      <c r="N1199" s="3" t="s">
        <v>37</v>
      </c>
      <c r="O1199" s="3" t="s">
        <v>38</v>
      </c>
      <c r="P1199" s="5">
        <v>3</v>
      </c>
      <c r="Q1199" s="5">
        <v>33</v>
      </c>
      <c r="R1199" s="5">
        <v>4</v>
      </c>
      <c r="S1199" s="5">
        <v>37</v>
      </c>
    </row>
    <row r="1200" spans="1:19" ht="28" x14ac:dyDescent="0.15">
      <c r="A1200" s="2">
        <f>HYPERLINK("https://open-school.uspishnemisto.com.ua/school/70340/", 70340)</f>
        <v>70340</v>
      </c>
      <c r="B1200" s="3" t="s">
        <v>6547</v>
      </c>
      <c r="C1200" s="3" t="s">
        <v>31</v>
      </c>
      <c r="D1200" s="3" t="s">
        <v>32</v>
      </c>
      <c r="E1200" s="4" t="s">
        <v>22</v>
      </c>
      <c r="F1200" s="4" t="s">
        <v>6548</v>
      </c>
      <c r="G1200" s="4" t="s">
        <v>6549</v>
      </c>
      <c r="H1200" s="3" t="s">
        <v>4839</v>
      </c>
      <c r="I1200" s="3" t="s">
        <v>6550</v>
      </c>
      <c r="J1200" s="3" t="s">
        <v>4792</v>
      </c>
      <c r="K1200" s="3" t="s">
        <v>6551</v>
      </c>
      <c r="L1200" s="3"/>
      <c r="M1200" s="4"/>
      <c r="N1200" s="3" t="s">
        <v>37</v>
      </c>
      <c r="O1200" s="3" t="s">
        <v>38</v>
      </c>
      <c r="P1200" s="5">
        <v>11</v>
      </c>
      <c r="Q1200" s="5">
        <v>136</v>
      </c>
      <c r="R1200" s="5">
        <v>11</v>
      </c>
      <c r="S1200" s="5">
        <v>141</v>
      </c>
    </row>
    <row r="1201" spans="1:19" ht="28" x14ac:dyDescent="0.15">
      <c r="A1201" s="2">
        <f>HYPERLINK("https://open-school.uspishnemisto.com.ua/school/70341/", 70341)</f>
        <v>70341</v>
      </c>
      <c r="B1201" s="3" t="s">
        <v>6552</v>
      </c>
      <c r="C1201" s="3" t="s">
        <v>31</v>
      </c>
      <c r="D1201" s="3" t="s">
        <v>60</v>
      </c>
      <c r="E1201" s="4" t="s">
        <v>22</v>
      </c>
      <c r="F1201" s="4" t="s">
        <v>6548</v>
      </c>
      <c r="G1201" s="4" t="s">
        <v>6553</v>
      </c>
      <c r="H1201" s="3" t="s">
        <v>4839</v>
      </c>
      <c r="I1201" s="3" t="s">
        <v>6554</v>
      </c>
      <c r="J1201" s="3" t="s">
        <v>6555</v>
      </c>
      <c r="K1201" s="3" t="s">
        <v>6556</v>
      </c>
      <c r="L1201" s="3"/>
      <c r="M1201" s="4"/>
      <c r="N1201" s="3" t="s">
        <v>37</v>
      </c>
      <c r="O1201" s="3" t="s">
        <v>52</v>
      </c>
      <c r="P1201" s="5">
        <v>2</v>
      </c>
      <c r="Q1201" s="5">
        <v>16</v>
      </c>
      <c r="R1201" s="5">
        <v>1</v>
      </c>
      <c r="S1201" s="5">
        <v>12</v>
      </c>
    </row>
    <row r="1202" spans="1:19" ht="28" x14ac:dyDescent="0.15">
      <c r="A1202" s="2">
        <f>HYPERLINK("https://open-school.uspishnemisto.com.ua/school/70342/", 70342)</f>
        <v>70342</v>
      </c>
      <c r="B1202" s="3" t="s">
        <v>6557</v>
      </c>
      <c r="C1202" s="3" t="s">
        <v>31</v>
      </c>
      <c r="D1202" s="3" t="s">
        <v>175</v>
      </c>
      <c r="E1202" s="4" t="s">
        <v>22</v>
      </c>
      <c r="F1202" s="4" t="s">
        <v>6558</v>
      </c>
      <c r="G1202" s="4" t="s">
        <v>6559</v>
      </c>
      <c r="H1202" s="3" t="s">
        <v>4839</v>
      </c>
      <c r="I1202" s="3" t="s">
        <v>6560</v>
      </c>
      <c r="J1202" s="3" t="s">
        <v>6561</v>
      </c>
      <c r="K1202" s="3" t="s">
        <v>6562</v>
      </c>
      <c r="L1202" s="3"/>
      <c r="M1202" s="4"/>
      <c r="N1202" s="3" t="s">
        <v>37</v>
      </c>
      <c r="O1202" s="3" t="s">
        <v>46</v>
      </c>
      <c r="P1202" s="5">
        <v>5</v>
      </c>
      <c r="Q1202" s="5">
        <v>31</v>
      </c>
      <c r="R1202" s="5">
        <v>7</v>
      </c>
      <c r="S1202" s="5">
        <v>39</v>
      </c>
    </row>
    <row r="1203" spans="1:19" ht="28" x14ac:dyDescent="0.15">
      <c r="A1203" s="2">
        <f>HYPERLINK("https://open-school.uspishnemisto.com.ua/school/70343/", 70343)</f>
        <v>70343</v>
      </c>
      <c r="B1203" s="3" t="s">
        <v>6563</v>
      </c>
      <c r="C1203" s="3" t="s">
        <v>31</v>
      </c>
      <c r="D1203" s="3" t="s">
        <v>175</v>
      </c>
      <c r="E1203" s="4" t="s">
        <v>22</v>
      </c>
      <c r="F1203" s="4" t="s">
        <v>6558</v>
      </c>
      <c r="G1203" s="4" t="s">
        <v>6564</v>
      </c>
      <c r="H1203" s="3" t="s">
        <v>4839</v>
      </c>
      <c r="I1203" s="3" t="s">
        <v>6565</v>
      </c>
      <c r="J1203" s="3" t="s">
        <v>6566</v>
      </c>
      <c r="K1203" s="3" t="s">
        <v>6567</v>
      </c>
      <c r="L1203" s="3"/>
      <c r="M1203" s="4"/>
      <c r="N1203" s="3" t="s">
        <v>37</v>
      </c>
      <c r="O1203" s="3" t="s">
        <v>38</v>
      </c>
      <c r="P1203" s="5">
        <v>8</v>
      </c>
      <c r="Q1203" s="5">
        <v>63</v>
      </c>
      <c r="R1203" s="5">
        <v>7</v>
      </c>
      <c r="S1203" s="5">
        <v>58</v>
      </c>
    </row>
    <row r="1204" spans="1:19" ht="42" x14ac:dyDescent="0.15">
      <c r="A1204" s="2">
        <f>HYPERLINK("https://open-school.uspishnemisto.com.ua/school/70345/", 70345)</f>
        <v>70345</v>
      </c>
      <c r="B1204" s="3" t="s">
        <v>6568</v>
      </c>
      <c r="C1204" s="3" t="s">
        <v>31</v>
      </c>
      <c r="D1204" s="3"/>
      <c r="E1204" s="4" t="s">
        <v>22</v>
      </c>
      <c r="F1204" s="4" t="s">
        <v>6569</v>
      </c>
      <c r="G1204" s="4" t="s">
        <v>6570</v>
      </c>
      <c r="H1204" s="3" t="s">
        <v>4839</v>
      </c>
      <c r="I1204" s="3" t="s">
        <v>6571</v>
      </c>
      <c r="J1204" s="3" t="s">
        <v>6572</v>
      </c>
      <c r="K1204" s="3"/>
      <c r="L1204" s="3"/>
      <c r="M1204" s="4"/>
      <c r="N1204" s="3" t="s">
        <v>37</v>
      </c>
      <c r="O1204" s="3" t="s">
        <v>52</v>
      </c>
      <c r="P1204" s="5">
        <v>0</v>
      </c>
      <c r="Q1204" s="5">
        <v>0</v>
      </c>
      <c r="R1204" s="5">
        <v>2</v>
      </c>
      <c r="S1204" s="5">
        <v>18</v>
      </c>
    </row>
    <row r="1205" spans="1:19" ht="42" x14ac:dyDescent="0.15">
      <c r="A1205" s="2">
        <f>HYPERLINK("https://open-school.uspishnemisto.com.ua/school/70347/", 70347)</f>
        <v>70347</v>
      </c>
      <c r="B1205" s="3" t="s">
        <v>6573</v>
      </c>
      <c r="C1205" s="3" t="s">
        <v>31</v>
      </c>
      <c r="D1205" s="3" t="s">
        <v>32</v>
      </c>
      <c r="E1205" s="4" t="s">
        <v>22</v>
      </c>
      <c r="F1205" s="4" t="s">
        <v>6574</v>
      </c>
      <c r="G1205" s="4" t="s">
        <v>6575</v>
      </c>
      <c r="H1205" s="3" t="s">
        <v>4839</v>
      </c>
      <c r="I1205" s="3" t="s">
        <v>6576</v>
      </c>
      <c r="J1205" s="3" t="s">
        <v>6577</v>
      </c>
      <c r="K1205" s="3" t="s">
        <v>6578</v>
      </c>
      <c r="L1205" s="3"/>
      <c r="M1205" s="4"/>
      <c r="N1205" s="3" t="s">
        <v>37</v>
      </c>
      <c r="O1205" s="3" t="s">
        <v>266</v>
      </c>
      <c r="P1205" s="5">
        <v>11</v>
      </c>
      <c r="Q1205" s="5">
        <v>105</v>
      </c>
      <c r="R1205" s="5">
        <v>10</v>
      </c>
      <c r="S1205" s="5">
        <v>101</v>
      </c>
    </row>
    <row r="1206" spans="1:19" ht="28" x14ac:dyDescent="0.15">
      <c r="A1206" s="2">
        <f>HYPERLINK("https://open-school.uspishnemisto.com.ua/school/70348/", 70348)</f>
        <v>70348</v>
      </c>
      <c r="B1206" s="3" t="s">
        <v>6579</v>
      </c>
      <c r="C1206" s="3" t="s">
        <v>31</v>
      </c>
      <c r="D1206" s="3" t="s">
        <v>60</v>
      </c>
      <c r="E1206" s="4" t="s">
        <v>22</v>
      </c>
      <c r="F1206" s="4" t="s">
        <v>6574</v>
      </c>
      <c r="G1206" s="4" t="s">
        <v>6580</v>
      </c>
      <c r="H1206" s="3" t="s">
        <v>4839</v>
      </c>
      <c r="I1206" s="3" t="s">
        <v>6581</v>
      </c>
      <c r="J1206" s="3" t="s">
        <v>6582</v>
      </c>
      <c r="K1206" s="3" t="s">
        <v>6583</v>
      </c>
      <c r="L1206" s="3"/>
      <c r="M1206" s="4"/>
      <c r="N1206" s="3" t="s">
        <v>37</v>
      </c>
      <c r="O1206" s="3" t="s">
        <v>52</v>
      </c>
      <c r="P1206" s="5">
        <v>0</v>
      </c>
      <c r="Q1206" s="5">
        <v>9</v>
      </c>
      <c r="R1206" s="5">
        <v>0</v>
      </c>
      <c r="S1206" s="5">
        <v>13</v>
      </c>
    </row>
    <row r="1207" spans="1:19" ht="28" x14ac:dyDescent="0.15">
      <c r="A1207" s="2">
        <f>HYPERLINK("https://open-school.uspishnemisto.com.ua/school/70352/", 70352)</f>
        <v>70352</v>
      </c>
      <c r="B1207" s="3" t="s">
        <v>6584</v>
      </c>
      <c r="C1207" s="3" t="s">
        <v>31</v>
      </c>
      <c r="D1207" s="3" t="s">
        <v>60</v>
      </c>
      <c r="E1207" s="4" t="s">
        <v>22</v>
      </c>
      <c r="F1207" s="4" t="s">
        <v>6585</v>
      </c>
      <c r="G1207" s="4" t="s">
        <v>6586</v>
      </c>
      <c r="H1207" s="3" t="s">
        <v>4839</v>
      </c>
      <c r="I1207" s="3" t="s">
        <v>6587</v>
      </c>
      <c r="J1207" s="3" t="s">
        <v>6588</v>
      </c>
      <c r="K1207" s="3" t="s">
        <v>6589</v>
      </c>
      <c r="L1207" s="3"/>
      <c r="M1207" s="4"/>
      <c r="N1207" s="3" t="s">
        <v>52</v>
      </c>
      <c r="O1207" s="3" t="s">
        <v>52</v>
      </c>
      <c r="P1207" s="5">
        <v>1</v>
      </c>
      <c r="Q1207" s="5">
        <v>9</v>
      </c>
      <c r="R1207" s="5">
        <v>1</v>
      </c>
      <c r="S1207" s="5">
        <v>11</v>
      </c>
    </row>
    <row r="1208" spans="1:19" ht="28" x14ac:dyDescent="0.15">
      <c r="A1208" s="2">
        <f>HYPERLINK("https://open-school.uspishnemisto.com.ua/school/70353/", 70353)</f>
        <v>70353</v>
      </c>
      <c r="B1208" s="3" t="s">
        <v>6590</v>
      </c>
      <c r="C1208" s="3" t="s">
        <v>31</v>
      </c>
      <c r="D1208" s="3" t="s">
        <v>32</v>
      </c>
      <c r="E1208" s="4" t="s">
        <v>22</v>
      </c>
      <c r="F1208" s="4" t="s">
        <v>6591</v>
      </c>
      <c r="G1208" s="4" t="s">
        <v>6592</v>
      </c>
      <c r="H1208" s="3" t="s">
        <v>4839</v>
      </c>
      <c r="I1208" s="3" t="s">
        <v>6593</v>
      </c>
      <c r="J1208" s="3" t="s">
        <v>466</v>
      </c>
      <c r="K1208" s="3" t="s">
        <v>6594</v>
      </c>
      <c r="L1208" s="3"/>
      <c r="M1208" s="4"/>
      <c r="N1208" s="3" t="s">
        <v>37</v>
      </c>
      <c r="O1208" s="3" t="s">
        <v>38</v>
      </c>
      <c r="P1208" s="5">
        <v>10</v>
      </c>
      <c r="Q1208" s="5">
        <v>129</v>
      </c>
      <c r="R1208" s="5">
        <v>10</v>
      </c>
      <c r="S1208" s="5">
        <v>135</v>
      </c>
    </row>
    <row r="1209" spans="1:19" ht="28" x14ac:dyDescent="0.15">
      <c r="A1209" s="2">
        <f>HYPERLINK("https://open-school.uspishnemisto.com.ua/school/70354/", 70354)</f>
        <v>70354</v>
      </c>
      <c r="B1209" s="3" t="s">
        <v>6595</v>
      </c>
      <c r="C1209" s="3" t="s">
        <v>31</v>
      </c>
      <c r="D1209" s="3" t="s">
        <v>60</v>
      </c>
      <c r="E1209" s="4" t="s">
        <v>22</v>
      </c>
      <c r="F1209" s="4" t="s">
        <v>6591</v>
      </c>
      <c r="G1209" s="4" t="s">
        <v>6596</v>
      </c>
      <c r="H1209" s="3" t="s">
        <v>4839</v>
      </c>
      <c r="I1209" s="3" t="s">
        <v>6597</v>
      </c>
      <c r="J1209" s="3" t="s">
        <v>6598</v>
      </c>
      <c r="K1209" s="3" t="s">
        <v>6599</v>
      </c>
      <c r="L1209" s="3"/>
      <c r="M1209" s="4"/>
      <c r="N1209" s="3" t="s">
        <v>37</v>
      </c>
      <c r="O1209" s="3" t="s">
        <v>52</v>
      </c>
      <c r="P1209" s="5">
        <v>1</v>
      </c>
      <c r="Q1209" s="5">
        <v>12</v>
      </c>
      <c r="R1209" s="5">
        <v>3</v>
      </c>
      <c r="S1209" s="5">
        <v>18</v>
      </c>
    </row>
    <row r="1210" spans="1:19" ht="28" x14ac:dyDescent="0.15">
      <c r="A1210" s="2">
        <f>HYPERLINK("https://open-school.uspishnemisto.com.ua/school/70355/", 70355)</f>
        <v>70355</v>
      </c>
      <c r="B1210" s="3" t="s">
        <v>6600</v>
      </c>
      <c r="C1210" s="3" t="s">
        <v>31</v>
      </c>
      <c r="D1210" s="3" t="s">
        <v>32</v>
      </c>
      <c r="E1210" s="4" t="s">
        <v>22</v>
      </c>
      <c r="F1210" s="4" t="s">
        <v>6601</v>
      </c>
      <c r="G1210" s="4" t="s">
        <v>6602</v>
      </c>
      <c r="H1210" s="3" t="s">
        <v>4839</v>
      </c>
      <c r="I1210" s="3" t="s">
        <v>6603</v>
      </c>
      <c r="J1210" s="3" t="s">
        <v>6604</v>
      </c>
      <c r="K1210" s="3" t="s">
        <v>6605</v>
      </c>
      <c r="L1210" s="3"/>
      <c r="M1210" s="4"/>
      <c r="N1210" s="3" t="s">
        <v>37</v>
      </c>
      <c r="O1210" s="3" t="s">
        <v>139</v>
      </c>
      <c r="P1210" s="5">
        <v>9</v>
      </c>
      <c r="Q1210" s="5">
        <v>75</v>
      </c>
      <c r="R1210" s="5">
        <v>9</v>
      </c>
      <c r="S1210" s="5">
        <v>80</v>
      </c>
    </row>
    <row r="1211" spans="1:19" ht="42" x14ac:dyDescent="0.15">
      <c r="A1211" s="2">
        <f>HYPERLINK("https://open-school.uspishnemisto.com.ua/school/70722/", 70722)</f>
        <v>70722</v>
      </c>
      <c r="B1211" s="3" t="s">
        <v>6606</v>
      </c>
      <c r="C1211" s="3" t="s">
        <v>31</v>
      </c>
      <c r="D1211" s="3" t="s">
        <v>60</v>
      </c>
      <c r="E1211" s="4" t="s">
        <v>22</v>
      </c>
      <c r="F1211" s="4"/>
      <c r="G1211" s="4" t="s">
        <v>6607</v>
      </c>
      <c r="H1211" s="3" t="s">
        <v>4839</v>
      </c>
      <c r="I1211" s="3" t="s">
        <v>6608</v>
      </c>
      <c r="J1211" s="3" t="s">
        <v>6609</v>
      </c>
      <c r="K1211" s="3" t="s">
        <v>6610</v>
      </c>
      <c r="L1211" s="3"/>
      <c r="M1211" s="4"/>
      <c r="N1211" s="3"/>
      <c r="O1211" s="3"/>
      <c r="P1211" s="5">
        <v>0</v>
      </c>
      <c r="Q1211" s="5">
        <v>0</v>
      </c>
      <c r="R1211" s="5"/>
      <c r="S1211" s="5"/>
    </row>
    <row r="1212" spans="1:19" ht="28" x14ac:dyDescent="0.15">
      <c r="A1212" s="2">
        <f>HYPERLINK("https://open-school.uspishnemisto.com.ua/school/70356/", 70356)</f>
        <v>70356</v>
      </c>
      <c r="B1212" s="3" t="s">
        <v>6611</v>
      </c>
      <c r="C1212" s="3" t="s">
        <v>31</v>
      </c>
      <c r="D1212" s="3" t="s">
        <v>32</v>
      </c>
      <c r="E1212" s="4" t="s">
        <v>22</v>
      </c>
      <c r="F1212" s="4" t="s">
        <v>6612</v>
      </c>
      <c r="G1212" s="4" t="s">
        <v>6613</v>
      </c>
      <c r="H1212" s="3" t="s">
        <v>4839</v>
      </c>
      <c r="I1212" s="3" t="s">
        <v>6614</v>
      </c>
      <c r="J1212" s="3" t="s">
        <v>6615</v>
      </c>
      <c r="K1212" s="3" t="s">
        <v>6616</v>
      </c>
      <c r="L1212" s="3"/>
      <c r="M1212" s="4"/>
      <c r="N1212" s="3" t="s">
        <v>37</v>
      </c>
      <c r="O1212" s="3" t="s">
        <v>70</v>
      </c>
      <c r="P1212" s="5">
        <v>10</v>
      </c>
      <c r="Q1212" s="5">
        <v>95</v>
      </c>
      <c r="R1212" s="5">
        <v>10</v>
      </c>
      <c r="S1212" s="5">
        <v>88</v>
      </c>
    </row>
    <row r="1213" spans="1:19" ht="28" x14ac:dyDescent="0.15">
      <c r="A1213" s="2">
        <f>HYPERLINK("https://open-school.uspishnemisto.com.ua/school/70357/", 70357)</f>
        <v>70357</v>
      </c>
      <c r="B1213" s="3" t="s">
        <v>6617</v>
      </c>
      <c r="C1213" s="3" t="s">
        <v>40</v>
      </c>
      <c r="D1213" s="3" t="s">
        <v>32</v>
      </c>
      <c r="E1213" s="4" t="s">
        <v>22</v>
      </c>
      <c r="F1213" s="4" t="s">
        <v>6618</v>
      </c>
      <c r="G1213" s="4" t="s">
        <v>6619</v>
      </c>
      <c r="H1213" s="3" t="s">
        <v>4839</v>
      </c>
      <c r="I1213" s="3" t="s">
        <v>6620</v>
      </c>
      <c r="J1213" s="3" t="s">
        <v>6621</v>
      </c>
      <c r="K1213" s="3" t="s">
        <v>6622</v>
      </c>
      <c r="L1213" s="3" t="s">
        <v>6623</v>
      </c>
      <c r="M1213" s="4"/>
      <c r="N1213" s="3" t="s">
        <v>37</v>
      </c>
      <c r="O1213" s="3" t="s">
        <v>129</v>
      </c>
      <c r="P1213" s="5">
        <v>26</v>
      </c>
      <c r="Q1213" s="5">
        <v>518</v>
      </c>
      <c r="R1213" s="5">
        <v>24</v>
      </c>
      <c r="S1213" s="5">
        <v>506</v>
      </c>
    </row>
    <row r="1214" spans="1:19" ht="28" x14ac:dyDescent="0.15">
      <c r="A1214" s="2">
        <f>HYPERLINK("https://open-school.uspishnemisto.com.ua/school/70358/", 70358)</f>
        <v>70358</v>
      </c>
      <c r="B1214" s="3" t="s">
        <v>6624</v>
      </c>
      <c r="C1214" s="3" t="s">
        <v>31</v>
      </c>
      <c r="D1214" s="3" t="s">
        <v>32</v>
      </c>
      <c r="E1214" s="4" t="s">
        <v>22</v>
      </c>
      <c r="F1214" s="4" t="s">
        <v>6625</v>
      </c>
      <c r="G1214" s="4" t="s">
        <v>6626</v>
      </c>
      <c r="H1214" s="3" t="s">
        <v>4839</v>
      </c>
      <c r="I1214" s="3" t="s">
        <v>6627</v>
      </c>
      <c r="J1214" s="3" t="s">
        <v>1668</v>
      </c>
      <c r="K1214" s="3" t="s">
        <v>6628</v>
      </c>
      <c r="L1214" s="3" t="s">
        <v>6629</v>
      </c>
      <c r="M1214" s="4"/>
      <c r="N1214" s="3" t="s">
        <v>37</v>
      </c>
      <c r="O1214" s="3" t="s">
        <v>70</v>
      </c>
      <c r="P1214" s="5">
        <v>9</v>
      </c>
      <c r="Q1214" s="5">
        <v>88</v>
      </c>
      <c r="R1214" s="5">
        <v>9</v>
      </c>
      <c r="S1214" s="5">
        <v>76</v>
      </c>
    </row>
    <row r="1215" spans="1:19" ht="28" x14ac:dyDescent="0.15">
      <c r="A1215" s="2">
        <f>HYPERLINK("https://open-school.uspishnemisto.com.ua/school/70359/", 70359)</f>
        <v>70359</v>
      </c>
      <c r="B1215" s="3" t="s">
        <v>6630</v>
      </c>
      <c r="C1215" s="3" t="s">
        <v>31</v>
      </c>
      <c r="D1215" s="3" t="s">
        <v>175</v>
      </c>
      <c r="E1215" s="4" t="s">
        <v>22</v>
      </c>
      <c r="F1215" s="4" t="s">
        <v>6625</v>
      </c>
      <c r="G1215" s="4" t="s">
        <v>6631</v>
      </c>
      <c r="H1215" s="3" t="s">
        <v>4839</v>
      </c>
      <c r="I1215" s="3" t="s">
        <v>6632</v>
      </c>
      <c r="J1215" s="3" t="s">
        <v>2802</v>
      </c>
      <c r="K1215" s="3"/>
      <c r="L1215" s="3"/>
      <c r="M1215" s="4"/>
      <c r="N1215" s="3" t="s">
        <v>37</v>
      </c>
      <c r="O1215" s="3" t="s">
        <v>52</v>
      </c>
      <c r="P1215" s="5">
        <v>3</v>
      </c>
      <c r="Q1215" s="5">
        <v>32</v>
      </c>
      <c r="R1215" s="5">
        <v>3</v>
      </c>
      <c r="S1215" s="5">
        <v>33</v>
      </c>
    </row>
    <row r="1216" spans="1:19" ht="28" x14ac:dyDescent="0.15">
      <c r="A1216" s="2">
        <f>HYPERLINK("https://open-school.uspishnemisto.com.ua/school/70360/", 70360)</f>
        <v>70360</v>
      </c>
      <c r="B1216" s="3" t="s">
        <v>6633</v>
      </c>
      <c r="C1216" s="3" t="s">
        <v>31</v>
      </c>
      <c r="D1216" s="3" t="s">
        <v>175</v>
      </c>
      <c r="E1216" s="4" t="s">
        <v>22</v>
      </c>
      <c r="F1216" s="4" t="s">
        <v>6634</v>
      </c>
      <c r="G1216" s="4" t="s">
        <v>6635</v>
      </c>
      <c r="H1216" s="3" t="s">
        <v>4839</v>
      </c>
      <c r="I1216" s="3" t="s">
        <v>6636</v>
      </c>
      <c r="J1216" s="3" t="s">
        <v>952</v>
      </c>
      <c r="K1216" s="3" t="s">
        <v>6637</v>
      </c>
      <c r="L1216" s="3" t="s">
        <v>6638</v>
      </c>
      <c r="M1216" s="4"/>
      <c r="N1216" s="3" t="s">
        <v>37</v>
      </c>
      <c r="O1216" s="3" t="s">
        <v>52</v>
      </c>
      <c r="P1216" s="5">
        <v>4</v>
      </c>
      <c r="Q1216" s="5">
        <v>38</v>
      </c>
      <c r="R1216" s="5">
        <v>3</v>
      </c>
      <c r="S1216" s="5">
        <v>39</v>
      </c>
    </row>
    <row r="1217" spans="1:19" ht="28" x14ac:dyDescent="0.15">
      <c r="A1217" s="2">
        <f>HYPERLINK("https://open-school.uspishnemisto.com.ua/school/70361/", 70361)</f>
        <v>70361</v>
      </c>
      <c r="B1217" s="3" t="s">
        <v>6639</v>
      </c>
      <c r="C1217" s="3" t="s">
        <v>31</v>
      </c>
      <c r="D1217" s="3" t="s">
        <v>175</v>
      </c>
      <c r="E1217" s="4" t="s">
        <v>22</v>
      </c>
      <c r="F1217" s="4" t="s">
        <v>6640</v>
      </c>
      <c r="G1217" s="4" t="s">
        <v>6641</v>
      </c>
      <c r="H1217" s="3" t="s">
        <v>4839</v>
      </c>
      <c r="I1217" s="3" t="s">
        <v>6642</v>
      </c>
      <c r="J1217" s="3" t="s">
        <v>1636</v>
      </c>
      <c r="K1217" s="3" t="s">
        <v>6643</v>
      </c>
      <c r="L1217" s="3"/>
      <c r="M1217" s="4"/>
      <c r="N1217" s="3" t="s">
        <v>37</v>
      </c>
      <c r="O1217" s="3" t="s">
        <v>46</v>
      </c>
      <c r="P1217" s="5">
        <v>7</v>
      </c>
      <c r="Q1217" s="5">
        <v>62</v>
      </c>
      <c r="R1217" s="5">
        <v>7</v>
      </c>
      <c r="S1217" s="5">
        <v>60</v>
      </c>
    </row>
    <row r="1218" spans="1:19" ht="28" x14ac:dyDescent="0.15">
      <c r="A1218" s="2">
        <f>HYPERLINK("https://open-school.uspishnemisto.com.ua/school/70362/", 70362)</f>
        <v>70362</v>
      </c>
      <c r="B1218" s="3" t="s">
        <v>6644</v>
      </c>
      <c r="C1218" s="3" t="s">
        <v>31</v>
      </c>
      <c r="D1218" s="3" t="s">
        <v>32</v>
      </c>
      <c r="E1218" s="4" t="s">
        <v>22</v>
      </c>
      <c r="F1218" s="4" t="s">
        <v>6645</v>
      </c>
      <c r="G1218" s="4" t="s">
        <v>6646</v>
      </c>
      <c r="H1218" s="3" t="s">
        <v>4839</v>
      </c>
      <c r="I1218" s="3" t="s">
        <v>6647</v>
      </c>
      <c r="J1218" s="3" t="s">
        <v>466</v>
      </c>
      <c r="K1218" s="3" t="s">
        <v>6648</v>
      </c>
      <c r="L1218" s="3"/>
      <c r="M1218" s="4"/>
      <c r="N1218" s="3" t="s">
        <v>37</v>
      </c>
      <c r="O1218" s="3" t="s">
        <v>237</v>
      </c>
      <c r="P1218" s="5">
        <v>10</v>
      </c>
      <c r="Q1218" s="5">
        <v>103</v>
      </c>
      <c r="R1218" s="5">
        <v>10</v>
      </c>
      <c r="S1218" s="5">
        <v>100</v>
      </c>
    </row>
    <row r="1219" spans="1:19" ht="28" x14ac:dyDescent="0.15">
      <c r="A1219" s="2">
        <f>HYPERLINK("https://open-school.uspishnemisto.com.ua/school/70364/", 70364)</f>
        <v>70364</v>
      </c>
      <c r="B1219" s="3" t="s">
        <v>6649</v>
      </c>
      <c r="C1219" s="3" t="s">
        <v>31</v>
      </c>
      <c r="D1219" s="3" t="s">
        <v>175</v>
      </c>
      <c r="E1219" s="4" t="s">
        <v>22</v>
      </c>
      <c r="F1219" s="4" t="s">
        <v>6618</v>
      </c>
      <c r="G1219" s="4" t="s">
        <v>6650</v>
      </c>
      <c r="H1219" s="3" t="s">
        <v>4839</v>
      </c>
      <c r="I1219" s="3" t="s">
        <v>6651</v>
      </c>
      <c r="J1219" s="3" t="s">
        <v>3146</v>
      </c>
      <c r="K1219" s="3" t="s">
        <v>6652</v>
      </c>
      <c r="L1219" s="3" t="s">
        <v>6653</v>
      </c>
      <c r="M1219" s="4"/>
      <c r="N1219" s="3" t="s">
        <v>37</v>
      </c>
      <c r="O1219" s="3" t="s">
        <v>52</v>
      </c>
      <c r="P1219" s="5">
        <v>8</v>
      </c>
      <c r="Q1219" s="5">
        <v>55</v>
      </c>
      <c r="R1219" s="5">
        <v>9</v>
      </c>
      <c r="S1219" s="5">
        <v>66</v>
      </c>
    </row>
    <row r="1220" spans="1:19" ht="28" x14ac:dyDescent="0.15">
      <c r="A1220" s="2">
        <f>HYPERLINK("https://open-school.uspishnemisto.com.ua/school/70365/", 70365)</f>
        <v>70365</v>
      </c>
      <c r="B1220" s="3" t="s">
        <v>6654</v>
      </c>
      <c r="C1220" s="3" t="s">
        <v>31</v>
      </c>
      <c r="D1220" s="3" t="s">
        <v>32</v>
      </c>
      <c r="E1220" s="4" t="s">
        <v>22</v>
      </c>
      <c r="F1220" s="4" t="s">
        <v>6655</v>
      </c>
      <c r="G1220" s="4" t="s">
        <v>6656</v>
      </c>
      <c r="H1220" s="3" t="s">
        <v>4839</v>
      </c>
      <c r="I1220" s="3" t="s">
        <v>6657</v>
      </c>
      <c r="J1220" s="3" t="s">
        <v>6658</v>
      </c>
      <c r="K1220" s="3" t="s">
        <v>6659</v>
      </c>
      <c r="L1220" s="3"/>
      <c r="M1220" s="4"/>
      <c r="N1220" s="3" t="s">
        <v>37</v>
      </c>
      <c r="O1220" s="3" t="s">
        <v>46</v>
      </c>
      <c r="P1220" s="5">
        <v>9</v>
      </c>
      <c r="Q1220" s="5">
        <v>88</v>
      </c>
      <c r="R1220" s="5">
        <v>9</v>
      </c>
      <c r="S1220" s="5">
        <v>76</v>
      </c>
    </row>
    <row r="1221" spans="1:19" ht="28" x14ac:dyDescent="0.15">
      <c r="A1221" s="2">
        <f>HYPERLINK("https://open-school.uspishnemisto.com.ua/school/70366/", 70366)</f>
        <v>70366</v>
      </c>
      <c r="B1221" s="3" t="s">
        <v>6660</v>
      </c>
      <c r="C1221" s="3" t="s">
        <v>31</v>
      </c>
      <c r="D1221" s="3" t="s">
        <v>32</v>
      </c>
      <c r="E1221" s="4" t="s">
        <v>22</v>
      </c>
      <c r="F1221" s="4" t="s">
        <v>6661</v>
      </c>
      <c r="G1221" s="4" t="s">
        <v>6662</v>
      </c>
      <c r="H1221" s="3" t="s">
        <v>4839</v>
      </c>
      <c r="I1221" s="3" t="s">
        <v>6663</v>
      </c>
      <c r="J1221" s="3" t="s">
        <v>466</v>
      </c>
      <c r="K1221" s="3"/>
      <c r="L1221" s="3" t="s">
        <v>6664</v>
      </c>
      <c r="M1221" s="4"/>
      <c r="N1221" s="3" t="s">
        <v>37</v>
      </c>
      <c r="O1221" s="3" t="s">
        <v>38</v>
      </c>
      <c r="P1221" s="5">
        <v>14</v>
      </c>
      <c r="Q1221" s="5">
        <v>258</v>
      </c>
      <c r="R1221" s="5">
        <v>13</v>
      </c>
      <c r="S1221" s="5">
        <v>230</v>
      </c>
    </row>
    <row r="1222" spans="1:19" ht="28" x14ac:dyDescent="0.15">
      <c r="A1222" s="2">
        <f>HYPERLINK("https://open-school.uspishnemisto.com.ua/school/70367/", 70367)</f>
        <v>70367</v>
      </c>
      <c r="B1222" s="3" t="s">
        <v>6665</v>
      </c>
      <c r="C1222" s="3" t="s">
        <v>181</v>
      </c>
      <c r="D1222" s="3" t="s">
        <v>32</v>
      </c>
      <c r="E1222" s="4" t="s">
        <v>22</v>
      </c>
      <c r="F1222" s="4" t="s">
        <v>6661</v>
      </c>
      <c r="G1222" s="4" t="s">
        <v>6662</v>
      </c>
      <c r="H1222" s="3" t="s">
        <v>4839</v>
      </c>
      <c r="I1222" s="3" t="s">
        <v>6663</v>
      </c>
      <c r="J1222" s="3" t="s">
        <v>6666</v>
      </c>
      <c r="K1222" s="3" t="s">
        <v>6667</v>
      </c>
      <c r="L1222" s="3"/>
      <c r="M1222" s="4" t="s">
        <v>6668</v>
      </c>
      <c r="N1222" s="3" t="s">
        <v>37</v>
      </c>
      <c r="O1222" s="3"/>
      <c r="P1222" s="5">
        <v>11</v>
      </c>
      <c r="Q1222" s="5">
        <v>130</v>
      </c>
      <c r="R1222" s="5">
        <v>11</v>
      </c>
      <c r="S1222" s="5">
        <v>128</v>
      </c>
    </row>
    <row r="1223" spans="1:19" ht="28" x14ac:dyDescent="0.15">
      <c r="A1223" s="2">
        <f>HYPERLINK("https://open-school.uspishnemisto.com.ua/school/70368/", 70368)</f>
        <v>70368</v>
      </c>
      <c r="B1223" s="3" t="s">
        <v>6669</v>
      </c>
      <c r="C1223" s="3" t="s">
        <v>31</v>
      </c>
      <c r="D1223" s="3" t="s">
        <v>175</v>
      </c>
      <c r="E1223" s="4" t="s">
        <v>22</v>
      </c>
      <c r="F1223" s="4" t="s">
        <v>6670</v>
      </c>
      <c r="G1223" s="4" t="s">
        <v>6671</v>
      </c>
      <c r="H1223" s="3" t="s">
        <v>4839</v>
      </c>
      <c r="I1223" s="3" t="s">
        <v>6672</v>
      </c>
      <c r="J1223" s="3" t="s">
        <v>792</v>
      </c>
      <c r="K1223" s="3"/>
      <c r="L1223" s="3"/>
      <c r="M1223" s="4"/>
      <c r="N1223" s="3" t="s">
        <v>37</v>
      </c>
      <c r="O1223" s="3" t="s">
        <v>52</v>
      </c>
      <c r="P1223" s="5">
        <v>5</v>
      </c>
      <c r="Q1223" s="5">
        <v>44</v>
      </c>
      <c r="R1223" s="5">
        <v>5</v>
      </c>
      <c r="S1223" s="5">
        <v>38</v>
      </c>
    </row>
    <row r="1224" spans="1:19" ht="28" x14ac:dyDescent="0.15">
      <c r="A1224" s="2">
        <f>HYPERLINK("https://open-school.uspishnemisto.com.ua/school/70369/", 70369)</f>
        <v>70369</v>
      </c>
      <c r="B1224" s="3" t="s">
        <v>6673</v>
      </c>
      <c r="C1224" s="3" t="s">
        <v>31</v>
      </c>
      <c r="D1224" s="3" t="s">
        <v>175</v>
      </c>
      <c r="E1224" s="4" t="s">
        <v>22</v>
      </c>
      <c r="F1224" s="4" t="s">
        <v>6674</v>
      </c>
      <c r="G1224" s="4" t="s">
        <v>6675</v>
      </c>
      <c r="H1224" s="3" t="s">
        <v>4839</v>
      </c>
      <c r="I1224" s="3" t="s">
        <v>6676</v>
      </c>
      <c r="J1224" s="3" t="s">
        <v>6677</v>
      </c>
      <c r="K1224" s="3" t="s">
        <v>6678</v>
      </c>
      <c r="L1224" s="3"/>
      <c r="M1224" s="4"/>
      <c r="N1224" s="3" t="s">
        <v>37</v>
      </c>
      <c r="O1224" s="3" t="s">
        <v>46</v>
      </c>
      <c r="P1224" s="5">
        <v>5</v>
      </c>
      <c r="Q1224" s="5">
        <v>47</v>
      </c>
      <c r="R1224" s="5">
        <v>5</v>
      </c>
      <c r="S1224" s="5">
        <v>51</v>
      </c>
    </row>
    <row r="1225" spans="1:19" ht="28" x14ac:dyDescent="0.15">
      <c r="A1225" s="2">
        <f>HYPERLINK("https://open-school.uspishnemisto.com.ua/school/70370/", 70370)</f>
        <v>70370</v>
      </c>
      <c r="B1225" s="3" t="s">
        <v>6679</v>
      </c>
      <c r="C1225" s="3" t="s">
        <v>31</v>
      </c>
      <c r="D1225" s="3" t="s">
        <v>60</v>
      </c>
      <c r="E1225" s="4" t="s">
        <v>22</v>
      </c>
      <c r="F1225" s="4" t="s">
        <v>6661</v>
      </c>
      <c r="G1225" s="4" t="s">
        <v>6680</v>
      </c>
      <c r="H1225" s="3" t="s">
        <v>4839</v>
      </c>
      <c r="I1225" s="3" t="s">
        <v>6681</v>
      </c>
      <c r="J1225" s="3" t="s">
        <v>6682</v>
      </c>
      <c r="K1225" s="3"/>
      <c r="L1225" s="3"/>
      <c r="M1225" s="4"/>
      <c r="N1225" s="3" t="s">
        <v>37</v>
      </c>
      <c r="O1225" s="3" t="s">
        <v>52</v>
      </c>
      <c r="P1225" s="5">
        <v>1</v>
      </c>
      <c r="Q1225" s="5">
        <v>14</v>
      </c>
      <c r="R1225" s="5">
        <v>1</v>
      </c>
      <c r="S1225" s="5">
        <v>15</v>
      </c>
    </row>
    <row r="1226" spans="1:19" ht="28" x14ac:dyDescent="0.15">
      <c r="A1226" s="2">
        <f>HYPERLINK("https://open-school.uspishnemisto.com.ua/school/70371/", 70371)</f>
        <v>70371</v>
      </c>
      <c r="B1226" s="3" t="s">
        <v>6683</v>
      </c>
      <c r="C1226" s="3" t="s">
        <v>31</v>
      </c>
      <c r="D1226" s="3" t="s">
        <v>175</v>
      </c>
      <c r="E1226" s="4" t="s">
        <v>22</v>
      </c>
      <c r="F1226" s="4" t="s">
        <v>6684</v>
      </c>
      <c r="G1226" s="4" t="s">
        <v>6685</v>
      </c>
      <c r="H1226" s="3" t="s">
        <v>4839</v>
      </c>
      <c r="I1226" s="3" t="s">
        <v>6686</v>
      </c>
      <c r="J1226" s="3" t="s">
        <v>634</v>
      </c>
      <c r="K1226" s="3" t="s">
        <v>6687</v>
      </c>
      <c r="L1226" s="3"/>
      <c r="M1226" s="4"/>
      <c r="N1226" s="3" t="s">
        <v>37</v>
      </c>
      <c r="O1226" s="3" t="s">
        <v>38</v>
      </c>
      <c r="P1226" s="5">
        <v>9</v>
      </c>
      <c r="Q1226" s="5">
        <v>77</v>
      </c>
      <c r="R1226" s="5">
        <v>9</v>
      </c>
      <c r="S1226" s="5">
        <v>76</v>
      </c>
    </row>
    <row r="1227" spans="1:19" ht="28" x14ac:dyDescent="0.15">
      <c r="A1227" s="2">
        <f>HYPERLINK("https://open-school.uspishnemisto.com.ua/school/70372/", 70372)</f>
        <v>70372</v>
      </c>
      <c r="B1227" s="3" t="s">
        <v>6688</v>
      </c>
      <c r="C1227" s="3" t="s">
        <v>31</v>
      </c>
      <c r="D1227" s="3" t="s">
        <v>175</v>
      </c>
      <c r="E1227" s="4" t="s">
        <v>22</v>
      </c>
      <c r="F1227" s="4" t="s">
        <v>6689</v>
      </c>
      <c r="G1227" s="4" t="s">
        <v>6690</v>
      </c>
      <c r="H1227" s="3" t="s">
        <v>4839</v>
      </c>
      <c r="I1227" s="3" t="s">
        <v>6691</v>
      </c>
      <c r="J1227" s="3" t="s">
        <v>6692</v>
      </c>
      <c r="K1227" s="3"/>
      <c r="L1227" s="3"/>
      <c r="M1227" s="4"/>
      <c r="N1227" s="3" t="s">
        <v>37</v>
      </c>
      <c r="O1227" s="3" t="s">
        <v>112</v>
      </c>
      <c r="P1227" s="5">
        <v>7</v>
      </c>
      <c r="Q1227" s="5">
        <v>63</v>
      </c>
      <c r="R1227" s="5">
        <v>7</v>
      </c>
      <c r="S1227" s="5">
        <v>58</v>
      </c>
    </row>
    <row r="1228" spans="1:19" ht="28" x14ac:dyDescent="0.15">
      <c r="A1228" s="2">
        <f>HYPERLINK("https://open-school.uspishnemisto.com.ua/school/70373/", 70373)</f>
        <v>70373</v>
      </c>
      <c r="B1228" s="3" t="s">
        <v>6693</v>
      </c>
      <c r="C1228" s="3" t="s">
        <v>31</v>
      </c>
      <c r="D1228" s="3" t="s">
        <v>175</v>
      </c>
      <c r="E1228" s="4" t="s">
        <v>22</v>
      </c>
      <c r="F1228" s="4" t="s">
        <v>6694</v>
      </c>
      <c r="G1228" s="4" t="s">
        <v>6695</v>
      </c>
      <c r="H1228" s="3" t="s">
        <v>4839</v>
      </c>
      <c r="I1228" s="3" t="s">
        <v>2509</v>
      </c>
      <c r="J1228" s="3" t="s">
        <v>1348</v>
      </c>
      <c r="K1228" s="3" t="s">
        <v>6696</v>
      </c>
      <c r="L1228" s="3" t="s">
        <v>6697</v>
      </c>
      <c r="M1228" s="4"/>
      <c r="N1228" s="3" t="s">
        <v>37</v>
      </c>
      <c r="O1228" s="3" t="s">
        <v>52</v>
      </c>
      <c r="P1228" s="5">
        <v>9</v>
      </c>
      <c r="Q1228" s="5">
        <v>84</v>
      </c>
      <c r="R1228" s="5">
        <v>9</v>
      </c>
      <c r="S1228" s="5">
        <v>90</v>
      </c>
    </row>
    <row r="1229" spans="1:19" ht="28" x14ac:dyDescent="0.15">
      <c r="A1229" s="2">
        <f>HYPERLINK("https://open-school.uspishnemisto.com.ua/school/70374/", 70374)</f>
        <v>70374</v>
      </c>
      <c r="B1229" s="3" t="s">
        <v>6698</v>
      </c>
      <c r="C1229" s="3" t="s">
        <v>31</v>
      </c>
      <c r="D1229" s="3" t="s">
        <v>32</v>
      </c>
      <c r="E1229" s="4" t="s">
        <v>22</v>
      </c>
      <c r="F1229" s="4" t="s">
        <v>6699</v>
      </c>
      <c r="G1229" s="4" t="s">
        <v>6700</v>
      </c>
      <c r="H1229" s="3" t="s">
        <v>4839</v>
      </c>
      <c r="I1229" s="3" t="s">
        <v>6701</v>
      </c>
      <c r="J1229" s="3" t="s">
        <v>6666</v>
      </c>
      <c r="K1229" s="3" t="s">
        <v>6702</v>
      </c>
      <c r="L1229" s="3" t="s">
        <v>6703</v>
      </c>
      <c r="M1229" s="4"/>
      <c r="N1229" s="3" t="s">
        <v>37</v>
      </c>
      <c r="O1229" s="3" t="s">
        <v>38</v>
      </c>
      <c r="P1229" s="5">
        <v>10</v>
      </c>
      <c r="Q1229" s="5">
        <v>75</v>
      </c>
      <c r="R1229" s="5">
        <v>10</v>
      </c>
      <c r="S1229" s="5">
        <v>74</v>
      </c>
    </row>
    <row r="1230" spans="1:19" ht="28" x14ac:dyDescent="0.15">
      <c r="A1230" s="2">
        <f>HYPERLINK("https://open-school.uspishnemisto.com.ua/school/70375/", 70375)</f>
        <v>70375</v>
      </c>
      <c r="B1230" s="3" t="s">
        <v>6704</v>
      </c>
      <c r="C1230" s="3" t="s">
        <v>31</v>
      </c>
      <c r="D1230" s="3" t="s">
        <v>32</v>
      </c>
      <c r="E1230" s="4" t="s">
        <v>22</v>
      </c>
      <c r="F1230" s="4" t="s">
        <v>6705</v>
      </c>
      <c r="G1230" s="4" t="s">
        <v>6706</v>
      </c>
      <c r="H1230" s="3" t="s">
        <v>4839</v>
      </c>
      <c r="I1230" s="3" t="s">
        <v>6707</v>
      </c>
      <c r="J1230" s="3" t="s">
        <v>2052</v>
      </c>
      <c r="K1230" s="3" t="s">
        <v>6708</v>
      </c>
      <c r="L1230" s="3" t="s">
        <v>6709</v>
      </c>
      <c r="M1230" s="4"/>
      <c r="N1230" s="3" t="s">
        <v>37</v>
      </c>
      <c r="O1230" s="3" t="s">
        <v>52</v>
      </c>
      <c r="P1230" s="5">
        <v>11</v>
      </c>
      <c r="Q1230" s="5">
        <v>88</v>
      </c>
      <c r="R1230" s="5">
        <v>11</v>
      </c>
      <c r="S1230" s="5">
        <v>88</v>
      </c>
    </row>
    <row r="1231" spans="1:19" ht="28" x14ac:dyDescent="0.15">
      <c r="A1231" s="2">
        <f>HYPERLINK("https://open-school.uspishnemisto.com.ua/school/70376/", 70376)</f>
        <v>70376</v>
      </c>
      <c r="B1231" s="3" t="s">
        <v>6710</v>
      </c>
      <c r="C1231" s="3" t="s">
        <v>54</v>
      </c>
      <c r="D1231" s="3" t="s">
        <v>60</v>
      </c>
      <c r="E1231" s="4" t="s">
        <v>22</v>
      </c>
      <c r="F1231" s="4" t="s">
        <v>6618</v>
      </c>
      <c r="G1231" s="4" t="s">
        <v>6711</v>
      </c>
      <c r="H1231" s="3" t="s">
        <v>4839</v>
      </c>
      <c r="I1231" s="3" t="s">
        <v>5461</v>
      </c>
      <c r="J1231" s="3" t="s">
        <v>6712</v>
      </c>
      <c r="K1231" s="3" t="s">
        <v>6713</v>
      </c>
      <c r="L1231" s="3"/>
      <c r="M1231" s="4"/>
      <c r="N1231" s="3" t="s">
        <v>37</v>
      </c>
      <c r="O1231" s="3" t="s">
        <v>52</v>
      </c>
      <c r="P1231" s="5">
        <v>1</v>
      </c>
      <c r="Q1231" s="5">
        <v>10</v>
      </c>
      <c r="R1231" s="5">
        <v>1</v>
      </c>
      <c r="S1231" s="5">
        <v>8</v>
      </c>
    </row>
    <row r="1232" spans="1:19" ht="28" x14ac:dyDescent="0.15">
      <c r="A1232" s="2">
        <f>HYPERLINK("https://open-school.uspishnemisto.com.ua/school/70377/", 70377)</f>
        <v>70377</v>
      </c>
      <c r="B1232" s="3" t="s">
        <v>6714</v>
      </c>
      <c r="C1232" s="3" t="s">
        <v>31</v>
      </c>
      <c r="D1232" s="3" t="s">
        <v>175</v>
      </c>
      <c r="E1232" s="4" t="s">
        <v>22</v>
      </c>
      <c r="F1232" s="4" t="s">
        <v>6715</v>
      </c>
      <c r="G1232" s="4" t="s">
        <v>6716</v>
      </c>
      <c r="H1232" s="3" t="s">
        <v>4839</v>
      </c>
      <c r="I1232" s="3" t="s">
        <v>6717</v>
      </c>
      <c r="J1232" s="3" t="s">
        <v>3988</v>
      </c>
      <c r="K1232" s="3" t="s">
        <v>6718</v>
      </c>
      <c r="L1232" s="3"/>
      <c r="M1232" s="4"/>
      <c r="N1232" s="3" t="s">
        <v>37</v>
      </c>
      <c r="O1232" s="3" t="s">
        <v>52</v>
      </c>
      <c r="P1232" s="5">
        <v>5</v>
      </c>
      <c r="Q1232" s="5">
        <v>41</v>
      </c>
      <c r="R1232" s="5">
        <v>4</v>
      </c>
      <c r="S1232" s="5">
        <v>33</v>
      </c>
    </row>
    <row r="1233" spans="1:19" ht="28" x14ac:dyDescent="0.15">
      <c r="A1233" s="2">
        <f>HYPERLINK("https://open-school.uspishnemisto.com.ua/school/70378/", 70378)</f>
        <v>70378</v>
      </c>
      <c r="B1233" s="3" t="s">
        <v>6719</v>
      </c>
      <c r="C1233" s="3" t="s">
        <v>31</v>
      </c>
      <c r="D1233" s="3" t="s">
        <v>32</v>
      </c>
      <c r="E1233" s="4" t="s">
        <v>22</v>
      </c>
      <c r="F1233" s="4" t="s">
        <v>6720</v>
      </c>
      <c r="G1233" s="4" t="s">
        <v>6721</v>
      </c>
      <c r="H1233" s="3" t="s">
        <v>4839</v>
      </c>
      <c r="I1233" s="3" t="s">
        <v>6722</v>
      </c>
      <c r="J1233" s="3" t="s">
        <v>6723</v>
      </c>
      <c r="K1233" s="3" t="s">
        <v>6724</v>
      </c>
      <c r="L1233" s="3"/>
      <c r="M1233" s="4"/>
      <c r="N1233" s="3" t="s">
        <v>37</v>
      </c>
      <c r="O1233" s="3" t="s">
        <v>46</v>
      </c>
      <c r="P1233" s="5">
        <v>11</v>
      </c>
      <c r="Q1233" s="5">
        <v>102</v>
      </c>
      <c r="R1233" s="5">
        <v>11</v>
      </c>
      <c r="S1233" s="5">
        <v>101</v>
      </c>
    </row>
    <row r="1234" spans="1:19" ht="28" x14ac:dyDescent="0.15">
      <c r="A1234" s="2">
        <f>HYPERLINK("https://open-school.uspishnemisto.com.ua/school/70379/", 70379)</f>
        <v>70379</v>
      </c>
      <c r="B1234" s="3" t="s">
        <v>6725</v>
      </c>
      <c r="C1234" s="3" t="s">
        <v>31</v>
      </c>
      <c r="D1234" s="3" t="s">
        <v>175</v>
      </c>
      <c r="E1234" s="4" t="s">
        <v>22</v>
      </c>
      <c r="F1234" s="4" t="s">
        <v>6726</v>
      </c>
      <c r="G1234" s="4" t="s">
        <v>6727</v>
      </c>
      <c r="H1234" s="3" t="s">
        <v>4839</v>
      </c>
      <c r="I1234" s="3" t="s">
        <v>6728</v>
      </c>
      <c r="J1234" s="3" t="s">
        <v>466</v>
      </c>
      <c r="K1234" s="3" t="s">
        <v>6729</v>
      </c>
      <c r="L1234" s="3"/>
      <c r="M1234" s="4"/>
      <c r="N1234" s="3" t="s">
        <v>37</v>
      </c>
      <c r="O1234" s="3" t="s">
        <v>52</v>
      </c>
      <c r="P1234" s="5">
        <v>7</v>
      </c>
      <c r="Q1234" s="5">
        <v>51</v>
      </c>
      <c r="R1234" s="5">
        <v>6</v>
      </c>
      <c r="S1234" s="5">
        <v>48</v>
      </c>
    </row>
    <row r="1235" spans="1:19" ht="28" x14ac:dyDescent="0.15">
      <c r="A1235" s="2">
        <f>HYPERLINK("https://open-school.uspishnemisto.com.ua/school/70380/", 70380)</f>
        <v>70380</v>
      </c>
      <c r="B1235" s="3" t="s">
        <v>6730</v>
      </c>
      <c r="C1235" s="3" t="s">
        <v>31</v>
      </c>
      <c r="D1235" s="3" t="s">
        <v>32</v>
      </c>
      <c r="E1235" s="4" t="s">
        <v>22</v>
      </c>
      <c r="F1235" s="4" t="s">
        <v>6731</v>
      </c>
      <c r="G1235" s="4" t="s">
        <v>6732</v>
      </c>
      <c r="H1235" s="3" t="s">
        <v>4839</v>
      </c>
      <c r="I1235" s="3" t="s">
        <v>6733</v>
      </c>
      <c r="J1235" s="3" t="s">
        <v>6734</v>
      </c>
      <c r="K1235" s="3" t="s">
        <v>6735</v>
      </c>
      <c r="L1235" s="3"/>
      <c r="M1235" s="4"/>
      <c r="N1235" s="3" t="s">
        <v>37</v>
      </c>
      <c r="O1235" s="3" t="s">
        <v>52</v>
      </c>
      <c r="P1235" s="5">
        <v>11</v>
      </c>
      <c r="Q1235" s="5">
        <v>125</v>
      </c>
      <c r="R1235" s="5">
        <v>11</v>
      </c>
      <c r="S1235" s="5">
        <v>127</v>
      </c>
    </row>
    <row r="1236" spans="1:19" ht="28" x14ac:dyDescent="0.15">
      <c r="A1236" s="2">
        <f>HYPERLINK("https://open-school.uspishnemisto.com.ua/school/70381/", 70381)</f>
        <v>70381</v>
      </c>
      <c r="B1236" s="3" t="s">
        <v>6736</v>
      </c>
      <c r="C1236" s="3" t="s">
        <v>31</v>
      </c>
      <c r="D1236" s="3" t="s">
        <v>60</v>
      </c>
      <c r="E1236" s="4" t="s">
        <v>22</v>
      </c>
      <c r="F1236" s="4" t="s">
        <v>6737</v>
      </c>
      <c r="G1236" s="4" t="s">
        <v>6738</v>
      </c>
      <c r="H1236" s="3" t="s">
        <v>4839</v>
      </c>
      <c r="I1236" s="3" t="s">
        <v>6739</v>
      </c>
      <c r="J1236" s="3" t="s">
        <v>6740</v>
      </c>
      <c r="K1236" s="3" t="s">
        <v>6741</v>
      </c>
      <c r="L1236" s="3"/>
      <c r="M1236" s="4"/>
      <c r="N1236" s="3" t="s">
        <v>37</v>
      </c>
      <c r="O1236" s="3" t="s">
        <v>52</v>
      </c>
      <c r="P1236" s="5">
        <v>2</v>
      </c>
      <c r="Q1236" s="5">
        <v>21</v>
      </c>
      <c r="R1236" s="5">
        <v>2</v>
      </c>
      <c r="S1236" s="5">
        <v>20</v>
      </c>
    </row>
    <row r="1237" spans="1:19" ht="28" x14ac:dyDescent="0.15">
      <c r="A1237" s="2">
        <f>HYPERLINK("https://open-school.uspishnemisto.com.ua/school/70382/", 70382)</f>
        <v>70382</v>
      </c>
      <c r="B1237" s="3" t="s">
        <v>6742</v>
      </c>
      <c r="C1237" s="3" t="s">
        <v>31</v>
      </c>
      <c r="D1237" s="3" t="s">
        <v>60</v>
      </c>
      <c r="E1237" s="4" t="s">
        <v>22</v>
      </c>
      <c r="F1237" s="4" t="s">
        <v>6737</v>
      </c>
      <c r="G1237" s="4" t="s">
        <v>6743</v>
      </c>
      <c r="H1237" s="3" t="s">
        <v>4839</v>
      </c>
      <c r="I1237" s="3" t="s">
        <v>6744</v>
      </c>
      <c r="J1237" s="3" t="s">
        <v>297</v>
      </c>
      <c r="K1237" s="3"/>
      <c r="L1237" s="3"/>
      <c r="M1237" s="4"/>
      <c r="N1237" s="3" t="s">
        <v>37</v>
      </c>
      <c r="O1237" s="3" t="s">
        <v>52</v>
      </c>
      <c r="P1237" s="5">
        <v>1</v>
      </c>
      <c r="Q1237" s="5">
        <v>13</v>
      </c>
      <c r="R1237" s="5">
        <v>2</v>
      </c>
      <c r="S1237" s="5">
        <v>14</v>
      </c>
    </row>
    <row r="1238" spans="1:19" ht="42" x14ac:dyDescent="0.15">
      <c r="A1238" s="2">
        <f>HYPERLINK("https://open-school.uspishnemisto.com.ua/school/70383/", 70383)</f>
        <v>70383</v>
      </c>
      <c r="B1238" s="3" t="s">
        <v>6745</v>
      </c>
      <c r="C1238" s="3" t="s">
        <v>31</v>
      </c>
      <c r="D1238" s="3" t="s">
        <v>32</v>
      </c>
      <c r="E1238" s="4" t="s">
        <v>22</v>
      </c>
      <c r="F1238" s="4" t="s">
        <v>6746</v>
      </c>
      <c r="G1238" s="4" t="s">
        <v>6747</v>
      </c>
      <c r="H1238" s="3" t="s">
        <v>4839</v>
      </c>
      <c r="I1238" s="3" t="s">
        <v>6748</v>
      </c>
      <c r="J1238" s="3" t="s">
        <v>6749</v>
      </c>
      <c r="K1238" s="3" t="s">
        <v>6750</v>
      </c>
      <c r="L1238" s="3"/>
      <c r="M1238" s="4"/>
      <c r="N1238" s="3" t="s">
        <v>37</v>
      </c>
      <c r="O1238" s="3" t="s">
        <v>46</v>
      </c>
      <c r="P1238" s="5">
        <v>11</v>
      </c>
      <c r="Q1238" s="5">
        <v>97</v>
      </c>
      <c r="R1238" s="5">
        <v>11</v>
      </c>
      <c r="S1238" s="5">
        <v>98</v>
      </c>
    </row>
    <row r="1239" spans="1:19" ht="28" x14ac:dyDescent="0.15">
      <c r="A1239" s="2">
        <f>HYPERLINK("https://open-school.uspishnemisto.com.ua/school/70384/", 70384)</f>
        <v>70384</v>
      </c>
      <c r="B1239" s="3" t="s">
        <v>6751</v>
      </c>
      <c r="C1239" s="3" t="s">
        <v>31</v>
      </c>
      <c r="D1239" s="3" t="s">
        <v>32</v>
      </c>
      <c r="E1239" s="4" t="s">
        <v>22</v>
      </c>
      <c r="F1239" s="4" t="s">
        <v>6752</v>
      </c>
      <c r="G1239" s="4" t="s">
        <v>6753</v>
      </c>
      <c r="H1239" s="3" t="s">
        <v>4839</v>
      </c>
      <c r="I1239" s="3" t="s">
        <v>6754</v>
      </c>
      <c r="J1239" s="3" t="s">
        <v>6755</v>
      </c>
      <c r="K1239" s="3" t="s">
        <v>6756</v>
      </c>
      <c r="L1239" s="3"/>
      <c r="M1239" s="4"/>
      <c r="N1239" s="3" t="s">
        <v>37</v>
      </c>
      <c r="O1239" s="3" t="s">
        <v>52</v>
      </c>
      <c r="P1239" s="5">
        <v>11</v>
      </c>
      <c r="Q1239" s="5">
        <v>110</v>
      </c>
      <c r="R1239" s="5">
        <v>11</v>
      </c>
      <c r="S1239" s="5">
        <v>107</v>
      </c>
    </row>
    <row r="1240" spans="1:19" ht="28" x14ac:dyDescent="0.15">
      <c r="A1240" s="2">
        <f>HYPERLINK("https://open-school.uspishnemisto.com.ua/school/70385/", 70385)</f>
        <v>70385</v>
      </c>
      <c r="B1240" s="3" t="s">
        <v>6757</v>
      </c>
      <c r="C1240" s="3" t="s">
        <v>31</v>
      </c>
      <c r="D1240" s="3" t="s">
        <v>32</v>
      </c>
      <c r="E1240" s="4" t="s">
        <v>22</v>
      </c>
      <c r="F1240" s="4" t="s">
        <v>6758</v>
      </c>
      <c r="G1240" s="4" t="s">
        <v>6759</v>
      </c>
      <c r="H1240" s="3" t="s">
        <v>4839</v>
      </c>
      <c r="I1240" s="3" t="s">
        <v>6760</v>
      </c>
      <c r="J1240" s="3" t="s">
        <v>6394</v>
      </c>
      <c r="K1240" s="3" t="s">
        <v>6761</v>
      </c>
      <c r="L1240" s="3"/>
      <c r="M1240" s="4"/>
      <c r="N1240" s="3" t="s">
        <v>37</v>
      </c>
      <c r="O1240" s="3" t="s">
        <v>46</v>
      </c>
      <c r="P1240" s="5">
        <v>11</v>
      </c>
      <c r="Q1240" s="5">
        <v>120</v>
      </c>
      <c r="R1240" s="5">
        <v>11</v>
      </c>
      <c r="S1240" s="5">
        <v>123</v>
      </c>
    </row>
    <row r="1241" spans="1:19" ht="28" x14ac:dyDescent="0.15">
      <c r="A1241" s="2">
        <f>HYPERLINK("https://open-school.uspishnemisto.com.ua/school/70386/", 70386)</f>
        <v>70386</v>
      </c>
      <c r="B1241" s="3" t="s">
        <v>6762</v>
      </c>
      <c r="C1241" s="3" t="s">
        <v>31</v>
      </c>
      <c r="D1241" s="3" t="s">
        <v>60</v>
      </c>
      <c r="E1241" s="4" t="s">
        <v>22</v>
      </c>
      <c r="F1241" s="4" t="s">
        <v>6758</v>
      </c>
      <c r="G1241" s="4" t="s">
        <v>6763</v>
      </c>
      <c r="H1241" s="3" t="s">
        <v>4839</v>
      </c>
      <c r="I1241" s="3" t="s">
        <v>6764</v>
      </c>
      <c r="J1241" s="3" t="s">
        <v>6765</v>
      </c>
      <c r="K1241" s="3" t="s">
        <v>6766</v>
      </c>
      <c r="L1241" s="3"/>
      <c r="M1241" s="4"/>
      <c r="N1241" s="3" t="s">
        <v>37</v>
      </c>
      <c r="O1241" s="3" t="s">
        <v>52</v>
      </c>
      <c r="P1241" s="5">
        <v>2</v>
      </c>
      <c r="Q1241" s="5">
        <v>16</v>
      </c>
      <c r="R1241" s="5">
        <v>4</v>
      </c>
      <c r="S1241" s="5">
        <v>23</v>
      </c>
    </row>
    <row r="1242" spans="1:19" ht="28" x14ac:dyDescent="0.15">
      <c r="A1242" s="2">
        <f>HYPERLINK("https://open-school.uspishnemisto.com.ua/school/70387/", 70387)</f>
        <v>70387</v>
      </c>
      <c r="B1242" s="3" t="s">
        <v>6767</v>
      </c>
      <c r="C1242" s="3" t="s">
        <v>54</v>
      </c>
      <c r="D1242" s="3" t="s">
        <v>32</v>
      </c>
      <c r="E1242" s="4" t="s">
        <v>22</v>
      </c>
      <c r="F1242" s="4" t="s">
        <v>6768</v>
      </c>
      <c r="G1242" s="4" t="s">
        <v>6769</v>
      </c>
      <c r="H1242" s="3" t="s">
        <v>4839</v>
      </c>
      <c r="I1242" s="3" t="s">
        <v>6770</v>
      </c>
      <c r="J1242" s="3" t="s">
        <v>946</v>
      </c>
      <c r="K1242" s="3" t="s">
        <v>6771</v>
      </c>
      <c r="L1242" s="3"/>
      <c r="M1242" s="4" t="s">
        <v>6772</v>
      </c>
      <c r="N1242" s="3" t="s">
        <v>37</v>
      </c>
      <c r="O1242" s="3" t="s">
        <v>139</v>
      </c>
      <c r="P1242" s="5">
        <v>11</v>
      </c>
      <c r="Q1242" s="5">
        <v>202</v>
      </c>
      <c r="R1242" s="5">
        <v>11</v>
      </c>
      <c r="S1242" s="5">
        <v>184</v>
      </c>
    </row>
    <row r="1243" spans="1:19" ht="28" x14ac:dyDescent="0.15">
      <c r="A1243" s="2">
        <f>HYPERLINK("https://open-school.uspishnemisto.com.ua/school/70388/", 70388)</f>
        <v>70388</v>
      </c>
      <c r="B1243" s="3" t="s">
        <v>6773</v>
      </c>
      <c r="C1243" s="3" t="s">
        <v>31</v>
      </c>
      <c r="D1243" s="3" t="s">
        <v>32</v>
      </c>
      <c r="E1243" s="4" t="s">
        <v>22</v>
      </c>
      <c r="F1243" s="4" t="s">
        <v>6774</v>
      </c>
      <c r="G1243" s="4" t="s">
        <v>6775</v>
      </c>
      <c r="H1243" s="3" t="s">
        <v>4839</v>
      </c>
      <c r="I1243" s="3" t="s">
        <v>4248</v>
      </c>
      <c r="J1243" s="3" t="s">
        <v>3599</v>
      </c>
      <c r="K1243" s="3"/>
      <c r="L1243" s="3" t="s">
        <v>6776</v>
      </c>
      <c r="M1243" s="4"/>
      <c r="N1243" s="3" t="s">
        <v>37</v>
      </c>
      <c r="O1243" s="3" t="s">
        <v>46</v>
      </c>
      <c r="P1243" s="5">
        <v>28</v>
      </c>
      <c r="Q1243" s="5">
        <v>654</v>
      </c>
      <c r="R1243" s="5">
        <v>27</v>
      </c>
      <c r="S1243" s="5">
        <v>623</v>
      </c>
    </row>
    <row r="1244" spans="1:19" ht="28" x14ac:dyDescent="0.15">
      <c r="A1244" s="2">
        <f>HYPERLINK("https://open-school.uspishnemisto.com.ua/school/70389/", 70389)</f>
        <v>70389</v>
      </c>
      <c r="B1244" s="3" t="s">
        <v>6777</v>
      </c>
      <c r="C1244" s="3" t="s">
        <v>31</v>
      </c>
      <c r="D1244" s="3" t="s">
        <v>32</v>
      </c>
      <c r="E1244" s="4" t="s">
        <v>22</v>
      </c>
      <c r="F1244" s="4" t="s">
        <v>6778</v>
      </c>
      <c r="G1244" s="4" t="s">
        <v>6779</v>
      </c>
      <c r="H1244" s="3" t="s">
        <v>4839</v>
      </c>
      <c r="I1244" s="3" t="s">
        <v>6780</v>
      </c>
      <c r="J1244" s="3" t="s">
        <v>6781</v>
      </c>
      <c r="K1244" s="3"/>
      <c r="L1244" s="3" t="s">
        <v>6782</v>
      </c>
      <c r="M1244" s="4"/>
      <c r="N1244" s="3" t="s">
        <v>37</v>
      </c>
      <c r="O1244" s="3" t="s">
        <v>38</v>
      </c>
      <c r="P1244" s="5">
        <v>10</v>
      </c>
      <c r="Q1244" s="5">
        <v>193</v>
      </c>
      <c r="R1244" s="5">
        <v>10</v>
      </c>
      <c r="S1244" s="5">
        <v>183</v>
      </c>
    </row>
    <row r="1245" spans="1:19" ht="28" x14ac:dyDescent="0.15">
      <c r="A1245" s="2">
        <f>HYPERLINK("https://open-school.uspishnemisto.com.ua/school/70390/", 70390)</f>
        <v>70390</v>
      </c>
      <c r="B1245" s="3" t="s">
        <v>6783</v>
      </c>
      <c r="C1245" s="3" t="s">
        <v>31</v>
      </c>
      <c r="D1245" s="3" t="s">
        <v>175</v>
      </c>
      <c r="E1245" s="4" t="s">
        <v>22</v>
      </c>
      <c r="F1245" s="4" t="s">
        <v>6784</v>
      </c>
      <c r="G1245" s="4" t="s">
        <v>6785</v>
      </c>
      <c r="H1245" s="3" t="s">
        <v>4839</v>
      </c>
      <c r="I1245" s="3" t="s">
        <v>6786</v>
      </c>
      <c r="J1245" s="3" t="s">
        <v>2601</v>
      </c>
      <c r="K1245" s="3" t="s">
        <v>6787</v>
      </c>
      <c r="L1245" s="3" t="s">
        <v>6788</v>
      </c>
      <c r="M1245" s="4"/>
      <c r="N1245" s="3" t="s">
        <v>37</v>
      </c>
      <c r="O1245" s="3" t="s">
        <v>46</v>
      </c>
      <c r="P1245" s="5">
        <v>8</v>
      </c>
      <c r="Q1245" s="5">
        <v>55</v>
      </c>
      <c r="R1245" s="5">
        <v>8</v>
      </c>
      <c r="S1245" s="5">
        <v>53</v>
      </c>
    </row>
    <row r="1246" spans="1:19" ht="28" x14ac:dyDescent="0.15">
      <c r="A1246" s="2">
        <f>HYPERLINK("https://open-school.uspishnemisto.com.ua/school/70391/", 70391)</f>
        <v>70391</v>
      </c>
      <c r="B1246" s="3" t="s">
        <v>6789</v>
      </c>
      <c r="C1246" s="3" t="s">
        <v>31</v>
      </c>
      <c r="D1246" s="3" t="s">
        <v>32</v>
      </c>
      <c r="E1246" s="4" t="s">
        <v>22</v>
      </c>
      <c r="F1246" s="4" t="s">
        <v>6790</v>
      </c>
      <c r="G1246" s="4" t="s">
        <v>6791</v>
      </c>
      <c r="H1246" s="3" t="s">
        <v>4839</v>
      </c>
      <c r="I1246" s="3" t="s">
        <v>6792</v>
      </c>
      <c r="J1246" s="3" t="s">
        <v>6793</v>
      </c>
      <c r="K1246" s="3" t="s">
        <v>6794</v>
      </c>
      <c r="L1246" s="3" t="s">
        <v>6795</v>
      </c>
      <c r="M1246" s="4"/>
      <c r="N1246" s="3" t="s">
        <v>37</v>
      </c>
      <c r="O1246" s="3" t="s">
        <v>139</v>
      </c>
      <c r="P1246" s="5">
        <v>18</v>
      </c>
      <c r="Q1246" s="5">
        <v>356</v>
      </c>
      <c r="R1246" s="5">
        <v>16</v>
      </c>
      <c r="S1246" s="5">
        <v>329</v>
      </c>
    </row>
    <row r="1247" spans="1:19" ht="28" x14ac:dyDescent="0.15">
      <c r="A1247" s="2">
        <f>HYPERLINK("https://open-school.uspishnemisto.com.ua/school/70392/", 70392)</f>
        <v>70392</v>
      </c>
      <c r="B1247" s="3" t="s">
        <v>6796</v>
      </c>
      <c r="C1247" s="3" t="s">
        <v>31</v>
      </c>
      <c r="D1247" s="3" t="s">
        <v>32</v>
      </c>
      <c r="E1247" s="4" t="s">
        <v>22</v>
      </c>
      <c r="F1247" s="4" t="s">
        <v>6797</v>
      </c>
      <c r="G1247" s="4" t="s">
        <v>6798</v>
      </c>
      <c r="H1247" s="3" t="s">
        <v>4839</v>
      </c>
      <c r="I1247" s="3" t="s">
        <v>6799</v>
      </c>
      <c r="J1247" s="3" t="s">
        <v>6800</v>
      </c>
      <c r="K1247" s="3" t="s">
        <v>6801</v>
      </c>
      <c r="L1247" s="3"/>
      <c r="M1247" s="4"/>
      <c r="N1247" s="3" t="s">
        <v>37</v>
      </c>
      <c r="O1247" s="3" t="s">
        <v>46</v>
      </c>
      <c r="P1247" s="5">
        <v>17</v>
      </c>
      <c r="Q1247" s="5">
        <v>342</v>
      </c>
      <c r="R1247" s="5">
        <v>16</v>
      </c>
      <c r="S1247" s="5">
        <v>333</v>
      </c>
    </row>
    <row r="1248" spans="1:19" ht="28" x14ac:dyDescent="0.15">
      <c r="A1248" s="2">
        <f>HYPERLINK("https://open-school.uspishnemisto.com.ua/school/70393/", 70393)</f>
        <v>70393</v>
      </c>
      <c r="B1248" s="3" t="s">
        <v>6802</v>
      </c>
      <c r="C1248" s="3" t="s">
        <v>31</v>
      </c>
      <c r="D1248" s="3" t="s">
        <v>175</v>
      </c>
      <c r="E1248" s="4" t="s">
        <v>22</v>
      </c>
      <c r="F1248" s="4" t="s">
        <v>6803</v>
      </c>
      <c r="G1248" s="4" t="s">
        <v>6804</v>
      </c>
      <c r="H1248" s="3" t="s">
        <v>4839</v>
      </c>
      <c r="I1248" s="3" t="s">
        <v>6805</v>
      </c>
      <c r="J1248" s="3" t="s">
        <v>466</v>
      </c>
      <c r="K1248" s="3" t="s">
        <v>6806</v>
      </c>
      <c r="L1248" s="3"/>
      <c r="M1248" s="4"/>
      <c r="N1248" s="3" t="s">
        <v>37</v>
      </c>
      <c r="O1248" s="3" t="s">
        <v>52</v>
      </c>
      <c r="P1248" s="5">
        <v>9</v>
      </c>
      <c r="Q1248" s="5">
        <v>92</v>
      </c>
      <c r="R1248" s="5">
        <v>9</v>
      </c>
      <c r="S1248" s="5">
        <v>92</v>
      </c>
    </row>
    <row r="1249" spans="1:19" ht="28" x14ac:dyDescent="0.15">
      <c r="A1249" s="2">
        <f>HYPERLINK("https://open-school.uspishnemisto.com.ua/school/70394/", 70394)</f>
        <v>70394</v>
      </c>
      <c r="B1249" s="3" t="s">
        <v>6807</v>
      </c>
      <c r="C1249" s="3" t="s">
        <v>31</v>
      </c>
      <c r="D1249" s="3" t="s">
        <v>175</v>
      </c>
      <c r="E1249" s="4" t="s">
        <v>22</v>
      </c>
      <c r="F1249" s="4" t="s">
        <v>6808</v>
      </c>
      <c r="G1249" s="4" t="s">
        <v>6809</v>
      </c>
      <c r="H1249" s="3" t="s">
        <v>4839</v>
      </c>
      <c r="I1249" s="3" t="s">
        <v>6810</v>
      </c>
      <c r="J1249" s="3" t="s">
        <v>6811</v>
      </c>
      <c r="K1249" s="3" t="s">
        <v>6812</v>
      </c>
      <c r="L1249" s="3"/>
      <c r="M1249" s="4"/>
      <c r="N1249" s="3" t="s">
        <v>37</v>
      </c>
      <c r="O1249" s="3" t="s">
        <v>139</v>
      </c>
      <c r="P1249" s="5">
        <v>8</v>
      </c>
      <c r="Q1249" s="5">
        <v>69</v>
      </c>
      <c r="R1249" s="5">
        <v>8</v>
      </c>
      <c r="S1249" s="5">
        <v>70</v>
      </c>
    </row>
    <row r="1250" spans="1:19" ht="28" x14ac:dyDescent="0.15">
      <c r="A1250" s="2">
        <f>HYPERLINK("https://open-school.uspishnemisto.com.ua/school/70395/", 70395)</f>
        <v>70395</v>
      </c>
      <c r="B1250" s="3" t="s">
        <v>6813</v>
      </c>
      <c r="C1250" s="3" t="s">
        <v>31</v>
      </c>
      <c r="D1250" s="3" t="s">
        <v>32</v>
      </c>
      <c r="E1250" s="4" t="s">
        <v>22</v>
      </c>
      <c r="F1250" s="4" t="s">
        <v>6814</v>
      </c>
      <c r="G1250" s="4" t="s">
        <v>6815</v>
      </c>
      <c r="H1250" s="3" t="s">
        <v>4839</v>
      </c>
      <c r="I1250" s="3" t="s">
        <v>6816</v>
      </c>
      <c r="J1250" s="3" t="s">
        <v>6817</v>
      </c>
      <c r="K1250" s="3" t="s">
        <v>6818</v>
      </c>
      <c r="L1250" s="3"/>
      <c r="M1250" s="4"/>
      <c r="N1250" s="3" t="s">
        <v>37</v>
      </c>
      <c r="O1250" s="3" t="s">
        <v>237</v>
      </c>
      <c r="P1250" s="5">
        <v>16</v>
      </c>
      <c r="Q1250" s="5">
        <v>294</v>
      </c>
      <c r="R1250" s="5">
        <v>14</v>
      </c>
      <c r="S1250" s="5">
        <v>265</v>
      </c>
    </row>
    <row r="1251" spans="1:19" ht="28" x14ac:dyDescent="0.15">
      <c r="A1251" s="2">
        <f>HYPERLINK("https://open-school.uspishnemisto.com.ua/school/70396/", 70396)</f>
        <v>70396</v>
      </c>
      <c r="B1251" s="3" t="s">
        <v>6819</v>
      </c>
      <c r="C1251" s="3" t="s">
        <v>31</v>
      </c>
      <c r="D1251" s="3" t="s">
        <v>175</v>
      </c>
      <c r="E1251" s="4" t="s">
        <v>22</v>
      </c>
      <c r="F1251" s="4" t="s">
        <v>6820</v>
      </c>
      <c r="G1251" s="4" t="s">
        <v>6821</v>
      </c>
      <c r="H1251" s="3" t="s">
        <v>4839</v>
      </c>
      <c r="I1251" s="3" t="s">
        <v>6822</v>
      </c>
      <c r="J1251" s="3" t="s">
        <v>6823</v>
      </c>
      <c r="K1251" s="3" t="s">
        <v>6824</v>
      </c>
      <c r="L1251" s="3"/>
      <c r="M1251" s="4"/>
      <c r="N1251" s="3" t="s">
        <v>37</v>
      </c>
      <c r="O1251" s="3" t="s">
        <v>46</v>
      </c>
      <c r="P1251" s="5">
        <v>9</v>
      </c>
      <c r="Q1251" s="5">
        <v>84</v>
      </c>
      <c r="R1251" s="5">
        <v>9</v>
      </c>
      <c r="S1251" s="5">
        <v>80</v>
      </c>
    </row>
    <row r="1252" spans="1:19" ht="28" x14ac:dyDescent="0.15">
      <c r="A1252" s="2">
        <f>HYPERLINK("https://open-school.uspishnemisto.com.ua/school/70397/", 70397)</f>
        <v>70397</v>
      </c>
      <c r="B1252" s="3" t="s">
        <v>6825</v>
      </c>
      <c r="C1252" s="3" t="s">
        <v>31</v>
      </c>
      <c r="D1252" s="3" t="s">
        <v>32</v>
      </c>
      <c r="E1252" s="4" t="s">
        <v>22</v>
      </c>
      <c r="F1252" s="4" t="s">
        <v>6826</v>
      </c>
      <c r="G1252" s="4" t="s">
        <v>6827</v>
      </c>
      <c r="H1252" s="3" t="s">
        <v>4839</v>
      </c>
      <c r="I1252" s="3" t="s">
        <v>6828</v>
      </c>
      <c r="J1252" s="3" t="s">
        <v>6829</v>
      </c>
      <c r="K1252" s="3" t="s">
        <v>6830</v>
      </c>
      <c r="L1252" s="3"/>
      <c r="M1252" s="4"/>
      <c r="N1252" s="3" t="s">
        <v>37</v>
      </c>
      <c r="O1252" s="3" t="s">
        <v>52</v>
      </c>
      <c r="P1252" s="5">
        <v>11</v>
      </c>
      <c r="Q1252" s="5">
        <v>164</v>
      </c>
      <c r="R1252" s="5">
        <v>11</v>
      </c>
      <c r="S1252" s="5">
        <v>166</v>
      </c>
    </row>
    <row r="1253" spans="1:19" ht="28" x14ac:dyDescent="0.15">
      <c r="A1253" s="2">
        <f>HYPERLINK("https://open-school.uspishnemisto.com.ua/school/70398/", 70398)</f>
        <v>70398</v>
      </c>
      <c r="B1253" s="3" t="s">
        <v>6831</v>
      </c>
      <c r="C1253" s="3" t="s">
        <v>31</v>
      </c>
      <c r="D1253" s="3" t="s">
        <v>32</v>
      </c>
      <c r="E1253" s="4" t="s">
        <v>22</v>
      </c>
      <c r="F1253" s="4" t="s">
        <v>6832</v>
      </c>
      <c r="G1253" s="4" t="s">
        <v>6833</v>
      </c>
      <c r="H1253" s="3" t="s">
        <v>4839</v>
      </c>
      <c r="I1253" s="3" t="s">
        <v>6834</v>
      </c>
      <c r="J1253" s="3" t="s">
        <v>6835</v>
      </c>
      <c r="K1253" s="3" t="s">
        <v>6836</v>
      </c>
      <c r="L1253" s="3"/>
      <c r="M1253" s="4"/>
      <c r="N1253" s="3" t="s">
        <v>37</v>
      </c>
      <c r="O1253" s="3" t="s">
        <v>139</v>
      </c>
      <c r="P1253" s="5">
        <v>20</v>
      </c>
      <c r="Q1253" s="5">
        <v>453</v>
      </c>
      <c r="R1253" s="5">
        <v>19</v>
      </c>
      <c r="S1253" s="5">
        <v>419</v>
      </c>
    </row>
    <row r="1254" spans="1:19" ht="28" x14ac:dyDescent="0.15">
      <c r="A1254" s="2">
        <f>HYPERLINK("https://open-school.uspishnemisto.com.ua/school/70399/", 70399)</f>
        <v>70399</v>
      </c>
      <c r="B1254" s="3" t="s">
        <v>6837</v>
      </c>
      <c r="C1254" s="3" t="s">
        <v>31</v>
      </c>
      <c r="D1254" s="3" t="s">
        <v>32</v>
      </c>
      <c r="E1254" s="4" t="s">
        <v>22</v>
      </c>
      <c r="F1254" s="4" t="s">
        <v>6838</v>
      </c>
      <c r="G1254" s="4" t="s">
        <v>6839</v>
      </c>
      <c r="H1254" s="3" t="s">
        <v>4839</v>
      </c>
      <c r="I1254" s="3" t="s">
        <v>2422</v>
      </c>
      <c r="J1254" s="3" t="s">
        <v>6840</v>
      </c>
      <c r="K1254" s="3" t="s">
        <v>6841</v>
      </c>
      <c r="L1254" s="3" t="s">
        <v>6842</v>
      </c>
      <c r="M1254" s="4"/>
      <c r="N1254" s="3" t="s">
        <v>37</v>
      </c>
      <c r="O1254" s="3" t="s">
        <v>139</v>
      </c>
      <c r="P1254" s="5">
        <v>10</v>
      </c>
      <c r="Q1254" s="5">
        <v>110</v>
      </c>
      <c r="R1254" s="5">
        <v>9</v>
      </c>
      <c r="S1254" s="5">
        <v>110</v>
      </c>
    </row>
    <row r="1255" spans="1:19" ht="28" x14ac:dyDescent="0.15">
      <c r="A1255" s="2">
        <f>HYPERLINK("https://open-school.uspishnemisto.com.ua/school/70400/", 70400)</f>
        <v>70400</v>
      </c>
      <c r="B1255" s="3" t="s">
        <v>6843</v>
      </c>
      <c r="C1255" s="3" t="s">
        <v>31</v>
      </c>
      <c r="D1255" s="3" t="s">
        <v>32</v>
      </c>
      <c r="E1255" s="4" t="s">
        <v>22</v>
      </c>
      <c r="F1255" s="4" t="s">
        <v>6844</v>
      </c>
      <c r="G1255" s="4" t="s">
        <v>6845</v>
      </c>
      <c r="H1255" s="3" t="s">
        <v>4839</v>
      </c>
      <c r="I1255" s="3" t="s">
        <v>6846</v>
      </c>
      <c r="J1255" s="3" t="s">
        <v>6847</v>
      </c>
      <c r="K1255" s="3" t="s">
        <v>6848</v>
      </c>
      <c r="L1255" s="3" t="s">
        <v>6849</v>
      </c>
      <c r="M1255" s="4"/>
      <c r="N1255" s="3" t="s">
        <v>37</v>
      </c>
      <c r="O1255" s="3" t="s">
        <v>139</v>
      </c>
      <c r="P1255" s="5">
        <v>19</v>
      </c>
      <c r="Q1255" s="5">
        <v>401</v>
      </c>
      <c r="R1255" s="5">
        <v>19</v>
      </c>
      <c r="S1255" s="5">
        <v>374</v>
      </c>
    </row>
    <row r="1256" spans="1:19" ht="28" x14ac:dyDescent="0.15">
      <c r="A1256" s="2">
        <f>HYPERLINK("https://open-school.uspishnemisto.com.ua/school/70401/", 70401)</f>
        <v>70401</v>
      </c>
      <c r="B1256" s="3" t="s">
        <v>6850</v>
      </c>
      <c r="C1256" s="3" t="s">
        <v>31</v>
      </c>
      <c r="D1256" s="3" t="s">
        <v>175</v>
      </c>
      <c r="E1256" s="4" t="s">
        <v>22</v>
      </c>
      <c r="F1256" s="4" t="s">
        <v>6851</v>
      </c>
      <c r="G1256" s="4" t="s">
        <v>6852</v>
      </c>
      <c r="H1256" s="3" t="s">
        <v>4839</v>
      </c>
      <c r="I1256" s="3" t="s">
        <v>6853</v>
      </c>
      <c r="J1256" s="3" t="s">
        <v>6854</v>
      </c>
      <c r="K1256" s="3" t="s">
        <v>6855</v>
      </c>
      <c r="L1256" s="3"/>
      <c r="M1256" s="4"/>
      <c r="N1256" s="3" t="s">
        <v>37</v>
      </c>
      <c r="O1256" s="3" t="s">
        <v>46</v>
      </c>
      <c r="P1256" s="5">
        <v>9</v>
      </c>
      <c r="Q1256" s="5">
        <v>69</v>
      </c>
      <c r="R1256" s="5">
        <v>9</v>
      </c>
      <c r="S1256" s="5">
        <v>72</v>
      </c>
    </row>
    <row r="1257" spans="1:19" ht="28" x14ac:dyDescent="0.15">
      <c r="A1257" s="2">
        <f>HYPERLINK("https://open-school.uspishnemisto.com.ua/school/70402/", 70402)</f>
        <v>70402</v>
      </c>
      <c r="B1257" s="3" t="s">
        <v>6856</v>
      </c>
      <c r="C1257" s="3" t="s">
        <v>31</v>
      </c>
      <c r="D1257" s="3" t="s">
        <v>32</v>
      </c>
      <c r="E1257" s="4" t="s">
        <v>22</v>
      </c>
      <c r="F1257" s="4" t="s">
        <v>6857</v>
      </c>
      <c r="G1257" s="4" t="s">
        <v>6858</v>
      </c>
      <c r="H1257" s="3" t="s">
        <v>4839</v>
      </c>
      <c r="I1257" s="3" t="s">
        <v>6859</v>
      </c>
      <c r="J1257" s="3" t="s">
        <v>466</v>
      </c>
      <c r="K1257" s="3" t="s">
        <v>6860</v>
      </c>
      <c r="L1257" s="3"/>
      <c r="M1257" s="4"/>
      <c r="N1257" s="3" t="s">
        <v>37</v>
      </c>
      <c r="O1257" s="3" t="s">
        <v>46</v>
      </c>
      <c r="P1257" s="5">
        <v>11</v>
      </c>
      <c r="Q1257" s="5">
        <v>140</v>
      </c>
      <c r="R1257" s="5">
        <v>11</v>
      </c>
      <c r="S1257" s="5">
        <v>144</v>
      </c>
    </row>
    <row r="1258" spans="1:19" ht="28" x14ac:dyDescent="0.15">
      <c r="A1258" s="2">
        <f>HYPERLINK("https://open-school.uspishnemisto.com.ua/school/70403/", 70403)</f>
        <v>70403</v>
      </c>
      <c r="B1258" s="3" t="s">
        <v>6861</v>
      </c>
      <c r="C1258" s="3" t="s">
        <v>31</v>
      </c>
      <c r="D1258" s="3" t="s">
        <v>32</v>
      </c>
      <c r="E1258" s="4" t="s">
        <v>22</v>
      </c>
      <c r="F1258" s="4" t="s">
        <v>6862</v>
      </c>
      <c r="G1258" s="4" t="s">
        <v>6863</v>
      </c>
      <c r="H1258" s="3" t="s">
        <v>4839</v>
      </c>
      <c r="I1258" s="3" t="s">
        <v>6864</v>
      </c>
      <c r="J1258" s="3" t="s">
        <v>6865</v>
      </c>
      <c r="K1258" s="3"/>
      <c r="L1258" s="3"/>
      <c r="M1258" s="4"/>
      <c r="N1258" s="3" t="s">
        <v>37</v>
      </c>
      <c r="O1258" s="3" t="s">
        <v>70</v>
      </c>
      <c r="P1258" s="5">
        <v>19</v>
      </c>
      <c r="Q1258" s="5">
        <v>379</v>
      </c>
      <c r="R1258" s="5">
        <v>18</v>
      </c>
      <c r="S1258" s="5">
        <v>375</v>
      </c>
    </row>
    <row r="1259" spans="1:19" ht="28" x14ac:dyDescent="0.15">
      <c r="A1259" s="2">
        <f>HYPERLINK("https://open-school.uspishnemisto.com.ua/school/70404/", 70404)</f>
        <v>70404</v>
      </c>
      <c r="B1259" s="3" t="s">
        <v>6866</v>
      </c>
      <c r="C1259" s="3" t="s">
        <v>31</v>
      </c>
      <c r="D1259" s="3" t="s">
        <v>32</v>
      </c>
      <c r="E1259" s="4" t="s">
        <v>22</v>
      </c>
      <c r="F1259" s="4" t="s">
        <v>6867</v>
      </c>
      <c r="G1259" s="4" t="s">
        <v>6868</v>
      </c>
      <c r="H1259" s="3" t="s">
        <v>4839</v>
      </c>
      <c r="I1259" s="3" t="s">
        <v>6869</v>
      </c>
      <c r="J1259" s="3" t="s">
        <v>2191</v>
      </c>
      <c r="K1259" s="3" t="s">
        <v>6870</v>
      </c>
      <c r="L1259" s="3" t="s">
        <v>6871</v>
      </c>
      <c r="M1259" s="4"/>
      <c r="N1259" s="3" t="s">
        <v>37</v>
      </c>
      <c r="O1259" s="3" t="s">
        <v>237</v>
      </c>
      <c r="P1259" s="5">
        <v>16</v>
      </c>
      <c r="Q1259" s="5">
        <v>291</v>
      </c>
      <c r="R1259" s="5">
        <v>15</v>
      </c>
      <c r="S1259" s="5">
        <v>280</v>
      </c>
    </row>
    <row r="1260" spans="1:19" ht="28" x14ac:dyDescent="0.15">
      <c r="A1260" s="2">
        <f>HYPERLINK("https://open-school.uspishnemisto.com.ua/school/70405/", 70405)</f>
        <v>70405</v>
      </c>
      <c r="B1260" s="3" t="s">
        <v>6872</v>
      </c>
      <c r="C1260" s="3" t="s">
        <v>31</v>
      </c>
      <c r="D1260" s="3" t="s">
        <v>175</v>
      </c>
      <c r="E1260" s="4" t="s">
        <v>22</v>
      </c>
      <c r="F1260" s="4" t="s">
        <v>6873</v>
      </c>
      <c r="G1260" s="4" t="s">
        <v>6874</v>
      </c>
      <c r="H1260" s="3" t="s">
        <v>4839</v>
      </c>
      <c r="I1260" s="3" t="s">
        <v>6875</v>
      </c>
      <c r="J1260" s="3" t="s">
        <v>6876</v>
      </c>
      <c r="K1260" s="3" t="s">
        <v>6877</v>
      </c>
      <c r="L1260" s="3"/>
      <c r="M1260" s="4"/>
      <c r="N1260" s="3" t="s">
        <v>37</v>
      </c>
      <c r="O1260" s="3" t="s">
        <v>52</v>
      </c>
      <c r="P1260" s="5">
        <v>9</v>
      </c>
      <c r="Q1260" s="5">
        <v>80</v>
      </c>
      <c r="R1260" s="5">
        <v>8</v>
      </c>
      <c r="S1260" s="5">
        <v>75</v>
      </c>
    </row>
    <row r="1261" spans="1:19" ht="42" x14ac:dyDescent="0.15">
      <c r="A1261" s="2">
        <f>HYPERLINK("https://open-school.uspishnemisto.com.ua/school/70406/", 70406)</f>
        <v>70406</v>
      </c>
      <c r="B1261" s="3" t="s">
        <v>6878</v>
      </c>
      <c r="C1261" s="3" t="s">
        <v>54</v>
      </c>
      <c r="D1261" s="3" t="s">
        <v>32</v>
      </c>
      <c r="E1261" s="4" t="s">
        <v>22</v>
      </c>
      <c r="F1261" s="4" t="s">
        <v>6879</v>
      </c>
      <c r="G1261" s="4" t="s">
        <v>6880</v>
      </c>
      <c r="H1261" s="3" t="s">
        <v>4839</v>
      </c>
      <c r="I1261" s="3" t="s">
        <v>6881</v>
      </c>
      <c r="J1261" s="3" t="s">
        <v>6882</v>
      </c>
      <c r="K1261" s="3" t="s">
        <v>6883</v>
      </c>
      <c r="L1261" s="3" t="s">
        <v>6884</v>
      </c>
      <c r="M1261" s="4" t="s">
        <v>6885</v>
      </c>
      <c r="N1261" s="3" t="s">
        <v>37</v>
      </c>
      <c r="O1261" s="3" t="s">
        <v>139</v>
      </c>
      <c r="P1261" s="5">
        <v>18</v>
      </c>
      <c r="Q1261" s="5">
        <v>357</v>
      </c>
      <c r="R1261" s="5">
        <v>17</v>
      </c>
      <c r="S1261" s="5">
        <v>355</v>
      </c>
    </row>
    <row r="1262" spans="1:19" ht="42" x14ac:dyDescent="0.15">
      <c r="A1262" s="2">
        <f>HYPERLINK("https://open-school.uspishnemisto.com.ua/school/70407/", 70407)</f>
        <v>70407</v>
      </c>
      <c r="B1262" s="3" t="s">
        <v>6886</v>
      </c>
      <c r="C1262" s="3" t="s">
        <v>244</v>
      </c>
      <c r="D1262" s="3" t="s">
        <v>32</v>
      </c>
      <c r="E1262" s="4" t="s">
        <v>22</v>
      </c>
      <c r="F1262" s="4" t="s">
        <v>6879</v>
      </c>
      <c r="G1262" s="4" t="s">
        <v>6880</v>
      </c>
      <c r="H1262" s="3" t="s">
        <v>4839</v>
      </c>
      <c r="I1262" s="3" t="s">
        <v>6881</v>
      </c>
      <c r="J1262" s="3" t="s">
        <v>2645</v>
      </c>
      <c r="K1262" s="3" t="s">
        <v>6887</v>
      </c>
      <c r="L1262" s="3" t="s">
        <v>6888</v>
      </c>
      <c r="M1262" s="4" t="s">
        <v>6889</v>
      </c>
      <c r="N1262" s="3" t="s">
        <v>37</v>
      </c>
      <c r="O1262" s="3" t="s">
        <v>237</v>
      </c>
      <c r="P1262" s="5">
        <v>15</v>
      </c>
      <c r="Q1262" s="5">
        <v>437</v>
      </c>
      <c r="R1262" s="5">
        <v>15</v>
      </c>
      <c r="S1262" s="5">
        <v>437</v>
      </c>
    </row>
    <row r="1263" spans="1:19" ht="28" x14ac:dyDescent="0.15">
      <c r="A1263" s="2">
        <f>HYPERLINK("https://open-school.uspishnemisto.com.ua/school/70408/", 70408)</f>
        <v>70408</v>
      </c>
      <c r="B1263" s="3" t="s">
        <v>6890</v>
      </c>
      <c r="C1263" s="3" t="s">
        <v>31</v>
      </c>
      <c r="D1263" s="3" t="s">
        <v>32</v>
      </c>
      <c r="E1263" s="4" t="s">
        <v>22</v>
      </c>
      <c r="F1263" s="4" t="s">
        <v>6891</v>
      </c>
      <c r="G1263" s="4" t="s">
        <v>6892</v>
      </c>
      <c r="H1263" s="3" t="s">
        <v>4839</v>
      </c>
      <c r="I1263" s="3" t="s">
        <v>6893</v>
      </c>
      <c r="J1263" s="3" t="s">
        <v>1719</v>
      </c>
      <c r="K1263" s="3" t="s">
        <v>6894</v>
      </c>
      <c r="L1263" s="3" t="s">
        <v>6895</v>
      </c>
      <c r="M1263" s="4"/>
      <c r="N1263" s="3" t="s">
        <v>37</v>
      </c>
      <c r="O1263" s="3" t="s">
        <v>52</v>
      </c>
      <c r="P1263" s="5">
        <v>8</v>
      </c>
      <c r="Q1263" s="5">
        <v>73</v>
      </c>
      <c r="R1263" s="5">
        <v>7</v>
      </c>
      <c r="S1263" s="5">
        <v>61</v>
      </c>
    </row>
    <row r="1264" spans="1:19" ht="28" x14ac:dyDescent="0.15">
      <c r="A1264" s="2">
        <f>HYPERLINK("https://open-school.uspishnemisto.com.ua/school/70409/", 70409)</f>
        <v>70409</v>
      </c>
      <c r="B1264" s="3" t="s">
        <v>6896</v>
      </c>
      <c r="C1264" s="3" t="s">
        <v>31</v>
      </c>
      <c r="D1264" s="3" t="s">
        <v>32</v>
      </c>
      <c r="E1264" s="4" t="s">
        <v>22</v>
      </c>
      <c r="F1264" s="4" t="s">
        <v>6897</v>
      </c>
      <c r="G1264" s="4" t="s">
        <v>6898</v>
      </c>
      <c r="H1264" s="3" t="s">
        <v>4839</v>
      </c>
      <c r="I1264" s="3" t="s">
        <v>6266</v>
      </c>
      <c r="J1264" s="3" t="s">
        <v>6899</v>
      </c>
      <c r="K1264" s="3" t="s">
        <v>6900</v>
      </c>
      <c r="L1264" s="3"/>
      <c r="M1264" s="4"/>
      <c r="N1264" s="3" t="s">
        <v>37</v>
      </c>
      <c r="O1264" s="3" t="s">
        <v>38</v>
      </c>
      <c r="P1264" s="5">
        <v>9</v>
      </c>
      <c r="Q1264" s="5">
        <v>104</v>
      </c>
      <c r="R1264" s="5">
        <v>11</v>
      </c>
      <c r="S1264" s="5">
        <v>113</v>
      </c>
    </row>
    <row r="1265" spans="1:19" ht="42" x14ac:dyDescent="0.15">
      <c r="A1265" s="2">
        <f>HYPERLINK("https://open-school.uspishnemisto.com.ua/school/70410/", 70410)</f>
        <v>70410</v>
      </c>
      <c r="B1265" s="3" t="s">
        <v>6901</v>
      </c>
      <c r="C1265" s="3" t="s">
        <v>40</v>
      </c>
      <c r="D1265" s="3" t="s">
        <v>32</v>
      </c>
      <c r="E1265" s="4" t="s">
        <v>22</v>
      </c>
      <c r="F1265" s="4" t="s">
        <v>6902</v>
      </c>
      <c r="G1265" s="4" t="s">
        <v>6903</v>
      </c>
      <c r="H1265" s="3" t="s">
        <v>4839</v>
      </c>
      <c r="I1265" s="3" t="s">
        <v>6904</v>
      </c>
      <c r="J1265" s="3" t="s">
        <v>5145</v>
      </c>
      <c r="K1265" s="3" t="s">
        <v>6905</v>
      </c>
      <c r="L1265" s="3" t="s">
        <v>6906</v>
      </c>
      <c r="M1265" s="4"/>
      <c r="N1265" s="3" t="s">
        <v>37</v>
      </c>
      <c r="O1265" s="3" t="s">
        <v>237</v>
      </c>
      <c r="P1265" s="5">
        <v>33</v>
      </c>
      <c r="Q1265" s="5">
        <v>810</v>
      </c>
      <c r="R1265" s="5">
        <v>33</v>
      </c>
      <c r="S1265" s="5">
        <v>801</v>
      </c>
    </row>
    <row r="1266" spans="1:19" ht="28" x14ac:dyDescent="0.15">
      <c r="A1266" s="2">
        <f>HYPERLINK("https://open-school.uspishnemisto.com.ua/school/70411/", 70411)</f>
        <v>70411</v>
      </c>
      <c r="B1266" s="3" t="s">
        <v>6907</v>
      </c>
      <c r="C1266" s="3" t="s">
        <v>31</v>
      </c>
      <c r="D1266" s="3" t="s">
        <v>175</v>
      </c>
      <c r="E1266" s="4" t="s">
        <v>22</v>
      </c>
      <c r="F1266" s="4" t="s">
        <v>6908</v>
      </c>
      <c r="G1266" s="4" t="s">
        <v>6909</v>
      </c>
      <c r="H1266" s="3" t="s">
        <v>4839</v>
      </c>
      <c r="I1266" s="3" t="s">
        <v>6910</v>
      </c>
      <c r="J1266" s="3" t="s">
        <v>466</v>
      </c>
      <c r="K1266" s="3" t="s">
        <v>6911</v>
      </c>
      <c r="L1266" s="3"/>
      <c r="M1266" s="4"/>
      <c r="N1266" s="3" t="s">
        <v>37</v>
      </c>
      <c r="O1266" s="3" t="s">
        <v>46</v>
      </c>
      <c r="P1266" s="5">
        <v>9</v>
      </c>
      <c r="Q1266" s="5">
        <v>74</v>
      </c>
      <c r="R1266" s="5">
        <v>9</v>
      </c>
      <c r="S1266" s="5">
        <v>68</v>
      </c>
    </row>
    <row r="1267" spans="1:19" ht="28" x14ac:dyDescent="0.15">
      <c r="A1267" s="2">
        <f>HYPERLINK("https://open-school.uspishnemisto.com.ua/school/70412/", 70412)</f>
        <v>70412</v>
      </c>
      <c r="B1267" s="3" t="s">
        <v>6912</v>
      </c>
      <c r="C1267" s="3" t="s">
        <v>181</v>
      </c>
      <c r="D1267" s="3" t="s">
        <v>32</v>
      </c>
      <c r="E1267" s="4" t="s">
        <v>22</v>
      </c>
      <c r="F1267" s="4" t="s">
        <v>6908</v>
      </c>
      <c r="G1267" s="4" t="s">
        <v>6909</v>
      </c>
      <c r="H1267" s="3" t="s">
        <v>4839</v>
      </c>
      <c r="I1267" s="3" t="s">
        <v>6910</v>
      </c>
      <c r="J1267" s="3" t="s">
        <v>952</v>
      </c>
      <c r="K1267" s="3" t="s">
        <v>6913</v>
      </c>
      <c r="L1267" s="3"/>
      <c r="M1267" s="4" t="s">
        <v>6914</v>
      </c>
      <c r="N1267" s="3" t="s">
        <v>37</v>
      </c>
      <c r="O1267" s="3" t="s">
        <v>52</v>
      </c>
      <c r="P1267" s="5">
        <v>12</v>
      </c>
      <c r="Q1267" s="5">
        <v>101</v>
      </c>
      <c r="R1267" s="5">
        <v>12</v>
      </c>
      <c r="S1267" s="5">
        <v>106</v>
      </c>
    </row>
    <row r="1268" spans="1:19" ht="28" x14ac:dyDescent="0.15">
      <c r="A1268" s="2">
        <f>HYPERLINK("https://open-school.uspishnemisto.com.ua/school/70413/", 70413)</f>
        <v>70413</v>
      </c>
      <c r="B1268" s="3" t="s">
        <v>6915</v>
      </c>
      <c r="C1268" s="3" t="s">
        <v>31</v>
      </c>
      <c r="D1268" s="3" t="s">
        <v>32</v>
      </c>
      <c r="E1268" s="4" t="s">
        <v>22</v>
      </c>
      <c r="F1268" s="4" t="s">
        <v>6916</v>
      </c>
      <c r="G1268" s="4" t="s">
        <v>6917</v>
      </c>
      <c r="H1268" s="3" t="s">
        <v>4839</v>
      </c>
      <c r="I1268" s="3" t="s">
        <v>6918</v>
      </c>
      <c r="J1268" s="3" t="s">
        <v>4425</v>
      </c>
      <c r="K1268" s="3" t="s">
        <v>6919</v>
      </c>
      <c r="L1268" s="3"/>
      <c r="M1268" s="4"/>
      <c r="N1268" s="3" t="s">
        <v>37</v>
      </c>
      <c r="O1268" s="3" t="s">
        <v>266</v>
      </c>
      <c r="P1268" s="5">
        <v>14</v>
      </c>
      <c r="Q1268" s="5">
        <v>286</v>
      </c>
      <c r="R1268" s="5">
        <v>13</v>
      </c>
      <c r="S1268" s="5">
        <v>279</v>
      </c>
    </row>
    <row r="1269" spans="1:19" ht="28" x14ac:dyDescent="0.15">
      <c r="A1269" s="2">
        <f>HYPERLINK("https://open-school.uspishnemisto.com.ua/school/70414/", 70414)</f>
        <v>70414</v>
      </c>
      <c r="B1269" s="3" t="s">
        <v>6920</v>
      </c>
      <c r="C1269" s="3" t="s">
        <v>31</v>
      </c>
      <c r="D1269" s="3" t="s">
        <v>175</v>
      </c>
      <c r="E1269" s="4" t="s">
        <v>22</v>
      </c>
      <c r="F1269" s="4" t="s">
        <v>6921</v>
      </c>
      <c r="G1269" s="4" t="s">
        <v>6922</v>
      </c>
      <c r="H1269" s="3" t="s">
        <v>4839</v>
      </c>
      <c r="I1269" s="3" t="s">
        <v>6923</v>
      </c>
      <c r="J1269" s="3" t="s">
        <v>6924</v>
      </c>
      <c r="K1269" s="3" t="s">
        <v>6925</v>
      </c>
      <c r="L1269" s="3"/>
      <c r="M1269" s="4"/>
      <c r="N1269" s="3" t="s">
        <v>37</v>
      </c>
      <c r="O1269" s="3" t="s">
        <v>38</v>
      </c>
      <c r="P1269" s="5">
        <v>9</v>
      </c>
      <c r="Q1269" s="5">
        <v>93</v>
      </c>
      <c r="R1269" s="5">
        <v>9</v>
      </c>
      <c r="S1269" s="5">
        <v>99</v>
      </c>
    </row>
    <row r="1270" spans="1:19" ht="28" x14ac:dyDescent="0.15">
      <c r="A1270" s="2">
        <f>HYPERLINK("https://open-school.uspishnemisto.com.ua/school/70415/", 70415)</f>
        <v>70415</v>
      </c>
      <c r="B1270" s="3" t="s">
        <v>6926</v>
      </c>
      <c r="C1270" s="3" t="s">
        <v>31</v>
      </c>
      <c r="D1270" s="3" t="s">
        <v>175</v>
      </c>
      <c r="E1270" s="4" t="s">
        <v>22</v>
      </c>
      <c r="F1270" s="4" t="s">
        <v>6927</v>
      </c>
      <c r="G1270" s="4" t="s">
        <v>6928</v>
      </c>
      <c r="H1270" s="3" t="s">
        <v>4839</v>
      </c>
      <c r="I1270" s="3" t="s">
        <v>6929</v>
      </c>
      <c r="J1270" s="3" t="s">
        <v>6930</v>
      </c>
      <c r="K1270" s="3" t="s">
        <v>6931</v>
      </c>
      <c r="L1270" s="3"/>
      <c r="M1270" s="4"/>
      <c r="N1270" s="3" t="s">
        <v>37</v>
      </c>
      <c r="O1270" s="3" t="s">
        <v>38</v>
      </c>
      <c r="P1270" s="5">
        <v>9</v>
      </c>
      <c r="Q1270" s="5">
        <v>86</v>
      </c>
      <c r="R1270" s="5">
        <v>9</v>
      </c>
      <c r="S1270" s="5">
        <v>93</v>
      </c>
    </row>
    <row r="1271" spans="1:19" ht="28" x14ac:dyDescent="0.15">
      <c r="A1271" s="2">
        <f>HYPERLINK("https://open-school.uspishnemisto.com.ua/school/70416/", 70416)</f>
        <v>70416</v>
      </c>
      <c r="B1271" s="3" t="s">
        <v>6932</v>
      </c>
      <c r="C1271" s="3" t="s">
        <v>31</v>
      </c>
      <c r="D1271" s="3" t="s">
        <v>175</v>
      </c>
      <c r="E1271" s="4" t="s">
        <v>22</v>
      </c>
      <c r="F1271" s="4" t="s">
        <v>6933</v>
      </c>
      <c r="G1271" s="4" t="s">
        <v>6934</v>
      </c>
      <c r="H1271" s="3" t="s">
        <v>4839</v>
      </c>
      <c r="I1271" s="3" t="s">
        <v>6935</v>
      </c>
      <c r="J1271" s="3" t="s">
        <v>554</v>
      </c>
      <c r="K1271" s="3" t="s">
        <v>6936</v>
      </c>
      <c r="L1271" s="3"/>
      <c r="M1271" s="4"/>
      <c r="N1271" s="3" t="s">
        <v>37</v>
      </c>
      <c r="O1271" s="3" t="s">
        <v>38</v>
      </c>
      <c r="P1271" s="5">
        <v>9</v>
      </c>
      <c r="Q1271" s="5">
        <v>87</v>
      </c>
      <c r="R1271" s="5">
        <v>9</v>
      </c>
      <c r="S1271" s="5">
        <v>85</v>
      </c>
    </row>
    <row r="1272" spans="1:19" ht="28" x14ac:dyDescent="0.15">
      <c r="A1272" s="2">
        <f>HYPERLINK("https://open-school.uspishnemisto.com.ua/school/70417/", 70417)</f>
        <v>70417</v>
      </c>
      <c r="B1272" s="3" t="s">
        <v>6937</v>
      </c>
      <c r="C1272" s="3" t="s">
        <v>31</v>
      </c>
      <c r="D1272" s="3" t="s">
        <v>32</v>
      </c>
      <c r="E1272" s="4" t="s">
        <v>22</v>
      </c>
      <c r="F1272" s="4" t="s">
        <v>6938</v>
      </c>
      <c r="G1272" s="4" t="s">
        <v>6939</v>
      </c>
      <c r="H1272" s="3" t="s">
        <v>4839</v>
      </c>
      <c r="I1272" s="3" t="s">
        <v>6940</v>
      </c>
      <c r="J1272" s="3" t="s">
        <v>3064</v>
      </c>
      <c r="K1272" s="3" t="s">
        <v>6941</v>
      </c>
      <c r="L1272" s="3"/>
      <c r="M1272" s="4"/>
      <c r="N1272" s="3" t="s">
        <v>37</v>
      </c>
      <c r="O1272" s="3" t="s">
        <v>38</v>
      </c>
      <c r="P1272" s="5">
        <v>11</v>
      </c>
      <c r="Q1272" s="5">
        <v>180</v>
      </c>
      <c r="R1272" s="5">
        <v>11</v>
      </c>
      <c r="S1272" s="5">
        <v>174</v>
      </c>
    </row>
    <row r="1273" spans="1:19" ht="28" x14ac:dyDescent="0.15">
      <c r="A1273" s="2">
        <f>HYPERLINK("https://open-school.uspishnemisto.com.ua/school/70418/", 70418)</f>
        <v>70418</v>
      </c>
      <c r="B1273" s="3" t="s">
        <v>6942</v>
      </c>
      <c r="C1273" s="3" t="s">
        <v>31</v>
      </c>
      <c r="D1273" s="3" t="s">
        <v>32</v>
      </c>
      <c r="E1273" s="4" t="s">
        <v>22</v>
      </c>
      <c r="F1273" s="4" t="s">
        <v>6943</v>
      </c>
      <c r="G1273" s="4" t="s">
        <v>6944</v>
      </c>
      <c r="H1273" s="3" t="s">
        <v>4839</v>
      </c>
      <c r="I1273" s="3" t="s">
        <v>6945</v>
      </c>
      <c r="J1273" s="3" t="s">
        <v>634</v>
      </c>
      <c r="K1273" s="3" t="s">
        <v>6946</v>
      </c>
      <c r="L1273" s="3" t="s">
        <v>6947</v>
      </c>
      <c r="M1273" s="4"/>
      <c r="N1273" s="3" t="s">
        <v>37</v>
      </c>
      <c r="O1273" s="3" t="s">
        <v>70</v>
      </c>
      <c r="P1273" s="5">
        <v>11</v>
      </c>
      <c r="Q1273" s="5">
        <v>143</v>
      </c>
      <c r="R1273" s="5">
        <v>10</v>
      </c>
      <c r="S1273" s="5">
        <v>133</v>
      </c>
    </row>
    <row r="1274" spans="1:19" ht="28" x14ac:dyDescent="0.15">
      <c r="A1274" s="2">
        <f>HYPERLINK("https://open-school.uspishnemisto.com.ua/school/70419/", 70419)</f>
        <v>70419</v>
      </c>
      <c r="B1274" s="3" t="s">
        <v>6948</v>
      </c>
      <c r="C1274" s="3" t="s">
        <v>31</v>
      </c>
      <c r="D1274" s="3" t="s">
        <v>32</v>
      </c>
      <c r="E1274" s="4" t="s">
        <v>22</v>
      </c>
      <c r="F1274" s="4" t="s">
        <v>6949</v>
      </c>
      <c r="G1274" s="4" t="s">
        <v>6950</v>
      </c>
      <c r="H1274" s="3" t="s">
        <v>4839</v>
      </c>
      <c r="I1274" s="3" t="s">
        <v>6951</v>
      </c>
      <c r="J1274" s="3" t="s">
        <v>6952</v>
      </c>
      <c r="K1274" s="3" t="s">
        <v>6953</v>
      </c>
      <c r="L1274" s="3"/>
      <c r="M1274" s="4"/>
      <c r="N1274" s="3" t="s">
        <v>37</v>
      </c>
      <c r="O1274" s="3" t="s">
        <v>139</v>
      </c>
      <c r="P1274" s="5">
        <v>11</v>
      </c>
      <c r="Q1274" s="5">
        <v>151</v>
      </c>
      <c r="R1274" s="5">
        <v>11</v>
      </c>
      <c r="S1274" s="5">
        <v>155</v>
      </c>
    </row>
    <row r="1275" spans="1:19" ht="28" x14ac:dyDescent="0.15">
      <c r="A1275" s="2">
        <f>HYPERLINK("https://open-school.uspishnemisto.com.ua/school/70420/", 70420)</f>
        <v>70420</v>
      </c>
      <c r="B1275" s="3" t="s">
        <v>6954</v>
      </c>
      <c r="C1275" s="3" t="s">
        <v>31</v>
      </c>
      <c r="D1275" s="3" t="s">
        <v>32</v>
      </c>
      <c r="E1275" s="4" t="s">
        <v>22</v>
      </c>
      <c r="F1275" s="4" t="s">
        <v>6955</v>
      </c>
      <c r="G1275" s="4" t="s">
        <v>6956</v>
      </c>
      <c r="H1275" s="3" t="s">
        <v>4839</v>
      </c>
      <c r="I1275" s="3" t="s">
        <v>6957</v>
      </c>
      <c r="J1275" s="3" t="s">
        <v>6958</v>
      </c>
      <c r="K1275" s="3" t="s">
        <v>6959</v>
      </c>
      <c r="L1275" s="3"/>
      <c r="M1275" s="4"/>
      <c r="N1275" s="3" t="s">
        <v>37</v>
      </c>
      <c r="O1275" s="3" t="s">
        <v>46</v>
      </c>
      <c r="P1275" s="5">
        <v>11</v>
      </c>
      <c r="Q1275" s="5">
        <v>126</v>
      </c>
      <c r="R1275" s="5">
        <v>10</v>
      </c>
      <c r="S1275" s="5">
        <v>118</v>
      </c>
    </row>
    <row r="1276" spans="1:19" ht="28" x14ac:dyDescent="0.15">
      <c r="A1276" s="2">
        <f>HYPERLINK("https://open-school.uspishnemisto.com.ua/school/70421/", 70421)</f>
        <v>70421</v>
      </c>
      <c r="B1276" s="3" t="s">
        <v>6960</v>
      </c>
      <c r="C1276" s="3" t="s">
        <v>31</v>
      </c>
      <c r="D1276" s="3" t="s">
        <v>175</v>
      </c>
      <c r="E1276" s="4" t="s">
        <v>22</v>
      </c>
      <c r="F1276" s="4" t="s">
        <v>6961</v>
      </c>
      <c r="G1276" s="4" t="s">
        <v>6962</v>
      </c>
      <c r="H1276" s="3" t="s">
        <v>4839</v>
      </c>
      <c r="I1276" s="3" t="s">
        <v>6963</v>
      </c>
      <c r="J1276" s="3" t="s">
        <v>1360</v>
      </c>
      <c r="K1276" s="3" t="s">
        <v>6964</v>
      </c>
      <c r="L1276" s="3"/>
      <c r="M1276" s="4"/>
      <c r="N1276" s="3" t="s">
        <v>37</v>
      </c>
      <c r="O1276" s="3" t="s">
        <v>46</v>
      </c>
      <c r="P1276" s="5">
        <v>9</v>
      </c>
      <c r="Q1276" s="5">
        <v>108</v>
      </c>
      <c r="R1276" s="5">
        <v>9</v>
      </c>
      <c r="S1276" s="5">
        <v>114</v>
      </c>
    </row>
    <row r="1277" spans="1:19" ht="28" x14ac:dyDescent="0.15">
      <c r="A1277" s="2">
        <f>HYPERLINK("https://open-school.uspishnemisto.com.ua/school/70422/", 70422)</f>
        <v>70422</v>
      </c>
      <c r="B1277" s="3" t="s">
        <v>6965</v>
      </c>
      <c r="C1277" s="3" t="s">
        <v>31</v>
      </c>
      <c r="D1277" s="3" t="s">
        <v>32</v>
      </c>
      <c r="E1277" s="4" t="s">
        <v>22</v>
      </c>
      <c r="F1277" s="4" t="s">
        <v>6966</v>
      </c>
      <c r="G1277" s="4" t="s">
        <v>6967</v>
      </c>
      <c r="H1277" s="3" t="s">
        <v>4839</v>
      </c>
      <c r="I1277" s="3" t="s">
        <v>6968</v>
      </c>
      <c r="J1277" s="3" t="s">
        <v>634</v>
      </c>
      <c r="K1277" s="3" t="s">
        <v>6969</v>
      </c>
      <c r="L1277" s="3" t="s">
        <v>6970</v>
      </c>
      <c r="M1277" s="4"/>
      <c r="N1277" s="3" t="s">
        <v>37</v>
      </c>
      <c r="O1277" s="3" t="s">
        <v>38</v>
      </c>
      <c r="P1277" s="5">
        <v>10</v>
      </c>
      <c r="Q1277" s="5">
        <v>95</v>
      </c>
      <c r="R1277" s="5">
        <v>10</v>
      </c>
      <c r="S1277" s="5">
        <v>96</v>
      </c>
    </row>
    <row r="1278" spans="1:19" ht="28" x14ac:dyDescent="0.15">
      <c r="A1278" s="2">
        <f>HYPERLINK("https://open-school.uspishnemisto.com.ua/school/70423/", 70423)</f>
        <v>70423</v>
      </c>
      <c r="B1278" s="3" t="s">
        <v>6971</v>
      </c>
      <c r="C1278" s="3" t="s">
        <v>31</v>
      </c>
      <c r="D1278" s="3" t="s">
        <v>32</v>
      </c>
      <c r="E1278" s="4" t="s">
        <v>22</v>
      </c>
      <c r="F1278" s="4" t="s">
        <v>6972</v>
      </c>
      <c r="G1278" s="4" t="s">
        <v>6973</v>
      </c>
      <c r="H1278" s="3" t="s">
        <v>4839</v>
      </c>
      <c r="I1278" s="3" t="s">
        <v>6974</v>
      </c>
      <c r="J1278" s="3" t="s">
        <v>1216</v>
      </c>
      <c r="K1278" s="3" t="s">
        <v>6975</v>
      </c>
      <c r="L1278" s="3"/>
      <c r="M1278" s="4"/>
      <c r="N1278" s="3" t="s">
        <v>37</v>
      </c>
      <c r="O1278" s="3" t="s">
        <v>139</v>
      </c>
      <c r="P1278" s="5">
        <v>11</v>
      </c>
      <c r="Q1278" s="5">
        <v>183</v>
      </c>
      <c r="R1278" s="5">
        <v>11</v>
      </c>
      <c r="S1278" s="5">
        <v>174</v>
      </c>
    </row>
    <row r="1279" spans="1:19" ht="42" x14ac:dyDescent="0.15">
      <c r="A1279" s="2">
        <f>HYPERLINK("https://open-school.uspishnemisto.com.ua/school/70424/", 70424)</f>
        <v>70424</v>
      </c>
      <c r="B1279" s="3" t="s">
        <v>6976</v>
      </c>
      <c r="C1279" s="3" t="s">
        <v>31</v>
      </c>
      <c r="D1279" s="3" t="s">
        <v>175</v>
      </c>
      <c r="E1279" s="4" t="s">
        <v>22</v>
      </c>
      <c r="F1279" s="4" t="s">
        <v>6977</v>
      </c>
      <c r="G1279" s="4" t="s">
        <v>6978</v>
      </c>
      <c r="H1279" s="3" t="s">
        <v>4839</v>
      </c>
      <c r="I1279" s="3" t="s">
        <v>6979</v>
      </c>
      <c r="J1279" s="3" t="s">
        <v>6980</v>
      </c>
      <c r="K1279" s="3" t="s">
        <v>6981</v>
      </c>
      <c r="L1279" s="3"/>
      <c r="M1279" s="4"/>
      <c r="N1279" s="3" t="s">
        <v>37</v>
      </c>
      <c r="O1279" s="3" t="s">
        <v>52</v>
      </c>
      <c r="P1279" s="5">
        <v>9</v>
      </c>
      <c r="Q1279" s="5">
        <v>126</v>
      </c>
      <c r="R1279" s="5">
        <v>9</v>
      </c>
      <c r="S1279" s="5">
        <v>119</v>
      </c>
    </row>
    <row r="1280" spans="1:19" ht="42" x14ac:dyDescent="0.15">
      <c r="A1280" s="2">
        <f>HYPERLINK("https://open-school.uspishnemisto.com.ua/school/70425/", 70425)</f>
        <v>70425</v>
      </c>
      <c r="B1280" s="3" t="s">
        <v>6982</v>
      </c>
      <c r="C1280" s="3" t="s">
        <v>40</v>
      </c>
      <c r="D1280" s="3" t="s">
        <v>32</v>
      </c>
      <c r="E1280" s="4" t="s">
        <v>22</v>
      </c>
      <c r="F1280" s="4" t="s">
        <v>6983</v>
      </c>
      <c r="G1280" s="4" t="s">
        <v>6984</v>
      </c>
      <c r="H1280" s="3" t="s">
        <v>4839</v>
      </c>
      <c r="I1280" s="3" t="s">
        <v>6985</v>
      </c>
      <c r="J1280" s="3" t="s">
        <v>6986</v>
      </c>
      <c r="K1280" s="3" t="s">
        <v>6987</v>
      </c>
      <c r="L1280" s="3" t="s">
        <v>6988</v>
      </c>
      <c r="M1280" s="4"/>
      <c r="N1280" s="3" t="s">
        <v>37</v>
      </c>
      <c r="O1280" s="3" t="s">
        <v>237</v>
      </c>
      <c r="P1280" s="5">
        <v>54</v>
      </c>
      <c r="Q1280" s="5">
        <v>1145</v>
      </c>
      <c r="R1280" s="5">
        <v>42</v>
      </c>
      <c r="S1280" s="5">
        <v>1006</v>
      </c>
    </row>
    <row r="1281" spans="1:19" ht="28" x14ac:dyDescent="0.15">
      <c r="A1281" s="2">
        <f>HYPERLINK("https://open-school.uspishnemisto.com.ua/school/70426/", 70426)</f>
        <v>70426</v>
      </c>
      <c r="B1281" s="3" t="s">
        <v>6989</v>
      </c>
      <c r="C1281" s="3" t="s">
        <v>31</v>
      </c>
      <c r="D1281" s="3" t="s">
        <v>60</v>
      </c>
      <c r="E1281" s="4" t="s">
        <v>22</v>
      </c>
      <c r="F1281" s="4" t="s">
        <v>6983</v>
      </c>
      <c r="G1281" s="4" t="s">
        <v>6990</v>
      </c>
      <c r="H1281" s="3" t="s">
        <v>4839</v>
      </c>
      <c r="I1281" s="3" t="s">
        <v>6991</v>
      </c>
      <c r="J1281" s="3" t="s">
        <v>6992</v>
      </c>
      <c r="K1281" s="3" t="s">
        <v>6993</v>
      </c>
      <c r="L1281" s="3"/>
      <c r="M1281" s="4"/>
      <c r="N1281" s="3" t="s">
        <v>37</v>
      </c>
      <c r="O1281" s="3" t="s">
        <v>52</v>
      </c>
      <c r="P1281" s="5">
        <v>1</v>
      </c>
      <c r="Q1281" s="5">
        <v>15</v>
      </c>
      <c r="R1281" s="5">
        <v>2</v>
      </c>
      <c r="S1281" s="5">
        <v>22</v>
      </c>
    </row>
    <row r="1282" spans="1:19" ht="28" x14ac:dyDescent="0.15">
      <c r="A1282" s="2">
        <f>HYPERLINK("https://open-school.uspishnemisto.com.ua/school/70427/", 70427)</f>
        <v>70427</v>
      </c>
      <c r="B1282" s="3" t="s">
        <v>6994</v>
      </c>
      <c r="C1282" s="3" t="s">
        <v>31</v>
      </c>
      <c r="D1282" s="3" t="s">
        <v>32</v>
      </c>
      <c r="E1282" s="4" t="s">
        <v>22</v>
      </c>
      <c r="F1282" s="4" t="s">
        <v>6995</v>
      </c>
      <c r="G1282" s="4" t="s">
        <v>6996</v>
      </c>
      <c r="H1282" s="3" t="s">
        <v>4839</v>
      </c>
      <c r="I1282" s="3" t="s">
        <v>6997</v>
      </c>
      <c r="J1282" s="3" t="s">
        <v>466</v>
      </c>
      <c r="K1282" s="3" t="s">
        <v>6998</v>
      </c>
      <c r="L1282" s="3" t="s">
        <v>6999</v>
      </c>
      <c r="M1282" s="4"/>
      <c r="N1282" s="3" t="s">
        <v>37</v>
      </c>
      <c r="O1282" s="3" t="s">
        <v>52</v>
      </c>
      <c r="P1282" s="5">
        <v>9</v>
      </c>
      <c r="Q1282" s="5">
        <v>123</v>
      </c>
      <c r="R1282" s="5">
        <v>10</v>
      </c>
      <c r="S1282" s="5">
        <v>122</v>
      </c>
    </row>
    <row r="1283" spans="1:19" ht="28" x14ac:dyDescent="0.15">
      <c r="A1283" s="2">
        <f>HYPERLINK("https://open-school.uspishnemisto.com.ua/school/70428/", 70428)</f>
        <v>70428</v>
      </c>
      <c r="B1283" s="3" t="s">
        <v>7000</v>
      </c>
      <c r="C1283" s="3" t="s">
        <v>31</v>
      </c>
      <c r="D1283" s="3" t="s">
        <v>60</v>
      </c>
      <c r="E1283" s="4" t="s">
        <v>22</v>
      </c>
      <c r="F1283" s="4" t="s">
        <v>6995</v>
      </c>
      <c r="G1283" s="4" t="s">
        <v>7001</v>
      </c>
      <c r="H1283" s="3" t="s">
        <v>4839</v>
      </c>
      <c r="I1283" s="3" t="s">
        <v>7002</v>
      </c>
      <c r="J1283" s="3" t="s">
        <v>718</v>
      </c>
      <c r="K1283" s="3" t="s">
        <v>7003</v>
      </c>
      <c r="L1283" s="3"/>
      <c r="M1283" s="4"/>
      <c r="N1283" s="3" t="s">
        <v>37</v>
      </c>
      <c r="O1283" s="3" t="s">
        <v>52</v>
      </c>
      <c r="P1283" s="5">
        <v>1</v>
      </c>
      <c r="Q1283" s="5">
        <v>11</v>
      </c>
      <c r="R1283" s="5">
        <v>1</v>
      </c>
      <c r="S1283" s="5">
        <v>11</v>
      </c>
    </row>
    <row r="1284" spans="1:19" ht="28" x14ac:dyDescent="0.15">
      <c r="A1284" s="2">
        <f>HYPERLINK("https://open-school.uspishnemisto.com.ua/school/70429/", 70429)</f>
        <v>70429</v>
      </c>
      <c r="B1284" s="3" t="s">
        <v>7004</v>
      </c>
      <c r="C1284" s="3" t="s">
        <v>31</v>
      </c>
      <c r="D1284" s="3" t="s">
        <v>32</v>
      </c>
      <c r="E1284" s="4" t="s">
        <v>22</v>
      </c>
      <c r="F1284" s="4" t="s">
        <v>7005</v>
      </c>
      <c r="G1284" s="4" t="s">
        <v>7006</v>
      </c>
      <c r="H1284" s="3" t="s">
        <v>4839</v>
      </c>
      <c r="I1284" s="3" t="s">
        <v>7007</v>
      </c>
      <c r="J1284" s="3" t="s">
        <v>7008</v>
      </c>
      <c r="K1284" s="3" t="s">
        <v>7009</v>
      </c>
      <c r="L1284" s="3" t="s">
        <v>7010</v>
      </c>
      <c r="M1284" s="4"/>
      <c r="N1284" s="3" t="s">
        <v>37</v>
      </c>
      <c r="O1284" s="3" t="s">
        <v>52</v>
      </c>
      <c r="P1284" s="5">
        <v>14</v>
      </c>
      <c r="Q1284" s="5">
        <v>282</v>
      </c>
      <c r="R1284" s="5">
        <v>12</v>
      </c>
      <c r="S1284" s="5">
        <v>262</v>
      </c>
    </row>
    <row r="1285" spans="1:19" ht="28" x14ac:dyDescent="0.15">
      <c r="A1285" s="2">
        <f>HYPERLINK("https://open-school.uspishnemisto.com.ua/school/70430/", 70430)</f>
        <v>70430</v>
      </c>
      <c r="B1285" s="3" t="s">
        <v>7011</v>
      </c>
      <c r="C1285" s="3" t="s">
        <v>31</v>
      </c>
      <c r="D1285" s="3" t="s">
        <v>60</v>
      </c>
      <c r="E1285" s="4" t="s">
        <v>22</v>
      </c>
      <c r="F1285" s="4" t="s">
        <v>7005</v>
      </c>
      <c r="G1285" s="4" t="s">
        <v>7012</v>
      </c>
      <c r="H1285" s="3" t="s">
        <v>4839</v>
      </c>
      <c r="I1285" s="3" t="s">
        <v>7013</v>
      </c>
      <c r="J1285" s="3" t="s">
        <v>6394</v>
      </c>
      <c r="K1285" s="3"/>
      <c r="L1285" s="3"/>
      <c r="M1285" s="4"/>
      <c r="N1285" s="3" t="s">
        <v>37</v>
      </c>
      <c r="O1285" s="3" t="s">
        <v>52</v>
      </c>
      <c r="P1285" s="5">
        <v>3</v>
      </c>
      <c r="Q1285" s="5">
        <v>25</v>
      </c>
      <c r="R1285" s="5">
        <v>4</v>
      </c>
      <c r="S1285" s="5">
        <v>30</v>
      </c>
    </row>
    <row r="1286" spans="1:19" ht="28" x14ac:dyDescent="0.15">
      <c r="A1286" s="2">
        <f>HYPERLINK("https://open-school.uspishnemisto.com.ua/school/70431/", 70431)</f>
        <v>70431</v>
      </c>
      <c r="B1286" s="3" t="s">
        <v>7014</v>
      </c>
      <c r="C1286" s="3" t="s">
        <v>31</v>
      </c>
      <c r="D1286" s="3" t="s">
        <v>32</v>
      </c>
      <c r="E1286" s="4" t="s">
        <v>22</v>
      </c>
      <c r="F1286" s="4" t="s">
        <v>7015</v>
      </c>
      <c r="G1286" s="4" t="s">
        <v>7016</v>
      </c>
      <c r="H1286" s="3" t="s">
        <v>4839</v>
      </c>
      <c r="I1286" s="3" t="s">
        <v>7017</v>
      </c>
      <c r="J1286" s="3" t="s">
        <v>2191</v>
      </c>
      <c r="K1286" s="3" t="s">
        <v>7018</v>
      </c>
      <c r="L1286" s="3"/>
      <c r="M1286" s="4"/>
      <c r="N1286" s="3" t="s">
        <v>37</v>
      </c>
      <c r="O1286" s="3" t="s">
        <v>46</v>
      </c>
      <c r="P1286" s="5">
        <v>11</v>
      </c>
      <c r="Q1286" s="5">
        <v>204</v>
      </c>
      <c r="R1286" s="5">
        <v>11</v>
      </c>
      <c r="S1286" s="5">
        <v>208</v>
      </c>
    </row>
    <row r="1287" spans="1:19" ht="28" x14ac:dyDescent="0.15">
      <c r="A1287" s="2">
        <f>HYPERLINK("https://open-school.uspishnemisto.com.ua/school/70432/", 70432)</f>
        <v>70432</v>
      </c>
      <c r="B1287" s="3" t="s">
        <v>7019</v>
      </c>
      <c r="C1287" s="3" t="s">
        <v>31</v>
      </c>
      <c r="D1287" s="3" t="s">
        <v>32</v>
      </c>
      <c r="E1287" s="4" t="s">
        <v>22</v>
      </c>
      <c r="F1287" s="4" t="s">
        <v>7020</v>
      </c>
      <c r="G1287" s="4" t="s">
        <v>7021</v>
      </c>
      <c r="H1287" s="3" t="s">
        <v>4839</v>
      </c>
      <c r="I1287" s="3" t="s">
        <v>7022</v>
      </c>
      <c r="J1287" s="3" t="s">
        <v>7023</v>
      </c>
      <c r="K1287" s="3" t="s">
        <v>7024</v>
      </c>
      <c r="L1287" s="3" t="s">
        <v>7025</v>
      </c>
      <c r="M1287" s="4"/>
      <c r="N1287" s="3" t="s">
        <v>37</v>
      </c>
      <c r="O1287" s="3" t="s">
        <v>52</v>
      </c>
      <c r="P1287" s="5">
        <v>11</v>
      </c>
      <c r="Q1287" s="5">
        <v>210</v>
      </c>
      <c r="R1287" s="5">
        <v>12</v>
      </c>
      <c r="S1287" s="5">
        <v>219</v>
      </c>
    </row>
    <row r="1288" spans="1:19" ht="28" x14ac:dyDescent="0.15">
      <c r="A1288" s="2">
        <f>HYPERLINK("https://open-school.uspishnemisto.com.ua/school/70433/", 70433)</f>
        <v>70433</v>
      </c>
      <c r="B1288" s="3" t="s">
        <v>7026</v>
      </c>
      <c r="C1288" s="3" t="s">
        <v>31</v>
      </c>
      <c r="D1288" s="3" t="s">
        <v>175</v>
      </c>
      <c r="E1288" s="4" t="s">
        <v>22</v>
      </c>
      <c r="F1288" s="4" t="s">
        <v>7027</v>
      </c>
      <c r="G1288" s="4" t="s">
        <v>7028</v>
      </c>
      <c r="H1288" s="3" t="s">
        <v>4839</v>
      </c>
      <c r="I1288" s="3" t="s">
        <v>7029</v>
      </c>
      <c r="J1288" s="3" t="s">
        <v>7030</v>
      </c>
      <c r="K1288" s="3"/>
      <c r="L1288" s="3"/>
      <c r="M1288" s="4"/>
      <c r="N1288" s="3" t="s">
        <v>37</v>
      </c>
      <c r="O1288" s="3" t="s">
        <v>46</v>
      </c>
      <c r="P1288" s="5">
        <v>9</v>
      </c>
      <c r="Q1288" s="5">
        <v>87</v>
      </c>
      <c r="R1288" s="5">
        <v>9</v>
      </c>
      <c r="S1288" s="5">
        <v>89</v>
      </c>
    </row>
    <row r="1289" spans="1:19" ht="28" x14ac:dyDescent="0.15">
      <c r="A1289" s="2">
        <f>HYPERLINK("https://open-school.uspishnemisto.com.ua/school/70434/", 70434)</f>
        <v>70434</v>
      </c>
      <c r="B1289" s="3" t="s">
        <v>7031</v>
      </c>
      <c r="C1289" s="3" t="s">
        <v>31</v>
      </c>
      <c r="D1289" s="3" t="s">
        <v>175</v>
      </c>
      <c r="E1289" s="4" t="s">
        <v>22</v>
      </c>
      <c r="F1289" s="4" t="s">
        <v>7032</v>
      </c>
      <c r="G1289" s="4" t="s">
        <v>7033</v>
      </c>
      <c r="H1289" s="3" t="s">
        <v>4839</v>
      </c>
      <c r="I1289" s="3" t="s">
        <v>7034</v>
      </c>
      <c r="J1289" s="3" t="s">
        <v>7035</v>
      </c>
      <c r="K1289" s="3" t="s">
        <v>7036</v>
      </c>
      <c r="L1289" s="3"/>
      <c r="M1289" s="4"/>
      <c r="N1289" s="3" t="s">
        <v>37</v>
      </c>
      <c r="O1289" s="3" t="s">
        <v>52</v>
      </c>
      <c r="P1289" s="5">
        <v>7</v>
      </c>
      <c r="Q1289" s="5">
        <v>59</v>
      </c>
      <c r="R1289" s="5">
        <v>7</v>
      </c>
      <c r="S1289" s="5">
        <v>61</v>
      </c>
    </row>
    <row r="1290" spans="1:19" ht="28" x14ac:dyDescent="0.15">
      <c r="A1290" s="2">
        <f>HYPERLINK("https://open-school.uspishnemisto.com.ua/school/70435/", 70435)</f>
        <v>70435</v>
      </c>
      <c r="B1290" s="3" t="s">
        <v>7037</v>
      </c>
      <c r="C1290" s="3" t="s">
        <v>31</v>
      </c>
      <c r="D1290" s="3" t="s">
        <v>32</v>
      </c>
      <c r="E1290" s="4" t="s">
        <v>22</v>
      </c>
      <c r="F1290" s="4" t="s">
        <v>7038</v>
      </c>
      <c r="G1290" s="4" t="s">
        <v>7039</v>
      </c>
      <c r="H1290" s="3" t="s">
        <v>4839</v>
      </c>
      <c r="I1290" s="3" t="s">
        <v>7040</v>
      </c>
      <c r="J1290" s="3" t="s">
        <v>866</v>
      </c>
      <c r="K1290" s="3" t="s">
        <v>7041</v>
      </c>
      <c r="L1290" s="3" t="s">
        <v>7042</v>
      </c>
      <c r="M1290" s="4"/>
      <c r="N1290" s="3" t="s">
        <v>37</v>
      </c>
      <c r="O1290" s="3" t="s">
        <v>52</v>
      </c>
      <c r="P1290" s="5">
        <v>11</v>
      </c>
      <c r="Q1290" s="5">
        <v>143</v>
      </c>
      <c r="R1290" s="5">
        <v>11</v>
      </c>
      <c r="S1290" s="5">
        <v>153</v>
      </c>
    </row>
    <row r="1291" spans="1:19" ht="28" x14ac:dyDescent="0.15">
      <c r="A1291" s="2">
        <f>HYPERLINK("https://open-school.uspishnemisto.com.ua/school/70436/", 70436)</f>
        <v>70436</v>
      </c>
      <c r="B1291" s="3" t="s">
        <v>7043</v>
      </c>
      <c r="C1291" s="3" t="s">
        <v>31</v>
      </c>
      <c r="D1291" s="3" t="s">
        <v>60</v>
      </c>
      <c r="E1291" s="4" t="s">
        <v>22</v>
      </c>
      <c r="F1291" s="4" t="s">
        <v>7038</v>
      </c>
      <c r="G1291" s="4" t="s">
        <v>7044</v>
      </c>
      <c r="H1291" s="3" t="s">
        <v>4839</v>
      </c>
      <c r="I1291" s="3" t="s">
        <v>7045</v>
      </c>
      <c r="J1291" s="3" t="s">
        <v>7046</v>
      </c>
      <c r="K1291" s="3"/>
      <c r="L1291" s="3"/>
      <c r="M1291" s="4"/>
      <c r="N1291" s="3" t="s">
        <v>37</v>
      </c>
      <c r="O1291" s="3" t="s">
        <v>52</v>
      </c>
      <c r="P1291" s="5">
        <v>3</v>
      </c>
      <c r="Q1291" s="5">
        <v>32</v>
      </c>
      <c r="R1291" s="5">
        <v>4</v>
      </c>
      <c r="S1291" s="5">
        <v>34</v>
      </c>
    </row>
    <row r="1292" spans="1:19" ht="28" x14ac:dyDescent="0.15">
      <c r="A1292" s="2">
        <f>HYPERLINK("https://open-school.uspishnemisto.com.ua/school/70437/", 70437)</f>
        <v>70437</v>
      </c>
      <c r="B1292" s="3" t="s">
        <v>7047</v>
      </c>
      <c r="C1292" s="3" t="s">
        <v>31</v>
      </c>
      <c r="D1292" s="3" t="s">
        <v>32</v>
      </c>
      <c r="E1292" s="4" t="s">
        <v>22</v>
      </c>
      <c r="F1292" s="4" t="s">
        <v>7048</v>
      </c>
      <c r="G1292" s="4" t="s">
        <v>7049</v>
      </c>
      <c r="H1292" s="3" t="s">
        <v>4839</v>
      </c>
      <c r="I1292" s="3" t="s">
        <v>7050</v>
      </c>
      <c r="J1292" s="3" t="s">
        <v>3538</v>
      </c>
      <c r="K1292" s="3" t="s">
        <v>7051</v>
      </c>
      <c r="L1292" s="3" t="s">
        <v>7052</v>
      </c>
      <c r="M1292" s="4"/>
      <c r="N1292" s="3" t="s">
        <v>37</v>
      </c>
      <c r="O1292" s="3" t="s">
        <v>46</v>
      </c>
      <c r="P1292" s="5">
        <v>17</v>
      </c>
      <c r="Q1292" s="5">
        <v>351</v>
      </c>
      <c r="R1292" s="5">
        <v>16</v>
      </c>
      <c r="S1292" s="5">
        <v>329</v>
      </c>
    </row>
    <row r="1293" spans="1:19" ht="28" x14ac:dyDescent="0.15">
      <c r="A1293" s="2">
        <f>HYPERLINK("https://open-school.uspishnemisto.com.ua/school/70438/", 70438)</f>
        <v>70438</v>
      </c>
      <c r="B1293" s="3" t="s">
        <v>7053</v>
      </c>
      <c r="C1293" s="3" t="s">
        <v>31</v>
      </c>
      <c r="D1293" s="3" t="s">
        <v>32</v>
      </c>
      <c r="E1293" s="4" t="s">
        <v>22</v>
      </c>
      <c r="F1293" s="4" t="s">
        <v>7054</v>
      </c>
      <c r="G1293" s="4" t="s">
        <v>7055</v>
      </c>
      <c r="H1293" s="3" t="s">
        <v>4839</v>
      </c>
      <c r="I1293" s="3" t="s">
        <v>7056</v>
      </c>
      <c r="J1293" s="3" t="s">
        <v>7057</v>
      </c>
      <c r="K1293" s="3" t="s">
        <v>7058</v>
      </c>
      <c r="L1293" s="3"/>
      <c r="M1293" s="4"/>
      <c r="N1293" s="3" t="s">
        <v>37</v>
      </c>
      <c r="O1293" s="3" t="s">
        <v>70</v>
      </c>
      <c r="P1293" s="5">
        <v>11</v>
      </c>
      <c r="Q1293" s="5">
        <v>114</v>
      </c>
      <c r="R1293" s="5">
        <v>11</v>
      </c>
      <c r="S1293" s="5">
        <v>125</v>
      </c>
    </row>
    <row r="1294" spans="1:19" ht="28" x14ac:dyDescent="0.15">
      <c r="A1294" s="2">
        <f>HYPERLINK("https://open-school.uspishnemisto.com.ua/school/70439/", 70439)</f>
        <v>70439</v>
      </c>
      <c r="B1294" s="3" t="s">
        <v>7059</v>
      </c>
      <c r="C1294" s="3" t="s">
        <v>31</v>
      </c>
      <c r="D1294" s="3" t="s">
        <v>175</v>
      </c>
      <c r="E1294" s="4" t="s">
        <v>22</v>
      </c>
      <c r="F1294" s="4" t="s">
        <v>7060</v>
      </c>
      <c r="G1294" s="4" t="s">
        <v>7061</v>
      </c>
      <c r="H1294" s="3" t="s">
        <v>4839</v>
      </c>
      <c r="I1294" s="3" t="s">
        <v>7062</v>
      </c>
      <c r="J1294" s="3" t="s">
        <v>7063</v>
      </c>
      <c r="K1294" s="3" t="s">
        <v>7064</v>
      </c>
      <c r="L1294" s="3"/>
      <c r="M1294" s="4"/>
      <c r="N1294" s="3" t="s">
        <v>37</v>
      </c>
      <c r="O1294" s="3" t="s">
        <v>70</v>
      </c>
      <c r="P1294" s="5">
        <v>9</v>
      </c>
      <c r="Q1294" s="5">
        <v>78</v>
      </c>
      <c r="R1294" s="5">
        <v>9</v>
      </c>
      <c r="S1294" s="5">
        <v>80</v>
      </c>
    </row>
    <row r="1295" spans="1:19" ht="28" x14ac:dyDescent="0.15">
      <c r="A1295" s="2">
        <f>HYPERLINK("https://open-school.uspishnemisto.com.ua/school/70440/", 70440)</f>
        <v>70440</v>
      </c>
      <c r="B1295" s="3" t="s">
        <v>7065</v>
      </c>
      <c r="C1295" s="3" t="s">
        <v>31</v>
      </c>
      <c r="D1295" s="3" t="s">
        <v>32</v>
      </c>
      <c r="E1295" s="4" t="s">
        <v>22</v>
      </c>
      <c r="F1295" s="4" t="s">
        <v>7066</v>
      </c>
      <c r="G1295" s="4" t="s">
        <v>7067</v>
      </c>
      <c r="H1295" s="3" t="s">
        <v>4839</v>
      </c>
      <c r="I1295" s="3" t="s">
        <v>7068</v>
      </c>
      <c r="J1295" s="3" t="s">
        <v>7069</v>
      </c>
      <c r="K1295" s="3" t="s">
        <v>7070</v>
      </c>
      <c r="L1295" s="3" t="s">
        <v>7071</v>
      </c>
      <c r="M1295" s="4"/>
      <c r="N1295" s="3" t="s">
        <v>37</v>
      </c>
      <c r="O1295" s="3" t="s">
        <v>52</v>
      </c>
      <c r="P1295" s="5">
        <v>11</v>
      </c>
      <c r="Q1295" s="5">
        <v>132</v>
      </c>
      <c r="R1295" s="5">
        <v>11</v>
      </c>
      <c r="S1295" s="5">
        <v>141</v>
      </c>
    </row>
    <row r="1296" spans="1:19" ht="28" x14ac:dyDescent="0.15">
      <c r="A1296" s="2">
        <f>HYPERLINK("https://open-school.uspishnemisto.com.ua/school/70441/", 70441)</f>
        <v>70441</v>
      </c>
      <c r="B1296" s="3" t="s">
        <v>7072</v>
      </c>
      <c r="C1296" s="3" t="s">
        <v>31</v>
      </c>
      <c r="D1296" s="3" t="s">
        <v>175</v>
      </c>
      <c r="E1296" s="4" t="s">
        <v>22</v>
      </c>
      <c r="F1296" s="4" t="s">
        <v>7073</v>
      </c>
      <c r="G1296" s="4" t="s">
        <v>7074</v>
      </c>
      <c r="H1296" s="3" t="s">
        <v>4839</v>
      </c>
      <c r="I1296" s="3" t="s">
        <v>7075</v>
      </c>
      <c r="J1296" s="3" t="s">
        <v>466</v>
      </c>
      <c r="K1296" s="3" t="s">
        <v>7076</v>
      </c>
      <c r="L1296" s="3"/>
      <c r="M1296" s="4"/>
      <c r="N1296" s="3" t="s">
        <v>37</v>
      </c>
      <c r="O1296" s="3" t="s">
        <v>46</v>
      </c>
      <c r="P1296" s="5">
        <v>9</v>
      </c>
      <c r="Q1296" s="5">
        <v>102</v>
      </c>
      <c r="R1296" s="5">
        <v>9</v>
      </c>
      <c r="S1296" s="5">
        <v>103</v>
      </c>
    </row>
    <row r="1297" spans="1:19" ht="56" x14ac:dyDescent="0.15">
      <c r="A1297" s="2">
        <f>HYPERLINK("https://open-school.uspishnemisto.com.ua/school/70442/", 70442)</f>
        <v>70442</v>
      </c>
      <c r="B1297" s="3" t="s">
        <v>7077</v>
      </c>
      <c r="C1297" s="3" t="s">
        <v>31</v>
      </c>
      <c r="D1297" s="3" t="s">
        <v>175</v>
      </c>
      <c r="E1297" s="4" t="s">
        <v>22</v>
      </c>
      <c r="F1297" s="4" t="s">
        <v>7078</v>
      </c>
      <c r="G1297" s="4" t="s">
        <v>7079</v>
      </c>
      <c r="H1297" s="3" t="s">
        <v>4839</v>
      </c>
      <c r="I1297" s="3" t="s">
        <v>7080</v>
      </c>
      <c r="J1297" s="3" t="s">
        <v>634</v>
      </c>
      <c r="K1297" s="3"/>
      <c r="L1297" s="3"/>
      <c r="M1297" s="4"/>
      <c r="N1297" s="3" t="s">
        <v>37</v>
      </c>
      <c r="O1297" s="3" t="s">
        <v>52</v>
      </c>
      <c r="P1297" s="5">
        <v>0</v>
      </c>
      <c r="Q1297" s="5">
        <v>0</v>
      </c>
      <c r="R1297" s="5">
        <v>1</v>
      </c>
      <c r="S1297" s="5">
        <v>26</v>
      </c>
    </row>
    <row r="1298" spans="1:19" ht="28" x14ac:dyDescent="0.15">
      <c r="A1298" s="2">
        <f>HYPERLINK("https://open-school.uspishnemisto.com.ua/school/70443/", 70443)</f>
        <v>70443</v>
      </c>
      <c r="B1298" s="3" t="s">
        <v>7081</v>
      </c>
      <c r="C1298" s="3" t="s">
        <v>31</v>
      </c>
      <c r="D1298" s="3" t="s">
        <v>32</v>
      </c>
      <c r="E1298" s="4" t="s">
        <v>22</v>
      </c>
      <c r="F1298" s="4" t="s">
        <v>7082</v>
      </c>
      <c r="G1298" s="4" t="s">
        <v>7083</v>
      </c>
      <c r="H1298" s="3" t="s">
        <v>4839</v>
      </c>
      <c r="I1298" s="3" t="s">
        <v>7084</v>
      </c>
      <c r="J1298" s="3" t="s">
        <v>7085</v>
      </c>
      <c r="K1298" s="3" t="s">
        <v>7086</v>
      </c>
      <c r="L1298" s="3"/>
      <c r="M1298" s="4"/>
      <c r="N1298" s="3" t="s">
        <v>37</v>
      </c>
      <c r="O1298" s="3" t="s">
        <v>46</v>
      </c>
      <c r="P1298" s="5">
        <v>19</v>
      </c>
      <c r="Q1298" s="5">
        <v>431</v>
      </c>
      <c r="R1298" s="5">
        <v>18</v>
      </c>
      <c r="S1298" s="5">
        <v>422</v>
      </c>
    </row>
    <row r="1299" spans="1:19" ht="28" x14ac:dyDescent="0.15">
      <c r="A1299" s="2">
        <f>HYPERLINK("https://open-school.uspishnemisto.com.ua/school/70444/", 70444)</f>
        <v>70444</v>
      </c>
      <c r="B1299" s="3" t="s">
        <v>7087</v>
      </c>
      <c r="C1299" s="3" t="s">
        <v>31</v>
      </c>
      <c r="D1299" s="3" t="s">
        <v>60</v>
      </c>
      <c r="E1299" s="4" t="s">
        <v>22</v>
      </c>
      <c r="F1299" s="4" t="s">
        <v>7082</v>
      </c>
      <c r="G1299" s="4" t="s">
        <v>7088</v>
      </c>
      <c r="H1299" s="3" t="s">
        <v>4839</v>
      </c>
      <c r="I1299" s="3" t="s">
        <v>7089</v>
      </c>
      <c r="J1299" s="3" t="s">
        <v>2434</v>
      </c>
      <c r="K1299" s="3" t="s">
        <v>7090</v>
      </c>
      <c r="L1299" s="3"/>
      <c r="M1299" s="4"/>
      <c r="N1299" s="3" t="s">
        <v>37</v>
      </c>
      <c r="O1299" s="3" t="s">
        <v>52</v>
      </c>
      <c r="P1299" s="5">
        <v>2</v>
      </c>
      <c r="Q1299" s="5">
        <v>15</v>
      </c>
      <c r="R1299" s="5">
        <v>2</v>
      </c>
      <c r="S1299" s="5">
        <v>14</v>
      </c>
    </row>
    <row r="1300" spans="1:19" ht="28" x14ac:dyDescent="0.15">
      <c r="A1300" s="2">
        <f>HYPERLINK("https://open-school.uspishnemisto.com.ua/school/70445/", 70445)</f>
        <v>70445</v>
      </c>
      <c r="B1300" s="3" t="s">
        <v>7091</v>
      </c>
      <c r="C1300" s="3" t="s">
        <v>54</v>
      </c>
      <c r="D1300" s="3" t="s">
        <v>32</v>
      </c>
      <c r="E1300" s="4" t="s">
        <v>22</v>
      </c>
      <c r="F1300" s="4" t="s">
        <v>7092</v>
      </c>
      <c r="G1300" s="4" t="s">
        <v>7093</v>
      </c>
      <c r="H1300" s="3" t="s">
        <v>4839</v>
      </c>
      <c r="I1300" s="3" t="s">
        <v>7094</v>
      </c>
      <c r="J1300" s="3" t="s">
        <v>7095</v>
      </c>
      <c r="K1300" s="3" t="s">
        <v>7096</v>
      </c>
      <c r="L1300" s="3" t="s">
        <v>7097</v>
      </c>
      <c r="M1300" s="4"/>
      <c r="N1300" s="3" t="s">
        <v>37</v>
      </c>
      <c r="O1300" s="3" t="s">
        <v>52</v>
      </c>
      <c r="P1300" s="5">
        <v>20</v>
      </c>
      <c r="Q1300" s="5">
        <v>337</v>
      </c>
      <c r="R1300" s="5">
        <v>20</v>
      </c>
      <c r="S1300" s="5">
        <v>336</v>
      </c>
    </row>
    <row r="1301" spans="1:19" ht="28" x14ac:dyDescent="0.15">
      <c r="A1301" s="2">
        <f>HYPERLINK("https://open-school.uspishnemisto.com.ua/school/70446/", 70446)</f>
        <v>70446</v>
      </c>
      <c r="B1301" s="3" t="s">
        <v>7098</v>
      </c>
      <c r="C1301" s="3" t="s">
        <v>31</v>
      </c>
      <c r="D1301" s="3" t="s">
        <v>175</v>
      </c>
      <c r="E1301" s="4" t="s">
        <v>22</v>
      </c>
      <c r="F1301" s="4" t="s">
        <v>7099</v>
      </c>
      <c r="G1301" s="4" t="s">
        <v>7100</v>
      </c>
      <c r="H1301" s="3" t="s">
        <v>4839</v>
      </c>
      <c r="I1301" s="3" t="s">
        <v>7101</v>
      </c>
      <c r="J1301" s="3" t="s">
        <v>466</v>
      </c>
      <c r="K1301" s="3"/>
      <c r="L1301" s="3"/>
      <c r="M1301" s="4"/>
      <c r="N1301" s="3" t="s">
        <v>37</v>
      </c>
      <c r="O1301" s="3" t="s">
        <v>52</v>
      </c>
      <c r="P1301" s="5">
        <v>9</v>
      </c>
      <c r="Q1301" s="5">
        <v>64</v>
      </c>
      <c r="R1301" s="5">
        <v>7</v>
      </c>
      <c r="S1301" s="5">
        <v>59</v>
      </c>
    </row>
    <row r="1302" spans="1:19" ht="56" x14ac:dyDescent="0.15">
      <c r="A1302" s="2">
        <f>HYPERLINK("https://open-school.uspishnemisto.com.ua/school/70447/", 70447)</f>
        <v>70447</v>
      </c>
      <c r="B1302" s="3" t="s">
        <v>7102</v>
      </c>
      <c r="C1302" s="3" t="s">
        <v>31</v>
      </c>
      <c r="D1302" s="3" t="s">
        <v>175</v>
      </c>
      <c r="E1302" s="4" t="s">
        <v>22</v>
      </c>
      <c r="F1302" s="4" t="s">
        <v>7103</v>
      </c>
      <c r="G1302" s="4" t="s">
        <v>7104</v>
      </c>
      <c r="H1302" s="3" t="s">
        <v>4839</v>
      </c>
      <c r="I1302" s="3" t="s">
        <v>7105</v>
      </c>
      <c r="J1302" s="3" t="s">
        <v>2253</v>
      </c>
      <c r="K1302" s="3" t="s">
        <v>7106</v>
      </c>
      <c r="L1302" s="3" t="s">
        <v>7107</v>
      </c>
      <c r="M1302" s="4"/>
      <c r="N1302" s="3" t="s">
        <v>37</v>
      </c>
      <c r="O1302" s="3" t="s">
        <v>52</v>
      </c>
      <c r="P1302" s="5">
        <v>0</v>
      </c>
      <c r="Q1302" s="5">
        <v>0</v>
      </c>
      <c r="R1302" s="5">
        <v>9</v>
      </c>
      <c r="S1302" s="5">
        <v>127</v>
      </c>
    </row>
    <row r="1303" spans="1:19" ht="28" x14ac:dyDescent="0.15">
      <c r="A1303" s="2">
        <f>HYPERLINK("https://open-school.uspishnemisto.com.ua/school/70448/", 70448)</f>
        <v>70448</v>
      </c>
      <c r="B1303" s="3" t="s">
        <v>7108</v>
      </c>
      <c r="C1303" s="3" t="s">
        <v>31</v>
      </c>
      <c r="D1303" s="3" t="s">
        <v>60</v>
      </c>
      <c r="E1303" s="4" t="s">
        <v>22</v>
      </c>
      <c r="F1303" s="4" t="s">
        <v>7109</v>
      </c>
      <c r="G1303" s="4" t="s">
        <v>7110</v>
      </c>
      <c r="H1303" s="3" t="s">
        <v>4839</v>
      </c>
      <c r="I1303" s="3" t="s">
        <v>7111</v>
      </c>
      <c r="J1303" s="3" t="s">
        <v>7112</v>
      </c>
      <c r="K1303" s="3" t="s">
        <v>7113</v>
      </c>
      <c r="L1303" s="3"/>
      <c r="M1303" s="4"/>
      <c r="N1303" s="3" t="s">
        <v>37</v>
      </c>
      <c r="O1303" s="3" t="s">
        <v>52</v>
      </c>
      <c r="P1303" s="5">
        <v>0</v>
      </c>
      <c r="Q1303" s="5">
        <v>0</v>
      </c>
      <c r="R1303" s="5">
        <v>1</v>
      </c>
      <c r="S1303" s="5">
        <v>17</v>
      </c>
    </row>
    <row r="1304" spans="1:19" ht="28" x14ac:dyDescent="0.15">
      <c r="A1304" s="2">
        <f>HYPERLINK("https://open-school.uspishnemisto.com.ua/school/70449/", 70449)</f>
        <v>70449</v>
      </c>
      <c r="B1304" s="3" t="s">
        <v>7114</v>
      </c>
      <c r="C1304" s="3" t="s">
        <v>31</v>
      </c>
      <c r="D1304" s="3" t="s">
        <v>175</v>
      </c>
      <c r="E1304" s="4" t="s">
        <v>22</v>
      </c>
      <c r="F1304" s="4" t="s">
        <v>7115</v>
      </c>
      <c r="G1304" s="4" t="s">
        <v>7116</v>
      </c>
      <c r="H1304" s="3" t="s">
        <v>4839</v>
      </c>
      <c r="I1304" s="3" t="s">
        <v>7117</v>
      </c>
      <c r="J1304" s="3" t="s">
        <v>7118</v>
      </c>
      <c r="K1304" s="3" t="s">
        <v>7119</v>
      </c>
      <c r="L1304" s="3" t="s">
        <v>7120</v>
      </c>
      <c r="M1304" s="4"/>
      <c r="N1304" s="3" t="s">
        <v>37</v>
      </c>
      <c r="O1304" s="3" t="s">
        <v>38</v>
      </c>
      <c r="P1304" s="5">
        <v>9</v>
      </c>
      <c r="Q1304" s="5">
        <v>86</v>
      </c>
      <c r="R1304" s="5">
        <v>9</v>
      </c>
      <c r="S1304" s="5">
        <v>79</v>
      </c>
    </row>
    <row r="1305" spans="1:19" ht="28" x14ac:dyDescent="0.15">
      <c r="A1305" s="2">
        <f>HYPERLINK("https://open-school.uspishnemisto.com.ua/school/70450/", 70450)</f>
        <v>70450</v>
      </c>
      <c r="B1305" s="3" t="s">
        <v>7121</v>
      </c>
      <c r="C1305" s="3" t="s">
        <v>31</v>
      </c>
      <c r="D1305" s="3" t="s">
        <v>175</v>
      </c>
      <c r="E1305" s="4" t="s">
        <v>22</v>
      </c>
      <c r="F1305" s="4" t="s">
        <v>7122</v>
      </c>
      <c r="G1305" s="4" t="s">
        <v>7123</v>
      </c>
      <c r="H1305" s="3" t="s">
        <v>4839</v>
      </c>
      <c r="I1305" s="3" t="s">
        <v>7124</v>
      </c>
      <c r="J1305" s="3" t="s">
        <v>466</v>
      </c>
      <c r="K1305" s="3" t="s">
        <v>7125</v>
      </c>
      <c r="L1305" s="3" t="s">
        <v>7126</v>
      </c>
      <c r="M1305" s="4"/>
      <c r="N1305" s="3" t="s">
        <v>37</v>
      </c>
      <c r="O1305" s="3" t="s">
        <v>52</v>
      </c>
      <c r="P1305" s="5">
        <v>9</v>
      </c>
      <c r="Q1305" s="5">
        <v>81</v>
      </c>
      <c r="R1305" s="5">
        <v>9</v>
      </c>
      <c r="S1305" s="5">
        <v>76</v>
      </c>
    </row>
    <row r="1306" spans="1:19" ht="42" x14ac:dyDescent="0.15">
      <c r="A1306" s="2">
        <f>HYPERLINK("https://open-school.uspishnemisto.com.ua/school/70451/", 70451)</f>
        <v>70451</v>
      </c>
      <c r="B1306" s="3" t="s">
        <v>7127</v>
      </c>
      <c r="C1306" s="3" t="s">
        <v>31</v>
      </c>
      <c r="D1306" s="3" t="s">
        <v>32</v>
      </c>
      <c r="E1306" s="4" t="s">
        <v>22</v>
      </c>
      <c r="F1306" s="4" t="s">
        <v>7128</v>
      </c>
      <c r="G1306" s="4" t="s">
        <v>7129</v>
      </c>
      <c r="H1306" s="3" t="s">
        <v>4839</v>
      </c>
      <c r="I1306" s="3" t="s">
        <v>7130</v>
      </c>
      <c r="J1306" s="3" t="s">
        <v>7131</v>
      </c>
      <c r="K1306" s="3" t="s">
        <v>7132</v>
      </c>
      <c r="L1306" s="3" t="s">
        <v>7133</v>
      </c>
      <c r="M1306" s="4"/>
      <c r="N1306" s="3" t="s">
        <v>37</v>
      </c>
      <c r="O1306" s="3" t="s">
        <v>70</v>
      </c>
      <c r="P1306" s="5">
        <v>16</v>
      </c>
      <c r="Q1306" s="5">
        <v>212</v>
      </c>
      <c r="R1306" s="5">
        <v>11</v>
      </c>
      <c r="S1306" s="5">
        <v>153</v>
      </c>
    </row>
    <row r="1307" spans="1:19" ht="28" x14ac:dyDescent="0.15">
      <c r="A1307" s="2">
        <f>HYPERLINK("https://open-school.uspishnemisto.com.ua/school/70452/", 70452)</f>
        <v>70452</v>
      </c>
      <c r="B1307" s="3" t="s">
        <v>7134</v>
      </c>
      <c r="C1307" s="3" t="s">
        <v>31</v>
      </c>
      <c r="D1307" s="3" t="s">
        <v>32</v>
      </c>
      <c r="E1307" s="4" t="s">
        <v>22</v>
      </c>
      <c r="F1307" s="4" t="s">
        <v>7135</v>
      </c>
      <c r="G1307" s="4" t="s">
        <v>7136</v>
      </c>
      <c r="H1307" s="3" t="s">
        <v>4839</v>
      </c>
      <c r="I1307" s="3" t="s">
        <v>7137</v>
      </c>
      <c r="J1307" s="3" t="s">
        <v>1636</v>
      </c>
      <c r="K1307" s="3" t="s">
        <v>7138</v>
      </c>
      <c r="L1307" s="3"/>
      <c r="M1307" s="4"/>
      <c r="N1307" s="3" t="s">
        <v>37</v>
      </c>
      <c r="O1307" s="3" t="s">
        <v>52</v>
      </c>
      <c r="P1307" s="5">
        <v>11</v>
      </c>
      <c r="Q1307" s="5">
        <v>160</v>
      </c>
      <c r="R1307" s="5">
        <v>11</v>
      </c>
      <c r="S1307" s="5">
        <v>167</v>
      </c>
    </row>
    <row r="1308" spans="1:19" ht="28" x14ac:dyDescent="0.15">
      <c r="A1308" s="2">
        <f>HYPERLINK("https://open-school.uspishnemisto.com.ua/school/70453/", 70453)</f>
        <v>70453</v>
      </c>
      <c r="B1308" s="3" t="s">
        <v>7139</v>
      </c>
      <c r="C1308" s="3" t="s">
        <v>31</v>
      </c>
      <c r="D1308" s="3" t="s">
        <v>32</v>
      </c>
      <c r="E1308" s="4" t="s">
        <v>22</v>
      </c>
      <c r="F1308" s="4" t="s">
        <v>7140</v>
      </c>
      <c r="G1308" s="4" t="s">
        <v>7141</v>
      </c>
      <c r="H1308" s="3" t="s">
        <v>4839</v>
      </c>
      <c r="I1308" s="3" t="s">
        <v>7142</v>
      </c>
      <c r="J1308" s="3" t="s">
        <v>7143</v>
      </c>
      <c r="K1308" s="3" t="s">
        <v>7144</v>
      </c>
      <c r="L1308" s="3"/>
      <c r="M1308" s="4"/>
      <c r="N1308" s="3" t="s">
        <v>37</v>
      </c>
      <c r="O1308" s="3" t="s">
        <v>70</v>
      </c>
      <c r="P1308" s="5">
        <v>19</v>
      </c>
      <c r="Q1308" s="5">
        <v>352</v>
      </c>
      <c r="R1308" s="5">
        <v>18</v>
      </c>
      <c r="S1308" s="5">
        <v>326</v>
      </c>
    </row>
    <row r="1309" spans="1:19" ht="28" x14ac:dyDescent="0.15">
      <c r="A1309" s="2">
        <f>HYPERLINK("https://open-school.uspishnemisto.com.ua/school/70454/", 70454)</f>
        <v>70454</v>
      </c>
      <c r="B1309" s="3" t="s">
        <v>7145</v>
      </c>
      <c r="C1309" s="3" t="s">
        <v>31</v>
      </c>
      <c r="D1309" s="3" t="s">
        <v>175</v>
      </c>
      <c r="E1309" s="4" t="s">
        <v>22</v>
      </c>
      <c r="F1309" s="4" t="s">
        <v>7146</v>
      </c>
      <c r="G1309" s="4" t="s">
        <v>7147</v>
      </c>
      <c r="H1309" s="3" t="s">
        <v>4839</v>
      </c>
      <c r="I1309" s="3" t="s">
        <v>7148</v>
      </c>
      <c r="J1309" s="3" t="s">
        <v>7149</v>
      </c>
      <c r="K1309" s="3" t="s">
        <v>7150</v>
      </c>
      <c r="L1309" s="3"/>
      <c r="M1309" s="4"/>
      <c r="N1309" s="3" t="s">
        <v>37</v>
      </c>
      <c r="O1309" s="3" t="s">
        <v>52</v>
      </c>
      <c r="P1309" s="5">
        <v>7</v>
      </c>
      <c r="Q1309" s="5">
        <v>55</v>
      </c>
      <c r="R1309" s="5">
        <v>7</v>
      </c>
      <c r="S1309" s="5">
        <v>54</v>
      </c>
    </row>
    <row r="1310" spans="1:19" ht="28" x14ac:dyDescent="0.15">
      <c r="A1310" s="2">
        <f>HYPERLINK("https://open-school.uspishnemisto.com.ua/school/70455/", 70455)</f>
        <v>70455</v>
      </c>
      <c r="B1310" s="3" t="s">
        <v>7151</v>
      </c>
      <c r="C1310" s="3" t="s">
        <v>31</v>
      </c>
      <c r="D1310" s="3" t="s">
        <v>32</v>
      </c>
      <c r="E1310" s="4" t="s">
        <v>22</v>
      </c>
      <c r="F1310" s="4" t="s">
        <v>7152</v>
      </c>
      <c r="G1310" s="4" t="s">
        <v>7153</v>
      </c>
      <c r="H1310" s="3" t="s">
        <v>4839</v>
      </c>
      <c r="I1310" s="3" t="s">
        <v>7154</v>
      </c>
      <c r="J1310" s="3" t="s">
        <v>7155</v>
      </c>
      <c r="K1310" s="3" t="s">
        <v>7156</v>
      </c>
      <c r="L1310" s="3"/>
      <c r="M1310" s="4"/>
      <c r="N1310" s="3" t="s">
        <v>37</v>
      </c>
      <c r="O1310" s="3" t="s">
        <v>46</v>
      </c>
      <c r="P1310" s="5">
        <v>11</v>
      </c>
      <c r="Q1310" s="5">
        <v>132</v>
      </c>
      <c r="R1310" s="5">
        <v>10</v>
      </c>
      <c r="S1310" s="5">
        <v>130</v>
      </c>
    </row>
    <row r="1311" spans="1:19" ht="28" x14ac:dyDescent="0.15">
      <c r="A1311" s="2">
        <f>HYPERLINK("https://open-school.uspishnemisto.com.ua/school/70456/", 70456)</f>
        <v>70456</v>
      </c>
      <c r="B1311" s="3" t="s">
        <v>7157</v>
      </c>
      <c r="C1311" s="3" t="s">
        <v>31</v>
      </c>
      <c r="D1311" s="3" t="s">
        <v>175</v>
      </c>
      <c r="E1311" s="4" t="s">
        <v>22</v>
      </c>
      <c r="F1311" s="4" t="s">
        <v>7158</v>
      </c>
      <c r="G1311" s="4" t="s">
        <v>7159</v>
      </c>
      <c r="H1311" s="3" t="s">
        <v>4839</v>
      </c>
      <c r="I1311" s="3" t="s">
        <v>7160</v>
      </c>
      <c r="J1311" s="3" t="s">
        <v>7035</v>
      </c>
      <c r="K1311" s="3" t="s">
        <v>7161</v>
      </c>
      <c r="L1311" s="3"/>
      <c r="M1311" s="4"/>
      <c r="N1311" s="3" t="s">
        <v>37</v>
      </c>
      <c r="O1311" s="3" t="s">
        <v>46</v>
      </c>
      <c r="P1311" s="5">
        <v>6</v>
      </c>
      <c r="Q1311" s="5">
        <v>38</v>
      </c>
      <c r="R1311" s="5">
        <v>6</v>
      </c>
      <c r="S1311" s="5">
        <v>42</v>
      </c>
    </row>
    <row r="1312" spans="1:19" ht="42" x14ac:dyDescent="0.15">
      <c r="A1312" s="2">
        <f>HYPERLINK("https://open-school.uspishnemisto.com.ua/school/70457/", 70457)</f>
        <v>70457</v>
      </c>
      <c r="B1312" s="3" t="s">
        <v>7162</v>
      </c>
      <c r="C1312" s="3" t="s">
        <v>31</v>
      </c>
      <c r="D1312" s="3" t="s">
        <v>32</v>
      </c>
      <c r="E1312" s="4" t="s">
        <v>22</v>
      </c>
      <c r="F1312" s="4" t="s">
        <v>7163</v>
      </c>
      <c r="G1312" s="4" t="s">
        <v>7164</v>
      </c>
      <c r="H1312" s="3" t="s">
        <v>4839</v>
      </c>
      <c r="I1312" s="3" t="s">
        <v>7165</v>
      </c>
      <c r="J1312" s="3" t="s">
        <v>7166</v>
      </c>
      <c r="K1312" s="3" t="s">
        <v>7167</v>
      </c>
      <c r="L1312" s="3"/>
      <c r="M1312" s="4"/>
      <c r="N1312" s="3" t="s">
        <v>37</v>
      </c>
      <c r="O1312" s="3" t="s">
        <v>46</v>
      </c>
      <c r="P1312" s="5">
        <v>0</v>
      </c>
      <c r="Q1312" s="5">
        <v>0</v>
      </c>
      <c r="R1312" s="5">
        <v>5</v>
      </c>
      <c r="S1312" s="5">
        <v>37</v>
      </c>
    </row>
    <row r="1313" spans="1:19" ht="28" x14ac:dyDescent="0.15">
      <c r="A1313" s="2">
        <f>HYPERLINK("https://open-school.uspishnemisto.com.ua/school/70458/", 70458)</f>
        <v>70458</v>
      </c>
      <c r="B1313" s="3" t="s">
        <v>7168</v>
      </c>
      <c r="C1313" s="3" t="s">
        <v>31</v>
      </c>
      <c r="D1313" s="3" t="s">
        <v>175</v>
      </c>
      <c r="E1313" s="4" t="s">
        <v>22</v>
      </c>
      <c r="F1313" s="4" t="s">
        <v>7169</v>
      </c>
      <c r="G1313" s="4" t="s">
        <v>7170</v>
      </c>
      <c r="H1313" s="3" t="s">
        <v>4839</v>
      </c>
      <c r="I1313" s="3" t="s">
        <v>7171</v>
      </c>
      <c r="J1313" s="3" t="s">
        <v>7172</v>
      </c>
      <c r="K1313" s="3" t="s">
        <v>7173</v>
      </c>
      <c r="L1313" s="3"/>
      <c r="M1313" s="4"/>
      <c r="N1313" s="3" t="s">
        <v>37</v>
      </c>
      <c r="O1313" s="3" t="s">
        <v>52</v>
      </c>
      <c r="P1313" s="5">
        <v>12</v>
      </c>
      <c r="Q1313" s="5">
        <v>243</v>
      </c>
      <c r="R1313" s="5">
        <v>12</v>
      </c>
      <c r="S1313" s="5">
        <v>246</v>
      </c>
    </row>
    <row r="1314" spans="1:19" ht="28" x14ac:dyDescent="0.15">
      <c r="A1314" s="2">
        <f>HYPERLINK("https://open-school.uspishnemisto.com.ua/school/70459/", 70459)</f>
        <v>70459</v>
      </c>
      <c r="B1314" s="3" t="s">
        <v>7174</v>
      </c>
      <c r="C1314" s="3" t="s">
        <v>31</v>
      </c>
      <c r="D1314" s="3" t="s">
        <v>175</v>
      </c>
      <c r="E1314" s="4" t="s">
        <v>22</v>
      </c>
      <c r="F1314" s="4" t="s">
        <v>7169</v>
      </c>
      <c r="G1314" s="4" t="s">
        <v>7175</v>
      </c>
      <c r="H1314" s="3" t="s">
        <v>4839</v>
      </c>
      <c r="I1314" s="3" t="s">
        <v>7176</v>
      </c>
      <c r="J1314" s="3" t="s">
        <v>2063</v>
      </c>
      <c r="K1314" s="3" t="s">
        <v>7177</v>
      </c>
      <c r="L1314" s="3"/>
      <c r="M1314" s="4"/>
      <c r="N1314" s="3" t="s">
        <v>37</v>
      </c>
      <c r="O1314" s="3" t="s">
        <v>52</v>
      </c>
      <c r="P1314" s="5">
        <v>9</v>
      </c>
      <c r="Q1314" s="5">
        <v>79</v>
      </c>
      <c r="R1314" s="5">
        <v>9</v>
      </c>
      <c r="S1314" s="5">
        <v>79</v>
      </c>
    </row>
    <row r="1315" spans="1:19" ht="28" x14ac:dyDescent="0.15">
      <c r="A1315" s="2">
        <f>HYPERLINK("https://open-school.uspishnemisto.com.ua/school/70460/", 70460)</f>
        <v>70460</v>
      </c>
      <c r="B1315" s="3" t="s">
        <v>7178</v>
      </c>
      <c r="C1315" s="3" t="s">
        <v>31</v>
      </c>
      <c r="D1315" s="3" t="s">
        <v>175</v>
      </c>
      <c r="E1315" s="4" t="s">
        <v>22</v>
      </c>
      <c r="F1315" s="4" t="s">
        <v>7179</v>
      </c>
      <c r="G1315" s="4" t="s">
        <v>7180</v>
      </c>
      <c r="H1315" s="3" t="s">
        <v>4839</v>
      </c>
      <c r="I1315" s="3" t="s">
        <v>7181</v>
      </c>
      <c r="J1315" s="3" t="s">
        <v>2476</v>
      </c>
      <c r="K1315" s="3" t="s">
        <v>7182</v>
      </c>
      <c r="L1315" s="3" t="s">
        <v>7183</v>
      </c>
      <c r="M1315" s="4"/>
      <c r="N1315" s="3" t="s">
        <v>37</v>
      </c>
      <c r="O1315" s="3" t="s">
        <v>46</v>
      </c>
      <c r="P1315" s="5">
        <v>9</v>
      </c>
      <c r="Q1315" s="5">
        <v>107</v>
      </c>
      <c r="R1315" s="5">
        <v>9</v>
      </c>
      <c r="S1315" s="5">
        <v>110</v>
      </c>
    </row>
    <row r="1316" spans="1:19" ht="28" x14ac:dyDescent="0.15">
      <c r="A1316" s="2">
        <f>HYPERLINK("https://open-school.uspishnemisto.com.ua/school/70461/", 70461)</f>
        <v>70461</v>
      </c>
      <c r="B1316" s="3" t="s">
        <v>7184</v>
      </c>
      <c r="C1316" s="3" t="s">
        <v>31</v>
      </c>
      <c r="D1316" s="3" t="s">
        <v>32</v>
      </c>
      <c r="E1316" s="4" t="s">
        <v>22</v>
      </c>
      <c r="F1316" s="4" t="s">
        <v>7185</v>
      </c>
      <c r="G1316" s="4" t="s">
        <v>7186</v>
      </c>
      <c r="H1316" s="3" t="s">
        <v>4839</v>
      </c>
      <c r="I1316" s="3" t="s">
        <v>7187</v>
      </c>
      <c r="J1316" s="3" t="s">
        <v>7188</v>
      </c>
      <c r="K1316" s="3" t="s">
        <v>7189</v>
      </c>
      <c r="L1316" s="3" t="s">
        <v>7190</v>
      </c>
      <c r="M1316" s="4"/>
      <c r="N1316" s="3" t="s">
        <v>37</v>
      </c>
      <c r="O1316" s="3" t="s">
        <v>52</v>
      </c>
      <c r="P1316" s="5">
        <v>25</v>
      </c>
      <c r="Q1316" s="5">
        <v>529</v>
      </c>
      <c r="R1316" s="5">
        <v>25</v>
      </c>
      <c r="S1316" s="5">
        <v>508</v>
      </c>
    </row>
    <row r="1317" spans="1:19" ht="28" x14ac:dyDescent="0.15">
      <c r="A1317" s="2">
        <f>HYPERLINK("https://open-school.uspishnemisto.com.ua/school/70462/", 70462)</f>
        <v>70462</v>
      </c>
      <c r="B1317" s="3" t="s">
        <v>7191</v>
      </c>
      <c r="C1317" s="3" t="s">
        <v>31</v>
      </c>
      <c r="D1317" s="3" t="s">
        <v>32</v>
      </c>
      <c r="E1317" s="4" t="s">
        <v>22</v>
      </c>
      <c r="F1317" s="4" t="s">
        <v>7185</v>
      </c>
      <c r="G1317" s="4" t="s">
        <v>7186</v>
      </c>
      <c r="H1317" s="3" t="s">
        <v>4839</v>
      </c>
      <c r="I1317" s="3" t="s">
        <v>7187</v>
      </c>
      <c r="J1317" s="3" t="s">
        <v>7192</v>
      </c>
      <c r="K1317" s="3" t="s">
        <v>7193</v>
      </c>
      <c r="L1317" s="3"/>
      <c r="M1317" s="4"/>
      <c r="N1317" s="3" t="s">
        <v>37</v>
      </c>
      <c r="O1317" s="3" t="s">
        <v>52</v>
      </c>
      <c r="P1317" s="5">
        <v>22</v>
      </c>
      <c r="Q1317" s="5">
        <v>541</v>
      </c>
      <c r="R1317" s="5">
        <v>21</v>
      </c>
      <c r="S1317" s="5">
        <v>537</v>
      </c>
    </row>
    <row r="1318" spans="1:19" ht="56" x14ac:dyDescent="0.15">
      <c r="A1318" s="2">
        <f>HYPERLINK("https://open-school.uspishnemisto.com.ua/school/70463/", 70463)</f>
        <v>70463</v>
      </c>
      <c r="B1318" s="3" t="s">
        <v>7194</v>
      </c>
      <c r="C1318" s="3" t="s">
        <v>40</v>
      </c>
      <c r="D1318" s="3" t="s">
        <v>32</v>
      </c>
      <c r="E1318" s="4" t="s">
        <v>22</v>
      </c>
      <c r="F1318" s="4" t="s">
        <v>7185</v>
      </c>
      <c r="G1318" s="4" t="s">
        <v>7186</v>
      </c>
      <c r="H1318" s="3" t="s">
        <v>4839</v>
      </c>
      <c r="I1318" s="3" t="s">
        <v>7187</v>
      </c>
      <c r="J1318" s="3" t="s">
        <v>946</v>
      </c>
      <c r="K1318" s="3" t="s">
        <v>7195</v>
      </c>
      <c r="L1318" s="3" t="s">
        <v>7196</v>
      </c>
      <c r="M1318" s="4"/>
      <c r="N1318" s="3" t="s">
        <v>37</v>
      </c>
      <c r="O1318" s="3" t="s">
        <v>46</v>
      </c>
      <c r="P1318" s="5">
        <v>22</v>
      </c>
      <c r="Q1318" s="5">
        <v>482</v>
      </c>
      <c r="R1318" s="5">
        <v>22</v>
      </c>
      <c r="S1318" s="5">
        <v>458</v>
      </c>
    </row>
    <row r="1319" spans="1:19" ht="28" x14ac:dyDescent="0.15">
      <c r="A1319" s="2">
        <f>HYPERLINK("https://open-school.uspishnemisto.com.ua/school/70464/", 70464)</f>
        <v>70464</v>
      </c>
      <c r="B1319" s="3" t="s">
        <v>7197</v>
      </c>
      <c r="C1319" s="3" t="s">
        <v>31</v>
      </c>
      <c r="D1319" s="3" t="s">
        <v>32</v>
      </c>
      <c r="E1319" s="4" t="s">
        <v>22</v>
      </c>
      <c r="F1319" s="4" t="s">
        <v>7198</v>
      </c>
      <c r="G1319" s="4" t="s">
        <v>7199</v>
      </c>
      <c r="H1319" s="3" t="s">
        <v>4839</v>
      </c>
      <c r="I1319" s="3" t="s">
        <v>7200</v>
      </c>
      <c r="J1319" s="3" t="s">
        <v>7201</v>
      </c>
      <c r="K1319" s="3" t="s">
        <v>7202</v>
      </c>
      <c r="L1319" s="3"/>
      <c r="M1319" s="4"/>
      <c r="N1319" s="3" t="s">
        <v>37</v>
      </c>
      <c r="O1319" s="3" t="s">
        <v>52</v>
      </c>
      <c r="P1319" s="5">
        <v>21</v>
      </c>
      <c r="Q1319" s="5">
        <v>404</v>
      </c>
      <c r="R1319" s="5">
        <v>20</v>
      </c>
      <c r="S1319" s="5">
        <v>405</v>
      </c>
    </row>
    <row r="1320" spans="1:19" ht="28" x14ac:dyDescent="0.15">
      <c r="A1320" s="2">
        <f>HYPERLINK("https://open-school.uspishnemisto.com.ua/school/70465/", 70465)</f>
        <v>70465</v>
      </c>
      <c r="B1320" s="3" t="s">
        <v>7203</v>
      </c>
      <c r="C1320" s="3" t="s">
        <v>181</v>
      </c>
      <c r="D1320" s="3" t="s">
        <v>175</v>
      </c>
      <c r="E1320" s="4" t="s">
        <v>22</v>
      </c>
      <c r="F1320" s="4" t="s">
        <v>7198</v>
      </c>
      <c r="G1320" s="4" t="s">
        <v>7199</v>
      </c>
      <c r="H1320" s="3" t="s">
        <v>4839</v>
      </c>
      <c r="I1320" s="3" t="s">
        <v>7200</v>
      </c>
      <c r="J1320" s="3" t="s">
        <v>4550</v>
      </c>
      <c r="K1320" s="3"/>
      <c r="L1320" s="3"/>
      <c r="M1320" s="4" t="s">
        <v>7204</v>
      </c>
      <c r="N1320" s="3" t="s">
        <v>37</v>
      </c>
      <c r="O1320" s="3"/>
      <c r="P1320" s="5">
        <v>13</v>
      </c>
      <c r="Q1320" s="5">
        <v>126</v>
      </c>
      <c r="R1320" s="5">
        <v>13</v>
      </c>
      <c r="S1320" s="5">
        <v>124</v>
      </c>
    </row>
    <row r="1321" spans="1:19" ht="28" x14ac:dyDescent="0.15">
      <c r="A1321" s="2">
        <f>HYPERLINK("https://open-school.uspishnemisto.com.ua/school/70466/", 70466)</f>
        <v>70466</v>
      </c>
      <c r="B1321" s="3" t="s">
        <v>7205</v>
      </c>
      <c r="C1321" s="3" t="s">
        <v>31</v>
      </c>
      <c r="D1321" s="3" t="s">
        <v>60</v>
      </c>
      <c r="E1321" s="4" t="s">
        <v>22</v>
      </c>
      <c r="F1321" s="4" t="s">
        <v>7198</v>
      </c>
      <c r="G1321" s="4" t="s">
        <v>7206</v>
      </c>
      <c r="H1321" s="3" t="s">
        <v>4839</v>
      </c>
      <c r="I1321" s="3" t="s">
        <v>7207</v>
      </c>
      <c r="J1321" s="3" t="s">
        <v>7208</v>
      </c>
      <c r="K1321" s="3"/>
      <c r="L1321" s="3"/>
      <c r="M1321" s="4"/>
      <c r="N1321" s="3" t="s">
        <v>37</v>
      </c>
      <c r="O1321" s="3" t="s">
        <v>52</v>
      </c>
      <c r="P1321" s="5">
        <v>3</v>
      </c>
      <c r="Q1321" s="5">
        <v>21</v>
      </c>
      <c r="R1321" s="5">
        <v>4</v>
      </c>
      <c r="S1321" s="5">
        <v>29</v>
      </c>
    </row>
    <row r="1322" spans="1:19" ht="28" x14ac:dyDescent="0.15">
      <c r="A1322" s="2">
        <f>HYPERLINK("https://open-school.uspishnemisto.com.ua/school/70467/", 70467)</f>
        <v>70467</v>
      </c>
      <c r="B1322" s="3" t="s">
        <v>7209</v>
      </c>
      <c r="C1322" s="3" t="s">
        <v>31</v>
      </c>
      <c r="D1322" s="3" t="s">
        <v>175</v>
      </c>
      <c r="E1322" s="4" t="s">
        <v>22</v>
      </c>
      <c r="F1322" s="4" t="s">
        <v>7198</v>
      </c>
      <c r="G1322" s="4" t="s">
        <v>7210</v>
      </c>
      <c r="H1322" s="3" t="s">
        <v>4839</v>
      </c>
      <c r="I1322" s="3" t="s">
        <v>7211</v>
      </c>
      <c r="J1322" s="3" t="s">
        <v>1360</v>
      </c>
      <c r="K1322" s="3" t="s">
        <v>7212</v>
      </c>
      <c r="L1322" s="3"/>
      <c r="M1322" s="4"/>
      <c r="N1322" s="3" t="s">
        <v>37</v>
      </c>
      <c r="O1322" s="3" t="s">
        <v>2740</v>
      </c>
      <c r="P1322" s="5">
        <v>9</v>
      </c>
      <c r="Q1322" s="5">
        <v>66</v>
      </c>
      <c r="R1322" s="5">
        <v>8</v>
      </c>
      <c r="S1322" s="5">
        <v>63</v>
      </c>
    </row>
    <row r="1323" spans="1:19" ht="28" x14ac:dyDescent="0.15">
      <c r="A1323" s="2">
        <f>HYPERLINK("https://open-school.uspishnemisto.com.ua/school/70468/", 70468)</f>
        <v>70468</v>
      </c>
      <c r="B1323" s="3" t="s">
        <v>7213</v>
      </c>
      <c r="C1323" s="3" t="s">
        <v>31</v>
      </c>
      <c r="D1323" s="3" t="s">
        <v>175</v>
      </c>
      <c r="E1323" s="4" t="s">
        <v>22</v>
      </c>
      <c r="F1323" s="4" t="s">
        <v>7214</v>
      </c>
      <c r="G1323" s="4" t="s">
        <v>7215</v>
      </c>
      <c r="H1323" s="3" t="s">
        <v>4839</v>
      </c>
      <c r="I1323" s="3" t="s">
        <v>7007</v>
      </c>
      <c r="J1323" s="3" t="s">
        <v>7216</v>
      </c>
      <c r="K1323" s="3" t="s">
        <v>7217</v>
      </c>
      <c r="L1323" s="3"/>
      <c r="M1323" s="4"/>
      <c r="N1323" s="3" t="s">
        <v>37</v>
      </c>
      <c r="O1323" s="3" t="s">
        <v>52</v>
      </c>
      <c r="P1323" s="5">
        <v>9</v>
      </c>
      <c r="Q1323" s="5">
        <v>115</v>
      </c>
      <c r="R1323" s="5">
        <v>9</v>
      </c>
      <c r="S1323" s="5">
        <v>111</v>
      </c>
    </row>
    <row r="1324" spans="1:19" ht="28" x14ac:dyDescent="0.15">
      <c r="A1324" s="2">
        <f>HYPERLINK("https://open-school.uspishnemisto.com.ua/school/70469/", 70469)</f>
        <v>70469</v>
      </c>
      <c r="B1324" s="3" t="s">
        <v>7218</v>
      </c>
      <c r="C1324" s="3" t="s">
        <v>31</v>
      </c>
      <c r="D1324" s="3" t="s">
        <v>175</v>
      </c>
      <c r="E1324" s="4" t="s">
        <v>22</v>
      </c>
      <c r="F1324" s="4" t="s">
        <v>7219</v>
      </c>
      <c r="G1324" s="4" t="s">
        <v>7220</v>
      </c>
      <c r="H1324" s="3" t="s">
        <v>4839</v>
      </c>
      <c r="I1324" s="3" t="s">
        <v>7221</v>
      </c>
      <c r="J1324" s="3" t="s">
        <v>2555</v>
      </c>
      <c r="K1324" s="3" t="s">
        <v>7222</v>
      </c>
      <c r="L1324" s="3"/>
      <c r="M1324" s="4"/>
      <c r="N1324" s="3" t="s">
        <v>37</v>
      </c>
      <c r="O1324" s="3" t="s">
        <v>52</v>
      </c>
      <c r="P1324" s="5">
        <v>5</v>
      </c>
      <c r="Q1324" s="5">
        <v>34</v>
      </c>
      <c r="R1324" s="5">
        <v>6</v>
      </c>
      <c r="S1324" s="5">
        <v>37</v>
      </c>
    </row>
    <row r="1325" spans="1:19" ht="42" x14ac:dyDescent="0.15">
      <c r="A1325" s="2">
        <f>HYPERLINK("https://open-school.uspishnemisto.com.ua/school/70470/", 70470)</f>
        <v>70470</v>
      </c>
      <c r="B1325" s="3" t="s">
        <v>7223</v>
      </c>
      <c r="C1325" s="3" t="s">
        <v>54</v>
      </c>
      <c r="D1325" s="3" t="s">
        <v>32</v>
      </c>
      <c r="E1325" s="4" t="s">
        <v>22</v>
      </c>
      <c r="F1325" s="4" t="s">
        <v>7224</v>
      </c>
      <c r="G1325" s="4" t="s">
        <v>7225</v>
      </c>
      <c r="H1325" s="3" t="s">
        <v>4839</v>
      </c>
      <c r="I1325" s="3" t="s">
        <v>6100</v>
      </c>
      <c r="J1325" s="3" t="s">
        <v>7226</v>
      </c>
      <c r="K1325" s="3" t="s">
        <v>7227</v>
      </c>
      <c r="L1325" s="3"/>
      <c r="M1325" s="4"/>
      <c r="N1325" s="3" t="s">
        <v>37</v>
      </c>
      <c r="O1325" s="3" t="s">
        <v>52</v>
      </c>
      <c r="P1325" s="5">
        <v>11</v>
      </c>
      <c r="Q1325" s="5">
        <v>219</v>
      </c>
      <c r="R1325" s="5">
        <v>11</v>
      </c>
      <c r="S1325" s="5">
        <v>210</v>
      </c>
    </row>
    <row r="1326" spans="1:19" ht="42" x14ac:dyDescent="0.15">
      <c r="A1326" s="2">
        <f>HYPERLINK("https://open-school.uspishnemisto.com.ua/school/70471/", 70471)</f>
        <v>70471</v>
      </c>
      <c r="B1326" s="3" t="s">
        <v>7228</v>
      </c>
      <c r="C1326" s="3" t="s">
        <v>54</v>
      </c>
      <c r="D1326" s="3" t="s">
        <v>32</v>
      </c>
      <c r="E1326" s="4" t="s">
        <v>22</v>
      </c>
      <c r="F1326" s="4" t="s">
        <v>7229</v>
      </c>
      <c r="G1326" s="4" t="s">
        <v>7230</v>
      </c>
      <c r="H1326" s="3" t="s">
        <v>4839</v>
      </c>
      <c r="I1326" s="3" t="s">
        <v>7231</v>
      </c>
      <c r="J1326" s="3" t="s">
        <v>1417</v>
      </c>
      <c r="K1326" s="3" t="s">
        <v>7232</v>
      </c>
      <c r="L1326" s="3"/>
      <c r="M1326" s="4"/>
      <c r="N1326" s="3" t="s">
        <v>37</v>
      </c>
      <c r="O1326" s="3" t="s">
        <v>52</v>
      </c>
      <c r="P1326" s="5">
        <v>11</v>
      </c>
      <c r="Q1326" s="5">
        <v>130</v>
      </c>
      <c r="R1326" s="5">
        <v>11</v>
      </c>
      <c r="S1326" s="5">
        <v>118</v>
      </c>
    </row>
    <row r="1327" spans="1:19" ht="28" x14ac:dyDescent="0.15">
      <c r="A1327" s="2">
        <f>HYPERLINK("https://open-school.uspishnemisto.com.ua/school/70472/", 70472)</f>
        <v>70472</v>
      </c>
      <c r="B1327" s="3" t="s">
        <v>7233</v>
      </c>
      <c r="C1327" s="3" t="s">
        <v>31</v>
      </c>
      <c r="D1327" s="3" t="s">
        <v>175</v>
      </c>
      <c r="E1327" s="4" t="s">
        <v>22</v>
      </c>
      <c r="F1327" s="4" t="s">
        <v>7234</v>
      </c>
      <c r="G1327" s="4" t="s">
        <v>7235</v>
      </c>
      <c r="H1327" s="3" t="s">
        <v>4839</v>
      </c>
      <c r="I1327" s="3" t="s">
        <v>7236</v>
      </c>
      <c r="J1327" s="3" t="s">
        <v>7237</v>
      </c>
      <c r="K1327" s="3"/>
      <c r="L1327" s="3"/>
      <c r="M1327" s="4"/>
      <c r="N1327" s="3" t="s">
        <v>37</v>
      </c>
      <c r="O1327" s="3" t="s">
        <v>52</v>
      </c>
      <c r="P1327" s="5">
        <v>9</v>
      </c>
      <c r="Q1327" s="5">
        <v>68</v>
      </c>
      <c r="R1327" s="5">
        <v>9</v>
      </c>
      <c r="S1327" s="5">
        <v>66</v>
      </c>
    </row>
    <row r="1328" spans="1:19" ht="28" x14ac:dyDescent="0.15">
      <c r="A1328" s="2">
        <f>HYPERLINK("https://open-school.uspishnemisto.com.ua/school/70473/", 70473)</f>
        <v>70473</v>
      </c>
      <c r="B1328" s="3" t="s">
        <v>7238</v>
      </c>
      <c r="C1328" s="3" t="s">
        <v>31</v>
      </c>
      <c r="D1328" s="3" t="s">
        <v>175</v>
      </c>
      <c r="E1328" s="4" t="s">
        <v>22</v>
      </c>
      <c r="F1328" s="4" t="s">
        <v>7239</v>
      </c>
      <c r="G1328" s="4" t="s">
        <v>7240</v>
      </c>
      <c r="H1328" s="3" t="s">
        <v>4839</v>
      </c>
      <c r="I1328" s="3" t="s">
        <v>7241</v>
      </c>
      <c r="J1328" s="3" t="s">
        <v>7242</v>
      </c>
      <c r="K1328" s="3"/>
      <c r="L1328" s="3"/>
      <c r="M1328" s="4"/>
      <c r="N1328" s="3" t="s">
        <v>37</v>
      </c>
      <c r="O1328" s="3" t="s">
        <v>52</v>
      </c>
      <c r="P1328" s="5">
        <v>8</v>
      </c>
      <c r="Q1328" s="5">
        <v>51</v>
      </c>
      <c r="R1328" s="5">
        <v>8</v>
      </c>
      <c r="S1328" s="5">
        <v>51</v>
      </c>
    </row>
    <row r="1329" spans="1:19" ht="28" x14ac:dyDescent="0.15">
      <c r="A1329" s="2">
        <f>HYPERLINK("https://open-school.uspishnemisto.com.ua/school/70474/", 70474)</f>
        <v>70474</v>
      </c>
      <c r="B1329" s="3" t="s">
        <v>7243</v>
      </c>
      <c r="C1329" s="3" t="s">
        <v>31</v>
      </c>
      <c r="D1329" s="3" t="s">
        <v>32</v>
      </c>
      <c r="E1329" s="4" t="s">
        <v>22</v>
      </c>
      <c r="F1329" s="4" t="s">
        <v>7244</v>
      </c>
      <c r="G1329" s="4" t="s">
        <v>7245</v>
      </c>
      <c r="H1329" s="3" t="s">
        <v>4839</v>
      </c>
      <c r="I1329" s="3" t="s">
        <v>7246</v>
      </c>
      <c r="J1329" s="3" t="s">
        <v>634</v>
      </c>
      <c r="K1329" s="3" t="s">
        <v>7247</v>
      </c>
      <c r="L1329" s="3"/>
      <c r="M1329" s="4"/>
      <c r="N1329" s="3" t="s">
        <v>37</v>
      </c>
      <c r="O1329" s="3" t="s">
        <v>46</v>
      </c>
      <c r="P1329" s="5">
        <v>11</v>
      </c>
      <c r="Q1329" s="5">
        <v>138</v>
      </c>
      <c r="R1329" s="5">
        <v>11</v>
      </c>
      <c r="S1329" s="5">
        <v>130</v>
      </c>
    </row>
    <row r="1330" spans="1:19" ht="28" x14ac:dyDescent="0.15">
      <c r="A1330" s="2">
        <f>HYPERLINK("https://open-school.uspishnemisto.com.ua/school/70475/", 70475)</f>
        <v>70475</v>
      </c>
      <c r="B1330" s="3" t="s">
        <v>7248</v>
      </c>
      <c r="C1330" s="3" t="s">
        <v>31</v>
      </c>
      <c r="D1330" s="3" t="s">
        <v>175</v>
      </c>
      <c r="E1330" s="4" t="s">
        <v>22</v>
      </c>
      <c r="F1330" s="4" t="s">
        <v>7249</v>
      </c>
      <c r="G1330" s="4" t="s">
        <v>7250</v>
      </c>
      <c r="H1330" s="3" t="s">
        <v>4839</v>
      </c>
      <c r="I1330" s="3" t="s">
        <v>7251</v>
      </c>
      <c r="J1330" s="3" t="s">
        <v>7252</v>
      </c>
      <c r="K1330" s="3" t="s">
        <v>7253</v>
      </c>
      <c r="L1330" s="3" t="s">
        <v>7254</v>
      </c>
      <c r="M1330" s="4"/>
      <c r="N1330" s="3" t="s">
        <v>37</v>
      </c>
      <c r="O1330" s="3" t="s">
        <v>52</v>
      </c>
      <c r="P1330" s="5">
        <v>9</v>
      </c>
      <c r="Q1330" s="5">
        <v>95</v>
      </c>
      <c r="R1330" s="5">
        <v>9</v>
      </c>
      <c r="S1330" s="5">
        <v>96</v>
      </c>
    </row>
    <row r="1331" spans="1:19" ht="28" x14ac:dyDescent="0.15">
      <c r="A1331" s="2">
        <f>HYPERLINK("https://open-school.uspishnemisto.com.ua/school/70476/", 70476)</f>
        <v>70476</v>
      </c>
      <c r="B1331" s="3" t="s">
        <v>7255</v>
      </c>
      <c r="C1331" s="3" t="s">
        <v>31</v>
      </c>
      <c r="D1331" s="3" t="s">
        <v>32</v>
      </c>
      <c r="E1331" s="4" t="s">
        <v>22</v>
      </c>
      <c r="F1331" s="4" t="s">
        <v>7256</v>
      </c>
      <c r="G1331" s="4" t="s">
        <v>7257</v>
      </c>
      <c r="H1331" s="3" t="s">
        <v>4839</v>
      </c>
      <c r="I1331" s="3" t="s">
        <v>7258</v>
      </c>
      <c r="J1331" s="3" t="s">
        <v>634</v>
      </c>
      <c r="K1331" s="3" t="s">
        <v>7259</v>
      </c>
      <c r="L1331" s="3"/>
      <c r="M1331" s="4"/>
      <c r="N1331" s="3" t="s">
        <v>37</v>
      </c>
      <c r="O1331" s="3" t="s">
        <v>52</v>
      </c>
      <c r="P1331" s="5">
        <v>8</v>
      </c>
      <c r="Q1331" s="5">
        <v>68</v>
      </c>
      <c r="R1331" s="5">
        <v>9</v>
      </c>
      <c r="S1331" s="5">
        <v>75</v>
      </c>
    </row>
    <row r="1332" spans="1:19" ht="28" x14ac:dyDescent="0.15">
      <c r="A1332" s="2">
        <f>HYPERLINK("https://open-school.uspishnemisto.com.ua/school/70477/", 70477)</f>
        <v>70477</v>
      </c>
      <c r="B1332" s="3" t="s">
        <v>7260</v>
      </c>
      <c r="C1332" s="3" t="s">
        <v>31</v>
      </c>
      <c r="D1332" s="3" t="s">
        <v>60</v>
      </c>
      <c r="E1332" s="4" t="s">
        <v>22</v>
      </c>
      <c r="F1332" s="4" t="s">
        <v>7256</v>
      </c>
      <c r="G1332" s="4" t="s">
        <v>7261</v>
      </c>
      <c r="H1332" s="3" t="s">
        <v>4839</v>
      </c>
      <c r="I1332" s="3" t="s">
        <v>7262</v>
      </c>
      <c r="J1332" s="3" t="s">
        <v>7263</v>
      </c>
      <c r="K1332" s="3"/>
      <c r="L1332" s="3"/>
      <c r="M1332" s="4"/>
      <c r="N1332" s="3" t="s">
        <v>37</v>
      </c>
      <c r="O1332" s="3" t="s">
        <v>52</v>
      </c>
      <c r="P1332" s="5">
        <v>1</v>
      </c>
      <c r="Q1332" s="5">
        <v>10</v>
      </c>
      <c r="R1332" s="5">
        <v>1</v>
      </c>
      <c r="S1332" s="5">
        <v>13</v>
      </c>
    </row>
    <row r="1333" spans="1:19" ht="28" x14ac:dyDescent="0.15">
      <c r="A1333" s="2">
        <f>HYPERLINK("https://open-school.uspishnemisto.com.ua/school/70478/", 70478)</f>
        <v>70478</v>
      </c>
      <c r="B1333" s="3" t="s">
        <v>7264</v>
      </c>
      <c r="C1333" s="3" t="s">
        <v>31</v>
      </c>
      <c r="D1333" s="3" t="s">
        <v>32</v>
      </c>
      <c r="E1333" s="4" t="s">
        <v>22</v>
      </c>
      <c r="F1333" s="4" t="s">
        <v>7265</v>
      </c>
      <c r="G1333" s="4" t="s">
        <v>7266</v>
      </c>
      <c r="H1333" s="3" t="s">
        <v>4839</v>
      </c>
      <c r="I1333" s="3" t="s">
        <v>7267</v>
      </c>
      <c r="J1333" s="3" t="s">
        <v>7268</v>
      </c>
      <c r="K1333" s="3" t="s">
        <v>7269</v>
      </c>
      <c r="L1333" s="3"/>
      <c r="M1333" s="4"/>
      <c r="N1333" s="3" t="s">
        <v>37</v>
      </c>
      <c r="O1333" s="3" t="s">
        <v>52</v>
      </c>
      <c r="P1333" s="5">
        <v>13</v>
      </c>
      <c r="Q1333" s="5">
        <v>246</v>
      </c>
      <c r="R1333" s="5">
        <v>14</v>
      </c>
      <c r="S1333" s="5">
        <v>260</v>
      </c>
    </row>
    <row r="1334" spans="1:19" ht="28" x14ac:dyDescent="0.15">
      <c r="A1334" s="2">
        <f>HYPERLINK("https://open-school.uspishnemisto.com.ua/school/70479/", 70479)</f>
        <v>70479</v>
      </c>
      <c r="B1334" s="3" t="s">
        <v>7270</v>
      </c>
      <c r="C1334" s="3" t="s">
        <v>7271</v>
      </c>
      <c r="D1334" s="3" t="s">
        <v>175</v>
      </c>
      <c r="E1334" s="4" t="s">
        <v>22</v>
      </c>
      <c r="F1334" s="4" t="s">
        <v>7265</v>
      </c>
      <c r="G1334" s="4" t="s">
        <v>7266</v>
      </c>
      <c r="H1334" s="3" t="s">
        <v>4839</v>
      </c>
      <c r="I1334" s="3" t="s">
        <v>7267</v>
      </c>
      <c r="J1334" s="3" t="s">
        <v>7272</v>
      </c>
      <c r="K1334" s="3" t="s">
        <v>7273</v>
      </c>
      <c r="L1334" s="3"/>
      <c r="M1334" s="4"/>
      <c r="N1334" s="3" t="s">
        <v>37</v>
      </c>
      <c r="O1334" s="3" t="s">
        <v>52</v>
      </c>
      <c r="P1334" s="5">
        <v>9</v>
      </c>
      <c r="Q1334" s="5">
        <v>40</v>
      </c>
      <c r="R1334" s="5">
        <v>9</v>
      </c>
      <c r="S1334" s="5">
        <v>81</v>
      </c>
    </row>
    <row r="1335" spans="1:19" ht="28" x14ac:dyDescent="0.15">
      <c r="A1335" s="2">
        <f>HYPERLINK("https://open-school.uspishnemisto.com.ua/school/70480/", 70480)</f>
        <v>70480</v>
      </c>
      <c r="B1335" s="3" t="s">
        <v>7274</v>
      </c>
      <c r="C1335" s="3" t="s">
        <v>31</v>
      </c>
      <c r="D1335" s="3" t="s">
        <v>175</v>
      </c>
      <c r="E1335" s="4" t="s">
        <v>22</v>
      </c>
      <c r="F1335" s="4" t="s">
        <v>7265</v>
      </c>
      <c r="G1335" s="4" t="s">
        <v>7275</v>
      </c>
      <c r="H1335" s="3" t="s">
        <v>4839</v>
      </c>
      <c r="I1335" s="3" t="s">
        <v>7276</v>
      </c>
      <c r="J1335" s="3" t="s">
        <v>7277</v>
      </c>
      <c r="K1335" s="3"/>
      <c r="L1335" s="3" t="s">
        <v>7278</v>
      </c>
      <c r="M1335" s="4"/>
      <c r="N1335" s="3" t="s">
        <v>37</v>
      </c>
      <c r="O1335" s="3" t="s">
        <v>52</v>
      </c>
      <c r="P1335" s="5">
        <v>5</v>
      </c>
      <c r="Q1335" s="5">
        <v>32</v>
      </c>
      <c r="R1335" s="5">
        <v>5</v>
      </c>
      <c r="S1335" s="5">
        <v>35</v>
      </c>
    </row>
    <row r="1336" spans="1:19" ht="28" x14ac:dyDescent="0.15">
      <c r="A1336" s="2">
        <f>HYPERLINK("https://open-school.uspishnemisto.com.ua/school/70481/", 70481)</f>
        <v>70481</v>
      </c>
      <c r="B1336" s="3" t="s">
        <v>7279</v>
      </c>
      <c r="C1336" s="3" t="s">
        <v>31</v>
      </c>
      <c r="D1336" s="3" t="s">
        <v>60</v>
      </c>
      <c r="E1336" s="4" t="s">
        <v>22</v>
      </c>
      <c r="F1336" s="4" t="s">
        <v>7265</v>
      </c>
      <c r="G1336" s="4" t="s">
        <v>7280</v>
      </c>
      <c r="H1336" s="3" t="s">
        <v>4839</v>
      </c>
      <c r="I1336" s="3" t="s">
        <v>3774</v>
      </c>
      <c r="J1336" s="3" t="s">
        <v>6077</v>
      </c>
      <c r="K1336" s="3"/>
      <c r="L1336" s="3"/>
      <c r="M1336" s="4"/>
      <c r="N1336" s="3" t="s">
        <v>37</v>
      </c>
      <c r="O1336" s="3" t="s">
        <v>52</v>
      </c>
      <c r="P1336" s="5">
        <v>0</v>
      </c>
      <c r="Q1336" s="5">
        <v>14</v>
      </c>
      <c r="R1336" s="5">
        <v>1</v>
      </c>
      <c r="S1336" s="5">
        <v>16</v>
      </c>
    </row>
    <row r="1337" spans="1:19" ht="42" x14ac:dyDescent="0.15">
      <c r="A1337" s="2">
        <f>HYPERLINK("https://open-school.uspishnemisto.com.ua/school/70482/", 70482)</f>
        <v>70482</v>
      </c>
      <c r="B1337" s="3" t="s">
        <v>7281</v>
      </c>
      <c r="C1337" s="3" t="s">
        <v>54</v>
      </c>
      <c r="D1337" s="3" t="s">
        <v>175</v>
      </c>
      <c r="E1337" s="4" t="s">
        <v>22</v>
      </c>
      <c r="F1337" s="4" t="s">
        <v>7265</v>
      </c>
      <c r="G1337" s="4" t="s">
        <v>7282</v>
      </c>
      <c r="H1337" s="3" t="s">
        <v>4839</v>
      </c>
      <c r="I1337" s="3" t="s">
        <v>6283</v>
      </c>
      <c r="J1337" s="3" t="s">
        <v>466</v>
      </c>
      <c r="K1337" s="3" t="s">
        <v>7283</v>
      </c>
      <c r="L1337" s="3"/>
      <c r="M1337" s="4"/>
      <c r="N1337" s="3" t="s">
        <v>37</v>
      </c>
      <c r="O1337" s="3" t="s">
        <v>52</v>
      </c>
      <c r="P1337" s="5">
        <v>9</v>
      </c>
      <c r="Q1337" s="5">
        <v>64</v>
      </c>
      <c r="R1337" s="5">
        <v>9</v>
      </c>
      <c r="S1337" s="5">
        <v>68</v>
      </c>
    </row>
    <row r="1338" spans="1:19" ht="28" x14ac:dyDescent="0.15">
      <c r="A1338" s="2">
        <f>HYPERLINK("https://open-school.uspishnemisto.com.ua/school/70483/", 70483)</f>
        <v>70483</v>
      </c>
      <c r="B1338" s="3" t="s">
        <v>7284</v>
      </c>
      <c r="C1338" s="3" t="s">
        <v>31</v>
      </c>
      <c r="D1338" s="3" t="s">
        <v>32</v>
      </c>
      <c r="E1338" s="4" t="s">
        <v>22</v>
      </c>
      <c r="F1338" s="4" t="s">
        <v>7285</v>
      </c>
      <c r="G1338" s="4" t="s">
        <v>7286</v>
      </c>
      <c r="H1338" s="3" t="s">
        <v>4839</v>
      </c>
      <c r="I1338" s="3" t="s">
        <v>7287</v>
      </c>
      <c r="J1338" s="3" t="s">
        <v>7288</v>
      </c>
      <c r="K1338" s="3" t="s">
        <v>7289</v>
      </c>
      <c r="L1338" s="3" t="s">
        <v>7290</v>
      </c>
      <c r="M1338" s="4"/>
      <c r="N1338" s="3" t="s">
        <v>37</v>
      </c>
      <c r="O1338" s="3" t="s">
        <v>52</v>
      </c>
      <c r="P1338" s="5">
        <v>13</v>
      </c>
      <c r="Q1338" s="5">
        <v>266</v>
      </c>
      <c r="R1338" s="5">
        <v>12</v>
      </c>
      <c r="S1338" s="5">
        <v>250</v>
      </c>
    </row>
    <row r="1339" spans="1:19" ht="28" x14ac:dyDescent="0.15">
      <c r="A1339" s="2">
        <f>HYPERLINK("https://open-school.uspishnemisto.com.ua/school/70484/", 70484)</f>
        <v>70484</v>
      </c>
      <c r="B1339" s="3" t="s">
        <v>7291</v>
      </c>
      <c r="C1339" s="3" t="s">
        <v>31</v>
      </c>
      <c r="D1339" s="3" t="s">
        <v>175</v>
      </c>
      <c r="E1339" s="4" t="s">
        <v>22</v>
      </c>
      <c r="F1339" s="4" t="s">
        <v>7292</v>
      </c>
      <c r="G1339" s="4" t="s">
        <v>7293</v>
      </c>
      <c r="H1339" s="3" t="s">
        <v>4839</v>
      </c>
      <c r="I1339" s="3" t="s">
        <v>7294</v>
      </c>
      <c r="J1339" s="3" t="s">
        <v>7295</v>
      </c>
      <c r="K1339" s="3"/>
      <c r="L1339" s="3"/>
      <c r="M1339" s="4"/>
      <c r="N1339" s="3" t="s">
        <v>37</v>
      </c>
      <c r="O1339" s="3" t="s">
        <v>2740</v>
      </c>
      <c r="P1339" s="5">
        <v>8</v>
      </c>
      <c r="Q1339" s="5">
        <v>55</v>
      </c>
      <c r="R1339" s="5">
        <v>9</v>
      </c>
      <c r="S1339" s="5">
        <v>52</v>
      </c>
    </row>
    <row r="1340" spans="1:19" ht="42" x14ac:dyDescent="0.15">
      <c r="A1340" s="2">
        <f>HYPERLINK("https://open-school.uspishnemisto.com.ua/school/70485/", 70485)</f>
        <v>70485</v>
      </c>
      <c r="B1340" s="3" t="s">
        <v>7296</v>
      </c>
      <c r="C1340" s="3" t="s">
        <v>54</v>
      </c>
      <c r="D1340" s="3" t="s">
        <v>32</v>
      </c>
      <c r="E1340" s="4" t="s">
        <v>22</v>
      </c>
      <c r="F1340" s="4" t="s">
        <v>7297</v>
      </c>
      <c r="G1340" s="4" t="s">
        <v>7298</v>
      </c>
      <c r="H1340" s="3" t="s">
        <v>4839</v>
      </c>
      <c r="I1340" s="3" t="s">
        <v>7299</v>
      </c>
      <c r="J1340" s="3" t="s">
        <v>466</v>
      </c>
      <c r="K1340" s="3" t="s">
        <v>7300</v>
      </c>
      <c r="L1340" s="3"/>
      <c r="M1340" s="4"/>
      <c r="N1340" s="3" t="s">
        <v>37</v>
      </c>
      <c r="O1340" s="3" t="s">
        <v>139</v>
      </c>
      <c r="P1340" s="5">
        <v>11</v>
      </c>
      <c r="Q1340" s="5">
        <v>161</v>
      </c>
      <c r="R1340" s="5">
        <v>11</v>
      </c>
      <c r="S1340" s="5">
        <v>158</v>
      </c>
    </row>
    <row r="1341" spans="1:19" ht="42" x14ac:dyDescent="0.15">
      <c r="A1341" s="2">
        <f>HYPERLINK("https://open-school.uspishnemisto.com.ua/school/70486/", 70486)</f>
        <v>70486</v>
      </c>
      <c r="B1341" s="3" t="s">
        <v>7301</v>
      </c>
      <c r="C1341" s="3" t="s">
        <v>54</v>
      </c>
      <c r="D1341" s="3" t="s">
        <v>32</v>
      </c>
      <c r="E1341" s="4" t="s">
        <v>22</v>
      </c>
      <c r="F1341" s="4" t="s">
        <v>7239</v>
      </c>
      <c r="G1341" s="4" t="s">
        <v>7302</v>
      </c>
      <c r="H1341" s="3" t="s">
        <v>4839</v>
      </c>
      <c r="I1341" s="3" t="s">
        <v>7303</v>
      </c>
      <c r="J1341" s="3" t="s">
        <v>7304</v>
      </c>
      <c r="K1341" s="3" t="s">
        <v>7305</v>
      </c>
      <c r="L1341" s="3" t="s">
        <v>7306</v>
      </c>
      <c r="M1341" s="4"/>
      <c r="N1341" s="3" t="s">
        <v>37</v>
      </c>
      <c r="O1341" s="3" t="s">
        <v>52</v>
      </c>
      <c r="P1341" s="5">
        <v>11</v>
      </c>
      <c r="Q1341" s="5">
        <v>117</v>
      </c>
      <c r="R1341" s="5">
        <v>11</v>
      </c>
      <c r="S1341" s="5">
        <v>121</v>
      </c>
    </row>
    <row r="1342" spans="1:19" ht="28" x14ac:dyDescent="0.15">
      <c r="A1342" s="2">
        <f>HYPERLINK("https://open-school.uspishnemisto.com.ua/school/70487/", 70487)</f>
        <v>70487</v>
      </c>
      <c r="B1342" s="3" t="s">
        <v>7307</v>
      </c>
      <c r="C1342" s="3" t="s">
        <v>31</v>
      </c>
      <c r="D1342" s="3" t="s">
        <v>32</v>
      </c>
      <c r="E1342" s="4" t="s">
        <v>22</v>
      </c>
      <c r="F1342" s="4" t="s">
        <v>7308</v>
      </c>
      <c r="G1342" s="4" t="s">
        <v>7309</v>
      </c>
      <c r="H1342" s="3" t="s">
        <v>4839</v>
      </c>
      <c r="I1342" s="3" t="s">
        <v>7310</v>
      </c>
      <c r="J1342" s="3" t="s">
        <v>7311</v>
      </c>
      <c r="K1342" s="3" t="s">
        <v>7312</v>
      </c>
      <c r="L1342" s="3" t="s">
        <v>7313</v>
      </c>
      <c r="M1342" s="4"/>
      <c r="N1342" s="3" t="s">
        <v>37</v>
      </c>
      <c r="O1342" s="3" t="s">
        <v>52</v>
      </c>
      <c r="P1342" s="5">
        <v>11</v>
      </c>
      <c r="Q1342" s="5">
        <v>125</v>
      </c>
      <c r="R1342" s="5">
        <v>11</v>
      </c>
      <c r="S1342" s="5">
        <v>126</v>
      </c>
    </row>
    <row r="1343" spans="1:19" ht="28" x14ac:dyDescent="0.15">
      <c r="A1343" s="2">
        <f>HYPERLINK("https://open-school.uspishnemisto.com.ua/school/70488/", 70488)</f>
        <v>70488</v>
      </c>
      <c r="B1343" s="3" t="s">
        <v>7314</v>
      </c>
      <c r="C1343" s="3" t="s">
        <v>31</v>
      </c>
      <c r="D1343" s="3" t="s">
        <v>60</v>
      </c>
      <c r="E1343" s="4" t="s">
        <v>22</v>
      </c>
      <c r="F1343" s="4" t="s">
        <v>7308</v>
      </c>
      <c r="G1343" s="4" t="s">
        <v>7315</v>
      </c>
      <c r="H1343" s="3" t="s">
        <v>4839</v>
      </c>
      <c r="I1343" s="3" t="s">
        <v>412</v>
      </c>
      <c r="J1343" s="3" t="s">
        <v>7316</v>
      </c>
      <c r="K1343" s="3" t="s">
        <v>7317</v>
      </c>
      <c r="L1343" s="3"/>
      <c r="M1343" s="4"/>
      <c r="N1343" s="3" t="s">
        <v>37</v>
      </c>
      <c r="O1343" s="3" t="s">
        <v>52</v>
      </c>
      <c r="P1343" s="5">
        <v>1</v>
      </c>
      <c r="Q1343" s="5">
        <v>11</v>
      </c>
      <c r="R1343" s="5">
        <v>1</v>
      </c>
      <c r="S1343" s="5">
        <v>13</v>
      </c>
    </row>
    <row r="1344" spans="1:19" ht="28" x14ac:dyDescent="0.15">
      <c r="A1344" s="2">
        <f>HYPERLINK("https://open-school.uspishnemisto.com.ua/school/70489/", 70489)</f>
        <v>70489</v>
      </c>
      <c r="B1344" s="3" t="s">
        <v>7318</v>
      </c>
      <c r="C1344" s="3" t="s">
        <v>31</v>
      </c>
      <c r="D1344" s="3" t="s">
        <v>175</v>
      </c>
      <c r="E1344" s="4" t="s">
        <v>22</v>
      </c>
      <c r="F1344" s="4" t="s">
        <v>7319</v>
      </c>
      <c r="G1344" s="4" t="s">
        <v>7320</v>
      </c>
      <c r="H1344" s="3" t="s">
        <v>4839</v>
      </c>
      <c r="I1344" s="3" t="s">
        <v>7321</v>
      </c>
      <c r="J1344" s="3" t="s">
        <v>7322</v>
      </c>
      <c r="K1344" s="3" t="s">
        <v>7323</v>
      </c>
      <c r="L1344" s="3"/>
      <c r="M1344" s="4"/>
      <c r="N1344" s="3" t="s">
        <v>37</v>
      </c>
      <c r="O1344" s="3" t="s">
        <v>52</v>
      </c>
      <c r="P1344" s="5">
        <v>5</v>
      </c>
      <c r="Q1344" s="5">
        <v>36</v>
      </c>
      <c r="R1344" s="5">
        <v>5</v>
      </c>
      <c r="S1344" s="5">
        <v>32</v>
      </c>
    </row>
    <row r="1345" spans="1:19" ht="28" x14ac:dyDescent="0.15">
      <c r="A1345" s="2">
        <f>HYPERLINK("https://open-school.uspishnemisto.com.ua/school/70490/", 70490)</f>
        <v>70490</v>
      </c>
      <c r="B1345" s="3" t="s">
        <v>7324</v>
      </c>
      <c r="C1345" s="3" t="s">
        <v>31</v>
      </c>
      <c r="D1345" s="3" t="s">
        <v>32</v>
      </c>
      <c r="E1345" s="4" t="s">
        <v>22</v>
      </c>
      <c r="F1345" s="4" t="s">
        <v>7325</v>
      </c>
      <c r="G1345" s="4" t="s">
        <v>7326</v>
      </c>
      <c r="H1345" s="3" t="s">
        <v>4839</v>
      </c>
      <c r="I1345" s="3" t="s">
        <v>7327</v>
      </c>
      <c r="J1345" s="3" t="s">
        <v>7328</v>
      </c>
      <c r="K1345" s="3" t="s">
        <v>7329</v>
      </c>
      <c r="L1345" s="3"/>
      <c r="M1345" s="4"/>
      <c r="N1345" s="3" t="s">
        <v>37</v>
      </c>
      <c r="O1345" s="3" t="s">
        <v>52</v>
      </c>
      <c r="P1345" s="5">
        <v>11</v>
      </c>
      <c r="Q1345" s="5">
        <v>147</v>
      </c>
      <c r="R1345" s="5">
        <v>11</v>
      </c>
      <c r="S1345" s="5">
        <v>144</v>
      </c>
    </row>
    <row r="1346" spans="1:19" ht="28" x14ac:dyDescent="0.15">
      <c r="A1346" s="2">
        <f>HYPERLINK("https://open-school.uspishnemisto.com.ua/school/70491/", 70491)</f>
        <v>70491</v>
      </c>
      <c r="B1346" s="3" t="s">
        <v>7330</v>
      </c>
      <c r="C1346" s="3" t="s">
        <v>31</v>
      </c>
      <c r="D1346" s="3" t="s">
        <v>175</v>
      </c>
      <c r="E1346" s="4" t="s">
        <v>22</v>
      </c>
      <c r="F1346" s="4" t="s">
        <v>7331</v>
      </c>
      <c r="G1346" s="4" t="s">
        <v>7332</v>
      </c>
      <c r="H1346" s="3" t="s">
        <v>4839</v>
      </c>
      <c r="I1346" s="3" t="s">
        <v>7333</v>
      </c>
      <c r="J1346" s="3" t="s">
        <v>7334</v>
      </c>
      <c r="K1346" s="3" t="s">
        <v>7335</v>
      </c>
      <c r="L1346" s="3"/>
      <c r="M1346" s="4"/>
      <c r="N1346" s="3" t="s">
        <v>37</v>
      </c>
      <c r="O1346" s="3" t="s">
        <v>46</v>
      </c>
      <c r="P1346" s="5">
        <v>6</v>
      </c>
      <c r="Q1346" s="5">
        <v>46</v>
      </c>
      <c r="R1346" s="5">
        <v>6</v>
      </c>
      <c r="S1346" s="5">
        <v>49</v>
      </c>
    </row>
    <row r="1347" spans="1:19" ht="28" x14ac:dyDescent="0.15">
      <c r="A1347" s="2">
        <f>HYPERLINK("https://open-school.uspishnemisto.com.ua/school/70492/", 70492)</f>
        <v>70492</v>
      </c>
      <c r="B1347" s="3" t="s">
        <v>7336</v>
      </c>
      <c r="C1347" s="3" t="s">
        <v>31</v>
      </c>
      <c r="D1347" s="3" t="s">
        <v>175</v>
      </c>
      <c r="E1347" s="4" t="s">
        <v>22</v>
      </c>
      <c r="F1347" s="4" t="s">
        <v>7337</v>
      </c>
      <c r="G1347" s="4" t="s">
        <v>7338</v>
      </c>
      <c r="H1347" s="3" t="s">
        <v>4839</v>
      </c>
      <c r="I1347" s="3" t="s">
        <v>7339</v>
      </c>
      <c r="J1347" s="3" t="s">
        <v>7340</v>
      </c>
      <c r="K1347" s="3" t="s">
        <v>7341</v>
      </c>
      <c r="L1347" s="3"/>
      <c r="M1347" s="4"/>
      <c r="N1347" s="3" t="s">
        <v>37</v>
      </c>
      <c r="O1347" s="3" t="s">
        <v>52</v>
      </c>
      <c r="P1347" s="5">
        <v>8</v>
      </c>
      <c r="Q1347" s="5">
        <v>84</v>
      </c>
      <c r="R1347" s="5">
        <v>8</v>
      </c>
      <c r="S1347" s="5">
        <v>86</v>
      </c>
    </row>
    <row r="1348" spans="1:19" ht="42" x14ac:dyDescent="0.15">
      <c r="A1348" s="2">
        <f>HYPERLINK("https://open-school.uspishnemisto.com.ua/school/70493/", 70493)</f>
        <v>70493</v>
      </c>
      <c r="B1348" s="3" t="s">
        <v>7342</v>
      </c>
      <c r="C1348" s="3" t="s">
        <v>54</v>
      </c>
      <c r="D1348" s="3" t="s">
        <v>32</v>
      </c>
      <c r="E1348" s="4" t="s">
        <v>22</v>
      </c>
      <c r="F1348" s="4" t="s">
        <v>7343</v>
      </c>
      <c r="G1348" s="4" t="s">
        <v>7344</v>
      </c>
      <c r="H1348" s="3" t="s">
        <v>4839</v>
      </c>
      <c r="I1348" s="3" t="s">
        <v>7345</v>
      </c>
      <c r="J1348" s="3" t="s">
        <v>946</v>
      </c>
      <c r="K1348" s="3" t="s">
        <v>7346</v>
      </c>
      <c r="L1348" s="3"/>
      <c r="M1348" s="4"/>
      <c r="N1348" s="3" t="s">
        <v>37</v>
      </c>
      <c r="O1348" s="3" t="s">
        <v>52</v>
      </c>
      <c r="P1348" s="5">
        <v>10</v>
      </c>
      <c r="Q1348" s="5">
        <v>114</v>
      </c>
      <c r="R1348" s="5">
        <v>11</v>
      </c>
      <c r="S1348" s="5">
        <v>130</v>
      </c>
    </row>
    <row r="1349" spans="1:19" ht="42" x14ac:dyDescent="0.15">
      <c r="A1349" s="2">
        <f>HYPERLINK("https://open-school.uspishnemisto.com.ua/school/70494/", 70494)</f>
        <v>70494</v>
      </c>
      <c r="B1349" s="3" t="s">
        <v>7347</v>
      </c>
      <c r="C1349" s="3" t="s">
        <v>54</v>
      </c>
      <c r="D1349" s="3" t="s">
        <v>175</v>
      </c>
      <c r="E1349" s="4" t="s">
        <v>22</v>
      </c>
      <c r="F1349" s="4" t="s">
        <v>7348</v>
      </c>
      <c r="G1349" s="4" t="s">
        <v>7349</v>
      </c>
      <c r="H1349" s="3" t="s">
        <v>4839</v>
      </c>
      <c r="I1349" s="3" t="s">
        <v>7350</v>
      </c>
      <c r="J1349" s="3" t="s">
        <v>7351</v>
      </c>
      <c r="K1349" s="3" t="s">
        <v>7352</v>
      </c>
      <c r="L1349" s="3"/>
      <c r="M1349" s="4"/>
      <c r="N1349" s="3" t="s">
        <v>37</v>
      </c>
      <c r="O1349" s="3" t="s">
        <v>52</v>
      </c>
      <c r="P1349" s="5">
        <v>8</v>
      </c>
      <c r="Q1349" s="5">
        <v>84</v>
      </c>
      <c r="R1349" s="5">
        <v>8</v>
      </c>
      <c r="S1349" s="5">
        <v>86</v>
      </c>
    </row>
    <row r="1350" spans="1:19" ht="42" x14ac:dyDescent="0.15">
      <c r="A1350" s="2">
        <f>HYPERLINK("https://open-school.uspishnemisto.com.ua/school/70495/", 70495)</f>
        <v>70495</v>
      </c>
      <c r="B1350" s="3" t="s">
        <v>7353</v>
      </c>
      <c r="C1350" s="3" t="s">
        <v>54</v>
      </c>
      <c r="D1350" s="3" t="s">
        <v>32</v>
      </c>
      <c r="E1350" s="4" t="s">
        <v>22</v>
      </c>
      <c r="F1350" s="4" t="s">
        <v>7354</v>
      </c>
      <c r="G1350" s="4" t="s">
        <v>7355</v>
      </c>
      <c r="H1350" s="3" t="s">
        <v>4839</v>
      </c>
      <c r="I1350" s="3" t="s">
        <v>2744</v>
      </c>
      <c r="J1350" s="3" t="s">
        <v>466</v>
      </c>
      <c r="K1350" s="3" t="s">
        <v>7356</v>
      </c>
      <c r="L1350" s="3"/>
      <c r="M1350" s="4"/>
      <c r="N1350" s="3" t="s">
        <v>37</v>
      </c>
      <c r="O1350" s="3" t="s">
        <v>46</v>
      </c>
      <c r="P1350" s="5">
        <v>11</v>
      </c>
      <c r="Q1350" s="5">
        <v>192</v>
      </c>
      <c r="R1350" s="5">
        <v>11</v>
      </c>
      <c r="S1350" s="5">
        <v>184</v>
      </c>
    </row>
    <row r="1351" spans="1:19" ht="28" x14ac:dyDescent="0.15">
      <c r="A1351" s="2">
        <f>HYPERLINK("https://open-school.uspishnemisto.com.ua/school/70496/", 70496)</f>
        <v>70496</v>
      </c>
      <c r="B1351" s="3" t="s">
        <v>7357</v>
      </c>
      <c r="C1351" s="3" t="s">
        <v>31</v>
      </c>
      <c r="D1351" s="3" t="s">
        <v>175</v>
      </c>
      <c r="E1351" s="4" t="s">
        <v>22</v>
      </c>
      <c r="F1351" s="4" t="s">
        <v>7358</v>
      </c>
      <c r="G1351" s="4" t="s">
        <v>7359</v>
      </c>
      <c r="H1351" s="3" t="s">
        <v>4839</v>
      </c>
      <c r="I1351" s="3" t="s">
        <v>7360</v>
      </c>
      <c r="J1351" s="3" t="s">
        <v>7361</v>
      </c>
      <c r="K1351" s="3" t="s">
        <v>7362</v>
      </c>
      <c r="L1351" s="3"/>
      <c r="M1351" s="4"/>
      <c r="N1351" s="3" t="s">
        <v>37</v>
      </c>
      <c r="O1351" s="3" t="s">
        <v>46</v>
      </c>
      <c r="P1351" s="5">
        <v>7</v>
      </c>
      <c r="Q1351" s="5">
        <v>66</v>
      </c>
      <c r="R1351" s="5">
        <v>9</v>
      </c>
      <c r="S1351" s="5">
        <v>79</v>
      </c>
    </row>
    <row r="1352" spans="1:19" ht="28" x14ac:dyDescent="0.15">
      <c r="A1352" s="2">
        <f>HYPERLINK("https://open-school.uspishnemisto.com.ua/school/70497/", 70497)</f>
        <v>70497</v>
      </c>
      <c r="B1352" s="3" t="s">
        <v>7363</v>
      </c>
      <c r="C1352" s="3" t="s">
        <v>31</v>
      </c>
      <c r="D1352" s="3" t="s">
        <v>175</v>
      </c>
      <c r="E1352" s="4" t="s">
        <v>22</v>
      </c>
      <c r="F1352" s="4" t="s">
        <v>7364</v>
      </c>
      <c r="G1352" s="4" t="s">
        <v>7365</v>
      </c>
      <c r="H1352" s="3" t="s">
        <v>4839</v>
      </c>
      <c r="I1352" s="3" t="s">
        <v>7366</v>
      </c>
      <c r="J1352" s="3" t="s">
        <v>2417</v>
      </c>
      <c r="K1352" s="3" t="s">
        <v>7367</v>
      </c>
      <c r="L1352" s="3"/>
      <c r="M1352" s="4"/>
      <c r="N1352" s="3" t="s">
        <v>37</v>
      </c>
      <c r="O1352" s="3" t="s">
        <v>46</v>
      </c>
      <c r="P1352" s="5">
        <v>8</v>
      </c>
      <c r="Q1352" s="5">
        <v>72</v>
      </c>
      <c r="R1352" s="5">
        <v>8</v>
      </c>
      <c r="S1352" s="5">
        <v>69</v>
      </c>
    </row>
    <row r="1353" spans="1:19" ht="42" x14ac:dyDescent="0.15">
      <c r="A1353" s="2">
        <f>HYPERLINK("https://open-school.uspishnemisto.com.ua/school/70498/", 70498)</f>
        <v>70498</v>
      </c>
      <c r="B1353" s="3" t="s">
        <v>7368</v>
      </c>
      <c r="C1353" s="3" t="s">
        <v>54</v>
      </c>
      <c r="D1353" s="3" t="s">
        <v>32</v>
      </c>
      <c r="E1353" s="4" t="s">
        <v>22</v>
      </c>
      <c r="F1353" s="4" t="s">
        <v>7369</v>
      </c>
      <c r="G1353" s="4" t="s">
        <v>7370</v>
      </c>
      <c r="H1353" s="3" t="s">
        <v>4839</v>
      </c>
      <c r="I1353" s="3" t="s">
        <v>7371</v>
      </c>
      <c r="J1353" s="3" t="s">
        <v>7372</v>
      </c>
      <c r="K1353" s="3" t="s">
        <v>7373</v>
      </c>
      <c r="L1353" s="3"/>
      <c r="M1353" s="4"/>
      <c r="N1353" s="3" t="s">
        <v>37</v>
      </c>
      <c r="O1353" s="3" t="s">
        <v>52</v>
      </c>
      <c r="P1353" s="5">
        <v>11</v>
      </c>
      <c r="Q1353" s="5">
        <v>110</v>
      </c>
      <c r="R1353" s="5">
        <v>11</v>
      </c>
      <c r="S1353" s="5">
        <v>115</v>
      </c>
    </row>
    <row r="1354" spans="1:19" ht="28" x14ac:dyDescent="0.15">
      <c r="A1354" s="2">
        <f>HYPERLINK("https://open-school.uspishnemisto.com.ua/school/70499/", 70499)</f>
        <v>70499</v>
      </c>
      <c r="B1354" s="3" t="s">
        <v>7374</v>
      </c>
      <c r="C1354" s="3" t="s">
        <v>54</v>
      </c>
      <c r="D1354" s="3" t="s">
        <v>60</v>
      </c>
      <c r="E1354" s="4" t="s">
        <v>22</v>
      </c>
      <c r="F1354" s="4" t="s">
        <v>7375</v>
      </c>
      <c r="G1354" s="4" t="s">
        <v>7376</v>
      </c>
      <c r="H1354" s="3" t="s">
        <v>4839</v>
      </c>
      <c r="I1354" s="3" t="s">
        <v>7377</v>
      </c>
      <c r="J1354" s="3" t="s">
        <v>5421</v>
      </c>
      <c r="K1354" s="3" t="s">
        <v>7378</v>
      </c>
      <c r="L1354" s="3"/>
      <c r="M1354" s="4"/>
      <c r="N1354" s="3" t="s">
        <v>37</v>
      </c>
      <c r="O1354" s="3" t="s">
        <v>52</v>
      </c>
      <c r="P1354" s="5">
        <v>0</v>
      </c>
      <c r="Q1354" s="5">
        <v>8</v>
      </c>
      <c r="R1354" s="5">
        <v>0</v>
      </c>
      <c r="S1354" s="5">
        <v>9</v>
      </c>
    </row>
    <row r="1355" spans="1:19" ht="28" x14ac:dyDescent="0.15">
      <c r="A1355" s="2">
        <f>HYPERLINK("https://open-school.uspishnemisto.com.ua/school/70500/", 70500)</f>
        <v>70500</v>
      </c>
      <c r="B1355" s="3" t="s">
        <v>7379</v>
      </c>
      <c r="C1355" s="3" t="s">
        <v>31</v>
      </c>
      <c r="D1355" s="3" t="s">
        <v>32</v>
      </c>
      <c r="E1355" s="4" t="s">
        <v>22</v>
      </c>
      <c r="F1355" s="4" t="s">
        <v>7380</v>
      </c>
      <c r="G1355" s="4" t="s">
        <v>7381</v>
      </c>
      <c r="H1355" s="3" t="s">
        <v>4839</v>
      </c>
      <c r="I1355" s="3" t="s">
        <v>7382</v>
      </c>
      <c r="J1355" s="3" t="s">
        <v>6854</v>
      </c>
      <c r="K1355" s="3" t="s">
        <v>7383</v>
      </c>
      <c r="L1355" s="3"/>
      <c r="M1355" s="4"/>
      <c r="N1355" s="3" t="s">
        <v>37</v>
      </c>
      <c r="O1355" s="3" t="s">
        <v>52</v>
      </c>
      <c r="P1355" s="5">
        <v>11</v>
      </c>
      <c r="Q1355" s="5">
        <v>97</v>
      </c>
      <c r="R1355" s="5">
        <v>11</v>
      </c>
      <c r="S1355" s="5">
        <v>86</v>
      </c>
    </row>
    <row r="1356" spans="1:19" ht="28" x14ac:dyDescent="0.15">
      <c r="A1356" s="2">
        <f>HYPERLINK("https://open-school.uspishnemisto.com.ua/school/70501/", 70501)</f>
        <v>70501</v>
      </c>
      <c r="B1356" s="3" t="s">
        <v>7384</v>
      </c>
      <c r="C1356" s="3" t="s">
        <v>31</v>
      </c>
      <c r="D1356" s="3" t="s">
        <v>175</v>
      </c>
      <c r="E1356" s="4" t="s">
        <v>22</v>
      </c>
      <c r="F1356" s="4" t="s">
        <v>7385</v>
      </c>
      <c r="G1356" s="4" t="s">
        <v>7386</v>
      </c>
      <c r="H1356" s="3" t="s">
        <v>4839</v>
      </c>
      <c r="I1356" s="3" t="s">
        <v>7387</v>
      </c>
      <c r="J1356" s="3" t="s">
        <v>466</v>
      </c>
      <c r="K1356" s="3"/>
      <c r="L1356" s="3"/>
      <c r="M1356" s="4"/>
      <c r="N1356" s="3" t="s">
        <v>37</v>
      </c>
      <c r="O1356" s="3" t="s">
        <v>52</v>
      </c>
      <c r="P1356" s="5">
        <v>5</v>
      </c>
      <c r="Q1356" s="5">
        <v>29</v>
      </c>
      <c r="R1356" s="5">
        <v>4</v>
      </c>
      <c r="S1356" s="5">
        <v>30</v>
      </c>
    </row>
    <row r="1357" spans="1:19" ht="42" x14ac:dyDescent="0.15">
      <c r="A1357" s="2">
        <f>HYPERLINK("https://open-school.uspishnemisto.com.ua/school/70502/", 70502)</f>
        <v>70502</v>
      </c>
      <c r="B1357" s="3" t="s">
        <v>7388</v>
      </c>
      <c r="C1357" s="3" t="s">
        <v>31</v>
      </c>
      <c r="D1357" s="3" t="s">
        <v>32</v>
      </c>
      <c r="E1357" s="4" t="s">
        <v>22</v>
      </c>
      <c r="F1357" s="4" t="s">
        <v>7389</v>
      </c>
      <c r="G1357" s="4" t="s">
        <v>7390</v>
      </c>
      <c r="H1357" s="3" t="s">
        <v>4839</v>
      </c>
      <c r="I1357" s="3" t="s">
        <v>7391</v>
      </c>
      <c r="J1357" s="3" t="s">
        <v>7392</v>
      </c>
      <c r="K1357" s="3" t="s">
        <v>7393</v>
      </c>
      <c r="L1357" s="3" t="s">
        <v>7394</v>
      </c>
      <c r="M1357" s="4"/>
      <c r="N1357" s="3" t="s">
        <v>37</v>
      </c>
      <c r="O1357" s="3" t="s">
        <v>52</v>
      </c>
      <c r="P1357" s="5">
        <v>30</v>
      </c>
      <c r="Q1357" s="5">
        <v>713</v>
      </c>
      <c r="R1357" s="5">
        <v>30</v>
      </c>
      <c r="S1357" s="5">
        <v>677</v>
      </c>
    </row>
    <row r="1358" spans="1:19" ht="28" x14ac:dyDescent="0.15">
      <c r="A1358" s="2">
        <f>HYPERLINK("https://open-school.uspishnemisto.com.ua/school/70503/", 70503)</f>
        <v>70503</v>
      </c>
      <c r="B1358" s="3" t="s">
        <v>7395</v>
      </c>
      <c r="C1358" s="3" t="s">
        <v>20</v>
      </c>
      <c r="D1358" s="3" t="s">
        <v>21</v>
      </c>
      <c r="E1358" s="4" t="s">
        <v>22</v>
      </c>
      <c r="F1358" s="4" t="s">
        <v>7396</v>
      </c>
      <c r="G1358" s="4" t="s">
        <v>7390</v>
      </c>
      <c r="H1358" s="3" t="s">
        <v>4839</v>
      </c>
      <c r="I1358" s="3" t="s">
        <v>7391</v>
      </c>
      <c r="J1358" s="3" t="s">
        <v>7397</v>
      </c>
      <c r="K1358" s="3"/>
      <c r="L1358" s="3"/>
      <c r="M1358" s="4"/>
      <c r="N1358" s="3"/>
      <c r="O1358" s="3"/>
      <c r="P1358" s="5">
        <v>0</v>
      </c>
      <c r="Q1358" s="5">
        <v>0</v>
      </c>
      <c r="R1358" s="5"/>
      <c r="S1358" s="5"/>
    </row>
    <row r="1359" spans="1:19" ht="56" x14ac:dyDescent="0.15">
      <c r="A1359" s="2">
        <f>HYPERLINK("https://open-school.uspishnemisto.com.ua/school/70504/", 70504)</f>
        <v>70504</v>
      </c>
      <c r="B1359" s="3" t="s">
        <v>7398</v>
      </c>
      <c r="C1359" s="3" t="s">
        <v>40</v>
      </c>
      <c r="D1359" s="3" t="s">
        <v>32</v>
      </c>
      <c r="E1359" s="4" t="s">
        <v>22</v>
      </c>
      <c r="F1359" s="4" t="s">
        <v>7389</v>
      </c>
      <c r="G1359" s="4" t="s">
        <v>7390</v>
      </c>
      <c r="H1359" s="3" t="s">
        <v>4839</v>
      </c>
      <c r="I1359" s="3" t="s">
        <v>7391</v>
      </c>
      <c r="J1359" s="3" t="s">
        <v>7399</v>
      </c>
      <c r="K1359" s="3" t="s">
        <v>7400</v>
      </c>
      <c r="L1359" s="3"/>
      <c r="M1359" s="4"/>
      <c r="N1359" s="3" t="s">
        <v>37</v>
      </c>
      <c r="O1359" s="3" t="s">
        <v>70</v>
      </c>
      <c r="P1359" s="5">
        <v>34</v>
      </c>
      <c r="Q1359" s="5">
        <v>783</v>
      </c>
      <c r="R1359" s="5">
        <v>34</v>
      </c>
      <c r="S1359" s="5">
        <v>788</v>
      </c>
    </row>
    <row r="1360" spans="1:19" ht="42" x14ac:dyDescent="0.15">
      <c r="A1360" s="2">
        <f>HYPERLINK("https://open-school.uspishnemisto.com.ua/school/70505/", 70505)</f>
        <v>70505</v>
      </c>
      <c r="B1360" s="3" t="s">
        <v>7401</v>
      </c>
      <c r="C1360" s="3" t="s">
        <v>188</v>
      </c>
      <c r="D1360" s="3" t="s">
        <v>32</v>
      </c>
      <c r="E1360" s="4" t="s">
        <v>22</v>
      </c>
      <c r="F1360" s="4" t="s">
        <v>7402</v>
      </c>
      <c r="G1360" s="4" t="s">
        <v>7403</v>
      </c>
      <c r="H1360" s="3" t="s">
        <v>4839</v>
      </c>
      <c r="I1360" s="3" t="s">
        <v>7404</v>
      </c>
      <c r="J1360" s="3" t="s">
        <v>946</v>
      </c>
      <c r="K1360" s="3"/>
      <c r="L1360" s="3" t="s">
        <v>7405</v>
      </c>
      <c r="M1360" s="4"/>
      <c r="N1360" s="3" t="s">
        <v>37</v>
      </c>
      <c r="O1360" s="3" t="s">
        <v>70</v>
      </c>
      <c r="P1360" s="5">
        <v>55</v>
      </c>
      <c r="Q1360" s="5">
        <v>973</v>
      </c>
      <c r="R1360" s="5">
        <v>53</v>
      </c>
      <c r="S1360" s="5">
        <v>945</v>
      </c>
    </row>
    <row r="1361" spans="1:19" ht="28" x14ac:dyDescent="0.15">
      <c r="A1361" s="2">
        <f>HYPERLINK("https://open-school.uspishnemisto.com.ua/school/70506/", 70506)</f>
        <v>70506</v>
      </c>
      <c r="B1361" s="3" t="s">
        <v>7406</v>
      </c>
      <c r="C1361" s="3" t="s">
        <v>31</v>
      </c>
      <c r="D1361" s="3" t="s">
        <v>32</v>
      </c>
      <c r="E1361" s="4" t="s">
        <v>22</v>
      </c>
      <c r="F1361" s="4" t="s">
        <v>7407</v>
      </c>
      <c r="G1361" s="4" t="s">
        <v>7408</v>
      </c>
      <c r="H1361" s="3" t="s">
        <v>4839</v>
      </c>
      <c r="I1361" s="3" t="s">
        <v>7409</v>
      </c>
      <c r="J1361" s="3" t="s">
        <v>7410</v>
      </c>
      <c r="K1361" s="3" t="s">
        <v>7411</v>
      </c>
      <c r="L1361" s="3"/>
      <c r="M1361" s="4"/>
      <c r="N1361" s="3" t="s">
        <v>37</v>
      </c>
      <c r="O1361" s="3" t="s">
        <v>46</v>
      </c>
      <c r="P1361" s="5">
        <v>11</v>
      </c>
      <c r="Q1361" s="5">
        <v>98</v>
      </c>
      <c r="R1361" s="5">
        <v>11</v>
      </c>
      <c r="S1361" s="5">
        <v>103</v>
      </c>
    </row>
    <row r="1362" spans="1:19" ht="28" x14ac:dyDescent="0.15">
      <c r="A1362" s="2">
        <f>HYPERLINK("https://open-school.uspishnemisto.com.ua/school/70507/", 70507)</f>
        <v>70507</v>
      </c>
      <c r="B1362" s="3" t="s">
        <v>7412</v>
      </c>
      <c r="C1362" s="3" t="s">
        <v>31</v>
      </c>
      <c r="D1362" s="3" t="s">
        <v>175</v>
      </c>
      <c r="E1362" s="4" t="s">
        <v>22</v>
      </c>
      <c r="F1362" s="4" t="s">
        <v>7413</v>
      </c>
      <c r="G1362" s="4" t="s">
        <v>7414</v>
      </c>
      <c r="H1362" s="3" t="s">
        <v>4839</v>
      </c>
      <c r="I1362" s="3" t="s">
        <v>7415</v>
      </c>
      <c r="J1362" s="3" t="s">
        <v>7416</v>
      </c>
      <c r="K1362" s="3" t="s">
        <v>7417</v>
      </c>
      <c r="L1362" s="3"/>
      <c r="M1362" s="4"/>
      <c r="N1362" s="3" t="s">
        <v>37</v>
      </c>
      <c r="O1362" s="3" t="s">
        <v>46</v>
      </c>
      <c r="P1362" s="5">
        <v>9</v>
      </c>
      <c r="Q1362" s="5">
        <v>74</v>
      </c>
      <c r="R1362" s="5">
        <v>9</v>
      </c>
      <c r="S1362" s="5">
        <v>72</v>
      </c>
    </row>
    <row r="1363" spans="1:19" ht="28" x14ac:dyDescent="0.15">
      <c r="A1363" s="2">
        <f>HYPERLINK("https://open-school.uspishnemisto.com.ua/school/70508/", 70508)</f>
        <v>70508</v>
      </c>
      <c r="B1363" s="3" t="s">
        <v>7418</v>
      </c>
      <c r="C1363" s="3" t="s">
        <v>31</v>
      </c>
      <c r="D1363" s="3" t="s">
        <v>32</v>
      </c>
      <c r="E1363" s="4" t="s">
        <v>22</v>
      </c>
      <c r="F1363" s="4" t="s">
        <v>7419</v>
      </c>
      <c r="G1363" s="4" t="s">
        <v>7420</v>
      </c>
      <c r="H1363" s="3" t="s">
        <v>4839</v>
      </c>
      <c r="I1363" s="3" t="s">
        <v>7421</v>
      </c>
      <c r="J1363" s="3" t="s">
        <v>2978</v>
      </c>
      <c r="K1363" s="3" t="s">
        <v>7422</v>
      </c>
      <c r="L1363" s="3"/>
      <c r="M1363" s="4"/>
      <c r="N1363" s="3" t="s">
        <v>37</v>
      </c>
      <c r="O1363" s="3" t="s">
        <v>46</v>
      </c>
      <c r="P1363" s="5">
        <v>11</v>
      </c>
      <c r="Q1363" s="5">
        <v>205</v>
      </c>
      <c r="R1363" s="5">
        <v>11</v>
      </c>
      <c r="S1363" s="5">
        <v>200</v>
      </c>
    </row>
    <row r="1364" spans="1:19" ht="28" x14ac:dyDescent="0.15">
      <c r="A1364" s="2">
        <f>HYPERLINK("https://open-school.uspishnemisto.com.ua/school/70509/", 70509)</f>
        <v>70509</v>
      </c>
      <c r="B1364" s="3" t="s">
        <v>7423</v>
      </c>
      <c r="C1364" s="3" t="s">
        <v>31</v>
      </c>
      <c r="D1364" s="3" t="s">
        <v>175</v>
      </c>
      <c r="E1364" s="4" t="s">
        <v>22</v>
      </c>
      <c r="F1364" s="4" t="s">
        <v>7424</v>
      </c>
      <c r="G1364" s="4" t="s">
        <v>7425</v>
      </c>
      <c r="H1364" s="3" t="s">
        <v>4839</v>
      </c>
      <c r="I1364" s="3" t="s">
        <v>7426</v>
      </c>
      <c r="J1364" s="3" t="s">
        <v>7427</v>
      </c>
      <c r="K1364" s="3" t="s">
        <v>7428</v>
      </c>
      <c r="L1364" s="3"/>
      <c r="M1364" s="4"/>
      <c r="N1364" s="3" t="s">
        <v>37</v>
      </c>
      <c r="O1364" s="3" t="s">
        <v>52</v>
      </c>
      <c r="P1364" s="5">
        <v>0</v>
      </c>
      <c r="Q1364" s="5">
        <v>0</v>
      </c>
      <c r="R1364" s="5">
        <v>8</v>
      </c>
      <c r="S1364" s="5">
        <v>54</v>
      </c>
    </row>
    <row r="1365" spans="1:19" ht="28" x14ac:dyDescent="0.15">
      <c r="A1365" s="2">
        <f>HYPERLINK("https://open-school.uspishnemisto.com.ua/school/70510/", 70510)</f>
        <v>70510</v>
      </c>
      <c r="B1365" s="3" t="s">
        <v>7429</v>
      </c>
      <c r="C1365" s="3" t="s">
        <v>31</v>
      </c>
      <c r="D1365" s="3" t="s">
        <v>60</v>
      </c>
      <c r="E1365" s="4" t="s">
        <v>22</v>
      </c>
      <c r="F1365" s="4" t="s">
        <v>7424</v>
      </c>
      <c r="G1365" s="4" t="s">
        <v>7430</v>
      </c>
      <c r="H1365" s="3" t="s">
        <v>4839</v>
      </c>
      <c r="I1365" s="3" t="s">
        <v>7431</v>
      </c>
      <c r="J1365" s="3" t="s">
        <v>7432</v>
      </c>
      <c r="K1365" s="3"/>
      <c r="L1365" s="3"/>
      <c r="M1365" s="4"/>
      <c r="N1365" s="3" t="s">
        <v>37</v>
      </c>
      <c r="O1365" s="3"/>
      <c r="P1365" s="5">
        <v>0</v>
      </c>
      <c r="Q1365" s="5">
        <v>0</v>
      </c>
      <c r="R1365" s="5">
        <v>4</v>
      </c>
      <c r="S1365" s="5">
        <v>28</v>
      </c>
    </row>
    <row r="1366" spans="1:19" ht="28" x14ac:dyDescent="0.15">
      <c r="A1366" s="2">
        <f>HYPERLINK("https://open-school.uspishnemisto.com.ua/school/70511/", 70511)</f>
        <v>70511</v>
      </c>
      <c r="B1366" s="3" t="s">
        <v>7433</v>
      </c>
      <c r="C1366" s="3" t="s">
        <v>31</v>
      </c>
      <c r="D1366" s="3" t="s">
        <v>32</v>
      </c>
      <c r="E1366" s="4" t="s">
        <v>22</v>
      </c>
      <c r="F1366" s="4" t="s">
        <v>7434</v>
      </c>
      <c r="G1366" s="4" t="s">
        <v>7435</v>
      </c>
      <c r="H1366" s="3" t="s">
        <v>4839</v>
      </c>
      <c r="I1366" s="3" t="s">
        <v>7436</v>
      </c>
      <c r="J1366" s="3" t="s">
        <v>4747</v>
      </c>
      <c r="K1366" s="3" t="s">
        <v>7437</v>
      </c>
      <c r="L1366" s="3" t="s">
        <v>7438</v>
      </c>
      <c r="M1366" s="4"/>
      <c r="N1366" s="3" t="s">
        <v>37</v>
      </c>
      <c r="O1366" s="3" t="s">
        <v>46</v>
      </c>
      <c r="P1366" s="5">
        <v>11</v>
      </c>
      <c r="Q1366" s="5">
        <v>151</v>
      </c>
      <c r="R1366" s="5">
        <v>11</v>
      </c>
      <c r="S1366" s="5">
        <v>152</v>
      </c>
    </row>
    <row r="1367" spans="1:19" ht="28" x14ac:dyDescent="0.15">
      <c r="A1367" s="2">
        <f>HYPERLINK("https://open-school.uspishnemisto.com.ua/school/70512/", 70512)</f>
        <v>70512</v>
      </c>
      <c r="B1367" s="3" t="s">
        <v>7439</v>
      </c>
      <c r="C1367" s="3" t="s">
        <v>31</v>
      </c>
      <c r="D1367" s="3" t="s">
        <v>60</v>
      </c>
      <c r="E1367" s="4" t="s">
        <v>22</v>
      </c>
      <c r="F1367" s="4" t="s">
        <v>7434</v>
      </c>
      <c r="G1367" s="4" t="s">
        <v>7440</v>
      </c>
      <c r="H1367" s="3" t="s">
        <v>4839</v>
      </c>
      <c r="I1367" s="3" t="s">
        <v>7441</v>
      </c>
      <c r="J1367" s="3" t="s">
        <v>1360</v>
      </c>
      <c r="K1367" s="3" t="s">
        <v>7442</v>
      </c>
      <c r="L1367" s="3"/>
      <c r="M1367" s="4"/>
      <c r="N1367" s="3" t="s">
        <v>37</v>
      </c>
      <c r="O1367" s="3" t="s">
        <v>52</v>
      </c>
      <c r="P1367" s="5">
        <v>2</v>
      </c>
      <c r="Q1367" s="5">
        <v>22</v>
      </c>
      <c r="R1367" s="5">
        <v>2</v>
      </c>
      <c r="S1367" s="5">
        <v>21</v>
      </c>
    </row>
    <row r="1368" spans="1:19" ht="28" x14ac:dyDescent="0.15">
      <c r="A1368" s="2">
        <f>HYPERLINK("https://open-school.uspishnemisto.com.ua/school/70514/", 70514)</f>
        <v>70514</v>
      </c>
      <c r="B1368" s="3" t="s">
        <v>7443</v>
      </c>
      <c r="C1368" s="3" t="s">
        <v>31</v>
      </c>
      <c r="D1368" s="3" t="s">
        <v>32</v>
      </c>
      <c r="E1368" s="4" t="s">
        <v>22</v>
      </c>
      <c r="F1368" s="4" t="s">
        <v>7444</v>
      </c>
      <c r="G1368" s="4" t="s">
        <v>7445</v>
      </c>
      <c r="H1368" s="3" t="s">
        <v>4839</v>
      </c>
      <c r="I1368" s="3" t="s">
        <v>7446</v>
      </c>
      <c r="J1368" s="3" t="s">
        <v>792</v>
      </c>
      <c r="K1368" s="3"/>
      <c r="L1368" s="3"/>
      <c r="M1368" s="4"/>
      <c r="N1368" s="3" t="s">
        <v>37</v>
      </c>
      <c r="O1368" s="3" t="s">
        <v>46</v>
      </c>
      <c r="P1368" s="5">
        <v>10</v>
      </c>
      <c r="Q1368" s="5">
        <v>105</v>
      </c>
      <c r="R1368" s="5">
        <v>11</v>
      </c>
      <c r="S1368" s="5">
        <v>110</v>
      </c>
    </row>
    <row r="1369" spans="1:19" ht="28" x14ac:dyDescent="0.15">
      <c r="A1369" s="2">
        <f>HYPERLINK("https://open-school.uspishnemisto.com.ua/school/70515/", 70515)</f>
        <v>70515</v>
      </c>
      <c r="B1369" s="3" t="s">
        <v>7447</v>
      </c>
      <c r="C1369" s="3" t="s">
        <v>31</v>
      </c>
      <c r="D1369" s="3" t="s">
        <v>32</v>
      </c>
      <c r="E1369" s="4" t="s">
        <v>22</v>
      </c>
      <c r="F1369" s="4" t="s">
        <v>7448</v>
      </c>
      <c r="G1369" s="4" t="s">
        <v>7449</v>
      </c>
      <c r="H1369" s="3" t="s">
        <v>4839</v>
      </c>
      <c r="I1369" s="3" t="s">
        <v>7450</v>
      </c>
      <c r="J1369" s="3" t="s">
        <v>7451</v>
      </c>
      <c r="K1369" s="3" t="s">
        <v>7452</v>
      </c>
      <c r="L1369" s="3" t="s">
        <v>7453</v>
      </c>
      <c r="M1369" s="4"/>
      <c r="N1369" s="3" t="s">
        <v>37</v>
      </c>
      <c r="O1369" s="3" t="s">
        <v>46</v>
      </c>
      <c r="P1369" s="5">
        <v>13</v>
      </c>
      <c r="Q1369" s="5">
        <v>241</v>
      </c>
      <c r="R1369" s="5">
        <v>12</v>
      </c>
      <c r="S1369" s="5">
        <v>228</v>
      </c>
    </row>
    <row r="1370" spans="1:19" ht="28" x14ac:dyDescent="0.15">
      <c r="A1370" s="2">
        <f>HYPERLINK("https://open-school.uspishnemisto.com.ua/school/70516/", 70516)</f>
        <v>70516</v>
      </c>
      <c r="B1370" s="3" t="s">
        <v>7454</v>
      </c>
      <c r="C1370" s="3" t="s">
        <v>31</v>
      </c>
      <c r="D1370" s="3" t="s">
        <v>175</v>
      </c>
      <c r="E1370" s="4" t="s">
        <v>22</v>
      </c>
      <c r="F1370" s="4" t="s">
        <v>7448</v>
      </c>
      <c r="G1370" s="4" t="s">
        <v>7455</v>
      </c>
      <c r="H1370" s="3" t="s">
        <v>4839</v>
      </c>
      <c r="I1370" s="3" t="s">
        <v>7456</v>
      </c>
      <c r="J1370" s="3" t="s">
        <v>6191</v>
      </c>
      <c r="K1370" s="3" t="s">
        <v>7457</v>
      </c>
      <c r="L1370" s="3" t="s">
        <v>7458</v>
      </c>
      <c r="M1370" s="4"/>
      <c r="N1370" s="3" t="s">
        <v>37</v>
      </c>
      <c r="O1370" s="3" t="s">
        <v>46</v>
      </c>
      <c r="P1370" s="5">
        <v>8</v>
      </c>
      <c r="Q1370" s="5">
        <v>69</v>
      </c>
      <c r="R1370" s="5">
        <v>8</v>
      </c>
      <c r="S1370" s="5">
        <v>70</v>
      </c>
    </row>
    <row r="1371" spans="1:19" ht="28" x14ac:dyDescent="0.15">
      <c r="A1371" s="2">
        <f>HYPERLINK("https://open-school.uspishnemisto.com.ua/school/70518/", 70518)</f>
        <v>70518</v>
      </c>
      <c r="B1371" s="3" t="s">
        <v>7459</v>
      </c>
      <c r="C1371" s="3" t="s">
        <v>31</v>
      </c>
      <c r="D1371" s="3" t="s">
        <v>32</v>
      </c>
      <c r="E1371" s="4" t="s">
        <v>22</v>
      </c>
      <c r="F1371" s="4" t="s">
        <v>7460</v>
      </c>
      <c r="G1371" s="4" t="s">
        <v>7461</v>
      </c>
      <c r="H1371" s="3" t="s">
        <v>4839</v>
      </c>
      <c r="I1371" s="3" t="s">
        <v>7462</v>
      </c>
      <c r="J1371" s="3" t="s">
        <v>7463</v>
      </c>
      <c r="K1371" s="3" t="s">
        <v>7464</v>
      </c>
      <c r="L1371" s="3" t="s">
        <v>7465</v>
      </c>
      <c r="M1371" s="4"/>
      <c r="N1371" s="3" t="s">
        <v>37</v>
      </c>
      <c r="O1371" s="3" t="s">
        <v>46</v>
      </c>
      <c r="P1371" s="5">
        <v>11</v>
      </c>
      <c r="Q1371" s="5">
        <v>125</v>
      </c>
      <c r="R1371" s="5">
        <v>11</v>
      </c>
      <c r="S1371" s="5">
        <v>127</v>
      </c>
    </row>
    <row r="1372" spans="1:19" ht="28" x14ac:dyDescent="0.15">
      <c r="A1372" s="2">
        <f>HYPERLINK("https://open-school.uspishnemisto.com.ua/school/70519/", 70519)</f>
        <v>70519</v>
      </c>
      <c r="B1372" s="3" t="s">
        <v>7466</v>
      </c>
      <c r="C1372" s="3" t="s">
        <v>31</v>
      </c>
      <c r="D1372" s="3" t="s">
        <v>175</v>
      </c>
      <c r="E1372" s="4" t="s">
        <v>22</v>
      </c>
      <c r="F1372" s="4" t="s">
        <v>7467</v>
      </c>
      <c r="G1372" s="4" t="s">
        <v>7468</v>
      </c>
      <c r="H1372" s="3" t="s">
        <v>4839</v>
      </c>
      <c r="I1372" s="3" t="s">
        <v>7469</v>
      </c>
      <c r="J1372" s="3" t="s">
        <v>466</v>
      </c>
      <c r="K1372" s="3" t="s">
        <v>7470</v>
      </c>
      <c r="L1372" s="3"/>
      <c r="M1372" s="4"/>
      <c r="N1372" s="3" t="s">
        <v>37</v>
      </c>
      <c r="O1372" s="3" t="s">
        <v>46</v>
      </c>
      <c r="P1372" s="5">
        <v>9</v>
      </c>
      <c r="Q1372" s="5">
        <v>111</v>
      </c>
      <c r="R1372" s="5">
        <v>9</v>
      </c>
      <c r="S1372" s="5">
        <v>104</v>
      </c>
    </row>
    <row r="1373" spans="1:19" ht="28" x14ac:dyDescent="0.15">
      <c r="A1373" s="2">
        <f>HYPERLINK("https://open-school.uspishnemisto.com.ua/school/70520/", 70520)</f>
        <v>70520</v>
      </c>
      <c r="B1373" s="3" t="s">
        <v>7471</v>
      </c>
      <c r="C1373" s="3" t="s">
        <v>31</v>
      </c>
      <c r="D1373" s="3" t="s">
        <v>175</v>
      </c>
      <c r="E1373" s="4" t="s">
        <v>22</v>
      </c>
      <c r="F1373" s="4" t="s">
        <v>7472</v>
      </c>
      <c r="G1373" s="4" t="s">
        <v>7473</v>
      </c>
      <c r="H1373" s="3" t="s">
        <v>4839</v>
      </c>
      <c r="I1373" s="3" t="s">
        <v>5871</v>
      </c>
      <c r="J1373" s="3" t="s">
        <v>7474</v>
      </c>
      <c r="K1373" s="3" t="s">
        <v>7475</v>
      </c>
      <c r="L1373" s="3"/>
      <c r="M1373" s="4"/>
      <c r="N1373" s="3" t="s">
        <v>37</v>
      </c>
      <c r="O1373" s="3" t="s">
        <v>46</v>
      </c>
      <c r="P1373" s="5">
        <v>9</v>
      </c>
      <c r="Q1373" s="5">
        <v>134</v>
      </c>
      <c r="R1373" s="5">
        <v>9</v>
      </c>
      <c r="S1373" s="5">
        <v>129</v>
      </c>
    </row>
    <row r="1374" spans="1:19" ht="28" x14ac:dyDescent="0.15">
      <c r="A1374" s="2">
        <f>HYPERLINK("https://open-school.uspishnemisto.com.ua/school/70522/", 70522)</f>
        <v>70522</v>
      </c>
      <c r="B1374" s="3" t="s">
        <v>7476</v>
      </c>
      <c r="C1374" s="3" t="s">
        <v>31</v>
      </c>
      <c r="D1374" s="3" t="s">
        <v>32</v>
      </c>
      <c r="E1374" s="4" t="s">
        <v>22</v>
      </c>
      <c r="F1374" s="4" t="s">
        <v>7477</v>
      </c>
      <c r="G1374" s="4" t="s">
        <v>7478</v>
      </c>
      <c r="H1374" s="3" t="s">
        <v>4839</v>
      </c>
      <c r="I1374" s="3" t="s">
        <v>7479</v>
      </c>
      <c r="J1374" s="3" t="s">
        <v>7480</v>
      </c>
      <c r="K1374" s="3" t="s">
        <v>7481</v>
      </c>
      <c r="L1374" s="3"/>
      <c r="M1374" s="4"/>
      <c r="N1374" s="3" t="s">
        <v>37</v>
      </c>
      <c r="O1374" s="3" t="s">
        <v>70</v>
      </c>
      <c r="P1374" s="5">
        <v>11</v>
      </c>
      <c r="Q1374" s="5">
        <v>136</v>
      </c>
      <c r="R1374" s="5">
        <v>11</v>
      </c>
      <c r="S1374" s="5">
        <v>139</v>
      </c>
    </row>
    <row r="1375" spans="1:19" ht="42" x14ac:dyDescent="0.15">
      <c r="A1375" s="2">
        <f>HYPERLINK("https://open-school.uspishnemisto.com.ua/school/70523/", 70523)</f>
        <v>70523</v>
      </c>
      <c r="B1375" s="3" t="s">
        <v>7482</v>
      </c>
      <c r="C1375" s="3" t="s">
        <v>54</v>
      </c>
      <c r="D1375" s="3" t="s">
        <v>175</v>
      </c>
      <c r="E1375" s="4" t="s">
        <v>22</v>
      </c>
      <c r="F1375" s="4" t="s">
        <v>7483</v>
      </c>
      <c r="G1375" s="4" t="s">
        <v>7484</v>
      </c>
      <c r="H1375" s="3" t="s">
        <v>4839</v>
      </c>
      <c r="I1375" s="3" t="s">
        <v>7485</v>
      </c>
      <c r="J1375" s="3" t="s">
        <v>2476</v>
      </c>
      <c r="K1375" s="3" t="s">
        <v>7486</v>
      </c>
      <c r="L1375" s="3"/>
      <c r="M1375" s="4"/>
      <c r="N1375" s="3" t="s">
        <v>37</v>
      </c>
      <c r="O1375" s="3" t="s">
        <v>46</v>
      </c>
      <c r="P1375" s="5">
        <v>9</v>
      </c>
      <c r="Q1375" s="5">
        <v>92</v>
      </c>
      <c r="R1375" s="5">
        <v>9</v>
      </c>
      <c r="S1375" s="5">
        <v>83</v>
      </c>
    </row>
    <row r="1376" spans="1:19" ht="28" x14ac:dyDescent="0.15">
      <c r="A1376" s="2">
        <f>HYPERLINK("https://open-school.uspishnemisto.com.ua/school/70524/", 70524)</f>
        <v>70524</v>
      </c>
      <c r="B1376" s="3" t="s">
        <v>7487</v>
      </c>
      <c r="C1376" s="3" t="s">
        <v>31</v>
      </c>
      <c r="D1376" s="3" t="s">
        <v>32</v>
      </c>
      <c r="E1376" s="4" t="s">
        <v>22</v>
      </c>
      <c r="F1376" s="4" t="s">
        <v>7488</v>
      </c>
      <c r="G1376" s="4" t="s">
        <v>7489</v>
      </c>
      <c r="H1376" s="3" t="s">
        <v>4839</v>
      </c>
      <c r="I1376" s="3" t="s">
        <v>7490</v>
      </c>
      <c r="J1376" s="3" t="s">
        <v>3501</v>
      </c>
      <c r="K1376" s="3" t="s">
        <v>7491</v>
      </c>
      <c r="L1376" s="3"/>
      <c r="M1376" s="4"/>
      <c r="N1376" s="3" t="s">
        <v>37</v>
      </c>
      <c r="O1376" s="3" t="s">
        <v>46</v>
      </c>
      <c r="P1376" s="5">
        <v>11</v>
      </c>
      <c r="Q1376" s="5">
        <v>121</v>
      </c>
      <c r="R1376" s="5">
        <v>11</v>
      </c>
      <c r="S1376" s="5">
        <v>104</v>
      </c>
    </row>
    <row r="1377" spans="1:19" ht="28" x14ac:dyDescent="0.15">
      <c r="A1377" s="2">
        <f>HYPERLINK("https://open-school.uspishnemisto.com.ua/school/70525/", 70525)</f>
        <v>70525</v>
      </c>
      <c r="B1377" s="3" t="s">
        <v>7492</v>
      </c>
      <c r="C1377" s="3" t="s">
        <v>31</v>
      </c>
      <c r="D1377" s="3" t="s">
        <v>175</v>
      </c>
      <c r="E1377" s="4" t="s">
        <v>22</v>
      </c>
      <c r="F1377" s="4" t="s">
        <v>7424</v>
      </c>
      <c r="G1377" s="4" t="s">
        <v>7493</v>
      </c>
      <c r="H1377" s="3" t="s">
        <v>4839</v>
      </c>
      <c r="I1377" s="3" t="s">
        <v>7494</v>
      </c>
      <c r="J1377" s="3" t="s">
        <v>7495</v>
      </c>
      <c r="K1377" s="3" t="s">
        <v>7496</v>
      </c>
      <c r="L1377" s="3"/>
      <c r="M1377" s="4"/>
      <c r="N1377" s="3" t="s">
        <v>37</v>
      </c>
      <c r="O1377" s="3" t="s">
        <v>46</v>
      </c>
      <c r="P1377" s="5">
        <v>3</v>
      </c>
      <c r="Q1377" s="5">
        <v>28</v>
      </c>
      <c r="R1377" s="5">
        <v>3</v>
      </c>
      <c r="S1377" s="5">
        <v>31</v>
      </c>
    </row>
    <row r="1378" spans="1:19" ht="28" x14ac:dyDescent="0.15">
      <c r="A1378" s="2">
        <f>HYPERLINK("https://open-school.uspishnemisto.com.ua/school/70526/", 70526)</f>
        <v>70526</v>
      </c>
      <c r="B1378" s="3" t="s">
        <v>7497</v>
      </c>
      <c r="C1378" s="3" t="s">
        <v>31</v>
      </c>
      <c r="D1378" s="3" t="s">
        <v>175</v>
      </c>
      <c r="E1378" s="4" t="s">
        <v>22</v>
      </c>
      <c r="F1378" s="4" t="s">
        <v>7488</v>
      </c>
      <c r="G1378" s="4" t="s">
        <v>7498</v>
      </c>
      <c r="H1378" s="3" t="s">
        <v>4839</v>
      </c>
      <c r="I1378" s="3" t="s">
        <v>7499</v>
      </c>
      <c r="J1378" s="3" t="s">
        <v>634</v>
      </c>
      <c r="K1378" s="3" t="s">
        <v>7500</v>
      </c>
      <c r="L1378" s="3"/>
      <c r="M1378" s="4"/>
      <c r="N1378" s="3" t="s">
        <v>37</v>
      </c>
      <c r="O1378" s="3" t="s">
        <v>46</v>
      </c>
      <c r="P1378" s="5">
        <v>6</v>
      </c>
      <c r="Q1378" s="5">
        <v>45</v>
      </c>
      <c r="R1378" s="5">
        <v>6</v>
      </c>
      <c r="S1378" s="5">
        <v>43</v>
      </c>
    </row>
    <row r="1379" spans="1:19" ht="28" x14ac:dyDescent="0.15">
      <c r="A1379" s="2">
        <f>HYPERLINK("https://open-school.uspishnemisto.com.ua/school/70527/", 70527)</f>
        <v>70527</v>
      </c>
      <c r="B1379" s="3" t="s">
        <v>7501</v>
      </c>
      <c r="C1379" s="3" t="s">
        <v>31</v>
      </c>
      <c r="D1379" s="3" t="s">
        <v>32</v>
      </c>
      <c r="E1379" s="4" t="s">
        <v>22</v>
      </c>
      <c r="F1379" s="4" t="s">
        <v>7502</v>
      </c>
      <c r="G1379" s="4" t="s">
        <v>7503</v>
      </c>
      <c r="H1379" s="3" t="s">
        <v>4839</v>
      </c>
      <c r="I1379" s="3" t="s">
        <v>7504</v>
      </c>
      <c r="J1379" s="3" t="s">
        <v>7505</v>
      </c>
      <c r="K1379" s="3"/>
      <c r="L1379" s="3"/>
      <c r="M1379" s="4"/>
      <c r="N1379" s="3" t="s">
        <v>37</v>
      </c>
      <c r="O1379" s="3" t="s">
        <v>46</v>
      </c>
      <c r="P1379" s="5">
        <v>11</v>
      </c>
      <c r="Q1379" s="5">
        <v>203</v>
      </c>
      <c r="R1379" s="5">
        <v>11</v>
      </c>
      <c r="S1379" s="5">
        <v>202</v>
      </c>
    </row>
    <row r="1380" spans="1:19" ht="28" x14ac:dyDescent="0.15">
      <c r="A1380" s="2">
        <f>HYPERLINK("https://open-school.uspishnemisto.com.ua/school/70528/", 70528)</f>
        <v>70528</v>
      </c>
      <c r="B1380" s="3" t="s">
        <v>7506</v>
      </c>
      <c r="C1380" s="3" t="s">
        <v>31</v>
      </c>
      <c r="D1380" s="3" t="s">
        <v>175</v>
      </c>
      <c r="E1380" s="4" t="s">
        <v>22</v>
      </c>
      <c r="F1380" s="4" t="s">
        <v>7507</v>
      </c>
      <c r="G1380" s="4" t="s">
        <v>7508</v>
      </c>
      <c r="H1380" s="3" t="s">
        <v>4839</v>
      </c>
      <c r="I1380" s="3" t="s">
        <v>7509</v>
      </c>
      <c r="J1380" s="3" t="s">
        <v>946</v>
      </c>
      <c r="K1380" s="3"/>
      <c r="L1380" s="3"/>
      <c r="M1380" s="4"/>
      <c r="N1380" s="3" t="s">
        <v>37</v>
      </c>
      <c r="O1380" s="3" t="s">
        <v>46</v>
      </c>
      <c r="P1380" s="5">
        <v>7</v>
      </c>
      <c r="Q1380" s="5">
        <v>57</v>
      </c>
      <c r="R1380" s="5">
        <v>7</v>
      </c>
      <c r="S1380" s="5">
        <v>55</v>
      </c>
    </row>
    <row r="1381" spans="1:19" ht="28" x14ac:dyDescent="0.15">
      <c r="A1381" s="2">
        <f>HYPERLINK("https://open-school.uspishnemisto.com.ua/school/70529/", 70529)</f>
        <v>70529</v>
      </c>
      <c r="B1381" s="3" t="s">
        <v>7510</v>
      </c>
      <c r="C1381" s="3" t="s">
        <v>31</v>
      </c>
      <c r="D1381" s="3" t="s">
        <v>175</v>
      </c>
      <c r="E1381" s="4" t="s">
        <v>22</v>
      </c>
      <c r="F1381" s="4" t="s">
        <v>7511</v>
      </c>
      <c r="G1381" s="4" t="s">
        <v>7512</v>
      </c>
      <c r="H1381" s="3" t="s">
        <v>4839</v>
      </c>
      <c r="I1381" s="3" t="s">
        <v>7513</v>
      </c>
      <c r="J1381" s="3" t="s">
        <v>792</v>
      </c>
      <c r="K1381" s="3" t="s">
        <v>7514</v>
      </c>
      <c r="L1381" s="3"/>
      <c r="M1381" s="4"/>
      <c r="N1381" s="3" t="s">
        <v>37</v>
      </c>
      <c r="O1381" s="3" t="s">
        <v>46</v>
      </c>
      <c r="P1381" s="5">
        <v>9</v>
      </c>
      <c r="Q1381" s="5">
        <v>68</v>
      </c>
      <c r="R1381" s="5">
        <v>8</v>
      </c>
      <c r="S1381" s="5">
        <v>62</v>
      </c>
    </row>
    <row r="1382" spans="1:19" ht="28" x14ac:dyDescent="0.15">
      <c r="A1382" s="2">
        <f>HYPERLINK("https://open-school.uspishnemisto.com.ua/school/70530/", 70530)</f>
        <v>70530</v>
      </c>
      <c r="B1382" s="3" t="s">
        <v>7515</v>
      </c>
      <c r="C1382" s="3" t="s">
        <v>31</v>
      </c>
      <c r="D1382" s="3" t="s">
        <v>32</v>
      </c>
      <c r="E1382" s="4" t="s">
        <v>22</v>
      </c>
      <c r="F1382" s="4" t="s">
        <v>7516</v>
      </c>
      <c r="G1382" s="4" t="s">
        <v>7517</v>
      </c>
      <c r="H1382" s="3" t="s">
        <v>4839</v>
      </c>
      <c r="I1382" s="3" t="s">
        <v>7518</v>
      </c>
      <c r="J1382" s="3" t="s">
        <v>466</v>
      </c>
      <c r="K1382" s="3" t="s">
        <v>7519</v>
      </c>
      <c r="L1382" s="3"/>
      <c r="M1382" s="4"/>
      <c r="N1382" s="3" t="s">
        <v>37</v>
      </c>
      <c r="O1382" s="3" t="s">
        <v>46</v>
      </c>
      <c r="P1382" s="5">
        <v>11</v>
      </c>
      <c r="Q1382" s="5">
        <v>148</v>
      </c>
      <c r="R1382" s="5">
        <v>11</v>
      </c>
      <c r="S1382" s="5">
        <v>144</v>
      </c>
    </row>
    <row r="1383" spans="1:19" ht="28" x14ac:dyDescent="0.15">
      <c r="A1383" s="2">
        <f>HYPERLINK("https://open-school.uspishnemisto.com.ua/school/70531/", 70531)</f>
        <v>70531</v>
      </c>
      <c r="B1383" s="3" t="s">
        <v>7520</v>
      </c>
      <c r="C1383" s="3" t="s">
        <v>31</v>
      </c>
      <c r="D1383" s="3" t="s">
        <v>175</v>
      </c>
      <c r="E1383" s="4" t="s">
        <v>22</v>
      </c>
      <c r="F1383" s="4" t="s">
        <v>7521</v>
      </c>
      <c r="G1383" s="4" t="s">
        <v>7522</v>
      </c>
      <c r="H1383" s="3" t="s">
        <v>4839</v>
      </c>
      <c r="I1383" s="3" t="s">
        <v>7523</v>
      </c>
      <c r="J1383" s="3" t="s">
        <v>7524</v>
      </c>
      <c r="K1383" s="3" t="s">
        <v>7525</v>
      </c>
      <c r="L1383" s="3"/>
      <c r="M1383" s="4"/>
      <c r="N1383" s="3" t="s">
        <v>37</v>
      </c>
      <c r="O1383" s="3" t="s">
        <v>46</v>
      </c>
      <c r="P1383" s="5">
        <v>9</v>
      </c>
      <c r="Q1383" s="5">
        <v>116</v>
      </c>
      <c r="R1383" s="5">
        <v>9</v>
      </c>
      <c r="S1383" s="5">
        <v>109</v>
      </c>
    </row>
    <row r="1384" spans="1:19" ht="28" x14ac:dyDescent="0.15">
      <c r="A1384" s="2">
        <f>HYPERLINK("https://open-school.uspishnemisto.com.ua/school/70532/", 70532)</f>
        <v>70532</v>
      </c>
      <c r="B1384" s="3" t="s">
        <v>7526</v>
      </c>
      <c r="C1384" s="3" t="s">
        <v>31</v>
      </c>
      <c r="D1384" s="3" t="s">
        <v>175</v>
      </c>
      <c r="E1384" s="4" t="s">
        <v>22</v>
      </c>
      <c r="F1384" s="4" t="s">
        <v>7527</v>
      </c>
      <c r="G1384" s="4" t="s">
        <v>7528</v>
      </c>
      <c r="H1384" s="3" t="s">
        <v>4839</v>
      </c>
      <c r="I1384" s="3" t="s">
        <v>500</v>
      </c>
      <c r="J1384" s="3" t="s">
        <v>4537</v>
      </c>
      <c r="K1384" s="3"/>
      <c r="L1384" s="3"/>
      <c r="M1384" s="4"/>
      <c r="N1384" s="3" t="s">
        <v>37</v>
      </c>
      <c r="O1384" s="3" t="s">
        <v>46</v>
      </c>
      <c r="P1384" s="5">
        <v>7</v>
      </c>
      <c r="Q1384" s="5">
        <v>59</v>
      </c>
      <c r="R1384" s="5">
        <v>7</v>
      </c>
      <c r="S1384" s="5">
        <v>56</v>
      </c>
    </row>
    <row r="1385" spans="1:19" ht="28" x14ac:dyDescent="0.15">
      <c r="A1385" s="2">
        <f>HYPERLINK("https://open-school.uspishnemisto.com.ua/school/70533/", 70533)</f>
        <v>70533</v>
      </c>
      <c r="B1385" s="3" t="s">
        <v>7529</v>
      </c>
      <c r="C1385" s="3" t="s">
        <v>31</v>
      </c>
      <c r="D1385" s="3" t="s">
        <v>60</v>
      </c>
      <c r="E1385" s="4" t="s">
        <v>22</v>
      </c>
      <c r="F1385" s="4" t="s">
        <v>7527</v>
      </c>
      <c r="G1385" s="4" t="s">
        <v>7530</v>
      </c>
      <c r="H1385" s="3" t="s">
        <v>4839</v>
      </c>
      <c r="I1385" s="3" t="s">
        <v>7531</v>
      </c>
      <c r="J1385" s="3" t="s">
        <v>7532</v>
      </c>
      <c r="K1385" s="3" t="s">
        <v>7533</v>
      </c>
      <c r="L1385" s="3"/>
      <c r="M1385" s="4"/>
      <c r="N1385" s="3" t="s">
        <v>37</v>
      </c>
      <c r="O1385" s="3" t="s">
        <v>618</v>
      </c>
      <c r="P1385" s="5">
        <v>1</v>
      </c>
      <c r="Q1385" s="5">
        <v>13</v>
      </c>
      <c r="R1385" s="5">
        <v>0</v>
      </c>
      <c r="S1385" s="5">
        <v>10</v>
      </c>
    </row>
    <row r="1386" spans="1:19" ht="42" x14ac:dyDescent="0.15">
      <c r="A1386" s="2">
        <f>HYPERLINK("https://open-school.uspishnemisto.com.ua/school/70535/", 70535)</f>
        <v>70535</v>
      </c>
      <c r="B1386" s="3" t="s">
        <v>7534</v>
      </c>
      <c r="C1386" s="3" t="s">
        <v>31</v>
      </c>
      <c r="D1386" s="3" t="s">
        <v>175</v>
      </c>
      <c r="E1386" s="4" t="s">
        <v>22</v>
      </c>
      <c r="F1386" s="4" t="s">
        <v>7535</v>
      </c>
      <c r="G1386" s="4" t="s">
        <v>7536</v>
      </c>
      <c r="H1386" s="3" t="s">
        <v>4839</v>
      </c>
      <c r="I1386" s="3" t="s">
        <v>7537</v>
      </c>
      <c r="J1386" s="3" t="s">
        <v>7538</v>
      </c>
      <c r="K1386" s="3" t="s">
        <v>7539</v>
      </c>
      <c r="L1386" s="3"/>
      <c r="M1386" s="4"/>
      <c r="N1386" s="3" t="s">
        <v>37</v>
      </c>
      <c r="O1386" s="3" t="s">
        <v>46</v>
      </c>
      <c r="P1386" s="5">
        <v>0</v>
      </c>
      <c r="Q1386" s="5">
        <v>0</v>
      </c>
      <c r="R1386" s="5">
        <v>9</v>
      </c>
      <c r="S1386" s="5">
        <v>69</v>
      </c>
    </row>
    <row r="1387" spans="1:19" ht="28" x14ac:dyDescent="0.15">
      <c r="A1387" s="2">
        <f>HYPERLINK("https://open-school.uspishnemisto.com.ua/school/70536/", 70536)</f>
        <v>70536</v>
      </c>
      <c r="B1387" s="3" t="s">
        <v>7540</v>
      </c>
      <c r="C1387" s="3" t="s">
        <v>31</v>
      </c>
      <c r="D1387" s="3" t="s">
        <v>175</v>
      </c>
      <c r="E1387" s="4" t="s">
        <v>22</v>
      </c>
      <c r="F1387" s="4" t="s">
        <v>7541</v>
      </c>
      <c r="G1387" s="4" t="s">
        <v>7542</v>
      </c>
      <c r="H1387" s="3" t="s">
        <v>4839</v>
      </c>
      <c r="I1387" s="3" t="s">
        <v>7543</v>
      </c>
      <c r="J1387" s="3" t="s">
        <v>566</v>
      </c>
      <c r="K1387" s="3"/>
      <c r="L1387" s="3"/>
      <c r="M1387" s="4"/>
      <c r="N1387" s="3" t="s">
        <v>37</v>
      </c>
      <c r="O1387" s="3" t="s">
        <v>46</v>
      </c>
      <c r="P1387" s="5">
        <v>0</v>
      </c>
      <c r="Q1387" s="5">
        <v>0</v>
      </c>
      <c r="R1387" s="5">
        <v>2</v>
      </c>
      <c r="S1387" s="5">
        <v>26</v>
      </c>
    </row>
    <row r="1388" spans="1:19" ht="28" x14ac:dyDescent="0.15">
      <c r="A1388" s="2">
        <f>HYPERLINK("https://open-school.uspishnemisto.com.ua/school/70538/", 70538)</f>
        <v>70538</v>
      </c>
      <c r="B1388" s="3" t="s">
        <v>7544</v>
      </c>
      <c r="C1388" s="3" t="s">
        <v>31</v>
      </c>
      <c r="D1388" s="3" t="s">
        <v>32</v>
      </c>
      <c r="E1388" s="4" t="s">
        <v>22</v>
      </c>
      <c r="F1388" s="4" t="s">
        <v>7545</v>
      </c>
      <c r="G1388" s="4" t="s">
        <v>7546</v>
      </c>
      <c r="H1388" s="3" t="s">
        <v>4839</v>
      </c>
      <c r="I1388" s="3" t="s">
        <v>7547</v>
      </c>
      <c r="J1388" s="3" t="s">
        <v>7548</v>
      </c>
      <c r="K1388" s="3" t="s">
        <v>7549</v>
      </c>
      <c r="L1388" s="3"/>
      <c r="M1388" s="4"/>
      <c r="N1388" s="3" t="s">
        <v>37</v>
      </c>
      <c r="O1388" s="3" t="s">
        <v>46</v>
      </c>
      <c r="P1388" s="5">
        <v>11</v>
      </c>
      <c r="Q1388" s="5">
        <v>178</v>
      </c>
      <c r="R1388" s="5">
        <v>11</v>
      </c>
      <c r="S1388" s="5">
        <v>186</v>
      </c>
    </row>
    <row r="1389" spans="1:19" ht="42" x14ac:dyDescent="0.15">
      <c r="A1389" s="2">
        <f>HYPERLINK("https://open-school.uspishnemisto.com.ua/school/70539/", 70539)</f>
        <v>70539</v>
      </c>
      <c r="B1389" s="3" t="s">
        <v>7550</v>
      </c>
      <c r="C1389" s="3" t="s">
        <v>31</v>
      </c>
      <c r="D1389" s="3" t="s">
        <v>32</v>
      </c>
      <c r="E1389" s="4" t="s">
        <v>22</v>
      </c>
      <c r="F1389" s="4" t="s">
        <v>7551</v>
      </c>
      <c r="G1389" s="4" t="s">
        <v>7552</v>
      </c>
      <c r="H1389" s="3" t="s">
        <v>4839</v>
      </c>
      <c r="I1389" s="3" t="s">
        <v>7553</v>
      </c>
      <c r="J1389" s="3" t="s">
        <v>7554</v>
      </c>
      <c r="K1389" s="3"/>
      <c r="L1389" s="3" t="s">
        <v>7555</v>
      </c>
      <c r="M1389" s="4"/>
      <c r="N1389" s="3" t="s">
        <v>37</v>
      </c>
      <c r="O1389" s="3" t="s">
        <v>46</v>
      </c>
      <c r="P1389" s="5">
        <v>54</v>
      </c>
      <c r="Q1389" s="5">
        <v>710</v>
      </c>
      <c r="R1389" s="5">
        <v>21</v>
      </c>
      <c r="S1389" s="5">
        <v>401</v>
      </c>
    </row>
    <row r="1390" spans="1:19" ht="28" x14ac:dyDescent="0.15">
      <c r="A1390" s="2">
        <f>HYPERLINK("https://open-school.uspishnemisto.com.ua/school/70540/", 70540)</f>
        <v>70540</v>
      </c>
      <c r="B1390" s="3" t="s">
        <v>7556</v>
      </c>
      <c r="C1390" s="3" t="s">
        <v>31</v>
      </c>
      <c r="D1390" s="3" t="s">
        <v>32</v>
      </c>
      <c r="E1390" s="4" t="s">
        <v>22</v>
      </c>
      <c r="F1390" s="4" t="s">
        <v>7557</v>
      </c>
      <c r="G1390" s="4" t="s">
        <v>7558</v>
      </c>
      <c r="H1390" s="3" t="s">
        <v>4839</v>
      </c>
      <c r="I1390" s="3" t="s">
        <v>7559</v>
      </c>
      <c r="J1390" s="3" t="s">
        <v>3106</v>
      </c>
      <c r="K1390" s="3"/>
      <c r="L1390" s="3"/>
      <c r="M1390" s="4"/>
      <c r="N1390" s="3" t="s">
        <v>37</v>
      </c>
      <c r="O1390" s="3" t="s">
        <v>46</v>
      </c>
      <c r="P1390" s="5">
        <v>14</v>
      </c>
      <c r="Q1390" s="5">
        <v>262</v>
      </c>
      <c r="R1390" s="5">
        <v>14</v>
      </c>
      <c r="S1390" s="5">
        <v>268</v>
      </c>
    </row>
    <row r="1391" spans="1:19" ht="56" x14ac:dyDescent="0.15">
      <c r="A1391" s="2">
        <f>HYPERLINK("https://open-school.uspishnemisto.com.ua/school/70541/", 70541)</f>
        <v>70541</v>
      </c>
      <c r="B1391" s="3" t="s">
        <v>7560</v>
      </c>
      <c r="C1391" s="3" t="s">
        <v>31</v>
      </c>
      <c r="D1391" s="3" t="s">
        <v>60</v>
      </c>
      <c r="E1391" s="4" t="s">
        <v>22</v>
      </c>
      <c r="F1391" s="4" t="s">
        <v>7561</v>
      </c>
      <c r="G1391" s="4" t="s">
        <v>7562</v>
      </c>
      <c r="H1391" s="3" t="s">
        <v>4839</v>
      </c>
      <c r="I1391" s="3" t="s">
        <v>7563</v>
      </c>
      <c r="J1391" s="3" t="s">
        <v>7564</v>
      </c>
      <c r="K1391" s="3"/>
      <c r="L1391" s="3"/>
      <c r="M1391" s="4"/>
      <c r="N1391" s="3" t="s">
        <v>37</v>
      </c>
      <c r="O1391" s="3" t="s">
        <v>52</v>
      </c>
      <c r="P1391" s="5">
        <v>0</v>
      </c>
      <c r="Q1391" s="5">
        <v>0</v>
      </c>
      <c r="R1391" s="5">
        <v>2</v>
      </c>
      <c r="S1391" s="5">
        <v>15</v>
      </c>
    </row>
    <row r="1392" spans="1:19" ht="56" x14ac:dyDescent="0.15">
      <c r="A1392" s="2">
        <f>HYPERLINK("https://open-school.uspishnemisto.com.ua/school/70543/", 70543)</f>
        <v>70543</v>
      </c>
      <c r="B1392" s="3" t="s">
        <v>7565</v>
      </c>
      <c r="C1392" s="3" t="s">
        <v>31</v>
      </c>
      <c r="D1392" s="3" t="s">
        <v>175</v>
      </c>
      <c r="E1392" s="4" t="s">
        <v>22</v>
      </c>
      <c r="F1392" s="4" t="s">
        <v>7566</v>
      </c>
      <c r="G1392" s="4" t="s">
        <v>7567</v>
      </c>
      <c r="H1392" s="3" t="s">
        <v>4839</v>
      </c>
      <c r="I1392" s="3" t="s">
        <v>5674</v>
      </c>
      <c r="J1392" s="3" t="s">
        <v>7568</v>
      </c>
      <c r="K1392" s="3" t="s">
        <v>7569</v>
      </c>
      <c r="L1392" s="3" t="s">
        <v>7570</v>
      </c>
      <c r="M1392" s="4"/>
      <c r="N1392" s="3" t="s">
        <v>37</v>
      </c>
      <c r="O1392" s="3" t="s">
        <v>46</v>
      </c>
      <c r="P1392" s="5">
        <v>0</v>
      </c>
      <c r="Q1392" s="5">
        <v>0</v>
      </c>
      <c r="R1392" s="5">
        <v>9</v>
      </c>
      <c r="S1392" s="5">
        <v>172</v>
      </c>
    </row>
    <row r="1393" spans="1:19" ht="56" x14ac:dyDescent="0.15">
      <c r="A1393" s="2">
        <f>HYPERLINK("https://open-school.uspishnemisto.com.ua/school/70544/", 70544)</f>
        <v>70544</v>
      </c>
      <c r="B1393" s="3" t="s">
        <v>7571</v>
      </c>
      <c r="C1393" s="3" t="s">
        <v>31</v>
      </c>
      <c r="D1393" s="3" t="s">
        <v>175</v>
      </c>
      <c r="E1393" s="4" t="s">
        <v>22</v>
      </c>
      <c r="F1393" s="4" t="s">
        <v>7566</v>
      </c>
      <c r="G1393" s="4" t="s">
        <v>7572</v>
      </c>
      <c r="H1393" s="3" t="s">
        <v>4839</v>
      </c>
      <c r="I1393" s="3" t="s">
        <v>7573</v>
      </c>
      <c r="J1393" s="3" t="s">
        <v>2476</v>
      </c>
      <c r="K1393" s="3" t="s">
        <v>7574</v>
      </c>
      <c r="L1393" s="3"/>
      <c r="M1393" s="4"/>
      <c r="N1393" s="3"/>
      <c r="O1393" s="3"/>
      <c r="P1393" s="5">
        <v>0</v>
      </c>
      <c r="Q1393" s="5">
        <v>0</v>
      </c>
      <c r="R1393" s="5"/>
      <c r="S1393" s="5"/>
    </row>
    <row r="1394" spans="1:19" ht="28" x14ac:dyDescent="0.15">
      <c r="A1394" s="2">
        <f>HYPERLINK("https://open-school.uspishnemisto.com.ua/school/70545/", 70545)</f>
        <v>70545</v>
      </c>
      <c r="B1394" s="3" t="s">
        <v>7575</v>
      </c>
      <c r="C1394" s="3" t="s">
        <v>31</v>
      </c>
      <c r="D1394" s="3" t="s">
        <v>60</v>
      </c>
      <c r="E1394" s="4" t="s">
        <v>22</v>
      </c>
      <c r="F1394" s="4" t="s">
        <v>7402</v>
      </c>
      <c r="G1394" s="4" t="s">
        <v>7576</v>
      </c>
      <c r="H1394" s="3" t="s">
        <v>4839</v>
      </c>
      <c r="I1394" s="3" t="s">
        <v>4123</v>
      </c>
      <c r="J1394" s="3" t="s">
        <v>1348</v>
      </c>
      <c r="K1394" s="3" t="s">
        <v>7577</v>
      </c>
      <c r="L1394" s="3"/>
      <c r="M1394" s="4"/>
      <c r="N1394" s="3"/>
      <c r="O1394" s="3"/>
      <c r="P1394" s="5">
        <v>0</v>
      </c>
      <c r="Q1394" s="5">
        <v>0</v>
      </c>
      <c r="R1394" s="5"/>
      <c r="S1394" s="5"/>
    </row>
    <row r="1395" spans="1:19" ht="56" x14ac:dyDescent="0.15">
      <c r="A1395" s="2">
        <f>HYPERLINK("https://open-school.uspishnemisto.com.ua/school/70546/", 70546)</f>
        <v>70546</v>
      </c>
      <c r="B1395" s="3" t="s">
        <v>7578</v>
      </c>
      <c r="C1395" s="3" t="s">
        <v>31</v>
      </c>
      <c r="D1395" s="3" t="s">
        <v>175</v>
      </c>
      <c r="E1395" s="4" t="s">
        <v>22</v>
      </c>
      <c r="F1395" s="4" t="s">
        <v>7561</v>
      </c>
      <c r="G1395" s="4" t="s">
        <v>7579</v>
      </c>
      <c r="H1395" s="3" t="s">
        <v>4839</v>
      </c>
      <c r="I1395" s="3" t="s">
        <v>7580</v>
      </c>
      <c r="J1395" s="3" t="s">
        <v>7581</v>
      </c>
      <c r="K1395" s="3" t="s">
        <v>7582</v>
      </c>
      <c r="L1395" s="3"/>
      <c r="M1395" s="4"/>
      <c r="N1395" s="3"/>
      <c r="O1395" s="3"/>
      <c r="P1395" s="5">
        <v>0</v>
      </c>
      <c r="Q1395" s="5">
        <v>0</v>
      </c>
      <c r="R1395" s="5"/>
      <c r="S1395" s="5"/>
    </row>
    <row r="1396" spans="1:19" ht="28" x14ac:dyDescent="0.15">
      <c r="A1396" s="2">
        <f>HYPERLINK("https://open-school.uspishnemisto.com.ua/school/70547/", 70547)</f>
        <v>70547</v>
      </c>
      <c r="B1396" s="3" t="s">
        <v>7583</v>
      </c>
      <c r="C1396" s="3" t="s">
        <v>31</v>
      </c>
      <c r="D1396" s="3" t="s">
        <v>32</v>
      </c>
      <c r="E1396" s="4" t="s">
        <v>22</v>
      </c>
      <c r="F1396" s="4" t="s">
        <v>7584</v>
      </c>
      <c r="G1396" s="4" t="s">
        <v>7585</v>
      </c>
      <c r="H1396" s="3" t="s">
        <v>4839</v>
      </c>
      <c r="I1396" s="3" t="s">
        <v>7586</v>
      </c>
      <c r="J1396" s="3" t="s">
        <v>7587</v>
      </c>
      <c r="K1396" s="3" t="s">
        <v>7588</v>
      </c>
      <c r="L1396" s="3"/>
      <c r="M1396" s="4"/>
      <c r="N1396" s="3" t="s">
        <v>37</v>
      </c>
      <c r="O1396" s="3" t="s">
        <v>46</v>
      </c>
      <c r="P1396" s="5">
        <v>11</v>
      </c>
      <c r="Q1396" s="5">
        <v>211</v>
      </c>
      <c r="R1396" s="5">
        <v>11</v>
      </c>
      <c r="S1396" s="5">
        <v>215</v>
      </c>
    </row>
    <row r="1397" spans="1:19" ht="28" x14ac:dyDescent="0.15">
      <c r="A1397" s="2">
        <f>HYPERLINK("https://open-school.uspishnemisto.com.ua/school/70548/", 70548)</f>
        <v>70548</v>
      </c>
      <c r="B1397" s="3" t="s">
        <v>7589</v>
      </c>
      <c r="C1397" s="3" t="s">
        <v>31</v>
      </c>
      <c r="D1397" s="3" t="s">
        <v>32</v>
      </c>
      <c r="E1397" s="4" t="s">
        <v>22</v>
      </c>
      <c r="F1397" s="4" t="s">
        <v>7590</v>
      </c>
      <c r="G1397" s="4" t="s">
        <v>7591</v>
      </c>
      <c r="H1397" s="3" t="s">
        <v>4839</v>
      </c>
      <c r="I1397" s="3" t="s">
        <v>7592</v>
      </c>
      <c r="J1397" s="3" t="s">
        <v>7593</v>
      </c>
      <c r="K1397" s="3" t="s">
        <v>7594</v>
      </c>
      <c r="L1397" s="3"/>
      <c r="M1397" s="4"/>
      <c r="N1397" s="3" t="s">
        <v>37</v>
      </c>
      <c r="O1397" s="3" t="s">
        <v>46</v>
      </c>
      <c r="P1397" s="5">
        <v>41</v>
      </c>
      <c r="Q1397" s="5">
        <v>442</v>
      </c>
      <c r="R1397" s="5">
        <v>12</v>
      </c>
      <c r="S1397" s="5">
        <v>171</v>
      </c>
    </row>
    <row r="1398" spans="1:19" ht="42" x14ac:dyDescent="0.15">
      <c r="A1398" s="2">
        <f>HYPERLINK("https://open-school.uspishnemisto.com.ua/school/70549/", 70549)</f>
        <v>70549</v>
      </c>
      <c r="B1398" s="3" t="s">
        <v>7595</v>
      </c>
      <c r="C1398" s="3" t="s">
        <v>31</v>
      </c>
      <c r="D1398" s="3" t="s">
        <v>175</v>
      </c>
      <c r="E1398" s="4" t="s">
        <v>22</v>
      </c>
      <c r="F1398" s="4" t="s">
        <v>7590</v>
      </c>
      <c r="G1398" s="4" t="s">
        <v>7596</v>
      </c>
      <c r="H1398" s="3" t="s">
        <v>4839</v>
      </c>
      <c r="I1398" s="3" t="s">
        <v>7597</v>
      </c>
      <c r="J1398" s="3" t="s">
        <v>1636</v>
      </c>
      <c r="K1398" s="3" t="s">
        <v>7598</v>
      </c>
      <c r="L1398" s="3"/>
      <c r="M1398" s="4"/>
      <c r="N1398" s="3" t="s">
        <v>37</v>
      </c>
      <c r="O1398" s="3" t="s">
        <v>46</v>
      </c>
      <c r="P1398" s="5">
        <v>0</v>
      </c>
      <c r="Q1398" s="5">
        <v>0</v>
      </c>
      <c r="R1398" s="5">
        <v>9</v>
      </c>
      <c r="S1398" s="5">
        <v>96</v>
      </c>
    </row>
    <row r="1399" spans="1:19" ht="42" x14ac:dyDescent="0.15">
      <c r="A1399" s="2">
        <f>HYPERLINK("https://open-school.uspishnemisto.com.ua/school/70550/", 70550)</f>
        <v>70550</v>
      </c>
      <c r="B1399" s="3" t="s">
        <v>7599</v>
      </c>
      <c r="C1399" s="3" t="s">
        <v>31</v>
      </c>
      <c r="D1399" s="3" t="s">
        <v>60</v>
      </c>
      <c r="E1399" s="4" t="s">
        <v>22</v>
      </c>
      <c r="F1399" s="4" t="s">
        <v>7590</v>
      </c>
      <c r="G1399" s="4" t="s">
        <v>7600</v>
      </c>
      <c r="H1399" s="3" t="s">
        <v>4839</v>
      </c>
      <c r="I1399" s="3" t="s">
        <v>6494</v>
      </c>
      <c r="J1399" s="3" t="s">
        <v>7601</v>
      </c>
      <c r="K1399" s="3" t="s">
        <v>7602</v>
      </c>
      <c r="L1399" s="3"/>
      <c r="M1399" s="4"/>
      <c r="N1399" s="3" t="s">
        <v>37</v>
      </c>
      <c r="O1399" s="3" t="s">
        <v>52</v>
      </c>
      <c r="P1399" s="5">
        <v>0</v>
      </c>
      <c r="Q1399" s="5">
        <v>0</v>
      </c>
      <c r="R1399" s="5">
        <v>0</v>
      </c>
      <c r="S1399" s="5">
        <v>10</v>
      </c>
    </row>
    <row r="1400" spans="1:19" ht="42" x14ac:dyDescent="0.15">
      <c r="A1400" s="2">
        <f>HYPERLINK("https://open-school.uspishnemisto.com.ua/school/70551/", 70551)</f>
        <v>70551</v>
      </c>
      <c r="B1400" s="3" t="s">
        <v>7603</v>
      </c>
      <c r="C1400" s="3" t="s">
        <v>31</v>
      </c>
      <c r="D1400" s="3" t="s">
        <v>175</v>
      </c>
      <c r="E1400" s="4" t="s">
        <v>22</v>
      </c>
      <c r="F1400" s="4" t="s">
        <v>7604</v>
      </c>
      <c r="G1400" s="4" t="s">
        <v>7605</v>
      </c>
      <c r="H1400" s="3" t="s">
        <v>4839</v>
      </c>
      <c r="I1400" s="3" t="s">
        <v>7606</v>
      </c>
      <c r="J1400" s="3"/>
      <c r="K1400" s="3" t="s">
        <v>7607</v>
      </c>
      <c r="L1400" s="3"/>
      <c r="M1400" s="4"/>
      <c r="N1400" s="3" t="s">
        <v>37</v>
      </c>
      <c r="O1400" s="3" t="s">
        <v>46</v>
      </c>
      <c r="P1400" s="5">
        <v>0</v>
      </c>
      <c r="Q1400" s="5">
        <v>0</v>
      </c>
      <c r="R1400" s="5">
        <v>8</v>
      </c>
      <c r="S1400" s="5">
        <v>65</v>
      </c>
    </row>
    <row r="1401" spans="1:19" ht="28" x14ac:dyDescent="0.15">
      <c r="A1401" s="2">
        <f>HYPERLINK("https://open-school.uspishnemisto.com.ua/school/70552/", 70552)</f>
        <v>70552</v>
      </c>
      <c r="B1401" s="3" t="s">
        <v>7608</v>
      </c>
      <c r="C1401" s="3" t="s">
        <v>31</v>
      </c>
      <c r="D1401" s="3" t="s">
        <v>32</v>
      </c>
      <c r="E1401" s="4" t="s">
        <v>22</v>
      </c>
      <c r="F1401" s="4" t="s">
        <v>7609</v>
      </c>
      <c r="G1401" s="4" t="s">
        <v>7610</v>
      </c>
      <c r="H1401" s="3" t="s">
        <v>4839</v>
      </c>
      <c r="I1401" s="3" t="s">
        <v>7611</v>
      </c>
      <c r="J1401" s="3" t="s">
        <v>7612</v>
      </c>
      <c r="K1401" s="3" t="s">
        <v>7613</v>
      </c>
      <c r="L1401" s="3"/>
      <c r="M1401" s="4"/>
      <c r="N1401" s="3" t="s">
        <v>37</v>
      </c>
      <c r="O1401" s="3" t="s">
        <v>70</v>
      </c>
      <c r="P1401" s="5">
        <v>38</v>
      </c>
      <c r="Q1401" s="5">
        <v>479</v>
      </c>
      <c r="R1401" s="5">
        <v>17</v>
      </c>
      <c r="S1401" s="5">
        <v>313</v>
      </c>
    </row>
    <row r="1402" spans="1:19" ht="42" x14ac:dyDescent="0.15">
      <c r="A1402" s="2">
        <f>HYPERLINK("https://open-school.uspishnemisto.com.ua/school/70553/", 70553)</f>
        <v>70553</v>
      </c>
      <c r="B1402" s="3" t="s">
        <v>7614</v>
      </c>
      <c r="C1402" s="3" t="s">
        <v>31</v>
      </c>
      <c r="D1402" s="3" t="s">
        <v>175</v>
      </c>
      <c r="E1402" s="4" t="s">
        <v>22</v>
      </c>
      <c r="F1402" s="4" t="s">
        <v>7615</v>
      </c>
      <c r="G1402" s="4" t="s">
        <v>7616</v>
      </c>
      <c r="H1402" s="3" t="s">
        <v>4839</v>
      </c>
      <c r="I1402" s="3" t="s">
        <v>6442</v>
      </c>
      <c r="J1402" s="3" t="s">
        <v>7617</v>
      </c>
      <c r="K1402" s="3"/>
      <c r="L1402" s="3"/>
      <c r="M1402" s="4"/>
      <c r="N1402" s="3" t="s">
        <v>37</v>
      </c>
      <c r="O1402" s="3" t="s">
        <v>46</v>
      </c>
      <c r="P1402" s="5">
        <v>0</v>
      </c>
      <c r="Q1402" s="5">
        <v>0</v>
      </c>
      <c r="R1402" s="5">
        <v>5</v>
      </c>
      <c r="S1402" s="5">
        <v>52</v>
      </c>
    </row>
    <row r="1403" spans="1:19" ht="42" x14ac:dyDescent="0.15">
      <c r="A1403" s="2">
        <f>HYPERLINK("https://open-school.uspishnemisto.com.ua/school/70554/", 70554)</f>
        <v>70554</v>
      </c>
      <c r="B1403" s="3" t="s">
        <v>7618</v>
      </c>
      <c r="C1403" s="3" t="s">
        <v>31</v>
      </c>
      <c r="D1403" s="3" t="s">
        <v>60</v>
      </c>
      <c r="E1403" s="4" t="s">
        <v>22</v>
      </c>
      <c r="F1403" s="4" t="s">
        <v>7619</v>
      </c>
      <c r="G1403" s="4" t="s">
        <v>7620</v>
      </c>
      <c r="H1403" s="3" t="s">
        <v>4839</v>
      </c>
      <c r="I1403" s="3" t="s">
        <v>7621</v>
      </c>
      <c r="J1403" s="3" t="s">
        <v>4747</v>
      </c>
      <c r="K1403" s="3"/>
      <c r="L1403" s="3"/>
      <c r="M1403" s="4"/>
      <c r="N1403" s="3" t="s">
        <v>37</v>
      </c>
      <c r="O1403" s="3" t="s">
        <v>52</v>
      </c>
      <c r="P1403" s="5">
        <v>0</v>
      </c>
      <c r="Q1403" s="5">
        <v>0</v>
      </c>
      <c r="R1403" s="5">
        <v>4</v>
      </c>
      <c r="S1403" s="5">
        <v>28</v>
      </c>
    </row>
    <row r="1404" spans="1:19" ht="42" x14ac:dyDescent="0.15">
      <c r="A1404" s="2">
        <f>HYPERLINK("https://open-school.uspishnemisto.com.ua/school/70555/", 70555)</f>
        <v>70555</v>
      </c>
      <c r="B1404" s="3" t="s">
        <v>7622</v>
      </c>
      <c r="C1404" s="3" t="s">
        <v>54</v>
      </c>
      <c r="D1404" s="3" t="s">
        <v>175</v>
      </c>
      <c r="E1404" s="4" t="s">
        <v>22</v>
      </c>
      <c r="F1404" s="4" t="s">
        <v>7623</v>
      </c>
      <c r="G1404" s="4" t="s">
        <v>7624</v>
      </c>
      <c r="H1404" s="3" t="s">
        <v>4839</v>
      </c>
      <c r="I1404" s="3" t="s">
        <v>7625</v>
      </c>
      <c r="J1404" s="3" t="s">
        <v>466</v>
      </c>
      <c r="K1404" s="3"/>
      <c r="L1404" s="3"/>
      <c r="M1404" s="4"/>
      <c r="N1404" s="3" t="s">
        <v>37</v>
      </c>
      <c r="O1404" s="3" t="s">
        <v>46</v>
      </c>
      <c r="P1404" s="5">
        <v>9</v>
      </c>
      <c r="Q1404" s="5">
        <v>156</v>
      </c>
      <c r="R1404" s="5">
        <v>9</v>
      </c>
      <c r="S1404" s="5">
        <v>158</v>
      </c>
    </row>
    <row r="1405" spans="1:19" ht="42" x14ac:dyDescent="0.15">
      <c r="A1405" s="2">
        <f>HYPERLINK("https://open-school.uspishnemisto.com.ua/school/70556/", 70556)</f>
        <v>70556</v>
      </c>
      <c r="B1405" s="3" t="s">
        <v>7626</v>
      </c>
      <c r="C1405" s="3" t="s">
        <v>31</v>
      </c>
      <c r="D1405" s="3" t="s">
        <v>32</v>
      </c>
      <c r="E1405" s="4" t="s">
        <v>22</v>
      </c>
      <c r="F1405" s="4" t="s">
        <v>7627</v>
      </c>
      <c r="G1405" s="4" t="s">
        <v>7628</v>
      </c>
      <c r="H1405" s="3" t="s">
        <v>4839</v>
      </c>
      <c r="I1405" s="3" t="s">
        <v>7629</v>
      </c>
      <c r="J1405" s="3" t="s">
        <v>466</v>
      </c>
      <c r="K1405" s="3" t="s">
        <v>7630</v>
      </c>
      <c r="L1405" s="3" t="s">
        <v>7631</v>
      </c>
      <c r="M1405" s="4"/>
      <c r="N1405" s="3" t="s">
        <v>37</v>
      </c>
      <c r="O1405" s="3" t="s">
        <v>46</v>
      </c>
      <c r="P1405" s="5">
        <v>12</v>
      </c>
      <c r="Q1405" s="5">
        <v>250</v>
      </c>
      <c r="R1405" s="5">
        <v>12</v>
      </c>
      <c r="S1405" s="5">
        <v>246</v>
      </c>
    </row>
    <row r="1406" spans="1:19" ht="28" x14ac:dyDescent="0.15">
      <c r="A1406" s="2">
        <f>HYPERLINK("https://open-school.uspishnemisto.com.ua/school/70557/", 70557)</f>
        <v>70557</v>
      </c>
      <c r="B1406" s="3" t="s">
        <v>7632</v>
      </c>
      <c r="C1406" s="3" t="s">
        <v>31</v>
      </c>
      <c r="D1406" s="3" t="s">
        <v>32</v>
      </c>
      <c r="E1406" s="4" t="s">
        <v>22</v>
      </c>
      <c r="F1406" s="4" t="s">
        <v>7633</v>
      </c>
      <c r="G1406" s="4" t="s">
        <v>7634</v>
      </c>
      <c r="H1406" s="3" t="s">
        <v>4839</v>
      </c>
      <c r="I1406" s="3" t="s">
        <v>7635</v>
      </c>
      <c r="J1406" s="3" t="s">
        <v>356</v>
      </c>
      <c r="K1406" s="3" t="s">
        <v>7636</v>
      </c>
      <c r="L1406" s="3"/>
      <c r="M1406" s="4"/>
      <c r="N1406" s="3" t="s">
        <v>37</v>
      </c>
      <c r="O1406" s="3" t="s">
        <v>46</v>
      </c>
      <c r="P1406" s="5">
        <v>11</v>
      </c>
      <c r="Q1406" s="5">
        <v>105</v>
      </c>
      <c r="R1406" s="5">
        <v>11</v>
      </c>
      <c r="S1406" s="5">
        <v>110</v>
      </c>
    </row>
    <row r="1407" spans="1:19" ht="28" x14ac:dyDescent="0.15">
      <c r="A1407" s="2">
        <f>HYPERLINK("https://open-school.uspishnemisto.com.ua/school/70558/", 70558)</f>
        <v>70558</v>
      </c>
      <c r="B1407" s="3" t="s">
        <v>7637</v>
      </c>
      <c r="C1407" s="3" t="s">
        <v>31</v>
      </c>
      <c r="D1407" s="3" t="s">
        <v>175</v>
      </c>
      <c r="E1407" s="4" t="s">
        <v>22</v>
      </c>
      <c r="F1407" s="4" t="s">
        <v>7638</v>
      </c>
      <c r="G1407" s="4" t="s">
        <v>7639</v>
      </c>
      <c r="H1407" s="3" t="s">
        <v>4839</v>
      </c>
      <c r="I1407" s="3" t="s">
        <v>7640</v>
      </c>
      <c r="J1407" s="3" t="s">
        <v>7641</v>
      </c>
      <c r="K1407" s="3" t="s">
        <v>7642</v>
      </c>
      <c r="L1407" s="3"/>
      <c r="M1407" s="4"/>
      <c r="N1407" s="3" t="s">
        <v>37</v>
      </c>
      <c r="O1407" s="3" t="s">
        <v>46</v>
      </c>
      <c r="P1407" s="5">
        <v>6</v>
      </c>
      <c r="Q1407" s="5">
        <v>47</v>
      </c>
      <c r="R1407" s="5">
        <v>5</v>
      </c>
      <c r="S1407" s="5">
        <v>42</v>
      </c>
    </row>
    <row r="1408" spans="1:19" ht="28" x14ac:dyDescent="0.15">
      <c r="A1408" s="2">
        <f>HYPERLINK("https://open-school.uspishnemisto.com.ua/school/70559/", 70559)</f>
        <v>70559</v>
      </c>
      <c r="B1408" s="3" t="s">
        <v>7643</v>
      </c>
      <c r="C1408" s="3" t="s">
        <v>31</v>
      </c>
      <c r="D1408" s="3" t="s">
        <v>32</v>
      </c>
      <c r="E1408" s="4" t="s">
        <v>22</v>
      </c>
      <c r="F1408" s="4" t="s">
        <v>7644</v>
      </c>
      <c r="G1408" s="4" t="s">
        <v>7645</v>
      </c>
      <c r="H1408" s="3" t="s">
        <v>4839</v>
      </c>
      <c r="I1408" s="3" t="s">
        <v>7646</v>
      </c>
      <c r="J1408" s="3" t="s">
        <v>7647</v>
      </c>
      <c r="K1408" s="3" t="s">
        <v>7648</v>
      </c>
      <c r="L1408" s="3" t="s">
        <v>7649</v>
      </c>
      <c r="M1408" s="4"/>
      <c r="N1408" s="3" t="s">
        <v>37</v>
      </c>
      <c r="O1408" s="3" t="s">
        <v>38</v>
      </c>
      <c r="P1408" s="5">
        <v>26</v>
      </c>
      <c r="Q1408" s="5">
        <v>636</v>
      </c>
      <c r="R1408" s="5">
        <v>26</v>
      </c>
      <c r="S1408" s="5">
        <v>625</v>
      </c>
    </row>
    <row r="1409" spans="1:19" ht="42" x14ac:dyDescent="0.15">
      <c r="A1409" s="2">
        <f>HYPERLINK("https://open-school.uspishnemisto.com.ua/school/70560/", 70560)</f>
        <v>70560</v>
      </c>
      <c r="B1409" s="3" t="s">
        <v>7650</v>
      </c>
      <c r="C1409" s="3" t="s">
        <v>7651</v>
      </c>
      <c r="D1409" s="3" t="s">
        <v>32</v>
      </c>
      <c r="E1409" s="4" t="s">
        <v>22</v>
      </c>
      <c r="F1409" s="4" t="s">
        <v>7644</v>
      </c>
      <c r="G1409" s="4" t="s">
        <v>7645</v>
      </c>
      <c r="H1409" s="3" t="s">
        <v>4839</v>
      </c>
      <c r="I1409" s="3" t="s">
        <v>7646</v>
      </c>
      <c r="J1409" s="3" t="s">
        <v>3393</v>
      </c>
      <c r="K1409" s="3" t="s">
        <v>7652</v>
      </c>
      <c r="L1409" s="3"/>
      <c r="M1409" s="4"/>
      <c r="N1409" s="3"/>
      <c r="O1409" s="3"/>
      <c r="P1409" s="5">
        <v>0</v>
      </c>
      <c r="Q1409" s="5">
        <v>0</v>
      </c>
      <c r="R1409" s="5"/>
      <c r="S1409" s="5"/>
    </row>
    <row r="1410" spans="1:19" ht="42" x14ac:dyDescent="0.15">
      <c r="A1410" s="2">
        <f>HYPERLINK("https://open-school.uspishnemisto.com.ua/school/70561/", 70561)</f>
        <v>70561</v>
      </c>
      <c r="B1410" s="3" t="s">
        <v>7653</v>
      </c>
      <c r="C1410" s="3" t="s">
        <v>40</v>
      </c>
      <c r="D1410" s="3" t="s">
        <v>32</v>
      </c>
      <c r="E1410" s="4" t="s">
        <v>22</v>
      </c>
      <c r="F1410" s="4" t="s">
        <v>7644</v>
      </c>
      <c r="G1410" s="4" t="s">
        <v>7645</v>
      </c>
      <c r="H1410" s="3" t="s">
        <v>4839</v>
      </c>
      <c r="I1410" s="3" t="s">
        <v>7646</v>
      </c>
      <c r="J1410" s="3" t="s">
        <v>1719</v>
      </c>
      <c r="K1410" s="3" t="s">
        <v>7654</v>
      </c>
      <c r="L1410" s="3"/>
      <c r="M1410" s="4"/>
      <c r="N1410" s="3" t="s">
        <v>37</v>
      </c>
      <c r="O1410" s="3" t="s">
        <v>70</v>
      </c>
      <c r="P1410" s="5">
        <v>30</v>
      </c>
      <c r="Q1410" s="5">
        <v>696</v>
      </c>
      <c r="R1410" s="5">
        <v>29</v>
      </c>
      <c r="S1410" s="5">
        <v>680</v>
      </c>
    </row>
    <row r="1411" spans="1:19" ht="28" x14ac:dyDescent="0.15">
      <c r="A1411" s="2">
        <f>HYPERLINK("https://open-school.uspishnemisto.com.ua/school/70562/", 70562)</f>
        <v>70562</v>
      </c>
      <c r="B1411" s="3" t="s">
        <v>7655</v>
      </c>
      <c r="C1411" s="3" t="s">
        <v>181</v>
      </c>
      <c r="D1411" s="3" t="s">
        <v>175</v>
      </c>
      <c r="E1411" s="4" t="s">
        <v>22</v>
      </c>
      <c r="F1411" s="4" t="s">
        <v>7656</v>
      </c>
      <c r="G1411" s="4" t="s">
        <v>7657</v>
      </c>
      <c r="H1411" s="3" t="s">
        <v>4839</v>
      </c>
      <c r="I1411" s="3" t="s">
        <v>7236</v>
      </c>
      <c r="J1411" s="3" t="s">
        <v>7658</v>
      </c>
      <c r="K1411" s="3" t="s">
        <v>7659</v>
      </c>
      <c r="L1411" s="3"/>
      <c r="M1411" s="4" t="s">
        <v>7660</v>
      </c>
      <c r="N1411" s="3" t="s">
        <v>37</v>
      </c>
      <c r="O1411" s="3"/>
      <c r="P1411" s="5">
        <v>12</v>
      </c>
      <c r="Q1411" s="5">
        <v>115</v>
      </c>
      <c r="R1411" s="5">
        <v>12</v>
      </c>
      <c r="S1411" s="5">
        <v>111</v>
      </c>
    </row>
    <row r="1412" spans="1:19" ht="28" x14ac:dyDescent="0.15">
      <c r="A1412" s="2">
        <f>HYPERLINK("https://open-school.uspishnemisto.com.ua/school/70563/", 70563)</f>
        <v>70563</v>
      </c>
      <c r="B1412" s="3" t="s">
        <v>7661</v>
      </c>
      <c r="C1412" s="3" t="s">
        <v>54</v>
      </c>
      <c r="D1412" s="3" t="s">
        <v>32</v>
      </c>
      <c r="E1412" s="4" t="s">
        <v>22</v>
      </c>
      <c r="F1412" s="4" t="s">
        <v>7656</v>
      </c>
      <c r="G1412" s="4" t="s">
        <v>7657</v>
      </c>
      <c r="H1412" s="3" t="s">
        <v>4839</v>
      </c>
      <c r="I1412" s="3" t="s">
        <v>7236</v>
      </c>
      <c r="J1412" s="3" t="s">
        <v>7662</v>
      </c>
      <c r="K1412" s="3" t="s">
        <v>7663</v>
      </c>
      <c r="L1412" s="3"/>
      <c r="M1412" s="4"/>
      <c r="N1412" s="3" t="s">
        <v>37</v>
      </c>
      <c r="O1412" s="3" t="s">
        <v>38</v>
      </c>
      <c r="P1412" s="5">
        <v>23</v>
      </c>
      <c r="Q1412" s="5">
        <v>540</v>
      </c>
      <c r="R1412" s="5">
        <v>24</v>
      </c>
      <c r="S1412" s="5">
        <v>538</v>
      </c>
    </row>
    <row r="1413" spans="1:19" ht="28" x14ac:dyDescent="0.15">
      <c r="A1413" s="2">
        <f>HYPERLINK("https://open-school.uspishnemisto.com.ua/school/70564/", 70564)</f>
        <v>70564</v>
      </c>
      <c r="B1413" s="3" t="s">
        <v>7664</v>
      </c>
      <c r="C1413" s="3" t="s">
        <v>54</v>
      </c>
      <c r="D1413" s="3" t="s">
        <v>32</v>
      </c>
      <c r="E1413" s="4" t="s">
        <v>22</v>
      </c>
      <c r="F1413" s="4" t="s">
        <v>7665</v>
      </c>
      <c r="G1413" s="4" t="s">
        <v>7666</v>
      </c>
      <c r="H1413" s="3" t="s">
        <v>4839</v>
      </c>
      <c r="I1413" s="3" t="s">
        <v>7667</v>
      </c>
      <c r="J1413" s="3" t="s">
        <v>7668</v>
      </c>
      <c r="K1413" s="3" t="s">
        <v>7669</v>
      </c>
      <c r="L1413" s="3"/>
      <c r="M1413" s="4"/>
      <c r="N1413" s="3" t="s">
        <v>37</v>
      </c>
      <c r="O1413" s="3" t="s">
        <v>38</v>
      </c>
      <c r="P1413" s="5">
        <v>21</v>
      </c>
      <c r="Q1413" s="5">
        <v>448</v>
      </c>
      <c r="R1413" s="5">
        <v>20</v>
      </c>
      <c r="S1413" s="5">
        <v>444</v>
      </c>
    </row>
    <row r="1414" spans="1:19" ht="28" x14ac:dyDescent="0.15">
      <c r="A1414" s="2">
        <f>HYPERLINK("https://open-school.uspishnemisto.com.ua/school/70565/", 70565)</f>
        <v>70565</v>
      </c>
      <c r="B1414" s="3" t="s">
        <v>7670</v>
      </c>
      <c r="C1414" s="3" t="s">
        <v>54</v>
      </c>
      <c r="D1414" s="3" t="s">
        <v>32</v>
      </c>
      <c r="E1414" s="4" t="s">
        <v>22</v>
      </c>
      <c r="F1414" s="4" t="s">
        <v>7671</v>
      </c>
      <c r="G1414" s="4" t="s">
        <v>7672</v>
      </c>
      <c r="H1414" s="3" t="s">
        <v>4839</v>
      </c>
      <c r="I1414" s="3" t="s">
        <v>7673</v>
      </c>
      <c r="J1414" s="3" t="s">
        <v>7495</v>
      </c>
      <c r="K1414" s="3" t="s">
        <v>7674</v>
      </c>
      <c r="L1414" s="3" t="s">
        <v>7675</v>
      </c>
      <c r="M1414" s="4"/>
      <c r="N1414" s="3" t="s">
        <v>37</v>
      </c>
      <c r="O1414" s="3" t="s">
        <v>38</v>
      </c>
      <c r="P1414" s="5">
        <v>12</v>
      </c>
      <c r="Q1414" s="5">
        <v>232</v>
      </c>
      <c r="R1414" s="5">
        <v>12</v>
      </c>
      <c r="S1414" s="5">
        <v>234</v>
      </c>
    </row>
    <row r="1415" spans="1:19" ht="28" x14ac:dyDescent="0.15">
      <c r="A1415" s="2">
        <f>HYPERLINK("https://open-school.uspishnemisto.com.ua/school/70566/", 70566)</f>
        <v>70566</v>
      </c>
      <c r="B1415" s="3" t="s">
        <v>7676</v>
      </c>
      <c r="C1415" s="3" t="s">
        <v>31</v>
      </c>
      <c r="D1415" s="3" t="s">
        <v>175</v>
      </c>
      <c r="E1415" s="4" t="s">
        <v>22</v>
      </c>
      <c r="F1415" s="4" t="s">
        <v>7677</v>
      </c>
      <c r="G1415" s="4" t="s">
        <v>7678</v>
      </c>
      <c r="H1415" s="3" t="s">
        <v>4839</v>
      </c>
      <c r="I1415" s="3" t="s">
        <v>7679</v>
      </c>
      <c r="J1415" s="3" t="s">
        <v>946</v>
      </c>
      <c r="K1415" s="3" t="s">
        <v>7680</v>
      </c>
      <c r="L1415" s="3" t="s">
        <v>7681</v>
      </c>
      <c r="M1415" s="4"/>
      <c r="N1415" s="3" t="s">
        <v>37</v>
      </c>
      <c r="O1415" s="3" t="s">
        <v>52</v>
      </c>
      <c r="P1415" s="5">
        <v>7</v>
      </c>
      <c r="Q1415" s="5">
        <v>56</v>
      </c>
      <c r="R1415" s="5">
        <v>8</v>
      </c>
      <c r="S1415" s="5">
        <v>59</v>
      </c>
    </row>
    <row r="1416" spans="1:19" ht="28" x14ac:dyDescent="0.15">
      <c r="A1416" s="2">
        <f>HYPERLINK("https://open-school.uspishnemisto.com.ua/school/70567/", 70567)</f>
        <v>70567</v>
      </c>
      <c r="B1416" s="3" t="s">
        <v>7682</v>
      </c>
      <c r="C1416" s="3" t="s">
        <v>54</v>
      </c>
      <c r="D1416" s="3" t="s">
        <v>32</v>
      </c>
      <c r="E1416" s="4" t="s">
        <v>22</v>
      </c>
      <c r="F1416" s="4" t="s">
        <v>7683</v>
      </c>
      <c r="G1416" s="4" t="s">
        <v>7684</v>
      </c>
      <c r="H1416" s="3" t="s">
        <v>4839</v>
      </c>
      <c r="I1416" s="3" t="s">
        <v>7685</v>
      </c>
      <c r="J1416" s="3" t="s">
        <v>7686</v>
      </c>
      <c r="K1416" s="3" t="s">
        <v>7687</v>
      </c>
      <c r="L1416" s="3"/>
      <c r="M1416" s="4" t="s">
        <v>7688</v>
      </c>
      <c r="N1416" s="3" t="s">
        <v>37</v>
      </c>
      <c r="O1416" s="3" t="s">
        <v>38</v>
      </c>
      <c r="P1416" s="5">
        <v>21</v>
      </c>
      <c r="Q1416" s="5">
        <v>450</v>
      </c>
      <c r="R1416" s="5">
        <v>21</v>
      </c>
      <c r="S1416" s="5">
        <v>438</v>
      </c>
    </row>
    <row r="1417" spans="1:19" ht="28" x14ac:dyDescent="0.15">
      <c r="A1417" s="2">
        <f>HYPERLINK("https://open-school.uspishnemisto.com.ua/school/70568/", 70568)</f>
        <v>70568</v>
      </c>
      <c r="B1417" s="3" t="s">
        <v>7689</v>
      </c>
      <c r="C1417" s="3" t="s">
        <v>54</v>
      </c>
      <c r="D1417" s="3" t="s">
        <v>32</v>
      </c>
      <c r="E1417" s="4" t="s">
        <v>22</v>
      </c>
      <c r="F1417" s="4" t="s">
        <v>7690</v>
      </c>
      <c r="G1417" s="4" t="s">
        <v>7691</v>
      </c>
      <c r="H1417" s="3" t="s">
        <v>4839</v>
      </c>
      <c r="I1417" s="3" t="s">
        <v>7692</v>
      </c>
      <c r="J1417" s="3" t="s">
        <v>7693</v>
      </c>
      <c r="K1417" s="3" t="s">
        <v>7694</v>
      </c>
      <c r="L1417" s="3" t="s">
        <v>7695</v>
      </c>
      <c r="M1417" s="4"/>
      <c r="N1417" s="3" t="s">
        <v>37</v>
      </c>
      <c r="O1417" s="3" t="s">
        <v>38</v>
      </c>
      <c r="P1417" s="5">
        <v>11</v>
      </c>
      <c r="Q1417" s="5">
        <v>262</v>
      </c>
      <c r="R1417" s="5">
        <v>12</v>
      </c>
      <c r="S1417" s="5">
        <v>257</v>
      </c>
    </row>
    <row r="1418" spans="1:19" ht="28" x14ac:dyDescent="0.15">
      <c r="A1418" s="2">
        <f>HYPERLINK("https://open-school.uspishnemisto.com.ua/school/70569/", 70569)</f>
        <v>70569</v>
      </c>
      <c r="B1418" s="3" t="s">
        <v>7696</v>
      </c>
      <c r="C1418" s="3" t="s">
        <v>54</v>
      </c>
      <c r="D1418" s="3" t="s">
        <v>175</v>
      </c>
      <c r="E1418" s="4" t="s">
        <v>22</v>
      </c>
      <c r="F1418" s="4" t="s">
        <v>7697</v>
      </c>
      <c r="G1418" s="4" t="s">
        <v>7698</v>
      </c>
      <c r="H1418" s="3" t="s">
        <v>4839</v>
      </c>
      <c r="I1418" s="3" t="s">
        <v>5514</v>
      </c>
      <c r="J1418" s="3" t="s">
        <v>700</v>
      </c>
      <c r="K1418" s="3" t="s">
        <v>7699</v>
      </c>
      <c r="L1418" s="3"/>
      <c r="M1418" s="4"/>
      <c r="N1418" s="3" t="s">
        <v>37</v>
      </c>
      <c r="O1418" s="3" t="s">
        <v>38</v>
      </c>
      <c r="P1418" s="5">
        <v>6</v>
      </c>
      <c r="Q1418" s="5">
        <v>60</v>
      </c>
      <c r="R1418" s="5">
        <v>6</v>
      </c>
      <c r="S1418" s="5">
        <v>58</v>
      </c>
    </row>
    <row r="1419" spans="1:19" ht="28" x14ac:dyDescent="0.15">
      <c r="A1419" s="2">
        <f>HYPERLINK("https://open-school.uspishnemisto.com.ua/school/70570/", 70570)</f>
        <v>70570</v>
      </c>
      <c r="B1419" s="3" t="s">
        <v>7700</v>
      </c>
      <c r="C1419" s="3" t="s">
        <v>54</v>
      </c>
      <c r="D1419" s="3" t="s">
        <v>32</v>
      </c>
      <c r="E1419" s="4" t="s">
        <v>22</v>
      </c>
      <c r="F1419" s="4" t="s">
        <v>7701</v>
      </c>
      <c r="G1419" s="4" t="s">
        <v>7702</v>
      </c>
      <c r="H1419" s="3" t="s">
        <v>4839</v>
      </c>
      <c r="I1419" s="3" t="s">
        <v>7703</v>
      </c>
      <c r="J1419" s="3" t="s">
        <v>7704</v>
      </c>
      <c r="K1419" s="3" t="s">
        <v>7705</v>
      </c>
      <c r="L1419" s="3" t="s">
        <v>7706</v>
      </c>
      <c r="M1419" s="4"/>
      <c r="N1419" s="3" t="s">
        <v>37</v>
      </c>
      <c r="O1419" s="3" t="s">
        <v>38</v>
      </c>
      <c r="P1419" s="5">
        <v>15</v>
      </c>
      <c r="Q1419" s="5">
        <v>277</v>
      </c>
      <c r="R1419" s="5">
        <v>15</v>
      </c>
      <c r="S1419" s="5">
        <v>289</v>
      </c>
    </row>
    <row r="1420" spans="1:19" ht="42" x14ac:dyDescent="0.15">
      <c r="A1420" s="2">
        <f>HYPERLINK("https://open-school.uspishnemisto.com.ua/school/70571/", 70571)</f>
        <v>70571</v>
      </c>
      <c r="B1420" s="3" t="s">
        <v>7707</v>
      </c>
      <c r="C1420" s="3" t="s">
        <v>54</v>
      </c>
      <c r="D1420" s="3" t="s">
        <v>32</v>
      </c>
      <c r="E1420" s="4" t="s">
        <v>22</v>
      </c>
      <c r="F1420" s="4" t="s">
        <v>7708</v>
      </c>
      <c r="G1420" s="4" t="s">
        <v>7709</v>
      </c>
      <c r="H1420" s="3" t="s">
        <v>4839</v>
      </c>
      <c r="I1420" s="3" t="s">
        <v>7710</v>
      </c>
      <c r="J1420" s="3" t="s">
        <v>3764</v>
      </c>
      <c r="K1420" s="3" t="s">
        <v>7711</v>
      </c>
      <c r="L1420" s="3" t="s">
        <v>7712</v>
      </c>
      <c r="M1420" s="4"/>
      <c r="N1420" s="3" t="s">
        <v>37</v>
      </c>
      <c r="O1420" s="3" t="s">
        <v>38</v>
      </c>
      <c r="P1420" s="5">
        <v>10</v>
      </c>
      <c r="Q1420" s="5">
        <v>116</v>
      </c>
      <c r="R1420" s="5">
        <v>10</v>
      </c>
      <c r="S1420" s="5">
        <v>118</v>
      </c>
    </row>
    <row r="1421" spans="1:19" ht="28" x14ac:dyDescent="0.15">
      <c r="A1421" s="2">
        <f>HYPERLINK("https://open-school.uspishnemisto.com.ua/school/70572/", 70572)</f>
        <v>70572</v>
      </c>
      <c r="B1421" s="3" t="s">
        <v>7713</v>
      </c>
      <c r="C1421" s="3" t="s">
        <v>54</v>
      </c>
      <c r="D1421" s="3" t="s">
        <v>32</v>
      </c>
      <c r="E1421" s="4" t="s">
        <v>22</v>
      </c>
      <c r="F1421" s="4" t="s">
        <v>7714</v>
      </c>
      <c r="G1421" s="4" t="s">
        <v>7715</v>
      </c>
      <c r="H1421" s="3" t="s">
        <v>4839</v>
      </c>
      <c r="I1421" s="3" t="s">
        <v>7716</v>
      </c>
      <c r="J1421" s="3" t="s">
        <v>7717</v>
      </c>
      <c r="K1421" s="3" t="s">
        <v>7718</v>
      </c>
      <c r="L1421" s="3"/>
      <c r="M1421" s="4" t="s">
        <v>7719</v>
      </c>
      <c r="N1421" s="3" t="s">
        <v>37</v>
      </c>
      <c r="O1421" s="3" t="s">
        <v>38</v>
      </c>
      <c r="P1421" s="5">
        <v>20</v>
      </c>
      <c r="Q1421" s="5">
        <v>404</v>
      </c>
      <c r="R1421" s="5">
        <v>20</v>
      </c>
      <c r="S1421" s="5">
        <v>407</v>
      </c>
    </row>
    <row r="1422" spans="1:19" ht="28" x14ac:dyDescent="0.15">
      <c r="A1422" s="2">
        <f>HYPERLINK("https://open-school.uspishnemisto.com.ua/school/70573/", 70573)</f>
        <v>70573</v>
      </c>
      <c r="B1422" s="3" t="s">
        <v>7720</v>
      </c>
      <c r="C1422" s="3" t="s">
        <v>54</v>
      </c>
      <c r="D1422" s="3" t="s">
        <v>32</v>
      </c>
      <c r="E1422" s="4" t="s">
        <v>22</v>
      </c>
      <c r="F1422" s="4" t="s">
        <v>7721</v>
      </c>
      <c r="G1422" s="4" t="s">
        <v>7722</v>
      </c>
      <c r="H1422" s="3" t="s">
        <v>4839</v>
      </c>
      <c r="I1422" s="3" t="s">
        <v>7723</v>
      </c>
      <c r="J1422" s="3" t="s">
        <v>554</v>
      </c>
      <c r="K1422" s="3" t="s">
        <v>7724</v>
      </c>
      <c r="L1422" s="3" t="s">
        <v>7725</v>
      </c>
      <c r="M1422" s="4"/>
      <c r="N1422" s="3" t="s">
        <v>37</v>
      </c>
      <c r="O1422" s="3" t="s">
        <v>38</v>
      </c>
      <c r="P1422" s="5">
        <v>11</v>
      </c>
      <c r="Q1422" s="5">
        <v>208</v>
      </c>
      <c r="R1422" s="5">
        <v>11</v>
      </c>
      <c r="S1422" s="5">
        <v>211</v>
      </c>
    </row>
    <row r="1423" spans="1:19" ht="28" x14ac:dyDescent="0.15">
      <c r="A1423" s="2">
        <f>HYPERLINK("https://open-school.uspishnemisto.com.ua/school/70574/", 70574)</f>
        <v>70574</v>
      </c>
      <c r="B1423" s="3" t="s">
        <v>7726</v>
      </c>
      <c r="C1423" s="3" t="s">
        <v>31</v>
      </c>
      <c r="D1423" s="3" t="s">
        <v>175</v>
      </c>
      <c r="E1423" s="4" t="s">
        <v>22</v>
      </c>
      <c r="F1423" s="4" t="s">
        <v>7727</v>
      </c>
      <c r="G1423" s="4" t="s">
        <v>7728</v>
      </c>
      <c r="H1423" s="3" t="s">
        <v>4839</v>
      </c>
      <c r="I1423" s="3" t="s">
        <v>7729</v>
      </c>
      <c r="J1423" s="3" t="s">
        <v>7730</v>
      </c>
      <c r="K1423" s="3"/>
      <c r="L1423" s="3" t="s">
        <v>7731</v>
      </c>
      <c r="M1423" s="4"/>
      <c r="N1423" s="3" t="s">
        <v>37</v>
      </c>
      <c r="O1423" s="3" t="s">
        <v>52</v>
      </c>
      <c r="P1423" s="5">
        <v>9</v>
      </c>
      <c r="Q1423" s="5">
        <v>63</v>
      </c>
      <c r="R1423" s="5">
        <v>8</v>
      </c>
      <c r="S1423" s="5">
        <v>55</v>
      </c>
    </row>
    <row r="1424" spans="1:19" ht="28" x14ac:dyDescent="0.15">
      <c r="A1424" s="2">
        <f>HYPERLINK("https://open-school.uspishnemisto.com.ua/school/70575/", 70575)</f>
        <v>70575</v>
      </c>
      <c r="B1424" s="3" t="s">
        <v>7732</v>
      </c>
      <c r="C1424" s="3" t="s">
        <v>54</v>
      </c>
      <c r="D1424" s="3" t="s">
        <v>32</v>
      </c>
      <c r="E1424" s="4" t="s">
        <v>22</v>
      </c>
      <c r="F1424" s="4" t="s">
        <v>7733</v>
      </c>
      <c r="G1424" s="4" t="s">
        <v>7734</v>
      </c>
      <c r="H1424" s="3" t="s">
        <v>4839</v>
      </c>
      <c r="I1424" s="3" t="s">
        <v>7735</v>
      </c>
      <c r="J1424" s="3" t="s">
        <v>761</v>
      </c>
      <c r="K1424" s="3" t="s">
        <v>7736</v>
      </c>
      <c r="L1424" s="3" t="s">
        <v>7737</v>
      </c>
      <c r="M1424" s="4"/>
      <c r="N1424" s="3" t="s">
        <v>37</v>
      </c>
      <c r="O1424" s="3" t="s">
        <v>38</v>
      </c>
      <c r="P1424" s="5">
        <v>11</v>
      </c>
      <c r="Q1424" s="5">
        <v>141</v>
      </c>
      <c r="R1424" s="5">
        <v>11</v>
      </c>
      <c r="S1424" s="5">
        <v>143</v>
      </c>
    </row>
    <row r="1425" spans="1:19" ht="28" x14ac:dyDescent="0.15">
      <c r="A1425" s="2">
        <f>HYPERLINK("https://open-school.uspishnemisto.com.ua/school/70576/", 70576)</f>
        <v>70576</v>
      </c>
      <c r="B1425" s="3" t="s">
        <v>7738</v>
      </c>
      <c r="C1425" s="3" t="s">
        <v>54</v>
      </c>
      <c r="D1425" s="3" t="s">
        <v>32</v>
      </c>
      <c r="E1425" s="4" t="s">
        <v>22</v>
      </c>
      <c r="F1425" s="4" t="s">
        <v>7739</v>
      </c>
      <c r="G1425" s="4" t="s">
        <v>7740</v>
      </c>
      <c r="H1425" s="3" t="s">
        <v>4839</v>
      </c>
      <c r="I1425" s="3" t="s">
        <v>7741</v>
      </c>
      <c r="J1425" s="3" t="s">
        <v>761</v>
      </c>
      <c r="K1425" s="3" t="s">
        <v>7742</v>
      </c>
      <c r="L1425" s="3" t="s">
        <v>7743</v>
      </c>
      <c r="M1425" s="4"/>
      <c r="N1425" s="3" t="s">
        <v>37</v>
      </c>
      <c r="O1425" s="3" t="s">
        <v>70</v>
      </c>
      <c r="P1425" s="5">
        <v>11</v>
      </c>
      <c r="Q1425" s="5">
        <v>111</v>
      </c>
      <c r="R1425" s="5">
        <v>11</v>
      </c>
      <c r="S1425" s="5">
        <v>107</v>
      </c>
    </row>
    <row r="1426" spans="1:19" ht="28" x14ac:dyDescent="0.15">
      <c r="A1426" s="2">
        <f>HYPERLINK("https://open-school.uspishnemisto.com.ua/school/70577/", 70577)</f>
        <v>70577</v>
      </c>
      <c r="B1426" s="3" t="s">
        <v>7744</v>
      </c>
      <c r="C1426" s="3" t="s">
        <v>31</v>
      </c>
      <c r="D1426" s="3" t="s">
        <v>175</v>
      </c>
      <c r="E1426" s="4" t="s">
        <v>22</v>
      </c>
      <c r="F1426" s="4" t="s">
        <v>7745</v>
      </c>
      <c r="G1426" s="4" t="s">
        <v>7746</v>
      </c>
      <c r="H1426" s="3" t="s">
        <v>4839</v>
      </c>
      <c r="I1426" s="3" t="s">
        <v>7747</v>
      </c>
      <c r="J1426" s="3" t="s">
        <v>7748</v>
      </c>
      <c r="K1426" s="3" t="s">
        <v>7749</v>
      </c>
      <c r="L1426" s="3" t="s">
        <v>7750</v>
      </c>
      <c r="M1426" s="4"/>
      <c r="N1426" s="3" t="s">
        <v>37</v>
      </c>
      <c r="O1426" s="3" t="s">
        <v>46</v>
      </c>
      <c r="P1426" s="5">
        <v>0</v>
      </c>
      <c r="Q1426" s="5">
        <v>19</v>
      </c>
      <c r="R1426" s="5">
        <v>0</v>
      </c>
      <c r="S1426" s="5">
        <v>19</v>
      </c>
    </row>
    <row r="1427" spans="1:19" ht="28" x14ac:dyDescent="0.15">
      <c r="A1427" s="2">
        <f>HYPERLINK("https://open-school.uspishnemisto.com.ua/school/70578/", 70578)</f>
        <v>70578</v>
      </c>
      <c r="B1427" s="3" t="s">
        <v>7751</v>
      </c>
      <c r="C1427" s="3" t="s">
        <v>54</v>
      </c>
      <c r="D1427" s="3" t="s">
        <v>32</v>
      </c>
      <c r="E1427" s="4" t="s">
        <v>22</v>
      </c>
      <c r="F1427" s="4" t="s">
        <v>7752</v>
      </c>
      <c r="G1427" s="4" t="s">
        <v>7753</v>
      </c>
      <c r="H1427" s="3" t="s">
        <v>4839</v>
      </c>
      <c r="I1427" s="3" t="s">
        <v>7754</v>
      </c>
      <c r="J1427" s="3" t="s">
        <v>2901</v>
      </c>
      <c r="K1427" s="3" t="s">
        <v>7755</v>
      </c>
      <c r="L1427" s="3" t="s">
        <v>7756</v>
      </c>
      <c r="M1427" s="4"/>
      <c r="N1427" s="3" t="s">
        <v>37</v>
      </c>
      <c r="O1427" s="3" t="s">
        <v>38</v>
      </c>
      <c r="P1427" s="5">
        <v>12</v>
      </c>
      <c r="Q1427" s="5">
        <v>230</v>
      </c>
      <c r="R1427" s="5">
        <v>12</v>
      </c>
      <c r="S1427" s="5">
        <v>229</v>
      </c>
    </row>
    <row r="1428" spans="1:19" ht="28" x14ac:dyDescent="0.15">
      <c r="A1428" s="2">
        <f>HYPERLINK("https://open-school.uspishnemisto.com.ua/school/70579/", 70579)</f>
        <v>70579</v>
      </c>
      <c r="B1428" s="3" t="s">
        <v>7757</v>
      </c>
      <c r="C1428" s="3" t="s">
        <v>54</v>
      </c>
      <c r="D1428" s="3" t="s">
        <v>32</v>
      </c>
      <c r="E1428" s="4" t="s">
        <v>22</v>
      </c>
      <c r="F1428" s="4" t="s">
        <v>7758</v>
      </c>
      <c r="G1428" s="4" t="s">
        <v>7759</v>
      </c>
      <c r="H1428" s="3" t="s">
        <v>4839</v>
      </c>
      <c r="I1428" s="3" t="s">
        <v>7760</v>
      </c>
      <c r="J1428" s="3" t="s">
        <v>2757</v>
      </c>
      <c r="K1428" s="3" t="s">
        <v>7761</v>
      </c>
      <c r="L1428" s="3" t="s">
        <v>7762</v>
      </c>
      <c r="M1428" s="4"/>
      <c r="N1428" s="3" t="s">
        <v>37</v>
      </c>
      <c r="O1428" s="3" t="s">
        <v>38</v>
      </c>
      <c r="P1428" s="5">
        <v>12</v>
      </c>
      <c r="Q1428" s="5">
        <v>225</v>
      </c>
      <c r="R1428" s="5">
        <v>12</v>
      </c>
      <c r="S1428" s="5">
        <v>214</v>
      </c>
    </row>
    <row r="1429" spans="1:19" ht="28" x14ac:dyDescent="0.15">
      <c r="A1429" s="2">
        <f>HYPERLINK("https://open-school.uspishnemisto.com.ua/school/70580/", 70580)</f>
        <v>70580</v>
      </c>
      <c r="B1429" s="3" t="s">
        <v>7763</v>
      </c>
      <c r="C1429" s="3" t="s">
        <v>31</v>
      </c>
      <c r="D1429" s="3" t="s">
        <v>175</v>
      </c>
      <c r="E1429" s="4" t="s">
        <v>22</v>
      </c>
      <c r="F1429" s="4" t="s">
        <v>7656</v>
      </c>
      <c r="G1429" s="4" t="s">
        <v>7764</v>
      </c>
      <c r="H1429" s="3" t="s">
        <v>4839</v>
      </c>
      <c r="I1429" s="3" t="s">
        <v>7765</v>
      </c>
      <c r="J1429" s="3" t="s">
        <v>5492</v>
      </c>
      <c r="K1429" s="3" t="s">
        <v>7766</v>
      </c>
      <c r="L1429" s="3"/>
      <c r="M1429" s="4"/>
      <c r="N1429" s="3" t="s">
        <v>37</v>
      </c>
      <c r="O1429" s="3" t="s">
        <v>38</v>
      </c>
      <c r="P1429" s="5">
        <v>5</v>
      </c>
      <c r="Q1429" s="5">
        <v>41</v>
      </c>
      <c r="R1429" s="5">
        <v>4</v>
      </c>
      <c r="S1429" s="5">
        <v>41</v>
      </c>
    </row>
    <row r="1430" spans="1:19" ht="42" x14ac:dyDescent="0.15">
      <c r="A1430" s="2">
        <f>HYPERLINK("https://open-school.uspishnemisto.com.ua/school/70581/", 70581)</f>
        <v>70581</v>
      </c>
      <c r="B1430" s="3" t="s">
        <v>7767</v>
      </c>
      <c r="C1430" s="3" t="s">
        <v>54</v>
      </c>
      <c r="D1430" s="3" t="s">
        <v>32</v>
      </c>
      <c r="E1430" s="4" t="s">
        <v>22</v>
      </c>
      <c r="F1430" s="4" t="s">
        <v>7768</v>
      </c>
      <c r="G1430" s="4" t="s">
        <v>7769</v>
      </c>
      <c r="H1430" s="3" t="s">
        <v>4839</v>
      </c>
      <c r="I1430" s="3" t="s">
        <v>7770</v>
      </c>
      <c r="J1430" s="3" t="s">
        <v>7771</v>
      </c>
      <c r="K1430" s="3" t="s">
        <v>7772</v>
      </c>
      <c r="L1430" s="3" t="s">
        <v>7773</v>
      </c>
      <c r="M1430" s="4"/>
      <c r="N1430" s="3" t="s">
        <v>37</v>
      </c>
      <c r="O1430" s="3" t="s">
        <v>38</v>
      </c>
      <c r="P1430" s="5">
        <v>12</v>
      </c>
      <c r="Q1430" s="5">
        <v>213</v>
      </c>
      <c r="R1430" s="5">
        <v>12</v>
      </c>
      <c r="S1430" s="5">
        <v>210</v>
      </c>
    </row>
    <row r="1431" spans="1:19" ht="28" x14ac:dyDescent="0.15">
      <c r="A1431" s="2">
        <f>HYPERLINK("https://open-school.uspishnemisto.com.ua/school/70582/", 70582)</f>
        <v>70582</v>
      </c>
      <c r="B1431" s="3" t="s">
        <v>7774</v>
      </c>
      <c r="C1431" s="3" t="s">
        <v>31</v>
      </c>
      <c r="D1431" s="3" t="s">
        <v>32</v>
      </c>
      <c r="E1431" s="4" t="s">
        <v>22</v>
      </c>
      <c r="F1431" s="4" t="s">
        <v>7775</v>
      </c>
      <c r="G1431" s="4" t="s">
        <v>7776</v>
      </c>
      <c r="H1431" s="3" t="s">
        <v>4839</v>
      </c>
      <c r="I1431" s="3" t="s">
        <v>7777</v>
      </c>
      <c r="J1431" s="3" t="s">
        <v>1192</v>
      </c>
      <c r="K1431" s="3" t="s">
        <v>7778</v>
      </c>
      <c r="L1431" s="3" t="s">
        <v>7779</v>
      </c>
      <c r="M1431" s="4"/>
      <c r="N1431" s="3" t="s">
        <v>37</v>
      </c>
      <c r="O1431" s="3" t="s">
        <v>38</v>
      </c>
      <c r="P1431" s="5">
        <v>10</v>
      </c>
      <c r="Q1431" s="5">
        <v>79</v>
      </c>
      <c r="R1431" s="5">
        <v>10</v>
      </c>
      <c r="S1431" s="5">
        <v>84</v>
      </c>
    </row>
    <row r="1432" spans="1:19" ht="28" x14ac:dyDescent="0.15">
      <c r="A1432" s="2">
        <f>HYPERLINK("https://open-school.uspishnemisto.com.ua/school/70583/", 70583)</f>
        <v>70583</v>
      </c>
      <c r="B1432" s="3" t="s">
        <v>7780</v>
      </c>
      <c r="C1432" s="3" t="s">
        <v>54</v>
      </c>
      <c r="D1432" s="3" t="s">
        <v>175</v>
      </c>
      <c r="E1432" s="4" t="s">
        <v>22</v>
      </c>
      <c r="F1432" s="4" t="s">
        <v>7781</v>
      </c>
      <c r="G1432" s="4" t="s">
        <v>7782</v>
      </c>
      <c r="H1432" s="3" t="s">
        <v>4839</v>
      </c>
      <c r="I1432" s="3" t="s">
        <v>7783</v>
      </c>
      <c r="J1432" s="3" t="s">
        <v>7784</v>
      </c>
      <c r="K1432" s="3" t="s">
        <v>7785</v>
      </c>
      <c r="L1432" s="3"/>
      <c r="M1432" s="4"/>
      <c r="N1432" s="3" t="s">
        <v>37</v>
      </c>
      <c r="O1432" s="3" t="s">
        <v>38</v>
      </c>
      <c r="P1432" s="5">
        <v>9</v>
      </c>
      <c r="Q1432" s="5">
        <v>92</v>
      </c>
      <c r="R1432" s="5">
        <v>9</v>
      </c>
      <c r="S1432" s="5">
        <v>91</v>
      </c>
    </row>
    <row r="1433" spans="1:19" ht="28" x14ac:dyDescent="0.15">
      <c r="A1433" s="2">
        <f>HYPERLINK("https://open-school.uspishnemisto.com.ua/school/70584/", 70584)</f>
        <v>70584</v>
      </c>
      <c r="B1433" s="3" t="s">
        <v>7786</v>
      </c>
      <c r="C1433" s="3" t="s">
        <v>31</v>
      </c>
      <c r="D1433" s="3" t="s">
        <v>60</v>
      </c>
      <c r="E1433" s="4" t="s">
        <v>22</v>
      </c>
      <c r="F1433" s="4" t="s">
        <v>7781</v>
      </c>
      <c r="G1433" s="4" t="s">
        <v>7787</v>
      </c>
      <c r="H1433" s="3" t="s">
        <v>4839</v>
      </c>
      <c r="I1433" s="3" t="s">
        <v>7788</v>
      </c>
      <c r="J1433" s="3" t="s">
        <v>1857</v>
      </c>
      <c r="K1433" s="3" t="s">
        <v>7789</v>
      </c>
      <c r="L1433" s="3"/>
      <c r="M1433" s="4"/>
      <c r="N1433" s="3" t="s">
        <v>37</v>
      </c>
      <c r="O1433" s="3" t="s">
        <v>52</v>
      </c>
      <c r="P1433" s="5">
        <v>2</v>
      </c>
      <c r="Q1433" s="5">
        <v>18</v>
      </c>
      <c r="R1433" s="5">
        <v>2</v>
      </c>
      <c r="S1433" s="5">
        <v>18</v>
      </c>
    </row>
    <row r="1434" spans="1:19" ht="28" x14ac:dyDescent="0.15">
      <c r="A1434" s="2">
        <f>HYPERLINK("https://open-school.uspishnemisto.com.ua/school/70585/", 70585)</f>
        <v>70585</v>
      </c>
      <c r="B1434" s="3" t="s">
        <v>7790</v>
      </c>
      <c r="C1434" s="3" t="s">
        <v>54</v>
      </c>
      <c r="D1434" s="3" t="s">
        <v>32</v>
      </c>
      <c r="E1434" s="4" t="s">
        <v>22</v>
      </c>
      <c r="F1434" s="4" t="s">
        <v>7791</v>
      </c>
      <c r="G1434" s="4" t="s">
        <v>7792</v>
      </c>
      <c r="H1434" s="3" t="s">
        <v>4839</v>
      </c>
      <c r="I1434" s="3" t="s">
        <v>7793</v>
      </c>
      <c r="J1434" s="3" t="s">
        <v>7794</v>
      </c>
      <c r="K1434" s="3" t="s">
        <v>7795</v>
      </c>
      <c r="L1434" s="3" t="s">
        <v>7796</v>
      </c>
      <c r="M1434" s="4"/>
      <c r="N1434" s="3" t="s">
        <v>37</v>
      </c>
      <c r="O1434" s="3" t="s">
        <v>70</v>
      </c>
      <c r="P1434" s="5">
        <v>11</v>
      </c>
      <c r="Q1434" s="5">
        <v>112</v>
      </c>
      <c r="R1434" s="5">
        <v>11</v>
      </c>
      <c r="S1434" s="5">
        <v>112</v>
      </c>
    </row>
    <row r="1435" spans="1:19" ht="28" x14ac:dyDescent="0.15">
      <c r="A1435" s="2">
        <f>HYPERLINK("https://open-school.uspishnemisto.com.ua/school/70587/", 70587)</f>
        <v>70587</v>
      </c>
      <c r="B1435" s="3" t="s">
        <v>7797</v>
      </c>
      <c r="C1435" s="3" t="s">
        <v>31</v>
      </c>
      <c r="D1435" s="3" t="s">
        <v>175</v>
      </c>
      <c r="E1435" s="4" t="s">
        <v>22</v>
      </c>
      <c r="F1435" s="4" t="s">
        <v>7791</v>
      </c>
      <c r="G1435" s="4" t="s">
        <v>7798</v>
      </c>
      <c r="H1435" s="3" t="s">
        <v>4839</v>
      </c>
      <c r="I1435" s="3" t="s">
        <v>7799</v>
      </c>
      <c r="J1435" s="3" t="s">
        <v>466</v>
      </c>
      <c r="K1435" s="3" t="s">
        <v>7800</v>
      </c>
      <c r="L1435" s="3"/>
      <c r="M1435" s="4"/>
      <c r="N1435" s="3" t="s">
        <v>37</v>
      </c>
      <c r="O1435" s="3" t="s">
        <v>46</v>
      </c>
      <c r="P1435" s="5">
        <v>1</v>
      </c>
      <c r="Q1435" s="5">
        <v>25</v>
      </c>
      <c r="R1435" s="5">
        <v>2</v>
      </c>
      <c r="S1435" s="5">
        <v>30</v>
      </c>
    </row>
    <row r="1436" spans="1:19" ht="28" x14ac:dyDescent="0.15">
      <c r="A1436" s="2">
        <f>HYPERLINK("https://open-school.uspishnemisto.com.ua/school/70588/", 70588)</f>
        <v>70588</v>
      </c>
      <c r="B1436" s="3" t="s">
        <v>7801</v>
      </c>
      <c r="C1436" s="3" t="s">
        <v>54</v>
      </c>
      <c r="D1436" s="3" t="s">
        <v>32</v>
      </c>
      <c r="E1436" s="4" t="s">
        <v>22</v>
      </c>
      <c r="F1436" s="4" t="s">
        <v>7802</v>
      </c>
      <c r="G1436" s="4" t="s">
        <v>7803</v>
      </c>
      <c r="H1436" s="3" t="s">
        <v>4839</v>
      </c>
      <c r="I1436" s="3" t="s">
        <v>7804</v>
      </c>
      <c r="J1436" s="3" t="s">
        <v>566</v>
      </c>
      <c r="K1436" s="3" t="s">
        <v>7805</v>
      </c>
      <c r="L1436" s="3" t="s">
        <v>7806</v>
      </c>
      <c r="M1436" s="4"/>
      <c r="N1436" s="3" t="s">
        <v>37</v>
      </c>
      <c r="O1436" s="3" t="s">
        <v>52</v>
      </c>
      <c r="P1436" s="5">
        <v>11</v>
      </c>
      <c r="Q1436" s="5">
        <v>179</v>
      </c>
      <c r="R1436" s="5">
        <v>11</v>
      </c>
      <c r="S1436" s="5">
        <v>181</v>
      </c>
    </row>
    <row r="1437" spans="1:19" ht="28" x14ac:dyDescent="0.15">
      <c r="A1437" s="2">
        <f>HYPERLINK("https://open-school.uspishnemisto.com.ua/school/70589/", 70589)</f>
        <v>70589</v>
      </c>
      <c r="B1437" s="3" t="s">
        <v>7807</v>
      </c>
      <c r="C1437" s="3" t="s">
        <v>54</v>
      </c>
      <c r="D1437" s="3" t="s">
        <v>175</v>
      </c>
      <c r="E1437" s="4" t="s">
        <v>22</v>
      </c>
      <c r="F1437" s="4" t="s">
        <v>7808</v>
      </c>
      <c r="G1437" s="4" t="s">
        <v>7809</v>
      </c>
      <c r="H1437" s="3" t="s">
        <v>4839</v>
      </c>
      <c r="I1437" s="3" t="s">
        <v>7479</v>
      </c>
      <c r="J1437" s="3" t="s">
        <v>1192</v>
      </c>
      <c r="K1437" s="3" t="s">
        <v>7810</v>
      </c>
      <c r="L1437" s="3"/>
      <c r="M1437" s="4"/>
      <c r="N1437" s="3" t="s">
        <v>37</v>
      </c>
      <c r="O1437" s="3" t="s">
        <v>52</v>
      </c>
      <c r="P1437" s="5">
        <v>5</v>
      </c>
      <c r="Q1437" s="5">
        <v>64</v>
      </c>
      <c r="R1437" s="5">
        <v>6</v>
      </c>
      <c r="S1437" s="5">
        <v>65</v>
      </c>
    </row>
    <row r="1438" spans="1:19" ht="28" x14ac:dyDescent="0.15">
      <c r="A1438" s="2">
        <f>HYPERLINK("https://open-school.uspishnemisto.com.ua/school/70590/", 70590)</f>
        <v>70590</v>
      </c>
      <c r="B1438" s="3" t="s">
        <v>7811</v>
      </c>
      <c r="C1438" s="3" t="s">
        <v>54</v>
      </c>
      <c r="D1438" s="3" t="s">
        <v>175</v>
      </c>
      <c r="E1438" s="4" t="s">
        <v>22</v>
      </c>
      <c r="F1438" s="4" t="s">
        <v>7812</v>
      </c>
      <c r="G1438" s="4" t="s">
        <v>7813</v>
      </c>
      <c r="H1438" s="3" t="s">
        <v>4839</v>
      </c>
      <c r="I1438" s="3" t="s">
        <v>7814</v>
      </c>
      <c r="J1438" s="3" t="s">
        <v>297</v>
      </c>
      <c r="K1438" s="3" t="s">
        <v>7815</v>
      </c>
      <c r="L1438" s="3"/>
      <c r="M1438" s="4"/>
      <c r="N1438" s="3" t="s">
        <v>37</v>
      </c>
      <c r="O1438" s="3" t="s">
        <v>38</v>
      </c>
      <c r="P1438" s="5">
        <v>9</v>
      </c>
      <c r="Q1438" s="5">
        <v>96</v>
      </c>
      <c r="R1438" s="5">
        <v>9</v>
      </c>
      <c r="S1438" s="5">
        <v>100</v>
      </c>
    </row>
    <row r="1439" spans="1:19" ht="28" x14ac:dyDescent="0.15">
      <c r="A1439" s="2">
        <f>HYPERLINK("https://open-school.uspishnemisto.com.ua/school/70591/", 70591)</f>
        <v>70591</v>
      </c>
      <c r="B1439" s="3" t="s">
        <v>7816</v>
      </c>
      <c r="C1439" s="3" t="s">
        <v>54</v>
      </c>
      <c r="D1439" s="3" t="s">
        <v>32</v>
      </c>
      <c r="E1439" s="4" t="s">
        <v>22</v>
      </c>
      <c r="F1439" s="4" t="s">
        <v>7817</v>
      </c>
      <c r="G1439" s="4" t="s">
        <v>7818</v>
      </c>
      <c r="H1439" s="3" t="s">
        <v>4839</v>
      </c>
      <c r="I1439" s="3" t="s">
        <v>7819</v>
      </c>
      <c r="J1439" s="3" t="s">
        <v>7820</v>
      </c>
      <c r="K1439" s="3"/>
      <c r="L1439" s="3" t="s">
        <v>7821</v>
      </c>
      <c r="M1439" s="4"/>
      <c r="N1439" s="3" t="s">
        <v>37</v>
      </c>
      <c r="O1439" s="3" t="s">
        <v>38</v>
      </c>
      <c r="P1439" s="5">
        <v>14</v>
      </c>
      <c r="Q1439" s="5">
        <v>287</v>
      </c>
      <c r="R1439" s="5">
        <v>14</v>
      </c>
      <c r="S1439" s="5">
        <v>281</v>
      </c>
    </row>
    <row r="1440" spans="1:19" ht="28" x14ac:dyDescent="0.15">
      <c r="A1440" s="2">
        <f>HYPERLINK("https://open-school.uspishnemisto.com.ua/school/70592/", 70592)</f>
        <v>70592</v>
      </c>
      <c r="B1440" s="3" t="s">
        <v>7822</v>
      </c>
      <c r="C1440" s="3" t="s">
        <v>54</v>
      </c>
      <c r="D1440" s="3" t="s">
        <v>175</v>
      </c>
      <c r="E1440" s="4" t="s">
        <v>22</v>
      </c>
      <c r="F1440" s="4" t="s">
        <v>7823</v>
      </c>
      <c r="G1440" s="4" t="s">
        <v>7824</v>
      </c>
      <c r="H1440" s="3" t="s">
        <v>4839</v>
      </c>
      <c r="I1440" s="3" t="s">
        <v>7825</v>
      </c>
      <c r="J1440" s="3" t="s">
        <v>466</v>
      </c>
      <c r="K1440" s="3" t="s">
        <v>7826</v>
      </c>
      <c r="L1440" s="3"/>
      <c r="M1440" s="4"/>
      <c r="N1440" s="3" t="s">
        <v>37</v>
      </c>
      <c r="O1440" s="3" t="s">
        <v>38</v>
      </c>
      <c r="P1440" s="5">
        <v>9</v>
      </c>
      <c r="Q1440" s="5">
        <v>154</v>
      </c>
      <c r="R1440" s="5">
        <v>9</v>
      </c>
      <c r="S1440" s="5">
        <v>152</v>
      </c>
    </row>
    <row r="1441" spans="1:19" ht="28" x14ac:dyDescent="0.15">
      <c r="A1441" s="2">
        <f>HYPERLINK("https://open-school.uspishnemisto.com.ua/school/70593/", 70593)</f>
        <v>70593</v>
      </c>
      <c r="B1441" s="3" t="s">
        <v>7827</v>
      </c>
      <c r="C1441" s="3" t="s">
        <v>31</v>
      </c>
      <c r="D1441" s="3" t="s">
        <v>175</v>
      </c>
      <c r="E1441" s="4" t="s">
        <v>22</v>
      </c>
      <c r="F1441" s="4" t="s">
        <v>7828</v>
      </c>
      <c r="G1441" s="4" t="s">
        <v>7829</v>
      </c>
      <c r="H1441" s="3" t="s">
        <v>4839</v>
      </c>
      <c r="I1441" s="3" t="s">
        <v>7830</v>
      </c>
      <c r="J1441" s="3" t="s">
        <v>634</v>
      </c>
      <c r="K1441" s="3"/>
      <c r="L1441" s="3"/>
      <c r="M1441" s="4"/>
      <c r="N1441" s="3" t="s">
        <v>37</v>
      </c>
      <c r="O1441" s="3" t="s">
        <v>52</v>
      </c>
      <c r="P1441" s="5">
        <v>9</v>
      </c>
      <c r="Q1441" s="5">
        <v>77</v>
      </c>
      <c r="R1441" s="5">
        <v>9</v>
      </c>
      <c r="S1441" s="5">
        <v>78</v>
      </c>
    </row>
    <row r="1442" spans="1:19" ht="28" x14ac:dyDescent="0.15">
      <c r="A1442" s="2">
        <f>HYPERLINK("https://open-school.uspishnemisto.com.ua/school/70594/", 70594)</f>
        <v>70594</v>
      </c>
      <c r="B1442" s="3" t="s">
        <v>7831</v>
      </c>
      <c r="C1442" s="3" t="s">
        <v>54</v>
      </c>
      <c r="D1442" s="3" t="s">
        <v>32</v>
      </c>
      <c r="E1442" s="4" t="s">
        <v>22</v>
      </c>
      <c r="F1442" s="4" t="s">
        <v>7832</v>
      </c>
      <c r="G1442" s="4" t="s">
        <v>7833</v>
      </c>
      <c r="H1442" s="3" t="s">
        <v>4839</v>
      </c>
      <c r="I1442" s="3" t="s">
        <v>7834</v>
      </c>
      <c r="J1442" s="3" t="s">
        <v>7835</v>
      </c>
      <c r="K1442" s="3" t="s">
        <v>7836</v>
      </c>
      <c r="L1442" s="3" t="s">
        <v>7837</v>
      </c>
      <c r="M1442" s="4"/>
      <c r="N1442" s="3" t="s">
        <v>37</v>
      </c>
      <c r="O1442" s="3" t="s">
        <v>38</v>
      </c>
      <c r="P1442" s="5">
        <v>17</v>
      </c>
      <c r="Q1442" s="5">
        <v>309</v>
      </c>
      <c r="R1442" s="5">
        <v>16</v>
      </c>
      <c r="S1442" s="5">
        <v>295</v>
      </c>
    </row>
    <row r="1443" spans="1:19" ht="28" x14ac:dyDescent="0.15">
      <c r="A1443" s="2">
        <f>HYPERLINK("https://open-school.uspishnemisto.com.ua/school/70595/", 70595)</f>
        <v>70595</v>
      </c>
      <c r="B1443" s="3" t="s">
        <v>7838</v>
      </c>
      <c r="C1443" s="3" t="s">
        <v>54</v>
      </c>
      <c r="D1443" s="3" t="s">
        <v>175</v>
      </c>
      <c r="E1443" s="4" t="s">
        <v>22</v>
      </c>
      <c r="F1443" s="4" t="s">
        <v>7839</v>
      </c>
      <c r="G1443" s="4" t="s">
        <v>7840</v>
      </c>
      <c r="H1443" s="3" t="s">
        <v>4839</v>
      </c>
      <c r="I1443" s="3" t="s">
        <v>7841</v>
      </c>
      <c r="J1443" s="3" t="s">
        <v>1348</v>
      </c>
      <c r="K1443" s="3" t="s">
        <v>7842</v>
      </c>
      <c r="L1443" s="3"/>
      <c r="M1443" s="4"/>
      <c r="N1443" s="3" t="s">
        <v>37</v>
      </c>
      <c r="O1443" s="3" t="s">
        <v>38</v>
      </c>
      <c r="P1443" s="5">
        <v>9</v>
      </c>
      <c r="Q1443" s="5">
        <v>144</v>
      </c>
      <c r="R1443" s="5">
        <v>9</v>
      </c>
      <c r="S1443" s="5">
        <v>146</v>
      </c>
    </row>
    <row r="1444" spans="1:19" ht="28" x14ac:dyDescent="0.15">
      <c r="A1444" s="2">
        <f>HYPERLINK("https://open-school.uspishnemisto.com.ua/school/70596/", 70596)</f>
        <v>70596</v>
      </c>
      <c r="B1444" s="3" t="s">
        <v>7843</v>
      </c>
      <c r="C1444" s="3" t="s">
        <v>54</v>
      </c>
      <c r="D1444" s="3" t="s">
        <v>32</v>
      </c>
      <c r="E1444" s="4" t="s">
        <v>22</v>
      </c>
      <c r="F1444" s="4" t="s">
        <v>7844</v>
      </c>
      <c r="G1444" s="4" t="s">
        <v>7845</v>
      </c>
      <c r="H1444" s="3" t="s">
        <v>4839</v>
      </c>
      <c r="I1444" s="3" t="s">
        <v>7846</v>
      </c>
      <c r="J1444" s="3" t="s">
        <v>4537</v>
      </c>
      <c r="K1444" s="3" t="s">
        <v>7847</v>
      </c>
      <c r="L1444" s="3" t="s">
        <v>7848</v>
      </c>
      <c r="M1444" s="4"/>
      <c r="N1444" s="3" t="s">
        <v>37</v>
      </c>
      <c r="O1444" s="3" t="s">
        <v>38</v>
      </c>
      <c r="P1444" s="5">
        <v>11</v>
      </c>
      <c r="Q1444" s="5">
        <v>219</v>
      </c>
      <c r="R1444" s="5">
        <v>11</v>
      </c>
      <c r="S1444" s="5">
        <v>222</v>
      </c>
    </row>
    <row r="1445" spans="1:19" ht="28" x14ac:dyDescent="0.15">
      <c r="A1445" s="2">
        <f>HYPERLINK("https://open-school.uspishnemisto.com.ua/school/70597/", 70597)</f>
        <v>70597</v>
      </c>
      <c r="B1445" s="3" t="s">
        <v>7849</v>
      </c>
      <c r="C1445" s="3" t="s">
        <v>54</v>
      </c>
      <c r="D1445" s="3" t="s">
        <v>32</v>
      </c>
      <c r="E1445" s="4" t="s">
        <v>22</v>
      </c>
      <c r="F1445" s="4" t="s">
        <v>7850</v>
      </c>
      <c r="G1445" s="4" t="s">
        <v>7851</v>
      </c>
      <c r="H1445" s="3" t="s">
        <v>4839</v>
      </c>
      <c r="I1445" s="3" t="s">
        <v>7852</v>
      </c>
      <c r="J1445" s="3" t="s">
        <v>7853</v>
      </c>
      <c r="K1445" s="3" t="s">
        <v>7854</v>
      </c>
      <c r="L1445" s="3" t="s">
        <v>7855</v>
      </c>
      <c r="M1445" s="4"/>
      <c r="N1445" s="3" t="s">
        <v>37</v>
      </c>
      <c r="O1445" s="3" t="s">
        <v>38</v>
      </c>
      <c r="P1445" s="5">
        <v>14</v>
      </c>
      <c r="Q1445" s="5">
        <v>280</v>
      </c>
      <c r="R1445" s="5">
        <v>14</v>
      </c>
      <c r="S1445" s="5">
        <v>276</v>
      </c>
    </row>
    <row r="1446" spans="1:19" ht="28" x14ac:dyDescent="0.15">
      <c r="A1446" s="2">
        <f>HYPERLINK("https://open-school.uspishnemisto.com.ua/school/70598/", 70598)</f>
        <v>70598</v>
      </c>
      <c r="B1446" s="3" t="s">
        <v>7856</v>
      </c>
      <c r="C1446" s="3" t="s">
        <v>54</v>
      </c>
      <c r="D1446" s="3" t="s">
        <v>32</v>
      </c>
      <c r="E1446" s="4" t="s">
        <v>22</v>
      </c>
      <c r="F1446" s="4" t="s">
        <v>7857</v>
      </c>
      <c r="G1446" s="4" t="s">
        <v>7858</v>
      </c>
      <c r="H1446" s="3" t="s">
        <v>4839</v>
      </c>
      <c r="I1446" s="3" t="s">
        <v>7859</v>
      </c>
      <c r="J1446" s="3" t="s">
        <v>7860</v>
      </c>
      <c r="K1446" s="3" t="s">
        <v>7861</v>
      </c>
      <c r="L1446" s="3" t="s">
        <v>7862</v>
      </c>
      <c r="M1446" s="4"/>
      <c r="N1446" s="3" t="s">
        <v>37</v>
      </c>
      <c r="O1446" s="3" t="s">
        <v>52</v>
      </c>
      <c r="P1446" s="5">
        <v>11</v>
      </c>
      <c r="Q1446" s="5">
        <v>180</v>
      </c>
      <c r="R1446" s="5">
        <v>11</v>
      </c>
      <c r="S1446" s="5">
        <v>178</v>
      </c>
    </row>
    <row r="1447" spans="1:19" ht="28" x14ac:dyDescent="0.15">
      <c r="A1447" s="2">
        <f>HYPERLINK("https://open-school.uspishnemisto.com.ua/school/70599/", 70599)</f>
        <v>70599</v>
      </c>
      <c r="B1447" s="3" t="s">
        <v>7863</v>
      </c>
      <c r="C1447" s="3" t="s">
        <v>31</v>
      </c>
      <c r="D1447" s="3" t="s">
        <v>60</v>
      </c>
      <c r="E1447" s="4" t="s">
        <v>22</v>
      </c>
      <c r="F1447" s="4" t="s">
        <v>7857</v>
      </c>
      <c r="G1447" s="4" t="s">
        <v>7864</v>
      </c>
      <c r="H1447" s="3" t="s">
        <v>4839</v>
      </c>
      <c r="I1447" s="3" t="s">
        <v>7865</v>
      </c>
      <c r="J1447" s="3" t="s">
        <v>2465</v>
      </c>
      <c r="K1447" s="3" t="s">
        <v>7866</v>
      </c>
      <c r="L1447" s="3"/>
      <c r="M1447" s="4"/>
      <c r="N1447" s="3" t="s">
        <v>37</v>
      </c>
      <c r="O1447" s="3" t="s">
        <v>52</v>
      </c>
      <c r="P1447" s="5">
        <v>4</v>
      </c>
      <c r="Q1447" s="5">
        <v>26</v>
      </c>
      <c r="R1447" s="5">
        <v>4</v>
      </c>
      <c r="S1447" s="5">
        <v>25</v>
      </c>
    </row>
    <row r="1448" spans="1:19" ht="28" x14ac:dyDescent="0.15">
      <c r="A1448" s="2">
        <f>HYPERLINK("https://open-school.uspishnemisto.com.ua/school/70600/", 70600)</f>
        <v>70600</v>
      </c>
      <c r="B1448" s="3" t="s">
        <v>7867</v>
      </c>
      <c r="C1448" s="3" t="s">
        <v>31</v>
      </c>
      <c r="D1448" s="3" t="s">
        <v>32</v>
      </c>
      <c r="E1448" s="4" t="s">
        <v>22</v>
      </c>
      <c r="F1448" s="4" t="s">
        <v>7868</v>
      </c>
      <c r="G1448" s="4" t="s">
        <v>7869</v>
      </c>
      <c r="H1448" s="3" t="s">
        <v>4839</v>
      </c>
      <c r="I1448" s="3" t="s">
        <v>7870</v>
      </c>
      <c r="J1448" s="3" t="s">
        <v>7871</v>
      </c>
      <c r="K1448" s="3" t="s">
        <v>7872</v>
      </c>
      <c r="L1448" s="3"/>
      <c r="M1448" s="4"/>
      <c r="N1448" s="3" t="s">
        <v>37</v>
      </c>
      <c r="O1448" s="3" t="s">
        <v>38</v>
      </c>
      <c r="P1448" s="5">
        <v>19</v>
      </c>
      <c r="Q1448" s="5">
        <v>425</v>
      </c>
      <c r="R1448" s="5">
        <v>19</v>
      </c>
      <c r="S1448" s="5">
        <v>401</v>
      </c>
    </row>
    <row r="1449" spans="1:19" ht="28" x14ac:dyDescent="0.15">
      <c r="A1449" s="2">
        <f>HYPERLINK("https://open-school.uspishnemisto.com.ua/school/70601/", 70601)</f>
        <v>70601</v>
      </c>
      <c r="B1449" s="3" t="s">
        <v>7873</v>
      </c>
      <c r="C1449" s="3" t="s">
        <v>31</v>
      </c>
      <c r="D1449" s="3" t="s">
        <v>32</v>
      </c>
      <c r="E1449" s="4" t="s">
        <v>22</v>
      </c>
      <c r="F1449" s="4" t="s">
        <v>7874</v>
      </c>
      <c r="G1449" s="4" t="s">
        <v>7869</v>
      </c>
      <c r="H1449" s="3" t="s">
        <v>4839</v>
      </c>
      <c r="I1449" s="3" t="s">
        <v>7870</v>
      </c>
      <c r="J1449" s="3" t="s">
        <v>7875</v>
      </c>
      <c r="K1449" s="3" t="s">
        <v>7876</v>
      </c>
      <c r="L1449" s="3" t="s">
        <v>7877</v>
      </c>
      <c r="M1449" s="4"/>
      <c r="N1449" s="3" t="s">
        <v>37</v>
      </c>
      <c r="O1449" s="3" t="s">
        <v>266</v>
      </c>
      <c r="P1449" s="5">
        <v>20</v>
      </c>
      <c r="Q1449" s="5">
        <v>426</v>
      </c>
      <c r="R1449" s="5">
        <v>20</v>
      </c>
      <c r="S1449" s="5">
        <v>422</v>
      </c>
    </row>
    <row r="1450" spans="1:19" ht="42" x14ac:dyDescent="0.15">
      <c r="A1450" s="2">
        <f>HYPERLINK("https://open-school.uspishnemisto.com.ua/school/70602/", 70602)</f>
        <v>70602</v>
      </c>
      <c r="B1450" s="3" t="s">
        <v>7878</v>
      </c>
      <c r="C1450" s="3" t="s">
        <v>31</v>
      </c>
      <c r="D1450" s="3" t="s">
        <v>32</v>
      </c>
      <c r="E1450" s="4" t="s">
        <v>22</v>
      </c>
      <c r="F1450" s="4" t="s">
        <v>7868</v>
      </c>
      <c r="G1450" s="4" t="s">
        <v>7869</v>
      </c>
      <c r="H1450" s="3" t="s">
        <v>4839</v>
      </c>
      <c r="I1450" s="3" t="s">
        <v>7870</v>
      </c>
      <c r="J1450" s="3" t="s">
        <v>7879</v>
      </c>
      <c r="K1450" s="3" t="s">
        <v>7880</v>
      </c>
      <c r="L1450" s="3" t="s">
        <v>7881</v>
      </c>
      <c r="M1450" s="4" t="s">
        <v>7882</v>
      </c>
      <c r="N1450" s="3" t="s">
        <v>37</v>
      </c>
      <c r="O1450" s="3" t="s">
        <v>2740</v>
      </c>
      <c r="P1450" s="5">
        <v>21</v>
      </c>
      <c r="Q1450" s="5">
        <v>447</v>
      </c>
      <c r="R1450" s="5">
        <v>21</v>
      </c>
      <c r="S1450" s="5">
        <v>448</v>
      </c>
    </row>
    <row r="1451" spans="1:19" ht="42" x14ac:dyDescent="0.15">
      <c r="A1451" s="2">
        <f>HYPERLINK("https://open-school.uspishnemisto.com.ua/school/70603/", 70603)</f>
        <v>70603</v>
      </c>
      <c r="B1451" s="3" t="s">
        <v>7883</v>
      </c>
      <c r="C1451" s="3" t="s">
        <v>40</v>
      </c>
      <c r="D1451" s="3" t="s">
        <v>32</v>
      </c>
      <c r="E1451" s="4" t="s">
        <v>22</v>
      </c>
      <c r="F1451" s="4" t="s">
        <v>7868</v>
      </c>
      <c r="G1451" s="4" t="s">
        <v>7869</v>
      </c>
      <c r="H1451" s="3" t="s">
        <v>4839</v>
      </c>
      <c r="I1451" s="3" t="s">
        <v>7870</v>
      </c>
      <c r="J1451" s="3" t="s">
        <v>7884</v>
      </c>
      <c r="K1451" s="3" t="s">
        <v>7885</v>
      </c>
      <c r="L1451" s="3" t="s">
        <v>7886</v>
      </c>
      <c r="M1451" s="4"/>
      <c r="N1451" s="3" t="s">
        <v>37</v>
      </c>
      <c r="O1451" s="3" t="s">
        <v>237</v>
      </c>
      <c r="P1451" s="5">
        <v>26</v>
      </c>
      <c r="Q1451" s="5">
        <v>654</v>
      </c>
      <c r="R1451" s="5">
        <v>27</v>
      </c>
      <c r="S1451" s="5">
        <v>643</v>
      </c>
    </row>
    <row r="1452" spans="1:19" ht="28" x14ac:dyDescent="0.15">
      <c r="A1452" s="2">
        <f>HYPERLINK("https://open-school.uspishnemisto.com.ua/school/70604/", 70604)</f>
        <v>70604</v>
      </c>
      <c r="B1452" s="3" t="s">
        <v>7887</v>
      </c>
      <c r="C1452" s="3" t="s">
        <v>181</v>
      </c>
      <c r="D1452" s="3" t="s">
        <v>175</v>
      </c>
      <c r="E1452" s="4" t="s">
        <v>22</v>
      </c>
      <c r="F1452" s="4" t="s">
        <v>7868</v>
      </c>
      <c r="G1452" s="4" t="s">
        <v>7869</v>
      </c>
      <c r="H1452" s="3" t="s">
        <v>4839</v>
      </c>
      <c r="I1452" s="3" t="s">
        <v>7870</v>
      </c>
      <c r="J1452" s="3" t="s">
        <v>7888</v>
      </c>
      <c r="K1452" s="3" t="s">
        <v>7889</v>
      </c>
      <c r="L1452" s="3"/>
      <c r="M1452" s="4" t="s">
        <v>7890</v>
      </c>
      <c r="N1452" s="3" t="s">
        <v>37</v>
      </c>
      <c r="O1452" s="3"/>
      <c r="P1452" s="5">
        <v>10</v>
      </c>
      <c r="Q1452" s="5">
        <v>80</v>
      </c>
      <c r="R1452" s="5">
        <v>10</v>
      </c>
      <c r="S1452" s="5">
        <v>80</v>
      </c>
    </row>
    <row r="1453" spans="1:19" ht="28" x14ac:dyDescent="0.15">
      <c r="A1453" s="2">
        <f>HYPERLINK("https://open-school.uspishnemisto.com.ua/school/70605/", 70605)</f>
        <v>70605</v>
      </c>
      <c r="B1453" s="3" t="s">
        <v>7891</v>
      </c>
      <c r="C1453" s="3" t="s">
        <v>31</v>
      </c>
      <c r="D1453" s="3" t="s">
        <v>32</v>
      </c>
      <c r="E1453" s="4" t="s">
        <v>22</v>
      </c>
      <c r="F1453" s="4" t="s">
        <v>7892</v>
      </c>
      <c r="G1453" s="4" t="s">
        <v>7893</v>
      </c>
      <c r="H1453" s="3" t="s">
        <v>4839</v>
      </c>
      <c r="I1453" s="3" t="s">
        <v>6148</v>
      </c>
      <c r="J1453" s="3" t="s">
        <v>7894</v>
      </c>
      <c r="K1453" s="3" t="s">
        <v>7895</v>
      </c>
      <c r="L1453" s="3"/>
      <c r="M1453" s="4"/>
      <c r="N1453" s="3" t="s">
        <v>37</v>
      </c>
      <c r="O1453" s="3" t="s">
        <v>52</v>
      </c>
      <c r="P1453" s="5">
        <v>13</v>
      </c>
      <c r="Q1453" s="5">
        <v>252</v>
      </c>
      <c r="R1453" s="5">
        <v>13</v>
      </c>
      <c r="S1453" s="5">
        <v>250</v>
      </c>
    </row>
    <row r="1454" spans="1:19" ht="28" x14ac:dyDescent="0.15">
      <c r="A1454" s="2">
        <f>HYPERLINK("https://open-school.uspishnemisto.com.ua/school/70606/", 70606)</f>
        <v>70606</v>
      </c>
      <c r="B1454" s="3" t="s">
        <v>7896</v>
      </c>
      <c r="C1454" s="3" t="s">
        <v>31</v>
      </c>
      <c r="D1454" s="3" t="s">
        <v>32</v>
      </c>
      <c r="E1454" s="4" t="s">
        <v>22</v>
      </c>
      <c r="F1454" s="4" t="s">
        <v>7897</v>
      </c>
      <c r="G1454" s="4" t="s">
        <v>7898</v>
      </c>
      <c r="H1454" s="3" t="s">
        <v>4839</v>
      </c>
      <c r="I1454" s="3" t="s">
        <v>7899</v>
      </c>
      <c r="J1454" s="3" t="s">
        <v>7463</v>
      </c>
      <c r="K1454" s="3" t="s">
        <v>7900</v>
      </c>
      <c r="L1454" s="3"/>
      <c r="M1454" s="4"/>
      <c r="N1454" s="3" t="s">
        <v>37</v>
      </c>
      <c r="O1454" s="3" t="s">
        <v>46</v>
      </c>
      <c r="P1454" s="5">
        <v>11</v>
      </c>
      <c r="Q1454" s="5">
        <v>96</v>
      </c>
      <c r="R1454" s="5">
        <v>10</v>
      </c>
      <c r="S1454" s="5">
        <v>89</v>
      </c>
    </row>
    <row r="1455" spans="1:19" ht="28" x14ac:dyDescent="0.15">
      <c r="A1455" s="2">
        <f>HYPERLINK("https://open-school.uspishnemisto.com.ua/school/70607/", 70607)</f>
        <v>70607</v>
      </c>
      <c r="B1455" s="3" t="s">
        <v>7901</v>
      </c>
      <c r="C1455" s="3" t="s">
        <v>31</v>
      </c>
      <c r="D1455" s="3" t="s">
        <v>32</v>
      </c>
      <c r="E1455" s="4" t="s">
        <v>22</v>
      </c>
      <c r="F1455" s="4" t="s">
        <v>7902</v>
      </c>
      <c r="G1455" s="4" t="s">
        <v>7903</v>
      </c>
      <c r="H1455" s="3" t="s">
        <v>4839</v>
      </c>
      <c r="I1455" s="3" t="s">
        <v>7904</v>
      </c>
      <c r="J1455" s="3" t="s">
        <v>7905</v>
      </c>
      <c r="K1455" s="3" t="s">
        <v>7906</v>
      </c>
      <c r="L1455" s="3"/>
      <c r="M1455" s="4"/>
      <c r="N1455" s="3" t="s">
        <v>37</v>
      </c>
      <c r="O1455" s="3" t="s">
        <v>52</v>
      </c>
      <c r="P1455" s="5">
        <v>9</v>
      </c>
      <c r="Q1455" s="5">
        <v>57</v>
      </c>
      <c r="R1455" s="5">
        <v>9</v>
      </c>
      <c r="S1455" s="5">
        <v>58</v>
      </c>
    </row>
    <row r="1456" spans="1:19" ht="28" x14ac:dyDescent="0.15">
      <c r="A1456" s="2">
        <f>HYPERLINK("https://open-school.uspishnemisto.com.ua/school/70608/", 70608)</f>
        <v>70608</v>
      </c>
      <c r="B1456" s="3" t="s">
        <v>7907</v>
      </c>
      <c r="C1456" s="3" t="s">
        <v>31</v>
      </c>
      <c r="D1456" s="3" t="s">
        <v>175</v>
      </c>
      <c r="E1456" s="4" t="s">
        <v>22</v>
      </c>
      <c r="F1456" s="4" t="s">
        <v>7908</v>
      </c>
      <c r="G1456" s="4" t="s">
        <v>7909</v>
      </c>
      <c r="H1456" s="3" t="s">
        <v>4839</v>
      </c>
      <c r="I1456" s="3" t="s">
        <v>7910</v>
      </c>
      <c r="J1456" s="3" t="s">
        <v>466</v>
      </c>
      <c r="K1456" s="3" t="s">
        <v>7911</v>
      </c>
      <c r="L1456" s="3"/>
      <c r="M1456" s="4"/>
      <c r="N1456" s="3" t="s">
        <v>37</v>
      </c>
      <c r="O1456" s="3" t="s">
        <v>52</v>
      </c>
      <c r="P1456" s="5">
        <v>7</v>
      </c>
      <c r="Q1456" s="5">
        <v>51</v>
      </c>
      <c r="R1456" s="5">
        <v>8</v>
      </c>
      <c r="S1456" s="5">
        <v>54</v>
      </c>
    </row>
    <row r="1457" spans="1:19" ht="28" x14ac:dyDescent="0.15">
      <c r="A1457" s="2">
        <f>HYPERLINK("https://open-school.uspishnemisto.com.ua/school/70609/", 70609)</f>
        <v>70609</v>
      </c>
      <c r="B1457" s="3" t="s">
        <v>7912</v>
      </c>
      <c r="C1457" s="3" t="s">
        <v>31</v>
      </c>
      <c r="D1457" s="3" t="s">
        <v>32</v>
      </c>
      <c r="E1457" s="4" t="s">
        <v>22</v>
      </c>
      <c r="F1457" s="4" t="s">
        <v>7913</v>
      </c>
      <c r="G1457" s="4" t="s">
        <v>7914</v>
      </c>
      <c r="H1457" s="3" t="s">
        <v>4839</v>
      </c>
      <c r="I1457" s="3" t="s">
        <v>7915</v>
      </c>
      <c r="J1457" s="3" t="s">
        <v>5998</v>
      </c>
      <c r="K1457" s="3" t="s">
        <v>7916</v>
      </c>
      <c r="L1457" s="3"/>
      <c r="M1457" s="4"/>
      <c r="N1457" s="3" t="s">
        <v>37</v>
      </c>
      <c r="O1457" s="3" t="s">
        <v>52</v>
      </c>
      <c r="P1457" s="5">
        <v>10</v>
      </c>
      <c r="Q1457" s="5">
        <v>104</v>
      </c>
      <c r="R1457" s="5">
        <v>10</v>
      </c>
      <c r="S1457" s="5">
        <v>105</v>
      </c>
    </row>
    <row r="1458" spans="1:19" ht="28" x14ac:dyDescent="0.15">
      <c r="A1458" s="2">
        <f>HYPERLINK("https://open-school.uspishnemisto.com.ua/school/70610/", 70610)</f>
        <v>70610</v>
      </c>
      <c r="B1458" s="3" t="s">
        <v>7917</v>
      </c>
      <c r="C1458" s="3" t="s">
        <v>31</v>
      </c>
      <c r="D1458" s="3" t="s">
        <v>175</v>
      </c>
      <c r="E1458" s="4" t="s">
        <v>22</v>
      </c>
      <c r="F1458" s="4" t="s">
        <v>7918</v>
      </c>
      <c r="G1458" s="4" t="s">
        <v>7919</v>
      </c>
      <c r="H1458" s="3" t="s">
        <v>4839</v>
      </c>
      <c r="I1458" s="3" t="s">
        <v>7920</v>
      </c>
      <c r="J1458" s="3" t="s">
        <v>2820</v>
      </c>
      <c r="K1458" s="3" t="s">
        <v>7921</v>
      </c>
      <c r="L1458" s="3"/>
      <c r="M1458" s="4"/>
      <c r="N1458" s="3" t="s">
        <v>37</v>
      </c>
      <c r="O1458" s="3" t="s">
        <v>52</v>
      </c>
      <c r="P1458" s="5">
        <v>4</v>
      </c>
      <c r="Q1458" s="5">
        <v>31</v>
      </c>
      <c r="R1458" s="5">
        <v>5</v>
      </c>
      <c r="S1458" s="5">
        <v>35</v>
      </c>
    </row>
    <row r="1459" spans="1:19" ht="28" x14ac:dyDescent="0.15">
      <c r="A1459" s="2">
        <f>HYPERLINK("https://open-school.uspishnemisto.com.ua/school/70611/", 70611)</f>
        <v>70611</v>
      </c>
      <c r="B1459" s="3" t="s">
        <v>7922</v>
      </c>
      <c r="C1459" s="3" t="s">
        <v>31</v>
      </c>
      <c r="D1459" s="3" t="s">
        <v>32</v>
      </c>
      <c r="E1459" s="4" t="s">
        <v>22</v>
      </c>
      <c r="F1459" s="4" t="s">
        <v>7923</v>
      </c>
      <c r="G1459" s="4" t="s">
        <v>7924</v>
      </c>
      <c r="H1459" s="3" t="s">
        <v>4839</v>
      </c>
      <c r="I1459" s="3" t="s">
        <v>7925</v>
      </c>
      <c r="J1459" s="3" t="s">
        <v>2384</v>
      </c>
      <c r="K1459" s="3" t="s">
        <v>7926</v>
      </c>
      <c r="L1459" s="3"/>
      <c r="M1459" s="4"/>
      <c r="N1459" s="3" t="s">
        <v>37</v>
      </c>
      <c r="O1459" s="3" t="s">
        <v>46</v>
      </c>
      <c r="P1459" s="5">
        <v>11</v>
      </c>
      <c r="Q1459" s="5">
        <v>146</v>
      </c>
      <c r="R1459" s="5">
        <v>11</v>
      </c>
      <c r="S1459" s="5">
        <v>152</v>
      </c>
    </row>
    <row r="1460" spans="1:19" ht="28" x14ac:dyDescent="0.15">
      <c r="A1460" s="2">
        <f>HYPERLINK("https://open-school.uspishnemisto.com.ua/school/70612/", 70612)</f>
        <v>70612</v>
      </c>
      <c r="B1460" s="3" t="s">
        <v>7927</v>
      </c>
      <c r="C1460" s="3" t="s">
        <v>31</v>
      </c>
      <c r="D1460" s="3" t="s">
        <v>60</v>
      </c>
      <c r="E1460" s="4" t="s">
        <v>22</v>
      </c>
      <c r="F1460" s="4" t="s">
        <v>7923</v>
      </c>
      <c r="G1460" s="4" t="s">
        <v>7928</v>
      </c>
      <c r="H1460" s="3" t="s">
        <v>4839</v>
      </c>
      <c r="I1460" s="3" t="s">
        <v>7929</v>
      </c>
      <c r="J1460" s="3" t="s">
        <v>7930</v>
      </c>
      <c r="K1460" s="3" t="s">
        <v>7931</v>
      </c>
      <c r="L1460" s="3"/>
      <c r="M1460" s="4"/>
      <c r="N1460" s="3" t="s">
        <v>37</v>
      </c>
      <c r="O1460" s="3" t="s">
        <v>52</v>
      </c>
      <c r="P1460" s="5">
        <v>2</v>
      </c>
      <c r="Q1460" s="5">
        <v>12</v>
      </c>
      <c r="R1460" s="5">
        <v>2</v>
      </c>
      <c r="S1460" s="5">
        <v>10</v>
      </c>
    </row>
    <row r="1461" spans="1:19" ht="28" x14ac:dyDescent="0.15">
      <c r="A1461" s="2">
        <f>HYPERLINK("https://open-school.uspishnemisto.com.ua/school/70613/", 70613)</f>
        <v>70613</v>
      </c>
      <c r="B1461" s="3" t="s">
        <v>7932</v>
      </c>
      <c r="C1461" s="3" t="s">
        <v>31</v>
      </c>
      <c r="D1461" s="3" t="s">
        <v>175</v>
      </c>
      <c r="E1461" s="4" t="s">
        <v>22</v>
      </c>
      <c r="F1461" s="4" t="s">
        <v>7933</v>
      </c>
      <c r="G1461" s="4" t="s">
        <v>7934</v>
      </c>
      <c r="H1461" s="3" t="s">
        <v>4839</v>
      </c>
      <c r="I1461" s="3" t="s">
        <v>7935</v>
      </c>
      <c r="J1461" s="3" t="s">
        <v>7936</v>
      </c>
      <c r="K1461" s="3" t="s">
        <v>7937</v>
      </c>
      <c r="L1461" s="3"/>
      <c r="M1461" s="4"/>
      <c r="N1461" s="3" t="s">
        <v>37</v>
      </c>
      <c r="O1461" s="3" t="s">
        <v>52</v>
      </c>
      <c r="P1461" s="5">
        <v>9</v>
      </c>
      <c r="Q1461" s="5">
        <v>70</v>
      </c>
      <c r="R1461" s="5">
        <v>9</v>
      </c>
      <c r="S1461" s="5">
        <v>67</v>
      </c>
    </row>
    <row r="1462" spans="1:19" ht="28" x14ac:dyDescent="0.15">
      <c r="A1462" s="2">
        <f>HYPERLINK("https://open-school.uspishnemisto.com.ua/school/70614/", 70614)</f>
        <v>70614</v>
      </c>
      <c r="B1462" s="3" t="s">
        <v>7938</v>
      </c>
      <c r="C1462" s="3" t="s">
        <v>31</v>
      </c>
      <c r="D1462" s="3" t="s">
        <v>175</v>
      </c>
      <c r="E1462" s="4" t="s">
        <v>22</v>
      </c>
      <c r="F1462" s="4" t="s">
        <v>7939</v>
      </c>
      <c r="G1462" s="4" t="s">
        <v>7940</v>
      </c>
      <c r="H1462" s="3" t="s">
        <v>4839</v>
      </c>
      <c r="I1462" s="3" t="s">
        <v>7941</v>
      </c>
      <c r="J1462" s="3" t="s">
        <v>466</v>
      </c>
      <c r="K1462" s="3" t="s">
        <v>7942</v>
      </c>
      <c r="L1462" s="3"/>
      <c r="M1462" s="4"/>
      <c r="N1462" s="3" t="s">
        <v>37</v>
      </c>
      <c r="O1462" s="3" t="s">
        <v>52</v>
      </c>
      <c r="P1462" s="5">
        <v>3</v>
      </c>
      <c r="Q1462" s="5">
        <v>32</v>
      </c>
      <c r="R1462" s="5">
        <v>3</v>
      </c>
      <c r="S1462" s="5">
        <v>34</v>
      </c>
    </row>
    <row r="1463" spans="1:19" ht="28" x14ac:dyDescent="0.15">
      <c r="A1463" s="2">
        <f>HYPERLINK("https://open-school.uspishnemisto.com.ua/school/70615/", 70615)</f>
        <v>70615</v>
      </c>
      <c r="B1463" s="3" t="s">
        <v>7943</v>
      </c>
      <c r="C1463" s="3" t="s">
        <v>31</v>
      </c>
      <c r="D1463" s="3" t="s">
        <v>60</v>
      </c>
      <c r="E1463" s="4" t="s">
        <v>22</v>
      </c>
      <c r="F1463" s="4" t="s">
        <v>7944</v>
      </c>
      <c r="G1463" s="4" t="s">
        <v>7945</v>
      </c>
      <c r="H1463" s="3" t="s">
        <v>4839</v>
      </c>
      <c r="I1463" s="3" t="s">
        <v>7946</v>
      </c>
      <c r="J1463" s="3" t="s">
        <v>726</v>
      </c>
      <c r="K1463" s="3" t="s">
        <v>7947</v>
      </c>
      <c r="L1463" s="3"/>
      <c r="M1463" s="4"/>
      <c r="N1463" s="3" t="s">
        <v>37</v>
      </c>
      <c r="O1463" s="3" t="s">
        <v>52</v>
      </c>
      <c r="P1463" s="5">
        <v>1</v>
      </c>
      <c r="Q1463" s="5">
        <v>11</v>
      </c>
      <c r="R1463" s="5">
        <v>1</v>
      </c>
      <c r="S1463" s="5">
        <v>11</v>
      </c>
    </row>
    <row r="1464" spans="1:19" ht="28" x14ac:dyDescent="0.15">
      <c r="A1464" s="2">
        <f>HYPERLINK("https://open-school.uspishnemisto.com.ua/school/70616/", 70616)</f>
        <v>70616</v>
      </c>
      <c r="B1464" s="3" t="s">
        <v>7948</v>
      </c>
      <c r="C1464" s="3" t="s">
        <v>31</v>
      </c>
      <c r="D1464" s="3" t="s">
        <v>32</v>
      </c>
      <c r="E1464" s="4" t="s">
        <v>22</v>
      </c>
      <c r="F1464" s="4" t="s">
        <v>7949</v>
      </c>
      <c r="G1464" s="4" t="s">
        <v>7950</v>
      </c>
      <c r="H1464" s="3" t="s">
        <v>4839</v>
      </c>
      <c r="I1464" s="3" t="s">
        <v>7951</v>
      </c>
      <c r="J1464" s="3" t="s">
        <v>3858</v>
      </c>
      <c r="K1464" s="3" t="s">
        <v>7952</v>
      </c>
      <c r="L1464" s="3"/>
      <c r="M1464" s="4"/>
      <c r="N1464" s="3" t="s">
        <v>37</v>
      </c>
      <c r="O1464" s="3" t="s">
        <v>139</v>
      </c>
      <c r="P1464" s="5">
        <v>11</v>
      </c>
      <c r="Q1464" s="5">
        <v>209</v>
      </c>
      <c r="R1464" s="5">
        <v>11</v>
      </c>
      <c r="S1464" s="5">
        <v>203</v>
      </c>
    </row>
    <row r="1465" spans="1:19" ht="28" x14ac:dyDescent="0.15">
      <c r="A1465" s="2">
        <f>HYPERLINK("https://open-school.uspishnemisto.com.ua/school/70617/", 70617)</f>
        <v>70617</v>
      </c>
      <c r="B1465" s="3" t="s">
        <v>7953</v>
      </c>
      <c r="C1465" s="3" t="s">
        <v>31</v>
      </c>
      <c r="D1465" s="3" t="s">
        <v>60</v>
      </c>
      <c r="E1465" s="4" t="s">
        <v>22</v>
      </c>
      <c r="F1465" s="4" t="s">
        <v>7949</v>
      </c>
      <c r="G1465" s="4" t="s">
        <v>7954</v>
      </c>
      <c r="H1465" s="3" t="s">
        <v>4839</v>
      </c>
      <c r="I1465" s="3" t="s">
        <v>7955</v>
      </c>
      <c r="J1465" s="3" t="s">
        <v>7956</v>
      </c>
      <c r="K1465" s="3" t="s">
        <v>7957</v>
      </c>
      <c r="L1465" s="3" t="s">
        <v>7958</v>
      </c>
      <c r="M1465" s="4"/>
      <c r="N1465" s="3" t="s">
        <v>37</v>
      </c>
      <c r="O1465" s="3" t="s">
        <v>52</v>
      </c>
      <c r="P1465" s="5">
        <v>2</v>
      </c>
      <c r="Q1465" s="5">
        <v>20</v>
      </c>
      <c r="R1465" s="5">
        <v>1</v>
      </c>
      <c r="S1465" s="5">
        <v>15</v>
      </c>
    </row>
    <row r="1466" spans="1:19" ht="28" x14ac:dyDescent="0.15">
      <c r="A1466" s="2">
        <f>HYPERLINK("https://open-school.uspishnemisto.com.ua/school/70618/", 70618)</f>
        <v>70618</v>
      </c>
      <c r="B1466" s="3" t="s">
        <v>7959</v>
      </c>
      <c r="C1466" s="3" t="s">
        <v>31</v>
      </c>
      <c r="D1466" s="3" t="s">
        <v>32</v>
      </c>
      <c r="E1466" s="4" t="s">
        <v>22</v>
      </c>
      <c r="F1466" s="4" t="s">
        <v>7960</v>
      </c>
      <c r="G1466" s="4" t="s">
        <v>7961</v>
      </c>
      <c r="H1466" s="3" t="s">
        <v>4839</v>
      </c>
      <c r="I1466" s="3" t="s">
        <v>7962</v>
      </c>
      <c r="J1466" s="3" t="s">
        <v>466</v>
      </c>
      <c r="K1466" s="3" t="s">
        <v>7963</v>
      </c>
      <c r="L1466" s="3" t="s">
        <v>7964</v>
      </c>
      <c r="M1466" s="4"/>
      <c r="N1466" s="3" t="s">
        <v>37</v>
      </c>
      <c r="O1466" s="3" t="s">
        <v>46</v>
      </c>
      <c r="P1466" s="5">
        <v>11</v>
      </c>
      <c r="Q1466" s="5">
        <v>160</v>
      </c>
      <c r="R1466" s="5">
        <v>10</v>
      </c>
      <c r="S1466" s="5">
        <v>161</v>
      </c>
    </row>
    <row r="1467" spans="1:19" ht="28" x14ac:dyDescent="0.15">
      <c r="A1467" s="2">
        <f>HYPERLINK("https://open-school.uspishnemisto.com.ua/school/70619/", 70619)</f>
        <v>70619</v>
      </c>
      <c r="B1467" s="3" t="s">
        <v>7965</v>
      </c>
      <c r="C1467" s="3" t="s">
        <v>31</v>
      </c>
      <c r="D1467" s="3" t="s">
        <v>32</v>
      </c>
      <c r="E1467" s="4" t="s">
        <v>22</v>
      </c>
      <c r="F1467" s="4" t="s">
        <v>7966</v>
      </c>
      <c r="G1467" s="4" t="s">
        <v>7967</v>
      </c>
      <c r="H1467" s="3" t="s">
        <v>4839</v>
      </c>
      <c r="I1467" s="3" t="s">
        <v>7968</v>
      </c>
      <c r="J1467" s="3" t="s">
        <v>7969</v>
      </c>
      <c r="K1467" s="3" t="s">
        <v>7970</v>
      </c>
      <c r="L1467" s="3" t="s">
        <v>7971</v>
      </c>
      <c r="M1467" s="4"/>
      <c r="N1467" s="3" t="s">
        <v>37</v>
      </c>
      <c r="O1467" s="3" t="s">
        <v>46</v>
      </c>
      <c r="P1467" s="5">
        <v>10</v>
      </c>
      <c r="Q1467" s="5">
        <v>69</v>
      </c>
      <c r="R1467" s="5">
        <v>10</v>
      </c>
      <c r="S1467" s="5">
        <v>75</v>
      </c>
    </row>
    <row r="1468" spans="1:19" ht="28" x14ac:dyDescent="0.15">
      <c r="A1468" s="2">
        <f>HYPERLINK("https://open-school.uspishnemisto.com.ua/school/70620/", 70620)</f>
        <v>70620</v>
      </c>
      <c r="B1468" s="3" t="s">
        <v>7972</v>
      </c>
      <c r="C1468" s="3" t="s">
        <v>31</v>
      </c>
      <c r="D1468" s="3" t="s">
        <v>60</v>
      </c>
      <c r="E1468" s="4" t="s">
        <v>22</v>
      </c>
      <c r="F1468" s="4" t="s">
        <v>7973</v>
      </c>
      <c r="G1468" s="4" t="s">
        <v>7974</v>
      </c>
      <c r="H1468" s="3" t="s">
        <v>4839</v>
      </c>
      <c r="I1468" s="3" t="s">
        <v>7975</v>
      </c>
      <c r="J1468" s="3" t="s">
        <v>7976</v>
      </c>
      <c r="K1468" s="3"/>
      <c r="L1468" s="3"/>
      <c r="M1468" s="4"/>
      <c r="N1468" s="3" t="s">
        <v>37</v>
      </c>
      <c r="O1468" s="3" t="s">
        <v>52</v>
      </c>
      <c r="P1468" s="5">
        <v>1</v>
      </c>
      <c r="Q1468" s="5">
        <v>10</v>
      </c>
      <c r="R1468" s="5">
        <v>1</v>
      </c>
      <c r="S1468" s="5">
        <v>17</v>
      </c>
    </row>
    <row r="1469" spans="1:19" ht="28" x14ac:dyDescent="0.15">
      <c r="A1469" s="2">
        <f>HYPERLINK("https://open-school.uspishnemisto.com.ua/school/70621/", 70621)</f>
        <v>70621</v>
      </c>
      <c r="B1469" s="3" t="s">
        <v>7977</v>
      </c>
      <c r="C1469" s="3" t="s">
        <v>31</v>
      </c>
      <c r="D1469" s="3" t="s">
        <v>32</v>
      </c>
      <c r="E1469" s="4" t="s">
        <v>22</v>
      </c>
      <c r="F1469" s="4" t="s">
        <v>7978</v>
      </c>
      <c r="G1469" s="4" t="s">
        <v>7979</v>
      </c>
      <c r="H1469" s="3" t="s">
        <v>4839</v>
      </c>
      <c r="I1469" s="3" t="s">
        <v>7980</v>
      </c>
      <c r="J1469" s="3" t="s">
        <v>7981</v>
      </c>
      <c r="K1469" s="3"/>
      <c r="L1469" s="3" t="s">
        <v>7982</v>
      </c>
      <c r="M1469" s="4"/>
      <c r="N1469" s="3" t="s">
        <v>37</v>
      </c>
      <c r="O1469" s="3" t="s">
        <v>52</v>
      </c>
      <c r="P1469" s="5">
        <v>9</v>
      </c>
      <c r="Q1469" s="5">
        <v>79</v>
      </c>
      <c r="R1469" s="5">
        <v>9</v>
      </c>
      <c r="S1469" s="5">
        <v>74</v>
      </c>
    </row>
    <row r="1470" spans="1:19" ht="28" x14ac:dyDescent="0.15">
      <c r="A1470" s="2">
        <f>HYPERLINK("https://open-school.uspishnemisto.com.ua/school/70622/", 70622)</f>
        <v>70622</v>
      </c>
      <c r="B1470" s="3" t="s">
        <v>7983</v>
      </c>
      <c r="C1470" s="3" t="s">
        <v>31</v>
      </c>
      <c r="D1470" s="3" t="s">
        <v>175</v>
      </c>
      <c r="E1470" s="4" t="s">
        <v>22</v>
      </c>
      <c r="F1470" s="4" t="s">
        <v>7984</v>
      </c>
      <c r="G1470" s="4" t="s">
        <v>7985</v>
      </c>
      <c r="H1470" s="3" t="s">
        <v>4839</v>
      </c>
      <c r="I1470" s="3" t="s">
        <v>7986</v>
      </c>
      <c r="J1470" s="3" t="s">
        <v>7987</v>
      </c>
      <c r="K1470" s="3" t="s">
        <v>7988</v>
      </c>
      <c r="L1470" s="3"/>
      <c r="M1470" s="4"/>
      <c r="N1470" s="3" t="s">
        <v>37</v>
      </c>
      <c r="O1470" s="3" t="s">
        <v>52</v>
      </c>
      <c r="P1470" s="5">
        <v>9</v>
      </c>
      <c r="Q1470" s="5">
        <v>79</v>
      </c>
      <c r="R1470" s="5">
        <v>8</v>
      </c>
      <c r="S1470" s="5">
        <v>67</v>
      </c>
    </row>
    <row r="1471" spans="1:19" ht="28" x14ac:dyDescent="0.15">
      <c r="A1471" s="2">
        <f>HYPERLINK("https://open-school.uspishnemisto.com.ua/school/70623/", 70623)</f>
        <v>70623</v>
      </c>
      <c r="B1471" s="3" t="s">
        <v>7989</v>
      </c>
      <c r="C1471" s="3" t="s">
        <v>31</v>
      </c>
      <c r="D1471" s="3" t="s">
        <v>32</v>
      </c>
      <c r="E1471" s="4" t="s">
        <v>22</v>
      </c>
      <c r="F1471" s="4" t="s">
        <v>7990</v>
      </c>
      <c r="G1471" s="4" t="s">
        <v>7991</v>
      </c>
      <c r="H1471" s="3" t="s">
        <v>4839</v>
      </c>
      <c r="I1471" s="3" t="s">
        <v>7992</v>
      </c>
      <c r="J1471" s="3" t="s">
        <v>7993</v>
      </c>
      <c r="K1471" s="3" t="s">
        <v>7994</v>
      </c>
      <c r="L1471" s="3" t="s">
        <v>7995</v>
      </c>
      <c r="M1471" s="4"/>
      <c r="N1471" s="3" t="s">
        <v>37</v>
      </c>
      <c r="O1471" s="3" t="s">
        <v>52</v>
      </c>
      <c r="P1471" s="5">
        <v>10</v>
      </c>
      <c r="Q1471" s="5">
        <v>67</v>
      </c>
      <c r="R1471" s="5">
        <v>11</v>
      </c>
      <c r="S1471" s="5">
        <v>72</v>
      </c>
    </row>
    <row r="1472" spans="1:19" ht="28" x14ac:dyDescent="0.15">
      <c r="A1472" s="2">
        <f>HYPERLINK("https://open-school.uspishnemisto.com.ua/school/70624/", 70624)</f>
        <v>70624</v>
      </c>
      <c r="B1472" s="3" t="s">
        <v>7996</v>
      </c>
      <c r="C1472" s="3" t="s">
        <v>31</v>
      </c>
      <c r="D1472" s="3" t="s">
        <v>32</v>
      </c>
      <c r="E1472" s="4" t="s">
        <v>22</v>
      </c>
      <c r="F1472" s="4" t="s">
        <v>7997</v>
      </c>
      <c r="G1472" s="4" t="s">
        <v>7998</v>
      </c>
      <c r="H1472" s="3" t="s">
        <v>4839</v>
      </c>
      <c r="I1472" s="3" t="s">
        <v>7999</v>
      </c>
      <c r="J1472" s="3" t="s">
        <v>8000</v>
      </c>
      <c r="K1472" s="3" t="s">
        <v>8001</v>
      </c>
      <c r="L1472" s="3" t="s">
        <v>8002</v>
      </c>
      <c r="M1472" s="4"/>
      <c r="N1472" s="3" t="s">
        <v>37</v>
      </c>
      <c r="O1472" s="3" t="s">
        <v>38</v>
      </c>
      <c r="P1472" s="5">
        <v>10</v>
      </c>
      <c r="Q1472" s="5">
        <v>108</v>
      </c>
      <c r="R1472" s="5">
        <v>10</v>
      </c>
      <c r="S1472" s="5">
        <v>97</v>
      </c>
    </row>
    <row r="1473" spans="1:19" ht="28" x14ac:dyDescent="0.15">
      <c r="A1473" s="2">
        <f>HYPERLINK("https://open-school.uspishnemisto.com.ua/school/70625/", 70625)</f>
        <v>70625</v>
      </c>
      <c r="B1473" s="3" t="s">
        <v>8003</v>
      </c>
      <c r="C1473" s="3" t="s">
        <v>31</v>
      </c>
      <c r="D1473" s="3" t="s">
        <v>175</v>
      </c>
      <c r="E1473" s="4" t="s">
        <v>22</v>
      </c>
      <c r="F1473" s="4" t="s">
        <v>8004</v>
      </c>
      <c r="G1473" s="4" t="s">
        <v>8005</v>
      </c>
      <c r="H1473" s="3" t="s">
        <v>4839</v>
      </c>
      <c r="I1473" s="3" t="s">
        <v>8006</v>
      </c>
      <c r="J1473" s="3" t="s">
        <v>8007</v>
      </c>
      <c r="K1473" s="3" t="s">
        <v>8008</v>
      </c>
      <c r="L1473" s="3"/>
      <c r="M1473" s="4"/>
      <c r="N1473" s="3" t="s">
        <v>37</v>
      </c>
      <c r="O1473" s="3" t="s">
        <v>46</v>
      </c>
      <c r="P1473" s="5">
        <v>4</v>
      </c>
      <c r="Q1473" s="5">
        <v>34</v>
      </c>
      <c r="R1473" s="5">
        <v>3</v>
      </c>
      <c r="S1473" s="5">
        <v>31</v>
      </c>
    </row>
    <row r="1474" spans="1:19" ht="28" x14ac:dyDescent="0.15">
      <c r="A1474" s="2">
        <f>HYPERLINK("https://open-school.uspishnemisto.com.ua/school/70626/", 70626)</f>
        <v>70626</v>
      </c>
      <c r="B1474" s="3" t="s">
        <v>8009</v>
      </c>
      <c r="C1474" s="3" t="s">
        <v>31</v>
      </c>
      <c r="D1474" s="3" t="s">
        <v>175</v>
      </c>
      <c r="E1474" s="4" t="s">
        <v>22</v>
      </c>
      <c r="F1474" s="4" t="s">
        <v>8010</v>
      </c>
      <c r="G1474" s="4" t="s">
        <v>8011</v>
      </c>
      <c r="H1474" s="3" t="s">
        <v>4839</v>
      </c>
      <c r="I1474" s="3" t="s">
        <v>8012</v>
      </c>
      <c r="J1474" s="3" t="s">
        <v>6604</v>
      </c>
      <c r="K1474" s="3" t="s">
        <v>8013</v>
      </c>
      <c r="L1474" s="3" t="s">
        <v>8014</v>
      </c>
      <c r="M1474" s="4"/>
      <c r="N1474" s="3" t="s">
        <v>37</v>
      </c>
      <c r="O1474" s="3" t="s">
        <v>38</v>
      </c>
      <c r="P1474" s="5">
        <v>7</v>
      </c>
      <c r="Q1474" s="5">
        <v>63</v>
      </c>
      <c r="R1474" s="5">
        <v>8</v>
      </c>
      <c r="S1474" s="5">
        <v>60</v>
      </c>
    </row>
    <row r="1475" spans="1:19" ht="42" x14ac:dyDescent="0.15">
      <c r="A1475" s="2">
        <f>HYPERLINK("https://open-school.uspishnemisto.com.ua/school/70627/", 70627)</f>
        <v>70627</v>
      </c>
      <c r="B1475" s="3" t="s">
        <v>8015</v>
      </c>
      <c r="C1475" s="3" t="s">
        <v>31</v>
      </c>
      <c r="D1475" s="3" t="s">
        <v>32</v>
      </c>
      <c r="E1475" s="4" t="s">
        <v>22</v>
      </c>
      <c r="F1475" s="4" t="s">
        <v>8016</v>
      </c>
      <c r="G1475" s="4" t="s">
        <v>8017</v>
      </c>
      <c r="H1475" s="3" t="s">
        <v>4839</v>
      </c>
      <c r="I1475" s="3" t="s">
        <v>8018</v>
      </c>
      <c r="J1475" s="3" t="s">
        <v>2052</v>
      </c>
      <c r="K1475" s="3" t="s">
        <v>8019</v>
      </c>
      <c r="L1475" s="3" t="s">
        <v>8020</v>
      </c>
      <c r="M1475" s="4"/>
      <c r="N1475" s="3" t="s">
        <v>37</v>
      </c>
      <c r="O1475" s="3" t="s">
        <v>266</v>
      </c>
      <c r="P1475" s="5">
        <v>15</v>
      </c>
      <c r="Q1475" s="5">
        <v>300</v>
      </c>
      <c r="R1475" s="5">
        <v>12</v>
      </c>
      <c r="S1475" s="5">
        <v>278</v>
      </c>
    </row>
    <row r="1476" spans="1:19" ht="28" x14ac:dyDescent="0.15">
      <c r="A1476" s="2">
        <f>HYPERLINK("https://open-school.uspishnemisto.com.ua/school/70629/", 70629)</f>
        <v>70629</v>
      </c>
      <c r="B1476" s="3" t="s">
        <v>8021</v>
      </c>
      <c r="C1476" s="3" t="s">
        <v>31</v>
      </c>
      <c r="D1476" s="3" t="s">
        <v>175</v>
      </c>
      <c r="E1476" s="4" t="s">
        <v>22</v>
      </c>
      <c r="F1476" s="4" t="s">
        <v>8022</v>
      </c>
      <c r="G1476" s="4" t="s">
        <v>8023</v>
      </c>
      <c r="H1476" s="3" t="s">
        <v>4839</v>
      </c>
      <c r="I1476" s="3" t="s">
        <v>8024</v>
      </c>
      <c r="J1476" s="3" t="s">
        <v>8025</v>
      </c>
      <c r="K1476" s="3" t="s">
        <v>8026</v>
      </c>
      <c r="L1476" s="3"/>
      <c r="M1476" s="4"/>
      <c r="N1476" s="3" t="s">
        <v>37</v>
      </c>
      <c r="O1476" s="3" t="s">
        <v>46</v>
      </c>
      <c r="P1476" s="5">
        <v>9</v>
      </c>
      <c r="Q1476" s="5">
        <v>62</v>
      </c>
      <c r="R1476" s="5">
        <v>9</v>
      </c>
      <c r="S1476" s="5">
        <v>61</v>
      </c>
    </row>
    <row r="1477" spans="1:19" ht="28" x14ac:dyDescent="0.15">
      <c r="A1477" s="2">
        <f>HYPERLINK("https://open-school.uspishnemisto.com.ua/school/70630/", 70630)</f>
        <v>70630</v>
      </c>
      <c r="B1477" s="3" t="s">
        <v>8027</v>
      </c>
      <c r="C1477" s="3" t="s">
        <v>31</v>
      </c>
      <c r="D1477" s="3" t="s">
        <v>175</v>
      </c>
      <c r="E1477" s="4" t="s">
        <v>22</v>
      </c>
      <c r="F1477" s="4" t="s">
        <v>7944</v>
      </c>
      <c r="G1477" s="4" t="s">
        <v>8028</v>
      </c>
      <c r="H1477" s="3" t="s">
        <v>4839</v>
      </c>
      <c r="I1477" s="3" t="s">
        <v>971</v>
      </c>
      <c r="J1477" s="3" t="s">
        <v>8029</v>
      </c>
      <c r="K1477" s="3" t="s">
        <v>8030</v>
      </c>
      <c r="L1477" s="3"/>
      <c r="M1477" s="4"/>
      <c r="N1477" s="3" t="s">
        <v>37</v>
      </c>
      <c r="O1477" s="3" t="s">
        <v>52</v>
      </c>
      <c r="P1477" s="5">
        <v>4</v>
      </c>
      <c r="Q1477" s="5">
        <v>33</v>
      </c>
      <c r="R1477" s="5">
        <v>7</v>
      </c>
      <c r="S1477" s="5">
        <v>42</v>
      </c>
    </row>
    <row r="1478" spans="1:19" ht="28" x14ac:dyDescent="0.15">
      <c r="A1478" s="2">
        <f>HYPERLINK("https://open-school.uspishnemisto.com.ua/school/70631/", 70631)</f>
        <v>70631</v>
      </c>
      <c r="B1478" s="3" t="s">
        <v>8031</v>
      </c>
      <c r="C1478" s="3" t="s">
        <v>31</v>
      </c>
      <c r="D1478" s="3" t="s">
        <v>175</v>
      </c>
      <c r="E1478" s="4" t="s">
        <v>22</v>
      </c>
      <c r="F1478" s="4" t="s">
        <v>8032</v>
      </c>
      <c r="G1478" s="4" t="s">
        <v>8033</v>
      </c>
      <c r="H1478" s="3" t="s">
        <v>4839</v>
      </c>
      <c r="I1478" s="3" t="s">
        <v>8034</v>
      </c>
      <c r="J1478" s="3" t="s">
        <v>8035</v>
      </c>
      <c r="K1478" s="3" t="s">
        <v>8036</v>
      </c>
      <c r="L1478" s="3"/>
      <c r="M1478" s="4"/>
      <c r="N1478" s="3" t="s">
        <v>37</v>
      </c>
      <c r="O1478" s="3" t="s">
        <v>139</v>
      </c>
      <c r="P1478" s="5">
        <v>9</v>
      </c>
      <c r="Q1478" s="5">
        <v>109</v>
      </c>
      <c r="R1478" s="5">
        <v>9</v>
      </c>
      <c r="S1478" s="5">
        <v>110</v>
      </c>
    </row>
    <row r="1479" spans="1:19" ht="28" x14ac:dyDescent="0.15">
      <c r="A1479" s="2">
        <f>HYPERLINK("https://open-school.uspishnemisto.com.ua/school/70632/", 70632)</f>
        <v>70632</v>
      </c>
      <c r="B1479" s="3" t="s">
        <v>8037</v>
      </c>
      <c r="C1479" s="3" t="s">
        <v>31</v>
      </c>
      <c r="D1479" s="3" t="s">
        <v>32</v>
      </c>
      <c r="E1479" s="4" t="s">
        <v>22</v>
      </c>
      <c r="F1479" s="4" t="s">
        <v>8038</v>
      </c>
      <c r="G1479" s="4" t="s">
        <v>8039</v>
      </c>
      <c r="H1479" s="3" t="s">
        <v>4839</v>
      </c>
      <c r="I1479" s="3" t="s">
        <v>4368</v>
      </c>
      <c r="J1479" s="3" t="s">
        <v>3376</v>
      </c>
      <c r="K1479" s="3"/>
      <c r="L1479" s="3" t="s">
        <v>8040</v>
      </c>
      <c r="M1479" s="4"/>
      <c r="N1479" s="3" t="s">
        <v>37</v>
      </c>
      <c r="O1479" s="3" t="s">
        <v>70</v>
      </c>
      <c r="P1479" s="5">
        <v>10</v>
      </c>
      <c r="Q1479" s="5">
        <v>79</v>
      </c>
      <c r="R1479" s="5">
        <v>10</v>
      </c>
      <c r="S1479" s="5">
        <v>81</v>
      </c>
    </row>
    <row r="1480" spans="1:19" ht="28" x14ac:dyDescent="0.15">
      <c r="A1480" s="2">
        <f>HYPERLINK("https://open-school.uspishnemisto.com.ua/school/70633/", 70633)</f>
        <v>70633</v>
      </c>
      <c r="B1480" s="3" t="s">
        <v>8041</v>
      </c>
      <c r="C1480" s="3" t="s">
        <v>31</v>
      </c>
      <c r="D1480" s="3" t="s">
        <v>175</v>
      </c>
      <c r="E1480" s="4" t="s">
        <v>22</v>
      </c>
      <c r="F1480" s="4" t="s">
        <v>8042</v>
      </c>
      <c r="G1480" s="4" t="s">
        <v>8043</v>
      </c>
      <c r="H1480" s="3" t="s">
        <v>4839</v>
      </c>
      <c r="I1480" s="3" t="s">
        <v>8044</v>
      </c>
      <c r="J1480" s="3" t="s">
        <v>8045</v>
      </c>
      <c r="K1480" s="3"/>
      <c r="L1480" s="3"/>
      <c r="M1480" s="4"/>
      <c r="N1480" s="3" t="s">
        <v>37</v>
      </c>
      <c r="O1480" s="3" t="s">
        <v>70</v>
      </c>
      <c r="P1480" s="5">
        <v>8</v>
      </c>
      <c r="Q1480" s="5">
        <v>55</v>
      </c>
      <c r="R1480" s="5">
        <v>8</v>
      </c>
      <c r="S1480" s="5">
        <v>56</v>
      </c>
    </row>
    <row r="1481" spans="1:19" ht="28" x14ac:dyDescent="0.15">
      <c r="A1481" s="2">
        <f>HYPERLINK("https://open-school.uspishnemisto.com.ua/school/70634/", 70634)</f>
        <v>70634</v>
      </c>
      <c r="B1481" s="3" t="s">
        <v>8046</v>
      </c>
      <c r="C1481" s="3" t="s">
        <v>31</v>
      </c>
      <c r="D1481" s="3" t="s">
        <v>32</v>
      </c>
      <c r="E1481" s="4" t="s">
        <v>22</v>
      </c>
      <c r="F1481" s="4" t="s">
        <v>7944</v>
      </c>
      <c r="G1481" s="4" t="s">
        <v>8047</v>
      </c>
      <c r="H1481" s="3" t="s">
        <v>4839</v>
      </c>
      <c r="I1481" s="3" t="s">
        <v>8048</v>
      </c>
      <c r="J1481" s="3" t="s">
        <v>8049</v>
      </c>
      <c r="K1481" s="3" t="s">
        <v>8050</v>
      </c>
      <c r="L1481" s="3"/>
      <c r="M1481" s="4"/>
      <c r="N1481" s="3" t="s">
        <v>37</v>
      </c>
      <c r="O1481" s="3" t="s">
        <v>46</v>
      </c>
      <c r="P1481" s="5">
        <v>11</v>
      </c>
      <c r="Q1481" s="5">
        <v>184</v>
      </c>
      <c r="R1481" s="5">
        <v>11</v>
      </c>
      <c r="S1481" s="5">
        <v>184</v>
      </c>
    </row>
    <row r="1482" spans="1:19" ht="28" x14ac:dyDescent="0.15">
      <c r="A1482" s="2">
        <f>HYPERLINK("https://open-school.uspishnemisto.com.ua/school/70635/", 70635)</f>
        <v>70635</v>
      </c>
      <c r="B1482" s="3" t="s">
        <v>8051</v>
      </c>
      <c r="C1482" s="3" t="s">
        <v>31</v>
      </c>
      <c r="D1482" s="3" t="s">
        <v>175</v>
      </c>
      <c r="E1482" s="4" t="s">
        <v>22</v>
      </c>
      <c r="F1482" s="4" t="s">
        <v>8052</v>
      </c>
      <c r="G1482" s="4" t="s">
        <v>8053</v>
      </c>
      <c r="H1482" s="3" t="s">
        <v>4839</v>
      </c>
      <c r="I1482" s="3" t="s">
        <v>8054</v>
      </c>
      <c r="J1482" s="3" t="s">
        <v>634</v>
      </c>
      <c r="K1482" s="3" t="s">
        <v>8055</v>
      </c>
      <c r="L1482" s="3"/>
      <c r="M1482" s="4"/>
      <c r="N1482" s="3" t="s">
        <v>37</v>
      </c>
      <c r="O1482" s="3" t="s">
        <v>52</v>
      </c>
      <c r="P1482" s="5">
        <v>4</v>
      </c>
      <c r="Q1482" s="5">
        <v>33</v>
      </c>
      <c r="R1482" s="5">
        <v>4</v>
      </c>
      <c r="S1482" s="5">
        <v>35</v>
      </c>
    </row>
    <row r="1483" spans="1:19" ht="28" x14ac:dyDescent="0.15">
      <c r="A1483" s="2">
        <f>HYPERLINK("https://open-school.uspishnemisto.com.ua/school/70636/", 70636)</f>
        <v>70636</v>
      </c>
      <c r="B1483" s="3" t="s">
        <v>8056</v>
      </c>
      <c r="C1483" s="3" t="s">
        <v>31</v>
      </c>
      <c r="D1483" s="3" t="s">
        <v>175</v>
      </c>
      <c r="E1483" s="4" t="s">
        <v>22</v>
      </c>
      <c r="F1483" s="4" t="s">
        <v>7939</v>
      </c>
      <c r="G1483" s="4" t="s">
        <v>8057</v>
      </c>
      <c r="H1483" s="3" t="s">
        <v>4839</v>
      </c>
      <c r="I1483" s="3" t="s">
        <v>8058</v>
      </c>
      <c r="J1483" s="3" t="s">
        <v>952</v>
      </c>
      <c r="K1483" s="3"/>
      <c r="L1483" s="3"/>
      <c r="M1483" s="4"/>
      <c r="N1483" s="3" t="s">
        <v>37</v>
      </c>
      <c r="O1483" s="3" t="s">
        <v>52</v>
      </c>
      <c r="P1483" s="5">
        <v>6</v>
      </c>
      <c r="Q1483" s="5">
        <v>55</v>
      </c>
      <c r="R1483" s="5">
        <v>6</v>
      </c>
      <c r="S1483" s="5">
        <v>54</v>
      </c>
    </row>
    <row r="1484" spans="1:19" ht="28" x14ac:dyDescent="0.15">
      <c r="A1484" s="2">
        <f>HYPERLINK("https://open-school.uspishnemisto.com.ua/school/70637/", 70637)</f>
        <v>70637</v>
      </c>
      <c r="B1484" s="3" t="s">
        <v>8059</v>
      </c>
      <c r="C1484" s="3" t="s">
        <v>31</v>
      </c>
      <c r="D1484" s="3" t="s">
        <v>32</v>
      </c>
      <c r="E1484" s="4" t="s">
        <v>22</v>
      </c>
      <c r="F1484" s="4" t="s">
        <v>8060</v>
      </c>
      <c r="G1484" s="4" t="s">
        <v>8061</v>
      </c>
      <c r="H1484" s="3" t="s">
        <v>4839</v>
      </c>
      <c r="I1484" s="3" t="s">
        <v>8062</v>
      </c>
      <c r="J1484" s="3" t="s">
        <v>599</v>
      </c>
      <c r="K1484" s="3" t="s">
        <v>8063</v>
      </c>
      <c r="L1484" s="3"/>
      <c r="M1484" s="4"/>
      <c r="N1484" s="3" t="s">
        <v>37</v>
      </c>
      <c r="O1484" s="3" t="s">
        <v>52</v>
      </c>
      <c r="P1484" s="5">
        <v>7</v>
      </c>
      <c r="Q1484" s="5">
        <v>56</v>
      </c>
      <c r="R1484" s="5">
        <v>9</v>
      </c>
      <c r="S1484" s="5">
        <v>65</v>
      </c>
    </row>
    <row r="1485" spans="1:19" ht="28" x14ac:dyDescent="0.15">
      <c r="A1485" s="2">
        <f>HYPERLINK("https://open-school.uspishnemisto.com.ua/school/70638/", 70638)</f>
        <v>70638</v>
      </c>
      <c r="B1485" s="3" t="s">
        <v>8064</v>
      </c>
      <c r="C1485" s="3" t="s">
        <v>31</v>
      </c>
      <c r="D1485" s="3" t="s">
        <v>175</v>
      </c>
      <c r="E1485" s="4" t="s">
        <v>22</v>
      </c>
      <c r="F1485" s="4" t="s">
        <v>8065</v>
      </c>
      <c r="G1485" s="4" t="s">
        <v>8066</v>
      </c>
      <c r="H1485" s="3" t="s">
        <v>4839</v>
      </c>
      <c r="I1485" s="3" t="s">
        <v>8067</v>
      </c>
      <c r="J1485" s="3" t="s">
        <v>785</v>
      </c>
      <c r="K1485" s="3" t="s">
        <v>8068</v>
      </c>
      <c r="L1485" s="3"/>
      <c r="M1485" s="4"/>
      <c r="N1485" s="3" t="s">
        <v>37</v>
      </c>
      <c r="O1485" s="3" t="s">
        <v>46</v>
      </c>
      <c r="P1485" s="5">
        <v>1</v>
      </c>
      <c r="Q1485" s="5">
        <v>28</v>
      </c>
      <c r="R1485" s="5">
        <v>1</v>
      </c>
      <c r="S1485" s="5">
        <v>25</v>
      </c>
    </row>
    <row r="1486" spans="1:19" ht="28" x14ac:dyDescent="0.15">
      <c r="A1486" s="2">
        <f>HYPERLINK("https://open-school.uspishnemisto.com.ua/school/70639/", 70639)</f>
        <v>70639</v>
      </c>
      <c r="B1486" s="3" t="s">
        <v>8069</v>
      </c>
      <c r="C1486" s="3" t="s">
        <v>31</v>
      </c>
      <c r="D1486" s="3" t="s">
        <v>175</v>
      </c>
      <c r="E1486" s="4" t="s">
        <v>22</v>
      </c>
      <c r="F1486" s="4" t="s">
        <v>8070</v>
      </c>
      <c r="G1486" s="4" t="s">
        <v>8071</v>
      </c>
      <c r="H1486" s="3" t="s">
        <v>4839</v>
      </c>
      <c r="I1486" s="3" t="s">
        <v>8072</v>
      </c>
      <c r="J1486" s="3" t="s">
        <v>718</v>
      </c>
      <c r="K1486" s="3" t="s">
        <v>8073</v>
      </c>
      <c r="L1486" s="3"/>
      <c r="M1486" s="4"/>
      <c r="N1486" s="3" t="s">
        <v>37</v>
      </c>
      <c r="O1486" s="3" t="s">
        <v>52</v>
      </c>
      <c r="P1486" s="5">
        <v>3</v>
      </c>
      <c r="Q1486" s="5">
        <v>29</v>
      </c>
      <c r="R1486" s="5">
        <v>3</v>
      </c>
      <c r="S1486" s="5">
        <v>31</v>
      </c>
    </row>
    <row r="1487" spans="1:19" ht="28" x14ac:dyDescent="0.15">
      <c r="A1487" s="2">
        <f>HYPERLINK("https://open-school.uspishnemisto.com.ua/school/70640/", 70640)</f>
        <v>70640</v>
      </c>
      <c r="B1487" s="3" t="s">
        <v>8074</v>
      </c>
      <c r="C1487" s="3" t="s">
        <v>31</v>
      </c>
      <c r="D1487" s="3" t="s">
        <v>32</v>
      </c>
      <c r="E1487" s="4" t="s">
        <v>22</v>
      </c>
      <c r="F1487" s="4" t="s">
        <v>8075</v>
      </c>
      <c r="G1487" s="4" t="s">
        <v>8076</v>
      </c>
      <c r="H1487" s="3" t="s">
        <v>4839</v>
      </c>
      <c r="I1487" s="3" t="s">
        <v>8077</v>
      </c>
      <c r="J1487" s="3" t="s">
        <v>8078</v>
      </c>
      <c r="K1487" s="3" t="s">
        <v>8079</v>
      </c>
      <c r="L1487" s="3" t="s">
        <v>8080</v>
      </c>
      <c r="M1487" s="4"/>
      <c r="N1487" s="3" t="s">
        <v>37</v>
      </c>
      <c r="O1487" s="3" t="s">
        <v>46</v>
      </c>
      <c r="P1487" s="5">
        <v>11</v>
      </c>
      <c r="Q1487" s="5">
        <v>115</v>
      </c>
      <c r="R1487" s="5">
        <v>11</v>
      </c>
      <c r="S1487" s="5">
        <v>114</v>
      </c>
    </row>
    <row r="1488" spans="1:19" ht="42" x14ac:dyDescent="0.15">
      <c r="A1488" s="2">
        <f>HYPERLINK("https://open-school.uspishnemisto.com.ua/school/70641/", 70641)</f>
        <v>70641</v>
      </c>
      <c r="B1488" s="3" t="s">
        <v>8081</v>
      </c>
      <c r="C1488" s="3" t="s">
        <v>40</v>
      </c>
      <c r="D1488" s="3" t="s">
        <v>32</v>
      </c>
      <c r="E1488" s="4" t="s">
        <v>22</v>
      </c>
      <c r="F1488" s="4" t="s">
        <v>8082</v>
      </c>
      <c r="G1488" s="4" t="s">
        <v>8083</v>
      </c>
      <c r="H1488" s="3" t="s">
        <v>4839</v>
      </c>
      <c r="I1488" s="3" t="s">
        <v>8084</v>
      </c>
      <c r="J1488" s="3" t="s">
        <v>2384</v>
      </c>
      <c r="K1488" s="3" t="s">
        <v>8085</v>
      </c>
      <c r="L1488" s="3"/>
      <c r="M1488" s="4"/>
      <c r="N1488" s="3" t="s">
        <v>37</v>
      </c>
      <c r="O1488" s="3" t="s">
        <v>70</v>
      </c>
      <c r="P1488" s="5">
        <v>35</v>
      </c>
      <c r="Q1488" s="5">
        <v>829</v>
      </c>
      <c r="R1488" s="5">
        <v>34</v>
      </c>
      <c r="S1488" s="5">
        <v>786</v>
      </c>
    </row>
    <row r="1489" spans="1:19" ht="28" x14ac:dyDescent="0.15">
      <c r="A1489" s="2">
        <f>HYPERLINK("https://open-school.uspishnemisto.com.ua/school/70642/", 70642)</f>
        <v>70642</v>
      </c>
      <c r="B1489" s="3" t="s">
        <v>8086</v>
      </c>
      <c r="C1489" s="3" t="s">
        <v>31</v>
      </c>
      <c r="D1489" s="3" t="s">
        <v>32</v>
      </c>
      <c r="E1489" s="4" t="s">
        <v>22</v>
      </c>
      <c r="F1489" s="4" t="s">
        <v>8087</v>
      </c>
      <c r="G1489" s="4" t="s">
        <v>8088</v>
      </c>
      <c r="H1489" s="3" t="s">
        <v>4839</v>
      </c>
      <c r="I1489" s="3" t="s">
        <v>8089</v>
      </c>
      <c r="J1489" s="3" t="s">
        <v>7166</v>
      </c>
      <c r="K1489" s="3" t="s">
        <v>8090</v>
      </c>
      <c r="L1489" s="3"/>
      <c r="M1489" s="4"/>
      <c r="N1489" s="3" t="s">
        <v>37</v>
      </c>
      <c r="O1489" s="3" t="s">
        <v>38</v>
      </c>
      <c r="P1489" s="5">
        <v>11</v>
      </c>
      <c r="Q1489" s="5">
        <v>141</v>
      </c>
      <c r="R1489" s="5">
        <v>10</v>
      </c>
      <c r="S1489" s="5">
        <v>129</v>
      </c>
    </row>
    <row r="1490" spans="1:19" ht="28" x14ac:dyDescent="0.15">
      <c r="A1490" s="2">
        <f>HYPERLINK("https://open-school.uspishnemisto.com.ua/school/70643/", 70643)</f>
        <v>70643</v>
      </c>
      <c r="B1490" s="3" t="s">
        <v>8091</v>
      </c>
      <c r="C1490" s="3" t="s">
        <v>31</v>
      </c>
      <c r="D1490" s="3" t="s">
        <v>32</v>
      </c>
      <c r="E1490" s="4" t="s">
        <v>22</v>
      </c>
      <c r="F1490" s="4" t="s">
        <v>8092</v>
      </c>
      <c r="G1490" s="4" t="s">
        <v>8093</v>
      </c>
      <c r="H1490" s="3" t="s">
        <v>4839</v>
      </c>
      <c r="I1490" s="3" t="s">
        <v>8094</v>
      </c>
      <c r="J1490" s="3" t="s">
        <v>8095</v>
      </c>
      <c r="K1490" s="3" t="s">
        <v>8096</v>
      </c>
      <c r="L1490" s="3"/>
      <c r="M1490" s="4"/>
      <c r="N1490" s="3" t="s">
        <v>37</v>
      </c>
      <c r="O1490" s="3" t="s">
        <v>70</v>
      </c>
      <c r="P1490" s="5">
        <v>11</v>
      </c>
      <c r="Q1490" s="5">
        <v>119</v>
      </c>
      <c r="R1490" s="5">
        <v>11</v>
      </c>
      <c r="S1490" s="5">
        <v>117</v>
      </c>
    </row>
    <row r="1491" spans="1:19" ht="28" x14ac:dyDescent="0.15">
      <c r="A1491" s="2">
        <f>HYPERLINK("https://open-school.uspishnemisto.com.ua/school/70644/", 70644)</f>
        <v>70644</v>
      </c>
      <c r="B1491" s="3" t="s">
        <v>8097</v>
      </c>
      <c r="C1491" s="3" t="s">
        <v>31</v>
      </c>
      <c r="D1491" s="3" t="s">
        <v>175</v>
      </c>
      <c r="E1491" s="4" t="s">
        <v>22</v>
      </c>
      <c r="F1491" s="4" t="s">
        <v>8098</v>
      </c>
      <c r="G1491" s="4" t="s">
        <v>8099</v>
      </c>
      <c r="H1491" s="3" t="s">
        <v>4839</v>
      </c>
      <c r="I1491" s="3" t="s">
        <v>8100</v>
      </c>
      <c r="J1491" s="3" t="s">
        <v>8101</v>
      </c>
      <c r="K1491" s="3"/>
      <c r="L1491" s="3"/>
      <c r="M1491" s="4"/>
      <c r="N1491" s="3" t="s">
        <v>37</v>
      </c>
      <c r="O1491" s="3" t="s">
        <v>70</v>
      </c>
      <c r="P1491" s="5">
        <v>8</v>
      </c>
      <c r="Q1491" s="5">
        <v>60</v>
      </c>
      <c r="R1491" s="5">
        <v>8</v>
      </c>
      <c r="S1491" s="5">
        <v>65</v>
      </c>
    </row>
    <row r="1492" spans="1:19" ht="28" x14ac:dyDescent="0.15">
      <c r="A1492" s="2">
        <f>HYPERLINK("https://open-school.uspishnemisto.com.ua/school/70645/", 70645)</f>
        <v>70645</v>
      </c>
      <c r="B1492" s="3" t="s">
        <v>8102</v>
      </c>
      <c r="C1492" s="3" t="s">
        <v>31</v>
      </c>
      <c r="D1492" s="3" t="s">
        <v>32</v>
      </c>
      <c r="E1492" s="4" t="s">
        <v>22</v>
      </c>
      <c r="F1492" s="4" t="s">
        <v>8103</v>
      </c>
      <c r="G1492" s="4" t="s">
        <v>8104</v>
      </c>
      <c r="H1492" s="3" t="s">
        <v>4839</v>
      </c>
      <c r="I1492" s="3" t="s">
        <v>8105</v>
      </c>
      <c r="J1492" s="3" t="s">
        <v>8106</v>
      </c>
      <c r="K1492" s="3" t="s">
        <v>8107</v>
      </c>
      <c r="L1492" s="3"/>
      <c r="M1492" s="4"/>
      <c r="N1492" s="3" t="s">
        <v>37</v>
      </c>
      <c r="O1492" s="3" t="s">
        <v>70</v>
      </c>
      <c r="P1492" s="5">
        <v>20</v>
      </c>
      <c r="Q1492" s="5">
        <v>362</v>
      </c>
      <c r="R1492" s="5">
        <v>20</v>
      </c>
      <c r="S1492" s="5">
        <v>348</v>
      </c>
    </row>
    <row r="1493" spans="1:19" ht="28" x14ac:dyDescent="0.15">
      <c r="A1493" s="2">
        <f>HYPERLINK("https://open-school.uspishnemisto.com.ua/school/70646/", 70646)</f>
        <v>70646</v>
      </c>
      <c r="B1493" s="3" t="s">
        <v>8108</v>
      </c>
      <c r="C1493" s="3" t="s">
        <v>31</v>
      </c>
      <c r="D1493" s="3" t="s">
        <v>175</v>
      </c>
      <c r="E1493" s="4" t="s">
        <v>22</v>
      </c>
      <c r="F1493" s="4" t="s">
        <v>8103</v>
      </c>
      <c r="G1493" s="4" t="s">
        <v>8109</v>
      </c>
      <c r="H1493" s="3" t="s">
        <v>4839</v>
      </c>
      <c r="I1493" s="3" t="s">
        <v>8110</v>
      </c>
      <c r="J1493" s="3" t="s">
        <v>8111</v>
      </c>
      <c r="K1493" s="3" t="s">
        <v>8112</v>
      </c>
      <c r="L1493" s="3"/>
      <c r="M1493" s="4"/>
      <c r="N1493" s="3" t="s">
        <v>37</v>
      </c>
      <c r="O1493" s="3" t="s">
        <v>38</v>
      </c>
      <c r="P1493" s="5">
        <v>6</v>
      </c>
      <c r="Q1493" s="5">
        <v>42</v>
      </c>
      <c r="R1493" s="5">
        <v>5</v>
      </c>
      <c r="S1493" s="5">
        <v>41</v>
      </c>
    </row>
    <row r="1494" spans="1:19" ht="28" x14ac:dyDescent="0.15">
      <c r="A1494" s="2">
        <f>HYPERLINK("https://open-school.uspishnemisto.com.ua/school/70647/", 70647)</f>
        <v>70647</v>
      </c>
      <c r="B1494" s="3" t="s">
        <v>8113</v>
      </c>
      <c r="C1494" s="3" t="s">
        <v>31</v>
      </c>
      <c r="D1494" s="3" t="s">
        <v>60</v>
      </c>
      <c r="E1494" s="4" t="s">
        <v>22</v>
      </c>
      <c r="F1494" s="4" t="s">
        <v>8103</v>
      </c>
      <c r="G1494" s="4" t="s">
        <v>8114</v>
      </c>
      <c r="H1494" s="3" t="s">
        <v>4839</v>
      </c>
      <c r="I1494" s="3" t="s">
        <v>8115</v>
      </c>
      <c r="J1494" s="3" t="s">
        <v>8116</v>
      </c>
      <c r="K1494" s="3" t="s">
        <v>8117</v>
      </c>
      <c r="L1494" s="3"/>
      <c r="M1494" s="4"/>
      <c r="N1494" s="3" t="s">
        <v>37</v>
      </c>
      <c r="O1494" s="3" t="s">
        <v>52</v>
      </c>
      <c r="P1494" s="5">
        <v>0</v>
      </c>
      <c r="Q1494" s="5">
        <v>5</v>
      </c>
      <c r="R1494" s="5">
        <v>1</v>
      </c>
      <c r="S1494" s="5">
        <v>8</v>
      </c>
    </row>
    <row r="1495" spans="1:19" ht="28" x14ac:dyDescent="0.15">
      <c r="A1495" s="2">
        <f>HYPERLINK("https://open-school.uspishnemisto.com.ua/school/70648/", 70648)</f>
        <v>70648</v>
      </c>
      <c r="B1495" s="3" t="s">
        <v>8118</v>
      </c>
      <c r="C1495" s="3" t="s">
        <v>31</v>
      </c>
      <c r="D1495" s="3" t="s">
        <v>60</v>
      </c>
      <c r="E1495" s="4" t="s">
        <v>22</v>
      </c>
      <c r="F1495" s="4" t="s">
        <v>8119</v>
      </c>
      <c r="G1495" s="4" t="s">
        <v>8120</v>
      </c>
      <c r="H1495" s="3" t="s">
        <v>4839</v>
      </c>
      <c r="I1495" s="3" t="s">
        <v>8121</v>
      </c>
      <c r="J1495" s="3" t="s">
        <v>8122</v>
      </c>
      <c r="K1495" s="3" t="s">
        <v>8123</v>
      </c>
      <c r="L1495" s="3"/>
      <c r="M1495" s="4"/>
      <c r="N1495" s="3" t="s">
        <v>37</v>
      </c>
      <c r="O1495" s="3" t="s">
        <v>52</v>
      </c>
      <c r="P1495" s="5">
        <v>4</v>
      </c>
      <c r="Q1495" s="5">
        <v>28</v>
      </c>
      <c r="R1495" s="5">
        <v>4</v>
      </c>
      <c r="S1495" s="5">
        <v>26</v>
      </c>
    </row>
    <row r="1496" spans="1:19" ht="28" x14ac:dyDescent="0.15">
      <c r="A1496" s="2">
        <f>HYPERLINK("https://open-school.uspishnemisto.com.ua/school/70649/", 70649)</f>
        <v>70649</v>
      </c>
      <c r="B1496" s="3" t="s">
        <v>8124</v>
      </c>
      <c r="C1496" s="3" t="s">
        <v>31</v>
      </c>
      <c r="D1496" s="3" t="s">
        <v>175</v>
      </c>
      <c r="E1496" s="4" t="s">
        <v>22</v>
      </c>
      <c r="F1496" s="4" t="s">
        <v>8125</v>
      </c>
      <c r="G1496" s="4" t="s">
        <v>8126</v>
      </c>
      <c r="H1496" s="3" t="s">
        <v>4839</v>
      </c>
      <c r="I1496" s="3" t="s">
        <v>8127</v>
      </c>
      <c r="J1496" s="3" t="s">
        <v>8128</v>
      </c>
      <c r="K1496" s="3" t="s">
        <v>8129</v>
      </c>
      <c r="L1496" s="3"/>
      <c r="M1496" s="4"/>
      <c r="N1496" s="3" t="s">
        <v>37</v>
      </c>
      <c r="O1496" s="3" t="s">
        <v>38</v>
      </c>
      <c r="P1496" s="5">
        <v>9</v>
      </c>
      <c r="Q1496" s="5">
        <v>91</v>
      </c>
      <c r="R1496" s="5">
        <v>9</v>
      </c>
      <c r="S1496" s="5">
        <v>82</v>
      </c>
    </row>
    <row r="1497" spans="1:19" ht="28" x14ac:dyDescent="0.15">
      <c r="A1497" s="2">
        <f>HYPERLINK("https://open-school.uspishnemisto.com.ua/school/70650/", 70650)</f>
        <v>70650</v>
      </c>
      <c r="B1497" s="3" t="s">
        <v>8130</v>
      </c>
      <c r="C1497" s="3" t="s">
        <v>31</v>
      </c>
      <c r="D1497" s="3" t="s">
        <v>175</v>
      </c>
      <c r="E1497" s="4" t="s">
        <v>22</v>
      </c>
      <c r="F1497" s="4" t="s">
        <v>8131</v>
      </c>
      <c r="G1497" s="4" t="s">
        <v>8132</v>
      </c>
      <c r="H1497" s="3" t="s">
        <v>4839</v>
      </c>
      <c r="I1497" s="3" t="s">
        <v>8133</v>
      </c>
      <c r="J1497" s="3" t="s">
        <v>8134</v>
      </c>
      <c r="K1497" s="3" t="s">
        <v>8135</v>
      </c>
      <c r="L1497" s="3"/>
      <c r="M1497" s="4"/>
      <c r="N1497" s="3" t="s">
        <v>37</v>
      </c>
      <c r="O1497" s="3" t="s">
        <v>52</v>
      </c>
      <c r="P1497" s="5">
        <v>8</v>
      </c>
      <c r="Q1497" s="5">
        <v>56</v>
      </c>
      <c r="R1497" s="5">
        <v>8</v>
      </c>
      <c r="S1497" s="5">
        <v>52</v>
      </c>
    </row>
    <row r="1498" spans="1:19" ht="28" x14ac:dyDescent="0.15">
      <c r="A1498" s="2">
        <f>HYPERLINK("https://open-school.uspishnemisto.com.ua/school/70651/", 70651)</f>
        <v>70651</v>
      </c>
      <c r="B1498" s="3" t="s">
        <v>8136</v>
      </c>
      <c r="C1498" s="3" t="s">
        <v>31</v>
      </c>
      <c r="D1498" s="3" t="s">
        <v>32</v>
      </c>
      <c r="E1498" s="4" t="s">
        <v>22</v>
      </c>
      <c r="F1498" s="4" t="s">
        <v>8137</v>
      </c>
      <c r="G1498" s="4" t="s">
        <v>8138</v>
      </c>
      <c r="H1498" s="3" t="s">
        <v>4839</v>
      </c>
      <c r="I1498" s="3" t="s">
        <v>8139</v>
      </c>
      <c r="J1498" s="3" t="s">
        <v>8140</v>
      </c>
      <c r="K1498" s="3" t="s">
        <v>8141</v>
      </c>
      <c r="L1498" s="3"/>
      <c r="M1498" s="4"/>
      <c r="N1498" s="3" t="s">
        <v>37</v>
      </c>
      <c r="O1498" s="3" t="s">
        <v>38</v>
      </c>
      <c r="P1498" s="5">
        <v>15</v>
      </c>
      <c r="Q1498" s="5">
        <v>279</v>
      </c>
      <c r="R1498" s="5">
        <v>14</v>
      </c>
      <c r="S1498" s="5">
        <v>262</v>
      </c>
    </row>
    <row r="1499" spans="1:19" ht="28" x14ac:dyDescent="0.15">
      <c r="A1499" s="2">
        <f>HYPERLINK("https://open-school.uspishnemisto.com.ua/school/70652/", 70652)</f>
        <v>70652</v>
      </c>
      <c r="B1499" s="3" t="s">
        <v>8142</v>
      </c>
      <c r="C1499" s="3" t="s">
        <v>31</v>
      </c>
      <c r="D1499" s="3" t="s">
        <v>175</v>
      </c>
      <c r="E1499" s="4" t="s">
        <v>22</v>
      </c>
      <c r="F1499" s="4" t="s">
        <v>8143</v>
      </c>
      <c r="G1499" s="4" t="s">
        <v>8144</v>
      </c>
      <c r="H1499" s="3" t="s">
        <v>4839</v>
      </c>
      <c r="I1499" s="3" t="s">
        <v>8145</v>
      </c>
      <c r="J1499" s="3" t="s">
        <v>8146</v>
      </c>
      <c r="K1499" s="3" t="s">
        <v>8147</v>
      </c>
      <c r="L1499" s="3"/>
      <c r="M1499" s="4"/>
      <c r="N1499" s="3" t="s">
        <v>37</v>
      </c>
      <c r="O1499" s="3" t="s">
        <v>38</v>
      </c>
      <c r="P1499" s="5">
        <v>6</v>
      </c>
      <c r="Q1499" s="5">
        <v>42</v>
      </c>
      <c r="R1499" s="5">
        <v>6</v>
      </c>
      <c r="S1499" s="5">
        <v>45</v>
      </c>
    </row>
    <row r="1500" spans="1:19" ht="28" x14ac:dyDescent="0.15">
      <c r="A1500" s="2">
        <f>HYPERLINK("https://open-school.uspishnemisto.com.ua/school/70653/", 70653)</f>
        <v>70653</v>
      </c>
      <c r="B1500" s="3" t="s">
        <v>8148</v>
      </c>
      <c r="C1500" s="3" t="s">
        <v>31</v>
      </c>
      <c r="D1500" s="3" t="s">
        <v>32</v>
      </c>
      <c r="E1500" s="4" t="s">
        <v>22</v>
      </c>
      <c r="F1500" s="4" t="s">
        <v>8149</v>
      </c>
      <c r="G1500" s="4" t="s">
        <v>8150</v>
      </c>
      <c r="H1500" s="3" t="s">
        <v>4839</v>
      </c>
      <c r="I1500" s="3" t="s">
        <v>8151</v>
      </c>
      <c r="J1500" s="3" t="s">
        <v>8152</v>
      </c>
      <c r="K1500" s="3" t="s">
        <v>8153</v>
      </c>
      <c r="L1500" s="3"/>
      <c r="M1500" s="4"/>
      <c r="N1500" s="3" t="s">
        <v>37</v>
      </c>
      <c r="O1500" s="3" t="s">
        <v>38</v>
      </c>
      <c r="P1500" s="5">
        <v>17</v>
      </c>
      <c r="Q1500" s="5">
        <v>278</v>
      </c>
      <c r="R1500" s="5">
        <v>17</v>
      </c>
      <c r="S1500" s="5">
        <v>276</v>
      </c>
    </row>
    <row r="1501" spans="1:19" ht="28" x14ac:dyDescent="0.15">
      <c r="A1501" s="2">
        <f>HYPERLINK("https://open-school.uspishnemisto.com.ua/school/70654/", 70654)</f>
        <v>70654</v>
      </c>
      <c r="B1501" s="3" t="s">
        <v>8154</v>
      </c>
      <c r="C1501" s="3" t="s">
        <v>31</v>
      </c>
      <c r="D1501" s="3" t="s">
        <v>32</v>
      </c>
      <c r="E1501" s="4" t="s">
        <v>22</v>
      </c>
      <c r="F1501" s="4" t="s">
        <v>8155</v>
      </c>
      <c r="G1501" s="4" t="s">
        <v>8156</v>
      </c>
      <c r="H1501" s="3" t="s">
        <v>4839</v>
      </c>
      <c r="I1501" s="3" t="s">
        <v>8157</v>
      </c>
      <c r="J1501" s="3" t="s">
        <v>8158</v>
      </c>
      <c r="K1501" s="3" t="s">
        <v>8159</v>
      </c>
      <c r="L1501" s="3"/>
      <c r="M1501" s="4"/>
      <c r="N1501" s="3" t="s">
        <v>37</v>
      </c>
      <c r="O1501" s="3" t="s">
        <v>52</v>
      </c>
      <c r="P1501" s="5">
        <v>10</v>
      </c>
      <c r="Q1501" s="5">
        <v>110</v>
      </c>
      <c r="R1501" s="5">
        <v>10</v>
      </c>
      <c r="S1501" s="5">
        <v>107</v>
      </c>
    </row>
    <row r="1502" spans="1:19" ht="28" x14ac:dyDescent="0.15">
      <c r="A1502" s="2">
        <f>HYPERLINK("https://open-school.uspishnemisto.com.ua/school/70655/", 70655)</f>
        <v>70655</v>
      </c>
      <c r="B1502" s="3" t="s">
        <v>8160</v>
      </c>
      <c r="C1502" s="3" t="s">
        <v>31</v>
      </c>
      <c r="D1502" s="3" t="s">
        <v>175</v>
      </c>
      <c r="E1502" s="4" t="s">
        <v>22</v>
      </c>
      <c r="F1502" s="4" t="s">
        <v>8161</v>
      </c>
      <c r="G1502" s="4" t="s">
        <v>8162</v>
      </c>
      <c r="H1502" s="3" t="s">
        <v>4839</v>
      </c>
      <c r="I1502" s="3" t="s">
        <v>8163</v>
      </c>
      <c r="J1502" s="3" t="s">
        <v>8164</v>
      </c>
      <c r="K1502" s="3" t="s">
        <v>8165</v>
      </c>
      <c r="L1502" s="3"/>
      <c r="M1502" s="4"/>
      <c r="N1502" s="3" t="s">
        <v>37</v>
      </c>
      <c r="O1502" s="3" t="s">
        <v>38</v>
      </c>
      <c r="P1502" s="5">
        <v>6</v>
      </c>
      <c r="Q1502" s="5">
        <v>53</v>
      </c>
      <c r="R1502" s="5">
        <v>6</v>
      </c>
      <c r="S1502" s="5">
        <v>46</v>
      </c>
    </row>
    <row r="1503" spans="1:19" ht="28" x14ac:dyDescent="0.15">
      <c r="A1503" s="2">
        <f>HYPERLINK("https://open-school.uspishnemisto.com.ua/school/70657/", 70657)</f>
        <v>70657</v>
      </c>
      <c r="B1503" s="3" t="s">
        <v>8166</v>
      </c>
      <c r="C1503" s="3" t="s">
        <v>31</v>
      </c>
      <c r="D1503" s="3" t="s">
        <v>175</v>
      </c>
      <c r="E1503" s="4" t="s">
        <v>22</v>
      </c>
      <c r="F1503" s="4" t="s">
        <v>8167</v>
      </c>
      <c r="G1503" s="4" t="s">
        <v>8168</v>
      </c>
      <c r="H1503" s="3" t="s">
        <v>4839</v>
      </c>
      <c r="I1503" s="3" t="s">
        <v>8169</v>
      </c>
      <c r="J1503" s="3" t="s">
        <v>8170</v>
      </c>
      <c r="K1503" s="3" t="s">
        <v>8171</v>
      </c>
      <c r="L1503" s="3"/>
      <c r="M1503" s="4"/>
      <c r="N1503" s="3" t="s">
        <v>37</v>
      </c>
      <c r="O1503" s="3" t="s">
        <v>38</v>
      </c>
      <c r="P1503" s="5">
        <v>6</v>
      </c>
      <c r="Q1503" s="5">
        <v>53</v>
      </c>
      <c r="R1503" s="5">
        <v>6</v>
      </c>
      <c r="S1503" s="5">
        <v>58</v>
      </c>
    </row>
    <row r="1504" spans="1:19" ht="28" x14ac:dyDescent="0.15">
      <c r="A1504" s="2">
        <f>HYPERLINK("https://open-school.uspishnemisto.com.ua/school/70658/", 70658)</f>
        <v>70658</v>
      </c>
      <c r="B1504" s="3" t="s">
        <v>8172</v>
      </c>
      <c r="C1504" s="3" t="s">
        <v>31</v>
      </c>
      <c r="D1504" s="3" t="s">
        <v>175</v>
      </c>
      <c r="E1504" s="4" t="s">
        <v>22</v>
      </c>
      <c r="F1504" s="4" t="s">
        <v>8173</v>
      </c>
      <c r="G1504" s="4" t="s">
        <v>8174</v>
      </c>
      <c r="H1504" s="3" t="s">
        <v>4839</v>
      </c>
      <c r="I1504" s="3" t="s">
        <v>8175</v>
      </c>
      <c r="J1504" s="3" t="s">
        <v>8176</v>
      </c>
      <c r="K1504" s="3" t="s">
        <v>8177</v>
      </c>
      <c r="L1504" s="3"/>
      <c r="M1504" s="4"/>
      <c r="N1504" s="3" t="s">
        <v>37</v>
      </c>
      <c r="O1504" s="3" t="s">
        <v>46</v>
      </c>
      <c r="P1504" s="5">
        <v>7</v>
      </c>
      <c r="Q1504" s="5">
        <v>50</v>
      </c>
      <c r="R1504" s="5">
        <v>8</v>
      </c>
      <c r="S1504" s="5">
        <v>58</v>
      </c>
    </row>
    <row r="1505" spans="1:19" ht="28" x14ac:dyDescent="0.15">
      <c r="A1505" s="2">
        <f>HYPERLINK("https://open-school.uspishnemisto.com.ua/school/70661/", 70661)</f>
        <v>70661</v>
      </c>
      <c r="B1505" s="3" t="s">
        <v>8178</v>
      </c>
      <c r="C1505" s="3" t="s">
        <v>31</v>
      </c>
      <c r="D1505" s="3" t="s">
        <v>175</v>
      </c>
      <c r="E1505" s="4" t="s">
        <v>22</v>
      </c>
      <c r="F1505" s="4" t="s">
        <v>8179</v>
      </c>
      <c r="G1505" s="4" t="s">
        <v>8180</v>
      </c>
      <c r="H1505" s="3" t="s">
        <v>4839</v>
      </c>
      <c r="I1505" s="3" t="s">
        <v>7142</v>
      </c>
      <c r="J1505" s="3" t="s">
        <v>2901</v>
      </c>
      <c r="K1505" s="3"/>
      <c r="L1505" s="3"/>
      <c r="M1505" s="4"/>
      <c r="N1505" s="3" t="s">
        <v>37</v>
      </c>
      <c r="O1505" s="3" t="s">
        <v>38</v>
      </c>
      <c r="P1505" s="5">
        <v>6</v>
      </c>
      <c r="Q1505" s="5">
        <v>47</v>
      </c>
      <c r="R1505" s="5">
        <v>6</v>
      </c>
      <c r="S1505" s="5">
        <v>43</v>
      </c>
    </row>
    <row r="1506" spans="1:19" ht="28" x14ac:dyDescent="0.15">
      <c r="A1506" s="2">
        <f>HYPERLINK("https://open-school.uspishnemisto.com.ua/school/70662/", 70662)</f>
        <v>70662</v>
      </c>
      <c r="B1506" s="3" t="s">
        <v>8181</v>
      </c>
      <c r="C1506" s="3" t="s">
        <v>31</v>
      </c>
      <c r="D1506" s="3" t="s">
        <v>175</v>
      </c>
      <c r="E1506" s="4" t="s">
        <v>22</v>
      </c>
      <c r="F1506" s="4" t="s">
        <v>8182</v>
      </c>
      <c r="G1506" s="4" t="s">
        <v>8183</v>
      </c>
      <c r="H1506" s="3" t="s">
        <v>4839</v>
      </c>
      <c r="I1506" s="3" t="s">
        <v>8184</v>
      </c>
      <c r="J1506" s="3" t="s">
        <v>8185</v>
      </c>
      <c r="K1506" s="3" t="s">
        <v>8186</v>
      </c>
      <c r="L1506" s="3"/>
      <c r="M1506" s="4"/>
      <c r="N1506" s="3" t="s">
        <v>37</v>
      </c>
      <c r="O1506" s="3" t="s">
        <v>38</v>
      </c>
      <c r="P1506" s="5">
        <v>8</v>
      </c>
      <c r="Q1506" s="5">
        <v>58</v>
      </c>
      <c r="R1506" s="5">
        <v>8</v>
      </c>
      <c r="S1506" s="5">
        <v>57</v>
      </c>
    </row>
    <row r="1507" spans="1:19" ht="28" x14ac:dyDescent="0.15">
      <c r="A1507" s="2">
        <f>HYPERLINK("https://open-school.uspishnemisto.com.ua/school/70663/", 70663)</f>
        <v>70663</v>
      </c>
      <c r="B1507" s="3" t="s">
        <v>8187</v>
      </c>
      <c r="C1507" s="3" t="s">
        <v>31</v>
      </c>
      <c r="D1507" s="3" t="s">
        <v>32</v>
      </c>
      <c r="E1507" s="4" t="s">
        <v>22</v>
      </c>
      <c r="F1507" s="4" t="s">
        <v>8188</v>
      </c>
      <c r="G1507" s="4" t="s">
        <v>8189</v>
      </c>
      <c r="H1507" s="3" t="s">
        <v>4839</v>
      </c>
      <c r="I1507" s="3" t="s">
        <v>8190</v>
      </c>
      <c r="J1507" s="3" t="s">
        <v>946</v>
      </c>
      <c r="K1507" s="3" t="s">
        <v>8191</v>
      </c>
      <c r="L1507" s="3"/>
      <c r="M1507" s="4"/>
      <c r="N1507" s="3" t="s">
        <v>37</v>
      </c>
      <c r="O1507" s="3" t="s">
        <v>70</v>
      </c>
      <c r="P1507" s="5">
        <v>11</v>
      </c>
      <c r="Q1507" s="5">
        <v>111</v>
      </c>
      <c r="R1507" s="5">
        <v>11</v>
      </c>
      <c r="S1507" s="5">
        <v>111</v>
      </c>
    </row>
    <row r="1508" spans="1:19" ht="28" x14ac:dyDescent="0.15">
      <c r="A1508" s="2">
        <f>HYPERLINK("https://open-school.uspishnemisto.com.ua/school/70664/", 70664)</f>
        <v>70664</v>
      </c>
      <c r="B1508" s="3" t="s">
        <v>8192</v>
      </c>
      <c r="C1508" s="3" t="s">
        <v>31</v>
      </c>
      <c r="D1508" s="3" t="s">
        <v>32</v>
      </c>
      <c r="E1508" s="4" t="s">
        <v>22</v>
      </c>
      <c r="F1508" s="4" t="s">
        <v>8193</v>
      </c>
      <c r="G1508" s="4" t="s">
        <v>8194</v>
      </c>
      <c r="H1508" s="3" t="s">
        <v>4839</v>
      </c>
      <c r="I1508" s="3" t="s">
        <v>8195</v>
      </c>
      <c r="J1508" s="3" t="s">
        <v>8196</v>
      </c>
      <c r="K1508" s="3" t="s">
        <v>8197</v>
      </c>
      <c r="L1508" s="3"/>
      <c r="M1508" s="4"/>
      <c r="N1508" s="3" t="s">
        <v>37</v>
      </c>
      <c r="O1508" s="3" t="s">
        <v>70</v>
      </c>
      <c r="P1508" s="5">
        <v>23</v>
      </c>
      <c r="Q1508" s="5">
        <v>315</v>
      </c>
      <c r="R1508" s="5">
        <v>12</v>
      </c>
      <c r="S1508" s="5">
        <v>225</v>
      </c>
    </row>
    <row r="1509" spans="1:19" ht="28" x14ac:dyDescent="0.15">
      <c r="A1509" s="2">
        <f>HYPERLINK("https://open-school.uspishnemisto.com.ua/school/70666/", 70666)</f>
        <v>70666</v>
      </c>
      <c r="B1509" s="3" t="s">
        <v>8198</v>
      </c>
      <c r="C1509" s="3" t="s">
        <v>31</v>
      </c>
      <c r="D1509" s="3" t="s">
        <v>175</v>
      </c>
      <c r="E1509" s="4" t="s">
        <v>22</v>
      </c>
      <c r="F1509" s="4" t="s">
        <v>8199</v>
      </c>
      <c r="G1509" s="4" t="s">
        <v>8200</v>
      </c>
      <c r="H1509" s="3" t="s">
        <v>4839</v>
      </c>
      <c r="I1509" s="3" t="s">
        <v>8201</v>
      </c>
      <c r="J1509" s="3" t="s">
        <v>1760</v>
      </c>
      <c r="K1509" s="3"/>
      <c r="L1509" s="3"/>
      <c r="M1509" s="4"/>
      <c r="N1509" s="3" t="s">
        <v>37</v>
      </c>
      <c r="O1509" s="3" t="s">
        <v>70</v>
      </c>
      <c r="P1509" s="5">
        <v>9</v>
      </c>
      <c r="Q1509" s="5">
        <v>100</v>
      </c>
      <c r="R1509" s="5">
        <v>9</v>
      </c>
      <c r="S1509" s="5">
        <v>101</v>
      </c>
    </row>
    <row r="1510" spans="1:19" ht="28" x14ac:dyDescent="0.15">
      <c r="A1510" s="2">
        <f>HYPERLINK("https://open-school.uspishnemisto.com.ua/school/70667/", 70667)</f>
        <v>70667</v>
      </c>
      <c r="B1510" s="3" t="s">
        <v>8202</v>
      </c>
      <c r="C1510" s="3" t="s">
        <v>31</v>
      </c>
      <c r="D1510" s="3" t="s">
        <v>32</v>
      </c>
      <c r="E1510" s="4" t="s">
        <v>22</v>
      </c>
      <c r="F1510" s="4" t="s">
        <v>8203</v>
      </c>
      <c r="G1510" s="4" t="s">
        <v>8204</v>
      </c>
      <c r="H1510" s="3" t="s">
        <v>4839</v>
      </c>
      <c r="I1510" s="3" t="s">
        <v>8205</v>
      </c>
      <c r="J1510" s="3" t="s">
        <v>5432</v>
      </c>
      <c r="K1510" s="3" t="s">
        <v>8206</v>
      </c>
      <c r="L1510" s="3"/>
      <c r="M1510" s="4"/>
      <c r="N1510" s="3" t="s">
        <v>37</v>
      </c>
      <c r="O1510" s="3" t="s">
        <v>70</v>
      </c>
      <c r="P1510" s="5">
        <v>11</v>
      </c>
      <c r="Q1510" s="5">
        <v>155</v>
      </c>
      <c r="R1510" s="5">
        <v>11</v>
      </c>
      <c r="S1510" s="5">
        <v>158</v>
      </c>
    </row>
    <row r="1511" spans="1:19" ht="28" x14ac:dyDescent="0.15">
      <c r="A1511" s="2">
        <f>HYPERLINK("https://open-school.uspishnemisto.com.ua/school/70668/", 70668)</f>
        <v>70668</v>
      </c>
      <c r="B1511" s="3" t="s">
        <v>8207</v>
      </c>
      <c r="C1511" s="3" t="s">
        <v>31</v>
      </c>
      <c r="D1511" s="3" t="s">
        <v>175</v>
      </c>
      <c r="E1511" s="4" t="s">
        <v>22</v>
      </c>
      <c r="F1511" s="4" t="s">
        <v>8208</v>
      </c>
      <c r="G1511" s="4" t="s">
        <v>8209</v>
      </c>
      <c r="H1511" s="3" t="s">
        <v>4839</v>
      </c>
      <c r="I1511" s="3" t="s">
        <v>8210</v>
      </c>
      <c r="J1511" s="3" t="s">
        <v>8211</v>
      </c>
      <c r="K1511" s="3" t="s">
        <v>8212</v>
      </c>
      <c r="L1511" s="3" t="s">
        <v>8213</v>
      </c>
      <c r="M1511" s="4"/>
      <c r="N1511" s="3" t="s">
        <v>37</v>
      </c>
      <c r="O1511" s="3" t="s">
        <v>38</v>
      </c>
      <c r="P1511" s="5">
        <v>5</v>
      </c>
      <c r="Q1511" s="5">
        <v>36</v>
      </c>
      <c r="R1511" s="5">
        <v>5</v>
      </c>
      <c r="S1511" s="5">
        <v>45</v>
      </c>
    </row>
    <row r="1512" spans="1:19" ht="28" x14ac:dyDescent="0.15">
      <c r="A1512" s="2">
        <f>HYPERLINK("https://open-school.uspishnemisto.com.ua/school/70669/", 70669)</f>
        <v>70669</v>
      </c>
      <c r="B1512" s="3" t="s">
        <v>8214</v>
      </c>
      <c r="C1512" s="3" t="s">
        <v>31</v>
      </c>
      <c r="D1512" s="3" t="s">
        <v>175</v>
      </c>
      <c r="E1512" s="4" t="s">
        <v>22</v>
      </c>
      <c r="F1512" s="4" t="s">
        <v>8215</v>
      </c>
      <c r="G1512" s="4" t="s">
        <v>8216</v>
      </c>
      <c r="H1512" s="3" t="s">
        <v>4839</v>
      </c>
      <c r="I1512" s="3" t="s">
        <v>8217</v>
      </c>
      <c r="J1512" s="3" t="s">
        <v>8218</v>
      </c>
      <c r="K1512" s="3" t="s">
        <v>8219</v>
      </c>
      <c r="L1512" s="3"/>
      <c r="M1512" s="4"/>
      <c r="N1512" s="3" t="s">
        <v>37</v>
      </c>
      <c r="O1512" s="3" t="s">
        <v>618</v>
      </c>
      <c r="P1512" s="5">
        <v>3</v>
      </c>
      <c r="Q1512" s="5">
        <v>28</v>
      </c>
      <c r="R1512" s="5">
        <v>3</v>
      </c>
      <c r="S1512" s="5">
        <v>31</v>
      </c>
    </row>
    <row r="1513" spans="1:19" ht="28" x14ac:dyDescent="0.15">
      <c r="A1513" s="2">
        <f>HYPERLINK("https://open-school.uspishnemisto.com.ua/school/70670/", 70670)</f>
        <v>70670</v>
      </c>
      <c r="B1513" s="3" t="s">
        <v>8220</v>
      </c>
      <c r="C1513" s="3" t="s">
        <v>31</v>
      </c>
      <c r="D1513" s="3" t="s">
        <v>175</v>
      </c>
      <c r="E1513" s="4" t="s">
        <v>22</v>
      </c>
      <c r="F1513" s="4" t="s">
        <v>8221</v>
      </c>
      <c r="G1513" s="4" t="s">
        <v>8222</v>
      </c>
      <c r="H1513" s="3" t="s">
        <v>4839</v>
      </c>
      <c r="I1513" s="3" t="s">
        <v>8223</v>
      </c>
      <c r="J1513" s="3" t="s">
        <v>8224</v>
      </c>
      <c r="K1513" s="3" t="s">
        <v>8225</v>
      </c>
      <c r="L1513" s="3"/>
      <c r="M1513" s="4"/>
      <c r="N1513" s="3" t="s">
        <v>37</v>
      </c>
      <c r="O1513" s="3" t="s">
        <v>70</v>
      </c>
      <c r="P1513" s="5">
        <v>7</v>
      </c>
      <c r="Q1513" s="5">
        <v>50</v>
      </c>
      <c r="R1513" s="5">
        <v>6</v>
      </c>
      <c r="S1513" s="5">
        <v>48</v>
      </c>
    </row>
    <row r="1514" spans="1:19" ht="28" x14ac:dyDescent="0.15">
      <c r="A1514" s="2">
        <f>HYPERLINK("https://open-school.uspishnemisto.com.ua/school/70671/", 70671)</f>
        <v>70671</v>
      </c>
      <c r="B1514" s="3" t="s">
        <v>8226</v>
      </c>
      <c r="C1514" s="3" t="s">
        <v>31</v>
      </c>
      <c r="D1514" s="3" t="s">
        <v>60</v>
      </c>
      <c r="E1514" s="4" t="s">
        <v>22</v>
      </c>
      <c r="F1514" s="4" t="s">
        <v>8221</v>
      </c>
      <c r="G1514" s="4" t="s">
        <v>8227</v>
      </c>
      <c r="H1514" s="3" t="s">
        <v>4839</v>
      </c>
      <c r="I1514" s="3" t="s">
        <v>7479</v>
      </c>
      <c r="J1514" s="3" t="s">
        <v>1792</v>
      </c>
      <c r="K1514" s="3" t="s">
        <v>8228</v>
      </c>
      <c r="L1514" s="3"/>
      <c r="M1514" s="4"/>
      <c r="N1514" s="3" t="s">
        <v>37</v>
      </c>
      <c r="O1514" s="3" t="s">
        <v>52</v>
      </c>
      <c r="P1514" s="5">
        <v>0</v>
      </c>
      <c r="Q1514" s="5">
        <v>5</v>
      </c>
      <c r="R1514" s="5">
        <v>0</v>
      </c>
      <c r="S1514" s="5">
        <v>8</v>
      </c>
    </row>
    <row r="1515" spans="1:19" ht="28" x14ac:dyDescent="0.15">
      <c r="A1515" s="2">
        <f>HYPERLINK("https://open-school.uspishnemisto.com.ua/school/70672/", 70672)</f>
        <v>70672</v>
      </c>
      <c r="B1515" s="3" t="s">
        <v>8229</v>
      </c>
      <c r="C1515" s="3" t="s">
        <v>31</v>
      </c>
      <c r="D1515" s="3" t="s">
        <v>60</v>
      </c>
      <c r="E1515" s="4" t="s">
        <v>22</v>
      </c>
      <c r="F1515" s="4" t="s">
        <v>8208</v>
      </c>
      <c r="G1515" s="4" t="s">
        <v>8230</v>
      </c>
      <c r="H1515" s="3" t="s">
        <v>4839</v>
      </c>
      <c r="I1515" s="3" t="s">
        <v>8231</v>
      </c>
      <c r="J1515" s="3" t="s">
        <v>8232</v>
      </c>
      <c r="K1515" s="3"/>
      <c r="L1515" s="3"/>
      <c r="M1515" s="4"/>
      <c r="N1515" s="3" t="s">
        <v>37</v>
      </c>
      <c r="O1515" s="3" t="s">
        <v>52</v>
      </c>
      <c r="P1515" s="5">
        <v>1</v>
      </c>
      <c r="Q1515" s="5">
        <v>14</v>
      </c>
      <c r="R1515" s="5">
        <v>1</v>
      </c>
      <c r="S1515" s="5">
        <v>16</v>
      </c>
    </row>
    <row r="1516" spans="1:19" ht="28" x14ac:dyDescent="0.15">
      <c r="A1516" s="2">
        <f>HYPERLINK("https://open-school.uspishnemisto.com.ua/school/70673/", 70673)</f>
        <v>70673</v>
      </c>
      <c r="B1516" s="3" t="s">
        <v>8233</v>
      </c>
      <c r="C1516" s="3" t="s">
        <v>31</v>
      </c>
      <c r="D1516" s="3" t="s">
        <v>32</v>
      </c>
      <c r="E1516" s="4" t="s">
        <v>22</v>
      </c>
      <c r="F1516" s="4" t="s">
        <v>8234</v>
      </c>
      <c r="G1516" s="4" t="s">
        <v>8235</v>
      </c>
      <c r="H1516" s="3" t="s">
        <v>4839</v>
      </c>
      <c r="I1516" s="3" t="s">
        <v>8236</v>
      </c>
      <c r="J1516" s="3" t="s">
        <v>4550</v>
      </c>
      <c r="K1516" s="3"/>
      <c r="L1516" s="3"/>
      <c r="M1516" s="4"/>
      <c r="N1516" s="3" t="s">
        <v>37</v>
      </c>
      <c r="O1516" s="3" t="s">
        <v>38</v>
      </c>
      <c r="P1516" s="5">
        <v>11</v>
      </c>
      <c r="Q1516" s="5">
        <v>179</v>
      </c>
      <c r="R1516" s="5">
        <v>11</v>
      </c>
      <c r="S1516" s="5">
        <v>168</v>
      </c>
    </row>
    <row r="1517" spans="1:19" ht="28" x14ac:dyDescent="0.15">
      <c r="A1517" s="2">
        <f>HYPERLINK("https://open-school.uspishnemisto.com.ua/school/70674/", 70674)</f>
        <v>70674</v>
      </c>
      <c r="B1517" s="3" t="s">
        <v>8237</v>
      </c>
      <c r="C1517" s="3" t="s">
        <v>31</v>
      </c>
      <c r="D1517" s="3" t="s">
        <v>60</v>
      </c>
      <c r="E1517" s="4" t="s">
        <v>22</v>
      </c>
      <c r="F1517" s="4" t="s">
        <v>8234</v>
      </c>
      <c r="G1517" s="4" t="s">
        <v>8238</v>
      </c>
      <c r="H1517" s="3" t="s">
        <v>4839</v>
      </c>
      <c r="I1517" s="3" t="s">
        <v>8239</v>
      </c>
      <c r="J1517" s="3" t="s">
        <v>4550</v>
      </c>
      <c r="K1517" s="3"/>
      <c r="L1517" s="3"/>
      <c r="M1517" s="4"/>
      <c r="N1517" s="3" t="s">
        <v>37</v>
      </c>
      <c r="O1517" s="3" t="s">
        <v>52</v>
      </c>
      <c r="P1517" s="5">
        <v>3</v>
      </c>
      <c r="Q1517" s="5">
        <v>18</v>
      </c>
      <c r="R1517" s="5">
        <v>3</v>
      </c>
      <c r="S1517" s="5">
        <v>19</v>
      </c>
    </row>
    <row r="1518" spans="1:19" ht="28" x14ac:dyDescent="0.15">
      <c r="A1518" s="2">
        <f>HYPERLINK("https://open-school.uspishnemisto.com.ua/school/70675/", 70675)</f>
        <v>70675</v>
      </c>
      <c r="B1518" s="3" t="s">
        <v>8240</v>
      </c>
      <c r="C1518" s="3" t="s">
        <v>31</v>
      </c>
      <c r="D1518" s="3" t="s">
        <v>175</v>
      </c>
      <c r="E1518" s="4" t="s">
        <v>22</v>
      </c>
      <c r="F1518" s="4" t="s">
        <v>8241</v>
      </c>
      <c r="G1518" s="4" t="s">
        <v>8242</v>
      </c>
      <c r="H1518" s="3" t="s">
        <v>4839</v>
      </c>
      <c r="I1518" s="3" t="s">
        <v>8243</v>
      </c>
      <c r="J1518" s="3" t="s">
        <v>8244</v>
      </c>
      <c r="K1518" s="3" t="s">
        <v>8245</v>
      </c>
      <c r="L1518" s="3"/>
      <c r="M1518" s="4"/>
      <c r="N1518" s="3" t="s">
        <v>37</v>
      </c>
      <c r="O1518" s="3" t="s">
        <v>46</v>
      </c>
      <c r="P1518" s="5">
        <v>2</v>
      </c>
      <c r="Q1518" s="5">
        <v>29</v>
      </c>
      <c r="R1518" s="5">
        <v>2</v>
      </c>
      <c r="S1518" s="5">
        <v>29</v>
      </c>
    </row>
    <row r="1519" spans="1:19" ht="28" x14ac:dyDescent="0.15">
      <c r="A1519" s="2">
        <f>HYPERLINK("https://open-school.uspishnemisto.com.ua/school/70676/", 70676)</f>
        <v>70676</v>
      </c>
      <c r="B1519" s="3" t="s">
        <v>8246</v>
      </c>
      <c r="C1519" s="3" t="s">
        <v>31</v>
      </c>
      <c r="D1519" s="3" t="s">
        <v>175</v>
      </c>
      <c r="E1519" s="4" t="s">
        <v>22</v>
      </c>
      <c r="F1519" s="4" t="s">
        <v>8247</v>
      </c>
      <c r="G1519" s="4" t="s">
        <v>8248</v>
      </c>
      <c r="H1519" s="3" t="s">
        <v>4839</v>
      </c>
      <c r="I1519" s="3" t="s">
        <v>8249</v>
      </c>
      <c r="J1519" s="3" t="s">
        <v>8250</v>
      </c>
      <c r="K1519" s="3" t="s">
        <v>8251</v>
      </c>
      <c r="L1519" s="3" t="s">
        <v>8252</v>
      </c>
      <c r="M1519" s="4"/>
      <c r="N1519" s="3" t="s">
        <v>37</v>
      </c>
      <c r="O1519" s="3" t="s">
        <v>52</v>
      </c>
      <c r="P1519" s="5">
        <v>9</v>
      </c>
      <c r="Q1519" s="5">
        <v>106</v>
      </c>
      <c r="R1519" s="5">
        <v>9</v>
      </c>
      <c r="S1519" s="5">
        <v>100</v>
      </c>
    </row>
    <row r="1520" spans="1:19" ht="42" x14ac:dyDescent="0.15">
      <c r="A1520" s="2">
        <f>HYPERLINK("https://open-school.uspishnemisto.com.ua/school/70677/", 70677)</f>
        <v>70677</v>
      </c>
      <c r="B1520" s="3" t="s">
        <v>8253</v>
      </c>
      <c r="C1520" s="3" t="s">
        <v>40</v>
      </c>
      <c r="D1520" s="3" t="s">
        <v>32</v>
      </c>
      <c r="E1520" s="4" t="s">
        <v>22</v>
      </c>
      <c r="F1520" s="4" t="s">
        <v>8247</v>
      </c>
      <c r="G1520" s="4" t="s">
        <v>8248</v>
      </c>
      <c r="H1520" s="3" t="s">
        <v>4839</v>
      </c>
      <c r="I1520" s="3" t="s">
        <v>8249</v>
      </c>
      <c r="J1520" s="3" t="s">
        <v>8254</v>
      </c>
      <c r="K1520" s="3" t="s">
        <v>8255</v>
      </c>
      <c r="L1520" s="3"/>
      <c r="M1520" s="4"/>
      <c r="N1520" s="3" t="s">
        <v>37</v>
      </c>
      <c r="O1520" s="3" t="s">
        <v>46</v>
      </c>
      <c r="P1520" s="5">
        <v>37</v>
      </c>
      <c r="Q1520" s="5">
        <v>603</v>
      </c>
      <c r="R1520" s="5">
        <v>37</v>
      </c>
      <c r="S1520" s="5">
        <v>569</v>
      </c>
    </row>
    <row r="1521" spans="1:19" ht="28" x14ac:dyDescent="0.15">
      <c r="A1521" s="2">
        <f>HYPERLINK("https://open-school.uspishnemisto.com.ua/school/70678/", 70678)</f>
        <v>70678</v>
      </c>
      <c r="B1521" s="3" t="s">
        <v>8256</v>
      </c>
      <c r="C1521" s="3" t="s">
        <v>31</v>
      </c>
      <c r="D1521" s="3" t="s">
        <v>32</v>
      </c>
      <c r="E1521" s="4" t="s">
        <v>22</v>
      </c>
      <c r="F1521" s="4" t="s">
        <v>8247</v>
      </c>
      <c r="G1521" s="4" t="s">
        <v>8248</v>
      </c>
      <c r="H1521" s="3" t="s">
        <v>4839</v>
      </c>
      <c r="I1521" s="3" t="s">
        <v>8249</v>
      </c>
      <c r="J1521" s="3" t="s">
        <v>8257</v>
      </c>
      <c r="K1521" s="3" t="s">
        <v>8258</v>
      </c>
      <c r="L1521" s="3"/>
      <c r="M1521" s="4"/>
      <c r="N1521" s="3" t="s">
        <v>37</v>
      </c>
      <c r="O1521" s="3" t="s">
        <v>52</v>
      </c>
      <c r="P1521" s="5">
        <v>19</v>
      </c>
      <c r="Q1521" s="5">
        <v>371</v>
      </c>
      <c r="R1521" s="5">
        <v>19</v>
      </c>
      <c r="S1521" s="5">
        <v>370</v>
      </c>
    </row>
    <row r="1522" spans="1:19" ht="42" x14ac:dyDescent="0.15">
      <c r="A1522" s="2">
        <f>HYPERLINK("https://open-school.uspishnemisto.com.ua/school/70679/", 70679)</f>
        <v>70679</v>
      </c>
      <c r="B1522" s="3" t="s">
        <v>8259</v>
      </c>
      <c r="C1522" s="3" t="s">
        <v>188</v>
      </c>
      <c r="D1522" s="3" t="s">
        <v>32</v>
      </c>
      <c r="E1522" s="4" t="s">
        <v>22</v>
      </c>
      <c r="F1522" s="4" t="s">
        <v>8260</v>
      </c>
      <c r="G1522" s="4" t="s">
        <v>8261</v>
      </c>
      <c r="H1522" s="3" t="s">
        <v>4839</v>
      </c>
      <c r="I1522" s="3" t="s">
        <v>7975</v>
      </c>
      <c r="J1522" s="3" t="s">
        <v>8262</v>
      </c>
      <c r="K1522" s="3" t="s">
        <v>8263</v>
      </c>
      <c r="L1522" s="3" t="s">
        <v>8264</v>
      </c>
      <c r="M1522" s="4"/>
      <c r="N1522" s="3" t="s">
        <v>37</v>
      </c>
      <c r="O1522" s="3" t="s">
        <v>46</v>
      </c>
      <c r="P1522" s="5">
        <v>39</v>
      </c>
      <c r="Q1522" s="5">
        <v>568</v>
      </c>
      <c r="R1522" s="5">
        <v>20</v>
      </c>
      <c r="S1522" s="5">
        <v>382</v>
      </c>
    </row>
    <row r="1523" spans="1:19" ht="28" x14ac:dyDescent="0.15">
      <c r="A1523" s="2">
        <f>HYPERLINK("https://open-school.uspishnemisto.com.ua/school/70680/", 70680)</f>
        <v>70680</v>
      </c>
      <c r="B1523" s="3" t="s">
        <v>8265</v>
      </c>
      <c r="C1523" s="3" t="s">
        <v>31</v>
      </c>
      <c r="D1523" s="3" t="s">
        <v>32</v>
      </c>
      <c r="E1523" s="4" t="s">
        <v>22</v>
      </c>
      <c r="F1523" s="4" t="s">
        <v>8266</v>
      </c>
      <c r="G1523" s="4" t="s">
        <v>8267</v>
      </c>
      <c r="H1523" s="3" t="s">
        <v>4839</v>
      </c>
      <c r="I1523" s="3" t="s">
        <v>8268</v>
      </c>
      <c r="J1523" s="3" t="s">
        <v>8269</v>
      </c>
      <c r="K1523" s="3" t="s">
        <v>8270</v>
      </c>
      <c r="L1523" s="3" t="s">
        <v>8271</v>
      </c>
      <c r="M1523" s="4"/>
      <c r="N1523" s="3" t="s">
        <v>37</v>
      </c>
      <c r="O1523" s="3" t="s">
        <v>52</v>
      </c>
      <c r="P1523" s="5">
        <v>11</v>
      </c>
      <c r="Q1523" s="5">
        <v>113</v>
      </c>
      <c r="R1523" s="5">
        <v>11</v>
      </c>
      <c r="S1523" s="5">
        <v>118</v>
      </c>
    </row>
    <row r="1524" spans="1:19" ht="28" x14ac:dyDescent="0.15">
      <c r="A1524" s="2">
        <f>HYPERLINK("https://open-school.uspishnemisto.com.ua/school/70681/", 70681)</f>
        <v>70681</v>
      </c>
      <c r="B1524" s="3" t="s">
        <v>8272</v>
      </c>
      <c r="C1524" s="3" t="s">
        <v>31</v>
      </c>
      <c r="D1524" s="3" t="s">
        <v>175</v>
      </c>
      <c r="E1524" s="4" t="s">
        <v>22</v>
      </c>
      <c r="F1524" s="4" t="s">
        <v>8273</v>
      </c>
      <c r="G1524" s="4" t="s">
        <v>8274</v>
      </c>
      <c r="H1524" s="3" t="s">
        <v>4839</v>
      </c>
      <c r="I1524" s="3" t="s">
        <v>8275</v>
      </c>
      <c r="J1524" s="3" t="s">
        <v>8276</v>
      </c>
      <c r="K1524" s="3" t="s">
        <v>8277</v>
      </c>
      <c r="L1524" s="3" t="s">
        <v>8278</v>
      </c>
      <c r="M1524" s="4"/>
      <c r="N1524" s="3" t="s">
        <v>37</v>
      </c>
      <c r="O1524" s="3" t="s">
        <v>52</v>
      </c>
      <c r="P1524" s="5">
        <v>9</v>
      </c>
      <c r="Q1524" s="5">
        <v>56</v>
      </c>
      <c r="R1524" s="5">
        <v>8</v>
      </c>
      <c r="S1524" s="5">
        <v>53</v>
      </c>
    </row>
    <row r="1525" spans="1:19" ht="28" x14ac:dyDescent="0.15">
      <c r="A1525" s="2">
        <f>HYPERLINK("https://open-school.uspishnemisto.com.ua/school/70682/", 70682)</f>
        <v>70682</v>
      </c>
      <c r="B1525" s="3" t="s">
        <v>8279</v>
      </c>
      <c r="C1525" s="3" t="s">
        <v>31</v>
      </c>
      <c r="D1525" s="3" t="s">
        <v>175</v>
      </c>
      <c r="E1525" s="4" t="s">
        <v>22</v>
      </c>
      <c r="F1525" s="4" t="s">
        <v>8280</v>
      </c>
      <c r="G1525" s="4" t="s">
        <v>8281</v>
      </c>
      <c r="H1525" s="3" t="s">
        <v>4839</v>
      </c>
      <c r="I1525" s="3" t="s">
        <v>7075</v>
      </c>
      <c r="J1525" s="3" t="s">
        <v>466</v>
      </c>
      <c r="K1525" s="3"/>
      <c r="L1525" s="3"/>
      <c r="M1525" s="4"/>
      <c r="N1525" s="3" t="s">
        <v>37</v>
      </c>
      <c r="O1525" s="3" t="s">
        <v>46</v>
      </c>
      <c r="P1525" s="5">
        <v>7</v>
      </c>
      <c r="Q1525" s="5">
        <v>51</v>
      </c>
      <c r="R1525" s="5">
        <v>7</v>
      </c>
      <c r="S1525" s="5">
        <v>51</v>
      </c>
    </row>
    <row r="1526" spans="1:19" ht="28" x14ac:dyDescent="0.15">
      <c r="A1526" s="2">
        <f>HYPERLINK("https://open-school.uspishnemisto.com.ua/school/70683/", 70683)</f>
        <v>70683</v>
      </c>
      <c r="B1526" s="3" t="s">
        <v>8282</v>
      </c>
      <c r="C1526" s="3" t="s">
        <v>31</v>
      </c>
      <c r="D1526" s="3" t="s">
        <v>175</v>
      </c>
      <c r="E1526" s="4" t="s">
        <v>22</v>
      </c>
      <c r="F1526" s="4" t="s">
        <v>8283</v>
      </c>
      <c r="G1526" s="4" t="s">
        <v>8284</v>
      </c>
      <c r="H1526" s="3" t="s">
        <v>4839</v>
      </c>
      <c r="I1526" s="3" t="s">
        <v>8285</v>
      </c>
      <c r="J1526" s="3" t="s">
        <v>1192</v>
      </c>
      <c r="K1526" s="3" t="s">
        <v>8286</v>
      </c>
      <c r="L1526" s="3" t="s">
        <v>8287</v>
      </c>
      <c r="M1526" s="4"/>
      <c r="N1526" s="3" t="s">
        <v>37</v>
      </c>
      <c r="O1526" s="3" t="s">
        <v>52</v>
      </c>
      <c r="P1526" s="5">
        <v>8</v>
      </c>
      <c r="Q1526" s="5">
        <v>68</v>
      </c>
      <c r="R1526" s="5">
        <v>10</v>
      </c>
      <c r="S1526" s="5">
        <v>75</v>
      </c>
    </row>
    <row r="1527" spans="1:19" ht="42" x14ac:dyDescent="0.15">
      <c r="A1527" s="2">
        <f>HYPERLINK("https://open-school.uspishnemisto.com.ua/school/70684/", 70684)</f>
        <v>70684</v>
      </c>
      <c r="B1527" s="3" t="s">
        <v>8288</v>
      </c>
      <c r="C1527" s="3" t="s">
        <v>31</v>
      </c>
      <c r="D1527" s="3" t="s">
        <v>175</v>
      </c>
      <c r="E1527" s="4" t="s">
        <v>22</v>
      </c>
      <c r="F1527" s="4" t="s">
        <v>8289</v>
      </c>
      <c r="G1527" s="4" t="s">
        <v>8290</v>
      </c>
      <c r="H1527" s="3" t="s">
        <v>4839</v>
      </c>
      <c r="I1527" s="3" t="s">
        <v>8291</v>
      </c>
      <c r="J1527" s="3" t="s">
        <v>8292</v>
      </c>
      <c r="K1527" s="3" t="s">
        <v>8293</v>
      </c>
      <c r="L1527" s="3" t="s">
        <v>8294</v>
      </c>
      <c r="M1527" s="4"/>
      <c r="N1527" s="3"/>
      <c r="O1527" s="3"/>
      <c r="P1527" s="5">
        <v>0</v>
      </c>
      <c r="Q1527" s="5">
        <v>0</v>
      </c>
      <c r="R1527" s="5">
        <v>0</v>
      </c>
      <c r="S1527" s="5">
        <v>0</v>
      </c>
    </row>
    <row r="1528" spans="1:19" ht="28" x14ac:dyDescent="0.15">
      <c r="A1528" s="2">
        <f>HYPERLINK("https://open-school.uspishnemisto.com.ua/school/70685/", 70685)</f>
        <v>70685</v>
      </c>
      <c r="B1528" s="3" t="s">
        <v>8295</v>
      </c>
      <c r="C1528" s="3" t="s">
        <v>31</v>
      </c>
      <c r="D1528" s="3" t="s">
        <v>32</v>
      </c>
      <c r="E1528" s="4" t="s">
        <v>22</v>
      </c>
      <c r="F1528" s="4" t="s">
        <v>8296</v>
      </c>
      <c r="G1528" s="4" t="s">
        <v>8297</v>
      </c>
      <c r="H1528" s="3" t="s">
        <v>4839</v>
      </c>
      <c r="I1528" s="3" t="s">
        <v>6166</v>
      </c>
      <c r="J1528" s="3" t="s">
        <v>8298</v>
      </c>
      <c r="K1528" s="3" t="s">
        <v>8299</v>
      </c>
      <c r="L1528" s="3"/>
      <c r="M1528" s="4"/>
      <c r="N1528" s="3" t="s">
        <v>37</v>
      </c>
      <c r="O1528" s="3" t="s">
        <v>52</v>
      </c>
      <c r="P1528" s="5">
        <v>11</v>
      </c>
      <c r="Q1528" s="5">
        <v>125</v>
      </c>
      <c r="R1528" s="5">
        <v>11</v>
      </c>
      <c r="S1528" s="5">
        <v>123</v>
      </c>
    </row>
    <row r="1529" spans="1:19" ht="28" x14ac:dyDescent="0.15">
      <c r="A1529" s="2">
        <f>HYPERLINK("https://open-school.uspishnemisto.com.ua/school/70686/", 70686)</f>
        <v>70686</v>
      </c>
      <c r="B1529" s="3" t="s">
        <v>8300</v>
      </c>
      <c r="C1529" s="3" t="s">
        <v>31</v>
      </c>
      <c r="D1529" s="3" t="s">
        <v>32</v>
      </c>
      <c r="E1529" s="4" t="s">
        <v>22</v>
      </c>
      <c r="F1529" s="4" t="s">
        <v>8301</v>
      </c>
      <c r="G1529" s="4" t="s">
        <v>8302</v>
      </c>
      <c r="H1529" s="3" t="s">
        <v>4839</v>
      </c>
      <c r="I1529" s="3" t="s">
        <v>8303</v>
      </c>
      <c r="J1529" s="3" t="s">
        <v>466</v>
      </c>
      <c r="K1529" s="3" t="s">
        <v>8304</v>
      </c>
      <c r="L1529" s="3"/>
      <c r="M1529" s="4"/>
      <c r="N1529" s="3" t="s">
        <v>37</v>
      </c>
      <c r="O1529" s="3" t="s">
        <v>46</v>
      </c>
      <c r="P1529" s="5">
        <v>23</v>
      </c>
      <c r="Q1529" s="5">
        <v>324</v>
      </c>
      <c r="R1529" s="5">
        <v>10</v>
      </c>
      <c r="S1529" s="5">
        <v>198</v>
      </c>
    </row>
    <row r="1530" spans="1:19" ht="42" x14ac:dyDescent="0.15">
      <c r="A1530" s="2">
        <f>HYPERLINK("https://open-school.uspishnemisto.com.ua/school/70687/", 70687)</f>
        <v>70687</v>
      </c>
      <c r="B1530" s="3" t="s">
        <v>8305</v>
      </c>
      <c r="C1530" s="3" t="s">
        <v>31</v>
      </c>
      <c r="D1530" s="3" t="s">
        <v>175</v>
      </c>
      <c r="E1530" s="4" t="s">
        <v>22</v>
      </c>
      <c r="F1530" s="4" t="s">
        <v>8306</v>
      </c>
      <c r="G1530" s="4" t="s">
        <v>8307</v>
      </c>
      <c r="H1530" s="3" t="s">
        <v>4839</v>
      </c>
      <c r="I1530" s="3" t="s">
        <v>8308</v>
      </c>
      <c r="J1530" s="3" t="s">
        <v>8309</v>
      </c>
      <c r="K1530" s="3"/>
      <c r="L1530" s="3" t="s">
        <v>8310</v>
      </c>
      <c r="M1530" s="4"/>
      <c r="N1530" s="3" t="s">
        <v>37</v>
      </c>
      <c r="O1530" s="3" t="s">
        <v>52</v>
      </c>
      <c r="P1530" s="5">
        <v>0</v>
      </c>
      <c r="Q1530" s="5">
        <v>0</v>
      </c>
      <c r="R1530" s="5">
        <v>1</v>
      </c>
      <c r="S1530" s="5">
        <v>30</v>
      </c>
    </row>
    <row r="1531" spans="1:19" ht="28" x14ac:dyDescent="0.15">
      <c r="A1531" s="2">
        <f>HYPERLINK("https://open-school.uspishnemisto.com.ua/school/70688/", 70688)</f>
        <v>70688</v>
      </c>
      <c r="B1531" s="3" t="s">
        <v>8311</v>
      </c>
      <c r="C1531" s="3" t="s">
        <v>31</v>
      </c>
      <c r="D1531" s="3" t="s">
        <v>32</v>
      </c>
      <c r="E1531" s="4" t="s">
        <v>22</v>
      </c>
      <c r="F1531" s="4" t="s">
        <v>8312</v>
      </c>
      <c r="G1531" s="4" t="s">
        <v>8313</v>
      </c>
      <c r="H1531" s="3" t="s">
        <v>4839</v>
      </c>
      <c r="I1531" s="3" t="s">
        <v>8314</v>
      </c>
      <c r="J1531" s="3" t="s">
        <v>466</v>
      </c>
      <c r="K1531" s="3" t="s">
        <v>8315</v>
      </c>
      <c r="L1531" s="3" t="s">
        <v>8316</v>
      </c>
      <c r="M1531" s="4"/>
      <c r="N1531" s="3" t="s">
        <v>37</v>
      </c>
      <c r="O1531" s="3" t="s">
        <v>52</v>
      </c>
      <c r="P1531" s="5">
        <v>11</v>
      </c>
      <c r="Q1531" s="5">
        <v>144</v>
      </c>
      <c r="R1531" s="5">
        <v>11</v>
      </c>
      <c r="S1531" s="5">
        <v>145</v>
      </c>
    </row>
    <row r="1532" spans="1:19" ht="42" x14ac:dyDescent="0.15">
      <c r="A1532" s="2">
        <f>HYPERLINK("https://open-school.uspishnemisto.com.ua/school/70689/", 70689)</f>
        <v>70689</v>
      </c>
      <c r="B1532" s="3" t="s">
        <v>8317</v>
      </c>
      <c r="C1532" s="3" t="s">
        <v>31</v>
      </c>
      <c r="D1532" s="3" t="s">
        <v>175</v>
      </c>
      <c r="E1532" s="4" t="s">
        <v>22</v>
      </c>
      <c r="F1532" s="4" t="s">
        <v>8318</v>
      </c>
      <c r="G1532" s="4" t="s">
        <v>8319</v>
      </c>
      <c r="H1532" s="3" t="s">
        <v>4839</v>
      </c>
      <c r="I1532" s="3" t="s">
        <v>8320</v>
      </c>
      <c r="J1532" s="3" t="s">
        <v>792</v>
      </c>
      <c r="K1532" s="3" t="s">
        <v>8321</v>
      </c>
      <c r="L1532" s="3"/>
      <c r="M1532" s="4"/>
      <c r="N1532" s="3" t="s">
        <v>37</v>
      </c>
      <c r="O1532" s="3" t="s">
        <v>52</v>
      </c>
      <c r="P1532" s="5">
        <v>0</v>
      </c>
      <c r="Q1532" s="5">
        <v>0</v>
      </c>
      <c r="R1532" s="5">
        <v>9</v>
      </c>
      <c r="S1532" s="5">
        <v>80</v>
      </c>
    </row>
    <row r="1533" spans="1:19" ht="42" x14ac:dyDescent="0.15">
      <c r="A1533" s="2">
        <f>HYPERLINK("https://open-school.uspishnemisto.com.ua/school/70690/", 70690)</f>
        <v>70690</v>
      </c>
      <c r="B1533" s="3" t="s">
        <v>8322</v>
      </c>
      <c r="C1533" s="3" t="s">
        <v>31</v>
      </c>
      <c r="D1533" s="3" t="s">
        <v>60</v>
      </c>
      <c r="E1533" s="4" t="s">
        <v>22</v>
      </c>
      <c r="F1533" s="4" t="s">
        <v>8323</v>
      </c>
      <c r="G1533" s="4" t="s">
        <v>8324</v>
      </c>
      <c r="H1533" s="3" t="s">
        <v>4839</v>
      </c>
      <c r="I1533" s="3" t="s">
        <v>8325</v>
      </c>
      <c r="J1533" s="3" t="s">
        <v>466</v>
      </c>
      <c r="K1533" s="3" t="s">
        <v>8326</v>
      </c>
      <c r="L1533" s="3"/>
      <c r="M1533" s="4"/>
      <c r="N1533" s="3" t="s">
        <v>37</v>
      </c>
      <c r="O1533" s="3" t="s">
        <v>52</v>
      </c>
      <c r="P1533" s="5">
        <v>0</v>
      </c>
      <c r="Q1533" s="5">
        <v>0</v>
      </c>
      <c r="R1533" s="5">
        <v>2</v>
      </c>
      <c r="S1533" s="5">
        <v>16</v>
      </c>
    </row>
    <row r="1534" spans="1:19" ht="28" x14ac:dyDescent="0.15">
      <c r="A1534" s="2">
        <f>HYPERLINK("https://open-school.uspishnemisto.com.ua/school/70691/", 70691)</f>
        <v>70691</v>
      </c>
      <c r="B1534" s="3" t="s">
        <v>8327</v>
      </c>
      <c r="C1534" s="3" t="s">
        <v>31</v>
      </c>
      <c r="D1534" s="3" t="s">
        <v>175</v>
      </c>
      <c r="E1534" s="4" t="s">
        <v>22</v>
      </c>
      <c r="F1534" s="4" t="s">
        <v>8328</v>
      </c>
      <c r="G1534" s="4" t="s">
        <v>8329</v>
      </c>
      <c r="H1534" s="3" t="s">
        <v>4839</v>
      </c>
      <c r="I1534" s="3" t="s">
        <v>8330</v>
      </c>
      <c r="J1534" s="3" t="s">
        <v>8331</v>
      </c>
      <c r="K1534" s="3" t="s">
        <v>8332</v>
      </c>
      <c r="L1534" s="3"/>
      <c r="M1534" s="4"/>
      <c r="N1534" s="3" t="s">
        <v>37</v>
      </c>
      <c r="O1534" s="3" t="s">
        <v>52</v>
      </c>
      <c r="P1534" s="5">
        <v>9</v>
      </c>
      <c r="Q1534" s="5">
        <v>89</v>
      </c>
      <c r="R1534" s="5">
        <v>9</v>
      </c>
      <c r="S1534" s="5">
        <v>75</v>
      </c>
    </row>
    <row r="1535" spans="1:19" ht="28" x14ac:dyDescent="0.15">
      <c r="A1535" s="2">
        <f>HYPERLINK("https://open-school.uspishnemisto.com.ua/school/70692/", 70692)</f>
        <v>70692</v>
      </c>
      <c r="B1535" s="3" t="s">
        <v>8333</v>
      </c>
      <c r="C1535" s="3" t="s">
        <v>31</v>
      </c>
      <c r="D1535" s="3" t="s">
        <v>175</v>
      </c>
      <c r="E1535" s="4" t="s">
        <v>22</v>
      </c>
      <c r="F1535" s="4" t="s">
        <v>8334</v>
      </c>
      <c r="G1535" s="4" t="s">
        <v>8335</v>
      </c>
      <c r="H1535" s="3" t="s">
        <v>4839</v>
      </c>
      <c r="I1535" s="3" t="s">
        <v>8336</v>
      </c>
      <c r="J1535" s="3" t="s">
        <v>664</v>
      </c>
      <c r="K1535" s="3" t="s">
        <v>8337</v>
      </c>
      <c r="L1535" s="3"/>
      <c r="M1535" s="4"/>
      <c r="N1535" s="3" t="s">
        <v>37</v>
      </c>
      <c r="O1535" s="3" t="s">
        <v>52</v>
      </c>
      <c r="P1535" s="5">
        <v>9</v>
      </c>
      <c r="Q1535" s="5">
        <v>76</v>
      </c>
      <c r="R1535" s="5">
        <v>8</v>
      </c>
      <c r="S1535" s="5">
        <v>74</v>
      </c>
    </row>
    <row r="1536" spans="1:19" ht="28" x14ac:dyDescent="0.15">
      <c r="A1536" s="2">
        <f>HYPERLINK("https://open-school.uspishnemisto.com.ua/school/70693/", 70693)</f>
        <v>70693</v>
      </c>
      <c r="B1536" s="3" t="s">
        <v>8338</v>
      </c>
      <c r="C1536" s="3" t="s">
        <v>31</v>
      </c>
      <c r="D1536" s="3" t="s">
        <v>32</v>
      </c>
      <c r="E1536" s="4" t="s">
        <v>22</v>
      </c>
      <c r="F1536" s="4" t="s">
        <v>8339</v>
      </c>
      <c r="G1536" s="4" t="s">
        <v>8340</v>
      </c>
      <c r="H1536" s="3" t="s">
        <v>4839</v>
      </c>
      <c r="I1536" s="3" t="s">
        <v>8341</v>
      </c>
      <c r="J1536" s="3" t="s">
        <v>3620</v>
      </c>
      <c r="K1536" s="3" t="s">
        <v>8342</v>
      </c>
      <c r="L1536" s="3" t="s">
        <v>8343</v>
      </c>
      <c r="M1536" s="4"/>
      <c r="N1536" s="3" t="s">
        <v>37</v>
      </c>
      <c r="O1536" s="3" t="s">
        <v>52</v>
      </c>
      <c r="P1536" s="5">
        <v>11</v>
      </c>
      <c r="Q1536" s="5">
        <v>95</v>
      </c>
      <c r="R1536" s="5">
        <v>11</v>
      </c>
      <c r="S1536" s="5">
        <v>99</v>
      </c>
    </row>
    <row r="1537" spans="1:19" ht="42" x14ac:dyDescent="0.15">
      <c r="A1537" s="2">
        <f>HYPERLINK("https://open-school.uspishnemisto.com.ua/school/70694/", 70694)</f>
        <v>70694</v>
      </c>
      <c r="B1537" s="3" t="s">
        <v>8344</v>
      </c>
      <c r="C1537" s="3" t="s">
        <v>31</v>
      </c>
      <c r="D1537" s="3" t="s">
        <v>175</v>
      </c>
      <c r="E1537" s="4" t="s">
        <v>22</v>
      </c>
      <c r="F1537" s="4" t="s">
        <v>8345</v>
      </c>
      <c r="G1537" s="4" t="s">
        <v>8346</v>
      </c>
      <c r="H1537" s="3" t="s">
        <v>4839</v>
      </c>
      <c r="I1537" s="3" t="s">
        <v>8347</v>
      </c>
      <c r="J1537" s="3" t="s">
        <v>8348</v>
      </c>
      <c r="K1537" s="3"/>
      <c r="L1537" s="3"/>
      <c r="M1537" s="4"/>
      <c r="N1537" s="3" t="s">
        <v>37</v>
      </c>
      <c r="O1537" s="3" t="s">
        <v>52</v>
      </c>
      <c r="P1537" s="5">
        <v>0</v>
      </c>
      <c r="Q1537" s="5">
        <v>0</v>
      </c>
      <c r="R1537" s="5">
        <v>5</v>
      </c>
      <c r="S1537" s="5">
        <v>42</v>
      </c>
    </row>
    <row r="1538" spans="1:19" ht="42" x14ac:dyDescent="0.15">
      <c r="A1538" s="2">
        <f>HYPERLINK("https://open-school.uspishnemisto.com.ua/school/70695/", 70695)</f>
        <v>70695</v>
      </c>
      <c r="B1538" s="3" t="s">
        <v>8349</v>
      </c>
      <c r="C1538" s="3" t="s">
        <v>31</v>
      </c>
      <c r="D1538" s="3" t="s">
        <v>175</v>
      </c>
      <c r="E1538" s="4" t="s">
        <v>22</v>
      </c>
      <c r="F1538" s="4" t="s">
        <v>8350</v>
      </c>
      <c r="G1538" s="4" t="s">
        <v>8351</v>
      </c>
      <c r="H1538" s="3" t="s">
        <v>4839</v>
      </c>
      <c r="I1538" s="3" t="s">
        <v>5383</v>
      </c>
      <c r="J1538" s="3" t="s">
        <v>8352</v>
      </c>
      <c r="K1538" s="3" t="s">
        <v>8353</v>
      </c>
      <c r="L1538" s="3"/>
      <c r="M1538" s="4"/>
      <c r="N1538" s="3" t="s">
        <v>37</v>
      </c>
      <c r="O1538" s="3" t="s">
        <v>52</v>
      </c>
      <c r="P1538" s="5">
        <v>0</v>
      </c>
      <c r="Q1538" s="5">
        <v>0</v>
      </c>
      <c r="R1538" s="5">
        <v>7</v>
      </c>
      <c r="S1538" s="5">
        <v>53</v>
      </c>
    </row>
    <row r="1539" spans="1:19" ht="28" x14ac:dyDescent="0.15">
      <c r="A1539" s="2">
        <f>HYPERLINK("https://open-school.uspishnemisto.com.ua/school/70696/", 70696)</f>
        <v>70696</v>
      </c>
      <c r="B1539" s="3" t="s">
        <v>8354</v>
      </c>
      <c r="C1539" s="3" t="s">
        <v>31</v>
      </c>
      <c r="D1539" s="3" t="s">
        <v>32</v>
      </c>
      <c r="E1539" s="4" t="s">
        <v>22</v>
      </c>
      <c r="F1539" s="4" t="s">
        <v>8355</v>
      </c>
      <c r="G1539" s="4" t="s">
        <v>8356</v>
      </c>
      <c r="H1539" s="3" t="s">
        <v>4839</v>
      </c>
      <c r="I1539" s="3" t="s">
        <v>8357</v>
      </c>
      <c r="J1539" s="3" t="s">
        <v>8358</v>
      </c>
      <c r="K1539" s="3" t="s">
        <v>8359</v>
      </c>
      <c r="L1539" s="3" t="s">
        <v>8360</v>
      </c>
      <c r="M1539" s="4"/>
      <c r="N1539" s="3" t="s">
        <v>37</v>
      </c>
      <c r="O1539" s="3" t="s">
        <v>52</v>
      </c>
      <c r="P1539" s="5">
        <v>8</v>
      </c>
      <c r="Q1539" s="5">
        <v>58</v>
      </c>
      <c r="R1539" s="5">
        <v>7</v>
      </c>
      <c r="S1539" s="5">
        <v>63</v>
      </c>
    </row>
    <row r="1540" spans="1:19" ht="28" x14ac:dyDescent="0.15">
      <c r="A1540" s="2">
        <f>HYPERLINK("https://open-school.uspishnemisto.com.ua/school/70697/", 70697)</f>
        <v>70697</v>
      </c>
      <c r="B1540" s="3" t="s">
        <v>8361</v>
      </c>
      <c r="C1540" s="3" t="s">
        <v>31</v>
      </c>
      <c r="D1540" s="3" t="s">
        <v>175</v>
      </c>
      <c r="E1540" s="4" t="s">
        <v>22</v>
      </c>
      <c r="F1540" s="4" t="s">
        <v>8362</v>
      </c>
      <c r="G1540" s="4" t="s">
        <v>8363</v>
      </c>
      <c r="H1540" s="3" t="s">
        <v>4839</v>
      </c>
      <c r="I1540" s="3" t="s">
        <v>739</v>
      </c>
      <c r="J1540" s="3" t="s">
        <v>4537</v>
      </c>
      <c r="K1540" s="3"/>
      <c r="L1540" s="3" t="s">
        <v>8364</v>
      </c>
      <c r="M1540" s="4"/>
      <c r="N1540" s="3" t="s">
        <v>37</v>
      </c>
      <c r="O1540" s="3" t="s">
        <v>52</v>
      </c>
      <c r="P1540" s="5">
        <v>6</v>
      </c>
      <c r="Q1540" s="5">
        <v>48</v>
      </c>
      <c r="R1540" s="5">
        <v>6</v>
      </c>
      <c r="S1540" s="5">
        <v>45</v>
      </c>
    </row>
    <row r="1541" spans="1:19" ht="42" x14ac:dyDescent="0.15">
      <c r="A1541" s="2">
        <f>HYPERLINK("https://open-school.uspishnemisto.com.ua/school/70698/", 70698)</f>
        <v>70698</v>
      </c>
      <c r="B1541" s="3" t="s">
        <v>8365</v>
      </c>
      <c r="C1541" s="3" t="s">
        <v>31</v>
      </c>
      <c r="D1541" s="3" t="s">
        <v>175</v>
      </c>
      <c r="E1541" s="4" t="s">
        <v>22</v>
      </c>
      <c r="F1541" s="4" t="s">
        <v>8366</v>
      </c>
      <c r="G1541" s="4" t="s">
        <v>8367</v>
      </c>
      <c r="H1541" s="3" t="s">
        <v>4839</v>
      </c>
      <c r="I1541" s="3" t="s">
        <v>8368</v>
      </c>
      <c r="J1541" s="3" t="s">
        <v>8369</v>
      </c>
      <c r="K1541" s="3"/>
      <c r="L1541" s="3"/>
      <c r="M1541" s="4"/>
      <c r="N1541" s="3" t="s">
        <v>37</v>
      </c>
      <c r="O1541" s="3" t="s">
        <v>46</v>
      </c>
      <c r="P1541" s="5">
        <v>0</v>
      </c>
      <c r="Q1541" s="5">
        <v>0</v>
      </c>
      <c r="R1541" s="5">
        <v>4</v>
      </c>
      <c r="S1541" s="5">
        <v>43</v>
      </c>
    </row>
    <row r="1542" spans="1:19" ht="28" x14ac:dyDescent="0.15">
      <c r="A1542" s="2">
        <f>HYPERLINK("https://open-school.uspishnemisto.com.ua/school/70699/", 70699)</f>
        <v>70699</v>
      </c>
      <c r="B1542" s="3" t="s">
        <v>8370</v>
      </c>
      <c r="C1542" s="3" t="s">
        <v>31</v>
      </c>
      <c r="D1542" s="3" t="s">
        <v>175</v>
      </c>
      <c r="E1542" s="4" t="s">
        <v>22</v>
      </c>
      <c r="F1542" s="4" t="s">
        <v>8280</v>
      </c>
      <c r="G1542" s="4" t="s">
        <v>8371</v>
      </c>
      <c r="H1542" s="3" t="s">
        <v>4839</v>
      </c>
      <c r="I1542" s="3" t="s">
        <v>8372</v>
      </c>
      <c r="J1542" s="3" t="s">
        <v>2417</v>
      </c>
      <c r="K1542" s="3" t="s">
        <v>8373</v>
      </c>
      <c r="L1542" s="3"/>
      <c r="M1542" s="4"/>
      <c r="N1542" s="3" t="s">
        <v>37</v>
      </c>
      <c r="O1542" s="3" t="s">
        <v>52</v>
      </c>
      <c r="P1542" s="5">
        <v>8</v>
      </c>
      <c r="Q1542" s="5">
        <v>69</v>
      </c>
      <c r="R1542" s="5">
        <v>7</v>
      </c>
      <c r="S1542" s="5">
        <v>65</v>
      </c>
    </row>
    <row r="1543" spans="1:19" ht="28" x14ac:dyDescent="0.15">
      <c r="A1543" s="2">
        <f>HYPERLINK("https://open-school.uspishnemisto.com.ua/school/70700/", 70700)</f>
        <v>70700</v>
      </c>
      <c r="B1543" s="3" t="s">
        <v>8374</v>
      </c>
      <c r="C1543" s="3" t="s">
        <v>31</v>
      </c>
      <c r="D1543" s="3" t="s">
        <v>60</v>
      </c>
      <c r="E1543" s="4" t="s">
        <v>22</v>
      </c>
      <c r="F1543" s="4" t="s">
        <v>8375</v>
      </c>
      <c r="G1543" s="4" t="s">
        <v>8376</v>
      </c>
      <c r="H1543" s="3" t="s">
        <v>4839</v>
      </c>
      <c r="I1543" s="3" t="s">
        <v>8377</v>
      </c>
      <c r="J1543" s="3" t="s">
        <v>1636</v>
      </c>
      <c r="K1543" s="3" t="s">
        <v>8378</v>
      </c>
      <c r="L1543" s="3"/>
      <c r="M1543" s="4"/>
      <c r="N1543" s="3"/>
      <c r="O1543" s="3"/>
      <c r="P1543" s="5">
        <v>0</v>
      </c>
      <c r="Q1543" s="5">
        <v>0</v>
      </c>
      <c r="R1543" s="5"/>
      <c r="S1543" s="5"/>
    </row>
    <row r="1544" spans="1:19" ht="28" x14ac:dyDescent="0.15">
      <c r="A1544" s="2">
        <f>HYPERLINK("https://open-school.uspishnemisto.com.ua/school/70701/", 70701)</f>
        <v>70701</v>
      </c>
      <c r="B1544" s="3" t="s">
        <v>8379</v>
      </c>
      <c r="C1544" s="3" t="s">
        <v>31</v>
      </c>
      <c r="D1544" s="3" t="s">
        <v>60</v>
      </c>
      <c r="E1544" s="4" t="s">
        <v>22</v>
      </c>
      <c r="F1544" s="4" t="s">
        <v>8380</v>
      </c>
      <c r="G1544" s="4" t="s">
        <v>8381</v>
      </c>
      <c r="H1544" s="3" t="s">
        <v>4839</v>
      </c>
      <c r="I1544" s="3" t="s">
        <v>8382</v>
      </c>
      <c r="J1544" s="3" t="s">
        <v>8383</v>
      </c>
      <c r="K1544" s="3"/>
      <c r="L1544" s="3"/>
      <c r="M1544" s="4"/>
      <c r="N1544" s="3" t="s">
        <v>37</v>
      </c>
      <c r="O1544" s="3" t="s">
        <v>52</v>
      </c>
      <c r="P1544" s="5">
        <v>3</v>
      </c>
      <c r="Q1544" s="5">
        <v>25</v>
      </c>
      <c r="R1544" s="5">
        <v>2</v>
      </c>
      <c r="S1544" s="5">
        <v>24</v>
      </c>
    </row>
    <row r="1545" spans="1:19" ht="28" x14ac:dyDescent="0.15">
      <c r="A1545" s="2">
        <f>HYPERLINK("https://open-school.uspishnemisto.com.ua/school/70702/", 70702)</f>
        <v>70702</v>
      </c>
      <c r="B1545" s="3" t="s">
        <v>8384</v>
      </c>
      <c r="C1545" s="3" t="s">
        <v>31</v>
      </c>
      <c r="D1545" s="3" t="s">
        <v>60</v>
      </c>
      <c r="E1545" s="4" t="s">
        <v>22</v>
      </c>
      <c r="F1545" s="4" t="s">
        <v>8380</v>
      </c>
      <c r="G1545" s="4" t="s">
        <v>8385</v>
      </c>
      <c r="H1545" s="3" t="s">
        <v>4839</v>
      </c>
      <c r="I1545" s="3" t="s">
        <v>8386</v>
      </c>
      <c r="J1545" s="3" t="s">
        <v>946</v>
      </c>
      <c r="K1545" s="3" t="s">
        <v>8387</v>
      </c>
      <c r="L1545" s="3"/>
      <c r="M1545" s="4"/>
      <c r="N1545" s="3"/>
      <c r="O1545" s="3"/>
      <c r="P1545" s="5">
        <v>0</v>
      </c>
      <c r="Q1545" s="5">
        <v>0</v>
      </c>
      <c r="R1545" s="5"/>
      <c r="S1545" s="5"/>
    </row>
    <row r="1546" spans="1:19" ht="28" x14ac:dyDescent="0.15">
      <c r="A1546" s="2">
        <f>HYPERLINK("https://open-school.uspishnemisto.com.ua/school/70703/", 70703)</f>
        <v>70703</v>
      </c>
      <c r="B1546" s="3" t="s">
        <v>8388</v>
      </c>
      <c r="C1546" s="3" t="s">
        <v>31</v>
      </c>
      <c r="D1546" s="3" t="s">
        <v>32</v>
      </c>
      <c r="E1546" s="4" t="s">
        <v>22</v>
      </c>
      <c r="F1546" s="4" t="s">
        <v>8389</v>
      </c>
      <c r="G1546" s="4" t="s">
        <v>8390</v>
      </c>
      <c r="H1546" s="3" t="s">
        <v>4839</v>
      </c>
      <c r="I1546" s="3" t="s">
        <v>8391</v>
      </c>
      <c r="J1546" s="3" t="s">
        <v>466</v>
      </c>
      <c r="K1546" s="3"/>
      <c r="L1546" s="3"/>
      <c r="M1546" s="4"/>
      <c r="N1546" s="3" t="s">
        <v>37</v>
      </c>
      <c r="O1546" s="3" t="s">
        <v>52</v>
      </c>
      <c r="P1546" s="5">
        <v>10</v>
      </c>
      <c r="Q1546" s="5">
        <v>94</v>
      </c>
      <c r="R1546" s="5">
        <v>11</v>
      </c>
      <c r="S1546" s="5">
        <v>101</v>
      </c>
    </row>
    <row r="1547" spans="1:19" ht="28" x14ac:dyDescent="0.15">
      <c r="A1547" s="2">
        <f>HYPERLINK("https://open-school.uspishnemisto.com.ua/school/70704/", 70704)</f>
        <v>70704</v>
      </c>
      <c r="B1547" s="3" t="s">
        <v>8392</v>
      </c>
      <c r="C1547" s="3" t="s">
        <v>31</v>
      </c>
      <c r="D1547" s="3" t="s">
        <v>175</v>
      </c>
      <c r="E1547" s="4" t="s">
        <v>22</v>
      </c>
      <c r="F1547" s="4" t="s">
        <v>8389</v>
      </c>
      <c r="G1547" s="4" t="s">
        <v>8393</v>
      </c>
      <c r="H1547" s="3" t="s">
        <v>4839</v>
      </c>
      <c r="I1547" s="3" t="s">
        <v>8394</v>
      </c>
      <c r="J1547" s="3" t="s">
        <v>8395</v>
      </c>
      <c r="K1547" s="3" t="s">
        <v>8396</v>
      </c>
      <c r="L1547" s="3"/>
      <c r="M1547" s="4"/>
      <c r="N1547" s="3" t="s">
        <v>37</v>
      </c>
      <c r="O1547" s="3" t="s">
        <v>52</v>
      </c>
      <c r="P1547" s="5">
        <v>9</v>
      </c>
      <c r="Q1547" s="5">
        <v>79</v>
      </c>
      <c r="R1547" s="5">
        <v>9</v>
      </c>
      <c r="S1547" s="5">
        <v>72</v>
      </c>
    </row>
    <row r="1548" spans="1:19" ht="28" x14ac:dyDescent="0.15">
      <c r="A1548" s="2">
        <f>HYPERLINK("https://open-school.uspishnemisto.com.ua/school/70705/", 70705)</f>
        <v>70705</v>
      </c>
      <c r="B1548" s="3" t="s">
        <v>8397</v>
      </c>
      <c r="C1548" s="3" t="s">
        <v>31</v>
      </c>
      <c r="D1548" s="3" t="s">
        <v>175</v>
      </c>
      <c r="E1548" s="4" t="s">
        <v>22</v>
      </c>
      <c r="F1548" s="4" t="s">
        <v>8398</v>
      </c>
      <c r="G1548" s="4" t="s">
        <v>8399</v>
      </c>
      <c r="H1548" s="3" t="s">
        <v>4839</v>
      </c>
      <c r="I1548" s="3" t="s">
        <v>8400</v>
      </c>
      <c r="J1548" s="3" t="s">
        <v>8401</v>
      </c>
      <c r="K1548" s="3" t="s">
        <v>8402</v>
      </c>
      <c r="L1548" s="3"/>
      <c r="M1548" s="4"/>
      <c r="N1548" s="3" t="s">
        <v>37</v>
      </c>
      <c r="O1548" s="3" t="s">
        <v>46</v>
      </c>
      <c r="P1548" s="5">
        <v>7</v>
      </c>
      <c r="Q1548" s="5">
        <v>51</v>
      </c>
      <c r="R1548" s="5">
        <v>7</v>
      </c>
      <c r="S1548" s="5">
        <v>51</v>
      </c>
    </row>
    <row r="1549" spans="1:19" ht="28" x14ac:dyDescent="0.15">
      <c r="A1549" s="2">
        <f>HYPERLINK("https://open-school.uspishnemisto.com.ua/school/70706/", 70706)</f>
        <v>70706</v>
      </c>
      <c r="B1549" s="3" t="s">
        <v>8403</v>
      </c>
      <c r="C1549" s="3" t="s">
        <v>40</v>
      </c>
      <c r="D1549" s="3" t="s">
        <v>32</v>
      </c>
      <c r="E1549" s="4" t="s">
        <v>22</v>
      </c>
      <c r="F1549" s="4" t="s">
        <v>8398</v>
      </c>
      <c r="G1549" s="4" t="s">
        <v>8399</v>
      </c>
      <c r="H1549" s="3" t="s">
        <v>4839</v>
      </c>
      <c r="I1549" s="3" t="s">
        <v>8400</v>
      </c>
      <c r="J1549" s="3" t="s">
        <v>8404</v>
      </c>
      <c r="K1549" s="3" t="s">
        <v>8405</v>
      </c>
      <c r="L1549" s="3"/>
      <c r="M1549" s="4"/>
      <c r="N1549" s="3" t="s">
        <v>37</v>
      </c>
      <c r="O1549" s="3" t="s">
        <v>237</v>
      </c>
      <c r="P1549" s="5">
        <v>27</v>
      </c>
      <c r="Q1549" s="5">
        <v>608</v>
      </c>
      <c r="R1549" s="5">
        <v>24</v>
      </c>
      <c r="S1549" s="5">
        <v>583</v>
      </c>
    </row>
    <row r="1550" spans="1:19" ht="28" x14ac:dyDescent="0.15">
      <c r="A1550" s="2">
        <f>HYPERLINK("https://open-school.uspishnemisto.com.ua/school/70707/", 70707)</f>
        <v>70707</v>
      </c>
      <c r="B1550" s="3" t="s">
        <v>8406</v>
      </c>
      <c r="C1550" s="3" t="s">
        <v>54</v>
      </c>
      <c r="D1550" s="3" t="s">
        <v>32</v>
      </c>
      <c r="E1550" s="4" t="s">
        <v>22</v>
      </c>
      <c r="F1550" s="4" t="s">
        <v>8407</v>
      </c>
      <c r="G1550" s="4" t="s">
        <v>8408</v>
      </c>
      <c r="H1550" s="3" t="s">
        <v>4839</v>
      </c>
      <c r="I1550" s="3" t="s">
        <v>8409</v>
      </c>
      <c r="J1550" s="3" t="s">
        <v>3472</v>
      </c>
      <c r="K1550" s="3" t="s">
        <v>8410</v>
      </c>
      <c r="L1550" s="3"/>
      <c r="M1550" s="4"/>
      <c r="N1550" s="3" t="s">
        <v>37</v>
      </c>
      <c r="O1550" s="3" t="s">
        <v>46</v>
      </c>
      <c r="P1550" s="5">
        <v>11</v>
      </c>
      <c r="Q1550" s="5">
        <v>192</v>
      </c>
      <c r="R1550" s="5">
        <v>11</v>
      </c>
      <c r="S1550" s="5">
        <v>192</v>
      </c>
    </row>
    <row r="1551" spans="1:19" ht="28" x14ac:dyDescent="0.15">
      <c r="A1551" s="2">
        <f>HYPERLINK("https://open-school.uspishnemisto.com.ua/school/70708/", 70708)</f>
        <v>70708</v>
      </c>
      <c r="B1551" s="3" t="s">
        <v>8411</v>
      </c>
      <c r="C1551" s="3" t="s">
        <v>31</v>
      </c>
      <c r="D1551" s="3" t="s">
        <v>175</v>
      </c>
      <c r="E1551" s="4" t="s">
        <v>22</v>
      </c>
      <c r="F1551" s="4" t="s">
        <v>8412</v>
      </c>
      <c r="G1551" s="4" t="s">
        <v>8413</v>
      </c>
      <c r="H1551" s="3" t="s">
        <v>4839</v>
      </c>
      <c r="I1551" s="3" t="s">
        <v>8414</v>
      </c>
      <c r="J1551" s="3" t="s">
        <v>2757</v>
      </c>
      <c r="K1551" s="3" t="s">
        <v>8415</v>
      </c>
      <c r="L1551" s="3"/>
      <c r="M1551" s="4"/>
      <c r="N1551" s="3" t="s">
        <v>37</v>
      </c>
      <c r="O1551" s="3" t="s">
        <v>52</v>
      </c>
      <c r="P1551" s="5">
        <v>7</v>
      </c>
      <c r="Q1551" s="5">
        <v>47</v>
      </c>
      <c r="R1551" s="5">
        <v>6</v>
      </c>
      <c r="S1551" s="5">
        <v>41</v>
      </c>
    </row>
    <row r="1552" spans="1:19" ht="28" x14ac:dyDescent="0.15">
      <c r="A1552" s="2">
        <f>HYPERLINK("https://open-school.uspishnemisto.com.ua/school/70709/", 70709)</f>
        <v>70709</v>
      </c>
      <c r="B1552" s="3" t="s">
        <v>8416</v>
      </c>
      <c r="C1552" s="3" t="s">
        <v>31</v>
      </c>
      <c r="D1552" s="3" t="s">
        <v>60</v>
      </c>
      <c r="E1552" s="4" t="s">
        <v>22</v>
      </c>
      <c r="F1552" s="4" t="s">
        <v>8412</v>
      </c>
      <c r="G1552" s="4" t="s">
        <v>8417</v>
      </c>
      <c r="H1552" s="3" t="s">
        <v>4839</v>
      </c>
      <c r="I1552" s="3" t="s">
        <v>8418</v>
      </c>
      <c r="J1552" s="3" t="s">
        <v>8419</v>
      </c>
      <c r="K1552" s="3" t="s">
        <v>8420</v>
      </c>
      <c r="L1552" s="3"/>
      <c r="M1552" s="4"/>
      <c r="N1552" s="3" t="s">
        <v>37</v>
      </c>
      <c r="O1552" s="3" t="s">
        <v>52</v>
      </c>
      <c r="P1552" s="5">
        <v>1</v>
      </c>
      <c r="Q1552" s="5">
        <v>12</v>
      </c>
      <c r="R1552" s="5">
        <v>1</v>
      </c>
      <c r="S1552" s="5">
        <v>12</v>
      </c>
    </row>
    <row r="1553" spans="1:19" ht="28" x14ac:dyDescent="0.15">
      <c r="A1553" s="2">
        <f>HYPERLINK("https://open-school.uspishnemisto.com.ua/school/70710/", 70710)</f>
        <v>70710</v>
      </c>
      <c r="B1553" s="3" t="s">
        <v>8421</v>
      </c>
      <c r="C1553" s="3" t="s">
        <v>31</v>
      </c>
      <c r="D1553" s="3" t="s">
        <v>175</v>
      </c>
      <c r="E1553" s="4" t="s">
        <v>22</v>
      </c>
      <c r="F1553" s="4" t="s">
        <v>8412</v>
      </c>
      <c r="G1553" s="4" t="s">
        <v>8422</v>
      </c>
      <c r="H1553" s="3" t="s">
        <v>4839</v>
      </c>
      <c r="I1553" s="3" t="s">
        <v>8423</v>
      </c>
      <c r="J1553" s="3" t="s">
        <v>6191</v>
      </c>
      <c r="K1553" s="3" t="s">
        <v>8424</v>
      </c>
      <c r="L1553" s="3"/>
      <c r="M1553" s="4"/>
      <c r="N1553" s="3" t="s">
        <v>37</v>
      </c>
      <c r="O1553" s="3" t="s">
        <v>52</v>
      </c>
      <c r="P1553" s="5">
        <v>7</v>
      </c>
      <c r="Q1553" s="5">
        <v>59</v>
      </c>
      <c r="R1553" s="5">
        <v>6</v>
      </c>
      <c r="S1553" s="5">
        <v>61</v>
      </c>
    </row>
    <row r="1554" spans="1:19" ht="28" x14ac:dyDescent="0.15">
      <c r="A1554" s="2">
        <f>HYPERLINK("https://open-school.uspishnemisto.com.ua/school/70711/", 70711)</f>
        <v>70711</v>
      </c>
      <c r="B1554" s="3" t="s">
        <v>8425</v>
      </c>
      <c r="C1554" s="3" t="s">
        <v>31</v>
      </c>
      <c r="D1554" s="3" t="s">
        <v>32</v>
      </c>
      <c r="E1554" s="4" t="s">
        <v>22</v>
      </c>
      <c r="F1554" s="4" t="s">
        <v>8426</v>
      </c>
      <c r="G1554" s="4" t="s">
        <v>8427</v>
      </c>
      <c r="H1554" s="3" t="s">
        <v>4839</v>
      </c>
      <c r="I1554" s="3" t="s">
        <v>8428</v>
      </c>
      <c r="J1554" s="3" t="s">
        <v>8429</v>
      </c>
      <c r="K1554" s="3" t="s">
        <v>8430</v>
      </c>
      <c r="L1554" s="3"/>
      <c r="M1554" s="4"/>
      <c r="N1554" s="3" t="s">
        <v>37</v>
      </c>
      <c r="O1554" s="3" t="s">
        <v>46</v>
      </c>
      <c r="P1554" s="5">
        <v>11</v>
      </c>
      <c r="Q1554" s="5">
        <v>141</v>
      </c>
      <c r="R1554" s="5">
        <v>10</v>
      </c>
      <c r="S1554" s="5">
        <v>137</v>
      </c>
    </row>
    <row r="1555" spans="1:19" ht="28" x14ac:dyDescent="0.15">
      <c r="A1555" s="2">
        <f>HYPERLINK("https://open-school.uspishnemisto.com.ua/school/70712/", 70712)</f>
        <v>70712</v>
      </c>
      <c r="B1555" s="3" t="s">
        <v>8431</v>
      </c>
      <c r="C1555" s="3" t="s">
        <v>31</v>
      </c>
      <c r="D1555" s="3" t="s">
        <v>175</v>
      </c>
      <c r="E1555" s="4" t="s">
        <v>22</v>
      </c>
      <c r="F1555" s="4" t="s">
        <v>8432</v>
      </c>
      <c r="G1555" s="4" t="s">
        <v>8433</v>
      </c>
      <c r="H1555" s="3" t="s">
        <v>4839</v>
      </c>
      <c r="I1555" s="3" t="s">
        <v>8434</v>
      </c>
      <c r="J1555" s="3" t="s">
        <v>8435</v>
      </c>
      <c r="K1555" s="3" t="s">
        <v>8436</v>
      </c>
      <c r="L1555" s="3"/>
      <c r="M1555" s="4"/>
      <c r="N1555" s="3" t="s">
        <v>37</v>
      </c>
      <c r="O1555" s="3" t="s">
        <v>618</v>
      </c>
      <c r="P1555" s="5">
        <v>6</v>
      </c>
      <c r="Q1555" s="5">
        <v>49</v>
      </c>
      <c r="R1555" s="5">
        <v>7</v>
      </c>
      <c r="S1555" s="5">
        <v>49</v>
      </c>
    </row>
    <row r="1556" spans="1:19" ht="28" x14ac:dyDescent="0.15">
      <c r="A1556" s="2">
        <f>HYPERLINK("https://open-school.uspishnemisto.com.ua/school/70713/", 70713)</f>
        <v>70713</v>
      </c>
      <c r="B1556" s="3" t="s">
        <v>8437</v>
      </c>
      <c r="C1556" s="3" t="s">
        <v>31</v>
      </c>
      <c r="D1556" s="3" t="s">
        <v>32</v>
      </c>
      <c r="E1556" s="4" t="s">
        <v>22</v>
      </c>
      <c r="F1556" s="4" t="s">
        <v>8438</v>
      </c>
      <c r="G1556" s="4" t="s">
        <v>8439</v>
      </c>
      <c r="H1556" s="3" t="s">
        <v>4839</v>
      </c>
      <c r="I1556" s="3" t="s">
        <v>8440</v>
      </c>
      <c r="J1556" s="3" t="s">
        <v>6598</v>
      </c>
      <c r="K1556" s="3" t="s">
        <v>8441</v>
      </c>
      <c r="L1556" s="3" t="s">
        <v>8442</v>
      </c>
      <c r="M1556" s="4"/>
      <c r="N1556" s="3" t="s">
        <v>37</v>
      </c>
      <c r="O1556" s="3" t="s">
        <v>46</v>
      </c>
      <c r="P1556" s="5">
        <v>10</v>
      </c>
      <c r="Q1556" s="5">
        <v>102</v>
      </c>
      <c r="R1556" s="5">
        <v>11</v>
      </c>
      <c r="S1556" s="5">
        <v>115</v>
      </c>
    </row>
    <row r="1557" spans="1:19" ht="28" x14ac:dyDescent="0.15">
      <c r="A1557" s="2">
        <f>HYPERLINK("https://open-school.uspishnemisto.com.ua/school/70714/", 70714)</f>
        <v>70714</v>
      </c>
      <c r="B1557" s="3" t="s">
        <v>8443</v>
      </c>
      <c r="C1557" s="3" t="s">
        <v>31</v>
      </c>
      <c r="D1557" s="3" t="s">
        <v>175</v>
      </c>
      <c r="E1557" s="4" t="s">
        <v>22</v>
      </c>
      <c r="F1557" s="4" t="s">
        <v>8444</v>
      </c>
      <c r="G1557" s="4" t="s">
        <v>8445</v>
      </c>
      <c r="H1557" s="3" t="s">
        <v>4839</v>
      </c>
      <c r="I1557" s="3" t="s">
        <v>8446</v>
      </c>
      <c r="J1557" s="3" t="s">
        <v>8447</v>
      </c>
      <c r="K1557" s="3" t="s">
        <v>8448</v>
      </c>
      <c r="L1557" s="3"/>
      <c r="M1557" s="4"/>
      <c r="N1557" s="3" t="s">
        <v>37</v>
      </c>
      <c r="O1557" s="3" t="s">
        <v>46</v>
      </c>
      <c r="P1557" s="5">
        <v>8</v>
      </c>
      <c r="Q1557" s="5">
        <v>58</v>
      </c>
      <c r="R1557" s="5">
        <v>8</v>
      </c>
      <c r="S1557" s="5">
        <v>58</v>
      </c>
    </row>
    <row r="1558" spans="1:19" ht="28" x14ac:dyDescent="0.15">
      <c r="A1558" s="2">
        <f>HYPERLINK("https://open-school.uspishnemisto.com.ua/school/70715/", 70715)</f>
        <v>70715</v>
      </c>
      <c r="B1558" s="3" t="s">
        <v>8449</v>
      </c>
      <c r="C1558" s="3" t="s">
        <v>31</v>
      </c>
      <c r="D1558" s="3" t="s">
        <v>32</v>
      </c>
      <c r="E1558" s="4" t="s">
        <v>22</v>
      </c>
      <c r="F1558" s="4" t="s">
        <v>8450</v>
      </c>
      <c r="G1558" s="4" t="s">
        <v>8451</v>
      </c>
      <c r="H1558" s="3" t="s">
        <v>4839</v>
      </c>
      <c r="I1558" s="3" t="s">
        <v>8452</v>
      </c>
      <c r="J1558" s="3" t="s">
        <v>8453</v>
      </c>
      <c r="K1558" s="3" t="s">
        <v>8454</v>
      </c>
      <c r="L1558" s="3" t="s">
        <v>8455</v>
      </c>
      <c r="M1558" s="4"/>
      <c r="N1558" s="3" t="s">
        <v>37</v>
      </c>
      <c r="O1558" s="3" t="s">
        <v>52</v>
      </c>
      <c r="P1558" s="5">
        <v>11</v>
      </c>
      <c r="Q1558" s="5">
        <v>174</v>
      </c>
      <c r="R1558" s="5">
        <v>11</v>
      </c>
      <c r="S1558" s="5">
        <v>167</v>
      </c>
    </row>
    <row r="1559" spans="1:19" ht="28" x14ac:dyDescent="0.15">
      <c r="A1559" s="2">
        <f>HYPERLINK("https://open-school.uspishnemisto.com.ua/school/70716/", 70716)</f>
        <v>70716</v>
      </c>
      <c r="B1559" s="3" t="s">
        <v>8456</v>
      </c>
      <c r="C1559" s="3" t="s">
        <v>31</v>
      </c>
      <c r="D1559" s="3" t="s">
        <v>32</v>
      </c>
      <c r="E1559" s="4" t="s">
        <v>22</v>
      </c>
      <c r="F1559" s="4" t="s">
        <v>8457</v>
      </c>
      <c r="G1559" s="4" t="s">
        <v>8458</v>
      </c>
      <c r="H1559" s="3" t="s">
        <v>4839</v>
      </c>
      <c r="I1559" s="3" t="s">
        <v>8459</v>
      </c>
      <c r="J1559" s="3" t="s">
        <v>2191</v>
      </c>
      <c r="K1559" s="3" t="s">
        <v>8460</v>
      </c>
      <c r="L1559" s="3"/>
      <c r="M1559" s="4"/>
      <c r="N1559" s="3" t="s">
        <v>37</v>
      </c>
      <c r="O1559" s="3" t="s">
        <v>618</v>
      </c>
      <c r="P1559" s="5">
        <v>9</v>
      </c>
      <c r="Q1559" s="5">
        <v>68</v>
      </c>
      <c r="R1559" s="5">
        <v>10</v>
      </c>
      <c r="S1559" s="5">
        <v>71</v>
      </c>
    </row>
    <row r="1560" spans="1:19" ht="28" x14ac:dyDescent="0.15">
      <c r="A1560" s="2">
        <f>HYPERLINK("https://open-school.uspishnemisto.com.ua/school/70717/", 70717)</f>
        <v>70717</v>
      </c>
      <c r="B1560" s="3" t="s">
        <v>8461</v>
      </c>
      <c r="C1560" s="3" t="s">
        <v>31</v>
      </c>
      <c r="D1560" s="3" t="s">
        <v>175</v>
      </c>
      <c r="E1560" s="4" t="s">
        <v>22</v>
      </c>
      <c r="F1560" s="4" t="s">
        <v>8462</v>
      </c>
      <c r="G1560" s="4" t="s">
        <v>8463</v>
      </c>
      <c r="H1560" s="3" t="s">
        <v>4839</v>
      </c>
      <c r="I1560" s="3" t="s">
        <v>8464</v>
      </c>
      <c r="J1560" s="3" t="s">
        <v>8465</v>
      </c>
      <c r="K1560" s="3" t="s">
        <v>8466</v>
      </c>
      <c r="L1560" s="3"/>
      <c r="M1560" s="4"/>
      <c r="N1560" s="3" t="s">
        <v>37</v>
      </c>
      <c r="O1560" s="3" t="s">
        <v>52</v>
      </c>
      <c r="P1560" s="5">
        <v>4</v>
      </c>
      <c r="Q1560" s="5">
        <v>32</v>
      </c>
      <c r="R1560" s="5">
        <v>4</v>
      </c>
      <c r="S1560" s="5">
        <v>32</v>
      </c>
    </row>
    <row r="1561" spans="1:19" ht="28" x14ac:dyDescent="0.15">
      <c r="A1561" s="2">
        <f>HYPERLINK("https://open-school.uspishnemisto.com.ua/school/70718/", 70718)</f>
        <v>70718</v>
      </c>
      <c r="B1561" s="3" t="s">
        <v>8467</v>
      </c>
      <c r="C1561" s="3" t="s">
        <v>31</v>
      </c>
      <c r="D1561" s="3" t="s">
        <v>175</v>
      </c>
      <c r="E1561" s="4" t="s">
        <v>22</v>
      </c>
      <c r="F1561" s="4" t="s">
        <v>8462</v>
      </c>
      <c r="G1561" s="4" t="s">
        <v>8468</v>
      </c>
      <c r="H1561" s="3" t="s">
        <v>4839</v>
      </c>
      <c r="I1561" s="3" t="s">
        <v>8469</v>
      </c>
      <c r="J1561" s="3" t="s">
        <v>792</v>
      </c>
      <c r="K1561" s="3"/>
      <c r="L1561" s="3"/>
      <c r="M1561" s="4"/>
      <c r="N1561" s="3" t="s">
        <v>37</v>
      </c>
      <c r="O1561" s="3" t="s">
        <v>52</v>
      </c>
      <c r="P1561" s="5">
        <v>2</v>
      </c>
      <c r="Q1561" s="5">
        <v>27</v>
      </c>
      <c r="R1561" s="5">
        <v>3</v>
      </c>
      <c r="S1561" s="5">
        <v>31</v>
      </c>
    </row>
    <row r="1562" spans="1:19" ht="28" x14ac:dyDescent="0.15">
      <c r="A1562" s="2">
        <f>HYPERLINK("https://open-school.uspishnemisto.com.ua/school/70719/", 70719)</f>
        <v>70719</v>
      </c>
      <c r="B1562" s="3" t="s">
        <v>8470</v>
      </c>
      <c r="C1562" s="3" t="s">
        <v>31</v>
      </c>
      <c r="D1562" s="3" t="s">
        <v>175</v>
      </c>
      <c r="E1562" s="4" t="s">
        <v>22</v>
      </c>
      <c r="F1562" s="4" t="s">
        <v>8398</v>
      </c>
      <c r="G1562" s="4" t="s">
        <v>8471</v>
      </c>
      <c r="H1562" s="3" t="s">
        <v>4839</v>
      </c>
      <c r="I1562" s="3" t="s">
        <v>8472</v>
      </c>
      <c r="J1562" s="3" t="s">
        <v>634</v>
      </c>
      <c r="K1562" s="3"/>
      <c r="L1562" s="3"/>
      <c r="M1562" s="4"/>
      <c r="N1562" s="3" t="s">
        <v>37</v>
      </c>
      <c r="O1562" s="3" t="s">
        <v>52</v>
      </c>
      <c r="P1562" s="5">
        <v>5</v>
      </c>
      <c r="Q1562" s="5">
        <v>37</v>
      </c>
      <c r="R1562" s="5">
        <v>6</v>
      </c>
      <c r="S1562" s="5">
        <v>40</v>
      </c>
    </row>
    <row r="1563" spans="1:19" ht="28" x14ac:dyDescent="0.15">
      <c r="A1563" s="2">
        <f>HYPERLINK("https://open-school.uspishnemisto.com.ua/school/70720/", 70720)</f>
        <v>70720</v>
      </c>
      <c r="B1563" s="3" t="s">
        <v>8473</v>
      </c>
      <c r="C1563" s="3" t="s">
        <v>31</v>
      </c>
      <c r="D1563" s="3" t="s">
        <v>32</v>
      </c>
      <c r="E1563" s="4" t="s">
        <v>22</v>
      </c>
      <c r="F1563" s="4" t="s">
        <v>8474</v>
      </c>
      <c r="G1563" s="4" t="s">
        <v>8475</v>
      </c>
      <c r="H1563" s="3" t="s">
        <v>4839</v>
      </c>
      <c r="I1563" s="3" t="s">
        <v>8476</v>
      </c>
      <c r="J1563" s="3" t="s">
        <v>8477</v>
      </c>
      <c r="K1563" s="3" t="s">
        <v>8478</v>
      </c>
      <c r="L1563" s="3"/>
      <c r="M1563" s="4"/>
      <c r="N1563" s="3" t="s">
        <v>37</v>
      </c>
      <c r="O1563" s="3" t="s">
        <v>52</v>
      </c>
      <c r="P1563" s="5">
        <v>14</v>
      </c>
      <c r="Q1563" s="5">
        <v>308</v>
      </c>
      <c r="R1563" s="5">
        <v>15</v>
      </c>
      <c r="S1563" s="5">
        <v>315</v>
      </c>
    </row>
    <row r="1564" spans="1:19" ht="28" x14ac:dyDescent="0.15">
      <c r="A1564" s="2">
        <f>HYPERLINK("https://open-school.uspishnemisto.com.ua/school/70721/", 70721)</f>
        <v>70721</v>
      </c>
      <c r="B1564" s="3" t="s">
        <v>8479</v>
      </c>
      <c r="C1564" s="3" t="s">
        <v>31</v>
      </c>
      <c r="D1564" s="3" t="s">
        <v>175</v>
      </c>
      <c r="E1564" s="4" t="s">
        <v>22</v>
      </c>
      <c r="F1564" s="4" t="s">
        <v>8480</v>
      </c>
      <c r="G1564" s="4" t="s">
        <v>8481</v>
      </c>
      <c r="H1564" s="3" t="s">
        <v>4839</v>
      </c>
      <c r="I1564" s="3" t="s">
        <v>8482</v>
      </c>
      <c r="J1564" s="3" t="s">
        <v>2841</v>
      </c>
      <c r="K1564" s="3" t="s">
        <v>8483</v>
      </c>
      <c r="L1564" s="3"/>
      <c r="M1564" s="4"/>
      <c r="N1564" s="3" t="s">
        <v>37</v>
      </c>
      <c r="O1564" s="3" t="s">
        <v>52</v>
      </c>
      <c r="P1564" s="5">
        <v>8</v>
      </c>
      <c r="Q1564" s="5">
        <v>54</v>
      </c>
      <c r="R1564" s="5">
        <v>9</v>
      </c>
      <c r="S1564" s="5">
        <v>59</v>
      </c>
    </row>
    <row r="1565" spans="1:19" ht="28" x14ac:dyDescent="0.15">
      <c r="A1565" s="2">
        <f>HYPERLINK("https://open-school.uspishnemisto.com.ua/school/120002/", 120002)</f>
        <v>120002</v>
      </c>
      <c r="B1565" s="3" t="s">
        <v>8484</v>
      </c>
      <c r="C1565" s="3" t="s">
        <v>48</v>
      </c>
      <c r="D1565" s="3" t="s">
        <v>32</v>
      </c>
      <c r="E1565" s="4" t="s">
        <v>22</v>
      </c>
      <c r="F1565" s="4" t="s">
        <v>8485</v>
      </c>
      <c r="G1565" s="4" t="s">
        <v>8486</v>
      </c>
      <c r="H1565" s="3" t="s">
        <v>8487</v>
      </c>
      <c r="I1565" s="3" t="s">
        <v>8488</v>
      </c>
      <c r="J1565" s="3" t="s">
        <v>8489</v>
      </c>
      <c r="K1565" s="3" t="s">
        <v>8490</v>
      </c>
      <c r="L1565" s="3" t="s">
        <v>8491</v>
      </c>
      <c r="M1565" s="4" t="s">
        <v>8492</v>
      </c>
      <c r="N1565" s="3" t="s">
        <v>37</v>
      </c>
      <c r="O1565" s="3" t="s">
        <v>52</v>
      </c>
      <c r="P1565" s="5">
        <v>9</v>
      </c>
      <c r="Q1565" s="5">
        <v>167</v>
      </c>
      <c r="R1565" s="5">
        <v>9</v>
      </c>
      <c r="S1565" s="5">
        <v>170</v>
      </c>
    </row>
    <row r="1566" spans="1:19" ht="56" x14ac:dyDescent="0.15">
      <c r="A1566" s="2">
        <f>HYPERLINK("https://open-school.uspishnemisto.com.ua/school/120003/", 120003)</f>
        <v>120003</v>
      </c>
      <c r="B1566" s="3" t="s">
        <v>8493</v>
      </c>
      <c r="C1566" s="3" t="s">
        <v>54</v>
      </c>
      <c r="D1566" s="3" t="s">
        <v>60</v>
      </c>
      <c r="E1566" s="4" t="s">
        <v>22</v>
      </c>
      <c r="F1566" s="4" t="s">
        <v>8494</v>
      </c>
      <c r="G1566" s="4" t="s">
        <v>8486</v>
      </c>
      <c r="H1566" s="3" t="s">
        <v>8487</v>
      </c>
      <c r="I1566" s="3" t="s">
        <v>8488</v>
      </c>
      <c r="J1566" s="3" t="s">
        <v>8495</v>
      </c>
      <c r="K1566" s="3" t="s">
        <v>8496</v>
      </c>
      <c r="L1566" s="3" t="s">
        <v>8497</v>
      </c>
      <c r="M1566" s="4"/>
      <c r="N1566" s="3" t="s">
        <v>37</v>
      </c>
      <c r="O1566" s="3" t="s">
        <v>52</v>
      </c>
      <c r="P1566" s="5">
        <v>7</v>
      </c>
      <c r="Q1566" s="5">
        <v>173</v>
      </c>
      <c r="R1566" s="5">
        <v>7</v>
      </c>
      <c r="S1566" s="5">
        <v>176</v>
      </c>
    </row>
    <row r="1567" spans="1:19" ht="28" x14ac:dyDescent="0.15">
      <c r="A1567" s="2">
        <f>HYPERLINK("https://open-school.uspishnemisto.com.ua/school/120004/", 120004)</f>
        <v>120004</v>
      </c>
      <c r="B1567" s="3" t="s">
        <v>8498</v>
      </c>
      <c r="C1567" s="3" t="s">
        <v>20</v>
      </c>
      <c r="D1567" s="3" t="s">
        <v>21</v>
      </c>
      <c r="E1567" s="4" t="s">
        <v>22</v>
      </c>
      <c r="F1567" s="4" t="s">
        <v>8499</v>
      </c>
      <c r="G1567" s="4" t="s">
        <v>8486</v>
      </c>
      <c r="H1567" s="3" t="s">
        <v>8487</v>
      </c>
      <c r="I1567" s="3" t="s">
        <v>8488</v>
      </c>
      <c r="J1567" s="3" t="s">
        <v>8500</v>
      </c>
      <c r="K1567" s="3" t="s">
        <v>8501</v>
      </c>
      <c r="L1567" s="3" t="s">
        <v>8502</v>
      </c>
      <c r="M1567" s="4"/>
      <c r="N1567" s="3"/>
      <c r="O1567" s="3"/>
      <c r="P1567" s="5">
        <v>0</v>
      </c>
      <c r="Q1567" s="5">
        <v>0</v>
      </c>
      <c r="R1567" s="5"/>
      <c r="S1567" s="5"/>
    </row>
    <row r="1568" spans="1:19" ht="56" x14ac:dyDescent="0.15">
      <c r="A1568" s="2">
        <f>HYPERLINK("https://open-school.uspishnemisto.com.ua/school/120005/", 120005)</f>
        <v>120005</v>
      </c>
      <c r="B1568" s="3" t="s">
        <v>8503</v>
      </c>
      <c r="C1568" s="3" t="s">
        <v>181</v>
      </c>
      <c r="D1568" s="3" t="s">
        <v>32</v>
      </c>
      <c r="E1568" s="4" t="s">
        <v>22</v>
      </c>
      <c r="F1568" s="4" t="s">
        <v>8485</v>
      </c>
      <c r="G1568" s="4" t="s">
        <v>8486</v>
      </c>
      <c r="H1568" s="3" t="s">
        <v>8487</v>
      </c>
      <c r="I1568" s="3" t="s">
        <v>8488</v>
      </c>
      <c r="J1568" s="3" t="s">
        <v>8504</v>
      </c>
      <c r="K1568" s="3" t="s">
        <v>8505</v>
      </c>
      <c r="L1568" s="3" t="s">
        <v>8506</v>
      </c>
      <c r="M1568" s="4" t="s">
        <v>8507</v>
      </c>
      <c r="N1568" s="3" t="s">
        <v>37</v>
      </c>
      <c r="O1568" s="3" t="s">
        <v>52</v>
      </c>
      <c r="P1568" s="5">
        <v>25</v>
      </c>
      <c r="Q1568" s="5">
        <v>259</v>
      </c>
      <c r="R1568" s="5">
        <v>23</v>
      </c>
      <c r="S1568" s="5">
        <v>237</v>
      </c>
    </row>
    <row r="1569" spans="1:19" ht="28" x14ac:dyDescent="0.15">
      <c r="A1569" s="2">
        <f>HYPERLINK("https://open-school.uspishnemisto.com.ua/school/120006/", 120006)</f>
        <v>120006</v>
      </c>
      <c r="B1569" s="3" t="s">
        <v>8508</v>
      </c>
      <c r="C1569" s="3" t="s">
        <v>20</v>
      </c>
      <c r="D1569" s="3" t="s">
        <v>21</v>
      </c>
      <c r="E1569" s="4" t="s">
        <v>22</v>
      </c>
      <c r="F1569" s="4" t="s">
        <v>8509</v>
      </c>
      <c r="G1569" s="4" t="s">
        <v>8486</v>
      </c>
      <c r="H1569" s="3" t="s">
        <v>8487</v>
      </c>
      <c r="I1569" s="3" t="s">
        <v>8488</v>
      </c>
      <c r="J1569" s="3" t="s">
        <v>8510</v>
      </c>
      <c r="K1569" s="3" t="s">
        <v>8511</v>
      </c>
      <c r="L1569" s="3"/>
      <c r="M1569" s="4"/>
      <c r="N1569" s="3"/>
      <c r="O1569" s="3"/>
      <c r="P1569" s="5">
        <v>0</v>
      </c>
      <c r="Q1569" s="5">
        <v>0</v>
      </c>
      <c r="R1569" s="5"/>
      <c r="S1569" s="5"/>
    </row>
    <row r="1570" spans="1:19" ht="42" x14ac:dyDescent="0.15">
      <c r="A1570" s="2">
        <f>HYPERLINK("https://open-school.uspishnemisto.com.ua/school/120009/", 120009)</f>
        <v>120009</v>
      </c>
      <c r="B1570" s="3" t="s">
        <v>8512</v>
      </c>
      <c r="C1570" s="3" t="s">
        <v>181</v>
      </c>
      <c r="D1570" s="3" t="s">
        <v>175</v>
      </c>
      <c r="E1570" s="4" t="s">
        <v>22</v>
      </c>
      <c r="F1570" s="4" t="s">
        <v>8513</v>
      </c>
      <c r="G1570" s="4" t="s">
        <v>8486</v>
      </c>
      <c r="H1570" s="3" t="s">
        <v>8487</v>
      </c>
      <c r="I1570" s="3" t="s">
        <v>8488</v>
      </c>
      <c r="J1570" s="3" t="s">
        <v>8514</v>
      </c>
      <c r="K1570" s="3" t="s">
        <v>8515</v>
      </c>
      <c r="L1570" s="3"/>
      <c r="M1570" s="4" t="s">
        <v>8516</v>
      </c>
      <c r="N1570" s="3" t="s">
        <v>128</v>
      </c>
      <c r="O1570" s="3"/>
      <c r="P1570" s="5">
        <v>16</v>
      </c>
      <c r="Q1570" s="5">
        <v>194</v>
      </c>
      <c r="R1570" s="5">
        <v>16</v>
      </c>
      <c r="S1570" s="5">
        <v>205</v>
      </c>
    </row>
    <row r="1571" spans="1:19" ht="42" x14ac:dyDescent="0.15">
      <c r="A1571" s="2">
        <f>HYPERLINK("https://open-school.uspishnemisto.com.ua/school/120010/", 120010)</f>
        <v>120010</v>
      </c>
      <c r="B1571" s="3" t="s">
        <v>8517</v>
      </c>
      <c r="C1571" s="3" t="s">
        <v>181</v>
      </c>
      <c r="D1571" s="3" t="s">
        <v>32</v>
      </c>
      <c r="E1571" s="4" t="s">
        <v>22</v>
      </c>
      <c r="F1571" s="4" t="s">
        <v>8518</v>
      </c>
      <c r="G1571" s="4" t="s">
        <v>8486</v>
      </c>
      <c r="H1571" s="3" t="s">
        <v>8487</v>
      </c>
      <c r="I1571" s="3" t="s">
        <v>8488</v>
      </c>
      <c r="J1571" s="3" t="s">
        <v>8519</v>
      </c>
      <c r="K1571" s="3" t="s">
        <v>8520</v>
      </c>
      <c r="L1571" s="3"/>
      <c r="M1571" s="4" t="s">
        <v>8521</v>
      </c>
      <c r="N1571" s="3" t="s">
        <v>37</v>
      </c>
      <c r="O1571" s="3"/>
      <c r="P1571" s="5">
        <v>16</v>
      </c>
      <c r="Q1571" s="5">
        <v>140</v>
      </c>
      <c r="R1571" s="5">
        <v>17</v>
      </c>
      <c r="S1571" s="5">
        <v>142</v>
      </c>
    </row>
    <row r="1572" spans="1:19" ht="28" x14ac:dyDescent="0.15">
      <c r="A1572" s="2">
        <f>HYPERLINK("https://open-school.uspishnemisto.com.ua/school/120011/", 120011)</f>
        <v>120011</v>
      </c>
      <c r="B1572" s="3" t="s">
        <v>8522</v>
      </c>
      <c r="C1572" s="3" t="s">
        <v>48</v>
      </c>
      <c r="D1572" s="3" t="s">
        <v>32</v>
      </c>
      <c r="E1572" s="4" t="s">
        <v>22</v>
      </c>
      <c r="F1572" s="4" t="s">
        <v>8523</v>
      </c>
      <c r="G1572" s="4" t="s">
        <v>8486</v>
      </c>
      <c r="H1572" s="3" t="s">
        <v>8487</v>
      </c>
      <c r="I1572" s="3" t="s">
        <v>8488</v>
      </c>
      <c r="J1572" s="3" t="s">
        <v>8524</v>
      </c>
      <c r="K1572" s="3" t="s">
        <v>8525</v>
      </c>
      <c r="L1572" s="3" t="s">
        <v>8526</v>
      </c>
      <c r="M1572" s="4" t="s">
        <v>8527</v>
      </c>
      <c r="N1572" s="3" t="s">
        <v>37</v>
      </c>
      <c r="O1572" s="3" t="s">
        <v>46</v>
      </c>
      <c r="P1572" s="5">
        <v>6</v>
      </c>
      <c r="Q1572" s="5">
        <v>126</v>
      </c>
      <c r="R1572" s="5">
        <v>7</v>
      </c>
      <c r="S1572" s="5">
        <v>128</v>
      </c>
    </row>
    <row r="1573" spans="1:19" ht="42" x14ac:dyDescent="0.15">
      <c r="A1573" s="2">
        <f>HYPERLINK("https://open-school.uspishnemisto.com.ua/school/120013/", 120013)</f>
        <v>120013</v>
      </c>
      <c r="B1573" s="3" t="s">
        <v>8528</v>
      </c>
      <c r="C1573" s="3" t="s">
        <v>54</v>
      </c>
      <c r="D1573" s="3" t="s">
        <v>32</v>
      </c>
      <c r="E1573" s="4" t="s">
        <v>22</v>
      </c>
      <c r="F1573" s="4" t="s">
        <v>8529</v>
      </c>
      <c r="G1573" s="4" t="s">
        <v>8486</v>
      </c>
      <c r="H1573" s="3" t="s">
        <v>8487</v>
      </c>
      <c r="I1573" s="3" t="s">
        <v>8488</v>
      </c>
      <c r="J1573" s="3" t="s">
        <v>8530</v>
      </c>
      <c r="K1573" s="3" t="s">
        <v>8531</v>
      </c>
      <c r="L1573" s="3" t="s">
        <v>8532</v>
      </c>
      <c r="M1573" s="4"/>
      <c r="N1573" s="3" t="s">
        <v>37</v>
      </c>
      <c r="O1573" s="3" t="s">
        <v>721</v>
      </c>
      <c r="P1573" s="5">
        <v>12</v>
      </c>
      <c r="Q1573" s="5">
        <v>296</v>
      </c>
      <c r="R1573" s="5">
        <v>11</v>
      </c>
      <c r="S1573" s="5">
        <v>265</v>
      </c>
    </row>
    <row r="1574" spans="1:19" ht="42" x14ac:dyDescent="0.15">
      <c r="A1574" s="2">
        <f>HYPERLINK("https://open-school.uspishnemisto.com.ua/school/120014/", 120014)</f>
        <v>120014</v>
      </c>
      <c r="B1574" s="3" t="s">
        <v>8533</v>
      </c>
      <c r="C1574" s="3" t="s">
        <v>54</v>
      </c>
      <c r="D1574" s="3" t="s">
        <v>32</v>
      </c>
      <c r="E1574" s="4" t="s">
        <v>22</v>
      </c>
      <c r="F1574" s="4" t="s">
        <v>8534</v>
      </c>
      <c r="G1574" s="4" t="s">
        <v>8486</v>
      </c>
      <c r="H1574" s="3" t="s">
        <v>8487</v>
      </c>
      <c r="I1574" s="3" t="s">
        <v>8488</v>
      </c>
      <c r="J1574" s="3" t="s">
        <v>8535</v>
      </c>
      <c r="K1574" s="3" t="s">
        <v>8536</v>
      </c>
      <c r="L1574" s="3" t="s">
        <v>8537</v>
      </c>
      <c r="M1574" s="4"/>
      <c r="N1574" s="3" t="s">
        <v>37</v>
      </c>
      <c r="O1574" s="3" t="s">
        <v>38</v>
      </c>
      <c r="P1574" s="5">
        <v>9</v>
      </c>
      <c r="Q1574" s="5">
        <v>277</v>
      </c>
      <c r="R1574" s="5">
        <v>10</v>
      </c>
      <c r="S1574" s="5">
        <v>301</v>
      </c>
    </row>
    <row r="1575" spans="1:19" ht="42" x14ac:dyDescent="0.15">
      <c r="A1575" s="2">
        <f>HYPERLINK("https://open-school.uspishnemisto.com.ua/school/120015/", 120015)</f>
        <v>120015</v>
      </c>
      <c r="B1575" s="3" t="s">
        <v>8538</v>
      </c>
      <c r="C1575" s="3" t="s">
        <v>54</v>
      </c>
      <c r="D1575" s="3" t="s">
        <v>32</v>
      </c>
      <c r="E1575" s="4" t="s">
        <v>22</v>
      </c>
      <c r="F1575" s="4" t="s">
        <v>8518</v>
      </c>
      <c r="G1575" s="4" t="s">
        <v>8486</v>
      </c>
      <c r="H1575" s="3" t="s">
        <v>8487</v>
      </c>
      <c r="I1575" s="3" t="s">
        <v>8488</v>
      </c>
      <c r="J1575" s="3" t="s">
        <v>8539</v>
      </c>
      <c r="K1575" s="3" t="s">
        <v>8540</v>
      </c>
      <c r="L1575" s="3" t="s">
        <v>8541</v>
      </c>
      <c r="M1575" s="4"/>
      <c r="N1575" s="3" t="s">
        <v>37</v>
      </c>
      <c r="O1575" s="3" t="s">
        <v>8542</v>
      </c>
      <c r="P1575" s="5">
        <v>25</v>
      </c>
      <c r="Q1575" s="5">
        <v>784</v>
      </c>
      <c r="R1575" s="5">
        <v>24</v>
      </c>
      <c r="S1575" s="5">
        <v>744</v>
      </c>
    </row>
    <row r="1576" spans="1:19" ht="56" x14ac:dyDescent="0.15">
      <c r="A1576" s="2">
        <f>HYPERLINK("https://open-school.uspishnemisto.com.ua/school/120016/", 120016)</f>
        <v>120016</v>
      </c>
      <c r="B1576" s="3" t="s">
        <v>8543</v>
      </c>
      <c r="C1576" s="3" t="s">
        <v>54</v>
      </c>
      <c r="D1576" s="3" t="s">
        <v>32</v>
      </c>
      <c r="E1576" s="4" t="s">
        <v>22</v>
      </c>
      <c r="F1576" s="4" t="s">
        <v>8544</v>
      </c>
      <c r="G1576" s="4" t="s">
        <v>8486</v>
      </c>
      <c r="H1576" s="3" t="s">
        <v>8487</v>
      </c>
      <c r="I1576" s="3" t="s">
        <v>8488</v>
      </c>
      <c r="J1576" s="3" t="s">
        <v>8545</v>
      </c>
      <c r="K1576" s="3" t="s">
        <v>8546</v>
      </c>
      <c r="L1576" s="3" t="s">
        <v>8547</v>
      </c>
      <c r="M1576" s="4"/>
      <c r="N1576" s="3" t="s">
        <v>128</v>
      </c>
      <c r="O1576" s="3" t="s">
        <v>123</v>
      </c>
      <c r="P1576" s="5">
        <v>34</v>
      </c>
      <c r="Q1576" s="5">
        <v>1108</v>
      </c>
      <c r="R1576" s="5">
        <v>33</v>
      </c>
      <c r="S1576" s="5">
        <v>1044</v>
      </c>
    </row>
    <row r="1577" spans="1:19" ht="28" x14ac:dyDescent="0.15">
      <c r="A1577" s="2">
        <f>HYPERLINK("https://open-school.uspishnemisto.com.ua/school/120017/", 120017)</f>
        <v>120017</v>
      </c>
      <c r="B1577" s="3" t="s">
        <v>8548</v>
      </c>
      <c r="C1577" s="3" t="s">
        <v>181</v>
      </c>
      <c r="D1577" s="3" t="s">
        <v>32</v>
      </c>
      <c r="E1577" s="4" t="s">
        <v>22</v>
      </c>
      <c r="F1577" s="4" t="s">
        <v>8549</v>
      </c>
      <c r="G1577" s="4" t="s">
        <v>8486</v>
      </c>
      <c r="H1577" s="3" t="s">
        <v>8487</v>
      </c>
      <c r="I1577" s="3" t="s">
        <v>8488</v>
      </c>
      <c r="J1577" s="3" t="s">
        <v>8550</v>
      </c>
      <c r="K1577" s="3" t="s">
        <v>8551</v>
      </c>
      <c r="L1577" s="3"/>
      <c r="M1577" s="4" t="s">
        <v>8552</v>
      </c>
      <c r="N1577" s="3" t="s">
        <v>37</v>
      </c>
      <c r="O1577" s="3" t="s">
        <v>52</v>
      </c>
      <c r="P1577" s="5">
        <v>18</v>
      </c>
      <c r="Q1577" s="5">
        <v>194</v>
      </c>
      <c r="R1577" s="5">
        <v>18</v>
      </c>
      <c r="S1577" s="5">
        <v>187</v>
      </c>
    </row>
    <row r="1578" spans="1:19" ht="42" x14ac:dyDescent="0.15">
      <c r="A1578" s="2">
        <f>HYPERLINK("https://open-school.uspishnemisto.com.ua/school/120018/", 120018)</f>
        <v>120018</v>
      </c>
      <c r="B1578" s="3" t="s">
        <v>8553</v>
      </c>
      <c r="C1578" s="3" t="s">
        <v>293</v>
      </c>
      <c r="D1578" s="3" t="s">
        <v>175</v>
      </c>
      <c r="E1578" s="4" t="s">
        <v>22</v>
      </c>
      <c r="F1578" s="4" t="s">
        <v>8554</v>
      </c>
      <c r="G1578" s="4" t="s">
        <v>8486</v>
      </c>
      <c r="H1578" s="3" t="s">
        <v>8487</v>
      </c>
      <c r="I1578" s="3" t="s">
        <v>8488</v>
      </c>
      <c r="J1578" s="3" t="s">
        <v>8555</v>
      </c>
      <c r="K1578" s="3" t="s">
        <v>8556</v>
      </c>
      <c r="L1578" s="3"/>
      <c r="M1578" s="4"/>
      <c r="N1578" s="3" t="s">
        <v>967</v>
      </c>
      <c r="O1578" s="3" t="s">
        <v>46</v>
      </c>
      <c r="P1578" s="5">
        <v>10</v>
      </c>
      <c r="Q1578" s="5">
        <v>224</v>
      </c>
      <c r="R1578" s="5"/>
      <c r="S1578" s="5"/>
    </row>
    <row r="1579" spans="1:19" ht="28" x14ac:dyDescent="0.15">
      <c r="A1579" s="2">
        <f>HYPERLINK("https://open-school.uspishnemisto.com.ua/school/120019/", 120019)</f>
        <v>120019</v>
      </c>
      <c r="B1579" s="3" t="s">
        <v>8557</v>
      </c>
      <c r="C1579" s="3" t="s">
        <v>31</v>
      </c>
      <c r="D1579" s="3" t="s">
        <v>32</v>
      </c>
      <c r="E1579" s="4" t="s">
        <v>22</v>
      </c>
      <c r="F1579" s="4" t="s">
        <v>8558</v>
      </c>
      <c r="G1579" s="4" t="s">
        <v>8486</v>
      </c>
      <c r="H1579" s="3" t="s">
        <v>8487</v>
      </c>
      <c r="I1579" s="3" t="s">
        <v>8488</v>
      </c>
      <c r="J1579" s="3" t="s">
        <v>8559</v>
      </c>
      <c r="K1579" s="3" t="s">
        <v>8560</v>
      </c>
      <c r="L1579" s="3" t="s">
        <v>8561</v>
      </c>
      <c r="M1579" s="4"/>
      <c r="N1579" s="3" t="s">
        <v>37</v>
      </c>
      <c r="O1579" s="3" t="s">
        <v>52</v>
      </c>
      <c r="P1579" s="5">
        <v>21</v>
      </c>
      <c r="Q1579" s="5">
        <v>578</v>
      </c>
      <c r="R1579" s="5">
        <v>21</v>
      </c>
      <c r="S1579" s="5">
        <v>565</v>
      </c>
    </row>
    <row r="1580" spans="1:19" ht="28" x14ac:dyDescent="0.15">
      <c r="A1580" s="2">
        <f>HYPERLINK("https://open-school.uspishnemisto.com.ua/school/120020/", 120020)</f>
        <v>120020</v>
      </c>
      <c r="B1580" s="3" t="s">
        <v>8562</v>
      </c>
      <c r="C1580" s="3" t="s">
        <v>31</v>
      </c>
      <c r="D1580" s="3" t="s">
        <v>32</v>
      </c>
      <c r="E1580" s="4" t="s">
        <v>22</v>
      </c>
      <c r="F1580" s="4" t="s">
        <v>8563</v>
      </c>
      <c r="G1580" s="4" t="s">
        <v>8486</v>
      </c>
      <c r="H1580" s="3" t="s">
        <v>8487</v>
      </c>
      <c r="I1580" s="3" t="s">
        <v>8488</v>
      </c>
      <c r="J1580" s="3" t="s">
        <v>8564</v>
      </c>
      <c r="K1580" s="3" t="s">
        <v>8565</v>
      </c>
      <c r="L1580" s="3" t="s">
        <v>8566</v>
      </c>
      <c r="M1580" s="4"/>
      <c r="N1580" s="3" t="s">
        <v>967</v>
      </c>
      <c r="O1580" s="3" t="s">
        <v>46</v>
      </c>
      <c r="P1580" s="5">
        <v>20</v>
      </c>
      <c r="Q1580" s="5">
        <v>558</v>
      </c>
      <c r="R1580" s="5">
        <v>19</v>
      </c>
      <c r="S1580" s="5">
        <v>544</v>
      </c>
    </row>
    <row r="1581" spans="1:19" ht="28" x14ac:dyDescent="0.15">
      <c r="A1581" s="2">
        <f>HYPERLINK("https://open-school.uspishnemisto.com.ua/school/120021/", 120021)</f>
        <v>120021</v>
      </c>
      <c r="B1581" s="3" t="s">
        <v>8567</v>
      </c>
      <c r="C1581" s="3" t="s">
        <v>31</v>
      </c>
      <c r="D1581" s="3" t="s">
        <v>32</v>
      </c>
      <c r="E1581" s="4" t="s">
        <v>22</v>
      </c>
      <c r="F1581" s="4" t="s">
        <v>8568</v>
      </c>
      <c r="G1581" s="4" t="s">
        <v>8486</v>
      </c>
      <c r="H1581" s="3" t="s">
        <v>8487</v>
      </c>
      <c r="I1581" s="3" t="s">
        <v>8488</v>
      </c>
      <c r="J1581" s="3" t="s">
        <v>8569</v>
      </c>
      <c r="K1581" s="3" t="s">
        <v>8570</v>
      </c>
      <c r="L1581" s="3" t="s">
        <v>8571</v>
      </c>
      <c r="M1581" s="4"/>
      <c r="N1581" s="3" t="s">
        <v>37</v>
      </c>
      <c r="O1581" s="3" t="s">
        <v>46</v>
      </c>
      <c r="P1581" s="5">
        <v>17</v>
      </c>
      <c r="Q1581" s="5">
        <v>511</v>
      </c>
      <c r="R1581" s="5">
        <v>16</v>
      </c>
      <c r="S1581" s="5">
        <v>487</v>
      </c>
    </row>
    <row r="1582" spans="1:19" ht="28" x14ac:dyDescent="0.15">
      <c r="A1582" s="2">
        <f>HYPERLINK("https://open-school.uspishnemisto.com.ua/school/120022/", 120022)</f>
        <v>120022</v>
      </c>
      <c r="B1582" s="3" t="s">
        <v>8572</v>
      </c>
      <c r="C1582" s="3" t="s">
        <v>31</v>
      </c>
      <c r="D1582" s="3" t="s">
        <v>32</v>
      </c>
      <c r="E1582" s="4" t="s">
        <v>22</v>
      </c>
      <c r="F1582" s="4" t="s">
        <v>8573</v>
      </c>
      <c r="G1582" s="4" t="s">
        <v>8486</v>
      </c>
      <c r="H1582" s="3" t="s">
        <v>8487</v>
      </c>
      <c r="I1582" s="3" t="s">
        <v>8488</v>
      </c>
      <c r="J1582" s="3" t="s">
        <v>8574</v>
      </c>
      <c r="K1582" s="3" t="s">
        <v>8575</v>
      </c>
      <c r="L1582" s="3" t="s">
        <v>8576</v>
      </c>
      <c r="M1582" s="4"/>
      <c r="N1582" s="3" t="s">
        <v>967</v>
      </c>
      <c r="O1582" s="3" t="s">
        <v>52</v>
      </c>
      <c r="P1582" s="5">
        <v>11</v>
      </c>
      <c r="Q1582" s="5">
        <v>323</v>
      </c>
      <c r="R1582" s="5">
        <v>11</v>
      </c>
      <c r="S1582" s="5">
        <v>329</v>
      </c>
    </row>
    <row r="1583" spans="1:19" ht="28" x14ac:dyDescent="0.15">
      <c r="A1583" s="2">
        <f>HYPERLINK("https://open-school.uspishnemisto.com.ua/school/120023/", 120023)</f>
        <v>120023</v>
      </c>
      <c r="B1583" s="3" t="s">
        <v>8577</v>
      </c>
      <c r="C1583" s="3" t="s">
        <v>31</v>
      </c>
      <c r="D1583" s="3" t="s">
        <v>32</v>
      </c>
      <c r="E1583" s="4" t="s">
        <v>22</v>
      </c>
      <c r="F1583" s="4" t="s">
        <v>8578</v>
      </c>
      <c r="G1583" s="4" t="s">
        <v>8486</v>
      </c>
      <c r="H1583" s="3" t="s">
        <v>8487</v>
      </c>
      <c r="I1583" s="3" t="s">
        <v>8488</v>
      </c>
      <c r="J1583" s="3" t="s">
        <v>8579</v>
      </c>
      <c r="K1583" s="3" t="s">
        <v>8580</v>
      </c>
      <c r="L1583" s="3" t="s">
        <v>8581</v>
      </c>
      <c r="M1583" s="4"/>
      <c r="N1583" s="3" t="s">
        <v>37</v>
      </c>
      <c r="O1583" s="3" t="s">
        <v>52</v>
      </c>
      <c r="P1583" s="5">
        <v>32</v>
      </c>
      <c r="Q1583" s="5">
        <v>988</v>
      </c>
      <c r="R1583" s="5">
        <v>30</v>
      </c>
      <c r="S1583" s="5">
        <v>908</v>
      </c>
    </row>
    <row r="1584" spans="1:19" ht="28" x14ac:dyDescent="0.15">
      <c r="A1584" s="2">
        <f>HYPERLINK("https://open-school.uspishnemisto.com.ua/school/120024/", 120024)</f>
        <v>120024</v>
      </c>
      <c r="B1584" s="3" t="s">
        <v>8582</v>
      </c>
      <c r="C1584" s="3" t="s">
        <v>31</v>
      </c>
      <c r="D1584" s="3" t="s">
        <v>32</v>
      </c>
      <c r="E1584" s="4" t="s">
        <v>22</v>
      </c>
      <c r="F1584" s="4" t="s">
        <v>8583</v>
      </c>
      <c r="G1584" s="4" t="s">
        <v>8486</v>
      </c>
      <c r="H1584" s="3" t="s">
        <v>8487</v>
      </c>
      <c r="I1584" s="3" t="s">
        <v>8488</v>
      </c>
      <c r="J1584" s="3" t="s">
        <v>8584</v>
      </c>
      <c r="K1584" s="3" t="s">
        <v>8585</v>
      </c>
      <c r="L1584" s="3" t="s">
        <v>8586</v>
      </c>
      <c r="M1584" s="4"/>
      <c r="N1584" s="3" t="s">
        <v>37</v>
      </c>
      <c r="O1584" s="3" t="s">
        <v>2740</v>
      </c>
      <c r="P1584" s="5">
        <v>25</v>
      </c>
      <c r="Q1584" s="5">
        <v>651</v>
      </c>
      <c r="R1584" s="5">
        <v>25</v>
      </c>
      <c r="S1584" s="5">
        <v>635</v>
      </c>
    </row>
    <row r="1585" spans="1:19" ht="28" x14ac:dyDescent="0.15">
      <c r="A1585" s="2">
        <f>HYPERLINK("https://open-school.uspishnemisto.com.ua/school/120025/", 120025)</f>
        <v>120025</v>
      </c>
      <c r="B1585" s="3" t="s">
        <v>8587</v>
      </c>
      <c r="C1585" s="3" t="s">
        <v>31</v>
      </c>
      <c r="D1585" s="3" t="s">
        <v>32</v>
      </c>
      <c r="E1585" s="4" t="s">
        <v>22</v>
      </c>
      <c r="F1585" s="4" t="s">
        <v>8558</v>
      </c>
      <c r="G1585" s="4" t="s">
        <v>8486</v>
      </c>
      <c r="H1585" s="3" t="s">
        <v>8487</v>
      </c>
      <c r="I1585" s="3" t="s">
        <v>8488</v>
      </c>
      <c r="J1585" s="3" t="s">
        <v>8588</v>
      </c>
      <c r="K1585" s="3" t="s">
        <v>8589</v>
      </c>
      <c r="L1585" s="3"/>
      <c r="M1585" s="4"/>
      <c r="N1585" s="3" t="s">
        <v>37</v>
      </c>
      <c r="O1585" s="3" t="s">
        <v>52</v>
      </c>
      <c r="P1585" s="5">
        <v>21</v>
      </c>
      <c r="Q1585" s="5">
        <v>540</v>
      </c>
      <c r="R1585" s="5">
        <v>21</v>
      </c>
      <c r="S1585" s="5">
        <v>545</v>
      </c>
    </row>
    <row r="1586" spans="1:19" ht="28" x14ac:dyDescent="0.15">
      <c r="A1586" s="2">
        <f>HYPERLINK("https://open-school.uspishnemisto.com.ua/school/120026/", 120026)</f>
        <v>120026</v>
      </c>
      <c r="B1586" s="3" t="s">
        <v>8590</v>
      </c>
      <c r="C1586" s="3" t="s">
        <v>31</v>
      </c>
      <c r="D1586" s="3" t="s">
        <v>32</v>
      </c>
      <c r="E1586" s="4" t="s">
        <v>22</v>
      </c>
      <c r="F1586" s="4" t="s">
        <v>8591</v>
      </c>
      <c r="G1586" s="4" t="s">
        <v>8486</v>
      </c>
      <c r="H1586" s="3" t="s">
        <v>8487</v>
      </c>
      <c r="I1586" s="3" t="s">
        <v>8488</v>
      </c>
      <c r="J1586" s="3" t="s">
        <v>8592</v>
      </c>
      <c r="K1586" s="3" t="s">
        <v>8593</v>
      </c>
      <c r="L1586" s="3" t="s">
        <v>8594</v>
      </c>
      <c r="M1586" s="4"/>
      <c r="N1586" s="3" t="s">
        <v>967</v>
      </c>
      <c r="O1586" s="3" t="s">
        <v>52</v>
      </c>
      <c r="P1586" s="5">
        <v>23</v>
      </c>
      <c r="Q1586" s="5">
        <v>611</v>
      </c>
      <c r="R1586" s="5">
        <v>22</v>
      </c>
      <c r="S1586" s="5">
        <v>593</v>
      </c>
    </row>
    <row r="1587" spans="1:19" ht="28" x14ac:dyDescent="0.15">
      <c r="A1587" s="2">
        <f>HYPERLINK("https://open-school.uspishnemisto.com.ua/school/120027/", 120027)</f>
        <v>120027</v>
      </c>
      <c r="B1587" s="3" t="s">
        <v>8595</v>
      </c>
      <c r="C1587" s="3" t="s">
        <v>31</v>
      </c>
      <c r="D1587" s="3" t="s">
        <v>32</v>
      </c>
      <c r="E1587" s="4" t="s">
        <v>22</v>
      </c>
      <c r="F1587" s="4" t="s">
        <v>8523</v>
      </c>
      <c r="G1587" s="4" t="s">
        <v>8486</v>
      </c>
      <c r="H1587" s="3" t="s">
        <v>8487</v>
      </c>
      <c r="I1587" s="3" t="s">
        <v>8488</v>
      </c>
      <c r="J1587" s="3" t="s">
        <v>8596</v>
      </c>
      <c r="K1587" s="3" t="s">
        <v>8597</v>
      </c>
      <c r="L1587" s="3" t="s">
        <v>8598</v>
      </c>
      <c r="M1587" s="4"/>
      <c r="N1587" s="3" t="s">
        <v>37</v>
      </c>
      <c r="O1587" s="3" t="s">
        <v>38</v>
      </c>
      <c r="P1587" s="5">
        <v>15</v>
      </c>
      <c r="Q1587" s="5">
        <v>428</v>
      </c>
      <c r="R1587" s="5">
        <v>13</v>
      </c>
      <c r="S1587" s="5">
        <v>367</v>
      </c>
    </row>
    <row r="1588" spans="1:19" ht="28" x14ac:dyDescent="0.15">
      <c r="A1588" s="2">
        <f>HYPERLINK("https://open-school.uspishnemisto.com.ua/school/120028/", 120028)</f>
        <v>120028</v>
      </c>
      <c r="B1588" s="3" t="s">
        <v>8599</v>
      </c>
      <c r="C1588" s="3" t="s">
        <v>31</v>
      </c>
      <c r="D1588" s="3" t="s">
        <v>32</v>
      </c>
      <c r="E1588" s="4" t="s">
        <v>22</v>
      </c>
      <c r="F1588" s="4" t="s">
        <v>8600</v>
      </c>
      <c r="G1588" s="4" t="s">
        <v>8486</v>
      </c>
      <c r="H1588" s="3" t="s">
        <v>8487</v>
      </c>
      <c r="I1588" s="3" t="s">
        <v>8488</v>
      </c>
      <c r="J1588" s="3" t="s">
        <v>8601</v>
      </c>
      <c r="K1588" s="3" t="s">
        <v>8602</v>
      </c>
      <c r="L1588" s="3" t="s">
        <v>8603</v>
      </c>
      <c r="M1588" s="4"/>
      <c r="N1588" s="3" t="s">
        <v>967</v>
      </c>
      <c r="O1588" s="3" t="s">
        <v>52</v>
      </c>
      <c r="P1588" s="5">
        <v>24</v>
      </c>
      <c r="Q1588" s="5">
        <v>654</v>
      </c>
      <c r="R1588" s="5">
        <v>23</v>
      </c>
      <c r="S1588" s="5">
        <v>614</v>
      </c>
    </row>
    <row r="1589" spans="1:19" ht="28" x14ac:dyDescent="0.15">
      <c r="A1589" s="2">
        <f>HYPERLINK("https://open-school.uspishnemisto.com.ua/school/120029/", 120029)</f>
        <v>120029</v>
      </c>
      <c r="B1589" s="3" t="s">
        <v>8604</v>
      </c>
      <c r="C1589" s="3" t="s">
        <v>31</v>
      </c>
      <c r="D1589" s="3" t="s">
        <v>32</v>
      </c>
      <c r="E1589" s="4" t="s">
        <v>22</v>
      </c>
      <c r="F1589" s="4" t="s">
        <v>8605</v>
      </c>
      <c r="G1589" s="4" t="s">
        <v>8486</v>
      </c>
      <c r="H1589" s="3" t="s">
        <v>8487</v>
      </c>
      <c r="I1589" s="3" t="s">
        <v>8488</v>
      </c>
      <c r="J1589" s="3" t="s">
        <v>8606</v>
      </c>
      <c r="K1589" s="3" t="s">
        <v>8607</v>
      </c>
      <c r="L1589" s="3" t="s">
        <v>8608</v>
      </c>
      <c r="M1589" s="4"/>
      <c r="N1589" s="3" t="s">
        <v>967</v>
      </c>
      <c r="O1589" s="3" t="s">
        <v>52</v>
      </c>
      <c r="P1589" s="5">
        <v>33</v>
      </c>
      <c r="Q1589" s="5">
        <v>969</v>
      </c>
      <c r="R1589" s="5">
        <v>32</v>
      </c>
      <c r="S1589" s="5">
        <v>950</v>
      </c>
    </row>
    <row r="1590" spans="1:19" ht="42" x14ac:dyDescent="0.15">
      <c r="A1590" s="2">
        <f>HYPERLINK("https://open-school.uspishnemisto.com.ua/school/120030/", 120030)</f>
        <v>120030</v>
      </c>
      <c r="B1590" s="3" t="s">
        <v>8609</v>
      </c>
      <c r="C1590" s="3" t="s">
        <v>244</v>
      </c>
      <c r="D1590" s="3" t="s">
        <v>32</v>
      </c>
      <c r="E1590" s="4" t="s">
        <v>22</v>
      </c>
      <c r="F1590" s="4" t="s">
        <v>8610</v>
      </c>
      <c r="G1590" s="4" t="s">
        <v>8486</v>
      </c>
      <c r="H1590" s="3" t="s">
        <v>8487</v>
      </c>
      <c r="I1590" s="3" t="s">
        <v>8488</v>
      </c>
      <c r="J1590" s="3" t="s">
        <v>8611</v>
      </c>
      <c r="K1590" s="3" t="s">
        <v>8612</v>
      </c>
      <c r="L1590" s="3" t="s">
        <v>8613</v>
      </c>
      <c r="M1590" s="4"/>
      <c r="N1590" s="3" t="s">
        <v>37</v>
      </c>
      <c r="O1590" s="3" t="s">
        <v>2740</v>
      </c>
      <c r="P1590" s="5">
        <v>30</v>
      </c>
      <c r="Q1590" s="5">
        <v>928</v>
      </c>
      <c r="R1590" s="5">
        <v>30</v>
      </c>
      <c r="S1590" s="5">
        <v>915</v>
      </c>
    </row>
    <row r="1591" spans="1:19" ht="28" x14ac:dyDescent="0.15">
      <c r="A1591" s="2">
        <f>HYPERLINK("https://open-school.uspishnemisto.com.ua/school/120031/", 120031)</f>
        <v>120031</v>
      </c>
      <c r="B1591" s="3" t="s">
        <v>8614</v>
      </c>
      <c r="C1591" s="3" t="s">
        <v>244</v>
      </c>
      <c r="D1591" s="3" t="s">
        <v>32</v>
      </c>
      <c r="E1591" s="4" t="s">
        <v>22</v>
      </c>
      <c r="F1591" s="4" t="s">
        <v>8615</v>
      </c>
      <c r="G1591" s="4" t="s">
        <v>8486</v>
      </c>
      <c r="H1591" s="3" t="s">
        <v>8487</v>
      </c>
      <c r="I1591" s="3" t="s">
        <v>8488</v>
      </c>
      <c r="J1591" s="3" t="s">
        <v>8616</v>
      </c>
      <c r="K1591" s="3" t="s">
        <v>8617</v>
      </c>
      <c r="L1591" s="3" t="s">
        <v>8618</v>
      </c>
      <c r="M1591" s="4"/>
      <c r="N1591" s="3" t="s">
        <v>37</v>
      </c>
      <c r="O1591" s="3" t="s">
        <v>52</v>
      </c>
      <c r="P1591" s="5">
        <v>22</v>
      </c>
      <c r="Q1591" s="5">
        <v>629</v>
      </c>
      <c r="R1591" s="5">
        <v>22</v>
      </c>
      <c r="S1591" s="5">
        <v>642</v>
      </c>
    </row>
    <row r="1592" spans="1:19" ht="28" x14ac:dyDescent="0.15">
      <c r="A1592" s="2">
        <f>HYPERLINK("https://open-school.uspishnemisto.com.ua/school/120032/", 120032)</f>
        <v>120032</v>
      </c>
      <c r="B1592" s="3" t="s">
        <v>8619</v>
      </c>
      <c r="C1592" s="3" t="s">
        <v>244</v>
      </c>
      <c r="D1592" s="3" t="s">
        <v>32</v>
      </c>
      <c r="E1592" s="4" t="s">
        <v>22</v>
      </c>
      <c r="F1592" s="4" t="s">
        <v>8620</v>
      </c>
      <c r="G1592" s="4" t="s">
        <v>8486</v>
      </c>
      <c r="H1592" s="3" t="s">
        <v>8487</v>
      </c>
      <c r="I1592" s="3" t="s">
        <v>8488</v>
      </c>
      <c r="J1592" s="3" t="s">
        <v>8621</v>
      </c>
      <c r="K1592" s="3" t="s">
        <v>8622</v>
      </c>
      <c r="L1592" s="3" t="s">
        <v>8623</v>
      </c>
      <c r="M1592" s="4"/>
      <c r="N1592" s="3" t="s">
        <v>967</v>
      </c>
      <c r="O1592" s="3" t="s">
        <v>2740</v>
      </c>
      <c r="P1592" s="5">
        <v>35</v>
      </c>
      <c r="Q1592" s="5">
        <v>1034</v>
      </c>
      <c r="R1592" s="5">
        <v>34</v>
      </c>
      <c r="S1592" s="5">
        <v>1051</v>
      </c>
    </row>
    <row r="1593" spans="1:19" ht="84" x14ac:dyDescent="0.15">
      <c r="A1593" s="2">
        <f>HYPERLINK("https://open-school.uspishnemisto.com.ua/school/120035/", 120035)</f>
        <v>120035</v>
      </c>
      <c r="B1593" s="3" t="s">
        <v>8624</v>
      </c>
      <c r="C1593" s="3" t="s">
        <v>54</v>
      </c>
      <c r="D1593" s="3" t="s">
        <v>32</v>
      </c>
      <c r="E1593" s="4" t="s">
        <v>22</v>
      </c>
      <c r="F1593" s="4" t="s">
        <v>8544</v>
      </c>
      <c r="G1593" s="4" t="s">
        <v>8486</v>
      </c>
      <c r="H1593" s="3" t="s">
        <v>8487</v>
      </c>
      <c r="I1593" s="3" t="s">
        <v>8488</v>
      </c>
      <c r="J1593" s="3" t="s">
        <v>8625</v>
      </c>
      <c r="K1593" s="3" t="s">
        <v>8626</v>
      </c>
      <c r="L1593" s="3" t="s">
        <v>8627</v>
      </c>
      <c r="M1593" s="4" t="s">
        <v>8628</v>
      </c>
      <c r="N1593" s="3" t="s">
        <v>967</v>
      </c>
      <c r="O1593" s="3" t="s">
        <v>8629</v>
      </c>
      <c r="P1593" s="5">
        <v>18</v>
      </c>
      <c r="Q1593" s="5">
        <v>454</v>
      </c>
      <c r="R1593" s="5">
        <v>18</v>
      </c>
      <c r="S1593" s="5">
        <v>436</v>
      </c>
    </row>
    <row r="1594" spans="1:19" ht="28" x14ac:dyDescent="0.15">
      <c r="A1594" s="2">
        <f>HYPERLINK("https://open-school.uspishnemisto.com.ua/school/120036/", 120036)</f>
        <v>120036</v>
      </c>
      <c r="B1594" s="3" t="s">
        <v>8630</v>
      </c>
      <c r="C1594" s="3" t="s">
        <v>181</v>
      </c>
      <c r="D1594" s="3" t="s">
        <v>32</v>
      </c>
      <c r="E1594" s="4" t="s">
        <v>22</v>
      </c>
      <c r="F1594" s="4" t="s">
        <v>8573</v>
      </c>
      <c r="G1594" s="4" t="s">
        <v>8486</v>
      </c>
      <c r="H1594" s="3" t="s">
        <v>8487</v>
      </c>
      <c r="I1594" s="3" t="s">
        <v>8488</v>
      </c>
      <c r="J1594" s="3" t="s">
        <v>8631</v>
      </c>
      <c r="K1594" s="3" t="s">
        <v>8632</v>
      </c>
      <c r="L1594" s="3"/>
      <c r="M1594" s="4" t="s">
        <v>8633</v>
      </c>
      <c r="N1594" s="3" t="s">
        <v>37</v>
      </c>
      <c r="O1594" s="3" t="s">
        <v>52</v>
      </c>
      <c r="P1594" s="5">
        <v>23</v>
      </c>
      <c r="Q1594" s="5">
        <v>195</v>
      </c>
      <c r="R1594" s="5">
        <v>22</v>
      </c>
      <c r="S1594" s="5">
        <v>194</v>
      </c>
    </row>
    <row r="1595" spans="1:19" ht="28" x14ac:dyDescent="0.15">
      <c r="A1595" s="2">
        <f>HYPERLINK("https://open-school.uspishnemisto.com.ua/school/120037/", 120037)</f>
        <v>120037</v>
      </c>
      <c r="B1595" s="3" t="s">
        <v>8634</v>
      </c>
      <c r="C1595" s="3" t="s">
        <v>188</v>
      </c>
      <c r="D1595" s="3" t="s">
        <v>32</v>
      </c>
      <c r="E1595" s="4" t="s">
        <v>22</v>
      </c>
      <c r="F1595" s="4" t="s">
        <v>8635</v>
      </c>
      <c r="G1595" s="4" t="s">
        <v>8486</v>
      </c>
      <c r="H1595" s="3" t="s">
        <v>8487</v>
      </c>
      <c r="I1595" s="3" t="s">
        <v>8488</v>
      </c>
      <c r="J1595" s="3" t="s">
        <v>8636</v>
      </c>
      <c r="K1595" s="3" t="s">
        <v>8637</v>
      </c>
      <c r="L1595" s="3" t="s">
        <v>8638</v>
      </c>
      <c r="M1595" s="4" t="s">
        <v>8639</v>
      </c>
      <c r="N1595" s="3" t="s">
        <v>37</v>
      </c>
      <c r="O1595" s="3" t="s">
        <v>52</v>
      </c>
      <c r="P1595" s="5">
        <v>6</v>
      </c>
      <c r="Q1595" s="5">
        <v>171</v>
      </c>
      <c r="R1595" s="5">
        <v>6</v>
      </c>
      <c r="S1595" s="5">
        <v>172</v>
      </c>
    </row>
    <row r="1596" spans="1:19" ht="42" x14ac:dyDescent="0.15">
      <c r="A1596" s="2">
        <f>HYPERLINK("https://open-school.uspishnemisto.com.ua/school/120038/", 120038)</f>
        <v>120038</v>
      </c>
      <c r="B1596" s="3" t="s">
        <v>8640</v>
      </c>
      <c r="C1596" s="3" t="s">
        <v>2634</v>
      </c>
      <c r="D1596" s="3" t="s">
        <v>32</v>
      </c>
      <c r="E1596" s="4" t="s">
        <v>22</v>
      </c>
      <c r="F1596" s="4" t="s">
        <v>8641</v>
      </c>
      <c r="G1596" s="4" t="s">
        <v>8486</v>
      </c>
      <c r="H1596" s="3" t="s">
        <v>8487</v>
      </c>
      <c r="I1596" s="3" t="s">
        <v>8488</v>
      </c>
      <c r="J1596" s="3" t="s">
        <v>8642</v>
      </c>
      <c r="K1596" s="3" t="s">
        <v>8643</v>
      </c>
      <c r="L1596" s="3" t="s">
        <v>8644</v>
      </c>
      <c r="M1596" s="4" t="s">
        <v>8645</v>
      </c>
      <c r="N1596" s="3" t="s">
        <v>128</v>
      </c>
      <c r="O1596" s="3" t="s">
        <v>52</v>
      </c>
      <c r="P1596" s="5">
        <v>11</v>
      </c>
      <c r="Q1596" s="5">
        <v>217</v>
      </c>
      <c r="R1596" s="5">
        <v>11</v>
      </c>
      <c r="S1596" s="5">
        <v>247</v>
      </c>
    </row>
    <row r="1597" spans="1:19" ht="42" x14ac:dyDescent="0.15">
      <c r="A1597" s="2">
        <f>HYPERLINK("https://open-school.uspishnemisto.com.ua/school/120086/", 120086)</f>
        <v>120086</v>
      </c>
      <c r="B1597" s="3" t="s">
        <v>8646</v>
      </c>
      <c r="C1597" s="3" t="s">
        <v>244</v>
      </c>
      <c r="D1597" s="3" t="s">
        <v>32</v>
      </c>
      <c r="E1597" s="4" t="s">
        <v>22</v>
      </c>
      <c r="F1597" s="4" t="s">
        <v>8620</v>
      </c>
      <c r="G1597" s="4" t="s">
        <v>8486</v>
      </c>
      <c r="H1597" s="3" t="s">
        <v>8487</v>
      </c>
      <c r="I1597" s="3" t="s">
        <v>8488</v>
      </c>
      <c r="J1597" s="3" t="s">
        <v>8647</v>
      </c>
      <c r="K1597" s="3" t="s">
        <v>8648</v>
      </c>
      <c r="L1597" s="3" t="s">
        <v>8649</v>
      </c>
      <c r="M1597" s="4"/>
      <c r="N1597" s="3" t="s">
        <v>967</v>
      </c>
      <c r="O1597" s="3" t="s">
        <v>123</v>
      </c>
      <c r="P1597" s="5">
        <v>35</v>
      </c>
      <c r="Q1597" s="5">
        <v>1034</v>
      </c>
      <c r="R1597" s="5">
        <v>35</v>
      </c>
      <c r="S1597" s="5">
        <v>1073</v>
      </c>
    </row>
    <row r="1598" spans="1:19" ht="42" x14ac:dyDescent="0.15">
      <c r="A1598" s="2">
        <f>HYPERLINK("https://open-school.uspishnemisto.com.ua/school/120092/", 120092)</f>
        <v>120092</v>
      </c>
      <c r="B1598" s="3" t="s">
        <v>8650</v>
      </c>
      <c r="C1598" s="3" t="s">
        <v>31</v>
      </c>
      <c r="D1598" s="3" t="s">
        <v>32</v>
      </c>
      <c r="E1598" s="4" t="s">
        <v>22</v>
      </c>
      <c r="F1598" s="4" t="s">
        <v>8651</v>
      </c>
      <c r="G1598" s="4" t="s">
        <v>8486</v>
      </c>
      <c r="H1598" s="3" t="s">
        <v>8487</v>
      </c>
      <c r="I1598" s="3" t="s">
        <v>8488</v>
      </c>
      <c r="J1598" s="3" t="s">
        <v>8652</v>
      </c>
      <c r="K1598" s="3" t="s">
        <v>8653</v>
      </c>
      <c r="L1598" s="3" t="s">
        <v>8654</v>
      </c>
      <c r="M1598" s="4" t="s">
        <v>8655</v>
      </c>
      <c r="N1598" s="3" t="s">
        <v>37</v>
      </c>
      <c r="O1598" s="3" t="s">
        <v>52</v>
      </c>
      <c r="P1598" s="5">
        <v>37</v>
      </c>
      <c r="Q1598" s="5">
        <v>1096</v>
      </c>
      <c r="R1598" s="5">
        <v>34</v>
      </c>
      <c r="S1598" s="5">
        <v>998</v>
      </c>
    </row>
    <row r="1599" spans="1:19" ht="28" x14ac:dyDescent="0.15">
      <c r="A1599" s="2">
        <f>HYPERLINK("https://open-school.uspishnemisto.com.ua/school/120116/", 120116)</f>
        <v>120116</v>
      </c>
      <c r="B1599" s="3" t="s">
        <v>8656</v>
      </c>
      <c r="C1599" s="3" t="s">
        <v>20</v>
      </c>
      <c r="D1599" s="3" t="s">
        <v>21</v>
      </c>
      <c r="E1599" s="4" t="s">
        <v>22</v>
      </c>
      <c r="F1599" s="4" t="s">
        <v>8657</v>
      </c>
      <c r="G1599" s="4" t="s">
        <v>8486</v>
      </c>
      <c r="H1599" s="3" t="s">
        <v>8487</v>
      </c>
      <c r="I1599" s="3" t="s">
        <v>8488</v>
      </c>
      <c r="J1599" s="3" t="s">
        <v>8658</v>
      </c>
      <c r="K1599" s="3" t="s">
        <v>8659</v>
      </c>
      <c r="L1599" s="3" t="s">
        <v>8660</v>
      </c>
      <c r="M1599" s="4"/>
      <c r="N1599" s="3"/>
      <c r="O1599" s="3"/>
      <c r="P1599" s="5">
        <v>0</v>
      </c>
      <c r="Q1599" s="5">
        <v>0</v>
      </c>
      <c r="R1599" s="5"/>
      <c r="S1599" s="5"/>
    </row>
    <row r="1600" spans="1:19" ht="42" x14ac:dyDescent="0.15">
      <c r="A1600" s="2">
        <f>HYPERLINK("https://open-school.uspishnemisto.com.ua/school/120117/", 120117)</f>
        <v>120117</v>
      </c>
      <c r="B1600" s="3" t="s">
        <v>8661</v>
      </c>
      <c r="C1600" s="3" t="s">
        <v>31</v>
      </c>
      <c r="D1600" s="3" t="s">
        <v>32</v>
      </c>
      <c r="E1600" s="4" t="s">
        <v>41</v>
      </c>
      <c r="F1600" s="4" t="s">
        <v>8518</v>
      </c>
      <c r="G1600" s="4" t="s">
        <v>8486</v>
      </c>
      <c r="H1600" s="3" t="s">
        <v>8487</v>
      </c>
      <c r="I1600" s="3" t="s">
        <v>8488</v>
      </c>
      <c r="J1600" s="3" t="s">
        <v>8662</v>
      </c>
      <c r="K1600" s="3" t="s">
        <v>8663</v>
      </c>
      <c r="L1600" s="3" t="s">
        <v>8664</v>
      </c>
      <c r="M1600" s="4"/>
      <c r="N1600" s="3" t="s">
        <v>37</v>
      </c>
      <c r="O1600" s="3" t="s">
        <v>38</v>
      </c>
      <c r="P1600" s="5">
        <v>11</v>
      </c>
      <c r="Q1600" s="5">
        <v>57</v>
      </c>
      <c r="R1600" s="5">
        <v>11</v>
      </c>
      <c r="S1600" s="5">
        <v>45</v>
      </c>
    </row>
    <row r="1601" spans="1:19" ht="28" x14ac:dyDescent="0.15">
      <c r="A1601" s="2">
        <f>HYPERLINK("https://open-school.uspishnemisto.com.ua/school/120121/", 120121)</f>
        <v>120121</v>
      </c>
      <c r="B1601" s="3" t="s">
        <v>8665</v>
      </c>
      <c r="C1601" s="3" t="s">
        <v>31</v>
      </c>
      <c r="D1601" s="3" t="s">
        <v>32</v>
      </c>
      <c r="E1601" s="4" t="s">
        <v>22</v>
      </c>
      <c r="F1601" s="4" t="s">
        <v>8554</v>
      </c>
      <c r="G1601" s="4" t="s">
        <v>8486</v>
      </c>
      <c r="H1601" s="3" t="s">
        <v>8487</v>
      </c>
      <c r="I1601" s="3" t="s">
        <v>8488</v>
      </c>
      <c r="J1601" s="3" t="s">
        <v>8666</v>
      </c>
      <c r="K1601" s="3" t="s">
        <v>8667</v>
      </c>
      <c r="L1601" s="3"/>
      <c r="M1601" s="4"/>
      <c r="N1601" s="3" t="s">
        <v>37</v>
      </c>
      <c r="O1601" s="3" t="s">
        <v>38</v>
      </c>
      <c r="P1601" s="5">
        <v>26</v>
      </c>
      <c r="Q1601" s="5">
        <v>729</v>
      </c>
      <c r="R1601" s="5">
        <v>26</v>
      </c>
      <c r="S1601" s="5">
        <v>741</v>
      </c>
    </row>
    <row r="1602" spans="1:19" ht="28" x14ac:dyDescent="0.15">
      <c r="A1602" s="2">
        <f>HYPERLINK("https://open-school.uspishnemisto.com.ua/school/120135/", 120135)</f>
        <v>120135</v>
      </c>
      <c r="B1602" s="3" t="s">
        <v>8498</v>
      </c>
      <c r="C1602" s="3" t="s">
        <v>20</v>
      </c>
      <c r="D1602" s="3" t="s">
        <v>21</v>
      </c>
      <c r="E1602" s="4" t="s">
        <v>22</v>
      </c>
      <c r="F1602" s="4" t="s">
        <v>8499</v>
      </c>
      <c r="G1602" s="4" t="s">
        <v>8486</v>
      </c>
      <c r="H1602" s="3" t="s">
        <v>8487</v>
      </c>
      <c r="I1602" s="3" t="s">
        <v>8488</v>
      </c>
      <c r="J1602" s="3" t="s">
        <v>8500</v>
      </c>
      <c r="K1602" s="3" t="s">
        <v>8501</v>
      </c>
      <c r="L1602" s="3" t="s">
        <v>8502</v>
      </c>
      <c r="M1602" s="4"/>
      <c r="N1602" s="3"/>
      <c r="O1602" s="3"/>
      <c r="P1602" s="5">
        <v>0</v>
      </c>
      <c r="Q1602" s="5">
        <v>0</v>
      </c>
      <c r="R1602" s="5"/>
      <c r="S1602" s="5"/>
    </row>
    <row r="1603" spans="1:19" ht="42" x14ac:dyDescent="0.15">
      <c r="A1603" s="2">
        <f>HYPERLINK("https://open-school.uspishnemisto.com.ua/school/120141/", 120141)</f>
        <v>120141</v>
      </c>
      <c r="B1603" s="3" t="s">
        <v>8668</v>
      </c>
      <c r="C1603" s="3" t="s">
        <v>54</v>
      </c>
      <c r="D1603" s="3" t="s">
        <v>32</v>
      </c>
      <c r="E1603" s="4" t="s">
        <v>22</v>
      </c>
      <c r="F1603" s="4" t="s">
        <v>8558</v>
      </c>
      <c r="G1603" s="4" t="s">
        <v>8486</v>
      </c>
      <c r="H1603" s="3" t="s">
        <v>8487</v>
      </c>
      <c r="I1603" s="3" t="s">
        <v>8488</v>
      </c>
      <c r="J1603" s="3" t="s">
        <v>8669</v>
      </c>
      <c r="K1603" s="3" t="s">
        <v>8670</v>
      </c>
      <c r="L1603" s="3" t="s">
        <v>8671</v>
      </c>
      <c r="M1603" s="4"/>
      <c r="N1603" s="3" t="s">
        <v>37</v>
      </c>
      <c r="O1603" s="3" t="s">
        <v>70</v>
      </c>
      <c r="P1603" s="5">
        <v>9</v>
      </c>
      <c r="Q1603" s="5">
        <v>106</v>
      </c>
      <c r="R1603" s="5">
        <v>9</v>
      </c>
      <c r="S1603" s="5">
        <v>105</v>
      </c>
    </row>
    <row r="1604" spans="1:19" ht="28" x14ac:dyDescent="0.15">
      <c r="A1604" s="2">
        <f>HYPERLINK("https://open-school.uspishnemisto.com.ua/school/120973/", 120973)</f>
        <v>120973</v>
      </c>
      <c r="B1604" s="3" t="s">
        <v>8672</v>
      </c>
      <c r="C1604" s="3" t="s">
        <v>20</v>
      </c>
      <c r="D1604" s="3" t="s">
        <v>21</v>
      </c>
      <c r="E1604" s="4" t="s">
        <v>22</v>
      </c>
      <c r="F1604" s="4" t="s">
        <v>8673</v>
      </c>
      <c r="G1604" s="4" t="s">
        <v>8486</v>
      </c>
      <c r="H1604" s="3" t="s">
        <v>8487</v>
      </c>
      <c r="I1604" s="3" t="s">
        <v>8488</v>
      </c>
      <c r="J1604" s="3" t="s">
        <v>8674</v>
      </c>
      <c r="K1604" s="3" t="s">
        <v>8675</v>
      </c>
      <c r="L1604" s="3"/>
      <c r="M1604" s="4"/>
      <c r="N1604" s="3"/>
      <c r="O1604" s="3"/>
      <c r="P1604" s="5">
        <v>0</v>
      </c>
      <c r="Q1604" s="5">
        <v>0</v>
      </c>
      <c r="R1604" s="5"/>
      <c r="S1604" s="5"/>
    </row>
    <row r="1605" spans="1:19" ht="28" x14ac:dyDescent="0.15">
      <c r="A1605" s="2">
        <f>HYPERLINK("https://open-school.uspishnemisto.com.ua/school/120974/", 120974)</f>
        <v>120974</v>
      </c>
      <c r="B1605" s="3" t="s">
        <v>8676</v>
      </c>
      <c r="C1605" s="3" t="s">
        <v>31</v>
      </c>
      <c r="D1605" s="3" t="s">
        <v>32</v>
      </c>
      <c r="E1605" s="4" t="s">
        <v>41</v>
      </c>
      <c r="F1605" s="4" t="s">
        <v>8677</v>
      </c>
      <c r="G1605" s="4" t="s">
        <v>8486</v>
      </c>
      <c r="H1605" s="3" t="s">
        <v>8487</v>
      </c>
      <c r="I1605" s="3" t="s">
        <v>8488</v>
      </c>
      <c r="J1605" s="3" t="s">
        <v>8678</v>
      </c>
      <c r="K1605" s="3" t="s">
        <v>8679</v>
      </c>
      <c r="L1605" s="3"/>
      <c r="M1605" s="4"/>
      <c r="N1605" s="3" t="s">
        <v>967</v>
      </c>
      <c r="O1605" s="3" t="s">
        <v>52</v>
      </c>
      <c r="P1605" s="5">
        <v>8</v>
      </c>
      <c r="Q1605" s="5">
        <v>80</v>
      </c>
      <c r="R1605" s="5"/>
      <c r="S1605" s="5"/>
    </row>
    <row r="1606" spans="1:19" ht="42" x14ac:dyDescent="0.15">
      <c r="A1606" s="2">
        <f>HYPERLINK("https://open-school.uspishnemisto.com.ua/school/120975/", 120975)</f>
        <v>120975</v>
      </c>
      <c r="B1606" s="3" t="s">
        <v>8680</v>
      </c>
      <c r="C1606" s="3" t="s">
        <v>31</v>
      </c>
      <c r="D1606" s="3" t="s">
        <v>175</v>
      </c>
      <c r="E1606" s="4" t="s">
        <v>22</v>
      </c>
      <c r="F1606" s="4" t="s">
        <v>8681</v>
      </c>
      <c r="G1606" s="4" t="s">
        <v>8486</v>
      </c>
      <c r="H1606" s="3" t="s">
        <v>8487</v>
      </c>
      <c r="I1606" s="3" t="s">
        <v>8488</v>
      </c>
      <c r="J1606" s="3" t="s">
        <v>8682</v>
      </c>
      <c r="K1606" s="3" t="s">
        <v>8683</v>
      </c>
      <c r="L1606" s="3"/>
      <c r="M1606" s="4" t="s">
        <v>8684</v>
      </c>
      <c r="N1606" s="3" t="s">
        <v>37</v>
      </c>
      <c r="O1606" s="3" t="s">
        <v>52</v>
      </c>
      <c r="P1606" s="5">
        <v>15</v>
      </c>
      <c r="Q1606" s="5">
        <v>438</v>
      </c>
      <c r="R1606" s="5"/>
      <c r="S1606" s="5"/>
    </row>
    <row r="1607" spans="1:19" ht="28" x14ac:dyDescent="0.15">
      <c r="A1607" s="2">
        <f>HYPERLINK("https://open-school.uspishnemisto.com.ua/school/120976/", 120976)</f>
        <v>120976</v>
      </c>
      <c r="B1607" s="3" t="s">
        <v>8685</v>
      </c>
      <c r="C1607" s="3" t="s">
        <v>174</v>
      </c>
      <c r="D1607" s="3" t="s">
        <v>32</v>
      </c>
      <c r="E1607" s="4" t="s">
        <v>22</v>
      </c>
      <c r="F1607" s="4" t="s">
        <v>8554</v>
      </c>
      <c r="G1607" s="4" t="s">
        <v>8486</v>
      </c>
      <c r="H1607" s="3" t="s">
        <v>8487</v>
      </c>
      <c r="I1607" s="3" t="s">
        <v>8488</v>
      </c>
      <c r="J1607" s="3" t="s">
        <v>8686</v>
      </c>
      <c r="K1607" s="3" t="s">
        <v>8687</v>
      </c>
      <c r="L1607" s="3"/>
      <c r="M1607" s="4"/>
      <c r="N1607" s="3" t="s">
        <v>37</v>
      </c>
      <c r="O1607" s="3" t="s">
        <v>52</v>
      </c>
      <c r="P1607" s="5">
        <v>13</v>
      </c>
      <c r="Q1607" s="5">
        <v>65</v>
      </c>
      <c r="R1607" s="5"/>
      <c r="S1607" s="5"/>
    </row>
    <row r="1608" spans="1:19" ht="28" x14ac:dyDescent="0.15">
      <c r="A1608" s="2">
        <f>HYPERLINK("https://open-school.uspishnemisto.com.ua/school/120977/", 120977)</f>
        <v>120977</v>
      </c>
      <c r="B1608" s="3" t="s">
        <v>8688</v>
      </c>
      <c r="C1608" s="3" t="s">
        <v>188</v>
      </c>
      <c r="D1608" s="3" t="s">
        <v>32</v>
      </c>
      <c r="E1608" s="4" t="s">
        <v>41</v>
      </c>
      <c r="F1608" s="4" t="s">
        <v>8689</v>
      </c>
      <c r="G1608" s="4" t="s">
        <v>8486</v>
      </c>
      <c r="H1608" s="3" t="s">
        <v>8487</v>
      </c>
      <c r="I1608" s="3" t="s">
        <v>8488</v>
      </c>
      <c r="J1608" s="3" t="s">
        <v>8690</v>
      </c>
      <c r="K1608" s="3" t="s">
        <v>8691</v>
      </c>
      <c r="L1608" s="3"/>
      <c r="M1608" s="4"/>
      <c r="N1608" s="3" t="s">
        <v>967</v>
      </c>
      <c r="O1608" s="3" t="s">
        <v>52</v>
      </c>
      <c r="P1608" s="5">
        <v>5</v>
      </c>
      <c r="Q1608" s="5">
        <v>77</v>
      </c>
      <c r="R1608" s="5"/>
      <c r="S1608" s="5"/>
    </row>
    <row r="1609" spans="1:19" ht="28" x14ac:dyDescent="0.15">
      <c r="A1609" s="2">
        <f>HYPERLINK("https://open-school.uspishnemisto.com.ua/school/120978/", 120978)</f>
        <v>120978</v>
      </c>
      <c r="B1609" s="3" t="s">
        <v>8692</v>
      </c>
      <c r="C1609" s="3" t="s">
        <v>181</v>
      </c>
      <c r="D1609" s="3" t="s">
        <v>32</v>
      </c>
      <c r="E1609" s="4" t="s">
        <v>22</v>
      </c>
      <c r="F1609" s="4" t="s">
        <v>8693</v>
      </c>
      <c r="G1609" s="4" t="s">
        <v>8486</v>
      </c>
      <c r="H1609" s="3" t="s">
        <v>8487</v>
      </c>
      <c r="I1609" s="3" t="s">
        <v>8488</v>
      </c>
      <c r="J1609" s="3" t="s">
        <v>8694</v>
      </c>
      <c r="K1609" s="3"/>
      <c r="L1609" s="3"/>
      <c r="M1609" s="4"/>
      <c r="N1609" s="3" t="s">
        <v>967</v>
      </c>
      <c r="O1609" s="3"/>
      <c r="P1609" s="5">
        <v>4</v>
      </c>
      <c r="Q1609" s="5">
        <v>45</v>
      </c>
      <c r="R1609" s="5"/>
      <c r="S1609" s="5"/>
    </row>
    <row r="1610" spans="1:19" ht="42" x14ac:dyDescent="0.15">
      <c r="A1610" s="2">
        <f>HYPERLINK("https://open-school.uspishnemisto.com.ua/school/120033/", 120033)</f>
        <v>120033</v>
      </c>
      <c r="B1610" s="3" t="s">
        <v>8695</v>
      </c>
      <c r="C1610" s="3" t="s">
        <v>244</v>
      </c>
      <c r="D1610" s="3" t="s">
        <v>32</v>
      </c>
      <c r="E1610" s="4" t="s">
        <v>22</v>
      </c>
      <c r="F1610" s="4" t="s">
        <v>8696</v>
      </c>
      <c r="G1610" s="4" t="s">
        <v>8697</v>
      </c>
      <c r="H1610" s="3" t="s">
        <v>8487</v>
      </c>
      <c r="I1610" s="3" t="s">
        <v>8698</v>
      </c>
      <c r="J1610" s="3" t="s">
        <v>8699</v>
      </c>
      <c r="K1610" s="3" t="s">
        <v>8700</v>
      </c>
      <c r="L1610" s="3" t="s">
        <v>8701</v>
      </c>
      <c r="M1610" s="4"/>
      <c r="N1610" s="3" t="s">
        <v>37</v>
      </c>
      <c r="O1610" s="3" t="s">
        <v>123</v>
      </c>
      <c r="P1610" s="5">
        <v>41</v>
      </c>
      <c r="Q1610" s="5">
        <v>1328</v>
      </c>
      <c r="R1610" s="5">
        <v>38</v>
      </c>
      <c r="S1610" s="5">
        <v>1191</v>
      </c>
    </row>
    <row r="1611" spans="1:19" ht="42" x14ac:dyDescent="0.15">
      <c r="A1611" s="2">
        <f>HYPERLINK("https://open-school.uspishnemisto.com.ua/school/120034/", 120034)</f>
        <v>120034</v>
      </c>
      <c r="B1611" s="3" t="s">
        <v>8702</v>
      </c>
      <c r="C1611" s="3" t="s">
        <v>188</v>
      </c>
      <c r="D1611" s="3" t="s">
        <v>32</v>
      </c>
      <c r="E1611" s="4" t="s">
        <v>22</v>
      </c>
      <c r="F1611" s="4" t="s">
        <v>8494</v>
      </c>
      <c r="G1611" s="4" t="s">
        <v>8697</v>
      </c>
      <c r="H1611" s="3" t="s">
        <v>8487</v>
      </c>
      <c r="I1611" s="3" t="s">
        <v>8698</v>
      </c>
      <c r="J1611" s="3" t="s">
        <v>8703</v>
      </c>
      <c r="K1611" s="3" t="s">
        <v>8704</v>
      </c>
      <c r="L1611" s="3" t="s">
        <v>8705</v>
      </c>
      <c r="M1611" s="4"/>
      <c r="N1611" s="3" t="s">
        <v>37</v>
      </c>
      <c r="O1611" s="3" t="s">
        <v>52</v>
      </c>
      <c r="P1611" s="5">
        <v>8</v>
      </c>
      <c r="Q1611" s="5">
        <v>251</v>
      </c>
      <c r="R1611" s="5">
        <v>8</v>
      </c>
      <c r="S1611" s="5">
        <v>253</v>
      </c>
    </row>
    <row r="1612" spans="1:19" ht="42" x14ac:dyDescent="0.15">
      <c r="A1612" s="2">
        <f>HYPERLINK("https://open-school.uspishnemisto.com.ua/school/120039/", 120039)</f>
        <v>120039</v>
      </c>
      <c r="B1612" s="3" t="s">
        <v>8706</v>
      </c>
      <c r="C1612" s="3" t="s">
        <v>2634</v>
      </c>
      <c r="D1612" s="3" t="s">
        <v>32</v>
      </c>
      <c r="E1612" s="4" t="s">
        <v>22</v>
      </c>
      <c r="F1612" s="4" t="s">
        <v>8707</v>
      </c>
      <c r="G1612" s="4" t="s">
        <v>8697</v>
      </c>
      <c r="H1612" s="3" t="s">
        <v>8487</v>
      </c>
      <c r="I1612" s="3" t="s">
        <v>8698</v>
      </c>
      <c r="J1612" s="3" t="s">
        <v>8708</v>
      </c>
      <c r="K1612" s="3" t="s">
        <v>8709</v>
      </c>
      <c r="L1612" s="3" t="s">
        <v>8710</v>
      </c>
      <c r="M1612" s="4" t="s">
        <v>8711</v>
      </c>
      <c r="N1612" s="3" t="s">
        <v>37</v>
      </c>
      <c r="O1612" s="3" t="s">
        <v>139</v>
      </c>
      <c r="P1612" s="5">
        <v>19</v>
      </c>
      <c r="Q1612" s="5">
        <v>428</v>
      </c>
      <c r="R1612" s="5">
        <v>20</v>
      </c>
      <c r="S1612" s="5">
        <v>453</v>
      </c>
    </row>
    <row r="1613" spans="1:19" ht="42" x14ac:dyDescent="0.15">
      <c r="A1613" s="2">
        <f>HYPERLINK("https://open-school.uspishnemisto.com.ua/school/120040/", 120040)</f>
        <v>120040</v>
      </c>
      <c r="B1613" s="3" t="s">
        <v>8712</v>
      </c>
      <c r="C1613" s="3" t="s">
        <v>54</v>
      </c>
      <c r="D1613" s="3" t="s">
        <v>32</v>
      </c>
      <c r="E1613" s="4" t="s">
        <v>22</v>
      </c>
      <c r="F1613" s="4" t="s">
        <v>8494</v>
      </c>
      <c r="G1613" s="4" t="s">
        <v>8697</v>
      </c>
      <c r="H1613" s="3" t="s">
        <v>8487</v>
      </c>
      <c r="I1613" s="3" t="s">
        <v>8698</v>
      </c>
      <c r="J1613" s="3" t="s">
        <v>8713</v>
      </c>
      <c r="K1613" s="3" t="s">
        <v>8714</v>
      </c>
      <c r="L1613" s="3" t="s">
        <v>8715</v>
      </c>
      <c r="M1613" s="4"/>
      <c r="N1613" s="3" t="s">
        <v>37</v>
      </c>
      <c r="O1613" s="3" t="s">
        <v>70</v>
      </c>
      <c r="P1613" s="5">
        <v>45</v>
      </c>
      <c r="Q1613" s="5">
        <v>1392</v>
      </c>
      <c r="R1613" s="5">
        <v>44</v>
      </c>
      <c r="S1613" s="5">
        <v>1341</v>
      </c>
    </row>
    <row r="1614" spans="1:19" ht="42" x14ac:dyDescent="0.15">
      <c r="A1614" s="2">
        <f>HYPERLINK("https://open-school.uspishnemisto.com.ua/school/120041/", 120041)</f>
        <v>120041</v>
      </c>
      <c r="B1614" s="3" t="s">
        <v>8716</v>
      </c>
      <c r="C1614" s="3" t="s">
        <v>54</v>
      </c>
      <c r="D1614" s="3" t="s">
        <v>32</v>
      </c>
      <c r="E1614" s="4" t="s">
        <v>22</v>
      </c>
      <c r="F1614" s="4" t="s">
        <v>8717</v>
      </c>
      <c r="G1614" s="4" t="s">
        <v>8697</v>
      </c>
      <c r="H1614" s="3" t="s">
        <v>8487</v>
      </c>
      <c r="I1614" s="3" t="s">
        <v>8698</v>
      </c>
      <c r="J1614" s="3" t="s">
        <v>8718</v>
      </c>
      <c r="K1614" s="3" t="s">
        <v>8719</v>
      </c>
      <c r="L1614" s="3" t="s">
        <v>8720</v>
      </c>
      <c r="M1614" s="4"/>
      <c r="N1614" s="3" t="s">
        <v>37</v>
      </c>
      <c r="O1614" s="3" t="s">
        <v>2740</v>
      </c>
      <c r="P1614" s="5">
        <v>34</v>
      </c>
      <c r="Q1614" s="5">
        <v>1066</v>
      </c>
      <c r="R1614" s="5">
        <v>35</v>
      </c>
      <c r="S1614" s="5">
        <v>1067</v>
      </c>
    </row>
    <row r="1615" spans="1:19" ht="42" x14ac:dyDescent="0.15">
      <c r="A1615" s="2">
        <f>HYPERLINK("https://open-school.uspishnemisto.com.ua/school/120042/", 120042)</f>
        <v>120042</v>
      </c>
      <c r="B1615" s="3" t="s">
        <v>8721</v>
      </c>
      <c r="C1615" s="3" t="s">
        <v>31</v>
      </c>
      <c r="D1615" s="3" t="s">
        <v>32</v>
      </c>
      <c r="E1615" s="4" t="s">
        <v>22</v>
      </c>
      <c r="F1615" s="4" t="s">
        <v>8722</v>
      </c>
      <c r="G1615" s="4" t="s">
        <v>8697</v>
      </c>
      <c r="H1615" s="3" t="s">
        <v>8487</v>
      </c>
      <c r="I1615" s="3" t="s">
        <v>8698</v>
      </c>
      <c r="J1615" s="3" t="s">
        <v>8723</v>
      </c>
      <c r="K1615" s="3" t="s">
        <v>8724</v>
      </c>
      <c r="L1615" s="3" t="s">
        <v>8725</v>
      </c>
      <c r="M1615" s="4"/>
      <c r="N1615" s="3" t="s">
        <v>37</v>
      </c>
      <c r="O1615" s="3" t="s">
        <v>52</v>
      </c>
      <c r="P1615" s="5">
        <v>13</v>
      </c>
      <c r="Q1615" s="5">
        <v>369</v>
      </c>
      <c r="R1615" s="5">
        <v>13</v>
      </c>
      <c r="S1615" s="5">
        <v>362</v>
      </c>
    </row>
    <row r="1616" spans="1:19" ht="42" x14ac:dyDescent="0.15">
      <c r="A1616" s="2">
        <f>HYPERLINK("https://open-school.uspishnemisto.com.ua/school/120043/", 120043)</f>
        <v>120043</v>
      </c>
      <c r="B1616" s="3" t="s">
        <v>8726</v>
      </c>
      <c r="C1616" s="3" t="s">
        <v>31</v>
      </c>
      <c r="D1616" s="3" t="s">
        <v>32</v>
      </c>
      <c r="E1616" s="4" t="s">
        <v>22</v>
      </c>
      <c r="F1616" s="4" t="s">
        <v>8722</v>
      </c>
      <c r="G1616" s="4" t="s">
        <v>8697</v>
      </c>
      <c r="H1616" s="3" t="s">
        <v>8487</v>
      </c>
      <c r="I1616" s="3" t="s">
        <v>8698</v>
      </c>
      <c r="J1616" s="3" t="s">
        <v>8727</v>
      </c>
      <c r="K1616" s="3" t="s">
        <v>8728</v>
      </c>
      <c r="L1616" s="3" t="s">
        <v>8729</v>
      </c>
      <c r="M1616" s="4"/>
      <c r="N1616" s="3" t="s">
        <v>37</v>
      </c>
      <c r="O1616" s="3" t="s">
        <v>52</v>
      </c>
      <c r="P1616" s="5">
        <v>15</v>
      </c>
      <c r="Q1616" s="5">
        <v>399</v>
      </c>
      <c r="R1616" s="5">
        <v>14</v>
      </c>
      <c r="S1616" s="5">
        <v>384</v>
      </c>
    </row>
    <row r="1617" spans="1:19" ht="42" x14ac:dyDescent="0.15">
      <c r="A1617" s="2">
        <f>HYPERLINK("https://open-school.uspishnemisto.com.ua/school/120044/", 120044)</f>
        <v>120044</v>
      </c>
      <c r="B1617" s="3" t="s">
        <v>8730</v>
      </c>
      <c r="C1617" s="3" t="s">
        <v>31</v>
      </c>
      <c r="D1617" s="3" t="s">
        <v>32</v>
      </c>
      <c r="E1617" s="4" t="s">
        <v>22</v>
      </c>
      <c r="F1617" s="4" t="s">
        <v>8717</v>
      </c>
      <c r="G1617" s="4" t="s">
        <v>8697</v>
      </c>
      <c r="H1617" s="3" t="s">
        <v>8487</v>
      </c>
      <c r="I1617" s="3" t="s">
        <v>8698</v>
      </c>
      <c r="J1617" s="3" t="s">
        <v>8731</v>
      </c>
      <c r="K1617" s="3" t="s">
        <v>8732</v>
      </c>
      <c r="L1617" s="3" t="s">
        <v>8733</v>
      </c>
      <c r="M1617" s="4"/>
      <c r="N1617" s="3" t="s">
        <v>128</v>
      </c>
      <c r="O1617" s="3" t="s">
        <v>70</v>
      </c>
      <c r="P1617" s="5">
        <v>20</v>
      </c>
      <c r="Q1617" s="5">
        <v>532</v>
      </c>
      <c r="R1617" s="5">
        <v>19</v>
      </c>
      <c r="S1617" s="5">
        <v>528</v>
      </c>
    </row>
    <row r="1618" spans="1:19" ht="42" x14ac:dyDescent="0.15">
      <c r="A1618" s="2">
        <f>HYPERLINK("https://open-school.uspishnemisto.com.ua/school/120045/", 120045)</f>
        <v>120045</v>
      </c>
      <c r="B1618" s="3" t="s">
        <v>8734</v>
      </c>
      <c r="C1618" s="3" t="s">
        <v>31</v>
      </c>
      <c r="D1618" s="3" t="s">
        <v>32</v>
      </c>
      <c r="E1618" s="4" t="s">
        <v>22</v>
      </c>
      <c r="F1618" s="4" t="s">
        <v>8735</v>
      </c>
      <c r="G1618" s="4" t="s">
        <v>8697</v>
      </c>
      <c r="H1618" s="3" t="s">
        <v>8487</v>
      </c>
      <c r="I1618" s="3" t="s">
        <v>8698</v>
      </c>
      <c r="J1618" s="3" t="s">
        <v>8736</v>
      </c>
      <c r="K1618" s="3" t="s">
        <v>8737</v>
      </c>
      <c r="L1618" s="3" t="s">
        <v>8738</v>
      </c>
      <c r="M1618" s="4"/>
      <c r="N1618" s="3" t="s">
        <v>37</v>
      </c>
      <c r="O1618" s="3" t="s">
        <v>38</v>
      </c>
      <c r="P1618" s="5">
        <v>16</v>
      </c>
      <c r="Q1618" s="5">
        <v>459</v>
      </c>
      <c r="R1618" s="5">
        <v>15</v>
      </c>
      <c r="S1618" s="5">
        <v>439</v>
      </c>
    </row>
    <row r="1619" spans="1:19" ht="42" x14ac:dyDescent="0.15">
      <c r="A1619" s="2">
        <f>HYPERLINK("https://open-school.uspishnemisto.com.ua/school/120046/", 120046)</f>
        <v>120046</v>
      </c>
      <c r="B1619" s="3" t="s">
        <v>8739</v>
      </c>
      <c r="C1619" s="3" t="s">
        <v>31</v>
      </c>
      <c r="D1619" s="3" t="s">
        <v>32</v>
      </c>
      <c r="E1619" s="4" t="s">
        <v>22</v>
      </c>
      <c r="F1619" s="4" t="s">
        <v>8740</v>
      </c>
      <c r="G1619" s="4" t="s">
        <v>8697</v>
      </c>
      <c r="H1619" s="3" t="s">
        <v>8487</v>
      </c>
      <c r="I1619" s="3" t="s">
        <v>8698</v>
      </c>
      <c r="J1619" s="3" t="s">
        <v>8741</v>
      </c>
      <c r="K1619" s="3" t="s">
        <v>8742</v>
      </c>
      <c r="L1619" s="3" t="s">
        <v>8743</v>
      </c>
      <c r="M1619" s="4"/>
      <c r="N1619" s="3" t="s">
        <v>37</v>
      </c>
      <c r="O1619" s="3" t="s">
        <v>70</v>
      </c>
      <c r="P1619" s="5">
        <v>18</v>
      </c>
      <c r="Q1619" s="5">
        <v>527</v>
      </c>
      <c r="R1619" s="5">
        <v>18</v>
      </c>
      <c r="S1619" s="5">
        <v>521</v>
      </c>
    </row>
    <row r="1620" spans="1:19" ht="42" x14ac:dyDescent="0.15">
      <c r="A1620" s="2">
        <f>HYPERLINK("https://open-school.uspishnemisto.com.ua/school/120047/", 120047)</f>
        <v>120047</v>
      </c>
      <c r="B1620" s="3" t="s">
        <v>8744</v>
      </c>
      <c r="C1620" s="3" t="s">
        <v>31</v>
      </c>
      <c r="D1620" s="3" t="s">
        <v>32</v>
      </c>
      <c r="E1620" s="4" t="s">
        <v>22</v>
      </c>
      <c r="F1620" s="4" t="s">
        <v>8615</v>
      </c>
      <c r="G1620" s="4" t="s">
        <v>8697</v>
      </c>
      <c r="H1620" s="3" t="s">
        <v>8487</v>
      </c>
      <c r="I1620" s="3" t="s">
        <v>8698</v>
      </c>
      <c r="J1620" s="3" t="s">
        <v>8745</v>
      </c>
      <c r="K1620" s="3" t="s">
        <v>8746</v>
      </c>
      <c r="L1620" s="3" t="s">
        <v>8747</v>
      </c>
      <c r="M1620" s="4"/>
      <c r="N1620" s="3" t="s">
        <v>37</v>
      </c>
      <c r="O1620" s="3" t="s">
        <v>52</v>
      </c>
      <c r="P1620" s="5">
        <v>10</v>
      </c>
      <c r="Q1620" s="5">
        <v>276</v>
      </c>
      <c r="R1620" s="5">
        <v>10</v>
      </c>
      <c r="S1620" s="5">
        <v>280</v>
      </c>
    </row>
    <row r="1621" spans="1:19" ht="42" x14ac:dyDescent="0.15">
      <c r="A1621" s="2">
        <f>HYPERLINK("https://open-school.uspishnemisto.com.ua/school/120048/", 120048)</f>
        <v>120048</v>
      </c>
      <c r="B1621" s="3" t="s">
        <v>8748</v>
      </c>
      <c r="C1621" s="3" t="s">
        <v>31</v>
      </c>
      <c r="D1621" s="3" t="s">
        <v>32</v>
      </c>
      <c r="E1621" s="4" t="s">
        <v>22</v>
      </c>
      <c r="F1621" s="4" t="s">
        <v>8494</v>
      </c>
      <c r="G1621" s="4" t="s">
        <v>8697</v>
      </c>
      <c r="H1621" s="3" t="s">
        <v>8487</v>
      </c>
      <c r="I1621" s="3" t="s">
        <v>8698</v>
      </c>
      <c r="J1621" s="3" t="s">
        <v>8749</v>
      </c>
      <c r="K1621" s="3" t="s">
        <v>8750</v>
      </c>
      <c r="L1621" s="3" t="s">
        <v>8751</v>
      </c>
      <c r="M1621" s="4"/>
      <c r="N1621" s="3" t="s">
        <v>37</v>
      </c>
      <c r="O1621" s="3" t="s">
        <v>38</v>
      </c>
      <c r="P1621" s="5">
        <v>27</v>
      </c>
      <c r="Q1621" s="5">
        <v>775</v>
      </c>
      <c r="R1621" s="5">
        <v>26</v>
      </c>
      <c r="S1621" s="5">
        <v>759</v>
      </c>
    </row>
    <row r="1622" spans="1:19" ht="42" x14ac:dyDescent="0.15">
      <c r="A1622" s="2">
        <f>HYPERLINK("https://open-school.uspishnemisto.com.ua/school/120049/", 120049)</f>
        <v>120049</v>
      </c>
      <c r="B1622" s="3" t="s">
        <v>8752</v>
      </c>
      <c r="C1622" s="3" t="s">
        <v>31</v>
      </c>
      <c r="D1622" s="3" t="s">
        <v>32</v>
      </c>
      <c r="E1622" s="4" t="s">
        <v>22</v>
      </c>
      <c r="F1622" s="4" t="s">
        <v>8753</v>
      </c>
      <c r="G1622" s="4" t="s">
        <v>8697</v>
      </c>
      <c r="H1622" s="3" t="s">
        <v>8487</v>
      </c>
      <c r="I1622" s="3" t="s">
        <v>8698</v>
      </c>
      <c r="J1622" s="3" t="s">
        <v>8754</v>
      </c>
      <c r="K1622" s="3" t="s">
        <v>8755</v>
      </c>
      <c r="L1622" s="3" t="s">
        <v>8756</v>
      </c>
      <c r="M1622" s="4"/>
      <c r="N1622" s="3" t="s">
        <v>967</v>
      </c>
      <c r="O1622" s="3" t="s">
        <v>123</v>
      </c>
      <c r="P1622" s="5">
        <v>21</v>
      </c>
      <c r="Q1622" s="5">
        <v>618</v>
      </c>
      <c r="R1622" s="5">
        <v>21</v>
      </c>
      <c r="S1622" s="5">
        <v>613</v>
      </c>
    </row>
    <row r="1623" spans="1:19" ht="42" x14ac:dyDescent="0.15">
      <c r="A1623" s="2">
        <f>HYPERLINK("https://open-school.uspishnemisto.com.ua/school/120050/", 120050)</f>
        <v>120050</v>
      </c>
      <c r="B1623" s="3" t="s">
        <v>8757</v>
      </c>
      <c r="C1623" s="3" t="s">
        <v>31</v>
      </c>
      <c r="D1623" s="3" t="s">
        <v>32</v>
      </c>
      <c r="E1623" s="4" t="s">
        <v>22</v>
      </c>
      <c r="F1623" s="4" t="s">
        <v>8753</v>
      </c>
      <c r="G1623" s="4" t="s">
        <v>8697</v>
      </c>
      <c r="H1623" s="3" t="s">
        <v>8487</v>
      </c>
      <c r="I1623" s="3" t="s">
        <v>8698</v>
      </c>
      <c r="J1623" s="3" t="s">
        <v>8758</v>
      </c>
      <c r="K1623" s="3"/>
      <c r="L1623" s="3" t="s">
        <v>8759</v>
      </c>
      <c r="M1623" s="4"/>
      <c r="N1623" s="3" t="s">
        <v>37</v>
      </c>
      <c r="O1623" s="3" t="s">
        <v>52</v>
      </c>
      <c r="P1623" s="5">
        <v>16</v>
      </c>
      <c r="Q1623" s="5">
        <v>516</v>
      </c>
      <c r="R1623" s="5">
        <v>14</v>
      </c>
      <c r="S1623" s="5">
        <v>422</v>
      </c>
    </row>
    <row r="1624" spans="1:19" ht="42" x14ac:dyDescent="0.15">
      <c r="A1624" s="2">
        <f>HYPERLINK("https://open-school.uspishnemisto.com.ua/school/120051/", 120051)</f>
        <v>120051</v>
      </c>
      <c r="B1624" s="3" t="s">
        <v>8760</v>
      </c>
      <c r="C1624" s="3" t="s">
        <v>31</v>
      </c>
      <c r="D1624" s="3" t="s">
        <v>32</v>
      </c>
      <c r="E1624" s="4" t="s">
        <v>22</v>
      </c>
      <c r="F1624" s="4" t="s">
        <v>8573</v>
      </c>
      <c r="G1624" s="4" t="s">
        <v>8697</v>
      </c>
      <c r="H1624" s="3" t="s">
        <v>8487</v>
      </c>
      <c r="I1624" s="3" t="s">
        <v>8698</v>
      </c>
      <c r="J1624" s="3" t="s">
        <v>8761</v>
      </c>
      <c r="K1624" s="3" t="s">
        <v>8762</v>
      </c>
      <c r="L1624" s="3" t="s">
        <v>8763</v>
      </c>
      <c r="M1624" s="4"/>
      <c r="N1624" s="3" t="s">
        <v>37</v>
      </c>
      <c r="O1624" s="3" t="s">
        <v>197</v>
      </c>
      <c r="P1624" s="5">
        <v>11</v>
      </c>
      <c r="Q1624" s="5">
        <v>336</v>
      </c>
      <c r="R1624" s="5">
        <v>11</v>
      </c>
      <c r="S1624" s="5">
        <v>339</v>
      </c>
    </row>
    <row r="1625" spans="1:19" ht="42" x14ac:dyDescent="0.15">
      <c r="A1625" s="2">
        <f>HYPERLINK("https://open-school.uspishnemisto.com.ua/school/120052/", 120052)</f>
        <v>120052</v>
      </c>
      <c r="B1625" s="3" t="s">
        <v>8764</v>
      </c>
      <c r="C1625" s="3" t="s">
        <v>31</v>
      </c>
      <c r="D1625" s="3" t="s">
        <v>32</v>
      </c>
      <c r="E1625" s="4" t="s">
        <v>22</v>
      </c>
      <c r="F1625" s="4" t="s">
        <v>8573</v>
      </c>
      <c r="G1625" s="4" t="s">
        <v>8697</v>
      </c>
      <c r="H1625" s="3" t="s">
        <v>8487</v>
      </c>
      <c r="I1625" s="3" t="s">
        <v>8698</v>
      </c>
      <c r="J1625" s="3" t="s">
        <v>8765</v>
      </c>
      <c r="K1625" s="3" t="s">
        <v>8766</v>
      </c>
      <c r="L1625" s="3" t="s">
        <v>8767</v>
      </c>
      <c r="M1625" s="4"/>
      <c r="N1625" s="3" t="s">
        <v>37</v>
      </c>
      <c r="O1625" s="3" t="s">
        <v>38</v>
      </c>
      <c r="P1625" s="5">
        <v>12</v>
      </c>
      <c r="Q1625" s="5">
        <v>307</v>
      </c>
      <c r="R1625" s="5">
        <v>11</v>
      </c>
      <c r="S1625" s="5">
        <v>278</v>
      </c>
    </row>
    <row r="1626" spans="1:19" ht="42" x14ac:dyDescent="0.15">
      <c r="A1626" s="2">
        <f>HYPERLINK("https://open-school.uspishnemisto.com.ua/school/120053/", 120053)</f>
        <v>120053</v>
      </c>
      <c r="B1626" s="3" t="s">
        <v>8768</v>
      </c>
      <c r="C1626" s="3" t="s">
        <v>31</v>
      </c>
      <c r="D1626" s="3" t="s">
        <v>32</v>
      </c>
      <c r="E1626" s="4" t="s">
        <v>22</v>
      </c>
      <c r="F1626" s="4" t="s">
        <v>8769</v>
      </c>
      <c r="G1626" s="4" t="s">
        <v>8697</v>
      </c>
      <c r="H1626" s="3" t="s">
        <v>8487</v>
      </c>
      <c r="I1626" s="3" t="s">
        <v>8698</v>
      </c>
      <c r="J1626" s="3" t="s">
        <v>8770</v>
      </c>
      <c r="K1626" s="3" t="s">
        <v>8771</v>
      </c>
      <c r="L1626" s="3" t="s">
        <v>8772</v>
      </c>
      <c r="M1626" s="4"/>
      <c r="N1626" s="3" t="s">
        <v>37</v>
      </c>
      <c r="O1626" s="3" t="s">
        <v>38</v>
      </c>
      <c r="P1626" s="5">
        <v>29</v>
      </c>
      <c r="Q1626" s="5">
        <v>825</v>
      </c>
      <c r="R1626" s="5">
        <v>28</v>
      </c>
      <c r="S1626" s="5">
        <v>795</v>
      </c>
    </row>
    <row r="1627" spans="1:19" ht="42" x14ac:dyDescent="0.15">
      <c r="A1627" s="2">
        <f>HYPERLINK("https://open-school.uspishnemisto.com.ua/school/120054/", 120054)</f>
        <v>120054</v>
      </c>
      <c r="B1627" s="3" t="s">
        <v>8773</v>
      </c>
      <c r="C1627" s="3" t="s">
        <v>244</v>
      </c>
      <c r="D1627" s="3" t="s">
        <v>32</v>
      </c>
      <c r="E1627" s="4" t="s">
        <v>22</v>
      </c>
      <c r="F1627" s="4" t="s">
        <v>8696</v>
      </c>
      <c r="G1627" s="4" t="s">
        <v>8697</v>
      </c>
      <c r="H1627" s="3" t="s">
        <v>8487</v>
      </c>
      <c r="I1627" s="3" t="s">
        <v>8698</v>
      </c>
      <c r="J1627" s="3" t="s">
        <v>8774</v>
      </c>
      <c r="K1627" s="3" t="s">
        <v>8775</v>
      </c>
      <c r="L1627" s="3" t="s">
        <v>8776</v>
      </c>
      <c r="M1627" s="4"/>
      <c r="N1627" s="3" t="s">
        <v>37</v>
      </c>
      <c r="O1627" s="3" t="s">
        <v>70</v>
      </c>
      <c r="P1627" s="5">
        <v>42</v>
      </c>
      <c r="Q1627" s="5">
        <v>1260</v>
      </c>
      <c r="R1627" s="5">
        <v>41</v>
      </c>
      <c r="S1627" s="5">
        <v>1215</v>
      </c>
    </row>
    <row r="1628" spans="1:19" ht="42" x14ac:dyDescent="0.15">
      <c r="A1628" s="2">
        <f>HYPERLINK("https://open-school.uspishnemisto.com.ua/school/120055/", 120055)</f>
        <v>120055</v>
      </c>
      <c r="B1628" s="3" t="s">
        <v>8777</v>
      </c>
      <c r="C1628" s="3" t="s">
        <v>244</v>
      </c>
      <c r="D1628" s="3" t="s">
        <v>32</v>
      </c>
      <c r="E1628" s="4" t="s">
        <v>22</v>
      </c>
      <c r="F1628" s="4" t="s">
        <v>8707</v>
      </c>
      <c r="G1628" s="4" t="s">
        <v>8697</v>
      </c>
      <c r="H1628" s="3" t="s">
        <v>8487</v>
      </c>
      <c r="I1628" s="3" t="s">
        <v>8698</v>
      </c>
      <c r="J1628" s="3" t="s">
        <v>8778</v>
      </c>
      <c r="K1628" s="3" t="s">
        <v>8779</v>
      </c>
      <c r="L1628" s="3" t="s">
        <v>8780</v>
      </c>
      <c r="M1628" s="4"/>
      <c r="N1628" s="3" t="s">
        <v>37</v>
      </c>
      <c r="O1628" s="3" t="s">
        <v>123</v>
      </c>
      <c r="P1628" s="5">
        <v>24</v>
      </c>
      <c r="Q1628" s="5">
        <v>678</v>
      </c>
      <c r="R1628" s="5">
        <v>23</v>
      </c>
      <c r="S1628" s="5">
        <v>657</v>
      </c>
    </row>
    <row r="1629" spans="1:19" ht="42" x14ac:dyDescent="0.15">
      <c r="A1629" s="2">
        <f>HYPERLINK("https://open-school.uspishnemisto.com.ua/school/120056/", 120056)</f>
        <v>120056</v>
      </c>
      <c r="B1629" s="3" t="s">
        <v>8781</v>
      </c>
      <c r="C1629" s="3" t="s">
        <v>244</v>
      </c>
      <c r="D1629" s="3" t="s">
        <v>32</v>
      </c>
      <c r="E1629" s="4" t="s">
        <v>22</v>
      </c>
      <c r="F1629" s="4" t="s">
        <v>8782</v>
      </c>
      <c r="G1629" s="4" t="s">
        <v>8697</v>
      </c>
      <c r="H1629" s="3" t="s">
        <v>8487</v>
      </c>
      <c r="I1629" s="3" t="s">
        <v>8698</v>
      </c>
      <c r="J1629" s="3" t="s">
        <v>8783</v>
      </c>
      <c r="K1629" s="3" t="s">
        <v>8784</v>
      </c>
      <c r="L1629" s="3" t="s">
        <v>8785</v>
      </c>
      <c r="M1629" s="4"/>
      <c r="N1629" s="3" t="s">
        <v>37</v>
      </c>
      <c r="O1629" s="3" t="s">
        <v>70</v>
      </c>
      <c r="P1629" s="5">
        <v>20</v>
      </c>
      <c r="Q1629" s="5">
        <v>542</v>
      </c>
      <c r="R1629" s="5">
        <v>19</v>
      </c>
      <c r="S1629" s="5">
        <v>521</v>
      </c>
    </row>
    <row r="1630" spans="1:19" ht="42" x14ac:dyDescent="0.15">
      <c r="A1630" s="2">
        <f>HYPERLINK("https://open-school.uspishnemisto.com.ua/school/120057/", 120057)</f>
        <v>120057</v>
      </c>
      <c r="B1630" s="3" t="s">
        <v>8786</v>
      </c>
      <c r="C1630" s="3" t="s">
        <v>293</v>
      </c>
      <c r="D1630" s="3" t="s">
        <v>32</v>
      </c>
      <c r="E1630" s="4" t="s">
        <v>22</v>
      </c>
      <c r="F1630" s="4" t="s">
        <v>8657</v>
      </c>
      <c r="G1630" s="4" t="s">
        <v>8697</v>
      </c>
      <c r="H1630" s="3" t="s">
        <v>8487</v>
      </c>
      <c r="I1630" s="3" t="s">
        <v>8698</v>
      </c>
      <c r="J1630" s="3" t="s">
        <v>8787</v>
      </c>
      <c r="K1630" s="3" t="s">
        <v>8788</v>
      </c>
      <c r="L1630" s="3" t="s">
        <v>8789</v>
      </c>
      <c r="M1630" s="4" t="s">
        <v>8790</v>
      </c>
      <c r="N1630" s="3" t="s">
        <v>37</v>
      </c>
      <c r="O1630" s="3" t="s">
        <v>38</v>
      </c>
      <c r="P1630" s="5">
        <v>11</v>
      </c>
      <c r="Q1630" s="5">
        <v>279</v>
      </c>
      <c r="R1630" s="5">
        <v>12</v>
      </c>
      <c r="S1630" s="5">
        <v>307</v>
      </c>
    </row>
    <row r="1631" spans="1:19" ht="42" x14ac:dyDescent="0.15">
      <c r="A1631" s="2">
        <f>HYPERLINK("https://open-school.uspishnemisto.com.ua/school/120001/", 120001)</f>
        <v>120001</v>
      </c>
      <c r="B1631" s="3" t="s">
        <v>8791</v>
      </c>
      <c r="C1631" s="3" t="s">
        <v>54</v>
      </c>
      <c r="D1631" s="3" t="s">
        <v>32</v>
      </c>
      <c r="E1631" s="4" t="s">
        <v>22</v>
      </c>
      <c r="F1631" s="4" t="s">
        <v>8681</v>
      </c>
      <c r="G1631" s="4" t="s">
        <v>8792</v>
      </c>
      <c r="H1631" s="3" t="s">
        <v>8487</v>
      </c>
      <c r="I1631" s="3" t="s">
        <v>8793</v>
      </c>
      <c r="J1631" s="3" t="s">
        <v>8794</v>
      </c>
      <c r="K1631" s="3" t="s">
        <v>8795</v>
      </c>
      <c r="L1631" s="3" t="s">
        <v>8796</v>
      </c>
      <c r="M1631" s="4"/>
      <c r="N1631" s="3" t="s">
        <v>37</v>
      </c>
      <c r="O1631" s="3" t="s">
        <v>38</v>
      </c>
      <c r="P1631" s="5">
        <v>32</v>
      </c>
      <c r="Q1631" s="5">
        <v>939</v>
      </c>
      <c r="R1631" s="5">
        <v>32</v>
      </c>
      <c r="S1631" s="5">
        <v>950</v>
      </c>
    </row>
    <row r="1632" spans="1:19" ht="42" x14ac:dyDescent="0.15">
      <c r="A1632" s="2">
        <f>HYPERLINK("https://open-school.uspishnemisto.com.ua/school/120058/", 120058)</f>
        <v>120058</v>
      </c>
      <c r="B1632" s="3" t="s">
        <v>8797</v>
      </c>
      <c r="C1632" s="3" t="s">
        <v>31</v>
      </c>
      <c r="D1632" s="3" t="s">
        <v>32</v>
      </c>
      <c r="E1632" s="4" t="s">
        <v>22</v>
      </c>
      <c r="F1632" s="4" t="s">
        <v>8610</v>
      </c>
      <c r="G1632" s="4" t="s">
        <v>8792</v>
      </c>
      <c r="H1632" s="3" t="s">
        <v>8487</v>
      </c>
      <c r="I1632" s="3" t="s">
        <v>8793</v>
      </c>
      <c r="J1632" s="3" t="s">
        <v>8798</v>
      </c>
      <c r="K1632" s="3" t="s">
        <v>8799</v>
      </c>
      <c r="L1632" s="3" t="s">
        <v>8800</v>
      </c>
      <c r="M1632" s="4"/>
      <c r="N1632" s="3" t="s">
        <v>967</v>
      </c>
      <c r="O1632" s="3" t="s">
        <v>46</v>
      </c>
      <c r="P1632" s="5">
        <v>30</v>
      </c>
      <c r="Q1632" s="5">
        <v>928</v>
      </c>
      <c r="R1632" s="5">
        <v>31</v>
      </c>
      <c r="S1632" s="5">
        <v>921</v>
      </c>
    </row>
    <row r="1633" spans="1:19" ht="42" x14ac:dyDescent="0.15">
      <c r="A1633" s="2">
        <f>HYPERLINK("https://open-school.uspishnemisto.com.ua/school/120059/", 120059)</f>
        <v>120059</v>
      </c>
      <c r="B1633" s="3" t="s">
        <v>8801</v>
      </c>
      <c r="C1633" s="3" t="s">
        <v>54</v>
      </c>
      <c r="D1633" s="3" t="s">
        <v>32</v>
      </c>
      <c r="E1633" s="4" t="s">
        <v>22</v>
      </c>
      <c r="F1633" s="4" t="s">
        <v>8657</v>
      </c>
      <c r="G1633" s="4" t="s">
        <v>8792</v>
      </c>
      <c r="H1633" s="3" t="s">
        <v>8487</v>
      </c>
      <c r="I1633" s="3" t="s">
        <v>8793</v>
      </c>
      <c r="J1633" s="3" t="s">
        <v>8802</v>
      </c>
      <c r="K1633" s="3" t="s">
        <v>8803</v>
      </c>
      <c r="L1633" s="3" t="s">
        <v>8804</v>
      </c>
      <c r="M1633" s="4" t="s">
        <v>8805</v>
      </c>
      <c r="N1633" s="3" t="s">
        <v>967</v>
      </c>
      <c r="O1633" s="3" t="s">
        <v>46</v>
      </c>
      <c r="P1633" s="5">
        <v>39</v>
      </c>
      <c r="Q1633" s="5">
        <v>1185</v>
      </c>
      <c r="R1633" s="5">
        <v>38</v>
      </c>
      <c r="S1633" s="5">
        <v>1171</v>
      </c>
    </row>
    <row r="1634" spans="1:19" ht="56" x14ac:dyDescent="0.15">
      <c r="A1634" s="2">
        <f>HYPERLINK("https://open-school.uspishnemisto.com.ua/school/120060/", 120060)</f>
        <v>120060</v>
      </c>
      <c r="B1634" s="3" t="s">
        <v>8806</v>
      </c>
      <c r="C1634" s="3" t="s">
        <v>54</v>
      </c>
      <c r="D1634" s="3" t="s">
        <v>32</v>
      </c>
      <c r="E1634" s="4" t="s">
        <v>22</v>
      </c>
      <c r="F1634" s="4" t="s">
        <v>8807</v>
      </c>
      <c r="G1634" s="4" t="s">
        <v>8792</v>
      </c>
      <c r="H1634" s="3" t="s">
        <v>8487</v>
      </c>
      <c r="I1634" s="3" t="s">
        <v>8793</v>
      </c>
      <c r="J1634" s="3" t="s">
        <v>8808</v>
      </c>
      <c r="K1634" s="3" t="s">
        <v>8809</v>
      </c>
      <c r="L1634" s="3" t="s">
        <v>8810</v>
      </c>
      <c r="M1634" s="4" t="s">
        <v>8811</v>
      </c>
      <c r="N1634" s="3" t="s">
        <v>37</v>
      </c>
      <c r="O1634" s="3" t="s">
        <v>46</v>
      </c>
      <c r="P1634" s="5">
        <v>23</v>
      </c>
      <c r="Q1634" s="5">
        <v>636</v>
      </c>
      <c r="R1634" s="5">
        <v>21</v>
      </c>
      <c r="S1634" s="5">
        <v>590</v>
      </c>
    </row>
    <row r="1635" spans="1:19" ht="42" x14ac:dyDescent="0.15">
      <c r="A1635" s="2">
        <f>HYPERLINK("https://open-school.uspishnemisto.com.ua/school/120061/", 120061)</f>
        <v>120061</v>
      </c>
      <c r="B1635" s="3" t="s">
        <v>8812</v>
      </c>
      <c r="C1635" s="3" t="s">
        <v>31</v>
      </c>
      <c r="D1635" s="3" t="s">
        <v>32</v>
      </c>
      <c r="E1635" s="4" t="s">
        <v>22</v>
      </c>
      <c r="F1635" s="4" t="s">
        <v>8610</v>
      </c>
      <c r="G1635" s="4" t="s">
        <v>8792</v>
      </c>
      <c r="H1635" s="3" t="s">
        <v>8487</v>
      </c>
      <c r="I1635" s="3" t="s">
        <v>8793</v>
      </c>
      <c r="J1635" s="3" t="s">
        <v>8813</v>
      </c>
      <c r="K1635" s="3" t="s">
        <v>8814</v>
      </c>
      <c r="L1635" s="3" t="s">
        <v>8815</v>
      </c>
      <c r="M1635" s="4"/>
      <c r="N1635" s="3" t="s">
        <v>37</v>
      </c>
      <c r="O1635" s="3" t="s">
        <v>2740</v>
      </c>
      <c r="P1635" s="5">
        <v>12</v>
      </c>
      <c r="Q1635" s="5">
        <v>374</v>
      </c>
      <c r="R1635" s="5">
        <v>11</v>
      </c>
      <c r="S1635" s="5">
        <v>346</v>
      </c>
    </row>
    <row r="1636" spans="1:19" ht="28" x14ac:dyDescent="0.15">
      <c r="A1636" s="2">
        <f>HYPERLINK("https://open-school.uspishnemisto.com.ua/school/120062/", 120062)</f>
        <v>120062</v>
      </c>
      <c r="B1636" s="3" t="s">
        <v>8816</v>
      </c>
      <c r="C1636" s="3" t="s">
        <v>31</v>
      </c>
      <c r="D1636" s="3" t="s">
        <v>32</v>
      </c>
      <c r="E1636" s="4" t="s">
        <v>22</v>
      </c>
      <c r="F1636" s="4" t="s">
        <v>8657</v>
      </c>
      <c r="G1636" s="4" t="s">
        <v>8792</v>
      </c>
      <c r="H1636" s="3" t="s">
        <v>8487</v>
      </c>
      <c r="I1636" s="3" t="s">
        <v>8793</v>
      </c>
      <c r="J1636" s="3" t="s">
        <v>8817</v>
      </c>
      <c r="K1636" s="3" t="s">
        <v>8818</v>
      </c>
      <c r="L1636" s="3" t="s">
        <v>8819</v>
      </c>
      <c r="M1636" s="4"/>
      <c r="N1636" s="3" t="s">
        <v>967</v>
      </c>
      <c r="O1636" s="3" t="s">
        <v>52</v>
      </c>
      <c r="P1636" s="5">
        <v>22</v>
      </c>
      <c r="Q1636" s="5">
        <v>715</v>
      </c>
      <c r="R1636" s="5">
        <v>22</v>
      </c>
      <c r="S1636" s="5">
        <v>701</v>
      </c>
    </row>
    <row r="1637" spans="1:19" ht="28" x14ac:dyDescent="0.15">
      <c r="A1637" s="2">
        <f>HYPERLINK("https://open-school.uspishnemisto.com.ua/school/120063/", 120063)</f>
        <v>120063</v>
      </c>
      <c r="B1637" s="3" t="s">
        <v>8820</v>
      </c>
      <c r="C1637" s="3" t="s">
        <v>31</v>
      </c>
      <c r="D1637" s="3" t="s">
        <v>32</v>
      </c>
      <c r="E1637" s="4" t="s">
        <v>22</v>
      </c>
      <c r="F1637" s="4" t="s">
        <v>8821</v>
      </c>
      <c r="G1637" s="4" t="s">
        <v>8792</v>
      </c>
      <c r="H1637" s="3" t="s">
        <v>8487</v>
      </c>
      <c r="I1637" s="3" t="s">
        <v>8793</v>
      </c>
      <c r="J1637" s="3" t="s">
        <v>8822</v>
      </c>
      <c r="K1637" s="3" t="s">
        <v>8823</v>
      </c>
      <c r="L1637" s="3" t="s">
        <v>8824</v>
      </c>
      <c r="M1637" s="4"/>
      <c r="N1637" s="3" t="s">
        <v>37</v>
      </c>
      <c r="O1637" s="3" t="s">
        <v>70</v>
      </c>
      <c r="P1637" s="5">
        <v>20</v>
      </c>
      <c r="Q1637" s="5">
        <v>570</v>
      </c>
      <c r="R1637" s="5">
        <v>20</v>
      </c>
      <c r="S1637" s="5">
        <v>553</v>
      </c>
    </row>
    <row r="1638" spans="1:19" ht="28" x14ac:dyDescent="0.15">
      <c r="A1638" s="2">
        <f>HYPERLINK("https://open-school.uspishnemisto.com.ua/school/120064/", 120064)</f>
        <v>120064</v>
      </c>
      <c r="B1638" s="3" t="s">
        <v>8825</v>
      </c>
      <c r="C1638" s="3" t="s">
        <v>31</v>
      </c>
      <c r="D1638" s="3" t="s">
        <v>32</v>
      </c>
      <c r="E1638" s="4" t="s">
        <v>22</v>
      </c>
      <c r="F1638" s="4" t="s">
        <v>8826</v>
      </c>
      <c r="G1638" s="4" t="s">
        <v>8792</v>
      </c>
      <c r="H1638" s="3" t="s">
        <v>8487</v>
      </c>
      <c r="I1638" s="3" t="s">
        <v>8793</v>
      </c>
      <c r="J1638" s="3" t="s">
        <v>8827</v>
      </c>
      <c r="K1638" s="3" t="s">
        <v>8828</v>
      </c>
      <c r="L1638" s="3" t="s">
        <v>8829</v>
      </c>
      <c r="M1638" s="4"/>
      <c r="N1638" s="3" t="s">
        <v>37</v>
      </c>
      <c r="O1638" s="3" t="s">
        <v>123</v>
      </c>
      <c r="P1638" s="5">
        <v>23</v>
      </c>
      <c r="Q1638" s="5">
        <v>714</v>
      </c>
      <c r="R1638" s="5">
        <v>23</v>
      </c>
      <c r="S1638" s="5">
        <v>691</v>
      </c>
    </row>
    <row r="1639" spans="1:19" ht="28" x14ac:dyDescent="0.15">
      <c r="A1639" s="2">
        <f>HYPERLINK("https://open-school.uspishnemisto.com.ua/school/120065/", 120065)</f>
        <v>120065</v>
      </c>
      <c r="B1639" s="3" t="s">
        <v>8830</v>
      </c>
      <c r="C1639" s="3" t="s">
        <v>31</v>
      </c>
      <c r="D1639" s="3" t="s">
        <v>32</v>
      </c>
      <c r="E1639" s="4" t="s">
        <v>22</v>
      </c>
      <c r="F1639" s="4" t="s">
        <v>8831</v>
      </c>
      <c r="G1639" s="4" t="s">
        <v>8792</v>
      </c>
      <c r="H1639" s="3" t="s">
        <v>8487</v>
      </c>
      <c r="I1639" s="3" t="s">
        <v>8793</v>
      </c>
      <c r="J1639" s="3" t="s">
        <v>8832</v>
      </c>
      <c r="K1639" s="3" t="s">
        <v>8833</v>
      </c>
      <c r="L1639" s="3" t="s">
        <v>8834</v>
      </c>
      <c r="M1639" s="4"/>
      <c r="N1639" s="3" t="s">
        <v>37</v>
      </c>
      <c r="O1639" s="3" t="s">
        <v>52</v>
      </c>
      <c r="P1639" s="5">
        <v>8</v>
      </c>
      <c r="Q1639" s="5">
        <v>174</v>
      </c>
      <c r="R1639" s="5">
        <v>9</v>
      </c>
      <c r="S1639" s="5">
        <v>166</v>
      </c>
    </row>
    <row r="1640" spans="1:19" ht="28" x14ac:dyDescent="0.15">
      <c r="A1640" s="2">
        <f>HYPERLINK("https://open-school.uspishnemisto.com.ua/school/120066/", 120066)</f>
        <v>120066</v>
      </c>
      <c r="B1640" s="3" t="s">
        <v>8835</v>
      </c>
      <c r="C1640" s="3" t="s">
        <v>31</v>
      </c>
      <c r="D1640" s="3" t="s">
        <v>32</v>
      </c>
      <c r="E1640" s="4" t="s">
        <v>22</v>
      </c>
      <c r="F1640" s="4" t="s">
        <v>8836</v>
      </c>
      <c r="G1640" s="4" t="s">
        <v>8792</v>
      </c>
      <c r="H1640" s="3" t="s">
        <v>8487</v>
      </c>
      <c r="I1640" s="3" t="s">
        <v>8793</v>
      </c>
      <c r="J1640" s="3" t="s">
        <v>8837</v>
      </c>
      <c r="K1640" s="3" t="s">
        <v>8838</v>
      </c>
      <c r="L1640" s="3" t="s">
        <v>8839</v>
      </c>
      <c r="M1640" s="4"/>
      <c r="N1640" s="3" t="s">
        <v>37</v>
      </c>
      <c r="O1640" s="3" t="s">
        <v>38</v>
      </c>
      <c r="P1640" s="5">
        <v>22</v>
      </c>
      <c r="Q1640" s="5">
        <v>604</v>
      </c>
      <c r="R1640" s="5">
        <v>21</v>
      </c>
      <c r="S1640" s="5">
        <v>578</v>
      </c>
    </row>
    <row r="1641" spans="1:19" ht="28" x14ac:dyDescent="0.15">
      <c r="A1641" s="2">
        <f>HYPERLINK("https://open-school.uspishnemisto.com.ua/school/120067/", 120067)</f>
        <v>120067</v>
      </c>
      <c r="B1641" s="3" t="s">
        <v>8840</v>
      </c>
      <c r="C1641" s="3" t="s">
        <v>31</v>
      </c>
      <c r="D1641" s="3" t="s">
        <v>32</v>
      </c>
      <c r="E1641" s="4" t="s">
        <v>22</v>
      </c>
      <c r="F1641" s="4" t="s">
        <v>8841</v>
      </c>
      <c r="G1641" s="4" t="s">
        <v>8792</v>
      </c>
      <c r="H1641" s="3" t="s">
        <v>8487</v>
      </c>
      <c r="I1641" s="3" t="s">
        <v>8793</v>
      </c>
      <c r="J1641" s="3" t="s">
        <v>8842</v>
      </c>
      <c r="K1641" s="3" t="s">
        <v>8843</v>
      </c>
      <c r="L1641" s="3"/>
      <c r="M1641" s="4"/>
      <c r="N1641" s="3" t="s">
        <v>37</v>
      </c>
      <c r="O1641" s="3" t="s">
        <v>70</v>
      </c>
      <c r="P1641" s="5">
        <v>26</v>
      </c>
      <c r="Q1641" s="5">
        <v>720</v>
      </c>
      <c r="R1641" s="5">
        <v>25</v>
      </c>
      <c r="S1641" s="5">
        <v>694</v>
      </c>
    </row>
    <row r="1642" spans="1:19" ht="28" x14ac:dyDescent="0.15">
      <c r="A1642" s="2">
        <f>HYPERLINK("https://open-school.uspishnemisto.com.ua/school/120068/", 120068)</f>
        <v>120068</v>
      </c>
      <c r="B1642" s="3" t="s">
        <v>8844</v>
      </c>
      <c r="C1642" s="3" t="s">
        <v>31</v>
      </c>
      <c r="D1642" s="3" t="s">
        <v>32</v>
      </c>
      <c r="E1642" s="4" t="s">
        <v>22</v>
      </c>
      <c r="F1642" s="4" t="s">
        <v>8841</v>
      </c>
      <c r="G1642" s="4" t="s">
        <v>8792</v>
      </c>
      <c r="H1642" s="3" t="s">
        <v>8487</v>
      </c>
      <c r="I1642" s="3" t="s">
        <v>8793</v>
      </c>
      <c r="J1642" s="3" t="s">
        <v>8845</v>
      </c>
      <c r="K1642" s="3" t="s">
        <v>8846</v>
      </c>
      <c r="L1642" s="3" t="s">
        <v>8847</v>
      </c>
      <c r="M1642" s="4"/>
      <c r="N1642" s="3" t="s">
        <v>37</v>
      </c>
      <c r="O1642" s="3" t="s">
        <v>2740</v>
      </c>
      <c r="P1642" s="5">
        <v>22</v>
      </c>
      <c r="Q1642" s="5">
        <v>677</v>
      </c>
      <c r="R1642" s="5">
        <v>22</v>
      </c>
      <c r="S1642" s="5">
        <v>639</v>
      </c>
    </row>
    <row r="1643" spans="1:19" ht="28" x14ac:dyDescent="0.15">
      <c r="A1643" s="2">
        <f>HYPERLINK("https://open-school.uspishnemisto.com.ua/school/120069/", 120069)</f>
        <v>120069</v>
      </c>
      <c r="B1643" s="3" t="s">
        <v>8848</v>
      </c>
      <c r="C1643" s="3" t="s">
        <v>31</v>
      </c>
      <c r="D1643" s="3" t="s">
        <v>32</v>
      </c>
      <c r="E1643" s="4" t="s">
        <v>22</v>
      </c>
      <c r="F1643" s="4" t="s">
        <v>8693</v>
      </c>
      <c r="G1643" s="4" t="s">
        <v>8792</v>
      </c>
      <c r="H1643" s="3" t="s">
        <v>8487</v>
      </c>
      <c r="I1643" s="3" t="s">
        <v>8793</v>
      </c>
      <c r="J1643" s="3" t="s">
        <v>8849</v>
      </c>
      <c r="K1643" s="3" t="s">
        <v>8850</v>
      </c>
      <c r="L1643" s="3" t="s">
        <v>8851</v>
      </c>
      <c r="M1643" s="4" t="s">
        <v>8852</v>
      </c>
      <c r="N1643" s="3" t="s">
        <v>37</v>
      </c>
      <c r="O1643" s="3" t="s">
        <v>46</v>
      </c>
      <c r="P1643" s="5">
        <v>24</v>
      </c>
      <c r="Q1643" s="5">
        <v>649</v>
      </c>
      <c r="R1643" s="5">
        <v>23</v>
      </c>
      <c r="S1643" s="5">
        <v>608</v>
      </c>
    </row>
    <row r="1644" spans="1:19" ht="42" x14ac:dyDescent="0.15">
      <c r="A1644" s="2">
        <f>HYPERLINK("https://open-school.uspishnemisto.com.ua/school/120070/", 120070)</f>
        <v>120070</v>
      </c>
      <c r="B1644" s="3" t="s">
        <v>8853</v>
      </c>
      <c r="C1644" s="3" t="s">
        <v>31</v>
      </c>
      <c r="D1644" s="3" t="s">
        <v>32</v>
      </c>
      <c r="E1644" s="4" t="s">
        <v>22</v>
      </c>
      <c r="F1644" s="4" t="s">
        <v>8807</v>
      </c>
      <c r="G1644" s="4" t="s">
        <v>8792</v>
      </c>
      <c r="H1644" s="3" t="s">
        <v>8487</v>
      </c>
      <c r="I1644" s="3" t="s">
        <v>8793</v>
      </c>
      <c r="J1644" s="3" t="s">
        <v>8854</v>
      </c>
      <c r="K1644" s="3" t="s">
        <v>8855</v>
      </c>
      <c r="L1644" s="3" t="s">
        <v>8856</v>
      </c>
      <c r="M1644" s="4"/>
      <c r="N1644" s="3" t="s">
        <v>967</v>
      </c>
      <c r="O1644" s="3" t="s">
        <v>8857</v>
      </c>
      <c r="P1644" s="5">
        <v>22</v>
      </c>
      <c r="Q1644" s="5">
        <v>573</v>
      </c>
      <c r="R1644" s="5">
        <v>21</v>
      </c>
      <c r="S1644" s="5">
        <v>567</v>
      </c>
    </row>
    <row r="1645" spans="1:19" ht="28" x14ac:dyDescent="0.15">
      <c r="A1645" s="2">
        <f>HYPERLINK("https://open-school.uspishnemisto.com.ua/school/120071/", 120071)</f>
        <v>120071</v>
      </c>
      <c r="B1645" s="3" t="s">
        <v>8858</v>
      </c>
      <c r="C1645" s="3" t="s">
        <v>31</v>
      </c>
      <c r="D1645" s="3" t="s">
        <v>32</v>
      </c>
      <c r="E1645" s="4" t="s">
        <v>22</v>
      </c>
      <c r="F1645" s="4" t="s">
        <v>8657</v>
      </c>
      <c r="G1645" s="4" t="s">
        <v>8792</v>
      </c>
      <c r="H1645" s="3" t="s">
        <v>8487</v>
      </c>
      <c r="I1645" s="3" t="s">
        <v>8793</v>
      </c>
      <c r="J1645" s="3" t="s">
        <v>8859</v>
      </c>
      <c r="K1645" s="3" t="s">
        <v>8860</v>
      </c>
      <c r="L1645" s="3" t="s">
        <v>8861</v>
      </c>
      <c r="M1645" s="4"/>
      <c r="N1645" s="3" t="s">
        <v>37</v>
      </c>
      <c r="O1645" s="3" t="s">
        <v>52</v>
      </c>
      <c r="P1645" s="5">
        <v>17</v>
      </c>
      <c r="Q1645" s="5">
        <v>432</v>
      </c>
      <c r="R1645" s="5">
        <v>16</v>
      </c>
      <c r="S1645" s="5">
        <v>415</v>
      </c>
    </row>
    <row r="1646" spans="1:19" ht="42" x14ac:dyDescent="0.15">
      <c r="A1646" s="2">
        <f>HYPERLINK("https://open-school.uspishnemisto.com.ua/school/120072/", 120072)</f>
        <v>120072</v>
      </c>
      <c r="B1646" s="3" t="s">
        <v>8862</v>
      </c>
      <c r="C1646" s="3" t="s">
        <v>244</v>
      </c>
      <c r="D1646" s="3" t="s">
        <v>32</v>
      </c>
      <c r="E1646" s="4" t="s">
        <v>22</v>
      </c>
      <c r="F1646" s="4" t="s">
        <v>8841</v>
      </c>
      <c r="G1646" s="4" t="s">
        <v>8792</v>
      </c>
      <c r="H1646" s="3" t="s">
        <v>8487</v>
      </c>
      <c r="I1646" s="3" t="s">
        <v>8793</v>
      </c>
      <c r="J1646" s="3" t="s">
        <v>8863</v>
      </c>
      <c r="K1646" s="3" t="s">
        <v>8864</v>
      </c>
      <c r="L1646" s="3" t="s">
        <v>8865</v>
      </c>
      <c r="M1646" s="4"/>
      <c r="N1646" s="3" t="s">
        <v>967</v>
      </c>
      <c r="O1646" s="3" t="s">
        <v>46</v>
      </c>
      <c r="P1646" s="5">
        <v>23</v>
      </c>
      <c r="Q1646" s="5">
        <v>619</v>
      </c>
      <c r="R1646" s="5">
        <v>24</v>
      </c>
      <c r="S1646" s="5">
        <v>630</v>
      </c>
    </row>
    <row r="1647" spans="1:19" ht="42" x14ac:dyDescent="0.15">
      <c r="A1647" s="2">
        <f>HYPERLINK("https://open-school.uspishnemisto.com.ua/school/120073/", 120073)</f>
        <v>120073</v>
      </c>
      <c r="B1647" s="3" t="s">
        <v>8866</v>
      </c>
      <c r="C1647" s="3" t="s">
        <v>54</v>
      </c>
      <c r="D1647" s="3" t="s">
        <v>32</v>
      </c>
      <c r="E1647" s="4" t="s">
        <v>22</v>
      </c>
      <c r="F1647" s="4" t="s">
        <v>8693</v>
      </c>
      <c r="G1647" s="4" t="s">
        <v>8792</v>
      </c>
      <c r="H1647" s="3" t="s">
        <v>8487</v>
      </c>
      <c r="I1647" s="3" t="s">
        <v>8793</v>
      </c>
      <c r="J1647" s="3" t="s">
        <v>8867</v>
      </c>
      <c r="K1647" s="3" t="s">
        <v>8868</v>
      </c>
      <c r="L1647" s="3" t="s">
        <v>8869</v>
      </c>
      <c r="M1647" s="4" t="s">
        <v>8870</v>
      </c>
      <c r="N1647" s="3" t="s">
        <v>967</v>
      </c>
      <c r="O1647" s="3" t="s">
        <v>46</v>
      </c>
      <c r="P1647" s="5">
        <v>46</v>
      </c>
      <c r="Q1647" s="5">
        <v>1221</v>
      </c>
      <c r="R1647" s="5">
        <v>45</v>
      </c>
      <c r="S1647" s="5">
        <v>1191</v>
      </c>
    </row>
    <row r="1648" spans="1:19" ht="28" x14ac:dyDescent="0.15">
      <c r="A1648" s="2">
        <f>HYPERLINK("https://open-school.uspishnemisto.com.ua/school/120074/", 120074)</f>
        <v>120074</v>
      </c>
      <c r="B1648" s="3" t="s">
        <v>8871</v>
      </c>
      <c r="C1648" s="3" t="s">
        <v>31</v>
      </c>
      <c r="D1648" s="3" t="s">
        <v>32</v>
      </c>
      <c r="E1648" s="4" t="s">
        <v>41</v>
      </c>
      <c r="F1648" s="4" t="s">
        <v>8523</v>
      </c>
      <c r="G1648" s="4" t="s">
        <v>8792</v>
      </c>
      <c r="H1648" s="3" t="s">
        <v>8487</v>
      </c>
      <c r="I1648" s="3" t="s">
        <v>8793</v>
      </c>
      <c r="J1648" s="3" t="s">
        <v>8872</v>
      </c>
      <c r="K1648" s="3" t="s">
        <v>8873</v>
      </c>
      <c r="L1648" s="3"/>
      <c r="M1648" s="4"/>
      <c r="N1648" s="3" t="s">
        <v>967</v>
      </c>
      <c r="O1648" s="3" t="s">
        <v>52</v>
      </c>
      <c r="P1648" s="5">
        <v>11</v>
      </c>
      <c r="Q1648" s="5">
        <v>50</v>
      </c>
      <c r="R1648" s="5"/>
      <c r="S1648" s="5"/>
    </row>
    <row r="1649" spans="1:19" ht="56" x14ac:dyDescent="0.15">
      <c r="A1649" s="2">
        <f>HYPERLINK("https://open-school.uspishnemisto.com.ua/school/120008/", 120008)</f>
        <v>120008</v>
      </c>
      <c r="B1649" s="3" t="s">
        <v>8874</v>
      </c>
      <c r="C1649" s="3" t="s">
        <v>188</v>
      </c>
      <c r="D1649" s="3" t="s">
        <v>32</v>
      </c>
      <c r="E1649" s="4" t="s">
        <v>22</v>
      </c>
      <c r="F1649" s="4" t="s">
        <v>8677</v>
      </c>
      <c r="G1649" s="4" t="s">
        <v>8875</v>
      </c>
      <c r="H1649" s="3" t="s">
        <v>8487</v>
      </c>
      <c r="I1649" s="3" t="s">
        <v>8876</v>
      </c>
      <c r="J1649" s="3" t="s">
        <v>4501</v>
      </c>
      <c r="K1649" s="3" t="s">
        <v>8877</v>
      </c>
      <c r="L1649" s="3"/>
      <c r="M1649" s="4" t="s">
        <v>8878</v>
      </c>
      <c r="N1649" s="3" t="s">
        <v>37</v>
      </c>
      <c r="O1649" s="3" t="s">
        <v>38</v>
      </c>
      <c r="P1649" s="5">
        <v>15</v>
      </c>
      <c r="Q1649" s="5">
        <v>462</v>
      </c>
      <c r="R1649" s="5">
        <v>15</v>
      </c>
      <c r="S1649" s="5">
        <v>459</v>
      </c>
    </row>
    <row r="1650" spans="1:19" ht="28" x14ac:dyDescent="0.15">
      <c r="A1650" s="2">
        <f>HYPERLINK("https://open-school.uspishnemisto.com.ua/school/120012/", 120012)</f>
        <v>120012</v>
      </c>
      <c r="B1650" s="3" t="s">
        <v>8879</v>
      </c>
      <c r="C1650" s="3" t="s">
        <v>188</v>
      </c>
      <c r="D1650" s="3" t="s">
        <v>32</v>
      </c>
      <c r="E1650" s="4" t="s">
        <v>22</v>
      </c>
      <c r="F1650" s="4" t="s">
        <v>8641</v>
      </c>
      <c r="G1650" s="4" t="s">
        <v>8875</v>
      </c>
      <c r="H1650" s="3" t="s">
        <v>8487</v>
      </c>
      <c r="I1650" s="3" t="s">
        <v>8876</v>
      </c>
      <c r="J1650" s="3" t="s">
        <v>8880</v>
      </c>
      <c r="K1650" s="3" t="s">
        <v>8881</v>
      </c>
      <c r="L1650" s="3" t="s">
        <v>8882</v>
      </c>
      <c r="M1650" s="4" t="s">
        <v>8883</v>
      </c>
      <c r="N1650" s="3" t="s">
        <v>37</v>
      </c>
      <c r="O1650" s="3" t="s">
        <v>2740</v>
      </c>
      <c r="P1650" s="5">
        <v>11</v>
      </c>
      <c r="Q1650" s="5">
        <v>277</v>
      </c>
      <c r="R1650" s="5">
        <v>11</v>
      </c>
      <c r="S1650" s="5">
        <v>317</v>
      </c>
    </row>
    <row r="1651" spans="1:19" ht="70" x14ac:dyDescent="0.15">
      <c r="A1651" s="2">
        <f>HYPERLINK("https://open-school.uspishnemisto.com.ua/school/120075/", 120075)</f>
        <v>120075</v>
      </c>
      <c r="B1651" s="3" t="s">
        <v>8884</v>
      </c>
      <c r="C1651" s="3" t="s">
        <v>54</v>
      </c>
      <c r="D1651" s="3" t="s">
        <v>32</v>
      </c>
      <c r="E1651" s="4" t="s">
        <v>22</v>
      </c>
      <c r="F1651" s="4" t="s">
        <v>8689</v>
      </c>
      <c r="G1651" s="4" t="s">
        <v>8875</v>
      </c>
      <c r="H1651" s="3" t="s">
        <v>8487</v>
      </c>
      <c r="I1651" s="3" t="s">
        <v>8876</v>
      </c>
      <c r="J1651" s="3" t="s">
        <v>8885</v>
      </c>
      <c r="K1651" s="3" t="s">
        <v>8886</v>
      </c>
      <c r="L1651" s="3" t="s">
        <v>8887</v>
      </c>
      <c r="M1651" s="4"/>
      <c r="N1651" s="3" t="s">
        <v>37</v>
      </c>
      <c r="O1651" s="3" t="s">
        <v>38</v>
      </c>
      <c r="P1651" s="5">
        <v>12</v>
      </c>
      <c r="Q1651" s="5">
        <v>337</v>
      </c>
      <c r="R1651" s="5">
        <v>14</v>
      </c>
      <c r="S1651" s="5">
        <v>368</v>
      </c>
    </row>
    <row r="1652" spans="1:19" ht="28" x14ac:dyDescent="0.15">
      <c r="A1652" s="2">
        <f>HYPERLINK("https://open-school.uspishnemisto.com.ua/school/120076/", 120076)</f>
        <v>120076</v>
      </c>
      <c r="B1652" s="3" t="s">
        <v>8888</v>
      </c>
      <c r="C1652" s="3" t="s">
        <v>54</v>
      </c>
      <c r="D1652" s="3" t="s">
        <v>32</v>
      </c>
      <c r="E1652" s="4" t="s">
        <v>22</v>
      </c>
      <c r="F1652" s="4" t="s">
        <v>8836</v>
      </c>
      <c r="G1652" s="4" t="s">
        <v>8875</v>
      </c>
      <c r="H1652" s="3" t="s">
        <v>8487</v>
      </c>
      <c r="I1652" s="3" t="s">
        <v>8876</v>
      </c>
      <c r="J1652" s="3" t="s">
        <v>8889</v>
      </c>
      <c r="K1652" s="3" t="s">
        <v>8890</v>
      </c>
      <c r="L1652" s="3" t="s">
        <v>8891</v>
      </c>
      <c r="M1652" s="4" t="s">
        <v>8892</v>
      </c>
      <c r="N1652" s="3" t="s">
        <v>967</v>
      </c>
      <c r="O1652" s="3" t="s">
        <v>123</v>
      </c>
      <c r="P1652" s="5">
        <v>41</v>
      </c>
      <c r="Q1652" s="5">
        <v>1175</v>
      </c>
      <c r="R1652" s="5">
        <v>39</v>
      </c>
      <c r="S1652" s="5">
        <v>1102</v>
      </c>
    </row>
    <row r="1653" spans="1:19" ht="42" x14ac:dyDescent="0.15">
      <c r="A1653" s="2">
        <f>HYPERLINK("https://open-school.uspishnemisto.com.ua/school/120077/", 120077)</f>
        <v>120077</v>
      </c>
      <c r="B1653" s="3" t="s">
        <v>8893</v>
      </c>
      <c r="C1653" s="3" t="s">
        <v>54</v>
      </c>
      <c r="D1653" s="3" t="s">
        <v>32</v>
      </c>
      <c r="E1653" s="4" t="s">
        <v>22</v>
      </c>
      <c r="F1653" s="4" t="s">
        <v>8677</v>
      </c>
      <c r="G1653" s="4" t="s">
        <v>8875</v>
      </c>
      <c r="H1653" s="3" t="s">
        <v>8487</v>
      </c>
      <c r="I1653" s="3" t="s">
        <v>8876</v>
      </c>
      <c r="J1653" s="3" t="s">
        <v>8894</v>
      </c>
      <c r="K1653" s="3" t="s">
        <v>8895</v>
      </c>
      <c r="L1653" s="3" t="s">
        <v>8896</v>
      </c>
      <c r="M1653" s="4" t="s">
        <v>8897</v>
      </c>
      <c r="N1653" s="3" t="s">
        <v>967</v>
      </c>
      <c r="O1653" s="3" t="s">
        <v>123</v>
      </c>
      <c r="P1653" s="5">
        <v>34</v>
      </c>
      <c r="Q1653" s="5">
        <v>977</v>
      </c>
      <c r="R1653" s="5">
        <v>33</v>
      </c>
      <c r="S1653" s="5">
        <v>925</v>
      </c>
    </row>
    <row r="1654" spans="1:19" ht="42" x14ac:dyDescent="0.15">
      <c r="A1654" s="2">
        <f>HYPERLINK("https://open-school.uspishnemisto.com.ua/school/120078/", 120078)</f>
        <v>120078</v>
      </c>
      <c r="B1654" s="3" t="s">
        <v>8898</v>
      </c>
      <c r="C1654" s="3" t="s">
        <v>54</v>
      </c>
      <c r="D1654" s="3" t="s">
        <v>32</v>
      </c>
      <c r="E1654" s="4" t="s">
        <v>22</v>
      </c>
      <c r="F1654" s="4" t="s">
        <v>8899</v>
      </c>
      <c r="G1654" s="4" t="s">
        <v>8875</v>
      </c>
      <c r="H1654" s="3" t="s">
        <v>8487</v>
      </c>
      <c r="I1654" s="3" t="s">
        <v>8876</v>
      </c>
      <c r="J1654" s="3" t="s">
        <v>8900</v>
      </c>
      <c r="K1654" s="3" t="s">
        <v>8901</v>
      </c>
      <c r="L1654" s="3" t="s">
        <v>8902</v>
      </c>
      <c r="M1654" s="4"/>
      <c r="N1654" s="3" t="s">
        <v>967</v>
      </c>
      <c r="O1654" s="3" t="s">
        <v>52</v>
      </c>
      <c r="P1654" s="5">
        <v>33</v>
      </c>
      <c r="Q1654" s="5">
        <v>970</v>
      </c>
      <c r="R1654" s="5">
        <v>29</v>
      </c>
      <c r="S1654" s="5">
        <v>866</v>
      </c>
    </row>
    <row r="1655" spans="1:19" ht="42" x14ac:dyDescent="0.15">
      <c r="A1655" s="2">
        <f>HYPERLINK("https://open-school.uspishnemisto.com.ua/school/120079/", 120079)</f>
        <v>120079</v>
      </c>
      <c r="B1655" s="3" t="s">
        <v>8903</v>
      </c>
      <c r="C1655" s="3" t="s">
        <v>54</v>
      </c>
      <c r="D1655" s="3" t="s">
        <v>32</v>
      </c>
      <c r="E1655" s="4" t="s">
        <v>22</v>
      </c>
      <c r="F1655" s="4" t="s">
        <v>8904</v>
      </c>
      <c r="G1655" s="4" t="s">
        <v>8875</v>
      </c>
      <c r="H1655" s="3" t="s">
        <v>8487</v>
      </c>
      <c r="I1655" s="3" t="s">
        <v>8876</v>
      </c>
      <c r="J1655" s="3" t="s">
        <v>8905</v>
      </c>
      <c r="K1655" s="3" t="s">
        <v>8906</v>
      </c>
      <c r="L1655" s="3" t="s">
        <v>8907</v>
      </c>
      <c r="M1655" s="4"/>
      <c r="N1655" s="3" t="s">
        <v>37</v>
      </c>
      <c r="O1655" s="3" t="s">
        <v>197</v>
      </c>
      <c r="P1655" s="5">
        <v>33</v>
      </c>
      <c r="Q1655" s="5">
        <v>985</v>
      </c>
      <c r="R1655" s="5">
        <v>34</v>
      </c>
      <c r="S1655" s="5">
        <v>1012</v>
      </c>
    </row>
    <row r="1656" spans="1:19" ht="42" x14ac:dyDescent="0.15">
      <c r="A1656" s="2">
        <f>HYPERLINK("https://open-school.uspishnemisto.com.ua/school/120080/", 120080)</f>
        <v>120080</v>
      </c>
      <c r="B1656" s="3" t="s">
        <v>8908</v>
      </c>
      <c r="C1656" s="3" t="s">
        <v>54</v>
      </c>
      <c r="D1656" s="3" t="s">
        <v>32</v>
      </c>
      <c r="E1656" s="4" t="s">
        <v>22</v>
      </c>
      <c r="F1656" s="4" t="s">
        <v>8909</v>
      </c>
      <c r="G1656" s="4" t="s">
        <v>8875</v>
      </c>
      <c r="H1656" s="3" t="s">
        <v>8487</v>
      </c>
      <c r="I1656" s="3" t="s">
        <v>8876</v>
      </c>
      <c r="J1656" s="3" t="s">
        <v>8910</v>
      </c>
      <c r="K1656" s="3" t="s">
        <v>8911</v>
      </c>
      <c r="L1656" s="3" t="s">
        <v>8912</v>
      </c>
      <c r="M1656" s="4"/>
      <c r="N1656" s="3" t="s">
        <v>37</v>
      </c>
      <c r="O1656" s="3" t="s">
        <v>38</v>
      </c>
      <c r="P1656" s="5">
        <v>25</v>
      </c>
      <c r="Q1656" s="5">
        <v>772</v>
      </c>
      <c r="R1656" s="5">
        <v>24</v>
      </c>
      <c r="S1656" s="5">
        <v>721</v>
      </c>
    </row>
    <row r="1657" spans="1:19" ht="28" x14ac:dyDescent="0.15">
      <c r="A1657" s="2">
        <f>HYPERLINK("https://open-school.uspishnemisto.com.ua/school/120081/", 120081)</f>
        <v>120081</v>
      </c>
      <c r="B1657" s="3" t="s">
        <v>8913</v>
      </c>
      <c r="C1657" s="3" t="s">
        <v>31</v>
      </c>
      <c r="D1657" s="3" t="s">
        <v>32</v>
      </c>
      <c r="E1657" s="4" t="s">
        <v>22</v>
      </c>
      <c r="F1657" s="4" t="s">
        <v>8485</v>
      </c>
      <c r="G1657" s="4" t="s">
        <v>8875</v>
      </c>
      <c r="H1657" s="3" t="s">
        <v>8487</v>
      </c>
      <c r="I1657" s="3" t="s">
        <v>8876</v>
      </c>
      <c r="J1657" s="3" t="s">
        <v>8914</v>
      </c>
      <c r="K1657" s="3" t="s">
        <v>8915</v>
      </c>
      <c r="L1657" s="3" t="s">
        <v>8916</v>
      </c>
      <c r="M1657" s="4"/>
      <c r="N1657" s="3" t="s">
        <v>37</v>
      </c>
      <c r="O1657" s="3" t="s">
        <v>38</v>
      </c>
      <c r="P1657" s="5">
        <v>17</v>
      </c>
      <c r="Q1657" s="5">
        <v>442</v>
      </c>
      <c r="R1657" s="5">
        <v>15</v>
      </c>
      <c r="S1657" s="5">
        <v>391</v>
      </c>
    </row>
    <row r="1658" spans="1:19" ht="28" x14ac:dyDescent="0.15">
      <c r="A1658" s="2">
        <f>HYPERLINK("https://open-school.uspishnemisto.com.ua/school/120082/", 120082)</f>
        <v>120082</v>
      </c>
      <c r="B1658" s="3" t="s">
        <v>8917</v>
      </c>
      <c r="C1658" s="3" t="s">
        <v>31</v>
      </c>
      <c r="D1658" s="3" t="s">
        <v>32</v>
      </c>
      <c r="E1658" s="4" t="s">
        <v>22</v>
      </c>
      <c r="F1658" s="4" t="s">
        <v>8904</v>
      </c>
      <c r="G1658" s="4" t="s">
        <v>8875</v>
      </c>
      <c r="H1658" s="3" t="s">
        <v>8487</v>
      </c>
      <c r="I1658" s="3" t="s">
        <v>8876</v>
      </c>
      <c r="J1658" s="3" t="s">
        <v>8918</v>
      </c>
      <c r="K1658" s="3" t="s">
        <v>8919</v>
      </c>
      <c r="L1658" s="3" t="s">
        <v>8920</v>
      </c>
      <c r="M1658" s="4"/>
      <c r="N1658" s="3" t="s">
        <v>37</v>
      </c>
      <c r="O1658" s="3" t="s">
        <v>70</v>
      </c>
      <c r="P1658" s="5">
        <v>17</v>
      </c>
      <c r="Q1658" s="5">
        <v>439</v>
      </c>
      <c r="R1658" s="5">
        <v>16</v>
      </c>
      <c r="S1658" s="5">
        <v>414</v>
      </c>
    </row>
    <row r="1659" spans="1:19" ht="28" x14ac:dyDescent="0.15">
      <c r="A1659" s="2">
        <f>HYPERLINK("https://open-school.uspishnemisto.com.ua/school/120083/", 120083)</f>
        <v>120083</v>
      </c>
      <c r="B1659" s="3" t="s">
        <v>8921</v>
      </c>
      <c r="C1659" s="3" t="s">
        <v>31</v>
      </c>
      <c r="D1659" s="3" t="s">
        <v>32</v>
      </c>
      <c r="E1659" s="4" t="s">
        <v>22</v>
      </c>
      <c r="F1659" s="4" t="s">
        <v>8909</v>
      </c>
      <c r="G1659" s="4" t="s">
        <v>8875</v>
      </c>
      <c r="H1659" s="3" t="s">
        <v>8487</v>
      </c>
      <c r="I1659" s="3" t="s">
        <v>8876</v>
      </c>
      <c r="J1659" s="3" t="s">
        <v>8922</v>
      </c>
      <c r="K1659" s="3" t="s">
        <v>8923</v>
      </c>
      <c r="L1659" s="3" t="s">
        <v>8924</v>
      </c>
      <c r="M1659" s="4"/>
      <c r="N1659" s="3" t="s">
        <v>967</v>
      </c>
      <c r="O1659" s="3" t="s">
        <v>2740</v>
      </c>
      <c r="P1659" s="5">
        <v>25</v>
      </c>
      <c r="Q1659" s="5">
        <v>733</v>
      </c>
      <c r="R1659" s="5">
        <v>25</v>
      </c>
      <c r="S1659" s="5">
        <v>694</v>
      </c>
    </row>
    <row r="1660" spans="1:19" ht="28" x14ac:dyDescent="0.15">
      <c r="A1660" s="2">
        <f>HYPERLINK("https://open-school.uspishnemisto.com.ua/school/120084/", 120084)</f>
        <v>120084</v>
      </c>
      <c r="B1660" s="3" t="s">
        <v>8925</v>
      </c>
      <c r="C1660" s="3" t="s">
        <v>31</v>
      </c>
      <c r="D1660" s="3" t="s">
        <v>32</v>
      </c>
      <c r="E1660" s="4" t="s">
        <v>22</v>
      </c>
      <c r="F1660" s="4" t="s">
        <v>8591</v>
      </c>
      <c r="G1660" s="4" t="s">
        <v>8875</v>
      </c>
      <c r="H1660" s="3" t="s">
        <v>8487</v>
      </c>
      <c r="I1660" s="3" t="s">
        <v>8876</v>
      </c>
      <c r="J1660" s="3" t="s">
        <v>8926</v>
      </c>
      <c r="K1660" s="3" t="s">
        <v>8927</v>
      </c>
      <c r="L1660" s="3" t="s">
        <v>8928</v>
      </c>
      <c r="M1660" s="4"/>
      <c r="N1660" s="3" t="s">
        <v>37</v>
      </c>
      <c r="O1660" s="3" t="s">
        <v>52</v>
      </c>
      <c r="P1660" s="5">
        <v>19</v>
      </c>
      <c r="Q1660" s="5">
        <v>511</v>
      </c>
      <c r="R1660" s="5">
        <v>18</v>
      </c>
      <c r="S1660" s="5">
        <v>487</v>
      </c>
    </row>
    <row r="1661" spans="1:19" ht="28" x14ac:dyDescent="0.15">
      <c r="A1661" s="2">
        <f>HYPERLINK("https://open-school.uspishnemisto.com.ua/school/120085/", 120085)</f>
        <v>120085</v>
      </c>
      <c r="B1661" s="3" t="s">
        <v>8929</v>
      </c>
      <c r="C1661" s="3" t="s">
        <v>31</v>
      </c>
      <c r="D1661" s="3" t="s">
        <v>32</v>
      </c>
      <c r="E1661" s="4" t="s">
        <v>22</v>
      </c>
      <c r="F1661" s="4" t="s">
        <v>8641</v>
      </c>
      <c r="G1661" s="4" t="s">
        <v>8875</v>
      </c>
      <c r="H1661" s="3" t="s">
        <v>8487</v>
      </c>
      <c r="I1661" s="3" t="s">
        <v>8876</v>
      </c>
      <c r="J1661" s="3" t="s">
        <v>8930</v>
      </c>
      <c r="K1661" s="3" t="s">
        <v>8931</v>
      </c>
      <c r="L1661" s="3" t="s">
        <v>8932</v>
      </c>
      <c r="M1661" s="4"/>
      <c r="N1661" s="3" t="s">
        <v>37</v>
      </c>
      <c r="O1661" s="3" t="s">
        <v>38</v>
      </c>
      <c r="P1661" s="5">
        <v>26</v>
      </c>
      <c r="Q1661" s="5">
        <v>769</v>
      </c>
      <c r="R1661" s="5">
        <v>26</v>
      </c>
      <c r="S1661" s="5">
        <v>753</v>
      </c>
    </row>
    <row r="1662" spans="1:19" ht="42" x14ac:dyDescent="0.15">
      <c r="A1662" s="2">
        <f>HYPERLINK("https://open-school.uspishnemisto.com.ua/school/120087/", 120087)</f>
        <v>120087</v>
      </c>
      <c r="B1662" s="3" t="s">
        <v>8933</v>
      </c>
      <c r="C1662" s="3" t="s">
        <v>244</v>
      </c>
      <c r="D1662" s="3" t="s">
        <v>32</v>
      </c>
      <c r="E1662" s="4" t="s">
        <v>22</v>
      </c>
      <c r="F1662" s="4" t="s">
        <v>8485</v>
      </c>
      <c r="G1662" s="4" t="s">
        <v>8875</v>
      </c>
      <c r="H1662" s="3" t="s">
        <v>8487</v>
      </c>
      <c r="I1662" s="3" t="s">
        <v>8876</v>
      </c>
      <c r="J1662" s="3" t="s">
        <v>8934</v>
      </c>
      <c r="K1662" s="3" t="s">
        <v>8935</v>
      </c>
      <c r="L1662" s="3" t="s">
        <v>8936</v>
      </c>
      <c r="M1662" s="4"/>
      <c r="N1662" s="3" t="s">
        <v>37</v>
      </c>
      <c r="O1662" s="3" t="s">
        <v>38</v>
      </c>
      <c r="P1662" s="5">
        <v>13</v>
      </c>
      <c r="Q1662" s="5">
        <v>423</v>
      </c>
      <c r="R1662" s="5">
        <v>13</v>
      </c>
      <c r="S1662" s="5">
        <v>412</v>
      </c>
    </row>
    <row r="1663" spans="1:19" ht="28" x14ac:dyDescent="0.15">
      <c r="A1663" s="2">
        <f>HYPERLINK("https://open-school.uspishnemisto.com.ua/school/120088/", 120088)</f>
        <v>120088</v>
      </c>
      <c r="B1663" s="3" t="s">
        <v>8937</v>
      </c>
      <c r="C1663" s="3" t="s">
        <v>188</v>
      </c>
      <c r="D1663" s="3" t="s">
        <v>32</v>
      </c>
      <c r="E1663" s="4" t="s">
        <v>22</v>
      </c>
      <c r="F1663" s="4" t="s">
        <v>8620</v>
      </c>
      <c r="G1663" s="4" t="s">
        <v>8875</v>
      </c>
      <c r="H1663" s="3" t="s">
        <v>8487</v>
      </c>
      <c r="I1663" s="3" t="s">
        <v>8876</v>
      </c>
      <c r="J1663" s="3" t="s">
        <v>8938</v>
      </c>
      <c r="K1663" s="3" t="s">
        <v>8939</v>
      </c>
      <c r="L1663" s="3" t="s">
        <v>8940</v>
      </c>
      <c r="M1663" s="4" t="s">
        <v>8941</v>
      </c>
      <c r="N1663" s="3" t="s">
        <v>37</v>
      </c>
      <c r="O1663" s="3" t="s">
        <v>46</v>
      </c>
      <c r="P1663" s="5">
        <v>11</v>
      </c>
      <c r="Q1663" s="5">
        <v>253</v>
      </c>
      <c r="R1663" s="5">
        <v>11</v>
      </c>
      <c r="S1663" s="5">
        <v>241</v>
      </c>
    </row>
    <row r="1664" spans="1:19" ht="28" x14ac:dyDescent="0.15">
      <c r="A1664" s="2">
        <f>HYPERLINK("https://open-school.uspishnemisto.com.ua/school/120089/", 120089)</f>
        <v>120089</v>
      </c>
      <c r="B1664" s="3" t="s">
        <v>8942</v>
      </c>
      <c r="C1664" s="3" t="s">
        <v>31</v>
      </c>
      <c r="D1664" s="3" t="s">
        <v>32</v>
      </c>
      <c r="E1664" s="4" t="s">
        <v>22</v>
      </c>
      <c r="F1664" s="4" t="s">
        <v>8899</v>
      </c>
      <c r="G1664" s="4" t="s">
        <v>8875</v>
      </c>
      <c r="H1664" s="3" t="s">
        <v>8487</v>
      </c>
      <c r="I1664" s="3" t="s">
        <v>8876</v>
      </c>
      <c r="J1664" s="3" t="s">
        <v>8943</v>
      </c>
      <c r="K1664" s="3" t="s">
        <v>8944</v>
      </c>
      <c r="L1664" s="3" t="s">
        <v>8945</v>
      </c>
      <c r="M1664" s="4"/>
      <c r="N1664" s="3" t="s">
        <v>37</v>
      </c>
      <c r="O1664" s="3" t="s">
        <v>46</v>
      </c>
      <c r="P1664" s="5">
        <v>32</v>
      </c>
      <c r="Q1664" s="5">
        <v>905</v>
      </c>
      <c r="R1664" s="5">
        <v>31</v>
      </c>
      <c r="S1664" s="5">
        <v>858</v>
      </c>
    </row>
    <row r="1665" spans="1:19" ht="28" x14ac:dyDescent="0.15">
      <c r="A1665" s="2">
        <f>HYPERLINK("https://open-school.uspishnemisto.com.ua/school/120979/", 120979)</f>
        <v>120979</v>
      </c>
      <c r="B1665" s="3" t="s">
        <v>8946</v>
      </c>
      <c r="C1665" s="3" t="s">
        <v>31</v>
      </c>
      <c r="D1665" s="3" t="s">
        <v>175</v>
      </c>
      <c r="E1665" s="4" t="s">
        <v>41</v>
      </c>
      <c r="F1665" s="4" t="s">
        <v>8689</v>
      </c>
      <c r="G1665" s="4" t="s">
        <v>8875</v>
      </c>
      <c r="H1665" s="3" t="s">
        <v>8487</v>
      </c>
      <c r="I1665" s="3" t="s">
        <v>8876</v>
      </c>
      <c r="J1665" s="3" t="s">
        <v>8690</v>
      </c>
      <c r="K1665" s="3" t="s">
        <v>8691</v>
      </c>
      <c r="L1665" s="3"/>
      <c r="M1665" s="4"/>
      <c r="N1665" s="3" t="s">
        <v>967</v>
      </c>
      <c r="O1665" s="3" t="s">
        <v>52</v>
      </c>
      <c r="P1665" s="5">
        <v>10</v>
      </c>
      <c r="Q1665" s="5">
        <v>225</v>
      </c>
      <c r="R1665" s="5"/>
      <c r="S1665" s="5"/>
    </row>
    <row r="1666" spans="1:19" ht="28" x14ac:dyDescent="0.15">
      <c r="A1666" s="2">
        <f>HYPERLINK("https://open-school.uspishnemisto.com.ua/school/120980/", 120980)</f>
        <v>120980</v>
      </c>
      <c r="B1666" s="3" t="s">
        <v>8947</v>
      </c>
      <c r="C1666" s="3" t="s">
        <v>31</v>
      </c>
      <c r="D1666" s="3" t="s">
        <v>32</v>
      </c>
      <c r="E1666" s="4" t="s">
        <v>41</v>
      </c>
      <c r="F1666" s="4" t="s">
        <v>8689</v>
      </c>
      <c r="G1666" s="4" t="s">
        <v>8875</v>
      </c>
      <c r="H1666" s="3" t="s">
        <v>8487</v>
      </c>
      <c r="I1666" s="3" t="s">
        <v>8876</v>
      </c>
      <c r="J1666" s="3" t="s">
        <v>8948</v>
      </c>
      <c r="K1666" s="3"/>
      <c r="L1666" s="3"/>
      <c r="M1666" s="4"/>
      <c r="N1666" s="3" t="s">
        <v>967</v>
      </c>
      <c r="O1666" s="3" t="s">
        <v>70</v>
      </c>
      <c r="P1666" s="5">
        <v>10</v>
      </c>
      <c r="Q1666" s="5">
        <v>87</v>
      </c>
      <c r="R1666" s="5"/>
      <c r="S1666" s="5"/>
    </row>
    <row r="1667" spans="1:19" ht="28" x14ac:dyDescent="0.15">
      <c r="A1667" s="2">
        <f>HYPERLINK("https://open-school.uspishnemisto.com.ua/school/120090/", 120090)</f>
        <v>120090</v>
      </c>
      <c r="B1667" s="3" t="s">
        <v>8949</v>
      </c>
      <c r="C1667" s="3" t="s">
        <v>20</v>
      </c>
      <c r="D1667" s="3" t="s">
        <v>21</v>
      </c>
      <c r="E1667" s="4" t="s">
        <v>22</v>
      </c>
      <c r="F1667" s="4" t="s">
        <v>8600</v>
      </c>
      <c r="G1667" s="4" t="s">
        <v>8950</v>
      </c>
      <c r="H1667" s="3" t="s">
        <v>8487</v>
      </c>
      <c r="I1667" s="3" t="s">
        <v>8951</v>
      </c>
      <c r="J1667" s="3" t="s">
        <v>8952</v>
      </c>
      <c r="K1667" s="3" t="s">
        <v>8953</v>
      </c>
      <c r="L1667" s="3" t="s">
        <v>8954</v>
      </c>
      <c r="M1667" s="4"/>
      <c r="N1667" s="3"/>
      <c r="O1667" s="3"/>
      <c r="P1667" s="5">
        <v>0</v>
      </c>
      <c r="Q1667" s="5">
        <v>0</v>
      </c>
      <c r="R1667" s="5"/>
      <c r="S1667" s="5"/>
    </row>
    <row r="1668" spans="1:19" ht="42" x14ac:dyDescent="0.15">
      <c r="A1668" s="2">
        <f>HYPERLINK("https://open-school.uspishnemisto.com.ua/school/120091/", 120091)</f>
        <v>120091</v>
      </c>
      <c r="B1668" s="3" t="s">
        <v>8955</v>
      </c>
      <c r="C1668" s="3" t="s">
        <v>40</v>
      </c>
      <c r="D1668" s="3" t="s">
        <v>32</v>
      </c>
      <c r="E1668" s="4" t="s">
        <v>22</v>
      </c>
      <c r="F1668" s="4" t="s">
        <v>8956</v>
      </c>
      <c r="G1668" s="4" t="s">
        <v>8950</v>
      </c>
      <c r="H1668" s="3" t="s">
        <v>8487</v>
      </c>
      <c r="I1668" s="3" t="s">
        <v>8951</v>
      </c>
      <c r="J1668" s="3" t="s">
        <v>8957</v>
      </c>
      <c r="K1668" s="3" t="s">
        <v>8958</v>
      </c>
      <c r="L1668" s="3" t="s">
        <v>8959</v>
      </c>
      <c r="M1668" s="4" t="s">
        <v>8960</v>
      </c>
      <c r="N1668" s="3" t="s">
        <v>37</v>
      </c>
      <c r="O1668" s="3" t="s">
        <v>38</v>
      </c>
      <c r="P1668" s="5">
        <v>23</v>
      </c>
      <c r="Q1668" s="5">
        <v>672</v>
      </c>
      <c r="R1668" s="5">
        <v>23</v>
      </c>
      <c r="S1668" s="5">
        <v>677</v>
      </c>
    </row>
    <row r="1669" spans="1:19" ht="28" x14ac:dyDescent="0.15">
      <c r="A1669" s="2">
        <f>HYPERLINK("https://open-school.uspishnemisto.com.ua/school/120093/", 120093)</f>
        <v>120093</v>
      </c>
      <c r="B1669" s="3" t="s">
        <v>8961</v>
      </c>
      <c r="C1669" s="3" t="s">
        <v>181</v>
      </c>
      <c r="D1669" s="3" t="s">
        <v>175</v>
      </c>
      <c r="E1669" s="4" t="s">
        <v>22</v>
      </c>
      <c r="F1669" s="4" t="s">
        <v>8568</v>
      </c>
      <c r="G1669" s="4" t="s">
        <v>8950</v>
      </c>
      <c r="H1669" s="3" t="s">
        <v>8487</v>
      </c>
      <c r="I1669" s="3" t="s">
        <v>8951</v>
      </c>
      <c r="J1669" s="3" t="s">
        <v>8962</v>
      </c>
      <c r="K1669" s="3" t="s">
        <v>8963</v>
      </c>
      <c r="L1669" s="3" t="s">
        <v>8964</v>
      </c>
      <c r="M1669" s="4" t="s">
        <v>8965</v>
      </c>
      <c r="N1669" s="3" t="s">
        <v>128</v>
      </c>
      <c r="O1669" s="3" t="s">
        <v>967</v>
      </c>
      <c r="P1669" s="5">
        <v>20</v>
      </c>
      <c r="Q1669" s="5">
        <v>292</v>
      </c>
      <c r="R1669" s="5">
        <v>20</v>
      </c>
      <c r="S1669" s="5">
        <v>284</v>
      </c>
    </row>
    <row r="1670" spans="1:19" ht="56" x14ac:dyDescent="0.15">
      <c r="A1670" s="2">
        <f>HYPERLINK("https://open-school.uspishnemisto.com.ua/school/120094/", 120094)</f>
        <v>120094</v>
      </c>
      <c r="B1670" s="3" t="s">
        <v>8966</v>
      </c>
      <c r="C1670" s="3" t="s">
        <v>54</v>
      </c>
      <c r="D1670" s="3" t="s">
        <v>32</v>
      </c>
      <c r="E1670" s="4" t="s">
        <v>22</v>
      </c>
      <c r="F1670" s="4" t="s">
        <v>8967</v>
      </c>
      <c r="G1670" s="4" t="s">
        <v>8950</v>
      </c>
      <c r="H1670" s="3" t="s">
        <v>8487</v>
      </c>
      <c r="I1670" s="3" t="s">
        <v>8951</v>
      </c>
      <c r="J1670" s="3" t="s">
        <v>8968</v>
      </c>
      <c r="K1670" s="3" t="s">
        <v>8969</v>
      </c>
      <c r="L1670" s="3" t="s">
        <v>8970</v>
      </c>
      <c r="M1670" s="4"/>
      <c r="N1670" s="3" t="s">
        <v>37</v>
      </c>
      <c r="O1670" s="3" t="s">
        <v>46</v>
      </c>
      <c r="P1670" s="5">
        <v>12</v>
      </c>
      <c r="Q1670" s="5">
        <v>289</v>
      </c>
      <c r="R1670" s="5">
        <v>11</v>
      </c>
      <c r="S1670" s="5">
        <v>273</v>
      </c>
    </row>
    <row r="1671" spans="1:19" ht="42" x14ac:dyDescent="0.15">
      <c r="A1671" s="2">
        <f>HYPERLINK("https://open-school.uspishnemisto.com.ua/school/120095/", 120095)</f>
        <v>120095</v>
      </c>
      <c r="B1671" s="3" t="s">
        <v>8971</v>
      </c>
      <c r="C1671" s="3" t="s">
        <v>54</v>
      </c>
      <c r="D1671" s="3" t="s">
        <v>32</v>
      </c>
      <c r="E1671" s="4" t="s">
        <v>22</v>
      </c>
      <c r="F1671" s="4" t="s">
        <v>8651</v>
      </c>
      <c r="G1671" s="4" t="s">
        <v>8950</v>
      </c>
      <c r="H1671" s="3" t="s">
        <v>8487</v>
      </c>
      <c r="I1671" s="3" t="s">
        <v>8951</v>
      </c>
      <c r="J1671" s="3" t="s">
        <v>8972</v>
      </c>
      <c r="K1671" s="3" t="s">
        <v>8973</v>
      </c>
      <c r="L1671" s="3" t="s">
        <v>8974</v>
      </c>
      <c r="M1671" s="4"/>
      <c r="N1671" s="3" t="s">
        <v>37</v>
      </c>
      <c r="O1671" s="3" t="s">
        <v>38</v>
      </c>
      <c r="P1671" s="5">
        <v>36</v>
      </c>
      <c r="Q1671" s="5">
        <v>1109</v>
      </c>
      <c r="R1671" s="5">
        <v>34</v>
      </c>
      <c r="S1671" s="5">
        <v>1051</v>
      </c>
    </row>
    <row r="1672" spans="1:19" ht="42" x14ac:dyDescent="0.15">
      <c r="A1672" s="2">
        <f>HYPERLINK("https://open-school.uspishnemisto.com.ua/school/120096/", 120096)</f>
        <v>120096</v>
      </c>
      <c r="B1672" s="3" t="s">
        <v>8975</v>
      </c>
      <c r="C1672" s="3" t="s">
        <v>54</v>
      </c>
      <c r="D1672" s="3" t="s">
        <v>32</v>
      </c>
      <c r="E1672" s="4" t="s">
        <v>22</v>
      </c>
      <c r="F1672" s="4" t="s">
        <v>8605</v>
      </c>
      <c r="G1672" s="4" t="s">
        <v>8950</v>
      </c>
      <c r="H1672" s="3" t="s">
        <v>8487</v>
      </c>
      <c r="I1672" s="3" t="s">
        <v>8951</v>
      </c>
      <c r="J1672" s="3" t="s">
        <v>8976</v>
      </c>
      <c r="K1672" s="3" t="s">
        <v>8977</v>
      </c>
      <c r="L1672" s="3" t="s">
        <v>8978</v>
      </c>
      <c r="M1672" s="4" t="s">
        <v>8979</v>
      </c>
      <c r="N1672" s="3" t="s">
        <v>967</v>
      </c>
      <c r="O1672" s="3" t="s">
        <v>52</v>
      </c>
      <c r="P1672" s="5">
        <v>11</v>
      </c>
      <c r="Q1672" s="5">
        <v>305</v>
      </c>
      <c r="R1672" s="5">
        <v>10</v>
      </c>
      <c r="S1672" s="5">
        <v>288</v>
      </c>
    </row>
    <row r="1673" spans="1:19" ht="42" x14ac:dyDescent="0.15">
      <c r="A1673" s="2">
        <f>HYPERLINK("https://open-school.uspishnemisto.com.ua/school/120097/", 120097)</f>
        <v>120097</v>
      </c>
      <c r="B1673" s="3" t="s">
        <v>8980</v>
      </c>
      <c r="C1673" s="3" t="s">
        <v>54</v>
      </c>
      <c r="D1673" s="3" t="s">
        <v>32</v>
      </c>
      <c r="E1673" s="4" t="s">
        <v>22</v>
      </c>
      <c r="F1673" s="4" t="s">
        <v>8600</v>
      </c>
      <c r="G1673" s="4" t="s">
        <v>8950</v>
      </c>
      <c r="H1673" s="3" t="s">
        <v>8487</v>
      </c>
      <c r="I1673" s="3" t="s">
        <v>8951</v>
      </c>
      <c r="J1673" s="3" t="s">
        <v>8981</v>
      </c>
      <c r="K1673" s="3" t="s">
        <v>8982</v>
      </c>
      <c r="L1673" s="3" t="s">
        <v>8983</v>
      </c>
      <c r="M1673" s="4" t="s">
        <v>8984</v>
      </c>
      <c r="N1673" s="3" t="s">
        <v>37</v>
      </c>
      <c r="O1673" s="3" t="s">
        <v>38</v>
      </c>
      <c r="P1673" s="5">
        <v>39</v>
      </c>
      <c r="Q1673" s="5">
        <v>1112</v>
      </c>
      <c r="R1673" s="5">
        <v>37</v>
      </c>
      <c r="S1673" s="5">
        <v>1075</v>
      </c>
    </row>
    <row r="1674" spans="1:19" ht="28" x14ac:dyDescent="0.15">
      <c r="A1674" s="2">
        <f>HYPERLINK("https://open-school.uspishnemisto.com.ua/school/120098/", 120098)</f>
        <v>120098</v>
      </c>
      <c r="B1674" s="3" t="s">
        <v>8985</v>
      </c>
      <c r="C1674" s="3" t="s">
        <v>31</v>
      </c>
      <c r="D1674" s="3" t="s">
        <v>32</v>
      </c>
      <c r="E1674" s="4" t="s">
        <v>22</v>
      </c>
      <c r="F1674" s="4" t="s">
        <v>8956</v>
      </c>
      <c r="G1674" s="4" t="s">
        <v>8950</v>
      </c>
      <c r="H1674" s="3" t="s">
        <v>8487</v>
      </c>
      <c r="I1674" s="3" t="s">
        <v>8951</v>
      </c>
      <c r="J1674" s="3" t="s">
        <v>8986</v>
      </c>
      <c r="K1674" s="3" t="s">
        <v>8987</v>
      </c>
      <c r="L1674" s="3" t="s">
        <v>8988</v>
      </c>
      <c r="M1674" s="4"/>
      <c r="N1674" s="3" t="s">
        <v>128</v>
      </c>
      <c r="O1674" s="3" t="s">
        <v>70</v>
      </c>
      <c r="P1674" s="5">
        <v>19</v>
      </c>
      <c r="Q1674" s="5">
        <v>523</v>
      </c>
      <c r="R1674" s="5">
        <v>19</v>
      </c>
      <c r="S1674" s="5">
        <v>514</v>
      </c>
    </row>
    <row r="1675" spans="1:19" ht="28" x14ac:dyDescent="0.15">
      <c r="A1675" s="2">
        <f>HYPERLINK("https://open-school.uspishnemisto.com.ua/school/120099/", 120099)</f>
        <v>120099</v>
      </c>
      <c r="B1675" s="3" t="s">
        <v>8989</v>
      </c>
      <c r="C1675" s="3" t="s">
        <v>31</v>
      </c>
      <c r="D1675" s="3" t="s">
        <v>32</v>
      </c>
      <c r="E1675" s="4" t="s">
        <v>22</v>
      </c>
      <c r="F1675" s="4" t="s">
        <v>8956</v>
      </c>
      <c r="G1675" s="4" t="s">
        <v>8950</v>
      </c>
      <c r="H1675" s="3" t="s">
        <v>8487</v>
      </c>
      <c r="I1675" s="3" t="s">
        <v>8951</v>
      </c>
      <c r="J1675" s="3" t="s">
        <v>8990</v>
      </c>
      <c r="K1675" s="3" t="s">
        <v>8991</v>
      </c>
      <c r="L1675" s="3" t="s">
        <v>8992</v>
      </c>
      <c r="M1675" s="4"/>
      <c r="N1675" s="3" t="s">
        <v>37</v>
      </c>
      <c r="O1675" s="3" t="s">
        <v>52</v>
      </c>
      <c r="P1675" s="5">
        <v>19</v>
      </c>
      <c r="Q1675" s="5">
        <v>528</v>
      </c>
      <c r="R1675" s="5">
        <v>17</v>
      </c>
      <c r="S1675" s="5">
        <v>464</v>
      </c>
    </row>
    <row r="1676" spans="1:19" ht="56" x14ac:dyDescent="0.15">
      <c r="A1676" s="2">
        <f>HYPERLINK("https://open-school.uspishnemisto.com.ua/school/120100/", 120100)</f>
        <v>120100</v>
      </c>
      <c r="B1676" s="3" t="s">
        <v>8993</v>
      </c>
      <c r="C1676" s="3" t="s">
        <v>31</v>
      </c>
      <c r="D1676" s="3" t="s">
        <v>32</v>
      </c>
      <c r="E1676" s="4" t="s">
        <v>22</v>
      </c>
      <c r="F1676" s="4" t="s">
        <v>8956</v>
      </c>
      <c r="G1676" s="4" t="s">
        <v>8950</v>
      </c>
      <c r="H1676" s="3" t="s">
        <v>8487</v>
      </c>
      <c r="I1676" s="3" t="s">
        <v>8951</v>
      </c>
      <c r="J1676" s="3" t="s">
        <v>8994</v>
      </c>
      <c r="K1676" s="3" t="s">
        <v>8995</v>
      </c>
      <c r="L1676" s="3" t="s">
        <v>8996</v>
      </c>
      <c r="M1676" s="4"/>
      <c r="N1676" s="3" t="s">
        <v>37</v>
      </c>
      <c r="O1676" s="3" t="s">
        <v>70</v>
      </c>
      <c r="P1676" s="5">
        <v>24</v>
      </c>
      <c r="Q1676" s="5">
        <v>701</v>
      </c>
      <c r="R1676" s="5">
        <v>23</v>
      </c>
      <c r="S1676" s="5">
        <v>671</v>
      </c>
    </row>
    <row r="1677" spans="1:19" ht="28" x14ac:dyDescent="0.15">
      <c r="A1677" s="2">
        <f>HYPERLINK("https://open-school.uspishnemisto.com.ua/school/120101/", 120101)</f>
        <v>120101</v>
      </c>
      <c r="B1677" s="3" t="s">
        <v>8997</v>
      </c>
      <c r="C1677" s="3" t="s">
        <v>31</v>
      </c>
      <c r="D1677" s="3" t="s">
        <v>32</v>
      </c>
      <c r="E1677" s="4" t="s">
        <v>22</v>
      </c>
      <c r="F1677" s="4" t="s">
        <v>8956</v>
      </c>
      <c r="G1677" s="4" t="s">
        <v>8950</v>
      </c>
      <c r="H1677" s="3" t="s">
        <v>8487</v>
      </c>
      <c r="I1677" s="3" t="s">
        <v>8951</v>
      </c>
      <c r="J1677" s="3" t="s">
        <v>8998</v>
      </c>
      <c r="K1677" s="3" t="s">
        <v>8999</v>
      </c>
      <c r="L1677" s="3" t="s">
        <v>9000</v>
      </c>
      <c r="M1677" s="4"/>
      <c r="N1677" s="3" t="s">
        <v>128</v>
      </c>
      <c r="O1677" s="3" t="s">
        <v>721</v>
      </c>
      <c r="P1677" s="5">
        <v>30</v>
      </c>
      <c r="Q1677" s="5">
        <v>848</v>
      </c>
      <c r="R1677" s="5">
        <v>29</v>
      </c>
      <c r="S1677" s="5">
        <v>827</v>
      </c>
    </row>
    <row r="1678" spans="1:19" ht="28" x14ac:dyDescent="0.15">
      <c r="A1678" s="2">
        <f>HYPERLINK("https://open-school.uspishnemisto.com.ua/school/120102/", 120102)</f>
        <v>120102</v>
      </c>
      <c r="B1678" s="3" t="s">
        <v>9001</v>
      </c>
      <c r="C1678" s="3" t="s">
        <v>31</v>
      </c>
      <c r="D1678" s="3" t="s">
        <v>32</v>
      </c>
      <c r="E1678" s="4" t="s">
        <v>22</v>
      </c>
      <c r="F1678" s="4" t="s">
        <v>8651</v>
      </c>
      <c r="G1678" s="4" t="s">
        <v>8950</v>
      </c>
      <c r="H1678" s="3" t="s">
        <v>8487</v>
      </c>
      <c r="I1678" s="3" t="s">
        <v>8951</v>
      </c>
      <c r="J1678" s="3" t="s">
        <v>9002</v>
      </c>
      <c r="K1678" s="3" t="s">
        <v>9003</v>
      </c>
      <c r="L1678" s="3" t="s">
        <v>9004</v>
      </c>
      <c r="M1678" s="4" t="s">
        <v>9005</v>
      </c>
      <c r="N1678" s="3" t="s">
        <v>967</v>
      </c>
      <c r="O1678" s="3" t="s">
        <v>52</v>
      </c>
      <c r="P1678" s="5">
        <v>36</v>
      </c>
      <c r="Q1678" s="5">
        <v>1039</v>
      </c>
      <c r="R1678" s="5">
        <v>36</v>
      </c>
      <c r="S1678" s="5">
        <v>1034</v>
      </c>
    </row>
    <row r="1679" spans="1:19" ht="56" x14ac:dyDescent="0.15">
      <c r="A1679" s="2">
        <f>HYPERLINK("https://open-school.uspishnemisto.com.ua/school/120103/", 120103)</f>
        <v>120103</v>
      </c>
      <c r="B1679" s="3" t="s">
        <v>9006</v>
      </c>
      <c r="C1679" s="3" t="s">
        <v>31</v>
      </c>
      <c r="D1679" s="3" t="s">
        <v>32</v>
      </c>
      <c r="E1679" s="4" t="s">
        <v>22</v>
      </c>
      <c r="F1679" s="4" t="s">
        <v>8600</v>
      </c>
      <c r="G1679" s="4" t="s">
        <v>8950</v>
      </c>
      <c r="H1679" s="3" t="s">
        <v>8487</v>
      </c>
      <c r="I1679" s="3" t="s">
        <v>8951</v>
      </c>
      <c r="J1679" s="3" t="s">
        <v>9007</v>
      </c>
      <c r="K1679" s="3" t="s">
        <v>9008</v>
      </c>
      <c r="L1679" s="3" t="s">
        <v>9009</v>
      </c>
      <c r="M1679" s="4"/>
      <c r="N1679" s="3" t="s">
        <v>37</v>
      </c>
      <c r="O1679" s="3" t="s">
        <v>38</v>
      </c>
      <c r="P1679" s="5">
        <v>20</v>
      </c>
      <c r="Q1679" s="5">
        <v>550</v>
      </c>
      <c r="R1679" s="5">
        <v>20</v>
      </c>
      <c r="S1679" s="5">
        <v>543</v>
      </c>
    </row>
    <row r="1680" spans="1:19" ht="28" x14ac:dyDescent="0.15">
      <c r="A1680" s="2">
        <f>HYPERLINK("https://open-school.uspishnemisto.com.ua/school/120104/", 120104)</f>
        <v>120104</v>
      </c>
      <c r="B1680" s="3" t="s">
        <v>9010</v>
      </c>
      <c r="C1680" s="3" t="s">
        <v>31</v>
      </c>
      <c r="D1680" s="3" t="s">
        <v>32</v>
      </c>
      <c r="E1680" s="4" t="s">
        <v>22</v>
      </c>
      <c r="F1680" s="4" t="s">
        <v>8605</v>
      </c>
      <c r="G1680" s="4" t="s">
        <v>8950</v>
      </c>
      <c r="H1680" s="3" t="s">
        <v>8487</v>
      </c>
      <c r="I1680" s="3" t="s">
        <v>8951</v>
      </c>
      <c r="J1680" s="3" t="s">
        <v>9011</v>
      </c>
      <c r="K1680" s="3"/>
      <c r="L1680" s="3" t="s">
        <v>9012</v>
      </c>
      <c r="M1680" s="4"/>
      <c r="N1680" s="3" t="s">
        <v>37</v>
      </c>
      <c r="O1680" s="3" t="s">
        <v>38</v>
      </c>
      <c r="P1680" s="5">
        <v>23</v>
      </c>
      <c r="Q1680" s="5">
        <v>678</v>
      </c>
      <c r="R1680" s="5">
        <v>23</v>
      </c>
      <c r="S1680" s="5">
        <v>646</v>
      </c>
    </row>
    <row r="1681" spans="1:19" ht="42" x14ac:dyDescent="0.15">
      <c r="A1681" s="2">
        <f>HYPERLINK("https://open-school.uspishnemisto.com.ua/school/120105/", 120105)</f>
        <v>120105</v>
      </c>
      <c r="B1681" s="3" t="s">
        <v>9013</v>
      </c>
      <c r="C1681" s="3" t="s">
        <v>244</v>
      </c>
      <c r="D1681" s="3" t="s">
        <v>32</v>
      </c>
      <c r="E1681" s="4" t="s">
        <v>22</v>
      </c>
      <c r="F1681" s="4" t="s">
        <v>8956</v>
      </c>
      <c r="G1681" s="4" t="s">
        <v>8950</v>
      </c>
      <c r="H1681" s="3" t="s">
        <v>8487</v>
      </c>
      <c r="I1681" s="3" t="s">
        <v>8951</v>
      </c>
      <c r="J1681" s="3" t="s">
        <v>9014</v>
      </c>
      <c r="K1681" s="3" t="s">
        <v>9015</v>
      </c>
      <c r="L1681" s="3" t="s">
        <v>9016</v>
      </c>
      <c r="M1681" s="4"/>
      <c r="N1681" s="3" t="s">
        <v>37</v>
      </c>
      <c r="O1681" s="3" t="s">
        <v>8857</v>
      </c>
      <c r="P1681" s="5">
        <v>29</v>
      </c>
      <c r="Q1681" s="5">
        <v>942</v>
      </c>
      <c r="R1681" s="5">
        <v>29</v>
      </c>
      <c r="S1681" s="5">
        <v>924</v>
      </c>
    </row>
    <row r="1682" spans="1:19" ht="28" x14ac:dyDescent="0.15">
      <c r="A1682" s="2">
        <f>HYPERLINK("https://open-school.uspishnemisto.com.ua/school/120106/", 120106)</f>
        <v>120106</v>
      </c>
      <c r="B1682" s="3" t="s">
        <v>9017</v>
      </c>
      <c r="C1682" s="3" t="s">
        <v>31</v>
      </c>
      <c r="D1682" s="3" t="s">
        <v>32</v>
      </c>
      <c r="E1682" s="4" t="s">
        <v>22</v>
      </c>
      <c r="F1682" s="4" t="s">
        <v>8563</v>
      </c>
      <c r="G1682" s="4" t="s">
        <v>9018</v>
      </c>
      <c r="H1682" s="3" t="s">
        <v>8487</v>
      </c>
      <c r="I1682" s="3" t="s">
        <v>9019</v>
      </c>
      <c r="J1682" s="3" t="s">
        <v>9020</v>
      </c>
      <c r="K1682" s="3" t="s">
        <v>9021</v>
      </c>
      <c r="L1682" s="3" t="s">
        <v>9022</v>
      </c>
      <c r="M1682" s="4"/>
      <c r="N1682" s="3" t="s">
        <v>37</v>
      </c>
      <c r="O1682" s="3" t="s">
        <v>2740</v>
      </c>
      <c r="P1682" s="5">
        <v>26</v>
      </c>
      <c r="Q1682" s="5">
        <v>747</v>
      </c>
      <c r="R1682" s="5">
        <v>25</v>
      </c>
      <c r="S1682" s="5">
        <v>738</v>
      </c>
    </row>
    <row r="1683" spans="1:19" ht="42" x14ac:dyDescent="0.15">
      <c r="A1683" s="2">
        <f>HYPERLINK("https://open-school.uspishnemisto.com.ua/school/120107/", 120107)</f>
        <v>120107</v>
      </c>
      <c r="B1683" s="3" t="s">
        <v>9023</v>
      </c>
      <c r="C1683" s="3" t="s">
        <v>54</v>
      </c>
      <c r="D1683" s="3" t="s">
        <v>32</v>
      </c>
      <c r="E1683" s="4" t="s">
        <v>22</v>
      </c>
      <c r="F1683" s="4" t="s">
        <v>8509</v>
      </c>
      <c r="G1683" s="4" t="s">
        <v>9018</v>
      </c>
      <c r="H1683" s="3" t="s">
        <v>8487</v>
      </c>
      <c r="I1683" s="3" t="s">
        <v>9019</v>
      </c>
      <c r="J1683" s="3" t="s">
        <v>9024</v>
      </c>
      <c r="K1683" s="3" t="s">
        <v>9025</v>
      </c>
      <c r="L1683" s="3" t="s">
        <v>9026</v>
      </c>
      <c r="M1683" s="4" t="s">
        <v>9027</v>
      </c>
      <c r="N1683" s="3" t="s">
        <v>967</v>
      </c>
      <c r="O1683" s="3" t="s">
        <v>70</v>
      </c>
      <c r="P1683" s="5">
        <v>12</v>
      </c>
      <c r="Q1683" s="5">
        <v>359</v>
      </c>
      <c r="R1683" s="5">
        <v>12</v>
      </c>
      <c r="S1683" s="5">
        <v>343</v>
      </c>
    </row>
    <row r="1684" spans="1:19" ht="28" x14ac:dyDescent="0.15">
      <c r="A1684" s="2">
        <f>HYPERLINK("https://open-school.uspishnemisto.com.ua/school/120108/", 120108)</f>
        <v>120108</v>
      </c>
      <c r="B1684" s="3" t="s">
        <v>9028</v>
      </c>
      <c r="C1684" s="3" t="s">
        <v>244</v>
      </c>
      <c r="D1684" s="3" t="s">
        <v>32</v>
      </c>
      <c r="E1684" s="4" t="s">
        <v>22</v>
      </c>
      <c r="F1684" s="4" t="s">
        <v>8635</v>
      </c>
      <c r="G1684" s="4" t="s">
        <v>9018</v>
      </c>
      <c r="H1684" s="3" t="s">
        <v>8487</v>
      </c>
      <c r="I1684" s="3" t="s">
        <v>9019</v>
      </c>
      <c r="J1684" s="3" t="s">
        <v>9029</v>
      </c>
      <c r="K1684" s="3" t="s">
        <v>9030</v>
      </c>
      <c r="L1684" s="3" t="s">
        <v>9031</v>
      </c>
      <c r="M1684" s="4"/>
      <c r="N1684" s="3" t="s">
        <v>37</v>
      </c>
      <c r="O1684" s="3" t="s">
        <v>8857</v>
      </c>
      <c r="P1684" s="5">
        <v>14</v>
      </c>
      <c r="Q1684" s="5">
        <v>274</v>
      </c>
      <c r="R1684" s="5">
        <v>14</v>
      </c>
      <c r="S1684" s="5">
        <v>264</v>
      </c>
    </row>
    <row r="1685" spans="1:19" ht="28" x14ac:dyDescent="0.15">
      <c r="A1685" s="2">
        <f>HYPERLINK("https://open-school.uspishnemisto.com.ua/school/120109/", 120109)</f>
        <v>120109</v>
      </c>
      <c r="B1685" s="3" t="s">
        <v>9032</v>
      </c>
      <c r="C1685" s="3" t="s">
        <v>31</v>
      </c>
      <c r="D1685" s="3" t="s">
        <v>32</v>
      </c>
      <c r="E1685" s="4" t="s">
        <v>22</v>
      </c>
      <c r="F1685" s="4" t="s">
        <v>8518</v>
      </c>
      <c r="G1685" s="4" t="s">
        <v>9018</v>
      </c>
      <c r="H1685" s="3" t="s">
        <v>8487</v>
      </c>
      <c r="I1685" s="3" t="s">
        <v>9019</v>
      </c>
      <c r="J1685" s="3" t="s">
        <v>9033</v>
      </c>
      <c r="K1685" s="3" t="s">
        <v>9034</v>
      </c>
      <c r="L1685" s="3" t="s">
        <v>9035</v>
      </c>
      <c r="M1685" s="4"/>
      <c r="N1685" s="3" t="s">
        <v>128</v>
      </c>
      <c r="O1685" s="3" t="s">
        <v>70</v>
      </c>
      <c r="P1685" s="5">
        <v>22</v>
      </c>
      <c r="Q1685" s="5">
        <v>641</v>
      </c>
      <c r="R1685" s="5">
        <v>22</v>
      </c>
      <c r="S1685" s="5">
        <v>629</v>
      </c>
    </row>
    <row r="1686" spans="1:19" ht="28" x14ac:dyDescent="0.15">
      <c r="A1686" s="2">
        <f>HYPERLINK("https://open-school.uspishnemisto.com.ua/school/120110/", 120110)</f>
        <v>120110</v>
      </c>
      <c r="B1686" s="3" t="s">
        <v>9036</v>
      </c>
      <c r="C1686" s="3" t="s">
        <v>31</v>
      </c>
      <c r="D1686" s="3" t="s">
        <v>32</v>
      </c>
      <c r="E1686" s="4" t="s">
        <v>22</v>
      </c>
      <c r="F1686" s="4" t="s">
        <v>8635</v>
      </c>
      <c r="G1686" s="4" t="s">
        <v>9018</v>
      </c>
      <c r="H1686" s="3" t="s">
        <v>8487</v>
      </c>
      <c r="I1686" s="3" t="s">
        <v>9019</v>
      </c>
      <c r="J1686" s="3" t="s">
        <v>9037</v>
      </c>
      <c r="K1686" s="3" t="s">
        <v>9038</v>
      </c>
      <c r="L1686" s="3" t="s">
        <v>9039</v>
      </c>
      <c r="M1686" s="4"/>
      <c r="N1686" s="3" t="s">
        <v>37</v>
      </c>
      <c r="O1686" s="3" t="s">
        <v>46</v>
      </c>
      <c r="P1686" s="5">
        <v>23</v>
      </c>
      <c r="Q1686" s="5">
        <v>671</v>
      </c>
      <c r="R1686" s="5">
        <v>21</v>
      </c>
      <c r="S1686" s="5">
        <v>595</v>
      </c>
    </row>
    <row r="1687" spans="1:19" ht="28" x14ac:dyDescent="0.15">
      <c r="A1687" s="2">
        <f>HYPERLINK("https://open-school.uspishnemisto.com.ua/school/120111/", 120111)</f>
        <v>120111</v>
      </c>
      <c r="B1687" s="3" t="s">
        <v>9040</v>
      </c>
      <c r="C1687" s="3" t="s">
        <v>31</v>
      </c>
      <c r="D1687" s="3" t="s">
        <v>32</v>
      </c>
      <c r="E1687" s="4" t="s">
        <v>22</v>
      </c>
      <c r="F1687" s="4" t="s">
        <v>9041</v>
      </c>
      <c r="G1687" s="4" t="s">
        <v>9018</v>
      </c>
      <c r="H1687" s="3" t="s">
        <v>8487</v>
      </c>
      <c r="I1687" s="3" t="s">
        <v>9019</v>
      </c>
      <c r="J1687" s="3" t="s">
        <v>9042</v>
      </c>
      <c r="K1687" s="3" t="s">
        <v>9043</v>
      </c>
      <c r="L1687" s="3" t="s">
        <v>9044</v>
      </c>
      <c r="M1687" s="4"/>
      <c r="N1687" s="3" t="s">
        <v>37</v>
      </c>
      <c r="O1687" s="3" t="s">
        <v>38</v>
      </c>
      <c r="P1687" s="5">
        <v>19</v>
      </c>
      <c r="Q1687" s="5">
        <v>661</v>
      </c>
      <c r="R1687" s="5">
        <v>18</v>
      </c>
      <c r="S1687" s="5">
        <v>541</v>
      </c>
    </row>
    <row r="1688" spans="1:19" ht="28" x14ac:dyDescent="0.15">
      <c r="A1688" s="2">
        <f>HYPERLINK("https://open-school.uspishnemisto.com.ua/school/120112/", 120112)</f>
        <v>120112</v>
      </c>
      <c r="B1688" s="3" t="s">
        <v>9045</v>
      </c>
      <c r="C1688" s="3" t="s">
        <v>31</v>
      </c>
      <c r="D1688" s="3" t="s">
        <v>32</v>
      </c>
      <c r="E1688" s="4" t="s">
        <v>22</v>
      </c>
      <c r="F1688" s="4" t="s">
        <v>9041</v>
      </c>
      <c r="G1688" s="4" t="s">
        <v>9018</v>
      </c>
      <c r="H1688" s="3" t="s">
        <v>8487</v>
      </c>
      <c r="I1688" s="3" t="s">
        <v>9019</v>
      </c>
      <c r="J1688" s="3" t="s">
        <v>9046</v>
      </c>
      <c r="K1688" s="3" t="s">
        <v>9047</v>
      </c>
      <c r="L1688" s="3" t="s">
        <v>9048</v>
      </c>
      <c r="M1688" s="4"/>
      <c r="N1688" s="3" t="s">
        <v>37</v>
      </c>
      <c r="O1688" s="3" t="s">
        <v>38</v>
      </c>
      <c r="P1688" s="5">
        <v>32</v>
      </c>
      <c r="Q1688" s="5">
        <v>936</v>
      </c>
      <c r="R1688" s="5">
        <v>31</v>
      </c>
      <c r="S1688" s="5">
        <v>891</v>
      </c>
    </row>
    <row r="1689" spans="1:19" ht="42" x14ac:dyDescent="0.15">
      <c r="A1689" s="2">
        <f>HYPERLINK("https://open-school.uspishnemisto.com.ua/school/120113/", 120113)</f>
        <v>120113</v>
      </c>
      <c r="B1689" s="3" t="s">
        <v>9049</v>
      </c>
      <c r="C1689" s="3" t="s">
        <v>31</v>
      </c>
      <c r="D1689" s="3" t="s">
        <v>32</v>
      </c>
      <c r="E1689" s="4" t="s">
        <v>22</v>
      </c>
      <c r="F1689" s="4" t="s">
        <v>9041</v>
      </c>
      <c r="G1689" s="4" t="s">
        <v>9018</v>
      </c>
      <c r="H1689" s="3" t="s">
        <v>8487</v>
      </c>
      <c r="I1689" s="3" t="s">
        <v>9019</v>
      </c>
      <c r="J1689" s="3" t="s">
        <v>9050</v>
      </c>
      <c r="K1689" s="3" t="s">
        <v>9051</v>
      </c>
      <c r="L1689" s="3" t="s">
        <v>9052</v>
      </c>
      <c r="M1689" s="4"/>
      <c r="N1689" s="3" t="s">
        <v>37</v>
      </c>
      <c r="O1689" s="3" t="s">
        <v>8857</v>
      </c>
      <c r="P1689" s="5">
        <v>22</v>
      </c>
      <c r="Q1689" s="5">
        <v>680</v>
      </c>
      <c r="R1689" s="5">
        <v>22</v>
      </c>
      <c r="S1689" s="5">
        <v>656</v>
      </c>
    </row>
    <row r="1690" spans="1:19" ht="42" x14ac:dyDescent="0.15">
      <c r="A1690" s="2">
        <f>HYPERLINK("https://open-school.uspishnemisto.com.ua/school/120114/", 120114)</f>
        <v>120114</v>
      </c>
      <c r="B1690" s="3" t="s">
        <v>9053</v>
      </c>
      <c r="C1690" s="3" t="s">
        <v>244</v>
      </c>
      <c r="D1690" s="3" t="s">
        <v>32</v>
      </c>
      <c r="E1690" s="4" t="s">
        <v>22</v>
      </c>
      <c r="F1690" s="4" t="s">
        <v>8563</v>
      </c>
      <c r="G1690" s="4" t="s">
        <v>9018</v>
      </c>
      <c r="H1690" s="3" t="s">
        <v>8487</v>
      </c>
      <c r="I1690" s="3" t="s">
        <v>9019</v>
      </c>
      <c r="J1690" s="3" t="s">
        <v>9054</v>
      </c>
      <c r="K1690" s="3" t="s">
        <v>9055</v>
      </c>
      <c r="L1690" s="3" t="s">
        <v>9056</v>
      </c>
      <c r="M1690" s="4"/>
      <c r="N1690" s="3" t="s">
        <v>37</v>
      </c>
      <c r="O1690" s="3" t="s">
        <v>46</v>
      </c>
      <c r="P1690" s="5">
        <v>33</v>
      </c>
      <c r="Q1690" s="5">
        <v>985</v>
      </c>
      <c r="R1690" s="5">
        <v>33</v>
      </c>
      <c r="S1690" s="5">
        <v>955</v>
      </c>
    </row>
    <row r="1691" spans="1:19" ht="28" x14ac:dyDescent="0.15">
      <c r="A1691" s="2">
        <f>HYPERLINK("https://open-school.uspishnemisto.com.ua/school/120115/", 120115)</f>
        <v>120115</v>
      </c>
      <c r="B1691" s="3" t="s">
        <v>9057</v>
      </c>
      <c r="C1691" s="3" t="s">
        <v>244</v>
      </c>
      <c r="D1691" s="3" t="s">
        <v>32</v>
      </c>
      <c r="E1691" s="4" t="s">
        <v>22</v>
      </c>
      <c r="F1691" s="4" t="s">
        <v>8544</v>
      </c>
      <c r="G1691" s="4" t="s">
        <v>9018</v>
      </c>
      <c r="H1691" s="3" t="s">
        <v>8487</v>
      </c>
      <c r="I1691" s="3" t="s">
        <v>9019</v>
      </c>
      <c r="J1691" s="3" t="s">
        <v>9058</v>
      </c>
      <c r="K1691" s="3" t="s">
        <v>9059</v>
      </c>
      <c r="L1691" s="3" t="s">
        <v>9060</v>
      </c>
      <c r="M1691" s="4"/>
      <c r="N1691" s="3" t="s">
        <v>37</v>
      </c>
      <c r="O1691" s="3" t="s">
        <v>38</v>
      </c>
      <c r="P1691" s="5">
        <v>22</v>
      </c>
      <c r="Q1691" s="5">
        <v>583</v>
      </c>
      <c r="R1691" s="5">
        <v>20</v>
      </c>
      <c r="S1691" s="5">
        <v>561</v>
      </c>
    </row>
    <row r="1692" spans="1:19" ht="70" x14ac:dyDescent="0.15">
      <c r="A1692" s="2">
        <f>HYPERLINK("https://open-school.uspishnemisto.com.ua/school/120118/", 120118)</f>
        <v>120118</v>
      </c>
      <c r="B1692" s="3" t="s">
        <v>9061</v>
      </c>
      <c r="C1692" s="3" t="s">
        <v>54</v>
      </c>
      <c r="D1692" s="3" t="s">
        <v>32</v>
      </c>
      <c r="E1692" s="4" t="s">
        <v>22</v>
      </c>
      <c r="F1692" s="4" t="s">
        <v>8583</v>
      </c>
      <c r="G1692" s="4" t="s">
        <v>9062</v>
      </c>
      <c r="H1692" s="3" t="s">
        <v>8487</v>
      </c>
      <c r="I1692" s="3" t="s">
        <v>9063</v>
      </c>
      <c r="J1692" s="3" t="s">
        <v>9064</v>
      </c>
      <c r="K1692" s="3" t="s">
        <v>9065</v>
      </c>
      <c r="L1692" s="3" t="s">
        <v>9066</v>
      </c>
      <c r="M1692" s="4" t="s">
        <v>9067</v>
      </c>
      <c r="N1692" s="3" t="s">
        <v>37</v>
      </c>
      <c r="O1692" s="3" t="s">
        <v>52</v>
      </c>
      <c r="P1692" s="5">
        <v>15</v>
      </c>
      <c r="Q1692" s="5">
        <v>363</v>
      </c>
      <c r="R1692" s="5">
        <v>16</v>
      </c>
      <c r="S1692" s="5">
        <v>349</v>
      </c>
    </row>
    <row r="1693" spans="1:19" ht="28" x14ac:dyDescent="0.15">
      <c r="A1693" s="2">
        <f>HYPERLINK("https://open-school.uspishnemisto.com.ua/school/120119/", 120119)</f>
        <v>120119</v>
      </c>
      <c r="B1693" s="3" t="s">
        <v>9068</v>
      </c>
      <c r="C1693" s="3" t="s">
        <v>31</v>
      </c>
      <c r="D1693" s="3" t="s">
        <v>32</v>
      </c>
      <c r="E1693" s="4" t="s">
        <v>22</v>
      </c>
      <c r="F1693" s="4" t="s">
        <v>9069</v>
      </c>
      <c r="G1693" s="4" t="s">
        <v>9062</v>
      </c>
      <c r="H1693" s="3" t="s">
        <v>8487</v>
      </c>
      <c r="I1693" s="3" t="s">
        <v>9063</v>
      </c>
      <c r="J1693" s="3" t="s">
        <v>9070</v>
      </c>
      <c r="K1693" s="3" t="s">
        <v>9071</v>
      </c>
      <c r="L1693" s="3" t="s">
        <v>9072</v>
      </c>
      <c r="M1693" s="4"/>
      <c r="N1693" s="3" t="s">
        <v>37</v>
      </c>
      <c r="O1693" s="3" t="s">
        <v>2740</v>
      </c>
      <c r="P1693" s="5">
        <v>18</v>
      </c>
      <c r="Q1693" s="5">
        <v>453</v>
      </c>
      <c r="R1693" s="5">
        <v>18</v>
      </c>
      <c r="S1693" s="5">
        <v>459</v>
      </c>
    </row>
    <row r="1694" spans="1:19" ht="28" x14ac:dyDescent="0.15">
      <c r="A1694" s="2">
        <f>HYPERLINK("https://open-school.uspishnemisto.com.ua/school/120120/", 120120)</f>
        <v>120120</v>
      </c>
      <c r="B1694" s="3" t="s">
        <v>9073</v>
      </c>
      <c r="C1694" s="3" t="s">
        <v>31</v>
      </c>
      <c r="D1694" s="3" t="s">
        <v>32</v>
      </c>
      <c r="E1694" s="4" t="s">
        <v>22</v>
      </c>
      <c r="F1694" s="4" t="s">
        <v>8673</v>
      </c>
      <c r="G1694" s="4" t="s">
        <v>9062</v>
      </c>
      <c r="H1694" s="3" t="s">
        <v>8487</v>
      </c>
      <c r="I1694" s="3" t="s">
        <v>9063</v>
      </c>
      <c r="J1694" s="3" t="s">
        <v>9074</v>
      </c>
      <c r="K1694" s="3" t="s">
        <v>9075</v>
      </c>
      <c r="L1694" s="3" t="s">
        <v>9076</v>
      </c>
      <c r="M1694" s="4"/>
      <c r="N1694" s="3" t="s">
        <v>967</v>
      </c>
      <c r="O1694" s="3" t="s">
        <v>52</v>
      </c>
      <c r="P1694" s="5">
        <v>16</v>
      </c>
      <c r="Q1694" s="5">
        <v>458</v>
      </c>
      <c r="R1694" s="5">
        <v>16</v>
      </c>
      <c r="S1694" s="5">
        <v>474</v>
      </c>
    </row>
    <row r="1695" spans="1:19" ht="28" x14ac:dyDescent="0.15">
      <c r="A1695" s="2">
        <f>HYPERLINK("https://open-school.uspishnemisto.com.ua/school/120122/", 120122)</f>
        <v>120122</v>
      </c>
      <c r="B1695" s="3" t="s">
        <v>9077</v>
      </c>
      <c r="C1695" s="3" t="s">
        <v>31</v>
      </c>
      <c r="D1695" s="3" t="s">
        <v>32</v>
      </c>
      <c r="E1695" s="4" t="s">
        <v>22</v>
      </c>
      <c r="F1695" s="4" t="s">
        <v>8583</v>
      </c>
      <c r="G1695" s="4" t="s">
        <v>9062</v>
      </c>
      <c r="H1695" s="3" t="s">
        <v>8487</v>
      </c>
      <c r="I1695" s="3" t="s">
        <v>9063</v>
      </c>
      <c r="J1695" s="3" t="s">
        <v>9078</v>
      </c>
      <c r="K1695" s="3" t="s">
        <v>9079</v>
      </c>
      <c r="L1695" s="3" t="s">
        <v>9080</v>
      </c>
      <c r="M1695" s="4"/>
      <c r="N1695" s="3" t="s">
        <v>37</v>
      </c>
      <c r="O1695" s="3" t="s">
        <v>38</v>
      </c>
      <c r="P1695" s="5">
        <v>25</v>
      </c>
      <c r="Q1695" s="5">
        <v>734</v>
      </c>
      <c r="R1695" s="5">
        <v>25</v>
      </c>
      <c r="S1695" s="5">
        <v>736</v>
      </c>
    </row>
    <row r="1696" spans="1:19" ht="42" x14ac:dyDescent="0.15">
      <c r="A1696" s="2">
        <f>HYPERLINK("https://open-school.uspishnemisto.com.ua/school/120123/", 120123)</f>
        <v>120123</v>
      </c>
      <c r="B1696" s="3" t="s">
        <v>9081</v>
      </c>
      <c r="C1696" s="3" t="s">
        <v>54</v>
      </c>
      <c r="D1696" s="3" t="s">
        <v>32</v>
      </c>
      <c r="E1696" s="4" t="s">
        <v>22</v>
      </c>
      <c r="F1696" s="4" t="s">
        <v>9082</v>
      </c>
      <c r="G1696" s="4" t="s">
        <v>9062</v>
      </c>
      <c r="H1696" s="3" t="s">
        <v>8487</v>
      </c>
      <c r="I1696" s="3" t="s">
        <v>9063</v>
      </c>
      <c r="J1696" s="3" t="s">
        <v>9083</v>
      </c>
      <c r="K1696" s="3" t="s">
        <v>9084</v>
      </c>
      <c r="L1696" s="3" t="s">
        <v>9085</v>
      </c>
      <c r="M1696" s="4"/>
      <c r="N1696" s="3" t="s">
        <v>967</v>
      </c>
      <c r="O1696" s="3" t="s">
        <v>2740</v>
      </c>
      <c r="P1696" s="5">
        <v>10</v>
      </c>
      <c r="Q1696" s="5">
        <v>195</v>
      </c>
      <c r="R1696" s="5">
        <v>10</v>
      </c>
      <c r="S1696" s="5">
        <v>193</v>
      </c>
    </row>
    <row r="1697" spans="1:19" ht="28" x14ac:dyDescent="0.15">
      <c r="A1697" s="2">
        <f>HYPERLINK("https://open-school.uspishnemisto.com.ua/school/120124/", 120124)</f>
        <v>120124</v>
      </c>
      <c r="B1697" s="3" t="s">
        <v>9086</v>
      </c>
      <c r="C1697" s="3" t="s">
        <v>31</v>
      </c>
      <c r="D1697" s="3" t="s">
        <v>32</v>
      </c>
      <c r="E1697" s="4" t="s">
        <v>22</v>
      </c>
      <c r="F1697" s="4" t="s">
        <v>8673</v>
      </c>
      <c r="G1697" s="4" t="s">
        <v>9062</v>
      </c>
      <c r="H1697" s="3" t="s">
        <v>8487</v>
      </c>
      <c r="I1697" s="3" t="s">
        <v>9063</v>
      </c>
      <c r="J1697" s="3" t="s">
        <v>9087</v>
      </c>
      <c r="K1697" s="3" t="s">
        <v>9088</v>
      </c>
      <c r="L1697" s="3" t="s">
        <v>9089</v>
      </c>
      <c r="M1697" s="4"/>
      <c r="N1697" s="3" t="s">
        <v>37</v>
      </c>
      <c r="O1697" s="3" t="s">
        <v>38</v>
      </c>
      <c r="P1697" s="5">
        <v>32</v>
      </c>
      <c r="Q1697" s="5">
        <v>1002</v>
      </c>
      <c r="R1697" s="5">
        <v>31</v>
      </c>
      <c r="S1697" s="5">
        <v>942</v>
      </c>
    </row>
    <row r="1698" spans="1:19" ht="28" x14ac:dyDescent="0.15">
      <c r="A1698" s="2">
        <f>HYPERLINK("https://open-school.uspishnemisto.com.ua/school/120125/", 120125)</f>
        <v>120125</v>
      </c>
      <c r="B1698" s="3" t="s">
        <v>9090</v>
      </c>
      <c r="C1698" s="3" t="s">
        <v>31</v>
      </c>
      <c r="D1698" s="3" t="s">
        <v>32</v>
      </c>
      <c r="E1698" s="4" t="s">
        <v>22</v>
      </c>
      <c r="F1698" s="4" t="s">
        <v>8518</v>
      </c>
      <c r="G1698" s="4" t="s">
        <v>9062</v>
      </c>
      <c r="H1698" s="3" t="s">
        <v>8487</v>
      </c>
      <c r="I1698" s="3" t="s">
        <v>9063</v>
      </c>
      <c r="J1698" s="3" t="s">
        <v>9091</v>
      </c>
      <c r="K1698" s="3" t="s">
        <v>9092</v>
      </c>
      <c r="L1698" s="3" t="s">
        <v>9093</v>
      </c>
      <c r="M1698" s="4"/>
      <c r="N1698" s="3" t="s">
        <v>967</v>
      </c>
      <c r="O1698" s="3" t="s">
        <v>52</v>
      </c>
      <c r="P1698" s="5">
        <v>10</v>
      </c>
      <c r="Q1698" s="5">
        <v>248</v>
      </c>
      <c r="R1698" s="5">
        <v>9</v>
      </c>
      <c r="S1698" s="5">
        <v>233</v>
      </c>
    </row>
    <row r="1699" spans="1:19" ht="28" x14ac:dyDescent="0.15">
      <c r="A1699" s="2">
        <f>HYPERLINK("https://open-school.uspishnemisto.com.ua/school/120126/", 120126)</f>
        <v>120126</v>
      </c>
      <c r="B1699" s="3" t="s">
        <v>9094</v>
      </c>
      <c r="C1699" s="3" t="s">
        <v>31</v>
      </c>
      <c r="D1699" s="3" t="s">
        <v>32</v>
      </c>
      <c r="E1699" s="4" t="s">
        <v>22</v>
      </c>
      <c r="F1699" s="4" t="s">
        <v>8554</v>
      </c>
      <c r="G1699" s="4" t="s">
        <v>9062</v>
      </c>
      <c r="H1699" s="3" t="s">
        <v>8487</v>
      </c>
      <c r="I1699" s="3" t="s">
        <v>9063</v>
      </c>
      <c r="J1699" s="3" t="s">
        <v>9095</v>
      </c>
      <c r="K1699" s="3" t="s">
        <v>9096</v>
      </c>
      <c r="L1699" s="3" t="s">
        <v>9097</v>
      </c>
      <c r="M1699" s="4"/>
      <c r="N1699" s="3" t="s">
        <v>37</v>
      </c>
      <c r="O1699" s="3" t="s">
        <v>46</v>
      </c>
      <c r="P1699" s="5">
        <v>31</v>
      </c>
      <c r="Q1699" s="5">
        <v>958</v>
      </c>
      <c r="R1699" s="5">
        <v>31</v>
      </c>
      <c r="S1699" s="5">
        <v>916</v>
      </c>
    </row>
    <row r="1700" spans="1:19" ht="28" x14ac:dyDescent="0.15">
      <c r="A1700" s="2">
        <f>HYPERLINK("https://open-school.uspishnemisto.com.ua/school/120127/", 120127)</f>
        <v>120127</v>
      </c>
      <c r="B1700" s="3" t="s">
        <v>9098</v>
      </c>
      <c r="C1700" s="3" t="s">
        <v>31</v>
      </c>
      <c r="D1700" s="3" t="s">
        <v>32</v>
      </c>
      <c r="E1700" s="4" t="s">
        <v>22</v>
      </c>
      <c r="F1700" s="4" t="s">
        <v>8518</v>
      </c>
      <c r="G1700" s="4" t="s">
        <v>9062</v>
      </c>
      <c r="H1700" s="3" t="s">
        <v>8487</v>
      </c>
      <c r="I1700" s="3" t="s">
        <v>9063</v>
      </c>
      <c r="J1700" s="3" t="s">
        <v>9099</v>
      </c>
      <c r="K1700" s="3" t="s">
        <v>9100</v>
      </c>
      <c r="L1700" s="3" t="s">
        <v>9101</v>
      </c>
      <c r="M1700" s="4"/>
      <c r="N1700" s="3" t="s">
        <v>37</v>
      </c>
      <c r="O1700" s="3" t="s">
        <v>52</v>
      </c>
      <c r="P1700" s="5">
        <v>25</v>
      </c>
      <c r="Q1700" s="5">
        <v>737</v>
      </c>
      <c r="R1700" s="5">
        <v>23</v>
      </c>
      <c r="S1700" s="5">
        <v>702</v>
      </c>
    </row>
    <row r="1701" spans="1:19" ht="28" x14ac:dyDescent="0.15">
      <c r="A1701" s="2">
        <f>HYPERLINK("https://open-school.uspishnemisto.com.ua/school/120128/", 120128)</f>
        <v>120128</v>
      </c>
      <c r="B1701" s="3" t="s">
        <v>9102</v>
      </c>
      <c r="C1701" s="3" t="s">
        <v>31</v>
      </c>
      <c r="D1701" s="3" t="s">
        <v>32</v>
      </c>
      <c r="E1701" s="4" t="s">
        <v>22</v>
      </c>
      <c r="F1701" s="4" t="s">
        <v>8673</v>
      </c>
      <c r="G1701" s="4" t="s">
        <v>9062</v>
      </c>
      <c r="H1701" s="3" t="s">
        <v>8487</v>
      </c>
      <c r="I1701" s="3" t="s">
        <v>9063</v>
      </c>
      <c r="J1701" s="3" t="s">
        <v>9103</v>
      </c>
      <c r="K1701" s="3" t="s">
        <v>9104</v>
      </c>
      <c r="L1701" s="3"/>
      <c r="M1701" s="4"/>
      <c r="N1701" s="3" t="s">
        <v>37</v>
      </c>
      <c r="O1701" s="3" t="s">
        <v>197</v>
      </c>
      <c r="P1701" s="5">
        <v>25</v>
      </c>
      <c r="Q1701" s="5">
        <v>720</v>
      </c>
      <c r="R1701" s="5">
        <v>26</v>
      </c>
      <c r="S1701" s="5">
        <v>728</v>
      </c>
    </row>
    <row r="1702" spans="1:19" ht="28" x14ac:dyDescent="0.15">
      <c r="A1702" s="2">
        <f>HYPERLINK("https://open-school.uspishnemisto.com.ua/school/120129/", 120129)</f>
        <v>120129</v>
      </c>
      <c r="B1702" s="3" t="s">
        <v>9105</v>
      </c>
      <c r="C1702" s="3" t="s">
        <v>31</v>
      </c>
      <c r="D1702" s="3" t="s">
        <v>32</v>
      </c>
      <c r="E1702" s="4" t="s">
        <v>22</v>
      </c>
      <c r="F1702" s="4" t="s">
        <v>8518</v>
      </c>
      <c r="G1702" s="4" t="s">
        <v>9062</v>
      </c>
      <c r="H1702" s="3" t="s">
        <v>8487</v>
      </c>
      <c r="I1702" s="3" t="s">
        <v>9063</v>
      </c>
      <c r="J1702" s="3" t="s">
        <v>9106</v>
      </c>
      <c r="K1702" s="3" t="s">
        <v>9107</v>
      </c>
      <c r="L1702" s="3" t="s">
        <v>9108</v>
      </c>
      <c r="M1702" s="4"/>
      <c r="N1702" s="3" t="s">
        <v>37</v>
      </c>
      <c r="O1702" s="3" t="s">
        <v>52</v>
      </c>
      <c r="P1702" s="5">
        <v>9</v>
      </c>
      <c r="Q1702" s="5">
        <v>233</v>
      </c>
      <c r="R1702" s="5">
        <v>10</v>
      </c>
      <c r="S1702" s="5">
        <v>252</v>
      </c>
    </row>
    <row r="1703" spans="1:19" ht="28" x14ac:dyDescent="0.15">
      <c r="A1703" s="2">
        <f>HYPERLINK("https://open-school.uspishnemisto.com.ua/school/120130/", 120130)</f>
        <v>120130</v>
      </c>
      <c r="B1703" s="3" t="s">
        <v>9109</v>
      </c>
      <c r="C1703" s="3" t="s">
        <v>31</v>
      </c>
      <c r="D1703" s="3" t="s">
        <v>32</v>
      </c>
      <c r="E1703" s="4" t="s">
        <v>22</v>
      </c>
      <c r="F1703" s="4" t="s">
        <v>8509</v>
      </c>
      <c r="G1703" s="4" t="s">
        <v>9062</v>
      </c>
      <c r="H1703" s="3" t="s">
        <v>8487</v>
      </c>
      <c r="I1703" s="3" t="s">
        <v>9063</v>
      </c>
      <c r="J1703" s="3" t="s">
        <v>9110</v>
      </c>
      <c r="K1703" s="3" t="s">
        <v>9111</v>
      </c>
      <c r="L1703" s="3" t="s">
        <v>9112</v>
      </c>
      <c r="M1703" s="4"/>
      <c r="N1703" s="3" t="s">
        <v>37</v>
      </c>
      <c r="O1703" s="3" t="s">
        <v>2740</v>
      </c>
      <c r="P1703" s="5">
        <v>19</v>
      </c>
      <c r="Q1703" s="5">
        <v>494</v>
      </c>
      <c r="R1703" s="5">
        <v>18</v>
      </c>
      <c r="S1703" s="5">
        <v>462</v>
      </c>
    </row>
    <row r="1704" spans="1:19" ht="56" x14ac:dyDescent="0.15">
      <c r="A1704" s="2">
        <f>HYPERLINK("https://open-school.uspishnemisto.com.ua/school/120131/", 120131)</f>
        <v>120131</v>
      </c>
      <c r="B1704" s="3" t="s">
        <v>9113</v>
      </c>
      <c r="C1704" s="3" t="s">
        <v>54</v>
      </c>
      <c r="D1704" s="3" t="s">
        <v>32</v>
      </c>
      <c r="E1704" s="4" t="s">
        <v>22</v>
      </c>
      <c r="F1704" s="4" t="s">
        <v>9114</v>
      </c>
      <c r="G1704" s="4" t="s">
        <v>9062</v>
      </c>
      <c r="H1704" s="3" t="s">
        <v>8487</v>
      </c>
      <c r="I1704" s="3" t="s">
        <v>9063</v>
      </c>
      <c r="J1704" s="3" t="s">
        <v>9115</v>
      </c>
      <c r="K1704" s="3" t="s">
        <v>9116</v>
      </c>
      <c r="L1704" s="3" t="s">
        <v>9117</v>
      </c>
      <c r="M1704" s="4"/>
      <c r="N1704" s="3" t="s">
        <v>37</v>
      </c>
      <c r="O1704" s="3" t="s">
        <v>38</v>
      </c>
      <c r="P1704" s="5">
        <v>9</v>
      </c>
      <c r="Q1704" s="5">
        <v>176</v>
      </c>
      <c r="R1704" s="5">
        <v>8</v>
      </c>
      <c r="S1704" s="5">
        <v>164</v>
      </c>
    </row>
    <row r="1705" spans="1:19" ht="28" x14ac:dyDescent="0.15">
      <c r="A1705" s="2">
        <f>HYPERLINK("https://open-school.uspishnemisto.com.ua/school/120132/", 120132)</f>
        <v>120132</v>
      </c>
      <c r="B1705" s="3" t="s">
        <v>9118</v>
      </c>
      <c r="C1705" s="3" t="s">
        <v>31</v>
      </c>
      <c r="D1705" s="3" t="s">
        <v>32</v>
      </c>
      <c r="E1705" s="4" t="s">
        <v>22</v>
      </c>
      <c r="F1705" s="4" t="s">
        <v>9119</v>
      </c>
      <c r="G1705" s="4" t="s">
        <v>9120</v>
      </c>
      <c r="H1705" s="3" t="s">
        <v>8487</v>
      </c>
      <c r="I1705" s="3" t="s">
        <v>9121</v>
      </c>
      <c r="J1705" s="3" t="s">
        <v>9122</v>
      </c>
      <c r="K1705" s="3" t="s">
        <v>9123</v>
      </c>
      <c r="L1705" s="3" t="s">
        <v>9124</v>
      </c>
      <c r="M1705" s="4"/>
      <c r="N1705" s="3" t="s">
        <v>37</v>
      </c>
      <c r="O1705" s="3" t="s">
        <v>38</v>
      </c>
      <c r="P1705" s="5">
        <v>19</v>
      </c>
      <c r="Q1705" s="5">
        <v>553</v>
      </c>
      <c r="R1705" s="5">
        <v>19</v>
      </c>
      <c r="S1705" s="5">
        <v>541</v>
      </c>
    </row>
    <row r="1706" spans="1:19" ht="28" x14ac:dyDescent="0.15">
      <c r="A1706" s="2">
        <f>HYPERLINK("https://open-school.uspishnemisto.com.ua/school/120133/", 120133)</f>
        <v>120133</v>
      </c>
      <c r="B1706" s="3" t="s">
        <v>9125</v>
      </c>
      <c r="C1706" s="3" t="s">
        <v>31</v>
      </c>
      <c r="D1706" s="3" t="s">
        <v>32</v>
      </c>
      <c r="E1706" s="4" t="s">
        <v>22</v>
      </c>
      <c r="F1706" s="4" t="s">
        <v>9126</v>
      </c>
      <c r="G1706" s="4" t="s">
        <v>9120</v>
      </c>
      <c r="H1706" s="3" t="s">
        <v>8487</v>
      </c>
      <c r="I1706" s="3" t="s">
        <v>9121</v>
      </c>
      <c r="J1706" s="3" t="s">
        <v>9127</v>
      </c>
      <c r="K1706" s="3" t="s">
        <v>9128</v>
      </c>
      <c r="L1706" s="3" t="s">
        <v>9129</v>
      </c>
      <c r="M1706" s="4"/>
      <c r="N1706" s="3" t="s">
        <v>37</v>
      </c>
      <c r="O1706" s="3" t="s">
        <v>38</v>
      </c>
      <c r="P1706" s="5">
        <v>15</v>
      </c>
      <c r="Q1706" s="5">
        <v>465</v>
      </c>
      <c r="R1706" s="5">
        <v>15</v>
      </c>
      <c r="S1706" s="5">
        <v>444</v>
      </c>
    </row>
    <row r="1707" spans="1:19" ht="56" x14ac:dyDescent="0.15">
      <c r="A1707" s="2">
        <f>HYPERLINK("https://open-school.uspishnemisto.com.ua/school/120134/", 120134)</f>
        <v>120134</v>
      </c>
      <c r="B1707" s="3" t="s">
        <v>9130</v>
      </c>
      <c r="C1707" s="3" t="s">
        <v>54</v>
      </c>
      <c r="D1707" s="3" t="s">
        <v>32</v>
      </c>
      <c r="E1707" s="4" t="s">
        <v>22</v>
      </c>
      <c r="F1707" s="4" t="s">
        <v>9131</v>
      </c>
      <c r="G1707" s="4" t="s">
        <v>9120</v>
      </c>
      <c r="H1707" s="3" t="s">
        <v>8487</v>
      </c>
      <c r="I1707" s="3" t="s">
        <v>9121</v>
      </c>
      <c r="J1707" s="3" t="s">
        <v>9132</v>
      </c>
      <c r="K1707" s="3" t="s">
        <v>9133</v>
      </c>
      <c r="L1707" s="3" t="s">
        <v>9134</v>
      </c>
      <c r="M1707" s="4"/>
      <c r="N1707" s="3" t="s">
        <v>37</v>
      </c>
      <c r="O1707" s="3" t="s">
        <v>38</v>
      </c>
      <c r="P1707" s="5">
        <v>9</v>
      </c>
      <c r="Q1707" s="5">
        <v>233</v>
      </c>
      <c r="R1707" s="5">
        <v>10</v>
      </c>
      <c r="S1707" s="5">
        <v>251</v>
      </c>
    </row>
    <row r="1708" spans="1:19" ht="28" x14ac:dyDescent="0.15">
      <c r="A1708" s="2">
        <f>HYPERLINK("https://open-school.uspishnemisto.com.ua/school/120136/", 120136)</f>
        <v>120136</v>
      </c>
      <c r="B1708" s="3" t="s">
        <v>9135</v>
      </c>
      <c r="C1708" s="3" t="s">
        <v>40</v>
      </c>
      <c r="D1708" s="3" t="s">
        <v>32</v>
      </c>
      <c r="E1708" s="4" t="s">
        <v>22</v>
      </c>
      <c r="F1708" s="4" t="s">
        <v>9119</v>
      </c>
      <c r="G1708" s="4" t="s">
        <v>9120</v>
      </c>
      <c r="H1708" s="3" t="s">
        <v>8487</v>
      </c>
      <c r="I1708" s="3" t="s">
        <v>9121</v>
      </c>
      <c r="J1708" s="3" t="s">
        <v>9136</v>
      </c>
      <c r="K1708" s="3" t="s">
        <v>9137</v>
      </c>
      <c r="L1708" s="3" t="s">
        <v>9138</v>
      </c>
      <c r="M1708" s="4"/>
      <c r="N1708" s="3" t="s">
        <v>37</v>
      </c>
      <c r="O1708" s="3" t="s">
        <v>2740</v>
      </c>
      <c r="P1708" s="5">
        <v>7</v>
      </c>
      <c r="Q1708" s="5">
        <v>198</v>
      </c>
      <c r="R1708" s="5">
        <v>7</v>
      </c>
      <c r="S1708" s="5">
        <v>204</v>
      </c>
    </row>
    <row r="1709" spans="1:19" ht="28" x14ac:dyDescent="0.15">
      <c r="A1709" s="2">
        <f>HYPERLINK("https://open-school.uspishnemisto.com.ua/school/120137/", 120137)</f>
        <v>120137</v>
      </c>
      <c r="B1709" s="3" t="s">
        <v>9139</v>
      </c>
      <c r="C1709" s="3" t="s">
        <v>188</v>
      </c>
      <c r="D1709" s="3" t="s">
        <v>32</v>
      </c>
      <c r="E1709" s="4" t="s">
        <v>22</v>
      </c>
      <c r="F1709" s="4" t="s">
        <v>8578</v>
      </c>
      <c r="G1709" s="4" t="s">
        <v>9120</v>
      </c>
      <c r="H1709" s="3" t="s">
        <v>8487</v>
      </c>
      <c r="I1709" s="3" t="s">
        <v>9121</v>
      </c>
      <c r="J1709" s="3" t="s">
        <v>9140</v>
      </c>
      <c r="K1709" s="3" t="s">
        <v>9141</v>
      </c>
      <c r="L1709" s="3" t="s">
        <v>9142</v>
      </c>
      <c r="M1709" s="4"/>
      <c r="N1709" s="3" t="s">
        <v>37</v>
      </c>
      <c r="O1709" s="3" t="s">
        <v>70</v>
      </c>
      <c r="P1709" s="5">
        <v>7</v>
      </c>
      <c r="Q1709" s="5">
        <v>196</v>
      </c>
      <c r="R1709" s="5">
        <v>7</v>
      </c>
      <c r="S1709" s="5">
        <v>209</v>
      </c>
    </row>
    <row r="1710" spans="1:19" ht="56" x14ac:dyDescent="0.15">
      <c r="A1710" s="2">
        <f>HYPERLINK("https://open-school.uspishnemisto.com.ua/school/120138/", 120138)</f>
        <v>120138</v>
      </c>
      <c r="B1710" s="3" t="s">
        <v>9143</v>
      </c>
      <c r="C1710" s="3" t="s">
        <v>54</v>
      </c>
      <c r="D1710" s="3" t="s">
        <v>32</v>
      </c>
      <c r="E1710" s="4" t="s">
        <v>22</v>
      </c>
      <c r="F1710" s="4" t="s">
        <v>8578</v>
      </c>
      <c r="G1710" s="4" t="s">
        <v>9120</v>
      </c>
      <c r="H1710" s="3" t="s">
        <v>8487</v>
      </c>
      <c r="I1710" s="3" t="s">
        <v>9121</v>
      </c>
      <c r="J1710" s="3" t="s">
        <v>9144</v>
      </c>
      <c r="K1710" s="3" t="s">
        <v>9145</v>
      </c>
      <c r="L1710" s="3" t="s">
        <v>9146</v>
      </c>
      <c r="M1710" s="4"/>
      <c r="N1710" s="3" t="s">
        <v>37</v>
      </c>
      <c r="O1710" s="3" t="s">
        <v>38</v>
      </c>
      <c r="P1710" s="5">
        <v>26</v>
      </c>
      <c r="Q1710" s="5">
        <v>797</v>
      </c>
      <c r="R1710" s="5">
        <v>25</v>
      </c>
      <c r="S1710" s="5">
        <v>746</v>
      </c>
    </row>
    <row r="1711" spans="1:19" ht="56" x14ac:dyDescent="0.15">
      <c r="A1711" s="2">
        <f>HYPERLINK("https://open-school.uspishnemisto.com.ua/school/120139/", 120139)</f>
        <v>120139</v>
      </c>
      <c r="B1711" s="3" t="s">
        <v>9147</v>
      </c>
      <c r="C1711" s="3" t="s">
        <v>54</v>
      </c>
      <c r="D1711" s="3" t="s">
        <v>32</v>
      </c>
      <c r="E1711" s="4" t="s">
        <v>22</v>
      </c>
      <c r="F1711" s="4" t="s">
        <v>9148</v>
      </c>
      <c r="G1711" s="4" t="s">
        <v>9120</v>
      </c>
      <c r="H1711" s="3" t="s">
        <v>8487</v>
      </c>
      <c r="I1711" s="3" t="s">
        <v>9121</v>
      </c>
      <c r="J1711" s="3" t="s">
        <v>9149</v>
      </c>
      <c r="K1711" s="3" t="s">
        <v>9150</v>
      </c>
      <c r="L1711" s="3" t="s">
        <v>9151</v>
      </c>
      <c r="M1711" s="4"/>
      <c r="N1711" s="3" t="s">
        <v>37</v>
      </c>
      <c r="O1711" s="3" t="s">
        <v>52</v>
      </c>
      <c r="P1711" s="5">
        <v>17</v>
      </c>
      <c r="Q1711" s="5">
        <v>462</v>
      </c>
      <c r="R1711" s="5">
        <v>16</v>
      </c>
      <c r="S1711" s="5">
        <v>446</v>
      </c>
    </row>
    <row r="1712" spans="1:19" ht="56" x14ac:dyDescent="0.15">
      <c r="A1712" s="2">
        <f>HYPERLINK("https://open-school.uspishnemisto.com.ua/school/120140/", 120140)</f>
        <v>120140</v>
      </c>
      <c r="B1712" s="3" t="s">
        <v>9152</v>
      </c>
      <c r="C1712" s="3" t="s">
        <v>54</v>
      </c>
      <c r="D1712" s="3" t="s">
        <v>32</v>
      </c>
      <c r="E1712" s="4" t="s">
        <v>22</v>
      </c>
      <c r="F1712" s="4" t="s">
        <v>9126</v>
      </c>
      <c r="G1712" s="4" t="s">
        <v>9120</v>
      </c>
      <c r="H1712" s="3" t="s">
        <v>8487</v>
      </c>
      <c r="I1712" s="3" t="s">
        <v>9121</v>
      </c>
      <c r="J1712" s="3" t="s">
        <v>9153</v>
      </c>
      <c r="K1712" s="3" t="s">
        <v>9154</v>
      </c>
      <c r="L1712" s="3" t="s">
        <v>9155</v>
      </c>
      <c r="M1712" s="4"/>
      <c r="N1712" s="3" t="s">
        <v>37</v>
      </c>
      <c r="O1712" s="3" t="s">
        <v>38</v>
      </c>
      <c r="P1712" s="5">
        <v>10</v>
      </c>
      <c r="Q1712" s="5">
        <v>259</v>
      </c>
      <c r="R1712" s="5">
        <v>10</v>
      </c>
      <c r="S1712" s="5">
        <v>259</v>
      </c>
    </row>
    <row r="1713" spans="1:19" ht="42" x14ac:dyDescent="0.15">
      <c r="A1713" s="2">
        <f>HYPERLINK("https://open-school.uspishnemisto.com.ua/school/120142/", 120142)</f>
        <v>120142</v>
      </c>
      <c r="B1713" s="3" t="s">
        <v>9156</v>
      </c>
      <c r="C1713" s="3" t="s">
        <v>54</v>
      </c>
      <c r="D1713" s="3" t="s">
        <v>32</v>
      </c>
      <c r="E1713" s="4" t="s">
        <v>22</v>
      </c>
      <c r="F1713" s="4" t="s">
        <v>9119</v>
      </c>
      <c r="G1713" s="4" t="s">
        <v>9120</v>
      </c>
      <c r="H1713" s="3" t="s">
        <v>8487</v>
      </c>
      <c r="I1713" s="3" t="s">
        <v>9121</v>
      </c>
      <c r="J1713" s="3" t="s">
        <v>9157</v>
      </c>
      <c r="K1713" s="3" t="s">
        <v>9158</v>
      </c>
      <c r="L1713" s="3"/>
      <c r="M1713" s="4"/>
      <c r="N1713" s="3" t="s">
        <v>967</v>
      </c>
      <c r="O1713" s="3" t="s">
        <v>52</v>
      </c>
      <c r="P1713" s="5">
        <v>20</v>
      </c>
      <c r="Q1713" s="5">
        <v>523</v>
      </c>
      <c r="R1713" s="5">
        <v>19</v>
      </c>
      <c r="S1713" s="5">
        <v>509</v>
      </c>
    </row>
    <row r="1714" spans="1:19" ht="28" x14ac:dyDescent="0.15">
      <c r="A1714" s="2">
        <f>HYPERLINK("https://open-school.uspishnemisto.com.ua/school/120143/", 120143)</f>
        <v>120143</v>
      </c>
      <c r="B1714" s="3" t="s">
        <v>9159</v>
      </c>
      <c r="C1714" s="3" t="s">
        <v>31</v>
      </c>
      <c r="D1714" s="3" t="s">
        <v>32</v>
      </c>
      <c r="E1714" s="4" t="s">
        <v>22</v>
      </c>
      <c r="F1714" s="4" t="s">
        <v>9119</v>
      </c>
      <c r="G1714" s="4" t="s">
        <v>9120</v>
      </c>
      <c r="H1714" s="3" t="s">
        <v>8487</v>
      </c>
      <c r="I1714" s="3" t="s">
        <v>9121</v>
      </c>
      <c r="J1714" s="3" t="s">
        <v>9160</v>
      </c>
      <c r="K1714" s="3"/>
      <c r="L1714" s="3" t="s">
        <v>9161</v>
      </c>
      <c r="M1714" s="4"/>
      <c r="N1714" s="3" t="s">
        <v>37</v>
      </c>
      <c r="O1714" s="3" t="s">
        <v>38</v>
      </c>
      <c r="P1714" s="5">
        <v>24</v>
      </c>
      <c r="Q1714" s="5">
        <v>739</v>
      </c>
      <c r="R1714" s="5">
        <v>24</v>
      </c>
      <c r="S1714" s="5">
        <v>716</v>
      </c>
    </row>
    <row r="1715" spans="1:19" ht="28" x14ac:dyDescent="0.15">
      <c r="A1715" s="2">
        <f>HYPERLINK("https://open-school.uspishnemisto.com.ua/school/120144/", 120144)</f>
        <v>120144</v>
      </c>
      <c r="B1715" s="3" t="s">
        <v>9162</v>
      </c>
      <c r="C1715" s="3" t="s">
        <v>31</v>
      </c>
      <c r="D1715" s="3" t="s">
        <v>32</v>
      </c>
      <c r="E1715" s="4" t="s">
        <v>22</v>
      </c>
      <c r="F1715" s="4" t="s">
        <v>9163</v>
      </c>
      <c r="G1715" s="4" t="s">
        <v>9120</v>
      </c>
      <c r="H1715" s="3" t="s">
        <v>8487</v>
      </c>
      <c r="I1715" s="3" t="s">
        <v>9121</v>
      </c>
      <c r="J1715" s="3" t="s">
        <v>9164</v>
      </c>
      <c r="K1715" s="3" t="s">
        <v>9165</v>
      </c>
      <c r="L1715" s="3" t="s">
        <v>9166</v>
      </c>
      <c r="M1715" s="4"/>
      <c r="N1715" s="3" t="s">
        <v>37</v>
      </c>
      <c r="O1715" s="3" t="s">
        <v>70</v>
      </c>
      <c r="P1715" s="5">
        <v>10</v>
      </c>
      <c r="Q1715" s="5">
        <v>287</v>
      </c>
      <c r="R1715" s="5">
        <v>10</v>
      </c>
      <c r="S1715" s="5">
        <v>276</v>
      </c>
    </row>
    <row r="1716" spans="1:19" ht="28" x14ac:dyDescent="0.15">
      <c r="A1716" s="2">
        <f>HYPERLINK("https://open-school.uspishnemisto.com.ua/school/120145/", 120145)</f>
        <v>120145</v>
      </c>
      <c r="B1716" s="3" t="s">
        <v>9167</v>
      </c>
      <c r="C1716" s="3" t="s">
        <v>31</v>
      </c>
      <c r="D1716" s="3" t="s">
        <v>32</v>
      </c>
      <c r="E1716" s="4" t="s">
        <v>22</v>
      </c>
      <c r="F1716" s="4" t="s">
        <v>9168</v>
      </c>
      <c r="G1716" s="4" t="s">
        <v>9120</v>
      </c>
      <c r="H1716" s="3" t="s">
        <v>8487</v>
      </c>
      <c r="I1716" s="3" t="s">
        <v>9121</v>
      </c>
      <c r="J1716" s="3" t="s">
        <v>9169</v>
      </c>
      <c r="K1716" s="3" t="s">
        <v>9170</v>
      </c>
      <c r="L1716" s="3" t="s">
        <v>9171</v>
      </c>
      <c r="M1716" s="4"/>
      <c r="N1716" s="3" t="s">
        <v>37</v>
      </c>
      <c r="O1716" s="3" t="s">
        <v>266</v>
      </c>
      <c r="P1716" s="5">
        <v>30</v>
      </c>
      <c r="Q1716" s="5">
        <v>890</v>
      </c>
      <c r="R1716" s="5">
        <v>31</v>
      </c>
      <c r="S1716" s="5">
        <v>880</v>
      </c>
    </row>
    <row r="1717" spans="1:19" ht="42" x14ac:dyDescent="0.15">
      <c r="A1717" s="2">
        <f>HYPERLINK("https://open-school.uspishnemisto.com.ua/school/120146/", 120146)</f>
        <v>120146</v>
      </c>
      <c r="B1717" s="3" t="s">
        <v>9172</v>
      </c>
      <c r="C1717" s="3" t="s">
        <v>31</v>
      </c>
      <c r="D1717" s="3" t="s">
        <v>32</v>
      </c>
      <c r="E1717" s="4" t="s">
        <v>22</v>
      </c>
      <c r="F1717" s="4" t="s">
        <v>9168</v>
      </c>
      <c r="G1717" s="4" t="s">
        <v>9120</v>
      </c>
      <c r="H1717" s="3" t="s">
        <v>8487</v>
      </c>
      <c r="I1717" s="3" t="s">
        <v>9121</v>
      </c>
      <c r="J1717" s="3" t="s">
        <v>9173</v>
      </c>
      <c r="K1717" s="3" t="s">
        <v>9174</v>
      </c>
      <c r="L1717" s="3"/>
      <c r="M1717" s="4"/>
      <c r="N1717" s="3" t="s">
        <v>967</v>
      </c>
      <c r="O1717" s="3" t="s">
        <v>2740</v>
      </c>
      <c r="P1717" s="5">
        <v>10</v>
      </c>
      <c r="Q1717" s="5">
        <v>235</v>
      </c>
      <c r="R1717" s="5">
        <v>11</v>
      </c>
      <c r="S1717" s="5">
        <v>259</v>
      </c>
    </row>
    <row r="1718" spans="1:19" ht="28" x14ac:dyDescent="0.15">
      <c r="A1718" s="2">
        <f>HYPERLINK("https://open-school.uspishnemisto.com.ua/school/120147/", 120147)</f>
        <v>120147</v>
      </c>
      <c r="B1718" s="3" t="s">
        <v>9175</v>
      </c>
      <c r="C1718" s="3" t="s">
        <v>31</v>
      </c>
      <c r="D1718" s="3" t="s">
        <v>32</v>
      </c>
      <c r="E1718" s="4" t="s">
        <v>22</v>
      </c>
      <c r="F1718" s="4" t="s">
        <v>9176</v>
      </c>
      <c r="G1718" s="4" t="s">
        <v>9120</v>
      </c>
      <c r="H1718" s="3" t="s">
        <v>8487</v>
      </c>
      <c r="I1718" s="3" t="s">
        <v>9121</v>
      </c>
      <c r="J1718" s="3" t="s">
        <v>9177</v>
      </c>
      <c r="K1718" s="3"/>
      <c r="L1718" s="3" t="s">
        <v>9178</v>
      </c>
      <c r="M1718" s="4"/>
      <c r="N1718" s="3" t="s">
        <v>37</v>
      </c>
      <c r="O1718" s="3" t="s">
        <v>46</v>
      </c>
      <c r="P1718" s="5">
        <v>18</v>
      </c>
      <c r="Q1718" s="5">
        <v>534</v>
      </c>
      <c r="R1718" s="5">
        <v>16</v>
      </c>
      <c r="S1718" s="5">
        <v>478</v>
      </c>
    </row>
    <row r="1719" spans="1:19" ht="28" x14ac:dyDescent="0.15">
      <c r="A1719" s="2">
        <f>HYPERLINK("https://open-school.uspishnemisto.com.ua/school/120148/", 120148)</f>
        <v>120148</v>
      </c>
      <c r="B1719" s="3" t="s">
        <v>9179</v>
      </c>
      <c r="C1719" s="3" t="s">
        <v>31</v>
      </c>
      <c r="D1719" s="3" t="s">
        <v>32</v>
      </c>
      <c r="E1719" s="4" t="s">
        <v>22</v>
      </c>
      <c r="F1719" s="4" t="s">
        <v>8578</v>
      </c>
      <c r="G1719" s="4" t="s">
        <v>9120</v>
      </c>
      <c r="H1719" s="3" t="s">
        <v>8487</v>
      </c>
      <c r="I1719" s="3" t="s">
        <v>9121</v>
      </c>
      <c r="J1719" s="3" t="s">
        <v>9180</v>
      </c>
      <c r="K1719" s="3" t="s">
        <v>9181</v>
      </c>
      <c r="L1719" s="3" t="s">
        <v>9182</v>
      </c>
      <c r="M1719" s="4"/>
      <c r="N1719" s="3" t="s">
        <v>37</v>
      </c>
      <c r="O1719" s="3" t="s">
        <v>38</v>
      </c>
      <c r="P1719" s="5">
        <v>46</v>
      </c>
      <c r="Q1719" s="5">
        <v>1418</v>
      </c>
      <c r="R1719" s="5">
        <v>45</v>
      </c>
      <c r="S1719" s="5">
        <v>1394</v>
      </c>
    </row>
    <row r="1720" spans="1:19" ht="28" x14ac:dyDescent="0.15">
      <c r="A1720" s="2">
        <f>HYPERLINK("https://open-school.uspishnemisto.com.ua/school/120149/", 120149)</f>
        <v>120149</v>
      </c>
      <c r="B1720" s="3" t="s">
        <v>9183</v>
      </c>
      <c r="C1720" s="3" t="s">
        <v>31</v>
      </c>
      <c r="D1720" s="3" t="s">
        <v>32</v>
      </c>
      <c r="E1720" s="4" t="s">
        <v>22</v>
      </c>
      <c r="F1720" s="4" t="s">
        <v>8578</v>
      </c>
      <c r="G1720" s="4" t="s">
        <v>9120</v>
      </c>
      <c r="H1720" s="3" t="s">
        <v>8487</v>
      </c>
      <c r="I1720" s="3" t="s">
        <v>9121</v>
      </c>
      <c r="J1720" s="3" t="s">
        <v>9184</v>
      </c>
      <c r="K1720" s="3" t="s">
        <v>9185</v>
      </c>
      <c r="L1720" s="3" t="s">
        <v>9186</v>
      </c>
      <c r="M1720" s="4"/>
      <c r="N1720" s="3" t="s">
        <v>37</v>
      </c>
      <c r="O1720" s="3" t="s">
        <v>70</v>
      </c>
      <c r="P1720" s="5">
        <v>34</v>
      </c>
      <c r="Q1720" s="5">
        <v>1060</v>
      </c>
      <c r="R1720" s="5">
        <v>33</v>
      </c>
      <c r="S1720" s="5">
        <v>1038</v>
      </c>
    </row>
    <row r="1721" spans="1:19" ht="28" x14ac:dyDescent="0.15">
      <c r="A1721" s="2">
        <f>HYPERLINK("https://open-school.uspishnemisto.com.ua/school/120150/", 120150)</f>
        <v>120150</v>
      </c>
      <c r="B1721" s="3" t="s">
        <v>9187</v>
      </c>
      <c r="C1721" s="3" t="s">
        <v>31</v>
      </c>
      <c r="D1721" s="3" t="s">
        <v>32</v>
      </c>
      <c r="E1721" s="4" t="s">
        <v>22</v>
      </c>
      <c r="F1721" s="4" t="s">
        <v>9126</v>
      </c>
      <c r="G1721" s="4" t="s">
        <v>9120</v>
      </c>
      <c r="H1721" s="3" t="s">
        <v>8487</v>
      </c>
      <c r="I1721" s="3" t="s">
        <v>9121</v>
      </c>
      <c r="J1721" s="3" t="s">
        <v>9188</v>
      </c>
      <c r="K1721" s="3" t="s">
        <v>9189</v>
      </c>
      <c r="L1721" s="3" t="s">
        <v>9190</v>
      </c>
      <c r="M1721" s="4"/>
      <c r="N1721" s="3" t="s">
        <v>37</v>
      </c>
      <c r="O1721" s="3" t="s">
        <v>38</v>
      </c>
      <c r="P1721" s="5">
        <v>15</v>
      </c>
      <c r="Q1721" s="5">
        <v>425</v>
      </c>
      <c r="R1721" s="5">
        <v>14</v>
      </c>
      <c r="S1721" s="5">
        <v>385</v>
      </c>
    </row>
    <row r="1722" spans="1:19" ht="42" x14ac:dyDescent="0.15">
      <c r="A1722" s="2">
        <f>HYPERLINK("https://open-school.uspishnemisto.com.ua/school/120151/", 120151)</f>
        <v>120151</v>
      </c>
      <c r="B1722" s="3" t="s">
        <v>9191</v>
      </c>
      <c r="C1722" s="3" t="s">
        <v>31</v>
      </c>
      <c r="D1722" s="3" t="s">
        <v>32</v>
      </c>
      <c r="E1722" s="4" t="s">
        <v>22</v>
      </c>
      <c r="F1722" s="4" t="s">
        <v>9192</v>
      </c>
      <c r="G1722" s="4" t="s">
        <v>9120</v>
      </c>
      <c r="H1722" s="3" t="s">
        <v>8487</v>
      </c>
      <c r="I1722" s="3" t="s">
        <v>9121</v>
      </c>
      <c r="J1722" s="3" t="s">
        <v>9193</v>
      </c>
      <c r="K1722" s="3" t="s">
        <v>9194</v>
      </c>
      <c r="L1722" s="3" t="s">
        <v>9195</v>
      </c>
      <c r="M1722" s="4"/>
      <c r="N1722" s="3" t="s">
        <v>37</v>
      </c>
      <c r="O1722" s="3" t="s">
        <v>38</v>
      </c>
      <c r="P1722" s="5">
        <v>35</v>
      </c>
      <c r="Q1722" s="5">
        <v>1130</v>
      </c>
      <c r="R1722" s="5">
        <v>34</v>
      </c>
      <c r="S1722" s="5">
        <v>1090</v>
      </c>
    </row>
    <row r="1723" spans="1:19" ht="28" x14ac:dyDescent="0.15">
      <c r="A1723" s="2">
        <f>HYPERLINK("https://open-school.uspishnemisto.com.ua/school/120152/", 120152)</f>
        <v>120152</v>
      </c>
      <c r="B1723" s="3" t="s">
        <v>9196</v>
      </c>
      <c r="C1723" s="3" t="s">
        <v>31</v>
      </c>
      <c r="D1723" s="3" t="s">
        <v>32</v>
      </c>
      <c r="E1723" s="4" t="s">
        <v>22</v>
      </c>
      <c r="F1723" s="4" t="s">
        <v>9069</v>
      </c>
      <c r="G1723" s="4" t="s">
        <v>9120</v>
      </c>
      <c r="H1723" s="3" t="s">
        <v>8487</v>
      </c>
      <c r="I1723" s="3" t="s">
        <v>9121</v>
      </c>
      <c r="J1723" s="3" t="s">
        <v>9197</v>
      </c>
      <c r="K1723" s="3" t="s">
        <v>9198</v>
      </c>
      <c r="L1723" s="3" t="s">
        <v>9199</v>
      </c>
      <c r="M1723" s="4"/>
      <c r="N1723" s="3" t="s">
        <v>967</v>
      </c>
      <c r="O1723" s="3" t="s">
        <v>2740</v>
      </c>
      <c r="P1723" s="5">
        <v>18</v>
      </c>
      <c r="Q1723" s="5">
        <v>478</v>
      </c>
      <c r="R1723" s="5">
        <v>16</v>
      </c>
      <c r="S1723" s="5">
        <v>451</v>
      </c>
    </row>
    <row r="1724" spans="1:19" ht="28" x14ac:dyDescent="0.15">
      <c r="A1724" s="2">
        <f>HYPERLINK("https://open-school.uspishnemisto.com.ua/school/120153/", 120153)</f>
        <v>120153</v>
      </c>
      <c r="B1724" s="3" t="s">
        <v>9200</v>
      </c>
      <c r="C1724" s="3" t="s">
        <v>31</v>
      </c>
      <c r="D1724" s="3" t="s">
        <v>32</v>
      </c>
      <c r="E1724" s="4" t="s">
        <v>22</v>
      </c>
      <c r="F1724" s="4" t="s">
        <v>9201</v>
      </c>
      <c r="G1724" s="4" t="s">
        <v>9120</v>
      </c>
      <c r="H1724" s="3" t="s">
        <v>8487</v>
      </c>
      <c r="I1724" s="3" t="s">
        <v>9121</v>
      </c>
      <c r="J1724" s="3" t="s">
        <v>9202</v>
      </c>
      <c r="K1724" s="3" t="s">
        <v>9203</v>
      </c>
      <c r="L1724" s="3" t="s">
        <v>9204</v>
      </c>
      <c r="M1724" s="4"/>
      <c r="N1724" s="3" t="s">
        <v>37</v>
      </c>
      <c r="O1724" s="3" t="s">
        <v>38</v>
      </c>
      <c r="P1724" s="5">
        <v>11</v>
      </c>
      <c r="Q1724" s="5">
        <v>316</v>
      </c>
      <c r="R1724" s="5">
        <v>11</v>
      </c>
      <c r="S1724" s="5">
        <v>330</v>
      </c>
    </row>
    <row r="1725" spans="1:19" ht="28" x14ac:dyDescent="0.15">
      <c r="A1725" s="2">
        <f>HYPERLINK("https://open-school.uspishnemisto.com.ua/school/120154/", 120154)</f>
        <v>120154</v>
      </c>
      <c r="B1725" s="3" t="s">
        <v>9205</v>
      </c>
      <c r="C1725" s="3" t="s">
        <v>31</v>
      </c>
      <c r="D1725" s="3" t="s">
        <v>32</v>
      </c>
      <c r="E1725" s="4" t="s">
        <v>22</v>
      </c>
      <c r="F1725" s="4" t="s">
        <v>8499</v>
      </c>
      <c r="G1725" s="4" t="s">
        <v>9120</v>
      </c>
      <c r="H1725" s="3" t="s">
        <v>8487</v>
      </c>
      <c r="I1725" s="3" t="s">
        <v>9121</v>
      </c>
      <c r="J1725" s="3" t="s">
        <v>9206</v>
      </c>
      <c r="K1725" s="3" t="s">
        <v>9207</v>
      </c>
      <c r="L1725" s="3" t="s">
        <v>9208</v>
      </c>
      <c r="M1725" s="4"/>
      <c r="N1725" s="3" t="s">
        <v>37</v>
      </c>
      <c r="O1725" s="3" t="s">
        <v>38</v>
      </c>
      <c r="P1725" s="5">
        <v>17</v>
      </c>
      <c r="Q1725" s="5">
        <v>469</v>
      </c>
      <c r="R1725" s="5">
        <v>17</v>
      </c>
      <c r="S1725" s="5">
        <v>475</v>
      </c>
    </row>
    <row r="1726" spans="1:19" ht="28" x14ac:dyDescent="0.15">
      <c r="A1726" s="2">
        <f>HYPERLINK("https://open-school.uspishnemisto.com.ua/school/120155/", 120155)</f>
        <v>120155</v>
      </c>
      <c r="B1726" s="3" t="s">
        <v>9209</v>
      </c>
      <c r="C1726" s="3" t="s">
        <v>244</v>
      </c>
      <c r="D1726" s="3" t="s">
        <v>32</v>
      </c>
      <c r="E1726" s="4" t="s">
        <v>22</v>
      </c>
      <c r="F1726" s="4" t="s">
        <v>9192</v>
      </c>
      <c r="G1726" s="4" t="s">
        <v>9120</v>
      </c>
      <c r="H1726" s="3" t="s">
        <v>8487</v>
      </c>
      <c r="I1726" s="3" t="s">
        <v>9121</v>
      </c>
      <c r="J1726" s="3" t="s">
        <v>9210</v>
      </c>
      <c r="K1726" s="3" t="s">
        <v>9211</v>
      </c>
      <c r="L1726" s="3" t="s">
        <v>9212</v>
      </c>
      <c r="M1726" s="4"/>
      <c r="N1726" s="3" t="s">
        <v>37</v>
      </c>
      <c r="O1726" s="3" t="s">
        <v>46</v>
      </c>
      <c r="P1726" s="5">
        <v>26</v>
      </c>
      <c r="Q1726" s="5">
        <v>721</v>
      </c>
      <c r="R1726" s="5">
        <v>25</v>
      </c>
      <c r="S1726" s="5">
        <v>737</v>
      </c>
    </row>
    <row r="1727" spans="1:19" ht="28" x14ac:dyDescent="0.15">
      <c r="A1727" s="2">
        <f>HYPERLINK("https://open-school.uspishnemisto.com.ua/school/120156/", 120156)</f>
        <v>120156</v>
      </c>
      <c r="B1727" s="3" t="s">
        <v>9213</v>
      </c>
      <c r="C1727" s="3" t="s">
        <v>31</v>
      </c>
      <c r="D1727" s="3" t="s">
        <v>32</v>
      </c>
      <c r="E1727" s="4" t="s">
        <v>22</v>
      </c>
      <c r="F1727" s="4" t="s">
        <v>9192</v>
      </c>
      <c r="G1727" s="4" t="s">
        <v>9120</v>
      </c>
      <c r="H1727" s="3" t="s">
        <v>8487</v>
      </c>
      <c r="I1727" s="3" t="s">
        <v>9121</v>
      </c>
      <c r="J1727" s="3" t="s">
        <v>9214</v>
      </c>
      <c r="K1727" s="3"/>
      <c r="L1727" s="3" t="s">
        <v>9215</v>
      </c>
      <c r="M1727" s="4"/>
      <c r="N1727" s="3" t="s">
        <v>967</v>
      </c>
      <c r="O1727" s="3" t="s">
        <v>2740</v>
      </c>
      <c r="P1727" s="5">
        <v>24</v>
      </c>
      <c r="Q1727" s="5">
        <v>671</v>
      </c>
      <c r="R1727" s="5">
        <v>23</v>
      </c>
      <c r="S1727" s="5">
        <v>674</v>
      </c>
    </row>
    <row r="1728" spans="1:19" ht="42" x14ac:dyDescent="0.15">
      <c r="A1728" s="2">
        <f>HYPERLINK("https://open-school.uspishnemisto.com.ua/school/120007/", 120007)</f>
        <v>120007</v>
      </c>
      <c r="B1728" s="3" t="s">
        <v>9216</v>
      </c>
      <c r="C1728" s="3" t="s">
        <v>20</v>
      </c>
      <c r="D1728" s="3" t="s">
        <v>32</v>
      </c>
      <c r="E1728" s="4" t="s">
        <v>22</v>
      </c>
      <c r="F1728" s="4" t="s">
        <v>9217</v>
      </c>
      <c r="G1728" s="4" t="s">
        <v>9218</v>
      </c>
      <c r="H1728" s="3" t="s">
        <v>8487</v>
      </c>
      <c r="I1728" s="3" t="s">
        <v>9219</v>
      </c>
      <c r="J1728" s="3" t="s">
        <v>9220</v>
      </c>
      <c r="K1728" s="3" t="s">
        <v>9221</v>
      </c>
      <c r="L1728" s="3"/>
      <c r="M1728" s="4"/>
      <c r="N1728" s="3"/>
      <c r="O1728" s="3"/>
      <c r="P1728" s="5">
        <v>0</v>
      </c>
      <c r="Q1728" s="5">
        <v>0</v>
      </c>
      <c r="R1728" s="5"/>
      <c r="S1728" s="5"/>
    </row>
    <row r="1729" spans="1:19" ht="56" x14ac:dyDescent="0.15">
      <c r="A1729" s="2">
        <f>HYPERLINK("https://open-school.uspishnemisto.com.ua/school/120157/", 120157)</f>
        <v>120157</v>
      </c>
      <c r="B1729" s="3" t="s">
        <v>9222</v>
      </c>
      <c r="C1729" s="3" t="s">
        <v>54</v>
      </c>
      <c r="D1729" s="3" t="s">
        <v>32</v>
      </c>
      <c r="E1729" s="4" t="s">
        <v>22</v>
      </c>
      <c r="F1729" s="4" t="s">
        <v>9223</v>
      </c>
      <c r="G1729" s="4" t="s">
        <v>9218</v>
      </c>
      <c r="H1729" s="3" t="s">
        <v>8487</v>
      </c>
      <c r="I1729" s="3" t="s">
        <v>9219</v>
      </c>
      <c r="J1729" s="3" t="s">
        <v>9224</v>
      </c>
      <c r="K1729" s="3" t="s">
        <v>9225</v>
      </c>
      <c r="L1729" s="3" t="s">
        <v>9226</v>
      </c>
      <c r="M1729" s="4" t="s">
        <v>9227</v>
      </c>
      <c r="N1729" s="3" t="s">
        <v>37</v>
      </c>
      <c r="O1729" s="3" t="s">
        <v>197</v>
      </c>
      <c r="P1729" s="5">
        <v>34</v>
      </c>
      <c r="Q1729" s="5">
        <v>973</v>
      </c>
      <c r="R1729" s="5">
        <v>31</v>
      </c>
      <c r="S1729" s="5">
        <v>903</v>
      </c>
    </row>
    <row r="1730" spans="1:19" ht="56" x14ac:dyDescent="0.15">
      <c r="A1730" s="2">
        <f>HYPERLINK("https://open-school.uspishnemisto.com.ua/school/120158/", 120158)</f>
        <v>120158</v>
      </c>
      <c r="B1730" s="3" t="s">
        <v>9228</v>
      </c>
      <c r="C1730" s="3" t="s">
        <v>54</v>
      </c>
      <c r="D1730" s="3" t="s">
        <v>32</v>
      </c>
      <c r="E1730" s="4" t="s">
        <v>22</v>
      </c>
      <c r="F1730" s="4" t="s">
        <v>9229</v>
      </c>
      <c r="G1730" s="4" t="s">
        <v>9218</v>
      </c>
      <c r="H1730" s="3" t="s">
        <v>8487</v>
      </c>
      <c r="I1730" s="3" t="s">
        <v>9219</v>
      </c>
      <c r="J1730" s="3" t="s">
        <v>9230</v>
      </c>
      <c r="K1730" s="3"/>
      <c r="L1730" s="3" t="s">
        <v>9231</v>
      </c>
      <c r="M1730" s="4"/>
      <c r="N1730" s="3" t="s">
        <v>37</v>
      </c>
      <c r="O1730" s="3" t="s">
        <v>38</v>
      </c>
      <c r="P1730" s="5">
        <v>9</v>
      </c>
      <c r="Q1730" s="5">
        <v>192</v>
      </c>
      <c r="R1730" s="5">
        <v>10</v>
      </c>
      <c r="S1730" s="5">
        <v>200</v>
      </c>
    </row>
    <row r="1731" spans="1:19" ht="56" x14ac:dyDescent="0.15">
      <c r="A1731" s="2">
        <f>HYPERLINK("https://open-school.uspishnemisto.com.ua/school/120159/", 120159)</f>
        <v>120159</v>
      </c>
      <c r="B1731" s="3" t="s">
        <v>9232</v>
      </c>
      <c r="C1731" s="3" t="s">
        <v>54</v>
      </c>
      <c r="D1731" s="3" t="s">
        <v>32</v>
      </c>
      <c r="E1731" s="4" t="s">
        <v>22</v>
      </c>
      <c r="F1731" s="4" t="s">
        <v>9233</v>
      </c>
      <c r="G1731" s="4" t="s">
        <v>9218</v>
      </c>
      <c r="H1731" s="3" t="s">
        <v>8487</v>
      </c>
      <c r="I1731" s="3" t="s">
        <v>9219</v>
      </c>
      <c r="J1731" s="3" t="s">
        <v>9234</v>
      </c>
      <c r="K1731" s="3" t="s">
        <v>9235</v>
      </c>
      <c r="L1731" s="3" t="s">
        <v>9236</v>
      </c>
      <c r="M1731" s="4"/>
      <c r="N1731" s="3" t="s">
        <v>37</v>
      </c>
      <c r="O1731" s="3" t="s">
        <v>38</v>
      </c>
      <c r="P1731" s="5">
        <v>11</v>
      </c>
      <c r="Q1731" s="5">
        <v>248</v>
      </c>
      <c r="R1731" s="5">
        <v>10</v>
      </c>
      <c r="S1731" s="5">
        <v>224</v>
      </c>
    </row>
    <row r="1732" spans="1:19" ht="42" x14ac:dyDescent="0.15">
      <c r="A1732" s="2">
        <f>HYPERLINK("https://open-school.uspishnemisto.com.ua/school/120160/", 120160)</f>
        <v>120160</v>
      </c>
      <c r="B1732" s="3" t="s">
        <v>9237</v>
      </c>
      <c r="C1732" s="3" t="s">
        <v>54</v>
      </c>
      <c r="D1732" s="3" t="s">
        <v>175</v>
      </c>
      <c r="E1732" s="4" t="s">
        <v>22</v>
      </c>
      <c r="F1732" s="4" t="s">
        <v>8549</v>
      </c>
      <c r="G1732" s="4" t="s">
        <v>9218</v>
      </c>
      <c r="H1732" s="3" t="s">
        <v>8487</v>
      </c>
      <c r="I1732" s="3" t="s">
        <v>9219</v>
      </c>
      <c r="J1732" s="3" t="s">
        <v>9238</v>
      </c>
      <c r="K1732" s="3" t="s">
        <v>9239</v>
      </c>
      <c r="L1732" s="3" t="s">
        <v>9240</v>
      </c>
      <c r="M1732" s="4"/>
      <c r="N1732" s="3" t="s">
        <v>37</v>
      </c>
      <c r="O1732" s="3" t="s">
        <v>52</v>
      </c>
      <c r="P1732" s="5">
        <v>9</v>
      </c>
      <c r="Q1732" s="5">
        <v>176</v>
      </c>
      <c r="R1732" s="5">
        <v>9</v>
      </c>
      <c r="S1732" s="5">
        <v>164</v>
      </c>
    </row>
    <row r="1733" spans="1:19" ht="42" x14ac:dyDescent="0.15">
      <c r="A1733" s="2">
        <f>HYPERLINK("https://open-school.uspishnemisto.com.ua/school/120161/", 120161)</f>
        <v>120161</v>
      </c>
      <c r="B1733" s="3" t="s">
        <v>9241</v>
      </c>
      <c r="C1733" s="3" t="s">
        <v>54</v>
      </c>
      <c r="D1733" s="3" t="s">
        <v>32</v>
      </c>
      <c r="E1733" s="4" t="s">
        <v>22</v>
      </c>
      <c r="F1733" s="4" t="s">
        <v>9242</v>
      </c>
      <c r="G1733" s="4" t="s">
        <v>9218</v>
      </c>
      <c r="H1733" s="3" t="s">
        <v>8487</v>
      </c>
      <c r="I1733" s="3" t="s">
        <v>9219</v>
      </c>
      <c r="J1733" s="3" t="s">
        <v>9243</v>
      </c>
      <c r="K1733" s="3" t="s">
        <v>9244</v>
      </c>
      <c r="L1733" s="3" t="s">
        <v>9245</v>
      </c>
      <c r="M1733" s="4"/>
      <c r="N1733" s="3" t="s">
        <v>967</v>
      </c>
      <c r="O1733" s="3" t="s">
        <v>52</v>
      </c>
      <c r="P1733" s="5">
        <v>12</v>
      </c>
      <c r="Q1733" s="5">
        <v>317</v>
      </c>
      <c r="R1733" s="5">
        <v>13</v>
      </c>
      <c r="S1733" s="5">
        <v>333</v>
      </c>
    </row>
    <row r="1734" spans="1:19" ht="42" x14ac:dyDescent="0.15">
      <c r="A1734" s="2">
        <f>HYPERLINK("https://open-school.uspishnemisto.com.ua/school/120162/", 120162)</f>
        <v>120162</v>
      </c>
      <c r="B1734" s="3" t="s">
        <v>9246</v>
      </c>
      <c r="C1734" s="3" t="s">
        <v>54</v>
      </c>
      <c r="D1734" s="3" t="s">
        <v>32</v>
      </c>
      <c r="E1734" s="4" t="s">
        <v>22</v>
      </c>
      <c r="F1734" s="4" t="s">
        <v>9247</v>
      </c>
      <c r="G1734" s="4" t="s">
        <v>9218</v>
      </c>
      <c r="H1734" s="3" t="s">
        <v>8487</v>
      </c>
      <c r="I1734" s="3" t="s">
        <v>9219</v>
      </c>
      <c r="J1734" s="3" t="s">
        <v>9248</v>
      </c>
      <c r="K1734" s="3" t="s">
        <v>9249</v>
      </c>
      <c r="L1734" s="3" t="s">
        <v>9250</v>
      </c>
      <c r="M1734" s="4"/>
      <c r="N1734" s="3" t="s">
        <v>967</v>
      </c>
      <c r="O1734" s="3" t="s">
        <v>2740</v>
      </c>
      <c r="P1734" s="5">
        <v>20</v>
      </c>
      <c r="Q1734" s="5">
        <v>523</v>
      </c>
      <c r="R1734" s="5">
        <v>19</v>
      </c>
      <c r="S1734" s="5">
        <v>523</v>
      </c>
    </row>
    <row r="1735" spans="1:19" ht="28" x14ac:dyDescent="0.15">
      <c r="A1735" s="2">
        <f>HYPERLINK("https://open-school.uspishnemisto.com.ua/school/120163/", 120163)</f>
        <v>120163</v>
      </c>
      <c r="B1735" s="3" t="s">
        <v>9251</v>
      </c>
      <c r="C1735" s="3" t="s">
        <v>181</v>
      </c>
      <c r="D1735" s="3" t="s">
        <v>60</v>
      </c>
      <c r="E1735" s="4" t="s">
        <v>22</v>
      </c>
      <c r="F1735" s="4" t="s">
        <v>9223</v>
      </c>
      <c r="G1735" s="4" t="s">
        <v>9218</v>
      </c>
      <c r="H1735" s="3" t="s">
        <v>8487</v>
      </c>
      <c r="I1735" s="3" t="s">
        <v>9219</v>
      </c>
      <c r="J1735" s="3" t="s">
        <v>9252</v>
      </c>
      <c r="K1735" s="3" t="s">
        <v>9253</v>
      </c>
      <c r="L1735" s="3" t="s">
        <v>9254</v>
      </c>
      <c r="M1735" s="4" t="s">
        <v>9255</v>
      </c>
      <c r="N1735" s="3" t="s">
        <v>37</v>
      </c>
      <c r="O1735" s="3" t="s">
        <v>52</v>
      </c>
      <c r="P1735" s="5">
        <v>10</v>
      </c>
      <c r="Q1735" s="5">
        <v>126</v>
      </c>
      <c r="R1735" s="5">
        <v>10</v>
      </c>
      <c r="S1735" s="5">
        <v>131</v>
      </c>
    </row>
    <row r="1736" spans="1:19" ht="28" x14ac:dyDescent="0.15">
      <c r="A1736" s="2">
        <f>HYPERLINK("https://open-school.uspishnemisto.com.ua/school/120164/", 120164)</f>
        <v>120164</v>
      </c>
      <c r="B1736" s="3" t="s">
        <v>9256</v>
      </c>
      <c r="C1736" s="3" t="s">
        <v>31</v>
      </c>
      <c r="D1736" s="3" t="s">
        <v>175</v>
      </c>
      <c r="E1736" s="4" t="s">
        <v>22</v>
      </c>
      <c r="F1736" s="4" t="s">
        <v>9257</v>
      </c>
      <c r="G1736" s="4" t="s">
        <v>9218</v>
      </c>
      <c r="H1736" s="3" t="s">
        <v>8487</v>
      </c>
      <c r="I1736" s="3" t="s">
        <v>9219</v>
      </c>
      <c r="J1736" s="3" t="s">
        <v>9258</v>
      </c>
      <c r="K1736" s="3" t="s">
        <v>9259</v>
      </c>
      <c r="L1736" s="3" t="s">
        <v>9260</v>
      </c>
      <c r="M1736" s="4"/>
      <c r="N1736" s="3" t="s">
        <v>37</v>
      </c>
      <c r="O1736" s="3" t="s">
        <v>52</v>
      </c>
      <c r="P1736" s="5">
        <v>13</v>
      </c>
      <c r="Q1736" s="5">
        <v>323</v>
      </c>
      <c r="R1736" s="5">
        <v>12</v>
      </c>
      <c r="S1736" s="5">
        <v>301</v>
      </c>
    </row>
    <row r="1737" spans="1:19" ht="28" x14ac:dyDescent="0.15">
      <c r="A1737" s="2">
        <f>HYPERLINK("https://open-school.uspishnemisto.com.ua/school/120165/", 120165)</f>
        <v>120165</v>
      </c>
      <c r="B1737" s="3" t="s">
        <v>9261</v>
      </c>
      <c r="C1737" s="3" t="s">
        <v>31</v>
      </c>
      <c r="D1737" s="3" t="s">
        <v>32</v>
      </c>
      <c r="E1737" s="4" t="s">
        <v>22</v>
      </c>
      <c r="F1737" s="4" t="s">
        <v>9262</v>
      </c>
      <c r="G1737" s="4" t="s">
        <v>9218</v>
      </c>
      <c r="H1737" s="3" t="s">
        <v>8487</v>
      </c>
      <c r="I1737" s="3" t="s">
        <v>9219</v>
      </c>
      <c r="J1737" s="3" t="s">
        <v>9263</v>
      </c>
      <c r="K1737" s="3" t="s">
        <v>9264</v>
      </c>
      <c r="L1737" s="3" t="s">
        <v>9265</v>
      </c>
      <c r="M1737" s="4"/>
      <c r="N1737" s="3" t="s">
        <v>37</v>
      </c>
      <c r="O1737" s="3" t="s">
        <v>38</v>
      </c>
      <c r="P1737" s="5">
        <v>9</v>
      </c>
      <c r="Q1737" s="5">
        <v>204</v>
      </c>
      <c r="R1737" s="5">
        <v>9</v>
      </c>
      <c r="S1737" s="5">
        <v>218</v>
      </c>
    </row>
    <row r="1738" spans="1:19" ht="28" x14ac:dyDescent="0.15">
      <c r="A1738" s="2">
        <f>HYPERLINK("https://open-school.uspishnemisto.com.ua/school/120166/", 120166)</f>
        <v>120166</v>
      </c>
      <c r="B1738" s="3" t="s">
        <v>9266</v>
      </c>
      <c r="C1738" s="3" t="s">
        <v>31</v>
      </c>
      <c r="D1738" s="3" t="s">
        <v>32</v>
      </c>
      <c r="E1738" s="4" t="s">
        <v>22</v>
      </c>
      <c r="F1738" s="4" t="s">
        <v>9217</v>
      </c>
      <c r="G1738" s="4" t="s">
        <v>9218</v>
      </c>
      <c r="H1738" s="3" t="s">
        <v>8487</v>
      </c>
      <c r="I1738" s="3" t="s">
        <v>9219</v>
      </c>
      <c r="J1738" s="3" t="s">
        <v>9267</v>
      </c>
      <c r="K1738" s="3" t="s">
        <v>9268</v>
      </c>
      <c r="L1738" s="3" t="s">
        <v>9269</v>
      </c>
      <c r="M1738" s="4"/>
      <c r="N1738" s="3" t="s">
        <v>37</v>
      </c>
      <c r="O1738" s="3" t="s">
        <v>70</v>
      </c>
      <c r="P1738" s="5">
        <v>14</v>
      </c>
      <c r="Q1738" s="5">
        <v>406</v>
      </c>
      <c r="R1738" s="5">
        <v>14</v>
      </c>
      <c r="S1738" s="5">
        <v>410</v>
      </c>
    </row>
    <row r="1739" spans="1:19" ht="28" x14ac:dyDescent="0.15">
      <c r="A1739" s="2">
        <f>HYPERLINK("https://open-school.uspishnemisto.com.ua/school/120167/", 120167)</f>
        <v>120167</v>
      </c>
      <c r="B1739" s="3" t="s">
        <v>9270</v>
      </c>
      <c r="C1739" s="3" t="s">
        <v>31</v>
      </c>
      <c r="D1739" s="3" t="s">
        <v>32</v>
      </c>
      <c r="E1739" s="4" t="s">
        <v>22</v>
      </c>
      <c r="F1739" s="4" t="s">
        <v>9271</v>
      </c>
      <c r="G1739" s="4" t="s">
        <v>9218</v>
      </c>
      <c r="H1739" s="3" t="s">
        <v>8487</v>
      </c>
      <c r="I1739" s="3" t="s">
        <v>9219</v>
      </c>
      <c r="J1739" s="3" t="s">
        <v>9272</v>
      </c>
      <c r="K1739" s="3" t="s">
        <v>9273</v>
      </c>
      <c r="L1739" s="3" t="s">
        <v>9274</v>
      </c>
      <c r="M1739" s="4"/>
      <c r="N1739" s="3" t="s">
        <v>37</v>
      </c>
      <c r="O1739" s="3" t="s">
        <v>721</v>
      </c>
      <c r="P1739" s="5">
        <v>16</v>
      </c>
      <c r="Q1739" s="5">
        <v>400</v>
      </c>
      <c r="R1739" s="5">
        <v>16</v>
      </c>
      <c r="S1739" s="5">
        <v>408</v>
      </c>
    </row>
    <row r="1740" spans="1:19" ht="28" x14ac:dyDescent="0.15">
      <c r="A1740" s="2">
        <f>HYPERLINK("https://open-school.uspishnemisto.com.ua/school/120168/", 120168)</f>
        <v>120168</v>
      </c>
      <c r="B1740" s="3" t="s">
        <v>9275</v>
      </c>
      <c r="C1740" s="3" t="s">
        <v>31</v>
      </c>
      <c r="D1740" s="3" t="s">
        <v>32</v>
      </c>
      <c r="E1740" s="4" t="s">
        <v>22</v>
      </c>
      <c r="F1740" s="4" t="s">
        <v>9217</v>
      </c>
      <c r="G1740" s="4" t="s">
        <v>9218</v>
      </c>
      <c r="H1740" s="3" t="s">
        <v>8487</v>
      </c>
      <c r="I1740" s="3" t="s">
        <v>9219</v>
      </c>
      <c r="J1740" s="3" t="s">
        <v>9276</v>
      </c>
      <c r="K1740" s="3" t="s">
        <v>9277</v>
      </c>
      <c r="L1740" s="3" t="s">
        <v>9278</v>
      </c>
      <c r="M1740" s="4"/>
      <c r="N1740" s="3" t="s">
        <v>37</v>
      </c>
      <c r="O1740" s="3" t="s">
        <v>123</v>
      </c>
      <c r="P1740" s="5">
        <v>12</v>
      </c>
      <c r="Q1740" s="5">
        <v>372</v>
      </c>
      <c r="R1740" s="5">
        <v>11</v>
      </c>
      <c r="S1740" s="5">
        <v>343</v>
      </c>
    </row>
    <row r="1741" spans="1:19" ht="28" x14ac:dyDescent="0.15">
      <c r="A1741" s="2">
        <f>HYPERLINK("https://open-school.uspishnemisto.com.ua/school/120169/", 120169)</f>
        <v>120169</v>
      </c>
      <c r="B1741" s="3" t="s">
        <v>9279</v>
      </c>
      <c r="C1741" s="3" t="s">
        <v>31</v>
      </c>
      <c r="D1741" s="3" t="s">
        <v>32</v>
      </c>
      <c r="E1741" s="4" t="s">
        <v>22</v>
      </c>
      <c r="F1741" s="4" t="s">
        <v>9257</v>
      </c>
      <c r="G1741" s="4" t="s">
        <v>9218</v>
      </c>
      <c r="H1741" s="3" t="s">
        <v>8487</v>
      </c>
      <c r="I1741" s="3" t="s">
        <v>9219</v>
      </c>
      <c r="J1741" s="3" t="s">
        <v>9280</v>
      </c>
      <c r="K1741" s="3" t="s">
        <v>9281</v>
      </c>
      <c r="L1741" s="3" t="s">
        <v>9282</v>
      </c>
      <c r="M1741" s="4"/>
      <c r="N1741" s="3" t="s">
        <v>37</v>
      </c>
      <c r="O1741" s="3" t="s">
        <v>721</v>
      </c>
      <c r="P1741" s="5">
        <v>16</v>
      </c>
      <c r="Q1741" s="5">
        <v>400</v>
      </c>
      <c r="R1741" s="5">
        <v>15</v>
      </c>
      <c r="S1741" s="5">
        <v>370</v>
      </c>
    </row>
    <row r="1742" spans="1:19" ht="28" x14ac:dyDescent="0.15">
      <c r="A1742" s="2">
        <f>HYPERLINK("https://open-school.uspishnemisto.com.ua/school/120170/", 120170)</f>
        <v>120170</v>
      </c>
      <c r="B1742" s="3" t="s">
        <v>9283</v>
      </c>
      <c r="C1742" s="3" t="s">
        <v>31</v>
      </c>
      <c r="D1742" s="3" t="s">
        <v>32</v>
      </c>
      <c r="E1742" s="4" t="s">
        <v>22</v>
      </c>
      <c r="F1742" s="4" t="s">
        <v>9242</v>
      </c>
      <c r="G1742" s="4" t="s">
        <v>9218</v>
      </c>
      <c r="H1742" s="3" t="s">
        <v>8487</v>
      </c>
      <c r="I1742" s="3" t="s">
        <v>9219</v>
      </c>
      <c r="J1742" s="3" t="s">
        <v>9284</v>
      </c>
      <c r="K1742" s="3" t="s">
        <v>9285</v>
      </c>
      <c r="L1742" s="3" t="s">
        <v>9286</v>
      </c>
      <c r="M1742" s="4"/>
      <c r="N1742" s="3" t="s">
        <v>37</v>
      </c>
      <c r="O1742" s="3" t="s">
        <v>38</v>
      </c>
      <c r="P1742" s="5">
        <v>33</v>
      </c>
      <c r="Q1742" s="5">
        <v>956</v>
      </c>
      <c r="R1742" s="5">
        <v>31</v>
      </c>
      <c r="S1742" s="5">
        <v>905</v>
      </c>
    </row>
    <row r="1743" spans="1:19" ht="28" x14ac:dyDescent="0.15">
      <c r="A1743" s="2">
        <f>HYPERLINK("https://open-school.uspishnemisto.com.ua/school/120171/", 120171)</f>
        <v>120171</v>
      </c>
      <c r="B1743" s="3" t="s">
        <v>9287</v>
      </c>
      <c r="C1743" s="3" t="s">
        <v>31</v>
      </c>
      <c r="D1743" s="3" t="s">
        <v>32</v>
      </c>
      <c r="E1743" s="4" t="s">
        <v>22</v>
      </c>
      <c r="F1743" s="4" t="s">
        <v>9223</v>
      </c>
      <c r="G1743" s="4" t="s">
        <v>9218</v>
      </c>
      <c r="H1743" s="3" t="s">
        <v>8487</v>
      </c>
      <c r="I1743" s="3" t="s">
        <v>9219</v>
      </c>
      <c r="J1743" s="3" t="s">
        <v>9288</v>
      </c>
      <c r="K1743" s="3" t="s">
        <v>9289</v>
      </c>
      <c r="L1743" s="3" t="s">
        <v>9290</v>
      </c>
      <c r="M1743" s="4"/>
      <c r="N1743" s="3" t="s">
        <v>37</v>
      </c>
      <c r="O1743" s="3" t="s">
        <v>38</v>
      </c>
      <c r="P1743" s="5">
        <v>24</v>
      </c>
      <c r="Q1743" s="5">
        <v>732</v>
      </c>
      <c r="R1743" s="5">
        <v>24</v>
      </c>
      <c r="S1743" s="5">
        <v>721</v>
      </c>
    </row>
    <row r="1744" spans="1:19" ht="28" x14ac:dyDescent="0.15">
      <c r="A1744" s="2">
        <f>HYPERLINK("https://open-school.uspishnemisto.com.ua/school/120172/", 120172)</f>
        <v>120172</v>
      </c>
      <c r="B1744" s="3" t="s">
        <v>9291</v>
      </c>
      <c r="C1744" s="3" t="s">
        <v>244</v>
      </c>
      <c r="D1744" s="3" t="s">
        <v>32</v>
      </c>
      <c r="E1744" s="4" t="s">
        <v>22</v>
      </c>
      <c r="F1744" s="4" t="s">
        <v>9223</v>
      </c>
      <c r="G1744" s="4" t="s">
        <v>9218</v>
      </c>
      <c r="H1744" s="3" t="s">
        <v>8487</v>
      </c>
      <c r="I1744" s="3" t="s">
        <v>9219</v>
      </c>
      <c r="J1744" s="3" t="s">
        <v>9292</v>
      </c>
      <c r="K1744" s="3" t="s">
        <v>9293</v>
      </c>
      <c r="L1744" s="3" t="s">
        <v>9294</v>
      </c>
      <c r="M1744" s="4"/>
      <c r="N1744" s="3" t="s">
        <v>128</v>
      </c>
      <c r="O1744" s="3" t="s">
        <v>197</v>
      </c>
      <c r="P1744" s="5">
        <v>34</v>
      </c>
      <c r="Q1744" s="5">
        <v>978</v>
      </c>
      <c r="R1744" s="5">
        <v>32</v>
      </c>
      <c r="S1744" s="5">
        <v>929</v>
      </c>
    </row>
    <row r="1745" spans="1:19" ht="28" x14ac:dyDescent="0.15">
      <c r="A1745" s="2">
        <f>HYPERLINK("https://open-school.uspishnemisto.com.ua/school/120173/", 120173)</f>
        <v>120173</v>
      </c>
      <c r="B1745" s="3" t="s">
        <v>9295</v>
      </c>
      <c r="C1745" s="3" t="s">
        <v>31</v>
      </c>
      <c r="D1745" s="3" t="s">
        <v>32</v>
      </c>
      <c r="E1745" s="4" t="s">
        <v>22</v>
      </c>
      <c r="F1745" s="4" t="s">
        <v>9296</v>
      </c>
      <c r="G1745" s="4" t="s">
        <v>9297</v>
      </c>
      <c r="H1745" s="3" t="s">
        <v>8487</v>
      </c>
      <c r="I1745" s="3" t="s">
        <v>9298</v>
      </c>
      <c r="J1745" s="3" t="s">
        <v>9299</v>
      </c>
      <c r="K1745" s="3" t="s">
        <v>9300</v>
      </c>
      <c r="L1745" s="3" t="s">
        <v>9301</v>
      </c>
      <c r="M1745" s="4" t="s">
        <v>9302</v>
      </c>
      <c r="N1745" s="3" t="s">
        <v>37</v>
      </c>
      <c r="O1745" s="3" t="s">
        <v>38</v>
      </c>
      <c r="P1745" s="5">
        <v>11</v>
      </c>
      <c r="Q1745" s="5">
        <v>288</v>
      </c>
      <c r="R1745" s="5">
        <v>11</v>
      </c>
      <c r="S1745" s="5">
        <v>281</v>
      </c>
    </row>
    <row r="1746" spans="1:19" ht="28" x14ac:dyDescent="0.15">
      <c r="A1746" s="2">
        <f>HYPERLINK("https://open-school.uspishnemisto.com.ua/school/120174/", 120174)</f>
        <v>120174</v>
      </c>
      <c r="B1746" s="3" t="s">
        <v>9303</v>
      </c>
      <c r="C1746" s="3" t="s">
        <v>31</v>
      </c>
      <c r="D1746" s="3" t="s">
        <v>32</v>
      </c>
      <c r="E1746" s="4" t="s">
        <v>22</v>
      </c>
      <c r="F1746" s="4" t="s">
        <v>9296</v>
      </c>
      <c r="G1746" s="4" t="s">
        <v>9297</v>
      </c>
      <c r="H1746" s="3" t="s">
        <v>8487</v>
      </c>
      <c r="I1746" s="3" t="s">
        <v>9298</v>
      </c>
      <c r="J1746" s="3" t="s">
        <v>9304</v>
      </c>
      <c r="K1746" s="3" t="s">
        <v>9305</v>
      </c>
      <c r="L1746" s="3" t="s">
        <v>9306</v>
      </c>
      <c r="M1746" s="4" t="s">
        <v>9307</v>
      </c>
      <c r="N1746" s="3" t="s">
        <v>128</v>
      </c>
      <c r="O1746" s="3" t="s">
        <v>38</v>
      </c>
      <c r="P1746" s="5">
        <v>21</v>
      </c>
      <c r="Q1746" s="5">
        <v>518</v>
      </c>
      <c r="R1746" s="5">
        <v>20</v>
      </c>
      <c r="S1746" s="5">
        <v>504</v>
      </c>
    </row>
    <row r="1747" spans="1:19" ht="28" x14ac:dyDescent="0.15">
      <c r="A1747" s="2">
        <f>HYPERLINK("https://open-school.uspishnemisto.com.ua/school/120175/", 120175)</f>
        <v>120175</v>
      </c>
      <c r="B1747" s="3" t="s">
        <v>9308</v>
      </c>
      <c r="C1747" s="3" t="s">
        <v>31</v>
      </c>
      <c r="D1747" s="3" t="s">
        <v>32</v>
      </c>
      <c r="E1747" s="4" t="s">
        <v>22</v>
      </c>
      <c r="F1747" s="4" t="s">
        <v>9296</v>
      </c>
      <c r="G1747" s="4" t="s">
        <v>9297</v>
      </c>
      <c r="H1747" s="3" t="s">
        <v>8487</v>
      </c>
      <c r="I1747" s="3" t="s">
        <v>9298</v>
      </c>
      <c r="J1747" s="3" t="s">
        <v>9309</v>
      </c>
      <c r="K1747" s="3" t="s">
        <v>9310</v>
      </c>
      <c r="L1747" s="3" t="s">
        <v>9311</v>
      </c>
      <c r="M1747" s="4" t="s">
        <v>9312</v>
      </c>
      <c r="N1747" s="3" t="s">
        <v>37</v>
      </c>
      <c r="O1747" s="3" t="s">
        <v>38</v>
      </c>
      <c r="P1747" s="5">
        <v>30</v>
      </c>
      <c r="Q1747" s="5">
        <v>741</v>
      </c>
      <c r="R1747" s="5">
        <v>30</v>
      </c>
      <c r="S1747" s="5">
        <v>750</v>
      </c>
    </row>
    <row r="1748" spans="1:19" ht="28" x14ac:dyDescent="0.15">
      <c r="A1748" s="2">
        <f>HYPERLINK("https://open-school.uspishnemisto.com.ua/school/120176/", 120176)</f>
        <v>120176</v>
      </c>
      <c r="B1748" s="3" t="s">
        <v>9313</v>
      </c>
      <c r="C1748" s="3" t="s">
        <v>31</v>
      </c>
      <c r="D1748" s="3" t="s">
        <v>32</v>
      </c>
      <c r="E1748" s="4" t="s">
        <v>22</v>
      </c>
      <c r="F1748" s="4" t="s">
        <v>9296</v>
      </c>
      <c r="G1748" s="4" t="s">
        <v>9297</v>
      </c>
      <c r="H1748" s="3" t="s">
        <v>8487</v>
      </c>
      <c r="I1748" s="3" t="s">
        <v>9298</v>
      </c>
      <c r="J1748" s="3" t="s">
        <v>9314</v>
      </c>
      <c r="K1748" s="3" t="s">
        <v>9315</v>
      </c>
      <c r="L1748" s="3" t="s">
        <v>9316</v>
      </c>
      <c r="M1748" s="4" t="s">
        <v>9317</v>
      </c>
      <c r="N1748" s="3" t="s">
        <v>37</v>
      </c>
      <c r="O1748" s="3" t="s">
        <v>38</v>
      </c>
      <c r="P1748" s="5">
        <v>21</v>
      </c>
      <c r="Q1748" s="5">
        <v>581</v>
      </c>
      <c r="R1748" s="5">
        <v>21</v>
      </c>
      <c r="S1748" s="5">
        <v>588</v>
      </c>
    </row>
    <row r="1749" spans="1:19" ht="56" x14ac:dyDescent="0.15">
      <c r="A1749" s="2">
        <f>HYPERLINK("https://open-school.uspishnemisto.com.ua/school/120178/", 120178)</f>
        <v>120178</v>
      </c>
      <c r="B1749" s="3" t="s">
        <v>9318</v>
      </c>
      <c r="C1749" s="3" t="s">
        <v>54</v>
      </c>
      <c r="D1749" s="3" t="s">
        <v>60</v>
      </c>
      <c r="E1749" s="4" t="s">
        <v>22</v>
      </c>
      <c r="F1749" s="4" t="s">
        <v>9319</v>
      </c>
      <c r="G1749" s="4" t="s">
        <v>9320</v>
      </c>
      <c r="H1749" s="3" t="s">
        <v>8487</v>
      </c>
      <c r="I1749" s="3" t="s">
        <v>9321</v>
      </c>
      <c r="J1749" s="3" t="s">
        <v>9322</v>
      </c>
      <c r="K1749" s="3" t="s">
        <v>9323</v>
      </c>
      <c r="L1749" s="3" t="s">
        <v>9324</v>
      </c>
      <c r="M1749" s="4" t="s">
        <v>9325</v>
      </c>
      <c r="N1749" s="3" t="s">
        <v>37</v>
      </c>
      <c r="O1749" s="3" t="s">
        <v>38</v>
      </c>
      <c r="P1749" s="5">
        <v>4</v>
      </c>
      <c r="Q1749" s="5">
        <v>124</v>
      </c>
      <c r="R1749" s="5">
        <v>4</v>
      </c>
      <c r="S1749" s="5">
        <v>122</v>
      </c>
    </row>
    <row r="1750" spans="1:19" ht="42" x14ac:dyDescent="0.15">
      <c r="A1750" s="2">
        <f>HYPERLINK("https://open-school.uspishnemisto.com.ua/school/120179/", 120179)</f>
        <v>120179</v>
      </c>
      <c r="B1750" s="3" t="s">
        <v>9326</v>
      </c>
      <c r="C1750" s="3" t="s">
        <v>54</v>
      </c>
      <c r="D1750" s="3" t="s">
        <v>32</v>
      </c>
      <c r="E1750" s="4" t="s">
        <v>22</v>
      </c>
      <c r="F1750" s="4" t="s">
        <v>9319</v>
      </c>
      <c r="G1750" s="4" t="s">
        <v>9320</v>
      </c>
      <c r="H1750" s="3" t="s">
        <v>8487</v>
      </c>
      <c r="I1750" s="3" t="s">
        <v>9321</v>
      </c>
      <c r="J1750" s="3" t="s">
        <v>9327</v>
      </c>
      <c r="K1750" s="3" t="s">
        <v>9328</v>
      </c>
      <c r="L1750" s="3" t="s">
        <v>9329</v>
      </c>
      <c r="M1750" s="4" t="s">
        <v>9330</v>
      </c>
      <c r="N1750" s="3" t="s">
        <v>37</v>
      </c>
      <c r="O1750" s="3" t="s">
        <v>38</v>
      </c>
      <c r="P1750" s="5">
        <v>22</v>
      </c>
      <c r="Q1750" s="5">
        <v>631</v>
      </c>
      <c r="R1750" s="5"/>
      <c r="S1750" s="5"/>
    </row>
    <row r="1751" spans="1:19" ht="42" x14ac:dyDescent="0.15">
      <c r="A1751" s="2">
        <f>HYPERLINK("https://open-school.uspishnemisto.com.ua/school/120180/", 120180)</f>
        <v>120180</v>
      </c>
      <c r="B1751" s="3" t="s">
        <v>9331</v>
      </c>
      <c r="C1751" s="3" t="s">
        <v>54</v>
      </c>
      <c r="D1751" s="3" t="s">
        <v>32</v>
      </c>
      <c r="E1751" s="4" t="s">
        <v>22</v>
      </c>
      <c r="F1751" s="4" t="s">
        <v>9332</v>
      </c>
      <c r="G1751" s="4" t="s">
        <v>9320</v>
      </c>
      <c r="H1751" s="3" t="s">
        <v>8487</v>
      </c>
      <c r="I1751" s="3" t="s">
        <v>9321</v>
      </c>
      <c r="J1751" s="3" t="s">
        <v>9333</v>
      </c>
      <c r="K1751" s="3" t="s">
        <v>9334</v>
      </c>
      <c r="L1751" s="3" t="s">
        <v>9335</v>
      </c>
      <c r="M1751" s="4" t="s">
        <v>9336</v>
      </c>
      <c r="N1751" s="3" t="s">
        <v>37</v>
      </c>
      <c r="O1751" s="3" t="s">
        <v>38</v>
      </c>
      <c r="P1751" s="5">
        <v>29</v>
      </c>
      <c r="Q1751" s="5">
        <v>800</v>
      </c>
      <c r="R1751" s="5">
        <v>28</v>
      </c>
      <c r="S1751" s="5">
        <v>794</v>
      </c>
    </row>
    <row r="1752" spans="1:19" ht="28" x14ac:dyDescent="0.15">
      <c r="A1752" s="2">
        <f>HYPERLINK("https://open-school.uspishnemisto.com.ua/school/120181/", 120181)</f>
        <v>120181</v>
      </c>
      <c r="B1752" s="3" t="s">
        <v>9337</v>
      </c>
      <c r="C1752" s="3" t="s">
        <v>31</v>
      </c>
      <c r="D1752" s="3" t="s">
        <v>32</v>
      </c>
      <c r="E1752" s="4" t="s">
        <v>22</v>
      </c>
      <c r="F1752" s="4" t="s">
        <v>9338</v>
      </c>
      <c r="G1752" s="4" t="s">
        <v>9320</v>
      </c>
      <c r="H1752" s="3" t="s">
        <v>8487</v>
      </c>
      <c r="I1752" s="3" t="s">
        <v>9321</v>
      </c>
      <c r="J1752" s="3" t="s">
        <v>9339</v>
      </c>
      <c r="K1752" s="3" t="s">
        <v>9340</v>
      </c>
      <c r="L1752" s="3" t="s">
        <v>9341</v>
      </c>
      <c r="M1752" s="4" t="s">
        <v>9342</v>
      </c>
      <c r="N1752" s="3" t="s">
        <v>37</v>
      </c>
      <c r="O1752" s="3" t="s">
        <v>721</v>
      </c>
      <c r="P1752" s="5">
        <v>20</v>
      </c>
      <c r="Q1752" s="5">
        <v>552</v>
      </c>
      <c r="R1752" s="5">
        <v>21</v>
      </c>
      <c r="S1752" s="5">
        <v>545</v>
      </c>
    </row>
    <row r="1753" spans="1:19" ht="28" x14ac:dyDescent="0.15">
      <c r="A1753" s="2">
        <f>HYPERLINK("https://open-school.uspishnemisto.com.ua/school/120182/", 120182)</f>
        <v>120182</v>
      </c>
      <c r="B1753" s="3" t="s">
        <v>9343</v>
      </c>
      <c r="C1753" s="3" t="s">
        <v>31</v>
      </c>
      <c r="D1753" s="3" t="s">
        <v>32</v>
      </c>
      <c r="E1753" s="4" t="s">
        <v>22</v>
      </c>
      <c r="F1753" s="4" t="s">
        <v>9344</v>
      </c>
      <c r="G1753" s="4" t="s">
        <v>9320</v>
      </c>
      <c r="H1753" s="3" t="s">
        <v>8487</v>
      </c>
      <c r="I1753" s="3" t="s">
        <v>9321</v>
      </c>
      <c r="J1753" s="3" t="s">
        <v>9345</v>
      </c>
      <c r="K1753" s="3" t="s">
        <v>9346</v>
      </c>
      <c r="L1753" s="3" t="s">
        <v>9347</v>
      </c>
      <c r="M1753" s="4" t="s">
        <v>9348</v>
      </c>
      <c r="N1753" s="3" t="s">
        <v>37</v>
      </c>
      <c r="O1753" s="3" t="s">
        <v>46</v>
      </c>
      <c r="P1753" s="5">
        <v>16</v>
      </c>
      <c r="Q1753" s="5">
        <v>436</v>
      </c>
      <c r="R1753" s="5">
        <v>15</v>
      </c>
      <c r="S1753" s="5">
        <v>397</v>
      </c>
    </row>
    <row r="1754" spans="1:19" ht="28" x14ac:dyDescent="0.15">
      <c r="A1754" s="2">
        <f>HYPERLINK("https://open-school.uspishnemisto.com.ua/school/120183/", 120183)</f>
        <v>120183</v>
      </c>
      <c r="B1754" s="3" t="s">
        <v>9349</v>
      </c>
      <c r="C1754" s="3" t="s">
        <v>31</v>
      </c>
      <c r="D1754" s="3" t="s">
        <v>32</v>
      </c>
      <c r="E1754" s="4" t="s">
        <v>22</v>
      </c>
      <c r="F1754" s="4" t="s">
        <v>9350</v>
      </c>
      <c r="G1754" s="4" t="s">
        <v>9320</v>
      </c>
      <c r="H1754" s="3" t="s">
        <v>8487</v>
      </c>
      <c r="I1754" s="3" t="s">
        <v>9321</v>
      </c>
      <c r="J1754" s="3" t="s">
        <v>9351</v>
      </c>
      <c r="K1754" s="3" t="s">
        <v>9352</v>
      </c>
      <c r="L1754" s="3" t="s">
        <v>9353</v>
      </c>
      <c r="M1754" s="4" t="s">
        <v>9354</v>
      </c>
      <c r="N1754" s="3" t="s">
        <v>37</v>
      </c>
      <c r="O1754" s="3" t="s">
        <v>38</v>
      </c>
      <c r="P1754" s="5">
        <v>20</v>
      </c>
      <c r="Q1754" s="5">
        <v>513</v>
      </c>
      <c r="R1754" s="5">
        <v>20</v>
      </c>
      <c r="S1754" s="5">
        <v>514</v>
      </c>
    </row>
    <row r="1755" spans="1:19" ht="42" x14ac:dyDescent="0.15">
      <c r="A1755" s="2">
        <f>HYPERLINK("https://open-school.uspishnemisto.com.ua/school/120184/", 120184)</f>
        <v>120184</v>
      </c>
      <c r="B1755" s="3" t="s">
        <v>9355</v>
      </c>
      <c r="C1755" s="3" t="s">
        <v>31</v>
      </c>
      <c r="D1755" s="3" t="s">
        <v>32</v>
      </c>
      <c r="E1755" s="4" t="s">
        <v>22</v>
      </c>
      <c r="F1755" s="4" t="s">
        <v>9319</v>
      </c>
      <c r="G1755" s="4" t="s">
        <v>9320</v>
      </c>
      <c r="H1755" s="3" t="s">
        <v>8487</v>
      </c>
      <c r="I1755" s="3" t="s">
        <v>9321</v>
      </c>
      <c r="J1755" s="3" t="s">
        <v>9356</v>
      </c>
      <c r="K1755" s="3" t="s">
        <v>9357</v>
      </c>
      <c r="L1755" s="3" t="s">
        <v>9358</v>
      </c>
      <c r="M1755" s="4" t="s">
        <v>9359</v>
      </c>
      <c r="N1755" s="3" t="s">
        <v>37</v>
      </c>
      <c r="O1755" s="3" t="s">
        <v>52</v>
      </c>
      <c r="P1755" s="5">
        <v>11</v>
      </c>
      <c r="Q1755" s="5">
        <v>262</v>
      </c>
      <c r="R1755" s="5">
        <v>11</v>
      </c>
      <c r="S1755" s="5">
        <v>247</v>
      </c>
    </row>
    <row r="1756" spans="1:19" ht="28" x14ac:dyDescent="0.15">
      <c r="A1756" s="2">
        <f>HYPERLINK("https://open-school.uspishnemisto.com.ua/school/120185/", 120185)</f>
        <v>120185</v>
      </c>
      <c r="B1756" s="3" t="s">
        <v>9360</v>
      </c>
      <c r="C1756" s="3" t="s">
        <v>31</v>
      </c>
      <c r="D1756" s="3" t="s">
        <v>32</v>
      </c>
      <c r="E1756" s="4" t="s">
        <v>22</v>
      </c>
      <c r="F1756" s="4" t="s">
        <v>9332</v>
      </c>
      <c r="G1756" s="4" t="s">
        <v>9320</v>
      </c>
      <c r="H1756" s="3" t="s">
        <v>8487</v>
      </c>
      <c r="I1756" s="3" t="s">
        <v>9321</v>
      </c>
      <c r="J1756" s="3" t="s">
        <v>9361</v>
      </c>
      <c r="K1756" s="3" t="s">
        <v>9362</v>
      </c>
      <c r="L1756" s="3" t="s">
        <v>9363</v>
      </c>
      <c r="M1756" s="4" t="s">
        <v>9364</v>
      </c>
      <c r="N1756" s="3" t="s">
        <v>128</v>
      </c>
      <c r="O1756" s="3" t="s">
        <v>70</v>
      </c>
      <c r="P1756" s="5">
        <v>25</v>
      </c>
      <c r="Q1756" s="5">
        <v>684</v>
      </c>
      <c r="R1756" s="5">
        <v>24</v>
      </c>
      <c r="S1756" s="5">
        <v>673</v>
      </c>
    </row>
    <row r="1757" spans="1:19" ht="28" x14ac:dyDescent="0.15">
      <c r="A1757" s="2">
        <f>HYPERLINK("https://open-school.uspishnemisto.com.ua/school/120186/", 120186)</f>
        <v>120186</v>
      </c>
      <c r="B1757" s="3" t="s">
        <v>9365</v>
      </c>
      <c r="C1757" s="3" t="s">
        <v>31</v>
      </c>
      <c r="D1757" s="3" t="s">
        <v>32</v>
      </c>
      <c r="E1757" s="4" t="s">
        <v>22</v>
      </c>
      <c r="F1757" s="4" t="s">
        <v>9366</v>
      </c>
      <c r="G1757" s="4" t="s">
        <v>9320</v>
      </c>
      <c r="H1757" s="3" t="s">
        <v>8487</v>
      </c>
      <c r="I1757" s="3" t="s">
        <v>9321</v>
      </c>
      <c r="J1757" s="3" t="s">
        <v>9367</v>
      </c>
      <c r="K1757" s="3" t="s">
        <v>9368</v>
      </c>
      <c r="L1757" s="3" t="s">
        <v>9369</v>
      </c>
      <c r="M1757" s="4" t="s">
        <v>9370</v>
      </c>
      <c r="N1757" s="3" t="s">
        <v>37</v>
      </c>
      <c r="O1757" s="3" t="s">
        <v>721</v>
      </c>
      <c r="P1757" s="5">
        <v>29</v>
      </c>
      <c r="Q1757" s="5">
        <v>762</v>
      </c>
      <c r="R1757" s="5">
        <v>27</v>
      </c>
      <c r="S1757" s="5">
        <v>726</v>
      </c>
    </row>
    <row r="1758" spans="1:19" ht="28" x14ac:dyDescent="0.15">
      <c r="A1758" s="2">
        <f>HYPERLINK("https://open-school.uspishnemisto.com.ua/school/120187/", 120187)</f>
        <v>120187</v>
      </c>
      <c r="B1758" s="3" t="s">
        <v>9371</v>
      </c>
      <c r="C1758" s="3" t="s">
        <v>31</v>
      </c>
      <c r="D1758" s="3" t="s">
        <v>32</v>
      </c>
      <c r="E1758" s="4" t="s">
        <v>22</v>
      </c>
      <c r="F1758" s="4" t="s">
        <v>9338</v>
      </c>
      <c r="G1758" s="4" t="s">
        <v>9320</v>
      </c>
      <c r="H1758" s="3" t="s">
        <v>8487</v>
      </c>
      <c r="I1758" s="3" t="s">
        <v>9321</v>
      </c>
      <c r="J1758" s="3" t="s">
        <v>9372</v>
      </c>
      <c r="K1758" s="3" t="s">
        <v>9373</v>
      </c>
      <c r="L1758" s="3" t="s">
        <v>9374</v>
      </c>
      <c r="M1758" s="4" t="s">
        <v>9375</v>
      </c>
      <c r="N1758" s="3" t="s">
        <v>37</v>
      </c>
      <c r="O1758" s="3" t="s">
        <v>38</v>
      </c>
      <c r="P1758" s="5">
        <v>13</v>
      </c>
      <c r="Q1758" s="5">
        <v>342</v>
      </c>
      <c r="R1758" s="5">
        <v>13</v>
      </c>
      <c r="S1758" s="5">
        <v>340</v>
      </c>
    </row>
    <row r="1759" spans="1:19" ht="28" x14ac:dyDescent="0.15">
      <c r="A1759" s="2">
        <f>HYPERLINK("https://open-school.uspishnemisto.com.ua/school/120188/", 120188)</f>
        <v>120188</v>
      </c>
      <c r="B1759" s="3" t="s">
        <v>9376</v>
      </c>
      <c r="C1759" s="3" t="s">
        <v>188</v>
      </c>
      <c r="D1759" s="3" t="s">
        <v>32</v>
      </c>
      <c r="E1759" s="4" t="s">
        <v>22</v>
      </c>
      <c r="F1759" s="4" t="s">
        <v>9377</v>
      </c>
      <c r="G1759" s="4" t="s">
        <v>9320</v>
      </c>
      <c r="H1759" s="3" t="s">
        <v>8487</v>
      </c>
      <c r="I1759" s="3" t="s">
        <v>9321</v>
      </c>
      <c r="J1759" s="3" t="s">
        <v>9378</v>
      </c>
      <c r="K1759" s="3" t="s">
        <v>9379</v>
      </c>
      <c r="L1759" s="3" t="s">
        <v>9380</v>
      </c>
      <c r="M1759" s="4" t="s">
        <v>9381</v>
      </c>
      <c r="N1759" s="3" t="s">
        <v>37</v>
      </c>
      <c r="O1759" s="3" t="s">
        <v>52</v>
      </c>
      <c r="P1759" s="5">
        <v>13</v>
      </c>
      <c r="Q1759" s="5">
        <v>385</v>
      </c>
      <c r="R1759" s="5">
        <v>13</v>
      </c>
      <c r="S1759" s="5">
        <v>395</v>
      </c>
    </row>
    <row r="1760" spans="1:19" ht="42" x14ac:dyDescent="0.15">
      <c r="A1760" s="2">
        <f>HYPERLINK("https://open-school.uspishnemisto.com.ua/school/120189/", 120189)</f>
        <v>120189</v>
      </c>
      <c r="B1760" s="3" t="s">
        <v>9382</v>
      </c>
      <c r="C1760" s="3" t="s">
        <v>2128</v>
      </c>
      <c r="D1760" s="3" t="s">
        <v>32</v>
      </c>
      <c r="E1760" s="4" t="s">
        <v>22</v>
      </c>
      <c r="F1760" s="4" t="s">
        <v>9383</v>
      </c>
      <c r="G1760" s="4" t="s">
        <v>9320</v>
      </c>
      <c r="H1760" s="3" t="s">
        <v>8487</v>
      </c>
      <c r="I1760" s="3" t="s">
        <v>9321</v>
      </c>
      <c r="J1760" s="3" t="s">
        <v>9384</v>
      </c>
      <c r="K1760" s="3" t="s">
        <v>9385</v>
      </c>
      <c r="L1760" s="3" t="s">
        <v>9386</v>
      </c>
      <c r="M1760" s="4" t="s">
        <v>9387</v>
      </c>
      <c r="N1760" s="3" t="s">
        <v>37</v>
      </c>
      <c r="O1760" s="3" t="s">
        <v>197</v>
      </c>
      <c r="P1760" s="5">
        <v>32</v>
      </c>
      <c r="Q1760" s="5">
        <v>920</v>
      </c>
      <c r="R1760" s="5">
        <v>31</v>
      </c>
      <c r="S1760" s="5">
        <v>903</v>
      </c>
    </row>
    <row r="1761" spans="1:19" ht="28" x14ac:dyDescent="0.15">
      <c r="A1761" s="2">
        <f>HYPERLINK("https://open-school.uspishnemisto.com.ua/school/120190/", 120190)</f>
        <v>120190</v>
      </c>
      <c r="B1761" s="3" t="s">
        <v>9388</v>
      </c>
      <c r="C1761" s="3" t="s">
        <v>181</v>
      </c>
      <c r="D1761" s="3" t="s">
        <v>32</v>
      </c>
      <c r="E1761" s="4" t="s">
        <v>22</v>
      </c>
      <c r="F1761" s="4" t="s">
        <v>9389</v>
      </c>
      <c r="G1761" s="4" t="s">
        <v>9320</v>
      </c>
      <c r="H1761" s="3" t="s">
        <v>8487</v>
      </c>
      <c r="I1761" s="3" t="s">
        <v>9321</v>
      </c>
      <c r="J1761" s="3" t="s">
        <v>9390</v>
      </c>
      <c r="K1761" s="3" t="s">
        <v>9391</v>
      </c>
      <c r="L1761" s="3" t="s">
        <v>9392</v>
      </c>
      <c r="M1761" s="4" t="s">
        <v>9393</v>
      </c>
      <c r="N1761" s="3" t="s">
        <v>37</v>
      </c>
      <c r="O1761" s="3" t="s">
        <v>52</v>
      </c>
      <c r="P1761" s="5">
        <v>12</v>
      </c>
      <c r="Q1761" s="5">
        <v>103</v>
      </c>
      <c r="R1761" s="5">
        <v>13</v>
      </c>
      <c r="S1761" s="5">
        <v>97</v>
      </c>
    </row>
    <row r="1762" spans="1:19" ht="56" x14ac:dyDescent="0.15">
      <c r="A1762" s="2">
        <f>HYPERLINK("https://open-school.uspishnemisto.com.ua/school/120191/", 120191)</f>
        <v>120191</v>
      </c>
      <c r="B1762" s="3" t="s">
        <v>9394</v>
      </c>
      <c r="C1762" s="3" t="s">
        <v>54</v>
      </c>
      <c r="D1762" s="3" t="s">
        <v>60</v>
      </c>
      <c r="E1762" s="4" t="s">
        <v>22</v>
      </c>
      <c r="F1762" s="4" t="s">
        <v>9366</v>
      </c>
      <c r="G1762" s="4" t="s">
        <v>9320</v>
      </c>
      <c r="H1762" s="3" t="s">
        <v>8487</v>
      </c>
      <c r="I1762" s="3" t="s">
        <v>9321</v>
      </c>
      <c r="J1762" s="3" t="s">
        <v>9395</v>
      </c>
      <c r="K1762" s="3" t="s">
        <v>9396</v>
      </c>
      <c r="L1762" s="3" t="s">
        <v>9397</v>
      </c>
      <c r="M1762" s="4" t="s">
        <v>9398</v>
      </c>
      <c r="N1762" s="3" t="s">
        <v>37</v>
      </c>
      <c r="O1762" s="3" t="s">
        <v>52</v>
      </c>
      <c r="P1762" s="5">
        <v>4</v>
      </c>
      <c r="Q1762" s="5">
        <v>75</v>
      </c>
      <c r="R1762" s="5">
        <v>4</v>
      </c>
      <c r="S1762" s="5">
        <v>71</v>
      </c>
    </row>
    <row r="1763" spans="1:19" ht="42" x14ac:dyDescent="0.15">
      <c r="A1763" s="2">
        <f>HYPERLINK("https://open-school.uspishnemisto.com.ua/school/120193/", 120193)</f>
        <v>120193</v>
      </c>
      <c r="B1763" s="3" t="s">
        <v>9399</v>
      </c>
      <c r="C1763" s="3" t="s">
        <v>54</v>
      </c>
      <c r="D1763" s="3" t="s">
        <v>32</v>
      </c>
      <c r="E1763" s="4" t="s">
        <v>22</v>
      </c>
      <c r="F1763" s="4" t="s">
        <v>9400</v>
      </c>
      <c r="G1763" s="4" t="s">
        <v>9320</v>
      </c>
      <c r="H1763" s="3" t="s">
        <v>8487</v>
      </c>
      <c r="I1763" s="3" t="s">
        <v>9321</v>
      </c>
      <c r="J1763" s="3" t="s">
        <v>9401</v>
      </c>
      <c r="K1763" s="3" t="s">
        <v>9402</v>
      </c>
      <c r="L1763" s="3" t="s">
        <v>9403</v>
      </c>
      <c r="M1763" s="4" t="s">
        <v>9404</v>
      </c>
      <c r="N1763" s="3" t="s">
        <v>967</v>
      </c>
      <c r="O1763" s="3" t="s">
        <v>46</v>
      </c>
      <c r="P1763" s="5">
        <v>37</v>
      </c>
      <c r="Q1763" s="5">
        <v>1095</v>
      </c>
      <c r="R1763" s="5">
        <v>37</v>
      </c>
      <c r="S1763" s="5">
        <v>1080</v>
      </c>
    </row>
    <row r="1764" spans="1:19" ht="42" x14ac:dyDescent="0.15">
      <c r="A1764" s="2">
        <f>HYPERLINK("https://open-school.uspishnemisto.com.ua/school/120177/", 120177)</f>
        <v>120177</v>
      </c>
      <c r="B1764" s="3" t="s">
        <v>9405</v>
      </c>
      <c r="C1764" s="3" t="s">
        <v>54</v>
      </c>
      <c r="D1764" s="3" t="s">
        <v>32</v>
      </c>
      <c r="E1764" s="4" t="s">
        <v>22</v>
      </c>
      <c r="F1764" s="4" t="s">
        <v>9406</v>
      </c>
      <c r="G1764" s="4" t="s">
        <v>9407</v>
      </c>
      <c r="H1764" s="3" t="s">
        <v>8487</v>
      </c>
      <c r="I1764" s="3" t="s">
        <v>9408</v>
      </c>
      <c r="J1764" s="3" t="s">
        <v>9409</v>
      </c>
      <c r="K1764" s="3" t="s">
        <v>9410</v>
      </c>
      <c r="L1764" s="3" t="s">
        <v>9411</v>
      </c>
      <c r="M1764" s="4" t="s">
        <v>9412</v>
      </c>
      <c r="N1764" s="3" t="s">
        <v>37</v>
      </c>
      <c r="O1764" s="3" t="s">
        <v>38</v>
      </c>
      <c r="P1764" s="5">
        <v>17</v>
      </c>
      <c r="Q1764" s="5">
        <v>465</v>
      </c>
      <c r="R1764" s="5">
        <v>16</v>
      </c>
      <c r="S1764" s="5">
        <v>422</v>
      </c>
    </row>
    <row r="1765" spans="1:19" ht="56" x14ac:dyDescent="0.15">
      <c r="A1765" s="2">
        <f>HYPERLINK("https://open-school.uspishnemisto.com.ua/school/120192/", 120192)</f>
        <v>120192</v>
      </c>
      <c r="B1765" s="3" t="s">
        <v>9413</v>
      </c>
      <c r="C1765" s="3" t="s">
        <v>54</v>
      </c>
      <c r="D1765" s="3" t="s">
        <v>175</v>
      </c>
      <c r="E1765" s="4" t="s">
        <v>22</v>
      </c>
      <c r="F1765" s="4" t="s">
        <v>9414</v>
      </c>
      <c r="G1765" s="4" t="s">
        <v>9407</v>
      </c>
      <c r="H1765" s="3" t="s">
        <v>8487</v>
      </c>
      <c r="I1765" s="3" t="s">
        <v>9408</v>
      </c>
      <c r="J1765" s="3" t="s">
        <v>9415</v>
      </c>
      <c r="K1765" s="3" t="s">
        <v>9416</v>
      </c>
      <c r="L1765" s="3" t="s">
        <v>9417</v>
      </c>
      <c r="M1765" s="4" t="s">
        <v>9418</v>
      </c>
      <c r="N1765" s="3" t="s">
        <v>37</v>
      </c>
      <c r="O1765" s="3" t="s">
        <v>52</v>
      </c>
      <c r="P1765" s="5">
        <v>9</v>
      </c>
      <c r="Q1765" s="5">
        <v>134</v>
      </c>
      <c r="R1765" s="5">
        <v>9</v>
      </c>
      <c r="S1765" s="5">
        <v>137</v>
      </c>
    </row>
    <row r="1766" spans="1:19" ht="42" x14ac:dyDescent="0.15">
      <c r="A1766" s="2">
        <f>HYPERLINK("https://open-school.uspishnemisto.com.ua/school/120194/", 120194)</f>
        <v>120194</v>
      </c>
      <c r="B1766" s="3" t="s">
        <v>9419</v>
      </c>
      <c r="C1766" s="3" t="s">
        <v>54</v>
      </c>
      <c r="D1766" s="3" t="s">
        <v>32</v>
      </c>
      <c r="E1766" s="4" t="s">
        <v>22</v>
      </c>
      <c r="F1766" s="4" t="s">
        <v>9420</v>
      </c>
      <c r="G1766" s="4" t="s">
        <v>9407</v>
      </c>
      <c r="H1766" s="3" t="s">
        <v>8487</v>
      </c>
      <c r="I1766" s="3" t="s">
        <v>9408</v>
      </c>
      <c r="J1766" s="3" t="s">
        <v>9421</v>
      </c>
      <c r="K1766" s="3" t="s">
        <v>9422</v>
      </c>
      <c r="L1766" s="3" t="s">
        <v>9423</v>
      </c>
      <c r="M1766" s="4" t="s">
        <v>9424</v>
      </c>
      <c r="N1766" s="3" t="s">
        <v>37</v>
      </c>
      <c r="O1766" s="3" t="s">
        <v>38</v>
      </c>
      <c r="P1766" s="5">
        <v>29</v>
      </c>
      <c r="Q1766" s="5">
        <v>777</v>
      </c>
      <c r="R1766" s="5">
        <v>27</v>
      </c>
      <c r="S1766" s="5">
        <v>725</v>
      </c>
    </row>
    <row r="1767" spans="1:19" ht="28" x14ac:dyDescent="0.15">
      <c r="A1767" s="2">
        <f>HYPERLINK("https://open-school.uspishnemisto.com.ua/school/120195/", 120195)</f>
        <v>120195</v>
      </c>
      <c r="B1767" s="3" t="s">
        <v>9425</v>
      </c>
      <c r="C1767" s="3" t="s">
        <v>54</v>
      </c>
      <c r="D1767" s="3" t="s">
        <v>32</v>
      </c>
      <c r="E1767" s="4" t="s">
        <v>22</v>
      </c>
      <c r="F1767" s="4" t="s">
        <v>9426</v>
      </c>
      <c r="G1767" s="4" t="s">
        <v>9407</v>
      </c>
      <c r="H1767" s="3" t="s">
        <v>8487</v>
      </c>
      <c r="I1767" s="3" t="s">
        <v>9408</v>
      </c>
      <c r="J1767" s="3" t="s">
        <v>9427</v>
      </c>
      <c r="K1767" s="3" t="s">
        <v>9428</v>
      </c>
      <c r="L1767" s="3" t="s">
        <v>9429</v>
      </c>
      <c r="M1767" s="4" t="s">
        <v>9430</v>
      </c>
      <c r="N1767" s="3" t="s">
        <v>37</v>
      </c>
      <c r="O1767" s="3" t="s">
        <v>70</v>
      </c>
      <c r="P1767" s="5">
        <v>22</v>
      </c>
      <c r="Q1767" s="5">
        <v>583</v>
      </c>
      <c r="R1767" s="5">
        <v>21</v>
      </c>
      <c r="S1767" s="5">
        <v>560</v>
      </c>
    </row>
    <row r="1768" spans="1:19" ht="28" x14ac:dyDescent="0.15">
      <c r="A1768" s="2">
        <f>HYPERLINK("https://open-school.uspishnemisto.com.ua/school/120196/", 120196)</f>
        <v>120196</v>
      </c>
      <c r="B1768" s="3" t="s">
        <v>9431</v>
      </c>
      <c r="C1768" s="3" t="s">
        <v>31</v>
      </c>
      <c r="D1768" s="3" t="s">
        <v>32</v>
      </c>
      <c r="E1768" s="4" t="s">
        <v>22</v>
      </c>
      <c r="F1768" s="4" t="s">
        <v>9426</v>
      </c>
      <c r="G1768" s="4" t="s">
        <v>9407</v>
      </c>
      <c r="H1768" s="3" t="s">
        <v>8487</v>
      </c>
      <c r="I1768" s="3" t="s">
        <v>9408</v>
      </c>
      <c r="J1768" s="3" t="s">
        <v>9432</v>
      </c>
      <c r="K1768" s="3" t="s">
        <v>9433</v>
      </c>
      <c r="L1768" s="3" t="s">
        <v>9434</v>
      </c>
      <c r="M1768" s="4" t="s">
        <v>9435</v>
      </c>
      <c r="N1768" s="3" t="s">
        <v>37</v>
      </c>
      <c r="O1768" s="3" t="s">
        <v>38</v>
      </c>
      <c r="P1768" s="5">
        <v>24</v>
      </c>
      <c r="Q1768" s="5">
        <v>611</v>
      </c>
      <c r="R1768" s="5">
        <v>25</v>
      </c>
      <c r="S1768" s="5">
        <v>614</v>
      </c>
    </row>
    <row r="1769" spans="1:19" ht="28" x14ac:dyDescent="0.15">
      <c r="A1769" s="2">
        <f>HYPERLINK("https://open-school.uspishnemisto.com.ua/school/120197/", 120197)</f>
        <v>120197</v>
      </c>
      <c r="B1769" s="3" t="s">
        <v>9436</v>
      </c>
      <c r="C1769" s="3" t="s">
        <v>31</v>
      </c>
      <c r="D1769" s="3" t="s">
        <v>32</v>
      </c>
      <c r="E1769" s="4" t="s">
        <v>22</v>
      </c>
      <c r="F1769" s="4" t="s">
        <v>9420</v>
      </c>
      <c r="G1769" s="4" t="s">
        <v>9407</v>
      </c>
      <c r="H1769" s="3" t="s">
        <v>8487</v>
      </c>
      <c r="I1769" s="3" t="s">
        <v>9408</v>
      </c>
      <c r="J1769" s="3" t="s">
        <v>9437</v>
      </c>
      <c r="K1769" s="3" t="s">
        <v>9438</v>
      </c>
      <c r="L1769" s="3" t="s">
        <v>9439</v>
      </c>
      <c r="M1769" s="4" t="s">
        <v>9440</v>
      </c>
      <c r="N1769" s="3" t="s">
        <v>37</v>
      </c>
      <c r="O1769" s="3" t="s">
        <v>721</v>
      </c>
      <c r="P1769" s="5">
        <v>15</v>
      </c>
      <c r="Q1769" s="5">
        <v>400</v>
      </c>
      <c r="R1769" s="5">
        <v>15</v>
      </c>
      <c r="S1769" s="5">
        <v>405</v>
      </c>
    </row>
    <row r="1770" spans="1:19" ht="28" x14ac:dyDescent="0.15">
      <c r="A1770" s="2">
        <f>HYPERLINK("https://open-school.uspishnemisto.com.ua/school/120198/", 120198)</f>
        <v>120198</v>
      </c>
      <c r="B1770" s="3" t="s">
        <v>9441</v>
      </c>
      <c r="C1770" s="3" t="s">
        <v>31</v>
      </c>
      <c r="D1770" s="3" t="s">
        <v>32</v>
      </c>
      <c r="E1770" s="4" t="s">
        <v>22</v>
      </c>
      <c r="F1770" s="4" t="s">
        <v>9442</v>
      </c>
      <c r="G1770" s="4" t="s">
        <v>9407</v>
      </c>
      <c r="H1770" s="3" t="s">
        <v>8487</v>
      </c>
      <c r="I1770" s="3" t="s">
        <v>9408</v>
      </c>
      <c r="J1770" s="3" t="s">
        <v>9443</v>
      </c>
      <c r="K1770" s="3" t="s">
        <v>9444</v>
      </c>
      <c r="L1770" s="3" t="s">
        <v>9445</v>
      </c>
      <c r="M1770" s="4" t="s">
        <v>9446</v>
      </c>
      <c r="N1770" s="3" t="s">
        <v>37</v>
      </c>
      <c r="O1770" s="3" t="s">
        <v>52</v>
      </c>
      <c r="P1770" s="5">
        <v>21</v>
      </c>
      <c r="Q1770" s="5">
        <v>544</v>
      </c>
      <c r="R1770" s="5">
        <v>21</v>
      </c>
      <c r="S1770" s="5">
        <v>529</v>
      </c>
    </row>
    <row r="1771" spans="1:19" ht="28" x14ac:dyDescent="0.15">
      <c r="A1771" s="2">
        <f>HYPERLINK("https://open-school.uspishnemisto.com.ua/school/120199/", 120199)</f>
        <v>120199</v>
      </c>
      <c r="B1771" s="3" t="s">
        <v>9447</v>
      </c>
      <c r="C1771" s="3" t="s">
        <v>31</v>
      </c>
      <c r="D1771" s="3" t="s">
        <v>32</v>
      </c>
      <c r="E1771" s="4" t="s">
        <v>22</v>
      </c>
      <c r="F1771" s="4" t="s">
        <v>9406</v>
      </c>
      <c r="G1771" s="4" t="s">
        <v>9407</v>
      </c>
      <c r="H1771" s="3" t="s">
        <v>8487</v>
      </c>
      <c r="I1771" s="3" t="s">
        <v>9408</v>
      </c>
      <c r="J1771" s="3" t="s">
        <v>9448</v>
      </c>
      <c r="K1771" s="3" t="s">
        <v>9449</v>
      </c>
      <c r="L1771" s="3" t="s">
        <v>9450</v>
      </c>
      <c r="M1771" s="4" t="s">
        <v>9451</v>
      </c>
      <c r="N1771" s="3" t="s">
        <v>37</v>
      </c>
      <c r="O1771" s="3" t="s">
        <v>46</v>
      </c>
      <c r="P1771" s="5">
        <v>18</v>
      </c>
      <c r="Q1771" s="5">
        <v>510</v>
      </c>
      <c r="R1771" s="5">
        <v>18</v>
      </c>
      <c r="S1771" s="5">
        <v>515</v>
      </c>
    </row>
    <row r="1772" spans="1:19" ht="28" x14ac:dyDescent="0.15">
      <c r="A1772" s="2">
        <f>HYPERLINK("https://open-school.uspishnemisto.com.ua/school/120200/", 120200)</f>
        <v>120200</v>
      </c>
      <c r="B1772" s="3" t="s">
        <v>9452</v>
      </c>
      <c r="C1772" s="3" t="s">
        <v>31</v>
      </c>
      <c r="D1772" s="3" t="s">
        <v>32</v>
      </c>
      <c r="E1772" s="4" t="s">
        <v>22</v>
      </c>
      <c r="F1772" s="4" t="s">
        <v>9400</v>
      </c>
      <c r="G1772" s="4" t="s">
        <v>9407</v>
      </c>
      <c r="H1772" s="3" t="s">
        <v>8487</v>
      </c>
      <c r="I1772" s="3" t="s">
        <v>9408</v>
      </c>
      <c r="J1772" s="3" t="s">
        <v>9453</v>
      </c>
      <c r="K1772" s="3" t="s">
        <v>9454</v>
      </c>
      <c r="L1772" s="3" t="s">
        <v>9455</v>
      </c>
      <c r="M1772" s="4" t="s">
        <v>9456</v>
      </c>
      <c r="N1772" s="3" t="s">
        <v>967</v>
      </c>
      <c r="O1772" s="3" t="s">
        <v>38</v>
      </c>
      <c r="P1772" s="5">
        <v>19</v>
      </c>
      <c r="Q1772" s="5">
        <v>498</v>
      </c>
      <c r="R1772" s="5">
        <v>19</v>
      </c>
      <c r="S1772" s="5">
        <v>501</v>
      </c>
    </row>
    <row r="1773" spans="1:19" ht="28" x14ac:dyDescent="0.15">
      <c r="A1773" s="2">
        <f>HYPERLINK("https://open-school.uspishnemisto.com.ua/school/120201/", 120201)</f>
        <v>120201</v>
      </c>
      <c r="B1773" s="3" t="s">
        <v>9457</v>
      </c>
      <c r="C1773" s="3" t="s">
        <v>40</v>
      </c>
      <c r="D1773" s="3" t="s">
        <v>32</v>
      </c>
      <c r="E1773" s="4" t="s">
        <v>22</v>
      </c>
      <c r="F1773" s="4" t="s">
        <v>9344</v>
      </c>
      <c r="G1773" s="4" t="s">
        <v>9458</v>
      </c>
      <c r="H1773" s="3" t="s">
        <v>8487</v>
      </c>
      <c r="I1773" s="3" t="s">
        <v>9459</v>
      </c>
      <c r="J1773" s="3" t="s">
        <v>9460</v>
      </c>
      <c r="K1773" s="3" t="s">
        <v>9461</v>
      </c>
      <c r="L1773" s="3" t="s">
        <v>9462</v>
      </c>
      <c r="M1773" s="4" t="s">
        <v>9463</v>
      </c>
      <c r="N1773" s="3" t="s">
        <v>37</v>
      </c>
      <c r="O1773" s="3" t="s">
        <v>197</v>
      </c>
      <c r="P1773" s="5">
        <v>24</v>
      </c>
      <c r="Q1773" s="5">
        <v>652</v>
      </c>
      <c r="R1773" s="5">
        <v>24</v>
      </c>
      <c r="S1773" s="5">
        <v>645</v>
      </c>
    </row>
    <row r="1774" spans="1:19" ht="56" x14ac:dyDescent="0.15">
      <c r="A1774" s="2">
        <f>HYPERLINK("https://open-school.uspishnemisto.com.ua/school/120202/", 120202)</f>
        <v>120202</v>
      </c>
      <c r="B1774" s="3" t="s">
        <v>9464</v>
      </c>
      <c r="C1774" s="3" t="s">
        <v>54</v>
      </c>
      <c r="D1774" s="3" t="s">
        <v>32</v>
      </c>
      <c r="E1774" s="4" t="s">
        <v>22</v>
      </c>
      <c r="F1774" s="4" t="s">
        <v>9465</v>
      </c>
      <c r="G1774" s="4" t="s">
        <v>9458</v>
      </c>
      <c r="H1774" s="3" t="s">
        <v>8487</v>
      </c>
      <c r="I1774" s="3" t="s">
        <v>9459</v>
      </c>
      <c r="J1774" s="3" t="s">
        <v>9466</v>
      </c>
      <c r="K1774" s="3" t="s">
        <v>9467</v>
      </c>
      <c r="L1774" s="3" t="s">
        <v>9468</v>
      </c>
      <c r="M1774" s="4" t="s">
        <v>9469</v>
      </c>
      <c r="N1774" s="3" t="s">
        <v>37</v>
      </c>
      <c r="O1774" s="3" t="s">
        <v>38</v>
      </c>
      <c r="P1774" s="5">
        <v>20</v>
      </c>
      <c r="Q1774" s="5">
        <v>531</v>
      </c>
      <c r="R1774" s="5">
        <v>20</v>
      </c>
      <c r="S1774" s="5">
        <v>522</v>
      </c>
    </row>
    <row r="1775" spans="1:19" ht="28" x14ac:dyDescent="0.15">
      <c r="A1775" s="2">
        <f>HYPERLINK("https://open-school.uspishnemisto.com.ua/school/120203/", 120203)</f>
        <v>120203</v>
      </c>
      <c r="B1775" s="3" t="s">
        <v>9470</v>
      </c>
      <c r="C1775" s="3" t="s">
        <v>31</v>
      </c>
      <c r="D1775" s="3" t="s">
        <v>32</v>
      </c>
      <c r="E1775" s="4" t="s">
        <v>22</v>
      </c>
      <c r="F1775" s="4" t="s">
        <v>9471</v>
      </c>
      <c r="G1775" s="4" t="s">
        <v>9458</v>
      </c>
      <c r="H1775" s="3" t="s">
        <v>8487</v>
      </c>
      <c r="I1775" s="3" t="s">
        <v>9459</v>
      </c>
      <c r="J1775" s="3" t="s">
        <v>9472</v>
      </c>
      <c r="K1775" s="3" t="s">
        <v>9473</v>
      </c>
      <c r="L1775" s="3" t="s">
        <v>9474</v>
      </c>
      <c r="M1775" s="4" t="s">
        <v>9475</v>
      </c>
      <c r="N1775" s="3" t="s">
        <v>37</v>
      </c>
      <c r="O1775" s="3" t="s">
        <v>38</v>
      </c>
      <c r="P1775" s="5">
        <v>28</v>
      </c>
      <c r="Q1775" s="5">
        <v>773</v>
      </c>
      <c r="R1775" s="5">
        <v>26</v>
      </c>
      <c r="S1775" s="5">
        <v>728</v>
      </c>
    </row>
    <row r="1776" spans="1:19" ht="28" x14ac:dyDescent="0.15">
      <c r="A1776" s="2">
        <f>HYPERLINK("https://open-school.uspishnemisto.com.ua/school/120204/", 120204)</f>
        <v>120204</v>
      </c>
      <c r="B1776" s="3" t="s">
        <v>9476</v>
      </c>
      <c r="C1776" s="3" t="s">
        <v>31</v>
      </c>
      <c r="D1776" s="3" t="s">
        <v>32</v>
      </c>
      <c r="E1776" s="4" t="s">
        <v>22</v>
      </c>
      <c r="F1776" s="4" t="s">
        <v>9477</v>
      </c>
      <c r="G1776" s="4" t="s">
        <v>9458</v>
      </c>
      <c r="H1776" s="3" t="s">
        <v>8487</v>
      </c>
      <c r="I1776" s="3" t="s">
        <v>9459</v>
      </c>
      <c r="J1776" s="3" t="s">
        <v>9478</v>
      </c>
      <c r="K1776" s="3" t="s">
        <v>9479</v>
      </c>
      <c r="L1776" s="3" t="s">
        <v>9480</v>
      </c>
      <c r="M1776" s="4" t="s">
        <v>9481</v>
      </c>
      <c r="N1776" s="3" t="s">
        <v>37</v>
      </c>
      <c r="O1776" s="3" t="s">
        <v>2740</v>
      </c>
      <c r="P1776" s="5">
        <v>15</v>
      </c>
      <c r="Q1776" s="5">
        <v>381</v>
      </c>
      <c r="R1776" s="5">
        <v>13</v>
      </c>
      <c r="S1776" s="5">
        <v>327</v>
      </c>
    </row>
    <row r="1777" spans="1:19" ht="28" x14ac:dyDescent="0.15">
      <c r="A1777" s="2">
        <f>HYPERLINK("https://open-school.uspishnemisto.com.ua/school/120205/", 120205)</f>
        <v>120205</v>
      </c>
      <c r="B1777" s="3" t="s">
        <v>9482</v>
      </c>
      <c r="C1777" s="3" t="s">
        <v>31</v>
      </c>
      <c r="D1777" s="3" t="s">
        <v>32</v>
      </c>
      <c r="E1777" s="4" t="s">
        <v>22</v>
      </c>
      <c r="F1777" s="4" t="s">
        <v>9483</v>
      </c>
      <c r="G1777" s="4" t="s">
        <v>9458</v>
      </c>
      <c r="H1777" s="3" t="s">
        <v>8487</v>
      </c>
      <c r="I1777" s="3" t="s">
        <v>9459</v>
      </c>
      <c r="J1777" s="3" t="s">
        <v>9484</v>
      </c>
      <c r="K1777" s="3" t="s">
        <v>9485</v>
      </c>
      <c r="L1777" s="3" t="s">
        <v>9486</v>
      </c>
      <c r="M1777" s="4" t="s">
        <v>9487</v>
      </c>
      <c r="N1777" s="3" t="s">
        <v>37</v>
      </c>
      <c r="O1777" s="3" t="s">
        <v>123</v>
      </c>
      <c r="P1777" s="5">
        <v>21</v>
      </c>
      <c r="Q1777" s="5">
        <v>619</v>
      </c>
      <c r="R1777" s="5">
        <v>21</v>
      </c>
      <c r="S1777" s="5">
        <v>602</v>
      </c>
    </row>
    <row r="1778" spans="1:19" ht="28" x14ac:dyDescent="0.15">
      <c r="A1778" s="2">
        <f>HYPERLINK("https://open-school.uspishnemisto.com.ua/school/120206/", 120206)</f>
        <v>120206</v>
      </c>
      <c r="B1778" s="3" t="s">
        <v>9488</v>
      </c>
      <c r="C1778" s="3" t="s">
        <v>31</v>
      </c>
      <c r="D1778" s="3" t="s">
        <v>32</v>
      </c>
      <c r="E1778" s="4" t="s">
        <v>22</v>
      </c>
      <c r="F1778" s="4" t="s">
        <v>9344</v>
      </c>
      <c r="G1778" s="4" t="s">
        <v>9458</v>
      </c>
      <c r="H1778" s="3" t="s">
        <v>8487</v>
      </c>
      <c r="I1778" s="3" t="s">
        <v>9459</v>
      </c>
      <c r="J1778" s="3" t="s">
        <v>9489</v>
      </c>
      <c r="K1778" s="3" t="s">
        <v>9490</v>
      </c>
      <c r="L1778" s="3" t="s">
        <v>9491</v>
      </c>
      <c r="M1778" s="4" t="s">
        <v>9492</v>
      </c>
      <c r="N1778" s="3" t="s">
        <v>37</v>
      </c>
      <c r="O1778" s="3" t="s">
        <v>197</v>
      </c>
      <c r="P1778" s="5">
        <v>34</v>
      </c>
      <c r="Q1778" s="5">
        <v>1076</v>
      </c>
      <c r="R1778" s="5">
        <v>33</v>
      </c>
      <c r="S1778" s="5">
        <v>1020</v>
      </c>
    </row>
    <row r="1779" spans="1:19" ht="28" x14ac:dyDescent="0.15">
      <c r="A1779" s="2">
        <f>HYPERLINK("https://open-school.uspishnemisto.com.ua/school/120207/", 120207)</f>
        <v>120207</v>
      </c>
      <c r="B1779" s="3" t="s">
        <v>9493</v>
      </c>
      <c r="C1779" s="3" t="s">
        <v>31</v>
      </c>
      <c r="D1779" s="3" t="s">
        <v>32</v>
      </c>
      <c r="E1779" s="4" t="s">
        <v>22</v>
      </c>
      <c r="F1779" s="4" t="s">
        <v>9471</v>
      </c>
      <c r="G1779" s="4" t="s">
        <v>9458</v>
      </c>
      <c r="H1779" s="3" t="s">
        <v>8487</v>
      </c>
      <c r="I1779" s="3" t="s">
        <v>9459</v>
      </c>
      <c r="J1779" s="3" t="s">
        <v>9494</v>
      </c>
      <c r="K1779" s="3" t="s">
        <v>9495</v>
      </c>
      <c r="L1779" s="3" t="s">
        <v>9496</v>
      </c>
      <c r="M1779" s="4" t="s">
        <v>9497</v>
      </c>
      <c r="N1779" s="3" t="s">
        <v>967</v>
      </c>
      <c r="O1779" s="3" t="s">
        <v>721</v>
      </c>
      <c r="P1779" s="5">
        <v>36</v>
      </c>
      <c r="Q1779" s="5">
        <v>1036</v>
      </c>
      <c r="R1779" s="5">
        <v>35</v>
      </c>
      <c r="S1779" s="5">
        <v>1003</v>
      </c>
    </row>
    <row r="1780" spans="1:19" ht="56" x14ac:dyDescent="0.15">
      <c r="A1780" s="2">
        <f>HYPERLINK("https://open-school.uspishnemisto.com.ua/school/120208/", 120208)</f>
        <v>120208</v>
      </c>
      <c r="B1780" s="3" t="s">
        <v>9498</v>
      </c>
      <c r="C1780" s="3" t="s">
        <v>54</v>
      </c>
      <c r="D1780" s="3" t="s">
        <v>32</v>
      </c>
      <c r="E1780" s="4" t="s">
        <v>22</v>
      </c>
      <c r="F1780" s="4" t="s">
        <v>9332</v>
      </c>
      <c r="G1780" s="4" t="s">
        <v>9458</v>
      </c>
      <c r="H1780" s="3" t="s">
        <v>8487</v>
      </c>
      <c r="I1780" s="3" t="s">
        <v>9459</v>
      </c>
      <c r="J1780" s="3" t="s">
        <v>9499</v>
      </c>
      <c r="K1780" s="3" t="s">
        <v>9500</v>
      </c>
      <c r="L1780" s="3" t="s">
        <v>9501</v>
      </c>
      <c r="M1780" s="4" t="s">
        <v>9502</v>
      </c>
      <c r="N1780" s="3" t="s">
        <v>37</v>
      </c>
      <c r="O1780" s="3" t="s">
        <v>38</v>
      </c>
      <c r="P1780" s="5">
        <v>34</v>
      </c>
      <c r="Q1780" s="5">
        <v>1003</v>
      </c>
      <c r="R1780" s="5">
        <v>33</v>
      </c>
      <c r="S1780" s="5">
        <v>973</v>
      </c>
    </row>
    <row r="1781" spans="1:19" ht="56" x14ac:dyDescent="0.15">
      <c r="A1781" s="2">
        <f>HYPERLINK("https://open-school.uspishnemisto.com.ua/school/120209/", 120209)</f>
        <v>120209</v>
      </c>
      <c r="B1781" s="3" t="s">
        <v>9503</v>
      </c>
      <c r="C1781" s="3" t="s">
        <v>54</v>
      </c>
      <c r="D1781" s="3" t="s">
        <v>32</v>
      </c>
      <c r="E1781" s="4" t="s">
        <v>22</v>
      </c>
      <c r="F1781" s="4" t="s">
        <v>9504</v>
      </c>
      <c r="G1781" s="4" t="s">
        <v>9505</v>
      </c>
      <c r="H1781" s="3" t="s">
        <v>8487</v>
      </c>
      <c r="I1781" s="3" t="s">
        <v>9506</v>
      </c>
      <c r="J1781" s="3" t="s">
        <v>5971</v>
      </c>
      <c r="K1781" s="3" t="s">
        <v>9507</v>
      </c>
      <c r="L1781" s="3" t="s">
        <v>9508</v>
      </c>
      <c r="M1781" s="4" t="s">
        <v>9509</v>
      </c>
      <c r="N1781" s="3" t="s">
        <v>37</v>
      </c>
      <c r="O1781" s="3" t="s">
        <v>123</v>
      </c>
      <c r="P1781" s="5">
        <v>24</v>
      </c>
      <c r="Q1781" s="5">
        <v>722</v>
      </c>
      <c r="R1781" s="5">
        <v>24</v>
      </c>
      <c r="S1781" s="5">
        <v>722</v>
      </c>
    </row>
    <row r="1782" spans="1:19" ht="28" x14ac:dyDescent="0.15">
      <c r="A1782" s="2">
        <f>HYPERLINK("https://open-school.uspishnemisto.com.ua/school/120210/", 120210)</f>
        <v>120210</v>
      </c>
      <c r="B1782" s="3" t="s">
        <v>9510</v>
      </c>
      <c r="C1782" s="3" t="s">
        <v>31</v>
      </c>
      <c r="D1782" s="3" t="s">
        <v>32</v>
      </c>
      <c r="E1782" s="4" t="s">
        <v>22</v>
      </c>
      <c r="F1782" s="4" t="s">
        <v>9511</v>
      </c>
      <c r="G1782" s="4" t="s">
        <v>9505</v>
      </c>
      <c r="H1782" s="3" t="s">
        <v>8487</v>
      </c>
      <c r="I1782" s="3" t="s">
        <v>9506</v>
      </c>
      <c r="J1782" s="3" t="s">
        <v>9512</v>
      </c>
      <c r="K1782" s="3" t="s">
        <v>9513</v>
      </c>
      <c r="L1782" s="3" t="s">
        <v>9514</v>
      </c>
      <c r="M1782" s="4" t="s">
        <v>9515</v>
      </c>
      <c r="N1782" s="3" t="s">
        <v>37</v>
      </c>
      <c r="O1782" s="3" t="s">
        <v>38</v>
      </c>
      <c r="P1782" s="5">
        <v>19</v>
      </c>
      <c r="Q1782" s="5">
        <v>542</v>
      </c>
      <c r="R1782" s="5">
        <v>18</v>
      </c>
      <c r="S1782" s="5">
        <v>503</v>
      </c>
    </row>
    <row r="1783" spans="1:19" ht="28" x14ac:dyDescent="0.15">
      <c r="A1783" s="2">
        <f>HYPERLINK("https://open-school.uspishnemisto.com.ua/school/120211/", 120211)</f>
        <v>120211</v>
      </c>
      <c r="B1783" s="3" t="s">
        <v>9516</v>
      </c>
      <c r="C1783" s="3" t="s">
        <v>31</v>
      </c>
      <c r="D1783" s="3" t="s">
        <v>32</v>
      </c>
      <c r="E1783" s="4" t="s">
        <v>22</v>
      </c>
      <c r="F1783" s="4" t="s">
        <v>9517</v>
      </c>
      <c r="G1783" s="4" t="s">
        <v>9505</v>
      </c>
      <c r="H1783" s="3" t="s">
        <v>8487</v>
      </c>
      <c r="I1783" s="3" t="s">
        <v>9506</v>
      </c>
      <c r="J1783" s="3" t="s">
        <v>9518</v>
      </c>
      <c r="K1783" s="3" t="s">
        <v>9519</v>
      </c>
      <c r="L1783" s="3" t="s">
        <v>9520</v>
      </c>
      <c r="M1783" s="4" t="s">
        <v>9521</v>
      </c>
      <c r="N1783" s="3" t="s">
        <v>37</v>
      </c>
      <c r="O1783" s="3" t="s">
        <v>38</v>
      </c>
      <c r="P1783" s="5">
        <v>16</v>
      </c>
      <c r="Q1783" s="5">
        <v>419</v>
      </c>
      <c r="R1783" s="5">
        <v>16</v>
      </c>
      <c r="S1783" s="5">
        <v>393</v>
      </c>
    </row>
    <row r="1784" spans="1:19" ht="42" x14ac:dyDescent="0.15">
      <c r="A1784" s="2">
        <f>HYPERLINK("https://open-school.uspishnemisto.com.ua/school/120212/", 120212)</f>
        <v>120212</v>
      </c>
      <c r="B1784" s="3" t="s">
        <v>9522</v>
      </c>
      <c r="C1784" s="3" t="s">
        <v>31</v>
      </c>
      <c r="D1784" s="3" t="s">
        <v>32</v>
      </c>
      <c r="E1784" s="4" t="s">
        <v>22</v>
      </c>
      <c r="F1784" s="4" t="s">
        <v>9383</v>
      </c>
      <c r="G1784" s="4" t="s">
        <v>9505</v>
      </c>
      <c r="H1784" s="3" t="s">
        <v>8487</v>
      </c>
      <c r="I1784" s="3" t="s">
        <v>9506</v>
      </c>
      <c r="J1784" s="3" t="s">
        <v>9523</v>
      </c>
      <c r="K1784" s="3" t="s">
        <v>9524</v>
      </c>
      <c r="L1784" s="3" t="s">
        <v>9525</v>
      </c>
      <c r="M1784" s="4" t="s">
        <v>9526</v>
      </c>
      <c r="N1784" s="3" t="s">
        <v>37</v>
      </c>
      <c r="O1784" s="3" t="s">
        <v>38</v>
      </c>
      <c r="P1784" s="5">
        <v>26</v>
      </c>
      <c r="Q1784" s="5">
        <v>703</v>
      </c>
      <c r="R1784" s="5">
        <v>25</v>
      </c>
      <c r="S1784" s="5">
        <v>671</v>
      </c>
    </row>
    <row r="1785" spans="1:19" ht="28" x14ac:dyDescent="0.15">
      <c r="A1785" s="2">
        <f>HYPERLINK("https://open-school.uspishnemisto.com.ua/school/120213/", 120213)</f>
        <v>120213</v>
      </c>
      <c r="B1785" s="3" t="s">
        <v>9527</v>
      </c>
      <c r="C1785" s="3" t="s">
        <v>31</v>
      </c>
      <c r="D1785" s="3" t="s">
        <v>32</v>
      </c>
      <c r="E1785" s="4" t="s">
        <v>22</v>
      </c>
      <c r="F1785" s="4" t="s">
        <v>9377</v>
      </c>
      <c r="G1785" s="4" t="s">
        <v>9505</v>
      </c>
      <c r="H1785" s="3" t="s">
        <v>8487</v>
      </c>
      <c r="I1785" s="3" t="s">
        <v>9506</v>
      </c>
      <c r="J1785" s="3" t="s">
        <v>9528</v>
      </c>
      <c r="K1785" s="3" t="s">
        <v>9529</v>
      </c>
      <c r="L1785" s="3" t="s">
        <v>9530</v>
      </c>
      <c r="M1785" s="4" t="s">
        <v>9531</v>
      </c>
      <c r="N1785" s="3" t="s">
        <v>37</v>
      </c>
      <c r="O1785" s="3" t="s">
        <v>52</v>
      </c>
      <c r="P1785" s="5">
        <v>9</v>
      </c>
      <c r="Q1785" s="5">
        <v>214</v>
      </c>
      <c r="R1785" s="5">
        <v>9</v>
      </c>
      <c r="S1785" s="5">
        <v>208</v>
      </c>
    </row>
    <row r="1786" spans="1:19" ht="28" x14ac:dyDescent="0.15">
      <c r="A1786" s="2">
        <f>HYPERLINK("https://open-school.uspishnemisto.com.ua/school/120214/", 120214)</f>
        <v>120214</v>
      </c>
      <c r="B1786" s="3" t="s">
        <v>9532</v>
      </c>
      <c r="C1786" s="3" t="s">
        <v>31</v>
      </c>
      <c r="D1786" s="3" t="s">
        <v>32</v>
      </c>
      <c r="E1786" s="4" t="s">
        <v>22</v>
      </c>
      <c r="F1786" s="4" t="s">
        <v>9366</v>
      </c>
      <c r="G1786" s="4" t="s">
        <v>9505</v>
      </c>
      <c r="H1786" s="3" t="s">
        <v>8487</v>
      </c>
      <c r="I1786" s="3" t="s">
        <v>9506</v>
      </c>
      <c r="J1786" s="3" t="s">
        <v>9533</v>
      </c>
      <c r="K1786" s="3" t="s">
        <v>9534</v>
      </c>
      <c r="L1786" s="3" t="s">
        <v>9535</v>
      </c>
      <c r="M1786" s="4" t="s">
        <v>9536</v>
      </c>
      <c r="N1786" s="3" t="s">
        <v>37</v>
      </c>
      <c r="O1786" s="3" t="s">
        <v>38</v>
      </c>
      <c r="P1786" s="5">
        <v>16</v>
      </c>
      <c r="Q1786" s="5">
        <v>438</v>
      </c>
      <c r="R1786" s="5">
        <v>15</v>
      </c>
      <c r="S1786" s="5">
        <v>399</v>
      </c>
    </row>
    <row r="1787" spans="1:19" ht="28" x14ac:dyDescent="0.15">
      <c r="A1787" s="2">
        <f>HYPERLINK("https://open-school.uspishnemisto.com.ua/school/120215/", 120215)</f>
        <v>120215</v>
      </c>
      <c r="B1787" s="3" t="s">
        <v>9537</v>
      </c>
      <c r="C1787" s="3" t="s">
        <v>31</v>
      </c>
      <c r="D1787" s="3" t="s">
        <v>32</v>
      </c>
      <c r="E1787" s="4" t="s">
        <v>22</v>
      </c>
      <c r="F1787" s="4" t="s">
        <v>9504</v>
      </c>
      <c r="G1787" s="4" t="s">
        <v>9505</v>
      </c>
      <c r="H1787" s="3" t="s">
        <v>8487</v>
      </c>
      <c r="I1787" s="3" t="s">
        <v>9506</v>
      </c>
      <c r="J1787" s="3" t="s">
        <v>9538</v>
      </c>
      <c r="K1787" s="3" t="s">
        <v>9539</v>
      </c>
      <c r="L1787" s="3" t="s">
        <v>9540</v>
      </c>
      <c r="M1787" s="4" t="s">
        <v>9541</v>
      </c>
      <c r="N1787" s="3" t="s">
        <v>37</v>
      </c>
      <c r="O1787" s="3" t="s">
        <v>38</v>
      </c>
      <c r="P1787" s="5">
        <v>14</v>
      </c>
      <c r="Q1787" s="5">
        <v>360</v>
      </c>
      <c r="R1787" s="5">
        <v>14</v>
      </c>
      <c r="S1787" s="5">
        <v>353</v>
      </c>
    </row>
    <row r="1788" spans="1:19" ht="28" x14ac:dyDescent="0.15">
      <c r="A1788" s="2">
        <f>HYPERLINK("https://open-school.uspishnemisto.com.ua/school/120216/", 120216)</f>
        <v>120216</v>
      </c>
      <c r="B1788" s="3" t="s">
        <v>9542</v>
      </c>
      <c r="C1788" s="3" t="s">
        <v>31</v>
      </c>
      <c r="D1788" s="3" t="s">
        <v>32</v>
      </c>
      <c r="E1788" s="4" t="s">
        <v>22</v>
      </c>
      <c r="F1788" s="4" t="s">
        <v>9319</v>
      </c>
      <c r="G1788" s="4" t="s">
        <v>9505</v>
      </c>
      <c r="H1788" s="3" t="s">
        <v>8487</v>
      </c>
      <c r="I1788" s="3" t="s">
        <v>9506</v>
      </c>
      <c r="J1788" s="3" t="s">
        <v>9543</v>
      </c>
      <c r="K1788" s="3" t="s">
        <v>9544</v>
      </c>
      <c r="L1788" s="3" t="s">
        <v>9545</v>
      </c>
      <c r="M1788" s="4" t="s">
        <v>9546</v>
      </c>
      <c r="N1788" s="3" t="s">
        <v>37</v>
      </c>
      <c r="O1788" s="3" t="s">
        <v>38</v>
      </c>
      <c r="P1788" s="5">
        <v>10</v>
      </c>
      <c r="Q1788" s="5">
        <v>289</v>
      </c>
      <c r="R1788" s="5">
        <v>11</v>
      </c>
      <c r="S1788" s="5">
        <v>291</v>
      </c>
    </row>
    <row r="1789" spans="1:19" ht="28" x14ac:dyDescent="0.15">
      <c r="A1789" s="2">
        <f>HYPERLINK("https://open-school.uspishnemisto.com.ua/school/120217/", 120217)</f>
        <v>120217</v>
      </c>
      <c r="B1789" s="3" t="s">
        <v>9547</v>
      </c>
      <c r="C1789" s="3" t="s">
        <v>31</v>
      </c>
      <c r="D1789" s="3" t="s">
        <v>32</v>
      </c>
      <c r="E1789" s="4" t="s">
        <v>22</v>
      </c>
      <c r="F1789" s="4" t="s">
        <v>9319</v>
      </c>
      <c r="G1789" s="4" t="s">
        <v>9505</v>
      </c>
      <c r="H1789" s="3" t="s">
        <v>8487</v>
      </c>
      <c r="I1789" s="3" t="s">
        <v>9506</v>
      </c>
      <c r="J1789" s="3" t="s">
        <v>9548</v>
      </c>
      <c r="K1789" s="3" t="s">
        <v>9549</v>
      </c>
      <c r="L1789" s="3" t="s">
        <v>9550</v>
      </c>
      <c r="M1789" s="4" t="s">
        <v>9551</v>
      </c>
      <c r="N1789" s="3" t="s">
        <v>37</v>
      </c>
      <c r="O1789" s="3" t="s">
        <v>70</v>
      </c>
      <c r="P1789" s="5">
        <v>15</v>
      </c>
      <c r="Q1789" s="5">
        <v>394</v>
      </c>
      <c r="R1789" s="5">
        <v>17</v>
      </c>
      <c r="S1789" s="5">
        <v>418</v>
      </c>
    </row>
    <row r="1790" spans="1:19" ht="28" x14ac:dyDescent="0.15">
      <c r="A1790" s="2">
        <f>HYPERLINK("https://open-school.uspishnemisto.com.ua/school/120218/", 120218)</f>
        <v>120218</v>
      </c>
      <c r="B1790" s="3" t="s">
        <v>9552</v>
      </c>
      <c r="C1790" s="3" t="s">
        <v>31</v>
      </c>
      <c r="D1790" s="3" t="s">
        <v>32</v>
      </c>
      <c r="E1790" s="4" t="s">
        <v>22</v>
      </c>
      <c r="F1790" s="4" t="s">
        <v>9517</v>
      </c>
      <c r="G1790" s="4" t="s">
        <v>9505</v>
      </c>
      <c r="H1790" s="3" t="s">
        <v>8487</v>
      </c>
      <c r="I1790" s="3" t="s">
        <v>9506</v>
      </c>
      <c r="J1790" s="3" t="s">
        <v>9553</v>
      </c>
      <c r="K1790" s="3" t="s">
        <v>9554</v>
      </c>
      <c r="L1790" s="3" t="s">
        <v>9555</v>
      </c>
      <c r="M1790" s="4" t="s">
        <v>9556</v>
      </c>
      <c r="N1790" s="3" t="s">
        <v>37</v>
      </c>
      <c r="O1790" s="3" t="s">
        <v>38</v>
      </c>
      <c r="P1790" s="5">
        <v>20</v>
      </c>
      <c r="Q1790" s="5">
        <v>606</v>
      </c>
      <c r="R1790" s="5">
        <v>21</v>
      </c>
      <c r="S1790" s="5">
        <v>594</v>
      </c>
    </row>
    <row r="1791" spans="1:19" ht="28" x14ac:dyDescent="0.15">
      <c r="A1791" s="2">
        <f>HYPERLINK("https://open-school.uspishnemisto.com.ua/school/120219/", 120219)</f>
        <v>120219</v>
      </c>
      <c r="B1791" s="3" t="s">
        <v>9557</v>
      </c>
      <c r="C1791" s="3" t="s">
        <v>54</v>
      </c>
      <c r="D1791" s="3" t="s">
        <v>32</v>
      </c>
      <c r="E1791" s="4" t="s">
        <v>41</v>
      </c>
      <c r="F1791" s="4" t="s">
        <v>9377</v>
      </c>
      <c r="G1791" s="4" t="s">
        <v>9505</v>
      </c>
      <c r="H1791" s="3" t="s">
        <v>8487</v>
      </c>
      <c r="I1791" s="3" t="s">
        <v>9506</v>
      </c>
      <c r="J1791" s="3" t="s">
        <v>9558</v>
      </c>
      <c r="K1791" s="3" t="s">
        <v>9559</v>
      </c>
      <c r="L1791" s="3" t="s">
        <v>9560</v>
      </c>
      <c r="M1791" s="4"/>
      <c r="N1791" s="3" t="s">
        <v>37</v>
      </c>
      <c r="O1791" s="3" t="s">
        <v>8629</v>
      </c>
      <c r="P1791" s="5">
        <v>10</v>
      </c>
      <c r="Q1791" s="5">
        <v>35</v>
      </c>
      <c r="R1791" s="5">
        <v>10</v>
      </c>
      <c r="S1791" s="5">
        <v>38</v>
      </c>
    </row>
    <row r="1792" spans="1:19" ht="28" x14ac:dyDescent="0.15">
      <c r="A1792" s="2">
        <f>HYPERLINK("https://open-school.uspishnemisto.com.ua/school/120220/", 120220)</f>
        <v>120220</v>
      </c>
      <c r="B1792" s="3" t="s">
        <v>9561</v>
      </c>
      <c r="C1792" s="3" t="s">
        <v>31</v>
      </c>
      <c r="D1792" s="3" t="s">
        <v>32</v>
      </c>
      <c r="E1792" s="4" t="s">
        <v>22</v>
      </c>
      <c r="F1792" s="4" t="s">
        <v>9562</v>
      </c>
      <c r="G1792" s="4" t="s">
        <v>9563</v>
      </c>
      <c r="H1792" s="3" t="s">
        <v>8487</v>
      </c>
      <c r="I1792" s="3" t="s">
        <v>9564</v>
      </c>
      <c r="J1792" s="3" t="s">
        <v>9565</v>
      </c>
      <c r="K1792" s="3" t="s">
        <v>9566</v>
      </c>
      <c r="L1792" s="3" t="s">
        <v>9567</v>
      </c>
      <c r="M1792" s="4" t="s">
        <v>9568</v>
      </c>
      <c r="N1792" s="3" t="s">
        <v>37</v>
      </c>
      <c r="O1792" s="3" t="s">
        <v>46</v>
      </c>
      <c r="P1792" s="5">
        <v>21</v>
      </c>
      <c r="Q1792" s="5">
        <v>563</v>
      </c>
      <c r="R1792" s="5">
        <v>21</v>
      </c>
      <c r="S1792" s="5">
        <v>545</v>
      </c>
    </row>
    <row r="1793" spans="1:19" ht="42" x14ac:dyDescent="0.15">
      <c r="A1793" s="2">
        <f>HYPERLINK("https://open-school.uspishnemisto.com.ua/school/120221/", 120221)</f>
        <v>120221</v>
      </c>
      <c r="B1793" s="3" t="s">
        <v>9569</v>
      </c>
      <c r="C1793" s="3" t="s">
        <v>54</v>
      </c>
      <c r="D1793" s="3" t="s">
        <v>32</v>
      </c>
      <c r="E1793" s="4" t="s">
        <v>22</v>
      </c>
      <c r="F1793" s="4" t="s">
        <v>9570</v>
      </c>
      <c r="G1793" s="4" t="s">
        <v>9571</v>
      </c>
      <c r="H1793" s="3" t="s">
        <v>8487</v>
      </c>
      <c r="I1793" s="3" t="s">
        <v>9572</v>
      </c>
      <c r="J1793" s="3" t="s">
        <v>908</v>
      </c>
      <c r="K1793" s="3" t="s">
        <v>9573</v>
      </c>
      <c r="L1793" s="3" t="s">
        <v>9574</v>
      </c>
      <c r="M1793" s="4"/>
      <c r="N1793" s="3" t="s">
        <v>37</v>
      </c>
      <c r="O1793" s="3" t="s">
        <v>38</v>
      </c>
      <c r="P1793" s="5">
        <v>21</v>
      </c>
      <c r="Q1793" s="5">
        <v>570</v>
      </c>
      <c r="R1793" s="5">
        <v>20</v>
      </c>
      <c r="S1793" s="5">
        <v>543</v>
      </c>
    </row>
    <row r="1794" spans="1:19" ht="28" x14ac:dyDescent="0.15">
      <c r="A1794" s="2">
        <f>HYPERLINK("https://open-school.uspishnemisto.com.ua/school/120222/", 120222)</f>
        <v>120222</v>
      </c>
      <c r="B1794" s="3" t="s">
        <v>9575</v>
      </c>
      <c r="C1794" s="3" t="s">
        <v>40</v>
      </c>
      <c r="D1794" s="3" t="s">
        <v>32</v>
      </c>
      <c r="E1794" s="4" t="s">
        <v>22</v>
      </c>
      <c r="F1794" s="4" t="s">
        <v>9576</v>
      </c>
      <c r="G1794" s="4" t="s">
        <v>9571</v>
      </c>
      <c r="H1794" s="3" t="s">
        <v>8487</v>
      </c>
      <c r="I1794" s="3" t="s">
        <v>9572</v>
      </c>
      <c r="J1794" s="3" t="s">
        <v>9577</v>
      </c>
      <c r="K1794" s="3" t="s">
        <v>9578</v>
      </c>
      <c r="L1794" s="3" t="s">
        <v>9579</v>
      </c>
      <c r="M1794" s="4"/>
      <c r="N1794" s="3" t="s">
        <v>37</v>
      </c>
      <c r="O1794" s="3" t="s">
        <v>2740</v>
      </c>
      <c r="P1794" s="5">
        <v>14</v>
      </c>
      <c r="Q1794" s="5">
        <v>376</v>
      </c>
      <c r="R1794" s="5">
        <v>14</v>
      </c>
      <c r="S1794" s="5">
        <v>360</v>
      </c>
    </row>
    <row r="1795" spans="1:19" ht="28" x14ac:dyDescent="0.15">
      <c r="A1795" s="2">
        <f>HYPERLINK("https://open-school.uspishnemisto.com.ua/school/120223/", 120223)</f>
        <v>120223</v>
      </c>
      <c r="B1795" s="3" t="s">
        <v>9580</v>
      </c>
      <c r="C1795" s="3" t="s">
        <v>31</v>
      </c>
      <c r="D1795" s="3" t="s">
        <v>32</v>
      </c>
      <c r="E1795" s="4" t="s">
        <v>22</v>
      </c>
      <c r="F1795" s="4" t="s">
        <v>9576</v>
      </c>
      <c r="G1795" s="4" t="s">
        <v>9571</v>
      </c>
      <c r="H1795" s="3" t="s">
        <v>8487</v>
      </c>
      <c r="I1795" s="3" t="s">
        <v>9572</v>
      </c>
      <c r="J1795" s="3" t="s">
        <v>9581</v>
      </c>
      <c r="K1795" s="3" t="s">
        <v>9582</v>
      </c>
      <c r="L1795" s="3" t="s">
        <v>9583</v>
      </c>
      <c r="M1795" s="4"/>
      <c r="N1795" s="3" t="s">
        <v>37</v>
      </c>
      <c r="O1795" s="3" t="s">
        <v>721</v>
      </c>
      <c r="P1795" s="5">
        <v>6</v>
      </c>
      <c r="Q1795" s="5">
        <v>145</v>
      </c>
      <c r="R1795" s="5">
        <v>7</v>
      </c>
      <c r="S1795" s="5">
        <v>176</v>
      </c>
    </row>
    <row r="1796" spans="1:19" ht="28" x14ac:dyDescent="0.15">
      <c r="A1796" s="2">
        <f>HYPERLINK("https://open-school.uspishnemisto.com.ua/school/120224/", 120224)</f>
        <v>120224</v>
      </c>
      <c r="B1796" s="3" t="s">
        <v>9584</v>
      </c>
      <c r="C1796" s="3" t="s">
        <v>31</v>
      </c>
      <c r="D1796" s="3" t="s">
        <v>32</v>
      </c>
      <c r="E1796" s="4" t="s">
        <v>22</v>
      </c>
      <c r="F1796" s="4" t="s">
        <v>9585</v>
      </c>
      <c r="G1796" s="4" t="s">
        <v>9571</v>
      </c>
      <c r="H1796" s="3" t="s">
        <v>8487</v>
      </c>
      <c r="I1796" s="3" t="s">
        <v>9572</v>
      </c>
      <c r="J1796" s="3" t="s">
        <v>9586</v>
      </c>
      <c r="K1796" s="3" t="s">
        <v>9587</v>
      </c>
      <c r="L1796" s="3" t="s">
        <v>9588</v>
      </c>
      <c r="M1796" s="4"/>
      <c r="N1796" s="3" t="s">
        <v>37</v>
      </c>
      <c r="O1796" s="3" t="s">
        <v>52</v>
      </c>
      <c r="P1796" s="5">
        <v>16</v>
      </c>
      <c r="Q1796" s="5">
        <v>452</v>
      </c>
      <c r="R1796" s="5">
        <v>18</v>
      </c>
      <c r="S1796" s="5">
        <v>467</v>
      </c>
    </row>
    <row r="1797" spans="1:19" ht="28" x14ac:dyDescent="0.15">
      <c r="A1797" s="2">
        <f>HYPERLINK("https://open-school.uspishnemisto.com.ua/school/120225/", 120225)</f>
        <v>120225</v>
      </c>
      <c r="B1797" s="3" t="s">
        <v>9589</v>
      </c>
      <c r="C1797" s="3" t="s">
        <v>31</v>
      </c>
      <c r="D1797" s="3" t="s">
        <v>32</v>
      </c>
      <c r="E1797" s="4" t="s">
        <v>22</v>
      </c>
      <c r="F1797" s="4" t="s">
        <v>9590</v>
      </c>
      <c r="G1797" s="4" t="s">
        <v>9571</v>
      </c>
      <c r="H1797" s="3" t="s">
        <v>8487</v>
      </c>
      <c r="I1797" s="3" t="s">
        <v>9572</v>
      </c>
      <c r="J1797" s="3" t="s">
        <v>9591</v>
      </c>
      <c r="K1797" s="3" t="s">
        <v>9592</v>
      </c>
      <c r="L1797" s="3" t="s">
        <v>9593</v>
      </c>
      <c r="M1797" s="4"/>
      <c r="N1797" s="3" t="s">
        <v>37</v>
      </c>
      <c r="O1797" s="3" t="s">
        <v>38</v>
      </c>
      <c r="P1797" s="5">
        <v>12</v>
      </c>
      <c r="Q1797" s="5">
        <v>333</v>
      </c>
      <c r="R1797" s="5">
        <v>13</v>
      </c>
      <c r="S1797" s="5">
        <v>345</v>
      </c>
    </row>
    <row r="1798" spans="1:19" ht="28" x14ac:dyDescent="0.15">
      <c r="A1798" s="2">
        <f>HYPERLINK("https://open-school.uspishnemisto.com.ua/school/120226/", 120226)</f>
        <v>120226</v>
      </c>
      <c r="B1798" s="3" t="s">
        <v>9594</v>
      </c>
      <c r="C1798" s="3" t="s">
        <v>174</v>
      </c>
      <c r="D1798" s="3" t="s">
        <v>175</v>
      </c>
      <c r="E1798" s="4" t="s">
        <v>22</v>
      </c>
      <c r="F1798" s="4" t="s">
        <v>9585</v>
      </c>
      <c r="G1798" s="4" t="s">
        <v>9571</v>
      </c>
      <c r="H1798" s="3" t="s">
        <v>8487</v>
      </c>
      <c r="I1798" s="3" t="s">
        <v>9572</v>
      </c>
      <c r="J1798" s="3" t="s">
        <v>9595</v>
      </c>
      <c r="K1798" s="3" t="s">
        <v>9596</v>
      </c>
      <c r="L1798" s="3" t="s">
        <v>9597</v>
      </c>
      <c r="M1798" s="4"/>
      <c r="N1798" s="3" t="s">
        <v>37</v>
      </c>
      <c r="O1798" s="3"/>
      <c r="P1798" s="5">
        <v>10</v>
      </c>
      <c r="Q1798" s="5">
        <v>69</v>
      </c>
      <c r="R1798" s="5">
        <v>10</v>
      </c>
      <c r="S1798" s="5">
        <v>71</v>
      </c>
    </row>
    <row r="1799" spans="1:19" ht="42" x14ac:dyDescent="0.15">
      <c r="A1799" s="2">
        <f>HYPERLINK("https://open-school.uspishnemisto.com.ua/school/120227/", 120227)</f>
        <v>120227</v>
      </c>
      <c r="B1799" s="3" t="s">
        <v>9598</v>
      </c>
      <c r="C1799" s="3" t="s">
        <v>188</v>
      </c>
      <c r="D1799" s="3" t="s">
        <v>32</v>
      </c>
      <c r="E1799" s="4" t="s">
        <v>22</v>
      </c>
      <c r="F1799" s="4" t="s">
        <v>9599</v>
      </c>
      <c r="G1799" s="4" t="s">
        <v>9571</v>
      </c>
      <c r="H1799" s="3" t="s">
        <v>8487</v>
      </c>
      <c r="I1799" s="3" t="s">
        <v>9572</v>
      </c>
      <c r="J1799" s="3" t="s">
        <v>9600</v>
      </c>
      <c r="K1799" s="3" t="s">
        <v>9601</v>
      </c>
      <c r="L1799" s="3" t="s">
        <v>9602</v>
      </c>
      <c r="M1799" s="4"/>
      <c r="N1799" s="3" t="s">
        <v>37</v>
      </c>
      <c r="O1799" s="3" t="s">
        <v>52</v>
      </c>
      <c r="P1799" s="5">
        <v>14</v>
      </c>
      <c r="Q1799" s="5">
        <v>379</v>
      </c>
      <c r="R1799" s="5">
        <v>13</v>
      </c>
      <c r="S1799" s="5">
        <v>335</v>
      </c>
    </row>
    <row r="1800" spans="1:19" ht="28" x14ac:dyDescent="0.15">
      <c r="A1800" s="2">
        <f>HYPERLINK("https://open-school.uspishnemisto.com.ua/school/120228/", 120228)</f>
        <v>120228</v>
      </c>
      <c r="B1800" s="3" t="s">
        <v>9603</v>
      </c>
      <c r="C1800" s="3" t="s">
        <v>54</v>
      </c>
      <c r="D1800" s="3" t="s">
        <v>32</v>
      </c>
      <c r="E1800" s="4" t="s">
        <v>22</v>
      </c>
      <c r="F1800" s="4" t="s">
        <v>9599</v>
      </c>
      <c r="G1800" s="4" t="s">
        <v>9571</v>
      </c>
      <c r="H1800" s="3" t="s">
        <v>8487</v>
      </c>
      <c r="I1800" s="3" t="s">
        <v>9572</v>
      </c>
      <c r="J1800" s="3" t="s">
        <v>9604</v>
      </c>
      <c r="K1800" s="3"/>
      <c r="L1800" s="3" t="s">
        <v>9605</v>
      </c>
      <c r="M1800" s="4"/>
      <c r="N1800" s="3" t="s">
        <v>37</v>
      </c>
      <c r="O1800" s="3" t="s">
        <v>46</v>
      </c>
      <c r="P1800" s="5">
        <v>20</v>
      </c>
      <c r="Q1800" s="5">
        <v>568</v>
      </c>
      <c r="R1800" s="5">
        <v>20</v>
      </c>
      <c r="S1800" s="5">
        <v>554</v>
      </c>
    </row>
    <row r="1801" spans="1:19" ht="42" x14ac:dyDescent="0.15">
      <c r="A1801" s="2">
        <f>HYPERLINK("https://open-school.uspishnemisto.com.ua/school/120229/", 120229)</f>
        <v>120229</v>
      </c>
      <c r="B1801" s="3" t="s">
        <v>9606</v>
      </c>
      <c r="C1801" s="3" t="s">
        <v>54</v>
      </c>
      <c r="D1801" s="3" t="s">
        <v>175</v>
      </c>
      <c r="E1801" s="4" t="s">
        <v>22</v>
      </c>
      <c r="F1801" s="4" t="s">
        <v>9607</v>
      </c>
      <c r="G1801" s="4" t="s">
        <v>9571</v>
      </c>
      <c r="H1801" s="3" t="s">
        <v>8487</v>
      </c>
      <c r="I1801" s="3" t="s">
        <v>9572</v>
      </c>
      <c r="J1801" s="3" t="s">
        <v>9608</v>
      </c>
      <c r="K1801" s="3" t="s">
        <v>9609</v>
      </c>
      <c r="L1801" s="3" t="s">
        <v>9610</v>
      </c>
      <c r="M1801" s="4"/>
      <c r="N1801" s="3" t="s">
        <v>37</v>
      </c>
      <c r="O1801" s="3" t="s">
        <v>38</v>
      </c>
      <c r="P1801" s="5">
        <v>8</v>
      </c>
      <c r="Q1801" s="5">
        <v>62</v>
      </c>
      <c r="R1801" s="5">
        <v>7</v>
      </c>
      <c r="S1801" s="5">
        <v>55</v>
      </c>
    </row>
    <row r="1802" spans="1:19" ht="28" x14ac:dyDescent="0.15">
      <c r="A1802" s="2">
        <f>HYPERLINK("https://open-school.uspishnemisto.com.ua/school/120230/", 120230)</f>
        <v>120230</v>
      </c>
      <c r="B1802" s="3" t="s">
        <v>9611</v>
      </c>
      <c r="C1802" s="3" t="s">
        <v>31</v>
      </c>
      <c r="D1802" s="3" t="s">
        <v>32</v>
      </c>
      <c r="E1802" s="4" t="s">
        <v>22</v>
      </c>
      <c r="F1802" s="4" t="s">
        <v>9590</v>
      </c>
      <c r="G1802" s="4" t="s">
        <v>9571</v>
      </c>
      <c r="H1802" s="3" t="s">
        <v>8487</v>
      </c>
      <c r="I1802" s="3" t="s">
        <v>9572</v>
      </c>
      <c r="J1802" s="3" t="s">
        <v>9612</v>
      </c>
      <c r="K1802" s="3" t="s">
        <v>9613</v>
      </c>
      <c r="L1802" s="3" t="s">
        <v>9614</v>
      </c>
      <c r="M1802" s="4"/>
      <c r="N1802" s="3" t="s">
        <v>967</v>
      </c>
      <c r="O1802" s="3" t="s">
        <v>2740</v>
      </c>
      <c r="P1802" s="5">
        <v>11</v>
      </c>
      <c r="Q1802" s="5">
        <v>299</v>
      </c>
      <c r="R1802" s="5">
        <v>11</v>
      </c>
      <c r="S1802" s="5">
        <v>294</v>
      </c>
    </row>
    <row r="1803" spans="1:19" ht="42" x14ac:dyDescent="0.15">
      <c r="A1803" s="2">
        <f>HYPERLINK("https://open-school.uspishnemisto.com.ua/school/120231/", 120231)</f>
        <v>120231</v>
      </c>
      <c r="B1803" s="3" t="s">
        <v>9615</v>
      </c>
      <c r="C1803" s="3" t="s">
        <v>31</v>
      </c>
      <c r="D1803" s="3" t="s">
        <v>32</v>
      </c>
      <c r="E1803" s="4" t="s">
        <v>22</v>
      </c>
      <c r="F1803" s="4" t="s">
        <v>9585</v>
      </c>
      <c r="G1803" s="4" t="s">
        <v>9571</v>
      </c>
      <c r="H1803" s="3" t="s">
        <v>8487</v>
      </c>
      <c r="I1803" s="3" t="s">
        <v>9572</v>
      </c>
      <c r="J1803" s="3" t="s">
        <v>9616</v>
      </c>
      <c r="K1803" s="3" t="s">
        <v>9617</v>
      </c>
      <c r="L1803" s="3" t="s">
        <v>9618</v>
      </c>
      <c r="M1803" s="4"/>
      <c r="N1803" s="3" t="s">
        <v>37</v>
      </c>
      <c r="O1803" s="3" t="s">
        <v>52</v>
      </c>
      <c r="P1803" s="5">
        <v>23</v>
      </c>
      <c r="Q1803" s="5">
        <v>641</v>
      </c>
      <c r="R1803" s="5">
        <v>23</v>
      </c>
      <c r="S1803" s="5">
        <v>647</v>
      </c>
    </row>
    <row r="1804" spans="1:19" ht="28" x14ac:dyDescent="0.15">
      <c r="A1804" s="2">
        <f>HYPERLINK("https://open-school.uspishnemisto.com.ua/school/120315/", 120315)</f>
        <v>120315</v>
      </c>
      <c r="B1804" s="3" t="s">
        <v>9619</v>
      </c>
      <c r="C1804" s="3" t="s">
        <v>31</v>
      </c>
      <c r="D1804" s="3" t="s">
        <v>175</v>
      </c>
      <c r="E1804" s="4" t="s">
        <v>22</v>
      </c>
      <c r="F1804" s="4" t="s">
        <v>9620</v>
      </c>
      <c r="G1804" s="4" t="s">
        <v>9621</v>
      </c>
      <c r="H1804" s="3" t="s">
        <v>8487</v>
      </c>
      <c r="I1804" s="3" t="s">
        <v>9622</v>
      </c>
      <c r="J1804" s="3" t="s">
        <v>9623</v>
      </c>
      <c r="K1804" s="3" t="s">
        <v>9624</v>
      </c>
      <c r="L1804" s="3"/>
      <c r="M1804" s="4"/>
      <c r="N1804" s="3" t="s">
        <v>37</v>
      </c>
      <c r="O1804" s="3" t="s">
        <v>38</v>
      </c>
      <c r="P1804" s="5">
        <v>11</v>
      </c>
      <c r="Q1804" s="5">
        <v>273</v>
      </c>
      <c r="R1804" s="5">
        <v>11</v>
      </c>
      <c r="S1804" s="5">
        <v>274</v>
      </c>
    </row>
    <row r="1805" spans="1:19" ht="56" x14ac:dyDescent="0.15">
      <c r="A1805" s="2">
        <f>HYPERLINK("https://open-school.uspishnemisto.com.ua/school/120236/", 120236)</f>
        <v>120236</v>
      </c>
      <c r="B1805" s="3" t="s">
        <v>9625</v>
      </c>
      <c r="C1805" s="3" t="s">
        <v>54</v>
      </c>
      <c r="D1805" s="3" t="s">
        <v>175</v>
      </c>
      <c r="E1805" s="4" t="s">
        <v>22</v>
      </c>
      <c r="F1805" s="4" t="s">
        <v>9626</v>
      </c>
      <c r="G1805" s="4" t="s">
        <v>9627</v>
      </c>
      <c r="H1805" s="3" t="s">
        <v>8487</v>
      </c>
      <c r="I1805" s="3" t="s">
        <v>9628</v>
      </c>
      <c r="J1805" s="3" t="s">
        <v>9629</v>
      </c>
      <c r="K1805" s="3" t="s">
        <v>9630</v>
      </c>
      <c r="L1805" s="3" t="s">
        <v>9631</v>
      </c>
      <c r="M1805" s="4"/>
      <c r="N1805" s="3" t="s">
        <v>37</v>
      </c>
      <c r="O1805" s="3" t="s">
        <v>38</v>
      </c>
      <c r="P1805" s="5">
        <v>9</v>
      </c>
      <c r="Q1805" s="5">
        <v>153</v>
      </c>
      <c r="R1805" s="5">
        <v>9</v>
      </c>
      <c r="S1805" s="5">
        <v>155</v>
      </c>
    </row>
    <row r="1806" spans="1:19" ht="28" x14ac:dyDescent="0.15">
      <c r="A1806" s="2">
        <f>HYPERLINK("https://open-school.uspishnemisto.com.ua/school/120237/", 120237)</f>
        <v>120237</v>
      </c>
      <c r="B1806" s="3" t="s">
        <v>9632</v>
      </c>
      <c r="C1806" s="3" t="s">
        <v>40</v>
      </c>
      <c r="D1806" s="3" t="s">
        <v>32</v>
      </c>
      <c r="E1806" s="4" t="s">
        <v>22</v>
      </c>
      <c r="F1806" s="4" t="s">
        <v>9633</v>
      </c>
      <c r="G1806" s="4" t="s">
        <v>9627</v>
      </c>
      <c r="H1806" s="3" t="s">
        <v>8487</v>
      </c>
      <c r="I1806" s="3" t="s">
        <v>9628</v>
      </c>
      <c r="J1806" s="3" t="s">
        <v>9634</v>
      </c>
      <c r="K1806" s="3" t="s">
        <v>9635</v>
      </c>
      <c r="L1806" s="3" t="s">
        <v>9636</v>
      </c>
      <c r="M1806" s="4"/>
      <c r="N1806" s="3" t="s">
        <v>128</v>
      </c>
      <c r="O1806" s="3" t="s">
        <v>721</v>
      </c>
      <c r="P1806" s="5">
        <v>29</v>
      </c>
      <c r="Q1806" s="5">
        <v>790</v>
      </c>
      <c r="R1806" s="5">
        <v>29</v>
      </c>
      <c r="S1806" s="5">
        <v>792</v>
      </c>
    </row>
    <row r="1807" spans="1:19" ht="42" x14ac:dyDescent="0.15">
      <c r="A1807" s="2">
        <f>HYPERLINK("https://open-school.uspishnemisto.com.ua/school/120238/", 120238)</f>
        <v>120238</v>
      </c>
      <c r="B1807" s="3" t="s">
        <v>9637</v>
      </c>
      <c r="C1807" s="3" t="s">
        <v>244</v>
      </c>
      <c r="D1807" s="3" t="s">
        <v>32</v>
      </c>
      <c r="E1807" s="4" t="s">
        <v>22</v>
      </c>
      <c r="F1807" s="4" t="s">
        <v>9638</v>
      </c>
      <c r="G1807" s="4" t="s">
        <v>9627</v>
      </c>
      <c r="H1807" s="3" t="s">
        <v>8487</v>
      </c>
      <c r="I1807" s="3" t="s">
        <v>9628</v>
      </c>
      <c r="J1807" s="3" t="s">
        <v>9639</v>
      </c>
      <c r="K1807" s="3" t="s">
        <v>9640</v>
      </c>
      <c r="L1807" s="3" t="s">
        <v>9641</v>
      </c>
      <c r="M1807" s="4"/>
      <c r="N1807" s="3" t="s">
        <v>967</v>
      </c>
      <c r="O1807" s="3" t="s">
        <v>123</v>
      </c>
      <c r="P1807" s="5">
        <v>30</v>
      </c>
      <c r="Q1807" s="5">
        <v>912</v>
      </c>
      <c r="R1807" s="5">
        <v>30</v>
      </c>
      <c r="S1807" s="5">
        <v>843</v>
      </c>
    </row>
    <row r="1808" spans="1:19" ht="28" x14ac:dyDescent="0.15">
      <c r="A1808" s="2">
        <f>HYPERLINK("https://open-school.uspishnemisto.com.ua/school/120239/", 120239)</f>
        <v>120239</v>
      </c>
      <c r="B1808" s="3" t="s">
        <v>9642</v>
      </c>
      <c r="C1808" s="3" t="s">
        <v>31</v>
      </c>
      <c r="D1808" s="3" t="s">
        <v>32</v>
      </c>
      <c r="E1808" s="4" t="s">
        <v>22</v>
      </c>
      <c r="F1808" s="4" t="s">
        <v>9643</v>
      </c>
      <c r="G1808" s="4" t="s">
        <v>9627</v>
      </c>
      <c r="H1808" s="3" t="s">
        <v>8487</v>
      </c>
      <c r="I1808" s="3" t="s">
        <v>9628</v>
      </c>
      <c r="J1808" s="3" t="s">
        <v>9644</v>
      </c>
      <c r="K1808" s="3" t="s">
        <v>9645</v>
      </c>
      <c r="L1808" s="3" t="s">
        <v>9646</v>
      </c>
      <c r="M1808" s="4"/>
      <c r="N1808" s="3" t="s">
        <v>967</v>
      </c>
      <c r="O1808" s="3" t="s">
        <v>237</v>
      </c>
      <c r="P1808" s="5">
        <v>40</v>
      </c>
      <c r="Q1808" s="5">
        <v>1115</v>
      </c>
      <c r="R1808" s="5">
        <v>40</v>
      </c>
      <c r="S1808" s="5">
        <v>1107</v>
      </c>
    </row>
    <row r="1809" spans="1:19" ht="42" x14ac:dyDescent="0.15">
      <c r="A1809" s="2">
        <f>HYPERLINK("https://open-school.uspishnemisto.com.ua/school/120240/", 120240)</f>
        <v>120240</v>
      </c>
      <c r="B1809" s="3" t="s">
        <v>9647</v>
      </c>
      <c r="C1809" s="3" t="s">
        <v>31</v>
      </c>
      <c r="D1809" s="3" t="s">
        <v>32</v>
      </c>
      <c r="E1809" s="4" t="s">
        <v>22</v>
      </c>
      <c r="F1809" s="4" t="s">
        <v>9648</v>
      </c>
      <c r="G1809" s="4" t="s">
        <v>9627</v>
      </c>
      <c r="H1809" s="3" t="s">
        <v>8487</v>
      </c>
      <c r="I1809" s="3" t="s">
        <v>9628</v>
      </c>
      <c r="J1809" s="3" t="s">
        <v>9649</v>
      </c>
      <c r="K1809" s="3" t="s">
        <v>9650</v>
      </c>
      <c r="L1809" s="3" t="s">
        <v>9651</v>
      </c>
      <c r="M1809" s="4"/>
      <c r="N1809" s="3" t="s">
        <v>128</v>
      </c>
      <c r="O1809" s="3" t="s">
        <v>38</v>
      </c>
      <c r="P1809" s="5">
        <v>31</v>
      </c>
      <c r="Q1809" s="5">
        <v>850</v>
      </c>
      <c r="R1809" s="5">
        <v>32</v>
      </c>
      <c r="S1809" s="5">
        <v>826</v>
      </c>
    </row>
    <row r="1810" spans="1:19" ht="28" x14ac:dyDescent="0.15">
      <c r="A1810" s="2">
        <f>HYPERLINK("https://open-school.uspishnemisto.com.ua/school/120241/", 120241)</f>
        <v>120241</v>
      </c>
      <c r="B1810" s="3" t="s">
        <v>9652</v>
      </c>
      <c r="C1810" s="3" t="s">
        <v>31</v>
      </c>
      <c r="D1810" s="3" t="s">
        <v>32</v>
      </c>
      <c r="E1810" s="4" t="s">
        <v>22</v>
      </c>
      <c r="F1810" s="4" t="s">
        <v>9653</v>
      </c>
      <c r="G1810" s="4" t="s">
        <v>9627</v>
      </c>
      <c r="H1810" s="3" t="s">
        <v>8487</v>
      </c>
      <c r="I1810" s="3" t="s">
        <v>9628</v>
      </c>
      <c r="J1810" s="3" t="s">
        <v>9654</v>
      </c>
      <c r="K1810" s="3" t="s">
        <v>9655</v>
      </c>
      <c r="L1810" s="3" t="s">
        <v>9656</v>
      </c>
      <c r="M1810" s="4"/>
      <c r="N1810" s="3" t="s">
        <v>128</v>
      </c>
      <c r="O1810" s="3" t="s">
        <v>70</v>
      </c>
      <c r="P1810" s="5">
        <v>24</v>
      </c>
      <c r="Q1810" s="5">
        <v>629</v>
      </c>
      <c r="R1810" s="5">
        <v>25</v>
      </c>
      <c r="S1810" s="5">
        <v>603</v>
      </c>
    </row>
    <row r="1811" spans="1:19" ht="28" x14ac:dyDescent="0.15">
      <c r="A1811" s="2">
        <f>HYPERLINK("https://open-school.uspishnemisto.com.ua/school/120242/", 120242)</f>
        <v>120242</v>
      </c>
      <c r="B1811" s="3" t="s">
        <v>9657</v>
      </c>
      <c r="C1811" s="3" t="s">
        <v>31</v>
      </c>
      <c r="D1811" s="3" t="s">
        <v>32</v>
      </c>
      <c r="E1811" s="4" t="s">
        <v>22</v>
      </c>
      <c r="F1811" s="4" t="s">
        <v>9653</v>
      </c>
      <c r="G1811" s="4" t="s">
        <v>9627</v>
      </c>
      <c r="H1811" s="3" t="s">
        <v>8487</v>
      </c>
      <c r="I1811" s="3" t="s">
        <v>9628</v>
      </c>
      <c r="J1811" s="3" t="s">
        <v>9658</v>
      </c>
      <c r="K1811" s="3" t="s">
        <v>9659</v>
      </c>
      <c r="L1811" s="3" t="s">
        <v>9660</v>
      </c>
      <c r="M1811" s="4"/>
      <c r="N1811" s="3" t="s">
        <v>37</v>
      </c>
      <c r="O1811" s="3" t="s">
        <v>38</v>
      </c>
      <c r="P1811" s="5">
        <v>11</v>
      </c>
      <c r="Q1811" s="5">
        <v>200</v>
      </c>
      <c r="R1811" s="5">
        <v>10</v>
      </c>
      <c r="S1811" s="5">
        <v>209</v>
      </c>
    </row>
    <row r="1812" spans="1:19" ht="28" x14ac:dyDescent="0.15">
      <c r="A1812" s="2">
        <f>HYPERLINK("https://open-school.uspishnemisto.com.ua/school/120243/", 120243)</f>
        <v>120243</v>
      </c>
      <c r="B1812" s="3" t="s">
        <v>9661</v>
      </c>
      <c r="C1812" s="3" t="s">
        <v>31</v>
      </c>
      <c r="D1812" s="3" t="s">
        <v>32</v>
      </c>
      <c r="E1812" s="4" t="s">
        <v>22</v>
      </c>
      <c r="F1812" s="4" t="s">
        <v>9662</v>
      </c>
      <c r="G1812" s="4" t="s">
        <v>9627</v>
      </c>
      <c r="H1812" s="3" t="s">
        <v>8487</v>
      </c>
      <c r="I1812" s="3" t="s">
        <v>9628</v>
      </c>
      <c r="J1812" s="3" t="s">
        <v>9663</v>
      </c>
      <c r="K1812" s="3" t="s">
        <v>9664</v>
      </c>
      <c r="L1812" s="3" t="s">
        <v>9665</v>
      </c>
      <c r="M1812" s="4"/>
      <c r="N1812" s="3" t="s">
        <v>37</v>
      </c>
      <c r="O1812" s="3" t="s">
        <v>38</v>
      </c>
      <c r="P1812" s="5">
        <v>18</v>
      </c>
      <c r="Q1812" s="5">
        <v>448</v>
      </c>
      <c r="R1812" s="5">
        <v>18</v>
      </c>
      <c r="S1812" s="5">
        <v>432</v>
      </c>
    </row>
    <row r="1813" spans="1:19" ht="28" x14ac:dyDescent="0.15">
      <c r="A1813" s="2">
        <f>HYPERLINK("https://open-school.uspishnemisto.com.ua/school/120244/", 120244)</f>
        <v>120244</v>
      </c>
      <c r="B1813" s="3" t="s">
        <v>9666</v>
      </c>
      <c r="C1813" s="3" t="s">
        <v>31</v>
      </c>
      <c r="D1813" s="3" t="s">
        <v>32</v>
      </c>
      <c r="E1813" s="4" t="s">
        <v>22</v>
      </c>
      <c r="F1813" s="4" t="s">
        <v>9667</v>
      </c>
      <c r="G1813" s="4" t="s">
        <v>9627</v>
      </c>
      <c r="H1813" s="3" t="s">
        <v>8487</v>
      </c>
      <c r="I1813" s="3" t="s">
        <v>9628</v>
      </c>
      <c r="J1813" s="3" t="s">
        <v>9668</v>
      </c>
      <c r="K1813" s="3" t="s">
        <v>9669</v>
      </c>
      <c r="L1813" s="3"/>
      <c r="M1813" s="4"/>
      <c r="N1813" s="3" t="s">
        <v>37</v>
      </c>
      <c r="O1813" s="3" t="s">
        <v>70</v>
      </c>
      <c r="P1813" s="5">
        <v>25</v>
      </c>
      <c r="Q1813" s="5">
        <v>611</v>
      </c>
      <c r="R1813" s="5">
        <v>25</v>
      </c>
      <c r="S1813" s="5">
        <v>577</v>
      </c>
    </row>
    <row r="1814" spans="1:19" ht="42" x14ac:dyDescent="0.15">
      <c r="A1814" s="2">
        <f>HYPERLINK("https://open-school.uspishnemisto.com.ua/school/120245/", 120245)</f>
        <v>120245</v>
      </c>
      <c r="B1814" s="3" t="s">
        <v>9670</v>
      </c>
      <c r="C1814" s="3" t="s">
        <v>31</v>
      </c>
      <c r="D1814" s="3" t="s">
        <v>32</v>
      </c>
      <c r="E1814" s="4" t="s">
        <v>22</v>
      </c>
      <c r="F1814" s="4" t="s">
        <v>9643</v>
      </c>
      <c r="G1814" s="4" t="s">
        <v>9627</v>
      </c>
      <c r="H1814" s="3" t="s">
        <v>8487</v>
      </c>
      <c r="I1814" s="3" t="s">
        <v>9628</v>
      </c>
      <c r="J1814" s="3" t="s">
        <v>9671</v>
      </c>
      <c r="K1814" s="3" t="s">
        <v>9672</v>
      </c>
      <c r="L1814" s="3" t="s">
        <v>9673</v>
      </c>
      <c r="M1814" s="4"/>
      <c r="N1814" s="3" t="s">
        <v>967</v>
      </c>
      <c r="O1814" s="3" t="s">
        <v>237</v>
      </c>
      <c r="P1814" s="5">
        <v>11</v>
      </c>
      <c r="Q1814" s="5">
        <v>283</v>
      </c>
      <c r="R1814" s="5">
        <v>11</v>
      </c>
      <c r="S1814" s="5">
        <v>268</v>
      </c>
    </row>
    <row r="1815" spans="1:19" ht="28" x14ac:dyDescent="0.15">
      <c r="A1815" s="2">
        <f>HYPERLINK("https://open-school.uspishnemisto.com.ua/school/120246/", 120246)</f>
        <v>120246</v>
      </c>
      <c r="B1815" s="3" t="s">
        <v>9674</v>
      </c>
      <c r="C1815" s="3" t="s">
        <v>31</v>
      </c>
      <c r="D1815" s="3" t="s">
        <v>32</v>
      </c>
      <c r="E1815" s="4" t="s">
        <v>22</v>
      </c>
      <c r="F1815" s="4" t="s">
        <v>9643</v>
      </c>
      <c r="G1815" s="4" t="s">
        <v>9627</v>
      </c>
      <c r="H1815" s="3" t="s">
        <v>8487</v>
      </c>
      <c r="I1815" s="3" t="s">
        <v>9628</v>
      </c>
      <c r="J1815" s="3" t="s">
        <v>9675</v>
      </c>
      <c r="K1815" s="3" t="s">
        <v>9676</v>
      </c>
      <c r="L1815" s="3" t="s">
        <v>9677</v>
      </c>
      <c r="M1815" s="4"/>
      <c r="N1815" s="3" t="s">
        <v>37</v>
      </c>
      <c r="O1815" s="3" t="s">
        <v>38</v>
      </c>
      <c r="P1815" s="5">
        <v>15</v>
      </c>
      <c r="Q1815" s="5">
        <v>409</v>
      </c>
      <c r="R1815" s="5">
        <v>14</v>
      </c>
      <c r="S1815" s="5">
        <v>383</v>
      </c>
    </row>
    <row r="1816" spans="1:19" ht="42" x14ac:dyDescent="0.15">
      <c r="A1816" s="2">
        <f>HYPERLINK("https://open-school.uspishnemisto.com.ua/school/120247/", 120247)</f>
        <v>120247</v>
      </c>
      <c r="B1816" s="3" t="s">
        <v>9678</v>
      </c>
      <c r="C1816" s="3" t="s">
        <v>20</v>
      </c>
      <c r="D1816" s="3" t="s">
        <v>21</v>
      </c>
      <c r="E1816" s="4" t="s">
        <v>22</v>
      </c>
      <c r="F1816" s="4" t="s">
        <v>9679</v>
      </c>
      <c r="G1816" s="4" t="s">
        <v>9627</v>
      </c>
      <c r="H1816" s="3" t="s">
        <v>8487</v>
      </c>
      <c r="I1816" s="3" t="s">
        <v>9628</v>
      </c>
      <c r="J1816" s="3" t="s">
        <v>9680</v>
      </c>
      <c r="K1816" s="3" t="s">
        <v>9681</v>
      </c>
      <c r="L1816" s="3" t="s">
        <v>9682</v>
      </c>
      <c r="M1816" s="4"/>
      <c r="N1816" s="3"/>
      <c r="O1816" s="3"/>
      <c r="P1816" s="5">
        <v>0</v>
      </c>
      <c r="Q1816" s="5">
        <v>0</v>
      </c>
      <c r="R1816" s="5">
        <v>0</v>
      </c>
      <c r="S1816" s="5">
        <v>0</v>
      </c>
    </row>
    <row r="1817" spans="1:19" ht="28" x14ac:dyDescent="0.15">
      <c r="A1817" s="2">
        <f>HYPERLINK("https://open-school.uspishnemisto.com.ua/school/120248/", 120248)</f>
        <v>120248</v>
      </c>
      <c r="B1817" s="3" t="s">
        <v>9683</v>
      </c>
      <c r="C1817" s="3" t="s">
        <v>293</v>
      </c>
      <c r="D1817" s="3" t="s">
        <v>175</v>
      </c>
      <c r="E1817" s="4" t="s">
        <v>22</v>
      </c>
      <c r="F1817" s="4" t="s">
        <v>9633</v>
      </c>
      <c r="G1817" s="4" t="s">
        <v>9627</v>
      </c>
      <c r="H1817" s="3" t="s">
        <v>8487</v>
      </c>
      <c r="I1817" s="3" t="s">
        <v>9628</v>
      </c>
      <c r="J1817" s="3" t="s">
        <v>9684</v>
      </c>
      <c r="K1817" s="3" t="s">
        <v>9685</v>
      </c>
      <c r="L1817" s="3" t="s">
        <v>9686</v>
      </c>
      <c r="M1817" s="4"/>
      <c r="N1817" s="3" t="s">
        <v>37</v>
      </c>
      <c r="O1817" s="3" t="s">
        <v>52</v>
      </c>
      <c r="P1817" s="5">
        <v>7</v>
      </c>
      <c r="Q1817" s="5">
        <v>116</v>
      </c>
      <c r="R1817" s="5">
        <v>4</v>
      </c>
      <c r="S1817" s="5">
        <v>61</v>
      </c>
    </row>
    <row r="1818" spans="1:19" ht="28" x14ac:dyDescent="0.15">
      <c r="A1818" s="2">
        <f>HYPERLINK("https://open-school.uspishnemisto.com.ua/school/120249/", 120249)</f>
        <v>120249</v>
      </c>
      <c r="B1818" s="3" t="s">
        <v>9687</v>
      </c>
      <c r="C1818" s="3" t="s">
        <v>188</v>
      </c>
      <c r="D1818" s="3" t="s">
        <v>32</v>
      </c>
      <c r="E1818" s="4" t="s">
        <v>22</v>
      </c>
      <c r="F1818" s="4" t="s">
        <v>9688</v>
      </c>
      <c r="G1818" s="4" t="s">
        <v>9627</v>
      </c>
      <c r="H1818" s="3" t="s">
        <v>8487</v>
      </c>
      <c r="I1818" s="3" t="s">
        <v>9628</v>
      </c>
      <c r="J1818" s="3" t="s">
        <v>9689</v>
      </c>
      <c r="K1818" s="3" t="s">
        <v>9690</v>
      </c>
      <c r="L1818" s="3" t="s">
        <v>9691</v>
      </c>
      <c r="M1818" s="4"/>
      <c r="N1818" s="3" t="s">
        <v>37</v>
      </c>
      <c r="O1818" s="3" t="s">
        <v>70</v>
      </c>
      <c r="P1818" s="5">
        <v>23</v>
      </c>
      <c r="Q1818" s="5">
        <v>651</v>
      </c>
      <c r="R1818" s="5">
        <v>22</v>
      </c>
      <c r="S1818" s="5">
        <v>601</v>
      </c>
    </row>
    <row r="1819" spans="1:19" ht="28" x14ac:dyDescent="0.15">
      <c r="A1819" s="2">
        <f>HYPERLINK("https://open-school.uspishnemisto.com.ua/school/120250/", 120250)</f>
        <v>120250</v>
      </c>
      <c r="B1819" s="3" t="s">
        <v>9692</v>
      </c>
      <c r="C1819" s="3" t="s">
        <v>31</v>
      </c>
      <c r="D1819" s="3" t="s">
        <v>32</v>
      </c>
      <c r="E1819" s="4" t="s">
        <v>22</v>
      </c>
      <c r="F1819" s="4" t="s">
        <v>9693</v>
      </c>
      <c r="G1819" s="4" t="s">
        <v>9694</v>
      </c>
      <c r="H1819" s="3" t="s">
        <v>8487</v>
      </c>
      <c r="I1819" s="3" t="s">
        <v>9695</v>
      </c>
      <c r="J1819" s="3" t="s">
        <v>9696</v>
      </c>
      <c r="K1819" s="3" t="s">
        <v>9697</v>
      </c>
      <c r="L1819" s="3" t="s">
        <v>9698</v>
      </c>
      <c r="M1819" s="4"/>
      <c r="N1819" s="3" t="s">
        <v>37</v>
      </c>
      <c r="O1819" s="3" t="s">
        <v>70</v>
      </c>
      <c r="P1819" s="5">
        <v>43</v>
      </c>
      <c r="Q1819" s="5">
        <v>1259</v>
      </c>
      <c r="R1819" s="5">
        <v>42</v>
      </c>
      <c r="S1819" s="5">
        <v>1220</v>
      </c>
    </row>
    <row r="1820" spans="1:19" ht="28" x14ac:dyDescent="0.15">
      <c r="A1820" s="2">
        <f>HYPERLINK("https://open-school.uspishnemisto.com.ua/school/120251/", 120251)</f>
        <v>120251</v>
      </c>
      <c r="B1820" s="3" t="s">
        <v>9699</v>
      </c>
      <c r="C1820" s="3" t="s">
        <v>31</v>
      </c>
      <c r="D1820" s="3" t="s">
        <v>32</v>
      </c>
      <c r="E1820" s="4" t="s">
        <v>22</v>
      </c>
      <c r="F1820" s="4" t="s">
        <v>9700</v>
      </c>
      <c r="G1820" s="4" t="s">
        <v>9694</v>
      </c>
      <c r="H1820" s="3" t="s">
        <v>8487</v>
      </c>
      <c r="I1820" s="3" t="s">
        <v>9695</v>
      </c>
      <c r="J1820" s="3" t="s">
        <v>9701</v>
      </c>
      <c r="K1820" s="3" t="s">
        <v>9702</v>
      </c>
      <c r="L1820" s="3" t="s">
        <v>9703</v>
      </c>
      <c r="M1820" s="4"/>
      <c r="N1820" s="3" t="s">
        <v>37</v>
      </c>
      <c r="O1820" s="3" t="s">
        <v>38</v>
      </c>
      <c r="P1820" s="5">
        <v>23</v>
      </c>
      <c r="Q1820" s="5">
        <v>632</v>
      </c>
      <c r="R1820" s="5">
        <v>24</v>
      </c>
      <c r="S1820" s="5">
        <v>669</v>
      </c>
    </row>
    <row r="1821" spans="1:19" ht="28" x14ac:dyDescent="0.15">
      <c r="A1821" s="2">
        <f>HYPERLINK("https://open-school.uspishnemisto.com.ua/school/120252/", 120252)</f>
        <v>120252</v>
      </c>
      <c r="B1821" s="3" t="s">
        <v>9704</v>
      </c>
      <c r="C1821" s="3" t="s">
        <v>31</v>
      </c>
      <c r="D1821" s="3" t="s">
        <v>32</v>
      </c>
      <c r="E1821" s="4" t="s">
        <v>22</v>
      </c>
      <c r="F1821" s="4" t="s">
        <v>9705</v>
      </c>
      <c r="G1821" s="4" t="s">
        <v>9694</v>
      </c>
      <c r="H1821" s="3" t="s">
        <v>8487</v>
      </c>
      <c r="I1821" s="3" t="s">
        <v>9695</v>
      </c>
      <c r="J1821" s="3" t="s">
        <v>9706</v>
      </c>
      <c r="K1821" s="3" t="s">
        <v>9707</v>
      </c>
      <c r="L1821" s="3" t="s">
        <v>9708</v>
      </c>
      <c r="M1821" s="4"/>
      <c r="N1821" s="3" t="s">
        <v>128</v>
      </c>
      <c r="O1821" s="3" t="s">
        <v>46</v>
      </c>
      <c r="P1821" s="5">
        <v>24</v>
      </c>
      <c r="Q1821" s="5">
        <v>635</v>
      </c>
      <c r="R1821" s="5">
        <v>23</v>
      </c>
      <c r="S1821" s="5">
        <v>626</v>
      </c>
    </row>
    <row r="1822" spans="1:19" ht="28" x14ac:dyDescent="0.15">
      <c r="A1822" s="2">
        <f>HYPERLINK("https://open-school.uspishnemisto.com.ua/school/120253/", 120253)</f>
        <v>120253</v>
      </c>
      <c r="B1822" s="3" t="s">
        <v>9709</v>
      </c>
      <c r="C1822" s="3" t="s">
        <v>31</v>
      </c>
      <c r="D1822" s="3" t="s">
        <v>32</v>
      </c>
      <c r="E1822" s="4" t="s">
        <v>22</v>
      </c>
      <c r="F1822" s="4" t="s">
        <v>9710</v>
      </c>
      <c r="G1822" s="4" t="s">
        <v>9694</v>
      </c>
      <c r="H1822" s="3" t="s">
        <v>8487</v>
      </c>
      <c r="I1822" s="3" t="s">
        <v>9695</v>
      </c>
      <c r="J1822" s="3" t="s">
        <v>9711</v>
      </c>
      <c r="K1822" s="3" t="s">
        <v>9712</v>
      </c>
      <c r="L1822" s="3" t="s">
        <v>9713</v>
      </c>
      <c r="M1822" s="4"/>
      <c r="N1822" s="3" t="s">
        <v>128</v>
      </c>
      <c r="O1822" s="3" t="s">
        <v>70</v>
      </c>
      <c r="P1822" s="5">
        <v>10</v>
      </c>
      <c r="Q1822" s="5">
        <v>209</v>
      </c>
      <c r="R1822" s="5">
        <v>10</v>
      </c>
      <c r="S1822" s="5">
        <v>206</v>
      </c>
    </row>
    <row r="1823" spans="1:19" ht="56" x14ac:dyDescent="0.15">
      <c r="A1823" s="2">
        <f>HYPERLINK("https://open-school.uspishnemisto.com.ua/school/120254/", 120254)</f>
        <v>120254</v>
      </c>
      <c r="B1823" s="3" t="s">
        <v>9714</v>
      </c>
      <c r="C1823" s="3" t="s">
        <v>54</v>
      </c>
      <c r="D1823" s="3" t="s">
        <v>32</v>
      </c>
      <c r="E1823" s="4" t="s">
        <v>22</v>
      </c>
      <c r="F1823" s="4" t="s">
        <v>9715</v>
      </c>
      <c r="G1823" s="4" t="s">
        <v>9694</v>
      </c>
      <c r="H1823" s="3" t="s">
        <v>8487</v>
      </c>
      <c r="I1823" s="3" t="s">
        <v>9695</v>
      </c>
      <c r="J1823" s="3" t="s">
        <v>9716</v>
      </c>
      <c r="K1823" s="3" t="s">
        <v>9717</v>
      </c>
      <c r="L1823" s="3" t="s">
        <v>9718</v>
      </c>
      <c r="M1823" s="4"/>
      <c r="N1823" s="3" t="s">
        <v>128</v>
      </c>
      <c r="O1823" s="3" t="s">
        <v>46</v>
      </c>
      <c r="P1823" s="5">
        <v>15</v>
      </c>
      <c r="Q1823" s="5">
        <v>390</v>
      </c>
      <c r="R1823" s="5">
        <v>15</v>
      </c>
      <c r="S1823" s="5">
        <v>380</v>
      </c>
    </row>
    <row r="1824" spans="1:19" ht="28" x14ac:dyDescent="0.15">
      <c r="A1824" s="2">
        <f>HYPERLINK("https://open-school.uspishnemisto.com.ua/school/120255/", 120255)</f>
        <v>120255</v>
      </c>
      <c r="B1824" s="3" t="s">
        <v>9719</v>
      </c>
      <c r="C1824" s="3" t="s">
        <v>31</v>
      </c>
      <c r="D1824" s="3" t="s">
        <v>32</v>
      </c>
      <c r="E1824" s="4" t="s">
        <v>22</v>
      </c>
      <c r="F1824" s="4" t="s">
        <v>9705</v>
      </c>
      <c r="G1824" s="4" t="s">
        <v>9694</v>
      </c>
      <c r="H1824" s="3" t="s">
        <v>8487</v>
      </c>
      <c r="I1824" s="3" t="s">
        <v>9695</v>
      </c>
      <c r="J1824" s="3" t="s">
        <v>9720</v>
      </c>
      <c r="K1824" s="3" t="s">
        <v>9721</v>
      </c>
      <c r="L1824" s="3" t="s">
        <v>9722</v>
      </c>
      <c r="M1824" s="4"/>
      <c r="N1824" s="3" t="s">
        <v>967</v>
      </c>
      <c r="O1824" s="3" t="s">
        <v>46</v>
      </c>
      <c r="P1824" s="5">
        <v>22</v>
      </c>
      <c r="Q1824" s="5">
        <v>595</v>
      </c>
      <c r="R1824" s="5">
        <v>23</v>
      </c>
      <c r="S1824" s="5">
        <v>585</v>
      </c>
    </row>
    <row r="1825" spans="1:19" ht="28" x14ac:dyDescent="0.15">
      <c r="A1825" s="2">
        <f>HYPERLINK("https://open-school.uspishnemisto.com.ua/school/120256/", 120256)</f>
        <v>120256</v>
      </c>
      <c r="B1825" s="3" t="s">
        <v>9723</v>
      </c>
      <c r="C1825" s="3" t="s">
        <v>31</v>
      </c>
      <c r="D1825" s="3" t="s">
        <v>175</v>
      </c>
      <c r="E1825" s="4" t="s">
        <v>22</v>
      </c>
      <c r="F1825" s="4" t="s">
        <v>9724</v>
      </c>
      <c r="G1825" s="4" t="s">
        <v>9694</v>
      </c>
      <c r="H1825" s="3" t="s">
        <v>8487</v>
      </c>
      <c r="I1825" s="3" t="s">
        <v>9695</v>
      </c>
      <c r="J1825" s="3" t="s">
        <v>9725</v>
      </c>
      <c r="K1825" s="3" t="s">
        <v>9726</v>
      </c>
      <c r="L1825" s="3" t="s">
        <v>9727</v>
      </c>
      <c r="M1825" s="4"/>
      <c r="N1825" s="3" t="s">
        <v>967</v>
      </c>
      <c r="O1825" s="3" t="s">
        <v>46</v>
      </c>
      <c r="P1825" s="5">
        <v>10</v>
      </c>
      <c r="Q1825" s="5">
        <v>206</v>
      </c>
      <c r="R1825" s="5">
        <v>10</v>
      </c>
      <c r="S1825" s="5">
        <v>214</v>
      </c>
    </row>
    <row r="1826" spans="1:19" ht="28" x14ac:dyDescent="0.15">
      <c r="A1826" s="2">
        <f>HYPERLINK("https://open-school.uspishnemisto.com.ua/school/120257/", 120257)</f>
        <v>120257</v>
      </c>
      <c r="B1826" s="3" t="s">
        <v>9728</v>
      </c>
      <c r="C1826" s="3" t="s">
        <v>31</v>
      </c>
      <c r="D1826" s="3" t="s">
        <v>32</v>
      </c>
      <c r="E1826" s="4" t="s">
        <v>22</v>
      </c>
      <c r="F1826" s="4" t="s">
        <v>9729</v>
      </c>
      <c r="G1826" s="4" t="s">
        <v>9694</v>
      </c>
      <c r="H1826" s="3" t="s">
        <v>8487</v>
      </c>
      <c r="I1826" s="3" t="s">
        <v>9695</v>
      </c>
      <c r="J1826" s="3" t="s">
        <v>9730</v>
      </c>
      <c r="K1826" s="3" t="s">
        <v>9731</v>
      </c>
      <c r="L1826" s="3" t="s">
        <v>9732</v>
      </c>
      <c r="M1826" s="4"/>
      <c r="N1826" s="3" t="s">
        <v>37</v>
      </c>
      <c r="O1826" s="3" t="s">
        <v>38</v>
      </c>
      <c r="P1826" s="5">
        <v>19</v>
      </c>
      <c r="Q1826" s="5">
        <v>503</v>
      </c>
      <c r="R1826" s="5">
        <v>19</v>
      </c>
      <c r="S1826" s="5">
        <v>516</v>
      </c>
    </row>
    <row r="1827" spans="1:19" ht="28" x14ac:dyDescent="0.15">
      <c r="A1827" s="2">
        <f>HYPERLINK("https://open-school.uspishnemisto.com.ua/school/120258/", 120258)</f>
        <v>120258</v>
      </c>
      <c r="B1827" s="3" t="s">
        <v>9733</v>
      </c>
      <c r="C1827" s="3" t="s">
        <v>31</v>
      </c>
      <c r="D1827" s="3" t="s">
        <v>32</v>
      </c>
      <c r="E1827" s="4" t="s">
        <v>22</v>
      </c>
      <c r="F1827" s="4" t="s">
        <v>9724</v>
      </c>
      <c r="G1827" s="4" t="s">
        <v>9694</v>
      </c>
      <c r="H1827" s="3" t="s">
        <v>8487</v>
      </c>
      <c r="I1827" s="3" t="s">
        <v>9695</v>
      </c>
      <c r="J1827" s="3" t="s">
        <v>9734</v>
      </c>
      <c r="K1827" s="3" t="s">
        <v>9735</v>
      </c>
      <c r="L1827" s="3" t="s">
        <v>9736</v>
      </c>
      <c r="M1827" s="4"/>
      <c r="N1827" s="3" t="s">
        <v>37</v>
      </c>
      <c r="O1827" s="3" t="s">
        <v>52</v>
      </c>
      <c r="P1827" s="5">
        <v>16</v>
      </c>
      <c r="Q1827" s="5">
        <v>407</v>
      </c>
      <c r="R1827" s="5">
        <v>17</v>
      </c>
      <c r="S1827" s="5">
        <v>415</v>
      </c>
    </row>
    <row r="1828" spans="1:19" ht="28" x14ac:dyDescent="0.15">
      <c r="A1828" s="2">
        <f>HYPERLINK("https://open-school.uspishnemisto.com.ua/school/120259/", 120259)</f>
        <v>120259</v>
      </c>
      <c r="B1828" s="3" t="s">
        <v>9737</v>
      </c>
      <c r="C1828" s="3" t="s">
        <v>31</v>
      </c>
      <c r="D1828" s="3" t="s">
        <v>32</v>
      </c>
      <c r="E1828" s="4" t="s">
        <v>22</v>
      </c>
      <c r="F1828" s="4" t="s">
        <v>9738</v>
      </c>
      <c r="G1828" s="4" t="s">
        <v>9694</v>
      </c>
      <c r="H1828" s="3" t="s">
        <v>8487</v>
      </c>
      <c r="I1828" s="3" t="s">
        <v>9695</v>
      </c>
      <c r="J1828" s="3" t="s">
        <v>9739</v>
      </c>
      <c r="K1828" s="3" t="s">
        <v>9740</v>
      </c>
      <c r="L1828" s="3" t="s">
        <v>9741</v>
      </c>
      <c r="M1828" s="4"/>
      <c r="N1828" s="3" t="s">
        <v>967</v>
      </c>
      <c r="O1828" s="3" t="s">
        <v>46</v>
      </c>
      <c r="P1828" s="5">
        <v>32</v>
      </c>
      <c r="Q1828" s="5">
        <v>871</v>
      </c>
      <c r="R1828" s="5">
        <v>30</v>
      </c>
      <c r="S1828" s="5">
        <v>832</v>
      </c>
    </row>
    <row r="1829" spans="1:19" ht="28" x14ac:dyDescent="0.15">
      <c r="A1829" s="2">
        <f>HYPERLINK("https://open-school.uspishnemisto.com.ua/school/120260/", 120260)</f>
        <v>120260</v>
      </c>
      <c r="B1829" s="3" t="s">
        <v>9742</v>
      </c>
      <c r="C1829" s="3" t="s">
        <v>31</v>
      </c>
      <c r="D1829" s="3" t="s">
        <v>32</v>
      </c>
      <c r="E1829" s="4" t="s">
        <v>22</v>
      </c>
      <c r="F1829" s="4" t="s">
        <v>9738</v>
      </c>
      <c r="G1829" s="4" t="s">
        <v>9694</v>
      </c>
      <c r="H1829" s="3" t="s">
        <v>8487</v>
      </c>
      <c r="I1829" s="3" t="s">
        <v>9695</v>
      </c>
      <c r="J1829" s="3" t="s">
        <v>9743</v>
      </c>
      <c r="K1829" s="3" t="s">
        <v>9744</v>
      </c>
      <c r="L1829" s="3" t="s">
        <v>9745</v>
      </c>
      <c r="M1829" s="4"/>
      <c r="N1829" s="3" t="s">
        <v>37</v>
      </c>
      <c r="O1829" s="3" t="s">
        <v>46</v>
      </c>
      <c r="P1829" s="5">
        <v>32</v>
      </c>
      <c r="Q1829" s="5">
        <v>918</v>
      </c>
      <c r="R1829" s="5">
        <v>33</v>
      </c>
      <c r="S1829" s="5">
        <v>952</v>
      </c>
    </row>
    <row r="1830" spans="1:19" ht="28" x14ac:dyDescent="0.15">
      <c r="A1830" s="2">
        <f>HYPERLINK("https://open-school.uspishnemisto.com.ua/school/120261/", 120261)</f>
        <v>120261</v>
      </c>
      <c r="B1830" s="3" t="s">
        <v>9746</v>
      </c>
      <c r="C1830" s="3" t="s">
        <v>40</v>
      </c>
      <c r="D1830" s="3" t="s">
        <v>32</v>
      </c>
      <c r="E1830" s="4" t="s">
        <v>22</v>
      </c>
      <c r="F1830" s="4" t="s">
        <v>9705</v>
      </c>
      <c r="G1830" s="4" t="s">
        <v>9694</v>
      </c>
      <c r="H1830" s="3" t="s">
        <v>8487</v>
      </c>
      <c r="I1830" s="3" t="s">
        <v>9695</v>
      </c>
      <c r="J1830" s="3" t="s">
        <v>9747</v>
      </c>
      <c r="K1830" s="3" t="s">
        <v>9748</v>
      </c>
      <c r="L1830" s="3" t="s">
        <v>9749</v>
      </c>
      <c r="M1830" s="4"/>
      <c r="N1830" s="3" t="s">
        <v>37</v>
      </c>
      <c r="O1830" s="3" t="s">
        <v>52</v>
      </c>
      <c r="P1830" s="5">
        <v>23</v>
      </c>
      <c r="Q1830" s="5">
        <v>672</v>
      </c>
      <c r="R1830" s="5">
        <v>23</v>
      </c>
      <c r="S1830" s="5">
        <v>664</v>
      </c>
    </row>
    <row r="1831" spans="1:19" ht="42" x14ac:dyDescent="0.15">
      <c r="A1831" s="2">
        <f>HYPERLINK("https://open-school.uspishnemisto.com.ua/school/120262/", 120262)</f>
        <v>120262</v>
      </c>
      <c r="B1831" s="3" t="s">
        <v>9750</v>
      </c>
      <c r="C1831" s="3" t="s">
        <v>244</v>
      </c>
      <c r="D1831" s="3" t="s">
        <v>32</v>
      </c>
      <c r="E1831" s="4" t="s">
        <v>22</v>
      </c>
      <c r="F1831" s="4" t="s">
        <v>9700</v>
      </c>
      <c r="G1831" s="4" t="s">
        <v>9694</v>
      </c>
      <c r="H1831" s="3" t="s">
        <v>8487</v>
      </c>
      <c r="I1831" s="3" t="s">
        <v>9695</v>
      </c>
      <c r="J1831" s="3" t="s">
        <v>9751</v>
      </c>
      <c r="K1831" s="3" t="s">
        <v>9752</v>
      </c>
      <c r="L1831" s="3" t="s">
        <v>9753</v>
      </c>
      <c r="M1831" s="4"/>
      <c r="N1831" s="3" t="s">
        <v>37</v>
      </c>
      <c r="O1831" s="3" t="s">
        <v>70</v>
      </c>
      <c r="P1831" s="5">
        <v>19</v>
      </c>
      <c r="Q1831" s="5">
        <v>481</v>
      </c>
      <c r="R1831" s="5">
        <v>18</v>
      </c>
      <c r="S1831" s="5">
        <v>440</v>
      </c>
    </row>
    <row r="1832" spans="1:19" ht="42" x14ac:dyDescent="0.15">
      <c r="A1832" s="2">
        <f>HYPERLINK("https://open-school.uspishnemisto.com.ua/school/120263/", 120263)</f>
        <v>120263</v>
      </c>
      <c r="B1832" s="3" t="s">
        <v>9754</v>
      </c>
      <c r="C1832" s="3" t="s">
        <v>54</v>
      </c>
      <c r="D1832" s="3" t="s">
        <v>21</v>
      </c>
      <c r="E1832" s="4" t="s">
        <v>22</v>
      </c>
      <c r="F1832" s="4" t="s">
        <v>9700</v>
      </c>
      <c r="G1832" s="4" t="s">
        <v>9694</v>
      </c>
      <c r="H1832" s="3" t="s">
        <v>8487</v>
      </c>
      <c r="I1832" s="3" t="s">
        <v>9695</v>
      </c>
      <c r="J1832" s="3" t="s">
        <v>9755</v>
      </c>
      <c r="K1832" s="3" t="s">
        <v>9756</v>
      </c>
      <c r="L1832" s="3" t="s">
        <v>9757</v>
      </c>
      <c r="M1832" s="4"/>
      <c r="N1832" s="3" t="s">
        <v>37</v>
      </c>
      <c r="O1832" s="3" t="s">
        <v>70</v>
      </c>
      <c r="P1832" s="5">
        <v>18</v>
      </c>
      <c r="Q1832" s="5">
        <v>482</v>
      </c>
      <c r="R1832" s="5">
        <v>18</v>
      </c>
      <c r="S1832" s="5">
        <v>485</v>
      </c>
    </row>
    <row r="1833" spans="1:19" ht="56" x14ac:dyDescent="0.15">
      <c r="A1833" s="2">
        <f>HYPERLINK("https://open-school.uspishnemisto.com.ua/school/120264/", 120264)</f>
        <v>120264</v>
      </c>
      <c r="B1833" s="3" t="s">
        <v>9758</v>
      </c>
      <c r="C1833" s="3" t="s">
        <v>54</v>
      </c>
      <c r="D1833" s="3" t="s">
        <v>32</v>
      </c>
      <c r="E1833" s="4" t="s">
        <v>22</v>
      </c>
      <c r="F1833" s="4" t="s">
        <v>9710</v>
      </c>
      <c r="G1833" s="4" t="s">
        <v>9694</v>
      </c>
      <c r="H1833" s="3" t="s">
        <v>8487</v>
      </c>
      <c r="I1833" s="3" t="s">
        <v>9695</v>
      </c>
      <c r="J1833" s="3" t="s">
        <v>9759</v>
      </c>
      <c r="K1833" s="3" t="s">
        <v>9760</v>
      </c>
      <c r="L1833" s="3" t="s">
        <v>9761</v>
      </c>
      <c r="M1833" s="4"/>
      <c r="N1833" s="3" t="s">
        <v>967</v>
      </c>
      <c r="O1833" s="3" t="s">
        <v>46</v>
      </c>
      <c r="P1833" s="5">
        <v>11</v>
      </c>
      <c r="Q1833" s="5">
        <v>263</v>
      </c>
      <c r="R1833" s="5">
        <v>11</v>
      </c>
      <c r="S1833" s="5">
        <v>240</v>
      </c>
    </row>
    <row r="1834" spans="1:19" ht="42" x14ac:dyDescent="0.15">
      <c r="A1834" s="2">
        <f>HYPERLINK("https://open-school.uspishnemisto.com.ua/school/120265/", 120265)</f>
        <v>120265</v>
      </c>
      <c r="B1834" s="3" t="s">
        <v>9762</v>
      </c>
      <c r="C1834" s="3" t="s">
        <v>54</v>
      </c>
      <c r="D1834" s="3" t="s">
        <v>32</v>
      </c>
      <c r="E1834" s="4" t="s">
        <v>22</v>
      </c>
      <c r="F1834" s="4" t="s">
        <v>9715</v>
      </c>
      <c r="G1834" s="4" t="s">
        <v>9694</v>
      </c>
      <c r="H1834" s="3" t="s">
        <v>8487</v>
      </c>
      <c r="I1834" s="3" t="s">
        <v>9695</v>
      </c>
      <c r="J1834" s="3" t="s">
        <v>9763</v>
      </c>
      <c r="K1834" s="3" t="s">
        <v>9764</v>
      </c>
      <c r="L1834" s="3" t="s">
        <v>9765</v>
      </c>
      <c r="M1834" s="4"/>
      <c r="N1834" s="3" t="s">
        <v>37</v>
      </c>
      <c r="O1834" s="3" t="s">
        <v>70</v>
      </c>
      <c r="P1834" s="5">
        <v>34</v>
      </c>
      <c r="Q1834" s="5">
        <v>980</v>
      </c>
      <c r="R1834" s="5">
        <v>34</v>
      </c>
      <c r="S1834" s="5">
        <v>974</v>
      </c>
    </row>
    <row r="1835" spans="1:19" ht="28" x14ac:dyDescent="0.15">
      <c r="A1835" s="2">
        <f>HYPERLINK("https://open-school.uspishnemisto.com.ua/school/120232/", 120232)</f>
        <v>120232</v>
      </c>
      <c r="B1835" s="3" t="s">
        <v>9766</v>
      </c>
      <c r="C1835" s="3" t="s">
        <v>181</v>
      </c>
      <c r="D1835" s="3"/>
      <c r="E1835" s="4" t="s">
        <v>22</v>
      </c>
      <c r="F1835" s="4" t="s">
        <v>9767</v>
      </c>
      <c r="G1835" s="4" t="s">
        <v>9768</v>
      </c>
      <c r="H1835" s="3" t="s">
        <v>8487</v>
      </c>
      <c r="I1835" s="3" t="s">
        <v>9769</v>
      </c>
      <c r="J1835" s="3" t="s">
        <v>9770</v>
      </c>
      <c r="K1835" s="3" t="s">
        <v>9771</v>
      </c>
      <c r="L1835" s="3" t="s">
        <v>9772</v>
      </c>
      <c r="M1835" s="4" t="s">
        <v>9773</v>
      </c>
      <c r="N1835" s="3" t="s">
        <v>37</v>
      </c>
      <c r="O1835" s="3" t="s">
        <v>52</v>
      </c>
      <c r="P1835" s="5">
        <v>5</v>
      </c>
      <c r="Q1835" s="5">
        <v>59</v>
      </c>
      <c r="R1835" s="5">
        <v>5</v>
      </c>
      <c r="S1835" s="5">
        <v>55</v>
      </c>
    </row>
    <row r="1836" spans="1:19" ht="42" x14ac:dyDescent="0.15">
      <c r="A1836" s="2">
        <f>HYPERLINK("https://open-school.uspishnemisto.com.ua/school/120233/", 120233)</f>
        <v>120233</v>
      </c>
      <c r="B1836" s="3" t="s">
        <v>9774</v>
      </c>
      <c r="C1836" s="3" t="s">
        <v>181</v>
      </c>
      <c r="D1836" s="3" t="s">
        <v>32</v>
      </c>
      <c r="E1836" s="4" t="s">
        <v>22</v>
      </c>
      <c r="F1836" s="4" t="s">
        <v>9767</v>
      </c>
      <c r="G1836" s="4" t="s">
        <v>9768</v>
      </c>
      <c r="H1836" s="3" t="s">
        <v>8487</v>
      </c>
      <c r="I1836" s="3" t="s">
        <v>9769</v>
      </c>
      <c r="J1836" s="3" t="s">
        <v>9775</v>
      </c>
      <c r="K1836" s="3" t="s">
        <v>9776</v>
      </c>
      <c r="L1836" s="3" t="s">
        <v>9777</v>
      </c>
      <c r="M1836" s="4" t="s">
        <v>9778</v>
      </c>
      <c r="N1836" s="3" t="s">
        <v>37</v>
      </c>
      <c r="O1836" s="3" t="s">
        <v>52</v>
      </c>
      <c r="P1836" s="5">
        <v>8</v>
      </c>
      <c r="Q1836" s="5">
        <v>128</v>
      </c>
      <c r="R1836" s="5">
        <v>8</v>
      </c>
      <c r="S1836" s="5">
        <v>131</v>
      </c>
    </row>
    <row r="1837" spans="1:19" ht="42" x14ac:dyDescent="0.15">
      <c r="A1837" s="2">
        <f>HYPERLINK("https://open-school.uspishnemisto.com.ua/school/120234/", 120234)</f>
        <v>120234</v>
      </c>
      <c r="B1837" s="3" t="s">
        <v>9779</v>
      </c>
      <c r="C1837" s="3" t="s">
        <v>181</v>
      </c>
      <c r="D1837" s="3" t="s">
        <v>175</v>
      </c>
      <c r="E1837" s="4" t="s">
        <v>22</v>
      </c>
      <c r="F1837" s="4" t="s">
        <v>9780</v>
      </c>
      <c r="G1837" s="4" t="s">
        <v>9768</v>
      </c>
      <c r="H1837" s="3" t="s">
        <v>8487</v>
      </c>
      <c r="I1837" s="3" t="s">
        <v>9769</v>
      </c>
      <c r="J1837" s="3" t="s">
        <v>9781</v>
      </c>
      <c r="K1837" s="3" t="s">
        <v>9782</v>
      </c>
      <c r="L1837" s="3" t="s">
        <v>9783</v>
      </c>
      <c r="M1837" s="4" t="s">
        <v>9784</v>
      </c>
      <c r="N1837" s="3" t="s">
        <v>37</v>
      </c>
      <c r="O1837" s="3"/>
      <c r="P1837" s="5">
        <v>24</v>
      </c>
      <c r="Q1837" s="5">
        <v>263</v>
      </c>
      <c r="R1837" s="5">
        <v>24</v>
      </c>
      <c r="S1837" s="5">
        <v>275</v>
      </c>
    </row>
    <row r="1838" spans="1:19" ht="28" x14ac:dyDescent="0.15">
      <c r="A1838" s="2">
        <f>HYPERLINK("https://open-school.uspishnemisto.com.ua/school/120235/", 120235)</f>
        <v>120235</v>
      </c>
      <c r="B1838" s="3" t="s">
        <v>9785</v>
      </c>
      <c r="C1838" s="3" t="s">
        <v>31</v>
      </c>
      <c r="D1838" s="3" t="s">
        <v>32</v>
      </c>
      <c r="E1838" s="4" t="s">
        <v>22</v>
      </c>
      <c r="F1838" s="4" t="s">
        <v>9767</v>
      </c>
      <c r="G1838" s="4" t="s">
        <v>9768</v>
      </c>
      <c r="H1838" s="3" t="s">
        <v>8487</v>
      </c>
      <c r="I1838" s="3" t="s">
        <v>9769</v>
      </c>
      <c r="J1838" s="3" t="s">
        <v>9786</v>
      </c>
      <c r="K1838" s="3" t="s">
        <v>9787</v>
      </c>
      <c r="L1838" s="3" t="s">
        <v>9788</v>
      </c>
      <c r="M1838" s="4"/>
      <c r="N1838" s="3" t="s">
        <v>967</v>
      </c>
      <c r="O1838" s="3" t="s">
        <v>70</v>
      </c>
      <c r="P1838" s="5">
        <v>33</v>
      </c>
      <c r="Q1838" s="5">
        <v>966</v>
      </c>
      <c r="R1838" s="5">
        <v>32</v>
      </c>
      <c r="S1838" s="5">
        <v>948</v>
      </c>
    </row>
    <row r="1839" spans="1:19" ht="42" x14ac:dyDescent="0.15">
      <c r="A1839" s="2">
        <f>HYPERLINK("https://open-school.uspishnemisto.com.ua/school/120266/", 120266)</f>
        <v>120266</v>
      </c>
      <c r="B1839" s="3" t="s">
        <v>9789</v>
      </c>
      <c r="C1839" s="3" t="s">
        <v>181</v>
      </c>
      <c r="D1839" s="3"/>
      <c r="E1839" s="4" t="s">
        <v>22</v>
      </c>
      <c r="F1839" s="4" t="s">
        <v>9790</v>
      </c>
      <c r="G1839" s="4" t="s">
        <v>9768</v>
      </c>
      <c r="H1839" s="3" t="s">
        <v>8487</v>
      </c>
      <c r="I1839" s="3" t="s">
        <v>9769</v>
      </c>
      <c r="J1839" s="3" t="s">
        <v>9791</v>
      </c>
      <c r="K1839" s="3" t="s">
        <v>9792</v>
      </c>
      <c r="L1839" s="3" t="s">
        <v>9793</v>
      </c>
      <c r="M1839" s="4" t="s">
        <v>9794</v>
      </c>
      <c r="N1839" s="3" t="s">
        <v>37</v>
      </c>
      <c r="O1839" s="3" t="s">
        <v>52</v>
      </c>
      <c r="P1839" s="5">
        <v>6</v>
      </c>
      <c r="Q1839" s="5">
        <v>51</v>
      </c>
      <c r="R1839" s="5">
        <v>6</v>
      </c>
      <c r="S1839" s="5">
        <v>52</v>
      </c>
    </row>
    <row r="1840" spans="1:19" ht="56" x14ac:dyDescent="0.15">
      <c r="A1840" s="2">
        <f>HYPERLINK("https://open-school.uspishnemisto.com.ua/school/120267/", 120267)</f>
        <v>120267</v>
      </c>
      <c r="B1840" s="3" t="s">
        <v>9795</v>
      </c>
      <c r="C1840" s="3" t="s">
        <v>54</v>
      </c>
      <c r="D1840" s="3" t="s">
        <v>60</v>
      </c>
      <c r="E1840" s="4" t="s">
        <v>22</v>
      </c>
      <c r="F1840" s="4" t="s">
        <v>9767</v>
      </c>
      <c r="G1840" s="4" t="s">
        <v>9768</v>
      </c>
      <c r="H1840" s="3" t="s">
        <v>8487</v>
      </c>
      <c r="I1840" s="3" t="s">
        <v>9769</v>
      </c>
      <c r="J1840" s="3" t="s">
        <v>9796</v>
      </c>
      <c r="K1840" s="3" t="s">
        <v>9797</v>
      </c>
      <c r="L1840" s="3" t="s">
        <v>9798</v>
      </c>
      <c r="M1840" s="4"/>
      <c r="N1840" s="3" t="s">
        <v>967</v>
      </c>
      <c r="O1840" s="3" t="s">
        <v>38</v>
      </c>
      <c r="P1840" s="5">
        <v>4</v>
      </c>
      <c r="Q1840" s="5">
        <v>126</v>
      </c>
      <c r="R1840" s="5">
        <v>4</v>
      </c>
      <c r="S1840" s="5">
        <v>123</v>
      </c>
    </row>
    <row r="1841" spans="1:19" ht="42" x14ac:dyDescent="0.15">
      <c r="A1841" s="2">
        <f>HYPERLINK("https://open-school.uspishnemisto.com.ua/school/120268/", 120268)</f>
        <v>120268</v>
      </c>
      <c r="B1841" s="3" t="s">
        <v>9799</v>
      </c>
      <c r="C1841" s="3" t="s">
        <v>181</v>
      </c>
      <c r="D1841" s="3" t="s">
        <v>32</v>
      </c>
      <c r="E1841" s="4" t="s">
        <v>22</v>
      </c>
      <c r="F1841" s="4" t="s">
        <v>9800</v>
      </c>
      <c r="G1841" s="4" t="s">
        <v>9768</v>
      </c>
      <c r="H1841" s="3" t="s">
        <v>8487</v>
      </c>
      <c r="I1841" s="3" t="s">
        <v>9769</v>
      </c>
      <c r="J1841" s="3" t="s">
        <v>9801</v>
      </c>
      <c r="K1841" s="3" t="s">
        <v>9802</v>
      </c>
      <c r="L1841" s="3" t="s">
        <v>9803</v>
      </c>
      <c r="M1841" s="4" t="s">
        <v>9804</v>
      </c>
      <c r="N1841" s="3" t="s">
        <v>37</v>
      </c>
      <c r="O1841" s="3" t="s">
        <v>52</v>
      </c>
      <c r="P1841" s="5">
        <v>17</v>
      </c>
      <c r="Q1841" s="5">
        <v>140</v>
      </c>
      <c r="R1841" s="5">
        <v>16</v>
      </c>
      <c r="S1841" s="5">
        <v>137</v>
      </c>
    </row>
    <row r="1842" spans="1:19" ht="28" x14ac:dyDescent="0.15">
      <c r="A1842" s="2">
        <f>HYPERLINK("https://open-school.uspishnemisto.com.ua/school/120269/", 120269)</f>
        <v>120269</v>
      </c>
      <c r="B1842" s="3" t="s">
        <v>9805</v>
      </c>
      <c r="C1842" s="3" t="s">
        <v>48</v>
      </c>
      <c r="D1842" s="3" t="s">
        <v>32</v>
      </c>
      <c r="E1842" s="4" t="s">
        <v>22</v>
      </c>
      <c r="F1842" s="4" t="s">
        <v>9780</v>
      </c>
      <c r="G1842" s="4" t="s">
        <v>9768</v>
      </c>
      <c r="H1842" s="3" t="s">
        <v>8487</v>
      </c>
      <c r="I1842" s="3" t="s">
        <v>9769</v>
      </c>
      <c r="J1842" s="3" t="s">
        <v>9806</v>
      </c>
      <c r="K1842" s="3" t="s">
        <v>9807</v>
      </c>
      <c r="L1842" s="3" t="s">
        <v>9808</v>
      </c>
      <c r="M1842" s="4" t="s">
        <v>9809</v>
      </c>
      <c r="N1842" s="3" t="s">
        <v>37</v>
      </c>
      <c r="O1842" s="3" t="s">
        <v>70</v>
      </c>
      <c r="P1842" s="5">
        <v>12</v>
      </c>
      <c r="Q1842" s="5">
        <v>346</v>
      </c>
      <c r="R1842" s="5">
        <v>12</v>
      </c>
      <c r="S1842" s="5">
        <v>345</v>
      </c>
    </row>
    <row r="1843" spans="1:19" ht="28" x14ac:dyDescent="0.15">
      <c r="A1843" s="2">
        <f>HYPERLINK("https://open-school.uspishnemisto.com.ua/school/120270/", 120270)</f>
        <v>120270</v>
      </c>
      <c r="B1843" s="3" t="s">
        <v>9810</v>
      </c>
      <c r="C1843" s="3" t="s">
        <v>40</v>
      </c>
      <c r="D1843" s="3" t="s">
        <v>32</v>
      </c>
      <c r="E1843" s="4" t="s">
        <v>22</v>
      </c>
      <c r="F1843" s="4" t="s">
        <v>9811</v>
      </c>
      <c r="G1843" s="4" t="s">
        <v>9768</v>
      </c>
      <c r="H1843" s="3" t="s">
        <v>8487</v>
      </c>
      <c r="I1843" s="3" t="s">
        <v>9769</v>
      </c>
      <c r="J1843" s="3" t="s">
        <v>9812</v>
      </c>
      <c r="K1843" s="3" t="s">
        <v>9813</v>
      </c>
      <c r="L1843" s="3" t="s">
        <v>9814</v>
      </c>
      <c r="M1843" s="4"/>
      <c r="N1843" s="3" t="s">
        <v>37</v>
      </c>
      <c r="O1843" s="3" t="s">
        <v>70</v>
      </c>
      <c r="P1843" s="5">
        <v>25</v>
      </c>
      <c r="Q1843" s="5">
        <v>729</v>
      </c>
      <c r="R1843" s="5">
        <v>24</v>
      </c>
      <c r="S1843" s="5">
        <v>713</v>
      </c>
    </row>
    <row r="1844" spans="1:19" ht="28" x14ac:dyDescent="0.15">
      <c r="A1844" s="2">
        <f>HYPERLINK("https://open-school.uspishnemisto.com.ua/school/120271/", 120271)</f>
        <v>120271</v>
      </c>
      <c r="B1844" s="3" t="s">
        <v>9815</v>
      </c>
      <c r="C1844" s="3" t="s">
        <v>31</v>
      </c>
      <c r="D1844" s="3" t="s">
        <v>32</v>
      </c>
      <c r="E1844" s="4" t="s">
        <v>22</v>
      </c>
      <c r="F1844" s="4" t="s">
        <v>9790</v>
      </c>
      <c r="G1844" s="4" t="s">
        <v>9768</v>
      </c>
      <c r="H1844" s="3" t="s">
        <v>8487</v>
      </c>
      <c r="I1844" s="3" t="s">
        <v>9769</v>
      </c>
      <c r="J1844" s="3" t="s">
        <v>9816</v>
      </c>
      <c r="K1844" s="3" t="s">
        <v>9817</v>
      </c>
      <c r="L1844" s="3" t="s">
        <v>9818</v>
      </c>
      <c r="M1844" s="4"/>
      <c r="N1844" s="3" t="s">
        <v>37</v>
      </c>
      <c r="O1844" s="3" t="s">
        <v>38</v>
      </c>
      <c r="P1844" s="5">
        <v>19</v>
      </c>
      <c r="Q1844" s="5">
        <v>513</v>
      </c>
      <c r="R1844" s="5">
        <v>18</v>
      </c>
      <c r="S1844" s="5">
        <v>484</v>
      </c>
    </row>
    <row r="1845" spans="1:19" ht="28" x14ac:dyDescent="0.15">
      <c r="A1845" s="2">
        <f>HYPERLINK("https://open-school.uspishnemisto.com.ua/school/120272/", 120272)</f>
        <v>120272</v>
      </c>
      <c r="B1845" s="3" t="s">
        <v>9819</v>
      </c>
      <c r="C1845" s="3" t="s">
        <v>31</v>
      </c>
      <c r="D1845" s="3" t="s">
        <v>32</v>
      </c>
      <c r="E1845" s="4" t="s">
        <v>22</v>
      </c>
      <c r="F1845" s="4" t="s">
        <v>9790</v>
      </c>
      <c r="G1845" s="4" t="s">
        <v>9768</v>
      </c>
      <c r="H1845" s="3" t="s">
        <v>8487</v>
      </c>
      <c r="I1845" s="3" t="s">
        <v>9769</v>
      </c>
      <c r="J1845" s="3" t="s">
        <v>9820</v>
      </c>
      <c r="K1845" s="3" t="s">
        <v>9821</v>
      </c>
      <c r="L1845" s="3" t="s">
        <v>9822</v>
      </c>
      <c r="M1845" s="4"/>
      <c r="N1845" s="3" t="s">
        <v>967</v>
      </c>
      <c r="O1845" s="3" t="s">
        <v>38</v>
      </c>
      <c r="P1845" s="5">
        <v>20</v>
      </c>
      <c r="Q1845" s="5">
        <v>556</v>
      </c>
      <c r="R1845" s="5">
        <v>19</v>
      </c>
      <c r="S1845" s="5">
        <v>554</v>
      </c>
    </row>
    <row r="1846" spans="1:19" ht="28" x14ac:dyDescent="0.15">
      <c r="A1846" s="2">
        <f>HYPERLINK("https://open-school.uspishnemisto.com.ua/school/120273/", 120273)</f>
        <v>120273</v>
      </c>
      <c r="B1846" s="3" t="s">
        <v>9823</v>
      </c>
      <c r="C1846" s="3" t="s">
        <v>31</v>
      </c>
      <c r="D1846" s="3" t="s">
        <v>32</v>
      </c>
      <c r="E1846" s="4" t="s">
        <v>22</v>
      </c>
      <c r="F1846" s="4" t="s">
        <v>9811</v>
      </c>
      <c r="G1846" s="4" t="s">
        <v>9768</v>
      </c>
      <c r="H1846" s="3" t="s">
        <v>8487</v>
      </c>
      <c r="I1846" s="3" t="s">
        <v>9769</v>
      </c>
      <c r="J1846" s="3" t="s">
        <v>9824</v>
      </c>
      <c r="K1846" s="3" t="s">
        <v>9825</v>
      </c>
      <c r="L1846" s="3" t="s">
        <v>9826</v>
      </c>
      <c r="M1846" s="4"/>
      <c r="N1846" s="3" t="s">
        <v>37</v>
      </c>
      <c r="O1846" s="3" t="s">
        <v>38</v>
      </c>
      <c r="P1846" s="5">
        <v>9</v>
      </c>
      <c r="Q1846" s="5">
        <v>239</v>
      </c>
      <c r="R1846" s="5">
        <v>9</v>
      </c>
      <c r="S1846" s="5">
        <v>236</v>
      </c>
    </row>
    <row r="1847" spans="1:19" ht="28" x14ac:dyDescent="0.15">
      <c r="A1847" s="2">
        <f>HYPERLINK("https://open-school.uspishnemisto.com.ua/school/120274/", 120274)</f>
        <v>120274</v>
      </c>
      <c r="B1847" s="3" t="s">
        <v>9827</v>
      </c>
      <c r="C1847" s="3" t="s">
        <v>31</v>
      </c>
      <c r="D1847" s="3" t="s">
        <v>32</v>
      </c>
      <c r="E1847" s="4" t="s">
        <v>22</v>
      </c>
      <c r="F1847" s="4" t="s">
        <v>9767</v>
      </c>
      <c r="G1847" s="4" t="s">
        <v>9768</v>
      </c>
      <c r="H1847" s="3" t="s">
        <v>8487</v>
      </c>
      <c r="I1847" s="3" t="s">
        <v>9769</v>
      </c>
      <c r="J1847" s="3" t="s">
        <v>9828</v>
      </c>
      <c r="K1847" s="3" t="s">
        <v>9829</v>
      </c>
      <c r="L1847" s="3" t="s">
        <v>9830</v>
      </c>
      <c r="M1847" s="4"/>
      <c r="N1847" s="3" t="s">
        <v>37</v>
      </c>
      <c r="O1847" s="3" t="s">
        <v>197</v>
      </c>
      <c r="P1847" s="5">
        <v>19</v>
      </c>
      <c r="Q1847" s="5">
        <v>466</v>
      </c>
      <c r="R1847" s="5">
        <v>18</v>
      </c>
      <c r="S1847" s="5">
        <v>443</v>
      </c>
    </row>
    <row r="1848" spans="1:19" ht="28" x14ac:dyDescent="0.15">
      <c r="A1848" s="2">
        <f>HYPERLINK("https://open-school.uspishnemisto.com.ua/school/120275/", 120275)</f>
        <v>120275</v>
      </c>
      <c r="B1848" s="3" t="s">
        <v>9831</v>
      </c>
      <c r="C1848" s="3" t="s">
        <v>31</v>
      </c>
      <c r="D1848" s="3" t="s">
        <v>32</v>
      </c>
      <c r="E1848" s="4" t="s">
        <v>22</v>
      </c>
      <c r="F1848" s="4" t="s">
        <v>9767</v>
      </c>
      <c r="G1848" s="4" t="s">
        <v>9768</v>
      </c>
      <c r="H1848" s="3" t="s">
        <v>8487</v>
      </c>
      <c r="I1848" s="3" t="s">
        <v>9769</v>
      </c>
      <c r="J1848" s="3" t="s">
        <v>9832</v>
      </c>
      <c r="K1848" s="3" t="s">
        <v>9833</v>
      </c>
      <c r="L1848" s="3" t="s">
        <v>9834</v>
      </c>
      <c r="M1848" s="4"/>
      <c r="N1848" s="3" t="s">
        <v>37</v>
      </c>
      <c r="O1848" s="3" t="s">
        <v>38</v>
      </c>
      <c r="P1848" s="5">
        <v>34</v>
      </c>
      <c r="Q1848" s="5">
        <v>1071</v>
      </c>
      <c r="R1848" s="5">
        <v>33</v>
      </c>
      <c r="S1848" s="5">
        <v>1009</v>
      </c>
    </row>
    <row r="1849" spans="1:19" ht="28" x14ac:dyDescent="0.15">
      <c r="A1849" s="2">
        <f>HYPERLINK("https://open-school.uspishnemisto.com.ua/school/120276/", 120276)</f>
        <v>120276</v>
      </c>
      <c r="B1849" s="3" t="s">
        <v>9835</v>
      </c>
      <c r="C1849" s="3" t="s">
        <v>31</v>
      </c>
      <c r="D1849" s="3" t="s">
        <v>32</v>
      </c>
      <c r="E1849" s="4" t="s">
        <v>22</v>
      </c>
      <c r="F1849" s="4" t="s">
        <v>9836</v>
      </c>
      <c r="G1849" s="4" t="s">
        <v>9768</v>
      </c>
      <c r="H1849" s="3" t="s">
        <v>8487</v>
      </c>
      <c r="I1849" s="3" t="s">
        <v>9769</v>
      </c>
      <c r="J1849" s="3" t="s">
        <v>9837</v>
      </c>
      <c r="K1849" s="3" t="s">
        <v>9838</v>
      </c>
      <c r="L1849" s="3" t="s">
        <v>9839</v>
      </c>
      <c r="M1849" s="4"/>
      <c r="N1849" s="3" t="s">
        <v>967</v>
      </c>
      <c r="O1849" s="3" t="s">
        <v>70</v>
      </c>
      <c r="P1849" s="5">
        <v>29</v>
      </c>
      <c r="Q1849" s="5">
        <v>831</v>
      </c>
      <c r="R1849" s="5">
        <v>28</v>
      </c>
      <c r="S1849" s="5">
        <v>829</v>
      </c>
    </row>
    <row r="1850" spans="1:19" ht="28" x14ac:dyDescent="0.15">
      <c r="A1850" s="2">
        <f>HYPERLINK("https://open-school.uspishnemisto.com.ua/school/120277/", 120277)</f>
        <v>120277</v>
      </c>
      <c r="B1850" s="3" t="s">
        <v>9840</v>
      </c>
      <c r="C1850" s="3" t="s">
        <v>31</v>
      </c>
      <c r="D1850" s="3" t="s">
        <v>32</v>
      </c>
      <c r="E1850" s="4" t="s">
        <v>22</v>
      </c>
      <c r="F1850" s="4" t="s">
        <v>9836</v>
      </c>
      <c r="G1850" s="4" t="s">
        <v>9768</v>
      </c>
      <c r="H1850" s="3" t="s">
        <v>8487</v>
      </c>
      <c r="I1850" s="3" t="s">
        <v>9769</v>
      </c>
      <c r="J1850" s="3" t="s">
        <v>9841</v>
      </c>
      <c r="K1850" s="3" t="s">
        <v>9842</v>
      </c>
      <c r="L1850" s="3" t="s">
        <v>9843</v>
      </c>
      <c r="M1850" s="4"/>
      <c r="N1850" s="3" t="s">
        <v>37</v>
      </c>
      <c r="O1850" s="3" t="s">
        <v>38</v>
      </c>
      <c r="P1850" s="5">
        <v>20</v>
      </c>
      <c r="Q1850" s="5">
        <v>539</v>
      </c>
      <c r="R1850" s="5">
        <v>19</v>
      </c>
      <c r="S1850" s="5">
        <v>511</v>
      </c>
    </row>
    <row r="1851" spans="1:19" ht="28" x14ac:dyDescent="0.15">
      <c r="A1851" s="2">
        <f>HYPERLINK("https://open-school.uspishnemisto.com.ua/school/120278/", 120278)</f>
        <v>120278</v>
      </c>
      <c r="B1851" s="3" t="s">
        <v>9844</v>
      </c>
      <c r="C1851" s="3" t="s">
        <v>31</v>
      </c>
      <c r="D1851" s="3" t="s">
        <v>32</v>
      </c>
      <c r="E1851" s="4" t="s">
        <v>22</v>
      </c>
      <c r="F1851" s="4" t="s">
        <v>9811</v>
      </c>
      <c r="G1851" s="4" t="s">
        <v>9768</v>
      </c>
      <c r="H1851" s="3" t="s">
        <v>8487</v>
      </c>
      <c r="I1851" s="3" t="s">
        <v>9769</v>
      </c>
      <c r="J1851" s="3" t="s">
        <v>9845</v>
      </c>
      <c r="K1851" s="3" t="s">
        <v>9846</v>
      </c>
      <c r="L1851" s="3" t="s">
        <v>9847</v>
      </c>
      <c r="M1851" s="4"/>
      <c r="N1851" s="3" t="s">
        <v>37</v>
      </c>
      <c r="O1851" s="3" t="s">
        <v>38</v>
      </c>
      <c r="P1851" s="5">
        <v>9</v>
      </c>
      <c r="Q1851" s="5">
        <v>241</v>
      </c>
      <c r="R1851" s="5">
        <v>9</v>
      </c>
      <c r="S1851" s="5">
        <v>246</v>
      </c>
    </row>
    <row r="1852" spans="1:19" ht="28" x14ac:dyDescent="0.15">
      <c r="A1852" s="2">
        <f>HYPERLINK("https://open-school.uspishnemisto.com.ua/school/120279/", 120279)</f>
        <v>120279</v>
      </c>
      <c r="B1852" s="3" t="s">
        <v>9848</v>
      </c>
      <c r="C1852" s="3" t="s">
        <v>31</v>
      </c>
      <c r="D1852" s="3" t="s">
        <v>32</v>
      </c>
      <c r="E1852" s="4" t="s">
        <v>22</v>
      </c>
      <c r="F1852" s="4" t="s">
        <v>9780</v>
      </c>
      <c r="G1852" s="4" t="s">
        <v>9768</v>
      </c>
      <c r="H1852" s="3" t="s">
        <v>8487</v>
      </c>
      <c r="I1852" s="3" t="s">
        <v>9769</v>
      </c>
      <c r="J1852" s="3" t="s">
        <v>9849</v>
      </c>
      <c r="K1852" s="3" t="s">
        <v>9850</v>
      </c>
      <c r="L1852" s="3" t="s">
        <v>9851</v>
      </c>
      <c r="M1852" s="4"/>
      <c r="N1852" s="3" t="s">
        <v>37</v>
      </c>
      <c r="O1852" s="3" t="s">
        <v>38</v>
      </c>
      <c r="P1852" s="5">
        <v>15</v>
      </c>
      <c r="Q1852" s="5">
        <v>405</v>
      </c>
      <c r="R1852" s="5">
        <v>14</v>
      </c>
      <c r="S1852" s="5">
        <v>396</v>
      </c>
    </row>
    <row r="1853" spans="1:19" ht="28" x14ac:dyDescent="0.15">
      <c r="A1853" s="2">
        <f>HYPERLINK("https://open-school.uspishnemisto.com.ua/school/120280/", 120280)</f>
        <v>120280</v>
      </c>
      <c r="B1853" s="3" t="s">
        <v>9852</v>
      </c>
      <c r="C1853" s="3" t="s">
        <v>31</v>
      </c>
      <c r="D1853" s="3" t="s">
        <v>32</v>
      </c>
      <c r="E1853" s="4" t="s">
        <v>22</v>
      </c>
      <c r="F1853" s="4" t="s">
        <v>9853</v>
      </c>
      <c r="G1853" s="4" t="s">
        <v>9768</v>
      </c>
      <c r="H1853" s="3" t="s">
        <v>8487</v>
      </c>
      <c r="I1853" s="3" t="s">
        <v>9769</v>
      </c>
      <c r="J1853" s="3" t="s">
        <v>9854</v>
      </c>
      <c r="K1853" s="3" t="s">
        <v>9855</v>
      </c>
      <c r="L1853" s="3" t="s">
        <v>9856</v>
      </c>
      <c r="M1853" s="4"/>
      <c r="N1853" s="3" t="s">
        <v>37</v>
      </c>
      <c r="O1853" s="3" t="s">
        <v>38</v>
      </c>
      <c r="P1853" s="5">
        <v>10</v>
      </c>
      <c r="Q1853" s="5">
        <v>243</v>
      </c>
      <c r="R1853" s="5">
        <v>10</v>
      </c>
      <c r="S1853" s="5">
        <v>241</v>
      </c>
    </row>
    <row r="1854" spans="1:19" ht="28" x14ac:dyDescent="0.15">
      <c r="A1854" s="2">
        <f>HYPERLINK("https://open-school.uspishnemisto.com.ua/school/120281/", 120281)</f>
        <v>120281</v>
      </c>
      <c r="B1854" s="3" t="s">
        <v>9857</v>
      </c>
      <c r="C1854" s="3" t="s">
        <v>31</v>
      </c>
      <c r="D1854" s="3" t="s">
        <v>32</v>
      </c>
      <c r="E1854" s="4" t="s">
        <v>22</v>
      </c>
      <c r="F1854" s="4" t="s">
        <v>9790</v>
      </c>
      <c r="G1854" s="4" t="s">
        <v>9768</v>
      </c>
      <c r="H1854" s="3" t="s">
        <v>8487</v>
      </c>
      <c r="I1854" s="3" t="s">
        <v>9769</v>
      </c>
      <c r="J1854" s="3" t="s">
        <v>9858</v>
      </c>
      <c r="K1854" s="3" t="s">
        <v>9859</v>
      </c>
      <c r="L1854" s="3" t="s">
        <v>9860</v>
      </c>
      <c r="M1854" s="4"/>
      <c r="N1854" s="3" t="s">
        <v>37</v>
      </c>
      <c r="O1854" s="3" t="s">
        <v>38</v>
      </c>
      <c r="P1854" s="5">
        <v>12</v>
      </c>
      <c r="Q1854" s="5">
        <v>301</v>
      </c>
      <c r="R1854" s="5">
        <v>10</v>
      </c>
      <c r="S1854" s="5">
        <v>261</v>
      </c>
    </row>
    <row r="1855" spans="1:19" ht="28" x14ac:dyDescent="0.15">
      <c r="A1855" s="2">
        <f>HYPERLINK("https://open-school.uspishnemisto.com.ua/school/120282/", 120282)</f>
        <v>120282</v>
      </c>
      <c r="B1855" s="3" t="s">
        <v>9861</v>
      </c>
      <c r="C1855" s="3" t="s">
        <v>31</v>
      </c>
      <c r="D1855" s="3" t="s">
        <v>32</v>
      </c>
      <c r="E1855" s="4" t="s">
        <v>22</v>
      </c>
      <c r="F1855" s="4" t="s">
        <v>9800</v>
      </c>
      <c r="G1855" s="4" t="s">
        <v>9768</v>
      </c>
      <c r="H1855" s="3" t="s">
        <v>8487</v>
      </c>
      <c r="I1855" s="3" t="s">
        <v>9769</v>
      </c>
      <c r="J1855" s="3" t="s">
        <v>9862</v>
      </c>
      <c r="K1855" s="3" t="s">
        <v>9863</v>
      </c>
      <c r="L1855" s="3" t="s">
        <v>9864</v>
      </c>
      <c r="M1855" s="4"/>
      <c r="N1855" s="3" t="s">
        <v>37</v>
      </c>
      <c r="O1855" s="3" t="s">
        <v>38</v>
      </c>
      <c r="P1855" s="5">
        <v>21</v>
      </c>
      <c r="Q1855" s="5">
        <v>598</v>
      </c>
      <c r="R1855" s="5">
        <v>21</v>
      </c>
      <c r="S1855" s="5">
        <v>586</v>
      </c>
    </row>
    <row r="1856" spans="1:19" ht="28" x14ac:dyDescent="0.15">
      <c r="A1856" s="2">
        <f>HYPERLINK("https://open-school.uspishnemisto.com.ua/school/120283/", 120283)</f>
        <v>120283</v>
      </c>
      <c r="B1856" s="3" t="s">
        <v>9865</v>
      </c>
      <c r="C1856" s="3" t="s">
        <v>31</v>
      </c>
      <c r="D1856" s="3" t="s">
        <v>32</v>
      </c>
      <c r="E1856" s="4" t="s">
        <v>22</v>
      </c>
      <c r="F1856" s="4" t="s">
        <v>9866</v>
      </c>
      <c r="G1856" s="4" t="s">
        <v>9768</v>
      </c>
      <c r="H1856" s="3" t="s">
        <v>8487</v>
      </c>
      <c r="I1856" s="3" t="s">
        <v>9769</v>
      </c>
      <c r="J1856" s="3" t="s">
        <v>9867</v>
      </c>
      <c r="K1856" s="3" t="s">
        <v>9868</v>
      </c>
      <c r="L1856" s="3" t="s">
        <v>9869</v>
      </c>
      <c r="M1856" s="4"/>
      <c r="N1856" s="3" t="s">
        <v>37</v>
      </c>
      <c r="O1856" s="3" t="s">
        <v>38</v>
      </c>
      <c r="P1856" s="5">
        <v>9</v>
      </c>
      <c r="Q1856" s="5">
        <v>168</v>
      </c>
      <c r="R1856" s="5">
        <v>10</v>
      </c>
      <c r="S1856" s="5">
        <v>180</v>
      </c>
    </row>
    <row r="1857" spans="1:19" ht="28" x14ac:dyDescent="0.15">
      <c r="A1857" s="2">
        <f>HYPERLINK("https://open-school.uspishnemisto.com.ua/school/120284/", 120284)</f>
        <v>120284</v>
      </c>
      <c r="B1857" s="3" t="s">
        <v>9870</v>
      </c>
      <c r="C1857" s="3" t="s">
        <v>31</v>
      </c>
      <c r="D1857" s="3" t="s">
        <v>32</v>
      </c>
      <c r="E1857" s="4" t="s">
        <v>22</v>
      </c>
      <c r="F1857" s="4" t="s">
        <v>9780</v>
      </c>
      <c r="G1857" s="4" t="s">
        <v>9768</v>
      </c>
      <c r="H1857" s="3" t="s">
        <v>8487</v>
      </c>
      <c r="I1857" s="3" t="s">
        <v>9769</v>
      </c>
      <c r="J1857" s="3" t="s">
        <v>9871</v>
      </c>
      <c r="K1857" s="3" t="s">
        <v>9872</v>
      </c>
      <c r="L1857" s="3" t="s">
        <v>9873</v>
      </c>
      <c r="M1857" s="4"/>
      <c r="N1857" s="3" t="s">
        <v>967</v>
      </c>
      <c r="O1857" s="3" t="s">
        <v>70</v>
      </c>
      <c r="P1857" s="5">
        <v>24</v>
      </c>
      <c r="Q1857" s="5">
        <v>700</v>
      </c>
      <c r="R1857" s="5">
        <v>24</v>
      </c>
      <c r="S1857" s="5">
        <v>680</v>
      </c>
    </row>
    <row r="1858" spans="1:19" ht="28" x14ac:dyDescent="0.15">
      <c r="A1858" s="2">
        <f>HYPERLINK("https://open-school.uspishnemisto.com.ua/school/120285/", 120285)</f>
        <v>120285</v>
      </c>
      <c r="B1858" s="3" t="s">
        <v>9874</v>
      </c>
      <c r="C1858" s="3" t="s">
        <v>31</v>
      </c>
      <c r="D1858" s="3" t="s">
        <v>32</v>
      </c>
      <c r="E1858" s="4" t="s">
        <v>22</v>
      </c>
      <c r="F1858" s="4" t="s">
        <v>9800</v>
      </c>
      <c r="G1858" s="4" t="s">
        <v>9768</v>
      </c>
      <c r="H1858" s="3" t="s">
        <v>8487</v>
      </c>
      <c r="I1858" s="3" t="s">
        <v>9769</v>
      </c>
      <c r="J1858" s="3" t="s">
        <v>9875</v>
      </c>
      <c r="K1858" s="3" t="s">
        <v>9876</v>
      </c>
      <c r="L1858" s="3" t="s">
        <v>9877</v>
      </c>
      <c r="M1858" s="4"/>
      <c r="N1858" s="3" t="s">
        <v>967</v>
      </c>
      <c r="O1858" s="3" t="s">
        <v>70</v>
      </c>
      <c r="P1858" s="5">
        <v>20</v>
      </c>
      <c r="Q1858" s="5">
        <v>504</v>
      </c>
      <c r="R1858" s="5">
        <v>19</v>
      </c>
      <c r="S1858" s="5">
        <v>480</v>
      </c>
    </row>
    <row r="1859" spans="1:19" ht="28" x14ac:dyDescent="0.15">
      <c r="A1859" s="2">
        <f>HYPERLINK("https://open-school.uspishnemisto.com.ua/school/120286/", 120286)</f>
        <v>120286</v>
      </c>
      <c r="B1859" s="3" t="s">
        <v>9878</v>
      </c>
      <c r="C1859" s="3" t="s">
        <v>31</v>
      </c>
      <c r="D1859" s="3" t="s">
        <v>32</v>
      </c>
      <c r="E1859" s="4" t="s">
        <v>22</v>
      </c>
      <c r="F1859" s="4" t="s">
        <v>9879</v>
      </c>
      <c r="G1859" s="4" t="s">
        <v>9768</v>
      </c>
      <c r="H1859" s="3" t="s">
        <v>8487</v>
      </c>
      <c r="I1859" s="3" t="s">
        <v>9769</v>
      </c>
      <c r="J1859" s="3" t="s">
        <v>9880</v>
      </c>
      <c r="K1859" s="3" t="s">
        <v>9881</v>
      </c>
      <c r="L1859" s="3" t="s">
        <v>9882</v>
      </c>
      <c r="M1859" s="4"/>
      <c r="N1859" s="3" t="s">
        <v>37</v>
      </c>
      <c r="O1859" s="3" t="s">
        <v>38</v>
      </c>
      <c r="P1859" s="5">
        <v>23</v>
      </c>
      <c r="Q1859" s="5">
        <v>572</v>
      </c>
      <c r="R1859" s="5">
        <v>23</v>
      </c>
      <c r="S1859" s="5">
        <v>565</v>
      </c>
    </row>
    <row r="1860" spans="1:19" ht="28" x14ac:dyDescent="0.15">
      <c r="A1860" s="2">
        <f>HYPERLINK("https://open-school.uspishnemisto.com.ua/school/120287/", 120287)</f>
        <v>120287</v>
      </c>
      <c r="B1860" s="3" t="s">
        <v>9883</v>
      </c>
      <c r="C1860" s="3" t="s">
        <v>293</v>
      </c>
      <c r="D1860" s="3" t="s">
        <v>175</v>
      </c>
      <c r="E1860" s="4" t="s">
        <v>22</v>
      </c>
      <c r="F1860" s="4" t="s">
        <v>9879</v>
      </c>
      <c r="G1860" s="4" t="s">
        <v>9768</v>
      </c>
      <c r="H1860" s="3" t="s">
        <v>8487</v>
      </c>
      <c r="I1860" s="3" t="s">
        <v>9769</v>
      </c>
      <c r="J1860" s="3" t="s">
        <v>9884</v>
      </c>
      <c r="K1860" s="3" t="s">
        <v>9885</v>
      </c>
      <c r="L1860" s="3" t="s">
        <v>9886</v>
      </c>
      <c r="M1860" s="4"/>
      <c r="N1860" s="3" t="s">
        <v>37</v>
      </c>
      <c r="O1860" s="3" t="s">
        <v>38</v>
      </c>
      <c r="P1860" s="5">
        <v>3</v>
      </c>
      <c r="Q1860" s="5">
        <v>61</v>
      </c>
      <c r="R1860" s="5">
        <v>3</v>
      </c>
      <c r="S1860" s="5">
        <v>53</v>
      </c>
    </row>
    <row r="1861" spans="1:19" ht="42" x14ac:dyDescent="0.15">
      <c r="A1861" s="2">
        <f>HYPERLINK("https://open-school.uspishnemisto.com.ua/school/120288/", 120288)</f>
        <v>120288</v>
      </c>
      <c r="B1861" s="3" t="s">
        <v>9887</v>
      </c>
      <c r="C1861" s="3" t="s">
        <v>244</v>
      </c>
      <c r="D1861" s="3" t="s">
        <v>32</v>
      </c>
      <c r="E1861" s="4" t="s">
        <v>22</v>
      </c>
      <c r="F1861" s="4" t="s">
        <v>9780</v>
      </c>
      <c r="G1861" s="4" t="s">
        <v>9768</v>
      </c>
      <c r="H1861" s="3" t="s">
        <v>8487</v>
      </c>
      <c r="I1861" s="3" t="s">
        <v>9769</v>
      </c>
      <c r="J1861" s="3" t="s">
        <v>9888</v>
      </c>
      <c r="K1861" s="3" t="s">
        <v>9889</v>
      </c>
      <c r="L1861" s="3" t="s">
        <v>9890</v>
      </c>
      <c r="M1861" s="4"/>
      <c r="N1861" s="3" t="s">
        <v>967</v>
      </c>
      <c r="O1861" s="3" t="s">
        <v>9891</v>
      </c>
      <c r="P1861" s="5">
        <v>22</v>
      </c>
      <c r="Q1861" s="5">
        <v>665</v>
      </c>
      <c r="R1861" s="5">
        <v>22</v>
      </c>
      <c r="S1861" s="5">
        <v>673</v>
      </c>
    </row>
    <row r="1862" spans="1:19" ht="28" x14ac:dyDescent="0.15">
      <c r="A1862" s="2">
        <f>HYPERLINK("https://open-school.uspishnemisto.com.ua/school/120289/", 120289)</f>
        <v>120289</v>
      </c>
      <c r="B1862" s="3" t="s">
        <v>9892</v>
      </c>
      <c r="C1862" s="3" t="s">
        <v>188</v>
      </c>
      <c r="D1862" s="3" t="s">
        <v>32</v>
      </c>
      <c r="E1862" s="4" t="s">
        <v>22</v>
      </c>
      <c r="F1862" s="4" t="s">
        <v>9879</v>
      </c>
      <c r="G1862" s="4" t="s">
        <v>9768</v>
      </c>
      <c r="H1862" s="3" t="s">
        <v>8487</v>
      </c>
      <c r="I1862" s="3" t="s">
        <v>9769</v>
      </c>
      <c r="J1862" s="3" t="s">
        <v>9893</v>
      </c>
      <c r="K1862" s="3" t="s">
        <v>9894</v>
      </c>
      <c r="L1862" s="3" t="s">
        <v>9895</v>
      </c>
      <c r="M1862" s="4"/>
      <c r="N1862" s="3" t="s">
        <v>37</v>
      </c>
      <c r="O1862" s="3" t="s">
        <v>38</v>
      </c>
      <c r="P1862" s="5">
        <v>16</v>
      </c>
      <c r="Q1862" s="5">
        <v>496</v>
      </c>
      <c r="R1862" s="5">
        <v>16</v>
      </c>
      <c r="S1862" s="5">
        <v>484</v>
      </c>
    </row>
    <row r="1863" spans="1:19" ht="42" x14ac:dyDescent="0.15">
      <c r="A1863" s="2">
        <f>HYPERLINK("https://open-school.uspishnemisto.com.ua/school/120290/", 120290)</f>
        <v>120290</v>
      </c>
      <c r="B1863" s="3" t="s">
        <v>9896</v>
      </c>
      <c r="C1863" s="3" t="s">
        <v>2634</v>
      </c>
      <c r="D1863" s="3" t="s">
        <v>32</v>
      </c>
      <c r="E1863" s="4" t="s">
        <v>22</v>
      </c>
      <c r="F1863" s="4" t="s">
        <v>9897</v>
      </c>
      <c r="G1863" s="4" t="s">
        <v>9898</v>
      </c>
      <c r="H1863" s="3" t="s">
        <v>8487</v>
      </c>
      <c r="I1863" s="3" t="s">
        <v>9899</v>
      </c>
      <c r="J1863" s="3" t="s">
        <v>9900</v>
      </c>
      <c r="K1863" s="3" t="s">
        <v>9901</v>
      </c>
      <c r="L1863" s="3" t="s">
        <v>9902</v>
      </c>
      <c r="M1863" s="4" t="s">
        <v>9903</v>
      </c>
      <c r="N1863" s="3" t="s">
        <v>37</v>
      </c>
      <c r="O1863" s="3" t="s">
        <v>70</v>
      </c>
      <c r="P1863" s="5">
        <v>12</v>
      </c>
      <c r="Q1863" s="5">
        <v>220</v>
      </c>
      <c r="R1863" s="5">
        <v>12</v>
      </c>
      <c r="S1863" s="5">
        <v>216</v>
      </c>
    </row>
    <row r="1864" spans="1:19" ht="42" x14ac:dyDescent="0.15">
      <c r="A1864" s="2">
        <f>HYPERLINK("https://open-school.uspishnemisto.com.ua/school/120291/", 120291)</f>
        <v>120291</v>
      </c>
      <c r="B1864" s="3" t="s">
        <v>9904</v>
      </c>
      <c r="C1864" s="3" t="s">
        <v>181</v>
      </c>
      <c r="D1864" s="3" t="s">
        <v>175</v>
      </c>
      <c r="E1864" s="4" t="s">
        <v>22</v>
      </c>
      <c r="F1864" s="4" t="s">
        <v>9905</v>
      </c>
      <c r="G1864" s="4" t="s">
        <v>9898</v>
      </c>
      <c r="H1864" s="3" t="s">
        <v>8487</v>
      </c>
      <c r="I1864" s="3" t="s">
        <v>9899</v>
      </c>
      <c r="J1864" s="3" t="s">
        <v>9906</v>
      </c>
      <c r="K1864" s="3"/>
      <c r="L1864" s="3" t="s">
        <v>9907</v>
      </c>
      <c r="M1864" s="4" t="s">
        <v>9908</v>
      </c>
      <c r="N1864" s="3" t="s">
        <v>37</v>
      </c>
      <c r="O1864" s="3"/>
      <c r="P1864" s="5">
        <v>18</v>
      </c>
      <c r="Q1864" s="5">
        <v>187</v>
      </c>
      <c r="R1864" s="5">
        <v>16</v>
      </c>
      <c r="S1864" s="5">
        <v>168</v>
      </c>
    </row>
    <row r="1865" spans="1:19" ht="42" x14ac:dyDescent="0.15">
      <c r="A1865" s="2">
        <f>HYPERLINK("https://open-school.uspishnemisto.com.ua/school/120292/", 120292)</f>
        <v>120292</v>
      </c>
      <c r="B1865" s="3" t="s">
        <v>9909</v>
      </c>
      <c r="C1865" s="3" t="s">
        <v>293</v>
      </c>
      <c r="D1865" s="3" t="s">
        <v>32</v>
      </c>
      <c r="E1865" s="4" t="s">
        <v>22</v>
      </c>
      <c r="F1865" s="4" t="s">
        <v>9910</v>
      </c>
      <c r="G1865" s="4" t="s">
        <v>9898</v>
      </c>
      <c r="H1865" s="3" t="s">
        <v>8487</v>
      </c>
      <c r="I1865" s="3" t="s">
        <v>9899</v>
      </c>
      <c r="J1865" s="3" t="s">
        <v>9911</v>
      </c>
      <c r="K1865" s="3" t="s">
        <v>9912</v>
      </c>
      <c r="L1865" s="3" t="s">
        <v>9913</v>
      </c>
      <c r="M1865" s="4" t="s">
        <v>9914</v>
      </c>
      <c r="N1865" s="3" t="s">
        <v>37</v>
      </c>
      <c r="O1865" s="3" t="s">
        <v>52</v>
      </c>
      <c r="P1865" s="5">
        <v>10</v>
      </c>
      <c r="Q1865" s="5">
        <v>150</v>
      </c>
      <c r="R1865" s="5">
        <v>11</v>
      </c>
      <c r="S1865" s="5">
        <v>136</v>
      </c>
    </row>
    <row r="1866" spans="1:19" ht="28" x14ac:dyDescent="0.15">
      <c r="A1866" s="2">
        <f>HYPERLINK("https://open-school.uspishnemisto.com.ua/school/120293/", 120293)</f>
        <v>120293</v>
      </c>
      <c r="B1866" s="3" t="s">
        <v>9915</v>
      </c>
      <c r="C1866" s="3" t="s">
        <v>40</v>
      </c>
      <c r="D1866" s="3" t="s">
        <v>32</v>
      </c>
      <c r="E1866" s="4" t="s">
        <v>22</v>
      </c>
      <c r="F1866" s="4" t="s">
        <v>9905</v>
      </c>
      <c r="G1866" s="4" t="s">
        <v>9898</v>
      </c>
      <c r="H1866" s="3" t="s">
        <v>8487</v>
      </c>
      <c r="I1866" s="3" t="s">
        <v>9899</v>
      </c>
      <c r="J1866" s="3" t="s">
        <v>9916</v>
      </c>
      <c r="K1866" s="3" t="s">
        <v>9917</v>
      </c>
      <c r="L1866" s="3" t="s">
        <v>9918</v>
      </c>
      <c r="M1866" s="4"/>
      <c r="N1866" s="3" t="s">
        <v>37</v>
      </c>
      <c r="O1866" s="3" t="s">
        <v>70</v>
      </c>
      <c r="P1866" s="5">
        <v>29</v>
      </c>
      <c r="Q1866" s="5">
        <v>820</v>
      </c>
      <c r="R1866" s="5">
        <v>28</v>
      </c>
      <c r="S1866" s="5">
        <v>796</v>
      </c>
    </row>
    <row r="1867" spans="1:19" ht="28" x14ac:dyDescent="0.15">
      <c r="A1867" s="2">
        <f>HYPERLINK("https://open-school.uspishnemisto.com.ua/school/120294/", 120294)</f>
        <v>120294</v>
      </c>
      <c r="B1867" s="3" t="s">
        <v>9919</v>
      </c>
      <c r="C1867" s="3" t="s">
        <v>31</v>
      </c>
      <c r="D1867" s="3" t="s">
        <v>32</v>
      </c>
      <c r="E1867" s="4" t="s">
        <v>22</v>
      </c>
      <c r="F1867" s="4" t="s">
        <v>9905</v>
      </c>
      <c r="G1867" s="4" t="s">
        <v>9898</v>
      </c>
      <c r="H1867" s="3" t="s">
        <v>8487</v>
      </c>
      <c r="I1867" s="3" t="s">
        <v>9899</v>
      </c>
      <c r="J1867" s="3" t="s">
        <v>9920</v>
      </c>
      <c r="K1867" s="3" t="s">
        <v>9921</v>
      </c>
      <c r="L1867" s="3" t="s">
        <v>9922</v>
      </c>
      <c r="M1867" s="4"/>
      <c r="N1867" s="3" t="s">
        <v>37</v>
      </c>
      <c r="O1867" s="3" t="s">
        <v>38</v>
      </c>
      <c r="P1867" s="5">
        <v>10</v>
      </c>
      <c r="Q1867" s="5">
        <v>246</v>
      </c>
      <c r="R1867" s="5">
        <v>11</v>
      </c>
      <c r="S1867" s="5">
        <v>254</v>
      </c>
    </row>
    <row r="1868" spans="1:19" ht="28" x14ac:dyDescent="0.15">
      <c r="A1868" s="2">
        <f>HYPERLINK("https://open-school.uspishnemisto.com.ua/school/120295/", 120295)</f>
        <v>120295</v>
      </c>
      <c r="B1868" s="3" t="s">
        <v>9923</v>
      </c>
      <c r="C1868" s="3" t="s">
        <v>31</v>
      </c>
      <c r="D1868" s="3" t="s">
        <v>175</v>
      </c>
      <c r="E1868" s="4" t="s">
        <v>22</v>
      </c>
      <c r="F1868" s="4" t="s">
        <v>9924</v>
      </c>
      <c r="G1868" s="4" t="s">
        <v>9898</v>
      </c>
      <c r="H1868" s="3" t="s">
        <v>8487</v>
      </c>
      <c r="I1868" s="3" t="s">
        <v>9899</v>
      </c>
      <c r="J1868" s="3" t="s">
        <v>9925</v>
      </c>
      <c r="K1868" s="3" t="s">
        <v>9926</v>
      </c>
      <c r="L1868" s="3" t="s">
        <v>9927</v>
      </c>
      <c r="M1868" s="4"/>
      <c r="N1868" s="3" t="s">
        <v>37</v>
      </c>
      <c r="O1868" s="3" t="s">
        <v>38</v>
      </c>
      <c r="P1868" s="5">
        <v>9</v>
      </c>
      <c r="Q1868" s="5">
        <v>101</v>
      </c>
      <c r="R1868" s="5">
        <v>9</v>
      </c>
      <c r="S1868" s="5">
        <v>104</v>
      </c>
    </row>
    <row r="1869" spans="1:19" ht="28" x14ac:dyDescent="0.15">
      <c r="A1869" s="2">
        <f>HYPERLINK("https://open-school.uspishnemisto.com.ua/school/120296/", 120296)</f>
        <v>120296</v>
      </c>
      <c r="B1869" s="3" t="s">
        <v>9928</v>
      </c>
      <c r="C1869" s="3" t="s">
        <v>31</v>
      </c>
      <c r="D1869" s="3" t="s">
        <v>32</v>
      </c>
      <c r="E1869" s="4" t="s">
        <v>22</v>
      </c>
      <c r="F1869" s="4" t="s">
        <v>9905</v>
      </c>
      <c r="G1869" s="4" t="s">
        <v>9898</v>
      </c>
      <c r="H1869" s="3" t="s">
        <v>8487</v>
      </c>
      <c r="I1869" s="3" t="s">
        <v>9899</v>
      </c>
      <c r="J1869" s="3" t="s">
        <v>9929</v>
      </c>
      <c r="K1869" s="3" t="s">
        <v>9930</v>
      </c>
      <c r="L1869" s="3" t="s">
        <v>9931</v>
      </c>
      <c r="M1869" s="4"/>
      <c r="N1869" s="3" t="s">
        <v>37</v>
      </c>
      <c r="O1869" s="3" t="s">
        <v>38</v>
      </c>
      <c r="P1869" s="5">
        <v>10</v>
      </c>
      <c r="Q1869" s="5">
        <v>262</v>
      </c>
      <c r="R1869" s="5">
        <v>10</v>
      </c>
      <c r="S1869" s="5">
        <v>255</v>
      </c>
    </row>
    <row r="1870" spans="1:19" ht="28" x14ac:dyDescent="0.15">
      <c r="A1870" s="2">
        <f>HYPERLINK("https://open-school.uspishnemisto.com.ua/school/120297/", 120297)</f>
        <v>120297</v>
      </c>
      <c r="B1870" s="3" t="s">
        <v>9932</v>
      </c>
      <c r="C1870" s="3" t="s">
        <v>31</v>
      </c>
      <c r="D1870" s="3" t="s">
        <v>32</v>
      </c>
      <c r="E1870" s="4" t="s">
        <v>22</v>
      </c>
      <c r="F1870" s="4" t="s">
        <v>9905</v>
      </c>
      <c r="G1870" s="4" t="s">
        <v>9898</v>
      </c>
      <c r="H1870" s="3" t="s">
        <v>8487</v>
      </c>
      <c r="I1870" s="3" t="s">
        <v>9899</v>
      </c>
      <c r="J1870" s="3" t="s">
        <v>9933</v>
      </c>
      <c r="K1870" s="3" t="s">
        <v>9934</v>
      </c>
      <c r="L1870" s="3" t="s">
        <v>9935</v>
      </c>
      <c r="M1870" s="4"/>
      <c r="N1870" s="3" t="s">
        <v>37</v>
      </c>
      <c r="O1870" s="3" t="s">
        <v>38</v>
      </c>
      <c r="P1870" s="5">
        <v>18</v>
      </c>
      <c r="Q1870" s="5">
        <v>470</v>
      </c>
      <c r="R1870" s="5">
        <v>18</v>
      </c>
      <c r="S1870" s="5">
        <v>466</v>
      </c>
    </row>
    <row r="1871" spans="1:19" ht="42" x14ac:dyDescent="0.15">
      <c r="A1871" s="2">
        <f>HYPERLINK("https://open-school.uspishnemisto.com.ua/school/120298/", 120298)</f>
        <v>120298</v>
      </c>
      <c r="B1871" s="3" t="s">
        <v>9936</v>
      </c>
      <c r="C1871" s="3" t="s">
        <v>31</v>
      </c>
      <c r="D1871" s="3" t="s">
        <v>32</v>
      </c>
      <c r="E1871" s="4" t="s">
        <v>22</v>
      </c>
      <c r="F1871" s="4" t="s">
        <v>9905</v>
      </c>
      <c r="G1871" s="4" t="s">
        <v>9898</v>
      </c>
      <c r="H1871" s="3" t="s">
        <v>8487</v>
      </c>
      <c r="I1871" s="3" t="s">
        <v>9899</v>
      </c>
      <c r="J1871" s="3" t="s">
        <v>9937</v>
      </c>
      <c r="K1871" s="3" t="s">
        <v>9938</v>
      </c>
      <c r="L1871" s="3" t="s">
        <v>9939</v>
      </c>
      <c r="M1871" s="4"/>
      <c r="N1871" s="3" t="s">
        <v>37</v>
      </c>
      <c r="O1871" s="3" t="s">
        <v>38</v>
      </c>
      <c r="P1871" s="5">
        <v>29</v>
      </c>
      <c r="Q1871" s="5">
        <v>766</v>
      </c>
      <c r="R1871" s="5">
        <v>28</v>
      </c>
      <c r="S1871" s="5">
        <v>754</v>
      </c>
    </row>
    <row r="1872" spans="1:19" ht="28" x14ac:dyDescent="0.15">
      <c r="A1872" s="2">
        <f>HYPERLINK("https://open-school.uspishnemisto.com.ua/school/120299/", 120299)</f>
        <v>120299</v>
      </c>
      <c r="B1872" s="3" t="s">
        <v>9940</v>
      </c>
      <c r="C1872" s="3" t="s">
        <v>31</v>
      </c>
      <c r="D1872" s="3" t="s">
        <v>32</v>
      </c>
      <c r="E1872" s="4" t="s">
        <v>22</v>
      </c>
      <c r="F1872" s="4" t="s">
        <v>9910</v>
      </c>
      <c r="G1872" s="4" t="s">
        <v>9898</v>
      </c>
      <c r="H1872" s="3" t="s">
        <v>8487</v>
      </c>
      <c r="I1872" s="3" t="s">
        <v>9899</v>
      </c>
      <c r="J1872" s="3" t="s">
        <v>9941</v>
      </c>
      <c r="K1872" s="3" t="s">
        <v>9942</v>
      </c>
      <c r="L1872" s="3" t="s">
        <v>9943</v>
      </c>
      <c r="M1872" s="4"/>
      <c r="N1872" s="3" t="s">
        <v>37</v>
      </c>
      <c r="O1872" s="3" t="s">
        <v>38</v>
      </c>
      <c r="P1872" s="5">
        <v>20</v>
      </c>
      <c r="Q1872" s="5">
        <v>601</v>
      </c>
      <c r="R1872" s="5">
        <v>20</v>
      </c>
      <c r="S1872" s="5">
        <v>587</v>
      </c>
    </row>
    <row r="1873" spans="1:19" ht="28" x14ac:dyDescent="0.15">
      <c r="A1873" s="2">
        <f>HYPERLINK("https://open-school.uspishnemisto.com.ua/school/120300/", 120300)</f>
        <v>120300</v>
      </c>
      <c r="B1873" s="3" t="s">
        <v>9944</v>
      </c>
      <c r="C1873" s="3" t="s">
        <v>31</v>
      </c>
      <c r="D1873" s="3" t="s">
        <v>32</v>
      </c>
      <c r="E1873" s="4" t="s">
        <v>22</v>
      </c>
      <c r="F1873" s="4" t="s">
        <v>9905</v>
      </c>
      <c r="G1873" s="4" t="s">
        <v>9898</v>
      </c>
      <c r="H1873" s="3" t="s">
        <v>8487</v>
      </c>
      <c r="I1873" s="3" t="s">
        <v>9899</v>
      </c>
      <c r="J1873" s="3" t="s">
        <v>9945</v>
      </c>
      <c r="K1873" s="3" t="s">
        <v>9946</v>
      </c>
      <c r="L1873" s="3" t="s">
        <v>9947</v>
      </c>
      <c r="M1873" s="4"/>
      <c r="N1873" s="3" t="s">
        <v>128</v>
      </c>
      <c r="O1873" s="3" t="s">
        <v>70</v>
      </c>
      <c r="P1873" s="5">
        <v>20</v>
      </c>
      <c r="Q1873" s="5">
        <v>521</v>
      </c>
      <c r="R1873" s="5">
        <v>20</v>
      </c>
      <c r="S1873" s="5">
        <v>522</v>
      </c>
    </row>
    <row r="1874" spans="1:19" ht="28" x14ac:dyDescent="0.15">
      <c r="A1874" s="2">
        <f>HYPERLINK("https://open-school.uspishnemisto.com.ua/school/120301/", 120301)</f>
        <v>120301</v>
      </c>
      <c r="B1874" s="3" t="s">
        <v>9948</v>
      </c>
      <c r="C1874" s="3" t="s">
        <v>31</v>
      </c>
      <c r="D1874" s="3" t="s">
        <v>175</v>
      </c>
      <c r="E1874" s="4" t="s">
        <v>22</v>
      </c>
      <c r="F1874" s="4" t="s">
        <v>9910</v>
      </c>
      <c r="G1874" s="4" t="s">
        <v>9898</v>
      </c>
      <c r="H1874" s="3" t="s">
        <v>8487</v>
      </c>
      <c r="I1874" s="3" t="s">
        <v>9899</v>
      </c>
      <c r="J1874" s="3" t="s">
        <v>9949</v>
      </c>
      <c r="K1874" s="3" t="s">
        <v>9950</v>
      </c>
      <c r="L1874" s="3" t="s">
        <v>9951</v>
      </c>
      <c r="M1874" s="4"/>
      <c r="N1874" s="3" t="s">
        <v>37</v>
      </c>
      <c r="O1874" s="3" t="s">
        <v>38</v>
      </c>
      <c r="P1874" s="5">
        <v>9</v>
      </c>
      <c r="Q1874" s="5">
        <v>199</v>
      </c>
      <c r="R1874" s="5">
        <v>9</v>
      </c>
      <c r="S1874" s="5">
        <v>206</v>
      </c>
    </row>
    <row r="1875" spans="1:19" ht="28" x14ac:dyDescent="0.15">
      <c r="A1875" s="2">
        <f>HYPERLINK("https://open-school.uspishnemisto.com.ua/school/120302/", 120302)</f>
        <v>120302</v>
      </c>
      <c r="B1875" s="3" t="s">
        <v>9952</v>
      </c>
      <c r="C1875" s="3" t="s">
        <v>31</v>
      </c>
      <c r="D1875" s="3" t="s">
        <v>32</v>
      </c>
      <c r="E1875" s="4" t="s">
        <v>22</v>
      </c>
      <c r="F1875" s="4" t="s">
        <v>9910</v>
      </c>
      <c r="G1875" s="4" t="s">
        <v>9898</v>
      </c>
      <c r="H1875" s="3" t="s">
        <v>8487</v>
      </c>
      <c r="I1875" s="3" t="s">
        <v>9899</v>
      </c>
      <c r="J1875" s="3" t="s">
        <v>9953</v>
      </c>
      <c r="K1875" s="3" t="s">
        <v>9954</v>
      </c>
      <c r="L1875" s="3" t="s">
        <v>9955</v>
      </c>
      <c r="M1875" s="4"/>
      <c r="N1875" s="3" t="s">
        <v>37</v>
      </c>
      <c r="O1875" s="3" t="s">
        <v>38</v>
      </c>
      <c r="P1875" s="5">
        <v>21</v>
      </c>
      <c r="Q1875" s="5">
        <v>642</v>
      </c>
      <c r="R1875" s="5">
        <v>21</v>
      </c>
      <c r="S1875" s="5">
        <v>639</v>
      </c>
    </row>
    <row r="1876" spans="1:19" ht="28" x14ac:dyDescent="0.15">
      <c r="A1876" s="2">
        <f>HYPERLINK("https://open-school.uspishnemisto.com.ua/school/120303/", 120303)</f>
        <v>120303</v>
      </c>
      <c r="B1876" s="3" t="s">
        <v>9956</v>
      </c>
      <c r="C1876" s="3" t="s">
        <v>31</v>
      </c>
      <c r="D1876" s="3" t="s">
        <v>32</v>
      </c>
      <c r="E1876" s="4" t="s">
        <v>22</v>
      </c>
      <c r="F1876" s="4" t="s">
        <v>9910</v>
      </c>
      <c r="G1876" s="4" t="s">
        <v>9898</v>
      </c>
      <c r="H1876" s="3" t="s">
        <v>8487</v>
      </c>
      <c r="I1876" s="3" t="s">
        <v>9899</v>
      </c>
      <c r="J1876" s="3" t="s">
        <v>9957</v>
      </c>
      <c r="K1876" s="3" t="s">
        <v>9958</v>
      </c>
      <c r="L1876" s="3" t="s">
        <v>9959</v>
      </c>
      <c r="M1876" s="4"/>
      <c r="N1876" s="3" t="s">
        <v>37</v>
      </c>
      <c r="O1876" s="3" t="s">
        <v>38</v>
      </c>
      <c r="P1876" s="5">
        <v>13</v>
      </c>
      <c r="Q1876" s="5">
        <v>333</v>
      </c>
      <c r="R1876" s="5">
        <v>12</v>
      </c>
      <c r="S1876" s="5">
        <v>329</v>
      </c>
    </row>
    <row r="1877" spans="1:19" ht="28" x14ac:dyDescent="0.15">
      <c r="A1877" s="2">
        <f>HYPERLINK("https://open-school.uspishnemisto.com.ua/school/120304/", 120304)</f>
        <v>120304</v>
      </c>
      <c r="B1877" s="3" t="s">
        <v>9960</v>
      </c>
      <c r="C1877" s="3" t="s">
        <v>31</v>
      </c>
      <c r="D1877" s="3" t="s">
        <v>175</v>
      </c>
      <c r="E1877" s="4" t="s">
        <v>22</v>
      </c>
      <c r="F1877" s="4" t="s">
        <v>9910</v>
      </c>
      <c r="G1877" s="4" t="s">
        <v>9898</v>
      </c>
      <c r="H1877" s="3" t="s">
        <v>8487</v>
      </c>
      <c r="I1877" s="3" t="s">
        <v>9899</v>
      </c>
      <c r="J1877" s="3" t="s">
        <v>9961</v>
      </c>
      <c r="K1877" s="3" t="s">
        <v>9962</v>
      </c>
      <c r="L1877" s="3" t="s">
        <v>9963</v>
      </c>
      <c r="M1877" s="4"/>
      <c r="N1877" s="3" t="s">
        <v>128</v>
      </c>
      <c r="O1877" s="3" t="s">
        <v>38</v>
      </c>
      <c r="P1877" s="5">
        <v>11</v>
      </c>
      <c r="Q1877" s="5">
        <v>262</v>
      </c>
      <c r="R1877" s="5">
        <v>11</v>
      </c>
      <c r="S1877" s="5">
        <v>254</v>
      </c>
    </row>
    <row r="1878" spans="1:19" ht="42" x14ac:dyDescent="0.15">
      <c r="A1878" s="2">
        <f>HYPERLINK("https://open-school.uspishnemisto.com.ua/school/120305/", 120305)</f>
        <v>120305</v>
      </c>
      <c r="B1878" s="3" t="s">
        <v>9964</v>
      </c>
      <c r="C1878" s="3" t="s">
        <v>2634</v>
      </c>
      <c r="D1878" s="3" t="s">
        <v>175</v>
      </c>
      <c r="E1878" s="4" t="s">
        <v>22</v>
      </c>
      <c r="F1878" s="4" t="s">
        <v>9620</v>
      </c>
      <c r="G1878" s="4" t="s">
        <v>9965</v>
      </c>
      <c r="H1878" s="3" t="s">
        <v>8487</v>
      </c>
      <c r="I1878" s="3" t="s">
        <v>9966</v>
      </c>
      <c r="J1878" s="3" t="s">
        <v>9967</v>
      </c>
      <c r="K1878" s="3" t="s">
        <v>9968</v>
      </c>
      <c r="L1878" s="3" t="s">
        <v>9969</v>
      </c>
      <c r="M1878" s="4" t="s">
        <v>9970</v>
      </c>
      <c r="N1878" s="3" t="s">
        <v>128</v>
      </c>
      <c r="O1878" s="3" t="s">
        <v>52</v>
      </c>
      <c r="P1878" s="5">
        <v>15</v>
      </c>
      <c r="Q1878" s="5">
        <v>335</v>
      </c>
      <c r="R1878" s="5">
        <v>15</v>
      </c>
      <c r="S1878" s="5">
        <v>341</v>
      </c>
    </row>
    <row r="1879" spans="1:19" ht="42" x14ac:dyDescent="0.15">
      <c r="A1879" s="2">
        <f>HYPERLINK("https://open-school.uspishnemisto.com.ua/school/120306/", 120306)</f>
        <v>120306</v>
      </c>
      <c r="B1879" s="3" t="s">
        <v>9971</v>
      </c>
      <c r="C1879" s="3" t="s">
        <v>48</v>
      </c>
      <c r="D1879" s="3" t="s">
        <v>32</v>
      </c>
      <c r="E1879" s="4" t="s">
        <v>22</v>
      </c>
      <c r="F1879" s="4" t="s">
        <v>9972</v>
      </c>
      <c r="G1879" s="4" t="s">
        <v>9965</v>
      </c>
      <c r="H1879" s="3" t="s">
        <v>8487</v>
      </c>
      <c r="I1879" s="3" t="s">
        <v>9966</v>
      </c>
      <c r="J1879" s="3" t="s">
        <v>9973</v>
      </c>
      <c r="K1879" s="3" t="s">
        <v>9974</v>
      </c>
      <c r="L1879" s="3" t="s">
        <v>9975</v>
      </c>
      <c r="M1879" s="4" t="s">
        <v>9976</v>
      </c>
      <c r="N1879" s="3" t="s">
        <v>37</v>
      </c>
      <c r="O1879" s="3" t="s">
        <v>52</v>
      </c>
      <c r="P1879" s="5">
        <v>10</v>
      </c>
      <c r="Q1879" s="5">
        <v>255</v>
      </c>
      <c r="R1879" s="5">
        <v>10</v>
      </c>
      <c r="S1879" s="5">
        <v>273</v>
      </c>
    </row>
    <row r="1880" spans="1:19" ht="28" x14ac:dyDescent="0.15">
      <c r="A1880" s="2">
        <f>HYPERLINK("https://open-school.uspishnemisto.com.ua/school/120307/", 120307)</f>
        <v>120307</v>
      </c>
      <c r="B1880" s="3" t="s">
        <v>9977</v>
      </c>
      <c r="C1880" s="3" t="s">
        <v>40</v>
      </c>
      <c r="D1880" s="3" t="s">
        <v>32</v>
      </c>
      <c r="E1880" s="4" t="s">
        <v>22</v>
      </c>
      <c r="F1880" s="4" t="s">
        <v>9978</v>
      </c>
      <c r="G1880" s="4" t="s">
        <v>9965</v>
      </c>
      <c r="H1880" s="3" t="s">
        <v>8487</v>
      </c>
      <c r="I1880" s="3" t="s">
        <v>9966</v>
      </c>
      <c r="J1880" s="3" t="s">
        <v>9979</v>
      </c>
      <c r="K1880" s="3" t="s">
        <v>9980</v>
      </c>
      <c r="L1880" s="3" t="s">
        <v>9981</v>
      </c>
      <c r="M1880" s="4"/>
      <c r="N1880" s="3" t="s">
        <v>37</v>
      </c>
      <c r="O1880" s="3" t="s">
        <v>46</v>
      </c>
      <c r="P1880" s="5">
        <v>47</v>
      </c>
      <c r="Q1880" s="5">
        <v>1488</v>
      </c>
      <c r="R1880" s="5">
        <v>47</v>
      </c>
      <c r="S1880" s="5">
        <v>1505</v>
      </c>
    </row>
    <row r="1881" spans="1:19" ht="28" x14ac:dyDescent="0.15">
      <c r="A1881" s="2">
        <f>HYPERLINK("https://open-school.uspishnemisto.com.ua/school/120308/", 120308)</f>
        <v>120308</v>
      </c>
      <c r="B1881" s="3" t="s">
        <v>9982</v>
      </c>
      <c r="C1881" s="3" t="s">
        <v>31</v>
      </c>
      <c r="D1881" s="3" t="s">
        <v>32</v>
      </c>
      <c r="E1881" s="4" t="s">
        <v>22</v>
      </c>
      <c r="F1881" s="4" t="s">
        <v>9983</v>
      </c>
      <c r="G1881" s="4" t="s">
        <v>9965</v>
      </c>
      <c r="H1881" s="3" t="s">
        <v>8487</v>
      </c>
      <c r="I1881" s="3" t="s">
        <v>9966</v>
      </c>
      <c r="J1881" s="3" t="s">
        <v>9984</v>
      </c>
      <c r="K1881" s="3" t="s">
        <v>9985</v>
      </c>
      <c r="L1881" s="3" t="s">
        <v>9986</v>
      </c>
      <c r="M1881" s="4"/>
      <c r="N1881" s="3" t="s">
        <v>967</v>
      </c>
      <c r="O1881" s="3" t="s">
        <v>46</v>
      </c>
      <c r="P1881" s="5">
        <v>10</v>
      </c>
      <c r="Q1881" s="5">
        <v>149</v>
      </c>
      <c r="R1881" s="5">
        <v>10</v>
      </c>
      <c r="S1881" s="5">
        <v>161</v>
      </c>
    </row>
    <row r="1882" spans="1:19" ht="28" x14ac:dyDescent="0.15">
      <c r="A1882" s="2">
        <f>HYPERLINK("https://open-school.uspishnemisto.com.ua/school/120309/", 120309)</f>
        <v>120309</v>
      </c>
      <c r="B1882" s="3" t="s">
        <v>9987</v>
      </c>
      <c r="C1882" s="3" t="s">
        <v>31</v>
      </c>
      <c r="D1882" s="3" t="s">
        <v>32</v>
      </c>
      <c r="E1882" s="4" t="s">
        <v>22</v>
      </c>
      <c r="F1882" s="4" t="s">
        <v>9853</v>
      </c>
      <c r="G1882" s="4" t="s">
        <v>9965</v>
      </c>
      <c r="H1882" s="3" t="s">
        <v>8487</v>
      </c>
      <c r="I1882" s="3" t="s">
        <v>9966</v>
      </c>
      <c r="J1882" s="3" t="s">
        <v>9988</v>
      </c>
      <c r="K1882" s="3" t="s">
        <v>9989</v>
      </c>
      <c r="L1882" s="3" t="s">
        <v>9990</v>
      </c>
      <c r="M1882" s="4"/>
      <c r="N1882" s="3" t="s">
        <v>128</v>
      </c>
      <c r="O1882" s="3" t="s">
        <v>129</v>
      </c>
      <c r="P1882" s="5">
        <v>35</v>
      </c>
      <c r="Q1882" s="5">
        <v>994</v>
      </c>
      <c r="R1882" s="5">
        <v>33</v>
      </c>
      <c r="S1882" s="5">
        <v>950</v>
      </c>
    </row>
    <row r="1883" spans="1:19" ht="28" x14ac:dyDescent="0.15">
      <c r="A1883" s="2">
        <f>HYPERLINK("https://open-school.uspishnemisto.com.ua/school/120310/", 120310)</f>
        <v>120310</v>
      </c>
      <c r="B1883" s="3" t="s">
        <v>9991</v>
      </c>
      <c r="C1883" s="3" t="s">
        <v>31</v>
      </c>
      <c r="D1883" s="3" t="s">
        <v>32</v>
      </c>
      <c r="E1883" s="4" t="s">
        <v>22</v>
      </c>
      <c r="F1883" s="4" t="s">
        <v>9620</v>
      </c>
      <c r="G1883" s="4" t="s">
        <v>9965</v>
      </c>
      <c r="H1883" s="3" t="s">
        <v>8487</v>
      </c>
      <c r="I1883" s="3" t="s">
        <v>9966</v>
      </c>
      <c r="J1883" s="3" t="s">
        <v>9992</v>
      </c>
      <c r="K1883" s="3" t="s">
        <v>9993</v>
      </c>
      <c r="L1883" s="3" t="s">
        <v>9994</v>
      </c>
      <c r="M1883" s="4"/>
      <c r="N1883" s="3" t="s">
        <v>967</v>
      </c>
      <c r="O1883" s="3" t="s">
        <v>46</v>
      </c>
      <c r="P1883" s="5">
        <v>23</v>
      </c>
      <c r="Q1883" s="5">
        <v>646</v>
      </c>
      <c r="R1883" s="5">
        <v>21</v>
      </c>
      <c r="S1883" s="5">
        <v>612</v>
      </c>
    </row>
    <row r="1884" spans="1:19" ht="28" x14ac:dyDescent="0.15">
      <c r="A1884" s="2">
        <f>HYPERLINK("https://open-school.uspishnemisto.com.ua/school/120311/", 120311)</f>
        <v>120311</v>
      </c>
      <c r="B1884" s="3" t="s">
        <v>9995</v>
      </c>
      <c r="C1884" s="3" t="s">
        <v>31</v>
      </c>
      <c r="D1884" s="3" t="s">
        <v>32</v>
      </c>
      <c r="E1884" s="4" t="s">
        <v>22</v>
      </c>
      <c r="F1884" s="4" t="s">
        <v>9853</v>
      </c>
      <c r="G1884" s="4" t="s">
        <v>9965</v>
      </c>
      <c r="H1884" s="3" t="s">
        <v>8487</v>
      </c>
      <c r="I1884" s="3" t="s">
        <v>9966</v>
      </c>
      <c r="J1884" s="3" t="s">
        <v>9996</v>
      </c>
      <c r="K1884" s="3" t="s">
        <v>9997</v>
      </c>
      <c r="L1884" s="3" t="s">
        <v>9998</v>
      </c>
      <c r="M1884" s="4"/>
      <c r="N1884" s="3" t="s">
        <v>37</v>
      </c>
      <c r="O1884" s="3" t="s">
        <v>38</v>
      </c>
      <c r="P1884" s="5">
        <v>21</v>
      </c>
      <c r="Q1884" s="5">
        <v>590</v>
      </c>
      <c r="R1884" s="5">
        <v>21</v>
      </c>
      <c r="S1884" s="5">
        <v>578</v>
      </c>
    </row>
    <row r="1885" spans="1:19" ht="28" x14ac:dyDescent="0.15">
      <c r="A1885" s="2">
        <f>HYPERLINK("https://open-school.uspishnemisto.com.ua/school/120312/", 120312)</f>
        <v>120312</v>
      </c>
      <c r="B1885" s="3" t="s">
        <v>9999</v>
      </c>
      <c r="C1885" s="3" t="s">
        <v>31</v>
      </c>
      <c r="D1885" s="3" t="s">
        <v>32</v>
      </c>
      <c r="E1885" s="4" t="s">
        <v>22</v>
      </c>
      <c r="F1885" s="4" t="s">
        <v>10000</v>
      </c>
      <c r="G1885" s="4" t="s">
        <v>9965</v>
      </c>
      <c r="H1885" s="3" t="s">
        <v>8487</v>
      </c>
      <c r="I1885" s="3" t="s">
        <v>9966</v>
      </c>
      <c r="J1885" s="3" t="s">
        <v>10001</v>
      </c>
      <c r="K1885" s="3" t="s">
        <v>10002</v>
      </c>
      <c r="L1885" s="3" t="s">
        <v>10003</v>
      </c>
      <c r="M1885" s="4"/>
      <c r="N1885" s="3" t="s">
        <v>37</v>
      </c>
      <c r="O1885" s="3" t="s">
        <v>38</v>
      </c>
      <c r="P1885" s="5">
        <v>15</v>
      </c>
      <c r="Q1885" s="5">
        <v>387</v>
      </c>
      <c r="R1885" s="5">
        <v>14</v>
      </c>
      <c r="S1885" s="5">
        <v>354</v>
      </c>
    </row>
    <row r="1886" spans="1:19" ht="28" x14ac:dyDescent="0.15">
      <c r="A1886" s="2">
        <f>HYPERLINK("https://open-school.uspishnemisto.com.ua/school/120313/", 120313)</f>
        <v>120313</v>
      </c>
      <c r="B1886" s="3" t="s">
        <v>10004</v>
      </c>
      <c r="C1886" s="3" t="s">
        <v>31</v>
      </c>
      <c r="D1886" s="3" t="s">
        <v>32</v>
      </c>
      <c r="E1886" s="4" t="s">
        <v>22</v>
      </c>
      <c r="F1886" s="4" t="s">
        <v>10005</v>
      </c>
      <c r="G1886" s="4" t="s">
        <v>9965</v>
      </c>
      <c r="H1886" s="3" t="s">
        <v>8487</v>
      </c>
      <c r="I1886" s="3" t="s">
        <v>9966</v>
      </c>
      <c r="J1886" s="3" t="s">
        <v>10006</v>
      </c>
      <c r="K1886" s="3" t="s">
        <v>10007</v>
      </c>
      <c r="L1886" s="3" t="s">
        <v>10008</v>
      </c>
      <c r="M1886" s="4"/>
      <c r="N1886" s="3" t="s">
        <v>967</v>
      </c>
      <c r="O1886" s="3" t="s">
        <v>46</v>
      </c>
      <c r="P1886" s="5">
        <v>20</v>
      </c>
      <c r="Q1886" s="5">
        <v>493</v>
      </c>
      <c r="R1886" s="5">
        <v>19</v>
      </c>
      <c r="S1886" s="5">
        <v>480</v>
      </c>
    </row>
    <row r="1887" spans="1:19" ht="28" x14ac:dyDescent="0.15">
      <c r="A1887" s="2">
        <f>HYPERLINK("https://open-school.uspishnemisto.com.ua/school/120314/", 120314)</f>
        <v>120314</v>
      </c>
      <c r="B1887" s="3" t="s">
        <v>10009</v>
      </c>
      <c r="C1887" s="3" t="s">
        <v>31</v>
      </c>
      <c r="D1887" s="3" t="s">
        <v>32</v>
      </c>
      <c r="E1887" s="4" t="s">
        <v>22</v>
      </c>
      <c r="F1887" s="4" t="s">
        <v>10010</v>
      </c>
      <c r="G1887" s="4" t="s">
        <v>9965</v>
      </c>
      <c r="H1887" s="3" t="s">
        <v>8487</v>
      </c>
      <c r="I1887" s="3" t="s">
        <v>9966</v>
      </c>
      <c r="J1887" s="3" t="s">
        <v>10011</v>
      </c>
      <c r="K1887" s="3" t="s">
        <v>10012</v>
      </c>
      <c r="L1887" s="3" t="s">
        <v>10013</v>
      </c>
      <c r="M1887" s="4"/>
      <c r="N1887" s="3" t="s">
        <v>967</v>
      </c>
      <c r="O1887" s="3" t="s">
        <v>46</v>
      </c>
      <c r="P1887" s="5">
        <v>22</v>
      </c>
      <c r="Q1887" s="5">
        <v>578</v>
      </c>
      <c r="R1887" s="5">
        <v>22</v>
      </c>
      <c r="S1887" s="5">
        <v>570</v>
      </c>
    </row>
    <row r="1888" spans="1:19" ht="28" x14ac:dyDescent="0.15">
      <c r="A1888" s="2">
        <f>HYPERLINK("https://open-school.uspishnemisto.com.ua/school/120316/", 120316)</f>
        <v>120316</v>
      </c>
      <c r="B1888" s="3" t="s">
        <v>10014</v>
      </c>
      <c r="C1888" s="3" t="s">
        <v>31</v>
      </c>
      <c r="D1888" s="3" t="s">
        <v>32</v>
      </c>
      <c r="E1888" s="4" t="s">
        <v>22</v>
      </c>
      <c r="F1888" s="4" t="s">
        <v>9972</v>
      </c>
      <c r="G1888" s="4" t="s">
        <v>9965</v>
      </c>
      <c r="H1888" s="3" t="s">
        <v>8487</v>
      </c>
      <c r="I1888" s="3" t="s">
        <v>9966</v>
      </c>
      <c r="J1888" s="3" t="s">
        <v>10015</v>
      </c>
      <c r="K1888" s="3" t="s">
        <v>10016</v>
      </c>
      <c r="L1888" s="3" t="s">
        <v>10017</v>
      </c>
      <c r="M1888" s="4"/>
      <c r="N1888" s="3" t="s">
        <v>37</v>
      </c>
      <c r="O1888" s="3" t="s">
        <v>38</v>
      </c>
      <c r="P1888" s="5">
        <v>11</v>
      </c>
      <c r="Q1888" s="5">
        <v>251</v>
      </c>
      <c r="R1888" s="5">
        <v>12</v>
      </c>
      <c r="S1888" s="5">
        <v>270</v>
      </c>
    </row>
    <row r="1889" spans="1:19" ht="28" x14ac:dyDescent="0.15">
      <c r="A1889" s="2">
        <f>HYPERLINK("https://open-school.uspishnemisto.com.ua/school/120317/", 120317)</f>
        <v>120317</v>
      </c>
      <c r="B1889" s="3" t="s">
        <v>10018</v>
      </c>
      <c r="C1889" s="3" t="s">
        <v>31</v>
      </c>
      <c r="D1889" s="3" t="s">
        <v>32</v>
      </c>
      <c r="E1889" s="4" t="s">
        <v>22</v>
      </c>
      <c r="F1889" s="4" t="s">
        <v>10005</v>
      </c>
      <c r="G1889" s="4" t="s">
        <v>9965</v>
      </c>
      <c r="H1889" s="3" t="s">
        <v>8487</v>
      </c>
      <c r="I1889" s="3" t="s">
        <v>9966</v>
      </c>
      <c r="J1889" s="3" t="s">
        <v>10019</v>
      </c>
      <c r="K1889" s="3" t="s">
        <v>10020</v>
      </c>
      <c r="L1889" s="3" t="s">
        <v>10021</v>
      </c>
      <c r="M1889" s="4"/>
      <c r="N1889" s="3" t="s">
        <v>37</v>
      </c>
      <c r="O1889" s="3" t="s">
        <v>70</v>
      </c>
      <c r="P1889" s="5">
        <v>19</v>
      </c>
      <c r="Q1889" s="5">
        <v>510</v>
      </c>
      <c r="R1889" s="5">
        <v>19</v>
      </c>
      <c r="S1889" s="5">
        <v>532</v>
      </c>
    </row>
    <row r="1890" spans="1:19" ht="28" x14ac:dyDescent="0.15">
      <c r="A1890" s="2">
        <f>HYPERLINK("https://open-school.uspishnemisto.com.ua/school/120318/", 120318)</f>
        <v>120318</v>
      </c>
      <c r="B1890" s="3" t="s">
        <v>10022</v>
      </c>
      <c r="C1890" s="3" t="s">
        <v>31</v>
      </c>
      <c r="D1890" s="3" t="s">
        <v>32</v>
      </c>
      <c r="E1890" s="4" t="s">
        <v>22</v>
      </c>
      <c r="F1890" s="4" t="s">
        <v>10023</v>
      </c>
      <c r="G1890" s="4" t="s">
        <v>9965</v>
      </c>
      <c r="H1890" s="3" t="s">
        <v>8487</v>
      </c>
      <c r="I1890" s="3" t="s">
        <v>9966</v>
      </c>
      <c r="J1890" s="3" t="s">
        <v>10024</v>
      </c>
      <c r="K1890" s="3" t="s">
        <v>10025</v>
      </c>
      <c r="L1890" s="3" t="s">
        <v>10026</v>
      </c>
      <c r="M1890" s="4"/>
      <c r="N1890" s="3" t="s">
        <v>37</v>
      </c>
      <c r="O1890" s="3" t="s">
        <v>38</v>
      </c>
      <c r="P1890" s="5">
        <v>23</v>
      </c>
      <c r="Q1890" s="5">
        <v>639</v>
      </c>
      <c r="R1890" s="5">
        <v>25</v>
      </c>
      <c r="S1890" s="5">
        <v>650</v>
      </c>
    </row>
    <row r="1891" spans="1:19" ht="28" x14ac:dyDescent="0.15">
      <c r="A1891" s="2">
        <f>HYPERLINK("https://open-school.uspishnemisto.com.ua/school/120319/", 120319)</f>
        <v>120319</v>
      </c>
      <c r="B1891" s="3" t="s">
        <v>10027</v>
      </c>
      <c r="C1891" s="3" t="s">
        <v>31</v>
      </c>
      <c r="D1891" s="3" t="s">
        <v>32</v>
      </c>
      <c r="E1891" s="4" t="s">
        <v>22</v>
      </c>
      <c r="F1891" s="4" t="s">
        <v>9983</v>
      </c>
      <c r="G1891" s="4" t="s">
        <v>9965</v>
      </c>
      <c r="H1891" s="3" t="s">
        <v>8487</v>
      </c>
      <c r="I1891" s="3" t="s">
        <v>9966</v>
      </c>
      <c r="J1891" s="3" t="s">
        <v>10028</v>
      </c>
      <c r="K1891" s="3" t="s">
        <v>10029</v>
      </c>
      <c r="L1891" s="3" t="s">
        <v>10030</v>
      </c>
      <c r="M1891" s="4"/>
      <c r="N1891" s="3" t="s">
        <v>37</v>
      </c>
      <c r="O1891" s="3" t="s">
        <v>70</v>
      </c>
      <c r="P1891" s="5">
        <v>13</v>
      </c>
      <c r="Q1891" s="5">
        <v>318</v>
      </c>
      <c r="R1891" s="5">
        <v>12</v>
      </c>
      <c r="S1891" s="5">
        <v>312</v>
      </c>
    </row>
    <row r="1892" spans="1:19" ht="28" x14ac:dyDescent="0.15">
      <c r="A1892" s="2">
        <f>HYPERLINK("https://open-school.uspishnemisto.com.ua/school/120320/", 120320)</f>
        <v>120320</v>
      </c>
      <c r="B1892" s="3" t="s">
        <v>10031</v>
      </c>
      <c r="C1892" s="3" t="s">
        <v>31</v>
      </c>
      <c r="D1892" s="3" t="s">
        <v>32</v>
      </c>
      <c r="E1892" s="4" t="s">
        <v>22</v>
      </c>
      <c r="F1892" s="4" t="s">
        <v>10023</v>
      </c>
      <c r="G1892" s="4" t="s">
        <v>9965</v>
      </c>
      <c r="H1892" s="3" t="s">
        <v>8487</v>
      </c>
      <c r="I1892" s="3" t="s">
        <v>9966</v>
      </c>
      <c r="J1892" s="3" t="s">
        <v>10032</v>
      </c>
      <c r="K1892" s="3" t="s">
        <v>10033</v>
      </c>
      <c r="L1892" s="3" t="s">
        <v>10034</v>
      </c>
      <c r="M1892" s="4"/>
      <c r="N1892" s="3" t="s">
        <v>967</v>
      </c>
      <c r="O1892" s="3" t="s">
        <v>46</v>
      </c>
      <c r="P1892" s="5">
        <v>13</v>
      </c>
      <c r="Q1892" s="5">
        <v>331</v>
      </c>
      <c r="R1892" s="5">
        <v>13</v>
      </c>
      <c r="S1892" s="5">
        <v>330</v>
      </c>
    </row>
    <row r="1893" spans="1:19" ht="28" x14ac:dyDescent="0.15">
      <c r="A1893" s="2">
        <f>HYPERLINK("https://open-school.uspishnemisto.com.ua/school/120321/", 120321)</f>
        <v>120321</v>
      </c>
      <c r="B1893" s="3" t="s">
        <v>10035</v>
      </c>
      <c r="C1893" s="3" t="s">
        <v>31</v>
      </c>
      <c r="D1893" s="3" t="s">
        <v>32</v>
      </c>
      <c r="E1893" s="4" t="s">
        <v>22</v>
      </c>
      <c r="F1893" s="4" t="s">
        <v>10036</v>
      </c>
      <c r="G1893" s="4" t="s">
        <v>9965</v>
      </c>
      <c r="H1893" s="3" t="s">
        <v>8487</v>
      </c>
      <c r="I1893" s="3" t="s">
        <v>9966</v>
      </c>
      <c r="J1893" s="3" t="s">
        <v>10037</v>
      </c>
      <c r="K1893" s="3" t="s">
        <v>10038</v>
      </c>
      <c r="L1893" s="3" t="s">
        <v>10039</v>
      </c>
      <c r="M1893" s="4"/>
      <c r="N1893" s="3" t="s">
        <v>37</v>
      </c>
      <c r="O1893" s="3" t="s">
        <v>38</v>
      </c>
      <c r="P1893" s="5">
        <v>14</v>
      </c>
      <c r="Q1893" s="5">
        <v>370</v>
      </c>
      <c r="R1893" s="5">
        <v>13</v>
      </c>
      <c r="S1893" s="5">
        <v>358</v>
      </c>
    </row>
    <row r="1894" spans="1:19" ht="28" x14ac:dyDescent="0.15">
      <c r="A1894" s="2">
        <f>HYPERLINK("https://open-school.uspishnemisto.com.ua/school/120322/", 120322)</f>
        <v>120322</v>
      </c>
      <c r="B1894" s="3" t="s">
        <v>10040</v>
      </c>
      <c r="C1894" s="3" t="s">
        <v>31</v>
      </c>
      <c r="D1894" s="3" t="s">
        <v>32</v>
      </c>
      <c r="E1894" s="4" t="s">
        <v>22</v>
      </c>
      <c r="F1894" s="4" t="s">
        <v>10010</v>
      </c>
      <c r="G1894" s="4" t="s">
        <v>9965</v>
      </c>
      <c r="H1894" s="3" t="s">
        <v>8487</v>
      </c>
      <c r="I1894" s="3" t="s">
        <v>9966</v>
      </c>
      <c r="J1894" s="3" t="s">
        <v>10041</v>
      </c>
      <c r="K1894" s="3" t="s">
        <v>10042</v>
      </c>
      <c r="L1894" s="3" t="s">
        <v>10043</v>
      </c>
      <c r="M1894" s="4"/>
      <c r="N1894" s="3" t="s">
        <v>37</v>
      </c>
      <c r="O1894" s="3" t="s">
        <v>38</v>
      </c>
      <c r="P1894" s="5">
        <v>27</v>
      </c>
      <c r="Q1894" s="5">
        <v>715</v>
      </c>
      <c r="R1894" s="5">
        <v>25</v>
      </c>
      <c r="S1894" s="5">
        <v>677</v>
      </c>
    </row>
    <row r="1895" spans="1:19" ht="28" x14ac:dyDescent="0.15">
      <c r="A1895" s="2">
        <f>HYPERLINK("https://open-school.uspishnemisto.com.ua/school/120323/", 120323)</f>
        <v>120323</v>
      </c>
      <c r="B1895" s="3" t="s">
        <v>10044</v>
      </c>
      <c r="C1895" s="3" t="s">
        <v>31</v>
      </c>
      <c r="D1895" s="3" t="s">
        <v>32</v>
      </c>
      <c r="E1895" s="4" t="s">
        <v>22</v>
      </c>
      <c r="F1895" s="4" t="s">
        <v>9620</v>
      </c>
      <c r="G1895" s="4" t="s">
        <v>9965</v>
      </c>
      <c r="H1895" s="3" t="s">
        <v>8487</v>
      </c>
      <c r="I1895" s="3" t="s">
        <v>9966</v>
      </c>
      <c r="J1895" s="3" t="s">
        <v>10045</v>
      </c>
      <c r="K1895" s="3" t="s">
        <v>10046</v>
      </c>
      <c r="L1895" s="3" t="s">
        <v>10047</v>
      </c>
      <c r="M1895" s="4"/>
      <c r="N1895" s="3" t="s">
        <v>37</v>
      </c>
      <c r="O1895" s="3" t="s">
        <v>197</v>
      </c>
      <c r="P1895" s="5">
        <v>27</v>
      </c>
      <c r="Q1895" s="5">
        <v>799</v>
      </c>
      <c r="R1895" s="5">
        <v>26</v>
      </c>
      <c r="S1895" s="5">
        <v>726</v>
      </c>
    </row>
    <row r="1896" spans="1:19" ht="28" x14ac:dyDescent="0.15">
      <c r="A1896" s="2">
        <f>HYPERLINK("https://open-school.uspishnemisto.com.ua/school/120324/", 120324)</f>
        <v>120324</v>
      </c>
      <c r="B1896" s="3" t="s">
        <v>10048</v>
      </c>
      <c r="C1896" s="3" t="s">
        <v>244</v>
      </c>
      <c r="D1896" s="3" t="s">
        <v>32</v>
      </c>
      <c r="E1896" s="4" t="s">
        <v>22</v>
      </c>
      <c r="F1896" s="4" t="s">
        <v>9972</v>
      </c>
      <c r="G1896" s="4" t="s">
        <v>9965</v>
      </c>
      <c r="H1896" s="3" t="s">
        <v>8487</v>
      </c>
      <c r="I1896" s="3" t="s">
        <v>9966</v>
      </c>
      <c r="J1896" s="3" t="s">
        <v>10049</v>
      </c>
      <c r="K1896" s="3" t="s">
        <v>10050</v>
      </c>
      <c r="L1896" s="3" t="s">
        <v>10051</v>
      </c>
      <c r="M1896" s="4"/>
      <c r="N1896" s="3" t="s">
        <v>37</v>
      </c>
      <c r="O1896" s="3" t="s">
        <v>38</v>
      </c>
      <c r="P1896" s="5">
        <v>13</v>
      </c>
      <c r="Q1896" s="5">
        <v>363</v>
      </c>
      <c r="R1896" s="5">
        <v>13</v>
      </c>
      <c r="S1896" s="5">
        <v>337</v>
      </c>
    </row>
    <row r="1897" spans="1:19" ht="28" x14ac:dyDescent="0.15">
      <c r="A1897" s="2">
        <f>HYPERLINK("https://open-school.uspishnemisto.com.ua/school/120325/", 120325)</f>
        <v>120325</v>
      </c>
      <c r="B1897" s="3" t="s">
        <v>10052</v>
      </c>
      <c r="C1897" s="3" t="s">
        <v>244</v>
      </c>
      <c r="D1897" s="3" t="s">
        <v>32</v>
      </c>
      <c r="E1897" s="4" t="s">
        <v>22</v>
      </c>
      <c r="F1897" s="4" t="s">
        <v>10053</v>
      </c>
      <c r="G1897" s="4" t="s">
        <v>9965</v>
      </c>
      <c r="H1897" s="3" t="s">
        <v>8487</v>
      </c>
      <c r="I1897" s="3" t="s">
        <v>9966</v>
      </c>
      <c r="J1897" s="3" t="s">
        <v>10054</v>
      </c>
      <c r="K1897" s="3" t="s">
        <v>10055</v>
      </c>
      <c r="L1897" s="3" t="s">
        <v>10056</v>
      </c>
      <c r="M1897" s="4"/>
      <c r="N1897" s="3" t="s">
        <v>37</v>
      </c>
      <c r="O1897" s="3" t="s">
        <v>46</v>
      </c>
      <c r="P1897" s="5">
        <v>28</v>
      </c>
      <c r="Q1897" s="5">
        <v>847</v>
      </c>
      <c r="R1897" s="5">
        <v>27</v>
      </c>
      <c r="S1897" s="5">
        <v>839</v>
      </c>
    </row>
    <row r="1898" spans="1:19" ht="42" x14ac:dyDescent="0.15">
      <c r="A1898" s="2">
        <f>HYPERLINK("https://open-school.uspishnemisto.com.ua/school/120326/", 120326)</f>
        <v>120326</v>
      </c>
      <c r="B1898" s="3" t="s">
        <v>10057</v>
      </c>
      <c r="C1898" s="3" t="s">
        <v>244</v>
      </c>
      <c r="D1898" s="3" t="s">
        <v>32</v>
      </c>
      <c r="E1898" s="4" t="s">
        <v>22</v>
      </c>
      <c r="F1898" s="4" t="s">
        <v>9620</v>
      </c>
      <c r="G1898" s="4" t="s">
        <v>9965</v>
      </c>
      <c r="H1898" s="3" t="s">
        <v>8487</v>
      </c>
      <c r="I1898" s="3" t="s">
        <v>9966</v>
      </c>
      <c r="J1898" s="3" t="s">
        <v>10058</v>
      </c>
      <c r="K1898" s="3" t="s">
        <v>10059</v>
      </c>
      <c r="L1898" s="3" t="s">
        <v>10060</v>
      </c>
      <c r="M1898" s="4"/>
      <c r="N1898" s="3" t="s">
        <v>967</v>
      </c>
      <c r="O1898" s="3" t="s">
        <v>123</v>
      </c>
      <c r="P1898" s="5">
        <v>20</v>
      </c>
      <c r="Q1898" s="5">
        <v>493</v>
      </c>
      <c r="R1898" s="5">
        <v>22</v>
      </c>
      <c r="S1898" s="5">
        <v>522</v>
      </c>
    </row>
    <row r="1899" spans="1:19" ht="28" x14ac:dyDescent="0.15">
      <c r="A1899" s="2">
        <f>HYPERLINK("https://open-school.uspishnemisto.com.ua/school/120327/", 120327)</f>
        <v>120327</v>
      </c>
      <c r="B1899" s="3" t="s">
        <v>10061</v>
      </c>
      <c r="C1899" s="3" t="s">
        <v>244</v>
      </c>
      <c r="D1899" s="3" t="s">
        <v>32</v>
      </c>
      <c r="E1899" s="4" t="s">
        <v>22</v>
      </c>
      <c r="F1899" s="4" t="s">
        <v>10000</v>
      </c>
      <c r="G1899" s="4" t="s">
        <v>9965</v>
      </c>
      <c r="H1899" s="3" t="s">
        <v>8487</v>
      </c>
      <c r="I1899" s="3" t="s">
        <v>9966</v>
      </c>
      <c r="J1899" s="3" t="s">
        <v>10062</v>
      </c>
      <c r="K1899" s="3" t="s">
        <v>10063</v>
      </c>
      <c r="L1899" s="3" t="s">
        <v>10064</v>
      </c>
      <c r="M1899" s="4"/>
      <c r="N1899" s="3" t="s">
        <v>37</v>
      </c>
      <c r="O1899" s="3" t="s">
        <v>38</v>
      </c>
      <c r="P1899" s="5">
        <v>28</v>
      </c>
      <c r="Q1899" s="5">
        <v>754</v>
      </c>
      <c r="R1899" s="5">
        <v>28</v>
      </c>
      <c r="S1899" s="5">
        <v>753</v>
      </c>
    </row>
    <row r="1900" spans="1:19" ht="56" x14ac:dyDescent="0.15">
      <c r="A1900" s="2">
        <f>HYPERLINK("https://open-school.uspishnemisto.com.ua/school/120328/", 120328)</f>
        <v>120328</v>
      </c>
      <c r="B1900" s="3" t="s">
        <v>10065</v>
      </c>
      <c r="C1900" s="3" t="s">
        <v>54</v>
      </c>
      <c r="D1900" s="3" t="s">
        <v>32</v>
      </c>
      <c r="E1900" s="4" t="s">
        <v>22</v>
      </c>
      <c r="F1900" s="4" t="s">
        <v>10053</v>
      </c>
      <c r="G1900" s="4" t="s">
        <v>9965</v>
      </c>
      <c r="H1900" s="3" t="s">
        <v>8487</v>
      </c>
      <c r="I1900" s="3" t="s">
        <v>9966</v>
      </c>
      <c r="J1900" s="3" t="s">
        <v>10066</v>
      </c>
      <c r="K1900" s="3" t="s">
        <v>10067</v>
      </c>
      <c r="L1900" s="3" t="s">
        <v>10068</v>
      </c>
      <c r="M1900" s="4"/>
      <c r="N1900" s="3" t="s">
        <v>37</v>
      </c>
      <c r="O1900" s="3" t="s">
        <v>70</v>
      </c>
      <c r="P1900" s="5">
        <v>40</v>
      </c>
      <c r="Q1900" s="5">
        <v>1254</v>
      </c>
      <c r="R1900" s="5">
        <v>40</v>
      </c>
      <c r="S1900" s="5">
        <v>1242</v>
      </c>
    </row>
    <row r="1901" spans="1:19" ht="28" x14ac:dyDescent="0.15">
      <c r="A1901" s="2">
        <f>HYPERLINK("https://open-school.uspishnemisto.com.ua/school/120329/", 120329)</f>
        <v>120329</v>
      </c>
      <c r="B1901" s="3" t="s">
        <v>10069</v>
      </c>
      <c r="C1901" s="3" t="s">
        <v>188</v>
      </c>
      <c r="D1901" s="3" t="s">
        <v>32</v>
      </c>
      <c r="E1901" s="4" t="s">
        <v>22</v>
      </c>
      <c r="F1901" s="4" t="s">
        <v>9620</v>
      </c>
      <c r="G1901" s="4" t="s">
        <v>9965</v>
      </c>
      <c r="H1901" s="3" t="s">
        <v>8487</v>
      </c>
      <c r="I1901" s="3" t="s">
        <v>9966</v>
      </c>
      <c r="J1901" s="3" t="s">
        <v>10070</v>
      </c>
      <c r="K1901" s="3" t="s">
        <v>10071</v>
      </c>
      <c r="L1901" s="3" t="s">
        <v>10072</v>
      </c>
      <c r="M1901" s="4"/>
      <c r="N1901" s="3" t="s">
        <v>37</v>
      </c>
      <c r="O1901" s="3" t="s">
        <v>38</v>
      </c>
      <c r="P1901" s="5">
        <v>13</v>
      </c>
      <c r="Q1901" s="5">
        <v>386</v>
      </c>
      <c r="R1901" s="5">
        <v>12</v>
      </c>
      <c r="S1901" s="5">
        <v>374</v>
      </c>
    </row>
    <row r="1902" spans="1:19" ht="42" x14ac:dyDescent="0.15">
      <c r="A1902" s="2">
        <f>HYPERLINK("https://open-school.uspishnemisto.com.ua/school/120330/", 120330)</f>
        <v>120330</v>
      </c>
      <c r="B1902" s="3" t="s">
        <v>10073</v>
      </c>
      <c r="C1902" s="3" t="s">
        <v>54</v>
      </c>
      <c r="D1902" s="3" t="s">
        <v>60</v>
      </c>
      <c r="E1902" s="4" t="s">
        <v>22</v>
      </c>
      <c r="F1902" s="4" t="s">
        <v>10000</v>
      </c>
      <c r="G1902" s="4" t="s">
        <v>9965</v>
      </c>
      <c r="H1902" s="3" t="s">
        <v>8487</v>
      </c>
      <c r="I1902" s="3" t="s">
        <v>9966</v>
      </c>
      <c r="J1902" s="3" t="s">
        <v>10074</v>
      </c>
      <c r="K1902" s="3" t="s">
        <v>10075</v>
      </c>
      <c r="L1902" s="3" t="s">
        <v>10076</v>
      </c>
      <c r="M1902" s="4"/>
      <c r="N1902" s="3"/>
      <c r="O1902" s="3"/>
      <c r="P1902" s="5">
        <v>0</v>
      </c>
      <c r="Q1902" s="5">
        <v>0</v>
      </c>
      <c r="R1902" s="5">
        <v>0</v>
      </c>
      <c r="S1902" s="5">
        <v>0</v>
      </c>
    </row>
    <row r="1903" spans="1:19" ht="28" x14ac:dyDescent="0.15">
      <c r="A1903" s="2">
        <f>HYPERLINK("https://open-school.uspishnemisto.com.ua/school/120331/", 120331)</f>
        <v>120331</v>
      </c>
      <c r="B1903" s="3" t="s">
        <v>10077</v>
      </c>
      <c r="C1903" s="3" t="s">
        <v>54</v>
      </c>
      <c r="D1903" s="3" t="s">
        <v>60</v>
      </c>
      <c r="E1903" s="4" t="s">
        <v>22</v>
      </c>
      <c r="F1903" s="4" t="s">
        <v>10023</v>
      </c>
      <c r="G1903" s="4" t="s">
        <v>9965</v>
      </c>
      <c r="H1903" s="3" t="s">
        <v>8487</v>
      </c>
      <c r="I1903" s="3" t="s">
        <v>9966</v>
      </c>
      <c r="J1903" s="3" t="s">
        <v>10078</v>
      </c>
      <c r="K1903" s="3" t="s">
        <v>10079</v>
      </c>
      <c r="L1903" s="3" t="s">
        <v>10080</v>
      </c>
      <c r="M1903" s="4"/>
      <c r="N1903" s="3" t="s">
        <v>37</v>
      </c>
      <c r="O1903" s="3" t="s">
        <v>38</v>
      </c>
      <c r="P1903" s="5">
        <v>5</v>
      </c>
      <c r="Q1903" s="5">
        <v>122</v>
      </c>
      <c r="R1903" s="5">
        <v>5</v>
      </c>
      <c r="S1903" s="5">
        <v>116</v>
      </c>
    </row>
    <row r="1904" spans="1:19" ht="56" x14ac:dyDescent="0.15">
      <c r="A1904" s="2">
        <f>HYPERLINK("https://open-school.uspishnemisto.com.ua/school/120332/", 120332)</f>
        <v>120332</v>
      </c>
      <c r="B1904" s="3" t="s">
        <v>10081</v>
      </c>
      <c r="C1904" s="3" t="s">
        <v>54</v>
      </c>
      <c r="D1904" s="3" t="s">
        <v>175</v>
      </c>
      <c r="E1904" s="4" t="s">
        <v>22</v>
      </c>
      <c r="F1904" s="4" t="s">
        <v>10082</v>
      </c>
      <c r="G1904" s="4" t="s">
        <v>10083</v>
      </c>
      <c r="H1904" s="3" t="s">
        <v>8487</v>
      </c>
      <c r="I1904" s="3" t="s">
        <v>10084</v>
      </c>
      <c r="J1904" s="3" t="s">
        <v>10085</v>
      </c>
      <c r="K1904" s="3" t="s">
        <v>10086</v>
      </c>
      <c r="L1904" s="3" t="s">
        <v>10087</v>
      </c>
      <c r="M1904" s="4"/>
      <c r="N1904" s="3" t="s">
        <v>37</v>
      </c>
      <c r="O1904" s="3" t="s">
        <v>52</v>
      </c>
      <c r="P1904" s="5">
        <v>5</v>
      </c>
      <c r="Q1904" s="5">
        <v>74</v>
      </c>
      <c r="R1904" s="5">
        <v>5</v>
      </c>
      <c r="S1904" s="5">
        <v>73</v>
      </c>
    </row>
    <row r="1905" spans="1:19" ht="56" x14ac:dyDescent="0.15">
      <c r="A1905" s="2">
        <f>HYPERLINK("https://open-school.uspishnemisto.com.ua/school/120333/", 120333)</f>
        <v>120333</v>
      </c>
      <c r="B1905" s="3" t="s">
        <v>10088</v>
      </c>
      <c r="C1905" s="3" t="s">
        <v>54</v>
      </c>
      <c r="D1905" s="3" t="s">
        <v>60</v>
      </c>
      <c r="E1905" s="4" t="s">
        <v>22</v>
      </c>
      <c r="F1905" s="4" t="s">
        <v>10089</v>
      </c>
      <c r="G1905" s="4" t="s">
        <v>10083</v>
      </c>
      <c r="H1905" s="3" t="s">
        <v>8487</v>
      </c>
      <c r="I1905" s="3" t="s">
        <v>10084</v>
      </c>
      <c r="J1905" s="3" t="s">
        <v>10090</v>
      </c>
      <c r="K1905" s="3" t="s">
        <v>10091</v>
      </c>
      <c r="L1905" s="3" t="s">
        <v>10092</v>
      </c>
      <c r="M1905" s="4"/>
      <c r="N1905" s="3" t="s">
        <v>37</v>
      </c>
      <c r="O1905" s="3" t="s">
        <v>52</v>
      </c>
      <c r="P1905" s="5">
        <v>0</v>
      </c>
      <c r="Q1905" s="5">
        <v>0</v>
      </c>
      <c r="R1905" s="5">
        <v>4</v>
      </c>
      <c r="S1905" s="5">
        <v>0</v>
      </c>
    </row>
    <row r="1906" spans="1:19" ht="56" x14ac:dyDescent="0.15">
      <c r="A1906" s="2">
        <f>HYPERLINK("https://open-school.uspishnemisto.com.ua/school/120334/", 120334)</f>
        <v>120334</v>
      </c>
      <c r="B1906" s="3" t="s">
        <v>10093</v>
      </c>
      <c r="C1906" s="3" t="s">
        <v>54</v>
      </c>
      <c r="D1906" s="3" t="s">
        <v>60</v>
      </c>
      <c r="E1906" s="4" t="s">
        <v>22</v>
      </c>
      <c r="F1906" s="4" t="s">
        <v>10094</v>
      </c>
      <c r="G1906" s="4" t="s">
        <v>10083</v>
      </c>
      <c r="H1906" s="3" t="s">
        <v>8487</v>
      </c>
      <c r="I1906" s="3" t="s">
        <v>10084</v>
      </c>
      <c r="J1906" s="3" t="s">
        <v>10095</v>
      </c>
      <c r="K1906" s="3" t="s">
        <v>10096</v>
      </c>
      <c r="L1906" s="3" t="s">
        <v>10097</v>
      </c>
      <c r="M1906" s="4"/>
      <c r="N1906" s="3" t="s">
        <v>37</v>
      </c>
      <c r="O1906" s="3" t="s">
        <v>52</v>
      </c>
      <c r="P1906" s="5">
        <v>0</v>
      </c>
      <c r="Q1906" s="5">
        <v>0</v>
      </c>
      <c r="R1906" s="5">
        <v>3</v>
      </c>
      <c r="S1906" s="5">
        <v>0</v>
      </c>
    </row>
    <row r="1907" spans="1:19" ht="42" x14ac:dyDescent="0.15">
      <c r="A1907" s="2">
        <f>HYPERLINK("https://open-school.uspishnemisto.com.ua/school/120335/", 120335)</f>
        <v>120335</v>
      </c>
      <c r="B1907" s="3" t="s">
        <v>10098</v>
      </c>
      <c r="C1907" s="3" t="s">
        <v>2634</v>
      </c>
      <c r="D1907" s="3" t="s">
        <v>175</v>
      </c>
      <c r="E1907" s="4" t="s">
        <v>22</v>
      </c>
      <c r="F1907" s="4" t="s">
        <v>10099</v>
      </c>
      <c r="G1907" s="4" t="s">
        <v>10083</v>
      </c>
      <c r="H1907" s="3" t="s">
        <v>8487</v>
      </c>
      <c r="I1907" s="3" t="s">
        <v>10084</v>
      </c>
      <c r="J1907" s="3" t="s">
        <v>10100</v>
      </c>
      <c r="K1907" s="3" t="s">
        <v>10101</v>
      </c>
      <c r="L1907" s="3" t="s">
        <v>10102</v>
      </c>
      <c r="M1907" s="4" t="s">
        <v>10103</v>
      </c>
      <c r="N1907" s="3" t="s">
        <v>37</v>
      </c>
      <c r="O1907" s="3" t="s">
        <v>38</v>
      </c>
      <c r="P1907" s="5">
        <v>16</v>
      </c>
      <c r="Q1907" s="5">
        <v>342</v>
      </c>
      <c r="R1907" s="5">
        <v>16</v>
      </c>
      <c r="S1907" s="5">
        <v>351</v>
      </c>
    </row>
    <row r="1908" spans="1:19" ht="28" x14ac:dyDescent="0.15">
      <c r="A1908" s="2">
        <f>HYPERLINK("https://open-school.uspishnemisto.com.ua/school/120336/", 120336)</f>
        <v>120336</v>
      </c>
      <c r="B1908" s="3" t="s">
        <v>10104</v>
      </c>
      <c r="C1908" s="3" t="s">
        <v>31</v>
      </c>
      <c r="D1908" s="3" t="s">
        <v>175</v>
      </c>
      <c r="E1908" s="4" t="s">
        <v>22</v>
      </c>
      <c r="F1908" s="4" t="s">
        <v>10105</v>
      </c>
      <c r="G1908" s="4" t="s">
        <v>10083</v>
      </c>
      <c r="H1908" s="3" t="s">
        <v>8487</v>
      </c>
      <c r="I1908" s="3" t="s">
        <v>10084</v>
      </c>
      <c r="J1908" s="3" t="s">
        <v>10106</v>
      </c>
      <c r="K1908" s="3" t="s">
        <v>10107</v>
      </c>
      <c r="L1908" s="3" t="s">
        <v>10108</v>
      </c>
      <c r="M1908" s="4"/>
      <c r="N1908" s="3" t="s">
        <v>37</v>
      </c>
      <c r="O1908" s="3" t="s">
        <v>52</v>
      </c>
      <c r="P1908" s="5">
        <v>9</v>
      </c>
      <c r="Q1908" s="5">
        <v>177</v>
      </c>
      <c r="R1908" s="5">
        <v>9</v>
      </c>
      <c r="S1908" s="5">
        <v>196</v>
      </c>
    </row>
    <row r="1909" spans="1:19" ht="28" x14ac:dyDescent="0.15">
      <c r="A1909" s="2">
        <f>HYPERLINK("https://open-school.uspishnemisto.com.ua/school/120337/", 120337)</f>
        <v>120337</v>
      </c>
      <c r="B1909" s="3" t="s">
        <v>10109</v>
      </c>
      <c r="C1909" s="3" t="s">
        <v>31</v>
      </c>
      <c r="D1909" s="3" t="s">
        <v>32</v>
      </c>
      <c r="E1909" s="4" t="s">
        <v>22</v>
      </c>
      <c r="F1909" s="4" t="s">
        <v>10110</v>
      </c>
      <c r="G1909" s="4" t="s">
        <v>10083</v>
      </c>
      <c r="H1909" s="3" t="s">
        <v>8487</v>
      </c>
      <c r="I1909" s="3" t="s">
        <v>10084</v>
      </c>
      <c r="J1909" s="3" t="s">
        <v>10111</v>
      </c>
      <c r="K1909" s="3" t="s">
        <v>10112</v>
      </c>
      <c r="L1909" s="3" t="s">
        <v>10113</v>
      </c>
      <c r="M1909" s="4"/>
      <c r="N1909" s="3" t="s">
        <v>37</v>
      </c>
      <c r="O1909" s="3" t="s">
        <v>38</v>
      </c>
      <c r="P1909" s="5">
        <v>11</v>
      </c>
      <c r="Q1909" s="5">
        <v>260</v>
      </c>
      <c r="R1909" s="5">
        <v>11</v>
      </c>
      <c r="S1909" s="5">
        <v>269</v>
      </c>
    </row>
    <row r="1910" spans="1:19" ht="28" x14ac:dyDescent="0.15">
      <c r="A1910" s="2">
        <f>HYPERLINK("https://open-school.uspishnemisto.com.ua/school/120338/", 120338)</f>
        <v>120338</v>
      </c>
      <c r="B1910" s="3" t="s">
        <v>10114</v>
      </c>
      <c r="C1910" s="3" t="s">
        <v>31</v>
      </c>
      <c r="D1910" s="3" t="s">
        <v>32</v>
      </c>
      <c r="E1910" s="4" t="s">
        <v>22</v>
      </c>
      <c r="F1910" s="4" t="s">
        <v>10115</v>
      </c>
      <c r="G1910" s="4" t="s">
        <v>10083</v>
      </c>
      <c r="H1910" s="3" t="s">
        <v>8487</v>
      </c>
      <c r="I1910" s="3" t="s">
        <v>10084</v>
      </c>
      <c r="J1910" s="3" t="s">
        <v>10116</v>
      </c>
      <c r="K1910" s="3" t="s">
        <v>10117</v>
      </c>
      <c r="L1910" s="3" t="s">
        <v>10118</v>
      </c>
      <c r="M1910" s="4"/>
      <c r="N1910" s="3" t="s">
        <v>37</v>
      </c>
      <c r="O1910" s="3" t="s">
        <v>70</v>
      </c>
      <c r="P1910" s="5">
        <v>25</v>
      </c>
      <c r="Q1910" s="5">
        <v>658</v>
      </c>
      <c r="R1910" s="5">
        <v>24</v>
      </c>
      <c r="S1910" s="5">
        <v>656</v>
      </c>
    </row>
    <row r="1911" spans="1:19" ht="28" x14ac:dyDescent="0.15">
      <c r="A1911" s="2">
        <f>HYPERLINK("https://open-school.uspishnemisto.com.ua/school/120339/", 120339)</f>
        <v>120339</v>
      </c>
      <c r="B1911" s="3" t="s">
        <v>10119</v>
      </c>
      <c r="C1911" s="3" t="s">
        <v>31</v>
      </c>
      <c r="D1911" s="3" t="s">
        <v>32</v>
      </c>
      <c r="E1911" s="4" t="s">
        <v>22</v>
      </c>
      <c r="F1911" s="4" t="s">
        <v>10115</v>
      </c>
      <c r="G1911" s="4" t="s">
        <v>10083</v>
      </c>
      <c r="H1911" s="3" t="s">
        <v>8487</v>
      </c>
      <c r="I1911" s="3" t="s">
        <v>10084</v>
      </c>
      <c r="J1911" s="3" t="s">
        <v>10120</v>
      </c>
      <c r="K1911" s="3" t="s">
        <v>10121</v>
      </c>
      <c r="L1911" s="3" t="s">
        <v>10122</v>
      </c>
      <c r="M1911" s="4"/>
      <c r="N1911" s="3" t="s">
        <v>37</v>
      </c>
      <c r="O1911" s="3" t="s">
        <v>70</v>
      </c>
      <c r="P1911" s="5">
        <v>15</v>
      </c>
      <c r="Q1911" s="5">
        <v>388</v>
      </c>
      <c r="R1911" s="5">
        <v>14</v>
      </c>
      <c r="S1911" s="5">
        <v>366</v>
      </c>
    </row>
    <row r="1912" spans="1:19" ht="28" x14ac:dyDescent="0.15">
      <c r="A1912" s="2">
        <f>HYPERLINK("https://open-school.uspishnemisto.com.ua/school/120340/", 120340)</f>
        <v>120340</v>
      </c>
      <c r="B1912" s="3" t="s">
        <v>10123</v>
      </c>
      <c r="C1912" s="3" t="s">
        <v>31</v>
      </c>
      <c r="D1912" s="3" t="s">
        <v>32</v>
      </c>
      <c r="E1912" s="4" t="s">
        <v>22</v>
      </c>
      <c r="F1912" s="4" t="s">
        <v>10115</v>
      </c>
      <c r="G1912" s="4" t="s">
        <v>10083</v>
      </c>
      <c r="H1912" s="3" t="s">
        <v>8487</v>
      </c>
      <c r="I1912" s="3" t="s">
        <v>10084</v>
      </c>
      <c r="J1912" s="3" t="s">
        <v>10124</v>
      </c>
      <c r="K1912" s="3" t="s">
        <v>10125</v>
      </c>
      <c r="L1912" s="3" t="s">
        <v>10126</v>
      </c>
      <c r="M1912" s="4"/>
      <c r="N1912" s="3" t="s">
        <v>37</v>
      </c>
      <c r="O1912" s="3" t="s">
        <v>70</v>
      </c>
      <c r="P1912" s="5">
        <v>19</v>
      </c>
      <c r="Q1912" s="5">
        <v>470</v>
      </c>
      <c r="R1912" s="5">
        <v>19</v>
      </c>
      <c r="S1912" s="5">
        <v>441</v>
      </c>
    </row>
    <row r="1913" spans="1:19" ht="28" x14ac:dyDescent="0.15">
      <c r="A1913" s="2">
        <f>HYPERLINK("https://open-school.uspishnemisto.com.ua/school/120341/", 120341)</f>
        <v>120341</v>
      </c>
      <c r="B1913" s="3" t="s">
        <v>10127</v>
      </c>
      <c r="C1913" s="3" t="s">
        <v>31</v>
      </c>
      <c r="D1913" s="3" t="s">
        <v>32</v>
      </c>
      <c r="E1913" s="4" t="s">
        <v>22</v>
      </c>
      <c r="F1913" s="4" t="s">
        <v>10094</v>
      </c>
      <c r="G1913" s="4" t="s">
        <v>10083</v>
      </c>
      <c r="H1913" s="3" t="s">
        <v>8487</v>
      </c>
      <c r="I1913" s="3" t="s">
        <v>10084</v>
      </c>
      <c r="J1913" s="3" t="s">
        <v>10128</v>
      </c>
      <c r="K1913" s="3" t="s">
        <v>10129</v>
      </c>
      <c r="L1913" s="3" t="s">
        <v>10130</v>
      </c>
      <c r="M1913" s="4"/>
      <c r="N1913" s="3" t="s">
        <v>37</v>
      </c>
      <c r="O1913" s="3" t="s">
        <v>70</v>
      </c>
      <c r="P1913" s="5">
        <v>16</v>
      </c>
      <c r="Q1913" s="5">
        <v>381</v>
      </c>
      <c r="R1913" s="5">
        <v>15</v>
      </c>
      <c r="S1913" s="5">
        <v>366</v>
      </c>
    </row>
    <row r="1914" spans="1:19" ht="28" x14ac:dyDescent="0.15">
      <c r="A1914" s="2">
        <f>HYPERLINK("https://open-school.uspishnemisto.com.ua/school/120342/", 120342)</f>
        <v>120342</v>
      </c>
      <c r="B1914" s="3" t="s">
        <v>10131</v>
      </c>
      <c r="C1914" s="3" t="s">
        <v>31</v>
      </c>
      <c r="D1914" s="3" t="s">
        <v>32</v>
      </c>
      <c r="E1914" s="4" t="s">
        <v>22</v>
      </c>
      <c r="F1914" s="4" t="s">
        <v>10132</v>
      </c>
      <c r="G1914" s="4" t="s">
        <v>10083</v>
      </c>
      <c r="H1914" s="3" t="s">
        <v>8487</v>
      </c>
      <c r="I1914" s="3" t="s">
        <v>10084</v>
      </c>
      <c r="J1914" s="3" t="s">
        <v>10133</v>
      </c>
      <c r="K1914" s="3" t="s">
        <v>10134</v>
      </c>
      <c r="L1914" s="3" t="s">
        <v>10135</v>
      </c>
      <c r="M1914" s="4"/>
      <c r="N1914" s="3" t="s">
        <v>37</v>
      </c>
      <c r="O1914" s="3" t="s">
        <v>38</v>
      </c>
      <c r="P1914" s="5">
        <v>16</v>
      </c>
      <c r="Q1914" s="5">
        <v>457</v>
      </c>
      <c r="R1914" s="5">
        <v>15</v>
      </c>
      <c r="S1914" s="5">
        <v>426</v>
      </c>
    </row>
    <row r="1915" spans="1:19" ht="28" x14ac:dyDescent="0.15">
      <c r="A1915" s="2">
        <f>HYPERLINK("https://open-school.uspishnemisto.com.ua/school/120343/", 120343)</f>
        <v>120343</v>
      </c>
      <c r="B1915" s="3" t="s">
        <v>10136</v>
      </c>
      <c r="C1915" s="3" t="s">
        <v>31</v>
      </c>
      <c r="D1915" s="3" t="s">
        <v>32</v>
      </c>
      <c r="E1915" s="4" t="s">
        <v>22</v>
      </c>
      <c r="F1915" s="4" t="s">
        <v>10137</v>
      </c>
      <c r="G1915" s="4" t="s">
        <v>10083</v>
      </c>
      <c r="H1915" s="3" t="s">
        <v>8487</v>
      </c>
      <c r="I1915" s="3" t="s">
        <v>10084</v>
      </c>
      <c r="J1915" s="3" t="s">
        <v>10138</v>
      </c>
      <c r="K1915" s="3" t="s">
        <v>10139</v>
      </c>
      <c r="L1915" s="3" t="s">
        <v>10140</v>
      </c>
      <c r="M1915" s="4"/>
      <c r="N1915" s="3" t="s">
        <v>37</v>
      </c>
      <c r="O1915" s="3" t="s">
        <v>38</v>
      </c>
      <c r="P1915" s="5">
        <v>10</v>
      </c>
      <c r="Q1915" s="5">
        <v>234</v>
      </c>
      <c r="R1915" s="5">
        <v>11</v>
      </c>
      <c r="S1915" s="5">
        <v>249</v>
      </c>
    </row>
    <row r="1916" spans="1:19" ht="28" x14ac:dyDescent="0.15">
      <c r="A1916" s="2">
        <f>HYPERLINK("https://open-school.uspishnemisto.com.ua/school/120344/", 120344)</f>
        <v>120344</v>
      </c>
      <c r="B1916" s="3" t="s">
        <v>10141</v>
      </c>
      <c r="C1916" s="3" t="s">
        <v>31</v>
      </c>
      <c r="D1916" s="3" t="s">
        <v>32</v>
      </c>
      <c r="E1916" s="4" t="s">
        <v>22</v>
      </c>
      <c r="F1916" s="4" t="s">
        <v>10094</v>
      </c>
      <c r="G1916" s="4" t="s">
        <v>10083</v>
      </c>
      <c r="H1916" s="3" t="s">
        <v>8487</v>
      </c>
      <c r="I1916" s="3" t="s">
        <v>10084</v>
      </c>
      <c r="J1916" s="3" t="s">
        <v>10142</v>
      </c>
      <c r="K1916" s="3" t="s">
        <v>10143</v>
      </c>
      <c r="L1916" s="3" t="s">
        <v>10144</v>
      </c>
      <c r="M1916" s="4"/>
      <c r="N1916" s="3" t="s">
        <v>37</v>
      </c>
      <c r="O1916" s="3" t="s">
        <v>70</v>
      </c>
      <c r="P1916" s="5">
        <v>20</v>
      </c>
      <c r="Q1916" s="5">
        <v>513</v>
      </c>
      <c r="R1916" s="5">
        <v>20</v>
      </c>
      <c r="S1916" s="5">
        <v>501</v>
      </c>
    </row>
    <row r="1917" spans="1:19" ht="28" x14ac:dyDescent="0.15">
      <c r="A1917" s="2">
        <f>HYPERLINK("https://open-school.uspishnemisto.com.ua/school/120345/", 120345)</f>
        <v>120345</v>
      </c>
      <c r="B1917" s="3" t="s">
        <v>10145</v>
      </c>
      <c r="C1917" s="3" t="s">
        <v>31</v>
      </c>
      <c r="D1917" s="3" t="s">
        <v>32</v>
      </c>
      <c r="E1917" s="4" t="s">
        <v>22</v>
      </c>
      <c r="F1917" s="4" t="s">
        <v>10094</v>
      </c>
      <c r="G1917" s="4" t="s">
        <v>10083</v>
      </c>
      <c r="H1917" s="3" t="s">
        <v>8487</v>
      </c>
      <c r="I1917" s="3" t="s">
        <v>10084</v>
      </c>
      <c r="J1917" s="3" t="s">
        <v>10146</v>
      </c>
      <c r="K1917" s="3" t="s">
        <v>10147</v>
      </c>
      <c r="L1917" s="3" t="s">
        <v>10148</v>
      </c>
      <c r="M1917" s="4"/>
      <c r="N1917" s="3" t="s">
        <v>967</v>
      </c>
      <c r="O1917" s="3" t="s">
        <v>46</v>
      </c>
      <c r="P1917" s="5">
        <v>23</v>
      </c>
      <c r="Q1917" s="5">
        <v>603</v>
      </c>
      <c r="R1917" s="5">
        <v>21</v>
      </c>
      <c r="S1917" s="5">
        <v>572</v>
      </c>
    </row>
    <row r="1918" spans="1:19" ht="28" x14ac:dyDescent="0.15">
      <c r="A1918" s="2">
        <f>HYPERLINK("https://open-school.uspishnemisto.com.ua/school/120346/", 120346)</f>
        <v>120346</v>
      </c>
      <c r="B1918" s="3" t="s">
        <v>10149</v>
      </c>
      <c r="C1918" s="3" t="s">
        <v>31</v>
      </c>
      <c r="D1918" s="3" t="s">
        <v>32</v>
      </c>
      <c r="E1918" s="4" t="s">
        <v>22</v>
      </c>
      <c r="F1918" s="4" t="s">
        <v>10110</v>
      </c>
      <c r="G1918" s="4" t="s">
        <v>10083</v>
      </c>
      <c r="H1918" s="3" t="s">
        <v>8487</v>
      </c>
      <c r="I1918" s="3" t="s">
        <v>10084</v>
      </c>
      <c r="J1918" s="3" t="s">
        <v>10150</v>
      </c>
      <c r="K1918" s="3" t="s">
        <v>10151</v>
      </c>
      <c r="L1918" s="3" t="s">
        <v>10152</v>
      </c>
      <c r="M1918" s="4"/>
      <c r="N1918" s="3" t="s">
        <v>37</v>
      </c>
      <c r="O1918" s="3" t="s">
        <v>38</v>
      </c>
      <c r="P1918" s="5">
        <v>17</v>
      </c>
      <c r="Q1918" s="5">
        <v>426</v>
      </c>
      <c r="R1918" s="5">
        <v>17</v>
      </c>
      <c r="S1918" s="5">
        <v>435</v>
      </c>
    </row>
    <row r="1919" spans="1:19" ht="28" x14ac:dyDescent="0.15">
      <c r="A1919" s="2">
        <f>HYPERLINK("https://open-school.uspishnemisto.com.ua/school/120347/", 120347)</f>
        <v>120347</v>
      </c>
      <c r="B1919" s="3" t="s">
        <v>10153</v>
      </c>
      <c r="C1919" s="3" t="s">
        <v>31</v>
      </c>
      <c r="D1919" s="3" t="s">
        <v>32</v>
      </c>
      <c r="E1919" s="4" t="s">
        <v>22</v>
      </c>
      <c r="F1919" s="4" t="s">
        <v>10089</v>
      </c>
      <c r="G1919" s="4" t="s">
        <v>10083</v>
      </c>
      <c r="H1919" s="3" t="s">
        <v>8487</v>
      </c>
      <c r="I1919" s="3" t="s">
        <v>10084</v>
      </c>
      <c r="J1919" s="3" t="s">
        <v>10154</v>
      </c>
      <c r="K1919" s="3" t="s">
        <v>10155</v>
      </c>
      <c r="L1919" s="3" t="s">
        <v>10156</v>
      </c>
      <c r="M1919" s="4"/>
      <c r="N1919" s="3" t="s">
        <v>967</v>
      </c>
      <c r="O1919" s="3" t="s">
        <v>46</v>
      </c>
      <c r="P1919" s="5">
        <v>11</v>
      </c>
      <c r="Q1919" s="5">
        <v>230</v>
      </c>
      <c r="R1919" s="5">
        <v>10</v>
      </c>
      <c r="S1919" s="5">
        <v>202</v>
      </c>
    </row>
    <row r="1920" spans="1:19" ht="28" x14ac:dyDescent="0.15">
      <c r="A1920" s="2">
        <f>HYPERLINK("https://open-school.uspishnemisto.com.ua/school/120348/", 120348)</f>
        <v>120348</v>
      </c>
      <c r="B1920" s="3" t="s">
        <v>10157</v>
      </c>
      <c r="C1920" s="3" t="s">
        <v>31</v>
      </c>
      <c r="D1920" s="3" t="s">
        <v>32</v>
      </c>
      <c r="E1920" s="4" t="s">
        <v>22</v>
      </c>
      <c r="F1920" s="4" t="s">
        <v>10099</v>
      </c>
      <c r="G1920" s="4" t="s">
        <v>10083</v>
      </c>
      <c r="H1920" s="3" t="s">
        <v>8487</v>
      </c>
      <c r="I1920" s="3" t="s">
        <v>10084</v>
      </c>
      <c r="J1920" s="3" t="s">
        <v>10158</v>
      </c>
      <c r="K1920" s="3" t="s">
        <v>10159</v>
      </c>
      <c r="L1920" s="3" t="s">
        <v>10160</v>
      </c>
      <c r="M1920" s="4"/>
      <c r="N1920" s="3" t="s">
        <v>37</v>
      </c>
      <c r="O1920" s="3" t="s">
        <v>38</v>
      </c>
      <c r="P1920" s="5">
        <v>20</v>
      </c>
      <c r="Q1920" s="5">
        <v>536</v>
      </c>
      <c r="R1920" s="5">
        <v>19</v>
      </c>
      <c r="S1920" s="5">
        <v>490</v>
      </c>
    </row>
    <row r="1921" spans="1:19" ht="28" x14ac:dyDescent="0.15">
      <c r="A1921" s="2">
        <f>HYPERLINK("https://open-school.uspishnemisto.com.ua/school/120349/", 120349)</f>
        <v>120349</v>
      </c>
      <c r="B1921" s="3" t="s">
        <v>10161</v>
      </c>
      <c r="C1921" s="3" t="s">
        <v>31</v>
      </c>
      <c r="D1921" s="3" t="s">
        <v>32</v>
      </c>
      <c r="E1921" s="4" t="s">
        <v>22</v>
      </c>
      <c r="F1921" s="4" t="s">
        <v>10132</v>
      </c>
      <c r="G1921" s="4" t="s">
        <v>10083</v>
      </c>
      <c r="H1921" s="3" t="s">
        <v>8487</v>
      </c>
      <c r="I1921" s="3" t="s">
        <v>10084</v>
      </c>
      <c r="J1921" s="3" t="s">
        <v>10162</v>
      </c>
      <c r="K1921" s="3" t="s">
        <v>10163</v>
      </c>
      <c r="L1921" s="3" t="s">
        <v>10164</v>
      </c>
      <c r="M1921" s="4"/>
      <c r="N1921" s="3" t="s">
        <v>128</v>
      </c>
      <c r="O1921" s="3" t="s">
        <v>52</v>
      </c>
      <c r="P1921" s="5">
        <v>16</v>
      </c>
      <c r="Q1921" s="5">
        <v>379</v>
      </c>
      <c r="R1921" s="5">
        <v>15</v>
      </c>
      <c r="S1921" s="5">
        <v>344</v>
      </c>
    </row>
    <row r="1922" spans="1:19" ht="28" x14ac:dyDescent="0.15">
      <c r="A1922" s="2">
        <f>HYPERLINK("https://open-school.uspishnemisto.com.ua/school/120350/", 120350)</f>
        <v>120350</v>
      </c>
      <c r="B1922" s="3" t="s">
        <v>10165</v>
      </c>
      <c r="C1922" s="3" t="s">
        <v>31</v>
      </c>
      <c r="D1922" s="3" t="s">
        <v>32</v>
      </c>
      <c r="E1922" s="4" t="s">
        <v>22</v>
      </c>
      <c r="F1922" s="4" t="s">
        <v>10089</v>
      </c>
      <c r="G1922" s="4" t="s">
        <v>10083</v>
      </c>
      <c r="H1922" s="3" t="s">
        <v>8487</v>
      </c>
      <c r="I1922" s="3" t="s">
        <v>10084</v>
      </c>
      <c r="J1922" s="3" t="s">
        <v>10166</v>
      </c>
      <c r="K1922" s="3" t="s">
        <v>10167</v>
      </c>
      <c r="L1922" s="3" t="s">
        <v>10168</v>
      </c>
      <c r="M1922" s="4"/>
      <c r="N1922" s="3" t="s">
        <v>37</v>
      </c>
      <c r="O1922" s="3" t="s">
        <v>38</v>
      </c>
      <c r="P1922" s="5">
        <v>20</v>
      </c>
      <c r="Q1922" s="5">
        <v>551</v>
      </c>
      <c r="R1922" s="5">
        <v>20</v>
      </c>
      <c r="S1922" s="5">
        <v>537</v>
      </c>
    </row>
    <row r="1923" spans="1:19" ht="28" x14ac:dyDescent="0.15">
      <c r="A1923" s="2">
        <f>HYPERLINK("https://open-school.uspishnemisto.com.ua/school/120351/", 120351)</f>
        <v>120351</v>
      </c>
      <c r="B1923" s="3" t="s">
        <v>10169</v>
      </c>
      <c r="C1923" s="3" t="s">
        <v>40</v>
      </c>
      <c r="D1923" s="3" t="s">
        <v>32</v>
      </c>
      <c r="E1923" s="4" t="s">
        <v>22</v>
      </c>
      <c r="F1923" s="4" t="s">
        <v>10115</v>
      </c>
      <c r="G1923" s="4" t="s">
        <v>10083</v>
      </c>
      <c r="H1923" s="3" t="s">
        <v>8487</v>
      </c>
      <c r="I1923" s="3" t="s">
        <v>10084</v>
      </c>
      <c r="J1923" s="3" t="s">
        <v>10170</v>
      </c>
      <c r="K1923" s="3" t="s">
        <v>10171</v>
      </c>
      <c r="L1923" s="3" t="s">
        <v>10172</v>
      </c>
      <c r="M1923" s="4"/>
      <c r="N1923" s="3" t="s">
        <v>37</v>
      </c>
      <c r="O1923" s="3" t="s">
        <v>70</v>
      </c>
      <c r="P1923" s="5">
        <v>20</v>
      </c>
      <c r="Q1923" s="5">
        <v>548</v>
      </c>
      <c r="R1923" s="5">
        <v>20</v>
      </c>
      <c r="S1923" s="5">
        <v>559</v>
      </c>
    </row>
    <row r="1924" spans="1:19" ht="56" x14ac:dyDescent="0.15">
      <c r="A1924" s="2">
        <f>HYPERLINK("https://open-school.uspishnemisto.com.ua/school/120352/", 120352)</f>
        <v>120352</v>
      </c>
      <c r="B1924" s="3" t="s">
        <v>10173</v>
      </c>
      <c r="C1924" s="3" t="s">
        <v>54</v>
      </c>
      <c r="D1924" s="3" t="s">
        <v>175</v>
      </c>
      <c r="E1924" s="4" t="s">
        <v>22</v>
      </c>
      <c r="F1924" s="4" t="s">
        <v>10094</v>
      </c>
      <c r="G1924" s="4" t="s">
        <v>10083</v>
      </c>
      <c r="H1924" s="3" t="s">
        <v>8487</v>
      </c>
      <c r="I1924" s="3" t="s">
        <v>10084</v>
      </c>
      <c r="J1924" s="3" t="s">
        <v>10174</v>
      </c>
      <c r="K1924" s="3" t="s">
        <v>10175</v>
      </c>
      <c r="L1924" s="3" t="s">
        <v>10176</v>
      </c>
      <c r="M1924" s="4"/>
      <c r="N1924" s="3" t="s">
        <v>37</v>
      </c>
      <c r="O1924" s="3" t="s">
        <v>38</v>
      </c>
      <c r="P1924" s="5">
        <v>9</v>
      </c>
      <c r="Q1924" s="5">
        <v>202</v>
      </c>
      <c r="R1924" s="5">
        <v>9</v>
      </c>
      <c r="S1924" s="5">
        <v>211</v>
      </c>
    </row>
    <row r="1925" spans="1:19" ht="42" x14ac:dyDescent="0.15">
      <c r="A1925" s="2">
        <f>HYPERLINK("https://open-school.uspishnemisto.com.ua/school/120353/", 120353)</f>
        <v>120353</v>
      </c>
      <c r="B1925" s="3" t="s">
        <v>10177</v>
      </c>
      <c r="C1925" s="3" t="s">
        <v>54</v>
      </c>
      <c r="D1925" s="3" t="s">
        <v>32</v>
      </c>
      <c r="E1925" s="4" t="s">
        <v>22</v>
      </c>
      <c r="F1925" s="4" t="s">
        <v>10089</v>
      </c>
      <c r="G1925" s="4" t="s">
        <v>10083</v>
      </c>
      <c r="H1925" s="3" t="s">
        <v>8487</v>
      </c>
      <c r="I1925" s="3" t="s">
        <v>10084</v>
      </c>
      <c r="J1925" s="3" t="s">
        <v>10178</v>
      </c>
      <c r="K1925" s="3" t="s">
        <v>10179</v>
      </c>
      <c r="L1925" s="3" t="s">
        <v>10180</v>
      </c>
      <c r="M1925" s="4"/>
      <c r="N1925" s="3" t="s">
        <v>37</v>
      </c>
      <c r="O1925" s="3" t="s">
        <v>70</v>
      </c>
      <c r="P1925" s="5">
        <v>12</v>
      </c>
      <c r="Q1925" s="5">
        <v>262</v>
      </c>
      <c r="R1925" s="5">
        <v>11</v>
      </c>
      <c r="S1925" s="5">
        <v>226</v>
      </c>
    </row>
    <row r="1926" spans="1:19" ht="56" x14ac:dyDescent="0.15">
      <c r="A1926" s="2">
        <f>HYPERLINK("https://open-school.uspishnemisto.com.ua/school/120354/", 120354)</f>
        <v>120354</v>
      </c>
      <c r="B1926" s="3" t="s">
        <v>10181</v>
      </c>
      <c r="C1926" s="3" t="s">
        <v>54</v>
      </c>
      <c r="D1926" s="3" t="s">
        <v>32</v>
      </c>
      <c r="E1926" s="4" t="s">
        <v>22</v>
      </c>
      <c r="F1926" s="4" t="s">
        <v>10182</v>
      </c>
      <c r="G1926" s="4" t="s">
        <v>10183</v>
      </c>
      <c r="H1926" s="3" t="s">
        <v>8487</v>
      </c>
      <c r="I1926" s="3" t="s">
        <v>10184</v>
      </c>
      <c r="J1926" s="3" t="s">
        <v>10185</v>
      </c>
      <c r="K1926" s="3" t="s">
        <v>10186</v>
      </c>
      <c r="L1926" s="3" t="s">
        <v>10187</v>
      </c>
      <c r="M1926" s="4"/>
      <c r="N1926" s="3" t="s">
        <v>128</v>
      </c>
      <c r="O1926" s="3" t="s">
        <v>8629</v>
      </c>
      <c r="P1926" s="5">
        <v>12</v>
      </c>
      <c r="Q1926" s="5">
        <v>209</v>
      </c>
      <c r="R1926" s="5">
        <v>11</v>
      </c>
      <c r="S1926" s="5">
        <v>182</v>
      </c>
    </row>
    <row r="1927" spans="1:19" ht="42" x14ac:dyDescent="0.15">
      <c r="A1927" s="2">
        <f>HYPERLINK("https://open-school.uspishnemisto.com.ua/school/120355/", 120355)</f>
        <v>120355</v>
      </c>
      <c r="B1927" s="3" t="s">
        <v>10188</v>
      </c>
      <c r="C1927" s="3" t="s">
        <v>20</v>
      </c>
      <c r="D1927" s="3" t="s">
        <v>21</v>
      </c>
      <c r="E1927" s="4" t="s">
        <v>22</v>
      </c>
      <c r="F1927" s="4" t="s">
        <v>10189</v>
      </c>
      <c r="G1927" s="4" t="s">
        <v>10183</v>
      </c>
      <c r="H1927" s="3" t="s">
        <v>8487</v>
      </c>
      <c r="I1927" s="3" t="s">
        <v>10184</v>
      </c>
      <c r="J1927" s="3" t="s">
        <v>10190</v>
      </c>
      <c r="K1927" s="3" t="s">
        <v>10191</v>
      </c>
      <c r="L1927" s="3" t="s">
        <v>10192</v>
      </c>
      <c r="M1927" s="4"/>
      <c r="N1927" s="3"/>
      <c r="O1927" s="3"/>
      <c r="P1927" s="5">
        <v>0</v>
      </c>
      <c r="Q1927" s="5">
        <v>0</v>
      </c>
      <c r="R1927" s="5"/>
      <c r="S1927" s="5"/>
    </row>
    <row r="1928" spans="1:19" ht="42" x14ac:dyDescent="0.15">
      <c r="A1928" s="2">
        <f>HYPERLINK("https://open-school.uspishnemisto.com.ua/school/120356/", 120356)</f>
        <v>120356</v>
      </c>
      <c r="B1928" s="3" t="s">
        <v>10193</v>
      </c>
      <c r="C1928" s="3" t="s">
        <v>31</v>
      </c>
      <c r="D1928" s="3" t="s">
        <v>32</v>
      </c>
      <c r="E1928" s="4" t="s">
        <v>22</v>
      </c>
      <c r="F1928" s="4" t="s">
        <v>10189</v>
      </c>
      <c r="G1928" s="4" t="s">
        <v>10183</v>
      </c>
      <c r="H1928" s="3" t="s">
        <v>8487</v>
      </c>
      <c r="I1928" s="3" t="s">
        <v>10184</v>
      </c>
      <c r="J1928" s="3" t="s">
        <v>10194</v>
      </c>
      <c r="K1928" s="3" t="s">
        <v>10195</v>
      </c>
      <c r="L1928" s="3" t="s">
        <v>10196</v>
      </c>
      <c r="M1928" s="4"/>
      <c r="N1928" s="3" t="s">
        <v>37</v>
      </c>
      <c r="O1928" s="3" t="s">
        <v>70</v>
      </c>
      <c r="P1928" s="5">
        <v>17</v>
      </c>
      <c r="Q1928" s="5">
        <v>435</v>
      </c>
      <c r="R1928" s="5">
        <v>18</v>
      </c>
      <c r="S1928" s="5">
        <v>448</v>
      </c>
    </row>
    <row r="1929" spans="1:19" ht="42" x14ac:dyDescent="0.15">
      <c r="A1929" s="2">
        <f>HYPERLINK("https://open-school.uspishnemisto.com.ua/school/120357/", 120357)</f>
        <v>120357</v>
      </c>
      <c r="B1929" s="3" t="s">
        <v>10197</v>
      </c>
      <c r="C1929" s="3" t="s">
        <v>31</v>
      </c>
      <c r="D1929" s="3" t="s">
        <v>175</v>
      </c>
      <c r="E1929" s="4" t="s">
        <v>22</v>
      </c>
      <c r="F1929" s="4" t="s">
        <v>10198</v>
      </c>
      <c r="G1929" s="4" t="s">
        <v>10183</v>
      </c>
      <c r="H1929" s="3" t="s">
        <v>8487</v>
      </c>
      <c r="I1929" s="3" t="s">
        <v>10184</v>
      </c>
      <c r="J1929" s="3" t="s">
        <v>10199</v>
      </c>
      <c r="K1929" s="3" t="s">
        <v>10200</v>
      </c>
      <c r="L1929" s="3" t="s">
        <v>10201</v>
      </c>
      <c r="M1929" s="4"/>
      <c r="N1929" s="3" t="s">
        <v>37</v>
      </c>
      <c r="O1929" s="3" t="s">
        <v>38</v>
      </c>
      <c r="P1929" s="5">
        <v>7</v>
      </c>
      <c r="Q1929" s="5">
        <v>130</v>
      </c>
      <c r="R1929" s="5">
        <v>7</v>
      </c>
      <c r="S1929" s="5">
        <v>125</v>
      </c>
    </row>
    <row r="1930" spans="1:19" ht="42" x14ac:dyDescent="0.15">
      <c r="A1930" s="2">
        <f>HYPERLINK("https://open-school.uspishnemisto.com.ua/school/120358/", 120358)</f>
        <v>120358</v>
      </c>
      <c r="B1930" s="3" t="s">
        <v>10202</v>
      </c>
      <c r="C1930" s="3" t="s">
        <v>31</v>
      </c>
      <c r="D1930" s="3" t="s">
        <v>175</v>
      </c>
      <c r="E1930" s="4" t="s">
        <v>22</v>
      </c>
      <c r="F1930" s="4" t="s">
        <v>10203</v>
      </c>
      <c r="G1930" s="4" t="s">
        <v>10183</v>
      </c>
      <c r="H1930" s="3" t="s">
        <v>8487</v>
      </c>
      <c r="I1930" s="3" t="s">
        <v>10184</v>
      </c>
      <c r="J1930" s="3" t="s">
        <v>10204</v>
      </c>
      <c r="K1930" s="3" t="s">
        <v>10205</v>
      </c>
      <c r="L1930" s="3" t="s">
        <v>10206</v>
      </c>
      <c r="M1930" s="4"/>
      <c r="N1930" s="3" t="s">
        <v>37</v>
      </c>
      <c r="O1930" s="3" t="s">
        <v>38</v>
      </c>
      <c r="P1930" s="5">
        <v>9</v>
      </c>
      <c r="Q1930" s="5">
        <v>113</v>
      </c>
      <c r="R1930" s="5">
        <v>9</v>
      </c>
      <c r="S1930" s="5">
        <v>107</v>
      </c>
    </row>
    <row r="1931" spans="1:19" ht="56" x14ac:dyDescent="0.15">
      <c r="A1931" s="2">
        <f>HYPERLINK("https://open-school.uspishnemisto.com.ua/school/120359/", 120359)</f>
        <v>120359</v>
      </c>
      <c r="B1931" s="3" t="s">
        <v>10207</v>
      </c>
      <c r="C1931" s="3" t="s">
        <v>54</v>
      </c>
      <c r="D1931" s="3" t="s">
        <v>175</v>
      </c>
      <c r="E1931" s="4" t="s">
        <v>22</v>
      </c>
      <c r="F1931" s="4" t="s">
        <v>10208</v>
      </c>
      <c r="G1931" s="4" t="s">
        <v>10183</v>
      </c>
      <c r="H1931" s="3" t="s">
        <v>8487</v>
      </c>
      <c r="I1931" s="3" t="s">
        <v>10184</v>
      </c>
      <c r="J1931" s="3" t="s">
        <v>10209</v>
      </c>
      <c r="K1931" s="3" t="s">
        <v>10210</v>
      </c>
      <c r="L1931" s="3" t="s">
        <v>10211</v>
      </c>
      <c r="M1931" s="4"/>
      <c r="N1931" s="3" t="s">
        <v>37</v>
      </c>
      <c r="O1931" s="3" t="s">
        <v>38</v>
      </c>
      <c r="P1931" s="5">
        <v>9</v>
      </c>
      <c r="Q1931" s="5">
        <v>180</v>
      </c>
      <c r="R1931" s="5">
        <v>9</v>
      </c>
      <c r="S1931" s="5">
        <v>188</v>
      </c>
    </row>
    <row r="1932" spans="1:19" ht="42" x14ac:dyDescent="0.15">
      <c r="A1932" s="2">
        <f>HYPERLINK("https://open-school.uspishnemisto.com.ua/school/120360/", 120360)</f>
        <v>120360</v>
      </c>
      <c r="B1932" s="3" t="s">
        <v>10212</v>
      </c>
      <c r="C1932" s="3" t="s">
        <v>31</v>
      </c>
      <c r="D1932" s="3" t="s">
        <v>175</v>
      </c>
      <c r="E1932" s="4" t="s">
        <v>22</v>
      </c>
      <c r="F1932" s="4" t="s">
        <v>10213</v>
      </c>
      <c r="G1932" s="4" t="s">
        <v>10183</v>
      </c>
      <c r="H1932" s="3" t="s">
        <v>8487</v>
      </c>
      <c r="I1932" s="3" t="s">
        <v>10184</v>
      </c>
      <c r="J1932" s="3" t="s">
        <v>10214</v>
      </c>
      <c r="K1932" s="3" t="s">
        <v>10215</v>
      </c>
      <c r="L1932" s="3" t="s">
        <v>10216</v>
      </c>
      <c r="M1932" s="4"/>
      <c r="N1932" s="3" t="s">
        <v>37</v>
      </c>
      <c r="O1932" s="3" t="s">
        <v>112</v>
      </c>
      <c r="P1932" s="5">
        <v>6</v>
      </c>
      <c r="Q1932" s="5">
        <v>63</v>
      </c>
      <c r="R1932" s="5">
        <v>7</v>
      </c>
      <c r="S1932" s="5">
        <v>62</v>
      </c>
    </row>
    <row r="1933" spans="1:19" ht="42" x14ac:dyDescent="0.15">
      <c r="A1933" s="2">
        <f>HYPERLINK("https://open-school.uspishnemisto.com.ua/school/120361/", 120361)</f>
        <v>120361</v>
      </c>
      <c r="B1933" s="3" t="s">
        <v>10217</v>
      </c>
      <c r="C1933" s="3" t="s">
        <v>31</v>
      </c>
      <c r="D1933" s="3" t="s">
        <v>175</v>
      </c>
      <c r="E1933" s="4" t="s">
        <v>22</v>
      </c>
      <c r="F1933" s="4" t="s">
        <v>10218</v>
      </c>
      <c r="G1933" s="4" t="s">
        <v>10183</v>
      </c>
      <c r="H1933" s="3" t="s">
        <v>8487</v>
      </c>
      <c r="I1933" s="3" t="s">
        <v>10184</v>
      </c>
      <c r="J1933" s="3" t="s">
        <v>10219</v>
      </c>
      <c r="K1933" s="3" t="s">
        <v>10220</v>
      </c>
      <c r="L1933" s="3" t="s">
        <v>10221</v>
      </c>
      <c r="M1933" s="4"/>
      <c r="N1933" s="3" t="s">
        <v>37</v>
      </c>
      <c r="O1933" s="3" t="s">
        <v>112</v>
      </c>
      <c r="P1933" s="5">
        <v>9</v>
      </c>
      <c r="Q1933" s="5">
        <v>105</v>
      </c>
      <c r="R1933" s="5">
        <v>9</v>
      </c>
      <c r="S1933" s="5">
        <v>109</v>
      </c>
    </row>
    <row r="1934" spans="1:19" ht="42" x14ac:dyDescent="0.15">
      <c r="A1934" s="2">
        <f>HYPERLINK("https://open-school.uspishnemisto.com.ua/school/120362/", 120362)</f>
        <v>120362</v>
      </c>
      <c r="B1934" s="3" t="s">
        <v>10222</v>
      </c>
      <c r="C1934" s="3" t="s">
        <v>31</v>
      </c>
      <c r="D1934" s="3" t="s">
        <v>175</v>
      </c>
      <c r="E1934" s="4" t="s">
        <v>22</v>
      </c>
      <c r="F1934" s="4" t="s">
        <v>10223</v>
      </c>
      <c r="G1934" s="4" t="s">
        <v>10183</v>
      </c>
      <c r="H1934" s="3" t="s">
        <v>8487</v>
      </c>
      <c r="I1934" s="3" t="s">
        <v>10184</v>
      </c>
      <c r="J1934" s="3" t="s">
        <v>10224</v>
      </c>
      <c r="K1934" s="3" t="s">
        <v>10225</v>
      </c>
      <c r="L1934" s="3" t="s">
        <v>10226</v>
      </c>
      <c r="M1934" s="4"/>
      <c r="N1934" s="3" t="s">
        <v>37</v>
      </c>
      <c r="O1934" s="3" t="s">
        <v>38</v>
      </c>
      <c r="P1934" s="5">
        <v>9</v>
      </c>
      <c r="Q1934" s="5">
        <v>174</v>
      </c>
      <c r="R1934" s="5">
        <v>9</v>
      </c>
      <c r="S1934" s="5">
        <v>159</v>
      </c>
    </row>
    <row r="1935" spans="1:19" ht="42" x14ac:dyDescent="0.15">
      <c r="A1935" s="2">
        <f>HYPERLINK("https://open-school.uspishnemisto.com.ua/school/120363/", 120363)</f>
        <v>120363</v>
      </c>
      <c r="B1935" s="3" t="s">
        <v>10227</v>
      </c>
      <c r="C1935" s="3" t="s">
        <v>31</v>
      </c>
      <c r="D1935" s="3" t="s">
        <v>32</v>
      </c>
      <c r="E1935" s="4" t="s">
        <v>22</v>
      </c>
      <c r="F1935" s="4" t="s">
        <v>10228</v>
      </c>
      <c r="G1935" s="4" t="s">
        <v>10183</v>
      </c>
      <c r="H1935" s="3" t="s">
        <v>8487</v>
      </c>
      <c r="I1935" s="3" t="s">
        <v>10184</v>
      </c>
      <c r="J1935" s="3" t="s">
        <v>10229</v>
      </c>
      <c r="K1935" s="3" t="s">
        <v>10230</v>
      </c>
      <c r="L1935" s="3" t="s">
        <v>10231</v>
      </c>
      <c r="M1935" s="4"/>
      <c r="N1935" s="3" t="s">
        <v>967</v>
      </c>
      <c r="O1935" s="3" t="s">
        <v>46</v>
      </c>
      <c r="P1935" s="5">
        <v>10</v>
      </c>
      <c r="Q1935" s="5">
        <v>202</v>
      </c>
      <c r="R1935" s="5">
        <v>10</v>
      </c>
      <c r="S1935" s="5">
        <v>216</v>
      </c>
    </row>
    <row r="1936" spans="1:19" ht="42" x14ac:dyDescent="0.15">
      <c r="A1936" s="2">
        <f>HYPERLINK("https://open-school.uspishnemisto.com.ua/school/120364/", 120364)</f>
        <v>120364</v>
      </c>
      <c r="B1936" s="3" t="s">
        <v>10232</v>
      </c>
      <c r="C1936" s="3" t="s">
        <v>31</v>
      </c>
      <c r="D1936" s="3" t="s">
        <v>32</v>
      </c>
      <c r="E1936" s="4" t="s">
        <v>22</v>
      </c>
      <c r="F1936" s="4" t="s">
        <v>10233</v>
      </c>
      <c r="G1936" s="4" t="s">
        <v>10183</v>
      </c>
      <c r="H1936" s="3" t="s">
        <v>8487</v>
      </c>
      <c r="I1936" s="3" t="s">
        <v>10184</v>
      </c>
      <c r="J1936" s="3" t="s">
        <v>10234</v>
      </c>
      <c r="K1936" s="3" t="s">
        <v>10235</v>
      </c>
      <c r="L1936" s="3" t="s">
        <v>10236</v>
      </c>
      <c r="M1936" s="4"/>
      <c r="N1936" s="3" t="s">
        <v>37</v>
      </c>
      <c r="O1936" s="3" t="s">
        <v>38</v>
      </c>
      <c r="P1936" s="5">
        <v>18</v>
      </c>
      <c r="Q1936" s="5">
        <v>460</v>
      </c>
      <c r="R1936" s="5">
        <v>16</v>
      </c>
      <c r="S1936" s="5">
        <v>414</v>
      </c>
    </row>
    <row r="1937" spans="1:19" ht="42" x14ac:dyDescent="0.15">
      <c r="A1937" s="2">
        <f>HYPERLINK("https://open-school.uspishnemisto.com.ua/school/120365/", 120365)</f>
        <v>120365</v>
      </c>
      <c r="B1937" s="3" t="s">
        <v>10237</v>
      </c>
      <c r="C1937" s="3" t="s">
        <v>31</v>
      </c>
      <c r="D1937" s="3" t="s">
        <v>32</v>
      </c>
      <c r="E1937" s="4" t="s">
        <v>22</v>
      </c>
      <c r="F1937" s="4" t="s">
        <v>10233</v>
      </c>
      <c r="G1937" s="4" t="s">
        <v>10183</v>
      </c>
      <c r="H1937" s="3" t="s">
        <v>8487</v>
      </c>
      <c r="I1937" s="3" t="s">
        <v>10184</v>
      </c>
      <c r="J1937" s="3" t="s">
        <v>10238</v>
      </c>
      <c r="K1937" s="3" t="s">
        <v>10239</v>
      </c>
      <c r="L1937" s="3" t="s">
        <v>10240</v>
      </c>
      <c r="M1937" s="4"/>
      <c r="N1937" s="3" t="s">
        <v>37</v>
      </c>
      <c r="O1937" s="3" t="s">
        <v>70</v>
      </c>
      <c r="P1937" s="5">
        <v>11</v>
      </c>
      <c r="Q1937" s="5">
        <v>249</v>
      </c>
      <c r="R1937" s="5">
        <v>11</v>
      </c>
      <c r="S1937" s="5">
        <v>241</v>
      </c>
    </row>
    <row r="1938" spans="1:19" ht="42" x14ac:dyDescent="0.15">
      <c r="A1938" s="2">
        <f>HYPERLINK("https://open-school.uspishnemisto.com.ua/school/120366/", 120366)</f>
        <v>120366</v>
      </c>
      <c r="B1938" s="3" t="s">
        <v>10241</v>
      </c>
      <c r="C1938" s="3" t="s">
        <v>31</v>
      </c>
      <c r="D1938" s="3" t="s">
        <v>32</v>
      </c>
      <c r="E1938" s="4" t="s">
        <v>22</v>
      </c>
      <c r="F1938" s="4" t="s">
        <v>10242</v>
      </c>
      <c r="G1938" s="4" t="s">
        <v>10183</v>
      </c>
      <c r="H1938" s="3" t="s">
        <v>8487</v>
      </c>
      <c r="I1938" s="3" t="s">
        <v>10184</v>
      </c>
      <c r="J1938" s="3" t="s">
        <v>10243</v>
      </c>
      <c r="K1938" s="3" t="s">
        <v>10244</v>
      </c>
      <c r="L1938" s="3" t="s">
        <v>10245</v>
      </c>
      <c r="M1938" s="4"/>
      <c r="N1938" s="3" t="s">
        <v>37</v>
      </c>
      <c r="O1938" s="3" t="s">
        <v>38</v>
      </c>
      <c r="P1938" s="5">
        <v>10</v>
      </c>
      <c r="Q1938" s="5">
        <v>247</v>
      </c>
      <c r="R1938" s="5">
        <v>9</v>
      </c>
      <c r="S1938" s="5">
        <v>231</v>
      </c>
    </row>
    <row r="1939" spans="1:19" ht="42" x14ac:dyDescent="0.15">
      <c r="A1939" s="2">
        <f>HYPERLINK("https://open-school.uspishnemisto.com.ua/school/120367/", 120367)</f>
        <v>120367</v>
      </c>
      <c r="B1939" s="3" t="s">
        <v>10246</v>
      </c>
      <c r="C1939" s="3" t="s">
        <v>31</v>
      </c>
      <c r="D1939" s="3" t="s">
        <v>32</v>
      </c>
      <c r="E1939" s="4" t="s">
        <v>22</v>
      </c>
      <c r="F1939" s="4" t="s">
        <v>10182</v>
      </c>
      <c r="G1939" s="4" t="s">
        <v>10183</v>
      </c>
      <c r="H1939" s="3" t="s">
        <v>8487</v>
      </c>
      <c r="I1939" s="3" t="s">
        <v>10184</v>
      </c>
      <c r="J1939" s="3" t="s">
        <v>10247</v>
      </c>
      <c r="K1939" s="3" t="s">
        <v>10248</v>
      </c>
      <c r="L1939" s="3" t="s">
        <v>10249</v>
      </c>
      <c r="M1939" s="4"/>
      <c r="N1939" s="3" t="s">
        <v>967</v>
      </c>
      <c r="O1939" s="3" t="s">
        <v>52</v>
      </c>
      <c r="P1939" s="5">
        <v>17</v>
      </c>
      <c r="Q1939" s="5">
        <v>452</v>
      </c>
      <c r="R1939" s="5">
        <v>16</v>
      </c>
      <c r="S1939" s="5">
        <v>416</v>
      </c>
    </row>
    <row r="1940" spans="1:19" ht="42" x14ac:dyDescent="0.15">
      <c r="A1940" s="2">
        <f>HYPERLINK("https://open-school.uspishnemisto.com.ua/school/120368/", 120368)</f>
        <v>120368</v>
      </c>
      <c r="B1940" s="3" t="s">
        <v>10250</v>
      </c>
      <c r="C1940" s="3" t="s">
        <v>31</v>
      </c>
      <c r="D1940" s="3" t="s">
        <v>32</v>
      </c>
      <c r="E1940" s="4" t="s">
        <v>22</v>
      </c>
      <c r="F1940" s="4" t="s">
        <v>10233</v>
      </c>
      <c r="G1940" s="4" t="s">
        <v>10183</v>
      </c>
      <c r="H1940" s="3" t="s">
        <v>8487</v>
      </c>
      <c r="I1940" s="3" t="s">
        <v>10184</v>
      </c>
      <c r="J1940" s="3" t="s">
        <v>10251</v>
      </c>
      <c r="K1940" s="3" t="s">
        <v>10252</v>
      </c>
      <c r="L1940" s="3" t="s">
        <v>10253</v>
      </c>
      <c r="M1940" s="4"/>
      <c r="N1940" s="3" t="s">
        <v>967</v>
      </c>
      <c r="O1940" s="3" t="s">
        <v>52</v>
      </c>
      <c r="P1940" s="5">
        <v>19</v>
      </c>
      <c r="Q1940" s="5">
        <v>479</v>
      </c>
      <c r="R1940" s="5">
        <v>20</v>
      </c>
      <c r="S1940" s="5">
        <v>483</v>
      </c>
    </row>
    <row r="1941" spans="1:19" ht="42" x14ac:dyDescent="0.15">
      <c r="A1941" s="2">
        <f>HYPERLINK("https://open-school.uspishnemisto.com.ua/school/120369/", 120369)</f>
        <v>120369</v>
      </c>
      <c r="B1941" s="3" t="s">
        <v>10254</v>
      </c>
      <c r="C1941" s="3" t="s">
        <v>31</v>
      </c>
      <c r="D1941" s="3" t="s">
        <v>32</v>
      </c>
      <c r="E1941" s="4" t="s">
        <v>22</v>
      </c>
      <c r="F1941" s="4" t="s">
        <v>10242</v>
      </c>
      <c r="G1941" s="4" t="s">
        <v>10183</v>
      </c>
      <c r="H1941" s="3" t="s">
        <v>8487</v>
      </c>
      <c r="I1941" s="3" t="s">
        <v>10184</v>
      </c>
      <c r="J1941" s="3" t="s">
        <v>10255</v>
      </c>
      <c r="K1941" s="3" t="s">
        <v>10256</v>
      </c>
      <c r="L1941" s="3" t="s">
        <v>10257</v>
      </c>
      <c r="M1941" s="4"/>
      <c r="N1941" s="3" t="s">
        <v>37</v>
      </c>
      <c r="O1941" s="3" t="s">
        <v>38</v>
      </c>
      <c r="P1941" s="5">
        <v>15</v>
      </c>
      <c r="Q1941" s="5">
        <v>384</v>
      </c>
      <c r="R1941" s="5">
        <v>14</v>
      </c>
      <c r="S1941" s="5">
        <v>392</v>
      </c>
    </row>
    <row r="1942" spans="1:19" ht="42" x14ac:dyDescent="0.15">
      <c r="A1942" s="2">
        <f>HYPERLINK("https://open-school.uspishnemisto.com.ua/school/120370/", 120370)</f>
        <v>120370</v>
      </c>
      <c r="B1942" s="3" t="s">
        <v>10258</v>
      </c>
      <c r="C1942" s="3" t="s">
        <v>31</v>
      </c>
      <c r="D1942" s="3" t="s">
        <v>32</v>
      </c>
      <c r="E1942" s="4" t="s">
        <v>22</v>
      </c>
      <c r="F1942" s="4" t="s">
        <v>10242</v>
      </c>
      <c r="G1942" s="4" t="s">
        <v>10183</v>
      </c>
      <c r="H1942" s="3" t="s">
        <v>8487</v>
      </c>
      <c r="I1942" s="3" t="s">
        <v>10184</v>
      </c>
      <c r="J1942" s="3" t="s">
        <v>10259</v>
      </c>
      <c r="K1942" s="3" t="s">
        <v>10260</v>
      </c>
      <c r="L1942" s="3" t="s">
        <v>10261</v>
      </c>
      <c r="M1942" s="4"/>
      <c r="N1942" s="3" t="s">
        <v>37</v>
      </c>
      <c r="O1942" s="3" t="s">
        <v>38</v>
      </c>
      <c r="P1942" s="5">
        <v>33</v>
      </c>
      <c r="Q1942" s="5">
        <v>979</v>
      </c>
      <c r="R1942" s="5">
        <v>31</v>
      </c>
      <c r="S1942" s="5">
        <v>944</v>
      </c>
    </row>
    <row r="1943" spans="1:19" ht="42" x14ac:dyDescent="0.15">
      <c r="A1943" s="2">
        <f>HYPERLINK("https://open-school.uspishnemisto.com.ua/school/120371/", 120371)</f>
        <v>120371</v>
      </c>
      <c r="B1943" s="3" t="s">
        <v>10262</v>
      </c>
      <c r="C1943" s="3" t="s">
        <v>31</v>
      </c>
      <c r="D1943" s="3" t="s">
        <v>32</v>
      </c>
      <c r="E1943" s="4" t="s">
        <v>22</v>
      </c>
      <c r="F1943" s="4" t="s">
        <v>9648</v>
      </c>
      <c r="G1943" s="4" t="s">
        <v>10183</v>
      </c>
      <c r="H1943" s="3" t="s">
        <v>8487</v>
      </c>
      <c r="I1943" s="3" t="s">
        <v>10184</v>
      </c>
      <c r="J1943" s="3" t="s">
        <v>10263</v>
      </c>
      <c r="K1943" s="3" t="s">
        <v>10264</v>
      </c>
      <c r="L1943" s="3" t="s">
        <v>10265</v>
      </c>
      <c r="M1943" s="4"/>
      <c r="N1943" s="3" t="s">
        <v>967</v>
      </c>
      <c r="O1943" s="3" t="s">
        <v>46</v>
      </c>
      <c r="P1943" s="5">
        <v>31</v>
      </c>
      <c r="Q1943" s="5">
        <v>873</v>
      </c>
      <c r="R1943" s="5">
        <v>30</v>
      </c>
      <c r="S1943" s="5">
        <v>864</v>
      </c>
    </row>
    <row r="1944" spans="1:19" ht="42" x14ac:dyDescent="0.15">
      <c r="A1944" s="2">
        <f>HYPERLINK("https://open-school.uspishnemisto.com.ua/school/120372/", 120372)</f>
        <v>120372</v>
      </c>
      <c r="B1944" s="3" t="s">
        <v>10266</v>
      </c>
      <c r="C1944" s="3" t="s">
        <v>31</v>
      </c>
      <c r="D1944" s="3" t="s">
        <v>32</v>
      </c>
      <c r="E1944" s="4" t="s">
        <v>22</v>
      </c>
      <c r="F1944" s="4" t="s">
        <v>10267</v>
      </c>
      <c r="G1944" s="4" t="s">
        <v>10183</v>
      </c>
      <c r="H1944" s="3" t="s">
        <v>8487</v>
      </c>
      <c r="I1944" s="3" t="s">
        <v>10184</v>
      </c>
      <c r="J1944" s="3" t="s">
        <v>10268</v>
      </c>
      <c r="K1944" s="3" t="s">
        <v>10269</v>
      </c>
      <c r="L1944" s="3" t="s">
        <v>10270</v>
      </c>
      <c r="M1944" s="4"/>
      <c r="N1944" s="3" t="s">
        <v>128</v>
      </c>
      <c r="O1944" s="3" t="s">
        <v>70</v>
      </c>
      <c r="P1944" s="5">
        <v>30</v>
      </c>
      <c r="Q1944" s="5">
        <v>760</v>
      </c>
      <c r="R1944" s="5">
        <v>30</v>
      </c>
      <c r="S1944" s="5">
        <v>774</v>
      </c>
    </row>
    <row r="1945" spans="1:19" ht="42" x14ac:dyDescent="0.15">
      <c r="A1945" s="2">
        <f>HYPERLINK("https://open-school.uspishnemisto.com.ua/school/120373/", 120373)</f>
        <v>120373</v>
      </c>
      <c r="B1945" s="3" t="s">
        <v>10271</v>
      </c>
      <c r="C1945" s="3" t="s">
        <v>31</v>
      </c>
      <c r="D1945" s="3" t="s">
        <v>32</v>
      </c>
      <c r="E1945" s="4" t="s">
        <v>22</v>
      </c>
      <c r="F1945" s="4" t="s">
        <v>9648</v>
      </c>
      <c r="G1945" s="4" t="s">
        <v>10183</v>
      </c>
      <c r="H1945" s="3" t="s">
        <v>8487</v>
      </c>
      <c r="I1945" s="3" t="s">
        <v>10184</v>
      </c>
      <c r="J1945" s="3" t="s">
        <v>10272</v>
      </c>
      <c r="K1945" s="3" t="s">
        <v>10273</v>
      </c>
      <c r="L1945" s="3" t="s">
        <v>10274</v>
      </c>
      <c r="M1945" s="4"/>
      <c r="N1945" s="3" t="s">
        <v>37</v>
      </c>
      <c r="O1945" s="3" t="s">
        <v>38</v>
      </c>
      <c r="P1945" s="5">
        <v>14</v>
      </c>
      <c r="Q1945" s="5">
        <v>345</v>
      </c>
      <c r="R1945" s="5">
        <v>12</v>
      </c>
      <c r="S1945" s="5">
        <v>303</v>
      </c>
    </row>
    <row r="1946" spans="1:19" ht="42" x14ac:dyDescent="0.15">
      <c r="A1946" s="2">
        <f>HYPERLINK("https://open-school.uspishnemisto.com.ua/school/120374/", 120374)</f>
        <v>120374</v>
      </c>
      <c r="B1946" s="3" t="s">
        <v>10275</v>
      </c>
      <c r="C1946" s="3" t="s">
        <v>31</v>
      </c>
      <c r="D1946" s="3" t="s">
        <v>175</v>
      </c>
      <c r="E1946" s="4" t="s">
        <v>22</v>
      </c>
      <c r="F1946" s="4" t="s">
        <v>10198</v>
      </c>
      <c r="G1946" s="4" t="s">
        <v>10183</v>
      </c>
      <c r="H1946" s="3" t="s">
        <v>8487</v>
      </c>
      <c r="I1946" s="3" t="s">
        <v>10184</v>
      </c>
      <c r="J1946" s="3" t="s">
        <v>10276</v>
      </c>
      <c r="K1946" s="3" t="s">
        <v>10277</v>
      </c>
      <c r="L1946" s="3" t="s">
        <v>10278</v>
      </c>
      <c r="M1946" s="4"/>
      <c r="N1946" s="3" t="s">
        <v>37</v>
      </c>
      <c r="O1946" s="3" t="s">
        <v>38</v>
      </c>
      <c r="P1946" s="5">
        <v>7</v>
      </c>
      <c r="Q1946" s="5">
        <v>90</v>
      </c>
      <c r="R1946" s="5">
        <v>6</v>
      </c>
      <c r="S1946" s="5">
        <v>85</v>
      </c>
    </row>
    <row r="1947" spans="1:19" ht="42" x14ac:dyDescent="0.15">
      <c r="A1947" s="2">
        <f>HYPERLINK("https://open-school.uspishnemisto.com.ua/school/120375/", 120375)</f>
        <v>120375</v>
      </c>
      <c r="B1947" s="3" t="s">
        <v>10279</v>
      </c>
      <c r="C1947" s="3" t="s">
        <v>244</v>
      </c>
      <c r="D1947" s="3" t="s">
        <v>32</v>
      </c>
      <c r="E1947" s="4" t="s">
        <v>22</v>
      </c>
      <c r="F1947" s="4" t="s">
        <v>9648</v>
      </c>
      <c r="G1947" s="4" t="s">
        <v>10183</v>
      </c>
      <c r="H1947" s="3" t="s">
        <v>8487</v>
      </c>
      <c r="I1947" s="3" t="s">
        <v>10184</v>
      </c>
      <c r="J1947" s="3" t="s">
        <v>10280</v>
      </c>
      <c r="K1947" s="3" t="s">
        <v>10281</v>
      </c>
      <c r="L1947" s="3" t="s">
        <v>10282</v>
      </c>
      <c r="M1947" s="4"/>
      <c r="N1947" s="3" t="s">
        <v>37</v>
      </c>
      <c r="O1947" s="3" t="s">
        <v>70</v>
      </c>
      <c r="P1947" s="5">
        <v>20</v>
      </c>
      <c r="Q1947" s="5">
        <v>507</v>
      </c>
      <c r="R1947" s="5">
        <v>19</v>
      </c>
      <c r="S1947" s="5">
        <v>485</v>
      </c>
    </row>
    <row r="1948" spans="1:19" ht="42" x14ac:dyDescent="0.15">
      <c r="A1948" s="2">
        <f>HYPERLINK("https://open-school.uspishnemisto.com.ua/school/120376/", 120376)</f>
        <v>120376</v>
      </c>
      <c r="B1948" s="3" t="s">
        <v>10283</v>
      </c>
      <c r="C1948" s="3" t="s">
        <v>40</v>
      </c>
      <c r="D1948" s="3" t="s">
        <v>32</v>
      </c>
      <c r="E1948" s="4" t="s">
        <v>22</v>
      </c>
      <c r="F1948" s="4" t="s">
        <v>10284</v>
      </c>
      <c r="G1948" s="4" t="s">
        <v>10183</v>
      </c>
      <c r="H1948" s="3" t="s">
        <v>8487</v>
      </c>
      <c r="I1948" s="3" t="s">
        <v>10184</v>
      </c>
      <c r="J1948" s="3" t="s">
        <v>10285</v>
      </c>
      <c r="K1948" s="3" t="s">
        <v>10286</v>
      </c>
      <c r="L1948" s="3" t="s">
        <v>10287</v>
      </c>
      <c r="M1948" s="4"/>
      <c r="N1948" s="3" t="s">
        <v>37</v>
      </c>
      <c r="O1948" s="3" t="s">
        <v>70</v>
      </c>
      <c r="P1948" s="5">
        <v>15</v>
      </c>
      <c r="Q1948" s="5">
        <v>425</v>
      </c>
      <c r="R1948" s="5">
        <v>15</v>
      </c>
      <c r="S1948" s="5">
        <v>442</v>
      </c>
    </row>
    <row r="1949" spans="1:19" ht="42" x14ac:dyDescent="0.15">
      <c r="A1949" s="2">
        <f>HYPERLINK("https://open-school.uspishnemisto.com.ua/school/120377/", 120377)</f>
        <v>120377</v>
      </c>
      <c r="B1949" s="3" t="s">
        <v>10288</v>
      </c>
      <c r="C1949" s="3" t="s">
        <v>188</v>
      </c>
      <c r="D1949" s="3" t="s">
        <v>32</v>
      </c>
      <c r="E1949" s="4" t="s">
        <v>22</v>
      </c>
      <c r="F1949" s="4" t="s">
        <v>10182</v>
      </c>
      <c r="G1949" s="4" t="s">
        <v>10183</v>
      </c>
      <c r="H1949" s="3" t="s">
        <v>8487</v>
      </c>
      <c r="I1949" s="3" t="s">
        <v>10184</v>
      </c>
      <c r="J1949" s="3" t="s">
        <v>10289</v>
      </c>
      <c r="K1949" s="3" t="s">
        <v>10290</v>
      </c>
      <c r="L1949" s="3" t="s">
        <v>10291</v>
      </c>
      <c r="M1949" s="4"/>
      <c r="N1949" s="3" t="s">
        <v>37</v>
      </c>
      <c r="O1949" s="3" t="s">
        <v>38</v>
      </c>
      <c r="P1949" s="5">
        <v>15</v>
      </c>
      <c r="Q1949" s="5">
        <v>431</v>
      </c>
      <c r="R1949" s="5">
        <v>15</v>
      </c>
      <c r="S1949" s="5">
        <v>436</v>
      </c>
    </row>
    <row r="1950" spans="1:19" ht="42" x14ac:dyDescent="0.15">
      <c r="A1950" s="2">
        <f>HYPERLINK("https://open-school.uspishnemisto.com.ua/school/120378/", 120378)</f>
        <v>120378</v>
      </c>
      <c r="B1950" s="3" t="s">
        <v>10292</v>
      </c>
      <c r="C1950" s="3" t="s">
        <v>54</v>
      </c>
      <c r="D1950" s="3" t="s">
        <v>60</v>
      </c>
      <c r="E1950" s="4" t="s">
        <v>22</v>
      </c>
      <c r="F1950" s="4" t="s">
        <v>10293</v>
      </c>
      <c r="G1950" s="4" t="s">
        <v>10294</v>
      </c>
      <c r="H1950" s="3" t="s">
        <v>8487</v>
      </c>
      <c r="I1950" s="3" t="s">
        <v>10295</v>
      </c>
      <c r="J1950" s="3" t="s">
        <v>10296</v>
      </c>
      <c r="K1950" s="3" t="s">
        <v>10297</v>
      </c>
      <c r="L1950" s="3" t="s">
        <v>10298</v>
      </c>
      <c r="M1950" s="4"/>
      <c r="N1950" s="3" t="s">
        <v>37</v>
      </c>
      <c r="O1950" s="3" t="s">
        <v>52</v>
      </c>
      <c r="P1950" s="5">
        <v>4</v>
      </c>
      <c r="Q1950" s="5">
        <v>93</v>
      </c>
      <c r="R1950" s="5">
        <v>4</v>
      </c>
      <c r="S1950" s="5">
        <v>97</v>
      </c>
    </row>
    <row r="1951" spans="1:19" ht="42" x14ac:dyDescent="0.15">
      <c r="A1951" s="2">
        <f>HYPERLINK("https://open-school.uspishnemisto.com.ua/school/120379/", 120379)</f>
        <v>120379</v>
      </c>
      <c r="B1951" s="3" t="s">
        <v>10299</v>
      </c>
      <c r="C1951" s="3" t="s">
        <v>181</v>
      </c>
      <c r="D1951" s="3" t="s">
        <v>32</v>
      </c>
      <c r="E1951" s="4" t="s">
        <v>22</v>
      </c>
      <c r="F1951" s="4" t="s">
        <v>10300</v>
      </c>
      <c r="G1951" s="4" t="s">
        <v>10294</v>
      </c>
      <c r="H1951" s="3" t="s">
        <v>8487</v>
      </c>
      <c r="I1951" s="3" t="s">
        <v>10295</v>
      </c>
      <c r="J1951" s="3" t="s">
        <v>5064</v>
      </c>
      <c r="K1951" s="3" t="s">
        <v>10301</v>
      </c>
      <c r="L1951" s="3" t="s">
        <v>10302</v>
      </c>
      <c r="M1951" s="4" t="s">
        <v>10303</v>
      </c>
      <c r="N1951" s="3" t="s">
        <v>37</v>
      </c>
      <c r="O1951" s="3"/>
      <c r="P1951" s="5">
        <v>12</v>
      </c>
      <c r="Q1951" s="5">
        <v>139</v>
      </c>
      <c r="R1951" s="5">
        <v>12</v>
      </c>
      <c r="S1951" s="5">
        <v>140</v>
      </c>
    </row>
    <row r="1952" spans="1:19" ht="42" x14ac:dyDescent="0.15">
      <c r="A1952" s="2">
        <f>HYPERLINK("https://open-school.uspishnemisto.com.ua/school/120380/", 120380)</f>
        <v>120380</v>
      </c>
      <c r="B1952" s="3" t="s">
        <v>10304</v>
      </c>
      <c r="C1952" s="3" t="s">
        <v>7651</v>
      </c>
      <c r="D1952" s="3" t="s">
        <v>32</v>
      </c>
      <c r="E1952" s="4" t="s">
        <v>22</v>
      </c>
      <c r="F1952" s="4" t="s">
        <v>10305</v>
      </c>
      <c r="G1952" s="4" t="s">
        <v>10294</v>
      </c>
      <c r="H1952" s="3" t="s">
        <v>8487</v>
      </c>
      <c r="I1952" s="3" t="s">
        <v>10295</v>
      </c>
      <c r="J1952" s="3" t="s">
        <v>10306</v>
      </c>
      <c r="K1952" s="3" t="s">
        <v>10307</v>
      </c>
      <c r="L1952" s="3" t="s">
        <v>10308</v>
      </c>
      <c r="M1952" s="4"/>
      <c r="N1952" s="3"/>
      <c r="O1952" s="3"/>
      <c r="P1952" s="5">
        <v>0</v>
      </c>
      <c r="Q1952" s="5">
        <v>0</v>
      </c>
      <c r="R1952" s="5"/>
      <c r="S1952" s="5"/>
    </row>
    <row r="1953" spans="1:19" ht="28" x14ac:dyDescent="0.15">
      <c r="A1953" s="2">
        <f>HYPERLINK("https://open-school.uspishnemisto.com.ua/school/120381/", 120381)</f>
        <v>120381</v>
      </c>
      <c r="B1953" s="3" t="s">
        <v>10309</v>
      </c>
      <c r="C1953" s="3" t="s">
        <v>40</v>
      </c>
      <c r="D1953" s="3" t="s">
        <v>32</v>
      </c>
      <c r="E1953" s="4" t="s">
        <v>22</v>
      </c>
      <c r="F1953" s="4" t="s">
        <v>10300</v>
      </c>
      <c r="G1953" s="4" t="s">
        <v>10294</v>
      </c>
      <c r="H1953" s="3" t="s">
        <v>8487</v>
      </c>
      <c r="I1953" s="3" t="s">
        <v>10295</v>
      </c>
      <c r="J1953" s="3" t="s">
        <v>10310</v>
      </c>
      <c r="K1953" s="3" t="s">
        <v>10311</v>
      </c>
      <c r="L1953" s="3" t="s">
        <v>10312</v>
      </c>
      <c r="M1953" s="4"/>
      <c r="N1953" s="3" t="s">
        <v>37</v>
      </c>
      <c r="O1953" s="3" t="s">
        <v>52</v>
      </c>
      <c r="P1953" s="5">
        <v>11</v>
      </c>
      <c r="Q1953" s="5">
        <v>253</v>
      </c>
      <c r="R1953" s="5">
        <v>11</v>
      </c>
      <c r="S1953" s="5">
        <v>245</v>
      </c>
    </row>
    <row r="1954" spans="1:19" ht="28" x14ac:dyDescent="0.15">
      <c r="A1954" s="2">
        <f>HYPERLINK("https://open-school.uspishnemisto.com.ua/school/120382/", 120382)</f>
        <v>120382</v>
      </c>
      <c r="B1954" s="3" t="s">
        <v>10313</v>
      </c>
      <c r="C1954" s="3" t="s">
        <v>40</v>
      </c>
      <c r="D1954" s="3" t="s">
        <v>32</v>
      </c>
      <c r="E1954" s="4" t="s">
        <v>22</v>
      </c>
      <c r="F1954" s="4" t="s">
        <v>10300</v>
      </c>
      <c r="G1954" s="4" t="s">
        <v>10294</v>
      </c>
      <c r="H1954" s="3" t="s">
        <v>8487</v>
      </c>
      <c r="I1954" s="3" t="s">
        <v>10295</v>
      </c>
      <c r="J1954" s="3" t="s">
        <v>10314</v>
      </c>
      <c r="K1954" s="3" t="s">
        <v>10315</v>
      </c>
      <c r="L1954" s="3" t="s">
        <v>10316</v>
      </c>
      <c r="M1954" s="4"/>
      <c r="N1954" s="3" t="s">
        <v>37</v>
      </c>
      <c r="O1954" s="3" t="s">
        <v>70</v>
      </c>
      <c r="P1954" s="5">
        <v>20</v>
      </c>
      <c r="Q1954" s="5">
        <v>513</v>
      </c>
      <c r="R1954" s="5">
        <v>21</v>
      </c>
      <c r="S1954" s="5">
        <v>513</v>
      </c>
    </row>
    <row r="1955" spans="1:19" ht="42" x14ac:dyDescent="0.15">
      <c r="A1955" s="2">
        <f>HYPERLINK("https://open-school.uspishnemisto.com.ua/school/120383/", 120383)</f>
        <v>120383</v>
      </c>
      <c r="B1955" s="3" t="s">
        <v>10317</v>
      </c>
      <c r="C1955" s="3" t="s">
        <v>244</v>
      </c>
      <c r="D1955" s="3" t="s">
        <v>32</v>
      </c>
      <c r="E1955" s="4" t="s">
        <v>22</v>
      </c>
      <c r="F1955" s="4" t="s">
        <v>10305</v>
      </c>
      <c r="G1955" s="4" t="s">
        <v>10294</v>
      </c>
      <c r="H1955" s="3" t="s">
        <v>8487</v>
      </c>
      <c r="I1955" s="3" t="s">
        <v>10295</v>
      </c>
      <c r="J1955" s="3" t="s">
        <v>10318</v>
      </c>
      <c r="K1955" s="3" t="s">
        <v>10319</v>
      </c>
      <c r="L1955" s="3" t="s">
        <v>10320</v>
      </c>
      <c r="M1955" s="4"/>
      <c r="N1955" s="3" t="s">
        <v>37</v>
      </c>
      <c r="O1955" s="3" t="s">
        <v>38</v>
      </c>
      <c r="P1955" s="5">
        <v>20</v>
      </c>
      <c r="Q1955" s="5">
        <v>514</v>
      </c>
      <c r="R1955" s="5">
        <v>21</v>
      </c>
      <c r="S1955" s="5">
        <v>523</v>
      </c>
    </row>
    <row r="1956" spans="1:19" ht="28" x14ac:dyDescent="0.15">
      <c r="A1956" s="2">
        <f>HYPERLINK("https://open-school.uspishnemisto.com.ua/school/120384/", 120384)</f>
        <v>120384</v>
      </c>
      <c r="B1956" s="3" t="s">
        <v>10321</v>
      </c>
      <c r="C1956" s="3" t="s">
        <v>31</v>
      </c>
      <c r="D1956" s="3" t="s">
        <v>32</v>
      </c>
      <c r="E1956" s="4" t="s">
        <v>22</v>
      </c>
      <c r="F1956" s="4" t="s">
        <v>10300</v>
      </c>
      <c r="G1956" s="4" t="s">
        <v>10294</v>
      </c>
      <c r="H1956" s="3" t="s">
        <v>8487</v>
      </c>
      <c r="I1956" s="3" t="s">
        <v>10295</v>
      </c>
      <c r="J1956" s="3" t="s">
        <v>10322</v>
      </c>
      <c r="K1956" s="3" t="s">
        <v>10323</v>
      </c>
      <c r="L1956" s="3" t="s">
        <v>10324</v>
      </c>
      <c r="M1956" s="4"/>
      <c r="N1956" s="3" t="s">
        <v>967</v>
      </c>
      <c r="O1956" s="3" t="s">
        <v>2740</v>
      </c>
      <c r="P1956" s="5">
        <v>11</v>
      </c>
      <c r="Q1956" s="5">
        <v>290</v>
      </c>
      <c r="R1956" s="5">
        <v>11</v>
      </c>
      <c r="S1956" s="5">
        <v>283</v>
      </c>
    </row>
    <row r="1957" spans="1:19" ht="28" x14ac:dyDescent="0.15">
      <c r="A1957" s="2">
        <f>HYPERLINK("https://open-school.uspishnemisto.com.ua/school/120385/", 120385)</f>
        <v>120385</v>
      </c>
      <c r="B1957" s="3" t="s">
        <v>10325</v>
      </c>
      <c r="C1957" s="3" t="s">
        <v>31</v>
      </c>
      <c r="D1957" s="3" t="s">
        <v>32</v>
      </c>
      <c r="E1957" s="4" t="s">
        <v>22</v>
      </c>
      <c r="F1957" s="4" t="s">
        <v>10300</v>
      </c>
      <c r="G1957" s="4" t="s">
        <v>10294</v>
      </c>
      <c r="H1957" s="3" t="s">
        <v>8487</v>
      </c>
      <c r="I1957" s="3" t="s">
        <v>10295</v>
      </c>
      <c r="J1957" s="3" t="s">
        <v>10326</v>
      </c>
      <c r="K1957" s="3" t="s">
        <v>10327</v>
      </c>
      <c r="L1957" s="3" t="s">
        <v>10328</v>
      </c>
      <c r="M1957" s="4"/>
      <c r="N1957" s="3" t="s">
        <v>37</v>
      </c>
      <c r="O1957" s="3" t="s">
        <v>46</v>
      </c>
      <c r="P1957" s="5">
        <v>16</v>
      </c>
      <c r="Q1957" s="5">
        <v>378</v>
      </c>
      <c r="R1957" s="5">
        <v>17</v>
      </c>
      <c r="S1957" s="5">
        <v>386</v>
      </c>
    </row>
    <row r="1958" spans="1:19" ht="42" x14ac:dyDescent="0.15">
      <c r="A1958" s="2">
        <f>HYPERLINK("https://open-school.uspishnemisto.com.ua/school/120386/", 120386)</f>
        <v>120386</v>
      </c>
      <c r="B1958" s="3" t="s">
        <v>10329</v>
      </c>
      <c r="C1958" s="3" t="s">
        <v>54</v>
      </c>
      <c r="D1958" s="3" t="s">
        <v>32</v>
      </c>
      <c r="E1958" s="4" t="s">
        <v>22</v>
      </c>
      <c r="F1958" s="4" t="s">
        <v>10300</v>
      </c>
      <c r="G1958" s="4" t="s">
        <v>10294</v>
      </c>
      <c r="H1958" s="3" t="s">
        <v>8487</v>
      </c>
      <c r="I1958" s="3" t="s">
        <v>10295</v>
      </c>
      <c r="J1958" s="3" t="s">
        <v>10330</v>
      </c>
      <c r="K1958" s="3" t="s">
        <v>10331</v>
      </c>
      <c r="L1958" s="3" t="s">
        <v>10332</v>
      </c>
      <c r="M1958" s="4"/>
      <c r="N1958" s="3" t="s">
        <v>37</v>
      </c>
      <c r="O1958" s="3" t="s">
        <v>38</v>
      </c>
      <c r="P1958" s="5">
        <v>10</v>
      </c>
      <c r="Q1958" s="5">
        <v>235</v>
      </c>
      <c r="R1958" s="5">
        <v>9</v>
      </c>
      <c r="S1958" s="5">
        <v>210</v>
      </c>
    </row>
    <row r="1959" spans="1:19" ht="28" x14ac:dyDescent="0.15">
      <c r="A1959" s="2">
        <f>HYPERLINK("https://open-school.uspishnemisto.com.ua/school/120387/", 120387)</f>
        <v>120387</v>
      </c>
      <c r="B1959" s="3" t="s">
        <v>10333</v>
      </c>
      <c r="C1959" s="3" t="s">
        <v>31</v>
      </c>
      <c r="D1959" s="3" t="s">
        <v>32</v>
      </c>
      <c r="E1959" s="4" t="s">
        <v>22</v>
      </c>
      <c r="F1959" s="4" t="s">
        <v>10334</v>
      </c>
      <c r="G1959" s="4" t="s">
        <v>10294</v>
      </c>
      <c r="H1959" s="3" t="s">
        <v>8487</v>
      </c>
      <c r="I1959" s="3" t="s">
        <v>10295</v>
      </c>
      <c r="J1959" s="3" t="s">
        <v>10335</v>
      </c>
      <c r="K1959" s="3" t="s">
        <v>10336</v>
      </c>
      <c r="L1959" s="3" t="s">
        <v>10337</v>
      </c>
      <c r="M1959" s="4"/>
      <c r="N1959" s="3" t="s">
        <v>37</v>
      </c>
      <c r="O1959" s="3" t="s">
        <v>38</v>
      </c>
      <c r="P1959" s="5">
        <v>12</v>
      </c>
      <c r="Q1959" s="5">
        <v>271</v>
      </c>
      <c r="R1959" s="5">
        <v>12</v>
      </c>
      <c r="S1959" s="5">
        <v>271</v>
      </c>
    </row>
    <row r="1960" spans="1:19" ht="42" x14ac:dyDescent="0.15">
      <c r="A1960" s="2">
        <f>HYPERLINK("https://open-school.uspishnemisto.com.ua/school/120388/", 120388)</f>
        <v>120388</v>
      </c>
      <c r="B1960" s="3" t="s">
        <v>10338</v>
      </c>
      <c r="C1960" s="3" t="s">
        <v>244</v>
      </c>
      <c r="D1960" s="3" t="s">
        <v>32</v>
      </c>
      <c r="E1960" s="4" t="s">
        <v>22</v>
      </c>
      <c r="F1960" s="4" t="s">
        <v>10293</v>
      </c>
      <c r="G1960" s="4" t="s">
        <v>10294</v>
      </c>
      <c r="H1960" s="3" t="s">
        <v>8487</v>
      </c>
      <c r="I1960" s="3" t="s">
        <v>10295</v>
      </c>
      <c r="J1960" s="3" t="s">
        <v>10339</v>
      </c>
      <c r="K1960" s="3" t="s">
        <v>10340</v>
      </c>
      <c r="L1960" s="3" t="s">
        <v>10341</v>
      </c>
      <c r="M1960" s="4"/>
      <c r="N1960" s="3" t="s">
        <v>37</v>
      </c>
      <c r="O1960" s="3" t="s">
        <v>70</v>
      </c>
      <c r="P1960" s="5">
        <v>23</v>
      </c>
      <c r="Q1960" s="5">
        <v>603</v>
      </c>
      <c r="R1960" s="5">
        <v>21</v>
      </c>
      <c r="S1960" s="5">
        <v>573</v>
      </c>
    </row>
    <row r="1961" spans="1:19" ht="42" x14ac:dyDescent="0.15">
      <c r="A1961" s="2">
        <f>HYPERLINK("https://open-school.uspishnemisto.com.ua/school/120389/", 120389)</f>
        <v>120389</v>
      </c>
      <c r="B1961" s="3" t="s">
        <v>10342</v>
      </c>
      <c r="C1961" s="3" t="s">
        <v>244</v>
      </c>
      <c r="D1961" s="3" t="s">
        <v>32</v>
      </c>
      <c r="E1961" s="4" t="s">
        <v>22</v>
      </c>
      <c r="F1961" s="4" t="s">
        <v>10305</v>
      </c>
      <c r="G1961" s="4" t="s">
        <v>10294</v>
      </c>
      <c r="H1961" s="3" t="s">
        <v>8487</v>
      </c>
      <c r="I1961" s="3" t="s">
        <v>10295</v>
      </c>
      <c r="J1961" s="3" t="s">
        <v>10343</v>
      </c>
      <c r="K1961" s="3" t="s">
        <v>10344</v>
      </c>
      <c r="L1961" s="3" t="s">
        <v>10345</v>
      </c>
      <c r="M1961" s="4"/>
      <c r="N1961" s="3" t="s">
        <v>37</v>
      </c>
      <c r="O1961" s="3" t="s">
        <v>46</v>
      </c>
      <c r="P1961" s="5">
        <v>16</v>
      </c>
      <c r="Q1961" s="5">
        <v>399</v>
      </c>
      <c r="R1961" s="5">
        <v>15</v>
      </c>
      <c r="S1961" s="5">
        <v>366</v>
      </c>
    </row>
    <row r="1962" spans="1:19" ht="42" x14ac:dyDescent="0.15">
      <c r="A1962" s="2">
        <f>HYPERLINK("https://open-school.uspishnemisto.com.ua/school/120390/", 120390)</f>
        <v>120390</v>
      </c>
      <c r="B1962" s="3" t="s">
        <v>10346</v>
      </c>
      <c r="C1962" s="3" t="s">
        <v>54</v>
      </c>
      <c r="D1962" s="3" t="s">
        <v>32</v>
      </c>
      <c r="E1962" s="4" t="s">
        <v>22</v>
      </c>
      <c r="F1962" s="4" t="s">
        <v>10347</v>
      </c>
      <c r="G1962" s="4" t="s">
        <v>10294</v>
      </c>
      <c r="H1962" s="3" t="s">
        <v>8487</v>
      </c>
      <c r="I1962" s="3" t="s">
        <v>10295</v>
      </c>
      <c r="J1962" s="3" t="s">
        <v>10348</v>
      </c>
      <c r="K1962" s="3" t="s">
        <v>10349</v>
      </c>
      <c r="L1962" s="3" t="s">
        <v>10350</v>
      </c>
      <c r="M1962" s="4"/>
      <c r="N1962" s="3" t="s">
        <v>967</v>
      </c>
      <c r="O1962" s="3" t="s">
        <v>1081</v>
      </c>
      <c r="P1962" s="5">
        <v>36</v>
      </c>
      <c r="Q1962" s="5">
        <v>882</v>
      </c>
      <c r="R1962" s="5">
        <v>36</v>
      </c>
      <c r="S1962" s="5">
        <v>870</v>
      </c>
    </row>
    <row r="1963" spans="1:19" ht="28" x14ac:dyDescent="0.15">
      <c r="A1963" s="2">
        <f>HYPERLINK("https://open-school.uspishnemisto.com.ua/school/120391/", 120391)</f>
        <v>120391</v>
      </c>
      <c r="B1963" s="3" t="s">
        <v>10351</v>
      </c>
      <c r="C1963" s="3" t="s">
        <v>31</v>
      </c>
      <c r="D1963" s="3" t="s">
        <v>175</v>
      </c>
      <c r="E1963" s="4" t="s">
        <v>22</v>
      </c>
      <c r="F1963" s="4" t="s">
        <v>10352</v>
      </c>
      <c r="G1963" s="4" t="s">
        <v>10353</v>
      </c>
      <c r="H1963" s="3" t="s">
        <v>8487</v>
      </c>
      <c r="I1963" s="3" t="s">
        <v>10354</v>
      </c>
      <c r="J1963" s="3" t="s">
        <v>10355</v>
      </c>
      <c r="K1963" s="3" t="s">
        <v>10356</v>
      </c>
      <c r="L1963" s="3"/>
      <c r="M1963" s="4"/>
      <c r="N1963" s="3" t="s">
        <v>37</v>
      </c>
      <c r="O1963" s="3" t="s">
        <v>38</v>
      </c>
      <c r="P1963" s="5">
        <v>7</v>
      </c>
      <c r="Q1963" s="5">
        <v>115</v>
      </c>
      <c r="R1963" s="5">
        <v>7</v>
      </c>
      <c r="S1963" s="5">
        <v>106</v>
      </c>
    </row>
    <row r="1964" spans="1:19" ht="28" x14ac:dyDescent="0.15">
      <c r="A1964" s="2">
        <f>HYPERLINK("https://open-school.uspishnemisto.com.ua/school/120392/", 120392)</f>
        <v>120392</v>
      </c>
      <c r="B1964" s="3" t="s">
        <v>10357</v>
      </c>
      <c r="C1964" s="3" t="s">
        <v>40</v>
      </c>
      <c r="D1964" s="3" t="s">
        <v>32</v>
      </c>
      <c r="E1964" s="4" t="s">
        <v>22</v>
      </c>
      <c r="F1964" s="4" t="s">
        <v>10358</v>
      </c>
      <c r="G1964" s="4" t="s">
        <v>10353</v>
      </c>
      <c r="H1964" s="3" t="s">
        <v>8487</v>
      </c>
      <c r="I1964" s="3" t="s">
        <v>10354</v>
      </c>
      <c r="J1964" s="3" t="s">
        <v>10359</v>
      </c>
      <c r="K1964" s="3" t="s">
        <v>10360</v>
      </c>
      <c r="L1964" s="3" t="s">
        <v>10361</v>
      </c>
      <c r="M1964" s="4"/>
      <c r="N1964" s="3" t="s">
        <v>37</v>
      </c>
      <c r="O1964" s="3" t="s">
        <v>70</v>
      </c>
      <c r="P1964" s="5">
        <v>31</v>
      </c>
      <c r="Q1964" s="5">
        <v>866</v>
      </c>
      <c r="R1964" s="5">
        <v>32</v>
      </c>
      <c r="S1964" s="5">
        <v>855</v>
      </c>
    </row>
    <row r="1965" spans="1:19" ht="28" x14ac:dyDescent="0.15">
      <c r="A1965" s="2">
        <f>HYPERLINK("https://open-school.uspishnemisto.com.ua/school/120393/", 120393)</f>
        <v>120393</v>
      </c>
      <c r="B1965" s="3" t="s">
        <v>10362</v>
      </c>
      <c r="C1965" s="3" t="s">
        <v>31</v>
      </c>
      <c r="D1965" s="3" t="s">
        <v>32</v>
      </c>
      <c r="E1965" s="4" t="s">
        <v>22</v>
      </c>
      <c r="F1965" s="4" t="s">
        <v>10363</v>
      </c>
      <c r="G1965" s="4" t="s">
        <v>10353</v>
      </c>
      <c r="H1965" s="3" t="s">
        <v>8487</v>
      </c>
      <c r="I1965" s="3" t="s">
        <v>10354</v>
      </c>
      <c r="J1965" s="3" t="s">
        <v>10364</v>
      </c>
      <c r="K1965" s="3" t="s">
        <v>10365</v>
      </c>
      <c r="L1965" s="3"/>
      <c r="M1965" s="4"/>
      <c r="N1965" s="3" t="s">
        <v>37</v>
      </c>
      <c r="O1965" s="3" t="s">
        <v>38</v>
      </c>
      <c r="P1965" s="5">
        <v>31</v>
      </c>
      <c r="Q1965" s="5">
        <v>851</v>
      </c>
      <c r="R1965" s="5">
        <v>31</v>
      </c>
      <c r="S1965" s="5">
        <v>863</v>
      </c>
    </row>
    <row r="1966" spans="1:19" ht="28" x14ac:dyDescent="0.15">
      <c r="A1966" s="2">
        <f>HYPERLINK("https://open-school.uspishnemisto.com.ua/school/120394/", 120394)</f>
        <v>120394</v>
      </c>
      <c r="B1966" s="3" t="s">
        <v>10366</v>
      </c>
      <c r="C1966" s="3" t="s">
        <v>40</v>
      </c>
      <c r="D1966" s="3" t="s">
        <v>32</v>
      </c>
      <c r="E1966" s="4" t="s">
        <v>22</v>
      </c>
      <c r="F1966" s="4" t="s">
        <v>10367</v>
      </c>
      <c r="G1966" s="4" t="s">
        <v>10353</v>
      </c>
      <c r="H1966" s="3" t="s">
        <v>8487</v>
      </c>
      <c r="I1966" s="3" t="s">
        <v>10354</v>
      </c>
      <c r="J1966" s="3" t="s">
        <v>10368</v>
      </c>
      <c r="K1966" s="3" t="s">
        <v>10369</v>
      </c>
      <c r="L1966" s="3" t="s">
        <v>10370</v>
      </c>
      <c r="M1966" s="4"/>
      <c r="N1966" s="3" t="s">
        <v>37</v>
      </c>
      <c r="O1966" s="3" t="s">
        <v>721</v>
      </c>
      <c r="P1966" s="5">
        <v>11</v>
      </c>
      <c r="Q1966" s="5">
        <v>293</v>
      </c>
      <c r="R1966" s="5">
        <v>11</v>
      </c>
      <c r="S1966" s="5">
        <v>278</v>
      </c>
    </row>
    <row r="1967" spans="1:19" ht="28" x14ac:dyDescent="0.15">
      <c r="A1967" s="2">
        <f>HYPERLINK("https://open-school.uspishnemisto.com.ua/school/120395/", 120395)</f>
        <v>120395</v>
      </c>
      <c r="B1967" s="3" t="s">
        <v>10371</v>
      </c>
      <c r="C1967" s="3" t="s">
        <v>31</v>
      </c>
      <c r="D1967" s="3" t="s">
        <v>32</v>
      </c>
      <c r="E1967" s="4" t="s">
        <v>22</v>
      </c>
      <c r="F1967" s="4" t="s">
        <v>10372</v>
      </c>
      <c r="G1967" s="4" t="s">
        <v>10353</v>
      </c>
      <c r="H1967" s="3" t="s">
        <v>8487</v>
      </c>
      <c r="I1967" s="3" t="s">
        <v>10354</v>
      </c>
      <c r="J1967" s="3" t="s">
        <v>10373</v>
      </c>
      <c r="K1967" s="3" t="s">
        <v>10374</v>
      </c>
      <c r="L1967" s="3" t="s">
        <v>10375</v>
      </c>
      <c r="M1967" s="4"/>
      <c r="N1967" s="3" t="s">
        <v>37</v>
      </c>
      <c r="O1967" s="3" t="s">
        <v>721</v>
      </c>
      <c r="P1967" s="5">
        <v>20</v>
      </c>
      <c r="Q1967" s="5">
        <v>552</v>
      </c>
      <c r="R1967" s="5">
        <v>21</v>
      </c>
      <c r="S1967" s="5">
        <v>564</v>
      </c>
    </row>
    <row r="1968" spans="1:19" ht="42" x14ac:dyDescent="0.15">
      <c r="A1968" s="2">
        <f>HYPERLINK("https://open-school.uspishnemisto.com.ua/school/120396/", 120396)</f>
        <v>120396</v>
      </c>
      <c r="B1968" s="3" t="s">
        <v>10376</v>
      </c>
      <c r="C1968" s="3" t="s">
        <v>31</v>
      </c>
      <c r="D1968" s="3" t="s">
        <v>175</v>
      </c>
      <c r="E1968" s="4" t="s">
        <v>22</v>
      </c>
      <c r="F1968" s="4" t="s">
        <v>10372</v>
      </c>
      <c r="G1968" s="4" t="s">
        <v>10353</v>
      </c>
      <c r="H1968" s="3" t="s">
        <v>8487</v>
      </c>
      <c r="I1968" s="3" t="s">
        <v>10354</v>
      </c>
      <c r="J1968" s="3" t="s">
        <v>3112</v>
      </c>
      <c r="K1968" s="3" t="s">
        <v>10377</v>
      </c>
      <c r="L1968" s="3" t="s">
        <v>10378</v>
      </c>
      <c r="M1968" s="4"/>
      <c r="N1968" s="3" t="s">
        <v>37</v>
      </c>
      <c r="O1968" s="3" t="s">
        <v>38</v>
      </c>
      <c r="P1968" s="5">
        <v>6</v>
      </c>
      <c r="Q1968" s="5">
        <v>103</v>
      </c>
      <c r="R1968" s="5">
        <v>7</v>
      </c>
      <c r="S1968" s="5">
        <v>118</v>
      </c>
    </row>
    <row r="1969" spans="1:19" ht="28" x14ac:dyDescent="0.15">
      <c r="A1969" s="2">
        <f>HYPERLINK("https://open-school.uspishnemisto.com.ua/school/120397/", 120397)</f>
        <v>120397</v>
      </c>
      <c r="B1969" s="3" t="s">
        <v>10379</v>
      </c>
      <c r="C1969" s="3" t="s">
        <v>31</v>
      </c>
      <c r="D1969" s="3" t="s">
        <v>175</v>
      </c>
      <c r="E1969" s="4" t="s">
        <v>22</v>
      </c>
      <c r="F1969" s="4" t="s">
        <v>10380</v>
      </c>
      <c r="G1969" s="4" t="s">
        <v>10353</v>
      </c>
      <c r="H1969" s="3" t="s">
        <v>8487</v>
      </c>
      <c r="I1969" s="3" t="s">
        <v>10354</v>
      </c>
      <c r="J1969" s="3" t="s">
        <v>10381</v>
      </c>
      <c r="K1969" s="3" t="s">
        <v>10382</v>
      </c>
      <c r="L1969" s="3" t="s">
        <v>10383</v>
      </c>
      <c r="M1969" s="4"/>
      <c r="N1969" s="3" t="s">
        <v>37</v>
      </c>
      <c r="O1969" s="3" t="s">
        <v>38</v>
      </c>
      <c r="P1969" s="5">
        <v>11</v>
      </c>
      <c r="Q1969" s="5">
        <v>314</v>
      </c>
      <c r="R1969" s="5">
        <v>11</v>
      </c>
      <c r="S1969" s="5">
        <v>301</v>
      </c>
    </row>
    <row r="1970" spans="1:19" ht="28" x14ac:dyDescent="0.15">
      <c r="A1970" s="2">
        <f>HYPERLINK("https://open-school.uspishnemisto.com.ua/school/120398/", 120398)</f>
        <v>120398</v>
      </c>
      <c r="B1970" s="3" t="s">
        <v>10384</v>
      </c>
      <c r="C1970" s="3" t="s">
        <v>31</v>
      </c>
      <c r="D1970" s="3" t="s">
        <v>32</v>
      </c>
      <c r="E1970" s="4" t="s">
        <v>22</v>
      </c>
      <c r="F1970" s="4" t="s">
        <v>10367</v>
      </c>
      <c r="G1970" s="4" t="s">
        <v>10353</v>
      </c>
      <c r="H1970" s="3" t="s">
        <v>8487</v>
      </c>
      <c r="I1970" s="3" t="s">
        <v>10354</v>
      </c>
      <c r="J1970" s="3" t="s">
        <v>10385</v>
      </c>
      <c r="K1970" s="3" t="s">
        <v>10386</v>
      </c>
      <c r="L1970" s="3" t="s">
        <v>10387</v>
      </c>
      <c r="M1970" s="4"/>
      <c r="N1970" s="3" t="s">
        <v>967</v>
      </c>
      <c r="O1970" s="3" t="s">
        <v>2740</v>
      </c>
      <c r="P1970" s="5">
        <v>11</v>
      </c>
      <c r="Q1970" s="5">
        <v>295</v>
      </c>
      <c r="R1970" s="5">
        <v>11</v>
      </c>
      <c r="S1970" s="5">
        <v>303</v>
      </c>
    </row>
    <row r="1971" spans="1:19" ht="28" x14ac:dyDescent="0.15">
      <c r="A1971" s="2">
        <f>HYPERLINK("https://open-school.uspishnemisto.com.ua/school/120399/", 120399)</f>
        <v>120399</v>
      </c>
      <c r="B1971" s="3" t="s">
        <v>10388</v>
      </c>
      <c r="C1971" s="3" t="s">
        <v>31</v>
      </c>
      <c r="D1971" s="3" t="s">
        <v>32</v>
      </c>
      <c r="E1971" s="4" t="s">
        <v>22</v>
      </c>
      <c r="F1971" s="4" t="s">
        <v>10389</v>
      </c>
      <c r="G1971" s="4" t="s">
        <v>10353</v>
      </c>
      <c r="H1971" s="3" t="s">
        <v>8487</v>
      </c>
      <c r="I1971" s="3" t="s">
        <v>10354</v>
      </c>
      <c r="J1971" s="3" t="s">
        <v>10390</v>
      </c>
      <c r="K1971" s="3" t="s">
        <v>10391</v>
      </c>
      <c r="L1971" s="3" t="s">
        <v>10392</v>
      </c>
      <c r="M1971" s="4"/>
      <c r="N1971" s="3" t="s">
        <v>37</v>
      </c>
      <c r="O1971" s="3" t="s">
        <v>2740</v>
      </c>
      <c r="P1971" s="5">
        <v>19</v>
      </c>
      <c r="Q1971" s="5">
        <v>509</v>
      </c>
      <c r="R1971" s="5">
        <v>19</v>
      </c>
      <c r="S1971" s="5">
        <v>503</v>
      </c>
    </row>
    <row r="1972" spans="1:19" ht="28" x14ac:dyDescent="0.15">
      <c r="A1972" s="2">
        <f>HYPERLINK("https://open-school.uspishnemisto.com.ua/school/120400/", 120400)</f>
        <v>120400</v>
      </c>
      <c r="B1972" s="3" t="s">
        <v>10393</v>
      </c>
      <c r="C1972" s="3" t="s">
        <v>31</v>
      </c>
      <c r="D1972" s="3" t="s">
        <v>175</v>
      </c>
      <c r="E1972" s="4" t="s">
        <v>22</v>
      </c>
      <c r="F1972" s="4" t="s">
        <v>10394</v>
      </c>
      <c r="G1972" s="4" t="s">
        <v>10353</v>
      </c>
      <c r="H1972" s="3" t="s">
        <v>8487</v>
      </c>
      <c r="I1972" s="3" t="s">
        <v>10354</v>
      </c>
      <c r="J1972" s="3" t="s">
        <v>10395</v>
      </c>
      <c r="K1972" s="3" t="s">
        <v>10396</v>
      </c>
      <c r="L1972" s="3" t="s">
        <v>10397</v>
      </c>
      <c r="M1972" s="4"/>
      <c r="N1972" s="3" t="s">
        <v>37</v>
      </c>
      <c r="O1972" s="3" t="s">
        <v>38</v>
      </c>
      <c r="P1972" s="5">
        <v>9</v>
      </c>
      <c r="Q1972" s="5">
        <v>179</v>
      </c>
      <c r="R1972" s="5">
        <v>9</v>
      </c>
      <c r="S1972" s="5">
        <v>184</v>
      </c>
    </row>
    <row r="1973" spans="1:19" ht="28" x14ac:dyDescent="0.15">
      <c r="A1973" s="2">
        <f>HYPERLINK("https://open-school.uspishnemisto.com.ua/school/120401/", 120401)</f>
        <v>120401</v>
      </c>
      <c r="B1973" s="3" t="s">
        <v>10398</v>
      </c>
      <c r="C1973" s="3" t="s">
        <v>31</v>
      </c>
      <c r="D1973" s="3" t="s">
        <v>175</v>
      </c>
      <c r="E1973" s="4" t="s">
        <v>22</v>
      </c>
      <c r="F1973" s="4" t="s">
        <v>10352</v>
      </c>
      <c r="G1973" s="4" t="s">
        <v>10353</v>
      </c>
      <c r="H1973" s="3" t="s">
        <v>8487</v>
      </c>
      <c r="I1973" s="3" t="s">
        <v>10354</v>
      </c>
      <c r="J1973" s="3" t="s">
        <v>10399</v>
      </c>
      <c r="K1973" s="3" t="s">
        <v>10400</v>
      </c>
      <c r="L1973" s="3" t="s">
        <v>10401</v>
      </c>
      <c r="M1973" s="4"/>
      <c r="N1973" s="3" t="s">
        <v>37</v>
      </c>
      <c r="O1973" s="3" t="s">
        <v>70</v>
      </c>
      <c r="P1973" s="5">
        <v>8</v>
      </c>
      <c r="Q1973" s="5">
        <v>167</v>
      </c>
      <c r="R1973" s="5">
        <v>8</v>
      </c>
      <c r="S1973" s="5">
        <v>166</v>
      </c>
    </row>
    <row r="1974" spans="1:19" ht="28" x14ac:dyDescent="0.15">
      <c r="A1974" s="2">
        <f>HYPERLINK("https://open-school.uspishnemisto.com.ua/school/120402/", 120402)</f>
        <v>120402</v>
      </c>
      <c r="B1974" s="3" t="s">
        <v>10402</v>
      </c>
      <c r="C1974" s="3" t="s">
        <v>31</v>
      </c>
      <c r="D1974" s="3" t="s">
        <v>32</v>
      </c>
      <c r="E1974" s="4" t="s">
        <v>22</v>
      </c>
      <c r="F1974" s="4" t="s">
        <v>10363</v>
      </c>
      <c r="G1974" s="4" t="s">
        <v>10353</v>
      </c>
      <c r="H1974" s="3" t="s">
        <v>8487</v>
      </c>
      <c r="I1974" s="3" t="s">
        <v>10354</v>
      </c>
      <c r="J1974" s="3" t="s">
        <v>10403</v>
      </c>
      <c r="K1974" s="3" t="s">
        <v>10404</v>
      </c>
      <c r="L1974" s="3" t="s">
        <v>10405</v>
      </c>
      <c r="M1974" s="4"/>
      <c r="N1974" s="3" t="s">
        <v>967</v>
      </c>
      <c r="O1974" s="3" t="s">
        <v>46</v>
      </c>
      <c r="P1974" s="5">
        <v>20</v>
      </c>
      <c r="Q1974" s="5">
        <v>549</v>
      </c>
      <c r="R1974" s="5">
        <v>19</v>
      </c>
      <c r="S1974" s="5">
        <v>528</v>
      </c>
    </row>
    <row r="1975" spans="1:19" ht="28" x14ac:dyDescent="0.15">
      <c r="A1975" s="2">
        <f>HYPERLINK("https://open-school.uspishnemisto.com.ua/school/120403/", 120403)</f>
        <v>120403</v>
      </c>
      <c r="B1975" s="3" t="s">
        <v>10406</v>
      </c>
      <c r="C1975" s="3" t="s">
        <v>31</v>
      </c>
      <c r="D1975" s="3" t="s">
        <v>32</v>
      </c>
      <c r="E1975" s="4" t="s">
        <v>22</v>
      </c>
      <c r="F1975" s="4" t="s">
        <v>10394</v>
      </c>
      <c r="G1975" s="4" t="s">
        <v>10353</v>
      </c>
      <c r="H1975" s="3" t="s">
        <v>8487</v>
      </c>
      <c r="I1975" s="3" t="s">
        <v>10354</v>
      </c>
      <c r="J1975" s="3" t="s">
        <v>10407</v>
      </c>
      <c r="K1975" s="3" t="s">
        <v>10408</v>
      </c>
      <c r="L1975" s="3" t="s">
        <v>10409</v>
      </c>
      <c r="M1975" s="4"/>
      <c r="N1975" s="3" t="s">
        <v>37</v>
      </c>
      <c r="O1975" s="3" t="s">
        <v>70</v>
      </c>
      <c r="P1975" s="5">
        <v>10</v>
      </c>
      <c r="Q1975" s="5">
        <v>246</v>
      </c>
      <c r="R1975" s="5">
        <v>11</v>
      </c>
      <c r="S1975" s="5">
        <v>264</v>
      </c>
    </row>
    <row r="1976" spans="1:19" ht="28" x14ac:dyDescent="0.15">
      <c r="A1976" s="2">
        <f>HYPERLINK("https://open-school.uspishnemisto.com.ua/school/120404/", 120404)</f>
        <v>120404</v>
      </c>
      <c r="B1976" s="3" t="s">
        <v>10410</v>
      </c>
      <c r="C1976" s="3" t="s">
        <v>31</v>
      </c>
      <c r="D1976" s="3" t="s">
        <v>32</v>
      </c>
      <c r="E1976" s="4" t="s">
        <v>22</v>
      </c>
      <c r="F1976" s="4" t="s">
        <v>10411</v>
      </c>
      <c r="G1976" s="4" t="s">
        <v>10353</v>
      </c>
      <c r="H1976" s="3" t="s">
        <v>8487</v>
      </c>
      <c r="I1976" s="3" t="s">
        <v>10354</v>
      </c>
      <c r="J1976" s="3" t="s">
        <v>10412</v>
      </c>
      <c r="K1976" s="3" t="s">
        <v>10413</v>
      </c>
      <c r="L1976" s="3" t="s">
        <v>10414</v>
      </c>
      <c r="M1976" s="4"/>
      <c r="N1976" s="3" t="s">
        <v>37</v>
      </c>
      <c r="O1976" s="3" t="s">
        <v>38</v>
      </c>
      <c r="P1976" s="5">
        <v>17</v>
      </c>
      <c r="Q1976" s="5">
        <v>464</v>
      </c>
      <c r="R1976" s="5">
        <v>17</v>
      </c>
      <c r="S1976" s="5">
        <v>443</v>
      </c>
    </row>
    <row r="1977" spans="1:19" ht="28" x14ac:dyDescent="0.15">
      <c r="A1977" s="2">
        <f>HYPERLINK("https://open-school.uspishnemisto.com.ua/school/120405/", 120405)</f>
        <v>120405</v>
      </c>
      <c r="B1977" s="3" t="s">
        <v>10415</v>
      </c>
      <c r="C1977" s="3" t="s">
        <v>31</v>
      </c>
      <c r="D1977" s="3" t="s">
        <v>32</v>
      </c>
      <c r="E1977" s="4" t="s">
        <v>22</v>
      </c>
      <c r="F1977" s="4" t="s">
        <v>10416</v>
      </c>
      <c r="G1977" s="4" t="s">
        <v>10353</v>
      </c>
      <c r="H1977" s="3" t="s">
        <v>8487</v>
      </c>
      <c r="I1977" s="3" t="s">
        <v>10354</v>
      </c>
      <c r="J1977" s="3" t="s">
        <v>10417</v>
      </c>
      <c r="K1977" s="3" t="s">
        <v>10418</v>
      </c>
      <c r="L1977" s="3" t="s">
        <v>10419</v>
      </c>
      <c r="M1977" s="4"/>
      <c r="N1977" s="3" t="s">
        <v>37</v>
      </c>
      <c r="O1977" s="3" t="s">
        <v>70</v>
      </c>
      <c r="P1977" s="5">
        <v>17</v>
      </c>
      <c r="Q1977" s="5">
        <v>451</v>
      </c>
      <c r="R1977" s="5">
        <v>17</v>
      </c>
      <c r="S1977" s="5">
        <v>442</v>
      </c>
    </row>
    <row r="1978" spans="1:19" ht="28" x14ac:dyDescent="0.15">
      <c r="A1978" s="2">
        <f>HYPERLINK("https://open-school.uspishnemisto.com.ua/school/120406/", 120406)</f>
        <v>120406</v>
      </c>
      <c r="B1978" s="3" t="s">
        <v>10420</v>
      </c>
      <c r="C1978" s="3" t="s">
        <v>31</v>
      </c>
      <c r="D1978" s="3" t="s">
        <v>32</v>
      </c>
      <c r="E1978" s="4" t="s">
        <v>22</v>
      </c>
      <c r="F1978" s="4" t="s">
        <v>10367</v>
      </c>
      <c r="G1978" s="4" t="s">
        <v>10353</v>
      </c>
      <c r="H1978" s="3" t="s">
        <v>8487</v>
      </c>
      <c r="I1978" s="3" t="s">
        <v>10354</v>
      </c>
      <c r="J1978" s="3" t="s">
        <v>10421</v>
      </c>
      <c r="K1978" s="3" t="s">
        <v>10422</v>
      </c>
      <c r="L1978" s="3" t="s">
        <v>10423</v>
      </c>
      <c r="M1978" s="4"/>
      <c r="N1978" s="3" t="s">
        <v>37</v>
      </c>
      <c r="O1978" s="3" t="s">
        <v>38</v>
      </c>
      <c r="P1978" s="5">
        <v>11</v>
      </c>
      <c r="Q1978" s="5">
        <v>314</v>
      </c>
      <c r="R1978" s="5">
        <v>12</v>
      </c>
      <c r="S1978" s="5">
        <v>317</v>
      </c>
    </row>
    <row r="1979" spans="1:19" ht="42" x14ac:dyDescent="0.15">
      <c r="A1979" s="2">
        <f>HYPERLINK("https://open-school.uspishnemisto.com.ua/school/120407/", 120407)</f>
        <v>120407</v>
      </c>
      <c r="B1979" s="3" t="s">
        <v>10424</v>
      </c>
      <c r="C1979" s="3" t="s">
        <v>31</v>
      </c>
      <c r="D1979" s="3" t="s">
        <v>32</v>
      </c>
      <c r="E1979" s="4" t="s">
        <v>22</v>
      </c>
      <c r="F1979" s="4" t="s">
        <v>10367</v>
      </c>
      <c r="G1979" s="4" t="s">
        <v>10353</v>
      </c>
      <c r="H1979" s="3" t="s">
        <v>8487</v>
      </c>
      <c r="I1979" s="3" t="s">
        <v>10354</v>
      </c>
      <c r="J1979" s="3" t="s">
        <v>10425</v>
      </c>
      <c r="K1979" s="3" t="s">
        <v>10426</v>
      </c>
      <c r="L1979" s="3" t="s">
        <v>10427</v>
      </c>
      <c r="M1979" s="4"/>
      <c r="N1979" s="3" t="s">
        <v>37</v>
      </c>
      <c r="O1979" s="3" t="s">
        <v>38</v>
      </c>
      <c r="P1979" s="5">
        <v>11</v>
      </c>
      <c r="Q1979" s="5">
        <v>317</v>
      </c>
      <c r="R1979" s="5">
        <v>12</v>
      </c>
      <c r="S1979" s="5">
        <v>311</v>
      </c>
    </row>
    <row r="1980" spans="1:19" ht="28" x14ac:dyDescent="0.15">
      <c r="A1980" s="2">
        <f>HYPERLINK("https://open-school.uspishnemisto.com.ua/school/120408/", 120408)</f>
        <v>120408</v>
      </c>
      <c r="B1980" s="3" t="s">
        <v>10428</v>
      </c>
      <c r="C1980" s="3" t="s">
        <v>31</v>
      </c>
      <c r="D1980" s="3" t="s">
        <v>32</v>
      </c>
      <c r="E1980" s="4" t="s">
        <v>22</v>
      </c>
      <c r="F1980" s="4" t="s">
        <v>10372</v>
      </c>
      <c r="G1980" s="4" t="s">
        <v>10353</v>
      </c>
      <c r="H1980" s="3" t="s">
        <v>8487</v>
      </c>
      <c r="I1980" s="3" t="s">
        <v>10354</v>
      </c>
      <c r="J1980" s="3" t="s">
        <v>7118</v>
      </c>
      <c r="K1980" s="3" t="s">
        <v>10429</v>
      </c>
      <c r="L1980" s="3" t="s">
        <v>10430</v>
      </c>
      <c r="M1980" s="4"/>
      <c r="N1980" s="3" t="s">
        <v>967</v>
      </c>
      <c r="O1980" s="3" t="s">
        <v>2740</v>
      </c>
      <c r="P1980" s="5">
        <v>17</v>
      </c>
      <c r="Q1980" s="5">
        <v>446</v>
      </c>
      <c r="R1980" s="5">
        <v>18</v>
      </c>
      <c r="S1980" s="5">
        <v>446</v>
      </c>
    </row>
    <row r="1981" spans="1:19" ht="28" x14ac:dyDescent="0.15">
      <c r="A1981" s="2">
        <f>HYPERLINK("https://open-school.uspishnemisto.com.ua/school/120409/", 120409)</f>
        <v>120409</v>
      </c>
      <c r="B1981" s="3" t="s">
        <v>10431</v>
      </c>
      <c r="C1981" s="3" t="s">
        <v>31</v>
      </c>
      <c r="D1981" s="3" t="s">
        <v>32</v>
      </c>
      <c r="E1981" s="4" t="s">
        <v>22</v>
      </c>
      <c r="F1981" s="4" t="s">
        <v>10432</v>
      </c>
      <c r="G1981" s="4" t="s">
        <v>10353</v>
      </c>
      <c r="H1981" s="3" t="s">
        <v>8487</v>
      </c>
      <c r="I1981" s="3" t="s">
        <v>10354</v>
      </c>
      <c r="J1981" s="3" t="s">
        <v>10433</v>
      </c>
      <c r="K1981" s="3" t="s">
        <v>10434</v>
      </c>
      <c r="L1981" s="3" t="s">
        <v>10435</v>
      </c>
      <c r="M1981" s="4"/>
      <c r="N1981" s="3" t="s">
        <v>37</v>
      </c>
      <c r="O1981" s="3" t="s">
        <v>139</v>
      </c>
      <c r="P1981" s="5">
        <v>18</v>
      </c>
      <c r="Q1981" s="5">
        <v>489</v>
      </c>
      <c r="R1981" s="5">
        <v>17</v>
      </c>
      <c r="S1981" s="5">
        <v>467</v>
      </c>
    </row>
    <row r="1982" spans="1:19" ht="28" x14ac:dyDescent="0.15">
      <c r="A1982" s="2">
        <f>HYPERLINK("https://open-school.uspishnemisto.com.ua/school/120410/", 120410)</f>
        <v>120410</v>
      </c>
      <c r="B1982" s="3" t="s">
        <v>10436</v>
      </c>
      <c r="C1982" s="3" t="s">
        <v>31</v>
      </c>
      <c r="D1982" s="3" t="s">
        <v>32</v>
      </c>
      <c r="E1982" s="4" t="s">
        <v>22</v>
      </c>
      <c r="F1982" s="4" t="s">
        <v>10380</v>
      </c>
      <c r="G1982" s="4" t="s">
        <v>10353</v>
      </c>
      <c r="H1982" s="3" t="s">
        <v>8487</v>
      </c>
      <c r="I1982" s="3" t="s">
        <v>10354</v>
      </c>
      <c r="J1982" s="3" t="s">
        <v>10437</v>
      </c>
      <c r="K1982" s="3" t="s">
        <v>10438</v>
      </c>
      <c r="L1982" s="3" t="s">
        <v>10439</v>
      </c>
      <c r="M1982" s="4"/>
      <c r="N1982" s="3" t="s">
        <v>37</v>
      </c>
      <c r="O1982" s="3" t="s">
        <v>38</v>
      </c>
      <c r="P1982" s="5">
        <v>24</v>
      </c>
      <c r="Q1982" s="5">
        <v>682</v>
      </c>
      <c r="R1982" s="5">
        <v>24</v>
      </c>
      <c r="S1982" s="5">
        <v>656</v>
      </c>
    </row>
    <row r="1983" spans="1:19" ht="28" x14ac:dyDescent="0.15">
      <c r="A1983" s="2">
        <f>HYPERLINK("https://open-school.uspishnemisto.com.ua/school/120411/", 120411)</f>
        <v>120411</v>
      </c>
      <c r="B1983" s="3" t="s">
        <v>10440</v>
      </c>
      <c r="C1983" s="3" t="s">
        <v>31</v>
      </c>
      <c r="D1983" s="3" t="s">
        <v>32</v>
      </c>
      <c r="E1983" s="4" t="s">
        <v>22</v>
      </c>
      <c r="F1983" s="4" t="s">
        <v>10441</v>
      </c>
      <c r="G1983" s="4" t="s">
        <v>10353</v>
      </c>
      <c r="H1983" s="3" t="s">
        <v>8487</v>
      </c>
      <c r="I1983" s="3" t="s">
        <v>10354</v>
      </c>
      <c r="J1983" s="3" t="s">
        <v>10442</v>
      </c>
      <c r="K1983" s="3" t="s">
        <v>10443</v>
      </c>
      <c r="L1983" s="3" t="s">
        <v>10444</v>
      </c>
      <c r="M1983" s="4"/>
      <c r="N1983" s="3" t="s">
        <v>967</v>
      </c>
      <c r="O1983" s="3" t="s">
        <v>52</v>
      </c>
      <c r="P1983" s="5">
        <v>20</v>
      </c>
      <c r="Q1983" s="5">
        <v>559</v>
      </c>
      <c r="R1983" s="5">
        <v>21</v>
      </c>
      <c r="S1983" s="5">
        <v>570</v>
      </c>
    </row>
    <row r="1984" spans="1:19" ht="28" x14ac:dyDescent="0.15">
      <c r="A1984" s="2">
        <f>HYPERLINK("https://open-school.uspishnemisto.com.ua/school/120412/", 120412)</f>
        <v>120412</v>
      </c>
      <c r="B1984" s="3" t="s">
        <v>10445</v>
      </c>
      <c r="C1984" s="3" t="s">
        <v>31</v>
      </c>
      <c r="D1984" s="3" t="s">
        <v>32</v>
      </c>
      <c r="E1984" s="4" t="s">
        <v>22</v>
      </c>
      <c r="F1984" s="4" t="s">
        <v>10372</v>
      </c>
      <c r="G1984" s="4" t="s">
        <v>10353</v>
      </c>
      <c r="H1984" s="3" t="s">
        <v>8487</v>
      </c>
      <c r="I1984" s="3" t="s">
        <v>10354</v>
      </c>
      <c r="J1984" s="3" t="s">
        <v>10446</v>
      </c>
      <c r="K1984" s="3" t="s">
        <v>10447</v>
      </c>
      <c r="L1984" s="3" t="s">
        <v>10448</v>
      </c>
      <c r="M1984" s="4"/>
      <c r="N1984" s="3" t="s">
        <v>37</v>
      </c>
      <c r="O1984" s="3" t="s">
        <v>38</v>
      </c>
      <c r="P1984" s="5">
        <v>10</v>
      </c>
      <c r="Q1984" s="5">
        <v>265</v>
      </c>
      <c r="R1984" s="5">
        <v>10</v>
      </c>
      <c r="S1984" s="5">
        <v>262</v>
      </c>
    </row>
    <row r="1985" spans="1:19" ht="28" x14ac:dyDescent="0.15">
      <c r="A1985" s="2">
        <f>HYPERLINK("https://open-school.uspishnemisto.com.ua/school/120413/", 120413)</f>
        <v>120413</v>
      </c>
      <c r="B1985" s="3" t="s">
        <v>10449</v>
      </c>
      <c r="C1985" s="3" t="s">
        <v>31</v>
      </c>
      <c r="D1985" s="3" t="s">
        <v>32</v>
      </c>
      <c r="E1985" s="4" t="s">
        <v>22</v>
      </c>
      <c r="F1985" s="4" t="s">
        <v>10416</v>
      </c>
      <c r="G1985" s="4" t="s">
        <v>10353</v>
      </c>
      <c r="H1985" s="3" t="s">
        <v>8487</v>
      </c>
      <c r="I1985" s="3" t="s">
        <v>10354</v>
      </c>
      <c r="J1985" s="3" t="s">
        <v>10450</v>
      </c>
      <c r="K1985" s="3" t="s">
        <v>10451</v>
      </c>
      <c r="L1985" s="3" t="s">
        <v>10452</v>
      </c>
      <c r="M1985" s="4"/>
      <c r="N1985" s="3" t="s">
        <v>37</v>
      </c>
      <c r="O1985" s="3" t="s">
        <v>10453</v>
      </c>
      <c r="P1985" s="5">
        <v>32</v>
      </c>
      <c r="Q1985" s="5">
        <v>917</v>
      </c>
      <c r="R1985" s="5">
        <v>32</v>
      </c>
      <c r="S1985" s="5">
        <v>883</v>
      </c>
    </row>
    <row r="1986" spans="1:19" ht="28" x14ac:dyDescent="0.15">
      <c r="A1986" s="2">
        <f>HYPERLINK("https://open-school.uspishnemisto.com.ua/school/120414/", 120414)</f>
        <v>120414</v>
      </c>
      <c r="B1986" s="3" t="s">
        <v>10454</v>
      </c>
      <c r="C1986" s="3" t="s">
        <v>31</v>
      </c>
      <c r="D1986" s="3" t="s">
        <v>32</v>
      </c>
      <c r="E1986" s="4" t="s">
        <v>22</v>
      </c>
      <c r="F1986" s="4" t="s">
        <v>10432</v>
      </c>
      <c r="G1986" s="4" t="s">
        <v>10353</v>
      </c>
      <c r="H1986" s="3" t="s">
        <v>8487</v>
      </c>
      <c r="I1986" s="3" t="s">
        <v>10354</v>
      </c>
      <c r="J1986" s="3" t="s">
        <v>10455</v>
      </c>
      <c r="K1986" s="3" t="s">
        <v>10456</v>
      </c>
      <c r="L1986" s="3" t="s">
        <v>10457</v>
      </c>
      <c r="M1986" s="4"/>
      <c r="N1986" s="3" t="s">
        <v>37</v>
      </c>
      <c r="O1986" s="3" t="s">
        <v>38</v>
      </c>
      <c r="P1986" s="5">
        <v>28</v>
      </c>
      <c r="Q1986" s="5">
        <v>761</v>
      </c>
      <c r="R1986" s="5">
        <v>28</v>
      </c>
      <c r="S1986" s="5">
        <v>765</v>
      </c>
    </row>
    <row r="1987" spans="1:19" ht="28" x14ac:dyDescent="0.15">
      <c r="A1987" s="2">
        <f>HYPERLINK("https://open-school.uspishnemisto.com.ua/school/120415/", 120415)</f>
        <v>120415</v>
      </c>
      <c r="B1987" s="3" t="s">
        <v>10458</v>
      </c>
      <c r="C1987" s="3" t="s">
        <v>244</v>
      </c>
      <c r="D1987" s="3" t="s">
        <v>32</v>
      </c>
      <c r="E1987" s="4" t="s">
        <v>22</v>
      </c>
      <c r="F1987" s="4" t="s">
        <v>10441</v>
      </c>
      <c r="G1987" s="4" t="s">
        <v>10353</v>
      </c>
      <c r="H1987" s="3" t="s">
        <v>8487</v>
      </c>
      <c r="I1987" s="3" t="s">
        <v>10354</v>
      </c>
      <c r="J1987" s="3" t="s">
        <v>10459</v>
      </c>
      <c r="K1987" s="3" t="s">
        <v>10460</v>
      </c>
      <c r="L1987" s="3" t="s">
        <v>10461</v>
      </c>
      <c r="M1987" s="4"/>
      <c r="N1987" s="3" t="s">
        <v>37</v>
      </c>
      <c r="O1987" s="3" t="s">
        <v>70</v>
      </c>
      <c r="P1987" s="5">
        <v>24</v>
      </c>
      <c r="Q1987" s="5">
        <v>648</v>
      </c>
      <c r="R1987" s="5">
        <v>24</v>
      </c>
      <c r="S1987" s="5">
        <v>660</v>
      </c>
    </row>
    <row r="1988" spans="1:19" ht="42" x14ac:dyDescent="0.15">
      <c r="A1988" s="2">
        <f>HYPERLINK("https://open-school.uspishnemisto.com.ua/school/120416/", 120416)</f>
        <v>120416</v>
      </c>
      <c r="B1988" s="3" t="s">
        <v>10462</v>
      </c>
      <c r="C1988" s="3" t="s">
        <v>244</v>
      </c>
      <c r="D1988" s="3" t="s">
        <v>32</v>
      </c>
      <c r="E1988" s="4" t="s">
        <v>22</v>
      </c>
      <c r="F1988" s="4" t="s">
        <v>10372</v>
      </c>
      <c r="G1988" s="4" t="s">
        <v>10353</v>
      </c>
      <c r="H1988" s="3" t="s">
        <v>8487</v>
      </c>
      <c r="I1988" s="3" t="s">
        <v>10354</v>
      </c>
      <c r="J1988" s="3" t="s">
        <v>10463</v>
      </c>
      <c r="K1988" s="3" t="s">
        <v>10464</v>
      </c>
      <c r="L1988" s="3" t="s">
        <v>10465</v>
      </c>
      <c r="M1988" s="4"/>
      <c r="N1988" s="3" t="s">
        <v>37</v>
      </c>
      <c r="O1988" s="3" t="s">
        <v>38</v>
      </c>
      <c r="P1988" s="5">
        <v>23</v>
      </c>
      <c r="Q1988" s="5">
        <v>523</v>
      </c>
      <c r="R1988" s="5">
        <v>24</v>
      </c>
      <c r="S1988" s="5">
        <v>503</v>
      </c>
    </row>
    <row r="1989" spans="1:19" ht="42" x14ac:dyDescent="0.15">
      <c r="A1989" s="2">
        <f>HYPERLINK("https://open-school.uspishnemisto.com.ua/school/120417/", 120417)</f>
        <v>120417</v>
      </c>
      <c r="B1989" s="3" t="s">
        <v>10466</v>
      </c>
      <c r="C1989" s="3" t="s">
        <v>181</v>
      </c>
      <c r="D1989" s="3" t="s">
        <v>175</v>
      </c>
      <c r="E1989" s="4" t="s">
        <v>22</v>
      </c>
      <c r="F1989" s="4" t="s">
        <v>10352</v>
      </c>
      <c r="G1989" s="4" t="s">
        <v>10353</v>
      </c>
      <c r="H1989" s="3" t="s">
        <v>8487</v>
      </c>
      <c r="I1989" s="3" t="s">
        <v>10354</v>
      </c>
      <c r="J1989" s="3" t="s">
        <v>10467</v>
      </c>
      <c r="K1989" s="3" t="s">
        <v>10468</v>
      </c>
      <c r="L1989" s="3" t="s">
        <v>10469</v>
      </c>
      <c r="M1989" s="4" t="s">
        <v>10470</v>
      </c>
      <c r="N1989" s="3" t="s">
        <v>37</v>
      </c>
      <c r="O1989" s="3"/>
      <c r="P1989" s="5">
        <v>15</v>
      </c>
      <c r="Q1989" s="5">
        <v>146</v>
      </c>
      <c r="R1989" s="5">
        <v>14</v>
      </c>
      <c r="S1989" s="5">
        <v>135</v>
      </c>
    </row>
    <row r="1990" spans="1:19" ht="42" x14ac:dyDescent="0.15">
      <c r="A1990" s="2">
        <f>HYPERLINK("https://open-school.uspishnemisto.com.ua/school/120418/", 120418)</f>
        <v>120418</v>
      </c>
      <c r="B1990" s="3" t="s">
        <v>10471</v>
      </c>
      <c r="C1990" s="3" t="s">
        <v>2634</v>
      </c>
      <c r="D1990" s="3" t="s">
        <v>32</v>
      </c>
      <c r="E1990" s="4" t="s">
        <v>22</v>
      </c>
      <c r="F1990" s="4" t="s">
        <v>10441</v>
      </c>
      <c r="G1990" s="4" t="s">
        <v>10353</v>
      </c>
      <c r="H1990" s="3" t="s">
        <v>8487</v>
      </c>
      <c r="I1990" s="3" t="s">
        <v>10354</v>
      </c>
      <c r="J1990" s="3" t="s">
        <v>10472</v>
      </c>
      <c r="K1990" s="3" t="s">
        <v>10473</v>
      </c>
      <c r="L1990" s="3" t="s">
        <v>10474</v>
      </c>
      <c r="M1990" s="4" t="s">
        <v>10475</v>
      </c>
      <c r="N1990" s="3" t="s">
        <v>37</v>
      </c>
      <c r="O1990" s="3" t="s">
        <v>38</v>
      </c>
      <c r="P1990" s="5">
        <v>9</v>
      </c>
      <c r="Q1990" s="5">
        <v>118</v>
      </c>
      <c r="R1990" s="5">
        <v>9</v>
      </c>
      <c r="S1990" s="5">
        <v>86</v>
      </c>
    </row>
    <row r="1991" spans="1:19" ht="28" x14ac:dyDescent="0.15">
      <c r="A1991" s="2">
        <f>HYPERLINK("https://open-school.uspishnemisto.com.ua/school/120419/", 120419)</f>
        <v>120419</v>
      </c>
      <c r="B1991" s="3" t="s">
        <v>10476</v>
      </c>
      <c r="C1991" s="3" t="s">
        <v>20</v>
      </c>
      <c r="D1991" s="3" t="s">
        <v>21</v>
      </c>
      <c r="E1991" s="4" t="s">
        <v>22</v>
      </c>
      <c r="F1991" s="4" t="s">
        <v>10477</v>
      </c>
      <c r="G1991" s="4" t="s">
        <v>10478</v>
      </c>
      <c r="H1991" s="3" t="s">
        <v>8487</v>
      </c>
      <c r="I1991" s="3" t="s">
        <v>10479</v>
      </c>
      <c r="J1991" s="3" t="s">
        <v>10480</v>
      </c>
      <c r="K1991" s="3"/>
      <c r="L1991" s="3" t="s">
        <v>10481</v>
      </c>
      <c r="M1991" s="4"/>
      <c r="N1991" s="3"/>
      <c r="O1991" s="3"/>
      <c r="P1991" s="5">
        <v>0</v>
      </c>
      <c r="Q1991" s="5">
        <v>0</v>
      </c>
      <c r="R1991" s="5"/>
      <c r="S1991" s="5"/>
    </row>
    <row r="1992" spans="1:19" ht="28" x14ac:dyDescent="0.15">
      <c r="A1992" s="2">
        <f>HYPERLINK("https://open-school.uspishnemisto.com.ua/school/120420/", 120420)</f>
        <v>120420</v>
      </c>
      <c r="B1992" s="3" t="s">
        <v>10482</v>
      </c>
      <c r="C1992" s="3" t="s">
        <v>40</v>
      </c>
      <c r="D1992" s="3" t="s">
        <v>32</v>
      </c>
      <c r="E1992" s="4" t="s">
        <v>22</v>
      </c>
      <c r="F1992" s="4" t="s">
        <v>10483</v>
      </c>
      <c r="G1992" s="4" t="s">
        <v>10478</v>
      </c>
      <c r="H1992" s="3" t="s">
        <v>8487</v>
      </c>
      <c r="I1992" s="3" t="s">
        <v>10479</v>
      </c>
      <c r="J1992" s="3" t="s">
        <v>10484</v>
      </c>
      <c r="K1992" s="3" t="s">
        <v>10485</v>
      </c>
      <c r="L1992" s="3" t="s">
        <v>10486</v>
      </c>
      <c r="M1992" s="4" t="s">
        <v>10487</v>
      </c>
      <c r="N1992" s="3" t="s">
        <v>37</v>
      </c>
      <c r="O1992" s="3" t="s">
        <v>70</v>
      </c>
      <c r="P1992" s="5">
        <v>19</v>
      </c>
      <c r="Q1992" s="5">
        <v>427</v>
      </c>
      <c r="R1992" s="5">
        <v>19</v>
      </c>
      <c r="S1992" s="5">
        <v>411</v>
      </c>
    </row>
    <row r="1993" spans="1:19" ht="28" x14ac:dyDescent="0.15">
      <c r="A1993" s="2">
        <f>HYPERLINK("https://open-school.uspishnemisto.com.ua/school/120421/", 120421)</f>
        <v>120421</v>
      </c>
      <c r="B1993" s="3" t="s">
        <v>10488</v>
      </c>
      <c r="C1993" s="3" t="s">
        <v>2128</v>
      </c>
      <c r="D1993" s="3" t="s">
        <v>32</v>
      </c>
      <c r="E1993" s="4" t="s">
        <v>22</v>
      </c>
      <c r="F1993" s="4" t="s">
        <v>10483</v>
      </c>
      <c r="G1993" s="4" t="s">
        <v>10478</v>
      </c>
      <c r="H1993" s="3" t="s">
        <v>8487</v>
      </c>
      <c r="I1993" s="3" t="s">
        <v>10479</v>
      </c>
      <c r="J1993" s="3" t="s">
        <v>10489</v>
      </c>
      <c r="K1993" s="3" t="s">
        <v>10490</v>
      </c>
      <c r="L1993" s="3" t="s">
        <v>10491</v>
      </c>
      <c r="M1993" s="4" t="s">
        <v>10492</v>
      </c>
      <c r="N1993" s="3" t="s">
        <v>37</v>
      </c>
      <c r="O1993" s="3" t="s">
        <v>10493</v>
      </c>
      <c r="P1993" s="5">
        <v>29</v>
      </c>
      <c r="Q1993" s="5">
        <v>683</v>
      </c>
      <c r="R1993" s="5">
        <v>29</v>
      </c>
      <c r="S1993" s="5">
        <v>709</v>
      </c>
    </row>
    <row r="1994" spans="1:19" ht="42" x14ac:dyDescent="0.15">
      <c r="A1994" s="2">
        <f>HYPERLINK("https://open-school.uspishnemisto.com.ua/school/120422/", 120422)</f>
        <v>120422</v>
      </c>
      <c r="B1994" s="3" t="s">
        <v>10494</v>
      </c>
      <c r="C1994" s="3" t="s">
        <v>54</v>
      </c>
      <c r="D1994" s="3" t="s">
        <v>32</v>
      </c>
      <c r="E1994" s="4" t="s">
        <v>22</v>
      </c>
      <c r="F1994" s="4" t="s">
        <v>10483</v>
      </c>
      <c r="G1994" s="4" t="s">
        <v>10478</v>
      </c>
      <c r="H1994" s="3" t="s">
        <v>8487</v>
      </c>
      <c r="I1994" s="3" t="s">
        <v>10479</v>
      </c>
      <c r="J1994" s="3" t="s">
        <v>10495</v>
      </c>
      <c r="K1994" s="3" t="s">
        <v>10496</v>
      </c>
      <c r="L1994" s="3" t="s">
        <v>10497</v>
      </c>
      <c r="M1994" s="4"/>
      <c r="N1994" s="3" t="s">
        <v>37</v>
      </c>
      <c r="O1994" s="3" t="s">
        <v>38</v>
      </c>
      <c r="P1994" s="5">
        <v>16</v>
      </c>
      <c r="Q1994" s="5">
        <v>406</v>
      </c>
      <c r="R1994" s="5">
        <v>15</v>
      </c>
      <c r="S1994" s="5">
        <v>368</v>
      </c>
    </row>
    <row r="1995" spans="1:19" ht="42" x14ac:dyDescent="0.15">
      <c r="A1995" s="2">
        <f>HYPERLINK("https://open-school.uspishnemisto.com.ua/school/120423/", 120423)</f>
        <v>120423</v>
      </c>
      <c r="B1995" s="3" t="s">
        <v>10498</v>
      </c>
      <c r="C1995" s="3" t="s">
        <v>54</v>
      </c>
      <c r="D1995" s="3" t="s">
        <v>175</v>
      </c>
      <c r="E1995" s="4" t="s">
        <v>22</v>
      </c>
      <c r="F1995" s="4" t="s">
        <v>10483</v>
      </c>
      <c r="G1995" s="4" t="s">
        <v>10478</v>
      </c>
      <c r="H1995" s="3" t="s">
        <v>8487</v>
      </c>
      <c r="I1995" s="3" t="s">
        <v>10479</v>
      </c>
      <c r="J1995" s="3" t="s">
        <v>554</v>
      </c>
      <c r="K1995" s="3" t="s">
        <v>10499</v>
      </c>
      <c r="L1995" s="3" t="s">
        <v>10500</v>
      </c>
      <c r="M1995" s="4"/>
      <c r="N1995" s="3" t="s">
        <v>37</v>
      </c>
      <c r="O1995" s="3" t="s">
        <v>38</v>
      </c>
      <c r="P1995" s="5">
        <v>9</v>
      </c>
      <c r="Q1995" s="5">
        <v>111</v>
      </c>
      <c r="R1995" s="5">
        <v>9</v>
      </c>
      <c r="S1995" s="5">
        <v>104</v>
      </c>
    </row>
    <row r="1996" spans="1:19" ht="42" x14ac:dyDescent="0.15">
      <c r="A1996" s="2">
        <f>HYPERLINK("https://open-school.uspishnemisto.com.ua/school/120424/", 120424)</f>
        <v>120424</v>
      </c>
      <c r="B1996" s="3" t="s">
        <v>10501</v>
      </c>
      <c r="C1996" s="3" t="s">
        <v>31</v>
      </c>
      <c r="D1996" s="3" t="s">
        <v>32</v>
      </c>
      <c r="E1996" s="4" t="s">
        <v>22</v>
      </c>
      <c r="F1996" s="4" t="s">
        <v>10477</v>
      </c>
      <c r="G1996" s="4" t="s">
        <v>10478</v>
      </c>
      <c r="H1996" s="3" t="s">
        <v>8487</v>
      </c>
      <c r="I1996" s="3" t="s">
        <v>10479</v>
      </c>
      <c r="J1996" s="3" t="s">
        <v>10502</v>
      </c>
      <c r="K1996" s="3" t="s">
        <v>10503</v>
      </c>
      <c r="L1996" s="3" t="s">
        <v>10504</v>
      </c>
      <c r="M1996" s="4"/>
      <c r="N1996" s="3" t="s">
        <v>37</v>
      </c>
      <c r="O1996" s="3" t="s">
        <v>38</v>
      </c>
      <c r="P1996" s="5">
        <v>23</v>
      </c>
      <c r="Q1996" s="5">
        <v>572</v>
      </c>
      <c r="R1996" s="5">
        <v>22</v>
      </c>
      <c r="S1996" s="5">
        <v>552</v>
      </c>
    </row>
    <row r="1997" spans="1:19" ht="28" x14ac:dyDescent="0.15">
      <c r="A1997" s="2">
        <f>HYPERLINK("https://open-school.uspishnemisto.com.ua/school/120425/", 120425)</f>
        <v>120425</v>
      </c>
      <c r="B1997" s="3" t="s">
        <v>10505</v>
      </c>
      <c r="C1997" s="3" t="s">
        <v>31</v>
      </c>
      <c r="D1997" s="3" t="s">
        <v>175</v>
      </c>
      <c r="E1997" s="4" t="s">
        <v>22</v>
      </c>
      <c r="F1997" s="4" t="s">
        <v>10483</v>
      </c>
      <c r="G1997" s="4" t="s">
        <v>10478</v>
      </c>
      <c r="H1997" s="3" t="s">
        <v>8487</v>
      </c>
      <c r="I1997" s="3" t="s">
        <v>10479</v>
      </c>
      <c r="J1997" s="3" t="s">
        <v>10506</v>
      </c>
      <c r="K1997" s="3" t="s">
        <v>10507</v>
      </c>
      <c r="L1997" s="3"/>
      <c r="M1997" s="4"/>
      <c r="N1997" s="3" t="s">
        <v>37</v>
      </c>
      <c r="O1997" s="3" t="s">
        <v>38</v>
      </c>
      <c r="P1997" s="5">
        <v>13</v>
      </c>
      <c r="Q1997" s="5">
        <v>273</v>
      </c>
      <c r="R1997" s="5">
        <v>12</v>
      </c>
      <c r="S1997" s="5">
        <v>261</v>
      </c>
    </row>
    <row r="1998" spans="1:19" ht="28" x14ac:dyDescent="0.15">
      <c r="A1998" s="2">
        <f>HYPERLINK("https://open-school.uspishnemisto.com.ua/school/120426/", 120426)</f>
        <v>120426</v>
      </c>
      <c r="B1998" s="3" t="s">
        <v>10508</v>
      </c>
      <c r="C1998" s="3" t="s">
        <v>188</v>
      </c>
      <c r="D1998" s="3" t="s">
        <v>32</v>
      </c>
      <c r="E1998" s="4" t="s">
        <v>22</v>
      </c>
      <c r="F1998" s="4" t="s">
        <v>10483</v>
      </c>
      <c r="G1998" s="4" t="s">
        <v>10478</v>
      </c>
      <c r="H1998" s="3" t="s">
        <v>8487</v>
      </c>
      <c r="I1998" s="3" t="s">
        <v>10479</v>
      </c>
      <c r="J1998" s="3" t="s">
        <v>10509</v>
      </c>
      <c r="K1998" s="3" t="s">
        <v>10510</v>
      </c>
      <c r="L1998" s="3" t="s">
        <v>10511</v>
      </c>
      <c r="M1998" s="4" t="s">
        <v>10512</v>
      </c>
      <c r="N1998" s="3" t="s">
        <v>37</v>
      </c>
      <c r="O1998" s="3" t="s">
        <v>46</v>
      </c>
      <c r="P1998" s="5">
        <v>10</v>
      </c>
      <c r="Q1998" s="5">
        <v>222</v>
      </c>
      <c r="R1998" s="5">
        <v>10</v>
      </c>
      <c r="S1998" s="5">
        <v>203</v>
      </c>
    </row>
    <row r="1999" spans="1:19" ht="42" x14ac:dyDescent="0.15">
      <c r="A1999" s="2">
        <f>HYPERLINK("https://open-school.uspishnemisto.com.ua/school/120427/", 120427)</f>
        <v>120427</v>
      </c>
      <c r="B1999" s="3" t="s">
        <v>10513</v>
      </c>
      <c r="C1999" s="3" t="s">
        <v>54</v>
      </c>
      <c r="D1999" s="3" t="s">
        <v>32</v>
      </c>
      <c r="E1999" s="4" t="s">
        <v>22</v>
      </c>
      <c r="F1999" s="4" t="s">
        <v>10483</v>
      </c>
      <c r="G1999" s="4" t="s">
        <v>10478</v>
      </c>
      <c r="H1999" s="3" t="s">
        <v>8487</v>
      </c>
      <c r="I1999" s="3" t="s">
        <v>10479</v>
      </c>
      <c r="J1999" s="3" t="s">
        <v>10514</v>
      </c>
      <c r="K1999" s="3" t="s">
        <v>10515</v>
      </c>
      <c r="L1999" s="3" t="s">
        <v>10516</v>
      </c>
      <c r="M1999" s="4"/>
      <c r="N1999" s="3" t="s">
        <v>37</v>
      </c>
      <c r="O1999" s="3" t="s">
        <v>38</v>
      </c>
      <c r="P1999" s="5">
        <v>10</v>
      </c>
      <c r="Q1999" s="5">
        <v>155</v>
      </c>
      <c r="R1999" s="5">
        <v>9</v>
      </c>
      <c r="S1999" s="5">
        <v>130</v>
      </c>
    </row>
    <row r="2000" spans="1:19" ht="28" x14ac:dyDescent="0.15">
      <c r="A2000" s="2">
        <f>HYPERLINK("https://open-school.uspishnemisto.com.ua/school/120428/", 120428)</f>
        <v>120428</v>
      </c>
      <c r="B2000" s="3" t="s">
        <v>10517</v>
      </c>
      <c r="C2000" s="3" t="s">
        <v>31</v>
      </c>
      <c r="D2000" s="3" t="s">
        <v>32</v>
      </c>
      <c r="E2000" s="4" t="s">
        <v>22</v>
      </c>
      <c r="F2000" s="4" t="s">
        <v>10518</v>
      </c>
      <c r="G2000" s="4" t="s">
        <v>10478</v>
      </c>
      <c r="H2000" s="3" t="s">
        <v>8487</v>
      </c>
      <c r="I2000" s="3" t="s">
        <v>10479</v>
      </c>
      <c r="J2000" s="3" t="s">
        <v>10519</v>
      </c>
      <c r="K2000" s="3" t="s">
        <v>10520</v>
      </c>
      <c r="L2000" s="3" t="s">
        <v>10521</v>
      </c>
      <c r="M2000" s="4"/>
      <c r="N2000" s="3" t="s">
        <v>37</v>
      </c>
      <c r="O2000" s="3" t="s">
        <v>38</v>
      </c>
      <c r="P2000" s="5">
        <v>21</v>
      </c>
      <c r="Q2000" s="5">
        <v>502</v>
      </c>
      <c r="R2000" s="5">
        <v>21</v>
      </c>
      <c r="S2000" s="5">
        <v>508</v>
      </c>
    </row>
    <row r="2001" spans="1:19" ht="28" x14ac:dyDescent="0.15">
      <c r="A2001" s="2">
        <f>HYPERLINK("https://open-school.uspishnemisto.com.ua/school/120429/", 120429)</f>
        <v>120429</v>
      </c>
      <c r="B2001" s="3" t="s">
        <v>10522</v>
      </c>
      <c r="C2001" s="3" t="s">
        <v>31</v>
      </c>
      <c r="D2001" s="3" t="s">
        <v>175</v>
      </c>
      <c r="E2001" s="4" t="s">
        <v>22</v>
      </c>
      <c r="F2001" s="4" t="s">
        <v>10523</v>
      </c>
      <c r="G2001" s="4" t="s">
        <v>10478</v>
      </c>
      <c r="H2001" s="3" t="s">
        <v>8487</v>
      </c>
      <c r="I2001" s="3" t="s">
        <v>10479</v>
      </c>
      <c r="J2001" s="3" t="s">
        <v>10524</v>
      </c>
      <c r="K2001" s="3" t="s">
        <v>10525</v>
      </c>
      <c r="L2001" s="3" t="s">
        <v>10526</v>
      </c>
      <c r="M2001" s="4"/>
      <c r="N2001" s="3" t="s">
        <v>37</v>
      </c>
      <c r="O2001" s="3" t="s">
        <v>38</v>
      </c>
      <c r="P2001" s="5">
        <v>14</v>
      </c>
      <c r="Q2001" s="5">
        <v>327</v>
      </c>
      <c r="R2001" s="5">
        <v>15</v>
      </c>
      <c r="S2001" s="5">
        <v>326</v>
      </c>
    </row>
    <row r="2002" spans="1:19" ht="28" x14ac:dyDescent="0.15">
      <c r="A2002" s="2">
        <f>HYPERLINK("https://open-school.uspishnemisto.com.ua/school/120430/", 120430)</f>
        <v>120430</v>
      </c>
      <c r="B2002" s="3" t="s">
        <v>10527</v>
      </c>
      <c r="C2002" s="3" t="s">
        <v>31</v>
      </c>
      <c r="D2002" s="3" t="s">
        <v>175</v>
      </c>
      <c r="E2002" s="4" t="s">
        <v>22</v>
      </c>
      <c r="F2002" s="4" t="s">
        <v>10483</v>
      </c>
      <c r="G2002" s="4" t="s">
        <v>10478</v>
      </c>
      <c r="H2002" s="3" t="s">
        <v>8487</v>
      </c>
      <c r="I2002" s="3" t="s">
        <v>10479</v>
      </c>
      <c r="J2002" s="3" t="s">
        <v>10528</v>
      </c>
      <c r="K2002" s="3" t="s">
        <v>10529</v>
      </c>
      <c r="L2002" s="3" t="s">
        <v>10530</v>
      </c>
      <c r="M2002" s="4"/>
      <c r="N2002" s="3" t="s">
        <v>37</v>
      </c>
      <c r="O2002" s="3" t="s">
        <v>46</v>
      </c>
      <c r="P2002" s="5">
        <v>9</v>
      </c>
      <c r="Q2002" s="5">
        <v>134</v>
      </c>
      <c r="R2002" s="5">
        <v>9</v>
      </c>
      <c r="S2002" s="5">
        <v>123</v>
      </c>
    </row>
    <row r="2003" spans="1:19" ht="28" x14ac:dyDescent="0.15">
      <c r="A2003" s="2">
        <f>HYPERLINK("https://open-school.uspishnemisto.com.ua/school/120431/", 120431)</f>
        <v>120431</v>
      </c>
      <c r="B2003" s="3" t="s">
        <v>10531</v>
      </c>
      <c r="C2003" s="3" t="s">
        <v>31</v>
      </c>
      <c r="D2003" s="3" t="s">
        <v>32</v>
      </c>
      <c r="E2003" s="4" t="s">
        <v>22</v>
      </c>
      <c r="F2003" s="4" t="s">
        <v>10483</v>
      </c>
      <c r="G2003" s="4" t="s">
        <v>10478</v>
      </c>
      <c r="H2003" s="3" t="s">
        <v>8487</v>
      </c>
      <c r="I2003" s="3" t="s">
        <v>10479</v>
      </c>
      <c r="J2003" s="3" t="s">
        <v>10532</v>
      </c>
      <c r="K2003" s="3" t="s">
        <v>10533</v>
      </c>
      <c r="L2003" s="3" t="s">
        <v>10534</v>
      </c>
      <c r="M2003" s="4"/>
      <c r="N2003" s="3" t="s">
        <v>37</v>
      </c>
      <c r="O2003" s="3" t="s">
        <v>38</v>
      </c>
      <c r="P2003" s="5">
        <v>39</v>
      </c>
      <c r="Q2003" s="5">
        <v>1155</v>
      </c>
      <c r="R2003" s="5">
        <v>39</v>
      </c>
      <c r="S2003" s="5">
        <v>1135</v>
      </c>
    </row>
    <row r="2004" spans="1:19" ht="42" x14ac:dyDescent="0.15">
      <c r="A2004" s="2">
        <f>HYPERLINK("https://open-school.uspishnemisto.com.ua/school/120432/", 120432)</f>
        <v>120432</v>
      </c>
      <c r="B2004" s="3" t="s">
        <v>10535</v>
      </c>
      <c r="C2004" s="3" t="s">
        <v>31</v>
      </c>
      <c r="D2004" s="3" t="s">
        <v>32</v>
      </c>
      <c r="E2004" s="4" t="s">
        <v>22</v>
      </c>
      <c r="F2004" s="4" t="s">
        <v>10483</v>
      </c>
      <c r="G2004" s="4" t="s">
        <v>10478</v>
      </c>
      <c r="H2004" s="3" t="s">
        <v>8487</v>
      </c>
      <c r="I2004" s="3" t="s">
        <v>10479</v>
      </c>
      <c r="J2004" s="3" t="s">
        <v>10536</v>
      </c>
      <c r="K2004" s="3" t="s">
        <v>10537</v>
      </c>
      <c r="L2004" s="3" t="s">
        <v>10538</v>
      </c>
      <c r="M2004" s="4"/>
      <c r="N2004" s="3" t="s">
        <v>37</v>
      </c>
      <c r="O2004" s="3" t="s">
        <v>38</v>
      </c>
      <c r="P2004" s="5">
        <v>16</v>
      </c>
      <c r="Q2004" s="5">
        <v>364</v>
      </c>
      <c r="R2004" s="5">
        <v>16</v>
      </c>
      <c r="S2004" s="5">
        <v>349</v>
      </c>
    </row>
    <row r="2005" spans="1:19" ht="42" x14ac:dyDescent="0.15">
      <c r="A2005" s="2">
        <f>HYPERLINK("https://open-school.uspishnemisto.com.ua/school/120433/", 120433)</f>
        <v>120433</v>
      </c>
      <c r="B2005" s="3" t="s">
        <v>10539</v>
      </c>
      <c r="C2005" s="3" t="s">
        <v>31</v>
      </c>
      <c r="D2005" s="3" t="s">
        <v>32</v>
      </c>
      <c r="E2005" s="4" t="s">
        <v>22</v>
      </c>
      <c r="F2005" s="4" t="s">
        <v>10483</v>
      </c>
      <c r="G2005" s="4" t="s">
        <v>10478</v>
      </c>
      <c r="H2005" s="3" t="s">
        <v>8487</v>
      </c>
      <c r="I2005" s="3" t="s">
        <v>10479</v>
      </c>
      <c r="J2005" s="3" t="s">
        <v>10540</v>
      </c>
      <c r="K2005" s="3" t="s">
        <v>10541</v>
      </c>
      <c r="L2005" s="3" t="s">
        <v>10542</v>
      </c>
      <c r="M2005" s="4"/>
      <c r="N2005" s="3" t="s">
        <v>37</v>
      </c>
      <c r="O2005" s="3" t="s">
        <v>38</v>
      </c>
      <c r="P2005" s="5">
        <v>40</v>
      </c>
      <c r="Q2005" s="5">
        <v>1081</v>
      </c>
      <c r="R2005" s="5">
        <v>40</v>
      </c>
      <c r="S2005" s="5">
        <v>1091</v>
      </c>
    </row>
    <row r="2006" spans="1:19" ht="28" x14ac:dyDescent="0.15">
      <c r="A2006" s="2">
        <f>HYPERLINK("https://open-school.uspishnemisto.com.ua/school/120434/", 120434)</f>
        <v>120434</v>
      </c>
      <c r="B2006" s="3" t="s">
        <v>10543</v>
      </c>
      <c r="C2006" s="3" t="s">
        <v>31</v>
      </c>
      <c r="D2006" s="3" t="s">
        <v>32</v>
      </c>
      <c r="E2006" s="4" t="s">
        <v>22</v>
      </c>
      <c r="F2006" s="4" t="s">
        <v>10483</v>
      </c>
      <c r="G2006" s="4" t="s">
        <v>10478</v>
      </c>
      <c r="H2006" s="3" t="s">
        <v>8487</v>
      </c>
      <c r="I2006" s="3" t="s">
        <v>10479</v>
      </c>
      <c r="J2006" s="3" t="s">
        <v>10544</v>
      </c>
      <c r="K2006" s="3" t="s">
        <v>10545</v>
      </c>
      <c r="L2006" s="3" t="s">
        <v>10546</v>
      </c>
      <c r="M2006" s="4"/>
      <c r="N2006" s="3" t="s">
        <v>37</v>
      </c>
      <c r="O2006" s="3" t="s">
        <v>38</v>
      </c>
      <c r="P2006" s="5">
        <v>19</v>
      </c>
      <c r="Q2006" s="5">
        <v>501</v>
      </c>
      <c r="R2006" s="5">
        <v>18</v>
      </c>
      <c r="S2006" s="5">
        <v>452</v>
      </c>
    </row>
    <row r="2007" spans="1:19" ht="28" x14ac:dyDescent="0.15">
      <c r="A2007" s="2">
        <f>HYPERLINK("https://open-school.uspishnemisto.com.ua/school/120435/", 120435)</f>
        <v>120435</v>
      </c>
      <c r="B2007" s="3" t="s">
        <v>10547</v>
      </c>
      <c r="C2007" s="3" t="s">
        <v>31</v>
      </c>
      <c r="D2007" s="3" t="s">
        <v>32</v>
      </c>
      <c r="E2007" s="4" t="s">
        <v>22</v>
      </c>
      <c r="F2007" s="4" t="s">
        <v>10483</v>
      </c>
      <c r="G2007" s="4" t="s">
        <v>10478</v>
      </c>
      <c r="H2007" s="3" t="s">
        <v>8487</v>
      </c>
      <c r="I2007" s="3" t="s">
        <v>10479</v>
      </c>
      <c r="J2007" s="3" t="s">
        <v>10548</v>
      </c>
      <c r="K2007" s="3" t="s">
        <v>10549</v>
      </c>
      <c r="L2007" s="3" t="s">
        <v>10550</v>
      </c>
      <c r="M2007" s="4"/>
      <c r="N2007" s="3" t="s">
        <v>37</v>
      </c>
      <c r="O2007" s="3" t="s">
        <v>38</v>
      </c>
      <c r="P2007" s="5">
        <v>12</v>
      </c>
      <c r="Q2007" s="5">
        <v>278</v>
      </c>
      <c r="R2007" s="5">
        <v>12</v>
      </c>
      <c r="S2007" s="5">
        <v>271</v>
      </c>
    </row>
    <row r="2008" spans="1:19" ht="28" x14ac:dyDescent="0.15">
      <c r="A2008" s="2">
        <f>HYPERLINK("https://open-school.uspishnemisto.com.ua/school/120436/", 120436)</f>
        <v>120436</v>
      </c>
      <c r="B2008" s="3" t="s">
        <v>10551</v>
      </c>
      <c r="C2008" s="3" t="s">
        <v>31</v>
      </c>
      <c r="D2008" s="3" t="s">
        <v>32</v>
      </c>
      <c r="E2008" s="4" t="s">
        <v>22</v>
      </c>
      <c r="F2008" s="4" t="s">
        <v>10483</v>
      </c>
      <c r="G2008" s="4" t="s">
        <v>10478</v>
      </c>
      <c r="H2008" s="3" t="s">
        <v>8487</v>
      </c>
      <c r="I2008" s="3" t="s">
        <v>10479</v>
      </c>
      <c r="J2008" s="3" t="s">
        <v>4501</v>
      </c>
      <c r="K2008" s="3" t="s">
        <v>10552</v>
      </c>
      <c r="L2008" s="3" t="s">
        <v>10553</v>
      </c>
      <c r="M2008" s="4"/>
      <c r="N2008" s="3" t="s">
        <v>967</v>
      </c>
      <c r="O2008" s="3" t="s">
        <v>70</v>
      </c>
      <c r="P2008" s="5">
        <v>10</v>
      </c>
      <c r="Q2008" s="5">
        <v>135</v>
      </c>
      <c r="R2008" s="5">
        <v>11</v>
      </c>
      <c r="S2008" s="5">
        <v>149</v>
      </c>
    </row>
    <row r="2009" spans="1:19" ht="28" x14ac:dyDescent="0.15">
      <c r="A2009" s="2">
        <f>HYPERLINK("https://open-school.uspishnemisto.com.ua/school/120437/", 120437)</f>
        <v>120437</v>
      </c>
      <c r="B2009" s="3" t="s">
        <v>10554</v>
      </c>
      <c r="C2009" s="3" t="s">
        <v>188</v>
      </c>
      <c r="D2009" s="3" t="s">
        <v>32</v>
      </c>
      <c r="E2009" s="4" t="s">
        <v>22</v>
      </c>
      <c r="F2009" s="4" t="s">
        <v>10555</v>
      </c>
      <c r="G2009" s="4" t="s">
        <v>10556</v>
      </c>
      <c r="H2009" s="3" t="s">
        <v>8487</v>
      </c>
      <c r="I2009" s="3" t="s">
        <v>10557</v>
      </c>
      <c r="J2009" s="3" t="s">
        <v>7277</v>
      </c>
      <c r="K2009" s="3" t="s">
        <v>10558</v>
      </c>
      <c r="L2009" s="3" t="s">
        <v>10559</v>
      </c>
      <c r="M2009" s="4"/>
      <c r="N2009" s="3" t="s">
        <v>37</v>
      </c>
      <c r="O2009" s="3" t="s">
        <v>70</v>
      </c>
      <c r="P2009" s="5">
        <v>13</v>
      </c>
      <c r="Q2009" s="5">
        <v>351</v>
      </c>
      <c r="R2009" s="5">
        <v>13</v>
      </c>
      <c r="S2009" s="5">
        <v>332</v>
      </c>
    </row>
    <row r="2010" spans="1:19" ht="42" x14ac:dyDescent="0.15">
      <c r="A2010" s="2">
        <f>HYPERLINK("https://open-school.uspishnemisto.com.ua/school/120438/", 120438)</f>
        <v>120438</v>
      </c>
      <c r="B2010" s="3" t="s">
        <v>10560</v>
      </c>
      <c r="C2010" s="3" t="s">
        <v>54</v>
      </c>
      <c r="D2010" s="3" t="s">
        <v>32</v>
      </c>
      <c r="E2010" s="4" t="s">
        <v>22</v>
      </c>
      <c r="F2010" s="4" t="s">
        <v>10555</v>
      </c>
      <c r="G2010" s="4" t="s">
        <v>10556</v>
      </c>
      <c r="H2010" s="3" t="s">
        <v>8487</v>
      </c>
      <c r="I2010" s="3" t="s">
        <v>10557</v>
      </c>
      <c r="J2010" s="3" t="s">
        <v>10561</v>
      </c>
      <c r="K2010" s="3" t="s">
        <v>10562</v>
      </c>
      <c r="L2010" s="3" t="s">
        <v>10563</v>
      </c>
      <c r="M2010" s="4"/>
      <c r="N2010" s="3" t="s">
        <v>37</v>
      </c>
      <c r="O2010" s="3" t="s">
        <v>197</v>
      </c>
      <c r="P2010" s="5">
        <v>22</v>
      </c>
      <c r="Q2010" s="5">
        <v>627</v>
      </c>
      <c r="R2010" s="5">
        <v>22</v>
      </c>
      <c r="S2010" s="5">
        <v>635</v>
      </c>
    </row>
    <row r="2011" spans="1:19" ht="42" x14ac:dyDescent="0.15">
      <c r="A2011" s="2">
        <f>HYPERLINK("https://open-school.uspishnemisto.com.ua/school/120439/", 120439)</f>
        <v>120439</v>
      </c>
      <c r="B2011" s="3" t="s">
        <v>10564</v>
      </c>
      <c r="C2011" s="3" t="s">
        <v>54</v>
      </c>
      <c r="D2011" s="3" t="s">
        <v>32</v>
      </c>
      <c r="E2011" s="4" t="s">
        <v>22</v>
      </c>
      <c r="F2011" s="4" t="s">
        <v>10555</v>
      </c>
      <c r="G2011" s="4" t="s">
        <v>10556</v>
      </c>
      <c r="H2011" s="3" t="s">
        <v>8487</v>
      </c>
      <c r="I2011" s="3" t="s">
        <v>10557</v>
      </c>
      <c r="J2011" s="3" t="s">
        <v>627</v>
      </c>
      <c r="K2011" s="3" t="s">
        <v>10565</v>
      </c>
      <c r="L2011" s="3" t="s">
        <v>10566</v>
      </c>
      <c r="M2011" s="4"/>
      <c r="N2011" s="3" t="s">
        <v>967</v>
      </c>
      <c r="O2011" s="3" t="s">
        <v>46</v>
      </c>
      <c r="P2011" s="5">
        <v>16</v>
      </c>
      <c r="Q2011" s="5">
        <v>456</v>
      </c>
      <c r="R2011" s="5">
        <v>17</v>
      </c>
      <c r="S2011" s="5">
        <v>464</v>
      </c>
    </row>
    <row r="2012" spans="1:19" ht="42" x14ac:dyDescent="0.15">
      <c r="A2012" s="2">
        <f>HYPERLINK("https://open-school.uspishnemisto.com.ua/school/120440/", 120440)</f>
        <v>120440</v>
      </c>
      <c r="B2012" s="3" t="s">
        <v>10567</v>
      </c>
      <c r="C2012" s="3" t="s">
        <v>31</v>
      </c>
      <c r="D2012" s="3" t="s">
        <v>175</v>
      </c>
      <c r="E2012" s="4" t="s">
        <v>22</v>
      </c>
      <c r="F2012" s="4" t="s">
        <v>10568</v>
      </c>
      <c r="G2012" s="4" t="s">
        <v>10556</v>
      </c>
      <c r="H2012" s="3" t="s">
        <v>8487</v>
      </c>
      <c r="I2012" s="3" t="s">
        <v>10557</v>
      </c>
      <c r="J2012" s="3" t="s">
        <v>10569</v>
      </c>
      <c r="K2012" s="3" t="s">
        <v>10570</v>
      </c>
      <c r="L2012" s="3" t="s">
        <v>10571</v>
      </c>
      <c r="M2012" s="4"/>
      <c r="N2012" s="3" t="s">
        <v>37</v>
      </c>
      <c r="O2012" s="3" t="s">
        <v>721</v>
      </c>
      <c r="P2012" s="5">
        <v>9</v>
      </c>
      <c r="Q2012" s="5">
        <v>141</v>
      </c>
      <c r="R2012" s="5">
        <v>9</v>
      </c>
      <c r="S2012" s="5">
        <v>138</v>
      </c>
    </row>
    <row r="2013" spans="1:19" ht="28" x14ac:dyDescent="0.15">
      <c r="A2013" s="2">
        <f>HYPERLINK("https://open-school.uspishnemisto.com.ua/school/120441/", 120441)</f>
        <v>120441</v>
      </c>
      <c r="B2013" s="3" t="s">
        <v>10572</v>
      </c>
      <c r="C2013" s="3" t="s">
        <v>31</v>
      </c>
      <c r="D2013" s="3" t="s">
        <v>32</v>
      </c>
      <c r="E2013" s="4" t="s">
        <v>22</v>
      </c>
      <c r="F2013" s="4" t="s">
        <v>10555</v>
      </c>
      <c r="G2013" s="4" t="s">
        <v>10556</v>
      </c>
      <c r="H2013" s="3" t="s">
        <v>8487</v>
      </c>
      <c r="I2013" s="3" t="s">
        <v>10557</v>
      </c>
      <c r="J2013" s="3" t="s">
        <v>10573</v>
      </c>
      <c r="K2013" s="3" t="s">
        <v>10574</v>
      </c>
      <c r="L2013" s="3" t="s">
        <v>10575</v>
      </c>
      <c r="M2013" s="4"/>
      <c r="N2013" s="3" t="s">
        <v>967</v>
      </c>
      <c r="O2013" s="3" t="s">
        <v>46</v>
      </c>
      <c r="P2013" s="5">
        <v>10</v>
      </c>
      <c r="Q2013" s="5">
        <v>233</v>
      </c>
      <c r="R2013" s="5">
        <v>9</v>
      </c>
      <c r="S2013" s="5">
        <v>202</v>
      </c>
    </row>
    <row r="2014" spans="1:19" ht="28" x14ac:dyDescent="0.15">
      <c r="A2014" s="2">
        <f>HYPERLINK("https://open-school.uspishnemisto.com.ua/school/120442/", 120442)</f>
        <v>120442</v>
      </c>
      <c r="B2014" s="3" t="s">
        <v>10576</v>
      </c>
      <c r="C2014" s="3" t="s">
        <v>31</v>
      </c>
      <c r="D2014" s="3" t="s">
        <v>32</v>
      </c>
      <c r="E2014" s="4" t="s">
        <v>22</v>
      </c>
      <c r="F2014" s="4" t="s">
        <v>10577</v>
      </c>
      <c r="G2014" s="4" t="s">
        <v>10556</v>
      </c>
      <c r="H2014" s="3" t="s">
        <v>8487</v>
      </c>
      <c r="I2014" s="3" t="s">
        <v>10557</v>
      </c>
      <c r="J2014" s="3" t="s">
        <v>10578</v>
      </c>
      <c r="K2014" s="3" t="s">
        <v>10579</v>
      </c>
      <c r="L2014" s="3" t="s">
        <v>10580</v>
      </c>
      <c r="M2014" s="4"/>
      <c r="N2014" s="3" t="s">
        <v>37</v>
      </c>
      <c r="O2014" s="3" t="s">
        <v>38</v>
      </c>
      <c r="P2014" s="5">
        <v>19</v>
      </c>
      <c r="Q2014" s="5">
        <v>484</v>
      </c>
      <c r="R2014" s="5">
        <v>18</v>
      </c>
      <c r="S2014" s="5">
        <v>448</v>
      </c>
    </row>
    <row r="2015" spans="1:19" ht="28" x14ac:dyDescent="0.15">
      <c r="A2015" s="2">
        <f>HYPERLINK("https://open-school.uspishnemisto.com.ua/school/120443/", 120443)</f>
        <v>120443</v>
      </c>
      <c r="B2015" s="3" t="s">
        <v>10581</v>
      </c>
      <c r="C2015" s="3" t="s">
        <v>31</v>
      </c>
      <c r="D2015" s="3" t="s">
        <v>32</v>
      </c>
      <c r="E2015" s="4" t="s">
        <v>22</v>
      </c>
      <c r="F2015" s="4" t="s">
        <v>10555</v>
      </c>
      <c r="G2015" s="4" t="s">
        <v>10556</v>
      </c>
      <c r="H2015" s="3" t="s">
        <v>8487</v>
      </c>
      <c r="I2015" s="3" t="s">
        <v>10557</v>
      </c>
      <c r="J2015" s="3" t="s">
        <v>10582</v>
      </c>
      <c r="K2015" s="3" t="s">
        <v>10583</v>
      </c>
      <c r="L2015" s="3" t="s">
        <v>10584</v>
      </c>
      <c r="M2015" s="4"/>
      <c r="N2015" s="3" t="s">
        <v>37</v>
      </c>
      <c r="O2015" s="3" t="s">
        <v>38</v>
      </c>
      <c r="P2015" s="5">
        <v>20</v>
      </c>
      <c r="Q2015" s="5">
        <v>590</v>
      </c>
      <c r="R2015" s="5">
        <v>19</v>
      </c>
      <c r="S2015" s="5">
        <v>542</v>
      </c>
    </row>
    <row r="2016" spans="1:19" ht="28" x14ac:dyDescent="0.15">
      <c r="A2016" s="2">
        <f>HYPERLINK("https://open-school.uspishnemisto.com.ua/school/120444/", 120444)</f>
        <v>120444</v>
      </c>
      <c r="B2016" s="3" t="s">
        <v>10585</v>
      </c>
      <c r="C2016" s="3" t="s">
        <v>31</v>
      </c>
      <c r="D2016" s="3" t="s">
        <v>32</v>
      </c>
      <c r="E2016" s="4" t="s">
        <v>22</v>
      </c>
      <c r="F2016" s="4" t="s">
        <v>10555</v>
      </c>
      <c r="G2016" s="4" t="s">
        <v>10556</v>
      </c>
      <c r="H2016" s="3" t="s">
        <v>8487</v>
      </c>
      <c r="I2016" s="3" t="s">
        <v>10557</v>
      </c>
      <c r="J2016" s="3" t="s">
        <v>10586</v>
      </c>
      <c r="K2016" s="3" t="s">
        <v>10587</v>
      </c>
      <c r="L2016" s="3" t="s">
        <v>10588</v>
      </c>
      <c r="M2016" s="4"/>
      <c r="N2016" s="3" t="s">
        <v>37</v>
      </c>
      <c r="O2016" s="3" t="s">
        <v>721</v>
      </c>
      <c r="P2016" s="5">
        <v>19</v>
      </c>
      <c r="Q2016" s="5">
        <v>477</v>
      </c>
      <c r="R2016" s="5">
        <v>19</v>
      </c>
      <c r="S2016" s="5">
        <v>475</v>
      </c>
    </row>
    <row r="2017" spans="1:19" ht="42" x14ac:dyDescent="0.15">
      <c r="A2017" s="2">
        <f>HYPERLINK("https://open-school.uspishnemisto.com.ua/school/120445/", 120445)</f>
        <v>120445</v>
      </c>
      <c r="B2017" s="3" t="s">
        <v>10589</v>
      </c>
      <c r="C2017" s="3" t="s">
        <v>31</v>
      </c>
      <c r="D2017" s="3" t="s">
        <v>175</v>
      </c>
      <c r="E2017" s="4" t="s">
        <v>22</v>
      </c>
      <c r="F2017" s="4" t="s">
        <v>10590</v>
      </c>
      <c r="G2017" s="4" t="s">
        <v>10591</v>
      </c>
      <c r="H2017" s="3" t="s">
        <v>8487</v>
      </c>
      <c r="I2017" s="3" t="s">
        <v>10592</v>
      </c>
      <c r="J2017" s="3" t="s">
        <v>10593</v>
      </c>
      <c r="K2017" s="3" t="s">
        <v>10594</v>
      </c>
      <c r="L2017" s="3" t="s">
        <v>10595</v>
      </c>
      <c r="M2017" s="4"/>
      <c r="N2017" s="3" t="s">
        <v>37</v>
      </c>
      <c r="O2017" s="3" t="s">
        <v>70</v>
      </c>
      <c r="P2017" s="5">
        <v>9</v>
      </c>
      <c r="Q2017" s="5">
        <v>100</v>
      </c>
      <c r="R2017" s="5">
        <v>9</v>
      </c>
      <c r="S2017" s="5">
        <v>91</v>
      </c>
    </row>
    <row r="2018" spans="1:19" ht="28" x14ac:dyDescent="0.15">
      <c r="A2018" s="2">
        <f>HYPERLINK("https://open-school.uspishnemisto.com.ua/school/120446/", 120446)</f>
        <v>120446</v>
      </c>
      <c r="B2018" s="3" t="s">
        <v>10596</v>
      </c>
      <c r="C2018" s="3" t="s">
        <v>181</v>
      </c>
      <c r="D2018" s="3" t="s">
        <v>32</v>
      </c>
      <c r="E2018" s="4" t="s">
        <v>22</v>
      </c>
      <c r="F2018" s="4" t="s">
        <v>10597</v>
      </c>
      <c r="G2018" s="4" t="s">
        <v>10598</v>
      </c>
      <c r="H2018" s="3" t="s">
        <v>8487</v>
      </c>
      <c r="I2018" s="3" t="s">
        <v>10599</v>
      </c>
      <c r="J2018" s="3" t="s">
        <v>10600</v>
      </c>
      <c r="K2018" s="3" t="s">
        <v>10601</v>
      </c>
      <c r="L2018" s="3" t="s">
        <v>10602</v>
      </c>
      <c r="M2018" s="4" t="s">
        <v>10603</v>
      </c>
      <c r="N2018" s="3" t="s">
        <v>37</v>
      </c>
      <c r="O2018" s="3"/>
      <c r="P2018" s="5">
        <v>19</v>
      </c>
      <c r="Q2018" s="5">
        <v>196</v>
      </c>
      <c r="R2018" s="5">
        <v>19</v>
      </c>
      <c r="S2018" s="5">
        <v>202</v>
      </c>
    </row>
    <row r="2019" spans="1:19" ht="28" x14ac:dyDescent="0.15">
      <c r="A2019" s="2">
        <f>HYPERLINK("https://open-school.uspishnemisto.com.ua/school/120447/", 120447)</f>
        <v>120447</v>
      </c>
      <c r="B2019" s="3" t="s">
        <v>10604</v>
      </c>
      <c r="C2019" s="3" t="s">
        <v>31</v>
      </c>
      <c r="D2019" s="3" t="s">
        <v>32</v>
      </c>
      <c r="E2019" s="4" t="s">
        <v>22</v>
      </c>
      <c r="F2019" s="4" t="s">
        <v>10605</v>
      </c>
      <c r="G2019" s="4" t="s">
        <v>10598</v>
      </c>
      <c r="H2019" s="3" t="s">
        <v>8487</v>
      </c>
      <c r="I2019" s="3" t="s">
        <v>10599</v>
      </c>
      <c r="J2019" s="3" t="s">
        <v>10606</v>
      </c>
      <c r="K2019" s="3" t="s">
        <v>10607</v>
      </c>
      <c r="L2019" s="3" t="s">
        <v>10608</v>
      </c>
      <c r="M2019" s="4"/>
      <c r="N2019" s="3" t="s">
        <v>37</v>
      </c>
      <c r="O2019" s="3" t="s">
        <v>70</v>
      </c>
      <c r="P2019" s="5">
        <v>26</v>
      </c>
      <c r="Q2019" s="5">
        <v>711</v>
      </c>
      <c r="R2019" s="5">
        <v>24</v>
      </c>
      <c r="S2019" s="5">
        <v>676</v>
      </c>
    </row>
    <row r="2020" spans="1:19" ht="28" x14ac:dyDescent="0.15">
      <c r="A2020" s="2">
        <f>HYPERLINK("https://open-school.uspishnemisto.com.ua/school/120448/", 120448)</f>
        <v>120448</v>
      </c>
      <c r="B2020" s="3" t="s">
        <v>10609</v>
      </c>
      <c r="C2020" s="3" t="s">
        <v>31</v>
      </c>
      <c r="D2020" s="3" t="s">
        <v>32</v>
      </c>
      <c r="E2020" s="4" t="s">
        <v>22</v>
      </c>
      <c r="F2020" s="4" t="s">
        <v>10610</v>
      </c>
      <c r="G2020" s="4" t="s">
        <v>10598</v>
      </c>
      <c r="H2020" s="3" t="s">
        <v>8487</v>
      </c>
      <c r="I2020" s="3" t="s">
        <v>10599</v>
      </c>
      <c r="J2020" s="3" t="s">
        <v>10611</v>
      </c>
      <c r="K2020" s="3" t="s">
        <v>10612</v>
      </c>
      <c r="L2020" s="3" t="s">
        <v>10613</v>
      </c>
      <c r="M2020" s="4"/>
      <c r="N2020" s="3" t="s">
        <v>37</v>
      </c>
      <c r="O2020" s="3" t="s">
        <v>38</v>
      </c>
      <c r="P2020" s="5">
        <v>22</v>
      </c>
      <c r="Q2020" s="5">
        <v>583</v>
      </c>
      <c r="R2020" s="5">
        <v>22</v>
      </c>
      <c r="S2020" s="5">
        <v>565</v>
      </c>
    </row>
    <row r="2021" spans="1:19" ht="28" x14ac:dyDescent="0.15">
      <c r="A2021" s="2">
        <f>HYPERLINK("https://open-school.uspishnemisto.com.ua/school/120449/", 120449)</f>
        <v>120449</v>
      </c>
      <c r="B2021" s="3" t="s">
        <v>10614</v>
      </c>
      <c r="C2021" s="3" t="s">
        <v>31</v>
      </c>
      <c r="D2021" s="3" t="s">
        <v>32</v>
      </c>
      <c r="E2021" s="4" t="s">
        <v>22</v>
      </c>
      <c r="F2021" s="4" t="s">
        <v>10615</v>
      </c>
      <c r="G2021" s="4" t="s">
        <v>10598</v>
      </c>
      <c r="H2021" s="3" t="s">
        <v>8487</v>
      </c>
      <c r="I2021" s="3" t="s">
        <v>10599</v>
      </c>
      <c r="J2021" s="3" t="s">
        <v>10616</v>
      </c>
      <c r="K2021" s="3" t="s">
        <v>10617</v>
      </c>
      <c r="L2021" s="3" t="s">
        <v>10618</v>
      </c>
      <c r="M2021" s="4"/>
      <c r="N2021" s="3" t="s">
        <v>967</v>
      </c>
      <c r="O2021" s="3" t="s">
        <v>2740</v>
      </c>
      <c r="P2021" s="5">
        <v>26</v>
      </c>
      <c r="Q2021" s="5">
        <v>721</v>
      </c>
      <c r="R2021" s="5">
        <v>25</v>
      </c>
      <c r="S2021" s="5">
        <v>694</v>
      </c>
    </row>
    <row r="2022" spans="1:19" ht="28" x14ac:dyDescent="0.15">
      <c r="A2022" s="2">
        <f>HYPERLINK("https://open-school.uspishnemisto.com.ua/school/120450/", 120450)</f>
        <v>120450</v>
      </c>
      <c r="B2022" s="3" t="s">
        <v>10619</v>
      </c>
      <c r="C2022" s="3" t="s">
        <v>31</v>
      </c>
      <c r="D2022" s="3" t="s">
        <v>32</v>
      </c>
      <c r="E2022" s="4" t="s">
        <v>22</v>
      </c>
      <c r="F2022" s="4" t="s">
        <v>10605</v>
      </c>
      <c r="G2022" s="4" t="s">
        <v>10598</v>
      </c>
      <c r="H2022" s="3" t="s">
        <v>8487</v>
      </c>
      <c r="I2022" s="3" t="s">
        <v>10599</v>
      </c>
      <c r="J2022" s="3" t="s">
        <v>10620</v>
      </c>
      <c r="K2022" s="3" t="s">
        <v>10621</v>
      </c>
      <c r="L2022" s="3" t="s">
        <v>10622</v>
      </c>
      <c r="M2022" s="4"/>
      <c r="N2022" s="3" t="s">
        <v>37</v>
      </c>
      <c r="O2022" s="3" t="s">
        <v>38</v>
      </c>
      <c r="P2022" s="5">
        <v>27</v>
      </c>
      <c r="Q2022" s="5">
        <v>811</v>
      </c>
      <c r="R2022" s="5">
        <v>27</v>
      </c>
      <c r="S2022" s="5">
        <v>766</v>
      </c>
    </row>
    <row r="2023" spans="1:19" ht="28" x14ac:dyDescent="0.15">
      <c r="A2023" s="2">
        <f>HYPERLINK("https://open-school.uspishnemisto.com.ua/school/120451/", 120451)</f>
        <v>120451</v>
      </c>
      <c r="B2023" s="3" t="s">
        <v>10623</v>
      </c>
      <c r="C2023" s="3" t="s">
        <v>31</v>
      </c>
      <c r="D2023" s="3" t="s">
        <v>32</v>
      </c>
      <c r="E2023" s="4" t="s">
        <v>22</v>
      </c>
      <c r="F2023" s="4" t="s">
        <v>10624</v>
      </c>
      <c r="G2023" s="4" t="s">
        <v>10598</v>
      </c>
      <c r="H2023" s="3" t="s">
        <v>8487</v>
      </c>
      <c r="I2023" s="3" t="s">
        <v>10599</v>
      </c>
      <c r="J2023" s="3" t="s">
        <v>10625</v>
      </c>
      <c r="K2023" s="3" t="s">
        <v>10626</v>
      </c>
      <c r="L2023" s="3" t="s">
        <v>10627</v>
      </c>
      <c r="M2023" s="4"/>
      <c r="N2023" s="3" t="s">
        <v>128</v>
      </c>
      <c r="O2023" s="3" t="s">
        <v>38</v>
      </c>
      <c r="P2023" s="5">
        <v>11</v>
      </c>
      <c r="Q2023" s="5">
        <v>268</v>
      </c>
      <c r="R2023" s="5">
        <v>11</v>
      </c>
      <c r="S2023" s="5">
        <v>259</v>
      </c>
    </row>
    <row r="2024" spans="1:19" ht="28" x14ac:dyDescent="0.15">
      <c r="A2024" s="2">
        <f>HYPERLINK("https://open-school.uspishnemisto.com.ua/school/120452/", 120452)</f>
        <v>120452</v>
      </c>
      <c r="B2024" s="3" t="s">
        <v>10628</v>
      </c>
      <c r="C2024" s="3" t="s">
        <v>31</v>
      </c>
      <c r="D2024" s="3" t="s">
        <v>32</v>
      </c>
      <c r="E2024" s="4" t="s">
        <v>22</v>
      </c>
      <c r="F2024" s="4" t="s">
        <v>10597</v>
      </c>
      <c r="G2024" s="4" t="s">
        <v>10598</v>
      </c>
      <c r="H2024" s="3" t="s">
        <v>8487</v>
      </c>
      <c r="I2024" s="3" t="s">
        <v>10599</v>
      </c>
      <c r="J2024" s="3" t="s">
        <v>10629</v>
      </c>
      <c r="K2024" s="3" t="s">
        <v>10630</v>
      </c>
      <c r="L2024" s="3" t="s">
        <v>10631</v>
      </c>
      <c r="M2024" s="4" t="s">
        <v>10632</v>
      </c>
      <c r="N2024" s="3" t="s">
        <v>967</v>
      </c>
      <c r="O2024" s="3" t="s">
        <v>2740</v>
      </c>
      <c r="P2024" s="5">
        <v>21</v>
      </c>
      <c r="Q2024" s="5">
        <v>565</v>
      </c>
      <c r="R2024" s="5">
        <v>21</v>
      </c>
      <c r="S2024" s="5">
        <v>541</v>
      </c>
    </row>
    <row r="2025" spans="1:19" ht="28" x14ac:dyDescent="0.15">
      <c r="A2025" s="2">
        <f>HYPERLINK("https://open-school.uspishnemisto.com.ua/school/120453/", 120453)</f>
        <v>120453</v>
      </c>
      <c r="B2025" s="3" t="s">
        <v>10633</v>
      </c>
      <c r="C2025" s="3" t="s">
        <v>31</v>
      </c>
      <c r="D2025" s="3" t="s">
        <v>32</v>
      </c>
      <c r="E2025" s="4" t="s">
        <v>22</v>
      </c>
      <c r="F2025" s="4" t="s">
        <v>10597</v>
      </c>
      <c r="G2025" s="4" t="s">
        <v>10598</v>
      </c>
      <c r="H2025" s="3" t="s">
        <v>8487</v>
      </c>
      <c r="I2025" s="3" t="s">
        <v>10599</v>
      </c>
      <c r="J2025" s="3" t="s">
        <v>10634</v>
      </c>
      <c r="K2025" s="3" t="s">
        <v>10635</v>
      </c>
      <c r="L2025" s="3" t="s">
        <v>10636</v>
      </c>
      <c r="M2025" s="4"/>
      <c r="N2025" s="3" t="s">
        <v>37</v>
      </c>
      <c r="O2025" s="3" t="s">
        <v>38</v>
      </c>
      <c r="P2025" s="5">
        <v>31</v>
      </c>
      <c r="Q2025" s="5">
        <v>856</v>
      </c>
      <c r="R2025" s="5">
        <v>32</v>
      </c>
      <c r="S2025" s="5">
        <v>878</v>
      </c>
    </row>
    <row r="2026" spans="1:19" ht="28" x14ac:dyDescent="0.15">
      <c r="A2026" s="2">
        <f>HYPERLINK("https://open-school.uspishnemisto.com.ua/school/120454/", 120454)</f>
        <v>120454</v>
      </c>
      <c r="B2026" s="3" t="s">
        <v>10637</v>
      </c>
      <c r="C2026" s="3" t="s">
        <v>31</v>
      </c>
      <c r="D2026" s="3" t="s">
        <v>32</v>
      </c>
      <c r="E2026" s="4" t="s">
        <v>22</v>
      </c>
      <c r="F2026" s="4" t="s">
        <v>10610</v>
      </c>
      <c r="G2026" s="4" t="s">
        <v>10598</v>
      </c>
      <c r="H2026" s="3" t="s">
        <v>8487</v>
      </c>
      <c r="I2026" s="3" t="s">
        <v>10599</v>
      </c>
      <c r="J2026" s="3" t="s">
        <v>10638</v>
      </c>
      <c r="K2026" s="3" t="s">
        <v>10639</v>
      </c>
      <c r="L2026" s="3" t="s">
        <v>10640</v>
      </c>
      <c r="M2026" s="4"/>
      <c r="N2026" s="3" t="s">
        <v>37</v>
      </c>
      <c r="O2026" s="3" t="s">
        <v>721</v>
      </c>
      <c r="P2026" s="5">
        <v>19</v>
      </c>
      <c r="Q2026" s="5">
        <v>484</v>
      </c>
      <c r="R2026" s="5">
        <v>20</v>
      </c>
      <c r="S2026" s="5">
        <v>497</v>
      </c>
    </row>
    <row r="2027" spans="1:19" ht="28" x14ac:dyDescent="0.15">
      <c r="A2027" s="2">
        <f>HYPERLINK("https://open-school.uspishnemisto.com.ua/school/120455/", 120455)</f>
        <v>120455</v>
      </c>
      <c r="B2027" s="3" t="s">
        <v>10641</v>
      </c>
      <c r="C2027" s="3" t="s">
        <v>31</v>
      </c>
      <c r="D2027" s="3" t="s">
        <v>32</v>
      </c>
      <c r="E2027" s="4" t="s">
        <v>22</v>
      </c>
      <c r="F2027" s="4" t="s">
        <v>10605</v>
      </c>
      <c r="G2027" s="4" t="s">
        <v>10598</v>
      </c>
      <c r="H2027" s="3" t="s">
        <v>8487</v>
      </c>
      <c r="I2027" s="3" t="s">
        <v>10599</v>
      </c>
      <c r="J2027" s="3" t="s">
        <v>10642</v>
      </c>
      <c r="K2027" s="3" t="s">
        <v>10643</v>
      </c>
      <c r="L2027" s="3" t="s">
        <v>10644</v>
      </c>
      <c r="M2027" s="4" t="s">
        <v>10645</v>
      </c>
      <c r="N2027" s="3" t="s">
        <v>37</v>
      </c>
      <c r="O2027" s="3" t="s">
        <v>38</v>
      </c>
      <c r="P2027" s="5">
        <v>43</v>
      </c>
      <c r="Q2027" s="5">
        <v>1177</v>
      </c>
      <c r="R2027" s="5">
        <v>42</v>
      </c>
      <c r="S2027" s="5">
        <v>1170</v>
      </c>
    </row>
    <row r="2028" spans="1:19" ht="28" x14ac:dyDescent="0.15">
      <c r="A2028" s="2">
        <f>HYPERLINK("https://open-school.uspishnemisto.com.ua/school/120456/", 120456)</f>
        <v>120456</v>
      </c>
      <c r="B2028" s="3" t="s">
        <v>10646</v>
      </c>
      <c r="C2028" s="3" t="s">
        <v>31</v>
      </c>
      <c r="D2028" s="3" t="s">
        <v>32</v>
      </c>
      <c r="E2028" s="4" t="s">
        <v>22</v>
      </c>
      <c r="F2028" s="4" t="s">
        <v>10647</v>
      </c>
      <c r="G2028" s="4" t="s">
        <v>10598</v>
      </c>
      <c r="H2028" s="3" t="s">
        <v>8487</v>
      </c>
      <c r="I2028" s="3" t="s">
        <v>10599</v>
      </c>
      <c r="J2028" s="3" t="s">
        <v>10648</v>
      </c>
      <c r="K2028" s="3" t="s">
        <v>10649</v>
      </c>
      <c r="L2028" s="3" t="s">
        <v>10650</v>
      </c>
      <c r="M2028" s="4"/>
      <c r="N2028" s="3" t="s">
        <v>37</v>
      </c>
      <c r="O2028" s="3" t="s">
        <v>38</v>
      </c>
      <c r="P2028" s="5">
        <v>16</v>
      </c>
      <c r="Q2028" s="5">
        <v>443</v>
      </c>
      <c r="R2028" s="5">
        <v>16</v>
      </c>
      <c r="S2028" s="5">
        <v>417</v>
      </c>
    </row>
    <row r="2029" spans="1:19" ht="28" x14ac:dyDescent="0.15">
      <c r="A2029" s="2">
        <f>HYPERLINK("https://open-school.uspishnemisto.com.ua/school/120457/", 120457)</f>
        <v>120457</v>
      </c>
      <c r="B2029" s="3" t="s">
        <v>10651</v>
      </c>
      <c r="C2029" s="3" t="s">
        <v>31</v>
      </c>
      <c r="D2029" s="3" t="s">
        <v>32</v>
      </c>
      <c r="E2029" s="4" t="s">
        <v>22</v>
      </c>
      <c r="F2029" s="4" t="s">
        <v>10652</v>
      </c>
      <c r="G2029" s="4" t="s">
        <v>10598</v>
      </c>
      <c r="H2029" s="3" t="s">
        <v>8487</v>
      </c>
      <c r="I2029" s="3" t="s">
        <v>10599</v>
      </c>
      <c r="J2029" s="3" t="s">
        <v>10653</v>
      </c>
      <c r="K2029" s="3" t="s">
        <v>10654</v>
      </c>
      <c r="L2029" s="3" t="s">
        <v>10655</v>
      </c>
      <c r="M2029" s="4"/>
      <c r="N2029" s="3" t="s">
        <v>128</v>
      </c>
      <c r="O2029" s="3" t="s">
        <v>70</v>
      </c>
      <c r="P2029" s="5">
        <v>12</v>
      </c>
      <c r="Q2029" s="5">
        <v>326</v>
      </c>
      <c r="R2029" s="5">
        <v>12</v>
      </c>
      <c r="S2029" s="5">
        <v>336</v>
      </c>
    </row>
    <row r="2030" spans="1:19" ht="42" x14ac:dyDescent="0.15">
      <c r="A2030" s="2">
        <f>HYPERLINK("https://open-school.uspishnemisto.com.ua/school/120458/", 120458)</f>
        <v>120458</v>
      </c>
      <c r="B2030" s="3" t="s">
        <v>10656</v>
      </c>
      <c r="C2030" s="3" t="s">
        <v>31</v>
      </c>
      <c r="D2030" s="3" t="s">
        <v>32</v>
      </c>
      <c r="E2030" s="4" t="s">
        <v>22</v>
      </c>
      <c r="F2030" s="4" t="s">
        <v>10657</v>
      </c>
      <c r="G2030" s="4" t="s">
        <v>10598</v>
      </c>
      <c r="H2030" s="3" t="s">
        <v>8487</v>
      </c>
      <c r="I2030" s="3" t="s">
        <v>10599</v>
      </c>
      <c r="J2030" s="3" t="s">
        <v>10658</v>
      </c>
      <c r="K2030" s="3" t="s">
        <v>10659</v>
      </c>
      <c r="L2030" s="3" t="s">
        <v>10660</v>
      </c>
      <c r="M2030" s="4"/>
      <c r="N2030" s="3" t="s">
        <v>37</v>
      </c>
      <c r="O2030" s="3" t="s">
        <v>38</v>
      </c>
      <c r="P2030" s="5">
        <v>11</v>
      </c>
      <c r="Q2030" s="5">
        <v>303</v>
      </c>
      <c r="R2030" s="5">
        <v>12</v>
      </c>
      <c r="S2030" s="5">
        <v>314</v>
      </c>
    </row>
    <row r="2031" spans="1:19" ht="28" x14ac:dyDescent="0.15">
      <c r="A2031" s="2">
        <f>HYPERLINK("https://open-school.uspishnemisto.com.ua/school/120459/", 120459)</f>
        <v>120459</v>
      </c>
      <c r="B2031" s="3" t="s">
        <v>10661</v>
      </c>
      <c r="C2031" s="3" t="s">
        <v>31</v>
      </c>
      <c r="D2031" s="3" t="s">
        <v>32</v>
      </c>
      <c r="E2031" s="4" t="s">
        <v>22</v>
      </c>
      <c r="F2031" s="4" t="s">
        <v>10605</v>
      </c>
      <c r="G2031" s="4" t="s">
        <v>10598</v>
      </c>
      <c r="H2031" s="3" t="s">
        <v>8487</v>
      </c>
      <c r="I2031" s="3" t="s">
        <v>10599</v>
      </c>
      <c r="J2031" s="3" t="s">
        <v>10662</v>
      </c>
      <c r="K2031" s="3" t="s">
        <v>10663</v>
      </c>
      <c r="L2031" s="3" t="s">
        <v>10664</v>
      </c>
      <c r="M2031" s="4"/>
      <c r="N2031" s="3" t="s">
        <v>37</v>
      </c>
      <c r="O2031" s="3" t="s">
        <v>38</v>
      </c>
      <c r="P2031" s="5">
        <v>38</v>
      </c>
      <c r="Q2031" s="5">
        <v>1032</v>
      </c>
      <c r="R2031" s="5">
        <v>37</v>
      </c>
      <c r="S2031" s="5">
        <v>1027</v>
      </c>
    </row>
    <row r="2032" spans="1:19" ht="28" x14ac:dyDescent="0.15">
      <c r="A2032" s="2">
        <f>HYPERLINK("https://open-school.uspishnemisto.com.ua/school/120460/", 120460)</f>
        <v>120460</v>
      </c>
      <c r="B2032" s="3" t="s">
        <v>10665</v>
      </c>
      <c r="C2032" s="3" t="s">
        <v>31</v>
      </c>
      <c r="D2032" s="3" t="s">
        <v>32</v>
      </c>
      <c r="E2032" s="4" t="s">
        <v>22</v>
      </c>
      <c r="F2032" s="4" t="s">
        <v>10605</v>
      </c>
      <c r="G2032" s="4" t="s">
        <v>10598</v>
      </c>
      <c r="H2032" s="3" t="s">
        <v>8487</v>
      </c>
      <c r="I2032" s="3" t="s">
        <v>10599</v>
      </c>
      <c r="J2032" s="3" t="s">
        <v>2858</v>
      </c>
      <c r="K2032" s="3" t="s">
        <v>10666</v>
      </c>
      <c r="L2032" s="3" t="s">
        <v>10667</v>
      </c>
      <c r="M2032" s="4"/>
      <c r="N2032" s="3" t="s">
        <v>37</v>
      </c>
      <c r="O2032" s="3" t="s">
        <v>38</v>
      </c>
      <c r="P2032" s="5">
        <v>13</v>
      </c>
      <c r="Q2032" s="5">
        <v>334</v>
      </c>
      <c r="R2032" s="5">
        <v>13</v>
      </c>
      <c r="S2032" s="5">
        <v>337</v>
      </c>
    </row>
    <row r="2033" spans="1:19" ht="28" x14ac:dyDescent="0.15">
      <c r="A2033" s="2">
        <f>HYPERLINK("https://open-school.uspishnemisto.com.ua/school/120461/", 120461)</f>
        <v>120461</v>
      </c>
      <c r="B2033" s="3" t="s">
        <v>10668</v>
      </c>
      <c r="C2033" s="3" t="s">
        <v>31</v>
      </c>
      <c r="D2033" s="3" t="s">
        <v>32</v>
      </c>
      <c r="E2033" s="4" t="s">
        <v>22</v>
      </c>
      <c r="F2033" s="4" t="s">
        <v>10615</v>
      </c>
      <c r="G2033" s="4" t="s">
        <v>10598</v>
      </c>
      <c r="H2033" s="3" t="s">
        <v>8487</v>
      </c>
      <c r="I2033" s="3" t="s">
        <v>10599</v>
      </c>
      <c r="J2033" s="3" t="s">
        <v>10669</v>
      </c>
      <c r="K2033" s="3" t="s">
        <v>10670</v>
      </c>
      <c r="L2033" s="3" t="s">
        <v>10671</v>
      </c>
      <c r="M2033" s="4"/>
      <c r="N2033" s="3" t="s">
        <v>37</v>
      </c>
      <c r="O2033" s="3" t="s">
        <v>70</v>
      </c>
      <c r="P2033" s="5">
        <v>17</v>
      </c>
      <c r="Q2033" s="5">
        <v>439</v>
      </c>
      <c r="R2033" s="5">
        <v>18</v>
      </c>
      <c r="S2033" s="5">
        <v>443</v>
      </c>
    </row>
    <row r="2034" spans="1:19" ht="28" x14ac:dyDescent="0.15">
      <c r="A2034" s="2">
        <f>HYPERLINK("https://open-school.uspishnemisto.com.ua/school/120462/", 120462)</f>
        <v>120462</v>
      </c>
      <c r="B2034" s="3" t="s">
        <v>10672</v>
      </c>
      <c r="C2034" s="3" t="s">
        <v>31</v>
      </c>
      <c r="D2034" s="3" t="s">
        <v>32</v>
      </c>
      <c r="E2034" s="4" t="s">
        <v>22</v>
      </c>
      <c r="F2034" s="4" t="s">
        <v>10605</v>
      </c>
      <c r="G2034" s="4" t="s">
        <v>10598</v>
      </c>
      <c r="H2034" s="3" t="s">
        <v>8487</v>
      </c>
      <c r="I2034" s="3" t="s">
        <v>10599</v>
      </c>
      <c r="J2034" s="3" t="s">
        <v>10673</v>
      </c>
      <c r="K2034" s="3" t="s">
        <v>10674</v>
      </c>
      <c r="L2034" s="3"/>
      <c r="M2034" s="4" t="s">
        <v>10675</v>
      </c>
      <c r="N2034" s="3" t="s">
        <v>128</v>
      </c>
      <c r="O2034" s="3" t="s">
        <v>123</v>
      </c>
      <c r="P2034" s="5">
        <v>42</v>
      </c>
      <c r="Q2034" s="5">
        <v>1243</v>
      </c>
      <c r="R2034" s="5">
        <v>40</v>
      </c>
      <c r="S2034" s="5">
        <v>1155</v>
      </c>
    </row>
    <row r="2035" spans="1:19" ht="28" x14ac:dyDescent="0.15">
      <c r="A2035" s="2">
        <f>HYPERLINK("https://open-school.uspishnemisto.com.ua/school/120463/", 120463)</f>
        <v>120463</v>
      </c>
      <c r="B2035" s="3" t="s">
        <v>10676</v>
      </c>
      <c r="C2035" s="3" t="s">
        <v>188</v>
      </c>
      <c r="D2035" s="3" t="s">
        <v>32</v>
      </c>
      <c r="E2035" s="4" t="s">
        <v>22</v>
      </c>
      <c r="F2035" s="4" t="s">
        <v>10605</v>
      </c>
      <c r="G2035" s="4" t="s">
        <v>10598</v>
      </c>
      <c r="H2035" s="3" t="s">
        <v>8487</v>
      </c>
      <c r="I2035" s="3" t="s">
        <v>10599</v>
      </c>
      <c r="J2035" s="3" t="s">
        <v>10677</v>
      </c>
      <c r="K2035" s="3" t="s">
        <v>10678</v>
      </c>
      <c r="L2035" s="3" t="s">
        <v>10679</v>
      </c>
      <c r="M2035" s="4"/>
      <c r="N2035" s="3" t="s">
        <v>37</v>
      </c>
      <c r="O2035" s="3" t="s">
        <v>70</v>
      </c>
      <c r="P2035" s="5">
        <v>22</v>
      </c>
      <c r="Q2035" s="5">
        <v>556</v>
      </c>
      <c r="R2035" s="5">
        <v>22</v>
      </c>
      <c r="S2035" s="5">
        <v>578</v>
      </c>
    </row>
    <row r="2036" spans="1:19" ht="56" x14ac:dyDescent="0.15">
      <c r="A2036" s="2">
        <f>HYPERLINK("https://open-school.uspishnemisto.com.ua/school/120464/", 120464)</f>
        <v>120464</v>
      </c>
      <c r="B2036" s="3" t="s">
        <v>10680</v>
      </c>
      <c r="C2036" s="3" t="s">
        <v>54</v>
      </c>
      <c r="D2036" s="3" t="s">
        <v>175</v>
      </c>
      <c r="E2036" s="4" t="s">
        <v>22</v>
      </c>
      <c r="F2036" s="4" t="s">
        <v>10605</v>
      </c>
      <c r="G2036" s="4" t="s">
        <v>10598</v>
      </c>
      <c r="H2036" s="3" t="s">
        <v>8487</v>
      </c>
      <c r="I2036" s="3" t="s">
        <v>10599</v>
      </c>
      <c r="J2036" s="3" t="s">
        <v>10681</v>
      </c>
      <c r="K2036" s="3" t="s">
        <v>8004</v>
      </c>
      <c r="L2036" s="3" t="s">
        <v>10682</v>
      </c>
      <c r="M2036" s="4"/>
      <c r="N2036" s="3" t="s">
        <v>37</v>
      </c>
      <c r="O2036" s="3" t="s">
        <v>38</v>
      </c>
      <c r="P2036" s="5">
        <v>9</v>
      </c>
      <c r="Q2036" s="5">
        <v>118</v>
      </c>
      <c r="R2036" s="5">
        <v>9</v>
      </c>
      <c r="S2036" s="5">
        <v>116</v>
      </c>
    </row>
    <row r="2037" spans="1:19" ht="56" x14ac:dyDescent="0.15">
      <c r="A2037" s="2">
        <f>HYPERLINK("https://open-school.uspishnemisto.com.ua/school/120465/", 120465)</f>
        <v>120465</v>
      </c>
      <c r="B2037" s="3" t="s">
        <v>10683</v>
      </c>
      <c r="C2037" s="3" t="s">
        <v>54</v>
      </c>
      <c r="D2037" s="3" t="s">
        <v>32</v>
      </c>
      <c r="E2037" s="4" t="s">
        <v>22</v>
      </c>
      <c r="F2037" s="4" t="s">
        <v>10605</v>
      </c>
      <c r="G2037" s="4" t="s">
        <v>10598</v>
      </c>
      <c r="H2037" s="3" t="s">
        <v>8487</v>
      </c>
      <c r="I2037" s="3" t="s">
        <v>10599</v>
      </c>
      <c r="J2037" s="3" t="s">
        <v>10684</v>
      </c>
      <c r="K2037" s="3" t="s">
        <v>10685</v>
      </c>
      <c r="L2037" s="3" t="s">
        <v>10686</v>
      </c>
      <c r="M2037" s="4"/>
      <c r="N2037" s="3" t="s">
        <v>128</v>
      </c>
      <c r="O2037" s="3" t="s">
        <v>721</v>
      </c>
      <c r="P2037" s="5">
        <v>17</v>
      </c>
      <c r="Q2037" s="5">
        <v>468</v>
      </c>
      <c r="R2037" s="5">
        <v>17</v>
      </c>
      <c r="S2037" s="5">
        <v>449</v>
      </c>
    </row>
    <row r="2038" spans="1:19" ht="42" x14ac:dyDescent="0.15">
      <c r="A2038" s="2">
        <f>HYPERLINK("https://open-school.uspishnemisto.com.ua/school/120466/", 120466)</f>
        <v>120466</v>
      </c>
      <c r="B2038" s="3" t="s">
        <v>10687</v>
      </c>
      <c r="C2038" s="3" t="s">
        <v>181</v>
      </c>
      <c r="D2038" s="3" t="s">
        <v>175</v>
      </c>
      <c r="E2038" s="4" t="s">
        <v>22</v>
      </c>
      <c r="F2038" s="4" t="s">
        <v>10688</v>
      </c>
      <c r="G2038" s="4" t="s">
        <v>10689</v>
      </c>
      <c r="H2038" s="3" t="s">
        <v>8487</v>
      </c>
      <c r="I2038" s="3" t="s">
        <v>10690</v>
      </c>
      <c r="J2038" s="3" t="s">
        <v>1668</v>
      </c>
      <c r="K2038" s="3" t="s">
        <v>10691</v>
      </c>
      <c r="L2038" s="3"/>
      <c r="M2038" s="4" t="s">
        <v>10692</v>
      </c>
      <c r="N2038" s="3" t="s">
        <v>37</v>
      </c>
      <c r="O2038" s="3"/>
      <c r="P2038" s="5">
        <v>13</v>
      </c>
      <c r="Q2038" s="5">
        <v>114</v>
      </c>
      <c r="R2038" s="5">
        <v>13</v>
      </c>
      <c r="S2038" s="5">
        <v>118</v>
      </c>
    </row>
    <row r="2039" spans="1:19" ht="28" x14ac:dyDescent="0.15">
      <c r="A2039" s="2">
        <f>HYPERLINK("https://open-school.uspishnemisto.com.ua/school/120467/", 120467)</f>
        <v>120467</v>
      </c>
      <c r="B2039" s="3" t="s">
        <v>10693</v>
      </c>
      <c r="C2039" s="3" t="s">
        <v>31</v>
      </c>
      <c r="D2039" s="3" t="s">
        <v>32</v>
      </c>
      <c r="E2039" s="4" t="s">
        <v>22</v>
      </c>
      <c r="F2039" s="4" t="s">
        <v>10688</v>
      </c>
      <c r="G2039" s="4" t="s">
        <v>10689</v>
      </c>
      <c r="H2039" s="3" t="s">
        <v>8487</v>
      </c>
      <c r="I2039" s="3" t="s">
        <v>10690</v>
      </c>
      <c r="J2039" s="3" t="s">
        <v>10694</v>
      </c>
      <c r="K2039" s="3" t="s">
        <v>10695</v>
      </c>
      <c r="L2039" s="3" t="s">
        <v>10696</v>
      </c>
      <c r="M2039" s="4"/>
      <c r="N2039" s="3" t="s">
        <v>967</v>
      </c>
      <c r="O2039" s="3" t="s">
        <v>46</v>
      </c>
      <c r="P2039" s="5">
        <v>21</v>
      </c>
      <c r="Q2039" s="5">
        <v>413</v>
      </c>
      <c r="R2039" s="5">
        <v>19</v>
      </c>
      <c r="S2039" s="5">
        <v>398</v>
      </c>
    </row>
    <row r="2040" spans="1:19" ht="28" x14ac:dyDescent="0.15">
      <c r="A2040" s="2">
        <f>HYPERLINK("https://open-school.uspishnemisto.com.ua/school/120468/", 120468)</f>
        <v>120468</v>
      </c>
      <c r="B2040" s="3" t="s">
        <v>10697</v>
      </c>
      <c r="C2040" s="3" t="s">
        <v>31</v>
      </c>
      <c r="D2040" s="3" t="s">
        <v>32</v>
      </c>
      <c r="E2040" s="4" t="s">
        <v>22</v>
      </c>
      <c r="F2040" s="4" t="s">
        <v>10688</v>
      </c>
      <c r="G2040" s="4" t="s">
        <v>10689</v>
      </c>
      <c r="H2040" s="3" t="s">
        <v>8487</v>
      </c>
      <c r="I2040" s="3" t="s">
        <v>10690</v>
      </c>
      <c r="J2040" s="3" t="s">
        <v>10698</v>
      </c>
      <c r="K2040" s="3" t="s">
        <v>10699</v>
      </c>
      <c r="L2040" s="3" t="s">
        <v>10700</v>
      </c>
      <c r="M2040" s="4"/>
      <c r="N2040" s="3" t="s">
        <v>37</v>
      </c>
      <c r="O2040" s="3" t="s">
        <v>721</v>
      </c>
      <c r="P2040" s="5">
        <v>20</v>
      </c>
      <c r="Q2040" s="5">
        <v>447</v>
      </c>
      <c r="R2040" s="5">
        <v>20</v>
      </c>
      <c r="S2040" s="5">
        <v>466</v>
      </c>
    </row>
    <row r="2041" spans="1:19" ht="28" x14ac:dyDescent="0.15">
      <c r="A2041" s="2">
        <f>HYPERLINK("https://open-school.uspishnemisto.com.ua/school/120469/", 120469)</f>
        <v>120469</v>
      </c>
      <c r="B2041" s="3" t="s">
        <v>10701</v>
      </c>
      <c r="C2041" s="3" t="s">
        <v>31</v>
      </c>
      <c r="D2041" s="3" t="s">
        <v>32</v>
      </c>
      <c r="E2041" s="4" t="s">
        <v>22</v>
      </c>
      <c r="F2041" s="4" t="s">
        <v>10688</v>
      </c>
      <c r="G2041" s="4" t="s">
        <v>10689</v>
      </c>
      <c r="H2041" s="3" t="s">
        <v>8487</v>
      </c>
      <c r="I2041" s="3" t="s">
        <v>10690</v>
      </c>
      <c r="J2041" s="3" t="s">
        <v>10702</v>
      </c>
      <c r="K2041" s="3" t="s">
        <v>10703</v>
      </c>
      <c r="L2041" s="3" t="s">
        <v>10704</v>
      </c>
      <c r="M2041" s="4"/>
      <c r="N2041" s="3" t="s">
        <v>37</v>
      </c>
      <c r="O2041" s="3" t="s">
        <v>721</v>
      </c>
      <c r="P2041" s="5">
        <v>31</v>
      </c>
      <c r="Q2041" s="5">
        <v>787</v>
      </c>
      <c r="R2041" s="5">
        <v>31</v>
      </c>
      <c r="S2041" s="5">
        <v>776</v>
      </c>
    </row>
    <row r="2042" spans="1:19" ht="28" x14ac:dyDescent="0.15">
      <c r="A2042" s="2">
        <f>HYPERLINK("https://open-school.uspishnemisto.com.ua/school/120470/", 120470)</f>
        <v>120470</v>
      </c>
      <c r="B2042" s="3" t="s">
        <v>10705</v>
      </c>
      <c r="C2042" s="3" t="s">
        <v>31</v>
      </c>
      <c r="D2042" s="3" t="s">
        <v>32</v>
      </c>
      <c r="E2042" s="4" t="s">
        <v>22</v>
      </c>
      <c r="F2042" s="4" t="s">
        <v>10706</v>
      </c>
      <c r="G2042" s="4" t="s">
        <v>10689</v>
      </c>
      <c r="H2042" s="3" t="s">
        <v>8487</v>
      </c>
      <c r="I2042" s="3" t="s">
        <v>10690</v>
      </c>
      <c r="J2042" s="3" t="s">
        <v>10707</v>
      </c>
      <c r="K2042" s="3" t="s">
        <v>10708</v>
      </c>
      <c r="L2042" s="3" t="s">
        <v>10709</v>
      </c>
      <c r="M2042" s="4"/>
      <c r="N2042" s="3" t="s">
        <v>967</v>
      </c>
      <c r="O2042" s="3" t="s">
        <v>52</v>
      </c>
      <c r="P2042" s="5">
        <v>31</v>
      </c>
      <c r="Q2042" s="5">
        <v>774</v>
      </c>
      <c r="R2042" s="5">
        <v>30</v>
      </c>
      <c r="S2042" s="5">
        <v>766</v>
      </c>
    </row>
    <row r="2043" spans="1:19" ht="28" x14ac:dyDescent="0.15">
      <c r="A2043" s="2">
        <f>HYPERLINK("https://open-school.uspishnemisto.com.ua/school/120471/", 120471)</f>
        <v>120471</v>
      </c>
      <c r="B2043" s="3" t="s">
        <v>10710</v>
      </c>
      <c r="C2043" s="3" t="s">
        <v>31</v>
      </c>
      <c r="D2043" s="3" t="s">
        <v>32</v>
      </c>
      <c r="E2043" s="4" t="s">
        <v>22</v>
      </c>
      <c r="F2043" s="4" t="s">
        <v>10688</v>
      </c>
      <c r="G2043" s="4" t="s">
        <v>10689</v>
      </c>
      <c r="H2043" s="3" t="s">
        <v>8487</v>
      </c>
      <c r="I2043" s="3" t="s">
        <v>10690</v>
      </c>
      <c r="J2043" s="3" t="s">
        <v>10711</v>
      </c>
      <c r="K2043" s="3" t="s">
        <v>10712</v>
      </c>
      <c r="L2043" s="3" t="s">
        <v>10713</v>
      </c>
      <c r="M2043" s="4"/>
      <c r="N2043" s="3" t="s">
        <v>37</v>
      </c>
      <c r="O2043" s="3" t="s">
        <v>721</v>
      </c>
      <c r="P2043" s="5">
        <v>20</v>
      </c>
      <c r="Q2043" s="5">
        <v>452</v>
      </c>
      <c r="R2043" s="5">
        <v>19</v>
      </c>
      <c r="S2043" s="5">
        <v>445</v>
      </c>
    </row>
    <row r="2044" spans="1:19" ht="42" x14ac:dyDescent="0.15">
      <c r="A2044" s="2">
        <f>HYPERLINK("https://open-school.uspishnemisto.com.ua/school/120472/", 120472)</f>
        <v>120472</v>
      </c>
      <c r="B2044" s="3" t="s">
        <v>10714</v>
      </c>
      <c r="C2044" s="3" t="s">
        <v>20</v>
      </c>
      <c r="D2044" s="3" t="s">
        <v>21</v>
      </c>
      <c r="E2044" s="4" t="s">
        <v>22</v>
      </c>
      <c r="F2044" s="4" t="s">
        <v>10715</v>
      </c>
      <c r="G2044" s="4" t="s">
        <v>10716</v>
      </c>
      <c r="H2044" s="3" t="s">
        <v>8487</v>
      </c>
      <c r="I2044" s="3" t="s">
        <v>10717</v>
      </c>
      <c r="J2044" s="3" t="s">
        <v>10718</v>
      </c>
      <c r="K2044" s="3" t="s">
        <v>10719</v>
      </c>
      <c r="L2044" s="3"/>
      <c r="M2044" s="4"/>
      <c r="N2044" s="3"/>
      <c r="O2044" s="3"/>
      <c r="P2044" s="5">
        <v>0</v>
      </c>
      <c r="Q2044" s="5">
        <v>0</v>
      </c>
      <c r="R2044" s="5"/>
      <c r="S2044" s="5"/>
    </row>
    <row r="2045" spans="1:19" ht="28" x14ac:dyDescent="0.15">
      <c r="A2045" s="2">
        <f>HYPERLINK("https://open-school.uspishnemisto.com.ua/school/120473/", 120473)</f>
        <v>120473</v>
      </c>
      <c r="B2045" s="3" t="s">
        <v>10720</v>
      </c>
      <c r="C2045" s="3" t="s">
        <v>31</v>
      </c>
      <c r="D2045" s="3" t="s">
        <v>32</v>
      </c>
      <c r="E2045" s="4" t="s">
        <v>22</v>
      </c>
      <c r="F2045" s="4" t="s">
        <v>10721</v>
      </c>
      <c r="G2045" s="4" t="s">
        <v>10716</v>
      </c>
      <c r="H2045" s="3" t="s">
        <v>8487</v>
      </c>
      <c r="I2045" s="3" t="s">
        <v>10717</v>
      </c>
      <c r="J2045" s="3" t="s">
        <v>10722</v>
      </c>
      <c r="K2045" s="3" t="s">
        <v>10723</v>
      </c>
      <c r="L2045" s="3" t="s">
        <v>10724</v>
      </c>
      <c r="M2045" s="4"/>
      <c r="N2045" s="3" t="s">
        <v>37</v>
      </c>
      <c r="O2045" s="3" t="s">
        <v>38</v>
      </c>
      <c r="P2045" s="5">
        <v>12</v>
      </c>
      <c r="Q2045" s="5">
        <v>347</v>
      </c>
      <c r="R2045" s="5">
        <v>13</v>
      </c>
      <c r="S2045" s="5">
        <v>343</v>
      </c>
    </row>
    <row r="2046" spans="1:19" ht="28" x14ac:dyDescent="0.15">
      <c r="A2046" s="2">
        <f>HYPERLINK("https://open-school.uspishnemisto.com.ua/school/120474/", 120474)</f>
        <v>120474</v>
      </c>
      <c r="B2046" s="3" t="s">
        <v>10725</v>
      </c>
      <c r="C2046" s="3" t="s">
        <v>31</v>
      </c>
      <c r="D2046" s="3" t="s">
        <v>32</v>
      </c>
      <c r="E2046" s="4" t="s">
        <v>22</v>
      </c>
      <c r="F2046" s="4" t="s">
        <v>10721</v>
      </c>
      <c r="G2046" s="4" t="s">
        <v>10716</v>
      </c>
      <c r="H2046" s="3" t="s">
        <v>8487</v>
      </c>
      <c r="I2046" s="3" t="s">
        <v>10717</v>
      </c>
      <c r="J2046" s="3" t="s">
        <v>10726</v>
      </c>
      <c r="K2046" s="3" t="s">
        <v>10727</v>
      </c>
      <c r="L2046" s="3" t="s">
        <v>10728</v>
      </c>
      <c r="M2046" s="4"/>
      <c r="N2046" s="3" t="s">
        <v>37</v>
      </c>
      <c r="O2046" s="3" t="s">
        <v>52</v>
      </c>
      <c r="P2046" s="5">
        <v>20</v>
      </c>
      <c r="Q2046" s="5">
        <v>540</v>
      </c>
      <c r="R2046" s="5">
        <v>20</v>
      </c>
      <c r="S2046" s="5">
        <v>525</v>
      </c>
    </row>
    <row r="2047" spans="1:19" ht="28" x14ac:dyDescent="0.15">
      <c r="A2047" s="2">
        <f>HYPERLINK("https://open-school.uspishnemisto.com.ua/school/120475/", 120475)</f>
        <v>120475</v>
      </c>
      <c r="B2047" s="3" t="s">
        <v>10729</v>
      </c>
      <c r="C2047" s="3" t="s">
        <v>31</v>
      </c>
      <c r="D2047" s="3" t="s">
        <v>32</v>
      </c>
      <c r="E2047" s="4" t="s">
        <v>22</v>
      </c>
      <c r="F2047" s="4" t="s">
        <v>10721</v>
      </c>
      <c r="G2047" s="4" t="s">
        <v>10716</v>
      </c>
      <c r="H2047" s="3" t="s">
        <v>8487</v>
      </c>
      <c r="I2047" s="3" t="s">
        <v>10717</v>
      </c>
      <c r="J2047" s="3" t="s">
        <v>10730</v>
      </c>
      <c r="K2047" s="3" t="s">
        <v>10731</v>
      </c>
      <c r="L2047" s="3" t="s">
        <v>10732</v>
      </c>
      <c r="M2047" s="4"/>
      <c r="N2047" s="3" t="s">
        <v>37</v>
      </c>
      <c r="O2047" s="3" t="s">
        <v>38</v>
      </c>
      <c r="P2047" s="5">
        <v>17</v>
      </c>
      <c r="Q2047" s="5">
        <v>435</v>
      </c>
      <c r="R2047" s="5">
        <v>17</v>
      </c>
      <c r="S2047" s="5">
        <v>439</v>
      </c>
    </row>
    <row r="2048" spans="1:19" ht="28" x14ac:dyDescent="0.15">
      <c r="A2048" s="2">
        <f>HYPERLINK("https://open-school.uspishnemisto.com.ua/school/120476/", 120476)</f>
        <v>120476</v>
      </c>
      <c r="B2048" s="3" t="s">
        <v>10733</v>
      </c>
      <c r="C2048" s="3" t="s">
        <v>31</v>
      </c>
      <c r="D2048" s="3" t="s">
        <v>32</v>
      </c>
      <c r="E2048" s="4" t="s">
        <v>22</v>
      </c>
      <c r="F2048" s="4" t="s">
        <v>10721</v>
      </c>
      <c r="G2048" s="4" t="s">
        <v>10716</v>
      </c>
      <c r="H2048" s="3" t="s">
        <v>8487</v>
      </c>
      <c r="I2048" s="3" t="s">
        <v>10717</v>
      </c>
      <c r="J2048" s="3" t="s">
        <v>10734</v>
      </c>
      <c r="K2048" s="3" t="s">
        <v>10735</v>
      </c>
      <c r="L2048" s="3" t="s">
        <v>10736</v>
      </c>
      <c r="M2048" s="4"/>
      <c r="N2048" s="3" t="s">
        <v>128</v>
      </c>
      <c r="O2048" s="3" t="s">
        <v>721</v>
      </c>
      <c r="P2048" s="5">
        <v>39</v>
      </c>
      <c r="Q2048" s="5">
        <v>1037</v>
      </c>
      <c r="R2048" s="5">
        <v>39</v>
      </c>
      <c r="S2048" s="5">
        <v>1028</v>
      </c>
    </row>
    <row r="2049" spans="1:19" ht="28" x14ac:dyDescent="0.15">
      <c r="A2049" s="2">
        <f>HYPERLINK("https://open-school.uspishnemisto.com.ua/school/120477/", 120477)</f>
        <v>120477</v>
      </c>
      <c r="B2049" s="3" t="s">
        <v>10737</v>
      </c>
      <c r="C2049" s="3" t="s">
        <v>31</v>
      </c>
      <c r="D2049" s="3" t="s">
        <v>32</v>
      </c>
      <c r="E2049" s="4" t="s">
        <v>22</v>
      </c>
      <c r="F2049" s="4" t="s">
        <v>10721</v>
      </c>
      <c r="G2049" s="4" t="s">
        <v>10716</v>
      </c>
      <c r="H2049" s="3" t="s">
        <v>8487</v>
      </c>
      <c r="I2049" s="3" t="s">
        <v>10717</v>
      </c>
      <c r="J2049" s="3" t="s">
        <v>3415</v>
      </c>
      <c r="K2049" s="3" t="s">
        <v>10738</v>
      </c>
      <c r="L2049" s="3" t="s">
        <v>10739</v>
      </c>
      <c r="M2049" s="4"/>
      <c r="N2049" s="3" t="s">
        <v>37</v>
      </c>
      <c r="O2049" s="3" t="s">
        <v>52</v>
      </c>
      <c r="P2049" s="5">
        <v>12</v>
      </c>
      <c r="Q2049" s="5">
        <v>331</v>
      </c>
      <c r="R2049" s="5">
        <v>11</v>
      </c>
      <c r="S2049" s="5">
        <v>320</v>
      </c>
    </row>
    <row r="2050" spans="1:19" ht="28" x14ac:dyDescent="0.15">
      <c r="A2050" s="2">
        <f>HYPERLINK("https://open-school.uspishnemisto.com.ua/school/120478/", 120478)</f>
        <v>120478</v>
      </c>
      <c r="B2050" s="3" t="s">
        <v>10740</v>
      </c>
      <c r="C2050" s="3" t="s">
        <v>31</v>
      </c>
      <c r="D2050" s="3" t="s">
        <v>32</v>
      </c>
      <c r="E2050" s="4" t="s">
        <v>22</v>
      </c>
      <c r="F2050" s="4" t="s">
        <v>10741</v>
      </c>
      <c r="G2050" s="4" t="s">
        <v>10716</v>
      </c>
      <c r="H2050" s="3" t="s">
        <v>8487</v>
      </c>
      <c r="I2050" s="3" t="s">
        <v>10717</v>
      </c>
      <c r="J2050" s="3" t="s">
        <v>10742</v>
      </c>
      <c r="K2050" s="3" t="s">
        <v>10743</v>
      </c>
      <c r="L2050" s="3" t="s">
        <v>10744</v>
      </c>
      <c r="M2050" s="4"/>
      <c r="N2050" s="3" t="s">
        <v>37</v>
      </c>
      <c r="O2050" s="3" t="s">
        <v>46</v>
      </c>
      <c r="P2050" s="5">
        <v>15</v>
      </c>
      <c r="Q2050" s="5">
        <v>375</v>
      </c>
      <c r="R2050" s="5">
        <v>16</v>
      </c>
      <c r="S2050" s="5">
        <v>381</v>
      </c>
    </row>
    <row r="2051" spans="1:19" ht="56" x14ac:dyDescent="0.15">
      <c r="A2051" s="2">
        <f>HYPERLINK("https://open-school.uspishnemisto.com.ua/school/120479/", 120479)</f>
        <v>120479</v>
      </c>
      <c r="B2051" s="3" t="s">
        <v>10745</v>
      </c>
      <c r="C2051" s="3" t="s">
        <v>54</v>
      </c>
      <c r="D2051" s="3" t="s">
        <v>32</v>
      </c>
      <c r="E2051" s="4" t="s">
        <v>22</v>
      </c>
      <c r="F2051" s="4" t="s">
        <v>10721</v>
      </c>
      <c r="G2051" s="4" t="s">
        <v>10716</v>
      </c>
      <c r="H2051" s="3" t="s">
        <v>8487</v>
      </c>
      <c r="I2051" s="3" t="s">
        <v>10717</v>
      </c>
      <c r="J2051" s="3" t="s">
        <v>10746</v>
      </c>
      <c r="K2051" s="3" t="s">
        <v>10747</v>
      </c>
      <c r="L2051" s="3" t="s">
        <v>10748</v>
      </c>
      <c r="M2051" s="4"/>
      <c r="N2051" s="3" t="s">
        <v>37</v>
      </c>
      <c r="O2051" s="3" t="s">
        <v>38</v>
      </c>
      <c r="P2051" s="5">
        <v>16</v>
      </c>
      <c r="Q2051" s="5">
        <v>415</v>
      </c>
      <c r="R2051" s="5">
        <v>15</v>
      </c>
      <c r="S2051" s="5">
        <v>383</v>
      </c>
    </row>
    <row r="2052" spans="1:19" ht="28" x14ac:dyDescent="0.15">
      <c r="A2052" s="2">
        <f>HYPERLINK("https://open-school.uspishnemisto.com.ua/school/120480/", 120480)</f>
        <v>120480</v>
      </c>
      <c r="B2052" s="3" t="s">
        <v>10749</v>
      </c>
      <c r="C2052" s="3" t="s">
        <v>31</v>
      </c>
      <c r="D2052" s="3" t="s">
        <v>32</v>
      </c>
      <c r="E2052" s="4" t="s">
        <v>22</v>
      </c>
      <c r="F2052" s="4" t="s">
        <v>10750</v>
      </c>
      <c r="G2052" s="4" t="s">
        <v>10751</v>
      </c>
      <c r="H2052" s="3" t="s">
        <v>8487</v>
      </c>
      <c r="I2052" s="3" t="s">
        <v>753</v>
      </c>
      <c r="J2052" s="3" t="s">
        <v>10752</v>
      </c>
      <c r="K2052" s="3" t="s">
        <v>10753</v>
      </c>
      <c r="L2052" s="3"/>
      <c r="M2052" s="4"/>
      <c r="N2052" s="3" t="s">
        <v>967</v>
      </c>
      <c r="O2052" s="3" t="s">
        <v>52</v>
      </c>
      <c r="P2052" s="5">
        <v>11</v>
      </c>
      <c r="Q2052" s="5">
        <v>212</v>
      </c>
      <c r="R2052" s="5">
        <v>11</v>
      </c>
      <c r="S2052" s="5">
        <v>217</v>
      </c>
    </row>
    <row r="2053" spans="1:19" ht="42" x14ac:dyDescent="0.15">
      <c r="A2053" s="2">
        <f>HYPERLINK("https://open-school.uspishnemisto.com.ua/school/120481/", 120481)</f>
        <v>120481</v>
      </c>
      <c r="B2053" s="3" t="s">
        <v>10754</v>
      </c>
      <c r="C2053" s="3" t="s">
        <v>31</v>
      </c>
      <c r="D2053" s="3" t="s">
        <v>32</v>
      </c>
      <c r="E2053" s="4" t="s">
        <v>22</v>
      </c>
      <c r="F2053" s="4" t="s">
        <v>10750</v>
      </c>
      <c r="G2053" s="4" t="s">
        <v>10751</v>
      </c>
      <c r="H2053" s="3" t="s">
        <v>8487</v>
      </c>
      <c r="I2053" s="3" t="s">
        <v>753</v>
      </c>
      <c r="J2053" s="3" t="s">
        <v>10755</v>
      </c>
      <c r="K2053" s="3" t="s">
        <v>10756</v>
      </c>
      <c r="L2053" s="3" t="s">
        <v>10757</v>
      </c>
      <c r="M2053" s="4"/>
      <c r="N2053" s="3" t="s">
        <v>37</v>
      </c>
      <c r="O2053" s="3" t="s">
        <v>38</v>
      </c>
      <c r="P2053" s="5">
        <v>32</v>
      </c>
      <c r="Q2053" s="5">
        <v>832</v>
      </c>
      <c r="R2053" s="5">
        <v>31</v>
      </c>
      <c r="S2053" s="5">
        <v>828</v>
      </c>
    </row>
    <row r="2054" spans="1:19" ht="42" x14ac:dyDescent="0.15">
      <c r="A2054" s="2">
        <f>HYPERLINK("https://open-school.uspishnemisto.com.ua/school/120482/", 120482)</f>
        <v>120482</v>
      </c>
      <c r="B2054" s="3" t="s">
        <v>10758</v>
      </c>
      <c r="C2054" s="3" t="s">
        <v>31</v>
      </c>
      <c r="D2054" s="3" t="s">
        <v>32</v>
      </c>
      <c r="E2054" s="4" t="s">
        <v>22</v>
      </c>
      <c r="F2054" s="4" t="s">
        <v>10750</v>
      </c>
      <c r="G2054" s="4" t="s">
        <v>10751</v>
      </c>
      <c r="H2054" s="3" t="s">
        <v>8487</v>
      </c>
      <c r="I2054" s="3" t="s">
        <v>753</v>
      </c>
      <c r="J2054" s="3" t="s">
        <v>3544</v>
      </c>
      <c r="K2054" s="3" t="s">
        <v>10759</v>
      </c>
      <c r="L2054" s="3" t="s">
        <v>10760</v>
      </c>
      <c r="M2054" s="4"/>
      <c r="N2054" s="3" t="s">
        <v>967</v>
      </c>
      <c r="O2054" s="3" t="s">
        <v>2740</v>
      </c>
      <c r="P2054" s="5">
        <v>20</v>
      </c>
      <c r="Q2054" s="5">
        <v>502</v>
      </c>
      <c r="R2054" s="5">
        <v>20</v>
      </c>
      <c r="S2054" s="5">
        <v>500</v>
      </c>
    </row>
    <row r="2055" spans="1:19" ht="42" x14ac:dyDescent="0.15">
      <c r="A2055" s="2">
        <f>HYPERLINK("https://open-school.uspishnemisto.com.ua/school/120483/", 120483)</f>
        <v>120483</v>
      </c>
      <c r="B2055" s="3" t="s">
        <v>10761</v>
      </c>
      <c r="C2055" s="3" t="s">
        <v>31</v>
      </c>
      <c r="D2055" s="3" t="s">
        <v>32</v>
      </c>
      <c r="E2055" s="4" t="s">
        <v>22</v>
      </c>
      <c r="F2055" s="4" t="s">
        <v>10750</v>
      </c>
      <c r="G2055" s="4" t="s">
        <v>10751</v>
      </c>
      <c r="H2055" s="3" t="s">
        <v>8487</v>
      </c>
      <c r="I2055" s="3" t="s">
        <v>753</v>
      </c>
      <c r="J2055" s="3" t="s">
        <v>3013</v>
      </c>
      <c r="K2055" s="3" t="s">
        <v>10762</v>
      </c>
      <c r="L2055" s="3" t="s">
        <v>10763</v>
      </c>
      <c r="M2055" s="4"/>
      <c r="N2055" s="3" t="s">
        <v>37</v>
      </c>
      <c r="O2055" s="3" t="s">
        <v>38</v>
      </c>
      <c r="P2055" s="5">
        <v>25</v>
      </c>
      <c r="Q2055" s="5">
        <v>644</v>
      </c>
      <c r="R2055" s="5">
        <v>24</v>
      </c>
      <c r="S2055" s="5">
        <v>629</v>
      </c>
    </row>
    <row r="2056" spans="1:19" ht="42" x14ac:dyDescent="0.15">
      <c r="A2056" s="2">
        <f>HYPERLINK("https://open-school.uspishnemisto.com.ua/school/120484/", 120484)</f>
        <v>120484</v>
      </c>
      <c r="B2056" s="3" t="s">
        <v>10764</v>
      </c>
      <c r="C2056" s="3" t="s">
        <v>31</v>
      </c>
      <c r="D2056" s="3" t="s">
        <v>32</v>
      </c>
      <c r="E2056" s="4" t="s">
        <v>22</v>
      </c>
      <c r="F2056" s="4" t="s">
        <v>10750</v>
      </c>
      <c r="G2056" s="4" t="s">
        <v>10751</v>
      </c>
      <c r="H2056" s="3" t="s">
        <v>8487</v>
      </c>
      <c r="I2056" s="3" t="s">
        <v>753</v>
      </c>
      <c r="J2056" s="3" t="s">
        <v>10765</v>
      </c>
      <c r="K2056" s="3" t="s">
        <v>10766</v>
      </c>
      <c r="L2056" s="3" t="s">
        <v>10767</v>
      </c>
      <c r="M2056" s="4"/>
      <c r="N2056" s="3" t="s">
        <v>967</v>
      </c>
      <c r="O2056" s="3" t="s">
        <v>2740</v>
      </c>
      <c r="P2056" s="5">
        <v>31</v>
      </c>
      <c r="Q2056" s="5">
        <v>862</v>
      </c>
      <c r="R2056" s="5">
        <v>31</v>
      </c>
      <c r="S2056" s="5">
        <v>854</v>
      </c>
    </row>
    <row r="2057" spans="1:19" ht="28" x14ac:dyDescent="0.15">
      <c r="A2057" s="2">
        <f>HYPERLINK("https://open-school.uspishnemisto.com.ua/school/120485/", 120485)</f>
        <v>120485</v>
      </c>
      <c r="B2057" s="3" t="s">
        <v>10768</v>
      </c>
      <c r="C2057" s="3" t="s">
        <v>20</v>
      </c>
      <c r="D2057" s="3" t="s">
        <v>21</v>
      </c>
      <c r="E2057" s="4" t="s">
        <v>22</v>
      </c>
      <c r="F2057" s="4" t="s">
        <v>10769</v>
      </c>
      <c r="G2057" s="4" t="s">
        <v>10770</v>
      </c>
      <c r="H2057" s="3" t="s">
        <v>8487</v>
      </c>
      <c r="I2057" s="3" t="s">
        <v>10771</v>
      </c>
      <c r="J2057" s="3" t="s">
        <v>10772</v>
      </c>
      <c r="K2057" s="3" t="s">
        <v>10773</v>
      </c>
      <c r="L2057" s="3"/>
      <c r="M2057" s="4"/>
      <c r="N2057" s="3"/>
      <c r="O2057" s="3"/>
      <c r="P2057" s="5">
        <v>0</v>
      </c>
      <c r="Q2057" s="5">
        <v>0</v>
      </c>
      <c r="R2057" s="5"/>
      <c r="S2057" s="5"/>
    </row>
    <row r="2058" spans="1:19" ht="28" x14ac:dyDescent="0.15">
      <c r="A2058" s="2">
        <f>HYPERLINK("https://open-school.uspishnemisto.com.ua/school/120486/", 120486)</f>
        <v>120486</v>
      </c>
      <c r="B2058" s="3" t="s">
        <v>10774</v>
      </c>
      <c r="C2058" s="3" t="s">
        <v>31</v>
      </c>
      <c r="D2058" s="3" t="s">
        <v>32</v>
      </c>
      <c r="E2058" s="4" t="s">
        <v>22</v>
      </c>
      <c r="F2058" s="4" t="s">
        <v>10769</v>
      </c>
      <c r="G2058" s="4" t="s">
        <v>10770</v>
      </c>
      <c r="H2058" s="3" t="s">
        <v>8487</v>
      </c>
      <c r="I2058" s="3" t="s">
        <v>10771</v>
      </c>
      <c r="J2058" s="3" t="s">
        <v>10775</v>
      </c>
      <c r="K2058" s="3" t="s">
        <v>10776</v>
      </c>
      <c r="L2058" s="3" t="s">
        <v>10777</v>
      </c>
      <c r="M2058" s="4"/>
      <c r="N2058" s="3" t="s">
        <v>37</v>
      </c>
      <c r="O2058" s="3" t="s">
        <v>52</v>
      </c>
      <c r="P2058" s="5">
        <v>23</v>
      </c>
      <c r="Q2058" s="5">
        <v>540</v>
      </c>
      <c r="R2058" s="5">
        <v>22</v>
      </c>
      <c r="S2058" s="5">
        <v>528</v>
      </c>
    </row>
    <row r="2059" spans="1:19" ht="56" x14ac:dyDescent="0.15">
      <c r="A2059" s="2">
        <f>HYPERLINK("https://open-school.uspishnemisto.com.ua/school/120487/", 120487)</f>
        <v>120487</v>
      </c>
      <c r="B2059" s="3" t="s">
        <v>10778</v>
      </c>
      <c r="C2059" s="3" t="s">
        <v>31</v>
      </c>
      <c r="D2059" s="3" t="s">
        <v>32</v>
      </c>
      <c r="E2059" s="4" t="s">
        <v>22</v>
      </c>
      <c r="F2059" s="4" t="s">
        <v>10769</v>
      </c>
      <c r="G2059" s="4" t="s">
        <v>10770</v>
      </c>
      <c r="H2059" s="3" t="s">
        <v>8487</v>
      </c>
      <c r="I2059" s="3" t="s">
        <v>10771</v>
      </c>
      <c r="J2059" s="3" t="s">
        <v>10779</v>
      </c>
      <c r="K2059" s="3" t="s">
        <v>10780</v>
      </c>
      <c r="L2059" s="3" t="s">
        <v>10781</v>
      </c>
      <c r="M2059" s="4"/>
      <c r="N2059" s="3" t="s">
        <v>37</v>
      </c>
      <c r="O2059" s="3" t="s">
        <v>52</v>
      </c>
      <c r="P2059" s="5">
        <v>39</v>
      </c>
      <c r="Q2059" s="5">
        <v>657</v>
      </c>
      <c r="R2059" s="5">
        <v>21</v>
      </c>
      <c r="S2059" s="5">
        <v>452</v>
      </c>
    </row>
    <row r="2060" spans="1:19" ht="42" x14ac:dyDescent="0.15">
      <c r="A2060" s="2">
        <f>HYPERLINK("https://open-school.uspishnemisto.com.ua/school/120488/", 120488)</f>
        <v>120488</v>
      </c>
      <c r="B2060" s="3" t="s">
        <v>10782</v>
      </c>
      <c r="C2060" s="3" t="s">
        <v>31</v>
      </c>
      <c r="D2060" s="3" t="s">
        <v>32</v>
      </c>
      <c r="E2060" s="4" t="s">
        <v>22</v>
      </c>
      <c r="F2060" s="4" t="s">
        <v>10769</v>
      </c>
      <c r="G2060" s="4" t="s">
        <v>10770</v>
      </c>
      <c r="H2060" s="3" t="s">
        <v>8487</v>
      </c>
      <c r="I2060" s="3" t="s">
        <v>10771</v>
      </c>
      <c r="J2060" s="3" t="s">
        <v>10783</v>
      </c>
      <c r="K2060" s="3" t="s">
        <v>10784</v>
      </c>
      <c r="L2060" s="3" t="s">
        <v>10785</v>
      </c>
      <c r="M2060" s="4"/>
      <c r="N2060" s="3" t="s">
        <v>37</v>
      </c>
      <c r="O2060" s="3" t="s">
        <v>52</v>
      </c>
      <c r="P2060" s="5">
        <v>32</v>
      </c>
      <c r="Q2060" s="5">
        <v>680</v>
      </c>
      <c r="R2060" s="5">
        <v>32</v>
      </c>
      <c r="S2060" s="5">
        <v>713</v>
      </c>
    </row>
    <row r="2061" spans="1:19" ht="42" x14ac:dyDescent="0.15">
      <c r="A2061" s="2">
        <f>HYPERLINK("https://open-school.uspishnemisto.com.ua/school/120489/", 120489)</f>
        <v>120489</v>
      </c>
      <c r="B2061" s="3" t="s">
        <v>10786</v>
      </c>
      <c r="C2061" s="3" t="s">
        <v>31</v>
      </c>
      <c r="D2061" s="3" t="s">
        <v>32</v>
      </c>
      <c r="E2061" s="4" t="s">
        <v>22</v>
      </c>
      <c r="F2061" s="4" t="s">
        <v>10787</v>
      </c>
      <c r="G2061" s="4" t="s">
        <v>10788</v>
      </c>
      <c r="H2061" s="3" t="s">
        <v>8487</v>
      </c>
      <c r="I2061" s="3" t="s">
        <v>10789</v>
      </c>
      <c r="J2061" s="3" t="s">
        <v>297</v>
      </c>
      <c r="K2061" s="3" t="s">
        <v>10790</v>
      </c>
      <c r="L2061" s="3" t="s">
        <v>10791</v>
      </c>
      <c r="M2061" s="4"/>
      <c r="N2061" s="3" t="s">
        <v>37</v>
      </c>
      <c r="O2061" s="3" t="s">
        <v>52</v>
      </c>
      <c r="P2061" s="5">
        <v>11</v>
      </c>
      <c r="Q2061" s="5">
        <v>91</v>
      </c>
      <c r="R2061" s="5">
        <v>11</v>
      </c>
      <c r="S2061" s="5">
        <v>91</v>
      </c>
    </row>
    <row r="2062" spans="1:19" ht="28" x14ac:dyDescent="0.15">
      <c r="A2062" s="2">
        <f>HYPERLINK("https://open-school.uspishnemisto.com.ua/school/120490/", 120490)</f>
        <v>120490</v>
      </c>
      <c r="B2062" s="3" t="s">
        <v>10792</v>
      </c>
      <c r="C2062" s="3" t="s">
        <v>48</v>
      </c>
      <c r="D2062" s="3" t="s">
        <v>32</v>
      </c>
      <c r="E2062" s="4" t="s">
        <v>22</v>
      </c>
      <c r="F2062" s="4" t="s">
        <v>10793</v>
      </c>
      <c r="G2062" s="4" t="s">
        <v>10794</v>
      </c>
      <c r="H2062" s="3" t="s">
        <v>8487</v>
      </c>
      <c r="I2062" s="3" t="s">
        <v>10795</v>
      </c>
      <c r="J2062" s="3" t="s">
        <v>10796</v>
      </c>
      <c r="K2062" s="3" t="s">
        <v>10797</v>
      </c>
      <c r="L2062" s="3" t="s">
        <v>10798</v>
      </c>
      <c r="M2062" s="4"/>
      <c r="N2062" s="3" t="s">
        <v>37</v>
      </c>
      <c r="O2062" s="3" t="s">
        <v>52</v>
      </c>
      <c r="P2062" s="5">
        <v>8</v>
      </c>
      <c r="Q2062" s="5">
        <v>138</v>
      </c>
      <c r="R2062" s="5">
        <v>8</v>
      </c>
      <c r="S2062" s="5">
        <v>136</v>
      </c>
    </row>
    <row r="2063" spans="1:19" ht="42" x14ac:dyDescent="0.15">
      <c r="A2063" s="2">
        <f>HYPERLINK("https://open-school.uspishnemisto.com.ua/school/120491/", 120491)</f>
        <v>120491</v>
      </c>
      <c r="B2063" s="3" t="s">
        <v>10799</v>
      </c>
      <c r="C2063" s="3" t="s">
        <v>31</v>
      </c>
      <c r="D2063" s="3" t="s">
        <v>32</v>
      </c>
      <c r="E2063" s="4" t="s">
        <v>22</v>
      </c>
      <c r="F2063" s="4" t="s">
        <v>10793</v>
      </c>
      <c r="G2063" s="4" t="s">
        <v>10794</v>
      </c>
      <c r="H2063" s="3" t="s">
        <v>8487</v>
      </c>
      <c r="I2063" s="3" t="s">
        <v>10795</v>
      </c>
      <c r="J2063" s="3" t="s">
        <v>2638</v>
      </c>
      <c r="K2063" s="3" t="s">
        <v>10800</v>
      </c>
      <c r="L2063" s="3" t="s">
        <v>10801</v>
      </c>
      <c r="M2063" s="4"/>
      <c r="N2063" s="3" t="s">
        <v>37</v>
      </c>
      <c r="O2063" s="3" t="s">
        <v>52</v>
      </c>
      <c r="P2063" s="5">
        <v>25</v>
      </c>
      <c r="Q2063" s="5">
        <v>571</v>
      </c>
      <c r="R2063" s="5">
        <v>25</v>
      </c>
      <c r="S2063" s="5">
        <v>596</v>
      </c>
    </row>
    <row r="2064" spans="1:19" ht="42" x14ac:dyDescent="0.15">
      <c r="A2064" s="2">
        <f>HYPERLINK("https://open-school.uspishnemisto.com.ua/school/120492/", 120492)</f>
        <v>120492</v>
      </c>
      <c r="B2064" s="3" t="s">
        <v>10802</v>
      </c>
      <c r="C2064" s="3" t="s">
        <v>31</v>
      </c>
      <c r="D2064" s="3" t="s">
        <v>32</v>
      </c>
      <c r="E2064" s="4" t="s">
        <v>22</v>
      </c>
      <c r="F2064" s="4" t="s">
        <v>10793</v>
      </c>
      <c r="G2064" s="4" t="s">
        <v>10794</v>
      </c>
      <c r="H2064" s="3" t="s">
        <v>8487</v>
      </c>
      <c r="I2064" s="3" t="s">
        <v>10795</v>
      </c>
      <c r="J2064" s="3" t="s">
        <v>10803</v>
      </c>
      <c r="K2064" s="3" t="s">
        <v>10804</v>
      </c>
      <c r="L2064" s="3" t="s">
        <v>10805</v>
      </c>
      <c r="M2064" s="4"/>
      <c r="N2064" s="3" t="s">
        <v>37</v>
      </c>
      <c r="O2064" s="3" t="s">
        <v>38</v>
      </c>
      <c r="P2064" s="5">
        <v>24</v>
      </c>
      <c r="Q2064" s="5">
        <v>527</v>
      </c>
      <c r="R2064" s="5">
        <v>22</v>
      </c>
      <c r="S2064" s="5">
        <v>509</v>
      </c>
    </row>
    <row r="2065" spans="1:19" ht="42" x14ac:dyDescent="0.15">
      <c r="A2065" s="2">
        <f>HYPERLINK("https://open-school.uspishnemisto.com.ua/school/120493/", 120493)</f>
        <v>120493</v>
      </c>
      <c r="B2065" s="3" t="s">
        <v>10806</v>
      </c>
      <c r="C2065" s="3" t="s">
        <v>31</v>
      </c>
      <c r="D2065" s="3" t="s">
        <v>32</v>
      </c>
      <c r="E2065" s="4" t="s">
        <v>22</v>
      </c>
      <c r="F2065" s="4" t="s">
        <v>10807</v>
      </c>
      <c r="G2065" s="4" t="s">
        <v>10808</v>
      </c>
      <c r="H2065" s="3" t="s">
        <v>8487</v>
      </c>
      <c r="I2065" s="3" t="s">
        <v>10809</v>
      </c>
      <c r="J2065" s="3" t="s">
        <v>10810</v>
      </c>
      <c r="K2065" s="3" t="s">
        <v>10811</v>
      </c>
      <c r="L2065" s="3" t="s">
        <v>10812</v>
      </c>
      <c r="M2065" s="4"/>
      <c r="N2065" s="3" t="s">
        <v>37</v>
      </c>
      <c r="O2065" s="3" t="s">
        <v>52</v>
      </c>
      <c r="P2065" s="5">
        <v>11</v>
      </c>
      <c r="Q2065" s="5">
        <v>196</v>
      </c>
      <c r="R2065" s="5">
        <v>11</v>
      </c>
      <c r="S2065" s="5">
        <v>193</v>
      </c>
    </row>
    <row r="2066" spans="1:19" ht="56" x14ac:dyDescent="0.15">
      <c r="A2066" s="2">
        <f>HYPERLINK("https://open-school.uspishnemisto.com.ua/school/120494/", 120494)</f>
        <v>120494</v>
      </c>
      <c r="B2066" s="3" t="s">
        <v>10813</v>
      </c>
      <c r="C2066" s="3" t="s">
        <v>54</v>
      </c>
      <c r="D2066" s="3" t="s">
        <v>175</v>
      </c>
      <c r="E2066" s="4" t="s">
        <v>22</v>
      </c>
      <c r="F2066" s="4" t="s">
        <v>10814</v>
      </c>
      <c r="G2066" s="4" t="s">
        <v>10815</v>
      </c>
      <c r="H2066" s="3" t="s">
        <v>8487</v>
      </c>
      <c r="I2066" s="3" t="s">
        <v>10816</v>
      </c>
      <c r="J2066" s="3" t="s">
        <v>10817</v>
      </c>
      <c r="K2066" s="3" t="s">
        <v>10818</v>
      </c>
      <c r="L2066" s="3"/>
      <c r="M2066" s="4"/>
      <c r="N2066" s="3" t="s">
        <v>37</v>
      </c>
      <c r="O2066" s="3" t="s">
        <v>52</v>
      </c>
      <c r="P2066" s="5">
        <v>0</v>
      </c>
      <c r="Q2066" s="5">
        <v>0</v>
      </c>
      <c r="R2066" s="5">
        <v>9</v>
      </c>
      <c r="S2066" s="5">
        <v>74</v>
      </c>
    </row>
    <row r="2067" spans="1:19" ht="42" x14ac:dyDescent="0.15">
      <c r="A2067" s="2">
        <f>HYPERLINK("https://open-school.uspishnemisto.com.ua/school/120495/", 120495)</f>
        <v>120495</v>
      </c>
      <c r="B2067" s="3" t="s">
        <v>10819</v>
      </c>
      <c r="C2067" s="3" t="s">
        <v>31</v>
      </c>
      <c r="D2067" s="3" t="s">
        <v>32</v>
      </c>
      <c r="E2067" s="4" t="s">
        <v>22</v>
      </c>
      <c r="F2067" s="4" t="s">
        <v>10820</v>
      </c>
      <c r="G2067" s="4" t="s">
        <v>10821</v>
      </c>
      <c r="H2067" s="3" t="s">
        <v>8487</v>
      </c>
      <c r="I2067" s="3" t="s">
        <v>10822</v>
      </c>
      <c r="J2067" s="3" t="s">
        <v>10823</v>
      </c>
      <c r="K2067" s="3" t="s">
        <v>10824</v>
      </c>
      <c r="L2067" s="3" t="s">
        <v>10825</v>
      </c>
      <c r="M2067" s="4"/>
      <c r="N2067" s="3" t="s">
        <v>37</v>
      </c>
      <c r="O2067" s="3" t="s">
        <v>52</v>
      </c>
      <c r="P2067" s="5">
        <v>10</v>
      </c>
      <c r="Q2067" s="5">
        <v>94</v>
      </c>
      <c r="R2067" s="5">
        <v>10</v>
      </c>
      <c r="S2067" s="5">
        <v>97</v>
      </c>
    </row>
    <row r="2068" spans="1:19" ht="42" x14ac:dyDescent="0.15">
      <c r="A2068" s="2">
        <f>HYPERLINK("https://open-school.uspishnemisto.com.ua/school/120496/", 120496)</f>
        <v>120496</v>
      </c>
      <c r="B2068" s="3" t="s">
        <v>10826</v>
      </c>
      <c r="C2068" s="3" t="s">
        <v>31</v>
      </c>
      <c r="D2068" s="3" t="s">
        <v>32</v>
      </c>
      <c r="E2068" s="4" t="s">
        <v>22</v>
      </c>
      <c r="F2068" s="4" t="s">
        <v>10827</v>
      </c>
      <c r="G2068" s="4" t="s">
        <v>10828</v>
      </c>
      <c r="H2068" s="3" t="s">
        <v>8487</v>
      </c>
      <c r="I2068" s="3" t="s">
        <v>10829</v>
      </c>
      <c r="J2068" s="3" t="s">
        <v>10830</v>
      </c>
      <c r="K2068" s="3" t="s">
        <v>10831</v>
      </c>
      <c r="L2068" s="3" t="s">
        <v>10832</v>
      </c>
      <c r="M2068" s="4"/>
      <c r="N2068" s="3" t="s">
        <v>37</v>
      </c>
      <c r="O2068" s="3" t="s">
        <v>38</v>
      </c>
      <c r="P2068" s="5">
        <v>11</v>
      </c>
      <c r="Q2068" s="5">
        <v>124</v>
      </c>
      <c r="R2068" s="5">
        <v>11</v>
      </c>
      <c r="S2068" s="5">
        <v>123</v>
      </c>
    </row>
    <row r="2069" spans="1:19" ht="42" x14ac:dyDescent="0.15">
      <c r="A2069" s="2">
        <f>HYPERLINK("https://open-school.uspishnemisto.com.ua/school/120497/", 120497)</f>
        <v>120497</v>
      </c>
      <c r="B2069" s="3" t="s">
        <v>10833</v>
      </c>
      <c r="C2069" s="3" t="s">
        <v>31</v>
      </c>
      <c r="D2069" s="3" t="s">
        <v>175</v>
      </c>
      <c r="E2069" s="4" t="s">
        <v>22</v>
      </c>
      <c r="F2069" s="4" t="s">
        <v>10834</v>
      </c>
      <c r="G2069" s="4" t="s">
        <v>10835</v>
      </c>
      <c r="H2069" s="3" t="s">
        <v>8487</v>
      </c>
      <c r="I2069" s="3" t="s">
        <v>10836</v>
      </c>
      <c r="J2069" s="3" t="s">
        <v>10837</v>
      </c>
      <c r="K2069" s="3" t="s">
        <v>10838</v>
      </c>
      <c r="L2069" s="3" t="s">
        <v>10839</v>
      </c>
      <c r="M2069" s="4"/>
      <c r="N2069" s="3" t="s">
        <v>967</v>
      </c>
      <c r="O2069" s="3" t="s">
        <v>70</v>
      </c>
      <c r="P2069" s="5">
        <v>6</v>
      </c>
      <c r="Q2069" s="5">
        <v>38</v>
      </c>
      <c r="R2069" s="5">
        <v>6</v>
      </c>
      <c r="S2069" s="5">
        <v>42</v>
      </c>
    </row>
    <row r="2070" spans="1:19" ht="42" x14ac:dyDescent="0.15">
      <c r="A2070" s="2">
        <f>HYPERLINK("https://open-school.uspishnemisto.com.ua/school/120498/", 120498)</f>
        <v>120498</v>
      </c>
      <c r="B2070" s="3" t="s">
        <v>10840</v>
      </c>
      <c r="C2070" s="3" t="s">
        <v>31</v>
      </c>
      <c r="D2070" s="3" t="s">
        <v>175</v>
      </c>
      <c r="E2070" s="4" t="s">
        <v>22</v>
      </c>
      <c r="F2070" s="4" t="s">
        <v>10841</v>
      </c>
      <c r="G2070" s="4" t="s">
        <v>10842</v>
      </c>
      <c r="H2070" s="3" t="s">
        <v>8487</v>
      </c>
      <c r="I2070" s="3" t="s">
        <v>10843</v>
      </c>
      <c r="J2070" s="3" t="s">
        <v>5432</v>
      </c>
      <c r="K2070" s="3" t="s">
        <v>10844</v>
      </c>
      <c r="L2070" s="3" t="s">
        <v>10845</v>
      </c>
      <c r="M2070" s="4"/>
      <c r="N2070" s="3" t="s">
        <v>37</v>
      </c>
      <c r="O2070" s="3" t="s">
        <v>618</v>
      </c>
      <c r="P2070" s="5">
        <v>2</v>
      </c>
      <c r="Q2070" s="5">
        <v>32</v>
      </c>
      <c r="R2070" s="5">
        <v>4</v>
      </c>
      <c r="S2070" s="5">
        <v>35</v>
      </c>
    </row>
    <row r="2071" spans="1:19" ht="28" x14ac:dyDescent="0.15">
      <c r="A2071" s="2">
        <f>HYPERLINK("https://open-school.uspishnemisto.com.ua/school/120499/", 120499)</f>
        <v>120499</v>
      </c>
      <c r="B2071" s="3" t="s">
        <v>10846</v>
      </c>
      <c r="C2071" s="3" t="s">
        <v>31</v>
      </c>
      <c r="D2071" s="3" t="s">
        <v>32</v>
      </c>
      <c r="E2071" s="4" t="s">
        <v>22</v>
      </c>
      <c r="F2071" s="4" t="s">
        <v>10847</v>
      </c>
      <c r="G2071" s="4" t="s">
        <v>10848</v>
      </c>
      <c r="H2071" s="3" t="s">
        <v>8487</v>
      </c>
      <c r="I2071" s="3" t="s">
        <v>10849</v>
      </c>
      <c r="J2071" s="3" t="s">
        <v>10850</v>
      </c>
      <c r="K2071" s="3" t="s">
        <v>10851</v>
      </c>
      <c r="L2071" s="3" t="s">
        <v>10852</v>
      </c>
      <c r="M2071" s="4"/>
      <c r="N2071" s="3" t="s">
        <v>37</v>
      </c>
      <c r="O2071" s="3" t="s">
        <v>721</v>
      </c>
      <c r="P2071" s="5">
        <v>18</v>
      </c>
      <c r="Q2071" s="5">
        <v>334</v>
      </c>
      <c r="R2071" s="5">
        <v>17</v>
      </c>
      <c r="S2071" s="5">
        <v>329</v>
      </c>
    </row>
    <row r="2072" spans="1:19" ht="28" x14ac:dyDescent="0.15">
      <c r="A2072" s="2">
        <f>HYPERLINK("https://open-school.uspishnemisto.com.ua/school/120500/", 120500)</f>
        <v>120500</v>
      </c>
      <c r="B2072" s="3" t="s">
        <v>10853</v>
      </c>
      <c r="C2072" s="3" t="s">
        <v>31</v>
      </c>
      <c r="D2072" s="3" t="s">
        <v>60</v>
      </c>
      <c r="E2072" s="4" t="s">
        <v>22</v>
      </c>
      <c r="F2072" s="4" t="s">
        <v>10854</v>
      </c>
      <c r="G2072" s="4" t="s">
        <v>10855</v>
      </c>
      <c r="H2072" s="3" t="s">
        <v>8487</v>
      </c>
      <c r="I2072" s="3" t="s">
        <v>10856</v>
      </c>
      <c r="J2072" s="3" t="s">
        <v>10857</v>
      </c>
      <c r="K2072" s="3" t="s">
        <v>10858</v>
      </c>
      <c r="L2072" s="3"/>
      <c r="M2072" s="4"/>
      <c r="N2072" s="3" t="s">
        <v>37</v>
      </c>
      <c r="O2072" s="3" t="s">
        <v>52</v>
      </c>
      <c r="P2072" s="5">
        <v>3</v>
      </c>
      <c r="Q2072" s="5">
        <v>18</v>
      </c>
      <c r="R2072" s="5">
        <v>1</v>
      </c>
      <c r="S2072" s="5">
        <v>15</v>
      </c>
    </row>
    <row r="2073" spans="1:19" ht="56" x14ac:dyDescent="0.15">
      <c r="A2073" s="2">
        <f>HYPERLINK("https://open-school.uspishnemisto.com.ua/school/120501/", 120501)</f>
        <v>120501</v>
      </c>
      <c r="B2073" s="3" t="s">
        <v>10859</v>
      </c>
      <c r="C2073" s="3" t="s">
        <v>54</v>
      </c>
      <c r="D2073" s="3" t="s">
        <v>60</v>
      </c>
      <c r="E2073" s="4" t="s">
        <v>22</v>
      </c>
      <c r="F2073" s="4" t="s">
        <v>10860</v>
      </c>
      <c r="G2073" s="4" t="s">
        <v>10861</v>
      </c>
      <c r="H2073" s="3" t="s">
        <v>8487</v>
      </c>
      <c r="I2073" s="3" t="s">
        <v>10862</v>
      </c>
      <c r="J2073" s="3" t="s">
        <v>10863</v>
      </c>
      <c r="K2073" s="3" t="s">
        <v>10864</v>
      </c>
      <c r="L2073" s="3"/>
      <c r="M2073" s="4"/>
      <c r="N2073" s="3" t="s">
        <v>37</v>
      </c>
      <c r="O2073" s="3" t="s">
        <v>52</v>
      </c>
      <c r="P2073" s="5">
        <v>0</v>
      </c>
      <c r="Q2073" s="5">
        <v>8</v>
      </c>
      <c r="R2073" s="5">
        <v>0</v>
      </c>
      <c r="S2073" s="5">
        <v>6</v>
      </c>
    </row>
    <row r="2074" spans="1:19" ht="28" x14ac:dyDescent="0.15">
      <c r="A2074" s="2">
        <f>HYPERLINK("https://open-school.uspishnemisto.com.ua/school/120502/", 120502)</f>
        <v>120502</v>
      </c>
      <c r="B2074" s="3" t="s">
        <v>10865</v>
      </c>
      <c r="C2074" s="3" t="s">
        <v>31</v>
      </c>
      <c r="D2074" s="3" t="s">
        <v>60</v>
      </c>
      <c r="E2074" s="4" t="s">
        <v>22</v>
      </c>
      <c r="F2074" s="4" t="s">
        <v>10866</v>
      </c>
      <c r="G2074" s="4" t="s">
        <v>10867</v>
      </c>
      <c r="H2074" s="3" t="s">
        <v>8487</v>
      </c>
      <c r="I2074" s="3" t="s">
        <v>10868</v>
      </c>
      <c r="J2074" s="3" t="s">
        <v>1078</v>
      </c>
      <c r="K2074" s="3"/>
      <c r="L2074" s="3" t="s">
        <v>10869</v>
      </c>
      <c r="M2074" s="4"/>
      <c r="N2074" s="3" t="s">
        <v>37</v>
      </c>
      <c r="O2074" s="3" t="s">
        <v>52</v>
      </c>
      <c r="P2074" s="5">
        <v>4</v>
      </c>
      <c r="Q2074" s="5">
        <v>54</v>
      </c>
      <c r="R2074" s="5">
        <v>4</v>
      </c>
      <c r="S2074" s="5">
        <v>58</v>
      </c>
    </row>
    <row r="2075" spans="1:19" ht="42" x14ac:dyDescent="0.15">
      <c r="A2075" s="2">
        <f>HYPERLINK("https://open-school.uspishnemisto.com.ua/school/120503/", 120503)</f>
        <v>120503</v>
      </c>
      <c r="B2075" s="3" t="s">
        <v>10870</v>
      </c>
      <c r="C2075" s="3" t="s">
        <v>31</v>
      </c>
      <c r="D2075" s="3" t="s">
        <v>32</v>
      </c>
      <c r="E2075" s="4" t="s">
        <v>22</v>
      </c>
      <c r="F2075" s="4" t="s">
        <v>10871</v>
      </c>
      <c r="G2075" s="4" t="s">
        <v>10867</v>
      </c>
      <c r="H2075" s="3" t="s">
        <v>8487</v>
      </c>
      <c r="I2075" s="3" t="s">
        <v>10868</v>
      </c>
      <c r="J2075" s="3" t="s">
        <v>10872</v>
      </c>
      <c r="K2075" s="3" t="s">
        <v>10873</v>
      </c>
      <c r="L2075" s="3" t="s">
        <v>10874</v>
      </c>
      <c r="M2075" s="4"/>
      <c r="N2075" s="3" t="s">
        <v>37</v>
      </c>
      <c r="O2075" s="3" t="s">
        <v>52</v>
      </c>
      <c r="P2075" s="5">
        <v>13</v>
      </c>
      <c r="Q2075" s="5">
        <v>208</v>
      </c>
      <c r="R2075" s="5">
        <v>12</v>
      </c>
      <c r="S2075" s="5">
        <v>209</v>
      </c>
    </row>
    <row r="2076" spans="1:19" ht="42" x14ac:dyDescent="0.15">
      <c r="A2076" s="2">
        <f>HYPERLINK("https://open-school.uspishnemisto.com.ua/school/120504/", 120504)</f>
        <v>120504</v>
      </c>
      <c r="B2076" s="3" t="s">
        <v>10875</v>
      </c>
      <c r="C2076" s="3" t="s">
        <v>31</v>
      </c>
      <c r="D2076" s="3" t="s">
        <v>32</v>
      </c>
      <c r="E2076" s="4" t="s">
        <v>22</v>
      </c>
      <c r="F2076" s="4" t="s">
        <v>10871</v>
      </c>
      <c r="G2076" s="4" t="s">
        <v>10867</v>
      </c>
      <c r="H2076" s="3" t="s">
        <v>8487</v>
      </c>
      <c r="I2076" s="3" t="s">
        <v>10868</v>
      </c>
      <c r="J2076" s="3" t="s">
        <v>10876</v>
      </c>
      <c r="K2076" s="3" t="s">
        <v>10877</v>
      </c>
      <c r="L2076" s="3" t="s">
        <v>10878</v>
      </c>
      <c r="M2076" s="4"/>
      <c r="N2076" s="3" t="s">
        <v>37</v>
      </c>
      <c r="O2076" s="3" t="s">
        <v>52</v>
      </c>
      <c r="P2076" s="5">
        <v>10</v>
      </c>
      <c r="Q2076" s="5">
        <v>117</v>
      </c>
      <c r="R2076" s="5">
        <v>11</v>
      </c>
      <c r="S2076" s="5">
        <v>125</v>
      </c>
    </row>
    <row r="2077" spans="1:19" ht="28" x14ac:dyDescent="0.15">
      <c r="A2077" s="2">
        <f>HYPERLINK("https://open-school.uspishnemisto.com.ua/school/120505/", 120505)</f>
        <v>120505</v>
      </c>
      <c r="B2077" s="3" t="s">
        <v>10879</v>
      </c>
      <c r="C2077" s="3" t="s">
        <v>31</v>
      </c>
      <c r="D2077" s="3" t="s">
        <v>32</v>
      </c>
      <c r="E2077" s="4" t="s">
        <v>22</v>
      </c>
      <c r="F2077" s="4" t="s">
        <v>10880</v>
      </c>
      <c r="G2077" s="4" t="s">
        <v>10881</v>
      </c>
      <c r="H2077" s="3" t="s">
        <v>8487</v>
      </c>
      <c r="I2077" s="3" t="s">
        <v>688</v>
      </c>
      <c r="J2077" s="3" t="s">
        <v>10882</v>
      </c>
      <c r="K2077" s="3" t="s">
        <v>10883</v>
      </c>
      <c r="L2077" s="3" t="s">
        <v>10884</v>
      </c>
      <c r="M2077" s="4"/>
      <c r="N2077" s="3" t="s">
        <v>37</v>
      </c>
      <c r="O2077" s="3" t="s">
        <v>38</v>
      </c>
      <c r="P2077" s="5">
        <v>10</v>
      </c>
      <c r="Q2077" s="5">
        <v>101</v>
      </c>
      <c r="R2077" s="5">
        <v>10</v>
      </c>
      <c r="S2077" s="5">
        <v>102</v>
      </c>
    </row>
    <row r="2078" spans="1:19" ht="84" x14ac:dyDescent="0.15">
      <c r="A2078" s="2">
        <f>HYPERLINK("https://open-school.uspishnemisto.com.ua/school/120506/", 120506)</f>
        <v>120506</v>
      </c>
      <c r="B2078" s="3" t="s">
        <v>10885</v>
      </c>
      <c r="C2078" s="3" t="s">
        <v>54</v>
      </c>
      <c r="D2078" s="3" t="s">
        <v>175</v>
      </c>
      <c r="E2078" s="4" t="s">
        <v>22</v>
      </c>
      <c r="F2078" s="4" t="s">
        <v>10886</v>
      </c>
      <c r="G2078" s="4" t="s">
        <v>10887</v>
      </c>
      <c r="H2078" s="3" t="s">
        <v>8487</v>
      </c>
      <c r="I2078" s="3" t="s">
        <v>10888</v>
      </c>
      <c r="J2078" s="3" t="s">
        <v>5632</v>
      </c>
      <c r="K2078" s="3" t="s">
        <v>10889</v>
      </c>
      <c r="L2078" s="3" t="s">
        <v>10890</v>
      </c>
      <c r="M2078" s="4"/>
      <c r="N2078" s="3" t="s">
        <v>37</v>
      </c>
      <c r="O2078" s="3" t="s">
        <v>52</v>
      </c>
      <c r="P2078" s="5">
        <v>0</v>
      </c>
      <c r="Q2078" s="5">
        <v>0</v>
      </c>
      <c r="R2078" s="5">
        <v>10</v>
      </c>
      <c r="S2078" s="5">
        <v>93</v>
      </c>
    </row>
    <row r="2079" spans="1:19" ht="56" x14ac:dyDescent="0.15">
      <c r="A2079" s="2">
        <f>HYPERLINK("https://open-school.uspishnemisto.com.ua/school/120507/", 120507)</f>
        <v>120507</v>
      </c>
      <c r="B2079" s="3" t="s">
        <v>10891</v>
      </c>
      <c r="C2079" s="3" t="s">
        <v>54</v>
      </c>
      <c r="D2079" s="3" t="s">
        <v>175</v>
      </c>
      <c r="E2079" s="4" t="s">
        <v>22</v>
      </c>
      <c r="F2079" s="4" t="s">
        <v>10892</v>
      </c>
      <c r="G2079" s="4" t="s">
        <v>10893</v>
      </c>
      <c r="H2079" s="3" t="s">
        <v>8487</v>
      </c>
      <c r="I2079" s="3" t="s">
        <v>10894</v>
      </c>
      <c r="J2079" s="3" t="s">
        <v>10895</v>
      </c>
      <c r="K2079" s="3" t="s">
        <v>10896</v>
      </c>
      <c r="L2079" s="3" t="s">
        <v>10897</v>
      </c>
      <c r="M2079" s="4"/>
      <c r="N2079" s="3" t="s">
        <v>37</v>
      </c>
      <c r="O2079" s="3" t="s">
        <v>52</v>
      </c>
      <c r="P2079" s="5">
        <v>6</v>
      </c>
      <c r="Q2079" s="5">
        <v>57</v>
      </c>
      <c r="R2079" s="5">
        <v>6</v>
      </c>
      <c r="S2079" s="5">
        <v>63</v>
      </c>
    </row>
    <row r="2080" spans="1:19" ht="28" x14ac:dyDescent="0.15">
      <c r="A2080" s="2">
        <f>HYPERLINK("https://open-school.uspishnemisto.com.ua/school/120981/", 120981)</f>
        <v>120981</v>
      </c>
      <c r="B2080" s="3" t="s">
        <v>10898</v>
      </c>
      <c r="C2080" s="3" t="s">
        <v>31</v>
      </c>
      <c r="D2080" s="3" t="s">
        <v>32</v>
      </c>
      <c r="E2080" s="4" t="s">
        <v>22</v>
      </c>
      <c r="F2080" s="4" t="s">
        <v>10899</v>
      </c>
      <c r="G2080" s="4" t="s">
        <v>10900</v>
      </c>
      <c r="H2080" s="3" t="s">
        <v>8487</v>
      </c>
      <c r="I2080" s="3" t="s">
        <v>10901</v>
      </c>
      <c r="J2080" s="3" t="s">
        <v>10902</v>
      </c>
      <c r="K2080" s="3" t="s">
        <v>10903</v>
      </c>
      <c r="L2080" s="3"/>
      <c r="M2080" s="4"/>
      <c r="N2080" s="3" t="s">
        <v>37</v>
      </c>
      <c r="O2080" s="3" t="s">
        <v>46</v>
      </c>
      <c r="P2080" s="5">
        <v>19</v>
      </c>
      <c r="Q2080" s="5">
        <v>381</v>
      </c>
      <c r="R2080" s="5"/>
      <c r="S2080" s="5"/>
    </row>
    <row r="2081" spans="1:19" ht="28" x14ac:dyDescent="0.15">
      <c r="A2081" s="2">
        <f>HYPERLINK("https://open-school.uspishnemisto.com.ua/school/120509/", 120509)</f>
        <v>120509</v>
      </c>
      <c r="B2081" s="3" t="s">
        <v>10904</v>
      </c>
      <c r="C2081" s="3" t="s">
        <v>31</v>
      </c>
      <c r="D2081" s="3" t="s">
        <v>32</v>
      </c>
      <c r="E2081" s="4" t="s">
        <v>22</v>
      </c>
      <c r="F2081" s="4" t="s">
        <v>10905</v>
      </c>
      <c r="G2081" s="4" t="s">
        <v>10906</v>
      </c>
      <c r="H2081" s="3" t="s">
        <v>8487</v>
      </c>
      <c r="I2081" s="3" t="s">
        <v>10907</v>
      </c>
      <c r="J2081" s="3" t="s">
        <v>10908</v>
      </c>
      <c r="K2081" s="3" t="s">
        <v>10909</v>
      </c>
      <c r="L2081" s="3"/>
      <c r="M2081" s="4"/>
      <c r="N2081" s="3" t="s">
        <v>37</v>
      </c>
      <c r="O2081" s="3" t="s">
        <v>46</v>
      </c>
      <c r="P2081" s="5">
        <v>11</v>
      </c>
      <c r="Q2081" s="5">
        <v>101</v>
      </c>
      <c r="R2081" s="5">
        <v>11</v>
      </c>
      <c r="S2081" s="5">
        <v>101</v>
      </c>
    </row>
    <row r="2082" spans="1:19" ht="42" x14ac:dyDescent="0.15">
      <c r="A2082" s="2">
        <f>HYPERLINK("https://open-school.uspishnemisto.com.ua/school/120510/", 120510)</f>
        <v>120510</v>
      </c>
      <c r="B2082" s="3" t="s">
        <v>10910</v>
      </c>
      <c r="C2082" s="3" t="s">
        <v>31</v>
      </c>
      <c r="D2082" s="3" t="s">
        <v>32</v>
      </c>
      <c r="E2082" s="4" t="s">
        <v>22</v>
      </c>
      <c r="F2082" s="4" t="s">
        <v>10911</v>
      </c>
      <c r="G2082" s="4" t="s">
        <v>10912</v>
      </c>
      <c r="H2082" s="3" t="s">
        <v>8487</v>
      </c>
      <c r="I2082" s="3" t="s">
        <v>10913</v>
      </c>
      <c r="J2082" s="3" t="s">
        <v>10914</v>
      </c>
      <c r="K2082" s="3" t="s">
        <v>10915</v>
      </c>
      <c r="L2082" s="3" t="s">
        <v>10916</v>
      </c>
      <c r="M2082" s="4"/>
      <c r="N2082" s="3" t="s">
        <v>37</v>
      </c>
      <c r="O2082" s="3" t="s">
        <v>52</v>
      </c>
      <c r="P2082" s="5">
        <v>11</v>
      </c>
      <c r="Q2082" s="5">
        <v>125</v>
      </c>
      <c r="R2082" s="5">
        <v>11</v>
      </c>
      <c r="S2082" s="5">
        <v>124</v>
      </c>
    </row>
    <row r="2083" spans="1:19" ht="28" x14ac:dyDescent="0.15">
      <c r="A2083" s="2">
        <f>HYPERLINK("https://open-school.uspishnemisto.com.ua/school/120511/", 120511)</f>
        <v>120511</v>
      </c>
      <c r="B2083" s="3" t="s">
        <v>10917</v>
      </c>
      <c r="C2083" s="3" t="s">
        <v>31</v>
      </c>
      <c r="D2083" s="3" t="s">
        <v>32</v>
      </c>
      <c r="E2083" s="4" t="s">
        <v>22</v>
      </c>
      <c r="F2083" s="4" t="s">
        <v>10918</v>
      </c>
      <c r="G2083" s="4" t="s">
        <v>10919</v>
      </c>
      <c r="H2083" s="3" t="s">
        <v>8487</v>
      </c>
      <c r="I2083" s="3" t="s">
        <v>10920</v>
      </c>
      <c r="J2083" s="3" t="s">
        <v>10921</v>
      </c>
      <c r="K2083" s="3" t="s">
        <v>10922</v>
      </c>
      <c r="L2083" s="3" t="s">
        <v>10923</v>
      </c>
      <c r="M2083" s="4"/>
      <c r="N2083" s="3" t="s">
        <v>37</v>
      </c>
      <c r="O2083" s="3" t="s">
        <v>38</v>
      </c>
      <c r="P2083" s="5">
        <v>10</v>
      </c>
      <c r="Q2083" s="5">
        <v>157</v>
      </c>
      <c r="R2083" s="5">
        <v>11</v>
      </c>
      <c r="S2083" s="5">
        <v>154</v>
      </c>
    </row>
    <row r="2084" spans="1:19" ht="28" x14ac:dyDescent="0.15">
      <c r="A2084" s="2">
        <f>HYPERLINK("https://open-school.uspishnemisto.com.ua/school/120512/", 120512)</f>
        <v>120512</v>
      </c>
      <c r="B2084" s="3" t="s">
        <v>10924</v>
      </c>
      <c r="C2084" s="3" t="s">
        <v>31</v>
      </c>
      <c r="D2084" s="3" t="s">
        <v>32</v>
      </c>
      <c r="E2084" s="4" t="s">
        <v>22</v>
      </c>
      <c r="F2084" s="4" t="s">
        <v>10925</v>
      </c>
      <c r="G2084" s="4" t="s">
        <v>10926</v>
      </c>
      <c r="H2084" s="3" t="s">
        <v>8487</v>
      </c>
      <c r="I2084" s="3" t="s">
        <v>10927</v>
      </c>
      <c r="J2084" s="3" t="s">
        <v>466</v>
      </c>
      <c r="K2084" s="3" t="s">
        <v>10928</v>
      </c>
      <c r="L2084" s="3" t="s">
        <v>10929</v>
      </c>
      <c r="M2084" s="4"/>
      <c r="N2084" s="3" t="s">
        <v>37</v>
      </c>
      <c r="O2084" s="3" t="s">
        <v>38</v>
      </c>
      <c r="P2084" s="5">
        <v>9</v>
      </c>
      <c r="Q2084" s="5">
        <v>72</v>
      </c>
      <c r="R2084" s="5">
        <v>8</v>
      </c>
      <c r="S2084" s="5">
        <v>68</v>
      </c>
    </row>
    <row r="2085" spans="1:19" ht="28" x14ac:dyDescent="0.15">
      <c r="A2085" s="2">
        <f>HYPERLINK("https://open-school.uspishnemisto.com.ua/school/120513/", 120513)</f>
        <v>120513</v>
      </c>
      <c r="B2085" s="3" t="s">
        <v>10930</v>
      </c>
      <c r="C2085" s="3" t="s">
        <v>31</v>
      </c>
      <c r="D2085" s="3" t="s">
        <v>32</v>
      </c>
      <c r="E2085" s="4" t="s">
        <v>22</v>
      </c>
      <c r="F2085" s="4" t="s">
        <v>10931</v>
      </c>
      <c r="G2085" s="4" t="s">
        <v>10932</v>
      </c>
      <c r="H2085" s="3" t="s">
        <v>8487</v>
      </c>
      <c r="I2085" s="3" t="s">
        <v>10933</v>
      </c>
      <c r="J2085" s="3" t="s">
        <v>10934</v>
      </c>
      <c r="K2085" s="3" t="s">
        <v>10935</v>
      </c>
      <c r="L2085" s="3" t="s">
        <v>10936</v>
      </c>
      <c r="M2085" s="4"/>
      <c r="N2085" s="3" t="s">
        <v>37</v>
      </c>
      <c r="O2085" s="3" t="s">
        <v>70</v>
      </c>
      <c r="P2085" s="5">
        <v>21</v>
      </c>
      <c r="Q2085" s="5">
        <v>470</v>
      </c>
      <c r="R2085" s="5">
        <v>20</v>
      </c>
      <c r="S2085" s="5">
        <v>463</v>
      </c>
    </row>
    <row r="2086" spans="1:19" ht="56" x14ac:dyDescent="0.15">
      <c r="A2086" s="2">
        <f>HYPERLINK("https://open-school.uspishnemisto.com.ua/school/120514/", 120514)</f>
        <v>120514</v>
      </c>
      <c r="B2086" s="3" t="s">
        <v>10937</v>
      </c>
      <c r="C2086" s="3" t="s">
        <v>54</v>
      </c>
      <c r="D2086" s="3" t="s">
        <v>32</v>
      </c>
      <c r="E2086" s="4" t="s">
        <v>22</v>
      </c>
      <c r="F2086" s="4" t="s">
        <v>10931</v>
      </c>
      <c r="G2086" s="4" t="s">
        <v>10932</v>
      </c>
      <c r="H2086" s="3" t="s">
        <v>8487</v>
      </c>
      <c r="I2086" s="3" t="s">
        <v>10933</v>
      </c>
      <c r="J2086" s="3" t="s">
        <v>10938</v>
      </c>
      <c r="K2086" s="3" t="s">
        <v>10939</v>
      </c>
      <c r="L2086" s="3" t="s">
        <v>10940</v>
      </c>
      <c r="M2086" s="4" t="s">
        <v>10941</v>
      </c>
      <c r="N2086" s="3" t="s">
        <v>37</v>
      </c>
      <c r="O2086" s="3" t="s">
        <v>70</v>
      </c>
      <c r="P2086" s="5">
        <v>28</v>
      </c>
      <c r="Q2086" s="5">
        <v>572</v>
      </c>
      <c r="R2086" s="5">
        <v>26</v>
      </c>
      <c r="S2086" s="5">
        <v>526</v>
      </c>
    </row>
    <row r="2087" spans="1:19" ht="56" x14ac:dyDescent="0.15">
      <c r="A2087" s="2">
        <f>HYPERLINK("https://open-school.uspishnemisto.com.ua/school/120515/", 120515)</f>
        <v>120515</v>
      </c>
      <c r="B2087" s="3" t="s">
        <v>10942</v>
      </c>
      <c r="C2087" s="3" t="s">
        <v>54</v>
      </c>
      <c r="D2087" s="3" t="s">
        <v>32</v>
      </c>
      <c r="E2087" s="4" t="s">
        <v>22</v>
      </c>
      <c r="F2087" s="4" t="s">
        <v>10943</v>
      </c>
      <c r="G2087" s="4" t="s">
        <v>10932</v>
      </c>
      <c r="H2087" s="3" t="s">
        <v>8487</v>
      </c>
      <c r="I2087" s="3" t="s">
        <v>10933</v>
      </c>
      <c r="J2087" s="3" t="s">
        <v>10944</v>
      </c>
      <c r="K2087" s="3" t="s">
        <v>10945</v>
      </c>
      <c r="L2087" s="3" t="s">
        <v>10946</v>
      </c>
      <c r="M2087" s="4" t="s">
        <v>10947</v>
      </c>
      <c r="N2087" s="3" t="s">
        <v>37</v>
      </c>
      <c r="O2087" s="3" t="s">
        <v>38</v>
      </c>
      <c r="P2087" s="5">
        <v>10</v>
      </c>
      <c r="Q2087" s="5">
        <v>193</v>
      </c>
      <c r="R2087" s="5">
        <v>11</v>
      </c>
      <c r="S2087" s="5">
        <v>185</v>
      </c>
    </row>
    <row r="2088" spans="1:19" ht="28" x14ac:dyDescent="0.15">
      <c r="A2088" s="2">
        <f>HYPERLINK("https://open-school.uspishnemisto.com.ua/school/120516/", 120516)</f>
        <v>120516</v>
      </c>
      <c r="B2088" s="3" t="s">
        <v>10948</v>
      </c>
      <c r="C2088" s="3" t="s">
        <v>31</v>
      </c>
      <c r="D2088" s="3" t="s">
        <v>175</v>
      </c>
      <c r="E2088" s="4" t="s">
        <v>22</v>
      </c>
      <c r="F2088" s="4" t="s">
        <v>10949</v>
      </c>
      <c r="G2088" s="4" t="s">
        <v>10932</v>
      </c>
      <c r="H2088" s="3" t="s">
        <v>8487</v>
      </c>
      <c r="I2088" s="3" t="s">
        <v>10933</v>
      </c>
      <c r="J2088" s="3" t="s">
        <v>10950</v>
      </c>
      <c r="K2088" s="3" t="s">
        <v>10951</v>
      </c>
      <c r="L2088" s="3" t="s">
        <v>10952</v>
      </c>
      <c r="M2088" s="4"/>
      <c r="N2088" s="3" t="s">
        <v>37</v>
      </c>
      <c r="O2088" s="3" t="s">
        <v>52</v>
      </c>
      <c r="P2088" s="5">
        <v>9</v>
      </c>
      <c r="Q2088" s="5">
        <v>79</v>
      </c>
      <c r="R2088" s="5">
        <v>9</v>
      </c>
      <c r="S2088" s="5">
        <v>76</v>
      </c>
    </row>
    <row r="2089" spans="1:19" ht="28" x14ac:dyDescent="0.15">
      <c r="A2089" s="2">
        <f>HYPERLINK("https://open-school.uspishnemisto.com.ua/school/120517/", 120517)</f>
        <v>120517</v>
      </c>
      <c r="B2089" s="3" t="s">
        <v>10953</v>
      </c>
      <c r="C2089" s="3" t="s">
        <v>31</v>
      </c>
      <c r="D2089" s="3" t="s">
        <v>32</v>
      </c>
      <c r="E2089" s="4" t="s">
        <v>22</v>
      </c>
      <c r="F2089" s="4" t="s">
        <v>10954</v>
      </c>
      <c r="G2089" s="4" t="s">
        <v>10955</v>
      </c>
      <c r="H2089" s="3" t="s">
        <v>8487</v>
      </c>
      <c r="I2089" s="3" t="s">
        <v>10956</v>
      </c>
      <c r="J2089" s="3" t="s">
        <v>10957</v>
      </c>
      <c r="K2089" s="3" t="s">
        <v>10958</v>
      </c>
      <c r="L2089" s="3" t="s">
        <v>10959</v>
      </c>
      <c r="M2089" s="4" t="s">
        <v>10960</v>
      </c>
      <c r="N2089" s="3" t="s">
        <v>37</v>
      </c>
      <c r="O2089" s="3" t="s">
        <v>112</v>
      </c>
      <c r="P2089" s="5">
        <v>11</v>
      </c>
      <c r="Q2089" s="5">
        <v>129</v>
      </c>
      <c r="R2089" s="5">
        <v>11</v>
      </c>
      <c r="S2089" s="5">
        <v>119</v>
      </c>
    </row>
    <row r="2090" spans="1:19" ht="28" x14ac:dyDescent="0.15">
      <c r="A2090" s="2">
        <f>HYPERLINK("https://open-school.uspishnemisto.com.ua/school/120518/", 120518)</f>
        <v>120518</v>
      </c>
      <c r="B2090" s="3" t="s">
        <v>10961</v>
      </c>
      <c r="C2090" s="3" t="s">
        <v>31</v>
      </c>
      <c r="D2090" s="3" t="s">
        <v>32</v>
      </c>
      <c r="E2090" s="4" t="s">
        <v>22</v>
      </c>
      <c r="F2090" s="4" t="s">
        <v>10962</v>
      </c>
      <c r="G2090" s="4" t="s">
        <v>10963</v>
      </c>
      <c r="H2090" s="3" t="s">
        <v>8487</v>
      </c>
      <c r="I2090" s="3" t="s">
        <v>10964</v>
      </c>
      <c r="J2090" s="3" t="s">
        <v>10965</v>
      </c>
      <c r="K2090" s="3" t="s">
        <v>10966</v>
      </c>
      <c r="L2090" s="3" t="s">
        <v>10967</v>
      </c>
      <c r="M2090" s="4" t="s">
        <v>10968</v>
      </c>
      <c r="N2090" s="3" t="s">
        <v>37</v>
      </c>
      <c r="O2090" s="3" t="s">
        <v>38</v>
      </c>
      <c r="P2090" s="5">
        <v>11</v>
      </c>
      <c r="Q2090" s="5">
        <v>137</v>
      </c>
      <c r="R2090" s="5">
        <v>11</v>
      </c>
      <c r="S2090" s="5">
        <v>137</v>
      </c>
    </row>
    <row r="2091" spans="1:19" ht="28" x14ac:dyDescent="0.15">
      <c r="A2091" s="2">
        <f>HYPERLINK("https://open-school.uspishnemisto.com.ua/school/120519/", 120519)</f>
        <v>120519</v>
      </c>
      <c r="B2091" s="3" t="s">
        <v>10969</v>
      </c>
      <c r="C2091" s="3" t="s">
        <v>31</v>
      </c>
      <c r="D2091" s="3" t="s">
        <v>32</v>
      </c>
      <c r="E2091" s="4" t="s">
        <v>22</v>
      </c>
      <c r="F2091" s="4" t="s">
        <v>10970</v>
      </c>
      <c r="G2091" s="4" t="s">
        <v>10971</v>
      </c>
      <c r="H2091" s="3" t="s">
        <v>8487</v>
      </c>
      <c r="I2091" s="3" t="s">
        <v>10972</v>
      </c>
      <c r="J2091" s="3" t="s">
        <v>634</v>
      </c>
      <c r="K2091" s="3" t="s">
        <v>10973</v>
      </c>
      <c r="L2091" s="3" t="s">
        <v>10974</v>
      </c>
      <c r="M2091" s="4" t="s">
        <v>10975</v>
      </c>
      <c r="N2091" s="3" t="s">
        <v>37</v>
      </c>
      <c r="O2091" s="3" t="s">
        <v>38</v>
      </c>
      <c r="P2091" s="5">
        <v>8</v>
      </c>
      <c r="Q2091" s="5">
        <v>73</v>
      </c>
      <c r="R2091" s="5">
        <v>9</v>
      </c>
      <c r="S2091" s="5">
        <v>74</v>
      </c>
    </row>
    <row r="2092" spans="1:19" ht="28" x14ac:dyDescent="0.15">
      <c r="A2092" s="2">
        <f>HYPERLINK("https://open-school.uspishnemisto.com.ua/school/120520/", 120520)</f>
        <v>120520</v>
      </c>
      <c r="B2092" s="3" t="s">
        <v>10976</v>
      </c>
      <c r="C2092" s="3" t="s">
        <v>31</v>
      </c>
      <c r="D2092" s="3" t="s">
        <v>32</v>
      </c>
      <c r="E2092" s="4" t="s">
        <v>22</v>
      </c>
      <c r="F2092" s="4" t="s">
        <v>10977</v>
      </c>
      <c r="G2092" s="4" t="s">
        <v>10978</v>
      </c>
      <c r="H2092" s="3" t="s">
        <v>8487</v>
      </c>
      <c r="I2092" s="3" t="s">
        <v>10979</v>
      </c>
      <c r="J2092" s="3" t="s">
        <v>10980</v>
      </c>
      <c r="K2092" s="3" t="s">
        <v>10981</v>
      </c>
      <c r="L2092" s="3" t="s">
        <v>10982</v>
      </c>
      <c r="M2092" s="4" t="s">
        <v>10983</v>
      </c>
      <c r="N2092" s="3" t="s">
        <v>37</v>
      </c>
      <c r="O2092" s="3" t="s">
        <v>38</v>
      </c>
      <c r="P2092" s="5">
        <v>24</v>
      </c>
      <c r="Q2092" s="5">
        <v>429</v>
      </c>
      <c r="R2092" s="5">
        <v>23</v>
      </c>
      <c r="S2092" s="5">
        <v>407</v>
      </c>
    </row>
    <row r="2093" spans="1:19" ht="70" x14ac:dyDescent="0.15">
      <c r="A2093" s="2">
        <f>HYPERLINK("https://open-school.uspishnemisto.com.ua/school/120982/", 120982)</f>
        <v>120982</v>
      </c>
      <c r="B2093" s="3" t="s">
        <v>10984</v>
      </c>
      <c r="C2093" s="3" t="s">
        <v>54</v>
      </c>
      <c r="D2093" s="3" t="s">
        <v>32</v>
      </c>
      <c r="E2093" s="4" t="s">
        <v>22</v>
      </c>
      <c r="F2093" s="4" t="s">
        <v>10985</v>
      </c>
      <c r="G2093" s="4" t="s">
        <v>10986</v>
      </c>
      <c r="H2093" s="3" t="s">
        <v>8487</v>
      </c>
      <c r="I2093" s="3" t="s">
        <v>3790</v>
      </c>
      <c r="J2093" s="3" t="s">
        <v>466</v>
      </c>
      <c r="K2093" s="3" t="s">
        <v>10987</v>
      </c>
      <c r="L2093" s="3" t="s">
        <v>10988</v>
      </c>
      <c r="M2093" s="4" t="s">
        <v>10989</v>
      </c>
      <c r="N2093" s="3"/>
      <c r="O2093" s="3"/>
      <c r="P2093" s="5">
        <v>0</v>
      </c>
      <c r="Q2093" s="5">
        <v>0</v>
      </c>
      <c r="R2093" s="5"/>
      <c r="S2093" s="5"/>
    </row>
    <row r="2094" spans="1:19" ht="56" x14ac:dyDescent="0.15">
      <c r="A2094" s="2">
        <f>HYPERLINK("https://open-school.uspishnemisto.com.ua/school/120521/", 120521)</f>
        <v>120521</v>
      </c>
      <c r="B2094" s="3" t="s">
        <v>10990</v>
      </c>
      <c r="C2094" s="3" t="s">
        <v>54</v>
      </c>
      <c r="D2094" s="3" t="s">
        <v>32</v>
      </c>
      <c r="E2094" s="4" t="s">
        <v>22</v>
      </c>
      <c r="F2094" s="4" t="s">
        <v>10991</v>
      </c>
      <c r="G2094" s="4" t="s">
        <v>10992</v>
      </c>
      <c r="H2094" s="3" t="s">
        <v>8487</v>
      </c>
      <c r="I2094" s="3" t="s">
        <v>10993</v>
      </c>
      <c r="J2094" s="3" t="s">
        <v>1606</v>
      </c>
      <c r="K2094" s="3" t="s">
        <v>10994</v>
      </c>
      <c r="L2094" s="3" t="s">
        <v>10995</v>
      </c>
      <c r="M2094" s="4" t="s">
        <v>10996</v>
      </c>
      <c r="N2094" s="3" t="s">
        <v>37</v>
      </c>
      <c r="O2094" s="3" t="s">
        <v>38</v>
      </c>
      <c r="P2094" s="5">
        <v>11</v>
      </c>
      <c r="Q2094" s="5">
        <v>185</v>
      </c>
      <c r="R2094" s="5">
        <v>11</v>
      </c>
      <c r="S2094" s="5">
        <v>184</v>
      </c>
    </row>
    <row r="2095" spans="1:19" ht="42" x14ac:dyDescent="0.15">
      <c r="A2095" s="2">
        <f>HYPERLINK("https://open-school.uspishnemisto.com.ua/school/120522/", 120522)</f>
        <v>120522</v>
      </c>
      <c r="B2095" s="3" t="s">
        <v>10997</v>
      </c>
      <c r="C2095" s="3" t="s">
        <v>54</v>
      </c>
      <c r="D2095" s="3" t="s">
        <v>60</v>
      </c>
      <c r="E2095" s="4" t="s">
        <v>22</v>
      </c>
      <c r="F2095" s="4" t="s">
        <v>10998</v>
      </c>
      <c r="G2095" s="4" t="s">
        <v>10999</v>
      </c>
      <c r="H2095" s="3" t="s">
        <v>8487</v>
      </c>
      <c r="I2095" s="3" t="s">
        <v>11000</v>
      </c>
      <c r="J2095" s="3" t="s">
        <v>11001</v>
      </c>
      <c r="K2095" s="3" t="s">
        <v>11002</v>
      </c>
      <c r="L2095" s="3" t="s">
        <v>11003</v>
      </c>
      <c r="M2095" s="4" t="s">
        <v>11004</v>
      </c>
      <c r="N2095" s="3" t="s">
        <v>37</v>
      </c>
      <c r="O2095" s="3" t="s">
        <v>38</v>
      </c>
      <c r="P2095" s="5">
        <v>1</v>
      </c>
      <c r="Q2095" s="5">
        <v>12</v>
      </c>
      <c r="R2095" s="5">
        <v>0</v>
      </c>
      <c r="S2095" s="5">
        <v>8</v>
      </c>
    </row>
    <row r="2096" spans="1:19" ht="56" x14ac:dyDescent="0.15">
      <c r="A2096" s="2">
        <f>HYPERLINK("https://open-school.uspishnemisto.com.ua/school/120523/", 120523)</f>
        <v>120523</v>
      </c>
      <c r="B2096" s="3" t="s">
        <v>11005</v>
      </c>
      <c r="C2096" s="3" t="s">
        <v>54</v>
      </c>
      <c r="D2096" s="3" t="s">
        <v>32</v>
      </c>
      <c r="E2096" s="4" t="s">
        <v>22</v>
      </c>
      <c r="F2096" s="4" t="s">
        <v>11006</v>
      </c>
      <c r="G2096" s="4" t="s">
        <v>11007</v>
      </c>
      <c r="H2096" s="3" t="s">
        <v>8487</v>
      </c>
      <c r="I2096" s="3" t="s">
        <v>2475</v>
      </c>
      <c r="J2096" s="3" t="s">
        <v>11008</v>
      </c>
      <c r="K2096" s="3" t="s">
        <v>11009</v>
      </c>
      <c r="L2096" s="3" t="s">
        <v>11010</v>
      </c>
      <c r="M2096" s="4" t="s">
        <v>11011</v>
      </c>
      <c r="N2096" s="3" t="s">
        <v>37</v>
      </c>
      <c r="O2096" s="3" t="s">
        <v>38</v>
      </c>
      <c r="P2096" s="5">
        <v>11</v>
      </c>
      <c r="Q2096" s="5">
        <v>82</v>
      </c>
      <c r="R2096" s="5">
        <v>11</v>
      </c>
      <c r="S2096" s="5">
        <v>84</v>
      </c>
    </row>
    <row r="2097" spans="1:19" ht="56" x14ac:dyDescent="0.15">
      <c r="A2097" s="2">
        <f>HYPERLINK("https://open-school.uspishnemisto.com.ua/school/120524/", 120524)</f>
        <v>120524</v>
      </c>
      <c r="B2097" s="3" t="s">
        <v>11012</v>
      </c>
      <c r="C2097" s="3" t="s">
        <v>54</v>
      </c>
      <c r="D2097" s="3" t="s">
        <v>32</v>
      </c>
      <c r="E2097" s="4" t="s">
        <v>22</v>
      </c>
      <c r="F2097" s="4" t="s">
        <v>11013</v>
      </c>
      <c r="G2097" s="4" t="s">
        <v>11014</v>
      </c>
      <c r="H2097" s="3" t="s">
        <v>8487</v>
      </c>
      <c r="I2097" s="3" t="s">
        <v>11015</v>
      </c>
      <c r="J2097" s="3" t="s">
        <v>627</v>
      </c>
      <c r="K2097" s="3" t="s">
        <v>11016</v>
      </c>
      <c r="L2097" s="3" t="s">
        <v>11017</v>
      </c>
      <c r="M2097" s="4"/>
      <c r="N2097" s="3" t="s">
        <v>37</v>
      </c>
      <c r="O2097" s="3" t="s">
        <v>38</v>
      </c>
      <c r="P2097" s="5">
        <v>9</v>
      </c>
      <c r="Q2097" s="5">
        <v>71</v>
      </c>
      <c r="R2097" s="5">
        <v>11</v>
      </c>
      <c r="S2097" s="5">
        <v>83</v>
      </c>
    </row>
    <row r="2098" spans="1:19" ht="56" x14ac:dyDescent="0.15">
      <c r="A2098" s="2">
        <f>HYPERLINK("https://open-school.uspishnemisto.com.ua/school/120525/", 120525)</f>
        <v>120525</v>
      </c>
      <c r="B2098" s="3" t="s">
        <v>11018</v>
      </c>
      <c r="C2098" s="3" t="s">
        <v>54</v>
      </c>
      <c r="D2098" s="3" t="s">
        <v>32</v>
      </c>
      <c r="E2098" s="4" t="s">
        <v>22</v>
      </c>
      <c r="F2098" s="4" t="s">
        <v>11019</v>
      </c>
      <c r="G2098" s="4" t="s">
        <v>11020</v>
      </c>
      <c r="H2098" s="3" t="s">
        <v>8487</v>
      </c>
      <c r="I2098" s="3" t="s">
        <v>11021</v>
      </c>
      <c r="J2098" s="3" t="s">
        <v>11022</v>
      </c>
      <c r="K2098" s="3" t="s">
        <v>11023</v>
      </c>
      <c r="L2098" s="3" t="s">
        <v>11024</v>
      </c>
      <c r="M2098" s="4" t="s">
        <v>11025</v>
      </c>
      <c r="N2098" s="3" t="s">
        <v>37</v>
      </c>
      <c r="O2098" s="3" t="s">
        <v>38</v>
      </c>
      <c r="P2098" s="5">
        <v>7</v>
      </c>
      <c r="Q2098" s="5">
        <v>56</v>
      </c>
      <c r="R2098" s="5">
        <v>6</v>
      </c>
      <c r="S2098" s="5">
        <v>56</v>
      </c>
    </row>
    <row r="2099" spans="1:19" ht="28" x14ac:dyDescent="0.15">
      <c r="A2099" s="2">
        <f>HYPERLINK("https://open-school.uspishnemisto.com.ua/school/120526/", 120526)</f>
        <v>120526</v>
      </c>
      <c r="B2099" s="3" t="s">
        <v>11026</v>
      </c>
      <c r="C2099" s="3" t="s">
        <v>31</v>
      </c>
      <c r="D2099" s="3" t="s">
        <v>32</v>
      </c>
      <c r="E2099" s="4" t="s">
        <v>22</v>
      </c>
      <c r="F2099" s="4" t="s">
        <v>11027</v>
      </c>
      <c r="G2099" s="4" t="s">
        <v>11028</v>
      </c>
      <c r="H2099" s="3" t="s">
        <v>8487</v>
      </c>
      <c r="I2099" s="3" t="s">
        <v>11029</v>
      </c>
      <c r="J2099" s="3" t="s">
        <v>1636</v>
      </c>
      <c r="K2099" s="3" t="s">
        <v>11030</v>
      </c>
      <c r="L2099" s="3" t="s">
        <v>11031</v>
      </c>
      <c r="M2099" s="4" t="s">
        <v>11032</v>
      </c>
      <c r="N2099" s="3" t="s">
        <v>37</v>
      </c>
      <c r="O2099" s="3" t="s">
        <v>618</v>
      </c>
      <c r="P2099" s="5">
        <v>8</v>
      </c>
      <c r="Q2099" s="5">
        <v>72</v>
      </c>
      <c r="R2099" s="5">
        <v>9</v>
      </c>
      <c r="S2099" s="5">
        <v>67</v>
      </c>
    </row>
    <row r="2100" spans="1:19" ht="28" x14ac:dyDescent="0.15">
      <c r="A2100" s="2">
        <f>HYPERLINK("https://open-school.uspishnemisto.com.ua/school/120527/", 120527)</f>
        <v>120527</v>
      </c>
      <c r="B2100" s="3" t="s">
        <v>11033</v>
      </c>
      <c r="C2100" s="3" t="s">
        <v>31</v>
      </c>
      <c r="D2100" s="3" t="s">
        <v>32</v>
      </c>
      <c r="E2100" s="4" t="s">
        <v>22</v>
      </c>
      <c r="F2100" s="4" t="s">
        <v>11034</v>
      </c>
      <c r="G2100" s="4" t="s">
        <v>11035</v>
      </c>
      <c r="H2100" s="3" t="s">
        <v>8487</v>
      </c>
      <c r="I2100" s="3" t="s">
        <v>1740</v>
      </c>
      <c r="J2100" s="3" t="s">
        <v>2555</v>
      </c>
      <c r="K2100" s="3" t="s">
        <v>11036</v>
      </c>
      <c r="L2100" s="3" t="s">
        <v>11037</v>
      </c>
      <c r="M2100" s="4" t="s">
        <v>11038</v>
      </c>
      <c r="N2100" s="3" t="s">
        <v>37</v>
      </c>
      <c r="O2100" s="3" t="s">
        <v>46</v>
      </c>
      <c r="P2100" s="5">
        <v>2</v>
      </c>
      <c r="Q2100" s="5">
        <v>34</v>
      </c>
      <c r="R2100" s="5">
        <v>4</v>
      </c>
      <c r="S2100" s="5">
        <v>44</v>
      </c>
    </row>
    <row r="2101" spans="1:19" ht="28" x14ac:dyDescent="0.15">
      <c r="A2101" s="2">
        <f>HYPERLINK("https://open-school.uspishnemisto.com.ua/school/120528/", 120528)</f>
        <v>120528</v>
      </c>
      <c r="B2101" s="3" t="s">
        <v>11039</v>
      </c>
      <c r="C2101" s="3" t="s">
        <v>31</v>
      </c>
      <c r="D2101" s="3" t="s">
        <v>32</v>
      </c>
      <c r="E2101" s="4" t="s">
        <v>22</v>
      </c>
      <c r="F2101" s="4" t="s">
        <v>11040</v>
      </c>
      <c r="G2101" s="4" t="s">
        <v>11041</v>
      </c>
      <c r="H2101" s="3" t="s">
        <v>8487</v>
      </c>
      <c r="I2101" s="3" t="s">
        <v>11042</v>
      </c>
      <c r="J2101" s="3" t="s">
        <v>11043</v>
      </c>
      <c r="K2101" s="3" t="s">
        <v>11044</v>
      </c>
      <c r="L2101" s="3" t="s">
        <v>11045</v>
      </c>
      <c r="M2101" s="4" t="s">
        <v>11046</v>
      </c>
      <c r="N2101" s="3" t="s">
        <v>37</v>
      </c>
      <c r="O2101" s="3" t="s">
        <v>38</v>
      </c>
      <c r="P2101" s="5">
        <v>9</v>
      </c>
      <c r="Q2101" s="5">
        <v>114</v>
      </c>
      <c r="R2101" s="5">
        <v>10</v>
      </c>
      <c r="S2101" s="5">
        <v>108</v>
      </c>
    </row>
    <row r="2102" spans="1:19" ht="28" x14ac:dyDescent="0.15">
      <c r="A2102" s="2">
        <f>HYPERLINK("https://open-school.uspishnemisto.com.ua/school/120529/", 120529)</f>
        <v>120529</v>
      </c>
      <c r="B2102" s="3" t="s">
        <v>11047</v>
      </c>
      <c r="C2102" s="3" t="s">
        <v>31</v>
      </c>
      <c r="D2102" s="3" t="s">
        <v>32</v>
      </c>
      <c r="E2102" s="4" t="s">
        <v>22</v>
      </c>
      <c r="F2102" s="4" t="s">
        <v>11048</v>
      </c>
      <c r="G2102" s="4" t="s">
        <v>11049</v>
      </c>
      <c r="H2102" s="3" t="s">
        <v>8487</v>
      </c>
      <c r="I2102" s="3" t="s">
        <v>1587</v>
      </c>
      <c r="J2102" s="3" t="s">
        <v>11050</v>
      </c>
      <c r="K2102" s="3" t="s">
        <v>11051</v>
      </c>
      <c r="L2102" s="3" t="s">
        <v>11052</v>
      </c>
      <c r="M2102" s="4"/>
      <c r="N2102" s="3" t="s">
        <v>37</v>
      </c>
      <c r="O2102" s="3" t="s">
        <v>967</v>
      </c>
      <c r="P2102" s="5">
        <v>10</v>
      </c>
      <c r="Q2102" s="5">
        <v>165</v>
      </c>
      <c r="R2102" s="5">
        <v>11</v>
      </c>
      <c r="S2102" s="5">
        <v>178</v>
      </c>
    </row>
    <row r="2103" spans="1:19" ht="56" x14ac:dyDescent="0.15">
      <c r="A2103" s="2">
        <f>HYPERLINK("https://open-school.uspishnemisto.com.ua/school/120530/", 120530)</f>
        <v>120530</v>
      </c>
      <c r="B2103" s="3" t="s">
        <v>11053</v>
      </c>
      <c r="C2103" s="3" t="s">
        <v>54</v>
      </c>
      <c r="D2103" s="3" t="s">
        <v>175</v>
      </c>
      <c r="E2103" s="4" t="s">
        <v>22</v>
      </c>
      <c r="F2103" s="4" t="s">
        <v>11054</v>
      </c>
      <c r="G2103" s="4" t="s">
        <v>11055</v>
      </c>
      <c r="H2103" s="3" t="s">
        <v>8487</v>
      </c>
      <c r="I2103" s="3" t="s">
        <v>11056</v>
      </c>
      <c r="J2103" s="3" t="s">
        <v>11057</v>
      </c>
      <c r="K2103" s="3" t="s">
        <v>11058</v>
      </c>
      <c r="L2103" s="3" t="s">
        <v>11059</v>
      </c>
      <c r="M2103" s="4" t="s">
        <v>11060</v>
      </c>
      <c r="N2103" s="3" t="s">
        <v>37</v>
      </c>
      <c r="O2103" s="3" t="s">
        <v>112</v>
      </c>
      <c r="P2103" s="5">
        <v>5</v>
      </c>
      <c r="Q2103" s="5">
        <v>41</v>
      </c>
      <c r="R2103" s="5">
        <v>6</v>
      </c>
      <c r="S2103" s="5">
        <v>39</v>
      </c>
    </row>
    <row r="2104" spans="1:19" ht="56" x14ac:dyDescent="0.15">
      <c r="A2104" s="2">
        <f>HYPERLINK("https://open-school.uspishnemisto.com.ua/school/120531/", 120531)</f>
        <v>120531</v>
      </c>
      <c r="B2104" s="3" t="s">
        <v>11061</v>
      </c>
      <c r="C2104" s="3" t="s">
        <v>54</v>
      </c>
      <c r="D2104" s="3" t="s">
        <v>32</v>
      </c>
      <c r="E2104" s="4" t="s">
        <v>22</v>
      </c>
      <c r="F2104" s="4" t="s">
        <v>11062</v>
      </c>
      <c r="G2104" s="4" t="s">
        <v>11063</v>
      </c>
      <c r="H2104" s="3" t="s">
        <v>8487</v>
      </c>
      <c r="I2104" s="3" t="s">
        <v>11064</v>
      </c>
      <c r="J2104" s="3" t="s">
        <v>11065</v>
      </c>
      <c r="K2104" s="3" t="s">
        <v>11066</v>
      </c>
      <c r="L2104" s="3" t="s">
        <v>11067</v>
      </c>
      <c r="M2104" s="4" t="s">
        <v>11068</v>
      </c>
      <c r="N2104" s="3" t="s">
        <v>37</v>
      </c>
      <c r="O2104" s="3" t="s">
        <v>38</v>
      </c>
      <c r="P2104" s="5">
        <v>8</v>
      </c>
      <c r="Q2104" s="5">
        <v>72</v>
      </c>
      <c r="R2104" s="5">
        <v>8</v>
      </c>
      <c r="S2104" s="5">
        <v>73</v>
      </c>
    </row>
    <row r="2105" spans="1:19" ht="56" x14ac:dyDescent="0.15">
      <c r="A2105" s="2">
        <f>HYPERLINK("https://open-school.uspishnemisto.com.ua/school/120532/", 120532)</f>
        <v>120532</v>
      </c>
      <c r="B2105" s="3" t="s">
        <v>11069</v>
      </c>
      <c r="C2105" s="3" t="s">
        <v>31</v>
      </c>
      <c r="D2105" s="3" t="s">
        <v>32</v>
      </c>
      <c r="E2105" s="4" t="s">
        <v>22</v>
      </c>
      <c r="F2105" s="4" t="s">
        <v>11070</v>
      </c>
      <c r="G2105" s="4" t="s">
        <v>11071</v>
      </c>
      <c r="H2105" s="3" t="s">
        <v>8487</v>
      </c>
      <c r="I2105" s="3" t="s">
        <v>11072</v>
      </c>
      <c r="J2105" s="3" t="s">
        <v>11073</v>
      </c>
      <c r="K2105" s="3" t="s">
        <v>11074</v>
      </c>
      <c r="L2105" s="3" t="s">
        <v>11075</v>
      </c>
      <c r="M2105" s="4"/>
      <c r="N2105" s="3" t="s">
        <v>967</v>
      </c>
      <c r="O2105" s="3" t="s">
        <v>38</v>
      </c>
      <c r="P2105" s="5">
        <v>12</v>
      </c>
      <c r="Q2105" s="5">
        <v>203</v>
      </c>
      <c r="R2105" s="5">
        <v>12</v>
      </c>
      <c r="S2105" s="5">
        <v>215</v>
      </c>
    </row>
    <row r="2106" spans="1:19" ht="56" x14ac:dyDescent="0.15">
      <c r="A2106" s="2">
        <f>HYPERLINK("https://open-school.uspishnemisto.com.ua/school/120533/", 120533)</f>
        <v>120533</v>
      </c>
      <c r="B2106" s="3" t="s">
        <v>11076</v>
      </c>
      <c r="C2106" s="3" t="s">
        <v>31</v>
      </c>
      <c r="D2106" s="3" t="s">
        <v>32</v>
      </c>
      <c r="E2106" s="4" t="s">
        <v>22</v>
      </c>
      <c r="F2106" s="4" t="s">
        <v>11070</v>
      </c>
      <c r="G2106" s="4" t="s">
        <v>11071</v>
      </c>
      <c r="H2106" s="3" t="s">
        <v>8487</v>
      </c>
      <c r="I2106" s="3" t="s">
        <v>11072</v>
      </c>
      <c r="J2106" s="3" t="s">
        <v>11077</v>
      </c>
      <c r="K2106" s="3" t="s">
        <v>11078</v>
      </c>
      <c r="L2106" s="3" t="s">
        <v>11079</v>
      </c>
      <c r="M2106" s="4"/>
      <c r="N2106" s="3" t="s">
        <v>37</v>
      </c>
      <c r="O2106" s="3" t="s">
        <v>38</v>
      </c>
      <c r="P2106" s="5">
        <v>20</v>
      </c>
      <c r="Q2106" s="5">
        <v>525</v>
      </c>
      <c r="R2106" s="5">
        <v>20</v>
      </c>
      <c r="S2106" s="5">
        <v>489</v>
      </c>
    </row>
    <row r="2107" spans="1:19" ht="56" x14ac:dyDescent="0.15">
      <c r="A2107" s="2">
        <f>HYPERLINK("https://open-school.uspishnemisto.com.ua/school/120534/", 120534)</f>
        <v>120534</v>
      </c>
      <c r="B2107" s="3" t="s">
        <v>11080</v>
      </c>
      <c r="C2107" s="3" t="s">
        <v>244</v>
      </c>
      <c r="D2107" s="3" t="s">
        <v>32</v>
      </c>
      <c r="E2107" s="4" t="s">
        <v>22</v>
      </c>
      <c r="F2107" s="4" t="s">
        <v>11070</v>
      </c>
      <c r="G2107" s="4" t="s">
        <v>11071</v>
      </c>
      <c r="H2107" s="3" t="s">
        <v>8487</v>
      </c>
      <c r="I2107" s="3" t="s">
        <v>11072</v>
      </c>
      <c r="J2107" s="3" t="s">
        <v>11081</v>
      </c>
      <c r="K2107" s="3" t="s">
        <v>11082</v>
      </c>
      <c r="L2107" s="3" t="s">
        <v>11083</v>
      </c>
      <c r="M2107" s="4"/>
      <c r="N2107" s="3" t="s">
        <v>37</v>
      </c>
      <c r="O2107" s="3" t="s">
        <v>70</v>
      </c>
      <c r="P2107" s="5">
        <v>19</v>
      </c>
      <c r="Q2107" s="5">
        <v>368</v>
      </c>
      <c r="R2107" s="5">
        <v>20</v>
      </c>
      <c r="S2107" s="5">
        <v>383</v>
      </c>
    </row>
    <row r="2108" spans="1:19" ht="56" x14ac:dyDescent="0.15">
      <c r="A2108" s="2">
        <f>HYPERLINK("https://open-school.uspishnemisto.com.ua/school/120535/", 120535)</f>
        <v>120535</v>
      </c>
      <c r="B2108" s="3" t="s">
        <v>11084</v>
      </c>
      <c r="C2108" s="3" t="s">
        <v>31</v>
      </c>
      <c r="D2108" s="3" t="s">
        <v>32</v>
      </c>
      <c r="E2108" s="4" t="s">
        <v>22</v>
      </c>
      <c r="F2108" s="4" t="s">
        <v>11070</v>
      </c>
      <c r="G2108" s="4" t="s">
        <v>11071</v>
      </c>
      <c r="H2108" s="3" t="s">
        <v>8487</v>
      </c>
      <c r="I2108" s="3" t="s">
        <v>11072</v>
      </c>
      <c r="J2108" s="3" t="s">
        <v>11085</v>
      </c>
      <c r="K2108" s="3" t="s">
        <v>11086</v>
      </c>
      <c r="L2108" s="3" t="s">
        <v>11087</v>
      </c>
      <c r="M2108" s="4"/>
      <c r="N2108" s="3" t="s">
        <v>37</v>
      </c>
      <c r="O2108" s="3" t="s">
        <v>38</v>
      </c>
      <c r="P2108" s="5">
        <v>21</v>
      </c>
      <c r="Q2108" s="5">
        <v>531</v>
      </c>
      <c r="R2108" s="5">
        <v>21</v>
      </c>
      <c r="S2108" s="5">
        <v>522</v>
      </c>
    </row>
    <row r="2109" spans="1:19" ht="42" x14ac:dyDescent="0.15">
      <c r="A2109" s="2">
        <f>HYPERLINK("https://open-school.uspishnemisto.com.ua/school/120536/", 120536)</f>
        <v>120536</v>
      </c>
      <c r="B2109" s="3" t="s">
        <v>11088</v>
      </c>
      <c r="C2109" s="3" t="s">
        <v>181</v>
      </c>
      <c r="D2109" s="3" t="s">
        <v>32</v>
      </c>
      <c r="E2109" s="4" t="s">
        <v>22</v>
      </c>
      <c r="F2109" s="4" t="s">
        <v>11070</v>
      </c>
      <c r="G2109" s="4" t="s">
        <v>11071</v>
      </c>
      <c r="H2109" s="3" t="s">
        <v>8487</v>
      </c>
      <c r="I2109" s="3" t="s">
        <v>11072</v>
      </c>
      <c r="J2109" s="3" t="s">
        <v>11089</v>
      </c>
      <c r="K2109" s="3" t="s">
        <v>11090</v>
      </c>
      <c r="L2109" s="3" t="s">
        <v>11091</v>
      </c>
      <c r="M2109" s="4" t="s">
        <v>11092</v>
      </c>
      <c r="N2109" s="3" t="s">
        <v>37</v>
      </c>
      <c r="O2109" s="3" t="s">
        <v>52</v>
      </c>
      <c r="P2109" s="5">
        <v>19</v>
      </c>
      <c r="Q2109" s="5">
        <v>134</v>
      </c>
      <c r="R2109" s="5">
        <v>17</v>
      </c>
      <c r="S2109" s="5">
        <v>123</v>
      </c>
    </row>
    <row r="2110" spans="1:19" ht="56" x14ac:dyDescent="0.15">
      <c r="A2110" s="2">
        <f>HYPERLINK("https://open-school.uspishnemisto.com.ua/school/120537/", 120537)</f>
        <v>120537</v>
      </c>
      <c r="B2110" s="3" t="s">
        <v>11093</v>
      </c>
      <c r="C2110" s="3" t="s">
        <v>31</v>
      </c>
      <c r="D2110" s="3" t="s">
        <v>32</v>
      </c>
      <c r="E2110" s="4" t="s">
        <v>22</v>
      </c>
      <c r="F2110" s="4" t="s">
        <v>11094</v>
      </c>
      <c r="G2110" s="4" t="s">
        <v>11095</v>
      </c>
      <c r="H2110" s="3" t="s">
        <v>8487</v>
      </c>
      <c r="I2110" s="3" t="s">
        <v>11096</v>
      </c>
      <c r="J2110" s="3" t="s">
        <v>11097</v>
      </c>
      <c r="K2110" s="3" t="s">
        <v>11098</v>
      </c>
      <c r="L2110" s="3" t="s">
        <v>11099</v>
      </c>
      <c r="M2110" s="4"/>
      <c r="N2110" s="3" t="s">
        <v>37</v>
      </c>
      <c r="O2110" s="3" t="s">
        <v>38</v>
      </c>
      <c r="P2110" s="5">
        <v>16</v>
      </c>
      <c r="Q2110" s="5">
        <v>384</v>
      </c>
      <c r="R2110" s="5">
        <v>15</v>
      </c>
      <c r="S2110" s="5">
        <v>354</v>
      </c>
    </row>
    <row r="2111" spans="1:19" ht="56" x14ac:dyDescent="0.15">
      <c r="A2111" s="2">
        <f>HYPERLINK("https://open-school.uspishnemisto.com.ua/school/120538/", 120538)</f>
        <v>120538</v>
      </c>
      <c r="B2111" s="3" t="s">
        <v>11100</v>
      </c>
      <c r="C2111" s="3" t="s">
        <v>54</v>
      </c>
      <c r="D2111" s="3" t="s">
        <v>32</v>
      </c>
      <c r="E2111" s="4" t="s">
        <v>22</v>
      </c>
      <c r="F2111" s="4" t="s">
        <v>11094</v>
      </c>
      <c r="G2111" s="4" t="s">
        <v>11095</v>
      </c>
      <c r="H2111" s="3" t="s">
        <v>8487</v>
      </c>
      <c r="I2111" s="3" t="s">
        <v>11096</v>
      </c>
      <c r="J2111" s="3" t="s">
        <v>11101</v>
      </c>
      <c r="K2111" s="3" t="s">
        <v>11102</v>
      </c>
      <c r="L2111" s="3" t="s">
        <v>11103</v>
      </c>
      <c r="M2111" s="4"/>
      <c r="N2111" s="3" t="s">
        <v>37</v>
      </c>
      <c r="O2111" s="3" t="s">
        <v>38</v>
      </c>
      <c r="P2111" s="5">
        <v>38</v>
      </c>
      <c r="Q2111" s="5">
        <v>929</v>
      </c>
      <c r="R2111" s="5">
        <v>39</v>
      </c>
      <c r="S2111" s="5">
        <v>926</v>
      </c>
    </row>
    <row r="2112" spans="1:19" ht="42" x14ac:dyDescent="0.15">
      <c r="A2112" s="2">
        <f>HYPERLINK("https://open-school.uspishnemisto.com.ua/school/120539/", 120539)</f>
        <v>120539</v>
      </c>
      <c r="B2112" s="3" t="s">
        <v>11104</v>
      </c>
      <c r="C2112" s="3" t="s">
        <v>31</v>
      </c>
      <c r="D2112" s="3" t="s">
        <v>175</v>
      </c>
      <c r="E2112" s="4" t="s">
        <v>22</v>
      </c>
      <c r="F2112" s="4" t="s">
        <v>11105</v>
      </c>
      <c r="G2112" s="4" t="s">
        <v>11106</v>
      </c>
      <c r="H2112" s="3" t="s">
        <v>8487</v>
      </c>
      <c r="I2112" s="3" t="s">
        <v>2096</v>
      </c>
      <c r="J2112" s="3" t="s">
        <v>11107</v>
      </c>
      <c r="K2112" s="3" t="s">
        <v>11108</v>
      </c>
      <c r="L2112" s="3" t="s">
        <v>11109</v>
      </c>
      <c r="M2112" s="4"/>
      <c r="N2112" s="3" t="s">
        <v>37</v>
      </c>
      <c r="O2112" s="3" t="s">
        <v>38</v>
      </c>
      <c r="P2112" s="5">
        <v>9</v>
      </c>
      <c r="Q2112" s="5">
        <v>63</v>
      </c>
      <c r="R2112" s="5">
        <v>7</v>
      </c>
      <c r="S2112" s="5">
        <v>60</v>
      </c>
    </row>
    <row r="2113" spans="1:19" ht="56" x14ac:dyDescent="0.15">
      <c r="A2113" s="2">
        <f>HYPERLINK("https://open-school.uspishnemisto.com.ua/school/120540/", 120540)</f>
        <v>120540</v>
      </c>
      <c r="B2113" s="3" t="s">
        <v>11110</v>
      </c>
      <c r="C2113" s="3" t="s">
        <v>31</v>
      </c>
      <c r="D2113" s="3" t="s">
        <v>32</v>
      </c>
      <c r="E2113" s="4" t="s">
        <v>22</v>
      </c>
      <c r="F2113" s="4" t="s">
        <v>11111</v>
      </c>
      <c r="G2113" s="4" t="s">
        <v>11112</v>
      </c>
      <c r="H2113" s="3" t="s">
        <v>8487</v>
      </c>
      <c r="I2113" s="3" t="s">
        <v>11113</v>
      </c>
      <c r="J2113" s="3" t="s">
        <v>566</v>
      </c>
      <c r="K2113" s="3" t="s">
        <v>11114</v>
      </c>
      <c r="L2113" s="3" t="s">
        <v>11115</v>
      </c>
      <c r="M2113" s="4"/>
      <c r="N2113" s="3" t="s">
        <v>37</v>
      </c>
      <c r="O2113" s="3" t="s">
        <v>38</v>
      </c>
      <c r="P2113" s="5">
        <v>21</v>
      </c>
      <c r="Q2113" s="5">
        <v>485</v>
      </c>
      <c r="R2113" s="5">
        <v>21</v>
      </c>
      <c r="S2113" s="5">
        <v>481</v>
      </c>
    </row>
    <row r="2114" spans="1:19" ht="56" x14ac:dyDescent="0.15">
      <c r="A2114" s="2">
        <f>HYPERLINK("https://open-school.uspishnemisto.com.ua/school/120541/", 120541)</f>
        <v>120541</v>
      </c>
      <c r="B2114" s="3" t="s">
        <v>11116</v>
      </c>
      <c r="C2114" s="3" t="s">
        <v>31</v>
      </c>
      <c r="D2114" s="3" t="s">
        <v>32</v>
      </c>
      <c r="E2114" s="4" t="s">
        <v>22</v>
      </c>
      <c r="F2114" s="4" t="s">
        <v>11117</v>
      </c>
      <c r="G2114" s="4" t="s">
        <v>11118</v>
      </c>
      <c r="H2114" s="3" t="s">
        <v>8487</v>
      </c>
      <c r="I2114" s="3" t="s">
        <v>11119</v>
      </c>
      <c r="J2114" s="3" t="s">
        <v>3393</v>
      </c>
      <c r="K2114" s="3" t="s">
        <v>11120</v>
      </c>
      <c r="L2114" s="3" t="s">
        <v>11121</v>
      </c>
      <c r="M2114" s="4"/>
      <c r="N2114" s="3" t="s">
        <v>37</v>
      </c>
      <c r="O2114" s="3" t="s">
        <v>70</v>
      </c>
      <c r="P2114" s="5">
        <v>12</v>
      </c>
      <c r="Q2114" s="5">
        <v>257</v>
      </c>
      <c r="R2114" s="5">
        <v>12</v>
      </c>
      <c r="S2114" s="5">
        <v>260</v>
      </c>
    </row>
    <row r="2115" spans="1:19" ht="56" x14ac:dyDescent="0.15">
      <c r="A2115" s="2">
        <f>HYPERLINK("https://open-school.uspishnemisto.com.ua/school/120542/", 120542)</f>
        <v>120542</v>
      </c>
      <c r="B2115" s="3" t="s">
        <v>11122</v>
      </c>
      <c r="C2115" s="3" t="s">
        <v>31</v>
      </c>
      <c r="D2115" s="3" t="s">
        <v>32</v>
      </c>
      <c r="E2115" s="4" t="s">
        <v>22</v>
      </c>
      <c r="F2115" s="4" t="s">
        <v>11117</v>
      </c>
      <c r="G2115" s="4" t="s">
        <v>11118</v>
      </c>
      <c r="H2115" s="3" t="s">
        <v>8487</v>
      </c>
      <c r="I2115" s="3" t="s">
        <v>11119</v>
      </c>
      <c r="J2115" s="3" t="s">
        <v>11123</v>
      </c>
      <c r="K2115" s="3"/>
      <c r="L2115" s="3" t="s">
        <v>11124</v>
      </c>
      <c r="M2115" s="4"/>
      <c r="N2115" s="3" t="s">
        <v>37</v>
      </c>
      <c r="O2115" s="3" t="s">
        <v>38</v>
      </c>
      <c r="P2115" s="5">
        <v>11</v>
      </c>
      <c r="Q2115" s="5">
        <v>173</v>
      </c>
      <c r="R2115" s="5">
        <v>11</v>
      </c>
      <c r="S2115" s="5">
        <v>173</v>
      </c>
    </row>
    <row r="2116" spans="1:19" ht="42" x14ac:dyDescent="0.15">
      <c r="A2116" s="2">
        <f>HYPERLINK("https://open-school.uspishnemisto.com.ua/school/120543/", 120543)</f>
        <v>120543</v>
      </c>
      <c r="B2116" s="3" t="s">
        <v>11125</v>
      </c>
      <c r="C2116" s="3" t="s">
        <v>54</v>
      </c>
      <c r="D2116" s="3" t="s">
        <v>32</v>
      </c>
      <c r="E2116" s="4" t="s">
        <v>22</v>
      </c>
      <c r="F2116" s="4" t="s">
        <v>11126</v>
      </c>
      <c r="G2116" s="4" t="s">
        <v>11127</v>
      </c>
      <c r="H2116" s="3" t="s">
        <v>8487</v>
      </c>
      <c r="I2116" s="3" t="s">
        <v>11128</v>
      </c>
      <c r="J2116" s="3" t="s">
        <v>11129</v>
      </c>
      <c r="K2116" s="3" t="s">
        <v>11130</v>
      </c>
      <c r="L2116" s="3" t="s">
        <v>11131</v>
      </c>
      <c r="M2116" s="4"/>
      <c r="N2116" s="3" t="s">
        <v>37</v>
      </c>
      <c r="O2116" s="3" t="s">
        <v>38</v>
      </c>
      <c r="P2116" s="5">
        <v>37</v>
      </c>
      <c r="Q2116" s="5">
        <v>331</v>
      </c>
      <c r="R2116" s="5">
        <v>38</v>
      </c>
      <c r="S2116" s="5">
        <v>347</v>
      </c>
    </row>
    <row r="2117" spans="1:19" ht="42" x14ac:dyDescent="0.15">
      <c r="A2117" s="2">
        <f>HYPERLINK("https://open-school.uspishnemisto.com.ua/school/120544/", 120544)</f>
        <v>120544</v>
      </c>
      <c r="B2117" s="3" t="s">
        <v>11132</v>
      </c>
      <c r="C2117" s="3" t="s">
        <v>31</v>
      </c>
      <c r="D2117" s="3" t="s">
        <v>32</v>
      </c>
      <c r="E2117" s="4" t="s">
        <v>22</v>
      </c>
      <c r="F2117" s="4" t="s">
        <v>11133</v>
      </c>
      <c r="G2117" s="4" t="s">
        <v>11134</v>
      </c>
      <c r="H2117" s="3" t="s">
        <v>8487</v>
      </c>
      <c r="I2117" s="3" t="s">
        <v>11135</v>
      </c>
      <c r="J2117" s="3" t="s">
        <v>634</v>
      </c>
      <c r="K2117" s="3"/>
      <c r="L2117" s="3" t="s">
        <v>11136</v>
      </c>
      <c r="M2117" s="4"/>
      <c r="N2117" s="3" t="s">
        <v>37</v>
      </c>
      <c r="O2117" s="3" t="s">
        <v>38</v>
      </c>
      <c r="P2117" s="5">
        <v>10</v>
      </c>
      <c r="Q2117" s="5">
        <v>138</v>
      </c>
      <c r="R2117" s="5">
        <v>10</v>
      </c>
      <c r="S2117" s="5">
        <v>139</v>
      </c>
    </row>
    <row r="2118" spans="1:19" ht="56" x14ac:dyDescent="0.15">
      <c r="A2118" s="2">
        <f>HYPERLINK("https://open-school.uspishnemisto.com.ua/school/120983/", 120983)</f>
        <v>120983</v>
      </c>
      <c r="B2118" s="3" t="s">
        <v>11137</v>
      </c>
      <c r="C2118" s="3" t="s">
        <v>31</v>
      </c>
      <c r="D2118" s="3" t="s">
        <v>175</v>
      </c>
      <c r="E2118" s="4" t="s">
        <v>22</v>
      </c>
      <c r="F2118" s="4" t="s">
        <v>11138</v>
      </c>
      <c r="G2118" s="4" t="s">
        <v>11139</v>
      </c>
      <c r="H2118" s="3" t="s">
        <v>8487</v>
      </c>
      <c r="I2118" s="3" t="s">
        <v>11140</v>
      </c>
      <c r="J2118" s="3" t="s">
        <v>11141</v>
      </c>
      <c r="K2118" s="3" t="s">
        <v>11142</v>
      </c>
      <c r="L2118" s="3" t="s">
        <v>11143</v>
      </c>
      <c r="M2118" s="4"/>
      <c r="N2118" s="3"/>
      <c r="O2118" s="3"/>
      <c r="P2118" s="5">
        <v>0</v>
      </c>
      <c r="Q2118" s="5">
        <v>0</v>
      </c>
      <c r="R2118" s="5"/>
      <c r="S2118" s="5"/>
    </row>
    <row r="2119" spans="1:19" ht="42" x14ac:dyDescent="0.15">
      <c r="A2119" s="2">
        <f>HYPERLINK("https://open-school.uspishnemisto.com.ua/school/120545/", 120545)</f>
        <v>120545</v>
      </c>
      <c r="B2119" s="3" t="s">
        <v>11144</v>
      </c>
      <c r="C2119" s="3" t="s">
        <v>31</v>
      </c>
      <c r="D2119" s="3" t="s">
        <v>32</v>
      </c>
      <c r="E2119" s="4" t="s">
        <v>22</v>
      </c>
      <c r="F2119" s="4" t="s">
        <v>11145</v>
      </c>
      <c r="G2119" s="4" t="s">
        <v>11146</v>
      </c>
      <c r="H2119" s="3" t="s">
        <v>8487</v>
      </c>
      <c r="I2119" s="3" t="s">
        <v>11147</v>
      </c>
      <c r="J2119" s="3" t="s">
        <v>11148</v>
      </c>
      <c r="K2119" s="3" t="s">
        <v>11149</v>
      </c>
      <c r="L2119" s="3" t="s">
        <v>11150</v>
      </c>
      <c r="M2119" s="4"/>
      <c r="N2119" s="3" t="s">
        <v>37</v>
      </c>
      <c r="O2119" s="3" t="s">
        <v>38</v>
      </c>
      <c r="P2119" s="5">
        <v>11</v>
      </c>
      <c r="Q2119" s="5">
        <v>113</v>
      </c>
      <c r="R2119" s="5">
        <v>11</v>
      </c>
      <c r="S2119" s="5">
        <v>108</v>
      </c>
    </row>
    <row r="2120" spans="1:19" ht="42" x14ac:dyDescent="0.15">
      <c r="A2120" s="2">
        <f>HYPERLINK("https://open-school.uspishnemisto.com.ua/school/120546/", 120546)</f>
        <v>120546</v>
      </c>
      <c r="B2120" s="3" t="s">
        <v>11151</v>
      </c>
      <c r="C2120" s="3" t="s">
        <v>31</v>
      </c>
      <c r="D2120" s="3" t="s">
        <v>175</v>
      </c>
      <c r="E2120" s="4" t="s">
        <v>22</v>
      </c>
      <c r="F2120" s="4" t="s">
        <v>11152</v>
      </c>
      <c r="G2120" s="4" t="s">
        <v>11153</v>
      </c>
      <c r="H2120" s="3" t="s">
        <v>8487</v>
      </c>
      <c r="I2120" s="3" t="s">
        <v>4594</v>
      </c>
      <c r="J2120" s="3" t="s">
        <v>2434</v>
      </c>
      <c r="K2120" s="3" t="s">
        <v>11154</v>
      </c>
      <c r="L2120" s="3" t="s">
        <v>11155</v>
      </c>
      <c r="M2120" s="4"/>
      <c r="N2120" s="3" t="s">
        <v>37</v>
      </c>
      <c r="O2120" s="3" t="s">
        <v>38</v>
      </c>
      <c r="P2120" s="5">
        <v>8</v>
      </c>
      <c r="Q2120" s="5">
        <v>66</v>
      </c>
      <c r="R2120" s="5">
        <v>7</v>
      </c>
      <c r="S2120" s="5">
        <v>50</v>
      </c>
    </row>
    <row r="2121" spans="1:19" ht="56" x14ac:dyDescent="0.15">
      <c r="A2121" s="2">
        <f>HYPERLINK("https://open-school.uspishnemisto.com.ua/school/120984/", 120984)</f>
        <v>120984</v>
      </c>
      <c r="B2121" s="3" t="s">
        <v>11156</v>
      </c>
      <c r="C2121" s="3" t="s">
        <v>31</v>
      </c>
      <c r="D2121" s="3" t="s">
        <v>175</v>
      </c>
      <c r="E2121" s="4" t="s">
        <v>22</v>
      </c>
      <c r="F2121" s="4" t="s">
        <v>11157</v>
      </c>
      <c r="G2121" s="4" t="s">
        <v>11158</v>
      </c>
      <c r="H2121" s="3" t="s">
        <v>8487</v>
      </c>
      <c r="I2121" s="3" t="s">
        <v>11159</v>
      </c>
      <c r="J2121" s="3" t="s">
        <v>466</v>
      </c>
      <c r="K2121" s="3" t="s">
        <v>11160</v>
      </c>
      <c r="L2121" s="3" t="s">
        <v>11161</v>
      </c>
      <c r="M2121" s="4"/>
      <c r="N2121" s="3"/>
      <c r="O2121" s="3"/>
      <c r="P2121" s="5">
        <v>0</v>
      </c>
      <c r="Q2121" s="5">
        <v>0</v>
      </c>
      <c r="R2121" s="5"/>
      <c r="S2121" s="5"/>
    </row>
    <row r="2122" spans="1:19" ht="56" x14ac:dyDescent="0.15">
      <c r="A2122" s="2">
        <f>HYPERLINK("https://open-school.uspishnemisto.com.ua/school/120985/", 120985)</f>
        <v>120985</v>
      </c>
      <c r="B2122" s="3" t="s">
        <v>11162</v>
      </c>
      <c r="C2122" s="3" t="s">
        <v>31</v>
      </c>
      <c r="D2122" s="3" t="s">
        <v>175</v>
      </c>
      <c r="E2122" s="4" t="s">
        <v>22</v>
      </c>
      <c r="F2122" s="4" t="s">
        <v>11163</v>
      </c>
      <c r="G2122" s="4" t="s">
        <v>11164</v>
      </c>
      <c r="H2122" s="3" t="s">
        <v>8487</v>
      </c>
      <c r="I2122" s="3" t="s">
        <v>11165</v>
      </c>
      <c r="J2122" s="3" t="s">
        <v>11166</v>
      </c>
      <c r="K2122" s="3" t="s">
        <v>11167</v>
      </c>
      <c r="L2122" s="3" t="s">
        <v>11168</v>
      </c>
      <c r="M2122" s="4"/>
      <c r="N2122" s="3"/>
      <c r="O2122" s="3"/>
      <c r="P2122" s="5">
        <v>0</v>
      </c>
      <c r="Q2122" s="5">
        <v>0</v>
      </c>
      <c r="R2122" s="5"/>
      <c r="S2122" s="5"/>
    </row>
    <row r="2123" spans="1:19" ht="42" x14ac:dyDescent="0.15">
      <c r="A2123" s="2">
        <f>HYPERLINK("https://open-school.uspishnemisto.com.ua/school/120547/", 120547)</f>
        <v>120547</v>
      </c>
      <c r="B2123" s="3" t="s">
        <v>11169</v>
      </c>
      <c r="C2123" s="3" t="s">
        <v>31</v>
      </c>
      <c r="D2123" s="3" t="s">
        <v>175</v>
      </c>
      <c r="E2123" s="4" t="s">
        <v>22</v>
      </c>
      <c r="F2123" s="4" t="s">
        <v>11170</v>
      </c>
      <c r="G2123" s="4" t="s">
        <v>11171</v>
      </c>
      <c r="H2123" s="3" t="s">
        <v>8487</v>
      </c>
      <c r="I2123" s="3" t="s">
        <v>10907</v>
      </c>
      <c r="J2123" s="3" t="s">
        <v>4425</v>
      </c>
      <c r="K2123" s="3" t="s">
        <v>11172</v>
      </c>
      <c r="L2123" s="3" t="s">
        <v>11173</v>
      </c>
      <c r="M2123" s="4"/>
      <c r="N2123" s="3" t="s">
        <v>37</v>
      </c>
      <c r="O2123" s="3" t="s">
        <v>38</v>
      </c>
      <c r="P2123" s="5">
        <v>9</v>
      </c>
      <c r="Q2123" s="5">
        <v>73</v>
      </c>
      <c r="R2123" s="5">
        <v>8</v>
      </c>
      <c r="S2123" s="5">
        <v>62</v>
      </c>
    </row>
    <row r="2124" spans="1:19" ht="42" x14ac:dyDescent="0.15">
      <c r="A2124" s="2">
        <f>HYPERLINK("https://open-school.uspishnemisto.com.ua/school/120548/", 120548)</f>
        <v>120548</v>
      </c>
      <c r="B2124" s="3" t="s">
        <v>11174</v>
      </c>
      <c r="C2124" s="3" t="s">
        <v>31</v>
      </c>
      <c r="D2124" s="3" t="s">
        <v>32</v>
      </c>
      <c r="E2124" s="4" t="s">
        <v>22</v>
      </c>
      <c r="F2124" s="4" t="s">
        <v>11175</v>
      </c>
      <c r="G2124" s="4" t="s">
        <v>11176</v>
      </c>
      <c r="H2124" s="3" t="s">
        <v>8487</v>
      </c>
      <c r="I2124" s="3" t="s">
        <v>11177</v>
      </c>
      <c r="J2124" s="3" t="s">
        <v>11178</v>
      </c>
      <c r="K2124" s="3" t="s">
        <v>11179</v>
      </c>
      <c r="L2124" s="3" t="s">
        <v>11180</v>
      </c>
      <c r="M2124" s="4"/>
      <c r="N2124" s="3" t="s">
        <v>37</v>
      </c>
      <c r="O2124" s="3" t="s">
        <v>38</v>
      </c>
      <c r="P2124" s="5">
        <v>18</v>
      </c>
      <c r="Q2124" s="5">
        <v>368</v>
      </c>
      <c r="R2124" s="5">
        <v>17</v>
      </c>
      <c r="S2124" s="5">
        <v>344</v>
      </c>
    </row>
    <row r="2125" spans="1:19" ht="42" x14ac:dyDescent="0.15">
      <c r="A2125" s="2">
        <f>HYPERLINK("https://open-school.uspishnemisto.com.ua/school/120549/", 120549)</f>
        <v>120549</v>
      </c>
      <c r="B2125" s="3" t="s">
        <v>11181</v>
      </c>
      <c r="C2125" s="3" t="s">
        <v>31</v>
      </c>
      <c r="D2125" s="3" t="s">
        <v>32</v>
      </c>
      <c r="E2125" s="4" t="s">
        <v>22</v>
      </c>
      <c r="F2125" s="4" t="s">
        <v>11182</v>
      </c>
      <c r="G2125" s="4" t="s">
        <v>11183</v>
      </c>
      <c r="H2125" s="3" t="s">
        <v>8487</v>
      </c>
      <c r="I2125" s="3" t="s">
        <v>7321</v>
      </c>
      <c r="J2125" s="3" t="s">
        <v>11184</v>
      </c>
      <c r="K2125" s="3" t="s">
        <v>11185</v>
      </c>
      <c r="L2125" s="3"/>
      <c r="M2125" s="4" t="s">
        <v>11186</v>
      </c>
      <c r="N2125" s="3" t="s">
        <v>37</v>
      </c>
      <c r="O2125" s="3" t="s">
        <v>38</v>
      </c>
      <c r="P2125" s="5">
        <v>33</v>
      </c>
      <c r="Q2125" s="5">
        <v>837</v>
      </c>
      <c r="R2125" s="5">
        <v>33</v>
      </c>
      <c r="S2125" s="5">
        <v>811</v>
      </c>
    </row>
    <row r="2126" spans="1:19" ht="42" x14ac:dyDescent="0.15">
      <c r="A2126" s="2">
        <f>HYPERLINK("https://open-school.uspishnemisto.com.ua/school/120550/", 120550)</f>
        <v>120550</v>
      </c>
      <c r="B2126" s="3" t="s">
        <v>11187</v>
      </c>
      <c r="C2126" s="3" t="s">
        <v>54</v>
      </c>
      <c r="D2126" s="3" t="s">
        <v>32</v>
      </c>
      <c r="E2126" s="4" t="s">
        <v>22</v>
      </c>
      <c r="F2126" s="4" t="s">
        <v>11188</v>
      </c>
      <c r="G2126" s="4" t="s">
        <v>11183</v>
      </c>
      <c r="H2126" s="3" t="s">
        <v>8487</v>
      </c>
      <c r="I2126" s="3" t="s">
        <v>7321</v>
      </c>
      <c r="J2126" s="3" t="s">
        <v>11189</v>
      </c>
      <c r="K2126" s="3" t="s">
        <v>11190</v>
      </c>
      <c r="L2126" s="3" t="s">
        <v>11191</v>
      </c>
      <c r="M2126" s="4" t="s">
        <v>11192</v>
      </c>
      <c r="N2126" s="3" t="s">
        <v>37</v>
      </c>
      <c r="O2126" s="3" t="s">
        <v>52</v>
      </c>
      <c r="P2126" s="5">
        <v>19</v>
      </c>
      <c r="Q2126" s="5">
        <v>375</v>
      </c>
      <c r="R2126" s="5">
        <v>19</v>
      </c>
      <c r="S2126" s="5">
        <v>367</v>
      </c>
    </row>
    <row r="2127" spans="1:19" ht="56" x14ac:dyDescent="0.15">
      <c r="A2127" s="2">
        <f>HYPERLINK("https://open-school.uspishnemisto.com.ua/school/120551/", 120551)</f>
        <v>120551</v>
      </c>
      <c r="B2127" s="3" t="s">
        <v>11193</v>
      </c>
      <c r="C2127" s="3" t="s">
        <v>54</v>
      </c>
      <c r="D2127" s="3" t="s">
        <v>32</v>
      </c>
      <c r="E2127" s="4" t="s">
        <v>22</v>
      </c>
      <c r="F2127" s="4" t="s">
        <v>11188</v>
      </c>
      <c r="G2127" s="4" t="s">
        <v>11183</v>
      </c>
      <c r="H2127" s="3" t="s">
        <v>8487</v>
      </c>
      <c r="I2127" s="3" t="s">
        <v>7321</v>
      </c>
      <c r="J2127" s="3" t="s">
        <v>11194</v>
      </c>
      <c r="K2127" s="3" t="s">
        <v>11195</v>
      </c>
      <c r="L2127" s="3" t="s">
        <v>11196</v>
      </c>
      <c r="M2127" s="4"/>
      <c r="N2127" s="3" t="s">
        <v>37</v>
      </c>
      <c r="O2127" s="3" t="s">
        <v>38</v>
      </c>
      <c r="P2127" s="5">
        <v>26</v>
      </c>
      <c r="Q2127" s="5">
        <v>655</v>
      </c>
      <c r="R2127" s="5">
        <v>25</v>
      </c>
      <c r="S2127" s="5">
        <v>612</v>
      </c>
    </row>
    <row r="2128" spans="1:19" ht="56" x14ac:dyDescent="0.15">
      <c r="A2128" s="2">
        <f>HYPERLINK("https://open-school.uspishnemisto.com.ua/school/120552/", 120552)</f>
        <v>120552</v>
      </c>
      <c r="B2128" s="3" t="s">
        <v>11197</v>
      </c>
      <c r="C2128" s="3" t="s">
        <v>54</v>
      </c>
      <c r="D2128" s="3" t="s">
        <v>32</v>
      </c>
      <c r="E2128" s="4" t="s">
        <v>22</v>
      </c>
      <c r="F2128" s="4" t="s">
        <v>11188</v>
      </c>
      <c r="G2128" s="4" t="s">
        <v>11183</v>
      </c>
      <c r="H2128" s="3" t="s">
        <v>8487</v>
      </c>
      <c r="I2128" s="3" t="s">
        <v>7321</v>
      </c>
      <c r="J2128" s="3" t="s">
        <v>11198</v>
      </c>
      <c r="K2128" s="3" t="s">
        <v>11199</v>
      </c>
      <c r="L2128" s="3"/>
      <c r="M2128" s="4"/>
      <c r="N2128" s="3" t="s">
        <v>37</v>
      </c>
      <c r="O2128" s="3" t="s">
        <v>38</v>
      </c>
      <c r="P2128" s="5">
        <v>11</v>
      </c>
      <c r="Q2128" s="5">
        <v>185</v>
      </c>
      <c r="R2128" s="5">
        <v>11</v>
      </c>
      <c r="S2128" s="5">
        <v>177</v>
      </c>
    </row>
    <row r="2129" spans="1:19" ht="28" x14ac:dyDescent="0.15">
      <c r="A2129" s="2">
        <f>HYPERLINK("https://open-school.uspishnemisto.com.ua/school/120564/", 120564)</f>
        <v>120564</v>
      </c>
      <c r="B2129" s="3" t="s">
        <v>11200</v>
      </c>
      <c r="C2129" s="3" t="s">
        <v>20</v>
      </c>
      <c r="D2129" s="3" t="s">
        <v>21</v>
      </c>
      <c r="E2129" s="4" t="s">
        <v>22</v>
      </c>
      <c r="F2129" s="4" t="s">
        <v>11201</v>
      </c>
      <c r="G2129" s="4" t="s">
        <v>11183</v>
      </c>
      <c r="H2129" s="3" t="s">
        <v>8487</v>
      </c>
      <c r="I2129" s="3" t="s">
        <v>7321</v>
      </c>
      <c r="J2129" s="3" t="s">
        <v>11202</v>
      </c>
      <c r="K2129" s="3" t="s">
        <v>11203</v>
      </c>
      <c r="L2129" s="3"/>
      <c r="M2129" s="4"/>
      <c r="N2129" s="3"/>
      <c r="O2129" s="3"/>
      <c r="P2129" s="5">
        <v>0</v>
      </c>
      <c r="Q2129" s="5">
        <v>0</v>
      </c>
      <c r="R2129" s="5"/>
      <c r="S2129" s="5"/>
    </row>
    <row r="2130" spans="1:19" ht="42" x14ac:dyDescent="0.15">
      <c r="A2130" s="2">
        <f>HYPERLINK("https://open-school.uspishnemisto.com.ua/school/120553/", 120553)</f>
        <v>120553</v>
      </c>
      <c r="B2130" s="3" t="s">
        <v>11204</v>
      </c>
      <c r="C2130" s="3" t="s">
        <v>31</v>
      </c>
      <c r="D2130" s="3" t="s">
        <v>32</v>
      </c>
      <c r="E2130" s="4" t="s">
        <v>22</v>
      </c>
      <c r="F2130" s="4" t="s">
        <v>11205</v>
      </c>
      <c r="G2130" s="4" t="s">
        <v>11206</v>
      </c>
      <c r="H2130" s="3" t="s">
        <v>8487</v>
      </c>
      <c r="I2130" s="3" t="s">
        <v>11207</v>
      </c>
      <c r="J2130" s="3" t="s">
        <v>10823</v>
      </c>
      <c r="K2130" s="3"/>
      <c r="L2130" s="3" t="s">
        <v>11208</v>
      </c>
      <c r="M2130" s="4"/>
      <c r="N2130" s="3" t="s">
        <v>37</v>
      </c>
      <c r="O2130" s="3" t="s">
        <v>38</v>
      </c>
      <c r="P2130" s="5">
        <v>21</v>
      </c>
      <c r="Q2130" s="5">
        <v>518</v>
      </c>
      <c r="R2130" s="5">
        <v>21</v>
      </c>
      <c r="S2130" s="5">
        <v>490</v>
      </c>
    </row>
    <row r="2131" spans="1:19" ht="56" x14ac:dyDescent="0.15">
      <c r="A2131" s="2">
        <f>HYPERLINK("https://open-school.uspishnemisto.com.ua/school/120554/", 120554)</f>
        <v>120554</v>
      </c>
      <c r="B2131" s="3" t="s">
        <v>11209</v>
      </c>
      <c r="C2131" s="3" t="s">
        <v>54</v>
      </c>
      <c r="D2131" s="3" t="s">
        <v>32</v>
      </c>
      <c r="E2131" s="4" t="s">
        <v>22</v>
      </c>
      <c r="F2131" s="4" t="s">
        <v>11205</v>
      </c>
      <c r="G2131" s="4" t="s">
        <v>11206</v>
      </c>
      <c r="H2131" s="3" t="s">
        <v>8487</v>
      </c>
      <c r="I2131" s="3" t="s">
        <v>11207</v>
      </c>
      <c r="J2131" s="3" t="s">
        <v>11210</v>
      </c>
      <c r="K2131" s="3" t="s">
        <v>11211</v>
      </c>
      <c r="L2131" s="3"/>
      <c r="M2131" s="4"/>
      <c r="N2131" s="3" t="s">
        <v>37</v>
      </c>
      <c r="O2131" s="3" t="s">
        <v>38</v>
      </c>
      <c r="P2131" s="5">
        <v>11</v>
      </c>
      <c r="Q2131" s="5">
        <v>196</v>
      </c>
      <c r="R2131" s="5">
        <v>11</v>
      </c>
      <c r="S2131" s="5">
        <v>187</v>
      </c>
    </row>
    <row r="2132" spans="1:19" ht="56" x14ac:dyDescent="0.15">
      <c r="A2132" s="2">
        <f>HYPERLINK("https://open-school.uspishnemisto.com.ua/school/120555/", 120555)</f>
        <v>120555</v>
      </c>
      <c r="B2132" s="3" t="s">
        <v>11212</v>
      </c>
      <c r="C2132" s="3" t="s">
        <v>54</v>
      </c>
      <c r="D2132" s="3" t="s">
        <v>32</v>
      </c>
      <c r="E2132" s="4" t="s">
        <v>22</v>
      </c>
      <c r="F2132" s="4" t="s">
        <v>11213</v>
      </c>
      <c r="G2132" s="4" t="s">
        <v>11214</v>
      </c>
      <c r="H2132" s="3" t="s">
        <v>8487</v>
      </c>
      <c r="I2132" s="3" t="s">
        <v>11215</v>
      </c>
      <c r="J2132" s="3" t="s">
        <v>11216</v>
      </c>
      <c r="K2132" s="3"/>
      <c r="L2132" s="3"/>
      <c r="M2132" s="4"/>
      <c r="N2132" s="3" t="s">
        <v>37</v>
      </c>
      <c r="O2132" s="3" t="s">
        <v>38</v>
      </c>
      <c r="P2132" s="5">
        <v>11</v>
      </c>
      <c r="Q2132" s="5">
        <v>174</v>
      </c>
      <c r="R2132" s="5">
        <v>11</v>
      </c>
      <c r="S2132" s="5">
        <v>154</v>
      </c>
    </row>
    <row r="2133" spans="1:19" ht="28" x14ac:dyDescent="0.15">
      <c r="A2133" s="2">
        <f>HYPERLINK("https://open-school.uspishnemisto.com.ua/school/120556/", 120556)</f>
        <v>120556</v>
      </c>
      <c r="B2133" s="3" t="s">
        <v>11217</v>
      </c>
      <c r="C2133" s="3" t="s">
        <v>31</v>
      </c>
      <c r="D2133" s="3" t="s">
        <v>60</v>
      </c>
      <c r="E2133" s="4" t="s">
        <v>22</v>
      </c>
      <c r="F2133" s="4" t="s">
        <v>11218</v>
      </c>
      <c r="G2133" s="4" t="s">
        <v>11219</v>
      </c>
      <c r="H2133" s="3" t="s">
        <v>8487</v>
      </c>
      <c r="I2133" s="3" t="s">
        <v>11220</v>
      </c>
      <c r="J2133" s="3" t="s">
        <v>11221</v>
      </c>
      <c r="K2133" s="3" t="s">
        <v>11222</v>
      </c>
      <c r="L2133" s="3" t="s">
        <v>11223</v>
      </c>
      <c r="M2133" s="4" t="s">
        <v>11224</v>
      </c>
      <c r="N2133" s="3" t="s">
        <v>128</v>
      </c>
      <c r="O2133" s="3" t="s">
        <v>38</v>
      </c>
      <c r="P2133" s="5">
        <v>22</v>
      </c>
      <c r="Q2133" s="5">
        <v>685</v>
      </c>
      <c r="R2133" s="5">
        <v>22</v>
      </c>
      <c r="S2133" s="5">
        <v>663</v>
      </c>
    </row>
    <row r="2134" spans="1:19" ht="56" x14ac:dyDescent="0.15">
      <c r="A2134" s="2">
        <f>HYPERLINK("https://open-school.uspishnemisto.com.ua/school/120557/", 120557)</f>
        <v>120557</v>
      </c>
      <c r="B2134" s="3" t="s">
        <v>11225</v>
      </c>
      <c r="C2134" s="3" t="s">
        <v>54</v>
      </c>
      <c r="D2134" s="3" t="s">
        <v>21</v>
      </c>
      <c r="E2134" s="4" t="s">
        <v>22</v>
      </c>
      <c r="F2134" s="4" t="s">
        <v>11218</v>
      </c>
      <c r="G2134" s="4" t="s">
        <v>11219</v>
      </c>
      <c r="H2134" s="3" t="s">
        <v>8487</v>
      </c>
      <c r="I2134" s="3" t="s">
        <v>11220</v>
      </c>
      <c r="J2134" s="3" t="s">
        <v>11226</v>
      </c>
      <c r="K2134" s="3" t="s">
        <v>11227</v>
      </c>
      <c r="L2134" s="3" t="s">
        <v>11228</v>
      </c>
      <c r="M2134" s="4" t="s">
        <v>11229</v>
      </c>
      <c r="N2134" s="3" t="s">
        <v>128</v>
      </c>
      <c r="O2134" s="3" t="s">
        <v>129</v>
      </c>
      <c r="P2134" s="5">
        <v>33</v>
      </c>
      <c r="Q2134" s="5">
        <v>779</v>
      </c>
      <c r="R2134" s="5">
        <v>29</v>
      </c>
      <c r="S2134" s="5">
        <v>681</v>
      </c>
    </row>
    <row r="2135" spans="1:19" ht="42" x14ac:dyDescent="0.15">
      <c r="A2135" s="2">
        <f>HYPERLINK("https://open-school.uspishnemisto.com.ua/school/120558/", 120558)</f>
        <v>120558</v>
      </c>
      <c r="B2135" s="3" t="s">
        <v>11230</v>
      </c>
      <c r="C2135" s="3" t="s">
        <v>31</v>
      </c>
      <c r="D2135" s="3" t="s">
        <v>32</v>
      </c>
      <c r="E2135" s="4" t="s">
        <v>22</v>
      </c>
      <c r="F2135" s="4" t="s">
        <v>11231</v>
      </c>
      <c r="G2135" s="4" t="s">
        <v>11232</v>
      </c>
      <c r="H2135" s="3" t="s">
        <v>8487</v>
      </c>
      <c r="I2135" s="3" t="s">
        <v>1291</v>
      </c>
      <c r="J2135" s="3" t="s">
        <v>1348</v>
      </c>
      <c r="K2135" s="3" t="s">
        <v>11233</v>
      </c>
      <c r="L2135" s="3" t="s">
        <v>11234</v>
      </c>
      <c r="M2135" s="4"/>
      <c r="N2135" s="3" t="s">
        <v>37</v>
      </c>
      <c r="O2135" s="3" t="s">
        <v>721</v>
      </c>
      <c r="P2135" s="5">
        <v>20</v>
      </c>
      <c r="Q2135" s="5">
        <v>448</v>
      </c>
      <c r="R2135" s="5">
        <v>20</v>
      </c>
      <c r="S2135" s="5">
        <v>462</v>
      </c>
    </row>
    <row r="2136" spans="1:19" ht="28" x14ac:dyDescent="0.15">
      <c r="A2136" s="2">
        <f>HYPERLINK("https://open-school.uspishnemisto.com.ua/school/120559/", 120559)</f>
        <v>120559</v>
      </c>
      <c r="B2136" s="3" t="s">
        <v>11235</v>
      </c>
      <c r="C2136" s="3" t="s">
        <v>31</v>
      </c>
      <c r="D2136" s="3" t="s">
        <v>32</v>
      </c>
      <c r="E2136" s="4" t="s">
        <v>22</v>
      </c>
      <c r="F2136" s="4" t="s">
        <v>11236</v>
      </c>
      <c r="G2136" s="4" t="s">
        <v>11237</v>
      </c>
      <c r="H2136" s="3" t="s">
        <v>8487</v>
      </c>
      <c r="I2136" s="3" t="s">
        <v>11238</v>
      </c>
      <c r="J2136" s="3" t="s">
        <v>11239</v>
      </c>
      <c r="K2136" s="3" t="s">
        <v>11240</v>
      </c>
      <c r="L2136" s="3"/>
      <c r="M2136" s="4" t="s">
        <v>11241</v>
      </c>
      <c r="N2136" s="3" t="s">
        <v>37</v>
      </c>
      <c r="O2136" s="3" t="s">
        <v>70</v>
      </c>
      <c r="P2136" s="5">
        <v>11</v>
      </c>
      <c r="Q2136" s="5">
        <v>134</v>
      </c>
      <c r="R2136" s="5">
        <v>11</v>
      </c>
      <c r="S2136" s="5">
        <v>123</v>
      </c>
    </row>
    <row r="2137" spans="1:19" ht="56" x14ac:dyDescent="0.15">
      <c r="A2137" s="2">
        <f>HYPERLINK("https://open-school.uspishnemisto.com.ua/school/120560/", 120560)</f>
        <v>120560</v>
      </c>
      <c r="B2137" s="3" t="s">
        <v>11242</v>
      </c>
      <c r="C2137" s="3" t="s">
        <v>54</v>
      </c>
      <c r="D2137" s="3" t="s">
        <v>32</v>
      </c>
      <c r="E2137" s="4" t="s">
        <v>22</v>
      </c>
      <c r="F2137" s="4" t="s">
        <v>11243</v>
      </c>
      <c r="G2137" s="4" t="s">
        <v>11244</v>
      </c>
      <c r="H2137" s="3" t="s">
        <v>8487</v>
      </c>
      <c r="I2137" s="3" t="s">
        <v>11245</v>
      </c>
      <c r="J2137" s="3" t="s">
        <v>10965</v>
      </c>
      <c r="K2137" s="3"/>
      <c r="L2137" s="3" t="s">
        <v>11246</v>
      </c>
      <c r="M2137" s="4"/>
      <c r="N2137" s="3" t="s">
        <v>37</v>
      </c>
      <c r="O2137" s="3" t="s">
        <v>38</v>
      </c>
      <c r="P2137" s="5">
        <v>10</v>
      </c>
      <c r="Q2137" s="5">
        <v>85</v>
      </c>
      <c r="R2137" s="5">
        <v>11</v>
      </c>
      <c r="S2137" s="5">
        <v>91</v>
      </c>
    </row>
    <row r="2138" spans="1:19" ht="42" x14ac:dyDescent="0.15">
      <c r="A2138" s="2">
        <f>HYPERLINK("https://open-school.uspishnemisto.com.ua/school/120561/", 120561)</f>
        <v>120561</v>
      </c>
      <c r="B2138" s="3" t="s">
        <v>11247</v>
      </c>
      <c r="C2138" s="3" t="s">
        <v>31</v>
      </c>
      <c r="D2138" s="3" t="s">
        <v>32</v>
      </c>
      <c r="E2138" s="4" t="s">
        <v>22</v>
      </c>
      <c r="F2138" s="4" t="s">
        <v>11248</v>
      </c>
      <c r="G2138" s="4" t="s">
        <v>11249</v>
      </c>
      <c r="H2138" s="3" t="s">
        <v>8487</v>
      </c>
      <c r="I2138" s="3" t="s">
        <v>11250</v>
      </c>
      <c r="J2138" s="3" t="s">
        <v>634</v>
      </c>
      <c r="K2138" s="3" t="s">
        <v>11251</v>
      </c>
      <c r="L2138" s="3" t="s">
        <v>11252</v>
      </c>
      <c r="M2138" s="4"/>
      <c r="N2138" s="3" t="s">
        <v>37</v>
      </c>
      <c r="O2138" s="3" t="s">
        <v>70</v>
      </c>
      <c r="P2138" s="5">
        <v>11</v>
      </c>
      <c r="Q2138" s="5">
        <v>119</v>
      </c>
      <c r="R2138" s="5">
        <v>10</v>
      </c>
      <c r="S2138" s="5">
        <v>116</v>
      </c>
    </row>
    <row r="2139" spans="1:19" ht="42" x14ac:dyDescent="0.15">
      <c r="A2139" s="2">
        <f>HYPERLINK("https://open-school.uspishnemisto.com.ua/school/120562/", 120562)</f>
        <v>120562</v>
      </c>
      <c r="B2139" s="3" t="s">
        <v>11253</v>
      </c>
      <c r="C2139" s="3" t="s">
        <v>31</v>
      </c>
      <c r="D2139" s="3" t="s">
        <v>32</v>
      </c>
      <c r="E2139" s="4" t="s">
        <v>22</v>
      </c>
      <c r="F2139" s="4" t="s">
        <v>11254</v>
      </c>
      <c r="G2139" s="4" t="s">
        <v>11255</v>
      </c>
      <c r="H2139" s="3" t="s">
        <v>8487</v>
      </c>
      <c r="I2139" s="3" t="s">
        <v>11256</v>
      </c>
      <c r="J2139" s="3" t="s">
        <v>6438</v>
      </c>
      <c r="K2139" s="3" t="s">
        <v>11257</v>
      </c>
      <c r="L2139" s="3" t="s">
        <v>11258</v>
      </c>
      <c r="M2139" s="4"/>
      <c r="N2139" s="3" t="s">
        <v>37</v>
      </c>
      <c r="O2139" s="3" t="s">
        <v>38</v>
      </c>
      <c r="P2139" s="5">
        <v>11</v>
      </c>
      <c r="Q2139" s="5">
        <v>187</v>
      </c>
      <c r="R2139" s="5">
        <v>11</v>
      </c>
      <c r="S2139" s="5">
        <v>182</v>
      </c>
    </row>
    <row r="2140" spans="1:19" ht="42" x14ac:dyDescent="0.15">
      <c r="A2140" s="2">
        <f>HYPERLINK("https://open-school.uspishnemisto.com.ua/school/120563/", 120563)</f>
        <v>120563</v>
      </c>
      <c r="B2140" s="3" t="s">
        <v>11259</v>
      </c>
      <c r="C2140" s="3" t="s">
        <v>31</v>
      </c>
      <c r="D2140" s="3" t="s">
        <v>32</v>
      </c>
      <c r="E2140" s="4" t="s">
        <v>22</v>
      </c>
      <c r="F2140" s="4" t="s">
        <v>11260</v>
      </c>
      <c r="G2140" s="4" t="s">
        <v>11261</v>
      </c>
      <c r="H2140" s="3" t="s">
        <v>8487</v>
      </c>
      <c r="I2140" s="3" t="s">
        <v>1740</v>
      </c>
      <c r="J2140" s="3" t="s">
        <v>11262</v>
      </c>
      <c r="K2140" s="3" t="s">
        <v>11263</v>
      </c>
      <c r="L2140" s="3" t="s">
        <v>11264</v>
      </c>
      <c r="M2140" s="4"/>
      <c r="N2140" s="3" t="s">
        <v>37</v>
      </c>
      <c r="O2140" s="3" t="s">
        <v>38</v>
      </c>
      <c r="P2140" s="5">
        <v>11</v>
      </c>
      <c r="Q2140" s="5">
        <v>189</v>
      </c>
      <c r="R2140" s="5">
        <v>11</v>
      </c>
      <c r="S2140" s="5">
        <v>174</v>
      </c>
    </row>
    <row r="2141" spans="1:19" ht="70" x14ac:dyDescent="0.15">
      <c r="A2141" s="2">
        <f>HYPERLINK("https://open-school.uspishnemisto.com.ua/school/120565/", 120565)</f>
        <v>120565</v>
      </c>
      <c r="B2141" s="3" t="s">
        <v>11265</v>
      </c>
      <c r="C2141" s="3" t="s">
        <v>54</v>
      </c>
      <c r="D2141" s="3" t="s">
        <v>32</v>
      </c>
      <c r="E2141" s="4" t="s">
        <v>22</v>
      </c>
      <c r="F2141" s="4" t="s">
        <v>11201</v>
      </c>
      <c r="G2141" s="4" t="s">
        <v>11266</v>
      </c>
      <c r="H2141" s="3" t="s">
        <v>8487</v>
      </c>
      <c r="I2141" s="3" t="s">
        <v>11267</v>
      </c>
      <c r="J2141" s="3" t="s">
        <v>11268</v>
      </c>
      <c r="K2141" s="3" t="s">
        <v>11269</v>
      </c>
      <c r="L2141" s="3" t="s">
        <v>11270</v>
      </c>
      <c r="M2141" s="4" t="s">
        <v>11271</v>
      </c>
      <c r="N2141" s="3" t="s">
        <v>37</v>
      </c>
      <c r="O2141" s="3" t="s">
        <v>2740</v>
      </c>
      <c r="P2141" s="5">
        <v>17</v>
      </c>
      <c r="Q2141" s="5">
        <v>369</v>
      </c>
      <c r="R2141" s="5">
        <v>16</v>
      </c>
      <c r="S2141" s="5">
        <v>348</v>
      </c>
    </row>
    <row r="2142" spans="1:19" ht="42" x14ac:dyDescent="0.15">
      <c r="A2142" s="2">
        <f>HYPERLINK("https://open-school.uspishnemisto.com.ua/school/120566/", 120566)</f>
        <v>120566</v>
      </c>
      <c r="B2142" s="3" t="s">
        <v>11272</v>
      </c>
      <c r="C2142" s="3" t="s">
        <v>31</v>
      </c>
      <c r="D2142" s="3" t="s">
        <v>60</v>
      </c>
      <c r="E2142" s="4" t="s">
        <v>22</v>
      </c>
      <c r="F2142" s="4" t="s">
        <v>11273</v>
      </c>
      <c r="G2142" s="4" t="s">
        <v>11274</v>
      </c>
      <c r="H2142" s="3" t="s">
        <v>8487</v>
      </c>
      <c r="I2142" s="3" t="s">
        <v>11275</v>
      </c>
      <c r="J2142" s="3" t="s">
        <v>11276</v>
      </c>
      <c r="K2142" s="3" t="s">
        <v>11277</v>
      </c>
      <c r="L2142" s="3" t="s">
        <v>11278</v>
      </c>
      <c r="M2142" s="4" t="s">
        <v>11279</v>
      </c>
      <c r="N2142" s="3" t="s">
        <v>37</v>
      </c>
      <c r="O2142" s="3" t="s">
        <v>52</v>
      </c>
      <c r="P2142" s="5">
        <v>4</v>
      </c>
      <c r="Q2142" s="5">
        <v>43</v>
      </c>
      <c r="R2142" s="5">
        <v>4</v>
      </c>
      <c r="S2142" s="5">
        <v>44</v>
      </c>
    </row>
    <row r="2143" spans="1:19" ht="28" x14ac:dyDescent="0.15">
      <c r="A2143" s="2">
        <f>HYPERLINK("https://open-school.uspishnemisto.com.ua/school/120567/", 120567)</f>
        <v>120567</v>
      </c>
      <c r="B2143" s="3" t="s">
        <v>11280</v>
      </c>
      <c r="C2143" s="3" t="s">
        <v>31</v>
      </c>
      <c r="D2143" s="3" t="s">
        <v>175</v>
      </c>
      <c r="E2143" s="4" t="s">
        <v>22</v>
      </c>
      <c r="F2143" s="4" t="s">
        <v>11273</v>
      </c>
      <c r="G2143" s="4" t="s">
        <v>11281</v>
      </c>
      <c r="H2143" s="3" t="s">
        <v>8487</v>
      </c>
      <c r="I2143" s="3" t="s">
        <v>11282</v>
      </c>
      <c r="J2143" s="3" t="s">
        <v>11283</v>
      </c>
      <c r="K2143" s="3"/>
      <c r="L2143" s="3"/>
      <c r="M2143" s="4" t="s">
        <v>11284</v>
      </c>
      <c r="N2143" s="3" t="s">
        <v>37</v>
      </c>
      <c r="O2143" s="3" t="s">
        <v>38</v>
      </c>
      <c r="P2143" s="5">
        <v>9</v>
      </c>
      <c r="Q2143" s="5">
        <v>90</v>
      </c>
      <c r="R2143" s="5">
        <v>9</v>
      </c>
      <c r="S2143" s="5">
        <v>85</v>
      </c>
    </row>
    <row r="2144" spans="1:19" ht="42" x14ac:dyDescent="0.15">
      <c r="A2144" s="2">
        <f>HYPERLINK("https://open-school.uspishnemisto.com.ua/school/120568/", 120568)</f>
        <v>120568</v>
      </c>
      <c r="B2144" s="3" t="s">
        <v>11285</v>
      </c>
      <c r="C2144" s="3" t="s">
        <v>31</v>
      </c>
      <c r="D2144" s="3" t="s">
        <v>32</v>
      </c>
      <c r="E2144" s="4" t="s">
        <v>22</v>
      </c>
      <c r="F2144" s="4" t="s">
        <v>11286</v>
      </c>
      <c r="G2144" s="4" t="s">
        <v>11287</v>
      </c>
      <c r="H2144" s="3" t="s">
        <v>8487</v>
      </c>
      <c r="I2144" s="3" t="s">
        <v>11119</v>
      </c>
      <c r="J2144" s="3" t="s">
        <v>1719</v>
      </c>
      <c r="K2144" s="3"/>
      <c r="L2144" s="3"/>
      <c r="M2144" s="4" t="s">
        <v>11288</v>
      </c>
      <c r="N2144" s="3" t="s">
        <v>37</v>
      </c>
      <c r="O2144" s="3" t="s">
        <v>721</v>
      </c>
      <c r="P2144" s="5">
        <v>11</v>
      </c>
      <c r="Q2144" s="5">
        <v>150</v>
      </c>
      <c r="R2144" s="5">
        <v>11</v>
      </c>
      <c r="S2144" s="5">
        <v>149</v>
      </c>
    </row>
    <row r="2145" spans="1:19" ht="42" x14ac:dyDescent="0.15">
      <c r="A2145" s="2">
        <f>HYPERLINK("https://open-school.uspishnemisto.com.ua/school/120569/", 120569)</f>
        <v>120569</v>
      </c>
      <c r="B2145" s="3" t="s">
        <v>11289</v>
      </c>
      <c r="C2145" s="3" t="s">
        <v>31</v>
      </c>
      <c r="D2145" s="3" t="s">
        <v>32</v>
      </c>
      <c r="E2145" s="4" t="s">
        <v>22</v>
      </c>
      <c r="F2145" s="4" t="s">
        <v>11290</v>
      </c>
      <c r="G2145" s="4" t="s">
        <v>11291</v>
      </c>
      <c r="H2145" s="3" t="s">
        <v>8487</v>
      </c>
      <c r="I2145" s="3" t="s">
        <v>11292</v>
      </c>
      <c r="J2145" s="3" t="s">
        <v>2719</v>
      </c>
      <c r="K2145" s="3" t="s">
        <v>11293</v>
      </c>
      <c r="L2145" s="3" t="s">
        <v>11294</v>
      </c>
      <c r="M2145" s="4"/>
      <c r="N2145" s="3" t="s">
        <v>37</v>
      </c>
      <c r="O2145" s="3" t="s">
        <v>38</v>
      </c>
      <c r="P2145" s="5">
        <v>11</v>
      </c>
      <c r="Q2145" s="5">
        <v>252</v>
      </c>
      <c r="R2145" s="5">
        <v>11</v>
      </c>
      <c r="S2145" s="5">
        <v>241</v>
      </c>
    </row>
    <row r="2146" spans="1:19" ht="42" x14ac:dyDescent="0.15">
      <c r="A2146" s="2">
        <f>HYPERLINK("https://open-school.uspishnemisto.com.ua/school/120570/", 120570)</f>
        <v>120570</v>
      </c>
      <c r="B2146" s="3" t="s">
        <v>11295</v>
      </c>
      <c r="C2146" s="3" t="s">
        <v>31</v>
      </c>
      <c r="D2146" s="3" t="s">
        <v>32</v>
      </c>
      <c r="E2146" s="4" t="s">
        <v>22</v>
      </c>
      <c r="F2146" s="4" t="s">
        <v>11296</v>
      </c>
      <c r="G2146" s="4" t="s">
        <v>11297</v>
      </c>
      <c r="H2146" s="3" t="s">
        <v>8487</v>
      </c>
      <c r="I2146" s="3" t="s">
        <v>11298</v>
      </c>
      <c r="J2146" s="3" t="s">
        <v>11299</v>
      </c>
      <c r="K2146" s="3" t="s">
        <v>11300</v>
      </c>
      <c r="L2146" s="3" t="s">
        <v>11301</v>
      </c>
      <c r="M2146" s="4"/>
      <c r="N2146" s="3" t="s">
        <v>37</v>
      </c>
      <c r="O2146" s="3" t="s">
        <v>38</v>
      </c>
      <c r="P2146" s="5">
        <v>11</v>
      </c>
      <c r="Q2146" s="5">
        <v>192</v>
      </c>
      <c r="R2146" s="5">
        <v>11</v>
      </c>
      <c r="S2146" s="5">
        <v>195</v>
      </c>
    </row>
    <row r="2147" spans="1:19" ht="28" x14ac:dyDescent="0.15">
      <c r="A2147" s="2">
        <f>HYPERLINK("https://open-school.uspishnemisto.com.ua/school/120571/", 120571)</f>
        <v>120571</v>
      </c>
      <c r="B2147" s="3" t="s">
        <v>11302</v>
      </c>
      <c r="C2147" s="3" t="s">
        <v>31</v>
      </c>
      <c r="D2147" s="3" t="s">
        <v>32</v>
      </c>
      <c r="E2147" s="4" t="s">
        <v>22</v>
      </c>
      <c r="F2147" s="4" t="s">
        <v>11303</v>
      </c>
      <c r="G2147" s="4" t="s">
        <v>11304</v>
      </c>
      <c r="H2147" s="3" t="s">
        <v>8487</v>
      </c>
      <c r="I2147" s="3" t="s">
        <v>11305</v>
      </c>
      <c r="J2147" s="3" t="s">
        <v>11306</v>
      </c>
      <c r="K2147" s="3" t="s">
        <v>11307</v>
      </c>
      <c r="L2147" s="3" t="s">
        <v>11308</v>
      </c>
      <c r="M2147" s="4" t="s">
        <v>11309</v>
      </c>
      <c r="N2147" s="3" t="s">
        <v>37</v>
      </c>
      <c r="O2147" s="3" t="s">
        <v>38</v>
      </c>
      <c r="P2147" s="5">
        <v>11</v>
      </c>
      <c r="Q2147" s="5">
        <v>142</v>
      </c>
      <c r="R2147" s="5">
        <v>11</v>
      </c>
      <c r="S2147" s="5">
        <v>139</v>
      </c>
    </row>
    <row r="2148" spans="1:19" ht="56" x14ac:dyDescent="0.15">
      <c r="A2148" s="2">
        <f>HYPERLINK("https://open-school.uspishnemisto.com.ua/school/120572/", 120572)</f>
        <v>120572</v>
      </c>
      <c r="B2148" s="3" t="s">
        <v>11310</v>
      </c>
      <c r="C2148" s="3" t="s">
        <v>54</v>
      </c>
      <c r="D2148" s="3" t="s">
        <v>32</v>
      </c>
      <c r="E2148" s="4" t="s">
        <v>22</v>
      </c>
      <c r="F2148" s="4" t="s">
        <v>11311</v>
      </c>
      <c r="G2148" s="4" t="s">
        <v>11312</v>
      </c>
      <c r="H2148" s="3" t="s">
        <v>8487</v>
      </c>
      <c r="I2148" s="3" t="s">
        <v>11305</v>
      </c>
      <c r="J2148" s="3" t="s">
        <v>6677</v>
      </c>
      <c r="K2148" s="3" t="s">
        <v>11313</v>
      </c>
      <c r="L2148" s="3" t="s">
        <v>11314</v>
      </c>
      <c r="M2148" s="4"/>
      <c r="N2148" s="3" t="s">
        <v>37</v>
      </c>
      <c r="O2148" s="3" t="s">
        <v>38</v>
      </c>
      <c r="P2148" s="5">
        <v>10</v>
      </c>
      <c r="Q2148" s="5">
        <v>71</v>
      </c>
      <c r="R2148" s="5">
        <v>9</v>
      </c>
      <c r="S2148" s="5">
        <v>68</v>
      </c>
    </row>
    <row r="2149" spans="1:19" ht="28" x14ac:dyDescent="0.15">
      <c r="A2149" s="2">
        <f>HYPERLINK("https://open-school.uspishnemisto.com.ua/school/120573/", 120573)</f>
        <v>120573</v>
      </c>
      <c r="B2149" s="3" t="s">
        <v>11315</v>
      </c>
      <c r="C2149" s="3" t="s">
        <v>31</v>
      </c>
      <c r="D2149" s="3" t="s">
        <v>32</v>
      </c>
      <c r="E2149" s="4" t="s">
        <v>22</v>
      </c>
      <c r="F2149" s="4" t="s">
        <v>11316</v>
      </c>
      <c r="G2149" s="4" t="s">
        <v>11317</v>
      </c>
      <c r="H2149" s="3" t="s">
        <v>8487</v>
      </c>
      <c r="I2149" s="3" t="s">
        <v>11318</v>
      </c>
      <c r="J2149" s="3" t="s">
        <v>584</v>
      </c>
      <c r="K2149" s="3" t="s">
        <v>11319</v>
      </c>
      <c r="L2149" s="3" t="s">
        <v>11320</v>
      </c>
      <c r="M2149" s="4" t="s">
        <v>11321</v>
      </c>
      <c r="N2149" s="3" t="s">
        <v>37</v>
      </c>
      <c r="O2149" s="3" t="s">
        <v>38</v>
      </c>
      <c r="P2149" s="5">
        <v>18</v>
      </c>
      <c r="Q2149" s="5">
        <v>345</v>
      </c>
      <c r="R2149" s="5">
        <v>18</v>
      </c>
      <c r="S2149" s="5">
        <v>344</v>
      </c>
    </row>
    <row r="2150" spans="1:19" ht="42" x14ac:dyDescent="0.15">
      <c r="A2150" s="2">
        <f>HYPERLINK("https://open-school.uspishnemisto.com.ua/school/120574/", 120574)</f>
        <v>120574</v>
      </c>
      <c r="B2150" s="3" t="s">
        <v>11322</v>
      </c>
      <c r="C2150" s="3" t="s">
        <v>31</v>
      </c>
      <c r="D2150" s="3" t="s">
        <v>32</v>
      </c>
      <c r="E2150" s="4" t="s">
        <v>22</v>
      </c>
      <c r="F2150" s="4" t="s">
        <v>11323</v>
      </c>
      <c r="G2150" s="4" t="s">
        <v>11324</v>
      </c>
      <c r="H2150" s="3" t="s">
        <v>8487</v>
      </c>
      <c r="I2150" s="3" t="s">
        <v>11325</v>
      </c>
      <c r="J2150" s="3" t="s">
        <v>792</v>
      </c>
      <c r="K2150" s="3" t="s">
        <v>11326</v>
      </c>
      <c r="L2150" s="3"/>
      <c r="M2150" s="4"/>
      <c r="N2150" s="3" t="s">
        <v>37</v>
      </c>
      <c r="O2150" s="3" t="s">
        <v>38</v>
      </c>
      <c r="P2150" s="5">
        <v>11</v>
      </c>
      <c r="Q2150" s="5">
        <v>157</v>
      </c>
      <c r="R2150" s="5">
        <v>11</v>
      </c>
      <c r="S2150" s="5">
        <v>147</v>
      </c>
    </row>
    <row r="2151" spans="1:19" ht="42" x14ac:dyDescent="0.15">
      <c r="A2151" s="2">
        <f>HYPERLINK("https://open-school.uspishnemisto.com.ua/school/120575/", 120575)</f>
        <v>120575</v>
      </c>
      <c r="B2151" s="3" t="s">
        <v>11327</v>
      </c>
      <c r="C2151" s="3" t="s">
        <v>31</v>
      </c>
      <c r="D2151" s="3" t="s">
        <v>32</v>
      </c>
      <c r="E2151" s="4" t="s">
        <v>22</v>
      </c>
      <c r="F2151" s="4" t="s">
        <v>11328</v>
      </c>
      <c r="G2151" s="4" t="s">
        <v>11329</v>
      </c>
      <c r="H2151" s="3" t="s">
        <v>8487</v>
      </c>
      <c r="I2151" s="3" t="s">
        <v>11330</v>
      </c>
      <c r="J2151" s="3" t="s">
        <v>718</v>
      </c>
      <c r="K2151" s="3" t="s">
        <v>11331</v>
      </c>
      <c r="L2151" s="3" t="s">
        <v>11332</v>
      </c>
      <c r="M2151" s="4"/>
      <c r="N2151" s="3" t="s">
        <v>37</v>
      </c>
      <c r="O2151" s="3" t="s">
        <v>38</v>
      </c>
      <c r="P2151" s="5">
        <v>12</v>
      </c>
      <c r="Q2151" s="5">
        <v>220</v>
      </c>
      <c r="R2151" s="5">
        <v>11</v>
      </c>
      <c r="S2151" s="5">
        <v>210</v>
      </c>
    </row>
    <row r="2152" spans="1:19" ht="56" x14ac:dyDescent="0.15">
      <c r="A2152" s="2">
        <f>HYPERLINK("https://open-school.uspishnemisto.com.ua/school/120576/", 120576)</f>
        <v>120576</v>
      </c>
      <c r="B2152" s="3" t="s">
        <v>11333</v>
      </c>
      <c r="C2152" s="3" t="s">
        <v>54</v>
      </c>
      <c r="D2152" s="3" t="s">
        <v>32</v>
      </c>
      <c r="E2152" s="4" t="s">
        <v>22</v>
      </c>
      <c r="F2152" s="4" t="s">
        <v>11334</v>
      </c>
      <c r="G2152" s="4" t="s">
        <v>11335</v>
      </c>
      <c r="H2152" s="3" t="s">
        <v>8487</v>
      </c>
      <c r="I2152" s="3" t="s">
        <v>5129</v>
      </c>
      <c r="J2152" s="3" t="s">
        <v>11336</v>
      </c>
      <c r="K2152" s="3" t="s">
        <v>11337</v>
      </c>
      <c r="L2152" s="3" t="s">
        <v>11338</v>
      </c>
      <c r="M2152" s="4"/>
      <c r="N2152" s="3" t="s">
        <v>37</v>
      </c>
      <c r="O2152" s="3" t="s">
        <v>38</v>
      </c>
      <c r="P2152" s="5">
        <v>11</v>
      </c>
      <c r="Q2152" s="5">
        <v>175</v>
      </c>
      <c r="R2152" s="5">
        <v>11</v>
      </c>
      <c r="S2152" s="5">
        <v>174</v>
      </c>
    </row>
    <row r="2153" spans="1:19" ht="42" x14ac:dyDescent="0.15">
      <c r="A2153" s="2">
        <f>HYPERLINK("https://open-school.uspishnemisto.com.ua/school/120577/", 120577)</f>
        <v>120577</v>
      </c>
      <c r="B2153" s="3" t="s">
        <v>11339</v>
      </c>
      <c r="C2153" s="3" t="s">
        <v>31</v>
      </c>
      <c r="D2153" s="3" t="s">
        <v>32</v>
      </c>
      <c r="E2153" s="4" t="s">
        <v>22</v>
      </c>
      <c r="F2153" s="4" t="s">
        <v>11340</v>
      </c>
      <c r="G2153" s="4" t="s">
        <v>11341</v>
      </c>
      <c r="H2153" s="3" t="s">
        <v>8487</v>
      </c>
      <c r="I2153" s="3" t="s">
        <v>11342</v>
      </c>
      <c r="J2153" s="3" t="s">
        <v>878</v>
      </c>
      <c r="K2153" s="3" t="s">
        <v>11343</v>
      </c>
      <c r="L2153" s="3" t="s">
        <v>11344</v>
      </c>
      <c r="M2153" s="4"/>
      <c r="N2153" s="3" t="s">
        <v>37</v>
      </c>
      <c r="O2153" s="3" t="s">
        <v>46</v>
      </c>
      <c r="P2153" s="5">
        <v>20</v>
      </c>
      <c r="Q2153" s="5">
        <v>402</v>
      </c>
      <c r="R2153" s="5">
        <v>19</v>
      </c>
      <c r="S2153" s="5">
        <v>383</v>
      </c>
    </row>
    <row r="2154" spans="1:19" ht="42" x14ac:dyDescent="0.15">
      <c r="A2154" s="2">
        <f>HYPERLINK("https://open-school.uspishnemisto.com.ua/school/120578/", 120578)</f>
        <v>120578</v>
      </c>
      <c r="B2154" s="3" t="s">
        <v>11345</v>
      </c>
      <c r="C2154" s="3" t="s">
        <v>31</v>
      </c>
      <c r="D2154" s="3" t="s">
        <v>32</v>
      </c>
      <c r="E2154" s="4" t="s">
        <v>22</v>
      </c>
      <c r="F2154" s="4" t="s">
        <v>11346</v>
      </c>
      <c r="G2154" s="4" t="s">
        <v>11347</v>
      </c>
      <c r="H2154" s="3" t="s">
        <v>8487</v>
      </c>
      <c r="I2154" s="3" t="s">
        <v>11348</v>
      </c>
      <c r="J2154" s="3" t="s">
        <v>11349</v>
      </c>
      <c r="K2154" s="3" t="s">
        <v>11350</v>
      </c>
      <c r="L2154" s="3" t="s">
        <v>11351</v>
      </c>
      <c r="M2154" s="4"/>
      <c r="N2154" s="3" t="s">
        <v>37</v>
      </c>
      <c r="O2154" s="3" t="s">
        <v>52</v>
      </c>
      <c r="P2154" s="5">
        <v>10</v>
      </c>
      <c r="Q2154" s="5">
        <v>98</v>
      </c>
      <c r="R2154" s="5">
        <v>9</v>
      </c>
      <c r="S2154" s="5">
        <v>85</v>
      </c>
    </row>
    <row r="2155" spans="1:19" ht="42" x14ac:dyDescent="0.15">
      <c r="A2155" s="2">
        <f>HYPERLINK("https://open-school.uspishnemisto.com.ua/school/120579/", 120579)</f>
        <v>120579</v>
      </c>
      <c r="B2155" s="3" t="s">
        <v>11352</v>
      </c>
      <c r="C2155" s="3" t="s">
        <v>31</v>
      </c>
      <c r="D2155" s="3" t="s">
        <v>32</v>
      </c>
      <c r="E2155" s="4" t="s">
        <v>22</v>
      </c>
      <c r="F2155" s="4" t="s">
        <v>11353</v>
      </c>
      <c r="G2155" s="4" t="s">
        <v>11354</v>
      </c>
      <c r="H2155" s="3" t="s">
        <v>8487</v>
      </c>
      <c r="I2155" s="3" t="s">
        <v>11355</v>
      </c>
      <c r="J2155" s="3" t="s">
        <v>7717</v>
      </c>
      <c r="K2155" s="3" t="s">
        <v>11356</v>
      </c>
      <c r="L2155" s="3" t="s">
        <v>11357</v>
      </c>
      <c r="M2155" s="4"/>
      <c r="N2155" s="3" t="s">
        <v>37</v>
      </c>
      <c r="O2155" s="3" t="s">
        <v>46</v>
      </c>
      <c r="P2155" s="5">
        <v>25</v>
      </c>
      <c r="Q2155" s="5">
        <v>240</v>
      </c>
      <c r="R2155" s="5">
        <v>10</v>
      </c>
      <c r="S2155" s="5">
        <v>117</v>
      </c>
    </row>
    <row r="2156" spans="1:19" ht="42" x14ac:dyDescent="0.15">
      <c r="A2156" s="2">
        <f>HYPERLINK("https://open-school.uspishnemisto.com.ua/school/120580/", 120580)</f>
        <v>120580</v>
      </c>
      <c r="B2156" s="3" t="s">
        <v>11358</v>
      </c>
      <c r="C2156" s="3" t="s">
        <v>31</v>
      </c>
      <c r="D2156" s="3" t="s">
        <v>32</v>
      </c>
      <c r="E2156" s="4" t="s">
        <v>22</v>
      </c>
      <c r="F2156" s="4" t="s">
        <v>11359</v>
      </c>
      <c r="G2156" s="4" t="s">
        <v>11360</v>
      </c>
      <c r="H2156" s="3" t="s">
        <v>8487</v>
      </c>
      <c r="I2156" s="3" t="s">
        <v>6822</v>
      </c>
      <c r="J2156" s="3" t="s">
        <v>1348</v>
      </c>
      <c r="K2156" s="3" t="s">
        <v>11361</v>
      </c>
      <c r="L2156" s="3" t="s">
        <v>11362</v>
      </c>
      <c r="M2156" s="4"/>
      <c r="N2156" s="3" t="s">
        <v>37</v>
      </c>
      <c r="O2156" s="3" t="s">
        <v>52</v>
      </c>
      <c r="P2156" s="5">
        <v>11</v>
      </c>
      <c r="Q2156" s="5">
        <v>195</v>
      </c>
      <c r="R2156" s="5">
        <v>11</v>
      </c>
      <c r="S2156" s="5">
        <v>203</v>
      </c>
    </row>
    <row r="2157" spans="1:19" ht="42" x14ac:dyDescent="0.15">
      <c r="A2157" s="2">
        <f>HYPERLINK("https://open-school.uspishnemisto.com.ua/school/120581/", 120581)</f>
        <v>120581</v>
      </c>
      <c r="B2157" s="3" t="s">
        <v>11363</v>
      </c>
      <c r="C2157" s="3" t="s">
        <v>31</v>
      </c>
      <c r="D2157" s="3" t="s">
        <v>32</v>
      </c>
      <c r="E2157" s="4" t="s">
        <v>22</v>
      </c>
      <c r="F2157" s="4" t="s">
        <v>11364</v>
      </c>
      <c r="G2157" s="4" t="s">
        <v>11365</v>
      </c>
      <c r="H2157" s="3" t="s">
        <v>8487</v>
      </c>
      <c r="I2157" s="3" t="s">
        <v>10822</v>
      </c>
      <c r="J2157" s="3" t="s">
        <v>11366</v>
      </c>
      <c r="K2157" s="3" t="s">
        <v>11367</v>
      </c>
      <c r="L2157" s="3" t="s">
        <v>11368</v>
      </c>
      <c r="M2157" s="4"/>
      <c r="N2157" s="3" t="s">
        <v>37</v>
      </c>
      <c r="O2157" s="3" t="s">
        <v>52</v>
      </c>
      <c r="P2157" s="5">
        <v>11</v>
      </c>
      <c r="Q2157" s="5">
        <v>165</v>
      </c>
      <c r="R2157" s="5">
        <v>11</v>
      </c>
      <c r="S2157" s="5">
        <v>174</v>
      </c>
    </row>
    <row r="2158" spans="1:19" ht="42" x14ac:dyDescent="0.15">
      <c r="A2158" s="2">
        <f>HYPERLINK("https://open-school.uspishnemisto.com.ua/school/120582/", 120582)</f>
        <v>120582</v>
      </c>
      <c r="B2158" s="3" t="s">
        <v>11369</v>
      </c>
      <c r="C2158" s="3" t="s">
        <v>31</v>
      </c>
      <c r="D2158" s="3" t="s">
        <v>32</v>
      </c>
      <c r="E2158" s="4" t="s">
        <v>22</v>
      </c>
      <c r="F2158" s="4" t="s">
        <v>11370</v>
      </c>
      <c r="G2158" s="4" t="s">
        <v>11371</v>
      </c>
      <c r="H2158" s="3" t="s">
        <v>8487</v>
      </c>
      <c r="I2158" s="3" t="s">
        <v>11372</v>
      </c>
      <c r="J2158" s="3" t="s">
        <v>554</v>
      </c>
      <c r="K2158" s="3" t="s">
        <v>11373</v>
      </c>
      <c r="L2158" s="3" t="s">
        <v>11374</v>
      </c>
      <c r="M2158" s="4"/>
      <c r="N2158" s="3" t="s">
        <v>37</v>
      </c>
      <c r="O2158" s="3" t="s">
        <v>52</v>
      </c>
      <c r="P2158" s="5">
        <v>11</v>
      </c>
      <c r="Q2158" s="5">
        <v>159</v>
      </c>
      <c r="R2158" s="5">
        <v>10</v>
      </c>
      <c r="S2158" s="5">
        <v>155</v>
      </c>
    </row>
    <row r="2159" spans="1:19" ht="42" x14ac:dyDescent="0.15">
      <c r="A2159" s="2">
        <f>HYPERLINK("https://open-school.uspishnemisto.com.ua/school/120583/", 120583)</f>
        <v>120583</v>
      </c>
      <c r="B2159" s="3" t="s">
        <v>11375</v>
      </c>
      <c r="C2159" s="3" t="s">
        <v>31</v>
      </c>
      <c r="D2159" s="3" t="s">
        <v>175</v>
      </c>
      <c r="E2159" s="4" t="s">
        <v>22</v>
      </c>
      <c r="F2159" s="4" t="s">
        <v>11376</v>
      </c>
      <c r="G2159" s="4" t="s">
        <v>11377</v>
      </c>
      <c r="H2159" s="3" t="s">
        <v>8487</v>
      </c>
      <c r="I2159" s="3" t="s">
        <v>11378</v>
      </c>
      <c r="J2159" s="3" t="s">
        <v>11379</v>
      </c>
      <c r="K2159" s="3" t="s">
        <v>11380</v>
      </c>
      <c r="L2159" s="3" t="s">
        <v>11381</v>
      </c>
      <c r="M2159" s="4"/>
      <c r="N2159" s="3" t="s">
        <v>37</v>
      </c>
      <c r="O2159" s="3" t="s">
        <v>52</v>
      </c>
      <c r="P2159" s="5">
        <v>9</v>
      </c>
      <c r="Q2159" s="5">
        <v>191</v>
      </c>
      <c r="R2159" s="5">
        <v>9</v>
      </c>
      <c r="S2159" s="5">
        <v>185</v>
      </c>
    </row>
    <row r="2160" spans="1:19" ht="42" x14ac:dyDescent="0.15">
      <c r="A2160" s="2">
        <f>HYPERLINK("https://open-school.uspishnemisto.com.ua/school/120584/", 120584)</f>
        <v>120584</v>
      </c>
      <c r="B2160" s="3" t="s">
        <v>11382</v>
      </c>
      <c r="C2160" s="3" t="s">
        <v>54</v>
      </c>
      <c r="D2160" s="3" t="s">
        <v>175</v>
      </c>
      <c r="E2160" s="4" t="s">
        <v>22</v>
      </c>
      <c r="F2160" s="4" t="s">
        <v>11383</v>
      </c>
      <c r="G2160" s="4" t="s">
        <v>11384</v>
      </c>
      <c r="H2160" s="3" t="s">
        <v>8487</v>
      </c>
      <c r="I2160" s="3" t="s">
        <v>1109</v>
      </c>
      <c r="J2160" s="3" t="s">
        <v>11385</v>
      </c>
      <c r="K2160" s="3" t="s">
        <v>11386</v>
      </c>
      <c r="L2160" s="3" t="s">
        <v>11387</v>
      </c>
      <c r="M2160" s="4"/>
      <c r="N2160" s="3" t="s">
        <v>37</v>
      </c>
      <c r="O2160" s="3" t="s">
        <v>52</v>
      </c>
      <c r="P2160" s="5">
        <v>9</v>
      </c>
      <c r="Q2160" s="5">
        <v>78</v>
      </c>
      <c r="R2160" s="5">
        <v>8</v>
      </c>
      <c r="S2160" s="5">
        <v>78</v>
      </c>
    </row>
    <row r="2161" spans="1:19" ht="42" x14ac:dyDescent="0.15">
      <c r="A2161" s="2">
        <f>HYPERLINK("https://open-school.uspishnemisto.com.ua/school/120585/", 120585)</f>
        <v>120585</v>
      </c>
      <c r="B2161" s="3" t="s">
        <v>11388</v>
      </c>
      <c r="C2161" s="3" t="s">
        <v>31</v>
      </c>
      <c r="D2161" s="3" t="s">
        <v>32</v>
      </c>
      <c r="E2161" s="4" t="s">
        <v>22</v>
      </c>
      <c r="F2161" s="4" t="s">
        <v>11389</v>
      </c>
      <c r="G2161" s="4" t="s">
        <v>11390</v>
      </c>
      <c r="H2161" s="3" t="s">
        <v>8487</v>
      </c>
      <c r="I2161" s="3" t="s">
        <v>11391</v>
      </c>
      <c r="J2161" s="3" t="s">
        <v>11392</v>
      </c>
      <c r="K2161" s="3"/>
      <c r="L2161" s="3" t="s">
        <v>11393</v>
      </c>
      <c r="M2161" s="4"/>
      <c r="N2161" s="3" t="s">
        <v>37</v>
      </c>
      <c r="O2161" s="3" t="s">
        <v>52</v>
      </c>
      <c r="P2161" s="5">
        <v>10</v>
      </c>
      <c r="Q2161" s="5">
        <v>81</v>
      </c>
      <c r="R2161" s="5">
        <v>10</v>
      </c>
      <c r="S2161" s="5">
        <v>79</v>
      </c>
    </row>
    <row r="2162" spans="1:19" ht="42" x14ac:dyDescent="0.15">
      <c r="A2162" s="2">
        <f>HYPERLINK("https://open-school.uspishnemisto.com.ua/school/120586/", 120586)</f>
        <v>120586</v>
      </c>
      <c r="B2162" s="3" t="s">
        <v>11394</v>
      </c>
      <c r="C2162" s="3" t="s">
        <v>31</v>
      </c>
      <c r="D2162" s="3" t="s">
        <v>175</v>
      </c>
      <c r="E2162" s="4" t="s">
        <v>22</v>
      </c>
      <c r="F2162" s="4" t="s">
        <v>11395</v>
      </c>
      <c r="G2162" s="4" t="s">
        <v>11396</v>
      </c>
      <c r="H2162" s="3" t="s">
        <v>8487</v>
      </c>
      <c r="I2162" s="3" t="s">
        <v>11397</v>
      </c>
      <c r="J2162" s="3" t="s">
        <v>792</v>
      </c>
      <c r="K2162" s="3" t="s">
        <v>11398</v>
      </c>
      <c r="L2162" s="3" t="s">
        <v>11399</v>
      </c>
      <c r="M2162" s="4"/>
      <c r="N2162" s="3" t="s">
        <v>37</v>
      </c>
      <c r="O2162" s="3" t="s">
        <v>46</v>
      </c>
      <c r="P2162" s="5">
        <v>0</v>
      </c>
      <c r="Q2162" s="5">
        <v>0</v>
      </c>
      <c r="R2162" s="5">
        <v>9</v>
      </c>
      <c r="S2162" s="5">
        <v>86</v>
      </c>
    </row>
    <row r="2163" spans="1:19" ht="42" x14ac:dyDescent="0.15">
      <c r="A2163" s="2">
        <f>HYPERLINK("https://open-school.uspishnemisto.com.ua/school/120587/", 120587)</f>
        <v>120587</v>
      </c>
      <c r="B2163" s="3" t="s">
        <v>11400</v>
      </c>
      <c r="C2163" s="3" t="s">
        <v>54</v>
      </c>
      <c r="D2163" s="3" t="s">
        <v>175</v>
      </c>
      <c r="E2163" s="4" t="s">
        <v>22</v>
      </c>
      <c r="F2163" s="4" t="s">
        <v>11401</v>
      </c>
      <c r="G2163" s="4" t="s">
        <v>11402</v>
      </c>
      <c r="H2163" s="3" t="s">
        <v>8487</v>
      </c>
      <c r="I2163" s="3" t="s">
        <v>11029</v>
      </c>
      <c r="J2163" s="3" t="s">
        <v>11403</v>
      </c>
      <c r="K2163" s="3" t="s">
        <v>11404</v>
      </c>
      <c r="L2163" s="3" t="s">
        <v>11405</v>
      </c>
      <c r="M2163" s="4"/>
      <c r="N2163" s="3" t="s">
        <v>37</v>
      </c>
      <c r="O2163" s="3" t="s">
        <v>46</v>
      </c>
      <c r="P2163" s="5">
        <v>0</v>
      </c>
      <c r="Q2163" s="5">
        <v>0</v>
      </c>
      <c r="R2163" s="5">
        <v>7</v>
      </c>
      <c r="S2163" s="5">
        <v>52</v>
      </c>
    </row>
    <row r="2164" spans="1:19" ht="56" x14ac:dyDescent="0.15">
      <c r="A2164" s="2">
        <f>HYPERLINK("https://open-school.uspishnemisto.com.ua/school/120588/", 120588)</f>
        <v>120588</v>
      </c>
      <c r="B2164" s="3" t="s">
        <v>11406</v>
      </c>
      <c r="C2164" s="3" t="s">
        <v>54</v>
      </c>
      <c r="D2164" s="3" t="s">
        <v>32</v>
      </c>
      <c r="E2164" s="4" t="s">
        <v>22</v>
      </c>
      <c r="F2164" s="4" t="s">
        <v>11407</v>
      </c>
      <c r="G2164" s="4" t="s">
        <v>11408</v>
      </c>
      <c r="H2164" s="3" t="s">
        <v>8487</v>
      </c>
      <c r="I2164" s="3" t="s">
        <v>11409</v>
      </c>
      <c r="J2164" s="3" t="s">
        <v>11410</v>
      </c>
      <c r="K2164" s="3" t="s">
        <v>11411</v>
      </c>
      <c r="L2164" s="3" t="s">
        <v>11412</v>
      </c>
      <c r="M2164" s="4"/>
      <c r="N2164" s="3" t="s">
        <v>37</v>
      </c>
      <c r="O2164" s="3" t="s">
        <v>46</v>
      </c>
      <c r="P2164" s="5">
        <v>11</v>
      </c>
      <c r="Q2164" s="5">
        <v>217</v>
      </c>
      <c r="R2164" s="5">
        <v>11</v>
      </c>
      <c r="S2164" s="5">
        <v>211</v>
      </c>
    </row>
    <row r="2165" spans="1:19" ht="42" x14ac:dyDescent="0.15">
      <c r="A2165" s="2">
        <f>HYPERLINK("https://open-school.uspishnemisto.com.ua/school/120589/", 120589)</f>
        <v>120589</v>
      </c>
      <c r="B2165" s="3" t="s">
        <v>11413</v>
      </c>
      <c r="C2165" s="3" t="s">
        <v>54</v>
      </c>
      <c r="D2165" s="3" t="s">
        <v>60</v>
      </c>
      <c r="E2165" s="4" t="s">
        <v>22</v>
      </c>
      <c r="F2165" s="4" t="s">
        <v>11414</v>
      </c>
      <c r="G2165" s="4" t="s">
        <v>11415</v>
      </c>
      <c r="H2165" s="3" t="s">
        <v>8487</v>
      </c>
      <c r="I2165" s="3" t="s">
        <v>11416</v>
      </c>
      <c r="J2165" s="3" t="s">
        <v>11417</v>
      </c>
      <c r="K2165" s="3" t="s">
        <v>11418</v>
      </c>
      <c r="L2165" s="3"/>
      <c r="M2165" s="4"/>
      <c r="N2165" s="3" t="s">
        <v>37</v>
      </c>
      <c r="O2165" s="3" t="s">
        <v>52</v>
      </c>
      <c r="P2165" s="5">
        <v>0</v>
      </c>
      <c r="Q2165" s="5">
        <v>0</v>
      </c>
      <c r="R2165" s="5">
        <v>4</v>
      </c>
      <c r="S2165" s="5">
        <v>43</v>
      </c>
    </row>
    <row r="2166" spans="1:19" ht="42" x14ac:dyDescent="0.15">
      <c r="A2166" s="2">
        <f>HYPERLINK("https://open-school.uspishnemisto.com.ua/school/120590/", 120590)</f>
        <v>120590</v>
      </c>
      <c r="B2166" s="3" t="s">
        <v>11419</v>
      </c>
      <c r="C2166" s="3" t="s">
        <v>31</v>
      </c>
      <c r="D2166" s="3" t="s">
        <v>32</v>
      </c>
      <c r="E2166" s="4" t="s">
        <v>22</v>
      </c>
      <c r="F2166" s="4" t="s">
        <v>11414</v>
      </c>
      <c r="G2166" s="4" t="s">
        <v>11415</v>
      </c>
      <c r="H2166" s="3" t="s">
        <v>8487</v>
      </c>
      <c r="I2166" s="3" t="s">
        <v>11416</v>
      </c>
      <c r="J2166" s="3" t="s">
        <v>11420</v>
      </c>
      <c r="K2166" s="3" t="s">
        <v>11421</v>
      </c>
      <c r="L2166" s="3" t="s">
        <v>11422</v>
      </c>
      <c r="M2166" s="4"/>
      <c r="N2166" s="3" t="s">
        <v>37</v>
      </c>
      <c r="O2166" s="3" t="s">
        <v>52</v>
      </c>
      <c r="P2166" s="5">
        <v>10</v>
      </c>
      <c r="Q2166" s="5">
        <v>145</v>
      </c>
      <c r="R2166" s="5">
        <v>10</v>
      </c>
      <c r="S2166" s="5">
        <v>152</v>
      </c>
    </row>
    <row r="2167" spans="1:19" ht="42" x14ac:dyDescent="0.15">
      <c r="A2167" s="2">
        <f>HYPERLINK("https://open-school.uspishnemisto.com.ua/school/120591/", 120591)</f>
        <v>120591</v>
      </c>
      <c r="B2167" s="3" t="s">
        <v>11423</v>
      </c>
      <c r="C2167" s="3" t="s">
        <v>31</v>
      </c>
      <c r="D2167" s="3" t="s">
        <v>32</v>
      </c>
      <c r="E2167" s="4" t="s">
        <v>22</v>
      </c>
      <c r="F2167" s="4" t="s">
        <v>11414</v>
      </c>
      <c r="G2167" s="4" t="s">
        <v>11415</v>
      </c>
      <c r="H2167" s="3" t="s">
        <v>8487</v>
      </c>
      <c r="I2167" s="3" t="s">
        <v>11416</v>
      </c>
      <c r="J2167" s="3" t="s">
        <v>11424</v>
      </c>
      <c r="K2167" s="3" t="s">
        <v>11425</v>
      </c>
      <c r="L2167" s="3" t="s">
        <v>11426</v>
      </c>
      <c r="M2167" s="4"/>
      <c r="N2167" s="3" t="s">
        <v>37</v>
      </c>
      <c r="O2167" s="3" t="s">
        <v>46</v>
      </c>
      <c r="P2167" s="5">
        <v>25</v>
      </c>
      <c r="Q2167" s="5">
        <v>445</v>
      </c>
      <c r="R2167" s="5">
        <v>20</v>
      </c>
      <c r="S2167" s="5">
        <v>397</v>
      </c>
    </row>
    <row r="2168" spans="1:19" ht="56" x14ac:dyDescent="0.15">
      <c r="A2168" s="2">
        <f>HYPERLINK("https://open-school.uspishnemisto.com.ua/school/120592/", 120592)</f>
        <v>120592</v>
      </c>
      <c r="B2168" s="3" t="s">
        <v>11427</v>
      </c>
      <c r="C2168" s="3" t="s">
        <v>54</v>
      </c>
      <c r="D2168" s="3" t="s">
        <v>32</v>
      </c>
      <c r="E2168" s="4" t="s">
        <v>22</v>
      </c>
      <c r="F2168" s="4" t="s">
        <v>11428</v>
      </c>
      <c r="G2168" s="4" t="s">
        <v>11429</v>
      </c>
      <c r="H2168" s="3" t="s">
        <v>8487</v>
      </c>
      <c r="I2168" s="3" t="s">
        <v>11430</v>
      </c>
      <c r="J2168" s="3" t="s">
        <v>11431</v>
      </c>
      <c r="K2168" s="3" t="s">
        <v>11432</v>
      </c>
      <c r="L2168" s="3"/>
      <c r="M2168" s="4"/>
      <c r="N2168" s="3" t="s">
        <v>37</v>
      </c>
      <c r="O2168" s="3" t="s">
        <v>52</v>
      </c>
      <c r="P2168" s="5">
        <v>10</v>
      </c>
      <c r="Q2168" s="5">
        <v>175</v>
      </c>
      <c r="R2168" s="5">
        <v>10</v>
      </c>
      <c r="S2168" s="5">
        <v>169</v>
      </c>
    </row>
    <row r="2169" spans="1:19" ht="56" x14ac:dyDescent="0.15">
      <c r="A2169" s="2">
        <f>HYPERLINK("https://open-school.uspishnemisto.com.ua/school/120593/", 120593)</f>
        <v>120593</v>
      </c>
      <c r="B2169" s="3" t="s">
        <v>11433</v>
      </c>
      <c r="C2169" s="3" t="s">
        <v>54</v>
      </c>
      <c r="D2169" s="3" t="s">
        <v>32</v>
      </c>
      <c r="E2169" s="4" t="s">
        <v>22</v>
      </c>
      <c r="F2169" s="4" t="s">
        <v>11434</v>
      </c>
      <c r="G2169" s="4" t="s">
        <v>11435</v>
      </c>
      <c r="H2169" s="3" t="s">
        <v>8487</v>
      </c>
      <c r="I2169" s="3" t="s">
        <v>11436</v>
      </c>
      <c r="J2169" s="3" t="s">
        <v>11437</v>
      </c>
      <c r="K2169" s="3" t="s">
        <v>11438</v>
      </c>
      <c r="L2169" s="3" t="s">
        <v>11439</v>
      </c>
      <c r="M2169" s="4"/>
      <c r="N2169" s="3" t="s">
        <v>37</v>
      </c>
      <c r="O2169" s="3" t="s">
        <v>46</v>
      </c>
      <c r="P2169" s="5">
        <v>11</v>
      </c>
      <c r="Q2169" s="5">
        <v>97</v>
      </c>
      <c r="R2169" s="5">
        <v>11</v>
      </c>
      <c r="S2169" s="5">
        <v>111</v>
      </c>
    </row>
    <row r="2170" spans="1:19" ht="56" x14ac:dyDescent="0.15">
      <c r="A2170" s="2">
        <f>HYPERLINK("https://open-school.uspishnemisto.com.ua/school/120594/", 120594)</f>
        <v>120594</v>
      </c>
      <c r="B2170" s="3" t="s">
        <v>11440</v>
      </c>
      <c r="C2170" s="3" t="s">
        <v>54</v>
      </c>
      <c r="D2170" s="3" t="s">
        <v>32</v>
      </c>
      <c r="E2170" s="4" t="s">
        <v>22</v>
      </c>
      <c r="F2170" s="4" t="s">
        <v>11441</v>
      </c>
      <c r="G2170" s="4" t="s">
        <v>11442</v>
      </c>
      <c r="H2170" s="3" t="s">
        <v>8487</v>
      </c>
      <c r="I2170" s="3" t="s">
        <v>11443</v>
      </c>
      <c r="J2170" s="3" t="s">
        <v>11444</v>
      </c>
      <c r="K2170" s="3" t="s">
        <v>11445</v>
      </c>
      <c r="L2170" s="3" t="s">
        <v>11446</v>
      </c>
      <c r="M2170" s="4"/>
      <c r="N2170" s="3" t="s">
        <v>37</v>
      </c>
      <c r="O2170" s="3" t="s">
        <v>46</v>
      </c>
      <c r="P2170" s="5">
        <v>17</v>
      </c>
      <c r="Q2170" s="5">
        <v>305</v>
      </c>
      <c r="R2170" s="5">
        <v>16</v>
      </c>
      <c r="S2170" s="5">
        <v>303</v>
      </c>
    </row>
    <row r="2171" spans="1:19" ht="42" x14ac:dyDescent="0.15">
      <c r="A2171" s="2">
        <f>HYPERLINK("https://open-school.uspishnemisto.com.ua/school/120595/", 120595)</f>
        <v>120595</v>
      </c>
      <c r="B2171" s="3" t="s">
        <v>11447</v>
      </c>
      <c r="C2171" s="3" t="s">
        <v>54</v>
      </c>
      <c r="D2171" s="3" t="s">
        <v>60</v>
      </c>
      <c r="E2171" s="4" t="s">
        <v>22</v>
      </c>
      <c r="F2171" s="4" t="s">
        <v>11448</v>
      </c>
      <c r="G2171" s="4" t="s">
        <v>11449</v>
      </c>
      <c r="H2171" s="3" t="s">
        <v>8487</v>
      </c>
      <c r="I2171" s="3" t="s">
        <v>11450</v>
      </c>
      <c r="J2171" s="3" t="s">
        <v>11451</v>
      </c>
      <c r="K2171" s="3" t="s">
        <v>11452</v>
      </c>
      <c r="L2171" s="3" t="s">
        <v>11453</v>
      </c>
      <c r="M2171" s="4"/>
      <c r="N2171" s="3" t="s">
        <v>37</v>
      </c>
      <c r="O2171" s="3" t="s">
        <v>52</v>
      </c>
      <c r="P2171" s="5">
        <v>4</v>
      </c>
      <c r="Q2171" s="5">
        <v>39</v>
      </c>
      <c r="R2171" s="5">
        <v>4</v>
      </c>
      <c r="S2171" s="5">
        <v>33</v>
      </c>
    </row>
    <row r="2172" spans="1:19" ht="42" x14ac:dyDescent="0.15">
      <c r="A2172" s="2">
        <f>HYPERLINK("https://open-school.uspishnemisto.com.ua/school/120596/", 120596)</f>
        <v>120596</v>
      </c>
      <c r="B2172" s="3" t="s">
        <v>11454</v>
      </c>
      <c r="C2172" s="3" t="s">
        <v>31</v>
      </c>
      <c r="D2172" s="3" t="s">
        <v>175</v>
      </c>
      <c r="E2172" s="4" t="s">
        <v>22</v>
      </c>
      <c r="F2172" s="4" t="s">
        <v>11455</v>
      </c>
      <c r="G2172" s="4" t="s">
        <v>11456</v>
      </c>
      <c r="H2172" s="3" t="s">
        <v>8487</v>
      </c>
      <c r="I2172" s="3" t="s">
        <v>11457</v>
      </c>
      <c r="J2172" s="3" t="s">
        <v>11458</v>
      </c>
      <c r="K2172" s="3" t="s">
        <v>11459</v>
      </c>
      <c r="L2172" s="3" t="s">
        <v>11460</v>
      </c>
      <c r="M2172" s="4"/>
      <c r="N2172" s="3" t="s">
        <v>37</v>
      </c>
      <c r="O2172" s="3" t="s">
        <v>46</v>
      </c>
      <c r="P2172" s="5">
        <v>7</v>
      </c>
      <c r="Q2172" s="5">
        <v>49</v>
      </c>
      <c r="R2172" s="5">
        <v>7</v>
      </c>
      <c r="S2172" s="5">
        <v>48</v>
      </c>
    </row>
    <row r="2173" spans="1:19" ht="42" x14ac:dyDescent="0.15">
      <c r="A2173" s="2">
        <f>HYPERLINK("https://open-school.uspishnemisto.com.ua/school/120597/", 120597)</f>
        <v>120597</v>
      </c>
      <c r="B2173" s="3" t="s">
        <v>11461</v>
      </c>
      <c r="C2173" s="3" t="s">
        <v>31</v>
      </c>
      <c r="D2173" s="3" t="s">
        <v>32</v>
      </c>
      <c r="E2173" s="4" t="s">
        <v>22</v>
      </c>
      <c r="F2173" s="4" t="s">
        <v>11462</v>
      </c>
      <c r="G2173" s="4" t="s">
        <v>11463</v>
      </c>
      <c r="H2173" s="3" t="s">
        <v>8487</v>
      </c>
      <c r="I2173" s="3" t="s">
        <v>11464</v>
      </c>
      <c r="J2173" s="3" t="s">
        <v>824</v>
      </c>
      <c r="K2173" s="3" t="s">
        <v>11465</v>
      </c>
      <c r="L2173" s="3" t="s">
        <v>11466</v>
      </c>
      <c r="M2173" s="4"/>
      <c r="N2173" s="3" t="s">
        <v>37</v>
      </c>
      <c r="O2173" s="3" t="s">
        <v>46</v>
      </c>
      <c r="P2173" s="5">
        <v>11</v>
      </c>
      <c r="Q2173" s="5">
        <v>157</v>
      </c>
      <c r="R2173" s="5">
        <v>11</v>
      </c>
      <c r="S2173" s="5">
        <v>149</v>
      </c>
    </row>
    <row r="2174" spans="1:19" ht="42" x14ac:dyDescent="0.15">
      <c r="A2174" s="2">
        <f>HYPERLINK("https://open-school.uspishnemisto.com.ua/school/120598/", 120598)</f>
        <v>120598</v>
      </c>
      <c r="B2174" s="3" t="s">
        <v>11467</v>
      </c>
      <c r="C2174" s="3" t="s">
        <v>31</v>
      </c>
      <c r="D2174" s="3" t="s">
        <v>32</v>
      </c>
      <c r="E2174" s="4" t="s">
        <v>22</v>
      </c>
      <c r="F2174" s="4" t="s">
        <v>11468</v>
      </c>
      <c r="G2174" s="4" t="s">
        <v>11469</v>
      </c>
      <c r="H2174" s="3" t="s">
        <v>8487</v>
      </c>
      <c r="I2174" s="3" t="s">
        <v>11470</v>
      </c>
      <c r="J2174" s="3" t="s">
        <v>11471</v>
      </c>
      <c r="K2174" s="3" t="s">
        <v>11472</v>
      </c>
      <c r="L2174" s="3" t="s">
        <v>11473</v>
      </c>
      <c r="M2174" s="4"/>
      <c r="N2174" s="3" t="s">
        <v>37</v>
      </c>
      <c r="O2174" s="3" t="s">
        <v>52</v>
      </c>
      <c r="P2174" s="5">
        <v>11</v>
      </c>
      <c r="Q2174" s="5">
        <v>102</v>
      </c>
      <c r="R2174" s="5">
        <v>11</v>
      </c>
      <c r="S2174" s="5">
        <v>113</v>
      </c>
    </row>
    <row r="2175" spans="1:19" ht="42" x14ac:dyDescent="0.15">
      <c r="A2175" s="2">
        <f>HYPERLINK("https://open-school.uspishnemisto.com.ua/school/120599/", 120599)</f>
        <v>120599</v>
      </c>
      <c r="B2175" s="3" t="s">
        <v>11474</v>
      </c>
      <c r="C2175" s="3" t="s">
        <v>31</v>
      </c>
      <c r="D2175" s="3" t="s">
        <v>32</v>
      </c>
      <c r="E2175" s="4" t="s">
        <v>22</v>
      </c>
      <c r="F2175" s="4" t="s">
        <v>11475</v>
      </c>
      <c r="G2175" s="4" t="s">
        <v>11476</v>
      </c>
      <c r="H2175" s="3" t="s">
        <v>8487</v>
      </c>
      <c r="I2175" s="3" t="s">
        <v>5519</v>
      </c>
      <c r="J2175" s="3" t="s">
        <v>11477</v>
      </c>
      <c r="K2175" s="3" t="s">
        <v>11478</v>
      </c>
      <c r="L2175" s="3" t="s">
        <v>11479</v>
      </c>
      <c r="M2175" s="4"/>
      <c r="N2175" s="3" t="s">
        <v>37</v>
      </c>
      <c r="O2175" s="3" t="s">
        <v>46</v>
      </c>
      <c r="P2175" s="5">
        <v>11</v>
      </c>
      <c r="Q2175" s="5">
        <v>171</v>
      </c>
      <c r="R2175" s="5">
        <v>11</v>
      </c>
      <c r="S2175" s="5">
        <v>162</v>
      </c>
    </row>
    <row r="2176" spans="1:19" ht="28" x14ac:dyDescent="0.15">
      <c r="A2176" s="2">
        <f>HYPERLINK("https://open-school.uspishnemisto.com.ua/school/120600/", 120600)</f>
        <v>120600</v>
      </c>
      <c r="B2176" s="3" t="s">
        <v>11480</v>
      </c>
      <c r="C2176" s="3" t="s">
        <v>31</v>
      </c>
      <c r="D2176" s="3" t="s">
        <v>32</v>
      </c>
      <c r="E2176" s="4" t="s">
        <v>22</v>
      </c>
      <c r="F2176" s="4" t="s">
        <v>11481</v>
      </c>
      <c r="G2176" s="4" t="s">
        <v>11482</v>
      </c>
      <c r="H2176" s="3" t="s">
        <v>8487</v>
      </c>
      <c r="I2176" s="3" t="s">
        <v>11483</v>
      </c>
      <c r="J2176" s="3" t="s">
        <v>11484</v>
      </c>
      <c r="K2176" s="3" t="s">
        <v>11485</v>
      </c>
      <c r="L2176" s="3" t="s">
        <v>11486</v>
      </c>
      <c r="M2176" s="4"/>
      <c r="N2176" s="3" t="s">
        <v>37</v>
      </c>
      <c r="O2176" s="3" t="s">
        <v>38</v>
      </c>
      <c r="P2176" s="5">
        <v>20</v>
      </c>
      <c r="Q2176" s="5">
        <v>439</v>
      </c>
      <c r="R2176" s="5">
        <v>20</v>
      </c>
      <c r="S2176" s="5">
        <v>446</v>
      </c>
    </row>
    <row r="2177" spans="1:19" ht="42" x14ac:dyDescent="0.15">
      <c r="A2177" s="2">
        <f>HYPERLINK("https://open-school.uspishnemisto.com.ua/school/120601/", 120601)</f>
        <v>120601</v>
      </c>
      <c r="B2177" s="3" t="s">
        <v>11487</v>
      </c>
      <c r="C2177" s="3" t="s">
        <v>31</v>
      </c>
      <c r="D2177" s="3" t="s">
        <v>32</v>
      </c>
      <c r="E2177" s="4" t="s">
        <v>22</v>
      </c>
      <c r="F2177" s="4" t="s">
        <v>11481</v>
      </c>
      <c r="G2177" s="4" t="s">
        <v>11482</v>
      </c>
      <c r="H2177" s="3" t="s">
        <v>8487</v>
      </c>
      <c r="I2177" s="3" t="s">
        <v>11483</v>
      </c>
      <c r="J2177" s="3" t="s">
        <v>2226</v>
      </c>
      <c r="K2177" s="3" t="s">
        <v>11488</v>
      </c>
      <c r="L2177" s="3" t="s">
        <v>11489</v>
      </c>
      <c r="M2177" s="4" t="s">
        <v>11490</v>
      </c>
      <c r="N2177" s="3" t="s">
        <v>37</v>
      </c>
      <c r="O2177" s="3" t="s">
        <v>38</v>
      </c>
      <c r="P2177" s="5">
        <v>15</v>
      </c>
      <c r="Q2177" s="5">
        <v>333</v>
      </c>
      <c r="R2177" s="5">
        <v>14</v>
      </c>
      <c r="S2177" s="5">
        <v>309</v>
      </c>
    </row>
    <row r="2178" spans="1:19" ht="28" x14ac:dyDescent="0.15">
      <c r="A2178" s="2">
        <f>HYPERLINK("https://open-school.uspishnemisto.com.ua/school/120602/", 120602)</f>
        <v>120602</v>
      </c>
      <c r="B2178" s="3" t="s">
        <v>11491</v>
      </c>
      <c r="C2178" s="3" t="s">
        <v>31</v>
      </c>
      <c r="D2178" s="3" t="s">
        <v>32</v>
      </c>
      <c r="E2178" s="4" t="s">
        <v>22</v>
      </c>
      <c r="F2178" s="4" t="s">
        <v>11492</v>
      </c>
      <c r="G2178" s="4" t="s">
        <v>11493</v>
      </c>
      <c r="H2178" s="3" t="s">
        <v>8487</v>
      </c>
      <c r="I2178" s="3" t="s">
        <v>11494</v>
      </c>
      <c r="J2178" s="3" t="s">
        <v>1404</v>
      </c>
      <c r="K2178" s="3" t="s">
        <v>11495</v>
      </c>
      <c r="L2178" s="3" t="s">
        <v>11496</v>
      </c>
      <c r="M2178" s="4"/>
      <c r="N2178" s="3" t="s">
        <v>11497</v>
      </c>
      <c r="O2178" s="3" t="s">
        <v>38</v>
      </c>
      <c r="P2178" s="5">
        <v>19</v>
      </c>
      <c r="Q2178" s="5">
        <v>385</v>
      </c>
      <c r="R2178" s="5">
        <v>18</v>
      </c>
      <c r="S2178" s="5">
        <v>362</v>
      </c>
    </row>
    <row r="2179" spans="1:19" ht="42" x14ac:dyDescent="0.15">
      <c r="A2179" s="2">
        <f>HYPERLINK("https://open-school.uspishnemisto.com.ua/school/120603/", 120603)</f>
        <v>120603</v>
      </c>
      <c r="B2179" s="3" t="s">
        <v>11498</v>
      </c>
      <c r="C2179" s="3" t="s">
        <v>31</v>
      </c>
      <c r="D2179" s="3" t="s">
        <v>32</v>
      </c>
      <c r="E2179" s="4" t="s">
        <v>22</v>
      </c>
      <c r="F2179" s="4" t="s">
        <v>11499</v>
      </c>
      <c r="G2179" s="4" t="s">
        <v>11500</v>
      </c>
      <c r="H2179" s="3" t="s">
        <v>8487</v>
      </c>
      <c r="I2179" s="3" t="s">
        <v>11501</v>
      </c>
      <c r="J2179" s="3" t="s">
        <v>11502</v>
      </c>
      <c r="K2179" s="3" t="s">
        <v>11503</v>
      </c>
      <c r="L2179" s="3" t="s">
        <v>11504</v>
      </c>
      <c r="M2179" s="4"/>
      <c r="N2179" s="3" t="s">
        <v>37</v>
      </c>
      <c r="O2179" s="3" t="s">
        <v>70</v>
      </c>
      <c r="P2179" s="5">
        <v>29</v>
      </c>
      <c r="Q2179" s="5">
        <v>483</v>
      </c>
      <c r="R2179" s="5">
        <v>20</v>
      </c>
      <c r="S2179" s="5">
        <v>408</v>
      </c>
    </row>
    <row r="2180" spans="1:19" ht="42" x14ac:dyDescent="0.15">
      <c r="A2180" s="2">
        <f>HYPERLINK("https://open-school.uspishnemisto.com.ua/school/120604/", 120604)</f>
        <v>120604</v>
      </c>
      <c r="B2180" s="3" t="s">
        <v>11505</v>
      </c>
      <c r="C2180" s="3" t="s">
        <v>31</v>
      </c>
      <c r="D2180" s="3" t="s">
        <v>32</v>
      </c>
      <c r="E2180" s="4" t="s">
        <v>22</v>
      </c>
      <c r="F2180" s="4" t="s">
        <v>11506</v>
      </c>
      <c r="G2180" s="4" t="s">
        <v>11507</v>
      </c>
      <c r="H2180" s="3" t="s">
        <v>8487</v>
      </c>
      <c r="I2180" s="3" t="s">
        <v>11508</v>
      </c>
      <c r="J2180" s="3" t="s">
        <v>11509</v>
      </c>
      <c r="K2180" s="3" t="s">
        <v>11510</v>
      </c>
      <c r="L2180" s="3" t="s">
        <v>11511</v>
      </c>
      <c r="M2180" s="4"/>
      <c r="N2180" s="3" t="s">
        <v>37</v>
      </c>
      <c r="O2180" s="3" t="s">
        <v>52</v>
      </c>
      <c r="P2180" s="5">
        <v>10</v>
      </c>
      <c r="Q2180" s="5">
        <v>116</v>
      </c>
      <c r="R2180" s="5">
        <v>11</v>
      </c>
      <c r="S2180" s="5">
        <v>120</v>
      </c>
    </row>
    <row r="2181" spans="1:19" ht="28" x14ac:dyDescent="0.15">
      <c r="A2181" s="2">
        <f>HYPERLINK("https://open-school.uspishnemisto.com.ua/school/120605/", 120605)</f>
        <v>120605</v>
      </c>
      <c r="B2181" s="3" t="s">
        <v>11512</v>
      </c>
      <c r="C2181" s="3" t="s">
        <v>31</v>
      </c>
      <c r="D2181" s="3" t="s">
        <v>32</v>
      </c>
      <c r="E2181" s="4" t="s">
        <v>22</v>
      </c>
      <c r="F2181" s="4" t="s">
        <v>11513</v>
      </c>
      <c r="G2181" s="4" t="s">
        <v>11514</v>
      </c>
      <c r="H2181" s="3" t="s">
        <v>8487</v>
      </c>
      <c r="I2181" s="3" t="s">
        <v>11515</v>
      </c>
      <c r="J2181" s="3" t="s">
        <v>11516</v>
      </c>
      <c r="K2181" s="3" t="s">
        <v>11517</v>
      </c>
      <c r="L2181" s="3" t="s">
        <v>11518</v>
      </c>
      <c r="M2181" s="4"/>
      <c r="N2181" s="3" t="s">
        <v>37</v>
      </c>
      <c r="O2181" s="3" t="s">
        <v>38</v>
      </c>
      <c r="P2181" s="5">
        <v>11</v>
      </c>
      <c r="Q2181" s="5">
        <v>168</v>
      </c>
      <c r="R2181" s="5">
        <v>11</v>
      </c>
      <c r="S2181" s="5">
        <v>156</v>
      </c>
    </row>
    <row r="2182" spans="1:19" ht="28" x14ac:dyDescent="0.15">
      <c r="A2182" s="2">
        <f>HYPERLINK("https://open-school.uspishnemisto.com.ua/school/120606/", 120606)</f>
        <v>120606</v>
      </c>
      <c r="B2182" s="3" t="s">
        <v>11519</v>
      </c>
      <c r="C2182" s="3" t="s">
        <v>31</v>
      </c>
      <c r="D2182" s="3" t="s">
        <v>32</v>
      </c>
      <c r="E2182" s="4" t="s">
        <v>22</v>
      </c>
      <c r="F2182" s="4" t="s">
        <v>11520</v>
      </c>
      <c r="G2182" s="4" t="s">
        <v>11521</v>
      </c>
      <c r="H2182" s="3" t="s">
        <v>8487</v>
      </c>
      <c r="I2182" s="3" t="s">
        <v>11522</v>
      </c>
      <c r="J2182" s="3" t="s">
        <v>11523</v>
      </c>
      <c r="K2182" s="3" t="s">
        <v>11524</v>
      </c>
      <c r="L2182" s="3"/>
      <c r="M2182" s="4"/>
      <c r="N2182" s="3" t="s">
        <v>37</v>
      </c>
      <c r="O2182" s="3" t="s">
        <v>38</v>
      </c>
      <c r="P2182" s="5">
        <v>8</v>
      </c>
      <c r="Q2182" s="5">
        <v>78</v>
      </c>
      <c r="R2182" s="5">
        <v>8</v>
      </c>
      <c r="S2182" s="5">
        <v>79</v>
      </c>
    </row>
    <row r="2183" spans="1:19" ht="56" x14ac:dyDescent="0.15">
      <c r="A2183" s="2">
        <f>HYPERLINK("https://open-school.uspishnemisto.com.ua/school/120607/", 120607)</f>
        <v>120607</v>
      </c>
      <c r="B2183" s="3" t="s">
        <v>11525</v>
      </c>
      <c r="C2183" s="3" t="s">
        <v>54</v>
      </c>
      <c r="D2183" s="3" t="s">
        <v>175</v>
      </c>
      <c r="E2183" s="4" t="s">
        <v>22</v>
      </c>
      <c r="F2183" s="4" t="s">
        <v>11526</v>
      </c>
      <c r="G2183" s="4" t="s">
        <v>11527</v>
      </c>
      <c r="H2183" s="3" t="s">
        <v>8487</v>
      </c>
      <c r="I2183" s="3" t="s">
        <v>11528</v>
      </c>
      <c r="J2183" s="3" t="s">
        <v>3363</v>
      </c>
      <c r="K2183" s="3"/>
      <c r="L2183" s="3"/>
      <c r="M2183" s="4"/>
      <c r="N2183" s="3" t="s">
        <v>37</v>
      </c>
      <c r="O2183" s="3" t="s">
        <v>52</v>
      </c>
      <c r="P2183" s="5">
        <v>8</v>
      </c>
      <c r="Q2183" s="5">
        <v>58</v>
      </c>
      <c r="R2183" s="5">
        <v>7</v>
      </c>
      <c r="S2183" s="5">
        <v>51</v>
      </c>
    </row>
    <row r="2184" spans="1:19" ht="28" x14ac:dyDescent="0.15">
      <c r="A2184" s="2">
        <f>HYPERLINK("https://open-school.uspishnemisto.com.ua/school/120608/", 120608)</f>
        <v>120608</v>
      </c>
      <c r="B2184" s="3" t="s">
        <v>11529</v>
      </c>
      <c r="C2184" s="3" t="s">
        <v>31</v>
      </c>
      <c r="D2184" s="3" t="s">
        <v>32</v>
      </c>
      <c r="E2184" s="4" t="s">
        <v>22</v>
      </c>
      <c r="F2184" s="4" t="s">
        <v>11530</v>
      </c>
      <c r="G2184" s="4" t="s">
        <v>11531</v>
      </c>
      <c r="H2184" s="3" t="s">
        <v>8487</v>
      </c>
      <c r="I2184" s="3" t="s">
        <v>11532</v>
      </c>
      <c r="J2184" s="3" t="s">
        <v>5955</v>
      </c>
      <c r="K2184" s="3" t="s">
        <v>11533</v>
      </c>
      <c r="L2184" s="3" t="s">
        <v>11534</v>
      </c>
      <c r="M2184" s="4"/>
      <c r="N2184" s="3" t="s">
        <v>37</v>
      </c>
      <c r="O2184" s="3" t="s">
        <v>38</v>
      </c>
      <c r="P2184" s="5">
        <v>11</v>
      </c>
      <c r="Q2184" s="5">
        <v>148</v>
      </c>
      <c r="R2184" s="5">
        <v>11</v>
      </c>
      <c r="S2184" s="5">
        <v>136</v>
      </c>
    </row>
    <row r="2185" spans="1:19" ht="42" x14ac:dyDescent="0.15">
      <c r="A2185" s="2">
        <f>HYPERLINK("https://open-school.uspishnemisto.com.ua/school/120609/", 120609)</f>
        <v>120609</v>
      </c>
      <c r="B2185" s="3" t="s">
        <v>11535</v>
      </c>
      <c r="C2185" s="3" t="s">
        <v>54</v>
      </c>
      <c r="D2185" s="3" t="s">
        <v>175</v>
      </c>
      <c r="E2185" s="4" t="s">
        <v>22</v>
      </c>
      <c r="F2185" s="4" t="s">
        <v>11536</v>
      </c>
      <c r="G2185" s="4" t="s">
        <v>11537</v>
      </c>
      <c r="H2185" s="3" t="s">
        <v>8487</v>
      </c>
      <c r="I2185" s="3" t="s">
        <v>11538</v>
      </c>
      <c r="J2185" s="3" t="s">
        <v>1348</v>
      </c>
      <c r="K2185" s="3" t="s">
        <v>11539</v>
      </c>
      <c r="L2185" s="3"/>
      <c r="M2185" s="4"/>
      <c r="N2185" s="3" t="s">
        <v>37</v>
      </c>
      <c r="O2185" s="3" t="s">
        <v>52</v>
      </c>
      <c r="P2185" s="5">
        <v>8</v>
      </c>
      <c r="Q2185" s="5">
        <v>54</v>
      </c>
      <c r="R2185" s="5">
        <v>8</v>
      </c>
      <c r="S2185" s="5">
        <v>55</v>
      </c>
    </row>
    <row r="2186" spans="1:19" ht="28" x14ac:dyDescent="0.15">
      <c r="A2186" s="2">
        <f>HYPERLINK("https://open-school.uspishnemisto.com.ua/school/120610/", 120610)</f>
        <v>120610</v>
      </c>
      <c r="B2186" s="3" t="s">
        <v>11540</v>
      </c>
      <c r="C2186" s="3" t="s">
        <v>31</v>
      </c>
      <c r="D2186" s="3" t="s">
        <v>32</v>
      </c>
      <c r="E2186" s="4" t="s">
        <v>22</v>
      </c>
      <c r="F2186" s="4" t="s">
        <v>11541</v>
      </c>
      <c r="G2186" s="4" t="s">
        <v>11542</v>
      </c>
      <c r="H2186" s="3" t="s">
        <v>8487</v>
      </c>
      <c r="I2186" s="3" t="s">
        <v>11543</v>
      </c>
      <c r="J2186" s="3" t="s">
        <v>11544</v>
      </c>
      <c r="K2186" s="3" t="s">
        <v>11545</v>
      </c>
      <c r="L2186" s="3" t="s">
        <v>11546</v>
      </c>
      <c r="M2186" s="4"/>
      <c r="N2186" s="3" t="s">
        <v>37</v>
      </c>
      <c r="O2186" s="3" t="s">
        <v>38</v>
      </c>
      <c r="P2186" s="5">
        <v>9</v>
      </c>
      <c r="Q2186" s="5">
        <v>96</v>
      </c>
      <c r="R2186" s="5">
        <v>10</v>
      </c>
      <c r="S2186" s="5">
        <v>98</v>
      </c>
    </row>
    <row r="2187" spans="1:19" ht="56" x14ac:dyDescent="0.15">
      <c r="A2187" s="2">
        <f>HYPERLINK("https://open-school.uspishnemisto.com.ua/school/120611/", 120611)</f>
        <v>120611</v>
      </c>
      <c r="B2187" s="3" t="s">
        <v>11547</v>
      </c>
      <c r="C2187" s="3" t="s">
        <v>54</v>
      </c>
      <c r="D2187" s="3" t="s">
        <v>32</v>
      </c>
      <c r="E2187" s="4" t="s">
        <v>22</v>
      </c>
      <c r="F2187" s="4" t="s">
        <v>11499</v>
      </c>
      <c r="G2187" s="4" t="s">
        <v>11548</v>
      </c>
      <c r="H2187" s="3" t="s">
        <v>8487</v>
      </c>
      <c r="I2187" s="3" t="s">
        <v>11549</v>
      </c>
      <c r="J2187" s="3" t="s">
        <v>466</v>
      </c>
      <c r="K2187" s="3" t="s">
        <v>11550</v>
      </c>
      <c r="L2187" s="3"/>
      <c r="M2187" s="4"/>
      <c r="N2187" s="3" t="s">
        <v>37</v>
      </c>
      <c r="O2187" s="3" t="s">
        <v>618</v>
      </c>
      <c r="P2187" s="5">
        <v>10</v>
      </c>
      <c r="Q2187" s="5">
        <v>91</v>
      </c>
      <c r="R2187" s="5">
        <v>11</v>
      </c>
      <c r="S2187" s="5">
        <v>92</v>
      </c>
    </row>
    <row r="2188" spans="1:19" ht="42" x14ac:dyDescent="0.15">
      <c r="A2188" s="2">
        <f>HYPERLINK("https://open-school.uspishnemisto.com.ua/school/120612/", 120612)</f>
        <v>120612</v>
      </c>
      <c r="B2188" s="3" t="s">
        <v>11551</v>
      </c>
      <c r="C2188" s="3" t="s">
        <v>31</v>
      </c>
      <c r="D2188" s="3" t="s">
        <v>32</v>
      </c>
      <c r="E2188" s="4" t="s">
        <v>22</v>
      </c>
      <c r="F2188" s="4" t="s">
        <v>11552</v>
      </c>
      <c r="G2188" s="4" t="s">
        <v>11553</v>
      </c>
      <c r="H2188" s="3" t="s">
        <v>8487</v>
      </c>
      <c r="I2188" s="3" t="s">
        <v>11554</v>
      </c>
      <c r="J2188" s="3" t="s">
        <v>11555</v>
      </c>
      <c r="K2188" s="3" t="s">
        <v>11556</v>
      </c>
      <c r="L2188" s="3"/>
      <c r="M2188" s="4"/>
      <c r="N2188" s="3" t="s">
        <v>37</v>
      </c>
      <c r="O2188" s="3" t="s">
        <v>52</v>
      </c>
      <c r="P2188" s="5">
        <v>11</v>
      </c>
      <c r="Q2188" s="5">
        <v>106</v>
      </c>
      <c r="R2188" s="5">
        <v>11</v>
      </c>
      <c r="S2188" s="5">
        <v>108</v>
      </c>
    </row>
    <row r="2189" spans="1:19" ht="42" x14ac:dyDescent="0.15">
      <c r="A2189" s="2">
        <f>HYPERLINK("https://open-school.uspishnemisto.com.ua/school/120613/", 120613)</f>
        <v>120613</v>
      </c>
      <c r="B2189" s="3" t="s">
        <v>11557</v>
      </c>
      <c r="C2189" s="3" t="s">
        <v>54</v>
      </c>
      <c r="D2189" s="3" t="s">
        <v>60</v>
      </c>
      <c r="E2189" s="4" t="s">
        <v>22</v>
      </c>
      <c r="F2189" s="4" t="s">
        <v>11558</v>
      </c>
      <c r="G2189" s="4" t="s">
        <v>11559</v>
      </c>
      <c r="H2189" s="3" t="s">
        <v>8487</v>
      </c>
      <c r="I2189" s="3" t="s">
        <v>11560</v>
      </c>
      <c r="J2189" s="3" t="s">
        <v>3393</v>
      </c>
      <c r="K2189" s="3" t="s">
        <v>11561</v>
      </c>
      <c r="L2189" s="3" t="s">
        <v>11562</v>
      </c>
      <c r="M2189" s="4"/>
      <c r="N2189" s="3" t="s">
        <v>37</v>
      </c>
      <c r="O2189" s="3" t="s">
        <v>52</v>
      </c>
      <c r="P2189" s="5">
        <v>1</v>
      </c>
      <c r="Q2189" s="5">
        <v>15</v>
      </c>
      <c r="R2189" s="5">
        <v>0</v>
      </c>
      <c r="S2189" s="5">
        <v>9</v>
      </c>
    </row>
    <row r="2190" spans="1:19" ht="28" x14ac:dyDescent="0.15">
      <c r="A2190" s="2">
        <f>HYPERLINK("https://open-school.uspishnemisto.com.ua/school/120614/", 120614)</f>
        <v>120614</v>
      </c>
      <c r="B2190" s="3" t="s">
        <v>11563</v>
      </c>
      <c r="C2190" s="3" t="s">
        <v>54</v>
      </c>
      <c r="D2190" s="3" t="s">
        <v>60</v>
      </c>
      <c r="E2190" s="4" t="s">
        <v>22</v>
      </c>
      <c r="F2190" s="4" t="s">
        <v>11499</v>
      </c>
      <c r="G2190" s="4" t="s">
        <v>11564</v>
      </c>
      <c r="H2190" s="3" t="s">
        <v>8487</v>
      </c>
      <c r="I2190" s="3" t="s">
        <v>5129</v>
      </c>
      <c r="J2190" s="3" t="s">
        <v>11565</v>
      </c>
      <c r="K2190" s="3" t="s">
        <v>11566</v>
      </c>
      <c r="L2190" s="3"/>
      <c r="M2190" s="4"/>
      <c r="N2190" s="3" t="s">
        <v>37</v>
      </c>
      <c r="O2190" s="3" t="s">
        <v>52</v>
      </c>
      <c r="P2190" s="5">
        <v>3</v>
      </c>
      <c r="Q2190" s="5">
        <v>18</v>
      </c>
      <c r="R2190" s="5">
        <v>4</v>
      </c>
      <c r="S2190" s="5">
        <v>20</v>
      </c>
    </row>
    <row r="2191" spans="1:19" ht="28" x14ac:dyDescent="0.15">
      <c r="A2191" s="2">
        <f>HYPERLINK("https://open-school.uspishnemisto.com.ua/school/120615/", 120615)</f>
        <v>120615</v>
      </c>
      <c r="B2191" s="3" t="s">
        <v>11567</v>
      </c>
      <c r="C2191" s="3" t="s">
        <v>31</v>
      </c>
      <c r="D2191" s="3" t="s">
        <v>32</v>
      </c>
      <c r="E2191" s="4" t="s">
        <v>22</v>
      </c>
      <c r="F2191" s="4" t="s">
        <v>11568</v>
      </c>
      <c r="G2191" s="4" t="s">
        <v>11569</v>
      </c>
      <c r="H2191" s="3" t="s">
        <v>8487</v>
      </c>
      <c r="I2191" s="3" t="s">
        <v>11570</v>
      </c>
      <c r="J2191" s="3" t="s">
        <v>11571</v>
      </c>
      <c r="K2191" s="3" t="s">
        <v>11572</v>
      </c>
      <c r="L2191" s="3" t="s">
        <v>11573</v>
      </c>
      <c r="M2191" s="4" t="s">
        <v>11574</v>
      </c>
      <c r="N2191" s="3" t="s">
        <v>37</v>
      </c>
      <c r="O2191" s="3" t="s">
        <v>70</v>
      </c>
      <c r="P2191" s="5">
        <v>11</v>
      </c>
      <c r="Q2191" s="5">
        <v>168</v>
      </c>
      <c r="R2191" s="5">
        <v>11</v>
      </c>
      <c r="S2191" s="5">
        <v>163</v>
      </c>
    </row>
    <row r="2192" spans="1:19" ht="42" x14ac:dyDescent="0.15">
      <c r="A2192" s="2">
        <f>HYPERLINK("https://open-school.uspishnemisto.com.ua/school/120616/", 120616)</f>
        <v>120616</v>
      </c>
      <c r="B2192" s="3" t="s">
        <v>11575</v>
      </c>
      <c r="C2192" s="3" t="s">
        <v>31</v>
      </c>
      <c r="D2192" s="3" t="s">
        <v>32</v>
      </c>
      <c r="E2192" s="4" t="s">
        <v>22</v>
      </c>
      <c r="F2192" s="4" t="s">
        <v>11576</v>
      </c>
      <c r="G2192" s="4" t="s">
        <v>11577</v>
      </c>
      <c r="H2192" s="3" t="s">
        <v>8487</v>
      </c>
      <c r="I2192" s="3" t="s">
        <v>11578</v>
      </c>
      <c r="J2192" s="3" t="s">
        <v>10830</v>
      </c>
      <c r="K2192" s="3" t="s">
        <v>11579</v>
      </c>
      <c r="L2192" s="3"/>
      <c r="M2192" s="4"/>
      <c r="N2192" s="3" t="s">
        <v>37</v>
      </c>
      <c r="O2192" s="3" t="s">
        <v>38</v>
      </c>
      <c r="P2192" s="5">
        <v>11</v>
      </c>
      <c r="Q2192" s="5">
        <v>103</v>
      </c>
      <c r="R2192" s="5">
        <v>11</v>
      </c>
      <c r="S2192" s="5">
        <v>101</v>
      </c>
    </row>
    <row r="2193" spans="1:19" ht="56" x14ac:dyDescent="0.15">
      <c r="A2193" s="2">
        <f>HYPERLINK("https://open-school.uspishnemisto.com.ua/school/120617/", 120617)</f>
        <v>120617</v>
      </c>
      <c r="B2193" s="3" t="s">
        <v>11580</v>
      </c>
      <c r="C2193" s="3" t="s">
        <v>54</v>
      </c>
      <c r="D2193" s="3" t="s">
        <v>32</v>
      </c>
      <c r="E2193" s="4" t="s">
        <v>22</v>
      </c>
      <c r="F2193" s="4" t="s">
        <v>11581</v>
      </c>
      <c r="G2193" s="4" t="s">
        <v>11582</v>
      </c>
      <c r="H2193" s="3" t="s">
        <v>8487</v>
      </c>
      <c r="I2193" s="3" t="s">
        <v>1033</v>
      </c>
      <c r="J2193" s="3" t="s">
        <v>726</v>
      </c>
      <c r="K2193" s="3" t="s">
        <v>11583</v>
      </c>
      <c r="L2193" s="3" t="s">
        <v>11584</v>
      </c>
      <c r="M2193" s="4"/>
      <c r="N2193" s="3" t="s">
        <v>37</v>
      </c>
      <c r="O2193" s="3" t="s">
        <v>38</v>
      </c>
      <c r="P2193" s="5">
        <v>11</v>
      </c>
      <c r="Q2193" s="5">
        <v>159</v>
      </c>
      <c r="R2193" s="5">
        <v>11</v>
      </c>
      <c r="S2193" s="5">
        <v>149</v>
      </c>
    </row>
    <row r="2194" spans="1:19" ht="28" x14ac:dyDescent="0.15">
      <c r="A2194" s="2">
        <f>HYPERLINK("https://open-school.uspishnemisto.com.ua/school/120618/", 120618)</f>
        <v>120618</v>
      </c>
      <c r="B2194" s="3" t="s">
        <v>11585</v>
      </c>
      <c r="C2194" s="3" t="s">
        <v>31</v>
      </c>
      <c r="D2194" s="3" t="s">
        <v>175</v>
      </c>
      <c r="E2194" s="4" t="s">
        <v>22</v>
      </c>
      <c r="F2194" s="4" t="s">
        <v>11586</v>
      </c>
      <c r="G2194" s="4" t="s">
        <v>11587</v>
      </c>
      <c r="H2194" s="3" t="s">
        <v>8487</v>
      </c>
      <c r="I2194" s="3" t="s">
        <v>11588</v>
      </c>
      <c r="J2194" s="3" t="s">
        <v>7277</v>
      </c>
      <c r="K2194" s="3" t="s">
        <v>11589</v>
      </c>
      <c r="L2194" s="3" t="s">
        <v>11590</v>
      </c>
      <c r="M2194" s="4"/>
      <c r="N2194" s="3" t="s">
        <v>37</v>
      </c>
      <c r="O2194" s="3" t="s">
        <v>46</v>
      </c>
      <c r="P2194" s="5">
        <v>0</v>
      </c>
      <c r="Q2194" s="5">
        <v>0</v>
      </c>
      <c r="R2194" s="5">
        <v>9</v>
      </c>
      <c r="S2194" s="5">
        <v>70</v>
      </c>
    </row>
    <row r="2195" spans="1:19" ht="28" x14ac:dyDescent="0.15">
      <c r="A2195" s="2">
        <f>HYPERLINK("https://open-school.uspishnemisto.com.ua/school/120619/", 120619)</f>
        <v>120619</v>
      </c>
      <c r="B2195" s="3" t="s">
        <v>11591</v>
      </c>
      <c r="C2195" s="3" t="s">
        <v>31</v>
      </c>
      <c r="D2195" s="3" t="s">
        <v>32</v>
      </c>
      <c r="E2195" s="4" t="s">
        <v>22</v>
      </c>
      <c r="F2195" s="4" t="s">
        <v>11592</v>
      </c>
      <c r="G2195" s="4" t="s">
        <v>11593</v>
      </c>
      <c r="H2195" s="3" t="s">
        <v>8487</v>
      </c>
      <c r="I2195" s="3" t="s">
        <v>11594</v>
      </c>
      <c r="J2195" s="3" t="s">
        <v>11595</v>
      </c>
      <c r="K2195" s="3" t="s">
        <v>11596</v>
      </c>
      <c r="L2195" s="3"/>
      <c r="M2195" s="4"/>
      <c r="N2195" s="3" t="s">
        <v>37</v>
      </c>
      <c r="O2195" s="3" t="s">
        <v>46</v>
      </c>
      <c r="P2195" s="5">
        <v>8</v>
      </c>
      <c r="Q2195" s="5">
        <v>55</v>
      </c>
      <c r="R2195" s="5">
        <v>7</v>
      </c>
      <c r="S2195" s="5">
        <v>45</v>
      </c>
    </row>
    <row r="2196" spans="1:19" ht="42" x14ac:dyDescent="0.15">
      <c r="A2196" s="2">
        <f>HYPERLINK("https://open-school.uspishnemisto.com.ua/school/120620/", 120620)</f>
        <v>120620</v>
      </c>
      <c r="B2196" s="3" t="s">
        <v>11597</v>
      </c>
      <c r="C2196" s="3" t="s">
        <v>54</v>
      </c>
      <c r="D2196" s="3" t="s">
        <v>175</v>
      </c>
      <c r="E2196" s="4" t="s">
        <v>22</v>
      </c>
      <c r="F2196" s="4" t="s">
        <v>11598</v>
      </c>
      <c r="G2196" s="4" t="s">
        <v>11599</v>
      </c>
      <c r="H2196" s="3" t="s">
        <v>8487</v>
      </c>
      <c r="I2196" s="3" t="s">
        <v>4821</v>
      </c>
      <c r="J2196" s="3" t="s">
        <v>6666</v>
      </c>
      <c r="K2196" s="3" t="s">
        <v>11600</v>
      </c>
      <c r="L2196" s="3" t="s">
        <v>11601</v>
      </c>
      <c r="M2196" s="4"/>
      <c r="N2196" s="3" t="s">
        <v>37</v>
      </c>
      <c r="O2196" s="3" t="s">
        <v>618</v>
      </c>
      <c r="P2196" s="5">
        <v>4</v>
      </c>
      <c r="Q2196" s="5">
        <v>28</v>
      </c>
      <c r="R2196" s="5">
        <v>3</v>
      </c>
      <c r="S2196" s="5">
        <v>21</v>
      </c>
    </row>
    <row r="2197" spans="1:19" ht="28" x14ac:dyDescent="0.15">
      <c r="A2197" s="2">
        <f>HYPERLINK("https://open-school.uspishnemisto.com.ua/school/120621/", 120621)</f>
        <v>120621</v>
      </c>
      <c r="B2197" s="3" t="s">
        <v>11602</v>
      </c>
      <c r="C2197" s="3" t="s">
        <v>31</v>
      </c>
      <c r="D2197" s="3" t="s">
        <v>32</v>
      </c>
      <c r="E2197" s="4" t="s">
        <v>22</v>
      </c>
      <c r="F2197" s="4" t="s">
        <v>11603</v>
      </c>
      <c r="G2197" s="4" t="s">
        <v>11604</v>
      </c>
      <c r="H2197" s="3" t="s">
        <v>8487</v>
      </c>
      <c r="I2197" s="3" t="s">
        <v>11605</v>
      </c>
      <c r="J2197" s="3" t="s">
        <v>11606</v>
      </c>
      <c r="K2197" s="3" t="s">
        <v>11607</v>
      </c>
      <c r="L2197" s="3" t="s">
        <v>11608</v>
      </c>
      <c r="M2197" s="4"/>
      <c r="N2197" s="3" t="s">
        <v>37</v>
      </c>
      <c r="O2197" s="3" t="s">
        <v>52</v>
      </c>
      <c r="P2197" s="5">
        <v>11</v>
      </c>
      <c r="Q2197" s="5">
        <v>111</v>
      </c>
      <c r="R2197" s="5">
        <v>11</v>
      </c>
      <c r="S2197" s="5">
        <v>110</v>
      </c>
    </row>
    <row r="2198" spans="1:19" ht="28" x14ac:dyDescent="0.15">
      <c r="A2198" s="2">
        <f>HYPERLINK("https://open-school.uspishnemisto.com.ua/school/120622/", 120622)</f>
        <v>120622</v>
      </c>
      <c r="B2198" s="3" t="s">
        <v>11609</v>
      </c>
      <c r="C2198" s="3" t="s">
        <v>54</v>
      </c>
      <c r="D2198" s="3" t="s">
        <v>60</v>
      </c>
      <c r="E2198" s="4" t="s">
        <v>22</v>
      </c>
      <c r="F2198" s="4" t="s">
        <v>11610</v>
      </c>
      <c r="G2198" s="4" t="s">
        <v>11611</v>
      </c>
      <c r="H2198" s="3" t="s">
        <v>8487</v>
      </c>
      <c r="I2198" s="3" t="s">
        <v>10789</v>
      </c>
      <c r="J2198" s="3" t="s">
        <v>11612</v>
      </c>
      <c r="K2198" s="3" t="s">
        <v>11613</v>
      </c>
      <c r="L2198" s="3"/>
      <c r="M2198" s="4"/>
      <c r="N2198" s="3" t="s">
        <v>37</v>
      </c>
      <c r="O2198" s="3" t="s">
        <v>52</v>
      </c>
      <c r="P2198" s="5">
        <v>4</v>
      </c>
      <c r="Q2198" s="5">
        <v>31</v>
      </c>
      <c r="R2198" s="5">
        <v>3</v>
      </c>
      <c r="S2198" s="5">
        <v>29</v>
      </c>
    </row>
    <row r="2199" spans="1:19" ht="56" x14ac:dyDescent="0.15">
      <c r="A2199" s="2">
        <f>HYPERLINK("https://open-school.uspishnemisto.com.ua/school/120623/", 120623)</f>
        <v>120623</v>
      </c>
      <c r="B2199" s="3" t="s">
        <v>11614</v>
      </c>
      <c r="C2199" s="3" t="s">
        <v>54</v>
      </c>
      <c r="D2199" s="3" t="s">
        <v>32</v>
      </c>
      <c r="E2199" s="4" t="s">
        <v>22</v>
      </c>
      <c r="F2199" s="4" t="s">
        <v>11615</v>
      </c>
      <c r="G2199" s="4" t="s">
        <v>11616</v>
      </c>
      <c r="H2199" s="3" t="s">
        <v>8487</v>
      </c>
      <c r="I2199" s="3" t="s">
        <v>11617</v>
      </c>
      <c r="J2199" s="3" t="s">
        <v>466</v>
      </c>
      <c r="K2199" s="3" t="s">
        <v>11618</v>
      </c>
      <c r="L2199" s="3"/>
      <c r="M2199" s="4"/>
      <c r="N2199" s="3" t="s">
        <v>37</v>
      </c>
      <c r="O2199" s="3" t="s">
        <v>52</v>
      </c>
      <c r="P2199" s="5">
        <v>11</v>
      </c>
      <c r="Q2199" s="5">
        <v>99</v>
      </c>
      <c r="R2199" s="5">
        <v>10</v>
      </c>
      <c r="S2199" s="5">
        <v>101</v>
      </c>
    </row>
    <row r="2200" spans="1:19" ht="56" x14ac:dyDescent="0.15">
      <c r="A2200" s="2">
        <f>HYPERLINK("https://open-school.uspishnemisto.com.ua/school/120624/", 120624)</f>
        <v>120624</v>
      </c>
      <c r="B2200" s="3" t="s">
        <v>11619</v>
      </c>
      <c r="C2200" s="3" t="s">
        <v>31</v>
      </c>
      <c r="D2200" s="3" t="s">
        <v>32</v>
      </c>
      <c r="E2200" s="4" t="s">
        <v>22</v>
      </c>
      <c r="F2200" s="4" t="s">
        <v>11620</v>
      </c>
      <c r="G2200" s="4" t="s">
        <v>11621</v>
      </c>
      <c r="H2200" s="3" t="s">
        <v>8487</v>
      </c>
      <c r="I2200" s="3" t="s">
        <v>6929</v>
      </c>
      <c r="J2200" s="3" t="s">
        <v>11622</v>
      </c>
      <c r="K2200" s="3" t="s">
        <v>11623</v>
      </c>
      <c r="L2200" s="3"/>
      <c r="M2200" s="4"/>
      <c r="N2200" s="3" t="s">
        <v>37</v>
      </c>
      <c r="O2200" s="3" t="s">
        <v>38</v>
      </c>
      <c r="P2200" s="5">
        <v>9</v>
      </c>
      <c r="Q2200" s="5">
        <v>89</v>
      </c>
      <c r="R2200" s="5">
        <v>8</v>
      </c>
      <c r="S2200" s="5">
        <v>69</v>
      </c>
    </row>
    <row r="2201" spans="1:19" ht="28" x14ac:dyDescent="0.15">
      <c r="A2201" s="2">
        <f>HYPERLINK("https://open-school.uspishnemisto.com.ua/school/120625/", 120625)</f>
        <v>120625</v>
      </c>
      <c r="B2201" s="3" t="s">
        <v>11624</v>
      </c>
      <c r="C2201" s="3" t="s">
        <v>181</v>
      </c>
      <c r="D2201" s="3" t="s">
        <v>32</v>
      </c>
      <c r="E2201" s="4" t="s">
        <v>22</v>
      </c>
      <c r="F2201" s="4" t="s">
        <v>11625</v>
      </c>
      <c r="G2201" s="4" t="s">
        <v>11626</v>
      </c>
      <c r="H2201" s="3" t="s">
        <v>8487</v>
      </c>
      <c r="I2201" s="3" t="s">
        <v>11627</v>
      </c>
      <c r="J2201" s="3" t="s">
        <v>11628</v>
      </c>
      <c r="K2201" s="3" t="s">
        <v>11629</v>
      </c>
      <c r="L2201" s="3" t="s">
        <v>11630</v>
      </c>
      <c r="M2201" s="4"/>
      <c r="N2201" s="3" t="s">
        <v>37</v>
      </c>
      <c r="O2201" s="3" t="s">
        <v>52</v>
      </c>
      <c r="P2201" s="5">
        <v>11</v>
      </c>
      <c r="Q2201" s="5">
        <v>78</v>
      </c>
      <c r="R2201" s="5">
        <v>12</v>
      </c>
      <c r="S2201" s="5">
        <v>105</v>
      </c>
    </row>
    <row r="2202" spans="1:19" ht="28" x14ac:dyDescent="0.15">
      <c r="A2202" s="2">
        <f>HYPERLINK("https://open-school.uspishnemisto.com.ua/school/120626/", 120626)</f>
        <v>120626</v>
      </c>
      <c r="B2202" s="3" t="s">
        <v>11631</v>
      </c>
      <c r="C2202" s="3" t="s">
        <v>31</v>
      </c>
      <c r="D2202" s="3" t="s">
        <v>32</v>
      </c>
      <c r="E2202" s="4" t="s">
        <v>22</v>
      </c>
      <c r="F2202" s="4" t="s">
        <v>11625</v>
      </c>
      <c r="G2202" s="4" t="s">
        <v>11626</v>
      </c>
      <c r="H2202" s="3" t="s">
        <v>8487</v>
      </c>
      <c r="I2202" s="3" t="s">
        <v>11627</v>
      </c>
      <c r="J2202" s="3" t="s">
        <v>11632</v>
      </c>
      <c r="K2202" s="3" t="s">
        <v>11633</v>
      </c>
      <c r="L2202" s="3" t="s">
        <v>11634</v>
      </c>
      <c r="M2202" s="4"/>
      <c r="N2202" s="3" t="s">
        <v>37</v>
      </c>
      <c r="O2202" s="3" t="s">
        <v>70</v>
      </c>
      <c r="P2202" s="5">
        <v>45</v>
      </c>
      <c r="Q2202" s="5">
        <v>788</v>
      </c>
      <c r="R2202" s="5">
        <v>30</v>
      </c>
      <c r="S2202" s="5">
        <v>662</v>
      </c>
    </row>
    <row r="2203" spans="1:19" ht="28" x14ac:dyDescent="0.15">
      <c r="A2203" s="2">
        <f>HYPERLINK("https://open-school.uspishnemisto.com.ua/school/120627/", 120627)</f>
        <v>120627</v>
      </c>
      <c r="B2203" s="3" t="s">
        <v>11635</v>
      </c>
      <c r="C2203" s="3" t="s">
        <v>31</v>
      </c>
      <c r="D2203" s="3" t="s">
        <v>32</v>
      </c>
      <c r="E2203" s="4" t="s">
        <v>22</v>
      </c>
      <c r="F2203" s="4" t="s">
        <v>11636</v>
      </c>
      <c r="G2203" s="4" t="s">
        <v>11637</v>
      </c>
      <c r="H2203" s="3" t="s">
        <v>8487</v>
      </c>
      <c r="I2203" s="3" t="s">
        <v>11638</v>
      </c>
      <c r="J2203" s="3" t="s">
        <v>466</v>
      </c>
      <c r="K2203" s="3" t="s">
        <v>11639</v>
      </c>
      <c r="L2203" s="3" t="s">
        <v>11640</v>
      </c>
      <c r="M2203" s="4"/>
      <c r="N2203" s="3" t="s">
        <v>37</v>
      </c>
      <c r="O2203" s="3" t="s">
        <v>46</v>
      </c>
      <c r="P2203" s="5">
        <v>9</v>
      </c>
      <c r="Q2203" s="5">
        <v>71</v>
      </c>
      <c r="R2203" s="5">
        <v>9</v>
      </c>
      <c r="S2203" s="5">
        <v>63</v>
      </c>
    </row>
    <row r="2204" spans="1:19" ht="28" x14ac:dyDescent="0.15">
      <c r="A2204" s="2">
        <f>HYPERLINK("https://open-school.uspishnemisto.com.ua/school/120629/", 120629)</f>
        <v>120629</v>
      </c>
      <c r="B2204" s="3" t="s">
        <v>11641</v>
      </c>
      <c r="C2204" s="3" t="s">
        <v>31</v>
      </c>
      <c r="D2204" s="3" t="s">
        <v>32</v>
      </c>
      <c r="E2204" s="4" t="s">
        <v>22</v>
      </c>
      <c r="F2204" s="4" t="s">
        <v>11642</v>
      </c>
      <c r="G2204" s="4" t="s">
        <v>11643</v>
      </c>
      <c r="H2204" s="3" t="s">
        <v>8487</v>
      </c>
      <c r="I2204" s="3" t="s">
        <v>11644</v>
      </c>
      <c r="J2204" s="3" t="s">
        <v>11645</v>
      </c>
      <c r="K2204" s="3" t="s">
        <v>11646</v>
      </c>
      <c r="L2204" s="3" t="s">
        <v>11647</v>
      </c>
      <c r="M2204" s="4"/>
      <c r="N2204" s="3" t="s">
        <v>37</v>
      </c>
      <c r="O2204" s="3" t="s">
        <v>52</v>
      </c>
      <c r="P2204" s="5">
        <v>11</v>
      </c>
      <c r="Q2204" s="5">
        <v>95</v>
      </c>
      <c r="R2204" s="5">
        <v>11</v>
      </c>
      <c r="S2204" s="5">
        <v>96</v>
      </c>
    </row>
    <row r="2205" spans="1:19" ht="28" x14ac:dyDescent="0.15">
      <c r="A2205" s="2">
        <f>HYPERLINK("https://open-school.uspishnemisto.com.ua/school/120630/", 120630)</f>
        <v>120630</v>
      </c>
      <c r="B2205" s="3" t="s">
        <v>11648</v>
      </c>
      <c r="C2205" s="3" t="s">
        <v>31</v>
      </c>
      <c r="D2205" s="3" t="s">
        <v>32</v>
      </c>
      <c r="E2205" s="4" t="s">
        <v>22</v>
      </c>
      <c r="F2205" s="4" t="s">
        <v>11649</v>
      </c>
      <c r="G2205" s="4" t="s">
        <v>11650</v>
      </c>
      <c r="H2205" s="3" t="s">
        <v>8487</v>
      </c>
      <c r="I2205" s="3" t="s">
        <v>11651</v>
      </c>
      <c r="J2205" s="3" t="s">
        <v>5884</v>
      </c>
      <c r="K2205" s="3" t="s">
        <v>11652</v>
      </c>
      <c r="L2205" s="3" t="s">
        <v>11653</v>
      </c>
      <c r="M2205" s="4"/>
      <c r="N2205" s="3" t="s">
        <v>37</v>
      </c>
      <c r="O2205" s="3" t="s">
        <v>618</v>
      </c>
      <c r="P2205" s="5">
        <v>10</v>
      </c>
      <c r="Q2205" s="5">
        <v>72</v>
      </c>
      <c r="R2205" s="5">
        <v>10</v>
      </c>
      <c r="S2205" s="5">
        <v>73</v>
      </c>
    </row>
    <row r="2206" spans="1:19" ht="28" x14ac:dyDescent="0.15">
      <c r="A2206" s="2">
        <f>HYPERLINK("https://open-school.uspishnemisto.com.ua/school/120631/", 120631)</f>
        <v>120631</v>
      </c>
      <c r="B2206" s="3" t="s">
        <v>11654</v>
      </c>
      <c r="C2206" s="3" t="s">
        <v>31</v>
      </c>
      <c r="D2206" s="3" t="s">
        <v>32</v>
      </c>
      <c r="E2206" s="4" t="s">
        <v>22</v>
      </c>
      <c r="F2206" s="4" t="s">
        <v>11655</v>
      </c>
      <c r="G2206" s="4" t="s">
        <v>11656</v>
      </c>
      <c r="H2206" s="3" t="s">
        <v>8487</v>
      </c>
      <c r="I2206" s="3" t="s">
        <v>11657</v>
      </c>
      <c r="J2206" s="3" t="s">
        <v>1348</v>
      </c>
      <c r="K2206" s="3" t="s">
        <v>11658</v>
      </c>
      <c r="L2206" s="3" t="s">
        <v>11659</v>
      </c>
      <c r="M2206" s="4"/>
      <c r="N2206" s="3" t="s">
        <v>37</v>
      </c>
      <c r="O2206" s="3" t="s">
        <v>52</v>
      </c>
      <c r="P2206" s="5">
        <v>11</v>
      </c>
      <c r="Q2206" s="5">
        <v>119</v>
      </c>
      <c r="R2206" s="5">
        <v>11</v>
      </c>
      <c r="S2206" s="5">
        <v>121</v>
      </c>
    </row>
    <row r="2207" spans="1:19" ht="28" x14ac:dyDescent="0.15">
      <c r="A2207" s="2">
        <f>HYPERLINK("https://open-school.uspishnemisto.com.ua/school/120632/", 120632)</f>
        <v>120632</v>
      </c>
      <c r="B2207" s="3" t="s">
        <v>11660</v>
      </c>
      <c r="C2207" s="3" t="s">
        <v>31</v>
      </c>
      <c r="D2207" s="3" t="s">
        <v>32</v>
      </c>
      <c r="E2207" s="4" t="s">
        <v>22</v>
      </c>
      <c r="F2207" s="4" t="s">
        <v>11661</v>
      </c>
      <c r="G2207" s="4" t="s">
        <v>11662</v>
      </c>
      <c r="H2207" s="3" t="s">
        <v>8487</v>
      </c>
      <c r="I2207" s="3" t="s">
        <v>11663</v>
      </c>
      <c r="J2207" s="3" t="s">
        <v>11664</v>
      </c>
      <c r="K2207" s="3" t="s">
        <v>4810</v>
      </c>
      <c r="L2207" s="3" t="s">
        <v>11665</v>
      </c>
      <c r="M2207" s="4"/>
      <c r="N2207" s="3" t="s">
        <v>37</v>
      </c>
      <c r="O2207" s="3" t="s">
        <v>52</v>
      </c>
      <c r="P2207" s="5">
        <v>11</v>
      </c>
      <c r="Q2207" s="5">
        <v>121</v>
      </c>
      <c r="R2207" s="5">
        <v>11</v>
      </c>
      <c r="S2207" s="5">
        <v>115</v>
      </c>
    </row>
    <row r="2208" spans="1:19" ht="28" x14ac:dyDescent="0.15">
      <c r="A2208" s="2">
        <f>HYPERLINK("https://open-school.uspishnemisto.com.ua/school/120633/", 120633)</f>
        <v>120633</v>
      </c>
      <c r="B2208" s="3" t="s">
        <v>11666</v>
      </c>
      <c r="C2208" s="3" t="s">
        <v>31</v>
      </c>
      <c r="D2208" s="3" t="s">
        <v>32</v>
      </c>
      <c r="E2208" s="4" t="s">
        <v>22</v>
      </c>
      <c r="F2208" s="4" t="s">
        <v>11667</v>
      </c>
      <c r="G2208" s="4" t="s">
        <v>11668</v>
      </c>
      <c r="H2208" s="3" t="s">
        <v>8487</v>
      </c>
      <c r="I2208" s="3" t="s">
        <v>11669</v>
      </c>
      <c r="J2208" s="3" t="s">
        <v>6598</v>
      </c>
      <c r="K2208" s="3" t="s">
        <v>11670</v>
      </c>
      <c r="L2208" s="3" t="s">
        <v>11671</v>
      </c>
      <c r="M2208" s="4"/>
      <c r="N2208" s="3" t="s">
        <v>37</v>
      </c>
      <c r="O2208" s="3" t="s">
        <v>52</v>
      </c>
      <c r="P2208" s="5">
        <v>10</v>
      </c>
      <c r="Q2208" s="5">
        <v>127</v>
      </c>
      <c r="R2208" s="5">
        <v>10</v>
      </c>
      <c r="S2208" s="5">
        <v>132</v>
      </c>
    </row>
    <row r="2209" spans="1:19" ht="28" x14ac:dyDescent="0.15">
      <c r="A2209" s="2">
        <f>HYPERLINK("https://open-school.uspishnemisto.com.ua/school/120634/", 120634)</f>
        <v>120634</v>
      </c>
      <c r="B2209" s="3" t="s">
        <v>11672</v>
      </c>
      <c r="C2209" s="3" t="s">
        <v>31</v>
      </c>
      <c r="D2209" s="3" t="s">
        <v>175</v>
      </c>
      <c r="E2209" s="4" t="s">
        <v>22</v>
      </c>
      <c r="F2209" s="4" t="s">
        <v>11667</v>
      </c>
      <c r="G2209" s="4" t="s">
        <v>11673</v>
      </c>
      <c r="H2209" s="3" t="s">
        <v>8487</v>
      </c>
      <c r="I2209" s="3" t="s">
        <v>11674</v>
      </c>
      <c r="J2209" s="3" t="s">
        <v>11675</v>
      </c>
      <c r="K2209" s="3" t="s">
        <v>11676</v>
      </c>
      <c r="L2209" s="3"/>
      <c r="M2209" s="4"/>
      <c r="N2209" s="3" t="s">
        <v>37</v>
      </c>
      <c r="O2209" s="3" t="s">
        <v>52</v>
      </c>
      <c r="P2209" s="5">
        <v>3</v>
      </c>
      <c r="Q2209" s="5">
        <v>25</v>
      </c>
      <c r="R2209" s="5">
        <v>3</v>
      </c>
      <c r="S2209" s="5">
        <v>28</v>
      </c>
    </row>
    <row r="2210" spans="1:19" ht="28" x14ac:dyDescent="0.15">
      <c r="A2210" s="2">
        <f>HYPERLINK("https://open-school.uspishnemisto.com.ua/school/120635/", 120635)</f>
        <v>120635</v>
      </c>
      <c r="B2210" s="3" t="s">
        <v>11677</v>
      </c>
      <c r="C2210" s="3" t="s">
        <v>31</v>
      </c>
      <c r="D2210" s="3" t="s">
        <v>32</v>
      </c>
      <c r="E2210" s="4" t="s">
        <v>22</v>
      </c>
      <c r="F2210" s="4" t="s">
        <v>11678</v>
      </c>
      <c r="G2210" s="4" t="s">
        <v>11679</v>
      </c>
      <c r="H2210" s="3" t="s">
        <v>8487</v>
      </c>
      <c r="I2210" s="3" t="s">
        <v>11680</v>
      </c>
      <c r="J2210" s="3" t="s">
        <v>11681</v>
      </c>
      <c r="K2210" s="3" t="s">
        <v>11682</v>
      </c>
      <c r="L2210" s="3" t="s">
        <v>11683</v>
      </c>
      <c r="M2210" s="4"/>
      <c r="N2210" s="3" t="s">
        <v>37</v>
      </c>
      <c r="O2210" s="3" t="s">
        <v>11684</v>
      </c>
      <c r="P2210" s="5">
        <v>10</v>
      </c>
      <c r="Q2210" s="5">
        <v>84</v>
      </c>
      <c r="R2210" s="5">
        <v>9</v>
      </c>
      <c r="S2210" s="5">
        <v>87</v>
      </c>
    </row>
    <row r="2211" spans="1:19" ht="28" x14ac:dyDescent="0.15">
      <c r="A2211" s="2">
        <f>HYPERLINK("https://open-school.uspishnemisto.com.ua/school/120636/", 120636)</f>
        <v>120636</v>
      </c>
      <c r="B2211" s="3" t="s">
        <v>11685</v>
      </c>
      <c r="C2211" s="3" t="s">
        <v>31</v>
      </c>
      <c r="D2211" s="3" t="s">
        <v>60</v>
      </c>
      <c r="E2211" s="4" t="s">
        <v>22</v>
      </c>
      <c r="F2211" s="4" t="s">
        <v>11686</v>
      </c>
      <c r="G2211" s="4" t="s">
        <v>11687</v>
      </c>
      <c r="H2211" s="3" t="s">
        <v>8487</v>
      </c>
      <c r="I2211" s="3" t="s">
        <v>11688</v>
      </c>
      <c r="J2211" s="3" t="s">
        <v>11689</v>
      </c>
      <c r="K2211" s="3" t="s">
        <v>11690</v>
      </c>
      <c r="L2211" s="3" t="s">
        <v>11691</v>
      </c>
      <c r="M2211" s="4"/>
      <c r="N2211" s="3" t="s">
        <v>37</v>
      </c>
      <c r="O2211" s="3" t="s">
        <v>11684</v>
      </c>
      <c r="P2211" s="5">
        <v>0</v>
      </c>
      <c r="Q2211" s="5">
        <v>6</v>
      </c>
      <c r="R2211" s="5">
        <v>0</v>
      </c>
      <c r="S2211" s="5">
        <v>8</v>
      </c>
    </row>
    <row r="2212" spans="1:19" ht="28" x14ac:dyDescent="0.15">
      <c r="A2212" s="2">
        <f>HYPERLINK("https://open-school.uspishnemisto.com.ua/school/120637/", 120637)</f>
        <v>120637</v>
      </c>
      <c r="B2212" s="3" t="s">
        <v>11692</v>
      </c>
      <c r="C2212" s="3" t="s">
        <v>31</v>
      </c>
      <c r="D2212" s="3" t="s">
        <v>32</v>
      </c>
      <c r="E2212" s="4" t="s">
        <v>22</v>
      </c>
      <c r="F2212" s="4" t="s">
        <v>11693</v>
      </c>
      <c r="G2212" s="4" t="s">
        <v>11694</v>
      </c>
      <c r="H2212" s="3" t="s">
        <v>8487</v>
      </c>
      <c r="I2212" s="3" t="s">
        <v>11695</v>
      </c>
      <c r="J2212" s="3" t="s">
        <v>11696</v>
      </c>
      <c r="K2212" s="3" t="s">
        <v>7058</v>
      </c>
      <c r="L2212" s="3" t="s">
        <v>11697</v>
      </c>
      <c r="M2212" s="4"/>
      <c r="N2212" s="3" t="s">
        <v>37</v>
      </c>
      <c r="O2212" s="3" t="s">
        <v>52</v>
      </c>
      <c r="P2212" s="5">
        <v>11</v>
      </c>
      <c r="Q2212" s="5">
        <v>135</v>
      </c>
      <c r="R2212" s="5">
        <v>11</v>
      </c>
      <c r="S2212" s="5">
        <v>138</v>
      </c>
    </row>
    <row r="2213" spans="1:19" ht="28" x14ac:dyDescent="0.15">
      <c r="A2213" s="2">
        <f>HYPERLINK("https://open-school.uspishnemisto.com.ua/school/120638/", 120638)</f>
        <v>120638</v>
      </c>
      <c r="B2213" s="3" t="s">
        <v>11698</v>
      </c>
      <c r="C2213" s="3" t="s">
        <v>181</v>
      </c>
      <c r="D2213" s="3" t="s">
        <v>32</v>
      </c>
      <c r="E2213" s="4" t="s">
        <v>22</v>
      </c>
      <c r="F2213" s="4" t="s">
        <v>11699</v>
      </c>
      <c r="G2213" s="4" t="s">
        <v>11700</v>
      </c>
      <c r="H2213" s="3" t="s">
        <v>8487</v>
      </c>
      <c r="I2213" s="3" t="s">
        <v>11701</v>
      </c>
      <c r="J2213" s="3" t="s">
        <v>639</v>
      </c>
      <c r="K2213" s="3"/>
      <c r="L2213" s="3" t="s">
        <v>11702</v>
      </c>
      <c r="M2213" s="4" t="s">
        <v>11703</v>
      </c>
      <c r="N2213" s="3" t="s">
        <v>37</v>
      </c>
      <c r="O2213" s="3"/>
      <c r="P2213" s="5">
        <v>8</v>
      </c>
      <c r="Q2213" s="5">
        <v>98</v>
      </c>
      <c r="R2213" s="5">
        <v>10</v>
      </c>
      <c r="S2213" s="5">
        <v>109</v>
      </c>
    </row>
    <row r="2214" spans="1:19" ht="28" x14ac:dyDescent="0.15">
      <c r="A2214" s="2">
        <f>HYPERLINK("https://open-school.uspishnemisto.com.ua/school/120639/", 120639)</f>
        <v>120639</v>
      </c>
      <c r="B2214" s="3" t="s">
        <v>11704</v>
      </c>
      <c r="C2214" s="3" t="s">
        <v>31</v>
      </c>
      <c r="D2214" s="3" t="s">
        <v>32</v>
      </c>
      <c r="E2214" s="4" t="s">
        <v>22</v>
      </c>
      <c r="F2214" s="4" t="s">
        <v>11699</v>
      </c>
      <c r="G2214" s="4" t="s">
        <v>11700</v>
      </c>
      <c r="H2214" s="3" t="s">
        <v>8487</v>
      </c>
      <c r="I2214" s="3" t="s">
        <v>11701</v>
      </c>
      <c r="J2214" s="3" t="s">
        <v>11705</v>
      </c>
      <c r="K2214" s="3" t="s">
        <v>11706</v>
      </c>
      <c r="L2214" s="3" t="s">
        <v>11707</v>
      </c>
      <c r="M2214" s="4"/>
      <c r="N2214" s="3" t="s">
        <v>37</v>
      </c>
      <c r="O2214" s="3" t="s">
        <v>2740</v>
      </c>
      <c r="P2214" s="5">
        <v>12</v>
      </c>
      <c r="Q2214" s="5">
        <v>194</v>
      </c>
      <c r="R2214" s="5">
        <v>12</v>
      </c>
      <c r="S2214" s="5">
        <v>188</v>
      </c>
    </row>
    <row r="2215" spans="1:19" ht="28" x14ac:dyDescent="0.15">
      <c r="A2215" s="2">
        <f>HYPERLINK("https://open-school.uspishnemisto.com.ua/school/120640/", 120640)</f>
        <v>120640</v>
      </c>
      <c r="B2215" s="3" t="s">
        <v>11708</v>
      </c>
      <c r="C2215" s="3" t="s">
        <v>31</v>
      </c>
      <c r="D2215" s="3" t="s">
        <v>32</v>
      </c>
      <c r="E2215" s="4" t="s">
        <v>22</v>
      </c>
      <c r="F2215" s="4" t="s">
        <v>11709</v>
      </c>
      <c r="G2215" s="4" t="s">
        <v>11710</v>
      </c>
      <c r="H2215" s="3" t="s">
        <v>8487</v>
      </c>
      <c r="I2215" s="3" t="s">
        <v>11711</v>
      </c>
      <c r="J2215" s="3" t="s">
        <v>11712</v>
      </c>
      <c r="K2215" s="3" t="s">
        <v>11713</v>
      </c>
      <c r="L2215" s="3" t="s">
        <v>11714</v>
      </c>
      <c r="M2215" s="4"/>
      <c r="N2215" s="3" t="s">
        <v>37</v>
      </c>
      <c r="O2215" s="3" t="s">
        <v>38</v>
      </c>
      <c r="P2215" s="5">
        <v>11</v>
      </c>
      <c r="Q2215" s="5">
        <v>225</v>
      </c>
      <c r="R2215" s="5">
        <v>12</v>
      </c>
      <c r="S2215" s="5">
        <v>211</v>
      </c>
    </row>
    <row r="2216" spans="1:19" ht="28" x14ac:dyDescent="0.15">
      <c r="A2216" s="2">
        <f>HYPERLINK("https://open-school.uspishnemisto.com.ua/school/120641/", 120641)</f>
        <v>120641</v>
      </c>
      <c r="B2216" s="3" t="s">
        <v>11715</v>
      </c>
      <c r="C2216" s="3" t="s">
        <v>31</v>
      </c>
      <c r="D2216" s="3" t="s">
        <v>32</v>
      </c>
      <c r="E2216" s="4" t="s">
        <v>22</v>
      </c>
      <c r="F2216" s="4" t="s">
        <v>11716</v>
      </c>
      <c r="G2216" s="4" t="s">
        <v>11717</v>
      </c>
      <c r="H2216" s="3" t="s">
        <v>8487</v>
      </c>
      <c r="I2216" s="3" t="s">
        <v>11718</v>
      </c>
      <c r="J2216" s="3" t="s">
        <v>11719</v>
      </c>
      <c r="K2216" s="3" t="s">
        <v>11720</v>
      </c>
      <c r="L2216" s="3"/>
      <c r="M2216" s="4"/>
      <c r="N2216" s="3" t="s">
        <v>37</v>
      </c>
      <c r="O2216" s="3" t="s">
        <v>38</v>
      </c>
      <c r="P2216" s="5">
        <v>10</v>
      </c>
      <c r="Q2216" s="5">
        <v>88</v>
      </c>
      <c r="R2216" s="5">
        <v>10</v>
      </c>
      <c r="S2216" s="5">
        <v>90</v>
      </c>
    </row>
    <row r="2217" spans="1:19" ht="42" x14ac:dyDescent="0.15">
      <c r="A2217" s="2">
        <f>HYPERLINK("https://open-school.uspishnemisto.com.ua/school/120642/", 120642)</f>
        <v>120642</v>
      </c>
      <c r="B2217" s="3" t="s">
        <v>11721</v>
      </c>
      <c r="C2217" s="3" t="s">
        <v>31</v>
      </c>
      <c r="D2217" s="3" t="s">
        <v>32</v>
      </c>
      <c r="E2217" s="4" t="s">
        <v>22</v>
      </c>
      <c r="F2217" s="4" t="s">
        <v>11722</v>
      </c>
      <c r="G2217" s="4" t="s">
        <v>11723</v>
      </c>
      <c r="H2217" s="3" t="s">
        <v>8487</v>
      </c>
      <c r="I2217" s="3" t="s">
        <v>11724</v>
      </c>
      <c r="J2217" s="3" t="s">
        <v>11725</v>
      </c>
      <c r="K2217" s="3"/>
      <c r="L2217" s="3"/>
      <c r="M2217" s="4"/>
      <c r="N2217" s="3" t="s">
        <v>37</v>
      </c>
      <c r="O2217" s="3" t="s">
        <v>52</v>
      </c>
      <c r="P2217" s="5">
        <v>10</v>
      </c>
      <c r="Q2217" s="5">
        <v>92</v>
      </c>
      <c r="R2217" s="5">
        <v>10</v>
      </c>
      <c r="S2217" s="5">
        <v>85</v>
      </c>
    </row>
    <row r="2218" spans="1:19" ht="28" x14ac:dyDescent="0.15">
      <c r="A2218" s="2">
        <f>HYPERLINK("https://open-school.uspishnemisto.com.ua/school/120643/", 120643)</f>
        <v>120643</v>
      </c>
      <c r="B2218" s="3" t="s">
        <v>11726</v>
      </c>
      <c r="C2218" s="3" t="s">
        <v>31</v>
      </c>
      <c r="D2218" s="3" t="s">
        <v>32</v>
      </c>
      <c r="E2218" s="4" t="s">
        <v>22</v>
      </c>
      <c r="F2218" s="4" t="s">
        <v>11722</v>
      </c>
      <c r="G2218" s="4" t="s">
        <v>11727</v>
      </c>
      <c r="H2218" s="3" t="s">
        <v>8487</v>
      </c>
      <c r="I2218" s="3" t="s">
        <v>11728</v>
      </c>
      <c r="J2218" s="3" t="s">
        <v>817</v>
      </c>
      <c r="K2218" s="3" t="s">
        <v>11729</v>
      </c>
      <c r="L2218" s="3"/>
      <c r="M2218" s="4"/>
      <c r="N2218" s="3" t="s">
        <v>37</v>
      </c>
      <c r="O2218" s="3" t="s">
        <v>52</v>
      </c>
      <c r="P2218" s="5">
        <v>11</v>
      </c>
      <c r="Q2218" s="5">
        <v>83</v>
      </c>
      <c r="R2218" s="5">
        <v>10</v>
      </c>
      <c r="S2218" s="5">
        <v>70</v>
      </c>
    </row>
    <row r="2219" spans="1:19" ht="28" x14ac:dyDescent="0.15">
      <c r="A2219" s="2">
        <f>HYPERLINK("https://open-school.uspishnemisto.com.ua/school/120644/", 120644)</f>
        <v>120644</v>
      </c>
      <c r="B2219" s="3" t="s">
        <v>11730</v>
      </c>
      <c r="C2219" s="3" t="s">
        <v>31</v>
      </c>
      <c r="D2219" s="3" t="s">
        <v>32</v>
      </c>
      <c r="E2219" s="4" t="s">
        <v>22</v>
      </c>
      <c r="F2219" s="4" t="s">
        <v>11731</v>
      </c>
      <c r="G2219" s="4" t="s">
        <v>11732</v>
      </c>
      <c r="H2219" s="3" t="s">
        <v>8487</v>
      </c>
      <c r="I2219" s="3" t="s">
        <v>971</v>
      </c>
      <c r="J2219" s="3" t="s">
        <v>11733</v>
      </c>
      <c r="K2219" s="3" t="s">
        <v>11734</v>
      </c>
      <c r="L2219" s="3" t="s">
        <v>11735</v>
      </c>
      <c r="M2219" s="4"/>
      <c r="N2219" s="3" t="s">
        <v>37</v>
      </c>
      <c r="O2219" s="3" t="s">
        <v>46</v>
      </c>
      <c r="P2219" s="5">
        <v>11</v>
      </c>
      <c r="Q2219" s="5">
        <v>138</v>
      </c>
      <c r="R2219" s="5">
        <v>11</v>
      </c>
      <c r="S2219" s="5">
        <v>140</v>
      </c>
    </row>
    <row r="2220" spans="1:19" ht="42" x14ac:dyDescent="0.15">
      <c r="A2220" s="2">
        <f>HYPERLINK("https://open-school.uspishnemisto.com.ua/school/120645/", 120645)</f>
        <v>120645</v>
      </c>
      <c r="B2220" s="3" t="s">
        <v>11736</v>
      </c>
      <c r="C2220" s="3" t="s">
        <v>31</v>
      </c>
      <c r="D2220" s="3" t="s">
        <v>32</v>
      </c>
      <c r="E2220" s="4" t="s">
        <v>22</v>
      </c>
      <c r="F2220" s="4" t="s">
        <v>11737</v>
      </c>
      <c r="G2220" s="4" t="s">
        <v>11738</v>
      </c>
      <c r="H2220" s="3" t="s">
        <v>8487</v>
      </c>
      <c r="I2220" s="3" t="s">
        <v>11739</v>
      </c>
      <c r="J2220" s="3" t="s">
        <v>2465</v>
      </c>
      <c r="K2220" s="3" t="s">
        <v>11740</v>
      </c>
      <c r="L2220" s="3" t="s">
        <v>11741</v>
      </c>
      <c r="M2220" s="4"/>
      <c r="N2220" s="3" t="s">
        <v>37</v>
      </c>
      <c r="O2220" s="3" t="s">
        <v>38</v>
      </c>
      <c r="P2220" s="5">
        <v>11</v>
      </c>
      <c r="Q2220" s="5">
        <v>121</v>
      </c>
      <c r="R2220" s="5">
        <v>11</v>
      </c>
      <c r="S2220" s="5">
        <v>117</v>
      </c>
    </row>
    <row r="2221" spans="1:19" ht="56" x14ac:dyDescent="0.15">
      <c r="A2221" s="2">
        <f>HYPERLINK("https://open-school.uspishnemisto.com.ua/school/120646/", 120646)</f>
        <v>120646</v>
      </c>
      <c r="B2221" s="3" t="s">
        <v>11742</v>
      </c>
      <c r="C2221" s="3" t="s">
        <v>54</v>
      </c>
      <c r="D2221" s="3" t="s">
        <v>32</v>
      </c>
      <c r="E2221" s="4" t="s">
        <v>22</v>
      </c>
      <c r="F2221" s="4" t="s">
        <v>11743</v>
      </c>
      <c r="G2221" s="4" t="s">
        <v>11744</v>
      </c>
      <c r="H2221" s="3" t="s">
        <v>8487</v>
      </c>
      <c r="I2221" s="3" t="s">
        <v>11745</v>
      </c>
      <c r="J2221" s="3" t="s">
        <v>11746</v>
      </c>
      <c r="K2221" s="3" t="s">
        <v>11747</v>
      </c>
      <c r="L2221" s="3"/>
      <c r="M2221" s="4"/>
      <c r="N2221" s="3" t="s">
        <v>37</v>
      </c>
      <c r="O2221" s="3" t="s">
        <v>112</v>
      </c>
      <c r="P2221" s="5">
        <v>7</v>
      </c>
      <c r="Q2221" s="5">
        <v>62</v>
      </c>
      <c r="R2221" s="5">
        <v>7</v>
      </c>
      <c r="S2221" s="5">
        <v>63</v>
      </c>
    </row>
    <row r="2222" spans="1:19" ht="28" x14ac:dyDescent="0.15">
      <c r="A2222" s="2">
        <f>HYPERLINK("https://open-school.uspishnemisto.com.ua/school/120647/", 120647)</f>
        <v>120647</v>
      </c>
      <c r="B2222" s="3" t="s">
        <v>11748</v>
      </c>
      <c r="C2222" s="3" t="s">
        <v>31</v>
      </c>
      <c r="D2222" s="3" t="s">
        <v>32</v>
      </c>
      <c r="E2222" s="4" t="s">
        <v>22</v>
      </c>
      <c r="F2222" s="4" t="s">
        <v>11749</v>
      </c>
      <c r="G2222" s="4" t="s">
        <v>11750</v>
      </c>
      <c r="H2222" s="3" t="s">
        <v>8487</v>
      </c>
      <c r="I2222" s="3" t="s">
        <v>11751</v>
      </c>
      <c r="J2222" s="3" t="s">
        <v>11752</v>
      </c>
      <c r="K2222" s="3" t="s">
        <v>11753</v>
      </c>
      <c r="L2222" s="3" t="s">
        <v>11754</v>
      </c>
      <c r="M2222" s="4"/>
      <c r="N2222" s="3" t="s">
        <v>37</v>
      </c>
      <c r="O2222" s="3" t="s">
        <v>38</v>
      </c>
      <c r="P2222" s="5">
        <v>10</v>
      </c>
      <c r="Q2222" s="5">
        <v>141</v>
      </c>
      <c r="R2222" s="5">
        <v>11</v>
      </c>
      <c r="S2222" s="5">
        <v>150</v>
      </c>
    </row>
    <row r="2223" spans="1:19" ht="42" x14ac:dyDescent="0.15">
      <c r="A2223" s="2">
        <f>HYPERLINK("https://open-school.uspishnemisto.com.ua/school/120648/", 120648)</f>
        <v>120648</v>
      </c>
      <c r="B2223" s="3" t="s">
        <v>11755</v>
      </c>
      <c r="C2223" s="3" t="s">
        <v>54</v>
      </c>
      <c r="D2223" s="3" t="s">
        <v>32</v>
      </c>
      <c r="E2223" s="4" t="s">
        <v>22</v>
      </c>
      <c r="F2223" s="4" t="s">
        <v>11756</v>
      </c>
      <c r="G2223" s="4" t="s">
        <v>11757</v>
      </c>
      <c r="H2223" s="3" t="s">
        <v>8487</v>
      </c>
      <c r="I2223" s="3" t="s">
        <v>11758</v>
      </c>
      <c r="J2223" s="3" t="s">
        <v>7956</v>
      </c>
      <c r="K2223" s="3" t="s">
        <v>11759</v>
      </c>
      <c r="L2223" s="3" t="s">
        <v>11760</v>
      </c>
      <c r="M2223" s="4"/>
      <c r="N2223" s="3" t="s">
        <v>37</v>
      </c>
      <c r="O2223" s="3" t="s">
        <v>52</v>
      </c>
      <c r="P2223" s="5">
        <v>11</v>
      </c>
      <c r="Q2223" s="5">
        <v>94</v>
      </c>
      <c r="R2223" s="5">
        <v>10</v>
      </c>
      <c r="S2223" s="5">
        <v>89</v>
      </c>
    </row>
    <row r="2224" spans="1:19" ht="28" x14ac:dyDescent="0.15">
      <c r="A2224" s="2">
        <f>HYPERLINK("https://open-school.uspishnemisto.com.ua/school/120650/", 120650)</f>
        <v>120650</v>
      </c>
      <c r="B2224" s="3" t="s">
        <v>11761</v>
      </c>
      <c r="C2224" s="3" t="s">
        <v>31</v>
      </c>
      <c r="D2224" s="3" t="s">
        <v>175</v>
      </c>
      <c r="E2224" s="4" t="s">
        <v>22</v>
      </c>
      <c r="F2224" s="4" t="s">
        <v>11762</v>
      </c>
      <c r="G2224" s="4" t="s">
        <v>11763</v>
      </c>
      <c r="H2224" s="3" t="s">
        <v>8487</v>
      </c>
      <c r="I2224" s="3" t="s">
        <v>11764</v>
      </c>
      <c r="J2224" s="3" t="s">
        <v>11765</v>
      </c>
      <c r="K2224" s="3" t="s">
        <v>11766</v>
      </c>
      <c r="L2224" s="3" t="s">
        <v>11767</v>
      </c>
      <c r="M2224" s="4"/>
      <c r="N2224" s="3" t="s">
        <v>37</v>
      </c>
      <c r="O2224" s="3" t="s">
        <v>618</v>
      </c>
      <c r="P2224" s="5">
        <v>3</v>
      </c>
      <c r="Q2224" s="5">
        <v>32</v>
      </c>
      <c r="R2224" s="5">
        <v>3</v>
      </c>
      <c r="S2224" s="5">
        <v>33</v>
      </c>
    </row>
    <row r="2225" spans="1:19" ht="28" x14ac:dyDescent="0.15">
      <c r="A2225" s="2">
        <f>HYPERLINK("https://open-school.uspishnemisto.com.ua/school/120651/", 120651)</f>
        <v>120651</v>
      </c>
      <c r="B2225" s="3" t="s">
        <v>11768</v>
      </c>
      <c r="C2225" s="3" t="s">
        <v>31</v>
      </c>
      <c r="D2225" s="3" t="s">
        <v>32</v>
      </c>
      <c r="E2225" s="4" t="s">
        <v>22</v>
      </c>
      <c r="F2225" s="4" t="s">
        <v>11769</v>
      </c>
      <c r="G2225" s="4" t="s">
        <v>11770</v>
      </c>
      <c r="H2225" s="3" t="s">
        <v>8487</v>
      </c>
      <c r="I2225" s="3" t="s">
        <v>11771</v>
      </c>
      <c r="J2225" s="3" t="s">
        <v>11772</v>
      </c>
      <c r="K2225" s="3" t="s">
        <v>11773</v>
      </c>
      <c r="L2225" s="3"/>
      <c r="M2225" s="4"/>
      <c r="N2225" s="3" t="s">
        <v>37</v>
      </c>
      <c r="O2225" s="3" t="s">
        <v>52</v>
      </c>
      <c r="P2225" s="5">
        <v>10</v>
      </c>
      <c r="Q2225" s="5">
        <v>97</v>
      </c>
      <c r="R2225" s="5">
        <v>10</v>
      </c>
      <c r="S2225" s="5">
        <v>105</v>
      </c>
    </row>
    <row r="2226" spans="1:19" ht="28" x14ac:dyDescent="0.15">
      <c r="A2226" s="2">
        <f>HYPERLINK("https://open-school.uspishnemisto.com.ua/school/120652/", 120652)</f>
        <v>120652</v>
      </c>
      <c r="B2226" s="3" t="s">
        <v>11774</v>
      </c>
      <c r="C2226" s="3" t="s">
        <v>31</v>
      </c>
      <c r="D2226" s="3" t="s">
        <v>32</v>
      </c>
      <c r="E2226" s="4" t="s">
        <v>22</v>
      </c>
      <c r="F2226" s="4" t="s">
        <v>11775</v>
      </c>
      <c r="G2226" s="4" t="s">
        <v>11776</v>
      </c>
      <c r="H2226" s="3" t="s">
        <v>8487</v>
      </c>
      <c r="I2226" s="3" t="s">
        <v>11777</v>
      </c>
      <c r="J2226" s="3" t="s">
        <v>2978</v>
      </c>
      <c r="K2226" s="3" t="s">
        <v>11778</v>
      </c>
      <c r="L2226" s="3" t="s">
        <v>11779</v>
      </c>
      <c r="M2226" s="4"/>
      <c r="N2226" s="3" t="s">
        <v>37</v>
      </c>
      <c r="O2226" s="3" t="s">
        <v>46</v>
      </c>
      <c r="P2226" s="5">
        <v>0</v>
      </c>
      <c r="Q2226" s="5">
        <v>0</v>
      </c>
      <c r="R2226" s="5">
        <v>10</v>
      </c>
      <c r="S2226" s="5">
        <v>74</v>
      </c>
    </row>
    <row r="2227" spans="1:19" ht="28" x14ac:dyDescent="0.15">
      <c r="A2227" s="2">
        <f>HYPERLINK("https://open-school.uspishnemisto.com.ua/school/120653/", 120653)</f>
        <v>120653</v>
      </c>
      <c r="B2227" s="3" t="s">
        <v>11780</v>
      </c>
      <c r="C2227" s="3" t="s">
        <v>31</v>
      </c>
      <c r="D2227" s="3" t="s">
        <v>32</v>
      </c>
      <c r="E2227" s="4" t="s">
        <v>22</v>
      </c>
      <c r="F2227" s="4" t="s">
        <v>11781</v>
      </c>
      <c r="G2227" s="4" t="s">
        <v>11782</v>
      </c>
      <c r="H2227" s="3" t="s">
        <v>8487</v>
      </c>
      <c r="I2227" s="3" t="s">
        <v>11783</v>
      </c>
      <c r="J2227" s="3" t="s">
        <v>11784</v>
      </c>
      <c r="K2227" s="3" t="s">
        <v>11785</v>
      </c>
      <c r="L2227" s="3" t="s">
        <v>11786</v>
      </c>
      <c r="M2227" s="4"/>
      <c r="N2227" s="3" t="s">
        <v>37</v>
      </c>
      <c r="O2227" s="3" t="s">
        <v>52</v>
      </c>
      <c r="P2227" s="5">
        <v>11</v>
      </c>
      <c r="Q2227" s="5">
        <v>99</v>
      </c>
      <c r="R2227" s="5">
        <v>11</v>
      </c>
      <c r="S2227" s="5">
        <v>94</v>
      </c>
    </row>
    <row r="2228" spans="1:19" ht="42" x14ac:dyDescent="0.15">
      <c r="A2228" s="2">
        <f>HYPERLINK("https://open-school.uspishnemisto.com.ua/school/120654/", 120654)</f>
        <v>120654</v>
      </c>
      <c r="B2228" s="3" t="s">
        <v>11787</v>
      </c>
      <c r="C2228" s="3" t="s">
        <v>31</v>
      </c>
      <c r="D2228" s="3" t="s">
        <v>32</v>
      </c>
      <c r="E2228" s="4" t="s">
        <v>22</v>
      </c>
      <c r="F2228" s="4" t="s">
        <v>11788</v>
      </c>
      <c r="G2228" s="4" t="s">
        <v>11789</v>
      </c>
      <c r="H2228" s="3" t="s">
        <v>8487</v>
      </c>
      <c r="I2228" s="3" t="s">
        <v>11790</v>
      </c>
      <c r="J2228" s="3" t="s">
        <v>11791</v>
      </c>
      <c r="K2228" s="3" t="s">
        <v>11792</v>
      </c>
      <c r="L2228" s="3" t="s">
        <v>11793</v>
      </c>
      <c r="M2228" s="4"/>
      <c r="N2228" s="3" t="s">
        <v>37</v>
      </c>
      <c r="O2228" s="3" t="s">
        <v>112</v>
      </c>
      <c r="P2228" s="5">
        <v>10</v>
      </c>
      <c r="Q2228" s="5">
        <v>91</v>
      </c>
      <c r="R2228" s="5">
        <v>10</v>
      </c>
      <c r="S2228" s="5">
        <v>89</v>
      </c>
    </row>
    <row r="2229" spans="1:19" ht="28" x14ac:dyDescent="0.15">
      <c r="A2229" s="2">
        <f>HYPERLINK("https://open-school.uspishnemisto.com.ua/school/120655/", 120655)</f>
        <v>120655</v>
      </c>
      <c r="B2229" s="3" t="s">
        <v>11794</v>
      </c>
      <c r="C2229" s="3" t="s">
        <v>31</v>
      </c>
      <c r="D2229" s="3" t="s">
        <v>175</v>
      </c>
      <c r="E2229" s="4" t="s">
        <v>22</v>
      </c>
      <c r="F2229" s="4" t="s">
        <v>11795</v>
      </c>
      <c r="G2229" s="4" t="s">
        <v>11796</v>
      </c>
      <c r="H2229" s="3" t="s">
        <v>8487</v>
      </c>
      <c r="I2229" s="3" t="s">
        <v>11797</v>
      </c>
      <c r="J2229" s="3" t="s">
        <v>11798</v>
      </c>
      <c r="K2229" s="3" t="s">
        <v>11799</v>
      </c>
      <c r="L2229" s="3" t="s">
        <v>11800</v>
      </c>
      <c r="M2229" s="4"/>
      <c r="N2229" s="3" t="s">
        <v>37</v>
      </c>
      <c r="O2229" s="3" t="s">
        <v>618</v>
      </c>
      <c r="P2229" s="5">
        <v>0</v>
      </c>
      <c r="Q2229" s="5">
        <v>0</v>
      </c>
      <c r="R2229" s="5">
        <v>5</v>
      </c>
      <c r="S2229" s="5">
        <v>32</v>
      </c>
    </row>
    <row r="2230" spans="1:19" ht="42" x14ac:dyDescent="0.15">
      <c r="A2230" s="2">
        <f>HYPERLINK("https://open-school.uspishnemisto.com.ua/school/120656/", 120656)</f>
        <v>120656</v>
      </c>
      <c r="B2230" s="3" t="s">
        <v>11801</v>
      </c>
      <c r="C2230" s="3" t="s">
        <v>31</v>
      </c>
      <c r="D2230" s="3" t="s">
        <v>32</v>
      </c>
      <c r="E2230" s="4" t="s">
        <v>22</v>
      </c>
      <c r="F2230" s="4" t="s">
        <v>11802</v>
      </c>
      <c r="G2230" s="4" t="s">
        <v>11803</v>
      </c>
      <c r="H2230" s="3" t="s">
        <v>8487</v>
      </c>
      <c r="I2230" s="3" t="s">
        <v>11804</v>
      </c>
      <c r="J2230" s="3" t="s">
        <v>11805</v>
      </c>
      <c r="K2230" s="3" t="s">
        <v>11806</v>
      </c>
      <c r="L2230" s="3" t="s">
        <v>11807</v>
      </c>
      <c r="M2230" s="4"/>
      <c r="N2230" s="3" t="s">
        <v>37</v>
      </c>
      <c r="O2230" s="3" t="s">
        <v>70</v>
      </c>
      <c r="P2230" s="5">
        <v>11</v>
      </c>
      <c r="Q2230" s="5">
        <v>227</v>
      </c>
      <c r="R2230" s="5">
        <v>11</v>
      </c>
      <c r="S2230" s="5">
        <v>226</v>
      </c>
    </row>
    <row r="2231" spans="1:19" ht="42" x14ac:dyDescent="0.15">
      <c r="A2231" s="2">
        <f>HYPERLINK("https://open-school.uspishnemisto.com.ua/school/120657/", 120657)</f>
        <v>120657</v>
      </c>
      <c r="B2231" s="3" t="s">
        <v>11808</v>
      </c>
      <c r="C2231" s="3" t="s">
        <v>54</v>
      </c>
      <c r="D2231" s="3" t="s">
        <v>32</v>
      </c>
      <c r="E2231" s="4" t="s">
        <v>22</v>
      </c>
      <c r="F2231" s="4" t="s">
        <v>11802</v>
      </c>
      <c r="G2231" s="4" t="s">
        <v>11803</v>
      </c>
      <c r="H2231" s="3" t="s">
        <v>8487</v>
      </c>
      <c r="I2231" s="3" t="s">
        <v>11804</v>
      </c>
      <c r="J2231" s="3" t="s">
        <v>11809</v>
      </c>
      <c r="K2231" s="3" t="s">
        <v>11810</v>
      </c>
      <c r="L2231" s="3" t="s">
        <v>11811</v>
      </c>
      <c r="M2231" s="4"/>
      <c r="N2231" s="3" t="s">
        <v>37</v>
      </c>
      <c r="O2231" s="3" t="s">
        <v>70</v>
      </c>
      <c r="P2231" s="5">
        <v>11</v>
      </c>
      <c r="Q2231" s="5">
        <v>161</v>
      </c>
      <c r="R2231" s="5">
        <v>11</v>
      </c>
      <c r="S2231" s="5">
        <v>163</v>
      </c>
    </row>
    <row r="2232" spans="1:19" ht="42" x14ac:dyDescent="0.15">
      <c r="A2232" s="2">
        <f>HYPERLINK("https://open-school.uspishnemisto.com.ua/school/120658/", 120658)</f>
        <v>120658</v>
      </c>
      <c r="B2232" s="3" t="s">
        <v>11812</v>
      </c>
      <c r="C2232" s="3" t="s">
        <v>31</v>
      </c>
      <c r="D2232" s="3" t="s">
        <v>32</v>
      </c>
      <c r="E2232" s="4" t="s">
        <v>22</v>
      </c>
      <c r="F2232" s="4" t="s">
        <v>11802</v>
      </c>
      <c r="G2232" s="4" t="s">
        <v>11803</v>
      </c>
      <c r="H2232" s="3" t="s">
        <v>8487</v>
      </c>
      <c r="I2232" s="3" t="s">
        <v>11804</v>
      </c>
      <c r="J2232" s="3" t="s">
        <v>11813</v>
      </c>
      <c r="K2232" s="3" t="s">
        <v>11814</v>
      </c>
      <c r="L2232" s="3" t="s">
        <v>11815</v>
      </c>
      <c r="M2232" s="4"/>
      <c r="N2232" s="3" t="s">
        <v>37</v>
      </c>
      <c r="O2232" s="3" t="s">
        <v>70</v>
      </c>
      <c r="P2232" s="5">
        <v>20</v>
      </c>
      <c r="Q2232" s="5">
        <v>388</v>
      </c>
      <c r="R2232" s="5">
        <v>18</v>
      </c>
      <c r="S2232" s="5">
        <v>377</v>
      </c>
    </row>
    <row r="2233" spans="1:19" ht="42" x14ac:dyDescent="0.15">
      <c r="A2233" s="2">
        <f>HYPERLINK("https://open-school.uspishnemisto.com.ua/school/120659/", 120659)</f>
        <v>120659</v>
      </c>
      <c r="B2233" s="3" t="s">
        <v>11816</v>
      </c>
      <c r="C2233" s="3" t="s">
        <v>31</v>
      </c>
      <c r="D2233" s="3" t="s">
        <v>32</v>
      </c>
      <c r="E2233" s="4" t="s">
        <v>22</v>
      </c>
      <c r="F2233" s="4" t="s">
        <v>11817</v>
      </c>
      <c r="G2233" s="4" t="s">
        <v>11818</v>
      </c>
      <c r="H2233" s="3" t="s">
        <v>8487</v>
      </c>
      <c r="I2233" s="3" t="s">
        <v>10789</v>
      </c>
      <c r="J2233" s="3" t="s">
        <v>11819</v>
      </c>
      <c r="K2233" s="3" t="s">
        <v>11820</v>
      </c>
      <c r="L2233" s="3" t="s">
        <v>11821</v>
      </c>
      <c r="M2233" s="4"/>
      <c r="N2233" s="3"/>
      <c r="O2233" s="3"/>
      <c r="P2233" s="5">
        <v>0</v>
      </c>
      <c r="Q2233" s="5">
        <v>0</v>
      </c>
      <c r="R2233" s="5"/>
      <c r="S2233" s="5"/>
    </row>
    <row r="2234" spans="1:19" ht="28" x14ac:dyDescent="0.15">
      <c r="A2234" s="2">
        <f>HYPERLINK("https://open-school.uspishnemisto.com.ua/school/120660/", 120660)</f>
        <v>120660</v>
      </c>
      <c r="B2234" s="3" t="s">
        <v>11822</v>
      </c>
      <c r="C2234" s="3" t="s">
        <v>31</v>
      </c>
      <c r="D2234" s="3" t="s">
        <v>175</v>
      </c>
      <c r="E2234" s="4" t="s">
        <v>22</v>
      </c>
      <c r="F2234" s="4" t="s">
        <v>11823</v>
      </c>
      <c r="G2234" s="4" t="s">
        <v>11824</v>
      </c>
      <c r="H2234" s="3" t="s">
        <v>8487</v>
      </c>
      <c r="I2234" s="3" t="s">
        <v>11825</v>
      </c>
      <c r="J2234" s="3" t="s">
        <v>11826</v>
      </c>
      <c r="K2234" s="3" t="s">
        <v>11827</v>
      </c>
      <c r="L2234" s="3" t="s">
        <v>11828</v>
      </c>
      <c r="M2234" s="4"/>
      <c r="N2234" s="3" t="s">
        <v>37</v>
      </c>
      <c r="O2234" s="3" t="s">
        <v>70</v>
      </c>
      <c r="P2234" s="5">
        <v>8</v>
      </c>
      <c r="Q2234" s="5">
        <v>55</v>
      </c>
      <c r="R2234" s="5">
        <v>7</v>
      </c>
      <c r="S2234" s="5">
        <v>55</v>
      </c>
    </row>
    <row r="2235" spans="1:19" ht="28" x14ac:dyDescent="0.15">
      <c r="A2235" s="2">
        <f>HYPERLINK("https://open-school.uspishnemisto.com.ua/school/120661/", 120661)</f>
        <v>120661</v>
      </c>
      <c r="B2235" s="3" t="s">
        <v>11829</v>
      </c>
      <c r="C2235" s="3" t="s">
        <v>31</v>
      </c>
      <c r="D2235" s="3" t="s">
        <v>32</v>
      </c>
      <c r="E2235" s="4" t="s">
        <v>22</v>
      </c>
      <c r="F2235" s="4" t="s">
        <v>11830</v>
      </c>
      <c r="G2235" s="4" t="s">
        <v>11831</v>
      </c>
      <c r="H2235" s="3" t="s">
        <v>8487</v>
      </c>
      <c r="I2235" s="3" t="s">
        <v>10816</v>
      </c>
      <c r="J2235" s="3" t="s">
        <v>952</v>
      </c>
      <c r="K2235" s="3" t="s">
        <v>11832</v>
      </c>
      <c r="L2235" s="3" t="s">
        <v>11833</v>
      </c>
      <c r="M2235" s="4"/>
      <c r="N2235" s="3" t="s">
        <v>37</v>
      </c>
      <c r="O2235" s="3" t="s">
        <v>38</v>
      </c>
      <c r="P2235" s="5">
        <v>10</v>
      </c>
      <c r="Q2235" s="5">
        <v>84</v>
      </c>
      <c r="R2235" s="5">
        <v>10</v>
      </c>
      <c r="S2235" s="5">
        <v>91</v>
      </c>
    </row>
    <row r="2236" spans="1:19" ht="56" x14ac:dyDescent="0.15">
      <c r="A2236" s="2">
        <f>HYPERLINK("https://open-school.uspishnemisto.com.ua/school/120662/", 120662)</f>
        <v>120662</v>
      </c>
      <c r="B2236" s="3" t="s">
        <v>11834</v>
      </c>
      <c r="C2236" s="3" t="s">
        <v>54</v>
      </c>
      <c r="D2236" s="3" t="s">
        <v>60</v>
      </c>
      <c r="E2236" s="4" t="s">
        <v>22</v>
      </c>
      <c r="F2236" s="4" t="s">
        <v>11835</v>
      </c>
      <c r="G2236" s="4" t="s">
        <v>11836</v>
      </c>
      <c r="H2236" s="3" t="s">
        <v>8487</v>
      </c>
      <c r="I2236" s="3" t="s">
        <v>3790</v>
      </c>
      <c r="J2236" s="3" t="s">
        <v>4537</v>
      </c>
      <c r="K2236" s="3" t="s">
        <v>11837</v>
      </c>
      <c r="L2236" s="3"/>
      <c r="M2236" s="4"/>
      <c r="N2236" s="3" t="s">
        <v>37</v>
      </c>
      <c r="O2236" s="3" t="s">
        <v>38</v>
      </c>
      <c r="P2236" s="5">
        <v>2</v>
      </c>
      <c r="Q2236" s="5">
        <v>11</v>
      </c>
      <c r="R2236" s="5">
        <v>1</v>
      </c>
      <c r="S2236" s="5">
        <v>7</v>
      </c>
    </row>
    <row r="2237" spans="1:19" ht="28" x14ac:dyDescent="0.15">
      <c r="A2237" s="2">
        <f>HYPERLINK("https://open-school.uspishnemisto.com.ua/school/120663/", 120663)</f>
        <v>120663</v>
      </c>
      <c r="B2237" s="3" t="s">
        <v>11838</v>
      </c>
      <c r="C2237" s="3" t="s">
        <v>31</v>
      </c>
      <c r="D2237" s="3" t="s">
        <v>60</v>
      </c>
      <c r="E2237" s="4" t="s">
        <v>22</v>
      </c>
      <c r="F2237" s="4" t="s">
        <v>11839</v>
      </c>
      <c r="G2237" s="4" t="s">
        <v>11840</v>
      </c>
      <c r="H2237" s="3" t="s">
        <v>8487</v>
      </c>
      <c r="I2237" s="3" t="s">
        <v>11841</v>
      </c>
      <c r="J2237" s="3" t="s">
        <v>466</v>
      </c>
      <c r="K2237" s="3" t="s">
        <v>11842</v>
      </c>
      <c r="L2237" s="3" t="s">
        <v>11843</v>
      </c>
      <c r="M2237" s="4"/>
      <c r="N2237" s="3" t="s">
        <v>37</v>
      </c>
      <c r="O2237" s="3" t="s">
        <v>38</v>
      </c>
      <c r="P2237" s="5">
        <v>1</v>
      </c>
      <c r="Q2237" s="5">
        <v>5</v>
      </c>
      <c r="R2237" s="5"/>
      <c r="S2237" s="5"/>
    </row>
    <row r="2238" spans="1:19" ht="28" x14ac:dyDescent="0.15">
      <c r="A2238" s="2">
        <f>HYPERLINK("https://open-school.uspishnemisto.com.ua/school/120664/", 120664)</f>
        <v>120664</v>
      </c>
      <c r="B2238" s="3" t="s">
        <v>11844</v>
      </c>
      <c r="C2238" s="3" t="s">
        <v>31</v>
      </c>
      <c r="D2238" s="3" t="s">
        <v>32</v>
      </c>
      <c r="E2238" s="4" t="s">
        <v>22</v>
      </c>
      <c r="F2238" s="4" t="s">
        <v>11845</v>
      </c>
      <c r="G2238" s="4" t="s">
        <v>11846</v>
      </c>
      <c r="H2238" s="3" t="s">
        <v>8487</v>
      </c>
      <c r="I2238" s="3" t="s">
        <v>6822</v>
      </c>
      <c r="J2238" s="3" t="s">
        <v>11847</v>
      </c>
      <c r="K2238" s="3" t="s">
        <v>11848</v>
      </c>
      <c r="L2238" s="3" t="s">
        <v>11849</v>
      </c>
      <c r="M2238" s="4"/>
      <c r="N2238" s="3" t="s">
        <v>37</v>
      </c>
      <c r="O2238" s="3" t="s">
        <v>70</v>
      </c>
      <c r="P2238" s="5">
        <v>11</v>
      </c>
      <c r="Q2238" s="5">
        <v>112</v>
      </c>
      <c r="R2238" s="5">
        <v>11</v>
      </c>
      <c r="S2238" s="5">
        <v>114</v>
      </c>
    </row>
    <row r="2239" spans="1:19" ht="28" x14ac:dyDescent="0.15">
      <c r="A2239" s="2">
        <f>HYPERLINK("https://open-school.uspishnemisto.com.ua/school/120665/", 120665)</f>
        <v>120665</v>
      </c>
      <c r="B2239" s="3" t="s">
        <v>11850</v>
      </c>
      <c r="C2239" s="3" t="s">
        <v>31</v>
      </c>
      <c r="D2239" s="3" t="s">
        <v>32</v>
      </c>
      <c r="E2239" s="4" t="s">
        <v>22</v>
      </c>
      <c r="F2239" s="4" t="s">
        <v>11851</v>
      </c>
      <c r="G2239" s="4" t="s">
        <v>11852</v>
      </c>
      <c r="H2239" s="3" t="s">
        <v>8487</v>
      </c>
      <c r="I2239" s="3" t="s">
        <v>7799</v>
      </c>
      <c r="J2239" s="3" t="s">
        <v>11853</v>
      </c>
      <c r="K2239" s="3" t="s">
        <v>11854</v>
      </c>
      <c r="L2239" s="3" t="s">
        <v>11855</v>
      </c>
      <c r="M2239" s="4"/>
      <c r="N2239" s="3" t="s">
        <v>37</v>
      </c>
      <c r="O2239" s="3" t="s">
        <v>38</v>
      </c>
      <c r="P2239" s="5">
        <v>11</v>
      </c>
      <c r="Q2239" s="5">
        <v>122</v>
      </c>
      <c r="R2239" s="5">
        <v>11</v>
      </c>
      <c r="S2239" s="5">
        <v>125</v>
      </c>
    </row>
    <row r="2240" spans="1:19" ht="70" x14ac:dyDescent="0.15">
      <c r="A2240" s="2">
        <f>HYPERLINK("https://open-school.uspishnemisto.com.ua/school/120666/", 120666)</f>
        <v>120666</v>
      </c>
      <c r="B2240" s="3" t="s">
        <v>11856</v>
      </c>
      <c r="C2240" s="3" t="s">
        <v>54</v>
      </c>
      <c r="D2240" s="3" t="s">
        <v>60</v>
      </c>
      <c r="E2240" s="4" t="s">
        <v>22</v>
      </c>
      <c r="F2240" s="4" t="s">
        <v>11851</v>
      </c>
      <c r="G2240" s="4" t="s">
        <v>11857</v>
      </c>
      <c r="H2240" s="3" t="s">
        <v>8487</v>
      </c>
      <c r="I2240" s="3" t="s">
        <v>11858</v>
      </c>
      <c r="J2240" s="3" t="s">
        <v>11859</v>
      </c>
      <c r="K2240" s="3" t="s">
        <v>11860</v>
      </c>
      <c r="L2240" s="3"/>
      <c r="M2240" s="4"/>
      <c r="N2240" s="3" t="s">
        <v>37</v>
      </c>
      <c r="O2240" s="3" t="s">
        <v>38</v>
      </c>
      <c r="P2240" s="5">
        <v>1</v>
      </c>
      <c r="Q2240" s="5">
        <v>8</v>
      </c>
      <c r="R2240" s="5">
        <v>0</v>
      </c>
      <c r="S2240" s="5">
        <v>6</v>
      </c>
    </row>
    <row r="2241" spans="1:19" ht="56" x14ac:dyDescent="0.15">
      <c r="A2241" s="2">
        <f>HYPERLINK("https://open-school.uspishnemisto.com.ua/school/120667/", 120667)</f>
        <v>120667</v>
      </c>
      <c r="B2241" s="3" t="s">
        <v>11861</v>
      </c>
      <c r="C2241" s="3" t="s">
        <v>54</v>
      </c>
      <c r="D2241" s="3" t="s">
        <v>60</v>
      </c>
      <c r="E2241" s="4" t="s">
        <v>22</v>
      </c>
      <c r="F2241" s="4" t="s">
        <v>11851</v>
      </c>
      <c r="G2241" s="4" t="s">
        <v>11862</v>
      </c>
      <c r="H2241" s="3" t="s">
        <v>8487</v>
      </c>
      <c r="I2241" s="3" t="s">
        <v>11863</v>
      </c>
      <c r="J2241" s="3" t="s">
        <v>3173</v>
      </c>
      <c r="K2241" s="3" t="s">
        <v>11864</v>
      </c>
      <c r="L2241" s="3" t="s">
        <v>11865</v>
      </c>
      <c r="M2241" s="4"/>
      <c r="N2241" s="3" t="s">
        <v>37</v>
      </c>
      <c r="O2241" s="3" t="s">
        <v>38</v>
      </c>
      <c r="P2241" s="5">
        <v>2</v>
      </c>
      <c r="Q2241" s="5">
        <v>11</v>
      </c>
      <c r="R2241" s="5">
        <v>3</v>
      </c>
      <c r="S2241" s="5">
        <v>9</v>
      </c>
    </row>
    <row r="2242" spans="1:19" ht="28" x14ac:dyDescent="0.15">
      <c r="A2242" s="2">
        <f>HYPERLINK("https://open-school.uspishnemisto.com.ua/school/120668/", 120668)</f>
        <v>120668</v>
      </c>
      <c r="B2242" s="3" t="s">
        <v>11866</v>
      </c>
      <c r="C2242" s="3" t="s">
        <v>31</v>
      </c>
      <c r="D2242" s="3" t="s">
        <v>32</v>
      </c>
      <c r="E2242" s="4" t="s">
        <v>22</v>
      </c>
      <c r="F2242" s="4" t="s">
        <v>11867</v>
      </c>
      <c r="G2242" s="4" t="s">
        <v>11868</v>
      </c>
      <c r="H2242" s="3" t="s">
        <v>8487</v>
      </c>
      <c r="I2242" s="3" t="s">
        <v>883</v>
      </c>
      <c r="J2242" s="3" t="s">
        <v>466</v>
      </c>
      <c r="K2242" s="3" t="s">
        <v>11869</v>
      </c>
      <c r="L2242" s="3" t="s">
        <v>11870</v>
      </c>
      <c r="M2242" s="4"/>
      <c r="N2242" s="3" t="s">
        <v>37</v>
      </c>
      <c r="O2242" s="3" t="s">
        <v>38</v>
      </c>
      <c r="P2242" s="5">
        <v>9</v>
      </c>
      <c r="Q2242" s="5">
        <v>72</v>
      </c>
      <c r="R2242" s="5">
        <v>9</v>
      </c>
      <c r="S2242" s="5">
        <v>81</v>
      </c>
    </row>
    <row r="2243" spans="1:19" ht="28" x14ac:dyDescent="0.15">
      <c r="A2243" s="2">
        <f>HYPERLINK("https://open-school.uspishnemisto.com.ua/school/120669/", 120669)</f>
        <v>120669</v>
      </c>
      <c r="B2243" s="3" t="s">
        <v>11871</v>
      </c>
      <c r="C2243" s="3" t="s">
        <v>31</v>
      </c>
      <c r="D2243" s="3" t="s">
        <v>32</v>
      </c>
      <c r="E2243" s="4" t="s">
        <v>22</v>
      </c>
      <c r="F2243" s="4" t="s">
        <v>11872</v>
      </c>
      <c r="G2243" s="4" t="s">
        <v>11873</v>
      </c>
      <c r="H2243" s="3" t="s">
        <v>8487</v>
      </c>
      <c r="I2243" s="3" t="s">
        <v>11056</v>
      </c>
      <c r="J2243" s="3" t="s">
        <v>11874</v>
      </c>
      <c r="K2243" s="3" t="s">
        <v>11875</v>
      </c>
      <c r="L2243" s="3" t="s">
        <v>11876</v>
      </c>
      <c r="M2243" s="4"/>
      <c r="N2243" s="3" t="s">
        <v>37</v>
      </c>
      <c r="O2243" s="3" t="s">
        <v>38</v>
      </c>
      <c r="P2243" s="5">
        <v>10</v>
      </c>
      <c r="Q2243" s="5">
        <v>68</v>
      </c>
      <c r="R2243" s="5">
        <v>11</v>
      </c>
      <c r="S2243" s="5">
        <v>72</v>
      </c>
    </row>
    <row r="2244" spans="1:19" ht="28" x14ac:dyDescent="0.15">
      <c r="A2244" s="2">
        <f>HYPERLINK("https://open-school.uspishnemisto.com.ua/school/120670/", 120670)</f>
        <v>120670</v>
      </c>
      <c r="B2244" s="3" t="s">
        <v>11877</v>
      </c>
      <c r="C2244" s="3" t="s">
        <v>31</v>
      </c>
      <c r="D2244" s="3" t="s">
        <v>32</v>
      </c>
      <c r="E2244" s="4" t="s">
        <v>22</v>
      </c>
      <c r="F2244" s="4" t="s">
        <v>11878</v>
      </c>
      <c r="G2244" s="4" t="s">
        <v>11879</v>
      </c>
      <c r="H2244" s="3" t="s">
        <v>8487</v>
      </c>
      <c r="I2244" s="3" t="s">
        <v>11880</v>
      </c>
      <c r="J2244" s="3" t="s">
        <v>11022</v>
      </c>
      <c r="K2244" s="3" t="s">
        <v>11881</v>
      </c>
      <c r="L2244" s="3" t="s">
        <v>11882</v>
      </c>
      <c r="M2244" s="4"/>
      <c r="N2244" s="3" t="s">
        <v>37</v>
      </c>
      <c r="O2244" s="3" t="s">
        <v>52</v>
      </c>
      <c r="P2244" s="5">
        <v>7</v>
      </c>
      <c r="Q2244" s="5">
        <v>61</v>
      </c>
      <c r="R2244" s="5">
        <v>6</v>
      </c>
      <c r="S2244" s="5">
        <v>58</v>
      </c>
    </row>
    <row r="2245" spans="1:19" ht="28" x14ac:dyDescent="0.15">
      <c r="A2245" s="2">
        <f>HYPERLINK("https://open-school.uspishnemisto.com.ua/school/120671/", 120671)</f>
        <v>120671</v>
      </c>
      <c r="B2245" s="3" t="s">
        <v>11883</v>
      </c>
      <c r="C2245" s="3" t="s">
        <v>31</v>
      </c>
      <c r="D2245" s="3" t="s">
        <v>32</v>
      </c>
      <c r="E2245" s="4" t="s">
        <v>22</v>
      </c>
      <c r="F2245" s="4" t="s">
        <v>11878</v>
      </c>
      <c r="G2245" s="4" t="s">
        <v>11879</v>
      </c>
      <c r="H2245" s="3" t="s">
        <v>8487</v>
      </c>
      <c r="I2245" s="3" t="s">
        <v>11880</v>
      </c>
      <c r="J2245" s="3" t="s">
        <v>11884</v>
      </c>
      <c r="K2245" s="3" t="s">
        <v>11885</v>
      </c>
      <c r="L2245" s="3" t="s">
        <v>11886</v>
      </c>
      <c r="M2245" s="4"/>
      <c r="N2245" s="3" t="s">
        <v>37</v>
      </c>
      <c r="O2245" s="3" t="s">
        <v>38</v>
      </c>
      <c r="P2245" s="5">
        <v>11</v>
      </c>
      <c r="Q2245" s="5">
        <v>162</v>
      </c>
      <c r="R2245" s="5">
        <v>11</v>
      </c>
      <c r="S2245" s="5">
        <v>159</v>
      </c>
    </row>
    <row r="2246" spans="1:19" ht="28" x14ac:dyDescent="0.15">
      <c r="A2246" s="2">
        <f>HYPERLINK("https://open-school.uspishnemisto.com.ua/school/120672/", 120672)</f>
        <v>120672</v>
      </c>
      <c r="B2246" s="3" t="s">
        <v>11887</v>
      </c>
      <c r="C2246" s="3" t="s">
        <v>31</v>
      </c>
      <c r="D2246" s="3" t="s">
        <v>60</v>
      </c>
      <c r="E2246" s="4" t="s">
        <v>22</v>
      </c>
      <c r="F2246" s="4" t="s">
        <v>11888</v>
      </c>
      <c r="G2246" s="4" t="s">
        <v>11889</v>
      </c>
      <c r="H2246" s="3" t="s">
        <v>8487</v>
      </c>
      <c r="I2246" s="3" t="s">
        <v>11594</v>
      </c>
      <c r="J2246" s="3" t="s">
        <v>2372</v>
      </c>
      <c r="K2246" s="3" t="s">
        <v>11890</v>
      </c>
      <c r="L2246" s="3"/>
      <c r="M2246" s="4"/>
      <c r="N2246" s="3" t="s">
        <v>37</v>
      </c>
      <c r="O2246" s="3" t="s">
        <v>52</v>
      </c>
      <c r="P2246" s="5">
        <v>1</v>
      </c>
      <c r="Q2246" s="5">
        <v>9</v>
      </c>
      <c r="R2246" s="5">
        <v>4</v>
      </c>
      <c r="S2246" s="5">
        <v>12</v>
      </c>
    </row>
    <row r="2247" spans="1:19" ht="42" x14ac:dyDescent="0.15">
      <c r="A2247" s="2">
        <f>HYPERLINK("https://open-school.uspishnemisto.com.ua/school/120673/", 120673)</f>
        <v>120673</v>
      </c>
      <c r="B2247" s="3" t="s">
        <v>11891</v>
      </c>
      <c r="C2247" s="3" t="s">
        <v>31</v>
      </c>
      <c r="D2247" s="3" t="s">
        <v>32</v>
      </c>
      <c r="E2247" s="4" t="s">
        <v>22</v>
      </c>
      <c r="F2247" s="4" t="s">
        <v>11892</v>
      </c>
      <c r="G2247" s="4" t="s">
        <v>11893</v>
      </c>
      <c r="H2247" s="3" t="s">
        <v>8487</v>
      </c>
      <c r="I2247" s="3" t="s">
        <v>11894</v>
      </c>
      <c r="J2247" s="3" t="s">
        <v>1348</v>
      </c>
      <c r="K2247" s="3" t="s">
        <v>11895</v>
      </c>
      <c r="L2247" s="3" t="s">
        <v>11896</v>
      </c>
      <c r="M2247" s="4"/>
      <c r="N2247" s="3" t="s">
        <v>37</v>
      </c>
      <c r="O2247" s="3" t="s">
        <v>38</v>
      </c>
      <c r="P2247" s="5">
        <v>11</v>
      </c>
      <c r="Q2247" s="5">
        <v>108</v>
      </c>
      <c r="R2247" s="5">
        <v>11</v>
      </c>
      <c r="S2247" s="5">
        <v>105</v>
      </c>
    </row>
    <row r="2248" spans="1:19" ht="42" x14ac:dyDescent="0.15">
      <c r="A2248" s="2">
        <f>HYPERLINK("https://open-school.uspishnemisto.com.ua/school/120674/", 120674)</f>
        <v>120674</v>
      </c>
      <c r="B2248" s="3" t="s">
        <v>11897</v>
      </c>
      <c r="C2248" s="3" t="s">
        <v>31</v>
      </c>
      <c r="D2248" s="3" t="s">
        <v>32</v>
      </c>
      <c r="E2248" s="4" t="s">
        <v>22</v>
      </c>
      <c r="F2248" s="4" t="s">
        <v>11898</v>
      </c>
      <c r="G2248" s="4" t="s">
        <v>11899</v>
      </c>
      <c r="H2248" s="3" t="s">
        <v>8487</v>
      </c>
      <c r="I2248" s="3" t="s">
        <v>11900</v>
      </c>
      <c r="J2248" s="3" t="s">
        <v>8152</v>
      </c>
      <c r="K2248" s="3" t="s">
        <v>11901</v>
      </c>
      <c r="L2248" s="3" t="s">
        <v>11902</v>
      </c>
      <c r="M2248" s="4"/>
      <c r="N2248" s="3" t="s">
        <v>37</v>
      </c>
      <c r="O2248" s="3" t="s">
        <v>38</v>
      </c>
      <c r="P2248" s="5">
        <v>11</v>
      </c>
      <c r="Q2248" s="5">
        <v>69</v>
      </c>
      <c r="R2248" s="5">
        <v>10</v>
      </c>
      <c r="S2248" s="5">
        <v>67</v>
      </c>
    </row>
    <row r="2249" spans="1:19" ht="28" x14ac:dyDescent="0.15">
      <c r="A2249" s="2">
        <f>HYPERLINK("https://open-school.uspishnemisto.com.ua/school/120675/", 120675)</f>
        <v>120675</v>
      </c>
      <c r="B2249" s="3" t="s">
        <v>11903</v>
      </c>
      <c r="C2249" s="3" t="s">
        <v>31</v>
      </c>
      <c r="D2249" s="3" t="s">
        <v>32</v>
      </c>
      <c r="E2249" s="4" t="s">
        <v>22</v>
      </c>
      <c r="F2249" s="4" t="s">
        <v>11904</v>
      </c>
      <c r="G2249" s="4" t="s">
        <v>11905</v>
      </c>
      <c r="H2249" s="3" t="s">
        <v>8487</v>
      </c>
      <c r="I2249" s="3" t="s">
        <v>11906</v>
      </c>
      <c r="J2249" s="3" t="s">
        <v>3745</v>
      </c>
      <c r="K2249" s="3" t="s">
        <v>11907</v>
      </c>
      <c r="L2249" s="3" t="s">
        <v>11908</v>
      </c>
      <c r="M2249" s="4"/>
      <c r="N2249" s="3" t="s">
        <v>37</v>
      </c>
      <c r="O2249" s="3" t="s">
        <v>38</v>
      </c>
      <c r="P2249" s="5">
        <v>12</v>
      </c>
      <c r="Q2249" s="5">
        <v>238</v>
      </c>
      <c r="R2249" s="5">
        <v>12</v>
      </c>
      <c r="S2249" s="5">
        <v>235</v>
      </c>
    </row>
    <row r="2250" spans="1:19" ht="28" x14ac:dyDescent="0.15">
      <c r="A2250" s="2">
        <f>HYPERLINK("https://open-school.uspishnemisto.com.ua/school/120676/", 120676)</f>
        <v>120676</v>
      </c>
      <c r="B2250" s="3" t="s">
        <v>11909</v>
      </c>
      <c r="C2250" s="3" t="s">
        <v>31</v>
      </c>
      <c r="D2250" s="3" t="s">
        <v>32</v>
      </c>
      <c r="E2250" s="4" t="s">
        <v>22</v>
      </c>
      <c r="F2250" s="4" t="s">
        <v>11910</v>
      </c>
      <c r="G2250" s="4" t="s">
        <v>11911</v>
      </c>
      <c r="H2250" s="3" t="s">
        <v>8487</v>
      </c>
      <c r="I2250" s="3" t="s">
        <v>11912</v>
      </c>
      <c r="J2250" s="3" t="s">
        <v>11913</v>
      </c>
      <c r="K2250" s="3" t="s">
        <v>11914</v>
      </c>
      <c r="L2250" s="3" t="s">
        <v>11915</v>
      </c>
      <c r="M2250" s="4"/>
      <c r="N2250" s="3" t="s">
        <v>37</v>
      </c>
      <c r="O2250" s="3" t="s">
        <v>46</v>
      </c>
      <c r="P2250" s="5">
        <v>21</v>
      </c>
      <c r="Q2250" s="5">
        <v>504</v>
      </c>
      <c r="R2250" s="5">
        <v>21</v>
      </c>
      <c r="S2250" s="5">
        <v>504</v>
      </c>
    </row>
    <row r="2251" spans="1:19" ht="28" x14ac:dyDescent="0.15">
      <c r="A2251" s="2">
        <f>HYPERLINK("https://open-school.uspishnemisto.com.ua/school/120677/", 120677)</f>
        <v>120677</v>
      </c>
      <c r="B2251" s="3" t="s">
        <v>11916</v>
      </c>
      <c r="C2251" s="3" t="s">
        <v>31</v>
      </c>
      <c r="D2251" s="3" t="s">
        <v>60</v>
      </c>
      <c r="E2251" s="4" t="s">
        <v>22</v>
      </c>
      <c r="F2251" s="4" t="s">
        <v>11910</v>
      </c>
      <c r="G2251" s="4" t="s">
        <v>11911</v>
      </c>
      <c r="H2251" s="3" t="s">
        <v>8487</v>
      </c>
      <c r="I2251" s="3" t="s">
        <v>11912</v>
      </c>
      <c r="J2251" s="3" t="s">
        <v>11917</v>
      </c>
      <c r="K2251" s="3" t="s">
        <v>11918</v>
      </c>
      <c r="L2251" s="3" t="s">
        <v>11919</v>
      </c>
      <c r="M2251" s="4"/>
      <c r="N2251" s="3" t="s">
        <v>37</v>
      </c>
      <c r="O2251" s="3" t="s">
        <v>38</v>
      </c>
      <c r="P2251" s="5">
        <v>4</v>
      </c>
      <c r="Q2251" s="5">
        <v>39</v>
      </c>
      <c r="R2251" s="5">
        <v>4</v>
      </c>
      <c r="S2251" s="5">
        <v>40</v>
      </c>
    </row>
    <row r="2252" spans="1:19" ht="28" x14ac:dyDescent="0.15">
      <c r="A2252" s="2">
        <f>HYPERLINK("https://open-school.uspishnemisto.com.ua/school/120678/", 120678)</f>
        <v>120678</v>
      </c>
      <c r="B2252" s="3" t="s">
        <v>11920</v>
      </c>
      <c r="C2252" s="3" t="s">
        <v>31</v>
      </c>
      <c r="D2252" s="3" t="s">
        <v>175</v>
      </c>
      <c r="E2252" s="4" t="s">
        <v>22</v>
      </c>
      <c r="F2252" s="4" t="s">
        <v>11921</v>
      </c>
      <c r="G2252" s="4" t="s">
        <v>11922</v>
      </c>
      <c r="H2252" s="3" t="s">
        <v>8487</v>
      </c>
      <c r="I2252" s="3" t="s">
        <v>11923</v>
      </c>
      <c r="J2252" s="3" t="s">
        <v>466</v>
      </c>
      <c r="K2252" s="3" t="s">
        <v>11924</v>
      </c>
      <c r="L2252" s="3" t="s">
        <v>11925</v>
      </c>
      <c r="M2252" s="4"/>
      <c r="N2252" s="3" t="s">
        <v>967</v>
      </c>
      <c r="O2252" s="3" t="s">
        <v>52</v>
      </c>
      <c r="P2252" s="5">
        <v>9</v>
      </c>
      <c r="Q2252" s="5">
        <v>66</v>
      </c>
      <c r="R2252" s="5">
        <v>9</v>
      </c>
      <c r="S2252" s="5">
        <v>69</v>
      </c>
    </row>
    <row r="2253" spans="1:19" ht="28" x14ac:dyDescent="0.15">
      <c r="A2253" s="2">
        <f>HYPERLINK("https://open-school.uspishnemisto.com.ua/school/120679/", 120679)</f>
        <v>120679</v>
      </c>
      <c r="B2253" s="3" t="s">
        <v>11926</v>
      </c>
      <c r="C2253" s="3" t="s">
        <v>31</v>
      </c>
      <c r="D2253" s="3" t="s">
        <v>32</v>
      </c>
      <c r="E2253" s="4" t="s">
        <v>22</v>
      </c>
      <c r="F2253" s="4" t="s">
        <v>11927</v>
      </c>
      <c r="G2253" s="4" t="s">
        <v>11928</v>
      </c>
      <c r="H2253" s="3" t="s">
        <v>8487</v>
      </c>
      <c r="I2253" s="3" t="s">
        <v>11929</v>
      </c>
      <c r="J2253" s="3" t="s">
        <v>466</v>
      </c>
      <c r="K2253" s="3" t="s">
        <v>11930</v>
      </c>
      <c r="L2253" s="3" t="s">
        <v>11931</v>
      </c>
      <c r="M2253" s="4"/>
      <c r="N2253" s="3" t="s">
        <v>967</v>
      </c>
      <c r="O2253" s="3" t="s">
        <v>52</v>
      </c>
      <c r="P2253" s="5">
        <v>11</v>
      </c>
      <c r="Q2253" s="5">
        <v>98</v>
      </c>
      <c r="R2253" s="5">
        <v>10</v>
      </c>
      <c r="S2253" s="5">
        <v>96</v>
      </c>
    </row>
    <row r="2254" spans="1:19" ht="28" x14ac:dyDescent="0.15">
      <c r="A2254" s="2">
        <f>HYPERLINK("https://open-school.uspishnemisto.com.ua/school/120680/", 120680)</f>
        <v>120680</v>
      </c>
      <c r="B2254" s="3" t="s">
        <v>11932</v>
      </c>
      <c r="C2254" s="3" t="s">
        <v>31</v>
      </c>
      <c r="D2254" s="3" t="s">
        <v>32</v>
      </c>
      <c r="E2254" s="4" t="s">
        <v>22</v>
      </c>
      <c r="F2254" s="4" t="s">
        <v>11933</v>
      </c>
      <c r="G2254" s="4" t="s">
        <v>11934</v>
      </c>
      <c r="H2254" s="3" t="s">
        <v>8487</v>
      </c>
      <c r="I2254" s="3" t="s">
        <v>11935</v>
      </c>
      <c r="J2254" s="3" t="s">
        <v>11936</v>
      </c>
      <c r="K2254" s="3" t="s">
        <v>11937</v>
      </c>
      <c r="L2254" s="3" t="s">
        <v>11938</v>
      </c>
      <c r="M2254" s="4"/>
      <c r="N2254" s="3" t="s">
        <v>37</v>
      </c>
      <c r="O2254" s="3" t="s">
        <v>52</v>
      </c>
      <c r="P2254" s="5">
        <v>11</v>
      </c>
      <c r="Q2254" s="5">
        <v>105</v>
      </c>
      <c r="R2254" s="5">
        <v>11</v>
      </c>
      <c r="S2254" s="5">
        <v>105</v>
      </c>
    </row>
    <row r="2255" spans="1:19" ht="28" x14ac:dyDescent="0.15">
      <c r="A2255" s="2">
        <f>HYPERLINK("https://open-school.uspishnemisto.com.ua/school/120681/", 120681)</f>
        <v>120681</v>
      </c>
      <c r="B2255" s="3" t="s">
        <v>11939</v>
      </c>
      <c r="C2255" s="3" t="s">
        <v>31</v>
      </c>
      <c r="D2255" s="3" t="s">
        <v>32</v>
      </c>
      <c r="E2255" s="4" t="s">
        <v>22</v>
      </c>
      <c r="F2255" s="4" t="s">
        <v>11940</v>
      </c>
      <c r="G2255" s="4" t="s">
        <v>11941</v>
      </c>
      <c r="H2255" s="3" t="s">
        <v>8487</v>
      </c>
      <c r="I2255" s="3" t="s">
        <v>11942</v>
      </c>
      <c r="J2255" s="3" t="s">
        <v>11943</v>
      </c>
      <c r="K2255" s="3" t="s">
        <v>11944</v>
      </c>
      <c r="L2255" s="3"/>
      <c r="M2255" s="4"/>
      <c r="N2255" s="3" t="s">
        <v>37</v>
      </c>
      <c r="O2255" s="3" t="s">
        <v>70</v>
      </c>
      <c r="P2255" s="5">
        <v>9</v>
      </c>
      <c r="Q2255" s="5">
        <v>84</v>
      </c>
      <c r="R2255" s="5">
        <v>9</v>
      </c>
      <c r="S2255" s="5">
        <v>74</v>
      </c>
    </row>
    <row r="2256" spans="1:19" ht="28" x14ac:dyDescent="0.15">
      <c r="A2256" s="2">
        <f>HYPERLINK("https://open-school.uspishnemisto.com.ua/school/120682/", 120682)</f>
        <v>120682</v>
      </c>
      <c r="B2256" s="3" t="s">
        <v>11945</v>
      </c>
      <c r="C2256" s="3" t="s">
        <v>31</v>
      </c>
      <c r="D2256" s="3" t="s">
        <v>32</v>
      </c>
      <c r="E2256" s="4" t="s">
        <v>22</v>
      </c>
      <c r="F2256" s="4" t="s">
        <v>11946</v>
      </c>
      <c r="G2256" s="4" t="s">
        <v>11947</v>
      </c>
      <c r="H2256" s="3" t="s">
        <v>8487</v>
      </c>
      <c r="I2256" s="3" t="s">
        <v>6822</v>
      </c>
      <c r="J2256" s="3" t="s">
        <v>11948</v>
      </c>
      <c r="K2256" s="3" t="s">
        <v>11949</v>
      </c>
      <c r="L2256" s="3"/>
      <c r="M2256" s="4"/>
      <c r="N2256" s="3" t="s">
        <v>37</v>
      </c>
      <c r="O2256" s="3" t="s">
        <v>38</v>
      </c>
      <c r="P2256" s="5">
        <v>8</v>
      </c>
      <c r="Q2256" s="5">
        <v>74</v>
      </c>
      <c r="R2256" s="5">
        <v>8</v>
      </c>
      <c r="S2256" s="5">
        <v>89</v>
      </c>
    </row>
    <row r="2257" spans="1:19" ht="28" x14ac:dyDescent="0.15">
      <c r="A2257" s="2">
        <f>HYPERLINK("https://open-school.uspishnemisto.com.ua/school/120683/", 120683)</f>
        <v>120683</v>
      </c>
      <c r="B2257" s="3" t="s">
        <v>11950</v>
      </c>
      <c r="C2257" s="3" t="s">
        <v>31</v>
      </c>
      <c r="D2257" s="3" t="s">
        <v>32</v>
      </c>
      <c r="E2257" s="4" t="s">
        <v>22</v>
      </c>
      <c r="F2257" s="4" t="s">
        <v>11951</v>
      </c>
      <c r="G2257" s="4" t="s">
        <v>11952</v>
      </c>
      <c r="H2257" s="3" t="s">
        <v>8487</v>
      </c>
      <c r="I2257" s="3" t="s">
        <v>11953</v>
      </c>
      <c r="J2257" s="3" t="s">
        <v>2372</v>
      </c>
      <c r="K2257" s="3" t="s">
        <v>11954</v>
      </c>
      <c r="L2257" s="3"/>
      <c r="M2257" s="4"/>
      <c r="N2257" s="3" t="s">
        <v>37</v>
      </c>
      <c r="O2257" s="3" t="s">
        <v>38</v>
      </c>
      <c r="P2257" s="5">
        <v>11</v>
      </c>
      <c r="Q2257" s="5">
        <v>193</v>
      </c>
      <c r="R2257" s="5">
        <v>11</v>
      </c>
      <c r="S2257" s="5">
        <v>185</v>
      </c>
    </row>
    <row r="2258" spans="1:19" ht="28" x14ac:dyDescent="0.15">
      <c r="A2258" s="2">
        <f>HYPERLINK("https://open-school.uspishnemisto.com.ua/school/120684/", 120684)</f>
        <v>120684</v>
      </c>
      <c r="B2258" s="3" t="s">
        <v>11955</v>
      </c>
      <c r="C2258" s="3" t="s">
        <v>31</v>
      </c>
      <c r="D2258" s="3" t="s">
        <v>32</v>
      </c>
      <c r="E2258" s="4" t="s">
        <v>22</v>
      </c>
      <c r="F2258" s="4" t="s">
        <v>11956</v>
      </c>
      <c r="G2258" s="4" t="s">
        <v>11957</v>
      </c>
      <c r="H2258" s="3" t="s">
        <v>8487</v>
      </c>
      <c r="I2258" s="3" t="s">
        <v>11958</v>
      </c>
      <c r="J2258" s="3" t="s">
        <v>6432</v>
      </c>
      <c r="K2258" s="3" t="s">
        <v>11959</v>
      </c>
      <c r="L2258" s="3" t="s">
        <v>11960</v>
      </c>
      <c r="M2258" s="4"/>
      <c r="N2258" s="3" t="s">
        <v>37</v>
      </c>
      <c r="O2258" s="3" t="s">
        <v>38</v>
      </c>
      <c r="P2258" s="5">
        <v>11</v>
      </c>
      <c r="Q2258" s="5">
        <v>140</v>
      </c>
      <c r="R2258" s="5">
        <v>11</v>
      </c>
      <c r="S2258" s="5">
        <v>156</v>
      </c>
    </row>
    <row r="2259" spans="1:19" ht="28" x14ac:dyDescent="0.15">
      <c r="A2259" s="2">
        <f>HYPERLINK("https://open-school.uspishnemisto.com.ua/school/120685/", 120685)</f>
        <v>120685</v>
      </c>
      <c r="B2259" s="3" t="s">
        <v>11961</v>
      </c>
      <c r="C2259" s="3" t="s">
        <v>31</v>
      </c>
      <c r="D2259" s="3" t="s">
        <v>32</v>
      </c>
      <c r="E2259" s="4" t="s">
        <v>22</v>
      </c>
      <c r="F2259" s="4" t="s">
        <v>11962</v>
      </c>
      <c r="G2259" s="4" t="s">
        <v>11963</v>
      </c>
      <c r="H2259" s="3" t="s">
        <v>8487</v>
      </c>
      <c r="I2259" s="3" t="s">
        <v>11964</v>
      </c>
      <c r="J2259" s="3" t="s">
        <v>11965</v>
      </c>
      <c r="K2259" s="3" t="s">
        <v>11966</v>
      </c>
      <c r="L2259" s="3" t="s">
        <v>11967</v>
      </c>
      <c r="M2259" s="4"/>
      <c r="N2259" s="3" t="s">
        <v>37</v>
      </c>
      <c r="O2259" s="3" t="s">
        <v>38</v>
      </c>
      <c r="P2259" s="5">
        <v>17</v>
      </c>
      <c r="Q2259" s="5">
        <v>306</v>
      </c>
      <c r="R2259" s="5">
        <v>17</v>
      </c>
      <c r="S2259" s="5">
        <v>301</v>
      </c>
    </row>
    <row r="2260" spans="1:19" ht="28" x14ac:dyDescent="0.15">
      <c r="A2260" s="2">
        <f>HYPERLINK("https://open-school.uspishnemisto.com.ua/school/120686/", 120686)</f>
        <v>120686</v>
      </c>
      <c r="B2260" s="3" t="s">
        <v>11968</v>
      </c>
      <c r="C2260" s="3" t="s">
        <v>31</v>
      </c>
      <c r="D2260" s="3" t="s">
        <v>32</v>
      </c>
      <c r="E2260" s="4" t="s">
        <v>22</v>
      </c>
      <c r="F2260" s="4" t="s">
        <v>11969</v>
      </c>
      <c r="G2260" s="4" t="s">
        <v>11970</v>
      </c>
      <c r="H2260" s="3" t="s">
        <v>8487</v>
      </c>
      <c r="I2260" s="3" t="s">
        <v>10843</v>
      </c>
      <c r="J2260" s="3" t="s">
        <v>946</v>
      </c>
      <c r="K2260" s="3" t="s">
        <v>11971</v>
      </c>
      <c r="L2260" s="3"/>
      <c r="M2260" s="4"/>
      <c r="N2260" s="3" t="s">
        <v>37</v>
      </c>
      <c r="O2260" s="3" t="s">
        <v>52</v>
      </c>
      <c r="P2260" s="5">
        <v>8</v>
      </c>
      <c r="Q2260" s="5">
        <v>80</v>
      </c>
      <c r="R2260" s="5">
        <v>8</v>
      </c>
      <c r="S2260" s="5">
        <v>80</v>
      </c>
    </row>
    <row r="2261" spans="1:19" ht="28" x14ac:dyDescent="0.15">
      <c r="A2261" s="2">
        <f>HYPERLINK("https://open-school.uspishnemisto.com.ua/school/120687/", 120687)</f>
        <v>120687</v>
      </c>
      <c r="B2261" s="3" t="s">
        <v>11972</v>
      </c>
      <c r="C2261" s="3" t="s">
        <v>31</v>
      </c>
      <c r="D2261" s="3" t="s">
        <v>32</v>
      </c>
      <c r="E2261" s="4" t="s">
        <v>22</v>
      </c>
      <c r="F2261" s="4" t="s">
        <v>11973</v>
      </c>
      <c r="G2261" s="4" t="s">
        <v>11974</v>
      </c>
      <c r="H2261" s="3" t="s">
        <v>8487</v>
      </c>
      <c r="I2261" s="3" t="s">
        <v>11975</v>
      </c>
      <c r="J2261" s="3" t="s">
        <v>11976</v>
      </c>
      <c r="K2261" s="3" t="s">
        <v>11977</v>
      </c>
      <c r="L2261" s="3" t="s">
        <v>11978</v>
      </c>
      <c r="M2261" s="4"/>
      <c r="N2261" s="3" t="s">
        <v>37</v>
      </c>
      <c r="O2261" s="3" t="s">
        <v>70</v>
      </c>
      <c r="P2261" s="5">
        <v>3</v>
      </c>
      <c r="Q2261" s="5">
        <v>39</v>
      </c>
      <c r="R2261" s="5">
        <v>3</v>
      </c>
      <c r="S2261" s="5">
        <v>41</v>
      </c>
    </row>
    <row r="2262" spans="1:19" ht="28" x14ac:dyDescent="0.15">
      <c r="A2262" s="2">
        <f>HYPERLINK("https://open-school.uspishnemisto.com.ua/school/120688/", 120688)</f>
        <v>120688</v>
      </c>
      <c r="B2262" s="3" t="s">
        <v>11979</v>
      </c>
      <c r="C2262" s="3" t="s">
        <v>31</v>
      </c>
      <c r="D2262" s="3" t="s">
        <v>32</v>
      </c>
      <c r="E2262" s="4" t="s">
        <v>22</v>
      </c>
      <c r="F2262" s="4" t="s">
        <v>11980</v>
      </c>
      <c r="G2262" s="4" t="s">
        <v>11981</v>
      </c>
      <c r="H2262" s="3" t="s">
        <v>8487</v>
      </c>
      <c r="I2262" s="3" t="s">
        <v>11982</v>
      </c>
      <c r="J2262" s="3" t="s">
        <v>11983</v>
      </c>
      <c r="K2262" s="3" t="s">
        <v>11984</v>
      </c>
      <c r="L2262" s="3" t="s">
        <v>11985</v>
      </c>
      <c r="M2262" s="4"/>
      <c r="N2262" s="3" t="s">
        <v>37</v>
      </c>
      <c r="O2262" s="3" t="s">
        <v>38</v>
      </c>
      <c r="P2262" s="5">
        <v>11</v>
      </c>
      <c r="Q2262" s="5">
        <v>102</v>
      </c>
      <c r="R2262" s="5">
        <v>10</v>
      </c>
      <c r="S2262" s="5">
        <v>101</v>
      </c>
    </row>
    <row r="2263" spans="1:19" ht="28" x14ac:dyDescent="0.15">
      <c r="A2263" s="2">
        <f>HYPERLINK("https://open-school.uspishnemisto.com.ua/school/120689/", 120689)</f>
        <v>120689</v>
      </c>
      <c r="B2263" s="3" t="s">
        <v>11986</v>
      </c>
      <c r="C2263" s="3" t="s">
        <v>31</v>
      </c>
      <c r="D2263" s="3" t="s">
        <v>32</v>
      </c>
      <c r="E2263" s="4" t="s">
        <v>22</v>
      </c>
      <c r="F2263" s="4" t="s">
        <v>11987</v>
      </c>
      <c r="G2263" s="4" t="s">
        <v>11988</v>
      </c>
      <c r="H2263" s="3" t="s">
        <v>8487</v>
      </c>
      <c r="I2263" s="3" t="s">
        <v>11989</v>
      </c>
      <c r="J2263" s="3" t="s">
        <v>10830</v>
      </c>
      <c r="K2263" s="3" t="s">
        <v>11990</v>
      </c>
      <c r="L2263" s="3" t="s">
        <v>11991</v>
      </c>
      <c r="M2263" s="4"/>
      <c r="N2263" s="3" t="s">
        <v>37</v>
      </c>
      <c r="O2263" s="3" t="s">
        <v>52</v>
      </c>
      <c r="P2263" s="5">
        <v>11</v>
      </c>
      <c r="Q2263" s="5">
        <v>111</v>
      </c>
      <c r="R2263" s="5">
        <v>10</v>
      </c>
      <c r="S2263" s="5">
        <v>104</v>
      </c>
    </row>
    <row r="2264" spans="1:19" ht="42" x14ac:dyDescent="0.15">
      <c r="A2264" s="2">
        <f>HYPERLINK("https://open-school.uspishnemisto.com.ua/school/120690/", 120690)</f>
        <v>120690</v>
      </c>
      <c r="B2264" s="3" t="s">
        <v>11992</v>
      </c>
      <c r="C2264" s="3" t="s">
        <v>31</v>
      </c>
      <c r="D2264" s="3" t="s">
        <v>32</v>
      </c>
      <c r="E2264" s="4" t="s">
        <v>22</v>
      </c>
      <c r="F2264" s="4" t="s">
        <v>11993</v>
      </c>
      <c r="G2264" s="4" t="s">
        <v>11994</v>
      </c>
      <c r="H2264" s="3" t="s">
        <v>8487</v>
      </c>
      <c r="I2264" s="3" t="s">
        <v>11995</v>
      </c>
      <c r="J2264" s="3" t="s">
        <v>1192</v>
      </c>
      <c r="K2264" s="3" t="s">
        <v>11996</v>
      </c>
      <c r="L2264" s="3" t="s">
        <v>11997</v>
      </c>
      <c r="M2264" s="4"/>
      <c r="N2264" s="3" t="s">
        <v>37</v>
      </c>
      <c r="O2264" s="3" t="s">
        <v>52</v>
      </c>
      <c r="P2264" s="5">
        <v>10</v>
      </c>
      <c r="Q2264" s="5">
        <v>98</v>
      </c>
      <c r="R2264" s="5">
        <v>9</v>
      </c>
      <c r="S2264" s="5">
        <v>94</v>
      </c>
    </row>
    <row r="2265" spans="1:19" ht="28" x14ac:dyDescent="0.15">
      <c r="A2265" s="2">
        <f>HYPERLINK("https://open-school.uspishnemisto.com.ua/school/120691/", 120691)</f>
        <v>120691</v>
      </c>
      <c r="B2265" s="3" t="s">
        <v>11998</v>
      </c>
      <c r="C2265" s="3" t="s">
        <v>31</v>
      </c>
      <c r="D2265" s="3" t="s">
        <v>32</v>
      </c>
      <c r="E2265" s="4" t="s">
        <v>22</v>
      </c>
      <c r="F2265" s="4" t="s">
        <v>11999</v>
      </c>
      <c r="G2265" s="4" t="s">
        <v>12000</v>
      </c>
      <c r="H2265" s="3" t="s">
        <v>8487</v>
      </c>
      <c r="I2265" s="3" t="s">
        <v>12001</v>
      </c>
      <c r="J2265" s="3" t="s">
        <v>12002</v>
      </c>
      <c r="K2265" s="3" t="s">
        <v>12003</v>
      </c>
      <c r="L2265" s="3" t="s">
        <v>12004</v>
      </c>
      <c r="M2265" s="4"/>
      <c r="N2265" s="3" t="s">
        <v>37</v>
      </c>
      <c r="O2265" s="3" t="s">
        <v>46</v>
      </c>
      <c r="P2265" s="5">
        <v>13</v>
      </c>
      <c r="Q2265" s="5">
        <v>224</v>
      </c>
      <c r="R2265" s="5">
        <v>12</v>
      </c>
      <c r="S2265" s="5">
        <v>223</v>
      </c>
    </row>
    <row r="2266" spans="1:19" ht="28" x14ac:dyDescent="0.15">
      <c r="A2266" s="2">
        <f>HYPERLINK("https://open-school.uspishnemisto.com.ua/school/120692/", 120692)</f>
        <v>120692</v>
      </c>
      <c r="B2266" s="3" t="s">
        <v>12005</v>
      </c>
      <c r="C2266" s="3" t="s">
        <v>31</v>
      </c>
      <c r="D2266" s="3" t="s">
        <v>32</v>
      </c>
      <c r="E2266" s="4" t="s">
        <v>22</v>
      </c>
      <c r="F2266" s="4" t="s">
        <v>12006</v>
      </c>
      <c r="G2266" s="4" t="s">
        <v>12007</v>
      </c>
      <c r="H2266" s="3" t="s">
        <v>8487</v>
      </c>
      <c r="I2266" s="3" t="s">
        <v>12008</v>
      </c>
      <c r="J2266" s="3" t="s">
        <v>12009</v>
      </c>
      <c r="K2266" s="3" t="s">
        <v>12010</v>
      </c>
      <c r="L2266" s="3" t="s">
        <v>12011</v>
      </c>
      <c r="M2266" s="4"/>
      <c r="N2266" s="3" t="s">
        <v>37</v>
      </c>
      <c r="O2266" s="3" t="s">
        <v>46</v>
      </c>
      <c r="P2266" s="5">
        <v>11</v>
      </c>
      <c r="Q2266" s="5">
        <v>132</v>
      </c>
      <c r="R2266" s="5">
        <v>10</v>
      </c>
      <c r="S2266" s="5">
        <v>127</v>
      </c>
    </row>
    <row r="2267" spans="1:19" ht="28" x14ac:dyDescent="0.15">
      <c r="A2267" s="2">
        <f>HYPERLINK("https://open-school.uspishnemisto.com.ua/school/120693/", 120693)</f>
        <v>120693</v>
      </c>
      <c r="B2267" s="3" t="s">
        <v>12012</v>
      </c>
      <c r="C2267" s="3" t="s">
        <v>31</v>
      </c>
      <c r="D2267" s="3" t="s">
        <v>32</v>
      </c>
      <c r="E2267" s="4" t="s">
        <v>22</v>
      </c>
      <c r="F2267" s="4" t="s">
        <v>12013</v>
      </c>
      <c r="G2267" s="4" t="s">
        <v>12014</v>
      </c>
      <c r="H2267" s="3" t="s">
        <v>8487</v>
      </c>
      <c r="I2267" s="3" t="s">
        <v>12015</v>
      </c>
      <c r="J2267" s="3" t="s">
        <v>12016</v>
      </c>
      <c r="K2267" s="3" t="s">
        <v>12017</v>
      </c>
      <c r="L2267" s="3" t="s">
        <v>12018</v>
      </c>
      <c r="M2267" s="4"/>
      <c r="N2267" s="3" t="s">
        <v>37</v>
      </c>
      <c r="O2267" s="3" t="s">
        <v>52</v>
      </c>
      <c r="P2267" s="5">
        <v>12</v>
      </c>
      <c r="Q2267" s="5">
        <v>202</v>
      </c>
      <c r="R2267" s="5">
        <v>12</v>
      </c>
      <c r="S2267" s="5">
        <v>182</v>
      </c>
    </row>
    <row r="2268" spans="1:19" ht="28" x14ac:dyDescent="0.15">
      <c r="A2268" s="2">
        <f>HYPERLINK("https://open-school.uspishnemisto.com.ua/school/120694/", 120694)</f>
        <v>120694</v>
      </c>
      <c r="B2268" s="3" t="s">
        <v>12019</v>
      </c>
      <c r="C2268" s="3" t="s">
        <v>31</v>
      </c>
      <c r="D2268" s="3" t="s">
        <v>32</v>
      </c>
      <c r="E2268" s="4" t="s">
        <v>22</v>
      </c>
      <c r="F2268" s="4" t="s">
        <v>12020</v>
      </c>
      <c r="G2268" s="4" t="s">
        <v>12021</v>
      </c>
      <c r="H2268" s="3" t="s">
        <v>8487</v>
      </c>
      <c r="I2268" s="3" t="s">
        <v>9321</v>
      </c>
      <c r="J2268" s="3" t="s">
        <v>12022</v>
      </c>
      <c r="K2268" s="3" t="s">
        <v>12023</v>
      </c>
      <c r="L2268" s="3" t="s">
        <v>12024</v>
      </c>
      <c r="M2268" s="4"/>
      <c r="N2268" s="3" t="s">
        <v>37</v>
      </c>
      <c r="O2268" s="3" t="s">
        <v>46</v>
      </c>
      <c r="P2268" s="5">
        <v>16</v>
      </c>
      <c r="Q2268" s="5">
        <v>300</v>
      </c>
      <c r="R2268" s="5">
        <v>16</v>
      </c>
      <c r="S2268" s="5">
        <v>285</v>
      </c>
    </row>
    <row r="2269" spans="1:19" ht="28" x14ac:dyDescent="0.15">
      <c r="A2269" s="2">
        <f>HYPERLINK("https://open-school.uspishnemisto.com.ua/school/120695/", 120695)</f>
        <v>120695</v>
      </c>
      <c r="B2269" s="3" t="s">
        <v>12025</v>
      </c>
      <c r="C2269" s="3" t="s">
        <v>31</v>
      </c>
      <c r="D2269" s="3" t="s">
        <v>32</v>
      </c>
      <c r="E2269" s="4" t="s">
        <v>22</v>
      </c>
      <c r="F2269" s="4" t="s">
        <v>12026</v>
      </c>
      <c r="G2269" s="4" t="s">
        <v>12027</v>
      </c>
      <c r="H2269" s="3" t="s">
        <v>8487</v>
      </c>
      <c r="I2269" s="3" t="s">
        <v>12028</v>
      </c>
      <c r="J2269" s="3" t="s">
        <v>12029</v>
      </c>
      <c r="K2269" s="3"/>
      <c r="L2269" s="3" t="s">
        <v>12030</v>
      </c>
      <c r="M2269" s="4"/>
      <c r="N2269" s="3" t="s">
        <v>37</v>
      </c>
      <c r="O2269" s="3" t="s">
        <v>721</v>
      </c>
      <c r="P2269" s="5">
        <v>11</v>
      </c>
      <c r="Q2269" s="5">
        <v>190</v>
      </c>
      <c r="R2269" s="5">
        <v>11</v>
      </c>
      <c r="S2269" s="5">
        <v>191</v>
      </c>
    </row>
    <row r="2270" spans="1:19" ht="28" x14ac:dyDescent="0.15">
      <c r="A2270" s="2">
        <f>HYPERLINK("https://open-school.uspishnemisto.com.ua/school/120696/", 120696)</f>
        <v>120696</v>
      </c>
      <c r="B2270" s="3" t="s">
        <v>12031</v>
      </c>
      <c r="C2270" s="3" t="s">
        <v>31</v>
      </c>
      <c r="D2270" s="3" t="s">
        <v>32</v>
      </c>
      <c r="E2270" s="4" t="s">
        <v>22</v>
      </c>
      <c r="F2270" s="4" t="s">
        <v>11946</v>
      </c>
      <c r="G2270" s="4" t="s">
        <v>12032</v>
      </c>
      <c r="H2270" s="3" t="s">
        <v>8487</v>
      </c>
      <c r="I2270" s="3" t="s">
        <v>11064</v>
      </c>
      <c r="J2270" s="3" t="s">
        <v>2191</v>
      </c>
      <c r="K2270" s="3" t="s">
        <v>12033</v>
      </c>
      <c r="L2270" s="3" t="s">
        <v>12034</v>
      </c>
      <c r="M2270" s="4"/>
      <c r="N2270" s="3" t="s">
        <v>37</v>
      </c>
      <c r="O2270" s="3" t="s">
        <v>38</v>
      </c>
      <c r="P2270" s="5">
        <v>10</v>
      </c>
      <c r="Q2270" s="5">
        <v>61</v>
      </c>
      <c r="R2270" s="5">
        <v>9</v>
      </c>
      <c r="S2270" s="5">
        <v>62</v>
      </c>
    </row>
    <row r="2271" spans="1:19" ht="28" x14ac:dyDescent="0.15">
      <c r="A2271" s="2">
        <f>HYPERLINK("https://open-school.uspishnemisto.com.ua/school/120697/", 120697)</f>
        <v>120697</v>
      </c>
      <c r="B2271" s="3" t="s">
        <v>12035</v>
      </c>
      <c r="C2271" s="3" t="s">
        <v>31</v>
      </c>
      <c r="D2271" s="3" t="s">
        <v>32</v>
      </c>
      <c r="E2271" s="4" t="s">
        <v>22</v>
      </c>
      <c r="F2271" s="4" t="s">
        <v>12036</v>
      </c>
      <c r="G2271" s="4" t="s">
        <v>12037</v>
      </c>
      <c r="H2271" s="3" t="s">
        <v>8487</v>
      </c>
      <c r="I2271" s="3" t="s">
        <v>12038</v>
      </c>
      <c r="J2271" s="3" t="s">
        <v>466</v>
      </c>
      <c r="K2271" s="3" t="s">
        <v>12039</v>
      </c>
      <c r="L2271" s="3" t="s">
        <v>12040</v>
      </c>
      <c r="M2271" s="4"/>
      <c r="N2271" s="3" t="s">
        <v>37</v>
      </c>
      <c r="O2271" s="3" t="s">
        <v>38</v>
      </c>
      <c r="P2271" s="5">
        <v>15</v>
      </c>
      <c r="Q2271" s="5">
        <v>272</v>
      </c>
      <c r="R2271" s="5">
        <v>14</v>
      </c>
      <c r="S2271" s="5">
        <v>268</v>
      </c>
    </row>
    <row r="2272" spans="1:19" ht="70" x14ac:dyDescent="0.15">
      <c r="A2272" s="2">
        <f>HYPERLINK("https://open-school.uspishnemisto.com.ua/school/120698/", 120698)</f>
        <v>120698</v>
      </c>
      <c r="B2272" s="3" t="s">
        <v>12041</v>
      </c>
      <c r="C2272" s="3" t="s">
        <v>54</v>
      </c>
      <c r="D2272" s="3" t="s">
        <v>175</v>
      </c>
      <c r="E2272" s="4" t="s">
        <v>22</v>
      </c>
      <c r="F2272" s="4" t="s">
        <v>12042</v>
      </c>
      <c r="G2272" s="4" t="s">
        <v>12043</v>
      </c>
      <c r="H2272" s="3" t="s">
        <v>8487</v>
      </c>
      <c r="I2272" s="3" t="s">
        <v>12044</v>
      </c>
      <c r="J2272" s="3" t="s">
        <v>12045</v>
      </c>
      <c r="K2272" s="3" t="s">
        <v>12046</v>
      </c>
      <c r="L2272" s="3" t="s">
        <v>12047</v>
      </c>
      <c r="M2272" s="4" t="s">
        <v>12048</v>
      </c>
      <c r="N2272" s="3" t="s">
        <v>37</v>
      </c>
      <c r="O2272" s="3" t="s">
        <v>38</v>
      </c>
      <c r="P2272" s="5">
        <v>9</v>
      </c>
      <c r="Q2272" s="5">
        <v>125</v>
      </c>
      <c r="R2272" s="5">
        <v>9</v>
      </c>
      <c r="S2272" s="5">
        <v>110</v>
      </c>
    </row>
    <row r="2273" spans="1:19" ht="28" x14ac:dyDescent="0.15">
      <c r="A2273" s="2">
        <f>HYPERLINK("https://open-school.uspishnemisto.com.ua/school/120699/", 120699)</f>
        <v>120699</v>
      </c>
      <c r="B2273" s="3" t="s">
        <v>12049</v>
      </c>
      <c r="C2273" s="3" t="s">
        <v>20</v>
      </c>
      <c r="D2273" s="3" t="s">
        <v>21</v>
      </c>
      <c r="E2273" s="4" t="s">
        <v>22</v>
      </c>
      <c r="F2273" s="4" t="s">
        <v>12050</v>
      </c>
      <c r="G2273" s="4" t="s">
        <v>12043</v>
      </c>
      <c r="H2273" s="3" t="s">
        <v>8487</v>
      </c>
      <c r="I2273" s="3" t="s">
        <v>12044</v>
      </c>
      <c r="J2273" s="3" t="s">
        <v>2745</v>
      </c>
      <c r="K2273" s="3" t="s">
        <v>12051</v>
      </c>
      <c r="L2273" s="3"/>
      <c r="M2273" s="4"/>
      <c r="N2273" s="3"/>
      <c r="O2273" s="3"/>
      <c r="P2273" s="5">
        <v>0</v>
      </c>
      <c r="Q2273" s="5">
        <v>0</v>
      </c>
      <c r="R2273" s="5"/>
      <c r="S2273" s="5"/>
    </row>
    <row r="2274" spans="1:19" ht="28" x14ac:dyDescent="0.15">
      <c r="A2274" s="2">
        <f>HYPERLINK("https://open-school.uspishnemisto.com.ua/school/120700/", 120700)</f>
        <v>120700</v>
      </c>
      <c r="B2274" s="3" t="s">
        <v>12052</v>
      </c>
      <c r="C2274" s="3" t="s">
        <v>31</v>
      </c>
      <c r="D2274" s="3" t="s">
        <v>32</v>
      </c>
      <c r="E2274" s="4" t="s">
        <v>22</v>
      </c>
      <c r="F2274" s="4" t="s">
        <v>12053</v>
      </c>
      <c r="G2274" s="4" t="s">
        <v>12043</v>
      </c>
      <c r="H2274" s="3" t="s">
        <v>8487</v>
      </c>
      <c r="I2274" s="3" t="s">
        <v>12044</v>
      </c>
      <c r="J2274" s="3" t="s">
        <v>12054</v>
      </c>
      <c r="K2274" s="3" t="s">
        <v>12055</v>
      </c>
      <c r="L2274" s="3" t="s">
        <v>12056</v>
      </c>
      <c r="M2274" s="4"/>
      <c r="N2274" s="3" t="s">
        <v>37</v>
      </c>
      <c r="O2274" s="3" t="s">
        <v>721</v>
      </c>
      <c r="P2274" s="5">
        <v>24</v>
      </c>
      <c r="Q2274" s="5">
        <v>510</v>
      </c>
      <c r="R2274" s="5">
        <v>23</v>
      </c>
      <c r="S2274" s="5">
        <v>502</v>
      </c>
    </row>
    <row r="2275" spans="1:19" ht="28" x14ac:dyDescent="0.15">
      <c r="A2275" s="2">
        <f>HYPERLINK("https://open-school.uspishnemisto.com.ua/school/120701/", 120701)</f>
        <v>120701</v>
      </c>
      <c r="B2275" s="3" t="s">
        <v>12057</v>
      </c>
      <c r="C2275" s="3" t="s">
        <v>31</v>
      </c>
      <c r="D2275" s="3" t="s">
        <v>32</v>
      </c>
      <c r="E2275" s="4" t="s">
        <v>22</v>
      </c>
      <c r="F2275" s="4" t="s">
        <v>12050</v>
      </c>
      <c r="G2275" s="4" t="s">
        <v>12043</v>
      </c>
      <c r="H2275" s="3" t="s">
        <v>8487</v>
      </c>
      <c r="I2275" s="3" t="s">
        <v>12044</v>
      </c>
      <c r="J2275" s="3" t="s">
        <v>12058</v>
      </c>
      <c r="K2275" s="3" t="s">
        <v>12059</v>
      </c>
      <c r="L2275" s="3" t="s">
        <v>12060</v>
      </c>
      <c r="M2275" s="4"/>
      <c r="N2275" s="3" t="s">
        <v>37</v>
      </c>
      <c r="O2275" s="3" t="s">
        <v>38</v>
      </c>
      <c r="P2275" s="5">
        <v>16</v>
      </c>
      <c r="Q2275" s="5">
        <v>309</v>
      </c>
      <c r="R2275" s="5">
        <v>18</v>
      </c>
      <c r="S2275" s="5">
        <v>312</v>
      </c>
    </row>
    <row r="2276" spans="1:19" ht="28" x14ac:dyDescent="0.15">
      <c r="A2276" s="2">
        <f>HYPERLINK("https://open-school.uspishnemisto.com.ua/school/120702/", 120702)</f>
        <v>120702</v>
      </c>
      <c r="B2276" s="3" t="s">
        <v>12061</v>
      </c>
      <c r="C2276" s="3" t="s">
        <v>54</v>
      </c>
      <c r="D2276" s="3" t="s">
        <v>175</v>
      </c>
      <c r="E2276" s="4" t="s">
        <v>22</v>
      </c>
      <c r="F2276" s="4" t="s">
        <v>12053</v>
      </c>
      <c r="G2276" s="4" t="s">
        <v>12062</v>
      </c>
      <c r="H2276" s="3" t="s">
        <v>8487</v>
      </c>
      <c r="I2276" s="3" t="s">
        <v>12063</v>
      </c>
      <c r="J2276" s="3" t="s">
        <v>12064</v>
      </c>
      <c r="K2276" s="3" t="s">
        <v>12065</v>
      </c>
      <c r="L2276" s="3" t="s">
        <v>12066</v>
      </c>
      <c r="M2276" s="4"/>
      <c r="N2276" s="3" t="s">
        <v>37</v>
      </c>
      <c r="O2276" s="3" t="s">
        <v>38</v>
      </c>
      <c r="P2276" s="5">
        <v>8</v>
      </c>
      <c r="Q2276" s="5">
        <v>71</v>
      </c>
      <c r="R2276" s="5">
        <v>9</v>
      </c>
      <c r="S2276" s="5">
        <v>72</v>
      </c>
    </row>
    <row r="2277" spans="1:19" ht="42" x14ac:dyDescent="0.15">
      <c r="A2277" s="2">
        <f>HYPERLINK("https://open-school.uspishnemisto.com.ua/school/120703/", 120703)</f>
        <v>120703</v>
      </c>
      <c r="B2277" s="3" t="s">
        <v>12067</v>
      </c>
      <c r="C2277" s="3" t="s">
        <v>31</v>
      </c>
      <c r="D2277" s="3" t="s">
        <v>32</v>
      </c>
      <c r="E2277" s="4" t="s">
        <v>22</v>
      </c>
      <c r="F2277" s="4" t="s">
        <v>12068</v>
      </c>
      <c r="G2277" s="4" t="s">
        <v>12069</v>
      </c>
      <c r="H2277" s="3" t="s">
        <v>8487</v>
      </c>
      <c r="I2277" s="3" t="s">
        <v>12070</v>
      </c>
      <c r="J2277" s="3" t="s">
        <v>10707</v>
      </c>
      <c r="K2277" s="3" t="s">
        <v>12071</v>
      </c>
      <c r="L2277" s="3" t="s">
        <v>12072</v>
      </c>
      <c r="M2277" s="4"/>
      <c r="N2277" s="3" t="s">
        <v>37</v>
      </c>
      <c r="O2277" s="3" t="s">
        <v>38</v>
      </c>
      <c r="P2277" s="5">
        <v>22</v>
      </c>
      <c r="Q2277" s="5">
        <v>477</v>
      </c>
      <c r="R2277" s="5">
        <v>23</v>
      </c>
      <c r="S2277" s="5">
        <v>488</v>
      </c>
    </row>
    <row r="2278" spans="1:19" ht="28" x14ac:dyDescent="0.15">
      <c r="A2278" s="2">
        <f>HYPERLINK("https://open-school.uspishnemisto.com.ua/school/120704/", 120704)</f>
        <v>120704</v>
      </c>
      <c r="B2278" s="3" t="s">
        <v>12073</v>
      </c>
      <c r="C2278" s="3" t="s">
        <v>31</v>
      </c>
      <c r="D2278" s="3" t="s">
        <v>32</v>
      </c>
      <c r="E2278" s="4" t="s">
        <v>22</v>
      </c>
      <c r="F2278" s="4" t="s">
        <v>12074</v>
      </c>
      <c r="G2278" s="4" t="s">
        <v>12075</v>
      </c>
      <c r="H2278" s="3" t="s">
        <v>8487</v>
      </c>
      <c r="I2278" s="3" t="s">
        <v>12076</v>
      </c>
      <c r="J2278" s="3" t="s">
        <v>12077</v>
      </c>
      <c r="K2278" s="3" t="s">
        <v>12078</v>
      </c>
      <c r="L2278" s="3" t="s">
        <v>12079</v>
      </c>
      <c r="M2278" s="4"/>
      <c r="N2278" s="3" t="s">
        <v>37</v>
      </c>
      <c r="O2278" s="3" t="s">
        <v>38</v>
      </c>
      <c r="P2278" s="5">
        <v>10</v>
      </c>
      <c r="Q2278" s="5">
        <v>150</v>
      </c>
      <c r="R2278" s="5">
        <v>11</v>
      </c>
      <c r="S2278" s="5">
        <v>158</v>
      </c>
    </row>
    <row r="2279" spans="1:19" ht="28" x14ac:dyDescent="0.15">
      <c r="A2279" s="2">
        <f>HYPERLINK("https://open-school.uspishnemisto.com.ua/school/120705/", 120705)</f>
        <v>120705</v>
      </c>
      <c r="B2279" s="3" t="s">
        <v>12080</v>
      </c>
      <c r="C2279" s="3" t="s">
        <v>31</v>
      </c>
      <c r="D2279" s="3" t="s">
        <v>32</v>
      </c>
      <c r="E2279" s="4" t="s">
        <v>22</v>
      </c>
      <c r="F2279" s="4" t="s">
        <v>12081</v>
      </c>
      <c r="G2279" s="4" t="s">
        <v>12075</v>
      </c>
      <c r="H2279" s="3" t="s">
        <v>8487</v>
      </c>
      <c r="I2279" s="3" t="s">
        <v>12076</v>
      </c>
      <c r="J2279" s="3" t="s">
        <v>1576</v>
      </c>
      <c r="K2279" s="3" t="s">
        <v>12082</v>
      </c>
      <c r="L2279" s="3" t="s">
        <v>12083</v>
      </c>
      <c r="M2279" s="4"/>
      <c r="N2279" s="3" t="s">
        <v>37</v>
      </c>
      <c r="O2279" s="3" t="s">
        <v>38</v>
      </c>
      <c r="P2279" s="5">
        <v>19</v>
      </c>
      <c r="Q2279" s="5">
        <v>380</v>
      </c>
      <c r="R2279" s="5">
        <v>19</v>
      </c>
      <c r="S2279" s="5">
        <v>371</v>
      </c>
    </row>
    <row r="2280" spans="1:19" ht="42" x14ac:dyDescent="0.15">
      <c r="A2280" s="2">
        <f>HYPERLINK("https://open-school.uspishnemisto.com.ua/school/120706/", 120706)</f>
        <v>120706</v>
      </c>
      <c r="B2280" s="3" t="s">
        <v>12084</v>
      </c>
      <c r="C2280" s="3" t="s">
        <v>54</v>
      </c>
      <c r="D2280" s="3" t="s">
        <v>175</v>
      </c>
      <c r="E2280" s="4" t="s">
        <v>22</v>
      </c>
      <c r="F2280" s="4" t="s">
        <v>12085</v>
      </c>
      <c r="G2280" s="4" t="s">
        <v>12086</v>
      </c>
      <c r="H2280" s="3" t="s">
        <v>8487</v>
      </c>
      <c r="I2280" s="3" t="s">
        <v>12087</v>
      </c>
      <c r="J2280" s="3" t="s">
        <v>817</v>
      </c>
      <c r="K2280" s="3" t="s">
        <v>12088</v>
      </c>
      <c r="L2280" s="3" t="s">
        <v>12089</v>
      </c>
      <c r="M2280" s="4"/>
      <c r="N2280" s="3" t="s">
        <v>37</v>
      </c>
      <c r="O2280" s="3" t="s">
        <v>38</v>
      </c>
      <c r="P2280" s="5">
        <v>3</v>
      </c>
      <c r="Q2280" s="5">
        <v>34</v>
      </c>
      <c r="R2280" s="5">
        <v>3</v>
      </c>
      <c r="S2280" s="5">
        <v>28</v>
      </c>
    </row>
    <row r="2281" spans="1:19" ht="28" x14ac:dyDescent="0.15">
      <c r="A2281" s="2">
        <f>HYPERLINK("https://open-school.uspishnemisto.com.ua/school/120707/", 120707)</f>
        <v>120707</v>
      </c>
      <c r="B2281" s="3" t="s">
        <v>12090</v>
      </c>
      <c r="C2281" s="3" t="s">
        <v>31</v>
      </c>
      <c r="D2281" s="3" t="s">
        <v>32</v>
      </c>
      <c r="E2281" s="4" t="s">
        <v>22</v>
      </c>
      <c r="F2281" s="4" t="s">
        <v>12091</v>
      </c>
      <c r="G2281" s="4" t="s">
        <v>12092</v>
      </c>
      <c r="H2281" s="3" t="s">
        <v>8487</v>
      </c>
      <c r="I2281" s="3" t="s">
        <v>12093</v>
      </c>
      <c r="J2281" s="3" t="s">
        <v>12094</v>
      </c>
      <c r="K2281" s="3"/>
      <c r="L2281" s="3" t="s">
        <v>12095</v>
      </c>
      <c r="M2281" s="4"/>
      <c r="N2281" s="3" t="s">
        <v>37</v>
      </c>
      <c r="O2281" s="3" t="s">
        <v>38</v>
      </c>
      <c r="P2281" s="5">
        <v>17</v>
      </c>
      <c r="Q2281" s="5">
        <v>354</v>
      </c>
      <c r="R2281" s="5">
        <v>17</v>
      </c>
      <c r="S2281" s="5">
        <v>332</v>
      </c>
    </row>
    <row r="2282" spans="1:19" ht="28" x14ac:dyDescent="0.15">
      <c r="A2282" s="2">
        <f>HYPERLINK("https://open-school.uspishnemisto.com.ua/school/120708/", 120708)</f>
        <v>120708</v>
      </c>
      <c r="B2282" s="3" t="s">
        <v>12096</v>
      </c>
      <c r="C2282" s="3" t="s">
        <v>31</v>
      </c>
      <c r="D2282" s="3" t="s">
        <v>32</v>
      </c>
      <c r="E2282" s="4" t="s">
        <v>22</v>
      </c>
      <c r="F2282" s="4" t="s">
        <v>12097</v>
      </c>
      <c r="G2282" s="4" t="s">
        <v>12098</v>
      </c>
      <c r="H2282" s="3" t="s">
        <v>8487</v>
      </c>
      <c r="I2282" s="3" t="s">
        <v>12099</v>
      </c>
      <c r="J2282" s="3" t="s">
        <v>12100</v>
      </c>
      <c r="K2282" s="3" t="s">
        <v>12101</v>
      </c>
      <c r="L2282" s="3" t="s">
        <v>12102</v>
      </c>
      <c r="M2282" s="4"/>
      <c r="N2282" s="3" t="s">
        <v>37</v>
      </c>
      <c r="O2282" s="3" t="s">
        <v>8542</v>
      </c>
      <c r="P2282" s="5">
        <v>19</v>
      </c>
      <c r="Q2282" s="5">
        <v>432</v>
      </c>
      <c r="R2282" s="5">
        <v>20</v>
      </c>
      <c r="S2282" s="5">
        <v>424</v>
      </c>
    </row>
    <row r="2283" spans="1:19" ht="28" x14ac:dyDescent="0.15">
      <c r="A2283" s="2">
        <f>HYPERLINK("https://open-school.uspishnemisto.com.ua/school/120709/", 120709)</f>
        <v>120709</v>
      </c>
      <c r="B2283" s="3" t="s">
        <v>12103</v>
      </c>
      <c r="C2283" s="3" t="s">
        <v>54</v>
      </c>
      <c r="D2283" s="3" t="s">
        <v>32</v>
      </c>
      <c r="E2283" s="4" t="s">
        <v>22</v>
      </c>
      <c r="F2283" s="4" t="s">
        <v>12104</v>
      </c>
      <c r="G2283" s="4" t="s">
        <v>12105</v>
      </c>
      <c r="H2283" s="3" t="s">
        <v>8487</v>
      </c>
      <c r="I2283" s="3" t="s">
        <v>12106</v>
      </c>
      <c r="J2283" s="3" t="s">
        <v>11089</v>
      </c>
      <c r="K2283" s="3" t="s">
        <v>12107</v>
      </c>
      <c r="L2283" s="3" t="s">
        <v>12108</v>
      </c>
      <c r="M2283" s="4"/>
      <c r="N2283" s="3" t="s">
        <v>37</v>
      </c>
      <c r="O2283" s="3" t="s">
        <v>52</v>
      </c>
      <c r="P2283" s="5">
        <v>11</v>
      </c>
      <c r="Q2283" s="5">
        <v>149</v>
      </c>
      <c r="R2283" s="5">
        <v>11</v>
      </c>
      <c r="S2283" s="5">
        <v>147</v>
      </c>
    </row>
    <row r="2284" spans="1:19" ht="42" x14ac:dyDescent="0.15">
      <c r="A2284" s="2">
        <f>HYPERLINK("https://open-school.uspishnemisto.com.ua/school/120710/", 120710)</f>
        <v>120710</v>
      </c>
      <c r="B2284" s="3" t="s">
        <v>12109</v>
      </c>
      <c r="C2284" s="3" t="s">
        <v>54</v>
      </c>
      <c r="D2284" s="3" t="s">
        <v>32</v>
      </c>
      <c r="E2284" s="4" t="s">
        <v>22</v>
      </c>
      <c r="F2284" s="4" t="s">
        <v>12110</v>
      </c>
      <c r="G2284" s="4" t="s">
        <v>12111</v>
      </c>
      <c r="H2284" s="3" t="s">
        <v>8487</v>
      </c>
      <c r="I2284" s="3" t="s">
        <v>1500</v>
      </c>
      <c r="J2284" s="3" t="s">
        <v>12112</v>
      </c>
      <c r="K2284" s="3" t="s">
        <v>12113</v>
      </c>
      <c r="L2284" s="3" t="s">
        <v>12114</v>
      </c>
      <c r="M2284" s="4"/>
      <c r="N2284" s="3" t="s">
        <v>37</v>
      </c>
      <c r="O2284" s="3" t="s">
        <v>38</v>
      </c>
      <c r="P2284" s="5">
        <v>8</v>
      </c>
      <c r="Q2284" s="5">
        <v>66</v>
      </c>
      <c r="R2284" s="5">
        <v>8</v>
      </c>
      <c r="S2284" s="5">
        <v>63</v>
      </c>
    </row>
    <row r="2285" spans="1:19" ht="28" x14ac:dyDescent="0.15">
      <c r="A2285" s="2">
        <f>HYPERLINK("https://open-school.uspishnemisto.com.ua/school/120711/", 120711)</f>
        <v>120711</v>
      </c>
      <c r="B2285" s="3" t="s">
        <v>12115</v>
      </c>
      <c r="C2285" s="3" t="s">
        <v>31</v>
      </c>
      <c r="D2285" s="3" t="s">
        <v>175</v>
      </c>
      <c r="E2285" s="4" t="s">
        <v>22</v>
      </c>
      <c r="F2285" s="4" t="s">
        <v>12116</v>
      </c>
      <c r="G2285" s="4" t="s">
        <v>12117</v>
      </c>
      <c r="H2285" s="3" t="s">
        <v>8487</v>
      </c>
      <c r="I2285" s="3" t="s">
        <v>4594</v>
      </c>
      <c r="J2285" s="3" t="s">
        <v>12118</v>
      </c>
      <c r="K2285" s="3" t="s">
        <v>12119</v>
      </c>
      <c r="L2285" s="3" t="s">
        <v>12120</v>
      </c>
      <c r="M2285" s="4"/>
      <c r="N2285" s="3" t="s">
        <v>37</v>
      </c>
      <c r="O2285" s="3" t="s">
        <v>38</v>
      </c>
      <c r="P2285" s="5">
        <v>3</v>
      </c>
      <c r="Q2285" s="5">
        <v>28</v>
      </c>
      <c r="R2285" s="5">
        <v>2</v>
      </c>
      <c r="S2285" s="5">
        <v>28</v>
      </c>
    </row>
    <row r="2286" spans="1:19" ht="28" x14ac:dyDescent="0.15">
      <c r="A2286" s="2">
        <f>HYPERLINK("https://open-school.uspishnemisto.com.ua/school/120712/", 120712)</f>
        <v>120712</v>
      </c>
      <c r="B2286" s="3" t="s">
        <v>12121</v>
      </c>
      <c r="C2286" s="3" t="s">
        <v>31</v>
      </c>
      <c r="D2286" s="3" t="s">
        <v>175</v>
      </c>
      <c r="E2286" s="4" t="s">
        <v>22</v>
      </c>
      <c r="F2286" s="4" t="s">
        <v>12122</v>
      </c>
      <c r="G2286" s="4" t="s">
        <v>12123</v>
      </c>
      <c r="H2286" s="3" t="s">
        <v>8487</v>
      </c>
      <c r="I2286" s="3" t="s">
        <v>12124</v>
      </c>
      <c r="J2286" s="3" t="s">
        <v>297</v>
      </c>
      <c r="K2286" s="3" t="s">
        <v>12125</v>
      </c>
      <c r="L2286" s="3"/>
      <c r="M2286" s="4"/>
      <c r="N2286" s="3" t="s">
        <v>37</v>
      </c>
      <c r="O2286" s="3" t="s">
        <v>38</v>
      </c>
      <c r="P2286" s="5">
        <v>2</v>
      </c>
      <c r="Q2286" s="5">
        <v>28</v>
      </c>
      <c r="R2286" s="5">
        <v>3</v>
      </c>
      <c r="S2286" s="5">
        <v>31</v>
      </c>
    </row>
    <row r="2287" spans="1:19" ht="42" x14ac:dyDescent="0.15">
      <c r="A2287" s="2">
        <f>HYPERLINK("https://open-school.uspishnemisto.com.ua/school/120713/", 120713)</f>
        <v>120713</v>
      </c>
      <c r="B2287" s="3" t="s">
        <v>12126</v>
      </c>
      <c r="C2287" s="3" t="s">
        <v>54</v>
      </c>
      <c r="D2287" s="3" t="s">
        <v>32</v>
      </c>
      <c r="E2287" s="4" t="s">
        <v>22</v>
      </c>
      <c r="F2287" s="4" t="s">
        <v>12127</v>
      </c>
      <c r="G2287" s="4" t="s">
        <v>12128</v>
      </c>
      <c r="H2287" s="3" t="s">
        <v>8487</v>
      </c>
      <c r="I2287" s="3" t="s">
        <v>10822</v>
      </c>
      <c r="J2287" s="3" t="s">
        <v>634</v>
      </c>
      <c r="K2287" s="3" t="s">
        <v>12129</v>
      </c>
      <c r="L2287" s="3" t="s">
        <v>12130</v>
      </c>
      <c r="M2287" s="4"/>
      <c r="N2287" s="3" t="s">
        <v>37</v>
      </c>
      <c r="O2287" s="3" t="s">
        <v>52</v>
      </c>
      <c r="P2287" s="5">
        <v>11</v>
      </c>
      <c r="Q2287" s="5">
        <v>198</v>
      </c>
      <c r="R2287" s="5">
        <v>11</v>
      </c>
      <c r="S2287" s="5">
        <v>189</v>
      </c>
    </row>
    <row r="2288" spans="1:19" ht="42" x14ac:dyDescent="0.15">
      <c r="A2288" s="2">
        <f>HYPERLINK("https://open-school.uspishnemisto.com.ua/school/120714/", 120714)</f>
        <v>120714</v>
      </c>
      <c r="B2288" s="3" t="s">
        <v>12131</v>
      </c>
      <c r="C2288" s="3" t="s">
        <v>54</v>
      </c>
      <c r="D2288" s="3" t="s">
        <v>32</v>
      </c>
      <c r="E2288" s="4" t="s">
        <v>22</v>
      </c>
      <c r="F2288" s="4" t="s">
        <v>12132</v>
      </c>
      <c r="G2288" s="4" t="s">
        <v>12133</v>
      </c>
      <c r="H2288" s="3" t="s">
        <v>8487</v>
      </c>
      <c r="I2288" s="3" t="s">
        <v>12134</v>
      </c>
      <c r="J2288" s="3" t="s">
        <v>12135</v>
      </c>
      <c r="K2288" s="3" t="s">
        <v>12136</v>
      </c>
      <c r="L2288" s="3" t="s">
        <v>12137</v>
      </c>
      <c r="M2288" s="4"/>
      <c r="N2288" s="3" t="s">
        <v>37</v>
      </c>
      <c r="O2288" s="3" t="s">
        <v>38</v>
      </c>
      <c r="P2288" s="5">
        <v>7</v>
      </c>
      <c r="Q2288" s="5">
        <v>58</v>
      </c>
      <c r="R2288" s="5">
        <v>8</v>
      </c>
      <c r="S2288" s="5">
        <v>51</v>
      </c>
    </row>
    <row r="2289" spans="1:19" ht="28" x14ac:dyDescent="0.15">
      <c r="A2289" s="2">
        <f>HYPERLINK("https://open-school.uspishnemisto.com.ua/school/120715/", 120715)</f>
        <v>120715</v>
      </c>
      <c r="B2289" s="3" t="s">
        <v>12138</v>
      </c>
      <c r="C2289" s="3" t="s">
        <v>31</v>
      </c>
      <c r="D2289" s="3" t="s">
        <v>175</v>
      </c>
      <c r="E2289" s="4" t="s">
        <v>22</v>
      </c>
      <c r="F2289" s="4" t="s">
        <v>12139</v>
      </c>
      <c r="G2289" s="4" t="s">
        <v>12140</v>
      </c>
      <c r="H2289" s="3" t="s">
        <v>8487</v>
      </c>
      <c r="I2289" s="3" t="s">
        <v>12141</v>
      </c>
      <c r="J2289" s="3" t="s">
        <v>12142</v>
      </c>
      <c r="K2289" s="3" t="s">
        <v>12143</v>
      </c>
      <c r="L2289" s="3" t="s">
        <v>12144</v>
      </c>
      <c r="M2289" s="4"/>
      <c r="N2289" s="3" t="s">
        <v>37</v>
      </c>
      <c r="O2289" s="3" t="s">
        <v>38</v>
      </c>
      <c r="P2289" s="5">
        <v>9</v>
      </c>
      <c r="Q2289" s="5">
        <v>109</v>
      </c>
      <c r="R2289" s="5">
        <v>9</v>
      </c>
      <c r="S2289" s="5">
        <v>102</v>
      </c>
    </row>
    <row r="2290" spans="1:19" ht="28" x14ac:dyDescent="0.15">
      <c r="A2290" s="2">
        <f>HYPERLINK("https://open-school.uspishnemisto.com.ua/school/120716/", 120716)</f>
        <v>120716</v>
      </c>
      <c r="B2290" s="3" t="s">
        <v>12145</v>
      </c>
      <c r="C2290" s="3" t="s">
        <v>31</v>
      </c>
      <c r="D2290" s="3" t="s">
        <v>32</v>
      </c>
      <c r="E2290" s="4" t="s">
        <v>22</v>
      </c>
      <c r="F2290" s="4" t="s">
        <v>12139</v>
      </c>
      <c r="G2290" s="4" t="s">
        <v>12140</v>
      </c>
      <c r="H2290" s="3" t="s">
        <v>8487</v>
      </c>
      <c r="I2290" s="3" t="s">
        <v>12141</v>
      </c>
      <c r="J2290" s="3" t="s">
        <v>12146</v>
      </c>
      <c r="K2290" s="3" t="s">
        <v>12147</v>
      </c>
      <c r="L2290" s="3" t="s">
        <v>12148</v>
      </c>
      <c r="M2290" s="4"/>
      <c r="N2290" s="3" t="s">
        <v>37</v>
      </c>
      <c r="O2290" s="3" t="s">
        <v>38</v>
      </c>
      <c r="P2290" s="5">
        <v>13</v>
      </c>
      <c r="Q2290" s="5">
        <v>228</v>
      </c>
      <c r="R2290" s="5">
        <v>13</v>
      </c>
      <c r="S2290" s="5">
        <v>225</v>
      </c>
    </row>
    <row r="2291" spans="1:19" ht="28" x14ac:dyDescent="0.15">
      <c r="A2291" s="2">
        <f>HYPERLINK("https://open-school.uspishnemisto.com.ua/school/120717/", 120717)</f>
        <v>120717</v>
      </c>
      <c r="B2291" s="3" t="s">
        <v>12149</v>
      </c>
      <c r="C2291" s="3" t="s">
        <v>31</v>
      </c>
      <c r="D2291" s="3" t="s">
        <v>32</v>
      </c>
      <c r="E2291" s="4" t="s">
        <v>22</v>
      </c>
      <c r="F2291" s="4" t="s">
        <v>12150</v>
      </c>
      <c r="G2291" s="4" t="s">
        <v>12151</v>
      </c>
      <c r="H2291" s="3" t="s">
        <v>8487</v>
      </c>
      <c r="I2291" s="3" t="s">
        <v>3145</v>
      </c>
      <c r="J2291" s="3" t="s">
        <v>3393</v>
      </c>
      <c r="K2291" s="3" t="s">
        <v>12152</v>
      </c>
      <c r="L2291" s="3" t="s">
        <v>12153</v>
      </c>
      <c r="M2291" s="4"/>
      <c r="N2291" s="3" t="s">
        <v>37</v>
      </c>
      <c r="O2291" s="3" t="s">
        <v>38</v>
      </c>
      <c r="P2291" s="5">
        <v>10</v>
      </c>
      <c r="Q2291" s="5">
        <v>139</v>
      </c>
      <c r="R2291" s="5">
        <v>9</v>
      </c>
      <c r="S2291" s="5">
        <v>136</v>
      </c>
    </row>
    <row r="2292" spans="1:19" ht="28" x14ac:dyDescent="0.15">
      <c r="A2292" s="2">
        <f>HYPERLINK("https://open-school.uspishnemisto.com.ua/school/120718/", 120718)</f>
        <v>120718</v>
      </c>
      <c r="B2292" s="3" t="s">
        <v>12154</v>
      </c>
      <c r="C2292" s="3" t="s">
        <v>31</v>
      </c>
      <c r="D2292" s="3" t="s">
        <v>32</v>
      </c>
      <c r="E2292" s="4" t="s">
        <v>22</v>
      </c>
      <c r="F2292" s="4" t="s">
        <v>12155</v>
      </c>
      <c r="G2292" s="4" t="s">
        <v>12156</v>
      </c>
      <c r="H2292" s="3" t="s">
        <v>8487</v>
      </c>
      <c r="I2292" s="3" t="s">
        <v>12157</v>
      </c>
      <c r="J2292" s="3" t="s">
        <v>12158</v>
      </c>
      <c r="K2292" s="3" t="s">
        <v>12159</v>
      </c>
      <c r="L2292" s="3" t="s">
        <v>12160</v>
      </c>
      <c r="M2292" s="4"/>
      <c r="N2292" s="3" t="s">
        <v>37</v>
      </c>
      <c r="O2292" s="3" t="s">
        <v>38</v>
      </c>
      <c r="P2292" s="5">
        <v>11</v>
      </c>
      <c r="Q2292" s="5">
        <v>161</v>
      </c>
      <c r="R2292" s="5">
        <v>11</v>
      </c>
      <c r="S2292" s="5">
        <v>152</v>
      </c>
    </row>
    <row r="2293" spans="1:19" ht="56" x14ac:dyDescent="0.15">
      <c r="A2293" s="2">
        <f>HYPERLINK("https://open-school.uspishnemisto.com.ua/school/120719/", 120719)</f>
        <v>120719</v>
      </c>
      <c r="B2293" s="3" t="s">
        <v>12161</v>
      </c>
      <c r="C2293" s="3" t="s">
        <v>54</v>
      </c>
      <c r="D2293" s="3" t="s">
        <v>32</v>
      </c>
      <c r="E2293" s="4" t="s">
        <v>22</v>
      </c>
      <c r="F2293" s="4" t="s">
        <v>12162</v>
      </c>
      <c r="G2293" s="4" t="s">
        <v>12156</v>
      </c>
      <c r="H2293" s="3" t="s">
        <v>8487</v>
      </c>
      <c r="I2293" s="3" t="s">
        <v>12157</v>
      </c>
      <c r="J2293" s="3" t="s">
        <v>12163</v>
      </c>
      <c r="K2293" s="3" t="s">
        <v>6158</v>
      </c>
      <c r="L2293" s="3" t="s">
        <v>12164</v>
      </c>
      <c r="M2293" s="4"/>
      <c r="N2293" s="3" t="s">
        <v>37</v>
      </c>
      <c r="O2293" s="3" t="s">
        <v>38</v>
      </c>
      <c r="P2293" s="5">
        <v>20</v>
      </c>
      <c r="Q2293" s="5">
        <v>432</v>
      </c>
      <c r="R2293" s="5">
        <v>20</v>
      </c>
      <c r="S2293" s="5">
        <v>405</v>
      </c>
    </row>
    <row r="2294" spans="1:19" ht="28" x14ac:dyDescent="0.15">
      <c r="A2294" s="2">
        <f>HYPERLINK("https://open-school.uspishnemisto.com.ua/school/120720/", 120720)</f>
        <v>120720</v>
      </c>
      <c r="B2294" s="3" t="s">
        <v>12165</v>
      </c>
      <c r="C2294" s="3" t="s">
        <v>54</v>
      </c>
      <c r="D2294" s="3" t="s">
        <v>60</v>
      </c>
      <c r="E2294" s="4" t="s">
        <v>22</v>
      </c>
      <c r="F2294" s="4" t="s">
        <v>12166</v>
      </c>
      <c r="G2294" s="4" t="s">
        <v>12167</v>
      </c>
      <c r="H2294" s="3" t="s">
        <v>8487</v>
      </c>
      <c r="I2294" s="3" t="s">
        <v>12168</v>
      </c>
      <c r="J2294" s="3" t="s">
        <v>12169</v>
      </c>
      <c r="K2294" s="3" t="s">
        <v>12170</v>
      </c>
      <c r="L2294" s="3"/>
      <c r="M2294" s="4"/>
      <c r="N2294" s="3" t="s">
        <v>37</v>
      </c>
      <c r="O2294" s="3" t="s">
        <v>52</v>
      </c>
      <c r="P2294" s="5">
        <v>4</v>
      </c>
      <c r="Q2294" s="5">
        <v>30</v>
      </c>
      <c r="R2294" s="5">
        <v>3</v>
      </c>
      <c r="S2294" s="5">
        <v>31</v>
      </c>
    </row>
    <row r="2295" spans="1:19" ht="28" x14ac:dyDescent="0.15">
      <c r="A2295" s="2">
        <f>HYPERLINK("https://open-school.uspishnemisto.com.ua/school/120721/", 120721)</f>
        <v>120721</v>
      </c>
      <c r="B2295" s="3" t="s">
        <v>12171</v>
      </c>
      <c r="C2295" s="3" t="s">
        <v>31</v>
      </c>
      <c r="D2295" s="3" t="s">
        <v>32</v>
      </c>
      <c r="E2295" s="4" t="s">
        <v>22</v>
      </c>
      <c r="F2295" s="4" t="s">
        <v>12172</v>
      </c>
      <c r="G2295" s="4" t="s">
        <v>12173</v>
      </c>
      <c r="H2295" s="3" t="s">
        <v>8487</v>
      </c>
      <c r="I2295" s="3" t="s">
        <v>12174</v>
      </c>
      <c r="J2295" s="3" t="s">
        <v>12175</v>
      </c>
      <c r="K2295" s="3"/>
      <c r="L2295" s="3" t="s">
        <v>12176</v>
      </c>
      <c r="M2295" s="4"/>
      <c r="N2295" s="3" t="s">
        <v>37</v>
      </c>
      <c r="O2295" s="3" t="s">
        <v>38</v>
      </c>
      <c r="P2295" s="5">
        <v>10</v>
      </c>
      <c r="Q2295" s="5">
        <v>130</v>
      </c>
      <c r="R2295" s="5">
        <v>11</v>
      </c>
      <c r="S2295" s="5">
        <v>133</v>
      </c>
    </row>
    <row r="2296" spans="1:19" ht="28" x14ac:dyDescent="0.15">
      <c r="A2296" s="2">
        <f>HYPERLINK("https://open-school.uspishnemisto.com.ua/school/120722/", 120722)</f>
        <v>120722</v>
      </c>
      <c r="B2296" s="3" t="s">
        <v>12177</v>
      </c>
      <c r="C2296" s="3" t="s">
        <v>31</v>
      </c>
      <c r="D2296" s="3" t="s">
        <v>32</v>
      </c>
      <c r="E2296" s="4" t="s">
        <v>22</v>
      </c>
      <c r="F2296" s="4" t="s">
        <v>12178</v>
      </c>
      <c r="G2296" s="4" t="s">
        <v>12179</v>
      </c>
      <c r="H2296" s="3" t="s">
        <v>8487</v>
      </c>
      <c r="I2296" s="3" t="s">
        <v>440</v>
      </c>
      <c r="J2296" s="3" t="s">
        <v>3173</v>
      </c>
      <c r="K2296" s="3" t="s">
        <v>12180</v>
      </c>
      <c r="L2296" s="3" t="s">
        <v>12181</v>
      </c>
      <c r="M2296" s="4"/>
      <c r="N2296" s="3" t="s">
        <v>37</v>
      </c>
      <c r="O2296" s="3" t="s">
        <v>38</v>
      </c>
      <c r="P2296" s="5">
        <v>11</v>
      </c>
      <c r="Q2296" s="5">
        <v>119</v>
      </c>
      <c r="R2296" s="5">
        <v>11</v>
      </c>
      <c r="S2296" s="5">
        <v>120</v>
      </c>
    </row>
    <row r="2297" spans="1:19" ht="56" x14ac:dyDescent="0.15">
      <c r="A2297" s="2">
        <f>HYPERLINK("https://open-school.uspishnemisto.com.ua/school/120723/", 120723)</f>
        <v>120723</v>
      </c>
      <c r="B2297" s="3" t="s">
        <v>12182</v>
      </c>
      <c r="C2297" s="3" t="s">
        <v>54</v>
      </c>
      <c r="D2297" s="3" t="s">
        <v>175</v>
      </c>
      <c r="E2297" s="4" t="s">
        <v>22</v>
      </c>
      <c r="F2297" s="4" t="s">
        <v>12183</v>
      </c>
      <c r="G2297" s="4" t="s">
        <v>12184</v>
      </c>
      <c r="H2297" s="3" t="s">
        <v>8487</v>
      </c>
      <c r="I2297" s="3" t="s">
        <v>688</v>
      </c>
      <c r="J2297" s="3" t="s">
        <v>11336</v>
      </c>
      <c r="K2297" s="3" t="s">
        <v>12185</v>
      </c>
      <c r="L2297" s="3" t="s">
        <v>12186</v>
      </c>
      <c r="M2297" s="4"/>
      <c r="N2297" s="3" t="s">
        <v>37</v>
      </c>
      <c r="O2297" s="3" t="s">
        <v>70</v>
      </c>
      <c r="P2297" s="5">
        <v>7</v>
      </c>
      <c r="Q2297" s="5">
        <v>71</v>
      </c>
      <c r="R2297" s="5">
        <v>8</v>
      </c>
      <c r="S2297" s="5">
        <v>84</v>
      </c>
    </row>
    <row r="2298" spans="1:19" ht="28" x14ac:dyDescent="0.15">
      <c r="A2298" s="2">
        <f>HYPERLINK("https://open-school.uspishnemisto.com.ua/school/120724/", 120724)</f>
        <v>120724</v>
      </c>
      <c r="B2298" s="3" t="s">
        <v>12187</v>
      </c>
      <c r="C2298" s="3" t="s">
        <v>31</v>
      </c>
      <c r="D2298" s="3" t="s">
        <v>32</v>
      </c>
      <c r="E2298" s="4" t="s">
        <v>22</v>
      </c>
      <c r="F2298" s="4" t="s">
        <v>12188</v>
      </c>
      <c r="G2298" s="4" t="s">
        <v>12189</v>
      </c>
      <c r="H2298" s="3" t="s">
        <v>8487</v>
      </c>
      <c r="I2298" s="3" t="s">
        <v>12190</v>
      </c>
      <c r="J2298" s="3" t="s">
        <v>12191</v>
      </c>
      <c r="K2298" s="3" t="s">
        <v>12192</v>
      </c>
      <c r="L2298" s="3" t="s">
        <v>12193</v>
      </c>
      <c r="M2298" s="4"/>
      <c r="N2298" s="3" t="s">
        <v>37</v>
      </c>
      <c r="O2298" s="3" t="s">
        <v>38</v>
      </c>
      <c r="P2298" s="5">
        <v>9</v>
      </c>
      <c r="Q2298" s="5">
        <v>72</v>
      </c>
      <c r="R2298" s="5">
        <v>9</v>
      </c>
      <c r="S2298" s="5">
        <v>63</v>
      </c>
    </row>
    <row r="2299" spans="1:19" ht="28" x14ac:dyDescent="0.15">
      <c r="A2299" s="2">
        <f>HYPERLINK("https://open-school.uspishnemisto.com.ua/school/120725/", 120725)</f>
        <v>120725</v>
      </c>
      <c r="B2299" s="3" t="s">
        <v>12194</v>
      </c>
      <c r="C2299" s="3" t="s">
        <v>31</v>
      </c>
      <c r="D2299" s="3" t="s">
        <v>32</v>
      </c>
      <c r="E2299" s="4" t="s">
        <v>22</v>
      </c>
      <c r="F2299" s="4" t="s">
        <v>12195</v>
      </c>
      <c r="G2299" s="4" t="s">
        <v>12196</v>
      </c>
      <c r="H2299" s="3" t="s">
        <v>8487</v>
      </c>
      <c r="I2299" s="3" t="s">
        <v>1740</v>
      </c>
      <c r="J2299" s="3" t="s">
        <v>466</v>
      </c>
      <c r="K2299" s="3" t="s">
        <v>12197</v>
      </c>
      <c r="L2299" s="3" t="s">
        <v>12198</v>
      </c>
      <c r="M2299" s="4"/>
      <c r="N2299" s="3" t="s">
        <v>37</v>
      </c>
      <c r="O2299" s="3" t="s">
        <v>38</v>
      </c>
      <c r="P2299" s="5">
        <v>16</v>
      </c>
      <c r="Q2299" s="5">
        <v>285</v>
      </c>
      <c r="R2299" s="5">
        <v>16</v>
      </c>
      <c r="S2299" s="5">
        <v>279</v>
      </c>
    </row>
    <row r="2300" spans="1:19" ht="28" x14ac:dyDescent="0.15">
      <c r="A2300" s="2">
        <f>HYPERLINK("https://open-school.uspishnemisto.com.ua/school/120726/", 120726)</f>
        <v>120726</v>
      </c>
      <c r="B2300" s="3" t="s">
        <v>12199</v>
      </c>
      <c r="C2300" s="3" t="s">
        <v>31</v>
      </c>
      <c r="D2300" s="3" t="s">
        <v>32</v>
      </c>
      <c r="E2300" s="4" t="s">
        <v>22</v>
      </c>
      <c r="F2300" s="4" t="s">
        <v>12200</v>
      </c>
      <c r="G2300" s="4" t="s">
        <v>12201</v>
      </c>
      <c r="H2300" s="3" t="s">
        <v>8487</v>
      </c>
      <c r="I2300" s="3" t="s">
        <v>12202</v>
      </c>
      <c r="J2300" s="3" t="s">
        <v>12203</v>
      </c>
      <c r="K2300" s="3" t="s">
        <v>12204</v>
      </c>
      <c r="L2300" s="3" t="s">
        <v>12205</v>
      </c>
      <c r="M2300" s="4"/>
      <c r="N2300" s="3" t="s">
        <v>37</v>
      </c>
      <c r="O2300" s="3" t="s">
        <v>38</v>
      </c>
      <c r="P2300" s="5">
        <v>10</v>
      </c>
      <c r="Q2300" s="5">
        <v>93</v>
      </c>
      <c r="R2300" s="5">
        <v>10</v>
      </c>
      <c r="S2300" s="5">
        <v>81</v>
      </c>
    </row>
    <row r="2301" spans="1:19" ht="42" x14ac:dyDescent="0.15">
      <c r="A2301" s="2">
        <f>HYPERLINK("https://open-school.uspishnemisto.com.ua/school/120727/", 120727)</f>
        <v>120727</v>
      </c>
      <c r="B2301" s="3" t="s">
        <v>12206</v>
      </c>
      <c r="C2301" s="3" t="s">
        <v>54</v>
      </c>
      <c r="D2301" s="3" t="s">
        <v>32</v>
      </c>
      <c r="E2301" s="4" t="s">
        <v>22</v>
      </c>
      <c r="F2301" s="4" t="s">
        <v>12207</v>
      </c>
      <c r="G2301" s="4" t="s">
        <v>12208</v>
      </c>
      <c r="H2301" s="3" t="s">
        <v>8487</v>
      </c>
      <c r="I2301" s="3" t="s">
        <v>12209</v>
      </c>
      <c r="J2301" s="3" t="s">
        <v>12210</v>
      </c>
      <c r="K2301" s="3" t="s">
        <v>12211</v>
      </c>
      <c r="L2301" s="3" t="s">
        <v>12212</v>
      </c>
      <c r="M2301" s="4"/>
      <c r="N2301" s="3" t="s">
        <v>37</v>
      </c>
      <c r="O2301" s="3" t="s">
        <v>70</v>
      </c>
      <c r="P2301" s="5">
        <v>10</v>
      </c>
      <c r="Q2301" s="5">
        <v>76</v>
      </c>
      <c r="R2301" s="5">
        <v>10</v>
      </c>
      <c r="S2301" s="5">
        <v>73</v>
      </c>
    </row>
    <row r="2302" spans="1:19" ht="42" x14ac:dyDescent="0.15">
      <c r="A2302" s="2">
        <f>HYPERLINK("https://open-school.uspishnemisto.com.ua/school/120728/", 120728)</f>
        <v>120728</v>
      </c>
      <c r="B2302" s="3" t="s">
        <v>12213</v>
      </c>
      <c r="C2302" s="3" t="s">
        <v>54</v>
      </c>
      <c r="D2302" s="3" t="s">
        <v>175</v>
      </c>
      <c r="E2302" s="4" t="s">
        <v>22</v>
      </c>
      <c r="F2302" s="4" t="s">
        <v>12214</v>
      </c>
      <c r="G2302" s="4" t="s">
        <v>12215</v>
      </c>
      <c r="H2302" s="3" t="s">
        <v>8487</v>
      </c>
      <c r="I2302" s="3" t="s">
        <v>12216</v>
      </c>
      <c r="J2302" s="3" t="s">
        <v>12217</v>
      </c>
      <c r="K2302" s="3" t="s">
        <v>12218</v>
      </c>
      <c r="L2302" s="3" t="s">
        <v>12219</v>
      </c>
      <c r="M2302" s="4"/>
      <c r="N2302" s="3" t="s">
        <v>37</v>
      </c>
      <c r="O2302" s="3" t="s">
        <v>112</v>
      </c>
      <c r="P2302" s="5">
        <v>7</v>
      </c>
      <c r="Q2302" s="5">
        <v>56</v>
      </c>
      <c r="R2302" s="5">
        <v>8</v>
      </c>
      <c r="S2302" s="5">
        <v>63</v>
      </c>
    </row>
    <row r="2303" spans="1:19" ht="56" x14ac:dyDescent="0.15">
      <c r="A2303" s="2">
        <f>HYPERLINK("https://open-school.uspishnemisto.com.ua/school/120729/", 120729)</f>
        <v>120729</v>
      </c>
      <c r="B2303" s="3" t="s">
        <v>12220</v>
      </c>
      <c r="C2303" s="3" t="s">
        <v>54</v>
      </c>
      <c r="D2303" s="3" t="s">
        <v>175</v>
      </c>
      <c r="E2303" s="4" t="s">
        <v>22</v>
      </c>
      <c r="F2303" s="4" t="s">
        <v>12221</v>
      </c>
      <c r="G2303" s="4" t="s">
        <v>12222</v>
      </c>
      <c r="H2303" s="3" t="s">
        <v>8487</v>
      </c>
      <c r="I2303" s="3" t="s">
        <v>12223</v>
      </c>
      <c r="J2303" s="3" t="s">
        <v>3525</v>
      </c>
      <c r="K2303" s="3" t="s">
        <v>12224</v>
      </c>
      <c r="L2303" s="3" t="s">
        <v>12225</v>
      </c>
      <c r="M2303" s="4"/>
      <c r="N2303" s="3" t="s">
        <v>37</v>
      </c>
      <c r="O2303" s="3" t="s">
        <v>70</v>
      </c>
      <c r="P2303" s="5">
        <v>3</v>
      </c>
      <c r="Q2303" s="5">
        <v>29</v>
      </c>
      <c r="R2303" s="5">
        <v>4</v>
      </c>
      <c r="S2303" s="5">
        <v>31</v>
      </c>
    </row>
    <row r="2304" spans="1:19" ht="42" x14ac:dyDescent="0.15">
      <c r="A2304" s="2">
        <f>HYPERLINK("https://open-school.uspishnemisto.com.ua/school/120730/", 120730)</f>
        <v>120730</v>
      </c>
      <c r="B2304" s="3" t="s">
        <v>12226</v>
      </c>
      <c r="C2304" s="3" t="s">
        <v>54</v>
      </c>
      <c r="D2304" s="3" t="s">
        <v>175</v>
      </c>
      <c r="E2304" s="4" t="s">
        <v>22</v>
      </c>
      <c r="F2304" s="4" t="s">
        <v>12227</v>
      </c>
      <c r="G2304" s="4" t="s">
        <v>12228</v>
      </c>
      <c r="H2304" s="3" t="s">
        <v>8487</v>
      </c>
      <c r="I2304" s="3" t="s">
        <v>12229</v>
      </c>
      <c r="J2304" s="3" t="s">
        <v>12230</v>
      </c>
      <c r="K2304" s="3" t="s">
        <v>12231</v>
      </c>
      <c r="L2304" s="3" t="s">
        <v>12232</v>
      </c>
      <c r="M2304" s="4"/>
      <c r="N2304" s="3" t="s">
        <v>37</v>
      </c>
      <c r="O2304" s="3" t="s">
        <v>38</v>
      </c>
      <c r="P2304" s="5">
        <v>9</v>
      </c>
      <c r="Q2304" s="5">
        <v>167</v>
      </c>
      <c r="R2304" s="5">
        <v>9</v>
      </c>
      <c r="S2304" s="5">
        <v>149</v>
      </c>
    </row>
    <row r="2305" spans="1:19" ht="28" x14ac:dyDescent="0.15">
      <c r="A2305" s="2">
        <f>HYPERLINK("https://open-school.uspishnemisto.com.ua/school/120731/", 120731)</f>
        <v>120731</v>
      </c>
      <c r="B2305" s="3" t="s">
        <v>12233</v>
      </c>
      <c r="C2305" s="3" t="s">
        <v>31</v>
      </c>
      <c r="D2305" s="3" t="s">
        <v>32</v>
      </c>
      <c r="E2305" s="4" t="s">
        <v>22</v>
      </c>
      <c r="F2305" s="4" t="s">
        <v>12227</v>
      </c>
      <c r="G2305" s="4" t="s">
        <v>12228</v>
      </c>
      <c r="H2305" s="3" t="s">
        <v>8487</v>
      </c>
      <c r="I2305" s="3" t="s">
        <v>12229</v>
      </c>
      <c r="J2305" s="3" t="s">
        <v>9390</v>
      </c>
      <c r="K2305" s="3" t="s">
        <v>12234</v>
      </c>
      <c r="L2305" s="3" t="s">
        <v>12235</v>
      </c>
      <c r="M2305" s="4"/>
      <c r="N2305" s="3" t="s">
        <v>37</v>
      </c>
      <c r="O2305" s="3" t="s">
        <v>52</v>
      </c>
      <c r="P2305" s="5">
        <v>13</v>
      </c>
      <c r="Q2305" s="5">
        <v>282</v>
      </c>
      <c r="R2305" s="5">
        <v>12</v>
      </c>
      <c r="S2305" s="5">
        <v>264</v>
      </c>
    </row>
    <row r="2306" spans="1:19" ht="28" x14ac:dyDescent="0.15">
      <c r="A2306" s="2">
        <f>HYPERLINK("https://open-school.uspishnemisto.com.ua/school/120732/", 120732)</f>
        <v>120732</v>
      </c>
      <c r="B2306" s="3" t="s">
        <v>12236</v>
      </c>
      <c r="C2306" s="3" t="s">
        <v>31</v>
      </c>
      <c r="D2306" s="3" t="s">
        <v>32</v>
      </c>
      <c r="E2306" s="4" t="s">
        <v>22</v>
      </c>
      <c r="F2306" s="4" t="s">
        <v>12237</v>
      </c>
      <c r="G2306" s="4" t="s">
        <v>12238</v>
      </c>
      <c r="H2306" s="3" t="s">
        <v>8487</v>
      </c>
      <c r="I2306" s="3" t="s">
        <v>3098</v>
      </c>
      <c r="J2306" s="3" t="s">
        <v>1348</v>
      </c>
      <c r="K2306" s="3" t="s">
        <v>12239</v>
      </c>
      <c r="L2306" s="3" t="s">
        <v>12240</v>
      </c>
      <c r="M2306" s="4"/>
      <c r="N2306" s="3" t="s">
        <v>37</v>
      </c>
      <c r="O2306" s="3" t="s">
        <v>38</v>
      </c>
      <c r="P2306" s="5">
        <v>20</v>
      </c>
      <c r="Q2306" s="5">
        <v>406</v>
      </c>
      <c r="R2306" s="5">
        <v>20</v>
      </c>
      <c r="S2306" s="5">
        <v>413</v>
      </c>
    </row>
    <row r="2307" spans="1:19" ht="28" x14ac:dyDescent="0.15">
      <c r="A2307" s="2">
        <f>HYPERLINK("https://open-school.uspishnemisto.com.ua/school/120733/", 120733)</f>
        <v>120733</v>
      </c>
      <c r="B2307" s="3" t="s">
        <v>12241</v>
      </c>
      <c r="C2307" s="3" t="s">
        <v>31</v>
      </c>
      <c r="D2307" s="3" t="s">
        <v>175</v>
      </c>
      <c r="E2307" s="4" t="s">
        <v>22</v>
      </c>
      <c r="F2307" s="4" t="s">
        <v>12242</v>
      </c>
      <c r="G2307" s="4" t="s">
        <v>12243</v>
      </c>
      <c r="H2307" s="3" t="s">
        <v>8487</v>
      </c>
      <c r="I2307" s="3" t="s">
        <v>2900</v>
      </c>
      <c r="J2307" s="3" t="s">
        <v>466</v>
      </c>
      <c r="K2307" s="3" t="s">
        <v>7048</v>
      </c>
      <c r="L2307" s="3" t="s">
        <v>12244</v>
      </c>
      <c r="M2307" s="4"/>
      <c r="N2307" s="3" t="s">
        <v>37</v>
      </c>
      <c r="O2307" s="3" t="s">
        <v>52</v>
      </c>
      <c r="P2307" s="5">
        <v>7</v>
      </c>
      <c r="Q2307" s="5">
        <v>60</v>
      </c>
      <c r="R2307" s="5">
        <v>7</v>
      </c>
      <c r="S2307" s="5">
        <v>63</v>
      </c>
    </row>
    <row r="2308" spans="1:19" ht="28" x14ac:dyDescent="0.15">
      <c r="A2308" s="2">
        <f>HYPERLINK("https://open-school.uspishnemisto.com.ua/school/120734/", 120734)</f>
        <v>120734</v>
      </c>
      <c r="B2308" s="3" t="s">
        <v>12245</v>
      </c>
      <c r="C2308" s="3" t="s">
        <v>31</v>
      </c>
      <c r="D2308" s="3" t="s">
        <v>175</v>
      </c>
      <c r="E2308" s="4" t="s">
        <v>22</v>
      </c>
      <c r="F2308" s="4" t="s">
        <v>12246</v>
      </c>
      <c r="G2308" s="4" t="s">
        <v>12247</v>
      </c>
      <c r="H2308" s="3" t="s">
        <v>8487</v>
      </c>
      <c r="I2308" s="3" t="s">
        <v>12248</v>
      </c>
      <c r="J2308" s="3" t="s">
        <v>7166</v>
      </c>
      <c r="K2308" s="3" t="s">
        <v>12249</v>
      </c>
      <c r="L2308" s="3" t="s">
        <v>12250</v>
      </c>
      <c r="M2308" s="4"/>
      <c r="N2308" s="3" t="s">
        <v>37</v>
      </c>
      <c r="O2308" s="3" t="s">
        <v>38</v>
      </c>
      <c r="P2308" s="5">
        <v>3</v>
      </c>
      <c r="Q2308" s="5">
        <v>32</v>
      </c>
      <c r="R2308" s="5">
        <v>4</v>
      </c>
      <c r="S2308" s="5">
        <v>34</v>
      </c>
    </row>
    <row r="2309" spans="1:19" ht="28" x14ac:dyDescent="0.15">
      <c r="A2309" s="2">
        <f>HYPERLINK("https://open-school.uspishnemisto.com.ua/school/120735/", 120735)</f>
        <v>120735</v>
      </c>
      <c r="B2309" s="3" t="s">
        <v>12251</v>
      </c>
      <c r="C2309" s="3" t="s">
        <v>31</v>
      </c>
      <c r="D2309" s="3" t="s">
        <v>32</v>
      </c>
      <c r="E2309" s="4" t="s">
        <v>22</v>
      </c>
      <c r="F2309" s="4" t="s">
        <v>12252</v>
      </c>
      <c r="G2309" s="4" t="s">
        <v>12253</v>
      </c>
      <c r="H2309" s="3" t="s">
        <v>8487</v>
      </c>
      <c r="I2309" s="3" t="s">
        <v>12254</v>
      </c>
      <c r="J2309" s="3" t="s">
        <v>6438</v>
      </c>
      <c r="K2309" s="3" t="s">
        <v>12255</v>
      </c>
      <c r="L2309" s="3" t="s">
        <v>12256</v>
      </c>
      <c r="M2309" s="4"/>
      <c r="N2309" s="3" t="s">
        <v>37</v>
      </c>
      <c r="O2309" s="3" t="s">
        <v>52</v>
      </c>
      <c r="P2309" s="5">
        <v>11</v>
      </c>
      <c r="Q2309" s="5">
        <v>113</v>
      </c>
      <c r="R2309" s="5">
        <v>11</v>
      </c>
      <c r="S2309" s="5">
        <v>99</v>
      </c>
    </row>
    <row r="2310" spans="1:19" ht="28" x14ac:dyDescent="0.15">
      <c r="A2310" s="2">
        <f>HYPERLINK("https://open-school.uspishnemisto.com.ua/school/120736/", 120736)</f>
        <v>120736</v>
      </c>
      <c r="B2310" s="3" t="s">
        <v>12257</v>
      </c>
      <c r="C2310" s="3" t="s">
        <v>31</v>
      </c>
      <c r="D2310" s="3" t="s">
        <v>175</v>
      </c>
      <c r="E2310" s="4" t="s">
        <v>22</v>
      </c>
      <c r="F2310" s="4" t="s">
        <v>12258</v>
      </c>
      <c r="G2310" s="4" t="s">
        <v>12259</v>
      </c>
      <c r="H2310" s="3" t="s">
        <v>8487</v>
      </c>
      <c r="I2310" s="3" t="s">
        <v>11430</v>
      </c>
      <c r="J2310" s="3" t="s">
        <v>1348</v>
      </c>
      <c r="K2310" s="3" t="s">
        <v>12260</v>
      </c>
      <c r="L2310" s="3" t="s">
        <v>12261</v>
      </c>
      <c r="M2310" s="4"/>
      <c r="N2310" s="3" t="s">
        <v>37</v>
      </c>
      <c r="O2310" s="3" t="s">
        <v>38</v>
      </c>
      <c r="P2310" s="5">
        <v>4</v>
      </c>
      <c r="Q2310" s="5">
        <v>27</v>
      </c>
      <c r="R2310" s="5">
        <v>4</v>
      </c>
      <c r="S2310" s="5">
        <v>31</v>
      </c>
    </row>
    <row r="2311" spans="1:19" ht="28" x14ac:dyDescent="0.15">
      <c r="A2311" s="2">
        <f>HYPERLINK("https://open-school.uspishnemisto.com.ua/school/120737/", 120737)</f>
        <v>120737</v>
      </c>
      <c r="B2311" s="3" t="s">
        <v>12262</v>
      </c>
      <c r="C2311" s="3" t="s">
        <v>31</v>
      </c>
      <c r="D2311" s="3" t="s">
        <v>32</v>
      </c>
      <c r="E2311" s="4" t="s">
        <v>22</v>
      </c>
      <c r="F2311" s="4" t="s">
        <v>12263</v>
      </c>
      <c r="G2311" s="4" t="s">
        <v>12264</v>
      </c>
      <c r="H2311" s="3" t="s">
        <v>8487</v>
      </c>
      <c r="I2311" s="3" t="s">
        <v>12265</v>
      </c>
      <c r="J2311" s="3" t="s">
        <v>12266</v>
      </c>
      <c r="K2311" s="3" t="s">
        <v>12267</v>
      </c>
      <c r="L2311" s="3" t="s">
        <v>12268</v>
      </c>
      <c r="M2311" s="4"/>
      <c r="N2311" s="3" t="s">
        <v>37</v>
      </c>
      <c r="O2311" s="3" t="s">
        <v>38</v>
      </c>
      <c r="P2311" s="5">
        <v>16</v>
      </c>
      <c r="Q2311" s="5">
        <v>296</v>
      </c>
      <c r="R2311" s="5">
        <v>16</v>
      </c>
      <c r="S2311" s="5">
        <v>304</v>
      </c>
    </row>
    <row r="2312" spans="1:19" ht="28" x14ac:dyDescent="0.15">
      <c r="A2312" s="2">
        <f>HYPERLINK("https://open-school.uspishnemisto.com.ua/school/120738/", 120738)</f>
        <v>120738</v>
      </c>
      <c r="B2312" s="3" t="s">
        <v>12269</v>
      </c>
      <c r="C2312" s="3" t="s">
        <v>31</v>
      </c>
      <c r="D2312" s="3" t="s">
        <v>32</v>
      </c>
      <c r="E2312" s="4" t="s">
        <v>22</v>
      </c>
      <c r="F2312" s="4" t="s">
        <v>12270</v>
      </c>
      <c r="G2312" s="4" t="s">
        <v>12271</v>
      </c>
      <c r="H2312" s="3" t="s">
        <v>8487</v>
      </c>
      <c r="I2312" s="3" t="s">
        <v>12272</v>
      </c>
      <c r="J2312" s="3" t="s">
        <v>12273</v>
      </c>
      <c r="K2312" s="3" t="s">
        <v>12274</v>
      </c>
      <c r="L2312" s="3" t="s">
        <v>12275</v>
      </c>
      <c r="M2312" s="4"/>
      <c r="N2312" s="3" t="s">
        <v>37</v>
      </c>
      <c r="O2312" s="3" t="s">
        <v>38</v>
      </c>
      <c r="P2312" s="5">
        <v>8</v>
      </c>
      <c r="Q2312" s="5">
        <v>83</v>
      </c>
      <c r="R2312" s="5">
        <v>8</v>
      </c>
      <c r="S2312" s="5">
        <v>82</v>
      </c>
    </row>
    <row r="2313" spans="1:19" ht="28" x14ac:dyDescent="0.15">
      <c r="A2313" s="2">
        <f>HYPERLINK("https://open-school.uspishnemisto.com.ua/school/120739/", 120739)</f>
        <v>120739</v>
      </c>
      <c r="B2313" s="3" t="s">
        <v>12276</v>
      </c>
      <c r="C2313" s="3" t="s">
        <v>31</v>
      </c>
      <c r="D2313" s="3" t="s">
        <v>175</v>
      </c>
      <c r="E2313" s="4" t="s">
        <v>22</v>
      </c>
      <c r="F2313" s="4" t="s">
        <v>12277</v>
      </c>
      <c r="G2313" s="4" t="s">
        <v>12278</v>
      </c>
      <c r="H2313" s="3" t="s">
        <v>8487</v>
      </c>
      <c r="I2313" s="3" t="s">
        <v>3790</v>
      </c>
      <c r="J2313" s="3" t="s">
        <v>3370</v>
      </c>
      <c r="K2313" s="3" t="s">
        <v>12279</v>
      </c>
      <c r="L2313" s="3"/>
      <c r="M2313" s="4"/>
      <c r="N2313" s="3" t="s">
        <v>967</v>
      </c>
      <c r="O2313" s="3" t="s">
        <v>8857</v>
      </c>
      <c r="P2313" s="5">
        <v>9</v>
      </c>
      <c r="Q2313" s="5">
        <v>153</v>
      </c>
      <c r="R2313" s="5">
        <v>9</v>
      </c>
      <c r="S2313" s="5">
        <v>134</v>
      </c>
    </row>
    <row r="2314" spans="1:19" ht="28" x14ac:dyDescent="0.15">
      <c r="A2314" s="2">
        <f>HYPERLINK("https://open-school.uspishnemisto.com.ua/school/120740/", 120740)</f>
        <v>120740</v>
      </c>
      <c r="B2314" s="3" t="s">
        <v>12280</v>
      </c>
      <c r="C2314" s="3" t="s">
        <v>31</v>
      </c>
      <c r="D2314" s="3" t="s">
        <v>32</v>
      </c>
      <c r="E2314" s="4" t="s">
        <v>22</v>
      </c>
      <c r="F2314" s="4" t="s">
        <v>12277</v>
      </c>
      <c r="G2314" s="4" t="s">
        <v>12278</v>
      </c>
      <c r="H2314" s="3" t="s">
        <v>8487</v>
      </c>
      <c r="I2314" s="3" t="s">
        <v>3790</v>
      </c>
      <c r="J2314" s="3" t="s">
        <v>12281</v>
      </c>
      <c r="K2314" s="3" t="s">
        <v>12282</v>
      </c>
      <c r="L2314" s="3"/>
      <c r="M2314" s="4"/>
      <c r="N2314" s="3" t="s">
        <v>967</v>
      </c>
      <c r="O2314" s="3" t="s">
        <v>2740</v>
      </c>
      <c r="P2314" s="5">
        <v>11</v>
      </c>
      <c r="Q2314" s="5">
        <v>181</v>
      </c>
      <c r="R2314" s="5">
        <v>11</v>
      </c>
      <c r="S2314" s="5">
        <v>183</v>
      </c>
    </row>
    <row r="2315" spans="1:19" ht="28" x14ac:dyDescent="0.15">
      <c r="A2315" s="2">
        <f>HYPERLINK("https://open-school.uspishnemisto.com.ua/school/120741/", 120741)</f>
        <v>120741</v>
      </c>
      <c r="B2315" s="3" t="s">
        <v>12283</v>
      </c>
      <c r="C2315" s="3" t="s">
        <v>31</v>
      </c>
      <c r="D2315" s="3" t="s">
        <v>32</v>
      </c>
      <c r="E2315" s="4" t="s">
        <v>22</v>
      </c>
      <c r="F2315" s="4" t="s">
        <v>12284</v>
      </c>
      <c r="G2315" s="4" t="s">
        <v>12285</v>
      </c>
      <c r="H2315" s="3" t="s">
        <v>8487</v>
      </c>
      <c r="I2315" s="3" t="s">
        <v>12286</v>
      </c>
      <c r="J2315" s="3" t="s">
        <v>3620</v>
      </c>
      <c r="K2315" s="3" t="s">
        <v>12287</v>
      </c>
      <c r="L2315" s="3"/>
      <c r="M2315" s="4"/>
      <c r="N2315" s="3" t="s">
        <v>37</v>
      </c>
      <c r="O2315" s="3" t="s">
        <v>38</v>
      </c>
      <c r="P2315" s="5">
        <v>14</v>
      </c>
      <c r="Q2315" s="5">
        <v>277</v>
      </c>
      <c r="R2315" s="5">
        <v>14</v>
      </c>
      <c r="S2315" s="5">
        <v>284</v>
      </c>
    </row>
    <row r="2316" spans="1:19" ht="28" x14ac:dyDescent="0.15">
      <c r="A2316" s="2">
        <f>HYPERLINK("https://open-school.uspishnemisto.com.ua/school/120742/", 120742)</f>
        <v>120742</v>
      </c>
      <c r="B2316" s="3" t="s">
        <v>12288</v>
      </c>
      <c r="C2316" s="3" t="s">
        <v>31</v>
      </c>
      <c r="D2316" s="3" t="s">
        <v>32</v>
      </c>
      <c r="E2316" s="4" t="s">
        <v>22</v>
      </c>
      <c r="F2316" s="4" t="s">
        <v>12289</v>
      </c>
      <c r="G2316" s="4" t="s">
        <v>12290</v>
      </c>
      <c r="H2316" s="3" t="s">
        <v>8487</v>
      </c>
      <c r="I2316" s="3" t="s">
        <v>12291</v>
      </c>
      <c r="J2316" s="3" t="s">
        <v>12292</v>
      </c>
      <c r="K2316" s="3" t="s">
        <v>12293</v>
      </c>
      <c r="L2316" s="3"/>
      <c r="M2316" s="4"/>
      <c r="N2316" s="3" t="s">
        <v>37</v>
      </c>
      <c r="O2316" s="3" t="s">
        <v>70</v>
      </c>
      <c r="P2316" s="5">
        <v>10</v>
      </c>
      <c r="Q2316" s="5">
        <v>128</v>
      </c>
      <c r="R2316" s="5">
        <v>10</v>
      </c>
      <c r="S2316" s="5">
        <v>135</v>
      </c>
    </row>
    <row r="2317" spans="1:19" ht="28" x14ac:dyDescent="0.15">
      <c r="A2317" s="2">
        <f>HYPERLINK("https://open-school.uspishnemisto.com.ua/school/120743/", 120743)</f>
        <v>120743</v>
      </c>
      <c r="B2317" s="3" t="s">
        <v>12294</v>
      </c>
      <c r="C2317" s="3" t="s">
        <v>31</v>
      </c>
      <c r="D2317" s="3" t="s">
        <v>32</v>
      </c>
      <c r="E2317" s="4" t="s">
        <v>22</v>
      </c>
      <c r="F2317" s="4" t="s">
        <v>12295</v>
      </c>
      <c r="G2317" s="4" t="s">
        <v>12296</v>
      </c>
      <c r="H2317" s="3" t="s">
        <v>8487</v>
      </c>
      <c r="I2317" s="3" t="s">
        <v>12297</v>
      </c>
      <c r="J2317" s="3" t="s">
        <v>12298</v>
      </c>
      <c r="K2317" s="3" t="s">
        <v>12299</v>
      </c>
      <c r="L2317" s="3" t="s">
        <v>12300</v>
      </c>
      <c r="M2317" s="4"/>
      <c r="N2317" s="3" t="s">
        <v>37</v>
      </c>
      <c r="O2317" s="3" t="s">
        <v>2740</v>
      </c>
      <c r="P2317" s="5">
        <v>21</v>
      </c>
      <c r="Q2317" s="5">
        <v>474</v>
      </c>
      <c r="R2317" s="5">
        <v>21</v>
      </c>
      <c r="S2317" s="5">
        <v>436</v>
      </c>
    </row>
    <row r="2318" spans="1:19" ht="28" x14ac:dyDescent="0.15">
      <c r="A2318" s="2">
        <f>HYPERLINK("https://open-school.uspishnemisto.com.ua/school/120744/", 120744)</f>
        <v>120744</v>
      </c>
      <c r="B2318" s="3" t="s">
        <v>12301</v>
      </c>
      <c r="C2318" s="3" t="s">
        <v>31</v>
      </c>
      <c r="D2318" s="3" t="s">
        <v>32</v>
      </c>
      <c r="E2318" s="4" t="s">
        <v>22</v>
      </c>
      <c r="F2318" s="4" t="s">
        <v>12302</v>
      </c>
      <c r="G2318" s="4" t="s">
        <v>12303</v>
      </c>
      <c r="H2318" s="3" t="s">
        <v>8487</v>
      </c>
      <c r="I2318" s="3" t="s">
        <v>12304</v>
      </c>
      <c r="J2318" s="3" t="s">
        <v>694</v>
      </c>
      <c r="K2318" s="3" t="s">
        <v>12305</v>
      </c>
      <c r="L2318" s="3" t="s">
        <v>12306</v>
      </c>
      <c r="M2318" s="4"/>
      <c r="N2318" s="3" t="s">
        <v>37</v>
      </c>
      <c r="O2318" s="3" t="s">
        <v>38</v>
      </c>
      <c r="P2318" s="5">
        <v>10</v>
      </c>
      <c r="Q2318" s="5">
        <v>136</v>
      </c>
      <c r="R2318" s="5">
        <v>11</v>
      </c>
      <c r="S2318" s="5">
        <v>136</v>
      </c>
    </row>
    <row r="2319" spans="1:19" ht="28" x14ac:dyDescent="0.15">
      <c r="A2319" s="2">
        <f>HYPERLINK("https://open-school.uspishnemisto.com.ua/school/120745/", 120745)</f>
        <v>120745</v>
      </c>
      <c r="B2319" s="3" t="s">
        <v>12307</v>
      </c>
      <c r="C2319" s="3" t="s">
        <v>31</v>
      </c>
      <c r="D2319" s="3" t="s">
        <v>32</v>
      </c>
      <c r="E2319" s="4" t="s">
        <v>22</v>
      </c>
      <c r="F2319" s="4" t="s">
        <v>12308</v>
      </c>
      <c r="G2319" s="4" t="s">
        <v>12309</v>
      </c>
      <c r="H2319" s="3" t="s">
        <v>8487</v>
      </c>
      <c r="I2319" s="3" t="s">
        <v>12310</v>
      </c>
      <c r="J2319" s="3" t="s">
        <v>1900</v>
      </c>
      <c r="K2319" s="3" t="s">
        <v>12311</v>
      </c>
      <c r="L2319" s="3" t="s">
        <v>12312</v>
      </c>
      <c r="M2319" s="4"/>
      <c r="N2319" s="3" t="s">
        <v>37</v>
      </c>
      <c r="O2319" s="3" t="s">
        <v>52</v>
      </c>
      <c r="P2319" s="5">
        <v>11</v>
      </c>
      <c r="Q2319" s="5">
        <v>106</v>
      </c>
      <c r="R2319" s="5">
        <v>11</v>
      </c>
      <c r="S2319" s="5">
        <v>109</v>
      </c>
    </row>
    <row r="2320" spans="1:19" ht="42" x14ac:dyDescent="0.15">
      <c r="A2320" s="2">
        <f>HYPERLINK("https://open-school.uspishnemisto.com.ua/school/120746/", 120746)</f>
        <v>120746</v>
      </c>
      <c r="B2320" s="3" t="s">
        <v>12313</v>
      </c>
      <c r="C2320" s="3" t="s">
        <v>31</v>
      </c>
      <c r="D2320" s="3" t="s">
        <v>32</v>
      </c>
      <c r="E2320" s="4" t="s">
        <v>22</v>
      </c>
      <c r="F2320" s="4" t="s">
        <v>12314</v>
      </c>
      <c r="G2320" s="4" t="s">
        <v>12315</v>
      </c>
      <c r="H2320" s="3" t="s">
        <v>8487</v>
      </c>
      <c r="I2320" s="3" t="s">
        <v>12316</v>
      </c>
      <c r="J2320" s="3" t="s">
        <v>12317</v>
      </c>
      <c r="K2320" s="3" t="s">
        <v>12318</v>
      </c>
      <c r="L2320" s="3" t="s">
        <v>12319</v>
      </c>
      <c r="M2320" s="4"/>
      <c r="N2320" s="3" t="s">
        <v>37</v>
      </c>
      <c r="O2320" s="3" t="s">
        <v>38</v>
      </c>
      <c r="P2320" s="5">
        <v>11</v>
      </c>
      <c r="Q2320" s="5">
        <v>101</v>
      </c>
      <c r="R2320" s="5">
        <v>11</v>
      </c>
      <c r="S2320" s="5">
        <v>107</v>
      </c>
    </row>
    <row r="2321" spans="1:19" ht="56" x14ac:dyDescent="0.15">
      <c r="A2321" s="2">
        <f>HYPERLINK("https://open-school.uspishnemisto.com.ua/school/120747/", 120747)</f>
        <v>120747</v>
      </c>
      <c r="B2321" s="3" t="s">
        <v>12320</v>
      </c>
      <c r="C2321" s="3" t="s">
        <v>54</v>
      </c>
      <c r="D2321" s="3" t="s">
        <v>32</v>
      </c>
      <c r="E2321" s="4" t="s">
        <v>22</v>
      </c>
      <c r="F2321" s="4" t="s">
        <v>12321</v>
      </c>
      <c r="G2321" s="4" t="s">
        <v>12322</v>
      </c>
      <c r="H2321" s="3" t="s">
        <v>8487</v>
      </c>
      <c r="I2321" s="3" t="s">
        <v>12323</v>
      </c>
      <c r="J2321" s="3" t="s">
        <v>12324</v>
      </c>
      <c r="K2321" s="3" t="s">
        <v>12325</v>
      </c>
      <c r="L2321" s="3"/>
      <c r="M2321" s="4"/>
      <c r="N2321" s="3" t="s">
        <v>37</v>
      </c>
      <c r="O2321" s="3" t="s">
        <v>38</v>
      </c>
      <c r="P2321" s="5">
        <v>12</v>
      </c>
      <c r="Q2321" s="5">
        <v>224</v>
      </c>
      <c r="R2321" s="5">
        <v>11</v>
      </c>
      <c r="S2321" s="5">
        <v>215</v>
      </c>
    </row>
    <row r="2322" spans="1:19" ht="42" x14ac:dyDescent="0.15">
      <c r="A2322" s="2">
        <f>HYPERLINK("https://open-school.uspishnemisto.com.ua/school/120748/", 120748)</f>
        <v>120748</v>
      </c>
      <c r="B2322" s="3" t="s">
        <v>12326</v>
      </c>
      <c r="C2322" s="3" t="s">
        <v>31</v>
      </c>
      <c r="D2322" s="3" t="s">
        <v>32</v>
      </c>
      <c r="E2322" s="4" t="s">
        <v>22</v>
      </c>
      <c r="F2322" s="4" t="s">
        <v>12321</v>
      </c>
      <c r="G2322" s="4" t="s">
        <v>12322</v>
      </c>
      <c r="H2322" s="3" t="s">
        <v>8487</v>
      </c>
      <c r="I2322" s="3" t="s">
        <v>12323</v>
      </c>
      <c r="J2322" s="3" t="s">
        <v>12327</v>
      </c>
      <c r="K2322" s="3" t="s">
        <v>12328</v>
      </c>
      <c r="L2322" s="3" t="s">
        <v>12329</v>
      </c>
      <c r="M2322" s="4"/>
      <c r="N2322" s="3" t="s">
        <v>37</v>
      </c>
      <c r="O2322" s="3" t="s">
        <v>38</v>
      </c>
      <c r="P2322" s="5">
        <v>11</v>
      </c>
      <c r="Q2322" s="5">
        <v>166</v>
      </c>
      <c r="R2322" s="5">
        <v>11</v>
      </c>
      <c r="S2322" s="5">
        <v>168</v>
      </c>
    </row>
    <row r="2323" spans="1:19" ht="28" x14ac:dyDescent="0.15">
      <c r="A2323" s="2">
        <f>HYPERLINK("https://open-school.uspishnemisto.com.ua/school/120749/", 120749)</f>
        <v>120749</v>
      </c>
      <c r="B2323" s="3" t="s">
        <v>12330</v>
      </c>
      <c r="C2323" s="3" t="s">
        <v>31</v>
      </c>
      <c r="D2323" s="3" t="s">
        <v>32</v>
      </c>
      <c r="E2323" s="4" t="s">
        <v>22</v>
      </c>
      <c r="F2323" s="4" t="s">
        <v>12331</v>
      </c>
      <c r="G2323" s="4" t="s">
        <v>12332</v>
      </c>
      <c r="H2323" s="3" t="s">
        <v>8487</v>
      </c>
      <c r="I2323" s="3" t="s">
        <v>12333</v>
      </c>
      <c r="J2323" s="3" t="s">
        <v>12334</v>
      </c>
      <c r="K2323" s="3" t="s">
        <v>12335</v>
      </c>
      <c r="L2323" s="3"/>
      <c r="M2323" s="4"/>
      <c r="N2323" s="3" t="s">
        <v>967</v>
      </c>
      <c r="O2323" s="3" t="s">
        <v>2740</v>
      </c>
      <c r="P2323" s="5">
        <v>11</v>
      </c>
      <c r="Q2323" s="5">
        <v>158</v>
      </c>
      <c r="R2323" s="5">
        <v>11</v>
      </c>
      <c r="S2323" s="5">
        <v>149</v>
      </c>
    </row>
    <row r="2324" spans="1:19" ht="28" x14ac:dyDescent="0.15">
      <c r="A2324" s="2">
        <f>HYPERLINK("https://open-school.uspishnemisto.com.ua/school/120750/", 120750)</f>
        <v>120750</v>
      </c>
      <c r="B2324" s="3" t="s">
        <v>12336</v>
      </c>
      <c r="C2324" s="3" t="s">
        <v>31</v>
      </c>
      <c r="D2324" s="3" t="s">
        <v>175</v>
      </c>
      <c r="E2324" s="4" t="s">
        <v>22</v>
      </c>
      <c r="F2324" s="4" t="s">
        <v>12337</v>
      </c>
      <c r="G2324" s="4" t="s">
        <v>12338</v>
      </c>
      <c r="H2324" s="3" t="s">
        <v>8487</v>
      </c>
      <c r="I2324" s="3" t="s">
        <v>12339</v>
      </c>
      <c r="J2324" s="3" t="s">
        <v>12340</v>
      </c>
      <c r="K2324" s="3" t="s">
        <v>12341</v>
      </c>
      <c r="L2324" s="3"/>
      <c r="M2324" s="4"/>
      <c r="N2324" s="3" t="s">
        <v>37</v>
      </c>
      <c r="O2324" s="3" t="s">
        <v>52</v>
      </c>
      <c r="P2324" s="5">
        <v>6</v>
      </c>
      <c r="Q2324" s="5">
        <v>52</v>
      </c>
      <c r="R2324" s="5">
        <v>5</v>
      </c>
      <c r="S2324" s="5">
        <v>45</v>
      </c>
    </row>
    <row r="2325" spans="1:19" ht="28" x14ac:dyDescent="0.15">
      <c r="A2325" s="2">
        <f>HYPERLINK("https://open-school.uspishnemisto.com.ua/school/120751/", 120751)</f>
        <v>120751</v>
      </c>
      <c r="B2325" s="3" t="s">
        <v>12342</v>
      </c>
      <c r="C2325" s="3" t="s">
        <v>31</v>
      </c>
      <c r="D2325" s="3" t="s">
        <v>32</v>
      </c>
      <c r="E2325" s="4" t="s">
        <v>22</v>
      </c>
      <c r="F2325" s="4" t="s">
        <v>12343</v>
      </c>
      <c r="G2325" s="4" t="s">
        <v>12344</v>
      </c>
      <c r="H2325" s="3" t="s">
        <v>8487</v>
      </c>
      <c r="I2325" s="3" t="s">
        <v>12345</v>
      </c>
      <c r="J2325" s="3" t="s">
        <v>5421</v>
      </c>
      <c r="K2325" s="3" t="s">
        <v>12346</v>
      </c>
      <c r="L2325" s="3" t="s">
        <v>12347</v>
      </c>
      <c r="M2325" s="4"/>
      <c r="N2325" s="3" t="s">
        <v>37</v>
      </c>
      <c r="O2325" s="3" t="s">
        <v>52</v>
      </c>
      <c r="P2325" s="5">
        <v>11</v>
      </c>
      <c r="Q2325" s="5">
        <v>127</v>
      </c>
      <c r="R2325" s="5">
        <v>11</v>
      </c>
      <c r="S2325" s="5">
        <v>115</v>
      </c>
    </row>
    <row r="2326" spans="1:19" ht="28" x14ac:dyDescent="0.15">
      <c r="A2326" s="2">
        <f>HYPERLINK("https://open-school.uspishnemisto.com.ua/school/120752/", 120752)</f>
        <v>120752</v>
      </c>
      <c r="B2326" s="3" t="s">
        <v>12348</v>
      </c>
      <c r="C2326" s="3" t="s">
        <v>31</v>
      </c>
      <c r="D2326" s="3" t="s">
        <v>32</v>
      </c>
      <c r="E2326" s="4" t="s">
        <v>22</v>
      </c>
      <c r="F2326" s="4" t="s">
        <v>12349</v>
      </c>
      <c r="G2326" s="4" t="s">
        <v>12350</v>
      </c>
      <c r="H2326" s="3" t="s">
        <v>8487</v>
      </c>
      <c r="I2326" s="3" t="s">
        <v>12351</v>
      </c>
      <c r="J2326" s="3" t="s">
        <v>12352</v>
      </c>
      <c r="K2326" s="3" t="s">
        <v>12353</v>
      </c>
      <c r="L2326" s="3" t="s">
        <v>12354</v>
      </c>
      <c r="M2326" s="4"/>
      <c r="N2326" s="3" t="s">
        <v>37</v>
      </c>
      <c r="O2326" s="3" t="s">
        <v>38</v>
      </c>
      <c r="P2326" s="5">
        <v>11</v>
      </c>
      <c r="Q2326" s="5">
        <v>112</v>
      </c>
      <c r="R2326" s="5">
        <v>11</v>
      </c>
      <c r="S2326" s="5">
        <v>104</v>
      </c>
    </row>
    <row r="2327" spans="1:19" ht="28" x14ac:dyDescent="0.15">
      <c r="A2327" s="2">
        <f>HYPERLINK("https://open-school.uspishnemisto.com.ua/school/120753/", 120753)</f>
        <v>120753</v>
      </c>
      <c r="B2327" s="3" t="s">
        <v>12355</v>
      </c>
      <c r="C2327" s="3" t="s">
        <v>31</v>
      </c>
      <c r="D2327" s="3" t="s">
        <v>32</v>
      </c>
      <c r="E2327" s="4" t="s">
        <v>22</v>
      </c>
      <c r="F2327" s="4" t="s">
        <v>12356</v>
      </c>
      <c r="G2327" s="4" t="s">
        <v>12357</v>
      </c>
      <c r="H2327" s="3" t="s">
        <v>8487</v>
      </c>
      <c r="I2327" s="3" t="s">
        <v>12358</v>
      </c>
      <c r="J2327" s="3" t="s">
        <v>12359</v>
      </c>
      <c r="K2327" s="3" t="s">
        <v>12360</v>
      </c>
      <c r="L2327" s="3" t="s">
        <v>12361</v>
      </c>
      <c r="M2327" s="4"/>
      <c r="N2327" s="3" t="s">
        <v>37</v>
      </c>
      <c r="O2327" s="3" t="s">
        <v>38</v>
      </c>
      <c r="P2327" s="5">
        <v>39</v>
      </c>
      <c r="Q2327" s="5">
        <v>860</v>
      </c>
      <c r="R2327" s="5">
        <v>21</v>
      </c>
      <c r="S2327" s="5">
        <v>560</v>
      </c>
    </row>
    <row r="2328" spans="1:19" ht="42" x14ac:dyDescent="0.15">
      <c r="A2328" s="2">
        <f>HYPERLINK("https://open-school.uspishnemisto.com.ua/school/120754/", 120754)</f>
        <v>120754</v>
      </c>
      <c r="B2328" s="3" t="s">
        <v>12362</v>
      </c>
      <c r="C2328" s="3" t="s">
        <v>31</v>
      </c>
      <c r="D2328" s="3" t="s">
        <v>175</v>
      </c>
      <c r="E2328" s="4" t="s">
        <v>22</v>
      </c>
      <c r="F2328" s="4" t="s">
        <v>12356</v>
      </c>
      <c r="G2328" s="4" t="s">
        <v>12357</v>
      </c>
      <c r="H2328" s="3" t="s">
        <v>8487</v>
      </c>
      <c r="I2328" s="3" t="s">
        <v>12358</v>
      </c>
      <c r="J2328" s="3" t="s">
        <v>1576</v>
      </c>
      <c r="K2328" s="3" t="s">
        <v>12363</v>
      </c>
      <c r="L2328" s="3" t="s">
        <v>12364</v>
      </c>
      <c r="M2328" s="4"/>
      <c r="N2328" s="3" t="s">
        <v>37</v>
      </c>
      <c r="O2328" s="3" t="s">
        <v>52</v>
      </c>
      <c r="P2328" s="5">
        <v>0</v>
      </c>
      <c r="Q2328" s="5">
        <v>0</v>
      </c>
      <c r="R2328" s="5">
        <v>9</v>
      </c>
      <c r="S2328" s="5">
        <v>116</v>
      </c>
    </row>
    <row r="2329" spans="1:19" ht="42" x14ac:dyDescent="0.15">
      <c r="A2329" s="2">
        <f>HYPERLINK("https://open-school.uspishnemisto.com.ua/school/120755/", 120755)</f>
        <v>120755</v>
      </c>
      <c r="B2329" s="3" t="s">
        <v>12365</v>
      </c>
      <c r="C2329" s="3" t="s">
        <v>31</v>
      </c>
      <c r="D2329" s="3" t="s">
        <v>175</v>
      </c>
      <c r="E2329" s="4" t="s">
        <v>22</v>
      </c>
      <c r="F2329" s="4" t="s">
        <v>12366</v>
      </c>
      <c r="G2329" s="4" t="s">
        <v>12367</v>
      </c>
      <c r="H2329" s="3" t="s">
        <v>8487</v>
      </c>
      <c r="I2329" s="3" t="s">
        <v>12368</v>
      </c>
      <c r="J2329" s="3" t="s">
        <v>946</v>
      </c>
      <c r="K2329" s="3" t="s">
        <v>12369</v>
      </c>
      <c r="L2329" s="3"/>
      <c r="M2329" s="4"/>
      <c r="N2329" s="3" t="s">
        <v>37</v>
      </c>
      <c r="O2329" s="3" t="s">
        <v>52</v>
      </c>
      <c r="P2329" s="5">
        <v>0</v>
      </c>
      <c r="Q2329" s="5">
        <v>0</v>
      </c>
      <c r="R2329" s="5">
        <v>9</v>
      </c>
      <c r="S2329" s="5">
        <v>143</v>
      </c>
    </row>
    <row r="2330" spans="1:19" ht="42" x14ac:dyDescent="0.15">
      <c r="A2330" s="2">
        <f>HYPERLINK("https://open-school.uspishnemisto.com.ua/school/120756/", 120756)</f>
        <v>120756</v>
      </c>
      <c r="B2330" s="3" t="s">
        <v>12370</v>
      </c>
      <c r="C2330" s="3" t="s">
        <v>31</v>
      </c>
      <c r="D2330" s="3" t="s">
        <v>32</v>
      </c>
      <c r="E2330" s="4" t="s">
        <v>22</v>
      </c>
      <c r="F2330" s="4" t="s">
        <v>12371</v>
      </c>
      <c r="G2330" s="4" t="s">
        <v>12372</v>
      </c>
      <c r="H2330" s="3" t="s">
        <v>8487</v>
      </c>
      <c r="I2330" s="3" t="s">
        <v>4198</v>
      </c>
      <c r="J2330" s="3" t="s">
        <v>12373</v>
      </c>
      <c r="K2330" s="3" t="s">
        <v>12374</v>
      </c>
      <c r="L2330" s="3"/>
      <c r="M2330" s="4"/>
      <c r="N2330" s="3" t="s">
        <v>37</v>
      </c>
      <c r="O2330" s="3" t="s">
        <v>38</v>
      </c>
      <c r="P2330" s="5">
        <v>20</v>
      </c>
      <c r="Q2330" s="5">
        <v>273</v>
      </c>
      <c r="R2330" s="5">
        <v>11</v>
      </c>
      <c r="S2330" s="5">
        <v>171</v>
      </c>
    </row>
    <row r="2331" spans="1:19" ht="56" x14ac:dyDescent="0.15">
      <c r="A2331" s="2">
        <f>HYPERLINK("https://open-school.uspishnemisto.com.ua/school/120757/", 120757)</f>
        <v>120757</v>
      </c>
      <c r="B2331" s="3" t="s">
        <v>12375</v>
      </c>
      <c r="C2331" s="3" t="s">
        <v>54</v>
      </c>
      <c r="D2331" s="3" t="s">
        <v>175</v>
      </c>
      <c r="E2331" s="4" t="s">
        <v>22</v>
      </c>
      <c r="F2331" s="4" t="s">
        <v>12376</v>
      </c>
      <c r="G2331" s="4" t="s">
        <v>12377</v>
      </c>
      <c r="H2331" s="3" t="s">
        <v>8487</v>
      </c>
      <c r="I2331" s="3" t="s">
        <v>1740</v>
      </c>
      <c r="J2331" s="3" t="s">
        <v>12378</v>
      </c>
      <c r="K2331" s="3" t="s">
        <v>12379</v>
      </c>
      <c r="L2331" s="3"/>
      <c r="M2331" s="4"/>
      <c r="N2331" s="3" t="s">
        <v>37</v>
      </c>
      <c r="O2331" s="3" t="s">
        <v>967</v>
      </c>
      <c r="P2331" s="5">
        <v>0</v>
      </c>
      <c r="Q2331" s="5">
        <v>0</v>
      </c>
      <c r="R2331" s="5">
        <v>9</v>
      </c>
      <c r="S2331" s="5">
        <v>89</v>
      </c>
    </row>
    <row r="2332" spans="1:19" ht="42" x14ac:dyDescent="0.15">
      <c r="A2332" s="2">
        <f>HYPERLINK("https://open-school.uspishnemisto.com.ua/school/120758/", 120758)</f>
        <v>120758</v>
      </c>
      <c r="B2332" s="3" t="s">
        <v>12380</v>
      </c>
      <c r="C2332" s="3" t="s">
        <v>31</v>
      </c>
      <c r="D2332" s="3" t="s">
        <v>32</v>
      </c>
      <c r="E2332" s="4" t="s">
        <v>22</v>
      </c>
      <c r="F2332" s="4" t="s">
        <v>12381</v>
      </c>
      <c r="G2332" s="4" t="s">
        <v>12382</v>
      </c>
      <c r="H2332" s="3" t="s">
        <v>8487</v>
      </c>
      <c r="I2332" s="3" t="s">
        <v>12383</v>
      </c>
      <c r="J2332" s="3" t="s">
        <v>12384</v>
      </c>
      <c r="K2332" s="3" t="s">
        <v>12385</v>
      </c>
      <c r="L2332" s="3"/>
      <c r="M2332" s="4"/>
      <c r="N2332" s="3" t="s">
        <v>37</v>
      </c>
      <c r="O2332" s="3" t="s">
        <v>38</v>
      </c>
      <c r="P2332" s="5">
        <v>13</v>
      </c>
      <c r="Q2332" s="5">
        <v>215</v>
      </c>
      <c r="R2332" s="5">
        <v>13</v>
      </c>
      <c r="S2332" s="5">
        <v>209</v>
      </c>
    </row>
    <row r="2333" spans="1:19" ht="42" x14ac:dyDescent="0.15">
      <c r="A2333" s="2">
        <f>HYPERLINK("https://open-school.uspishnemisto.com.ua/school/120759/", 120759)</f>
        <v>120759</v>
      </c>
      <c r="B2333" s="3" t="s">
        <v>12386</v>
      </c>
      <c r="C2333" s="3" t="s">
        <v>31</v>
      </c>
      <c r="D2333" s="3" t="s">
        <v>32</v>
      </c>
      <c r="E2333" s="4" t="s">
        <v>22</v>
      </c>
      <c r="F2333" s="4" t="s">
        <v>12387</v>
      </c>
      <c r="G2333" s="4" t="s">
        <v>12388</v>
      </c>
      <c r="H2333" s="3" t="s">
        <v>8487</v>
      </c>
      <c r="I2333" s="3" t="s">
        <v>883</v>
      </c>
      <c r="J2333" s="3" t="s">
        <v>12389</v>
      </c>
      <c r="K2333" s="3" t="s">
        <v>12390</v>
      </c>
      <c r="L2333" s="3" t="s">
        <v>12391</v>
      </c>
      <c r="M2333" s="4"/>
      <c r="N2333" s="3" t="s">
        <v>37</v>
      </c>
      <c r="O2333" s="3" t="s">
        <v>38</v>
      </c>
      <c r="P2333" s="5">
        <v>14</v>
      </c>
      <c r="Q2333" s="5">
        <v>243</v>
      </c>
      <c r="R2333" s="5">
        <v>11</v>
      </c>
      <c r="S2333" s="5">
        <v>193</v>
      </c>
    </row>
    <row r="2334" spans="1:19" ht="42" x14ac:dyDescent="0.15">
      <c r="A2334" s="2">
        <f>HYPERLINK("https://open-school.uspishnemisto.com.ua/school/120760/", 120760)</f>
        <v>120760</v>
      </c>
      <c r="B2334" s="3" t="s">
        <v>12392</v>
      </c>
      <c r="C2334" s="3" t="s">
        <v>31</v>
      </c>
      <c r="D2334" s="3" t="s">
        <v>175</v>
      </c>
      <c r="E2334" s="4" t="s">
        <v>22</v>
      </c>
      <c r="F2334" s="4" t="s">
        <v>12393</v>
      </c>
      <c r="G2334" s="4" t="s">
        <v>12394</v>
      </c>
      <c r="H2334" s="3" t="s">
        <v>8487</v>
      </c>
      <c r="I2334" s="3" t="s">
        <v>12395</v>
      </c>
      <c r="J2334" s="3" t="s">
        <v>2384</v>
      </c>
      <c r="K2334" s="3" t="s">
        <v>12396</v>
      </c>
      <c r="L2334" s="3"/>
      <c r="M2334" s="4"/>
      <c r="N2334" s="3" t="s">
        <v>37</v>
      </c>
      <c r="O2334" s="3" t="s">
        <v>52</v>
      </c>
      <c r="P2334" s="5">
        <v>0</v>
      </c>
      <c r="Q2334" s="5">
        <v>0</v>
      </c>
      <c r="R2334" s="5">
        <v>5</v>
      </c>
      <c r="S2334" s="5">
        <v>46</v>
      </c>
    </row>
    <row r="2335" spans="1:19" ht="28" x14ac:dyDescent="0.15">
      <c r="A2335" s="2">
        <f>HYPERLINK("https://open-school.uspishnemisto.com.ua/school/120761/", 120761)</f>
        <v>120761</v>
      </c>
      <c r="B2335" s="3" t="s">
        <v>12397</v>
      </c>
      <c r="C2335" s="3" t="s">
        <v>31</v>
      </c>
      <c r="D2335" s="3" t="s">
        <v>32</v>
      </c>
      <c r="E2335" s="4" t="s">
        <v>22</v>
      </c>
      <c r="F2335" s="4" t="s">
        <v>12398</v>
      </c>
      <c r="G2335" s="4" t="s">
        <v>12399</v>
      </c>
      <c r="H2335" s="3" t="s">
        <v>8487</v>
      </c>
      <c r="I2335" s="3" t="s">
        <v>12400</v>
      </c>
      <c r="J2335" s="3" t="s">
        <v>1551</v>
      </c>
      <c r="K2335" s="3" t="s">
        <v>12401</v>
      </c>
      <c r="L2335" s="3" t="s">
        <v>12402</v>
      </c>
      <c r="M2335" s="4"/>
      <c r="N2335" s="3" t="s">
        <v>37</v>
      </c>
      <c r="O2335" s="3" t="s">
        <v>38</v>
      </c>
      <c r="P2335" s="5">
        <v>11</v>
      </c>
      <c r="Q2335" s="5">
        <v>213</v>
      </c>
      <c r="R2335" s="5">
        <v>11</v>
      </c>
      <c r="S2335" s="5">
        <v>217</v>
      </c>
    </row>
    <row r="2336" spans="1:19" ht="42" x14ac:dyDescent="0.15">
      <c r="A2336" s="2">
        <f>HYPERLINK("https://open-school.uspishnemisto.com.ua/school/120762/", 120762)</f>
        <v>120762</v>
      </c>
      <c r="B2336" s="3" t="s">
        <v>12403</v>
      </c>
      <c r="C2336" s="3" t="s">
        <v>54</v>
      </c>
      <c r="D2336" s="3" t="s">
        <v>32</v>
      </c>
      <c r="E2336" s="4" t="s">
        <v>22</v>
      </c>
      <c r="F2336" s="4" t="s">
        <v>12404</v>
      </c>
      <c r="G2336" s="4" t="s">
        <v>12405</v>
      </c>
      <c r="H2336" s="3" t="s">
        <v>8487</v>
      </c>
      <c r="I2336" s="3" t="s">
        <v>12406</v>
      </c>
      <c r="J2336" s="3" t="s">
        <v>1636</v>
      </c>
      <c r="K2336" s="3" t="s">
        <v>12407</v>
      </c>
      <c r="L2336" s="3"/>
      <c r="M2336" s="4"/>
      <c r="N2336" s="3" t="s">
        <v>37</v>
      </c>
      <c r="O2336" s="3" t="s">
        <v>38</v>
      </c>
      <c r="P2336" s="5">
        <v>11</v>
      </c>
      <c r="Q2336" s="5">
        <v>188</v>
      </c>
      <c r="R2336" s="5">
        <v>11</v>
      </c>
      <c r="S2336" s="5">
        <v>188</v>
      </c>
    </row>
    <row r="2337" spans="1:19" ht="28" x14ac:dyDescent="0.15">
      <c r="A2337" s="2">
        <f>HYPERLINK("https://open-school.uspishnemisto.com.ua/school/120763/", 120763)</f>
        <v>120763</v>
      </c>
      <c r="B2337" s="3" t="s">
        <v>12408</v>
      </c>
      <c r="C2337" s="3" t="s">
        <v>54</v>
      </c>
      <c r="D2337" s="3" t="s">
        <v>32</v>
      </c>
      <c r="E2337" s="4" t="s">
        <v>22</v>
      </c>
      <c r="F2337" s="4" t="s">
        <v>12409</v>
      </c>
      <c r="G2337" s="4" t="s">
        <v>12410</v>
      </c>
      <c r="H2337" s="3" t="s">
        <v>8487</v>
      </c>
      <c r="I2337" s="3" t="s">
        <v>12411</v>
      </c>
      <c r="J2337" s="3" t="s">
        <v>12412</v>
      </c>
      <c r="K2337" s="3" t="s">
        <v>12413</v>
      </c>
      <c r="L2337" s="3"/>
      <c r="M2337" s="4"/>
      <c r="N2337" s="3" t="s">
        <v>37</v>
      </c>
      <c r="O2337" s="3" t="s">
        <v>38</v>
      </c>
      <c r="P2337" s="5">
        <v>11</v>
      </c>
      <c r="Q2337" s="5">
        <v>218</v>
      </c>
      <c r="R2337" s="5">
        <v>11</v>
      </c>
      <c r="S2337" s="5">
        <v>206</v>
      </c>
    </row>
    <row r="2338" spans="1:19" ht="42" x14ac:dyDescent="0.15">
      <c r="A2338" s="2">
        <f>HYPERLINK("https://open-school.uspishnemisto.com.ua/school/120764/", 120764)</f>
        <v>120764</v>
      </c>
      <c r="B2338" s="3" t="s">
        <v>12414</v>
      </c>
      <c r="C2338" s="3" t="s">
        <v>54</v>
      </c>
      <c r="D2338" s="3" t="s">
        <v>32</v>
      </c>
      <c r="E2338" s="4" t="s">
        <v>22</v>
      </c>
      <c r="F2338" s="4" t="s">
        <v>12415</v>
      </c>
      <c r="G2338" s="4" t="s">
        <v>12416</v>
      </c>
      <c r="H2338" s="3" t="s">
        <v>8487</v>
      </c>
      <c r="I2338" s="3" t="s">
        <v>12417</v>
      </c>
      <c r="J2338" s="3" t="s">
        <v>12418</v>
      </c>
      <c r="K2338" s="3" t="s">
        <v>12419</v>
      </c>
      <c r="L2338" s="3"/>
      <c r="M2338" s="4"/>
      <c r="N2338" s="3" t="s">
        <v>37</v>
      </c>
      <c r="O2338" s="3" t="s">
        <v>38</v>
      </c>
      <c r="P2338" s="5">
        <v>11</v>
      </c>
      <c r="Q2338" s="5">
        <v>126</v>
      </c>
      <c r="R2338" s="5">
        <v>11</v>
      </c>
      <c r="S2338" s="5">
        <v>128</v>
      </c>
    </row>
    <row r="2339" spans="1:19" ht="28" x14ac:dyDescent="0.15">
      <c r="A2339" s="2">
        <f>HYPERLINK("https://open-school.uspishnemisto.com.ua/school/120765/", 120765)</f>
        <v>120765</v>
      </c>
      <c r="B2339" s="3" t="s">
        <v>12420</v>
      </c>
      <c r="C2339" s="3" t="s">
        <v>31</v>
      </c>
      <c r="D2339" s="3" t="s">
        <v>32</v>
      </c>
      <c r="E2339" s="4" t="s">
        <v>22</v>
      </c>
      <c r="F2339" s="4" t="s">
        <v>12421</v>
      </c>
      <c r="G2339" s="4" t="s">
        <v>12422</v>
      </c>
      <c r="H2339" s="3" t="s">
        <v>8487</v>
      </c>
      <c r="I2339" s="3" t="s">
        <v>12423</v>
      </c>
      <c r="J2339" s="3" t="s">
        <v>12424</v>
      </c>
      <c r="K2339" s="3" t="s">
        <v>12425</v>
      </c>
      <c r="L2339" s="3" t="s">
        <v>12426</v>
      </c>
      <c r="M2339" s="4"/>
      <c r="N2339" s="3" t="s">
        <v>37</v>
      </c>
      <c r="O2339" s="3" t="s">
        <v>38</v>
      </c>
      <c r="P2339" s="5">
        <v>22</v>
      </c>
      <c r="Q2339" s="5">
        <v>471</v>
      </c>
      <c r="R2339" s="5">
        <v>23</v>
      </c>
      <c r="S2339" s="5">
        <v>504</v>
      </c>
    </row>
    <row r="2340" spans="1:19" ht="42" x14ac:dyDescent="0.15">
      <c r="A2340" s="2">
        <f>HYPERLINK("https://open-school.uspishnemisto.com.ua/school/120766/", 120766)</f>
        <v>120766</v>
      </c>
      <c r="B2340" s="3" t="s">
        <v>12427</v>
      </c>
      <c r="C2340" s="3" t="s">
        <v>31</v>
      </c>
      <c r="D2340" s="3" t="s">
        <v>32</v>
      </c>
      <c r="E2340" s="4" t="s">
        <v>22</v>
      </c>
      <c r="F2340" s="4" t="s">
        <v>12421</v>
      </c>
      <c r="G2340" s="4" t="s">
        <v>12422</v>
      </c>
      <c r="H2340" s="3" t="s">
        <v>8487</v>
      </c>
      <c r="I2340" s="3" t="s">
        <v>12423</v>
      </c>
      <c r="J2340" s="3" t="s">
        <v>1034</v>
      </c>
      <c r="K2340" s="3" t="s">
        <v>12428</v>
      </c>
      <c r="L2340" s="3" t="s">
        <v>12429</v>
      </c>
      <c r="M2340" s="4"/>
      <c r="N2340" s="3" t="s">
        <v>37</v>
      </c>
      <c r="O2340" s="3" t="s">
        <v>70</v>
      </c>
      <c r="P2340" s="5">
        <v>41</v>
      </c>
      <c r="Q2340" s="5">
        <v>660</v>
      </c>
      <c r="R2340" s="5">
        <v>25</v>
      </c>
      <c r="S2340" s="5">
        <v>519</v>
      </c>
    </row>
    <row r="2341" spans="1:19" ht="56" x14ac:dyDescent="0.15">
      <c r="A2341" s="2">
        <f>HYPERLINK("https://open-school.uspishnemisto.com.ua/school/120768/", 120768)</f>
        <v>120768</v>
      </c>
      <c r="B2341" s="3" t="s">
        <v>12430</v>
      </c>
      <c r="C2341" s="3" t="s">
        <v>54</v>
      </c>
      <c r="D2341" s="3" t="s">
        <v>32</v>
      </c>
      <c r="E2341" s="4" t="s">
        <v>22</v>
      </c>
      <c r="F2341" s="4" t="s">
        <v>12431</v>
      </c>
      <c r="G2341" s="4" t="s">
        <v>12432</v>
      </c>
      <c r="H2341" s="3" t="s">
        <v>8487</v>
      </c>
      <c r="I2341" s="3" t="s">
        <v>12433</v>
      </c>
      <c r="J2341" s="3" t="s">
        <v>3363</v>
      </c>
      <c r="K2341" s="3" t="s">
        <v>12434</v>
      </c>
      <c r="L2341" s="3" t="s">
        <v>12435</v>
      </c>
      <c r="M2341" s="4"/>
      <c r="N2341" s="3" t="s">
        <v>37</v>
      </c>
      <c r="O2341" s="3" t="s">
        <v>112</v>
      </c>
      <c r="P2341" s="5">
        <v>8</v>
      </c>
      <c r="Q2341" s="5">
        <v>81</v>
      </c>
      <c r="R2341" s="5">
        <v>10</v>
      </c>
      <c r="S2341" s="5">
        <v>76</v>
      </c>
    </row>
    <row r="2342" spans="1:19" ht="42" x14ac:dyDescent="0.15">
      <c r="A2342" s="2">
        <f>HYPERLINK("https://open-school.uspishnemisto.com.ua/school/120769/", 120769)</f>
        <v>120769</v>
      </c>
      <c r="B2342" s="3" t="s">
        <v>12436</v>
      </c>
      <c r="C2342" s="3" t="s">
        <v>31</v>
      </c>
      <c r="D2342" s="3" t="s">
        <v>32</v>
      </c>
      <c r="E2342" s="4" t="s">
        <v>22</v>
      </c>
      <c r="F2342" s="4" t="s">
        <v>12437</v>
      </c>
      <c r="G2342" s="4" t="s">
        <v>12438</v>
      </c>
      <c r="H2342" s="3" t="s">
        <v>8487</v>
      </c>
      <c r="I2342" s="3" t="s">
        <v>12439</v>
      </c>
      <c r="J2342" s="3" t="s">
        <v>466</v>
      </c>
      <c r="K2342" s="3" t="s">
        <v>12440</v>
      </c>
      <c r="L2342" s="3" t="s">
        <v>12441</v>
      </c>
      <c r="M2342" s="4"/>
      <c r="N2342" s="3" t="s">
        <v>37</v>
      </c>
      <c r="O2342" s="3" t="s">
        <v>38</v>
      </c>
      <c r="P2342" s="5">
        <v>11</v>
      </c>
      <c r="Q2342" s="5">
        <v>165</v>
      </c>
      <c r="R2342" s="5">
        <v>11</v>
      </c>
      <c r="S2342" s="5">
        <v>178</v>
      </c>
    </row>
    <row r="2343" spans="1:19" ht="28" x14ac:dyDescent="0.15">
      <c r="A2343" s="2">
        <f>HYPERLINK("https://open-school.uspishnemisto.com.ua/school/120770/", 120770)</f>
        <v>120770</v>
      </c>
      <c r="B2343" s="3" t="s">
        <v>12442</v>
      </c>
      <c r="C2343" s="3" t="s">
        <v>31</v>
      </c>
      <c r="D2343" s="3" t="s">
        <v>32</v>
      </c>
      <c r="E2343" s="4" t="s">
        <v>22</v>
      </c>
      <c r="F2343" s="4" t="s">
        <v>12443</v>
      </c>
      <c r="G2343" s="4" t="s">
        <v>12444</v>
      </c>
      <c r="H2343" s="3" t="s">
        <v>8487</v>
      </c>
      <c r="I2343" s="3" t="s">
        <v>12445</v>
      </c>
      <c r="J2343" s="3" t="s">
        <v>6394</v>
      </c>
      <c r="K2343" s="3" t="s">
        <v>12446</v>
      </c>
      <c r="L2343" s="3"/>
      <c r="M2343" s="4"/>
      <c r="N2343" s="3" t="s">
        <v>37</v>
      </c>
      <c r="O2343" s="3" t="s">
        <v>70</v>
      </c>
      <c r="P2343" s="5">
        <v>10</v>
      </c>
      <c r="Q2343" s="5">
        <v>80</v>
      </c>
      <c r="R2343" s="5">
        <v>8</v>
      </c>
      <c r="S2343" s="5">
        <v>72</v>
      </c>
    </row>
    <row r="2344" spans="1:19" ht="42" x14ac:dyDescent="0.15">
      <c r="A2344" s="2">
        <f>HYPERLINK("https://open-school.uspishnemisto.com.ua/school/120771/", 120771)</f>
        <v>120771</v>
      </c>
      <c r="B2344" s="3" t="s">
        <v>12447</v>
      </c>
      <c r="C2344" s="3" t="s">
        <v>31</v>
      </c>
      <c r="D2344" s="3" t="s">
        <v>175</v>
      </c>
      <c r="E2344" s="4" t="s">
        <v>22</v>
      </c>
      <c r="F2344" s="4" t="s">
        <v>12448</v>
      </c>
      <c r="G2344" s="4" t="s">
        <v>12449</v>
      </c>
      <c r="H2344" s="3" t="s">
        <v>8487</v>
      </c>
      <c r="I2344" s="3" t="s">
        <v>11923</v>
      </c>
      <c r="J2344" s="3" t="s">
        <v>12450</v>
      </c>
      <c r="K2344" s="3" t="s">
        <v>12451</v>
      </c>
      <c r="L2344" s="3"/>
      <c r="M2344" s="4"/>
      <c r="N2344" s="3" t="s">
        <v>37</v>
      </c>
      <c r="O2344" s="3" t="s">
        <v>38</v>
      </c>
      <c r="P2344" s="5">
        <v>8</v>
      </c>
      <c r="Q2344" s="5">
        <v>62</v>
      </c>
      <c r="R2344" s="5">
        <v>8</v>
      </c>
      <c r="S2344" s="5">
        <v>68</v>
      </c>
    </row>
    <row r="2345" spans="1:19" ht="28" x14ac:dyDescent="0.15">
      <c r="A2345" s="2">
        <f>HYPERLINK("https://open-school.uspishnemisto.com.ua/school/120772/", 120772)</f>
        <v>120772</v>
      </c>
      <c r="B2345" s="3" t="s">
        <v>12452</v>
      </c>
      <c r="C2345" s="3" t="s">
        <v>31</v>
      </c>
      <c r="D2345" s="3" t="s">
        <v>32</v>
      </c>
      <c r="E2345" s="4" t="s">
        <v>22</v>
      </c>
      <c r="F2345" s="4" t="s">
        <v>12448</v>
      </c>
      <c r="G2345" s="4" t="s">
        <v>12449</v>
      </c>
      <c r="H2345" s="3" t="s">
        <v>8487</v>
      </c>
      <c r="I2345" s="3" t="s">
        <v>11923</v>
      </c>
      <c r="J2345" s="3" t="s">
        <v>1857</v>
      </c>
      <c r="K2345" s="3"/>
      <c r="L2345" s="3"/>
      <c r="M2345" s="4"/>
      <c r="N2345" s="3" t="s">
        <v>37</v>
      </c>
      <c r="O2345" s="3" t="s">
        <v>38</v>
      </c>
      <c r="P2345" s="5">
        <v>11</v>
      </c>
      <c r="Q2345" s="5">
        <v>213</v>
      </c>
      <c r="R2345" s="5">
        <v>11</v>
      </c>
      <c r="S2345" s="5">
        <v>206</v>
      </c>
    </row>
    <row r="2346" spans="1:19" ht="42" x14ac:dyDescent="0.15">
      <c r="A2346" s="2">
        <f>HYPERLINK("https://open-school.uspishnemisto.com.ua/school/120773/", 120773)</f>
        <v>120773</v>
      </c>
      <c r="B2346" s="3" t="s">
        <v>12453</v>
      </c>
      <c r="C2346" s="3" t="s">
        <v>31</v>
      </c>
      <c r="D2346" s="3" t="s">
        <v>175</v>
      </c>
      <c r="E2346" s="4" t="s">
        <v>22</v>
      </c>
      <c r="F2346" s="4" t="s">
        <v>12454</v>
      </c>
      <c r="G2346" s="4" t="s">
        <v>12455</v>
      </c>
      <c r="H2346" s="3" t="s">
        <v>8487</v>
      </c>
      <c r="I2346" s="3" t="s">
        <v>12456</v>
      </c>
      <c r="J2346" s="3" t="s">
        <v>2745</v>
      </c>
      <c r="K2346" s="3" t="s">
        <v>12457</v>
      </c>
      <c r="L2346" s="3" t="s">
        <v>12458</v>
      </c>
      <c r="M2346" s="4"/>
      <c r="N2346" s="3" t="s">
        <v>37</v>
      </c>
      <c r="O2346" s="3" t="s">
        <v>38</v>
      </c>
      <c r="P2346" s="5">
        <v>7</v>
      </c>
      <c r="Q2346" s="5">
        <v>59</v>
      </c>
      <c r="R2346" s="5">
        <v>8</v>
      </c>
      <c r="S2346" s="5">
        <v>65</v>
      </c>
    </row>
    <row r="2347" spans="1:19" ht="28" x14ac:dyDescent="0.15">
      <c r="A2347" s="2">
        <f>HYPERLINK("https://open-school.uspishnemisto.com.ua/school/120774/", 120774)</f>
        <v>120774</v>
      </c>
      <c r="B2347" s="3" t="s">
        <v>12459</v>
      </c>
      <c r="C2347" s="3" t="s">
        <v>31</v>
      </c>
      <c r="D2347" s="3" t="s">
        <v>32</v>
      </c>
      <c r="E2347" s="4" t="s">
        <v>22</v>
      </c>
      <c r="F2347" s="4" t="s">
        <v>12460</v>
      </c>
      <c r="G2347" s="4" t="s">
        <v>12461</v>
      </c>
      <c r="H2347" s="3" t="s">
        <v>8487</v>
      </c>
      <c r="I2347" s="3" t="s">
        <v>11330</v>
      </c>
      <c r="J2347" s="3" t="s">
        <v>3852</v>
      </c>
      <c r="K2347" s="3" t="s">
        <v>12462</v>
      </c>
      <c r="L2347" s="3"/>
      <c r="M2347" s="4"/>
      <c r="N2347" s="3" t="s">
        <v>37</v>
      </c>
      <c r="O2347" s="3" t="s">
        <v>38</v>
      </c>
      <c r="P2347" s="5">
        <v>3</v>
      </c>
      <c r="Q2347" s="5">
        <v>31</v>
      </c>
      <c r="R2347" s="5">
        <v>2</v>
      </c>
      <c r="S2347" s="5">
        <v>31</v>
      </c>
    </row>
    <row r="2348" spans="1:19" ht="70" x14ac:dyDescent="0.15">
      <c r="A2348" s="2">
        <f>HYPERLINK("https://open-school.uspishnemisto.com.ua/school/120775/", 120775)</f>
        <v>120775</v>
      </c>
      <c r="B2348" s="3" t="s">
        <v>12463</v>
      </c>
      <c r="C2348" s="3" t="s">
        <v>31</v>
      </c>
      <c r="D2348" s="3" t="s">
        <v>175</v>
      </c>
      <c r="E2348" s="4" t="s">
        <v>22</v>
      </c>
      <c r="F2348" s="4" t="s">
        <v>12464</v>
      </c>
      <c r="G2348" s="4" t="s">
        <v>12465</v>
      </c>
      <c r="H2348" s="3" t="s">
        <v>8487</v>
      </c>
      <c r="I2348" s="3" t="s">
        <v>4348</v>
      </c>
      <c r="J2348" s="3" t="s">
        <v>12466</v>
      </c>
      <c r="K2348" s="3" t="s">
        <v>12467</v>
      </c>
      <c r="L2348" s="3" t="s">
        <v>12468</v>
      </c>
      <c r="M2348" s="4"/>
      <c r="N2348" s="3" t="s">
        <v>37</v>
      </c>
      <c r="O2348" s="3" t="s">
        <v>52</v>
      </c>
      <c r="P2348" s="5">
        <v>0</v>
      </c>
      <c r="Q2348" s="5">
        <v>0</v>
      </c>
      <c r="R2348" s="5">
        <v>11</v>
      </c>
      <c r="S2348" s="5">
        <v>63</v>
      </c>
    </row>
    <row r="2349" spans="1:19" ht="42" x14ac:dyDescent="0.15">
      <c r="A2349" s="2">
        <f>HYPERLINK("https://open-school.uspishnemisto.com.ua/school/120776/", 120776)</f>
        <v>120776</v>
      </c>
      <c r="B2349" s="3" t="s">
        <v>12469</v>
      </c>
      <c r="C2349" s="3" t="s">
        <v>31</v>
      </c>
      <c r="D2349" s="3" t="s">
        <v>32</v>
      </c>
      <c r="E2349" s="4" t="s">
        <v>22</v>
      </c>
      <c r="F2349" s="4" t="s">
        <v>12470</v>
      </c>
      <c r="G2349" s="4" t="s">
        <v>12471</v>
      </c>
      <c r="H2349" s="3" t="s">
        <v>8487</v>
      </c>
      <c r="I2349" s="3" t="s">
        <v>1740</v>
      </c>
      <c r="J2349" s="3" t="s">
        <v>12472</v>
      </c>
      <c r="K2349" s="3" t="s">
        <v>12473</v>
      </c>
      <c r="L2349" s="3" t="s">
        <v>12474</v>
      </c>
      <c r="M2349" s="4"/>
      <c r="N2349" s="3" t="s">
        <v>37</v>
      </c>
      <c r="O2349" s="3" t="s">
        <v>38</v>
      </c>
      <c r="P2349" s="5">
        <v>21</v>
      </c>
      <c r="Q2349" s="5">
        <v>428</v>
      </c>
      <c r="R2349" s="5">
        <v>22</v>
      </c>
      <c r="S2349" s="5">
        <v>419</v>
      </c>
    </row>
    <row r="2350" spans="1:19" ht="42" x14ac:dyDescent="0.15">
      <c r="A2350" s="2">
        <f>HYPERLINK("https://open-school.uspishnemisto.com.ua/school/120777/", 120777)</f>
        <v>120777</v>
      </c>
      <c r="B2350" s="3" t="s">
        <v>12475</v>
      </c>
      <c r="C2350" s="3" t="s">
        <v>31</v>
      </c>
      <c r="D2350" s="3" t="s">
        <v>32</v>
      </c>
      <c r="E2350" s="4" t="s">
        <v>22</v>
      </c>
      <c r="F2350" s="4" t="s">
        <v>12476</v>
      </c>
      <c r="G2350" s="4" t="s">
        <v>12477</v>
      </c>
      <c r="H2350" s="3" t="s">
        <v>8487</v>
      </c>
      <c r="I2350" s="3" t="s">
        <v>12478</v>
      </c>
      <c r="J2350" s="3" t="s">
        <v>2226</v>
      </c>
      <c r="K2350" s="3" t="s">
        <v>12479</v>
      </c>
      <c r="L2350" s="3" t="s">
        <v>12480</v>
      </c>
      <c r="M2350" s="4"/>
      <c r="N2350" s="3" t="s">
        <v>37</v>
      </c>
      <c r="O2350" s="3" t="s">
        <v>38</v>
      </c>
      <c r="P2350" s="5">
        <v>9</v>
      </c>
      <c r="Q2350" s="5">
        <v>83</v>
      </c>
      <c r="R2350" s="5">
        <v>10</v>
      </c>
      <c r="S2350" s="5">
        <v>95</v>
      </c>
    </row>
    <row r="2351" spans="1:19" ht="70" x14ac:dyDescent="0.15">
      <c r="A2351" s="2">
        <f>HYPERLINK("https://open-school.uspishnemisto.com.ua/school/120778/", 120778)</f>
        <v>120778</v>
      </c>
      <c r="B2351" s="3" t="s">
        <v>12481</v>
      </c>
      <c r="C2351" s="3" t="s">
        <v>31</v>
      </c>
      <c r="D2351" s="3" t="s">
        <v>175</v>
      </c>
      <c r="E2351" s="4" t="s">
        <v>22</v>
      </c>
      <c r="F2351" s="4" t="s">
        <v>12482</v>
      </c>
      <c r="G2351" s="4" t="s">
        <v>12483</v>
      </c>
      <c r="H2351" s="3" t="s">
        <v>8487</v>
      </c>
      <c r="I2351" s="3" t="s">
        <v>12484</v>
      </c>
      <c r="J2351" s="3" t="s">
        <v>878</v>
      </c>
      <c r="K2351" s="3" t="s">
        <v>12485</v>
      </c>
      <c r="L2351" s="3" t="s">
        <v>12486</v>
      </c>
      <c r="M2351" s="4"/>
      <c r="N2351" s="3" t="s">
        <v>37</v>
      </c>
      <c r="O2351" s="3" t="s">
        <v>52</v>
      </c>
      <c r="P2351" s="5">
        <v>0</v>
      </c>
      <c r="Q2351" s="5">
        <v>0</v>
      </c>
      <c r="R2351" s="5">
        <v>9</v>
      </c>
      <c r="S2351" s="5">
        <v>83</v>
      </c>
    </row>
    <row r="2352" spans="1:19" ht="42" x14ac:dyDescent="0.15">
      <c r="A2352" s="2">
        <f>HYPERLINK("https://open-school.uspishnemisto.com.ua/school/120779/", 120779)</f>
        <v>120779</v>
      </c>
      <c r="B2352" s="3" t="s">
        <v>12487</v>
      </c>
      <c r="C2352" s="3" t="s">
        <v>54</v>
      </c>
      <c r="D2352" s="3" t="s">
        <v>32</v>
      </c>
      <c r="E2352" s="4" t="s">
        <v>22</v>
      </c>
      <c r="F2352" s="4" t="s">
        <v>12488</v>
      </c>
      <c r="G2352" s="4" t="s">
        <v>12489</v>
      </c>
      <c r="H2352" s="3" t="s">
        <v>8487</v>
      </c>
      <c r="I2352" s="3" t="s">
        <v>12351</v>
      </c>
      <c r="J2352" s="3" t="s">
        <v>1668</v>
      </c>
      <c r="K2352" s="3" t="s">
        <v>12490</v>
      </c>
      <c r="L2352" s="3" t="s">
        <v>12491</v>
      </c>
      <c r="M2352" s="4"/>
      <c r="N2352" s="3" t="s">
        <v>37</v>
      </c>
      <c r="O2352" s="3" t="s">
        <v>38</v>
      </c>
      <c r="P2352" s="5">
        <v>11</v>
      </c>
      <c r="Q2352" s="5">
        <v>125</v>
      </c>
      <c r="R2352" s="5">
        <v>11</v>
      </c>
      <c r="S2352" s="5">
        <v>126</v>
      </c>
    </row>
    <row r="2353" spans="1:19" ht="42" x14ac:dyDescent="0.15">
      <c r="A2353" s="2">
        <f>HYPERLINK("https://open-school.uspishnemisto.com.ua/school/120780/", 120780)</f>
        <v>120780</v>
      </c>
      <c r="B2353" s="3" t="s">
        <v>12492</v>
      </c>
      <c r="C2353" s="3" t="s">
        <v>31</v>
      </c>
      <c r="D2353" s="3" t="s">
        <v>32</v>
      </c>
      <c r="E2353" s="4" t="s">
        <v>22</v>
      </c>
      <c r="F2353" s="4" t="s">
        <v>12493</v>
      </c>
      <c r="G2353" s="4" t="s">
        <v>12494</v>
      </c>
      <c r="H2353" s="3" t="s">
        <v>8487</v>
      </c>
      <c r="I2353" s="3" t="s">
        <v>12495</v>
      </c>
      <c r="J2353" s="3" t="s">
        <v>466</v>
      </c>
      <c r="K2353" s="3" t="s">
        <v>12496</v>
      </c>
      <c r="L2353" s="3" t="s">
        <v>12497</v>
      </c>
      <c r="M2353" s="4"/>
      <c r="N2353" s="3" t="s">
        <v>37</v>
      </c>
      <c r="O2353" s="3" t="s">
        <v>38</v>
      </c>
      <c r="P2353" s="5">
        <v>11</v>
      </c>
      <c r="Q2353" s="5">
        <v>98</v>
      </c>
      <c r="R2353" s="5">
        <v>11</v>
      </c>
      <c r="S2353" s="5">
        <v>102</v>
      </c>
    </row>
    <row r="2354" spans="1:19" ht="42" x14ac:dyDescent="0.15">
      <c r="A2354" s="2">
        <f>HYPERLINK("https://open-school.uspishnemisto.com.ua/school/120781/", 120781)</f>
        <v>120781</v>
      </c>
      <c r="B2354" s="3" t="s">
        <v>12498</v>
      </c>
      <c r="C2354" s="3" t="s">
        <v>31</v>
      </c>
      <c r="D2354" s="3" t="s">
        <v>32</v>
      </c>
      <c r="E2354" s="4" t="s">
        <v>22</v>
      </c>
      <c r="F2354" s="4" t="s">
        <v>12499</v>
      </c>
      <c r="G2354" s="4" t="s">
        <v>12500</v>
      </c>
      <c r="H2354" s="3" t="s">
        <v>8487</v>
      </c>
      <c r="I2354" s="3" t="s">
        <v>12501</v>
      </c>
      <c r="J2354" s="3" t="s">
        <v>952</v>
      </c>
      <c r="K2354" s="3" t="s">
        <v>12502</v>
      </c>
      <c r="L2354" s="3" t="s">
        <v>12503</v>
      </c>
      <c r="M2354" s="4"/>
      <c r="N2354" s="3" t="s">
        <v>37</v>
      </c>
      <c r="O2354" s="3" t="s">
        <v>52</v>
      </c>
      <c r="P2354" s="5">
        <v>10</v>
      </c>
      <c r="Q2354" s="5">
        <v>84</v>
      </c>
      <c r="R2354" s="5">
        <v>10</v>
      </c>
      <c r="S2354" s="5">
        <v>88</v>
      </c>
    </row>
    <row r="2355" spans="1:19" ht="56" x14ac:dyDescent="0.15">
      <c r="A2355" s="2">
        <f>HYPERLINK("https://open-school.uspishnemisto.com.ua/school/120782/", 120782)</f>
        <v>120782</v>
      </c>
      <c r="B2355" s="3" t="s">
        <v>12504</v>
      </c>
      <c r="C2355" s="3" t="s">
        <v>54</v>
      </c>
      <c r="D2355" s="3" t="s">
        <v>175</v>
      </c>
      <c r="E2355" s="4" t="s">
        <v>22</v>
      </c>
      <c r="F2355" s="4" t="s">
        <v>12505</v>
      </c>
      <c r="G2355" s="4" t="s">
        <v>12506</v>
      </c>
      <c r="H2355" s="3" t="s">
        <v>8487</v>
      </c>
      <c r="I2355" s="3" t="s">
        <v>12001</v>
      </c>
      <c r="J2355" s="3" t="s">
        <v>12507</v>
      </c>
      <c r="K2355" s="3" t="s">
        <v>12508</v>
      </c>
      <c r="L2355" s="3" t="s">
        <v>12509</v>
      </c>
      <c r="M2355" s="4"/>
      <c r="N2355" s="3" t="s">
        <v>37</v>
      </c>
      <c r="O2355" s="3" t="s">
        <v>38</v>
      </c>
      <c r="P2355" s="5">
        <v>18</v>
      </c>
      <c r="Q2355" s="5">
        <v>377</v>
      </c>
      <c r="R2355" s="5">
        <v>17</v>
      </c>
      <c r="S2355" s="5">
        <v>372</v>
      </c>
    </row>
    <row r="2356" spans="1:19" ht="98" x14ac:dyDescent="0.15">
      <c r="A2356" s="2">
        <f>HYPERLINK("https://open-school.uspishnemisto.com.ua/school/120783/", 120783)</f>
        <v>120783</v>
      </c>
      <c r="B2356" s="3" t="s">
        <v>12510</v>
      </c>
      <c r="C2356" s="3" t="s">
        <v>54</v>
      </c>
      <c r="D2356" s="3" t="s">
        <v>175</v>
      </c>
      <c r="E2356" s="4" t="s">
        <v>22</v>
      </c>
      <c r="F2356" s="4" t="s">
        <v>12505</v>
      </c>
      <c r="G2356" s="4" t="s">
        <v>12506</v>
      </c>
      <c r="H2356" s="3" t="s">
        <v>8487</v>
      </c>
      <c r="I2356" s="3" t="s">
        <v>12001</v>
      </c>
      <c r="J2356" s="3" t="s">
        <v>12511</v>
      </c>
      <c r="K2356" s="3" t="s">
        <v>12512</v>
      </c>
      <c r="L2356" s="3" t="s">
        <v>12513</v>
      </c>
      <c r="M2356" s="4"/>
      <c r="N2356" s="3" t="s">
        <v>37</v>
      </c>
      <c r="O2356" s="3" t="s">
        <v>52</v>
      </c>
      <c r="P2356" s="5">
        <v>0</v>
      </c>
      <c r="Q2356" s="5">
        <v>0</v>
      </c>
      <c r="R2356" s="5">
        <v>0</v>
      </c>
      <c r="S2356" s="5">
        <v>105</v>
      </c>
    </row>
    <row r="2357" spans="1:19" ht="56" x14ac:dyDescent="0.15">
      <c r="A2357" s="2">
        <f>HYPERLINK("https://open-school.uspishnemisto.com.ua/school/120784/", 120784)</f>
        <v>120784</v>
      </c>
      <c r="B2357" s="3" t="s">
        <v>12514</v>
      </c>
      <c r="C2357" s="3" t="s">
        <v>54</v>
      </c>
      <c r="D2357" s="3" t="s">
        <v>32</v>
      </c>
      <c r="E2357" s="4" t="s">
        <v>22</v>
      </c>
      <c r="F2357" s="4" t="s">
        <v>12505</v>
      </c>
      <c r="G2357" s="4" t="s">
        <v>12506</v>
      </c>
      <c r="H2357" s="3" t="s">
        <v>8487</v>
      </c>
      <c r="I2357" s="3" t="s">
        <v>12001</v>
      </c>
      <c r="J2357" s="3" t="s">
        <v>12515</v>
      </c>
      <c r="K2357" s="3" t="s">
        <v>12516</v>
      </c>
      <c r="L2357" s="3" t="s">
        <v>12517</v>
      </c>
      <c r="M2357" s="4"/>
      <c r="N2357" s="3" t="s">
        <v>37</v>
      </c>
      <c r="O2357" s="3" t="s">
        <v>38</v>
      </c>
      <c r="P2357" s="5">
        <v>38</v>
      </c>
      <c r="Q2357" s="5">
        <v>741</v>
      </c>
      <c r="R2357" s="5">
        <v>46</v>
      </c>
      <c r="S2357" s="5">
        <v>728</v>
      </c>
    </row>
    <row r="2358" spans="1:19" ht="42" x14ac:dyDescent="0.15">
      <c r="A2358" s="2">
        <f>HYPERLINK("https://open-school.uspishnemisto.com.ua/school/120785/", 120785)</f>
        <v>120785</v>
      </c>
      <c r="B2358" s="3" t="s">
        <v>12518</v>
      </c>
      <c r="C2358" s="3" t="s">
        <v>31</v>
      </c>
      <c r="D2358" s="3" t="s">
        <v>32</v>
      </c>
      <c r="E2358" s="4" t="s">
        <v>22</v>
      </c>
      <c r="F2358" s="4" t="s">
        <v>12505</v>
      </c>
      <c r="G2358" s="4" t="s">
        <v>12506</v>
      </c>
      <c r="H2358" s="3" t="s">
        <v>8487</v>
      </c>
      <c r="I2358" s="3" t="s">
        <v>12001</v>
      </c>
      <c r="J2358" s="3" t="s">
        <v>12519</v>
      </c>
      <c r="K2358" s="3" t="s">
        <v>12520</v>
      </c>
      <c r="L2358" s="3" t="s">
        <v>12521</v>
      </c>
      <c r="M2358" s="4"/>
      <c r="N2358" s="3" t="s">
        <v>37</v>
      </c>
      <c r="O2358" s="3" t="s">
        <v>38</v>
      </c>
      <c r="P2358" s="5">
        <v>20</v>
      </c>
      <c r="Q2358" s="5">
        <v>410</v>
      </c>
      <c r="R2358" s="5">
        <v>21</v>
      </c>
      <c r="S2358" s="5">
        <v>402</v>
      </c>
    </row>
    <row r="2359" spans="1:19" ht="70" x14ac:dyDescent="0.15">
      <c r="A2359" s="2">
        <f>HYPERLINK("https://open-school.uspishnemisto.com.ua/school/120786/", 120786)</f>
        <v>120786</v>
      </c>
      <c r="B2359" s="3" t="s">
        <v>12522</v>
      </c>
      <c r="C2359" s="3" t="s">
        <v>31</v>
      </c>
      <c r="D2359" s="3" t="s">
        <v>175</v>
      </c>
      <c r="E2359" s="4" t="s">
        <v>22</v>
      </c>
      <c r="F2359" s="4" t="s">
        <v>12523</v>
      </c>
      <c r="G2359" s="4" t="s">
        <v>12524</v>
      </c>
      <c r="H2359" s="3" t="s">
        <v>8487</v>
      </c>
      <c r="I2359" s="3" t="s">
        <v>11147</v>
      </c>
      <c r="J2359" s="3" t="s">
        <v>12525</v>
      </c>
      <c r="K2359" s="3" t="s">
        <v>12526</v>
      </c>
      <c r="L2359" s="3" t="s">
        <v>12527</v>
      </c>
      <c r="M2359" s="4"/>
      <c r="N2359" s="3" t="s">
        <v>37</v>
      </c>
      <c r="O2359" s="3" t="s">
        <v>52</v>
      </c>
      <c r="P2359" s="5">
        <v>0</v>
      </c>
      <c r="Q2359" s="5">
        <v>0</v>
      </c>
      <c r="R2359" s="5">
        <v>6</v>
      </c>
      <c r="S2359" s="5">
        <v>48</v>
      </c>
    </row>
    <row r="2360" spans="1:19" ht="70" x14ac:dyDescent="0.15">
      <c r="A2360" s="2">
        <f>HYPERLINK("https://open-school.uspishnemisto.com.ua/school/120787/", 120787)</f>
        <v>120787</v>
      </c>
      <c r="B2360" s="3" t="s">
        <v>12528</v>
      </c>
      <c r="C2360" s="3" t="s">
        <v>54</v>
      </c>
      <c r="D2360" s="3" t="s">
        <v>175</v>
      </c>
      <c r="E2360" s="4" t="s">
        <v>22</v>
      </c>
      <c r="F2360" s="4" t="s">
        <v>12529</v>
      </c>
      <c r="G2360" s="4" t="s">
        <v>12530</v>
      </c>
      <c r="H2360" s="3" t="s">
        <v>8487</v>
      </c>
      <c r="I2360" s="3" t="s">
        <v>12531</v>
      </c>
      <c r="J2360" s="3" t="s">
        <v>12532</v>
      </c>
      <c r="K2360" s="3" t="s">
        <v>12533</v>
      </c>
      <c r="L2360" s="3" t="s">
        <v>12534</v>
      </c>
      <c r="M2360" s="4"/>
      <c r="N2360" s="3" t="s">
        <v>37</v>
      </c>
      <c r="O2360" s="3" t="s">
        <v>52</v>
      </c>
      <c r="P2360" s="5">
        <v>0</v>
      </c>
      <c r="Q2360" s="5">
        <v>0</v>
      </c>
      <c r="R2360" s="5">
        <v>5</v>
      </c>
      <c r="S2360" s="5">
        <v>41</v>
      </c>
    </row>
    <row r="2361" spans="1:19" ht="28" x14ac:dyDescent="0.15">
      <c r="A2361" s="2">
        <f>HYPERLINK("https://open-school.uspishnemisto.com.ua/school/120788/", 120788)</f>
        <v>120788</v>
      </c>
      <c r="B2361" s="3" t="s">
        <v>12535</v>
      </c>
      <c r="C2361" s="3" t="s">
        <v>31</v>
      </c>
      <c r="D2361" s="3" t="s">
        <v>32</v>
      </c>
      <c r="E2361" s="4" t="s">
        <v>22</v>
      </c>
      <c r="F2361" s="4" t="s">
        <v>12536</v>
      </c>
      <c r="G2361" s="4" t="s">
        <v>12537</v>
      </c>
      <c r="H2361" s="3" t="s">
        <v>8487</v>
      </c>
      <c r="I2361" s="3" t="s">
        <v>12538</v>
      </c>
      <c r="J2361" s="3" t="s">
        <v>12539</v>
      </c>
      <c r="K2361" s="3" t="s">
        <v>12540</v>
      </c>
      <c r="L2361" s="3" t="s">
        <v>12541</v>
      </c>
      <c r="M2361" s="4"/>
      <c r="N2361" s="3" t="s">
        <v>37</v>
      </c>
      <c r="O2361" s="3" t="s">
        <v>38</v>
      </c>
      <c r="P2361" s="5">
        <v>21</v>
      </c>
      <c r="Q2361" s="5">
        <v>439</v>
      </c>
      <c r="R2361" s="5">
        <v>21</v>
      </c>
      <c r="S2361" s="5">
        <v>438</v>
      </c>
    </row>
    <row r="2362" spans="1:19" ht="42" x14ac:dyDescent="0.15">
      <c r="A2362" s="2">
        <f>HYPERLINK("https://open-school.uspishnemisto.com.ua/school/120789/", 120789)</f>
        <v>120789</v>
      </c>
      <c r="B2362" s="3" t="s">
        <v>12542</v>
      </c>
      <c r="C2362" s="3" t="s">
        <v>31</v>
      </c>
      <c r="D2362" s="3" t="s">
        <v>32</v>
      </c>
      <c r="E2362" s="4" t="s">
        <v>22</v>
      </c>
      <c r="F2362" s="4" t="s">
        <v>12543</v>
      </c>
      <c r="G2362" s="4" t="s">
        <v>12544</v>
      </c>
      <c r="H2362" s="3" t="s">
        <v>8487</v>
      </c>
      <c r="I2362" s="3" t="s">
        <v>12545</v>
      </c>
      <c r="J2362" s="3" t="s">
        <v>2601</v>
      </c>
      <c r="K2362" s="3" t="s">
        <v>12546</v>
      </c>
      <c r="L2362" s="3" t="s">
        <v>12547</v>
      </c>
      <c r="M2362" s="4"/>
      <c r="N2362" s="3" t="s">
        <v>37</v>
      </c>
      <c r="O2362" s="3" t="s">
        <v>38</v>
      </c>
      <c r="P2362" s="5">
        <v>10</v>
      </c>
      <c r="Q2362" s="5">
        <v>111</v>
      </c>
      <c r="R2362" s="5">
        <v>10</v>
      </c>
      <c r="S2362" s="5">
        <v>115</v>
      </c>
    </row>
    <row r="2363" spans="1:19" ht="56" x14ac:dyDescent="0.15">
      <c r="A2363" s="2">
        <f>HYPERLINK("https://open-school.uspishnemisto.com.ua/school/120790/", 120790)</f>
        <v>120790</v>
      </c>
      <c r="B2363" s="3" t="s">
        <v>12548</v>
      </c>
      <c r="C2363" s="3" t="s">
        <v>54</v>
      </c>
      <c r="D2363" s="3" t="s">
        <v>32</v>
      </c>
      <c r="E2363" s="4" t="s">
        <v>22</v>
      </c>
      <c r="F2363" s="4" t="s">
        <v>12549</v>
      </c>
      <c r="G2363" s="4" t="s">
        <v>12550</v>
      </c>
      <c r="H2363" s="3" t="s">
        <v>8487</v>
      </c>
      <c r="I2363" s="3" t="s">
        <v>12551</v>
      </c>
      <c r="J2363" s="3" t="s">
        <v>12552</v>
      </c>
      <c r="K2363" s="3" t="s">
        <v>12553</v>
      </c>
      <c r="L2363" s="3" t="s">
        <v>12554</v>
      </c>
      <c r="M2363" s="4"/>
      <c r="N2363" s="3" t="s">
        <v>37</v>
      </c>
      <c r="O2363" s="3" t="s">
        <v>38</v>
      </c>
      <c r="P2363" s="5">
        <v>11</v>
      </c>
      <c r="Q2363" s="5">
        <v>156</v>
      </c>
      <c r="R2363" s="5">
        <v>11</v>
      </c>
      <c r="S2363" s="5">
        <v>145</v>
      </c>
    </row>
    <row r="2364" spans="1:19" ht="28" x14ac:dyDescent="0.15">
      <c r="A2364" s="2">
        <f>HYPERLINK("https://open-school.uspishnemisto.com.ua/school/120791/", 120791)</f>
        <v>120791</v>
      </c>
      <c r="B2364" s="3" t="s">
        <v>12555</v>
      </c>
      <c r="C2364" s="3" t="s">
        <v>31</v>
      </c>
      <c r="D2364" s="3" t="s">
        <v>32</v>
      </c>
      <c r="E2364" s="4" t="s">
        <v>22</v>
      </c>
      <c r="F2364" s="4" t="s">
        <v>12556</v>
      </c>
      <c r="G2364" s="4" t="s">
        <v>12557</v>
      </c>
      <c r="H2364" s="3" t="s">
        <v>8487</v>
      </c>
      <c r="I2364" s="3" t="s">
        <v>12558</v>
      </c>
      <c r="J2364" s="3" t="s">
        <v>12559</v>
      </c>
      <c r="K2364" s="3" t="s">
        <v>12560</v>
      </c>
      <c r="L2364" s="3" t="s">
        <v>12561</v>
      </c>
      <c r="M2364" s="4" t="s">
        <v>12562</v>
      </c>
      <c r="N2364" s="3" t="s">
        <v>37</v>
      </c>
      <c r="O2364" s="3" t="s">
        <v>38</v>
      </c>
      <c r="P2364" s="5">
        <v>10</v>
      </c>
      <c r="Q2364" s="5">
        <v>105</v>
      </c>
      <c r="R2364" s="5">
        <v>10</v>
      </c>
      <c r="S2364" s="5">
        <v>104</v>
      </c>
    </row>
    <row r="2365" spans="1:19" ht="42" x14ac:dyDescent="0.15">
      <c r="A2365" s="2">
        <f>HYPERLINK("https://open-school.uspishnemisto.com.ua/school/120792/", 120792)</f>
        <v>120792</v>
      </c>
      <c r="B2365" s="3" t="s">
        <v>12563</v>
      </c>
      <c r="C2365" s="3" t="s">
        <v>31</v>
      </c>
      <c r="D2365" s="3" t="s">
        <v>32</v>
      </c>
      <c r="E2365" s="4" t="s">
        <v>22</v>
      </c>
      <c r="F2365" s="4" t="s">
        <v>12564</v>
      </c>
      <c r="G2365" s="4" t="s">
        <v>12565</v>
      </c>
      <c r="H2365" s="3" t="s">
        <v>8487</v>
      </c>
      <c r="I2365" s="3" t="s">
        <v>12566</v>
      </c>
      <c r="J2365" s="3" t="s">
        <v>5606</v>
      </c>
      <c r="K2365" s="3" t="s">
        <v>12567</v>
      </c>
      <c r="L2365" s="3" t="s">
        <v>12568</v>
      </c>
      <c r="M2365" s="4" t="s">
        <v>12569</v>
      </c>
      <c r="N2365" s="3" t="s">
        <v>37</v>
      </c>
      <c r="O2365" s="3" t="s">
        <v>38</v>
      </c>
      <c r="P2365" s="5">
        <v>11</v>
      </c>
      <c r="Q2365" s="5">
        <v>180</v>
      </c>
      <c r="R2365" s="5">
        <v>11</v>
      </c>
      <c r="S2365" s="5">
        <v>177</v>
      </c>
    </row>
    <row r="2366" spans="1:19" ht="56" x14ac:dyDescent="0.15">
      <c r="A2366" s="2">
        <f>HYPERLINK("https://open-school.uspishnemisto.com.ua/school/120793/", 120793)</f>
        <v>120793</v>
      </c>
      <c r="B2366" s="3" t="s">
        <v>12570</v>
      </c>
      <c r="C2366" s="3" t="s">
        <v>54</v>
      </c>
      <c r="D2366" s="3" t="s">
        <v>175</v>
      </c>
      <c r="E2366" s="4" t="s">
        <v>22</v>
      </c>
      <c r="F2366" s="4" t="s">
        <v>12571</v>
      </c>
      <c r="G2366" s="4" t="s">
        <v>12572</v>
      </c>
      <c r="H2366" s="3" t="s">
        <v>8487</v>
      </c>
      <c r="I2366" s="3" t="s">
        <v>2900</v>
      </c>
      <c r="J2366" s="3" t="s">
        <v>554</v>
      </c>
      <c r="K2366" s="3" t="s">
        <v>12573</v>
      </c>
      <c r="L2366" s="3" t="s">
        <v>12574</v>
      </c>
      <c r="M2366" s="4" t="s">
        <v>12575</v>
      </c>
      <c r="N2366" s="3" t="s">
        <v>37</v>
      </c>
      <c r="O2366" s="3" t="s">
        <v>38</v>
      </c>
      <c r="P2366" s="5">
        <v>3</v>
      </c>
      <c r="Q2366" s="5">
        <v>37</v>
      </c>
      <c r="R2366" s="5">
        <v>3</v>
      </c>
      <c r="S2366" s="5">
        <v>36</v>
      </c>
    </row>
    <row r="2367" spans="1:19" ht="28" x14ac:dyDescent="0.15">
      <c r="A2367" s="2">
        <f>HYPERLINK("https://open-school.uspishnemisto.com.ua/school/120794/", 120794)</f>
        <v>120794</v>
      </c>
      <c r="B2367" s="3" t="s">
        <v>12576</v>
      </c>
      <c r="C2367" s="3" t="s">
        <v>31</v>
      </c>
      <c r="D2367" s="3" t="s">
        <v>32</v>
      </c>
      <c r="E2367" s="4" t="s">
        <v>22</v>
      </c>
      <c r="F2367" s="4" t="s">
        <v>12577</v>
      </c>
      <c r="G2367" s="4" t="s">
        <v>12578</v>
      </c>
      <c r="H2367" s="3" t="s">
        <v>8487</v>
      </c>
      <c r="I2367" s="3" t="s">
        <v>12579</v>
      </c>
      <c r="J2367" s="3" t="s">
        <v>12580</v>
      </c>
      <c r="K2367" s="3" t="s">
        <v>12581</v>
      </c>
      <c r="L2367" s="3"/>
      <c r="M2367" s="4"/>
      <c r="N2367" s="3" t="s">
        <v>37</v>
      </c>
      <c r="O2367" s="3" t="s">
        <v>38</v>
      </c>
      <c r="P2367" s="5">
        <v>10</v>
      </c>
      <c r="Q2367" s="5">
        <v>124</v>
      </c>
      <c r="R2367" s="5">
        <v>10</v>
      </c>
      <c r="S2367" s="5">
        <v>124</v>
      </c>
    </row>
    <row r="2368" spans="1:19" ht="42" x14ac:dyDescent="0.15">
      <c r="A2368" s="2">
        <f>HYPERLINK("https://open-school.uspishnemisto.com.ua/school/120795/", 120795)</f>
        <v>120795</v>
      </c>
      <c r="B2368" s="3" t="s">
        <v>12582</v>
      </c>
      <c r="C2368" s="3" t="s">
        <v>31</v>
      </c>
      <c r="D2368" s="3" t="s">
        <v>32</v>
      </c>
      <c r="E2368" s="4" t="s">
        <v>22</v>
      </c>
      <c r="F2368" s="4" t="s">
        <v>12583</v>
      </c>
      <c r="G2368" s="4" t="s">
        <v>12584</v>
      </c>
      <c r="H2368" s="3" t="s">
        <v>8487</v>
      </c>
      <c r="I2368" s="3" t="s">
        <v>12585</v>
      </c>
      <c r="J2368" s="3" t="s">
        <v>664</v>
      </c>
      <c r="K2368" s="3" t="s">
        <v>12586</v>
      </c>
      <c r="L2368" s="3" t="s">
        <v>12587</v>
      </c>
      <c r="M2368" s="4" t="s">
        <v>12588</v>
      </c>
      <c r="N2368" s="3" t="s">
        <v>37</v>
      </c>
      <c r="O2368" s="3" t="s">
        <v>38</v>
      </c>
      <c r="P2368" s="5">
        <v>11</v>
      </c>
      <c r="Q2368" s="5">
        <v>158</v>
      </c>
      <c r="R2368" s="5">
        <v>11</v>
      </c>
      <c r="S2368" s="5">
        <v>163</v>
      </c>
    </row>
    <row r="2369" spans="1:19" ht="28" x14ac:dyDescent="0.15">
      <c r="A2369" s="2">
        <f>HYPERLINK("https://open-school.uspishnemisto.com.ua/school/120796/", 120796)</f>
        <v>120796</v>
      </c>
      <c r="B2369" s="3" t="s">
        <v>12589</v>
      </c>
      <c r="C2369" s="3" t="s">
        <v>31</v>
      </c>
      <c r="D2369" s="3" t="s">
        <v>32</v>
      </c>
      <c r="E2369" s="4" t="s">
        <v>22</v>
      </c>
      <c r="F2369" s="4" t="s">
        <v>12590</v>
      </c>
      <c r="G2369" s="4" t="s">
        <v>12591</v>
      </c>
      <c r="H2369" s="3" t="s">
        <v>8487</v>
      </c>
      <c r="I2369" s="3" t="s">
        <v>12592</v>
      </c>
      <c r="J2369" s="3" t="s">
        <v>2555</v>
      </c>
      <c r="K2369" s="3" t="s">
        <v>12593</v>
      </c>
      <c r="L2369" s="3"/>
      <c r="M2369" s="4"/>
      <c r="N2369" s="3" t="s">
        <v>37</v>
      </c>
      <c r="O2369" s="3" t="s">
        <v>38</v>
      </c>
      <c r="P2369" s="5">
        <v>10</v>
      </c>
      <c r="Q2369" s="5">
        <v>143</v>
      </c>
      <c r="R2369" s="5">
        <v>10</v>
      </c>
      <c r="S2369" s="5">
        <v>137</v>
      </c>
    </row>
    <row r="2370" spans="1:19" ht="70" x14ac:dyDescent="0.15">
      <c r="A2370" s="2">
        <f>HYPERLINK("https://open-school.uspishnemisto.com.ua/school/120797/", 120797)</f>
        <v>120797</v>
      </c>
      <c r="B2370" s="3" t="s">
        <v>12594</v>
      </c>
      <c r="C2370" s="3" t="s">
        <v>54</v>
      </c>
      <c r="D2370" s="3" t="s">
        <v>32</v>
      </c>
      <c r="E2370" s="4" t="s">
        <v>22</v>
      </c>
      <c r="F2370" s="4" t="s">
        <v>12595</v>
      </c>
      <c r="G2370" s="4" t="s">
        <v>12596</v>
      </c>
      <c r="H2370" s="3" t="s">
        <v>8487</v>
      </c>
      <c r="I2370" s="3" t="s">
        <v>11578</v>
      </c>
      <c r="J2370" s="3" t="s">
        <v>952</v>
      </c>
      <c r="K2370" s="3" t="s">
        <v>12597</v>
      </c>
      <c r="L2370" s="3" t="s">
        <v>12598</v>
      </c>
      <c r="M2370" s="4" t="s">
        <v>12599</v>
      </c>
      <c r="N2370" s="3" t="s">
        <v>37</v>
      </c>
      <c r="O2370" s="3" t="s">
        <v>721</v>
      </c>
      <c r="P2370" s="5">
        <v>13</v>
      </c>
      <c r="Q2370" s="5">
        <v>238</v>
      </c>
      <c r="R2370" s="5">
        <v>13</v>
      </c>
      <c r="S2370" s="5">
        <v>240</v>
      </c>
    </row>
    <row r="2371" spans="1:19" ht="42" x14ac:dyDescent="0.15">
      <c r="A2371" s="2">
        <f>HYPERLINK("https://open-school.uspishnemisto.com.ua/school/120798/", 120798)</f>
        <v>120798</v>
      </c>
      <c r="B2371" s="3" t="s">
        <v>12600</v>
      </c>
      <c r="C2371" s="3" t="s">
        <v>54</v>
      </c>
      <c r="D2371" s="3" t="s">
        <v>32</v>
      </c>
      <c r="E2371" s="4" t="s">
        <v>22</v>
      </c>
      <c r="F2371" s="4" t="s">
        <v>12601</v>
      </c>
      <c r="G2371" s="4" t="s">
        <v>12602</v>
      </c>
      <c r="H2371" s="3" t="s">
        <v>8487</v>
      </c>
      <c r="I2371" s="3" t="s">
        <v>12603</v>
      </c>
      <c r="J2371" s="3" t="s">
        <v>12604</v>
      </c>
      <c r="K2371" s="3" t="s">
        <v>12605</v>
      </c>
      <c r="L2371" s="3" t="s">
        <v>12606</v>
      </c>
      <c r="M2371" s="4"/>
      <c r="N2371" s="3" t="s">
        <v>37</v>
      </c>
      <c r="O2371" s="3" t="s">
        <v>38</v>
      </c>
      <c r="P2371" s="5">
        <v>8</v>
      </c>
      <c r="Q2371" s="5">
        <v>65</v>
      </c>
      <c r="R2371" s="5">
        <v>9</v>
      </c>
      <c r="S2371" s="5">
        <v>66</v>
      </c>
    </row>
    <row r="2372" spans="1:19" ht="28" x14ac:dyDescent="0.15">
      <c r="A2372" s="2">
        <f>HYPERLINK("https://open-school.uspishnemisto.com.ua/school/120799/", 120799)</f>
        <v>120799</v>
      </c>
      <c r="B2372" s="3" t="s">
        <v>12607</v>
      </c>
      <c r="C2372" s="3" t="s">
        <v>31</v>
      </c>
      <c r="D2372" s="3" t="s">
        <v>32</v>
      </c>
      <c r="E2372" s="4" t="s">
        <v>22</v>
      </c>
      <c r="F2372" s="4" t="s">
        <v>12608</v>
      </c>
      <c r="G2372" s="4" t="s">
        <v>12609</v>
      </c>
      <c r="H2372" s="3" t="s">
        <v>8487</v>
      </c>
      <c r="I2372" s="3" t="s">
        <v>12610</v>
      </c>
      <c r="J2372" s="3" t="s">
        <v>12611</v>
      </c>
      <c r="K2372" s="3" t="s">
        <v>12612</v>
      </c>
      <c r="L2372" s="3" t="s">
        <v>12613</v>
      </c>
      <c r="M2372" s="4"/>
      <c r="N2372" s="3" t="s">
        <v>128</v>
      </c>
      <c r="O2372" s="3" t="s">
        <v>38</v>
      </c>
      <c r="P2372" s="5">
        <v>31</v>
      </c>
      <c r="Q2372" s="5">
        <v>703</v>
      </c>
      <c r="R2372" s="5">
        <v>30</v>
      </c>
      <c r="S2372" s="5">
        <v>680</v>
      </c>
    </row>
    <row r="2373" spans="1:19" ht="28" x14ac:dyDescent="0.15">
      <c r="A2373" s="2">
        <f>HYPERLINK("https://open-school.uspishnemisto.com.ua/school/120800/", 120800)</f>
        <v>120800</v>
      </c>
      <c r="B2373" s="3" t="s">
        <v>12614</v>
      </c>
      <c r="C2373" s="3" t="s">
        <v>31</v>
      </c>
      <c r="D2373" s="3" t="s">
        <v>32</v>
      </c>
      <c r="E2373" s="4" t="s">
        <v>22</v>
      </c>
      <c r="F2373" s="4" t="s">
        <v>12608</v>
      </c>
      <c r="G2373" s="4" t="s">
        <v>12609</v>
      </c>
      <c r="H2373" s="3" t="s">
        <v>8487</v>
      </c>
      <c r="I2373" s="3" t="s">
        <v>12610</v>
      </c>
      <c r="J2373" s="3" t="s">
        <v>12615</v>
      </c>
      <c r="K2373" s="3" t="s">
        <v>12616</v>
      </c>
      <c r="L2373" s="3" t="s">
        <v>12617</v>
      </c>
      <c r="M2373" s="4"/>
      <c r="N2373" s="3" t="s">
        <v>37</v>
      </c>
      <c r="O2373" s="3" t="s">
        <v>38</v>
      </c>
      <c r="P2373" s="5">
        <v>24</v>
      </c>
      <c r="Q2373" s="5">
        <v>507</v>
      </c>
      <c r="R2373" s="5">
        <v>22</v>
      </c>
      <c r="S2373" s="5">
        <v>494</v>
      </c>
    </row>
    <row r="2374" spans="1:19" ht="28" x14ac:dyDescent="0.15">
      <c r="A2374" s="2">
        <f>HYPERLINK("https://open-school.uspishnemisto.com.ua/school/120801/", 120801)</f>
        <v>120801</v>
      </c>
      <c r="B2374" s="3" t="s">
        <v>12618</v>
      </c>
      <c r="C2374" s="3" t="s">
        <v>31</v>
      </c>
      <c r="D2374" s="3" t="s">
        <v>32</v>
      </c>
      <c r="E2374" s="4" t="s">
        <v>22</v>
      </c>
      <c r="F2374" s="4" t="s">
        <v>12608</v>
      </c>
      <c r="G2374" s="4" t="s">
        <v>12609</v>
      </c>
      <c r="H2374" s="3" t="s">
        <v>8487</v>
      </c>
      <c r="I2374" s="3" t="s">
        <v>12610</v>
      </c>
      <c r="J2374" s="3" t="s">
        <v>12619</v>
      </c>
      <c r="K2374" s="3" t="s">
        <v>12620</v>
      </c>
      <c r="L2374" s="3" t="s">
        <v>12621</v>
      </c>
      <c r="M2374" s="4"/>
      <c r="N2374" s="3" t="s">
        <v>37</v>
      </c>
      <c r="O2374" s="3" t="s">
        <v>38</v>
      </c>
      <c r="P2374" s="5">
        <v>22</v>
      </c>
      <c r="Q2374" s="5">
        <v>492</v>
      </c>
      <c r="R2374" s="5">
        <v>21</v>
      </c>
      <c r="S2374" s="5">
        <v>485</v>
      </c>
    </row>
    <row r="2375" spans="1:19" ht="42" x14ac:dyDescent="0.15">
      <c r="A2375" s="2">
        <f>HYPERLINK("https://open-school.uspishnemisto.com.ua/school/120802/", 120802)</f>
        <v>120802</v>
      </c>
      <c r="B2375" s="3" t="s">
        <v>12622</v>
      </c>
      <c r="C2375" s="3" t="s">
        <v>31</v>
      </c>
      <c r="D2375" s="3" t="s">
        <v>32</v>
      </c>
      <c r="E2375" s="4" t="s">
        <v>22</v>
      </c>
      <c r="F2375" s="4" t="s">
        <v>12623</v>
      </c>
      <c r="G2375" s="4" t="s">
        <v>12624</v>
      </c>
      <c r="H2375" s="3" t="s">
        <v>8487</v>
      </c>
      <c r="I2375" s="3" t="s">
        <v>12579</v>
      </c>
      <c r="J2375" s="3" t="s">
        <v>12625</v>
      </c>
      <c r="K2375" s="3" t="s">
        <v>12626</v>
      </c>
      <c r="L2375" s="3" t="s">
        <v>12627</v>
      </c>
      <c r="M2375" s="4"/>
      <c r="N2375" s="3" t="s">
        <v>37</v>
      </c>
      <c r="O2375" s="3" t="s">
        <v>38</v>
      </c>
      <c r="P2375" s="5">
        <v>16</v>
      </c>
      <c r="Q2375" s="5">
        <v>263</v>
      </c>
      <c r="R2375" s="5">
        <v>16</v>
      </c>
      <c r="S2375" s="5">
        <v>265</v>
      </c>
    </row>
    <row r="2376" spans="1:19" ht="42" x14ac:dyDescent="0.15">
      <c r="A2376" s="2">
        <f>HYPERLINK("https://open-school.uspishnemisto.com.ua/school/120803/", 120803)</f>
        <v>120803</v>
      </c>
      <c r="B2376" s="3" t="s">
        <v>12628</v>
      </c>
      <c r="C2376" s="3" t="s">
        <v>31</v>
      </c>
      <c r="D2376" s="3" t="s">
        <v>32</v>
      </c>
      <c r="E2376" s="4" t="s">
        <v>22</v>
      </c>
      <c r="F2376" s="4" t="s">
        <v>12629</v>
      </c>
      <c r="G2376" s="4" t="s">
        <v>12630</v>
      </c>
      <c r="H2376" s="3" t="s">
        <v>8487</v>
      </c>
      <c r="I2376" s="3" t="s">
        <v>12631</v>
      </c>
      <c r="J2376" s="3" t="s">
        <v>532</v>
      </c>
      <c r="K2376" s="3" t="s">
        <v>12632</v>
      </c>
      <c r="L2376" s="3" t="s">
        <v>12633</v>
      </c>
      <c r="M2376" s="4"/>
      <c r="N2376" s="3" t="s">
        <v>37</v>
      </c>
      <c r="O2376" s="3" t="s">
        <v>38</v>
      </c>
      <c r="P2376" s="5">
        <v>20</v>
      </c>
      <c r="Q2376" s="5">
        <v>237</v>
      </c>
      <c r="R2376" s="5">
        <v>18</v>
      </c>
      <c r="S2376" s="5">
        <v>239</v>
      </c>
    </row>
    <row r="2377" spans="1:19" ht="42" x14ac:dyDescent="0.15">
      <c r="A2377" s="2">
        <f>HYPERLINK("https://open-school.uspishnemisto.com.ua/school/120804/", 120804)</f>
        <v>120804</v>
      </c>
      <c r="B2377" s="3" t="s">
        <v>12634</v>
      </c>
      <c r="C2377" s="3" t="s">
        <v>31</v>
      </c>
      <c r="D2377" s="3" t="s">
        <v>60</v>
      </c>
      <c r="E2377" s="4" t="s">
        <v>22</v>
      </c>
      <c r="F2377" s="4" t="s">
        <v>12635</v>
      </c>
      <c r="G2377" s="4" t="s">
        <v>12636</v>
      </c>
      <c r="H2377" s="3" t="s">
        <v>8487</v>
      </c>
      <c r="I2377" s="3" t="s">
        <v>12637</v>
      </c>
      <c r="J2377" s="3" t="s">
        <v>466</v>
      </c>
      <c r="K2377" s="3"/>
      <c r="L2377" s="3"/>
      <c r="M2377" s="4"/>
      <c r="N2377" s="3"/>
      <c r="O2377" s="3"/>
      <c r="P2377" s="5">
        <v>1</v>
      </c>
      <c r="Q2377" s="5">
        <v>14</v>
      </c>
      <c r="R2377" s="5"/>
      <c r="S2377" s="5"/>
    </row>
    <row r="2378" spans="1:19" ht="28" x14ac:dyDescent="0.15">
      <c r="A2378" s="2">
        <f>HYPERLINK("https://open-school.uspishnemisto.com.ua/school/120805/", 120805)</f>
        <v>120805</v>
      </c>
      <c r="B2378" s="3" t="s">
        <v>12638</v>
      </c>
      <c r="C2378" s="3" t="s">
        <v>54</v>
      </c>
      <c r="D2378" s="3" t="s">
        <v>32</v>
      </c>
      <c r="E2378" s="4" t="s">
        <v>22</v>
      </c>
      <c r="F2378" s="4" t="s">
        <v>12639</v>
      </c>
      <c r="G2378" s="4" t="s">
        <v>12640</v>
      </c>
      <c r="H2378" s="3" t="s">
        <v>8487</v>
      </c>
      <c r="I2378" s="3" t="s">
        <v>12641</v>
      </c>
      <c r="J2378" s="3" t="s">
        <v>12642</v>
      </c>
      <c r="K2378" s="3" t="s">
        <v>12643</v>
      </c>
      <c r="L2378" s="3" t="s">
        <v>12644</v>
      </c>
      <c r="M2378" s="4"/>
      <c r="N2378" s="3" t="s">
        <v>37</v>
      </c>
      <c r="O2378" s="3" t="s">
        <v>38</v>
      </c>
      <c r="P2378" s="5">
        <v>8</v>
      </c>
      <c r="Q2378" s="5">
        <v>53</v>
      </c>
      <c r="R2378" s="5">
        <v>10</v>
      </c>
      <c r="S2378" s="5">
        <v>57</v>
      </c>
    </row>
    <row r="2379" spans="1:19" ht="28" x14ac:dyDescent="0.15">
      <c r="A2379" s="2">
        <f>HYPERLINK("https://open-school.uspishnemisto.com.ua/school/120806/", 120806)</f>
        <v>120806</v>
      </c>
      <c r="B2379" s="3" t="s">
        <v>12645</v>
      </c>
      <c r="C2379" s="3" t="s">
        <v>31</v>
      </c>
      <c r="D2379" s="3" t="s">
        <v>175</v>
      </c>
      <c r="E2379" s="4" t="s">
        <v>22</v>
      </c>
      <c r="F2379" s="4" t="s">
        <v>12646</v>
      </c>
      <c r="G2379" s="4" t="s">
        <v>12647</v>
      </c>
      <c r="H2379" s="3" t="s">
        <v>8487</v>
      </c>
      <c r="I2379" s="3" t="s">
        <v>12648</v>
      </c>
      <c r="J2379" s="3" t="s">
        <v>12649</v>
      </c>
      <c r="K2379" s="3" t="s">
        <v>12650</v>
      </c>
      <c r="L2379" s="3"/>
      <c r="M2379" s="4"/>
      <c r="N2379" s="3" t="s">
        <v>37</v>
      </c>
      <c r="O2379" s="3" t="s">
        <v>38</v>
      </c>
      <c r="P2379" s="5">
        <v>9</v>
      </c>
      <c r="Q2379" s="5">
        <v>72</v>
      </c>
      <c r="R2379" s="5">
        <v>8</v>
      </c>
      <c r="S2379" s="5">
        <v>67</v>
      </c>
    </row>
    <row r="2380" spans="1:19" ht="28" x14ac:dyDescent="0.15">
      <c r="A2380" s="2">
        <f>HYPERLINK("https://open-school.uspishnemisto.com.ua/school/120807/", 120807)</f>
        <v>120807</v>
      </c>
      <c r="B2380" s="3" t="s">
        <v>12651</v>
      </c>
      <c r="C2380" s="3" t="s">
        <v>31</v>
      </c>
      <c r="D2380" s="3" t="s">
        <v>175</v>
      </c>
      <c r="E2380" s="4" t="s">
        <v>22</v>
      </c>
      <c r="F2380" s="4" t="s">
        <v>12652</v>
      </c>
      <c r="G2380" s="4" t="s">
        <v>12653</v>
      </c>
      <c r="H2380" s="3" t="s">
        <v>8487</v>
      </c>
      <c r="I2380" s="3" t="s">
        <v>1889</v>
      </c>
      <c r="J2380" s="3" t="s">
        <v>12654</v>
      </c>
      <c r="K2380" s="3" t="s">
        <v>12655</v>
      </c>
      <c r="L2380" s="3" t="s">
        <v>12656</v>
      </c>
      <c r="M2380" s="4"/>
      <c r="N2380" s="3" t="s">
        <v>37</v>
      </c>
      <c r="O2380" s="3" t="s">
        <v>38</v>
      </c>
      <c r="P2380" s="5">
        <v>9</v>
      </c>
      <c r="Q2380" s="5">
        <v>72</v>
      </c>
      <c r="R2380" s="5">
        <v>8</v>
      </c>
      <c r="S2380" s="5">
        <v>62</v>
      </c>
    </row>
    <row r="2381" spans="1:19" ht="28" x14ac:dyDescent="0.15">
      <c r="A2381" s="2">
        <f>HYPERLINK("https://open-school.uspishnemisto.com.ua/school/120808/", 120808)</f>
        <v>120808</v>
      </c>
      <c r="B2381" s="3" t="s">
        <v>12657</v>
      </c>
      <c r="C2381" s="3" t="s">
        <v>31</v>
      </c>
      <c r="D2381" s="3" t="s">
        <v>32</v>
      </c>
      <c r="E2381" s="4" t="s">
        <v>22</v>
      </c>
      <c r="F2381" s="4" t="s">
        <v>12658</v>
      </c>
      <c r="G2381" s="4" t="s">
        <v>12659</v>
      </c>
      <c r="H2381" s="3" t="s">
        <v>8487</v>
      </c>
      <c r="I2381" s="3" t="s">
        <v>12660</v>
      </c>
      <c r="J2381" s="3" t="s">
        <v>12661</v>
      </c>
      <c r="K2381" s="3" t="s">
        <v>12662</v>
      </c>
      <c r="L2381" s="3" t="s">
        <v>12663</v>
      </c>
      <c r="M2381" s="4"/>
      <c r="N2381" s="3" t="s">
        <v>37</v>
      </c>
      <c r="O2381" s="3" t="s">
        <v>38</v>
      </c>
      <c r="P2381" s="5">
        <v>10</v>
      </c>
      <c r="Q2381" s="5">
        <v>128</v>
      </c>
      <c r="R2381" s="5">
        <v>10</v>
      </c>
      <c r="S2381" s="5">
        <v>123</v>
      </c>
    </row>
    <row r="2382" spans="1:19" ht="28" x14ac:dyDescent="0.15">
      <c r="A2382" s="2">
        <f>HYPERLINK("https://open-school.uspishnemisto.com.ua/school/120809/", 120809)</f>
        <v>120809</v>
      </c>
      <c r="B2382" s="3" t="s">
        <v>12664</v>
      </c>
      <c r="C2382" s="3" t="s">
        <v>31</v>
      </c>
      <c r="D2382" s="3" t="s">
        <v>32</v>
      </c>
      <c r="E2382" s="4" t="s">
        <v>22</v>
      </c>
      <c r="F2382" s="4" t="s">
        <v>12665</v>
      </c>
      <c r="G2382" s="4" t="s">
        <v>12666</v>
      </c>
      <c r="H2382" s="3" t="s">
        <v>8487</v>
      </c>
      <c r="I2382" s="3" t="s">
        <v>10836</v>
      </c>
      <c r="J2382" s="3" t="s">
        <v>12667</v>
      </c>
      <c r="K2382" s="3" t="s">
        <v>12668</v>
      </c>
      <c r="L2382" s="3"/>
      <c r="M2382" s="4"/>
      <c r="N2382" s="3" t="s">
        <v>37</v>
      </c>
      <c r="O2382" s="3" t="s">
        <v>38</v>
      </c>
      <c r="P2382" s="5">
        <v>11</v>
      </c>
      <c r="Q2382" s="5">
        <v>127</v>
      </c>
      <c r="R2382" s="5">
        <v>11</v>
      </c>
      <c r="S2382" s="5">
        <v>133</v>
      </c>
    </row>
    <row r="2383" spans="1:19" ht="28" x14ac:dyDescent="0.15">
      <c r="A2383" s="2">
        <f>HYPERLINK("https://open-school.uspishnemisto.com.ua/school/120810/", 120810)</f>
        <v>120810</v>
      </c>
      <c r="B2383" s="3" t="s">
        <v>12669</v>
      </c>
      <c r="C2383" s="3" t="s">
        <v>31</v>
      </c>
      <c r="D2383" s="3" t="s">
        <v>175</v>
      </c>
      <c r="E2383" s="4" t="s">
        <v>22</v>
      </c>
      <c r="F2383" s="4" t="s">
        <v>12665</v>
      </c>
      <c r="G2383" s="4" t="s">
        <v>12666</v>
      </c>
      <c r="H2383" s="3" t="s">
        <v>8487</v>
      </c>
      <c r="I2383" s="3" t="s">
        <v>10836</v>
      </c>
      <c r="J2383" s="3" t="s">
        <v>2253</v>
      </c>
      <c r="K2383" s="3" t="s">
        <v>12670</v>
      </c>
      <c r="L2383" s="3"/>
      <c r="M2383" s="4"/>
      <c r="N2383" s="3" t="s">
        <v>37</v>
      </c>
      <c r="O2383" s="3" t="s">
        <v>38</v>
      </c>
      <c r="P2383" s="5">
        <v>6</v>
      </c>
      <c r="Q2383" s="5">
        <v>44</v>
      </c>
      <c r="R2383" s="5">
        <v>5</v>
      </c>
      <c r="S2383" s="5">
        <v>43</v>
      </c>
    </row>
    <row r="2384" spans="1:19" ht="28" x14ac:dyDescent="0.15">
      <c r="A2384" s="2">
        <f>HYPERLINK("https://open-school.uspishnemisto.com.ua/school/120811/", 120811)</f>
        <v>120811</v>
      </c>
      <c r="B2384" s="3" t="s">
        <v>12671</v>
      </c>
      <c r="C2384" s="3" t="s">
        <v>31</v>
      </c>
      <c r="D2384" s="3" t="s">
        <v>32</v>
      </c>
      <c r="E2384" s="4" t="s">
        <v>22</v>
      </c>
      <c r="F2384" s="4" t="s">
        <v>12672</v>
      </c>
      <c r="G2384" s="4" t="s">
        <v>12673</v>
      </c>
      <c r="H2384" s="3" t="s">
        <v>8487</v>
      </c>
      <c r="I2384" s="3" t="s">
        <v>5129</v>
      </c>
      <c r="J2384" s="3" t="s">
        <v>12674</v>
      </c>
      <c r="K2384" s="3" t="s">
        <v>12675</v>
      </c>
      <c r="L2384" s="3" t="s">
        <v>12676</v>
      </c>
      <c r="M2384" s="4"/>
      <c r="N2384" s="3" t="s">
        <v>37</v>
      </c>
      <c r="O2384" s="3" t="s">
        <v>38</v>
      </c>
      <c r="P2384" s="5">
        <v>13</v>
      </c>
      <c r="Q2384" s="5">
        <v>251</v>
      </c>
      <c r="R2384" s="5">
        <v>12</v>
      </c>
      <c r="S2384" s="5">
        <v>240</v>
      </c>
    </row>
    <row r="2385" spans="1:19" ht="28" x14ac:dyDescent="0.15">
      <c r="A2385" s="2">
        <f>HYPERLINK("https://open-school.uspishnemisto.com.ua/school/120812/", 120812)</f>
        <v>120812</v>
      </c>
      <c r="B2385" s="3" t="s">
        <v>12677</v>
      </c>
      <c r="C2385" s="3" t="s">
        <v>31</v>
      </c>
      <c r="D2385" s="3" t="s">
        <v>32</v>
      </c>
      <c r="E2385" s="4" t="s">
        <v>22</v>
      </c>
      <c r="F2385" s="4" t="s">
        <v>12678</v>
      </c>
      <c r="G2385" s="4" t="s">
        <v>12679</v>
      </c>
      <c r="H2385" s="3" t="s">
        <v>8487</v>
      </c>
      <c r="I2385" s="3" t="s">
        <v>12680</v>
      </c>
      <c r="J2385" s="3" t="s">
        <v>1946</v>
      </c>
      <c r="K2385" s="3" t="s">
        <v>12681</v>
      </c>
      <c r="L2385" s="3"/>
      <c r="M2385" s="4"/>
      <c r="N2385" s="3" t="s">
        <v>37</v>
      </c>
      <c r="O2385" s="3" t="s">
        <v>38</v>
      </c>
      <c r="P2385" s="5">
        <v>9</v>
      </c>
      <c r="Q2385" s="5">
        <v>71</v>
      </c>
      <c r="R2385" s="5">
        <v>10</v>
      </c>
      <c r="S2385" s="5">
        <v>77</v>
      </c>
    </row>
    <row r="2386" spans="1:19" ht="28" x14ac:dyDescent="0.15">
      <c r="A2386" s="2">
        <f>HYPERLINK("https://open-school.uspishnemisto.com.ua/school/120813/", 120813)</f>
        <v>120813</v>
      </c>
      <c r="B2386" s="3" t="s">
        <v>12682</v>
      </c>
      <c r="C2386" s="3" t="s">
        <v>31</v>
      </c>
      <c r="D2386" s="3" t="s">
        <v>32</v>
      </c>
      <c r="E2386" s="4" t="s">
        <v>22</v>
      </c>
      <c r="F2386" s="4" t="s">
        <v>12683</v>
      </c>
      <c r="G2386" s="4" t="s">
        <v>12684</v>
      </c>
      <c r="H2386" s="3" t="s">
        <v>8487</v>
      </c>
      <c r="I2386" s="3" t="s">
        <v>12685</v>
      </c>
      <c r="J2386" s="3" t="s">
        <v>2085</v>
      </c>
      <c r="K2386" s="3" t="s">
        <v>12686</v>
      </c>
      <c r="L2386" s="3"/>
      <c r="M2386" s="4"/>
      <c r="N2386" s="3" t="s">
        <v>37</v>
      </c>
      <c r="O2386" s="3" t="s">
        <v>38</v>
      </c>
      <c r="P2386" s="5">
        <v>10</v>
      </c>
      <c r="Q2386" s="5">
        <v>87</v>
      </c>
      <c r="R2386" s="5">
        <v>11</v>
      </c>
      <c r="S2386" s="5">
        <v>83</v>
      </c>
    </row>
    <row r="2387" spans="1:19" ht="42" x14ac:dyDescent="0.15">
      <c r="A2387" s="2">
        <f>HYPERLINK("https://open-school.uspishnemisto.com.ua/school/120814/", 120814)</f>
        <v>120814</v>
      </c>
      <c r="B2387" s="3" t="s">
        <v>12687</v>
      </c>
      <c r="C2387" s="3" t="s">
        <v>31</v>
      </c>
      <c r="D2387" s="3" t="s">
        <v>32</v>
      </c>
      <c r="E2387" s="4" t="s">
        <v>22</v>
      </c>
      <c r="F2387" s="4" t="s">
        <v>12688</v>
      </c>
      <c r="G2387" s="4" t="s">
        <v>12689</v>
      </c>
      <c r="H2387" s="3" t="s">
        <v>8487</v>
      </c>
      <c r="I2387" s="3" t="s">
        <v>11416</v>
      </c>
      <c r="J2387" s="3" t="s">
        <v>12690</v>
      </c>
      <c r="K2387" s="3" t="s">
        <v>12691</v>
      </c>
      <c r="L2387" s="3" t="s">
        <v>12692</v>
      </c>
      <c r="M2387" s="4"/>
      <c r="N2387" s="3" t="s">
        <v>37</v>
      </c>
      <c r="O2387" s="3" t="s">
        <v>38</v>
      </c>
      <c r="P2387" s="5">
        <v>11</v>
      </c>
      <c r="Q2387" s="5">
        <v>152</v>
      </c>
      <c r="R2387" s="5">
        <v>11</v>
      </c>
      <c r="S2387" s="5">
        <v>152</v>
      </c>
    </row>
    <row r="2388" spans="1:19" ht="28" x14ac:dyDescent="0.15">
      <c r="A2388" s="2">
        <f>HYPERLINK("https://open-school.uspishnemisto.com.ua/school/120815/", 120815)</f>
        <v>120815</v>
      </c>
      <c r="B2388" s="3" t="s">
        <v>12693</v>
      </c>
      <c r="C2388" s="3" t="s">
        <v>31</v>
      </c>
      <c r="D2388" s="3" t="s">
        <v>175</v>
      </c>
      <c r="E2388" s="4" t="s">
        <v>22</v>
      </c>
      <c r="F2388" s="4" t="s">
        <v>12694</v>
      </c>
      <c r="G2388" s="4" t="s">
        <v>12695</v>
      </c>
      <c r="H2388" s="3" t="s">
        <v>8487</v>
      </c>
      <c r="I2388" s="3" t="s">
        <v>440</v>
      </c>
      <c r="J2388" s="3" t="s">
        <v>12696</v>
      </c>
      <c r="K2388" s="3" t="s">
        <v>12697</v>
      </c>
      <c r="L2388" s="3"/>
      <c r="M2388" s="4"/>
      <c r="N2388" s="3" t="s">
        <v>37</v>
      </c>
      <c r="O2388" s="3" t="s">
        <v>38</v>
      </c>
      <c r="P2388" s="5">
        <v>7</v>
      </c>
      <c r="Q2388" s="5">
        <v>49</v>
      </c>
      <c r="R2388" s="5">
        <v>7</v>
      </c>
      <c r="S2388" s="5">
        <v>54</v>
      </c>
    </row>
    <row r="2389" spans="1:19" ht="56" x14ac:dyDescent="0.15">
      <c r="A2389" s="2">
        <f>HYPERLINK("https://open-school.uspishnemisto.com.ua/school/120816/", 120816)</f>
        <v>120816</v>
      </c>
      <c r="B2389" s="3" t="s">
        <v>12698</v>
      </c>
      <c r="C2389" s="3" t="s">
        <v>54</v>
      </c>
      <c r="D2389" s="3" t="s">
        <v>175</v>
      </c>
      <c r="E2389" s="4" t="s">
        <v>22</v>
      </c>
      <c r="F2389" s="4" t="s">
        <v>12699</v>
      </c>
      <c r="G2389" s="4" t="s">
        <v>12700</v>
      </c>
      <c r="H2389" s="3" t="s">
        <v>8487</v>
      </c>
      <c r="I2389" s="3" t="s">
        <v>12701</v>
      </c>
      <c r="J2389" s="3" t="s">
        <v>12702</v>
      </c>
      <c r="K2389" s="3" t="s">
        <v>12703</v>
      </c>
      <c r="L2389" s="3"/>
      <c r="M2389" s="4"/>
      <c r="N2389" s="3" t="s">
        <v>37</v>
      </c>
      <c r="O2389" s="3" t="s">
        <v>38</v>
      </c>
      <c r="P2389" s="5">
        <v>3</v>
      </c>
      <c r="Q2389" s="5">
        <v>35</v>
      </c>
      <c r="R2389" s="5">
        <v>3</v>
      </c>
      <c r="S2389" s="5">
        <v>33</v>
      </c>
    </row>
    <row r="2390" spans="1:19" ht="28" x14ac:dyDescent="0.15">
      <c r="A2390" s="2">
        <f>HYPERLINK("https://open-school.uspishnemisto.com.ua/school/120817/", 120817)</f>
        <v>120817</v>
      </c>
      <c r="B2390" s="3" t="s">
        <v>12704</v>
      </c>
      <c r="C2390" s="3" t="s">
        <v>31</v>
      </c>
      <c r="D2390" s="3" t="s">
        <v>32</v>
      </c>
      <c r="E2390" s="4" t="s">
        <v>22</v>
      </c>
      <c r="F2390" s="4" t="s">
        <v>12705</v>
      </c>
      <c r="G2390" s="4" t="s">
        <v>12706</v>
      </c>
      <c r="H2390" s="3" t="s">
        <v>8487</v>
      </c>
      <c r="I2390" s="3" t="s">
        <v>12707</v>
      </c>
      <c r="J2390" s="3" t="s">
        <v>12708</v>
      </c>
      <c r="K2390" s="3" t="s">
        <v>12709</v>
      </c>
      <c r="L2390" s="3" t="s">
        <v>12710</v>
      </c>
      <c r="M2390" s="4"/>
      <c r="N2390" s="3" t="s">
        <v>37</v>
      </c>
      <c r="O2390" s="3" t="s">
        <v>38</v>
      </c>
      <c r="P2390" s="5">
        <v>11</v>
      </c>
      <c r="Q2390" s="5">
        <v>110</v>
      </c>
      <c r="R2390" s="5">
        <v>11</v>
      </c>
      <c r="S2390" s="5">
        <v>96</v>
      </c>
    </row>
    <row r="2391" spans="1:19" ht="28" x14ac:dyDescent="0.15">
      <c r="A2391" s="2">
        <f>HYPERLINK("https://open-school.uspishnemisto.com.ua/school/120818/", 120818)</f>
        <v>120818</v>
      </c>
      <c r="B2391" s="3" t="s">
        <v>12711</v>
      </c>
      <c r="C2391" s="3" t="s">
        <v>31</v>
      </c>
      <c r="D2391" s="3" t="s">
        <v>175</v>
      </c>
      <c r="E2391" s="4" t="s">
        <v>22</v>
      </c>
      <c r="F2391" s="4" t="s">
        <v>12712</v>
      </c>
      <c r="G2391" s="4" t="s">
        <v>12713</v>
      </c>
      <c r="H2391" s="3" t="s">
        <v>8487</v>
      </c>
      <c r="I2391" s="3" t="s">
        <v>12714</v>
      </c>
      <c r="J2391" s="3" t="s">
        <v>12715</v>
      </c>
      <c r="K2391" s="3"/>
      <c r="L2391" s="3" t="s">
        <v>12716</v>
      </c>
      <c r="M2391" s="4"/>
      <c r="N2391" s="3" t="s">
        <v>37</v>
      </c>
      <c r="O2391" s="3" t="s">
        <v>38</v>
      </c>
      <c r="P2391" s="5">
        <v>9</v>
      </c>
      <c r="Q2391" s="5">
        <v>70</v>
      </c>
      <c r="R2391" s="5">
        <v>9</v>
      </c>
      <c r="S2391" s="5">
        <v>73</v>
      </c>
    </row>
    <row r="2392" spans="1:19" ht="28" x14ac:dyDescent="0.15">
      <c r="A2392" s="2">
        <f>HYPERLINK("https://open-school.uspishnemisto.com.ua/school/120819/", 120819)</f>
        <v>120819</v>
      </c>
      <c r="B2392" s="3" t="s">
        <v>12717</v>
      </c>
      <c r="C2392" s="3" t="s">
        <v>31</v>
      </c>
      <c r="D2392" s="3" t="s">
        <v>32</v>
      </c>
      <c r="E2392" s="4" t="s">
        <v>22</v>
      </c>
      <c r="F2392" s="4" t="s">
        <v>12712</v>
      </c>
      <c r="G2392" s="4" t="s">
        <v>12718</v>
      </c>
      <c r="H2392" s="3" t="s">
        <v>8487</v>
      </c>
      <c r="I2392" s="3" t="s">
        <v>10822</v>
      </c>
      <c r="J2392" s="3" t="s">
        <v>12719</v>
      </c>
      <c r="K2392" s="3" t="s">
        <v>12720</v>
      </c>
      <c r="L2392" s="3" t="s">
        <v>12721</v>
      </c>
      <c r="M2392" s="4"/>
      <c r="N2392" s="3" t="s">
        <v>37</v>
      </c>
      <c r="O2392" s="3" t="s">
        <v>38</v>
      </c>
      <c r="P2392" s="5">
        <v>10</v>
      </c>
      <c r="Q2392" s="5">
        <v>68</v>
      </c>
      <c r="R2392" s="5">
        <v>11</v>
      </c>
      <c r="S2392" s="5">
        <v>72</v>
      </c>
    </row>
    <row r="2393" spans="1:19" ht="28" x14ac:dyDescent="0.15">
      <c r="A2393" s="2">
        <f>HYPERLINK("https://open-school.uspishnemisto.com.ua/school/120820/", 120820)</f>
        <v>120820</v>
      </c>
      <c r="B2393" s="3" t="s">
        <v>12722</v>
      </c>
      <c r="C2393" s="3" t="s">
        <v>31</v>
      </c>
      <c r="D2393" s="3" t="s">
        <v>32</v>
      </c>
      <c r="E2393" s="4" t="s">
        <v>22</v>
      </c>
      <c r="F2393" s="4" t="s">
        <v>12723</v>
      </c>
      <c r="G2393" s="4" t="s">
        <v>12724</v>
      </c>
      <c r="H2393" s="3" t="s">
        <v>8487</v>
      </c>
      <c r="I2393" s="3" t="s">
        <v>12725</v>
      </c>
      <c r="J2393" s="3" t="s">
        <v>8152</v>
      </c>
      <c r="K2393" s="3" t="s">
        <v>12726</v>
      </c>
      <c r="L2393" s="3"/>
      <c r="M2393" s="4"/>
      <c r="N2393" s="3" t="s">
        <v>37</v>
      </c>
      <c r="O2393" s="3" t="s">
        <v>38</v>
      </c>
      <c r="P2393" s="5">
        <v>8</v>
      </c>
      <c r="Q2393" s="5">
        <v>111</v>
      </c>
      <c r="R2393" s="5">
        <v>11</v>
      </c>
      <c r="S2393" s="5">
        <v>121</v>
      </c>
    </row>
    <row r="2394" spans="1:19" ht="42" x14ac:dyDescent="0.15">
      <c r="A2394" s="2">
        <f>HYPERLINK("https://open-school.uspishnemisto.com.ua/school/120821/", 120821)</f>
        <v>120821</v>
      </c>
      <c r="B2394" s="3" t="s">
        <v>12727</v>
      </c>
      <c r="C2394" s="3" t="s">
        <v>54</v>
      </c>
      <c r="D2394" s="3" t="s">
        <v>32</v>
      </c>
      <c r="E2394" s="4" t="s">
        <v>22</v>
      </c>
      <c r="F2394" s="4" t="s">
        <v>12728</v>
      </c>
      <c r="G2394" s="4" t="s">
        <v>12729</v>
      </c>
      <c r="H2394" s="3" t="s">
        <v>8487</v>
      </c>
      <c r="I2394" s="3" t="s">
        <v>12730</v>
      </c>
      <c r="J2394" s="3" t="s">
        <v>12731</v>
      </c>
      <c r="K2394" s="3" t="s">
        <v>12732</v>
      </c>
      <c r="L2394" s="3" t="s">
        <v>12733</v>
      </c>
      <c r="M2394" s="4"/>
      <c r="N2394" s="3" t="s">
        <v>37</v>
      </c>
      <c r="O2394" s="3" t="s">
        <v>38</v>
      </c>
      <c r="P2394" s="5">
        <v>10</v>
      </c>
      <c r="Q2394" s="5">
        <v>80</v>
      </c>
      <c r="R2394" s="5">
        <v>10</v>
      </c>
      <c r="S2394" s="5">
        <v>83</v>
      </c>
    </row>
    <row r="2395" spans="1:19" ht="42" x14ac:dyDescent="0.15">
      <c r="A2395" s="2">
        <f>HYPERLINK("https://open-school.uspishnemisto.com.ua/school/120822/", 120822)</f>
        <v>120822</v>
      </c>
      <c r="B2395" s="3" t="s">
        <v>12734</v>
      </c>
      <c r="C2395" s="3" t="s">
        <v>181</v>
      </c>
      <c r="D2395" s="3" t="s">
        <v>32</v>
      </c>
      <c r="E2395" s="4" t="s">
        <v>22</v>
      </c>
      <c r="F2395" s="4" t="s">
        <v>12735</v>
      </c>
      <c r="G2395" s="4" t="s">
        <v>12736</v>
      </c>
      <c r="H2395" s="3" t="s">
        <v>8487</v>
      </c>
      <c r="I2395" s="3" t="s">
        <v>12737</v>
      </c>
      <c r="J2395" s="3" t="s">
        <v>2820</v>
      </c>
      <c r="K2395" s="3" t="s">
        <v>12738</v>
      </c>
      <c r="L2395" s="3"/>
      <c r="M2395" s="4" t="s">
        <v>12739</v>
      </c>
      <c r="N2395" s="3" t="s">
        <v>37</v>
      </c>
      <c r="O2395" s="3"/>
      <c r="P2395" s="5">
        <v>10</v>
      </c>
      <c r="Q2395" s="5">
        <v>87</v>
      </c>
      <c r="R2395" s="5">
        <v>10</v>
      </c>
      <c r="S2395" s="5">
        <v>79</v>
      </c>
    </row>
    <row r="2396" spans="1:19" ht="28" x14ac:dyDescent="0.15">
      <c r="A2396" s="2">
        <f>HYPERLINK("https://open-school.uspishnemisto.com.ua/school/120823/", 120823)</f>
        <v>120823</v>
      </c>
      <c r="B2396" s="3" t="s">
        <v>12740</v>
      </c>
      <c r="C2396" s="3" t="s">
        <v>31</v>
      </c>
      <c r="D2396" s="3" t="s">
        <v>32</v>
      </c>
      <c r="E2396" s="4" t="s">
        <v>22</v>
      </c>
      <c r="F2396" s="4" t="s">
        <v>12735</v>
      </c>
      <c r="G2396" s="4" t="s">
        <v>12736</v>
      </c>
      <c r="H2396" s="3" t="s">
        <v>8487</v>
      </c>
      <c r="I2396" s="3" t="s">
        <v>12737</v>
      </c>
      <c r="J2396" s="3" t="s">
        <v>12741</v>
      </c>
      <c r="K2396" s="3" t="s">
        <v>12742</v>
      </c>
      <c r="L2396" s="3" t="s">
        <v>12743</v>
      </c>
      <c r="M2396" s="4"/>
      <c r="N2396" s="3" t="s">
        <v>37</v>
      </c>
      <c r="O2396" s="3" t="s">
        <v>38</v>
      </c>
      <c r="P2396" s="5">
        <v>11</v>
      </c>
      <c r="Q2396" s="5">
        <v>182</v>
      </c>
      <c r="R2396" s="5">
        <v>11</v>
      </c>
      <c r="S2396" s="5">
        <v>167</v>
      </c>
    </row>
    <row r="2397" spans="1:19" ht="28" x14ac:dyDescent="0.15">
      <c r="A2397" s="2">
        <f>HYPERLINK("https://open-school.uspishnemisto.com.ua/school/120824/", 120824)</f>
        <v>120824</v>
      </c>
      <c r="B2397" s="3" t="s">
        <v>12744</v>
      </c>
      <c r="C2397" s="3" t="s">
        <v>31</v>
      </c>
      <c r="D2397" s="3" t="s">
        <v>175</v>
      </c>
      <c r="E2397" s="4" t="s">
        <v>22</v>
      </c>
      <c r="F2397" s="4" t="s">
        <v>12745</v>
      </c>
      <c r="G2397" s="4" t="s">
        <v>12746</v>
      </c>
      <c r="H2397" s="3" t="s">
        <v>8487</v>
      </c>
      <c r="I2397" s="3" t="s">
        <v>11330</v>
      </c>
      <c r="J2397" s="3" t="s">
        <v>466</v>
      </c>
      <c r="K2397" s="3" t="s">
        <v>12747</v>
      </c>
      <c r="L2397" s="3"/>
      <c r="M2397" s="4"/>
      <c r="N2397" s="3" t="s">
        <v>37</v>
      </c>
      <c r="O2397" s="3" t="s">
        <v>38</v>
      </c>
      <c r="P2397" s="5">
        <v>7</v>
      </c>
      <c r="Q2397" s="5">
        <v>58</v>
      </c>
      <c r="R2397" s="5">
        <v>7</v>
      </c>
      <c r="S2397" s="5">
        <v>55</v>
      </c>
    </row>
    <row r="2398" spans="1:19" ht="56" x14ac:dyDescent="0.15">
      <c r="A2398" s="2">
        <f>HYPERLINK("https://open-school.uspishnemisto.com.ua/school/120825/", 120825)</f>
        <v>120825</v>
      </c>
      <c r="B2398" s="3" t="s">
        <v>12748</v>
      </c>
      <c r="C2398" s="3" t="s">
        <v>54</v>
      </c>
      <c r="D2398" s="3" t="s">
        <v>32</v>
      </c>
      <c r="E2398" s="4" t="s">
        <v>22</v>
      </c>
      <c r="F2398" s="4" t="s">
        <v>12749</v>
      </c>
      <c r="G2398" s="4" t="s">
        <v>12750</v>
      </c>
      <c r="H2398" s="3" t="s">
        <v>8487</v>
      </c>
      <c r="I2398" s="3" t="s">
        <v>12351</v>
      </c>
      <c r="J2398" s="3" t="s">
        <v>3852</v>
      </c>
      <c r="K2398" s="3" t="s">
        <v>12751</v>
      </c>
      <c r="L2398" s="3" t="s">
        <v>12752</v>
      </c>
      <c r="M2398" s="4"/>
      <c r="N2398" s="3" t="s">
        <v>37</v>
      </c>
      <c r="O2398" s="3" t="s">
        <v>52</v>
      </c>
      <c r="P2398" s="5">
        <v>2</v>
      </c>
      <c r="Q2398" s="5">
        <v>25</v>
      </c>
      <c r="R2398" s="5">
        <v>6</v>
      </c>
      <c r="S2398" s="5">
        <v>26</v>
      </c>
    </row>
    <row r="2399" spans="1:19" ht="42" x14ac:dyDescent="0.15">
      <c r="A2399" s="2">
        <f>HYPERLINK("https://open-school.uspishnemisto.com.ua/school/120826/", 120826)</f>
        <v>120826</v>
      </c>
      <c r="B2399" s="3" t="s">
        <v>12753</v>
      </c>
      <c r="C2399" s="3" t="s">
        <v>54</v>
      </c>
      <c r="D2399" s="3" t="s">
        <v>32</v>
      </c>
      <c r="E2399" s="4" t="s">
        <v>22</v>
      </c>
      <c r="F2399" s="4" t="s">
        <v>12754</v>
      </c>
      <c r="G2399" s="4" t="s">
        <v>12755</v>
      </c>
      <c r="H2399" s="3" t="s">
        <v>8487</v>
      </c>
      <c r="I2399" s="3" t="s">
        <v>1740</v>
      </c>
      <c r="J2399" s="3" t="s">
        <v>1216</v>
      </c>
      <c r="K2399" s="3" t="s">
        <v>12756</v>
      </c>
      <c r="L2399" s="3" t="s">
        <v>12757</v>
      </c>
      <c r="M2399" s="4"/>
      <c r="N2399" s="3" t="s">
        <v>37</v>
      </c>
      <c r="O2399" s="3" t="s">
        <v>38</v>
      </c>
      <c r="P2399" s="5">
        <v>7</v>
      </c>
      <c r="Q2399" s="5">
        <v>48</v>
      </c>
      <c r="R2399" s="5">
        <v>8</v>
      </c>
      <c r="S2399" s="5">
        <v>47</v>
      </c>
    </row>
    <row r="2400" spans="1:19" ht="28" x14ac:dyDescent="0.15">
      <c r="A2400" s="2">
        <f>HYPERLINK("https://open-school.uspishnemisto.com.ua/school/120827/", 120827)</f>
        <v>120827</v>
      </c>
      <c r="B2400" s="3" t="s">
        <v>12758</v>
      </c>
      <c r="C2400" s="3" t="s">
        <v>31</v>
      </c>
      <c r="D2400" s="3" t="s">
        <v>175</v>
      </c>
      <c r="E2400" s="4" t="s">
        <v>22</v>
      </c>
      <c r="F2400" s="4" t="s">
        <v>12759</v>
      </c>
      <c r="G2400" s="4" t="s">
        <v>12760</v>
      </c>
      <c r="H2400" s="3" t="s">
        <v>8487</v>
      </c>
      <c r="I2400" s="3" t="s">
        <v>12761</v>
      </c>
      <c r="J2400" s="3" t="s">
        <v>10343</v>
      </c>
      <c r="K2400" s="3" t="s">
        <v>12762</v>
      </c>
      <c r="L2400" s="3"/>
      <c r="M2400" s="4"/>
      <c r="N2400" s="3" t="s">
        <v>37</v>
      </c>
      <c r="O2400" s="3" t="s">
        <v>38</v>
      </c>
      <c r="P2400" s="5">
        <v>4</v>
      </c>
      <c r="Q2400" s="5">
        <v>27</v>
      </c>
      <c r="R2400" s="5">
        <v>4</v>
      </c>
      <c r="S2400" s="5">
        <v>21</v>
      </c>
    </row>
    <row r="2401" spans="1:19" ht="28" x14ac:dyDescent="0.15">
      <c r="A2401" s="2">
        <f>HYPERLINK("https://open-school.uspishnemisto.com.ua/school/120828/", 120828)</f>
        <v>120828</v>
      </c>
      <c r="B2401" s="3" t="s">
        <v>12763</v>
      </c>
      <c r="C2401" s="3" t="s">
        <v>31</v>
      </c>
      <c r="D2401" s="3" t="s">
        <v>32</v>
      </c>
      <c r="E2401" s="4" t="s">
        <v>22</v>
      </c>
      <c r="F2401" s="4" t="s">
        <v>12764</v>
      </c>
      <c r="G2401" s="4" t="s">
        <v>12765</v>
      </c>
      <c r="H2401" s="3" t="s">
        <v>8487</v>
      </c>
      <c r="I2401" s="3" t="s">
        <v>12766</v>
      </c>
      <c r="J2401" s="3" t="s">
        <v>12767</v>
      </c>
      <c r="K2401" s="3" t="s">
        <v>12768</v>
      </c>
      <c r="L2401" s="3"/>
      <c r="M2401" s="4"/>
      <c r="N2401" s="3" t="s">
        <v>37</v>
      </c>
      <c r="O2401" s="3" t="s">
        <v>52</v>
      </c>
      <c r="P2401" s="5">
        <v>4</v>
      </c>
      <c r="Q2401" s="5">
        <v>40</v>
      </c>
      <c r="R2401" s="5">
        <v>4</v>
      </c>
      <c r="S2401" s="5">
        <v>50</v>
      </c>
    </row>
    <row r="2402" spans="1:19" ht="42" x14ac:dyDescent="0.15">
      <c r="A2402" s="2">
        <f>HYPERLINK("https://open-school.uspishnemisto.com.ua/school/120829/", 120829)</f>
        <v>120829</v>
      </c>
      <c r="B2402" s="3" t="s">
        <v>12769</v>
      </c>
      <c r="C2402" s="3" t="s">
        <v>31</v>
      </c>
      <c r="D2402" s="3" t="s">
        <v>175</v>
      </c>
      <c r="E2402" s="4" t="s">
        <v>22</v>
      </c>
      <c r="F2402" s="4" t="s">
        <v>12770</v>
      </c>
      <c r="G2402" s="4" t="s">
        <v>12771</v>
      </c>
      <c r="H2402" s="3" t="s">
        <v>8487</v>
      </c>
      <c r="I2402" s="3" t="s">
        <v>12772</v>
      </c>
      <c r="J2402" s="3" t="s">
        <v>1668</v>
      </c>
      <c r="K2402" s="3" t="s">
        <v>12773</v>
      </c>
      <c r="L2402" s="3"/>
      <c r="M2402" s="4"/>
      <c r="N2402" s="3"/>
      <c r="O2402" s="3"/>
      <c r="P2402" s="5">
        <v>0</v>
      </c>
      <c r="Q2402" s="5">
        <v>0</v>
      </c>
      <c r="R2402" s="5"/>
      <c r="S2402" s="5"/>
    </row>
    <row r="2403" spans="1:19" ht="56" x14ac:dyDescent="0.15">
      <c r="A2403" s="2">
        <f>HYPERLINK("https://open-school.uspishnemisto.com.ua/school/120830/", 120830)</f>
        <v>120830</v>
      </c>
      <c r="B2403" s="3" t="s">
        <v>12774</v>
      </c>
      <c r="C2403" s="3" t="s">
        <v>54</v>
      </c>
      <c r="D2403" s="3" t="s">
        <v>175</v>
      </c>
      <c r="E2403" s="4" t="s">
        <v>22</v>
      </c>
      <c r="F2403" s="4" t="s">
        <v>12775</v>
      </c>
      <c r="G2403" s="4" t="s">
        <v>12776</v>
      </c>
      <c r="H2403" s="3" t="s">
        <v>8487</v>
      </c>
      <c r="I2403" s="3" t="s">
        <v>12777</v>
      </c>
      <c r="J2403" s="3" t="s">
        <v>466</v>
      </c>
      <c r="K2403" s="3" t="s">
        <v>12778</v>
      </c>
      <c r="L2403" s="3" t="s">
        <v>12779</v>
      </c>
      <c r="M2403" s="4"/>
      <c r="N2403" s="3" t="s">
        <v>37</v>
      </c>
      <c r="O2403" s="3" t="s">
        <v>52</v>
      </c>
      <c r="P2403" s="5">
        <v>3</v>
      </c>
      <c r="Q2403" s="5">
        <v>28</v>
      </c>
      <c r="R2403" s="5">
        <v>3</v>
      </c>
      <c r="S2403" s="5">
        <v>28</v>
      </c>
    </row>
    <row r="2404" spans="1:19" ht="28" x14ac:dyDescent="0.15">
      <c r="A2404" s="2">
        <f>HYPERLINK("https://open-school.uspishnemisto.com.ua/school/120831/", 120831)</f>
        <v>120831</v>
      </c>
      <c r="B2404" s="3" t="s">
        <v>12780</v>
      </c>
      <c r="C2404" s="3" t="s">
        <v>31</v>
      </c>
      <c r="D2404" s="3" t="s">
        <v>175</v>
      </c>
      <c r="E2404" s="4" t="s">
        <v>22</v>
      </c>
      <c r="F2404" s="4" t="s">
        <v>12781</v>
      </c>
      <c r="G2404" s="4" t="s">
        <v>12782</v>
      </c>
      <c r="H2404" s="3" t="s">
        <v>8487</v>
      </c>
      <c r="I2404" s="3" t="s">
        <v>11935</v>
      </c>
      <c r="J2404" s="3" t="s">
        <v>12783</v>
      </c>
      <c r="K2404" s="3" t="s">
        <v>12784</v>
      </c>
      <c r="L2404" s="3"/>
      <c r="M2404" s="4"/>
      <c r="N2404" s="3" t="s">
        <v>37</v>
      </c>
      <c r="O2404" s="3" t="s">
        <v>38</v>
      </c>
      <c r="P2404" s="5">
        <v>2</v>
      </c>
      <c r="Q2404" s="5">
        <v>28</v>
      </c>
      <c r="R2404" s="5">
        <v>2</v>
      </c>
      <c r="S2404" s="5">
        <v>31</v>
      </c>
    </row>
    <row r="2405" spans="1:19" ht="56" x14ac:dyDescent="0.15">
      <c r="A2405" s="2">
        <f>HYPERLINK("https://open-school.uspishnemisto.com.ua/school/120833/", 120833)</f>
        <v>120833</v>
      </c>
      <c r="B2405" s="3" t="s">
        <v>12785</v>
      </c>
      <c r="C2405" s="3" t="s">
        <v>31</v>
      </c>
      <c r="D2405" s="3" t="s">
        <v>32</v>
      </c>
      <c r="E2405" s="4" t="s">
        <v>22</v>
      </c>
      <c r="F2405" s="4" t="s">
        <v>12786</v>
      </c>
      <c r="G2405" s="4" t="s">
        <v>12787</v>
      </c>
      <c r="H2405" s="3" t="s">
        <v>8487</v>
      </c>
      <c r="I2405" s="3" t="s">
        <v>12788</v>
      </c>
      <c r="J2405" s="3" t="s">
        <v>12789</v>
      </c>
      <c r="K2405" s="3" t="s">
        <v>12790</v>
      </c>
      <c r="L2405" s="3" t="s">
        <v>12791</v>
      </c>
      <c r="M2405" s="4" t="s">
        <v>12792</v>
      </c>
      <c r="N2405" s="3" t="s">
        <v>37</v>
      </c>
      <c r="O2405" s="3" t="s">
        <v>721</v>
      </c>
      <c r="P2405" s="5">
        <v>46</v>
      </c>
      <c r="Q2405" s="5">
        <v>1007</v>
      </c>
      <c r="R2405" s="5">
        <v>44</v>
      </c>
      <c r="S2405" s="5">
        <v>978</v>
      </c>
    </row>
    <row r="2406" spans="1:19" ht="28" x14ac:dyDescent="0.15">
      <c r="A2406" s="2">
        <f>HYPERLINK("https://open-school.uspishnemisto.com.ua/school/120835/", 120835)</f>
        <v>120835</v>
      </c>
      <c r="B2406" s="3" t="s">
        <v>12793</v>
      </c>
      <c r="C2406" s="3" t="s">
        <v>31</v>
      </c>
      <c r="D2406" s="3" t="s">
        <v>32</v>
      </c>
      <c r="E2406" s="4" t="s">
        <v>22</v>
      </c>
      <c r="F2406" s="4" t="s">
        <v>12794</v>
      </c>
      <c r="G2406" s="4" t="s">
        <v>12795</v>
      </c>
      <c r="H2406" s="3" t="s">
        <v>8487</v>
      </c>
      <c r="I2406" s="3" t="s">
        <v>12796</v>
      </c>
      <c r="J2406" s="3" t="s">
        <v>2745</v>
      </c>
      <c r="K2406" s="3" t="s">
        <v>12797</v>
      </c>
      <c r="L2406" s="3" t="s">
        <v>12798</v>
      </c>
      <c r="M2406" s="4"/>
      <c r="N2406" s="3" t="s">
        <v>37</v>
      </c>
      <c r="O2406" s="3" t="s">
        <v>52</v>
      </c>
      <c r="P2406" s="5">
        <v>12</v>
      </c>
      <c r="Q2406" s="5">
        <v>226</v>
      </c>
      <c r="R2406" s="5">
        <v>11</v>
      </c>
      <c r="S2406" s="5">
        <v>214</v>
      </c>
    </row>
    <row r="2407" spans="1:19" ht="42" x14ac:dyDescent="0.15">
      <c r="A2407" s="2">
        <f>HYPERLINK("https://open-school.uspishnemisto.com.ua/school/120837/", 120837)</f>
        <v>120837</v>
      </c>
      <c r="B2407" s="3" t="s">
        <v>12799</v>
      </c>
      <c r="C2407" s="3" t="s">
        <v>31</v>
      </c>
      <c r="D2407" s="3" t="s">
        <v>32</v>
      </c>
      <c r="E2407" s="4" t="s">
        <v>22</v>
      </c>
      <c r="F2407" s="4" t="s">
        <v>12800</v>
      </c>
      <c r="G2407" s="4" t="s">
        <v>12801</v>
      </c>
      <c r="H2407" s="3" t="s">
        <v>8487</v>
      </c>
      <c r="I2407" s="3" t="s">
        <v>12802</v>
      </c>
      <c r="J2407" s="3" t="s">
        <v>12803</v>
      </c>
      <c r="K2407" s="3" t="s">
        <v>12804</v>
      </c>
      <c r="L2407" s="3" t="s">
        <v>12805</v>
      </c>
      <c r="M2407" s="4"/>
      <c r="N2407" s="3" t="s">
        <v>37</v>
      </c>
      <c r="O2407" s="3" t="s">
        <v>38</v>
      </c>
      <c r="P2407" s="5">
        <v>16</v>
      </c>
      <c r="Q2407" s="5">
        <v>318</v>
      </c>
      <c r="R2407" s="5">
        <v>15</v>
      </c>
      <c r="S2407" s="5">
        <v>294</v>
      </c>
    </row>
    <row r="2408" spans="1:19" ht="28" x14ac:dyDescent="0.15">
      <c r="A2408" s="2">
        <f>HYPERLINK("https://open-school.uspishnemisto.com.ua/school/120838/", 120838)</f>
        <v>120838</v>
      </c>
      <c r="B2408" s="3" t="s">
        <v>12806</v>
      </c>
      <c r="C2408" s="3" t="s">
        <v>31</v>
      </c>
      <c r="D2408" s="3" t="s">
        <v>60</v>
      </c>
      <c r="E2408" s="4" t="s">
        <v>22</v>
      </c>
      <c r="F2408" s="4" t="s">
        <v>12807</v>
      </c>
      <c r="G2408" s="4" t="s">
        <v>12808</v>
      </c>
      <c r="H2408" s="3" t="s">
        <v>8487</v>
      </c>
      <c r="I2408" s="3" t="s">
        <v>12809</v>
      </c>
      <c r="J2408" s="3" t="s">
        <v>12810</v>
      </c>
      <c r="K2408" s="3" t="s">
        <v>12811</v>
      </c>
      <c r="L2408" s="3" t="s">
        <v>12812</v>
      </c>
      <c r="M2408" s="4"/>
      <c r="N2408" s="3" t="s">
        <v>37</v>
      </c>
      <c r="O2408" s="3" t="s">
        <v>38</v>
      </c>
      <c r="P2408" s="5">
        <v>2</v>
      </c>
      <c r="Q2408" s="5">
        <v>14</v>
      </c>
      <c r="R2408" s="5">
        <v>4</v>
      </c>
      <c r="S2408" s="5">
        <v>23</v>
      </c>
    </row>
    <row r="2409" spans="1:19" ht="42" x14ac:dyDescent="0.15">
      <c r="A2409" s="2">
        <f>HYPERLINK("https://open-school.uspishnemisto.com.ua/school/120839/", 120839)</f>
        <v>120839</v>
      </c>
      <c r="B2409" s="3" t="s">
        <v>12813</v>
      </c>
      <c r="C2409" s="3" t="s">
        <v>31</v>
      </c>
      <c r="D2409" s="3" t="s">
        <v>32</v>
      </c>
      <c r="E2409" s="4" t="s">
        <v>22</v>
      </c>
      <c r="F2409" s="4" t="s">
        <v>12814</v>
      </c>
      <c r="G2409" s="4" t="s">
        <v>12815</v>
      </c>
      <c r="H2409" s="3" t="s">
        <v>8487</v>
      </c>
      <c r="I2409" s="3" t="s">
        <v>12816</v>
      </c>
      <c r="J2409" s="3" t="s">
        <v>12817</v>
      </c>
      <c r="K2409" s="3" t="s">
        <v>12818</v>
      </c>
      <c r="L2409" s="3" t="s">
        <v>12819</v>
      </c>
      <c r="M2409" s="4"/>
      <c r="N2409" s="3" t="s">
        <v>37</v>
      </c>
      <c r="O2409" s="3" t="s">
        <v>112</v>
      </c>
      <c r="P2409" s="5">
        <v>11</v>
      </c>
      <c r="Q2409" s="5">
        <v>103</v>
      </c>
      <c r="R2409" s="5">
        <v>10</v>
      </c>
      <c r="S2409" s="5">
        <v>98</v>
      </c>
    </row>
    <row r="2410" spans="1:19" ht="42" x14ac:dyDescent="0.15">
      <c r="A2410" s="2">
        <f>HYPERLINK("https://open-school.uspishnemisto.com.ua/school/120840/", 120840)</f>
        <v>120840</v>
      </c>
      <c r="B2410" s="3" t="s">
        <v>12820</v>
      </c>
      <c r="C2410" s="3" t="s">
        <v>31</v>
      </c>
      <c r="D2410" s="3" t="s">
        <v>175</v>
      </c>
      <c r="E2410" s="4" t="s">
        <v>22</v>
      </c>
      <c r="F2410" s="4" t="s">
        <v>12821</v>
      </c>
      <c r="G2410" s="4" t="s">
        <v>12822</v>
      </c>
      <c r="H2410" s="3" t="s">
        <v>8487</v>
      </c>
      <c r="I2410" s="3" t="s">
        <v>10822</v>
      </c>
      <c r="J2410" s="3" t="s">
        <v>12823</v>
      </c>
      <c r="K2410" s="3" t="s">
        <v>12824</v>
      </c>
      <c r="L2410" s="3" t="s">
        <v>12825</v>
      </c>
      <c r="M2410" s="4"/>
      <c r="N2410" s="3" t="s">
        <v>37</v>
      </c>
      <c r="O2410" s="3" t="s">
        <v>112</v>
      </c>
      <c r="P2410" s="5">
        <v>8</v>
      </c>
      <c r="Q2410" s="5">
        <v>56</v>
      </c>
      <c r="R2410" s="5">
        <v>8</v>
      </c>
      <c r="S2410" s="5">
        <v>58</v>
      </c>
    </row>
    <row r="2411" spans="1:19" ht="28" x14ac:dyDescent="0.15">
      <c r="A2411" s="2">
        <f>HYPERLINK("https://open-school.uspishnemisto.com.ua/school/120841/", 120841)</f>
        <v>120841</v>
      </c>
      <c r="B2411" s="3" t="s">
        <v>12826</v>
      </c>
      <c r="C2411" s="3" t="s">
        <v>31</v>
      </c>
      <c r="D2411" s="3" t="s">
        <v>175</v>
      </c>
      <c r="E2411" s="4" t="s">
        <v>22</v>
      </c>
      <c r="F2411" s="4" t="s">
        <v>12827</v>
      </c>
      <c r="G2411" s="4" t="s">
        <v>12828</v>
      </c>
      <c r="H2411" s="3" t="s">
        <v>8487</v>
      </c>
      <c r="I2411" s="3" t="s">
        <v>12829</v>
      </c>
      <c r="J2411" s="3" t="s">
        <v>466</v>
      </c>
      <c r="K2411" s="3" t="s">
        <v>12830</v>
      </c>
      <c r="L2411" s="3" t="s">
        <v>12831</v>
      </c>
      <c r="M2411" s="4"/>
      <c r="N2411" s="3" t="s">
        <v>37</v>
      </c>
      <c r="O2411" s="3" t="s">
        <v>112</v>
      </c>
      <c r="P2411" s="5">
        <v>7</v>
      </c>
      <c r="Q2411" s="5">
        <v>51</v>
      </c>
      <c r="R2411" s="5">
        <v>8</v>
      </c>
      <c r="S2411" s="5">
        <v>54</v>
      </c>
    </row>
    <row r="2412" spans="1:19" ht="42" x14ac:dyDescent="0.15">
      <c r="A2412" s="2">
        <f>HYPERLINK("https://open-school.uspishnemisto.com.ua/school/120842/", 120842)</f>
        <v>120842</v>
      </c>
      <c r="B2412" s="3" t="s">
        <v>12832</v>
      </c>
      <c r="C2412" s="3" t="s">
        <v>31</v>
      </c>
      <c r="D2412" s="3" t="s">
        <v>32</v>
      </c>
      <c r="E2412" s="4" t="s">
        <v>22</v>
      </c>
      <c r="F2412" s="4" t="s">
        <v>12833</v>
      </c>
      <c r="G2412" s="4" t="s">
        <v>12834</v>
      </c>
      <c r="H2412" s="3" t="s">
        <v>8487</v>
      </c>
      <c r="I2412" s="3" t="s">
        <v>12835</v>
      </c>
      <c r="J2412" s="3" t="s">
        <v>12836</v>
      </c>
      <c r="K2412" s="3" t="s">
        <v>12837</v>
      </c>
      <c r="L2412" s="3" t="s">
        <v>12838</v>
      </c>
      <c r="M2412" s="4"/>
      <c r="N2412" s="3" t="s">
        <v>37</v>
      </c>
      <c r="O2412" s="3" t="s">
        <v>70</v>
      </c>
      <c r="P2412" s="5">
        <v>10</v>
      </c>
      <c r="Q2412" s="5">
        <v>91</v>
      </c>
      <c r="R2412" s="5">
        <v>11</v>
      </c>
      <c r="S2412" s="5">
        <v>97</v>
      </c>
    </row>
    <row r="2413" spans="1:19" ht="56" x14ac:dyDescent="0.15">
      <c r="A2413" s="2">
        <f>HYPERLINK("https://open-school.uspishnemisto.com.ua/school/120843/", 120843)</f>
        <v>120843</v>
      </c>
      <c r="B2413" s="3" t="s">
        <v>12839</v>
      </c>
      <c r="C2413" s="3" t="s">
        <v>54</v>
      </c>
      <c r="D2413" s="3" t="s">
        <v>32</v>
      </c>
      <c r="E2413" s="4" t="s">
        <v>22</v>
      </c>
      <c r="F2413" s="4" t="s">
        <v>12840</v>
      </c>
      <c r="G2413" s="4" t="s">
        <v>12841</v>
      </c>
      <c r="H2413" s="3" t="s">
        <v>8487</v>
      </c>
      <c r="I2413" s="3" t="s">
        <v>12842</v>
      </c>
      <c r="J2413" s="3" t="s">
        <v>12843</v>
      </c>
      <c r="K2413" s="3" t="s">
        <v>12844</v>
      </c>
      <c r="L2413" s="3" t="s">
        <v>12845</v>
      </c>
      <c r="M2413" s="4"/>
      <c r="N2413" s="3" t="s">
        <v>37</v>
      </c>
      <c r="O2413" s="3" t="s">
        <v>70</v>
      </c>
      <c r="P2413" s="5">
        <v>10</v>
      </c>
      <c r="Q2413" s="5">
        <v>96</v>
      </c>
      <c r="R2413" s="5">
        <v>10</v>
      </c>
      <c r="S2413" s="5">
        <v>97</v>
      </c>
    </row>
    <row r="2414" spans="1:19" ht="28" x14ac:dyDescent="0.15">
      <c r="A2414" s="2">
        <f>HYPERLINK("https://open-school.uspishnemisto.com.ua/school/120844/", 120844)</f>
        <v>120844</v>
      </c>
      <c r="B2414" s="3" t="s">
        <v>12846</v>
      </c>
      <c r="C2414" s="3" t="s">
        <v>31</v>
      </c>
      <c r="D2414" s="3" t="s">
        <v>32</v>
      </c>
      <c r="E2414" s="4" t="s">
        <v>22</v>
      </c>
      <c r="F2414" s="4" t="s">
        <v>12847</v>
      </c>
      <c r="G2414" s="4" t="s">
        <v>12848</v>
      </c>
      <c r="H2414" s="3" t="s">
        <v>8487</v>
      </c>
      <c r="I2414" s="3" t="s">
        <v>12849</v>
      </c>
      <c r="J2414" s="3" t="s">
        <v>12850</v>
      </c>
      <c r="K2414" s="3" t="s">
        <v>12851</v>
      </c>
      <c r="L2414" s="3" t="s">
        <v>12852</v>
      </c>
      <c r="M2414" s="4"/>
      <c r="N2414" s="3" t="s">
        <v>37</v>
      </c>
      <c r="O2414" s="3" t="s">
        <v>721</v>
      </c>
      <c r="P2414" s="5">
        <v>11</v>
      </c>
      <c r="Q2414" s="5">
        <v>124</v>
      </c>
      <c r="R2414" s="5">
        <v>10</v>
      </c>
      <c r="S2414" s="5">
        <v>124</v>
      </c>
    </row>
    <row r="2415" spans="1:19" ht="28" x14ac:dyDescent="0.15">
      <c r="A2415" s="2">
        <f>HYPERLINK("https://open-school.uspishnemisto.com.ua/school/120845/", 120845)</f>
        <v>120845</v>
      </c>
      <c r="B2415" s="3" t="s">
        <v>12853</v>
      </c>
      <c r="C2415" s="3" t="s">
        <v>31</v>
      </c>
      <c r="D2415" s="3" t="s">
        <v>32</v>
      </c>
      <c r="E2415" s="4" t="s">
        <v>22</v>
      </c>
      <c r="F2415" s="4" t="s">
        <v>12854</v>
      </c>
      <c r="G2415" s="4" t="s">
        <v>12855</v>
      </c>
      <c r="H2415" s="3" t="s">
        <v>8487</v>
      </c>
      <c r="I2415" s="3" t="s">
        <v>12856</v>
      </c>
      <c r="J2415" s="3" t="s">
        <v>4425</v>
      </c>
      <c r="K2415" s="3" t="s">
        <v>12857</v>
      </c>
      <c r="L2415" s="3" t="s">
        <v>12858</v>
      </c>
      <c r="M2415" s="4"/>
      <c r="N2415" s="3" t="s">
        <v>37</v>
      </c>
      <c r="O2415" s="3" t="s">
        <v>112</v>
      </c>
      <c r="P2415" s="5">
        <v>10</v>
      </c>
      <c r="Q2415" s="5">
        <v>115</v>
      </c>
      <c r="R2415" s="5">
        <v>10</v>
      </c>
      <c r="S2415" s="5">
        <v>111</v>
      </c>
    </row>
    <row r="2416" spans="1:19" ht="42" x14ac:dyDescent="0.15">
      <c r="A2416" s="2">
        <f>HYPERLINK("https://open-school.uspishnemisto.com.ua/school/120846/", 120846)</f>
        <v>120846</v>
      </c>
      <c r="B2416" s="3" t="s">
        <v>12859</v>
      </c>
      <c r="C2416" s="3" t="s">
        <v>31</v>
      </c>
      <c r="D2416" s="3" t="s">
        <v>32</v>
      </c>
      <c r="E2416" s="4" t="s">
        <v>22</v>
      </c>
      <c r="F2416" s="4" t="s">
        <v>12860</v>
      </c>
      <c r="G2416" s="4" t="s">
        <v>12861</v>
      </c>
      <c r="H2416" s="3" t="s">
        <v>8487</v>
      </c>
      <c r="I2416" s="3" t="s">
        <v>12862</v>
      </c>
      <c r="J2416" s="3" t="s">
        <v>12863</v>
      </c>
      <c r="K2416" s="3" t="s">
        <v>12864</v>
      </c>
      <c r="L2416" s="3" t="s">
        <v>12865</v>
      </c>
      <c r="M2416" s="4"/>
      <c r="N2416" s="3" t="s">
        <v>37</v>
      </c>
      <c r="O2416" s="3" t="s">
        <v>38</v>
      </c>
      <c r="P2416" s="5">
        <v>10</v>
      </c>
      <c r="Q2416" s="5">
        <v>118</v>
      </c>
      <c r="R2416" s="5">
        <v>10</v>
      </c>
      <c r="S2416" s="5">
        <v>113</v>
      </c>
    </row>
    <row r="2417" spans="1:19" ht="42" x14ac:dyDescent="0.15">
      <c r="A2417" s="2">
        <f>HYPERLINK("https://open-school.uspishnemisto.com.ua/school/120847/", 120847)</f>
        <v>120847</v>
      </c>
      <c r="B2417" s="3" t="s">
        <v>12866</v>
      </c>
      <c r="C2417" s="3" t="s">
        <v>31</v>
      </c>
      <c r="D2417" s="3" t="s">
        <v>32</v>
      </c>
      <c r="E2417" s="4" t="s">
        <v>22</v>
      </c>
      <c r="F2417" s="4" t="s">
        <v>12867</v>
      </c>
      <c r="G2417" s="4" t="s">
        <v>12868</v>
      </c>
      <c r="H2417" s="3" t="s">
        <v>8487</v>
      </c>
      <c r="I2417" s="3" t="s">
        <v>12869</v>
      </c>
      <c r="J2417" s="3" t="s">
        <v>466</v>
      </c>
      <c r="K2417" s="3" t="s">
        <v>12870</v>
      </c>
      <c r="L2417" s="3" t="s">
        <v>12871</v>
      </c>
      <c r="M2417" s="4"/>
      <c r="N2417" s="3" t="s">
        <v>37</v>
      </c>
      <c r="O2417" s="3" t="s">
        <v>52</v>
      </c>
      <c r="P2417" s="5">
        <v>10</v>
      </c>
      <c r="Q2417" s="5">
        <v>118</v>
      </c>
      <c r="R2417" s="5">
        <v>11</v>
      </c>
      <c r="S2417" s="5">
        <v>128</v>
      </c>
    </row>
    <row r="2418" spans="1:19" ht="70" x14ac:dyDescent="0.15">
      <c r="A2418" s="2">
        <f>HYPERLINK("https://open-school.uspishnemisto.com.ua/school/120848/", 120848)</f>
        <v>120848</v>
      </c>
      <c r="B2418" s="3" t="s">
        <v>12872</v>
      </c>
      <c r="C2418" s="3" t="s">
        <v>54</v>
      </c>
      <c r="D2418" s="3" t="s">
        <v>32</v>
      </c>
      <c r="E2418" s="4" t="s">
        <v>22</v>
      </c>
      <c r="F2418" s="4" t="s">
        <v>12873</v>
      </c>
      <c r="G2418" s="4" t="s">
        <v>12874</v>
      </c>
      <c r="H2418" s="3" t="s">
        <v>8487</v>
      </c>
      <c r="I2418" s="3" t="s">
        <v>12875</v>
      </c>
      <c r="J2418" s="3" t="s">
        <v>761</v>
      </c>
      <c r="K2418" s="3"/>
      <c r="L2418" s="3" t="s">
        <v>12876</v>
      </c>
      <c r="M2418" s="4"/>
      <c r="N2418" s="3" t="s">
        <v>37</v>
      </c>
      <c r="O2418" s="3" t="s">
        <v>721</v>
      </c>
      <c r="P2418" s="5">
        <v>11</v>
      </c>
      <c r="Q2418" s="5">
        <v>172</v>
      </c>
      <c r="R2418" s="5">
        <v>11</v>
      </c>
      <c r="S2418" s="5">
        <v>167</v>
      </c>
    </row>
    <row r="2419" spans="1:19" ht="42" x14ac:dyDescent="0.15">
      <c r="A2419" s="2">
        <f>HYPERLINK("https://open-school.uspishnemisto.com.ua/school/120849/", 120849)</f>
        <v>120849</v>
      </c>
      <c r="B2419" s="3" t="s">
        <v>12877</v>
      </c>
      <c r="C2419" s="3" t="s">
        <v>31</v>
      </c>
      <c r="D2419" s="3" t="s">
        <v>32</v>
      </c>
      <c r="E2419" s="4" t="s">
        <v>22</v>
      </c>
      <c r="F2419" s="4" t="s">
        <v>12878</v>
      </c>
      <c r="G2419" s="4" t="s">
        <v>12879</v>
      </c>
      <c r="H2419" s="3" t="s">
        <v>8487</v>
      </c>
      <c r="I2419" s="3" t="s">
        <v>12880</v>
      </c>
      <c r="J2419" s="3" t="s">
        <v>5971</v>
      </c>
      <c r="K2419" s="3" t="s">
        <v>12881</v>
      </c>
      <c r="L2419" s="3" t="s">
        <v>12882</v>
      </c>
      <c r="M2419" s="4"/>
      <c r="N2419" s="3" t="s">
        <v>37</v>
      </c>
      <c r="O2419" s="3" t="s">
        <v>38</v>
      </c>
      <c r="P2419" s="5">
        <v>11</v>
      </c>
      <c r="Q2419" s="5">
        <v>127</v>
      </c>
      <c r="R2419" s="5">
        <v>11</v>
      </c>
      <c r="S2419" s="5">
        <v>123</v>
      </c>
    </row>
    <row r="2420" spans="1:19" ht="28" x14ac:dyDescent="0.15">
      <c r="A2420" s="2">
        <f>HYPERLINK("https://open-school.uspishnemisto.com.ua/school/120850/", 120850)</f>
        <v>120850</v>
      </c>
      <c r="B2420" s="3" t="s">
        <v>12883</v>
      </c>
      <c r="C2420" s="3" t="s">
        <v>31</v>
      </c>
      <c r="D2420" s="3" t="s">
        <v>32</v>
      </c>
      <c r="E2420" s="4" t="s">
        <v>22</v>
      </c>
      <c r="F2420" s="4" t="s">
        <v>12884</v>
      </c>
      <c r="G2420" s="4" t="s">
        <v>12885</v>
      </c>
      <c r="H2420" s="3" t="s">
        <v>8487</v>
      </c>
      <c r="I2420" s="3" t="s">
        <v>3145</v>
      </c>
      <c r="J2420" s="3" t="s">
        <v>12886</v>
      </c>
      <c r="K2420" s="3" t="s">
        <v>12887</v>
      </c>
      <c r="L2420" s="3" t="s">
        <v>12888</v>
      </c>
      <c r="M2420" s="4"/>
      <c r="N2420" s="3" t="s">
        <v>37</v>
      </c>
      <c r="O2420" s="3" t="s">
        <v>112</v>
      </c>
      <c r="P2420" s="5">
        <v>11</v>
      </c>
      <c r="Q2420" s="5">
        <v>147</v>
      </c>
      <c r="R2420" s="5">
        <v>11</v>
      </c>
      <c r="S2420" s="5">
        <v>159</v>
      </c>
    </row>
    <row r="2421" spans="1:19" ht="28" x14ac:dyDescent="0.15">
      <c r="A2421" s="2">
        <f>HYPERLINK("https://open-school.uspishnemisto.com.ua/school/120851/", 120851)</f>
        <v>120851</v>
      </c>
      <c r="B2421" s="3" t="s">
        <v>12889</v>
      </c>
      <c r="C2421" s="3" t="s">
        <v>31</v>
      </c>
      <c r="D2421" s="3" t="s">
        <v>32</v>
      </c>
      <c r="E2421" s="4" t="s">
        <v>22</v>
      </c>
      <c r="F2421" s="4" t="s">
        <v>12890</v>
      </c>
      <c r="G2421" s="4" t="s">
        <v>12891</v>
      </c>
      <c r="H2421" s="3" t="s">
        <v>8487</v>
      </c>
      <c r="I2421" s="3" t="s">
        <v>688</v>
      </c>
      <c r="J2421" s="3" t="s">
        <v>6840</v>
      </c>
      <c r="K2421" s="3" t="s">
        <v>12892</v>
      </c>
      <c r="L2421" s="3" t="s">
        <v>12893</v>
      </c>
      <c r="M2421" s="4"/>
      <c r="N2421" s="3" t="s">
        <v>37</v>
      </c>
      <c r="O2421" s="3" t="s">
        <v>112</v>
      </c>
      <c r="P2421" s="5">
        <v>10</v>
      </c>
      <c r="Q2421" s="5">
        <v>104</v>
      </c>
      <c r="R2421" s="5">
        <v>10</v>
      </c>
      <c r="S2421" s="5">
        <v>94</v>
      </c>
    </row>
    <row r="2422" spans="1:19" ht="28" x14ac:dyDescent="0.15">
      <c r="A2422" s="2">
        <f>HYPERLINK("https://open-school.uspishnemisto.com.ua/school/120852/", 120852)</f>
        <v>120852</v>
      </c>
      <c r="B2422" s="3" t="s">
        <v>12894</v>
      </c>
      <c r="C2422" s="3" t="s">
        <v>31</v>
      </c>
      <c r="D2422" s="3" t="s">
        <v>32</v>
      </c>
      <c r="E2422" s="4" t="s">
        <v>22</v>
      </c>
      <c r="F2422" s="4" t="s">
        <v>12895</v>
      </c>
      <c r="G2422" s="4" t="s">
        <v>12896</v>
      </c>
      <c r="H2422" s="3" t="s">
        <v>8487</v>
      </c>
      <c r="I2422" s="3" t="s">
        <v>11267</v>
      </c>
      <c r="J2422" s="3" t="s">
        <v>297</v>
      </c>
      <c r="K2422" s="3" t="s">
        <v>12897</v>
      </c>
      <c r="L2422" s="3" t="s">
        <v>12898</v>
      </c>
      <c r="M2422" s="4"/>
      <c r="N2422" s="3" t="s">
        <v>37</v>
      </c>
      <c r="O2422" s="3" t="s">
        <v>52</v>
      </c>
      <c r="P2422" s="5">
        <v>11</v>
      </c>
      <c r="Q2422" s="5">
        <v>120</v>
      </c>
      <c r="R2422" s="5">
        <v>11</v>
      </c>
      <c r="S2422" s="5">
        <v>118</v>
      </c>
    </row>
    <row r="2423" spans="1:19" ht="42" x14ac:dyDescent="0.15">
      <c r="A2423" s="2">
        <f>HYPERLINK("https://open-school.uspishnemisto.com.ua/school/120853/", 120853)</f>
        <v>120853</v>
      </c>
      <c r="B2423" s="3" t="s">
        <v>12899</v>
      </c>
      <c r="C2423" s="3" t="s">
        <v>31</v>
      </c>
      <c r="D2423" s="3" t="s">
        <v>175</v>
      </c>
      <c r="E2423" s="4" t="s">
        <v>22</v>
      </c>
      <c r="F2423" s="4" t="s">
        <v>12900</v>
      </c>
      <c r="G2423" s="4" t="s">
        <v>12901</v>
      </c>
      <c r="H2423" s="3" t="s">
        <v>8487</v>
      </c>
      <c r="I2423" s="3" t="s">
        <v>987</v>
      </c>
      <c r="J2423" s="3" t="s">
        <v>12902</v>
      </c>
      <c r="K2423" s="3"/>
      <c r="L2423" s="3" t="s">
        <v>12903</v>
      </c>
      <c r="M2423" s="4"/>
      <c r="N2423" s="3" t="s">
        <v>37</v>
      </c>
      <c r="O2423" s="3" t="s">
        <v>38</v>
      </c>
      <c r="P2423" s="5">
        <v>6</v>
      </c>
      <c r="Q2423" s="5">
        <v>42</v>
      </c>
      <c r="R2423" s="5">
        <v>7</v>
      </c>
      <c r="S2423" s="5">
        <v>43</v>
      </c>
    </row>
    <row r="2424" spans="1:19" ht="56" x14ac:dyDescent="0.15">
      <c r="A2424" s="2">
        <f>HYPERLINK("https://open-school.uspishnemisto.com.ua/school/120854/", 120854)</f>
        <v>120854</v>
      </c>
      <c r="B2424" s="3" t="s">
        <v>12904</v>
      </c>
      <c r="C2424" s="3" t="s">
        <v>293</v>
      </c>
      <c r="D2424" s="3" t="s">
        <v>32</v>
      </c>
      <c r="E2424" s="4" t="s">
        <v>22</v>
      </c>
      <c r="F2424" s="4" t="s">
        <v>12905</v>
      </c>
      <c r="G2424" s="4" t="s">
        <v>12906</v>
      </c>
      <c r="H2424" s="3" t="s">
        <v>8487</v>
      </c>
      <c r="I2424" s="3" t="s">
        <v>12907</v>
      </c>
      <c r="J2424" s="3" t="s">
        <v>12908</v>
      </c>
      <c r="K2424" s="3" t="s">
        <v>12909</v>
      </c>
      <c r="L2424" s="3" t="s">
        <v>12910</v>
      </c>
      <c r="M2424" s="4" t="s">
        <v>12911</v>
      </c>
      <c r="N2424" s="3" t="s">
        <v>37</v>
      </c>
      <c r="O2424" s="3" t="s">
        <v>38</v>
      </c>
      <c r="P2424" s="5">
        <v>11</v>
      </c>
      <c r="Q2424" s="5">
        <v>199</v>
      </c>
      <c r="R2424" s="5">
        <v>11</v>
      </c>
      <c r="S2424" s="5">
        <v>196</v>
      </c>
    </row>
    <row r="2425" spans="1:19" ht="42" x14ac:dyDescent="0.15">
      <c r="A2425" s="2">
        <f>HYPERLINK("https://open-school.uspishnemisto.com.ua/school/120855/", 120855)</f>
        <v>120855</v>
      </c>
      <c r="B2425" s="3" t="s">
        <v>12912</v>
      </c>
      <c r="C2425" s="3" t="s">
        <v>54</v>
      </c>
      <c r="D2425" s="3" t="s">
        <v>32</v>
      </c>
      <c r="E2425" s="4" t="s">
        <v>22</v>
      </c>
      <c r="F2425" s="4" t="s">
        <v>12913</v>
      </c>
      <c r="G2425" s="4" t="s">
        <v>12914</v>
      </c>
      <c r="H2425" s="3" t="s">
        <v>8487</v>
      </c>
      <c r="I2425" s="3" t="s">
        <v>12915</v>
      </c>
      <c r="J2425" s="3" t="s">
        <v>12916</v>
      </c>
      <c r="K2425" s="3" t="s">
        <v>12917</v>
      </c>
      <c r="L2425" s="3" t="s">
        <v>12918</v>
      </c>
      <c r="M2425" s="4"/>
      <c r="N2425" s="3" t="s">
        <v>37</v>
      </c>
      <c r="O2425" s="3" t="s">
        <v>38</v>
      </c>
      <c r="P2425" s="5">
        <v>11</v>
      </c>
      <c r="Q2425" s="5">
        <v>110</v>
      </c>
      <c r="R2425" s="5">
        <v>11</v>
      </c>
      <c r="S2425" s="5">
        <v>109</v>
      </c>
    </row>
    <row r="2426" spans="1:19" ht="70" x14ac:dyDescent="0.15">
      <c r="A2426" s="2">
        <f>HYPERLINK("https://open-school.uspishnemisto.com.ua/school/120856/", 120856)</f>
        <v>120856</v>
      </c>
      <c r="B2426" s="3" t="s">
        <v>12919</v>
      </c>
      <c r="C2426" s="3" t="s">
        <v>54</v>
      </c>
      <c r="D2426" s="3" t="s">
        <v>32</v>
      </c>
      <c r="E2426" s="4" t="s">
        <v>22</v>
      </c>
      <c r="F2426" s="4" t="s">
        <v>12920</v>
      </c>
      <c r="G2426" s="4" t="s">
        <v>12921</v>
      </c>
      <c r="H2426" s="3" t="s">
        <v>8487</v>
      </c>
      <c r="I2426" s="3" t="s">
        <v>12922</v>
      </c>
      <c r="J2426" s="3" t="s">
        <v>12923</v>
      </c>
      <c r="K2426" s="3" t="s">
        <v>12924</v>
      </c>
      <c r="L2426" s="3"/>
      <c r="M2426" s="4"/>
      <c r="N2426" s="3" t="s">
        <v>37</v>
      </c>
      <c r="O2426" s="3" t="s">
        <v>52</v>
      </c>
      <c r="P2426" s="5">
        <v>48</v>
      </c>
      <c r="Q2426" s="5">
        <v>918</v>
      </c>
      <c r="R2426" s="5">
        <v>45</v>
      </c>
      <c r="S2426" s="5">
        <v>850</v>
      </c>
    </row>
    <row r="2427" spans="1:19" ht="42" x14ac:dyDescent="0.15">
      <c r="A2427" s="2">
        <f>HYPERLINK("https://open-school.uspishnemisto.com.ua/school/120857/", 120857)</f>
        <v>120857</v>
      </c>
      <c r="B2427" s="3" t="s">
        <v>12925</v>
      </c>
      <c r="C2427" s="3" t="s">
        <v>31</v>
      </c>
      <c r="D2427" s="3" t="s">
        <v>32</v>
      </c>
      <c r="E2427" s="4" t="s">
        <v>22</v>
      </c>
      <c r="F2427" s="4" t="s">
        <v>12920</v>
      </c>
      <c r="G2427" s="4" t="s">
        <v>12921</v>
      </c>
      <c r="H2427" s="3" t="s">
        <v>8487</v>
      </c>
      <c r="I2427" s="3" t="s">
        <v>12922</v>
      </c>
      <c r="J2427" s="3" t="s">
        <v>12926</v>
      </c>
      <c r="K2427" s="3" t="s">
        <v>12927</v>
      </c>
      <c r="L2427" s="3" t="s">
        <v>12928</v>
      </c>
      <c r="M2427" s="4"/>
      <c r="N2427" s="3" t="s">
        <v>37</v>
      </c>
      <c r="O2427" s="3" t="s">
        <v>52</v>
      </c>
      <c r="P2427" s="5">
        <v>15</v>
      </c>
      <c r="Q2427" s="5">
        <v>288</v>
      </c>
      <c r="R2427" s="5">
        <v>17</v>
      </c>
      <c r="S2427" s="5">
        <v>339</v>
      </c>
    </row>
    <row r="2428" spans="1:19" ht="42" x14ac:dyDescent="0.15">
      <c r="A2428" s="2">
        <f>HYPERLINK("https://open-school.uspishnemisto.com.ua/school/120858/", 120858)</f>
        <v>120858</v>
      </c>
      <c r="B2428" s="3" t="s">
        <v>12929</v>
      </c>
      <c r="C2428" s="3" t="s">
        <v>31</v>
      </c>
      <c r="D2428" s="3" t="s">
        <v>175</v>
      </c>
      <c r="E2428" s="4" t="s">
        <v>22</v>
      </c>
      <c r="F2428" s="4" t="s">
        <v>12930</v>
      </c>
      <c r="G2428" s="4" t="s">
        <v>12931</v>
      </c>
      <c r="H2428" s="3" t="s">
        <v>8487</v>
      </c>
      <c r="I2428" s="3" t="s">
        <v>12932</v>
      </c>
      <c r="J2428" s="3" t="s">
        <v>12933</v>
      </c>
      <c r="K2428" s="3" t="s">
        <v>12934</v>
      </c>
      <c r="L2428" s="3" t="s">
        <v>12935</v>
      </c>
      <c r="M2428" s="4"/>
      <c r="N2428" s="3" t="s">
        <v>37</v>
      </c>
      <c r="O2428" s="3" t="s">
        <v>52</v>
      </c>
      <c r="P2428" s="5">
        <v>9</v>
      </c>
      <c r="Q2428" s="5">
        <v>105</v>
      </c>
      <c r="R2428" s="5">
        <v>9</v>
      </c>
      <c r="S2428" s="5">
        <v>102</v>
      </c>
    </row>
    <row r="2429" spans="1:19" ht="84" x14ac:dyDescent="0.15">
      <c r="A2429" s="2">
        <f>HYPERLINK("https://open-school.uspishnemisto.com.ua/school/120859/", 120859)</f>
        <v>120859</v>
      </c>
      <c r="B2429" s="3" t="s">
        <v>12936</v>
      </c>
      <c r="C2429" s="3" t="s">
        <v>31</v>
      </c>
      <c r="D2429" s="3" t="s">
        <v>175</v>
      </c>
      <c r="E2429" s="4" t="s">
        <v>22</v>
      </c>
      <c r="F2429" s="4" t="s">
        <v>12937</v>
      </c>
      <c r="G2429" s="4" t="s">
        <v>12938</v>
      </c>
      <c r="H2429" s="3" t="s">
        <v>8487</v>
      </c>
      <c r="I2429" s="3" t="s">
        <v>12939</v>
      </c>
      <c r="J2429" s="3" t="s">
        <v>466</v>
      </c>
      <c r="K2429" s="3" t="s">
        <v>12940</v>
      </c>
      <c r="L2429" s="3" t="s">
        <v>12941</v>
      </c>
      <c r="M2429" s="4"/>
      <c r="N2429" s="3"/>
      <c r="O2429" s="3"/>
      <c r="P2429" s="5">
        <v>0</v>
      </c>
      <c r="Q2429" s="5">
        <v>0</v>
      </c>
      <c r="R2429" s="5"/>
      <c r="S2429" s="5"/>
    </row>
    <row r="2430" spans="1:19" ht="56" x14ac:dyDescent="0.15">
      <c r="A2430" s="2">
        <f>HYPERLINK("https://open-school.uspishnemisto.com.ua/school/120860/", 120860)</f>
        <v>120860</v>
      </c>
      <c r="B2430" s="3" t="s">
        <v>12942</v>
      </c>
      <c r="C2430" s="3" t="s">
        <v>31</v>
      </c>
      <c r="D2430" s="3" t="s">
        <v>32</v>
      </c>
      <c r="E2430" s="4" t="s">
        <v>22</v>
      </c>
      <c r="F2430" s="4" t="s">
        <v>12943</v>
      </c>
      <c r="G2430" s="4" t="s">
        <v>12944</v>
      </c>
      <c r="H2430" s="3" t="s">
        <v>8487</v>
      </c>
      <c r="I2430" s="3" t="s">
        <v>12945</v>
      </c>
      <c r="J2430" s="3" t="s">
        <v>2253</v>
      </c>
      <c r="K2430" s="3" t="s">
        <v>12946</v>
      </c>
      <c r="L2430" s="3" t="s">
        <v>12947</v>
      </c>
      <c r="M2430" s="4"/>
      <c r="N2430" s="3" t="s">
        <v>37</v>
      </c>
      <c r="O2430" s="3" t="s">
        <v>38</v>
      </c>
      <c r="P2430" s="5">
        <v>11</v>
      </c>
      <c r="Q2430" s="5">
        <v>196</v>
      </c>
      <c r="R2430" s="5">
        <v>11</v>
      </c>
      <c r="S2430" s="5">
        <v>198</v>
      </c>
    </row>
    <row r="2431" spans="1:19" ht="56" x14ac:dyDescent="0.15">
      <c r="A2431" s="2">
        <f>HYPERLINK("https://open-school.uspishnemisto.com.ua/school/120861/", 120861)</f>
        <v>120861</v>
      </c>
      <c r="B2431" s="3" t="s">
        <v>12948</v>
      </c>
      <c r="C2431" s="3" t="s">
        <v>54</v>
      </c>
      <c r="D2431" s="3" t="s">
        <v>32</v>
      </c>
      <c r="E2431" s="4" t="s">
        <v>22</v>
      </c>
      <c r="F2431" s="4" t="s">
        <v>12949</v>
      </c>
      <c r="G2431" s="4" t="s">
        <v>12950</v>
      </c>
      <c r="H2431" s="3" t="s">
        <v>8487</v>
      </c>
      <c r="I2431" s="3" t="s">
        <v>12433</v>
      </c>
      <c r="J2431" s="3" t="s">
        <v>12951</v>
      </c>
      <c r="K2431" s="3" t="s">
        <v>12952</v>
      </c>
      <c r="L2431" s="3" t="s">
        <v>12953</v>
      </c>
      <c r="M2431" s="4"/>
      <c r="N2431" s="3" t="s">
        <v>37</v>
      </c>
      <c r="O2431" s="3" t="s">
        <v>38</v>
      </c>
      <c r="P2431" s="5">
        <v>11</v>
      </c>
      <c r="Q2431" s="5">
        <v>99</v>
      </c>
      <c r="R2431" s="5">
        <v>11</v>
      </c>
      <c r="S2431" s="5">
        <v>101</v>
      </c>
    </row>
    <row r="2432" spans="1:19" ht="42" x14ac:dyDescent="0.15">
      <c r="A2432" s="2">
        <f>HYPERLINK("https://open-school.uspishnemisto.com.ua/school/120862/", 120862)</f>
        <v>120862</v>
      </c>
      <c r="B2432" s="3" t="s">
        <v>12954</v>
      </c>
      <c r="C2432" s="3" t="s">
        <v>31</v>
      </c>
      <c r="D2432" s="3" t="s">
        <v>32</v>
      </c>
      <c r="E2432" s="4" t="s">
        <v>22</v>
      </c>
      <c r="F2432" s="4" t="s">
        <v>12955</v>
      </c>
      <c r="G2432" s="4" t="s">
        <v>12956</v>
      </c>
      <c r="H2432" s="3" t="s">
        <v>8487</v>
      </c>
      <c r="I2432" s="3" t="s">
        <v>11483</v>
      </c>
      <c r="J2432" s="3" t="s">
        <v>12957</v>
      </c>
      <c r="K2432" s="3" t="s">
        <v>12958</v>
      </c>
      <c r="L2432" s="3" t="s">
        <v>12959</v>
      </c>
      <c r="M2432" s="4"/>
      <c r="N2432" s="3" t="s">
        <v>37</v>
      </c>
      <c r="O2432" s="3" t="s">
        <v>38</v>
      </c>
      <c r="P2432" s="5">
        <v>10</v>
      </c>
      <c r="Q2432" s="5">
        <v>85</v>
      </c>
      <c r="R2432" s="5">
        <v>9</v>
      </c>
      <c r="S2432" s="5">
        <v>85</v>
      </c>
    </row>
    <row r="2433" spans="1:19" ht="42" x14ac:dyDescent="0.15">
      <c r="A2433" s="2">
        <f>HYPERLINK("https://open-school.uspishnemisto.com.ua/school/120863/", 120863)</f>
        <v>120863</v>
      </c>
      <c r="B2433" s="3" t="s">
        <v>12960</v>
      </c>
      <c r="C2433" s="3" t="s">
        <v>31</v>
      </c>
      <c r="D2433" s="3" t="s">
        <v>175</v>
      </c>
      <c r="E2433" s="4" t="s">
        <v>22</v>
      </c>
      <c r="F2433" s="4" t="s">
        <v>12949</v>
      </c>
      <c r="G2433" s="4" t="s">
        <v>12961</v>
      </c>
      <c r="H2433" s="3" t="s">
        <v>8487</v>
      </c>
      <c r="I2433" s="3" t="s">
        <v>12358</v>
      </c>
      <c r="J2433" s="3" t="s">
        <v>6438</v>
      </c>
      <c r="K2433" s="3" t="s">
        <v>12962</v>
      </c>
      <c r="L2433" s="3" t="s">
        <v>12963</v>
      </c>
      <c r="M2433" s="4"/>
      <c r="N2433" s="3" t="s">
        <v>37</v>
      </c>
      <c r="O2433" s="3" t="s">
        <v>38</v>
      </c>
      <c r="P2433" s="5">
        <v>9</v>
      </c>
      <c r="Q2433" s="5">
        <v>80</v>
      </c>
      <c r="R2433" s="5">
        <v>9</v>
      </c>
      <c r="S2433" s="5">
        <v>83</v>
      </c>
    </row>
    <row r="2434" spans="1:19" ht="42" x14ac:dyDescent="0.15">
      <c r="A2434" s="2">
        <f>HYPERLINK("https://open-school.uspishnemisto.com.ua/school/120864/", 120864)</f>
        <v>120864</v>
      </c>
      <c r="B2434" s="3" t="s">
        <v>12964</v>
      </c>
      <c r="C2434" s="3" t="s">
        <v>31</v>
      </c>
      <c r="D2434" s="3" t="s">
        <v>32</v>
      </c>
      <c r="E2434" s="4" t="s">
        <v>22</v>
      </c>
      <c r="F2434" s="4" t="s">
        <v>12965</v>
      </c>
      <c r="G2434" s="4" t="s">
        <v>12966</v>
      </c>
      <c r="H2434" s="3" t="s">
        <v>8487</v>
      </c>
      <c r="I2434" s="3" t="s">
        <v>12967</v>
      </c>
      <c r="J2434" s="3" t="s">
        <v>12968</v>
      </c>
      <c r="K2434" s="3" t="s">
        <v>12969</v>
      </c>
      <c r="L2434" s="3" t="s">
        <v>12970</v>
      </c>
      <c r="M2434" s="4"/>
      <c r="N2434" s="3" t="s">
        <v>37</v>
      </c>
      <c r="O2434" s="3" t="s">
        <v>38</v>
      </c>
      <c r="P2434" s="5">
        <v>11</v>
      </c>
      <c r="Q2434" s="5">
        <v>201</v>
      </c>
      <c r="R2434" s="5">
        <v>11</v>
      </c>
      <c r="S2434" s="5">
        <v>187</v>
      </c>
    </row>
    <row r="2435" spans="1:19" ht="42" x14ac:dyDescent="0.15">
      <c r="A2435" s="2">
        <f>HYPERLINK("https://open-school.uspishnemisto.com.ua/school/120865/", 120865)</f>
        <v>120865</v>
      </c>
      <c r="B2435" s="3" t="s">
        <v>12971</v>
      </c>
      <c r="C2435" s="3" t="s">
        <v>31</v>
      </c>
      <c r="D2435" s="3" t="s">
        <v>32</v>
      </c>
      <c r="E2435" s="4" t="s">
        <v>22</v>
      </c>
      <c r="F2435" s="4" t="s">
        <v>12972</v>
      </c>
      <c r="G2435" s="4" t="s">
        <v>12973</v>
      </c>
      <c r="H2435" s="3" t="s">
        <v>8487</v>
      </c>
      <c r="I2435" s="3" t="s">
        <v>12974</v>
      </c>
      <c r="J2435" s="3" t="s">
        <v>12975</v>
      </c>
      <c r="K2435" s="3" t="s">
        <v>12976</v>
      </c>
      <c r="L2435" s="3" t="s">
        <v>12977</v>
      </c>
      <c r="M2435" s="4"/>
      <c r="N2435" s="3" t="s">
        <v>37</v>
      </c>
      <c r="O2435" s="3" t="s">
        <v>38</v>
      </c>
      <c r="P2435" s="5">
        <v>10</v>
      </c>
      <c r="Q2435" s="5">
        <v>101</v>
      </c>
      <c r="R2435" s="5">
        <v>10</v>
      </c>
      <c r="S2435" s="5">
        <v>97</v>
      </c>
    </row>
    <row r="2436" spans="1:19" ht="42" x14ac:dyDescent="0.15">
      <c r="A2436" s="2">
        <f>HYPERLINK("https://open-school.uspishnemisto.com.ua/school/120866/", 120866)</f>
        <v>120866</v>
      </c>
      <c r="B2436" s="3" t="s">
        <v>12978</v>
      </c>
      <c r="C2436" s="3" t="s">
        <v>31</v>
      </c>
      <c r="D2436" s="3" t="s">
        <v>175</v>
      </c>
      <c r="E2436" s="4" t="s">
        <v>22</v>
      </c>
      <c r="F2436" s="4" t="s">
        <v>12979</v>
      </c>
      <c r="G2436" s="4" t="s">
        <v>12980</v>
      </c>
      <c r="H2436" s="3" t="s">
        <v>8487</v>
      </c>
      <c r="I2436" s="3" t="s">
        <v>1500</v>
      </c>
      <c r="J2436" s="3" t="s">
        <v>12981</v>
      </c>
      <c r="K2436" s="3" t="s">
        <v>12982</v>
      </c>
      <c r="L2436" s="3" t="s">
        <v>12983</v>
      </c>
      <c r="M2436" s="4"/>
      <c r="N2436" s="3"/>
      <c r="O2436" s="3"/>
      <c r="P2436" s="5">
        <v>0</v>
      </c>
      <c r="Q2436" s="5">
        <v>0</v>
      </c>
      <c r="R2436" s="5"/>
      <c r="S2436" s="5"/>
    </row>
    <row r="2437" spans="1:19" ht="42" x14ac:dyDescent="0.15">
      <c r="A2437" s="2">
        <f>HYPERLINK("https://open-school.uspishnemisto.com.ua/school/120867/", 120867)</f>
        <v>120867</v>
      </c>
      <c r="B2437" s="3" t="s">
        <v>12984</v>
      </c>
      <c r="C2437" s="3" t="s">
        <v>31</v>
      </c>
      <c r="D2437" s="3" t="s">
        <v>32</v>
      </c>
      <c r="E2437" s="4" t="s">
        <v>22</v>
      </c>
      <c r="F2437" s="4" t="s">
        <v>12985</v>
      </c>
      <c r="G2437" s="4" t="s">
        <v>12986</v>
      </c>
      <c r="H2437" s="3" t="s">
        <v>8487</v>
      </c>
      <c r="I2437" s="3" t="s">
        <v>12987</v>
      </c>
      <c r="J2437" s="3" t="s">
        <v>12988</v>
      </c>
      <c r="K2437" s="3" t="s">
        <v>12989</v>
      </c>
      <c r="L2437" s="3" t="s">
        <v>12990</v>
      </c>
      <c r="M2437" s="4"/>
      <c r="N2437" s="3" t="s">
        <v>37</v>
      </c>
      <c r="O2437" s="3" t="s">
        <v>38</v>
      </c>
      <c r="P2437" s="5">
        <v>11</v>
      </c>
      <c r="Q2437" s="5">
        <v>89</v>
      </c>
      <c r="R2437" s="5">
        <v>10</v>
      </c>
      <c r="S2437" s="5">
        <v>84</v>
      </c>
    </row>
    <row r="2438" spans="1:19" ht="42" x14ac:dyDescent="0.15">
      <c r="A2438" s="2">
        <f>HYPERLINK("https://open-school.uspishnemisto.com.ua/school/120868/", 120868)</f>
        <v>120868</v>
      </c>
      <c r="B2438" s="3" t="s">
        <v>12991</v>
      </c>
      <c r="C2438" s="3" t="s">
        <v>31</v>
      </c>
      <c r="D2438" s="3" t="s">
        <v>175</v>
      </c>
      <c r="E2438" s="4" t="s">
        <v>22</v>
      </c>
      <c r="F2438" s="4" t="s">
        <v>12992</v>
      </c>
      <c r="G2438" s="4" t="s">
        <v>12993</v>
      </c>
      <c r="H2438" s="3" t="s">
        <v>8487</v>
      </c>
      <c r="I2438" s="3" t="s">
        <v>1803</v>
      </c>
      <c r="J2438" s="3" t="s">
        <v>12994</v>
      </c>
      <c r="K2438" s="3" t="s">
        <v>12995</v>
      </c>
      <c r="L2438" s="3" t="s">
        <v>12996</v>
      </c>
      <c r="M2438" s="4"/>
      <c r="N2438" s="3" t="s">
        <v>37</v>
      </c>
      <c r="O2438" s="3" t="s">
        <v>70</v>
      </c>
      <c r="P2438" s="5">
        <v>3</v>
      </c>
      <c r="Q2438" s="5">
        <v>37</v>
      </c>
      <c r="R2438" s="5">
        <v>3</v>
      </c>
      <c r="S2438" s="5">
        <v>39</v>
      </c>
    </row>
    <row r="2439" spans="1:19" ht="42" x14ac:dyDescent="0.15">
      <c r="A2439" s="2">
        <f>HYPERLINK("https://open-school.uspishnemisto.com.ua/school/120869/", 120869)</f>
        <v>120869</v>
      </c>
      <c r="B2439" s="3" t="s">
        <v>12997</v>
      </c>
      <c r="C2439" s="3" t="s">
        <v>31</v>
      </c>
      <c r="D2439" s="3" t="s">
        <v>32</v>
      </c>
      <c r="E2439" s="4" t="s">
        <v>22</v>
      </c>
      <c r="F2439" s="4" t="s">
        <v>12998</v>
      </c>
      <c r="G2439" s="4" t="s">
        <v>12999</v>
      </c>
      <c r="H2439" s="3" t="s">
        <v>8487</v>
      </c>
      <c r="I2439" s="3" t="s">
        <v>13000</v>
      </c>
      <c r="J2439" s="3" t="s">
        <v>466</v>
      </c>
      <c r="K2439" s="3" t="s">
        <v>13001</v>
      </c>
      <c r="L2439" s="3" t="s">
        <v>13002</v>
      </c>
      <c r="M2439" s="4"/>
      <c r="N2439" s="3" t="s">
        <v>37</v>
      </c>
      <c r="O2439" s="3" t="s">
        <v>38</v>
      </c>
      <c r="P2439" s="5">
        <v>11</v>
      </c>
      <c r="Q2439" s="5">
        <v>138</v>
      </c>
      <c r="R2439" s="5">
        <v>11</v>
      </c>
      <c r="S2439" s="5">
        <v>137</v>
      </c>
    </row>
    <row r="2440" spans="1:19" ht="56" x14ac:dyDescent="0.15">
      <c r="A2440" s="2">
        <f>HYPERLINK("https://open-school.uspishnemisto.com.ua/school/120870/", 120870)</f>
        <v>120870</v>
      </c>
      <c r="B2440" s="3" t="s">
        <v>13003</v>
      </c>
      <c r="C2440" s="3" t="s">
        <v>54</v>
      </c>
      <c r="D2440" s="3" t="s">
        <v>60</v>
      </c>
      <c r="E2440" s="4" t="s">
        <v>22</v>
      </c>
      <c r="F2440" s="4" t="s">
        <v>13004</v>
      </c>
      <c r="G2440" s="4" t="s">
        <v>13005</v>
      </c>
      <c r="H2440" s="3" t="s">
        <v>8487</v>
      </c>
      <c r="I2440" s="3" t="s">
        <v>13006</v>
      </c>
      <c r="J2440" s="3" t="s">
        <v>1451</v>
      </c>
      <c r="K2440" s="3" t="s">
        <v>13007</v>
      </c>
      <c r="L2440" s="3" t="s">
        <v>13008</v>
      </c>
      <c r="M2440" s="4"/>
      <c r="N2440" s="3" t="s">
        <v>37</v>
      </c>
      <c r="O2440" s="3" t="s">
        <v>52</v>
      </c>
      <c r="P2440" s="5">
        <v>1</v>
      </c>
      <c r="Q2440" s="5">
        <v>10</v>
      </c>
      <c r="R2440" s="5">
        <v>1</v>
      </c>
      <c r="S2440" s="5">
        <v>25</v>
      </c>
    </row>
    <row r="2441" spans="1:19" ht="56" x14ac:dyDescent="0.15">
      <c r="A2441" s="2">
        <f>HYPERLINK("https://open-school.uspishnemisto.com.ua/school/120871/", 120871)</f>
        <v>120871</v>
      </c>
      <c r="B2441" s="3" t="s">
        <v>13009</v>
      </c>
      <c r="C2441" s="3" t="s">
        <v>31</v>
      </c>
      <c r="D2441" s="3" t="s">
        <v>32</v>
      </c>
      <c r="E2441" s="4" t="s">
        <v>22</v>
      </c>
      <c r="F2441" s="4" t="s">
        <v>13010</v>
      </c>
      <c r="G2441" s="4" t="s">
        <v>13011</v>
      </c>
      <c r="H2441" s="3" t="s">
        <v>8487</v>
      </c>
      <c r="I2441" s="3" t="s">
        <v>13012</v>
      </c>
      <c r="J2441" s="3" t="s">
        <v>726</v>
      </c>
      <c r="K2441" s="3" t="s">
        <v>13013</v>
      </c>
      <c r="L2441" s="3" t="s">
        <v>13014</v>
      </c>
      <c r="M2441" s="4"/>
      <c r="N2441" s="3" t="s">
        <v>37</v>
      </c>
      <c r="O2441" s="3" t="s">
        <v>38</v>
      </c>
      <c r="P2441" s="5">
        <v>37</v>
      </c>
      <c r="Q2441" s="5">
        <v>457</v>
      </c>
      <c r="R2441" s="5">
        <v>11</v>
      </c>
      <c r="S2441" s="5">
        <v>227</v>
      </c>
    </row>
    <row r="2442" spans="1:19" ht="70" x14ac:dyDescent="0.15">
      <c r="A2442" s="2">
        <f>HYPERLINK("https://open-school.uspishnemisto.com.ua/school/120872/", 120872)</f>
        <v>120872</v>
      </c>
      <c r="B2442" s="3" t="s">
        <v>13015</v>
      </c>
      <c r="C2442" s="3" t="s">
        <v>31</v>
      </c>
      <c r="D2442" s="3" t="s">
        <v>60</v>
      </c>
      <c r="E2442" s="4" t="s">
        <v>22</v>
      </c>
      <c r="F2442" s="4" t="s">
        <v>13016</v>
      </c>
      <c r="G2442" s="4" t="s">
        <v>13017</v>
      </c>
      <c r="H2442" s="3" t="s">
        <v>8487</v>
      </c>
      <c r="I2442" s="3" t="s">
        <v>13018</v>
      </c>
      <c r="J2442" s="3" t="s">
        <v>6666</v>
      </c>
      <c r="K2442" s="3"/>
      <c r="L2442" s="3"/>
      <c r="M2442" s="4"/>
      <c r="N2442" s="3"/>
      <c r="O2442" s="3"/>
      <c r="P2442" s="5">
        <v>0</v>
      </c>
      <c r="Q2442" s="5">
        <v>0</v>
      </c>
      <c r="R2442" s="5"/>
      <c r="S2442" s="5"/>
    </row>
    <row r="2443" spans="1:19" ht="56" x14ac:dyDescent="0.15">
      <c r="A2443" s="2">
        <f>HYPERLINK("https://open-school.uspishnemisto.com.ua/school/120873/", 120873)</f>
        <v>120873</v>
      </c>
      <c r="B2443" s="3" t="s">
        <v>13019</v>
      </c>
      <c r="C2443" s="3" t="s">
        <v>31</v>
      </c>
      <c r="D2443" s="3" t="s">
        <v>32</v>
      </c>
      <c r="E2443" s="4" t="s">
        <v>22</v>
      </c>
      <c r="F2443" s="4" t="s">
        <v>13020</v>
      </c>
      <c r="G2443" s="4" t="s">
        <v>13021</v>
      </c>
      <c r="H2443" s="3" t="s">
        <v>8487</v>
      </c>
      <c r="I2443" s="3" t="s">
        <v>13022</v>
      </c>
      <c r="J2443" s="3" t="s">
        <v>13023</v>
      </c>
      <c r="K2443" s="3" t="s">
        <v>13024</v>
      </c>
      <c r="L2443" s="3" t="s">
        <v>13025</v>
      </c>
      <c r="M2443" s="4"/>
      <c r="N2443" s="3" t="s">
        <v>37</v>
      </c>
      <c r="O2443" s="3" t="s">
        <v>38</v>
      </c>
      <c r="P2443" s="5">
        <v>11</v>
      </c>
      <c r="Q2443" s="5">
        <v>106</v>
      </c>
      <c r="R2443" s="5">
        <v>11</v>
      </c>
      <c r="S2443" s="5">
        <v>110</v>
      </c>
    </row>
    <row r="2444" spans="1:19" ht="70" x14ac:dyDescent="0.15">
      <c r="A2444" s="2">
        <f>HYPERLINK("https://open-school.uspishnemisto.com.ua/school/120874/", 120874)</f>
        <v>120874</v>
      </c>
      <c r="B2444" s="3" t="s">
        <v>13026</v>
      </c>
      <c r="C2444" s="3" t="s">
        <v>31</v>
      </c>
      <c r="D2444" s="3" t="s">
        <v>175</v>
      </c>
      <c r="E2444" s="4" t="s">
        <v>22</v>
      </c>
      <c r="F2444" s="4" t="s">
        <v>13027</v>
      </c>
      <c r="G2444" s="4" t="s">
        <v>13028</v>
      </c>
      <c r="H2444" s="3" t="s">
        <v>8487</v>
      </c>
      <c r="I2444" s="3" t="s">
        <v>13029</v>
      </c>
      <c r="J2444" s="3" t="s">
        <v>627</v>
      </c>
      <c r="K2444" s="3" t="s">
        <v>13030</v>
      </c>
      <c r="L2444" s="3" t="s">
        <v>13031</v>
      </c>
      <c r="M2444" s="4"/>
      <c r="N2444" s="3" t="s">
        <v>37</v>
      </c>
      <c r="O2444" s="3"/>
      <c r="P2444" s="5">
        <v>0</v>
      </c>
      <c r="Q2444" s="5">
        <v>0</v>
      </c>
      <c r="R2444" s="5">
        <v>11</v>
      </c>
      <c r="S2444" s="5">
        <v>144</v>
      </c>
    </row>
    <row r="2445" spans="1:19" ht="42" x14ac:dyDescent="0.15">
      <c r="A2445" s="2">
        <f>HYPERLINK("https://open-school.uspishnemisto.com.ua/school/120875/", 120875)</f>
        <v>120875</v>
      </c>
      <c r="B2445" s="3" t="s">
        <v>13032</v>
      </c>
      <c r="C2445" s="3" t="s">
        <v>31</v>
      </c>
      <c r="D2445" s="3" t="s">
        <v>32</v>
      </c>
      <c r="E2445" s="4" t="s">
        <v>22</v>
      </c>
      <c r="F2445" s="4" t="s">
        <v>13033</v>
      </c>
      <c r="G2445" s="4" t="s">
        <v>13034</v>
      </c>
      <c r="H2445" s="3" t="s">
        <v>8487</v>
      </c>
      <c r="I2445" s="3" t="s">
        <v>13035</v>
      </c>
      <c r="J2445" s="3" t="s">
        <v>2978</v>
      </c>
      <c r="K2445" s="3" t="s">
        <v>13036</v>
      </c>
      <c r="L2445" s="3" t="s">
        <v>13037</v>
      </c>
      <c r="M2445" s="4"/>
      <c r="N2445" s="3" t="s">
        <v>37</v>
      </c>
      <c r="O2445" s="3" t="s">
        <v>52</v>
      </c>
      <c r="P2445" s="5">
        <v>10</v>
      </c>
      <c r="Q2445" s="5">
        <v>76</v>
      </c>
      <c r="R2445" s="5">
        <v>9</v>
      </c>
      <c r="S2445" s="5">
        <v>71</v>
      </c>
    </row>
    <row r="2446" spans="1:19" ht="42" x14ac:dyDescent="0.15">
      <c r="A2446" s="2">
        <f>HYPERLINK("https://open-school.uspishnemisto.com.ua/school/120876/", 120876)</f>
        <v>120876</v>
      </c>
      <c r="B2446" s="3" t="s">
        <v>13038</v>
      </c>
      <c r="C2446" s="3" t="s">
        <v>31</v>
      </c>
      <c r="D2446" s="3" t="s">
        <v>175</v>
      </c>
      <c r="E2446" s="4" t="s">
        <v>22</v>
      </c>
      <c r="F2446" s="4" t="s">
        <v>13039</v>
      </c>
      <c r="G2446" s="4" t="s">
        <v>13040</v>
      </c>
      <c r="H2446" s="3" t="s">
        <v>8487</v>
      </c>
      <c r="I2446" s="3" t="s">
        <v>13041</v>
      </c>
      <c r="J2446" s="3" t="s">
        <v>13042</v>
      </c>
      <c r="K2446" s="3" t="s">
        <v>13043</v>
      </c>
      <c r="L2446" s="3" t="s">
        <v>13044</v>
      </c>
      <c r="M2446" s="4"/>
      <c r="N2446" s="3" t="s">
        <v>37</v>
      </c>
      <c r="O2446" s="3" t="s">
        <v>38</v>
      </c>
      <c r="P2446" s="5">
        <v>6</v>
      </c>
      <c r="Q2446" s="5">
        <v>44</v>
      </c>
      <c r="R2446" s="5">
        <v>6</v>
      </c>
      <c r="S2446" s="5">
        <v>49</v>
      </c>
    </row>
    <row r="2447" spans="1:19" ht="42" x14ac:dyDescent="0.15">
      <c r="A2447" s="2">
        <f>HYPERLINK("https://open-school.uspishnemisto.com.ua/school/120877/", 120877)</f>
        <v>120877</v>
      </c>
      <c r="B2447" s="3" t="s">
        <v>13045</v>
      </c>
      <c r="C2447" s="3" t="s">
        <v>54</v>
      </c>
      <c r="D2447" s="3" t="s">
        <v>60</v>
      </c>
      <c r="E2447" s="4" t="s">
        <v>22</v>
      </c>
      <c r="F2447" s="4" t="s">
        <v>13033</v>
      </c>
      <c r="G2447" s="4" t="s">
        <v>13046</v>
      </c>
      <c r="H2447" s="3" t="s">
        <v>8487</v>
      </c>
      <c r="I2447" s="3" t="s">
        <v>13047</v>
      </c>
      <c r="J2447" s="3" t="s">
        <v>13048</v>
      </c>
      <c r="K2447" s="3" t="s">
        <v>13049</v>
      </c>
      <c r="L2447" s="3" t="s">
        <v>13050</v>
      </c>
      <c r="M2447" s="4"/>
      <c r="N2447" s="3" t="s">
        <v>37</v>
      </c>
      <c r="O2447" s="3" t="s">
        <v>38</v>
      </c>
      <c r="P2447" s="5">
        <v>0</v>
      </c>
      <c r="Q2447" s="5">
        <v>14</v>
      </c>
      <c r="R2447" s="5">
        <v>1</v>
      </c>
      <c r="S2447" s="5">
        <v>15</v>
      </c>
    </row>
    <row r="2448" spans="1:19" ht="70" x14ac:dyDescent="0.15">
      <c r="A2448" s="2">
        <f>HYPERLINK("https://open-school.uspishnemisto.com.ua/school/120878/", 120878)</f>
        <v>120878</v>
      </c>
      <c r="B2448" s="3" t="s">
        <v>13051</v>
      </c>
      <c r="C2448" s="3" t="s">
        <v>31</v>
      </c>
      <c r="D2448" s="3" t="s">
        <v>175</v>
      </c>
      <c r="E2448" s="4" t="s">
        <v>22</v>
      </c>
      <c r="F2448" s="4" t="s">
        <v>13052</v>
      </c>
      <c r="G2448" s="4" t="s">
        <v>13053</v>
      </c>
      <c r="H2448" s="3" t="s">
        <v>8487</v>
      </c>
      <c r="I2448" s="3" t="s">
        <v>13054</v>
      </c>
      <c r="J2448" s="3" t="s">
        <v>3064</v>
      </c>
      <c r="K2448" s="3" t="s">
        <v>13055</v>
      </c>
      <c r="L2448" s="3" t="s">
        <v>13056</v>
      </c>
      <c r="M2448" s="4"/>
      <c r="N2448" s="3" t="s">
        <v>37</v>
      </c>
      <c r="O2448" s="3" t="s">
        <v>618</v>
      </c>
      <c r="P2448" s="5">
        <v>0</v>
      </c>
      <c r="Q2448" s="5">
        <v>0</v>
      </c>
      <c r="R2448" s="5">
        <v>4</v>
      </c>
      <c r="S2448" s="5">
        <v>43</v>
      </c>
    </row>
    <row r="2449" spans="1:19" ht="56" x14ac:dyDescent="0.15">
      <c r="A2449" s="2">
        <f>HYPERLINK("https://open-school.uspishnemisto.com.ua/school/120879/", 120879)</f>
        <v>120879</v>
      </c>
      <c r="B2449" s="3" t="s">
        <v>13057</v>
      </c>
      <c r="C2449" s="3" t="s">
        <v>31</v>
      </c>
      <c r="D2449" s="3" t="s">
        <v>175</v>
      </c>
      <c r="E2449" s="4" t="s">
        <v>22</v>
      </c>
      <c r="F2449" s="4" t="s">
        <v>13058</v>
      </c>
      <c r="G2449" s="4" t="s">
        <v>13059</v>
      </c>
      <c r="H2449" s="3" t="s">
        <v>8487</v>
      </c>
      <c r="I2449" s="3" t="s">
        <v>1587</v>
      </c>
      <c r="J2449" s="3" t="s">
        <v>13060</v>
      </c>
      <c r="K2449" s="3" t="s">
        <v>13061</v>
      </c>
      <c r="L2449" s="3"/>
      <c r="M2449" s="4"/>
      <c r="N2449" s="3" t="s">
        <v>37</v>
      </c>
      <c r="O2449" s="3" t="s">
        <v>38</v>
      </c>
      <c r="P2449" s="5">
        <v>6</v>
      </c>
      <c r="Q2449" s="5">
        <v>47</v>
      </c>
      <c r="R2449" s="5">
        <v>8</v>
      </c>
      <c r="S2449" s="5">
        <v>45</v>
      </c>
    </row>
    <row r="2450" spans="1:19" ht="42" x14ac:dyDescent="0.15">
      <c r="A2450" s="2">
        <f>HYPERLINK("https://open-school.uspishnemisto.com.ua/school/120880/", 120880)</f>
        <v>120880</v>
      </c>
      <c r="B2450" s="3" t="s">
        <v>13062</v>
      </c>
      <c r="C2450" s="3" t="s">
        <v>31</v>
      </c>
      <c r="D2450" s="3" t="s">
        <v>32</v>
      </c>
      <c r="E2450" s="4" t="s">
        <v>22</v>
      </c>
      <c r="F2450" s="4" t="s">
        <v>13063</v>
      </c>
      <c r="G2450" s="4" t="s">
        <v>13064</v>
      </c>
      <c r="H2450" s="3" t="s">
        <v>8487</v>
      </c>
      <c r="I2450" s="3" t="s">
        <v>13065</v>
      </c>
      <c r="J2450" s="3" t="s">
        <v>13066</v>
      </c>
      <c r="K2450" s="3" t="s">
        <v>13067</v>
      </c>
      <c r="L2450" s="3" t="s">
        <v>13068</v>
      </c>
      <c r="M2450" s="4"/>
      <c r="N2450" s="3" t="s">
        <v>37</v>
      </c>
      <c r="O2450" s="3" t="s">
        <v>38</v>
      </c>
      <c r="P2450" s="5">
        <v>7</v>
      </c>
      <c r="Q2450" s="5">
        <v>61</v>
      </c>
      <c r="R2450" s="5">
        <v>10</v>
      </c>
      <c r="S2450" s="5">
        <v>64</v>
      </c>
    </row>
    <row r="2451" spans="1:19" ht="42" x14ac:dyDescent="0.15">
      <c r="A2451" s="2">
        <f>HYPERLINK("https://open-school.uspishnemisto.com.ua/school/120881/", 120881)</f>
        <v>120881</v>
      </c>
      <c r="B2451" s="3" t="s">
        <v>13069</v>
      </c>
      <c r="C2451" s="3" t="s">
        <v>31</v>
      </c>
      <c r="D2451" s="3" t="s">
        <v>32</v>
      </c>
      <c r="E2451" s="4" t="s">
        <v>22</v>
      </c>
      <c r="F2451" s="4" t="s">
        <v>13070</v>
      </c>
      <c r="G2451" s="4" t="s">
        <v>13071</v>
      </c>
      <c r="H2451" s="3" t="s">
        <v>8487</v>
      </c>
      <c r="I2451" s="3" t="s">
        <v>13072</v>
      </c>
      <c r="J2451" s="3" t="s">
        <v>7304</v>
      </c>
      <c r="K2451" s="3" t="s">
        <v>13073</v>
      </c>
      <c r="L2451" s="3" t="s">
        <v>13074</v>
      </c>
      <c r="M2451" s="4"/>
      <c r="N2451" s="3" t="s">
        <v>37</v>
      </c>
      <c r="O2451" s="3" t="s">
        <v>38</v>
      </c>
      <c r="P2451" s="5">
        <v>11</v>
      </c>
      <c r="Q2451" s="5">
        <v>158</v>
      </c>
      <c r="R2451" s="5">
        <v>11</v>
      </c>
      <c r="S2451" s="5">
        <v>156</v>
      </c>
    </row>
    <row r="2452" spans="1:19" ht="56" x14ac:dyDescent="0.15">
      <c r="A2452" s="2">
        <f>HYPERLINK("https://open-school.uspishnemisto.com.ua/school/120882/", 120882)</f>
        <v>120882</v>
      </c>
      <c r="B2452" s="3" t="s">
        <v>13075</v>
      </c>
      <c r="C2452" s="3" t="s">
        <v>54</v>
      </c>
      <c r="D2452" s="3" t="s">
        <v>175</v>
      </c>
      <c r="E2452" s="4" t="s">
        <v>22</v>
      </c>
      <c r="F2452" s="4" t="s">
        <v>13076</v>
      </c>
      <c r="G2452" s="4" t="s">
        <v>13077</v>
      </c>
      <c r="H2452" s="3" t="s">
        <v>8487</v>
      </c>
      <c r="I2452" s="3" t="s">
        <v>13078</v>
      </c>
      <c r="J2452" s="3" t="s">
        <v>11859</v>
      </c>
      <c r="K2452" s="3" t="s">
        <v>13079</v>
      </c>
      <c r="L2452" s="3" t="s">
        <v>13080</v>
      </c>
      <c r="M2452" s="4"/>
      <c r="N2452" s="3" t="s">
        <v>37</v>
      </c>
      <c r="O2452" s="3" t="s">
        <v>112</v>
      </c>
      <c r="P2452" s="5">
        <v>1</v>
      </c>
      <c r="Q2452" s="5">
        <v>26</v>
      </c>
      <c r="R2452" s="5">
        <v>1</v>
      </c>
      <c r="S2452" s="5">
        <v>26</v>
      </c>
    </row>
    <row r="2453" spans="1:19" ht="70" x14ac:dyDescent="0.15">
      <c r="A2453" s="2">
        <f>HYPERLINK("https://open-school.uspishnemisto.com.ua/school/120883/", 120883)</f>
        <v>120883</v>
      </c>
      <c r="B2453" s="3" t="s">
        <v>13081</v>
      </c>
      <c r="C2453" s="3" t="s">
        <v>31</v>
      </c>
      <c r="D2453" s="3" t="s">
        <v>175</v>
      </c>
      <c r="E2453" s="4" t="s">
        <v>22</v>
      </c>
      <c r="F2453" s="4" t="s">
        <v>13082</v>
      </c>
      <c r="G2453" s="4" t="s">
        <v>13083</v>
      </c>
      <c r="H2453" s="3" t="s">
        <v>8487</v>
      </c>
      <c r="I2453" s="3" t="s">
        <v>6929</v>
      </c>
      <c r="J2453" s="3" t="s">
        <v>13084</v>
      </c>
      <c r="K2453" s="3" t="s">
        <v>13085</v>
      </c>
      <c r="L2453" s="3" t="s">
        <v>13086</v>
      </c>
      <c r="M2453" s="4"/>
      <c r="N2453" s="3" t="s">
        <v>37</v>
      </c>
      <c r="O2453" s="3" t="s">
        <v>618</v>
      </c>
      <c r="P2453" s="5">
        <v>0</v>
      </c>
      <c r="Q2453" s="5">
        <v>0</v>
      </c>
      <c r="R2453" s="5">
        <v>8</v>
      </c>
      <c r="S2453" s="5">
        <v>45</v>
      </c>
    </row>
    <row r="2454" spans="1:19" ht="42" x14ac:dyDescent="0.15">
      <c r="A2454" s="2">
        <f>HYPERLINK("https://open-school.uspishnemisto.com.ua/school/120884/", 120884)</f>
        <v>120884</v>
      </c>
      <c r="B2454" s="3" t="s">
        <v>13087</v>
      </c>
      <c r="C2454" s="3" t="s">
        <v>31</v>
      </c>
      <c r="D2454" s="3" t="s">
        <v>32</v>
      </c>
      <c r="E2454" s="4" t="s">
        <v>22</v>
      </c>
      <c r="F2454" s="4" t="s">
        <v>13088</v>
      </c>
      <c r="G2454" s="4" t="s">
        <v>13089</v>
      </c>
      <c r="H2454" s="3" t="s">
        <v>8487</v>
      </c>
      <c r="I2454" s="3" t="s">
        <v>13090</v>
      </c>
      <c r="J2454" s="3" t="s">
        <v>13091</v>
      </c>
      <c r="K2454" s="3" t="s">
        <v>13092</v>
      </c>
      <c r="L2454" s="3" t="s">
        <v>13093</v>
      </c>
      <c r="M2454" s="4"/>
      <c r="N2454" s="3" t="s">
        <v>37</v>
      </c>
      <c r="O2454" s="3" t="s">
        <v>70</v>
      </c>
      <c r="P2454" s="5">
        <v>12</v>
      </c>
      <c r="Q2454" s="5">
        <v>215</v>
      </c>
      <c r="R2454" s="5">
        <v>11</v>
      </c>
      <c r="S2454" s="5">
        <v>212</v>
      </c>
    </row>
    <row r="2455" spans="1:19" ht="42" x14ac:dyDescent="0.15">
      <c r="A2455" s="2">
        <f>HYPERLINK("https://open-school.uspishnemisto.com.ua/school/120885/", 120885)</f>
        <v>120885</v>
      </c>
      <c r="B2455" s="3" t="s">
        <v>13094</v>
      </c>
      <c r="C2455" s="3" t="s">
        <v>31</v>
      </c>
      <c r="D2455" s="3" t="s">
        <v>175</v>
      </c>
      <c r="E2455" s="4" t="s">
        <v>22</v>
      </c>
      <c r="F2455" s="4" t="s">
        <v>13095</v>
      </c>
      <c r="G2455" s="4" t="s">
        <v>13096</v>
      </c>
      <c r="H2455" s="3" t="s">
        <v>8487</v>
      </c>
      <c r="I2455" s="3" t="s">
        <v>5519</v>
      </c>
      <c r="J2455" s="3" t="s">
        <v>13097</v>
      </c>
      <c r="K2455" s="3" t="s">
        <v>13098</v>
      </c>
      <c r="L2455" s="3" t="s">
        <v>13099</v>
      </c>
      <c r="M2455" s="4"/>
      <c r="N2455" s="3" t="s">
        <v>37</v>
      </c>
      <c r="O2455" s="3" t="s">
        <v>52</v>
      </c>
      <c r="P2455" s="5">
        <v>7</v>
      </c>
      <c r="Q2455" s="5">
        <v>42</v>
      </c>
      <c r="R2455" s="5">
        <v>6</v>
      </c>
      <c r="S2455" s="5">
        <v>44</v>
      </c>
    </row>
    <row r="2456" spans="1:19" ht="56" x14ac:dyDescent="0.15">
      <c r="A2456" s="2">
        <f>HYPERLINK("https://open-school.uspishnemisto.com.ua/school/120886/", 120886)</f>
        <v>120886</v>
      </c>
      <c r="B2456" s="3" t="s">
        <v>13100</v>
      </c>
      <c r="C2456" s="3" t="s">
        <v>54</v>
      </c>
      <c r="D2456" s="3" t="s">
        <v>32</v>
      </c>
      <c r="E2456" s="4" t="s">
        <v>22</v>
      </c>
      <c r="F2456" s="4" t="s">
        <v>13101</v>
      </c>
      <c r="G2456" s="4" t="s">
        <v>13102</v>
      </c>
      <c r="H2456" s="3" t="s">
        <v>8487</v>
      </c>
      <c r="I2456" s="3" t="s">
        <v>13103</v>
      </c>
      <c r="J2456" s="3" t="s">
        <v>10957</v>
      </c>
      <c r="K2456" s="3" t="s">
        <v>13104</v>
      </c>
      <c r="L2456" s="3" t="s">
        <v>13105</v>
      </c>
      <c r="M2456" s="4"/>
      <c r="N2456" s="3" t="s">
        <v>37</v>
      </c>
      <c r="O2456" s="3" t="s">
        <v>52</v>
      </c>
      <c r="P2456" s="5">
        <v>9</v>
      </c>
      <c r="Q2456" s="5">
        <v>74</v>
      </c>
      <c r="R2456" s="5">
        <v>8</v>
      </c>
      <c r="S2456" s="5">
        <v>69</v>
      </c>
    </row>
    <row r="2457" spans="1:19" ht="42" x14ac:dyDescent="0.15">
      <c r="A2457" s="2">
        <f>HYPERLINK("https://open-school.uspishnemisto.com.ua/school/120887/", 120887)</f>
        <v>120887</v>
      </c>
      <c r="B2457" s="3" t="s">
        <v>13106</v>
      </c>
      <c r="C2457" s="3" t="s">
        <v>31</v>
      </c>
      <c r="D2457" s="3" t="s">
        <v>32</v>
      </c>
      <c r="E2457" s="4" t="s">
        <v>22</v>
      </c>
      <c r="F2457" s="4" t="s">
        <v>13107</v>
      </c>
      <c r="G2457" s="4" t="s">
        <v>13108</v>
      </c>
      <c r="H2457" s="3" t="s">
        <v>8487</v>
      </c>
      <c r="I2457" s="3" t="s">
        <v>11355</v>
      </c>
      <c r="J2457" s="3" t="s">
        <v>13109</v>
      </c>
      <c r="K2457" s="3" t="s">
        <v>13110</v>
      </c>
      <c r="L2457" s="3" t="s">
        <v>13111</v>
      </c>
      <c r="M2457" s="4" t="s">
        <v>13112</v>
      </c>
      <c r="N2457" s="3" t="s">
        <v>37</v>
      </c>
      <c r="O2457" s="3" t="s">
        <v>70</v>
      </c>
      <c r="P2457" s="5">
        <v>47</v>
      </c>
      <c r="Q2457" s="5">
        <v>834</v>
      </c>
      <c r="R2457" s="5">
        <v>48</v>
      </c>
      <c r="S2457" s="5">
        <v>818</v>
      </c>
    </row>
    <row r="2458" spans="1:19" ht="42" x14ac:dyDescent="0.15">
      <c r="A2458" s="2">
        <f>HYPERLINK("https://open-school.uspishnemisto.com.ua/school/120888/", 120888)</f>
        <v>120888</v>
      </c>
      <c r="B2458" s="3" t="s">
        <v>13113</v>
      </c>
      <c r="C2458" s="3" t="s">
        <v>20</v>
      </c>
      <c r="D2458" s="3" t="s">
        <v>21</v>
      </c>
      <c r="E2458" s="4" t="s">
        <v>22</v>
      </c>
      <c r="F2458" s="4" t="s">
        <v>13107</v>
      </c>
      <c r="G2458" s="4" t="s">
        <v>13108</v>
      </c>
      <c r="H2458" s="3" t="s">
        <v>8487</v>
      </c>
      <c r="I2458" s="3" t="s">
        <v>11355</v>
      </c>
      <c r="J2458" s="3" t="s">
        <v>466</v>
      </c>
      <c r="K2458" s="3" t="s">
        <v>13114</v>
      </c>
      <c r="L2458" s="3" t="s">
        <v>13115</v>
      </c>
      <c r="M2458" s="4"/>
      <c r="N2458" s="3"/>
      <c r="O2458" s="3"/>
      <c r="P2458" s="5">
        <v>0</v>
      </c>
      <c r="Q2458" s="5">
        <v>0</v>
      </c>
      <c r="R2458" s="5"/>
      <c r="S2458" s="5"/>
    </row>
    <row r="2459" spans="1:19" ht="56" x14ac:dyDescent="0.15">
      <c r="A2459" s="2">
        <f>HYPERLINK("https://open-school.uspishnemisto.com.ua/school/120890/", 120890)</f>
        <v>120890</v>
      </c>
      <c r="B2459" s="3" t="s">
        <v>13116</v>
      </c>
      <c r="C2459" s="3" t="s">
        <v>31</v>
      </c>
      <c r="D2459" s="3" t="s">
        <v>175</v>
      </c>
      <c r="E2459" s="4" t="s">
        <v>22</v>
      </c>
      <c r="F2459" s="4" t="s">
        <v>13117</v>
      </c>
      <c r="G2459" s="4" t="s">
        <v>13118</v>
      </c>
      <c r="H2459" s="3" t="s">
        <v>8487</v>
      </c>
      <c r="I2459" s="3" t="s">
        <v>11256</v>
      </c>
      <c r="J2459" s="3" t="s">
        <v>466</v>
      </c>
      <c r="K2459" s="3" t="s">
        <v>13119</v>
      </c>
      <c r="L2459" s="3" t="s">
        <v>13120</v>
      </c>
      <c r="M2459" s="4"/>
      <c r="N2459" s="3"/>
      <c r="O2459" s="3"/>
      <c r="P2459" s="5">
        <v>0</v>
      </c>
      <c r="Q2459" s="5">
        <v>0</v>
      </c>
      <c r="R2459" s="5"/>
      <c r="S2459" s="5"/>
    </row>
    <row r="2460" spans="1:19" ht="28" x14ac:dyDescent="0.15">
      <c r="A2460" s="2">
        <f>HYPERLINK("https://open-school.uspishnemisto.com.ua/school/120891/", 120891)</f>
        <v>120891</v>
      </c>
      <c r="B2460" s="3" t="s">
        <v>13121</v>
      </c>
      <c r="C2460" s="3" t="s">
        <v>31</v>
      </c>
      <c r="D2460" s="3" t="s">
        <v>175</v>
      </c>
      <c r="E2460" s="4" t="s">
        <v>22</v>
      </c>
      <c r="F2460" s="4" t="s">
        <v>13122</v>
      </c>
      <c r="G2460" s="4" t="s">
        <v>13123</v>
      </c>
      <c r="H2460" s="3" t="s">
        <v>8487</v>
      </c>
      <c r="I2460" s="3" t="s">
        <v>13124</v>
      </c>
      <c r="J2460" s="3" t="s">
        <v>792</v>
      </c>
      <c r="K2460" s="3" t="s">
        <v>13125</v>
      </c>
      <c r="L2460" s="3" t="s">
        <v>13126</v>
      </c>
      <c r="M2460" s="4"/>
      <c r="N2460" s="3" t="s">
        <v>37</v>
      </c>
      <c r="O2460" s="3" t="s">
        <v>52</v>
      </c>
      <c r="P2460" s="5">
        <v>8</v>
      </c>
      <c r="Q2460" s="5">
        <v>49</v>
      </c>
      <c r="R2460" s="5">
        <v>6</v>
      </c>
      <c r="S2460" s="5">
        <v>46</v>
      </c>
    </row>
    <row r="2461" spans="1:19" ht="28" x14ac:dyDescent="0.15">
      <c r="A2461" s="2">
        <f>HYPERLINK("https://open-school.uspishnemisto.com.ua/school/120892/", 120892)</f>
        <v>120892</v>
      </c>
      <c r="B2461" s="3" t="s">
        <v>13127</v>
      </c>
      <c r="C2461" s="3" t="s">
        <v>31</v>
      </c>
      <c r="D2461" s="3" t="s">
        <v>32</v>
      </c>
      <c r="E2461" s="4" t="s">
        <v>22</v>
      </c>
      <c r="F2461" s="4" t="s">
        <v>13128</v>
      </c>
      <c r="G2461" s="4" t="s">
        <v>13129</v>
      </c>
      <c r="H2461" s="3" t="s">
        <v>8487</v>
      </c>
      <c r="I2461" s="3" t="s">
        <v>11147</v>
      </c>
      <c r="J2461" s="3" t="s">
        <v>2080</v>
      </c>
      <c r="K2461" s="3" t="s">
        <v>13130</v>
      </c>
      <c r="L2461" s="3" t="s">
        <v>13131</v>
      </c>
      <c r="M2461" s="4"/>
      <c r="N2461" s="3" t="s">
        <v>37</v>
      </c>
      <c r="O2461" s="3" t="s">
        <v>38</v>
      </c>
      <c r="P2461" s="5">
        <v>9</v>
      </c>
      <c r="Q2461" s="5">
        <v>72</v>
      </c>
      <c r="R2461" s="5">
        <v>9</v>
      </c>
      <c r="S2461" s="5">
        <v>78</v>
      </c>
    </row>
    <row r="2462" spans="1:19" ht="42" x14ac:dyDescent="0.15">
      <c r="A2462" s="2">
        <f>HYPERLINK("https://open-school.uspishnemisto.com.ua/school/120893/", 120893)</f>
        <v>120893</v>
      </c>
      <c r="B2462" s="3" t="s">
        <v>13132</v>
      </c>
      <c r="C2462" s="3" t="s">
        <v>31</v>
      </c>
      <c r="D2462" s="3" t="s">
        <v>32</v>
      </c>
      <c r="E2462" s="4" t="s">
        <v>22</v>
      </c>
      <c r="F2462" s="4" t="s">
        <v>13133</v>
      </c>
      <c r="G2462" s="4" t="s">
        <v>13134</v>
      </c>
      <c r="H2462" s="3" t="s">
        <v>8487</v>
      </c>
      <c r="I2462" s="3" t="s">
        <v>13135</v>
      </c>
      <c r="J2462" s="3" t="s">
        <v>13136</v>
      </c>
      <c r="K2462" s="3"/>
      <c r="L2462" s="3"/>
      <c r="M2462" s="4"/>
      <c r="N2462" s="3" t="s">
        <v>37</v>
      </c>
      <c r="O2462" s="3" t="s">
        <v>38</v>
      </c>
      <c r="P2462" s="5">
        <v>11</v>
      </c>
      <c r="Q2462" s="5">
        <v>92</v>
      </c>
      <c r="R2462" s="5">
        <v>9</v>
      </c>
      <c r="S2462" s="5">
        <v>82</v>
      </c>
    </row>
    <row r="2463" spans="1:19" ht="42" x14ac:dyDescent="0.15">
      <c r="A2463" s="2">
        <f>HYPERLINK("https://open-school.uspishnemisto.com.ua/school/120894/", 120894)</f>
        <v>120894</v>
      </c>
      <c r="B2463" s="3" t="s">
        <v>13137</v>
      </c>
      <c r="C2463" s="3" t="s">
        <v>181</v>
      </c>
      <c r="D2463" s="3" t="s">
        <v>175</v>
      </c>
      <c r="E2463" s="4" t="s">
        <v>22</v>
      </c>
      <c r="F2463" s="4" t="s">
        <v>13133</v>
      </c>
      <c r="G2463" s="4" t="s">
        <v>13134</v>
      </c>
      <c r="H2463" s="3" t="s">
        <v>8487</v>
      </c>
      <c r="I2463" s="3" t="s">
        <v>13135</v>
      </c>
      <c r="J2463" s="3" t="s">
        <v>11194</v>
      </c>
      <c r="K2463" s="3" t="s">
        <v>13138</v>
      </c>
      <c r="L2463" s="3"/>
      <c r="M2463" s="4" t="s">
        <v>13139</v>
      </c>
      <c r="N2463" s="3" t="s">
        <v>37</v>
      </c>
      <c r="O2463" s="3"/>
      <c r="P2463" s="5">
        <v>13</v>
      </c>
      <c r="Q2463" s="5">
        <v>95</v>
      </c>
      <c r="R2463" s="5">
        <v>11</v>
      </c>
      <c r="S2463" s="5">
        <v>97</v>
      </c>
    </row>
    <row r="2464" spans="1:19" ht="28" x14ac:dyDescent="0.15">
      <c r="A2464" s="2">
        <f>HYPERLINK("https://open-school.uspishnemisto.com.ua/school/120895/", 120895)</f>
        <v>120895</v>
      </c>
      <c r="B2464" s="3" t="s">
        <v>13140</v>
      </c>
      <c r="C2464" s="3" t="s">
        <v>31</v>
      </c>
      <c r="D2464" s="3" t="s">
        <v>175</v>
      </c>
      <c r="E2464" s="4" t="s">
        <v>22</v>
      </c>
      <c r="F2464" s="4" t="s">
        <v>13141</v>
      </c>
      <c r="G2464" s="4" t="s">
        <v>13142</v>
      </c>
      <c r="H2464" s="3" t="s">
        <v>8487</v>
      </c>
      <c r="I2464" s="3" t="s">
        <v>11718</v>
      </c>
      <c r="J2464" s="3" t="s">
        <v>2901</v>
      </c>
      <c r="K2464" s="3" t="s">
        <v>13143</v>
      </c>
      <c r="L2464" s="3"/>
      <c r="M2464" s="4"/>
      <c r="N2464" s="3" t="s">
        <v>37</v>
      </c>
      <c r="O2464" s="3" t="s">
        <v>70</v>
      </c>
      <c r="P2464" s="5">
        <v>8</v>
      </c>
      <c r="Q2464" s="5">
        <v>56</v>
      </c>
      <c r="R2464" s="5">
        <v>9</v>
      </c>
      <c r="S2464" s="5">
        <v>59</v>
      </c>
    </row>
    <row r="2465" spans="1:19" ht="42" x14ac:dyDescent="0.15">
      <c r="A2465" s="2">
        <f>HYPERLINK("https://open-school.uspishnemisto.com.ua/school/120896/", 120896)</f>
        <v>120896</v>
      </c>
      <c r="B2465" s="3" t="s">
        <v>13144</v>
      </c>
      <c r="C2465" s="3" t="s">
        <v>31</v>
      </c>
      <c r="D2465" s="3" t="s">
        <v>32</v>
      </c>
      <c r="E2465" s="4" t="s">
        <v>22</v>
      </c>
      <c r="F2465" s="4" t="s">
        <v>13145</v>
      </c>
      <c r="G2465" s="4" t="s">
        <v>13146</v>
      </c>
      <c r="H2465" s="3" t="s">
        <v>8487</v>
      </c>
      <c r="I2465" s="3" t="s">
        <v>10913</v>
      </c>
      <c r="J2465" s="3" t="s">
        <v>13147</v>
      </c>
      <c r="K2465" s="3" t="s">
        <v>13148</v>
      </c>
      <c r="L2465" s="3" t="s">
        <v>13149</v>
      </c>
      <c r="M2465" s="4"/>
      <c r="N2465" s="3"/>
      <c r="O2465" s="3"/>
      <c r="P2465" s="5">
        <v>0</v>
      </c>
      <c r="Q2465" s="5">
        <v>0</v>
      </c>
      <c r="R2465" s="5"/>
      <c r="S2465" s="5"/>
    </row>
    <row r="2466" spans="1:19" ht="28" x14ac:dyDescent="0.15">
      <c r="A2466" s="2">
        <f>HYPERLINK("https://open-school.uspishnemisto.com.ua/school/120897/", 120897)</f>
        <v>120897</v>
      </c>
      <c r="B2466" s="3" t="s">
        <v>13150</v>
      </c>
      <c r="C2466" s="3" t="s">
        <v>31</v>
      </c>
      <c r="D2466" s="3" t="s">
        <v>32</v>
      </c>
      <c r="E2466" s="4" t="s">
        <v>22</v>
      </c>
      <c r="F2466" s="4" t="s">
        <v>13151</v>
      </c>
      <c r="G2466" s="4" t="s">
        <v>13152</v>
      </c>
      <c r="H2466" s="3" t="s">
        <v>8487</v>
      </c>
      <c r="I2466" s="3" t="s">
        <v>10829</v>
      </c>
      <c r="J2466" s="3" t="s">
        <v>13153</v>
      </c>
      <c r="K2466" s="3" t="s">
        <v>13154</v>
      </c>
      <c r="L2466" s="3" t="s">
        <v>13155</v>
      </c>
      <c r="M2466" s="4"/>
      <c r="N2466" s="3" t="s">
        <v>37</v>
      </c>
      <c r="O2466" s="3" t="s">
        <v>52</v>
      </c>
      <c r="P2466" s="5">
        <v>11</v>
      </c>
      <c r="Q2466" s="5">
        <v>76</v>
      </c>
      <c r="R2466" s="5">
        <v>11</v>
      </c>
      <c r="S2466" s="5">
        <v>79</v>
      </c>
    </row>
    <row r="2467" spans="1:19" ht="28" x14ac:dyDescent="0.15">
      <c r="A2467" s="2">
        <f>HYPERLINK("https://open-school.uspishnemisto.com.ua/school/120898/", 120898)</f>
        <v>120898</v>
      </c>
      <c r="B2467" s="3" t="s">
        <v>13156</v>
      </c>
      <c r="C2467" s="3" t="s">
        <v>31</v>
      </c>
      <c r="D2467" s="3" t="s">
        <v>32</v>
      </c>
      <c r="E2467" s="4" t="s">
        <v>22</v>
      </c>
      <c r="F2467" s="4" t="s">
        <v>13157</v>
      </c>
      <c r="G2467" s="4" t="s">
        <v>13158</v>
      </c>
      <c r="H2467" s="3" t="s">
        <v>8487</v>
      </c>
      <c r="I2467" s="3" t="s">
        <v>12579</v>
      </c>
      <c r="J2467" s="3" t="s">
        <v>13159</v>
      </c>
      <c r="K2467" s="3" t="s">
        <v>13160</v>
      </c>
      <c r="L2467" s="3" t="s">
        <v>13161</v>
      </c>
      <c r="M2467" s="4"/>
      <c r="N2467" s="3" t="s">
        <v>37</v>
      </c>
      <c r="O2467" s="3" t="s">
        <v>38</v>
      </c>
      <c r="P2467" s="5">
        <v>11</v>
      </c>
      <c r="Q2467" s="5">
        <v>115</v>
      </c>
      <c r="R2467" s="5">
        <v>11</v>
      </c>
      <c r="S2467" s="5">
        <v>118</v>
      </c>
    </row>
    <row r="2468" spans="1:19" ht="28" x14ac:dyDescent="0.15">
      <c r="A2468" s="2">
        <f>HYPERLINK("https://open-school.uspishnemisto.com.ua/school/120899/", 120899)</f>
        <v>120899</v>
      </c>
      <c r="B2468" s="3" t="s">
        <v>13162</v>
      </c>
      <c r="C2468" s="3" t="s">
        <v>31</v>
      </c>
      <c r="D2468" s="3" t="s">
        <v>32</v>
      </c>
      <c r="E2468" s="4" t="s">
        <v>22</v>
      </c>
      <c r="F2468" s="4" t="s">
        <v>13122</v>
      </c>
      <c r="G2468" s="4" t="s">
        <v>13163</v>
      </c>
      <c r="H2468" s="3" t="s">
        <v>8487</v>
      </c>
      <c r="I2468" s="3" t="s">
        <v>13164</v>
      </c>
      <c r="J2468" s="3" t="s">
        <v>13165</v>
      </c>
      <c r="K2468" s="3" t="s">
        <v>13166</v>
      </c>
      <c r="L2468" s="3" t="s">
        <v>13167</v>
      </c>
      <c r="M2468" s="4"/>
      <c r="N2468" s="3" t="s">
        <v>37</v>
      </c>
      <c r="O2468" s="3" t="s">
        <v>38</v>
      </c>
      <c r="P2468" s="5">
        <v>10</v>
      </c>
      <c r="Q2468" s="5">
        <v>102</v>
      </c>
      <c r="R2468" s="5">
        <v>10</v>
      </c>
      <c r="S2468" s="5">
        <v>100</v>
      </c>
    </row>
    <row r="2469" spans="1:19" ht="28" x14ac:dyDescent="0.15">
      <c r="A2469" s="2">
        <f>HYPERLINK("https://open-school.uspishnemisto.com.ua/school/120900/", 120900)</f>
        <v>120900</v>
      </c>
      <c r="B2469" s="3" t="s">
        <v>13168</v>
      </c>
      <c r="C2469" s="3" t="s">
        <v>31</v>
      </c>
      <c r="D2469" s="3" t="s">
        <v>32</v>
      </c>
      <c r="E2469" s="4" t="s">
        <v>22</v>
      </c>
      <c r="F2469" s="4" t="s">
        <v>13169</v>
      </c>
      <c r="G2469" s="4" t="s">
        <v>13170</v>
      </c>
      <c r="H2469" s="3" t="s">
        <v>8487</v>
      </c>
      <c r="I2469" s="3" t="s">
        <v>1740</v>
      </c>
      <c r="J2469" s="3" t="s">
        <v>13171</v>
      </c>
      <c r="K2469" s="3" t="s">
        <v>13172</v>
      </c>
      <c r="L2469" s="3" t="s">
        <v>13173</v>
      </c>
      <c r="M2469" s="4"/>
      <c r="N2469" s="3" t="s">
        <v>37</v>
      </c>
      <c r="O2469" s="3" t="s">
        <v>112</v>
      </c>
      <c r="P2469" s="5">
        <v>11</v>
      </c>
      <c r="Q2469" s="5">
        <v>169</v>
      </c>
      <c r="R2469" s="5">
        <v>11</v>
      </c>
      <c r="S2469" s="5">
        <v>177</v>
      </c>
    </row>
    <row r="2470" spans="1:19" ht="28" x14ac:dyDescent="0.15">
      <c r="A2470" s="2">
        <f>HYPERLINK("https://open-school.uspishnemisto.com.ua/school/120901/", 120901)</f>
        <v>120901</v>
      </c>
      <c r="B2470" s="3" t="s">
        <v>13174</v>
      </c>
      <c r="C2470" s="3" t="s">
        <v>31</v>
      </c>
      <c r="D2470" s="3" t="s">
        <v>175</v>
      </c>
      <c r="E2470" s="4" t="s">
        <v>22</v>
      </c>
      <c r="F2470" s="4" t="s">
        <v>13175</v>
      </c>
      <c r="G2470" s="4" t="s">
        <v>13176</v>
      </c>
      <c r="H2470" s="3" t="s">
        <v>8487</v>
      </c>
      <c r="I2470" s="3" t="s">
        <v>10816</v>
      </c>
      <c r="J2470" s="3" t="s">
        <v>4537</v>
      </c>
      <c r="K2470" s="3" t="s">
        <v>13177</v>
      </c>
      <c r="L2470" s="3" t="s">
        <v>13178</v>
      </c>
      <c r="M2470" s="4"/>
      <c r="N2470" s="3" t="s">
        <v>37</v>
      </c>
      <c r="O2470" s="3" t="s">
        <v>618</v>
      </c>
      <c r="P2470" s="5">
        <v>4</v>
      </c>
      <c r="Q2470" s="5">
        <v>40</v>
      </c>
      <c r="R2470" s="5">
        <v>4</v>
      </c>
      <c r="S2470" s="5">
        <v>40</v>
      </c>
    </row>
    <row r="2471" spans="1:19" ht="42" x14ac:dyDescent="0.15">
      <c r="A2471" s="2">
        <f>HYPERLINK("https://open-school.uspishnemisto.com.ua/school/120902/", 120902)</f>
        <v>120902</v>
      </c>
      <c r="B2471" s="3" t="s">
        <v>13179</v>
      </c>
      <c r="C2471" s="3" t="s">
        <v>31</v>
      </c>
      <c r="D2471" s="3" t="s">
        <v>60</v>
      </c>
      <c r="E2471" s="4" t="s">
        <v>22</v>
      </c>
      <c r="F2471" s="4" t="s">
        <v>13180</v>
      </c>
      <c r="G2471" s="4" t="s">
        <v>13181</v>
      </c>
      <c r="H2471" s="3" t="s">
        <v>8487</v>
      </c>
      <c r="I2471" s="3" t="s">
        <v>13182</v>
      </c>
      <c r="J2471" s="3" t="s">
        <v>13183</v>
      </c>
      <c r="K2471" s="3" t="s">
        <v>13184</v>
      </c>
      <c r="L2471" s="3" t="s">
        <v>13185</v>
      </c>
      <c r="M2471" s="4"/>
      <c r="N2471" s="3" t="s">
        <v>37</v>
      </c>
      <c r="O2471" s="3" t="s">
        <v>38</v>
      </c>
      <c r="P2471" s="5">
        <v>1</v>
      </c>
      <c r="Q2471" s="5">
        <v>17</v>
      </c>
      <c r="R2471" s="5">
        <v>1</v>
      </c>
      <c r="S2471" s="5">
        <v>18</v>
      </c>
    </row>
    <row r="2472" spans="1:19" ht="42" x14ac:dyDescent="0.15">
      <c r="A2472" s="2">
        <f>HYPERLINK("https://open-school.uspishnemisto.com.ua/school/120903/", 120903)</f>
        <v>120903</v>
      </c>
      <c r="B2472" s="3" t="s">
        <v>13186</v>
      </c>
      <c r="C2472" s="3" t="s">
        <v>31</v>
      </c>
      <c r="D2472" s="3" t="s">
        <v>32</v>
      </c>
      <c r="E2472" s="4" t="s">
        <v>22</v>
      </c>
      <c r="F2472" s="4" t="s">
        <v>13187</v>
      </c>
      <c r="G2472" s="4" t="s">
        <v>13188</v>
      </c>
      <c r="H2472" s="3" t="s">
        <v>8487</v>
      </c>
      <c r="I2472" s="3" t="s">
        <v>10836</v>
      </c>
      <c r="J2472" s="3" t="s">
        <v>466</v>
      </c>
      <c r="K2472" s="3" t="s">
        <v>13189</v>
      </c>
      <c r="L2472" s="3" t="s">
        <v>13190</v>
      </c>
      <c r="M2472" s="4"/>
      <c r="N2472" s="3" t="s">
        <v>37</v>
      </c>
      <c r="O2472" s="3" t="s">
        <v>38</v>
      </c>
      <c r="P2472" s="5">
        <v>11</v>
      </c>
      <c r="Q2472" s="5">
        <v>106</v>
      </c>
      <c r="R2472" s="5">
        <v>11</v>
      </c>
      <c r="S2472" s="5">
        <v>110</v>
      </c>
    </row>
    <row r="2473" spans="1:19" ht="28" x14ac:dyDescent="0.15">
      <c r="A2473" s="2">
        <f>HYPERLINK("https://open-school.uspishnemisto.com.ua/school/120904/", 120904)</f>
        <v>120904</v>
      </c>
      <c r="B2473" s="3" t="s">
        <v>13191</v>
      </c>
      <c r="C2473" s="3" t="s">
        <v>31</v>
      </c>
      <c r="D2473" s="3" t="s">
        <v>32</v>
      </c>
      <c r="E2473" s="4" t="s">
        <v>22</v>
      </c>
      <c r="F2473" s="4" t="s">
        <v>13192</v>
      </c>
      <c r="G2473" s="4" t="s">
        <v>13193</v>
      </c>
      <c r="H2473" s="3" t="s">
        <v>8487</v>
      </c>
      <c r="I2473" s="3" t="s">
        <v>13194</v>
      </c>
      <c r="J2473" s="3" t="s">
        <v>2446</v>
      </c>
      <c r="K2473" s="3" t="s">
        <v>13195</v>
      </c>
      <c r="L2473" s="3" t="s">
        <v>13196</v>
      </c>
      <c r="M2473" s="4"/>
      <c r="N2473" s="3" t="s">
        <v>37</v>
      </c>
      <c r="O2473" s="3" t="s">
        <v>70</v>
      </c>
      <c r="P2473" s="5">
        <v>9</v>
      </c>
      <c r="Q2473" s="5">
        <v>78</v>
      </c>
      <c r="R2473" s="5">
        <v>10</v>
      </c>
      <c r="S2473" s="5">
        <v>85</v>
      </c>
    </row>
    <row r="2474" spans="1:19" ht="28" x14ac:dyDescent="0.15">
      <c r="A2474" s="2">
        <f>HYPERLINK("https://open-school.uspishnemisto.com.ua/school/120905/", 120905)</f>
        <v>120905</v>
      </c>
      <c r="B2474" s="3" t="s">
        <v>13197</v>
      </c>
      <c r="C2474" s="3" t="s">
        <v>31</v>
      </c>
      <c r="D2474" s="3" t="s">
        <v>32</v>
      </c>
      <c r="E2474" s="4" t="s">
        <v>22</v>
      </c>
      <c r="F2474" s="4" t="s">
        <v>13198</v>
      </c>
      <c r="G2474" s="4" t="s">
        <v>13199</v>
      </c>
      <c r="H2474" s="3" t="s">
        <v>8487</v>
      </c>
      <c r="I2474" s="3" t="s">
        <v>13200</v>
      </c>
      <c r="J2474" s="3" t="s">
        <v>13201</v>
      </c>
      <c r="K2474" s="3" t="s">
        <v>13202</v>
      </c>
      <c r="L2474" s="3" t="s">
        <v>13203</v>
      </c>
      <c r="M2474" s="4"/>
      <c r="N2474" s="3" t="s">
        <v>37</v>
      </c>
      <c r="O2474" s="3" t="s">
        <v>52</v>
      </c>
      <c r="P2474" s="5">
        <v>11</v>
      </c>
      <c r="Q2474" s="5">
        <v>80</v>
      </c>
      <c r="R2474" s="5">
        <v>11</v>
      </c>
      <c r="S2474" s="5">
        <v>71</v>
      </c>
    </row>
    <row r="2475" spans="1:19" ht="28" x14ac:dyDescent="0.15">
      <c r="A2475" s="2">
        <f>HYPERLINK("https://open-school.uspishnemisto.com.ua/school/120906/", 120906)</f>
        <v>120906</v>
      </c>
      <c r="B2475" s="3" t="s">
        <v>13204</v>
      </c>
      <c r="C2475" s="3" t="s">
        <v>31</v>
      </c>
      <c r="D2475" s="3" t="s">
        <v>32</v>
      </c>
      <c r="E2475" s="4" t="s">
        <v>22</v>
      </c>
      <c r="F2475" s="4" t="s">
        <v>13205</v>
      </c>
      <c r="G2475" s="4" t="s">
        <v>13206</v>
      </c>
      <c r="H2475" s="3" t="s">
        <v>8487</v>
      </c>
      <c r="I2475" s="3" t="s">
        <v>11718</v>
      </c>
      <c r="J2475" s="3" t="s">
        <v>13207</v>
      </c>
      <c r="K2475" s="3" t="s">
        <v>13208</v>
      </c>
      <c r="L2475" s="3" t="s">
        <v>13209</v>
      </c>
      <c r="M2475" s="4"/>
      <c r="N2475" s="3" t="s">
        <v>37</v>
      </c>
      <c r="O2475" s="3" t="s">
        <v>38</v>
      </c>
      <c r="P2475" s="5">
        <v>10</v>
      </c>
      <c r="Q2475" s="5">
        <v>88</v>
      </c>
      <c r="R2475" s="5">
        <v>11</v>
      </c>
      <c r="S2475" s="5">
        <v>94</v>
      </c>
    </row>
    <row r="2476" spans="1:19" ht="28" x14ac:dyDescent="0.15">
      <c r="A2476" s="2">
        <f>HYPERLINK("https://open-school.uspishnemisto.com.ua/school/120907/", 120907)</f>
        <v>120907</v>
      </c>
      <c r="B2476" s="3" t="s">
        <v>13210</v>
      </c>
      <c r="C2476" s="3" t="s">
        <v>31</v>
      </c>
      <c r="D2476" s="3" t="s">
        <v>175</v>
      </c>
      <c r="E2476" s="4" t="s">
        <v>22</v>
      </c>
      <c r="F2476" s="4" t="s">
        <v>13211</v>
      </c>
      <c r="G2476" s="4" t="s">
        <v>13212</v>
      </c>
      <c r="H2476" s="3" t="s">
        <v>8487</v>
      </c>
      <c r="I2476" s="3" t="s">
        <v>13213</v>
      </c>
      <c r="J2476" s="3" t="s">
        <v>566</v>
      </c>
      <c r="K2476" s="3" t="s">
        <v>13214</v>
      </c>
      <c r="L2476" s="3" t="s">
        <v>13215</v>
      </c>
      <c r="M2476" s="4"/>
      <c r="N2476" s="3" t="s">
        <v>37</v>
      </c>
      <c r="O2476" s="3" t="s">
        <v>46</v>
      </c>
      <c r="P2476" s="5">
        <v>5</v>
      </c>
      <c r="Q2476" s="5">
        <v>42</v>
      </c>
      <c r="R2476" s="5">
        <v>7</v>
      </c>
      <c r="S2476" s="5">
        <v>47</v>
      </c>
    </row>
    <row r="2477" spans="1:19" ht="28" x14ac:dyDescent="0.15">
      <c r="A2477" s="2">
        <f>HYPERLINK("https://open-school.uspishnemisto.com.ua/school/120908/", 120908)</f>
        <v>120908</v>
      </c>
      <c r="B2477" s="3" t="s">
        <v>13216</v>
      </c>
      <c r="C2477" s="3" t="s">
        <v>31</v>
      </c>
      <c r="D2477" s="3" t="s">
        <v>32</v>
      </c>
      <c r="E2477" s="4" t="s">
        <v>22</v>
      </c>
      <c r="F2477" s="4" t="s">
        <v>13217</v>
      </c>
      <c r="G2477" s="4" t="s">
        <v>13218</v>
      </c>
      <c r="H2477" s="3" t="s">
        <v>8487</v>
      </c>
      <c r="I2477" s="3" t="s">
        <v>10907</v>
      </c>
      <c r="J2477" s="3" t="s">
        <v>13219</v>
      </c>
      <c r="K2477" s="3" t="s">
        <v>13220</v>
      </c>
      <c r="L2477" s="3" t="s">
        <v>13221</v>
      </c>
      <c r="M2477" s="4"/>
      <c r="N2477" s="3" t="s">
        <v>37</v>
      </c>
      <c r="O2477" s="3" t="s">
        <v>38</v>
      </c>
      <c r="P2477" s="5">
        <v>10</v>
      </c>
      <c r="Q2477" s="5">
        <v>64</v>
      </c>
      <c r="R2477" s="5">
        <v>9</v>
      </c>
      <c r="S2477" s="5">
        <v>66</v>
      </c>
    </row>
    <row r="2478" spans="1:19" ht="28" x14ac:dyDescent="0.15">
      <c r="A2478" s="2">
        <f>HYPERLINK("https://open-school.uspishnemisto.com.ua/school/120909/", 120909)</f>
        <v>120909</v>
      </c>
      <c r="B2478" s="3" t="s">
        <v>13222</v>
      </c>
      <c r="C2478" s="3" t="s">
        <v>31</v>
      </c>
      <c r="D2478" s="3" t="s">
        <v>32</v>
      </c>
      <c r="E2478" s="4" t="s">
        <v>22</v>
      </c>
      <c r="F2478" s="4" t="s">
        <v>13223</v>
      </c>
      <c r="G2478" s="4" t="s">
        <v>13224</v>
      </c>
      <c r="H2478" s="3" t="s">
        <v>8487</v>
      </c>
      <c r="I2478" s="3" t="s">
        <v>13225</v>
      </c>
      <c r="J2478" s="3" t="s">
        <v>13226</v>
      </c>
      <c r="K2478" s="3" t="s">
        <v>13227</v>
      </c>
      <c r="L2478" s="3" t="s">
        <v>13228</v>
      </c>
      <c r="M2478" s="4"/>
      <c r="N2478" s="3" t="s">
        <v>37</v>
      </c>
      <c r="O2478" s="3" t="s">
        <v>70</v>
      </c>
      <c r="P2478" s="5">
        <v>22</v>
      </c>
      <c r="Q2478" s="5">
        <v>493</v>
      </c>
      <c r="R2478" s="5">
        <v>21</v>
      </c>
      <c r="S2478" s="5">
        <v>491</v>
      </c>
    </row>
    <row r="2479" spans="1:19" ht="42" x14ac:dyDescent="0.15">
      <c r="A2479" s="2">
        <f>HYPERLINK("https://open-school.uspishnemisto.com.ua/school/120910/", 120910)</f>
        <v>120910</v>
      </c>
      <c r="B2479" s="3" t="s">
        <v>13229</v>
      </c>
      <c r="C2479" s="3" t="s">
        <v>54</v>
      </c>
      <c r="D2479" s="3" t="s">
        <v>32</v>
      </c>
      <c r="E2479" s="4" t="s">
        <v>22</v>
      </c>
      <c r="F2479" s="4" t="s">
        <v>13223</v>
      </c>
      <c r="G2479" s="4" t="s">
        <v>13224</v>
      </c>
      <c r="H2479" s="3" t="s">
        <v>8487</v>
      </c>
      <c r="I2479" s="3" t="s">
        <v>13225</v>
      </c>
      <c r="J2479" s="3" t="s">
        <v>13230</v>
      </c>
      <c r="K2479" s="3" t="s">
        <v>13231</v>
      </c>
      <c r="L2479" s="3" t="s">
        <v>13232</v>
      </c>
      <c r="M2479" s="4"/>
      <c r="N2479" s="3" t="s">
        <v>37</v>
      </c>
      <c r="O2479" s="3" t="s">
        <v>70</v>
      </c>
      <c r="P2479" s="5">
        <v>47</v>
      </c>
      <c r="Q2479" s="5">
        <v>804</v>
      </c>
      <c r="R2479" s="5">
        <v>47</v>
      </c>
      <c r="S2479" s="5">
        <v>758</v>
      </c>
    </row>
    <row r="2480" spans="1:19" ht="28" x14ac:dyDescent="0.15">
      <c r="A2480" s="2">
        <f>HYPERLINK("https://open-school.uspishnemisto.com.ua/school/120911/", 120911)</f>
        <v>120911</v>
      </c>
      <c r="B2480" s="3" t="s">
        <v>13233</v>
      </c>
      <c r="C2480" s="3" t="s">
        <v>31</v>
      </c>
      <c r="D2480" s="3" t="s">
        <v>175</v>
      </c>
      <c r="E2480" s="4" t="s">
        <v>22</v>
      </c>
      <c r="F2480" s="4" t="s">
        <v>13234</v>
      </c>
      <c r="G2480" s="4" t="s">
        <v>13235</v>
      </c>
      <c r="H2480" s="3" t="s">
        <v>8487</v>
      </c>
      <c r="I2480" s="3" t="s">
        <v>3512</v>
      </c>
      <c r="J2480" s="3" t="s">
        <v>13236</v>
      </c>
      <c r="K2480" s="3" t="s">
        <v>13237</v>
      </c>
      <c r="L2480" s="3" t="s">
        <v>13238</v>
      </c>
      <c r="M2480" s="4"/>
      <c r="N2480" s="3"/>
      <c r="O2480" s="3"/>
      <c r="P2480" s="5">
        <v>0</v>
      </c>
      <c r="Q2480" s="5">
        <v>0</v>
      </c>
      <c r="R2480" s="5"/>
      <c r="S2480" s="5"/>
    </row>
    <row r="2481" spans="1:19" ht="28" x14ac:dyDescent="0.15">
      <c r="A2481" s="2">
        <f>HYPERLINK("https://open-school.uspishnemisto.com.ua/school/120912/", 120912)</f>
        <v>120912</v>
      </c>
      <c r="B2481" s="3" t="s">
        <v>13239</v>
      </c>
      <c r="C2481" s="3" t="s">
        <v>31</v>
      </c>
      <c r="D2481" s="3" t="s">
        <v>32</v>
      </c>
      <c r="E2481" s="4" t="s">
        <v>22</v>
      </c>
      <c r="F2481" s="4" t="s">
        <v>13240</v>
      </c>
      <c r="G2481" s="4" t="s">
        <v>13241</v>
      </c>
      <c r="H2481" s="3" t="s">
        <v>8487</v>
      </c>
      <c r="I2481" s="3" t="s">
        <v>13242</v>
      </c>
      <c r="J2481" s="3" t="s">
        <v>13243</v>
      </c>
      <c r="K2481" s="3" t="s">
        <v>13244</v>
      </c>
      <c r="L2481" s="3" t="s">
        <v>13245</v>
      </c>
      <c r="M2481" s="4"/>
      <c r="N2481" s="3" t="s">
        <v>37</v>
      </c>
      <c r="O2481" s="3" t="s">
        <v>70</v>
      </c>
      <c r="P2481" s="5">
        <v>10</v>
      </c>
      <c r="Q2481" s="5">
        <v>82</v>
      </c>
      <c r="R2481" s="5">
        <v>9</v>
      </c>
      <c r="S2481" s="5">
        <v>74</v>
      </c>
    </row>
    <row r="2482" spans="1:19" ht="56" x14ac:dyDescent="0.15">
      <c r="A2482" s="2">
        <f>HYPERLINK("https://open-school.uspishnemisto.com.ua/school/120913/", 120913)</f>
        <v>120913</v>
      </c>
      <c r="B2482" s="3" t="s">
        <v>13246</v>
      </c>
      <c r="C2482" s="3" t="s">
        <v>54</v>
      </c>
      <c r="D2482" s="3" t="s">
        <v>175</v>
      </c>
      <c r="E2482" s="4" t="s">
        <v>22</v>
      </c>
      <c r="F2482" s="4" t="s">
        <v>13247</v>
      </c>
      <c r="G2482" s="4" t="s">
        <v>13248</v>
      </c>
      <c r="H2482" s="3" t="s">
        <v>8487</v>
      </c>
      <c r="I2482" s="3" t="s">
        <v>13249</v>
      </c>
      <c r="J2482" s="3" t="s">
        <v>13250</v>
      </c>
      <c r="K2482" s="3" t="s">
        <v>13251</v>
      </c>
      <c r="L2482" s="3" t="s">
        <v>13252</v>
      </c>
      <c r="M2482" s="4"/>
      <c r="N2482" s="3" t="s">
        <v>37</v>
      </c>
      <c r="O2482" s="3" t="s">
        <v>38</v>
      </c>
      <c r="P2482" s="5">
        <v>8</v>
      </c>
      <c r="Q2482" s="5">
        <v>50</v>
      </c>
      <c r="R2482" s="5">
        <v>8</v>
      </c>
      <c r="S2482" s="5">
        <v>53</v>
      </c>
    </row>
    <row r="2483" spans="1:19" ht="28" x14ac:dyDescent="0.15">
      <c r="A2483" s="2">
        <f>HYPERLINK("https://open-school.uspishnemisto.com.ua/school/120914/", 120914)</f>
        <v>120914</v>
      </c>
      <c r="B2483" s="3" t="s">
        <v>13253</v>
      </c>
      <c r="C2483" s="3" t="s">
        <v>31</v>
      </c>
      <c r="D2483" s="3" t="s">
        <v>32</v>
      </c>
      <c r="E2483" s="4" t="s">
        <v>22</v>
      </c>
      <c r="F2483" s="4" t="s">
        <v>13254</v>
      </c>
      <c r="G2483" s="4" t="s">
        <v>13255</v>
      </c>
      <c r="H2483" s="3" t="s">
        <v>8487</v>
      </c>
      <c r="I2483" s="3" t="s">
        <v>13256</v>
      </c>
      <c r="J2483" s="3" t="s">
        <v>13257</v>
      </c>
      <c r="K2483" s="3" t="s">
        <v>13258</v>
      </c>
      <c r="L2483" s="3" t="s">
        <v>13259</v>
      </c>
      <c r="M2483" s="4"/>
      <c r="N2483" s="3" t="s">
        <v>37</v>
      </c>
      <c r="O2483" s="3" t="s">
        <v>38</v>
      </c>
      <c r="P2483" s="5">
        <v>13</v>
      </c>
      <c r="Q2483" s="5">
        <v>274</v>
      </c>
      <c r="R2483" s="5">
        <v>14</v>
      </c>
      <c r="S2483" s="5">
        <v>285</v>
      </c>
    </row>
    <row r="2484" spans="1:19" ht="56" x14ac:dyDescent="0.15">
      <c r="A2484" s="2">
        <f>HYPERLINK("https://open-school.uspishnemisto.com.ua/school/120915/", 120915)</f>
        <v>120915</v>
      </c>
      <c r="B2484" s="3" t="s">
        <v>13260</v>
      </c>
      <c r="C2484" s="3" t="s">
        <v>54</v>
      </c>
      <c r="D2484" s="3" t="s">
        <v>32</v>
      </c>
      <c r="E2484" s="4" t="s">
        <v>22</v>
      </c>
      <c r="F2484" s="4" t="s">
        <v>13261</v>
      </c>
      <c r="G2484" s="4" t="s">
        <v>13262</v>
      </c>
      <c r="H2484" s="3" t="s">
        <v>8487</v>
      </c>
      <c r="I2484" s="3" t="s">
        <v>5129</v>
      </c>
      <c r="J2484" s="3" t="s">
        <v>13263</v>
      </c>
      <c r="K2484" s="3" t="s">
        <v>13264</v>
      </c>
      <c r="L2484" s="3" t="s">
        <v>13265</v>
      </c>
      <c r="M2484" s="4"/>
      <c r="N2484" s="3" t="s">
        <v>37</v>
      </c>
      <c r="O2484" s="3" t="s">
        <v>38</v>
      </c>
      <c r="P2484" s="5">
        <v>11</v>
      </c>
      <c r="Q2484" s="5">
        <v>126</v>
      </c>
      <c r="R2484" s="5">
        <v>11</v>
      </c>
      <c r="S2484" s="5">
        <v>116</v>
      </c>
    </row>
    <row r="2485" spans="1:19" ht="56" x14ac:dyDescent="0.15">
      <c r="A2485" s="2">
        <f>HYPERLINK("https://open-school.uspishnemisto.com.ua/school/120916/", 120916)</f>
        <v>120916</v>
      </c>
      <c r="B2485" s="3" t="s">
        <v>13266</v>
      </c>
      <c r="C2485" s="3" t="s">
        <v>54</v>
      </c>
      <c r="D2485" s="3" t="s">
        <v>32</v>
      </c>
      <c r="E2485" s="4" t="s">
        <v>22</v>
      </c>
      <c r="F2485" s="4" t="s">
        <v>13267</v>
      </c>
      <c r="G2485" s="4" t="s">
        <v>13268</v>
      </c>
      <c r="H2485" s="3" t="s">
        <v>8487</v>
      </c>
      <c r="I2485" s="3" t="s">
        <v>11029</v>
      </c>
      <c r="J2485" s="3" t="s">
        <v>13269</v>
      </c>
      <c r="K2485" s="3" t="s">
        <v>13270</v>
      </c>
      <c r="L2485" s="3" t="s">
        <v>13271</v>
      </c>
      <c r="M2485" s="4"/>
      <c r="N2485" s="3" t="s">
        <v>37</v>
      </c>
      <c r="O2485" s="3" t="s">
        <v>13272</v>
      </c>
      <c r="P2485" s="5">
        <v>6</v>
      </c>
      <c r="Q2485" s="5">
        <v>48</v>
      </c>
      <c r="R2485" s="5">
        <v>7</v>
      </c>
      <c r="S2485" s="5">
        <v>54</v>
      </c>
    </row>
    <row r="2486" spans="1:19" ht="42" x14ac:dyDescent="0.15">
      <c r="A2486" s="2">
        <f>HYPERLINK("https://open-school.uspishnemisto.com.ua/school/120917/", 120917)</f>
        <v>120917</v>
      </c>
      <c r="B2486" s="3" t="s">
        <v>13273</v>
      </c>
      <c r="C2486" s="3" t="s">
        <v>31</v>
      </c>
      <c r="D2486" s="3" t="s">
        <v>175</v>
      </c>
      <c r="E2486" s="4" t="s">
        <v>22</v>
      </c>
      <c r="F2486" s="4" t="s">
        <v>13274</v>
      </c>
      <c r="G2486" s="4" t="s">
        <v>13275</v>
      </c>
      <c r="H2486" s="3" t="s">
        <v>8487</v>
      </c>
      <c r="I2486" s="3" t="s">
        <v>13276</v>
      </c>
      <c r="J2486" s="3" t="s">
        <v>13277</v>
      </c>
      <c r="K2486" s="3" t="s">
        <v>13278</v>
      </c>
      <c r="L2486" s="3" t="s">
        <v>13279</v>
      </c>
      <c r="M2486" s="4"/>
      <c r="N2486" s="3"/>
      <c r="O2486" s="3"/>
      <c r="P2486" s="5">
        <v>0</v>
      </c>
      <c r="Q2486" s="5">
        <v>0</v>
      </c>
      <c r="R2486" s="5"/>
      <c r="S2486" s="5"/>
    </row>
    <row r="2487" spans="1:19" ht="28" x14ac:dyDescent="0.15">
      <c r="A2487" s="2">
        <f>HYPERLINK("https://open-school.uspishnemisto.com.ua/school/120918/", 120918)</f>
        <v>120918</v>
      </c>
      <c r="B2487" s="3" t="s">
        <v>13280</v>
      </c>
      <c r="C2487" s="3" t="s">
        <v>31</v>
      </c>
      <c r="D2487" s="3" t="s">
        <v>32</v>
      </c>
      <c r="E2487" s="4" t="s">
        <v>22</v>
      </c>
      <c r="F2487" s="4" t="s">
        <v>13281</v>
      </c>
      <c r="G2487" s="4" t="s">
        <v>13282</v>
      </c>
      <c r="H2487" s="3" t="s">
        <v>8487</v>
      </c>
      <c r="I2487" s="3" t="s">
        <v>13283</v>
      </c>
      <c r="J2487" s="3" t="s">
        <v>5924</v>
      </c>
      <c r="K2487" s="3" t="s">
        <v>13284</v>
      </c>
      <c r="L2487" s="3" t="s">
        <v>13285</v>
      </c>
      <c r="M2487" s="4"/>
      <c r="N2487" s="3" t="s">
        <v>37</v>
      </c>
      <c r="O2487" s="3" t="s">
        <v>46</v>
      </c>
      <c r="P2487" s="5">
        <v>10</v>
      </c>
      <c r="Q2487" s="5">
        <v>89</v>
      </c>
      <c r="R2487" s="5">
        <v>10</v>
      </c>
      <c r="S2487" s="5">
        <v>87</v>
      </c>
    </row>
    <row r="2488" spans="1:19" ht="42" x14ac:dyDescent="0.15">
      <c r="A2488" s="2">
        <f>HYPERLINK("https://open-school.uspishnemisto.com.ua/school/120919/", 120919)</f>
        <v>120919</v>
      </c>
      <c r="B2488" s="3" t="s">
        <v>13286</v>
      </c>
      <c r="C2488" s="3" t="s">
        <v>31</v>
      </c>
      <c r="D2488" s="3" t="s">
        <v>32</v>
      </c>
      <c r="E2488" s="4" t="s">
        <v>22</v>
      </c>
      <c r="F2488" s="4" t="s">
        <v>13287</v>
      </c>
      <c r="G2488" s="4" t="s">
        <v>13288</v>
      </c>
      <c r="H2488" s="3" t="s">
        <v>8487</v>
      </c>
      <c r="I2488" s="3" t="s">
        <v>13289</v>
      </c>
      <c r="J2488" s="3" t="s">
        <v>1078</v>
      </c>
      <c r="K2488" s="3" t="s">
        <v>13290</v>
      </c>
      <c r="L2488" s="3" t="s">
        <v>13291</v>
      </c>
      <c r="M2488" s="4"/>
      <c r="N2488" s="3" t="s">
        <v>37</v>
      </c>
      <c r="O2488" s="3" t="s">
        <v>721</v>
      </c>
      <c r="P2488" s="5">
        <v>12</v>
      </c>
      <c r="Q2488" s="5">
        <v>196</v>
      </c>
      <c r="R2488" s="5">
        <v>12</v>
      </c>
      <c r="S2488" s="5">
        <v>203</v>
      </c>
    </row>
    <row r="2489" spans="1:19" ht="56" x14ac:dyDescent="0.15">
      <c r="A2489" s="2">
        <f>HYPERLINK("https://open-school.uspishnemisto.com.ua/school/120920/", 120920)</f>
        <v>120920</v>
      </c>
      <c r="B2489" s="3" t="s">
        <v>13292</v>
      </c>
      <c r="C2489" s="3" t="s">
        <v>54</v>
      </c>
      <c r="D2489" s="3" t="s">
        <v>21</v>
      </c>
      <c r="E2489" s="4" t="s">
        <v>22</v>
      </c>
      <c r="F2489" s="4" t="s">
        <v>13293</v>
      </c>
      <c r="G2489" s="4" t="s">
        <v>13294</v>
      </c>
      <c r="H2489" s="3" t="s">
        <v>8487</v>
      </c>
      <c r="I2489" s="3" t="s">
        <v>688</v>
      </c>
      <c r="J2489" s="3" t="s">
        <v>6432</v>
      </c>
      <c r="K2489" s="3"/>
      <c r="L2489" s="3" t="s">
        <v>13295</v>
      </c>
      <c r="M2489" s="4"/>
      <c r="N2489" s="3" t="s">
        <v>37</v>
      </c>
      <c r="O2489" s="3" t="s">
        <v>38</v>
      </c>
      <c r="P2489" s="5">
        <v>4</v>
      </c>
      <c r="Q2489" s="5">
        <v>31</v>
      </c>
      <c r="R2489" s="5"/>
      <c r="S2489" s="5"/>
    </row>
    <row r="2490" spans="1:19" ht="56" x14ac:dyDescent="0.15">
      <c r="A2490" s="2">
        <f>HYPERLINK("https://open-school.uspishnemisto.com.ua/school/120921/", 120921)</f>
        <v>120921</v>
      </c>
      <c r="B2490" s="3" t="s">
        <v>13296</v>
      </c>
      <c r="C2490" s="3" t="s">
        <v>54</v>
      </c>
      <c r="D2490" s="3" t="s">
        <v>32</v>
      </c>
      <c r="E2490" s="4" t="s">
        <v>22</v>
      </c>
      <c r="F2490" s="4" t="s">
        <v>13297</v>
      </c>
      <c r="G2490" s="4" t="s">
        <v>13298</v>
      </c>
      <c r="H2490" s="3" t="s">
        <v>8487</v>
      </c>
      <c r="I2490" s="3" t="s">
        <v>13299</v>
      </c>
      <c r="J2490" s="3" t="s">
        <v>466</v>
      </c>
      <c r="K2490" s="3" t="s">
        <v>13300</v>
      </c>
      <c r="L2490" s="3" t="s">
        <v>13301</v>
      </c>
      <c r="M2490" s="4"/>
      <c r="N2490" s="3" t="s">
        <v>37</v>
      </c>
      <c r="O2490" s="3" t="s">
        <v>70</v>
      </c>
      <c r="P2490" s="5">
        <v>10</v>
      </c>
      <c r="Q2490" s="5">
        <v>114</v>
      </c>
      <c r="R2490" s="5">
        <v>11</v>
      </c>
      <c r="S2490" s="5">
        <v>112</v>
      </c>
    </row>
    <row r="2491" spans="1:19" ht="28" x14ac:dyDescent="0.15">
      <c r="A2491" s="2">
        <f>HYPERLINK("https://open-school.uspishnemisto.com.ua/school/120922/", 120922)</f>
        <v>120922</v>
      </c>
      <c r="B2491" s="3" t="s">
        <v>13302</v>
      </c>
      <c r="C2491" s="3" t="s">
        <v>31</v>
      </c>
      <c r="D2491" s="3" t="s">
        <v>32</v>
      </c>
      <c r="E2491" s="4" t="s">
        <v>22</v>
      </c>
      <c r="F2491" s="4" t="s">
        <v>13303</v>
      </c>
      <c r="G2491" s="4" t="s">
        <v>13304</v>
      </c>
      <c r="H2491" s="3" t="s">
        <v>8487</v>
      </c>
      <c r="I2491" s="3" t="s">
        <v>11594</v>
      </c>
      <c r="J2491" s="3" t="s">
        <v>13305</v>
      </c>
      <c r="K2491" s="3" t="s">
        <v>13306</v>
      </c>
      <c r="L2491" s="3" t="s">
        <v>13307</v>
      </c>
      <c r="M2491" s="4"/>
      <c r="N2491" s="3" t="s">
        <v>37</v>
      </c>
      <c r="O2491" s="3" t="s">
        <v>38</v>
      </c>
      <c r="P2491" s="5">
        <v>11</v>
      </c>
      <c r="Q2491" s="5">
        <v>156</v>
      </c>
      <c r="R2491" s="5">
        <v>11</v>
      </c>
      <c r="S2491" s="5">
        <v>156</v>
      </c>
    </row>
    <row r="2492" spans="1:19" ht="28" x14ac:dyDescent="0.15">
      <c r="A2492" s="2">
        <f>HYPERLINK("https://open-school.uspishnemisto.com.ua/school/120923/", 120923)</f>
        <v>120923</v>
      </c>
      <c r="B2492" s="3" t="s">
        <v>13308</v>
      </c>
      <c r="C2492" s="3" t="s">
        <v>31</v>
      </c>
      <c r="D2492" s="3" t="s">
        <v>32</v>
      </c>
      <c r="E2492" s="4" t="s">
        <v>22</v>
      </c>
      <c r="F2492" s="4" t="s">
        <v>13309</v>
      </c>
      <c r="G2492" s="4" t="s">
        <v>13310</v>
      </c>
      <c r="H2492" s="3" t="s">
        <v>8487</v>
      </c>
      <c r="I2492" s="3" t="s">
        <v>11330</v>
      </c>
      <c r="J2492" s="3" t="s">
        <v>13311</v>
      </c>
      <c r="K2492" s="3" t="s">
        <v>13312</v>
      </c>
      <c r="L2492" s="3" t="s">
        <v>13313</v>
      </c>
      <c r="M2492" s="4"/>
      <c r="N2492" s="3" t="s">
        <v>37</v>
      </c>
      <c r="O2492" s="3" t="s">
        <v>721</v>
      </c>
      <c r="P2492" s="5">
        <v>11</v>
      </c>
      <c r="Q2492" s="5">
        <v>161</v>
      </c>
      <c r="R2492" s="5">
        <v>11</v>
      </c>
      <c r="S2492" s="5">
        <v>157</v>
      </c>
    </row>
    <row r="2493" spans="1:19" ht="42" x14ac:dyDescent="0.15">
      <c r="A2493" s="2">
        <f>HYPERLINK("https://open-school.uspishnemisto.com.ua/school/120924/", 120924)</f>
        <v>120924</v>
      </c>
      <c r="B2493" s="3" t="s">
        <v>13314</v>
      </c>
      <c r="C2493" s="3" t="s">
        <v>31</v>
      </c>
      <c r="D2493" s="3" t="s">
        <v>32</v>
      </c>
      <c r="E2493" s="4" t="s">
        <v>22</v>
      </c>
      <c r="F2493" s="4" t="s">
        <v>13315</v>
      </c>
      <c r="G2493" s="4" t="s">
        <v>13316</v>
      </c>
      <c r="H2493" s="3" t="s">
        <v>8487</v>
      </c>
      <c r="I2493" s="3" t="s">
        <v>13317</v>
      </c>
      <c r="J2493" s="3" t="s">
        <v>13318</v>
      </c>
      <c r="K2493" s="3" t="s">
        <v>13319</v>
      </c>
      <c r="L2493" s="3" t="s">
        <v>13320</v>
      </c>
      <c r="M2493" s="4" t="s">
        <v>13321</v>
      </c>
      <c r="N2493" s="3" t="s">
        <v>37</v>
      </c>
      <c r="O2493" s="3" t="s">
        <v>38</v>
      </c>
      <c r="P2493" s="5">
        <v>48</v>
      </c>
      <c r="Q2493" s="5">
        <v>935</v>
      </c>
      <c r="R2493" s="5">
        <v>46</v>
      </c>
      <c r="S2493" s="5">
        <v>901</v>
      </c>
    </row>
    <row r="2494" spans="1:19" ht="42" x14ac:dyDescent="0.15">
      <c r="A2494" s="2">
        <f>HYPERLINK("https://open-school.uspishnemisto.com.ua/school/120925/", 120925)</f>
        <v>120925</v>
      </c>
      <c r="B2494" s="3" t="s">
        <v>13322</v>
      </c>
      <c r="C2494" s="3" t="s">
        <v>31</v>
      </c>
      <c r="D2494" s="3" t="s">
        <v>175</v>
      </c>
      <c r="E2494" s="4" t="s">
        <v>22</v>
      </c>
      <c r="F2494" s="4" t="s">
        <v>13315</v>
      </c>
      <c r="G2494" s="4" t="s">
        <v>13316</v>
      </c>
      <c r="H2494" s="3" t="s">
        <v>8487</v>
      </c>
      <c r="I2494" s="3" t="s">
        <v>13317</v>
      </c>
      <c r="J2494" s="3" t="s">
        <v>13323</v>
      </c>
      <c r="K2494" s="3" t="s">
        <v>13324</v>
      </c>
      <c r="L2494" s="3" t="s">
        <v>13325</v>
      </c>
      <c r="M2494" s="4"/>
      <c r="N2494" s="3"/>
      <c r="O2494" s="3"/>
      <c r="P2494" s="5">
        <v>0</v>
      </c>
      <c r="Q2494" s="5">
        <v>0</v>
      </c>
      <c r="R2494" s="5"/>
      <c r="S2494" s="5"/>
    </row>
    <row r="2495" spans="1:19" ht="42" x14ac:dyDescent="0.15">
      <c r="A2495" s="2">
        <f>HYPERLINK("https://open-school.uspishnemisto.com.ua/school/120926/", 120926)</f>
        <v>120926</v>
      </c>
      <c r="B2495" s="3" t="s">
        <v>13326</v>
      </c>
      <c r="C2495" s="3" t="s">
        <v>31</v>
      </c>
      <c r="D2495" s="3" t="s">
        <v>175</v>
      </c>
      <c r="E2495" s="4" t="s">
        <v>22</v>
      </c>
      <c r="F2495" s="4" t="s">
        <v>13327</v>
      </c>
      <c r="G2495" s="4" t="s">
        <v>13328</v>
      </c>
      <c r="H2495" s="3" t="s">
        <v>8487</v>
      </c>
      <c r="I2495" s="3" t="s">
        <v>13329</v>
      </c>
      <c r="J2495" s="3" t="s">
        <v>2465</v>
      </c>
      <c r="K2495" s="3" t="s">
        <v>13330</v>
      </c>
      <c r="L2495" s="3" t="s">
        <v>13331</v>
      </c>
      <c r="M2495" s="4"/>
      <c r="N2495" s="3"/>
      <c r="O2495" s="3"/>
      <c r="P2495" s="5">
        <v>0</v>
      </c>
      <c r="Q2495" s="5">
        <v>0</v>
      </c>
      <c r="R2495" s="5"/>
      <c r="S2495" s="5"/>
    </row>
    <row r="2496" spans="1:19" ht="42" x14ac:dyDescent="0.15">
      <c r="A2496" s="2">
        <f>HYPERLINK("https://open-school.uspishnemisto.com.ua/school/120927/", 120927)</f>
        <v>120927</v>
      </c>
      <c r="B2496" s="3" t="s">
        <v>13332</v>
      </c>
      <c r="C2496" s="3" t="s">
        <v>31</v>
      </c>
      <c r="D2496" s="3" t="s">
        <v>32</v>
      </c>
      <c r="E2496" s="4" t="s">
        <v>22</v>
      </c>
      <c r="F2496" s="4" t="s">
        <v>13333</v>
      </c>
      <c r="G2496" s="4" t="s">
        <v>13334</v>
      </c>
      <c r="H2496" s="3" t="s">
        <v>8487</v>
      </c>
      <c r="I2496" s="3" t="s">
        <v>13335</v>
      </c>
      <c r="J2496" s="3" t="s">
        <v>13336</v>
      </c>
      <c r="K2496" s="3" t="s">
        <v>13337</v>
      </c>
      <c r="L2496" s="3" t="s">
        <v>13338</v>
      </c>
      <c r="M2496" s="4"/>
      <c r="N2496" s="3" t="s">
        <v>37</v>
      </c>
      <c r="O2496" s="3" t="s">
        <v>52</v>
      </c>
      <c r="P2496" s="5">
        <v>11</v>
      </c>
      <c r="Q2496" s="5">
        <v>174</v>
      </c>
      <c r="R2496" s="5">
        <v>11</v>
      </c>
      <c r="S2496" s="5">
        <v>184</v>
      </c>
    </row>
    <row r="2497" spans="1:19" ht="28" x14ac:dyDescent="0.15">
      <c r="A2497" s="2">
        <f>HYPERLINK("https://open-school.uspishnemisto.com.ua/school/120929/", 120929)</f>
        <v>120929</v>
      </c>
      <c r="B2497" s="3" t="s">
        <v>13339</v>
      </c>
      <c r="C2497" s="3" t="s">
        <v>31</v>
      </c>
      <c r="D2497" s="3" t="s">
        <v>32</v>
      </c>
      <c r="E2497" s="4" t="s">
        <v>22</v>
      </c>
      <c r="F2497" s="4" t="s">
        <v>13340</v>
      </c>
      <c r="G2497" s="4" t="s">
        <v>13341</v>
      </c>
      <c r="H2497" s="3" t="s">
        <v>8487</v>
      </c>
      <c r="I2497" s="3" t="s">
        <v>1541</v>
      </c>
      <c r="J2497" s="3" t="s">
        <v>466</v>
      </c>
      <c r="K2497" s="3" t="s">
        <v>13342</v>
      </c>
      <c r="L2497" s="3" t="s">
        <v>13343</v>
      </c>
      <c r="M2497" s="4"/>
      <c r="N2497" s="3" t="s">
        <v>37</v>
      </c>
      <c r="O2497" s="3" t="s">
        <v>38</v>
      </c>
      <c r="P2497" s="5">
        <v>11</v>
      </c>
      <c r="Q2497" s="5">
        <v>182</v>
      </c>
      <c r="R2497" s="5">
        <v>11</v>
      </c>
      <c r="S2497" s="5">
        <v>172</v>
      </c>
    </row>
    <row r="2498" spans="1:19" ht="42" x14ac:dyDescent="0.15">
      <c r="A2498" s="2">
        <f>HYPERLINK("https://open-school.uspishnemisto.com.ua/school/120930/", 120930)</f>
        <v>120930</v>
      </c>
      <c r="B2498" s="3" t="s">
        <v>13344</v>
      </c>
      <c r="C2498" s="3" t="s">
        <v>31</v>
      </c>
      <c r="D2498" s="3" t="s">
        <v>32</v>
      </c>
      <c r="E2498" s="4" t="s">
        <v>22</v>
      </c>
      <c r="F2498" s="4" t="s">
        <v>13345</v>
      </c>
      <c r="G2498" s="4" t="s">
        <v>13346</v>
      </c>
      <c r="H2498" s="3" t="s">
        <v>8487</v>
      </c>
      <c r="I2498" s="3" t="s">
        <v>13347</v>
      </c>
      <c r="J2498" s="3" t="s">
        <v>2978</v>
      </c>
      <c r="K2498" s="3" t="s">
        <v>13348</v>
      </c>
      <c r="L2498" s="3" t="s">
        <v>13349</v>
      </c>
      <c r="M2498" s="4"/>
      <c r="N2498" s="3" t="s">
        <v>37</v>
      </c>
      <c r="O2498" s="3" t="s">
        <v>38</v>
      </c>
      <c r="P2498" s="5">
        <v>11</v>
      </c>
      <c r="Q2498" s="5">
        <v>190</v>
      </c>
      <c r="R2498" s="5">
        <v>11</v>
      </c>
      <c r="S2498" s="5">
        <v>182</v>
      </c>
    </row>
    <row r="2499" spans="1:19" ht="42" x14ac:dyDescent="0.15">
      <c r="A2499" s="2">
        <f>HYPERLINK("https://open-school.uspishnemisto.com.ua/school/120931/", 120931)</f>
        <v>120931</v>
      </c>
      <c r="B2499" s="3" t="s">
        <v>13350</v>
      </c>
      <c r="C2499" s="3" t="s">
        <v>31</v>
      </c>
      <c r="D2499" s="3" t="s">
        <v>60</v>
      </c>
      <c r="E2499" s="4" t="s">
        <v>22</v>
      </c>
      <c r="F2499" s="4" t="s">
        <v>13351</v>
      </c>
      <c r="G2499" s="4" t="s">
        <v>13352</v>
      </c>
      <c r="H2499" s="3" t="s">
        <v>8487</v>
      </c>
      <c r="I2499" s="3" t="s">
        <v>688</v>
      </c>
      <c r="J2499" s="3" t="s">
        <v>13353</v>
      </c>
      <c r="K2499" s="3" t="s">
        <v>13354</v>
      </c>
      <c r="L2499" s="3" t="s">
        <v>13355</v>
      </c>
      <c r="M2499" s="4"/>
      <c r="N2499" s="3" t="s">
        <v>37</v>
      </c>
      <c r="O2499" s="3" t="s">
        <v>52</v>
      </c>
      <c r="P2499" s="5">
        <v>2</v>
      </c>
      <c r="Q2499" s="5">
        <v>16</v>
      </c>
      <c r="R2499" s="5">
        <v>3</v>
      </c>
      <c r="S2499" s="5">
        <v>13</v>
      </c>
    </row>
    <row r="2500" spans="1:19" ht="42" x14ac:dyDescent="0.15">
      <c r="A2500" s="2">
        <f>HYPERLINK("https://open-school.uspishnemisto.com.ua/school/120932/", 120932)</f>
        <v>120932</v>
      </c>
      <c r="B2500" s="3" t="s">
        <v>13356</v>
      </c>
      <c r="C2500" s="3" t="s">
        <v>31</v>
      </c>
      <c r="D2500" s="3" t="s">
        <v>175</v>
      </c>
      <c r="E2500" s="4" t="s">
        <v>22</v>
      </c>
      <c r="F2500" s="4" t="s">
        <v>13357</v>
      </c>
      <c r="G2500" s="4" t="s">
        <v>13358</v>
      </c>
      <c r="H2500" s="3" t="s">
        <v>8487</v>
      </c>
      <c r="I2500" s="3" t="s">
        <v>13359</v>
      </c>
      <c r="J2500" s="3" t="s">
        <v>3620</v>
      </c>
      <c r="K2500" s="3" t="s">
        <v>13360</v>
      </c>
      <c r="L2500" s="3" t="s">
        <v>13361</v>
      </c>
      <c r="M2500" s="4"/>
      <c r="N2500" s="3" t="s">
        <v>37</v>
      </c>
      <c r="O2500" s="3" t="s">
        <v>38</v>
      </c>
      <c r="P2500" s="5">
        <v>9</v>
      </c>
      <c r="Q2500" s="5">
        <v>93</v>
      </c>
      <c r="R2500" s="5">
        <v>9</v>
      </c>
      <c r="S2500" s="5">
        <v>81</v>
      </c>
    </row>
    <row r="2501" spans="1:19" ht="42" x14ac:dyDescent="0.15">
      <c r="A2501" s="2">
        <f>HYPERLINK("https://open-school.uspishnemisto.com.ua/school/120933/", 120933)</f>
        <v>120933</v>
      </c>
      <c r="B2501" s="3" t="s">
        <v>13362</v>
      </c>
      <c r="C2501" s="3" t="s">
        <v>31</v>
      </c>
      <c r="D2501" s="3" t="s">
        <v>32</v>
      </c>
      <c r="E2501" s="4" t="s">
        <v>22</v>
      </c>
      <c r="F2501" s="4" t="s">
        <v>13363</v>
      </c>
      <c r="G2501" s="4" t="s">
        <v>13358</v>
      </c>
      <c r="H2501" s="3" t="s">
        <v>8487</v>
      </c>
      <c r="I2501" s="3" t="s">
        <v>13359</v>
      </c>
      <c r="J2501" s="3" t="s">
        <v>13364</v>
      </c>
      <c r="K2501" s="3" t="s">
        <v>13365</v>
      </c>
      <c r="L2501" s="3" t="s">
        <v>13366</v>
      </c>
      <c r="M2501" s="4"/>
      <c r="N2501" s="3" t="s">
        <v>37</v>
      </c>
      <c r="O2501" s="3" t="s">
        <v>38</v>
      </c>
      <c r="P2501" s="5">
        <v>12</v>
      </c>
      <c r="Q2501" s="5">
        <v>227</v>
      </c>
      <c r="R2501" s="5">
        <v>12</v>
      </c>
      <c r="S2501" s="5">
        <v>225</v>
      </c>
    </row>
    <row r="2502" spans="1:19" ht="42" x14ac:dyDescent="0.15">
      <c r="A2502" s="2">
        <f>HYPERLINK("https://open-school.uspishnemisto.com.ua/school/120935/", 120935)</f>
        <v>120935</v>
      </c>
      <c r="B2502" s="3" t="s">
        <v>13367</v>
      </c>
      <c r="C2502" s="3" t="s">
        <v>31</v>
      </c>
      <c r="D2502" s="3" t="s">
        <v>32</v>
      </c>
      <c r="E2502" s="4" t="s">
        <v>22</v>
      </c>
      <c r="F2502" s="4" t="s">
        <v>13368</v>
      </c>
      <c r="G2502" s="4" t="s">
        <v>13369</v>
      </c>
      <c r="H2502" s="3" t="s">
        <v>8487</v>
      </c>
      <c r="I2502" s="3" t="s">
        <v>13370</v>
      </c>
      <c r="J2502" s="3" t="s">
        <v>2687</v>
      </c>
      <c r="K2502" s="3" t="s">
        <v>13371</v>
      </c>
      <c r="L2502" s="3" t="s">
        <v>13372</v>
      </c>
      <c r="M2502" s="4"/>
      <c r="N2502" s="3" t="s">
        <v>37</v>
      </c>
      <c r="O2502" s="3" t="s">
        <v>38</v>
      </c>
      <c r="P2502" s="5">
        <v>11</v>
      </c>
      <c r="Q2502" s="5">
        <v>175</v>
      </c>
      <c r="R2502" s="5">
        <v>11</v>
      </c>
      <c r="S2502" s="5">
        <v>147</v>
      </c>
    </row>
    <row r="2503" spans="1:19" ht="56" x14ac:dyDescent="0.15">
      <c r="A2503" s="2">
        <f>HYPERLINK("https://open-school.uspishnemisto.com.ua/school/120936/", 120936)</f>
        <v>120936</v>
      </c>
      <c r="B2503" s="3" t="s">
        <v>13373</v>
      </c>
      <c r="C2503" s="3" t="s">
        <v>54</v>
      </c>
      <c r="D2503" s="3" t="s">
        <v>175</v>
      </c>
      <c r="E2503" s="4" t="s">
        <v>22</v>
      </c>
      <c r="F2503" s="4" t="s">
        <v>13374</v>
      </c>
      <c r="G2503" s="4" t="s">
        <v>13375</v>
      </c>
      <c r="H2503" s="3" t="s">
        <v>8487</v>
      </c>
      <c r="I2503" s="3" t="s">
        <v>6991</v>
      </c>
      <c r="J2503" s="3" t="s">
        <v>466</v>
      </c>
      <c r="K2503" s="3" t="s">
        <v>13376</v>
      </c>
      <c r="L2503" s="3" t="s">
        <v>13377</v>
      </c>
      <c r="M2503" s="4"/>
      <c r="N2503" s="3" t="s">
        <v>37</v>
      </c>
      <c r="O2503" s="3" t="s">
        <v>38</v>
      </c>
      <c r="P2503" s="5">
        <v>9</v>
      </c>
      <c r="Q2503" s="5">
        <v>99</v>
      </c>
      <c r="R2503" s="5">
        <v>9</v>
      </c>
      <c r="S2503" s="5">
        <v>93</v>
      </c>
    </row>
    <row r="2504" spans="1:19" ht="28" x14ac:dyDescent="0.15">
      <c r="A2504" s="2">
        <f>HYPERLINK("https://open-school.uspishnemisto.com.ua/school/120937/", 120937)</f>
        <v>120937</v>
      </c>
      <c r="B2504" s="3" t="s">
        <v>13378</v>
      </c>
      <c r="C2504" s="3" t="s">
        <v>31</v>
      </c>
      <c r="D2504" s="3" t="s">
        <v>175</v>
      </c>
      <c r="E2504" s="4" t="s">
        <v>22</v>
      </c>
      <c r="F2504" s="4" t="s">
        <v>13379</v>
      </c>
      <c r="G2504" s="4" t="s">
        <v>13380</v>
      </c>
      <c r="H2504" s="3" t="s">
        <v>8487</v>
      </c>
      <c r="I2504" s="3" t="s">
        <v>13381</v>
      </c>
      <c r="J2504" s="3" t="s">
        <v>634</v>
      </c>
      <c r="K2504" s="3" t="s">
        <v>13382</v>
      </c>
      <c r="L2504" s="3" t="s">
        <v>13383</v>
      </c>
      <c r="M2504" s="4"/>
      <c r="N2504" s="3" t="s">
        <v>37</v>
      </c>
      <c r="O2504" s="3" t="s">
        <v>52</v>
      </c>
      <c r="P2504" s="5">
        <v>7</v>
      </c>
      <c r="Q2504" s="5">
        <v>60</v>
      </c>
      <c r="R2504" s="5">
        <v>6</v>
      </c>
      <c r="S2504" s="5">
        <v>61</v>
      </c>
    </row>
    <row r="2505" spans="1:19" ht="28" x14ac:dyDescent="0.15">
      <c r="A2505" s="2">
        <f>HYPERLINK("https://open-school.uspishnemisto.com.ua/school/120938/", 120938)</f>
        <v>120938</v>
      </c>
      <c r="B2505" s="3" t="s">
        <v>13384</v>
      </c>
      <c r="C2505" s="3" t="s">
        <v>31</v>
      </c>
      <c r="D2505" s="3" t="s">
        <v>32</v>
      </c>
      <c r="E2505" s="4" t="s">
        <v>22</v>
      </c>
      <c r="F2505" s="4" t="s">
        <v>13385</v>
      </c>
      <c r="G2505" s="4" t="s">
        <v>13386</v>
      </c>
      <c r="H2505" s="3" t="s">
        <v>8487</v>
      </c>
      <c r="I2505" s="3" t="s">
        <v>13387</v>
      </c>
      <c r="J2505" s="3" t="s">
        <v>3538</v>
      </c>
      <c r="K2505" s="3" t="s">
        <v>13388</v>
      </c>
      <c r="L2505" s="3" t="s">
        <v>13389</v>
      </c>
      <c r="M2505" s="4"/>
      <c r="N2505" s="3" t="s">
        <v>37</v>
      </c>
      <c r="O2505" s="3" t="s">
        <v>52</v>
      </c>
      <c r="P2505" s="5">
        <v>11</v>
      </c>
      <c r="Q2505" s="5">
        <v>81</v>
      </c>
      <c r="R2505" s="5">
        <v>11</v>
      </c>
      <c r="S2505" s="5">
        <v>83</v>
      </c>
    </row>
    <row r="2506" spans="1:19" ht="42" x14ac:dyDescent="0.15">
      <c r="A2506" s="2">
        <f>HYPERLINK("https://open-school.uspishnemisto.com.ua/school/120939/", 120939)</f>
        <v>120939</v>
      </c>
      <c r="B2506" s="3" t="s">
        <v>13390</v>
      </c>
      <c r="C2506" s="3" t="s">
        <v>31</v>
      </c>
      <c r="D2506" s="3" t="s">
        <v>60</v>
      </c>
      <c r="E2506" s="4" t="s">
        <v>22</v>
      </c>
      <c r="F2506" s="4" t="s">
        <v>13391</v>
      </c>
      <c r="G2506" s="4" t="s">
        <v>13392</v>
      </c>
      <c r="H2506" s="3" t="s">
        <v>8487</v>
      </c>
      <c r="I2506" s="3" t="s">
        <v>13393</v>
      </c>
      <c r="J2506" s="3" t="s">
        <v>13394</v>
      </c>
      <c r="K2506" s="3" t="s">
        <v>13395</v>
      </c>
      <c r="L2506" s="3" t="s">
        <v>13396</v>
      </c>
      <c r="M2506" s="4"/>
      <c r="N2506" s="3" t="s">
        <v>37</v>
      </c>
      <c r="O2506" s="3" t="s">
        <v>52</v>
      </c>
      <c r="P2506" s="5">
        <v>3</v>
      </c>
      <c r="Q2506" s="5">
        <v>22</v>
      </c>
      <c r="R2506" s="5">
        <v>4</v>
      </c>
      <c r="S2506" s="5">
        <v>21</v>
      </c>
    </row>
    <row r="2507" spans="1:19" ht="42" x14ac:dyDescent="0.15">
      <c r="A2507" s="2">
        <f>HYPERLINK("https://open-school.uspishnemisto.com.ua/school/120940/", 120940)</f>
        <v>120940</v>
      </c>
      <c r="B2507" s="3" t="s">
        <v>13397</v>
      </c>
      <c r="C2507" s="3" t="s">
        <v>31</v>
      </c>
      <c r="D2507" s="3" t="s">
        <v>32</v>
      </c>
      <c r="E2507" s="4" t="s">
        <v>22</v>
      </c>
      <c r="F2507" s="4" t="s">
        <v>13398</v>
      </c>
      <c r="G2507" s="4" t="s">
        <v>13399</v>
      </c>
      <c r="H2507" s="3" t="s">
        <v>8487</v>
      </c>
      <c r="I2507" s="3" t="s">
        <v>11594</v>
      </c>
      <c r="J2507" s="3" t="s">
        <v>627</v>
      </c>
      <c r="K2507" s="3" t="s">
        <v>13400</v>
      </c>
      <c r="L2507" s="3" t="s">
        <v>13401</v>
      </c>
      <c r="M2507" s="4"/>
      <c r="N2507" s="3" t="s">
        <v>37</v>
      </c>
      <c r="O2507" s="3" t="s">
        <v>38</v>
      </c>
      <c r="P2507" s="5">
        <v>9</v>
      </c>
      <c r="Q2507" s="5">
        <v>95</v>
      </c>
      <c r="R2507" s="5">
        <v>9</v>
      </c>
      <c r="S2507" s="5">
        <v>84</v>
      </c>
    </row>
    <row r="2508" spans="1:19" ht="42" x14ac:dyDescent="0.15">
      <c r="A2508" s="2">
        <f>HYPERLINK("https://open-school.uspishnemisto.com.ua/school/120941/", 120941)</f>
        <v>120941</v>
      </c>
      <c r="B2508" s="3" t="s">
        <v>13402</v>
      </c>
      <c r="C2508" s="3" t="s">
        <v>31</v>
      </c>
      <c r="D2508" s="3" t="s">
        <v>32</v>
      </c>
      <c r="E2508" s="4" t="s">
        <v>22</v>
      </c>
      <c r="F2508" s="4" t="s">
        <v>13403</v>
      </c>
      <c r="G2508" s="4" t="s">
        <v>13404</v>
      </c>
      <c r="H2508" s="3" t="s">
        <v>8487</v>
      </c>
      <c r="I2508" s="3" t="s">
        <v>5519</v>
      </c>
      <c r="J2508" s="3" t="s">
        <v>13405</v>
      </c>
      <c r="K2508" s="3" t="s">
        <v>13406</v>
      </c>
      <c r="L2508" s="3" t="s">
        <v>13407</v>
      </c>
      <c r="M2508" s="4"/>
      <c r="N2508" s="3" t="s">
        <v>37</v>
      </c>
      <c r="O2508" s="3" t="s">
        <v>38</v>
      </c>
      <c r="P2508" s="5">
        <v>27</v>
      </c>
      <c r="Q2508" s="5">
        <v>604</v>
      </c>
      <c r="R2508" s="5">
        <v>25</v>
      </c>
      <c r="S2508" s="5">
        <v>610</v>
      </c>
    </row>
    <row r="2509" spans="1:19" ht="42" x14ac:dyDescent="0.15">
      <c r="A2509" s="2">
        <f>HYPERLINK("https://open-school.uspishnemisto.com.ua/school/120942/", 120942)</f>
        <v>120942</v>
      </c>
      <c r="B2509" s="3" t="s">
        <v>13408</v>
      </c>
      <c r="C2509" s="3" t="s">
        <v>31</v>
      </c>
      <c r="D2509" s="3" t="s">
        <v>32</v>
      </c>
      <c r="E2509" s="4" t="s">
        <v>22</v>
      </c>
      <c r="F2509" s="4" t="s">
        <v>13403</v>
      </c>
      <c r="G2509" s="4" t="s">
        <v>13404</v>
      </c>
      <c r="H2509" s="3" t="s">
        <v>8487</v>
      </c>
      <c r="I2509" s="3" t="s">
        <v>5519</v>
      </c>
      <c r="J2509" s="3" t="s">
        <v>13409</v>
      </c>
      <c r="K2509" s="3" t="s">
        <v>13410</v>
      </c>
      <c r="L2509" s="3"/>
      <c r="M2509" s="4"/>
      <c r="N2509" s="3" t="s">
        <v>37</v>
      </c>
      <c r="O2509" s="3" t="s">
        <v>38</v>
      </c>
      <c r="P2509" s="5">
        <v>20</v>
      </c>
      <c r="Q2509" s="5">
        <v>477</v>
      </c>
      <c r="R2509" s="5">
        <v>20</v>
      </c>
      <c r="S2509" s="5">
        <v>438</v>
      </c>
    </row>
    <row r="2510" spans="1:19" ht="42" x14ac:dyDescent="0.15">
      <c r="A2510" s="2">
        <f>HYPERLINK("https://open-school.uspishnemisto.com.ua/school/120943/", 120943)</f>
        <v>120943</v>
      </c>
      <c r="B2510" s="3" t="s">
        <v>13411</v>
      </c>
      <c r="C2510" s="3" t="s">
        <v>31</v>
      </c>
      <c r="D2510" s="3" t="s">
        <v>32</v>
      </c>
      <c r="E2510" s="4" t="s">
        <v>22</v>
      </c>
      <c r="F2510" s="4" t="s">
        <v>13412</v>
      </c>
      <c r="G2510" s="4" t="s">
        <v>13413</v>
      </c>
      <c r="H2510" s="3" t="s">
        <v>8487</v>
      </c>
      <c r="I2510" s="3" t="s">
        <v>2503</v>
      </c>
      <c r="J2510" s="3" t="s">
        <v>13414</v>
      </c>
      <c r="K2510" s="3" t="s">
        <v>13415</v>
      </c>
      <c r="L2510" s="3" t="s">
        <v>13416</v>
      </c>
      <c r="M2510" s="4"/>
      <c r="N2510" s="3" t="s">
        <v>37</v>
      </c>
      <c r="O2510" s="3" t="s">
        <v>70</v>
      </c>
      <c r="P2510" s="5">
        <v>27</v>
      </c>
      <c r="Q2510" s="5">
        <v>327</v>
      </c>
      <c r="R2510" s="5">
        <v>11</v>
      </c>
      <c r="S2510" s="5">
        <v>163</v>
      </c>
    </row>
    <row r="2511" spans="1:19" ht="42" x14ac:dyDescent="0.15">
      <c r="A2511" s="2">
        <f>HYPERLINK("https://open-school.uspishnemisto.com.ua/school/120945/", 120945)</f>
        <v>120945</v>
      </c>
      <c r="B2511" s="3" t="s">
        <v>13417</v>
      </c>
      <c r="C2511" s="3" t="s">
        <v>31</v>
      </c>
      <c r="D2511" s="3" t="s">
        <v>32</v>
      </c>
      <c r="E2511" s="4" t="s">
        <v>22</v>
      </c>
      <c r="F2511" s="4" t="s">
        <v>13418</v>
      </c>
      <c r="G2511" s="4" t="s">
        <v>13419</v>
      </c>
      <c r="H2511" s="3" t="s">
        <v>8487</v>
      </c>
      <c r="I2511" s="3" t="s">
        <v>1291</v>
      </c>
      <c r="J2511" s="3" t="s">
        <v>12836</v>
      </c>
      <c r="K2511" s="3" t="s">
        <v>13420</v>
      </c>
      <c r="L2511" s="3" t="s">
        <v>13421</v>
      </c>
      <c r="M2511" s="4"/>
      <c r="N2511" s="3" t="s">
        <v>37</v>
      </c>
      <c r="O2511" s="3" t="s">
        <v>38</v>
      </c>
      <c r="P2511" s="5">
        <v>10</v>
      </c>
      <c r="Q2511" s="5">
        <v>96</v>
      </c>
      <c r="R2511" s="5">
        <v>11</v>
      </c>
      <c r="S2511" s="5">
        <v>96</v>
      </c>
    </row>
    <row r="2512" spans="1:19" ht="42" x14ac:dyDescent="0.15">
      <c r="A2512" s="2">
        <f>HYPERLINK("https://open-school.uspishnemisto.com.ua/school/120946/", 120946)</f>
        <v>120946</v>
      </c>
      <c r="B2512" s="3" t="s">
        <v>13422</v>
      </c>
      <c r="C2512" s="3" t="s">
        <v>31</v>
      </c>
      <c r="D2512" s="3" t="s">
        <v>32</v>
      </c>
      <c r="E2512" s="4" t="s">
        <v>22</v>
      </c>
      <c r="F2512" s="4" t="s">
        <v>13423</v>
      </c>
      <c r="G2512" s="4" t="s">
        <v>13424</v>
      </c>
      <c r="H2512" s="3" t="s">
        <v>8487</v>
      </c>
      <c r="I2512" s="3" t="s">
        <v>4594</v>
      </c>
      <c r="J2512" s="3" t="s">
        <v>13425</v>
      </c>
      <c r="K2512" s="3" t="s">
        <v>13426</v>
      </c>
      <c r="L2512" s="3" t="s">
        <v>13427</v>
      </c>
      <c r="M2512" s="4"/>
      <c r="N2512" s="3" t="s">
        <v>37</v>
      </c>
      <c r="O2512" s="3" t="s">
        <v>38</v>
      </c>
      <c r="P2512" s="5">
        <v>10</v>
      </c>
      <c r="Q2512" s="5">
        <v>124</v>
      </c>
      <c r="R2512" s="5">
        <v>9</v>
      </c>
      <c r="S2512" s="5">
        <v>123</v>
      </c>
    </row>
    <row r="2513" spans="1:19" ht="42" x14ac:dyDescent="0.15">
      <c r="A2513" s="2">
        <f>HYPERLINK("https://open-school.uspishnemisto.com.ua/school/120947/", 120947)</f>
        <v>120947</v>
      </c>
      <c r="B2513" s="3" t="s">
        <v>13428</v>
      </c>
      <c r="C2513" s="3" t="s">
        <v>31</v>
      </c>
      <c r="D2513" s="3" t="s">
        <v>32</v>
      </c>
      <c r="E2513" s="4" t="s">
        <v>22</v>
      </c>
      <c r="F2513" s="4" t="s">
        <v>13429</v>
      </c>
      <c r="G2513" s="4" t="s">
        <v>13430</v>
      </c>
      <c r="H2513" s="3" t="s">
        <v>8487</v>
      </c>
      <c r="I2513" s="3" t="s">
        <v>5088</v>
      </c>
      <c r="J2513" s="3" t="s">
        <v>13431</v>
      </c>
      <c r="K2513" s="3" t="s">
        <v>13432</v>
      </c>
      <c r="L2513" s="3" t="s">
        <v>13433</v>
      </c>
      <c r="M2513" s="4"/>
      <c r="N2513" s="3" t="s">
        <v>37</v>
      </c>
      <c r="O2513" s="3" t="s">
        <v>112</v>
      </c>
      <c r="P2513" s="5">
        <v>8</v>
      </c>
      <c r="Q2513" s="5">
        <v>64</v>
      </c>
      <c r="R2513" s="5">
        <v>8</v>
      </c>
      <c r="S2513" s="5">
        <v>63</v>
      </c>
    </row>
    <row r="2514" spans="1:19" ht="28" x14ac:dyDescent="0.15">
      <c r="A2514" s="2">
        <f>HYPERLINK("https://open-school.uspishnemisto.com.ua/school/120948/", 120948)</f>
        <v>120948</v>
      </c>
      <c r="B2514" s="3" t="s">
        <v>13434</v>
      </c>
      <c r="C2514" s="3" t="s">
        <v>31</v>
      </c>
      <c r="D2514" s="3" t="s">
        <v>32</v>
      </c>
      <c r="E2514" s="4" t="s">
        <v>22</v>
      </c>
      <c r="F2514" s="4" t="s">
        <v>13435</v>
      </c>
      <c r="G2514" s="4" t="s">
        <v>13436</v>
      </c>
      <c r="H2514" s="3" t="s">
        <v>8487</v>
      </c>
      <c r="I2514" s="3" t="s">
        <v>13437</v>
      </c>
      <c r="J2514" s="3" t="s">
        <v>13438</v>
      </c>
      <c r="K2514" s="3" t="s">
        <v>13439</v>
      </c>
      <c r="L2514" s="3"/>
      <c r="M2514" s="4"/>
      <c r="N2514" s="3" t="s">
        <v>37</v>
      </c>
      <c r="O2514" s="3" t="s">
        <v>38</v>
      </c>
      <c r="P2514" s="5">
        <v>6</v>
      </c>
      <c r="Q2514" s="5">
        <v>46</v>
      </c>
      <c r="R2514" s="5">
        <v>6</v>
      </c>
      <c r="S2514" s="5">
        <v>45</v>
      </c>
    </row>
    <row r="2515" spans="1:19" ht="56" x14ac:dyDescent="0.15">
      <c r="A2515" s="2">
        <f>HYPERLINK("https://open-school.uspishnemisto.com.ua/school/120949/", 120949)</f>
        <v>120949</v>
      </c>
      <c r="B2515" s="3" t="s">
        <v>13440</v>
      </c>
      <c r="C2515" s="3" t="s">
        <v>31</v>
      </c>
      <c r="D2515" s="3" t="s">
        <v>32</v>
      </c>
      <c r="E2515" s="4" t="s">
        <v>22</v>
      </c>
      <c r="F2515" s="4" t="s">
        <v>13441</v>
      </c>
      <c r="G2515" s="4" t="s">
        <v>13442</v>
      </c>
      <c r="H2515" s="3" t="s">
        <v>8487</v>
      </c>
      <c r="I2515" s="3" t="s">
        <v>13443</v>
      </c>
      <c r="J2515" s="3" t="s">
        <v>13444</v>
      </c>
      <c r="K2515" s="3" t="s">
        <v>13445</v>
      </c>
      <c r="L2515" s="3" t="s">
        <v>13446</v>
      </c>
      <c r="M2515" s="4"/>
      <c r="N2515" s="3" t="s">
        <v>37</v>
      </c>
      <c r="O2515" s="3" t="s">
        <v>38</v>
      </c>
      <c r="P2515" s="5">
        <v>6</v>
      </c>
      <c r="Q2515" s="5">
        <v>66</v>
      </c>
      <c r="R2515" s="5">
        <v>8</v>
      </c>
      <c r="S2515" s="5">
        <v>74</v>
      </c>
    </row>
    <row r="2516" spans="1:19" ht="42" x14ac:dyDescent="0.15">
      <c r="A2516" s="2">
        <f>HYPERLINK("https://open-school.uspishnemisto.com.ua/school/120950/", 120950)</f>
        <v>120950</v>
      </c>
      <c r="B2516" s="3" t="s">
        <v>13447</v>
      </c>
      <c r="C2516" s="3" t="s">
        <v>31</v>
      </c>
      <c r="D2516" s="3" t="s">
        <v>32</v>
      </c>
      <c r="E2516" s="4" t="s">
        <v>22</v>
      </c>
      <c r="F2516" s="4" t="s">
        <v>13448</v>
      </c>
      <c r="G2516" s="4" t="s">
        <v>13449</v>
      </c>
      <c r="H2516" s="3" t="s">
        <v>8487</v>
      </c>
      <c r="I2516" s="3" t="s">
        <v>13450</v>
      </c>
      <c r="J2516" s="3" t="s">
        <v>792</v>
      </c>
      <c r="K2516" s="3" t="s">
        <v>13451</v>
      </c>
      <c r="L2516" s="3" t="s">
        <v>13452</v>
      </c>
      <c r="M2516" s="4"/>
      <c r="N2516" s="3" t="s">
        <v>37</v>
      </c>
      <c r="O2516" s="3" t="s">
        <v>38</v>
      </c>
      <c r="P2516" s="5">
        <v>12</v>
      </c>
      <c r="Q2516" s="5">
        <v>203</v>
      </c>
      <c r="R2516" s="5">
        <v>11</v>
      </c>
      <c r="S2516" s="5">
        <v>193</v>
      </c>
    </row>
    <row r="2517" spans="1:19" ht="56" x14ac:dyDescent="0.15">
      <c r="A2517" s="2">
        <f>HYPERLINK("https://open-school.uspishnemisto.com.ua/school/120951/", 120951)</f>
        <v>120951</v>
      </c>
      <c r="B2517" s="3" t="s">
        <v>13453</v>
      </c>
      <c r="C2517" s="3" t="s">
        <v>31</v>
      </c>
      <c r="D2517" s="3" t="s">
        <v>32</v>
      </c>
      <c r="E2517" s="4" t="s">
        <v>22</v>
      </c>
      <c r="F2517" s="4" t="s">
        <v>13454</v>
      </c>
      <c r="G2517" s="4" t="s">
        <v>13455</v>
      </c>
      <c r="H2517" s="3" t="s">
        <v>8487</v>
      </c>
      <c r="I2517" s="3" t="s">
        <v>13456</v>
      </c>
      <c r="J2517" s="3" t="s">
        <v>4728</v>
      </c>
      <c r="K2517" s="3" t="s">
        <v>13457</v>
      </c>
      <c r="L2517" s="3" t="s">
        <v>13458</v>
      </c>
      <c r="M2517" s="4" t="s">
        <v>13459</v>
      </c>
      <c r="N2517" s="3" t="s">
        <v>37</v>
      </c>
      <c r="O2517" s="3" t="s">
        <v>38</v>
      </c>
      <c r="P2517" s="5">
        <v>11</v>
      </c>
      <c r="Q2517" s="5">
        <v>100</v>
      </c>
      <c r="R2517" s="5">
        <v>11</v>
      </c>
      <c r="S2517" s="5">
        <v>93</v>
      </c>
    </row>
    <row r="2518" spans="1:19" ht="70" x14ac:dyDescent="0.15">
      <c r="A2518" s="2">
        <f>HYPERLINK("https://open-school.uspishnemisto.com.ua/school/120952/", 120952)</f>
        <v>120952</v>
      </c>
      <c r="B2518" s="3" t="s">
        <v>13460</v>
      </c>
      <c r="C2518" s="3" t="s">
        <v>54</v>
      </c>
      <c r="D2518" s="3" t="s">
        <v>32</v>
      </c>
      <c r="E2518" s="4" t="s">
        <v>22</v>
      </c>
      <c r="F2518" s="4" t="s">
        <v>13461</v>
      </c>
      <c r="G2518" s="4" t="s">
        <v>13462</v>
      </c>
      <c r="H2518" s="3" t="s">
        <v>8487</v>
      </c>
      <c r="I2518" s="3" t="s">
        <v>3145</v>
      </c>
      <c r="J2518" s="3" t="s">
        <v>4728</v>
      </c>
      <c r="K2518" s="3" t="s">
        <v>13463</v>
      </c>
      <c r="L2518" s="3" t="s">
        <v>13464</v>
      </c>
      <c r="M2518" s="4" t="s">
        <v>13465</v>
      </c>
      <c r="N2518" s="3" t="s">
        <v>37</v>
      </c>
      <c r="O2518" s="3" t="s">
        <v>38</v>
      </c>
      <c r="P2518" s="5">
        <v>9</v>
      </c>
      <c r="Q2518" s="5">
        <v>79</v>
      </c>
      <c r="R2518" s="5">
        <v>8</v>
      </c>
      <c r="S2518" s="5">
        <v>71</v>
      </c>
    </row>
    <row r="2519" spans="1:19" ht="56" x14ac:dyDescent="0.15">
      <c r="A2519" s="2">
        <f>HYPERLINK("https://open-school.uspishnemisto.com.ua/school/120953/", 120953)</f>
        <v>120953</v>
      </c>
      <c r="B2519" s="3" t="s">
        <v>13466</v>
      </c>
      <c r="C2519" s="3" t="s">
        <v>31</v>
      </c>
      <c r="D2519" s="3" t="s">
        <v>32</v>
      </c>
      <c r="E2519" s="4" t="s">
        <v>22</v>
      </c>
      <c r="F2519" s="4" t="s">
        <v>13467</v>
      </c>
      <c r="G2519" s="4" t="s">
        <v>13468</v>
      </c>
      <c r="H2519" s="3" t="s">
        <v>8487</v>
      </c>
      <c r="I2519" s="3" t="s">
        <v>11305</v>
      </c>
      <c r="J2519" s="3" t="s">
        <v>8232</v>
      </c>
      <c r="K2519" s="3" t="s">
        <v>13469</v>
      </c>
      <c r="L2519" s="3" t="s">
        <v>13470</v>
      </c>
      <c r="M2519" s="4" t="s">
        <v>13471</v>
      </c>
      <c r="N2519" s="3" t="s">
        <v>37</v>
      </c>
      <c r="O2519" s="3" t="s">
        <v>38</v>
      </c>
      <c r="P2519" s="5">
        <v>10</v>
      </c>
      <c r="Q2519" s="5">
        <v>70</v>
      </c>
      <c r="R2519" s="5">
        <v>10</v>
      </c>
      <c r="S2519" s="5">
        <v>75</v>
      </c>
    </row>
    <row r="2520" spans="1:19" ht="42" x14ac:dyDescent="0.15">
      <c r="A2520" s="2">
        <f>HYPERLINK("https://open-school.uspishnemisto.com.ua/school/120954/", 120954)</f>
        <v>120954</v>
      </c>
      <c r="B2520" s="3" t="s">
        <v>13472</v>
      </c>
      <c r="C2520" s="3" t="s">
        <v>31</v>
      </c>
      <c r="D2520" s="3" t="s">
        <v>32</v>
      </c>
      <c r="E2520" s="4" t="s">
        <v>22</v>
      </c>
      <c r="F2520" s="4" t="s">
        <v>13473</v>
      </c>
      <c r="G2520" s="4" t="s">
        <v>13474</v>
      </c>
      <c r="H2520" s="3" t="s">
        <v>8487</v>
      </c>
      <c r="I2520" s="3" t="s">
        <v>11147</v>
      </c>
      <c r="J2520" s="3" t="s">
        <v>13475</v>
      </c>
      <c r="K2520" s="3" t="s">
        <v>13476</v>
      </c>
      <c r="L2520" s="3" t="s">
        <v>13477</v>
      </c>
      <c r="M2520" s="4" t="s">
        <v>13478</v>
      </c>
      <c r="N2520" s="3" t="s">
        <v>37</v>
      </c>
      <c r="O2520" s="3" t="s">
        <v>38</v>
      </c>
      <c r="P2520" s="5">
        <v>11</v>
      </c>
      <c r="Q2520" s="5">
        <v>63</v>
      </c>
      <c r="R2520" s="5">
        <v>10</v>
      </c>
      <c r="S2520" s="5">
        <v>69</v>
      </c>
    </row>
    <row r="2521" spans="1:19" ht="42" x14ac:dyDescent="0.15">
      <c r="A2521" s="2">
        <f>HYPERLINK("https://open-school.uspishnemisto.com.ua/school/120958/", 120958)</f>
        <v>120958</v>
      </c>
      <c r="B2521" s="3" t="s">
        <v>13479</v>
      </c>
      <c r="C2521" s="3" t="s">
        <v>31</v>
      </c>
      <c r="D2521" s="3" t="s">
        <v>32</v>
      </c>
      <c r="E2521" s="4" t="s">
        <v>22</v>
      </c>
      <c r="F2521" s="4" t="s">
        <v>13480</v>
      </c>
      <c r="G2521" s="4" t="s">
        <v>13481</v>
      </c>
      <c r="H2521" s="3" t="s">
        <v>8487</v>
      </c>
      <c r="I2521" s="3" t="s">
        <v>13482</v>
      </c>
      <c r="J2521" s="3" t="s">
        <v>13483</v>
      </c>
      <c r="K2521" s="3" t="s">
        <v>13484</v>
      </c>
      <c r="L2521" s="3" t="s">
        <v>13485</v>
      </c>
      <c r="M2521" s="4"/>
      <c r="N2521" s="3" t="s">
        <v>37</v>
      </c>
      <c r="O2521" s="3" t="s">
        <v>38</v>
      </c>
      <c r="P2521" s="5">
        <v>10</v>
      </c>
      <c r="Q2521" s="5">
        <v>106</v>
      </c>
      <c r="R2521" s="5">
        <v>10</v>
      </c>
      <c r="S2521" s="5">
        <v>100</v>
      </c>
    </row>
    <row r="2522" spans="1:19" ht="42" x14ac:dyDescent="0.15">
      <c r="A2522" s="2">
        <f>HYPERLINK("https://open-school.uspishnemisto.com.ua/school/120959/", 120959)</f>
        <v>120959</v>
      </c>
      <c r="B2522" s="3" t="s">
        <v>13486</v>
      </c>
      <c r="C2522" s="3" t="s">
        <v>31</v>
      </c>
      <c r="D2522" s="3" t="s">
        <v>32</v>
      </c>
      <c r="E2522" s="4" t="s">
        <v>22</v>
      </c>
      <c r="F2522" s="4" t="s">
        <v>13487</v>
      </c>
      <c r="G2522" s="4" t="s">
        <v>13488</v>
      </c>
      <c r="H2522" s="3" t="s">
        <v>8487</v>
      </c>
      <c r="I2522" s="3" t="s">
        <v>13489</v>
      </c>
      <c r="J2522" s="3" t="s">
        <v>13490</v>
      </c>
      <c r="K2522" s="3" t="s">
        <v>13491</v>
      </c>
      <c r="L2522" s="3" t="s">
        <v>13492</v>
      </c>
      <c r="M2522" s="4"/>
      <c r="N2522" s="3" t="s">
        <v>37</v>
      </c>
      <c r="O2522" s="3" t="s">
        <v>112</v>
      </c>
      <c r="P2522" s="5">
        <v>8</v>
      </c>
      <c r="Q2522" s="5">
        <v>55</v>
      </c>
      <c r="R2522" s="5">
        <v>9</v>
      </c>
      <c r="S2522" s="5">
        <v>62</v>
      </c>
    </row>
    <row r="2523" spans="1:19" ht="42" x14ac:dyDescent="0.15">
      <c r="A2523" s="2">
        <f>HYPERLINK("https://open-school.uspishnemisto.com.ua/school/120960/", 120960)</f>
        <v>120960</v>
      </c>
      <c r="B2523" s="3" t="s">
        <v>13493</v>
      </c>
      <c r="C2523" s="3" t="s">
        <v>31</v>
      </c>
      <c r="D2523" s="3" t="s">
        <v>32</v>
      </c>
      <c r="E2523" s="4" t="s">
        <v>22</v>
      </c>
      <c r="F2523" s="4" t="s">
        <v>13494</v>
      </c>
      <c r="G2523" s="4" t="s">
        <v>13495</v>
      </c>
      <c r="H2523" s="3" t="s">
        <v>8487</v>
      </c>
      <c r="I2523" s="3" t="s">
        <v>13393</v>
      </c>
      <c r="J2523" s="3" t="s">
        <v>13496</v>
      </c>
      <c r="K2523" s="3" t="s">
        <v>13497</v>
      </c>
      <c r="L2523" s="3" t="s">
        <v>13498</v>
      </c>
      <c r="M2523" s="4"/>
      <c r="N2523" s="3" t="s">
        <v>37</v>
      </c>
      <c r="O2523" s="3" t="s">
        <v>38</v>
      </c>
      <c r="P2523" s="5">
        <v>26</v>
      </c>
      <c r="Q2523" s="5">
        <v>372</v>
      </c>
      <c r="R2523" s="5">
        <v>15</v>
      </c>
      <c r="S2523" s="5">
        <v>272</v>
      </c>
    </row>
    <row r="2524" spans="1:19" ht="84" x14ac:dyDescent="0.15">
      <c r="A2524" s="2">
        <f>HYPERLINK("https://open-school.uspishnemisto.com.ua/school/120961/", 120961)</f>
        <v>120961</v>
      </c>
      <c r="B2524" s="3" t="s">
        <v>13499</v>
      </c>
      <c r="C2524" s="3" t="s">
        <v>54</v>
      </c>
      <c r="D2524" s="3" t="s">
        <v>175</v>
      </c>
      <c r="E2524" s="4" t="s">
        <v>22</v>
      </c>
      <c r="F2524" s="4" t="s">
        <v>13500</v>
      </c>
      <c r="G2524" s="4" t="s">
        <v>13501</v>
      </c>
      <c r="H2524" s="3" t="s">
        <v>8487</v>
      </c>
      <c r="I2524" s="3" t="s">
        <v>11056</v>
      </c>
      <c r="J2524" s="3" t="s">
        <v>5432</v>
      </c>
      <c r="K2524" s="3" t="s">
        <v>13502</v>
      </c>
      <c r="L2524" s="3" t="s">
        <v>13503</v>
      </c>
      <c r="M2524" s="4"/>
      <c r="N2524" s="3" t="s">
        <v>37</v>
      </c>
      <c r="O2524" s="3" t="s">
        <v>52</v>
      </c>
      <c r="P2524" s="5">
        <v>0</v>
      </c>
      <c r="Q2524" s="5">
        <v>0</v>
      </c>
      <c r="R2524" s="5">
        <v>6</v>
      </c>
      <c r="S2524" s="5">
        <v>45</v>
      </c>
    </row>
    <row r="2525" spans="1:19" ht="56" x14ac:dyDescent="0.15">
      <c r="A2525" s="2">
        <f>HYPERLINK("https://open-school.uspishnemisto.com.ua/school/120962/", 120962)</f>
        <v>120962</v>
      </c>
      <c r="B2525" s="3" t="s">
        <v>13504</v>
      </c>
      <c r="C2525" s="3" t="s">
        <v>54</v>
      </c>
      <c r="D2525" s="3" t="s">
        <v>32</v>
      </c>
      <c r="E2525" s="4" t="s">
        <v>22</v>
      </c>
      <c r="F2525" s="4" t="s">
        <v>13505</v>
      </c>
      <c r="G2525" s="4" t="s">
        <v>13506</v>
      </c>
      <c r="H2525" s="3" t="s">
        <v>8487</v>
      </c>
      <c r="I2525" s="3" t="s">
        <v>1291</v>
      </c>
      <c r="J2525" s="3" t="s">
        <v>11022</v>
      </c>
      <c r="K2525" s="3" t="s">
        <v>13507</v>
      </c>
      <c r="L2525" s="3" t="s">
        <v>13508</v>
      </c>
      <c r="M2525" s="4"/>
      <c r="N2525" s="3" t="s">
        <v>37</v>
      </c>
      <c r="O2525" s="3" t="s">
        <v>52</v>
      </c>
      <c r="P2525" s="5">
        <v>9</v>
      </c>
      <c r="Q2525" s="5">
        <v>80</v>
      </c>
      <c r="R2525" s="5">
        <v>8</v>
      </c>
      <c r="S2525" s="5">
        <v>80</v>
      </c>
    </row>
    <row r="2526" spans="1:19" ht="42" x14ac:dyDescent="0.15">
      <c r="A2526" s="2">
        <f>HYPERLINK("https://open-school.uspishnemisto.com.ua/school/120963/", 120963)</f>
        <v>120963</v>
      </c>
      <c r="B2526" s="3" t="s">
        <v>13509</v>
      </c>
      <c r="C2526" s="3" t="s">
        <v>31</v>
      </c>
      <c r="D2526" s="3" t="s">
        <v>32</v>
      </c>
      <c r="E2526" s="4" t="s">
        <v>22</v>
      </c>
      <c r="F2526" s="4" t="s">
        <v>13510</v>
      </c>
      <c r="G2526" s="4" t="s">
        <v>13511</v>
      </c>
      <c r="H2526" s="3" t="s">
        <v>8487</v>
      </c>
      <c r="I2526" s="3" t="s">
        <v>12816</v>
      </c>
      <c r="J2526" s="3" t="s">
        <v>13512</v>
      </c>
      <c r="K2526" s="3" t="s">
        <v>13513</v>
      </c>
      <c r="L2526" s="3" t="s">
        <v>13514</v>
      </c>
      <c r="M2526" s="4"/>
      <c r="N2526" s="3" t="s">
        <v>37</v>
      </c>
      <c r="O2526" s="3" t="s">
        <v>38</v>
      </c>
      <c r="P2526" s="5">
        <v>11</v>
      </c>
      <c r="Q2526" s="5">
        <v>142</v>
      </c>
      <c r="R2526" s="5">
        <v>11</v>
      </c>
      <c r="S2526" s="5">
        <v>142</v>
      </c>
    </row>
    <row r="2527" spans="1:19" ht="56" x14ac:dyDescent="0.15">
      <c r="A2527" s="2">
        <f>HYPERLINK("https://open-school.uspishnemisto.com.ua/school/120964/", 120964)</f>
        <v>120964</v>
      </c>
      <c r="B2527" s="3" t="s">
        <v>13515</v>
      </c>
      <c r="C2527" s="3" t="s">
        <v>54</v>
      </c>
      <c r="D2527" s="3" t="s">
        <v>175</v>
      </c>
      <c r="E2527" s="4" t="s">
        <v>22</v>
      </c>
      <c r="F2527" s="4" t="s">
        <v>13516</v>
      </c>
      <c r="G2527" s="4" t="s">
        <v>13517</v>
      </c>
      <c r="H2527" s="3" t="s">
        <v>8487</v>
      </c>
      <c r="I2527" s="3" t="s">
        <v>13518</v>
      </c>
      <c r="J2527" s="3" t="s">
        <v>13519</v>
      </c>
      <c r="K2527" s="3" t="s">
        <v>13520</v>
      </c>
      <c r="L2527" s="3" t="s">
        <v>13521</v>
      </c>
      <c r="M2527" s="4"/>
      <c r="N2527" s="3" t="s">
        <v>37</v>
      </c>
      <c r="O2527" s="3" t="s">
        <v>70</v>
      </c>
      <c r="P2527" s="5">
        <v>9</v>
      </c>
      <c r="Q2527" s="5">
        <v>117</v>
      </c>
      <c r="R2527" s="5">
        <v>9</v>
      </c>
      <c r="S2527" s="5">
        <v>113</v>
      </c>
    </row>
    <row r="2528" spans="1:19" ht="84" x14ac:dyDescent="0.15">
      <c r="A2528" s="2">
        <f>HYPERLINK("https://open-school.uspishnemisto.com.ua/school/120965/", 120965)</f>
        <v>120965</v>
      </c>
      <c r="B2528" s="3" t="s">
        <v>13522</v>
      </c>
      <c r="C2528" s="3" t="s">
        <v>54</v>
      </c>
      <c r="D2528" s="3" t="s">
        <v>175</v>
      </c>
      <c r="E2528" s="4" t="s">
        <v>22</v>
      </c>
      <c r="F2528" s="4" t="s">
        <v>13523</v>
      </c>
      <c r="G2528" s="4" t="s">
        <v>13524</v>
      </c>
      <c r="H2528" s="3" t="s">
        <v>8487</v>
      </c>
      <c r="I2528" s="3" t="s">
        <v>13525</v>
      </c>
      <c r="J2528" s="3" t="s">
        <v>466</v>
      </c>
      <c r="K2528" s="3" t="s">
        <v>13526</v>
      </c>
      <c r="L2528" s="3" t="s">
        <v>13527</v>
      </c>
      <c r="M2528" s="4"/>
      <c r="N2528" s="3" t="s">
        <v>37</v>
      </c>
      <c r="O2528" s="3" t="s">
        <v>52</v>
      </c>
      <c r="P2528" s="5">
        <v>0</v>
      </c>
      <c r="Q2528" s="5">
        <v>0</v>
      </c>
      <c r="R2528" s="5">
        <v>8</v>
      </c>
      <c r="S2528" s="5">
        <v>69</v>
      </c>
    </row>
    <row r="2529" spans="1:19" ht="42" x14ac:dyDescent="0.15">
      <c r="A2529" s="2">
        <f>HYPERLINK("https://open-school.uspishnemisto.com.ua/school/120966/", 120966)</f>
        <v>120966</v>
      </c>
      <c r="B2529" s="3" t="s">
        <v>13528</v>
      </c>
      <c r="C2529" s="3" t="s">
        <v>31</v>
      </c>
      <c r="D2529" s="3" t="s">
        <v>32</v>
      </c>
      <c r="E2529" s="4" t="s">
        <v>22</v>
      </c>
      <c r="F2529" s="4" t="s">
        <v>13529</v>
      </c>
      <c r="G2529" s="4" t="s">
        <v>13530</v>
      </c>
      <c r="H2529" s="3" t="s">
        <v>8487</v>
      </c>
      <c r="I2529" s="3" t="s">
        <v>13531</v>
      </c>
      <c r="J2529" s="3" t="s">
        <v>13532</v>
      </c>
      <c r="K2529" s="3" t="s">
        <v>13533</v>
      </c>
      <c r="L2529" s="3" t="s">
        <v>13534</v>
      </c>
      <c r="M2529" s="4"/>
      <c r="N2529" s="3" t="s">
        <v>37</v>
      </c>
      <c r="O2529" s="3" t="s">
        <v>38</v>
      </c>
      <c r="P2529" s="5">
        <v>11</v>
      </c>
      <c r="Q2529" s="5">
        <v>128</v>
      </c>
      <c r="R2529" s="5">
        <v>11</v>
      </c>
      <c r="S2529" s="5">
        <v>121</v>
      </c>
    </row>
    <row r="2530" spans="1:19" ht="56" x14ac:dyDescent="0.15">
      <c r="A2530" s="2">
        <f>HYPERLINK("https://open-school.uspishnemisto.com.ua/school/120967/", 120967)</f>
        <v>120967</v>
      </c>
      <c r="B2530" s="3" t="s">
        <v>13535</v>
      </c>
      <c r="C2530" s="3" t="s">
        <v>54</v>
      </c>
      <c r="D2530" s="3" t="s">
        <v>175</v>
      </c>
      <c r="E2530" s="4" t="s">
        <v>22</v>
      </c>
      <c r="F2530" s="4" t="s">
        <v>13536</v>
      </c>
      <c r="G2530" s="4" t="s">
        <v>13537</v>
      </c>
      <c r="H2530" s="3" t="s">
        <v>8487</v>
      </c>
      <c r="I2530" s="3" t="s">
        <v>11147</v>
      </c>
      <c r="J2530" s="3" t="s">
        <v>7495</v>
      </c>
      <c r="K2530" s="3" t="s">
        <v>13538</v>
      </c>
      <c r="L2530" s="3" t="s">
        <v>13539</v>
      </c>
      <c r="M2530" s="4"/>
      <c r="N2530" s="3" t="s">
        <v>37</v>
      </c>
      <c r="O2530" s="3" t="s">
        <v>38</v>
      </c>
      <c r="P2530" s="5">
        <v>6</v>
      </c>
      <c r="Q2530" s="5">
        <v>62</v>
      </c>
      <c r="R2530" s="5">
        <v>7</v>
      </c>
      <c r="S2530" s="5">
        <v>69</v>
      </c>
    </row>
    <row r="2531" spans="1:19" ht="28" x14ac:dyDescent="0.15">
      <c r="A2531" s="2">
        <f>HYPERLINK("https://open-school.uspishnemisto.com.ua/school/120968/", 120968)</f>
        <v>120968</v>
      </c>
      <c r="B2531" s="3" t="s">
        <v>13540</v>
      </c>
      <c r="C2531" s="3" t="s">
        <v>31</v>
      </c>
      <c r="D2531" s="3" t="s">
        <v>32</v>
      </c>
      <c r="E2531" s="4" t="s">
        <v>22</v>
      </c>
      <c r="F2531" s="4" t="s">
        <v>13541</v>
      </c>
      <c r="G2531" s="4" t="s">
        <v>13542</v>
      </c>
      <c r="H2531" s="3" t="s">
        <v>8487</v>
      </c>
      <c r="I2531" s="3" t="s">
        <v>13543</v>
      </c>
      <c r="J2531" s="3" t="s">
        <v>2226</v>
      </c>
      <c r="K2531" s="3" t="s">
        <v>13544</v>
      </c>
      <c r="L2531" s="3" t="s">
        <v>13545</v>
      </c>
      <c r="M2531" s="4"/>
      <c r="N2531" s="3" t="s">
        <v>37</v>
      </c>
      <c r="O2531" s="3" t="s">
        <v>38</v>
      </c>
      <c r="P2531" s="5">
        <v>11</v>
      </c>
      <c r="Q2531" s="5">
        <v>91</v>
      </c>
      <c r="R2531" s="5">
        <v>11</v>
      </c>
      <c r="S2531" s="5">
        <v>88</v>
      </c>
    </row>
    <row r="2532" spans="1:19" ht="56" x14ac:dyDescent="0.15">
      <c r="A2532" s="2">
        <f>HYPERLINK("https://open-school.uspishnemisto.com.ua/school/120969/", 120969)</f>
        <v>120969</v>
      </c>
      <c r="B2532" s="3" t="s">
        <v>13546</v>
      </c>
      <c r="C2532" s="3" t="s">
        <v>54</v>
      </c>
      <c r="D2532" s="3" t="s">
        <v>175</v>
      </c>
      <c r="E2532" s="4" t="s">
        <v>22</v>
      </c>
      <c r="F2532" s="4" t="s">
        <v>13547</v>
      </c>
      <c r="G2532" s="4" t="s">
        <v>13548</v>
      </c>
      <c r="H2532" s="3" t="s">
        <v>8487</v>
      </c>
      <c r="I2532" s="3" t="s">
        <v>11594</v>
      </c>
      <c r="J2532" s="3" t="s">
        <v>13549</v>
      </c>
      <c r="K2532" s="3" t="s">
        <v>13550</v>
      </c>
      <c r="L2532" s="3" t="s">
        <v>13551</v>
      </c>
      <c r="M2532" s="4"/>
      <c r="N2532" s="3" t="s">
        <v>37</v>
      </c>
      <c r="O2532" s="3" t="s">
        <v>52</v>
      </c>
      <c r="P2532" s="5">
        <v>4</v>
      </c>
      <c r="Q2532" s="5">
        <v>38</v>
      </c>
      <c r="R2532" s="5">
        <v>5</v>
      </c>
      <c r="S2532" s="5">
        <v>44</v>
      </c>
    </row>
    <row r="2533" spans="1:19" ht="42" x14ac:dyDescent="0.15">
      <c r="A2533" s="2">
        <f>HYPERLINK("https://open-school.uspishnemisto.com.ua/school/120970/", 120970)</f>
        <v>120970</v>
      </c>
      <c r="B2533" s="3" t="s">
        <v>13552</v>
      </c>
      <c r="C2533" s="3" t="s">
        <v>31</v>
      </c>
      <c r="D2533" s="3" t="s">
        <v>32</v>
      </c>
      <c r="E2533" s="4" t="s">
        <v>22</v>
      </c>
      <c r="F2533" s="4" t="s">
        <v>13553</v>
      </c>
      <c r="G2533" s="4" t="s">
        <v>13554</v>
      </c>
      <c r="H2533" s="3" t="s">
        <v>8487</v>
      </c>
      <c r="I2533" s="3" t="s">
        <v>12411</v>
      </c>
      <c r="J2533" s="3" t="s">
        <v>13555</v>
      </c>
      <c r="K2533" s="3" t="s">
        <v>13556</v>
      </c>
      <c r="L2533" s="3" t="s">
        <v>13557</v>
      </c>
      <c r="M2533" s="4"/>
      <c r="N2533" s="3" t="s">
        <v>37</v>
      </c>
      <c r="O2533" s="3" t="s">
        <v>38</v>
      </c>
      <c r="P2533" s="5">
        <v>11</v>
      </c>
      <c r="Q2533" s="5">
        <v>128</v>
      </c>
      <c r="R2533" s="5">
        <v>11</v>
      </c>
      <c r="S2533" s="5">
        <v>129</v>
      </c>
    </row>
    <row r="2534" spans="1:19" ht="42" x14ac:dyDescent="0.15">
      <c r="A2534" s="2">
        <f>HYPERLINK("https://open-school.uspishnemisto.com.ua/school/120971/", 120971)</f>
        <v>120971</v>
      </c>
      <c r="B2534" s="3" t="s">
        <v>13558</v>
      </c>
      <c r="C2534" s="3" t="s">
        <v>31</v>
      </c>
      <c r="D2534" s="3" t="s">
        <v>32</v>
      </c>
      <c r="E2534" s="4" t="s">
        <v>22</v>
      </c>
      <c r="F2534" s="4" t="s">
        <v>13559</v>
      </c>
      <c r="G2534" s="4" t="s">
        <v>13560</v>
      </c>
      <c r="H2534" s="3" t="s">
        <v>8487</v>
      </c>
      <c r="I2534" s="3" t="s">
        <v>13561</v>
      </c>
      <c r="J2534" s="3" t="s">
        <v>13562</v>
      </c>
      <c r="K2534" s="3" t="s">
        <v>13563</v>
      </c>
      <c r="L2534" s="3" t="s">
        <v>13564</v>
      </c>
      <c r="M2534" s="4"/>
      <c r="N2534" s="3" t="s">
        <v>37</v>
      </c>
      <c r="O2534" s="3" t="s">
        <v>52</v>
      </c>
      <c r="P2534" s="5">
        <v>11</v>
      </c>
      <c r="Q2534" s="5">
        <v>89</v>
      </c>
      <c r="R2534" s="5">
        <v>10</v>
      </c>
      <c r="S2534" s="5">
        <v>92</v>
      </c>
    </row>
    <row r="2535" spans="1:19" ht="56" x14ac:dyDescent="0.15">
      <c r="A2535" s="2">
        <f>HYPERLINK("https://open-school.uspishnemisto.com.ua/school/120972/", 120972)</f>
        <v>120972</v>
      </c>
      <c r="B2535" s="3" t="s">
        <v>13565</v>
      </c>
      <c r="C2535" s="3" t="s">
        <v>54</v>
      </c>
      <c r="D2535" s="3" t="s">
        <v>32</v>
      </c>
      <c r="E2535" s="4" t="s">
        <v>22</v>
      </c>
      <c r="F2535" s="4" t="s">
        <v>13566</v>
      </c>
      <c r="G2535" s="4" t="s">
        <v>13567</v>
      </c>
      <c r="H2535" s="3" t="s">
        <v>8487</v>
      </c>
      <c r="I2535" s="3" t="s">
        <v>13568</v>
      </c>
      <c r="J2535" s="3" t="s">
        <v>13569</v>
      </c>
      <c r="K2535" s="3" t="s">
        <v>13570</v>
      </c>
      <c r="L2535" s="3" t="s">
        <v>13571</v>
      </c>
      <c r="M2535" s="4"/>
      <c r="N2535" s="3" t="s">
        <v>37</v>
      </c>
      <c r="O2535" s="3" t="s">
        <v>38</v>
      </c>
      <c r="P2535" s="5">
        <v>9</v>
      </c>
      <c r="Q2535" s="5">
        <v>81</v>
      </c>
      <c r="R2535" s="5">
        <v>10</v>
      </c>
      <c r="S2535" s="5">
        <v>81</v>
      </c>
    </row>
    <row r="2536" spans="1:19" ht="28" x14ac:dyDescent="0.15">
      <c r="A2536" s="2">
        <f>HYPERLINK("https://open-school.uspishnemisto.com.ua/school/140001/", 140001)</f>
        <v>140001</v>
      </c>
      <c r="B2536" s="3" t="s">
        <v>13572</v>
      </c>
      <c r="C2536" s="3" t="s">
        <v>20</v>
      </c>
      <c r="D2536" s="3" t="s">
        <v>21</v>
      </c>
      <c r="E2536" s="4" t="s">
        <v>22</v>
      </c>
      <c r="F2536" s="4" t="s">
        <v>13573</v>
      </c>
      <c r="G2536" s="4" t="s">
        <v>13574</v>
      </c>
      <c r="H2536" s="3" t="s">
        <v>13575</v>
      </c>
      <c r="I2536" s="3" t="s">
        <v>13576</v>
      </c>
      <c r="J2536" s="3" t="s">
        <v>13577</v>
      </c>
      <c r="K2536" s="3" t="s">
        <v>13578</v>
      </c>
      <c r="L2536" s="3"/>
      <c r="M2536" s="4"/>
      <c r="N2536" s="3"/>
      <c r="O2536" s="3"/>
      <c r="P2536" s="5">
        <v>0</v>
      </c>
      <c r="Q2536" s="5">
        <v>0</v>
      </c>
      <c r="R2536" s="5"/>
      <c r="S2536" s="5"/>
    </row>
    <row r="2537" spans="1:19" ht="28" x14ac:dyDescent="0.15">
      <c r="A2537" s="2">
        <f>HYPERLINK("https://open-school.uspishnemisto.com.ua/school/140002/", 140002)</f>
        <v>140002</v>
      </c>
      <c r="B2537" s="3" t="s">
        <v>13579</v>
      </c>
      <c r="C2537" s="3" t="s">
        <v>31</v>
      </c>
      <c r="D2537" s="3" t="s">
        <v>32</v>
      </c>
      <c r="E2537" s="4" t="s">
        <v>22</v>
      </c>
      <c r="F2537" s="4" t="s">
        <v>13580</v>
      </c>
      <c r="G2537" s="4" t="s">
        <v>13574</v>
      </c>
      <c r="H2537" s="3" t="s">
        <v>13575</v>
      </c>
      <c r="I2537" s="3" t="s">
        <v>13576</v>
      </c>
      <c r="J2537" s="3" t="s">
        <v>13581</v>
      </c>
      <c r="K2537" s="3" t="s">
        <v>13582</v>
      </c>
      <c r="L2537" s="3"/>
      <c r="M2537" s="4"/>
      <c r="N2537" s="3" t="s">
        <v>128</v>
      </c>
      <c r="O2537" s="3" t="s">
        <v>38</v>
      </c>
      <c r="P2537" s="5">
        <v>14</v>
      </c>
      <c r="Q2537" s="5">
        <v>294</v>
      </c>
      <c r="R2537" s="5">
        <v>15</v>
      </c>
      <c r="S2537" s="5">
        <v>295</v>
      </c>
    </row>
    <row r="2538" spans="1:19" ht="28" x14ac:dyDescent="0.15">
      <c r="A2538" s="2">
        <f>HYPERLINK("https://open-school.uspishnemisto.com.ua/school/140003/", 140003)</f>
        <v>140003</v>
      </c>
      <c r="B2538" s="3" t="s">
        <v>13583</v>
      </c>
      <c r="C2538" s="3" t="s">
        <v>31</v>
      </c>
      <c r="D2538" s="3" t="s">
        <v>175</v>
      </c>
      <c r="E2538" s="4" t="s">
        <v>22</v>
      </c>
      <c r="F2538" s="4" t="s">
        <v>13584</v>
      </c>
      <c r="G2538" s="4" t="s">
        <v>13574</v>
      </c>
      <c r="H2538" s="3" t="s">
        <v>13575</v>
      </c>
      <c r="I2538" s="3" t="s">
        <v>13576</v>
      </c>
      <c r="J2538" s="3" t="s">
        <v>13585</v>
      </c>
      <c r="K2538" s="3" t="s">
        <v>13586</v>
      </c>
      <c r="L2538" s="3" t="s">
        <v>13587</v>
      </c>
      <c r="M2538" s="4"/>
      <c r="N2538" s="3" t="s">
        <v>37</v>
      </c>
      <c r="O2538" s="3" t="s">
        <v>38</v>
      </c>
      <c r="P2538" s="5">
        <v>11</v>
      </c>
      <c r="Q2538" s="5">
        <v>177</v>
      </c>
      <c r="R2538" s="5">
        <v>11</v>
      </c>
      <c r="S2538" s="5">
        <v>163</v>
      </c>
    </row>
    <row r="2539" spans="1:19" ht="28" x14ac:dyDescent="0.15">
      <c r="A2539" s="2">
        <f>HYPERLINK("https://open-school.uspishnemisto.com.ua/school/140004/", 140004)</f>
        <v>140004</v>
      </c>
      <c r="B2539" s="3" t="s">
        <v>13588</v>
      </c>
      <c r="C2539" s="3" t="s">
        <v>31</v>
      </c>
      <c r="D2539" s="3" t="s">
        <v>175</v>
      </c>
      <c r="E2539" s="4" t="s">
        <v>22</v>
      </c>
      <c r="F2539" s="4" t="s">
        <v>13589</v>
      </c>
      <c r="G2539" s="4" t="s">
        <v>13574</v>
      </c>
      <c r="H2539" s="3" t="s">
        <v>13575</v>
      </c>
      <c r="I2539" s="3" t="s">
        <v>13576</v>
      </c>
      <c r="J2539" s="3" t="s">
        <v>13590</v>
      </c>
      <c r="K2539" s="3" t="s">
        <v>13591</v>
      </c>
      <c r="L2539" s="3" t="s">
        <v>13592</v>
      </c>
      <c r="M2539" s="4"/>
      <c r="N2539" s="3" t="s">
        <v>37</v>
      </c>
      <c r="O2539" s="3" t="s">
        <v>38</v>
      </c>
      <c r="P2539" s="5">
        <v>9</v>
      </c>
      <c r="Q2539" s="5">
        <v>114</v>
      </c>
      <c r="R2539" s="5">
        <v>9</v>
      </c>
      <c r="S2539" s="5">
        <v>115</v>
      </c>
    </row>
    <row r="2540" spans="1:19" ht="28" x14ac:dyDescent="0.15">
      <c r="A2540" s="2">
        <f>HYPERLINK("https://open-school.uspishnemisto.com.ua/school/140005/", 140005)</f>
        <v>140005</v>
      </c>
      <c r="B2540" s="3" t="s">
        <v>13593</v>
      </c>
      <c r="C2540" s="3" t="s">
        <v>31</v>
      </c>
      <c r="D2540" s="3" t="s">
        <v>32</v>
      </c>
      <c r="E2540" s="4" t="s">
        <v>22</v>
      </c>
      <c r="F2540" s="4" t="s">
        <v>13573</v>
      </c>
      <c r="G2540" s="4" t="s">
        <v>13574</v>
      </c>
      <c r="H2540" s="3" t="s">
        <v>13575</v>
      </c>
      <c r="I2540" s="3" t="s">
        <v>13576</v>
      </c>
      <c r="J2540" s="3" t="s">
        <v>13594</v>
      </c>
      <c r="K2540" s="3" t="s">
        <v>13595</v>
      </c>
      <c r="L2540" s="3" t="s">
        <v>13596</v>
      </c>
      <c r="M2540" s="4"/>
      <c r="N2540" s="3" t="s">
        <v>128</v>
      </c>
      <c r="O2540" s="3" t="s">
        <v>38</v>
      </c>
      <c r="P2540" s="5">
        <v>16</v>
      </c>
      <c r="Q2540" s="5">
        <v>320</v>
      </c>
      <c r="R2540" s="5">
        <v>16</v>
      </c>
      <c r="S2540" s="5">
        <v>332</v>
      </c>
    </row>
    <row r="2541" spans="1:19" ht="28" x14ac:dyDescent="0.15">
      <c r="A2541" s="2">
        <f>HYPERLINK("https://open-school.uspishnemisto.com.ua/school/140006/", 140006)</f>
        <v>140006</v>
      </c>
      <c r="B2541" s="3" t="s">
        <v>13597</v>
      </c>
      <c r="C2541" s="3" t="s">
        <v>31</v>
      </c>
      <c r="D2541" s="3" t="s">
        <v>32</v>
      </c>
      <c r="E2541" s="4" t="s">
        <v>22</v>
      </c>
      <c r="F2541" s="4" t="s">
        <v>13580</v>
      </c>
      <c r="G2541" s="4" t="s">
        <v>13574</v>
      </c>
      <c r="H2541" s="3" t="s">
        <v>13575</v>
      </c>
      <c r="I2541" s="3" t="s">
        <v>13576</v>
      </c>
      <c r="J2541" s="3" t="s">
        <v>13598</v>
      </c>
      <c r="K2541" s="3" t="s">
        <v>13599</v>
      </c>
      <c r="L2541" s="3"/>
      <c r="M2541" s="4"/>
      <c r="N2541" s="3" t="s">
        <v>128</v>
      </c>
      <c r="O2541" s="3" t="s">
        <v>38</v>
      </c>
      <c r="P2541" s="5">
        <v>21</v>
      </c>
      <c r="Q2541" s="5">
        <v>483</v>
      </c>
      <c r="R2541" s="5">
        <v>20</v>
      </c>
      <c r="S2541" s="5">
        <v>445</v>
      </c>
    </row>
    <row r="2542" spans="1:19" ht="28" x14ac:dyDescent="0.15">
      <c r="A2542" s="2">
        <f>HYPERLINK("https://open-school.uspishnemisto.com.ua/school/140007/", 140007)</f>
        <v>140007</v>
      </c>
      <c r="B2542" s="3" t="s">
        <v>13600</v>
      </c>
      <c r="C2542" s="3" t="s">
        <v>20</v>
      </c>
      <c r="D2542" s="3" t="s">
        <v>21</v>
      </c>
      <c r="E2542" s="4" t="s">
        <v>22</v>
      </c>
      <c r="F2542" s="4" t="s">
        <v>13601</v>
      </c>
      <c r="G2542" s="4" t="s">
        <v>13602</v>
      </c>
      <c r="H2542" s="3" t="s">
        <v>13575</v>
      </c>
      <c r="I2542" s="3" t="s">
        <v>13603</v>
      </c>
      <c r="J2542" s="3" t="s">
        <v>13604</v>
      </c>
      <c r="K2542" s="3" t="s">
        <v>13605</v>
      </c>
      <c r="L2542" s="3"/>
      <c r="M2542" s="4"/>
      <c r="N2542" s="3"/>
      <c r="O2542" s="3"/>
      <c r="P2542" s="5">
        <v>0</v>
      </c>
      <c r="Q2542" s="5">
        <v>0</v>
      </c>
      <c r="R2542" s="5"/>
      <c r="S2542" s="5"/>
    </row>
    <row r="2543" spans="1:19" ht="28" x14ac:dyDescent="0.15">
      <c r="A2543" s="2">
        <f>HYPERLINK("https://open-school.uspishnemisto.com.ua/school/140008/", 140008)</f>
        <v>140008</v>
      </c>
      <c r="B2543" s="3" t="s">
        <v>13606</v>
      </c>
      <c r="C2543" s="3" t="s">
        <v>293</v>
      </c>
      <c r="D2543" s="3" t="s">
        <v>175</v>
      </c>
      <c r="E2543" s="4" t="s">
        <v>22</v>
      </c>
      <c r="F2543" s="4" t="s">
        <v>13601</v>
      </c>
      <c r="G2543" s="4" t="s">
        <v>13602</v>
      </c>
      <c r="H2543" s="3" t="s">
        <v>13575</v>
      </c>
      <c r="I2543" s="3" t="s">
        <v>13603</v>
      </c>
      <c r="J2543" s="3" t="s">
        <v>13607</v>
      </c>
      <c r="K2543" s="3" t="s">
        <v>13608</v>
      </c>
      <c r="L2543" s="3" t="s">
        <v>13609</v>
      </c>
      <c r="M2543" s="4"/>
      <c r="N2543" s="3" t="s">
        <v>37</v>
      </c>
      <c r="O2543" s="3" t="s">
        <v>38</v>
      </c>
      <c r="P2543" s="5">
        <v>8</v>
      </c>
      <c r="Q2543" s="5">
        <v>77</v>
      </c>
      <c r="R2543" s="5">
        <v>9</v>
      </c>
      <c r="S2543" s="5">
        <v>123</v>
      </c>
    </row>
    <row r="2544" spans="1:19" ht="28" x14ac:dyDescent="0.15">
      <c r="A2544" s="2">
        <f>HYPERLINK("https://open-school.uspishnemisto.com.ua/school/140009/", 140009)</f>
        <v>140009</v>
      </c>
      <c r="B2544" s="3" t="s">
        <v>13610</v>
      </c>
      <c r="C2544" s="3" t="s">
        <v>31</v>
      </c>
      <c r="D2544" s="3" t="s">
        <v>175</v>
      </c>
      <c r="E2544" s="4" t="s">
        <v>22</v>
      </c>
      <c r="F2544" s="4" t="s">
        <v>13601</v>
      </c>
      <c r="G2544" s="4" t="s">
        <v>13602</v>
      </c>
      <c r="H2544" s="3" t="s">
        <v>13575</v>
      </c>
      <c r="I2544" s="3" t="s">
        <v>13603</v>
      </c>
      <c r="J2544" s="3" t="s">
        <v>13611</v>
      </c>
      <c r="K2544" s="3" t="s">
        <v>13612</v>
      </c>
      <c r="L2544" s="3"/>
      <c r="M2544" s="4"/>
      <c r="N2544" s="3" t="s">
        <v>128</v>
      </c>
      <c r="O2544" s="3" t="s">
        <v>38</v>
      </c>
      <c r="P2544" s="5">
        <v>13</v>
      </c>
      <c r="Q2544" s="5">
        <v>296</v>
      </c>
      <c r="R2544" s="5">
        <v>12</v>
      </c>
      <c r="S2544" s="5">
        <v>291</v>
      </c>
    </row>
    <row r="2545" spans="1:19" ht="28" x14ac:dyDescent="0.15">
      <c r="A2545" s="2">
        <f>HYPERLINK("https://open-school.uspishnemisto.com.ua/school/140010/", 140010)</f>
        <v>140010</v>
      </c>
      <c r="B2545" s="3" t="s">
        <v>13613</v>
      </c>
      <c r="C2545" s="3" t="s">
        <v>31</v>
      </c>
      <c r="D2545" s="3" t="s">
        <v>175</v>
      </c>
      <c r="E2545" s="4" t="s">
        <v>22</v>
      </c>
      <c r="F2545" s="4" t="s">
        <v>13601</v>
      </c>
      <c r="G2545" s="4" t="s">
        <v>13602</v>
      </c>
      <c r="H2545" s="3" t="s">
        <v>13575</v>
      </c>
      <c r="I2545" s="3" t="s">
        <v>13603</v>
      </c>
      <c r="J2545" s="3" t="s">
        <v>13614</v>
      </c>
      <c r="K2545" s="3" t="s">
        <v>13615</v>
      </c>
      <c r="L2545" s="3"/>
      <c r="M2545" s="4"/>
      <c r="N2545" s="3" t="s">
        <v>37</v>
      </c>
      <c r="O2545" s="3" t="s">
        <v>38</v>
      </c>
      <c r="P2545" s="5">
        <v>9</v>
      </c>
      <c r="Q2545" s="5">
        <v>187</v>
      </c>
      <c r="R2545" s="5">
        <v>9</v>
      </c>
      <c r="S2545" s="5">
        <v>161</v>
      </c>
    </row>
    <row r="2546" spans="1:19" ht="28" x14ac:dyDescent="0.15">
      <c r="A2546" s="2">
        <f>HYPERLINK("https://open-school.uspishnemisto.com.ua/school/140011/", 140011)</f>
        <v>140011</v>
      </c>
      <c r="B2546" s="3" t="s">
        <v>13616</v>
      </c>
      <c r="C2546" s="3" t="s">
        <v>31</v>
      </c>
      <c r="D2546" s="3" t="s">
        <v>175</v>
      </c>
      <c r="E2546" s="4" t="s">
        <v>22</v>
      </c>
      <c r="F2546" s="4" t="s">
        <v>13601</v>
      </c>
      <c r="G2546" s="4" t="s">
        <v>13602</v>
      </c>
      <c r="H2546" s="3" t="s">
        <v>13575</v>
      </c>
      <c r="I2546" s="3" t="s">
        <v>13603</v>
      </c>
      <c r="J2546" s="3" t="s">
        <v>13617</v>
      </c>
      <c r="K2546" s="3" t="s">
        <v>13618</v>
      </c>
      <c r="L2546" s="3" t="s">
        <v>13619</v>
      </c>
      <c r="M2546" s="4"/>
      <c r="N2546" s="3" t="s">
        <v>37</v>
      </c>
      <c r="O2546" s="3" t="s">
        <v>38</v>
      </c>
      <c r="P2546" s="5">
        <v>9</v>
      </c>
      <c r="Q2546" s="5">
        <v>147</v>
      </c>
      <c r="R2546" s="5">
        <v>9</v>
      </c>
      <c r="S2546" s="5">
        <v>134</v>
      </c>
    </row>
    <row r="2547" spans="1:19" ht="28" x14ac:dyDescent="0.15">
      <c r="A2547" s="2">
        <f>HYPERLINK("https://open-school.uspishnemisto.com.ua/school/140012/", 140012)</f>
        <v>140012</v>
      </c>
      <c r="B2547" s="3" t="s">
        <v>13620</v>
      </c>
      <c r="C2547" s="3" t="s">
        <v>31</v>
      </c>
      <c r="D2547" s="3" t="s">
        <v>175</v>
      </c>
      <c r="E2547" s="4" t="s">
        <v>22</v>
      </c>
      <c r="F2547" s="4" t="s">
        <v>13601</v>
      </c>
      <c r="G2547" s="4" t="s">
        <v>13602</v>
      </c>
      <c r="H2547" s="3" t="s">
        <v>13575</v>
      </c>
      <c r="I2547" s="3" t="s">
        <v>13603</v>
      </c>
      <c r="J2547" s="3" t="s">
        <v>13621</v>
      </c>
      <c r="K2547" s="3" t="s">
        <v>13622</v>
      </c>
      <c r="L2547" s="3"/>
      <c r="M2547" s="4"/>
      <c r="N2547" s="3" t="s">
        <v>967</v>
      </c>
      <c r="O2547" s="3" t="s">
        <v>46</v>
      </c>
      <c r="P2547" s="5">
        <v>9</v>
      </c>
      <c r="Q2547" s="5">
        <v>111</v>
      </c>
      <c r="R2547" s="5">
        <v>9</v>
      </c>
      <c r="S2547" s="5">
        <v>115</v>
      </c>
    </row>
    <row r="2548" spans="1:19" ht="42" x14ac:dyDescent="0.15">
      <c r="A2548" s="2">
        <f>HYPERLINK("https://open-school.uspishnemisto.com.ua/school/140013/", 140013)</f>
        <v>140013</v>
      </c>
      <c r="B2548" s="3" t="s">
        <v>13623</v>
      </c>
      <c r="C2548" s="3" t="s">
        <v>31</v>
      </c>
      <c r="D2548" s="3" t="s">
        <v>32</v>
      </c>
      <c r="E2548" s="4" t="s">
        <v>22</v>
      </c>
      <c r="F2548" s="4" t="s">
        <v>13624</v>
      </c>
      <c r="G2548" s="4" t="s">
        <v>13602</v>
      </c>
      <c r="H2548" s="3" t="s">
        <v>13575</v>
      </c>
      <c r="I2548" s="3" t="s">
        <v>13603</v>
      </c>
      <c r="J2548" s="3" t="s">
        <v>13625</v>
      </c>
      <c r="K2548" s="3" t="s">
        <v>13626</v>
      </c>
      <c r="L2548" s="3" t="s">
        <v>13627</v>
      </c>
      <c r="M2548" s="4"/>
      <c r="N2548" s="3" t="s">
        <v>128</v>
      </c>
      <c r="O2548" s="3" t="s">
        <v>70</v>
      </c>
      <c r="P2548" s="5">
        <v>21</v>
      </c>
      <c r="Q2548" s="5">
        <v>594</v>
      </c>
      <c r="R2548" s="5">
        <v>21</v>
      </c>
      <c r="S2548" s="5">
        <v>557</v>
      </c>
    </row>
    <row r="2549" spans="1:19" ht="28" x14ac:dyDescent="0.15">
      <c r="A2549" s="2">
        <f>HYPERLINK("https://open-school.uspishnemisto.com.ua/school/140014/", 140014)</f>
        <v>140014</v>
      </c>
      <c r="B2549" s="3" t="s">
        <v>13628</v>
      </c>
      <c r="C2549" s="3" t="s">
        <v>31</v>
      </c>
      <c r="D2549" s="3" t="s">
        <v>32</v>
      </c>
      <c r="E2549" s="4" t="s">
        <v>22</v>
      </c>
      <c r="F2549" s="4" t="s">
        <v>13629</v>
      </c>
      <c r="G2549" s="4" t="s">
        <v>13602</v>
      </c>
      <c r="H2549" s="3" t="s">
        <v>13575</v>
      </c>
      <c r="I2549" s="3" t="s">
        <v>13603</v>
      </c>
      <c r="J2549" s="3" t="s">
        <v>13630</v>
      </c>
      <c r="K2549" s="3" t="s">
        <v>13631</v>
      </c>
      <c r="L2549" s="3"/>
      <c r="M2549" s="4"/>
      <c r="N2549" s="3" t="s">
        <v>37</v>
      </c>
      <c r="O2549" s="3" t="s">
        <v>38</v>
      </c>
      <c r="P2549" s="5">
        <v>21</v>
      </c>
      <c r="Q2549" s="5">
        <v>616</v>
      </c>
      <c r="R2549" s="5">
        <v>21</v>
      </c>
      <c r="S2549" s="5">
        <v>606</v>
      </c>
    </row>
    <row r="2550" spans="1:19" ht="28" x14ac:dyDescent="0.15">
      <c r="A2550" s="2">
        <f>HYPERLINK("https://open-school.uspishnemisto.com.ua/school/140015/", 140015)</f>
        <v>140015</v>
      </c>
      <c r="B2550" s="3" t="s">
        <v>13632</v>
      </c>
      <c r="C2550" s="3" t="s">
        <v>31</v>
      </c>
      <c r="D2550" s="3" t="s">
        <v>32</v>
      </c>
      <c r="E2550" s="4" t="s">
        <v>22</v>
      </c>
      <c r="F2550" s="4" t="s">
        <v>13633</v>
      </c>
      <c r="G2550" s="4" t="s">
        <v>13602</v>
      </c>
      <c r="H2550" s="3" t="s">
        <v>13575</v>
      </c>
      <c r="I2550" s="3" t="s">
        <v>13603</v>
      </c>
      <c r="J2550" s="3" t="s">
        <v>13634</v>
      </c>
      <c r="K2550" s="3" t="s">
        <v>13635</v>
      </c>
      <c r="L2550" s="3" t="s">
        <v>13636</v>
      </c>
      <c r="M2550" s="4"/>
      <c r="N2550" s="3" t="s">
        <v>128</v>
      </c>
      <c r="O2550" s="3" t="s">
        <v>197</v>
      </c>
      <c r="P2550" s="5">
        <v>36</v>
      </c>
      <c r="Q2550" s="5">
        <v>1075</v>
      </c>
      <c r="R2550" s="5">
        <v>35</v>
      </c>
      <c r="S2550" s="5">
        <v>1029</v>
      </c>
    </row>
    <row r="2551" spans="1:19" ht="42" x14ac:dyDescent="0.15">
      <c r="A2551" s="2">
        <f>HYPERLINK("https://open-school.uspishnemisto.com.ua/school/140016/", 140016)</f>
        <v>140016</v>
      </c>
      <c r="B2551" s="3" t="s">
        <v>13637</v>
      </c>
      <c r="C2551" s="3" t="s">
        <v>31</v>
      </c>
      <c r="D2551" s="3" t="s">
        <v>32</v>
      </c>
      <c r="E2551" s="4" t="s">
        <v>22</v>
      </c>
      <c r="F2551" s="4" t="s">
        <v>13638</v>
      </c>
      <c r="G2551" s="4" t="s">
        <v>13602</v>
      </c>
      <c r="H2551" s="3" t="s">
        <v>13575</v>
      </c>
      <c r="I2551" s="3" t="s">
        <v>13603</v>
      </c>
      <c r="J2551" s="3" t="s">
        <v>13639</v>
      </c>
      <c r="K2551" s="3" t="s">
        <v>13640</v>
      </c>
      <c r="L2551" s="3"/>
      <c r="M2551" s="4"/>
      <c r="N2551" s="3" t="s">
        <v>128</v>
      </c>
      <c r="O2551" s="3" t="s">
        <v>38</v>
      </c>
      <c r="P2551" s="5">
        <v>36</v>
      </c>
      <c r="Q2551" s="5">
        <v>960</v>
      </c>
      <c r="R2551" s="5">
        <v>36</v>
      </c>
      <c r="S2551" s="5">
        <v>955</v>
      </c>
    </row>
    <row r="2552" spans="1:19" ht="42" x14ac:dyDescent="0.15">
      <c r="A2552" s="2">
        <f>HYPERLINK("https://open-school.uspishnemisto.com.ua/school/140017/", 140017)</f>
        <v>140017</v>
      </c>
      <c r="B2552" s="3" t="s">
        <v>13641</v>
      </c>
      <c r="C2552" s="3" t="s">
        <v>31</v>
      </c>
      <c r="D2552" s="3" t="s">
        <v>32</v>
      </c>
      <c r="E2552" s="4" t="s">
        <v>22</v>
      </c>
      <c r="F2552" s="4" t="s">
        <v>13601</v>
      </c>
      <c r="G2552" s="4" t="s">
        <v>13602</v>
      </c>
      <c r="H2552" s="3" t="s">
        <v>13575</v>
      </c>
      <c r="I2552" s="3" t="s">
        <v>13603</v>
      </c>
      <c r="J2552" s="3" t="s">
        <v>13642</v>
      </c>
      <c r="K2552" s="3" t="s">
        <v>13643</v>
      </c>
      <c r="L2552" s="3"/>
      <c r="M2552" s="4"/>
      <c r="N2552" s="3" t="s">
        <v>128</v>
      </c>
      <c r="O2552" s="3" t="s">
        <v>70</v>
      </c>
      <c r="P2552" s="5">
        <v>31</v>
      </c>
      <c r="Q2552" s="5">
        <v>919</v>
      </c>
      <c r="R2552" s="5">
        <v>31</v>
      </c>
      <c r="S2552" s="5">
        <v>900</v>
      </c>
    </row>
    <row r="2553" spans="1:19" ht="28" x14ac:dyDescent="0.15">
      <c r="A2553" s="2">
        <f>HYPERLINK("https://open-school.uspishnemisto.com.ua/school/140018/", 140018)</f>
        <v>140018</v>
      </c>
      <c r="B2553" s="3" t="s">
        <v>13644</v>
      </c>
      <c r="C2553" s="3" t="s">
        <v>31</v>
      </c>
      <c r="D2553" s="3" t="s">
        <v>175</v>
      </c>
      <c r="E2553" s="4" t="s">
        <v>22</v>
      </c>
      <c r="F2553" s="4" t="s">
        <v>13645</v>
      </c>
      <c r="G2553" s="4" t="s">
        <v>13602</v>
      </c>
      <c r="H2553" s="3" t="s">
        <v>13575</v>
      </c>
      <c r="I2553" s="3" t="s">
        <v>13603</v>
      </c>
      <c r="J2553" s="3" t="s">
        <v>13646</v>
      </c>
      <c r="K2553" s="3" t="s">
        <v>13647</v>
      </c>
      <c r="L2553" s="3" t="s">
        <v>13648</v>
      </c>
      <c r="M2553" s="4"/>
      <c r="N2553" s="3" t="s">
        <v>128</v>
      </c>
      <c r="O2553" s="3" t="s">
        <v>721</v>
      </c>
      <c r="P2553" s="5">
        <v>10</v>
      </c>
      <c r="Q2553" s="5">
        <v>257</v>
      </c>
      <c r="R2553" s="5">
        <v>10</v>
      </c>
      <c r="S2553" s="5">
        <v>250</v>
      </c>
    </row>
    <row r="2554" spans="1:19" ht="56" x14ac:dyDescent="0.15">
      <c r="A2554" s="2">
        <f>HYPERLINK("https://open-school.uspishnemisto.com.ua/school/140019/", 140019)</f>
        <v>140019</v>
      </c>
      <c r="B2554" s="3" t="s">
        <v>13649</v>
      </c>
      <c r="C2554" s="3" t="s">
        <v>54</v>
      </c>
      <c r="D2554" s="3" t="s">
        <v>32</v>
      </c>
      <c r="E2554" s="4" t="s">
        <v>22</v>
      </c>
      <c r="F2554" s="4" t="s">
        <v>13645</v>
      </c>
      <c r="G2554" s="4" t="s">
        <v>13602</v>
      </c>
      <c r="H2554" s="3" t="s">
        <v>13575</v>
      </c>
      <c r="I2554" s="3" t="s">
        <v>13603</v>
      </c>
      <c r="J2554" s="3" t="s">
        <v>13650</v>
      </c>
      <c r="K2554" s="3" t="s">
        <v>13651</v>
      </c>
      <c r="L2554" s="3" t="s">
        <v>13652</v>
      </c>
      <c r="M2554" s="4"/>
      <c r="N2554" s="3" t="s">
        <v>128</v>
      </c>
      <c r="O2554" s="3" t="s">
        <v>197</v>
      </c>
      <c r="P2554" s="5">
        <v>37</v>
      </c>
      <c r="Q2554" s="5">
        <v>1101</v>
      </c>
      <c r="R2554" s="5">
        <v>35</v>
      </c>
      <c r="S2554" s="5">
        <v>1056</v>
      </c>
    </row>
    <row r="2555" spans="1:19" ht="28" x14ac:dyDescent="0.15">
      <c r="A2555" s="2">
        <f>HYPERLINK("https://open-school.uspishnemisto.com.ua/school/140020/", 140020)</f>
        <v>140020</v>
      </c>
      <c r="B2555" s="3" t="s">
        <v>13653</v>
      </c>
      <c r="C2555" s="3" t="s">
        <v>40</v>
      </c>
      <c r="D2555" s="3" t="s">
        <v>32</v>
      </c>
      <c r="E2555" s="4" t="s">
        <v>41</v>
      </c>
      <c r="F2555" s="4" t="s">
        <v>13601</v>
      </c>
      <c r="G2555" s="4" t="s">
        <v>13602</v>
      </c>
      <c r="H2555" s="3" t="s">
        <v>13575</v>
      </c>
      <c r="I2555" s="3" t="s">
        <v>13603</v>
      </c>
      <c r="J2555" s="3" t="s">
        <v>13654</v>
      </c>
      <c r="K2555" s="3" t="s">
        <v>13655</v>
      </c>
      <c r="L2555" s="3"/>
      <c r="M2555" s="4"/>
      <c r="N2555" s="3" t="s">
        <v>37</v>
      </c>
      <c r="O2555" s="3" t="s">
        <v>123</v>
      </c>
      <c r="P2555" s="5">
        <v>7</v>
      </c>
      <c r="Q2555" s="5">
        <v>110</v>
      </c>
      <c r="R2555" s="5">
        <v>7</v>
      </c>
      <c r="S2555" s="5">
        <v>91</v>
      </c>
    </row>
    <row r="2556" spans="1:19" ht="28" x14ac:dyDescent="0.15">
      <c r="A2556" s="2">
        <f>HYPERLINK("https://open-school.uspishnemisto.com.ua/school/140021/", 140021)</f>
        <v>140021</v>
      </c>
      <c r="B2556" s="3" t="s">
        <v>13656</v>
      </c>
      <c r="C2556" s="3" t="s">
        <v>293</v>
      </c>
      <c r="D2556" s="3" t="s">
        <v>21</v>
      </c>
      <c r="E2556" s="4" t="s">
        <v>22</v>
      </c>
      <c r="F2556" s="4" t="s">
        <v>13601</v>
      </c>
      <c r="G2556" s="4" t="s">
        <v>13602</v>
      </c>
      <c r="H2556" s="3" t="s">
        <v>13575</v>
      </c>
      <c r="I2556" s="3" t="s">
        <v>13603</v>
      </c>
      <c r="J2556" s="3" t="s">
        <v>13657</v>
      </c>
      <c r="K2556" s="3" t="s">
        <v>13658</v>
      </c>
      <c r="L2556" s="3" t="s">
        <v>13659</v>
      </c>
      <c r="M2556" s="4" t="s">
        <v>13660</v>
      </c>
      <c r="N2556" s="3" t="s">
        <v>37</v>
      </c>
      <c r="O2556" s="3" t="s">
        <v>38</v>
      </c>
      <c r="P2556" s="5">
        <v>8</v>
      </c>
      <c r="Q2556" s="5">
        <v>164</v>
      </c>
      <c r="R2556" s="5">
        <v>9</v>
      </c>
      <c r="S2556" s="5">
        <v>170</v>
      </c>
    </row>
    <row r="2557" spans="1:19" ht="28" x14ac:dyDescent="0.15">
      <c r="A2557" s="2">
        <f>HYPERLINK("https://open-school.uspishnemisto.com.ua/school/140022/", 140022)</f>
        <v>140022</v>
      </c>
      <c r="B2557" s="3" t="s">
        <v>13661</v>
      </c>
      <c r="C2557" s="3" t="s">
        <v>20</v>
      </c>
      <c r="D2557" s="3" t="s">
        <v>21</v>
      </c>
      <c r="E2557" s="4" t="s">
        <v>22</v>
      </c>
      <c r="F2557" s="4" t="s">
        <v>13662</v>
      </c>
      <c r="G2557" s="4" t="s">
        <v>13663</v>
      </c>
      <c r="H2557" s="3" t="s">
        <v>13575</v>
      </c>
      <c r="I2557" s="3" t="s">
        <v>13664</v>
      </c>
      <c r="J2557" s="3" t="s">
        <v>13665</v>
      </c>
      <c r="K2557" s="3" t="s">
        <v>13666</v>
      </c>
      <c r="L2557" s="3"/>
      <c r="M2557" s="4"/>
      <c r="N2557" s="3"/>
      <c r="O2557" s="3"/>
      <c r="P2557" s="5">
        <v>0</v>
      </c>
      <c r="Q2557" s="5">
        <v>0</v>
      </c>
      <c r="R2557" s="5"/>
      <c r="S2557" s="5"/>
    </row>
    <row r="2558" spans="1:19" ht="28" x14ac:dyDescent="0.15">
      <c r="A2558" s="2">
        <f>HYPERLINK("https://open-school.uspishnemisto.com.ua/school/140023/", 140023)</f>
        <v>140023</v>
      </c>
      <c r="B2558" s="3" t="s">
        <v>13667</v>
      </c>
      <c r="C2558" s="3" t="s">
        <v>293</v>
      </c>
      <c r="D2558" s="3" t="s">
        <v>32</v>
      </c>
      <c r="E2558" s="4" t="s">
        <v>22</v>
      </c>
      <c r="F2558" s="4" t="s">
        <v>13668</v>
      </c>
      <c r="G2558" s="4" t="s">
        <v>13663</v>
      </c>
      <c r="H2558" s="3" t="s">
        <v>13575</v>
      </c>
      <c r="I2558" s="3" t="s">
        <v>13664</v>
      </c>
      <c r="J2558" s="3" t="s">
        <v>13669</v>
      </c>
      <c r="K2558" s="3" t="s">
        <v>13670</v>
      </c>
      <c r="L2558" s="3"/>
      <c r="M2558" s="4"/>
      <c r="N2558" s="3" t="s">
        <v>128</v>
      </c>
      <c r="O2558" s="3" t="s">
        <v>38</v>
      </c>
      <c r="P2558" s="5">
        <v>17</v>
      </c>
      <c r="Q2558" s="5">
        <v>383</v>
      </c>
      <c r="R2558" s="5">
        <v>17</v>
      </c>
      <c r="S2558" s="5">
        <v>365</v>
      </c>
    </row>
    <row r="2559" spans="1:19" ht="28" x14ac:dyDescent="0.15">
      <c r="A2559" s="2">
        <f>HYPERLINK("https://open-school.uspishnemisto.com.ua/school/140024/", 140024)</f>
        <v>140024</v>
      </c>
      <c r="B2559" s="3" t="s">
        <v>13671</v>
      </c>
      <c r="C2559" s="3" t="s">
        <v>31</v>
      </c>
      <c r="D2559" s="3" t="s">
        <v>175</v>
      </c>
      <c r="E2559" s="4" t="s">
        <v>22</v>
      </c>
      <c r="F2559" s="4" t="s">
        <v>13662</v>
      </c>
      <c r="G2559" s="4" t="s">
        <v>13663</v>
      </c>
      <c r="H2559" s="3" t="s">
        <v>13575</v>
      </c>
      <c r="I2559" s="3" t="s">
        <v>13664</v>
      </c>
      <c r="J2559" s="3" t="s">
        <v>13672</v>
      </c>
      <c r="K2559" s="3" t="s">
        <v>13673</v>
      </c>
      <c r="L2559" s="3"/>
      <c r="M2559" s="4"/>
      <c r="N2559" s="3" t="s">
        <v>37</v>
      </c>
      <c r="O2559" s="3" t="s">
        <v>38</v>
      </c>
      <c r="P2559" s="5">
        <v>9</v>
      </c>
      <c r="Q2559" s="5">
        <v>157</v>
      </c>
      <c r="R2559" s="5">
        <v>9</v>
      </c>
      <c r="S2559" s="5">
        <v>156</v>
      </c>
    </row>
    <row r="2560" spans="1:19" ht="28" x14ac:dyDescent="0.15">
      <c r="A2560" s="2">
        <f>HYPERLINK("https://open-school.uspishnemisto.com.ua/school/140025/", 140025)</f>
        <v>140025</v>
      </c>
      <c r="B2560" s="3" t="s">
        <v>13674</v>
      </c>
      <c r="C2560" s="3" t="s">
        <v>31</v>
      </c>
      <c r="D2560" s="3" t="s">
        <v>32</v>
      </c>
      <c r="E2560" s="4" t="s">
        <v>22</v>
      </c>
      <c r="F2560" s="4" t="s">
        <v>13668</v>
      </c>
      <c r="G2560" s="4" t="s">
        <v>13663</v>
      </c>
      <c r="H2560" s="3" t="s">
        <v>13575</v>
      </c>
      <c r="I2560" s="3" t="s">
        <v>13664</v>
      </c>
      <c r="J2560" s="3" t="s">
        <v>13675</v>
      </c>
      <c r="K2560" s="3" t="s">
        <v>13676</v>
      </c>
      <c r="L2560" s="3" t="s">
        <v>13677</v>
      </c>
      <c r="M2560" s="4"/>
      <c r="N2560" s="3" t="s">
        <v>37</v>
      </c>
      <c r="O2560" s="3" t="s">
        <v>38</v>
      </c>
      <c r="P2560" s="5">
        <v>11</v>
      </c>
      <c r="Q2560" s="5">
        <v>183</v>
      </c>
      <c r="R2560" s="5">
        <v>11</v>
      </c>
      <c r="S2560" s="5">
        <v>175</v>
      </c>
    </row>
    <row r="2561" spans="1:19" ht="28" x14ac:dyDescent="0.15">
      <c r="A2561" s="2">
        <f>HYPERLINK("https://open-school.uspishnemisto.com.ua/school/140026/", 140026)</f>
        <v>140026</v>
      </c>
      <c r="B2561" s="3" t="s">
        <v>13678</v>
      </c>
      <c r="C2561" s="3" t="s">
        <v>31</v>
      </c>
      <c r="D2561" s="3" t="s">
        <v>32</v>
      </c>
      <c r="E2561" s="4" t="s">
        <v>22</v>
      </c>
      <c r="F2561" s="4" t="s">
        <v>13679</v>
      </c>
      <c r="G2561" s="4" t="s">
        <v>13663</v>
      </c>
      <c r="H2561" s="3" t="s">
        <v>13575</v>
      </c>
      <c r="I2561" s="3" t="s">
        <v>13664</v>
      </c>
      <c r="J2561" s="3" t="s">
        <v>4046</v>
      </c>
      <c r="K2561" s="3" t="s">
        <v>13680</v>
      </c>
      <c r="L2561" s="3"/>
      <c r="M2561" s="4"/>
      <c r="N2561" s="3" t="s">
        <v>37</v>
      </c>
      <c r="O2561" s="3" t="s">
        <v>38</v>
      </c>
      <c r="P2561" s="5">
        <v>11</v>
      </c>
      <c r="Q2561" s="5">
        <v>147</v>
      </c>
      <c r="R2561" s="5">
        <v>11</v>
      </c>
      <c r="S2561" s="5">
        <v>155</v>
      </c>
    </row>
    <row r="2562" spans="1:19" ht="28" x14ac:dyDescent="0.15">
      <c r="A2562" s="2">
        <f>HYPERLINK("https://open-school.uspishnemisto.com.ua/school/140027/", 140027)</f>
        <v>140027</v>
      </c>
      <c r="B2562" s="3" t="s">
        <v>13681</v>
      </c>
      <c r="C2562" s="3" t="s">
        <v>31</v>
      </c>
      <c r="D2562" s="3" t="s">
        <v>32</v>
      </c>
      <c r="E2562" s="4" t="s">
        <v>22</v>
      </c>
      <c r="F2562" s="4" t="s">
        <v>13682</v>
      </c>
      <c r="G2562" s="4" t="s">
        <v>13663</v>
      </c>
      <c r="H2562" s="3" t="s">
        <v>13575</v>
      </c>
      <c r="I2562" s="3" t="s">
        <v>13664</v>
      </c>
      <c r="J2562" s="3" t="s">
        <v>7956</v>
      </c>
      <c r="K2562" s="3" t="s">
        <v>13683</v>
      </c>
      <c r="L2562" s="3" t="s">
        <v>13684</v>
      </c>
      <c r="M2562" s="4"/>
      <c r="N2562" s="3" t="s">
        <v>128</v>
      </c>
      <c r="O2562" s="3" t="s">
        <v>721</v>
      </c>
      <c r="P2562" s="5">
        <v>29</v>
      </c>
      <c r="Q2562" s="5">
        <v>613</v>
      </c>
      <c r="R2562" s="5">
        <v>28</v>
      </c>
      <c r="S2562" s="5">
        <v>590</v>
      </c>
    </row>
    <row r="2563" spans="1:19" ht="42" x14ac:dyDescent="0.15">
      <c r="A2563" s="2">
        <f>HYPERLINK("https://open-school.uspishnemisto.com.ua/school/140029/", 140029)</f>
        <v>140029</v>
      </c>
      <c r="B2563" s="3" t="s">
        <v>13685</v>
      </c>
      <c r="C2563" s="3" t="s">
        <v>54</v>
      </c>
      <c r="D2563" s="3" t="s">
        <v>32</v>
      </c>
      <c r="E2563" s="4" t="s">
        <v>22</v>
      </c>
      <c r="F2563" s="4" t="s">
        <v>13662</v>
      </c>
      <c r="G2563" s="4" t="s">
        <v>13663</v>
      </c>
      <c r="H2563" s="3" t="s">
        <v>13575</v>
      </c>
      <c r="I2563" s="3" t="s">
        <v>13664</v>
      </c>
      <c r="J2563" s="3" t="s">
        <v>13686</v>
      </c>
      <c r="K2563" s="3" t="s">
        <v>13687</v>
      </c>
      <c r="L2563" s="3" t="s">
        <v>13688</v>
      </c>
      <c r="M2563" s="4"/>
      <c r="N2563" s="3" t="s">
        <v>37</v>
      </c>
      <c r="O2563" s="3" t="s">
        <v>38</v>
      </c>
      <c r="P2563" s="5">
        <v>23</v>
      </c>
      <c r="Q2563" s="5">
        <v>513</v>
      </c>
      <c r="R2563" s="5">
        <v>22</v>
      </c>
      <c r="S2563" s="5">
        <v>484</v>
      </c>
    </row>
    <row r="2564" spans="1:19" ht="42" x14ac:dyDescent="0.15">
      <c r="A2564" s="2">
        <f>HYPERLINK("https://open-school.uspishnemisto.com.ua/school/140030/", 140030)</f>
        <v>140030</v>
      </c>
      <c r="B2564" s="3" t="s">
        <v>13689</v>
      </c>
      <c r="C2564" s="3" t="s">
        <v>54</v>
      </c>
      <c r="D2564" s="3" t="s">
        <v>32</v>
      </c>
      <c r="E2564" s="4" t="s">
        <v>22</v>
      </c>
      <c r="F2564" s="4" t="s">
        <v>13662</v>
      </c>
      <c r="G2564" s="4" t="s">
        <v>13663</v>
      </c>
      <c r="H2564" s="3" t="s">
        <v>13575</v>
      </c>
      <c r="I2564" s="3" t="s">
        <v>13664</v>
      </c>
      <c r="J2564" s="3" t="s">
        <v>13690</v>
      </c>
      <c r="K2564" s="3" t="s">
        <v>13691</v>
      </c>
      <c r="L2564" s="3"/>
      <c r="M2564" s="4"/>
      <c r="N2564" s="3" t="s">
        <v>37</v>
      </c>
      <c r="O2564" s="3" t="s">
        <v>721</v>
      </c>
      <c r="P2564" s="5">
        <v>13</v>
      </c>
      <c r="Q2564" s="5">
        <v>302</v>
      </c>
      <c r="R2564" s="5">
        <v>14</v>
      </c>
      <c r="S2564" s="5">
        <v>304</v>
      </c>
    </row>
    <row r="2565" spans="1:19" ht="28" x14ac:dyDescent="0.15">
      <c r="A2565" s="2">
        <f>HYPERLINK("https://open-school.uspishnemisto.com.ua/school/140031/", 140031)</f>
        <v>140031</v>
      </c>
      <c r="B2565" s="3" t="s">
        <v>13692</v>
      </c>
      <c r="C2565" s="3" t="s">
        <v>244</v>
      </c>
      <c r="D2565" s="3" t="s">
        <v>32</v>
      </c>
      <c r="E2565" s="4" t="s">
        <v>22</v>
      </c>
      <c r="F2565" s="4" t="s">
        <v>13662</v>
      </c>
      <c r="G2565" s="4" t="s">
        <v>13663</v>
      </c>
      <c r="H2565" s="3" t="s">
        <v>13575</v>
      </c>
      <c r="I2565" s="3" t="s">
        <v>13664</v>
      </c>
      <c r="J2565" s="3" t="s">
        <v>13693</v>
      </c>
      <c r="K2565" s="3" t="s">
        <v>13694</v>
      </c>
      <c r="L2565" s="3" t="s">
        <v>13695</v>
      </c>
      <c r="M2565" s="4"/>
      <c r="N2565" s="3" t="s">
        <v>128</v>
      </c>
      <c r="O2565" s="3" t="s">
        <v>70</v>
      </c>
      <c r="P2565" s="5">
        <v>23</v>
      </c>
      <c r="Q2565" s="5">
        <v>522</v>
      </c>
      <c r="R2565" s="5">
        <v>23</v>
      </c>
      <c r="S2565" s="5">
        <v>482</v>
      </c>
    </row>
    <row r="2566" spans="1:19" ht="28" x14ac:dyDescent="0.15">
      <c r="A2566" s="2">
        <f>HYPERLINK("https://open-school.uspishnemisto.com.ua/school/140028/", 140028)</f>
        <v>140028</v>
      </c>
      <c r="B2566" s="3" t="s">
        <v>13696</v>
      </c>
      <c r="C2566" s="3" t="s">
        <v>31</v>
      </c>
      <c r="D2566" s="3" t="s">
        <v>32</v>
      </c>
      <c r="E2566" s="4" t="s">
        <v>22</v>
      </c>
      <c r="F2566" s="4" t="s">
        <v>13697</v>
      </c>
      <c r="G2566" s="4" t="s">
        <v>13698</v>
      </c>
      <c r="H2566" s="3" t="s">
        <v>13575</v>
      </c>
      <c r="I2566" s="3" t="s">
        <v>13699</v>
      </c>
      <c r="J2566" s="3" t="s">
        <v>5913</v>
      </c>
      <c r="K2566" s="3" t="s">
        <v>13700</v>
      </c>
      <c r="L2566" s="3" t="s">
        <v>13701</v>
      </c>
      <c r="M2566" s="4"/>
      <c r="N2566" s="3" t="s">
        <v>128</v>
      </c>
      <c r="O2566" s="3" t="s">
        <v>721</v>
      </c>
      <c r="P2566" s="5">
        <v>20</v>
      </c>
      <c r="Q2566" s="5">
        <v>382</v>
      </c>
      <c r="R2566" s="5">
        <v>20</v>
      </c>
      <c r="S2566" s="5">
        <v>358</v>
      </c>
    </row>
    <row r="2567" spans="1:19" ht="28" x14ac:dyDescent="0.15">
      <c r="A2567" s="2">
        <f>HYPERLINK("https://open-school.uspishnemisto.com.ua/school/140032/", 140032)</f>
        <v>140032</v>
      </c>
      <c r="B2567" s="3" t="s">
        <v>13702</v>
      </c>
      <c r="C2567" s="3" t="s">
        <v>31</v>
      </c>
      <c r="D2567" s="3" t="s">
        <v>32</v>
      </c>
      <c r="E2567" s="4" t="s">
        <v>22</v>
      </c>
      <c r="F2567" s="4" t="s">
        <v>13703</v>
      </c>
      <c r="G2567" s="4" t="s">
        <v>13698</v>
      </c>
      <c r="H2567" s="3" t="s">
        <v>13575</v>
      </c>
      <c r="I2567" s="3" t="s">
        <v>13699</v>
      </c>
      <c r="J2567" s="3" t="s">
        <v>13444</v>
      </c>
      <c r="K2567" s="3"/>
      <c r="L2567" s="3"/>
      <c r="M2567" s="4"/>
      <c r="N2567" s="3" t="s">
        <v>37</v>
      </c>
      <c r="O2567" s="3" t="s">
        <v>70</v>
      </c>
      <c r="P2567" s="5">
        <v>11</v>
      </c>
      <c r="Q2567" s="5">
        <v>159</v>
      </c>
      <c r="R2567" s="5">
        <v>10</v>
      </c>
      <c r="S2567" s="5">
        <v>133</v>
      </c>
    </row>
    <row r="2568" spans="1:19" ht="28" x14ac:dyDescent="0.15">
      <c r="A2568" s="2">
        <f>HYPERLINK("https://open-school.uspishnemisto.com.ua/school/140033/", 140033)</f>
        <v>140033</v>
      </c>
      <c r="B2568" s="3" t="s">
        <v>13704</v>
      </c>
      <c r="C2568" s="3" t="s">
        <v>31</v>
      </c>
      <c r="D2568" s="3" t="s">
        <v>175</v>
      </c>
      <c r="E2568" s="4" t="s">
        <v>22</v>
      </c>
      <c r="F2568" s="4" t="s">
        <v>13705</v>
      </c>
      <c r="G2568" s="4" t="s">
        <v>13706</v>
      </c>
      <c r="H2568" s="3" t="s">
        <v>13575</v>
      </c>
      <c r="I2568" s="3" t="s">
        <v>13707</v>
      </c>
      <c r="J2568" s="3" t="s">
        <v>13708</v>
      </c>
      <c r="K2568" s="3" t="s">
        <v>13709</v>
      </c>
      <c r="L2568" s="3"/>
      <c r="M2568" s="4"/>
      <c r="N2568" s="3" t="s">
        <v>37</v>
      </c>
      <c r="O2568" s="3" t="s">
        <v>38</v>
      </c>
      <c r="P2568" s="5">
        <v>8</v>
      </c>
      <c r="Q2568" s="5">
        <v>62</v>
      </c>
      <c r="R2568" s="5">
        <v>8</v>
      </c>
      <c r="S2568" s="5">
        <v>65</v>
      </c>
    </row>
    <row r="2569" spans="1:19" ht="28" x14ac:dyDescent="0.15">
      <c r="A2569" s="2">
        <f>HYPERLINK("https://open-school.uspishnemisto.com.ua/school/140034/", 140034)</f>
        <v>140034</v>
      </c>
      <c r="B2569" s="3" t="s">
        <v>13710</v>
      </c>
      <c r="C2569" s="3" t="s">
        <v>31</v>
      </c>
      <c r="D2569" s="3" t="s">
        <v>32</v>
      </c>
      <c r="E2569" s="4" t="s">
        <v>22</v>
      </c>
      <c r="F2569" s="4" t="s">
        <v>13711</v>
      </c>
      <c r="G2569" s="4" t="s">
        <v>13712</v>
      </c>
      <c r="H2569" s="3" t="s">
        <v>13575</v>
      </c>
      <c r="I2569" s="3" t="s">
        <v>13713</v>
      </c>
      <c r="J2569" s="3" t="s">
        <v>13714</v>
      </c>
      <c r="K2569" s="3" t="s">
        <v>13715</v>
      </c>
      <c r="L2569" s="3"/>
      <c r="M2569" s="4"/>
      <c r="N2569" s="3" t="s">
        <v>37</v>
      </c>
      <c r="O2569" s="3" t="s">
        <v>38</v>
      </c>
      <c r="P2569" s="5">
        <v>17</v>
      </c>
      <c r="Q2569" s="5">
        <v>360</v>
      </c>
      <c r="R2569" s="5">
        <v>17</v>
      </c>
      <c r="S2569" s="5">
        <v>369</v>
      </c>
    </row>
    <row r="2570" spans="1:19" ht="28" x14ac:dyDescent="0.15">
      <c r="A2570" s="2">
        <f>HYPERLINK("https://open-school.uspishnemisto.com.ua/school/140035/", 140035)</f>
        <v>140035</v>
      </c>
      <c r="B2570" s="3" t="s">
        <v>13716</v>
      </c>
      <c r="C2570" s="3" t="s">
        <v>31</v>
      </c>
      <c r="D2570" s="3" t="s">
        <v>32</v>
      </c>
      <c r="E2570" s="4" t="s">
        <v>22</v>
      </c>
      <c r="F2570" s="4" t="s">
        <v>13717</v>
      </c>
      <c r="G2570" s="4" t="s">
        <v>13712</v>
      </c>
      <c r="H2570" s="3" t="s">
        <v>13575</v>
      </c>
      <c r="I2570" s="3" t="s">
        <v>13713</v>
      </c>
      <c r="J2570" s="3" t="s">
        <v>13718</v>
      </c>
      <c r="K2570" s="3" t="s">
        <v>13719</v>
      </c>
      <c r="L2570" s="3"/>
      <c r="M2570" s="4"/>
      <c r="N2570" s="3" t="s">
        <v>37</v>
      </c>
      <c r="O2570" s="3" t="s">
        <v>38</v>
      </c>
      <c r="P2570" s="5">
        <v>16</v>
      </c>
      <c r="Q2570" s="5">
        <v>349</v>
      </c>
      <c r="R2570" s="5">
        <v>15</v>
      </c>
      <c r="S2570" s="5">
        <v>335</v>
      </c>
    </row>
    <row r="2571" spans="1:19" ht="42" x14ac:dyDescent="0.15">
      <c r="A2571" s="2">
        <f>HYPERLINK("https://open-school.uspishnemisto.com.ua/school/140036/", 140036)</f>
        <v>140036</v>
      </c>
      <c r="B2571" s="3" t="s">
        <v>13720</v>
      </c>
      <c r="C2571" s="3" t="s">
        <v>54</v>
      </c>
      <c r="D2571" s="3" t="s">
        <v>175</v>
      </c>
      <c r="E2571" s="4" t="s">
        <v>22</v>
      </c>
      <c r="F2571" s="4" t="s">
        <v>13721</v>
      </c>
      <c r="G2571" s="4" t="s">
        <v>13712</v>
      </c>
      <c r="H2571" s="3" t="s">
        <v>13575</v>
      </c>
      <c r="I2571" s="3" t="s">
        <v>13713</v>
      </c>
      <c r="J2571" s="3" t="s">
        <v>13722</v>
      </c>
      <c r="K2571" s="3" t="s">
        <v>13723</v>
      </c>
      <c r="L2571" s="3" t="s">
        <v>13724</v>
      </c>
      <c r="M2571" s="4"/>
      <c r="N2571" s="3" t="s">
        <v>37</v>
      </c>
      <c r="O2571" s="3" t="s">
        <v>38</v>
      </c>
      <c r="P2571" s="5">
        <v>9</v>
      </c>
      <c r="Q2571" s="5">
        <v>82</v>
      </c>
      <c r="R2571" s="5">
        <v>9</v>
      </c>
      <c r="S2571" s="5">
        <v>80</v>
      </c>
    </row>
    <row r="2572" spans="1:19" ht="28" x14ac:dyDescent="0.15">
      <c r="A2572" s="2">
        <f>HYPERLINK("https://open-school.uspishnemisto.com.ua/school/140037/", 140037)</f>
        <v>140037</v>
      </c>
      <c r="B2572" s="3" t="s">
        <v>13725</v>
      </c>
      <c r="C2572" s="3" t="s">
        <v>181</v>
      </c>
      <c r="D2572" s="3" t="s">
        <v>175</v>
      </c>
      <c r="E2572" s="4" t="s">
        <v>22</v>
      </c>
      <c r="F2572" s="4" t="s">
        <v>13726</v>
      </c>
      <c r="G2572" s="4" t="s">
        <v>13712</v>
      </c>
      <c r="H2572" s="3" t="s">
        <v>13575</v>
      </c>
      <c r="I2572" s="3" t="s">
        <v>13713</v>
      </c>
      <c r="J2572" s="3" t="s">
        <v>13727</v>
      </c>
      <c r="K2572" s="3" t="s">
        <v>13728</v>
      </c>
      <c r="L2572" s="3" t="s">
        <v>13729</v>
      </c>
      <c r="M2572" s="4" t="s">
        <v>13730</v>
      </c>
      <c r="N2572" s="3" t="s">
        <v>37</v>
      </c>
      <c r="O2572" s="3"/>
      <c r="P2572" s="5">
        <v>10</v>
      </c>
      <c r="Q2572" s="5">
        <v>105</v>
      </c>
      <c r="R2572" s="5">
        <v>10</v>
      </c>
      <c r="S2572" s="5">
        <v>105</v>
      </c>
    </row>
    <row r="2573" spans="1:19" ht="28" x14ac:dyDescent="0.15">
      <c r="A2573" s="2">
        <f>HYPERLINK("https://open-school.uspishnemisto.com.ua/school/140038/", 140038)</f>
        <v>140038</v>
      </c>
      <c r="B2573" s="3" t="s">
        <v>13731</v>
      </c>
      <c r="C2573" s="3" t="s">
        <v>31</v>
      </c>
      <c r="D2573" s="3" t="s">
        <v>175</v>
      </c>
      <c r="E2573" s="4" t="s">
        <v>22</v>
      </c>
      <c r="F2573" s="4" t="s">
        <v>13662</v>
      </c>
      <c r="G2573" s="4" t="s">
        <v>13732</v>
      </c>
      <c r="H2573" s="3" t="s">
        <v>13575</v>
      </c>
      <c r="I2573" s="3" t="s">
        <v>13733</v>
      </c>
      <c r="J2573" s="3" t="s">
        <v>2820</v>
      </c>
      <c r="K2573" s="3" t="s">
        <v>13734</v>
      </c>
      <c r="L2573" s="3"/>
      <c r="M2573" s="4"/>
      <c r="N2573" s="3" t="s">
        <v>37</v>
      </c>
      <c r="O2573" s="3" t="s">
        <v>38</v>
      </c>
      <c r="P2573" s="5">
        <v>9</v>
      </c>
      <c r="Q2573" s="5">
        <v>130</v>
      </c>
      <c r="R2573" s="5">
        <v>9</v>
      </c>
      <c r="S2573" s="5">
        <v>128</v>
      </c>
    </row>
    <row r="2574" spans="1:19" ht="28" x14ac:dyDescent="0.15">
      <c r="A2574" s="2">
        <f>HYPERLINK("https://open-school.uspishnemisto.com.ua/school/140039/", 140039)</f>
        <v>140039</v>
      </c>
      <c r="B2574" s="3" t="s">
        <v>13735</v>
      </c>
      <c r="C2574" s="3" t="s">
        <v>31</v>
      </c>
      <c r="D2574" s="3" t="s">
        <v>32</v>
      </c>
      <c r="E2574" s="4" t="s">
        <v>22</v>
      </c>
      <c r="F2574" s="4" t="s">
        <v>13736</v>
      </c>
      <c r="G2574" s="4" t="s">
        <v>13737</v>
      </c>
      <c r="H2574" s="3" t="s">
        <v>13575</v>
      </c>
      <c r="I2574" s="3" t="s">
        <v>13738</v>
      </c>
      <c r="J2574" s="3" t="s">
        <v>13739</v>
      </c>
      <c r="K2574" s="3" t="s">
        <v>13740</v>
      </c>
      <c r="L2574" s="3"/>
      <c r="M2574" s="4"/>
      <c r="N2574" s="3" t="s">
        <v>128</v>
      </c>
      <c r="O2574" s="3" t="s">
        <v>70</v>
      </c>
      <c r="P2574" s="5">
        <v>10</v>
      </c>
      <c r="Q2574" s="5">
        <v>152</v>
      </c>
      <c r="R2574" s="5">
        <v>10</v>
      </c>
      <c r="S2574" s="5">
        <v>142</v>
      </c>
    </row>
    <row r="2575" spans="1:19" ht="28" x14ac:dyDescent="0.15">
      <c r="A2575" s="2">
        <f>HYPERLINK("https://open-school.uspishnemisto.com.ua/school/140040/", 140040)</f>
        <v>140040</v>
      </c>
      <c r="B2575" s="3" t="s">
        <v>13741</v>
      </c>
      <c r="C2575" s="3" t="s">
        <v>31</v>
      </c>
      <c r="D2575" s="3" t="s">
        <v>32</v>
      </c>
      <c r="E2575" s="4" t="s">
        <v>22</v>
      </c>
      <c r="F2575" s="4" t="s">
        <v>13742</v>
      </c>
      <c r="G2575" s="4" t="s">
        <v>13743</v>
      </c>
      <c r="H2575" s="3" t="s">
        <v>13575</v>
      </c>
      <c r="I2575" s="3" t="s">
        <v>13744</v>
      </c>
      <c r="J2575" s="3" t="s">
        <v>13745</v>
      </c>
      <c r="K2575" s="3" t="s">
        <v>13746</v>
      </c>
      <c r="L2575" s="3" t="s">
        <v>13747</v>
      </c>
      <c r="M2575" s="4"/>
      <c r="N2575" s="3" t="s">
        <v>37</v>
      </c>
      <c r="O2575" s="3" t="s">
        <v>38</v>
      </c>
      <c r="P2575" s="5">
        <v>12</v>
      </c>
      <c r="Q2575" s="5">
        <v>302</v>
      </c>
      <c r="R2575" s="5">
        <v>12</v>
      </c>
      <c r="S2575" s="5">
        <v>286</v>
      </c>
    </row>
    <row r="2576" spans="1:19" ht="28" x14ac:dyDescent="0.15">
      <c r="A2576" s="2">
        <f>HYPERLINK("https://open-school.uspishnemisto.com.ua/school/140041/", 140041)</f>
        <v>140041</v>
      </c>
      <c r="B2576" s="3" t="s">
        <v>13748</v>
      </c>
      <c r="C2576" s="3" t="s">
        <v>31</v>
      </c>
      <c r="D2576" s="3" t="s">
        <v>32</v>
      </c>
      <c r="E2576" s="4" t="s">
        <v>22</v>
      </c>
      <c r="F2576" s="4" t="s">
        <v>13749</v>
      </c>
      <c r="G2576" s="4" t="s">
        <v>13743</v>
      </c>
      <c r="H2576" s="3" t="s">
        <v>13575</v>
      </c>
      <c r="I2576" s="3" t="s">
        <v>13744</v>
      </c>
      <c r="J2576" s="3" t="s">
        <v>13750</v>
      </c>
      <c r="K2576" s="3" t="s">
        <v>13751</v>
      </c>
      <c r="L2576" s="3" t="s">
        <v>13752</v>
      </c>
      <c r="M2576" s="4"/>
      <c r="N2576" s="3" t="s">
        <v>37</v>
      </c>
      <c r="O2576" s="3" t="s">
        <v>38</v>
      </c>
      <c r="P2576" s="5">
        <v>10</v>
      </c>
      <c r="Q2576" s="5">
        <v>247</v>
      </c>
      <c r="R2576" s="5">
        <v>11</v>
      </c>
      <c r="S2576" s="5">
        <v>265</v>
      </c>
    </row>
    <row r="2577" spans="1:19" ht="28" x14ac:dyDescent="0.15">
      <c r="A2577" s="2">
        <f>HYPERLINK("https://open-school.uspishnemisto.com.ua/school/140042/", 140042)</f>
        <v>140042</v>
      </c>
      <c r="B2577" s="3" t="s">
        <v>13753</v>
      </c>
      <c r="C2577" s="3" t="s">
        <v>31</v>
      </c>
      <c r="D2577" s="3" t="s">
        <v>32</v>
      </c>
      <c r="E2577" s="4" t="s">
        <v>22</v>
      </c>
      <c r="F2577" s="4" t="s">
        <v>13749</v>
      </c>
      <c r="G2577" s="4" t="s">
        <v>13743</v>
      </c>
      <c r="H2577" s="3" t="s">
        <v>13575</v>
      </c>
      <c r="I2577" s="3" t="s">
        <v>13744</v>
      </c>
      <c r="J2577" s="3" t="s">
        <v>13754</v>
      </c>
      <c r="K2577" s="3" t="s">
        <v>13755</v>
      </c>
      <c r="L2577" s="3" t="s">
        <v>13756</v>
      </c>
      <c r="M2577" s="4"/>
      <c r="N2577" s="3" t="s">
        <v>967</v>
      </c>
      <c r="O2577" s="3" t="s">
        <v>46</v>
      </c>
      <c r="P2577" s="5">
        <v>25</v>
      </c>
      <c r="Q2577" s="5">
        <v>719</v>
      </c>
      <c r="R2577" s="5">
        <v>25</v>
      </c>
      <c r="S2577" s="5">
        <v>701</v>
      </c>
    </row>
    <row r="2578" spans="1:19" ht="28" x14ac:dyDescent="0.15">
      <c r="A2578" s="2">
        <f>HYPERLINK("https://open-school.uspishnemisto.com.ua/school/140043/", 140043)</f>
        <v>140043</v>
      </c>
      <c r="B2578" s="3" t="s">
        <v>13757</v>
      </c>
      <c r="C2578" s="3" t="s">
        <v>31</v>
      </c>
      <c r="D2578" s="3" t="s">
        <v>175</v>
      </c>
      <c r="E2578" s="4" t="s">
        <v>22</v>
      </c>
      <c r="F2578" s="4" t="s">
        <v>13758</v>
      </c>
      <c r="G2578" s="4" t="s">
        <v>13743</v>
      </c>
      <c r="H2578" s="3" t="s">
        <v>13575</v>
      </c>
      <c r="I2578" s="3" t="s">
        <v>13744</v>
      </c>
      <c r="J2578" s="3" t="s">
        <v>13759</v>
      </c>
      <c r="K2578" s="3" t="s">
        <v>13760</v>
      </c>
      <c r="L2578" s="3"/>
      <c r="M2578" s="4"/>
      <c r="N2578" s="3" t="s">
        <v>37</v>
      </c>
      <c r="O2578" s="3" t="s">
        <v>38</v>
      </c>
      <c r="P2578" s="5">
        <v>17</v>
      </c>
      <c r="Q2578" s="5">
        <v>463</v>
      </c>
      <c r="R2578" s="5">
        <v>17</v>
      </c>
      <c r="S2578" s="5">
        <v>458</v>
      </c>
    </row>
    <row r="2579" spans="1:19" ht="28" x14ac:dyDescent="0.15">
      <c r="A2579" s="2">
        <f>HYPERLINK("https://open-school.uspishnemisto.com.ua/school/140044/", 140044)</f>
        <v>140044</v>
      </c>
      <c r="B2579" s="3" t="s">
        <v>13761</v>
      </c>
      <c r="C2579" s="3" t="s">
        <v>31</v>
      </c>
      <c r="D2579" s="3" t="s">
        <v>32</v>
      </c>
      <c r="E2579" s="4" t="s">
        <v>22</v>
      </c>
      <c r="F2579" s="4" t="s">
        <v>13749</v>
      </c>
      <c r="G2579" s="4" t="s">
        <v>13743</v>
      </c>
      <c r="H2579" s="3" t="s">
        <v>13575</v>
      </c>
      <c r="I2579" s="3" t="s">
        <v>13744</v>
      </c>
      <c r="J2579" s="3" t="s">
        <v>13762</v>
      </c>
      <c r="K2579" s="3" t="s">
        <v>13763</v>
      </c>
      <c r="L2579" s="3" t="s">
        <v>13764</v>
      </c>
      <c r="M2579" s="4" t="s">
        <v>13765</v>
      </c>
      <c r="N2579" s="3" t="s">
        <v>37</v>
      </c>
      <c r="O2579" s="3" t="s">
        <v>38</v>
      </c>
      <c r="P2579" s="5">
        <v>29</v>
      </c>
      <c r="Q2579" s="5">
        <v>743</v>
      </c>
      <c r="R2579" s="5">
        <v>28</v>
      </c>
      <c r="S2579" s="5">
        <v>721</v>
      </c>
    </row>
    <row r="2580" spans="1:19" ht="28" x14ac:dyDescent="0.15">
      <c r="A2580" s="2">
        <f>HYPERLINK("https://open-school.uspishnemisto.com.ua/school/140045/", 140045)</f>
        <v>140045</v>
      </c>
      <c r="B2580" s="3" t="s">
        <v>13766</v>
      </c>
      <c r="C2580" s="3" t="s">
        <v>31</v>
      </c>
      <c r="D2580" s="3" t="s">
        <v>32</v>
      </c>
      <c r="E2580" s="4" t="s">
        <v>22</v>
      </c>
      <c r="F2580" s="4" t="s">
        <v>13767</v>
      </c>
      <c r="G2580" s="4" t="s">
        <v>13743</v>
      </c>
      <c r="H2580" s="3" t="s">
        <v>13575</v>
      </c>
      <c r="I2580" s="3" t="s">
        <v>13744</v>
      </c>
      <c r="J2580" s="3" t="s">
        <v>13768</v>
      </c>
      <c r="K2580" s="3" t="s">
        <v>13769</v>
      </c>
      <c r="L2580" s="3" t="s">
        <v>13770</v>
      </c>
      <c r="M2580" s="4"/>
      <c r="N2580" s="3" t="s">
        <v>37</v>
      </c>
      <c r="O2580" s="3" t="s">
        <v>38</v>
      </c>
      <c r="P2580" s="5">
        <v>19</v>
      </c>
      <c r="Q2580" s="5">
        <v>439</v>
      </c>
      <c r="R2580" s="5">
        <v>17</v>
      </c>
      <c r="S2580" s="5">
        <v>394</v>
      </c>
    </row>
    <row r="2581" spans="1:19" ht="28" x14ac:dyDescent="0.15">
      <c r="A2581" s="2">
        <f>HYPERLINK("https://open-school.uspishnemisto.com.ua/school/140046/", 140046)</f>
        <v>140046</v>
      </c>
      <c r="B2581" s="3" t="s">
        <v>13771</v>
      </c>
      <c r="C2581" s="3" t="s">
        <v>31</v>
      </c>
      <c r="D2581" s="3" t="s">
        <v>32</v>
      </c>
      <c r="E2581" s="4" t="s">
        <v>22</v>
      </c>
      <c r="F2581" s="4" t="s">
        <v>13772</v>
      </c>
      <c r="G2581" s="4" t="s">
        <v>13743</v>
      </c>
      <c r="H2581" s="3" t="s">
        <v>13575</v>
      </c>
      <c r="I2581" s="3" t="s">
        <v>13744</v>
      </c>
      <c r="J2581" s="3" t="s">
        <v>13773</v>
      </c>
      <c r="K2581" s="3" t="s">
        <v>13774</v>
      </c>
      <c r="L2581" s="3" t="s">
        <v>13775</v>
      </c>
      <c r="M2581" s="4"/>
      <c r="N2581" s="3" t="s">
        <v>37</v>
      </c>
      <c r="O2581" s="3" t="s">
        <v>38</v>
      </c>
      <c r="P2581" s="5">
        <v>20</v>
      </c>
      <c r="Q2581" s="5">
        <v>460</v>
      </c>
      <c r="R2581" s="5">
        <v>20</v>
      </c>
      <c r="S2581" s="5">
        <v>451</v>
      </c>
    </row>
    <row r="2582" spans="1:19" ht="28" x14ac:dyDescent="0.15">
      <c r="A2582" s="2">
        <f>HYPERLINK("https://open-school.uspishnemisto.com.ua/school/140047/", 140047)</f>
        <v>140047</v>
      </c>
      <c r="B2582" s="3" t="s">
        <v>13776</v>
      </c>
      <c r="C2582" s="3" t="s">
        <v>31</v>
      </c>
      <c r="D2582" s="3" t="s">
        <v>32</v>
      </c>
      <c r="E2582" s="4" t="s">
        <v>22</v>
      </c>
      <c r="F2582" s="4" t="s">
        <v>13767</v>
      </c>
      <c r="G2582" s="4" t="s">
        <v>13743</v>
      </c>
      <c r="H2582" s="3" t="s">
        <v>13575</v>
      </c>
      <c r="I2582" s="3" t="s">
        <v>13744</v>
      </c>
      <c r="J2582" s="3" t="s">
        <v>13777</v>
      </c>
      <c r="K2582" s="3" t="s">
        <v>13778</v>
      </c>
      <c r="L2582" s="3" t="s">
        <v>13779</v>
      </c>
      <c r="M2582" s="4"/>
      <c r="N2582" s="3" t="s">
        <v>128</v>
      </c>
      <c r="O2582" s="3" t="s">
        <v>70</v>
      </c>
      <c r="P2582" s="5">
        <v>22</v>
      </c>
      <c r="Q2582" s="5">
        <v>535</v>
      </c>
      <c r="R2582" s="5">
        <v>22</v>
      </c>
      <c r="S2582" s="5">
        <v>521</v>
      </c>
    </row>
    <row r="2583" spans="1:19" ht="28" x14ac:dyDescent="0.15">
      <c r="A2583" s="2">
        <f>HYPERLINK("https://open-school.uspishnemisto.com.ua/school/140048/", 140048)</f>
        <v>140048</v>
      </c>
      <c r="B2583" s="3" t="s">
        <v>13780</v>
      </c>
      <c r="C2583" s="3" t="s">
        <v>293</v>
      </c>
      <c r="D2583" s="3" t="s">
        <v>175</v>
      </c>
      <c r="E2583" s="4" t="s">
        <v>22</v>
      </c>
      <c r="F2583" s="4" t="s">
        <v>13749</v>
      </c>
      <c r="G2583" s="4" t="s">
        <v>13743</v>
      </c>
      <c r="H2583" s="3" t="s">
        <v>13575</v>
      </c>
      <c r="I2583" s="3" t="s">
        <v>13744</v>
      </c>
      <c r="J2583" s="3" t="s">
        <v>13781</v>
      </c>
      <c r="K2583" s="3" t="s">
        <v>13782</v>
      </c>
      <c r="L2583" s="3"/>
      <c r="M2583" s="4" t="s">
        <v>13783</v>
      </c>
      <c r="N2583" s="3" t="s">
        <v>37</v>
      </c>
      <c r="O2583" s="3" t="s">
        <v>38</v>
      </c>
      <c r="P2583" s="5">
        <v>9</v>
      </c>
      <c r="Q2583" s="5">
        <v>154</v>
      </c>
      <c r="R2583" s="5">
        <v>10</v>
      </c>
      <c r="S2583" s="5">
        <v>164</v>
      </c>
    </row>
    <row r="2584" spans="1:19" ht="28" x14ac:dyDescent="0.15">
      <c r="A2584" s="2">
        <f>HYPERLINK("https://open-school.uspishnemisto.com.ua/school/140049/", 140049)</f>
        <v>140049</v>
      </c>
      <c r="B2584" s="3" t="s">
        <v>13784</v>
      </c>
      <c r="C2584" s="3" t="s">
        <v>188</v>
      </c>
      <c r="D2584" s="3" t="s">
        <v>32</v>
      </c>
      <c r="E2584" s="4" t="s">
        <v>22</v>
      </c>
      <c r="F2584" s="4" t="s">
        <v>13758</v>
      </c>
      <c r="G2584" s="4" t="s">
        <v>13743</v>
      </c>
      <c r="H2584" s="3" t="s">
        <v>13575</v>
      </c>
      <c r="I2584" s="3" t="s">
        <v>13744</v>
      </c>
      <c r="J2584" s="3" t="s">
        <v>13759</v>
      </c>
      <c r="K2584" s="3" t="s">
        <v>13785</v>
      </c>
      <c r="L2584" s="3" t="s">
        <v>13786</v>
      </c>
      <c r="M2584" s="4"/>
      <c r="N2584" s="3" t="s">
        <v>37</v>
      </c>
      <c r="O2584" s="3" t="s">
        <v>38</v>
      </c>
      <c r="P2584" s="5">
        <v>5</v>
      </c>
      <c r="Q2584" s="5">
        <v>112</v>
      </c>
      <c r="R2584" s="5">
        <v>5</v>
      </c>
      <c r="S2584" s="5">
        <v>109</v>
      </c>
    </row>
    <row r="2585" spans="1:19" ht="42" x14ac:dyDescent="0.15">
      <c r="A2585" s="2">
        <f>HYPERLINK("https://open-school.uspishnemisto.com.ua/school/140051/", 140051)</f>
        <v>140051</v>
      </c>
      <c r="B2585" s="3" t="s">
        <v>13787</v>
      </c>
      <c r="C2585" s="3" t="s">
        <v>40</v>
      </c>
      <c r="D2585" s="3" t="s">
        <v>32</v>
      </c>
      <c r="E2585" s="4" t="s">
        <v>22</v>
      </c>
      <c r="F2585" s="4" t="s">
        <v>13749</v>
      </c>
      <c r="G2585" s="4" t="s">
        <v>13743</v>
      </c>
      <c r="H2585" s="3" t="s">
        <v>13575</v>
      </c>
      <c r="I2585" s="3" t="s">
        <v>13744</v>
      </c>
      <c r="J2585" s="3" t="s">
        <v>13788</v>
      </c>
      <c r="K2585" s="3" t="s">
        <v>13789</v>
      </c>
      <c r="L2585" s="3" t="s">
        <v>13790</v>
      </c>
      <c r="M2585" s="4"/>
      <c r="N2585" s="3" t="s">
        <v>37</v>
      </c>
      <c r="O2585" s="3" t="s">
        <v>123</v>
      </c>
      <c r="P2585" s="5">
        <v>23</v>
      </c>
      <c r="Q2585" s="5">
        <v>598</v>
      </c>
      <c r="R2585" s="5">
        <v>21</v>
      </c>
      <c r="S2585" s="5">
        <v>546</v>
      </c>
    </row>
    <row r="2586" spans="1:19" ht="28" x14ac:dyDescent="0.15">
      <c r="A2586" s="2">
        <f>HYPERLINK("https://open-school.uspishnemisto.com.ua/school/140052/", 140052)</f>
        <v>140052</v>
      </c>
      <c r="B2586" s="3" t="s">
        <v>13791</v>
      </c>
      <c r="C2586" s="3" t="s">
        <v>20</v>
      </c>
      <c r="D2586" s="3" t="s">
        <v>21</v>
      </c>
      <c r="E2586" s="4" t="s">
        <v>22</v>
      </c>
      <c r="F2586" s="4" t="s">
        <v>13792</v>
      </c>
      <c r="G2586" s="4" t="s">
        <v>13793</v>
      </c>
      <c r="H2586" s="3" t="s">
        <v>13575</v>
      </c>
      <c r="I2586" s="3" t="s">
        <v>13794</v>
      </c>
      <c r="J2586" s="3" t="s">
        <v>13795</v>
      </c>
      <c r="K2586" s="3" t="s">
        <v>13796</v>
      </c>
      <c r="L2586" s="3"/>
      <c r="M2586" s="4"/>
      <c r="N2586" s="3"/>
      <c r="O2586" s="3"/>
      <c r="P2586" s="5">
        <v>0</v>
      </c>
      <c r="Q2586" s="5">
        <v>0</v>
      </c>
      <c r="R2586" s="5"/>
      <c r="S2586" s="5"/>
    </row>
    <row r="2587" spans="1:19" ht="28" x14ac:dyDescent="0.15">
      <c r="A2587" s="2">
        <f>HYPERLINK("https://open-school.uspishnemisto.com.ua/school/140053/", 140053)</f>
        <v>140053</v>
      </c>
      <c r="B2587" s="3" t="s">
        <v>13797</v>
      </c>
      <c r="C2587" s="3" t="s">
        <v>31</v>
      </c>
      <c r="D2587" s="3" t="s">
        <v>175</v>
      </c>
      <c r="E2587" s="4" t="s">
        <v>22</v>
      </c>
      <c r="F2587" s="4" t="s">
        <v>13792</v>
      </c>
      <c r="G2587" s="4" t="s">
        <v>13793</v>
      </c>
      <c r="H2587" s="3" t="s">
        <v>13575</v>
      </c>
      <c r="I2587" s="3" t="s">
        <v>13794</v>
      </c>
      <c r="J2587" s="3" t="s">
        <v>13795</v>
      </c>
      <c r="K2587" s="3" t="s">
        <v>13798</v>
      </c>
      <c r="L2587" s="3"/>
      <c r="M2587" s="4"/>
      <c r="N2587" s="3" t="s">
        <v>37</v>
      </c>
      <c r="O2587" s="3" t="s">
        <v>70</v>
      </c>
      <c r="P2587" s="5">
        <v>10</v>
      </c>
      <c r="Q2587" s="5">
        <v>243</v>
      </c>
      <c r="R2587" s="5">
        <v>10</v>
      </c>
      <c r="S2587" s="5">
        <v>234</v>
      </c>
    </row>
    <row r="2588" spans="1:19" ht="28" x14ac:dyDescent="0.15">
      <c r="A2588" s="2">
        <f>HYPERLINK("https://open-school.uspishnemisto.com.ua/school/140054/", 140054)</f>
        <v>140054</v>
      </c>
      <c r="B2588" s="3" t="s">
        <v>13799</v>
      </c>
      <c r="C2588" s="3" t="s">
        <v>31</v>
      </c>
      <c r="D2588" s="3" t="s">
        <v>32</v>
      </c>
      <c r="E2588" s="4" t="s">
        <v>22</v>
      </c>
      <c r="F2588" s="4" t="s">
        <v>13800</v>
      </c>
      <c r="G2588" s="4" t="s">
        <v>13793</v>
      </c>
      <c r="H2588" s="3" t="s">
        <v>13575</v>
      </c>
      <c r="I2588" s="3" t="s">
        <v>13794</v>
      </c>
      <c r="J2588" s="3" t="s">
        <v>13801</v>
      </c>
      <c r="K2588" s="3" t="s">
        <v>13802</v>
      </c>
      <c r="L2588" s="3"/>
      <c r="M2588" s="4"/>
      <c r="N2588" s="3" t="s">
        <v>37</v>
      </c>
      <c r="O2588" s="3" t="s">
        <v>38</v>
      </c>
      <c r="P2588" s="5">
        <v>20</v>
      </c>
      <c r="Q2588" s="5">
        <v>546</v>
      </c>
      <c r="R2588" s="5">
        <v>20</v>
      </c>
      <c r="S2588" s="5">
        <v>513</v>
      </c>
    </row>
    <row r="2589" spans="1:19" ht="28" x14ac:dyDescent="0.15">
      <c r="A2589" s="2">
        <f>HYPERLINK("https://open-school.uspishnemisto.com.ua/school/140055/", 140055)</f>
        <v>140055</v>
      </c>
      <c r="B2589" s="3" t="s">
        <v>13803</v>
      </c>
      <c r="C2589" s="3" t="s">
        <v>293</v>
      </c>
      <c r="D2589" s="3" t="s">
        <v>32</v>
      </c>
      <c r="E2589" s="4" t="s">
        <v>22</v>
      </c>
      <c r="F2589" s="4" t="s">
        <v>13804</v>
      </c>
      <c r="G2589" s="4" t="s">
        <v>13793</v>
      </c>
      <c r="H2589" s="3" t="s">
        <v>13575</v>
      </c>
      <c r="I2589" s="3" t="s">
        <v>13794</v>
      </c>
      <c r="J2589" s="3" t="s">
        <v>4740</v>
      </c>
      <c r="K2589" s="3" t="s">
        <v>13805</v>
      </c>
      <c r="L2589" s="3" t="s">
        <v>13806</v>
      </c>
      <c r="M2589" s="4" t="s">
        <v>13807</v>
      </c>
      <c r="N2589" s="3" t="s">
        <v>37</v>
      </c>
      <c r="O2589" s="3" t="s">
        <v>70</v>
      </c>
      <c r="P2589" s="5">
        <v>12</v>
      </c>
      <c r="Q2589" s="5">
        <v>301</v>
      </c>
      <c r="R2589" s="5">
        <v>13</v>
      </c>
      <c r="S2589" s="5">
        <v>314</v>
      </c>
    </row>
    <row r="2590" spans="1:19" ht="42" x14ac:dyDescent="0.15">
      <c r="A2590" s="2">
        <f>HYPERLINK("https://open-school.uspishnemisto.com.ua/school/140056/", 140056)</f>
        <v>140056</v>
      </c>
      <c r="B2590" s="3" t="s">
        <v>13808</v>
      </c>
      <c r="C2590" s="3" t="s">
        <v>54</v>
      </c>
      <c r="D2590" s="3" t="s">
        <v>32</v>
      </c>
      <c r="E2590" s="4" t="s">
        <v>22</v>
      </c>
      <c r="F2590" s="4" t="s">
        <v>13800</v>
      </c>
      <c r="G2590" s="4" t="s">
        <v>13793</v>
      </c>
      <c r="H2590" s="3" t="s">
        <v>13575</v>
      </c>
      <c r="I2590" s="3" t="s">
        <v>13794</v>
      </c>
      <c r="J2590" s="3" t="s">
        <v>13809</v>
      </c>
      <c r="K2590" s="3" t="s">
        <v>13810</v>
      </c>
      <c r="L2590" s="3"/>
      <c r="M2590" s="4"/>
      <c r="N2590" s="3" t="s">
        <v>37</v>
      </c>
      <c r="O2590" s="3" t="s">
        <v>38</v>
      </c>
      <c r="P2590" s="5">
        <v>16</v>
      </c>
      <c r="Q2590" s="5">
        <v>358</v>
      </c>
      <c r="R2590" s="5">
        <v>16</v>
      </c>
      <c r="S2590" s="5">
        <v>352</v>
      </c>
    </row>
    <row r="2591" spans="1:19" ht="56" x14ac:dyDescent="0.15">
      <c r="A2591" s="2">
        <f>HYPERLINK("https://open-school.uspishnemisto.com.ua/school/140057/", 140057)</f>
        <v>140057</v>
      </c>
      <c r="B2591" s="3" t="s">
        <v>13811</v>
      </c>
      <c r="C2591" s="3" t="s">
        <v>54</v>
      </c>
      <c r="D2591" s="3" t="s">
        <v>32</v>
      </c>
      <c r="E2591" s="4" t="s">
        <v>22</v>
      </c>
      <c r="F2591" s="4" t="s">
        <v>13812</v>
      </c>
      <c r="G2591" s="4" t="s">
        <v>13793</v>
      </c>
      <c r="H2591" s="3" t="s">
        <v>13575</v>
      </c>
      <c r="I2591" s="3" t="s">
        <v>13794</v>
      </c>
      <c r="J2591" s="3" t="s">
        <v>13813</v>
      </c>
      <c r="K2591" s="3" t="s">
        <v>13814</v>
      </c>
      <c r="L2591" s="3" t="s">
        <v>13815</v>
      </c>
      <c r="M2591" s="4"/>
      <c r="N2591" s="3" t="s">
        <v>37</v>
      </c>
      <c r="O2591" s="3" t="s">
        <v>721</v>
      </c>
      <c r="P2591" s="5">
        <v>27</v>
      </c>
      <c r="Q2591" s="5">
        <v>710</v>
      </c>
      <c r="R2591" s="5">
        <v>26</v>
      </c>
      <c r="S2591" s="5">
        <v>684</v>
      </c>
    </row>
    <row r="2592" spans="1:19" ht="56" x14ac:dyDescent="0.15">
      <c r="A2592" s="2">
        <f>HYPERLINK("https://open-school.uspishnemisto.com.ua/school/140058/", 140058)</f>
        <v>140058</v>
      </c>
      <c r="B2592" s="3" t="s">
        <v>13816</v>
      </c>
      <c r="C2592" s="3" t="s">
        <v>54</v>
      </c>
      <c r="D2592" s="3" t="s">
        <v>32</v>
      </c>
      <c r="E2592" s="4" t="s">
        <v>22</v>
      </c>
      <c r="F2592" s="4" t="s">
        <v>13800</v>
      </c>
      <c r="G2592" s="4" t="s">
        <v>13793</v>
      </c>
      <c r="H2592" s="3" t="s">
        <v>13575</v>
      </c>
      <c r="I2592" s="3" t="s">
        <v>13794</v>
      </c>
      <c r="J2592" s="3" t="s">
        <v>13817</v>
      </c>
      <c r="K2592" s="3" t="s">
        <v>13818</v>
      </c>
      <c r="L2592" s="3"/>
      <c r="M2592" s="4"/>
      <c r="N2592" s="3" t="s">
        <v>37</v>
      </c>
      <c r="O2592" s="3" t="s">
        <v>38</v>
      </c>
      <c r="P2592" s="5">
        <v>10</v>
      </c>
      <c r="Q2592" s="5">
        <v>193</v>
      </c>
      <c r="R2592" s="5">
        <v>11</v>
      </c>
      <c r="S2592" s="5">
        <v>203</v>
      </c>
    </row>
    <row r="2593" spans="1:19" ht="42" x14ac:dyDescent="0.15">
      <c r="A2593" s="2">
        <f>HYPERLINK("https://open-school.uspishnemisto.com.ua/school/140059/", 140059)</f>
        <v>140059</v>
      </c>
      <c r="B2593" s="3" t="s">
        <v>13819</v>
      </c>
      <c r="C2593" s="3" t="s">
        <v>54</v>
      </c>
      <c r="D2593" s="3" t="s">
        <v>32</v>
      </c>
      <c r="E2593" s="4" t="s">
        <v>22</v>
      </c>
      <c r="F2593" s="4" t="s">
        <v>13804</v>
      </c>
      <c r="G2593" s="4" t="s">
        <v>13793</v>
      </c>
      <c r="H2593" s="3" t="s">
        <v>13575</v>
      </c>
      <c r="I2593" s="3" t="s">
        <v>13794</v>
      </c>
      <c r="J2593" s="3" t="s">
        <v>13820</v>
      </c>
      <c r="K2593" s="3" t="s">
        <v>13821</v>
      </c>
      <c r="L2593" s="3" t="s">
        <v>13822</v>
      </c>
      <c r="M2593" s="4"/>
      <c r="N2593" s="3" t="s">
        <v>37</v>
      </c>
      <c r="O2593" s="3" t="s">
        <v>38</v>
      </c>
      <c r="P2593" s="5">
        <v>20</v>
      </c>
      <c r="Q2593" s="5">
        <v>546</v>
      </c>
      <c r="R2593" s="5">
        <v>20</v>
      </c>
      <c r="S2593" s="5">
        <v>514</v>
      </c>
    </row>
    <row r="2594" spans="1:19" ht="28" x14ac:dyDescent="0.15">
      <c r="A2594" s="2">
        <f>HYPERLINK("https://open-school.uspishnemisto.com.ua/school/140060/", 140060)</f>
        <v>140060</v>
      </c>
      <c r="B2594" s="3" t="s">
        <v>13823</v>
      </c>
      <c r="C2594" s="3" t="s">
        <v>54</v>
      </c>
      <c r="D2594" s="3" t="s">
        <v>32</v>
      </c>
      <c r="E2594" s="4" t="s">
        <v>22</v>
      </c>
      <c r="F2594" s="4" t="s">
        <v>13800</v>
      </c>
      <c r="G2594" s="4" t="s">
        <v>13793</v>
      </c>
      <c r="H2594" s="3" t="s">
        <v>13575</v>
      </c>
      <c r="I2594" s="3" t="s">
        <v>13794</v>
      </c>
      <c r="J2594" s="3" t="s">
        <v>13824</v>
      </c>
      <c r="K2594" s="3" t="s">
        <v>13825</v>
      </c>
      <c r="L2594" s="3"/>
      <c r="M2594" s="4"/>
      <c r="N2594" s="3" t="s">
        <v>967</v>
      </c>
      <c r="O2594" s="3" t="s">
        <v>2740</v>
      </c>
      <c r="P2594" s="5">
        <v>18</v>
      </c>
      <c r="Q2594" s="5">
        <v>475</v>
      </c>
      <c r="R2594" s="5">
        <v>19</v>
      </c>
      <c r="S2594" s="5">
        <v>501</v>
      </c>
    </row>
    <row r="2595" spans="1:19" ht="28" x14ac:dyDescent="0.15">
      <c r="A2595" s="2">
        <f>HYPERLINK("https://open-school.uspishnemisto.com.ua/school/140061/", 140061)</f>
        <v>140061</v>
      </c>
      <c r="B2595" s="3" t="s">
        <v>13826</v>
      </c>
      <c r="C2595" s="3" t="s">
        <v>31</v>
      </c>
      <c r="D2595" s="3" t="s">
        <v>32</v>
      </c>
      <c r="E2595" s="4" t="s">
        <v>22</v>
      </c>
      <c r="F2595" s="4" t="s">
        <v>13827</v>
      </c>
      <c r="G2595" s="4" t="s">
        <v>13828</v>
      </c>
      <c r="H2595" s="3" t="s">
        <v>13575</v>
      </c>
      <c r="I2595" s="3" t="s">
        <v>13829</v>
      </c>
      <c r="J2595" s="3" t="s">
        <v>13830</v>
      </c>
      <c r="K2595" s="3" t="s">
        <v>13831</v>
      </c>
      <c r="L2595" s="3" t="s">
        <v>13832</v>
      </c>
      <c r="M2595" s="4"/>
      <c r="N2595" s="3" t="s">
        <v>37</v>
      </c>
      <c r="O2595" s="3" t="s">
        <v>38</v>
      </c>
      <c r="P2595" s="5">
        <v>11</v>
      </c>
      <c r="Q2595" s="5">
        <v>124</v>
      </c>
      <c r="R2595" s="5">
        <v>11</v>
      </c>
      <c r="S2595" s="5">
        <v>130</v>
      </c>
    </row>
    <row r="2596" spans="1:19" ht="28" x14ac:dyDescent="0.15">
      <c r="A2596" s="2">
        <f>HYPERLINK("https://open-school.uspishnemisto.com.ua/school/140062/", 140062)</f>
        <v>140062</v>
      </c>
      <c r="B2596" s="3" t="s">
        <v>13833</v>
      </c>
      <c r="C2596" s="3" t="s">
        <v>31</v>
      </c>
      <c r="D2596" s="3" t="s">
        <v>32</v>
      </c>
      <c r="E2596" s="4" t="s">
        <v>22</v>
      </c>
      <c r="F2596" s="4" t="s">
        <v>13834</v>
      </c>
      <c r="G2596" s="4" t="s">
        <v>13835</v>
      </c>
      <c r="H2596" s="3" t="s">
        <v>13575</v>
      </c>
      <c r="I2596" s="3" t="s">
        <v>13836</v>
      </c>
      <c r="J2596" s="3" t="s">
        <v>2719</v>
      </c>
      <c r="K2596" s="3" t="s">
        <v>13837</v>
      </c>
      <c r="L2596" s="3"/>
      <c r="M2596" s="4"/>
      <c r="N2596" s="3" t="s">
        <v>37</v>
      </c>
      <c r="O2596" s="3" t="s">
        <v>52</v>
      </c>
      <c r="P2596" s="5">
        <v>11</v>
      </c>
      <c r="Q2596" s="5">
        <v>307</v>
      </c>
      <c r="R2596" s="5">
        <v>11</v>
      </c>
      <c r="S2596" s="5">
        <v>311</v>
      </c>
    </row>
    <row r="2597" spans="1:19" ht="28" x14ac:dyDescent="0.15">
      <c r="A2597" s="2">
        <f>HYPERLINK("https://open-school.uspishnemisto.com.ua/school/140063/", 140063)</f>
        <v>140063</v>
      </c>
      <c r="B2597" s="3" t="s">
        <v>13838</v>
      </c>
      <c r="C2597" s="3" t="s">
        <v>31</v>
      </c>
      <c r="D2597" s="3" t="s">
        <v>32</v>
      </c>
      <c r="E2597" s="4" t="s">
        <v>22</v>
      </c>
      <c r="F2597" s="4" t="s">
        <v>13834</v>
      </c>
      <c r="G2597" s="4" t="s">
        <v>13835</v>
      </c>
      <c r="H2597" s="3" t="s">
        <v>13575</v>
      </c>
      <c r="I2597" s="3" t="s">
        <v>13836</v>
      </c>
      <c r="J2597" s="3" t="s">
        <v>578</v>
      </c>
      <c r="K2597" s="3" t="s">
        <v>13839</v>
      </c>
      <c r="L2597" s="3"/>
      <c r="M2597" s="4"/>
      <c r="N2597" s="3" t="s">
        <v>128</v>
      </c>
      <c r="O2597" s="3" t="s">
        <v>38</v>
      </c>
      <c r="P2597" s="5">
        <v>11</v>
      </c>
      <c r="Q2597" s="5">
        <v>288</v>
      </c>
      <c r="R2597" s="5">
        <v>11</v>
      </c>
      <c r="S2597" s="5">
        <v>270</v>
      </c>
    </row>
    <row r="2598" spans="1:19" ht="28" x14ac:dyDescent="0.15">
      <c r="A2598" s="2">
        <f>HYPERLINK("https://open-school.uspishnemisto.com.ua/school/140064/", 140064)</f>
        <v>140064</v>
      </c>
      <c r="B2598" s="3" t="s">
        <v>13840</v>
      </c>
      <c r="C2598" s="3" t="s">
        <v>31</v>
      </c>
      <c r="D2598" s="3" t="s">
        <v>32</v>
      </c>
      <c r="E2598" s="4" t="s">
        <v>22</v>
      </c>
      <c r="F2598" s="4" t="s">
        <v>13841</v>
      </c>
      <c r="G2598" s="4" t="s">
        <v>13842</v>
      </c>
      <c r="H2598" s="3" t="s">
        <v>13575</v>
      </c>
      <c r="I2598" s="3" t="s">
        <v>13843</v>
      </c>
      <c r="J2598" s="3" t="s">
        <v>13844</v>
      </c>
      <c r="K2598" s="3" t="s">
        <v>13845</v>
      </c>
      <c r="L2598" s="3" t="s">
        <v>13846</v>
      </c>
      <c r="M2598" s="4"/>
      <c r="N2598" s="3" t="s">
        <v>37</v>
      </c>
      <c r="O2598" s="3" t="s">
        <v>70</v>
      </c>
      <c r="P2598" s="5">
        <v>11</v>
      </c>
      <c r="Q2598" s="5">
        <v>261</v>
      </c>
      <c r="R2598" s="5">
        <v>11</v>
      </c>
      <c r="S2598" s="5">
        <v>268</v>
      </c>
    </row>
    <row r="2599" spans="1:19" ht="28" x14ac:dyDescent="0.15">
      <c r="A2599" s="2">
        <f>HYPERLINK("https://open-school.uspishnemisto.com.ua/school/140065/", 140065)</f>
        <v>140065</v>
      </c>
      <c r="B2599" s="3" t="s">
        <v>13847</v>
      </c>
      <c r="C2599" s="3" t="s">
        <v>31</v>
      </c>
      <c r="D2599" s="3" t="s">
        <v>32</v>
      </c>
      <c r="E2599" s="4" t="s">
        <v>22</v>
      </c>
      <c r="F2599" s="4" t="s">
        <v>13841</v>
      </c>
      <c r="G2599" s="4" t="s">
        <v>13842</v>
      </c>
      <c r="H2599" s="3" t="s">
        <v>13575</v>
      </c>
      <c r="I2599" s="3" t="s">
        <v>13843</v>
      </c>
      <c r="J2599" s="3" t="s">
        <v>13848</v>
      </c>
      <c r="K2599" s="3" t="s">
        <v>13849</v>
      </c>
      <c r="L2599" s="3" t="s">
        <v>13850</v>
      </c>
      <c r="M2599" s="4"/>
      <c r="N2599" s="3" t="s">
        <v>37</v>
      </c>
      <c r="O2599" s="3" t="s">
        <v>38</v>
      </c>
      <c r="P2599" s="5">
        <v>13</v>
      </c>
      <c r="Q2599" s="5">
        <v>331</v>
      </c>
      <c r="R2599" s="5">
        <v>13</v>
      </c>
      <c r="S2599" s="5">
        <v>332</v>
      </c>
    </row>
    <row r="2600" spans="1:19" ht="28" x14ac:dyDescent="0.15">
      <c r="A2600" s="2">
        <f>HYPERLINK("https://open-school.uspishnemisto.com.ua/school/140066/", 140066)</f>
        <v>140066</v>
      </c>
      <c r="B2600" s="3" t="s">
        <v>13851</v>
      </c>
      <c r="C2600" s="3" t="s">
        <v>31</v>
      </c>
      <c r="D2600" s="3" t="s">
        <v>32</v>
      </c>
      <c r="E2600" s="4" t="s">
        <v>22</v>
      </c>
      <c r="F2600" s="4" t="s">
        <v>13841</v>
      </c>
      <c r="G2600" s="4" t="s">
        <v>13842</v>
      </c>
      <c r="H2600" s="3" t="s">
        <v>13575</v>
      </c>
      <c r="I2600" s="3" t="s">
        <v>13843</v>
      </c>
      <c r="J2600" s="3" t="s">
        <v>3544</v>
      </c>
      <c r="K2600" s="3" t="s">
        <v>13852</v>
      </c>
      <c r="L2600" s="3" t="s">
        <v>13853</v>
      </c>
      <c r="M2600" s="4"/>
      <c r="N2600" s="3" t="s">
        <v>967</v>
      </c>
      <c r="O2600" s="3" t="s">
        <v>46</v>
      </c>
      <c r="P2600" s="5">
        <v>10</v>
      </c>
      <c r="Q2600" s="5">
        <v>251</v>
      </c>
      <c r="R2600" s="5">
        <v>11</v>
      </c>
      <c r="S2600" s="5">
        <v>232</v>
      </c>
    </row>
    <row r="2601" spans="1:19" ht="28" x14ac:dyDescent="0.15">
      <c r="A2601" s="2">
        <f>HYPERLINK("https://open-school.uspishnemisto.com.ua/school/140067/", 140067)</f>
        <v>140067</v>
      </c>
      <c r="B2601" s="3" t="s">
        <v>13854</v>
      </c>
      <c r="C2601" s="3" t="s">
        <v>31</v>
      </c>
      <c r="D2601" s="3" t="s">
        <v>32</v>
      </c>
      <c r="E2601" s="4" t="s">
        <v>22</v>
      </c>
      <c r="F2601" s="4" t="s">
        <v>13855</v>
      </c>
      <c r="G2601" s="4" t="s">
        <v>13856</v>
      </c>
      <c r="H2601" s="3" t="s">
        <v>13575</v>
      </c>
      <c r="I2601" s="3" t="s">
        <v>13857</v>
      </c>
      <c r="J2601" s="3" t="s">
        <v>13858</v>
      </c>
      <c r="K2601" s="3"/>
      <c r="L2601" s="3"/>
      <c r="M2601" s="4"/>
      <c r="N2601" s="3" t="s">
        <v>37</v>
      </c>
      <c r="O2601" s="3" t="s">
        <v>38</v>
      </c>
      <c r="P2601" s="5">
        <v>10</v>
      </c>
      <c r="Q2601" s="5">
        <v>262</v>
      </c>
      <c r="R2601" s="5">
        <v>11</v>
      </c>
      <c r="S2601" s="5">
        <v>269</v>
      </c>
    </row>
    <row r="2602" spans="1:19" ht="28" x14ac:dyDescent="0.15">
      <c r="A2602" s="2">
        <f>HYPERLINK("https://open-school.uspishnemisto.com.ua/school/140068/", 140068)</f>
        <v>140068</v>
      </c>
      <c r="B2602" s="3" t="s">
        <v>13859</v>
      </c>
      <c r="C2602" s="3" t="s">
        <v>31</v>
      </c>
      <c r="D2602" s="3" t="s">
        <v>32</v>
      </c>
      <c r="E2602" s="4" t="s">
        <v>22</v>
      </c>
      <c r="F2602" s="4" t="s">
        <v>13855</v>
      </c>
      <c r="G2602" s="4" t="s">
        <v>13856</v>
      </c>
      <c r="H2602" s="3" t="s">
        <v>13575</v>
      </c>
      <c r="I2602" s="3" t="s">
        <v>13857</v>
      </c>
      <c r="J2602" s="3" t="s">
        <v>13860</v>
      </c>
      <c r="K2602" s="3" t="s">
        <v>13861</v>
      </c>
      <c r="L2602" s="3"/>
      <c r="M2602" s="4"/>
      <c r="N2602" s="3" t="s">
        <v>967</v>
      </c>
      <c r="O2602" s="3" t="s">
        <v>2740</v>
      </c>
      <c r="P2602" s="5">
        <v>19</v>
      </c>
      <c r="Q2602" s="5">
        <v>546</v>
      </c>
      <c r="R2602" s="5">
        <v>18</v>
      </c>
      <c r="S2602" s="5">
        <v>502</v>
      </c>
    </row>
    <row r="2603" spans="1:19" ht="28" x14ac:dyDescent="0.15">
      <c r="A2603" s="2">
        <f>HYPERLINK("https://open-school.uspishnemisto.com.ua/school/140069/", 140069)</f>
        <v>140069</v>
      </c>
      <c r="B2603" s="3" t="s">
        <v>13862</v>
      </c>
      <c r="C2603" s="3" t="s">
        <v>31</v>
      </c>
      <c r="D2603" s="3" t="s">
        <v>32</v>
      </c>
      <c r="E2603" s="4" t="s">
        <v>22</v>
      </c>
      <c r="F2603" s="4" t="s">
        <v>13855</v>
      </c>
      <c r="G2603" s="4" t="s">
        <v>13856</v>
      </c>
      <c r="H2603" s="3" t="s">
        <v>13575</v>
      </c>
      <c r="I2603" s="3" t="s">
        <v>13857</v>
      </c>
      <c r="J2603" s="3" t="s">
        <v>13863</v>
      </c>
      <c r="K2603" s="3" t="s">
        <v>13864</v>
      </c>
      <c r="L2603" s="3"/>
      <c r="M2603" s="4"/>
      <c r="N2603" s="3" t="s">
        <v>37</v>
      </c>
      <c r="O2603" s="3" t="s">
        <v>70</v>
      </c>
      <c r="P2603" s="5">
        <v>11</v>
      </c>
      <c r="Q2603" s="5">
        <v>265</v>
      </c>
      <c r="R2603" s="5">
        <v>11</v>
      </c>
      <c r="S2603" s="5">
        <v>249</v>
      </c>
    </row>
    <row r="2604" spans="1:19" ht="28" x14ac:dyDescent="0.15">
      <c r="A2604" s="2">
        <f>HYPERLINK("https://open-school.uspishnemisto.com.ua/school/140070/", 140070)</f>
        <v>140070</v>
      </c>
      <c r="B2604" s="3" t="s">
        <v>13865</v>
      </c>
      <c r="C2604" s="3" t="s">
        <v>31</v>
      </c>
      <c r="D2604" s="3" t="s">
        <v>32</v>
      </c>
      <c r="E2604" s="4" t="s">
        <v>22</v>
      </c>
      <c r="F2604" s="4" t="s">
        <v>13855</v>
      </c>
      <c r="G2604" s="4" t="s">
        <v>13856</v>
      </c>
      <c r="H2604" s="3" t="s">
        <v>13575</v>
      </c>
      <c r="I2604" s="3" t="s">
        <v>13857</v>
      </c>
      <c r="J2604" s="3" t="s">
        <v>13866</v>
      </c>
      <c r="K2604" s="3" t="s">
        <v>13867</v>
      </c>
      <c r="L2604" s="3"/>
      <c r="M2604" s="4"/>
      <c r="N2604" s="3" t="s">
        <v>37</v>
      </c>
      <c r="O2604" s="3" t="s">
        <v>70</v>
      </c>
      <c r="P2604" s="5">
        <v>14</v>
      </c>
      <c r="Q2604" s="5">
        <v>356</v>
      </c>
      <c r="R2604" s="5">
        <v>14</v>
      </c>
      <c r="S2604" s="5">
        <v>371</v>
      </c>
    </row>
    <row r="2605" spans="1:19" ht="28" x14ac:dyDescent="0.15">
      <c r="A2605" s="2">
        <f>HYPERLINK("https://open-school.uspishnemisto.com.ua/school/140071/", 140071)</f>
        <v>140071</v>
      </c>
      <c r="B2605" s="3" t="s">
        <v>13868</v>
      </c>
      <c r="C2605" s="3" t="s">
        <v>40</v>
      </c>
      <c r="D2605" s="3" t="s">
        <v>32</v>
      </c>
      <c r="E2605" s="4" t="s">
        <v>22</v>
      </c>
      <c r="F2605" s="4" t="s">
        <v>13869</v>
      </c>
      <c r="G2605" s="4" t="s">
        <v>13870</v>
      </c>
      <c r="H2605" s="3" t="s">
        <v>13575</v>
      </c>
      <c r="I2605" s="3" t="s">
        <v>13871</v>
      </c>
      <c r="J2605" s="3" t="s">
        <v>13872</v>
      </c>
      <c r="K2605" s="3" t="s">
        <v>13873</v>
      </c>
      <c r="L2605" s="3" t="s">
        <v>13874</v>
      </c>
      <c r="M2605" s="4" t="s">
        <v>13875</v>
      </c>
      <c r="N2605" s="3" t="s">
        <v>37</v>
      </c>
      <c r="O2605" s="3" t="s">
        <v>70</v>
      </c>
      <c r="P2605" s="5">
        <v>15</v>
      </c>
      <c r="Q2605" s="5">
        <v>373</v>
      </c>
      <c r="R2605" s="5">
        <v>16</v>
      </c>
      <c r="S2605" s="5">
        <v>384</v>
      </c>
    </row>
    <row r="2606" spans="1:19" ht="28" x14ac:dyDescent="0.15">
      <c r="A2606" s="2">
        <f>HYPERLINK("https://open-school.uspishnemisto.com.ua/school/140072/", 140072)</f>
        <v>140072</v>
      </c>
      <c r="B2606" s="3" t="s">
        <v>13876</v>
      </c>
      <c r="C2606" s="3" t="s">
        <v>31</v>
      </c>
      <c r="D2606" s="3" t="s">
        <v>32</v>
      </c>
      <c r="E2606" s="4" t="s">
        <v>22</v>
      </c>
      <c r="F2606" s="4" t="s">
        <v>13877</v>
      </c>
      <c r="G2606" s="4" t="s">
        <v>13870</v>
      </c>
      <c r="H2606" s="3" t="s">
        <v>13575</v>
      </c>
      <c r="I2606" s="3" t="s">
        <v>13871</v>
      </c>
      <c r="J2606" s="3" t="s">
        <v>13878</v>
      </c>
      <c r="K2606" s="3" t="s">
        <v>13879</v>
      </c>
      <c r="L2606" s="3"/>
      <c r="M2606" s="4"/>
      <c r="N2606" s="3" t="s">
        <v>128</v>
      </c>
      <c r="O2606" s="3" t="s">
        <v>38</v>
      </c>
      <c r="P2606" s="5">
        <v>20</v>
      </c>
      <c r="Q2606" s="5">
        <v>384</v>
      </c>
      <c r="R2606" s="5">
        <v>20</v>
      </c>
      <c r="S2606" s="5">
        <v>366</v>
      </c>
    </row>
    <row r="2607" spans="1:19" ht="28" x14ac:dyDescent="0.15">
      <c r="A2607" s="2">
        <f>HYPERLINK("https://open-school.uspishnemisto.com.ua/school/140073/", 140073)</f>
        <v>140073</v>
      </c>
      <c r="B2607" s="3" t="s">
        <v>13880</v>
      </c>
      <c r="C2607" s="3" t="s">
        <v>31</v>
      </c>
      <c r="D2607" s="3" t="s">
        <v>175</v>
      </c>
      <c r="E2607" s="4" t="s">
        <v>22</v>
      </c>
      <c r="F2607" s="4" t="s">
        <v>13881</v>
      </c>
      <c r="G2607" s="4" t="s">
        <v>13870</v>
      </c>
      <c r="H2607" s="3" t="s">
        <v>13575</v>
      </c>
      <c r="I2607" s="3" t="s">
        <v>13871</v>
      </c>
      <c r="J2607" s="3" t="s">
        <v>13882</v>
      </c>
      <c r="K2607" s="3"/>
      <c r="L2607" s="3"/>
      <c r="M2607" s="4" t="s">
        <v>13883</v>
      </c>
      <c r="N2607" s="3" t="s">
        <v>37</v>
      </c>
      <c r="O2607" s="3" t="s">
        <v>38</v>
      </c>
      <c r="P2607" s="5">
        <v>10</v>
      </c>
      <c r="Q2607" s="5">
        <v>238</v>
      </c>
      <c r="R2607" s="5">
        <v>9</v>
      </c>
      <c r="S2607" s="5">
        <v>221</v>
      </c>
    </row>
    <row r="2608" spans="1:19" ht="28" x14ac:dyDescent="0.15">
      <c r="A2608" s="2">
        <f>HYPERLINK("https://open-school.uspishnemisto.com.ua/school/140074/", 140074)</f>
        <v>140074</v>
      </c>
      <c r="B2608" s="3" t="s">
        <v>13884</v>
      </c>
      <c r="C2608" s="3" t="s">
        <v>31</v>
      </c>
      <c r="D2608" s="3" t="s">
        <v>32</v>
      </c>
      <c r="E2608" s="4" t="s">
        <v>22</v>
      </c>
      <c r="F2608" s="4" t="s">
        <v>13885</v>
      </c>
      <c r="G2608" s="4" t="s">
        <v>13870</v>
      </c>
      <c r="H2608" s="3" t="s">
        <v>13575</v>
      </c>
      <c r="I2608" s="3" t="s">
        <v>13871</v>
      </c>
      <c r="J2608" s="3" t="s">
        <v>13886</v>
      </c>
      <c r="K2608" s="3" t="s">
        <v>13887</v>
      </c>
      <c r="L2608" s="3"/>
      <c r="M2608" s="4" t="s">
        <v>13888</v>
      </c>
      <c r="N2608" s="3" t="s">
        <v>37</v>
      </c>
      <c r="O2608" s="3" t="s">
        <v>38</v>
      </c>
      <c r="P2608" s="5">
        <v>10</v>
      </c>
      <c r="Q2608" s="5">
        <v>162</v>
      </c>
      <c r="R2608" s="5">
        <v>9</v>
      </c>
      <c r="S2608" s="5">
        <v>140</v>
      </c>
    </row>
    <row r="2609" spans="1:19" ht="28" x14ac:dyDescent="0.15">
      <c r="A2609" s="2">
        <f>HYPERLINK("https://open-school.uspishnemisto.com.ua/school/140075/", 140075)</f>
        <v>140075</v>
      </c>
      <c r="B2609" s="3" t="s">
        <v>13889</v>
      </c>
      <c r="C2609" s="3" t="s">
        <v>31</v>
      </c>
      <c r="D2609" s="3" t="s">
        <v>32</v>
      </c>
      <c r="E2609" s="4" t="s">
        <v>22</v>
      </c>
      <c r="F2609" s="4" t="s">
        <v>13869</v>
      </c>
      <c r="G2609" s="4" t="s">
        <v>13870</v>
      </c>
      <c r="H2609" s="3" t="s">
        <v>13575</v>
      </c>
      <c r="I2609" s="3" t="s">
        <v>13871</v>
      </c>
      <c r="J2609" s="3" t="s">
        <v>13890</v>
      </c>
      <c r="K2609" s="3" t="s">
        <v>13891</v>
      </c>
      <c r="L2609" s="3" t="s">
        <v>13892</v>
      </c>
      <c r="M2609" s="4" t="s">
        <v>13893</v>
      </c>
      <c r="N2609" s="3" t="s">
        <v>128</v>
      </c>
      <c r="O2609" s="3" t="s">
        <v>70</v>
      </c>
      <c r="P2609" s="5">
        <v>27</v>
      </c>
      <c r="Q2609" s="5">
        <v>641</v>
      </c>
      <c r="R2609" s="5">
        <v>28</v>
      </c>
      <c r="S2609" s="5">
        <v>624</v>
      </c>
    </row>
    <row r="2610" spans="1:19" ht="28" x14ac:dyDescent="0.15">
      <c r="A2610" s="2">
        <f>HYPERLINK("https://open-school.uspishnemisto.com.ua/school/140076/", 140076)</f>
        <v>140076</v>
      </c>
      <c r="B2610" s="3" t="s">
        <v>13894</v>
      </c>
      <c r="C2610" s="3" t="s">
        <v>31</v>
      </c>
      <c r="D2610" s="3" t="s">
        <v>32</v>
      </c>
      <c r="E2610" s="4" t="s">
        <v>22</v>
      </c>
      <c r="F2610" s="4" t="s">
        <v>13869</v>
      </c>
      <c r="G2610" s="4" t="s">
        <v>13870</v>
      </c>
      <c r="H2610" s="3" t="s">
        <v>13575</v>
      </c>
      <c r="I2610" s="3" t="s">
        <v>13871</v>
      </c>
      <c r="J2610" s="3" t="s">
        <v>13895</v>
      </c>
      <c r="K2610" s="3" t="s">
        <v>13896</v>
      </c>
      <c r="L2610" s="3" t="s">
        <v>13897</v>
      </c>
      <c r="M2610" s="4" t="s">
        <v>13898</v>
      </c>
      <c r="N2610" s="3" t="s">
        <v>37</v>
      </c>
      <c r="O2610" s="3" t="s">
        <v>70</v>
      </c>
      <c r="P2610" s="5">
        <v>55</v>
      </c>
      <c r="Q2610" s="5">
        <v>1055</v>
      </c>
      <c r="R2610" s="5">
        <v>29</v>
      </c>
      <c r="S2610" s="5">
        <v>682</v>
      </c>
    </row>
    <row r="2611" spans="1:19" ht="28" x14ac:dyDescent="0.15">
      <c r="A2611" s="2">
        <f>HYPERLINK("https://open-school.uspishnemisto.com.ua/school/140077/", 140077)</f>
        <v>140077</v>
      </c>
      <c r="B2611" s="3" t="s">
        <v>13899</v>
      </c>
      <c r="C2611" s="3" t="s">
        <v>31</v>
      </c>
      <c r="D2611" s="3" t="s">
        <v>32</v>
      </c>
      <c r="E2611" s="4" t="s">
        <v>22</v>
      </c>
      <c r="F2611" s="4" t="s">
        <v>13869</v>
      </c>
      <c r="G2611" s="4" t="s">
        <v>13870</v>
      </c>
      <c r="H2611" s="3" t="s">
        <v>13575</v>
      </c>
      <c r="I2611" s="3" t="s">
        <v>13871</v>
      </c>
      <c r="J2611" s="3" t="s">
        <v>13900</v>
      </c>
      <c r="K2611" s="3" t="s">
        <v>13901</v>
      </c>
      <c r="L2611" s="3" t="s">
        <v>13902</v>
      </c>
      <c r="M2611" s="4"/>
      <c r="N2611" s="3" t="s">
        <v>128</v>
      </c>
      <c r="O2611" s="3" t="s">
        <v>70</v>
      </c>
      <c r="P2611" s="5">
        <v>29</v>
      </c>
      <c r="Q2611" s="5">
        <v>722</v>
      </c>
      <c r="R2611" s="5">
        <v>29</v>
      </c>
      <c r="S2611" s="5">
        <v>721</v>
      </c>
    </row>
    <row r="2612" spans="1:19" ht="28" x14ac:dyDescent="0.15">
      <c r="A2612" s="2">
        <f>HYPERLINK("https://open-school.uspishnemisto.com.ua/school/140078/", 140078)</f>
        <v>140078</v>
      </c>
      <c r="B2612" s="3" t="s">
        <v>13903</v>
      </c>
      <c r="C2612" s="3" t="s">
        <v>31</v>
      </c>
      <c r="D2612" s="3" t="s">
        <v>32</v>
      </c>
      <c r="E2612" s="4" t="s">
        <v>22</v>
      </c>
      <c r="F2612" s="4" t="s">
        <v>13881</v>
      </c>
      <c r="G2612" s="4" t="s">
        <v>13870</v>
      </c>
      <c r="H2612" s="3" t="s">
        <v>13575</v>
      </c>
      <c r="I2612" s="3" t="s">
        <v>13871</v>
      </c>
      <c r="J2612" s="3" t="s">
        <v>13904</v>
      </c>
      <c r="K2612" s="3" t="s">
        <v>13905</v>
      </c>
      <c r="L2612" s="3" t="s">
        <v>13906</v>
      </c>
      <c r="M2612" s="4" t="s">
        <v>13907</v>
      </c>
      <c r="N2612" s="3" t="s">
        <v>128</v>
      </c>
      <c r="O2612" s="3" t="s">
        <v>197</v>
      </c>
      <c r="P2612" s="5">
        <v>26</v>
      </c>
      <c r="Q2612" s="5">
        <v>686</v>
      </c>
      <c r="R2612" s="5">
        <v>26</v>
      </c>
      <c r="S2612" s="5">
        <v>688</v>
      </c>
    </row>
    <row r="2613" spans="1:19" ht="42" x14ac:dyDescent="0.15">
      <c r="A2613" s="2">
        <f>HYPERLINK("https://open-school.uspishnemisto.com.ua/school/140079/", 140079)</f>
        <v>140079</v>
      </c>
      <c r="B2613" s="3" t="s">
        <v>13908</v>
      </c>
      <c r="C2613" s="3" t="s">
        <v>54</v>
      </c>
      <c r="D2613" s="3" t="s">
        <v>60</v>
      </c>
      <c r="E2613" s="4" t="s">
        <v>22</v>
      </c>
      <c r="F2613" s="4" t="s">
        <v>13869</v>
      </c>
      <c r="G2613" s="4" t="s">
        <v>13870</v>
      </c>
      <c r="H2613" s="3" t="s">
        <v>13575</v>
      </c>
      <c r="I2613" s="3" t="s">
        <v>13871</v>
      </c>
      <c r="J2613" s="3" t="s">
        <v>13909</v>
      </c>
      <c r="K2613" s="3" t="s">
        <v>13910</v>
      </c>
      <c r="L2613" s="3" t="s">
        <v>13911</v>
      </c>
      <c r="M2613" s="4" t="s">
        <v>13912</v>
      </c>
      <c r="N2613" s="3" t="s">
        <v>37</v>
      </c>
      <c r="O2613" s="3" t="s">
        <v>38</v>
      </c>
      <c r="P2613" s="5">
        <v>8</v>
      </c>
      <c r="Q2613" s="5">
        <v>245</v>
      </c>
      <c r="R2613" s="5">
        <v>8</v>
      </c>
      <c r="S2613" s="5">
        <v>228</v>
      </c>
    </row>
    <row r="2614" spans="1:19" ht="28" x14ac:dyDescent="0.15">
      <c r="A2614" s="2">
        <f>HYPERLINK("https://open-school.uspishnemisto.com.ua/school/140083/", 140083)</f>
        <v>140083</v>
      </c>
      <c r="B2614" s="3" t="s">
        <v>13913</v>
      </c>
      <c r="C2614" s="3" t="s">
        <v>2634</v>
      </c>
      <c r="D2614" s="3" t="s">
        <v>32</v>
      </c>
      <c r="E2614" s="4" t="s">
        <v>22</v>
      </c>
      <c r="F2614" s="4" t="s">
        <v>13914</v>
      </c>
      <c r="G2614" s="4" t="s">
        <v>13915</v>
      </c>
      <c r="H2614" s="3" t="s">
        <v>13575</v>
      </c>
      <c r="I2614" s="3" t="s">
        <v>13916</v>
      </c>
      <c r="J2614" s="3" t="s">
        <v>6438</v>
      </c>
      <c r="K2614" s="3" t="s">
        <v>13917</v>
      </c>
      <c r="L2614" s="3"/>
      <c r="M2614" s="4" t="s">
        <v>13918</v>
      </c>
      <c r="N2614" s="3" t="s">
        <v>128</v>
      </c>
      <c r="O2614" s="3" t="s">
        <v>70</v>
      </c>
      <c r="P2614" s="5">
        <v>18</v>
      </c>
      <c r="Q2614" s="5">
        <v>267</v>
      </c>
      <c r="R2614" s="5">
        <v>18</v>
      </c>
      <c r="S2614" s="5">
        <v>254</v>
      </c>
    </row>
    <row r="2615" spans="1:19" ht="42" x14ac:dyDescent="0.15">
      <c r="A2615" s="2">
        <f>HYPERLINK("https://open-school.uspishnemisto.com.ua/school/140084/", 140084)</f>
        <v>140084</v>
      </c>
      <c r="B2615" s="3" t="s">
        <v>13919</v>
      </c>
      <c r="C2615" s="3" t="s">
        <v>54</v>
      </c>
      <c r="D2615" s="3" t="s">
        <v>32</v>
      </c>
      <c r="E2615" s="4" t="s">
        <v>22</v>
      </c>
      <c r="F2615" s="4" t="s">
        <v>13914</v>
      </c>
      <c r="G2615" s="4" t="s">
        <v>13915</v>
      </c>
      <c r="H2615" s="3" t="s">
        <v>13575</v>
      </c>
      <c r="I2615" s="3" t="s">
        <v>13916</v>
      </c>
      <c r="J2615" s="3" t="s">
        <v>13920</v>
      </c>
      <c r="K2615" s="3" t="s">
        <v>13921</v>
      </c>
      <c r="L2615" s="3"/>
      <c r="M2615" s="4" t="s">
        <v>13922</v>
      </c>
      <c r="N2615" s="3" t="s">
        <v>37</v>
      </c>
      <c r="O2615" s="3" t="s">
        <v>38</v>
      </c>
      <c r="P2615" s="5">
        <v>11</v>
      </c>
      <c r="Q2615" s="5">
        <v>188</v>
      </c>
      <c r="R2615" s="5">
        <v>11</v>
      </c>
      <c r="S2615" s="5">
        <v>196</v>
      </c>
    </row>
    <row r="2616" spans="1:19" ht="42" x14ac:dyDescent="0.15">
      <c r="A2616" s="2">
        <f>HYPERLINK("https://open-school.uspishnemisto.com.ua/school/140085/", 140085)</f>
        <v>140085</v>
      </c>
      <c r="B2616" s="3" t="s">
        <v>13923</v>
      </c>
      <c r="C2616" s="3" t="s">
        <v>244</v>
      </c>
      <c r="D2616" s="3" t="s">
        <v>32</v>
      </c>
      <c r="E2616" s="4" t="s">
        <v>22</v>
      </c>
      <c r="F2616" s="4" t="s">
        <v>13924</v>
      </c>
      <c r="G2616" s="4" t="s">
        <v>13925</v>
      </c>
      <c r="H2616" s="3" t="s">
        <v>13575</v>
      </c>
      <c r="I2616" s="3" t="s">
        <v>13926</v>
      </c>
      <c r="J2616" s="3" t="s">
        <v>13927</v>
      </c>
      <c r="K2616" s="3" t="s">
        <v>13928</v>
      </c>
      <c r="L2616" s="3"/>
      <c r="M2616" s="4"/>
      <c r="N2616" s="3" t="s">
        <v>37</v>
      </c>
      <c r="O2616" s="3" t="s">
        <v>13929</v>
      </c>
      <c r="P2616" s="5">
        <v>29</v>
      </c>
      <c r="Q2616" s="5">
        <v>758</v>
      </c>
      <c r="R2616" s="5">
        <v>27</v>
      </c>
      <c r="S2616" s="5">
        <v>721</v>
      </c>
    </row>
    <row r="2617" spans="1:19" ht="42" x14ac:dyDescent="0.15">
      <c r="A2617" s="2">
        <f>HYPERLINK("https://open-school.uspishnemisto.com.ua/school/140086/", 140086)</f>
        <v>140086</v>
      </c>
      <c r="B2617" s="3" t="s">
        <v>13930</v>
      </c>
      <c r="C2617" s="3" t="s">
        <v>31</v>
      </c>
      <c r="D2617" s="3" t="s">
        <v>32</v>
      </c>
      <c r="E2617" s="4" t="s">
        <v>22</v>
      </c>
      <c r="F2617" s="4" t="s">
        <v>13931</v>
      </c>
      <c r="G2617" s="4" t="s">
        <v>13925</v>
      </c>
      <c r="H2617" s="3" t="s">
        <v>13575</v>
      </c>
      <c r="I2617" s="3" t="s">
        <v>13926</v>
      </c>
      <c r="J2617" s="3" t="s">
        <v>13932</v>
      </c>
      <c r="K2617" s="3"/>
      <c r="L2617" s="3"/>
      <c r="M2617" s="4"/>
      <c r="N2617" s="3" t="s">
        <v>967</v>
      </c>
      <c r="O2617" s="3" t="s">
        <v>46</v>
      </c>
      <c r="P2617" s="5">
        <v>9</v>
      </c>
      <c r="Q2617" s="5">
        <v>137</v>
      </c>
      <c r="R2617" s="5">
        <v>10</v>
      </c>
      <c r="S2617" s="5">
        <v>134</v>
      </c>
    </row>
    <row r="2618" spans="1:19" ht="42" x14ac:dyDescent="0.15">
      <c r="A2618" s="2">
        <f>HYPERLINK("https://open-school.uspishnemisto.com.ua/school/140087/", 140087)</f>
        <v>140087</v>
      </c>
      <c r="B2618" s="3" t="s">
        <v>13933</v>
      </c>
      <c r="C2618" s="3" t="s">
        <v>31</v>
      </c>
      <c r="D2618" s="3" t="s">
        <v>32</v>
      </c>
      <c r="E2618" s="4" t="s">
        <v>22</v>
      </c>
      <c r="F2618" s="4" t="s">
        <v>13934</v>
      </c>
      <c r="G2618" s="4" t="s">
        <v>13925</v>
      </c>
      <c r="H2618" s="3" t="s">
        <v>13575</v>
      </c>
      <c r="I2618" s="3" t="s">
        <v>13926</v>
      </c>
      <c r="J2618" s="3" t="s">
        <v>13935</v>
      </c>
      <c r="K2618" s="3" t="s">
        <v>13936</v>
      </c>
      <c r="L2618" s="3" t="s">
        <v>13937</v>
      </c>
      <c r="M2618" s="4"/>
      <c r="N2618" s="3" t="s">
        <v>128</v>
      </c>
      <c r="O2618" s="3" t="s">
        <v>70</v>
      </c>
      <c r="P2618" s="5">
        <v>30</v>
      </c>
      <c r="Q2618" s="5">
        <v>638</v>
      </c>
      <c r="R2618" s="5">
        <v>30</v>
      </c>
      <c r="S2618" s="5">
        <v>619</v>
      </c>
    </row>
    <row r="2619" spans="1:19" ht="42" x14ac:dyDescent="0.15">
      <c r="A2619" s="2">
        <f>HYPERLINK("https://open-school.uspishnemisto.com.ua/school/140088/", 140088)</f>
        <v>140088</v>
      </c>
      <c r="B2619" s="3" t="s">
        <v>13938</v>
      </c>
      <c r="C2619" s="3" t="s">
        <v>31</v>
      </c>
      <c r="D2619" s="3" t="s">
        <v>32</v>
      </c>
      <c r="E2619" s="4" t="s">
        <v>22</v>
      </c>
      <c r="F2619" s="4" t="s">
        <v>13939</v>
      </c>
      <c r="G2619" s="4" t="s">
        <v>13925</v>
      </c>
      <c r="H2619" s="3" t="s">
        <v>13575</v>
      </c>
      <c r="I2619" s="3" t="s">
        <v>13926</v>
      </c>
      <c r="J2619" s="3" t="s">
        <v>13940</v>
      </c>
      <c r="K2619" s="3" t="s">
        <v>13941</v>
      </c>
      <c r="L2619" s="3" t="s">
        <v>13942</v>
      </c>
      <c r="M2619" s="4"/>
      <c r="N2619" s="3" t="s">
        <v>967</v>
      </c>
      <c r="O2619" s="3" t="s">
        <v>52</v>
      </c>
      <c r="P2619" s="5">
        <v>9</v>
      </c>
      <c r="Q2619" s="5">
        <v>204</v>
      </c>
      <c r="R2619" s="5">
        <v>10</v>
      </c>
      <c r="S2619" s="5">
        <v>205</v>
      </c>
    </row>
    <row r="2620" spans="1:19" ht="42" x14ac:dyDescent="0.15">
      <c r="A2620" s="2">
        <f>HYPERLINK("https://open-school.uspishnemisto.com.ua/school/140089/", 140089)</f>
        <v>140089</v>
      </c>
      <c r="B2620" s="3" t="s">
        <v>13943</v>
      </c>
      <c r="C2620" s="3" t="s">
        <v>31</v>
      </c>
      <c r="D2620" s="3" t="s">
        <v>32</v>
      </c>
      <c r="E2620" s="4" t="s">
        <v>22</v>
      </c>
      <c r="F2620" s="4" t="s">
        <v>13944</v>
      </c>
      <c r="G2620" s="4" t="s">
        <v>13925</v>
      </c>
      <c r="H2620" s="3" t="s">
        <v>13575</v>
      </c>
      <c r="I2620" s="3" t="s">
        <v>13926</v>
      </c>
      <c r="J2620" s="3" t="s">
        <v>13945</v>
      </c>
      <c r="K2620" s="3" t="s">
        <v>13946</v>
      </c>
      <c r="L2620" s="3" t="s">
        <v>13947</v>
      </c>
      <c r="M2620" s="4"/>
      <c r="N2620" s="3" t="s">
        <v>128</v>
      </c>
      <c r="O2620" s="3" t="s">
        <v>38</v>
      </c>
      <c r="P2620" s="5">
        <v>21</v>
      </c>
      <c r="Q2620" s="5">
        <v>454</v>
      </c>
      <c r="R2620" s="5">
        <v>20</v>
      </c>
      <c r="S2620" s="5">
        <v>422</v>
      </c>
    </row>
    <row r="2621" spans="1:19" ht="42" x14ac:dyDescent="0.15">
      <c r="A2621" s="2">
        <f>HYPERLINK("https://open-school.uspishnemisto.com.ua/school/140090/", 140090)</f>
        <v>140090</v>
      </c>
      <c r="B2621" s="3" t="s">
        <v>13948</v>
      </c>
      <c r="C2621" s="3" t="s">
        <v>31</v>
      </c>
      <c r="D2621" s="3" t="s">
        <v>32</v>
      </c>
      <c r="E2621" s="4" t="s">
        <v>22</v>
      </c>
      <c r="F2621" s="4" t="s">
        <v>13949</v>
      </c>
      <c r="G2621" s="4" t="s">
        <v>13925</v>
      </c>
      <c r="H2621" s="3" t="s">
        <v>13575</v>
      </c>
      <c r="I2621" s="3" t="s">
        <v>13926</v>
      </c>
      <c r="J2621" s="3" t="s">
        <v>13950</v>
      </c>
      <c r="K2621" s="3" t="s">
        <v>13951</v>
      </c>
      <c r="L2621" s="3" t="s">
        <v>13952</v>
      </c>
      <c r="M2621" s="4"/>
      <c r="N2621" s="3" t="s">
        <v>37</v>
      </c>
      <c r="O2621" s="3" t="s">
        <v>38</v>
      </c>
      <c r="P2621" s="5">
        <v>9</v>
      </c>
      <c r="Q2621" s="5">
        <v>153</v>
      </c>
      <c r="R2621" s="5">
        <v>11</v>
      </c>
      <c r="S2621" s="5">
        <v>180</v>
      </c>
    </row>
    <row r="2622" spans="1:19" ht="42" x14ac:dyDescent="0.15">
      <c r="A2622" s="2">
        <f>HYPERLINK("https://open-school.uspishnemisto.com.ua/school/140091/", 140091)</f>
        <v>140091</v>
      </c>
      <c r="B2622" s="3" t="s">
        <v>13953</v>
      </c>
      <c r="C2622" s="3" t="s">
        <v>31</v>
      </c>
      <c r="D2622" s="3" t="s">
        <v>32</v>
      </c>
      <c r="E2622" s="4" t="s">
        <v>22</v>
      </c>
      <c r="F2622" s="4" t="s">
        <v>13954</v>
      </c>
      <c r="G2622" s="4" t="s">
        <v>13925</v>
      </c>
      <c r="H2622" s="3" t="s">
        <v>13575</v>
      </c>
      <c r="I2622" s="3" t="s">
        <v>13926</v>
      </c>
      <c r="J2622" s="3" t="s">
        <v>13955</v>
      </c>
      <c r="K2622" s="3" t="s">
        <v>13956</v>
      </c>
      <c r="L2622" s="3" t="s">
        <v>13957</v>
      </c>
      <c r="M2622" s="4"/>
      <c r="N2622" s="3" t="s">
        <v>128</v>
      </c>
      <c r="O2622" s="3" t="s">
        <v>721</v>
      </c>
      <c r="P2622" s="5">
        <v>13</v>
      </c>
      <c r="Q2622" s="5">
        <v>321</v>
      </c>
      <c r="R2622" s="5">
        <v>12</v>
      </c>
      <c r="S2622" s="5">
        <v>289</v>
      </c>
    </row>
    <row r="2623" spans="1:19" ht="42" x14ac:dyDescent="0.15">
      <c r="A2623" s="2">
        <f>HYPERLINK("https://open-school.uspishnemisto.com.ua/school/140092/", 140092)</f>
        <v>140092</v>
      </c>
      <c r="B2623" s="3" t="s">
        <v>13958</v>
      </c>
      <c r="C2623" s="3" t="s">
        <v>31</v>
      </c>
      <c r="D2623" s="3" t="s">
        <v>32</v>
      </c>
      <c r="E2623" s="4" t="s">
        <v>22</v>
      </c>
      <c r="F2623" s="4" t="s">
        <v>13959</v>
      </c>
      <c r="G2623" s="4" t="s">
        <v>13925</v>
      </c>
      <c r="H2623" s="3" t="s">
        <v>13575</v>
      </c>
      <c r="I2623" s="3" t="s">
        <v>13926</v>
      </c>
      <c r="J2623" s="3" t="s">
        <v>13960</v>
      </c>
      <c r="K2623" s="3" t="s">
        <v>13961</v>
      </c>
      <c r="L2623" s="3" t="s">
        <v>13962</v>
      </c>
      <c r="M2623" s="4"/>
      <c r="N2623" s="3" t="s">
        <v>37</v>
      </c>
      <c r="O2623" s="3" t="s">
        <v>70</v>
      </c>
      <c r="P2623" s="5">
        <v>19</v>
      </c>
      <c r="Q2623" s="5">
        <v>426</v>
      </c>
      <c r="R2623" s="5">
        <v>19</v>
      </c>
      <c r="S2623" s="5">
        <v>422</v>
      </c>
    </row>
    <row r="2624" spans="1:19" ht="42" x14ac:dyDescent="0.15">
      <c r="A2624" s="2">
        <f>HYPERLINK("https://open-school.uspishnemisto.com.ua/school/140093/", 140093)</f>
        <v>140093</v>
      </c>
      <c r="B2624" s="3" t="s">
        <v>13963</v>
      </c>
      <c r="C2624" s="3" t="s">
        <v>31</v>
      </c>
      <c r="D2624" s="3" t="s">
        <v>32</v>
      </c>
      <c r="E2624" s="4" t="s">
        <v>22</v>
      </c>
      <c r="F2624" s="4" t="s">
        <v>13964</v>
      </c>
      <c r="G2624" s="4" t="s">
        <v>13925</v>
      </c>
      <c r="H2624" s="3" t="s">
        <v>13575</v>
      </c>
      <c r="I2624" s="3" t="s">
        <v>13926</v>
      </c>
      <c r="J2624" s="3" t="s">
        <v>13965</v>
      </c>
      <c r="K2624" s="3" t="s">
        <v>13966</v>
      </c>
      <c r="L2624" s="3" t="s">
        <v>13967</v>
      </c>
      <c r="M2624" s="4"/>
      <c r="N2624" s="3" t="s">
        <v>128</v>
      </c>
      <c r="O2624" s="3" t="s">
        <v>13968</v>
      </c>
      <c r="P2624" s="5">
        <v>31</v>
      </c>
      <c r="Q2624" s="5">
        <v>620</v>
      </c>
      <c r="R2624" s="5">
        <v>31</v>
      </c>
      <c r="S2624" s="5">
        <v>614</v>
      </c>
    </row>
    <row r="2625" spans="1:19" ht="42" x14ac:dyDescent="0.15">
      <c r="A2625" s="2">
        <f>HYPERLINK("https://open-school.uspishnemisto.com.ua/school/140094/", 140094)</f>
        <v>140094</v>
      </c>
      <c r="B2625" s="3" t="s">
        <v>13969</v>
      </c>
      <c r="C2625" s="3" t="s">
        <v>31</v>
      </c>
      <c r="D2625" s="3" t="s">
        <v>32</v>
      </c>
      <c r="E2625" s="4" t="s">
        <v>22</v>
      </c>
      <c r="F2625" s="4" t="s">
        <v>13970</v>
      </c>
      <c r="G2625" s="4" t="s">
        <v>13925</v>
      </c>
      <c r="H2625" s="3" t="s">
        <v>13575</v>
      </c>
      <c r="I2625" s="3" t="s">
        <v>13926</v>
      </c>
      <c r="J2625" s="3" t="s">
        <v>13971</v>
      </c>
      <c r="K2625" s="3" t="s">
        <v>13972</v>
      </c>
      <c r="L2625" s="3" t="s">
        <v>13973</v>
      </c>
      <c r="M2625" s="4"/>
      <c r="N2625" s="3" t="s">
        <v>128</v>
      </c>
      <c r="O2625" s="3" t="s">
        <v>38</v>
      </c>
      <c r="P2625" s="5">
        <v>16</v>
      </c>
      <c r="Q2625" s="5">
        <v>330</v>
      </c>
      <c r="R2625" s="5">
        <v>16</v>
      </c>
      <c r="S2625" s="5">
        <v>325</v>
      </c>
    </row>
    <row r="2626" spans="1:19" ht="42" x14ac:dyDescent="0.15">
      <c r="A2626" s="2">
        <f>HYPERLINK("https://open-school.uspishnemisto.com.ua/school/140095/", 140095)</f>
        <v>140095</v>
      </c>
      <c r="B2626" s="3" t="s">
        <v>13974</v>
      </c>
      <c r="C2626" s="3" t="s">
        <v>31</v>
      </c>
      <c r="D2626" s="3" t="s">
        <v>32</v>
      </c>
      <c r="E2626" s="4" t="s">
        <v>22</v>
      </c>
      <c r="F2626" s="4" t="s">
        <v>13975</v>
      </c>
      <c r="G2626" s="4" t="s">
        <v>13925</v>
      </c>
      <c r="H2626" s="3" t="s">
        <v>13575</v>
      </c>
      <c r="I2626" s="3" t="s">
        <v>13926</v>
      </c>
      <c r="J2626" s="3" t="s">
        <v>13976</v>
      </c>
      <c r="K2626" s="3" t="s">
        <v>13977</v>
      </c>
      <c r="L2626" s="3" t="s">
        <v>13978</v>
      </c>
      <c r="M2626" s="4"/>
      <c r="N2626" s="3" t="s">
        <v>128</v>
      </c>
      <c r="O2626" s="3" t="s">
        <v>38</v>
      </c>
      <c r="P2626" s="5">
        <v>15</v>
      </c>
      <c r="Q2626" s="5">
        <v>302</v>
      </c>
      <c r="R2626" s="5">
        <v>16</v>
      </c>
      <c r="S2626" s="5">
        <v>322</v>
      </c>
    </row>
    <row r="2627" spans="1:19" ht="42" x14ac:dyDescent="0.15">
      <c r="A2627" s="2">
        <f>HYPERLINK("https://open-school.uspishnemisto.com.ua/school/140096/", 140096)</f>
        <v>140096</v>
      </c>
      <c r="B2627" s="3" t="s">
        <v>13979</v>
      </c>
      <c r="C2627" s="3" t="s">
        <v>31</v>
      </c>
      <c r="D2627" s="3" t="s">
        <v>32</v>
      </c>
      <c r="E2627" s="4" t="s">
        <v>22</v>
      </c>
      <c r="F2627" s="4" t="s">
        <v>13980</v>
      </c>
      <c r="G2627" s="4" t="s">
        <v>13925</v>
      </c>
      <c r="H2627" s="3" t="s">
        <v>13575</v>
      </c>
      <c r="I2627" s="3" t="s">
        <v>13926</v>
      </c>
      <c r="J2627" s="3" t="s">
        <v>13981</v>
      </c>
      <c r="K2627" s="3" t="s">
        <v>13982</v>
      </c>
      <c r="L2627" s="3" t="s">
        <v>13983</v>
      </c>
      <c r="M2627" s="4"/>
      <c r="N2627" s="3" t="s">
        <v>128</v>
      </c>
      <c r="O2627" s="3" t="s">
        <v>70</v>
      </c>
      <c r="P2627" s="5">
        <v>31</v>
      </c>
      <c r="Q2627" s="5">
        <v>732</v>
      </c>
      <c r="R2627" s="5">
        <v>20</v>
      </c>
      <c r="S2627" s="5">
        <v>512</v>
      </c>
    </row>
    <row r="2628" spans="1:19" ht="42" x14ac:dyDescent="0.15">
      <c r="A2628" s="2">
        <f>HYPERLINK("https://open-school.uspishnemisto.com.ua/school/140097/", 140097)</f>
        <v>140097</v>
      </c>
      <c r="B2628" s="3" t="s">
        <v>13984</v>
      </c>
      <c r="C2628" s="3" t="s">
        <v>31</v>
      </c>
      <c r="D2628" s="3" t="s">
        <v>32</v>
      </c>
      <c r="E2628" s="4" t="s">
        <v>22</v>
      </c>
      <c r="F2628" s="4" t="s">
        <v>13985</v>
      </c>
      <c r="G2628" s="4" t="s">
        <v>13925</v>
      </c>
      <c r="H2628" s="3" t="s">
        <v>13575</v>
      </c>
      <c r="I2628" s="3" t="s">
        <v>13926</v>
      </c>
      <c r="J2628" s="3" t="s">
        <v>13986</v>
      </c>
      <c r="K2628" s="3" t="s">
        <v>13987</v>
      </c>
      <c r="L2628" s="3" t="s">
        <v>13988</v>
      </c>
      <c r="M2628" s="4"/>
      <c r="N2628" s="3" t="s">
        <v>967</v>
      </c>
      <c r="O2628" s="3" t="s">
        <v>52</v>
      </c>
      <c r="P2628" s="5">
        <v>12</v>
      </c>
      <c r="Q2628" s="5">
        <v>309</v>
      </c>
      <c r="R2628" s="5">
        <v>12</v>
      </c>
      <c r="S2628" s="5">
        <v>286</v>
      </c>
    </row>
    <row r="2629" spans="1:19" ht="42" x14ac:dyDescent="0.15">
      <c r="A2629" s="2">
        <f>HYPERLINK("https://open-school.uspishnemisto.com.ua/school/140098/", 140098)</f>
        <v>140098</v>
      </c>
      <c r="B2629" s="3" t="s">
        <v>13989</v>
      </c>
      <c r="C2629" s="3" t="s">
        <v>31</v>
      </c>
      <c r="D2629" s="3" t="s">
        <v>32</v>
      </c>
      <c r="E2629" s="4" t="s">
        <v>22</v>
      </c>
      <c r="F2629" s="4" t="s">
        <v>13985</v>
      </c>
      <c r="G2629" s="4" t="s">
        <v>13925</v>
      </c>
      <c r="H2629" s="3" t="s">
        <v>13575</v>
      </c>
      <c r="I2629" s="3" t="s">
        <v>13926</v>
      </c>
      <c r="J2629" s="3" t="s">
        <v>13990</v>
      </c>
      <c r="K2629" s="3" t="s">
        <v>13991</v>
      </c>
      <c r="L2629" s="3" t="s">
        <v>13992</v>
      </c>
      <c r="M2629" s="4"/>
      <c r="N2629" s="3" t="s">
        <v>37</v>
      </c>
      <c r="O2629" s="3" t="s">
        <v>38</v>
      </c>
      <c r="P2629" s="5">
        <v>9</v>
      </c>
      <c r="Q2629" s="5">
        <v>198</v>
      </c>
      <c r="R2629" s="5">
        <v>9</v>
      </c>
      <c r="S2629" s="5">
        <v>192</v>
      </c>
    </row>
    <row r="2630" spans="1:19" ht="42" x14ac:dyDescent="0.15">
      <c r="A2630" s="2">
        <f>HYPERLINK("https://open-school.uspishnemisto.com.ua/school/140099/", 140099)</f>
        <v>140099</v>
      </c>
      <c r="B2630" s="3" t="s">
        <v>13993</v>
      </c>
      <c r="C2630" s="3" t="s">
        <v>31</v>
      </c>
      <c r="D2630" s="3" t="s">
        <v>32</v>
      </c>
      <c r="E2630" s="4" t="s">
        <v>22</v>
      </c>
      <c r="F2630" s="4" t="s">
        <v>13994</v>
      </c>
      <c r="G2630" s="4" t="s">
        <v>13925</v>
      </c>
      <c r="H2630" s="3" t="s">
        <v>13575</v>
      </c>
      <c r="I2630" s="3" t="s">
        <v>13926</v>
      </c>
      <c r="J2630" s="3" t="s">
        <v>13995</v>
      </c>
      <c r="K2630" s="3" t="s">
        <v>13996</v>
      </c>
      <c r="L2630" s="3" t="s">
        <v>13997</v>
      </c>
      <c r="M2630" s="4"/>
      <c r="N2630" s="3" t="s">
        <v>37</v>
      </c>
      <c r="O2630" s="3" t="s">
        <v>70</v>
      </c>
      <c r="P2630" s="5">
        <v>16</v>
      </c>
      <c r="Q2630" s="5">
        <v>367</v>
      </c>
      <c r="R2630" s="5">
        <v>16</v>
      </c>
      <c r="S2630" s="5">
        <v>358</v>
      </c>
    </row>
    <row r="2631" spans="1:19" ht="42" x14ac:dyDescent="0.15">
      <c r="A2631" s="2">
        <f>HYPERLINK("https://open-school.uspishnemisto.com.ua/school/140100/", 140100)</f>
        <v>140100</v>
      </c>
      <c r="B2631" s="3" t="s">
        <v>13998</v>
      </c>
      <c r="C2631" s="3" t="s">
        <v>31</v>
      </c>
      <c r="D2631" s="3" t="s">
        <v>32</v>
      </c>
      <c r="E2631" s="4" t="s">
        <v>22</v>
      </c>
      <c r="F2631" s="4" t="s">
        <v>13999</v>
      </c>
      <c r="G2631" s="4" t="s">
        <v>13925</v>
      </c>
      <c r="H2631" s="3" t="s">
        <v>13575</v>
      </c>
      <c r="I2631" s="3" t="s">
        <v>13926</v>
      </c>
      <c r="J2631" s="3" t="s">
        <v>14000</v>
      </c>
      <c r="K2631" s="3" t="s">
        <v>14001</v>
      </c>
      <c r="L2631" s="3" t="s">
        <v>14002</v>
      </c>
      <c r="M2631" s="4"/>
      <c r="N2631" s="3" t="s">
        <v>967</v>
      </c>
      <c r="O2631" s="3" t="s">
        <v>52</v>
      </c>
      <c r="P2631" s="5">
        <v>9</v>
      </c>
      <c r="Q2631" s="5">
        <v>221</v>
      </c>
      <c r="R2631" s="5">
        <v>9</v>
      </c>
      <c r="S2631" s="5">
        <v>221</v>
      </c>
    </row>
    <row r="2632" spans="1:19" ht="42" x14ac:dyDescent="0.15">
      <c r="A2632" s="2">
        <f>HYPERLINK("https://open-school.uspishnemisto.com.ua/school/140101/", 140101)</f>
        <v>140101</v>
      </c>
      <c r="B2632" s="3" t="s">
        <v>14003</v>
      </c>
      <c r="C2632" s="3" t="s">
        <v>31</v>
      </c>
      <c r="D2632" s="3" t="s">
        <v>32</v>
      </c>
      <c r="E2632" s="4" t="s">
        <v>22</v>
      </c>
      <c r="F2632" s="4" t="s">
        <v>14004</v>
      </c>
      <c r="G2632" s="4" t="s">
        <v>13925</v>
      </c>
      <c r="H2632" s="3" t="s">
        <v>13575</v>
      </c>
      <c r="I2632" s="3" t="s">
        <v>13926</v>
      </c>
      <c r="J2632" s="3" t="s">
        <v>14005</v>
      </c>
      <c r="K2632" s="3" t="s">
        <v>14006</v>
      </c>
      <c r="L2632" s="3" t="s">
        <v>14007</v>
      </c>
      <c r="M2632" s="4"/>
      <c r="N2632" s="3" t="s">
        <v>967</v>
      </c>
      <c r="O2632" s="3" t="s">
        <v>46</v>
      </c>
      <c r="P2632" s="5">
        <v>9</v>
      </c>
      <c r="Q2632" s="5">
        <v>170</v>
      </c>
      <c r="R2632" s="5">
        <v>9</v>
      </c>
      <c r="S2632" s="5">
        <v>179</v>
      </c>
    </row>
    <row r="2633" spans="1:19" ht="42" x14ac:dyDescent="0.15">
      <c r="A2633" s="2">
        <f>HYPERLINK("https://open-school.uspishnemisto.com.ua/school/140102/", 140102)</f>
        <v>140102</v>
      </c>
      <c r="B2633" s="3" t="s">
        <v>14008</v>
      </c>
      <c r="C2633" s="3" t="s">
        <v>31</v>
      </c>
      <c r="D2633" s="3" t="s">
        <v>32</v>
      </c>
      <c r="E2633" s="4" t="s">
        <v>22</v>
      </c>
      <c r="F2633" s="4" t="s">
        <v>14009</v>
      </c>
      <c r="G2633" s="4" t="s">
        <v>13925</v>
      </c>
      <c r="H2633" s="3" t="s">
        <v>13575</v>
      </c>
      <c r="I2633" s="3" t="s">
        <v>13926</v>
      </c>
      <c r="J2633" s="3" t="s">
        <v>14010</v>
      </c>
      <c r="K2633" s="3" t="s">
        <v>14011</v>
      </c>
      <c r="L2633" s="3" t="s">
        <v>14012</v>
      </c>
      <c r="M2633" s="4"/>
      <c r="N2633" s="3" t="s">
        <v>967</v>
      </c>
      <c r="O2633" s="3" t="s">
        <v>52</v>
      </c>
      <c r="P2633" s="5">
        <v>38</v>
      </c>
      <c r="Q2633" s="5">
        <v>923</v>
      </c>
      <c r="R2633" s="5">
        <v>36</v>
      </c>
      <c r="S2633" s="5">
        <v>941</v>
      </c>
    </row>
    <row r="2634" spans="1:19" ht="42" x14ac:dyDescent="0.15">
      <c r="A2634" s="2">
        <f>HYPERLINK("https://open-school.uspishnemisto.com.ua/school/140103/", 140103)</f>
        <v>140103</v>
      </c>
      <c r="B2634" s="3" t="s">
        <v>14013</v>
      </c>
      <c r="C2634" s="3" t="s">
        <v>31</v>
      </c>
      <c r="D2634" s="3" t="s">
        <v>32</v>
      </c>
      <c r="E2634" s="4" t="s">
        <v>22</v>
      </c>
      <c r="F2634" s="4" t="s">
        <v>14014</v>
      </c>
      <c r="G2634" s="4" t="s">
        <v>13925</v>
      </c>
      <c r="H2634" s="3" t="s">
        <v>13575</v>
      </c>
      <c r="I2634" s="3" t="s">
        <v>13926</v>
      </c>
      <c r="J2634" s="3" t="s">
        <v>14015</v>
      </c>
      <c r="K2634" s="3" t="s">
        <v>14016</v>
      </c>
      <c r="L2634" s="3" t="s">
        <v>14017</v>
      </c>
      <c r="M2634" s="4"/>
      <c r="N2634" s="3" t="s">
        <v>37</v>
      </c>
      <c r="O2634" s="3" t="s">
        <v>38</v>
      </c>
      <c r="P2634" s="5">
        <v>18</v>
      </c>
      <c r="Q2634" s="5">
        <v>432</v>
      </c>
      <c r="R2634" s="5">
        <v>19</v>
      </c>
      <c r="S2634" s="5">
        <v>416</v>
      </c>
    </row>
    <row r="2635" spans="1:19" ht="42" x14ac:dyDescent="0.15">
      <c r="A2635" s="2">
        <f>HYPERLINK("https://open-school.uspishnemisto.com.ua/school/140104/", 140104)</f>
        <v>140104</v>
      </c>
      <c r="B2635" s="3" t="s">
        <v>14018</v>
      </c>
      <c r="C2635" s="3" t="s">
        <v>31</v>
      </c>
      <c r="D2635" s="3" t="s">
        <v>32</v>
      </c>
      <c r="E2635" s="4" t="s">
        <v>22</v>
      </c>
      <c r="F2635" s="4" t="s">
        <v>14019</v>
      </c>
      <c r="G2635" s="4" t="s">
        <v>13925</v>
      </c>
      <c r="H2635" s="3" t="s">
        <v>13575</v>
      </c>
      <c r="I2635" s="3" t="s">
        <v>13926</v>
      </c>
      <c r="J2635" s="3" t="s">
        <v>14020</v>
      </c>
      <c r="K2635" s="3" t="s">
        <v>14021</v>
      </c>
      <c r="L2635" s="3" t="s">
        <v>14022</v>
      </c>
      <c r="M2635" s="4"/>
      <c r="N2635" s="3" t="s">
        <v>128</v>
      </c>
      <c r="O2635" s="3" t="s">
        <v>14023</v>
      </c>
      <c r="P2635" s="5">
        <v>31</v>
      </c>
      <c r="Q2635" s="5">
        <v>793</v>
      </c>
      <c r="R2635" s="5">
        <v>30</v>
      </c>
      <c r="S2635" s="5">
        <v>763</v>
      </c>
    </row>
    <row r="2636" spans="1:19" ht="42" x14ac:dyDescent="0.15">
      <c r="A2636" s="2">
        <f>HYPERLINK("https://open-school.uspishnemisto.com.ua/school/140105/", 140105)</f>
        <v>140105</v>
      </c>
      <c r="B2636" s="3" t="s">
        <v>14024</v>
      </c>
      <c r="C2636" s="3" t="s">
        <v>31</v>
      </c>
      <c r="D2636" s="3" t="s">
        <v>32</v>
      </c>
      <c r="E2636" s="4" t="s">
        <v>22</v>
      </c>
      <c r="F2636" s="4" t="s">
        <v>14025</v>
      </c>
      <c r="G2636" s="4" t="s">
        <v>13925</v>
      </c>
      <c r="H2636" s="3" t="s">
        <v>13575</v>
      </c>
      <c r="I2636" s="3" t="s">
        <v>13926</v>
      </c>
      <c r="J2636" s="3" t="s">
        <v>14026</v>
      </c>
      <c r="K2636" s="3" t="s">
        <v>14027</v>
      </c>
      <c r="L2636" s="3" t="s">
        <v>14028</v>
      </c>
      <c r="M2636" s="4"/>
      <c r="N2636" s="3" t="s">
        <v>37</v>
      </c>
      <c r="O2636" s="3" t="s">
        <v>70</v>
      </c>
      <c r="P2636" s="5">
        <v>20</v>
      </c>
      <c r="Q2636" s="5">
        <v>456</v>
      </c>
      <c r="R2636" s="5">
        <v>19</v>
      </c>
      <c r="S2636" s="5">
        <v>456</v>
      </c>
    </row>
    <row r="2637" spans="1:19" ht="42" x14ac:dyDescent="0.15">
      <c r="A2637" s="2">
        <f>HYPERLINK("https://open-school.uspishnemisto.com.ua/school/140106/", 140106)</f>
        <v>140106</v>
      </c>
      <c r="B2637" s="3" t="s">
        <v>14029</v>
      </c>
      <c r="C2637" s="3" t="s">
        <v>31</v>
      </c>
      <c r="D2637" s="3" t="s">
        <v>32</v>
      </c>
      <c r="E2637" s="4" t="s">
        <v>22</v>
      </c>
      <c r="F2637" s="4" t="s">
        <v>13924</v>
      </c>
      <c r="G2637" s="4" t="s">
        <v>13925</v>
      </c>
      <c r="H2637" s="3" t="s">
        <v>13575</v>
      </c>
      <c r="I2637" s="3" t="s">
        <v>13926</v>
      </c>
      <c r="J2637" s="3" t="s">
        <v>14030</v>
      </c>
      <c r="K2637" s="3" t="s">
        <v>14031</v>
      </c>
      <c r="L2637" s="3" t="s">
        <v>14032</v>
      </c>
      <c r="M2637" s="4"/>
      <c r="N2637" s="3" t="s">
        <v>967</v>
      </c>
      <c r="O2637" s="3" t="s">
        <v>2740</v>
      </c>
      <c r="P2637" s="5">
        <v>43</v>
      </c>
      <c r="Q2637" s="5">
        <v>1226</v>
      </c>
      <c r="R2637" s="5">
        <v>42</v>
      </c>
      <c r="S2637" s="5">
        <v>1196</v>
      </c>
    </row>
    <row r="2638" spans="1:19" ht="42" x14ac:dyDescent="0.15">
      <c r="A2638" s="2">
        <f>HYPERLINK("https://open-school.uspishnemisto.com.ua/school/140107/", 140107)</f>
        <v>140107</v>
      </c>
      <c r="B2638" s="3" t="s">
        <v>14033</v>
      </c>
      <c r="C2638" s="3" t="s">
        <v>31</v>
      </c>
      <c r="D2638" s="3" t="s">
        <v>32</v>
      </c>
      <c r="E2638" s="4" t="s">
        <v>22</v>
      </c>
      <c r="F2638" s="4" t="s">
        <v>14034</v>
      </c>
      <c r="G2638" s="4" t="s">
        <v>13925</v>
      </c>
      <c r="H2638" s="3" t="s">
        <v>13575</v>
      </c>
      <c r="I2638" s="3" t="s">
        <v>13926</v>
      </c>
      <c r="J2638" s="3" t="s">
        <v>14035</v>
      </c>
      <c r="K2638" s="3" t="s">
        <v>14036</v>
      </c>
      <c r="L2638" s="3" t="s">
        <v>14037</v>
      </c>
      <c r="M2638" s="4"/>
      <c r="N2638" s="3" t="s">
        <v>967</v>
      </c>
      <c r="O2638" s="3" t="s">
        <v>46</v>
      </c>
      <c r="P2638" s="5">
        <v>34</v>
      </c>
      <c r="Q2638" s="5">
        <v>859</v>
      </c>
      <c r="R2638" s="5">
        <v>34</v>
      </c>
      <c r="S2638" s="5">
        <v>804</v>
      </c>
    </row>
    <row r="2639" spans="1:19" ht="42" x14ac:dyDescent="0.15">
      <c r="A2639" s="2">
        <f>HYPERLINK("https://open-school.uspishnemisto.com.ua/school/140108/", 140108)</f>
        <v>140108</v>
      </c>
      <c r="B2639" s="3" t="s">
        <v>14038</v>
      </c>
      <c r="C2639" s="3" t="s">
        <v>31</v>
      </c>
      <c r="D2639" s="3" t="s">
        <v>32</v>
      </c>
      <c r="E2639" s="4" t="s">
        <v>22</v>
      </c>
      <c r="F2639" s="4" t="s">
        <v>14039</v>
      </c>
      <c r="G2639" s="4" t="s">
        <v>13925</v>
      </c>
      <c r="H2639" s="3" t="s">
        <v>13575</v>
      </c>
      <c r="I2639" s="3" t="s">
        <v>13926</v>
      </c>
      <c r="J2639" s="3" t="s">
        <v>14040</v>
      </c>
      <c r="K2639" s="3" t="s">
        <v>14041</v>
      </c>
      <c r="L2639" s="3" t="s">
        <v>14042</v>
      </c>
      <c r="M2639" s="4"/>
      <c r="N2639" s="3" t="s">
        <v>967</v>
      </c>
      <c r="O2639" s="3" t="s">
        <v>46</v>
      </c>
      <c r="P2639" s="5">
        <v>20</v>
      </c>
      <c r="Q2639" s="5">
        <v>463</v>
      </c>
      <c r="R2639" s="5">
        <v>21</v>
      </c>
      <c r="S2639" s="5">
        <v>461</v>
      </c>
    </row>
    <row r="2640" spans="1:19" ht="42" x14ac:dyDescent="0.15">
      <c r="A2640" s="2">
        <f>HYPERLINK("https://open-school.uspishnemisto.com.ua/school/140109/", 140109)</f>
        <v>140109</v>
      </c>
      <c r="B2640" s="3" t="s">
        <v>14043</v>
      </c>
      <c r="C2640" s="3" t="s">
        <v>31</v>
      </c>
      <c r="D2640" s="3" t="s">
        <v>32</v>
      </c>
      <c r="E2640" s="4" t="s">
        <v>22</v>
      </c>
      <c r="F2640" s="4" t="s">
        <v>14025</v>
      </c>
      <c r="G2640" s="4" t="s">
        <v>13925</v>
      </c>
      <c r="H2640" s="3" t="s">
        <v>13575</v>
      </c>
      <c r="I2640" s="3" t="s">
        <v>13926</v>
      </c>
      <c r="J2640" s="3" t="s">
        <v>14044</v>
      </c>
      <c r="K2640" s="3" t="s">
        <v>14045</v>
      </c>
      <c r="L2640" s="3" t="s">
        <v>14046</v>
      </c>
      <c r="M2640" s="4"/>
      <c r="N2640" s="3" t="s">
        <v>128</v>
      </c>
      <c r="O2640" s="3" t="s">
        <v>721</v>
      </c>
      <c r="P2640" s="5">
        <v>42</v>
      </c>
      <c r="Q2640" s="5">
        <v>1342</v>
      </c>
      <c r="R2640" s="5">
        <v>41</v>
      </c>
      <c r="S2640" s="5">
        <v>1259</v>
      </c>
    </row>
    <row r="2641" spans="1:19" ht="42" x14ac:dyDescent="0.15">
      <c r="A2641" s="2">
        <f>HYPERLINK("https://open-school.uspishnemisto.com.ua/school/140111/", 140111)</f>
        <v>140111</v>
      </c>
      <c r="B2641" s="3" t="s">
        <v>14047</v>
      </c>
      <c r="C2641" s="3" t="s">
        <v>31</v>
      </c>
      <c r="D2641" s="3" t="s">
        <v>32</v>
      </c>
      <c r="E2641" s="4" t="s">
        <v>22</v>
      </c>
      <c r="F2641" s="4" t="s">
        <v>13994</v>
      </c>
      <c r="G2641" s="4" t="s">
        <v>13925</v>
      </c>
      <c r="H2641" s="3" t="s">
        <v>13575</v>
      </c>
      <c r="I2641" s="3" t="s">
        <v>13926</v>
      </c>
      <c r="J2641" s="3" t="s">
        <v>14048</v>
      </c>
      <c r="K2641" s="3" t="s">
        <v>14049</v>
      </c>
      <c r="L2641" s="3" t="s">
        <v>14050</v>
      </c>
      <c r="M2641" s="4"/>
      <c r="N2641" s="3" t="s">
        <v>967</v>
      </c>
      <c r="O2641" s="3" t="s">
        <v>52</v>
      </c>
      <c r="P2641" s="5">
        <v>22</v>
      </c>
      <c r="Q2641" s="5">
        <v>576</v>
      </c>
      <c r="R2641" s="5">
        <v>19</v>
      </c>
      <c r="S2641" s="5">
        <v>473</v>
      </c>
    </row>
    <row r="2642" spans="1:19" ht="42" x14ac:dyDescent="0.15">
      <c r="A2642" s="2">
        <f>HYPERLINK("https://open-school.uspishnemisto.com.ua/school/140112/", 140112)</f>
        <v>140112</v>
      </c>
      <c r="B2642" s="3" t="s">
        <v>14051</v>
      </c>
      <c r="C2642" s="3" t="s">
        <v>31</v>
      </c>
      <c r="D2642" s="3" t="s">
        <v>32</v>
      </c>
      <c r="E2642" s="4" t="s">
        <v>22</v>
      </c>
      <c r="F2642" s="4" t="s">
        <v>14052</v>
      </c>
      <c r="G2642" s="4" t="s">
        <v>13925</v>
      </c>
      <c r="H2642" s="3" t="s">
        <v>13575</v>
      </c>
      <c r="I2642" s="3" t="s">
        <v>13926</v>
      </c>
      <c r="J2642" s="3" t="s">
        <v>14053</v>
      </c>
      <c r="K2642" s="3" t="s">
        <v>14054</v>
      </c>
      <c r="L2642" s="3" t="s">
        <v>14055</v>
      </c>
      <c r="M2642" s="4"/>
      <c r="N2642" s="3" t="s">
        <v>37</v>
      </c>
      <c r="O2642" s="3" t="s">
        <v>721</v>
      </c>
      <c r="P2642" s="5">
        <v>13</v>
      </c>
      <c r="Q2642" s="5">
        <v>326</v>
      </c>
      <c r="R2642" s="5">
        <v>14</v>
      </c>
      <c r="S2642" s="5">
        <v>312</v>
      </c>
    </row>
    <row r="2643" spans="1:19" ht="42" x14ac:dyDescent="0.15">
      <c r="A2643" s="2">
        <f>HYPERLINK("https://open-school.uspishnemisto.com.ua/school/140113/", 140113)</f>
        <v>140113</v>
      </c>
      <c r="B2643" s="3" t="s">
        <v>14056</v>
      </c>
      <c r="C2643" s="3" t="s">
        <v>31</v>
      </c>
      <c r="D2643" s="3" t="s">
        <v>32</v>
      </c>
      <c r="E2643" s="4" t="s">
        <v>22</v>
      </c>
      <c r="F2643" s="4" t="s">
        <v>14019</v>
      </c>
      <c r="G2643" s="4" t="s">
        <v>13925</v>
      </c>
      <c r="H2643" s="3" t="s">
        <v>13575</v>
      </c>
      <c r="I2643" s="3" t="s">
        <v>13926</v>
      </c>
      <c r="J2643" s="3" t="s">
        <v>14057</v>
      </c>
      <c r="K2643" s="3" t="s">
        <v>14058</v>
      </c>
      <c r="L2643" s="3" t="s">
        <v>14059</v>
      </c>
      <c r="M2643" s="4"/>
      <c r="N2643" s="3" t="s">
        <v>128</v>
      </c>
      <c r="O2643" s="3" t="s">
        <v>70</v>
      </c>
      <c r="P2643" s="5">
        <v>22</v>
      </c>
      <c r="Q2643" s="5">
        <v>484</v>
      </c>
      <c r="R2643" s="5">
        <v>22</v>
      </c>
      <c r="S2643" s="5">
        <v>487</v>
      </c>
    </row>
    <row r="2644" spans="1:19" ht="42" x14ac:dyDescent="0.15">
      <c r="A2644" s="2">
        <f>HYPERLINK("https://open-school.uspishnemisto.com.ua/school/140114/", 140114)</f>
        <v>140114</v>
      </c>
      <c r="B2644" s="3" t="s">
        <v>14060</v>
      </c>
      <c r="C2644" s="3" t="s">
        <v>31</v>
      </c>
      <c r="D2644" s="3" t="s">
        <v>32</v>
      </c>
      <c r="E2644" s="4" t="s">
        <v>22</v>
      </c>
      <c r="F2644" s="4" t="s">
        <v>14061</v>
      </c>
      <c r="G2644" s="4" t="s">
        <v>13925</v>
      </c>
      <c r="H2644" s="3" t="s">
        <v>13575</v>
      </c>
      <c r="I2644" s="3" t="s">
        <v>13926</v>
      </c>
      <c r="J2644" s="3" t="s">
        <v>14062</v>
      </c>
      <c r="K2644" s="3" t="s">
        <v>14063</v>
      </c>
      <c r="L2644" s="3" t="s">
        <v>14064</v>
      </c>
      <c r="M2644" s="4"/>
      <c r="N2644" s="3" t="s">
        <v>128</v>
      </c>
      <c r="O2644" s="3" t="s">
        <v>38</v>
      </c>
      <c r="P2644" s="5">
        <v>24</v>
      </c>
      <c r="Q2644" s="5">
        <v>640</v>
      </c>
      <c r="R2644" s="5">
        <v>23</v>
      </c>
      <c r="S2644" s="5">
        <v>602</v>
      </c>
    </row>
    <row r="2645" spans="1:19" ht="42" x14ac:dyDescent="0.15">
      <c r="A2645" s="2">
        <f>HYPERLINK("https://open-school.uspishnemisto.com.ua/school/140115/", 140115)</f>
        <v>140115</v>
      </c>
      <c r="B2645" s="3" t="s">
        <v>14065</v>
      </c>
      <c r="C2645" s="3" t="s">
        <v>31</v>
      </c>
      <c r="D2645" s="3" t="s">
        <v>32</v>
      </c>
      <c r="E2645" s="4" t="s">
        <v>22</v>
      </c>
      <c r="F2645" s="4" t="s">
        <v>14066</v>
      </c>
      <c r="G2645" s="4" t="s">
        <v>13925</v>
      </c>
      <c r="H2645" s="3" t="s">
        <v>13575</v>
      </c>
      <c r="I2645" s="3" t="s">
        <v>13926</v>
      </c>
      <c r="J2645" s="3" t="s">
        <v>14067</v>
      </c>
      <c r="K2645" s="3" t="s">
        <v>14068</v>
      </c>
      <c r="L2645" s="3" t="s">
        <v>14069</v>
      </c>
      <c r="M2645" s="4"/>
      <c r="N2645" s="3" t="s">
        <v>128</v>
      </c>
      <c r="O2645" s="3" t="s">
        <v>721</v>
      </c>
      <c r="P2645" s="5">
        <v>26</v>
      </c>
      <c r="Q2645" s="5">
        <v>725</v>
      </c>
      <c r="R2645" s="5">
        <v>26</v>
      </c>
      <c r="S2645" s="5">
        <v>720</v>
      </c>
    </row>
    <row r="2646" spans="1:19" ht="42" x14ac:dyDescent="0.15">
      <c r="A2646" s="2">
        <f>HYPERLINK("https://open-school.uspishnemisto.com.ua/school/140116/", 140116)</f>
        <v>140116</v>
      </c>
      <c r="B2646" s="3" t="s">
        <v>14070</v>
      </c>
      <c r="C2646" s="3" t="s">
        <v>31</v>
      </c>
      <c r="D2646" s="3" t="s">
        <v>32</v>
      </c>
      <c r="E2646" s="4" t="s">
        <v>22</v>
      </c>
      <c r="F2646" s="4" t="s">
        <v>14014</v>
      </c>
      <c r="G2646" s="4" t="s">
        <v>13925</v>
      </c>
      <c r="H2646" s="3" t="s">
        <v>13575</v>
      </c>
      <c r="I2646" s="3" t="s">
        <v>13926</v>
      </c>
      <c r="J2646" s="3" t="s">
        <v>14071</v>
      </c>
      <c r="K2646" s="3" t="s">
        <v>14072</v>
      </c>
      <c r="L2646" s="3" t="s">
        <v>14073</v>
      </c>
      <c r="M2646" s="4"/>
      <c r="N2646" s="3" t="s">
        <v>967</v>
      </c>
      <c r="O2646" s="3" t="s">
        <v>52</v>
      </c>
      <c r="P2646" s="5">
        <v>9</v>
      </c>
      <c r="Q2646" s="5">
        <v>163</v>
      </c>
      <c r="R2646" s="5">
        <v>9</v>
      </c>
      <c r="S2646" s="5">
        <v>168</v>
      </c>
    </row>
    <row r="2647" spans="1:19" ht="42" x14ac:dyDescent="0.15">
      <c r="A2647" s="2">
        <f>HYPERLINK("https://open-school.uspishnemisto.com.ua/school/140117/", 140117)</f>
        <v>140117</v>
      </c>
      <c r="B2647" s="3" t="s">
        <v>14074</v>
      </c>
      <c r="C2647" s="3" t="s">
        <v>31</v>
      </c>
      <c r="D2647" s="3" t="s">
        <v>32</v>
      </c>
      <c r="E2647" s="4" t="s">
        <v>22</v>
      </c>
      <c r="F2647" s="4" t="s">
        <v>14075</v>
      </c>
      <c r="G2647" s="4" t="s">
        <v>13925</v>
      </c>
      <c r="H2647" s="3" t="s">
        <v>13575</v>
      </c>
      <c r="I2647" s="3" t="s">
        <v>13926</v>
      </c>
      <c r="J2647" s="3" t="s">
        <v>14076</v>
      </c>
      <c r="K2647" s="3" t="s">
        <v>14077</v>
      </c>
      <c r="L2647" s="3" t="s">
        <v>14078</v>
      </c>
      <c r="M2647" s="4"/>
      <c r="N2647" s="3" t="s">
        <v>37</v>
      </c>
      <c r="O2647" s="3" t="s">
        <v>70</v>
      </c>
      <c r="P2647" s="5">
        <v>21</v>
      </c>
      <c r="Q2647" s="5">
        <v>507</v>
      </c>
      <c r="R2647" s="5">
        <v>22</v>
      </c>
      <c r="S2647" s="5">
        <v>505</v>
      </c>
    </row>
    <row r="2648" spans="1:19" ht="42" x14ac:dyDescent="0.15">
      <c r="A2648" s="2">
        <f>HYPERLINK("https://open-school.uspishnemisto.com.ua/school/140118/", 140118)</f>
        <v>140118</v>
      </c>
      <c r="B2648" s="3" t="s">
        <v>14079</v>
      </c>
      <c r="C2648" s="3" t="s">
        <v>31</v>
      </c>
      <c r="D2648" s="3" t="s">
        <v>32</v>
      </c>
      <c r="E2648" s="4" t="s">
        <v>22</v>
      </c>
      <c r="F2648" s="4" t="s">
        <v>14080</v>
      </c>
      <c r="G2648" s="4" t="s">
        <v>13925</v>
      </c>
      <c r="H2648" s="3" t="s">
        <v>13575</v>
      </c>
      <c r="I2648" s="3" t="s">
        <v>13926</v>
      </c>
      <c r="J2648" s="3" t="s">
        <v>14081</v>
      </c>
      <c r="K2648" s="3" t="s">
        <v>14082</v>
      </c>
      <c r="L2648" s="3" t="s">
        <v>14083</v>
      </c>
      <c r="M2648" s="4"/>
      <c r="N2648" s="3" t="s">
        <v>128</v>
      </c>
      <c r="O2648" s="3" t="s">
        <v>70</v>
      </c>
      <c r="P2648" s="5">
        <v>26</v>
      </c>
      <c r="Q2648" s="5">
        <v>660</v>
      </c>
      <c r="R2648" s="5">
        <v>28</v>
      </c>
      <c r="S2648" s="5">
        <v>669</v>
      </c>
    </row>
    <row r="2649" spans="1:19" ht="42" x14ac:dyDescent="0.15">
      <c r="A2649" s="2">
        <f>HYPERLINK("https://open-school.uspishnemisto.com.ua/school/140119/", 140119)</f>
        <v>140119</v>
      </c>
      <c r="B2649" s="3" t="s">
        <v>14084</v>
      </c>
      <c r="C2649" s="3" t="s">
        <v>31</v>
      </c>
      <c r="D2649" s="3" t="s">
        <v>32</v>
      </c>
      <c r="E2649" s="4" t="s">
        <v>22</v>
      </c>
      <c r="F2649" s="4" t="s">
        <v>14085</v>
      </c>
      <c r="G2649" s="4" t="s">
        <v>13925</v>
      </c>
      <c r="H2649" s="3" t="s">
        <v>13575</v>
      </c>
      <c r="I2649" s="3" t="s">
        <v>13926</v>
      </c>
      <c r="J2649" s="3" t="s">
        <v>14086</v>
      </c>
      <c r="K2649" s="3" t="s">
        <v>14087</v>
      </c>
      <c r="L2649" s="3" t="s">
        <v>14088</v>
      </c>
      <c r="M2649" s="4"/>
      <c r="N2649" s="3" t="s">
        <v>128</v>
      </c>
      <c r="O2649" s="3" t="s">
        <v>38</v>
      </c>
      <c r="P2649" s="5">
        <v>45</v>
      </c>
      <c r="Q2649" s="5">
        <v>1173</v>
      </c>
      <c r="R2649" s="5">
        <v>46</v>
      </c>
      <c r="S2649" s="5">
        <v>1152</v>
      </c>
    </row>
    <row r="2650" spans="1:19" ht="42" x14ac:dyDescent="0.15">
      <c r="A2650" s="2">
        <f>HYPERLINK("https://open-school.uspishnemisto.com.ua/school/140120/", 140120)</f>
        <v>140120</v>
      </c>
      <c r="B2650" s="3" t="s">
        <v>14089</v>
      </c>
      <c r="C2650" s="3" t="s">
        <v>31</v>
      </c>
      <c r="D2650" s="3" t="s">
        <v>32</v>
      </c>
      <c r="E2650" s="4" t="s">
        <v>22</v>
      </c>
      <c r="F2650" s="4" t="s">
        <v>14090</v>
      </c>
      <c r="G2650" s="4" t="s">
        <v>13925</v>
      </c>
      <c r="H2650" s="3" t="s">
        <v>13575</v>
      </c>
      <c r="I2650" s="3" t="s">
        <v>13926</v>
      </c>
      <c r="J2650" s="3" t="s">
        <v>14091</v>
      </c>
      <c r="K2650" s="3" t="s">
        <v>14092</v>
      </c>
      <c r="L2650" s="3" t="s">
        <v>14093</v>
      </c>
      <c r="M2650" s="4"/>
      <c r="N2650" s="3" t="s">
        <v>128</v>
      </c>
      <c r="O2650" s="3" t="s">
        <v>721</v>
      </c>
      <c r="P2650" s="5">
        <v>19</v>
      </c>
      <c r="Q2650" s="5">
        <v>430</v>
      </c>
      <c r="R2650" s="5">
        <v>19</v>
      </c>
      <c r="S2650" s="5">
        <v>412</v>
      </c>
    </row>
    <row r="2651" spans="1:19" ht="42" x14ac:dyDescent="0.15">
      <c r="A2651" s="2">
        <f>HYPERLINK("https://open-school.uspishnemisto.com.ua/school/140121/", 140121)</f>
        <v>140121</v>
      </c>
      <c r="B2651" s="3" t="s">
        <v>14094</v>
      </c>
      <c r="C2651" s="3" t="s">
        <v>31</v>
      </c>
      <c r="D2651" s="3" t="s">
        <v>32</v>
      </c>
      <c r="E2651" s="4" t="s">
        <v>22</v>
      </c>
      <c r="F2651" s="4" t="s">
        <v>14095</v>
      </c>
      <c r="G2651" s="4" t="s">
        <v>13925</v>
      </c>
      <c r="H2651" s="3" t="s">
        <v>13575</v>
      </c>
      <c r="I2651" s="3" t="s">
        <v>13926</v>
      </c>
      <c r="J2651" s="3" t="s">
        <v>14096</v>
      </c>
      <c r="K2651" s="3" t="s">
        <v>14097</v>
      </c>
      <c r="L2651" s="3" t="s">
        <v>14098</v>
      </c>
      <c r="M2651" s="4"/>
      <c r="N2651" s="3" t="s">
        <v>37</v>
      </c>
      <c r="O2651" s="3" t="s">
        <v>70</v>
      </c>
      <c r="P2651" s="5">
        <v>17</v>
      </c>
      <c r="Q2651" s="5">
        <v>380</v>
      </c>
      <c r="R2651" s="5">
        <v>18</v>
      </c>
      <c r="S2651" s="5">
        <v>380</v>
      </c>
    </row>
    <row r="2652" spans="1:19" ht="42" x14ac:dyDescent="0.15">
      <c r="A2652" s="2">
        <f>HYPERLINK("https://open-school.uspishnemisto.com.ua/school/140122/", 140122)</f>
        <v>140122</v>
      </c>
      <c r="B2652" s="3" t="s">
        <v>14099</v>
      </c>
      <c r="C2652" s="3" t="s">
        <v>31</v>
      </c>
      <c r="D2652" s="3" t="s">
        <v>32</v>
      </c>
      <c r="E2652" s="4" t="s">
        <v>22</v>
      </c>
      <c r="F2652" s="4" t="s">
        <v>14100</v>
      </c>
      <c r="G2652" s="4" t="s">
        <v>13925</v>
      </c>
      <c r="H2652" s="3" t="s">
        <v>13575</v>
      </c>
      <c r="I2652" s="3" t="s">
        <v>13926</v>
      </c>
      <c r="J2652" s="3" t="s">
        <v>14101</v>
      </c>
      <c r="K2652" s="3" t="s">
        <v>14102</v>
      </c>
      <c r="L2652" s="3" t="s">
        <v>14103</v>
      </c>
      <c r="M2652" s="4"/>
      <c r="N2652" s="3" t="s">
        <v>128</v>
      </c>
      <c r="O2652" s="3" t="s">
        <v>38</v>
      </c>
      <c r="P2652" s="5">
        <v>28</v>
      </c>
      <c r="Q2652" s="5">
        <v>766</v>
      </c>
      <c r="R2652" s="5">
        <v>27</v>
      </c>
      <c r="S2652" s="5">
        <v>707</v>
      </c>
    </row>
    <row r="2653" spans="1:19" ht="42" x14ac:dyDescent="0.15">
      <c r="A2653" s="2">
        <f>HYPERLINK("https://open-school.uspishnemisto.com.ua/school/140123/", 140123)</f>
        <v>140123</v>
      </c>
      <c r="B2653" s="3" t="s">
        <v>14104</v>
      </c>
      <c r="C2653" s="3" t="s">
        <v>244</v>
      </c>
      <c r="D2653" s="3" t="s">
        <v>32</v>
      </c>
      <c r="E2653" s="4" t="s">
        <v>22</v>
      </c>
      <c r="F2653" s="4" t="s">
        <v>14105</v>
      </c>
      <c r="G2653" s="4" t="s">
        <v>13925</v>
      </c>
      <c r="H2653" s="3" t="s">
        <v>13575</v>
      </c>
      <c r="I2653" s="3" t="s">
        <v>13926</v>
      </c>
      <c r="J2653" s="3" t="s">
        <v>7351</v>
      </c>
      <c r="K2653" s="3" t="s">
        <v>14106</v>
      </c>
      <c r="L2653" s="3" t="s">
        <v>14107</v>
      </c>
      <c r="M2653" s="4"/>
      <c r="N2653" s="3" t="s">
        <v>967</v>
      </c>
      <c r="O2653" s="3" t="s">
        <v>46</v>
      </c>
      <c r="P2653" s="5">
        <v>21</v>
      </c>
      <c r="Q2653" s="5">
        <v>549</v>
      </c>
      <c r="R2653" s="5">
        <v>21</v>
      </c>
      <c r="S2653" s="5">
        <v>545</v>
      </c>
    </row>
    <row r="2654" spans="1:19" ht="42" x14ac:dyDescent="0.15">
      <c r="A2654" s="2">
        <f>HYPERLINK("https://open-school.uspishnemisto.com.ua/school/140124/", 140124)</f>
        <v>140124</v>
      </c>
      <c r="B2654" s="3" t="s">
        <v>14108</v>
      </c>
      <c r="C2654" s="3" t="s">
        <v>244</v>
      </c>
      <c r="D2654" s="3" t="s">
        <v>32</v>
      </c>
      <c r="E2654" s="4" t="s">
        <v>22</v>
      </c>
      <c r="F2654" s="4" t="s">
        <v>14066</v>
      </c>
      <c r="G2654" s="4" t="s">
        <v>13925</v>
      </c>
      <c r="H2654" s="3" t="s">
        <v>13575</v>
      </c>
      <c r="I2654" s="3" t="s">
        <v>13926</v>
      </c>
      <c r="J2654" s="3" t="s">
        <v>14109</v>
      </c>
      <c r="K2654" s="3" t="s">
        <v>14110</v>
      </c>
      <c r="L2654" s="3" t="s">
        <v>14111</v>
      </c>
      <c r="M2654" s="4"/>
      <c r="N2654" s="3" t="s">
        <v>967</v>
      </c>
      <c r="O2654" s="3" t="s">
        <v>8857</v>
      </c>
      <c r="P2654" s="5">
        <v>14</v>
      </c>
      <c r="Q2654" s="5">
        <v>381</v>
      </c>
      <c r="R2654" s="5">
        <v>13</v>
      </c>
      <c r="S2654" s="5">
        <v>349</v>
      </c>
    </row>
    <row r="2655" spans="1:19" ht="42" x14ac:dyDescent="0.15">
      <c r="A2655" s="2">
        <f>HYPERLINK("https://open-school.uspishnemisto.com.ua/school/140125/", 140125)</f>
        <v>140125</v>
      </c>
      <c r="B2655" s="3" t="s">
        <v>14112</v>
      </c>
      <c r="C2655" s="3" t="s">
        <v>244</v>
      </c>
      <c r="D2655" s="3" t="s">
        <v>32</v>
      </c>
      <c r="E2655" s="4" t="s">
        <v>22</v>
      </c>
      <c r="F2655" s="4" t="s">
        <v>14095</v>
      </c>
      <c r="G2655" s="4" t="s">
        <v>13925</v>
      </c>
      <c r="H2655" s="3" t="s">
        <v>13575</v>
      </c>
      <c r="I2655" s="3" t="s">
        <v>13926</v>
      </c>
      <c r="J2655" s="3" t="s">
        <v>14113</v>
      </c>
      <c r="K2655" s="3" t="s">
        <v>14114</v>
      </c>
      <c r="L2655" s="3" t="s">
        <v>14115</v>
      </c>
      <c r="M2655" s="4"/>
      <c r="N2655" s="3" t="s">
        <v>128</v>
      </c>
      <c r="O2655" s="3" t="s">
        <v>70</v>
      </c>
      <c r="P2655" s="5">
        <v>39</v>
      </c>
      <c r="Q2655" s="5">
        <v>1071</v>
      </c>
      <c r="R2655" s="5">
        <v>39</v>
      </c>
      <c r="S2655" s="5">
        <v>1060</v>
      </c>
    </row>
    <row r="2656" spans="1:19" ht="28" x14ac:dyDescent="0.15">
      <c r="A2656" s="2">
        <f>HYPERLINK("https://open-school.uspishnemisto.com.ua/school/140126/", 140126)</f>
        <v>140126</v>
      </c>
      <c r="B2656" s="3" t="s">
        <v>14116</v>
      </c>
      <c r="C2656" s="3" t="s">
        <v>188</v>
      </c>
      <c r="D2656" s="3" t="s">
        <v>32</v>
      </c>
      <c r="E2656" s="4" t="s">
        <v>22</v>
      </c>
      <c r="F2656" s="4" t="s">
        <v>14117</v>
      </c>
      <c r="G2656" s="4" t="s">
        <v>13925</v>
      </c>
      <c r="H2656" s="3" t="s">
        <v>13575</v>
      </c>
      <c r="I2656" s="3" t="s">
        <v>13926</v>
      </c>
      <c r="J2656" s="3" t="s">
        <v>14118</v>
      </c>
      <c r="K2656" s="3" t="s">
        <v>14119</v>
      </c>
      <c r="L2656" s="3" t="s">
        <v>14120</v>
      </c>
      <c r="M2656" s="4" t="s">
        <v>14121</v>
      </c>
      <c r="N2656" s="3" t="s">
        <v>967</v>
      </c>
      <c r="O2656" s="3" t="s">
        <v>123</v>
      </c>
      <c r="P2656" s="5">
        <v>16</v>
      </c>
      <c r="Q2656" s="5">
        <v>438</v>
      </c>
      <c r="R2656" s="5">
        <v>16</v>
      </c>
      <c r="S2656" s="5">
        <v>438</v>
      </c>
    </row>
    <row r="2657" spans="1:19" ht="42" x14ac:dyDescent="0.15">
      <c r="A2657" s="2">
        <f>HYPERLINK("https://open-school.uspishnemisto.com.ua/school/140127/", 140127)</f>
        <v>140127</v>
      </c>
      <c r="B2657" s="3" t="s">
        <v>14122</v>
      </c>
      <c r="C2657" s="3" t="s">
        <v>54</v>
      </c>
      <c r="D2657" s="3" t="s">
        <v>32</v>
      </c>
      <c r="E2657" s="4" t="s">
        <v>22</v>
      </c>
      <c r="F2657" s="4" t="s">
        <v>14080</v>
      </c>
      <c r="G2657" s="4" t="s">
        <v>13925</v>
      </c>
      <c r="H2657" s="3" t="s">
        <v>13575</v>
      </c>
      <c r="I2657" s="3" t="s">
        <v>13926</v>
      </c>
      <c r="J2657" s="3" t="s">
        <v>14123</v>
      </c>
      <c r="K2657" s="3" t="s">
        <v>14124</v>
      </c>
      <c r="L2657" s="3" t="s">
        <v>14125</v>
      </c>
      <c r="M2657" s="4"/>
      <c r="N2657" s="3" t="s">
        <v>128</v>
      </c>
      <c r="O2657" s="3" t="s">
        <v>197</v>
      </c>
      <c r="P2657" s="5">
        <v>33</v>
      </c>
      <c r="Q2657" s="5">
        <v>820</v>
      </c>
      <c r="R2657" s="5">
        <v>32</v>
      </c>
      <c r="S2657" s="5">
        <v>776</v>
      </c>
    </row>
    <row r="2658" spans="1:19" ht="42" x14ac:dyDescent="0.15">
      <c r="A2658" s="2">
        <f>HYPERLINK("https://open-school.uspishnemisto.com.ua/school/140128/", 140128)</f>
        <v>140128</v>
      </c>
      <c r="B2658" s="3" t="s">
        <v>14126</v>
      </c>
      <c r="C2658" s="3" t="s">
        <v>188</v>
      </c>
      <c r="D2658" s="3" t="s">
        <v>32</v>
      </c>
      <c r="E2658" s="4" t="s">
        <v>22</v>
      </c>
      <c r="F2658" s="4" t="s">
        <v>14052</v>
      </c>
      <c r="G2658" s="4" t="s">
        <v>13925</v>
      </c>
      <c r="H2658" s="3" t="s">
        <v>13575</v>
      </c>
      <c r="I2658" s="3" t="s">
        <v>13926</v>
      </c>
      <c r="J2658" s="3" t="s">
        <v>14127</v>
      </c>
      <c r="K2658" s="3" t="s">
        <v>14128</v>
      </c>
      <c r="L2658" s="3" t="s">
        <v>14129</v>
      </c>
      <c r="M2658" s="4" t="s">
        <v>14130</v>
      </c>
      <c r="N2658" s="3" t="s">
        <v>967</v>
      </c>
      <c r="O2658" s="3" t="s">
        <v>123</v>
      </c>
      <c r="P2658" s="5">
        <v>14</v>
      </c>
      <c r="Q2658" s="5">
        <v>384</v>
      </c>
      <c r="R2658" s="5">
        <v>14</v>
      </c>
      <c r="S2658" s="5">
        <v>327</v>
      </c>
    </row>
    <row r="2659" spans="1:19" ht="56" x14ac:dyDescent="0.15">
      <c r="A2659" s="2">
        <f>HYPERLINK("https://open-school.uspishnemisto.com.ua/school/140129/", 140129)</f>
        <v>140129</v>
      </c>
      <c r="B2659" s="3" t="s">
        <v>14131</v>
      </c>
      <c r="C2659" s="3" t="s">
        <v>54</v>
      </c>
      <c r="D2659" s="3" t="s">
        <v>32</v>
      </c>
      <c r="E2659" s="4" t="s">
        <v>22</v>
      </c>
      <c r="F2659" s="4" t="s">
        <v>14132</v>
      </c>
      <c r="G2659" s="4" t="s">
        <v>13925</v>
      </c>
      <c r="H2659" s="3" t="s">
        <v>13575</v>
      </c>
      <c r="I2659" s="3" t="s">
        <v>13926</v>
      </c>
      <c r="J2659" s="3" t="s">
        <v>14133</v>
      </c>
      <c r="K2659" s="3" t="s">
        <v>14134</v>
      </c>
      <c r="L2659" s="3" t="s">
        <v>14135</v>
      </c>
      <c r="M2659" s="4"/>
      <c r="N2659" s="3" t="s">
        <v>37</v>
      </c>
      <c r="O2659" s="3" t="s">
        <v>721</v>
      </c>
      <c r="P2659" s="5">
        <v>25</v>
      </c>
      <c r="Q2659" s="5">
        <v>496</v>
      </c>
      <c r="R2659" s="5">
        <v>24</v>
      </c>
      <c r="S2659" s="5">
        <v>449</v>
      </c>
    </row>
    <row r="2660" spans="1:19" ht="42" x14ac:dyDescent="0.15">
      <c r="A2660" s="2">
        <f>HYPERLINK("https://open-school.uspishnemisto.com.ua/school/140130/", 140130)</f>
        <v>140130</v>
      </c>
      <c r="B2660" s="3" t="s">
        <v>14136</v>
      </c>
      <c r="C2660" s="3" t="s">
        <v>54</v>
      </c>
      <c r="D2660" s="3" t="s">
        <v>32</v>
      </c>
      <c r="E2660" s="4" t="s">
        <v>22</v>
      </c>
      <c r="F2660" s="4" t="s">
        <v>14137</v>
      </c>
      <c r="G2660" s="4" t="s">
        <v>13925</v>
      </c>
      <c r="H2660" s="3" t="s">
        <v>13575</v>
      </c>
      <c r="I2660" s="3" t="s">
        <v>13926</v>
      </c>
      <c r="J2660" s="3" t="s">
        <v>14138</v>
      </c>
      <c r="K2660" s="3" t="s">
        <v>14139</v>
      </c>
      <c r="L2660" s="3" t="s">
        <v>14140</v>
      </c>
      <c r="M2660" s="4"/>
      <c r="N2660" s="3" t="s">
        <v>128</v>
      </c>
      <c r="O2660" s="3" t="s">
        <v>70</v>
      </c>
      <c r="P2660" s="5">
        <v>17</v>
      </c>
      <c r="Q2660" s="5">
        <v>483</v>
      </c>
      <c r="R2660" s="5">
        <v>16</v>
      </c>
      <c r="S2660" s="5">
        <v>436</v>
      </c>
    </row>
    <row r="2661" spans="1:19" ht="42" x14ac:dyDescent="0.15">
      <c r="A2661" s="2">
        <f>HYPERLINK("https://open-school.uspishnemisto.com.ua/school/140131/", 140131)</f>
        <v>140131</v>
      </c>
      <c r="B2661" s="3" t="s">
        <v>14141</v>
      </c>
      <c r="C2661" s="3" t="s">
        <v>54</v>
      </c>
      <c r="D2661" s="3" t="s">
        <v>32</v>
      </c>
      <c r="E2661" s="4" t="s">
        <v>22</v>
      </c>
      <c r="F2661" s="4" t="s">
        <v>14009</v>
      </c>
      <c r="G2661" s="4" t="s">
        <v>13925</v>
      </c>
      <c r="H2661" s="3" t="s">
        <v>13575</v>
      </c>
      <c r="I2661" s="3" t="s">
        <v>13926</v>
      </c>
      <c r="J2661" s="3" t="s">
        <v>14142</v>
      </c>
      <c r="K2661" s="3" t="s">
        <v>14143</v>
      </c>
      <c r="L2661" s="3" t="s">
        <v>14144</v>
      </c>
      <c r="M2661" s="4" t="s">
        <v>14145</v>
      </c>
      <c r="N2661" s="3" t="s">
        <v>128</v>
      </c>
      <c r="O2661" s="3" t="s">
        <v>70</v>
      </c>
      <c r="P2661" s="5">
        <v>27</v>
      </c>
      <c r="Q2661" s="5">
        <v>649</v>
      </c>
      <c r="R2661" s="5">
        <v>28</v>
      </c>
      <c r="S2661" s="5">
        <v>605</v>
      </c>
    </row>
    <row r="2662" spans="1:19" ht="42" x14ac:dyDescent="0.15">
      <c r="A2662" s="2">
        <f>HYPERLINK("https://open-school.uspishnemisto.com.ua/school/140132/", 140132)</f>
        <v>140132</v>
      </c>
      <c r="B2662" s="3" t="s">
        <v>14146</v>
      </c>
      <c r="C2662" s="3" t="s">
        <v>54</v>
      </c>
      <c r="D2662" s="3" t="s">
        <v>32</v>
      </c>
      <c r="E2662" s="4" t="s">
        <v>22</v>
      </c>
      <c r="F2662" s="4" t="s">
        <v>13949</v>
      </c>
      <c r="G2662" s="4" t="s">
        <v>13925</v>
      </c>
      <c r="H2662" s="3" t="s">
        <v>13575</v>
      </c>
      <c r="I2662" s="3" t="s">
        <v>13926</v>
      </c>
      <c r="J2662" s="3" t="s">
        <v>14147</v>
      </c>
      <c r="K2662" s="3"/>
      <c r="L2662" s="3" t="s">
        <v>14148</v>
      </c>
      <c r="M2662" s="4" t="s">
        <v>14149</v>
      </c>
      <c r="N2662" s="3" t="s">
        <v>128</v>
      </c>
      <c r="O2662" s="3" t="s">
        <v>70</v>
      </c>
      <c r="P2662" s="5">
        <v>24</v>
      </c>
      <c r="Q2662" s="5">
        <v>650</v>
      </c>
      <c r="R2662" s="5">
        <v>25</v>
      </c>
      <c r="S2662" s="5">
        <v>618</v>
      </c>
    </row>
    <row r="2663" spans="1:19" ht="28" x14ac:dyDescent="0.15">
      <c r="A2663" s="2">
        <f>HYPERLINK("https://open-school.uspishnemisto.com.ua/school/140133/", 140133)</f>
        <v>140133</v>
      </c>
      <c r="B2663" s="3" t="s">
        <v>14150</v>
      </c>
      <c r="C2663" s="3" t="s">
        <v>188</v>
      </c>
      <c r="D2663" s="3" t="s">
        <v>32</v>
      </c>
      <c r="E2663" s="4" t="s">
        <v>22</v>
      </c>
      <c r="F2663" s="4" t="s">
        <v>14151</v>
      </c>
      <c r="G2663" s="4" t="s">
        <v>13925</v>
      </c>
      <c r="H2663" s="3" t="s">
        <v>13575</v>
      </c>
      <c r="I2663" s="3" t="s">
        <v>13926</v>
      </c>
      <c r="J2663" s="3" t="s">
        <v>14152</v>
      </c>
      <c r="K2663" s="3" t="s">
        <v>14153</v>
      </c>
      <c r="L2663" s="3" t="s">
        <v>14154</v>
      </c>
      <c r="M2663" s="4" t="s">
        <v>14155</v>
      </c>
      <c r="N2663" s="3" t="s">
        <v>967</v>
      </c>
      <c r="O2663" s="3" t="s">
        <v>52</v>
      </c>
      <c r="P2663" s="5">
        <v>18</v>
      </c>
      <c r="Q2663" s="5">
        <v>557</v>
      </c>
      <c r="R2663" s="5">
        <v>18</v>
      </c>
      <c r="S2663" s="5">
        <v>536</v>
      </c>
    </row>
    <row r="2664" spans="1:19" ht="42" x14ac:dyDescent="0.15">
      <c r="A2664" s="2">
        <f>HYPERLINK("https://open-school.uspishnemisto.com.ua/school/140134/", 140134)</f>
        <v>140134</v>
      </c>
      <c r="B2664" s="3" t="s">
        <v>14156</v>
      </c>
      <c r="C2664" s="3" t="s">
        <v>244</v>
      </c>
      <c r="D2664" s="3" t="s">
        <v>32</v>
      </c>
      <c r="E2664" s="4" t="s">
        <v>22</v>
      </c>
      <c r="F2664" s="4" t="s">
        <v>14157</v>
      </c>
      <c r="G2664" s="4" t="s">
        <v>13925</v>
      </c>
      <c r="H2664" s="3" t="s">
        <v>13575</v>
      </c>
      <c r="I2664" s="3" t="s">
        <v>13926</v>
      </c>
      <c r="J2664" s="3" t="s">
        <v>14158</v>
      </c>
      <c r="K2664" s="3" t="s">
        <v>14159</v>
      </c>
      <c r="L2664" s="3" t="s">
        <v>14160</v>
      </c>
      <c r="M2664" s="4"/>
      <c r="N2664" s="3" t="s">
        <v>128</v>
      </c>
      <c r="O2664" s="3" t="s">
        <v>38</v>
      </c>
      <c r="P2664" s="5">
        <v>28</v>
      </c>
      <c r="Q2664" s="5">
        <v>773</v>
      </c>
      <c r="R2664" s="5">
        <v>29</v>
      </c>
      <c r="S2664" s="5">
        <v>720</v>
      </c>
    </row>
    <row r="2665" spans="1:19" ht="42" x14ac:dyDescent="0.15">
      <c r="A2665" s="2">
        <f>HYPERLINK("https://open-school.uspishnemisto.com.ua/school/140135/", 140135)</f>
        <v>140135</v>
      </c>
      <c r="B2665" s="3" t="s">
        <v>14161</v>
      </c>
      <c r="C2665" s="3" t="s">
        <v>244</v>
      </c>
      <c r="D2665" s="3" t="s">
        <v>32</v>
      </c>
      <c r="E2665" s="4" t="s">
        <v>22</v>
      </c>
      <c r="F2665" s="4" t="s">
        <v>14117</v>
      </c>
      <c r="G2665" s="4" t="s">
        <v>13925</v>
      </c>
      <c r="H2665" s="3" t="s">
        <v>13575</v>
      </c>
      <c r="I2665" s="3" t="s">
        <v>13926</v>
      </c>
      <c r="J2665" s="3" t="s">
        <v>14162</v>
      </c>
      <c r="K2665" s="3" t="s">
        <v>14163</v>
      </c>
      <c r="L2665" s="3" t="s">
        <v>14164</v>
      </c>
      <c r="M2665" s="4"/>
      <c r="N2665" s="3" t="s">
        <v>128</v>
      </c>
      <c r="O2665" s="3" t="s">
        <v>70</v>
      </c>
      <c r="P2665" s="5">
        <v>28</v>
      </c>
      <c r="Q2665" s="5">
        <v>710</v>
      </c>
      <c r="R2665" s="5">
        <v>26</v>
      </c>
      <c r="S2665" s="5">
        <v>675</v>
      </c>
    </row>
    <row r="2666" spans="1:19" ht="42" x14ac:dyDescent="0.15">
      <c r="A2666" s="2">
        <f>HYPERLINK("https://open-school.uspishnemisto.com.ua/school/140136/", 140136)</f>
        <v>140136</v>
      </c>
      <c r="B2666" s="3" t="s">
        <v>14165</v>
      </c>
      <c r="C2666" s="3" t="s">
        <v>244</v>
      </c>
      <c r="D2666" s="3" t="s">
        <v>32</v>
      </c>
      <c r="E2666" s="4" t="s">
        <v>22</v>
      </c>
      <c r="F2666" s="4" t="s">
        <v>14034</v>
      </c>
      <c r="G2666" s="4" t="s">
        <v>13925</v>
      </c>
      <c r="H2666" s="3" t="s">
        <v>13575</v>
      </c>
      <c r="I2666" s="3" t="s">
        <v>13926</v>
      </c>
      <c r="J2666" s="3" t="s">
        <v>14166</v>
      </c>
      <c r="K2666" s="3" t="s">
        <v>14167</v>
      </c>
      <c r="L2666" s="3" t="s">
        <v>14168</v>
      </c>
      <c r="M2666" s="4"/>
      <c r="N2666" s="3" t="s">
        <v>967</v>
      </c>
      <c r="O2666" s="3" t="s">
        <v>123</v>
      </c>
      <c r="P2666" s="5">
        <v>37</v>
      </c>
      <c r="Q2666" s="5">
        <v>1101</v>
      </c>
      <c r="R2666" s="5">
        <v>39</v>
      </c>
      <c r="S2666" s="5">
        <v>1084</v>
      </c>
    </row>
    <row r="2667" spans="1:19" ht="42" x14ac:dyDescent="0.15">
      <c r="A2667" s="2">
        <f>HYPERLINK("https://open-school.uspishnemisto.com.ua/school/140137/", 140137)</f>
        <v>140137</v>
      </c>
      <c r="B2667" s="3" t="s">
        <v>14169</v>
      </c>
      <c r="C2667" s="3" t="s">
        <v>293</v>
      </c>
      <c r="D2667" s="3" t="s">
        <v>175</v>
      </c>
      <c r="E2667" s="4" t="s">
        <v>22</v>
      </c>
      <c r="F2667" s="4" t="s">
        <v>13934</v>
      </c>
      <c r="G2667" s="4" t="s">
        <v>13925</v>
      </c>
      <c r="H2667" s="3" t="s">
        <v>13575</v>
      </c>
      <c r="I2667" s="3" t="s">
        <v>13926</v>
      </c>
      <c r="J2667" s="3" t="s">
        <v>14170</v>
      </c>
      <c r="K2667" s="3" t="s">
        <v>14171</v>
      </c>
      <c r="L2667" s="3"/>
      <c r="M2667" s="4" t="s">
        <v>14172</v>
      </c>
      <c r="N2667" s="3" t="s">
        <v>37</v>
      </c>
      <c r="O2667" s="3" t="s">
        <v>70</v>
      </c>
      <c r="P2667" s="5">
        <v>9</v>
      </c>
      <c r="Q2667" s="5">
        <v>208</v>
      </c>
      <c r="R2667" s="5">
        <v>9</v>
      </c>
      <c r="S2667" s="5">
        <v>196</v>
      </c>
    </row>
    <row r="2668" spans="1:19" ht="42" x14ac:dyDescent="0.15">
      <c r="A2668" s="2">
        <f>HYPERLINK("https://open-school.uspishnemisto.com.ua/school/140138/", 140138)</f>
        <v>140138</v>
      </c>
      <c r="B2668" s="3" t="s">
        <v>14173</v>
      </c>
      <c r="C2668" s="3" t="s">
        <v>54</v>
      </c>
      <c r="D2668" s="3" t="s">
        <v>60</v>
      </c>
      <c r="E2668" s="4" t="s">
        <v>22</v>
      </c>
      <c r="F2668" s="4" t="s">
        <v>14174</v>
      </c>
      <c r="G2668" s="4" t="s">
        <v>13925</v>
      </c>
      <c r="H2668" s="3" t="s">
        <v>13575</v>
      </c>
      <c r="I2668" s="3" t="s">
        <v>13926</v>
      </c>
      <c r="J2668" s="3" t="s">
        <v>14175</v>
      </c>
      <c r="K2668" s="3" t="s">
        <v>14176</v>
      </c>
      <c r="L2668" s="3"/>
      <c r="M2668" s="4"/>
      <c r="N2668" s="3" t="s">
        <v>128</v>
      </c>
      <c r="O2668" s="3" t="s">
        <v>38</v>
      </c>
      <c r="P2668" s="5">
        <v>8</v>
      </c>
      <c r="Q2668" s="5">
        <v>71</v>
      </c>
      <c r="R2668" s="5">
        <v>8</v>
      </c>
      <c r="S2668" s="5">
        <v>69</v>
      </c>
    </row>
    <row r="2669" spans="1:19" ht="28" x14ac:dyDescent="0.15">
      <c r="A2669" s="2">
        <f>HYPERLINK("https://open-school.uspishnemisto.com.ua/school/140139/", 140139)</f>
        <v>140139</v>
      </c>
      <c r="B2669" s="3" t="s">
        <v>14177</v>
      </c>
      <c r="C2669" s="3" t="s">
        <v>2634</v>
      </c>
      <c r="D2669" s="3" t="s">
        <v>175</v>
      </c>
      <c r="E2669" s="4" t="s">
        <v>22</v>
      </c>
      <c r="F2669" s="4" t="s">
        <v>13980</v>
      </c>
      <c r="G2669" s="4" t="s">
        <v>13925</v>
      </c>
      <c r="H2669" s="3" t="s">
        <v>13575</v>
      </c>
      <c r="I2669" s="3" t="s">
        <v>13926</v>
      </c>
      <c r="J2669" s="3" t="s">
        <v>14178</v>
      </c>
      <c r="K2669" s="3" t="s">
        <v>14179</v>
      </c>
      <c r="L2669" s="3" t="s">
        <v>14180</v>
      </c>
      <c r="M2669" s="4" t="s">
        <v>14181</v>
      </c>
      <c r="N2669" s="3" t="s">
        <v>128</v>
      </c>
      <c r="O2669" s="3" t="s">
        <v>38</v>
      </c>
      <c r="P2669" s="5">
        <v>19</v>
      </c>
      <c r="Q2669" s="5">
        <v>393</v>
      </c>
      <c r="R2669" s="5">
        <v>19</v>
      </c>
      <c r="S2669" s="5">
        <v>384</v>
      </c>
    </row>
    <row r="2670" spans="1:19" ht="42" x14ac:dyDescent="0.15">
      <c r="A2670" s="2">
        <f>HYPERLINK("https://open-school.uspishnemisto.com.ua/school/140140/", 140140)</f>
        <v>140140</v>
      </c>
      <c r="B2670" s="3" t="s">
        <v>14182</v>
      </c>
      <c r="C2670" s="3" t="s">
        <v>31</v>
      </c>
      <c r="D2670" s="3" t="s">
        <v>21</v>
      </c>
      <c r="E2670" s="4" t="s">
        <v>41</v>
      </c>
      <c r="F2670" s="4" t="s">
        <v>14137</v>
      </c>
      <c r="G2670" s="4" t="s">
        <v>13925</v>
      </c>
      <c r="H2670" s="3" t="s">
        <v>13575</v>
      </c>
      <c r="I2670" s="3" t="s">
        <v>13926</v>
      </c>
      <c r="J2670" s="3" t="s">
        <v>14183</v>
      </c>
      <c r="K2670" s="3" t="s">
        <v>14184</v>
      </c>
      <c r="L2670" s="3"/>
      <c r="M2670" s="4"/>
      <c r="N2670" s="3" t="s">
        <v>967</v>
      </c>
      <c r="O2670" s="3" t="s">
        <v>46</v>
      </c>
      <c r="P2670" s="5">
        <v>5</v>
      </c>
      <c r="Q2670" s="5">
        <v>9</v>
      </c>
      <c r="R2670" s="5">
        <v>5</v>
      </c>
      <c r="S2670" s="5">
        <v>12</v>
      </c>
    </row>
    <row r="2671" spans="1:19" ht="42" x14ac:dyDescent="0.15">
      <c r="A2671" s="2">
        <f>HYPERLINK("https://open-school.uspishnemisto.com.ua/school/140141/", 140141)</f>
        <v>140141</v>
      </c>
      <c r="B2671" s="3" t="s">
        <v>14185</v>
      </c>
      <c r="C2671" s="3" t="s">
        <v>31</v>
      </c>
      <c r="D2671" s="3" t="s">
        <v>32</v>
      </c>
      <c r="E2671" s="4" t="s">
        <v>22</v>
      </c>
      <c r="F2671" s="4" t="s">
        <v>14186</v>
      </c>
      <c r="G2671" s="4" t="s">
        <v>14187</v>
      </c>
      <c r="H2671" s="3" t="s">
        <v>13575</v>
      </c>
      <c r="I2671" s="3" t="s">
        <v>14188</v>
      </c>
      <c r="J2671" s="3" t="s">
        <v>14189</v>
      </c>
      <c r="K2671" s="3" t="s">
        <v>14190</v>
      </c>
      <c r="L2671" s="3" t="s">
        <v>14191</v>
      </c>
      <c r="M2671" s="4"/>
      <c r="N2671" s="3" t="s">
        <v>967</v>
      </c>
      <c r="O2671" s="3" t="s">
        <v>2740</v>
      </c>
      <c r="P2671" s="5">
        <v>9</v>
      </c>
      <c r="Q2671" s="5">
        <v>245</v>
      </c>
      <c r="R2671" s="5">
        <v>10</v>
      </c>
      <c r="S2671" s="5">
        <v>222</v>
      </c>
    </row>
    <row r="2672" spans="1:19" ht="42" x14ac:dyDescent="0.15">
      <c r="A2672" s="2">
        <f>HYPERLINK("https://open-school.uspishnemisto.com.ua/school/140142/", 140142)</f>
        <v>140142</v>
      </c>
      <c r="B2672" s="3" t="s">
        <v>14192</v>
      </c>
      <c r="C2672" s="3" t="s">
        <v>31</v>
      </c>
      <c r="D2672" s="3" t="s">
        <v>32</v>
      </c>
      <c r="E2672" s="4" t="s">
        <v>22</v>
      </c>
      <c r="F2672" s="4" t="s">
        <v>14117</v>
      </c>
      <c r="G2672" s="4" t="s">
        <v>14187</v>
      </c>
      <c r="H2672" s="3" t="s">
        <v>13575</v>
      </c>
      <c r="I2672" s="3" t="s">
        <v>14188</v>
      </c>
      <c r="J2672" s="3" t="s">
        <v>14193</v>
      </c>
      <c r="K2672" s="3" t="s">
        <v>14194</v>
      </c>
      <c r="L2672" s="3" t="s">
        <v>14195</v>
      </c>
      <c r="M2672" s="4"/>
      <c r="N2672" s="3" t="s">
        <v>128</v>
      </c>
      <c r="O2672" s="3" t="s">
        <v>38</v>
      </c>
      <c r="P2672" s="5">
        <v>26</v>
      </c>
      <c r="Q2672" s="5">
        <v>682</v>
      </c>
      <c r="R2672" s="5">
        <v>26</v>
      </c>
      <c r="S2672" s="5">
        <v>650</v>
      </c>
    </row>
    <row r="2673" spans="1:19" ht="28" x14ac:dyDescent="0.15">
      <c r="A2673" s="2">
        <f>HYPERLINK("https://open-school.uspishnemisto.com.ua/school/140143/", 140143)</f>
        <v>140143</v>
      </c>
      <c r="B2673" s="3" t="s">
        <v>14196</v>
      </c>
      <c r="C2673" s="3" t="s">
        <v>181</v>
      </c>
      <c r="D2673" s="3" t="s">
        <v>32</v>
      </c>
      <c r="E2673" s="4" t="s">
        <v>22</v>
      </c>
      <c r="F2673" s="4" t="s">
        <v>14095</v>
      </c>
      <c r="G2673" s="4" t="s">
        <v>14187</v>
      </c>
      <c r="H2673" s="3" t="s">
        <v>13575</v>
      </c>
      <c r="I2673" s="3" t="s">
        <v>14188</v>
      </c>
      <c r="J2673" s="3" t="s">
        <v>14197</v>
      </c>
      <c r="K2673" s="3" t="s">
        <v>14198</v>
      </c>
      <c r="L2673" s="3"/>
      <c r="M2673" s="4" t="s">
        <v>14199</v>
      </c>
      <c r="N2673" s="3" t="s">
        <v>128</v>
      </c>
      <c r="O2673" s="3" t="s">
        <v>52</v>
      </c>
      <c r="P2673" s="5">
        <v>15</v>
      </c>
      <c r="Q2673" s="5">
        <v>99</v>
      </c>
      <c r="R2673" s="5">
        <v>16</v>
      </c>
      <c r="S2673" s="5">
        <v>104</v>
      </c>
    </row>
    <row r="2674" spans="1:19" ht="42" x14ac:dyDescent="0.15">
      <c r="A2674" s="2">
        <f>HYPERLINK("https://open-school.uspishnemisto.com.ua/school/140144/", 140144)</f>
        <v>140144</v>
      </c>
      <c r="B2674" s="3" t="s">
        <v>14200</v>
      </c>
      <c r="C2674" s="3" t="s">
        <v>31</v>
      </c>
      <c r="D2674" s="3" t="s">
        <v>32</v>
      </c>
      <c r="E2674" s="4" t="s">
        <v>41</v>
      </c>
      <c r="F2674" s="4" t="s">
        <v>14201</v>
      </c>
      <c r="G2674" s="4" t="s">
        <v>14187</v>
      </c>
      <c r="H2674" s="3" t="s">
        <v>13575</v>
      </c>
      <c r="I2674" s="3" t="s">
        <v>14188</v>
      </c>
      <c r="J2674" s="3" t="s">
        <v>14202</v>
      </c>
      <c r="K2674" s="3" t="s">
        <v>14203</v>
      </c>
      <c r="L2674" s="3"/>
      <c r="M2674" s="4"/>
      <c r="N2674" s="3" t="s">
        <v>967</v>
      </c>
      <c r="O2674" s="3" t="s">
        <v>46</v>
      </c>
      <c r="P2674" s="5">
        <v>12</v>
      </c>
      <c r="Q2674" s="5">
        <v>92</v>
      </c>
      <c r="R2674" s="5">
        <v>12</v>
      </c>
      <c r="S2674" s="5">
        <v>104</v>
      </c>
    </row>
    <row r="2675" spans="1:19" ht="42" x14ac:dyDescent="0.15">
      <c r="A2675" s="2">
        <f>HYPERLINK("https://open-school.uspishnemisto.com.ua/school/140145/", 140145)</f>
        <v>140145</v>
      </c>
      <c r="B2675" s="3" t="s">
        <v>14204</v>
      </c>
      <c r="C2675" s="3" t="s">
        <v>54</v>
      </c>
      <c r="D2675" s="3" t="s">
        <v>32</v>
      </c>
      <c r="E2675" s="4" t="s">
        <v>22</v>
      </c>
      <c r="F2675" s="4" t="s">
        <v>14174</v>
      </c>
      <c r="G2675" s="4" t="s">
        <v>14205</v>
      </c>
      <c r="H2675" s="3" t="s">
        <v>13575</v>
      </c>
      <c r="I2675" s="3" t="s">
        <v>14206</v>
      </c>
      <c r="J2675" s="3" t="s">
        <v>14207</v>
      </c>
      <c r="K2675" s="3" t="s">
        <v>14208</v>
      </c>
      <c r="L2675" s="3" t="s">
        <v>14209</v>
      </c>
      <c r="M2675" s="4"/>
      <c r="N2675" s="3" t="s">
        <v>128</v>
      </c>
      <c r="O2675" s="3" t="s">
        <v>70</v>
      </c>
      <c r="P2675" s="5">
        <v>20</v>
      </c>
      <c r="Q2675" s="5">
        <v>545</v>
      </c>
      <c r="R2675" s="5">
        <v>21</v>
      </c>
      <c r="S2675" s="5">
        <v>551</v>
      </c>
    </row>
    <row r="2676" spans="1:19" ht="28" x14ac:dyDescent="0.15">
      <c r="A2676" s="2">
        <f>HYPERLINK("https://open-school.uspishnemisto.com.ua/school/140146/", 140146)</f>
        <v>140146</v>
      </c>
      <c r="B2676" s="3" t="s">
        <v>14210</v>
      </c>
      <c r="C2676" s="3" t="s">
        <v>181</v>
      </c>
      <c r="D2676" s="3" t="s">
        <v>175</v>
      </c>
      <c r="E2676" s="4" t="s">
        <v>22</v>
      </c>
      <c r="F2676" s="4" t="s">
        <v>14019</v>
      </c>
      <c r="G2676" s="4" t="s">
        <v>14205</v>
      </c>
      <c r="H2676" s="3" t="s">
        <v>13575</v>
      </c>
      <c r="I2676" s="3" t="s">
        <v>14206</v>
      </c>
      <c r="J2676" s="3" t="s">
        <v>14057</v>
      </c>
      <c r="K2676" s="3" t="s">
        <v>14211</v>
      </c>
      <c r="L2676" s="3"/>
      <c r="M2676" s="4" t="s">
        <v>14212</v>
      </c>
      <c r="N2676" s="3" t="s">
        <v>37</v>
      </c>
      <c r="O2676" s="3"/>
      <c r="P2676" s="5">
        <v>16</v>
      </c>
      <c r="Q2676" s="5">
        <v>167</v>
      </c>
      <c r="R2676" s="5">
        <v>17</v>
      </c>
      <c r="S2676" s="5">
        <v>172</v>
      </c>
    </row>
    <row r="2677" spans="1:19" ht="42" x14ac:dyDescent="0.15">
      <c r="A2677" s="2">
        <f>HYPERLINK("https://open-school.uspishnemisto.com.ua/school/140147/", 140147)</f>
        <v>140147</v>
      </c>
      <c r="B2677" s="3" t="s">
        <v>14213</v>
      </c>
      <c r="C2677" s="3" t="s">
        <v>54</v>
      </c>
      <c r="D2677" s="3" t="s">
        <v>32</v>
      </c>
      <c r="E2677" s="4" t="s">
        <v>22</v>
      </c>
      <c r="F2677" s="4" t="s">
        <v>14214</v>
      </c>
      <c r="G2677" s="4" t="s">
        <v>14215</v>
      </c>
      <c r="H2677" s="3" t="s">
        <v>13575</v>
      </c>
      <c r="I2677" s="3" t="s">
        <v>14216</v>
      </c>
      <c r="J2677" s="3" t="s">
        <v>14217</v>
      </c>
      <c r="K2677" s="3" t="s">
        <v>14218</v>
      </c>
      <c r="L2677" s="3" t="s">
        <v>14219</v>
      </c>
      <c r="M2677" s="4"/>
      <c r="N2677" s="3" t="s">
        <v>128</v>
      </c>
      <c r="O2677" s="3" t="s">
        <v>70</v>
      </c>
      <c r="P2677" s="5">
        <v>25</v>
      </c>
      <c r="Q2677" s="5">
        <v>578</v>
      </c>
      <c r="R2677" s="5">
        <v>24</v>
      </c>
      <c r="S2677" s="5">
        <v>582</v>
      </c>
    </row>
    <row r="2678" spans="1:19" ht="42" x14ac:dyDescent="0.15">
      <c r="A2678" s="2">
        <f>HYPERLINK("https://open-school.uspishnemisto.com.ua/school/140148/", 140148)</f>
        <v>140148</v>
      </c>
      <c r="B2678" s="3" t="s">
        <v>14220</v>
      </c>
      <c r="C2678" s="3" t="s">
        <v>31</v>
      </c>
      <c r="D2678" s="3" t="s">
        <v>32</v>
      </c>
      <c r="E2678" s="4" t="s">
        <v>22</v>
      </c>
      <c r="F2678" s="4" t="s">
        <v>14221</v>
      </c>
      <c r="G2678" s="4" t="s">
        <v>14215</v>
      </c>
      <c r="H2678" s="3" t="s">
        <v>13575</v>
      </c>
      <c r="I2678" s="3" t="s">
        <v>14216</v>
      </c>
      <c r="J2678" s="3" t="s">
        <v>14222</v>
      </c>
      <c r="K2678" s="3" t="s">
        <v>14223</v>
      </c>
      <c r="L2678" s="3" t="s">
        <v>14224</v>
      </c>
      <c r="M2678" s="4"/>
      <c r="N2678" s="3" t="s">
        <v>128</v>
      </c>
      <c r="O2678" s="3" t="s">
        <v>721</v>
      </c>
      <c r="P2678" s="5">
        <v>20</v>
      </c>
      <c r="Q2678" s="5">
        <v>433</v>
      </c>
      <c r="R2678" s="5">
        <v>20</v>
      </c>
      <c r="S2678" s="5">
        <v>417</v>
      </c>
    </row>
    <row r="2679" spans="1:19" ht="28" x14ac:dyDescent="0.15">
      <c r="A2679" s="2">
        <f>HYPERLINK("https://open-school.uspishnemisto.com.ua/school/140149/", 140149)</f>
        <v>140149</v>
      </c>
      <c r="B2679" s="3" t="s">
        <v>14225</v>
      </c>
      <c r="C2679" s="3" t="s">
        <v>293</v>
      </c>
      <c r="D2679" s="3" t="s">
        <v>175</v>
      </c>
      <c r="E2679" s="4" t="s">
        <v>22</v>
      </c>
      <c r="F2679" s="4" t="s">
        <v>14214</v>
      </c>
      <c r="G2679" s="4" t="s">
        <v>14215</v>
      </c>
      <c r="H2679" s="3" t="s">
        <v>13575</v>
      </c>
      <c r="I2679" s="3" t="s">
        <v>14216</v>
      </c>
      <c r="J2679" s="3" t="s">
        <v>14226</v>
      </c>
      <c r="K2679" s="3" t="s">
        <v>14227</v>
      </c>
      <c r="L2679" s="3" t="s">
        <v>14228</v>
      </c>
      <c r="M2679" s="4" t="s">
        <v>14229</v>
      </c>
      <c r="N2679" s="3" t="s">
        <v>37</v>
      </c>
      <c r="O2679" s="3" t="s">
        <v>38</v>
      </c>
      <c r="P2679" s="5">
        <v>10</v>
      </c>
      <c r="Q2679" s="5">
        <v>109</v>
      </c>
      <c r="R2679" s="5">
        <v>11</v>
      </c>
      <c r="S2679" s="5">
        <v>107</v>
      </c>
    </row>
    <row r="2680" spans="1:19" ht="28" x14ac:dyDescent="0.15">
      <c r="A2680" s="2">
        <f>HYPERLINK("https://open-school.uspishnemisto.com.ua/school/140150/", 140150)</f>
        <v>140150</v>
      </c>
      <c r="B2680" s="3" t="s">
        <v>14230</v>
      </c>
      <c r="C2680" s="3" t="s">
        <v>40</v>
      </c>
      <c r="D2680" s="3" t="s">
        <v>32</v>
      </c>
      <c r="E2680" s="4" t="s">
        <v>22</v>
      </c>
      <c r="F2680" s="4" t="s">
        <v>14201</v>
      </c>
      <c r="G2680" s="4" t="s">
        <v>14231</v>
      </c>
      <c r="H2680" s="3" t="s">
        <v>13575</v>
      </c>
      <c r="I2680" s="3" t="s">
        <v>14232</v>
      </c>
      <c r="J2680" s="3" t="s">
        <v>14233</v>
      </c>
      <c r="K2680" s="3" t="s">
        <v>14234</v>
      </c>
      <c r="L2680" s="3" t="s">
        <v>14235</v>
      </c>
      <c r="M2680" s="4"/>
      <c r="N2680" s="3" t="s">
        <v>128</v>
      </c>
      <c r="O2680" s="3" t="s">
        <v>197</v>
      </c>
      <c r="P2680" s="5">
        <v>22</v>
      </c>
      <c r="Q2680" s="5">
        <v>358</v>
      </c>
      <c r="R2680" s="5">
        <v>22</v>
      </c>
      <c r="S2680" s="5">
        <v>356</v>
      </c>
    </row>
    <row r="2681" spans="1:19" ht="42" x14ac:dyDescent="0.15">
      <c r="A2681" s="2">
        <f>HYPERLINK("https://open-school.uspishnemisto.com.ua/school/140151/", 140151)</f>
        <v>140151</v>
      </c>
      <c r="B2681" s="3" t="s">
        <v>14236</v>
      </c>
      <c r="C2681" s="3" t="s">
        <v>31</v>
      </c>
      <c r="D2681" s="3" t="s">
        <v>32</v>
      </c>
      <c r="E2681" s="4" t="s">
        <v>22</v>
      </c>
      <c r="F2681" s="4" t="s">
        <v>14237</v>
      </c>
      <c r="G2681" s="4" t="s">
        <v>14231</v>
      </c>
      <c r="H2681" s="3" t="s">
        <v>13575</v>
      </c>
      <c r="I2681" s="3" t="s">
        <v>14232</v>
      </c>
      <c r="J2681" s="3" t="s">
        <v>14238</v>
      </c>
      <c r="K2681" s="3" t="s">
        <v>14239</v>
      </c>
      <c r="L2681" s="3" t="s">
        <v>14240</v>
      </c>
      <c r="M2681" s="4"/>
      <c r="N2681" s="3" t="s">
        <v>37</v>
      </c>
      <c r="O2681" s="3" t="s">
        <v>38</v>
      </c>
      <c r="P2681" s="5">
        <v>11</v>
      </c>
      <c r="Q2681" s="5">
        <v>251</v>
      </c>
      <c r="R2681" s="5">
        <v>11</v>
      </c>
      <c r="S2681" s="5">
        <v>252</v>
      </c>
    </row>
    <row r="2682" spans="1:19" ht="42" x14ac:dyDescent="0.15">
      <c r="A2682" s="2">
        <f>HYPERLINK("https://open-school.uspishnemisto.com.ua/school/140152/", 140152)</f>
        <v>140152</v>
      </c>
      <c r="B2682" s="3" t="s">
        <v>14241</v>
      </c>
      <c r="C2682" s="3" t="s">
        <v>31</v>
      </c>
      <c r="D2682" s="3" t="s">
        <v>32</v>
      </c>
      <c r="E2682" s="4" t="s">
        <v>22</v>
      </c>
      <c r="F2682" s="4" t="s">
        <v>14242</v>
      </c>
      <c r="G2682" s="4" t="s">
        <v>14231</v>
      </c>
      <c r="H2682" s="3" t="s">
        <v>13575</v>
      </c>
      <c r="I2682" s="3" t="s">
        <v>14232</v>
      </c>
      <c r="J2682" s="3" t="s">
        <v>14243</v>
      </c>
      <c r="K2682" s="3" t="s">
        <v>14244</v>
      </c>
      <c r="L2682" s="3" t="s">
        <v>14245</v>
      </c>
      <c r="M2682" s="4"/>
      <c r="N2682" s="3" t="s">
        <v>128</v>
      </c>
      <c r="O2682" s="3" t="s">
        <v>721</v>
      </c>
      <c r="P2682" s="5">
        <v>41</v>
      </c>
      <c r="Q2682" s="5">
        <v>1093</v>
      </c>
      <c r="R2682" s="5">
        <v>41</v>
      </c>
      <c r="S2682" s="5">
        <v>1067</v>
      </c>
    </row>
    <row r="2683" spans="1:19" ht="42" x14ac:dyDescent="0.15">
      <c r="A2683" s="2">
        <f>HYPERLINK("https://open-school.uspishnemisto.com.ua/school/140153/", 140153)</f>
        <v>140153</v>
      </c>
      <c r="B2683" s="3" t="s">
        <v>14246</v>
      </c>
      <c r="C2683" s="3" t="s">
        <v>31</v>
      </c>
      <c r="D2683" s="3" t="s">
        <v>32</v>
      </c>
      <c r="E2683" s="4" t="s">
        <v>22</v>
      </c>
      <c r="F2683" s="4" t="s">
        <v>13944</v>
      </c>
      <c r="G2683" s="4" t="s">
        <v>14231</v>
      </c>
      <c r="H2683" s="3" t="s">
        <v>13575</v>
      </c>
      <c r="I2683" s="3" t="s">
        <v>14232</v>
      </c>
      <c r="J2683" s="3" t="s">
        <v>14247</v>
      </c>
      <c r="K2683" s="3" t="s">
        <v>14248</v>
      </c>
      <c r="L2683" s="3" t="s">
        <v>14249</v>
      </c>
      <c r="M2683" s="4"/>
      <c r="N2683" s="3" t="s">
        <v>37</v>
      </c>
      <c r="O2683" s="3" t="s">
        <v>70</v>
      </c>
      <c r="P2683" s="5">
        <v>10</v>
      </c>
      <c r="Q2683" s="5">
        <v>150</v>
      </c>
      <c r="R2683" s="5">
        <v>10</v>
      </c>
      <c r="S2683" s="5">
        <v>151</v>
      </c>
    </row>
    <row r="2684" spans="1:19" ht="42" x14ac:dyDescent="0.15">
      <c r="A2684" s="2">
        <f>HYPERLINK("https://open-school.uspishnemisto.com.ua/school/140154/", 140154)</f>
        <v>140154</v>
      </c>
      <c r="B2684" s="3" t="s">
        <v>14250</v>
      </c>
      <c r="C2684" s="3" t="s">
        <v>31</v>
      </c>
      <c r="D2684" s="3" t="s">
        <v>32</v>
      </c>
      <c r="E2684" s="4" t="s">
        <v>22</v>
      </c>
      <c r="F2684" s="4" t="s">
        <v>14251</v>
      </c>
      <c r="G2684" s="4" t="s">
        <v>14231</v>
      </c>
      <c r="H2684" s="3" t="s">
        <v>13575</v>
      </c>
      <c r="I2684" s="3" t="s">
        <v>14232</v>
      </c>
      <c r="J2684" s="3" t="s">
        <v>14252</v>
      </c>
      <c r="K2684" s="3" t="s">
        <v>14253</v>
      </c>
      <c r="L2684" s="3" t="s">
        <v>14254</v>
      </c>
      <c r="M2684" s="4"/>
      <c r="N2684" s="3" t="s">
        <v>128</v>
      </c>
      <c r="O2684" s="3" t="s">
        <v>70</v>
      </c>
      <c r="P2684" s="5">
        <v>30</v>
      </c>
      <c r="Q2684" s="5">
        <v>715</v>
      </c>
      <c r="R2684" s="5">
        <v>30</v>
      </c>
      <c r="S2684" s="5">
        <v>693</v>
      </c>
    </row>
    <row r="2685" spans="1:19" ht="28" x14ac:dyDescent="0.15">
      <c r="A2685" s="2">
        <f>HYPERLINK("https://open-school.uspishnemisto.com.ua/school/140155/", 140155)</f>
        <v>140155</v>
      </c>
      <c r="B2685" s="3" t="s">
        <v>14255</v>
      </c>
      <c r="C2685" s="3" t="s">
        <v>188</v>
      </c>
      <c r="D2685" s="3" t="s">
        <v>32</v>
      </c>
      <c r="E2685" s="4" t="s">
        <v>22</v>
      </c>
      <c r="F2685" s="4" t="s">
        <v>13944</v>
      </c>
      <c r="G2685" s="4" t="s">
        <v>14231</v>
      </c>
      <c r="H2685" s="3" t="s">
        <v>13575</v>
      </c>
      <c r="I2685" s="3" t="s">
        <v>14232</v>
      </c>
      <c r="J2685" s="3" t="s">
        <v>14256</v>
      </c>
      <c r="K2685" s="3" t="s">
        <v>14257</v>
      </c>
      <c r="L2685" s="3" t="s">
        <v>14258</v>
      </c>
      <c r="M2685" s="4" t="s">
        <v>14259</v>
      </c>
      <c r="N2685" s="3" t="s">
        <v>967</v>
      </c>
      <c r="O2685" s="3" t="s">
        <v>52</v>
      </c>
      <c r="P2685" s="5">
        <v>7</v>
      </c>
      <c r="Q2685" s="5">
        <v>229</v>
      </c>
      <c r="R2685" s="5">
        <v>6</v>
      </c>
      <c r="S2685" s="5">
        <v>196</v>
      </c>
    </row>
    <row r="2686" spans="1:19" ht="42" x14ac:dyDescent="0.15">
      <c r="A2686" s="2">
        <f>HYPERLINK("https://open-school.uspishnemisto.com.ua/school/140156/", 140156)</f>
        <v>140156</v>
      </c>
      <c r="B2686" s="3" t="s">
        <v>14260</v>
      </c>
      <c r="C2686" s="3" t="s">
        <v>244</v>
      </c>
      <c r="D2686" s="3" t="s">
        <v>32</v>
      </c>
      <c r="E2686" s="4" t="s">
        <v>22</v>
      </c>
      <c r="F2686" s="4" t="s">
        <v>14261</v>
      </c>
      <c r="G2686" s="4" t="s">
        <v>14262</v>
      </c>
      <c r="H2686" s="3" t="s">
        <v>13575</v>
      </c>
      <c r="I2686" s="3" t="s">
        <v>14263</v>
      </c>
      <c r="J2686" s="3" t="s">
        <v>14264</v>
      </c>
      <c r="K2686" s="3" t="s">
        <v>14265</v>
      </c>
      <c r="L2686" s="3" t="s">
        <v>14266</v>
      </c>
      <c r="M2686" s="4"/>
      <c r="N2686" s="3" t="s">
        <v>967</v>
      </c>
      <c r="O2686" s="3" t="s">
        <v>14267</v>
      </c>
      <c r="P2686" s="5">
        <v>34</v>
      </c>
      <c r="Q2686" s="5">
        <v>854</v>
      </c>
      <c r="R2686" s="5">
        <v>34</v>
      </c>
      <c r="S2686" s="5">
        <v>820</v>
      </c>
    </row>
    <row r="2687" spans="1:19" ht="42" x14ac:dyDescent="0.15">
      <c r="A2687" s="2">
        <f>HYPERLINK("https://open-school.uspishnemisto.com.ua/school/140157/", 140157)</f>
        <v>140157</v>
      </c>
      <c r="B2687" s="3" t="s">
        <v>14268</v>
      </c>
      <c r="C2687" s="3" t="s">
        <v>244</v>
      </c>
      <c r="D2687" s="3" t="s">
        <v>32</v>
      </c>
      <c r="E2687" s="4" t="s">
        <v>22</v>
      </c>
      <c r="F2687" s="4" t="s">
        <v>14269</v>
      </c>
      <c r="G2687" s="4" t="s">
        <v>14270</v>
      </c>
      <c r="H2687" s="3" t="s">
        <v>13575</v>
      </c>
      <c r="I2687" s="3" t="s">
        <v>14271</v>
      </c>
      <c r="J2687" s="3" t="s">
        <v>14272</v>
      </c>
      <c r="K2687" s="3" t="s">
        <v>14273</v>
      </c>
      <c r="L2687" s="3" t="s">
        <v>14274</v>
      </c>
      <c r="M2687" s="4" t="s">
        <v>14275</v>
      </c>
      <c r="N2687" s="3" t="s">
        <v>128</v>
      </c>
      <c r="O2687" s="3" t="s">
        <v>14276</v>
      </c>
      <c r="P2687" s="5">
        <v>23</v>
      </c>
      <c r="Q2687" s="5">
        <v>440</v>
      </c>
      <c r="R2687" s="5">
        <v>23</v>
      </c>
      <c r="S2687" s="5">
        <v>435</v>
      </c>
    </row>
    <row r="2688" spans="1:19" ht="42" x14ac:dyDescent="0.15">
      <c r="A2688" s="2">
        <f>HYPERLINK("https://open-school.uspishnemisto.com.ua/school/140158/", 140158)</f>
        <v>140158</v>
      </c>
      <c r="B2688" s="3" t="s">
        <v>14277</v>
      </c>
      <c r="C2688" s="3" t="s">
        <v>31</v>
      </c>
      <c r="D2688" s="3" t="s">
        <v>32</v>
      </c>
      <c r="E2688" s="4" t="s">
        <v>22</v>
      </c>
      <c r="F2688" s="4" t="s">
        <v>14278</v>
      </c>
      <c r="G2688" s="4" t="s">
        <v>14279</v>
      </c>
      <c r="H2688" s="3" t="s">
        <v>13575</v>
      </c>
      <c r="I2688" s="3" t="s">
        <v>14280</v>
      </c>
      <c r="J2688" s="3" t="s">
        <v>14281</v>
      </c>
      <c r="K2688" s="3" t="s">
        <v>14282</v>
      </c>
      <c r="L2688" s="3" t="s">
        <v>14283</v>
      </c>
      <c r="M2688" s="4"/>
      <c r="N2688" s="3" t="s">
        <v>128</v>
      </c>
      <c r="O2688" s="3" t="s">
        <v>38</v>
      </c>
      <c r="P2688" s="5">
        <v>13</v>
      </c>
      <c r="Q2688" s="5">
        <v>285</v>
      </c>
      <c r="R2688" s="5">
        <v>14</v>
      </c>
      <c r="S2688" s="5">
        <v>268</v>
      </c>
    </row>
    <row r="2689" spans="1:19" ht="42" x14ac:dyDescent="0.15">
      <c r="A2689" s="2">
        <f>HYPERLINK("https://open-school.uspishnemisto.com.ua/school/140159/", 140159)</f>
        <v>140159</v>
      </c>
      <c r="B2689" s="3" t="s">
        <v>14284</v>
      </c>
      <c r="C2689" s="3" t="s">
        <v>20</v>
      </c>
      <c r="D2689" s="3" t="s">
        <v>21</v>
      </c>
      <c r="E2689" s="4" t="s">
        <v>22</v>
      </c>
      <c r="F2689" s="4" t="s">
        <v>14285</v>
      </c>
      <c r="G2689" s="4" t="s">
        <v>14286</v>
      </c>
      <c r="H2689" s="3" t="s">
        <v>13575</v>
      </c>
      <c r="I2689" s="3" t="s">
        <v>2179</v>
      </c>
      <c r="J2689" s="3" t="s">
        <v>14287</v>
      </c>
      <c r="K2689" s="3" t="s">
        <v>14288</v>
      </c>
      <c r="L2689" s="3"/>
      <c r="M2689" s="4"/>
      <c r="N2689" s="3"/>
      <c r="O2689" s="3"/>
      <c r="P2689" s="5">
        <v>0</v>
      </c>
      <c r="Q2689" s="5">
        <v>0</v>
      </c>
      <c r="R2689" s="5"/>
      <c r="S2689" s="5"/>
    </row>
    <row r="2690" spans="1:19" ht="28" x14ac:dyDescent="0.15">
      <c r="A2690" s="2">
        <f>HYPERLINK("https://open-school.uspishnemisto.com.ua/school/140160/", 140160)</f>
        <v>140160</v>
      </c>
      <c r="B2690" s="3" t="s">
        <v>14289</v>
      </c>
      <c r="C2690" s="3" t="s">
        <v>31</v>
      </c>
      <c r="D2690" s="3" t="s">
        <v>32</v>
      </c>
      <c r="E2690" s="4" t="s">
        <v>22</v>
      </c>
      <c r="F2690" s="4" t="s">
        <v>14285</v>
      </c>
      <c r="G2690" s="4" t="s">
        <v>14286</v>
      </c>
      <c r="H2690" s="3" t="s">
        <v>13575</v>
      </c>
      <c r="I2690" s="3" t="s">
        <v>2179</v>
      </c>
      <c r="J2690" s="3" t="s">
        <v>14287</v>
      </c>
      <c r="K2690" s="3" t="s">
        <v>14288</v>
      </c>
      <c r="L2690" s="3" t="s">
        <v>14290</v>
      </c>
      <c r="M2690" s="4"/>
      <c r="N2690" s="3" t="s">
        <v>37</v>
      </c>
      <c r="O2690" s="3" t="s">
        <v>38</v>
      </c>
      <c r="P2690" s="5">
        <v>8</v>
      </c>
      <c r="Q2690" s="5">
        <v>113</v>
      </c>
      <c r="R2690" s="5">
        <v>9</v>
      </c>
      <c r="S2690" s="5">
        <v>111</v>
      </c>
    </row>
    <row r="2691" spans="1:19" ht="28" x14ac:dyDescent="0.15">
      <c r="A2691" s="2">
        <f>HYPERLINK("https://open-school.uspishnemisto.com.ua/school/140161/", 140161)</f>
        <v>140161</v>
      </c>
      <c r="B2691" s="3" t="s">
        <v>14291</v>
      </c>
      <c r="C2691" s="3" t="s">
        <v>31</v>
      </c>
      <c r="D2691" s="3" t="s">
        <v>32</v>
      </c>
      <c r="E2691" s="4" t="s">
        <v>22</v>
      </c>
      <c r="F2691" s="4" t="s">
        <v>14292</v>
      </c>
      <c r="G2691" s="4" t="s">
        <v>14286</v>
      </c>
      <c r="H2691" s="3" t="s">
        <v>13575</v>
      </c>
      <c r="I2691" s="3" t="s">
        <v>2179</v>
      </c>
      <c r="J2691" s="3" t="s">
        <v>14293</v>
      </c>
      <c r="K2691" s="3" t="s">
        <v>14294</v>
      </c>
      <c r="L2691" s="3" t="s">
        <v>14295</v>
      </c>
      <c r="M2691" s="4"/>
      <c r="N2691" s="3" t="s">
        <v>128</v>
      </c>
      <c r="O2691" s="3" t="s">
        <v>38</v>
      </c>
      <c r="P2691" s="5">
        <v>12</v>
      </c>
      <c r="Q2691" s="5">
        <v>260</v>
      </c>
      <c r="R2691" s="5">
        <v>12</v>
      </c>
      <c r="S2691" s="5">
        <v>266</v>
      </c>
    </row>
    <row r="2692" spans="1:19" ht="28" x14ac:dyDescent="0.15">
      <c r="A2692" s="2">
        <f>HYPERLINK("https://open-school.uspishnemisto.com.ua/school/140162/", 140162)</f>
        <v>140162</v>
      </c>
      <c r="B2692" s="3" t="s">
        <v>14296</v>
      </c>
      <c r="C2692" s="3" t="s">
        <v>31</v>
      </c>
      <c r="D2692" s="3" t="s">
        <v>32</v>
      </c>
      <c r="E2692" s="4" t="s">
        <v>22</v>
      </c>
      <c r="F2692" s="4" t="s">
        <v>14297</v>
      </c>
      <c r="G2692" s="4" t="s">
        <v>14286</v>
      </c>
      <c r="H2692" s="3" t="s">
        <v>13575</v>
      </c>
      <c r="I2692" s="3" t="s">
        <v>2179</v>
      </c>
      <c r="J2692" s="3" t="s">
        <v>14298</v>
      </c>
      <c r="K2692" s="3" t="s">
        <v>14299</v>
      </c>
      <c r="L2692" s="3" t="s">
        <v>14300</v>
      </c>
      <c r="M2692" s="4"/>
      <c r="N2692" s="3" t="s">
        <v>128</v>
      </c>
      <c r="O2692" s="3" t="s">
        <v>38</v>
      </c>
      <c r="P2692" s="5">
        <v>17</v>
      </c>
      <c r="Q2692" s="5">
        <v>346</v>
      </c>
      <c r="R2692" s="5">
        <v>17</v>
      </c>
      <c r="S2692" s="5">
        <v>351</v>
      </c>
    </row>
    <row r="2693" spans="1:19" ht="28" x14ac:dyDescent="0.15">
      <c r="A2693" s="2">
        <f>HYPERLINK("https://open-school.uspishnemisto.com.ua/school/140163/", 140163)</f>
        <v>140163</v>
      </c>
      <c r="B2693" s="3" t="s">
        <v>14301</v>
      </c>
      <c r="C2693" s="3" t="s">
        <v>31</v>
      </c>
      <c r="D2693" s="3" t="s">
        <v>32</v>
      </c>
      <c r="E2693" s="4" t="s">
        <v>22</v>
      </c>
      <c r="F2693" s="4" t="s">
        <v>14285</v>
      </c>
      <c r="G2693" s="4" t="s">
        <v>14286</v>
      </c>
      <c r="H2693" s="3" t="s">
        <v>13575</v>
      </c>
      <c r="I2693" s="3" t="s">
        <v>2179</v>
      </c>
      <c r="J2693" s="3" t="s">
        <v>14302</v>
      </c>
      <c r="K2693" s="3" t="s">
        <v>14303</v>
      </c>
      <c r="L2693" s="3" t="s">
        <v>14304</v>
      </c>
      <c r="M2693" s="4"/>
      <c r="N2693" s="3" t="s">
        <v>128</v>
      </c>
      <c r="O2693" s="3" t="s">
        <v>721</v>
      </c>
      <c r="P2693" s="5">
        <v>29</v>
      </c>
      <c r="Q2693" s="5">
        <v>668</v>
      </c>
      <c r="R2693" s="5">
        <v>30</v>
      </c>
      <c r="S2693" s="5">
        <v>686</v>
      </c>
    </row>
    <row r="2694" spans="1:19" ht="28" x14ac:dyDescent="0.15">
      <c r="A2694" s="2">
        <f>HYPERLINK("https://open-school.uspishnemisto.com.ua/school/140164/", 140164)</f>
        <v>140164</v>
      </c>
      <c r="B2694" s="3" t="s">
        <v>14305</v>
      </c>
      <c r="C2694" s="3" t="s">
        <v>31</v>
      </c>
      <c r="D2694" s="3" t="s">
        <v>32</v>
      </c>
      <c r="E2694" s="4" t="s">
        <v>22</v>
      </c>
      <c r="F2694" s="4" t="s">
        <v>14306</v>
      </c>
      <c r="G2694" s="4" t="s">
        <v>14286</v>
      </c>
      <c r="H2694" s="3" t="s">
        <v>13575</v>
      </c>
      <c r="I2694" s="3" t="s">
        <v>2179</v>
      </c>
      <c r="J2694" s="3" t="s">
        <v>14307</v>
      </c>
      <c r="K2694" s="3" t="s">
        <v>14308</v>
      </c>
      <c r="L2694" s="3" t="s">
        <v>14309</v>
      </c>
      <c r="M2694" s="4"/>
      <c r="N2694" s="3" t="s">
        <v>37</v>
      </c>
      <c r="O2694" s="3" t="s">
        <v>38</v>
      </c>
      <c r="P2694" s="5">
        <v>15</v>
      </c>
      <c r="Q2694" s="5">
        <v>342</v>
      </c>
      <c r="R2694" s="5">
        <v>15</v>
      </c>
      <c r="S2694" s="5">
        <v>345</v>
      </c>
    </row>
    <row r="2695" spans="1:19" ht="28" x14ac:dyDescent="0.15">
      <c r="A2695" s="2">
        <f>HYPERLINK("https://open-school.uspishnemisto.com.ua/school/140165/", 140165)</f>
        <v>140165</v>
      </c>
      <c r="B2695" s="3" t="s">
        <v>14310</v>
      </c>
      <c r="C2695" s="3" t="s">
        <v>31</v>
      </c>
      <c r="D2695" s="3" t="s">
        <v>32</v>
      </c>
      <c r="E2695" s="4" t="s">
        <v>22</v>
      </c>
      <c r="F2695" s="4" t="s">
        <v>14292</v>
      </c>
      <c r="G2695" s="4" t="s">
        <v>14286</v>
      </c>
      <c r="H2695" s="3" t="s">
        <v>13575</v>
      </c>
      <c r="I2695" s="3" t="s">
        <v>2179</v>
      </c>
      <c r="J2695" s="3" t="s">
        <v>14311</v>
      </c>
      <c r="K2695" s="3" t="s">
        <v>14312</v>
      </c>
      <c r="L2695" s="3" t="s">
        <v>14313</v>
      </c>
      <c r="M2695" s="4"/>
      <c r="N2695" s="3" t="s">
        <v>128</v>
      </c>
      <c r="O2695" s="3" t="s">
        <v>70</v>
      </c>
      <c r="P2695" s="5">
        <v>16</v>
      </c>
      <c r="Q2695" s="5">
        <v>351</v>
      </c>
      <c r="R2695" s="5">
        <v>16</v>
      </c>
      <c r="S2695" s="5">
        <v>361</v>
      </c>
    </row>
    <row r="2696" spans="1:19" ht="28" x14ac:dyDescent="0.15">
      <c r="A2696" s="2">
        <f>HYPERLINK("https://open-school.uspishnemisto.com.ua/school/140166/", 140166)</f>
        <v>140166</v>
      </c>
      <c r="B2696" s="3" t="s">
        <v>14314</v>
      </c>
      <c r="C2696" s="3" t="s">
        <v>31</v>
      </c>
      <c r="D2696" s="3" t="s">
        <v>32</v>
      </c>
      <c r="E2696" s="4" t="s">
        <v>22</v>
      </c>
      <c r="F2696" s="4" t="s">
        <v>14315</v>
      </c>
      <c r="G2696" s="4" t="s">
        <v>14286</v>
      </c>
      <c r="H2696" s="3" t="s">
        <v>13575</v>
      </c>
      <c r="I2696" s="3" t="s">
        <v>2179</v>
      </c>
      <c r="J2696" s="3" t="s">
        <v>14316</v>
      </c>
      <c r="K2696" s="3" t="s">
        <v>14317</v>
      </c>
      <c r="L2696" s="3" t="s">
        <v>14318</v>
      </c>
      <c r="M2696" s="4"/>
      <c r="N2696" s="3" t="s">
        <v>128</v>
      </c>
      <c r="O2696" s="3" t="s">
        <v>38</v>
      </c>
      <c r="P2696" s="5">
        <v>28</v>
      </c>
      <c r="Q2696" s="5">
        <v>694</v>
      </c>
      <c r="R2696" s="5">
        <v>26</v>
      </c>
      <c r="S2696" s="5">
        <v>661</v>
      </c>
    </row>
    <row r="2697" spans="1:19" ht="28" x14ac:dyDescent="0.15">
      <c r="A2697" s="2">
        <f>HYPERLINK("https://open-school.uspishnemisto.com.ua/school/140167/", 140167)</f>
        <v>140167</v>
      </c>
      <c r="B2697" s="3" t="s">
        <v>14319</v>
      </c>
      <c r="C2697" s="3" t="s">
        <v>31</v>
      </c>
      <c r="D2697" s="3" t="s">
        <v>32</v>
      </c>
      <c r="E2697" s="4" t="s">
        <v>22</v>
      </c>
      <c r="F2697" s="4" t="s">
        <v>14320</v>
      </c>
      <c r="G2697" s="4" t="s">
        <v>14286</v>
      </c>
      <c r="H2697" s="3" t="s">
        <v>13575</v>
      </c>
      <c r="I2697" s="3" t="s">
        <v>2179</v>
      </c>
      <c r="J2697" s="3" t="s">
        <v>14321</v>
      </c>
      <c r="K2697" s="3" t="s">
        <v>14322</v>
      </c>
      <c r="L2697" s="3" t="s">
        <v>14323</v>
      </c>
      <c r="M2697" s="4"/>
      <c r="N2697" s="3" t="s">
        <v>37</v>
      </c>
      <c r="O2697" s="3" t="s">
        <v>38</v>
      </c>
      <c r="P2697" s="5">
        <v>11</v>
      </c>
      <c r="Q2697" s="5">
        <v>291</v>
      </c>
      <c r="R2697" s="5">
        <v>11</v>
      </c>
      <c r="S2697" s="5">
        <v>286</v>
      </c>
    </row>
    <row r="2698" spans="1:19" ht="42" x14ac:dyDescent="0.15">
      <c r="A2698" s="2">
        <f>HYPERLINK("https://open-school.uspishnemisto.com.ua/school/140168/", 140168)</f>
        <v>140168</v>
      </c>
      <c r="B2698" s="3" t="s">
        <v>14324</v>
      </c>
      <c r="C2698" s="3" t="s">
        <v>293</v>
      </c>
      <c r="D2698" s="3" t="s">
        <v>175</v>
      </c>
      <c r="E2698" s="4" t="s">
        <v>22</v>
      </c>
      <c r="F2698" s="4" t="s">
        <v>14315</v>
      </c>
      <c r="G2698" s="4" t="s">
        <v>14286</v>
      </c>
      <c r="H2698" s="3" t="s">
        <v>13575</v>
      </c>
      <c r="I2698" s="3" t="s">
        <v>2179</v>
      </c>
      <c r="J2698" s="3" t="s">
        <v>14325</v>
      </c>
      <c r="K2698" s="3" t="s">
        <v>14326</v>
      </c>
      <c r="L2698" s="3" t="s">
        <v>14327</v>
      </c>
      <c r="M2698" s="4"/>
      <c r="N2698" s="3" t="s">
        <v>967</v>
      </c>
      <c r="O2698" s="3" t="s">
        <v>52</v>
      </c>
      <c r="P2698" s="5">
        <v>8</v>
      </c>
      <c r="Q2698" s="5">
        <v>110</v>
      </c>
      <c r="R2698" s="5">
        <v>9</v>
      </c>
      <c r="S2698" s="5">
        <v>135</v>
      </c>
    </row>
    <row r="2699" spans="1:19" ht="42" x14ac:dyDescent="0.15">
      <c r="A2699" s="2">
        <f>HYPERLINK("https://open-school.uspishnemisto.com.ua/school/140169/", 140169)</f>
        <v>140169</v>
      </c>
      <c r="B2699" s="3" t="s">
        <v>14328</v>
      </c>
      <c r="C2699" s="3" t="s">
        <v>244</v>
      </c>
      <c r="D2699" s="3" t="s">
        <v>32</v>
      </c>
      <c r="E2699" s="4" t="s">
        <v>22</v>
      </c>
      <c r="F2699" s="4" t="s">
        <v>14329</v>
      </c>
      <c r="G2699" s="4" t="s">
        <v>14286</v>
      </c>
      <c r="H2699" s="3" t="s">
        <v>13575</v>
      </c>
      <c r="I2699" s="3" t="s">
        <v>2179</v>
      </c>
      <c r="J2699" s="3" t="s">
        <v>14330</v>
      </c>
      <c r="K2699" s="3" t="s">
        <v>14331</v>
      </c>
      <c r="L2699" s="3" t="s">
        <v>14332</v>
      </c>
      <c r="M2699" s="4"/>
      <c r="N2699" s="3" t="s">
        <v>967</v>
      </c>
      <c r="O2699" s="3" t="s">
        <v>2740</v>
      </c>
      <c r="P2699" s="5">
        <v>24</v>
      </c>
      <c r="Q2699" s="5">
        <v>644</v>
      </c>
      <c r="R2699" s="5">
        <v>24</v>
      </c>
      <c r="S2699" s="5">
        <v>586</v>
      </c>
    </row>
    <row r="2700" spans="1:19" ht="42" x14ac:dyDescent="0.15">
      <c r="A2700" s="2">
        <f>HYPERLINK("https://open-school.uspishnemisto.com.ua/school/140170/", 140170)</f>
        <v>140170</v>
      </c>
      <c r="B2700" s="3" t="s">
        <v>14333</v>
      </c>
      <c r="C2700" s="3" t="s">
        <v>244</v>
      </c>
      <c r="D2700" s="3" t="s">
        <v>32</v>
      </c>
      <c r="E2700" s="4" t="s">
        <v>22</v>
      </c>
      <c r="F2700" s="4" t="s">
        <v>14285</v>
      </c>
      <c r="G2700" s="4" t="s">
        <v>14286</v>
      </c>
      <c r="H2700" s="3" t="s">
        <v>13575</v>
      </c>
      <c r="I2700" s="3" t="s">
        <v>2179</v>
      </c>
      <c r="J2700" s="3" t="s">
        <v>14334</v>
      </c>
      <c r="K2700" s="3" t="s">
        <v>14335</v>
      </c>
      <c r="L2700" s="3" t="s">
        <v>14336</v>
      </c>
      <c r="M2700" s="4"/>
      <c r="N2700" s="3" t="s">
        <v>128</v>
      </c>
      <c r="O2700" s="3" t="s">
        <v>38</v>
      </c>
      <c r="P2700" s="5">
        <v>25</v>
      </c>
      <c r="Q2700" s="5">
        <v>578</v>
      </c>
      <c r="R2700" s="5">
        <v>24</v>
      </c>
      <c r="S2700" s="5">
        <v>567</v>
      </c>
    </row>
    <row r="2701" spans="1:19" ht="28" x14ac:dyDescent="0.15">
      <c r="A2701" s="2">
        <f>HYPERLINK("https://open-school.uspishnemisto.com.ua/school/140171/", 140171)</f>
        <v>140171</v>
      </c>
      <c r="B2701" s="3" t="s">
        <v>14337</v>
      </c>
      <c r="C2701" s="3" t="s">
        <v>181</v>
      </c>
      <c r="D2701" s="3" t="s">
        <v>175</v>
      </c>
      <c r="E2701" s="4" t="s">
        <v>22</v>
      </c>
      <c r="F2701" s="4" t="s">
        <v>14320</v>
      </c>
      <c r="G2701" s="4" t="s">
        <v>14286</v>
      </c>
      <c r="H2701" s="3" t="s">
        <v>13575</v>
      </c>
      <c r="I2701" s="3" t="s">
        <v>2179</v>
      </c>
      <c r="J2701" s="3" t="s">
        <v>14338</v>
      </c>
      <c r="K2701" s="3" t="s">
        <v>14339</v>
      </c>
      <c r="L2701" s="3" t="s">
        <v>14340</v>
      </c>
      <c r="M2701" s="4" t="s">
        <v>14341</v>
      </c>
      <c r="N2701" s="3" t="s">
        <v>37</v>
      </c>
      <c r="O2701" s="3"/>
      <c r="P2701" s="5">
        <v>13</v>
      </c>
      <c r="Q2701" s="5">
        <v>129</v>
      </c>
      <c r="R2701" s="5">
        <v>13</v>
      </c>
      <c r="S2701" s="5">
        <v>122</v>
      </c>
    </row>
    <row r="2702" spans="1:19" ht="42" x14ac:dyDescent="0.15">
      <c r="A2702" s="2">
        <f>HYPERLINK("https://open-school.uspishnemisto.com.ua/school/140172/", 140172)</f>
        <v>140172</v>
      </c>
      <c r="B2702" s="3" t="s">
        <v>14342</v>
      </c>
      <c r="C2702" s="3" t="s">
        <v>7651</v>
      </c>
      <c r="D2702" s="3" t="s">
        <v>32</v>
      </c>
      <c r="E2702" s="4" t="s">
        <v>22</v>
      </c>
      <c r="F2702" s="4" t="s">
        <v>14315</v>
      </c>
      <c r="G2702" s="4" t="s">
        <v>14286</v>
      </c>
      <c r="H2702" s="3" t="s">
        <v>13575</v>
      </c>
      <c r="I2702" s="3" t="s">
        <v>2179</v>
      </c>
      <c r="J2702" s="3" t="s">
        <v>14343</v>
      </c>
      <c r="K2702" s="3" t="s">
        <v>14344</v>
      </c>
      <c r="L2702" s="3" t="s">
        <v>14345</v>
      </c>
      <c r="M2702" s="4"/>
      <c r="N2702" s="3"/>
      <c r="O2702" s="3"/>
      <c r="P2702" s="5">
        <v>0</v>
      </c>
      <c r="Q2702" s="5">
        <v>0</v>
      </c>
      <c r="R2702" s="5"/>
      <c r="S2702" s="5"/>
    </row>
    <row r="2703" spans="1:19" ht="28" x14ac:dyDescent="0.15">
      <c r="A2703" s="2">
        <f>HYPERLINK("https://open-school.uspishnemisto.com.ua/school/140173/", 140173)</f>
        <v>140173</v>
      </c>
      <c r="B2703" s="3" t="s">
        <v>14346</v>
      </c>
      <c r="C2703" s="3" t="s">
        <v>40</v>
      </c>
      <c r="D2703" s="3" t="s">
        <v>32</v>
      </c>
      <c r="E2703" s="4" t="s">
        <v>22</v>
      </c>
      <c r="F2703" s="4" t="s">
        <v>14329</v>
      </c>
      <c r="G2703" s="4" t="s">
        <v>14286</v>
      </c>
      <c r="H2703" s="3" t="s">
        <v>13575</v>
      </c>
      <c r="I2703" s="3" t="s">
        <v>2179</v>
      </c>
      <c r="J2703" s="3" t="s">
        <v>14347</v>
      </c>
      <c r="K2703" s="3" t="s">
        <v>14348</v>
      </c>
      <c r="L2703" s="3" t="s">
        <v>14349</v>
      </c>
      <c r="M2703" s="4"/>
      <c r="N2703" s="3" t="s">
        <v>37</v>
      </c>
      <c r="O2703" s="3" t="s">
        <v>70</v>
      </c>
      <c r="P2703" s="5">
        <v>20</v>
      </c>
      <c r="Q2703" s="5">
        <v>397</v>
      </c>
      <c r="R2703" s="5">
        <v>22</v>
      </c>
      <c r="S2703" s="5">
        <v>413</v>
      </c>
    </row>
    <row r="2704" spans="1:19" ht="42" x14ac:dyDescent="0.15">
      <c r="A2704" s="2">
        <f>HYPERLINK("https://open-school.uspishnemisto.com.ua/school/140174/", 140174)</f>
        <v>140174</v>
      </c>
      <c r="B2704" s="3" t="s">
        <v>14350</v>
      </c>
      <c r="C2704" s="3" t="s">
        <v>54</v>
      </c>
      <c r="D2704" s="3" t="s">
        <v>32</v>
      </c>
      <c r="E2704" s="4" t="s">
        <v>22</v>
      </c>
      <c r="F2704" s="4" t="s">
        <v>14351</v>
      </c>
      <c r="G2704" s="4" t="s">
        <v>14286</v>
      </c>
      <c r="H2704" s="3" t="s">
        <v>13575</v>
      </c>
      <c r="I2704" s="3" t="s">
        <v>2179</v>
      </c>
      <c r="J2704" s="3" t="s">
        <v>14352</v>
      </c>
      <c r="K2704" s="3" t="s">
        <v>14353</v>
      </c>
      <c r="L2704" s="3" t="s">
        <v>14354</v>
      </c>
      <c r="M2704" s="4"/>
      <c r="N2704" s="3" t="s">
        <v>37</v>
      </c>
      <c r="O2704" s="3" t="s">
        <v>38</v>
      </c>
      <c r="P2704" s="5">
        <v>10</v>
      </c>
      <c r="Q2704" s="5">
        <v>264</v>
      </c>
      <c r="R2704" s="5">
        <v>11</v>
      </c>
      <c r="S2704" s="5">
        <v>256</v>
      </c>
    </row>
    <row r="2705" spans="1:19" ht="42" x14ac:dyDescent="0.15">
      <c r="A2705" s="2">
        <f>HYPERLINK("https://open-school.uspishnemisto.com.ua/school/140175/", 140175)</f>
        <v>140175</v>
      </c>
      <c r="B2705" s="3" t="s">
        <v>14355</v>
      </c>
      <c r="C2705" s="3" t="s">
        <v>188</v>
      </c>
      <c r="D2705" s="3" t="s">
        <v>32</v>
      </c>
      <c r="E2705" s="4" t="s">
        <v>22</v>
      </c>
      <c r="F2705" s="4" t="s">
        <v>14356</v>
      </c>
      <c r="G2705" s="4" t="s">
        <v>14286</v>
      </c>
      <c r="H2705" s="3" t="s">
        <v>13575</v>
      </c>
      <c r="I2705" s="3" t="s">
        <v>2179</v>
      </c>
      <c r="J2705" s="3" t="s">
        <v>14357</v>
      </c>
      <c r="K2705" s="3" t="s">
        <v>14358</v>
      </c>
      <c r="L2705" s="3" t="s">
        <v>14359</v>
      </c>
      <c r="M2705" s="4"/>
      <c r="N2705" s="3" t="s">
        <v>128</v>
      </c>
      <c r="O2705" s="3" t="s">
        <v>197</v>
      </c>
      <c r="P2705" s="5">
        <v>29</v>
      </c>
      <c r="Q2705" s="5">
        <v>724</v>
      </c>
      <c r="R2705" s="5">
        <v>28</v>
      </c>
      <c r="S2705" s="5">
        <v>715</v>
      </c>
    </row>
    <row r="2706" spans="1:19" ht="28" x14ac:dyDescent="0.15">
      <c r="A2706" s="2">
        <f>HYPERLINK("https://open-school.uspishnemisto.com.ua/school/140176/", 140176)</f>
        <v>140176</v>
      </c>
      <c r="B2706" s="3" t="s">
        <v>14360</v>
      </c>
      <c r="C2706" s="3" t="s">
        <v>2634</v>
      </c>
      <c r="D2706" s="3" t="s">
        <v>175</v>
      </c>
      <c r="E2706" s="4" t="s">
        <v>22</v>
      </c>
      <c r="F2706" s="4" t="s">
        <v>14361</v>
      </c>
      <c r="G2706" s="4" t="s">
        <v>14362</v>
      </c>
      <c r="H2706" s="3" t="s">
        <v>13575</v>
      </c>
      <c r="I2706" s="3" t="s">
        <v>14363</v>
      </c>
      <c r="J2706" s="3" t="s">
        <v>14364</v>
      </c>
      <c r="K2706" s="3" t="s">
        <v>14365</v>
      </c>
      <c r="L2706" s="3"/>
      <c r="M2706" s="4" t="s">
        <v>14366</v>
      </c>
      <c r="N2706" s="3" t="s">
        <v>128</v>
      </c>
      <c r="O2706" s="3" t="s">
        <v>38</v>
      </c>
      <c r="P2706" s="5">
        <v>10</v>
      </c>
      <c r="Q2706" s="5">
        <v>207</v>
      </c>
      <c r="R2706" s="5">
        <v>10</v>
      </c>
      <c r="S2706" s="5">
        <v>206</v>
      </c>
    </row>
    <row r="2707" spans="1:19" ht="28" x14ac:dyDescent="0.15">
      <c r="A2707" s="2">
        <f>HYPERLINK("https://open-school.uspishnemisto.com.ua/school/140177/", 140177)</f>
        <v>140177</v>
      </c>
      <c r="B2707" s="3" t="s">
        <v>14367</v>
      </c>
      <c r="C2707" s="3" t="s">
        <v>31</v>
      </c>
      <c r="D2707" s="3" t="s">
        <v>32</v>
      </c>
      <c r="E2707" s="4" t="s">
        <v>22</v>
      </c>
      <c r="F2707" s="4" t="s">
        <v>14368</v>
      </c>
      <c r="G2707" s="4" t="s">
        <v>14362</v>
      </c>
      <c r="H2707" s="3" t="s">
        <v>13575</v>
      </c>
      <c r="I2707" s="3" t="s">
        <v>14363</v>
      </c>
      <c r="J2707" s="3" t="s">
        <v>14369</v>
      </c>
      <c r="K2707" s="3" t="s">
        <v>14370</v>
      </c>
      <c r="L2707" s="3"/>
      <c r="M2707" s="4"/>
      <c r="N2707" s="3" t="s">
        <v>128</v>
      </c>
      <c r="O2707" s="3" t="s">
        <v>70</v>
      </c>
      <c r="P2707" s="5">
        <v>19</v>
      </c>
      <c r="Q2707" s="5">
        <v>443</v>
      </c>
      <c r="R2707" s="5">
        <v>18</v>
      </c>
      <c r="S2707" s="5">
        <v>425</v>
      </c>
    </row>
    <row r="2708" spans="1:19" ht="28" x14ac:dyDescent="0.15">
      <c r="A2708" s="2">
        <f>HYPERLINK("https://open-school.uspishnemisto.com.ua/school/140178/", 140178)</f>
        <v>140178</v>
      </c>
      <c r="B2708" s="3" t="s">
        <v>14371</v>
      </c>
      <c r="C2708" s="3" t="s">
        <v>31</v>
      </c>
      <c r="D2708" s="3" t="s">
        <v>175</v>
      </c>
      <c r="E2708" s="4" t="s">
        <v>22</v>
      </c>
      <c r="F2708" s="4" t="s">
        <v>14372</v>
      </c>
      <c r="G2708" s="4" t="s">
        <v>14362</v>
      </c>
      <c r="H2708" s="3" t="s">
        <v>13575</v>
      </c>
      <c r="I2708" s="3" t="s">
        <v>14363</v>
      </c>
      <c r="J2708" s="3" t="s">
        <v>14373</v>
      </c>
      <c r="K2708" s="3" t="s">
        <v>14374</v>
      </c>
      <c r="L2708" s="3"/>
      <c r="M2708" s="4"/>
      <c r="N2708" s="3" t="s">
        <v>128</v>
      </c>
      <c r="O2708" s="3" t="s">
        <v>38</v>
      </c>
      <c r="P2708" s="5">
        <v>10</v>
      </c>
      <c r="Q2708" s="5">
        <v>197</v>
      </c>
      <c r="R2708" s="5">
        <v>11</v>
      </c>
      <c r="S2708" s="5">
        <v>178</v>
      </c>
    </row>
    <row r="2709" spans="1:19" ht="28" x14ac:dyDescent="0.15">
      <c r="A2709" s="2">
        <f>HYPERLINK("https://open-school.uspishnemisto.com.ua/school/140179/", 140179)</f>
        <v>140179</v>
      </c>
      <c r="B2709" s="3" t="s">
        <v>14375</v>
      </c>
      <c r="C2709" s="3" t="s">
        <v>31</v>
      </c>
      <c r="D2709" s="3" t="s">
        <v>32</v>
      </c>
      <c r="E2709" s="4" t="s">
        <v>22</v>
      </c>
      <c r="F2709" s="4" t="s">
        <v>14376</v>
      </c>
      <c r="G2709" s="4" t="s">
        <v>14362</v>
      </c>
      <c r="H2709" s="3" t="s">
        <v>13575</v>
      </c>
      <c r="I2709" s="3" t="s">
        <v>14363</v>
      </c>
      <c r="J2709" s="3" t="s">
        <v>14377</v>
      </c>
      <c r="K2709" s="3" t="s">
        <v>14378</v>
      </c>
      <c r="L2709" s="3"/>
      <c r="M2709" s="4"/>
      <c r="N2709" s="3" t="s">
        <v>128</v>
      </c>
      <c r="O2709" s="3" t="s">
        <v>70</v>
      </c>
      <c r="P2709" s="5">
        <v>22</v>
      </c>
      <c r="Q2709" s="5">
        <v>466</v>
      </c>
      <c r="R2709" s="5">
        <v>21</v>
      </c>
      <c r="S2709" s="5">
        <v>453</v>
      </c>
    </row>
    <row r="2710" spans="1:19" ht="28" x14ac:dyDescent="0.15">
      <c r="A2710" s="2">
        <f>HYPERLINK("https://open-school.uspishnemisto.com.ua/school/140180/", 140180)</f>
        <v>140180</v>
      </c>
      <c r="B2710" s="3" t="s">
        <v>14379</v>
      </c>
      <c r="C2710" s="3" t="s">
        <v>31</v>
      </c>
      <c r="D2710" s="3" t="s">
        <v>32</v>
      </c>
      <c r="E2710" s="4" t="s">
        <v>22</v>
      </c>
      <c r="F2710" s="4" t="s">
        <v>14380</v>
      </c>
      <c r="G2710" s="4" t="s">
        <v>14362</v>
      </c>
      <c r="H2710" s="3" t="s">
        <v>13575</v>
      </c>
      <c r="I2710" s="3" t="s">
        <v>14363</v>
      </c>
      <c r="J2710" s="3" t="s">
        <v>14381</v>
      </c>
      <c r="K2710" s="3" t="s">
        <v>14382</v>
      </c>
      <c r="L2710" s="3" t="s">
        <v>14383</v>
      </c>
      <c r="M2710" s="4"/>
      <c r="N2710" s="3" t="s">
        <v>128</v>
      </c>
      <c r="O2710" s="3" t="s">
        <v>721</v>
      </c>
      <c r="P2710" s="5">
        <v>31</v>
      </c>
      <c r="Q2710" s="5">
        <v>769</v>
      </c>
      <c r="R2710" s="5">
        <v>33</v>
      </c>
      <c r="S2710" s="5">
        <v>750</v>
      </c>
    </row>
    <row r="2711" spans="1:19" ht="28" x14ac:dyDescent="0.15">
      <c r="A2711" s="2">
        <f>HYPERLINK("https://open-school.uspishnemisto.com.ua/school/140181/", 140181)</f>
        <v>140181</v>
      </c>
      <c r="B2711" s="3" t="s">
        <v>14384</v>
      </c>
      <c r="C2711" s="3" t="s">
        <v>31</v>
      </c>
      <c r="D2711" s="3" t="s">
        <v>175</v>
      </c>
      <c r="E2711" s="4" t="s">
        <v>22</v>
      </c>
      <c r="F2711" s="4" t="s">
        <v>14385</v>
      </c>
      <c r="G2711" s="4" t="s">
        <v>14362</v>
      </c>
      <c r="H2711" s="3" t="s">
        <v>13575</v>
      </c>
      <c r="I2711" s="3" t="s">
        <v>14363</v>
      </c>
      <c r="J2711" s="3" t="s">
        <v>14386</v>
      </c>
      <c r="K2711" s="3" t="s">
        <v>14387</v>
      </c>
      <c r="L2711" s="3"/>
      <c r="M2711" s="4"/>
      <c r="N2711" s="3" t="s">
        <v>128</v>
      </c>
      <c r="O2711" s="3" t="s">
        <v>70</v>
      </c>
      <c r="P2711" s="5">
        <v>16</v>
      </c>
      <c r="Q2711" s="5">
        <v>323</v>
      </c>
      <c r="R2711" s="5">
        <v>16</v>
      </c>
      <c r="S2711" s="5">
        <v>310</v>
      </c>
    </row>
    <row r="2712" spans="1:19" ht="28" x14ac:dyDescent="0.15">
      <c r="A2712" s="2">
        <f>HYPERLINK("https://open-school.uspishnemisto.com.ua/school/140182/", 140182)</f>
        <v>140182</v>
      </c>
      <c r="B2712" s="3" t="s">
        <v>14388</v>
      </c>
      <c r="C2712" s="3" t="s">
        <v>31</v>
      </c>
      <c r="D2712" s="3" t="s">
        <v>175</v>
      </c>
      <c r="E2712" s="4" t="s">
        <v>22</v>
      </c>
      <c r="F2712" s="4" t="s">
        <v>14389</v>
      </c>
      <c r="G2712" s="4" t="s">
        <v>14362</v>
      </c>
      <c r="H2712" s="3" t="s">
        <v>13575</v>
      </c>
      <c r="I2712" s="3" t="s">
        <v>14363</v>
      </c>
      <c r="J2712" s="3" t="s">
        <v>14390</v>
      </c>
      <c r="K2712" s="3" t="s">
        <v>14391</v>
      </c>
      <c r="L2712" s="3" t="s">
        <v>14392</v>
      </c>
      <c r="M2712" s="4"/>
      <c r="N2712" s="3" t="s">
        <v>37</v>
      </c>
      <c r="O2712" s="3" t="s">
        <v>52</v>
      </c>
      <c r="P2712" s="5">
        <v>9</v>
      </c>
      <c r="Q2712" s="5">
        <v>72</v>
      </c>
      <c r="R2712" s="5">
        <v>9</v>
      </c>
      <c r="S2712" s="5">
        <v>70</v>
      </c>
    </row>
    <row r="2713" spans="1:19" ht="42" x14ac:dyDescent="0.15">
      <c r="A2713" s="2">
        <f>HYPERLINK("https://open-school.uspishnemisto.com.ua/school/140183/", 140183)</f>
        <v>140183</v>
      </c>
      <c r="B2713" s="3" t="s">
        <v>14393</v>
      </c>
      <c r="C2713" s="3" t="s">
        <v>31</v>
      </c>
      <c r="D2713" s="3" t="s">
        <v>32</v>
      </c>
      <c r="E2713" s="4" t="s">
        <v>22</v>
      </c>
      <c r="F2713" s="4" t="s">
        <v>14394</v>
      </c>
      <c r="G2713" s="4" t="s">
        <v>14362</v>
      </c>
      <c r="H2713" s="3" t="s">
        <v>13575</v>
      </c>
      <c r="I2713" s="3" t="s">
        <v>14363</v>
      </c>
      <c r="J2713" s="3" t="s">
        <v>14395</v>
      </c>
      <c r="K2713" s="3" t="s">
        <v>14396</v>
      </c>
      <c r="L2713" s="3" t="s">
        <v>14397</v>
      </c>
      <c r="M2713" s="4"/>
      <c r="N2713" s="3" t="s">
        <v>128</v>
      </c>
      <c r="O2713" s="3" t="s">
        <v>38</v>
      </c>
      <c r="P2713" s="5">
        <v>34</v>
      </c>
      <c r="Q2713" s="5">
        <v>853</v>
      </c>
      <c r="R2713" s="5">
        <v>34</v>
      </c>
      <c r="S2713" s="5">
        <v>842</v>
      </c>
    </row>
    <row r="2714" spans="1:19" ht="28" x14ac:dyDescent="0.15">
      <c r="A2714" s="2">
        <f>HYPERLINK("https://open-school.uspishnemisto.com.ua/school/140184/", 140184)</f>
        <v>140184</v>
      </c>
      <c r="B2714" s="3" t="s">
        <v>14398</v>
      </c>
      <c r="C2714" s="3" t="s">
        <v>31</v>
      </c>
      <c r="D2714" s="3" t="s">
        <v>32</v>
      </c>
      <c r="E2714" s="4" t="s">
        <v>22</v>
      </c>
      <c r="F2714" s="4" t="s">
        <v>14399</v>
      </c>
      <c r="G2714" s="4" t="s">
        <v>14362</v>
      </c>
      <c r="H2714" s="3" t="s">
        <v>13575</v>
      </c>
      <c r="I2714" s="3" t="s">
        <v>14363</v>
      </c>
      <c r="J2714" s="3" t="s">
        <v>14400</v>
      </c>
      <c r="K2714" s="3" t="s">
        <v>14401</v>
      </c>
      <c r="L2714" s="3" t="s">
        <v>14402</v>
      </c>
      <c r="M2714" s="4"/>
      <c r="N2714" s="3" t="s">
        <v>128</v>
      </c>
      <c r="O2714" s="3" t="s">
        <v>721</v>
      </c>
      <c r="P2714" s="5">
        <v>20</v>
      </c>
      <c r="Q2714" s="5">
        <v>383</v>
      </c>
      <c r="R2714" s="5">
        <v>20</v>
      </c>
      <c r="S2714" s="5">
        <v>357</v>
      </c>
    </row>
    <row r="2715" spans="1:19" ht="28" x14ac:dyDescent="0.15">
      <c r="A2715" s="2">
        <f>HYPERLINK("https://open-school.uspishnemisto.com.ua/school/140185/", 140185)</f>
        <v>140185</v>
      </c>
      <c r="B2715" s="3" t="s">
        <v>14403</v>
      </c>
      <c r="C2715" s="3" t="s">
        <v>31</v>
      </c>
      <c r="D2715" s="3" t="s">
        <v>32</v>
      </c>
      <c r="E2715" s="4" t="s">
        <v>22</v>
      </c>
      <c r="F2715" s="4" t="s">
        <v>14394</v>
      </c>
      <c r="G2715" s="4" t="s">
        <v>14362</v>
      </c>
      <c r="H2715" s="3" t="s">
        <v>13575</v>
      </c>
      <c r="I2715" s="3" t="s">
        <v>14363</v>
      </c>
      <c r="J2715" s="3" t="s">
        <v>14404</v>
      </c>
      <c r="K2715" s="3" t="s">
        <v>14405</v>
      </c>
      <c r="L2715" s="3"/>
      <c r="M2715" s="4"/>
      <c r="N2715" s="3" t="s">
        <v>128</v>
      </c>
      <c r="O2715" s="3" t="s">
        <v>38</v>
      </c>
      <c r="P2715" s="5">
        <v>26</v>
      </c>
      <c r="Q2715" s="5">
        <v>608</v>
      </c>
      <c r="R2715" s="5">
        <v>24</v>
      </c>
      <c r="S2715" s="5">
        <v>556</v>
      </c>
    </row>
    <row r="2716" spans="1:19" ht="28" x14ac:dyDescent="0.15">
      <c r="A2716" s="2">
        <f>HYPERLINK("https://open-school.uspishnemisto.com.ua/school/140186/", 140186)</f>
        <v>140186</v>
      </c>
      <c r="B2716" s="3" t="s">
        <v>14406</v>
      </c>
      <c r="C2716" s="3" t="s">
        <v>31</v>
      </c>
      <c r="D2716" s="3" t="s">
        <v>32</v>
      </c>
      <c r="E2716" s="4" t="s">
        <v>22</v>
      </c>
      <c r="F2716" s="4" t="s">
        <v>14407</v>
      </c>
      <c r="G2716" s="4" t="s">
        <v>14362</v>
      </c>
      <c r="H2716" s="3" t="s">
        <v>13575</v>
      </c>
      <c r="I2716" s="3" t="s">
        <v>14363</v>
      </c>
      <c r="J2716" s="3" t="s">
        <v>14408</v>
      </c>
      <c r="K2716" s="3" t="s">
        <v>14409</v>
      </c>
      <c r="L2716" s="3"/>
      <c r="M2716" s="4"/>
      <c r="N2716" s="3" t="s">
        <v>128</v>
      </c>
      <c r="O2716" s="3" t="s">
        <v>38</v>
      </c>
      <c r="P2716" s="5">
        <v>22</v>
      </c>
      <c r="Q2716" s="5">
        <v>483</v>
      </c>
      <c r="R2716" s="5">
        <v>20</v>
      </c>
      <c r="S2716" s="5">
        <v>455</v>
      </c>
    </row>
    <row r="2717" spans="1:19" ht="28" x14ac:dyDescent="0.15">
      <c r="A2717" s="2">
        <f>HYPERLINK("https://open-school.uspishnemisto.com.ua/school/140187/", 140187)</f>
        <v>140187</v>
      </c>
      <c r="B2717" s="3" t="s">
        <v>14410</v>
      </c>
      <c r="C2717" s="3" t="s">
        <v>31</v>
      </c>
      <c r="D2717" s="3" t="s">
        <v>32</v>
      </c>
      <c r="E2717" s="4" t="s">
        <v>22</v>
      </c>
      <c r="F2717" s="4" t="s">
        <v>14407</v>
      </c>
      <c r="G2717" s="4" t="s">
        <v>14362</v>
      </c>
      <c r="H2717" s="3" t="s">
        <v>13575</v>
      </c>
      <c r="I2717" s="3" t="s">
        <v>14363</v>
      </c>
      <c r="J2717" s="3" t="s">
        <v>14411</v>
      </c>
      <c r="K2717" s="3" t="s">
        <v>14412</v>
      </c>
      <c r="L2717" s="3"/>
      <c r="M2717" s="4"/>
      <c r="N2717" s="3" t="s">
        <v>128</v>
      </c>
      <c r="O2717" s="3" t="s">
        <v>70</v>
      </c>
      <c r="P2717" s="5">
        <v>20</v>
      </c>
      <c r="Q2717" s="5">
        <v>362</v>
      </c>
      <c r="R2717" s="5">
        <v>20</v>
      </c>
      <c r="S2717" s="5">
        <v>325</v>
      </c>
    </row>
    <row r="2718" spans="1:19" ht="28" x14ac:dyDescent="0.15">
      <c r="A2718" s="2">
        <f>HYPERLINK("https://open-school.uspishnemisto.com.ua/school/140188/", 140188)</f>
        <v>140188</v>
      </c>
      <c r="B2718" s="3" t="s">
        <v>14413</v>
      </c>
      <c r="C2718" s="3" t="s">
        <v>31</v>
      </c>
      <c r="D2718" s="3" t="s">
        <v>32</v>
      </c>
      <c r="E2718" s="4" t="s">
        <v>22</v>
      </c>
      <c r="F2718" s="4" t="s">
        <v>14414</v>
      </c>
      <c r="G2718" s="4" t="s">
        <v>14362</v>
      </c>
      <c r="H2718" s="3" t="s">
        <v>13575</v>
      </c>
      <c r="I2718" s="3" t="s">
        <v>14363</v>
      </c>
      <c r="J2718" s="3" t="s">
        <v>14415</v>
      </c>
      <c r="K2718" s="3" t="s">
        <v>14416</v>
      </c>
      <c r="L2718" s="3" t="s">
        <v>14417</v>
      </c>
      <c r="M2718" s="4"/>
      <c r="N2718" s="3" t="s">
        <v>128</v>
      </c>
      <c r="O2718" s="3" t="s">
        <v>70</v>
      </c>
      <c r="P2718" s="5">
        <v>22</v>
      </c>
      <c r="Q2718" s="5">
        <v>507</v>
      </c>
      <c r="R2718" s="5">
        <v>22</v>
      </c>
      <c r="S2718" s="5">
        <v>486</v>
      </c>
    </row>
    <row r="2719" spans="1:19" ht="42" x14ac:dyDescent="0.15">
      <c r="A2719" s="2">
        <f>HYPERLINK("https://open-school.uspishnemisto.com.ua/school/140189/", 140189)</f>
        <v>140189</v>
      </c>
      <c r="B2719" s="3" t="s">
        <v>14418</v>
      </c>
      <c r="C2719" s="3" t="s">
        <v>31</v>
      </c>
      <c r="D2719" s="3" t="s">
        <v>32</v>
      </c>
      <c r="E2719" s="4" t="s">
        <v>22</v>
      </c>
      <c r="F2719" s="4" t="s">
        <v>14419</v>
      </c>
      <c r="G2719" s="4" t="s">
        <v>14362</v>
      </c>
      <c r="H2719" s="3" t="s">
        <v>13575</v>
      </c>
      <c r="I2719" s="3" t="s">
        <v>14363</v>
      </c>
      <c r="J2719" s="3" t="s">
        <v>14420</v>
      </c>
      <c r="K2719" s="3" t="s">
        <v>14421</v>
      </c>
      <c r="L2719" s="3" t="s">
        <v>14422</v>
      </c>
      <c r="M2719" s="4"/>
      <c r="N2719" s="3" t="s">
        <v>128</v>
      </c>
      <c r="O2719" s="3" t="s">
        <v>38</v>
      </c>
      <c r="P2719" s="5">
        <v>33</v>
      </c>
      <c r="Q2719" s="5">
        <v>832</v>
      </c>
      <c r="R2719" s="5">
        <v>32</v>
      </c>
      <c r="S2719" s="5">
        <v>775</v>
      </c>
    </row>
    <row r="2720" spans="1:19" ht="28" x14ac:dyDescent="0.15">
      <c r="A2720" s="2">
        <f>HYPERLINK("https://open-school.uspishnemisto.com.ua/school/140190/", 140190)</f>
        <v>140190</v>
      </c>
      <c r="B2720" s="3" t="s">
        <v>14423</v>
      </c>
      <c r="C2720" s="3" t="s">
        <v>31</v>
      </c>
      <c r="D2720" s="3" t="s">
        <v>32</v>
      </c>
      <c r="E2720" s="4" t="s">
        <v>22</v>
      </c>
      <c r="F2720" s="4" t="s">
        <v>14399</v>
      </c>
      <c r="G2720" s="4" t="s">
        <v>14362</v>
      </c>
      <c r="H2720" s="3" t="s">
        <v>13575</v>
      </c>
      <c r="I2720" s="3" t="s">
        <v>14363</v>
      </c>
      <c r="J2720" s="3" t="s">
        <v>14424</v>
      </c>
      <c r="K2720" s="3" t="s">
        <v>14425</v>
      </c>
      <c r="L2720" s="3"/>
      <c r="M2720" s="4"/>
      <c r="N2720" s="3" t="s">
        <v>128</v>
      </c>
      <c r="O2720" s="3" t="s">
        <v>38</v>
      </c>
      <c r="P2720" s="5">
        <v>23</v>
      </c>
      <c r="Q2720" s="5">
        <v>471</v>
      </c>
      <c r="R2720" s="5">
        <v>22</v>
      </c>
      <c r="S2720" s="5">
        <v>427</v>
      </c>
    </row>
    <row r="2721" spans="1:19" ht="28" x14ac:dyDescent="0.15">
      <c r="A2721" s="2">
        <f>HYPERLINK("https://open-school.uspishnemisto.com.ua/school/140191/", 140191)</f>
        <v>140191</v>
      </c>
      <c r="B2721" s="3" t="s">
        <v>14426</v>
      </c>
      <c r="C2721" s="3" t="s">
        <v>31</v>
      </c>
      <c r="D2721" s="3" t="s">
        <v>32</v>
      </c>
      <c r="E2721" s="4" t="s">
        <v>22</v>
      </c>
      <c r="F2721" s="4" t="s">
        <v>14368</v>
      </c>
      <c r="G2721" s="4" t="s">
        <v>14362</v>
      </c>
      <c r="H2721" s="3" t="s">
        <v>13575</v>
      </c>
      <c r="I2721" s="3" t="s">
        <v>14363</v>
      </c>
      <c r="J2721" s="3" t="s">
        <v>14427</v>
      </c>
      <c r="K2721" s="3" t="s">
        <v>14428</v>
      </c>
      <c r="L2721" s="3" t="s">
        <v>14429</v>
      </c>
      <c r="M2721" s="4"/>
      <c r="N2721" s="3" t="s">
        <v>128</v>
      </c>
      <c r="O2721" s="3" t="s">
        <v>70</v>
      </c>
      <c r="P2721" s="5">
        <v>23</v>
      </c>
      <c r="Q2721" s="5">
        <v>590</v>
      </c>
      <c r="R2721" s="5">
        <v>21</v>
      </c>
      <c r="S2721" s="5">
        <v>540</v>
      </c>
    </row>
    <row r="2722" spans="1:19" ht="42" x14ac:dyDescent="0.15">
      <c r="A2722" s="2">
        <f>HYPERLINK("https://open-school.uspishnemisto.com.ua/school/140192/", 140192)</f>
        <v>140192</v>
      </c>
      <c r="B2722" s="3" t="s">
        <v>14430</v>
      </c>
      <c r="C2722" s="3" t="s">
        <v>31</v>
      </c>
      <c r="D2722" s="3" t="s">
        <v>32</v>
      </c>
      <c r="E2722" s="4" t="s">
        <v>22</v>
      </c>
      <c r="F2722" s="4" t="s">
        <v>14368</v>
      </c>
      <c r="G2722" s="4" t="s">
        <v>14362</v>
      </c>
      <c r="H2722" s="3" t="s">
        <v>13575</v>
      </c>
      <c r="I2722" s="3" t="s">
        <v>14363</v>
      </c>
      <c r="J2722" s="3" t="s">
        <v>14431</v>
      </c>
      <c r="K2722" s="3" t="s">
        <v>14432</v>
      </c>
      <c r="L2722" s="3" t="s">
        <v>14433</v>
      </c>
      <c r="M2722" s="4"/>
      <c r="N2722" s="3" t="s">
        <v>128</v>
      </c>
      <c r="O2722" s="3" t="s">
        <v>38</v>
      </c>
      <c r="P2722" s="5">
        <v>31</v>
      </c>
      <c r="Q2722" s="5">
        <v>909</v>
      </c>
      <c r="R2722" s="5">
        <v>31</v>
      </c>
      <c r="S2722" s="5">
        <v>867</v>
      </c>
    </row>
    <row r="2723" spans="1:19" ht="42" x14ac:dyDescent="0.15">
      <c r="A2723" s="2">
        <f>HYPERLINK("https://open-school.uspishnemisto.com.ua/school/140193/", 140193)</f>
        <v>140193</v>
      </c>
      <c r="B2723" s="3" t="s">
        <v>14434</v>
      </c>
      <c r="C2723" s="3" t="s">
        <v>31</v>
      </c>
      <c r="D2723" s="3" t="s">
        <v>32</v>
      </c>
      <c r="E2723" s="4" t="s">
        <v>22</v>
      </c>
      <c r="F2723" s="4" t="s">
        <v>14419</v>
      </c>
      <c r="G2723" s="4" t="s">
        <v>14362</v>
      </c>
      <c r="H2723" s="3" t="s">
        <v>13575</v>
      </c>
      <c r="I2723" s="3" t="s">
        <v>14363</v>
      </c>
      <c r="J2723" s="3" t="s">
        <v>14435</v>
      </c>
      <c r="K2723" s="3" t="s">
        <v>14436</v>
      </c>
      <c r="L2723" s="3" t="s">
        <v>14437</v>
      </c>
      <c r="M2723" s="4"/>
      <c r="N2723" s="3" t="s">
        <v>128</v>
      </c>
      <c r="O2723" s="3" t="s">
        <v>721</v>
      </c>
      <c r="P2723" s="5">
        <v>35</v>
      </c>
      <c r="Q2723" s="5">
        <v>891</v>
      </c>
      <c r="R2723" s="5">
        <v>34</v>
      </c>
      <c r="S2723" s="5">
        <v>861</v>
      </c>
    </row>
    <row r="2724" spans="1:19" ht="28" x14ac:dyDescent="0.15">
      <c r="A2724" s="2">
        <f>HYPERLINK("https://open-school.uspishnemisto.com.ua/school/140194/", 140194)</f>
        <v>140194</v>
      </c>
      <c r="B2724" s="3" t="s">
        <v>14438</v>
      </c>
      <c r="C2724" s="3" t="s">
        <v>31</v>
      </c>
      <c r="D2724" s="3" t="s">
        <v>32</v>
      </c>
      <c r="E2724" s="4" t="s">
        <v>22</v>
      </c>
      <c r="F2724" s="4" t="s">
        <v>14380</v>
      </c>
      <c r="G2724" s="4" t="s">
        <v>14362</v>
      </c>
      <c r="H2724" s="3" t="s">
        <v>13575</v>
      </c>
      <c r="I2724" s="3" t="s">
        <v>14363</v>
      </c>
      <c r="J2724" s="3" t="s">
        <v>14439</v>
      </c>
      <c r="K2724" s="3" t="s">
        <v>14440</v>
      </c>
      <c r="L2724" s="3" t="s">
        <v>14441</v>
      </c>
      <c r="M2724" s="4"/>
      <c r="N2724" s="3" t="s">
        <v>128</v>
      </c>
      <c r="O2724" s="3" t="s">
        <v>721</v>
      </c>
      <c r="P2724" s="5">
        <v>36</v>
      </c>
      <c r="Q2724" s="5">
        <v>920</v>
      </c>
      <c r="R2724" s="5">
        <v>34</v>
      </c>
      <c r="S2724" s="5">
        <v>856</v>
      </c>
    </row>
    <row r="2725" spans="1:19" ht="28" x14ac:dyDescent="0.15">
      <c r="A2725" s="2">
        <f>HYPERLINK("https://open-school.uspishnemisto.com.ua/school/140195/", 140195)</f>
        <v>140195</v>
      </c>
      <c r="B2725" s="3" t="s">
        <v>14442</v>
      </c>
      <c r="C2725" s="3" t="s">
        <v>31</v>
      </c>
      <c r="D2725" s="3" t="s">
        <v>32</v>
      </c>
      <c r="E2725" s="4" t="s">
        <v>22</v>
      </c>
      <c r="F2725" s="4" t="s">
        <v>14380</v>
      </c>
      <c r="G2725" s="4" t="s">
        <v>14362</v>
      </c>
      <c r="H2725" s="3" t="s">
        <v>13575</v>
      </c>
      <c r="I2725" s="3" t="s">
        <v>14363</v>
      </c>
      <c r="J2725" s="3" t="s">
        <v>14443</v>
      </c>
      <c r="K2725" s="3" t="s">
        <v>14444</v>
      </c>
      <c r="L2725" s="3" t="s">
        <v>14445</v>
      </c>
      <c r="M2725" s="4"/>
      <c r="N2725" s="3" t="s">
        <v>128</v>
      </c>
      <c r="O2725" s="3" t="s">
        <v>38</v>
      </c>
      <c r="P2725" s="5">
        <v>29</v>
      </c>
      <c r="Q2725" s="5">
        <v>654</v>
      </c>
      <c r="R2725" s="5">
        <v>30</v>
      </c>
      <c r="S2725" s="5">
        <v>658</v>
      </c>
    </row>
    <row r="2726" spans="1:19" ht="28" x14ac:dyDescent="0.15">
      <c r="A2726" s="2">
        <f>HYPERLINK("https://open-school.uspishnemisto.com.ua/school/140196/", 140196)</f>
        <v>140196</v>
      </c>
      <c r="B2726" s="3" t="s">
        <v>14446</v>
      </c>
      <c r="C2726" s="3" t="s">
        <v>31</v>
      </c>
      <c r="D2726" s="3" t="s">
        <v>32</v>
      </c>
      <c r="E2726" s="4" t="s">
        <v>22</v>
      </c>
      <c r="F2726" s="4" t="s">
        <v>14447</v>
      </c>
      <c r="G2726" s="4" t="s">
        <v>14362</v>
      </c>
      <c r="H2726" s="3" t="s">
        <v>13575</v>
      </c>
      <c r="I2726" s="3" t="s">
        <v>14363</v>
      </c>
      <c r="J2726" s="3" t="s">
        <v>14448</v>
      </c>
      <c r="K2726" s="3" t="s">
        <v>14449</v>
      </c>
      <c r="L2726" s="3"/>
      <c r="M2726" s="4"/>
      <c r="N2726" s="3" t="s">
        <v>128</v>
      </c>
      <c r="O2726" s="3" t="s">
        <v>721</v>
      </c>
      <c r="P2726" s="5">
        <v>21</v>
      </c>
      <c r="Q2726" s="5">
        <v>457</v>
      </c>
      <c r="R2726" s="5">
        <v>20</v>
      </c>
      <c r="S2726" s="5">
        <v>411</v>
      </c>
    </row>
    <row r="2727" spans="1:19" ht="28" x14ac:dyDescent="0.15">
      <c r="A2727" s="2">
        <f>HYPERLINK("https://open-school.uspishnemisto.com.ua/school/140197/", 140197)</f>
        <v>140197</v>
      </c>
      <c r="B2727" s="3" t="s">
        <v>14450</v>
      </c>
      <c r="C2727" s="3" t="s">
        <v>31</v>
      </c>
      <c r="D2727" s="3" t="s">
        <v>32</v>
      </c>
      <c r="E2727" s="4" t="s">
        <v>22</v>
      </c>
      <c r="F2727" s="4" t="s">
        <v>14361</v>
      </c>
      <c r="G2727" s="4" t="s">
        <v>14362</v>
      </c>
      <c r="H2727" s="3" t="s">
        <v>13575</v>
      </c>
      <c r="I2727" s="3" t="s">
        <v>14363</v>
      </c>
      <c r="J2727" s="3" t="s">
        <v>14451</v>
      </c>
      <c r="K2727" s="3" t="s">
        <v>14452</v>
      </c>
      <c r="L2727" s="3" t="s">
        <v>14453</v>
      </c>
      <c r="M2727" s="4"/>
      <c r="N2727" s="3" t="s">
        <v>128</v>
      </c>
      <c r="O2727" s="3" t="s">
        <v>38</v>
      </c>
      <c r="P2727" s="5">
        <v>16</v>
      </c>
      <c r="Q2727" s="5">
        <v>292</v>
      </c>
      <c r="R2727" s="5">
        <v>15</v>
      </c>
      <c r="S2727" s="5">
        <v>275</v>
      </c>
    </row>
    <row r="2728" spans="1:19" ht="28" x14ac:dyDescent="0.15">
      <c r="A2728" s="2">
        <f>HYPERLINK("https://open-school.uspishnemisto.com.ua/school/140198/", 140198)</f>
        <v>140198</v>
      </c>
      <c r="B2728" s="3" t="s">
        <v>14454</v>
      </c>
      <c r="C2728" s="3" t="s">
        <v>31</v>
      </c>
      <c r="D2728" s="3" t="s">
        <v>32</v>
      </c>
      <c r="E2728" s="4" t="s">
        <v>22</v>
      </c>
      <c r="F2728" s="4" t="s">
        <v>14455</v>
      </c>
      <c r="G2728" s="4" t="s">
        <v>14362</v>
      </c>
      <c r="H2728" s="3" t="s">
        <v>13575</v>
      </c>
      <c r="I2728" s="3" t="s">
        <v>14363</v>
      </c>
      <c r="J2728" s="3" t="s">
        <v>14456</v>
      </c>
      <c r="K2728" s="3" t="s">
        <v>14457</v>
      </c>
      <c r="L2728" s="3" t="s">
        <v>14458</v>
      </c>
      <c r="M2728" s="4"/>
      <c r="N2728" s="3" t="s">
        <v>128</v>
      </c>
      <c r="O2728" s="3" t="s">
        <v>38</v>
      </c>
      <c r="P2728" s="5">
        <v>16</v>
      </c>
      <c r="Q2728" s="5">
        <v>296</v>
      </c>
      <c r="R2728" s="5">
        <v>15</v>
      </c>
      <c r="S2728" s="5">
        <v>280</v>
      </c>
    </row>
    <row r="2729" spans="1:19" ht="28" x14ac:dyDescent="0.15">
      <c r="A2729" s="2">
        <f>HYPERLINK("https://open-school.uspishnemisto.com.ua/school/140199/", 140199)</f>
        <v>140199</v>
      </c>
      <c r="B2729" s="3" t="s">
        <v>14459</v>
      </c>
      <c r="C2729" s="3" t="s">
        <v>31</v>
      </c>
      <c r="D2729" s="3" t="s">
        <v>32</v>
      </c>
      <c r="E2729" s="4" t="s">
        <v>22</v>
      </c>
      <c r="F2729" s="4" t="s">
        <v>14460</v>
      </c>
      <c r="G2729" s="4" t="s">
        <v>14362</v>
      </c>
      <c r="H2729" s="3" t="s">
        <v>13575</v>
      </c>
      <c r="I2729" s="3" t="s">
        <v>14363</v>
      </c>
      <c r="J2729" s="3" t="s">
        <v>14461</v>
      </c>
      <c r="K2729" s="3" t="s">
        <v>14462</v>
      </c>
      <c r="L2729" s="3"/>
      <c r="M2729" s="4"/>
      <c r="N2729" s="3" t="s">
        <v>128</v>
      </c>
      <c r="O2729" s="3" t="s">
        <v>70</v>
      </c>
      <c r="P2729" s="5">
        <v>20</v>
      </c>
      <c r="Q2729" s="5">
        <v>455</v>
      </c>
      <c r="R2729" s="5">
        <v>22</v>
      </c>
      <c r="S2729" s="5">
        <v>443</v>
      </c>
    </row>
    <row r="2730" spans="1:19" ht="28" x14ac:dyDescent="0.15">
      <c r="A2730" s="2">
        <f>HYPERLINK("https://open-school.uspishnemisto.com.ua/school/140200/", 140200)</f>
        <v>140200</v>
      </c>
      <c r="B2730" s="3" t="s">
        <v>14463</v>
      </c>
      <c r="C2730" s="3" t="s">
        <v>31</v>
      </c>
      <c r="D2730" s="3" t="s">
        <v>32</v>
      </c>
      <c r="E2730" s="4" t="s">
        <v>22</v>
      </c>
      <c r="F2730" s="4" t="s">
        <v>14385</v>
      </c>
      <c r="G2730" s="4" t="s">
        <v>14362</v>
      </c>
      <c r="H2730" s="3" t="s">
        <v>13575</v>
      </c>
      <c r="I2730" s="3" t="s">
        <v>14363</v>
      </c>
      <c r="J2730" s="3" t="s">
        <v>14464</v>
      </c>
      <c r="K2730" s="3" t="s">
        <v>14465</v>
      </c>
      <c r="L2730" s="3"/>
      <c r="M2730" s="4"/>
      <c r="N2730" s="3" t="s">
        <v>37</v>
      </c>
      <c r="O2730" s="3" t="s">
        <v>70</v>
      </c>
      <c r="P2730" s="5">
        <v>19</v>
      </c>
      <c r="Q2730" s="5">
        <v>394</v>
      </c>
      <c r="R2730" s="5">
        <v>18</v>
      </c>
      <c r="S2730" s="5">
        <v>396</v>
      </c>
    </row>
    <row r="2731" spans="1:19" ht="28" x14ac:dyDescent="0.15">
      <c r="A2731" s="2">
        <f>HYPERLINK("https://open-school.uspishnemisto.com.ua/school/140201/", 140201)</f>
        <v>140201</v>
      </c>
      <c r="B2731" s="3" t="s">
        <v>14466</v>
      </c>
      <c r="C2731" s="3" t="s">
        <v>31</v>
      </c>
      <c r="D2731" s="3" t="s">
        <v>32</v>
      </c>
      <c r="E2731" s="4" t="s">
        <v>22</v>
      </c>
      <c r="F2731" s="4" t="s">
        <v>14467</v>
      </c>
      <c r="G2731" s="4" t="s">
        <v>14362</v>
      </c>
      <c r="H2731" s="3" t="s">
        <v>13575</v>
      </c>
      <c r="I2731" s="3" t="s">
        <v>14363</v>
      </c>
      <c r="J2731" s="3" t="s">
        <v>14468</v>
      </c>
      <c r="K2731" s="3" t="s">
        <v>14469</v>
      </c>
      <c r="L2731" s="3"/>
      <c r="M2731" s="4"/>
      <c r="N2731" s="3" t="s">
        <v>128</v>
      </c>
      <c r="O2731" s="3" t="s">
        <v>38</v>
      </c>
      <c r="P2731" s="5">
        <v>20</v>
      </c>
      <c r="Q2731" s="5">
        <v>467</v>
      </c>
      <c r="R2731" s="5">
        <v>20</v>
      </c>
      <c r="S2731" s="5">
        <v>446</v>
      </c>
    </row>
    <row r="2732" spans="1:19" ht="28" x14ac:dyDescent="0.15">
      <c r="A2732" s="2">
        <f>HYPERLINK("https://open-school.uspishnemisto.com.ua/school/140202/", 140202)</f>
        <v>140202</v>
      </c>
      <c r="B2732" s="3" t="s">
        <v>14470</v>
      </c>
      <c r="C2732" s="3" t="s">
        <v>31</v>
      </c>
      <c r="D2732" s="3" t="s">
        <v>32</v>
      </c>
      <c r="E2732" s="4" t="s">
        <v>22</v>
      </c>
      <c r="F2732" s="4" t="s">
        <v>14380</v>
      </c>
      <c r="G2732" s="4" t="s">
        <v>14362</v>
      </c>
      <c r="H2732" s="3" t="s">
        <v>13575</v>
      </c>
      <c r="I2732" s="3" t="s">
        <v>14363</v>
      </c>
      <c r="J2732" s="3" t="s">
        <v>14471</v>
      </c>
      <c r="K2732" s="3" t="s">
        <v>14472</v>
      </c>
      <c r="L2732" s="3" t="s">
        <v>14473</v>
      </c>
      <c r="M2732" s="4"/>
      <c r="N2732" s="3" t="s">
        <v>128</v>
      </c>
      <c r="O2732" s="3" t="s">
        <v>70</v>
      </c>
      <c r="P2732" s="5">
        <v>33</v>
      </c>
      <c r="Q2732" s="5">
        <v>816</v>
      </c>
      <c r="R2732" s="5">
        <v>26</v>
      </c>
      <c r="S2732" s="5">
        <v>710</v>
      </c>
    </row>
    <row r="2733" spans="1:19" ht="28" x14ac:dyDescent="0.15">
      <c r="A2733" s="2">
        <f>HYPERLINK("https://open-school.uspishnemisto.com.ua/school/140204/", 140204)</f>
        <v>140204</v>
      </c>
      <c r="B2733" s="3" t="s">
        <v>14474</v>
      </c>
      <c r="C2733" s="3" t="s">
        <v>181</v>
      </c>
      <c r="D2733" s="3" t="s">
        <v>175</v>
      </c>
      <c r="E2733" s="4" t="s">
        <v>22</v>
      </c>
      <c r="F2733" s="4" t="s">
        <v>14475</v>
      </c>
      <c r="G2733" s="4" t="s">
        <v>14362</v>
      </c>
      <c r="H2733" s="3" t="s">
        <v>13575</v>
      </c>
      <c r="I2733" s="3" t="s">
        <v>14363</v>
      </c>
      <c r="J2733" s="3" t="s">
        <v>14476</v>
      </c>
      <c r="K2733" s="3" t="s">
        <v>14477</v>
      </c>
      <c r="L2733" s="3"/>
      <c r="M2733" s="4" t="s">
        <v>14478</v>
      </c>
      <c r="N2733" s="3" t="s">
        <v>37</v>
      </c>
      <c r="O2733" s="3"/>
      <c r="P2733" s="5">
        <v>10</v>
      </c>
      <c r="Q2733" s="5">
        <v>96</v>
      </c>
      <c r="R2733" s="5">
        <v>10</v>
      </c>
      <c r="S2733" s="5">
        <v>96</v>
      </c>
    </row>
    <row r="2734" spans="1:19" ht="28" x14ac:dyDescent="0.15">
      <c r="A2734" s="2">
        <f>HYPERLINK("https://open-school.uspishnemisto.com.ua/school/140205/", 140205)</f>
        <v>140205</v>
      </c>
      <c r="B2734" s="3" t="s">
        <v>14479</v>
      </c>
      <c r="C2734" s="3" t="s">
        <v>181</v>
      </c>
      <c r="D2734" s="3" t="s">
        <v>175</v>
      </c>
      <c r="E2734" s="4" t="s">
        <v>22</v>
      </c>
      <c r="F2734" s="4" t="s">
        <v>14361</v>
      </c>
      <c r="G2734" s="4" t="s">
        <v>14362</v>
      </c>
      <c r="H2734" s="3" t="s">
        <v>13575</v>
      </c>
      <c r="I2734" s="3" t="s">
        <v>14363</v>
      </c>
      <c r="J2734" s="3" t="s">
        <v>14480</v>
      </c>
      <c r="K2734" s="3" t="s">
        <v>14481</v>
      </c>
      <c r="L2734" s="3"/>
      <c r="M2734" s="4" t="s">
        <v>14482</v>
      </c>
      <c r="N2734" s="3" t="s">
        <v>128</v>
      </c>
      <c r="O2734" s="3" t="s">
        <v>52</v>
      </c>
      <c r="P2734" s="5">
        <v>17</v>
      </c>
      <c r="Q2734" s="5">
        <v>209</v>
      </c>
      <c r="R2734" s="5">
        <v>17</v>
      </c>
      <c r="S2734" s="5">
        <v>203</v>
      </c>
    </row>
    <row r="2735" spans="1:19" ht="28" x14ac:dyDescent="0.15">
      <c r="A2735" s="2">
        <f>HYPERLINK("https://open-school.uspishnemisto.com.ua/school/140206/", 140206)</f>
        <v>140206</v>
      </c>
      <c r="B2735" s="3" t="s">
        <v>14483</v>
      </c>
      <c r="C2735" s="3" t="s">
        <v>40</v>
      </c>
      <c r="D2735" s="3" t="s">
        <v>32</v>
      </c>
      <c r="E2735" s="4" t="s">
        <v>22</v>
      </c>
      <c r="F2735" s="4" t="s">
        <v>14455</v>
      </c>
      <c r="G2735" s="4" t="s">
        <v>14362</v>
      </c>
      <c r="H2735" s="3" t="s">
        <v>13575</v>
      </c>
      <c r="I2735" s="3" t="s">
        <v>14363</v>
      </c>
      <c r="J2735" s="3" t="s">
        <v>14484</v>
      </c>
      <c r="K2735" s="3" t="s">
        <v>14485</v>
      </c>
      <c r="L2735" s="3" t="s">
        <v>14486</v>
      </c>
      <c r="M2735" s="4"/>
      <c r="N2735" s="3" t="s">
        <v>37</v>
      </c>
      <c r="O2735" s="3" t="s">
        <v>70</v>
      </c>
      <c r="P2735" s="5">
        <v>22</v>
      </c>
      <c r="Q2735" s="5">
        <v>482</v>
      </c>
      <c r="R2735" s="5">
        <v>21</v>
      </c>
      <c r="S2735" s="5">
        <v>442</v>
      </c>
    </row>
    <row r="2736" spans="1:19" ht="42" x14ac:dyDescent="0.15">
      <c r="A2736" s="2">
        <f>HYPERLINK("https://open-school.uspishnemisto.com.ua/school/140207/", 140207)</f>
        <v>140207</v>
      </c>
      <c r="B2736" s="3" t="s">
        <v>14487</v>
      </c>
      <c r="C2736" s="3" t="s">
        <v>54</v>
      </c>
      <c r="D2736" s="3" t="s">
        <v>32</v>
      </c>
      <c r="E2736" s="4" t="s">
        <v>22</v>
      </c>
      <c r="F2736" s="4" t="s">
        <v>14399</v>
      </c>
      <c r="G2736" s="4" t="s">
        <v>14362</v>
      </c>
      <c r="H2736" s="3" t="s">
        <v>13575</v>
      </c>
      <c r="I2736" s="3" t="s">
        <v>14363</v>
      </c>
      <c r="J2736" s="3" t="s">
        <v>14488</v>
      </c>
      <c r="K2736" s="3" t="s">
        <v>14489</v>
      </c>
      <c r="L2736" s="3" t="s">
        <v>14490</v>
      </c>
      <c r="M2736" s="4"/>
      <c r="N2736" s="3" t="s">
        <v>128</v>
      </c>
      <c r="O2736" s="3" t="s">
        <v>721</v>
      </c>
      <c r="P2736" s="5">
        <v>39</v>
      </c>
      <c r="Q2736" s="5">
        <v>990</v>
      </c>
      <c r="R2736" s="5">
        <v>38</v>
      </c>
      <c r="S2736" s="5">
        <v>940</v>
      </c>
    </row>
    <row r="2737" spans="1:19" ht="42" x14ac:dyDescent="0.15">
      <c r="A2737" s="2">
        <f>HYPERLINK("https://open-school.uspishnemisto.com.ua/school/140208/", 140208)</f>
        <v>140208</v>
      </c>
      <c r="B2737" s="3" t="s">
        <v>14491</v>
      </c>
      <c r="C2737" s="3" t="s">
        <v>54</v>
      </c>
      <c r="D2737" s="3" t="s">
        <v>32</v>
      </c>
      <c r="E2737" s="4" t="s">
        <v>22</v>
      </c>
      <c r="F2737" s="4" t="s">
        <v>14492</v>
      </c>
      <c r="G2737" s="4" t="s">
        <v>14362</v>
      </c>
      <c r="H2737" s="3" t="s">
        <v>13575</v>
      </c>
      <c r="I2737" s="3" t="s">
        <v>14363</v>
      </c>
      <c r="J2737" s="3" t="s">
        <v>14493</v>
      </c>
      <c r="K2737" s="3" t="s">
        <v>14494</v>
      </c>
      <c r="L2737" s="3" t="s">
        <v>14495</v>
      </c>
      <c r="M2737" s="4"/>
      <c r="N2737" s="3" t="s">
        <v>128</v>
      </c>
      <c r="O2737" s="3" t="s">
        <v>70</v>
      </c>
      <c r="P2737" s="5">
        <v>20</v>
      </c>
      <c r="Q2737" s="5">
        <v>443</v>
      </c>
      <c r="R2737" s="5">
        <v>20</v>
      </c>
      <c r="S2737" s="5">
        <v>413</v>
      </c>
    </row>
    <row r="2738" spans="1:19" ht="42" x14ac:dyDescent="0.15">
      <c r="A2738" s="2">
        <f>HYPERLINK("https://open-school.uspishnemisto.com.ua/school/140209/", 140209)</f>
        <v>140209</v>
      </c>
      <c r="B2738" s="3" t="s">
        <v>14496</v>
      </c>
      <c r="C2738" s="3" t="s">
        <v>7651</v>
      </c>
      <c r="D2738" s="3" t="s">
        <v>21</v>
      </c>
      <c r="E2738" s="4" t="s">
        <v>22</v>
      </c>
      <c r="F2738" s="4" t="s">
        <v>14368</v>
      </c>
      <c r="G2738" s="4" t="s">
        <v>14362</v>
      </c>
      <c r="H2738" s="3" t="s">
        <v>13575</v>
      </c>
      <c r="I2738" s="3" t="s">
        <v>14363</v>
      </c>
      <c r="J2738" s="3" t="s">
        <v>14497</v>
      </c>
      <c r="K2738" s="3"/>
      <c r="L2738" s="3"/>
      <c r="M2738" s="4"/>
      <c r="N2738" s="3"/>
      <c r="O2738" s="3"/>
      <c r="P2738" s="5">
        <v>0</v>
      </c>
      <c r="Q2738" s="5">
        <v>0</v>
      </c>
      <c r="R2738" s="5"/>
      <c r="S2738" s="5"/>
    </row>
    <row r="2739" spans="1:19" ht="28" x14ac:dyDescent="0.15">
      <c r="A2739" s="2">
        <f>HYPERLINK("https://open-school.uspishnemisto.com.ua/school/140210/", 140210)</f>
        <v>140210</v>
      </c>
      <c r="B2739" s="3" t="s">
        <v>14498</v>
      </c>
      <c r="C2739" s="3" t="s">
        <v>31</v>
      </c>
      <c r="D2739" s="3" t="s">
        <v>32</v>
      </c>
      <c r="E2739" s="4" t="s">
        <v>22</v>
      </c>
      <c r="F2739" s="4" t="s">
        <v>14499</v>
      </c>
      <c r="G2739" s="4" t="s">
        <v>14500</v>
      </c>
      <c r="H2739" s="3" t="s">
        <v>13575</v>
      </c>
      <c r="I2739" s="3" t="s">
        <v>14501</v>
      </c>
      <c r="J2739" s="3" t="s">
        <v>14502</v>
      </c>
      <c r="K2739" s="3" t="s">
        <v>14503</v>
      </c>
      <c r="L2739" s="3" t="s">
        <v>14504</v>
      </c>
      <c r="M2739" s="4"/>
      <c r="N2739" s="3" t="s">
        <v>128</v>
      </c>
      <c r="O2739" s="3" t="s">
        <v>70</v>
      </c>
      <c r="P2739" s="5">
        <v>21</v>
      </c>
      <c r="Q2739" s="5">
        <v>513</v>
      </c>
      <c r="R2739" s="5">
        <v>21</v>
      </c>
      <c r="S2739" s="5">
        <v>477</v>
      </c>
    </row>
    <row r="2740" spans="1:19" ht="28" x14ac:dyDescent="0.15">
      <c r="A2740" s="2">
        <f>HYPERLINK("https://open-school.uspishnemisto.com.ua/school/140211/", 140211)</f>
        <v>140211</v>
      </c>
      <c r="B2740" s="3" t="s">
        <v>14505</v>
      </c>
      <c r="C2740" s="3" t="s">
        <v>31</v>
      </c>
      <c r="D2740" s="3" t="s">
        <v>32</v>
      </c>
      <c r="E2740" s="4" t="s">
        <v>22</v>
      </c>
      <c r="F2740" s="4" t="s">
        <v>14506</v>
      </c>
      <c r="G2740" s="4" t="s">
        <v>14507</v>
      </c>
      <c r="H2740" s="3" t="s">
        <v>13575</v>
      </c>
      <c r="I2740" s="3" t="s">
        <v>14508</v>
      </c>
      <c r="J2740" s="3" t="s">
        <v>14509</v>
      </c>
      <c r="K2740" s="3" t="s">
        <v>14510</v>
      </c>
      <c r="L2740" s="3"/>
      <c r="M2740" s="4"/>
      <c r="N2740" s="3" t="s">
        <v>128</v>
      </c>
      <c r="O2740" s="3" t="s">
        <v>70</v>
      </c>
      <c r="P2740" s="5">
        <v>14</v>
      </c>
      <c r="Q2740" s="5">
        <v>245</v>
      </c>
      <c r="R2740" s="5">
        <v>13</v>
      </c>
      <c r="S2740" s="5">
        <v>230</v>
      </c>
    </row>
    <row r="2741" spans="1:19" ht="28" x14ac:dyDescent="0.15">
      <c r="A2741" s="2">
        <f>HYPERLINK("https://open-school.uspishnemisto.com.ua/school/140212/", 140212)</f>
        <v>140212</v>
      </c>
      <c r="B2741" s="3" t="s">
        <v>14511</v>
      </c>
      <c r="C2741" s="3" t="s">
        <v>40</v>
      </c>
      <c r="D2741" s="3" t="s">
        <v>32</v>
      </c>
      <c r="E2741" s="4" t="s">
        <v>22</v>
      </c>
      <c r="F2741" s="4" t="s">
        <v>14512</v>
      </c>
      <c r="G2741" s="4" t="s">
        <v>14513</v>
      </c>
      <c r="H2741" s="3" t="s">
        <v>13575</v>
      </c>
      <c r="I2741" s="3" t="s">
        <v>14514</v>
      </c>
      <c r="J2741" s="3" t="s">
        <v>14515</v>
      </c>
      <c r="K2741" s="3" t="s">
        <v>14516</v>
      </c>
      <c r="L2741" s="3" t="s">
        <v>14517</v>
      </c>
      <c r="M2741" s="4"/>
      <c r="N2741" s="3" t="s">
        <v>37</v>
      </c>
      <c r="O2741" s="3" t="s">
        <v>70</v>
      </c>
      <c r="P2741" s="5">
        <v>10</v>
      </c>
      <c r="Q2741" s="5">
        <v>296</v>
      </c>
      <c r="R2741" s="5">
        <v>9</v>
      </c>
      <c r="S2741" s="5">
        <v>260</v>
      </c>
    </row>
    <row r="2742" spans="1:19" ht="28" x14ac:dyDescent="0.15">
      <c r="A2742" s="2">
        <f>HYPERLINK("https://open-school.uspishnemisto.com.ua/school/140213/", 140213)</f>
        <v>140213</v>
      </c>
      <c r="B2742" s="3" t="s">
        <v>14518</v>
      </c>
      <c r="C2742" s="3" t="s">
        <v>31</v>
      </c>
      <c r="D2742" s="3" t="s">
        <v>32</v>
      </c>
      <c r="E2742" s="4" t="s">
        <v>22</v>
      </c>
      <c r="F2742" s="4" t="s">
        <v>14519</v>
      </c>
      <c r="G2742" s="4" t="s">
        <v>14513</v>
      </c>
      <c r="H2742" s="3" t="s">
        <v>13575</v>
      </c>
      <c r="I2742" s="3" t="s">
        <v>14514</v>
      </c>
      <c r="J2742" s="3" t="s">
        <v>14520</v>
      </c>
      <c r="K2742" s="3" t="s">
        <v>14521</v>
      </c>
      <c r="L2742" s="3"/>
      <c r="M2742" s="4"/>
      <c r="N2742" s="3" t="s">
        <v>37</v>
      </c>
      <c r="O2742" s="3" t="s">
        <v>38</v>
      </c>
      <c r="P2742" s="5">
        <v>16</v>
      </c>
      <c r="Q2742" s="5">
        <v>419</v>
      </c>
      <c r="R2742" s="5">
        <v>15</v>
      </c>
      <c r="S2742" s="5">
        <v>400</v>
      </c>
    </row>
    <row r="2743" spans="1:19" ht="28" x14ac:dyDescent="0.15">
      <c r="A2743" s="2">
        <f>HYPERLINK("https://open-school.uspishnemisto.com.ua/school/140214/", 140214)</f>
        <v>140214</v>
      </c>
      <c r="B2743" s="3" t="s">
        <v>14522</v>
      </c>
      <c r="C2743" s="3" t="s">
        <v>54</v>
      </c>
      <c r="D2743" s="3" t="s">
        <v>32</v>
      </c>
      <c r="E2743" s="4" t="s">
        <v>22</v>
      </c>
      <c r="F2743" s="4" t="s">
        <v>14512</v>
      </c>
      <c r="G2743" s="4" t="s">
        <v>14513</v>
      </c>
      <c r="H2743" s="3" t="s">
        <v>13575</v>
      </c>
      <c r="I2743" s="3" t="s">
        <v>14514</v>
      </c>
      <c r="J2743" s="3" t="s">
        <v>14523</v>
      </c>
      <c r="K2743" s="3" t="s">
        <v>14524</v>
      </c>
      <c r="L2743" s="3"/>
      <c r="M2743" s="4"/>
      <c r="N2743" s="3" t="s">
        <v>37</v>
      </c>
      <c r="O2743" s="3" t="s">
        <v>38</v>
      </c>
      <c r="P2743" s="5">
        <v>16</v>
      </c>
      <c r="Q2743" s="5">
        <v>403</v>
      </c>
      <c r="R2743" s="5">
        <v>16</v>
      </c>
      <c r="S2743" s="5">
        <v>410</v>
      </c>
    </row>
    <row r="2744" spans="1:19" ht="28" x14ac:dyDescent="0.15">
      <c r="A2744" s="2">
        <f>HYPERLINK("https://open-school.uspishnemisto.com.ua/school/140215/", 140215)</f>
        <v>140215</v>
      </c>
      <c r="B2744" s="3" t="s">
        <v>14525</v>
      </c>
      <c r="C2744" s="3" t="s">
        <v>31</v>
      </c>
      <c r="D2744" s="3" t="s">
        <v>175</v>
      </c>
      <c r="E2744" s="4" t="s">
        <v>22</v>
      </c>
      <c r="F2744" s="4" t="s">
        <v>13742</v>
      </c>
      <c r="G2744" s="4" t="s">
        <v>14513</v>
      </c>
      <c r="H2744" s="3" t="s">
        <v>13575</v>
      </c>
      <c r="I2744" s="3" t="s">
        <v>14514</v>
      </c>
      <c r="J2744" s="3" t="s">
        <v>14526</v>
      </c>
      <c r="K2744" s="3" t="s">
        <v>14527</v>
      </c>
      <c r="L2744" s="3"/>
      <c r="M2744" s="4"/>
      <c r="N2744" s="3" t="s">
        <v>37</v>
      </c>
      <c r="O2744" s="3" t="s">
        <v>38</v>
      </c>
      <c r="P2744" s="5">
        <v>10</v>
      </c>
      <c r="Q2744" s="5">
        <v>252</v>
      </c>
      <c r="R2744" s="5">
        <v>10</v>
      </c>
      <c r="S2744" s="5">
        <v>238</v>
      </c>
    </row>
    <row r="2745" spans="1:19" ht="28" x14ac:dyDescent="0.15">
      <c r="A2745" s="2">
        <f>HYPERLINK("https://open-school.uspishnemisto.com.ua/school/140216/", 140216)</f>
        <v>140216</v>
      </c>
      <c r="B2745" s="3" t="s">
        <v>14528</v>
      </c>
      <c r="C2745" s="3" t="s">
        <v>31</v>
      </c>
      <c r="D2745" s="3" t="s">
        <v>175</v>
      </c>
      <c r="E2745" s="4" t="s">
        <v>22</v>
      </c>
      <c r="F2745" s="4" t="s">
        <v>14519</v>
      </c>
      <c r="G2745" s="4" t="s">
        <v>14513</v>
      </c>
      <c r="H2745" s="3" t="s">
        <v>13575</v>
      </c>
      <c r="I2745" s="3" t="s">
        <v>14514</v>
      </c>
      <c r="J2745" s="3" t="s">
        <v>14529</v>
      </c>
      <c r="K2745" s="3" t="s">
        <v>14530</v>
      </c>
      <c r="L2745" s="3"/>
      <c r="M2745" s="4"/>
      <c r="N2745" s="3" t="s">
        <v>37</v>
      </c>
      <c r="O2745" s="3" t="s">
        <v>38</v>
      </c>
      <c r="P2745" s="5">
        <v>22</v>
      </c>
      <c r="Q2745" s="5">
        <v>635</v>
      </c>
      <c r="R2745" s="5">
        <v>21</v>
      </c>
      <c r="S2745" s="5">
        <v>604</v>
      </c>
    </row>
    <row r="2746" spans="1:19" ht="28" x14ac:dyDescent="0.15">
      <c r="A2746" s="2">
        <f>HYPERLINK("https://open-school.uspishnemisto.com.ua/school/140217/", 140217)</f>
        <v>140217</v>
      </c>
      <c r="B2746" s="3" t="s">
        <v>14531</v>
      </c>
      <c r="C2746" s="3" t="s">
        <v>31</v>
      </c>
      <c r="D2746" s="3" t="s">
        <v>32</v>
      </c>
      <c r="E2746" s="4" t="s">
        <v>22</v>
      </c>
      <c r="F2746" s="4" t="s">
        <v>14512</v>
      </c>
      <c r="G2746" s="4" t="s">
        <v>14513</v>
      </c>
      <c r="H2746" s="3" t="s">
        <v>13575</v>
      </c>
      <c r="I2746" s="3" t="s">
        <v>14514</v>
      </c>
      <c r="J2746" s="3" t="s">
        <v>14532</v>
      </c>
      <c r="K2746" s="3" t="s">
        <v>14533</v>
      </c>
      <c r="L2746" s="3"/>
      <c r="M2746" s="4"/>
      <c r="N2746" s="3" t="s">
        <v>37</v>
      </c>
      <c r="O2746" s="3" t="s">
        <v>721</v>
      </c>
      <c r="P2746" s="5">
        <v>38</v>
      </c>
      <c r="Q2746" s="5">
        <v>1103</v>
      </c>
      <c r="R2746" s="5">
        <v>33</v>
      </c>
      <c r="S2746" s="5">
        <v>957</v>
      </c>
    </row>
    <row r="2747" spans="1:19" ht="28" x14ac:dyDescent="0.15">
      <c r="A2747" s="2">
        <f>HYPERLINK("https://open-school.uspishnemisto.com.ua/school/140218/", 140218)</f>
        <v>140218</v>
      </c>
      <c r="B2747" s="3" t="s">
        <v>14534</v>
      </c>
      <c r="C2747" s="3" t="s">
        <v>31</v>
      </c>
      <c r="D2747" s="3" t="s">
        <v>32</v>
      </c>
      <c r="E2747" s="4" t="s">
        <v>22</v>
      </c>
      <c r="F2747" s="4" t="s">
        <v>14535</v>
      </c>
      <c r="G2747" s="4" t="s">
        <v>14513</v>
      </c>
      <c r="H2747" s="3" t="s">
        <v>13575</v>
      </c>
      <c r="I2747" s="3" t="s">
        <v>14514</v>
      </c>
      <c r="J2747" s="3" t="s">
        <v>14536</v>
      </c>
      <c r="K2747" s="3" t="s">
        <v>14537</v>
      </c>
      <c r="L2747" s="3" t="s">
        <v>14538</v>
      </c>
      <c r="M2747" s="4"/>
      <c r="N2747" s="3" t="s">
        <v>37</v>
      </c>
      <c r="O2747" s="3" t="s">
        <v>38</v>
      </c>
      <c r="P2747" s="5">
        <v>30</v>
      </c>
      <c r="Q2747" s="5">
        <v>859</v>
      </c>
      <c r="R2747" s="5">
        <v>29</v>
      </c>
      <c r="S2747" s="5">
        <v>809</v>
      </c>
    </row>
    <row r="2748" spans="1:19" ht="28" x14ac:dyDescent="0.15">
      <c r="A2748" s="2">
        <f>HYPERLINK("https://open-school.uspishnemisto.com.ua/school/140219/", 140219)</f>
        <v>140219</v>
      </c>
      <c r="B2748" s="3" t="s">
        <v>14539</v>
      </c>
      <c r="C2748" s="3" t="s">
        <v>31</v>
      </c>
      <c r="D2748" s="3" t="s">
        <v>32</v>
      </c>
      <c r="E2748" s="4" t="s">
        <v>22</v>
      </c>
      <c r="F2748" s="4" t="s">
        <v>14540</v>
      </c>
      <c r="G2748" s="4" t="s">
        <v>14513</v>
      </c>
      <c r="H2748" s="3" t="s">
        <v>13575</v>
      </c>
      <c r="I2748" s="3" t="s">
        <v>14514</v>
      </c>
      <c r="J2748" s="3" t="s">
        <v>14541</v>
      </c>
      <c r="K2748" s="3" t="s">
        <v>14542</v>
      </c>
      <c r="L2748" s="3" t="s">
        <v>14543</v>
      </c>
      <c r="M2748" s="4"/>
      <c r="N2748" s="3" t="s">
        <v>37</v>
      </c>
      <c r="O2748" s="3" t="s">
        <v>38</v>
      </c>
      <c r="P2748" s="5">
        <v>9</v>
      </c>
      <c r="Q2748" s="5">
        <v>299</v>
      </c>
      <c r="R2748" s="5">
        <v>10</v>
      </c>
      <c r="S2748" s="5">
        <v>305</v>
      </c>
    </row>
    <row r="2749" spans="1:19" ht="28" x14ac:dyDescent="0.15">
      <c r="A2749" s="2">
        <f>HYPERLINK("https://open-school.uspishnemisto.com.ua/school/140220/", 140220)</f>
        <v>140220</v>
      </c>
      <c r="B2749" s="3" t="s">
        <v>14544</v>
      </c>
      <c r="C2749" s="3" t="s">
        <v>31</v>
      </c>
      <c r="D2749" s="3" t="s">
        <v>32</v>
      </c>
      <c r="E2749" s="4" t="s">
        <v>22</v>
      </c>
      <c r="F2749" s="4" t="s">
        <v>14545</v>
      </c>
      <c r="G2749" s="4" t="s">
        <v>14513</v>
      </c>
      <c r="H2749" s="3" t="s">
        <v>13575</v>
      </c>
      <c r="I2749" s="3" t="s">
        <v>14514</v>
      </c>
      <c r="J2749" s="3" t="s">
        <v>14546</v>
      </c>
      <c r="K2749" s="3" t="s">
        <v>14547</v>
      </c>
      <c r="L2749" s="3" t="s">
        <v>14548</v>
      </c>
      <c r="M2749" s="4"/>
      <c r="N2749" s="3" t="s">
        <v>37</v>
      </c>
      <c r="O2749" s="3" t="s">
        <v>38</v>
      </c>
      <c r="P2749" s="5">
        <v>23</v>
      </c>
      <c r="Q2749" s="5">
        <v>631</v>
      </c>
      <c r="R2749" s="5">
        <v>23</v>
      </c>
      <c r="S2749" s="5">
        <v>642</v>
      </c>
    </row>
    <row r="2750" spans="1:19" ht="28" x14ac:dyDescent="0.15">
      <c r="A2750" s="2">
        <f>HYPERLINK("https://open-school.uspishnemisto.com.ua/school/140221/", 140221)</f>
        <v>140221</v>
      </c>
      <c r="B2750" s="3" t="s">
        <v>14549</v>
      </c>
      <c r="C2750" s="3" t="s">
        <v>31</v>
      </c>
      <c r="D2750" s="3" t="s">
        <v>32</v>
      </c>
      <c r="E2750" s="4" t="s">
        <v>22</v>
      </c>
      <c r="F2750" s="4" t="s">
        <v>14512</v>
      </c>
      <c r="G2750" s="4" t="s">
        <v>14513</v>
      </c>
      <c r="H2750" s="3" t="s">
        <v>13575</v>
      </c>
      <c r="I2750" s="3" t="s">
        <v>14514</v>
      </c>
      <c r="J2750" s="3" t="s">
        <v>14550</v>
      </c>
      <c r="K2750" s="3" t="s">
        <v>14551</v>
      </c>
      <c r="L2750" s="3" t="s">
        <v>14552</v>
      </c>
      <c r="M2750" s="4"/>
      <c r="N2750" s="3" t="s">
        <v>967</v>
      </c>
      <c r="O2750" s="3" t="s">
        <v>52</v>
      </c>
      <c r="P2750" s="5">
        <v>22</v>
      </c>
      <c r="Q2750" s="5">
        <v>600</v>
      </c>
      <c r="R2750" s="5">
        <v>22</v>
      </c>
      <c r="S2750" s="5">
        <v>585</v>
      </c>
    </row>
    <row r="2751" spans="1:19" ht="28" x14ac:dyDescent="0.15">
      <c r="A2751" s="2">
        <f>HYPERLINK("https://open-school.uspishnemisto.com.ua/school/140222/", 140222)</f>
        <v>140222</v>
      </c>
      <c r="B2751" s="3" t="s">
        <v>14553</v>
      </c>
      <c r="C2751" s="3" t="s">
        <v>188</v>
      </c>
      <c r="D2751" s="3" t="s">
        <v>32</v>
      </c>
      <c r="E2751" s="4" t="s">
        <v>22</v>
      </c>
      <c r="F2751" s="4" t="s">
        <v>14512</v>
      </c>
      <c r="G2751" s="4" t="s">
        <v>14513</v>
      </c>
      <c r="H2751" s="3" t="s">
        <v>13575</v>
      </c>
      <c r="I2751" s="3" t="s">
        <v>14514</v>
      </c>
      <c r="J2751" s="3" t="s">
        <v>14554</v>
      </c>
      <c r="K2751" s="3" t="s">
        <v>14555</v>
      </c>
      <c r="L2751" s="3" t="s">
        <v>14556</v>
      </c>
      <c r="M2751" s="4"/>
      <c r="N2751" s="3" t="s">
        <v>37</v>
      </c>
      <c r="O2751" s="3" t="s">
        <v>38</v>
      </c>
      <c r="P2751" s="5">
        <v>4</v>
      </c>
      <c r="Q2751" s="5">
        <v>119</v>
      </c>
      <c r="R2751" s="5">
        <v>4</v>
      </c>
      <c r="S2751" s="5">
        <v>123</v>
      </c>
    </row>
    <row r="2752" spans="1:19" ht="28" x14ac:dyDescent="0.15">
      <c r="A2752" s="2">
        <f>HYPERLINK("https://open-school.uspishnemisto.com.ua/school/140223/", 140223)</f>
        <v>140223</v>
      </c>
      <c r="B2752" s="3" t="s">
        <v>14557</v>
      </c>
      <c r="C2752" s="3" t="s">
        <v>54</v>
      </c>
      <c r="D2752" s="3" t="s">
        <v>32</v>
      </c>
      <c r="E2752" s="4" t="s">
        <v>22</v>
      </c>
      <c r="F2752" s="4" t="s">
        <v>14512</v>
      </c>
      <c r="G2752" s="4" t="s">
        <v>14513</v>
      </c>
      <c r="H2752" s="3" t="s">
        <v>13575</v>
      </c>
      <c r="I2752" s="3" t="s">
        <v>14514</v>
      </c>
      <c r="J2752" s="3" t="s">
        <v>14558</v>
      </c>
      <c r="K2752" s="3" t="s">
        <v>14559</v>
      </c>
      <c r="L2752" s="3" t="s">
        <v>14560</v>
      </c>
      <c r="M2752" s="4"/>
      <c r="N2752" s="3" t="s">
        <v>37</v>
      </c>
      <c r="O2752" s="3" t="s">
        <v>70</v>
      </c>
      <c r="P2752" s="5">
        <v>44</v>
      </c>
      <c r="Q2752" s="5">
        <v>1143</v>
      </c>
      <c r="R2752" s="5">
        <v>43</v>
      </c>
      <c r="S2752" s="5">
        <v>1134</v>
      </c>
    </row>
    <row r="2753" spans="1:19" ht="28" x14ac:dyDescent="0.15">
      <c r="A2753" s="2">
        <f>HYPERLINK("https://open-school.uspishnemisto.com.ua/school/140224/", 140224)</f>
        <v>140224</v>
      </c>
      <c r="B2753" s="3" t="s">
        <v>14561</v>
      </c>
      <c r="C2753" s="3" t="s">
        <v>31</v>
      </c>
      <c r="D2753" s="3" t="s">
        <v>32</v>
      </c>
      <c r="E2753" s="4" t="s">
        <v>22</v>
      </c>
      <c r="F2753" s="4" t="s">
        <v>14562</v>
      </c>
      <c r="G2753" s="4" t="s">
        <v>14513</v>
      </c>
      <c r="H2753" s="3" t="s">
        <v>13575</v>
      </c>
      <c r="I2753" s="3" t="s">
        <v>14514</v>
      </c>
      <c r="J2753" s="3" t="s">
        <v>14563</v>
      </c>
      <c r="K2753" s="3" t="s">
        <v>14564</v>
      </c>
      <c r="L2753" s="3"/>
      <c r="M2753" s="4"/>
      <c r="N2753" s="3" t="s">
        <v>37</v>
      </c>
      <c r="O2753" s="3" t="s">
        <v>38</v>
      </c>
      <c r="P2753" s="5">
        <v>12</v>
      </c>
      <c r="Q2753" s="5">
        <v>286</v>
      </c>
      <c r="R2753" s="5">
        <v>13</v>
      </c>
      <c r="S2753" s="5">
        <v>297</v>
      </c>
    </row>
    <row r="2754" spans="1:19" ht="28" x14ac:dyDescent="0.15">
      <c r="A2754" s="2">
        <f>HYPERLINK("https://open-school.uspishnemisto.com.ua/school/140225/", 140225)</f>
        <v>140225</v>
      </c>
      <c r="B2754" s="3" t="s">
        <v>14565</v>
      </c>
      <c r="C2754" s="3" t="s">
        <v>31</v>
      </c>
      <c r="D2754" s="3" t="s">
        <v>32</v>
      </c>
      <c r="E2754" s="4" t="s">
        <v>22</v>
      </c>
      <c r="F2754" s="4" t="s">
        <v>14566</v>
      </c>
      <c r="G2754" s="4" t="s">
        <v>14567</v>
      </c>
      <c r="H2754" s="3" t="s">
        <v>13575</v>
      </c>
      <c r="I2754" s="3" t="s">
        <v>11250</v>
      </c>
      <c r="J2754" s="3" t="s">
        <v>634</v>
      </c>
      <c r="K2754" s="3" t="s">
        <v>14568</v>
      </c>
      <c r="L2754" s="3"/>
      <c r="M2754" s="4"/>
      <c r="N2754" s="3" t="s">
        <v>37</v>
      </c>
      <c r="O2754" s="3" t="s">
        <v>721</v>
      </c>
      <c r="P2754" s="5">
        <v>9</v>
      </c>
      <c r="Q2754" s="5">
        <v>145</v>
      </c>
      <c r="R2754" s="5">
        <v>10</v>
      </c>
      <c r="S2754" s="5">
        <v>149</v>
      </c>
    </row>
    <row r="2755" spans="1:19" ht="28" x14ac:dyDescent="0.15">
      <c r="A2755" s="2">
        <f>HYPERLINK("https://open-school.uspishnemisto.com.ua/school/140226/", 140226)</f>
        <v>140226</v>
      </c>
      <c r="B2755" s="3" t="s">
        <v>14569</v>
      </c>
      <c r="C2755" s="3" t="s">
        <v>31</v>
      </c>
      <c r="D2755" s="3" t="s">
        <v>175</v>
      </c>
      <c r="E2755" s="4" t="s">
        <v>22</v>
      </c>
      <c r="F2755" s="4" t="s">
        <v>14562</v>
      </c>
      <c r="G2755" s="4" t="s">
        <v>14570</v>
      </c>
      <c r="H2755" s="3" t="s">
        <v>13575</v>
      </c>
      <c r="I2755" s="3" t="s">
        <v>14571</v>
      </c>
      <c r="J2755" s="3" t="s">
        <v>2052</v>
      </c>
      <c r="K2755" s="3" t="s">
        <v>14572</v>
      </c>
      <c r="L2755" s="3"/>
      <c r="M2755" s="4"/>
      <c r="N2755" s="3" t="s">
        <v>37</v>
      </c>
      <c r="O2755" s="3" t="s">
        <v>38</v>
      </c>
      <c r="P2755" s="5">
        <v>9</v>
      </c>
      <c r="Q2755" s="5">
        <v>213</v>
      </c>
      <c r="R2755" s="5">
        <v>9</v>
      </c>
      <c r="S2755" s="5">
        <v>204</v>
      </c>
    </row>
    <row r="2756" spans="1:19" ht="28" x14ac:dyDescent="0.15">
      <c r="A2756" s="2">
        <f>HYPERLINK("https://open-school.uspishnemisto.com.ua/school/140227/", 140227)</f>
        <v>140227</v>
      </c>
      <c r="B2756" s="3" t="s">
        <v>14573</v>
      </c>
      <c r="C2756" s="3" t="s">
        <v>31</v>
      </c>
      <c r="D2756" s="3" t="s">
        <v>32</v>
      </c>
      <c r="E2756" s="4" t="s">
        <v>22</v>
      </c>
      <c r="F2756" s="4" t="s">
        <v>14574</v>
      </c>
      <c r="G2756" s="4" t="s">
        <v>14570</v>
      </c>
      <c r="H2756" s="3" t="s">
        <v>13575</v>
      </c>
      <c r="I2756" s="3" t="s">
        <v>14571</v>
      </c>
      <c r="J2756" s="3" t="s">
        <v>14575</v>
      </c>
      <c r="K2756" s="3" t="s">
        <v>14576</v>
      </c>
      <c r="L2756" s="3" t="s">
        <v>14577</v>
      </c>
      <c r="M2756" s="4"/>
      <c r="N2756" s="3" t="s">
        <v>37</v>
      </c>
      <c r="O2756" s="3" t="s">
        <v>38</v>
      </c>
      <c r="P2756" s="5">
        <v>18</v>
      </c>
      <c r="Q2756" s="5">
        <v>450</v>
      </c>
      <c r="R2756" s="5">
        <v>18</v>
      </c>
      <c r="S2756" s="5">
        <v>459</v>
      </c>
    </row>
    <row r="2757" spans="1:19" ht="28" x14ac:dyDescent="0.15">
      <c r="A2757" s="2">
        <f>HYPERLINK("https://open-school.uspishnemisto.com.ua/school/140228/", 140228)</f>
        <v>140228</v>
      </c>
      <c r="B2757" s="3" t="s">
        <v>14578</v>
      </c>
      <c r="C2757" s="3" t="s">
        <v>31</v>
      </c>
      <c r="D2757" s="3" t="s">
        <v>32</v>
      </c>
      <c r="E2757" s="4" t="s">
        <v>22</v>
      </c>
      <c r="F2757" s="4" t="s">
        <v>14579</v>
      </c>
      <c r="G2757" s="4" t="s">
        <v>14580</v>
      </c>
      <c r="H2757" s="3" t="s">
        <v>13575</v>
      </c>
      <c r="I2757" s="3" t="s">
        <v>14581</v>
      </c>
      <c r="J2757" s="3" t="s">
        <v>14582</v>
      </c>
      <c r="K2757" s="3" t="s">
        <v>14583</v>
      </c>
      <c r="L2757" s="3" t="s">
        <v>14584</v>
      </c>
      <c r="M2757" s="4"/>
      <c r="N2757" s="3" t="s">
        <v>128</v>
      </c>
      <c r="O2757" s="3" t="s">
        <v>38</v>
      </c>
      <c r="P2757" s="5">
        <v>35</v>
      </c>
      <c r="Q2757" s="5">
        <v>831</v>
      </c>
      <c r="R2757" s="5">
        <v>32</v>
      </c>
      <c r="S2757" s="5">
        <v>789</v>
      </c>
    </row>
    <row r="2758" spans="1:19" ht="28" x14ac:dyDescent="0.15">
      <c r="A2758" s="2">
        <f>HYPERLINK("https://open-school.uspishnemisto.com.ua/school/140229/", 140229)</f>
        <v>140229</v>
      </c>
      <c r="B2758" s="3" t="s">
        <v>14585</v>
      </c>
      <c r="C2758" s="3" t="s">
        <v>31</v>
      </c>
      <c r="D2758" s="3" t="s">
        <v>32</v>
      </c>
      <c r="E2758" s="4" t="s">
        <v>22</v>
      </c>
      <c r="F2758" s="4" t="s">
        <v>14586</v>
      </c>
      <c r="G2758" s="4" t="s">
        <v>14580</v>
      </c>
      <c r="H2758" s="3" t="s">
        <v>13575</v>
      </c>
      <c r="I2758" s="3" t="s">
        <v>14581</v>
      </c>
      <c r="J2758" s="3" t="s">
        <v>14587</v>
      </c>
      <c r="K2758" s="3" t="s">
        <v>14588</v>
      </c>
      <c r="L2758" s="3" t="s">
        <v>14589</v>
      </c>
      <c r="M2758" s="4"/>
      <c r="N2758" s="3" t="s">
        <v>128</v>
      </c>
      <c r="O2758" s="3" t="s">
        <v>38</v>
      </c>
      <c r="P2758" s="5">
        <v>30</v>
      </c>
      <c r="Q2758" s="5">
        <v>678</v>
      </c>
      <c r="R2758" s="5">
        <v>29</v>
      </c>
      <c r="S2758" s="5">
        <v>642</v>
      </c>
    </row>
    <row r="2759" spans="1:19" ht="28" x14ac:dyDescent="0.15">
      <c r="A2759" s="2">
        <f>HYPERLINK("https://open-school.uspishnemisto.com.ua/school/140230/", 140230)</f>
        <v>140230</v>
      </c>
      <c r="B2759" s="3" t="s">
        <v>14590</v>
      </c>
      <c r="C2759" s="3" t="s">
        <v>31</v>
      </c>
      <c r="D2759" s="3" t="s">
        <v>32</v>
      </c>
      <c r="E2759" s="4" t="s">
        <v>22</v>
      </c>
      <c r="F2759" s="4" t="s">
        <v>14591</v>
      </c>
      <c r="G2759" s="4" t="s">
        <v>14580</v>
      </c>
      <c r="H2759" s="3" t="s">
        <v>13575</v>
      </c>
      <c r="I2759" s="3" t="s">
        <v>14581</v>
      </c>
      <c r="J2759" s="3" t="s">
        <v>14592</v>
      </c>
      <c r="K2759" s="3" t="s">
        <v>14593</v>
      </c>
      <c r="L2759" s="3" t="s">
        <v>14594</v>
      </c>
      <c r="M2759" s="4"/>
      <c r="N2759" s="3" t="s">
        <v>37</v>
      </c>
      <c r="O2759" s="3" t="s">
        <v>197</v>
      </c>
      <c r="P2759" s="5">
        <v>19</v>
      </c>
      <c r="Q2759" s="5">
        <v>408</v>
      </c>
      <c r="R2759" s="5">
        <v>18</v>
      </c>
      <c r="S2759" s="5">
        <v>390</v>
      </c>
    </row>
    <row r="2760" spans="1:19" ht="28" x14ac:dyDescent="0.15">
      <c r="A2760" s="2">
        <f>HYPERLINK("https://open-school.uspishnemisto.com.ua/school/140231/", 140231)</f>
        <v>140231</v>
      </c>
      <c r="B2760" s="3" t="s">
        <v>14595</v>
      </c>
      <c r="C2760" s="3" t="s">
        <v>31</v>
      </c>
      <c r="D2760" s="3" t="s">
        <v>32</v>
      </c>
      <c r="E2760" s="4" t="s">
        <v>22</v>
      </c>
      <c r="F2760" s="4" t="s">
        <v>14596</v>
      </c>
      <c r="G2760" s="4" t="s">
        <v>14580</v>
      </c>
      <c r="H2760" s="3" t="s">
        <v>13575</v>
      </c>
      <c r="I2760" s="3" t="s">
        <v>14581</v>
      </c>
      <c r="J2760" s="3" t="s">
        <v>14597</v>
      </c>
      <c r="K2760" s="3" t="s">
        <v>14598</v>
      </c>
      <c r="L2760" s="3" t="s">
        <v>14599</v>
      </c>
      <c r="M2760" s="4"/>
      <c r="N2760" s="3" t="s">
        <v>37</v>
      </c>
      <c r="O2760" s="3" t="s">
        <v>38</v>
      </c>
      <c r="P2760" s="5">
        <v>14</v>
      </c>
      <c r="Q2760" s="5">
        <v>290</v>
      </c>
      <c r="R2760" s="5">
        <v>14</v>
      </c>
      <c r="S2760" s="5">
        <v>277</v>
      </c>
    </row>
    <row r="2761" spans="1:19" ht="28" x14ac:dyDescent="0.15">
      <c r="A2761" s="2">
        <f>HYPERLINK("https://open-school.uspishnemisto.com.ua/school/140232/", 140232)</f>
        <v>140232</v>
      </c>
      <c r="B2761" s="3" t="s">
        <v>14600</v>
      </c>
      <c r="C2761" s="3" t="s">
        <v>181</v>
      </c>
      <c r="D2761" s="3" t="s">
        <v>175</v>
      </c>
      <c r="E2761" s="4" t="s">
        <v>22</v>
      </c>
      <c r="F2761" s="4" t="s">
        <v>14579</v>
      </c>
      <c r="G2761" s="4" t="s">
        <v>14580</v>
      </c>
      <c r="H2761" s="3" t="s">
        <v>13575</v>
      </c>
      <c r="I2761" s="3" t="s">
        <v>14581</v>
      </c>
      <c r="J2761" s="3" t="s">
        <v>14601</v>
      </c>
      <c r="K2761" s="3" t="s">
        <v>14602</v>
      </c>
      <c r="L2761" s="3" t="s">
        <v>14603</v>
      </c>
      <c r="M2761" s="4" t="s">
        <v>14604</v>
      </c>
      <c r="N2761" s="3" t="s">
        <v>37</v>
      </c>
      <c r="O2761" s="3"/>
      <c r="P2761" s="5">
        <v>11</v>
      </c>
      <c r="Q2761" s="5">
        <v>98</v>
      </c>
      <c r="R2761" s="5">
        <v>11</v>
      </c>
      <c r="S2761" s="5">
        <v>102</v>
      </c>
    </row>
    <row r="2762" spans="1:19" ht="28" x14ac:dyDescent="0.15">
      <c r="A2762" s="2">
        <f>HYPERLINK("https://open-school.uspishnemisto.com.ua/school/140233/", 140233)</f>
        <v>140233</v>
      </c>
      <c r="B2762" s="3" t="s">
        <v>14605</v>
      </c>
      <c r="C2762" s="3" t="s">
        <v>188</v>
      </c>
      <c r="D2762" s="3" t="s">
        <v>32</v>
      </c>
      <c r="E2762" s="4" t="s">
        <v>22</v>
      </c>
      <c r="F2762" s="4" t="s">
        <v>14579</v>
      </c>
      <c r="G2762" s="4" t="s">
        <v>14580</v>
      </c>
      <c r="H2762" s="3" t="s">
        <v>13575</v>
      </c>
      <c r="I2762" s="3" t="s">
        <v>14581</v>
      </c>
      <c r="J2762" s="3" t="s">
        <v>14606</v>
      </c>
      <c r="K2762" s="3" t="s">
        <v>14607</v>
      </c>
      <c r="L2762" s="3" t="s">
        <v>14608</v>
      </c>
      <c r="M2762" s="4"/>
      <c r="N2762" s="3" t="s">
        <v>37</v>
      </c>
      <c r="O2762" s="3" t="s">
        <v>139</v>
      </c>
      <c r="P2762" s="5">
        <v>7</v>
      </c>
      <c r="Q2762" s="5">
        <v>120</v>
      </c>
      <c r="R2762" s="5">
        <v>5</v>
      </c>
      <c r="S2762" s="5">
        <v>96</v>
      </c>
    </row>
    <row r="2763" spans="1:19" ht="42" x14ac:dyDescent="0.15">
      <c r="A2763" s="2">
        <f>HYPERLINK("https://open-school.uspishnemisto.com.ua/school/140234/", 140234)</f>
        <v>140234</v>
      </c>
      <c r="B2763" s="3" t="s">
        <v>14609</v>
      </c>
      <c r="C2763" s="3" t="s">
        <v>54</v>
      </c>
      <c r="D2763" s="3" t="s">
        <v>32</v>
      </c>
      <c r="E2763" s="4" t="s">
        <v>22</v>
      </c>
      <c r="F2763" s="4" t="s">
        <v>14610</v>
      </c>
      <c r="G2763" s="4" t="s">
        <v>14580</v>
      </c>
      <c r="H2763" s="3" t="s">
        <v>13575</v>
      </c>
      <c r="I2763" s="3" t="s">
        <v>14581</v>
      </c>
      <c r="J2763" s="3" t="s">
        <v>6958</v>
      </c>
      <c r="K2763" s="3" t="s">
        <v>14611</v>
      </c>
      <c r="L2763" s="3" t="s">
        <v>14612</v>
      </c>
      <c r="M2763" s="4"/>
      <c r="N2763" s="3" t="s">
        <v>37</v>
      </c>
      <c r="O2763" s="3" t="s">
        <v>38</v>
      </c>
      <c r="P2763" s="5">
        <v>13</v>
      </c>
      <c r="Q2763" s="5">
        <v>368</v>
      </c>
      <c r="R2763" s="5">
        <v>13</v>
      </c>
      <c r="S2763" s="5">
        <v>359</v>
      </c>
    </row>
    <row r="2764" spans="1:19" ht="56" x14ac:dyDescent="0.15">
      <c r="A2764" s="2">
        <f>HYPERLINK("https://open-school.uspishnemisto.com.ua/school/140235/", 140235)</f>
        <v>140235</v>
      </c>
      <c r="B2764" s="3" t="s">
        <v>14613</v>
      </c>
      <c r="C2764" s="3" t="s">
        <v>54</v>
      </c>
      <c r="D2764" s="3" t="s">
        <v>175</v>
      </c>
      <c r="E2764" s="4" t="s">
        <v>22</v>
      </c>
      <c r="F2764" s="4" t="s">
        <v>14614</v>
      </c>
      <c r="G2764" s="4" t="s">
        <v>14580</v>
      </c>
      <c r="H2764" s="3" t="s">
        <v>13575</v>
      </c>
      <c r="I2764" s="3" t="s">
        <v>14581</v>
      </c>
      <c r="J2764" s="3" t="s">
        <v>14615</v>
      </c>
      <c r="K2764" s="3" t="s">
        <v>14616</v>
      </c>
      <c r="L2764" s="3"/>
      <c r="M2764" s="4"/>
      <c r="N2764" s="3" t="s">
        <v>37</v>
      </c>
      <c r="O2764" s="3" t="s">
        <v>38</v>
      </c>
      <c r="P2764" s="5">
        <v>9</v>
      </c>
      <c r="Q2764" s="5">
        <v>81</v>
      </c>
      <c r="R2764" s="5">
        <v>9</v>
      </c>
      <c r="S2764" s="5">
        <v>79</v>
      </c>
    </row>
    <row r="2765" spans="1:19" ht="28" x14ac:dyDescent="0.15">
      <c r="A2765" s="2">
        <f>HYPERLINK("https://open-school.uspishnemisto.com.ua/school/140236/", 140236)</f>
        <v>140236</v>
      </c>
      <c r="B2765" s="3" t="s">
        <v>14617</v>
      </c>
      <c r="C2765" s="3" t="s">
        <v>31</v>
      </c>
      <c r="D2765" s="3" t="s">
        <v>175</v>
      </c>
      <c r="E2765" s="4" t="s">
        <v>22</v>
      </c>
      <c r="F2765" s="4" t="s">
        <v>14618</v>
      </c>
      <c r="G2765" s="4" t="s">
        <v>14619</v>
      </c>
      <c r="H2765" s="3" t="s">
        <v>13575</v>
      </c>
      <c r="I2765" s="3" t="s">
        <v>14620</v>
      </c>
      <c r="J2765" s="3" t="s">
        <v>3370</v>
      </c>
      <c r="K2765" s="3" t="s">
        <v>14621</v>
      </c>
      <c r="L2765" s="3" t="s">
        <v>14622</v>
      </c>
      <c r="M2765" s="4"/>
      <c r="N2765" s="3" t="s">
        <v>128</v>
      </c>
      <c r="O2765" s="3" t="s">
        <v>38</v>
      </c>
      <c r="P2765" s="5">
        <v>9</v>
      </c>
      <c r="Q2765" s="5">
        <v>154</v>
      </c>
      <c r="R2765" s="5">
        <v>9</v>
      </c>
      <c r="S2765" s="5">
        <v>162</v>
      </c>
    </row>
    <row r="2766" spans="1:19" ht="28" x14ac:dyDescent="0.15">
      <c r="A2766" s="2">
        <f>HYPERLINK("https://open-school.uspishnemisto.com.ua/school/140237/", 140237)</f>
        <v>140237</v>
      </c>
      <c r="B2766" s="3" t="s">
        <v>14623</v>
      </c>
      <c r="C2766" s="3" t="s">
        <v>31</v>
      </c>
      <c r="D2766" s="3" t="s">
        <v>175</v>
      </c>
      <c r="E2766" s="4" t="s">
        <v>22</v>
      </c>
      <c r="F2766" s="4" t="s">
        <v>14618</v>
      </c>
      <c r="G2766" s="4" t="s">
        <v>14619</v>
      </c>
      <c r="H2766" s="3" t="s">
        <v>13575</v>
      </c>
      <c r="I2766" s="3" t="s">
        <v>14620</v>
      </c>
      <c r="J2766" s="3" t="s">
        <v>14624</v>
      </c>
      <c r="K2766" s="3" t="s">
        <v>14625</v>
      </c>
      <c r="L2766" s="3"/>
      <c r="M2766" s="4"/>
      <c r="N2766" s="3" t="s">
        <v>37</v>
      </c>
      <c r="O2766" s="3" t="s">
        <v>52</v>
      </c>
      <c r="P2766" s="5">
        <v>8</v>
      </c>
      <c r="Q2766" s="5">
        <v>78</v>
      </c>
      <c r="R2766" s="5">
        <v>8</v>
      </c>
      <c r="S2766" s="5">
        <v>69</v>
      </c>
    </row>
    <row r="2767" spans="1:19" ht="42" x14ac:dyDescent="0.15">
      <c r="A2767" s="2">
        <f>HYPERLINK("https://open-school.uspishnemisto.com.ua/school/140238/", 140238)</f>
        <v>140238</v>
      </c>
      <c r="B2767" s="3" t="s">
        <v>14626</v>
      </c>
      <c r="C2767" s="3" t="s">
        <v>31</v>
      </c>
      <c r="D2767" s="3" t="s">
        <v>32</v>
      </c>
      <c r="E2767" s="4" t="s">
        <v>22</v>
      </c>
      <c r="F2767" s="4" t="s">
        <v>14618</v>
      </c>
      <c r="G2767" s="4" t="s">
        <v>14619</v>
      </c>
      <c r="H2767" s="3" t="s">
        <v>13575</v>
      </c>
      <c r="I2767" s="3" t="s">
        <v>14620</v>
      </c>
      <c r="J2767" s="3" t="s">
        <v>14627</v>
      </c>
      <c r="K2767" s="3" t="s">
        <v>14628</v>
      </c>
      <c r="L2767" s="3" t="s">
        <v>14629</v>
      </c>
      <c r="M2767" s="4"/>
      <c r="N2767" s="3" t="s">
        <v>37</v>
      </c>
      <c r="O2767" s="3" t="s">
        <v>38</v>
      </c>
      <c r="P2767" s="5">
        <v>22</v>
      </c>
      <c r="Q2767" s="5">
        <v>551</v>
      </c>
      <c r="R2767" s="5">
        <v>21</v>
      </c>
      <c r="S2767" s="5">
        <v>524</v>
      </c>
    </row>
    <row r="2768" spans="1:19" ht="28" x14ac:dyDescent="0.15">
      <c r="A2768" s="2">
        <f>HYPERLINK("https://open-school.uspishnemisto.com.ua/school/140239/", 140239)</f>
        <v>140239</v>
      </c>
      <c r="B2768" s="3" t="s">
        <v>14630</v>
      </c>
      <c r="C2768" s="3" t="s">
        <v>31</v>
      </c>
      <c r="D2768" s="3" t="s">
        <v>32</v>
      </c>
      <c r="E2768" s="4" t="s">
        <v>22</v>
      </c>
      <c r="F2768" s="4" t="s">
        <v>14618</v>
      </c>
      <c r="G2768" s="4" t="s">
        <v>14619</v>
      </c>
      <c r="H2768" s="3" t="s">
        <v>13575</v>
      </c>
      <c r="I2768" s="3" t="s">
        <v>14620</v>
      </c>
      <c r="J2768" s="3" t="s">
        <v>14631</v>
      </c>
      <c r="K2768" s="3" t="s">
        <v>14632</v>
      </c>
      <c r="L2768" s="3" t="s">
        <v>14633</v>
      </c>
      <c r="M2768" s="4"/>
      <c r="N2768" s="3" t="s">
        <v>37</v>
      </c>
      <c r="O2768" s="3" t="s">
        <v>197</v>
      </c>
      <c r="P2768" s="5">
        <v>20</v>
      </c>
      <c r="Q2768" s="5">
        <v>479</v>
      </c>
      <c r="R2768" s="5">
        <v>20</v>
      </c>
      <c r="S2768" s="5">
        <v>473</v>
      </c>
    </row>
    <row r="2769" spans="1:19" ht="28" x14ac:dyDescent="0.15">
      <c r="A2769" s="2">
        <f>HYPERLINK("https://open-school.uspishnemisto.com.ua/school/140240/", 140240)</f>
        <v>140240</v>
      </c>
      <c r="B2769" s="3" t="s">
        <v>14634</v>
      </c>
      <c r="C2769" s="3" t="s">
        <v>40</v>
      </c>
      <c r="D2769" s="3" t="s">
        <v>32</v>
      </c>
      <c r="E2769" s="4" t="s">
        <v>22</v>
      </c>
      <c r="F2769" s="4" t="s">
        <v>14635</v>
      </c>
      <c r="G2769" s="4" t="s">
        <v>14636</v>
      </c>
      <c r="H2769" s="3" t="s">
        <v>13575</v>
      </c>
      <c r="I2769" s="3" t="s">
        <v>14637</v>
      </c>
      <c r="J2769" s="3" t="s">
        <v>14638</v>
      </c>
      <c r="K2769" s="3" t="s">
        <v>14639</v>
      </c>
      <c r="L2769" s="3" t="s">
        <v>14640</v>
      </c>
      <c r="M2769" s="4"/>
      <c r="N2769" s="3" t="s">
        <v>37</v>
      </c>
      <c r="O2769" s="3" t="s">
        <v>721</v>
      </c>
      <c r="P2769" s="5">
        <v>9</v>
      </c>
      <c r="Q2769" s="5">
        <v>226</v>
      </c>
      <c r="R2769" s="5">
        <v>9</v>
      </c>
      <c r="S2769" s="5">
        <v>209</v>
      </c>
    </row>
    <row r="2770" spans="1:19" ht="28" x14ac:dyDescent="0.15">
      <c r="A2770" s="2">
        <f>HYPERLINK("https://open-school.uspishnemisto.com.ua/school/140241/", 140241)</f>
        <v>140241</v>
      </c>
      <c r="B2770" s="3" t="s">
        <v>14641</v>
      </c>
      <c r="C2770" s="3" t="s">
        <v>31</v>
      </c>
      <c r="D2770" s="3" t="s">
        <v>32</v>
      </c>
      <c r="E2770" s="4" t="s">
        <v>22</v>
      </c>
      <c r="F2770" s="4" t="s">
        <v>14635</v>
      </c>
      <c r="G2770" s="4" t="s">
        <v>14636</v>
      </c>
      <c r="H2770" s="3" t="s">
        <v>13575</v>
      </c>
      <c r="I2770" s="3" t="s">
        <v>14637</v>
      </c>
      <c r="J2770" s="3" t="s">
        <v>14642</v>
      </c>
      <c r="K2770" s="3" t="s">
        <v>14643</v>
      </c>
      <c r="L2770" s="3" t="s">
        <v>14644</v>
      </c>
      <c r="M2770" s="4"/>
      <c r="N2770" s="3" t="s">
        <v>37</v>
      </c>
      <c r="O2770" s="3" t="s">
        <v>38</v>
      </c>
      <c r="P2770" s="5">
        <v>20</v>
      </c>
      <c r="Q2770" s="5">
        <v>540</v>
      </c>
      <c r="R2770" s="5">
        <v>20</v>
      </c>
      <c r="S2770" s="5">
        <v>492</v>
      </c>
    </row>
    <row r="2771" spans="1:19" ht="28" x14ac:dyDescent="0.15">
      <c r="A2771" s="2">
        <f>HYPERLINK("https://open-school.uspishnemisto.com.ua/school/140242/", 140242)</f>
        <v>140242</v>
      </c>
      <c r="B2771" s="3" t="s">
        <v>14645</v>
      </c>
      <c r="C2771" s="3" t="s">
        <v>31</v>
      </c>
      <c r="D2771" s="3" t="s">
        <v>32</v>
      </c>
      <c r="E2771" s="4" t="s">
        <v>22</v>
      </c>
      <c r="F2771" s="4" t="s">
        <v>14635</v>
      </c>
      <c r="G2771" s="4" t="s">
        <v>14636</v>
      </c>
      <c r="H2771" s="3" t="s">
        <v>13575</v>
      </c>
      <c r="I2771" s="3" t="s">
        <v>14637</v>
      </c>
      <c r="J2771" s="3" t="s">
        <v>14646</v>
      </c>
      <c r="K2771" s="3" t="s">
        <v>14647</v>
      </c>
      <c r="L2771" s="3" t="s">
        <v>14644</v>
      </c>
      <c r="M2771" s="4"/>
      <c r="N2771" s="3" t="s">
        <v>37</v>
      </c>
      <c r="O2771" s="3" t="s">
        <v>38</v>
      </c>
      <c r="P2771" s="5">
        <v>25</v>
      </c>
      <c r="Q2771" s="5">
        <v>700</v>
      </c>
      <c r="R2771" s="5">
        <v>26</v>
      </c>
      <c r="S2771" s="5">
        <v>696</v>
      </c>
    </row>
    <row r="2772" spans="1:19" ht="28" x14ac:dyDescent="0.15">
      <c r="A2772" s="2">
        <f>HYPERLINK("https://open-school.uspishnemisto.com.ua/school/140243/", 140243)</f>
        <v>140243</v>
      </c>
      <c r="B2772" s="3" t="s">
        <v>14648</v>
      </c>
      <c r="C2772" s="3" t="s">
        <v>31</v>
      </c>
      <c r="D2772" s="3" t="s">
        <v>32</v>
      </c>
      <c r="E2772" s="4" t="s">
        <v>22</v>
      </c>
      <c r="F2772" s="4" t="s">
        <v>14635</v>
      </c>
      <c r="G2772" s="4" t="s">
        <v>14636</v>
      </c>
      <c r="H2772" s="3" t="s">
        <v>13575</v>
      </c>
      <c r="I2772" s="3" t="s">
        <v>14637</v>
      </c>
      <c r="J2772" s="3" t="s">
        <v>14649</v>
      </c>
      <c r="K2772" s="3" t="s">
        <v>14650</v>
      </c>
      <c r="L2772" s="3" t="s">
        <v>14651</v>
      </c>
      <c r="M2772" s="4"/>
      <c r="N2772" s="3" t="s">
        <v>37</v>
      </c>
      <c r="O2772" s="3" t="s">
        <v>38</v>
      </c>
      <c r="P2772" s="5">
        <v>35</v>
      </c>
      <c r="Q2772" s="5">
        <v>762</v>
      </c>
      <c r="R2772" s="5">
        <v>25</v>
      </c>
      <c r="S2772" s="5">
        <v>644</v>
      </c>
    </row>
    <row r="2773" spans="1:19" ht="28" x14ac:dyDescent="0.15">
      <c r="A2773" s="2">
        <f>HYPERLINK("https://open-school.uspishnemisto.com.ua/school/140244/", 140244)</f>
        <v>140244</v>
      </c>
      <c r="B2773" s="3" t="s">
        <v>14652</v>
      </c>
      <c r="C2773" s="3" t="s">
        <v>31</v>
      </c>
      <c r="D2773" s="3" t="s">
        <v>32</v>
      </c>
      <c r="E2773" s="4" t="s">
        <v>22</v>
      </c>
      <c r="F2773" s="4" t="s">
        <v>14653</v>
      </c>
      <c r="G2773" s="4" t="s">
        <v>14636</v>
      </c>
      <c r="H2773" s="3" t="s">
        <v>13575</v>
      </c>
      <c r="I2773" s="3" t="s">
        <v>14637</v>
      </c>
      <c r="J2773" s="3" t="s">
        <v>14654</v>
      </c>
      <c r="K2773" s="3" t="s">
        <v>14655</v>
      </c>
      <c r="L2773" s="3" t="s">
        <v>14656</v>
      </c>
      <c r="M2773" s="4"/>
      <c r="N2773" s="3" t="s">
        <v>128</v>
      </c>
      <c r="O2773" s="3" t="s">
        <v>38</v>
      </c>
      <c r="P2773" s="5">
        <v>12</v>
      </c>
      <c r="Q2773" s="5">
        <v>248</v>
      </c>
      <c r="R2773" s="5">
        <v>13</v>
      </c>
      <c r="S2773" s="5">
        <v>265</v>
      </c>
    </row>
    <row r="2774" spans="1:19" ht="28" x14ac:dyDescent="0.15">
      <c r="A2774" s="2">
        <f>HYPERLINK("https://open-school.uspishnemisto.com.ua/school/140246/", 140246)</f>
        <v>140246</v>
      </c>
      <c r="B2774" s="3" t="s">
        <v>14657</v>
      </c>
      <c r="C2774" s="3" t="s">
        <v>20</v>
      </c>
      <c r="D2774" s="3" t="s">
        <v>21</v>
      </c>
      <c r="E2774" s="4" t="s">
        <v>22</v>
      </c>
      <c r="F2774" s="4" t="s">
        <v>14658</v>
      </c>
      <c r="G2774" s="4" t="s">
        <v>14636</v>
      </c>
      <c r="H2774" s="3" t="s">
        <v>13575</v>
      </c>
      <c r="I2774" s="3" t="s">
        <v>14637</v>
      </c>
      <c r="J2774" s="3" t="s">
        <v>14659</v>
      </c>
      <c r="K2774" s="3"/>
      <c r="L2774" s="3"/>
      <c r="M2774" s="4"/>
      <c r="N2774" s="3"/>
      <c r="O2774" s="3"/>
      <c r="P2774" s="5">
        <v>0</v>
      </c>
      <c r="Q2774" s="5">
        <v>0</v>
      </c>
      <c r="R2774" s="5"/>
      <c r="S2774" s="5"/>
    </row>
    <row r="2775" spans="1:19" ht="28" x14ac:dyDescent="0.15">
      <c r="A2775" s="2">
        <f>HYPERLINK("https://open-school.uspishnemisto.com.ua/school/140245/", 140245)</f>
        <v>140245</v>
      </c>
      <c r="B2775" s="3" t="s">
        <v>14660</v>
      </c>
      <c r="C2775" s="3" t="s">
        <v>31</v>
      </c>
      <c r="D2775" s="3" t="s">
        <v>32</v>
      </c>
      <c r="E2775" s="4" t="s">
        <v>22</v>
      </c>
      <c r="F2775" s="4" t="s">
        <v>14661</v>
      </c>
      <c r="G2775" s="4" t="s">
        <v>14662</v>
      </c>
      <c r="H2775" s="3" t="s">
        <v>13575</v>
      </c>
      <c r="I2775" s="3" t="s">
        <v>14663</v>
      </c>
      <c r="J2775" s="3" t="s">
        <v>1900</v>
      </c>
      <c r="K2775" s="3" t="s">
        <v>14664</v>
      </c>
      <c r="L2775" s="3" t="s">
        <v>14665</v>
      </c>
      <c r="M2775" s="4"/>
      <c r="N2775" s="3" t="s">
        <v>37</v>
      </c>
      <c r="O2775" s="3" t="s">
        <v>38</v>
      </c>
      <c r="P2775" s="5">
        <v>11</v>
      </c>
      <c r="Q2775" s="5">
        <v>227</v>
      </c>
      <c r="R2775" s="5">
        <v>11</v>
      </c>
      <c r="S2775" s="5">
        <v>233</v>
      </c>
    </row>
    <row r="2776" spans="1:19" ht="42" x14ac:dyDescent="0.15">
      <c r="A2776" s="2">
        <f>HYPERLINK("https://open-school.uspishnemisto.com.ua/school/140247/", 140247)</f>
        <v>140247</v>
      </c>
      <c r="B2776" s="3" t="s">
        <v>14666</v>
      </c>
      <c r="C2776" s="3" t="s">
        <v>31</v>
      </c>
      <c r="D2776" s="3" t="s">
        <v>32</v>
      </c>
      <c r="E2776" s="4" t="s">
        <v>22</v>
      </c>
      <c r="F2776" s="4" t="s">
        <v>14667</v>
      </c>
      <c r="G2776" s="4" t="s">
        <v>14668</v>
      </c>
      <c r="H2776" s="3" t="s">
        <v>13575</v>
      </c>
      <c r="I2776" s="3" t="s">
        <v>14669</v>
      </c>
      <c r="J2776" s="3" t="s">
        <v>14670</v>
      </c>
      <c r="K2776" s="3" t="s">
        <v>14671</v>
      </c>
      <c r="L2776" s="3"/>
      <c r="M2776" s="4"/>
      <c r="N2776" s="3" t="s">
        <v>37</v>
      </c>
      <c r="O2776" s="3" t="s">
        <v>52</v>
      </c>
      <c r="P2776" s="5">
        <v>0</v>
      </c>
      <c r="Q2776" s="5">
        <v>0</v>
      </c>
      <c r="R2776" s="5">
        <v>10</v>
      </c>
      <c r="S2776" s="5">
        <v>130</v>
      </c>
    </row>
    <row r="2777" spans="1:19" ht="28" x14ac:dyDescent="0.15">
      <c r="A2777" s="2">
        <f>HYPERLINK("https://open-school.uspishnemisto.com.ua/school/140248/", 140248)</f>
        <v>140248</v>
      </c>
      <c r="B2777" s="3" t="s">
        <v>14672</v>
      </c>
      <c r="C2777" s="3" t="s">
        <v>31</v>
      </c>
      <c r="D2777" s="3" t="s">
        <v>175</v>
      </c>
      <c r="E2777" s="4" t="s">
        <v>22</v>
      </c>
      <c r="F2777" s="4" t="s">
        <v>14673</v>
      </c>
      <c r="G2777" s="4" t="s">
        <v>14674</v>
      </c>
      <c r="H2777" s="3" t="s">
        <v>13575</v>
      </c>
      <c r="I2777" s="3" t="s">
        <v>14675</v>
      </c>
      <c r="J2777" s="3" t="s">
        <v>14676</v>
      </c>
      <c r="K2777" s="3" t="s">
        <v>14677</v>
      </c>
      <c r="L2777" s="3"/>
      <c r="M2777" s="4"/>
      <c r="N2777" s="3" t="s">
        <v>37</v>
      </c>
      <c r="O2777" s="3" t="s">
        <v>38</v>
      </c>
      <c r="P2777" s="5">
        <v>12</v>
      </c>
      <c r="Q2777" s="5">
        <v>282</v>
      </c>
      <c r="R2777" s="5">
        <v>11</v>
      </c>
      <c r="S2777" s="5">
        <v>277</v>
      </c>
    </row>
    <row r="2778" spans="1:19" ht="28" x14ac:dyDescent="0.15">
      <c r="A2778" s="2">
        <f>HYPERLINK("https://open-school.uspishnemisto.com.ua/school/140249/", 140249)</f>
        <v>140249</v>
      </c>
      <c r="B2778" s="3" t="s">
        <v>14678</v>
      </c>
      <c r="C2778" s="3" t="s">
        <v>31</v>
      </c>
      <c r="D2778" s="3" t="s">
        <v>175</v>
      </c>
      <c r="E2778" s="4" t="s">
        <v>22</v>
      </c>
      <c r="F2778" s="4" t="s">
        <v>14673</v>
      </c>
      <c r="G2778" s="4" t="s">
        <v>14674</v>
      </c>
      <c r="H2778" s="3" t="s">
        <v>13575</v>
      </c>
      <c r="I2778" s="3" t="s">
        <v>14675</v>
      </c>
      <c r="J2778" s="3" t="s">
        <v>14679</v>
      </c>
      <c r="K2778" s="3" t="s">
        <v>14680</v>
      </c>
      <c r="L2778" s="3" t="s">
        <v>14681</v>
      </c>
      <c r="M2778" s="4"/>
      <c r="N2778" s="3" t="s">
        <v>37</v>
      </c>
      <c r="O2778" s="3" t="s">
        <v>38</v>
      </c>
      <c r="P2778" s="5">
        <v>9</v>
      </c>
      <c r="Q2778" s="5">
        <v>212</v>
      </c>
      <c r="R2778" s="5">
        <v>9</v>
      </c>
      <c r="S2778" s="5">
        <v>205</v>
      </c>
    </row>
    <row r="2779" spans="1:19" ht="28" x14ac:dyDescent="0.15">
      <c r="A2779" s="2">
        <f>HYPERLINK("https://open-school.uspishnemisto.com.ua/school/140250/", 140250)</f>
        <v>140250</v>
      </c>
      <c r="B2779" s="3" t="s">
        <v>14682</v>
      </c>
      <c r="C2779" s="3" t="s">
        <v>31</v>
      </c>
      <c r="D2779" s="3" t="s">
        <v>32</v>
      </c>
      <c r="E2779" s="4" t="s">
        <v>22</v>
      </c>
      <c r="F2779" s="4" t="s">
        <v>14673</v>
      </c>
      <c r="G2779" s="4" t="s">
        <v>14674</v>
      </c>
      <c r="H2779" s="3" t="s">
        <v>13575</v>
      </c>
      <c r="I2779" s="3" t="s">
        <v>14675</v>
      </c>
      <c r="J2779" s="3" t="s">
        <v>14683</v>
      </c>
      <c r="K2779" s="3" t="s">
        <v>14684</v>
      </c>
      <c r="L2779" s="3"/>
      <c r="M2779" s="4"/>
      <c r="N2779" s="3" t="s">
        <v>37</v>
      </c>
      <c r="O2779" s="3" t="s">
        <v>38</v>
      </c>
      <c r="P2779" s="5">
        <v>11</v>
      </c>
      <c r="Q2779" s="5">
        <v>330</v>
      </c>
      <c r="R2779" s="5">
        <v>11</v>
      </c>
      <c r="S2779" s="5">
        <v>310</v>
      </c>
    </row>
    <row r="2780" spans="1:19" ht="28" x14ac:dyDescent="0.15">
      <c r="A2780" s="2">
        <f>HYPERLINK("https://open-school.uspishnemisto.com.ua/school/140251/", 140251)</f>
        <v>140251</v>
      </c>
      <c r="B2780" s="3" t="s">
        <v>14685</v>
      </c>
      <c r="C2780" s="3" t="s">
        <v>31</v>
      </c>
      <c r="D2780" s="3" t="s">
        <v>32</v>
      </c>
      <c r="E2780" s="4" t="s">
        <v>22</v>
      </c>
      <c r="F2780" s="4" t="s">
        <v>14653</v>
      </c>
      <c r="G2780" s="4" t="s">
        <v>14686</v>
      </c>
      <c r="H2780" s="3" t="s">
        <v>13575</v>
      </c>
      <c r="I2780" s="3" t="s">
        <v>14687</v>
      </c>
      <c r="J2780" s="3" t="s">
        <v>13230</v>
      </c>
      <c r="K2780" s="3" t="s">
        <v>14688</v>
      </c>
      <c r="L2780" s="3"/>
      <c r="M2780" s="4"/>
      <c r="N2780" s="3" t="s">
        <v>37</v>
      </c>
      <c r="O2780" s="3" t="s">
        <v>38</v>
      </c>
      <c r="P2780" s="5">
        <v>19</v>
      </c>
      <c r="Q2780" s="5">
        <v>431</v>
      </c>
      <c r="R2780" s="5">
        <v>19</v>
      </c>
      <c r="S2780" s="5">
        <v>418</v>
      </c>
    </row>
    <row r="2781" spans="1:19" ht="56" x14ac:dyDescent="0.15">
      <c r="A2781" s="2">
        <f>HYPERLINK("https://open-school.uspishnemisto.com.ua/school/140252/", 140252)</f>
        <v>140252</v>
      </c>
      <c r="B2781" s="3" t="s">
        <v>14689</v>
      </c>
      <c r="C2781" s="3" t="s">
        <v>54</v>
      </c>
      <c r="D2781" s="3" t="s">
        <v>175</v>
      </c>
      <c r="E2781" s="4" t="s">
        <v>22</v>
      </c>
      <c r="F2781" s="4" t="s">
        <v>14690</v>
      </c>
      <c r="G2781" s="4" t="s">
        <v>14691</v>
      </c>
      <c r="H2781" s="3" t="s">
        <v>13575</v>
      </c>
      <c r="I2781" s="3" t="s">
        <v>14692</v>
      </c>
      <c r="J2781" s="3" t="s">
        <v>14693</v>
      </c>
      <c r="K2781" s="3" t="s">
        <v>14694</v>
      </c>
      <c r="L2781" s="3"/>
      <c r="M2781" s="4"/>
      <c r="N2781" s="3" t="s">
        <v>37</v>
      </c>
      <c r="O2781" s="3" t="s">
        <v>38</v>
      </c>
      <c r="P2781" s="5">
        <v>9</v>
      </c>
      <c r="Q2781" s="5">
        <v>94</v>
      </c>
      <c r="R2781" s="5">
        <v>9</v>
      </c>
      <c r="S2781" s="5">
        <v>91</v>
      </c>
    </row>
    <row r="2782" spans="1:19" ht="28" x14ac:dyDescent="0.15">
      <c r="A2782" s="2">
        <f>HYPERLINK("https://open-school.uspishnemisto.com.ua/school/140253/", 140253)</f>
        <v>140253</v>
      </c>
      <c r="B2782" s="3" t="s">
        <v>14695</v>
      </c>
      <c r="C2782" s="3" t="s">
        <v>31</v>
      </c>
      <c r="D2782" s="3" t="s">
        <v>175</v>
      </c>
      <c r="E2782" s="4" t="s">
        <v>22</v>
      </c>
      <c r="F2782" s="4" t="s">
        <v>14696</v>
      </c>
      <c r="G2782" s="4" t="s">
        <v>14691</v>
      </c>
      <c r="H2782" s="3" t="s">
        <v>13575</v>
      </c>
      <c r="I2782" s="3" t="s">
        <v>14692</v>
      </c>
      <c r="J2782" s="3" t="s">
        <v>14697</v>
      </c>
      <c r="K2782" s="3" t="s">
        <v>14698</v>
      </c>
      <c r="L2782" s="3"/>
      <c r="M2782" s="4"/>
      <c r="N2782" s="3" t="s">
        <v>37</v>
      </c>
      <c r="O2782" s="3" t="s">
        <v>70</v>
      </c>
      <c r="P2782" s="5">
        <v>9</v>
      </c>
      <c r="Q2782" s="5">
        <v>208</v>
      </c>
      <c r="R2782" s="5">
        <v>10</v>
      </c>
      <c r="S2782" s="5">
        <v>212</v>
      </c>
    </row>
    <row r="2783" spans="1:19" ht="28" x14ac:dyDescent="0.15">
      <c r="A2783" s="2">
        <f>HYPERLINK("https://open-school.uspishnemisto.com.ua/school/140254/", 140254)</f>
        <v>140254</v>
      </c>
      <c r="B2783" s="3" t="s">
        <v>14699</v>
      </c>
      <c r="C2783" s="3" t="s">
        <v>31</v>
      </c>
      <c r="D2783" s="3" t="s">
        <v>175</v>
      </c>
      <c r="E2783" s="4" t="s">
        <v>22</v>
      </c>
      <c r="F2783" s="4" t="s">
        <v>14700</v>
      </c>
      <c r="G2783" s="4" t="s">
        <v>14691</v>
      </c>
      <c r="H2783" s="3" t="s">
        <v>13575</v>
      </c>
      <c r="I2783" s="3" t="s">
        <v>14692</v>
      </c>
      <c r="J2783" s="3" t="s">
        <v>14701</v>
      </c>
      <c r="K2783" s="3" t="s">
        <v>14702</v>
      </c>
      <c r="L2783" s="3"/>
      <c r="M2783" s="4"/>
      <c r="N2783" s="3" t="s">
        <v>37</v>
      </c>
      <c r="O2783" s="3" t="s">
        <v>38</v>
      </c>
      <c r="P2783" s="5">
        <v>10</v>
      </c>
      <c r="Q2783" s="5">
        <v>242</v>
      </c>
      <c r="R2783" s="5">
        <v>10</v>
      </c>
      <c r="S2783" s="5">
        <v>212</v>
      </c>
    </row>
    <row r="2784" spans="1:19" ht="28" x14ac:dyDescent="0.15">
      <c r="A2784" s="2">
        <f>HYPERLINK("https://open-school.uspishnemisto.com.ua/school/140255/", 140255)</f>
        <v>140255</v>
      </c>
      <c r="B2784" s="3" t="s">
        <v>14703</v>
      </c>
      <c r="C2784" s="3" t="s">
        <v>31</v>
      </c>
      <c r="D2784" s="3" t="s">
        <v>32</v>
      </c>
      <c r="E2784" s="4" t="s">
        <v>22</v>
      </c>
      <c r="F2784" s="4" t="s">
        <v>14704</v>
      </c>
      <c r="G2784" s="4" t="s">
        <v>14691</v>
      </c>
      <c r="H2784" s="3" t="s">
        <v>13575</v>
      </c>
      <c r="I2784" s="3" t="s">
        <v>14692</v>
      </c>
      <c r="J2784" s="3" t="s">
        <v>14705</v>
      </c>
      <c r="K2784" s="3" t="s">
        <v>14706</v>
      </c>
      <c r="L2784" s="3" t="s">
        <v>14707</v>
      </c>
      <c r="M2784" s="4"/>
      <c r="N2784" s="3" t="s">
        <v>128</v>
      </c>
      <c r="O2784" s="3" t="s">
        <v>70</v>
      </c>
      <c r="P2784" s="5">
        <v>31</v>
      </c>
      <c r="Q2784" s="5">
        <v>736</v>
      </c>
      <c r="R2784" s="5">
        <v>30</v>
      </c>
      <c r="S2784" s="5">
        <v>709</v>
      </c>
    </row>
    <row r="2785" spans="1:19" ht="28" x14ac:dyDescent="0.15">
      <c r="A2785" s="2">
        <f>HYPERLINK("https://open-school.uspishnemisto.com.ua/school/140256/", 140256)</f>
        <v>140256</v>
      </c>
      <c r="B2785" s="3" t="s">
        <v>14708</v>
      </c>
      <c r="C2785" s="3" t="s">
        <v>31</v>
      </c>
      <c r="D2785" s="3" t="s">
        <v>32</v>
      </c>
      <c r="E2785" s="4" t="s">
        <v>22</v>
      </c>
      <c r="F2785" s="4" t="s">
        <v>14709</v>
      </c>
      <c r="G2785" s="4" t="s">
        <v>14691</v>
      </c>
      <c r="H2785" s="3" t="s">
        <v>13575</v>
      </c>
      <c r="I2785" s="3" t="s">
        <v>14692</v>
      </c>
      <c r="J2785" s="3" t="s">
        <v>14710</v>
      </c>
      <c r="K2785" s="3" t="s">
        <v>14711</v>
      </c>
      <c r="L2785" s="3" t="s">
        <v>14712</v>
      </c>
      <c r="M2785" s="4"/>
      <c r="N2785" s="3" t="s">
        <v>128</v>
      </c>
      <c r="O2785" s="3" t="s">
        <v>70</v>
      </c>
      <c r="P2785" s="5">
        <v>29</v>
      </c>
      <c r="Q2785" s="5">
        <v>765</v>
      </c>
      <c r="R2785" s="5">
        <v>29</v>
      </c>
      <c r="S2785" s="5">
        <v>740</v>
      </c>
    </row>
    <row r="2786" spans="1:19" ht="28" x14ac:dyDescent="0.15">
      <c r="A2786" s="2">
        <f>HYPERLINK("https://open-school.uspishnemisto.com.ua/school/140257/", 140257)</f>
        <v>140257</v>
      </c>
      <c r="B2786" s="3" t="s">
        <v>14713</v>
      </c>
      <c r="C2786" s="3" t="s">
        <v>31</v>
      </c>
      <c r="D2786" s="3" t="s">
        <v>32</v>
      </c>
      <c r="E2786" s="4" t="s">
        <v>22</v>
      </c>
      <c r="F2786" s="4" t="s">
        <v>14700</v>
      </c>
      <c r="G2786" s="4" t="s">
        <v>14691</v>
      </c>
      <c r="H2786" s="3" t="s">
        <v>13575</v>
      </c>
      <c r="I2786" s="3" t="s">
        <v>14692</v>
      </c>
      <c r="J2786" s="3" t="s">
        <v>14714</v>
      </c>
      <c r="K2786" s="3" t="s">
        <v>14715</v>
      </c>
      <c r="L2786" s="3"/>
      <c r="M2786" s="4"/>
      <c r="N2786" s="3" t="s">
        <v>128</v>
      </c>
      <c r="O2786" s="3" t="s">
        <v>38</v>
      </c>
      <c r="P2786" s="5">
        <v>23</v>
      </c>
      <c r="Q2786" s="5">
        <v>589</v>
      </c>
      <c r="R2786" s="5">
        <v>22</v>
      </c>
      <c r="S2786" s="5">
        <v>568</v>
      </c>
    </row>
    <row r="2787" spans="1:19" ht="28" x14ac:dyDescent="0.15">
      <c r="A2787" s="2">
        <f>HYPERLINK("https://open-school.uspishnemisto.com.ua/school/140258/", 140258)</f>
        <v>140258</v>
      </c>
      <c r="B2787" s="3" t="s">
        <v>14716</v>
      </c>
      <c r="C2787" s="3" t="s">
        <v>31</v>
      </c>
      <c r="D2787" s="3" t="s">
        <v>32</v>
      </c>
      <c r="E2787" s="4" t="s">
        <v>22</v>
      </c>
      <c r="F2787" s="4" t="s">
        <v>14709</v>
      </c>
      <c r="G2787" s="4" t="s">
        <v>14691</v>
      </c>
      <c r="H2787" s="3" t="s">
        <v>13575</v>
      </c>
      <c r="I2787" s="3" t="s">
        <v>14692</v>
      </c>
      <c r="J2787" s="3" t="s">
        <v>14717</v>
      </c>
      <c r="K2787" s="3" t="s">
        <v>14718</v>
      </c>
      <c r="L2787" s="3" t="s">
        <v>14719</v>
      </c>
      <c r="M2787" s="4"/>
      <c r="N2787" s="3" t="s">
        <v>128</v>
      </c>
      <c r="O2787" s="3" t="s">
        <v>38</v>
      </c>
      <c r="P2787" s="5">
        <v>27</v>
      </c>
      <c r="Q2787" s="5">
        <v>673</v>
      </c>
      <c r="R2787" s="5">
        <v>22</v>
      </c>
      <c r="S2787" s="5">
        <v>545</v>
      </c>
    </row>
    <row r="2788" spans="1:19" ht="28" x14ac:dyDescent="0.15">
      <c r="A2788" s="2">
        <f>HYPERLINK("https://open-school.uspishnemisto.com.ua/school/140259/", 140259)</f>
        <v>140259</v>
      </c>
      <c r="B2788" s="3" t="s">
        <v>14720</v>
      </c>
      <c r="C2788" s="3" t="s">
        <v>31</v>
      </c>
      <c r="D2788" s="3" t="s">
        <v>32</v>
      </c>
      <c r="E2788" s="4" t="s">
        <v>22</v>
      </c>
      <c r="F2788" s="4" t="s">
        <v>14709</v>
      </c>
      <c r="G2788" s="4" t="s">
        <v>14691</v>
      </c>
      <c r="H2788" s="3" t="s">
        <v>13575</v>
      </c>
      <c r="I2788" s="3" t="s">
        <v>14692</v>
      </c>
      <c r="J2788" s="3" t="s">
        <v>14721</v>
      </c>
      <c r="K2788" s="3" t="s">
        <v>14722</v>
      </c>
      <c r="L2788" s="3" t="s">
        <v>14723</v>
      </c>
      <c r="M2788" s="4"/>
      <c r="N2788" s="3" t="s">
        <v>37</v>
      </c>
      <c r="O2788" s="3" t="s">
        <v>70</v>
      </c>
      <c r="P2788" s="5">
        <v>27</v>
      </c>
      <c r="Q2788" s="5">
        <v>677</v>
      </c>
      <c r="R2788" s="5">
        <v>27</v>
      </c>
      <c r="S2788" s="5">
        <v>676</v>
      </c>
    </row>
    <row r="2789" spans="1:19" ht="28" x14ac:dyDescent="0.15">
      <c r="A2789" s="2">
        <f>HYPERLINK("https://open-school.uspishnemisto.com.ua/school/140260/", 140260)</f>
        <v>140260</v>
      </c>
      <c r="B2789" s="3" t="s">
        <v>14724</v>
      </c>
      <c r="C2789" s="3" t="s">
        <v>31</v>
      </c>
      <c r="D2789" s="3" t="s">
        <v>32</v>
      </c>
      <c r="E2789" s="4" t="s">
        <v>22</v>
      </c>
      <c r="F2789" s="4" t="s">
        <v>14700</v>
      </c>
      <c r="G2789" s="4" t="s">
        <v>14691</v>
      </c>
      <c r="H2789" s="3" t="s">
        <v>13575</v>
      </c>
      <c r="I2789" s="3" t="s">
        <v>14692</v>
      </c>
      <c r="J2789" s="3" t="s">
        <v>14725</v>
      </c>
      <c r="K2789" s="3" t="s">
        <v>14726</v>
      </c>
      <c r="L2789" s="3" t="s">
        <v>14727</v>
      </c>
      <c r="M2789" s="4"/>
      <c r="N2789" s="3" t="s">
        <v>128</v>
      </c>
      <c r="O2789" s="3" t="s">
        <v>70</v>
      </c>
      <c r="P2789" s="5">
        <v>18</v>
      </c>
      <c r="Q2789" s="5">
        <v>368</v>
      </c>
      <c r="R2789" s="5">
        <v>17</v>
      </c>
      <c r="S2789" s="5">
        <v>352</v>
      </c>
    </row>
    <row r="2790" spans="1:19" ht="28" x14ac:dyDescent="0.15">
      <c r="A2790" s="2">
        <f>HYPERLINK("https://open-school.uspishnemisto.com.ua/school/140261/", 140261)</f>
        <v>140261</v>
      </c>
      <c r="B2790" s="3" t="s">
        <v>14728</v>
      </c>
      <c r="C2790" s="3" t="s">
        <v>31</v>
      </c>
      <c r="D2790" s="3" t="s">
        <v>32</v>
      </c>
      <c r="E2790" s="4" t="s">
        <v>22</v>
      </c>
      <c r="F2790" s="4" t="s">
        <v>14729</v>
      </c>
      <c r="G2790" s="4" t="s">
        <v>14691</v>
      </c>
      <c r="H2790" s="3" t="s">
        <v>13575</v>
      </c>
      <c r="I2790" s="3" t="s">
        <v>14692</v>
      </c>
      <c r="J2790" s="3" t="s">
        <v>14730</v>
      </c>
      <c r="K2790" s="3" t="s">
        <v>14731</v>
      </c>
      <c r="L2790" s="3" t="s">
        <v>14732</v>
      </c>
      <c r="M2790" s="4"/>
      <c r="N2790" s="3" t="s">
        <v>37</v>
      </c>
      <c r="O2790" s="3" t="s">
        <v>38</v>
      </c>
      <c r="P2790" s="5">
        <v>18</v>
      </c>
      <c r="Q2790" s="5">
        <v>384</v>
      </c>
      <c r="R2790" s="5">
        <v>18</v>
      </c>
      <c r="S2790" s="5">
        <v>362</v>
      </c>
    </row>
    <row r="2791" spans="1:19" ht="28" x14ac:dyDescent="0.15">
      <c r="A2791" s="2">
        <f>HYPERLINK("https://open-school.uspishnemisto.com.ua/school/140262/", 140262)</f>
        <v>140262</v>
      </c>
      <c r="B2791" s="3" t="s">
        <v>14733</v>
      </c>
      <c r="C2791" s="3" t="s">
        <v>31</v>
      </c>
      <c r="D2791" s="3" t="s">
        <v>32</v>
      </c>
      <c r="E2791" s="4" t="s">
        <v>22</v>
      </c>
      <c r="F2791" s="4" t="s">
        <v>14734</v>
      </c>
      <c r="G2791" s="4" t="s">
        <v>14691</v>
      </c>
      <c r="H2791" s="3" t="s">
        <v>13575</v>
      </c>
      <c r="I2791" s="3" t="s">
        <v>14692</v>
      </c>
      <c r="J2791" s="3" t="s">
        <v>14735</v>
      </c>
      <c r="K2791" s="3" t="s">
        <v>14736</v>
      </c>
      <c r="L2791" s="3" t="s">
        <v>14737</v>
      </c>
      <c r="M2791" s="4"/>
      <c r="N2791" s="3" t="s">
        <v>967</v>
      </c>
      <c r="O2791" s="3" t="s">
        <v>46</v>
      </c>
      <c r="P2791" s="5">
        <v>31</v>
      </c>
      <c r="Q2791" s="5">
        <v>853</v>
      </c>
      <c r="R2791" s="5">
        <v>31</v>
      </c>
      <c r="S2791" s="5">
        <v>843</v>
      </c>
    </row>
    <row r="2792" spans="1:19" ht="28" x14ac:dyDescent="0.15">
      <c r="A2792" s="2">
        <f>HYPERLINK("https://open-school.uspishnemisto.com.ua/school/140263/", 140263)</f>
        <v>140263</v>
      </c>
      <c r="B2792" s="3" t="s">
        <v>14738</v>
      </c>
      <c r="C2792" s="3" t="s">
        <v>31</v>
      </c>
      <c r="D2792" s="3" t="s">
        <v>32</v>
      </c>
      <c r="E2792" s="4" t="s">
        <v>22</v>
      </c>
      <c r="F2792" s="4" t="s">
        <v>14734</v>
      </c>
      <c r="G2792" s="4" t="s">
        <v>14691</v>
      </c>
      <c r="H2792" s="3" t="s">
        <v>13575</v>
      </c>
      <c r="I2792" s="3" t="s">
        <v>14692</v>
      </c>
      <c r="J2792" s="3" t="s">
        <v>14739</v>
      </c>
      <c r="K2792" s="3" t="s">
        <v>14740</v>
      </c>
      <c r="L2792" s="3" t="s">
        <v>14741</v>
      </c>
      <c r="M2792" s="4"/>
      <c r="N2792" s="3" t="s">
        <v>128</v>
      </c>
      <c r="O2792" s="3" t="s">
        <v>70</v>
      </c>
      <c r="P2792" s="5">
        <v>29</v>
      </c>
      <c r="Q2792" s="5">
        <v>808</v>
      </c>
      <c r="R2792" s="5">
        <v>26</v>
      </c>
      <c r="S2792" s="5">
        <v>756</v>
      </c>
    </row>
    <row r="2793" spans="1:19" ht="28" x14ac:dyDescent="0.15">
      <c r="A2793" s="2">
        <f>HYPERLINK("https://open-school.uspishnemisto.com.ua/school/140264/", 140264)</f>
        <v>140264</v>
      </c>
      <c r="B2793" s="3" t="s">
        <v>14742</v>
      </c>
      <c r="C2793" s="3" t="s">
        <v>31</v>
      </c>
      <c r="D2793" s="3" t="s">
        <v>32</v>
      </c>
      <c r="E2793" s="4" t="s">
        <v>22</v>
      </c>
      <c r="F2793" s="4" t="s">
        <v>14743</v>
      </c>
      <c r="G2793" s="4" t="s">
        <v>14691</v>
      </c>
      <c r="H2793" s="3" t="s">
        <v>13575</v>
      </c>
      <c r="I2793" s="3" t="s">
        <v>14692</v>
      </c>
      <c r="J2793" s="3" t="s">
        <v>2561</v>
      </c>
      <c r="K2793" s="3" t="s">
        <v>14744</v>
      </c>
      <c r="L2793" s="3" t="s">
        <v>14745</v>
      </c>
      <c r="M2793" s="4"/>
      <c r="N2793" s="3" t="s">
        <v>128</v>
      </c>
      <c r="O2793" s="3" t="s">
        <v>38</v>
      </c>
      <c r="P2793" s="5">
        <v>22</v>
      </c>
      <c r="Q2793" s="5">
        <v>561</v>
      </c>
      <c r="R2793" s="5">
        <v>22</v>
      </c>
      <c r="S2793" s="5">
        <v>576</v>
      </c>
    </row>
    <row r="2794" spans="1:19" ht="28" x14ac:dyDescent="0.15">
      <c r="A2794" s="2">
        <f>HYPERLINK("https://open-school.uspishnemisto.com.ua/school/140265/", 140265)</f>
        <v>140265</v>
      </c>
      <c r="B2794" s="3" t="s">
        <v>14746</v>
      </c>
      <c r="C2794" s="3" t="s">
        <v>31</v>
      </c>
      <c r="D2794" s="3" t="s">
        <v>32</v>
      </c>
      <c r="E2794" s="4" t="s">
        <v>22</v>
      </c>
      <c r="F2794" s="4" t="s">
        <v>14747</v>
      </c>
      <c r="G2794" s="4" t="s">
        <v>14691</v>
      </c>
      <c r="H2794" s="3" t="s">
        <v>13575</v>
      </c>
      <c r="I2794" s="3" t="s">
        <v>14692</v>
      </c>
      <c r="J2794" s="3" t="s">
        <v>14748</v>
      </c>
      <c r="K2794" s="3" t="s">
        <v>14749</v>
      </c>
      <c r="L2794" s="3" t="s">
        <v>14750</v>
      </c>
      <c r="M2794" s="4"/>
      <c r="N2794" s="3" t="s">
        <v>128</v>
      </c>
      <c r="O2794" s="3" t="s">
        <v>70</v>
      </c>
      <c r="P2794" s="5">
        <v>20</v>
      </c>
      <c r="Q2794" s="5">
        <v>503</v>
      </c>
      <c r="R2794" s="5">
        <v>19</v>
      </c>
      <c r="S2794" s="5">
        <v>475</v>
      </c>
    </row>
    <row r="2795" spans="1:19" ht="28" x14ac:dyDescent="0.15">
      <c r="A2795" s="2">
        <f>HYPERLINK("https://open-school.uspishnemisto.com.ua/school/140266/", 140266)</f>
        <v>140266</v>
      </c>
      <c r="B2795" s="3" t="s">
        <v>14751</v>
      </c>
      <c r="C2795" s="3" t="s">
        <v>31</v>
      </c>
      <c r="D2795" s="3" t="s">
        <v>32</v>
      </c>
      <c r="E2795" s="4" t="s">
        <v>22</v>
      </c>
      <c r="F2795" s="4" t="s">
        <v>14752</v>
      </c>
      <c r="G2795" s="4" t="s">
        <v>14691</v>
      </c>
      <c r="H2795" s="3" t="s">
        <v>13575</v>
      </c>
      <c r="I2795" s="3" t="s">
        <v>14692</v>
      </c>
      <c r="J2795" s="3" t="s">
        <v>14753</v>
      </c>
      <c r="K2795" s="3" t="s">
        <v>14754</v>
      </c>
      <c r="L2795" s="3" t="s">
        <v>14755</v>
      </c>
      <c r="M2795" s="4"/>
      <c r="N2795" s="3" t="s">
        <v>37</v>
      </c>
      <c r="O2795" s="3" t="s">
        <v>38</v>
      </c>
      <c r="P2795" s="5">
        <v>26</v>
      </c>
      <c r="Q2795" s="5">
        <v>598</v>
      </c>
      <c r="R2795" s="5">
        <v>25</v>
      </c>
      <c r="S2795" s="5">
        <v>589</v>
      </c>
    </row>
    <row r="2796" spans="1:19" ht="28" x14ac:dyDescent="0.15">
      <c r="A2796" s="2">
        <f>HYPERLINK("https://open-school.uspishnemisto.com.ua/school/140267/", 140267)</f>
        <v>140267</v>
      </c>
      <c r="B2796" s="3" t="s">
        <v>14756</v>
      </c>
      <c r="C2796" s="3" t="s">
        <v>31</v>
      </c>
      <c r="D2796" s="3" t="s">
        <v>32</v>
      </c>
      <c r="E2796" s="4" t="s">
        <v>22</v>
      </c>
      <c r="F2796" s="4" t="s">
        <v>14704</v>
      </c>
      <c r="G2796" s="4" t="s">
        <v>14691</v>
      </c>
      <c r="H2796" s="3" t="s">
        <v>13575</v>
      </c>
      <c r="I2796" s="3" t="s">
        <v>14692</v>
      </c>
      <c r="J2796" s="3" t="s">
        <v>14757</v>
      </c>
      <c r="K2796" s="3" t="s">
        <v>14758</v>
      </c>
      <c r="L2796" s="3" t="s">
        <v>14759</v>
      </c>
      <c r="M2796" s="4"/>
      <c r="N2796" s="3" t="s">
        <v>128</v>
      </c>
      <c r="O2796" s="3" t="s">
        <v>70</v>
      </c>
      <c r="P2796" s="5">
        <v>32</v>
      </c>
      <c r="Q2796" s="5">
        <v>781</v>
      </c>
      <c r="R2796" s="5">
        <v>31</v>
      </c>
      <c r="S2796" s="5">
        <v>755</v>
      </c>
    </row>
    <row r="2797" spans="1:19" ht="28" x14ac:dyDescent="0.15">
      <c r="A2797" s="2">
        <f>HYPERLINK("https://open-school.uspishnemisto.com.ua/school/140268/", 140268)</f>
        <v>140268</v>
      </c>
      <c r="B2797" s="3" t="s">
        <v>14760</v>
      </c>
      <c r="C2797" s="3" t="s">
        <v>31</v>
      </c>
      <c r="D2797" s="3" t="s">
        <v>32</v>
      </c>
      <c r="E2797" s="4" t="s">
        <v>22</v>
      </c>
      <c r="F2797" s="4" t="s">
        <v>14734</v>
      </c>
      <c r="G2797" s="4" t="s">
        <v>14691</v>
      </c>
      <c r="H2797" s="3" t="s">
        <v>13575</v>
      </c>
      <c r="I2797" s="3" t="s">
        <v>14692</v>
      </c>
      <c r="J2797" s="3" t="s">
        <v>14761</v>
      </c>
      <c r="K2797" s="3" t="s">
        <v>14762</v>
      </c>
      <c r="L2797" s="3" t="s">
        <v>14763</v>
      </c>
      <c r="M2797" s="4"/>
      <c r="N2797" s="3" t="s">
        <v>128</v>
      </c>
      <c r="O2797" s="3" t="s">
        <v>197</v>
      </c>
      <c r="P2797" s="5">
        <v>20</v>
      </c>
      <c r="Q2797" s="5">
        <v>464</v>
      </c>
      <c r="R2797" s="5">
        <v>20</v>
      </c>
      <c r="S2797" s="5">
        <v>462</v>
      </c>
    </row>
    <row r="2798" spans="1:19" ht="28" x14ac:dyDescent="0.15">
      <c r="A2798" s="2">
        <f>HYPERLINK("https://open-school.uspishnemisto.com.ua/school/140269/", 140269)</f>
        <v>140269</v>
      </c>
      <c r="B2798" s="3" t="s">
        <v>14764</v>
      </c>
      <c r="C2798" s="3" t="s">
        <v>293</v>
      </c>
      <c r="D2798" s="3" t="s">
        <v>32</v>
      </c>
      <c r="E2798" s="4" t="s">
        <v>22</v>
      </c>
      <c r="F2798" s="4" t="s">
        <v>14765</v>
      </c>
      <c r="G2798" s="4" t="s">
        <v>14691</v>
      </c>
      <c r="H2798" s="3" t="s">
        <v>13575</v>
      </c>
      <c r="I2798" s="3" t="s">
        <v>14692</v>
      </c>
      <c r="J2798" s="3" t="s">
        <v>14766</v>
      </c>
      <c r="K2798" s="3" t="s">
        <v>14767</v>
      </c>
      <c r="L2798" s="3"/>
      <c r="M2798" s="4"/>
      <c r="N2798" s="3" t="s">
        <v>967</v>
      </c>
      <c r="O2798" s="3" t="s">
        <v>46</v>
      </c>
      <c r="P2798" s="5">
        <v>12</v>
      </c>
      <c r="Q2798" s="5">
        <v>280</v>
      </c>
      <c r="R2798" s="5">
        <v>12</v>
      </c>
      <c r="S2798" s="5">
        <v>271</v>
      </c>
    </row>
    <row r="2799" spans="1:19" ht="28" x14ac:dyDescent="0.15">
      <c r="A2799" s="2">
        <f>HYPERLINK("https://open-school.uspishnemisto.com.ua/school/140270/", 140270)</f>
        <v>140270</v>
      </c>
      <c r="B2799" s="3" t="s">
        <v>14768</v>
      </c>
      <c r="C2799" s="3" t="s">
        <v>181</v>
      </c>
      <c r="D2799" s="3" t="s">
        <v>32</v>
      </c>
      <c r="E2799" s="4" t="s">
        <v>22</v>
      </c>
      <c r="F2799" s="4" t="s">
        <v>14734</v>
      </c>
      <c r="G2799" s="4" t="s">
        <v>14691</v>
      </c>
      <c r="H2799" s="3" t="s">
        <v>13575</v>
      </c>
      <c r="I2799" s="3" t="s">
        <v>14692</v>
      </c>
      <c r="J2799" s="3" t="s">
        <v>14769</v>
      </c>
      <c r="K2799" s="3" t="s">
        <v>14770</v>
      </c>
      <c r="L2799" s="3" t="s">
        <v>14771</v>
      </c>
      <c r="M2799" s="4" t="s">
        <v>14772</v>
      </c>
      <c r="N2799" s="3" t="s">
        <v>37</v>
      </c>
      <c r="O2799" s="3" t="s">
        <v>52</v>
      </c>
      <c r="P2799" s="5">
        <v>17</v>
      </c>
      <c r="Q2799" s="5">
        <v>151</v>
      </c>
      <c r="R2799" s="5">
        <v>18</v>
      </c>
      <c r="S2799" s="5">
        <v>148</v>
      </c>
    </row>
    <row r="2800" spans="1:19" ht="28" x14ac:dyDescent="0.15">
      <c r="A2800" s="2">
        <f>HYPERLINK("https://open-school.uspishnemisto.com.ua/school/140271/", 140271)</f>
        <v>140271</v>
      </c>
      <c r="B2800" s="3" t="s">
        <v>14773</v>
      </c>
      <c r="C2800" s="3" t="s">
        <v>181</v>
      </c>
      <c r="D2800" s="3" t="s">
        <v>32</v>
      </c>
      <c r="E2800" s="4" t="s">
        <v>22</v>
      </c>
      <c r="F2800" s="4" t="s">
        <v>14709</v>
      </c>
      <c r="G2800" s="4" t="s">
        <v>14691</v>
      </c>
      <c r="H2800" s="3" t="s">
        <v>13575</v>
      </c>
      <c r="I2800" s="3" t="s">
        <v>14692</v>
      </c>
      <c r="J2800" s="3" t="s">
        <v>14774</v>
      </c>
      <c r="K2800" s="3" t="s">
        <v>14775</v>
      </c>
      <c r="L2800" s="3"/>
      <c r="M2800" s="4" t="s">
        <v>14776</v>
      </c>
      <c r="N2800" s="3" t="s">
        <v>37</v>
      </c>
      <c r="O2800" s="3"/>
      <c r="P2800" s="5">
        <v>19</v>
      </c>
      <c r="Q2800" s="5">
        <v>176</v>
      </c>
      <c r="R2800" s="5">
        <v>18</v>
      </c>
      <c r="S2800" s="5">
        <v>170</v>
      </c>
    </row>
    <row r="2801" spans="1:19" ht="28" x14ac:dyDescent="0.15">
      <c r="A2801" s="2">
        <f>HYPERLINK("https://open-school.uspishnemisto.com.ua/school/140272/", 140272)</f>
        <v>140272</v>
      </c>
      <c r="B2801" s="3" t="s">
        <v>14777</v>
      </c>
      <c r="C2801" s="3" t="s">
        <v>188</v>
      </c>
      <c r="D2801" s="3" t="s">
        <v>32</v>
      </c>
      <c r="E2801" s="4" t="s">
        <v>22</v>
      </c>
      <c r="F2801" s="4" t="s">
        <v>14709</v>
      </c>
      <c r="G2801" s="4" t="s">
        <v>14691</v>
      </c>
      <c r="H2801" s="3" t="s">
        <v>13575</v>
      </c>
      <c r="I2801" s="3" t="s">
        <v>14692</v>
      </c>
      <c r="J2801" s="3" t="s">
        <v>14778</v>
      </c>
      <c r="K2801" s="3" t="s">
        <v>14779</v>
      </c>
      <c r="L2801" s="3" t="s">
        <v>14780</v>
      </c>
      <c r="M2801" s="4"/>
      <c r="N2801" s="3" t="s">
        <v>37</v>
      </c>
      <c r="O2801" s="3" t="s">
        <v>70</v>
      </c>
      <c r="P2801" s="5">
        <v>11</v>
      </c>
      <c r="Q2801" s="5">
        <v>339</v>
      </c>
      <c r="R2801" s="5">
        <v>11</v>
      </c>
      <c r="S2801" s="5">
        <v>307</v>
      </c>
    </row>
    <row r="2802" spans="1:19" ht="56" x14ac:dyDescent="0.15">
      <c r="A2802" s="2">
        <f>HYPERLINK("https://open-school.uspishnemisto.com.ua/school/140273/", 140273)</f>
        <v>140273</v>
      </c>
      <c r="B2802" s="3" t="s">
        <v>14781</v>
      </c>
      <c r="C2802" s="3" t="s">
        <v>31</v>
      </c>
      <c r="D2802" s="3" t="s">
        <v>175</v>
      </c>
      <c r="E2802" s="4" t="s">
        <v>22</v>
      </c>
      <c r="F2802" s="4" t="s">
        <v>14782</v>
      </c>
      <c r="G2802" s="4" t="s">
        <v>14691</v>
      </c>
      <c r="H2802" s="3" t="s">
        <v>13575</v>
      </c>
      <c r="I2802" s="3" t="s">
        <v>14692</v>
      </c>
      <c r="J2802" s="3" t="s">
        <v>14783</v>
      </c>
      <c r="K2802" s="3" t="s">
        <v>14784</v>
      </c>
      <c r="L2802" s="3"/>
      <c r="M2802" s="4"/>
      <c r="N2802" s="3" t="s">
        <v>37</v>
      </c>
      <c r="O2802" s="3" t="s">
        <v>38</v>
      </c>
      <c r="P2802" s="5">
        <v>9</v>
      </c>
      <c r="Q2802" s="5">
        <v>108</v>
      </c>
      <c r="R2802" s="5">
        <v>9</v>
      </c>
      <c r="S2802" s="5">
        <v>106</v>
      </c>
    </row>
    <row r="2803" spans="1:19" ht="28" x14ac:dyDescent="0.15">
      <c r="A2803" s="2">
        <f>HYPERLINK("https://open-school.uspishnemisto.com.ua/school/140274/", 140274)</f>
        <v>140274</v>
      </c>
      <c r="B2803" s="3" t="s">
        <v>14785</v>
      </c>
      <c r="C2803" s="3" t="s">
        <v>2634</v>
      </c>
      <c r="D2803" s="3" t="s">
        <v>175</v>
      </c>
      <c r="E2803" s="4" t="s">
        <v>22</v>
      </c>
      <c r="F2803" s="4" t="s">
        <v>14786</v>
      </c>
      <c r="G2803" s="4" t="s">
        <v>14787</v>
      </c>
      <c r="H2803" s="3" t="s">
        <v>13575</v>
      </c>
      <c r="I2803" s="3" t="s">
        <v>14788</v>
      </c>
      <c r="J2803" s="3" t="s">
        <v>14789</v>
      </c>
      <c r="K2803" s="3" t="s">
        <v>14790</v>
      </c>
      <c r="L2803" s="3" t="s">
        <v>14791</v>
      </c>
      <c r="M2803" s="4" t="s">
        <v>14792</v>
      </c>
      <c r="N2803" s="3" t="s">
        <v>37</v>
      </c>
      <c r="O2803" s="3" t="s">
        <v>38</v>
      </c>
      <c r="P2803" s="5">
        <v>10</v>
      </c>
      <c r="Q2803" s="5">
        <v>204</v>
      </c>
      <c r="R2803" s="5">
        <v>10</v>
      </c>
      <c r="S2803" s="5">
        <v>203</v>
      </c>
    </row>
    <row r="2804" spans="1:19" ht="28" x14ac:dyDescent="0.15">
      <c r="A2804" s="2">
        <f>HYPERLINK("https://open-school.uspishnemisto.com.ua/school/140275/", 140275)</f>
        <v>140275</v>
      </c>
      <c r="B2804" s="3" t="s">
        <v>14793</v>
      </c>
      <c r="C2804" s="3" t="s">
        <v>31</v>
      </c>
      <c r="D2804" s="3" t="s">
        <v>32</v>
      </c>
      <c r="E2804" s="4" t="s">
        <v>22</v>
      </c>
      <c r="F2804" s="4" t="s">
        <v>14786</v>
      </c>
      <c r="G2804" s="4" t="s">
        <v>14787</v>
      </c>
      <c r="H2804" s="3" t="s">
        <v>13575</v>
      </c>
      <c r="I2804" s="3" t="s">
        <v>14788</v>
      </c>
      <c r="J2804" s="3" t="s">
        <v>14794</v>
      </c>
      <c r="K2804" s="3" t="s">
        <v>14795</v>
      </c>
      <c r="L2804" s="3" t="s">
        <v>14796</v>
      </c>
      <c r="M2804" s="4"/>
      <c r="N2804" s="3" t="s">
        <v>37</v>
      </c>
      <c r="O2804" s="3" t="s">
        <v>38</v>
      </c>
      <c r="P2804" s="5">
        <v>12</v>
      </c>
      <c r="Q2804" s="5">
        <v>319</v>
      </c>
      <c r="R2804" s="5">
        <v>12</v>
      </c>
      <c r="S2804" s="5">
        <v>346</v>
      </c>
    </row>
    <row r="2805" spans="1:19" ht="28" x14ac:dyDescent="0.15">
      <c r="A2805" s="2">
        <f>HYPERLINK("https://open-school.uspishnemisto.com.ua/school/140276/", 140276)</f>
        <v>140276</v>
      </c>
      <c r="B2805" s="3" t="s">
        <v>14797</v>
      </c>
      <c r="C2805" s="3" t="s">
        <v>31</v>
      </c>
      <c r="D2805" s="3" t="s">
        <v>32</v>
      </c>
      <c r="E2805" s="4" t="s">
        <v>22</v>
      </c>
      <c r="F2805" s="4" t="s">
        <v>14798</v>
      </c>
      <c r="G2805" s="4" t="s">
        <v>14799</v>
      </c>
      <c r="H2805" s="3" t="s">
        <v>13575</v>
      </c>
      <c r="I2805" s="3" t="s">
        <v>14800</v>
      </c>
      <c r="J2805" s="3" t="s">
        <v>14801</v>
      </c>
      <c r="K2805" s="3" t="s">
        <v>14802</v>
      </c>
      <c r="L2805" s="3" t="s">
        <v>14803</v>
      </c>
      <c r="M2805" s="4"/>
      <c r="N2805" s="3" t="s">
        <v>128</v>
      </c>
      <c r="O2805" s="3" t="s">
        <v>721</v>
      </c>
      <c r="P2805" s="5">
        <v>30</v>
      </c>
      <c r="Q2805" s="5">
        <v>728</v>
      </c>
      <c r="R2805" s="5">
        <v>28</v>
      </c>
      <c r="S2805" s="5">
        <v>700</v>
      </c>
    </row>
    <row r="2806" spans="1:19" ht="56" x14ac:dyDescent="0.15">
      <c r="A2806" s="2">
        <f>HYPERLINK("https://open-school.uspishnemisto.com.ua/school/140277/", 140277)</f>
        <v>140277</v>
      </c>
      <c r="B2806" s="3" t="s">
        <v>14804</v>
      </c>
      <c r="C2806" s="3" t="s">
        <v>54</v>
      </c>
      <c r="D2806" s="3" t="s">
        <v>32</v>
      </c>
      <c r="E2806" s="4" t="s">
        <v>22</v>
      </c>
      <c r="F2806" s="4" t="s">
        <v>14798</v>
      </c>
      <c r="G2806" s="4" t="s">
        <v>14799</v>
      </c>
      <c r="H2806" s="3" t="s">
        <v>13575</v>
      </c>
      <c r="I2806" s="3" t="s">
        <v>14800</v>
      </c>
      <c r="J2806" s="3" t="s">
        <v>2052</v>
      </c>
      <c r="K2806" s="3" t="s">
        <v>14805</v>
      </c>
      <c r="L2806" s="3"/>
      <c r="M2806" s="4"/>
      <c r="N2806" s="3" t="s">
        <v>37</v>
      </c>
      <c r="O2806" s="3" t="s">
        <v>38</v>
      </c>
      <c r="P2806" s="5">
        <v>24</v>
      </c>
      <c r="Q2806" s="5">
        <v>579</v>
      </c>
      <c r="R2806" s="5">
        <v>22</v>
      </c>
      <c r="S2806" s="5">
        <v>526</v>
      </c>
    </row>
    <row r="2807" spans="1:19" ht="42" x14ac:dyDescent="0.15">
      <c r="A2807" s="2">
        <f>HYPERLINK("https://open-school.uspishnemisto.com.ua/school/140278/", 140278)</f>
        <v>140278</v>
      </c>
      <c r="B2807" s="3" t="s">
        <v>14806</v>
      </c>
      <c r="C2807" s="3" t="s">
        <v>54</v>
      </c>
      <c r="D2807" s="3" t="s">
        <v>32</v>
      </c>
      <c r="E2807" s="4" t="s">
        <v>22</v>
      </c>
      <c r="F2807" s="4" t="s">
        <v>14798</v>
      </c>
      <c r="G2807" s="4" t="s">
        <v>14799</v>
      </c>
      <c r="H2807" s="3" t="s">
        <v>13575</v>
      </c>
      <c r="I2807" s="3" t="s">
        <v>14800</v>
      </c>
      <c r="J2807" s="3" t="s">
        <v>14807</v>
      </c>
      <c r="K2807" s="3" t="s">
        <v>14808</v>
      </c>
      <c r="L2807" s="3" t="s">
        <v>14809</v>
      </c>
      <c r="M2807" s="4"/>
      <c r="N2807" s="3" t="s">
        <v>37</v>
      </c>
      <c r="O2807" s="3" t="s">
        <v>197</v>
      </c>
      <c r="P2807" s="5">
        <v>19</v>
      </c>
      <c r="Q2807" s="5">
        <v>413</v>
      </c>
      <c r="R2807" s="5">
        <v>18</v>
      </c>
      <c r="S2807" s="5">
        <v>421</v>
      </c>
    </row>
    <row r="2808" spans="1:19" ht="28" x14ac:dyDescent="0.15">
      <c r="A2808" s="2">
        <f>HYPERLINK("https://open-school.uspishnemisto.com.ua/school/140279/", 140279)</f>
        <v>140279</v>
      </c>
      <c r="B2808" s="3" t="s">
        <v>14810</v>
      </c>
      <c r="C2808" s="3" t="s">
        <v>31</v>
      </c>
      <c r="D2808" s="3" t="s">
        <v>32</v>
      </c>
      <c r="E2808" s="4" t="s">
        <v>22</v>
      </c>
      <c r="F2808" s="4" t="s">
        <v>14811</v>
      </c>
      <c r="G2808" s="4" t="s">
        <v>14812</v>
      </c>
      <c r="H2808" s="3" t="s">
        <v>13575</v>
      </c>
      <c r="I2808" s="3" t="s">
        <v>1291</v>
      </c>
      <c r="J2808" s="3" t="s">
        <v>14813</v>
      </c>
      <c r="K2808" s="3" t="s">
        <v>14814</v>
      </c>
      <c r="L2808" s="3"/>
      <c r="M2808" s="4"/>
      <c r="N2808" s="3" t="s">
        <v>37</v>
      </c>
      <c r="O2808" s="3" t="s">
        <v>38</v>
      </c>
      <c r="P2808" s="5">
        <v>22</v>
      </c>
      <c r="Q2808" s="5">
        <v>434</v>
      </c>
      <c r="R2808" s="5">
        <v>22</v>
      </c>
      <c r="S2808" s="5">
        <v>423</v>
      </c>
    </row>
    <row r="2809" spans="1:19" ht="42" x14ac:dyDescent="0.15">
      <c r="A2809" s="2">
        <f>HYPERLINK("https://open-school.uspishnemisto.com.ua/school/140280/", 140280)</f>
        <v>140280</v>
      </c>
      <c r="B2809" s="3" t="s">
        <v>14815</v>
      </c>
      <c r="C2809" s="3" t="s">
        <v>54</v>
      </c>
      <c r="D2809" s="3" t="s">
        <v>175</v>
      </c>
      <c r="E2809" s="4" t="s">
        <v>22</v>
      </c>
      <c r="F2809" s="4" t="s">
        <v>14816</v>
      </c>
      <c r="G2809" s="4" t="s">
        <v>14817</v>
      </c>
      <c r="H2809" s="3" t="s">
        <v>13575</v>
      </c>
      <c r="I2809" s="3" t="s">
        <v>14818</v>
      </c>
      <c r="J2809" s="3" t="s">
        <v>14819</v>
      </c>
      <c r="K2809" s="3" t="s">
        <v>14820</v>
      </c>
      <c r="L2809" s="3"/>
      <c r="M2809" s="4"/>
      <c r="N2809" s="3" t="s">
        <v>37</v>
      </c>
      <c r="O2809" s="3" t="s">
        <v>70</v>
      </c>
      <c r="P2809" s="5">
        <v>7</v>
      </c>
      <c r="Q2809" s="5">
        <v>43</v>
      </c>
      <c r="R2809" s="5">
        <v>5</v>
      </c>
      <c r="S2809" s="5">
        <v>39</v>
      </c>
    </row>
    <row r="2810" spans="1:19" ht="56" x14ac:dyDescent="0.15">
      <c r="A2810" s="2">
        <f>HYPERLINK("https://open-school.uspishnemisto.com.ua/school/140281/", 140281)</f>
        <v>140281</v>
      </c>
      <c r="B2810" s="3" t="s">
        <v>14821</v>
      </c>
      <c r="C2810" s="3" t="s">
        <v>54</v>
      </c>
      <c r="D2810" s="3" t="s">
        <v>32</v>
      </c>
      <c r="E2810" s="4" t="s">
        <v>22</v>
      </c>
      <c r="F2810" s="4" t="s">
        <v>14822</v>
      </c>
      <c r="G2810" s="4" t="s">
        <v>14823</v>
      </c>
      <c r="H2810" s="3" t="s">
        <v>13575</v>
      </c>
      <c r="I2810" s="3" t="s">
        <v>12209</v>
      </c>
      <c r="J2810" s="3" t="s">
        <v>14824</v>
      </c>
      <c r="K2810" s="3" t="s">
        <v>14825</v>
      </c>
      <c r="L2810" s="3"/>
      <c r="M2810" s="4"/>
      <c r="N2810" s="3" t="s">
        <v>37</v>
      </c>
      <c r="O2810" s="3" t="s">
        <v>38</v>
      </c>
      <c r="P2810" s="5">
        <v>10</v>
      </c>
      <c r="Q2810" s="5">
        <v>66</v>
      </c>
      <c r="R2810" s="5">
        <v>9</v>
      </c>
      <c r="S2810" s="5">
        <v>64</v>
      </c>
    </row>
    <row r="2811" spans="1:19" ht="28" x14ac:dyDescent="0.15">
      <c r="A2811" s="2">
        <f>HYPERLINK("https://open-school.uspishnemisto.com.ua/school/140282/", 140282)</f>
        <v>140282</v>
      </c>
      <c r="B2811" s="3" t="s">
        <v>14826</v>
      </c>
      <c r="C2811" s="3" t="s">
        <v>31</v>
      </c>
      <c r="D2811" s="3" t="s">
        <v>32</v>
      </c>
      <c r="E2811" s="4" t="s">
        <v>22</v>
      </c>
      <c r="F2811" s="4" t="s">
        <v>14827</v>
      </c>
      <c r="G2811" s="4" t="s">
        <v>14828</v>
      </c>
      <c r="H2811" s="3" t="s">
        <v>13575</v>
      </c>
      <c r="I2811" s="3" t="s">
        <v>14829</v>
      </c>
      <c r="J2811" s="3" t="s">
        <v>297</v>
      </c>
      <c r="K2811" s="3" t="s">
        <v>14830</v>
      </c>
      <c r="L2811" s="3"/>
      <c r="M2811" s="4"/>
      <c r="N2811" s="3" t="s">
        <v>37</v>
      </c>
      <c r="O2811" s="3" t="s">
        <v>112</v>
      </c>
      <c r="P2811" s="5">
        <v>9</v>
      </c>
      <c r="Q2811" s="5">
        <v>60</v>
      </c>
      <c r="R2811" s="5">
        <v>8</v>
      </c>
      <c r="S2811" s="5">
        <v>58</v>
      </c>
    </row>
    <row r="2812" spans="1:19" ht="28" x14ac:dyDescent="0.15">
      <c r="A2812" s="2">
        <f>HYPERLINK("https://open-school.uspishnemisto.com.ua/school/140283/", 140283)</f>
        <v>140283</v>
      </c>
      <c r="B2812" s="3" t="s">
        <v>14831</v>
      </c>
      <c r="C2812" s="3" t="s">
        <v>31</v>
      </c>
      <c r="D2812" s="3" t="s">
        <v>32</v>
      </c>
      <c r="E2812" s="4" t="s">
        <v>22</v>
      </c>
      <c r="F2812" s="4" t="s">
        <v>14832</v>
      </c>
      <c r="G2812" s="4" t="s">
        <v>14833</v>
      </c>
      <c r="H2812" s="3" t="s">
        <v>13575</v>
      </c>
      <c r="I2812" s="3" t="s">
        <v>13000</v>
      </c>
      <c r="J2812" s="3" t="s">
        <v>297</v>
      </c>
      <c r="K2812" s="3" t="s">
        <v>14834</v>
      </c>
      <c r="L2812" s="3"/>
      <c r="M2812" s="4"/>
      <c r="N2812" s="3" t="s">
        <v>37</v>
      </c>
      <c r="O2812" s="3" t="s">
        <v>38</v>
      </c>
      <c r="P2812" s="5">
        <v>11</v>
      </c>
      <c r="Q2812" s="5">
        <v>129</v>
      </c>
      <c r="R2812" s="5">
        <v>11</v>
      </c>
      <c r="S2812" s="5">
        <v>125</v>
      </c>
    </row>
    <row r="2813" spans="1:19" ht="28" x14ac:dyDescent="0.15">
      <c r="A2813" s="2">
        <f>HYPERLINK("https://open-school.uspishnemisto.com.ua/school/140284/", 140284)</f>
        <v>140284</v>
      </c>
      <c r="B2813" s="3" t="s">
        <v>14835</v>
      </c>
      <c r="C2813" s="3" t="s">
        <v>31</v>
      </c>
      <c r="D2813" s="3" t="s">
        <v>32</v>
      </c>
      <c r="E2813" s="4" t="s">
        <v>22</v>
      </c>
      <c r="F2813" s="4" t="s">
        <v>14836</v>
      </c>
      <c r="G2813" s="4" t="s">
        <v>14837</v>
      </c>
      <c r="H2813" s="3" t="s">
        <v>13575</v>
      </c>
      <c r="I2813" s="3" t="s">
        <v>14838</v>
      </c>
      <c r="J2813" s="3" t="s">
        <v>1673</v>
      </c>
      <c r="K2813" s="3" t="s">
        <v>14839</v>
      </c>
      <c r="L2813" s="3"/>
      <c r="M2813" s="4"/>
      <c r="N2813" s="3" t="s">
        <v>37</v>
      </c>
      <c r="O2813" s="3" t="s">
        <v>70</v>
      </c>
      <c r="P2813" s="5">
        <v>7</v>
      </c>
      <c r="Q2813" s="5">
        <v>44</v>
      </c>
      <c r="R2813" s="5">
        <v>5</v>
      </c>
      <c r="S2813" s="5">
        <v>42</v>
      </c>
    </row>
    <row r="2814" spans="1:19" ht="42" x14ac:dyDescent="0.15">
      <c r="A2814" s="2">
        <f>HYPERLINK("https://open-school.uspishnemisto.com.ua/school/140285/", 140285)</f>
        <v>140285</v>
      </c>
      <c r="B2814" s="3" t="s">
        <v>14840</v>
      </c>
      <c r="C2814" s="3" t="s">
        <v>54</v>
      </c>
      <c r="D2814" s="3" t="s">
        <v>60</v>
      </c>
      <c r="E2814" s="4" t="s">
        <v>22</v>
      </c>
      <c r="F2814" s="4" t="s">
        <v>14841</v>
      </c>
      <c r="G2814" s="4" t="s">
        <v>14842</v>
      </c>
      <c r="H2814" s="3" t="s">
        <v>13575</v>
      </c>
      <c r="I2814" s="3" t="s">
        <v>14843</v>
      </c>
      <c r="J2814" s="3" t="s">
        <v>14844</v>
      </c>
      <c r="K2814" s="3" t="s">
        <v>14845</v>
      </c>
      <c r="L2814" s="3"/>
      <c r="M2814" s="4"/>
      <c r="N2814" s="3" t="s">
        <v>37</v>
      </c>
      <c r="O2814" s="3" t="s">
        <v>38</v>
      </c>
      <c r="P2814" s="5">
        <v>0</v>
      </c>
      <c r="Q2814" s="5">
        <v>3</v>
      </c>
      <c r="R2814" s="5">
        <v>0</v>
      </c>
      <c r="S2814" s="5">
        <v>3</v>
      </c>
    </row>
    <row r="2815" spans="1:19" ht="56" x14ac:dyDescent="0.15">
      <c r="A2815" s="2">
        <f>HYPERLINK("https://open-school.uspishnemisto.com.ua/school/140286/", 140286)</f>
        <v>140286</v>
      </c>
      <c r="B2815" s="3" t="s">
        <v>14846</v>
      </c>
      <c r="C2815" s="3" t="s">
        <v>54</v>
      </c>
      <c r="D2815" s="3" t="s">
        <v>32</v>
      </c>
      <c r="E2815" s="4" t="s">
        <v>22</v>
      </c>
      <c r="F2815" s="4" t="s">
        <v>14847</v>
      </c>
      <c r="G2815" s="4" t="s">
        <v>14848</v>
      </c>
      <c r="H2815" s="3" t="s">
        <v>13575</v>
      </c>
      <c r="I2815" s="3" t="s">
        <v>14849</v>
      </c>
      <c r="J2815" s="3" t="s">
        <v>946</v>
      </c>
      <c r="K2815" s="3" t="s">
        <v>14850</v>
      </c>
      <c r="L2815" s="3"/>
      <c r="M2815" s="4"/>
      <c r="N2815" s="3" t="s">
        <v>37</v>
      </c>
      <c r="O2815" s="3" t="s">
        <v>112</v>
      </c>
      <c r="P2815" s="5">
        <v>11</v>
      </c>
      <c r="Q2815" s="5">
        <v>95</v>
      </c>
      <c r="R2815" s="5">
        <v>11</v>
      </c>
      <c r="S2815" s="5">
        <v>99</v>
      </c>
    </row>
    <row r="2816" spans="1:19" ht="28" x14ac:dyDescent="0.15">
      <c r="A2816" s="2">
        <f>HYPERLINK("https://open-school.uspishnemisto.com.ua/school/140287/", 140287)</f>
        <v>140287</v>
      </c>
      <c r="B2816" s="3" t="s">
        <v>14851</v>
      </c>
      <c r="C2816" s="3" t="s">
        <v>31</v>
      </c>
      <c r="D2816" s="3" t="s">
        <v>32</v>
      </c>
      <c r="E2816" s="4" t="s">
        <v>22</v>
      </c>
      <c r="F2816" s="4" t="s">
        <v>14852</v>
      </c>
      <c r="G2816" s="4" t="s">
        <v>14853</v>
      </c>
      <c r="H2816" s="3" t="s">
        <v>13575</v>
      </c>
      <c r="I2816" s="3" t="s">
        <v>688</v>
      </c>
      <c r="J2816" s="3" t="s">
        <v>878</v>
      </c>
      <c r="K2816" s="3" t="s">
        <v>14854</v>
      </c>
      <c r="L2816" s="3"/>
      <c r="M2816" s="4"/>
      <c r="N2816" s="3" t="s">
        <v>37</v>
      </c>
      <c r="O2816" s="3" t="s">
        <v>38</v>
      </c>
      <c r="P2816" s="5">
        <v>11</v>
      </c>
      <c r="Q2816" s="5">
        <v>61</v>
      </c>
      <c r="R2816" s="5">
        <v>10</v>
      </c>
      <c r="S2816" s="5">
        <v>62</v>
      </c>
    </row>
    <row r="2817" spans="1:19" ht="28" x14ac:dyDescent="0.15">
      <c r="A2817" s="2">
        <f>HYPERLINK("https://open-school.uspishnemisto.com.ua/school/140288/", 140288)</f>
        <v>140288</v>
      </c>
      <c r="B2817" s="3" t="s">
        <v>14855</v>
      </c>
      <c r="C2817" s="3" t="s">
        <v>31</v>
      </c>
      <c r="D2817" s="3" t="s">
        <v>32</v>
      </c>
      <c r="E2817" s="4" t="s">
        <v>22</v>
      </c>
      <c r="F2817" s="4" t="s">
        <v>14856</v>
      </c>
      <c r="G2817" s="4" t="s">
        <v>14857</v>
      </c>
      <c r="H2817" s="3" t="s">
        <v>13575</v>
      </c>
      <c r="I2817" s="3" t="s">
        <v>14858</v>
      </c>
      <c r="J2817" s="3" t="s">
        <v>1636</v>
      </c>
      <c r="K2817" s="3" t="s">
        <v>14859</v>
      </c>
      <c r="L2817" s="3"/>
      <c r="M2817" s="4"/>
      <c r="N2817" s="3" t="s">
        <v>37</v>
      </c>
      <c r="O2817" s="3" t="s">
        <v>70</v>
      </c>
      <c r="P2817" s="5">
        <v>11</v>
      </c>
      <c r="Q2817" s="5">
        <v>107</v>
      </c>
      <c r="R2817" s="5">
        <v>11</v>
      </c>
      <c r="S2817" s="5">
        <v>109</v>
      </c>
    </row>
    <row r="2818" spans="1:19" ht="28" x14ac:dyDescent="0.15">
      <c r="A2818" s="2">
        <f>HYPERLINK("https://open-school.uspishnemisto.com.ua/school/140289/", 140289)</f>
        <v>140289</v>
      </c>
      <c r="B2818" s="3" t="s">
        <v>14860</v>
      </c>
      <c r="C2818" s="3" t="s">
        <v>31</v>
      </c>
      <c r="D2818" s="3" t="s">
        <v>175</v>
      </c>
      <c r="E2818" s="4" t="s">
        <v>22</v>
      </c>
      <c r="F2818" s="4" t="s">
        <v>14861</v>
      </c>
      <c r="G2818" s="4" t="s">
        <v>14862</v>
      </c>
      <c r="H2818" s="3" t="s">
        <v>13575</v>
      </c>
      <c r="I2818" s="3" t="s">
        <v>14863</v>
      </c>
      <c r="J2818" s="3" t="s">
        <v>14864</v>
      </c>
      <c r="K2818" s="3" t="s">
        <v>14865</v>
      </c>
      <c r="L2818" s="3"/>
      <c r="M2818" s="4"/>
      <c r="N2818" s="3" t="s">
        <v>37</v>
      </c>
      <c r="O2818" s="3" t="s">
        <v>112</v>
      </c>
      <c r="P2818" s="5">
        <v>6</v>
      </c>
      <c r="Q2818" s="5">
        <v>42</v>
      </c>
      <c r="R2818" s="5">
        <v>6</v>
      </c>
      <c r="S2818" s="5">
        <v>41</v>
      </c>
    </row>
    <row r="2819" spans="1:19" ht="56" x14ac:dyDescent="0.15">
      <c r="A2819" s="2">
        <f>HYPERLINK("https://open-school.uspishnemisto.com.ua/school/140290/", 140290)</f>
        <v>140290</v>
      </c>
      <c r="B2819" s="3" t="s">
        <v>14866</v>
      </c>
      <c r="C2819" s="3" t="s">
        <v>54</v>
      </c>
      <c r="D2819" s="3" t="s">
        <v>32</v>
      </c>
      <c r="E2819" s="4" t="s">
        <v>22</v>
      </c>
      <c r="F2819" s="4" t="s">
        <v>14867</v>
      </c>
      <c r="G2819" s="4" t="s">
        <v>14868</v>
      </c>
      <c r="H2819" s="3" t="s">
        <v>13575</v>
      </c>
      <c r="I2819" s="3" t="s">
        <v>11267</v>
      </c>
      <c r="J2819" s="3" t="s">
        <v>14869</v>
      </c>
      <c r="K2819" s="3" t="s">
        <v>14870</v>
      </c>
      <c r="L2819" s="3"/>
      <c r="M2819" s="4"/>
      <c r="N2819" s="3" t="s">
        <v>37</v>
      </c>
      <c r="O2819" s="3" t="s">
        <v>38</v>
      </c>
      <c r="P2819" s="5">
        <v>11</v>
      </c>
      <c r="Q2819" s="5">
        <v>97</v>
      </c>
      <c r="R2819" s="5">
        <v>11</v>
      </c>
      <c r="S2819" s="5">
        <v>94</v>
      </c>
    </row>
    <row r="2820" spans="1:19" ht="28" x14ac:dyDescent="0.15">
      <c r="A2820" s="2">
        <f>HYPERLINK("https://open-school.uspishnemisto.com.ua/school/140291/", 140291)</f>
        <v>140291</v>
      </c>
      <c r="B2820" s="3" t="s">
        <v>14871</v>
      </c>
      <c r="C2820" s="3" t="s">
        <v>31</v>
      </c>
      <c r="D2820" s="3" t="s">
        <v>32</v>
      </c>
      <c r="E2820" s="4" t="s">
        <v>22</v>
      </c>
      <c r="F2820" s="4" t="s">
        <v>14872</v>
      </c>
      <c r="G2820" s="4" t="s">
        <v>14873</v>
      </c>
      <c r="H2820" s="3" t="s">
        <v>13575</v>
      </c>
      <c r="I2820" s="3" t="s">
        <v>14874</v>
      </c>
      <c r="J2820" s="3" t="s">
        <v>1348</v>
      </c>
      <c r="K2820" s="3" t="s">
        <v>14875</v>
      </c>
      <c r="L2820" s="3"/>
      <c r="M2820" s="4"/>
      <c r="N2820" s="3" t="s">
        <v>37</v>
      </c>
      <c r="O2820" s="3" t="s">
        <v>38</v>
      </c>
      <c r="P2820" s="5">
        <v>11</v>
      </c>
      <c r="Q2820" s="5">
        <v>91</v>
      </c>
      <c r="R2820" s="5">
        <v>11</v>
      </c>
      <c r="S2820" s="5">
        <v>100</v>
      </c>
    </row>
    <row r="2821" spans="1:19" ht="28" x14ac:dyDescent="0.15">
      <c r="A2821" s="2">
        <f>HYPERLINK("https://open-school.uspishnemisto.com.ua/school/140292/", 140292)</f>
        <v>140292</v>
      </c>
      <c r="B2821" s="3" t="s">
        <v>14876</v>
      </c>
      <c r="C2821" s="3" t="s">
        <v>31</v>
      </c>
      <c r="D2821" s="3" t="s">
        <v>32</v>
      </c>
      <c r="E2821" s="4" t="s">
        <v>22</v>
      </c>
      <c r="F2821" s="4" t="s">
        <v>14877</v>
      </c>
      <c r="G2821" s="4" t="s">
        <v>14878</v>
      </c>
      <c r="H2821" s="3" t="s">
        <v>13575</v>
      </c>
      <c r="I2821" s="3" t="s">
        <v>14879</v>
      </c>
      <c r="J2821" s="3" t="s">
        <v>6723</v>
      </c>
      <c r="K2821" s="3" t="s">
        <v>14880</v>
      </c>
      <c r="L2821" s="3"/>
      <c r="M2821" s="4"/>
      <c r="N2821" s="3" t="s">
        <v>37</v>
      </c>
      <c r="O2821" s="3" t="s">
        <v>38</v>
      </c>
      <c r="P2821" s="5">
        <v>7</v>
      </c>
      <c r="Q2821" s="5">
        <v>43</v>
      </c>
      <c r="R2821" s="5">
        <v>7</v>
      </c>
      <c r="S2821" s="5">
        <v>47</v>
      </c>
    </row>
    <row r="2822" spans="1:19" ht="28" x14ac:dyDescent="0.15">
      <c r="A2822" s="2">
        <f>HYPERLINK("https://open-school.uspishnemisto.com.ua/school/140293/", 140293)</f>
        <v>140293</v>
      </c>
      <c r="B2822" s="3" t="s">
        <v>14881</v>
      </c>
      <c r="C2822" s="3" t="s">
        <v>31</v>
      </c>
      <c r="D2822" s="3" t="s">
        <v>32</v>
      </c>
      <c r="E2822" s="4" t="s">
        <v>22</v>
      </c>
      <c r="F2822" s="4" t="s">
        <v>14882</v>
      </c>
      <c r="G2822" s="4" t="s">
        <v>14883</v>
      </c>
      <c r="H2822" s="3" t="s">
        <v>13575</v>
      </c>
      <c r="I2822" s="3" t="s">
        <v>14884</v>
      </c>
      <c r="J2822" s="3" t="s">
        <v>406</v>
      </c>
      <c r="K2822" s="3" t="s">
        <v>14885</v>
      </c>
      <c r="L2822" s="3"/>
      <c r="M2822" s="4"/>
      <c r="N2822" s="3" t="s">
        <v>37</v>
      </c>
      <c r="O2822" s="3" t="s">
        <v>70</v>
      </c>
      <c r="P2822" s="5">
        <v>10</v>
      </c>
      <c r="Q2822" s="5">
        <v>67</v>
      </c>
      <c r="R2822" s="5">
        <v>9</v>
      </c>
      <c r="S2822" s="5">
        <v>66</v>
      </c>
    </row>
    <row r="2823" spans="1:19" ht="28" x14ac:dyDescent="0.15">
      <c r="A2823" s="2">
        <f>HYPERLINK("https://open-school.uspishnemisto.com.ua/school/140294/", 140294)</f>
        <v>140294</v>
      </c>
      <c r="B2823" s="3" t="s">
        <v>14886</v>
      </c>
      <c r="C2823" s="3" t="s">
        <v>31</v>
      </c>
      <c r="D2823" s="3" t="s">
        <v>32</v>
      </c>
      <c r="E2823" s="4" t="s">
        <v>22</v>
      </c>
      <c r="F2823" s="4" t="s">
        <v>14887</v>
      </c>
      <c r="G2823" s="4" t="s">
        <v>14888</v>
      </c>
      <c r="H2823" s="3" t="s">
        <v>13575</v>
      </c>
      <c r="I2823" s="3" t="s">
        <v>1033</v>
      </c>
      <c r="J2823" s="3" t="s">
        <v>14889</v>
      </c>
      <c r="K2823" s="3" t="s">
        <v>14890</v>
      </c>
      <c r="L2823" s="3"/>
      <c r="M2823" s="4"/>
      <c r="N2823" s="3" t="s">
        <v>37</v>
      </c>
      <c r="O2823" s="3" t="s">
        <v>70</v>
      </c>
      <c r="P2823" s="5">
        <v>11</v>
      </c>
      <c r="Q2823" s="5">
        <v>93</v>
      </c>
      <c r="R2823" s="5">
        <v>11</v>
      </c>
      <c r="S2823" s="5">
        <v>95</v>
      </c>
    </row>
    <row r="2824" spans="1:19" ht="28" x14ac:dyDescent="0.15">
      <c r="A2824" s="2">
        <f>HYPERLINK("https://open-school.uspishnemisto.com.ua/school/140295/", 140295)</f>
        <v>140295</v>
      </c>
      <c r="B2824" s="3" t="s">
        <v>14891</v>
      </c>
      <c r="C2824" s="3" t="s">
        <v>31</v>
      </c>
      <c r="D2824" s="3" t="s">
        <v>32</v>
      </c>
      <c r="E2824" s="4" t="s">
        <v>22</v>
      </c>
      <c r="F2824" s="4" t="s">
        <v>14892</v>
      </c>
      <c r="G2824" s="4" t="s">
        <v>14893</v>
      </c>
      <c r="H2824" s="3" t="s">
        <v>13575</v>
      </c>
      <c r="I2824" s="3" t="s">
        <v>14894</v>
      </c>
      <c r="J2824" s="3" t="s">
        <v>14895</v>
      </c>
      <c r="K2824" s="3" t="s">
        <v>14896</v>
      </c>
      <c r="L2824" s="3"/>
      <c r="M2824" s="4"/>
      <c r="N2824" s="3" t="s">
        <v>37</v>
      </c>
      <c r="O2824" s="3" t="s">
        <v>38</v>
      </c>
      <c r="P2824" s="5">
        <v>9</v>
      </c>
      <c r="Q2824" s="5">
        <v>52</v>
      </c>
      <c r="R2824" s="5">
        <v>10</v>
      </c>
      <c r="S2824" s="5">
        <v>59</v>
      </c>
    </row>
    <row r="2825" spans="1:19" ht="28" x14ac:dyDescent="0.15">
      <c r="A2825" s="2">
        <f>HYPERLINK("https://open-school.uspishnemisto.com.ua/school/140296/", 140296)</f>
        <v>140296</v>
      </c>
      <c r="B2825" s="3" t="s">
        <v>14897</v>
      </c>
      <c r="C2825" s="3" t="s">
        <v>31</v>
      </c>
      <c r="D2825" s="3" t="s">
        <v>175</v>
      </c>
      <c r="E2825" s="4" t="s">
        <v>22</v>
      </c>
      <c r="F2825" s="4" t="s">
        <v>14898</v>
      </c>
      <c r="G2825" s="4" t="s">
        <v>14899</v>
      </c>
      <c r="H2825" s="3" t="s">
        <v>13575</v>
      </c>
      <c r="I2825" s="3" t="s">
        <v>14900</v>
      </c>
      <c r="J2825" s="3" t="s">
        <v>14901</v>
      </c>
      <c r="K2825" s="3" t="s">
        <v>14902</v>
      </c>
      <c r="L2825" s="3"/>
      <c r="M2825" s="4"/>
      <c r="N2825" s="3" t="s">
        <v>37</v>
      </c>
      <c r="O2825" s="3" t="s">
        <v>52</v>
      </c>
      <c r="P2825" s="5">
        <v>11</v>
      </c>
      <c r="Q2825" s="5">
        <v>220</v>
      </c>
      <c r="R2825" s="5">
        <v>11</v>
      </c>
      <c r="S2825" s="5">
        <v>213</v>
      </c>
    </row>
    <row r="2826" spans="1:19" ht="28" x14ac:dyDescent="0.15">
      <c r="A2826" s="2">
        <f>HYPERLINK("https://open-school.uspishnemisto.com.ua/school/140297/", 140297)</f>
        <v>140297</v>
      </c>
      <c r="B2826" s="3" t="s">
        <v>14903</v>
      </c>
      <c r="C2826" s="3" t="s">
        <v>31</v>
      </c>
      <c r="D2826" s="3" t="s">
        <v>32</v>
      </c>
      <c r="E2826" s="4" t="s">
        <v>22</v>
      </c>
      <c r="F2826" s="4" t="s">
        <v>14904</v>
      </c>
      <c r="G2826" s="4" t="s">
        <v>14899</v>
      </c>
      <c r="H2826" s="3" t="s">
        <v>13575</v>
      </c>
      <c r="I2826" s="3" t="s">
        <v>14900</v>
      </c>
      <c r="J2826" s="3" t="s">
        <v>14905</v>
      </c>
      <c r="K2826" s="3" t="s">
        <v>14906</v>
      </c>
      <c r="L2826" s="3"/>
      <c r="M2826" s="4"/>
      <c r="N2826" s="3" t="s">
        <v>37</v>
      </c>
      <c r="O2826" s="3" t="s">
        <v>52</v>
      </c>
      <c r="P2826" s="5">
        <v>11</v>
      </c>
      <c r="Q2826" s="5">
        <v>209</v>
      </c>
      <c r="R2826" s="5">
        <v>12</v>
      </c>
      <c r="S2826" s="5">
        <v>200</v>
      </c>
    </row>
    <row r="2827" spans="1:19" ht="28" x14ac:dyDescent="0.15">
      <c r="A2827" s="2">
        <f>HYPERLINK("https://open-school.uspishnemisto.com.ua/school/140298/", 140298)</f>
        <v>140298</v>
      </c>
      <c r="B2827" s="3" t="s">
        <v>14907</v>
      </c>
      <c r="C2827" s="3" t="s">
        <v>31</v>
      </c>
      <c r="D2827" s="3" t="s">
        <v>32</v>
      </c>
      <c r="E2827" s="4" t="s">
        <v>22</v>
      </c>
      <c r="F2827" s="4" t="s">
        <v>14898</v>
      </c>
      <c r="G2827" s="4" t="s">
        <v>14899</v>
      </c>
      <c r="H2827" s="3" t="s">
        <v>13575</v>
      </c>
      <c r="I2827" s="3" t="s">
        <v>14900</v>
      </c>
      <c r="J2827" s="3" t="s">
        <v>7524</v>
      </c>
      <c r="K2827" s="3" t="s">
        <v>14908</v>
      </c>
      <c r="L2827" s="3"/>
      <c r="M2827" s="4"/>
      <c r="N2827" s="3" t="s">
        <v>37</v>
      </c>
      <c r="O2827" s="3" t="s">
        <v>52</v>
      </c>
      <c r="P2827" s="5">
        <v>11</v>
      </c>
      <c r="Q2827" s="5">
        <v>173</v>
      </c>
      <c r="R2827" s="5">
        <v>13</v>
      </c>
      <c r="S2827" s="5">
        <v>166</v>
      </c>
    </row>
    <row r="2828" spans="1:19" ht="28" x14ac:dyDescent="0.15">
      <c r="A2828" s="2">
        <f>HYPERLINK("https://open-school.uspishnemisto.com.ua/school/140299/", 140299)</f>
        <v>140299</v>
      </c>
      <c r="B2828" s="3" t="s">
        <v>14909</v>
      </c>
      <c r="C2828" s="3" t="s">
        <v>31</v>
      </c>
      <c r="D2828" s="3" t="s">
        <v>32</v>
      </c>
      <c r="E2828" s="4" t="s">
        <v>22</v>
      </c>
      <c r="F2828" s="4" t="s">
        <v>14910</v>
      </c>
      <c r="G2828" s="4" t="s">
        <v>14911</v>
      </c>
      <c r="H2828" s="3" t="s">
        <v>13575</v>
      </c>
      <c r="I2828" s="3" t="s">
        <v>14912</v>
      </c>
      <c r="J2828" s="3" t="s">
        <v>14913</v>
      </c>
      <c r="K2828" s="3" t="s">
        <v>14914</v>
      </c>
      <c r="L2828" s="3" t="s">
        <v>14915</v>
      </c>
      <c r="M2828" s="4"/>
      <c r="N2828" s="3" t="s">
        <v>128</v>
      </c>
      <c r="O2828" s="3" t="s">
        <v>38</v>
      </c>
      <c r="P2828" s="5">
        <v>21</v>
      </c>
      <c r="Q2828" s="5">
        <v>382</v>
      </c>
      <c r="R2828" s="5">
        <v>19</v>
      </c>
      <c r="S2828" s="5">
        <v>387</v>
      </c>
    </row>
    <row r="2829" spans="1:19" ht="56" x14ac:dyDescent="0.15">
      <c r="A2829" s="2">
        <f>HYPERLINK("https://open-school.uspishnemisto.com.ua/school/140300/", 140300)</f>
        <v>140300</v>
      </c>
      <c r="B2829" s="3" t="s">
        <v>14916</v>
      </c>
      <c r="C2829" s="3" t="s">
        <v>54</v>
      </c>
      <c r="D2829" s="3" t="s">
        <v>32</v>
      </c>
      <c r="E2829" s="4" t="s">
        <v>22</v>
      </c>
      <c r="F2829" s="4" t="s">
        <v>14910</v>
      </c>
      <c r="G2829" s="4" t="s">
        <v>14911</v>
      </c>
      <c r="H2829" s="3" t="s">
        <v>13575</v>
      </c>
      <c r="I2829" s="3" t="s">
        <v>14912</v>
      </c>
      <c r="J2829" s="3" t="s">
        <v>14917</v>
      </c>
      <c r="K2829" s="3" t="s">
        <v>14918</v>
      </c>
      <c r="L2829" s="3"/>
      <c r="M2829" s="4"/>
      <c r="N2829" s="3" t="s">
        <v>128</v>
      </c>
      <c r="O2829" s="3" t="s">
        <v>197</v>
      </c>
      <c r="P2829" s="5">
        <v>22</v>
      </c>
      <c r="Q2829" s="5">
        <v>389</v>
      </c>
      <c r="R2829" s="5">
        <v>22</v>
      </c>
      <c r="S2829" s="5">
        <v>385</v>
      </c>
    </row>
    <row r="2830" spans="1:19" ht="42" x14ac:dyDescent="0.15">
      <c r="A2830" s="2">
        <f>HYPERLINK("https://open-school.uspishnemisto.com.ua/school/140301/", 140301)</f>
        <v>140301</v>
      </c>
      <c r="B2830" s="3" t="s">
        <v>14919</v>
      </c>
      <c r="C2830" s="3" t="s">
        <v>54</v>
      </c>
      <c r="D2830" s="3" t="s">
        <v>60</v>
      </c>
      <c r="E2830" s="4" t="s">
        <v>22</v>
      </c>
      <c r="F2830" s="4" t="s">
        <v>14920</v>
      </c>
      <c r="G2830" s="4" t="s">
        <v>14921</v>
      </c>
      <c r="H2830" s="3" t="s">
        <v>13575</v>
      </c>
      <c r="I2830" s="3" t="s">
        <v>14922</v>
      </c>
      <c r="J2830" s="3" t="s">
        <v>14923</v>
      </c>
      <c r="K2830" s="3"/>
      <c r="L2830" s="3"/>
      <c r="M2830" s="4"/>
      <c r="N2830" s="3" t="s">
        <v>37</v>
      </c>
      <c r="O2830" s="3" t="s">
        <v>52</v>
      </c>
      <c r="P2830" s="5">
        <v>0</v>
      </c>
      <c r="Q2830" s="5">
        <v>1</v>
      </c>
      <c r="R2830" s="5">
        <v>0</v>
      </c>
      <c r="S2830" s="5">
        <v>0</v>
      </c>
    </row>
    <row r="2831" spans="1:19" ht="28" x14ac:dyDescent="0.15">
      <c r="A2831" s="2">
        <f>HYPERLINK("https://open-school.uspishnemisto.com.ua/school/140302/", 140302)</f>
        <v>140302</v>
      </c>
      <c r="B2831" s="3" t="s">
        <v>14924</v>
      </c>
      <c r="C2831" s="3" t="s">
        <v>31</v>
      </c>
      <c r="D2831" s="3" t="s">
        <v>175</v>
      </c>
      <c r="E2831" s="4" t="s">
        <v>22</v>
      </c>
      <c r="F2831" s="4" t="s">
        <v>14920</v>
      </c>
      <c r="G2831" s="4" t="s">
        <v>14921</v>
      </c>
      <c r="H2831" s="3" t="s">
        <v>13575</v>
      </c>
      <c r="I2831" s="3" t="s">
        <v>14922</v>
      </c>
      <c r="J2831" s="3" t="s">
        <v>14925</v>
      </c>
      <c r="K2831" s="3" t="s">
        <v>14926</v>
      </c>
      <c r="L2831" s="3"/>
      <c r="M2831" s="4"/>
      <c r="N2831" s="3" t="s">
        <v>37</v>
      </c>
      <c r="O2831" s="3" t="s">
        <v>38</v>
      </c>
      <c r="P2831" s="5">
        <v>9</v>
      </c>
      <c r="Q2831" s="5">
        <v>137</v>
      </c>
      <c r="R2831" s="5">
        <v>9</v>
      </c>
      <c r="S2831" s="5">
        <v>128</v>
      </c>
    </row>
    <row r="2832" spans="1:19" ht="42" x14ac:dyDescent="0.15">
      <c r="A2832" s="2">
        <f>HYPERLINK("https://open-school.uspishnemisto.com.ua/school/140303/", 140303)</f>
        <v>140303</v>
      </c>
      <c r="B2832" s="3" t="s">
        <v>14927</v>
      </c>
      <c r="C2832" s="3" t="s">
        <v>31</v>
      </c>
      <c r="D2832" s="3" t="s">
        <v>32</v>
      </c>
      <c r="E2832" s="4" t="s">
        <v>22</v>
      </c>
      <c r="F2832" s="4" t="s">
        <v>14920</v>
      </c>
      <c r="G2832" s="4" t="s">
        <v>14921</v>
      </c>
      <c r="H2832" s="3" t="s">
        <v>13575</v>
      </c>
      <c r="I2832" s="3" t="s">
        <v>14922</v>
      </c>
      <c r="J2832" s="3" t="s">
        <v>14928</v>
      </c>
      <c r="K2832" s="3" t="s">
        <v>14929</v>
      </c>
      <c r="L2832" s="3" t="s">
        <v>14930</v>
      </c>
      <c r="M2832" s="4"/>
      <c r="N2832" s="3" t="s">
        <v>128</v>
      </c>
      <c r="O2832" s="3" t="s">
        <v>197</v>
      </c>
      <c r="P2832" s="5">
        <v>27</v>
      </c>
      <c r="Q2832" s="5">
        <v>725</v>
      </c>
      <c r="R2832" s="5">
        <v>27</v>
      </c>
      <c r="S2832" s="5">
        <v>746</v>
      </c>
    </row>
    <row r="2833" spans="1:19" ht="42" x14ac:dyDescent="0.15">
      <c r="A2833" s="2">
        <f>HYPERLINK("https://open-school.uspishnemisto.com.ua/school/140304/", 140304)</f>
        <v>140304</v>
      </c>
      <c r="B2833" s="3" t="s">
        <v>14931</v>
      </c>
      <c r="C2833" s="3" t="s">
        <v>54</v>
      </c>
      <c r="D2833" s="3" t="s">
        <v>60</v>
      </c>
      <c r="E2833" s="4" t="s">
        <v>22</v>
      </c>
      <c r="F2833" s="4" t="s">
        <v>14932</v>
      </c>
      <c r="G2833" s="4" t="s">
        <v>14933</v>
      </c>
      <c r="H2833" s="3" t="s">
        <v>13575</v>
      </c>
      <c r="I2833" s="3" t="s">
        <v>14934</v>
      </c>
      <c r="J2833" s="3" t="s">
        <v>14935</v>
      </c>
      <c r="K2833" s="3" t="s">
        <v>14936</v>
      </c>
      <c r="L2833" s="3"/>
      <c r="M2833" s="4"/>
      <c r="N2833" s="3" t="s">
        <v>37</v>
      </c>
      <c r="O2833" s="3" t="s">
        <v>52</v>
      </c>
      <c r="P2833" s="5">
        <v>4</v>
      </c>
      <c r="Q2833" s="5">
        <v>34</v>
      </c>
      <c r="R2833" s="5">
        <v>4</v>
      </c>
      <c r="S2833" s="5">
        <v>36</v>
      </c>
    </row>
    <row r="2834" spans="1:19" ht="28" x14ac:dyDescent="0.15">
      <c r="A2834" s="2">
        <f>HYPERLINK("https://open-school.uspishnemisto.com.ua/school/140305/", 140305)</f>
        <v>140305</v>
      </c>
      <c r="B2834" s="3" t="s">
        <v>14937</v>
      </c>
      <c r="C2834" s="3" t="s">
        <v>31</v>
      </c>
      <c r="D2834" s="3" t="s">
        <v>32</v>
      </c>
      <c r="E2834" s="4" t="s">
        <v>22</v>
      </c>
      <c r="F2834" s="4" t="s">
        <v>14938</v>
      </c>
      <c r="G2834" s="4" t="s">
        <v>14933</v>
      </c>
      <c r="H2834" s="3" t="s">
        <v>13575</v>
      </c>
      <c r="I2834" s="3" t="s">
        <v>14934</v>
      </c>
      <c r="J2834" s="3" t="s">
        <v>14939</v>
      </c>
      <c r="K2834" s="3"/>
      <c r="L2834" s="3"/>
      <c r="M2834" s="4"/>
      <c r="N2834" s="3" t="s">
        <v>37</v>
      </c>
      <c r="O2834" s="3" t="s">
        <v>52</v>
      </c>
      <c r="P2834" s="5">
        <v>20</v>
      </c>
      <c r="Q2834" s="5">
        <v>487</v>
      </c>
      <c r="R2834" s="5">
        <v>19</v>
      </c>
      <c r="S2834" s="5">
        <v>457</v>
      </c>
    </row>
    <row r="2835" spans="1:19" ht="28" x14ac:dyDescent="0.15">
      <c r="A2835" s="2">
        <f>HYPERLINK("https://open-school.uspishnemisto.com.ua/school/140306/", 140306)</f>
        <v>140306</v>
      </c>
      <c r="B2835" s="3" t="s">
        <v>14940</v>
      </c>
      <c r="C2835" s="3" t="s">
        <v>31</v>
      </c>
      <c r="D2835" s="3" t="s">
        <v>32</v>
      </c>
      <c r="E2835" s="4" t="s">
        <v>22</v>
      </c>
      <c r="F2835" s="4" t="s">
        <v>14938</v>
      </c>
      <c r="G2835" s="4" t="s">
        <v>14933</v>
      </c>
      <c r="H2835" s="3" t="s">
        <v>13575</v>
      </c>
      <c r="I2835" s="3" t="s">
        <v>14934</v>
      </c>
      <c r="J2835" s="3" t="s">
        <v>14941</v>
      </c>
      <c r="K2835" s="3" t="s">
        <v>14942</v>
      </c>
      <c r="L2835" s="3"/>
      <c r="M2835" s="4"/>
      <c r="N2835" s="3" t="s">
        <v>37</v>
      </c>
      <c r="O2835" s="3" t="s">
        <v>52</v>
      </c>
      <c r="P2835" s="5">
        <v>20</v>
      </c>
      <c r="Q2835" s="5">
        <v>447</v>
      </c>
      <c r="R2835" s="5">
        <v>19</v>
      </c>
      <c r="S2835" s="5">
        <v>430</v>
      </c>
    </row>
    <row r="2836" spans="1:19" ht="28" x14ac:dyDescent="0.15">
      <c r="A2836" s="2">
        <f>HYPERLINK("https://open-school.uspishnemisto.com.ua/school/140307/", 140307)</f>
        <v>140307</v>
      </c>
      <c r="B2836" s="3" t="s">
        <v>14943</v>
      </c>
      <c r="C2836" s="3" t="s">
        <v>181</v>
      </c>
      <c r="D2836" s="3" t="s">
        <v>175</v>
      </c>
      <c r="E2836" s="4" t="s">
        <v>22</v>
      </c>
      <c r="F2836" s="4" t="s">
        <v>14932</v>
      </c>
      <c r="G2836" s="4" t="s">
        <v>14933</v>
      </c>
      <c r="H2836" s="3" t="s">
        <v>13575</v>
      </c>
      <c r="I2836" s="3" t="s">
        <v>14934</v>
      </c>
      <c r="J2836" s="3" t="s">
        <v>14944</v>
      </c>
      <c r="K2836" s="3" t="s">
        <v>14945</v>
      </c>
      <c r="L2836" s="3" t="s">
        <v>14946</v>
      </c>
      <c r="M2836" s="4" t="s">
        <v>14947</v>
      </c>
      <c r="N2836" s="3" t="s">
        <v>37</v>
      </c>
      <c r="O2836" s="3"/>
      <c r="P2836" s="5">
        <v>4</v>
      </c>
      <c r="Q2836" s="5">
        <v>31</v>
      </c>
      <c r="R2836" s="5">
        <v>5</v>
      </c>
      <c r="S2836" s="5">
        <v>42</v>
      </c>
    </row>
    <row r="2837" spans="1:19" ht="28" x14ac:dyDescent="0.15">
      <c r="A2837" s="2">
        <f>HYPERLINK("https://open-school.uspishnemisto.com.ua/school/140308/", 140308)</f>
        <v>140308</v>
      </c>
      <c r="B2837" s="3" t="s">
        <v>14948</v>
      </c>
      <c r="C2837" s="3" t="s">
        <v>31</v>
      </c>
      <c r="D2837" s="3" t="s">
        <v>32</v>
      </c>
      <c r="E2837" s="4" t="s">
        <v>22</v>
      </c>
      <c r="F2837" s="4" t="s">
        <v>14949</v>
      </c>
      <c r="G2837" s="4" t="s">
        <v>14950</v>
      </c>
      <c r="H2837" s="3" t="s">
        <v>13575</v>
      </c>
      <c r="I2837" s="3" t="s">
        <v>14951</v>
      </c>
      <c r="J2837" s="3" t="s">
        <v>14952</v>
      </c>
      <c r="K2837" s="3"/>
      <c r="L2837" s="3"/>
      <c r="M2837" s="4"/>
      <c r="N2837" s="3" t="s">
        <v>37</v>
      </c>
      <c r="O2837" s="3" t="s">
        <v>52</v>
      </c>
      <c r="P2837" s="5">
        <v>11</v>
      </c>
      <c r="Q2837" s="5">
        <v>89</v>
      </c>
      <c r="R2837" s="5">
        <v>11</v>
      </c>
      <c r="S2837" s="5">
        <v>88</v>
      </c>
    </row>
    <row r="2838" spans="1:19" ht="28" x14ac:dyDescent="0.15">
      <c r="A2838" s="2">
        <f>HYPERLINK("https://open-school.uspishnemisto.com.ua/school/140309/", 140309)</f>
        <v>140309</v>
      </c>
      <c r="B2838" s="3" t="s">
        <v>14953</v>
      </c>
      <c r="C2838" s="3" t="s">
        <v>31</v>
      </c>
      <c r="D2838" s="3" t="s">
        <v>32</v>
      </c>
      <c r="E2838" s="4" t="s">
        <v>22</v>
      </c>
      <c r="F2838" s="4" t="s">
        <v>14954</v>
      </c>
      <c r="G2838" s="4" t="s">
        <v>14955</v>
      </c>
      <c r="H2838" s="3" t="s">
        <v>13575</v>
      </c>
      <c r="I2838" s="3" t="s">
        <v>14956</v>
      </c>
      <c r="J2838" s="3" t="s">
        <v>2990</v>
      </c>
      <c r="K2838" s="3"/>
      <c r="L2838" s="3" t="s">
        <v>14957</v>
      </c>
      <c r="M2838" s="4"/>
      <c r="N2838" s="3" t="s">
        <v>37</v>
      </c>
      <c r="O2838" s="3" t="s">
        <v>52</v>
      </c>
      <c r="P2838" s="5">
        <v>11</v>
      </c>
      <c r="Q2838" s="5">
        <v>171</v>
      </c>
      <c r="R2838" s="5">
        <v>11</v>
      </c>
      <c r="S2838" s="5">
        <v>165</v>
      </c>
    </row>
    <row r="2839" spans="1:19" ht="28" x14ac:dyDescent="0.15">
      <c r="A2839" s="2">
        <f>HYPERLINK("https://open-school.uspishnemisto.com.ua/school/140310/", 140310)</f>
        <v>140310</v>
      </c>
      <c r="B2839" s="3" t="s">
        <v>14958</v>
      </c>
      <c r="C2839" s="3" t="s">
        <v>31</v>
      </c>
      <c r="D2839" s="3" t="s">
        <v>32</v>
      </c>
      <c r="E2839" s="4" t="s">
        <v>22</v>
      </c>
      <c r="F2839" s="4" t="s">
        <v>14954</v>
      </c>
      <c r="G2839" s="4" t="s">
        <v>14955</v>
      </c>
      <c r="H2839" s="3" t="s">
        <v>13575</v>
      </c>
      <c r="I2839" s="3" t="s">
        <v>14956</v>
      </c>
      <c r="J2839" s="3" t="s">
        <v>14959</v>
      </c>
      <c r="K2839" s="3" t="s">
        <v>14960</v>
      </c>
      <c r="L2839" s="3" t="s">
        <v>14961</v>
      </c>
      <c r="M2839" s="4"/>
      <c r="N2839" s="3" t="s">
        <v>128</v>
      </c>
      <c r="O2839" s="3" t="s">
        <v>52</v>
      </c>
      <c r="P2839" s="5">
        <v>14</v>
      </c>
      <c r="Q2839" s="5">
        <v>256</v>
      </c>
      <c r="R2839" s="5">
        <v>15</v>
      </c>
      <c r="S2839" s="5">
        <v>272</v>
      </c>
    </row>
    <row r="2840" spans="1:19" ht="28" x14ac:dyDescent="0.15">
      <c r="A2840" s="2">
        <f>HYPERLINK("https://open-school.uspishnemisto.com.ua/school/140311/", 140311)</f>
        <v>140311</v>
      </c>
      <c r="B2840" s="3" t="s">
        <v>14962</v>
      </c>
      <c r="C2840" s="3" t="s">
        <v>31</v>
      </c>
      <c r="D2840" s="3" t="s">
        <v>32</v>
      </c>
      <c r="E2840" s="4" t="s">
        <v>22</v>
      </c>
      <c r="F2840" s="4" t="s">
        <v>14920</v>
      </c>
      <c r="G2840" s="4" t="s">
        <v>14963</v>
      </c>
      <c r="H2840" s="3" t="s">
        <v>13575</v>
      </c>
      <c r="I2840" s="3" t="s">
        <v>14964</v>
      </c>
      <c r="J2840" s="3" t="s">
        <v>14965</v>
      </c>
      <c r="K2840" s="3" t="s">
        <v>14966</v>
      </c>
      <c r="L2840" s="3" t="s">
        <v>14967</v>
      </c>
      <c r="M2840" s="4"/>
      <c r="N2840" s="3" t="s">
        <v>37</v>
      </c>
      <c r="O2840" s="3" t="s">
        <v>38</v>
      </c>
      <c r="P2840" s="5">
        <v>11</v>
      </c>
      <c r="Q2840" s="5">
        <v>115</v>
      </c>
      <c r="R2840" s="5">
        <v>11</v>
      </c>
      <c r="S2840" s="5">
        <v>121</v>
      </c>
    </row>
    <row r="2841" spans="1:19" ht="28" x14ac:dyDescent="0.15">
      <c r="A2841" s="2">
        <f>HYPERLINK("https://open-school.uspishnemisto.com.ua/school/140312/", 140312)</f>
        <v>140312</v>
      </c>
      <c r="B2841" s="3" t="s">
        <v>14968</v>
      </c>
      <c r="C2841" s="3" t="s">
        <v>31</v>
      </c>
      <c r="D2841" s="3" t="s">
        <v>32</v>
      </c>
      <c r="E2841" s="4" t="s">
        <v>22</v>
      </c>
      <c r="F2841" s="4" t="s">
        <v>14969</v>
      </c>
      <c r="G2841" s="4" t="s">
        <v>14970</v>
      </c>
      <c r="H2841" s="3" t="s">
        <v>13575</v>
      </c>
      <c r="I2841" s="3" t="s">
        <v>14971</v>
      </c>
      <c r="J2841" s="3" t="s">
        <v>14972</v>
      </c>
      <c r="K2841" s="3" t="s">
        <v>14973</v>
      </c>
      <c r="L2841" s="3" t="s">
        <v>14974</v>
      </c>
      <c r="M2841" s="4"/>
      <c r="N2841" s="3" t="s">
        <v>37</v>
      </c>
      <c r="O2841" s="3" t="s">
        <v>38</v>
      </c>
      <c r="P2841" s="5">
        <v>11</v>
      </c>
      <c r="Q2841" s="5">
        <v>93</v>
      </c>
      <c r="R2841" s="5">
        <v>11</v>
      </c>
      <c r="S2841" s="5">
        <v>85</v>
      </c>
    </row>
    <row r="2842" spans="1:19" ht="28" x14ac:dyDescent="0.15">
      <c r="A2842" s="2">
        <f>HYPERLINK("https://open-school.uspishnemisto.com.ua/school/140313/", 140313)</f>
        <v>140313</v>
      </c>
      <c r="B2842" s="3" t="s">
        <v>14975</v>
      </c>
      <c r="C2842" s="3" t="s">
        <v>31</v>
      </c>
      <c r="D2842" s="3" t="s">
        <v>175</v>
      </c>
      <c r="E2842" s="4" t="s">
        <v>22</v>
      </c>
      <c r="F2842" s="4" t="s">
        <v>14976</v>
      </c>
      <c r="G2842" s="4" t="s">
        <v>14977</v>
      </c>
      <c r="H2842" s="3" t="s">
        <v>13575</v>
      </c>
      <c r="I2842" s="3" t="s">
        <v>14978</v>
      </c>
      <c r="J2842" s="3" t="s">
        <v>14979</v>
      </c>
      <c r="K2842" s="3" t="s">
        <v>14980</v>
      </c>
      <c r="L2842" s="3"/>
      <c r="M2842" s="4"/>
      <c r="N2842" s="3" t="s">
        <v>37</v>
      </c>
      <c r="O2842" s="3" t="s">
        <v>38</v>
      </c>
      <c r="P2842" s="5">
        <v>8</v>
      </c>
      <c r="Q2842" s="5">
        <v>63</v>
      </c>
      <c r="R2842" s="5">
        <v>8</v>
      </c>
      <c r="S2842" s="5">
        <v>58</v>
      </c>
    </row>
    <row r="2843" spans="1:19" ht="42" x14ac:dyDescent="0.15">
      <c r="A2843" s="2">
        <f>HYPERLINK("https://open-school.uspishnemisto.com.ua/school/140314/", 140314)</f>
        <v>140314</v>
      </c>
      <c r="B2843" s="3" t="s">
        <v>14981</v>
      </c>
      <c r="C2843" s="3" t="s">
        <v>54</v>
      </c>
      <c r="D2843" s="3" t="s">
        <v>60</v>
      </c>
      <c r="E2843" s="4" t="s">
        <v>22</v>
      </c>
      <c r="F2843" s="4" t="s">
        <v>14982</v>
      </c>
      <c r="G2843" s="4" t="s">
        <v>14983</v>
      </c>
      <c r="H2843" s="3" t="s">
        <v>13575</v>
      </c>
      <c r="I2843" s="3" t="s">
        <v>4683</v>
      </c>
      <c r="J2843" s="3" t="s">
        <v>14984</v>
      </c>
      <c r="K2843" s="3" t="s">
        <v>14985</v>
      </c>
      <c r="L2843" s="3"/>
      <c r="M2843" s="4"/>
      <c r="N2843" s="3" t="s">
        <v>37</v>
      </c>
      <c r="O2843" s="3" t="s">
        <v>38</v>
      </c>
      <c r="P2843" s="5">
        <v>1</v>
      </c>
      <c r="Q2843" s="5">
        <v>11</v>
      </c>
      <c r="R2843" s="5">
        <v>0</v>
      </c>
      <c r="S2843" s="5">
        <v>9</v>
      </c>
    </row>
    <row r="2844" spans="1:19" ht="28" x14ac:dyDescent="0.15">
      <c r="A2844" s="2">
        <f>HYPERLINK("https://open-school.uspishnemisto.com.ua/school/140315/", 140315)</f>
        <v>140315</v>
      </c>
      <c r="B2844" s="3" t="s">
        <v>14986</v>
      </c>
      <c r="C2844" s="3" t="s">
        <v>31</v>
      </c>
      <c r="D2844" s="3" t="s">
        <v>175</v>
      </c>
      <c r="E2844" s="4" t="s">
        <v>22</v>
      </c>
      <c r="F2844" s="4" t="s">
        <v>14987</v>
      </c>
      <c r="G2844" s="4" t="s">
        <v>14988</v>
      </c>
      <c r="H2844" s="3" t="s">
        <v>13575</v>
      </c>
      <c r="I2844" s="3" t="s">
        <v>14989</v>
      </c>
      <c r="J2844" s="3"/>
      <c r="K2844" s="3" t="s">
        <v>14990</v>
      </c>
      <c r="L2844" s="3"/>
      <c r="M2844" s="4"/>
      <c r="N2844" s="3" t="s">
        <v>37</v>
      </c>
      <c r="O2844" s="3" t="s">
        <v>46</v>
      </c>
      <c r="P2844" s="5">
        <v>9</v>
      </c>
      <c r="Q2844" s="5">
        <v>77</v>
      </c>
      <c r="R2844" s="5">
        <v>9</v>
      </c>
      <c r="S2844" s="5">
        <v>83</v>
      </c>
    </row>
    <row r="2845" spans="1:19" ht="28" x14ac:dyDescent="0.15">
      <c r="A2845" s="2">
        <f>HYPERLINK("https://open-school.uspishnemisto.com.ua/school/140316/", 140316)</f>
        <v>140316</v>
      </c>
      <c r="B2845" s="3" t="s">
        <v>14991</v>
      </c>
      <c r="C2845" s="3" t="s">
        <v>31</v>
      </c>
      <c r="D2845" s="3" t="s">
        <v>175</v>
      </c>
      <c r="E2845" s="4" t="s">
        <v>22</v>
      </c>
      <c r="F2845" s="4" t="s">
        <v>14992</v>
      </c>
      <c r="G2845" s="4" t="s">
        <v>14993</v>
      </c>
      <c r="H2845" s="3" t="s">
        <v>13575</v>
      </c>
      <c r="I2845" s="3" t="s">
        <v>10816</v>
      </c>
      <c r="J2845" s="3" t="s">
        <v>14994</v>
      </c>
      <c r="K2845" s="3" t="s">
        <v>14995</v>
      </c>
      <c r="L2845" s="3"/>
      <c r="M2845" s="4"/>
      <c r="N2845" s="3" t="s">
        <v>37</v>
      </c>
      <c r="O2845" s="3" t="s">
        <v>38</v>
      </c>
      <c r="P2845" s="5">
        <v>9</v>
      </c>
      <c r="Q2845" s="5">
        <v>65</v>
      </c>
      <c r="R2845" s="5">
        <v>8</v>
      </c>
      <c r="S2845" s="5">
        <v>65</v>
      </c>
    </row>
    <row r="2846" spans="1:19" ht="28" x14ac:dyDescent="0.15">
      <c r="A2846" s="2">
        <f>HYPERLINK("https://open-school.uspishnemisto.com.ua/school/140317/", 140317)</f>
        <v>140317</v>
      </c>
      <c r="B2846" s="3" t="s">
        <v>14996</v>
      </c>
      <c r="C2846" s="3" t="s">
        <v>31</v>
      </c>
      <c r="D2846" s="3" t="s">
        <v>60</v>
      </c>
      <c r="E2846" s="4" t="s">
        <v>22</v>
      </c>
      <c r="F2846" s="4" t="s">
        <v>14997</v>
      </c>
      <c r="G2846" s="4" t="s">
        <v>14998</v>
      </c>
      <c r="H2846" s="3" t="s">
        <v>13575</v>
      </c>
      <c r="I2846" s="3" t="s">
        <v>14999</v>
      </c>
      <c r="J2846" s="3" t="s">
        <v>3393</v>
      </c>
      <c r="K2846" s="3" t="s">
        <v>15000</v>
      </c>
      <c r="L2846" s="3"/>
      <c r="M2846" s="4"/>
      <c r="N2846" s="3" t="s">
        <v>37</v>
      </c>
      <c r="O2846" s="3" t="s">
        <v>52</v>
      </c>
      <c r="P2846" s="5">
        <v>0</v>
      </c>
      <c r="Q2846" s="5">
        <v>6</v>
      </c>
      <c r="R2846" s="5">
        <v>0</v>
      </c>
      <c r="S2846" s="5">
        <v>6</v>
      </c>
    </row>
    <row r="2847" spans="1:19" ht="28" x14ac:dyDescent="0.15">
      <c r="A2847" s="2">
        <f>HYPERLINK("https://open-school.uspishnemisto.com.ua/school/140318/", 140318)</f>
        <v>140318</v>
      </c>
      <c r="B2847" s="3" t="s">
        <v>15001</v>
      </c>
      <c r="C2847" s="3" t="s">
        <v>31</v>
      </c>
      <c r="D2847" s="3" t="s">
        <v>32</v>
      </c>
      <c r="E2847" s="4" t="s">
        <v>22</v>
      </c>
      <c r="F2847" s="4" t="s">
        <v>15002</v>
      </c>
      <c r="G2847" s="4" t="s">
        <v>15003</v>
      </c>
      <c r="H2847" s="3" t="s">
        <v>13575</v>
      </c>
      <c r="I2847" s="3" t="s">
        <v>12849</v>
      </c>
      <c r="J2847" s="3" t="s">
        <v>466</v>
      </c>
      <c r="K2847" s="3" t="s">
        <v>15004</v>
      </c>
      <c r="L2847" s="3" t="s">
        <v>15005</v>
      </c>
      <c r="M2847" s="4"/>
      <c r="N2847" s="3" t="s">
        <v>37</v>
      </c>
      <c r="O2847" s="3" t="s">
        <v>46</v>
      </c>
      <c r="P2847" s="5">
        <v>8</v>
      </c>
      <c r="Q2847" s="5">
        <v>62</v>
      </c>
      <c r="R2847" s="5">
        <v>6</v>
      </c>
      <c r="S2847" s="5">
        <v>52</v>
      </c>
    </row>
    <row r="2848" spans="1:19" ht="28" x14ac:dyDescent="0.15">
      <c r="A2848" s="2">
        <f>HYPERLINK("https://open-school.uspishnemisto.com.ua/school/140319/", 140319)</f>
        <v>140319</v>
      </c>
      <c r="B2848" s="3" t="s">
        <v>15006</v>
      </c>
      <c r="C2848" s="3" t="s">
        <v>31</v>
      </c>
      <c r="D2848" s="3" t="s">
        <v>32</v>
      </c>
      <c r="E2848" s="4" t="s">
        <v>22</v>
      </c>
      <c r="F2848" s="4" t="s">
        <v>15007</v>
      </c>
      <c r="G2848" s="4" t="s">
        <v>15008</v>
      </c>
      <c r="H2848" s="3" t="s">
        <v>13575</v>
      </c>
      <c r="I2848" s="3" t="s">
        <v>15009</v>
      </c>
      <c r="J2848" s="3" t="s">
        <v>15010</v>
      </c>
      <c r="K2848" s="3" t="s">
        <v>15011</v>
      </c>
      <c r="L2848" s="3"/>
      <c r="M2848" s="4"/>
      <c r="N2848" s="3" t="s">
        <v>37</v>
      </c>
      <c r="O2848" s="3" t="s">
        <v>2740</v>
      </c>
      <c r="P2848" s="5">
        <v>11</v>
      </c>
      <c r="Q2848" s="5">
        <v>128</v>
      </c>
      <c r="R2848" s="5">
        <v>11</v>
      </c>
      <c r="S2848" s="5">
        <v>138</v>
      </c>
    </row>
    <row r="2849" spans="1:19" ht="28" x14ac:dyDescent="0.15">
      <c r="A2849" s="2">
        <f>HYPERLINK("https://open-school.uspishnemisto.com.ua/school/140320/", 140320)</f>
        <v>140320</v>
      </c>
      <c r="B2849" s="3" t="s">
        <v>15012</v>
      </c>
      <c r="C2849" s="3" t="s">
        <v>31</v>
      </c>
      <c r="D2849" s="3" t="s">
        <v>175</v>
      </c>
      <c r="E2849" s="4" t="s">
        <v>22</v>
      </c>
      <c r="F2849" s="4" t="s">
        <v>14982</v>
      </c>
      <c r="G2849" s="4" t="s">
        <v>15013</v>
      </c>
      <c r="H2849" s="3" t="s">
        <v>13575</v>
      </c>
      <c r="I2849" s="3" t="s">
        <v>15014</v>
      </c>
      <c r="J2849" s="3" t="s">
        <v>15015</v>
      </c>
      <c r="K2849" s="3" t="s">
        <v>15016</v>
      </c>
      <c r="L2849" s="3"/>
      <c r="M2849" s="4"/>
      <c r="N2849" s="3" t="s">
        <v>37</v>
      </c>
      <c r="O2849" s="3" t="s">
        <v>52</v>
      </c>
      <c r="P2849" s="5">
        <v>9</v>
      </c>
      <c r="Q2849" s="5">
        <v>64</v>
      </c>
      <c r="R2849" s="5">
        <v>8</v>
      </c>
      <c r="S2849" s="5">
        <v>66</v>
      </c>
    </row>
    <row r="2850" spans="1:19" ht="28" x14ac:dyDescent="0.15">
      <c r="A2850" s="2">
        <f>HYPERLINK("https://open-school.uspishnemisto.com.ua/school/140321/", 140321)</f>
        <v>140321</v>
      </c>
      <c r="B2850" s="3" t="s">
        <v>15017</v>
      </c>
      <c r="C2850" s="3" t="s">
        <v>31</v>
      </c>
      <c r="D2850" s="3" t="s">
        <v>175</v>
      </c>
      <c r="E2850" s="4" t="s">
        <v>22</v>
      </c>
      <c r="F2850" s="4" t="s">
        <v>15018</v>
      </c>
      <c r="G2850" s="4" t="s">
        <v>15019</v>
      </c>
      <c r="H2850" s="3" t="s">
        <v>13575</v>
      </c>
      <c r="I2850" s="3" t="s">
        <v>1803</v>
      </c>
      <c r="J2850" s="3" t="s">
        <v>15020</v>
      </c>
      <c r="K2850" s="3" t="s">
        <v>15021</v>
      </c>
      <c r="L2850" s="3"/>
      <c r="M2850" s="4"/>
      <c r="N2850" s="3" t="s">
        <v>37</v>
      </c>
      <c r="O2850" s="3" t="s">
        <v>2740</v>
      </c>
      <c r="P2850" s="5">
        <v>4</v>
      </c>
      <c r="Q2850" s="5">
        <v>41</v>
      </c>
      <c r="R2850" s="5">
        <v>4</v>
      </c>
      <c r="S2850" s="5">
        <v>34</v>
      </c>
    </row>
    <row r="2851" spans="1:19" ht="28" x14ac:dyDescent="0.15">
      <c r="A2851" s="2">
        <f>HYPERLINK("https://open-school.uspishnemisto.com.ua/school/140322/", 140322)</f>
        <v>140322</v>
      </c>
      <c r="B2851" s="3" t="s">
        <v>15022</v>
      </c>
      <c r="C2851" s="3" t="s">
        <v>31</v>
      </c>
      <c r="D2851" s="3" t="s">
        <v>32</v>
      </c>
      <c r="E2851" s="4" t="s">
        <v>22</v>
      </c>
      <c r="F2851" s="4" t="s">
        <v>15023</v>
      </c>
      <c r="G2851" s="4" t="s">
        <v>15024</v>
      </c>
      <c r="H2851" s="3" t="s">
        <v>13575</v>
      </c>
      <c r="I2851" s="3" t="s">
        <v>15025</v>
      </c>
      <c r="J2851" s="3" t="s">
        <v>466</v>
      </c>
      <c r="K2851" s="3" t="s">
        <v>15026</v>
      </c>
      <c r="L2851" s="3" t="s">
        <v>15027</v>
      </c>
      <c r="M2851" s="4"/>
      <c r="N2851" s="3" t="s">
        <v>37</v>
      </c>
      <c r="O2851" s="3" t="s">
        <v>52</v>
      </c>
      <c r="P2851" s="5">
        <v>11</v>
      </c>
      <c r="Q2851" s="5">
        <v>80</v>
      </c>
      <c r="R2851" s="5">
        <v>11</v>
      </c>
      <c r="S2851" s="5">
        <v>79</v>
      </c>
    </row>
    <row r="2852" spans="1:19" ht="28" x14ac:dyDescent="0.15">
      <c r="A2852" s="2">
        <f>HYPERLINK("https://open-school.uspishnemisto.com.ua/school/140323/", 140323)</f>
        <v>140323</v>
      </c>
      <c r="B2852" s="3" t="s">
        <v>15028</v>
      </c>
      <c r="C2852" s="3" t="s">
        <v>31</v>
      </c>
      <c r="D2852" s="3" t="s">
        <v>32</v>
      </c>
      <c r="E2852" s="4" t="s">
        <v>22</v>
      </c>
      <c r="F2852" s="4" t="s">
        <v>15029</v>
      </c>
      <c r="G2852" s="4" t="s">
        <v>15030</v>
      </c>
      <c r="H2852" s="3" t="s">
        <v>13575</v>
      </c>
      <c r="I2852" s="3" t="s">
        <v>15031</v>
      </c>
      <c r="J2852" s="3" t="s">
        <v>15032</v>
      </c>
      <c r="K2852" s="3" t="s">
        <v>15033</v>
      </c>
      <c r="L2852" s="3"/>
      <c r="M2852" s="4"/>
      <c r="N2852" s="3" t="s">
        <v>37</v>
      </c>
      <c r="O2852" s="3" t="s">
        <v>2740</v>
      </c>
      <c r="P2852" s="5">
        <v>10</v>
      </c>
      <c r="Q2852" s="5">
        <v>160</v>
      </c>
      <c r="R2852" s="5">
        <v>10</v>
      </c>
      <c r="S2852" s="5">
        <v>146</v>
      </c>
    </row>
    <row r="2853" spans="1:19" ht="56" x14ac:dyDescent="0.15">
      <c r="A2853" s="2">
        <f>HYPERLINK("https://open-school.uspishnemisto.com.ua/school/140324/", 140324)</f>
        <v>140324</v>
      </c>
      <c r="B2853" s="3" t="s">
        <v>15034</v>
      </c>
      <c r="C2853" s="3" t="s">
        <v>54</v>
      </c>
      <c r="D2853" s="3" t="s">
        <v>32</v>
      </c>
      <c r="E2853" s="4" t="s">
        <v>22</v>
      </c>
      <c r="F2853" s="4" t="s">
        <v>15035</v>
      </c>
      <c r="G2853" s="4" t="s">
        <v>15036</v>
      </c>
      <c r="H2853" s="3" t="s">
        <v>13575</v>
      </c>
      <c r="I2853" s="3" t="s">
        <v>15037</v>
      </c>
      <c r="J2853" s="3" t="s">
        <v>1348</v>
      </c>
      <c r="K2853" s="3" t="s">
        <v>15038</v>
      </c>
      <c r="L2853" s="3" t="s">
        <v>15039</v>
      </c>
      <c r="M2853" s="4"/>
      <c r="N2853" s="3" t="s">
        <v>37</v>
      </c>
      <c r="O2853" s="3" t="s">
        <v>13272</v>
      </c>
      <c r="P2853" s="5">
        <v>9</v>
      </c>
      <c r="Q2853" s="5">
        <v>71</v>
      </c>
      <c r="R2853" s="5">
        <v>9</v>
      </c>
      <c r="S2853" s="5">
        <v>67</v>
      </c>
    </row>
    <row r="2854" spans="1:19" ht="28" x14ac:dyDescent="0.15">
      <c r="A2854" s="2">
        <f>HYPERLINK("https://open-school.uspishnemisto.com.ua/school/140325/", 140325)</f>
        <v>140325</v>
      </c>
      <c r="B2854" s="3" t="s">
        <v>15040</v>
      </c>
      <c r="C2854" s="3" t="s">
        <v>31</v>
      </c>
      <c r="D2854" s="3" t="s">
        <v>32</v>
      </c>
      <c r="E2854" s="4" t="s">
        <v>22</v>
      </c>
      <c r="F2854" s="4" t="s">
        <v>15041</v>
      </c>
      <c r="G2854" s="4" t="s">
        <v>15042</v>
      </c>
      <c r="H2854" s="3" t="s">
        <v>13575</v>
      </c>
      <c r="I2854" s="3" t="s">
        <v>15043</v>
      </c>
      <c r="J2854" s="3" t="s">
        <v>15044</v>
      </c>
      <c r="K2854" s="3" t="s">
        <v>15045</v>
      </c>
      <c r="L2854" s="3"/>
      <c r="M2854" s="4"/>
      <c r="N2854" s="3" t="s">
        <v>37</v>
      </c>
      <c r="O2854" s="3" t="s">
        <v>38</v>
      </c>
      <c r="P2854" s="5">
        <v>8</v>
      </c>
      <c r="Q2854" s="5">
        <v>49</v>
      </c>
      <c r="R2854" s="5">
        <v>8</v>
      </c>
      <c r="S2854" s="5">
        <v>51</v>
      </c>
    </row>
    <row r="2855" spans="1:19" ht="28" x14ac:dyDescent="0.15">
      <c r="A2855" s="2">
        <f>HYPERLINK("https://open-school.uspishnemisto.com.ua/school/140326/", 140326)</f>
        <v>140326</v>
      </c>
      <c r="B2855" s="3" t="s">
        <v>15046</v>
      </c>
      <c r="C2855" s="3" t="s">
        <v>31</v>
      </c>
      <c r="D2855" s="3" t="s">
        <v>32</v>
      </c>
      <c r="E2855" s="4" t="s">
        <v>22</v>
      </c>
      <c r="F2855" s="4" t="s">
        <v>15047</v>
      </c>
      <c r="G2855" s="4" t="s">
        <v>15048</v>
      </c>
      <c r="H2855" s="3" t="s">
        <v>13575</v>
      </c>
      <c r="I2855" s="3" t="s">
        <v>15049</v>
      </c>
      <c r="J2855" s="3" t="s">
        <v>634</v>
      </c>
      <c r="K2855" s="3" t="s">
        <v>15050</v>
      </c>
      <c r="L2855" s="3"/>
      <c r="M2855" s="4"/>
      <c r="N2855" s="3" t="s">
        <v>37</v>
      </c>
      <c r="O2855" s="3" t="s">
        <v>52</v>
      </c>
      <c r="P2855" s="5">
        <v>11</v>
      </c>
      <c r="Q2855" s="5">
        <v>200</v>
      </c>
      <c r="R2855" s="5">
        <v>11</v>
      </c>
      <c r="S2855" s="5">
        <v>188</v>
      </c>
    </row>
    <row r="2856" spans="1:19" ht="28" x14ac:dyDescent="0.15">
      <c r="A2856" s="2">
        <f>HYPERLINK("https://open-school.uspishnemisto.com.ua/school/140327/", 140327)</f>
        <v>140327</v>
      </c>
      <c r="B2856" s="3" t="s">
        <v>15051</v>
      </c>
      <c r="C2856" s="3" t="s">
        <v>31</v>
      </c>
      <c r="D2856" s="3" t="s">
        <v>32</v>
      </c>
      <c r="E2856" s="4" t="s">
        <v>22</v>
      </c>
      <c r="F2856" s="4" t="s">
        <v>15052</v>
      </c>
      <c r="G2856" s="4" t="s">
        <v>15053</v>
      </c>
      <c r="H2856" s="3" t="s">
        <v>13575</v>
      </c>
      <c r="I2856" s="3" t="s">
        <v>15054</v>
      </c>
      <c r="J2856" s="3" t="s">
        <v>1636</v>
      </c>
      <c r="K2856" s="3" t="s">
        <v>15055</v>
      </c>
      <c r="L2856" s="3" t="s">
        <v>15056</v>
      </c>
      <c r="M2856" s="4"/>
      <c r="N2856" s="3" t="s">
        <v>37</v>
      </c>
      <c r="O2856" s="3" t="s">
        <v>46</v>
      </c>
      <c r="P2856" s="5">
        <v>11</v>
      </c>
      <c r="Q2856" s="5">
        <v>128</v>
      </c>
      <c r="R2856" s="5">
        <v>10</v>
      </c>
      <c r="S2856" s="5">
        <v>106</v>
      </c>
    </row>
    <row r="2857" spans="1:19" ht="28" x14ac:dyDescent="0.15">
      <c r="A2857" s="2">
        <f>HYPERLINK("https://open-school.uspishnemisto.com.ua/school/140328/", 140328)</f>
        <v>140328</v>
      </c>
      <c r="B2857" s="3" t="s">
        <v>15057</v>
      </c>
      <c r="C2857" s="3" t="s">
        <v>31</v>
      </c>
      <c r="D2857" s="3" t="s">
        <v>32</v>
      </c>
      <c r="E2857" s="4" t="s">
        <v>22</v>
      </c>
      <c r="F2857" s="4" t="s">
        <v>15058</v>
      </c>
      <c r="G2857" s="4" t="s">
        <v>15059</v>
      </c>
      <c r="H2857" s="3" t="s">
        <v>13575</v>
      </c>
      <c r="I2857" s="3" t="s">
        <v>15060</v>
      </c>
      <c r="J2857" s="3" t="s">
        <v>634</v>
      </c>
      <c r="K2857" s="3" t="s">
        <v>15061</v>
      </c>
      <c r="L2857" s="3" t="s">
        <v>15062</v>
      </c>
      <c r="M2857" s="4"/>
      <c r="N2857" s="3" t="s">
        <v>37</v>
      </c>
      <c r="O2857" s="3" t="s">
        <v>38</v>
      </c>
      <c r="P2857" s="5">
        <v>11</v>
      </c>
      <c r="Q2857" s="5">
        <v>230</v>
      </c>
      <c r="R2857" s="5">
        <v>11</v>
      </c>
      <c r="S2857" s="5">
        <v>224</v>
      </c>
    </row>
    <row r="2858" spans="1:19" ht="28" x14ac:dyDescent="0.15">
      <c r="A2858" s="2">
        <f>HYPERLINK("https://open-school.uspishnemisto.com.ua/school/140329/", 140329)</f>
        <v>140329</v>
      </c>
      <c r="B2858" s="3" t="s">
        <v>15063</v>
      </c>
      <c r="C2858" s="3" t="s">
        <v>181</v>
      </c>
      <c r="D2858" s="3" t="s">
        <v>175</v>
      </c>
      <c r="E2858" s="4" t="s">
        <v>22</v>
      </c>
      <c r="F2858" s="4" t="s">
        <v>15058</v>
      </c>
      <c r="G2858" s="4" t="s">
        <v>15059</v>
      </c>
      <c r="H2858" s="3" t="s">
        <v>13575</v>
      </c>
      <c r="I2858" s="3" t="s">
        <v>15060</v>
      </c>
      <c r="J2858" s="3" t="s">
        <v>15064</v>
      </c>
      <c r="K2858" s="3" t="s">
        <v>15065</v>
      </c>
      <c r="L2858" s="3" t="s">
        <v>15066</v>
      </c>
      <c r="M2858" s="4" t="s">
        <v>15067</v>
      </c>
      <c r="N2858" s="3" t="s">
        <v>37</v>
      </c>
      <c r="O2858" s="3"/>
      <c r="P2858" s="5">
        <v>17</v>
      </c>
      <c r="Q2858" s="5">
        <v>154</v>
      </c>
      <c r="R2858" s="5">
        <v>16</v>
      </c>
      <c r="S2858" s="5">
        <v>160</v>
      </c>
    </row>
    <row r="2859" spans="1:19" ht="56" x14ac:dyDescent="0.15">
      <c r="A2859" s="2">
        <f>HYPERLINK("https://open-school.uspishnemisto.com.ua/school/140330/", 140330)</f>
        <v>140330</v>
      </c>
      <c r="B2859" s="3" t="s">
        <v>15068</v>
      </c>
      <c r="C2859" s="3" t="s">
        <v>54</v>
      </c>
      <c r="D2859" s="3" t="s">
        <v>32</v>
      </c>
      <c r="E2859" s="4" t="s">
        <v>22</v>
      </c>
      <c r="F2859" s="4" t="s">
        <v>15069</v>
      </c>
      <c r="G2859" s="4" t="s">
        <v>15070</v>
      </c>
      <c r="H2859" s="3" t="s">
        <v>13575</v>
      </c>
      <c r="I2859" s="3" t="s">
        <v>12001</v>
      </c>
      <c r="J2859" s="3" t="s">
        <v>15071</v>
      </c>
      <c r="K2859" s="3" t="s">
        <v>15072</v>
      </c>
      <c r="L2859" s="3"/>
      <c r="M2859" s="4"/>
      <c r="N2859" s="3" t="s">
        <v>37</v>
      </c>
      <c r="O2859" s="3" t="s">
        <v>52</v>
      </c>
      <c r="P2859" s="5">
        <v>10</v>
      </c>
      <c r="Q2859" s="5">
        <v>71</v>
      </c>
      <c r="R2859" s="5">
        <v>11</v>
      </c>
      <c r="S2859" s="5">
        <v>78</v>
      </c>
    </row>
    <row r="2860" spans="1:19" ht="28" x14ac:dyDescent="0.15">
      <c r="A2860" s="2">
        <f>HYPERLINK("https://open-school.uspishnemisto.com.ua/school/140331/", 140331)</f>
        <v>140331</v>
      </c>
      <c r="B2860" s="3" t="s">
        <v>15073</v>
      </c>
      <c r="C2860" s="3" t="s">
        <v>54</v>
      </c>
      <c r="D2860" s="3" t="s">
        <v>60</v>
      </c>
      <c r="E2860" s="4" t="s">
        <v>22</v>
      </c>
      <c r="F2860" s="4" t="s">
        <v>15074</v>
      </c>
      <c r="G2860" s="4" t="s">
        <v>15075</v>
      </c>
      <c r="H2860" s="3" t="s">
        <v>13575</v>
      </c>
      <c r="I2860" s="3" t="s">
        <v>15076</v>
      </c>
      <c r="J2860" s="3" t="s">
        <v>532</v>
      </c>
      <c r="K2860" s="3" t="s">
        <v>15077</v>
      </c>
      <c r="L2860" s="3"/>
      <c r="M2860" s="4"/>
      <c r="N2860" s="3" t="s">
        <v>37</v>
      </c>
      <c r="O2860" s="3" t="s">
        <v>38</v>
      </c>
      <c r="P2860" s="5">
        <v>3</v>
      </c>
      <c r="Q2860" s="5">
        <v>25</v>
      </c>
      <c r="R2860" s="5">
        <v>3</v>
      </c>
      <c r="S2860" s="5">
        <v>26</v>
      </c>
    </row>
    <row r="2861" spans="1:19" ht="28" x14ac:dyDescent="0.15">
      <c r="A2861" s="2">
        <f>HYPERLINK("https://open-school.uspishnemisto.com.ua/school/140332/", 140332)</f>
        <v>140332</v>
      </c>
      <c r="B2861" s="3" t="s">
        <v>15078</v>
      </c>
      <c r="C2861" s="3" t="s">
        <v>31</v>
      </c>
      <c r="D2861" s="3" t="s">
        <v>175</v>
      </c>
      <c r="E2861" s="4" t="s">
        <v>22</v>
      </c>
      <c r="F2861" s="4" t="s">
        <v>15079</v>
      </c>
      <c r="G2861" s="4" t="s">
        <v>15080</v>
      </c>
      <c r="H2861" s="3" t="s">
        <v>13575</v>
      </c>
      <c r="I2861" s="3" t="s">
        <v>15081</v>
      </c>
      <c r="J2861" s="3" t="s">
        <v>792</v>
      </c>
      <c r="K2861" s="3" t="s">
        <v>15082</v>
      </c>
      <c r="L2861" s="3" t="s">
        <v>15083</v>
      </c>
      <c r="M2861" s="4"/>
      <c r="N2861" s="3" t="s">
        <v>37</v>
      </c>
      <c r="O2861" s="3" t="s">
        <v>52</v>
      </c>
      <c r="P2861" s="5">
        <v>3</v>
      </c>
      <c r="Q2861" s="5">
        <v>27</v>
      </c>
      <c r="R2861" s="5">
        <v>4</v>
      </c>
      <c r="S2861" s="5">
        <v>33</v>
      </c>
    </row>
    <row r="2862" spans="1:19" ht="28" x14ac:dyDescent="0.15">
      <c r="A2862" s="2">
        <f>HYPERLINK("https://open-school.uspishnemisto.com.ua/school/140333/", 140333)</f>
        <v>140333</v>
      </c>
      <c r="B2862" s="3" t="s">
        <v>15084</v>
      </c>
      <c r="C2862" s="3" t="s">
        <v>31</v>
      </c>
      <c r="D2862" s="3" t="s">
        <v>32</v>
      </c>
      <c r="E2862" s="4" t="s">
        <v>22</v>
      </c>
      <c r="F2862" s="4" t="s">
        <v>15085</v>
      </c>
      <c r="G2862" s="4" t="s">
        <v>15086</v>
      </c>
      <c r="H2862" s="3" t="s">
        <v>13575</v>
      </c>
      <c r="I2862" s="3" t="s">
        <v>15087</v>
      </c>
      <c r="J2862" s="3" t="s">
        <v>15088</v>
      </c>
      <c r="K2862" s="3" t="s">
        <v>15089</v>
      </c>
      <c r="L2862" s="3"/>
      <c r="M2862" s="4"/>
      <c r="N2862" s="3" t="s">
        <v>37</v>
      </c>
      <c r="O2862" s="3" t="s">
        <v>618</v>
      </c>
      <c r="P2862" s="5">
        <v>4</v>
      </c>
      <c r="Q2862" s="5">
        <v>31</v>
      </c>
      <c r="R2862" s="5">
        <v>4</v>
      </c>
      <c r="S2862" s="5">
        <v>34</v>
      </c>
    </row>
    <row r="2863" spans="1:19" ht="28" x14ac:dyDescent="0.15">
      <c r="A2863" s="2">
        <f>HYPERLINK("https://open-school.uspishnemisto.com.ua/school/140334/", 140334)</f>
        <v>140334</v>
      </c>
      <c r="B2863" s="3" t="s">
        <v>15090</v>
      </c>
      <c r="C2863" s="3" t="s">
        <v>31</v>
      </c>
      <c r="D2863" s="3" t="s">
        <v>32</v>
      </c>
      <c r="E2863" s="4" t="s">
        <v>22</v>
      </c>
      <c r="F2863" s="4" t="s">
        <v>15091</v>
      </c>
      <c r="G2863" s="4" t="s">
        <v>15092</v>
      </c>
      <c r="H2863" s="3" t="s">
        <v>13575</v>
      </c>
      <c r="I2863" s="3" t="s">
        <v>12772</v>
      </c>
      <c r="J2863" s="3" t="s">
        <v>15093</v>
      </c>
      <c r="K2863" s="3" t="s">
        <v>15094</v>
      </c>
      <c r="L2863" s="3"/>
      <c r="M2863" s="4"/>
      <c r="N2863" s="3" t="s">
        <v>37</v>
      </c>
      <c r="O2863" s="3" t="s">
        <v>38</v>
      </c>
      <c r="P2863" s="5">
        <v>10</v>
      </c>
      <c r="Q2863" s="5">
        <v>102</v>
      </c>
      <c r="R2863" s="5">
        <v>10</v>
      </c>
      <c r="S2863" s="5">
        <v>95</v>
      </c>
    </row>
    <row r="2864" spans="1:19" ht="42" x14ac:dyDescent="0.15">
      <c r="A2864" s="2">
        <f>HYPERLINK("https://open-school.uspishnemisto.com.ua/school/140335/", 140335)</f>
        <v>140335</v>
      </c>
      <c r="B2864" s="3" t="s">
        <v>15095</v>
      </c>
      <c r="C2864" s="3" t="s">
        <v>40</v>
      </c>
      <c r="D2864" s="3" t="s">
        <v>32</v>
      </c>
      <c r="E2864" s="4" t="s">
        <v>22</v>
      </c>
      <c r="F2864" s="4" t="s">
        <v>15096</v>
      </c>
      <c r="G2864" s="4" t="s">
        <v>15097</v>
      </c>
      <c r="H2864" s="3" t="s">
        <v>13575</v>
      </c>
      <c r="I2864" s="3" t="s">
        <v>15098</v>
      </c>
      <c r="J2864" s="3" t="s">
        <v>15099</v>
      </c>
      <c r="K2864" s="3" t="s">
        <v>15100</v>
      </c>
      <c r="L2864" s="3" t="s">
        <v>15101</v>
      </c>
      <c r="M2864" s="4"/>
      <c r="N2864" s="3" t="s">
        <v>128</v>
      </c>
      <c r="O2864" s="3" t="s">
        <v>13929</v>
      </c>
      <c r="P2864" s="5">
        <v>22</v>
      </c>
      <c r="Q2864" s="5">
        <v>474</v>
      </c>
      <c r="R2864" s="5">
        <v>21</v>
      </c>
      <c r="S2864" s="5">
        <v>462</v>
      </c>
    </row>
    <row r="2865" spans="1:19" ht="42" x14ac:dyDescent="0.15">
      <c r="A2865" s="2">
        <f>HYPERLINK("https://open-school.uspishnemisto.com.ua/school/140336/", 140336)</f>
        <v>140336</v>
      </c>
      <c r="B2865" s="3" t="s">
        <v>15102</v>
      </c>
      <c r="C2865" s="3" t="s">
        <v>31</v>
      </c>
      <c r="D2865" s="3" t="s">
        <v>32</v>
      </c>
      <c r="E2865" s="4" t="s">
        <v>22</v>
      </c>
      <c r="F2865" s="4" t="s">
        <v>15096</v>
      </c>
      <c r="G2865" s="4" t="s">
        <v>15097</v>
      </c>
      <c r="H2865" s="3" t="s">
        <v>13575</v>
      </c>
      <c r="I2865" s="3" t="s">
        <v>15098</v>
      </c>
      <c r="J2865" s="3" t="s">
        <v>15103</v>
      </c>
      <c r="K2865" s="3" t="s">
        <v>15104</v>
      </c>
      <c r="L2865" s="3"/>
      <c r="M2865" s="4"/>
      <c r="N2865" s="3" t="s">
        <v>128</v>
      </c>
      <c r="O2865" s="3" t="s">
        <v>38</v>
      </c>
      <c r="P2865" s="5">
        <v>18</v>
      </c>
      <c r="Q2865" s="5">
        <v>367</v>
      </c>
      <c r="R2865" s="5">
        <v>17</v>
      </c>
      <c r="S2865" s="5">
        <v>351</v>
      </c>
    </row>
    <row r="2866" spans="1:19" ht="42" x14ac:dyDescent="0.15">
      <c r="A2866" s="2">
        <f>HYPERLINK("https://open-school.uspishnemisto.com.ua/school/140337/", 140337)</f>
        <v>140337</v>
      </c>
      <c r="B2866" s="3" t="s">
        <v>15105</v>
      </c>
      <c r="C2866" s="3" t="s">
        <v>31</v>
      </c>
      <c r="D2866" s="3" t="s">
        <v>32</v>
      </c>
      <c r="E2866" s="4" t="s">
        <v>22</v>
      </c>
      <c r="F2866" s="4" t="s">
        <v>15106</v>
      </c>
      <c r="G2866" s="4" t="s">
        <v>15107</v>
      </c>
      <c r="H2866" s="3" t="s">
        <v>13575</v>
      </c>
      <c r="I2866" s="3" t="s">
        <v>15108</v>
      </c>
      <c r="J2866" s="3" t="s">
        <v>15109</v>
      </c>
      <c r="K2866" s="3" t="s">
        <v>15110</v>
      </c>
      <c r="L2866" s="3"/>
      <c r="M2866" s="4"/>
      <c r="N2866" s="3" t="s">
        <v>37</v>
      </c>
      <c r="O2866" s="3" t="s">
        <v>38</v>
      </c>
      <c r="P2866" s="5">
        <v>11</v>
      </c>
      <c r="Q2866" s="5">
        <v>132</v>
      </c>
      <c r="R2866" s="5">
        <v>11</v>
      </c>
      <c r="S2866" s="5">
        <v>102</v>
      </c>
    </row>
    <row r="2867" spans="1:19" ht="28" x14ac:dyDescent="0.15">
      <c r="A2867" s="2">
        <f>HYPERLINK("https://open-school.uspishnemisto.com.ua/school/140338/", 140338)</f>
        <v>140338</v>
      </c>
      <c r="B2867" s="3" t="s">
        <v>15111</v>
      </c>
      <c r="C2867" s="3" t="s">
        <v>31</v>
      </c>
      <c r="D2867" s="3" t="s">
        <v>32</v>
      </c>
      <c r="E2867" s="4" t="s">
        <v>22</v>
      </c>
      <c r="F2867" s="4" t="s">
        <v>15112</v>
      </c>
      <c r="G2867" s="4" t="s">
        <v>15113</v>
      </c>
      <c r="H2867" s="3" t="s">
        <v>13575</v>
      </c>
      <c r="I2867" s="3" t="s">
        <v>4594</v>
      </c>
      <c r="J2867" s="3" t="s">
        <v>15114</v>
      </c>
      <c r="K2867" s="3" t="s">
        <v>15115</v>
      </c>
      <c r="L2867" s="3"/>
      <c r="M2867" s="4"/>
      <c r="N2867" s="3" t="s">
        <v>37</v>
      </c>
      <c r="O2867" s="3" t="s">
        <v>38</v>
      </c>
      <c r="P2867" s="5">
        <v>11</v>
      </c>
      <c r="Q2867" s="5">
        <v>140</v>
      </c>
      <c r="R2867" s="5">
        <v>11</v>
      </c>
      <c r="S2867" s="5">
        <v>137</v>
      </c>
    </row>
    <row r="2868" spans="1:19" ht="28" x14ac:dyDescent="0.15">
      <c r="A2868" s="2">
        <f>HYPERLINK("https://open-school.uspishnemisto.com.ua/school/140339/", 140339)</f>
        <v>140339</v>
      </c>
      <c r="B2868" s="3" t="s">
        <v>15116</v>
      </c>
      <c r="C2868" s="3" t="s">
        <v>31</v>
      </c>
      <c r="D2868" s="3" t="s">
        <v>32</v>
      </c>
      <c r="E2868" s="4" t="s">
        <v>22</v>
      </c>
      <c r="F2868" s="4" t="s">
        <v>15117</v>
      </c>
      <c r="G2868" s="4" t="s">
        <v>15118</v>
      </c>
      <c r="H2868" s="3" t="s">
        <v>13575</v>
      </c>
      <c r="I2868" s="3" t="s">
        <v>15119</v>
      </c>
      <c r="J2868" s="3" t="s">
        <v>2719</v>
      </c>
      <c r="K2868" s="3" t="s">
        <v>15120</v>
      </c>
      <c r="L2868" s="3"/>
      <c r="M2868" s="4"/>
      <c r="N2868" s="3" t="s">
        <v>128</v>
      </c>
      <c r="O2868" s="3" t="s">
        <v>38</v>
      </c>
      <c r="P2868" s="5">
        <v>11</v>
      </c>
      <c r="Q2868" s="5">
        <v>129</v>
      </c>
      <c r="R2868" s="5">
        <v>11</v>
      </c>
      <c r="S2868" s="5">
        <v>128</v>
      </c>
    </row>
    <row r="2869" spans="1:19" ht="28" x14ac:dyDescent="0.15">
      <c r="A2869" s="2">
        <f>HYPERLINK("https://open-school.uspishnemisto.com.ua/school/140340/", 140340)</f>
        <v>140340</v>
      </c>
      <c r="B2869" s="3" t="s">
        <v>15121</v>
      </c>
      <c r="C2869" s="3" t="s">
        <v>31</v>
      </c>
      <c r="D2869" s="3" t="s">
        <v>32</v>
      </c>
      <c r="E2869" s="4" t="s">
        <v>22</v>
      </c>
      <c r="F2869" s="4" t="s">
        <v>15122</v>
      </c>
      <c r="G2869" s="4" t="s">
        <v>15123</v>
      </c>
      <c r="H2869" s="3" t="s">
        <v>13575</v>
      </c>
      <c r="I2869" s="3" t="s">
        <v>11964</v>
      </c>
      <c r="J2869" s="3" t="s">
        <v>2052</v>
      </c>
      <c r="K2869" s="3" t="s">
        <v>15124</v>
      </c>
      <c r="L2869" s="3"/>
      <c r="M2869" s="4"/>
      <c r="N2869" s="3" t="s">
        <v>37</v>
      </c>
      <c r="O2869" s="3" t="s">
        <v>38</v>
      </c>
      <c r="P2869" s="5">
        <v>9</v>
      </c>
      <c r="Q2869" s="5">
        <v>63</v>
      </c>
      <c r="R2869" s="5">
        <v>8</v>
      </c>
      <c r="S2869" s="5">
        <v>54</v>
      </c>
    </row>
    <row r="2870" spans="1:19" ht="28" x14ac:dyDescent="0.15">
      <c r="A2870" s="2">
        <f>HYPERLINK("https://open-school.uspishnemisto.com.ua/school/140341/", 140341)</f>
        <v>140341</v>
      </c>
      <c r="B2870" s="3" t="s">
        <v>15125</v>
      </c>
      <c r="C2870" s="3" t="s">
        <v>31</v>
      </c>
      <c r="D2870" s="3" t="s">
        <v>32</v>
      </c>
      <c r="E2870" s="4" t="s">
        <v>22</v>
      </c>
      <c r="F2870" s="4" t="s">
        <v>15126</v>
      </c>
      <c r="G2870" s="4" t="s">
        <v>15127</v>
      </c>
      <c r="H2870" s="3" t="s">
        <v>13575</v>
      </c>
      <c r="I2870" s="3" t="s">
        <v>11029</v>
      </c>
      <c r="J2870" s="3" t="s">
        <v>15128</v>
      </c>
      <c r="K2870" s="3" t="s">
        <v>15129</v>
      </c>
      <c r="L2870" s="3"/>
      <c r="M2870" s="4"/>
      <c r="N2870" s="3" t="s">
        <v>37</v>
      </c>
      <c r="O2870" s="3" t="s">
        <v>38</v>
      </c>
      <c r="P2870" s="5">
        <v>11</v>
      </c>
      <c r="Q2870" s="5">
        <v>104</v>
      </c>
      <c r="R2870" s="5">
        <v>10</v>
      </c>
      <c r="S2870" s="5">
        <v>105</v>
      </c>
    </row>
    <row r="2871" spans="1:19" ht="28" x14ac:dyDescent="0.15">
      <c r="A2871" s="2">
        <f>HYPERLINK("https://open-school.uspishnemisto.com.ua/school/140342/", 140342)</f>
        <v>140342</v>
      </c>
      <c r="B2871" s="3" t="s">
        <v>15130</v>
      </c>
      <c r="C2871" s="3" t="s">
        <v>31</v>
      </c>
      <c r="D2871" s="3" t="s">
        <v>32</v>
      </c>
      <c r="E2871" s="4" t="s">
        <v>22</v>
      </c>
      <c r="F2871" s="4" t="s">
        <v>15131</v>
      </c>
      <c r="G2871" s="4" t="s">
        <v>15132</v>
      </c>
      <c r="H2871" s="3" t="s">
        <v>13575</v>
      </c>
      <c r="I2871" s="3" t="s">
        <v>15133</v>
      </c>
      <c r="J2871" s="3" t="s">
        <v>15134</v>
      </c>
      <c r="K2871" s="3" t="s">
        <v>15135</v>
      </c>
      <c r="L2871" s="3"/>
      <c r="M2871" s="4"/>
      <c r="N2871" s="3" t="s">
        <v>128</v>
      </c>
      <c r="O2871" s="3" t="s">
        <v>721</v>
      </c>
      <c r="P2871" s="5">
        <v>11</v>
      </c>
      <c r="Q2871" s="5">
        <v>133</v>
      </c>
      <c r="R2871" s="5">
        <v>11</v>
      </c>
      <c r="S2871" s="5">
        <v>142</v>
      </c>
    </row>
    <row r="2872" spans="1:19" ht="28" x14ac:dyDescent="0.15">
      <c r="A2872" s="2">
        <f>HYPERLINK("https://open-school.uspishnemisto.com.ua/school/140343/", 140343)</f>
        <v>140343</v>
      </c>
      <c r="B2872" s="3" t="s">
        <v>15136</v>
      </c>
      <c r="C2872" s="3" t="s">
        <v>31</v>
      </c>
      <c r="D2872" s="3" t="s">
        <v>32</v>
      </c>
      <c r="E2872" s="4" t="s">
        <v>22</v>
      </c>
      <c r="F2872" s="4" t="s">
        <v>15137</v>
      </c>
      <c r="G2872" s="4" t="s">
        <v>15138</v>
      </c>
      <c r="H2872" s="3" t="s">
        <v>13575</v>
      </c>
      <c r="I2872" s="3" t="s">
        <v>6822</v>
      </c>
      <c r="J2872" s="3" t="s">
        <v>15139</v>
      </c>
      <c r="K2872" s="3" t="s">
        <v>15140</v>
      </c>
      <c r="L2872" s="3"/>
      <c r="M2872" s="4"/>
      <c r="N2872" s="3" t="s">
        <v>37</v>
      </c>
      <c r="O2872" s="3" t="s">
        <v>721</v>
      </c>
      <c r="P2872" s="5">
        <v>8</v>
      </c>
      <c r="Q2872" s="5">
        <v>66</v>
      </c>
      <c r="R2872" s="5">
        <v>7</v>
      </c>
      <c r="S2872" s="5">
        <v>60</v>
      </c>
    </row>
    <row r="2873" spans="1:19" ht="28" x14ac:dyDescent="0.15">
      <c r="A2873" s="2">
        <f>HYPERLINK("https://open-school.uspishnemisto.com.ua/school/140344/", 140344)</f>
        <v>140344</v>
      </c>
      <c r="B2873" s="3" t="s">
        <v>15141</v>
      </c>
      <c r="C2873" s="3" t="s">
        <v>31</v>
      </c>
      <c r="D2873" s="3" t="s">
        <v>32</v>
      </c>
      <c r="E2873" s="4" t="s">
        <v>22</v>
      </c>
      <c r="F2873" s="4" t="s">
        <v>15142</v>
      </c>
      <c r="G2873" s="4" t="s">
        <v>15143</v>
      </c>
      <c r="H2873" s="3" t="s">
        <v>13575</v>
      </c>
      <c r="I2873" s="3" t="s">
        <v>15144</v>
      </c>
      <c r="J2873" s="3" t="s">
        <v>15145</v>
      </c>
      <c r="K2873" s="3" t="s">
        <v>15146</v>
      </c>
      <c r="L2873" s="3"/>
      <c r="M2873" s="4"/>
      <c r="N2873" s="3" t="s">
        <v>128</v>
      </c>
      <c r="O2873" s="3" t="s">
        <v>38</v>
      </c>
      <c r="P2873" s="5">
        <v>11</v>
      </c>
      <c r="Q2873" s="5">
        <v>136</v>
      </c>
      <c r="R2873" s="5">
        <v>11</v>
      </c>
      <c r="S2873" s="5">
        <v>134</v>
      </c>
    </row>
    <row r="2874" spans="1:19" ht="28" x14ac:dyDescent="0.15">
      <c r="A2874" s="2">
        <f>HYPERLINK("https://open-school.uspishnemisto.com.ua/school/140345/", 140345)</f>
        <v>140345</v>
      </c>
      <c r="B2874" s="3" t="s">
        <v>15147</v>
      </c>
      <c r="C2874" s="3" t="s">
        <v>31</v>
      </c>
      <c r="D2874" s="3" t="s">
        <v>32</v>
      </c>
      <c r="E2874" s="4" t="s">
        <v>22</v>
      </c>
      <c r="F2874" s="4" t="s">
        <v>15148</v>
      </c>
      <c r="G2874" s="4" t="s">
        <v>15149</v>
      </c>
      <c r="H2874" s="3" t="s">
        <v>13575</v>
      </c>
      <c r="I2874" s="3" t="s">
        <v>15150</v>
      </c>
      <c r="J2874" s="3" t="s">
        <v>634</v>
      </c>
      <c r="K2874" s="3" t="s">
        <v>15151</v>
      </c>
      <c r="L2874" s="3"/>
      <c r="M2874" s="4"/>
      <c r="N2874" s="3" t="s">
        <v>37</v>
      </c>
      <c r="O2874" s="3" t="s">
        <v>38</v>
      </c>
      <c r="P2874" s="5">
        <v>9</v>
      </c>
      <c r="Q2874" s="5">
        <v>95</v>
      </c>
      <c r="R2874" s="5">
        <v>10</v>
      </c>
      <c r="S2874" s="5">
        <v>108</v>
      </c>
    </row>
    <row r="2875" spans="1:19" ht="28" x14ac:dyDescent="0.15">
      <c r="A2875" s="2">
        <f>HYPERLINK("https://open-school.uspishnemisto.com.ua/school/140346/", 140346)</f>
        <v>140346</v>
      </c>
      <c r="B2875" s="3" t="s">
        <v>15152</v>
      </c>
      <c r="C2875" s="3" t="s">
        <v>31</v>
      </c>
      <c r="D2875" s="3" t="s">
        <v>175</v>
      </c>
      <c r="E2875" s="4" t="s">
        <v>22</v>
      </c>
      <c r="F2875" s="4" t="s">
        <v>15153</v>
      </c>
      <c r="G2875" s="4" t="s">
        <v>15154</v>
      </c>
      <c r="H2875" s="3" t="s">
        <v>13575</v>
      </c>
      <c r="I2875" s="3" t="s">
        <v>15155</v>
      </c>
      <c r="J2875" s="3" t="s">
        <v>15156</v>
      </c>
      <c r="K2875" s="3" t="s">
        <v>15157</v>
      </c>
      <c r="L2875" s="3"/>
      <c r="M2875" s="4"/>
      <c r="N2875" s="3" t="s">
        <v>128</v>
      </c>
      <c r="O2875" s="3" t="s">
        <v>38</v>
      </c>
      <c r="P2875" s="5">
        <v>4</v>
      </c>
      <c r="Q2875" s="5">
        <v>31</v>
      </c>
      <c r="R2875" s="5">
        <v>7</v>
      </c>
      <c r="S2875" s="5">
        <v>61</v>
      </c>
    </row>
    <row r="2876" spans="1:19" ht="28" x14ac:dyDescent="0.15">
      <c r="A2876" s="2">
        <f>HYPERLINK("https://open-school.uspishnemisto.com.ua/school/140347/", 140347)</f>
        <v>140347</v>
      </c>
      <c r="B2876" s="3" t="s">
        <v>15158</v>
      </c>
      <c r="C2876" s="3" t="s">
        <v>31</v>
      </c>
      <c r="D2876" s="3" t="s">
        <v>175</v>
      </c>
      <c r="E2876" s="4" t="s">
        <v>22</v>
      </c>
      <c r="F2876" s="4" t="s">
        <v>15159</v>
      </c>
      <c r="G2876" s="4" t="s">
        <v>15160</v>
      </c>
      <c r="H2876" s="3" t="s">
        <v>13575</v>
      </c>
      <c r="I2876" s="3" t="s">
        <v>15161</v>
      </c>
      <c r="J2876" s="3" t="s">
        <v>15162</v>
      </c>
      <c r="K2876" s="3" t="s">
        <v>15163</v>
      </c>
      <c r="L2876" s="3"/>
      <c r="M2876" s="4"/>
      <c r="N2876" s="3" t="s">
        <v>37</v>
      </c>
      <c r="O2876" s="3" t="s">
        <v>38</v>
      </c>
      <c r="P2876" s="5">
        <v>9</v>
      </c>
      <c r="Q2876" s="5">
        <v>62</v>
      </c>
      <c r="R2876" s="5">
        <v>9</v>
      </c>
      <c r="S2876" s="5">
        <v>64</v>
      </c>
    </row>
    <row r="2877" spans="1:19" ht="28" x14ac:dyDescent="0.15">
      <c r="A2877" s="2">
        <f>HYPERLINK("https://open-school.uspishnemisto.com.ua/school/140348/", 140348)</f>
        <v>140348</v>
      </c>
      <c r="B2877" s="3" t="s">
        <v>15164</v>
      </c>
      <c r="C2877" s="3" t="s">
        <v>31</v>
      </c>
      <c r="D2877" s="3" t="s">
        <v>32</v>
      </c>
      <c r="E2877" s="4" t="s">
        <v>22</v>
      </c>
      <c r="F2877" s="4" t="s">
        <v>15159</v>
      </c>
      <c r="G2877" s="4" t="s">
        <v>15160</v>
      </c>
      <c r="H2877" s="3" t="s">
        <v>13575</v>
      </c>
      <c r="I2877" s="3" t="s">
        <v>15161</v>
      </c>
      <c r="J2877" s="3" t="s">
        <v>15165</v>
      </c>
      <c r="K2877" s="3" t="s">
        <v>15166</v>
      </c>
      <c r="L2877" s="3"/>
      <c r="M2877" s="4"/>
      <c r="N2877" s="3" t="s">
        <v>128</v>
      </c>
      <c r="O2877" s="3" t="s">
        <v>38</v>
      </c>
      <c r="P2877" s="5">
        <v>13</v>
      </c>
      <c r="Q2877" s="5">
        <v>200</v>
      </c>
      <c r="R2877" s="5">
        <v>14</v>
      </c>
      <c r="S2877" s="5">
        <v>218</v>
      </c>
    </row>
    <row r="2878" spans="1:19" ht="42" x14ac:dyDescent="0.15">
      <c r="A2878" s="2">
        <f>HYPERLINK("https://open-school.uspishnemisto.com.ua/school/140349/", 140349)</f>
        <v>140349</v>
      </c>
      <c r="B2878" s="3" t="s">
        <v>15167</v>
      </c>
      <c r="C2878" s="3" t="s">
        <v>31</v>
      </c>
      <c r="D2878" s="3" t="s">
        <v>175</v>
      </c>
      <c r="E2878" s="4" t="s">
        <v>22</v>
      </c>
      <c r="F2878" s="4" t="s">
        <v>15168</v>
      </c>
      <c r="G2878" s="4" t="s">
        <v>15169</v>
      </c>
      <c r="H2878" s="3" t="s">
        <v>13575</v>
      </c>
      <c r="I2878" s="3" t="s">
        <v>15170</v>
      </c>
      <c r="J2878" s="3" t="s">
        <v>15171</v>
      </c>
      <c r="K2878" s="3" t="s">
        <v>15172</v>
      </c>
      <c r="L2878" s="3"/>
      <c r="M2878" s="4"/>
      <c r="N2878" s="3" t="s">
        <v>37</v>
      </c>
      <c r="O2878" s="3" t="s">
        <v>38</v>
      </c>
      <c r="P2878" s="5">
        <v>9</v>
      </c>
      <c r="Q2878" s="5">
        <v>83</v>
      </c>
      <c r="R2878" s="5">
        <v>9</v>
      </c>
      <c r="S2878" s="5">
        <v>74</v>
      </c>
    </row>
    <row r="2879" spans="1:19" ht="28" x14ac:dyDescent="0.15">
      <c r="A2879" s="2">
        <f>HYPERLINK("https://open-school.uspishnemisto.com.ua/school/140350/", 140350)</f>
        <v>140350</v>
      </c>
      <c r="B2879" s="3" t="s">
        <v>15173</v>
      </c>
      <c r="C2879" s="3" t="s">
        <v>31</v>
      </c>
      <c r="D2879" s="3" t="s">
        <v>32</v>
      </c>
      <c r="E2879" s="4" t="s">
        <v>22</v>
      </c>
      <c r="F2879" s="4" t="s">
        <v>15168</v>
      </c>
      <c r="G2879" s="4" t="s">
        <v>15169</v>
      </c>
      <c r="H2879" s="3" t="s">
        <v>13575</v>
      </c>
      <c r="I2879" s="3" t="s">
        <v>15170</v>
      </c>
      <c r="J2879" s="3" t="s">
        <v>5955</v>
      </c>
      <c r="K2879" s="3" t="s">
        <v>15174</v>
      </c>
      <c r="L2879" s="3"/>
      <c r="M2879" s="4"/>
      <c r="N2879" s="3" t="s">
        <v>37</v>
      </c>
      <c r="O2879" s="3" t="s">
        <v>38</v>
      </c>
      <c r="P2879" s="5">
        <v>11</v>
      </c>
      <c r="Q2879" s="5">
        <v>112</v>
      </c>
      <c r="R2879" s="5">
        <v>11</v>
      </c>
      <c r="S2879" s="5">
        <v>127</v>
      </c>
    </row>
    <row r="2880" spans="1:19" ht="28" x14ac:dyDescent="0.15">
      <c r="A2880" s="2">
        <f>HYPERLINK("https://open-school.uspishnemisto.com.ua/school/140351/", 140351)</f>
        <v>140351</v>
      </c>
      <c r="B2880" s="3" t="s">
        <v>15175</v>
      </c>
      <c r="C2880" s="3" t="s">
        <v>31</v>
      </c>
      <c r="D2880" s="3" t="s">
        <v>32</v>
      </c>
      <c r="E2880" s="4" t="s">
        <v>22</v>
      </c>
      <c r="F2880" s="4" t="s">
        <v>15176</v>
      </c>
      <c r="G2880" s="4" t="s">
        <v>15177</v>
      </c>
      <c r="H2880" s="3" t="s">
        <v>13575</v>
      </c>
      <c r="I2880" s="3" t="s">
        <v>15178</v>
      </c>
      <c r="J2880" s="3" t="s">
        <v>15179</v>
      </c>
      <c r="K2880" s="3"/>
      <c r="L2880" s="3"/>
      <c r="M2880" s="4"/>
      <c r="N2880" s="3" t="s">
        <v>37</v>
      </c>
      <c r="O2880" s="3" t="s">
        <v>38</v>
      </c>
      <c r="P2880" s="5">
        <v>14</v>
      </c>
      <c r="Q2880" s="5">
        <v>152</v>
      </c>
      <c r="R2880" s="5">
        <v>15</v>
      </c>
      <c r="S2880" s="5">
        <v>170</v>
      </c>
    </row>
    <row r="2881" spans="1:19" ht="28" x14ac:dyDescent="0.15">
      <c r="A2881" s="2">
        <f>HYPERLINK("https://open-school.uspishnemisto.com.ua/school/140352/", 140352)</f>
        <v>140352</v>
      </c>
      <c r="B2881" s="3" t="s">
        <v>15180</v>
      </c>
      <c r="C2881" s="3" t="s">
        <v>31</v>
      </c>
      <c r="D2881" s="3" t="s">
        <v>32</v>
      </c>
      <c r="E2881" s="4" t="s">
        <v>22</v>
      </c>
      <c r="F2881" s="4" t="s">
        <v>15181</v>
      </c>
      <c r="G2881" s="4" t="s">
        <v>15182</v>
      </c>
      <c r="H2881" s="3" t="s">
        <v>13575</v>
      </c>
      <c r="I2881" s="3" t="s">
        <v>15183</v>
      </c>
      <c r="J2881" s="3" t="s">
        <v>15184</v>
      </c>
      <c r="K2881" s="3" t="s">
        <v>15185</v>
      </c>
      <c r="L2881" s="3"/>
      <c r="M2881" s="4"/>
      <c r="N2881" s="3" t="s">
        <v>37</v>
      </c>
      <c r="O2881" s="3" t="s">
        <v>38</v>
      </c>
      <c r="P2881" s="5">
        <v>11</v>
      </c>
      <c r="Q2881" s="5">
        <v>76</v>
      </c>
      <c r="R2881" s="5">
        <v>11</v>
      </c>
      <c r="S2881" s="5">
        <v>87</v>
      </c>
    </row>
    <row r="2882" spans="1:19" ht="28" x14ac:dyDescent="0.15">
      <c r="A2882" s="2">
        <f>HYPERLINK("https://open-school.uspishnemisto.com.ua/school/140353/", 140353)</f>
        <v>140353</v>
      </c>
      <c r="B2882" s="3" t="s">
        <v>15186</v>
      </c>
      <c r="C2882" s="3" t="s">
        <v>31</v>
      </c>
      <c r="D2882" s="3" t="s">
        <v>32</v>
      </c>
      <c r="E2882" s="4" t="s">
        <v>22</v>
      </c>
      <c r="F2882" s="4" t="s">
        <v>15187</v>
      </c>
      <c r="G2882" s="4" t="s">
        <v>15188</v>
      </c>
      <c r="H2882" s="3" t="s">
        <v>13575</v>
      </c>
      <c r="I2882" s="3" t="s">
        <v>15189</v>
      </c>
      <c r="J2882" s="3" t="s">
        <v>15190</v>
      </c>
      <c r="K2882" s="3" t="s">
        <v>15191</v>
      </c>
      <c r="L2882" s="3"/>
      <c r="M2882" s="4"/>
      <c r="N2882" s="3" t="s">
        <v>128</v>
      </c>
      <c r="O2882" s="3" t="s">
        <v>38</v>
      </c>
      <c r="P2882" s="5">
        <v>7</v>
      </c>
      <c r="Q2882" s="5">
        <v>65</v>
      </c>
      <c r="R2882" s="5">
        <v>9</v>
      </c>
      <c r="S2882" s="5">
        <v>77</v>
      </c>
    </row>
    <row r="2883" spans="1:19" ht="28" x14ac:dyDescent="0.15">
      <c r="A2883" s="2">
        <f>HYPERLINK("https://open-school.uspishnemisto.com.ua/school/140354/", 140354)</f>
        <v>140354</v>
      </c>
      <c r="B2883" s="3" t="s">
        <v>15192</v>
      </c>
      <c r="C2883" s="3" t="s">
        <v>31</v>
      </c>
      <c r="D2883" s="3" t="s">
        <v>32</v>
      </c>
      <c r="E2883" s="4" t="s">
        <v>22</v>
      </c>
      <c r="F2883" s="4" t="s">
        <v>15193</v>
      </c>
      <c r="G2883" s="4" t="s">
        <v>15194</v>
      </c>
      <c r="H2883" s="3" t="s">
        <v>13575</v>
      </c>
      <c r="I2883" s="3" t="s">
        <v>15195</v>
      </c>
      <c r="J2883" s="3" t="s">
        <v>15196</v>
      </c>
      <c r="K2883" s="3"/>
      <c r="L2883" s="3"/>
      <c r="M2883" s="4"/>
      <c r="N2883" s="3" t="s">
        <v>37</v>
      </c>
      <c r="O2883" s="3" t="s">
        <v>38</v>
      </c>
      <c r="P2883" s="5">
        <v>11</v>
      </c>
      <c r="Q2883" s="5">
        <v>132</v>
      </c>
      <c r="R2883" s="5">
        <v>11</v>
      </c>
      <c r="S2883" s="5">
        <v>142</v>
      </c>
    </row>
    <row r="2884" spans="1:19" ht="28" x14ac:dyDescent="0.15">
      <c r="A2884" s="2">
        <f>HYPERLINK("https://open-school.uspishnemisto.com.ua/school/140355/", 140355)</f>
        <v>140355</v>
      </c>
      <c r="B2884" s="3" t="s">
        <v>15197</v>
      </c>
      <c r="C2884" s="3" t="s">
        <v>31</v>
      </c>
      <c r="D2884" s="3" t="s">
        <v>32</v>
      </c>
      <c r="E2884" s="4" t="s">
        <v>22</v>
      </c>
      <c r="F2884" s="4" t="s">
        <v>15198</v>
      </c>
      <c r="G2884" s="4" t="s">
        <v>15199</v>
      </c>
      <c r="H2884" s="3" t="s">
        <v>13575</v>
      </c>
      <c r="I2884" s="3" t="s">
        <v>15200</v>
      </c>
      <c r="J2884" s="3" t="s">
        <v>15201</v>
      </c>
      <c r="K2884" s="3" t="s">
        <v>15202</v>
      </c>
      <c r="L2884" s="3"/>
      <c r="M2884" s="4"/>
      <c r="N2884" s="3" t="s">
        <v>128</v>
      </c>
      <c r="O2884" s="3" t="s">
        <v>14023</v>
      </c>
      <c r="P2884" s="5">
        <v>11</v>
      </c>
      <c r="Q2884" s="5">
        <v>109</v>
      </c>
      <c r="R2884" s="5">
        <v>11</v>
      </c>
      <c r="S2884" s="5">
        <v>117</v>
      </c>
    </row>
    <row r="2885" spans="1:19" ht="28" x14ac:dyDescent="0.15">
      <c r="A2885" s="2">
        <f>HYPERLINK("https://open-school.uspishnemisto.com.ua/school/140356/", 140356)</f>
        <v>140356</v>
      </c>
      <c r="B2885" s="3" t="s">
        <v>15203</v>
      </c>
      <c r="C2885" s="3" t="s">
        <v>31</v>
      </c>
      <c r="D2885" s="3" t="s">
        <v>32</v>
      </c>
      <c r="E2885" s="4" t="s">
        <v>22</v>
      </c>
      <c r="F2885" s="4" t="s">
        <v>15198</v>
      </c>
      <c r="G2885" s="4" t="s">
        <v>15199</v>
      </c>
      <c r="H2885" s="3" t="s">
        <v>13575</v>
      </c>
      <c r="I2885" s="3" t="s">
        <v>15200</v>
      </c>
      <c r="J2885" s="3" t="s">
        <v>3683</v>
      </c>
      <c r="K2885" s="3" t="s">
        <v>15204</v>
      </c>
      <c r="L2885" s="3"/>
      <c r="M2885" s="4"/>
      <c r="N2885" s="3" t="s">
        <v>37</v>
      </c>
      <c r="O2885" s="3" t="s">
        <v>38</v>
      </c>
      <c r="P2885" s="5">
        <v>11</v>
      </c>
      <c r="Q2885" s="5">
        <v>180</v>
      </c>
      <c r="R2885" s="5">
        <v>11</v>
      </c>
      <c r="S2885" s="5">
        <v>166</v>
      </c>
    </row>
    <row r="2886" spans="1:19" ht="28" x14ac:dyDescent="0.15">
      <c r="A2886" s="2">
        <f>HYPERLINK("https://open-school.uspishnemisto.com.ua/school/140357/", 140357)</f>
        <v>140357</v>
      </c>
      <c r="B2886" s="3" t="s">
        <v>15205</v>
      </c>
      <c r="C2886" s="3" t="s">
        <v>31</v>
      </c>
      <c r="D2886" s="3" t="s">
        <v>32</v>
      </c>
      <c r="E2886" s="4" t="s">
        <v>22</v>
      </c>
      <c r="F2886" s="4" t="s">
        <v>15206</v>
      </c>
      <c r="G2886" s="4" t="s">
        <v>15207</v>
      </c>
      <c r="H2886" s="3" t="s">
        <v>13575</v>
      </c>
      <c r="I2886" s="3" t="s">
        <v>12880</v>
      </c>
      <c r="J2886" s="3" t="s">
        <v>12466</v>
      </c>
      <c r="K2886" s="3" t="s">
        <v>15208</v>
      </c>
      <c r="L2886" s="3" t="s">
        <v>15209</v>
      </c>
      <c r="M2886" s="4"/>
      <c r="N2886" s="3" t="s">
        <v>37</v>
      </c>
      <c r="O2886" s="3" t="s">
        <v>38</v>
      </c>
      <c r="P2886" s="5">
        <v>11</v>
      </c>
      <c r="Q2886" s="5">
        <v>103</v>
      </c>
      <c r="R2886" s="5">
        <v>11</v>
      </c>
      <c r="S2886" s="5">
        <v>106</v>
      </c>
    </row>
    <row r="2887" spans="1:19" ht="28" x14ac:dyDescent="0.15">
      <c r="A2887" s="2">
        <f>HYPERLINK("https://open-school.uspishnemisto.com.ua/school/140358/", 140358)</f>
        <v>140358</v>
      </c>
      <c r="B2887" s="3" t="s">
        <v>15210</v>
      </c>
      <c r="C2887" s="3" t="s">
        <v>31</v>
      </c>
      <c r="D2887" s="3" t="s">
        <v>32</v>
      </c>
      <c r="E2887" s="4" t="s">
        <v>22</v>
      </c>
      <c r="F2887" s="4" t="s">
        <v>15211</v>
      </c>
      <c r="G2887" s="4" t="s">
        <v>15212</v>
      </c>
      <c r="H2887" s="3" t="s">
        <v>13575</v>
      </c>
      <c r="I2887" s="3" t="s">
        <v>11250</v>
      </c>
      <c r="J2887" s="3" t="s">
        <v>3363</v>
      </c>
      <c r="K2887" s="3" t="s">
        <v>15213</v>
      </c>
      <c r="L2887" s="3"/>
      <c r="M2887" s="4"/>
      <c r="N2887" s="3" t="s">
        <v>37</v>
      </c>
      <c r="O2887" s="3" t="s">
        <v>38</v>
      </c>
      <c r="P2887" s="5">
        <v>11</v>
      </c>
      <c r="Q2887" s="5">
        <v>155</v>
      </c>
      <c r="R2887" s="5">
        <v>11</v>
      </c>
      <c r="S2887" s="5">
        <v>166</v>
      </c>
    </row>
    <row r="2888" spans="1:19" ht="28" x14ac:dyDescent="0.15">
      <c r="A2888" s="2">
        <f>HYPERLINK("https://open-school.uspishnemisto.com.ua/school/140359/", 140359)</f>
        <v>140359</v>
      </c>
      <c r="B2888" s="3" t="s">
        <v>15214</v>
      </c>
      <c r="C2888" s="3" t="s">
        <v>20</v>
      </c>
      <c r="D2888" s="3" t="s">
        <v>21</v>
      </c>
      <c r="E2888" s="4" t="s">
        <v>22</v>
      </c>
      <c r="F2888" s="4" t="s">
        <v>15215</v>
      </c>
      <c r="G2888" s="4" t="s">
        <v>15216</v>
      </c>
      <c r="H2888" s="3" t="s">
        <v>13575</v>
      </c>
      <c r="I2888" s="3" t="s">
        <v>15217</v>
      </c>
      <c r="J2888" s="3" t="s">
        <v>15218</v>
      </c>
      <c r="K2888" s="3"/>
      <c r="L2888" s="3"/>
      <c r="M2888" s="4"/>
      <c r="N2888" s="3"/>
      <c r="O2888" s="3"/>
      <c r="P2888" s="5">
        <v>0</v>
      </c>
      <c r="Q2888" s="5">
        <v>0</v>
      </c>
      <c r="R2888" s="5"/>
      <c r="S2888" s="5"/>
    </row>
    <row r="2889" spans="1:19" ht="28" x14ac:dyDescent="0.15">
      <c r="A2889" s="2">
        <f>HYPERLINK("https://open-school.uspishnemisto.com.ua/school/140360/", 140360)</f>
        <v>140360</v>
      </c>
      <c r="B2889" s="3" t="s">
        <v>15219</v>
      </c>
      <c r="C2889" s="3" t="s">
        <v>31</v>
      </c>
      <c r="D2889" s="3" t="s">
        <v>32</v>
      </c>
      <c r="E2889" s="4" t="s">
        <v>22</v>
      </c>
      <c r="F2889" s="4" t="s">
        <v>15220</v>
      </c>
      <c r="G2889" s="4" t="s">
        <v>15216</v>
      </c>
      <c r="H2889" s="3" t="s">
        <v>13575</v>
      </c>
      <c r="I2889" s="3" t="s">
        <v>15217</v>
      </c>
      <c r="J2889" s="3" t="s">
        <v>15221</v>
      </c>
      <c r="K2889" s="3" t="s">
        <v>15222</v>
      </c>
      <c r="L2889" s="3" t="s">
        <v>15223</v>
      </c>
      <c r="M2889" s="4"/>
      <c r="N2889" s="3" t="s">
        <v>128</v>
      </c>
      <c r="O2889" s="3" t="s">
        <v>38</v>
      </c>
      <c r="P2889" s="5">
        <v>14</v>
      </c>
      <c r="Q2889" s="5">
        <v>230</v>
      </c>
      <c r="R2889" s="5">
        <v>14</v>
      </c>
      <c r="S2889" s="5">
        <v>237</v>
      </c>
    </row>
    <row r="2890" spans="1:19" ht="28" x14ac:dyDescent="0.15">
      <c r="A2890" s="2">
        <f>HYPERLINK("https://open-school.uspishnemisto.com.ua/school/140361/", 140361)</f>
        <v>140361</v>
      </c>
      <c r="B2890" s="3" t="s">
        <v>15224</v>
      </c>
      <c r="C2890" s="3" t="s">
        <v>31</v>
      </c>
      <c r="D2890" s="3" t="s">
        <v>32</v>
      </c>
      <c r="E2890" s="4" t="s">
        <v>22</v>
      </c>
      <c r="F2890" s="4" t="s">
        <v>15215</v>
      </c>
      <c r="G2890" s="4" t="s">
        <v>15216</v>
      </c>
      <c r="H2890" s="3" t="s">
        <v>13575</v>
      </c>
      <c r="I2890" s="3" t="s">
        <v>15217</v>
      </c>
      <c r="J2890" s="3" t="s">
        <v>15225</v>
      </c>
      <c r="K2890" s="3" t="s">
        <v>15226</v>
      </c>
      <c r="L2890" s="3"/>
      <c r="M2890" s="4"/>
      <c r="N2890" s="3" t="s">
        <v>128</v>
      </c>
      <c r="O2890" s="3" t="s">
        <v>38</v>
      </c>
      <c r="P2890" s="5">
        <v>11</v>
      </c>
      <c r="Q2890" s="5">
        <v>189</v>
      </c>
      <c r="R2890" s="5">
        <v>11</v>
      </c>
      <c r="S2890" s="5">
        <v>182</v>
      </c>
    </row>
    <row r="2891" spans="1:19" ht="28" x14ac:dyDescent="0.15">
      <c r="A2891" s="2">
        <f>HYPERLINK("https://open-school.uspishnemisto.com.ua/school/140362/", 140362)</f>
        <v>140362</v>
      </c>
      <c r="B2891" s="3" t="s">
        <v>15227</v>
      </c>
      <c r="C2891" s="3" t="s">
        <v>31</v>
      </c>
      <c r="D2891" s="3" t="s">
        <v>32</v>
      </c>
      <c r="E2891" s="4" t="s">
        <v>22</v>
      </c>
      <c r="F2891" s="4" t="s">
        <v>15228</v>
      </c>
      <c r="G2891" s="4" t="s">
        <v>15216</v>
      </c>
      <c r="H2891" s="3" t="s">
        <v>13575</v>
      </c>
      <c r="I2891" s="3" t="s">
        <v>15217</v>
      </c>
      <c r="J2891" s="3" t="s">
        <v>15229</v>
      </c>
      <c r="K2891" s="3" t="s">
        <v>15230</v>
      </c>
      <c r="L2891" s="3"/>
      <c r="M2891" s="4"/>
      <c r="N2891" s="3" t="s">
        <v>128</v>
      </c>
      <c r="O2891" s="3" t="s">
        <v>38</v>
      </c>
      <c r="P2891" s="5">
        <v>11</v>
      </c>
      <c r="Q2891" s="5">
        <v>137</v>
      </c>
      <c r="R2891" s="5">
        <v>11</v>
      </c>
      <c r="S2891" s="5">
        <v>131</v>
      </c>
    </row>
    <row r="2892" spans="1:19" ht="28" x14ac:dyDescent="0.15">
      <c r="A2892" s="2">
        <f>HYPERLINK("https://open-school.uspishnemisto.com.ua/school/140363/", 140363)</f>
        <v>140363</v>
      </c>
      <c r="B2892" s="3" t="s">
        <v>15231</v>
      </c>
      <c r="C2892" s="3" t="s">
        <v>31</v>
      </c>
      <c r="D2892" s="3" t="s">
        <v>32</v>
      </c>
      <c r="E2892" s="4" t="s">
        <v>22</v>
      </c>
      <c r="F2892" s="4" t="s">
        <v>15215</v>
      </c>
      <c r="G2892" s="4" t="s">
        <v>15216</v>
      </c>
      <c r="H2892" s="3" t="s">
        <v>13575</v>
      </c>
      <c r="I2892" s="3" t="s">
        <v>15217</v>
      </c>
      <c r="J2892" s="3" t="s">
        <v>15232</v>
      </c>
      <c r="K2892" s="3" t="s">
        <v>15233</v>
      </c>
      <c r="L2892" s="3" t="s">
        <v>15234</v>
      </c>
      <c r="M2892" s="4"/>
      <c r="N2892" s="3" t="s">
        <v>128</v>
      </c>
      <c r="O2892" s="3" t="s">
        <v>38</v>
      </c>
      <c r="P2892" s="5">
        <v>26</v>
      </c>
      <c r="Q2892" s="5">
        <v>487</v>
      </c>
      <c r="R2892" s="5">
        <v>26</v>
      </c>
      <c r="S2892" s="5">
        <v>487</v>
      </c>
    </row>
    <row r="2893" spans="1:19" ht="28" x14ac:dyDescent="0.15">
      <c r="A2893" s="2">
        <f>HYPERLINK("https://open-school.uspishnemisto.com.ua/school/140364/", 140364)</f>
        <v>140364</v>
      </c>
      <c r="B2893" s="3" t="s">
        <v>15235</v>
      </c>
      <c r="C2893" s="3" t="s">
        <v>31</v>
      </c>
      <c r="D2893" s="3" t="s">
        <v>32</v>
      </c>
      <c r="E2893" s="4" t="s">
        <v>22</v>
      </c>
      <c r="F2893" s="4" t="s">
        <v>15220</v>
      </c>
      <c r="G2893" s="4" t="s">
        <v>15216</v>
      </c>
      <c r="H2893" s="3" t="s">
        <v>13575</v>
      </c>
      <c r="I2893" s="3" t="s">
        <v>15217</v>
      </c>
      <c r="J2893" s="3" t="s">
        <v>15236</v>
      </c>
      <c r="K2893" s="3" t="s">
        <v>15237</v>
      </c>
      <c r="L2893" s="3"/>
      <c r="M2893" s="4"/>
      <c r="N2893" s="3" t="s">
        <v>128</v>
      </c>
      <c r="O2893" s="3" t="s">
        <v>38</v>
      </c>
      <c r="P2893" s="5">
        <v>17</v>
      </c>
      <c r="Q2893" s="5">
        <v>295</v>
      </c>
      <c r="R2893" s="5">
        <v>16</v>
      </c>
      <c r="S2893" s="5">
        <v>278</v>
      </c>
    </row>
    <row r="2894" spans="1:19" ht="28" x14ac:dyDescent="0.15">
      <c r="A2894" s="2">
        <f>HYPERLINK("https://open-school.uspishnemisto.com.ua/school/140365/", 140365)</f>
        <v>140365</v>
      </c>
      <c r="B2894" s="3" t="s">
        <v>15238</v>
      </c>
      <c r="C2894" s="3" t="s">
        <v>31</v>
      </c>
      <c r="D2894" s="3" t="s">
        <v>32</v>
      </c>
      <c r="E2894" s="4" t="s">
        <v>22</v>
      </c>
      <c r="F2894" s="4" t="s">
        <v>15215</v>
      </c>
      <c r="G2894" s="4" t="s">
        <v>15216</v>
      </c>
      <c r="H2894" s="3" t="s">
        <v>13575</v>
      </c>
      <c r="I2894" s="3" t="s">
        <v>15217</v>
      </c>
      <c r="J2894" s="3" t="s">
        <v>15239</v>
      </c>
      <c r="K2894" s="3" t="s">
        <v>15240</v>
      </c>
      <c r="L2894" s="3"/>
      <c r="M2894" s="4"/>
      <c r="N2894" s="3" t="s">
        <v>128</v>
      </c>
      <c r="O2894" s="3" t="s">
        <v>38</v>
      </c>
      <c r="P2894" s="5">
        <v>14</v>
      </c>
      <c r="Q2894" s="5">
        <v>317</v>
      </c>
      <c r="R2894" s="5">
        <v>13</v>
      </c>
      <c r="S2894" s="5">
        <v>321</v>
      </c>
    </row>
    <row r="2895" spans="1:19" ht="28" x14ac:dyDescent="0.15">
      <c r="A2895" s="2">
        <f>HYPERLINK("https://open-school.uspishnemisto.com.ua/school/140366/", 140366)</f>
        <v>140366</v>
      </c>
      <c r="B2895" s="3" t="s">
        <v>15241</v>
      </c>
      <c r="C2895" s="3" t="s">
        <v>31</v>
      </c>
      <c r="D2895" s="3" t="s">
        <v>32</v>
      </c>
      <c r="E2895" s="4" t="s">
        <v>22</v>
      </c>
      <c r="F2895" s="4" t="s">
        <v>15242</v>
      </c>
      <c r="G2895" s="4" t="s">
        <v>15216</v>
      </c>
      <c r="H2895" s="3" t="s">
        <v>13575</v>
      </c>
      <c r="I2895" s="3" t="s">
        <v>15217</v>
      </c>
      <c r="J2895" s="3" t="s">
        <v>15218</v>
      </c>
      <c r="K2895" s="3" t="s">
        <v>15243</v>
      </c>
      <c r="L2895" s="3"/>
      <c r="M2895" s="4"/>
      <c r="N2895" s="3" t="s">
        <v>128</v>
      </c>
      <c r="O2895" s="3" t="s">
        <v>70</v>
      </c>
      <c r="P2895" s="5">
        <v>27</v>
      </c>
      <c r="Q2895" s="5">
        <v>548</v>
      </c>
      <c r="R2895" s="5">
        <v>25</v>
      </c>
      <c r="S2895" s="5">
        <v>521</v>
      </c>
    </row>
    <row r="2896" spans="1:19" ht="28" x14ac:dyDescent="0.15">
      <c r="A2896" s="2">
        <f>HYPERLINK("https://open-school.uspishnemisto.com.ua/school/140367/", 140367)</f>
        <v>140367</v>
      </c>
      <c r="B2896" s="3" t="s">
        <v>15244</v>
      </c>
      <c r="C2896" s="3" t="s">
        <v>31</v>
      </c>
      <c r="D2896" s="3" t="s">
        <v>32</v>
      </c>
      <c r="E2896" s="4" t="s">
        <v>22</v>
      </c>
      <c r="F2896" s="4" t="s">
        <v>15245</v>
      </c>
      <c r="G2896" s="4" t="s">
        <v>15246</v>
      </c>
      <c r="H2896" s="3" t="s">
        <v>13575</v>
      </c>
      <c r="I2896" s="3" t="s">
        <v>4594</v>
      </c>
      <c r="J2896" s="3" t="s">
        <v>3173</v>
      </c>
      <c r="K2896" s="3"/>
      <c r="L2896" s="3"/>
      <c r="M2896" s="4"/>
      <c r="N2896" s="3" t="s">
        <v>128</v>
      </c>
      <c r="O2896" s="3" t="s">
        <v>38</v>
      </c>
      <c r="P2896" s="5">
        <v>16</v>
      </c>
      <c r="Q2896" s="5">
        <v>239</v>
      </c>
      <c r="R2896" s="5">
        <v>16</v>
      </c>
      <c r="S2896" s="5">
        <v>231</v>
      </c>
    </row>
    <row r="2897" spans="1:19" ht="28" x14ac:dyDescent="0.15">
      <c r="A2897" s="2">
        <f>HYPERLINK("https://open-school.uspishnemisto.com.ua/school/140368/", 140368)</f>
        <v>140368</v>
      </c>
      <c r="B2897" s="3" t="s">
        <v>15247</v>
      </c>
      <c r="C2897" s="3" t="s">
        <v>31</v>
      </c>
      <c r="D2897" s="3" t="s">
        <v>175</v>
      </c>
      <c r="E2897" s="4" t="s">
        <v>22</v>
      </c>
      <c r="F2897" s="4" t="s">
        <v>15248</v>
      </c>
      <c r="G2897" s="4" t="s">
        <v>15249</v>
      </c>
      <c r="H2897" s="3" t="s">
        <v>13575</v>
      </c>
      <c r="I2897" s="3" t="s">
        <v>5088</v>
      </c>
      <c r="J2897" s="3" t="s">
        <v>15250</v>
      </c>
      <c r="K2897" s="3" t="s">
        <v>15251</v>
      </c>
      <c r="L2897" s="3"/>
      <c r="M2897" s="4"/>
      <c r="N2897" s="3" t="s">
        <v>37</v>
      </c>
      <c r="O2897" s="3" t="s">
        <v>721</v>
      </c>
      <c r="P2897" s="5">
        <v>9</v>
      </c>
      <c r="Q2897" s="5">
        <v>76</v>
      </c>
      <c r="R2897" s="5">
        <v>9</v>
      </c>
      <c r="S2897" s="5">
        <v>72</v>
      </c>
    </row>
    <row r="2898" spans="1:19" ht="28" x14ac:dyDescent="0.15">
      <c r="A2898" s="2">
        <f>HYPERLINK("https://open-school.uspishnemisto.com.ua/school/140369/", 140369)</f>
        <v>140369</v>
      </c>
      <c r="B2898" s="3" t="s">
        <v>15252</v>
      </c>
      <c r="C2898" s="3" t="s">
        <v>31</v>
      </c>
      <c r="D2898" s="3" t="s">
        <v>32</v>
      </c>
      <c r="E2898" s="4" t="s">
        <v>22</v>
      </c>
      <c r="F2898" s="4" t="s">
        <v>15253</v>
      </c>
      <c r="G2898" s="4" t="s">
        <v>15254</v>
      </c>
      <c r="H2898" s="3" t="s">
        <v>13575</v>
      </c>
      <c r="I2898" s="3" t="s">
        <v>10816</v>
      </c>
      <c r="J2898" s="3" t="s">
        <v>817</v>
      </c>
      <c r="K2898" s="3" t="s">
        <v>15255</v>
      </c>
      <c r="L2898" s="3" t="s">
        <v>15256</v>
      </c>
      <c r="M2898" s="4"/>
      <c r="N2898" s="3" t="s">
        <v>128</v>
      </c>
      <c r="O2898" s="3" t="s">
        <v>38</v>
      </c>
      <c r="P2898" s="5">
        <v>21</v>
      </c>
      <c r="Q2898" s="5">
        <v>461</v>
      </c>
      <c r="R2898" s="5">
        <v>22</v>
      </c>
      <c r="S2898" s="5">
        <v>459</v>
      </c>
    </row>
    <row r="2899" spans="1:19" ht="28" x14ac:dyDescent="0.15">
      <c r="A2899" s="2">
        <f>HYPERLINK("https://open-school.uspishnemisto.com.ua/school/140370/", 140370)</f>
        <v>140370</v>
      </c>
      <c r="B2899" s="3" t="s">
        <v>15257</v>
      </c>
      <c r="C2899" s="3" t="s">
        <v>31</v>
      </c>
      <c r="D2899" s="3" t="s">
        <v>32</v>
      </c>
      <c r="E2899" s="4" t="s">
        <v>22</v>
      </c>
      <c r="F2899" s="4" t="s">
        <v>15258</v>
      </c>
      <c r="G2899" s="4" t="s">
        <v>15254</v>
      </c>
      <c r="H2899" s="3" t="s">
        <v>13575</v>
      </c>
      <c r="I2899" s="3" t="s">
        <v>10816</v>
      </c>
      <c r="J2899" s="3" t="s">
        <v>15259</v>
      </c>
      <c r="K2899" s="3"/>
      <c r="L2899" s="3"/>
      <c r="M2899" s="4"/>
      <c r="N2899" s="3" t="s">
        <v>37</v>
      </c>
      <c r="O2899" s="3" t="s">
        <v>38</v>
      </c>
      <c r="P2899" s="5">
        <v>9</v>
      </c>
      <c r="Q2899" s="5">
        <v>90</v>
      </c>
      <c r="R2899" s="5">
        <v>10</v>
      </c>
      <c r="S2899" s="5">
        <v>101</v>
      </c>
    </row>
    <row r="2900" spans="1:19" ht="28" x14ac:dyDescent="0.15">
      <c r="A2900" s="2">
        <f>HYPERLINK("https://open-school.uspishnemisto.com.ua/school/140371/", 140371)</f>
        <v>140371</v>
      </c>
      <c r="B2900" s="3" t="s">
        <v>15260</v>
      </c>
      <c r="C2900" s="3" t="s">
        <v>31</v>
      </c>
      <c r="D2900" s="3" t="s">
        <v>32</v>
      </c>
      <c r="E2900" s="4" t="s">
        <v>22</v>
      </c>
      <c r="F2900" s="4" t="s">
        <v>15261</v>
      </c>
      <c r="G2900" s="4" t="s">
        <v>15262</v>
      </c>
      <c r="H2900" s="3" t="s">
        <v>13575</v>
      </c>
      <c r="I2900" s="3" t="s">
        <v>15263</v>
      </c>
      <c r="J2900" s="3" t="s">
        <v>15264</v>
      </c>
      <c r="K2900" s="3"/>
      <c r="L2900" s="3"/>
      <c r="M2900" s="4"/>
      <c r="N2900" s="3" t="s">
        <v>128</v>
      </c>
      <c r="O2900" s="3" t="s">
        <v>38</v>
      </c>
      <c r="P2900" s="5">
        <v>25</v>
      </c>
      <c r="Q2900" s="5">
        <v>445</v>
      </c>
      <c r="R2900" s="5">
        <v>26</v>
      </c>
      <c r="S2900" s="5">
        <v>449</v>
      </c>
    </row>
    <row r="2901" spans="1:19" ht="28" x14ac:dyDescent="0.15">
      <c r="A2901" s="2">
        <f>HYPERLINK("https://open-school.uspishnemisto.com.ua/school/140372/", 140372)</f>
        <v>140372</v>
      </c>
      <c r="B2901" s="3" t="s">
        <v>15265</v>
      </c>
      <c r="C2901" s="3" t="s">
        <v>31</v>
      </c>
      <c r="D2901" s="3" t="s">
        <v>32</v>
      </c>
      <c r="E2901" s="4" t="s">
        <v>22</v>
      </c>
      <c r="F2901" s="4" t="s">
        <v>15266</v>
      </c>
      <c r="G2901" s="4" t="s">
        <v>15267</v>
      </c>
      <c r="H2901" s="3" t="s">
        <v>13575</v>
      </c>
      <c r="I2901" s="3" t="s">
        <v>1889</v>
      </c>
      <c r="J2901" s="3" t="s">
        <v>2555</v>
      </c>
      <c r="K2901" s="3" t="s">
        <v>15268</v>
      </c>
      <c r="L2901" s="3"/>
      <c r="M2901" s="4"/>
      <c r="N2901" s="3" t="s">
        <v>37</v>
      </c>
      <c r="O2901" s="3" t="s">
        <v>14023</v>
      </c>
      <c r="P2901" s="5">
        <v>11</v>
      </c>
      <c r="Q2901" s="5">
        <v>88</v>
      </c>
      <c r="R2901" s="5">
        <v>11</v>
      </c>
      <c r="S2901" s="5">
        <v>89</v>
      </c>
    </row>
    <row r="2902" spans="1:19" ht="28" x14ac:dyDescent="0.15">
      <c r="A2902" s="2">
        <f>HYPERLINK("https://open-school.uspishnemisto.com.ua/school/140373/", 140373)</f>
        <v>140373</v>
      </c>
      <c r="B2902" s="3" t="s">
        <v>15269</v>
      </c>
      <c r="C2902" s="3" t="s">
        <v>31</v>
      </c>
      <c r="D2902" s="3" t="s">
        <v>32</v>
      </c>
      <c r="E2902" s="4" t="s">
        <v>22</v>
      </c>
      <c r="F2902" s="4" t="s">
        <v>15270</v>
      </c>
      <c r="G2902" s="4" t="s">
        <v>15271</v>
      </c>
      <c r="H2902" s="3" t="s">
        <v>13575</v>
      </c>
      <c r="I2902" s="3" t="s">
        <v>12168</v>
      </c>
      <c r="J2902" s="3" t="s">
        <v>15272</v>
      </c>
      <c r="K2902" s="3" t="s">
        <v>15273</v>
      </c>
      <c r="L2902" s="3"/>
      <c r="M2902" s="4"/>
      <c r="N2902" s="3" t="s">
        <v>37</v>
      </c>
      <c r="O2902" s="3" t="s">
        <v>38</v>
      </c>
      <c r="P2902" s="5">
        <v>12</v>
      </c>
      <c r="Q2902" s="5">
        <v>172</v>
      </c>
      <c r="R2902" s="5">
        <v>12</v>
      </c>
      <c r="S2902" s="5">
        <v>165</v>
      </c>
    </row>
    <row r="2903" spans="1:19" ht="28" x14ac:dyDescent="0.15">
      <c r="A2903" s="2">
        <f>HYPERLINK("https://open-school.uspishnemisto.com.ua/school/140374/", 140374)</f>
        <v>140374</v>
      </c>
      <c r="B2903" s="3" t="s">
        <v>15274</v>
      </c>
      <c r="C2903" s="3" t="s">
        <v>31</v>
      </c>
      <c r="D2903" s="3" t="s">
        <v>32</v>
      </c>
      <c r="E2903" s="4" t="s">
        <v>22</v>
      </c>
      <c r="F2903" s="4" t="s">
        <v>15275</v>
      </c>
      <c r="G2903" s="4" t="s">
        <v>15271</v>
      </c>
      <c r="H2903" s="3" t="s">
        <v>13575</v>
      </c>
      <c r="I2903" s="3" t="s">
        <v>12168</v>
      </c>
      <c r="J2903" s="3" t="s">
        <v>15276</v>
      </c>
      <c r="K2903" s="3" t="s">
        <v>15277</v>
      </c>
      <c r="L2903" s="3" t="s">
        <v>15278</v>
      </c>
      <c r="M2903" s="4"/>
      <c r="N2903" s="3" t="s">
        <v>37</v>
      </c>
      <c r="O2903" s="3" t="s">
        <v>38</v>
      </c>
      <c r="P2903" s="5">
        <v>16</v>
      </c>
      <c r="Q2903" s="5">
        <v>325</v>
      </c>
      <c r="R2903" s="5">
        <v>14</v>
      </c>
      <c r="S2903" s="5">
        <v>328</v>
      </c>
    </row>
    <row r="2904" spans="1:19" ht="28" x14ac:dyDescent="0.15">
      <c r="A2904" s="2">
        <f>HYPERLINK("https://open-school.uspishnemisto.com.ua/school/140375/", 140375)</f>
        <v>140375</v>
      </c>
      <c r="B2904" s="3" t="s">
        <v>15279</v>
      </c>
      <c r="C2904" s="3" t="s">
        <v>31</v>
      </c>
      <c r="D2904" s="3" t="s">
        <v>32</v>
      </c>
      <c r="E2904" s="4" t="s">
        <v>22</v>
      </c>
      <c r="F2904" s="4" t="s">
        <v>15280</v>
      </c>
      <c r="G2904" s="4" t="s">
        <v>15281</v>
      </c>
      <c r="H2904" s="3" t="s">
        <v>13575</v>
      </c>
      <c r="I2904" s="3" t="s">
        <v>15282</v>
      </c>
      <c r="J2904" s="3" t="s">
        <v>561</v>
      </c>
      <c r="K2904" s="3" t="s">
        <v>15283</v>
      </c>
      <c r="L2904" s="3" t="s">
        <v>15284</v>
      </c>
      <c r="M2904" s="4"/>
      <c r="N2904" s="3" t="s">
        <v>37</v>
      </c>
      <c r="O2904" s="3" t="s">
        <v>38</v>
      </c>
      <c r="P2904" s="5">
        <v>11</v>
      </c>
      <c r="Q2904" s="5">
        <v>226</v>
      </c>
      <c r="R2904" s="5">
        <v>11</v>
      </c>
      <c r="S2904" s="5">
        <v>232</v>
      </c>
    </row>
    <row r="2905" spans="1:19" ht="28" x14ac:dyDescent="0.15">
      <c r="A2905" s="2">
        <f>HYPERLINK("https://open-school.uspishnemisto.com.ua/school/140376/", 140376)</f>
        <v>140376</v>
      </c>
      <c r="B2905" s="3" t="s">
        <v>15285</v>
      </c>
      <c r="C2905" s="3" t="s">
        <v>54</v>
      </c>
      <c r="D2905" s="3" t="s">
        <v>175</v>
      </c>
      <c r="E2905" s="4" t="s">
        <v>22</v>
      </c>
      <c r="F2905" s="4" t="s">
        <v>15286</v>
      </c>
      <c r="G2905" s="4" t="s">
        <v>15287</v>
      </c>
      <c r="H2905" s="3" t="s">
        <v>13575</v>
      </c>
      <c r="I2905" s="3" t="s">
        <v>15288</v>
      </c>
      <c r="J2905" s="3" t="s">
        <v>15289</v>
      </c>
      <c r="K2905" s="3" t="s">
        <v>15290</v>
      </c>
      <c r="L2905" s="3"/>
      <c r="M2905" s="4"/>
      <c r="N2905" s="3" t="s">
        <v>128</v>
      </c>
      <c r="O2905" s="3" t="s">
        <v>52</v>
      </c>
      <c r="P2905" s="5">
        <v>4</v>
      </c>
      <c r="Q2905" s="5">
        <v>35</v>
      </c>
      <c r="R2905" s="5">
        <v>5</v>
      </c>
      <c r="S2905" s="5">
        <v>38</v>
      </c>
    </row>
    <row r="2906" spans="1:19" ht="28" x14ac:dyDescent="0.15">
      <c r="A2906" s="2">
        <f>HYPERLINK("https://open-school.uspishnemisto.com.ua/school/140377/", 140377)</f>
        <v>140377</v>
      </c>
      <c r="B2906" s="3" t="s">
        <v>15291</v>
      </c>
      <c r="C2906" s="3" t="s">
        <v>31</v>
      </c>
      <c r="D2906" s="3" t="s">
        <v>32</v>
      </c>
      <c r="E2906" s="4" t="s">
        <v>22</v>
      </c>
      <c r="F2906" s="4" t="s">
        <v>15292</v>
      </c>
      <c r="G2906" s="4" t="s">
        <v>15293</v>
      </c>
      <c r="H2906" s="3" t="s">
        <v>13575</v>
      </c>
      <c r="I2906" s="3" t="s">
        <v>15294</v>
      </c>
      <c r="J2906" s="3" t="s">
        <v>15295</v>
      </c>
      <c r="K2906" s="3" t="s">
        <v>15296</v>
      </c>
      <c r="L2906" s="3"/>
      <c r="M2906" s="4"/>
      <c r="N2906" s="3" t="s">
        <v>37</v>
      </c>
      <c r="O2906" s="3" t="s">
        <v>38</v>
      </c>
      <c r="P2906" s="5">
        <v>10</v>
      </c>
      <c r="Q2906" s="5">
        <v>81</v>
      </c>
      <c r="R2906" s="5">
        <v>10</v>
      </c>
      <c r="S2906" s="5">
        <v>85</v>
      </c>
    </row>
    <row r="2907" spans="1:19" ht="28" x14ac:dyDescent="0.15">
      <c r="A2907" s="2">
        <f>HYPERLINK("https://open-school.uspishnemisto.com.ua/school/140378/", 140378)</f>
        <v>140378</v>
      </c>
      <c r="B2907" s="3" t="s">
        <v>15297</v>
      </c>
      <c r="C2907" s="3" t="s">
        <v>31</v>
      </c>
      <c r="D2907" s="3" t="s">
        <v>32</v>
      </c>
      <c r="E2907" s="4" t="s">
        <v>22</v>
      </c>
      <c r="F2907" s="4" t="s">
        <v>15298</v>
      </c>
      <c r="G2907" s="4" t="s">
        <v>15299</v>
      </c>
      <c r="H2907" s="3" t="s">
        <v>13575</v>
      </c>
      <c r="I2907" s="3" t="s">
        <v>10822</v>
      </c>
      <c r="J2907" s="3" t="s">
        <v>15300</v>
      </c>
      <c r="K2907" s="3" t="s">
        <v>15301</v>
      </c>
      <c r="L2907" s="3" t="s">
        <v>15302</v>
      </c>
      <c r="M2907" s="4"/>
      <c r="N2907" s="3" t="s">
        <v>37</v>
      </c>
      <c r="O2907" s="3" t="s">
        <v>38</v>
      </c>
      <c r="P2907" s="5">
        <v>11</v>
      </c>
      <c r="Q2907" s="5">
        <v>131</v>
      </c>
      <c r="R2907" s="5">
        <v>11</v>
      </c>
      <c r="S2907" s="5">
        <v>141</v>
      </c>
    </row>
    <row r="2908" spans="1:19" ht="28" x14ac:dyDescent="0.15">
      <c r="A2908" s="2">
        <f>HYPERLINK("https://open-school.uspishnemisto.com.ua/school/140379/", 140379)</f>
        <v>140379</v>
      </c>
      <c r="B2908" s="3" t="s">
        <v>15303</v>
      </c>
      <c r="C2908" s="3" t="s">
        <v>31</v>
      </c>
      <c r="D2908" s="3" t="s">
        <v>175</v>
      </c>
      <c r="E2908" s="4" t="s">
        <v>22</v>
      </c>
      <c r="F2908" s="4" t="s">
        <v>15304</v>
      </c>
      <c r="G2908" s="4" t="s">
        <v>15305</v>
      </c>
      <c r="H2908" s="3" t="s">
        <v>13575</v>
      </c>
      <c r="I2908" s="3" t="s">
        <v>11923</v>
      </c>
      <c r="J2908" s="3" t="s">
        <v>1451</v>
      </c>
      <c r="K2908" s="3"/>
      <c r="L2908" s="3"/>
      <c r="M2908" s="4"/>
      <c r="N2908" s="3" t="s">
        <v>128</v>
      </c>
      <c r="O2908" s="3" t="s">
        <v>38</v>
      </c>
      <c r="P2908" s="5">
        <v>9</v>
      </c>
      <c r="Q2908" s="5">
        <v>80</v>
      </c>
      <c r="R2908" s="5">
        <v>9</v>
      </c>
      <c r="S2908" s="5">
        <v>68</v>
      </c>
    </row>
    <row r="2909" spans="1:19" ht="28" x14ac:dyDescent="0.15">
      <c r="A2909" s="2">
        <f>HYPERLINK("https://open-school.uspishnemisto.com.ua/school/140380/", 140380)</f>
        <v>140380</v>
      </c>
      <c r="B2909" s="3" t="s">
        <v>15306</v>
      </c>
      <c r="C2909" s="3" t="s">
        <v>31</v>
      </c>
      <c r="D2909" s="3" t="s">
        <v>32</v>
      </c>
      <c r="E2909" s="4" t="s">
        <v>22</v>
      </c>
      <c r="F2909" s="4" t="s">
        <v>15307</v>
      </c>
      <c r="G2909" s="4" t="s">
        <v>15308</v>
      </c>
      <c r="H2909" s="3" t="s">
        <v>13575</v>
      </c>
      <c r="I2909" s="3" t="s">
        <v>15309</v>
      </c>
      <c r="J2909" s="3" t="s">
        <v>15310</v>
      </c>
      <c r="K2909" s="3" t="s">
        <v>15311</v>
      </c>
      <c r="L2909" s="3"/>
      <c r="M2909" s="4"/>
      <c r="N2909" s="3" t="s">
        <v>37</v>
      </c>
      <c r="O2909" s="3" t="s">
        <v>38</v>
      </c>
      <c r="P2909" s="5">
        <v>10</v>
      </c>
      <c r="Q2909" s="5">
        <v>71</v>
      </c>
      <c r="R2909" s="5">
        <v>10</v>
      </c>
      <c r="S2909" s="5">
        <v>70</v>
      </c>
    </row>
    <row r="2910" spans="1:19" ht="28" x14ac:dyDescent="0.15">
      <c r="A2910" s="2">
        <f>HYPERLINK("https://open-school.uspishnemisto.com.ua/school/140381/", 140381)</f>
        <v>140381</v>
      </c>
      <c r="B2910" s="3" t="s">
        <v>15312</v>
      </c>
      <c r="C2910" s="3" t="s">
        <v>31</v>
      </c>
      <c r="D2910" s="3" t="s">
        <v>32</v>
      </c>
      <c r="E2910" s="4" t="s">
        <v>22</v>
      </c>
      <c r="F2910" s="4" t="s">
        <v>15313</v>
      </c>
      <c r="G2910" s="4" t="s">
        <v>15314</v>
      </c>
      <c r="H2910" s="3" t="s">
        <v>13575</v>
      </c>
      <c r="I2910" s="3" t="s">
        <v>15315</v>
      </c>
      <c r="J2910" s="3" t="s">
        <v>2226</v>
      </c>
      <c r="K2910" s="3" t="s">
        <v>15316</v>
      </c>
      <c r="L2910" s="3"/>
      <c r="M2910" s="4"/>
      <c r="N2910" s="3" t="s">
        <v>37</v>
      </c>
      <c r="O2910" s="3" t="s">
        <v>70</v>
      </c>
      <c r="P2910" s="5">
        <v>7</v>
      </c>
      <c r="Q2910" s="5">
        <v>38</v>
      </c>
      <c r="R2910" s="5">
        <v>8</v>
      </c>
      <c r="S2910" s="5">
        <v>45</v>
      </c>
    </row>
    <row r="2911" spans="1:19" ht="28" x14ac:dyDescent="0.15">
      <c r="A2911" s="2">
        <f>HYPERLINK("https://open-school.uspishnemisto.com.ua/school/140382/", 140382)</f>
        <v>140382</v>
      </c>
      <c r="B2911" s="3" t="s">
        <v>15317</v>
      </c>
      <c r="C2911" s="3" t="s">
        <v>31</v>
      </c>
      <c r="D2911" s="3" t="s">
        <v>32</v>
      </c>
      <c r="E2911" s="4" t="s">
        <v>22</v>
      </c>
      <c r="F2911" s="4" t="s">
        <v>15318</v>
      </c>
      <c r="G2911" s="4" t="s">
        <v>15319</v>
      </c>
      <c r="H2911" s="3" t="s">
        <v>13575</v>
      </c>
      <c r="I2911" s="3" t="s">
        <v>11391</v>
      </c>
      <c r="J2911" s="3" t="s">
        <v>15320</v>
      </c>
      <c r="K2911" s="3" t="s">
        <v>15321</v>
      </c>
      <c r="L2911" s="3"/>
      <c r="M2911" s="4"/>
      <c r="N2911" s="3" t="s">
        <v>37</v>
      </c>
      <c r="O2911" s="3" t="s">
        <v>721</v>
      </c>
      <c r="P2911" s="5">
        <v>11</v>
      </c>
      <c r="Q2911" s="5">
        <v>130</v>
      </c>
      <c r="R2911" s="5">
        <v>11</v>
      </c>
      <c r="S2911" s="5">
        <v>129</v>
      </c>
    </row>
    <row r="2912" spans="1:19" ht="28" x14ac:dyDescent="0.15">
      <c r="A2912" s="2">
        <f>HYPERLINK("https://open-school.uspishnemisto.com.ua/school/140383/", 140383)</f>
        <v>140383</v>
      </c>
      <c r="B2912" s="3" t="s">
        <v>15322</v>
      </c>
      <c r="C2912" s="3" t="s">
        <v>31</v>
      </c>
      <c r="D2912" s="3" t="s">
        <v>32</v>
      </c>
      <c r="E2912" s="4" t="s">
        <v>22</v>
      </c>
      <c r="F2912" s="4" t="s">
        <v>15323</v>
      </c>
      <c r="G2912" s="4" t="s">
        <v>15324</v>
      </c>
      <c r="H2912" s="3" t="s">
        <v>13575</v>
      </c>
      <c r="I2912" s="3" t="s">
        <v>883</v>
      </c>
      <c r="J2912" s="3" t="s">
        <v>1719</v>
      </c>
      <c r="K2912" s="3" t="s">
        <v>15325</v>
      </c>
      <c r="L2912" s="3"/>
      <c r="M2912" s="4"/>
      <c r="N2912" s="3" t="s">
        <v>37</v>
      </c>
      <c r="O2912" s="3" t="s">
        <v>38</v>
      </c>
      <c r="P2912" s="5">
        <v>9</v>
      </c>
      <c r="Q2912" s="5">
        <v>60</v>
      </c>
      <c r="R2912" s="5">
        <v>8</v>
      </c>
      <c r="S2912" s="5">
        <v>55</v>
      </c>
    </row>
    <row r="2913" spans="1:19" ht="28" x14ac:dyDescent="0.15">
      <c r="A2913" s="2">
        <f>HYPERLINK("https://open-school.uspishnemisto.com.ua/school/140384/", 140384)</f>
        <v>140384</v>
      </c>
      <c r="B2913" s="3" t="s">
        <v>15326</v>
      </c>
      <c r="C2913" s="3" t="s">
        <v>31</v>
      </c>
      <c r="D2913" s="3" t="s">
        <v>32</v>
      </c>
      <c r="E2913" s="4" t="s">
        <v>22</v>
      </c>
      <c r="F2913" s="4" t="s">
        <v>15327</v>
      </c>
      <c r="G2913" s="4" t="s">
        <v>15328</v>
      </c>
      <c r="H2913" s="3" t="s">
        <v>13575</v>
      </c>
      <c r="I2913" s="3" t="s">
        <v>15329</v>
      </c>
      <c r="J2913" s="3" t="s">
        <v>578</v>
      </c>
      <c r="K2913" s="3" t="s">
        <v>15330</v>
      </c>
      <c r="L2913" s="3" t="s">
        <v>15331</v>
      </c>
      <c r="M2913" s="4"/>
      <c r="N2913" s="3" t="s">
        <v>128</v>
      </c>
      <c r="O2913" s="3" t="s">
        <v>13929</v>
      </c>
      <c r="P2913" s="5">
        <v>10</v>
      </c>
      <c r="Q2913" s="5">
        <v>70</v>
      </c>
      <c r="R2913" s="5">
        <v>11</v>
      </c>
      <c r="S2913" s="5">
        <v>72</v>
      </c>
    </row>
    <row r="2914" spans="1:19" ht="28" x14ac:dyDescent="0.15">
      <c r="A2914" s="2">
        <f>HYPERLINK("https://open-school.uspishnemisto.com.ua/school/140385/", 140385)</f>
        <v>140385</v>
      </c>
      <c r="B2914" s="3" t="s">
        <v>15332</v>
      </c>
      <c r="C2914" s="3" t="s">
        <v>31</v>
      </c>
      <c r="D2914" s="3" t="s">
        <v>32</v>
      </c>
      <c r="E2914" s="4" t="s">
        <v>22</v>
      </c>
      <c r="F2914" s="4" t="s">
        <v>15333</v>
      </c>
      <c r="G2914" s="4" t="s">
        <v>15334</v>
      </c>
      <c r="H2914" s="3" t="s">
        <v>13575</v>
      </c>
      <c r="I2914" s="3" t="s">
        <v>15335</v>
      </c>
      <c r="J2914" s="3" t="s">
        <v>6432</v>
      </c>
      <c r="K2914" s="3" t="s">
        <v>15336</v>
      </c>
      <c r="L2914" s="3"/>
      <c r="M2914" s="4"/>
      <c r="N2914" s="3" t="s">
        <v>37</v>
      </c>
      <c r="O2914" s="3" t="s">
        <v>70</v>
      </c>
      <c r="P2914" s="5">
        <v>11</v>
      </c>
      <c r="Q2914" s="5">
        <v>94</v>
      </c>
      <c r="R2914" s="5">
        <v>11</v>
      </c>
      <c r="S2914" s="5">
        <v>101</v>
      </c>
    </row>
    <row r="2915" spans="1:19" ht="28" x14ac:dyDescent="0.15">
      <c r="A2915" s="2">
        <f>HYPERLINK("https://open-school.uspishnemisto.com.ua/school/140386/", 140386)</f>
        <v>140386</v>
      </c>
      <c r="B2915" s="3" t="s">
        <v>15337</v>
      </c>
      <c r="C2915" s="3" t="s">
        <v>31</v>
      </c>
      <c r="D2915" s="3" t="s">
        <v>32</v>
      </c>
      <c r="E2915" s="4" t="s">
        <v>22</v>
      </c>
      <c r="F2915" s="4" t="s">
        <v>15338</v>
      </c>
      <c r="G2915" s="4" t="s">
        <v>15339</v>
      </c>
      <c r="H2915" s="3" t="s">
        <v>13575</v>
      </c>
      <c r="I2915" s="3" t="s">
        <v>15340</v>
      </c>
      <c r="J2915" s="3" t="s">
        <v>466</v>
      </c>
      <c r="K2915" s="3" t="s">
        <v>15341</v>
      </c>
      <c r="L2915" s="3"/>
      <c r="M2915" s="4"/>
      <c r="N2915" s="3" t="s">
        <v>128</v>
      </c>
      <c r="O2915" s="3" t="s">
        <v>14023</v>
      </c>
      <c r="P2915" s="5">
        <v>10</v>
      </c>
      <c r="Q2915" s="5">
        <v>88</v>
      </c>
      <c r="R2915" s="5">
        <v>10</v>
      </c>
      <c r="S2915" s="5">
        <v>83</v>
      </c>
    </row>
    <row r="2916" spans="1:19" ht="28" x14ac:dyDescent="0.15">
      <c r="A2916" s="2">
        <f>HYPERLINK("https://open-school.uspishnemisto.com.ua/school/140387/", 140387)</f>
        <v>140387</v>
      </c>
      <c r="B2916" s="3" t="s">
        <v>15342</v>
      </c>
      <c r="C2916" s="3" t="s">
        <v>31</v>
      </c>
      <c r="D2916" s="3" t="s">
        <v>32</v>
      </c>
      <c r="E2916" s="4" t="s">
        <v>22</v>
      </c>
      <c r="F2916" s="4" t="s">
        <v>15343</v>
      </c>
      <c r="G2916" s="4" t="s">
        <v>15344</v>
      </c>
      <c r="H2916" s="3" t="s">
        <v>13575</v>
      </c>
      <c r="I2916" s="3" t="s">
        <v>1740</v>
      </c>
      <c r="J2916" s="3" t="s">
        <v>15345</v>
      </c>
      <c r="K2916" s="3" t="s">
        <v>15346</v>
      </c>
      <c r="L2916" s="3"/>
      <c r="M2916" s="4"/>
      <c r="N2916" s="3" t="s">
        <v>37</v>
      </c>
      <c r="O2916" s="3" t="s">
        <v>38</v>
      </c>
      <c r="P2916" s="5">
        <v>11</v>
      </c>
      <c r="Q2916" s="5">
        <v>93</v>
      </c>
      <c r="R2916" s="5">
        <v>10</v>
      </c>
      <c r="S2916" s="5">
        <v>97</v>
      </c>
    </row>
    <row r="2917" spans="1:19" ht="28" x14ac:dyDescent="0.15">
      <c r="A2917" s="2">
        <f>HYPERLINK("https://open-school.uspishnemisto.com.ua/school/140388/", 140388)</f>
        <v>140388</v>
      </c>
      <c r="B2917" s="3" t="s">
        <v>15347</v>
      </c>
      <c r="C2917" s="3" t="s">
        <v>31</v>
      </c>
      <c r="D2917" s="3" t="s">
        <v>175</v>
      </c>
      <c r="E2917" s="4" t="s">
        <v>22</v>
      </c>
      <c r="F2917" s="4" t="s">
        <v>15343</v>
      </c>
      <c r="G2917" s="4" t="s">
        <v>15348</v>
      </c>
      <c r="H2917" s="3" t="s">
        <v>13575</v>
      </c>
      <c r="I2917" s="3" t="s">
        <v>15349</v>
      </c>
      <c r="J2917" s="3" t="s">
        <v>6677</v>
      </c>
      <c r="K2917" s="3" t="s">
        <v>15350</v>
      </c>
      <c r="L2917" s="3"/>
      <c r="M2917" s="4"/>
      <c r="N2917" s="3" t="s">
        <v>37</v>
      </c>
      <c r="O2917" s="3" t="s">
        <v>38</v>
      </c>
      <c r="P2917" s="5">
        <v>6</v>
      </c>
      <c r="Q2917" s="5">
        <v>36</v>
      </c>
      <c r="R2917" s="5">
        <v>6</v>
      </c>
      <c r="S2917" s="5">
        <v>41</v>
      </c>
    </row>
    <row r="2918" spans="1:19" ht="28" x14ac:dyDescent="0.15">
      <c r="A2918" s="2">
        <f>HYPERLINK("https://open-school.uspishnemisto.com.ua/school/140389/", 140389)</f>
        <v>140389</v>
      </c>
      <c r="B2918" s="3" t="s">
        <v>15351</v>
      </c>
      <c r="C2918" s="3" t="s">
        <v>31</v>
      </c>
      <c r="D2918" s="3" t="s">
        <v>32</v>
      </c>
      <c r="E2918" s="4" t="s">
        <v>22</v>
      </c>
      <c r="F2918" s="4" t="s">
        <v>15352</v>
      </c>
      <c r="G2918" s="4" t="s">
        <v>15353</v>
      </c>
      <c r="H2918" s="3" t="s">
        <v>13575</v>
      </c>
      <c r="I2918" s="3" t="s">
        <v>15354</v>
      </c>
      <c r="J2918" s="3" t="s">
        <v>15355</v>
      </c>
      <c r="K2918" s="3" t="s">
        <v>15356</v>
      </c>
      <c r="L2918" s="3"/>
      <c r="M2918" s="4"/>
      <c r="N2918" s="3" t="s">
        <v>37</v>
      </c>
      <c r="O2918" s="3" t="s">
        <v>38</v>
      </c>
      <c r="P2918" s="5">
        <v>10</v>
      </c>
      <c r="Q2918" s="5">
        <v>123</v>
      </c>
      <c r="R2918" s="5">
        <v>10</v>
      </c>
      <c r="S2918" s="5">
        <v>138</v>
      </c>
    </row>
    <row r="2919" spans="1:19" ht="28" x14ac:dyDescent="0.15">
      <c r="A2919" s="2">
        <f>HYPERLINK("https://open-school.uspishnemisto.com.ua/school/140390/", 140390)</f>
        <v>140390</v>
      </c>
      <c r="B2919" s="3" t="s">
        <v>15357</v>
      </c>
      <c r="C2919" s="3" t="s">
        <v>31</v>
      </c>
      <c r="D2919" s="3" t="s">
        <v>175</v>
      </c>
      <c r="E2919" s="4" t="s">
        <v>22</v>
      </c>
      <c r="F2919" s="4" t="s">
        <v>15358</v>
      </c>
      <c r="G2919" s="4" t="s">
        <v>15359</v>
      </c>
      <c r="H2919" s="3" t="s">
        <v>13575</v>
      </c>
      <c r="I2919" s="3" t="s">
        <v>15360</v>
      </c>
      <c r="J2919" s="3" t="s">
        <v>15361</v>
      </c>
      <c r="K2919" s="3" t="s">
        <v>15362</v>
      </c>
      <c r="L2919" s="3" t="s">
        <v>15363</v>
      </c>
      <c r="M2919" s="4"/>
      <c r="N2919" s="3" t="s">
        <v>37</v>
      </c>
      <c r="O2919" s="3" t="s">
        <v>70</v>
      </c>
      <c r="P2919" s="5">
        <v>6</v>
      </c>
      <c r="Q2919" s="5">
        <v>39</v>
      </c>
      <c r="R2919" s="5">
        <v>5</v>
      </c>
      <c r="S2919" s="5">
        <v>34</v>
      </c>
    </row>
    <row r="2920" spans="1:19" ht="28" x14ac:dyDescent="0.15">
      <c r="A2920" s="2">
        <f>HYPERLINK("https://open-school.uspishnemisto.com.ua/school/140391/", 140391)</f>
        <v>140391</v>
      </c>
      <c r="B2920" s="3" t="s">
        <v>15364</v>
      </c>
      <c r="C2920" s="3" t="s">
        <v>31</v>
      </c>
      <c r="D2920" s="3" t="s">
        <v>32</v>
      </c>
      <c r="E2920" s="4" t="s">
        <v>22</v>
      </c>
      <c r="F2920" s="4" t="s">
        <v>15365</v>
      </c>
      <c r="G2920" s="4" t="s">
        <v>15366</v>
      </c>
      <c r="H2920" s="3" t="s">
        <v>13575</v>
      </c>
      <c r="I2920" s="3" t="s">
        <v>15367</v>
      </c>
      <c r="J2920" s="3" t="s">
        <v>1417</v>
      </c>
      <c r="K2920" s="3" t="s">
        <v>15368</v>
      </c>
      <c r="L2920" s="3" t="s">
        <v>15369</v>
      </c>
      <c r="M2920" s="4"/>
      <c r="N2920" s="3" t="s">
        <v>37</v>
      </c>
      <c r="O2920" s="3" t="s">
        <v>38</v>
      </c>
      <c r="P2920" s="5">
        <v>7</v>
      </c>
      <c r="Q2920" s="5">
        <v>45</v>
      </c>
      <c r="R2920" s="5">
        <v>7</v>
      </c>
      <c r="S2920" s="5">
        <v>45</v>
      </c>
    </row>
    <row r="2921" spans="1:19" ht="28" x14ac:dyDescent="0.15">
      <c r="A2921" s="2">
        <f>HYPERLINK("https://open-school.uspishnemisto.com.ua/school/140392/", 140392)</f>
        <v>140392</v>
      </c>
      <c r="B2921" s="3" t="s">
        <v>15370</v>
      </c>
      <c r="C2921" s="3" t="s">
        <v>54</v>
      </c>
      <c r="D2921" s="3" t="s">
        <v>32</v>
      </c>
      <c r="E2921" s="4" t="s">
        <v>22</v>
      </c>
      <c r="F2921" s="4" t="s">
        <v>15371</v>
      </c>
      <c r="G2921" s="4" t="s">
        <v>15372</v>
      </c>
      <c r="H2921" s="3" t="s">
        <v>13575</v>
      </c>
      <c r="I2921" s="3" t="s">
        <v>15373</v>
      </c>
      <c r="J2921" s="3" t="s">
        <v>792</v>
      </c>
      <c r="K2921" s="3" t="s">
        <v>15374</v>
      </c>
      <c r="L2921" s="3" t="s">
        <v>15375</v>
      </c>
      <c r="M2921" s="4"/>
      <c r="N2921" s="3" t="s">
        <v>37</v>
      </c>
      <c r="O2921" s="3" t="s">
        <v>38</v>
      </c>
      <c r="P2921" s="5">
        <v>8</v>
      </c>
      <c r="Q2921" s="5">
        <v>46</v>
      </c>
      <c r="R2921" s="5">
        <v>9</v>
      </c>
      <c r="S2921" s="5">
        <v>53</v>
      </c>
    </row>
    <row r="2922" spans="1:19" ht="28" x14ac:dyDescent="0.15">
      <c r="A2922" s="2">
        <f>HYPERLINK("https://open-school.uspishnemisto.com.ua/school/140393/", 140393)</f>
        <v>140393</v>
      </c>
      <c r="B2922" s="3" t="s">
        <v>15376</v>
      </c>
      <c r="C2922" s="3" t="s">
        <v>31</v>
      </c>
      <c r="D2922" s="3" t="s">
        <v>32</v>
      </c>
      <c r="E2922" s="4" t="s">
        <v>22</v>
      </c>
      <c r="F2922" s="4" t="s">
        <v>15377</v>
      </c>
      <c r="G2922" s="4" t="s">
        <v>15378</v>
      </c>
      <c r="H2922" s="3" t="s">
        <v>13575</v>
      </c>
      <c r="I2922" s="3" t="s">
        <v>15379</v>
      </c>
      <c r="J2922" s="3" t="s">
        <v>15380</v>
      </c>
      <c r="K2922" s="3"/>
      <c r="L2922" s="3"/>
      <c r="M2922" s="4"/>
      <c r="N2922" s="3" t="s">
        <v>37</v>
      </c>
      <c r="O2922" s="3" t="s">
        <v>38</v>
      </c>
      <c r="P2922" s="5">
        <v>7</v>
      </c>
      <c r="Q2922" s="5">
        <v>43</v>
      </c>
      <c r="R2922" s="5">
        <v>8</v>
      </c>
      <c r="S2922" s="5">
        <v>49</v>
      </c>
    </row>
    <row r="2923" spans="1:19" ht="28" x14ac:dyDescent="0.15">
      <c r="A2923" s="2">
        <f>HYPERLINK("https://open-school.uspishnemisto.com.ua/school/140394/", 140394)</f>
        <v>140394</v>
      </c>
      <c r="B2923" s="3" t="s">
        <v>15381</v>
      </c>
      <c r="C2923" s="3" t="s">
        <v>31</v>
      </c>
      <c r="D2923" s="3" t="s">
        <v>32</v>
      </c>
      <c r="E2923" s="4" t="s">
        <v>22</v>
      </c>
      <c r="F2923" s="4" t="s">
        <v>15382</v>
      </c>
      <c r="G2923" s="4" t="s">
        <v>15383</v>
      </c>
      <c r="H2923" s="3" t="s">
        <v>13575</v>
      </c>
      <c r="I2923" s="3" t="s">
        <v>15384</v>
      </c>
      <c r="J2923" s="3" t="s">
        <v>15385</v>
      </c>
      <c r="K2923" s="3" t="s">
        <v>15386</v>
      </c>
      <c r="L2923" s="3"/>
      <c r="M2923" s="4"/>
      <c r="N2923" s="3" t="s">
        <v>37</v>
      </c>
      <c r="O2923" s="3" t="s">
        <v>38</v>
      </c>
      <c r="P2923" s="5">
        <v>11</v>
      </c>
      <c r="Q2923" s="5">
        <v>99</v>
      </c>
      <c r="R2923" s="5">
        <v>11</v>
      </c>
      <c r="S2923" s="5">
        <v>109</v>
      </c>
    </row>
    <row r="2924" spans="1:19" ht="28" x14ac:dyDescent="0.15">
      <c r="A2924" s="2">
        <f>HYPERLINK("https://open-school.uspishnemisto.com.ua/school/140395/", 140395)</f>
        <v>140395</v>
      </c>
      <c r="B2924" s="3" t="s">
        <v>15387</v>
      </c>
      <c r="C2924" s="3" t="s">
        <v>31</v>
      </c>
      <c r="D2924" s="3" t="s">
        <v>32</v>
      </c>
      <c r="E2924" s="4" t="s">
        <v>22</v>
      </c>
      <c r="F2924" s="4" t="s">
        <v>15388</v>
      </c>
      <c r="G2924" s="4" t="s">
        <v>15389</v>
      </c>
      <c r="H2924" s="3" t="s">
        <v>13575</v>
      </c>
      <c r="I2924" s="3" t="s">
        <v>13072</v>
      </c>
      <c r="J2924" s="3" t="s">
        <v>2555</v>
      </c>
      <c r="K2924" s="3" t="s">
        <v>15390</v>
      </c>
      <c r="L2924" s="3"/>
      <c r="M2924" s="4"/>
      <c r="N2924" s="3" t="s">
        <v>37</v>
      </c>
      <c r="O2924" s="3" t="s">
        <v>70</v>
      </c>
      <c r="P2924" s="5">
        <v>10</v>
      </c>
      <c r="Q2924" s="5">
        <v>80</v>
      </c>
      <c r="R2924" s="5">
        <v>11</v>
      </c>
      <c r="S2924" s="5">
        <v>86</v>
      </c>
    </row>
    <row r="2925" spans="1:19" ht="28" x14ac:dyDescent="0.15">
      <c r="A2925" s="2">
        <f>HYPERLINK("https://open-school.uspishnemisto.com.ua/school/140396/", 140396)</f>
        <v>140396</v>
      </c>
      <c r="B2925" s="3" t="s">
        <v>15391</v>
      </c>
      <c r="C2925" s="3" t="s">
        <v>31</v>
      </c>
      <c r="D2925" s="3" t="s">
        <v>32</v>
      </c>
      <c r="E2925" s="4" t="s">
        <v>22</v>
      </c>
      <c r="F2925" s="4" t="s">
        <v>15392</v>
      </c>
      <c r="G2925" s="4" t="s">
        <v>15393</v>
      </c>
      <c r="H2925" s="3" t="s">
        <v>13575</v>
      </c>
      <c r="I2925" s="3" t="s">
        <v>15394</v>
      </c>
      <c r="J2925" s="3" t="s">
        <v>1719</v>
      </c>
      <c r="K2925" s="3" t="s">
        <v>15395</v>
      </c>
      <c r="L2925" s="3"/>
      <c r="M2925" s="4"/>
      <c r="N2925" s="3" t="s">
        <v>37</v>
      </c>
      <c r="O2925" s="3" t="s">
        <v>112</v>
      </c>
      <c r="P2925" s="5">
        <v>6</v>
      </c>
      <c r="Q2925" s="5">
        <v>45</v>
      </c>
      <c r="R2925" s="5">
        <v>7</v>
      </c>
      <c r="S2925" s="5">
        <v>50</v>
      </c>
    </row>
    <row r="2926" spans="1:19" ht="28" x14ac:dyDescent="0.15">
      <c r="A2926" s="2">
        <f>HYPERLINK("https://open-school.uspishnemisto.com.ua/school/140397/", 140397)</f>
        <v>140397</v>
      </c>
      <c r="B2926" s="3" t="s">
        <v>15396</v>
      </c>
      <c r="C2926" s="3" t="s">
        <v>31</v>
      </c>
      <c r="D2926" s="3" t="s">
        <v>32</v>
      </c>
      <c r="E2926" s="4" t="s">
        <v>22</v>
      </c>
      <c r="F2926" s="4" t="s">
        <v>15397</v>
      </c>
      <c r="G2926" s="4" t="s">
        <v>15398</v>
      </c>
      <c r="H2926" s="3" t="s">
        <v>13575</v>
      </c>
      <c r="I2926" s="3" t="s">
        <v>15399</v>
      </c>
      <c r="J2926" s="3" t="s">
        <v>15093</v>
      </c>
      <c r="K2926" s="3" t="s">
        <v>15400</v>
      </c>
      <c r="L2926" s="3"/>
      <c r="M2926" s="4"/>
      <c r="N2926" s="3" t="s">
        <v>37</v>
      </c>
      <c r="O2926" s="3" t="s">
        <v>38</v>
      </c>
      <c r="P2926" s="5">
        <v>11</v>
      </c>
      <c r="Q2926" s="5">
        <v>118</v>
      </c>
      <c r="R2926" s="5">
        <v>11</v>
      </c>
      <c r="S2926" s="5">
        <v>117</v>
      </c>
    </row>
    <row r="2927" spans="1:19" ht="28" x14ac:dyDescent="0.15">
      <c r="A2927" s="2">
        <f>HYPERLINK("https://open-school.uspishnemisto.com.ua/school/140398/", 140398)</f>
        <v>140398</v>
      </c>
      <c r="B2927" s="3" t="s">
        <v>15401</v>
      </c>
      <c r="C2927" s="3" t="s">
        <v>31</v>
      </c>
      <c r="D2927" s="3" t="s">
        <v>32</v>
      </c>
      <c r="E2927" s="4" t="s">
        <v>22</v>
      </c>
      <c r="F2927" s="4" t="s">
        <v>15402</v>
      </c>
      <c r="G2927" s="4" t="s">
        <v>15403</v>
      </c>
      <c r="H2927" s="3" t="s">
        <v>13575</v>
      </c>
      <c r="I2927" s="3" t="s">
        <v>15404</v>
      </c>
      <c r="J2927" s="3" t="s">
        <v>4029</v>
      </c>
      <c r="K2927" s="3" t="s">
        <v>15405</v>
      </c>
      <c r="L2927" s="3"/>
      <c r="M2927" s="4"/>
      <c r="N2927" s="3" t="s">
        <v>128</v>
      </c>
      <c r="O2927" s="3" t="s">
        <v>38</v>
      </c>
      <c r="P2927" s="5">
        <v>11</v>
      </c>
      <c r="Q2927" s="5">
        <v>144</v>
      </c>
      <c r="R2927" s="5">
        <v>11</v>
      </c>
      <c r="S2927" s="5">
        <v>151</v>
      </c>
    </row>
    <row r="2928" spans="1:19" ht="28" x14ac:dyDescent="0.15">
      <c r="A2928" s="2">
        <f>HYPERLINK("https://open-school.uspishnemisto.com.ua/school/140399/", 140399)</f>
        <v>140399</v>
      </c>
      <c r="B2928" s="3" t="s">
        <v>15406</v>
      </c>
      <c r="C2928" s="3" t="s">
        <v>31</v>
      </c>
      <c r="D2928" s="3" t="s">
        <v>32</v>
      </c>
      <c r="E2928" s="4" t="s">
        <v>22</v>
      </c>
      <c r="F2928" s="4" t="s">
        <v>15407</v>
      </c>
      <c r="G2928" s="4" t="s">
        <v>15408</v>
      </c>
      <c r="H2928" s="3" t="s">
        <v>13575</v>
      </c>
      <c r="I2928" s="3" t="s">
        <v>15409</v>
      </c>
      <c r="J2928" s="3" t="s">
        <v>15410</v>
      </c>
      <c r="K2928" s="3" t="s">
        <v>15411</v>
      </c>
      <c r="L2928" s="3" t="s">
        <v>15412</v>
      </c>
      <c r="M2928" s="4"/>
      <c r="N2928" s="3" t="s">
        <v>128</v>
      </c>
      <c r="O2928" s="3" t="s">
        <v>38</v>
      </c>
      <c r="P2928" s="5">
        <v>9</v>
      </c>
      <c r="Q2928" s="5">
        <v>56</v>
      </c>
      <c r="R2928" s="5">
        <v>8</v>
      </c>
      <c r="S2928" s="5">
        <v>60</v>
      </c>
    </row>
    <row r="2929" spans="1:19" ht="28" x14ac:dyDescent="0.15">
      <c r="A2929" s="2">
        <f>HYPERLINK("https://open-school.uspishnemisto.com.ua/school/140400/", 140400)</f>
        <v>140400</v>
      </c>
      <c r="B2929" s="3" t="s">
        <v>15413</v>
      </c>
      <c r="C2929" s="3" t="s">
        <v>31</v>
      </c>
      <c r="D2929" s="3" t="s">
        <v>32</v>
      </c>
      <c r="E2929" s="4" t="s">
        <v>22</v>
      </c>
      <c r="F2929" s="4" t="s">
        <v>15414</v>
      </c>
      <c r="G2929" s="4" t="s">
        <v>15415</v>
      </c>
      <c r="H2929" s="3" t="s">
        <v>13575</v>
      </c>
      <c r="I2929" s="3" t="s">
        <v>15416</v>
      </c>
      <c r="J2929" s="3" t="s">
        <v>2873</v>
      </c>
      <c r="K2929" s="3" t="s">
        <v>15417</v>
      </c>
      <c r="L2929" s="3"/>
      <c r="M2929" s="4"/>
      <c r="N2929" s="3" t="s">
        <v>37</v>
      </c>
      <c r="O2929" s="3" t="s">
        <v>38</v>
      </c>
      <c r="P2929" s="5">
        <v>11</v>
      </c>
      <c r="Q2929" s="5">
        <v>123</v>
      </c>
      <c r="R2929" s="5">
        <v>11</v>
      </c>
      <c r="S2929" s="5">
        <v>129</v>
      </c>
    </row>
    <row r="2930" spans="1:19" ht="42" x14ac:dyDescent="0.15">
      <c r="A2930" s="2">
        <f>HYPERLINK("https://open-school.uspishnemisto.com.ua/school/140401/", 140401)</f>
        <v>140401</v>
      </c>
      <c r="B2930" s="3" t="s">
        <v>15418</v>
      </c>
      <c r="C2930" s="3" t="s">
        <v>31</v>
      </c>
      <c r="D2930" s="3" t="s">
        <v>32</v>
      </c>
      <c r="E2930" s="4" t="s">
        <v>22</v>
      </c>
      <c r="F2930" s="4" t="s">
        <v>15419</v>
      </c>
      <c r="G2930" s="4" t="s">
        <v>15420</v>
      </c>
      <c r="H2930" s="3" t="s">
        <v>13575</v>
      </c>
      <c r="I2930" s="3" t="s">
        <v>15421</v>
      </c>
      <c r="J2930" s="3" t="s">
        <v>15422</v>
      </c>
      <c r="K2930" s="3"/>
      <c r="L2930" s="3"/>
      <c r="M2930" s="4"/>
      <c r="N2930" s="3" t="s">
        <v>128</v>
      </c>
      <c r="O2930" s="3" t="s">
        <v>14023</v>
      </c>
      <c r="P2930" s="5">
        <v>8</v>
      </c>
      <c r="Q2930" s="5">
        <v>87</v>
      </c>
      <c r="R2930" s="5">
        <v>7</v>
      </c>
      <c r="S2930" s="5">
        <v>76</v>
      </c>
    </row>
    <row r="2931" spans="1:19" ht="28" x14ac:dyDescent="0.15">
      <c r="A2931" s="2">
        <f>HYPERLINK("https://open-school.uspishnemisto.com.ua/school/140402/", 140402)</f>
        <v>140402</v>
      </c>
      <c r="B2931" s="3" t="s">
        <v>15423</v>
      </c>
      <c r="C2931" s="3" t="s">
        <v>31</v>
      </c>
      <c r="D2931" s="3" t="s">
        <v>32</v>
      </c>
      <c r="E2931" s="4" t="s">
        <v>22</v>
      </c>
      <c r="F2931" s="4" t="s">
        <v>15424</v>
      </c>
      <c r="G2931" s="4" t="s">
        <v>15425</v>
      </c>
      <c r="H2931" s="3" t="s">
        <v>13575</v>
      </c>
      <c r="I2931" s="3" t="s">
        <v>15426</v>
      </c>
      <c r="J2931" s="3" t="s">
        <v>1792</v>
      </c>
      <c r="K2931" s="3" t="s">
        <v>15427</v>
      </c>
      <c r="L2931" s="3"/>
      <c r="M2931" s="4"/>
      <c r="N2931" s="3" t="s">
        <v>37</v>
      </c>
      <c r="O2931" s="3" t="s">
        <v>70</v>
      </c>
      <c r="P2931" s="5">
        <v>11</v>
      </c>
      <c r="Q2931" s="5">
        <v>83</v>
      </c>
      <c r="R2931" s="5">
        <v>11</v>
      </c>
      <c r="S2931" s="5">
        <v>86</v>
      </c>
    </row>
    <row r="2932" spans="1:19" ht="42" x14ac:dyDescent="0.15">
      <c r="A2932" s="2">
        <f>HYPERLINK("https://open-school.uspishnemisto.com.ua/school/140403/", 140403)</f>
        <v>140403</v>
      </c>
      <c r="B2932" s="3" t="s">
        <v>15428</v>
      </c>
      <c r="C2932" s="3" t="s">
        <v>54</v>
      </c>
      <c r="D2932" s="3" t="s">
        <v>32</v>
      </c>
      <c r="E2932" s="4" t="s">
        <v>22</v>
      </c>
      <c r="F2932" s="4" t="s">
        <v>15429</v>
      </c>
      <c r="G2932" s="4" t="s">
        <v>15430</v>
      </c>
      <c r="H2932" s="3" t="s">
        <v>13575</v>
      </c>
      <c r="I2932" s="3" t="s">
        <v>15431</v>
      </c>
      <c r="J2932" s="3" t="s">
        <v>15432</v>
      </c>
      <c r="K2932" s="3" t="s">
        <v>15433</v>
      </c>
      <c r="L2932" s="3"/>
      <c r="M2932" s="4"/>
      <c r="N2932" s="3" t="s">
        <v>37</v>
      </c>
      <c r="O2932" s="3" t="s">
        <v>70</v>
      </c>
      <c r="P2932" s="5">
        <v>11</v>
      </c>
      <c r="Q2932" s="5">
        <v>195</v>
      </c>
      <c r="R2932" s="5">
        <v>11</v>
      </c>
      <c r="S2932" s="5">
        <v>203</v>
      </c>
    </row>
    <row r="2933" spans="1:19" ht="28" x14ac:dyDescent="0.15">
      <c r="A2933" s="2">
        <f>HYPERLINK("https://open-school.uspishnemisto.com.ua/school/140404/", 140404)</f>
        <v>140404</v>
      </c>
      <c r="B2933" s="3" t="s">
        <v>15434</v>
      </c>
      <c r="C2933" s="3" t="s">
        <v>31</v>
      </c>
      <c r="D2933" s="3" t="s">
        <v>32</v>
      </c>
      <c r="E2933" s="4" t="s">
        <v>22</v>
      </c>
      <c r="F2933" s="4" t="s">
        <v>15435</v>
      </c>
      <c r="G2933" s="4" t="s">
        <v>15436</v>
      </c>
      <c r="H2933" s="3" t="s">
        <v>13575</v>
      </c>
      <c r="I2933" s="3" t="s">
        <v>15437</v>
      </c>
      <c r="J2933" s="3" t="s">
        <v>10734</v>
      </c>
      <c r="K2933" s="3" t="s">
        <v>15438</v>
      </c>
      <c r="L2933" s="3"/>
      <c r="M2933" s="4"/>
      <c r="N2933" s="3" t="s">
        <v>128</v>
      </c>
      <c r="O2933" s="3" t="s">
        <v>14023</v>
      </c>
      <c r="P2933" s="5">
        <v>11</v>
      </c>
      <c r="Q2933" s="5">
        <v>109</v>
      </c>
      <c r="R2933" s="5">
        <v>11</v>
      </c>
      <c r="S2933" s="5">
        <v>112</v>
      </c>
    </row>
    <row r="2934" spans="1:19" ht="28" x14ac:dyDescent="0.15">
      <c r="A2934" s="2">
        <f>HYPERLINK("https://open-school.uspishnemisto.com.ua/school/140405/", 140405)</f>
        <v>140405</v>
      </c>
      <c r="B2934" s="3" t="s">
        <v>15439</v>
      </c>
      <c r="C2934" s="3" t="s">
        <v>31</v>
      </c>
      <c r="D2934" s="3" t="s">
        <v>32</v>
      </c>
      <c r="E2934" s="4" t="s">
        <v>22</v>
      </c>
      <c r="F2934" s="4" t="s">
        <v>15440</v>
      </c>
      <c r="G2934" s="4" t="s">
        <v>15441</v>
      </c>
      <c r="H2934" s="3" t="s">
        <v>13575</v>
      </c>
      <c r="I2934" s="3" t="s">
        <v>10856</v>
      </c>
      <c r="J2934" s="3" t="s">
        <v>15442</v>
      </c>
      <c r="K2934" s="3" t="s">
        <v>15443</v>
      </c>
      <c r="L2934" s="3"/>
      <c r="M2934" s="4"/>
      <c r="N2934" s="3" t="s">
        <v>128</v>
      </c>
      <c r="O2934" s="3" t="s">
        <v>14023</v>
      </c>
      <c r="P2934" s="5">
        <v>15</v>
      </c>
      <c r="Q2934" s="5">
        <v>157</v>
      </c>
      <c r="R2934" s="5">
        <v>15</v>
      </c>
      <c r="S2934" s="5">
        <v>145</v>
      </c>
    </row>
    <row r="2935" spans="1:19" ht="28" x14ac:dyDescent="0.15">
      <c r="A2935" s="2">
        <f>HYPERLINK("https://open-school.uspishnemisto.com.ua/school/140406/", 140406)</f>
        <v>140406</v>
      </c>
      <c r="B2935" s="3" t="s">
        <v>15444</v>
      </c>
      <c r="C2935" s="3" t="s">
        <v>31</v>
      </c>
      <c r="D2935" s="3" t="s">
        <v>32</v>
      </c>
      <c r="E2935" s="4" t="s">
        <v>22</v>
      </c>
      <c r="F2935" s="4" t="s">
        <v>15445</v>
      </c>
      <c r="G2935" s="4" t="s">
        <v>15446</v>
      </c>
      <c r="H2935" s="3" t="s">
        <v>13575</v>
      </c>
      <c r="I2935" s="3" t="s">
        <v>2900</v>
      </c>
      <c r="J2935" s="3" t="s">
        <v>466</v>
      </c>
      <c r="K2935" s="3" t="s">
        <v>15447</v>
      </c>
      <c r="L2935" s="3"/>
      <c r="M2935" s="4"/>
      <c r="N2935" s="3" t="s">
        <v>37</v>
      </c>
      <c r="O2935" s="3" t="s">
        <v>38</v>
      </c>
      <c r="P2935" s="5">
        <v>9</v>
      </c>
      <c r="Q2935" s="5">
        <v>107</v>
      </c>
      <c r="R2935" s="5">
        <v>9</v>
      </c>
      <c r="S2935" s="5">
        <v>113</v>
      </c>
    </row>
    <row r="2936" spans="1:19" ht="28" x14ac:dyDescent="0.15">
      <c r="A2936" s="2">
        <f>HYPERLINK("https://open-school.uspishnemisto.com.ua/school/140407/", 140407)</f>
        <v>140407</v>
      </c>
      <c r="B2936" s="3" t="s">
        <v>15448</v>
      </c>
      <c r="C2936" s="3" t="s">
        <v>31</v>
      </c>
      <c r="D2936" s="3" t="s">
        <v>32</v>
      </c>
      <c r="E2936" s="4" t="s">
        <v>22</v>
      </c>
      <c r="F2936" s="4" t="s">
        <v>15449</v>
      </c>
      <c r="G2936" s="4" t="s">
        <v>15450</v>
      </c>
      <c r="H2936" s="3" t="s">
        <v>13575</v>
      </c>
      <c r="I2936" s="3" t="s">
        <v>10829</v>
      </c>
      <c r="J2936" s="3" t="s">
        <v>15451</v>
      </c>
      <c r="K2936" s="3"/>
      <c r="L2936" s="3"/>
      <c r="M2936" s="4"/>
      <c r="N2936" s="3" t="s">
        <v>37</v>
      </c>
      <c r="O2936" s="3" t="s">
        <v>38</v>
      </c>
      <c r="P2936" s="5">
        <v>10</v>
      </c>
      <c r="Q2936" s="5">
        <v>81</v>
      </c>
      <c r="R2936" s="5">
        <v>9</v>
      </c>
      <c r="S2936" s="5">
        <v>71</v>
      </c>
    </row>
    <row r="2937" spans="1:19" ht="42" x14ac:dyDescent="0.15">
      <c r="A2937" s="2">
        <f>HYPERLINK("https://open-school.uspishnemisto.com.ua/school/140408/", 140408)</f>
        <v>140408</v>
      </c>
      <c r="B2937" s="3" t="s">
        <v>15452</v>
      </c>
      <c r="C2937" s="3" t="s">
        <v>31</v>
      </c>
      <c r="D2937" s="3" t="s">
        <v>32</v>
      </c>
      <c r="E2937" s="4" t="s">
        <v>22</v>
      </c>
      <c r="F2937" s="4" t="s">
        <v>15453</v>
      </c>
      <c r="G2937" s="4" t="s">
        <v>15454</v>
      </c>
      <c r="H2937" s="3" t="s">
        <v>13575</v>
      </c>
      <c r="I2937" s="3" t="s">
        <v>15455</v>
      </c>
      <c r="J2937" s="3" t="s">
        <v>15456</v>
      </c>
      <c r="K2937" s="3" t="s">
        <v>15457</v>
      </c>
      <c r="L2937" s="3"/>
      <c r="M2937" s="4" t="s">
        <v>15458</v>
      </c>
      <c r="N2937" s="3" t="s">
        <v>128</v>
      </c>
      <c r="O2937" s="3" t="s">
        <v>14023</v>
      </c>
      <c r="P2937" s="5">
        <v>48</v>
      </c>
      <c r="Q2937" s="5">
        <v>609</v>
      </c>
      <c r="R2937" s="5">
        <v>24</v>
      </c>
      <c r="S2937" s="5">
        <v>445</v>
      </c>
    </row>
    <row r="2938" spans="1:19" ht="28" x14ac:dyDescent="0.15">
      <c r="A2938" s="2">
        <f>HYPERLINK("https://open-school.uspishnemisto.com.ua/school/140409/", 140409)</f>
        <v>140409</v>
      </c>
      <c r="B2938" s="3" t="s">
        <v>15459</v>
      </c>
      <c r="C2938" s="3" t="s">
        <v>40</v>
      </c>
      <c r="D2938" s="3" t="s">
        <v>32</v>
      </c>
      <c r="E2938" s="4" t="s">
        <v>22</v>
      </c>
      <c r="F2938" s="4" t="s">
        <v>15453</v>
      </c>
      <c r="G2938" s="4" t="s">
        <v>15454</v>
      </c>
      <c r="H2938" s="3" t="s">
        <v>13575</v>
      </c>
      <c r="I2938" s="3" t="s">
        <v>15455</v>
      </c>
      <c r="J2938" s="3" t="s">
        <v>15460</v>
      </c>
      <c r="K2938" s="3" t="s">
        <v>15461</v>
      </c>
      <c r="L2938" s="3" t="s">
        <v>15462</v>
      </c>
      <c r="M2938" s="4" t="s">
        <v>15463</v>
      </c>
      <c r="N2938" s="3" t="s">
        <v>128</v>
      </c>
      <c r="O2938" s="3" t="s">
        <v>38</v>
      </c>
      <c r="P2938" s="5">
        <v>21</v>
      </c>
      <c r="Q2938" s="5">
        <v>449</v>
      </c>
      <c r="R2938" s="5">
        <v>20</v>
      </c>
      <c r="S2938" s="5">
        <v>412</v>
      </c>
    </row>
    <row r="2939" spans="1:19" ht="28" x14ac:dyDescent="0.15">
      <c r="A2939" s="2">
        <f>HYPERLINK("https://open-school.uspishnemisto.com.ua/school/140410/", 140410)</f>
        <v>140410</v>
      </c>
      <c r="B2939" s="3" t="s">
        <v>15464</v>
      </c>
      <c r="C2939" s="3" t="s">
        <v>31</v>
      </c>
      <c r="D2939" s="3" t="s">
        <v>175</v>
      </c>
      <c r="E2939" s="4" t="s">
        <v>22</v>
      </c>
      <c r="F2939" s="4" t="s">
        <v>15465</v>
      </c>
      <c r="G2939" s="4" t="s">
        <v>15466</v>
      </c>
      <c r="H2939" s="3" t="s">
        <v>13575</v>
      </c>
      <c r="I2939" s="3" t="s">
        <v>15467</v>
      </c>
      <c r="J2939" s="3" t="s">
        <v>15468</v>
      </c>
      <c r="K2939" s="3" t="s">
        <v>15469</v>
      </c>
      <c r="L2939" s="3"/>
      <c r="M2939" s="4" t="s">
        <v>15470</v>
      </c>
      <c r="N2939" s="3" t="s">
        <v>37</v>
      </c>
      <c r="O2939" s="3" t="s">
        <v>52</v>
      </c>
      <c r="P2939" s="5">
        <v>0</v>
      </c>
      <c r="Q2939" s="5">
        <v>0</v>
      </c>
      <c r="R2939" s="5">
        <v>9</v>
      </c>
      <c r="S2939" s="5">
        <v>64</v>
      </c>
    </row>
    <row r="2940" spans="1:19" ht="56" x14ac:dyDescent="0.15">
      <c r="A2940" s="2">
        <f>HYPERLINK("https://open-school.uspishnemisto.com.ua/school/140411/", 140411)</f>
        <v>140411</v>
      </c>
      <c r="B2940" s="3" t="s">
        <v>15471</v>
      </c>
      <c r="C2940" s="3" t="s">
        <v>54</v>
      </c>
      <c r="D2940" s="3" t="s">
        <v>175</v>
      </c>
      <c r="E2940" s="4" t="s">
        <v>22</v>
      </c>
      <c r="F2940" s="4" t="s">
        <v>15472</v>
      </c>
      <c r="G2940" s="4" t="s">
        <v>15473</v>
      </c>
      <c r="H2940" s="3" t="s">
        <v>13575</v>
      </c>
      <c r="I2940" s="3" t="s">
        <v>2359</v>
      </c>
      <c r="J2940" s="3" t="s">
        <v>466</v>
      </c>
      <c r="K2940" s="3" t="s">
        <v>15474</v>
      </c>
      <c r="L2940" s="3"/>
      <c r="M2940" s="4" t="s">
        <v>15475</v>
      </c>
      <c r="N2940" s="3" t="s">
        <v>37</v>
      </c>
      <c r="O2940" s="3" t="s">
        <v>52</v>
      </c>
      <c r="P2940" s="5">
        <v>0</v>
      </c>
      <c r="Q2940" s="5">
        <v>0</v>
      </c>
      <c r="R2940" s="5">
        <v>9</v>
      </c>
      <c r="S2940" s="5">
        <v>62</v>
      </c>
    </row>
    <row r="2941" spans="1:19" ht="42" x14ac:dyDescent="0.15">
      <c r="A2941" s="2">
        <f>HYPERLINK("https://open-school.uspishnemisto.com.ua/school/140412/", 140412)</f>
        <v>140412</v>
      </c>
      <c r="B2941" s="3" t="s">
        <v>15476</v>
      </c>
      <c r="C2941" s="3" t="s">
        <v>31</v>
      </c>
      <c r="D2941" s="3" t="s">
        <v>175</v>
      </c>
      <c r="E2941" s="4" t="s">
        <v>22</v>
      </c>
      <c r="F2941" s="4" t="s">
        <v>15477</v>
      </c>
      <c r="G2941" s="4" t="s">
        <v>15478</v>
      </c>
      <c r="H2941" s="3" t="s">
        <v>13575</v>
      </c>
      <c r="I2941" s="3" t="s">
        <v>11056</v>
      </c>
      <c r="J2941" s="3" t="s">
        <v>13023</v>
      </c>
      <c r="K2941" s="3" t="s">
        <v>15479</v>
      </c>
      <c r="L2941" s="3" t="s">
        <v>15480</v>
      </c>
      <c r="M2941" s="4" t="s">
        <v>15481</v>
      </c>
      <c r="N2941" s="3" t="s">
        <v>37</v>
      </c>
      <c r="O2941" s="3" t="s">
        <v>52</v>
      </c>
      <c r="P2941" s="5">
        <v>0</v>
      </c>
      <c r="Q2941" s="5">
        <v>0</v>
      </c>
      <c r="R2941" s="5">
        <v>3</v>
      </c>
      <c r="S2941" s="5">
        <v>35</v>
      </c>
    </row>
    <row r="2942" spans="1:19" ht="28" x14ac:dyDescent="0.15">
      <c r="A2942" s="2">
        <f>HYPERLINK("https://open-school.uspishnemisto.com.ua/school/140413/", 140413)</f>
        <v>140413</v>
      </c>
      <c r="B2942" s="3" t="s">
        <v>15482</v>
      </c>
      <c r="C2942" s="3" t="s">
        <v>31</v>
      </c>
      <c r="D2942" s="3" t="s">
        <v>32</v>
      </c>
      <c r="E2942" s="4" t="s">
        <v>22</v>
      </c>
      <c r="F2942" s="4" t="s">
        <v>15483</v>
      </c>
      <c r="G2942" s="4" t="s">
        <v>15484</v>
      </c>
      <c r="H2942" s="3" t="s">
        <v>13575</v>
      </c>
      <c r="I2942" s="3" t="s">
        <v>5129</v>
      </c>
      <c r="J2942" s="3" t="s">
        <v>15485</v>
      </c>
      <c r="K2942" s="3" t="s">
        <v>15486</v>
      </c>
      <c r="L2942" s="3"/>
      <c r="M2942" s="4" t="s">
        <v>15487</v>
      </c>
      <c r="N2942" s="3" t="s">
        <v>128</v>
      </c>
      <c r="O2942" s="3" t="s">
        <v>70</v>
      </c>
      <c r="P2942" s="5">
        <v>12</v>
      </c>
      <c r="Q2942" s="5">
        <v>164</v>
      </c>
      <c r="R2942" s="5">
        <v>12</v>
      </c>
      <c r="S2942" s="5">
        <v>160</v>
      </c>
    </row>
    <row r="2943" spans="1:19" ht="42" x14ac:dyDescent="0.15">
      <c r="A2943" s="2">
        <f>HYPERLINK("https://open-school.uspishnemisto.com.ua/school/140414/", 140414)</f>
        <v>140414</v>
      </c>
      <c r="B2943" s="3" t="s">
        <v>15488</v>
      </c>
      <c r="C2943" s="3" t="s">
        <v>31</v>
      </c>
      <c r="D2943" s="3" t="s">
        <v>32</v>
      </c>
      <c r="E2943" s="4" t="s">
        <v>22</v>
      </c>
      <c r="F2943" s="4" t="s">
        <v>15489</v>
      </c>
      <c r="G2943" s="4" t="s">
        <v>15490</v>
      </c>
      <c r="H2943" s="3" t="s">
        <v>13575</v>
      </c>
      <c r="I2943" s="3" t="s">
        <v>15491</v>
      </c>
      <c r="J2943" s="3" t="s">
        <v>15492</v>
      </c>
      <c r="K2943" s="3" t="s">
        <v>15493</v>
      </c>
      <c r="L2943" s="3"/>
      <c r="M2943" s="4" t="s">
        <v>15494</v>
      </c>
      <c r="N2943" s="3" t="s">
        <v>37</v>
      </c>
      <c r="O2943" s="3" t="s">
        <v>38</v>
      </c>
      <c r="P2943" s="5">
        <v>10</v>
      </c>
      <c r="Q2943" s="5">
        <v>88</v>
      </c>
      <c r="R2943" s="5">
        <v>11</v>
      </c>
      <c r="S2943" s="5">
        <v>98</v>
      </c>
    </row>
    <row r="2944" spans="1:19" ht="28" x14ac:dyDescent="0.15">
      <c r="A2944" s="2">
        <f>HYPERLINK("https://open-school.uspishnemisto.com.ua/school/140415/", 140415)</f>
        <v>140415</v>
      </c>
      <c r="B2944" s="3" t="s">
        <v>15495</v>
      </c>
      <c r="C2944" s="3" t="s">
        <v>31</v>
      </c>
      <c r="D2944" s="3" t="s">
        <v>32</v>
      </c>
      <c r="E2944" s="4" t="s">
        <v>22</v>
      </c>
      <c r="F2944" s="4" t="s">
        <v>15496</v>
      </c>
      <c r="G2944" s="4" t="s">
        <v>15497</v>
      </c>
      <c r="H2944" s="3" t="s">
        <v>13575</v>
      </c>
      <c r="I2944" s="3" t="s">
        <v>15498</v>
      </c>
      <c r="J2944" s="3" t="s">
        <v>1719</v>
      </c>
      <c r="K2944" s="3" t="s">
        <v>15499</v>
      </c>
      <c r="L2944" s="3" t="s">
        <v>15500</v>
      </c>
      <c r="M2944" s="4" t="s">
        <v>15501</v>
      </c>
      <c r="N2944" s="3" t="s">
        <v>128</v>
      </c>
      <c r="O2944" s="3" t="s">
        <v>38</v>
      </c>
      <c r="P2944" s="5">
        <v>11</v>
      </c>
      <c r="Q2944" s="5">
        <v>165</v>
      </c>
      <c r="R2944" s="5">
        <v>11</v>
      </c>
      <c r="S2944" s="5">
        <v>153</v>
      </c>
    </row>
    <row r="2945" spans="1:19" ht="28" x14ac:dyDescent="0.15">
      <c r="A2945" s="2">
        <f>HYPERLINK("https://open-school.uspishnemisto.com.ua/school/140416/", 140416)</f>
        <v>140416</v>
      </c>
      <c r="B2945" s="3" t="s">
        <v>15502</v>
      </c>
      <c r="C2945" s="3" t="s">
        <v>31</v>
      </c>
      <c r="D2945" s="3" t="s">
        <v>32</v>
      </c>
      <c r="E2945" s="4" t="s">
        <v>22</v>
      </c>
      <c r="F2945" s="4" t="s">
        <v>15503</v>
      </c>
      <c r="G2945" s="4" t="s">
        <v>15504</v>
      </c>
      <c r="H2945" s="3" t="s">
        <v>13575</v>
      </c>
      <c r="I2945" s="3" t="s">
        <v>15505</v>
      </c>
      <c r="J2945" s="3" t="s">
        <v>15506</v>
      </c>
      <c r="K2945" s="3" t="s">
        <v>15507</v>
      </c>
      <c r="L2945" s="3"/>
      <c r="M2945" s="4" t="s">
        <v>15508</v>
      </c>
      <c r="N2945" s="3" t="s">
        <v>128</v>
      </c>
      <c r="O2945" s="3" t="s">
        <v>14023</v>
      </c>
      <c r="P2945" s="5">
        <v>10</v>
      </c>
      <c r="Q2945" s="5">
        <v>84</v>
      </c>
      <c r="R2945" s="5">
        <v>10</v>
      </c>
      <c r="S2945" s="5">
        <v>90</v>
      </c>
    </row>
    <row r="2946" spans="1:19" ht="42" x14ac:dyDescent="0.15">
      <c r="A2946" s="2">
        <f>HYPERLINK("https://open-school.uspishnemisto.com.ua/school/140417/", 140417)</f>
        <v>140417</v>
      </c>
      <c r="B2946" s="3" t="s">
        <v>15509</v>
      </c>
      <c r="C2946" s="3" t="s">
        <v>31</v>
      </c>
      <c r="D2946" s="3" t="s">
        <v>32</v>
      </c>
      <c r="E2946" s="4" t="s">
        <v>22</v>
      </c>
      <c r="F2946" s="4" t="s">
        <v>15510</v>
      </c>
      <c r="G2946" s="4" t="s">
        <v>15511</v>
      </c>
      <c r="H2946" s="3" t="s">
        <v>13575</v>
      </c>
      <c r="I2946" s="3" t="s">
        <v>15512</v>
      </c>
      <c r="J2946" s="3" t="s">
        <v>15513</v>
      </c>
      <c r="K2946" s="3" t="s">
        <v>15514</v>
      </c>
      <c r="L2946" s="3"/>
      <c r="M2946" s="4" t="s">
        <v>15515</v>
      </c>
      <c r="N2946" s="3" t="s">
        <v>128</v>
      </c>
      <c r="O2946" s="3" t="s">
        <v>14023</v>
      </c>
      <c r="P2946" s="5">
        <v>9</v>
      </c>
      <c r="Q2946" s="5">
        <v>94</v>
      </c>
      <c r="R2946" s="5">
        <v>10</v>
      </c>
      <c r="S2946" s="5">
        <v>100</v>
      </c>
    </row>
    <row r="2947" spans="1:19" ht="42" x14ac:dyDescent="0.15">
      <c r="A2947" s="2">
        <f>HYPERLINK("https://open-school.uspishnemisto.com.ua/school/140418/", 140418)</f>
        <v>140418</v>
      </c>
      <c r="B2947" s="3" t="s">
        <v>15516</v>
      </c>
      <c r="C2947" s="3" t="s">
        <v>31</v>
      </c>
      <c r="D2947" s="3" t="s">
        <v>32</v>
      </c>
      <c r="E2947" s="4" t="s">
        <v>22</v>
      </c>
      <c r="F2947" s="4" t="s">
        <v>15517</v>
      </c>
      <c r="G2947" s="4" t="s">
        <v>15518</v>
      </c>
      <c r="H2947" s="3" t="s">
        <v>13575</v>
      </c>
      <c r="I2947" s="3" t="s">
        <v>15519</v>
      </c>
      <c r="J2947" s="3" t="s">
        <v>15520</v>
      </c>
      <c r="K2947" s="3" t="s">
        <v>15521</v>
      </c>
      <c r="L2947" s="3"/>
      <c r="M2947" s="4" t="s">
        <v>15522</v>
      </c>
      <c r="N2947" s="3" t="s">
        <v>128</v>
      </c>
      <c r="O2947" s="3" t="s">
        <v>14023</v>
      </c>
      <c r="P2947" s="5">
        <v>11</v>
      </c>
      <c r="Q2947" s="5">
        <v>111</v>
      </c>
      <c r="R2947" s="5">
        <v>11</v>
      </c>
      <c r="S2947" s="5">
        <v>106</v>
      </c>
    </row>
    <row r="2948" spans="1:19" ht="42" x14ac:dyDescent="0.15">
      <c r="A2948" s="2">
        <f>HYPERLINK("https://open-school.uspishnemisto.com.ua/school/140419/", 140419)</f>
        <v>140419</v>
      </c>
      <c r="B2948" s="3" t="s">
        <v>15523</v>
      </c>
      <c r="C2948" s="3" t="s">
        <v>31</v>
      </c>
      <c r="D2948" s="3" t="s">
        <v>32</v>
      </c>
      <c r="E2948" s="4" t="s">
        <v>22</v>
      </c>
      <c r="F2948" s="4" t="s">
        <v>15524</v>
      </c>
      <c r="G2948" s="4" t="s">
        <v>15525</v>
      </c>
      <c r="H2948" s="3" t="s">
        <v>13575</v>
      </c>
      <c r="I2948" s="3" t="s">
        <v>15526</v>
      </c>
      <c r="J2948" s="3" t="s">
        <v>15527</v>
      </c>
      <c r="K2948" s="3" t="s">
        <v>15528</v>
      </c>
      <c r="L2948" s="3" t="s">
        <v>15529</v>
      </c>
      <c r="M2948" s="4" t="s">
        <v>15530</v>
      </c>
      <c r="N2948" s="3" t="s">
        <v>128</v>
      </c>
      <c r="O2948" s="3" t="s">
        <v>14023</v>
      </c>
      <c r="P2948" s="5">
        <v>11</v>
      </c>
      <c r="Q2948" s="5">
        <v>154</v>
      </c>
      <c r="R2948" s="5">
        <v>11</v>
      </c>
      <c r="S2948" s="5">
        <v>164</v>
      </c>
    </row>
    <row r="2949" spans="1:19" ht="42" x14ac:dyDescent="0.15">
      <c r="A2949" s="2">
        <f>HYPERLINK("https://open-school.uspishnemisto.com.ua/school/140420/", 140420)</f>
        <v>140420</v>
      </c>
      <c r="B2949" s="3" t="s">
        <v>15531</v>
      </c>
      <c r="C2949" s="3" t="s">
        <v>31</v>
      </c>
      <c r="D2949" s="3" t="s">
        <v>32</v>
      </c>
      <c r="E2949" s="4" t="s">
        <v>22</v>
      </c>
      <c r="F2949" s="4" t="s">
        <v>15532</v>
      </c>
      <c r="G2949" s="4" t="s">
        <v>15533</v>
      </c>
      <c r="H2949" s="3" t="s">
        <v>13575</v>
      </c>
      <c r="I2949" s="3" t="s">
        <v>15534</v>
      </c>
      <c r="J2949" s="3" t="s">
        <v>15535</v>
      </c>
      <c r="K2949" s="3" t="s">
        <v>15536</v>
      </c>
      <c r="L2949" s="3" t="s">
        <v>15537</v>
      </c>
      <c r="M2949" s="4" t="s">
        <v>15538</v>
      </c>
      <c r="N2949" s="3" t="s">
        <v>37</v>
      </c>
      <c r="O2949" s="3" t="s">
        <v>38</v>
      </c>
      <c r="P2949" s="5">
        <v>10</v>
      </c>
      <c r="Q2949" s="5">
        <v>105</v>
      </c>
      <c r="R2949" s="5">
        <v>11</v>
      </c>
      <c r="S2949" s="5">
        <v>107</v>
      </c>
    </row>
    <row r="2950" spans="1:19" ht="42" x14ac:dyDescent="0.15">
      <c r="A2950" s="2">
        <f>HYPERLINK("https://open-school.uspishnemisto.com.ua/school/140421/", 140421)</f>
        <v>140421</v>
      </c>
      <c r="B2950" s="3" t="s">
        <v>15539</v>
      </c>
      <c r="C2950" s="3" t="s">
        <v>31</v>
      </c>
      <c r="D2950" s="3" t="s">
        <v>32</v>
      </c>
      <c r="E2950" s="4" t="s">
        <v>22</v>
      </c>
      <c r="F2950" s="4" t="s">
        <v>15540</v>
      </c>
      <c r="G2950" s="4" t="s">
        <v>15541</v>
      </c>
      <c r="H2950" s="3" t="s">
        <v>13575</v>
      </c>
      <c r="I2950" s="3" t="s">
        <v>15542</v>
      </c>
      <c r="J2950" s="3" t="s">
        <v>12690</v>
      </c>
      <c r="K2950" s="3" t="s">
        <v>15543</v>
      </c>
      <c r="L2950" s="3"/>
      <c r="M2950" s="4" t="s">
        <v>15544</v>
      </c>
      <c r="N2950" s="3" t="s">
        <v>37</v>
      </c>
      <c r="O2950" s="3" t="s">
        <v>38</v>
      </c>
      <c r="P2950" s="5">
        <v>11</v>
      </c>
      <c r="Q2950" s="5">
        <v>89</v>
      </c>
      <c r="R2950" s="5">
        <v>11</v>
      </c>
      <c r="S2950" s="5">
        <v>89</v>
      </c>
    </row>
    <row r="2951" spans="1:19" ht="28" x14ac:dyDescent="0.15">
      <c r="A2951" s="2">
        <f>HYPERLINK("https://open-school.uspishnemisto.com.ua/school/140422/", 140422)</f>
        <v>140422</v>
      </c>
      <c r="B2951" s="3" t="s">
        <v>15545</v>
      </c>
      <c r="C2951" s="3" t="s">
        <v>31</v>
      </c>
      <c r="D2951" s="3" t="s">
        <v>32</v>
      </c>
      <c r="E2951" s="4" t="s">
        <v>22</v>
      </c>
      <c r="F2951" s="4" t="s">
        <v>15546</v>
      </c>
      <c r="G2951" s="4" t="s">
        <v>15547</v>
      </c>
      <c r="H2951" s="3" t="s">
        <v>13575</v>
      </c>
      <c r="I2951" s="3" t="s">
        <v>15548</v>
      </c>
      <c r="J2951" s="3" t="s">
        <v>12217</v>
      </c>
      <c r="K2951" s="3"/>
      <c r="L2951" s="3" t="s">
        <v>15549</v>
      </c>
      <c r="M2951" s="4" t="s">
        <v>15550</v>
      </c>
      <c r="N2951" s="3" t="s">
        <v>128</v>
      </c>
      <c r="O2951" s="3" t="s">
        <v>70</v>
      </c>
      <c r="P2951" s="5">
        <v>11</v>
      </c>
      <c r="Q2951" s="5">
        <v>151</v>
      </c>
      <c r="R2951" s="5">
        <v>11</v>
      </c>
      <c r="S2951" s="5">
        <v>151</v>
      </c>
    </row>
    <row r="2952" spans="1:19" ht="28" x14ac:dyDescent="0.15">
      <c r="A2952" s="2">
        <f>HYPERLINK("https://open-school.uspishnemisto.com.ua/school/140423/", 140423)</f>
        <v>140423</v>
      </c>
      <c r="B2952" s="3" t="s">
        <v>15551</v>
      </c>
      <c r="C2952" s="3" t="s">
        <v>31</v>
      </c>
      <c r="D2952" s="3" t="s">
        <v>32</v>
      </c>
      <c r="E2952" s="4" t="s">
        <v>22</v>
      </c>
      <c r="F2952" s="4" t="s">
        <v>15552</v>
      </c>
      <c r="G2952" s="4" t="s">
        <v>15553</v>
      </c>
      <c r="H2952" s="3" t="s">
        <v>13575</v>
      </c>
      <c r="I2952" s="3" t="s">
        <v>15554</v>
      </c>
      <c r="J2952" s="3" t="s">
        <v>1668</v>
      </c>
      <c r="K2952" s="3" t="s">
        <v>15555</v>
      </c>
      <c r="L2952" s="3"/>
      <c r="M2952" s="4" t="s">
        <v>15556</v>
      </c>
      <c r="N2952" s="3" t="s">
        <v>37</v>
      </c>
      <c r="O2952" s="3" t="s">
        <v>38</v>
      </c>
      <c r="P2952" s="5">
        <v>11</v>
      </c>
      <c r="Q2952" s="5">
        <v>114</v>
      </c>
      <c r="R2952" s="5">
        <v>11</v>
      </c>
      <c r="S2952" s="5">
        <v>119</v>
      </c>
    </row>
    <row r="2953" spans="1:19" ht="28" x14ac:dyDescent="0.15">
      <c r="A2953" s="2">
        <f>HYPERLINK("https://open-school.uspishnemisto.com.ua/school/140424/", 140424)</f>
        <v>140424</v>
      </c>
      <c r="B2953" s="3" t="s">
        <v>15557</v>
      </c>
      <c r="C2953" s="3" t="s">
        <v>31</v>
      </c>
      <c r="D2953" s="3" t="s">
        <v>32</v>
      </c>
      <c r="E2953" s="4" t="s">
        <v>22</v>
      </c>
      <c r="F2953" s="4" t="s">
        <v>15558</v>
      </c>
      <c r="G2953" s="4" t="s">
        <v>15559</v>
      </c>
      <c r="H2953" s="3" t="s">
        <v>13575</v>
      </c>
      <c r="I2953" s="3" t="s">
        <v>15560</v>
      </c>
      <c r="J2953" s="3" t="s">
        <v>15561</v>
      </c>
      <c r="K2953" s="3" t="s">
        <v>15562</v>
      </c>
      <c r="L2953" s="3"/>
      <c r="M2953" s="4"/>
      <c r="N2953" s="3" t="s">
        <v>37</v>
      </c>
      <c r="O2953" s="3" t="s">
        <v>38</v>
      </c>
      <c r="P2953" s="5">
        <v>12</v>
      </c>
      <c r="Q2953" s="5">
        <v>231</v>
      </c>
      <c r="R2953" s="5">
        <v>12</v>
      </c>
      <c r="S2953" s="5">
        <v>229</v>
      </c>
    </row>
    <row r="2954" spans="1:19" ht="28" x14ac:dyDescent="0.15">
      <c r="A2954" s="2">
        <f>HYPERLINK("https://open-school.uspishnemisto.com.ua/school/140425/", 140425)</f>
        <v>140425</v>
      </c>
      <c r="B2954" s="3" t="s">
        <v>15563</v>
      </c>
      <c r="C2954" s="3" t="s">
        <v>31</v>
      </c>
      <c r="D2954" s="3" t="s">
        <v>32</v>
      </c>
      <c r="E2954" s="4" t="s">
        <v>22</v>
      </c>
      <c r="F2954" s="4" t="s">
        <v>15564</v>
      </c>
      <c r="G2954" s="4" t="s">
        <v>15565</v>
      </c>
      <c r="H2954" s="3" t="s">
        <v>13575</v>
      </c>
      <c r="I2954" s="3" t="s">
        <v>11128</v>
      </c>
      <c r="J2954" s="3" t="s">
        <v>15566</v>
      </c>
      <c r="K2954" s="3" t="s">
        <v>15567</v>
      </c>
      <c r="L2954" s="3" t="s">
        <v>15568</v>
      </c>
      <c r="M2954" s="4"/>
      <c r="N2954" s="3" t="s">
        <v>37</v>
      </c>
      <c r="O2954" s="3" t="s">
        <v>38</v>
      </c>
      <c r="P2954" s="5">
        <v>11</v>
      </c>
      <c r="Q2954" s="5">
        <v>134</v>
      </c>
      <c r="R2954" s="5">
        <v>11</v>
      </c>
      <c r="S2954" s="5">
        <v>134</v>
      </c>
    </row>
    <row r="2955" spans="1:19" ht="28" x14ac:dyDescent="0.15">
      <c r="A2955" s="2">
        <f>HYPERLINK("https://open-school.uspishnemisto.com.ua/school/140426/", 140426)</f>
        <v>140426</v>
      </c>
      <c r="B2955" s="3" t="s">
        <v>15569</v>
      </c>
      <c r="C2955" s="3" t="s">
        <v>31</v>
      </c>
      <c r="D2955" s="3" t="s">
        <v>32</v>
      </c>
      <c r="E2955" s="4" t="s">
        <v>22</v>
      </c>
      <c r="F2955" s="4" t="s">
        <v>15570</v>
      </c>
      <c r="G2955" s="4" t="s">
        <v>15571</v>
      </c>
      <c r="H2955" s="3" t="s">
        <v>13575</v>
      </c>
      <c r="I2955" s="3" t="s">
        <v>13794</v>
      </c>
      <c r="J2955" s="3" t="s">
        <v>1857</v>
      </c>
      <c r="K2955" s="3" t="s">
        <v>15572</v>
      </c>
      <c r="L2955" s="3" t="s">
        <v>15573</v>
      </c>
      <c r="M2955" s="4"/>
      <c r="N2955" s="3" t="s">
        <v>37</v>
      </c>
      <c r="O2955" s="3" t="s">
        <v>38</v>
      </c>
      <c r="P2955" s="5">
        <v>11</v>
      </c>
      <c r="Q2955" s="5">
        <v>161</v>
      </c>
      <c r="R2955" s="5">
        <v>11</v>
      </c>
      <c r="S2955" s="5">
        <v>169</v>
      </c>
    </row>
    <row r="2956" spans="1:19" ht="28" x14ac:dyDescent="0.15">
      <c r="A2956" s="2">
        <f>HYPERLINK("https://open-school.uspishnemisto.com.ua/school/140427/", 140427)</f>
        <v>140427</v>
      </c>
      <c r="B2956" s="3" t="s">
        <v>15574</v>
      </c>
      <c r="C2956" s="3" t="s">
        <v>31</v>
      </c>
      <c r="D2956" s="3" t="s">
        <v>32</v>
      </c>
      <c r="E2956" s="4" t="s">
        <v>22</v>
      </c>
      <c r="F2956" s="4" t="s">
        <v>15575</v>
      </c>
      <c r="G2956" s="4" t="s">
        <v>15576</v>
      </c>
      <c r="H2956" s="3" t="s">
        <v>13575</v>
      </c>
      <c r="I2956" s="3" t="s">
        <v>15577</v>
      </c>
      <c r="J2956" s="3" t="s">
        <v>3393</v>
      </c>
      <c r="K2956" s="3" t="s">
        <v>15578</v>
      </c>
      <c r="L2956" s="3" t="s">
        <v>15579</v>
      </c>
      <c r="M2956" s="4"/>
      <c r="N2956" s="3" t="s">
        <v>37</v>
      </c>
      <c r="O2956" s="3" t="s">
        <v>38</v>
      </c>
      <c r="P2956" s="5">
        <v>9</v>
      </c>
      <c r="Q2956" s="5">
        <v>86</v>
      </c>
      <c r="R2956" s="5">
        <v>8</v>
      </c>
      <c r="S2956" s="5">
        <v>88</v>
      </c>
    </row>
    <row r="2957" spans="1:19" ht="28" x14ac:dyDescent="0.15">
      <c r="A2957" s="2">
        <f>HYPERLINK("https://open-school.uspishnemisto.com.ua/school/140428/", 140428)</f>
        <v>140428</v>
      </c>
      <c r="B2957" s="3" t="s">
        <v>15580</v>
      </c>
      <c r="C2957" s="3" t="s">
        <v>31</v>
      </c>
      <c r="D2957" s="3" t="s">
        <v>32</v>
      </c>
      <c r="E2957" s="4" t="s">
        <v>22</v>
      </c>
      <c r="F2957" s="4" t="s">
        <v>15581</v>
      </c>
      <c r="G2957" s="4" t="s">
        <v>15582</v>
      </c>
      <c r="H2957" s="3" t="s">
        <v>13575</v>
      </c>
      <c r="I2957" s="3" t="s">
        <v>15583</v>
      </c>
      <c r="J2957" s="3" t="s">
        <v>3266</v>
      </c>
      <c r="K2957" s="3" t="s">
        <v>15584</v>
      </c>
      <c r="L2957" s="3"/>
      <c r="M2957" s="4"/>
      <c r="N2957" s="3" t="s">
        <v>37</v>
      </c>
      <c r="O2957" s="3" t="s">
        <v>38</v>
      </c>
      <c r="P2957" s="5">
        <v>11</v>
      </c>
      <c r="Q2957" s="5">
        <v>139</v>
      </c>
      <c r="R2957" s="5">
        <v>10</v>
      </c>
      <c r="S2957" s="5">
        <v>131</v>
      </c>
    </row>
    <row r="2958" spans="1:19" ht="28" x14ac:dyDescent="0.15">
      <c r="A2958" s="2">
        <f>HYPERLINK("https://open-school.uspishnemisto.com.ua/school/140429/", 140429)</f>
        <v>140429</v>
      </c>
      <c r="B2958" s="3" t="s">
        <v>15585</v>
      </c>
      <c r="C2958" s="3" t="s">
        <v>31</v>
      </c>
      <c r="D2958" s="3" t="s">
        <v>175</v>
      </c>
      <c r="E2958" s="4" t="s">
        <v>22</v>
      </c>
      <c r="F2958" s="4" t="s">
        <v>15586</v>
      </c>
      <c r="G2958" s="4" t="s">
        <v>15587</v>
      </c>
      <c r="H2958" s="3" t="s">
        <v>13575</v>
      </c>
      <c r="I2958" s="3" t="s">
        <v>15588</v>
      </c>
      <c r="J2958" s="3" t="s">
        <v>15380</v>
      </c>
      <c r="K2958" s="3" t="s">
        <v>15589</v>
      </c>
      <c r="L2958" s="3"/>
      <c r="M2958" s="4"/>
      <c r="N2958" s="3" t="s">
        <v>37</v>
      </c>
      <c r="O2958" s="3" t="s">
        <v>46</v>
      </c>
      <c r="P2958" s="5">
        <v>5</v>
      </c>
      <c r="Q2958" s="5">
        <v>33</v>
      </c>
      <c r="R2958" s="5">
        <v>5</v>
      </c>
      <c r="S2958" s="5">
        <v>36</v>
      </c>
    </row>
    <row r="2959" spans="1:19" ht="28" x14ac:dyDescent="0.15">
      <c r="A2959" s="2">
        <f>HYPERLINK("https://open-school.uspishnemisto.com.ua/school/140430/", 140430)</f>
        <v>140430</v>
      </c>
      <c r="B2959" s="3" t="s">
        <v>15590</v>
      </c>
      <c r="C2959" s="3" t="s">
        <v>31</v>
      </c>
      <c r="D2959" s="3" t="s">
        <v>175</v>
      </c>
      <c r="E2959" s="4" t="s">
        <v>22</v>
      </c>
      <c r="F2959" s="4" t="s">
        <v>15591</v>
      </c>
      <c r="G2959" s="4" t="s">
        <v>15592</v>
      </c>
      <c r="H2959" s="3" t="s">
        <v>13575</v>
      </c>
      <c r="I2959" s="3" t="s">
        <v>15593</v>
      </c>
      <c r="J2959" s="3" t="s">
        <v>15594</v>
      </c>
      <c r="K2959" s="3" t="s">
        <v>15595</v>
      </c>
      <c r="L2959" s="3" t="s">
        <v>15596</v>
      </c>
      <c r="M2959" s="4"/>
      <c r="N2959" s="3" t="s">
        <v>37</v>
      </c>
      <c r="O2959" s="3" t="s">
        <v>38</v>
      </c>
      <c r="P2959" s="5">
        <v>8</v>
      </c>
      <c r="Q2959" s="5">
        <v>64</v>
      </c>
      <c r="R2959" s="5">
        <v>7</v>
      </c>
      <c r="S2959" s="5">
        <v>53</v>
      </c>
    </row>
    <row r="2960" spans="1:19" ht="42" x14ac:dyDescent="0.15">
      <c r="A2960" s="2">
        <f>HYPERLINK("https://open-school.uspishnemisto.com.ua/school/140431/", 140431)</f>
        <v>140431</v>
      </c>
      <c r="B2960" s="3" t="s">
        <v>15597</v>
      </c>
      <c r="C2960" s="3" t="s">
        <v>31</v>
      </c>
      <c r="D2960" s="3" t="s">
        <v>32</v>
      </c>
      <c r="E2960" s="4" t="s">
        <v>22</v>
      </c>
      <c r="F2960" s="4" t="s">
        <v>15598</v>
      </c>
      <c r="G2960" s="4" t="s">
        <v>15599</v>
      </c>
      <c r="H2960" s="3" t="s">
        <v>13575</v>
      </c>
      <c r="I2960" s="3" t="s">
        <v>15600</v>
      </c>
      <c r="J2960" s="3" t="s">
        <v>878</v>
      </c>
      <c r="K2960" s="3" t="s">
        <v>15601</v>
      </c>
      <c r="L2960" s="3" t="s">
        <v>15602</v>
      </c>
      <c r="M2960" s="4"/>
      <c r="N2960" s="3" t="s">
        <v>37</v>
      </c>
      <c r="O2960" s="3" t="s">
        <v>38</v>
      </c>
      <c r="P2960" s="5">
        <v>11</v>
      </c>
      <c r="Q2960" s="5">
        <v>171</v>
      </c>
      <c r="R2960" s="5">
        <v>11</v>
      </c>
      <c r="S2960" s="5">
        <v>170</v>
      </c>
    </row>
    <row r="2961" spans="1:19" ht="28" x14ac:dyDescent="0.15">
      <c r="A2961" s="2">
        <f>HYPERLINK("https://open-school.uspishnemisto.com.ua/school/140432/", 140432)</f>
        <v>140432</v>
      </c>
      <c r="B2961" s="3" t="s">
        <v>15603</v>
      </c>
      <c r="C2961" s="3" t="s">
        <v>31</v>
      </c>
      <c r="D2961" s="3" t="s">
        <v>32</v>
      </c>
      <c r="E2961" s="4" t="s">
        <v>22</v>
      </c>
      <c r="F2961" s="4" t="s">
        <v>15604</v>
      </c>
      <c r="G2961" s="4" t="s">
        <v>15605</v>
      </c>
      <c r="H2961" s="3" t="s">
        <v>13575</v>
      </c>
      <c r="I2961" s="3" t="s">
        <v>15606</v>
      </c>
      <c r="J2961" s="3" t="s">
        <v>683</v>
      </c>
      <c r="K2961" s="3"/>
      <c r="L2961" s="3"/>
      <c r="M2961" s="4"/>
      <c r="N2961" s="3" t="s">
        <v>37</v>
      </c>
      <c r="O2961" s="3" t="s">
        <v>38</v>
      </c>
      <c r="P2961" s="5">
        <v>12</v>
      </c>
      <c r="Q2961" s="5">
        <v>207</v>
      </c>
      <c r="R2961" s="5">
        <v>11</v>
      </c>
      <c r="S2961" s="5">
        <v>202</v>
      </c>
    </row>
    <row r="2962" spans="1:19" ht="28" x14ac:dyDescent="0.15">
      <c r="A2962" s="2">
        <f>HYPERLINK("https://open-school.uspishnemisto.com.ua/school/140433/", 140433)</f>
        <v>140433</v>
      </c>
      <c r="B2962" s="3" t="s">
        <v>15607</v>
      </c>
      <c r="C2962" s="3" t="s">
        <v>31</v>
      </c>
      <c r="D2962" s="3" t="s">
        <v>32</v>
      </c>
      <c r="E2962" s="4" t="s">
        <v>22</v>
      </c>
      <c r="F2962" s="4" t="s">
        <v>15608</v>
      </c>
      <c r="G2962" s="4" t="s">
        <v>15609</v>
      </c>
      <c r="H2962" s="3" t="s">
        <v>13575</v>
      </c>
      <c r="I2962" s="3" t="s">
        <v>15610</v>
      </c>
      <c r="J2962" s="3" t="s">
        <v>933</v>
      </c>
      <c r="K2962" s="3" t="s">
        <v>15611</v>
      </c>
      <c r="L2962" s="3" t="s">
        <v>15612</v>
      </c>
      <c r="M2962" s="4"/>
      <c r="N2962" s="3" t="s">
        <v>37</v>
      </c>
      <c r="O2962" s="3" t="s">
        <v>38</v>
      </c>
      <c r="P2962" s="5">
        <v>10</v>
      </c>
      <c r="Q2962" s="5">
        <v>77</v>
      </c>
      <c r="R2962" s="5">
        <v>10</v>
      </c>
      <c r="S2962" s="5">
        <v>76</v>
      </c>
    </row>
    <row r="2963" spans="1:19" ht="42" x14ac:dyDescent="0.15">
      <c r="A2963" s="2">
        <f>HYPERLINK("https://open-school.uspishnemisto.com.ua/school/140434/", 140434)</f>
        <v>140434</v>
      </c>
      <c r="B2963" s="3" t="s">
        <v>15613</v>
      </c>
      <c r="C2963" s="3" t="s">
        <v>31</v>
      </c>
      <c r="D2963" s="3" t="s">
        <v>32</v>
      </c>
      <c r="E2963" s="4" t="s">
        <v>22</v>
      </c>
      <c r="F2963" s="4" t="s">
        <v>15614</v>
      </c>
      <c r="G2963" s="4" t="s">
        <v>15615</v>
      </c>
      <c r="H2963" s="3" t="s">
        <v>13575</v>
      </c>
      <c r="I2963" s="3" t="s">
        <v>15616</v>
      </c>
      <c r="J2963" s="3" t="s">
        <v>566</v>
      </c>
      <c r="K2963" s="3" t="s">
        <v>15617</v>
      </c>
      <c r="L2963" s="3" t="s">
        <v>15618</v>
      </c>
      <c r="M2963" s="4"/>
      <c r="N2963" s="3" t="s">
        <v>37</v>
      </c>
      <c r="O2963" s="3" t="s">
        <v>38</v>
      </c>
      <c r="P2963" s="5">
        <v>9</v>
      </c>
      <c r="Q2963" s="5">
        <v>92</v>
      </c>
      <c r="R2963" s="5">
        <v>10</v>
      </c>
      <c r="S2963" s="5">
        <v>97</v>
      </c>
    </row>
    <row r="2964" spans="1:19" ht="28" x14ac:dyDescent="0.15">
      <c r="A2964" s="2">
        <f>HYPERLINK("https://open-school.uspishnemisto.com.ua/school/140435/", 140435)</f>
        <v>140435</v>
      </c>
      <c r="B2964" s="3" t="s">
        <v>15619</v>
      </c>
      <c r="C2964" s="3" t="s">
        <v>31</v>
      </c>
      <c r="D2964" s="3" t="s">
        <v>32</v>
      </c>
      <c r="E2964" s="4" t="s">
        <v>22</v>
      </c>
      <c r="F2964" s="4" t="s">
        <v>15620</v>
      </c>
      <c r="G2964" s="4" t="s">
        <v>15621</v>
      </c>
      <c r="H2964" s="3" t="s">
        <v>13575</v>
      </c>
      <c r="I2964" s="3" t="s">
        <v>15622</v>
      </c>
      <c r="J2964" s="3" t="s">
        <v>466</v>
      </c>
      <c r="K2964" s="3" t="s">
        <v>15623</v>
      </c>
      <c r="L2964" s="3" t="s">
        <v>15624</v>
      </c>
      <c r="M2964" s="4"/>
      <c r="N2964" s="3" t="s">
        <v>37</v>
      </c>
      <c r="O2964" s="3" t="s">
        <v>38</v>
      </c>
      <c r="P2964" s="5">
        <v>10</v>
      </c>
      <c r="Q2964" s="5">
        <v>113</v>
      </c>
      <c r="R2964" s="5">
        <v>10</v>
      </c>
      <c r="S2964" s="5">
        <v>96</v>
      </c>
    </row>
    <row r="2965" spans="1:19" ht="28" x14ac:dyDescent="0.15">
      <c r="A2965" s="2">
        <f>HYPERLINK("https://open-school.uspishnemisto.com.ua/school/140436/", 140436)</f>
        <v>140436</v>
      </c>
      <c r="B2965" s="3" t="s">
        <v>15625</v>
      </c>
      <c r="C2965" s="3" t="s">
        <v>54</v>
      </c>
      <c r="D2965" s="3" t="s">
        <v>60</v>
      </c>
      <c r="E2965" s="4" t="s">
        <v>22</v>
      </c>
      <c r="F2965" s="4" t="s">
        <v>15626</v>
      </c>
      <c r="G2965" s="4" t="s">
        <v>15627</v>
      </c>
      <c r="H2965" s="3" t="s">
        <v>13575</v>
      </c>
      <c r="I2965" s="3" t="s">
        <v>1033</v>
      </c>
      <c r="J2965" s="3" t="s">
        <v>634</v>
      </c>
      <c r="K2965" s="3" t="s">
        <v>15628</v>
      </c>
      <c r="L2965" s="3"/>
      <c r="M2965" s="4"/>
      <c r="N2965" s="3" t="s">
        <v>37</v>
      </c>
      <c r="O2965" s="3" t="s">
        <v>38</v>
      </c>
      <c r="P2965" s="5">
        <v>2</v>
      </c>
      <c r="Q2965" s="5">
        <v>21</v>
      </c>
      <c r="R2965" s="5">
        <v>3</v>
      </c>
      <c r="S2965" s="5">
        <v>26</v>
      </c>
    </row>
    <row r="2966" spans="1:19" ht="28" x14ac:dyDescent="0.15">
      <c r="A2966" s="2">
        <f>HYPERLINK("https://open-school.uspishnemisto.com.ua/school/140437/", 140437)</f>
        <v>140437</v>
      </c>
      <c r="B2966" s="3" t="s">
        <v>15629</v>
      </c>
      <c r="C2966" s="3" t="s">
        <v>31</v>
      </c>
      <c r="D2966" s="3" t="s">
        <v>32</v>
      </c>
      <c r="E2966" s="4" t="s">
        <v>22</v>
      </c>
      <c r="F2966" s="4" t="s">
        <v>15630</v>
      </c>
      <c r="G2966" s="4" t="s">
        <v>15631</v>
      </c>
      <c r="H2966" s="3" t="s">
        <v>13575</v>
      </c>
      <c r="I2966" s="3" t="s">
        <v>15632</v>
      </c>
      <c r="J2966" s="3" t="s">
        <v>15633</v>
      </c>
      <c r="K2966" s="3" t="s">
        <v>15634</v>
      </c>
      <c r="L2966" s="3" t="s">
        <v>15635</v>
      </c>
      <c r="M2966" s="4"/>
      <c r="N2966" s="3" t="s">
        <v>37</v>
      </c>
      <c r="O2966" s="3" t="s">
        <v>38</v>
      </c>
      <c r="P2966" s="5">
        <v>10</v>
      </c>
      <c r="Q2966" s="5">
        <v>87</v>
      </c>
      <c r="R2966" s="5">
        <v>10</v>
      </c>
      <c r="S2966" s="5">
        <v>80</v>
      </c>
    </row>
    <row r="2967" spans="1:19" ht="42" x14ac:dyDescent="0.15">
      <c r="A2967" s="2">
        <f>HYPERLINK("https://open-school.uspishnemisto.com.ua/school/140438/", 140438)</f>
        <v>140438</v>
      </c>
      <c r="B2967" s="3" t="s">
        <v>15636</v>
      </c>
      <c r="C2967" s="3" t="s">
        <v>244</v>
      </c>
      <c r="D2967" s="3" t="s">
        <v>32</v>
      </c>
      <c r="E2967" s="4" t="s">
        <v>22</v>
      </c>
      <c r="F2967" s="4" t="s">
        <v>15637</v>
      </c>
      <c r="G2967" s="4" t="s">
        <v>15638</v>
      </c>
      <c r="H2967" s="3" t="s">
        <v>13575</v>
      </c>
      <c r="I2967" s="3" t="s">
        <v>5129</v>
      </c>
      <c r="J2967" s="3" t="s">
        <v>15639</v>
      </c>
      <c r="K2967" s="3" t="s">
        <v>15640</v>
      </c>
      <c r="L2967" s="3" t="s">
        <v>15641</v>
      </c>
      <c r="M2967" s="4"/>
      <c r="N2967" s="3" t="s">
        <v>37</v>
      </c>
      <c r="O2967" s="3" t="s">
        <v>70</v>
      </c>
      <c r="P2967" s="5">
        <v>11</v>
      </c>
      <c r="Q2967" s="5">
        <v>118</v>
      </c>
      <c r="R2967" s="5">
        <v>10</v>
      </c>
      <c r="S2967" s="5">
        <v>115</v>
      </c>
    </row>
    <row r="2968" spans="1:19" ht="28" x14ac:dyDescent="0.15">
      <c r="A2968" s="2">
        <f>HYPERLINK("https://open-school.uspishnemisto.com.ua/school/140439/", 140439)</f>
        <v>140439</v>
      </c>
      <c r="B2968" s="3" t="s">
        <v>15642</v>
      </c>
      <c r="C2968" s="3" t="s">
        <v>244</v>
      </c>
      <c r="D2968" s="3" t="s">
        <v>32</v>
      </c>
      <c r="E2968" s="4" t="s">
        <v>22</v>
      </c>
      <c r="F2968" s="4" t="s">
        <v>15643</v>
      </c>
      <c r="G2968" s="4" t="s">
        <v>15644</v>
      </c>
      <c r="H2968" s="3" t="s">
        <v>13575</v>
      </c>
      <c r="I2968" s="3" t="s">
        <v>15645</v>
      </c>
      <c r="J2968" s="3" t="s">
        <v>15646</v>
      </c>
      <c r="K2968" s="3" t="s">
        <v>15647</v>
      </c>
      <c r="L2968" s="3" t="s">
        <v>15648</v>
      </c>
      <c r="M2968" s="4"/>
      <c r="N2968" s="3" t="s">
        <v>37</v>
      </c>
      <c r="O2968" s="3" t="s">
        <v>70</v>
      </c>
      <c r="P2968" s="5">
        <v>11</v>
      </c>
      <c r="Q2968" s="5">
        <v>142</v>
      </c>
      <c r="R2968" s="5">
        <v>10</v>
      </c>
      <c r="S2968" s="5">
        <v>145</v>
      </c>
    </row>
    <row r="2969" spans="1:19" ht="28" x14ac:dyDescent="0.15">
      <c r="A2969" s="2">
        <f>HYPERLINK("https://open-school.uspishnemisto.com.ua/school/140440/", 140440)</f>
        <v>140440</v>
      </c>
      <c r="B2969" s="3" t="s">
        <v>15649</v>
      </c>
      <c r="C2969" s="3" t="s">
        <v>54</v>
      </c>
      <c r="D2969" s="3" t="s">
        <v>175</v>
      </c>
      <c r="E2969" s="4" t="s">
        <v>22</v>
      </c>
      <c r="F2969" s="4" t="s">
        <v>15643</v>
      </c>
      <c r="G2969" s="4" t="s">
        <v>15650</v>
      </c>
      <c r="H2969" s="3" t="s">
        <v>13575</v>
      </c>
      <c r="I2969" s="3" t="s">
        <v>15651</v>
      </c>
      <c r="J2969" s="3" t="s">
        <v>6432</v>
      </c>
      <c r="K2969" s="3" t="s">
        <v>15652</v>
      </c>
      <c r="L2969" s="3"/>
      <c r="M2969" s="4"/>
      <c r="N2969" s="3" t="s">
        <v>128</v>
      </c>
      <c r="O2969" s="3" t="s">
        <v>123</v>
      </c>
      <c r="P2969" s="5">
        <v>9</v>
      </c>
      <c r="Q2969" s="5">
        <v>54</v>
      </c>
      <c r="R2969" s="5">
        <v>8</v>
      </c>
      <c r="S2969" s="5">
        <v>54</v>
      </c>
    </row>
    <row r="2970" spans="1:19" ht="28" x14ac:dyDescent="0.15">
      <c r="A2970" s="2">
        <f>HYPERLINK("https://open-school.uspishnemisto.com.ua/school/140441/", 140441)</f>
        <v>140441</v>
      </c>
      <c r="B2970" s="3" t="s">
        <v>15653</v>
      </c>
      <c r="C2970" s="3" t="s">
        <v>244</v>
      </c>
      <c r="D2970" s="3" t="s">
        <v>32</v>
      </c>
      <c r="E2970" s="4" t="s">
        <v>22</v>
      </c>
      <c r="F2970" s="4" t="s">
        <v>15654</v>
      </c>
      <c r="G2970" s="4" t="s">
        <v>15655</v>
      </c>
      <c r="H2970" s="3" t="s">
        <v>13575</v>
      </c>
      <c r="I2970" s="3" t="s">
        <v>15656</v>
      </c>
      <c r="J2970" s="3" t="s">
        <v>3620</v>
      </c>
      <c r="K2970" s="3" t="s">
        <v>15657</v>
      </c>
      <c r="L2970" s="3"/>
      <c r="M2970" s="4"/>
      <c r="N2970" s="3" t="s">
        <v>128</v>
      </c>
      <c r="O2970" s="3" t="s">
        <v>70</v>
      </c>
      <c r="P2970" s="5">
        <v>20</v>
      </c>
      <c r="Q2970" s="5">
        <v>348</v>
      </c>
      <c r="R2970" s="5">
        <v>18</v>
      </c>
      <c r="S2970" s="5">
        <v>329</v>
      </c>
    </row>
    <row r="2971" spans="1:19" ht="28" x14ac:dyDescent="0.15">
      <c r="A2971" s="2">
        <f>HYPERLINK("https://open-school.uspishnemisto.com.ua/school/140442/", 140442)</f>
        <v>140442</v>
      </c>
      <c r="B2971" s="3" t="s">
        <v>15658</v>
      </c>
      <c r="C2971" s="3" t="s">
        <v>31</v>
      </c>
      <c r="D2971" s="3" t="s">
        <v>32</v>
      </c>
      <c r="E2971" s="4" t="s">
        <v>22</v>
      </c>
      <c r="F2971" s="4" t="s">
        <v>15659</v>
      </c>
      <c r="G2971" s="4" t="s">
        <v>15660</v>
      </c>
      <c r="H2971" s="3" t="s">
        <v>13575</v>
      </c>
      <c r="I2971" s="3" t="s">
        <v>15661</v>
      </c>
      <c r="J2971" s="3" t="s">
        <v>7166</v>
      </c>
      <c r="K2971" s="3" t="s">
        <v>15662</v>
      </c>
      <c r="L2971" s="3" t="s">
        <v>15663</v>
      </c>
      <c r="M2971" s="4"/>
      <c r="N2971" s="3" t="s">
        <v>37</v>
      </c>
      <c r="O2971" s="3" t="s">
        <v>721</v>
      </c>
      <c r="P2971" s="5">
        <v>11</v>
      </c>
      <c r="Q2971" s="5">
        <v>85</v>
      </c>
      <c r="R2971" s="5">
        <v>11</v>
      </c>
      <c r="S2971" s="5">
        <v>90</v>
      </c>
    </row>
    <row r="2972" spans="1:19" ht="28" x14ac:dyDescent="0.15">
      <c r="A2972" s="2">
        <f>HYPERLINK("https://open-school.uspishnemisto.com.ua/school/140443/", 140443)</f>
        <v>140443</v>
      </c>
      <c r="B2972" s="3" t="s">
        <v>15664</v>
      </c>
      <c r="C2972" s="3" t="s">
        <v>244</v>
      </c>
      <c r="D2972" s="3" t="s">
        <v>32</v>
      </c>
      <c r="E2972" s="4" t="s">
        <v>22</v>
      </c>
      <c r="F2972" s="4" t="s">
        <v>15665</v>
      </c>
      <c r="G2972" s="4" t="s">
        <v>15666</v>
      </c>
      <c r="H2972" s="3" t="s">
        <v>13575</v>
      </c>
      <c r="I2972" s="3" t="s">
        <v>15667</v>
      </c>
      <c r="J2972" s="3" t="s">
        <v>15668</v>
      </c>
      <c r="K2972" s="3" t="s">
        <v>15669</v>
      </c>
      <c r="L2972" s="3"/>
      <c r="M2972" s="4"/>
      <c r="N2972" s="3" t="s">
        <v>128</v>
      </c>
      <c r="O2972" s="3" t="s">
        <v>38</v>
      </c>
      <c r="P2972" s="5">
        <v>12</v>
      </c>
      <c r="Q2972" s="5">
        <v>156</v>
      </c>
      <c r="R2972" s="5">
        <v>12</v>
      </c>
      <c r="S2972" s="5">
        <v>157</v>
      </c>
    </row>
    <row r="2973" spans="1:19" ht="28" x14ac:dyDescent="0.15">
      <c r="A2973" s="2">
        <f>HYPERLINK("https://open-school.uspishnemisto.com.ua/school/140444/", 140444)</f>
        <v>140444</v>
      </c>
      <c r="B2973" s="3" t="s">
        <v>15670</v>
      </c>
      <c r="C2973" s="3" t="s">
        <v>54</v>
      </c>
      <c r="D2973" s="3" t="s">
        <v>175</v>
      </c>
      <c r="E2973" s="4" t="s">
        <v>22</v>
      </c>
      <c r="F2973" s="4" t="s">
        <v>15671</v>
      </c>
      <c r="G2973" s="4" t="s">
        <v>15672</v>
      </c>
      <c r="H2973" s="3" t="s">
        <v>13575</v>
      </c>
      <c r="I2973" s="3" t="s">
        <v>15673</v>
      </c>
      <c r="J2973" s="3" t="s">
        <v>1417</v>
      </c>
      <c r="K2973" s="3" t="s">
        <v>15674</v>
      </c>
      <c r="L2973" s="3" t="s">
        <v>15675</v>
      </c>
      <c r="M2973" s="4"/>
      <c r="N2973" s="3" t="s">
        <v>37</v>
      </c>
      <c r="O2973" s="3" t="s">
        <v>38</v>
      </c>
      <c r="P2973" s="5">
        <v>9</v>
      </c>
      <c r="Q2973" s="5">
        <v>76</v>
      </c>
      <c r="R2973" s="5">
        <v>9</v>
      </c>
      <c r="S2973" s="5">
        <v>71</v>
      </c>
    </row>
    <row r="2974" spans="1:19" ht="28" x14ac:dyDescent="0.15">
      <c r="A2974" s="2">
        <f>HYPERLINK("https://open-school.uspishnemisto.com.ua/school/140445/", 140445)</f>
        <v>140445</v>
      </c>
      <c r="B2974" s="3" t="s">
        <v>15676</v>
      </c>
      <c r="C2974" s="3" t="s">
        <v>31</v>
      </c>
      <c r="D2974" s="3" t="s">
        <v>32</v>
      </c>
      <c r="E2974" s="4" t="s">
        <v>22</v>
      </c>
      <c r="F2974" s="4" t="s">
        <v>15677</v>
      </c>
      <c r="G2974" s="4" t="s">
        <v>15678</v>
      </c>
      <c r="H2974" s="3" t="s">
        <v>13575</v>
      </c>
      <c r="I2974" s="3" t="s">
        <v>15679</v>
      </c>
      <c r="J2974" s="3" t="s">
        <v>15680</v>
      </c>
      <c r="K2974" s="3" t="s">
        <v>15681</v>
      </c>
      <c r="L2974" s="3" t="s">
        <v>15682</v>
      </c>
      <c r="M2974" s="4"/>
      <c r="N2974" s="3" t="s">
        <v>37</v>
      </c>
      <c r="O2974" s="3" t="s">
        <v>70</v>
      </c>
      <c r="P2974" s="5">
        <v>6</v>
      </c>
      <c r="Q2974" s="5">
        <v>55</v>
      </c>
      <c r="R2974" s="5">
        <v>7</v>
      </c>
      <c r="S2974" s="5">
        <v>61</v>
      </c>
    </row>
    <row r="2975" spans="1:19" ht="28" x14ac:dyDescent="0.15">
      <c r="A2975" s="2">
        <f>HYPERLINK("https://open-school.uspishnemisto.com.ua/school/140446/", 140446)</f>
        <v>140446</v>
      </c>
      <c r="B2975" s="3" t="s">
        <v>15683</v>
      </c>
      <c r="C2975" s="3" t="s">
        <v>54</v>
      </c>
      <c r="D2975" s="3" t="s">
        <v>175</v>
      </c>
      <c r="E2975" s="4" t="s">
        <v>22</v>
      </c>
      <c r="F2975" s="4" t="s">
        <v>15684</v>
      </c>
      <c r="G2975" s="4" t="s">
        <v>15685</v>
      </c>
      <c r="H2975" s="3" t="s">
        <v>13575</v>
      </c>
      <c r="I2975" s="3" t="s">
        <v>1740</v>
      </c>
      <c r="J2975" s="3" t="s">
        <v>15686</v>
      </c>
      <c r="K2975" s="3" t="s">
        <v>15687</v>
      </c>
      <c r="L2975" s="3"/>
      <c r="M2975" s="4"/>
      <c r="N2975" s="3" t="s">
        <v>37</v>
      </c>
      <c r="O2975" s="3" t="s">
        <v>38</v>
      </c>
      <c r="P2975" s="5">
        <v>7</v>
      </c>
      <c r="Q2975" s="5">
        <v>41</v>
      </c>
      <c r="R2975" s="5">
        <v>6</v>
      </c>
      <c r="S2975" s="5">
        <v>35</v>
      </c>
    </row>
    <row r="2976" spans="1:19" ht="42" x14ac:dyDescent="0.15">
      <c r="A2976" s="2">
        <f>HYPERLINK("https://open-school.uspishnemisto.com.ua/school/140447/", 140447)</f>
        <v>140447</v>
      </c>
      <c r="B2976" s="3" t="s">
        <v>15688</v>
      </c>
      <c r="C2976" s="3" t="s">
        <v>54</v>
      </c>
      <c r="D2976" s="3" t="s">
        <v>32</v>
      </c>
      <c r="E2976" s="4" t="s">
        <v>22</v>
      </c>
      <c r="F2976" s="4" t="s">
        <v>15689</v>
      </c>
      <c r="G2976" s="4" t="s">
        <v>15690</v>
      </c>
      <c r="H2976" s="3" t="s">
        <v>13575</v>
      </c>
      <c r="I2976" s="3" t="s">
        <v>15691</v>
      </c>
      <c r="J2976" s="3" t="s">
        <v>15692</v>
      </c>
      <c r="K2976" s="3"/>
      <c r="L2976" s="3" t="s">
        <v>15693</v>
      </c>
      <c r="M2976" s="4"/>
      <c r="N2976" s="3" t="s">
        <v>37</v>
      </c>
      <c r="O2976" s="3" t="s">
        <v>721</v>
      </c>
      <c r="P2976" s="5">
        <v>22</v>
      </c>
      <c r="Q2976" s="5">
        <v>394</v>
      </c>
      <c r="R2976" s="5">
        <v>20</v>
      </c>
      <c r="S2976" s="5">
        <v>353</v>
      </c>
    </row>
    <row r="2977" spans="1:19" ht="28" x14ac:dyDescent="0.15">
      <c r="A2977" s="2">
        <f>HYPERLINK("https://open-school.uspishnemisto.com.ua/school/140448/", 140448)</f>
        <v>140448</v>
      </c>
      <c r="B2977" s="3" t="s">
        <v>15694</v>
      </c>
      <c r="C2977" s="3" t="s">
        <v>54</v>
      </c>
      <c r="D2977" s="3" t="s">
        <v>32</v>
      </c>
      <c r="E2977" s="4" t="s">
        <v>22</v>
      </c>
      <c r="F2977" s="4" t="s">
        <v>15695</v>
      </c>
      <c r="G2977" s="4" t="s">
        <v>15696</v>
      </c>
      <c r="H2977" s="3" t="s">
        <v>13575</v>
      </c>
      <c r="I2977" s="3" t="s">
        <v>11355</v>
      </c>
      <c r="J2977" s="3" t="s">
        <v>1417</v>
      </c>
      <c r="K2977" s="3" t="s">
        <v>15697</v>
      </c>
      <c r="L2977" s="3"/>
      <c r="M2977" s="4"/>
      <c r="N2977" s="3" t="s">
        <v>37</v>
      </c>
      <c r="O2977" s="3" t="s">
        <v>38</v>
      </c>
      <c r="P2977" s="5">
        <v>11</v>
      </c>
      <c r="Q2977" s="5">
        <v>104</v>
      </c>
      <c r="R2977" s="5">
        <v>11</v>
      </c>
      <c r="S2977" s="5">
        <v>107</v>
      </c>
    </row>
    <row r="2978" spans="1:19" ht="28" x14ac:dyDescent="0.15">
      <c r="A2978" s="2">
        <f>HYPERLINK("https://open-school.uspishnemisto.com.ua/school/140450/", 140450)</f>
        <v>140450</v>
      </c>
      <c r="B2978" s="3" t="s">
        <v>15698</v>
      </c>
      <c r="C2978" s="3" t="s">
        <v>54</v>
      </c>
      <c r="D2978" s="3" t="s">
        <v>60</v>
      </c>
      <c r="E2978" s="4" t="s">
        <v>22</v>
      </c>
      <c r="F2978" s="4" t="s">
        <v>15699</v>
      </c>
      <c r="G2978" s="4" t="s">
        <v>15700</v>
      </c>
      <c r="H2978" s="3" t="s">
        <v>13575</v>
      </c>
      <c r="I2978" s="3" t="s">
        <v>15701</v>
      </c>
      <c r="J2978" s="3" t="s">
        <v>15702</v>
      </c>
      <c r="K2978" s="3" t="s">
        <v>15703</v>
      </c>
      <c r="L2978" s="3"/>
      <c r="M2978" s="4"/>
      <c r="N2978" s="3" t="s">
        <v>37</v>
      </c>
      <c r="O2978" s="3" t="s">
        <v>38</v>
      </c>
      <c r="P2978" s="5">
        <v>4</v>
      </c>
      <c r="Q2978" s="5">
        <v>22</v>
      </c>
      <c r="R2978" s="5">
        <v>4</v>
      </c>
      <c r="S2978" s="5">
        <v>21</v>
      </c>
    </row>
    <row r="2979" spans="1:19" ht="28" x14ac:dyDescent="0.15">
      <c r="A2979" s="2">
        <f>HYPERLINK("https://open-school.uspishnemisto.com.ua/school/140451/", 140451)</f>
        <v>140451</v>
      </c>
      <c r="B2979" s="3" t="s">
        <v>15704</v>
      </c>
      <c r="C2979" s="3" t="s">
        <v>54</v>
      </c>
      <c r="D2979" s="3" t="s">
        <v>32</v>
      </c>
      <c r="E2979" s="4" t="s">
        <v>22</v>
      </c>
      <c r="F2979" s="4" t="s">
        <v>15705</v>
      </c>
      <c r="G2979" s="4" t="s">
        <v>15706</v>
      </c>
      <c r="H2979" s="3" t="s">
        <v>13575</v>
      </c>
      <c r="I2979" s="3" t="s">
        <v>1439</v>
      </c>
      <c r="J2979" s="3" t="s">
        <v>15707</v>
      </c>
      <c r="K2979" s="3" t="s">
        <v>15708</v>
      </c>
      <c r="L2979" s="3" t="s">
        <v>15709</v>
      </c>
      <c r="M2979" s="4"/>
      <c r="N2979" s="3" t="s">
        <v>37</v>
      </c>
      <c r="O2979" s="3" t="s">
        <v>52</v>
      </c>
      <c r="P2979" s="5">
        <v>11</v>
      </c>
      <c r="Q2979" s="5">
        <v>63</v>
      </c>
      <c r="R2979" s="5">
        <v>11</v>
      </c>
      <c r="S2979" s="5">
        <v>67</v>
      </c>
    </row>
    <row r="2980" spans="1:19" ht="28" x14ac:dyDescent="0.15">
      <c r="A2980" s="2">
        <f>HYPERLINK("https://open-school.uspishnemisto.com.ua/school/140452/", 140452)</f>
        <v>140452</v>
      </c>
      <c r="B2980" s="3" t="s">
        <v>15710</v>
      </c>
      <c r="C2980" s="3" t="s">
        <v>54</v>
      </c>
      <c r="D2980" s="3" t="s">
        <v>32</v>
      </c>
      <c r="E2980" s="4" t="s">
        <v>22</v>
      </c>
      <c r="F2980" s="4" t="s">
        <v>15711</v>
      </c>
      <c r="G2980" s="4" t="s">
        <v>15712</v>
      </c>
      <c r="H2980" s="3" t="s">
        <v>13575</v>
      </c>
      <c r="I2980" s="3" t="s">
        <v>15713</v>
      </c>
      <c r="J2980" s="3" t="s">
        <v>15714</v>
      </c>
      <c r="K2980" s="3" t="s">
        <v>15715</v>
      </c>
      <c r="L2980" s="3"/>
      <c r="M2980" s="4"/>
      <c r="N2980" s="3" t="s">
        <v>37</v>
      </c>
      <c r="O2980" s="3" t="s">
        <v>38</v>
      </c>
      <c r="P2980" s="5">
        <v>8</v>
      </c>
      <c r="Q2980" s="5">
        <v>61</v>
      </c>
      <c r="R2980" s="5">
        <v>8</v>
      </c>
      <c r="S2980" s="5">
        <v>55</v>
      </c>
    </row>
    <row r="2981" spans="1:19" ht="28" x14ac:dyDescent="0.15">
      <c r="A2981" s="2">
        <f>HYPERLINK("https://open-school.uspishnemisto.com.ua/school/140453/", 140453)</f>
        <v>140453</v>
      </c>
      <c r="B2981" s="3" t="s">
        <v>15716</v>
      </c>
      <c r="C2981" s="3" t="s">
        <v>31</v>
      </c>
      <c r="D2981" s="3" t="s">
        <v>32</v>
      </c>
      <c r="E2981" s="4" t="s">
        <v>22</v>
      </c>
      <c r="F2981" s="4" t="s">
        <v>15717</v>
      </c>
      <c r="G2981" s="4" t="s">
        <v>15718</v>
      </c>
      <c r="H2981" s="3" t="s">
        <v>13575</v>
      </c>
      <c r="I2981" s="3" t="s">
        <v>15719</v>
      </c>
      <c r="J2981" s="3" t="s">
        <v>7581</v>
      </c>
      <c r="K2981" s="3" t="s">
        <v>15720</v>
      </c>
      <c r="L2981" s="3" t="s">
        <v>15721</v>
      </c>
      <c r="M2981" s="4" t="s">
        <v>15722</v>
      </c>
      <c r="N2981" s="3" t="s">
        <v>37</v>
      </c>
      <c r="O2981" s="3" t="s">
        <v>38</v>
      </c>
      <c r="P2981" s="5">
        <v>11</v>
      </c>
      <c r="Q2981" s="5">
        <v>208</v>
      </c>
      <c r="R2981" s="5">
        <v>11</v>
      </c>
      <c r="S2981" s="5">
        <v>222</v>
      </c>
    </row>
    <row r="2982" spans="1:19" ht="28" x14ac:dyDescent="0.15">
      <c r="A2982" s="2">
        <f>HYPERLINK("https://open-school.uspishnemisto.com.ua/school/140454/", 140454)</f>
        <v>140454</v>
      </c>
      <c r="B2982" s="3" t="s">
        <v>15723</v>
      </c>
      <c r="C2982" s="3" t="s">
        <v>31</v>
      </c>
      <c r="D2982" s="3" t="s">
        <v>32</v>
      </c>
      <c r="E2982" s="4" t="s">
        <v>22</v>
      </c>
      <c r="F2982" s="4" t="s">
        <v>15724</v>
      </c>
      <c r="G2982" s="4" t="s">
        <v>15725</v>
      </c>
      <c r="H2982" s="3" t="s">
        <v>13575</v>
      </c>
      <c r="I2982" s="3" t="s">
        <v>15726</v>
      </c>
      <c r="J2982" s="3" t="s">
        <v>15727</v>
      </c>
      <c r="K2982" s="3" t="s">
        <v>15728</v>
      </c>
      <c r="L2982" s="3" t="s">
        <v>15729</v>
      </c>
      <c r="M2982" s="4" t="s">
        <v>15730</v>
      </c>
      <c r="N2982" s="3" t="s">
        <v>128</v>
      </c>
      <c r="O2982" s="3" t="s">
        <v>38</v>
      </c>
      <c r="P2982" s="5">
        <v>20</v>
      </c>
      <c r="Q2982" s="5">
        <v>252</v>
      </c>
      <c r="R2982" s="5">
        <v>20</v>
      </c>
      <c r="S2982" s="5">
        <v>254</v>
      </c>
    </row>
    <row r="2983" spans="1:19" ht="28" x14ac:dyDescent="0.15">
      <c r="A2983" s="2">
        <f>HYPERLINK("https://open-school.uspishnemisto.com.ua/school/140455/", 140455)</f>
        <v>140455</v>
      </c>
      <c r="B2983" s="3" t="s">
        <v>15731</v>
      </c>
      <c r="C2983" s="3" t="s">
        <v>31</v>
      </c>
      <c r="D2983" s="3" t="s">
        <v>32</v>
      </c>
      <c r="E2983" s="4" t="s">
        <v>22</v>
      </c>
      <c r="F2983" s="4" t="s">
        <v>15732</v>
      </c>
      <c r="G2983" s="4" t="s">
        <v>15733</v>
      </c>
      <c r="H2983" s="3" t="s">
        <v>13575</v>
      </c>
      <c r="I2983" s="3" t="s">
        <v>15734</v>
      </c>
      <c r="J2983" s="3" t="s">
        <v>15735</v>
      </c>
      <c r="K2983" s="3" t="s">
        <v>15736</v>
      </c>
      <c r="L2983" s="3"/>
      <c r="M2983" s="4" t="s">
        <v>15737</v>
      </c>
      <c r="N2983" s="3" t="s">
        <v>37</v>
      </c>
      <c r="O2983" s="3" t="s">
        <v>38</v>
      </c>
      <c r="P2983" s="5">
        <v>10</v>
      </c>
      <c r="Q2983" s="5">
        <v>183</v>
      </c>
      <c r="R2983" s="5">
        <v>10</v>
      </c>
      <c r="S2983" s="5">
        <v>187</v>
      </c>
    </row>
    <row r="2984" spans="1:19" ht="56" x14ac:dyDescent="0.15">
      <c r="A2984" s="2">
        <f>HYPERLINK("https://open-school.uspishnemisto.com.ua/school/140456/", 140456)</f>
        <v>140456</v>
      </c>
      <c r="B2984" s="3" t="s">
        <v>15738</v>
      </c>
      <c r="C2984" s="3" t="s">
        <v>54</v>
      </c>
      <c r="D2984" s="3" t="s">
        <v>32</v>
      </c>
      <c r="E2984" s="4" t="s">
        <v>22</v>
      </c>
      <c r="F2984" s="4" t="s">
        <v>15739</v>
      </c>
      <c r="G2984" s="4" t="s">
        <v>15740</v>
      </c>
      <c r="H2984" s="3" t="s">
        <v>13575</v>
      </c>
      <c r="I2984" s="3" t="s">
        <v>15741</v>
      </c>
      <c r="J2984" s="3" t="s">
        <v>15742</v>
      </c>
      <c r="K2984" s="3" t="s">
        <v>15743</v>
      </c>
      <c r="L2984" s="3" t="s">
        <v>15744</v>
      </c>
      <c r="M2984" s="4" t="s">
        <v>15745</v>
      </c>
      <c r="N2984" s="3" t="s">
        <v>37</v>
      </c>
      <c r="O2984" s="3" t="s">
        <v>721</v>
      </c>
      <c r="P2984" s="5">
        <v>10</v>
      </c>
      <c r="Q2984" s="5">
        <v>117</v>
      </c>
      <c r="R2984" s="5">
        <v>10</v>
      </c>
      <c r="S2984" s="5">
        <v>112</v>
      </c>
    </row>
    <row r="2985" spans="1:19" ht="56" x14ac:dyDescent="0.15">
      <c r="A2985" s="2">
        <f>HYPERLINK("https://open-school.uspishnemisto.com.ua/school/140457/", 140457)</f>
        <v>140457</v>
      </c>
      <c r="B2985" s="3" t="s">
        <v>15746</v>
      </c>
      <c r="C2985" s="3" t="s">
        <v>54</v>
      </c>
      <c r="D2985" s="3" t="s">
        <v>32</v>
      </c>
      <c r="E2985" s="4" t="s">
        <v>22</v>
      </c>
      <c r="F2985" s="4" t="s">
        <v>15747</v>
      </c>
      <c r="G2985" s="4" t="s">
        <v>15748</v>
      </c>
      <c r="H2985" s="3" t="s">
        <v>13575</v>
      </c>
      <c r="I2985" s="3" t="s">
        <v>15749</v>
      </c>
      <c r="J2985" s="3" t="s">
        <v>15750</v>
      </c>
      <c r="K2985" s="3"/>
      <c r="L2985" s="3"/>
      <c r="M2985" s="4" t="s">
        <v>15751</v>
      </c>
      <c r="N2985" s="3" t="s">
        <v>37</v>
      </c>
      <c r="O2985" s="3" t="s">
        <v>70</v>
      </c>
      <c r="P2985" s="5">
        <v>9</v>
      </c>
      <c r="Q2985" s="5">
        <v>71</v>
      </c>
      <c r="R2985" s="5">
        <v>9</v>
      </c>
      <c r="S2985" s="5">
        <v>67</v>
      </c>
    </row>
    <row r="2986" spans="1:19" ht="28" x14ac:dyDescent="0.15">
      <c r="A2986" s="2">
        <f>HYPERLINK("https://open-school.uspishnemisto.com.ua/school/140458/", 140458)</f>
        <v>140458</v>
      </c>
      <c r="B2986" s="3" t="s">
        <v>15752</v>
      </c>
      <c r="C2986" s="3" t="s">
        <v>31</v>
      </c>
      <c r="D2986" s="3" t="s">
        <v>32</v>
      </c>
      <c r="E2986" s="4" t="s">
        <v>22</v>
      </c>
      <c r="F2986" s="4" t="s">
        <v>15753</v>
      </c>
      <c r="G2986" s="4" t="s">
        <v>15754</v>
      </c>
      <c r="H2986" s="3" t="s">
        <v>13575</v>
      </c>
      <c r="I2986" s="3" t="s">
        <v>15755</v>
      </c>
      <c r="J2986" s="3" t="s">
        <v>1417</v>
      </c>
      <c r="K2986" s="3" t="s">
        <v>15756</v>
      </c>
      <c r="L2986" s="3" t="s">
        <v>15757</v>
      </c>
      <c r="M2986" s="4" t="s">
        <v>15758</v>
      </c>
      <c r="N2986" s="3" t="s">
        <v>37</v>
      </c>
      <c r="O2986" s="3" t="s">
        <v>38</v>
      </c>
      <c r="P2986" s="5">
        <v>11</v>
      </c>
      <c r="Q2986" s="5">
        <v>107</v>
      </c>
      <c r="R2986" s="5">
        <v>11</v>
      </c>
      <c r="S2986" s="5">
        <v>110</v>
      </c>
    </row>
    <row r="2987" spans="1:19" ht="56" x14ac:dyDescent="0.15">
      <c r="A2987" s="2">
        <f>HYPERLINK("https://open-school.uspishnemisto.com.ua/school/140459/", 140459)</f>
        <v>140459</v>
      </c>
      <c r="B2987" s="3" t="s">
        <v>15759</v>
      </c>
      <c r="C2987" s="3" t="s">
        <v>54</v>
      </c>
      <c r="D2987" s="3" t="s">
        <v>175</v>
      </c>
      <c r="E2987" s="4" t="s">
        <v>22</v>
      </c>
      <c r="F2987" s="4" t="s">
        <v>15760</v>
      </c>
      <c r="G2987" s="4" t="s">
        <v>15761</v>
      </c>
      <c r="H2987" s="3" t="s">
        <v>13575</v>
      </c>
      <c r="I2987" s="3" t="s">
        <v>3145</v>
      </c>
      <c r="J2987" s="3" t="s">
        <v>15762</v>
      </c>
      <c r="K2987" s="3" t="s">
        <v>15763</v>
      </c>
      <c r="L2987" s="3" t="s">
        <v>15764</v>
      </c>
      <c r="M2987" s="4" t="s">
        <v>15765</v>
      </c>
      <c r="N2987" s="3" t="s">
        <v>37</v>
      </c>
      <c r="O2987" s="3" t="s">
        <v>70</v>
      </c>
      <c r="P2987" s="5">
        <v>8</v>
      </c>
      <c r="Q2987" s="5">
        <v>50</v>
      </c>
      <c r="R2987" s="5">
        <v>8</v>
      </c>
      <c r="S2987" s="5">
        <v>48</v>
      </c>
    </row>
    <row r="2988" spans="1:19" ht="56" x14ac:dyDescent="0.15">
      <c r="A2988" s="2">
        <f>HYPERLINK("https://open-school.uspishnemisto.com.ua/school/140460/", 140460)</f>
        <v>140460</v>
      </c>
      <c r="B2988" s="3" t="s">
        <v>15766</v>
      </c>
      <c r="C2988" s="3" t="s">
        <v>54</v>
      </c>
      <c r="D2988" s="3" t="s">
        <v>32</v>
      </c>
      <c r="E2988" s="4" t="s">
        <v>22</v>
      </c>
      <c r="F2988" s="4" t="s">
        <v>15767</v>
      </c>
      <c r="G2988" s="4" t="s">
        <v>15768</v>
      </c>
      <c r="H2988" s="3" t="s">
        <v>13575</v>
      </c>
      <c r="I2988" s="3" t="s">
        <v>688</v>
      </c>
      <c r="J2988" s="3" t="s">
        <v>15769</v>
      </c>
      <c r="K2988" s="3" t="s">
        <v>15770</v>
      </c>
      <c r="L2988" s="3" t="s">
        <v>15771</v>
      </c>
      <c r="M2988" s="4" t="s">
        <v>15772</v>
      </c>
      <c r="N2988" s="3" t="s">
        <v>37</v>
      </c>
      <c r="O2988" s="3" t="s">
        <v>38</v>
      </c>
      <c r="P2988" s="5">
        <v>10</v>
      </c>
      <c r="Q2988" s="5">
        <v>79</v>
      </c>
      <c r="R2988" s="5">
        <v>9</v>
      </c>
      <c r="S2988" s="5">
        <v>85</v>
      </c>
    </row>
    <row r="2989" spans="1:19" ht="28" x14ac:dyDescent="0.15">
      <c r="A2989" s="2">
        <f>HYPERLINK("https://open-school.uspishnemisto.com.ua/school/140461/", 140461)</f>
        <v>140461</v>
      </c>
      <c r="B2989" s="3" t="s">
        <v>15773</v>
      </c>
      <c r="C2989" s="3" t="s">
        <v>31</v>
      </c>
      <c r="D2989" s="3" t="s">
        <v>32</v>
      </c>
      <c r="E2989" s="4" t="s">
        <v>22</v>
      </c>
      <c r="F2989" s="4" t="s">
        <v>15774</v>
      </c>
      <c r="G2989" s="4" t="s">
        <v>15775</v>
      </c>
      <c r="H2989" s="3" t="s">
        <v>13575</v>
      </c>
      <c r="I2989" s="3" t="s">
        <v>1740</v>
      </c>
      <c r="J2989" s="3" t="s">
        <v>15776</v>
      </c>
      <c r="K2989" s="3" t="s">
        <v>15777</v>
      </c>
      <c r="L2989" s="3"/>
      <c r="M2989" s="4" t="s">
        <v>15778</v>
      </c>
      <c r="N2989" s="3" t="s">
        <v>37</v>
      </c>
      <c r="O2989" s="3" t="s">
        <v>38</v>
      </c>
      <c r="P2989" s="5">
        <v>11</v>
      </c>
      <c r="Q2989" s="5">
        <v>122</v>
      </c>
      <c r="R2989" s="5">
        <v>11</v>
      </c>
      <c r="S2989" s="5">
        <v>126</v>
      </c>
    </row>
    <row r="2990" spans="1:19" ht="28" x14ac:dyDescent="0.15">
      <c r="A2990" s="2">
        <f>HYPERLINK("https://open-school.uspishnemisto.com.ua/school/140462/", 140462)</f>
        <v>140462</v>
      </c>
      <c r="B2990" s="3" t="s">
        <v>15779</v>
      </c>
      <c r="C2990" s="3" t="s">
        <v>181</v>
      </c>
      <c r="D2990" s="3" t="s">
        <v>175</v>
      </c>
      <c r="E2990" s="4" t="s">
        <v>22</v>
      </c>
      <c r="F2990" s="4" t="s">
        <v>15780</v>
      </c>
      <c r="G2990" s="4" t="s">
        <v>15781</v>
      </c>
      <c r="H2990" s="3" t="s">
        <v>13575</v>
      </c>
      <c r="I2990" s="3" t="s">
        <v>15782</v>
      </c>
      <c r="J2990" s="3" t="s">
        <v>4833</v>
      </c>
      <c r="K2990" s="3" t="s">
        <v>15783</v>
      </c>
      <c r="L2990" s="3"/>
      <c r="M2990" s="4" t="s">
        <v>15784</v>
      </c>
      <c r="N2990" s="3" t="s">
        <v>37</v>
      </c>
      <c r="O2990" s="3"/>
      <c r="P2990" s="5">
        <v>11</v>
      </c>
      <c r="Q2990" s="5">
        <v>114</v>
      </c>
      <c r="R2990" s="5">
        <v>10</v>
      </c>
      <c r="S2990" s="5">
        <v>122</v>
      </c>
    </row>
    <row r="2991" spans="1:19" ht="56" x14ac:dyDescent="0.15">
      <c r="A2991" s="2">
        <f>HYPERLINK("https://open-school.uspishnemisto.com.ua/school/140463/", 140463)</f>
        <v>140463</v>
      </c>
      <c r="B2991" s="3" t="s">
        <v>15785</v>
      </c>
      <c r="C2991" s="3" t="s">
        <v>54</v>
      </c>
      <c r="D2991" s="3" t="s">
        <v>32</v>
      </c>
      <c r="E2991" s="4" t="s">
        <v>22</v>
      </c>
      <c r="F2991" s="4" t="s">
        <v>15786</v>
      </c>
      <c r="G2991" s="4" t="s">
        <v>15787</v>
      </c>
      <c r="H2991" s="3" t="s">
        <v>13575</v>
      </c>
      <c r="I2991" s="3" t="s">
        <v>11267</v>
      </c>
      <c r="J2991" s="3" t="s">
        <v>852</v>
      </c>
      <c r="K2991" s="3" t="s">
        <v>15788</v>
      </c>
      <c r="L2991" s="3"/>
      <c r="M2991" s="4" t="s">
        <v>15789</v>
      </c>
      <c r="N2991" s="3" t="s">
        <v>37</v>
      </c>
      <c r="O2991" s="3" t="s">
        <v>38</v>
      </c>
      <c r="P2991" s="5">
        <v>10</v>
      </c>
      <c r="Q2991" s="5">
        <v>67</v>
      </c>
      <c r="R2991" s="5">
        <v>11</v>
      </c>
      <c r="S2991" s="5">
        <v>75</v>
      </c>
    </row>
    <row r="2992" spans="1:19" ht="56" x14ac:dyDescent="0.15">
      <c r="A2992" s="2">
        <f>HYPERLINK("https://open-school.uspishnemisto.com.ua/school/140464/", 140464)</f>
        <v>140464</v>
      </c>
      <c r="B2992" s="3" t="s">
        <v>15790</v>
      </c>
      <c r="C2992" s="3" t="s">
        <v>54</v>
      </c>
      <c r="D2992" s="3" t="s">
        <v>175</v>
      </c>
      <c r="E2992" s="4" t="s">
        <v>22</v>
      </c>
      <c r="F2992" s="4" t="s">
        <v>15791</v>
      </c>
      <c r="G2992" s="4" t="s">
        <v>15792</v>
      </c>
      <c r="H2992" s="3" t="s">
        <v>13575</v>
      </c>
      <c r="I2992" s="3" t="s">
        <v>15793</v>
      </c>
      <c r="J2992" s="3" t="s">
        <v>15794</v>
      </c>
      <c r="K2992" s="3"/>
      <c r="L2992" s="3" t="s">
        <v>15795</v>
      </c>
      <c r="M2992" s="4" t="s">
        <v>15796</v>
      </c>
      <c r="N2992" s="3" t="s">
        <v>37</v>
      </c>
      <c r="O2992" s="3" t="s">
        <v>38</v>
      </c>
      <c r="P2992" s="5">
        <v>7</v>
      </c>
      <c r="Q2992" s="5">
        <v>46</v>
      </c>
      <c r="R2992" s="5">
        <v>8</v>
      </c>
      <c r="S2992" s="5">
        <v>56</v>
      </c>
    </row>
    <row r="2993" spans="1:19" ht="28" x14ac:dyDescent="0.15">
      <c r="A2993" s="2">
        <f>HYPERLINK("https://open-school.uspishnemisto.com.ua/school/140465/", 140465)</f>
        <v>140465</v>
      </c>
      <c r="B2993" s="3" t="s">
        <v>15797</v>
      </c>
      <c r="C2993" s="3" t="s">
        <v>31</v>
      </c>
      <c r="D2993" s="3" t="s">
        <v>32</v>
      </c>
      <c r="E2993" s="4" t="s">
        <v>22</v>
      </c>
      <c r="F2993" s="4" t="s">
        <v>15798</v>
      </c>
      <c r="G2993" s="4" t="s">
        <v>15799</v>
      </c>
      <c r="H2993" s="3" t="s">
        <v>13575</v>
      </c>
      <c r="I2993" s="3" t="s">
        <v>12168</v>
      </c>
      <c r="J2993" s="3" t="s">
        <v>15800</v>
      </c>
      <c r="K2993" s="3" t="s">
        <v>15801</v>
      </c>
      <c r="L2993" s="3"/>
      <c r="M2993" s="4" t="s">
        <v>15802</v>
      </c>
      <c r="N2993" s="3" t="s">
        <v>37</v>
      </c>
      <c r="O2993" s="3" t="s">
        <v>70</v>
      </c>
      <c r="P2993" s="5">
        <v>8</v>
      </c>
      <c r="Q2993" s="5">
        <v>82</v>
      </c>
      <c r="R2993" s="5">
        <v>8</v>
      </c>
      <c r="S2993" s="5">
        <v>82</v>
      </c>
    </row>
    <row r="2994" spans="1:19" ht="42" x14ac:dyDescent="0.15">
      <c r="A2994" s="2">
        <f>HYPERLINK("https://open-school.uspishnemisto.com.ua/school/140466/", 140466)</f>
        <v>140466</v>
      </c>
      <c r="B2994" s="3" t="s">
        <v>15803</v>
      </c>
      <c r="C2994" s="3" t="s">
        <v>54</v>
      </c>
      <c r="D2994" s="3" t="s">
        <v>32</v>
      </c>
      <c r="E2994" s="4" t="s">
        <v>22</v>
      </c>
      <c r="F2994" s="4" t="s">
        <v>15804</v>
      </c>
      <c r="G2994" s="4" t="s">
        <v>15805</v>
      </c>
      <c r="H2994" s="3" t="s">
        <v>13575</v>
      </c>
      <c r="I2994" s="3" t="s">
        <v>5947</v>
      </c>
      <c r="J2994" s="3" t="s">
        <v>946</v>
      </c>
      <c r="K2994" s="3" t="s">
        <v>15806</v>
      </c>
      <c r="L2994" s="3"/>
      <c r="M2994" s="4" t="s">
        <v>15807</v>
      </c>
      <c r="N2994" s="3" t="s">
        <v>37</v>
      </c>
      <c r="O2994" s="3" t="s">
        <v>38</v>
      </c>
      <c r="P2994" s="5">
        <v>11</v>
      </c>
      <c r="Q2994" s="5">
        <v>143</v>
      </c>
      <c r="R2994" s="5">
        <v>11</v>
      </c>
      <c r="S2994" s="5">
        <v>155</v>
      </c>
    </row>
    <row r="2995" spans="1:19" ht="42" x14ac:dyDescent="0.15">
      <c r="A2995" s="2">
        <f>HYPERLINK("https://open-school.uspishnemisto.com.ua/school/140467/", 140467)</f>
        <v>140467</v>
      </c>
      <c r="B2995" s="3" t="s">
        <v>15808</v>
      </c>
      <c r="C2995" s="3" t="s">
        <v>54</v>
      </c>
      <c r="D2995" s="3" t="s">
        <v>175</v>
      </c>
      <c r="E2995" s="4" t="s">
        <v>22</v>
      </c>
      <c r="F2995" s="4" t="s">
        <v>15809</v>
      </c>
      <c r="G2995" s="4" t="s">
        <v>15810</v>
      </c>
      <c r="H2995" s="3" t="s">
        <v>13575</v>
      </c>
      <c r="I2995" s="3" t="s">
        <v>12478</v>
      </c>
      <c r="J2995" s="3" t="s">
        <v>1348</v>
      </c>
      <c r="K2995" s="3"/>
      <c r="L2995" s="3"/>
      <c r="M2995" s="4" t="s">
        <v>15811</v>
      </c>
      <c r="N2995" s="3" t="s">
        <v>37</v>
      </c>
      <c r="O2995" s="3" t="s">
        <v>70</v>
      </c>
      <c r="P2995" s="5">
        <v>9</v>
      </c>
      <c r="Q2995" s="5">
        <v>70</v>
      </c>
      <c r="R2995" s="5">
        <v>8</v>
      </c>
      <c r="S2995" s="5">
        <v>50</v>
      </c>
    </row>
    <row r="2996" spans="1:19" ht="42" x14ac:dyDescent="0.15">
      <c r="A2996" s="2">
        <f>HYPERLINK("https://open-school.uspishnemisto.com.ua/school/140468/", 140468)</f>
        <v>140468</v>
      </c>
      <c r="B2996" s="3" t="s">
        <v>15812</v>
      </c>
      <c r="C2996" s="3" t="s">
        <v>54</v>
      </c>
      <c r="D2996" s="3" t="s">
        <v>32</v>
      </c>
      <c r="E2996" s="4" t="s">
        <v>22</v>
      </c>
      <c r="F2996" s="4" t="s">
        <v>15813</v>
      </c>
      <c r="G2996" s="4" t="s">
        <v>15814</v>
      </c>
      <c r="H2996" s="3" t="s">
        <v>13575</v>
      </c>
      <c r="I2996" s="3" t="s">
        <v>13213</v>
      </c>
      <c r="J2996" s="3" t="s">
        <v>15815</v>
      </c>
      <c r="K2996" s="3" t="s">
        <v>15816</v>
      </c>
      <c r="L2996" s="3"/>
      <c r="M2996" s="4" t="s">
        <v>15817</v>
      </c>
      <c r="N2996" s="3" t="s">
        <v>37</v>
      </c>
      <c r="O2996" s="3" t="s">
        <v>38</v>
      </c>
      <c r="P2996" s="5">
        <v>11</v>
      </c>
      <c r="Q2996" s="5">
        <v>90</v>
      </c>
      <c r="R2996" s="5">
        <v>11</v>
      </c>
      <c r="S2996" s="5">
        <v>94</v>
      </c>
    </row>
    <row r="2997" spans="1:19" ht="56" x14ac:dyDescent="0.15">
      <c r="A2997" s="2">
        <f>HYPERLINK("https://open-school.uspishnemisto.com.ua/school/140469/", 140469)</f>
        <v>140469</v>
      </c>
      <c r="B2997" s="3" t="s">
        <v>15818</v>
      </c>
      <c r="C2997" s="3" t="s">
        <v>54</v>
      </c>
      <c r="D2997" s="3" t="s">
        <v>32</v>
      </c>
      <c r="E2997" s="4" t="s">
        <v>22</v>
      </c>
      <c r="F2997" s="4" t="s">
        <v>15819</v>
      </c>
      <c r="G2997" s="4" t="s">
        <v>15820</v>
      </c>
      <c r="H2997" s="3" t="s">
        <v>13575</v>
      </c>
      <c r="I2997" s="3" t="s">
        <v>15821</v>
      </c>
      <c r="J2997" s="3" t="s">
        <v>634</v>
      </c>
      <c r="K2997" s="3" t="s">
        <v>15822</v>
      </c>
      <c r="L2997" s="3" t="s">
        <v>15823</v>
      </c>
      <c r="M2997" s="4" t="s">
        <v>15824</v>
      </c>
      <c r="N2997" s="3" t="s">
        <v>37</v>
      </c>
      <c r="O2997" s="3" t="s">
        <v>38</v>
      </c>
      <c r="P2997" s="5">
        <v>10</v>
      </c>
      <c r="Q2997" s="5">
        <v>80</v>
      </c>
      <c r="R2997" s="5">
        <v>10</v>
      </c>
      <c r="S2997" s="5">
        <v>80</v>
      </c>
    </row>
    <row r="2998" spans="1:19" ht="56" x14ac:dyDescent="0.15">
      <c r="A2998" s="2">
        <f>HYPERLINK("https://open-school.uspishnemisto.com.ua/school/140470/", 140470)</f>
        <v>140470</v>
      </c>
      <c r="B2998" s="3" t="s">
        <v>15825</v>
      </c>
      <c r="C2998" s="3" t="s">
        <v>54</v>
      </c>
      <c r="D2998" s="3" t="s">
        <v>32</v>
      </c>
      <c r="E2998" s="4" t="s">
        <v>22</v>
      </c>
      <c r="F2998" s="4" t="s">
        <v>15826</v>
      </c>
      <c r="G2998" s="4" t="s">
        <v>15827</v>
      </c>
      <c r="H2998" s="3" t="s">
        <v>13575</v>
      </c>
      <c r="I2998" s="3" t="s">
        <v>2359</v>
      </c>
      <c r="J2998" s="3" t="s">
        <v>15828</v>
      </c>
      <c r="K2998" s="3" t="s">
        <v>15829</v>
      </c>
      <c r="L2998" s="3"/>
      <c r="M2998" s="4" t="s">
        <v>15830</v>
      </c>
      <c r="N2998" s="3" t="s">
        <v>37</v>
      </c>
      <c r="O2998" s="3" t="s">
        <v>38</v>
      </c>
      <c r="P2998" s="5">
        <v>8</v>
      </c>
      <c r="Q2998" s="5">
        <v>54</v>
      </c>
      <c r="R2998" s="5">
        <v>10</v>
      </c>
      <c r="S2998" s="5">
        <v>59</v>
      </c>
    </row>
    <row r="2999" spans="1:19" ht="28" x14ac:dyDescent="0.15">
      <c r="A2999" s="2">
        <f>HYPERLINK("https://open-school.uspishnemisto.com.ua/school/140471/", 140471)</f>
        <v>140471</v>
      </c>
      <c r="B2999" s="3" t="s">
        <v>15831</v>
      </c>
      <c r="C2999" s="3" t="s">
        <v>31</v>
      </c>
      <c r="D2999" s="3" t="s">
        <v>32</v>
      </c>
      <c r="E2999" s="4" t="s">
        <v>22</v>
      </c>
      <c r="F2999" s="4" t="s">
        <v>15832</v>
      </c>
      <c r="G2999" s="4" t="s">
        <v>15833</v>
      </c>
      <c r="H2999" s="3" t="s">
        <v>13575</v>
      </c>
      <c r="I2999" s="3" t="s">
        <v>15834</v>
      </c>
      <c r="J2999" s="3" t="s">
        <v>15835</v>
      </c>
      <c r="K2999" s="3" t="s">
        <v>15836</v>
      </c>
      <c r="L2999" s="3" t="s">
        <v>15837</v>
      </c>
      <c r="M2999" s="4"/>
      <c r="N2999" s="3" t="s">
        <v>37</v>
      </c>
      <c r="O2999" s="3" t="s">
        <v>38</v>
      </c>
      <c r="P2999" s="5">
        <v>13</v>
      </c>
      <c r="Q2999" s="5">
        <v>244</v>
      </c>
      <c r="R2999" s="5">
        <v>12</v>
      </c>
      <c r="S2999" s="5">
        <v>219</v>
      </c>
    </row>
    <row r="3000" spans="1:19" ht="28" x14ac:dyDescent="0.15">
      <c r="A3000" s="2">
        <f>HYPERLINK("https://open-school.uspishnemisto.com.ua/school/140472/", 140472)</f>
        <v>140472</v>
      </c>
      <c r="B3000" s="3" t="s">
        <v>15838</v>
      </c>
      <c r="C3000" s="3" t="s">
        <v>31</v>
      </c>
      <c r="D3000" s="3" t="s">
        <v>32</v>
      </c>
      <c r="E3000" s="4" t="s">
        <v>22</v>
      </c>
      <c r="F3000" s="4" t="s">
        <v>15839</v>
      </c>
      <c r="G3000" s="4" t="s">
        <v>15840</v>
      </c>
      <c r="H3000" s="3" t="s">
        <v>13575</v>
      </c>
      <c r="I3000" s="3" t="s">
        <v>3784</v>
      </c>
      <c r="J3000" s="3" t="s">
        <v>15841</v>
      </c>
      <c r="K3000" s="3" t="s">
        <v>15842</v>
      </c>
      <c r="L3000" s="3"/>
      <c r="M3000" s="4"/>
      <c r="N3000" s="3" t="s">
        <v>37</v>
      </c>
      <c r="O3000" s="3" t="s">
        <v>38</v>
      </c>
      <c r="P3000" s="5">
        <v>11</v>
      </c>
      <c r="Q3000" s="5">
        <v>156</v>
      </c>
      <c r="R3000" s="5">
        <v>11</v>
      </c>
      <c r="S3000" s="5">
        <v>173</v>
      </c>
    </row>
    <row r="3001" spans="1:19" ht="42" x14ac:dyDescent="0.15">
      <c r="A3001" s="2">
        <f>HYPERLINK("https://open-school.uspishnemisto.com.ua/school/140473/", 140473)</f>
        <v>140473</v>
      </c>
      <c r="B3001" s="3" t="s">
        <v>15843</v>
      </c>
      <c r="C3001" s="3" t="s">
        <v>54</v>
      </c>
      <c r="D3001" s="3" t="s">
        <v>32</v>
      </c>
      <c r="E3001" s="4" t="s">
        <v>22</v>
      </c>
      <c r="F3001" s="4" t="s">
        <v>15844</v>
      </c>
      <c r="G3001" s="4" t="s">
        <v>15845</v>
      </c>
      <c r="H3001" s="3" t="s">
        <v>13575</v>
      </c>
      <c r="I3001" s="3" t="s">
        <v>15713</v>
      </c>
      <c r="J3001" s="3" t="s">
        <v>15846</v>
      </c>
      <c r="K3001" s="3" t="s">
        <v>15847</v>
      </c>
      <c r="L3001" s="3" t="s">
        <v>15848</v>
      </c>
      <c r="M3001" s="4"/>
      <c r="N3001" s="3" t="s">
        <v>967</v>
      </c>
      <c r="O3001" s="3" t="s">
        <v>52</v>
      </c>
      <c r="P3001" s="5">
        <v>11</v>
      </c>
      <c r="Q3001" s="5">
        <v>149</v>
      </c>
      <c r="R3001" s="5">
        <v>11</v>
      </c>
      <c r="S3001" s="5">
        <v>143</v>
      </c>
    </row>
    <row r="3002" spans="1:19" ht="42" x14ac:dyDescent="0.15">
      <c r="A3002" s="2">
        <f>HYPERLINK("https://open-school.uspishnemisto.com.ua/school/140474/", 140474)</f>
        <v>140474</v>
      </c>
      <c r="B3002" s="3" t="s">
        <v>15849</v>
      </c>
      <c r="C3002" s="3" t="s">
        <v>54</v>
      </c>
      <c r="D3002" s="3" t="s">
        <v>32</v>
      </c>
      <c r="E3002" s="4" t="s">
        <v>22</v>
      </c>
      <c r="F3002" s="4" t="s">
        <v>15850</v>
      </c>
      <c r="G3002" s="4" t="s">
        <v>15851</v>
      </c>
      <c r="H3002" s="3" t="s">
        <v>13575</v>
      </c>
      <c r="I3002" s="3" t="s">
        <v>2900</v>
      </c>
      <c r="J3002" s="3" t="s">
        <v>12836</v>
      </c>
      <c r="K3002" s="3" t="s">
        <v>15852</v>
      </c>
      <c r="L3002" s="3"/>
      <c r="M3002" s="4"/>
      <c r="N3002" s="3" t="s">
        <v>37</v>
      </c>
      <c r="O3002" s="3" t="s">
        <v>38</v>
      </c>
      <c r="P3002" s="5">
        <v>11</v>
      </c>
      <c r="Q3002" s="5">
        <v>119</v>
      </c>
      <c r="R3002" s="5">
        <v>10</v>
      </c>
      <c r="S3002" s="5">
        <v>108</v>
      </c>
    </row>
    <row r="3003" spans="1:19" ht="56" x14ac:dyDescent="0.15">
      <c r="A3003" s="2">
        <f>HYPERLINK("https://open-school.uspishnemisto.com.ua/school/140475/", 140475)</f>
        <v>140475</v>
      </c>
      <c r="B3003" s="3" t="s">
        <v>15853</v>
      </c>
      <c r="C3003" s="3" t="s">
        <v>54</v>
      </c>
      <c r="D3003" s="3" t="s">
        <v>32</v>
      </c>
      <c r="E3003" s="4" t="s">
        <v>22</v>
      </c>
      <c r="F3003" s="4" t="s">
        <v>15854</v>
      </c>
      <c r="G3003" s="4" t="s">
        <v>15855</v>
      </c>
      <c r="H3003" s="3" t="s">
        <v>13575</v>
      </c>
      <c r="I3003" s="3" t="s">
        <v>4708</v>
      </c>
      <c r="J3003" s="3" t="s">
        <v>15856</v>
      </c>
      <c r="K3003" s="3" t="s">
        <v>15857</v>
      </c>
      <c r="L3003" s="3"/>
      <c r="M3003" s="4"/>
      <c r="N3003" s="3" t="s">
        <v>37</v>
      </c>
      <c r="O3003" s="3" t="s">
        <v>38</v>
      </c>
      <c r="P3003" s="5">
        <v>10</v>
      </c>
      <c r="Q3003" s="5">
        <v>165</v>
      </c>
      <c r="R3003" s="5">
        <v>11</v>
      </c>
      <c r="S3003" s="5">
        <v>170</v>
      </c>
    </row>
    <row r="3004" spans="1:19" ht="28" x14ac:dyDescent="0.15">
      <c r="A3004" s="2">
        <f>HYPERLINK("https://open-school.uspishnemisto.com.ua/school/140476/", 140476)</f>
        <v>140476</v>
      </c>
      <c r="B3004" s="3" t="s">
        <v>15858</v>
      </c>
      <c r="C3004" s="3" t="s">
        <v>31</v>
      </c>
      <c r="D3004" s="3" t="s">
        <v>175</v>
      </c>
      <c r="E3004" s="4" t="s">
        <v>22</v>
      </c>
      <c r="F3004" s="4" t="s">
        <v>15859</v>
      </c>
      <c r="G3004" s="4" t="s">
        <v>15860</v>
      </c>
      <c r="H3004" s="3" t="s">
        <v>13575</v>
      </c>
      <c r="I3004" s="3" t="s">
        <v>15861</v>
      </c>
      <c r="J3004" s="3" t="s">
        <v>15862</v>
      </c>
      <c r="K3004" s="3" t="s">
        <v>15863</v>
      </c>
      <c r="L3004" s="3"/>
      <c r="M3004" s="4"/>
      <c r="N3004" s="3" t="s">
        <v>37</v>
      </c>
      <c r="O3004" s="3" t="s">
        <v>38</v>
      </c>
      <c r="P3004" s="5">
        <v>2</v>
      </c>
      <c r="Q3004" s="5">
        <v>24</v>
      </c>
      <c r="R3004" s="5">
        <v>4</v>
      </c>
      <c r="S3004" s="5">
        <v>39</v>
      </c>
    </row>
    <row r="3005" spans="1:19" ht="28" x14ac:dyDescent="0.15">
      <c r="A3005" s="2">
        <f>HYPERLINK("https://open-school.uspishnemisto.com.ua/school/140477/", 140477)</f>
        <v>140477</v>
      </c>
      <c r="B3005" s="3" t="s">
        <v>15864</v>
      </c>
      <c r="C3005" s="3" t="s">
        <v>31</v>
      </c>
      <c r="D3005" s="3" t="s">
        <v>32</v>
      </c>
      <c r="E3005" s="4" t="s">
        <v>22</v>
      </c>
      <c r="F3005" s="4" t="s">
        <v>15865</v>
      </c>
      <c r="G3005" s="4" t="s">
        <v>15866</v>
      </c>
      <c r="H3005" s="3" t="s">
        <v>13575</v>
      </c>
      <c r="I3005" s="3" t="s">
        <v>15867</v>
      </c>
      <c r="J3005" s="3" t="s">
        <v>15868</v>
      </c>
      <c r="K3005" s="3" t="s">
        <v>15869</v>
      </c>
      <c r="L3005" s="3" t="s">
        <v>15870</v>
      </c>
      <c r="M3005" s="4"/>
      <c r="N3005" s="3" t="s">
        <v>37</v>
      </c>
      <c r="O3005" s="3" t="s">
        <v>38</v>
      </c>
      <c r="P3005" s="5">
        <v>11</v>
      </c>
      <c r="Q3005" s="5">
        <v>155</v>
      </c>
      <c r="R3005" s="5">
        <v>11</v>
      </c>
      <c r="S3005" s="5">
        <v>154</v>
      </c>
    </row>
    <row r="3006" spans="1:19" ht="42" x14ac:dyDescent="0.15">
      <c r="A3006" s="2">
        <f>HYPERLINK("https://open-school.uspishnemisto.com.ua/school/140478/", 140478)</f>
        <v>140478</v>
      </c>
      <c r="B3006" s="3" t="s">
        <v>15871</v>
      </c>
      <c r="C3006" s="3" t="s">
        <v>54</v>
      </c>
      <c r="D3006" s="3" t="s">
        <v>60</v>
      </c>
      <c r="E3006" s="4" t="s">
        <v>22</v>
      </c>
      <c r="F3006" s="4" t="s">
        <v>15872</v>
      </c>
      <c r="G3006" s="4" t="s">
        <v>15873</v>
      </c>
      <c r="H3006" s="3" t="s">
        <v>13575</v>
      </c>
      <c r="I3006" s="3" t="s">
        <v>1291</v>
      </c>
      <c r="J3006" s="3" t="s">
        <v>15874</v>
      </c>
      <c r="K3006" s="3" t="s">
        <v>15875</v>
      </c>
      <c r="L3006" s="3"/>
      <c r="M3006" s="4"/>
      <c r="N3006" s="3" t="s">
        <v>37</v>
      </c>
      <c r="O3006" s="3" t="s">
        <v>38</v>
      </c>
      <c r="P3006" s="5">
        <v>3</v>
      </c>
      <c r="Q3006" s="5">
        <v>18</v>
      </c>
      <c r="R3006" s="5">
        <v>2</v>
      </c>
      <c r="S3006" s="5">
        <v>17</v>
      </c>
    </row>
    <row r="3007" spans="1:19" ht="28" x14ac:dyDescent="0.15">
      <c r="A3007" s="2">
        <f>HYPERLINK("https://open-school.uspishnemisto.com.ua/school/140479/", 140479)</f>
        <v>140479</v>
      </c>
      <c r="B3007" s="3" t="s">
        <v>15876</v>
      </c>
      <c r="C3007" s="3" t="s">
        <v>293</v>
      </c>
      <c r="D3007" s="3" t="s">
        <v>32</v>
      </c>
      <c r="E3007" s="4" t="s">
        <v>22</v>
      </c>
      <c r="F3007" s="4" t="s">
        <v>15865</v>
      </c>
      <c r="G3007" s="4" t="s">
        <v>15877</v>
      </c>
      <c r="H3007" s="3" t="s">
        <v>13575</v>
      </c>
      <c r="I3007" s="3" t="s">
        <v>15878</v>
      </c>
      <c r="J3007" s="3" t="s">
        <v>15879</v>
      </c>
      <c r="K3007" s="3"/>
      <c r="L3007" s="3"/>
      <c r="M3007" s="4" t="s">
        <v>15880</v>
      </c>
      <c r="N3007" s="3" t="s">
        <v>37</v>
      </c>
      <c r="O3007" s="3" t="s">
        <v>38</v>
      </c>
      <c r="P3007" s="5">
        <v>12</v>
      </c>
      <c r="Q3007" s="5">
        <v>89</v>
      </c>
      <c r="R3007" s="5">
        <v>13</v>
      </c>
      <c r="S3007" s="5">
        <v>120</v>
      </c>
    </row>
    <row r="3008" spans="1:19" ht="56" x14ac:dyDescent="0.15">
      <c r="A3008" s="2">
        <f>HYPERLINK("https://open-school.uspishnemisto.com.ua/school/140480/", 140480)</f>
        <v>140480</v>
      </c>
      <c r="B3008" s="3" t="s">
        <v>15881</v>
      </c>
      <c r="C3008" s="3" t="s">
        <v>54</v>
      </c>
      <c r="D3008" s="3" t="s">
        <v>175</v>
      </c>
      <c r="E3008" s="4" t="s">
        <v>22</v>
      </c>
      <c r="F3008" s="4" t="s">
        <v>15882</v>
      </c>
      <c r="G3008" s="4" t="s">
        <v>15883</v>
      </c>
      <c r="H3008" s="3" t="s">
        <v>13575</v>
      </c>
      <c r="I3008" s="3" t="s">
        <v>15884</v>
      </c>
      <c r="J3008" s="3" t="s">
        <v>15885</v>
      </c>
      <c r="K3008" s="3" t="s">
        <v>15886</v>
      </c>
      <c r="L3008" s="3"/>
      <c r="M3008" s="4"/>
      <c r="N3008" s="3" t="s">
        <v>37</v>
      </c>
      <c r="O3008" s="3" t="s">
        <v>38</v>
      </c>
      <c r="P3008" s="5">
        <v>5</v>
      </c>
      <c r="Q3008" s="5">
        <v>52</v>
      </c>
      <c r="R3008" s="5">
        <v>6</v>
      </c>
      <c r="S3008" s="5">
        <v>57</v>
      </c>
    </row>
    <row r="3009" spans="1:19" ht="56" x14ac:dyDescent="0.15">
      <c r="A3009" s="2">
        <f>HYPERLINK("https://open-school.uspishnemisto.com.ua/school/140481/", 140481)</f>
        <v>140481</v>
      </c>
      <c r="B3009" s="3" t="s">
        <v>15887</v>
      </c>
      <c r="C3009" s="3" t="s">
        <v>54</v>
      </c>
      <c r="D3009" s="3" t="s">
        <v>175</v>
      </c>
      <c r="E3009" s="4" t="s">
        <v>22</v>
      </c>
      <c r="F3009" s="4" t="s">
        <v>15888</v>
      </c>
      <c r="G3009" s="4" t="s">
        <v>15889</v>
      </c>
      <c r="H3009" s="3" t="s">
        <v>13575</v>
      </c>
      <c r="I3009" s="3" t="s">
        <v>15890</v>
      </c>
      <c r="J3009" s="3" t="s">
        <v>15891</v>
      </c>
      <c r="K3009" s="3" t="s">
        <v>15892</v>
      </c>
      <c r="L3009" s="3"/>
      <c r="M3009" s="4"/>
      <c r="N3009" s="3" t="s">
        <v>37</v>
      </c>
      <c r="O3009" s="3" t="s">
        <v>52</v>
      </c>
      <c r="P3009" s="5">
        <v>5</v>
      </c>
      <c r="Q3009" s="5">
        <v>40</v>
      </c>
      <c r="R3009" s="5">
        <v>6</v>
      </c>
      <c r="S3009" s="5">
        <v>52</v>
      </c>
    </row>
    <row r="3010" spans="1:19" ht="56" x14ac:dyDescent="0.15">
      <c r="A3010" s="2">
        <f>HYPERLINK("https://open-school.uspishnemisto.com.ua/school/140482/", 140482)</f>
        <v>140482</v>
      </c>
      <c r="B3010" s="3" t="s">
        <v>15893</v>
      </c>
      <c r="C3010" s="3" t="s">
        <v>54</v>
      </c>
      <c r="D3010" s="3" t="s">
        <v>32</v>
      </c>
      <c r="E3010" s="4" t="s">
        <v>22</v>
      </c>
      <c r="F3010" s="4" t="s">
        <v>15894</v>
      </c>
      <c r="G3010" s="4" t="s">
        <v>15895</v>
      </c>
      <c r="H3010" s="3" t="s">
        <v>13575</v>
      </c>
      <c r="I3010" s="3" t="s">
        <v>15896</v>
      </c>
      <c r="J3010" s="3" t="s">
        <v>6394</v>
      </c>
      <c r="K3010" s="3" t="s">
        <v>15897</v>
      </c>
      <c r="L3010" s="3"/>
      <c r="M3010" s="4"/>
      <c r="N3010" s="3" t="s">
        <v>37</v>
      </c>
      <c r="O3010" s="3" t="s">
        <v>38</v>
      </c>
      <c r="P3010" s="5">
        <v>10</v>
      </c>
      <c r="Q3010" s="5">
        <v>80</v>
      </c>
      <c r="R3010" s="5">
        <v>9</v>
      </c>
      <c r="S3010" s="5">
        <v>76</v>
      </c>
    </row>
    <row r="3011" spans="1:19" ht="28" x14ac:dyDescent="0.15">
      <c r="A3011" s="2">
        <f>HYPERLINK("https://open-school.uspishnemisto.com.ua/school/140483/", 140483)</f>
        <v>140483</v>
      </c>
      <c r="B3011" s="3" t="s">
        <v>15898</v>
      </c>
      <c r="C3011" s="3" t="s">
        <v>31</v>
      </c>
      <c r="D3011" s="3" t="s">
        <v>32</v>
      </c>
      <c r="E3011" s="4" t="s">
        <v>22</v>
      </c>
      <c r="F3011" s="4" t="s">
        <v>15899</v>
      </c>
      <c r="G3011" s="4" t="s">
        <v>15900</v>
      </c>
      <c r="H3011" s="3" t="s">
        <v>13575</v>
      </c>
      <c r="I3011" s="3" t="s">
        <v>15901</v>
      </c>
      <c r="J3011" s="3" t="s">
        <v>15902</v>
      </c>
      <c r="K3011" s="3" t="s">
        <v>15903</v>
      </c>
      <c r="L3011" s="3"/>
      <c r="M3011" s="4"/>
      <c r="N3011" s="3" t="s">
        <v>37</v>
      </c>
      <c r="O3011" s="3" t="s">
        <v>38</v>
      </c>
      <c r="P3011" s="5">
        <v>11</v>
      </c>
      <c r="Q3011" s="5">
        <v>162</v>
      </c>
      <c r="R3011" s="5">
        <v>11</v>
      </c>
      <c r="S3011" s="5">
        <v>170</v>
      </c>
    </row>
    <row r="3012" spans="1:19" ht="42" x14ac:dyDescent="0.15">
      <c r="A3012" s="2">
        <f>HYPERLINK("https://open-school.uspishnemisto.com.ua/school/140484/", 140484)</f>
        <v>140484</v>
      </c>
      <c r="B3012" s="3" t="s">
        <v>15904</v>
      </c>
      <c r="C3012" s="3" t="s">
        <v>54</v>
      </c>
      <c r="D3012" s="3" t="s">
        <v>175</v>
      </c>
      <c r="E3012" s="4" t="s">
        <v>22</v>
      </c>
      <c r="F3012" s="4" t="s">
        <v>15905</v>
      </c>
      <c r="G3012" s="4" t="s">
        <v>15906</v>
      </c>
      <c r="H3012" s="3" t="s">
        <v>13575</v>
      </c>
      <c r="I3012" s="3" t="s">
        <v>4348</v>
      </c>
      <c r="J3012" s="3" t="s">
        <v>466</v>
      </c>
      <c r="K3012" s="3" t="s">
        <v>15907</v>
      </c>
      <c r="L3012" s="3"/>
      <c r="M3012" s="4"/>
      <c r="N3012" s="3" t="s">
        <v>37</v>
      </c>
      <c r="O3012" s="3" t="s">
        <v>52</v>
      </c>
      <c r="P3012" s="5">
        <v>2</v>
      </c>
      <c r="Q3012" s="5">
        <v>37</v>
      </c>
      <c r="R3012" s="5">
        <v>4</v>
      </c>
      <c r="S3012" s="5">
        <v>45</v>
      </c>
    </row>
    <row r="3013" spans="1:19" ht="56" x14ac:dyDescent="0.15">
      <c r="A3013" s="2">
        <f>HYPERLINK("https://open-school.uspishnemisto.com.ua/school/140485/", 140485)</f>
        <v>140485</v>
      </c>
      <c r="B3013" s="3" t="s">
        <v>15908</v>
      </c>
      <c r="C3013" s="3" t="s">
        <v>54</v>
      </c>
      <c r="D3013" s="3" t="s">
        <v>32</v>
      </c>
      <c r="E3013" s="4" t="s">
        <v>22</v>
      </c>
      <c r="F3013" s="4" t="s">
        <v>15909</v>
      </c>
      <c r="G3013" s="4" t="s">
        <v>15910</v>
      </c>
      <c r="H3013" s="3" t="s">
        <v>13575</v>
      </c>
      <c r="I3013" s="3" t="s">
        <v>15911</v>
      </c>
      <c r="J3013" s="3" t="s">
        <v>15912</v>
      </c>
      <c r="K3013" s="3" t="s">
        <v>15913</v>
      </c>
      <c r="L3013" s="3"/>
      <c r="M3013" s="4"/>
      <c r="N3013" s="3" t="s">
        <v>37</v>
      </c>
      <c r="O3013" s="3" t="s">
        <v>38</v>
      </c>
      <c r="P3013" s="5">
        <v>11</v>
      </c>
      <c r="Q3013" s="5">
        <v>67</v>
      </c>
      <c r="R3013" s="5">
        <v>11</v>
      </c>
      <c r="S3013" s="5">
        <v>67</v>
      </c>
    </row>
    <row r="3014" spans="1:19" ht="28" x14ac:dyDescent="0.15">
      <c r="A3014" s="2">
        <f>HYPERLINK("https://open-school.uspishnemisto.com.ua/school/140486/", 140486)</f>
        <v>140486</v>
      </c>
      <c r="B3014" s="3" t="s">
        <v>15914</v>
      </c>
      <c r="C3014" s="3" t="s">
        <v>31</v>
      </c>
      <c r="D3014" s="3" t="s">
        <v>32</v>
      </c>
      <c r="E3014" s="4" t="s">
        <v>22</v>
      </c>
      <c r="F3014" s="4" t="s">
        <v>15915</v>
      </c>
      <c r="G3014" s="4" t="s">
        <v>15916</v>
      </c>
      <c r="H3014" s="3" t="s">
        <v>13575</v>
      </c>
      <c r="I3014" s="3" t="s">
        <v>15917</v>
      </c>
      <c r="J3014" s="3" t="s">
        <v>15918</v>
      </c>
      <c r="K3014" s="3" t="s">
        <v>15919</v>
      </c>
      <c r="L3014" s="3"/>
      <c r="M3014" s="4"/>
      <c r="N3014" s="3" t="s">
        <v>37</v>
      </c>
      <c r="O3014" s="3" t="s">
        <v>38</v>
      </c>
      <c r="P3014" s="5">
        <v>11</v>
      </c>
      <c r="Q3014" s="5">
        <v>136</v>
      </c>
      <c r="R3014" s="5">
        <v>11</v>
      </c>
      <c r="S3014" s="5">
        <v>128</v>
      </c>
    </row>
    <row r="3015" spans="1:19" ht="28" x14ac:dyDescent="0.15">
      <c r="A3015" s="2">
        <f>HYPERLINK("https://open-school.uspishnemisto.com.ua/school/140487/", 140487)</f>
        <v>140487</v>
      </c>
      <c r="B3015" s="3" t="s">
        <v>15920</v>
      </c>
      <c r="C3015" s="3" t="s">
        <v>31</v>
      </c>
      <c r="D3015" s="3" t="s">
        <v>32</v>
      </c>
      <c r="E3015" s="4" t="s">
        <v>22</v>
      </c>
      <c r="F3015" s="4" t="s">
        <v>15921</v>
      </c>
      <c r="G3015" s="4" t="s">
        <v>15922</v>
      </c>
      <c r="H3015" s="3" t="s">
        <v>13575</v>
      </c>
      <c r="I3015" s="3" t="s">
        <v>15923</v>
      </c>
      <c r="J3015" s="3" t="s">
        <v>15924</v>
      </c>
      <c r="K3015" s="3" t="s">
        <v>15925</v>
      </c>
      <c r="L3015" s="3"/>
      <c r="M3015" s="4"/>
      <c r="N3015" s="3" t="s">
        <v>128</v>
      </c>
      <c r="O3015" s="3" t="s">
        <v>38</v>
      </c>
      <c r="P3015" s="5">
        <v>11</v>
      </c>
      <c r="Q3015" s="5">
        <v>161</v>
      </c>
      <c r="R3015" s="5">
        <v>11</v>
      </c>
      <c r="S3015" s="5">
        <v>160</v>
      </c>
    </row>
    <row r="3016" spans="1:19" ht="28" x14ac:dyDescent="0.15">
      <c r="A3016" s="2">
        <f>HYPERLINK("https://open-school.uspishnemisto.com.ua/school/140488/", 140488)</f>
        <v>140488</v>
      </c>
      <c r="B3016" s="3" t="s">
        <v>15926</v>
      </c>
      <c r="C3016" s="3" t="s">
        <v>31</v>
      </c>
      <c r="D3016" s="3" t="s">
        <v>32</v>
      </c>
      <c r="E3016" s="4" t="s">
        <v>22</v>
      </c>
      <c r="F3016" s="4" t="s">
        <v>15921</v>
      </c>
      <c r="G3016" s="4" t="s">
        <v>15922</v>
      </c>
      <c r="H3016" s="3" t="s">
        <v>13575</v>
      </c>
      <c r="I3016" s="3" t="s">
        <v>15923</v>
      </c>
      <c r="J3016" s="3" t="s">
        <v>15927</v>
      </c>
      <c r="K3016" s="3" t="s">
        <v>15928</v>
      </c>
      <c r="L3016" s="3"/>
      <c r="M3016" s="4"/>
      <c r="N3016" s="3" t="s">
        <v>128</v>
      </c>
      <c r="O3016" s="3" t="s">
        <v>721</v>
      </c>
      <c r="P3016" s="5">
        <v>12</v>
      </c>
      <c r="Q3016" s="5">
        <v>159</v>
      </c>
      <c r="R3016" s="5">
        <v>12</v>
      </c>
      <c r="S3016" s="5">
        <v>157</v>
      </c>
    </row>
    <row r="3017" spans="1:19" ht="28" x14ac:dyDescent="0.15">
      <c r="A3017" s="2">
        <f>HYPERLINK("https://open-school.uspishnemisto.com.ua/school/140489/", 140489)</f>
        <v>140489</v>
      </c>
      <c r="B3017" s="3" t="s">
        <v>15929</v>
      </c>
      <c r="C3017" s="3" t="s">
        <v>31</v>
      </c>
      <c r="D3017" s="3" t="s">
        <v>175</v>
      </c>
      <c r="E3017" s="4" t="s">
        <v>22</v>
      </c>
      <c r="F3017" s="4" t="s">
        <v>15930</v>
      </c>
      <c r="G3017" s="4" t="s">
        <v>15931</v>
      </c>
      <c r="H3017" s="3" t="s">
        <v>13575</v>
      </c>
      <c r="I3017" s="3" t="s">
        <v>15932</v>
      </c>
      <c r="J3017" s="3" t="s">
        <v>15933</v>
      </c>
      <c r="K3017" s="3" t="s">
        <v>15934</v>
      </c>
      <c r="L3017" s="3"/>
      <c r="M3017" s="4"/>
      <c r="N3017" s="3" t="s">
        <v>128</v>
      </c>
      <c r="O3017" s="3" t="s">
        <v>38</v>
      </c>
      <c r="P3017" s="5">
        <v>6</v>
      </c>
      <c r="Q3017" s="5">
        <v>48</v>
      </c>
      <c r="R3017" s="5">
        <v>9</v>
      </c>
      <c r="S3017" s="5">
        <v>56</v>
      </c>
    </row>
    <row r="3018" spans="1:19" ht="28" x14ac:dyDescent="0.15">
      <c r="A3018" s="2">
        <f>HYPERLINK("https://open-school.uspishnemisto.com.ua/school/140490/", 140490)</f>
        <v>140490</v>
      </c>
      <c r="B3018" s="3" t="s">
        <v>15935</v>
      </c>
      <c r="C3018" s="3" t="s">
        <v>31</v>
      </c>
      <c r="D3018" s="3" t="s">
        <v>175</v>
      </c>
      <c r="E3018" s="4" t="s">
        <v>22</v>
      </c>
      <c r="F3018" s="4" t="s">
        <v>15936</v>
      </c>
      <c r="G3018" s="4" t="s">
        <v>15931</v>
      </c>
      <c r="H3018" s="3" t="s">
        <v>13575</v>
      </c>
      <c r="I3018" s="3" t="s">
        <v>15932</v>
      </c>
      <c r="J3018" s="3" t="s">
        <v>15937</v>
      </c>
      <c r="K3018" s="3" t="s">
        <v>15938</v>
      </c>
      <c r="L3018" s="3"/>
      <c r="M3018" s="4"/>
      <c r="N3018" s="3" t="s">
        <v>128</v>
      </c>
      <c r="O3018" s="3" t="s">
        <v>38</v>
      </c>
      <c r="P3018" s="5">
        <v>10</v>
      </c>
      <c r="Q3018" s="5">
        <v>170</v>
      </c>
      <c r="R3018" s="5">
        <v>10</v>
      </c>
      <c r="S3018" s="5">
        <v>157</v>
      </c>
    </row>
    <row r="3019" spans="1:19" ht="28" x14ac:dyDescent="0.15">
      <c r="A3019" s="2">
        <f>HYPERLINK("https://open-school.uspishnemisto.com.ua/school/140491/", 140491)</f>
        <v>140491</v>
      </c>
      <c r="B3019" s="3" t="s">
        <v>15939</v>
      </c>
      <c r="C3019" s="3" t="s">
        <v>31</v>
      </c>
      <c r="D3019" s="3" t="s">
        <v>32</v>
      </c>
      <c r="E3019" s="4" t="s">
        <v>22</v>
      </c>
      <c r="F3019" s="4" t="s">
        <v>15936</v>
      </c>
      <c r="G3019" s="4" t="s">
        <v>15931</v>
      </c>
      <c r="H3019" s="3" t="s">
        <v>13575</v>
      </c>
      <c r="I3019" s="3" t="s">
        <v>15932</v>
      </c>
      <c r="J3019" s="3" t="s">
        <v>15940</v>
      </c>
      <c r="K3019" s="3" t="s">
        <v>15941</v>
      </c>
      <c r="L3019" s="3"/>
      <c r="M3019" s="4"/>
      <c r="N3019" s="3" t="s">
        <v>128</v>
      </c>
      <c r="O3019" s="3" t="s">
        <v>70</v>
      </c>
      <c r="P3019" s="5">
        <v>10</v>
      </c>
      <c r="Q3019" s="5">
        <v>77</v>
      </c>
      <c r="R3019" s="5">
        <v>9</v>
      </c>
      <c r="S3019" s="5">
        <v>71</v>
      </c>
    </row>
    <row r="3020" spans="1:19" ht="28" x14ac:dyDescent="0.15">
      <c r="A3020" s="2">
        <f>HYPERLINK("https://open-school.uspishnemisto.com.ua/school/140492/", 140492)</f>
        <v>140492</v>
      </c>
      <c r="B3020" s="3" t="s">
        <v>15942</v>
      </c>
      <c r="C3020" s="3" t="s">
        <v>31</v>
      </c>
      <c r="D3020" s="3" t="s">
        <v>175</v>
      </c>
      <c r="E3020" s="4" t="s">
        <v>22</v>
      </c>
      <c r="F3020" s="4" t="s">
        <v>15936</v>
      </c>
      <c r="G3020" s="4" t="s">
        <v>15931</v>
      </c>
      <c r="H3020" s="3" t="s">
        <v>13575</v>
      </c>
      <c r="I3020" s="3" t="s">
        <v>15932</v>
      </c>
      <c r="J3020" s="3" t="s">
        <v>15943</v>
      </c>
      <c r="K3020" s="3" t="s">
        <v>15944</v>
      </c>
      <c r="L3020" s="3"/>
      <c r="M3020" s="4"/>
      <c r="N3020" s="3" t="s">
        <v>37</v>
      </c>
      <c r="O3020" s="3" t="s">
        <v>38</v>
      </c>
      <c r="P3020" s="5">
        <v>5</v>
      </c>
      <c r="Q3020" s="5">
        <v>32</v>
      </c>
      <c r="R3020" s="5">
        <v>7</v>
      </c>
      <c r="S3020" s="5">
        <v>47</v>
      </c>
    </row>
    <row r="3021" spans="1:19" ht="28" x14ac:dyDescent="0.15">
      <c r="A3021" s="2">
        <f>HYPERLINK("https://open-school.uspishnemisto.com.ua/school/140493/", 140493)</f>
        <v>140493</v>
      </c>
      <c r="B3021" s="3" t="s">
        <v>15945</v>
      </c>
      <c r="C3021" s="3" t="s">
        <v>31</v>
      </c>
      <c r="D3021" s="3" t="s">
        <v>32</v>
      </c>
      <c r="E3021" s="4" t="s">
        <v>22</v>
      </c>
      <c r="F3021" s="4" t="s">
        <v>15936</v>
      </c>
      <c r="G3021" s="4" t="s">
        <v>15931</v>
      </c>
      <c r="H3021" s="3" t="s">
        <v>13575</v>
      </c>
      <c r="I3021" s="3" t="s">
        <v>15932</v>
      </c>
      <c r="J3021" s="3" t="s">
        <v>15946</v>
      </c>
      <c r="K3021" s="3" t="s">
        <v>15947</v>
      </c>
      <c r="L3021" s="3" t="s">
        <v>15948</v>
      </c>
      <c r="M3021" s="4"/>
      <c r="N3021" s="3" t="s">
        <v>128</v>
      </c>
      <c r="O3021" s="3" t="s">
        <v>38</v>
      </c>
      <c r="P3021" s="5">
        <v>11</v>
      </c>
      <c r="Q3021" s="5">
        <v>113</v>
      </c>
      <c r="R3021" s="5">
        <v>11</v>
      </c>
      <c r="S3021" s="5">
        <v>123</v>
      </c>
    </row>
    <row r="3022" spans="1:19" ht="42" x14ac:dyDescent="0.15">
      <c r="A3022" s="2">
        <f>HYPERLINK("https://open-school.uspishnemisto.com.ua/school/140494/", 140494)</f>
        <v>140494</v>
      </c>
      <c r="B3022" s="3" t="s">
        <v>15949</v>
      </c>
      <c r="C3022" s="3" t="s">
        <v>40</v>
      </c>
      <c r="D3022" s="3" t="s">
        <v>32</v>
      </c>
      <c r="E3022" s="4" t="s">
        <v>22</v>
      </c>
      <c r="F3022" s="4" t="s">
        <v>15950</v>
      </c>
      <c r="G3022" s="4" t="s">
        <v>15951</v>
      </c>
      <c r="H3022" s="3" t="s">
        <v>13575</v>
      </c>
      <c r="I3022" s="3" t="s">
        <v>15952</v>
      </c>
      <c r="J3022" s="3" t="s">
        <v>15953</v>
      </c>
      <c r="K3022" s="3" t="s">
        <v>15954</v>
      </c>
      <c r="L3022" s="3"/>
      <c r="M3022" s="4"/>
      <c r="N3022" s="3" t="s">
        <v>128</v>
      </c>
      <c r="O3022" s="3" t="s">
        <v>38</v>
      </c>
      <c r="P3022" s="5">
        <v>14</v>
      </c>
      <c r="Q3022" s="5">
        <v>368</v>
      </c>
      <c r="R3022" s="5">
        <v>14</v>
      </c>
      <c r="S3022" s="5">
        <v>370</v>
      </c>
    </row>
    <row r="3023" spans="1:19" ht="28" x14ac:dyDescent="0.15">
      <c r="A3023" s="2">
        <f>HYPERLINK("https://open-school.uspishnemisto.com.ua/school/140495/", 140495)</f>
        <v>140495</v>
      </c>
      <c r="B3023" s="3" t="s">
        <v>15955</v>
      </c>
      <c r="C3023" s="3" t="s">
        <v>31</v>
      </c>
      <c r="D3023" s="3" t="s">
        <v>32</v>
      </c>
      <c r="E3023" s="4" t="s">
        <v>22</v>
      </c>
      <c r="F3023" s="4" t="s">
        <v>15950</v>
      </c>
      <c r="G3023" s="4" t="s">
        <v>15951</v>
      </c>
      <c r="H3023" s="3" t="s">
        <v>13575</v>
      </c>
      <c r="I3023" s="3" t="s">
        <v>15952</v>
      </c>
      <c r="J3023" s="3" t="s">
        <v>1770</v>
      </c>
      <c r="K3023" s="3" t="s">
        <v>15956</v>
      </c>
      <c r="L3023" s="3"/>
      <c r="M3023" s="4"/>
      <c r="N3023" s="3" t="s">
        <v>128</v>
      </c>
      <c r="O3023" s="3" t="s">
        <v>38</v>
      </c>
      <c r="P3023" s="5">
        <v>21</v>
      </c>
      <c r="Q3023" s="5">
        <v>480</v>
      </c>
      <c r="R3023" s="5">
        <v>21</v>
      </c>
      <c r="S3023" s="5">
        <v>462</v>
      </c>
    </row>
    <row r="3024" spans="1:19" ht="28" x14ac:dyDescent="0.15">
      <c r="A3024" s="2">
        <f>HYPERLINK("https://open-school.uspishnemisto.com.ua/school/140496/", 140496)</f>
        <v>140496</v>
      </c>
      <c r="B3024" s="3" t="s">
        <v>15957</v>
      </c>
      <c r="C3024" s="3" t="s">
        <v>31</v>
      </c>
      <c r="D3024" s="3" t="s">
        <v>175</v>
      </c>
      <c r="E3024" s="4" t="s">
        <v>22</v>
      </c>
      <c r="F3024" s="4" t="s">
        <v>15950</v>
      </c>
      <c r="G3024" s="4" t="s">
        <v>15951</v>
      </c>
      <c r="H3024" s="3" t="s">
        <v>13575</v>
      </c>
      <c r="I3024" s="3" t="s">
        <v>15952</v>
      </c>
      <c r="J3024" s="3" t="s">
        <v>15958</v>
      </c>
      <c r="K3024" s="3" t="s">
        <v>15959</v>
      </c>
      <c r="L3024" s="3"/>
      <c r="M3024" s="4"/>
      <c r="N3024" s="3" t="s">
        <v>128</v>
      </c>
      <c r="O3024" s="3" t="s">
        <v>38</v>
      </c>
      <c r="P3024" s="5">
        <v>9</v>
      </c>
      <c r="Q3024" s="5">
        <v>112</v>
      </c>
      <c r="R3024" s="5">
        <v>9</v>
      </c>
      <c r="S3024" s="5">
        <v>100</v>
      </c>
    </row>
    <row r="3025" spans="1:19" ht="28" x14ac:dyDescent="0.15">
      <c r="A3025" s="2">
        <f>HYPERLINK("https://open-school.uspishnemisto.com.ua/school/140497/", 140497)</f>
        <v>140497</v>
      </c>
      <c r="B3025" s="3" t="s">
        <v>15960</v>
      </c>
      <c r="C3025" s="3" t="s">
        <v>31</v>
      </c>
      <c r="D3025" s="3" t="s">
        <v>32</v>
      </c>
      <c r="E3025" s="4" t="s">
        <v>22</v>
      </c>
      <c r="F3025" s="4" t="s">
        <v>15950</v>
      </c>
      <c r="G3025" s="4" t="s">
        <v>15951</v>
      </c>
      <c r="H3025" s="3" t="s">
        <v>13575</v>
      </c>
      <c r="I3025" s="3" t="s">
        <v>15952</v>
      </c>
      <c r="J3025" s="3" t="s">
        <v>15961</v>
      </c>
      <c r="K3025" s="3" t="s">
        <v>15962</v>
      </c>
      <c r="L3025" s="3"/>
      <c r="M3025" s="4"/>
      <c r="N3025" s="3" t="s">
        <v>128</v>
      </c>
      <c r="O3025" s="3" t="s">
        <v>38</v>
      </c>
      <c r="P3025" s="5">
        <v>22</v>
      </c>
      <c r="Q3025" s="5">
        <v>583</v>
      </c>
      <c r="R3025" s="5">
        <v>21</v>
      </c>
      <c r="S3025" s="5">
        <v>569</v>
      </c>
    </row>
    <row r="3026" spans="1:19" ht="28" x14ac:dyDescent="0.15">
      <c r="A3026" s="2">
        <f>HYPERLINK("https://open-school.uspishnemisto.com.ua/school/140498/", 140498)</f>
        <v>140498</v>
      </c>
      <c r="B3026" s="3" t="s">
        <v>15963</v>
      </c>
      <c r="C3026" s="3" t="s">
        <v>31</v>
      </c>
      <c r="D3026" s="3" t="s">
        <v>32</v>
      </c>
      <c r="E3026" s="4" t="s">
        <v>22</v>
      </c>
      <c r="F3026" s="4" t="s">
        <v>15950</v>
      </c>
      <c r="G3026" s="4" t="s">
        <v>15951</v>
      </c>
      <c r="H3026" s="3" t="s">
        <v>13575</v>
      </c>
      <c r="I3026" s="3" t="s">
        <v>15952</v>
      </c>
      <c r="J3026" s="3" t="s">
        <v>15964</v>
      </c>
      <c r="K3026" s="3" t="s">
        <v>15965</v>
      </c>
      <c r="L3026" s="3"/>
      <c r="M3026" s="4"/>
      <c r="N3026" s="3" t="s">
        <v>128</v>
      </c>
      <c r="O3026" s="3" t="s">
        <v>38</v>
      </c>
      <c r="P3026" s="5">
        <v>20</v>
      </c>
      <c r="Q3026" s="5">
        <v>445</v>
      </c>
      <c r="R3026" s="5">
        <v>20</v>
      </c>
      <c r="S3026" s="5">
        <v>434</v>
      </c>
    </row>
    <row r="3027" spans="1:19" ht="28" x14ac:dyDescent="0.15">
      <c r="A3027" s="2">
        <f>HYPERLINK("https://open-school.uspishnemisto.com.ua/school/140499/", 140499)</f>
        <v>140499</v>
      </c>
      <c r="B3027" s="3" t="s">
        <v>15966</v>
      </c>
      <c r="C3027" s="3" t="s">
        <v>31</v>
      </c>
      <c r="D3027" s="3" t="s">
        <v>32</v>
      </c>
      <c r="E3027" s="4" t="s">
        <v>22</v>
      </c>
      <c r="F3027" s="4" t="s">
        <v>15967</v>
      </c>
      <c r="G3027" s="4" t="s">
        <v>15968</v>
      </c>
      <c r="H3027" s="3" t="s">
        <v>13575</v>
      </c>
      <c r="I3027" s="3" t="s">
        <v>15969</v>
      </c>
      <c r="J3027" s="3" t="s">
        <v>15970</v>
      </c>
      <c r="K3027" s="3" t="s">
        <v>15971</v>
      </c>
      <c r="L3027" s="3" t="s">
        <v>15972</v>
      </c>
      <c r="M3027" s="4"/>
      <c r="N3027" s="3" t="s">
        <v>37</v>
      </c>
      <c r="O3027" s="3" t="s">
        <v>38</v>
      </c>
      <c r="P3027" s="5">
        <v>11</v>
      </c>
      <c r="Q3027" s="5">
        <v>94</v>
      </c>
      <c r="R3027" s="5">
        <v>11</v>
      </c>
      <c r="S3027" s="5">
        <v>102</v>
      </c>
    </row>
    <row r="3028" spans="1:19" ht="28" x14ac:dyDescent="0.15">
      <c r="A3028" s="2">
        <f>HYPERLINK("https://open-school.uspishnemisto.com.ua/school/140500/", 140500)</f>
        <v>140500</v>
      </c>
      <c r="B3028" s="3" t="s">
        <v>15973</v>
      </c>
      <c r="C3028" s="3" t="s">
        <v>31</v>
      </c>
      <c r="D3028" s="3" t="s">
        <v>32</v>
      </c>
      <c r="E3028" s="4" t="s">
        <v>22</v>
      </c>
      <c r="F3028" s="4" t="s">
        <v>15974</v>
      </c>
      <c r="G3028" s="4" t="s">
        <v>15975</v>
      </c>
      <c r="H3028" s="3" t="s">
        <v>13575</v>
      </c>
      <c r="I3028" s="3" t="s">
        <v>6277</v>
      </c>
      <c r="J3028" s="3" t="s">
        <v>878</v>
      </c>
      <c r="K3028" s="3" t="s">
        <v>15976</v>
      </c>
      <c r="L3028" s="3"/>
      <c r="M3028" s="4"/>
      <c r="N3028" s="3" t="s">
        <v>128</v>
      </c>
      <c r="O3028" s="3" t="s">
        <v>38</v>
      </c>
      <c r="P3028" s="5">
        <v>11</v>
      </c>
      <c r="Q3028" s="5">
        <v>170</v>
      </c>
      <c r="R3028" s="5">
        <v>11</v>
      </c>
      <c r="S3028" s="5">
        <v>152</v>
      </c>
    </row>
    <row r="3029" spans="1:19" ht="28" x14ac:dyDescent="0.15">
      <c r="A3029" s="2">
        <f>HYPERLINK("https://open-school.uspishnemisto.com.ua/school/140501/", 140501)</f>
        <v>140501</v>
      </c>
      <c r="B3029" s="3" t="s">
        <v>15977</v>
      </c>
      <c r="C3029" s="3" t="s">
        <v>31</v>
      </c>
      <c r="D3029" s="3" t="s">
        <v>32</v>
      </c>
      <c r="E3029" s="4" t="s">
        <v>22</v>
      </c>
      <c r="F3029" s="4" t="s">
        <v>15978</v>
      </c>
      <c r="G3029" s="4" t="s">
        <v>15979</v>
      </c>
      <c r="H3029" s="3" t="s">
        <v>13575</v>
      </c>
      <c r="I3029" s="3" t="s">
        <v>15980</v>
      </c>
      <c r="J3029" s="3" t="s">
        <v>15981</v>
      </c>
      <c r="K3029" s="3" t="s">
        <v>15982</v>
      </c>
      <c r="L3029" s="3"/>
      <c r="M3029" s="4"/>
      <c r="N3029" s="3" t="s">
        <v>128</v>
      </c>
      <c r="O3029" s="3" t="s">
        <v>38</v>
      </c>
      <c r="P3029" s="5">
        <v>11</v>
      </c>
      <c r="Q3029" s="5">
        <v>118</v>
      </c>
      <c r="R3029" s="5">
        <v>11</v>
      </c>
      <c r="S3029" s="5">
        <v>113</v>
      </c>
    </row>
    <row r="3030" spans="1:19" ht="28" x14ac:dyDescent="0.15">
      <c r="A3030" s="2">
        <f>HYPERLINK("https://open-school.uspishnemisto.com.ua/school/140502/", 140502)</f>
        <v>140502</v>
      </c>
      <c r="B3030" s="3" t="s">
        <v>15983</v>
      </c>
      <c r="C3030" s="3" t="s">
        <v>31</v>
      </c>
      <c r="D3030" s="3" t="s">
        <v>32</v>
      </c>
      <c r="E3030" s="4" t="s">
        <v>22</v>
      </c>
      <c r="F3030" s="4" t="s">
        <v>15984</v>
      </c>
      <c r="G3030" s="4" t="s">
        <v>15985</v>
      </c>
      <c r="H3030" s="3" t="s">
        <v>13575</v>
      </c>
      <c r="I3030" s="3" t="s">
        <v>15986</v>
      </c>
      <c r="J3030" s="3" t="s">
        <v>15987</v>
      </c>
      <c r="K3030" s="3" t="s">
        <v>15988</v>
      </c>
      <c r="L3030" s="3"/>
      <c r="M3030" s="4"/>
      <c r="N3030" s="3" t="s">
        <v>37</v>
      </c>
      <c r="O3030" s="3" t="s">
        <v>38</v>
      </c>
      <c r="P3030" s="5">
        <v>10</v>
      </c>
      <c r="Q3030" s="5">
        <v>100</v>
      </c>
      <c r="R3030" s="5">
        <v>11</v>
      </c>
      <c r="S3030" s="5">
        <v>112</v>
      </c>
    </row>
    <row r="3031" spans="1:19" ht="28" x14ac:dyDescent="0.15">
      <c r="A3031" s="2">
        <f>HYPERLINK("https://open-school.uspishnemisto.com.ua/school/140503/", 140503)</f>
        <v>140503</v>
      </c>
      <c r="B3031" s="3" t="s">
        <v>15989</v>
      </c>
      <c r="C3031" s="3" t="s">
        <v>31</v>
      </c>
      <c r="D3031" s="3" t="s">
        <v>32</v>
      </c>
      <c r="E3031" s="4" t="s">
        <v>22</v>
      </c>
      <c r="F3031" s="4" t="s">
        <v>15990</v>
      </c>
      <c r="G3031" s="4" t="s">
        <v>15991</v>
      </c>
      <c r="H3031" s="3" t="s">
        <v>13575</v>
      </c>
      <c r="I3031" s="3" t="s">
        <v>12383</v>
      </c>
      <c r="J3031" s="3" t="s">
        <v>15992</v>
      </c>
      <c r="K3031" s="3" t="s">
        <v>15993</v>
      </c>
      <c r="L3031" s="3"/>
      <c r="M3031" s="4"/>
      <c r="N3031" s="3" t="s">
        <v>37</v>
      </c>
      <c r="O3031" s="3" t="s">
        <v>13272</v>
      </c>
      <c r="P3031" s="5">
        <v>11</v>
      </c>
      <c r="Q3031" s="5">
        <v>130</v>
      </c>
      <c r="R3031" s="5">
        <v>11</v>
      </c>
      <c r="S3031" s="5">
        <v>143</v>
      </c>
    </row>
    <row r="3032" spans="1:19" ht="28" x14ac:dyDescent="0.15">
      <c r="A3032" s="2">
        <f>HYPERLINK("https://open-school.uspishnemisto.com.ua/school/140504/", 140504)</f>
        <v>140504</v>
      </c>
      <c r="B3032" s="3" t="s">
        <v>15994</v>
      </c>
      <c r="C3032" s="3" t="s">
        <v>31</v>
      </c>
      <c r="D3032" s="3" t="s">
        <v>32</v>
      </c>
      <c r="E3032" s="4" t="s">
        <v>22</v>
      </c>
      <c r="F3032" s="4" t="s">
        <v>15995</v>
      </c>
      <c r="G3032" s="4" t="s">
        <v>15996</v>
      </c>
      <c r="H3032" s="3" t="s">
        <v>13575</v>
      </c>
      <c r="I3032" s="3" t="s">
        <v>7799</v>
      </c>
      <c r="J3032" s="3" t="s">
        <v>4425</v>
      </c>
      <c r="K3032" s="3"/>
      <c r="L3032" s="3" t="s">
        <v>15997</v>
      </c>
      <c r="M3032" s="4"/>
      <c r="N3032" s="3" t="s">
        <v>37</v>
      </c>
      <c r="O3032" s="3" t="s">
        <v>38</v>
      </c>
      <c r="P3032" s="5">
        <v>11</v>
      </c>
      <c r="Q3032" s="5">
        <v>157</v>
      </c>
      <c r="R3032" s="5">
        <v>11</v>
      </c>
      <c r="S3032" s="5">
        <v>138</v>
      </c>
    </row>
    <row r="3033" spans="1:19" ht="28" x14ac:dyDescent="0.15">
      <c r="A3033" s="2">
        <f>HYPERLINK("https://open-school.uspishnemisto.com.ua/school/140505/", 140505)</f>
        <v>140505</v>
      </c>
      <c r="B3033" s="3" t="s">
        <v>15998</v>
      </c>
      <c r="C3033" s="3" t="s">
        <v>31</v>
      </c>
      <c r="D3033" s="3" t="s">
        <v>32</v>
      </c>
      <c r="E3033" s="4" t="s">
        <v>22</v>
      </c>
      <c r="F3033" s="4" t="s">
        <v>15999</v>
      </c>
      <c r="G3033" s="4" t="s">
        <v>16000</v>
      </c>
      <c r="H3033" s="3" t="s">
        <v>13575</v>
      </c>
      <c r="I3033" s="3" t="s">
        <v>12592</v>
      </c>
      <c r="J3033" s="3" t="s">
        <v>5884</v>
      </c>
      <c r="K3033" s="3" t="s">
        <v>16001</v>
      </c>
      <c r="L3033" s="3"/>
      <c r="M3033" s="4"/>
      <c r="N3033" s="3" t="s">
        <v>37</v>
      </c>
      <c r="O3033" s="3" t="s">
        <v>38</v>
      </c>
      <c r="P3033" s="5">
        <v>11</v>
      </c>
      <c r="Q3033" s="5">
        <v>110</v>
      </c>
      <c r="R3033" s="5">
        <v>11</v>
      </c>
      <c r="S3033" s="5">
        <v>117</v>
      </c>
    </row>
    <row r="3034" spans="1:19" ht="28" x14ac:dyDescent="0.15">
      <c r="A3034" s="2">
        <f>HYPERLINK("https://open-school.uspishnemisto.com.ua/school/140506/", 140506)</f>
        <v>140506</v>
      </c>
      <c r="B3034" s="3" t="s">
        <v>16002</v>
      </c>
      <c r="C3034" s="3" t="s">
        <v>31</v>
      </c>
      <c r="D3034" s="3" t="s">
        <v>32</v>
      </c>
      <c r="E3034" s="4" t="s">
        <v>22</v>
      </c>
      <c r="F3034" s="4" t="s">
        <v>16003</v>
      </c>
      <c r="G3034" s="4" t="s">
        <v>16004</v>
      </c>
      <c r="H3034" s="3" t="s">
        <v>13575</v>
      </c>
      <c r="I3034" s="3" t="s">
        <v>2179</v>
      </c>
      <c r="J3034" s="3" t="s">
        <v>16005</v>
      </c>
      <c r="K3034" s="3" t="s">
        <v>16006</v>
      </c>
      <c r="L3034" s="3"/>
      <c r="M3034" s="4"/>
      <c r="N3034" s="3" t="s">
        <v>37</v>
      </c>
      <c r="O3034" s="3" t="s">
        <v>38</v>
      </c>
      <c r="P3034" s="5">
        <v>11</v>
      </c>
      <c r="Q3034" s="5">
        <v>131</v>
      </c>
      <c r="R3034" s="5">
        <v>11</v>
      </c>
      <c r="S3034" s="5">
        <v>120</v>
      </c>
    </row>
    <row r="3035" spans="1:19" ht="28" x14ac:dyDescent="0.15">
      <c r="A3035" s="2">
        <f>HYPERLINK("https://open-school.uspishnemisto.com.ua/school/140507/", 140507)</f>
        <v>140507</v>
      </c>
      <c r="B3035" s="3" t="s">
        <v>16007</v>
      </c>
      <c r="C3035" s="3" t="s">
        <v>31</v>
      </c>
      <c r="D3035" s="3" t="s">
        <v>32</v>
      </c>
      <c r="E3035" s="4" t="s">
        <v>22</v>
      </c>
      <c r="F3035" s="4" t="s">
        <v>16008</v>
      </c>
      <c r="G3035" s="4" t="s">
        <v>16009</v>
      </c>
      <c r="H3035" s="3" t="s">
        <v>13575</v>
      </c>
      <c r="I3035" s="3" t="s">
        <v>16010</v>
      </c>
      <c r="J3035" s="3" t="s">
        <v>16011</v>
      </c>
      <c r="K3035" s="3" t="s">
        <v>16012</v>
      </c>
      <c r="L3035" s="3"/>
      <c r="M3035" s="4"/>
      <c r="N3035" s="3" t="s">
        <v>37</v>
      </c>
      <c r="O3035" s="3" t="s">
        <v>38</v>
      </c>
      <c r="P3035" s="5">
        <v>11</v>
      </c>
      <c r="Q3035" s="5">
        <v>195</v>
      </c>
      <c r="R3035" s="5">
        <v>11</v>
      </c>
      <c r="S3035" s="5">
        <v>190</v>
      </c>
    </row>
    <row r="3036" spans="1:19" ht="28" x14ac:dyDescent="0.15">
      <c r="A3036" s="2">
        <f>HYPERLINK("https://open-school.uspishnemisto.com.ua/school/140508/", 140508)</f>
        <v>140508</v>
      </c>
      <c r="B3036" s="3" t="s">
        <v>16013</v>
      </c>
      <c r="C3036" s="3" t="s">
        <v>31</v>
      </c>
      <c r="D3036" s="3" t="s">
        <v>32</v>
      </c>
      <c r="E3036" s="4" t="s">
        <v>22</v>
      </c>
      <c r="F3036" s="4" t="s">
        <v>16014</v>
      </c>
      <c r="G3036" s="4" t="s">
        <v>16015</v>
      </c>
      <c r="H3036" s="3" t="s">
        <v>13575</v>
      </c>
      <c r="I3036" s="3" t="s">
        <v>16016</v>
      </c>
      <c r="J3036" s="3" t="s">
        <v>1078</v>
      </c>
      <c r="K3036" s="3" t="s">
        <v>16017</v>
      </c>
      <c r="L3036" s="3"/>
      <c r="M3036" s="4"/>
      <c r="N3036" s="3" t="s">
        <v>37</v>
      </c>
      <c r="O3036" s="3" t="s">
        <v>38</v>
      </c>
      <c r="P3036" s="5">
        <v>11</v>
      </c>
      <c r="Q3036" s="5">
        <v>83</v>
      </c>
      <c r="R3036" s="5">
        <v>11</v>
      </c>
      <c r="S3036" s="5">
        <v>85</v>
      </c>
    </row>
    <row r="3037" spans="1:19" ht="28" x14ac:dyDescent="0.15">
      <c r="A3037" s="2">
        <f>HYPERLINK("https://open-school.uspishnemisto.com.ua/school/140509/", 140509)</f>
        <v>140509</v>
      </c>
      <c r="B3037" s="3" t="s">
        <v>16018</v>
      </c>
      <c r="C3037" s="3" t="s">
        <v>31</v>
      </c>
      <c r="D3037" s="3" t="s">
        <v>32</v>
      </c>
      <c r="E3037" s="4" t="s">
        <v>22</v>
      </c>
      <c r="F3037" s="4" t="s">
        <v>16019</v>
      </c>
      <c r="G3037" s="4" t="s">
        <v>16020</v>
      </c>
      <c r="H3037" s="3" t="s">
        <v>13575</v>
      </c>
      <c r="I3037" s="3" t="s">
        <v>16021</v>
      </c>
      <c r="J3037" s="3" t="s">
        <v>1673</v>
      </c>
      <c r="K3037" s="3" t="s">
        <v>16022</v>
      </c>
      <c r="L3037" s="3"/>
      <c r="M3037" s="4"/>
      <c r="N3037" s="3" t="s">
        <v>37</v>
      </c>
      <c r="O3037" s="3" t="s">
        <v>38</v>
      </c>
      <c r="P3037" s="5">
        <v>11</v>
      </c>
      <c r="Q3037" s="5">
        <v>100</v>
      </c>
      <c r="R3037" s="5">
        <v>11</v>
      </c>
      <c r="S3037" s="5">
        <v>104</v>
      </c>
    </row>
    <row r="3038" spans="1:19" ht="28" x14ac:dyDescent="0.15">
      <c r="A3038" s="2">
        <f>HYPERLINK("https://open-school.uspishnemisto.com.ua/school/140510/", 140510)</f>
        <v>140510</v>
      </c>
      <c r="B3038" s="3" t="s">
        <v>16023</v>
      </c>
      <c r="C3038" s="3" t="s">
        <v>31</v>
      </c>
      <c r="D3038" s="3" t="s">
        <v>175</v>
      </c>
      <c r="E3038" s="4" t="s">
        <v>22</v>
      </c>
      <c r="F3038" s="4" t="s">
        <v>16024</v>
      </c>
      <c r="G3038" s="4" t="s">
        <v>16025</v>
      </c>
      <c r="H3038" s="3" t="s">
        <v>13575</v>
      </c>
      <c r="I3038" s="3" t="s">
        <v>16026</v>
      </c>
      <c r="J3038" s="3" t="s">
        <v>16027</v>
      </c>
      <c r="K3038" s="3" t="s">
        <v>16028</v>
      </c>
      <c r="L3038" s="3"/>
      <c r="M3038" s="4"/>
      <c r="N3038" s="3" t="s">
        <v>37</v>
      </c>
      <c r="O3038" s="3" t="s">
        <v>38</v>
      </c>
      <c r="P3038" s="5">
        <v>9</v>
      </c>
      <c r="Q3038" s="5">
        <v>69</v>
      </c>
      <c r="R3038" s="5">
        <v>9</v>
      </c>
      <c r="S3038" s="5">
        <v>67</v>
      </c>
    </row>
    <row r="3039" spans="1:19" ht="28" x14ac:dyDescent="0.15">
      <c r="A3039" s="2">
        <f>HYPERLINK("https://open-school.uspishnemisto.com.ua/school/140511/", 140511)</f>
        <v>140511</v>
      </c>
      <c r="B3039" s="3" t="s">
        <v>16029</v>
      </c>
      <c r="C3039" s="3" t="s">
        <v>31</v>
      </c>
      <c r="D3039" s="3" t="s">
        <v>32</v>
      </c>
      <c r="E3039" s="4" t="s">
        <v>22</v>
      </c>
      <c r="F3039" s="4" t="s">
        <v>16030</v>
      </c>
      <c r="G3039" s="4" t="s">
        <v>16031</v>
      </c>
      <c r="H3039" s="3" t="s">
        <v>13575</v>
      </c>
      <c r="I3039" s="3" t="s">
        <v>7563</v>
      </c>
      <c r="J3039" s="3" t="s">
        <v>2476</v>
      </c>
      <c r="K3039" s="3" t="s">
        <v>16032</v>
      </c>
      <c r="L3039" s="3"/>
      <c r="M3039" s="4"/>
      <c r="N3039" s="3" t="s">
        <v>37</v>
      </c>
      <c r="O3039" s="3" t="s">
        <v>38</v>
      </c>
      <c r="P3039" s="5">
        <v>11</v>
      </c>
      <c r="Q3039" s="5">
        <v>141</v>
      </c>
      <c r="R3039" s="5">
        <v>11</v>
      </c>
      <c r="S3039" s="5">
        <v>138</v>
      </c>
    </row>
    <row r="3040" spans="1:19" ht="28" x14ac:dyDescent="0.15">
      <c r="A3040" s="2">
        <f>HYPERLINK("https://open-school.uspishnemisto.com.ua/school/140512/", 140512)</f>
        <v>140512</v>
      </c>
      <c r="B3040" s="3" t="s">
        <v>16033</v>
      </c>
      <c r="C3040" s="3" t="s">
        <v>31</v>
      </c>
      <c r="D3040" s="3" t="s">
        <v>175</v>
      </c>
      <c r="E3040" s="4" t="s">
        <v>22</v>
      </c>
      <c r="F3040" s="4" t="s">
        <v>16034</v>
      </c>
      <c r="G3040" s="4" t="s">
        <v>16035</v>
      </c>
      <c r="H3040" s="3" t="s">
        <v>13575</v>
      </c>
      <c r="I3040" s="3" t="s">
        <v>16036</v>
      </c>
      <c r="J3040" s="3" t="s">
        <v>16037</v>
      </c>
      <c r="K3040" s="3" t="s">
        <v>16038</v>
      </c>
      <c r="L3040" s="3"/>
      <c r="M3040" s="4"/>
      <c r="N3040" s="3" t="s">
        <v>37</v>
      </c>
      <c r="O3040" s="3" t="s">
        <v>38</v>
      </c>
      <c r="P3040" s="5">
        <v>5</v>
      </c>
      <c r="Q3040" s="5">
        <v>39</v>
      </c>
      <c r="R3040" s="5">
        <v>5</v>
      </c>
      <c r="S3040" s="5">
        <v>39</v>
      </c>
    </row>
    <row r="3041" spans="1:19" ht="28" x14ac:dyDescent="0.15">
      <c r="A3041" s="2">
        <f>HYPERLINK("https://open-school.uspishnemisto.com.ua/school/140513/", 140513)</f>
        <v>140513</v>
      </c>
      <c r="B3041" s="3" t="s">
        <v>16039</v>
      </c>
      <c r="C3041" s="3" t="s">
        <v>31</v>
      </c>
      <c r="D3041" s="3" t="s">
        <v>175</v>
      </c>
      <c r="E3041" s="4" t="s">
        <v>22</v>
      </c>
      <c r="F3041" s="4" t="s">
        <v>16040</v>
      </c>
      <c r="G3041" s="4" t="s">
        <v>16041</v>
      </c>
      <c r="H3041" s="3" t="s">
        <v>13575</v>
      </c>
      <c r="I3041" s="3" t="s">
        <v>16042</v>
      </c>
      <c r="J3041" s="3" t="s">
        <v>4747</v>
      </c>
      <c r="K3041" s="3" t="s">
        <v>16043</v>
      </c>
      <c r="L3041" s="3"/>
      <c r="M3041" s="4"/>
      <c r="N3041" s="3" t="s">
        <v>37</v>
      </c>
      <c r="O3041" s="3" t="s">
        <v>38</v>
      </c>
      <c r="P3041" s="5">
        <v>9</v>
      </c>
      <c r="Q3041" s="5">
        <v>53</v>
      </c>
      <c r="R3041" s="5">
        <v>9</v>
      </c>
      <c r="S3041" s="5">
        <v>50</v>
      </c>
    </row>
    <row r="3042" spans="1:19" ht="28" x14ac:dyDescent="0.15">
      <c r="A3042" s="2">
        <f>HYPERLINK("https://open-school.uspishnemisto.com.ua/school/140514/", 140514)</f>
        <v>140514</v>
      </c>
      <c r="B3042" s="3" t="s">
        <v>16044</v>
      </c>
      <c r="C3042" s="3" t="s">
        <v>31</v>
      </c>
      <c r="D3042" s="3" t="s">
        <v>32</v>
      </c>
      <c r="E3042" s="4" t="s">
        <v>22</v>
      </c>
      <c r="F3042" s="4" t="s">
        <v>16045</v>
      </c>
      <c r="G3042" s="4" t="s">
        <v>16046</v>
      </c>
      <c r="H3042" s="3" t="s">
        <v>13575</v>
      </c>
      <c r="I3042" s="3" t="s">
        <v>1587</v>
      </c>
      <c r="J3042" s="3" t="s">
        <v>3266</v>
      </c>
      <c r="K3042" s="3" t="s">
        <v>16047</v>
      </c>
      <c r="L3042" s="3"/>
      <c r="M3042" s="4"/>
      <c r="N3042" s="3" t="s">
        <v>37</v>
      </c>
      <c r="O3042" s="3" t="s">
        <v>38</v>
      </c>
      <c r="P3042" s="5">
        <v>11</v>
      </c>
      <c r="Q3042" s="5">
        <v>178</v>
      </c>
      <c r="R3042" s="5">
        <v>11</v>
      </c>
      <c r="S3042" s="5">
        <v>167</v>
      </c>
    </row>
    <row r="3043" spans="1:19" ht="28" x14ac:dyDescent="0.15">
      <c r="A3043" s="2">
        <f>HYPERLINK("https://open-school.uspishnemisto.com.ua/school/140515/", 140515)</f>
        <v>140515</v>
      </c>
      <c r="B3043" s="3" t="s">
        <v>16048</v>
      </c>
      <c r="C3043" s="3" t="s">
        <v>31</v>
      </c>
      <c r="D3043" s="3" t="s">
        <v>32</v>
      </c>
      <c r="E3043" s="4" t="s">
        <v>22</v>
      </c>
      <c r="F3043" s="4" t="s">
        <v>16049</v>
      </c>
      <c r="G3043" s="4" t="s">
        <v>16050</v>
      </c>
      <c r="H3043" s="3" t="s">
        <v>13575</v>
      </c>
      <c r="I3043" s="3" t="s">
        <v>15426</v>
      </c>
      <c r="J3043" s="3" t="s">
        <v>16051</v>
      </c>
      <c r="K3043" s="3" t="s">
        <v>16052</v>
      </c>
      <c r="L3043" s="3" t="s">
        <v>16053</v>
      </c>
      <c r="M3043" s="4"/>
      <c r="N3043" s="3" t="s">
        <v>37</v>
      </c>
      <c r="O3043" s="3" t="s">
        <v>721</v>
      </c>
      <c r="P3043" s="5">
        <v>11</v>
      </c>
      <c r="Q3043" s="5">
        <v>157</v>
      </c>
      <c r="R3043" s="5">
        <v>11</v>
      </c>
      <c r="S3043" s="5">
        <v>167</v>
      </c>
    </row>
    <row r="3044" spans="1:19" ht="28" x14ac:dyDescent="0.15">
      <c r="A3044" s="2">
        <f>HYPERLINK("https://open-school.uspishnemisto.com.ua/school/140516/", 140516)</f>
        <v>140516</v>
      </c>
      <c r="B3044" s="3" t="s">
        <v>16054</v>
      </c>
      <c r="C3044" s="3" t="s">
        <v>31</v>
      </c>
      <c r="D3044" s="3" t="s">
        <v>175</v>
      </c>
      <c r="E3044" s="4" t="s">
        <v>22</v>
      </c>
      <c r="F3044" s="4" t="s">
        <v>15978</v>
      </c>
      <c r="G3044" s="4" t="s">
        <v>16055</v>
      </c>
      <c r="H3044" s="3" t="s">
        <v>13575</v>
      </c>
      <c r="I3044" s="3" t="s">
        <v>16056</v>
      </c>
      <c r="J3044" s="3" t="s">
        <v>16057</v>
      </c>
      <c r="K3044" s="3" t="s">
        <v>16058</v>
      </c>
      <c r="L3044" s="3"/>
      <c r="M3044" s="4"/>
      <c r="N3044" s="3" t="s">
        <v>37</v>
      </c>
      <c r="O3044" s="3" t="s">
        <v>38</v>
      </c>
      <c r="P3044" s="5">
        <v>7</v>
      </c>
      <c r="Q3044" s="5">
        <v>44</v>
      </c>
      <c r="R3044" s="5">
        <v>7</v>
      </c>
      <c r="S3044" s="5">
        <v>42</v>
      </c>
    </row>
    <row r="3045" spans="1:19" ht="28" x14ac:dyDescent="0.15">
      <c r="A3045" s="2">
        <f>HYPERLINK("https://open-school.uspishnemisto.com.ua/school/140517/", 140517)</f>
        <v>140517</v>
      </c>
      <c r="B3045" s="3" t="s">
        <v>16059</v>
      </c>
      <c r="C3045" s="3" t="s">
        <v>31</v>
      </c>
      <c r="D3045" s="3" t="s">
        <v>32</v>
      </c>
      <c r="E3045" s="4" t="s">
        <v>22</v>
      </c>
      <c r="F3045" s="4" t="s">
        <v>16060</v>
      </c>
      <c r="G3045" s="4" t="s">
        <v>16061</v>
      </c>
      <c r="H3045" s="3" t="s">
        <v>13575</v>
      </c>
      <c r="I3045" s="3" t="s">
        <v>16062</v>
      </c>
      <c r="J3045" s="3" t="s">
        <v>16063</v>
      </c>
      <c r="K3045" s="3" t="s">
        <v>16064</v>
      </c>
      <c r="L3045" s="3"/>
      <c r="M3045" s="4"/>
      <c r="N3045" s="3" t="s">
        <v>128</v>
      </c>
      <c r="O3045" s="3" t="s">
        <v>70</v>
      </c>
      <c r="P3045" s="5">
        <v>21</v>
      </c>
      <c r="Q3045" s="5">
        <v>502</v>
      </c>
      <c r="R3045" s="5">
        <v>20</v>
      </c>
      <c r="S3045" s="5">
        <v>488</v>
      </c>
    </row>
    <row r="3046" spans="1:19" ht="28" x14ac:dyDescent="0.15">
      <c r="A3046" s="2">
        <f>HYPERLINK("https://open-school.uspishnemisto.com.ua/school/140518/", 140518)</f>
        <v>140518</v>
      </c>
      <c r="B3046" s="3" t="s">
        <v>16065</v>
      </c>
      <c r="C3046" s="3" t="s">
        <v>31</v>
      </c>
      <c r="D3046" s="3" t="s">
        <v>32</v>
      </c>
      <c r="E3046" s="4" t="s">
        <v>22</v>
      </c>
      <c r="F3046" s="4" t="s">
        <v>16060</v>
      </c>
      <c r="G3046" s="4" t="s">
        <v>16061</v>
      </c>
      <c r="H3046" s="3" t="s">
        <v>13575</v>
      </c>
      <c r="I3046" s="3" t="s">
        <v>16062</v>
      </c>
      <c r="J3046" s="3" t="s">
        <v>16066</v>
      </c>
      <c r="K3046" s="3" t="s">
        <v>16067</v>
      </c>
      <c r="L3046" s="3" t="s">
        <v>16068</v>
      </c>
      <c r="M3046" s="4"/>
      <c r="N3046" s="3" t="s">
        <v>128</v>
      </c>
      <c r="O3046" s="3" t="s">
        <v>38</v>
      </c>
      <c r="P3046" s="5">
        <v>11</v>
      </c>
      <c r="Q3046" s="5">
        <v>226</v>
      </c>
      <c r="R3046" s="5">
        <v>11</v>
      </c>
      <c r="S3046" s="5">
        <v>217</v>
      </c>
    </row>
    <row r="3047" spans="1:19" ht="28" x14ac:dyDescent="0.15">
      <c r="A3047" s="2">
        <f>HYPERLINK("https://open-school.uspishnemisto.com.ua/school/140519/", 140519)</f>
        <v>140519</v>
      </c>
      <c r="B3047" s="3" t="s">
        <v>16069</v>
      </c>
      <c r="C3047" s="3" t="s">
        <v>31</v>
      </c>
      <c r="D3047" s="3" t="s">
        <v>32</v>
      </c>
      <c r="E3047" s="4" t="s">
        <v>22</v>
      </c>
      <c r="F3047" s="4" t="s">
        <v>16070</v>
      </c>
      <c r="G3047" s="4" t="s">
        <v>16071</v>
      </c>
      <c r="H3047" s="3" t="s">
        <v>13575</v>
      </c>
      <c r="I3047" s="3" t="s">
        <v>16072</v>
      </c>
      <c r="J3047" s="3" t="s">
        <v>1167</v>
      </c>
      <c r="K3047" s="3" t="s">
        <v>16073</v>
      </c>
      <c r="L3047" s="3" t="s">
        <v>16074</v>
      </c>
      <c r="M3047" s="4"/>
      <c r="N3047" s="3" t="s">
        <v>128</v>
      </c>
      <c r="O3047" s="3" t="s">
        <v>38</v>
      </c>
      <c r="P3047" s="5">
        <v>12</v>
      </c>
      <c r="Q3047" s="5">
        <v>234</v>
      </c>
      <c r="R3047" s="5">
        <v>13</v>
      </c>
      <c r="S3047" s="5">
        <v>245</v>
      </c>
    </row>
    <row r="3048" spans="1:19" ht="28" x14ac:dyDescent="0.15">
      <c r="A3048" s="2">
        <f>HYPERLINK("https://open-school.uspishnemisto.com.ua/school/140520/", 140520)</f>
        <v>140520</v>
      </c>
      <c r="B3048" s="3" t="s">
        <v>16075</v>
      </c>
      <c r="C3048" s="3" t="s">
        <v>31</v>
      </c>
      <c r="D3048" s="3" t="s">
        <v>32</v>
      </c>
      <c r="E3048" s="4" t="s">
        <v>22</v>
      </c>
      <c r="F3048" s="4" t="s">
        <v>16070</v>
      </c>
      <c r="G3048" s="4" t="s">
        <v>16071</v>
      </c>
      <c r="H3048" s="3" t="s">
        <v>13575</v>
      </c>
      <c r="I3048" s="3" t="s">
        <v>16072</v>
      </c>
      <c r="J3048" s="3" t="s">
        <v>16076</v>
      </c>
      <c r="K3048" s="3" t="s">
        <v>16077</v>
      </c>
      <c r="L3048" s="3" t="s">
        <v>16078</v>
      </c>
      <c r="M3048" s="4"/>
      <c r="N3048" s="3" t="s">
        <v>128</v>
      </c>
      <c r="O3048" s="3" t="s">
        <v>38</v>
      </c>
      <c r="P3048" s="5">
        <v>14</v>
      </c>
      <c r="Q3048" s="5">
        <v>246</v>
      </c>
      <c r="R3048" s="5">
        <v>13</v>
      </c>
      <c r="S3048" s="5">
        <v>240</v>
      </c>
    </row>
    <row r="3049" spans="1:19" ht="28" x14ac:dyDescent="0.15">
      <c r="A3049" s="2">
        <f>HYPERLINK("https://open-school.uspishnemisto.com.ua/school/140521/", 140521)</f>
        <v>140521</v>
      </c>
      <c r="B3049" s="3" t="s">
        <v>16079</v>
      </c>
      <c r="C3049" s="3" t="s">
        <v>31</v>
      </c>
      <c r="D3049" s="3" t="s">
        <v>32</v>
      </c>
      <c r="E3049" s="4" t="s">
        <v>22</v>
      </c>
      <c r="F3049" s="4" t="s">
        <v>16080</v>
      </c>
      <c r="G3049" s="4" t="s">
        <v>16081</v>
      </c>
      <c r="H3049" s="3" t="s">
        <v>13575</v>
      </c>
      <c r="I3049" s="3" t="s">
        <v>16082</v>
      </c>
      <c r="J3049" s="3" t="s">
        <v>466</v>
      </c>
      <c r="K3049" s="3" t="s">
        <v>16083</v>
      </c>
      <c r="L3049" s="3"/>
      <c r="M3049" s="4"/>
      <c r="N3049" s="3" t="s">
        <v>37</v>
      </c>
      <c r="O3049" s="3" t="s">
        <v>38</v>
      </c>
      <c r="P3049" s="5">
        <v>10</v>
      </c>
      <c r="Q3049" s="5">
        <v>130</v>
      </c>
      <c r="R3049" s="5">
        <v>10</v>
      </c>
      <c r="S3049" s="5">
        <v>126</v>
      </c>
    </row>
    <row r="3050" spans="1:19" ht="28" x14ac:dyDescent="0.15">
      <c r="A3050" s="2">
        <f>HYPERLINK("https://open-school.uspishnemisto.com.ua/school/140522/", 140522)</f>
        <v>140522</v>
      </c>
      <c r="B3050" s="3" t="s">
        <v>16084</v>
      </c>
      <c r="C3050" s="3" t="s">
        <v>31</v>
      </c>
      <c r="D3050" s="3" t="s">
        <v>32</v>
      </c>
      <c r="E3050" s="4" t="s">
        <v>22</v>
      </c>
      <c r="F3050" s="4" t="s">
        <v>16085</v>
      </c>
      <c r="G3050" s="4" t="s">
        <v>16086</v>
      </c>
      <c r="H3050" s="3" t="s">
        <v>13575</v>
      </c>
      <c r="I3050" s="3" t="s">
        <v>16087</v>
      </c>
      <c r="J3050" s="3" t="s">
        <v>3244</v>
      </c>
      <c r="K3050" s="3" t="s">
        <v>16088</v>
      </c>
      <c r="L3050" s="3"/>
      <c r="M3050" s="4"/>
      <c r="N3050" s="3" t="s">
        <v>37</v>
      </c>
      <c r="O3050" s="3" t="s">
        <v>38</v>
      </c>
      <c r="P3050" s="5">
        <v>9</v>
      </c>
      <c r="Q3050" s="5">
        <v>78</v>
      </c>
      <c r="R3050" s="5">
        <v>9</v>
      </c>
      <c r="S3050" s="5">
        <v>73</v>
      </c>
    </row>
    <row r="3051" spans="1:19" ht="28" x14ac:dyDescent="0.15">
      <c r="A3051" s="2">
        <f>HYPERLINK("https://open-school.uspishnemisto.com.ua/school/140523/", 140523)</f>
        <v>140523</v>
      </c>
      <c r="B3051" s="3" t="s">
        <v>16089</v>
      </c>
      <c r="C3051" s="3" t="s">
        <v>31</v>
      </c>
      <c r="D3051" s="3" t="s">
        <v>32</v>
      </c>
      <c r="E3051" s="4" t="s">
        <v>22</v>
      </c>
      <c r="F3051" s="4" t="s">
        <v>16090</v>
      </c>
      <c r="G3051" s="4" t="s">
        <v>16091</v>
      </c>
      <c r="H3051" s="3" t="s">
        <v>13575</v>
      </c>
      <c r="I3051" s="3" t="s">
        <v>16092</v>
      </c>
      <c r="J3051" s="3" t="s">
        <v>16093</v>
      </c>
      <c r="K3051" s="3" t="s">
        <v>16094</v>
      </c>
      <c r="L3051" s="3" t="s">
        <v>16095</v>
      </c>
      <c r="M3051" s="4"/>
      <c r="N3051" s="3" t="s">
        <v>37</v>
      </c>
      <c r="O3051" s="3" t="s">
        <v>38</v>
      </c>
      <c r="P3051" s="5">
        <v>10</v>
      </c>
      <c r="Q3051" s="5">
        <v>66</v>
      </c>
      <c r="R3051" s="5">
        <v>10</v>
      </c>
      <c r="S3051" s="5">
        <v>67</v>
      </c>
    </row>
    <row r="3052" spans="1:19" ht="28" x14ac:dyDescent="0.15">
      <c r="A3052" s="2">
        <f>HYPERLINK("https://open-school.uspishnemisto.com.ua/school/140524/", 140524)</f>
        <v>140524</v>
      </c>
      <c r="B3052" s="3" t="s">
        <v>16096</v>
      </c>
      <c r="C3052" s="3" t="s">
        <v>31</v>
      </c>
      <c r="D3052" s="3" t="s">
        <v>32</v>
      </c>
      <c r="E3052" s="4" t="s">
        <v>22</v>
      </c>
      <c r="F3052" s="4" t="s">
        <v>16097</v>
      </c>
      <c r="G3052" s="4" t="s">
        <v>16098</v>
      </c>
      <c r="H3052" s="3" t="s">
        <v>13575</v>
      </c>
      <c r="I3052" s="3" t="s">
        <v>16099</v>
      </c>
      <c r="J3052" s="3" t="s">
        <v>16100</v>
      </c>
      <c r="K3052" s="3" t="s">
        <v>16101</v>
      </c>
      <c r="L3052" s="3"/>
      <c r="M3052" s="4"/>
      <c r="N3052" s="3" t="s">
        <v>37</v>
      </c>
      <c r="O3052" s="3" t="s">
        <v>38</v>
      </c>
      <c r="P3052" s="5">
        <v>11</v>
      </c>
      <c r="Q3052" s="5">
        <v>80</v>
      </c>
      <c r="R3052" s="5">
        <v>10</v>
      </c>
      <c r="S3052" s="5">
        <v>80</v>
      </c>
    </row>
    <row r="3053" spans="1:19" ht="28" x14ac:dyDescent="0.15">
      <c r="A3053" s="2">
        <f>HYPERLINK("https://open-school.uspishnemisto.com.ua/school/140525/", 140525)</f>
        <v>140525</v>
      </c>
      <c r="B3053" s="3" t="s">
        <v>16102</v>
      </c>
      <c r="C3053" s="3" t="s">
        <v>31</v>
      </c>
      <c r="D3053" s="3" t="s">
        <v>32</v>
      </c>
      <c r="E3053" s="4" t="s">
        <v>22</v>
      </c>
      <c r="F3053" s="4" t="s">
        <v>16103</v>
      </c>
      <c r="G3053" s="4" t="s">
        <v>16104</v>
      </c>
      <c r="H3053" s="3" t="s">
        <v>13575</v>
      </c>
      <c r="I3053" s="3" t="s">
        <v>16105</v>
      </c>
      <c r="J3053" s="3" t="s">
        <v>16106</v>
      </c>
      <c r="K3053" s="3" t="s">
        <v>16107</v>
      </c>
      <c r="L3053" s="3" t="s">
        <v>16108</v>
      </c>
      <c r="M3053" s="4"/>
      <c r="N3053" s="3" t="s">
        <v>128</v>
      </c>
      <c r="O3053" s="3" t="s">
        <v>38</v>
      </c>
      <c r="P3053" s="5">
        <v>11</v>
      </c>
      <c r="Q3053" s="5">
        <v>118</v>
      </c>
      <c r="R3053" s="5">
        <v>11</v>
      </c>
      <c r="S3053" s="5">
        <v>112</v>
      </c>
    </row>
    <row r="3054" spans="1:19" ht="28" x14ac:dyDescent="0.15">
      <c r="A3054" s="2">
        <f>HYPERLINK("https://open-school.uspishnemisto.com.ua/school/140526/", 140526)</f>
        <v>140526</v>
      </c>
      <c r="B3054" s="3" t="s">
        <v>16109</v>
      </c>
      <c r="C3054" s="3" t="s">
        <v>31</v>
      </c>
      <c r="D3054" s="3" t="s">
        <v>32</v>
      </c>
      <c r="E3054" s="4" t="s">
        <v>22</v>
      </c>
      <c r="F3054" s="4" t="s">
        <v>16110</v>
      </c>
      <c r="G3054" s="4" t="s">
        <v>16111</v>
      </c>
      <c r="H3054" s="3" t="s">
        <v>13575</v>
      </c>
      <c r="I3054" s="3" t="s">
        <v>16112</v>
      </c>
      <c r="J3054" s="3" t="s">
        <v>3428</v>
      </c>
      <c r="K3054" s="3" t="s">
        <v>16113</v>
      </c>
      <c r="L3054" s="3"/>
      <c r="M3054" s="4"/>
      <c r="N3054" s="3" t="s">
        <v>37</v>
      </c>
      <c r="O3054" s="3" t="s">
        <v>38</v>
      </c>
      <c r="P3054" s="5">
        <v>9</v>
      </c>
      <c r="Q3054" s="5">
        <v>85</v>
      </c>
      <c r="R3054" s="5">
        <v>9</v>
      </c>
      <c r="S3054" s="5">
        <v>80</v>
      </c>
    </row>
    <row r="3055" spans="1:19" ht="28" x14ac:dyDescent="0.15">
      <c r="A3055" s="2">
        <f>HYPERLINK("https://open-school.uspishnemisto.com.ua/school/140527/", 140527)</f>
        <v>140527</v>
      </c>
      <c r="B3055" s="3" t="s">
        <v>16114</v>
      </c>
      <c r="C3055" s="3" t="s">
        <v>31</v>
      </c>
      <c r="D3055" s="3" t="s">
        <v>32</v>
      </c>
      <c r="E3055" s="4" t="s">
        <v>22</v>
      </c>
      <c r="F3055" s="4" t="s">
        <v>16115</v>
      </c>
      <c r="G3055" s="4" t="s">
        <v>16116</v>
      </c>
      <c r="H3055" s="3" t="s">
        <v>13575</v>
      </c>
      <c r="I3055" s="3" t="s">
        <v>16117</v>
      </c>
      <c r="J3055" s="3" t="s">
        <v>566</v>
      </c>
      <c r="K3055" s="3" t="s">
        <v>16118</v>
      </c>
      <c r="L3055" s="3" t="s">
        <v>16119</v>
      </c>
      <c r="M3055" s="4"/>
      <c r="N3055" s="3" t="s">
        <v>967</v>
      </c>
      <c r="O3055" s="3" t="s">
        <v>16120</v>
      </c>
      <c r="P3055" s="5">
        <v>11</v>
      </c>
      <c r="Q3055" s="5">
        <v>225</v>
      </c>
      <c r="R3055" s="5">
        <v>11</v>
      </c>
      <c r="S3055" s="5">
        <v>227</v>
      </c>
    </row>
    <row r="3056" spans="1:19" ht="28" x14ac:dyDescent="0.15">
      <c r="A3056" s="2">
        <f>HYPERLINK("https://open-school.uspishnemisto.com.ua/school/140528/", 140528)</f>
        <v>140528</v>
      </c>
      <c r="B3056" s="3" t="s">
        <v>16121</v>
      </c>
      <c r="C3056" s="3" t="s">
        <v>31</v>
      </c>
      <c r="D3056" s="3" t="s">
        <v>32</v>
      </c>
      <c r="E3056" s="4" t="s">
        <v>22</v>
      </c>
      <c r="F3056" s="4" t="s">
        <v>16122</v>
      </c>
      <c r="G3056" s="4" t="s">
        <v>16123</v>
      </c>
      <c r="H3056" s="3" t="s">
        <v>13575</v>
      </c>
      <c r="I3056" s="3" t="s">
        <v>16124</v>
      </c>
      <c r="J3056" s="3" t="s">
        <v>16125</v>
      </c>
      <c r="K3056" s="3"/>
      <c r="L3056" s="3"/>
      <c r="M3056" s="4"/>
      <c r="N3056" s="3" t="s">
        <v>37</v>
      </c>
      <c r="O3056" s="3" t="s">
        <v>38</v>
      </c>
      <c r="P3056" s="5">
        <v>10</v>
      </c>
      <c r="Q3056" s="5">
        <v>73</v>
      </c>
      <c r="R3056" s="5">
        <v>11</v>
      </c>
      <c r="S3056" s="5">
        <v>80</v>
      </c>
    </row>
    <row r="3057" spans="1:19" ht="28" x14ac:dyDescent="0.15">
      <c r="A3057" s="2">
        <f>HYPERLINK("https://open-school.uspishnemisto.com.ua/school/140529/", 140529)</f>
        <v>140529</v>
      </c>
      <c r="B3057" s="3" t="s">
        <v>16126</v>
      </c>
      <c r="C3057" s="3" t="s">
        <v>40</v>
      </c>
      <c r="D3057" s="3" t="s">
        <v>32</v>
      </c>
      <c r="E3057" s="4" t="s">
        <v>22</v>
      </c>
      <c r="F3057" s="4" t="s">
        <v>16127</v>
      </c>
      <c r="G3057" s="4" t="s">
        <v>16128</v>
      </c>
      <c r="H3057" s="3" t="s">
        <v>13575</v>
      </c>
      <c r="I3057" s="3" t="s">
        <v>1740</v>
      </c>
      <c r="J3057" s="3" t="s">
        <v>16129</v>
      </c>
      <c r="K3057" s="3" t="s">
        <v>16130</v>
      </c>
      <c r="L3057" s="3"/>
      <c r="M3057" s="4"/>
      <c r="N3057" s="3" t="s">
        <v>37</v>
      </c>
      <c r="O3057" s="3" t="s">
        <v>46</v>
      </c>
      <c r="P3057" s="5">
        <v>7</v>
      </c>
      <c r="Q3057" s="5">
        <v>102</v>
      </c>
      <c r="R3057" s="5">
        <v>7</v>
      </c>
      <c r="S3057" s="5">
        <v>105</v>
      </c>
    </row>
    <row r="3058" spans="1:19" ht="28" x14ac:dyDescent="0.15">
      <c r="A3058" s="2">
        <f>HYPERLINK("https://open-school.uspishnemisto.com.ua/school/140530/", 140530)</f>
        <v>140530</v>
      </c>
      <c r="B3058" s="3" t="s">
        <v>16131</v>
      </c>
      <c r="C3058" s="3" t="s">
        <v>31</v>
      </c>
      <c r="D3058" s="3" t="s">
        <v>32</v>
      </c>
      <c r="E3058" s="4" t="s">
        <v>22</v>
      </c>
      <c r="F3058" s="4" t="s">
        <v>16132</v>
      </c>
      <c r="G3058" s="4" t="s">
        <v>16128</v>
      </c>
      <c r="H3058" s="3" t="s">
        <v>13575</v>
      </c>
      <c r="I3058" s="3" t="s">
        <v>1740</v>
      </c>
      <c r="J3058" s="3" t="s">
        <v>532</v>
      </c>
      <c r="K3058" s="3" t="s">
        <v>16133</v>
      </c>
      <c r="L3058" s="3"/>
      <c r="M3058" s="4"/>
      <c r="N3058" s="3" t="s">
        <v>128</v>
      </c>
      <c r="O3058" s="3" t="s">
        <v>38</v>
      </c>
      <c r="P3058" s="5">
        <v>16</v>
      </c>
      <c r="Q3058" s="5">
        <v>309</v>
      </c>
      <c r="R3058" s="5">
        <v>15</v>
      </c>
      <c r="S3058" s="5">
        <v>300</v>
      </c>
    </row>
    <row r="3059" spans="1:19" ht="28" x14ac:dyDescent="0.15">
      <c r="A3059" s="2">
        <f>HYPERLINK("https://open-school.uspishnemisto.com.ua/school/140531/", 140531)</f>
        <v>140531</v>
      </c>
      <c r="B3059" s="3" t="s">
        <v>16134</v>
      </c>
      <c r="C3059" s="3" t="s">
        <v>31</v>
      </c>
      <c r="D3059" s="3" t="s">
        <v>32</v>
      </c>
      <c r="E3059" s="4" t="s">
        <v>22</v>
      </c>
      <c r="F3059" s="4" t="s">
        <v>16127</v>
      </c>
      <c r="G3059" s="4" t="s">
        <v>16128</v>
      </c>
      <c r="H3059" s="3" t="s">
        <v>13575</v>
      </c>
      <c r="I3059" s="3" t="s">
        <v>1740</v>
      </c>
      <c r="J3059" s="3" t="s">
        <v>1636</v>
      </c>
      <c r="K3059" s="3" t="s">
        <v>16135</v>
      </c>
      <c r="L3059" s="3"/>
      <c r="M3059" s="4"/>
      <c r="N3059" s="3" t="s">
        <v>37</v>
      </c>
      <c r="O3059" s="3" t="s">
        <v>70</v>
      </c>
      <c r="P3059" s="5">
        <v>22</v>
      </c>
      <c r="Q3059" s="5">
        <v>438</v>
      </c>
      <c r="R3059" s="5">
        <v>21</v>
      </c>
      <c r="S3059" s="5">
        <v>425</v>
      </c>
    </row>
    <row r="3060" spans="1:19" ht="28" x14ac:dyDescent="0.15">
      <c r="A3060" s="2">
        <f>HYPERLINK("https://open-school.uspishnemisto.com.ua/school/140532/", 140532)</f>
        <v>140532</v>
      </c>
      <c r="B3060" s="3" t="s">
        <v>16136</v>
      </c>
      <c r="C3060" s="3" t="s">
        <v>31</v>
      </c>
      <c r="D3060" s="3" t="s">
        <v>32</v>
      </c>
      <c r="E3060" s="4" t="s">
        <v>22</v>
      </c>
      <c r="F3060" s="4" t="s">
        <v>16132</v>
      </c>
      <c r="G3060" s="4" t="s">
        <v>16128</v>
      </c>
      <c r="H3060" s="3" t="s">
        <v>13575</v>
      </c>
      <c r="I3060" s="3" t="s">
        <v>1740</v>
      </c>
      <c r="J3060" s="3" t="s">
        <v>16137</v>
      </c>
      <c r="K3060" s="3" t="s">
        <v>16138</v>
      </c>
      <c r="L3060" s="3"/>
      <c r="M3060" s="4"/>
      <c r="N3060" s="3" t="s">
        <v>128</v>
      </c>
      <c r="O3060" s="3" t="s">
        <v>38</v>
      </c>
      <c r="P3060" s="5">
        <v>13</v>
      </c>
      <c r="Q3060" s="5">
        <v>215</v>
      </c>
      <c r="R3060" s="5">
        <v>12</v>
      </c>
      <c r="S3060" s="5">
        <v>236</v>
      </c>
    </row>
    <row r="3061" spans="1:19" ht="28" x14ac:dyDescent="0.15">
      <c r="A3061" s="2">
        <f>HYPERLINK("https://open-school.uspishnemisto.com.ua/school/140533/", 140533)</f>
        <v>140533</v>
      </c>
      <c r="B3061" s="3" t="s">
        <v>16139</v>
      </c>
      <c r="C3061" s="3" t="s">
        <v>181</v>
      </c>
      <c r="D3061" s="3"/>
      <c r="E3061" s="4" t="s">
        <v>22</v>
      </c>
      <c r="F3061" s="4" t="s">
        <v>16127</v>
      </c>
      <c r="G3061" s="4" t="s">
        <v>16128</v>
      </c>
      <c r="H3061" s="3" t="s">
        <v>13575</v>
      </c>
      <c r="I3061" s="3" t="s">
        <v>1740</v>
      </c>
      <c r="J3061" s="3" t="s">
        <v>16140</v>
      </c>
      <c r="K3061" s="3" t="s">
        <v>16141</v>
      </c>
      <c r="L3061" s="3" t="s">
        <v>16142</v>
      </c>
      <c r="M3061" s="4" t="s">
        <v>16143</v>
      </c>
      <c r="N3061" s="3" t="s">
        <v>37</v>
      </c>
      <c r="O3061" s="3"/>
      <c r="P3061" s="5">
        <v>12</v>
      </c>
      <c r="Q3061" s="5">
        <v>93</v>
      </c>
      <c r="R3061" s="5">
        <v>12</v>
      </c>
      <c r="S3061" s="5">
        <v>105</v>
      </c>
    </row>
    <row r="3062" spans="1:19" ht="28" x14ac:dyDescent="0.15">
      <c r="A3062" s="2">
        <f>HYPERLINK("https://open-school.uspishnemisto.com.ua/school/140534/", 140534)</f>
        <v>140534</v>
      </c>
      <c r="B3062" s="3" t="s">
        <v>16144</v>
      </c>
      <c r="C3062" s="3" t="s">
        <v>31</v>
      </c>
      <c r="D3062" s="3" t="s">
        <v>175</v>
      </c>
      <c r="E3062" s="4" t="s">
        <v>22</v>
      </c>
      <c r="F3062" s="4" t="s">
        <v>16145</v>
      </c>
      <c r="G3062" s="4" t="s">
        <v>16146</v>
      </c>
      <c r="H3062" s="3" t="s">
        <v>13575</v>
      </c>
      <c r="I3062" s="3" t="s">
        <v>16147</v>
      </c>
      <c r="J3062" s="3" t="s">
        <v>718</v>
      </c>
      <c r="K3062" s="3" t="s">
        <v>16148</v>
      </c>
      <c r="L3062" s="3"/>
      <c r="M3062" s="4"/>
      <c r="N3062" s="3" t="s">
        <v>37</v>
      </c>
      <c r="O3062" s="3" t="s">
        <v>52</v>
      </c>
      <c r="P3062" s="5">
        <v>0</v>
      </c>
      <c r="Q3062" s="5">
        <v>0</v>
      </c>
      <c r="R3062" s="5">
        <v>15</v>
      </c>
      <c r="S3062" s="5">
        <v>270</v>
      </c>
    </row>
    <row r="3063" spans="1:19" ht="28" x14ac:dyDescent="0.15">
      <c r="A3063" s="2">
        <f>HYPERLINK("https://open-school.uspishnemisto.com.ua/school/140535/", 140535)</f>
        <v>140535</v>
      </c>
      <c r="B3063" s="3" t="s">
        <v>16149</v>
      </c>
      <c r="C3063" s="3" t="s">
        <v>31</v>
      </c>
      <c r="D3063" s="3" t="s">
        <v>32</v>
      </c>
      <c r="E3063" s="4" t="s">
        <v>22</v>
      </c>
      <c r="F3063" s="4" t="s">
        <v>16150</v>
      </c>
      <c r="G3063" s="4" t="s">
        <v>16146</v>
      </c>
      <c r="H3063" s="3" t="s">
        <v>13575</v>
      </c>
      <c r="I3063" s="3" t="s">
        <v>16147</v>
      </c>
      <c r="J3063" s="3" t="s">
        <v>16151</v>
      </c>
      <c r="K3063" s="3" t="s">
        <v>16152</v>
      </c>
      <c r="L3063" s="3"/>
      <c r="M3063" s="4"/>
      <c r="N3063" s="3" t="s">
        <v>37</v>
      </c>
      <c r="O3063" s="3" t="s">
        <v>70</v>
      </c>
      <c r="P3063" s="5">
        <v>28</v>
      </c>
      <c r="Q3063" s="5">
        <v>545</v>
      </c>
      <c r="R3063" s="5">
        <v>12</v>
      </c>
      <c r="S3063" s="5">
        <v>260</v>
      </c>
    </row>
    <row r="3064" spans="1:19" ht="28" x14ac:dyDescent="0.15">
      <c r="A3064" s="2">
        <f>HYPERLINK("https://open-school.uspishnemisto.com.ua/school/140536/", 140536)</f>
        <v>140536</v>
      </c>
      <c r="B3064" s="3" t="s">
        <v>16153</v>
      </c>
      <c r="C3064" s="3" t="s">
        <v>31</v>
      </c>
      <c r="D3064" s="3" t="s">
        <v>32</v>
      </c>
      <c r="E3064" s="4" t="s">
        <v>22</v>
      </c>
      <c r="F3064" s="4" t="s">
        <v>16154</v>
      </c>
      <c r="G3064" s="4" t="s">
        <v>16155</v>
      </c>
      <c r="H3064" s="3" t="s">
        <v>13575</v>
      </c>
      <c r="I3064" s="3" t="s">
        <v>16156</v>
      </c>
      <c r="J3064" s="3" t="s">
        <v>16157</v>
      </c>
      <c r="K3064" s="3" t="s">
        <v>16158</v>
      </c>
      <c r="L3064" s="3"/>
      <c r="M3064" s="4"/>
      <c r="N3064" s="3" t="s">
        <v>128</v>
      </c>
      <c r="O3064" s="3" t="s">
        <v>38</v>
      </c>
      <c r="P3064" s="5">
        <v>19</v>
      </c>
      <c r="Q3064" s="5">
        <v>319</v>
      </c>
      <c r="R3064" s="5">
        <v>19</v>
      </c>
      <c r="S3064" s="5">
        <v>318</v>
      </c>
    </row>
    <row r="3065" spans="1:19" ht="42" x14ac:dyDescent="0.15">
      <c r="A3065" s="2">
        <f>HYPERLINK("https://open-school.uspishnemisto.com.ua/school/140537/", 140537)</f>
        <v>140537</v>
      </c>
      <c r="B3065" s="3" t="s">
        <v>16159</v>
      </c>
      <c r="C3065" s="3" t="s">
        <v>31</v>
      </c>
      <c r="D3065" s="3" t="s">
        <v>32</v>
      </c>
      <c r="E3065" s="4" t="s">
        <v>22</v>
      </c>
      <c r="F3065" s="4" t="s">
        <v>16160</v>
      </c>
      <c r="G3065" s="4" t="s">
        <v>16161</v>
      </c>
      <c r="H3065" s="3" t="s">
        <v>13575</v>
      </c>
      <c r="I3065" s="3" t="s">
        <v>12099</v>
      </c>
      <c r="J3065" s="3" t="s">
        <v>466</v>
      </c>
      <c r="K3065" s="3" t="s">
        <v>16162</v>
      </c>
      <c r="L3065" s="3"/>
      <c r="M3065" s="4"/>
      <c r="N3065" s="3" t="s">
        <v>37</v>
      </c>
      <c r="O3065" s="3" t="s">
        <v>70</v>
      </c>
      <c r="P3065" s="5">
        <v>11</v>
      </c>
      <c r="Q3065" s="5">
        <v>214</v>
      </c>
      <c r="R3065" s="5">
        <v>11</v>
      </c>
      <c r="S3065" s="5">
        <v>188</v>
      </c>
    </row>
    <row r="3066" spans="1:19" ht="28" x14ac:dyDescent="0.15">
      <c r="A3066" s="2">
        <f>HYPERLINK("https://open-school.uspishnemisto.com.ua/school/140538/", 140538)</f>
        <v>140538</v>
      </c>
      <c r="B3066" s="3" t="s">
        <v>16163</v>
      </c>
      <c r="C3066" s="3" t="s">
        <v>31</v>
      </c>
      <c r="D3066" s="3" t="s">
        <v>175</v>
      </c>
      <c r="E3066" s="4" t="s">
        <v>22</v>
      </c>
      <c r="F3066" s="4" t="s">
        <v>16160</v>
      </c>
      <c r="G3066" s="4" t="s">
        <v>16161</v>
      </c>
      <c r="H3066" s="3" t="s">
        <v>13575</v>
      </c>
      <c r="I3066" s="3" t="s">
        <v>12099</v>
      </c>
      <c r="J3066" s="3" t="s">
        <v>16164</v>
      </c>
      <c r="K3066" s="3" t="s">
        <v>16165</v>
      </c>
      <c r="L3066" s="3"/>
      <c r="M3066" s="4"/>
      <c r="N3066" s="3" t="s">
        <v>37</v>
      </c>
      <c r="O3066" s="3" t="s">
        <v>46</v>
      </c>
      <c r="P3066" s="5">
        <v>9</v>
      </c>
      <c r="Q3066" s="5">
        <v>110</v>
      </c>
      <c r="R3066" s="5">
        <v>11</v>
      </c>
      <c r="S3066" s="5">
        <v>115</v>
      </c>
    </row>
    <row r="3067" spans="1:19" ht="42" x14ac:dyDescent="0.15">
      <c r="A3067" s="2">
        <f>HYPERLINK("https://open-school.uspishnemisto.com.ua/school/140539/", 140539)</f>
        <v>140539</v>
      </c>
      <c r="B3067" s="3" t="s">
        <v>16166</v>
      </c>
      <c r="C3067" s="3" t="s">
        <v>31</v>
      </c>
      <c r="D3067" s="3" t="s">
        <v>175</v>
      </c>
      <c r="E3067" s="4" t="s">
        <v>22</v>
      </c>
      <c r="F3067" s="4" t="s">
        <v>16167</v>
      </c>
      <c r="G3067" s="4" t="s">
        <v>16168</v>
      </c>
      <c r="H3067" s="3" t="s">
        <v>13575</v>
      </c>
      <c r="I3067" s="3" t="s">
        <v>11119</v>
      </c>
      <c r="J3067" s="3" t="s">
        <v>466</v>
      </c>
      <c r="K3067" s="3" t="s">
        <v>16169</v>
      </c>
      <c r="L3067" s="3"/>
      <c r="M3067" s="4"/>
      <c r="N3067" s="3" t="s">
        <v>37</v>
      </c>
      <c r="O3067" s="3" t="s">
        <v>70</v>
      </c>
      <c r="P3067" s="5">
        <v>8</v>
      </c>
      <c r="Q3067" s="5">
        <v>51</v>
      </c>
      <c r="R3067" s="5">
        <v>9</v>
      </c>
      <c r="S3067" s="5">
        <v>67</v>
      </c>
    </row>
    <row r="3068" spans="1:19" ht="28" x14ac:dyDescent="0.15">
      <c r="A3068" s="2">
        <f>HYPERLINK("https://open-school.uspishnemisto.com.ua/school/140540/", 140540)</f>
        <v>140540</v>
      </c>
      <c r="B3068" s="3" t="s">
        <v>16170</v>
      </c>
      <c r="C3068" s="3" t="s">
        <v>31</v>
      </c>
      <c r="D3068" s="3" t="s">
        <v>32</v>
      </c>
      <c r="E3068" s="4" t="s">
        <v>22</v>
      </c>
      <c r="F3068" s="4" t="s">
        <v>16171</v>
      </c>
      <c r="G3068" s="4" t="s">
        <v>16172</v>
      </c>
      <c r="H3068" s="3" t="s">
        <v>13575</v>
      </c>
      <c r="I3068" s="3" t="s">
        <v>1291</v>
      </c>
      <c r="J3068" s="3" t="s">
        <v>1668</v>
      </c>
      <c r="K3068" s="3" t="s">
        <v>16173</v>
      </c>
      <c r="L3068" s="3"/>
      <c r="M3068" s="4"/>
      <c r="N3068" s="3" t="s">
        <v>37</v>
      </c>
      <c r="O3068" s="3" t="s">
        <v>70</v>
      </c>
      <c r="P3068" s="5">
        <v>11</v>
      </c>
      <c r="Q3068" s="5">
        <v>124</v>
      </c>
      <c r="R3068" s="5">
        <v>11</v>
      </c>
      <c r="S3068" s="5">
        <v>123</v>
      </c>
    </row>
    <row r="3069" spans="1:19" ht="56" x14ac:dyDescent="0.15">
      <c r="A3069" s="2">
        <f>HYPERLINK("https://open-school.uspishnemisto.com.ua/school/140541/", 140541)</f>
        <v>140541</v>
      </c>
      <c r="B3069" s="3" t="s">
        <v>16174</v>
      </c>
      <c r="C3069" s="3" t="s">
        <v>54</v>
      </c>
      <c r="D3069" s="3" t="s">
        <v>175</v>
      </c>
      <c r="E3069" s="4" t="s">
        <v>22</v>
      </c>
      <c r="F3069" s="4" t="s">
        <v>16175</v>
      </c>
      <c r="G3069" s="4" t="s">
        <v>16176</v>
      </c>
      <c r="H3069" s="3" t="s">
        <v>13575</v>
      </c>
      <c r="I3069" s="3" t="s">
        <v>2900</v>
      </c>
      <c r="J3069" s="3" t="s">
        <v>16177</v>
      </c>
      <c r="K3069" s="3" t="s">
        <v>16178</v>
      </c>
      <c r="L3069" s="3"/>
      <c r="M3069" s="4"/>
      <c r="N3069" s="3" t="s">
        <v>37</v>
      </c>
      <c r="O3069" s="3" t="s">
        <v>70</v>
      </c>
      <c r="P3069" s="5">
        <v>9</v>
      </c>
      <c r="Q3069" s="5">
        <v>54</v>
      </c>
      <c r="R3069" s="5">
        <v>9</v>
      </c>
      <c r="S3069" s="5">
        <v>56</v>
      </c>
    </row>
    <row r="3070" spans="1:19" ht="28" x14ac:dyDescent="0.15">
      <c r="A3070" s="2">
        <f>HYPERLINK("https://open-school.uspishnemisto.com.ua/school/140542/", 140542)</f>
        <v>140542</v>
      </c>
      <c r="B3070" s="3" t="s">
        <v>16179</v>
      </c>
      <c r="C3070" s="3" t="s">
        <v>31</v>
      </c>
      <c r="D3070" s="3" t="s">
        <v>32</v>
      </c>
      <c r="E3070" s="4" t="s">
        <v>22</v>
      </c>
      <c r="F3070" s="4" t="s">
        <v>16180</v>
      </c>
      <c r="G3070" s="4" t="s">
        <v>16181</v>
      </c>
      <c r="H3070" s="3" t="s">
        <v>13575</v>
      </c>
      <c r="I3070" s="3" t="s">
        <v>4594</v>
      </c>
      <c r="J3070" s="3" t="s">
        <v>16182</v>
      </c>
      <c r="K3070" s="3" t="s">
        <v>16183</v>
      </c>
      <c r="L3070" s="3"/>
      <c r="M3070" s="4"/>
      <c r="N3070" s="3" t="s">
        <v>37</v>
      </c>
      <c r="O3070" s="3" t="s">
        <v>38</v>
      </c>
      <c r="P3070" s="5">
        <v>11</v>
      </c>
      <c r="Q3070" s="5">
        <v>82</v>
      </c>
      <c r="R3070" s="5">
        <v>11</v>
      </c>
      <c r="S3070" s="5">
        <v>81</v>
      </c>
    </row>
    <row r="3071" spans="1:19" ht="28" x14ac:dyDescent="0.15">
      <c r="A3071" s="2">
        <f>HYPERLINK("https://open-school.uspishnemisto.com.ua/school/140543/", 140543)</f>
        <v>140543</v>
      </c>
      <c r="B3071" s="3" t="s">
        <v>16184</v>
      </c>
      <c r="C3071" s="3" t="s">
        <v>31</v>
      </c>
      <c r="D3071" s="3" t="s">
        <v>32</v>
      </c>
      <c r="E3071" s="4" t="s">
        <v>22</v>
      </c>
      <c r="F3071" s="4" t="s">
        <v>16185</v>
      </c>
      <c r="G3071" s="4" t="s">
        <v>16186</v>
      </c>
      <c r="H3071" s="3" t="s">
        <v>13575</v>
      </c>
      <c r="I3071" s="3" t="s">
        <v>11923</v>
      </c>
      <c r="J3071" s="3" t="s">
        <v>16187</v>
      </c>
      <c r="K3071" s="3" t="s">
        <v>16188</v>
      </c>
      <c r="L3071" s="3" t="s">
        <v>16189</v>
      </c>
      <c r="M3071" s="4"/>
      <c r="N3071" s="3" t="s">
        <v>37</v>
      </c>
      <c r="O3071" s="3" t="s">
        <v>38</v>
      </c>
      <c r="P3071" s="5">
        <v>10</v>
      </c>
      <c r="Q3071" s="5">
        <v>90</v>
      </c>
      <c r="R3071" s="5">
        <v>10</v>
      </c>
      <c r="S3071" s="5">
        <v>86</v>
      </c>
    </row>
    <row r="3072" spans="1:19" ht="28" x14ac:dyDescent="0.15">
      <c r="A3072" s="2">
        <f>HYPERLINK("https://open-school.uspishnemisto.com.ua/school/140544/", 140544)</f>
        <v>140544</v>
      </c>
      <c r="B3072" s="3" t="s">
        <v>16190</v>
      </c>
      <c r="C3072" s="3" t="s">
        <v>31</v>
      </c>
      <c r="D3072" s="3" t="s">
        <v>32</v>
      </c>
      <c r="E3072" s="4" t="s">
        <v>22</v>
      </c>
      <c r="F3072" s="4" t="s">
        <v>16191</v>
      </c>
      <c r="G3072" s="4" t="s">
        <v>16192</v>
      </c>
      <c r="H3072" s="3" t="s">
        <v>13575</v>
      </c>
      <c r="I3072" s="3" t="s">
        <v>16193</v>
      </c>
      <c r="J3072" s="3" t="s">
        <v>466</v>
      </c>
      <c r="K3072" s="3" t="s">
        <v>16194</v>
      </c>
      <c r="L3072" s="3"/>
      <c r="M3072" s="4"/>
      <c r="N3072" s="3" t="s">
        <v>967</v>
      </c>
      <c r="O3072" s="3" t="s">
        <v>52</v>
      </c>
      <c r="P3072" s="5">
        <v>10</v>
      </c>
      <c r="Q3072" s="5">
        <v>89</v>
      </c>
      <c r="R3072" s="5">
        <v>10</v>
      </c>
      <c r="S3072" s="5">
        <v>84</v>
      </c>
    </row>
    <row r="3073" spans="1:19" ht="28" x14ac:dyDescent="0.15">
      <c r="A3073" s="2">
        <f>HYPERLINK("https://open-school.uspishnemisto.com.ua/school/140545/", 140545)</f>
        <v>140545</v>
      </c>
      <c r="B3073" s="3" t="s">
        <v>16195</v>
      </c>
      <c r="C3073" s="3" t="s">
        <v>31</v>
      </c>
      <c r="D3073" s="3" t="s">
        <v>175</v>
      </c>
      <c r="E3073" s="4" t="s">
        <v>22</v>
      </c>
      <c r="F3073" s="4"/>
      <c r="G3073" s="4" t="s">
        <v>16196</v>
      </c>
      <c r="H3073" s="3" t="s">
        <v>13575</v>
      </c>
      <c r="I3073" s="3" t="s">
        <v>16197</v>
      </c>
      <c r="J3073" s="3" t="s">
        <v>466</v>
      </c>
      <c r="K3073" s="3"/>
      <c r="L3073" s="3"/>
      <c r="M3073" s="4"/>
      <c r="N3073" s="3" t="s">
        <v>37</v>
      </c>
      <c r="O3073" s="3" t="s">
        <v>38</v>
      </c>
      <c r="P3073" s="5">
        <v>9</v>
      </c>
      <c r="Q3073" s="5">
        <v>86</v>
      </c>
      <c r="R3073" s="5">
        <v>9</v>
      </c>
      <c r="S3073" s="5">
        <v>88</v>
      </c>
    </row>
    <row r="3074" spans="1:19" ht="28" x14ac:dyDescent="0.15">
      <c r="A3074" s="2">
        <f>HYPERLINK("https://open-school.uspishnemisto.com.ua/school/140546/", 140546)</f>
        <v>140546</v>
      </c>
      <c r="B3074" s="3" t="s">
        <v>16198</v>
      </c>
      <c r="C3074" s="3" t="s">
        <v>31</v>
      </c>
      <c r="D3074" s="3" t="s">
        <v>32</v>
      </c>
      <c r="E3074" s="4" t="s">
        <v>22</v>
      </c>
      <c r="F3074" s="4" t="s">
        <v>16199</v>
      </c>
      <c r="G3074" s="4" t="s">
        <v>16200</v>
      </c>
      <c r="H3074" s="3" t="s">
        <v>13575</v>
      </c>
      <c r="I3074" s="3" t="s">
        <v>16201</v>
      </c>
      <c r="J3074" s="3" t="s">
        <v>16202</v>
      </c>
      <c r="K3074" s="3" t="s">
        <v>16203</v>
      </c>
      <c r="L3074" s="3"/>
      <c r="M3074" s="4"/>
      <c r="N3074" s="3" t="s">
        <v>37</v>
      </c>
      <c r="O3074" s="3" t="s">
        <v>38</v>
      </c>
      <c r="P3074" s="5">
        <v>11</v>
      </c>
      <c r="Q3074" s="5">
        <v>130</v>
      </c>
      <c r="R3074" s="5">
        <v>11</v>
      </c>
      <c r="S3074" s="5">
        <v>131</v>
      </c>
    </row>
    <row r="3075" spans="1:19" ht="28" x14ac:dyDescent="0.15">
      <c r="A3075" s="2">
        <f>HYPERLINK("https://open-school.uspishnemisto.com.ua/school/140547/", 140547)</f>
        <v>140547</v>
      </c>
      <c r="B3075" s="3" t="s">
        <v>16204</v>
      </c>
      <c r="C3075" s="3" t="s">
        <v>31</v>
      </c>
      <c r="D3075" s="3" t="s">
        <v>32</v>
      </c>
      <c r="E3075" s="4" t="s">
        <v>22</v>
      </c>
      <c r="F3075" s="4" t="s">
        <v>16205</v>
      </c>
      <c r="G3075" s="4" t="s">
        <v>16206</v>
      </c>
      <c r="H3075" s="3" t="s">
        <v>13575</v>
      </c>
      <c r="I3075" s="3" t="s">
        <v>2359</v>
      </c>
      <c r="J3075" s="3" t="s">
        <v>16207</v>
      </c>
      <c r="K3075" s="3" t="s">
        <v>16208</v>
      </c>
      <c r="L3075" s="3"/>
      <c r="M3075" s="4"/>
      <c r="N3075" s="3" t="s">
        <v>37</v>
      </c>
      <c r="O3075" s="3" t="s">
        <v>52</v>
      </c>
      <c r="P3075" s="5">
        <v>10</v>
      </c>
      <c r="Q3075" s="5">
        <v>92</v>
      </c>
      <c r="R3075" s="5">
        <v>10</v>
      </c>
      <c r="S3075" s="5">
        <v>84</v>
      </c>
    </row>
    <row r="3076" spans="1:19" ht="28" x14ac:dyDescent="0.15">
      <c r="A3076" s="2">
        <f>HYPERLINK("https://open-school.uspishnemisto.com.ua/school/140548/", 140548)</f>
        <v>140548</v>
      </c>
      <c r="B3076" s="3" t="s">
        <v>16209</v>
      </c>
      <c r="C3076" s="3" t="s">
        <v>31</v>
      </c>
      <c r="D3076" s="3" t="s">
        <v>32</v>
      </c>
      <c r="E3076" s="4" t="s">
        <v>22</v>
      </c>
      <c r="F3076" s="4" t="s">
        <v>16210</v>
      </c>
      <c r="G3076" s="4" t="s">
        <v>16211</v>
      </c>
      <c r="H3076" s="3" t="s">
        <v>13575</v>
      </c>
      <c r="I3076" s="3" t="s">
        <v>16212</v>
      </c>
      <c r="J3076" s="3" t="s">
        <v>2719</v>
      </c>
      <c r="K3076" s="3" t="s">
        <v>16213</v>
      </c>
      <c r="L3076" s="3"/>
      <c r="M3076" s="4"/>
      <c r="N3076" s="3" t="s">
        <v>37</v>
      </c>
      <c r="O3076" s="3" t="s">
        <v>38</v>
      </c>
      <c r="P3076" s="5">
        <v>11</v>
      </c>
      <c r="Q3076" s="5">
        <v>91</v>
      </c>
      <c r="R3076" s="5">
        <v>11</v>
      </c>
      <c r="S3076" s="5">
        <v>97</v>
      </c>
    </row>
    <row r="3077" spans="1:19" ht="28" x14ac:dyDescent="0.15">
      <c r="A3077" s="2">
        <f>HYPERLINK("https://open-school.uspishnemisto.com.ua/school/140549/", 140549)</f>
        <v>140549</v>
      </c>
      <c r="B3077" s="3" t="s">
        <v>16214</v>
      </c>
      <c r="C3077" s="3" t="s">
        <v>31</v>
      </c>
      <c r="D3077" s="3" t="s">
        <v>175</v>
      </c>
      <c r="E3077" s="4" t="s">
        <v>22</v>
      </c>
      <c r="F3077" s="4" t="s">
        <v>16215</v>
      </c>
      <c r="G3077" s="4" t="s">
        <v>16216</v>
      </c>
      <c r="H3077" s="3" t="s">
        <v>13575</v>
      </c>
      <c r="I3077" s="3" t="s">
        <v>16217</v>
      </c>
      <c r="J3077" s="3" t="s">
        <v>11705</v>
      </c>
      <c r="K3077" s="3" t="s">
        <v>16218</v>
      </c>
      <c r="L3077" s="3"/>
      <c r="M3077" s="4"/>
      <c r="N3077" s="3" t="s">
        <v>37</v>
      </c>
      <c r="O3077" s="3" t="s">
        <v>38</v>
      </c>
      <c r="P3077" s="5">
        <v>5</v>
      </c>
      <c r="Q3077" s="5">
        <v>39</v>
      </c>
      <c r="R3077" s="5">
        <v>8</v>
      </c>
      <c r="S3077" s="5">
        <v>43</v>
      </c>
    </row>
    <row r="3078" spans="1:19" ht="42" x14ac:dyDescent="0.15">
      <c r="A3078" s="2">
        <f>HYPERLINK("https://open-school.uspishnemisto.com.ua/school/140550/", 140550)</f>
        <v>140550</v>
      </c>
      <c r="B3078" s="3" t="s">
        <v>16219</v>
      </c>
      <c r="C3078" s="3" t="s">
        <v>31</v>
      </c>
      <c r="D3078" s="3" t="s">
        <v>32</v>
      </c>
      <c r="E3078" s="4" t="s">
        <v>22</v>
      </c>
      <c r="F3078" s="4" t="s">
        <v>16220</v>
      </c>
      <c r="G3078" s="4" t="s">
        <v>16221</v>
      </c>
      <c r="H3078" s="3" t="s">
        <v>13575</v>
      </c>
      <c r="I3078" s="3" t="s">
        <v>16222</v>
      </c>
      <c r="J3078" s="3" t="s">
        <v>634</v>
      </c>
      <c r="K3078" s="3" t="s">
        <v>16223</v>
      </c>
      <c r="L3078" s="3" t="s">
        <v>16224</v>
      </c>
      <c r="M3078" s="4"/>
      <c r="N3078" s="3" t="s">
        <v>37</v>
      </c>
      <c r="O3078" s="3" t="s">
        <v>70</v>
      </c>
      <c r="P3078" s="5">
        <v>11</v>
      </c>
      <c r="Q3078" s="5">
        <v>122</v>
      </c>
      <c r="R3078" s="5">
        <v>11</v>
      </c>
      <c r="S3078" s="5">
        <v>126</v>
      </c>
    </row>
    <row r="3079" spans="1:19" ht="28" x14ac:dyDescent="0.15">
      <c r="A3079" s="2">
        <f>HYPERLINK("https://open-school.uspishnemisto.com.ua/school/140551/", 140551)</f>
        <v>140551</v>
      </c>
      <c r="B3079" s="3" t="s">
        <v>16225</v>
      </c>
      <c r="C3079" s="3" t="s">
        <v>31</v>
      </c>
      <c r="D3079" s="3" t="s">
        <v>32</v>
      </c>
      <c r="E3079" s="4" t="s">
        <v>22</v>
      </c>
      <c r="F3079" s="4" t="s">
        <v>16226</v>
      </c>
      <c r="G3079" s="4" t="s">
        <v>16227</v>
      </c>
      <c r="H3079" s="3" t="s">
        <v>13575</v>
      </c>
      <c r="I3079" s="3" t="s">
        <v>16228</v>
      </c>
      <c r="J3079" s="3" t="s">
        <v>501</v>
      </c>
      <c r="K3079" s="3"/>
      <c r="L3079" s="3"/>
      <c r="M3079" s="4"/>
      <c r="N3079" s="3" t="s">
        <v>37</v>
      </c>
      <c r="O3079" s="3" t="s">
        <v>70</v>
      </c>
      <c r="P3079" s="5">
        <v>11</v>
      </c>
      <c r="Q3079" s="5">
        <v>102</v>
      </c>
      <c r="R3079" s="5">
        <v>11</v>
      </c>
      <c r="S3079" s="5">
        <v>100</v>
      </c>
    </row>
    <row r="3080" spans="1:19" ht="28" x14ac:dyDescent="0.15">
      <c r="A3080" s="2">
        <f>HYPERLINK("https://open-school.uspishnemisto.com.ua/school/140552/", 140552)</f>
        <v>140552</v>
      </c>
      <c r="B3080" s="3" t="s">
        <v>16229</v>
      </c>
      <c r="C3080" s="3" t="s">
        <v>31</v>
      </c>
      <c r="D3080" s="3" t="s">
        <v>32</v>
      </c>
      <c r="E3080" s="4" t="s">
        <v>22</v>
      </c>
      <c r="F3080" s="4"/>
      <c r="G3080" s="4" t="s">
        <v>16230</v>
      </c>
      <c r="H3080" s="3" t="s">
        <v>13575</v>
      </c>
      <c r="I3080" s="3" t="s">
        <v>16231</v>
      </c>
      <c r="J3080" s="3" t="s">
        <v>16232</v>
      </c>
      <c r="K3080" s="3" t="s">
        <v>16233</v>
      </c>
      <c r="L3080" s="3"/>
      <c r="M3080" s="4"/>
      <c r="N3080" s="3" t="s">
        <v>37</v>
      </c>
      <c r="O3080" s="3" t="s">
        <v>38</v>
      </c>
      <c r="P3080" s="5">
        <v>11</v>
      </c>
      <c r="Q3080" s="5">
        <v>82</v>
      </c>
      <c r="R3080" s="5">
        <v>11</v>
      </c>
      <c r="S3080" s="5">
        <v>82</v>
      </c>
    </row>
    <row r="3081" spans="1:19" ht="28" x14ac:dyDescent="0.15">
      <c r="A3081" s="2">
        <f>HYPERLINK("https://open-school.uspishnemisto.com.ua/school/140553/", 140553)</f>
        <v>140553</v>
      </c>
      <c r="B3081" s="3" t="s">
        <v>16234</v>
      </c>
      <c r="C3081" s="3" t="s">
        <v>31</v>
      </c>
      <c r="D3081" s="3" t="s">
        <v>32</v>
      </c>
      <c r="E3081" s="4" t="s">
        <v>22</v>
      </c>
      <c r="F3081" s="4" t="s">
        <v>16235</v>
      </c>
      <c r="G3081" s="4" t="s">
        <v>16236</v>
      </c>
      <c r="H3081" s="3" t="s">
        <v>13575</v>
      </c>
      <c r="I3081" s="3" t="s">
        <v>13213</v>
      </c>
      <c r="J3081" s="3" t="s">
        <v>6666</v>
      </c>
      <c r="K3081" s="3" t="s">
        <v>16237</v>
      </c>
      <c r="L3081" s="3"/>
      <c r="M3081" s="4"/>
      <c r="N3081" s="3" t="s">
        <v>37</v>
      </c>
      <c r="O3081" s="3" t="s">
        <v>38</v>
      </c>
      <c r="P3081" s="5">
        <v>11</v>
      </c>
      <c r="Q3081" s="5">
        <v>138</v>
      </c>
      <c r="R3081" s="5">
        <v>11</v>
      </c>
      <c r="S3081" s="5">
        <v>140</v>
      </c>
    </row>
    <row r="3082" spans="1:19" ht="56" x14ac:dyDescent="0.15">
      <c r="A3082" s="2">
        <f>HYPERLINK("https://open-school.uspishnemisto.com.ua/school/140554/", 140554)</f>
        <v>140554</v>
      </c>
      <c r="B3082" s="3" t="s">
        <v>16238</v>
      </c>
      <c r="C3082" s="3" t="s">
        <v>54</v>
      </c>
      <c r="D3082" s="3" t="s">
        <v>32</v>
      </c>
      <c r="E3082" s="4" t="s">
        <v>22</v>
      </c>
      <c r="F3082" s="4" t="s">
        <v>16239</v>
      </c>
      <c r="G3082" s="4" t="s">
        <v>16240</v>
      </c>
      <c r="H3082" s="3" t="s">
        <v>13575</v>
      </c>
      <c r="I3082" s="3" t="s">
        <v>16241</v>
      </c>
      <c r="J3082" s="3" t="s">
        <v>16242</v>
      </c>
      <c r="K3082" s="3" t="s">
        <v>16243</v>
      </c>
      <c r="L3082" s="3"/>
      <c r="M3082" s="4"/>
      <c r="N3082" s="3" t="s">
        <v>37</v>
      </c>
      <c r="O3082" s="3" t="s">
        <v>70</v>
      </c>
      <c r="P3082" s="5">
        <v>11</v>
      </c>
      <c r="Q3082" s="5">
        <v>110</v>
      </c>
      <c r="R3082" s="5">
        <v>11</v>
      </c>
      <c r="S3082" s="5">
        <v>92</v>
      </c>
    </row>
    <row r="3083" spans="1:19" ht="56" x14ac:dyDescent="0.15">
      <c r="A3083" s="2">
        <f>HYPERLINK("https://open-school.uspishnemisto.com.ua/school/140555/", 140555)</f>
        <v>140555</v>
      </c>
      <c r="B3083" s="3" t="s">
        <v>16244</v>
      </c>
      <c r="C3083" s="3" t="s">
        <v>54</v>
      </c>
      <c r="D3083" s="3" t="s">
        <v>32</v>
      </c>
      <c r="E3083" s="4" t="s">
        <v>22</v>
      </c>
      <c r="F3083" s="4" t="s">
        <v>16245</v>
      </c>
      <c r="G3083" s="4" t="s">
        <v>16246</v>
      </c>
      <c r="H3083" s="3" t="s">
        <v>13575</v>
      </c>
      <c r="I3083" s="3" t="s">
        <v>16247</v>
      </c>
      <c r="J3083" s="3" t="s">
        <v>16248</v>
      </c>
      <c r="K3083" s="3" t="s">
        <v>16249</v>
      </c>
      <c r="L3083" s="3"/>
      <c r="M3083" s="4"/>
      <c r="N3083" s="3" t="s">
        <v>37</v>
      </c>
      <c r="O3083" s="3" t="s">
        <v>38</v>
      </c>
      <c r="P3083" s="5">
        <v>10</v>
      </c>
      <c r="Q3083" s="5">
        <v>101</v>
      </c>
      <c r="R3083" s="5">
        <v>11</v>
      </c>
      <c r="S3083" s="5">
        <v>101</v>
      </c>
    </row>
    <row r="3084" spans="1:19" ht="70" x14ac:dyDescent="0.15">
      <c r="A3084" s="2">
        <f>HYPERLINK("https://open-school.uspishnemisto.com.ua/school/140556/", 140556)</f>
        <v>140556</v>
      </c>
      <c r="B3084" s="3" t="s">
        <v>16250</v>
      </c>
      <c r="C3084" s="3" t="s">
        <v>54</v>
      </c>
      <c r="D3084" s="3" t="s">
        <v>32</v>
      </c>
      <c r="E3084" s="4" t="s">
        <v>22</v>
      </c>
      <c r="F3084" s="4" t="s">
        <v>16251</v>
      </c>
      <c r="G3084" s="4" t="s">
        <v>16252</v>
      </c>
      <c r="H3084" s="3" t="s">
        <v>13575</v>
      </c>
      <c r="I3084" s="3" t="s">
        <v>14874</v>
      </c>
      <c r="J3084" s="3" t="s">
        <v>11859</v>
      </c>
      <c r="K3084" s="3" t="s">
        <v>16253</v>
      </c>
      <c r="L3084" s="3" t="s">
        <v>16254</v>
      </c>
      <c r="M3084" s="4"/>
      <c r="N3084" s="3" t="s">
        <v>128</v>
      </c>
      <c r="O3084" s="3" t="s">
        <v>70</v>
      </c>
      <c r="P3084" s="5">
        <v>24</v>
      </c>
      <c r="Q3084" s="5">
        <v>344</v>
      </c>
      <c r="R3084" s="5">
        <v>24</v>
      </c>
      <c r="S3084" s="5">
        <v>342</v>
      </c>
    </row>
    <row r="3085" spans="1:19" ht="56" x14ac:dyDescent="0.15">
      <c r="A3085" s="2">
        <f>HYPERLINK("https://open-school.uspishnemisto.com.ua/school/140557/", 140557)</f>
        <v>140557</v>
      </c>
      <c r="B3085" s="3" t="s">
        <v>16255</v>
      </c>
      <c r="C3085" s="3" t="s">
        <v>54</v>
      </c>
      <c r="D3085" s="3" t="s">
        <v>175</v>
      </c>
      <c r="E3085" s="4" t="s">
        <v>22</v>
      </c>
      <c r="F3085" s="4" t="s">
        <v>16256</v>
      </c>
      <c r="G3085" s="4" t="s">
        <v>16257</v>
      </c>
      <c r="H3085" s="3" t="s">
        <v>13575</v>
      </c>
      <c r="I3085" s="3" t="s">
        <v>15932</v>
      </c>
      <c r="J3085" s="3" t="s">
        <v>16258</v>
      </c>
      <c r="K3085" s="3" t="s">
        <v>16259</v>
      </c>
      <c r="L3085" s="3"/>
      <c r="M3085" s="4"/>
      <c r="N3085" s="3" t="s">
        <v>37</v>
      </c>
      <c r="O3085" s="3" t="s">
        <v>112</v>
      </c>
      <c r="P3085" s="5">
        <v>6</v>
      </c>
      <c r="Q3085" s="5">
        <v>48</v>
      </c>
      <c r="R3085" s="5">
        <v>4</v>
      </c>
      <c r="S3085" s="5">
        <v>42</v>
      </c>
    </row>
    <row r="3086" spans="1:19" ht="56" x14ac:dyDescent="0.15">
      <c r="A3086" s="2">
        <f>HYPERLINK("https://open-school.uspishnemisto.com.ua/school/140558/", 140558)</f>
        <v>140558</v>
      </c>
      <c r="B3086" s="3" t="s">
        <v>16260</v>
      </c>
      <c r="C3086" s="3" t="s">
        <v>54</v>
      </c>
      <c r="D3086" s="3" t="s">
        <v>175</v>
      </c>
      <c r="E3086" s="4" t="s">
        <v>22</v>
      </c>
      <c r="F3086" s="4" t="s">
        <v>16261</v>
      </c>
      <c r="G3086" s="4" t="s">
        <v>16262</v>
      </c>
      <c r="H3086" s="3" t="s">
        <v>13575</v>
      </c>
      <c r="I3086" s="3" t="s">
        <v>16263</v>
      </c>
      <c r="J3086" s="3" t="s">
        <v>466</v>
      </c>
      <c r="K3086" s="3"/>
      <c r="L3086" s="3"/>
      <c r="M3086" s="4"/>
      <c r="N3086" s="3" t="s">
        <v>37</v>
      </c>
      <c r="O3086" s="3" t="s">
        <v>38</v>
      </c>
      <c r="P3086" s="5">
        <v>5</v>
      </c>
      <c r="Q3086" s="5">
        <v>42</v>
      </c>
      <c r="R3086" s="5">
        <v>5</v>
      </c>
      <c r="S3086" s="5">
        <v>40</v>
      </c>
    </row>
    <row r="3087" spans="1:19" ht="56" x14ac:dyDescent="0.15">
      <c r="A3087" s="2">
        <f>HYPERLINK("https://open-school.uspishnemisto.com.ua/school/140559/", 140559)</f>
        <v>140559</v>
      </c>
      <c r="B3087" s="3" t="s">
        <v>16264</v>
      </c>
      <c r="C3087" s="3" t="s">
        <v>54</v>
      </c>
      <c r="D3087" s="3" t="s">
        <v>32</v>
      </c>
      <c r="E3087" s="4" t="s">
        <v>22</v>
      </c>
      <c r="F3087" s="4" t="s">
        <v>16265</v>
      </c>
      <c r="G3087" s="4" t="s">
        <v>16266</v>
      </c>
      <c r="H3087" s="3" t="s">
        <v>13575</v>
      </c>
      <c r="I3087" s="3" t="s">
        <v>16267</v>
      </c>
      <c r="J3087" s="3" t="s">
        <v>878</v>
      </c>
      <c r="K3087" s="3" t="s">
        <v>16268</v>
      </c>
      <c r="L3087" s="3"/>
      <c r="M3087" s="4"/>
      <c r="N3087" s="3" t="s">
        <v>37</v>
      </c>
      <c r="O3087" s="3" t="s">
        <v>38</v>
      </c>
      <c r="P3087" s="5">
        <v>10</v>
      </c>
      <c r="Q3087" s="5">
        <v>100</v>
      </c>
      <c r="R3087" s="5">
        <v>10</v>
      </c>
      <c r="S3087" s="5">
        <v>100</v>
      </c>
    </row>
    <row r="3088" spans="1:19" ht="56" x14ac:dyDescent="0.15">
      <c r="A3088" s="2">
        <f>HYPERLINK("https://open-school.uspishnemisto.com.ua/school/140560/", 140560)</f>
        <v>140560</v>
      </c>
      <c r="B3088" s="3" t="s">
        <v>16269</v>
      </c>
      <c r="C3088" s="3" t="s">
        <v>54</v>
      </c>
      <c r="D3088" s="3" t="s">
        <v>32</v>
      </c>
      <c r="E3088" s="4" t="s">
        <v>22</v>
      </c>
      <c r="F3088" s="4" t="s">
        <v>16270</v>
      </c>
      <c r="G3088" s="4" t="s">
        <v>16271</v>
      </c>
      <c r="H3088" s="3" t="s">
        <v>13575</v>
      </c>
      <c r="I3088" s="3" t="s">
        <v>3387</v>
      </c>
      <c r="J3088" s="3" t="s">
        <v>16272</v>
      </c>
      <c r="K3088" s="3" t="s">
        <v>16273</v>
      </c>
      <c r="L3088" s="3"/>
      <c r="M3088" s="4"/>
      <c r="N3088" s="3" t="s">
        <v>37</v>
      </c>
      <c r="O3088" s="3" t="s">
        <v>38</v>
      </c>
      <c r="P3088" s="5">
        <v>10</v>
      </c>
      <c r="Q3088" s="5">
        <v>107</v>
      </c>
      <c r="R3088" s="5">
        <v>11</v>
      </c>
      <c r="S3088" s="5">
        <v>113</v>
      </c>
    </row>
    <row r="3089" spans="1:19" ht="56" x14ac:dyDescent="0.15">
      <c r="A3089" s="2">
        <f>HYPERLINK("https://open-school.uspishnemisto.com.ua/school/140561/", 140561)</f>
        <v>140561</v>
      </c>
      <c r="B3089" s="3" t="s">
        <v>16274</v>
      </c>
      <c r="C3089" s="3" t="s">
        <v>54</v>
      </c>
      <c r="D3089" s="3" t="s">
        <v>32</v>
      </c>
      <c r="E3089" s="4" t="s">
        <v>22</v>
      </c>
      <c r="F3089" s="4" t="s">
        <v>16275</v>
      </c>
      <c r="G3089" s="4" t="s">
        <v>16276</v>
      </c>
      <c r="H3089" s="3" t="s">
        <v>13575</v>
      </c>
      <c r="I3089" s="3" t="s">
        <v>12875</v>
      </c>
      <c r="J3089" s="3" t="s">
        <v>1857</v>
      </c>
      <c r="K3089" s="3" t="s">
        <v>16277</v>
      </c>
      <c r="L3089" s="3"/>
      <c r="M3089" s="4"/>
      <c r="N3089" s="3" t="s">
        <v>128</v>
      </c>
      <c r="O3089" s="3" t="s">
        <v>70</v>
      </c>
      <c r="P3089" s="5">
        <v>11</v>
      </c>
      <c r="Q3089" s="5">
        <v>105</v>
      </c>
      <c r="R3089" s="5">
        <v>11</v>
      </c>
      <c r="S3089" s="5">
        <v>94</v>
      </c>
    </row>
    <row r="3090" spans="1:19" ht="56" x14ac:dyDescent="0.15">
      <c r="A3090" s="2">
        <f>HYPERLINK("https://open-school.uspishnemisto.com.ua/school/140562/", 140562)</f>
        <v>140562</v>
      </c>
      <c r="B3090" s="3" t="s">
        <v>16278</v>
      </c>
      <c r="C3090" s="3" t="s">
        <v>54</v>
      </c>
      <c r="D3090" s="3" t="s">
        <v>175</v>
      </c>
      <c r="E3090" s="4" t="s">
        <v>22</v>
      </c>
      <c r="F3090" s="4" t="s">
        <v>16279</v>
      </c>
      <c r="G3090" s="4" t="s">
        <v>16280</v>
      </c>
      <c r="H3090" s="3" t="s">
        <v>13575</v>
      </c>
      <c r="I3090" s="3" t="s">
        <v>16281</v>
      </c>
      <c r="J3090" s="3" t="s">
        <v>16282</v>
      </c>
      <c r="K3090" s="3" t="s">
        <v>16283</v>
      </c>
      <c r="L3090" s="3"/>
      <c r="M3090" s="4"/>
      <c r="N3090" s="3" t="s">
        <v>37</v>
      </c>
      <c r="O3090" s="3" t="s">
        <v>38</v>
      </c>
      <c r="P3090" s="5">
        <v>5</v>
      </c>
      <c r="Q3090" s="5">
        <v>45</v>
      </c>
      <c r="R3090" s="5">
        <v>6</v>
      </c>
      <c r="S3090" s="5">
        <v>43</v>
      </c>
    </row>
    <row r="3091" spans="1:19" ht="56" x14ac:dyDescent="0.15">
      <c r="A3091" s="2">
        <f>HYPERLINK("https://open-school.uspishnemisto.com.ua/school/140563/", 140563)</f>
        <v>140563</v>
      </c>
      <c r="B3091" s="3" t="s">
        <v>16284</v>
      </c>
      <c r="C3091" s="3" t="s">
        <v>54</v>
      </c>
      <c r="D3091" s="3" t="s">
        <v>32</v>
      </c>
      <c r="E3091" s="4" t="s">
        <v>22</v>
      </c>
      <c r="F3091" s="4" t="s">
        <v>16285</v>
      </c>
      <c r="G3091" s="4" t="s">
        <v>16286</v>
      </c>
      <c r="H3091" s="3" t="s">
        <v>13575</v>
      </c>
      <c r="I3091" s="3" t="s">
        <v>2900</v>
      </c>
      <c r="J3091" s="3" t="s">
        <v>16287</v>
      </c>
      <c r="K3091" s="3" t="s">
        <v>16288</v>
      </c>
      <c r="L3091" s="3"/>
      <c r="M3091" s="4"/>
      <c r="N3091" s="3" t="s">
        <v>37</v>
      </c>
      <c r="O3091" s="3" t="s">
        <v>46</v>
      </c>
      <c r="P3091" s="5">
        <v>9</v>
      </c>
      <c r="Q3091" s="5">
        <v>60</v>
      </c>
      <c r="R3091" s="5">
        <v>8</v>
      </c>
      <c r="S3091" s="5">
        <v>63</v>
      </c>
    </row>
    <row r="3092" spans="1:19" ht="28" x14ac:dyDescent="0.15">
      <c r="A3092" s="2">
        <f>HYPERLINK("https://open-school.uspishnemisto.com.ua/school/180001/", 180001)</f>
        <v>180001</v>
      </c>
      <c r="B3092" s="3" t="s">
        <v>16289</v>
      </c>
      <c r="C3092" s="3" t="s">
        <v>20</v>
      </c>
      <c r="D3092" s="3" t="s">
        <v>21</v>
      </c>
      <c r="E3092" s="4" t="s">
        <v>22</v>
      </c>
      <c r="F3092" s="4" t="s">
        <v>16290</v>
      </c>
      <c r="G3092" s="4" t="s">
        <v>16291</v>
      </c>
      <c r="H3092" s="3" t="s">
        <v>16292</v>
      </c>
      <c r="I3092" s="3" t="s">
        <v>16293</v>
      </c>
      <c r="J3092" s="3" t="s">
        <v>16294</v>
      </c>
      <c r="K3092" s="3" t="s">
        <v>16295</v>
      </c>
      <c r="L3092" s="3"/>
      <c r="M3092" s="4" t="s">
        <v>16296</v>
      </c>
      <c r="N3092" s="3"/>
      <c r="O3092" s="3"/>
      <c r="P3092" s="5">
        <v>0</v>
      </c>
      <c r="Q3092" s="5">
        <v>0</v>
      </c>
      <c r="R3092" s="5"/>
      <c r="S3092" s="5"/>
    </row>
    <row r="3093" spans="1:19" ht="28" x14ac:dyDescent="0.15">
      <c r="A3093" s="2">
        <f>HYPERLINK("https://open-school.uspishnemisto.com.ua/school/180002/", 180002)</f>
        <v>180002</v>
      </c>
      <c r="B3093" s="3" t="s">
        <v>16297</v>
      </c>
      <c r="C3093" s="3" t="s">
        <v>40</v>
      </c>
      <c r="D3093" s="3" t="s">
        <v>32</v>
      </c>
      <c r="E3093" s="4" t="s">
        <v>22</v>
      </c>
      <c r="F3093" s="4" t="s">
        <v>16298</v>
      </c>
      <c r="G3093" s="4" t="s">
        <v>16291</v>
      </c>
      <c r="H3093" s="3" t="s">
        <v>16292</v>
      </c>
      <c r="I3093" s="3" t="s">
        <v>16293</v>
      </c>
      <c r="J3093" s="3" t="s">
        <v>16299</v>
      </c>
      <c r="K3093" s="3" t="s">
        <v>16300</v>
      </c>
      <c r="L3093" s="3" t="s">
        <v>16301</v>
      </c>
      <c r="M3093" s="4" t="s">
        <v>16302</v>
      </c>
      <c r="N3093" s="3" t="s">
        <v>37</v>
      </c>
      <c r="O3093" s="3" t="s">
        <v>46</v>
      </c>
      <c r="P3093" s="5">
        <v>10</v>
      </c>
      <c r="Q3093" s="5">
        <v>257</v>
      </c>
      <c r="R3093" s="5">
        <v>9</v>
      </c>
      <c r="S3093" s="5">
        <v>225</v>
      </c>
    </row>
    <row r="3094" spans="1:19" ht="28" x14ac:dyDescent="0.15">
      <c r="A3094" s="2">
        <f>HYPERLINK("https://open-school.uspishnemisto.com.ua/school/180003/", 180003)</f>
        <v>180003</v>
      </c>
      <c r="B3094" s="3" t="s">
        <v>16303</v>
      </c>
      <c r="C3094" s="3" t="s">
        <v>31</v>
      </c>
      <c r="D3094" s="3" t="s">
        <v>32</v>
      </c>
      <c r="E3094" s="4" t="s">
        <v>22</v>
      </c>
      <c r="F3094" s="4" t="s">
        <v>16304</v>
      </c>
      <c r="G3094" s="4" t="s">
        <v>16291</v>
      </c>
      <c r="H3094" s="3" t="s">
        <v>16292</v>
      </c>
      <c r="I3094" s="3" t="s">
        <v>16293</v>
      </c>
      <c r="J3094" s="3" t="s">
        <v>16305</v>
      </c>
      <c r="K3094" s="3" t="s">
        <v>16306</v>
      </c>
      <c r="L3094" s="3"/>
      <c r="M3094" s="4" t="s">
        <v>16307</v>
      </c>
      <c r="N3094" s="3" t="s">
        <v>37</v>
      </c>
      <c r="O3094" s="3" t="s">
        <v>38</v>
      </c>
      <c r="P3094" s="5">
        <v>11</v>
      </c>
      <c r="Q3094" s="5">
        <v>280</v>
      </c>
      <c r="R3094" s="5">
        <v>11</v>
      </c>
      <c r="S3094" s="5">
        <v>291</v>
      </c>
    </row>
    <row r="3095" spans="1:19" ht="28" x14ac:dyDescent="0.15">
      <c r="A3095" s="2">
        <f>HYPERLINK("https://open-school.uspishnemisto.com.ua/school/180004/", 180004)</f>
        <v>180004</v>
      </c>
      <c r="B3095" s="3" t="s">
        <v>16308</v>
      </c>
      <c r="C3095" s="3" t="s">
        <v>31</v>
      </c>
      <c r="D3095" s="3" t="s">
        <v>32</v>
      </c>
      <c r="E3095" s="4" t="s">
        <v>22</v>
      </c>
      <c r="F3095" s="4" t="s">
        <v>16309</v>
      </c>
      <c r="G3095" s="4" t="s">
        <v>16291</v>
      </c>
      <c r="H3095" s="3" t="s">
        <v>16292</v>
      </c>
      <c r="I3095" s="3" t="s">
        <v>16293</v>
      </c>
      <c r="J3095" s="3" t="s">
        <v>16310</v>
      </c>
      <c r="K3095" s="3" t="s">
        <v>16311</v>
      </c>
      <c r="L3095" s="3"/>
      <c r="M3095" s="4" t="s">
        <v>16312</v>
      </c>
      <c r="N3095" s="3" t="s">
        <v>37</v>
      </c>
      <c r="O3095" s="3" t="s">
        <v>38</v>
      </c>
      <c r="P3095" s="5">
        <v>13</v>
      </c>
      <c r="Q3095" s="5">
        <v>283</v>
      </c>
      <c r="R3095" s="5">
        <v>12</v>
      </c>
      <c r="S3095" s="5">
        <v>260</v>
      </c>
    </row>
    <row r="3096" spans="1:19" ht="42" x14ac:dyDescent="0.15">
      <c r="A3096" s="2">
        <f>HYPERLINK("https://open-school.uspishnemisto.com.ua/school/180005/", 180005)</f>
        <v>180005</v>
      </c>
      <c r="B3096" s="3" t="s">
        <v>16313</v>
      </c>
      <c r="C3096" s="3" t="s">
        <v>31</v>
      </c>
      <c r="D3096" s="3" t="s">
        <v>32</v>
      </c>
      <c r="E3096" s="4" t="s">
        <v>22</v>
      </c>
      <c r="F3096" s="4" t="s">
        <v>16304</v>
      </c>
      <c r="G3096" s="4" t="s">
        <v>16291</v>
      </c>
      <c r="H3096" s="3" t="s">
        <v>16292</v>
      </c>
      <c r="I3096" s="3" t="s">
        <v>16293</v>
      </c>
      <c r="J3096" s="3" t="s">
        <v>6213</v>
      </c>
      <c r="K3096" s="3" t="s">
        <v>16314</v>
      </c>
      <c r="L3096" s="3"/>
      <c r="M3096" s="4" t="s">
        <v>16315</v>
      </c>
      <c r="N3096" s="3" t="s">
        <v>128</v>
      </c>
      <c r="O3096" s="3" t="s">
        <v>129</v>
      </c>
      <c r="P3096" s="5">
        <v>25</v>
      </c>
      <c r="Q3096" s="5">
        <v>657</v>
      </c>
      <c r="R3096" s="5">
        <v>23</v>
      </c>
      <c r="S3096" s="5">
        <v>610</v>
      </c>
    </row>
    <row r="3097" spans="1:19" ht="28" x14ac:dyDescent="0.15">
      <c r="A3097" s="2">
        <f>HYPERLINK("https://open-school.uspishnemisto.com.ua/school/180006/", 180006)</f>
        <v>180006</v>
      </c>
      <c r="B3097" s="3" t="s">
        <v>16316</v>
      </c>
      <c r="C3097" s="3" t="s">
        <v>40</v>
      </c>
      <c r="D3097" s="3" t="s">
        <v>32</v>
      </c>
      <c r="E3097" s="4" t="s">
        <v>22</v>
      </c>
      <c r="F3097" s="4" t="s">
        <v>16317</v>
      </c>
      <c r="G3097" s="4" t="s">
        <v>16291</v>
      </c>
      <c r="H3097" s="3" t="s">
        <v>16292</v>
      </c>
      <c r="I3097" s="3" t="s">
        <v>16293</v>
      </c>
      <c r="J3097" s="3" t="s">
        <v>16318</v>
      </c>
      <c r="K3097" s="3" t="s">
        <v>16319</v>
      </c>
      <c r="L3097" s="3"/>
      <c r="M3097" s="4" t="s">
        <v>16320</v>
      </c>
      <c r="N3097" s="3" t="s">
        <v>37</v>
      </c>
      <c r="O3097" s="3" t="s">
        <v>2776</v>
      </c>
      <c r="P3097" s="5">
        <v>54</v>
      </c>
      <c r="Q3097" s="5">
        <v>1770</v>
      </c>
      <c r="R3097" s="5">
        <v>54</v>
      </c>
      <c r="S3097" s="5">
        <v>1708</v>
      </c>
    </row>
    <row r="3098" spans="1:19" ht="28" x14ac:dyDescent="0.15">
      <c r="A3098" s="2">
        <f>HYPERLINK("https://open-school.uspishnemisto.com.ua/school/180007/", 180007)</f>
        <v>180007</v>
      </c>
      <c r="B3098" s="3" t="s">
        <v>16321</v>
      </c>
      <c r="C3098" s="3" t="s">
        <v>54</v>
      </c>
      <c r="D3098" s="3" t="s">
        <v>60</v>
      </c>
      <c r="E3098" s="4" t="s">
        <v>22</v>
      </c>
      <c r="F3098" s="4" t="s">
        <v>16322</v>
      </c>
      <c r="G3098" s="4" t="s">
        <v>16291</v>
      </c>
      <c r="H3098" s="3" t="s">
        <v>16292</v>
      </c>
      <c r="I3098" s="3" t="s">
        <v>16293</v>
      </c>
      <c r="J3098" s="3" t="s">
        <v>16323</v>
      </c>
      <c r="K3098" s="3" t="s">
        <v>16324</v>
      </c>
      <c r="L3098" s="3"/>
      <c r="M3098" s="4" t="s">
        <v>16325</v>
      </c>
      <c r="N3098" s="3" t="s">
        <v>37</v>
      </c>
      <c r="O3098" s="3" t="s">
        <v>52</v>
      </c>
      <c r="P3098" s="5">
        <v>5</v>
      </c>
      <c r="Q3098" s="5">
        <v>148</v>
      </c>
      <c r="R3098" s="5">
        <v>5</v>
      </c>
      <c r="S3098" s="5">
        <v>150</v>
      </c>
    </row>
    <row r="3099" spans="1:19" ht="28" x14ac:dyDescent="0.15">
      <c r="A3099" s="2">
        <f>HYPERLINK("https://open-school.uspishnemisto.com.ua/school/180008/", 180008)</f>
        <v>180008</v>
      </c>
      <c r="B3099" s="3" t="s">
        <v>16326</v>
      </c>
      <c r="C3099" s="3" t="s">
        <v>54</v>
      </c>
      <c r="D3099" s="3" t="s">
        <v>60</v>
      </c>
      <c r="E3099" s="4" t="s">
        <v>22</v>
      </c>
      <c r="F3099" s="4" t="s">
        <v>16298</v>
      </c>
      <c r="G3099" s="4" t="s">
        <v>16291</v>
      </c>
      <c r="H3099" s="3" t="s">
        <v>16292</v>
      </c>
      <c r="I3099" s="3" t="s">
        <v>16293</v>
      </c>
      <c r="J3099" s="3" t="s">
        <v>16327</v>
      </c>
      <c r="K3099" s="3" t="s">
        <v>16328</v>
      </c>
      <c r="L3099" s="3"/>
      <c r="M3099" s="4" t="s">
        <v>16329</v>
      </c>
      <c r="N3099" s="3" t="s">
        <v>37</v>
      </c>
      <c r="O3099" s="3" t="s">
        <v>52</v>
      </c>
      <c r="P3099" s="5">
        <v>4</v>
      </c>
      <c r="Q3099" s="5">
        <v>137</v>
      </c>
      <c r="R3099" s="5">
        <v>4</v>
      </c>
      <c r="S3099" s="5">
        <v>136</v>
      </c>
    </row>
    <row r="3100" spans="1:19" ht="28" x14ac:dyDescent="0.15">
      <c r="A3100" s="2">
        <f>HYPERLINK("https://open-school.uspishnemisto.com.ua/school/180009/", 180009)</f>
        <v>180009</v>
      </c>
      <c r="B3100" s="3" t="s">
        <v>16330</v>
      </c>
      <c r="C3100" s="3" t="s">
        <v>54</v>
      </c>
      <c r="D3100" s="3" t="s">
        <v>60</v>
      </c>
      <c r="E3100" s="4" t="s">
        <v>22</v>
      </c>
      <c r="F3100" s="4" t="s">
        <v>16331</v>
      </c>
      <c r="G3100" s="4" t="s">
        <v>16291</v>
      </c>
      <c r="H3100" s="3" t="s">
        <v>16292</v>
      </c>
      <c r="I3100" s="3" t="s">
        <v>16293</v>
      </c>
      <c r="J3100" s="3" t="s">
        <v>16332</v>
      </c>
      <c r="K3100" s="3" t="s">
        <v>16333</v>
      </c>
      <c r="L3100" s="3"/>
      <c r="M3100" s="4" t="s">
        <v>16334</v>
      </c>
      <c r="N3100" s="3" t="s">
        <v>37</v>
      </c>
      <c r="O3100" s="3" t="s">
        <v>52</v>
      </c>
      <c r="P3100" s="5">
        <v>4</v>
      </c>
      <c r="Q3100" s="5">
        <v>130</v>
      </c>
      <c r="R3100" s="5">
        <v>4</v>
      </c>
      <c r="S3100" s="5">
        <v>125</v>
      </c>
    </row>
    <row r="3101" spans="1:19" ht="28" x14ac:dyDescent="0.15">
      <c r="A3101" s="2">
        <f>HYPERLINK("https://open-school.uspishnemisto.com.ua/school/180010/", 180010)</f>
        <v>180010</v>
      </c>
      <c r="B3101" s="3" t="s">
        <v>16335</v>
      </c>
      <c r="C3101" s="3" t="s">
        <v>54</v>
      </c>
      <c r="D3101" s="3" t="s">
        <v>60</v>
      </c>
      <c r="E3101" s="4" t="s">
        <v>22</v>
      </c>
      <c r="F3101" s="4" t="s">
        <v>16336</v>
      </c>
      <c r="G3101" s="4" t="s">
        <v>16291</v>
      </c>
      <c r="H3101" s="3" t="s">
        <v>16292</v>
      </c>
      <c r="I3101" s="3" t="s">
        <v>16293</v>
      </c>
      <c r="J3101" s="3" t="s">
        <v>16337</v>
      </c>
      <c r="K3101" s="3" t="s">
        <v>16338</v>
      </c>
      <c r="L3101" s="3"/>
      <c r="M3101" s="4" t="s">
        <v>16339</v>
      </c>
      <c r="N3101" s="3" t="s">
        <v>37</v>
      </c>
      <c r="O3101" s="3" t="s">
        <v>52</v>
      </c>
      <c r="P3101" s="5">
        <v>4</v>
      </c>
      <c r="Q3101" s="5">
        <v>130</v>
      </c>
      <c r="R3101" s="5">
        <v>4</v>
      </c>
      <c r="S3101" s="5">
        <v>130</v>
      </c>
    </row>
    <row r="3102" spans="1:19" ht="42" x14ac:dyDescent="0.15">
      <c r="A3102" s="2">
        <f>HYPERLINK("https://open-school.uspishnemisto.com.ua/school/180011/", 180011)</f>
        <v>180011</v>
      </c>
      <c r="B3102" s="3" t="s">
        <v>16340</v>
      </c>
      <c r="C3102" s="3" t="s">
        <v>31</v>
      </c>
      <c r="D3102" s="3" t="s">
        <v>32</v>
      </c>
      <c r="E3102" s="4" t="s">
        <v>41</v>
      </c>
      <c r="F3102" s="4" t="s">
        <v>16341</v>
      </c>
      <c r="G3102" s="4" t="s">
        <v>16291</v>
      </c>
      <c r="H3102" s="3" t="s">
        <v>16292</v>
      </c>
      <c r="I3102" s="3" t="s">
        <v>16293</v>
      </c>
      <c r="J3102" s="3" t="s">
        <v>16342</v>
      </c>
      <c r="K3102" s="3" t="s">
        <v>16343</v>
      </c>
      <c r="L3102" s="3" t="s">
        <v>16344</v>
      </c>
      <c r="M3102" s="4"/>
      <c r="N3102" s="3" t="s">
        <v>37</v>
      </c>
      <c r="O3102" s="3" t="s">
        <v>16345</v>
      </c>
      <c r="P3102" s="5">
        <v>13</v>
      </c>
      <c r="Q3102" s="5">
        <v>202</v>
      </c>
      <c r="R3102" s="5">
        <v>13</v>
      </c>
      <c r="S3102" s="5">
        <v>171</v>
      </c>
    </row>
    <row r="3103" spans="1:19" ht="28" x14ac:dyDescent="0.15">
      <c r="A3103" s="2">
        <f>HYPERLINK("https://open-school.uspishnemisto.com.ua/school/180012/", 180012)</f>
        <v>180012</v>
      </c>
      <c r="B3103" s="3" t="s">
        <v>16346</v>
      </c>
      <c r="C3103" s="3" t="s">
        <v>31</v>
      </c>
      <c r="D3103" s="3" t="s">
        <v>32</v>
      </c>
      <c r="E3103" s="4" t="s">
        <v>22</v>
      </c>
      <c r="F3103" s="4" t="s">
        <v>16347</v>
      </c>
      <c r="G3103" s="4" t="s">
        <v>16291</v>
      </c>
      <c r="H3103" s="3" t="s">
        <v>16292</v>
      </c>
      <c r="I3103" s="3" t="s">
        <v>16293</v>
      </c>
      <c r="J3103" s="3" t="s">
        <v>16348</v>
      </c>
      <c r="K3103" s="3" t="s">
        <v>16349</v>
      </c>
      <c r="L3103" s="3" t="s">
        <v>16350</v>
      </c>
      <c r="M3103" s="4" t="s">
        <v>16351</v>
      </c>
      <c r="N3103" s="3" t="s">
        <v>37</v>
      </c>
      <c r="O3103" s="3" t="s">
        <v>70</v>
      </c>
      <c r="P3103" s="5">
        <v>28</v>
      </c>
      <c r="Q3103" s="5">
        <v>868</v>
      </c>
      <c r="R3103" s="5">
        <v>27</v>
      </c>
      <c r="S3103" s="5">
        <v>832</v>
      </c>
    </row>
    <row r="3104" spans="1:19" ht="28" x14ac:dyDescent="0.15">
      <c r="A3104" s="2">
        <f>HYPERLINK("https://open-school.uspishnemisto.com.ua/school/180013/", 180013)</f>
        <v>180013</v>
      </c>
      <c r="B3104" s="3" t="s">
        <v>16352</v>
      </c>
      <c r="C3104" s="3" t="s">
        <v>31</v>
      </c>
      <c r="D3104" s="3" t="s">
        <v>32</v>
      </c>
      <c r="E3104" s="4" t="s">
        <v>22</v>
      </c>
      <c r="F3104" s="4" t="s">
        <v>16290</v>
      </c>
      <c r="G3104" s="4" t="s">
        <v>16291</v>
      </c>
      <c r="H3104" s="3" t="s">
        <v>16292</v>
      </c>
      <c r="I3104" s="3" t="s">
        <v>16293</v>
      </c>
      <c r="J3104" s="3" t="s">
        <v>16353</v>
      </c>
      <c r="K3104" s="3" t="s">
        <v>16354</v>
      </c>
      <c r="L3104" s="3"/>
      <c r="M3104" s="4" t="s">
        <v>16355</v>
      </c>
      <c r="N3104" s="3" t="s">
        <v>37</v>
      </c>
      <c r="O3104" s="3" t="s">
        <v>70</v>
      </c>
      <c r="P3104" s="5">
        <v>40</v>
      </c>
      <c r="Q3104" s="5">
        <v>1217</v>
      </c>
      <c r="R3104" s="5">
        <v>39</v>
      </c>
      <c r="S3104" s="5">
        <v>1175</v>
      </c>
    </row>
    <row r="3105" spans="1:19" ht="28" x14ac:dyDescent="0.15">
      <c r="A3105" s="2">
        <f>HYPERLINK("https://open-school.uspishnemisto.com.ua/school/180014/", 180014)</f>
        <v>180014</v>
      </c>
      <c r="B3105" s="3" t="s">
        <v>16356</v>
      </c>
      <c r="C3105" s="3" t="s">
        <v>31</v>
      </c>
      <c r="D3105" s="3" t="s">
        <v>32</v>
      </c>
      <c r="E3105" s="4" t="s">
        <v>22</v>
      </c>
      <c r="F3105" s="4" t="s">
        <v>16331</v>
      </c>
      <c r="G3105" s="4" t="s">
        <v>16291</v>
      </c>
      <c r="H3105" s="3" t="s">
        <v>16292</v>
      </c>
      <c r="I3105" s="3" t="s">
        <v>16293</v>
      </c>
      <c r="J3105" s="3" t="s">
        <v>16357</v>
      </c>
      <c r="K3105" s="3" t="s">
        <v>16358</v>
      </c>
      <c r="L3105" s="3"/>
      <c r="M3105" s="4" t="s">
        <v>16359</v>
      </c>
      <c r="N3105" s="3" t="s">
        <v>37</v>
      </c>
      <c r="O3105" s="3" t="s">
        <v>8857</v>
      </c>
      <c r="P3105" s="5">
        <v>43</v>
      </c>
      <c r="Q3105" s="5">
        <v>1257</v>
      </c>
      <c r="R3105" s="5">
        <v>43</v>
      </c>
      <c r="S3105" s="5">
        <v>1239</v>
      </c>
    </row>
    <row r="3106" spans="1:19" ht="28" x14ac:dyDescent="0.15">
      <c r="A3106" s="2">
        <f>HYPERLINK("https://open-school.uspishnemisto.com.ua/school/180015/", 180015)</f>
        <v>180015</v>
      </c>
      <c r="B3106" s="3" t="s">
        <v>16360</v>
      </c>
      <c r="C3106" s="3" t="s">
        <v>31</v>
      </c>
      <c r="D3106" s="3" t="s">
        <v>32</v>
      </c>
      <c r="E3106" s="4" t="s">
        <v>22</v>
      </c>
      <c r="F3106" s="4" t="s">
        <v>16361</v>
      </c>
      <c r="G3106" s="4" t="s">
        <v>16291</v>
      </c>
      <c r="H3106" s="3" t="s">
        <v>16292</v>
      </c>
      <c r="I3106" s="3" t="s">
        <v>16293</v>
      </c>
      <c r="J3106" s="3" t="s">
        <v>16362</v>
      </c>
      <c r="K3106" s="3" t="s">
        <v>16363</v>
      </c>
      <c r="L3106" s="3"/>
      <c r="M3106" s="4" t="s">
        <v>16364</v>
      </c>
      <c r="N3106" s="3" t="s">
        <v>37</v>
      </c>
      <c r="O3106" s="3" t="s">
        <v>38</v>
      </c>
      <c r="P3106" s="5">
        <v>38</v>
      </c>
      <c r="Q3106" s="5">
        <v>1019</v>
      </c>
      <c r="R3106" s="5">
        <v>37</v>
      </c>
      <c r="S3106" s="5">
        <v>1020</v>
      </c>
    </row>
    <row r="3107" spans="1:19" ht="42" x14ac:dyDescent="0.15">
      <c r="A3107" s="2">
        <f>HYPERLINK("https://open-school.uspishnemisto.com.ua/school/180016/", 180016)</f>
        <v>180016</v>
      </c>
      <c r="B3107" s="3" t="s">
        <v>16365</v>
      </c>
      <c r="C3107" s="3" t="s">
        <v>48</v>
      </c>
      <c r="D3107" s="3" t="s">
        <v>32</v>
      </c>
      <c r="E3107" s="4" t="s">
        <v>22</v>
      </c>
      <c r="F3107" s="4" t="s">
        <v>16366</v>
      </c>
      <c r="G3107" s="4" t="s">
        <v>16291</v>
      </c>
      <c r="H3107" s="3" t="s">
        <v>16292</v>
      </c>
      <c r="I3107" s="3" t="s">
        <v>16293</v>
      </c>
      <c r="J3107" s="3" t="s">
        <v>16367</v>
      </c>
      <c r="K3107" s="3" t="s">
        <v>16368</v>
      </c>
      <c r="L3107" s="3"/>
      <c r="M3107" s="4" t="s">
        <v>16369</v>
      </c>
      <c r="N3107" s="3" t="s">
        <v>37</v>
      </c>
      <c r="O3107" s="3" t="s">
        <v>46</v>
      </c>
      <c r="P3107" s="5">
        <v>17</v>
      </c>
      <c r="Q3107" s="5">
        <v>466</v>
      </c>
      <c r="R3107" s="5">
        <v>17</v>
      </c>
      <c r="S3107" s="5">
        <v>484</v>
      </c>
    </row>
    <row r="3108" spans="1:19" ht="42" x14ac:dyDescent="0.15">
      <c r="A3108" s="2">
        <f>HYPERLINK("https://open-school.uspishnemisto.com.ua/school/180017/", 180017)</f>
        <v>180017</v>
      </c>
      <c r="B3108" s="3" t="s">
        <v>16370</v>
      </c>
      <c r="C3108" s="3" t="s">
        <v>181</v>
      </c>
      <c r="D3108" s="3" t="s">
        <v>32</v>
      </c>
      <c r="E3108" s="4" t="s">
        <v>22</v>
      </c>
      <c r="F3108" s="4" t="s">
        <v>16317</v>
      </c>
      <c r="G3108" s="4" t="s">
        <v>16291</v>
      </c>
      <c r="H3108" s="3" t="s">
        <v>16292</v>
      </c>
      <c r="I3108" s="3" t="s">
        <v>16293</v>
      </c>
      <c r="J3108" s="3" t="s">
        <v>16371</v>
      </c>
      <c r="K3108" s="3" t="s">
        <v>16372</v>
      </c>
      <c r="L3108" s="3"/>
      <c r="M3108" s="4" t="s">
        <v>16373</v>
      </c>
      <c r="N3108" s="3" t="s">
        <v>37</v>
      </c>
      <c r="O3108" s="3" t="s">
        <v>52</v>
      </c>
      <c r="P3108" s="5">
        <v>12</v>
      </c>
      <c r="Q3108" s="5">
        <v>100</v>
      </c>
      <c r="R3108" s="5">
        <v>13</v>
      </c>
      <c r="S3108" s="5">
        <v>113</v>
      </c>
    </row>
    <row r="3109" spans="1:19" ht="28" x14ac:dyDescent="0.15">
      <c r="A3109" s="2">
        <f>HYPERLINK("https://open-school.uspishnemisto.com.ua/school/180018/", 180018)</f>
        <v>180018</v>
      </c>
      <c r="B3109" s="3" t="s">
        <v>16374</v>
      </c>
      <c r="C3109" s="3" t="s">
        <v>181</v>
      </c>
      <c r="D3109" s="3" t="s">
        <v>175</v>
      </c>
      <c r="E3109" s="4" t="s">
        <v>22</v>
      </c>
      <c r="F3109" s="4" t="s">
        <v>16317</v>
      </c>
      <c r="G3109" s="4" t="s">
        <v>16291</v>
      </c>
      <c r="H3109" s="3" t="s">
        <v>16292</v>
      </c>
      <c r="I3109" s="3" t="s">
        <v>16293</v>
      </c>
      <c r="J3109" s="3" t="s">
        <v>16375</v>
      </c>
      <c r="K3109" s="3" t="s">
        <v>16376</v>
      </c>
      <c r="L3109" s="3"/>
      <c r="M3109" s="4" t="s">
        <v>16377</v>
      </c>
      <c r="N3109" s="3" t="s">
        <v>37</v>
      </c>
      <c r="O3109" s="3"/>
      <c r="P3109" s="5">
        <v>19</v>
      </c>
      <c r="Q3109" s="5">
        <v>233</v>
      </c>
      <c r="R3109" s="5">
        <v>20</v>
      </c>
      <c r="S3109" s="5">
        <v>242</v>
      </c>
    </row>
    <row r="3110" spans="1:19" ht="28" x14ac:dyDescent="0.15">
      <c r="A3110" s="2">
        <f>HYPERLINK("https://open-school.uspishnemisto.com.ua/school/180019/", 180019)</f>
        <v>180019</v>
      </c>
      <c r="B3110" s="3" t="s">
        <v>16378</v>
      </c>
      <c r="C3110" s="3" t="s">
        <v>188</v>
      </c>
      <c r="D3110" s="3" t="s">
        <v>32</v>
      </c>
      <c r="E3110" s="4" t="s">
        <v>22</v>
      </c>
      <c r="F3110" s="4" t="s">
        <v>16366</v>
      </c>
      <c r="G3110" s="4" t="s">
        <v>16291</v>
      </c>
      <c r="H3110" s="3" t="s">
        <v>16292</v>
      </c>
      <c r="I3110" s="3" t="s">
        <v>16293</v>
      </c>
      <c r="J3110" s="3" t="s">
        <v>16379</v>
      </c>
      <c r="K3110" s="3" t="s">
        <v>16380</v>
      </c>
      <c r="L3110" s="3"/>
      <c r="M3110" s="4" t="s">
        <v>16381</v>
      </c>
      <c r="N3110" s="3" t="s">
        <v>37</v>
      </c>
      <c r="O3110" s="3" t="s">
        <v>52</v>
      </c>
      <c r="P3110" s="5">
        <v>21</v>
      </c>
      <c r="Q3110" s="5">
        <v>557</v>
      </c>
      <c r="R3110" s="5">
        <v>21</v>
      </c>
      <c r="S3110" s="5">
        <v>521</v>
      </c>
    </row>
    <row r="3111" spans="1:19" ht="28" x14ac:dyDescent="0.15">
      <c r="A3111" s="2">
        <f>HYPERLINK("https://open-school.uspishnemisto.com.ua/school/180020/", 180020)</f>
        <v>180020</v>
      </c>
      <c r="B3111" s="3" t="s">
        <v>16382</v>
      </c>
      <c r="C3111" s="3" t="s">
        <v>188</v>
      </c>
      <c r="D3111" s="3" t="s">
        <v>32</v>
      </c>
      <c r="E3111" s="4" t="s">
        <v>22</v>
      </c>
      <c r="F3111" s="4" t="s">
        <v>16317</v>
      </c>
      <c r="G3111" s="4" t="s">
        <v>16291</v>
      </c>
      <c r="H3111" s="3" t="s">
        <v>16292</v>
      </c>
      <c r="I3111" s="3" t="s">
        <v>16293</v>
      </c>
      <c r="J3111" s="3" t="s">
        <v>16383</v>
      </c>
      <c r="K3111" s="3" t="s">
        <v>16384</v>
      </c>
      <c r="L3111" s="3"/>
      <c r="M3111" s="4" t="s">
        <v>16385</v>
      </c>
      <c r="N3111" s="3" t="s">
        <v>37</v>
      </c>
      <c r="O3111" s="3" t="s">
        <v>266</v>
      </c>
      <c r="P3111" s="5">
        <v>41</v>
      </c>
      <c r="Q3111" s="5">
        <v>1229</v>
      </c>
      <c r="R3111" s="5">
        <v>40</v>
      </c>
      <c r="S3111" s="5">
        <v>1181</v>
      </c>
    </row>
    <row r="3112" spans="1:19" ht="28" x14ac:dyDescent="0.15">
      <c r="A3112" s="2">
        <f>HYPERLINK("https://open-school.uspishnemisto.com.ua/school/180021/", 180021)</f>
        <v>180021</v>
      </c>
      <c r="B3112" s="3" t="s">
        <v>16386</v>
      </c>
      <c r="C3112" s="3" t="s">
        <v>244</v>
      </c>
      <c r="D3112" s="3" t="s">
        <v>32</v>
      </c>
      <c r="E3112" s="4" t="s">
        <v>22</v>
      </c>
      <c r="F3112" s="4" t="s">
        <v>16387</v>
      </c>
      <c r="G3112" s="4" t="s">
        <v>16291</v>
      </c>
      <c r="H3112" s="3" t="s">
        <v>16292</v>
      </c>
      <c r="I3112" s="3" t="s">
        <v>16293</v>
      </c>
      <c r="J3112" s="3" t="s">
        <v>16388</v>
      </c>
      <c r="K3112" s="3" t="s">
        <v>16389</v>
      </c>
      <c r="L3112" s="3" t="s">
        <v>16390</v>
      </c>
      <c r="M3112" s="4" t="s">
        <v>16391</v>
      </c>
      <c r="N3112" s="3" t="s">
        <v>37</v>
      </c>
      <c r="O3112" s="3" t="s">
        <v>237</v>
      </c>
      <c r="P3112" s="5">
        <v>41</v>
      </c>
      <c r="Q3112" s="5">
        <v>1148</v>
      </c>
      <c r="R3112" s="5">
        <v>39</v>
      </c>
      <c r="S3112" s="5">
        <v>1065</v>
      </c>
    </row>
    <row r="3113" spans="1:19" ht="28" x14ac:dyDescent="0.15">
      <c r="A3113" s="2">
        <f>HYPERLINK("https://open-school.uspishnemisto.com.ua/school/180022/", 180022)</f>
        <v>180022</v>
      </c>
      <c r="B3113" s="3" t="s">
        <v>16392</v>
      </c>
      <c r="C3113" s="3" t="s">
        <v>31</v>
      </c>
      <c r="D3113" s="3" t="s">
        <v>32</v>
      </c>
      <c r="E3113" s="4" t="s">
        <v>22</v>
      </c>
      <c r="F3113" s="4" t="s">
        <v>16290</v>
      </c>
      <c r="G3113" s="4" t="s">
        <v>16291</v>
      </c>
      <c r="H3113" s="3" t="s">
        <v>16292</v>
      </c>
      <c r="I3113" s="3" t="s">
        <v>16293</v>
      </c>
      <c r="J3113" s="3" t="s">
        <v>16393</v>
      </c>
      <c r="K3113" s="3" t="s">
        <v>16394</v>
      </c>
      <c r="L3113" s="3"/>
      <c r="M3113" s="4" t="s">
        <v>16395</v>
      </c>
      <c r="N3113" s="3" t="s">
        <v>37</v>
      </c>
      <c r="O3113" s="3" t="s">
        <v>129</v>
      </c>
      <c r="P3113" s="5">
        <v>54</v>
      </c>
      <c r="Q3113" s="5">
        <v>1655</v>
      </c>
      <c r="R3113" s="5">
        <v>53</v>
      </c>
      <c r="S3113" s="5">
        <v>1608</v>
      </c>
    </row>
    <row r="3114" spans="1:19" ht="28" x14ac:dyDescent="0.15">
      <c r="A3114" s="2">
        <f>HYPERLINK("https://open-school.uspishnemisto.com.ua/school/180023/", 180023)</f>
        <v>180023</v>
      </c>
      <c r="B3114" s="3" t="s">
        <v>16396</v>
      </c>
      <c r="C3114" s="3" t="s">
        <v>40</v>
      </c>
      <c r="D3114" s="3" t="s">
        <v>32</v>
      </c>
      <c r="E3114" s="4" t="s">
        <v>22</v>
      </c>
      <c r="F3114" s="4" t="s">
        <v>16361</v>
      </c>
      <c r="G3114" s="4" t="s">
        <v>16291</v>
      </c>
      <c r="H3114" s="3" t="s">
        <v>16292</v>
      </c>
      <c r="I3114" s="3" t="s">
        <v>16293</v>
      </c>
      <c r="J3114" s="3" t="s">
        <v>16397</v>
      </c>
      <c r="K3114" s="3" t="s">
        <v>16398</v>
      </c>
      <c r="L3114" s="3"/>
      <c r="M3114" s="4" t="s">
        <v>16399</v>
      </c>
      <c r="N3114" s="3" t="s">
        <v>37</v>
      </c>
      <c r="O3114" s="3" t="s">
        <v>2776</v>
      </c>
      <c r="P3114" s="5">
        <v>33</v>
      </c>
      <c r="Q3114" s="5">
        <v>977</v>
      </c>
      <c r="R3114" s="5">
        <v>33</v>
      </c>
      <c r="S3114" s="5">
        <v>983</v>
      </c>
    </row>
    <row r="3115" spans="1:19" ht="28" x14ac:dyDescent="0.15">
      <c r="A3115" s="2">
        <f>HYPERLINK("https://open-school.uspishnemisto.com.ua/school/180025/", 180025)</f>
        <v>180025</v>
      </c>
      <c r="B3115" s="3" t="s">
        <v>16400</v>
      </c>
      <c r="C3115" s="3" t="s">
        <v>188</v>
      </c>
      <c r="D3115" s="3" t="s">
        <v>32</v>
      </c>
      <c r="E3115" s="4" t="s">
        <v>22</v>
      </c>
      <c r="F3115" s="4" t="s">
        <v>16341</v>
      </c>
      <c r="G3115" s="4" t="s">
        <v>16291</v>
      </c>
      <c r="H3115" s="3" t="s">
        <v>16292</v>
      </c>
      <c r="I3115" s="3" t="s">
        <v>16293</v>
      </c>
      <c r="J3115" s="3" t="s">
        <v>16401</v>
      </c>
      <c r="K3115" s="3" t="s">
        <v>16402</v>
      </c>
      <c r="L3115" s="3" t="s">
        <v>16403</v>
      </c>
      <c r="M3115" s="4" t="s">
        <v>16404</v>
      </c>
      <c r="N3115" s="3" t="s">
        <v>37</v>
      </c>
      <c r="O3115" s="3" t="s">
        <v>46</v>
      </c>
      <c r="P3115" s="5">
        <v>12</v>
      </c>
      <c r="Q3115" s="5">
        <v>361</v>
      </c>
      <c r="R3115" s="5">
        <v>12</v>
      </c>
      <c r="S3115" s="5">
        <v>363</v>
      </c>
    </row>
    <row r="3116" spans="1:19" ht="28" x14ac:dyDescent="0.15">
      <c r="A3116" s="2">
        <f>HYPERLINK("https://open-school.uspishnemisto.com.ua/school/180027/", 180027)</f>
        <v>180027</v>
      </c>
      <c r="B3116" s="3" t="s">
        <v>16405</v>
      </c>
      <c r="C3116" s="3" t="s">
        <v>174</v>
      </c>
      <c r="D3116" s="3" t="s">
        <v>60</v>
      </c>
      <c r="E3116" s="4" t="s">
        <v>22</v>
      </c>
      <c r="F3116" s="4" t="s">
        <v>16361</v>
      </c>
      <c r="G3116" s="4" t="s">
        <v>16291</v>
      </c>
      <c r="H3116" s="3" t="s">
        <v>16292</v>
      </c>
      <c r="I3116" s="3" t="s">
        <v>16293</v>
      </c>
      <c r="J3116" s="3" t="s">
        <v>16406</v>
      </c>
      <c r="K3116" s="3" t="s">
        <v>16407</v>
      </c>
      <c r="L3116" s="3"/>
      <c r="M3116" s="4" t="s">
        <v>16408</v>
      </c>
      <c r="N3116" s="3" t="s">
        <v>37</v>
      </c>
      <c r="O3116" s="3" t="s">
        <v>52</v>
      </c>
      <c r="P3116" s="5">
        <v>5</v>
      </c>
      <c r="Q3116" s="5">
        <v>70</v>
      </c>
      <c r="R3116" s="5">
        <v>0</v>
      </c>
      <c r="S3116" s="5">
        <v>0</v>
      </c>
    </row>
    <row r="3117" spans="1:19" ht="28" x14ac:dyDescent="0.15">
      <c r="A3117" s="2">
        <f>HYPERLINK("https://open-school.uspishnemisto.com.ua/school/180029/", 180029)</f>
        <v>180029</v>
      </c>
      <c r="B3117" s="3" t="s">
        <v>16409</v>
      </c>
      <c r="C3117" s="3" t="s">
        <v>31</v>
      </c>
      <c r="D3117" s="3" t="s">
        <v>32</v>
      </c>
      <c r="E3117" s="4" t="s">
        <v>22</v>
      </c>
      <c r="F3117" s="4" t="s">
        <v>16387</v>
      </c>
      <c r="G3117" s="4" t="s">
        <v>16291</v>
      </c>
      <c r="H3117" s="3" t="s">
        <v>16292</v>
      </c>
      <c r="I3117" s="3" t="s">
        <v>16293</v>
      </c>
      <c r="J3117" s="3" t="s">
        <v>16410</v>
      </c>
      <c r="K3117" s="3" t="s">
        <v>16411</v>
      </c>
      <c r="L3117" s="3"/>
      <c r="M3117" s="4" t="s">
        <v>16412</v>
      </c>
      <c r="N3117" s="3" t="s">
        <v>37</v>
      </c>
      <c r="O3117" s="3" t="s">
        <v>129</v>
      </c>
      <c r="P3117" s="5">
        <v>49</v>
      </c>
      <c r="Q3117" s="5">
        <v>1543</v>
      </c>
      <c r="R3117" s="5">
        <v>48</v>
      </c>
      <c r="S3117" s="5">
        <v>1465</v>
      </c>
    </row>
    <row r="3118" spans="1:19" ht="28" x14ac:dyDescent="0.15">
      <c r="A3118" s="2">
        <f>HYPERLINK("https://open-school.uspishnemisto.com.ua/school/180030/", 180030)</f>
        <v>180030</v>
      </c>
      <c r="B3118" s="3" t="s">
        <v>16413</v>
      </c>
      <c r="C3118" s="3" t="s">
        <v>31</v>
      </c>
      <c r="D3118" s="3" t="s">
        <v>32</v>
      </c>
      <c r="E3118" s="4" t="s">
        <v>22</v>
      </c>
      <c r="F3118" s="4" t="s">
        <v>16336</v>
      </c>
      <c r="G3118" s="4" t="s">
        <v>16291</v>
      </c>
      <c r="H3118" s="3" t="s">
        <v>16292</v>
      </c>
      <c r="I3118" s="3" t="s">
        <v>16293</v>
      </c>
      <c r="J3118" s="3" t="s">
        <v>16414</v>
      </c>
      <c r="K3118" s="3" t="s">
        <v>16415</v>
      </c>
      <c r="L3118" s="3"/>
      <c r="M3118" s="4" t="s">
        <v>16416</v>
      </c>
      <c r="N3118" s="3" t="s">
        <v>37</v>
      </c>
      <c r="O3118" s="3" t="s">
        <v>38</v>
      </c>
      <c r="P3118" s="5">
        <v>21</v>
      </c>
      <c r="Q3118" s="5">
        <v>601</v>
      </c>
      <c r="R3118" s="5">
        <v>21</v>
      </c>
      <c r="S3118" s="5">
        <v>579</v>
      </c>
    </row>
    <row r="3119" spans="1:19" ht="28" x14ac:dyDescent="0.15">
      <c r="A3119" s="2">
        <f>HYPERLINK("https://open-school.uspishnemisto.com.ua/school/180032/", 180032)</f>
        <v>180032</v>
      </c>
      <c r="B3119" s="3" t="s">
        <v>16417</v>
      </c>
      <c r="C3119" s="3" t="s">
        <v>31</v>
      </c>
      <c r="D3119" s="3" t="s">
        <v>32</v>
      </c>
      <c r="E3119" s="4" t="s">
        <v>22</v>
      </c>
      <c r="F3119" s="4" t="s">
        <v>16361</v>
      </c>
      <c r="G3119" s="4" t="s">
        <v>16291</v>
      </c>
      <c r="H3119" s="3" t="s">
        <v>16292</v>
      </c>
      <c r="I3119" s="3" t="s">
        <v>16293</v>
      </c>
      <c r="J3119" s="3" t="s">
        <v>16418</v>
      </c>
      <c r="K3119" s="3" t="s">
        <v>16419</v>
      </c>
      <c r="L3119" s="3"/>
      <c r="M3119" s="4" t="s">
        <v>16420</v>
      </c>
      <c r="N3119" s="3" t="s">
        <v>37</v>
      </c>
      <c r="O3119" s="3" t="s">
        <v>129</v>
      </c>
      <c r="P3119" s="5">
        <v>23</v>
      </c>
      <c r="Q3119" s="5">
        <v>629</v>
      </c>
      <c r="R3119" s="5">
        <v>23</v>
      </c>
      <c r="S3119" s="5">
        <v>654</v>
      </c>
    </row>
    <row r="3120" spans="1:19" ht="28" x14ac:dyDescent="0.15">
      <c r="A3120" s="2">
        <f>HYPERLINK("https://open-school.uspishnemisto.com.ua/school/180033/", 180033)</f>
        <v>180033</v>
      </c>
      <c r="B3120" s="3" t="s">
        <v>16421</v>
      </c>
      <c r="C3120" s="3" t="s">
        <v>31</v>
      </c>
      <c r="D3120" s="3" t="s">
        <v>32</v>
      </c>
      <c r="E3120" s="4" t="s">
        <v>22</v>
      </c>
      <c r="F3120" s="4" t="s">
        <v>16361</v>
      </c>
      <c r="G3120" s="4" t="s">
        <v>16291</v>
      </c>
      <c r="H3120" s="3" t="s">
        <v>16292</v>
      </c>
      <c r="I3120" s="3" t="s">
        <v>16293</v>
      </c>
      <c r="J3120" s="3" t="s">
        <v>16422</v>
      </c>
      <c r="K3120" s="3" t="s">
        <v>16423</v>
      </c>
      <c r="L3120" s="3" t="s">
        <v>16424</v>
      </c>
      <c r="M3120" s="4" t="s">
        <v>16425</v>
      </c>
      <c r="N3120" s="3" t="s">
        <v>37</v>
      </c>
      <c r="O3120" s="3" t="s">
        <v>237</v>
      </c>
      <c r="P3120" s="5">
        <v>36</v>
      </c>
      <c r="Q3120" s="5">
        <v>1051</v>
      </c>
      <c r="R3120" s="5">
        <v>35</v>
      </c>
      <c r="S3120" s="5">
        <v>1001</v>
      </c>
    </row>
    <row r="3121" spans="1:19" ht="28" x14ac:dyDescent="0.15">
      <c r="A3121" s="2">
        <f>HYPERLINK("https://open-school.uspishnemisto.com.ua/school/180036/", 180036)</f>
        <v>180036</v>
      </c>
      <c r="B3121" s="3" t="s">
        <v>16426</v>
      </c>
      <c r="C3121" s="3" t="s">
        <v>31</v>
      </c>
      <c r="D3121" s="3" t="s">
        <v>32</v>
      </c>
      <c r="E3121" s="4" t="s">
        <v>22</v>
      </c>
      <c r="F3121" s="4" t="s">
        <v>16427</v>
      </c>
      <c r="G3121" s="4" t="s">
        <v>16291</v>
      </c>
      <c r="H3121" s="3" t="s">
        <v>16292</v>
      </c>
      <c r="I3121" s="3" t="s">
        <v>16293</v>
      </c>
      <c r="J3121" s="3" t="s">
        <v>16428</v>
      </c>
      <c r="K3121" s="3" t="s">
        <v>16429</v>
      </c>
      <c r="L3121" s="3"/>
      <c r="M3121" s="4" t="s">
        <v>16430</v>
      </c>
      <c r="N3121" s="3" t="s">
        <v>37</v>
      </c>
      <c r="O3121" s="3" t="s">
        <v>129</v>
      </c>
      <c r="P3121" s="5">
        <v>40</v>
      </c>
      <c r="Q3121" s="5">
        <v>1070</v>
      </c>
      <c r="R3121" s="5">
        <v>40</v>
      </c>
      <c r="S3121" s="5">
        <v>1056</v>
      </c>
    </row>
    <row r="3122" spans="1:19" ht="28" x14ac:dyDescent="0.15">
      <c r="A3122" s="2">
        <f>HYPERLINK("https://open-school.uspishnemisto.com.ua/school/180037/", 180037)</f>
        <v>180037</v>
      </c>
      <c r="B3122" s="3" t="s">
        <v>16431</v>
      </c>
      <c r="C3122" s="3" t="s">
        <v>31</v>
      </c>
      <c r="D3122" s="3" t="s">
        <v>32</v>
      </c>
      <c r="E3122" s="4" t="s">
        <v>22</v>
      </c>
      <c r="F3122" s="4" t="s">
        <v>16432</v>
      </c>
      <c r="G3122" s="4" t="s">
        <v>16291</v>
      </c>
      <c r="H3122" s="3" t="s">
        <v>16292</v>
      </c>
      <c r="I3122" s="3" t="s">
        <v>16293</v>
      </c>
      <c r="J3122" s="3" t="s">
        <v>16433</v>
      </c>
      <c r="K3122" s="3" t="s">
        <v>16434</v>
      </c>
      <c r="L3122" s="3" t="s">
        <v>16435</v>
      </c>
      <c r="M3122" s="4" t="s">
        <v>16436</v>
      </c>
      <c r="N3122" s="3" t="s">
        <v>37</v>
      </c>
      <c r="O3122" s="3" t="s">
        <v>70</v>
      </c>
      <c r="P3122" s="5">
        <v>31</v>
      </c>
      <c r="Q3122" s="5">
        <v>941</v>
      </c>
      <c r="R3122" s="5">
        <v>30</v>
      </c>
      <c r="S3122" s="5">
        <v>880</v>
      </c>
    </row>
    <row r="3123" spans="1:19" ht="28" x14ac:dyDescent="0.15">
      <c r="A3123" s="2">
        <f>HYPERLINK("https://open-school.uspishnemisto.com.ua/school/180038/", 180038)</f>
        <v>180038</v>
      </c>
      <c r="B3123" s="3" t="s">
        <v>16437</v>
      </c>
      <c r="C3123" s="3" t="s">
        <v>31</v>
      </c>
      <c r="D3123" s="3" t="s">
        <v>32</v>
      </c>
      <c r="E3123" s="4" t="s">
        <v>22</v>
      </c>
      <c r="F3123" s="4" t="s">
        <v>16298</v>
      </c>
      <c r="G3123" s="4" t="s">
        <v>16291</v>
      </c>
      <c r="H3123" s="3" t="s">
        <v>16292</v>
      </c>
      <c r="I3123" s="3" t="s">
        <v>16293</v>
      </c>
      <c r="J3123" s="3" t="s">
        <v>16438</v>
      </c>
      <c r="K3123" s="3" t="s">
        <v>16439</v>
      </c>
      <c r="L3123" s="3"/>
      <c r="M3123" s="4" t="s">
        <v>16440</v>
      </c>
      <c r="N3123" s="3" t="s">
        <v>37</v>
      </c>
      <c r="O3123" s="3" t="s">
        <v>38</v>
      </c>
      <c r="P3123" s="5">
        <v>27</v>
      </c>
      <c r="Q3123" s="5">
        <v>734</v>
      </c>
      <c r="R3123" s="5">
        <v>26</v>
      </c>
      <c r="S3123" s="5">
        <v>722</v>
      </c>
    </row>
    <row r="3124" spans="1:19" ht="28" x14ac:dyDescent="0.15">
      <c r="A3124" s="2">
        <f>HYPERLINK("https://open-school.uspishnemisto.com.ua/school/180039/", 180039)</f>
        <v>180039</v>
      </c>
      <c r="B3124" s="3" t="s">
        <v>16441</v>
      </c>
      <c r="C3124" s="3" t="s">
        <v>244</v>
      </c>
      <c r="D3124" s="3" t="s">
        <v>32</v>
      </c>
      <c r="E3124" s="4" t="s">
        <v>22</v>
      </c>
      <c r="F3124" s="4" t="s">
        <v>16322</v>
      </c>
      <c r="G3124" s="4" t="s">
        <v>16291</v>
      </c>
      <c r="H3124" s="3" t="s">
        <v>16292</v>
      </c>
      <c r="I3124" s="3" t="s">
        <v>16293</v>
      </c>
      <c r="J3124" s="3" t="s">
        <v>16442</v>
      </c>
      <c r="K3124" s="3" t="s">
        <v>16443</v>
      </c>
      <c r="L3124" s="3" t="s">
        <v>16444</v>
      </c>
      <c r="M3124" s="4" t="s">
        <v>16445</v>
      </c>
      <c r="N3124" s="3" t="s">
        <v>37</v>
      </c>
      <c r="O3124" s="3" t="s">
        <v>2740</v>
      </c>
      <c r="P3124" s="5">
        <v>29</v>
      </c>
      <c r="Q3124" s="5">
        <v>771</v>
      </c>
      <c r="R3124" s="5">
        <v>27</v>
      </c>
      <c r="S3124" s="5">
        <v>722</v>
      </c>
    </row>
    <row r="3125" spans="1:19" ht="28" x14ac:dyDescent="0.15">
      <c r="A3125" s="2">
        <f>HYPERLINK("https://open-school.uspishnemisto.com.ua/school/180042/", 180042)</f>
        <v>180042</v>
      </c>
      <c r="B3125" s="3" t="s">
        <v>16446</v>
      </c>
      <c r="C3125" s="3" t="s">
        <v>31</v>
      </c>
      <c r="D3125" s="3" t="s">
        <v>32</v>
      </c>
      <c r="E3125" s="4" t="s">
        <v>22</v>
      </c>
      <c r="F3125" s="4" t="s">
        <v>16347</v>
      </c>
      <c r="G3125" s="4" t="s">
        <v>16291</v>
      </c>
      <c r="H3125" s="3" t="s">
        <v>16292</v>
      </c>
      <c r="I3125" s="3" t="s">
        <v>16293</v>
      </c>
      <c r="J3125" s="3" t="s">
        <v>16447</v>
      </c>
      <c r="K3125" s="3" t="s">
        <v>16448</v>
      </c>
      <c r="L3125" s="3"/>
      <c r="M3125" s="4" t="s">
        <v>16449</v>
      </c>
      <c r="N3125" s="3" t="s">
        <v>37</v>
      </c>
      <c r="O3125" s="3" t="s">
        <v>70</v>
      </c>
      <c r="P3125" s="5">
        <v>15</v>
      </c>
      <c r="Q3125" s="5">
        <v>355</v>
      </c>
      <c r="R3125" s="5">
        <v>15</v>
      </c>
      <c r="S3125" s="5">
        <v>319</v>
      </c>
    </row>
    <row r="3126" spans="1:19" ht="28" x14ac:dyDescent="0.15">
      <c r="A3126" s="2">
        <f>HYPERLINK("https://open-school.uspishnemisto.com.ua/school/180024/", 180024)</f>
        <v>180024</v>
      </c>
      <c r="B3126" s="3" t="s">
        <v>16450</v>
      </c>
      <c r="C3126" s="3" t="s">
        <v>40</v>
      </c>
      <c r="D3126" s="3" t="s">
        <v>32</v>
      </c>
      <c r="E3126" s="4" t="s">
        <v>41</v>
      </c>
      <c r="F3126" s="4" t="s">
        <v>16361</v>
      </c>
      <c r="G3126" s="4" t="s">
        <v>16451</v>
      </c>
      <c r="H3126" s="3" t="s">
        <v>16292</v>
      </c>
      <c r="I3126" s="3" t="s">
        <v>16452</v>
      </c>
      <c r="J3126" s="3" t="s">
        <v>16453</v>
      </c>
      <c r="K3126" s="3" t="s">
        <v>16454</v>
      </c>
      <c r="L3126" s="3" t="s">
        <v>16455</v>
      </c>
      <c r="M3126" s="4"/>
      <c r="N3126" s="3" t="s">
        <v>37</v>
      </c>
      <c r="O3126" s="3" t="s">
        <v>16456</v>
      </c>
      <c r="P3126" s="5">
        <v>11</v>
      </c>
      <c r="Q3126" s="5">
        <v>105</v>
      </c>
      <c r="R3126" s="5">
        <v>11</v>
      </c>
      <c r="S3126" s="5">
        <v>107</v>
      </c>
    </row>
    <row r="3127" spans="1:19" ht="28" x14ac:dyDescent="0.15">
      <c r="A3127" s="2">
        <f>HYPERLINK("https://open-school.uspishnemisto.com.ua/school/180026/", 180026)</f>
        <v>180026</v>
      </c>
      <c r="B3127" s="3" t="s">
        <v>16457</v>
      </c>
      <c r="C3127" s="3" t="s">
        <v>54</v>
      </c>
      <c r="D3127" s="3" t="s">
        <v>60</v>
      </c>
      <c r="E3127" s="4" t="s">
        <v>22</v>
      </c>
      <c r="F3127" s="4" t="s">
        <v>16387</v>
      </c>
      <c r="G3127" s="4" t="s">
        <v>16451</v>
      </c>
      <c r="H3127" s="3" t="s">
        <v>16292</v>
      </c>
      <c r="I3127" s="3" t="s">
        <v>16452</v>
      </c>
      <c r="J3127" s="3" t="s">
        <v>16458</v>
      </c>
      <c r="K3127" s="3" t="s">
        <v>16459</v>
      </c>
      <c r="L3127" s="3"/>
      <c r="M3127" s="4" t="s">
        <v>16460</v>
      </c>
      <c r="N3127" s="3" t="s">
        <v>37</v>
      </c>
      <c r="O3127" s="3" t="s">
        <v>52</v>
      </c>
      <c r="P3127" s="5">
        <v>4</v>
      </c>
      <c r="Q3127" s="5">
        <v>136</v>
      </c>
      <c r="R3127" s="5">
        <v>4</v>
      </c>
      <c r="S3127" s="5">
        <v>140</v>
      </c>
    </row>
    <row r="3128" spans="1:19" ht="28" x14ac:dyDescent="0.15">
      <c r="A3128" s="2">
        <f>HYPERLINK("https://open-school.uspishnemisto.com.ua/school/180028/", 180028)</f>
        <v>180028</v>
      </c>
      <c r="B3128" s="3" t="s">
        <v>16461</v>
      </c>
      <c r="C3128" s="3" t="s">
        <v>31</v>
      </c>
      <c r="D3128" s="3" t="s">
        <v>32</v>
      </c>
      <c r="E3128" s="4" t="s">
        <v>22</v>
      </c>
      <c r="F3128" s="4" t="s">
        <v>16462</v>
      </c>
      <c r="G3128" s="4" t="s">
        <v>16451</v>
      </c>
      <c r="H3128" s="3" t="s">
        <v>16292</v>
      </c>
      <c r="I3128" s="3" t="s">
        <v>16452</v>
      </c>
      <c r="J3128" s="3" t="s">
        <v>16463</v>
      </c>
      <c r="K3128" s="3" t="s">
        <v>16464</v>
      </c>
      <c r="L3128" s="3" t="s">
        <v>16465</v>
      </c>
      <c r="M3128" s="4" t="s">
        <v>16466</v>
      </c>
      <c r="N3128" s="3" t="s">
        <v>37</v>
      </c>
      <c r="O3128" s="3" t="s">
        <v>70</v>
      </c>
      <c r="P3128" s="5">
        <v>43</v>
      </c>
      <c r="Q3128" s="5">
        <v>1183</v>
      </c>
      <c r="R3128" s="5">
        <v>42</v>
      </c>
      <c r="S3128" s="5">
        <v>1153</v>
      </c>
    </row>
    <row r="3129" spans="1:19" ht="28" x14ac:dyDescent="0.15">
      <c r="A3129" s="2">
        <f>HYPERLINK("https://open-school.uspishnemisto.com.ua/school/180031/", 180031)</f>
        <v>180031</v>
      </c>
      <c r="B3129" s="3" t="s">
        <v>16467</v>
      </c>
      <c r="C3129" s="3" t="s">
        <v>31</v>
      </c>
      <c r="D3129" s="3" t="s">
        <v>32</v>
      </c>
      <c r="E3129" s="4" t="s">
        <v>22</v>
      </c>
      <c r="F3129" s="4" t="s">
        <v>16341</v>
      </c>
      <c r="G3129" s="4" t="s">
        <v>16451</v>
      </c>
      <c r="H3129" s="3" t="s">
        <v>16292</v>
      </c>
      <c r="I3129" s="3" t="s">
        <v>16452</v>
      </c>
      <c r="J3129" s="3" t="s">
        <v>16468</v>
      </c>
      <c r="K3129" s="3" t="s">
        <v>16469</v>
      </c>
      <c r="L3129" s="3" t="s">
        <v>16470</v>
      </c>
      <c r="M3129" s="4" t="s">
        <v>16471</v>
      </c>
      <c r="N3129" s="3" t="s">
        <v>37</v>
      </c>
      <c r="O3129" s="3" t="s">
        <v>70</v>
      </c>
      <c r="P3129" s="5">
        <v>38</v>
      </c>
      <c r="Q3129" s="5">
        <v>1080</v>
      </c>
      <c r="R3129" s="5">
        <v>38</v>
      </c>
      <c r="S3129" s="5">
        <v>1035</v>
      </c>
    </row>
    <row r="3130" spans="1:19" ht="28" x14ac:dyDescent="0.15">
      <c r="A3130" s="2">
        <f>HYPERLINK("https://open-school.uspishnemisto.com.ua/school/180034/", 180034)</f>
        <v>180034</v>
      </c>
      <c r="B3130" s="3" t="s">
        <v>16472</v>
      </c>
      <c r="C3130" s="3" t="s">
        <v>31</v>
      </c>
      <c r="D3130" s="3" t="s">
        <v>32</v>
      </c>
      <c r="E3130" s="4" t="s">
        <v>41</v>
      </c>
      <c r="F3130" s="4" t="s">
        <v>16331</v>
      </c>
      <c r="G3130" s="4" t="s">
        <v>16473</v>
      </c>
      <c r="H3130" s="3" t="s">
        <v>16292</v>
      </c>
      <c r="I3130" s="3" t="s">
        <v>16474</v>
      </c>
      <c r="J3130" s="3" t="s">
        <v>16475</v>
      </c>
      <c r="K3130" s="3" t="s">
        <v>16476</v>
      </c>
      <c r="L3130" s="3"/>
      <c r="M3130" s="4"/>
      <c r="N3130" s="3" t="s">
        <v>37</v>
      </c>
      <c r="O3130" s="3" t="s">
        <v>139</v>
      </c>
      <c r="P3130" s="5">
        <v>13</v>
      </c>
      <c r="Q3130" s="5">
        <v>279</v>
      </c>
      <c r="R3130" s="5">
        <v>13</v>
      </c>
      <c r="S3130" s="5">
        <v>272</v>
      </c>
    </row>
    <row r="3131" spans="1:19" ht="28" x14ac:dyDescent="0.15">
      <c r="A3131" s="2">
        <f>HYPERLINK("https://open-school.uspishnemisto.com.ua/school/180035/", 180035)</f>
        <v>180035</v>
      </c>
      <c r="B3131" s="3" t="s">
        <v>16477</v>
      </c>
      <c r="C3131" s="3" t="s">
        <v>31</v>
      </c>
      <c r="D3131" s="3" t="s">
        <v>32</v>
      </c>
      <c r="E3131" s="4" t="s">
        <v>22</v>
      </c>
      <c r="F3131" s="4" t="s">
        <v>16298</v>
      </c>
      <c r="G3131" s="4" t="s">
        <v>16473</v>
      </c>
      <c r="H3131" s="3" t="s">
        <v>16292</v>
      </c>
      <c r="I3131" s="3" t="s">
        <v>16474</v>
      </c>
      <c r="J3131" s="3" t="s">
        <v>16478</v>
      </c>
      <c r="K3131" s="3" t="s">
        <v>16479</v>
      </c>
      <c r="L3131" s="3"/>
      <c r="M3131" s="4" t="s">
        <v>16480</v>
      </c>
      <c r="N3131" s="3" t="s">
        <v>37</v>
      </c>
      <c r="O3131" s="3" t="s">
        <v>266</v>
      </c>
      <c r="P3131" s="5">
        <v>26</v>
      </c>
      <c r="Q3131" s="5">
        <v>717</v>
      </c>
      <c r="R3131" s="5">
        <v>25</v>
      </c>
      <c r="S3131" s="5">
        <v>679</v>
      </c>
    </row>
    <row r="3132" spans="1:19" ht="28" x14ac:dyDescent="0.15">
      <c r="A3132" s="2">
        <f>HYPERLINK("https://open-school.uspishnemisto.com.ua/school/180040/", 180040)</f>
        <v>180040</v>
      </c>
      <c r="B3132" s="3" t="s">
        <v>16481</v>
      </c>
      <c r="C3132" s="3" t="s">
        <v>188</v>
      </c>
      <c r="D3132" s="3" t="s">
        <v>32</v>
      </c>
      <c r="E3132" s="4" t="s">
        <v>22</v>
      </c>
      <c r="F3132" s="4" t="s">
        <v>16482</v>
      </c>
      <c r="G3132" s="4" t="s">
        <v>16473</v>
      </c>
      <c r="H3132" s="3" t="s">
        <v>16292</v>
      </c>
      <c r="I3132" s="3" t="s">
        <v>16474</v>
      </c>
      <c r="J3132" s="3" t="s">
        <v>16483</v>
      </c>
      <c r="K3132" s="3" t="s">
        <v>16484</v>
      </c>
      <c r="L3132" s="3"/>
      <c r="M3132" s="4" t="s">
        <v>16485</v>
      </c>
      <c r="N3132" s="3" t="s">
        <v>37</v>
      </c>
      <c r="O3132" s="3" t="s">
        <v>38</v>
      </c>
      <c r="P3132" s="5">
        <v>58</v>
      </c>
      <c r="Q3132" s="5">
        <v>1776</v>
      </c>
      <c r="R3132" s="5">
        <v>56</v>
      </c>
      <c r="S3132" s="5">
        <v>1691</v>
      </c>
    </row>
    <row r="3133" spans="1:19" ht="28" x14ac:dyDescent="0.15">
      <c r="A3133" s="2">
        <f>HYPERLINK("https://open-school.uspishnemisto.com.ua/school/180041/", 180041)</f>
        <v>180041</v>
      </c>
      <c r="B3133" s="3" t="s">
        <v>16486</v>
      </c>
      <c r="C3133" s="3" t="s">
        <v>2128</v>
      </c>
      <c r="D3133" s="3" t="s">
        <v>32</v>
      </c>
      <c r="E3133" s="4" t="s">
        <v>22</v>
      </c>
      <c r="F3133" s="4" t="s">
        <v>16432</v>
      </c>
      <c r="G3133" s="4" t="s">
        <v>16473</v>
      </c>
      <c r="H3133" s="3" t="s">
        <v>16292</v>
      </c>
      <c r="I3133" s="3" t="s">
        <v>16474</v>
      </c>
      <c r="J3133" s="3" t="s">
        <v>16487</v>
      </c>
      <c r="K3133" s="3" t="s">
        <v>16488</v>
      </c>
      <c r="L3133" s="3"/>
      <c r="M3133" s="4" t="s">
        <v>16489</v>
      </c>
      <c r="N3133" s="3" t="s">
        <v>37</v>
      </c>
      <c r="O3133" s="3" t="s">
        <v>237</v>
      </c>
      <c r="P3133" s="5">
        <v>38</v>
      </c>
      <c r="Q3133" s="5">
        <v>1084</v>
      </c>
      <c r="R3133" s="5">
        <v>38</v>
      </c>
      <c r="S3133" s="5">
        <v>1087</v>
      </c>
    </row>
    <row r="3134" spans="1:19" ht="28" x14ac:dyDescent="0.15">
      <c r="A3134" s="2">
        <f>HYPERLINK("https://open-school.uspishnemisto.com.ua/school/180043/", 180043)</f>
        <v>180043</v>
      </c>
      <c r="B3134" s="3" t="s">
        <v>16490</v>
      </c>
      <c r="C3134" s="3" t="s">
        <v>31</v>
      </c>
      <c r="D3134" s="3" t="s">
        <v>32</v>
      </c>
      <c r="E3134" s="4" t="s">
        <v>22</v>
      </c>
      <c r="F3134" s="4" t="s">
        <v>16366</v>
      </c>
      <c r="G3134" s="4" t="s">
        <v>16473</v>
      </c>
      <c r="H3134" s="3" t="s">
        <v>16292</v>
      </c>
      <c r="I3134" s="3" t="s">
        <v>16474</v>
      </c>
      <c r="J3134" s="3" t="s">
        <v>16491</v>
      </c>
      <c r="K3134" s="3" t="s">
        <v>16492</v>
      </c>
      <c r="L3134" s="3"/>
      <c r="M3134" s="4" t="s">
        <v>16493</v>
      </c>
      <c r="N3134" s="3" t="s">
        <v>37</v>
      </c>
      <c r="O3134" s="3" t="s">
        <v>266</v>
      </c>
      <c r="P3134" s="5">
        <v>13</v>
      </c>
      <c r="Q3134" s="5">
        <v>299</v>
      </c>
      <c r="R3134" s="5">
        <v>11</v>
      </c>
      <c r="S3134" s="5">
        <v>253</v>
      </c>
    </row>
    <row r="3135" spans="1:19" ht="28" x14ac:dyDescent="0.15">
      <c r="A3135" s="2">
        <f>HYPERLINK("https://open-school.uspishnemisto.com.ua/school/180044/", 180044)</f>
        <v>180044</v>
      </c>
      <c r="B3135" s="3" t="s">
        <v>16494</v>
      </c>
      <c r="C3135" s="3" t="s">
        <v>181</v>
      </c>
      <c r="D3135" s="3" t="s">
        <v>32</v>
      </c>
      <c r="E3135" s="4" t="s">
        <v>22</v>
      </c>
      <c r="F3135" s="4" t="s">
        <v>16366</v>
      </c>
      <c r="G3135" s="4" t="s">
        <v>16473</v>
      </c>
      <c r="H3135" s="3" t="s">
        <v>16292</v>
      </c>
      <c r="I3135" s="3" t="s">
        <v>16474</v>
      </c>
      <c r="J3135" s="3" t="s">
        <v>16495</v>
      </c>
      <c r="K3135" s="3" t="s">
        <v>16496</v>
      </c>
      <c r="L3135" s="3" t="s">
        <v>16497</v>
      </c>
      <c r="M3135" s="4" t="s">
        <v>16498</v>
      </c>
      <c r="N3135" s="3" t="s">
        <v>37</v>
      </c>
      <c r="O3135" s="3" t="s">
        <v>52</v>
      </c>
      <c r="P3135" s="5">
        <v>13</v>
      </c>
      <c r="Q3135" s="5">
        <v>90</v>
      </c>
      <c r="R3135" s="5">
        <v>13</v>
      </c>
      <c r="S3135" s="5">
        <v>87</v>
      </c>
    </row>
    <row r="3136" spans="1:19" ht="42" x14ac:dyDescent="0.15">
      <c r="A3136" s="2">
        <f>HYPERLINK("https://open-school.uspishnemisto.com.ua/school/180045/", 180045)</f>
        <v>180045</v>
      </c>
      <c r="B3136" s="3" t="s">
        <v>16499</v>
      </c>
      <c r="C3136" s="3" t="s">
        <v>244</v>
      </c>
      <c r="D3136" s="3" t="s">
        <v>32</v>
      </c>
      <c r="E3136" s="4" t="s">
        <v>22</v>
      </c>
      <c r="F3136" s="4" t="s">
        <v>16331</v>
      </c>
      <c r="G3136" s="4" t="s">
        <v>16473</v>
      </c>
      <c r="H3136" s="3" t="s">
        <v>16292</v>
      </c>
      <c r="I3136" s="3" t="s">
        <v>16474</v>
      </c>
      <c r="J3136" s="3" t="s">
        <v>16500</v>
      </c>
      <c r="K3136" s="3" t="s">
        <v>16501</v>
      </c>
      <c r="L3136" s="3"/>
      <c r="M3136" s="4" t="s">
        <v>16502</v>
      </c>
      <c r="N3136" s="3" t="s">
        <v>128</v>
      </c>
      <c r="O3136" s="3" t="s">
        <v>70</v>
      </c>
      <c r="P3136" s="5">
        <v>30</v>
      </c>
      <c r="Q3136" s="5">
        <v>778</v>
      </c>
      <c r="R3136" s="5">
        <v>31</v>
      </c>
      <c r="S3136" s="5">
        <v>764</v>
      </c>
    </row>
    <row r="3137" spans="1:19" ht="28" x14ac:dyDescent="0.15">
      <c r="A3137" s="2">
        <f>HYPERLINK("https://open-school.uspishnemisto.com.ua/school/180046/", 180046)</f>
        <v>180046</v>
      </c>
      <c r="B3137" s="3" t="s">
        <v>16503</v>
      </c>
      <c r="C3137" s="3" t="s">
        <v>40</v>
      </c>
      <c r="D3137" s="3" t="s">
        <v>32</v>
      </c>
      <c r="E3137" s="4" t="s">
        <v>22</v>
      </c>
      <c r="F3137" s="4" t="s">
        <v>16504</v>
      </c>
      <c r="G3137" s="4" t="s">
        <v>16505</v>
      </c>
      <c r="H3137" s="3" t="s">
        <v>16292</v>
      </c>
      <c r="I3137" s="3" t="s">
        <v>16506</v>
      </c>
      <c r="J3137" s="3" t="s">
        <v>16507</v>
      </c>
      <c r="K3137" s="3" t="s">
        <v>16508</v>
      </c>
      <c r="L3137" s="3"/>
      <c r="M3137" s="4"/>
      <c r="N3137" s="3" t="s">
        <v>37</v>
      </c>
      <c r="O3137" s="3" t="s">
        <v>16509</v>
      </c>
      <c r="P3137" s="5">
        <v>24</v>
      </c>
      <c r="Q3137" s="5">
        <v>707</v>
      </c>
      <c r="R3137" s="5">
        <v>24</v>
      </c>
      <c r="S3137" s="5">
        <v>692</v>
      </c>
    </row>
    <row r="3138" spans="1:19" ht="28" x14ac:dyDescent="0.15">
      <c r="A3138" s="2">
        <f>HYPERLINK("https://open-school.uspishnemisto.com.ua/school/180047/", 180047)</f>
        <v>180047</v>
      </c>
      <c r="B3138" s="3" t="s">
        <v>16510</v>
      </c>
      <c r="C3138" s="3" t="s">
        <v>2128</v>
      </c>
      <c r="D3138" s="3" t="s">
        <v>32</v>
      </c>
      <c r="E3138" s="4" t="s">
        <v>22</v>
      </c>
      <c r="F3138" s="4" t="s">
        <v>16511</v>
      </c>
      <c r="G3138" s="4" t="s">
        <v>16505</v>
      </c>
      <c r="H3138" s="3" t="s">
        <v>16292</v>
      </c>
      <c r="I3138" s="3" t="s">
        <v>16506</v>
      </c>
      <c r="J3138" s="3" t="s">
        <v>16512</v>
      </c>
      <c r="K3138" s="3" t="s">
        <v>16513</v>
      </c>
      <c r="L3138" s="3"/>
      <c r="M3138" s="4"/>
      <c r="N3138" s="3" t="s">
        <v>37</v>
      </c>
      <c r="O3138" s="3" t="s">
        <v>38</v>
      </c>
      <c r="P3138" s="5">
        <v>11</v>
      </c>
      <c r="Q3138" s="5">
        <v>273</v>
      </c>
      <c r="R3138" s="5">
        <v>11</v>
      </c>
      <c r="S3138" s="5">
        <v>262</v>
      </c>
    </row>
    <row r="3139" spans="1:19" ht="28" x14ac:dyDescent="0.15">
      <c r="A3139" s="2">
        <f>HYPERLINK("https://open-school.uspishnemisto.com.ua/school/180048/", 180048)</f>
        <v>180048</v>
      </c>
      <c r="B3139" s="3" t="s">
        <v>16514</v>
      </c>
      <c r="C3139" s="3" t="s">
        <v>54</v>
      </c>
      <c r="D3139" s="3" t="s">
        <v>32</v>
      </c>
      <c r="E3139" s="4" t="s">
        <v>22</v>
      </c>
      <c r="F3139" s="4" t="s">
        <v>16504</v>
      </c>
      <c r="G3139" s="4" t="s">
        <v>16505</v>
      </c>
      <c r="H3139" s="3" t="s">
        <v>16292</v>
      </c>
      <c r="I3139" s="3" t="s">
        <v>16506</v>
      </c>
      <c r="J3139" s="3" t="s">
        <v>16515</v>
      </c>
      <c r="K3139" s="3" t="s">
        <v>16516</v>
      </c>
      <c r="L3139" s="3"/>
      <c r="M3139" s="4"/>
      <c r="N3139" s="3" t="s">
        <v>37</v>
      </c>
      <c r="O3139" s="3" t="s">
        <v>129</v>
      </c>
      <c r="P3139" s="5">
        <v>30</v>
      </c>
      <c r="Q3139" s="5">
        <v>784</v>
      </c>
      <c r="R3139" s="5">
        <v>30</v>
      </c>
      <c r="S3139" s="5">
        <v>763</v>
      </c>
    </row>
    <row r="3140" spans="1:19" ht="28" x14ac:dyDescent="0.15">
      <c r="A3140" s="2">
        <f>HYPERLINK("https://open-school.uspishnemisto.com.ua/school/180049/", 180049)</f>
        <v>180049</v>
      </c>
      <c r="B3140" s="3" t="s">
        <v>16517</v>
      </c>
      <c r="C3140" s="3" t="s">
        <v>188</v>
      </c>
      <c r="D3140" s="3" t="s">
        <v>32</v>
      </c>
      <c r="E3140" s="4" t="s">
        <v>22</v>
      </c>
      <c r="F3140" s="4" t="s">
        <v>16504</v>
      </c>
      <c r="G3140" s="4" t="s">
        <v>16505</v>
      </c>
      <c r="H3140" s="3" t="s">
        <v>16292</v>
      </c>
      <c r="I3140" s="3" t="s">
        <v>16506</v>
      </c>
      <c r="J3140" s="3" t="s">
        <v>16518</v>
      </c>
      <c r="K3140" s="3" t="s">
        <v>16519</v>
      </c>
      <c r="L3140" s="3"/>
      <c r="M3140" s="4"/>
      <c r="N3140" s="3" t="s">
        <v>37</v>
      </c>
      <c r="O3140" s="3" t="s">
        <v>129</v>
      </c>
      <c r="P3140" s="5">
        <v>35</v>
      </c>
      <c r="Q3140" s="5">
        <v>939</v>
      </c>
      <c r="R3140" s="5">
        <v>32</v>
      </c>
      <c r="S3140" s="5">
        <v>885</v>
      </c>
    </row>
    <row r="3141" spans="1:19" ht="28" x14ac:dyDescent="0.15">
      <c r="A3141" s="2">
        <f>HYPERLINK("https://open-school.uspishnemisto.com.ua/school/180050/", 180050)</f>
        <v>180050</v>
      </c>
      <c r="B3141" s="3" t="s">
        <v>16520</v>
      </c>
      <c r="C3141" s="3" t="s">
        <v>20</v>
      </c>
      <c r="D3141" s="3" t="s">
        <v>21</v>
      </c>
      <c r="E3141" s="4" t="s">
        <v>22</v>
      </c>
      <c r="F3141" s="4" t="s">
        <v>16504</v>
      </c>
      <c r="G3141" s="4" t="s">
        <v>16505</v>
      </c>
      <c r="H3141" s="3" t="s">
        <v>16292</v>
      </c>
      <c r="I3141" s="3" t="s">
        <v>16506</v>
      </c>
      <c r="J3141" s="3" t="s">
        <v>16521</v>
      </c>
      <c r="K3141" s="3" t="s">
        <v>16522</v>
      </c>
      <c r="L3141" s="3"/>
      <c r="M3141" s="4"/>
      <c r="N3141" s="3"/>
      <c r="O3141" s="3"/>
      <c r="P3141" s="5">
        <v>0</v>
      </c>
      <c r="Q3141" s="5">
        <v>0</v>
      </c>
      <c r="R3141" s="5"/>
      <c r="S3141" s="5"/>
    </row>
    <row r="3142" spans="1:19" ht="42" x14ac:dyDescent="0.15">
      <c r="A3142" s="2">
        <f>HYPERLINK("https://open-school.uspishnemisto.com.ua/school/180051/", 180051)</f>
        <v>180051</v>
      </c>
      <c r="B3142" s="3" t="s">
        <v>16523</v>
      </c>
      <c r="C3142" s="3" t="s">
        <v>31</v>
      </c>
      <c r="D3142" s="3" t="s">
        <v>32</v>
      </c>
      <c r="E3142" s="4" t="s">
        <v>22</v>
      </c>
      <c r="F3142" s="4" t="s">
        <v>16524</v>
      </c>
      <c r="G3142" s="4" t="s">
        <v>16505</v>
      </c>
      <c r="H3142" s="3" t="s">
        <v>16292</v>
      </c>
      <c r="I3142" s="3" t="s">
        <v>16506</v>
      </c>
      <c r="J3142" s="3" t="s">
        <v>16525</v>
      </c>
      <c r="K3142" s="3" t="s">
        <v>16526</v>
      </c>
      <c r="L3142" s="3"/>
      <c r="M3142" s="4"/>
      <c r="N3142" s="3" t="s">
        <v>37</v>
      </c>
      <c r="O3142" s="3" t="s">
        <v>70</v>
      </c>
      <c r="P3142" s="5">
        <v>33</v>
      </c>
      <c r="Q3142" s="5">
        <v>852</v>
      </c>
      <c r="R3142" s="5">
        <v>31</v>
      </c>
      <c r="S3142" s="5">
        <v>833</v>
      </c>
    </row>
    <row r="3143" spans="1:19" ht="28" x14ac:dyDescent="0.15">
      <c r="A3143" s="2">
        <f>HYPERLINK("https://open-school.uspishnemisto.com.ua/school/180052/", 180052)</f>
        <v>180052</v>
      </c>
      <c r="B3143" s="3" t="s">
        <v>16527</v>
      </c>
      <c r="C3143" s="3" t="s">
        <v>31</v>
      </c>
      <c r="D3143" s="3" t="s">
        <v>32</v>
      </c>
      <c r="E3143" s="4" t="s">
        <v>22</v>
      </c>
      <c r="F3143" s="4"/>
      <c r="G3143" s="4" t="s">
        <v>16505</v>
      </c>
      <c r="H3143" s="3" t="s">
        <v>16292</v>
      </c>
      <c r="I3143" s="3" t="s">
        <v>16506</v>
      </c>
      <c r="J3143" s="3" t="s">
        <v>16521</v>
      </c>
      <c r="K3143" s="3" t="s">
        <v>16528</v>
      </c>
      <c r="L3143" s="3"/>
      <c r="M3143" s="4"/>
      <c r="N3143" s="3" t="s">
        <v>37</v>
      </c>
      <c r="O3143" s="3" t="s">
        <v>52</v>
      </c>
      <c r="P3143" s="5">
        <v>17</v>
      </c>
      <c r="Q3143" s="5">
        <v>419</v>
      </c>
      <c r="R3143" s="5">
        <v>18</v>
      </c>
      <c r="S3143" s="5">
        <v>444</v>
      </c>
    </row>
    <row r="3144" spans="1:19" ht="42" x14ac:dyDescent="0.15">
      <c r="A3144" s="2">
        <f>HYPERLINK("https://open-school.uspishnemisto.com.ua/school/180053/", 180053)</f>
        <v>180053</v>
      </c>
      <c r="B3144" s="3" t="s">
        <v>16529</v>
      </c>
      <c r="C3144" s="3" t="s">
        <v>244</v>
      </c>
      <c r="D3144" s="3" t="s">
        <v>32</v>
      </c>
      <c r="E3144" s="4" t="s">
        <v>22</v>
      </c>
      <c r="F3144" s="4" t="s">
        <v>16504</v>
      </c>
      <c r="G3144" s="4" t="s">
        <v>16505</v>
      </c>
      <c r="H3144" s="3" t="s">
        <v>16292</v>
      </c>
      <c r="I3144" s="3" t="s">
        <v>16506</v>
      </c>
      <c r="J3144" s="3" t="s">
        <v>16530</v>
      </c>
      <c r="K3144" s="3" t="s">
        <v>16531</v>
      </c>
      <c r="L3144" s="3"/>
      <c r="M3144" s="4"/>
      <c r="N3144" s="3" t="s">
        <v>37</v>
      </c>
      <c r="O3144" s="3" t="s">
        <v>129</v>
      </c>
      <c r="P3144" s="5">
        <v>26</v>
      </c>
      <c r="Q3144" s="5">
        <v>735</v>
      </c>
      <c r="R3144" s="5">
        <v>24</v>
      </c>
      <c r="S3144" s="5">
        <v>677</v>
      </c>
    </row>
    <row r="3145" spans="1:19" ht="28" x14ac:dyDescent="0.15">
      <c r="A3145" s="2">
        <f>HYPERLINK("https://open-school.uspishnemisto.com.ua/school/180054/", 180054)</f>
        <v>180054</v>
      </c>
      <c r="B3145" s="3" t="s">
        <v>16532</v>
      </c>
      <c r="C3145" s="3" t="s">
        <v>31</v>
      </c>
      <c r="D3145" s="3" t="s">
        <v>32</v>
      </c>
      <c r="E3145" s="4" t="s">
        <v>22</v>
      </c>
      <c r="F3145" s="4" t="s">
        <v>16504</v>
      </c>
      <c r="G3145" s="4" t="s">
        <v>16505</v>
      </c>
      <c r="H3145" s="3" t="s">
        <v>16292</v>
      </c>
      <c r="I3145" s="3" t="s">
        <v>16506</v>
      </c>
      <c r="J3145" s="3" t="s">
        <v>16533</v>
      </c>
      <c r="K3145" s="3" t="s">
        <v>16534</v>
      </c>
      <c r="L3145" s="3"/>
      <c r="M3145" s="4"/>
      <c r="N3145" s="3" t="s">
        <v>37</v>
      </c>
      <c r="O3145" s="3" t="s">
        <v>46</v>
      </c>
      <c r="P3145" s="5">
        <v>17</v>
      </c>
      <c r="Q3145" s="5">
        <v>371</v>
      </c>
      <c r="R3145" s="5">
        <v>16</v>
      </c>
      <c r="S3145" s="5">
        <v>368</v>
      </c>
    </row>
    <row r="3146" spans="1:19" ht="28" x14ac:dyDescent="0.15">
      <c r="A3146" s="2">
        <f>HYPERLINK("https://open-school.uspishnemisto.com.ua/school/180055/", 180055)</f>
        <v>180055</v>
      </c>
      <c r="B3146" s="3" t="s">
        <v>16535</v>
      </c>
      <c r="C3146" s="3" t="s">
        <v>31</v>
      </c>
      <c r="D3146" s="3" t="s">
        <v>32</v>
      </c>
      <c r="E3146" s="4" t="s">
        <v>22</v>
      </c>
      <c r="F3146" s="4" t="s">
        <v>16536</v>
      </c>
      <c r="G3146" s="4" t="s">
        <v>16505</v>
      </c>
      <c r="H3146" s="3" t="s">
        <v>16292</v>
      </c>
      <c r="I3146" s="3" t="s">
        <v>16506</v>
      </c>
      <c r="J3146" s="3" t="s">
        <v>16537</v>
      </c>
      <c r="K3146" s="3" t="s">
        <v>16538</v>
      </c>
      <c r="L3146" s="3" t="s">
        <v>16539</v>
      </c>
      <c r="M3146" s="4"/>
      <c r="N3146" s="3" t="s">
        <v>37</v>
      </c>
      <c r="O3146" s="3" t="s">
        <v>70</v>
      </c>
      <c r="P3146" s="5">
        <v>19</v>
      </c>
      <c r="Q3146" s="5">
        <v>407</v>
      </c>
      <c r="R3146" s="5">
        <v>18</v>
      </c>
      <c r="S3146" s="5">
        <v>405</v>
      </c>
    </row>
    <row r="3147" spans="1:19" ht="28" x14ac:dyDescent="0.15">
      <c r="A3147" s="2">
        <f>HYPERLINK("https://open-school.uspishnemisto.com.ua/school/180056/", 180056)</f>
        <v>180056</v>
      </c>
      <c r="B3147" s="3" t="s">
        <v>16540</v>
      </c>
      <c r="C3147" s="3" t="s">
        <v>31</v>
      </c>
      <c r="D3147" s="3" t="s">
        <v>32</v>
      </c>
      <c r="E3147" s="4" t="s">
        <v>22</v>
      </c>
      <c r="F3147" s="4" t="s">
        <v>16541</v>
      </c>
      <c r="G3147" s="4" t="s">
        <v>16505</v>
      </c>
      <c r="H3147" s="3" t="s">
        <v>16292</v>
      </c>
      <c r="I3147" s="3" t="s">
        <v>16506</v>
      </c>
      <c r="J3147" s="3" t="s">
        <v>16542</v>
      </c>
      <c r="K3147" s="3" t="s">
        <v>16543</v>
      </c>
      <c r="L3147" s="3"/>
      <c r="M3147" s="4"/>
      <c r="N3147" s="3" t="s">
        <v>37</v>
      </c>
      <c r="O3147" s="3" t="s">
        <v>70</v>
      </c>
      <c r="P3147" s="5">
        <v>18</v>
      </c>
      <c r="Q3147" s="5">
        <v>394</v>
      </c>
      <c r="R3147" s="5">
        <v>18</v>
      </c>
      <c r="S3147" s="5">
        <v>386</v>
      </c>
    </row>
    <row r="3148" spans="1:19" ht="28" x14ac:dyDescent="0.15">
      <c r="A3148" s="2">
        <f>HYPERLINK("https://open-school.uspishnemisto.com.ua/school/180057/", 180057)</f>
        <v>180057</v>
      </c>
      <c r="B3148" s="3" t="s">
        <v>16544</v>
      </c>
      <c r="C3148" s="3" t="s">
        <v>31</v>
      </c>
      <c r="D3148" s="3" t="s">
        <v>60</v>
      </c>
      <c r="E3148" s="4" t="s">
        <v>22</v>
      </c>
      <c r="F3148" s="4" t="s">
        <v>16545</v>
      </c>
      <c r="G3148" s="4" t="s">
        <v>16505</v>
      </c>
      <c r="H3148" s="3" t="s">
        <v>16292</v>
      </c>
      <c r="I3148" s="3" t="s">
        <v>16506</v>
      </c>
      <c r="J3148" s="3" t="s">
        <v>16546</v>
      </c>
      <c r="K3148" s="3" t="s">
        <v>16547</v>
      </c>
      <c r="L3148" s="3"/>
      <c r="M3148" s="4"/>
      <c r="N3148" s="3" t="s">
        <v>37</v>
      </c>
      <c r="O3148" s="3" t="s">
        <v>52</v>
      </c>
      <c r="P3148" s="5">
        <v>7</v>
      </c>
      <c r="Q3148" s="5">
        <v>173</v>
      </c>
      <c r="R3148" s="5">
        <v>7</v>
      </c>
      <c r="S3148" s="5">
        <v>195</v>
      </c>
    </row>
    <row r="3149" spans="1:19" ht="42" x14ac:dyDescent="0.15">
      <c r="A3149" s="2">
        <f>HYPERLINK("https://open-school.uspishnemisto.com.ua/school/180058/", 180058)</f>
        <v>180058</v>
      </c>
      <c r="B3149" s="3" t="s">
        <v>16548</v>
      </c>
      <c r="C3149" s="3" t="s">
        <v>293</v>
      </c>
      <c r="D3149" s="3" t="s">
        <v>32</v>
      </c>
      <c r="E3149" s="4" t="s">
        <v>22</v>
      </c>
      <c r="F3149" s="4" t="s">
        <v>16504</v>
      </c>
      <c r="G3149" s="4" t="s">
        <v>16505</v>
      </c>
      <c r="H3149" s="3" t="s">
        <v>16292</v>
      </c>
      <c r="I3149" s="3" t="s">
        <v>16506</v>
      </c>
      <c r="J3149" s="3" t="s">
        <v>16549</v>
      </c>
      <c r="K3149" s="3"/>
      <c r="L3149" s="3"/>
      <c r="M3149" s="4" t="s">
        <v>16550</v>
      </c>
      <c r="N3149" s="3" t="s">
        <v>37</v>
      </c>
      <c r="O3149" s="3" t="s">
        <v>52</v>
      </c>
      <c r="P3149" s="5">
        <v>11</v>
      </c>
      <c r="Q3149" s="5">
        <v>150</v>
      </c>
      <c r="R3149" s="5">
        <v>11</v>
      </c>
      <c r="S3149" s="5">
        <v>179</v>
      </c>
    </row>
    <row r="3150" spans="1:19" ht="28" x14ac:dyDescent="0.15">
      <c r="A3150" s="2">
        <f>HYPERLINK("https://open-school.uspishnemisto.com.ua/school/180059/", 180059)</f>
        <v>180059</v>
      </c>
      <c r="B3150" s="3" t="s">
        <v>16551</v>
      </c>
      <c r="C3150" s="3" t="s">
        <v>54</v>
      </c>
      <c r="D3150" s="3" t="s">
        <v>32</v>
      </c>
      <c r="E3150" s="4" t="s">
        <v>22</v>
      </c>
      <c r="F3150" s="4" t="s">
        <v>16552</v>
      </c>
      <c r="G3150" s="4" t="s">
        <v>16505</v>
      </c>
      <c r="H3150" s="3" t="s">
        <v>16292</v>
      </c>
      <c r="I3150" s="3" t="s">
        <v>16506</v>
      </c>
      <c r="J3150" s="3" t="s">
        <v>16553</v>
      </c>
      <c r="K3150" s="3" t="s">
        <v>16554</v>
      </c>
      <c r="L3150" s="3"/>
      <c r="M3150" s="4"/>
      <c r="N3150" s="3" t="s">
        <v>37</v>
      </c>
      <c r="O3150" s="3" t="s">
        <v>123</v>
      </c>
      <c r="P3150" s="5">
        <v>40</v>
      </c>
      <c r="Q3150" s="5">
        <v>1159</v>
      </c>
      <c r="R3150" s="5">
        <v>40</v>
      </c>
      <c r="S3150" s="5">
        <v>1119</v>
      </c>
    </row>
    <row r="3151" spans="1:19" ht="42" x14ac:dyDescent="0.15">
      <c r="A3151" s="2">
        <f>HYPERLINK("https://open-school.uspishnemisto.com.ua/school/180060/", 180060)</f>
        <v>180060</v>
      </c>
      <c r="B3151" s="3" t="s">
        <v>16555</v>
      </c>
      <c r="C3151" s="3" t="s">
        <v>244</v>
      </c>
      <c r="D3151" s="3" t="s">
        <v>32</v>
      </c>
      <c r="E3151" s="4" t="s">
        <v>22</v>
      </c>
      <c r="F3151" s="4" t="s">
        <v>16504</v>
      </c>
      <c r="G3151" s="4" t="s">
        <v>16505</v>
      </c>
      <c r="H3151" s="3" t="s">
        <v>16292</v>
      </c>
      <c r="I3151" s="3" t="s">
        <v>16506</v>
      </c>
      <c r="J3151" s="3" t="s">
        <v>16556</v>
      </c>
      <c r="K3151" s="3" t="s">
        <v>16557</v>
      </c>
      <c r="L3151" s="3"/>
      <c r="M3151" s="4"/>
      <c r="N3151" s="3" t="s">
        <v>37</v>
      </c>
      <c r="O3151" s="3" t="s">
        <v>38</v>
      </c>
      <c r="P3151" s="5">
        <v>23</v>
      </c>
      <c r="Q3151" s="5">
        <v>645</v>
      </c>
      <c r="R3151" s="5">
        <v>22</v>
      </c>
      <c r="S3151" s="5">
        <v>630</v>
      </c>
    </row>
    <row r="3152" spans="1:19" ht="42" x14ac:dyDescent="0.15">
      <c r="A3152" s="2">
        <f>HYPERLINK("https://open-school.uspishnemisto.com.ua/school/180061/", 180061)</f>
        <v>180061</v>
      </c>
      <c r="B3152" s="3" t="s">
        <v>16558</v>
      </c>
      <c r="C3152" s="3" t="s">
        <v>244</v>
      </c>
      <c r="D3152" s="3" t="s">
        <v>32</v>
      </c>
      <c r="E3152" s="4" t="s">
        <v>22</v>
      </c>
      <c r="F3152" s="4" t="s">
        <v>16536</v>
      </c>
      <c r="G3152" s="4" t="s">
        <v>16505</v>
      </c>
      <c r="H3152" s="3" t="s">
        <v>16292</v>
      </c>
      <c r="I3152" s="3" t="s">
        <v>16506</v>
      </c>
      <c r="J3152" s="3" t="s">
        <v>16559</v>
      </c>
      <c r="K3152" s="3" t="s">
        <v>16560</v>
      </c>
      <c r="L3152" s="3"/>
      <c r="M3152" s="4"/>
      <c r="N3152" s="3" t="s">
        <v>37</v>
      </c>
      <c r="O3152" s="3" t="s">
        <v>70</v>
      </c>
      <c r="P3152" s="5">
        <v>20</v>
      </c>
      <c r="Q3152" s="5">
        <v>490</v>
      </c>
      <c r="R3152" s="5">
        <v>20</v>
      </c>
      <c r="S3152" s="5">
        <v>496</v>
      </c>
    </row>
    <row r="3153" spans="1:19" ht="28" x14ac:dyDescent="0.15">
      <c r="A3153" s="2">
        <f>HYPERLINK("https://open-school.uspishnemisto.com.ua/school/180062/", 180062)</f>
        <v>180062</v>
      </c>
      <c r="B3153" s="3" t="s">
        <v>16561</v>
      </c>
      <c r="C3153" s="3" t="s">
        <v>20</v>
      </c>
      <c r="D3153" s="3" t="s">
        <v>21</v>
      </c>
      <c r="E3153" s="4" t="s">
        <v>22</v>
      </c>
      <c r="F3153" s="4" t="s">
        <v>16562</v>
      </c>
      <c r="G3153" s="4" t="s">
        <v>16563</v>
      </c>
      <c r="H3153" s="3" t="s">
        <v>16292</v>
      </c>
      <c r="I3153" s="3" t="s">
        <v>16564</v>
      </c>
      <c r="J3153" s="3" t="s">
        <v>4062</v>
      </c>
      <c r="K3153" s="3" t="s">
        <v>16565</v>
      </c>
      <c r="L3153" s="3"/>
      <c r="M3153" s="4"/>
      <c r="N3153" s="3"/>
      <c r="O3153" s="3"/>
      <c r="P3153" s="5">
        <v>0</v>
      </c>
      <c r="Q3153" s="5">
        <v>0</v>
      </c>
      <c r="R3153" s="5"/>
      <c r="S3153" s="5"/>
    </row>
    <row r="3154" spans="1:19" ht="28" x14ac:dyDescent="0.15">
      <c r="A3154" s="2">
        <f>HYPERLINK("https://open-school.uspishnemisto.com.ua/school/180063/", 180063)</f>
        <v>180063</v>
      </c>
      <c r="B3154" s="3" t="s">
        <v>16566</v>
      </c>
      <c r="C3154" s="3" t="s">
        <v>31</v>
      </c>
      <c r="D3154" s="3" t="s">
        <v>32</v>
      </c>
      <c r="E3154" s="4" t="s">
        <v>22</v>
      </c>
      <c r="F3154" s="4" t="s">
        <v>16562</v>
      </c>
      <c r="G3154" s="4" t="s">
        <v>16563</v>
      </c>
      <c r="H3154" s="3" t="s">
        <v>16292</v>
      </c>
      <c r="I3154" s="3" t="s">
        <v>16564</v>
      </c>
      <c r="J3154" s="3" t="s">
        <v>16567</v>
      </c>
      <c r="K3154" s="3" t="s">
        <v>16568</v>
      </c>
      <c r="L3154" s="3"/>
      <c r="M3154" s="4"/>
      <c r="N3154" s="3" t="s">
        <v>37</v>
      </c>
      <c r="O3154" s="3" t="s">
        <v>129</v>
      </c>
      <c r="P3154" s="5">
        <v>12</v>
      </c>
      <c r="Q3154" s="5">
        <v>280</v>
      </c>
      <c r="R3154" s="5">
        <v>12</v>
      </c>
      <c r="S3154" s="5">
        <v>271</v>
      </c>
    </row>
    <row r="3155" spans="1:19" ht="28" x14ac:dyDescent="0.15">
      <c r="A3155" s="2">
        <f>HYPERLINK("https://open-school.uspishnemisto.com.ua/school/180064/", 180064)</f>
        <v>180064</v>
      </c>
      <c r="B3155" s="3" t="s">
        <v>16569</v>
      </c>
      <c r="C3155" s="3" t="s">
        <v>31</v>
      </c>
      <c r="D3155" s="3" t="s">
        <v>32</v>
      </c>
      <c r="E3155" s="4" t="s">
        <v>22</v>
      </c>
      <c r="F3155" s="4" t="s">
        <v>16562</v>
      </c>
      <c r="G3155" s="4" t="s">
        <v>16563</v>
      </c>
      <c r="H3155" s="3" t="s">
        <v>16292</v>
      </c>
      <c r="I3155" s="3" t="s">
        <v>16564</v>
      </c>
      <c r="J3155" s="3" t="s">
        <v>16570</v>
      </c>
      <c r="K3155" s="3" t="s">
        <v>16571</v>
      </c>
      <c r="L3155" s="3" t="s">
        <v>16572</v>
      </c>
      <c r="M3155" s="4"/>
      <c r="N3155" s="3" t="s">
        <v>37</v>
      </c>
      <c r="O3155" s="3" t="s">
        <v>38</v>
      </c>
      <c r="P3155" s="5">
        <v>26</v>
      </c>
      <c r="Q3155" s="5">
        <v>586</v>
      </c>
      <c r="R3155" s="5">
        <v>26</v>
      </c>
      <c r="S3155" s="5">
        <v>576</v>
      </c>
    </row>
    <row r="3156" spans="1:19" ht="28" x14ac:dyDescent="0.15">
      <c r="A3156" s="2">
        <f>HYPERLINK("https://open-school.uspishnemisto.com.ua/school/180065/", 180065)</f>
        <v>180065</v>
      </c>
      <c r="B3156" s="3" t="s">
        <v>16573</v>
      </c>
      <c r="C3156" s="3" t="s">
        <v>31</v>
      </c>
      <c r="D3156" s="3" t="s">
        <v>32</v>
      </c>
      <c r="E3156" s="4" t="s">
        <v>22</v>
      </c>
      <c r="F3156" s="4" t="s">
        <v>16562</v>
      </c>
      <c r="G3156" s="4" t="s">
        <v>16563</v>
      </c>
      <c r="H3156" s="3" t="s">
        <v>16292</v>
      </c>
      <c r="I3156" s="3" t="s">
        <v>16564</v>
      </c>
      <c r="J3156" s="3" t="s">
        <v>16574</v>
      </c>
      <c r="K3156" s="3" t="s">
        <v>16575</v>
      </c>
      <c r="L3156" s="3" t="s">
        <v>16576</v>
      </c>
      <c r="M3156" s="4"/>
      <c r="N3156" s="3" t="s">
        <v>37</v>
      </c>
      <c r="O3156" s="3" t="s">
        <v>123</v>
      </c>
      <c r="P3156" s="5">
        <v>29</v>
      </c>
      <c r="Q3156" s="5">
        <v>729</v>
      </c>
      <c r="R3156" s="5">
        <v>28</v>
      </c>
      <c r="S3156" s="5">
        <v>692</v>
      </c>
    </row>
    <row r="3157" spans="1:19" ht="28" x14ac:dyDescent="0.15">
      <c r="A3157" s="2">
        <f>HYPERLINK("https://open-school.uspishnemisto.com.ua/school/180066/", 180066)</f>
        <v>180066</v>
      </c>
      <c r="B3157" s="3" t="s">
        <v>16577</v>
      </c>
      <c r="C3157" s="3" t="s">
        <v>31</v>
      </c>
      <c r="D3157" s="3" t="s">
        <v>32</v>
      </c>
      <c r="E3157" s="4" t="s">
        <v>22</v>
      </c>
      <c r="F3157" s="4" t="s">
        <v>16578</v>
      </c>
      <c r="G3157" s="4" t="s">
        <v>16563</v>
      </c>
      <c r="H3157" s="3" t="s">
        <v>16292</v>
      </c>
      <c r="I3157" s="3" t="s">
        <v>16564</v>
      </c>
      <c r="J3157" s="3" t="s">
        <v>16579</v>
      </c>
      <c r="K3157" s="3" t="s">
        <v>16580</v>
      </c>
      <c r="L3157" s="3"/>
      <c r="M3157" s="4"/>
      <c r="N3157" s="3" t="s">
        <v>37</v>
      </c>
      <c r="O3157" s="3" t="s">
        <v>38</v>
      </c>
      <c r="P3157" s="5">
        <v>11</v>
      </c>
      <c r="Q3157" s="5">
        <v>176</v>
      </c>
      <c r="R3157" s="5">
        <v>11</v>
      </c>
      <c r="S3157" s="5">
        <v>174</v>
      </c>
    </row>
    <row r="3158" spans="1:19" ht="28" x14ac:dyDescent="0.15">
      <c r="A3158" s="2">
        <f>HYPERLINK("https://open-school.uspishnemisto.com.ua/school/180067/", 180067)</f>
        <v>180067</v>
      </c>
      <c r="B3158" s="3" t="s">
        <v>16581</v>
      </c>
      <c r="C3158" s="3" t="s">
        <v>31</v>
      </c>
      <c r="D3158" s="3" t="s">
        <v>32</v>
      </c>
      <c r="E3158" s="4" t="s">
        <v>22</v>
      </c>
      <c r="F3158" s="4" t="s">
        <v>16582</v>
      </c>
      <c r="G3158" s="4" t="s">
        <v>16563</v>
      </c>
      <c r="H3158" s="3" t="s">
        <v>16292</v>
      </c>
      <c r="I3158" s="3" t="s">
        <v>16564</v>
      </c>
      <c r="J3158" s="3" t="s">
        <v>1278</v>
      </c>
      <c r="K3158" s="3" t="s">
        <v>16583</v>
      </c>
      <c r="L3158" s="3"/>
      <c r="M3158" s="4"/>
      <c r="N3158" s="3" t="s">
        <v>37</v>
      </c>
      <c r="O3158" s="3" t="s">
        <v>266</v>
      </c>
      <c r="P3158" s="5">
        <v>20</v>
      </c>
      <c r="Q3158" s="5">
        <v>435</v>
      </c>
      <c r="R3158" s="5">
        <v>19</v>
      </c>
      <c r="S3158" s="5">
        <v>425</v>
      </c>
    </row>
    <row r="3159" spans="1:19" ht="28" x14ac:dyDescent="0.15">
      <c r="A3159" s="2">
        <f>HYPERLINK("https://open-school.uspishnemisto.com.ua/school/180068/", 180068)</f>
        <v>180068</v>
      </c>
      <c r="B3159" s="3" t="s">
        <v>16584</v>
      </c>
      <c r="C3159" s="3" t="s">
        <v>31</v>
      </c>
      <c r="D3159" s="3" t="s">
        <v>32</v>
      </c>
      <c r="E3159" s="4" t="s">
        <v>22</v>
      </c>
      <c r="F3159" s="4" t="s">
        <v>16562</v>
      </c>
      <c r="G3159" s="4" t="s">
        <v>16563</v>
      </c>
      <c r="H3159" s="3" t="s">
        <v>16292</v>
      </c>
      <c r="I3159" s="3" t="s">
        <v>16564</v>
      </c>
      <c r="J3159" s="3" t="s">
        <v>16585</v>
      </c>
      <c r="K3159" s="3" t="s">
        <v>16586</v>
      </c>
      <c r="L3159" s="3"/>
      <c r="M3159" s="4"/>
      <c r="N3159" s="3" t="s">
        <v>37</v>
      </c>
      <c r="O3159" s="3" t="s">
        <v>70</v>
      </c>
      <c r="P3159" s="5">
        <v>20</v>
      </c>
      <c r="Q3159" s="5">
        <v>446</v>
      </c>
      <c r="R3159" s="5">
        <v>20</v>
      </c>
      <c r="S3159" s="5">
        <v>447</v>
      </c>
    </row>
    <row r="3160" spans="1:19" ht="28" x14ac:dyDescent="0.15">
      <c r="A3160" s="2">
        <f>HYPERLINK("https://open-school.uspishnemisto.com.ua/school/180069/", 180069)</f>
        <v>180069</v>
      </c>
      <c r="B3160" s="3" t="s">
        <v>16587</v>
      </c>
      <c r="C3160" s="3" t="s">
        <v>40</v>
      </c>
      <c r="D3160" s="3" t="s">
        <v>32</v>
      </c>
      <c r="E3160" s="4" t="s">
        <v>22</v>
      </c>
      <c r="F3160" s="4" t="s">
        <v>16562</v>
      </c>
      <c r="G3160" s="4" t="s">
        <v>16563</v>
      </c>
      <c r="H3160" s="3" t="s">
        <v>16292</v>
      </c>
      <c r="I3160" s="3" t="s">
        <v>16564</v>
      </c>
      <c r="J3160" s="3" t="s">
        <v>16588</v>
      </c>
      <c r="K3160" s="3" t="s">
        <v>16589</v>
      </c>
      <c r="L3160" s="3"/>
      <c r="M3160" s="4"/>
      <c r="N3160" s="3" t="s">
        <v>37</v>
      </c>
      <c r="O3160" s="3" t="s">
        <v>129</v>
      </c>
      <c r="P3160" s="5">
        <v>19</v>
      </c>
      <c r="Q3160" s="5">
        <v>467</v>
      </c>
      <c r="R3160" s="5">
        <v>19</v>
      </c>
      <c r="S3160" s="5">
        <v>427</v>
      </c>
    </row>
    <row r="3161" spans="1:19" ht="28" x14ac:dyDescent="0.15">
      <c r="A3161" s="2">
        <f>HYPERLINK("https://open-school.uspishnemisto.com.ua/school/180070/", 180070)</f>
        <v>180070</v>
      </c>
      <c r="B3161" s="3" t="s">
        <v>16590</v>
      </c>
      <c r="C3161" s="3" t="s">
        <v>40</v>
      </c>
      <c r="D3161" s="3" t="s">
        <v>32</v>
      </c>
      <c r="E3161" s="4" t="s">
        <v>22</v>
      </c>
      <c r="F3161" s="4" t="s">
        <v>16562</v>
      </c>
      <c r="G3161" s="4" t="s">
        <v>16563</v>
      </c>
      <c r="H3161" s="3" t="s">
        <v>16292</v>
      </c>
      <c r="I3161" s="3" t="s">
        <v>16564</v>
      </c>
      <c r="J3161" s="3" t="s">
        <v>11681</v>
      </c>
      <c r="K3161" s="3" t="s">
        <v>16591</v>
      </c>
      <c r="L3161" s="3"/>
      <c r="M3161" s="4"/>
      <c r="N3161" s="3" t="s">
        <v>37</v>
      </c>
      <c r="O3161" s="3" t="s">
        <v>46</v>
      </c>
      <c r="P3161" s="5">
        <v>24</v>
      </c>
      <c r="Q3161" s="5">
        <v>576</v>
      </c>
      <c r="R3161" s="5">
        <v>25</v>
      </c>
      <c r="S3161" s="5">
        <v>581</v>
      </c>
    </row>
    <row r="3162" spans="1:19" ht="28" x14ac:dyDescent="0.15">
      <c r="A3162" s="2">
        <f>HYPERLINK("https://open-school.uspishnemisto.com.ua/school/180071/", 180071)</f>
        <v>180071</v>
      </c>
      <c r="B3162" s="3" t="s">
        <v>16592</v>
      </c>
      <c r="C3162" s="3" t="s">
        <v>40</v>
      </c>
      <c r="D3162" s="3" t="s">
        <v>32</v>
      </c>
      <c r="E3162" s="4" t="s">
        <v>22</v>
      </c>
      <c r="F3162" s="4" t="s">
        <v>16562</v>
      </c>
      <c r="G3162" s="4" t="s">
        <v>16563</v>
      </c>
      <c r="H3162" s="3" t="s">
        <v>16292</v>
      </c>
      <c r="I3162" s="3" t="s">
        <v>16564</v>
      </c>
      <c r="J3162" s="3" t="s">
        <v>16593</v>
      </c>
      <c r="K3162" s="3" t="s">
        <v>16594</v>
      </c>
      <c r="L3162" s="3" t="s">
        <v>16595</v>
      </c>
      <c r="M3162" s="4"/>
      <c r="N3162" s="3" t="s">
        <v>37</v>
      </c>
      <c r="O3162" s="3" t="s">
        <v>721</v>
      </c>
      <c r="P3162" s="5">
        <v>26</v>
      </c>
      <c r="Q3162" s="5">
        <v>727</v>
      </c>
      <c r="R3162" s="5">
        <v>26</v>
      </c>
      <c r="S3162" s="5">
        <v>722</v>
      </c>
    </row>
    <row r="3163" spans="1:19" ht="28" x14ac:dyDescent="0.15">
      <c r="A3163" s="2">
        <f>HYPERLINK("https://open-school.uspishnemisto.com.ua/school/180072/", 180072)</f>
        <v>180072</v>
      </c>
      <c r="B3163" s="3" t="s">
        <v>16596</v>
      </c>
      <c r="C3163" s="3" t="s">
        <v>31</v>
      </c>
      <c r="D3163" s="3" t="s">
        <v>32</v>
      </c>
      <c r="E3163" s="4" t="s">
        <v>22</v>
      </c>
      <c r="F3163" s="4" t="s">
        <v>16597</v>
      </c>
      <c r="G3163" s="4" t="s">
        <v>16563</v>
      </c>
      <c r="H3163" s="3" t="s">
        <v>16292</v>
      </c>
      <c r="I3163" s="3" t="s">
        <v>16564</v>
      </c>
      <c r="J3163" s="3" t="s">
        <v>16598</v>
      </c>
      <c r="K3163" s="3" t="s">
        <v>16599</v>
      </c>
      <c r="L3163" s="3" t="s">
        <v>16600</v>
      </c>
      <c r="M3163" s="4"/>
      <c r="N3163" s="3" t="s">
        <v>37</v>
      </c>
      <c r="O3163" s="3" t="s">
        <v>70</v>
      </c>
      <c r="P3163" s="5">
        <v>20</v>
      </c>
      <c r="Q3163" s="5">
        <v>465</v>
      </c>
      <c r="R3163" s="5">
        <v>20</v>
      </c>
      <c r="S3163" s="5">
        <v>476</v>
      </c>
    </row>
    <row r="3164" spans="1:19" ht="28" x14ac:dyDescent="0.15">
      <c r="A3164" s="2">
        <f>HYPERLINK("https://open-school.uspishnemisto.com.ua/school/180073/", 180073)</f>
        <v>180073</v>
      </c>
      <c r="B3164" s="3" t="s">
        <v>16601</v>
      </c>
      <c r="C3164" s="3" t="s">
        <v>2128</v>
      </c>
      <c r="D3164" s="3" t="s">
        <v>32</v>
      </c>
      <c r="E3164" s="4" t="s">
        <v>22</v>
      </c>
      <c r="F3164" s="4" t="s">
        <v>16597</v>
      </c>
      <c r="G3164" s="4" t="s">
        <v>16563</v>
      </c>
      <c r="H3164" s="3" t="s">
        <v>16292</v>
      </c>
      <c r="I3164" s="3" t="s">
        <v>16564</v>
      </c>
      <c r="J3164" s="3" t="s">
        <v>16602</v>
      </c>
      <c r="K3164" s="3" t="s">
        <v>16603</v>
      </c>
      <c r="L3164" s="3" t="s">
        <v>16604</v>
      </c>
      <c r="M3164" s="4"/>
      <c r="N3164" s="3" t="s">
        <v>37</v>
      </c>
      <c r="O3164" s="3" t="s">
        <v>46</v>
      </c>
      <c r="P3164" s="5">
        <v>25</v>
      </c>
      <c r="Q3164" s="5">
        <v>686</v>
      </c>
      <c r="R3164" s="5">
        <v>25</v>
      </c>
      <c r="S3164" s="5">
        <v>641</v>
      </c>
    </row>
    <row r="3165" spans="1:19" ht="28" x14ac:dyDescent="0.15">
      <c r="A3165" s="2">
        <f>HYPERLINK("https://open-school.uspishnemisto.com.ua/school/180074/", 180074)</f>
        <v>180074</v>
      </c>
      <c r="B3165" s="3" t="s">
        <v>16605</v>
      </c>
      <c r="C3165" s="3" t="s">
        <v>188</v>
      </c>
      <c r="D3165" s="3" t="s">
        <v>32</v>
      </c>
      <c r="E3165" s="4" t="s">
        <v>22</v>
      </c>
      <c r="F3165" s="4" t="s">
        <v>16562</v>
      </c>
      <c r="G3165" s="4" t="s">
        <v>16563</v>
      </c>
      <c r="H3165" s="3" t="s">
        <v>16292</v>
      </c>
      <c r="I3165" s="3" t="s">
        <v>16564</v>
      </c>
      <c r="J3165" s="3" t="s">
        <v>16606</v>
      </c>
      <c r="K3165" s="3" t="s">
        <v>16607</v>
      </c>
      <c r="L3165" s="3"/>
      <c r="M3165" s="4"/>
      <c r="N3165" s="3" t="s">
        <v>37</v>
      </c>
      <c r="O3165" s="3" t="s">
        <v>70</v>
      </c>
      <c r="P3165" s="5">
        <v>31</v>
      </c>
      <c r="Q3165" s="5">
        <v>769</v>
      </c>
      <c r="R3165" s="5">
        <v>31</v>
      </c>
      <c r="S3165" s="5">
        <v>772</v>
      </c>
    </row>
    <row r="3166" spans="1:19" ht="28" x14ac:dyDescent="0.15">
      <c r="A3166" s="2">
        <f>HYPERLINK("https://open-school.uspishnemisto.com.ua/school/180075/", 180075)</f>
        <v>180075</v>
      </c>
      <c r="B3166" s="3" t="s">
        <v>16608</v>
      </c>
      <c r="C3166" s="3" t="s">
        <v>40</v>
      </c>
      <c r="D3166" s="3" t="s">
        <v>32</v>
      </c>
      <c r="E3166" s="4" t="s">
        <v>22</v>
      </c>
      <c r="F3166" s="4" t="s">
        <v>16562</v>
      </c>
      <c r="G3166" s="4" t="s">
        <v>16563</v>
      </c>
      <c r="H3166" s="3" t="s">
        <v>16292</v>
      </c>
      <c r="I3166" s="3" t="s">
        <v>16564</v>
      </c>
      <c r="J3166" s="3" t="s">
        <v>1906</v>
      </c>
      <c r="K3166" s="3" t="s">
        <v>16609</v>
      </c>
      <c r="L3166" s="3" t="s">
        <v>16610</v>
      </c>
      <c r="M3166" s="4"/>
      <c r="N3166" s="3" t="s">
        <v>37</v>
      </c>
      <c r="O3166" s="3" t="s">
        <v>70</v>
      </c>
      <c r="P3166" s="5">
        <v>25</v>
      </c>
      <c r="Q3166" s="5">
        <v>618</v>
      </c>
      <c r="R3166" s="5">
        <v>25</v>
      </c>
      <c r="S3166" s="5">
        <v>654</v>
      </c>
    </row>
    <row r="3167" spans="1:19" ht="28" x14ac:dyDescent="0.15">
      <c r="A3167" s="2">
        <f>HYPERLINK("https://open-school.uspishnemisto.com.ua/school/180076/", 180076)</f>
        <v>180076</v>
      </c>
      <c r="B3167" s="3" t="s">
        <v>16611</v>
      </c>
      <c r="C3167" s="3" t="s">
        <v>31</v>
      </c>
      <c r="D3167" s="3" t="s">
        <v>32</v>
      </c>
      <c r="E3167" s="4" t="s">
        <v>22</v>
      </c>
      <c r="F3167" s="4" t="s">
        <v>16612</v>
      </c>
      <c r="G3167" s="4" t="s">
        <v>16613</v>
      </c>
      <c r="H3167" s="3" t="s">
        <v>16292</v>
      </c>
      <c r="I3167" s="3" t="s">
        <v>16614</v>
      </c>
      <c r="J3167" s="3" t="s">
        <v>16615</v>
      </c>
      <c r="K3167" s="3" t="s">
        <v>16616</v>
      </c>
      <c r="L3167" s="3"/>
      <c r="M3167" s="4"/>
      <c r="N3167" s="3" t="s">
        <v>37</v>
      </c>
      <c r="O3167" s="3" t="s">
        <v>52</v>
      </c>
      <c r="P3167" s="5">
        <v>12</v>
      </c>
      <c r="Q3167" s="5">
        <v>244</v>
      </c>
      <c r="R3167" s="5">
        <v>12</v>
      </c>
      <c r="S3167" s="5">
        <v>264</v>
      </c>
    </row>
    <row r="3168" spans="1:19" ht="28" x14ac:dyDescent="0.15">
      <c r="A3168" s="2">
        <f>HYPERLINK("https://open-school.uspishnemisto.com.ua/school/180077/", 180077)</f>
        <v>180077</v>
      </c>
      <c r="B3168" s="3" t="s">
        <v>16617</v>
      </c>
      <c r="C3168" s="3" t="s">
        <v>31</v>
      </c>
      <c r="D3168" s="3" t="s">
        <v>32</v>
      </c>
      <c r="E3168" s="4" t="s">
        <v>22</v>
      </c>
      <c r="F3168" s="4" t="s">
        <v>16618</v>
      </c>
      <c r="G3168" s="4" t="s">
        <v>16613</v>
      </c>
      <c r="H3168" s="3" t="s">
        <v>16292</v>
      </c>
      <c r="I3168" s="3" t="s">
        <v>16614</v>
      </c>
      <c r="J3168" s="3" t="s">
        <v>16619</v>
      </c>
      <c r="K3168" s="3" t="s">
        <v>16620</v>
      </c>
      <c r="L3168" s="3"/>
      <c r="M3168" s="4"/>
      <c r="N3168" s="3" t="s">
        <v>37</v>
      </c>
      <c r="O3168" s="3" t="s">
        <v>52</v>
      </c>
      <c r="P3168" s="5">
        <v>23</v>
      </c>
      <c r="Q3168" s="5">
        <v>597</v>
      </c>
      <c r="R3168" s="5">
        <v>23</v>
      </c>
      <c r="S3168" s="5">
        <v>586</v>
      </c>
    </row>
    <row r="3169" spans="1:19" ht="28" x14ac:dyDescent="0.15">
      <c r="A3169" s="2">
        <f>HYPERLINK("https://open-school.uspishnemisto.com.ua/school/180078/", 180078)</f>
        <v>180078</v>
      </c>
      <c r="B3169" s="3" t="s">
        <v>16621</v>
      </c>
      <c r="C3169" s="3" t="s">
        <v>31</v>
      </c>
      <c r="D3169" s="3" t="s">
        <v>32</v>
      </c>
      <c r="E3169" s="4" t="s">
        <v>22</v>
      </c>
      <c r="F3169" s="4" t="s">
        <v>16622</v>
      </c>
      <c r="G3169" s="4" t="s">
        <v>16613</v>
      </c>
      <c r="H3169" s="3" t="s">
        <v>16292</v>
      </c>
      <c r="I3169" s="3" t="s">
        <v>16614</v>
      </c>
      <c r="J3169" s="3" t="s">
        <v>4531</v>
      </c>
      <c r="K3169" s="3" t="s">
        <v>16623</v>
      </c>
      <c r="L3169" s="3"/>
      <c r="M3169" s="4"/>
      <c r="N3169" s="3" t="s">
        <v>37</v>
      </c>
      <c r="O3169" s="3" t="s">
        <v>70</v>
      </c>
      <c r="P3169" s="5">
        <v>28</v>
      </c>
      <c r="Q3169" s="5">
        <v>650</v>
      </c>
      <c r="R3169" s="5">
        <v>28</v>
      </c>
      <c r="S3169" s="5">
        <v>641</v>
      </c>
    </row>
    <row r="3170" spans="1:19" ht="28" x14ac:dyDescent="0.15">
      <c r="A3170" s="2">
        <f>HYPERLINK("https://open-school.uspishnemisto.com.ua/school/180079/", 180079)</f>
        <v>180079</v>
      </c>
      <c r="B3170" s="3" t="s">
        <v>16624</v>
      </c>
      <c r="C3170" s="3" t="s">
        <v>31</v>
      </c>
      <c r="D3170" s="3" t="s">
        <v>32</v>
      </c>
      <c r="E3170" s="4" t="s">
        <v>22</v>
      </c>
      <c r="F3170" s="4" t="s">
        <v>16625</v>
      </c>
      <c r="G3170" s="4" t="s">
        <v>16613</v>
      </c>
      <c r="H3170" s="3" t="s">
        <v>16292</v>
      </c>
      <c r="I3170" s="3" t="s">
        <v>16614</v>
      </c>
      <c r="J3170" s="3" t="s">
        <v>16626</v>
      </c>
      <c r="K3170" s="3" t="s">
        <v>16627</v>
      </c>
      <c r="L3170" s="3"/>
      <c r="M3170" s="4"/>
      <c r="N3170" s="3" t="s">
        <v>37</v>
      </c>
      <c r="O3170" s="3" t="s">
        <v>38</v>
      </c>
      <c r="P3170" s="5">
        <v>21</v>
      </c>
      <c r="Q3170" s="5">
        <v>439</v>
      </c>
      <c r="R3170" s="5">
        <v>21</v>
      </c>
      <c r="S3170" s="5">
        <v>448</v>
      </c>
    </row>
    <row r="3171" spans="1:19" ht="28" x14ac:dyDescent="0.15">
      <c r="A3171" s="2">
        <f>HYPERLINK("https://open-school.uspishnemisto.com.ua/school/180080/", 180080)</f>
        <v>180080</v>
      </c>
      <c r="B3171" s="3" t="s">
        <v>16628</v>
      </c>
      <c r="C3171" s="3" t="s">
        <v>31</v>
      </c>
      <c r="D3171" s="3" t="s">
        <v>32</v>
      </c>
      <c r="E3171" s="4" t="s">
        <v>22</v>
      </c>
      <c r="F3171" s="4" t="s">
        <v>16612</v>
      </c>
      <c r="G3171" s="4" t="s">
        <v>16613</v>
      </c>
      <c r="H3171" s="3" t="s">
        <v>16292</v>
      </c>
      <c r="I3171" s="3" t="s">
        <v>16614</v>
      </c>
      <c r="J3171" s="3" t="s">
        <v>16629</v>
      </c>
      <c r="K3171" s="3" t="s">
        <v>16630</v>
      </c>
      <c r="L3171" s="3"/>
      <c r="M3171" s="4"/>
      <c r="N3171" s="3" t="s">
        <v>37</v>
      </c>
      <c r="O3171" s="3" t="s">
        <v>52</v>
      </c>
      <c r="P3171" s="5">
        <v>12</v>
      </c>
      <c r="Q3171" s="5">
        <v>198</v>
      </c>
      <c r="R3171" s="5">
        <v>12</v>
      </c>
      <c r="S3171" s="5">
        <v>177</v>
      </c>
    </row>
    <row r="3172" spans="1:19" ht="28" x14ac:dyDescent="0.15">
      <c r="A3172" s="2">
        <f>HYPERLINK("https://open-school.uspishnemisto.com.ua/school/180081/", 180081)</f>
        <v>180081</v>
      </c>
      <c r="B3172" s="3" t="s">
        <v>16631</v>
      </c>
      <c r="C3172" s="3" t="s">
        <v>54</v>
      </c>
      <c r="D3172" s="3" t="s">
        <v>32</v>
      </c>
      <c r="E3172" s="4" t="s">
        <v>22</v>
      </c>
      <c r="F3172" s="4" t="s">
        <v>16618</v>
      </c>
      <c r="G3172" s="4" t="s">
        <v>16613</v>
      </c>
      <c r="H3172" s="3" t="s">
        <v>16292</v>
      </c>
      <c r="I3172" s="3" t="s">
        <v>16614</v>
      </c>
      <c r="J3172" s="3" t="s">
        <v>16632</v>
      </c>
      <c r="K3172" s="3" t="s">
        <v>16633</v>
      </c>
      <c r="L3172" s="3"/>
      <c r="M3172" s="4"/>
      <c r="N3172" s="3" t="s">
        <v>37</v>
      </c>
      <c r="O3172" s="3" t="s">
        <v>46</v>
      </c>
      <c r="P3172" s="5">
        <v>38</v>
      </c>
      <c r="Q3172" s="5">
        <v>882</v>
      </c>
      <c r="R3172" s="5">
        <v>37</v>
      </c>
      <c r="S3172" s="5">
        <v>858</v>
      </c>
    </row>
    <row r="3173" spans="1:19" ht="28" x14ac:dyDescent="0.15">
      <c r="A3173" s="2">
        <f>HYPERLINK("https://open-school.uspishnemisto.com.ua/school/180082/", 180082)</f>
        <v>180082</v>
      </c>
      <c r="B3173" s="3" t="s">
        <v>16634</v>
      </c>
      <c r="C3173" s="3" t="s">
        <v>31</v>
      </c>
      <c r="D3173" s="3" t="s">
        <v>32</v>
      </c>
      <c r="E3173" s="4" t="s">
        <v>22</v>
      </c>
      <c r="F3173" s="4" t="s">
        <v>16635</v>
      </c>
      <c r="G3173" s="4" t="s">
        <v>16636</v>
      </c>
      <c r="H3173" s="3" t="s">
        <v>16292</v>
      </c>
      <c r="I3173" s="3" t="s">
        <v>16637</v>
      </c>
      <c r="J3173" s="3" t="s">
        <v>16638</v>
      </c>
      <c r="K3173" s="3" t="s">
        <v>16639</v>
      </c>
      <c r="L3173" s="3" t="s">
        <v>16640</v>
      </c>
      <c r="M3173" s="4"/>
      <c r="N3173" s="3" t="s">
        <v>37</v>
      </c>
      <c r="O3173" s="3" t="s">
        <v>2740</v>
      </c>
      <c r="P3173" s="5">
        <v>24</v>
      </c>
      <c r="Q3173" s="5">
        <v>584</v>
      </c>
      <c r="R3173" s="5">
        <v>23</v>
      </c>
      <c r="S3173" s="5">
        <v>589</v>
      </c>
    </row>
    <row r="3174" spans="1:19" ht="28" x14ac:dyDescent="0.15">
      <c r="A3174" s="2">
        <f>HYPERLINK("https://open-school.uspishnemisto.com.ua/school/180083/", 180083)</f>
        <v>180083</v>
      </c>
      <c r="B3174" s="3" t="s">
        <v>16641</v>
      </c>
      <c r="C3174" s="3" t="s">
        <v>31</v>
      </c>
      <c r="D3174" s="3" t="s">
        <v>32</v>
      </c>
      <c r="E3174" s="4" t="s">
        <v>22</v>
      </c>
      <c r="F3174" s="4" t="s">
        <v>16635</v>
      </c>
      <c r="G3174" s="4" t="s">
        <v>16636</v>
      </c>
      <c r="H3174" s="3" t="s">
        <v>16292</v>
      </c>
      <c r="I3174" s="3" t="s">
        <v>16637</v>
      </c>
      <c r="J3174" s="3" t="s">
        <v>16642</v>
      </c>
      <c r="K3174" s="3" t="s">
        <v>16643</v>
      </c>
      <c r="L3174" s="3"/>
      <c r="M3174" s="4"/>
      <c r="N3174" s="3" t="s">
        <v>37</v>
      </c>
      <c r="O3174" s="3" t="s">
        <v>38</v>
      </c>
      <c r="P3174" s="5">
        <v>19</v>
      </c>
      <c r="Q3174" s="5">
        <v>433</v>
      </c>
      <c r="R3174" s="5">
        <v>19</v>
      </c>
      <c r="S3174" s="5">
        <v>439</v>
      </c>
    </row>
    <row r="3175" spans="1:19" ht="28" x14ac:dyDescent="0.15">
      <c r="A3175" s="2">
        <f>HYPERLINK("https://open-school.uspishnemisto.com.ua/school/180084/", 180084)</f>
        <v>180084</v>
      </c>
      <c r="B3175" s="3" t="s">
        <v>16644</v>
      </c>
      <c r="C3175" s="3" t="s">
        <v>31</v>
      </c>
      <c r="D3175" s="3" t="s">
        <v>32</v>
      </c>
      <c r="E3175" s="4" t="s">
        <v>22</v>
      </c>
      <c r="F3175" s="4" t="s">
        <v>16645</v>
      </c>
      <c r="G3175" s="4" t="s">
        <v>16636</v>
      </c>
      <c r="H3175" s="3" t="s">
        <v>16292</v>
      </c>
      <c r="I3175" s="3" t="s">
        <v>16637</v>
      </c>
      <c r="J3175" s="3" t="s">
        <v>16646</v>
      </c>
      <c r="K3175" s="3" t="s">
        <v>16647</v>
      </c>
      <c r="L3175" s="3" t="s">
        <v>16648</v>
      </c>
      <c r="M3175" s="4"/>
      <c r="N3175" s="3" t="s">
        <v>37</v>
      </c>
      <c r="O3175" s="3" t="s">
        <v>70</v>
      </c>
      <c r="P3175" s="5">
        <v>20</v>
      </c>
      <c r="Q3175" s="5">
        <v>481</v>
      </c>
      <c r="R3175" s="5">
        <v>20</v>
      </c>
      <c r="S3175" s="5">
        <v>474</v>
      </c>
    </row>
    <row r="3176" spans="1:19" ht="42" x14ac:dyDescent="0.15">
      <c r="A3176" s="2">
        <f>HYPERLINK("https://open-school.uspishnemisto.com.ua/school/180085/", 180085)</f>
        <v>180085</v>
      </c>
      <c r="B3176" s="3" t="s">
        <v>16649</v>
      </c>
      <c r="C3176" s="3" t="s">
        <v>31</v>
      </c>
      <c r="D3176" s="3" t="s">
        <v>32</v>
      </c>
      <c r="E3176" s="4" t="s">
        <v>22</v>
      </c>
      <c r="F3176" s="4" t="s">
        <v>16635</v>
      </c>
      <c r="G3176" s="4" t="s">
        <v>16636</v>
      </c>
      <c r="H3176" s="3" t="s">
        <v>16292</v>
      </c>
      <c r="I3176" s="3" t="s">
        <v>16637</v>
      </c>
      <c r="J3176" s="3" t="s">
        <v>16650</v>
      </c>
      <c r="K3176" s="3" t="s">
        <v>16651</v>
      </c>
      <c r="L3176" s="3"/>
      <c r="M3176" s="4"/>
      <c r="N3176" s="3" t="s">
        <v>37</v>
      </c>
      <c r="O3176" s="3" t="s">
        <v>52</v>
      </c>
      <c r="P3176" s="5">
        <v>21</v>
      </c>
      <c r="Q3176" s="5">
        <v>470</v>
      </c>
      <c r="R3176" s="5">
        <v>20</v>
      </c>
      <c r="S3176" s="5">
        <v>456</v>
      </c>
    </row>
    <row r="3177" spans="1:19" ht="28" x14ac:dyDescent="0.15">
      <c r="A3177" s="2">
        <f>HYPERLINK("https://open-school.uspishnemisto.com.ua/school/180086/", 180086)</f>
        <v>180086</v>
      </c>
      <c r="B3177" s="3" t="s">
        <v>16652</v>
      </c>
      <c r="C3177" s="3" t="s">
        <v>31</v>
      </c>
      <c r="D3177" s="3" t="s">
        <v>32</v>
      </c>
      <c r="E3177" s="4" t="s">
        <v>22</v>
      </c>
      <c r="F3177" s="4"/>
      <c r="G3177" s="4" t="s">
        <v>16636</v>
      </c>
      <c r="H3177" s="3" t="s">
        <v>16292</v>
      </c>
      <c r="I3177" s="3" t="s">
        <v>16637</v>
      </c>
      <c r="J3177" s="3" t="s">
        <v>16653</v>
      </c>
      <c r="K3177" s="3" t="s">
        <v>16654</v>
      </c>
      <c r="L3177" s="3"/>
      <c r="M3177" s="4"/>
      <c r="N3177" s="3" t="s">
        <v>37</v>
      </c>
      <c r="O3177" s="3" t="s">
        <v>52</v>
      </c>
      <c r="P3177" s="5">
        <v>23</v>
      </c>
      <c r="Q3177" s="5">
        <v>605</v>
      </c>
      <c r="R3177" s="5">
        <v>23</v>
      </c>
      <c r="S3177" s="5">
        <v>593</v>
      </c>
    </row>
    <row r="3178" spans="1:19" ht="28" x14ac:dyDescent="0.15">
      <c r="A3178" s="2">
        <f>HYPERLINK("https://open-school.uspishnemisto.com.ua/school/180087/", 180087)</f>
        <v>180087</v>
      </c>
      <c r="B3178" s="3" t="s">
        <v>16655</v>
      </c>
      <c r="C3178" s="3" t="s">
        <v>31</v>
      </c>
      <c r="D3178" s="3" t="s">
        <v>32</v>
      </c>
      <c r="E3178" s="4" t="s">
        <v>22</v>
      </c>
      <c r="F3178" s="4" t="s">
        <v>16635</v>
      </c>
      <c r="G3178" s="4" t="s">
        <v>16636</v>
      </c>
      <c r="H3178" s="3" t="s">
        <v>16292</v>
      </c>
      <c r="I3178" s="3" t="s">
        <v>16637</v>
      </c>
      <c r="J3178" s="3" t="s">
        <v>16656</v>
      </c>
      <c r="K3178" s="3" t="s">
        <v>16657</v>
      </c>
      <c r="L3178" s="3"/>
      <c r="M3178" s="4"/>
      <c r="N3178" s="3" t="s">
        <v>37</v>
      </c>
      <c r="O3178" s="3" t="s">
        <v>52</v>
      </c>
      <c r="P3178" s="5">
        <v>17</v>
      </c>
      <c r="Q3178" s="5">
        <v>405</v>
      </c>
      <c r="R3178" s="5">
        <v>16</v>
      </c>
      <c r="S3178" s="5">
        <v>396</v>
      </c>
    </row>
    <row r="3179" spans="1:19" ht="28" x14ac:dyDescent="0.15">
      <c r="A3179" s="2">
        <f>HYPERLINK("https://open-school.uspishnemisto.com.ua/school/180088/", 180088)</f>
        <v>180088</v>
      </c>
      <c r="B3179" s="3" t="s">
        <v>16658</v>
      </c>
      <c r="C3179" s="3" t="s">
        <v>31</v>
      </c>
      <c r="D3179" s="3" t="s">
        <v>32</v>
      </c>
      <c r="E3179" s="4" t="s">
        <v>22</v>
      </c>
      <c r="F3179" s="4" t="s">
        <v>16659</v>
      </c>
      <c r="G3179" s="4" t="s">
        <v>16636</v>
      </c>
      <c r="H3179" s="3" t="s">
        <v>16292</v>
      </c>
      <c r="I3179" s="3" t="s">
        <v>16637</v>
      </c>
      <c r="J3179" s="3" t="s">
        <v>16660</v>
      </c>
      <c r="K3179" s="3" t="s">
        <v>16661</v>
      </c>
      <c r="L3179" s="3" t="s">
        <v>16662</v>
      </c>
      <c r="M3179" s="4"/>
      <c r="N3179" s="3" t="s">
        <v>37</v>
      </c>
      <c r="O3179" s="3" t="s">
        <v>70</v>
      </c>
      <c r="P3179" s="5">
        <v>27</v>
      </c>
      <c r="Q3179" s="5">
        <v>663</v>
      </c>
      <c r="R3179" s="5">
        <v>26</v>
      </c>
      <c r="S3179" s="5">
        <v>677</v>
      </c>
    </row>
    <row r="3180" spans="1:19" ht="28" x14ac:dyDescent="0.15">
      <c r="A3180" s="2">
        <f>HYPERLINK("https://open-school.uspishnemisto.com.ua/school/180089/", 180089)</f>
        <v>180089</v>
      </c>
      <c r="B3180" s="3" t="s">
        <v>16663</v>
      </c>
      <c r="C3180" s="3" t="s">
        <v>31</v>
      </c>
      <c r="D3180" s="3" t="s">
        <v>32</v>
      </c>
      <c r="E3180" s="4" t="s">
        <v>22</v>
      </c>
      <c r="F3180" s="4" t="s">
        <v>16635</v>
      </c>
      <c r="G3180" s="4" t="s">
        <v>16636</v>
      </c>
      <c r="H3180" s="3" t="s">
        <v>16292</v>
      </c>
      <c r="I3180" s="3" t="s">
        <v>16637</v>
      </c>
      <c r="J3180" s="3" t="s">
        <v>16664</v>
      </c>
      <c r="K3180" s="3"/>
      <c r="L3180" s="3"/>
      <c r="M3180" s="4"/>
      <c r="N3180" s="3" t="s">
        <v>37</v>
      </c>
      <c r="O3180" s="3" t="s">
        <v>38</v>
      </c>
      <c r="P3180" s="5">
        <v>14</v>
      </c>
      <c r="Q3180" s="5">
        <v>319</v>
      </c>
      <c r="R3180" s="5">
        <v>13</v>
      </c>
      <c r="S3180" s="5">
        <v>305</v>
      </c>
    </row>
    <row r="3181" spans="1:19" ht="42" x14ac:dyDescent="0.15">
      <c r="A3181" s="2">
        <f>HYPERLINK("https://open-school.uspishnemisto.com.ua/school/180090/", 180090)</f>
        <v>180090</v>
      </c>
      <c r="B3181" s="3" t="s">
        <v>16665</v>
      </c>
      <c r="C3181" s="3" t="s">
        <v>293</v>
      </c>
      <c r="D3181" s="3" t="s">
        <v>175</v>
      </c>
      <c r="E3181" s="4" t="s">
        <v>22</v>
      </c>
      <c r="F3181" s="4" t="s">
        <v>16635</v>
      </c>
      <c r="G3181" s="4" t="s">
        <v>16636</v>
      </c>
      <c r="H3181" s="3" t="s">
        <v>16292</v>
      </c>
      <c r="I3181" s="3" t="s">
        <v>16637</v>
      </c>
      <c r="J3181" s="3" t="s">
        <v>16666</v>
      </c>
      <c r="K3181" s="3" t="s">
        <v>16667</v>
      </c>
      <c r="L3181" s="3"/>
      <c r="M3181" s="4" t="s">
        <v>16668</v>
      </c>
      <c r="N3181" s="3" t="s">
        <v>37</v>
      </c>
      <c r="O3181" s="3" t="s">
        <v>52</v>
      </c>
      <c r="P3181" s="5">
        <v>8</v>
      </c>
      <c r="Q3181" s="5">
        <v>157</v>
      </c>
      <c r="R3181" s="5">
        <v>10</v>
      </c>
      <c r="S3181" s="5">
        <v>194</v>
      </c>
    </row>
    <row r="3182" spans="1:19" ht="42" x14ac:dyDescent="0.15">
      <c r="A3182" s="2">
        <f>HYPERLINK("https://open-school.uspishnemisto.com.ua/school/180091/", 180091)</f>
        <v>180091</v>
      </c>
      <c r="B3182" s="3" t="s">
        <v>16669</v>
      </c>
      <c r="C3182" s="3" t="s">
        <v>244</v>
      </c>
      <c r="D3182" s="3" t="s">
        <v>32</v>
      </c>
      <c r="E3182" s="4" t="s">
        <v>22</v>
      </c>
      <c r="F3182" s="4" t="s">
        <v>16635</v>
      </c>
      <c r="G3182" s="4" t="s">
        <v>16636</v>
      </c>
      <c r="H3182" s="3" t="s">
        <v>16292</v>
      </c>
      <c r="I3182" s="3" t="s">
        <v>16637</v>
      </c>
      <c r="J3182" s="3" t="s">
        <v>16670</v>
      </c>
      <c r="K3182" s="3" t="s">
        <v>16671</v>
      </c>
      <c r="L3182" s="3" t="s">
        <v>16672</v>
      </c>
      <c r="M3182" s="4"/>
      <c r="N3182" s="3" t="s">
        <v>37</v>
      </c>
      <c r="O3182" s="3" t="s">
        <v>70</v>
      </c>
      <c r="P3182" s="5">
        <v>40</v>
      </c>
      <c r="Q3182" s="5">
        <v>1064</v>
      </c>
      <c r="R3182" s="5">
        <v>39</v>
      </c>
      <c r="S3182" s="5">
        <v>1016</v>
      </c>
    </row>
    <row r="3183" spans="1:19" ht="28" x14ac:dyDescent="0.15">
      <c r="A3183" s="2">
        <f>HYPERLINK("https://open-school.uspishnemisto.com.ua/school/180092/", 180092)</f>
        <v>180092</v>
      </c>
      <c r="B3183" s="3" t="s">
        <v>16673</v>
      </c>
      <c r="C3183" s="3" t="s">
        <v>2128</v>
      </c>
      <c r="D3183" s="3" t="s">
        <v>32</v>
      </c>
      <c r="E3183" s="4" t="s">
        <v>22</v>
      </c>
      <c r="F3183" s="4" t="s">
        <v>16674</v>
      </c>
      <c r="G3183" s="4" t="s">
        <v>16636</v>
      </c>
      <c r="H3183" s="3" t="s">
        <v>16292</v>
      </c>
      <c r="I3183" s="3" t="s">
        <v>16637</v>
      </c>
      <c r="J3183" s="3" t="s">
        <v>16675</v>
      </c>
      <c r="K3183" s="3" t="s">
        <v>16676</v>
      </c>
      <c r="L3183" s="3"/>
      <c r="M3183" s="4"/>
      <c r="N3183" s="3" t="s">
        <v>37</v>
      </c>
      <c r="O3183" s="3" t="s">
        <v>52</v>
      </c>
      <c r="P3183" s="5">
        <v>29</v>
      </c>
      <c r="Q3183" s="5">
        <v>723</v>
      </c>
      <c r="R3183" s="5">
        <v>29</v>
      </c>
      <c r="S3183" s="5">
        <v>728</v>
      </c>
    </row>
    <row r="3184" spans="1:19" ht="42" x14ac:dyDescent="0.15">
      <c r="A3184" s="2">
        <f>HYPERLINK("https://open-school.uspishnemisto.com.ua/school/180093/", 180093)</f>
        <v>180093</v>
      </c>
      <c r="B3184" s="3" t="s">
        <v>16677</v>
      </c>
      <c r="C3184" s="3" t="s">
        <v>40</v>
      </c>
      <c r="D3184" s="3" t="s">
        <v>32</v>
      </c>
      <c r="E3184" s="4" t="s">
        <v>22</v>
      </c>
      <c r="F3184" s="4" t="s">
        <v>16635</v>
      </c>
      <c r="G3184" s="4" t="s">
        <v>16636</v>
      </c>
      <c r="H3184" s="3" t="s">
        <v>16292</v>
      </c>
      <c r="I3184" s="3" t="s">
        <v>16637</v>
      </c>
      <c r="J3184" s="3" t="s">
        <v>16678</v>
      </c>
      <c r="K3184" s="3" t="s">
        <v>16679</v>
      </c>
      <c r="L3184" s="3"/>
      <c r="M3184" s="4"/>
      <c r="N3184" s="3" t="s">
        <v>37</v>
      </c>
      <c r="O3184" s="3" t="s">
        <v>129</v>
      </c>
      <c r="P3184" s="5">
        <v>30</v>
      </c>
      <c r="Q3184" s="5">
        <v>749</v>
      </c>
      <c r="R3184" s="5">
        <v>30</v>
      </c>
      <c r="S3184" s="5">
        <v>756</v>
      </c>
    </row>
    <row r="3185" spans="1:19" ht="28" x14ac:dyDescent="0.15">
      <c r="A3185" s="2">
        <f>HYPERLINK("https://open-school.uspishnemisto.com.ua/school/180094/", 180094)</f>
        <v>180094</v>
      </c>
      <c r="B3185" s="3" t="s">
        <v>16680</v>
      </c>
      <c r="C3185" s="3" t="s">
        <v>40</v>
      </c>
      <c r="D3185" s="3" t="s">
        <v>32</v>
      </c>
      <c r="E3185" s="4" t="s">
        <v>22</v>
      </c>
      <c r="F3185" s="4" t="s">
        <v>16681</v>
      </c>
      <c r="G3185" s="4" t="s">
        <v>16682</v>
      </c>
      <c r="H3185" s="3" t="s">
        <v>16292</v>
      </c>
      <c r="I3185" s="3" t="s">
        <v>3195</v>
      </c>
      <c r="J3185" s="3" t="s">
        <v>792</v>
      </c>
      <c r="K3185" s="3" t="s">
        <v>16683</v>
      </c>
      <c r="L3185" s="3"/>
      <c r="M3185" s="4"/>
      <c r="N3185" s="3" t="s">
        <v>37</v>
      </c>
      <c r="O3185" s="3" t="s">
        <v>52</v>
      </c>
      <c r="P3185" s="5">
        <v>29</v>
      </c>
      <c r="Q3185" s="5">
        <v>653</v>
      </c>
      <c r="R3185" s="5">
        <v>29</v>
      </c>
      <c r="S3185" s="5">
        <v>665</v>
      </c>
    </row>
    <row r="3186" spans="1:19" ht="28" x14ac:dyDescent="0.15">
      <c r="A3186" s="2">
        <f>HYPERLINK("https://open-school.uspishnemisto.com.ua/school/180095/", 180095)</f>
        <v>180095</v>
      </c>
      <c r="B3186" s="3" t="s">
        <v>16684</v>
      </c>
      <c r="C3186" s="3" t="s">
        <v>31</v>
      </c>
      <c r="D3186" s="3" t="s">
        <v>175</v>
      </c>
      <c r="E3186" s="4" t="s">
        <v>22</v>
      </c>
      <c r="F3186" s="4" t="s">
        <v>16685</v>
      </c>
      <c r="G3186" s="4" t="s">
        <v>16682</v>
      </c>
      <c r="H3186" s="3" t="s">
        <v>16292</v>
      </c>
      <c r="I3186" s="3" t="s">
        <v>3195</v>
      </c>
      <c r="J3186" s="3" t="s">
        <v>16686</v>
      </c>
      <c r="K3186" s="3" t="s">
        <v>16687</v>
      </c>
      <c r="L3186" s="3"/>
      <c r="M3186" s="4"/>
      <c r="N3186" s="3" t="s">
        <v>37</v>
      </c>
      <c r="O3186" s="3" t="s">
        <v>38</v>
      </c>
      <c r="P3186" s="5">
        <v>9</v>
      </c>
      <c r="Q3186" s="5">
        <v>82</v>
      </c>
      <c r="R3186" s="5">
        <v>9</v>
      </c>
      <c r="S3186" s="5">
        <v>86</v>
      </c>
    </row>
    <row r="3187" spans="1:19" ht="28" x14ac:dyDescent="0.15">
      <c r="A3187" s="2">
        <f>HYPERLINK("https://open-school.uspishnemisto.com.ua/school/180096/", 180096)</f>
        <v>180096</v>
      </c>
      <c r="B3187" s="3" t="s">
        <v>16688</v>
      </c>
      <c r="C3187" s="3" t="s">
        <v>31</v>
      </c>
      <c r="D3187" s="3" t="s">
        <v>32</v>
      </c>
      <c r="E3187" s="4" t="s">
        <v>22</v>
      </c>
      <c r="F3187" s="4" t="s">
        <v>16681</v>
      </c>
      <c r="G3187" s="4" t="s">
        <v>16682</v>
      </c>
      <c r="H3187" s="3" t="s">
        <v>16292</v>
      </c>
      <c r="I3187" s="3" t="s">
        <v>3195</v>
      </c>
      <c r="J3187" s="3" t="s">
        <v>6438</v>
      </c>
      <c r="K3187" s="3" t="s">
        <v>16689</v>
      </c>
      <c r="L3187" s="3" t="s">
        <v>16690</v>
      </c>
      <c r="M3187" s="4"/>
      <c r="N3187" s="3" t="s">
        <v>37</v>
      </c>
      <c r="O3187" s="3" t="s">
        <v>70</v>
      </c>
      <c r="P3187" s="5">
        <v>22</v>
      </c>
      <c r="Q3187" s="5">
        <v>456</v>
      </c>
      <c r="R3187" s="5">
        <v>22</v>
      </c>
      <c r="S3187" s="5">
        <v>438</v>
      </c>
    </row>
    <row r="3188" spans="1:19" ht="28" x14ac:dyDescent="0.15">
      <c r="A3188" s="2">
        <f>HYPERLINK("https://open-school.uspishnemisto.com.ua/school/180097/", 180097)</f>
        <v>180097</v>
      </c>
      <c r="B3188" s="3" t="s">
        <v>16691</v>
      </c>
      <c r="C3188" s="3" t="s">
        <v>31</v>
      </c>
      <c r="D3188" s="3" t="s">
        <v>32</v>
      </c>
      <c r="E3188" s="4" t="s">
        <v>22</v>
      </c>
      <c r="F3188" s="4" t="s">
        <v>16692</v>
      </c>
      <c r="G3188" s="4" t="s">
        <v>16693</v>
      </c>
      <c r="H3188" s="3" t="s">
        <v>16292</v>
      </c>
      <c r="I3188" s="3" t="s">
        <v>11464</v>
      </c>
      <c r="J3188" s="3" t="s">
        <v>16694</v>
      </c>
      <c r="K3188" s="3" t="s">
        <v>16695</v>
      </c>
      <c r="L3188" s="3"/>
      <c r="M3188" s="4"/>
      <c r="N3188" s="3" t="s">
        <v>37</v>
      </c>
      <c r="O3188" s="3" t="s">
        <v>70</v>
      </c>
      <c r="P3188" s="5">
        <v>18</v>
      </c>
      <c r="Q3188" s="5">
        <v>372</v>
      </c>
      <c r="R3188" s="5">
        <v>20</v>
      </c>
      <c r="S3188" s="5">
        <v>370</v>
      </c>
    </row>
    <row r="3189" spans="1:19" ht="28" x14ac:dyDescent="0.15">
      <c r="A3189" s="2">
        <f>HYPERLINK("https://open-school.uspishnemisto.com.ua/school/180098/", 180098)</f>
        <v>180098</v>
      </c>
      <c r="B3189" s="3" t="s">
        <v>16696</v>
      </c>
      <c r="C3189" s="3" t="s">
        <v>31</v>
      </c>
      <c r="D3189" s="3" t="s">
        <v>175</v>
      </c>
      <c r="E3189" s="4" t="s">
        <v>22</v>
      </c>
      <c r="F3189" s="4" t="s">
        <v>16697</v>
      </c>
      <c r="G3189" s="4" t="s">
        <v>16698</v>
      </c>
      <c r="H3189" s="3" t="s">
        <v>16292</v>
      </c>
      <c r="I3189" s="3" t="s">
        <v>16699</v>
      </c>
      <c r="J3189" s="3" t="s">
        <v>761</v>
      </c>
      <c r="K3189" s="3" t="s">
        <v>16700</v>
      </c>
      <c r="L3189" s="3"/>
      <c r="M3189" s="4"/>
      <c r="N3189" s="3" t="s">
        <v>37</v>
      </c>
      <c r="O3189" s="3" t="s">
        <v>38</v>
      </c>
      <c r="P3189" s="5">
        <v>7</v>
      </c>
      <c r="Q3189" s="5">
        <v>52</v>
      </c>
      <c r="R3189" s="5">
        <v>6</v>
      </c>
      <c r="S3189" s="5">
        <v>50</v>
      </c>
    </row>
    <row r="3190" spans="1:19" ht="28" x14ac:dyDescent="0.15">
      <c r="A3190" s="2">
        <f>HYPERLINK("https://open-school.uspishnemisto.com.ua/school/180099/", 180099)</f>
        <v>180099</v>
      </c>
      <c r="B3190" s="3" t="s">
        <v>16701</v>
      </c>
      <c r="C3190" s="3" t="s">
        <v>31</v>
      </c>
      <c r="D3190" s="3" t="s">
        <v>32</v>
      </c>
      <c r="E3190" s="4" t="s">
        <v>22</v>
      </c>
      <c r="F3190" s="4" t="s">
        <v>16702</v>
      </c>
      <c r="G3190" s="4" t="s">
        <v>16703</v>
      </c>
      <c r="H3190" s="3" t="s">
        <v>16292</v>
      </c>
      <c r="I3190" s="3" t="s">
        <v>16704</v>
      </c>
      <c r="J3190" s="3" t="s">
        <v>16705</v>
      </c>
      <c r="K3190" s="3"/>
      <c r="L3190" s="3"/>
      <c r="M3190" s="4"/>
      <c r="N3190" s="3" t="s">
        <v>37</v>
      </c>
      <c r="O3190" s="3" t="s">
        <v>52</v>
      </c>
      <c r="P3190" s="5">
        <v>11</v>
      </c>
      <c r="Q3190" s="5">
        <v>101</v>
      </c>
      <c r="R3190" s="5">
        <v>11</v>
      </c>
      <c r="S3190" s="5">
        <v>106</v>
      </c>
    </row>
    <row r="3191" spans="1:19" ht="28" x14ac:dyDescent="0.15">
      <c r="A3191" s="2">
        <f>HYPERLINK("https://open-school.uspishnemisto.com.ua/school/180100/", 180100)</f>
        <v>180100</v>
      </c>
      <c r="B3191" s="3" t="s">
        <v>16706</v>
      </c>
      <c r="C3191" s="3" t="s">
        <v>31</v>
      </c>
      <c r="D3191" s="3" t="s">
        <v>175</v>
      </c>
      <c r="E3191" s="4" t="s">
        <v>22</v>
      </c>
      <c r="F3191" s="4" t="s">
        <v>16707</v>
      </c>
      <c r="G3191" s="4" t="s">
        <v>16708</v>
      </c>
      <c r="H3191" s="3" t="s">
        <v>16292</v>
      </c>
      <c r="I3191" s="3" t="s">
        <v>5961</v>
      </c>
      <c r="J3191" s="3" t="s">
        <v>16709</v>
      </c>
      <c r="K3191" s="3" t="s">
        <v>16710</v>
      </c>
      <c r="L3191" s="3"/>
      <c r="M3191" s="4"/>
      <c r="N3191" s="3" t="s">
        <v>37</v>
      </c>
      <c r="O3191" s="3" t="s">
        <v>46</v>
      </c>
      <c r="P3191" s="5">
        <v>9</v>
      </c>
      <c r="Q3191" s="5">
        <v>66</v>
      </c>
      <c r="R3191" s="5">
        <v>9</v>
      </c>
      <c r="S3191" s="5">
        <v>67</v>
      </c>
    </row>
    <row r="3192" spans="1:19" ht="28" x14ac:dyDescent="0.15">
      <c r="A3192" s="2">
        <f>HYPERLINK("https://open-school.uspishnemisto.com.ua/school/180101/", 180101)</f>
        <v>180101</v>
      </c>
      <c r="B3192" s="3" t="s">
        <v>16711</v>
      </c>
      <c r="C3192" s="3" t="s">
        <v>31</v>
      </c>
      <c r="D3192" s="3" t="s">
        <v>32</v>
      </c>
      <c r="E3192" s="4" t="s">
        <v>22</v>
      </c>
      <c r="F3192" s="4" t="s">
        <v>16712</v>
      </c>
      <c r="G3192" s="4" t="s">
        <v>16713</v>
      </c>
      <c r="H3192" s="3" t="s">
        <v>16292</v>
      </c>
      <c r="I3192" s="3" t="s">
        <v>16714</v>
      </c>
      <c r="J3192" s="3" t="s">
        <v>16715</v>
      </c>
      <c r="K3192" s="3" t="s">
        <v>16716</v>
      </c>
      <c r="L3192" s="3"/>
      <c r="M3192" s="4"/>
      <c r="N3192" s="3" t="s">
        <v>37</v>
      </c>
      <c r="O3192" s="3" t="s">
        <v>38</v>
      </c>
      <c r="P3192" s="5">
        <v>11</v>
      </c>
      <c r="Q3192" s="5">
        <v>112</v>
      </c>
      <c r="R3192" s="5">
        <v>11</v>
      </c>
      <c r="S3192" s="5">
        <v>118</v>
      </c>
    </row>
    <row r="3193" spans="1:19" ht="28" x14ac:dyDescent="0.15">
      <c r="A3193" s="2">
        <f>HYPERLINK("https://open-school.uspishnemisto.com.ua/school/180102/", 180102)</f>
        <v>180102</v>
      </c>
      <c r="B3193" s="3" t="s">
        <v>16717</v>
      </c>
      <c r="C3193" s="3" t="s">
        <v>31</v>
      </c>
      <c r="D3193" s="3" t="s">
        <v>32</v>
      </c>
      <c r="E3193" s="4" t="s">
        <v>22</v>
      </c>
      <c r="F3193" s="4" t="s">
        <v>16718</v>
      </c>
      <c r="G3193" s="4" t="s">
        <v>16719</v>
      </c>
      <c r="H3193" s="3" t="s">
        <v>16292</v>
      </c>
      <c r="I3193" s="3" t="s">
        <v>16720</v>
      </c>
      <c r="J3193" s="3" t="s">
        <v>878</v>
      </c>
      <c r="K3193" s="3"/>
      <c r="L3193" s="3"/>
      <c r="M3193" s="4"/>
      <c r="N3193" s="3" t="s">
        <v>37</v>
      </c>
      <c r="O3193" s="3" t="s">
        <v>38</v>
      </c>
      <c r="P3193" s="5">
        <v>10</v>
      </c>
      <c r="Q3193" s="5">
        <v>101</v>
      </c>
      <c r="R3193" s="5">
        <v>10</v>
      </c>
      <c r="S3193" s="5">
        <v>91</v>
      </c>
    </row>
    <row r="3194" spans="1:19" ht="28" x14ac:dyDescent="0.15">
      <c r="A3194" s="2">
        <f>HYPERLINK("https://open-school.uspishnemisto.com.ua/school/180103/", 180103)</f>
        <v>180103</v>
      </c>
      <c r="B3194" s="3" t="s">
        <v>16721</v>
      </c>
      <c r="C3194" s="3" t="s">
        <v>31</v>
      </c>
      <c r="D3194" s="3" t="s">
        <v>32</v>
      </c>
      <c r="E3194" s="4" t="s">
        <v>22</v>
      </c>
      <c r="F3194" s="4" t="s">
        <v>16722</v>
      </c>
      <c r="G3194" s="4" t="s">
        <v>16723</v>
      </c>
      <c r="H3194" s="3" t="s">
        <v>16292</v>
      </c>
      <c r="I3194" s="3" t="s">
        <v>2032</v>
      </c>
      <c r="J3194" s="3" t="s">
        <v>4728</v>
      </c>
      <c r="K3194" s="3" t="s">
        <v>16724</v>
      </c>
      <c r="L3194" s="3"/>
      <c r="M3194" s="4"/>
      <c r="N3194" s="3" t="s">
        <v>37</v>
      </c>
      <c r="O3194" s="3" t="s">
        <v>70</v>
      </c>
      <c r="P3194" s="5">
        <v>11</v>
      </c>
      <c r="Q3194" s="5">
        <v>101</v>
      </c>
      <c r="R3194" s="5">
        <v>11</v>
      </c>
      <c r="S3194" s="5">
        <v>90</v>
      </c>
    </row>
    <row r="3195" spans="1:19" ht="28" x14ac:dyDescent="0.15">
      <c r="A3195" s="2">
        <f>HYPERLINK("https://open-school.uspishnemisto.com.ua/school/180104/", 180104)</f>
        <v>180104</v>
      </c>
      <c r="B3195" s="3" t="s">
        <v>16725</v>
      </c>
      <c r="C3195" s="3" t="s">
        <v>31</v>
      </c>
      <c r="D3195" s="3" t="s">
        <v>32</v>
      </c>
      <c r="E3195" s="4" t="s">
        <v>22</v>
      </c>
      <c r="F3195" s="4" t="s">
        <v>16726</v>
      </c>
      <c r="G3195" s="4" t="s">
        <v>16727</v>
      </c>
      <c r="H3195" s="3" t="s">
        <v>16292</v>
      </c>
      <c r="I3195" s="3" t="s">
        <v>16728</v>
      </c>
      <c r="J3195" s="3" t="s">
        <v>16729</v>
      </c>
      <c r="K3195" s="3" t="s">
        <v>16730</v>
      </c>
      <c r="L3195" s="3"/>
      <c r="M3195" s="4"/>
      <c r="N3195" s="3" t="s">
        <v>37</v>
      </c>
      <c r="O3195" s="3" t="s">
        <v>38</v>
      </c>
      <c r="P3195" s="5">
        <v>9</v>
      </c>
      <c r="Q3195" s="5">
        <v>67</v>
      </c>
      <c r="R3195" s="5">
        <v>10</v>
      </c>
      <c r="S3195" s="5">
        <v>65</v>
      </c>
    </row>
    <row r="3196" spans="1:19" ht="28" x14ac:dyDescent="0.15">
      <c r="A3196" s="2">
        <f>HYPERLINK("https://open-school.uspishnemisto.com.ua/school/180105/", 180105)</f>
        <v>180105</v>
      </c>
      <c r="B3196" s="3" t="s">
        <v>16731</v>
      </c>
      <c r="C3196" s="3" t="s">
        <v>31</v>
      </c>
      <c r="D3196" s="3" t="s">
        <v>32</v>
      </c>
      <c r="E3196" s="4" t="s">
        <v>22</v>
      </c>
      <c r="F3196" s="4" t="s">
        <v>16732</v>
      </c>
      <c r="G3196" s="4" t="s">
        <v>16733</v>
      </c>
      <c r="H3196" s="3" t="s">
        <v>16292</v>
      </c>
      <c r="I3196" s="3" t="s">
        <v>16734</v>
      </c>
      <c r="J3196" s="3" t="s">
        <v>16735</v>
      </c>
      <c r="K3196" s="3" t="s">
        <v>16736</v>
      </c>
      <c r="L3196" s="3"/>
      <c r="M3196" s="4"/>
      <c r="N3196" s="3" t="s">
        <v>37</v>
      </c>
      <c r="O3196" s="3" t="s">
        <v>52</v>
      </c>
      <c r="P3196" s="5">
        <v>10</v>
      </c>
      <c r="Q3196" s="5">
        <v>86</v>
      </c>
      <c r="R3196" s="5">
        <v>11</v>
      </c>
      <c r="S3196" s="5">
        <v>88</v>
      </c>
    </row>
    <row r="3197" spans="1:19" ht="28" x14ac:dyDescent="0.15">
      <c r="A3197" s="2">
        <f>HYPERLINK("https://open-school.uspishnemisto.com.ua/school/180106/", 180106)</f>
        <v>180106</v>
      </c>
      <c r="B3197" s="3" t="s">
        <v>16737</v>
      </c>
      <c r="C3197" s="3" t="s">
        <v>31</v>
      </c>
      <c r="D3197" s="3" t="s">
        <v>32</v>
      </c>
      <c r="E3197" s="4" t="s">
        <v>22</v>
      </c>
      <c r="F3197" s="4" t="s">
        <v>16738</v>
      </c>
      <c r="G3197" s="4" t="s">
        <v>16739</v>
      </c>
      <c r="H3197" s="3" t="s">
        <v>16292</v>
      </c>
      <c r="I3197" s="3" t="s">
        <v>16740</v>
      </c>
      <c r="J3197" s="3" t="s">
        <v>16741</v>
      </c>
      <c r="K3197" s="3" t="s">
        <v>16742</v>
      </c>
      <c r="L3197" s="3"/>
      <c r="M3197" s="4"/>
      <c r="N3197" s="3" t="s">
        <v>37</v>
      </c>
      <c r="O3197" s="3" t="s">
        <v>38</v>
      </c>
      <c r="P3197" s="5">
        <v>11</v>
      </c>
      <c r="Q3197" s="5">
        <v>119</v>
      </c>
      <c r="R3197" s="5">
        <v>11</v>
      </c>
      <c r="S3197" s="5">
        <v>126</v>
      </c>
    </row>
    <row r="3198" spans="1:19" ht="28" x14ac:dyDescent="0.15">
      <c r="A3198" s="2">
        <f>HYPERLINK("https://open-school.uspishnemisto.com.ua/school/180107/", 180107)</f>
        <v>180107</v>
      </c>
      <c r="B3198" s="3" t="s">
        <v>16743</v>
      </c>
      <c r="C3198" s="3" t="s">
        <v>31</v>
      </c>
      <c r="D3198" s="3" t="s">
        <v>175</v>
      </c>
      <c r="E3198" s="4" t="s">
        <v>22</v>
      </c>
      <c r="F3198" s="4" t="s">
        <v>16744</v>
      </c>
      <c r="G3198" s="4" t="s">
        <v>16745</v>
      </c>
      <c r="H3198" s="3" t="s">
        <v>16292</v>
      </c>
      <c r="I3198" s="3" t="s">
        <v>16746</v>
      </c>
      <c r="J3198" s="3" t="s">
        <v>16747</v>
      </c>
      <c r="K3198" s="3"/>
      <c r="L3198" s="3"/>
      <c r="M3198" s="4"/>
      <c r="N3198" s="3" t="s">
        <v>37</v>
      </c>
      <c r="O3198" s="3" t="s">
        <v>38</v>
      </c>
      <c r="P3198" s="5">
        <v>9</v>
      </c>
      <c r="Q3198" s="5">
        <v>76</v>
      </c>
      <c r="R3198" s="5">
        <v>9</v>
      </c>
      <c r="S3198" s="5">
        <v>73</v>
      </c>
    </row>
    <row r="3199" spans="1:19" ht="28" x14ac:dyDescent="0.15">
      <c r="A3199" s="2">
        <f>HYPERLINK("https://open-school.uspishnemisto.com.ua/school/180108/", 180108)</f>
        <v>180108</v>
      </c>
      <c r="B3199" s="3" t="s">
        <v>16748</v>
      </c>
      <c r="C3199" s="3" t="s">
        <v>31</v>
      </c>
      <c r="D3199" s="3" t="s">
        <v>175</v>
      </c>
      <c r="E3199" s="4" t="s">
        <v>22</v>
      </c>
      <c r="F3199" s="4" t="s">
        <v>16749</v>
      </c>
      <c r="G3199" s="4" t="s">
        <v>16750</v>
      </c>
      <c r="H3199" s="3" t="s">
        <v>16292</v>
      </c>
      <c r="I3199" s="3" t="s">
        <v>11256</v>
      </c>
      <c r="J3199" s="3" t="s">
        <v>12217</v>
      </c>
      <c r="K3199" s="3" t="s">
        <v>16751</v>
      </c>
      <c r="L3199" s="3"/>
      <c r="M3199" s="4"/>
      <c r="N3199" s="3" t="s">
        <v>37</v>
      </c>
      <c r="O3199" s="3" t="s">
        <v>52</v>
      </c>
      <c r="P3199" s="5">
        <v>3</v>
      </c>
      <c r="Q3199" s="5">
        <v>25</v>
      </c>
      <c r="R3199" s="5">
        <v>3</v>
      </c>
      <c r="S3199" s="5">
        <v>26</v>
      </c>
    </row>
    <row r="3200" spans="1:19" ht="28" x14ac:dyDescent="0.15">
      <c r="A3200" s="2">
        <f>HYPERLINK("https://open-school.uspishnemisto.com.ua/school/180109/", 180109)</f>
        <v>180109</v>
      </c>
      <c r="B3200" s="3" t="s">
        <v>16752</v>
      </c>
      <c r="C3200" s="3" t="s">
        <v>31</v>
      </c>
      <c r="D3200" s="3" t="s">
        <v>175</v>
      </c>
      <c r="E3200" s="4" t="s">
        <v>22</v>
      </c>
      <c r="F3200" s="4" t="s">
        <v>16753</v>
      </c>
      <c r="G3200" s="4" t="s">
        <v>16754</v>
      </c>
      <c r="H3200" s="3" t="s">
        <v>16292</v>
      </c>
      <c r="I3200" s="3" t="s">
        <v>16755</v>
      </c>
      <c r="J3200" s="3" t="s">
        <v>16756</v>
      </c>
      <c r="K3200" s="3" t="s">
        <v>16757</v>
      </c>
      <c r="L3200" s="3"/>
      <c r="M3200" s="4"/>
      <c r="N3200" s="3" t="s">
        <v>37</v>
      </c>
      <c r="O3200" s="3" t="s">
        <v>618</v>
      </c>
      <c r="P3200" s="5">
        <v>2</v>
      </c>
      <c r="Q3200" s="5">
        <v>26</v>
      </c>
      <c r="R3200" s="5">
        <v>2</v>
      </c>
      <c r="S3200" s="5">
        <v>27</v>
      </c>
    </row>
    <row r="3201" spans="1:19" ht="28" x14ac:dyDescent="0.15">
      <c r="A3201" s="2">
        <f>HYPERLINK("https://open-school.uspishnemisto.com.ua/school/180110/", 180110)</f>
        <v>180110</v>
      </c>
      <c r="B3201" s="3" t="s">
        <v>16758</v>
      </c>
      <c r="C3201" s="3" t="s">
        <v>31</v>
      </c>
      <c r="D3201" s="3" t="s">
        <v>175</v>
      </c>
      <c r="E3201" s="4" t="s">
        <v>22</v>
      </c>
      <c r="F3201" s="4" t="s">
        <v>16759</v>
      </c>
      <c r="G3201" s="4" t="s">
        <v>16760</v>
      </c>
      <c r="H3201" s="3" t="s">
        <v>16292</v>
      </c>
      <c r="I3201" s="3" t="s">
        <v>16761</v>
      </c>
      <c r="J3201" s="3" t="s">
        <v>16762</v>
      </c>
      <c r="K3201" s="3" t="s">
        <v>16763</v>
      </c>
      <c r="L3201" s="3"/>
      <c r="M3201" s="4"/>
      <c r="N3201" s="3" t="s">
        <v>37</v>
      </c>
      <c r="O3201" s="3" t="s">
        <v>38</v>
      </c>
      <c r="P3201" s="5">
        <v>5</v>
      </c>
      <c r="Q3201" s="5">
        <v>41</v>
      </c>
      <c r="R3201" s="5">
        <v>6</v>
      </c>
      <c r="S3201" s="5">
        <v>39</v>
      </c>
    </row>
    <row r="3202" spans="1:19" ht="28" x14ac:dyDescent="0.15">
      <c r="A3202" s="2">
        <f>HYPERLINK("https://open-school.uspishnemisto.com.ua/school/180111/", 180111)</f>
        <v>180111</v>
      </c>
      <c r="B3202" s="3" t="s">
        <v>16764</v>
      </c>
      <c r="C3202" s="3" t="s">
        <v>31</v>
      </c>
      <c r="D3202" s="3" t="s">
        <v>175</v>
      </c>
      <c r="E3202" s="4" t="s">
        <v>22</v>
      </c>
      <c r="F3202" s="4" t="s">
        <v>16765</v>
      </c>
      <c r="G3202" s="4" t="s">
        <v>16766</v>
      </c>
      <c r="H3202" s="3" t="s">
        <v>16292</v>
      </c>
      <c r="I3202" s="3" t="s">
        <v>16767</v>
      </c>
      <c r="J3202" s="3" t="s">
        <v>16768</v>
      </c>
      <c r="K3202" s="3" t="s">
        <v>16769</v>
      </c>
      <c r="L3202" s="3"/>
      <c r="M3202" s="4"/>
      <c r="N3202" s="3" t="s">
        <v>37</v>
      </c>
      <c r="O3202" s="3" t="s">
        <v>38</v>
      </c>
      <c r="P3202" s="5">
        <v>5</v>
      </c>
      <c r="Q3202" s="5">
        <v>41</v>
      </c>
      <c r="R3202" s="5">
        <v>5</v>
      </c>
      <c r="S3202" s="5">
        <v>41</v>
      </c>
    </row>
    <row r="3203" spans="1:19" ht="28" x14ac:dyDescent="0.15">
      <c r="A3203" s="2">
        <f>HYPERLINK("https://open-school.uspishnemisto.com.ua/school/180112/", 180112)</f>
        <v>180112</v>
      </c>
      <c r="B3203" s="3" t="s">
        <v>16770</v>
      </c>
      <c r="C3203" s="3" t="s">
        <v>31</v>
      </c>
      <c r="D3203" s="3" t="s">
        <v>32</v>
      </c>
      <c r="E3203" s="4" t="s">
        <v>22</v>
      </c>
      <c r="F3203" s="4" t="s">
        <v>16771</v>
      </c>
      <c r="G3203" s="4" t="s">
        <v>16772</v>
      </c>
      <c r="H3203" s="3" t="s">
        <v>16292</v>
      </c>
      <c r="I3203" s="3" t="s">
        <v>16773</v>
      </c>
      <c r="J3203" s="3" t="s">
        <v>501</v>
      </c>
      <c r="K3203" s="3" t="s">
        <v>16774</v>
      </c>
      <c r="L3203" s="3"/>
      <c r="M3203" s="4"/>
      <c r="N3203" s="3" t="s">
        <v>37</v>
      </c>
      <c r="O3203" s="3" t="s">
        <v>38</v>
      </c>
      <c r="P3203" s="5">
        <v>9</v>
      </c>
      <c r="Q3203" s="5">
        <v>90</v>
      </c>
      <c r="R3203" s="5">
        <v>10</v>
      </c>
      <c r="S3203" s="5">
        <v>93</v>
      </c>
    </row>
    <row r="3204" spans="1:19" ht="28" x14ac:dyDescent="0.15">
      <c r="A3204" s="2">
        <f>HYPERLINK("https://open-school.uspishnemisto.com.ua/school/180113/", 180113)</f>
        <v>180113</v>
      </c>
      <c r="B3204" s="3" t="s">
        <v>16775</v>
      </c>
      <c r="C3204" s="3" t="s">
        <v>31</v>
      </c>
      <c r="D3204" s="3" t="s">
        <v>32</v>
      </c>
      <c r="E3204" s="4" t="s">
        <v>22</v>
      </c>
      <c r="F3204" s="4" t="s">
        <v>16776</v>
      </c>
      <c r="G3204" s="4" t="s">
        <v>16777</v>
      </c>
      <c r="H3204" s="3" t="s">
        <v>16292</v>
      </c>
      <c r="I3204" s="3" t="s">
        <v>16778</v>
      </c>
      <c r="J3204" s="3" t="s">
        <v>16779</v>
      </c>
      <c r="K3204" s="3" t="s">
        <v>16780</v>
      </c>
      <c r="L3204" s="3"/>
      <c r="M3204" s="4"/>
      <c r="N3204" s="3" t="s">
        <v>37</v>
      </c>
      <c r="O3204" s="3" t="s">
        <v>38</v>
      </c>
      <c r="P3204" s="5">
        <v>10</v>
      </c>
      <c r="Q3204" s="5">
        <v>137</v>
      </c>
      <c r="R3204" s="5">
        <v>10</v>
      </c>
      <c r="S3204" s="5">
        <v>138</v>
      </c>
    </row>
    <row r="3205" spans="1:19" ht="28" x14ac:dyDescent="0.15">
      <c r="A3205" s="2">
        <f>HYPERLINK("https://open-school.uspishnemisto.com.ua/school/180114/", 180114)</f>
        <v>180114</v>
      </c>
      <c r="B3205" s="3" t="s">
        <v>16781</v>
      </c>
      <c r="C3205" s="3" t="s">
        <v>31</v>
      </c>
      <c r="D3205" s="3" t="s">
        <v>32</v>
      </c>
      <c r="E3205" s="4" t="s">
        <v>22</v>
      </c>
      <c r="F3205" s="4" t="s">
        <v>16782</v>
      </c>
      <c r="G3205" s="4" t="s">
        <v>16783</v>
      </c>
      <c r="H3205" s="3" t="s">
        <v>16292</v>
      </c>
      <c r="I3205" s="3" t="s">
        <v>16784</v>
      </c>
      <c r="J3205" s="3" t="s">
        <v>16785</v>
      </c>
      <c r="K3205" s="3"/>
      <c r="L3205" s="3"/>
      <c r="M3205" s="4"/>
      <c r="N3205" s="3" t="s">
        <v>37</v>
      </c>
      <c r="O3205" s="3" t="s">
        <v>38</v>
      </c>
      <c r="P3205" s="5">
        <v>9</v>
      </c>
      <c r="Q3205" s="5">
        <v>75</v>
      </c>
      <c r="R3205" s="5">
        <v>9</v>
      </c>
      <c r="S3205" s="5">
        <v>78</v>
      </c>
    </row>
    <row r="3206" spans="1:19" ht="28" x14ac:dyDescent="0.15">
      <c r="A3206" s="2">
        <f>HYPERLINK("https://open-school.uspishnemisto.com.ua/school/180115/", 180115)</f>
        <v>180115</v>
      </c>
      <c r="B3206" s="3" t="s">
        <v>16786</v>
      </c>
      <c r="C3206" s="3" t="s">
        <v>40</v>
      </c>
      <c r="D3206" s="3" t="s">
        <v>32</v>
      </c>
      <c r="E3206" s="4" t="s">
        <v>22</v>
      </c>
      <c r="F3206" s="4" t="s">
        <v>16787</v>
      </c>
      <c r="G3206" s="4" t="s">
        <v>16788</v>
      </c>
      <c r="H3206" s="3" t="s">
        <v>16292</v>
      </c>
      <c r="I3206" s="3" t="s">
        <v>16789</v>
      </c>
      <c r="J3206" s="3" t="s">
        <v>16790</v>
      </c>
      <c r="K3206" s="3" t="s">
        <v>16791</v>
      </c>
      <c r="L3206" s="3"/>
      <c r="M3206" s="4"/>
      <c r="N3206" s="3" t="s">
        <v>37</v>
      </c>
      <c r="O3206" s="3" t="s">
        <v>38</v>
      </c>
      <c r="P3206" s="5">
        <v>11</v>
      </c>
      <c r="Q3206" s="5">
        <v>186</v>
      </c>
      <c r="R3206" s="5">
        <v>11</v>
      </c>
      <c r="S3206" s="5">
        <v>190</v>
      </c>
    </row>
    <row r="3207" spans="1:19" ht="28" x14ac:dyDescent="0.15">
      <c r="A3207" s="2">
        <f>HYPERLINK("https://open-school.uspishnemisto.com.ua/school/180116/", 180116)</f>
        <v>180116</v>
      </c>
      <c r="B3207" s="3" t="s">
        <v>16792</v>
      </c>
      <c r="C3207" s="3" t="s">
        <v>31</v>
      </c>
      <c r="D3207" s="3" t="s">
        <v>32</v>
      </c>
      <c r="E3207" s="4" t="s">
        <v>22</v>
      </c>
      <c r="F3207" s="4" t="s">
        <v>16793</v>
      </c>
      <c r="G3207" s="4" t="s">
        <v>16794</v>
      </c>
      <c r="H3207" s="3" t="s">
        <v>16292</v>
      </c>
      <c r="I3207" s="3" t="s">
        <v>16795</v>
      </c>
      <c r="J3207" s="3" t="s">
        <v>466</v>
      </c>
      <c r="K3207" s="3" t="s">
        <v>16796</v>
      </c>
      <c r="L3207" s="3"/>
      <c r="M3207" s="4"/>
      <c r="N3207" s="3" t="s">
        <v>37</v>
      </c>
      <c r="O3207" s="3" t="s">
        <v>38</v>
      </c>
      <c r="P3207" s="5">
        <v>10</v>
      </c>
      <c r="Q3207" s="5">
        <v>64</v>
      </c>
      <c r="R3207" s="5">
        <v>9</v>
      </c>
      <c r="S3207" s="5">
        <v>56</v>
      </c>
    </row>
    <row r="3208" spans="1:19" ht="28" x14ac:dyDescent="0.15">
      <c r="A3208" s="2">
        <f>HYPERLINK("https://open-school.uspishnemisto.com.ua/school/180117/", 180117)</f>
        <v>180117</v>
      </c>
      <c r="B3208" s="3" t="s">
        <v>16797</v>
      </c>
      <c r="C3208" s="3" t="s">
        <v>31</v>
      </c>
      <c r="D3208" s="3" t="s">
        <v>32</v>
      </c>
      <c r="E3208" s="4" t="s">
        <v>22</v>
      </c>
      <c r="F3208" s="4" t="s">
        <v>16798</v>
      </c>
      <c r="G3208" s="4" t="s">
        <v>16799</v>
      </c>
      <c r="H3208" s="3" t="s">
        <v>16292</v>
      </c>
      <c r="I3208" s="3" t="s">
        <v>16800</v>
      </c>
      <c r="J3208" s="3" t="s">
        <v>16801</v>
      </c>
      <c r="K3208" s="3" t="s">
        <v>16802</v>
      </c>
      <c r="L3208" s="3"/>
      <c r="M3208" s="4"/>
      <c r="N3208" s="3" t="s">
        <v>37</v>
      </c>
      <c r="O3208" s="3" t="s">
        <v>52</v>
      </c>
      <c r="P3208" s="5">
        <v>10</v>
      </c>
      <c r="Q3208" s="5">
        <v>82</v>
      </c>
      <c r="R3208" s="5">
        <v>10</v>
      </c>
      <c r="S3208" s="5">
        <v>83</v>
      </c>
    </row>
    <row r="3209" spans="1:19" ht="28" x14ac:dyDescent="0.15">
      <c r="A3209" s="2">
        <f>HYPERLINK("https://open-school.uspishnemisto.com.ua/school/180118/", 180118)</f>
        <v>180118</v>
      </c>
      <c r="B3209" s="3" t="s">
        <v>16803</v>
      </c>
      <c r="C3209" s="3" t="s">
        <v>40</v>
      </c>
      <c r="D3209" s="3" t="s">
        <v>32</v>
      </c>
      <c r="E3209" s="4" t="s">
        <v>22</v>
      </c>
      <c r="F3209" s="4" t="s">
        <v>16804</v>
      </c>
      <c r="G3209" s="4" t="s">
        <v>16805</v>
      </c>
      <c r="H3209" s="3" t="s">
        <v>16292</v>
      </c>
      <c r="I3209" s="3" t="s">
        <v>16806</v>
      </c>
      <c r="J3209" s="3" t="s">
        <v>1557</v>
      </c>
      <c r="K3209" s="3" t="s">
        <v>16807</v>
      </c>
      <c r="L3209" s="3"/>
      <c r="M3209" s="4"/>
      <c r="N3209" s="3" t="s">
        <v>37</v>
      </c>
      <c r="O3209" s="3" t="s">
        <v>46</v>
      </c>
      <c r="P3209" s="5">
        <v>43</v>
      </c>
      <c r="Q3209" s="5">
        <v>812</v>
      </c>
      <c r="R3209" s="5">
        <v>34</v>
      </c>
      <c r="S3209" s="5">
        <v>714</v>
      </c>
    </row>
    <row r="3210" spans="1:19" ht="28" x14ac:dyDescent="0.15">
      <c r="A3210" s="2">
        <f>HYPERLINK("https://open-school.uspishnemisto.com.ua/school/180119/", 180119)</f>
        <v>180119</v>
      </c>
      <c r="B3210" s="3" t="s">
        <v>16808</v>
      </c>
      <c r="C3210" s="3" t="s">
        <v>31</v>
      </c>
      <c r="D3210" s="3" t="s">
        <v>175</v>
      </c>
      <c r="E3210" s="4" t="s">
        <v>22</v>
      </c>
      <c r="F3210" s="4" t="s">
        <v>16809</v>
      </c>
      <c r="G3210" s="4" t="s">
        <v>16805</v>
      </c>
      <c r="H3210" s="3" t="s">
        <v>16292</v>
      </c>
      <c r="I3210" s="3" t="s">
        <v>16806</v>
      </c>
      <c r="J3210" s="3" t="s">
        <v>16810</v>
      </c>
      <c r="K3210" s="3" t="s">
        <v>16811</v>
      </c>
      <c r="L3210" s="3"/>
      <c r="M3210" s="4"/>
      <c r="N3210" s="3" t="s">
        <v>37</v>
      </c>
      <c r="O3210" s="3" t="s">
        <v>52</v>
      </c>
      <c r="P3210" s="5">
        <v>9</v>
      </c>
      <c r="Q3210" s="5">
        <v>76</v>
      </c>
      <c r="R3210" s="5">
        <v>9</v>
      </c>
      <c r="S3210" s="5">
        <v>80</v>
      </c>
    </row>
    <row r="3211" spans="1:19" ht="28" x14ac:dyDescent="0.15">
      <c r="A3211" s="2">
        <f>HYPERLINK("https://open-school.uspishnemisto.com.ua/school/180120/", 180120)</f>
        <v>180120</v>
      </c>
      <c r="B3211" s="3" t="s">
        <v>16812</v>
      </c>
      <c r="C3211" s="3" t="s">
        <v>31</v>
      </c>
      <c r="D3211" s="3" t="s">
        <v>32</v>
      </c>
      <c r="E3211" s="4" t="s">
        <v>22</v>
      </c>
      <c r="F3211" s="4" t="s">
        <v>16804</v>
      </c>
      <c r="G3211" s="4" t="s">
        <v>16805</v>
      </c>
      <c r="H3211" s="3" t="s">
        <v>16292</v>
      </c>
      <c r="I3211" s="3" t="s">
        <v>16806</v>
      </c>
      <c r="J3211" s="3" t="s">
        <v>16813</v>
      </c>
      <c r="K3211" s="3" t="s">
        <v>16814</v>
      </c>
      <c r="L3211" s="3"/>
      <c r="M3211" s="4"/>
      <c r="N3211" s="3" t="s">
        <v>37</v>
      </c>
      <c r="O3211" s="3" t="s">
        <v>46</v>
      </c>
      <c r="P3211" s="5">
        <v>28</v>
      </c>
      <c r="Q3211" s="5">
        <v>616</v>
      </c>
      <c r="R3211" s="5">
        <v>29</v>
      </c>
      <c r="S3211" s="5">
        <v>626</v>
      </c>
    </row>
    <row r="3212" spans="1:19" ht="28" x14ac:dyDescent="0.15">
      <c r="A3212" s="2">
        <f>HYPERLINK("https://open-school.uspishnemisto.com.ua/school/180121/", 180121)</f>
        <v>180121</v>
      </c>
      <c r="B3212" s="3" t="s">
        <v>16815</v>
      </c>
      <c r="C3212" s="3" t="s">
        <v>31</v>
      </c>
      <c r="D3212" s="3" t="s">
        <v>32</v>
      </c>
      <c r="E3212" s="4" t="s">
        <v>22</v>
      </c>
      <c r="F3212" s="4" t="s">
        <v>16816</v>
      </c>
      <c r="G3212" s="4" t="s">
        <v>16817</v>
      </c>
      <c r="H3212" s="3" t="s">
        <v>16292</v>
      </c>
      <c r="I3212" s="3" t="s">
        <v>16818</v>
      </c>
      <c r="J3212" s="3" t="s">
        <v>466</v>
      </c>
      <c r="K3212" s="3" t="s">
        <v>16819</v>
      </c>
      <c r="L3212" s="3"/>
      <c r="M3212" s="4"/>
      <c r="N3212" s="3" t="s">
        <v>37</v>
      </c>
      <c r="O3212" s="3" t="s">
        <v>266</v>
      </c>
      <c r="P3212" s="5">
        <v>21</v>
      </c>
      <c r="Q3212" s="5">
        <v>498</v>
      </c>
      <c r="R3212" s="5">
        <v>21</v>
      </c>
      <c r="S3212" s="5">
        <v>504</v>
      </c>
    </row>
    <row r="3213" spans="1:19" ht="42" x14ac:dyDescent="0.15">
      <c r="A3213" s="2">
        <f>HYPERLINK("https://open-school.uspishnemisto.com.ua/school/180122/", 180122)</f>
        <v>180122</v>
      </c>
      <c r="B3213" s="3" t="s">
        <v>16820</v>
      </c>
      <c r="C3213" s="3" t="s">
        <v>181</v>
      </c>
      <c r="D3213" s="3" t="s">
        <v>175</v>
      </c>
      <c r="E3213" s="4" t="s">
        <v>22</v>
      </c>
      <c r="F3213" s="4" t="s">
        <v>16816</v>
      </c>
      <c r="G3213" s="4" t="s">
        <v>16817</v>
      </c>
      <c r="H3213" s="3" t="s">
        <v>16292</v>
      </c>
      <c r="I3213" s="3" t="s">
        <v>16818</v>
      </c>
      <c r="J3213" s="3" t="s">
        <v>16821</v>
      </c>
      <c r="K3213" s="3" t="s">
        <v>11762</v>
      </c>
      <c r="L3213" s="3"/>
      <c r="M3213" s="4" t="s">
        <v>16822</v>
      </c>
      <c r="N3213" s="3" t="s">
        <v>37</v>
      </c>
      <c r="O3213" s="3"/>
      <c r="P3213" s="5">
        <v>9</v>
      </c>
      <c r="Q3213" s="5">
        <v>102</v>
      </c>
      <c r="R3213" s="5">
        <v>10</v>
      </c>
      <c r="S3213" s="5">
        <v>114</v>
      </c>
    </row>
    <row r="3214" spans="1:19" ht="28" x14ac:dyDescent="0.15">
      <c r="A3214" s="2">
        <f>HYPERLINK("https://open-school.uspishnemisto.com.ua/school/180123/", 180123)</f>
        <v>180123</v>
      </c>
      <c r="B3214" s="3" t="s">
        <v>16823</v>
      </c>
      <c r="C3214" s="3" t="s">
        <v>31</v>
      </c>
      <c r="D3214" s="3" t="s">
        <v>32</v>
      </c>
      <c r="E3214" s="4" t="s">
        <v>22</v>
      </c>
      <c r="F3214" s="4" t="s">
        <v>16824</v>
      </c>
      <c r="G3214" s="4" t="s">
        <v>16825</v>
      </c>
      <c r="H3214" s="3" t="s">
        <v>16292</v>
      </c>
      <c r="I3214" s="3" t="s">
        <v>16826</v>
      </c>
      <c r="J3214" s="3" t="s">
        <v>16827</v>
      </c>
      <c r="K3214" s="3" t="s">
        <v>16828</v>
      </c>
      <c r="L3214" s="3"/>
      <c r="M3214" s="4"/>
      <c r="N3214" s="3" t="s">
        <v>37</v>
      </c>
      <c r="O3214" s="3" t="s">
        <v>38</v>
      </c>
      <c r="P3214" s="5">
        <v>15</v>
      </c>
      <c r="Q3214" s="5">
        <v>276</v>
      </c>
      <c r="R3214" s="5">
        <v>16</v>
      </c>
      <c r="S3214" s="5">
        <v>284</v>
      </c>
    </row>
    <row r="3215" spans="1:19" ht="28" x14ac:dyDescent="0.15">
      <c r="A3215" s="2">
        <f>HYPERLINK("https://open-school.uspishnemisto.com.ua/school/180124/", 180124)</f>
        <v>180124</v>
      </c>
      <c r="B3215" s="3" t="s">
        <v>16829</v>
      </c>
      <c r="C3215" s="3" t="s">
        <v>31</v>
      </c>
      <c r="D3215" s="3" t="s">
        <v>32</v>
      </c>
      <c r="E3215" s="4" t="s">
        <v>22</v>
      </c>
      <c r="F3215" s="4" t="s">
        <v>16830</v>
      </c>
      <c r="G3215" s="4" t="s">
        <v>16831</v>
      </c>
      <c r="H3215" s="3" t="s">
        <v>16292</v>
      </c>
      <c r="I3215" s="3" t="s">
        <v>440</v>
      </c>
      <c r="J3215" s="3" t="s">
        <v>1216</v>
      </c>
      <c r="K3215" s="3" t="s">
        <v>16832</v>
      </c>
      <c r="L3215" s="3"/>
      <c r="M3215" s="4"/>
      <c r="N3215" s="3" t="s">
        <v>37</v>
      </c>
      <c r="O3215" s="3" t="s">
        <v>46</v>
      </c>
      <c r="P3215" s="5">
        <v>11</v>
      </c>
      <c r="Q3215" s="5">
        <v>207</v>
      </c>
      <c r="R3215" s="5">
        <v>11</v>
      </c>
      <c r="S3215" s="5">
        <v>217</v>
      </c>
    </row>
    <row r="3216" spans="1:19" ht="28" x14ac:dyDescent="0.15">
      <c r="A3216" s="2">
        <f>HYPERLINK("https://open-school.uspishnemisto.com.ua/school/180125/", 180125)</f>
        <v>180125</v>
      </c>
      <c r="B3216" s="3" t="s">
        <v>16833</v>
      </c>
      <c r="C3216" s="3" t="s">
        <v>31</v>
      </c>
      <c r="D3216" s="3" t="s">
        <v>32</v>
      </c>
      <c r="E3216" s="4" t="s">
        <v>22</v>
      </c>
      <c r="F3216" s="4" t="s">
        <v>16834</v>
      </c>
      <c r="G3216" s="4" t="s">
        <v>16835</v>
      </c>
      <c r="H3216" s="3" t="s">
        <v>16292</v>
      </c>
      <c r="I3216" s="3" t="s">
        <v>10690</v>
      </c>
      <c r="J3216" s="3" t="s">
        <v>1636</v>
      </c>
      <c r="K3216" s="3" t="s">
        <v>16836</v>
      </c>
      <c r="L3216" s="3"/>
      <c r="M3216" s="4"/>
      <c r="N3216" s="3" t="s">
        <v>37</v>
      </c>
      <c r="O3216" s="3" t="s">
        <v>38</v>
      </c>
      <c r="P3216" s="5">
        <v>22</v>
      </c>
      <c r="Q3216" s="5">
        <v>436</v>
      </c>
      <c r="R3216" s="5">
        <v>22</v>
      </c>
      <c r="S3216" s="5">
        <v>431</v>
      </c>
    </row>
    <row r="3217" spans="1:19" ht="28" x14ac:dyDescent="0.15">
      <c r="A3217" s="2">
        <f>HYPERLINK("https://open-school.uspishnemisto.com.ua/school/180126/", 180126)</f>
        <v>180126</v>
      </c>
      <c r="B3217" s="3" t="s">
        <v>16837</v>
      </c>
      <c r="C3217" s="3" t="s">
        <v>31</v>
      </c>
      <c r="D3217" s="3" t="s">
        <v>32</v>
      </c>
      <c r="E3217" s="4" t="s">
        <v>22</v>
      </c>
      <c r="F3217" s="4" t="s">
        <v>16838</v>
      </c>
      <c r="G3217" s="4" t="s">
        <v>16839</v>
      </c>
      <c r="H3217" s="3" t="s">
        <v>16292</v>
      </c>
      <c r="I3217" s="3" t="s">
        <v>16840</v>
      </c>
      <c r="J3217" s="3" t="s">
        <v>3363</v>
      </c>
      <c r="K3217" s="3" t="s">
        <v>16841</v>
      </c>
      <c r="L3217" s="3"/>
      <c r="M3217" s="4"/>
      <c r="N3217" s="3" t="s">
        <v>37</v>
      </c>
      <c r="O3217" s="3" t="s">
        <v>46</v>
      </c>
      <c r="P3217" s="5">
        <v>11</v>
      </c>
      <c r="Q3217" s="5">
        <v>188</v>
      </c>
      <c r="R3217" s="5">
        <v>11</v>
      </c>
      <c r="S3217" s="5">
        <v>185</v>
      </c>
    </row>
    <row r="3218" spans="1:19" ht="42" x14ac:dyDescent="0.15">
      <c r="A3218" s="2">
        <f>HYPERLINK("https://open-school.uspishnemisto.com.ua/school/180127/", 180127)</f>
        <v>180127</v>
      </c>
      <c r="B3218" s="3" t="s">
        <v>16842</v>
      </c>
      <c r="C3218" s="3" t="s">
        <v>31</v>
      </c>
      <c r="D3218" s="3" t="s">
        <v>60</v>
      </c>
      <c r="E3218" s="4" t="s">
        <v>22</v>
      </c>
      <c r="F3218" s="4" t="s">
        <v>16843</v>
      </c>
      <c r="G3218" s="4" t="s">
        <v>16844</v>
      </c>
      <c r="H3218" s="3" t="s">
        <v>16292</v>
      </c>
      <c r="I3218" s="3" t="s">
        <v>16845</v>
      </c>
      <c r="J3218" s="3" t="s">
        <v>16846</v>
      </c>
      <c r="K3218" s="3" t="s">
        <v>16847</v>
      </c>
      <c r="L3218" s="3"/>
      <c r="M3218" s="4"/>
      <c r="N3218" s="3" t="s">
        <v>37</v>
      </c>
      <c r="O3218" s="3" t="s">
        <v>52</v>
      </c>
      <c r="P3218" s="5">
        <v>0</v>
      </c>
      <c r="Q3218" s="5">
        <v>0</v>
      </c>
      <c r="R3218" s="5">
        <v>1</v>
      </c>
      <c r="S3218" s="5">
        <v>13</v>
      </c>
    </row>
    <row r="3219" spans="1:19" ht="28" x14ac:dyDescent="0.15">
      <c r="A3219" s="2">
        <f>HYPERLINK("https://open-school.uspishnemisto.com.ua/school/180128/", 180128)</f>
        <v>180128</v>
      </c>
      <c r="B3219" s="3" t="s">
        <v>16848</v>
      </c>
      <c r="C3219" s="3" t="s">
        <v>31</v>
      </c>
      <c r="D3219" s="3" t="s">
        <v>60</v>
      </c>
      <c r="E3219" s="4" t="s">
        <v>22</v>
      </c>
      <c r="F3219" s="4" t="s">
        <v>16849</v>
      </c>
      <c r="G3219" s="4" t="s">
        <v>16850</v>
      </c>
      <c r="H3219" s="3" t="s">
        <v>16292</v>
      </c>
      <c r="I3219" s="3" t="s">
        <v>16851</v>
      </c>
      <c r="J3219" s="3" t="s">
        <v>16852</v>
      </c>
      <c r="K3219" s="3" t="s">
        <v>16853</v>
      </c>
      <c r="L3219" s="3"/>
      <c r="M3219" s="4"/>
      <c r="N3219" s="3" t="s">
        <v>37</v>
      </c>
      <c r="O3219" s="3" t="s">
        <v>52</v>
      </c>
      <c r="P3219" s="5">
        <v>0</v>
      </c>
      <c r="Q3219" s="5">
        <v>0</v>
      </c>
      <c r="R3219" s="5">
        <v>1</v>
      </c>
      <c r="S3219" s="5">
        <v>13</v>
      </c>
    </row>
    <row r="3220" spans="1:19" ht="28" x14ac:dyDescent="0.15">
      <c r="A3220" s="2">
        <f>HYPERLINK("https://open-school.uspishnemisto.com.ua/school/180129/", 180129)</f>
        <v>180129</v>
      </c>
      <c r="B3220" s="3" t="s">
        <v>16854</v>
      </c>
      <c r="C3220" s="3" t="s">
        <v>31</v>
      </c>
      <c r="D3220" s="3" t="s">
        <v>60</v>
      </c>
      <c r="E3220" s="4" t="s">
        <v>22</v>
      </c>
      <c r="F3220" s="4" t="s">
        <v>16855</v>
      </c>
      <c r="G3220" s="4" t="s">
        <v>16856</v>
      </c>
      <c r="H3220" s="3" t="s">
        <v>16292</v>
      </c>
      <c r="I3220" s="3" t="s">
        <v>16857</v>
      </c>
      <c r="J3220" s="3" t="s">
        <v>1192</v>
      </c>
      <c r="K3220" s="3"/>
      <c r="L3220" s="3"/>
      <c r="M3220" s="4"/>
      <c r="N3220" s="3" t="s">
        <v>37</v>
      </c>
      <c r="O3220" s="3" t="s">
        <v>52</v>
      </c>
      <c r="P3220" s="5">
        <v>0</v>
      </c>
      <c r="Q3220" s="5">
        <v>0</v>
      </c>
      <c r="R3220" s="5">
        <v>4</v>
      </c>
      <c r="S3220" s="5">
        <v>27</v>
      </c>
    </row>
    <row r="3221" spans="1:19" ht="28" x14ac:dyDescent="0.15">
      <c r="A3221" s="2">
        <f>HYPERLINK("https://open-school.uspishnemisto.com.ua/school/180130/", 180130)</f>
        <v>180130</v>
      </c>
      <c r="B3221" s="3" t="s">
        <v>16858</v>
      </c>
      <c r="C3221" s="3" t="s">
        <v>31</v>
      </c>
      <c r="D3221" s="3" t="s">
        <v>175</v>
      </c>
      <c r="E3221" s="4" t="s">
        <v>22</v>
      </c>
      <c r="F3221" s="4" t="s">
        <v>16859</v>
      </c>
      <c r="G3221" s="4" t="s">
        <v>16860</v>
      </c>
      <c r="H3221" s="3" t="s">
        <v>16292</v>
      </c>
      <c r="I3221" s="3" t="s">
        <v>16861</v>
      </c>
      <c r="J3221" s="3" t="s">
        <v>16862</v>
      </c>
      <c r="K3221" s="3" t="s">
        <v>16863</v>
      </c>
      <c r="L3221" s="3"/>
      <c r="M3221" s="4"/>
      <c r="N3221" s="3" t="s">
        <v>37</v>
      </c>
      <c r="O3221" s="3" t="s">
        <v>38</v>
      </c>
      <c r="P3221" s="5">
        <v>7</v>
      </c>
      <c r="Q3221" s="5">
        <v>75</v>
      </c>
      <c r="R3221" s="5">
        <v>8</v>
      </c>
      <c r="S3221" s="5">
        <v>79</v>
      </c>
    </row>
    <row r="3222" spans="1:19" ht="28" x14ac:dyDescent="0.15">
      <c r="A3222" s="2">
        <f>HYPERLINK("https://open-school.uspishnemisto.com.ua/school/180131/", 180131)</f>
        <v>180131</v>
      </c>
      <c r="B3222" s="3" t="s">
        <v>16864</v>
      </c>
      <c r="C3222" s="3" t="s">
        <v>31</v>
      </c>
      <c r="D3222" s="3" t="s">
        <v>32</v>
      </c>
      <c r="E3222" s="4" t="s">
        <v>22</v>
      </c>
      <c r="F3222" s="4" t="s">
        <v>16865</v>
      </c>
      <c r="G3222" s="4" t="s">
        <v>16866</v>
      </c>
      <c r="H3222" s="3" t="s">
        <v>16292</v>
      </c>
      <c r="I3222" s="3" t="s">
        <v>16867</v>
      </c>
      <c r="J3222" s="3" t="s">
        <v>16868</v>
      </c>
      <c r="K3222" s="3" t="s">
        <v>16869</v>
      </c>
      <c r="L3222" s="3"/>
      <c r="M3222" s="4"/>
      <c r="N3222" s="3" t="s">
        <v>37</v>
      </c>
      <c r="O3222" s="3" t="s">
        <v>52</v>
      </c>
      <c r="P3222" s="5">
        <v>15</v>
      </c>
      <c r="Q3222" s="5">
        <v>299</v>
      </c>
      <c r="R3222" s="5">
        <v>14</v>
      </c>
      <c r="S3222" s="5">
        <v>294</v>
      </c>
    </row>
    <row r="3223" spans="1:19" ht="28" x14ac:dyDescent="0.15">
      <c r="A3223" s="2">
        <f>HYPERLINK("https://open-school.uspishnemisto.com.ua/school/180133/", 180133)</f>
        <v>180133</v>
      </c>
      <c r="B3223" s="3" t="s">
        <v>16870</v>
      </c>
      <c r="C3223" s="3" t="s">
        <v>31</v>
      </c>
      <c r="D3223" s="3" t="s">
        <v>32</v>
      </c>
      <c r="E3223" s="4" t="s">
        <v>22</v>
      </c>
      <c r="F3223" s="4" t="s">
        <v>16871</v>
      </c>
      <c r="G3223" s="4" t="s">
        <v>16872</v>
      </c>
      <c r="H3223" s="3" t="s">
        <v>16292</v>
      </c>
      <c r="I3223" s="3" t="s">
        <v>16873</v>
      </c>
      <c r="J3223" s="3" t="s">
        <v>16874</v>
      </c>
      <c r="K3223" s="3" t="s">
        <v>16875</v>
      </c>
      <c r="L3223" s="3"/>
      <c r="M3223" s="4"/>
      <c r="N3223" s="3" t="s">
        <v>37</v>
      </c>
      <c r="O3223" s="3" t="s">
        <v>38</v>
      </c>
      <c r="P3223" s="5">
        <v>8</v>
      </c>
      <c r="Q3223" s="5">
        <v>51</v>
      </c>
      <c r="R3223" s="5">
        <v>7</v>
      </c>
      <c r="S3223" s="5">
        <v>51</v>
      </c>
    </row>
    <row r="3224" spans="1:19" ht="28" x14ac:dyDescent="0.15">
      <c r="A3224" s="2">
        <f>HYPERLINK("https://open-school.uspishnemisto.com.ua/school/180135/", 180135)</f>
        <v>180135</v>
      </c>
      <c r="B3224" s="3" t="s">
        <v>16876</v>
      </c>
      <c r="C3224" s="3" t="s">
        <v>31</v>
      </c>
      <c r="D3224" s="3" t="s">
        <v>32</v>
      </c>
      <c r="E3224" s="4" t="s">
        <v>22</v>
      </c>
      <c r="F3224" s="4" t="s">
        <v>16877</v>
      </c>
      <c r="G3224" s="4" t="s">
        <v>16878</v>
      </c>
      <c r="H3224" s="3" t="s">
        <v>16292</v>
      </c>
      <c r="I3224" s="3" t="s">
        <v>1699</v>
      </c>
      <c r="J3224" s="3" t="s">
        <v>16879</v>
      </c>
      <c r="K3224" s="3" t="s">
        <v>16880</v>
      </c>
      <c r="L3224" s="3"/>
      <c r="M3224" s="4"/>
      <c r="N3224" s="3" t="s">
        <v>37</v>
      </c>
      <c r="O3224" s="3" t="s">
        <v>52</v>
      </c>
      <c r="P3224" s="5">
        <v>10</v>
      </c>
      <c r="Q3224" s="5">
        <v>128</v>
      </c>
      <c r="R3224" s="5">
        <v>11</v>
      </c>
      <c r="S3224" s="5">
        <v>119</v>
      </c>
    </row>
    <row r="3225" spans="1:19" ht="28" x14ac:dyDescent="0.15">
      <c r="A3225" s="2">
        <f>HYPERLINK("https://open-school.uspishnemisto.com.ua/school/180136/", 180136)</f>
        <v>180136</v>
      </c>
      <c r="B3225" s="3" t="s">
        <v>16881</v>
      </c>
      <c r="C3225" s="3" t="s">
        <v>31</v>
      </c>
      <c r="D3225" s="3" t="s">
        <v>60</v>
      </c>
      <c r="E3225" s="4" t="s">
        <v>22</v>
      </c>
      <c r="F3225" s="4" t="s">
        <v>16877</v>
      </c>
      <c r="G3225" s="4" t="s">
        <v>16882</v>
      </c>
      <c r="H3225" s="3" t="s">
        <v>16292</v>
      </c>
      <c r="I3225" s="3" t="s">
        <v>16883</v>
      </c>
      <c r="J3225" s="3" t="s">
        <v>16884</v>
      </c>
      <c r="K3225" s="3" t="s">
        <v>16885</v>
      </c>
      <c r="L3225" s="3"/>
      <c r="M3225" s="4"/>
      <c r="N3225" s="3" t="s">
        <v>37</v>
      </c>
      <c r="O3225" s="3" t="s">
        <v>52</v>
      </c>
      <c r="P3225" s="5">
        <v>1</v>
      </c>
      <c r="Q3225" s="5">
        <v>12</v>
      </c>
      <c r="R3225" s="5">
        <v>1</v>
      </c>
      <c r="S3225" s="5">
        <v>14</v>
      </c>
    </row>
    <row r="3226" spans="1:19" ht="28" x14ac:dyDescent="0.15">
      <c r="A3226" s="2">
        <f>HYPERLINK("https://open-school.uspishnemisto.com.ua/school/180137/", 180137)</f>
        <v>180137</v>
      </c>
      <c r="B3226" s="3" t="s">
        <v>16886</v>
      </c>
      <c r="C3226" s="3" t="s">
        <v>31</v>
      </c>
      <c r="D3226" s="3" t="s">
        <v>175</v>
      </c>
      <c r="E3226" s="4" t="s">
        <v>22</v>
      </c>
      <c r="F3226" s="4" t="s">
        <v>16887</v>
      </c>
      <c r="G3226" s="4" t="s">
        <v>16888</v>
      </c>
      <c r="H3226" s="3" t="s">
        <v>16292</v>
      </c>
      <c r="I3226" s="3" t="s">
        <v>3614</v>
      </c>
      <c r="J3226" s="3" t="s">
        <v>16889</v>
      </c>
      <c r="K3226" s="3"/>
      <c r="L3226" s="3"/>
      <c r="M3226" s="4"/>
      <c r="N3226" s="3" t="s">
        <v>37</v>
      </c>
      <c r="O3226" s="3" t="s">
        <v>38</v>
      </c>
      <c r="P3226" s="5">
        <v>9</v>
      </c>
      <c r="Q3226" s="5">
        <v>67</v>
      </c>
      <c r="R3226" s="5">
        <v>9</v>
      </c>
      <c r="S3226" s="5">
        <v>70</v>
      </c>
    </row>
    <row r="3227" spans="1:19" ht="28" x14ac:dyDescent="0.15">
      <c r="A3227" s="2">
        <f>HYPERLINK("https://open-school.uspishnemisto.com.ua/school/180138/", 180138)</f>
        <v>180138</v>
      </c>
      <c r="B3227" s="3" t="s">
        <v>16890</v>
      </c>
      <c r="C3227" s="3" t="s">
        <v>31</v>
      </c>
      <c r="D3227" s="3" t="s">
        <v>60</v>
      </c>
      <c r="E3227" s="4" t="s">
        <v>22</v>
      </c>
      <c r="F3227" s="4" t="s">
        <v>16891</v>
      </c>
      <c r="G3227" s="4" t="s">
        <v>16892</v>
      </c>
      <c r="H3227" s="3" t="s">
        <v>16292</v>
      </c>
      <c r="I3227" s="3" t="s">
        <v>8236</v>
      </c>
      <c r="J3227" s="3" t="s">
        <v>12836</v>
      </c>
      <c r="K3227" s="3" t="s">
        <v>16893</v>
      </c>
      <c r="L3227" s="3"/>
      <c r="M3227" s="4"/>
      <c r="N3227" s="3" t="s">
        <v>37</v>
      </c>
      <c r="O3227" s="3" t="s">
        <v>52</v>
      </c>
      <c r="P3227" s="5">
        <v>0</v>
      </c>
      <c r="Q3227" s="5">
        <v>0</v>
      </c>
      <c r="R3227" s="5">
        <v>2</v>
      </c>
      <c r="S3227" s="5">
        <v>23</v>
      </c>
    </row>
    <row r="3228" spans="1:19" ht="28" x14ac:dyDescent="0.15">
      <c r="A3228" s="2">
        <f>HYPERLINK("https://open-school.uspishnemisto.com.ua/school/180139/", 180139)</f>
        <v>180139</v>
      </c>
      <c r="B3228" s="3" t="s">
        <v>16894</v>
      </c>
      <c r="C3228" s="3" t="s">
        <v>31</v>
      </c>
      <c r="D3228" s="3" t="s">
        <v>32</v>
      </c>
      <c r="E3228" s="4" t="s">
        <v>22</v>
      </c>
      <c r="F3228" s="4" t="s">
        <v>16895</v>
      </c>
      <c r="G3228" s="4" t="s">
        <v>16896</v>
      </c>
      <c r="H3228" s="3" t="s">
        <v>16292</v>
      </c>
      <c r="I3228" s="3" t="s">
        <v>8121</v>
      </c>
      <c r="J3228" s="3" t="s">
        <v>16897</v>
      </c>
      <c r="K3228" s="3" t="s">
        <v>16898</v>
      </c>
      <c r="L3228" s="3"/>
      <c r="M3228" s="4"/>
      <c r="N3228" s="3" t="s">
        <v>37</v>
      </c>
      <c r="O3228" s="3" t="s">
        <v>70</v>
      </c>
      <c r="P3228" s="5">
        <v>11</v>
      </c>
      <c r="Q3228" s="5">
        <v>78</v>
      </c>
      <c r="R3228" s="5">
        <v>11</v>
      </c>
      <c r="S3228" s="5">
        <v>83</v>
      </c>
    </row>
    <row r="3229" spans="1:19" ht="28" x14ac:dyDescent="0.15">
      <c r="A3229" s="2">
        <f>HYPERLINK("https://open-school.uspishnemisto.com.ua/school/180140/", 180140)</f>
        <v>180140</v>
      </c>
      <c r="B3229" s="3" t="s">
        <v>16899</v>
      </c>
      <c r="C3229" s="3" t="s">
        <v>31</v>
      </c>
      <c r="D3229" s="3" t="s">
        <v>60</v>
      </c>
      <c r="E3229" s="4" t="s">
        <v>22</v>
      </c>
      <c r="F3229" s="4" t="s">
        <v>16900</v>
      </c>
      <c r="G3229" s="4" t="s">
        <v>16901</v>
      </c>
      <c r="H3229" s="3" t="s">
        <v>16292</v>
      </c>
      <c r="I3229" s="3" t="s">
        <v>16902</v>
      </c>
      <c r="J3229" s="3" t="s">
        <v>16903</v>
      </c>
      <c r="K3229" s="3"/>
      <c r="L3229" s="3"/>
      <c r="M3229" s="4"/>
      <c r="N3229" s="3" t="s">
        <v>37</v>
      </c>
      <c r="O3229" s="3" t="s">
        <v>52</v>
      </c>
      <c r="P3229" s="5">
        <v>3</v>
      </c>
      <c r="Q3229" s="5">
        <v>10</v>
      </c>
      <c r="R3229" s="5">
        <v>3</v>
      </c>
      <c r="S3229" s="5">
        <v>12</v>
      </c>
    </row>
    <row r="3230" spans="1:19" ht="28" x14ac:dyDescent="0.15">
      <c r="A3230" s="2">
        <f>HYPERLINK("https://open-school.uspishnemisto.com.ua/school/180141/", 180141)</f>
        <v>180141</v>
      </c>
      <c r="B3230" s="3" t="s">
        <v>16904</v>
      </c>
      <c r="C3230" s="3" t="s">
        <v>31</v>
      </c>
      <c r="D3230" s="3" t="s">
        <v>32</v>
      </c>
      <c r="E3230" s="4" t="s">
        <v>22</v>
      </c>
      <c r="F3230" s="4" t="s">
        <v>16905</v>
      </c>
      <c r="G3230" s="4" t="s">
        <v>16906</v>
      </c>
      <c r="H3230" s="3" t="s">
        <v>16292</v>
      </c>
      <c r="I3230" s="3" t="s">
        <v>16907</v>
      </c>
      <c r="J3230" s="3" t="s">
        <v>16908</v>
      </c>
      <c r="K3230" s="3" t="s">
        <v>16909</v>
      </c>
      <c r="L3230" s="3"/>
      <c r="M3230" s="4"/>
      <c r="N3230" s="3" t="s">
        <v>37</v>
      </c>
      <c r="O3230" s="3" t="s">
        <v>52</v>
      </c>
      <c r="P3230" s="5">
        <v>10</v>
      </c>
      <c r="Q3230" s="5">
        <v>82</v>
      </c>
      <c r="R3230" s="5">
        <v>10</v>
      </c>
      <c r="S3230" s="5">
        <v>73</v>
      </c>
    </row>
    <row r="3231" spans="1:19" ht="28" x14ac:dyDescent="0.15">
      <c r="A3231" s="2">
        <f>HYPERLINK("https://open-school.uspishnemisto.com.ua/school/180142/", 180142)</f>
        <v>180142</v>
      </c>
      <c r="B3231" s="3" t="s">
        <v>16910</v>
      </c>
      <c r="C3231" s="3" t="s">
        <v>31</v>
      </c>
      <c r="D3231" s="3" t="s">
        <v>175</v>
      </c>
      <c r="E3231" s="4" t="s">
        <v>22</v>
      </c>
      <c r="F3231" s="4" t="s">
        <v>16911</v>
      </c>
      <c r="G3231" s="4" t="s">
        <v>16912</v>
      </c>
      <c r="H3231" s="3" t="s">
        <v>16292</v>
      </c>
      <c r="I3231" s="3" t="s">
        <v>16913</v>
      </c>
      <c r="J3231" s="3" t="s">
        <v>16914</v>
      </c>
      <c r="K3231" s="3" t="s">
        <v>16915</v>
      </c>
      <c r="L3231" s="3"/>
      <c r="M3231" s="4"/>
      <c r="N3231" s="3" t="s">
        <v>37</v>
      </c>
      <c r="O3231" s="3" t="s">
        <v>38</v>
      </c>
      <c r="P3231" s="5">
        <v>9</v>
      </c>
      <c r="Q3231" s="5">
        <v>61</v>
      </c>
      <c r="R3231" s="5">
        <v>9</v>
      </c>
      <c r="S3231" s="5">
        <v>60</v>
      </c>
    </row>
    <row r="3232" spans="1:19" ht="28" x14ac:dyDescent="0.15">
      <c r="A3232" s="2">
        <f>HYPERLINK("https://open-school.uspishnemisto.com.ua/school/180143/", 180143)</f>
        <v>180143</v>
      </c>
      <c r="B3232" s="3" t="s">
        <v>16916</v>
      </c>
      <c r="C3232" s="3" t="s">
        <v>31</v>
      </c>
      <c r="D3232" s="3" t="s">
        <v>32</v>
      </c>
      <c r="E3232" s="4" t="s">
        <v>22</v>
      </c>
      <c r="F3232" s="4" t="s">
        <v>16917</v>
      </c>
      <c r="G3232" s="4" t="s">
        <v>16918</v>
      </c>
      <c r="H3232" s="3" t="s">
        <v>16292</v>
      </c>
      <c r="I3232" s="3" t="s">
        <v>16919</v>
      </c>
      <c r="J3232" s="3" t="s">
        <v>4550</v>
      </c>
      <c r="K3232" s="3" t="s">
        <v>16920</v>
      </c>
      <c r="L3232" s="3"/>
      <c r="M3232" s="4"/>
      <c r="N3232" s="3" t="s">
        <v>37</v>
      </c>
      <c r="O3232" s="3" t="s">
        <v>52</v>
      </c>
      <c r="P3232" s="5">
        <v>11</v>
      </c>
      <c r="Q3232" s="5">
        <v>97</v>
      </c>
      <c r="R3232" s="5">
        <v>11</v>
      </c>
      <c r="S3232" s="5">
        <v>88</v>
      </c>
    </row>
    <row r="3233" spans="1:19" ht="28" x14ac:dyDescent="0.15">
      <c r="A3233" s="2">
        <f>HYPERLINK("https://open-school.uspishnemisto.com.ua/school/180144/", 180144)</f>
        <v>180144</v>
      </c>
      <c r="B3233" s="3" t="s">
        <v>16921</v>
      </c>
      <c r="C3233" s="3" t="s">
        <v>31</v>
      </c>
      <c r="D3233" s="3" t="s">
        <v>175</v>
      </c>
      <c r="E3233" s="4" t="s">
        <v>22</v>
      </c>
      <c r="F3233" s="4" t="s">
        <v>16922</v>
      </c>
      <c r="G3233" s="4" t="s">
        <v>16923</v>
      </c>
      <c r="H3233" s="3" t="s">
        <v>16292</v>
      </c>
      <c r="I3233" s="3" t="s">
        <v>16924</v>
      </c>
      <c r="J3233" s="3" t="s">
        <v>16925</v>
      </c>
      <c r="K3233" s="3" t="s">
        <v>16926</v>
      </c>
      <c r="L3233" s="3"/>
      <c r="M3233" s="4"/>
      <c r="N3233" s="3" t="s">
        <v>37</v>
      </c>
      <c r="O3233" s="3" t="s">
        <v>38</v>
      </c>
      <c r="P3233" s="5">
        <v>7</v>
      </c>
      <c r="Q3233" s="5">
        <v>61</v>
      </c>
      <c r="R3233" s="5">
        <v>7</v>
      </c>
      <c r="S3233" s="5">
        <v>59</v>
      </c>
    </row>
    <row r="3234" spans="1:19" ht="28" x14ac:dyDescent="0.15">
      <c r="A3234" s="2">
        <f>HYPERLINK("https://open-school.uspishnemisto.com.ua/school/180145/", 180145)</f>
        <v>180145</v>
      </c>
      <c r="B3234" s="3" t="s">
        <v>16927</v>
      </c>
      <c r="C3234" s="3" t="s">
        <v>31</v>
      </c>
      <c r="D3234" s="3" t="s">
        <v>32</v>
      </c>
      <c r="E3234" s="4" t="s">
        <v>22</v>
      </c>
      <c r="F3234" s="4" t="s">
        <v>16928</v>
      </c>
      <c r="G3234" s="4" t="s">
        <v>16929</v>
      </c>
      <c r="H3234" s="3" t="s">
        <v>16292</v>
      </c>
      <c r="I3234" s="3" t="s">
        <v>16930</v>
      </c>
      <c r="J3234" s="3" t="s">
        <v>2185</v>
      </c>
      <c r="K3234" s="3" t="s">
        <v>16931</v>
      </c>
      <c r="L3234" s="3"/>
      <c r="M3234" s="4"/>
      <c r="N3234" s="3" t="s">
        <v>37</v>
      </c>
      <c r="O3234" s="3" t="s">
        <v>38</v>
      </c>
      <c r="P3234" s="5">
        <v>9</v>
      </c>
      <c r="Q3234" s="5">
        <v>71</v>
      </c>
      <c r="R3234" s="5">
        <v>9</v>
      </c>
      <c r="S3234" s="5">
        <v>76</v>
      </c>
    </row>
    <row r="3235" spans="1:19" ht="28" x14ac:dyDescent="0.15">
      <c r="A3235" s="2">
        <f>HYPERLINK("https://open-school.uspishnemisto.com.ua/school/180146/", 180146)</f>
        <v>180146</v>
      </c>
      <c r="B3235" s="3" t="s">
        <v>16932</v>
      </c>
      <c r="C3235" s="3" t="s">
        <v>31</v>
      </c>
      <c r="D3235" s="3" t="s">
        <v>175</v>
      </c>
      <c r="E3235" s="4" t="s">
        <v>22</v>
      </c>
      <c r="F3235" s="4" t="s">
        <v>16933</v>
      </c>
      <c r="G3235" s="4" t="s">
        <v>16934</v>
      </c>
      <c r="H3235" s="3" t="s">
        <v>16292</v>
      </c>
      <c r="I3235" s="3" t="s">
        <v>16935</v>
      </c>
      <c r="J3235" s="3" t="s">
        <v>16936</v>
      </c>
      <c r="K3235" s="3" t="s">
        <v>16937</v>
      </c>
      <c r="L3235" s="3"/>
      <c r="M3235" s="4"/>
      <c r="N3235" s="3" t="s">
        <v>37</v>
      </c>
      <c r="O3235" s="3" t="s">
        <v>46</v>
      </c>
      <c r="P3235" s="5">
        <v>8</v>
      </c>
      <c r="Q3235" s="5">
        <v>48</v>
      </c>
      <c r="R3235" s="5">
        <v>5</v>
      </c>
      <c r="S3235" s="5">
        <v>38</v>
      </c>
    </row>
    <row r="3236" spans="1:19" ht="28" x14ac:dyDescent="0.15">
      <c r="A3236" s="2">
        <f>HYPERLINK("https://open-school.uspishnemisto.com.ua/school/180147/", 180147)</f>
        <v>180147</v>
      </c>
      <c r="B3236" s="3" t="s">
        <v>16938</v>
      </c>
      <c r="C3236" s="3" t="s">
        <v>40</v>
      </c>
      <c r="D3236" s="3" t="s">
        <v>32</v>
      </c>
      <c r="E3236" s="4" t="s">
        <v>22</v>
      </c>
      <c r="F3236" s="4" t="s">
        <v>16939</v>
      </c>
      <c r="G3236" s="4" t="s">
        <v>16940</v>
      </c>
      <c r="H3236" s="3" t="s">
        <v>16292</v>
      </c>
      <c r="I3236" s="3" t="s">
        <v>16941</v>
      </c>
      <c r="J3236" s="3" t="s">
        <v>16942</v>
      </c>
      <c r="K3236" s="3" t="s">
        <v>16943</v>
      </c>
      <c r="L3236" s="3"/>
      <c r="M3236" s="4"/>
      <c r="N3236" s="3" t="s">
        <v>37</v>
      </c>
      <c r="O3236" s="3" t="s">
        <v>52</v>
      </c>
      <c r="P3236" s="5">
        <v>21</v>
      </c>
      <c r="Q3236" s="5">
        <v>475</v>
      </c>
      <c r="R3236" s="5">
        <v>20</v>
      </c>
      <c r="S3236" s="5">
        <v>456</v>
      </c>
    </row>
    <row r="3237" spans="1:19" ht="28" x14ac:dyDescent="0.15">
      <c r="A3237" s="2">
        <f>HYPERLINK("https://open-school.uspishnemisto.com.ua/school/180148/", 180148)</f>
        <v>180148</v>
      </c>
      <c r="B3237" s="3" t="s">
        <v>16944</v>
      </c>
      <c r="C3237" s="3" t="s">
        <v>31</v>
      </c>
      <c r="D3237" s="3" t="s">
        <v>175</v>
      </c>
      <c r="E3237" s="4" t="s">
        <v>22</v>
      </c>
      <c r="F3237" s="4" t="s">
        <v>16939</v>
      </c>
      <c r="G3237" s="4" t="s">
        <v>16940</v>
      </c>
      <c r="H3237" s="3" t="s">
        <v>16292</v>
      </c>
      <c r="I3237" s="3" t="s">
        <v>16941</v>
      </c>
      <c r="J3237" s="3" t="s">
        <v>6405</v>
      </c>
      <c r="K3237" s="3" t="s">
        <v>16945</v>
      </c>
      <c r="L3237" s="3"/>
      <c r="M3237" s="4"/>
      <c r="N3237" s="3" t="s">
        <v>37</v>
      </c>
      <c r="O3237" s="3" t="s">
        <v>52</v>
      </c>
      <c r="P3237" s="5">
        <v>9</v>
      </c>
      <c r="Q3237" s="5">
        <v>67</v>
      </c>
      <c r="R3237" s="5">
        <v>9</v>
      </c>
      <c r="S3237" s="5">
        <v>66</v>
      </c>
    </row>
    <row r="3238" spans="1:19" ht="28" x14ac:dyDescent="0.15">
      <c r="A3238" s="2">
        <f>HYPERLINK("https://open-school.uspishnemisto.com.ua/school/180149/", 180149)</f>
        <v>180149</v>
      </c>
      <c r="B3238" s="3" t="s">
        <v>16946</v>
      </c>
      <c r="C3238" s="3" t="s">
        <v>181</v>
      </c>
      <c r="D3238" s="3" t="s">
        <v>32</v>
      </c>
      <c r="E3238" s="4" t="s">
        <v>22</v>
      </c>
      <c r="F3238" s="4" t="s">
        <v>16939</v>
      </c>
      <c r="G3238" s="4" t="s">
        <v>16940</v>
      </c>
      <c r="H3238" s="3" t="s">
        <v>16292</v>
      </c>
      <c r="I3238" s="3" t="s">
        <v>16941</v>
      </c>
      <c r="J3238" s="3" t="s">
        <v>16947</v>
      </c>
      <c r="K3238" s="3" t="s">
        <v>16948</v>
      </c>
      <c r="L3238" s="3"/>
      <c r="M3238" s="4" t="s">
        <v>16949</v>
      </c>
      <c r="N3238" s="3"/>
      <c r="O3238" s="3"/>
      <c r="P3238" s="5">
        <v>0</v>
      </c>
      <c r="Q3238" s="5">
        <v>0</v>
      </c>
      <c r="R3238" s="5">
        <v>10</v>
      </c>
      <c r="S3238" s="5">
        <v>77</v>
      </c>
    </row>
    <row r="3239" spans="1:19" ht="42" x14ac:dyDescent="0.15">
      <c r="A3239" s="2">
        <f>HYPERLINK("https://open-school.uspishnemisto.com.ua/school/180150/", 180150)</f>
        <v>180150</v>
      </c>
      <c r="B3239" s="3" t="s">
        <v>16950</v>
      </c>
      <c r="C3239" s="3" t="s">
        <v>31</v>
      </c>
      <c r="D3239" s="3" t="s">
        <v>60</v>
      </c>
      <c r="E3239" s="4" t="s">
        <v>22</v>
      </c>
      <c r="F3239" s="4" t="s">
        <v>16951</v>
      </c>
      <c r="G3239" s="4" t="s">
        <v>16952</v>
      </c>
      <c r="H3239" s="3" t="s">
        <v>16292</v>
      </c>
      <c r="I3239" s="3" t="s">
        <v>16953</v>
      </c>
      <c r="J3239" s="3" t="s">
        <v>16954</v>
      </c>
      <c r="K3239" s="3" t="s">
        <v>16955</v>
      </c>
      <c r="L3239" s="3"/>
      <c r="M3239" s="4"/>
      <c r="N3239" s="3" t="s">
        <v>37</v>
      </c>
      <c r="O3239" s="3" t="s">
        <v>52</v>
      </c>
      <c r="P3239" s="5">
        <v>0</v>
      </c>
      <c r="Q3239" s="5">
        <v>0</v>
      </c>
      <c r="R3239" s="5">
        <v>2</v>
      </c>
      <c r="S3239" s="5">
        <v>19</v>
      </c>
    </row>
    <row r="3240" spans="1:19" ht="28" x14ac:dyDescent="0.15">
      <c r="A3240" s="2">
        <f>HYPERLINK("https://open-school.uspishnemisto.com.ua/school/180151/", 180151)</f>
        <v>180151</v>
      </c>
      <c r="B3240" s="3" t="s">
        <v>16956</v>
      </c>
      <c r="C3240" s="3" t="s">
        <v>31</v>
      </c>
      <c r="D3240" s="3" t="s">
        <v>32</v>
      </c>
      <c r="E3240" s="4" t="s">
        <v>22</v>
      </c>
      <c r="F3240" s="4" t="s">
        <v>16957</v>
      </c>
      <c r="G3240" s="4" t="s">
        <v>16958</v>
      </c>
      <c r="H3240" s="3" t="s">
        <v>16292</v>
      </c>
      <c r="I3240" s="3" t="s">
        <v>16959</v>
      </c>
      <c r="J3240" s="3" t="s">
        <v>5029</v>
      </c>
      <c r="K3240" s="3" t="s">
        <v>16960</v>
      </c>
      <c r="L3240" s="3"/>
      <c r="M3240" s="4"/>
      <c r="N3240" s="3" t="s">
        <v>37</v>
      </c>
      <c r="O3240" s="3" t="s">
        <v>52</v>
      </c>
      <c r="P3240" s="5">
        <v>10</v>
      </c>
      <c r="Q3240" s="5">
        <v>102</v>
      </c>
      <c r="R3240" s="5">
        <v>11</v>
      </c>
      <c r="S3240" s="5">
        <v>99</v>
      </c>
    </row>
    <row r="3241" spans="1:19" ht="28" x14ac:dyDescent="0.15">
      <c r="A3241" s="2">
        <f>HYPERLINK("https://open-school.uspishnemisto.com.ua/school/180152/", 180152)</f>
        <v>180152</v>
      </c>
      <c r="B3241" s="3" t="s">
        <v>16961</v>
      </c>
      <c r="C3241" s="3" t="s">
        <v>31</v>
      </c>
      <c r="D3241" s="3" t="s">
        <v>32</v>
      </c>
      <c r="E3241" s="4" t="s">
        <v>22</v>
      </c>
      <c r="F3241" s="4" t="s">
        <v>16962</v>
      </c>
      <c r="G3241" s="4" t="s">
        <v>16963</v>
      </c>
      <c r="H3241" s="3" t="s">
        <v>16292</v>
      </c>
      <c r="I3241" s="3" t="s">
        <v>16964</v>
      </c>
      <c r="J3241" s="3" t="s">
        <v>16965</v>
      </c>
      <c r="K3241" s="3" t="s">
        <v>16966</v>
      </c>
      <c r="L3241" s="3"/>
      <c r="M3241" s="4"/>
      <c r="N3241" s="3" t="s">
        <v>37</v>
      </c>
      <c r="O3241" s="3" t="s">
        <v>38</v>
      </c>
      <c r="P3241" s="5">
        <v>8</v>
      </c>
      <c r="Q3241" s="5">
        <v>60</v>
      </c>
      <c r="R3241" s="5">
        <v>7</v>
      </c>
      <c r="S3241" s="5">
        <v>67</v>
      </c>
    </row>
    <row r="3242" spans="1:19" ht="28" x14ac:dyDescent="0.15">
      <c r="A3242" s="2">
        <f>HYPERLINK("https://open-school.uspishnemisto.com.ua/school/180153/", 180153)</f>
        <v>180153</v>
      </c>
      <c r="B3242" s="3" t="s">
        <v>16967</v>
      </c>
      <c r="C3242" s="3" t="s">
        <v>31</v>
      </c>
      <c r="D3242" s="3" t="s">
        <v>175</v>
      </c>
      <c r="E3242" s="4" t="s">
        <v>22</v>
      </c>
      <c r="F3242" s="4" t="s">
        <v>16968</v>
      </c>
      <c r="G3242" s="4" t="s">
        <v>16969</v>
      </c>
      <c r="H3242" s="3" t="s">
        <v>16292</v>
      </c>
      <c r="I3242" s="3" t="s">
        <v>16970</v>
      </c>
      <c r="J3242" s="3" t="s">
        <v>16971</v>
      </c>
      <c r="K3242" s="3" t="s">
        <v>16972</v>
      </c>
      <c r="L3242" s="3"/>
      <c r="M3242" s="4"/>
      <c r="N3242" s="3" t="s">
        <v>37</v>
      </c>
      <c r="O3242" s="3" t="s">
        <v>38</v>
      </c>
      <c r="P3242" s="5">
        <v>6</v>
      </c>
      <c r="Q3242" s="5">
        <v>57</v>
      </c>
      <c r="R3242" s="5">
        <v>6</v>
      </c>
      <c r="S3242" s="5">
        <v>53</v>
      </c>
    </row>
    <row r="3243" spans="1:19" ht="28" x14ac:dyDescent="0.15">
      <c r="A3243" s="2">
        <f>HYPERLINK("https://open-school.uspishnemisto.com.ua/school/180154/", 180154)</f>
        <v>180154</v>
      </c>
      <c r="B3243" s="3" t="s">
        <v>16973</v>
      </c>
      <c r="C3243" s="3" t="s">
        <v>31</v>
      </c>
      <c r="D3243" s="3" t="s">
        <v>175</v>
      </c>
      <c r="E3243" s="4" t="s">
        <v>22</v>
      </c>
      <c r="F3243" s="4" t="s">
        <v>16974</v>
      </c>
      <c r="G3243" s="4" t="s">
        <v>16975</v>
      </c>
      <c r="H3243" s="3" t="s">
        <v>16292</v>
      </c>
      <c r="I3243" s="3" t="s">
        <v>16714</v>
      </c>
      <c r="J3243" s="3" t="s">
        <v>2465</v>
      </c>
      <c r="K3243" s="3" t="s">
        <v>16976</v>
      </c>
      <c r="L3243" s="3"/>
      <c r="M3243" s="4"/>
      <c r="N3243" s="3" t="s">
        <v>37</v>
      </c>
      <c r="O3243" s="3" t="s">
        <v>52</v>
      </c>
      <c r="P3243" s="5">
        <v>0</v>
      </c>
      <c r="Q3243" s="5">
        <v>0</v>
      </c>
      <c r="R3243" s="5">
        <v>2</v>
      </c>
      <c r="S3243" s="5">
        <v>30</v>
      </c>
    </row>
    <row r="3244" spans="1:19" ht="42" x14ac:dyDescent="0.15">
      <c r="A3244" s="2">
        <f>HYPERLINK("https://open-school.uspishnemisto.com.ua/school/180155/", 180155)</f>
        <v>180155</v>
      </c>
      <c r="B3244" s="3" t="s">
        <v>16977</v>
      </c>
      <c r="C3244" s="3" t="s">
        <v>31</v>
      </c>
      <c r="D3244" s="3" t="s">
        <v>175</v>
      </c>
      <c r="E3244" s="4" t="s">
        <v>22</v>
      </c>
      <c r="F3244" s="4" t="s">
        <v>16978</v>
      </c>
      <c r="G3244" s="4" t="s">
        <v>16979</v>
      </c>
      <c r="H3244" s="3" t="s">
        <v>16292</v>
      </c>
      <c r="I3244" s="3" t="s">
        <v>16980</v>
      </c>
      <c r="J3244" s="3" t="s">
        <v>16981</v>
      </c>
      <c r="K3244" s="3" t="s">
        <v>16982</v>
      </c>
      <c r="L3244" s="3"/>
      <c r="M3244" s="4"/>
      <c r="N3244" s="3" t="s">
        <v>37</v>
      </c>
      <c r="O3244" s="3" t="s">
        <v>52</v>
      </c>
      <c r="P3244" s="5">
        <v>0</v>
      </c>
      <c r="Q3244" s="5">
        <v>0</v>
      </c>
      <c r="R3244" s="5">
        <v>4</v>
      </c>
      <c r="S3244" s="5">
        <v>30</v>
      </c>
    </row>
    <row r="3245" spans="1:19" ht="28" x14ac:dyDescent="0.15">
      <c r="A3245" s="2">
        <f>HYPERLINK("https://open-school.uspishnemisto.com.ua/school/180156/", 180156)</f>
        <v>180156</v>
      </c>
      <c r="B3245" s="3" t="s">
        <v>16983</v>
      </c>
      <c r="C3245" s="3" t="s">
        <v>31</v>
      </c>
      <c r="D3245" s="3" t="s">
        <v>32</v>
      </c>
      <c r="E3245" s="4" t="s">
        <v>22</v>
      </c>
      <c r="F3245" s="4" t="s">
        <v>16984</v>
      </c>
      <c r="G3245" s="4" t="s">
        <v>16985</v>
      </c>
      <c r="H3245" s="3" t="s">
        <v>16292</v>
      </c>
      <c r="I3245" s="3" t="s">
        <v>1694</v>
      </c>
      <c r="J3245" s="3" t="s">
        <v>5644</v>
      </c>
      <c r="K3245" s="3" t="s">
        <v>16986</v>
      </c>
      <c r="L3245" s="3"/>
      <c r="M3245" s="4"/>
      <c r="N3245" s="3" t="s">
        <v>37</v>
      </c>
      <c r="O3245" s="3" t="s">
        <v>38</v>
      </c>
      <c r="P3245" s="5">
        <v>9</v>
      </c>
      <c r="Q3245" s="5">
        <v>84</v>
      </c>
      <c r="R3245" s="5">
        <v>9</v>
      </c>
      <c r="S3245" s="5">
        <v>76</v>
      </c>
    </row>
    <row r="3246" spans="1:19" ht="28" x14ac:dyDescent="0.15">
      <c r="A3246" s="2">
        <f>HYPERLINK("https://open-school.uspishnemisto.com.ua/school/180157/", 180157)</f>
        <v>180157</v>
      </c>
      <c r="B3246" s="3" t="s">
        <v>16987</v>
      </c>
      <c r="C3246" s="3" t="s">
        <v>31</v>
      </c>
      <c r="D3246" s="3" t="s">
        <v>175</v>
      </c>
      <c r="E3246" s="4" t="s">
        <v>22</v>
      </c>
      <c r="F3246" s="4" t="s">
        <v>16988</v>
      </c>
      <c r="G3246" s="4" t="s">
        <v>16989</v>
      </c>
      <c r="H3246" s="3" t="s">
        <v>16292</v>
      </c>
      <c r="I3246" s="3" t="s">
        <v>11605</v>
      </c>
      <c r="J3246" s="3" t="s">
        <v>16990</v>
      </c>
      <c r="K3246" s="3" t="s">
        <v>16991</v>
      </c>
      <c r="L3246" s="3"/>
      <c r="M3246" s="4"/>
      <c r="N3246" s="3" t="s">
        <v>37</v>
      </c>
      <c r="O3246" s="3" t="s">
        <v>38</v>
      </c>
      <c r="P3246" s="5">
        <v>9</v>
      </c>
      <c r="Q3246" s="5">
        <v>62</v>
      </c>
      <c r="R3246" s="5">
        <v>9</v>
      </c>
      <c r="S3246" s="5">
        <v>64</v>
      </c>
    </row>
    <row r="3247" spans="1:19" ht="42" x14ac:dyDescent="0.15">
      <c r="A3247" s="2">
        <f>HYPERLINK("https://open-school.uspishnemisto.com.ua/school/180158/", 180158)</f>
        <v>180158</v>
      </c>
      <c r="B3247" s="3" t="s">
        <v>16992</v>
      </c>
      <c r="C3247" s="3" t="s">
        <v>31</v>
      </c>
      <c r="D3247" s="3" t="s">
        <v>32</v>
      </c>
      <c r="E3247" s="4" t="s">
        <v>22</v>
      </c>
      <c r="F3247" s="4" t="s">
        <v>16993</v>
      </c>
      <c r="G3247" s="4" t="s">
        <v>16994</v>
      </c>
      <c r="H3247" s="3" t="s">
        <v>16292</v>
      </c>
      <c r="I3247" s="3" t="s">
        <v>16995</v>
      </c>
      <c r="J3247" s="3" t="s">
        <v>2139</v>
      </c>
      <c r="K3247" s="3"/>
      <c r="L3247" s="3"/>
      <c r="M3247" s="4"/>
      <c r="N3247" s="3" t="s">
        <v>37</v>
      </c>
      <c r="O3247" s="3" t="s">
        <v>38</v>
      </c>
      <c r="P3247" s="5">
        <v>9</v>
      </c>
      <c r="Q3247" s="5">
        <v>69</v>
      </c>
      <c r="R3247" s="5">
        <v>10</v>
      </c>
      <c r="S3247" s="5">
        <v>78</v>
      </c>
    </row>
    <row r="3248" spans="1:19" ht="28" x14ac:dyDescent="0.15">
      <c r="A3248" s="2">
        <f>HYPERLINK("https://open-school.uspishnemisto.com.ua/school/180159/", 180159)</f>
        <v>180159</v>
      </c>
      <c r="B3248" s="3" t="s">
        <v>16996</v>
      </c>
      <c r="C3248" s="3" t="s">
        <v>31</v>
      </c>
      <c r="D3248" s="3" t="s">
        <v>175</v>
      </c>
      <c r="E3248" s="4" t="s">
        <v>22</v>
      </c>
      <c r="F3248" s="4" t="s">
        <v>16997</v>
      </c>
      <c r="G3248" s="4" t="s">
        <v>16998</v>
      </c>
      <c r="H3248" s="3" t="s">
        <v>16292</v>
      </c>
      <c r="I3248" s="3" t="s">
        <v>16999</v>
      </c>
      <c r="J3248" s="3" t="s">
        <v>4537</v>
      </c>
      <c r="K3248" s="3" t="s">
        <v>17000</v>
      </c>
      <c r="L3248" s="3"/>
      <c r="M3248" s="4"/>
      <c r="N3248" s="3" t="s">
        <v>37</v>
      </c>
      <c r="O3248" s="3" t="s">
        <v>52</v>
      </c>
      <c r="P3248" s="5">
        <v>4</v>
      </c>
      <c r="Q3248" s="5">
        <v>38</v>
      </c>
      <c r="R3248" s="5">
        <v>4</v>
      </c>
      <c r="S3248" s="5">
        <v>44</v>
      </c>
    </row>
    <row r="3249" spans="1:19" ht="28" x14ac:dyDescent="0.15">
      <c r="A3249" s="2">
        <f>HYPERLINK("https://open-school.uspishnemisto.com.ua/school/180160/", 180160)</f>
        <v>180160</v>
      </c>
      <c r="B3249" s="3" t="s">
        <v>17001</v>
      </c>
      <c r="C3249" s="3" t="s">
        <v>31</v>
      </c>
      <c r="D3249" s="3" t="s">
        <v>32</v>
      </c>
      <c r="E3249" s="4" t="s">
        <v>22</v>
      </c>
      <c r="F3249" s="4" t="s">
        <v>17002</v>
      </c>
      <c r="G3249" s="4" t="s">
        <v>17003</v>
      </c>
      <c r="H3249" s="3" t="s">
        <v>16292</v>
      </c>
      <c r="I3249" s="3" t="s">
        <v>4177</v>
      </c>
      <c r="J3249" s="3" t="s">
        <v>17004</v>
      </c>
      <c r="K3249" s="3" t="s">
        <v>17005</v>
      </c>
      <c r="L3249" s="3"/>
      <c r="M3249" s="4"/>
      <c r="N3249" s="3" t="s">
        <v>37</v>
      </c>
      <c r="O3249" s="3" t="s">
        <v>52</v>
      </c>
      <c r="P3249" s="5">
        <v>10</v>
      </c>
      <c r="Q3249" s="5">
        <v>116</v>
      </c>
      <c r="R3249" s="5">
        <v>11</v>
      </c>
      <c r="S3249" s="5">
        <v>134</v>
      </c>
    </row>
    <row r="3250" spans="1:19" ht="28" x14ac:dyDescent="0.15">
      <c r="A3250" s="2">
        <f>HYPERLINK("https://open-school.uspishnemisto.com.ua/school/180161/", 180161)</f>
        <v>180161</v>
      </c>
      <c r="B3250" s="3" t="s">
        <v>17006</v>
      </c>
      <c r="C3250" s="3" t="s">
        <v>31</v>
      </c>
      <c r="D3250" s="3" t="s">
        <v>32</v>
      </c>
      <c r="E3250" s="4" t="s">
        <v>22</v>
      </c>
      <c r="F3250" s="4" t="s">
        <v>17007</v>
      </c>
      <c r="G3250" s="4" t="s">
        <v>17008</v>
      </c>
      <c r="H3250" s="3" t="s">
        <v>16292</v>
      </c>
      <c r="I3250" s="3" t="s">
        <v>17009</v>
      </c>
      <c r="J3250" s="3" t="s">
        <v>17010</v>
      </c>
      <c r="K3250" s="3" t="s">
        <v>17011</v>
      </c>
      <c r="L3250" s="3"/>
      <c r="M3250" s="4" t="s">
        <v>17012</v>
      </c>
      <c r="N3250" s="3" t="s">
        <v>37</v>
      </c>
      <c r="O3250" s="3" t="s">
        <v>52</v>
      </c>
      <c r="P3250" s="5">
        <v>11</v>
      </c>
      <c r="Q3250" s="5">
        <v>149</v>
      </c>
      <c r="R3250" s="5">
        <v>11</v>
      </c>
      <c r="S3250" s="5">
        <v>147</v>
      </c>
    </row>
    <row r="3251" spans="1:19" ht="28" x14ac:dyDescent="0.15">
      <c r="A3251" s="2">
        <f>HYPERLINK("https://open-school.uspishnemisto.com.ua/school/180162/", 180162)</f>
        <v>180162</v>
      </c>
      <c r="B3251" s="3" t="s">
        <v>17013</v>
      </c>
      <c r="C3251" s="3" t="s">
        <v>31</v>
      </c>
      <c r="D3251" s="3" t="s">
        <v>175</v>
      </c>
      <c r="E3251" s="4" t="s">
        <v>22</v>
      </c>
      <c r="F3251" s="4" t="s">
        <v>17014</v>
      </c>
      <c r="G3251" s="4" t="s">
        <v>17015</v>
      </c>
      <c r="H3251" s="3" t="s">
        <v>16292</v>
      </c>
      <c r="I3251" s="3" t="s">
        <v>17016</v>
      </c>
      <c r="J3251" s="3" t="s">
        <v>17017</v>
      </c>
      <c r="K3251" s="3" t="s">
        <v>17018</v>
      </c>
      <c r="L3251" s="3"/>
      <c r="M3251" s="4"/>
      <c r="N3251" s="3" t="s">
        <v>37</v>
      </c>
      <c r="O3251" s="3" t="s">
        <v>52</v>
      </c>
      <c r="P3251" s="5">
        <v>8</v>
      </c>
      <c r="Q3251" s="5">
        <v>65</v>
      </c>
      <c r="R3251" s="5">
        <v>8</v>
      </c>
      <c r="S3251" s="5">
        <v>60</v>
      </c>
    </row>
    <row r="3252" spans="1:19" ht="42" x14ac:dyDescent="0.15">
      <c r="A3252" s="2">
        <f>HYPERLINK("https://open-school.uspishnemisto.com.ua/school/180163/", 180163)</f>
        <v>180163</v>
      </c>
      <c r="B3252" s="3" t="s">
        <v>17019</v>
      </c>
      <c r="C3252" s="3" t="s">
        <v>31</v>
      </c>
      <c r="D3252" s="3" t="s">
        <v>32</v>
      </c>
      <c r="E3252" s="4" t="s">
        <v>22</v>
      </c>
      <c r="F3252" s="4" t="s">
        <v>17020</v>
      </c>
      <c r="G3252" s="4" t="s">
        <v>17021</v>
      </c>
      <c r="H3252" s="3" t="s">
        <v>16292</v>
      </c>
      <c r="I3252" s="3" t="s">
        <v>17022</v>
      </c>
      <c r="J3252" s="3" t="s">
        <v>4442</v>
      </c>
      <c r="K3252" s="3" t="s">
        <v>17023</v>
      </c>
      <c r="L3252" s="3"/>
      <c r="M3252" s="4"/>
      <c r="N3252" s="3" t="s">
        <v>37</v>
      </c>
      <c r="O3252" s="3" t="s">
        <v>38</v>
      </c>
      <c r="P3252" s="5">
        <v>15</v>
      </c>
      <c r="Q3252" s="5">
        <v>134</v>
      </c>
      <c r="R3252" s="5">
        <v>11</v>
      </c>
      <c r="S3252" s="5">
        <v>102</v>
      </c>
    </row>
    <row r="3253" spans="1:19" ht="28" x14ac:dyDescent="0.15">
      <c r="A3253" s="2">
        <f>HYPERLINK("https://open-school.uspishnemisto.com.ua/school/180164/", 180164)</f>
        <v>180164</v>
      </c>
      <c r="B3253" s="3" t="s">
        <v>17024</v>
      </c>
      <c r="C3253" s="3" t="s">
        <v>31</v>
      </c>
      <c r="D3253" s="3" t="s">
        <v>32</v>
      </c>
      <c r="E3253" s="4" t="s">
        <v>22</v>
      </c>
      <c r="F3253" s="4" t="s">
        <v>17025</v>
      </c>
      <c r="G3253" s="4" t="s">
        <v>17026</v>
      </c>
      <c r="H3253" s="3" t="s">
        <v>16292</v>
      </c>
      <c r="I3253" s="3" t="s">
        <v>17027</v>
      </c>
      <c r="J3253" s="3" t="s">
        <v>2687</v>
      </c>
      <c r="K3253" s="3" t="s">
        <v>17028</v>
      </c>
      <c r="L3253" s="3"/>
      <c r="M3253" s="4"/>
      <c r="N3253" s="3" t="s">
        <v>37</v>
      </c>
      <c r="O3253" s="3" t="s">
        <v>38</v>
      </c>
      <c r="P3253" s="5">
        <v>11</v>
      </c>
      <c r="Q3253" s="5">
        <v>116</v>
      </c>
      <c r="R3253" s="5">
        <v>11</v>
      </c>
      <c r="S3253" s="5">
        <v>122</v>
      </c>
    </row>
    <row r="3254" spans="1:19" ht="28" x14ac:dyDescent="0.15">
      <c r="A3254" s="2">
        <f>HYPERLINK("https://open-school.uspishnemisto.com.ua/school/180165/", 180165)</f>
        <v>180165</v>
      </c>
      <c r="B3254" s="3" t="s">
        <v>17029</v>
      </c>
      <c r="C3254" s="3" t="s">
        <v>31</v>
      </c>
      <c r="D3254" s="3" t="s">
        <v>32</v>
      </c>
      <c r="E3254" s="4" t="s">
        <v>22</v>
      </c>
      <c r="F3254" s="4" t="s">
        <v>17030</v>
      </c>
      <c r="G3254" s="4" t="s">
        <v>17031</v>
      </c>
      <c r="H3254" s="3" t="s">
        <v>16292</v>
      </c>
      <c r="I3254" s="3" t="s">
        <v>17032</v>
      </c>
      <c r="J3254" s="3" t="s">
        <v>17033</v>
      </c>
      <c r="K3254" s="3" t="s">
        <v>17034</v>
      </c>
      <c r="L3254" s="3"/>
      <c r="M3254" s="4"/>
      <c r="N3254" s="3" t="s">
        <v>37</v>
      </c>
      <c r="O3254" s="3" t="s">
        <v>52</v>
      </c>
      <c r="P3254" s="5">
        <v>10</v>
      </c>
      <c r="Q3254" s="5">
        <v>86</v>
      </c>
      <c r="R3254" s="5">
        <v>10</v>
      </c>
      <c r="S3254" s="5">
        <v>83</v>
      </c>
    </row>
    <row r="3255" spans="1:19" ht="28" x14ac:dyDescent="0.15">
      <c r="A3255" s="2">
        <f>HYPERLINK("https://open-school.uspishnemisto.com.ua/school/180166/", 180166)</f>
        <v>180166</v>
      </c>
      <c r="B3255" s="3" t="s">
        <v>17035</v>
      </c>
      <c r="C3255" s="3" t="s">
        <v>31</v>
      </c>
      <c r="D3255" s="3" t="s">
        <v>32</v>
      </c>
      <c r="E3255" s="4" t="s">
        <v>22</v>
      </c>
      <c r="F3255" s="4" t="s">
        <v>17036</v>
      </c>
      <c r="G3255" s="4" t="s">
        <v>17037</v>
      </c>
      <c r="H3255" s="3" t="s">
        <v>16292</v>
      </c>
      <c r="I3255" s="3" t="s">
        <v>16156</v>
      </c>
      <c r="J3255" s="3" t="s">
        <v>17038</v>
      </c>
      <c r="K3255" s="3" t="s">
        <v>17039</v>
      </c>
      <c r="L3255" s="3"/>
      <c r="M3255" s="4"/>
      <c r="N3255" s="3" t="s">
        <v>37</v>
      </c>
      <c r="O3255" s="3" t="s">
        <v>38</v>
      </c>
      <c r="P3255" s="5">
        <v>14</v>
      </c>
      <c r="Q3255" s="5">
        <v>181</v>
      </c>
      <c r="R3255" s="5">
        <v>11</v>
      </c>
      <c r="S3255" s="5">
        <v>159</v>
      </c>
    </row>
    <row r="3256" spans="1:19" ht="28" x14ac:dyDescent="0.15">
      <c r="A3256" s="2">
        <f>HYPERLINK("https://open-school.uspishnemisto.com.ua/school/180167/", 180167)</f>
        <v>180167</v>
      </c>
      <c r="B3256" s="3" t="s">
        <v>17040</v>
      </c>
      <c r="C3256" s="3" t="s">
        <v>20</v>
      </c>
      <c r="D3256" s="3" t="s">
        <v>21</v>
      </c>
      <c r="E3256" s="4" t="s">
        <v>22</v>
      </c>
      <c r="F3256" s="4" t="s">
        <v>17041</v>
      </c>
      <c r="G3256" s="4" t="s">
        <v>17042</v>
      </c>
      <c r="H3256" s="3" t="s">
        <v>16292</v>
      </c>
      <c r="I3256" s="3" t="s">
        <v>17043</v>
      </c>
      <c r="J3256" s="3" t="s">
        <v>4537</v>
      </c>
      <c r="K3256" s="3" t="s">
        <v>17044</v>
      </c>
      <c r="L3256" s="3"/>
      <c r="M3256" s="4"/>
      <c r="N3256" s="3"/>
      <c r="O3256" s="3"/>
      <c r="P3256" s="5">
        <v>0</v>
      </c>
      <c r="Q3256" s="5">
        <v>0</v>
      </c>
      <c r="R3256" s="5"/>
      <c r="S3256" s="5"/>
    </row>
    <row r="3257" spans="1:19" ht="28" x14ac:dyDescent="0.15">
      <c r="A3257" s="2">
        <f>HYPERLINK("https://open-school.uspishnemisto.com.ua/school/180168/", 180168)</f>
        <v>180168</v>
      </c>
      <c r="B3257" s="3" t="s">
        <v>17045</v>
      </c>
      <c r="C3257" s="3" t="s">
        <v>31</v>
      </c>
      <c r="D3257" s="3" t="s">
        <v>175</v>
      </c>
      <c r="E3257" s="4" t="s">
        <v>22</v>
      </c>
      <c r="F3257" s="4" t="s">
        <v>17041</v>
      </c>
      <c r="G3257" s="4" t="s">
        <v>17042</v>
      </c>
      <c r="H3257" s="3" t="s">
        <v>16292</v>
      </c>
      <c r="I3257" s="3" t="s">
        <v>17043</v>
      </c>
      <c r="J3257" s="3" t="s">
        <v>4537</v>
      </c>
      <c r="K3257" s="3" t="s">
        <v>17046</v>
      </c>
      <c r="L3257" s="3"/>
      <c r="M3257" s="4"/>
      <c r="N3257" s="3" t="s">
        <v>37</v>
      </c>
      <c r="O3257" s="3" t="s">
        <v>52</v>
      </c>
      <c r="P3257" s="5">
        <v>8</v>
      </c>
      <c r="Q3257" s="5">
        <v>67</v>
      </c>
      <c r="R3257" s="5">
        <v>9</v>
      </c>
      <c r="S3257" s="5">
        <v>70</v>
      </c>
    </row>
    <row r="3258" spans="1:19" ht="28" x14ac:dyDescent="0.15">
      <c r="A3258" s="2">
        <f>HYPERLINK("https://open-school.uspishnemisto.com.ua/school/180169/", 180169)</f>
        <v>180169</v>
      </c>
      <c r="B3258" s="3" t="s">
        <v>17047</v>
      </c>
      <c r="C3258" s="3" t="s">
        <v>31</v>
      </c>
      <c r="D3258" s="3" t="s">
        <v>32</v>
      </c>
      <c r="E3258" s="4" t="s">
        <v>22</v>
      </c>
      <c r="F3258" s="4" t="s">
        <v>17048</v>
      </c>
      <c r="G3258" s="4" t="s">
        <v>17049</v>
      </c>
      <c r="H3258" s="3" t="s">
        <v>16292</v>
      </c>
      <c r="I3258" s="3" t="s">
        <v>17050</v>
      </c>
      <c r="J3258" s="3" t="s">
        <v>17051</v>
      </c>
      <c r="K3258" s="3" t="s">
        <v>17052</v>
      </c>
      <c r="L3258" s="3"/>
      <c r="M3258" s="4" t="s">
        <v>17053</v>
      </c>
      <c r="N3258" s="3" t="s">
        <v>37</v>
      </c>
      <c r="O3258" s="3" t="s">
        <v>52</v>
      </c>
      <c r="P3258" s="5">
        <v>11</v>
      </c>
      <c r="Q3258" s="5">
        <v>157</v>
      </c>
      <c r="R3258" s="5">
        <v>11</v>
      </c>
      <c r="S3258" s="5">
        <v>161</v>
      </c>
    </row>
    <row r="3259" spans="1:19" ht="42" x14ac:dyDescent="0.15">
      <c r="A3259" s="2">
        <f>HYPERLINK("https://open-school.uspishnemisto.com.ua/school/180170/", 180170)</f>
        <v>180170</v>
      </c>
      <c r="B3259" s="3" t="s">
        <v>17054</v>
      </c>
      <c r="C3259" s="3" t="s">
        <v>31</v>
      </c>
      <c r="D3259" s="3" t="s">
        <v>175</v>
      </c>
      <c r="E3259" s="4" t="s">
        <v>22</v>
      </c>
      <c r="F3259" s="4" t="s">
        <v>17055</v>
      </c>
      <c r="G3259" s="4" t="s">
        <v>17056</v>
      </c>
      <c r="H3259" s="3" t="s">
        <v>16292</v>
      </c>
      <c r="I3259" s="3" t="s">
        <v>2491</v>
      </c>
      <c r="J3259" s="3" t="s">
        <v>9415</v>
      </c>
      <c r="K3259" s="3" t="s">
        <v>17057</v>
      </c>
      <c r="L3259" s="3"/>
      <c r="M3259" s="4"/>
      <c r="N3259" s="3" t="s">
        <v>37</v>
      </c>
      <c r="O3259" s="3" t="s">
        <v>618</v>
      </c>
      <c r="P3259" s="5">
        <v>5</v>
      </c>
      <c r="Q3259" s="5">
        <v>35</v>
      </c>
      <c r="R3259" s="5">
        <v>4</v>
      </c>
      <c r="S3259" s="5">
        <v>32</v>
      </c>
    </row>
    <row r="3260" spans="1:19" ht="28" x14ac:dyDescent="0.15">
      <c r="A3260" s="2">
        <f>HYPERLINK("https://open-school.uspishnemisto.com.ua/school/180171/", 180171)</f>
        <v>180171</v>
      </c>
      <c r="B3260" s="3" t="s">
        <v>17058</v>
      </c>
      <c r="C3260" s="3" t="s">
        <v>31</v>
      </c>
      <c r="D3260" s="3" t="s">
        <v>32</v>
      </c>
      <c r="E3260" s="4" t="s">
        <v>22</v>
      </c>
      <c r="F3260" s="4" t="s">
        <v>17059</v>
      </c>
      <c r="G3260" s="4" t="s">
        <v>17060</v>
      </c>
      <c r="H3260" s="3" t="s">
        <v>16292</v>
      </c>
      <c r="I3260" s="3" t="s">
        <v>17061</v>
      </c>
      <c r="J3260" s="3" t="s">
        <v>17062</v>
      </c>
      <c r="K3260" s="3" t="s">
        <v>17063</v>
      </c>
      <c r="L3260" s="3"/>
      <c r="M3260" s="4"/>
      <c r="N3260" s="3" t="s">
        <v>37</v>
      </c>
      <c r="O3260" s="3" t="s">
        <v>52</v>
      </c>
      <c r="P3260" s="5">
        <v>4</v>
      </c>
      <c r="Q3260" s="5">
        <v>30</v>
      </c>
      <c r="R3260" s="5">
        <v>4</v>
      </c>
      <c r="S3260" s="5">
        <v>35</v>
      </c>
    </row>
    <row r="3261" spans="1:19" ht="28" x14ac:dyDescent="0.15">
      <c r="A3261" s="2">
        <f>HYPERLINK("https://open-school.uspishnemisto.com.ua/school/180172/", 180172)</f>
        <v>180172</v>
      </c>
      <c r="B3261" s="3" t="s">
        <v>17064</v>
      </c>
      <c r="C3261" s="3" t="s">
        <v>31</v>
      </c>
      <c r="D3261" s="3" t="s">
        <v>32</v>
      </c>
      <c r="E3261" s="4" t="s">
        <v>22</v>
      </c>
      <c r="F3261" s="4" t="s">
        <v>17065</v>
      </c>
      <c r="G3261" s="4" t="s">
        <v>17066</v>
      </c>
      <c r="H3261" s="3" t="s">
        <v>16292</v>
      </c>
      <c r="I3261" s="3" t="s">
        <v>17067</v>
      </c>
      <c r="J3261" s="3" t="s">
        <v>17068</v>
      </c>
      <c r="K3261" s="3" t="s">
        <v>17069</v>
      </c>
      <c r="L3261" s="3"/>
      <c r="M3261" s="4"/>
      <c r="N3261" s="3" t="s">
        <v>37</v>
      </c>
      <c r="O3261" s="3" t="s">
        <v>38</v>
      </c>
      <c r="P3261" s="5">
        <v>11</v>
      </c>
      <c r="Q3261" s="5">
        <v>184</v>
      </c>
      <c r="R3261" s="5">
        <v>11</v>
      </c>
      <c r="S3261" s="5">
        <v>169</v>
      </c>
    </row>
    <row r="3262" spans="1:19" ht="42" x14ac:dyDescent="0.15">
      <c r="A3262" s="2">
        <f>HYPERLINK("https://open-school.uspishnemisto.com.ua/school/180173/", 180173)</f>
        <v>180173</v>
      </c>
      <c r="B3262" s="3" t="s">
        <v>17070</v>
      </c>
      <c r="C3262" s="3" t="s">
        <v>31</v>
      </c>
      <c r="D3262" s="3" t="s">
        <v>175</v>
      </c>
      <c r="E3262" s="4" t="s">
        <v>22</v>
      </c>
      <c r="F3262" s="4" t="s">
        <v>17071</v>
      </c>
      <c r="G3262" s="4" t="s">
        <v>17072</v>
      </c>
      <c r="H3262" s="3" t="s">
        <v>16292</v>
      </c>
      <c r="I3262" s="3" t="s">
        <v>1605</v>
      </c>
      <c r="J3262" s="3" t="s">
        <v>17073</v>
      </c>
      <c r="K3262" s="3"/>
      <c r="L3262" s="3"/>
      <c r="M3262" s="4"/>
      <c r="N3262" s="3" t="s">
        <v>37</v>
      </c>
      <c r="O3262" s="3" t="s">
        <v>52</v>
      </c>
      <c r="P3262" s="5">
        <v>8</v>
      </c>
      <c r="Q3262" s="5">
        <v>62</v>
      </c>
      <c r="R3262" s="5">
        <v>8</v>
      </c>
      <c r="S3262" s="5">
        <v>59</v>
      </c>
    </row>
    <row r="3263" spans="1:19" ht="28" x14ac:dyDescent="0.15">
      <c r="A3263" s="2">
        <f>HYPERLINK("https://open-school.uspishnemisto.com.ua/school/180174/", 180174)</f>
        <v>180174</v>
      </c>
      <c r="B3263" s="3" t="s">
        <v>17074</v>
      </c>
      <c r="C3263" s="3" t="s">
        <v>31</v>
      </c>
      <c r="D3263" s="3" t="s">
        <v>32</v>
      </c>
      <c r="E3263" s="4" t="s">
        <v>22</v>
      </c>
      <c r="F3263" s="4" t="s">
        <v>17075</v>
      </c>
      <c r="G3263" s="4" t="s">
        <v>17076</v>
      </c>
      <c r="H3263" s="3" t="s">
        <v>16292</v>
      </c>
      <c r="I3263" s="3" t="s">
        <v>17077</v>
      </c>
      <c r="J3263" s="3" t="s">
        <v>17078</v>
      </c>
      <c r="K3263" s="3" t="s">
        <v>17079</v>
      </c>
      <c r="L3263" s="3"/>
      <c r="M3263" s="4"/>
      <c r="N3263" s="3" t="s">
        <v>37</v>
      </c>
      <c r="O3263" s="3" t="s">
        <v>38</v>
      </c>
      <c r="P3263" s="5">
        <v>9</v>
      </c>
      <c r="Q3263" s="5">
        <v>101</v>
      </c>
      <c r="R3263" s="5">
        <v>11</v>
      </c>
      <c r="S3263" s="5">
        <v>110</v>
      </c>
    </row>
    <row r="3264" spans="1:19" ht="28" x14ac:dyDescent="0.15">
      <c r="A3264" s="2">
        <f>HYPERLINK("https://open-school.uspishnemisto.com.ua/school/180175/", 180175)</f>
        <v>180175</v>
      </c>
      <c r="B3264" s="3" t="s">
        <v>17080</v>
      </c>
      <c r="C3264" s="3" t="s">
        <v>31</v>
      </c>
      <c r="D3264" s="3" t="s">
        <v>175</v>
      </c>
      <c r="E3264" s="4" t="s">
        <v>22</v>
      </c>
      <c r="F3264" s="4" t="s">
        <v>17081</v>
      </c>
      <c r="G3264" s="4" t="s">
        <v>17082</v>
      </c>
      <c r="H3264" s="3" t="s">
        <v>16292</v>
      </c>
      <c r="I3264" s="3" t="s">
        <v>17083</v>
      </c>
      <c r="J3264" s="3" t="s">
        <v>17084</v>
      </c>
      <c r="K3264" s="3"/>
      <c r="L3264" s="3"/>
      <c r="M3264" s="4"/>
      <c r="N3264" s="3" t="s">
        <v>37</v>
      </c>
      <c r="O3264" s="3" t="s">
        <v>52</v>
      </c>
      <c r="P3264" s="5">
        <v>9</v>
      </c>
      <c r="Q3264" s="5">
        <v>64</v>
      </c>
      <c r="R3264" s="5">
        <v>9</v>
      </c>
      <c r="S3264" s="5">
        <v>68</v>
      </c>
    </row>
    <row r="3265" spans="1:19" ht="28" x14ac:dyDescent="0.15">
      <c r="A3265" s="2">
        <f>HYPERLINK("https://open-school.uspishnemisto.com.ua/school/180176/", 180176)</f>
        <v>180176</v>
      </c>
      <c r="B3265" s="3" t="s">
        <v>17085</v>
      </c>
      <c r="C3265" s="3" t="s">
        <v>31</v>
      </c>
      <c r="D3265" s="3" t="s">
        <v>32</v>
      </c>
      <c r="E3265" s="4" t="s">
        <v>22</v>
      </c>
      <c r="F3265" s="4" t="s">
        <v>17086</v>
      </c>
      <c r="G3265" s="4" t="s">
        <v>17087</v>
      </c>
      <c r="H3265" s="3" t="s">
        <v>16292</v>
      </c>
      <c r="I3265" s="3" t="s">
        <v>17088</v>
      </c>
      <c r="J3265" s="3" t="s">
        <v>17089</v>
      </c>
      <c r="K3265" s="3" t="s">
        <v>17090</v>
      </c>
      <c r="L3265" s="3"/>
      <c r="M3265" s="4"/>
      <c r="N3265" s="3" t="s">
        <v>37</v>
      </c>
      <c r="O3265" s="3" t="s">
        <v>52</v>
      </c>
      <c r="P3265" s="5">
        <v>8</v>
      </c>
      <c r="Q3265" s="5">
        <v>68</v>
      </c>
      <c r="R3265" s="5">
        <v>7</v>
      </c>
      <c r="S3265" s="5">
        <v>60</v>
      </c>
    </row>
    <row r="3266" spans="1:19" ht="28" x14ac:dyDescent="0.15">
      <c r="A3266" s="2">
        <f>HYPERLINK("https://open-school.uspishnemisto.com.ua/school/180177/", 180177)</f>
        <v>180177</v>
      </c>
      <c r="B3266" s="3" t="s">
        <v>17091</v>
      </c>
      <c r="C3266" s="3" t="s">
        <v>31</v>
      </c>
      <c r="D3266" s="3" t="s">
        <v>32</v>
      </c>
      <c r="E3266" s="4" t="s">
        <v>22</v>
      </c>
      <c r="F3266" s="4" t="s">
        <v>17092</v>
      </c>
      <c r="G3266" s="4" t="s">
        <v>17093</v>
      </c>
      <c r="H3266" s="3" t="s">
        <v>16292</v>
      </c>
      <c r="I3266" s="3" t="s">
        <v>17094</v>
      </c>
      <c r="J3266" s="3" t="s">
        <v>17095</v>
      </c>
      <c r="K3266" s="3" t="s">
        <v>17096</v>
      </c>
      <c r="L3266" s="3"/>
      <c r="M3266" s="4"/>
      <c r="N3266" s="3" t="s">
        <v>37</v>
      </c>
      <c r="O3266" s="3" t="s">
        <v>52</v>
      </c>
      <c r="P3266" s="5">
        <v>10</v>
      </c>
      <c r="Q3266" s="5">
        <v>90</v>
      </c>
      <c r="R3266" s="5">
        <v>11</v>
      </c>
      <c r="S3266" s="5">
        <v>92</v>
      </c>
    </row>
    <row r="3267" spans="1:19" ht="28" x14ac:dyDescent="0.15">
      <c r="A3267" s="2">
        <f>HYPERLINK("https://open-school.uspishnemisto.com.ua/school/180178/", 180178)</f>
        <v>180178</v>
      </c>
      <c r="B3267" s="3" t="s">
        <v>17097</v>
      </c>
      <c r="C3267" s="3" t="s">
        <v>40</v>
      </c>
      <c r="D3267" s="3" t="s">
        <v>32</v>
      </c>
      <c r="E3267" s="4" t="s">
        <v>22</v>
      </c>
      <c r="F3267" s="4" t="s">
        <v>17098</v>
      </c>
      <c r="G3267" s="4" t="s">
        <v>17099</v>
      </c>
      <c r="H3267" s="3" t="s">
        <v>16292</v>
      </c>
      <c r="I3267" s="3" t="s">
        <v>17100</v>
      </c>
      <c r="J3267" s="3" t="s">
        <v>17101</v>
      </c>
      <c r="K3267" s="3" t="s">
        <v>17102</v>
      </c>
      <c r="L3267" s="3"/>
      <c r="M3267" s="4"/>
      <c r="N3267" s="3" t="s">
        <v>37</v>
      </c>
      <c r="O3267" s="3" t="s">
        <v>38</v>
      </c>
      <c r="P3267" s="5">
        <v>15</v>
      </c>
      <c r="Q3267" s="5">
        <v>266</v>
      </c>
      <c r="R3267" s="5">
        <v>14</v>
      </c>
      <c r="S3267" s="5">
        <v>249</v>
      </c>
    </row>
    <row r="3268" spans="1:19" ht="28" x14ac:dyDescent="0.15">
      <c r="A3268" s="2">
        <f>HYPERLINK("https://open-school.uspishnemisto.com.ua/school/180179/", 180179)</f>
        <v>180179</v>
      </c>
      <c r="B3268" s="3" t="s">
        <v>17103</v>
      </c>
      <c r="C3268" s="3" t="s">
        <v>31</v>
      </c>
      <c r="D3268" s="3" t="s">
        <v>32</v>
      </c>
      <c r="E3268" s="4" t="s">
        <v>22</v>
      </c>
      <c r="F3268" s="4" t="s">
        <v>17104</v>
      </c>
      <c r="G3268" s="4" t="s">
        <v>17099</v>
      </c>
      <c r="H3268" s="3" t="s">
        <v>16292</v>
      </c>
      <c r="I3268" s="3" t="s">
        <v>17100</v>
      </c>
      <c r="J3268" s="3" t="s">
        <v>17105</v>
      </c>
      <c r="K3268" s="3"/>
      <c r="L3268" s="3"/>
      <c r="M3268" s="4"/>
      <c r="N3268" s="3" t="s">
        <v>37</v>
      </c>
      <c r="O3268" s="3" t="s">
        <v>38</v>
      </c>
      <c r="P3268" s="5">
        <v>20</v>
      </c>
      <c r="Q3268" s="5">
        <v>385</v>
      </c>
      <c r="R3268" s="5">
        <v>20</v>
      </c>
      <c r="S3268" s="5">
        <v>376</v>
      </c>
    </row>
    <row r="3269" spans="1:19" ht="42" x14ac:dyDescent="0.15">
      <c r="A3269" s="2">
        <f>HYPERLINK("https://open-school.uspishnemisto.com.ua/school/180182/", 180182)</f>
        <v>180182</v>
      </c>
      <c r="B3269" s="3" t="s">
        <v>17106</v>
      </c>
      <c r="C3269" s="3" t="s">
        <v>188</v>
      </c>
      <c r="D3269" s="3" t="s">
        <v>32</v>
      </c>
      <c r="E3269" s="4" t="s">
        <v>22</v>
      </c>
      <c r="F3269" s="4" t="s">
        <v>17107</v>
      </c>
      <c r="G3269" s="4" t="s">
        <v>17108</v>
      </c>
      <c r="H3269" s="3" t="s">
        <v>16292</v>
      </c>
      <c r="I3269" s="3" t="s">
        <v>17109</v>
      </c>
      <c r="J3269" s="3" t="s">
        <v>1807</v>
      </c>
      <c r="K3269" s="3" t="s">
        <v>17110</v>
      </c>
      <c r="L3269" s="3"/>
      <c r="M3269" s="4"/>
      <c r="N3269" s="3" t="s">
        <v>37</v>
      </c>
      <c r="O3269" s="3" t="s">
        <v>2740</v>
      </c>
      <c r="P3269" s="5">
        <v>11</v>
      </c>
      <c r="Q3269" s="5">
        <v>135</v>
      </c>
      <c r="R3269" s="5">
        <v>11</v>
      </c>
      <c r="S3269" s="5">
        <v>128</v>
      </c>
    </row>
    <row r="3270" spans="1:19" ht="28" x14ac:dyDescent="0.15">
      <c r="A3270" s="2">
        <f>HYPERLINK("https://open-school.uspishnemisto.com.ua/school/180181/", 180181)</f>
        <v>180181</v>
      </c>
      <c r="B3270" s="3" t="s">
        <v>17111</v>
      </c>
      <c r="C3270" s="3" t="s">
        <v>31</v>
      </c>
      <c r="D3270" s="3" t="s">
        <v>60</v>
      </c>
      <c r="E3270" s="4" t="s">
        <v>22</v>
      </c>
      <c r="F3270" s="4" t="s">
        <v>17112</v>
      </c>
      <c r="G3270" s="4" t="s">
        <v>17113</v>
      </c>
      <c r="H3270" s="3" t="s">
        <v>16292</v>
      </c>
      <c r="I3270" s="3" t="s">
        <v>17114</v>
      </c>
      <c r="J3270" s="3" t="s">
        <v>17115</v>
      </c>
      <c r="K3270" s="3" t="s">
        <v>17116</v>
      </c>
      <c r="L3270" s="3"/>
      <c r="M3270" s="4"/>
      <c r="N3270" s="3" t="s">
        <v>37</v>
      </c>
      <c r="O3270" s="3" t="s">
        <v>38</v>
      </c>
      <c r="P3270" s="5">
        <v>1</v>
      </c>
      <c r="Q3270" s="5">
        <v>16</v>
      </c>
      <c r="R3270" s="5">
        <v>1</v>
      </c>
      <c r="S3270" s="5">
        <v>12</v>
      </c>
    </row>
    <row r="3271" spans="1:19" ht="42" x14ac:dyDescent="0.15">
      <c r="A3271" s="2">
        <f>HYPERLINK("https://open-school.uspishnemisto.com.ua/school/180180/", 180180)</f>
        <v>180180</v>
      </c>
      <c r="B3271" s="3" t="s">
        <v>17117</v>
      </c>
      <c r="C3271" s="3" t="s">
        <v>54</v>
      </c>
      <c r="D3271" s="3" t="s">
        <v>32</v>
      </c>
      <c r="E3271" s="4" t="s">
        <v>22</v>
      </c>
      <c r="F3271" s="4" t="s">
        <v>17118</v>
      </c>
      <c r="G3271" s="4" t="s">
        <v>17119</v>
      </c>
      <c r="H3271" s="3" t="s">
        <v>16292</v>
      </c>
      <c r="I3271" s="3" t="s">
        <v>17120</v>
      </c>
      <c r="J3271" s="3" t="s">
        <v>17121</v>
      </c>
      <c r="K3271" s="3"/>
      <c r="L3271" s="3"/>
      <c r="M3271" s="4"/>
      <c r="N3271" s="3" t="s">
        <v>37</v>
      </c>
      <c r="O3271" s="3" t="s">
        <v>46</v>
      </c>
      <c r="P3271" s="5">
        <v>11</v>
      </c>
      <c r="Q3271" s="5">
        <v>102</v>
      </c>
      <c r="R3271" s="5">
        <v>11</v>
      </c>
      <c r="S3271" s="5">
        <v>100</v>
      </c>
    </row>
    <row r="3272" spans="1:19" ht="28" x14ac:dyDescent="0.15">
      <c r="A3272" s="2">
        <f>HYPERLINK("https://open-school.uspishnemisto.com.ua/school/180183/", 180183)</f>
        <v>180183</v>
      </c>
      <c r="B3272" s="3" t="s">
        <v>17122</v>
      </c>
      <c r="C3272" s="3" t="s">
        <v>31</v>
      </c>
      <c r="D3272" s="3" t="s">
        <v>32</v>
      </c>
      <c r="E3272" s="4" t="s">
        <v>22</v>
      </c>
      <c r="F3272" s="4" t="s">
        <v>17123</v>
      </c>
      <c r="G3272" s="4" t="s">
        <v>17124</v>
      </c>
      <c r="H3272" s="3" t="s">
        <v>16292</v>
      </c>
      <c r="I3272" s="3" t="s">
        <v>2718</v>
      </c>
      <c r="J3272" s="3" t="s">
        <v>15380</v>
      </c>
      <c r="K3272" s="3" t="s">
        <v>17125</v>
      </c>
      <c r="L3272" s="3"/>
      <c r="M3272" s="4"/>
      <c r="N3272" s="3" t="s">
        <v>37</v>
      </c>
      <c r="O3272" s="3" t="s">
        <v>618</v>
      </c>
      <c r="P3272" s="5">
        <v>11</v>
      </c>
      <c r="Q3272" s="5">
        <v>124</v>
      </c>
      <c r="R3272" s="5">
        <v>11</v>
      </c>
      <c r="S3272" s="5">
        <v>122</v>
      </c>
    </row>
    <row r="3273" spans="1:19" ht="56" x14ac:dyDescent="0.15">
      <c r="A3273" s="2">
        <f>HYPERLINK("https://open-school.uspishnemisto.com.ua/school/180184/", 180184)</f>
        <v>180184</v>
      </c>
      <c r="B3273" s="3" t="s">
        <v>17126</v>
      </c>
      <c r="C3273" s="3" t="s">
        <v>31</v>
      </c>
      <c r="D3273" s="3" t="s">
        <v>60</v>
      </c>
      <c r="E3273" s="4" t="s">
        <v>22</v>
      </c>
      <c r="F3273" s="4" t="s">
        <v>17127</v>
      </c>
      <c r="G3273" s="4" t="s">
        <v>17128</v>
      </c>
      <c r="H3273" s="3" t="s">
        <v>16292</v>
      </c>
      <c r="I3273" s="3" t="s">
        <v>17129</v>
      </c>
      <c r="J3273" s="3" t="s">
        <v>17130</v>
      </c>
      <c r="K3273" s="3" t="s">
        <v>17131</v>
      </c>
      <c r="L3273" s="3"/>
      <c r="M3273" s="4"/>
      <c r="N3273" s="3" t="s">
        <v>37</v>
      </c>
      <c r="O3273" s="3" t="s">
        <v>38</v>
      </c>
      <c r="P3273" s="5">
        <v>2</v>
      </c>
      <c r="Q3273" s="5">
        <v>10</v>
      </c>
      <c r="R3273" s="5">
        <v>4</v>
      </c>
      <c r="S3273" s="5">
        <v>35</v>
      </c>
    </row>
    <row r="3274" spans="1:19" ht="28" x14ac:dyDescent="0.15">
      <c r="A3274" s="2">
        <f>HYPERLINK("https://open-school.uspishnemisto.com.ua/school/180185/", 180185)</f>
        <v>180185</v>
      </c>
      <c r="B3274" s="3" t="s">
        <v>17132</v>
      </c>
      <c r="C3274" s="3" t="s">
        <v>31</v>
      </c>
      <c r="D3274" s="3" t="s">
        <v>32</v>
      </c>
      <c r="E3274" s="4" t="s">
        <v>22</v>
      </c>
      <c r="F3274" s="4" t="s">
        <v>17133</v>
      </c>
      <c r="G3274" s="4" t="s">
        <v>17134</v>
      </c>
      <c r="H3274" s="3" t="s">
        <v>16292</v>
      </c>
      <c r="I3274" s="3" t="s">
        <v>17135</v>
      </c>
      <c r="J3274" s="3" t="s">
        <v>17136</v>
      </c>
      <c r="K3274" s="3" t="s">
        <v>17137</v>
      </c>
      <c r="L3274" s="3"/>
      <c r="M3274" s="4"/>
      <c r="N3274" s="3" t="s">
        <v>37</v>
      </c>
      <c r="O3274" s="3" t="s">
        <v>52</v>
      </c>
      <c r="P3274" s="5">
        <v>9</v>
      </c>
      <c r="Q3274" s="5">
        <v>54</v>
      </c>
      <c r="R3274" s="5">
        <v>8</v>
      </c>
      <c r="S3274" s="5">
        <v>51</v>
      </c>
    </row>
    <row r="3275" spans="1:19" ht="42" x14ac:dyDescent="0.15">
      <c r="A3275" s="2">
        <f>HYPERLINK("https://open-school.uspishnemisto.com.ua/school/180186/", 180186)</f>
        <v>180186</v>
      </c>
      <c r="B3275" s="3" t="s">
        <v>17138</v>
      </c>
      <c r="C3275" s="3" t="s">
        <v>54</v>
      </c>
      <c r="D3275" s="3" t="s">
        <v>32</v>
      </c>
      <c r="E3275" s="4" t="s">
        <v>22</v>
      </c>
      <c r="F3275" s="4" t="s">
        <v>17139</v>
      </c>
      <c r="G3275" s="4" t="s">
        <v>17140</v>
      </c>
      <c r="H3275" s="3" t="s">
        <v>16292</v>
      </c>
      <c r="I3275" s="3" t="s">
        <v>5942</v>
      </c>
      <c r="J3275" s="3" t="s">
        <v>17141</v>
      </c>
      <c r="K3275" s="3" t="s">
        <v>17142</v>
      </c>
      <c r="L3275" s="3"/>
      <c r="M3275" s="4"/>
      <c r="N3275" s="3" t="s">
        <v>37</v>
      </c>
      <c r="O3275" s="3" t="s">
        <v>38</v>
      </c>
      <c r="P3275" s="5">
        <v>6</v>
      </c>
      <c r="Q3275" s="5">
        <v>56</v>
      </c>
      <c r="R3275" s="5">
        <v>8</v>
      </c>
      <c r="S3275" s="5">
        <v>59</v>
      </c>
    </row>
    <row r="3276" spans="1:19" ht="28" x14ac:dyDescent="0.15">
      <c r="A3276" s="2">
        <f>HYPERLINK("https://open-school.uspishnemisto.com.ua/school/180187/", 180187)</f>
        <v>180187</v>
      </c>
      <c r="B3276" s="3" t="s">
        <v>17143</v>
      </c>
      <c r="C3276" s="3" t="s">
        <v>31</v>
      </c>
      <c r="D3276" s="3" t="s">
        <v>32</v>
      </c>
      <c r="E3276" s="4" t="s">
        <v>22</v>
      </c>
      <c r="F3276" s="4" t="s">
        <v>17144</v>
      </c>
      <c r="G3276" s="4" t="s">
        <v>17145</v>
      </c>
      <c r="H3276" s="3" t="s">
        <v>16292</v>
      </c>
      <c r="I3276" s="3" t="s">
        <v>17146</v>
      </c>
      <c r="J3276" s="3" t="s">
        <v>17147</v>
      </c>
      <c r="K3276" s="3" t="s">
        <v>17148</v>
      </c>
      <c r="L3276" s="3" t="s">
        <v>17149</v>
      </c>
      <c r="M3276" s="4"/>
      <c r="N3276" s="3" t="s">
        <v>37</v>
      </c>
      <c r="O3276" s="3" t="s">
        <v>70</v>
      </c>
      <c r="P3276" s="5">
        <v>11</v>
      </c>
      <c r="Q3276" s="5">
        <v>104</v>
      </c>
      <c r="R3276" s="5">
        <v>10</v>
      </c>
      <c r="S3276" s="5">
        <v>100</v>
      </c>
    </row>
    <row r="3277" spans="1:19" ht="28" x14ac:dyDescent="0.15">
      <c r="A3277" s="2">
        <f>HYPERLINK("https://open-school.uspishnemisto.com.ua/school/180188/", 180188)</f>
        <v>180188</v>
      </c>
      <c r="B3277" s="3" t="s">
        <v>17150</v>
      </c>
      <c r="C3277" s="3" t="s">
        <v>31</v>
      </c>
      <c r="D3277" s="3" t="s">
        <v>60</v>
      </c>
      <c r="E3277" s="4" t="s">
        <v>22</v>
      </c>
      <c r="F3277" s="4" t="s">
        <v>17151</v>
      </c>
      <c r="G3277" s="4" t="s">
        <v>17152</v>
      </c>
      <c r="H3277" s="3" t="s">
        <v>16292</v>
      </c>
      <c r="I3277" s="3" t="s">
        <v>17153</v>
      </c>
      <c r="J3277" s="3" t="s">
        <v>17154</v>
      </c>
      <c r="K3277" s="3" t="s">
        <v>17155</v>
      </c>
      <c r="L3277" s="3"/>
      <c r="M3277" s="4"/>
      <c r="N3277" s="3" t="s">
        <v>37</v>
      </c>
      <c r="O3277" s="3" t="s">
        <v>52</v>
      </c>
      <c r="P3277" s="5">
        <v>2</v>
      </c>
      <c r="Q3277" s="5">
        <v>12</v>
      </c>
      <c r="R3277" s="5">
        <v>2</v>
      </c>
      <c r="S3277" s="5">
        <v>31</v>
      </c>
    </row>
    <row r="3278" spans="1:19" ht="28" x14ac:dyDescent="0.15">
      <c r="A3278" s="2">
        <f>HYPERLINK("https://open-school.uspishnemisto.com.ua/school/180189/", 180189)</f>
        <v>180189</v>
      </c>
      <c r="B3278" s="3" t="s">
        <v>17156</v>
      </c>
      <c r="C3278" s="3" t="s">
        <v>31</v>
      </c>
      <c r="D3278" s="3" t="s">
        <v>60</v>
      </c>
      <c r="E3278" s="4" t="s">
        <v>22</v>
      </c>
      <c r="F3278" s="4" t="s">
        <v>17157</v>
      </c>
      <c r="G3278" s="4" t="s">
        <v>17158</v>
      </c>
      <c r="H3278" s="3" t="s">
        <v>16292</v>
      </c>
      <c r="I3278" s="3" t="s">
        <v>17159</v>
      </c>
      <c r="J3278" s="3" t="s">
        <v>4089</v>
      </c>
      <c r="K3278" s="3" t="s">
        <v>17160</v>
      </c>
      <c r="L3278" s="3"/>
      <c r="M3278" s="4"/>
      <c r="N3278" s="3" t="s">
        <v>37</v>
      </c>
      <c r="O3278" s="3" t="s">
        <v>52</v>
      </c>
      <c r="P3278" s="5">
        <v>0</v>
      </c>
      <c r="Q3278" s="5">
        <v>3</v>
      </c>
      <c r="R3278" s="5">
        <v>0</v>
      </c>
      <c r="S3278" s="5">
        <v>8</v>
      </c>
    </row>
    <row r="3279" spans="1:19" ht="28" x14ac:dyDescent="0.15">
      <c r="A3279" s="2">
        <f>HYPERLINK("https://open-school.uspishnemisto.com.ua/school/180190/", 180190)</f>
        <v>180190</v>
      </c>
      <c r="B3279" s="3" t="s">
        <v>17161</v>
      </c>
      <c r="C3279" s="3" t="s">
        <v>31</v>
      </c>
      <c r="D3279" s="3" t="s">
        <v>32</v>
      </c>
      <c r="E3279" s="4" t="s">
        <v>22</v>
      </c>
      <c r="F3279" s="4" t="s">
        <v>17162</v>
      </c>
      <c r="G3279" s="4" t="s">
        <v>17163</v>
      </c>
      <c r="H3279" s="3" t="s">
        <v>16292</v>
      </c>
      <c r="I3279" s="3" t="s">
        <v>17164</v>
      </c>
      <c r="J3279" s="3" t="s">
        <v>3146</v>
      </c>
      <c r="K3279" s="3" t="s">
        <v>17165</v>
      </c>
      <c r="L3279" s="3"/>
      <c r="M3279" s="4"/>
      <c r="N3279" s="3" t="s">
        <v>37</v>
      </c>
      <c r="O3279" s="3" t="s">
        <v>38</v>
      </c>
      <c r="P3279" s="5">
        <v>11</v>
      </c>
      <c r="Q3279" s="5">
        <v>123</v>
      </c>
      <c r="R3279" s="5">
        <v>9</v>
      </c>
      <c r="S3279" s="5">
        <v>112</v>
      </c>
    </row>
    <row r="3280" spans="1:19" ht="28" x14ac:dyDescent="0.15">
      <c r="A3280" s="2">
        <f>HYPERLINK("https://open-school.uspishnemisto.com.ua/school/180191/", 180191)</f>
        <v>180191</v>
      </c>
      <c r="B3280" s="3" t="s">
        <v>17166</v>
      </c>
      <c r="C3280" s="3" t="s">
        <v>31</v>
      </c>
      <c r="D3280" s="3" t="s">
        <v>32</v>
      </c>
      <c r="E3280" s="4" t="s">
        <v>22</v>
      </c>
      <c r="F3280" s="4" t="s">
        <v>17167</v>
      </c>
      <c r="G3280" s="4" t="s">
        <v>17168</v>
      </c>
      <c r="H3280" s="3" t="s">
        <v>16292</v>
      </c>
      <c r="I3280" s="3" t="s">
        <v>17169</v>
      </c>
      <c r="J3280" s="3" t="s">
        <v>17170</v>
      </c>
      <c r="K3280" s="3" t="s">
        <v>17171</v>
      </c>
      <c r="L3280" s="3" t="s">
        <v>17172</v>
      </c>
      <c r="M3280" s="4"/>
      <c r="N3280" s="3" t="s">
        <v>37</v>
      </c>
      <c r="O3280" s="3" t="s">
        <v>70</v>
      </c>
      <c r="P3280" s="5">
        <v>10</v>
      </c>
      <c r="Q3280" s="5">
        <v>80</v>
      </c>
      <c r="R3280" s="5">
        <v>10</v>
      </c>
      <c r="S3280" s="5">
        <v>83</v>
      </c>
    </row>
    <row r="3281" spans="1:19" ht="28" x14ac:dyDescent="0.15">
      <c r="A3281" s="2">
        <f>HYPERLINK("https://open-school.uspishnemisto.com.ua/school/180192/", 180192)</f>
        <v>180192</v>
      </c>
      <c r="B3281" s="3" t="s">
        <v>17173</v>
      </c>
      <c r="C3281" s="3" t="s">
        <v>31</v>
      </c>
      <c r="D3281" s="3" t="s">
        <v>60</v>
      </c>
      <c r="E3281" s="4" t="s">
        <v>22</v>
      </c>
      <c r="F3281" s="4" t="s">
        <v>17174</v>
      </c>
      <c r="G3281" s="4" t="s">
        <v>17175</v>
      </c>
      <c r="H3281" s="3" t="s">
        <v>16292</v>
      </c>
      <c r="I3281" s="3" t="s">
        <v>1684</v>
      </c>
      <c r="J3281" s="3" t="s">
        <v>17176</v>
      </c>
      <c r="K3281" s="3"/>
      <c r="L3281" s="3"/>
      <c r="M3281" s="4"/>
      <c r="N3281" s="3" t="s">
        <v>37</v>
      </c>
      <c r="O3281" s="3" t="s">
        <v>52</v>
      </c>
      <c r="P3281" s="5">
        <v>3</v>
      </c>
      <c r="Q3281" s="5">
        <v>18</v>
      </c>
      <c r="R3281" s="5">
        <v>3</v>
      </c>
      <c r="S3281" s="5">
        <v>22</v>
      </c>
    </row>
    <row r="3282" spans="1:19" ht="28" x14ac:dyDescent="0.15">
      <c r="A3282" s="2">
        <f>HYPERLINK("https://open-school.uspishnemisto.com.ua/school/180193/", 180193)</f>
        <v>180193</v>
      </c>
      <c r="B3282" s="3" t="s">
        <v>17177</v>
      </c>
      <c r="C3282" s="3" t="s">
        <v>31</v>
      </c>
      <c r="D3282" s="3" t="s">
        <v>32</v>
      </c>
      <c r="E3282" s="4" t="s">
        <v>22</v>
      </c>
      <c r="F3282" s="4" t="s">
        <v>17178</v>
      </c>
      <c r="G3282" s="4" t="s">
        <v>17179</v>
      </c>
      <c r="H3282" s="3" t="s">
        <v>16292</v>
      </c>
      <c r="I3282" s="3" t="s">
        <v>17180</v>
      </c>
      <c r="J3282" s="3" t="s">
        <v>5632</v>
      </c>
      <c r="K3282" s="3" t="s">
        <v>17181</v>
      </c>
      <c r="L3282" s="3"/>
      <c r="M3282" s="4"/>
      <c r="N3282" s="3" t="s">
        <v>37</v>
      </c>
      <c r="O3282" s="3" t="s">
        <v>38</v>
      </c>
      <c r="P3282" s="5">
        <v>11</v>
      </c>
      <c r="Q3282" s="5">
        <v>137</v>
      </c>
      <c r="R3282" s="5">
        <v>11</v>
      </c>
      <c r="S3282" s="5">
        <v>130</v>
      </c>
    </row>
    <row r="3283" spans="1:19" ht="28" x14ac:dyDescent="0.15">
      <c r="A3283" s="2">
        <f>HYPERLINK("https://open-school.uspishnemisto.com.ua/school/180194/", 180194)</f>
        <v>180194</v>
      </c>
      <c r="B3283" s="3" t="s">
        <v>17182</v>
      </c>
      <c r="C3283" s="3" t="s">
        <v>40</v>
      </c>
      <c r="D3283" s="3" t="s">
        <v>32</v>
      </c>
      <c r="E3283" s="4" t="s">
        <v>22</v>
      </c>
      <c r="F3283" s="4" t="s">
        <v>17183</v>
      </c>
      <c r="G3283" s="4" t="s">
        <v>17184</v>
      </c>
      <c r="H3283" s="3" t="s">
        <v>16292</v>
      </c>
      <c r="I3283" s="3" t="s">
        <v>17185</v>
      </c>
      <c r="J3283" s="3" t="s">
        <v>17186</v>
      </c>
      <c r="K3283" s="3" t="s">
        <v>17187</v>
      </c>
      <c r="L3283" s="3"/>
      <c r="M3283" s="4" t="s">
        <v>17188</v>
      </c>
      <c r="N3283" s="3" t="s">
        <v>37</v>
      </c>
      <c r="O3283" s="3" t="s">
        <v>70</v>
      </c>
      <c r="P3283" s="5">
        <v>32</v>
      </c>
      <c r="Q3283" s="5">
        <v>613</v>
      </c>
      <c r="R3283" s="5">
        <v>24</v>
      </c>
      <c r="S3283" s="5">
        <v>568</v>
      </c>
    </row>
    <row r="3284" spans="1:19" ht="42" x14ac:dyDescent="0.15">
      <c r="A3284" s="2">
        <f>HYPERLINK("https://open-school.uspishnemisto.com.ua/school/180195/", 180195)</f>
        <v>180195</v>
      </c>
      <c r="B3284" s="3" t="s">
        <v>17189</v>
      </c>
      <c r="C3284" s="3" t="s">
        <v>54</v>
      </c>
      <c r="D3284" s="3" t="s">
        <v>32</v>
      </c>
      <c r="E3284" s="4" t="s">
        <v>22</v>
      </c>
      <c r="F3284" s="4" t="s">
        <v>17190</v>
      </c>
      <c r="G3284" s="4" t="s">
        <v>17184</v>
      </c>
      <c r="H3284" s="3" t="s">
        <v>16292</v>
      </c>
      <c r="I3284" s="3" t="s">
        <v>17185</v>
      </c>
      <c r="J3284" s="3" t="s">
        <v>17191</v>
      </c>
      <c r="K3284" s="3" t="s">
        <v>17192</v>
      </c>
      <c r="L3284" s="3"/>
      <c r="M3284" s="4" t="s">
        <v>17193</v>
      </c>
      <c r="N3284" s="3" t="s">
        <v>37</v>
      </c>
      <c r="O3284" s="3" t="s">
        <v>70</v>
      </c>
      <c r="P3284" s="5">
        <v>20</v>
      </c>
      <c r="Q3284" s="5">
        <v>383</v>
      </c>
      <c r="R3284" s="5">
        <v>20</v>
      </c>
      <c r="S3284" s="5">
        <v>348</v>
      </c>
    </row>
    <row r="3285" spans="1:19" ht="42" x14ac:dyDescent="0.15">
      <c r="A3285" s="2">
        <f>HYPERLINK("https://open-school.uspishnemisto.com.ua/school/180196/", 180196)</f>
        <v>180196</v>
      </c>
      <c r="B3285" s="3" t="s">
        <v>17194</v>
      </c>
      <c r="C3285" s="3" t="s">
        <v>54</v>
      </c>
      <c r="D3285" s="3" t="s">
        <v>32</v>
      </c>
      <c r="E3285" s="4" t="s">
        <v>22</v>
      </c>
      <c r="F3285" s="4" t="s">
        <v>17195</v>
      </c>
      <c r="G3285" s="4" t="s">
        <v>17196</v>
      </c>
      <c r="H3285" s="3" t="s">
        <v>16292</v>
      </c>
      <c r="I3285" s="3" t="s">
        <v>17197</v>
      </c>
      <c r="J3285" s="3" t="s">
        <v>5029</v>
      </c>
      <c r="K3285" s="3" t="s">
        <v>17198</v>
      </c>
      <c r="L3285" s="3"/>
      <c r="M3285" s="4" t="s">
        <v>17199</v>
      </c>
      <c r="N3285" s="3" t="s">
        <v>37</v>
      </c>
      <c r="O3285" s="3" t="s">
        <v>38</v>
      </c>
      <c r="P3285" s="5">
        <v>34</v>
      </c>
      <c r="Q3285" s="5">
        <v>773</v>
      </c>
      <c r="R3285" s="5">
        <v>35</v>
      </c>
      <c r="S3285" s="5">
        <v>779</v>
      </c>
    </row>
    <row r="3286" spans="1:19" ht="28" x14ac:dyDescent="0.15">
      <c r="A3286" s="2">
        <f>HYPERLINK("https://open-school.uspishnemisto.com.ua/school/180197/", 180197)</f>
        <v>180197</v>
      </c>
      <c r="B3286" s="3" t="s">
        <v>17200</v>
      </c>
      <c r="C3286" s="3" t="s">
        <v>40</v>
      </c>
      <c r="D3286" s="3" t="s">
        <v>32</v>
      </c>
      <c r="E3286" s="4" t="s">
        <v>22</v>
      </c>
      <c r="F3286" s="4" t="s">
        <v>17201</v>
      </c>
      <c r="G3286" s="4" t="s">
        <v>17202</v>
      </c>
      <c r="H3286" s="3" t="s">
        <v>16292</v>
      </c>
      <c r="I3286" s="3" t="s">
        <v>17203</v>
      </c>
      <c r="J3286" s="3" t="s">
        <v>792</v>
      </c>
      <c r="K3286" s="3" t="s">
        <v>17204</v>
      </c>
      <c r="L3286" s="3"/>
      <c r="M3286" s="4" t="s">
        <v>17205</v>
      </c>
      <c r="N3286" s="3" t="s">
        <v>37</v>
      </c>
      <c r="O3286" s="3" t="s">
        <v>38</v>
      </c>
      <c r="P3286" s="5">
        <v>17</v>
      </c>
      <c r="Q3286" s="5">
        <v>347</v>
      </c>
      <c r="R3286" s="5">
        <v>17</v>
      </c>
      <c r="S3286" s="5">
        <v>348</v>
      </c>
    </row>
    <row r="3287" spans="1:19" ht="28" x14ac:dyDescent="0.15">
      <c r="A3287" s="2">
        <f>HYPERLINK("https://open-school.uspishnemisto.com.ua/school/180198/", 180198)</f>
        <v>180198</v>
      </c>
      <c r="B3287" s="3" t="s">
        <v>17206</v>
      </c>
      <c r="C3287" s="3" t="s">
        <v>188</v>
      </c>
      <c r="D3287" s="3" t="s">
        <v>32</v>
      </c>
      <c r="E3287" s="4" t="s">
        <v>22</v>
      </c>
      <c r="F3287" s="4" t="s">
        <v>17201</v>
      </c>
      <c r="G3287" s="4" t="s">
        <v>17202</v>
      </c>
      <c r="H3287" s="3" t="s">
        <v>16292</v>
      </c>
      <c r="I3287" s="3" t="s">
        <v>17203</v>
      </c>
      <c r="J3287" s="3" t="s">
        <v>17207</v>
      </c>
      <c r="K3287" s="3" t="s">
        <v>17208</v>
      </c>
      <c r="L3287" s="3"/>
      <c r="M3287" s="4" t="s">
        <v>17209</v>
      </c>
      <c r="N3287" s="3" t="s">
        <v>37</v>
      </c>
      <c r="O3287" s="3" t="s">
        <v>38</v>
      </c>
      <c r="P3287" s="5">
        <v>21</v>
      </c>
      <c r="Q3287" s="5">
        <v>396</v>
      </c>
      <c r="R3287" s="5">
        <v>21</v>
      </c>
      <c r="S3287" s="5">
        <v>403</v>
      </c>
    </row>
    <row r="3288" spans="1:19" ht="28" x14ac:dyDescent="0.15">
      <c r="A3288" s="2">
        <f>HYPERLINK("https://open-school.uspishnemisto.com.ua/school/180199/", 180199)</f>
        <v>180199</v>
      </c>
      <c r="B3288" s="3" t="s">
        <v>17210</v>
      </c>
      <c r="C3288" s="3" t="s">
        <v>31</v>
      </c>
      <c r="D3288" s="3" t="s">
        <v>32</v>
      </c>
      <c r="E3288" s="4" t="s">
        <v>22</v>
      </c>
      <c r="F3288" s="4" t="s">
        <v>17211</v>
      </c>
      <c r="G3288" s="4" t="s">
        <v>17212</v>
      </c>
      <c r="H3288" s="3" t="s">
        <v>16292</v>
      </c>
      <c r="I3288" s="3" t="s">
        <v>17213</v>
      </c>
      <c r="J3288" s="3" t="s">
        <v>17214</v>
      </c>
      <c r="K3288" s="3" t="s">
        <v>17215</v>
      </c>
      <c r="L3288" s="3"/>
      <c r="M3288" s="4"/>
      <c r="N3288" s="3" t="s">
        <v>37</v>
      </c>
      <c r="O3288" s="3" t="s">
        <v>70</v>
      </c>
      <c r="P3288" s="5">
        <v>8</v>
      </c>
      <c r="Q3288" s="5">
        <v>68</v>
      </c>
      <c r="R3288" s="5">
        <v>9</v>
      </c>
      <c r="S3288" s="5">
        <v>66</v>
      </c>
    </row>
    <row r="3289" spans="1:19" ht="42" x14ac:dyDescent="0.15">
      <c r="A3289" s="2">
        <f>HYPERLINK("https://open-school.uspishnemisto.com.ua/school/180200/", 180200)</f>
        <v>180200</v>
      </c>
      <c r="B3289" s="3" t="s">
        <v>17216</v>
      </c>
      <c r="C3289" s="3" t="s">
        <v>54</v>
      </c>
      <c r="D3289" s="3" t="s">
        <v>175</v>
      </c>
      <c r="E3289" s="4" t="s">
        <v>22</v>
      </c>
      <c r="F3289" s="4" t="s">
        <v>17217</v>
      </c>
      <c r="G3289" s="4" t="s">
        <v>17218</v>
      </c>
      <c r="H3289" s="3" t="s">
        <v>16292</v>
      </c>
      <c r="I3289" s="3" t="s">
        <v>17219</v>
      </c>
      <c r="J3289" s="3" t="s">
        <v>2139</v>
      </c>
      <c r="K3289" s="3" t="s">
        <v>17220</v>
      </c>
      <c r="L3289" s="3"/>
      <c r="M3289" s="4"/>
      <c r="N3289" s="3" t="s">
        <v>37</v>
      </c>
      <c r="O3289" s="3" t="s">
        <v>112</v>
      </c>
      <c r="P3289" s="5">
        <v>8</v>
      </c>
      <c r="Q3289" s="5">
        <v>72</v>
      </c>
      <c r="R3289" s="5">
        <v>9</v>
      </c>
      <c r="S3289" s="5">
        <v>75</v>
      </c>
    </row>
    <row r="3290" spans="1:19" ht="28" x14ac:dyDescent="0.15">
      <c r="A3290" s="2">
        <f>HYPERLINK("https://open-school.uspishnemisto.com.ua/school/180201/", 180201)</f>
        <v>180201</v>
      </c>
      <c r="B3290" s="3" t="s">
        <v>17221</v>
      </c>
      <c r="C3290" s="3" t="s">
        <v>31</v>
      </c>
      <c r="D3290" s="3" t="s">
        <v>175</v>
      </c>
      <c r="E3290" s="4" t="s">
        <v>22</v>
      </c>
      <c r="F3290" s="4" t="s">
        <v>17222</v>
      </c>
      <c r="G3290" s="4" t="s">
        <v>17223</v>
      </c>
      <c r="H3290" s="3" t="s">
        <v>16292</v>
      </c>
      <c r="I3290" s="3" t="s">
        <v>17224</v>
      </c>
      <c r="J3290" s="3" t="s">
        <v>17225</v>
      </c>
      <c r="K3290" s="3" t="s">
        <v>17226</v>
      </c>
      <c r="L3290" s="3"/>
      <c r="M3290" s="4"/>
      <c r="N3290" s="3" t="s">
        <v>37</v>
      </c>
      <c r="O3290" s="3" t="s">
        <v>46</v>
      </c>
      <c r="P3290" s="5">
        <v>0</v>
      </c>
      <c r="Q3290" s="5">
        <v>0</v>
      </c>
      <c r="R3290" s="5">
        <v>7</v>
      </c>
      <c r="S3290" s="5">
        <v>44</v>
      </c>
    </row>
    <row r="3291" spans="1:19" ht="28" x14ac:dyDescent="0.15">
      <c r="A3291" s="2">
        <f>HYPERLINK("https://open-school.uspishnemisto.com.ua/school/180202/", 180202)</f>
        <v>180202</v>
      </c>
      <c r="B3291" s="3" t="s">
        <v>17227</v>
      </c>
      <c r="C3291" s="3" t="s">
        <v>31</v>
      </c>
      <c r="D3291" s="3" t="s">
        <v>175</v>
      </c>
      <c r="E3291" s="4" t="s">
        <v>22</v>
      </c>
      <c r="F3291" s="4" t="s">
        <v>17228</v>
      </c>
      <c r="G3291" s="4" t="s">
        <v>17229</v>
      </c>
      <c r="H3291" s="3" t="s">
        <v>16292</v>
      </c>
      <c r="I3291" s="3" t="s">
        <v>17230</v>
      </c>
      <c r="J3291" s="3" t="s">
        <v>17231</v>
      </c>
      <c r="K3291" s="3" t="s">
        <v>17232</v>
      </c>
      <c r="L3291" s="3"/>
      <c r="M3291" s="4"/>
      <c r="N3291" s="3" t="s">
        <v>37</v>
      </c>
      <c r="O3291" s="3" t="s">
        <v>70</v>
      </c>
      <c r="P3291" s="5">
        <v>9</v>
      </c>
      <c r="Q3291" s="5">
        <v>81</v>
      </c>
      <c r="R3291" s="5">
        <v>9</v>
      </c>
      <c r="S3291" s="5">
        <v>91</v>
      </c>
    </row>
    <row r="3292" spans="1:19" ht="42" x14ac:dyDescent="0.15">
      <c r="A3292" s="2">
        <f>HYPERLINK("https://open-school.uspishnemisto.com.ua/school/180203/", 180203)</f>
        <v>180203</v>
      </c>
      <c r="B3292" s="3" t="s">
        <v>17233</v>
      </c>
      <c r="C3292" s="3" t="s">
        <v>31</v>
      </c>
      <c r="D3292" s="3" t="s">
        <v>32</v>
      </c>
      <c r="E3292" s="4" t="s">
        <v>22</v>
      </c>
      <c r="F3292" s="4" t="s">
        <v>17234</v>
      </c>
      <c r="G3292" s="4" t="s">
        <v>17235</v>
      </c>
      <c r="H3292" s="3" t="s">
        <v>16292</v>
      </c>
      <c r="I3292" s="3" t="s">
        <v>17236</v>
      </c>
      <c r="J3292" s="3" t="s">
        <v>17237</v>
      </c>
      <c r="K3292" s="3" t="s">
        <v>17238</v>
      </c>
      <c r="L3292" s="3"/>
      <c r="M3292" s="4" t="s">
        <v>17239</v>
      </c>
      <c r="N3292" s="3" t="s">
        <v>37</v>
      </c>
      <c r="O3292" s="3" t="s">
        <v>70</v>
      </c>
      <c r="P3292" s="5">
        <v>8</v>
      </c>
      <c r="Q3292" s="5">
        <v>57</v>
      </c>
      <c r="R3292" s="5">
        <v>10</v>
      </c>
      <c r="S3292" s="5">
        <v>58</v>
      </c>
    </row>
    <row r="3293" spans="1:19" ht="28" x14ac:dyDescent="0.15">
      <c r="A3293" s="2">
        <f>HYPERLINK("https://open-school.uspishnemisto.com.ua/school/180204/", 180204)</f>
        <v>180204</v>
      </c>
      <c r="B3293" s="3" t="s">
        <v>17240</v>
      </c>
      <c r="C3293" s="3" t="s">
        <v>31</v>
      </c>
      <c r="D3293" s="3" t="s">
        <v>32</v>
      </c>
      <c r="E3293" s="4" t="s">
        <v>22</v>
      </c>
      <c r="F3293" s="4" t="s">
        <v>17241</v>
      </c>
      <c r="G3293" s="4" t="s">
        <v>17242</v>
      </c>
      <c r="H3293" s="3" t="s">
        <v>16292</v>
      </c>
      <c r="I3293" s="3" t="s">
        <v>17243</v>
      </c>
      <c r="J3293" s="3" t="s">
        <v>16187</v>
      </c>
      <c r="K3293" s="3" t="s">
        <v>17244</v>
      </c>
      <c r="L3293" s="3"/>
      <c r="M3293" s="4"/>
      <c r="N3293" s="3" t="s">
        <v>37</v>
      </c>
      <c r="O3293" s="3" t="s">
        <v>112</v>
      </c>
      <c r="P3293" s="5">
        <v>11</v>
      </c>
      <c r="Q3293" s="5">
        <v>121</v>
      </c>
      <c r="R3293" s="5">
        <v>11</v>
      </c>
      <c r="S3293" s="5">
        <v>125</v>
      </c>
    </row>
    <row r="3294" spans="1:19" ht="42" x14ac:dyDescent="0.15">
      <c r="A3294" s="2">
        <f>HYPERLINK("https://open-school.uspishnemisto.com.ua/school/180205/", 180205)</f>
        <v>180205</v>
      </c>
      <c r="B3294" s="3" t="s">
        <v>17245</v>
      </c>
      <c r="C3294" s="3" t="s">
        <v>54</v>
      </c>
      <c r="D3294" s="3" t="s">
        <v>32</v>
      </c>
      <c r="E3294" s="4" t="s">
        <v>22</v>
      </c>
      <c r="F3294" s="4" t="s">
        <v>17246</v>
      </c>
      <c r="G3294" s="4" t="s">
        <v>17247</v>
      </c>
      <c r="H3294" s="3" t="s">
        <v>16292</v>
      </c>
      <c r="I3294" s="3" t="s">
        <v>17248</v>
      </c>
      <c r="J3294" s="3" t="s">
        <v>17249</v>
      </c>
      <c r="K3294" s="3" t="s">
        <v>17250</v>
      </c>
      <c r="L3294" s="3" t="s">
        <v>17251</v>
      </c>
      <c r="M3294" s="4"/>
      <c r="N3294" s="3" t="s">
        <v>37</v>
      </c>
      <c r="O3294" s="3" t="s">
        <v>38</v>
      </c>
      <c r="P3294" s="5">
        <v>11</v>
      </c>
      <c r="Q3294" s="5">
        <v>119</v>
      </c>
      <c r="R3294" s="5">
        <v>11</v>
      </c>
      <c r="S3294" s="5">
        <v>123</v>
      </c>
    </row>
    <row r="3295" spans="1:19" ht="28" x14ac:dyDescent="0.15">
      <c r="A3295" s="2">
        <f>HYPERLINK("https://open-school.uspishnemisto.com.ua/school/180206/", 180206)</f>
        <v>180206</v>
      </c>
      <c r="B3295" s="3" t="s">
        <v>17252</v>
      </c>
      <c r="C3295" s="3" t="s">
        <v>31</v>
      </c>
      <c r="D3295" s="3" t="s">
        <v>32</v>
      </c>
      <c r="E3295" s="4" t="s">
        <v>22</v>
      </c>
      <c r="F3295" s="4" t="s">
        <v>17253</v>
      </c>
      <c r="G3295" s="4" t="s">
        <v>17254</v>
      </c>
      <c r="H3295" s="3" t="s">
        <v>16292</v>
      </c>
      <c r="I3295" s="3" t="s">
        <v>17255</v>
      </c>
      <c r="J3295" s="3" t="s">
        <v>17256</v>
      </c>
      <c r="K3295" s="3" t="s">
        <v>17257</v>
      </c>
      <c r="L3295" s="3"/>
      <c r="M3295" s="4"/>
      <c r="N3295" s="3" t="s">
        <v>37</v>
      </c>
      <c r="O3295" s="3" t="s">
        <v>38</v>
      </c>
      <c r="P3295" s="5">
        <v>10</v>
      </c>
      <c r="Q3295" s="5">
        <v>74</v>
      </c>
      <c r="R3295" s="5">
        <v>11</v>
      </c>
      <c r="S3295" s="5">
        <v>79</v>
      </c>
    </row>
    <row r="3296" spans="1:19" ht="56" x14ac:dyDescent="0.15">
      <c r="A3296" s="2">
        <f>HYPERLINK("https://open-school.uspishnemisto.com.ua/school/180207/", 180207)</f>
        <v>180207</v>
      </c>
      <c r="B3296" s="3" t="s">
        <v>17258</v>
      </c>
      <c r="C3296" s="3" t="s">
        <v>54</v>
      </c>
      <c r="D3296" s="3" t="s">
        <v>175</v>
      </c>
      <c r="E3296" s="4" t="s">
        <v>22</v>
      </c>
      <c r="F3296" s="4" t="s">
        <v>17259</v>
      </c>
      <c r="G3296" s="4" t="s">
        <v>17260</v>
      </c>
      <c r="H3296" s="3" t="s">
        <v>16292</v>
      </c>
      <c r="I3296" s="3" t="s">
        <v>17261</v>
      </c>
      <c r="J3296" s="3" t="s">
        <v>17262</v>
      </c>
      <c r="K3296" s="3" t="s">
        <v>17263</v>
      </c>
      <c r="L3296" s="3"/>
      <c r="M3296" s="4"/>
      <c r="N3296" s="3" t="s">
        <v>37</v>
      </c>
      <c r="O3296" s="3" t="s">
        <v>38</v>
      </c>
      <c r="P3296" s="5">
        <v>7</v>
      </c>
      <c r="Q3296" s="5">
        <v>44</v>
      </c>
      <c r="R3296" s="5">
        <v>7</v>
      </c>
      <c r="S3296" s="5">
        <v>47</v>
      </c>
    </row>
    <row r="3297" spans="1:19" ht="28" x14ac:dyDescent="0.15">
      <c r="A3297" s="2">
        <f>HYPERLINK("https://open-school.uspishnemisto.com.ua/school/180208/", 180208)</f>
        <v>180208</v>
      </c>
      <c r="B3297" s="3" t="s">
        <v>17264</v>
      </c>
      <c r="C3297" s="3" t="s">
        <v>31</v>
      </c>
      <c r="D3297" s="3" t="s">
        <v>175</v>
      </c>
      <c r="E3297" s="4" t="s">
        <v>22</v>
      </c>
      <c r="F3297" s="4" t="s">
        <v>17265</v>
      </c>
      <c r="G3297" s="4" t="s">
        <v>17266</v>
      </c>
      <c r="H3297" s="3" t="s">
        <v>16292</v>
      </c>
      <c r="I3297" s="3" t="s">
        <v>17267</v>
      </c>
      <c r="J3297" s="3" t="s">
        <v>17268</v>
      </c>
      <c r="K3297" s="3" t="s">
        <v>17269</v>
      </c>
      <c r="L3297" s="3"/>
      <c r="M3297" s="4"/>
      <c r="N3297" s="3" t="s">
        <v>37</v>
      </c>
      <c r="O3297" s="3" t="s">
        <v>70</v>
      </c>
      <c r="P3297" s="5">
        <v>9</v>
      </c>
      <c r="Q3297" s="5">
        <v>70</v>
      </c>
      <c r="R3297" s="5">
        <v>9</v>
      </c>
      <c r="S3297" s="5">
        <v>70</v>
      </c>
    </row>
    <row r="3298" spans="1:19" ht="28" x14ac:dyDescent="0.15">
      <c r="A3298" s="2">
        <f>HYPERLINK("https://open-school.uspishnemisto.com.ua/school/180209/", 180209)</f>
        <v>180209</v>
      </c>
      <c r="B3298" s="3" t="s">
        <v>17270</v>
      </c>
      <c r="C3298" s="3" t="s">
        <v>31</v>
      </c>
      <c r="D3298" s="3" t="s">
        <v>32</v>
      </c>
      <c r="E3298" s="4" t="s">
        <v>22</v>
      </c>
      <c r="F3298" s="4" t="s">
        <v>17271</v>
      </c>
      <c r="G3298" s="4" t="s">
        <v>17272</v>
      </c>
      <c r="H3298" s="3" t="s">
        <v>16292</v>
      </c>
      <c r="I3298" s="3" t="s">
        <v>17273</v>
      </c>
      <c r="J3298" s="3" t="s">
        <v>17274</v>
      </c>
      <c r="K3298" s="3" t="s">
        <v>17275</v>
      </c>
      <c r="L3298" s="3"/>
      <c r="M3298" s="4"/>
      <c r="N3298" s="3" t="s">
        <v>37</v>
      </c>
      <c r="O3298" s="3" t="s">
        <v>112</v>
      </c>
      <c r="P3298" s="5">
        <v>3</v>
      </c>
      <c r="Q3298" s="5">
        <v>33</v>
      </c>
      <c r="R3298" s="5">
        <v>3</v>
      </c>
      <c r="S3298" s="5">
        <v>38</v>
      </c>
    </row>
    <row r="3299" spans="1:19" ht="28" x14ac:dyDescent="0.15">
      <c r="A3299" s="2">
        <f>HYPERLINK("https://open-school.uspishnemisto.com.ua/school/180210/", 180210)</f>
        <v>180210</v>
      </c>
      <c r="B3299" s="3" t="s">
        <v>17276</v>
      </c>
      <c r="C3299" s="3" t="s">
        <v>40</v>
      </c>
      <c r="D3299" s="3" t="s">
        <v>32</v>
      </c>
      <c r="E3299" s="4" t="s">
        <v>22</v>
      </c>
      <c r="F3299" s="4" t="s">
        <v>17277</v>
      </c>
      <c r="G3299" s="4" t="s">
        <v>17278</v>
      </c>
      <c r="H3299" s="3" t="s">
        <v>16292</v>
      </c>
      <c r="I3299" s="3" t="s">
        <v>17279</v>
      </c>
      <c r="J3299" s="3" t="s">
        <v>17280</v>
      </c>
      <c r="K3299" s="3" t="s">
        <v>17281</v>
      </c>
      <c r="L3299" s="3"/>
      <c r="M3299" s="4" t="s">
        <v>17282</v>
      </c>
      <c r="N3299" s="3" t="s">
        <v>37</v>
      </c>
      <c r="O3299" s="3" t="s">
        <v>38</v>
      </c>
      <c r="P3299" s="5">
        <v>11</v>
      </c>
      <c r="Q3299" s="5">
        <v>191</v>
      </c>
      <c r="R3299" s="5">
        <v>11</v>
      </c>
      <c r="S3299" s="5">
        <v>177</v>
      </c>
    </row>
    <row r="3300" spans="1:19" ht="28" x14ac:dyDescent="0.15">
      <c r="A3300" s="2">
        <f>HYPERLINK("https://open-school.uspishnemisto.com.ua/school/180211/", 180211)</f>
        <v>180211</v>
      </c>
      <c r="B3300" s="3" t="s">
        <v>17283</v>
      </c>
      <c r="C3300" s="3" t="s">
        <v>31</v>
      </c>
      <c r="D3300" s="3" t="s">
        <v>175</v>
      </c>
      <c r="E3300" s="4" t="s">
        <v>22</v>
      </c>
      <c r="F3300" s="4" t="s">
        <v>17284</v>
      </c>
      <c r="G3300" s="4" t="s">
        <v>17285</v>
      </c>
      <c r="H3300" s="3" t="s">
        <v>16292</v>
      </c>
      <c r="I3300" s="3" t="s">
        <v>17286</v>
      </c>
      <c r="J3300" s="3" t="s">
        <v>17287</v>
      </c>
      <c r="K3300" s="3" t="s">
        <v>17288</v>
      </c>
      <c r="L3300" s="3"/>
      <c r="M3300" s="4"/>
      <c r="N3300" s="3" t="s">
        <v>37</v>
      </c>
      <c r="O3300" s="3" t="s">
        <v>70</v>
      </c>
      <c r="P3300" s="5">
        <v>6</v>
      </c>
      <c r="Q3300" s="5">
        <v>51</v>
      </c>
      <c r="R3300" s="5">
        <v>6</v>
      </c>
      <c r="S3300" s="5">
        <v>53</v>
      </c>
    </row>
    <row r="3301" spans="1:19" ht="42" x14ac:dyDescent="0.15">
      <c r="A3301" s="2">
        <f>HYPERLINK("https://open-school.uspishnemisto.com.ua/school/180212/", 180212)</f>
        <v>180212</v>
      </c>
      <c r="B3301" s="3" t="s">
        <v>17289</v>
      </c>
      <c r="C3301" s="3" t="s">
        <v>54</v>
      </c>
      <c r="D3301" s="3" t="s">
        <v>60</v>
      </c>
      <c r="E3301" s="4" t="s">
        <v>22</v>
      </c>
      <c r="F3301" s="4" t="s">
        <v>17290</v>
      </c>
      <c r="G3301" s="4" t="s">
        <v>17291</v>
      </c>
      <c r="H3301" s="3" t="s">
        <v>16292</v>
      </c>
      <c r="I3301" s="3" t="s">
        <v>17292</v>
      </c>
      <c r="J3301" s="3" t="s">
        <v>634</v>
      </c>
      <c r="K3301" s="3" t="s">
        <v>17293</v>
      </c>
      <c r="L3301" s="3"/>
      <c r="M3301" s="4"/>
      <c r="N3301" s="3" t="s">
        <v>37</v>
      </c>
      <c r="O3301" s="3" t="s">
        <v>52</v>
      </c>
      <c r="P3301" s="5">
        <v>0</v>
      </c>
      <c r="Q3301" s="5">
        <v>0</v>
      </c>
      <c r="R3301" s="5">
        <v>0</v>
      </c>
      <c r="S3301" s="5">
        <v>1</v>
      </c>
    </row>
    <row r="3302" spans="1:19" ht="42" x14ac:dyDescent="0.15">
      <c r="A3302" s="2">
        <f>HYPERLINK("https://open-school.uspishnemisto.com.ua/school/180213/", 180213)</f>
        <v>180213</v>
      </c>
      <c r="B3302" s="3" t="s">
        <v>17294</v>
      </c>
      <c r="C3302" s="3" t="s">
        <v>54</v>
      </c>
      <c r="D3302" s="3" t="s">
        <v>32</v>
      </c>
      <c r="E3302" s="4" t="s">
        <v>22</v>
      </c>
      <c r="F3302" s="4" t="s">
        <v>17295</v>
      </c>
      <c r="G3302" s="4" t="s">
        <v>17296</v>
      </c>
      <c r="H3302" s="3" t="s">
        <v>16292</v>
      </c>
      <c r="I3302" s="3" t="s">
        <v>17297</v>
      </c>
      <c r="J3302" s="3" t="s">
        <v>17298</v>
      </c>
      <c r="K3302" s="3" t="s">
        <v>17299</v>
      </c>
      <c r="L3302" s="3"/>
      <c r="M3302" s="4"/>
      <c r="N3302" s="3" t="s">
        <v>37</v>
      </c>
      <c r="O3302" s="3" t="s">
        <v>38</v>
      </c>
      <c r="P3302" s="5">
        <v>11</v>
      </c>
      <c r="Q3302" s="5">
        <v>123</v>
      </c>
      <c r="R3302" s="5">
        <v>11</v>
      </c>
      <c r="S3302" s="5">
        <v>136</v>
      </c>
    </row>
    <row r="3303" spans="1:19" ht="28" x14ac:dyDescent="0.15">
      <c r="A3303" s="2">
        <f>HYPERLINK("https://open-school.uspishnemisto.com.ua/school/180214/", 180214)</f>
        <v>180214</v>
      </c>
      <c r="B3303" s="3" t="s">
        <v>17300</v>
      </c>
      <c r="C3303" s="3" t="s">
        <v>31</v>
      </c>
      <c r="D3303" s="3" t="s">
        <v>175</v>
      </c>
      <c r="E3303" s="4" t="s">
        <v>22</v>
      </c>
      <c r="F3303" s="4" t="s">
        <v>17301</v>
      </c>
      <c r="G3303" s="4" t="s">
        <v>17302</v>
      </c>
      <c r="H3303" s="3" t="s">
        <v>16292</v>
      </c>
      <c r="I3303" s="3" t="s">
        <v>17303</v>
      </c>
      <c r="J3303" s="3" t="s">
        <v>6604</v>
      </c>
      <c r="K3303" s="3" t="s">
        <v>17304</v>
      </c>
      <c r="L3303" s="3"/>
      <c r="M3303" s="4"/>
      <c r="N3303" s="3" t="s">
        <v>37</v>
      </c>
      <c r="O3303" s="3" t="s">
        <v>70</v>
      </c>
      <c r="P3303" s="5">
        <v>6</v>
      </c>
      <c r="Q3303" s="5">
        <v>45</v>
      </c>
      <c r="R3303" s="5">
        <v>6</v>
      </c>
      <c r="S3303" s="5">
        <v>47</v>
      </c>
    </row>
    <row r="3304" spans="1:19" ht="42" x14ac:dyDescent="0.15">
      <c r="A3304" s="2">
        <f>HYPERLINK("https://open-school.uspishnemisto.com.ua/school/180215/", 180215)</f>
        <v>180215</v>
      </c>
      <c r="B3304" s="3" t="s">
        <v>17305</v>
      </c>
      <c r="C3304" s="3" t="s">
        <v>54</v>
      </c>
      <c r="D3304" s="3" t="s">
        <v>175</v>
      </c>
      <c r="E3304" s="4" t="s">
        <v>22</v>
      </c>
      <c r="F3304" s="4" t="s">
        <v>17306</v>
      </c>
      <c r="G3304" s="4" t="s">
        <v>17307</v>
      </c>
      <c r="H3304" s="3" t="s">
        <v>16292</v>
      </c>
      <c r="I3304" s="3" t="s">
        <v>17308</v>
      </c>
      <c r="J3304" s="3" t="s">
        <v>17309</v>
      </c>
      <c r="K3304" s="3" t="s">
        <v>17310</v>
      </c>
      <c r="L3304" s="3"/>
      <c r="M3304" s="4"/>
      <c r="N3304" s="3" t="s">
        <v>37</v>
      </c>
      <c r="O3304" s="3" t="s">
        <v>38</v>
      </c>
      <c r="P3304" s="5">
        <v>2</v>
      </c>
      <c r="Q3304" s="5">
        <v>28</v>
      </c>
      <c r="R3304" s="5">
        <v>8</v>
      </c>
      <c r="S3304" s="5">
        <v>31</v>
      </c>
    </row>
    <row r="3305" spans="1:19" ht="42" x14ac:dyDescent="0.15">
      <c r="A3305" s="2">
        <f>HYPERLINK("https://open-school.uspishnemisto.com.ua/school/180216/", 180216)</f>
        <v>180216</v>
      </c>
      <c r="B3305" s="3" t="s">
        <v>17311</v>
      </c>
      <c r="C3305" s="3" t="s">
        <v>40</v>
      </c>
      <c r="D3305" s="3" t="s">
        <v>32</v>
      </c>
      <c r="E3305" s="4" t="s">
        <v>22</v>
      </c>
      <c r="F3305" s="4" t="s">
        <v>17312</v>
      </c>
      <c r="G3305" s="4" t="s">
        <v>17313</v>
      </c>
      <c r="H3305" s="3" t="s">
        <v>16292</v>
      </c>
      <c r="I3305" s="3" t="s">
        <v>6951</v>
      </c>
      <c r="J3305" s="3" t="s">
        <v>17314</v>
      </c>
      <c r="K3305" s="3" t="s">
        <v>17315</v>
      </c>
      <c r="L3305" s="3" t="s">
        <v>17316</v>
      </c>
      <c r="M3305" s="4" t="s">
        <v>17317</v>
      </c>
      <c r="N3305" s="3" t="s">
        <v>37</v>
      </c>
      <c r="O3305" s="3" t="s">
        <v>52</v>
      </c>
      <c r="P3305" s="5">
        <v>29</v>
      </c>
      <c r="Q3305" s="5">
        <v>707</v>
      </c>
      <c r="R3305" s="5">
        <v>28</v>
      </c>
      <c r="S3305" s="5">
        <v>685</v>
      </c>
    </row>
    <row r="3306" spans="1:19" ht="28" x14ac:dyDescent="0.15">
      <c r="A3306" s="2">
        <f>HYPERLINK("https://open-school.uspishnemisto.com.ua/school/180217/", 180217)</f>
        <v>180217</v>
      </c>
      <c r="B3306" s="3" t="s">
        <v>17318</v>
      </c>
      <c r="C3306" s="3" t="s">
        <v>31</v>
      </c>
      <c r="D3306" s="3" t="s">
        <v>32</v>
      </c>
      <c r="E3306" s="4" t="s">
        <v>22</v>
      </c>
      <c r="F3306" s="4" t="s">
        <v>17312</v>
      </c>
      <c r="G3306" s="4" t="s">
        <v>17313</v>
      </c>
      <c r="H3306" s="3" t="s">
        <v>16292</v>
      </c>
      <c r="I3306" s="3" t="s">
        <v>6951</v>
      </c>
      <c r="J3306" s="3" t="s">
        <v>17319</v>
      </c>
      <c r="K3306" s="3" t="s">
        <v>17320</v>
      </c>
      <c r="L3306" s="3"/>
      <c r="M3306" s="4"/>
      <c r="N3306" s="3" t="s">
        <v>37</v>
      </c>
      <c r="O3306" s="3" t="s">
        <v>70</v>
      </c>
      <c r="P3306" s="5">
        <v>13</v>
      </c>
      <c r="Q3306" s="5">
        <v>268</v>
      </c>
      <c r="R3306" s="5">
        <v>13</v>
      </c>
      <c r="S3306" s="5">
        <v>264</v>
      </c>
    </row>
    <row r="3307" spans="1:19" ht="28" x14ac:dyDescent="0.15">
      <c r="A3307" s="2">
        <f>HYPERLINK("https://open-school.uspishnemisto.com.ua/school/180218/", 180218)</f>
        <v>180218</v>
      </c>
      <c r="B3307" s="3" t="s">
        <v>17321</v>
      </c>
      <c r="C3307" s="3" t="s">
        <v>31</v>
      </c>
      <c r="D3307" s="3" t="s">
        <v>32</v>
      </c>
      <c r="E3307" s="4" t="s">
        <v>22</v>
      </c>
      <c r="F3307" s="4" t="s">
        <v>17322</v>
      </c>
      <c r="G3307" s="4" t="s">
        <v>17323</v>
      </c>
      <c r="H3307" s="3" t="s">
        <v>16292</v>
      </c>
      <c r="I3307" s="3" t="s">
        <v>17324</v>
      </c>
      <c r="J3307" s="3" t="s">
        <v>17325</v>
      </c>
      <c r="K3307" s="3" t="s">
        <v>17326</v>
      </c>
      <c r="L3307" s="3"/>
      <c r="M3307" s="4"/>
      <c r="N3307" s="3" t="s">
        <v>37</v>
      </c>
      <c r="O3307" s="3" t="s">
        <v>721</v>
      </c>
      <c r="P3307" s="5">
        <v>11</v>
      </c>
      <c r="Q3307" s="5">
        <v>239</v>
      </c>
      <c r="R3307" s="5">
        <v>11</v>
      </c>
      <c r="S3307" s="5">
        <v>217</v>
      </c>
    </row>
    <row r="3308" spans="1:19" ht="28" x14ac:dyDescent="0.15">
      <c r="A3308" s="2">
        <f>HYPERLINK("https://open-school.uspishnemisto.com.ua/school/180219/", 180219)</f>
        <v>180219</v>
      </c>
      <c r="B3308" s="3" t="s">
        <v>17327</v>
      </c>
      <c r="C3308" s="3" t="s">
        <v>31</v>
      </c>
      <c r="D3308" s="3" t="s">
        <v>60</v>
      </c>
      <c r="E3308" s="4" t="s">
        <v>22</v>
      </c>
      <c r="F3308" s="4" t="s">
        <v>17328</v>
      </c>
      <c r="G3308" s="4" t="s">
        <v>17329</v>
      </c>
      <c r="H3308" s="3" t="s">
        <v>16292</v>
      </c>
      <c r="I3308" s="3" t="s">
        <v>17330</v>
      </c>
      <c r="J3308" s="3" t="s">
        <v>792</v>
      </c>
      <c r="K3308" s="3" t="s">
        <v>17331</v>
      </c>
      <c r="L3308" s="3"/>
      <c r="M3308" s="4"/>
      <c r="N3308" s="3" t="s">
        <v>37</v>
      </c>
      <c r="O3308" s="3" t="s">
        <v>52</v>
      </c>
      <c r="P3308" s="5">
        <v>3</v>
      </c>
      <c r="Q3308" s="5">
        <v>17</v>
      </c>
      <c r="R3308" s="5">
        <v>3</v>
      </c>
      <c r="S3308" s="5">
        <v>20</v>
      </c>
    </row>
    <row r="3309" spans="1:19" ht="28" x14ac:dyDescent="0.15">
      <c r="A3309" s="2">
        <f>HYPERLINK("https://open-school.uspishnemisto.com.ua/school/180220/", 180220)</f>
        <v>180220</v>
      </c>
      <c r="B3309" s="3" t="s">
        <v>17332</v>
      </c>
      <c r="C3309" s="3" t="s">
        <v>40</v>
      </c>
      <c r="D3309" s="3" t="s">
        <v>32</v>
      </c>
      <c r="E3309" s="4" t="s">
        <v>22</v>
      </c>
      <c r="F3309" s="4" t="s">
        <v>17333</v>
      </c>
      <c r="G3309" s="4" t="s">
        <v>17334</v>
      </c>
      <c r="H3309" s="3" t="s">
        <v>16292</v>
      </c>
      <c r="I3309" s="3" t="s">
        <v>13006</v>
      </c>
      <c r="J3309" s="3" t="s">
        <v>3106</v>
      </c>
      <c r="K3309" s="3" t="s">
        <v>17335</v>
      </c>
      <c r="L3309" s="3" t="s">
        <v>17336</v>
      </c>
      <c r="M3309" s="4"/>
      <c r="N3309" s="3" t="s">
        <v>37</v>
      </c>
      <c r="O3309" s="3" t="s">
        <v>70</v>
      </c>
      <c r="P3309" s="5">
        <v>31</v>
      </c>
      <c r="Q3309" s="5">
        <v>494</v>
      </c>
      <c r="R3309" s="5">
        <v>21</v>
      </c>
      <c r="S3309" s="5">
        <v>391</v>
      </c>
    </row>
    <row r="3310" spans="1:19" ht="28" x14ac:dyDescent="0.15">
      <c r="A3310" s="2">
        <f>HYPERLINK("https://open-school.uspishnemisto.com.ua/school/180221/", 180221)</f>
        <v>180221</v>
      </c>
      <c r="B3310" s="3" t="s">
        <v>17337</v>
      </c>
      <c r="C3310" s="3" t="s">
        <v>31</v>
      </c>
      <c r="D3310" s="3"/>
      <c r="E3310" s="4" t="s">
        <v>22</v>
      </c>
      <c r="F3310" s="4" t="s">
        <v>17333</v>
      </c>
      <c r="G3310" s="4" t="s">
        <v>17334</v>
      </c>
      <c r="H3310" s="3" t="s">
        <v>16292</v>
      </c>
      <c r="I3310" s="3" t="s">
        <v>13006</v>
      </c>
      <c r="J3310" s="3" t="s">
        <v>17338</v>
      </c>
      <c r="K3310" s="3" t="s">
        <v>17339</v>
      </c>
      <c r="L3310" s="3"/>
      <c r="M3310" s="4"/>
      <c r="N3310" s="3" t="s">
        <v>37</v>
      </c>
      <c r="O3310" s="3" t="s">
        <v>52</v>
      </c>
      <c r="P3310" s="5">
        <v>0</v>
      </c>
      <c r="Q3310" s="5">
        <v>0</v>
      </c>
      <c r="R3310" s="5">
        <v>4</v>
      </c>
      <c r="S3310" s="5">
        <v>32</v>
      </c>
    </row>
    <row r="3311" spans="1:19" ht="42" x14ac:dyDescent="0.15">
      <c r="A3311" s="2">
        <f>HYPERLINK("https://open-school.uspishnemisto.com.ua/school/180222/", 180222)</f>
        <v>180222</v>
      </c>
      <c r="B3311" s="3" t="s">
        <v>17340</v>
      </c>
      <c r="C3311" s="3" t="s">
        <v>31</v>
      </c>
      <c r="D3311" s="3" t="s">
        <v>32</v>
      </c>
      <c r="E3311" s="4" t="s">
        <v>22</v>
      </c>
      <c r="F3311" s="4" t="s">
        <v>17333</v>
      </c>
      <c r="G3311" s="4" t="s">
        <v>17334</v>
      </c>
      <c r="H3311" s="3" t="s">
        <v>16292</v>
      </c>
      <c r="I3311" s="3" t="s">
        <v>13006</v>
      </c>
      <c r="J3311" s="3" t="s">
        <v>17341</v>
      </c>
      <c r="K3311" s="3" t="s">
        <v>17342</v>
      </c>
      <c r="L3311" s="3"/>
      <c r="M3311" s="4"/>
      <c r="N3311" s="3" t="s">
        <v>37</v>
      </c>
      <c r="O3311" s="3" t="s">
        <v>38</v>
      </c>
      <c r="P3311" s="5">
        <v>11</v>
      </c>
      <c r="Q3311" s="5">
        <v>168</v>
      </c>
      <c r="R3311" s="5">
        <v>11</v>
      </c>
      <c r="S3311" s="5">
        <v>154</v>
      </c>
    </row>
    <row r="3312" spans="1:19" ht="28" x14ac:dyDescent="0.15">
      <c r="A3312" s="2">
        <f>HYPERLINK("https://open-school.uspishnemisto.com.ua/school/180224/", 180224)</f>
        <v>180224</v>
      </c>
      <c r="B3312" s="3" t="s">
        <v>17343</v>
      </c>
      <c r="C3312" s="3" t="s">
        <v>31</v>
      </c>
      <c r="D3312" s="3" t="s">
        <v>32</v>
      </c>
      <c r="E3312" s="4" t="s">
        <v>22</v>
      </c>
      <c r="F3312" s="4" t="s">
        <v>17344</v>
      </c>
      <c r="G3312" s="4" t="s">
        <v>17345</v>
      </c>
      <c r="H3312" s="3" t="s">
        <v>16292</v>
      </c>
      <c r="I3312" s="3" t="s">
        <v>17346</v>
      </c>
      <c r="J3312" s="3" t="s">
        <v>17347</v>
      </c>
      <c r="K3312" s="3" t="s">
        <v>17348</v>
      </c>
      <c r="L3312" s="3"/>
      <c r="M3312" s="4"/>
      <c r="N3312" s="3" t="s">
        <v>37</v>
      </c>
      <c r="O3312" s="3" t="s">
        <v>46</v>
      </c>
      <c r="P3312" s="5">
        <v>9</v>
      </c>
      <c r="Q3312" s="5">
        <v>68</v>
      </c>
      <c r="R3312" s="5">
        <v>8</v>
      </c>
      <c r="S3312" s="5">
        <v>71</v>
      </c>
    </row>
    <row r="3313" spans="1:19" ht="28" x14ac:dyDescent="0.15">
      <c r="A3313" s="2">
        <f>HYPERLINK("https://open-school.uspishnemisto.com.ua/school/180225/", 180225)</f>
        <v>180225</v>
      </c>
      <c r="B3313" s="3" t="s">
        <v>17349</v>
      </c>
      <c r="C3313" s="3" t="s">
        <v>31</v>
      </c>
      <c r="D3313" s="3" t="s">
        <v>32</v>
      </c>
      <c r="E3313" s="4" t="s">
        <v>22</v>
      </c>
      <c r="F3313" s="4" t="s">
        <v>17350</v>
      </c>
      <c r="G3313" s="4" t="s">
        <v>17351</v>
      </c>
      <c r="H3313" s="3" t="s">
        <v>16292</v>
      </c>
      <c r="I3313" s="3" t="s">
        <v>17352</v>
      </c>
      <c r="J3313" s="3" t="s">
        <v>5955</v>
      </c>
      <c r="K3313" s="3" t="s">
        <v>17353</v>
      </c>
      <c r="L3313" s="3" t="s">
        <v>17354</v>
      </c>
      <c r="M3313" s="4"/>
      <c r="N3313" s="3" t="s">
        <v>37</v>
      </c>
      <c r="O3313" s="3" t="s">
        <v>46</v>
      </c>
      <c r="P3313" s="5">
        <v>10</v>
      </c>
      <c r="Q3313" s="5">
        <v>66</v>
      </c>
      <c r="R3313" s="5">
        <v>7</v>
      </c>
      <c r="S3313" s="5">
        <v>57</v>
      </c>
    </row>
    <row r="3314" spans="1:19" ht="28" x14ac:dyDescent="0.15">
      <c r="A3314" s="2">
        <f>HYPERLINK("https://open-school.uspishnemisto.com.ua/school/180226/", 180226)</f>
        <v>180226</v>
      </c>
      <c r="B3314" s="3" t="s">
        <v>17355</v>
      </c>
      <c r="C3314" s="3" t="s">
        <v>31</v>
      </c>
      <c r="D3314" s="3" t="s">
        <v>32</v>
      </c>
      <c r="E3314" s="4" t="s">
        <v>22</v>
      </c>
      <c r="F3314" s="4" t="s">
        <v>17356</v>
      </c>
      <c r="G3314" s="4" t="s">
        <v>17357</v>
      </c>
      <c r="H3314" s="3" t="s">
        <v>16292</v>
      </c>
      <c r="I3314" s="3" t="s">
        <v>17358</v>
      </c>
      <c r="J3314" s="3" t="s">
        <v>17359</v>
      </c>
      <c r="K3314" s="3" t="s">
        <v>17360</v>
      </c>
      <c r="L3314" s="3"/>
      <c r="M3314" s="4"/>
      <c r="N3314" s="3" t="s">
        <v>37</v>
      </c>
      <c r="O3314" s="3" t="s">
        <v>52</v>
      </c>
      <c r="P3314" s="5">
        <v>11</v>
      </c>
      <c r="Q3314" s="5">
        <v>109</v>
      </c>
      <c r="R3314" s="5">
        <v>10</v>
      </c>
      <c r="S3314" s="5">
        <v>99</v>
      </c>
    </row>
    <row r="3315" spans="1:19" ht="28" x14ac:dyDescent="0.15">
      <c r="A3315" s="2">
        <f>HYPERLINK("https://open-school.uspishnemisto.com.ua/school/180227/", 180227)</f>
        <v>180227</v>
      </c>
      <c r="B3315" s="3" t="s">
        <v>17361</v>
      </c>
      <c r="C3315" s="3" t="s">
        <v>31</v>
      </c>
      <c r="D3315" s="3" t="s">
        <v>32</v>
      </c>
      <c r="E3315" s="4" t="s">
        <v>22</v>
      </c>
      <c r="F3315" s="4" t="s">
        <v>17362</v>
      </c>
      <c r="G3315" s="4" t="s">
        <v>17363</v>
      </c>
      <c r="H3315" s="3" t="s">
        <v>16292</v>
      </c>
      <c r="I3315" s="3" t="s">
        <v>3619</v>
      </c>
      <c r="J3315" s="3" t="s">
        <v>17364</v>
      </c>
      <c r="K3315" s="3" t="s">
        <v>17365</v>
      </c>
      <c r="L3315" s="3"/>
      <c r="M3315" s="4"/>
      <c r="N3315" s="3" t="s">
        <v>37</v>
      </c>
      <c r="O3315" s="3" t="s">
        <v>52</v>
      </c>
      <c r="P3315" s="5">
        <v>7</v>
      </c>
      <c r="Q3315" s="5">
        <v>58</v>
      </c>
      <c r="R3315" s="5">
        <v>10</v>
      </c>
      <c r="S3315" s="5">
        <v>61</v>
      </c>
    </row>
    <row r="3316" spans="1:19" ht="28" x14ac:dyDescent="0.15">
      <c r="A3316" s="2">
        <f>HYPERLINK("https://open-school.uspishnemisto.com.ua/school/180228/", 180228)</f>
        <v>180228</v>
      </c>
      <c r="B3316" s="3" t="s">
        <v>17366</v>
      </c>
      <c r="C3316" s="3" t="s">
        <v>31</v>
      </c>
      <c r="D3316" s="3" t="s">
        <v>32</v>
      </c>
      <c r="E3316" s="4" t="s">
        <v>22</v>
      </c>
      <c r="F3316" s="4" t="s">
        <v>17367</v>
      </c>
      <c r="G3316" s="4" t="s">
        <v>17368</v>
      </c>
      <c r="H3316" s="3" t="s">
        <v>16292</v>
      </c>
      <c r="I3316" s="3" t="s">
        <v>17369</v>
      </c>
      <c r="J3316" s="3" t="s">
        <v>17370</v>
      </c>
      <c r="K3316" s="3" t="s">
        <v>17371</v>
      </c>
      <c r="L3316" s="3"/>
      <c r="M3316" s="4"/>
      <c r="N3316" s="3" t="s">
        <v>37</v>
      </c>
      <c r="O3316" s="3" t="s">
        <v>38</v>
      </c>
      <c r="P3316" s="5">
        <v>9</v>
      </c>
      <c r="Q3316" s="5">
        <v>71</v>
      </c>
      <c r="R3316" s="5">
        <v>10</v>
      </c>
      <c r="S3316" s="5">
        <v>74</v>
      </c>
    </row>
    <row r="3317" spans="1:19" ht="28" x14ac:dyDescent="0.15">
      <c r="A3317" s="2">
        <f>HYPERLINK("https://open-school.uspishnemisto.com.ua/school/180229/", 180229)</f>
        <v>180229</v>
      </c>
      <c r="B3317" s="3" t="s">
        <v>17372</v>
      </c>
      <c r="C3317" s="3" t="s">
        <v>31</v>
      </c>
      <c r="D3317" s="3" t="s">
        <v>32</v>
      </c>
      <c r="E3317" s="4" t="s">
        <v>22</v>
      </c>
      <c r="F3317" s="4" t="s">
        <v>17373</v>
      </c>
      <c r="G3317" s="4" t="s">
        <v>17374</v>
      </c>
      <c r="H3317" s="3" t="s">
        <v>16292</v>
      </c>
      <c r="I3317" s="3" t="s">
        <v>17375</v>
      </c>
      <c r="J3317" s="3" t="s">
        <v>17376</v>
      </c>
      <c r="K3317" s="3" t="s">
        <v>17377</v>
      </c>
      <c r="L3317" s="3"/>
      <c r="M3317" s="4"/>
      <c r="N3317" s="3" t="s">
        <v>37</v>
      </c>
      <c r="O3317" s="3" t="s">
        <v>46</v>
      </c>
      <c r="P3317" s="5">
        <v>8</v>
      </c>
      <c r="Q3317" s="5">
        <v>83</v>
      </c>
      <c r="R3317" s="5">
        <v>11</v>
      </c>
      <c r="S3317" s="5">
        <v>89</v>
      </c>
    </row>
    <row r="3318" spans="1:19" ht="28" x14ac:dyDescent="0.15">
      <c r="A3318" s="2">
        <f>HYPERLINK("https://open-school.uspishnemisto.com.ua/school/180230/", 180230)</f>
        <v>180230</v>
      </c>
      <c r="B3318" s="3" t="s">
        <v>17378</v>
      </c>
      <c r="C3318" s="3" t="s">
        <v>31</v>
      </c>
      <c r="D3318" s="3" t="s">
        <v>175</v>
      </c>
      <c r="E3318" s="4" t="s">
        <v>22</v>
      </c>
      <c r="F3318" s="4" t="s">
        <v>17379</v>
      </c>
      <c r="G3318" s="4" t="s">
        <v>17380</v>
      </c>
      <c r="H3318" s="3" t="s">
        <v>16292</v>
      </c>
      <c r="I3318" s="3" t="s">
        <v>6454</v>
      </c>
      <c r="J3318" s="3" t="s">
        <v>17381</v>
      </c>
      <c r="K3318" s="3" t="s">
        <v>17382</v>
      </c>
      <c r="L3318" s="3"/>
      <c r="M3318" s="4"/>
      <c r="N3318" s="3" t="s">
        <v>37</v>
      </c>
      <c r="O3318" s="3" t="s">
        <v>52</v>
      </c>
      <c r="P3318" s="5">
        <v>0</v>
      </c>
      <c r="Q3318" s="5">
        <v>0</v>
      </c>
      <c r="R3318" s="5">
        <v>9</v>
      </c>
      <c r="S3318" s="5">
        <v>52</v>
      </c>
    </row>
    <row r="3319" spans="1:19" ht="28" x14ac:dyDescent="0.15">
      <c r="A3319" s="2">
        <f>HYPERLINK("https://open-school.uspishnemisto.com.ua/school/180231/", 180231)</f>
        <v>180231</v>
      </c>
      <c r="B3319" s="3" t="s">
        <v>17383</v>
      </c>
      <c r="C3319" s="3" t="s">
        <v>31</v>
      </c>
      <c r="D3319" s="3" t="s">
        <v>60</v>
      </c>
      <c r="E3319" s="4" t="s">
        <v>22</v>
      </c>
      <c r="F3319" s="4" t="s">
        <v>17384</v>
      </c>
      <c r="G3319" s="4" t="s">
        <v>17385</v>
      </c>
      <c r="H3319" s="3" t="s">
        <v>16292</v>
      </c>
      <c r="I3319" s="3" t="s">
        <v>17386</v>
      </c>
      <c r="J3319" s="3" t="s">
        <v>5145</v>
      </c>
      <c r="K3319" s="3" t="s">
        <v>17387</v>
      </c>
      <c r="L3319" s="3"/>
      <c r="M3319" s="4"/>
      <c r="N3319" s="3" t="s">
        <v>37</v>
      </c>
      <c r="O3319" s="3" t="s">
        <v>618</v>
      </c>
      <c r="P3319" s="5">
        <v>0</v>
      </c>
      <c r="Q3319" s="5">
        <v>8</v>
      </c>
      <c r="R3319" s="5">
        <v>0</v>
      </c>
      <c r="S3319" s="5">
        <v>7</v>
      </c>
    </row>
    <row r="3320" spans="1:19" ht="28" x14ac:dyDescent="0.15">
      <c r="A3320" s="2">
        <f>HYPERLINK("https://open-school.uspishnemisto.com.ua/school/180232/", 180232)</f>
        <v>180232</v>
      </c>
      <c r="B3320" s="3" t="s">
        <v>17388</v>
      </c>
      <c r="C3320" s="3" t="s">
        <v>31</v>
      </c>
      <c r="D3320" s="3" t="s">
        <v>175</v>
      </c>
      <c r="E3320" s="4" t="s">
        <v>22</v>
      </c>
      <c r="F3320" s="4"/>
      <c r="G3320" s="4" t="s">
        <v>17389</v>
      </c>
      <c r="H3320" s="3" t="s">
        <v>16292</v>
      </c>
      <c r="I3320" s="3" t="s">
        <v>17390</v>
      </c>
      <c r="J3320" s="3" t="s">
        <v>2601</v>
      </c>
      <c r="K3320" s="3" t="s">
        <v>17391</v>
      </c>
      <c r="L3320" s="3"/>
      <c r="M3320" s="4"/>
      <c r="N3320" s="3" t="s">
        <v>37</v>
      </c>
      <c r="O3320" s="3" t="s">
        <v>38</v>
      </c>
      <c r="P3320" s="5">
        <v>5</v>
      </c>
      <c r="Q3320" s="5">
        <v>42</v>
      </c>
      <c r="R3320" s="5">
        <v>5</v>
      </c>
      <c r="S3320" s="5">
        <v>47</v>
      </c>
    </row>
    <row r="3321" spans="1:19" ht="28" x14ac:dyDescent="0.15">
      <c r="A3321" s="2">
        <f>HYPERLINK("https://open-school.uspishnemisto.com.ua/school/180233/", 180233)</f>
        <v>180233</v>
      </c>
      <c r="B3321" s="3" t="s">
        <v>17392</v>
      </c>
      <c r="C3321" s="3" t="s">
        <v>31</v>
      </c>
      <c r="D3321" s="3" t="s">
        <v>32</v>
      </c>
      <c r="E3321" s="4" t="s">
        <v>22</v>
      </c>
      <c r="F3321" s="4" t="s">
        <v>17393</v>
      </c>
      <c r="G3321" s="4" t="s">
        <v>17394</v>
      </c>
      <c r="H3321" s="3" t="s">
        <v>16292</v>
      </c>
      <c r="I3321" s="3" t="s">
        <v>17395</v>
      </c>
      <c r="J3321" s="3" t="s">
        <v>1417</v>
      </c>
      <c r="K3321" s="3" t="s">
        <v>17396</v>
      </c>
      <c r="L3321" s="3"/>
      <c r="M3321" s="4"/>
      <c r="N3321" s="3" t="s">
        <v>37</v>
      </c>
      <c r="O3321" s="3" t="s">
        <v>38</v>
      </c>
      <c r="P3321" s="5">
        <v>10</v>
      </c>
      <c r="Q3321" s="5">
        <v>148</v>
      </c>
      <c r="R3321" s="5">
        <v>10</v>
      </c>
      <c r="S3321" s="5">
        <v>147</v>
      </c>
    </row>
    <row r="3322" spans="1:19" ht="28" x14ac:dyDescent="0.15">
      <c r="A3322" s="2">
        <f>HYPERLINK("https://open-school.uspishnemisto.com.ua/school/180234/", 180234)</f>
        <v>180234</v>
      </c>
      <c r="B3322" s="3" t="s">
        <v>17397</v>
      </c>
      <c r="C3322" s="3" t="s">
        <v>31</v>
      </c>
      <c r="D3322" s="3" t="s">
        <v>60</v>
      </c>
      <c r="E3322" s="4" t="s">
        <v>22</v>
      </c>
      <c r="F3322" s="4" t="s">
        <v>17398</v>
      </c>
      <c r="G3322" s="4" t="s">
        <v>17399</v>
      </c>
      <c r="H3322" s="3" t="s">
        <v>16292</v>
      </c>
      <c r="I3322" s="3" t="s">
        <v>17400</v>
      </c>
      <c r="J3322" s="3" t="s">
        <v>17401</v>
      </c>
      <c r="K3322" s="3" t="s">
        <v>17402</v>
      </c>
      <c r="L3322" s="3"/>
      <c r="M3322" s="4"/>
      <c r="N3322" s="3" t="s">
        <v>37</v>
      </c>
      <c r="O3322" s="3" t="s">
        <v>52</v>
      </c>
      <c r="P3322" s="5">
        <v>3</v>
      </c>
      <c r="Q3322" s="5">
        <v>20</v>
      </c>
      <c r="R3322" s="5">
        <v>2</v>
      </c>
      <c r="S3322" s="5">
        <v>17</v>
      </c>
    </row>
    <row r="3323" spans="1:19" ht="28" x14ac:dyDescent="0.15">
      <c r="A3323" s="2">
        <f>HYPERLINK("https://open-school.uspishnemisto.com.ua/school/180235/", 180235)</f>
        <v>180235</v>
      </c>
      <c r="B3323" s="3" t="s">
        <v>17403</v>
      </c>
      <c r="C3323" s="3" t="s">
        <v>31</v>
      </c>
      <c r="D3323" s="3" t="s">
        <v>32</v>
      </c>
      <c r="E3323" s="4" t="s">
        <v>22</v>
      </c>
      <c r="F3323" s="4" t="s">
        <v>17404</v>
      </c>
      <c r="G3323" s="4" t="s">
        <v>17405</v>
      </c>
      <c r="H3323" s="3" t="s">
        <v>16292</v>
      </c>
      <c r="I3323" s="3" t="s">
        <v>2179</v>
      </c>
      <c r="J3323" s="3" t="s">
        <v>17406</v>
      </c>
      <c r="K3323" s="3" t="s">
        <v>17407</v>
      </c>
      <c r="L3323" s="3"/>
      <c r="M3323" s="4"/>
      <c r="N3323" s="3" t="s">
        <v>37</v>
      </c>
      <c r="O3323" s="3" t="s">
        <v>618</v>
      </c>
      <c r="P3323" s="5">
        <v>9</v>
      </c>
      <c r="Q3323" s="5">
        <v>73</v>
      </c>
      <c r="R3323" s="5">
        <v>9</v>
      </c>
      <c r="S3323" s="5">
        <v>72</v>
      </c>
    </row>
    <row r="3324" spans="1:19" ht="28" x14ac:dyDescent="0.15">
      <c r="A3324" s="2">
        <f>HYPERLINK("https://open-school.uspishnemisto.com.ua/school/180236/", 180236)</f>
        <v>180236</v>
      </c>
      <c r="B3324" s="3" t="s">
        <v>17408</v>
      </c>
      <c r="C3324" s="3" t="s">
        <v>31</v>
      </c>
      <c r="D3324" s="3" t="s">
        <v>32</v>
      </c>
      <c r="E3324" s="4" t="s">
        <v>22</v>
      </c>
      <c r="F3324" s="4" t="s">
        <v>17367</v>
      </c>
      <c r="G3324" s="4" t="s">
        <v>17409</v>
      </c>
      <c r="H3324" s="3" t="s">
        <v>16292</v>
      </c>
      <c r="I3324" s="3" t="s">
        <v>17032</v>
      </c>
      <c r="J3324" s="3" t="s">
        <v>466</v>
      </c>
      <c r="K3324" s="3" t="s">
        <v>17410</v>
      </c>
      <c r="L3324" s="3"/>
      <c r="M3324" s="4"/>
      <c r="N3324" s="3" t="s">
        <v>37</v>
      </c>
      <c r="O3324" s="3" t="s">
        <v>70</v>
      </c>
      <c r="P3324" s="5">
        <v>11</v>
      </c>
      <c r="Q3324" s="5">
        <v>152</v>
      </c>
      <c r="R3324" s="5">
        <v>11</v>
      </c>
      <c r="S3324" s="5">
        <v>151</v>
      </c>
    </row>
    <row r="3325" spans="1:19" ht="28" x14ac:dyDescent="0.15">
      <c r="A3325" s="2">
        <f>HYPERLINK("https://open-school.uspishnemisto.com.ua/school/180237/", 180237)</f>
        <v>180237</v>
      </c>
      <c r="B3325" s="3" t="s">
        <v>17411</v>
      </c>
      <c r="C3325" s="3" t="s">
        <v>31</v>
      </c>
      <c r="D3325" s="3" t="s">
        <v>60</v>
      </c>
      <c r="E3325" s="4" t="s">
        <v>22</v>
      </c>
      <c r="F3325" s="4" t="s">
        <v>17412</v>
      </c>
      <c r="G3325" s="4" t="s">
        <v>17413</v>
      </c>
      <c r="H3325" s="3" t="s">
        <v>16292</v>
      </c>
      <c r="I3325" s="3" t="s">
        <v>3420</v>
      </c>
      <c r="J3325" s="3" t="s">
        <v>17414</v>
      </c>
      <c r="K3325" s="3"/>
      <c r="L3325" s="3"/>
      <c r="M3325" s="4"/>
      <c r="N3325" s="3" t="s">
        <v>37</v>
      </c>
      <c r="O3325" s="3" t="s">
        <v>618</v>
      </c>
      <c r="P3325" s="5">
        <v>1</v>
      </c>
      <c r="Q3325" s="5">
        <v>13</v>
      </c>
      <c r="R3325" s="5">
        <v>1</v>
      </c>
      <c r="S3325" s="5">
        <v>13</v>
      </c>
    </row>
    <row r="3326" spans="1:19" ht="42" x14ac:dyDescent="0.15">
      <c r="A3326" s="2">
        <f>HYPERLINK("https://open-school.uspishnemisto.com.ua/school/180238/", 180238)</f>
        <v>180238</v>
      </c>
      <c r="B3326" s="3" t="s">
        <v>17415</v>
      </c>
      <c r="C3326" s="3" t="s">
        <v>31</v>
      </c>
      <c r="D3326" s="3" t="s">
        <v>32</v>
      </c>
      <c r="E3326" s="4" t="s">
        <v>22</v>
      </c>
      <c r="F3326" s="4" t="s">
        <v>17416</v>
      </c>
      <c r="G3326" s="4" t="s">
        <v>17417</v>
      </c>
      <c r="H3326" s="3" t="s">
        <v>16292</v>
      </c>
      <c r="I3326" s="3" t="s">
        <v>17418</v>
      </c>
      <c r="J3326" s="3" t="s">
        <v>17419</v>
      </c>
      <c r="K3326" s="3" t="s">
        <v>17420</v>
      </c>
      <c r="L3326" s="3"/>
      <c r="M3326" s="4"/>
      <c r="N3326" s="3" t="s">
        <v>37</v>
      </c>
      <c r="O3326" s="3" t="s">
        <v>618</v>
      </c>
      <c r="P3326" s="5">
        <v>11</v>
      </c>
      <c r="Q3326" s="5">
        <v>127</v>
      </c>
      <c r="R3326" s="5">
        <v>11</v>
      </c>
      <c r="S3326" s="5">
        <v>126</v>
      </c>
    </row>
    <row r="3327" spans="1:19" ht="28" x14ac:dyDescent="0.15">
      <c r="A3327" s="2">
        <f>HYPERLINK("https://open-school.uspishnemisto.com.ua/school/180239/", 180239)</f>
        <v>180239</v>
      </c>
      <c r="B3327" s="3" t="s">
        <v>17421</v>
      </c>
      <c r="C3327" s="3" t="s">
        <v>31</v>
      </c>
      <c r="D3327" s="3" t="s">
        <v>175</v>
      </c>
      <c r="E3327" s="4" t="s">
        <v>22</v>
      </c>
      <c r="F3327" s="4" t="s">
        <v>17422</v>
      </c>
      <c r="G3327" s="4" t="s">
        <v>17423</v>
      </c>
      <c r="H3327" s="3" t="s">
        <v>16292</v>
      </c>
      <c r="I3327" s="3" t="s">
        <v>17424</v>
      </c>
      <c r="J3327" s="3" t="s">
        <v>17425</v>
      </c>
      <c r="K3327" s="3" t="s">
        <v>17426</v>
      </c>
      <c r="L3327" s="3"/>
      <c r="M3327" s="4"/>
      <c r="N3327" s="3" t="s">
        <v>37</v>
      </c>
      <c r="O3327" s="3" t="s">
        <v>70</v>
      </c>
      <c r="P3327" s="5">
        <v>6</v>
      </c>
      <c r="Q3327" s="5">
        <v>46</v>
      </c>
      <c r="R3327" s="5">
        <v>4</v>
      </c>
      <c r="S3327" s="5">
        <v>42</v>
      </c>
    </row>
    <row r="3328" spans="1:19" ht="28" x14ac:dyDescent="0.15">
      <c r="A3328" s="2">
        <f>HYPERLINK("https://open-school.uspishnemisto.com.ua/school/180240/", 180240)</f>
        <v>180240</v>
      </c>
      <c r="B3328" s="3" t="s">
        <v>17427</v>
      </c>
      <c r="C3328" s="3" t="s">
        <v>31</v>
      </c>
      <c r="D3328" s="3" t="s">
        <v>60</v>
      </c>
      <c r="E3328" s="4" t="s">
        <v>22</v>
      </c>
      <c r="F3328" s="4" t="s">
        <v>17428</v>
      </c>
      <c r="G3328" s="4" t="s">
        <v>17429</v>
      </c>
      <c r="H3328" s="3" t="s">
        <v>16292</v>
      </c>
      <c r="I3328" s="3" t="s">
        <v>981</v>
      </c>
      <c r="J3328" s="3" t="s">
        <v>466</v>
      </c>
      <c r="K3328" s="3" t="s">
        <v>17430</v>
      </c>
      <c r="L3328" s="3"/>
      <c r="M3328" s="4"/>
      <c r="N3328" s="3" t="s">
        <v>37</v>
      </c>
      <c r="O3328" s="3" t="s">
        <v>52</v>
      </c>
      <c r="P3328" s="5">
        <v>1</v>
      </c>
      <c r="Q3328" s="5">
        <v>10</v>
      </c>
      <c r="R3328" s="5">
        <v>0</v>
      </c>
      <c r="S3328" s="5">
        <v>8</v>
      </c>
    </row>
    <row r="3329" spans="1:19" ht="28" x14ac:dyDescent="0.15">
      <c r="A3329" s="2">
        <f>HYPERLINK("https://open-school.uspishnemisto.com.ua/school/180241/", 180241)</f>
        <v>180241</v>
      </c>
      <c r="B3329" s="3" t="s">
        <v>17431</v>
      </c>
      <c r="C3329" s="3" t="s">
        <v>31</v>
      </c>
      <c r="D3329" s="3" t="s">
        <v>32</v>
      </c>
      <c r="E3329" s="4" t="s">
        <v>22</v>
      </c>
      <c r="F3329" s="4" t="s">
        <v>17432</v>
      </c>
      <c r="G3329" s="4" t="s">
        <v>17433</v>
      </c>
      <c r="H3329" s="3" t="s">
        <v>16292</v>
      </c>
      <c r="I3329" s="3" t="s">
        <v>17434</v>
      </c>
      <c r="J3329" s="3" t="s">
        <v>6312</v>
      </c>
      <c r="K3329" s="3" t="s">
        <v>17435</v>
      </c>
      <c r="L3329" s="3"/>
      <c r="M3329" s="4"/>
      <c r="N3329" s="3" t="s">
        <v>37</v>
      </c>
      <c r="O3329" s="3" t="s">
        <v>52</v>
      </c>
      <c r="P3329" s="5">
        <v>1</v>
      </c>
      <c r="Q3329" s="5">
        <v>9</v>
      </c>
      <c r="R3329" s="5">
        <v>3</v>
      </c>
      <c r="S3329" s="5">
        <v>30</v>
      </c>
    </row>
    <row r="3330" spans="1:19" ht="28" x14ac:dyDescent="0.15">
      <c r="A3330" s="2">
        <f>HYPERLINK("https://open-school.uspishnemisto.com.ua/school/180242/", 180242)</f>
        <v>180242</v>
      </c>
      <c r="B3330" s="3" t="s">
        <v>17436</v>
      </c>
      <c r="C3330" s="3" t="s">
        <v>31</v>
      </c>
      <c r="D3330" s="3" t="s">
        <v>175</v>
      </c>
      <c r="E3330" s="4" t="s">
        <v>22</v>
      </c>
      <c r="F3330" s="4" t="s">
        <v>17437</v>
      </c>
      <c r="G3330" s="4" t="s">
        <v>17438</v>
      </c>
      <c r="H3330" s="3" t="s">
        <v>16292</v>
      </c>
      <c r="I3330" s="3" t="s">
        <v>17439</v>
      </c>
      <c r="J3330" s="3" t="s">
        <v>17440</v>
      </c>
      <c r="K3330" s="3" t="s">
        <v>17441</v>
      </c>
      <c r="L3330" s="3"/>
      <c r="M3330" s="4"/>
      <c r="N3330" s="3" t="s">
        <v>37</v>
      </c>
      <c r="O3330" s="3" t="s">
        <v>2740</v>
      </c>
      <c r="P3330" s="5">
        <v>7</v>
      </c>
      <c r="Q3330" s="5">
        <v>44</v>
      </c>
      <c r="R3330" s="5">
        <v>8</v>
      </c>
      <c r="S3330" s="5">
        <v>51</v>
      </c>
    </row>
    <row r="3331" spans="1:19" ht="42" x14ac:dyDescent="0.15">
      <c r="A3331" s="2">
        <f>HYPERLINK("https://open-school.uspishnemisto.com.ua/school/180243/", 180243)</f>
        <v>180243</v>
      </c>
      <c r="B3331" s="3" t="s">
        <v>17442</v>
      </c>
      <c r="C3331" s="3" t="s">
        <v>20</v>
      </c>
      <c r="D3331" s="3" t="s">
        <v>21</v>
      </c>
      <c r="E3331" s="4" t="s">
        <v>22</v>
      </c>
      <c r="F3331" s="4" t="s">
        <v>17443</v>
      </c>
      <c r="G3331" s="4" t="s">
        <v>17444</v>
      </c>
      <c r="H3331" s="3" t="s">
        <v>16292</v>
      </c>
      <c r="I3331" s="3" t="s">
        <v>17445</v>
      </c>
      <c r="J3331" s="3" t="s">
        <v>17446</v>
      </c>
      <c r="K3331" s="3" t="s">
        <v>17447</v>
      </c>
      <c r="L3331" s="3"/>
      <c r="M3331" s="4"/>
      <c r="N3331" s="3"/>
      <c r="O3331" s="3"/>
      <c r="P3331" s="5">
        <v>0</v>
      </c>
      <c r="Q3331" s="5">
        <v>0</v>
      </c>
      <c r="R3331" s="5"/>
      <c r="S3331" s="5"/>
    </row>
    <row r="3332" spans="1:19" ht="28" x14ac:dyDescent="0.15">
      <c r="A3332" s="2">
        <f>HYPERLINK("https://open-school.uspishnemisto.com.ua/school/180244/", 180244)</f>
        <v>180244</v>
      </c>
      <c r="B3332" s="3" t="s">
        <v>17448</v>
      </c>
      <c r="C3332" s="3" t="s">
        <v>40</v>
      </c>
      <c r="D3332" s="3" t="s">
        <v>32</v>
      </c>
      <c r="E3332" s="4" t="s">
        <v>22</v>
      </c>
      <c r="F3332" s="4" t="s">
        <v>17443</v>
      </c>
      <c r="G3332" s="4" t="s">
        <v>17444</v>
      </c>
      <c r="H3332" s="3" t="s">
        <v>16292</v>
      </c>
      <c r="I3332" s="3" t="s">
        <v>17445</v>
      </c>
      <c r="J3332" s="3" t="s">
        <v>17449</v>
      </c>
      <c r="K3332" s="3" t="s">
        <v>17450</v>
      </c>
      <c r="L3332" s="3"/>
      <c r="M3332" s="4"/>
      <c r="N3332" s="3" t="s">
        <v>37</v>
      </c>
      <c r="O3332" s="3" t="s">
        <v>38</v>
      </c>
      <c r="P3332" s="5">
        <v>22</v>
      </c>
      <c r="Q3332" s="5">
        <v>437</v>
      </c>
      <c r="R3332" s="5">
        <v>22</v>
      </c>
      <c r="S3332" s="5">
        <v>445</v>
      </c>
    </row>
    <row r="3333" spans="1:19" ht="28" x14ac:dyDescent="0.15">
      <c r="A3333" s="2">
        <f>HYPERLINK("https://open-school.uspishnemisto.com.ua/school/180245/", 180245)</f>
        <v>180245</v>
      </c>
      <c r="B3333" s="3" t="s">
        <v>17451</v>
      </c>
      <c r="C3333" s="3" t="s">
        <v>31</v>
      </c>
      <c r="D3333" s="3" t="s">
        <v>32</v>
      </c>
      <c r="E3333" s="4" t="s">
        <v>22</v>
      </c>
      <c r="F3333" s="4" t="s">
        <v>17443</v>
      </c>
      <c r="G3333" s="4" t="s">
        <v>17444</v>
      </c>
      <c r="H3333" s="3" t="s">
        <v>16292</v>
      </c>
      <c r="I3333" s="3" t="s">
        <v>17445</v>
      </c>
      <c r="J3333" s="3" t="s">
        <v>2757</v>
      </c>
      <c r="K3333" s="3" t="s">
        <v>17452</v>
      </c>
      <c r="L3333" s="3" t="s">
        <v>17453</v>
      </c>
      <c r="M3333" s="4"/>
      <c r="N3333" s="3" t="s">
        <v>37</v>
      </c>
      <c r="O3333" s="3" t="s">
        <v>38</v>
      </c>
      <c r="P3333" s="5">
        <v>21</v>
      </c>
      <c r="Q3333" s="5">
        <v>409</v>
      </c>
      <c r="R3333" s="5">
        <v>21</v>
      </c>
      <c r="S3333" s="5">
        <v>388</v>
      </c>
    </row>
    <row r="3334" spans="1:19" ht="28" x14ac:dyDescent="0.15">
      <c r="A3334" s="2">
        <f>HYPERLINK("https://open-school.uspishnemisto.com.ua/school/180246/", 180246)</f>
        <v>180246</v>
      </c>
      <c r="B3334" s="3" t="s">
        <v>17454</v>
      </c>
      <c r="C3334" s="3" t="s">
        <v>31</v>
      </c>
      <c r="D3334" s="3" t="s">
        <v>175</v>
      </c>
      <c r="E3334" s="4" t="s">
        <v>22</v>
      </c>
      <c r="F3334" s="4" t="s">
        <v>17455</v>
      </c>
      <c r="G3334" s="4" t="s">
        <v>17456</v>
      </c>
      <c r="H3334" s="3" t="s">
        <v>16292</v>
      </c>
      <c r="I3334" s="3" t="s">
        <v>17457</v>
      </c>
      <c r="J3334" s="3" t="s">
        <v>17458</v>
      </c>
      <c r="K3334" s="3" t="s">
        <v>17459</v>
      </c>
      <c r="L3334" s="3"/>
      <c r="M3334" s="4"/>
      <c r="N3334" s="3" t="s">
        <v>37</v>
      </c>
      <c r="O3334" s="3" t="s">
        <v>52</v>
      </c>
      <c r="P3334" s="5">
        <v>9</v>
      </c>
      <c r="Q3334" s="5">
        <v>78</v>
      </c>
      <c r="R3334" s="5">
        <v>9</v>
      </c>
      <c r="S3334" s="5">
        <v>71</v>
      </c>
    </row>
    <row r="3335" spans="1:19" ht="28" x14ac:dyDescent="0.15">
      <c r="A3335" s="2">
        <f>HYPERLINK("https://open-school.uspishnemisto.com.ua/school/180247/", 180247)</f>
        <v>180247</v>
      </c>
      <c r="B3335" s="3" t="s">
        <v>17460</v>
      </c>
      <c r="C3335" s="3" t="s">
        <v>31</v>
      </c>
      <c r="D3335" s="3" t="s">
        <v>32</v>
      </c>
      <c r="E3335" s="4" t="s">
        <v>22</v>
      </c>
      <c r="F3335" s="4" t="s">
        <v>17461</v>
      </c>
      <c r="G3335" s="4" t="s">
        <v>17462</v>
      </c>
      <c r="H3335" s="3" t="s">
        <v>16292</v>
      </c>
      <c r="I3335" s="3" t="s">
        <v>17463</v>
      </c>
      <c r="J3335" s="3" t="s">
        <v>17464</v>
      </c>
      <c r="K3335" s="3" t="s">
        <v>17465</v>
      </c>
      <c r="L3335" s="3"/>
      <c r="M3335" s="4"/>
      <c r="N3335" s="3" t="s">
        <v>37</v>
      </c>
      <c r="O3335" s="3" t="s">
        <v>38</v>
      </c>
      <c r="P3335" s="5">
        <v>11</v>
      </c>
      <c r="Q3335" s="5">
        <v>124</v>
      </c>
      <c r="R3335" s="5">
        <v>11</v>
      </c>
      <c r="S3335" s="5">
        <v>135</v>
      </c>
    </row>
    <row r="3336" spans="1:19" ht="28" x14ac:dyDescent="0.15">
      <c r="A3336" s="2">
        <f>HYPERLINK("https://open-school.uspishnemisto.com.ua/school/180248/", 180248)</f>
        <v>180248</v>
      </c>
      <c r="B3336" s="3" t="s">
        <v>17466</v>
      </c>
      <c r="C3336" s="3" t="s">
        <v>31</v>
      </c>
      <c r="D3336" s="3" t="s">
        <v>32</v>
      </c>
      <c r="E3336" s="4" t="s">
        <v>22</v>
      </c>
      <c r="F3336" s="4" t="s">
        <v>17467</v>
      </c>
      <c r="G3336" s="4" t="s">
        <v>17468</v>
      </c>
      <c r="H3336" s="3" t="s">
        <v>16292</v>
      </c>
      <c r="I3336" s="3" t="s">
        <v>17469</v>
      </c>
      <c r="J3336" s="3" t="s">
        <v>17470</v>
      </c>
      <c r="K3336" s="3" t="s">
        <v>17471</v>
      </c>
      <c r="L3336" s="3"/>
      <c r="M3336" s="4"/>
      <c r="N3336" s="3" t="s">
        <v>37</v>
      </c>
      <c r="O3336" s="3" t="s">
        <v>38</v>
      </c>
      <c r="P3336" s="5">
        <v>7</v>
      </c>
      <c r="Q3336" s="5">
        <v>66</v>
      </c>
      <c r="R3336" s="5">
        <v>6</v>
      </c>
      <c r="S3336" s="5">
        <v>59</v>
      </c>
    </row>
    <row r="3337" spans="1:19" ht="28" x14ac:dyDescent="0.15">
      <c r="A3337" s="2">
        <f>HYPERLINK("https://open-school.uspishnemisto.com.ua/school/180249/", 180249)</f>
        <v>180249</v>
      </c>
      <c r="B3337" s="3" t="s">
        <v>17472</v>
      </c>
      <c r="C3337" s="3" t="s">
        <v>31</v>
      </c>
      <c r="D3337" s="3" t="s">
        <v>32</v>
      </c>
      <c r="E3337" s="4" t="s">
        <v>22</v>
      </c>
      <c r="F3337" s="4" t="s">
        <v>17473</v>
      </c>
      <c r="G3337" s="4" t="s">
        <v>17474</v>
      </c>
      <c r="H3337" s="3" t="s">
        <v>16292</v>
      </c>
      <c r="I3337" s="3" t="s">
        <v>17475</v>
      </c>
      <c r="J3337" s="3" t="s">
        <v>17476</v>
      </c>
      <c r="K3337" s="3" t="s">
        <v>17477</v>
      </c>
      <c r="L3337" s="3"/>
      <c r="M3337" s="4"/>
      <c r="N3337" s="3" t="s">
        <v>37</v>
      </c>
      <c r="O3337" s="3" t="s">
        <v>38</v>
      </c>
      <c r="P3337" s="5">
        <v>11</v>
      </c>
      <c r="Q3337" s="5">
        <v>156</v>
      </c>
      <c r="R3337" s="5">
        <v>11</v>
      </c>
      <c r="S3337" s="5">
        <v>148</v>
      </c>
    </row>
    <row r="3338" spans="1:19" ht="28" x14ac:dyDescent="0.15">
      <c r="A3338" s="2">
        <f>HYPERLINK("https://open-school.uspishnemisto.com.ua/school/180250/", 180250)</f>
        <v>180250</v>
      </c>
      <c r="B3338" s="3" t="s">
        <v>17478</v>
      </c>
      <c r="C3338" s="3" t="s">
        <v>31</v>
      </c>
      <c r="D3338" s="3" t="s">
        <v>32</v>
      </c>
      <c r="E3338" s="4" t="s">
        <v>22</v>
      </c>
      <c r="F3338" s="4" t="s">
        <v>17479</v>
      </c>
      <c r="G3338" s="4" t="s">
        <v>17480</v>
      </c>
      <c r="H3338" s="3" t="s">
        <v>16292</v>
      </c>
      <c r="I3338" s="3" t="s">
        <v>17481</v>
      </c>
      <c r="J3338" s="3" t="s">
        <v>17482</v>
      </c>
      <c r="K3338" s="3" t="s">
        <v>17483</v>
      </c>
      <c r="L3338" s="3"/>
      <c r="M3338" s="4"/>
      <c r="N3338" s="3" t="s">
        <v>37</v>
      </c>
      <c r="O3338" s="3" t="s">
        <v>70</v>
      </c>
      <c r="P3338" s="5">
        <v>9</v>
      </c>
      <c r="Q3338" s="5">
        <v>65</v>
      </c>
      <c r="R3338" s="5">
        <v>9</v>
      </c>
      <c r="S3338" s="5">
        <v>68</v>
      </c>
    </row>
    <row r="3339" spans="1:19" ht="28" x14ac:dyDescent="0.15">
      <c r="A3339" s="2">
        <f>HYPERLINK("https://open-school.uspishnemisto.com.ua/school/180251/", 180251)</f>
        <v>180251</v>
      </c>
      <c r="B3339" s="3" t="s">
        <v>17484</v>
      </c>
      <c r="C3339" s="3" t="s">
        <v>31</v>
      </c>
      <c r="D3339" s="3" t="s">
        <v>32</v>
      </c>
      <c r="E3339" s="4" t="s">
        <v>22</v>
      </c>
      <c r="F3339" s="4" t="s">
        <v>17485</v>
      </c>
      <c r="G3339" s="4" t="s">
        <v>17486</v>
      </c>
      <c r="H3339" s="3" t="s">
        <v>16292</v>
      </c>
      <c r="I3339" s="3" t="s">
        <v>12816</v>
      </c>
      <c r="J3339" s="3" t="s">
        <v>297</v>
      </c>
      <c r="K3339" s="3" t="s">
        <v>17487</v>
      </c>
      <c r="L3339" s="3" t="s">
        <v>17488</v>
      </c>
      <c r="M3339" s="4"/>
      <c r="N3339" s="3" t="s">
        <v>37</v>
      </c>
      <c r="O3339" s="3" t="s">
        <v>721</v>
      </c>
      <c r="P3339" s="5">
        <v>10</v>
      </c>
      <c r="Q3339" s="5">
        <v>70</v>
      </c>
      <c r="R3339" s="5">
        <v>10</v>
      </c>
      <c r="S3339" s="5">
        <v>77</v>
      </c>
    </row>
    <row r="3340" spans="1:19" ht="28" x14ac:dyDescent="0.15">
      <c r="A3340" s="2">
        <f>HYPERLINK("https://open-school.uspishnemisto.com.ua/school/180252/", 180252)</f>
        <v>180252</v>
      </c>
      <c r="B3340" s="3" t="s">
        <v>17489</v>
      </c>
      <c r="C3340" s="3" t="s">
        <v>31</v>
      </c>
      <c r="D3340" s="3" t="s">
        <v>60</v>
      </c>
      <c r="E3340" s="4" t="s">
        <v>22</v>
      </c>
      <c r="F3340" s="4" t="s">
        <v>17490</v>
      </c>
      <c r="G3340" s="4" t="s">
        <v>17491</v>
      </c>
      <c r="H3340" s="3" t="s">
        <v>16292</v>
      </c>
      <c r="I3340" s="3" t="s">
        <v>17492</v>
      </c>
      <c r="J3340" s="3" t="s">
        <v>5884</v>
      </c>
      <c r="K3340" s="3" t="s">
        <v>17493</v>
      </c>
      <c r="L3340" s="3"/>
      <c r="M3340" s="4"/>
      <c r="N3340" s="3" t="s">
        <v>37</v>
      </c>
      <c r="O3340" s="3" t="s">
        <v>618</v>
      </c>
      <c r="P3340" s="5">
        <v>0</v>
      </c>
      <c r="Q3340" s="5">
        <v>10</v>
      </c>
      <c r="R3340" s="5">
        <v>0</v>
      </c>
      <c r="S3340" s="5">
        <v>10</v>
      </c>
    </row>
    <row r="3341" spans="1:19" ht="28" x14ac:dyDescent="0.15">
      <c r="A3341" s="2">
        <f>HYPERLINK("https://open-school.uspishnemisto.com.ua/school/180253/", 180253)</f>
        <v>180253</v>
      </c>
      <c r="B3341" s="3" t="s">
        <v>17494</v>
      </c>
      <c r="C3341" s="3" t="s">
        <v>31</v>
      </c>
      <c r="D3341" s="3" t="s">
        <v>32</v>
      </c>
      <c r="E3341" s="4" t="s">
        <v>22</v>
      </c>
      <c r="F3341" s="4" t="s">
        <v>17495</v>
      </c>
      <c r="G3341" s="4" t="s">
        <v>17496</v>
      </c>
      <c r="H3341" s="3" t="s">
        <v>16292</v>
      </c>
      <c r="I3341" s="3" t="s">
        <v>17497</v>
      </c>
      <c r="J3341" s="3" t="s">
        <v>3112</v>
      </c>
      <c r="K3341" s="3" t="s">
        <v>17498</v>
      </c>
      <c r="L3341" s="3"/>
      <c r="M3341" s="4"/>
      <c r="N3341" s="3" t="s">
        <v>37</v>
      </c>
      <c r="O3341" s="3" t="s">
        <v>112</v>
      </c>
      <c r="P3341" s="5">
        <v>11</v>
      </c>
      <c r="Q3341" s="5">
        <v>102</v>
      </c>
      <c r="R3341" s="5">
        <v>11</v>
      </c>
      <c r="S3341" s="5">
        <v>105</v>
      </c>
    </row>
    <row r="3342" spans="1:19" ht="28" x14ac:dyDescent="0.15">
      <c r="A3342" s="2">
        <f>HYPERLINK("https://open-school.uspishnemisto.com.ua/school/180254/", 180254)</f>
        <v>180254</v>
      </c>
      <c r="B3342" s="3" t="s">
        <v>17499</v>
      </c>
      <c r="C3342" s="3" t="s">
        <v>31</v>
      </c>
      <c r="D3342" s="3" t="s">
        <v>175</v>
      </c>
      <c r="E3342" s="4" t="s">
        <v>22</v>
      </c>
      <c r="F3342" s="4" t="s">
        <v>17500</v>
      </c>
      <c r="G3342" s="4" t="s">
        <v>17501</v>
      </c>
      <c r="H3342" s="3" t="s">
        <v>16292</v>
      </c>
      <c r="I3342" s="3" t="s">
        <v>17502</v>
      </c>
      <c r="J3342" s="3" t="s">
        <v>17503</v>
      </c>
      <c r="K3342" s="3" t="s">
        <v>17504</v>
      </c>
      <c r="L3342" s="3"/>
      <c r="M3342" s="4"/>
      <c r="N3342" s="3" t="s">
        <v>37</v>
      </c>
      <c r="O3342" s="3" t="s">
        <v>46</v>
      </c>
      <c r="P3342" s="5">
        <v>6</v>
      </c>
      <c r="Q3342" s="5">
        <v>57</v>
      </c>
      <c r="R3342" s="5">
        <v>8</v>
      </c>
      <c r="S3342" s="5">
        <v>58</v>
      </c>
    </row>
    <row r="3343" spans="1:19" ht="28" x14ac:dyDescent="0.15">
      <c r="A3343" s="2">
        <f>HYPERLINK("https://open-school.uspishnemisto.com.ua/school/180255/", 180255)</f>
        <v>180255</v>
      </c>
      <c r="B3343" s="3" t="s">
        <v>17505</v>
      </c>
      <c r="C3343" s="3" t="s">
        <v>31</v>
      </c>
      <c r="D3343" s="3" t="s">
        <v>175</v>
      </c>
      <c r="E3343" s="4" t="s">
        <v>22</v>
      </c>
      <c r="F3343" s="4" t="s">
        <v>17506</v>
      </c>
      <c r="G3343" s="4" t="s">
        <v>17507</v>
      </c>
      <c r="H3343" s="3" t="s">
        <v>16292</v>
      </c>
      <c r="I3343" s="3" t="s">
        <v>17508</v>
      </c>
      <c r="J3343" s="3" t="s">
        <v>466</v>
      </c>
      <c r="K3343" s="3" t="s">
        <v>17509</v>
      </c>
      <c r="L3343" s="3"/>
      <c r="M3343" s="4"/>
      <c r="N3343" s="3" t="s">
        <v>37</v>
      </c>
      <c r="O3343" s="3" t="s">
        <v>112</v>
      </c>
      <c r="P3343" s="5">
        <v>7</v>
      </c>
      <c r="Q3343" s="5">
        <v>42</v>
      </c>
      <c r="R3343" s="5">
        <v>8</v>
      </c>
      <c r="S3343" s="5">
        <v>48</v>
      </c>
    </row>
    <row r="3344" spans="1:19" ht="28" x14ac:dyDescent="0.15">
      <c r="A3344" s="2">
        <f>HYPERLINK("https://open-school.uspishnemisto.com.ua/school/180256/", 180256)</f>
        <v>180256</v>
      </c>
      <c r="B3344" s="3" t="s">
        <v>17510</v>
      </c>
      <c r="C3344" s="3" t="s">
        <v>31</v>
      </c>
      <c r="D3344" s="3" t="s">
        <v>32</v>
      </c>
      <c r="E3344" s="4" t="s">
        <v>22</v>
      </c>
      <c r="F3344" s="4" t="s">
        <v>17511</v>
      </c>
      <c r="G3344" s="4" t="s">
        <v>17512</v>
      </c>
      <c r="H3344" s="3" t="s">
        <v>16292</v>
      </c>
      <c r="I3344" s="3" t="s">
        <v>17513</v>
      </c>
      <c r="J3344" s="3" t="s">
        <v>17514</v>
      </c>
      <c r="K3344" s="3" t="s">
        <v>17515</v>
      </c>
      <c r="L3344" s="3"/>
      <c r="M3344" s="4"/>
      <c r="N3344" s="3" t="s">
        <v>37</v>
      </c>
      <c r="O3344" s="3" t="s">
        <v>70</v>
      </c>
      <c r="P3344" s="5">
        <v>10</v>
      </c>
      <c r="Q3344" s="5">
        <v>106</v>
      </c>
      <c r="R3344" s="5">
        <v>10</v>
      </c>
      <c r="S3344" s="5">
        <v>106</v>
      </c>
    </row>
    <row r="3345" spans="1:19" ht="28" x14ac:dyDescent="0.15">
      <c r="A3345" s="2">
        <f>HYPERLINK("https://open-school.uspishnemisto.com.ua/school/180257/", 180257)</f>
        <v>180257</v>
      </c>
      <c r="B3345" s="3" t="s">
        <v>17516</v>
      </c>
      <c r="C3345" s="3" t="s">
        <v>31</v>
      </c>
      <c r="D3345" s="3" t="s">
        <v>32</v>
      </c>
      <c r="E3345" s="4" t="s">
        <v>22</v>
      </c>
      <c r="F3345" s="4" t="s">
        <v>17517</v>
      </c>
      <c r="G3345" s="4" t="s">
        <v>17518</v>
      </c>
      <c r="H3345" s="3" t="s">
        <v>16292</v>
      </c>
      <c r="I3345" s="3" t="s">
        <v>17519</v>
      </c>
      <c r="J3345" s="3" t="s">
        <v>17319</v>
      </c>
      <c r="K3345" s="3" t="s">
        <v>17520</v>
      </c>
      <c r="L3345" s="3"/>
      <c r="M3345" s="4"/>
      <c r="N3345" s="3" t="s">
        <v>37</v>
      </c>
      <c r="O3345" s="3" t="s">
        <v>38</v>
      </c>
      <c r="P3345" s="5">
        <v>11</v>
      </c>
      <c r="Q3345" s="5">
        <v>138</v>
      </c>
      <c r="R3345" s="5">
        <v>11</v>
      </c>
      <c r="S3345" s="5">
        <v>137</v>
      </c>
    </row>
    <row r="3346" spans="1:19" ht="28" x14ac:dyDescent="0.15">
      <c r="A3346" s="2">
        <f>HYPERLINK("https://open-school.uspishnemisto.com.ua/school/180258/", 180258)</f>
        <v>180258</v>
      </c>
      <c r="B3346" s="3" t="s">
        <v>17521</v>
      </c>
      <c r="C3346" s="3" t="s">
        <v>31</v>
      </c>
      <c r="D3346" s="3" t="s">
        <v>175</v>
      </c>
      <c r="E3346" s="4" t="s">
        <v>22</v>
      </c>
      <c r="F3346" s="4" t="s">
        <v>17517</v>
      </c>
      <c r="G3346" s="4" t="s">
        <v>17522</v>
      </c>
      <c r="H3346" s="3" t="s">
        <v>16292</v>
      </c>
      <c r="I3346" s="3" t="s">
        <v>17523</v>
      </c>
      <c r="J3346" s="3" t="s">
        <v>2384</v>
      </c>
      <c r="K3346" s="3" t="s">
        <v>17524</v>
      </c>
      <c r="L3346" s="3"/>
      <c r="M3346" s="4"/>
      <c r="N3346" s="3" t="s">
        <v>37</v>
      </c>
      <c r="O3346" s="3" t="s">
        <v>38</v>
      </c>
      <c r="P3346" s="5">
        <v>7</v>
      </c>
      <c r="Q3346" s="5">
        <v>46</v>
      </c>
      <c r="R3346" s="5">
        <v>6</v>
      </c>
      <c r="S3346" s="5">
        <v>44</v>
      </c>
    </row>
    <row r="3347" spans="1:19" ht="28" x14ac:dyDescent="0.15">
      <c r="A3347" s="2">
        <f>HYPERLINK("https://open-school.uspishnemisto.com.ua/school/180259/", 180259)</f>
        <v>180259</v>
      </c>
      <c r="B3347" s="3" t="s">
        <v>17525</v>
      </c>
      <c r="C3347" s="3" t="s">
        <v>31</v>
      </c>
      <c r="D3347" s="3" t="s">
        <v>32</v>
      </c>
      <c r="E3347" s="4" t="s">
        <v>22</v>
      </c>
      <c r="F3347" s="4" t="s">
        <v>17526</v>
      </c>
      <c r="G3347" s="4" t="s">
        <v>17527</v>
      </c>
      <c r="H3347" s="3" t="s">
        <v>16292</v>
      </c>
      <c r="I3347" s="3" t="s">
        <v>17528</v>
      </c>
      <c r="J3347" s="3" t="s">
        <v>17529</v>
      </c>
      <c r="K3347" s="3" t="s">
        <v>17530</v>
      </c>
      <c r="L3347" s="3"/>
      <c r="M3347" s="4"/>
      <c r="N3347" s="3" t="s">
        <v>37</v>
      </c>
      <c r="O3347" s="3" t="s">
        <v>70</v>
      </c>
      <c r="P3347" s="5">
        <v>10</v>
      </c>
      <c r="Q3347" s="5">
        <v>122</v>
      </c>
      <c r="R3347" s="5">
        <v>12</v>
      </c>
      <c r="S3347" s="5">
        <v>137</v>
      </c>
    </row>
    <row r="3348" spans="1:19" ht="28" x14ac:dyDescent="0.15">
      <c r="A3348" s="2">
        <f>HYPERLINK("https://open-school.uspishnemisto.com.ua/school/180260/", 180260)</f>
        <v>180260</v>
      </c>
      <c r="B3348" s="3" t="s">
        <v>17531</v>
      </c>
      <c r="C3348" s="3" t="s">
        <v>31</v>
      </c>
      <c r="D3348" s="3" t="s">
        <v>175</v>
      </c>
      <c r="E3348" s="4" t="s">
        <v>22</v>
      </c>
      <c r="F3348" s="4" t="s">
        <v>17532</v>
      </c>
      <c r="G3348" s="4" t="s">
        <v>17533</v>
      </c>
      <c r="H3348" s="3" t="s">
        <v>16292</v>
      </c>
      <c r="I3348" s="3" t="s">
        <v>17534</v>
      </c>
      <c r="J3348" s="3" t="s">
        <v>466</v>
      </c>
      <c r="K3348" s="3" t="s">
        <v>17535</v>
      </c>
      <c r="L3348" s="3"/>
      <c r="M3348" s="4"/>
      <c r="N3348" s="3" t="s">
        <v>37</v>
      </c>
      <c r="O3348" s="3" t="s">
        <v>70</v>
      </c>
      <c r="P3348" s="5">
        <v>2</v>
      </c>
      <c r="Q3348" s="5">
        <v>25</v>
      </c>
      <c r="R3348" s="5">
        <v>2</v>
      </c>
      <c r="S3348" s="5">
        <v>25</v>
      </c>
    </row>
    <row r="3349" spans="1:19" ht="28" x14ac:dyDescent="0.15">
      <c r="A3349" s="2">
        <f>HYPERLINK("https://open-school.uspishnemisto.com.ua/school/180261/", 180261)</f>
        <v>180261</v>
      </c>
      <c r="B3349" s="3" t="s">
        <v>17536</v>
      </c>
      <c r="C3349" s="3" t="s">
        <v>31</v>
      </c>
      <c r="D3349" s="3" t="s">
        <v>175</v>
      </c>
      <c r="E3349" s="4" t="s">
        <v>22</v>
      </c>
      <c r="F3349" s="4" t="s">
        <v>17537</v>
      </c>
      <c r="G3349" s="4" t="s">
        <v>17538</v>
      </c>
      <c r="H3349" s="3" t="s">
        <v>16292</v>
      </c>
      <c r="I3349" s="3" t="s">
        <v>17539</v>
      </c>
      <c r="J3349" s="3" t="s">
        <v>17540</v>
      </c>
      <c r="K3349" s="3" t="s">
        <v>17541</v>
      </c>
      <c r="L3349" s="3"/>
      <c r="M3349" s="4"/>
      <c r="N3349" s="3" t="s">
        <v>37</v>
      </c>
      <c r="O3349" s="3" t="s">
        <v>38</v>
      </c>
      <c r="P3349" s="5">
        <v>6</v>
      </c>
      <c r="Q3349" s="5">
        <v>45</v>
      </c>
      <c r="R3349" s="5">
        <v>7</v>
      </c>
      <c r="S3349" s="5">
        <v>42</v>
      </c>
    </row>
    <row r="3350" spans="1:19" ht="28" x14ac:dyDescent="0.15">
      <c r="A3350" s="2">
        <f>HYPERLINK("https://open-school.uspishnemisto.com.ua/school/180262/", 180262)</f>
        <v>180262</v>
      </c>
      <c r="B3350" s="3" t="s">
        <v>17542</v>
      </c>
      <c r="C3350" s="3" t="s">
        <v>31</v>
      </c>
      <c r="D3350" s="3" t="s">
        <v>175</v>
      </c>
      <c r="E3350" s="4" t="s">
        <v>22</v>
      </c>
      <c r="F3350" s="4" t="s">
        <v>17543</v>
      </c>
      <c r="G3350" s="4" t="s">
        <v>17544</v>
      </c>
      <c r="H3350" s="3" t="s">
        <v>16292</v>
      </c>
      <c r="I3350" s="3" t="s">
        <v>17545</v>
      </c>
      <c r="J3350" s="3" t="s">
        <v>17546</v>
      </c>
      <c r="K3350" s="3" t="s">
        <v>17547</v>
      </c>
      <c r="L3350" s="3"/>
      <c r="M3350" s="4"/>
      <c r="N3350" s="3" t="s">
        <v>37</v>
      </c>
      <c r="O3350" s="3" t="s">
        <v>38</v>
      </c>
      <c r="P3350" s="5">
        <v>6</v>
      </c>
      <c r="Q3350" s="5">
        <v>53</v>
      </c>
      <c r="R3350" s="5">
        <v>6</v>
      </c>
      <c r="S3350" s="5">
        <v>49</v>
      </c>
    </row>
    <row r="3351" spans="1:19" ht="28" x14ac:dyDescent="0.15">
      <c r="A3351" s="2">
        <f>HYPERLINK("https://open-school.uspishnemisto.com.ua/school/180263/", 180263)</f>
        <v>180263</v>
      </c>
      <c r="B3351" s="3" t="s">
        <v>17548</v>
      </c>
      <c r="C3351" s="3" t="s">
        <v>31</v>
      </c>
      <c r="D3351" s="3" t="s">
        <v>175</v>
      </c>
      <c r="E3351" s="4" t="s">
        <v>22</v>
      </c>
      <c r="F3351" s="4" t="s">
        <v>17543</v>
      </c>
      <c r="G3351" s="4" t="s">
        <v>17549</v>
      </c>
      <c r="H3351" s="3" t="s">
        <v>16292</v>
      </c>
      <c r="I3351" s="3" t="s">
        <v>17550</v>
      </c>
      <c r="J3351" s="3" t="s">
        <v>1348</v>
      </c>
      <c r="K3351" s="3" t="s">
        <v>17551</v>
      </c>
      <c r="L3351" s="3"/>
      <c r="M3351" s="4"/>
      <c r="N3351" s="3" t="s">
        <v>37</v>
      </c>
      <c r="O3351" s="3" t="s">
        <v>38</v>
      </c>
      <c r="P3351" s="5">
        <v>2</v>
      </c>
      <c r="Q3351" s="5">
        <v>25</v>
      </c>
      <c r="R3351" s="5">
        <v>2</v>
      </c>
      <c r="S3351" s="5">
        <v>25</v>
      </c>
    </row>
    <row r="3352" spans="1:19" ht="28" x14ac:dyDescent="0.15">
      <c r="A3352" s="2">
        <f>HYPERLINK("https://open-school.uspishnemisto.com.ua/school/180264/", 180264)</f>
        <v>180264</v>
      </c>
      <c r="B3352" s="3" t="s">
        <v>17552</v>
      </c>
      <c r="C3352" s="3" t="s">
        <v>31</v>
      </c>
      <c r="D3352" s="3" t="s">
        <v>32</v>
      </c>
      <c r="E3352" s="4" t="s">
        <v>22</v>
      </c>
      <c r="F3352" s="4" t="s">
        <v>17553</v>
      </c>
      <c r="G3352" s="4" t="s">
        <v>17554</v>
      </c>
      <c r="H3352" s="3" t="s">
        <v>16292</v>
      </c>
      <c r="I3352" s="3" t="s">
        <v>1740</v>
      </c>
      <c r="J3352" s="3" t="s">
        <v>17555</v>
      </c>
      <c r="K3352" s="3" t="s">
        <v>17556</v>
      </c>
      <c r="L3352" s="3"/>
      <c r="M3352" s="4"/>
      <c r="N3352" s="3" t="s">
        <v>37</v>
      </c>
      <c r="O3352" s="3" t="s">
        <v>70</v>
      </c>
      <c r="P3352" s="5">
        <v>11</v>
      </c>
      <c r="Q3352" s="5">
        <v>154</v>
      </c>
      <c r="R3352" s="5">
        <v>11</v>
      </c>
      <c r="S3352" s="5">
        <v>157</v>
      </c>
    </row>
    <row r="3353" spans="1:19" ht="28" x14ac:dyDescent="0.15">
      <c r="A3353" s="2">
        <f>HYPERLINK("https://open-school.uspishnemisto.com.ua/school/180265/", 180265)</f>
        <v>180265</v>
      </c>
      <c r="B3353" s="3" t="s">
        <v>17557</v>
      </c>
      <c r="C3353" s="3" t="s">
        <v>31</v>
      </c>
      <c r="D3353" s="3" t="s">
        <v>60</v>
      </c>
      <c r="E3353" s="4" t="s">
        <v>22</v>
      </c>
      <c r="F3353" s="4" t="s">
        <v>17558</v>
      </c>
      <c r="G3353" s="4" t="s">
        <v>17559</v>
      </c>
      <c r="H3353" s="3" t="s">
        <v>16292</v>
      </c>
      <c r="I3353" s="3" t="s">
        <v>17560</v>
      </c>
      <c r="J3353" s="3" t="s">
        <v>17440</v>
      </c>
      <c r="K3353" s="3" t="s">
        <v>17561</v>
      </c>
      <c r="L3353" s="3"/>
      <c r="M3353" s="4"/>
      <c r="N3353" s="3" t="s">
        <v>37</v>
      </c>
      <c r="O3353" s="3" t="s">
        <v>52</v>
      </c>
      <c r="P3353" s="5">
        <v>1</v>
      </c>
      <c r="Q3353" s="5">
        <v>12</v>
      </c>
      <c r="R3353" s="5">
        <v>1</v>
      </c>
      <c r="S3353" s="5">
        <v>9</v>
      </c>
    </row>
    <row r="3354" spans="1:19" ht="28" x14ac:dyDescent="0.15">
      <c r="A3354" s="2">
        <f>HYPERLINK("https://open-school.uspishnemisto.com.ua/school/180266/", 180266)</f>
        <v>180266</v>
      </c>
      <c r="B3354" s="3" t="s">
        <v>17562</v>
      </c>
      <c r="C3354" s="3" t="s">
        <v>31</v>
      </c>
      <c r="D3354" s="3" t="s">
        <v>32</v>
      </c>
      <c r="E3354" s="4" t="s">
        <v>22</v>
      </c>
      <c r="F3354" s="4" t="s">
        <v>17563</v>
      </c>
      <c r="G3354" s="4" t="s">
        <v>17564</v>
      </c>
      <c r="H3354" s="3" t="s">
        <v>16292</v>
      </c>
      <c r="I3354" s="3" t="s">
        <v>17565</v>
      </c>
      <c r="J3354" s="3" t="s">
        <v>2757</v>
      </c>
      <c r="K3354" s="3" t="s">
        <v>17566</v>
      </c>
      <c r="L3354" s="3"/>
      <c r="M3354" s="4"/>
      <c r="N3354" s="3" t="s">
        <v>37</v>
      </c>
      <c r="O3354" s="3" t="s">
        <v>38</v>
      </c>
      <c r="P3354" s="5">
        <v>11</v>
      </c>
      <c r="Q3354" s="5">
        <v>124</v>
      </c>
      <c r="R3354" s="5">
        <v>10</v>
      </c>
      <c r="S3354" s="5">
        <v>120</v>
      </c>
    </row>
    <row r="3355" spans="1:19" ht="28" x14ac:dyDescent="0.15">
      <c r="A3355" s="2">
        <f>HYPERLINK("https://open-school.uspishnemisto.com.ua/school/180267/", 180267)</f>
        <v>180267</v>
      </c>
      <c r="B3355" s="3" t="s">
        <v>17567</v>
      </c>
      <c r="C3355" s="3" t="s">
        <v>31</v>
      </c>
      <c r="D3355" s="3" t="s">
        <v>32</v>
      </c>
      <c r="E3355" s="4" t="s">
        <v>22</v>
      </c>
      <c r="F3355" s="4" t="s">
        <v>17568</v>
      </c>
      <c r="G3355" s="4" t="s">
        <v>17569</v>
      </c>
      <c r="H3355" s="3" t="s">
        <v>16292</v>
      </c>
      <c r="I3355" s="3" t="s">
        <v>17570</v>
      </c>
      <c r="J3355" s="3" t="s">
        <v>639</v>
      </c>
      <c r="K3355" s="3" t="s">
        <v>17571</v>
      </c>
      <c r="L3355" s="3"/>
      <c r="M3355" s="4"/>
      <c r="N3355" s="3" t="s">
        <v>37</v>
      </c>
      <c r="O3355" s="3" t="s">
        <v>38</v>
      </c>
      <c r="P3355" s="5">
        <v>11</v>
      </c>
      <c r="Q3355" s="5">
        <v>79</v>
      </c>
      <c r="R3355" s="5">
        <v>11</v>
      </c>
      <c r="S3355" s="5">
        <v>77</v>
      </c>
    </row>
    <row r="3356" spans="1:19" ht="28" x14ac:dyDescent="0.15">
      <c r="A3356" s="2">
        <f>HYPERLINK("https://open-school.uspishnemisto.com.ua/school/180268/", 180268)</f>
        <v>180268</v>
      </c>
      <c r="B3356" s="3" t="s">
        <v>17572</v>
      </c>
      <c r="C3356" s="3" t="s">
        <v>31</v>
      </c>
      <c r="D3356" s="3" t="s">
        <v>32</v>
      </c>
      <c r="E3356" s="4" t="s">
        <v>22</v>
      </c>
      <c r="F3356" s="4" t="s">
        <v>17573</v>
      </c>
      <c r="G3356" s="4" t="s">
        <v>17574</v>
      </c>
      <c r="H3356" s="3" t="s">
        <v>16292</v>
      </c>
      <c r="I3356" s="3" t="s">
        <v>17575</v>
      </c>
      <c r="J3356" s="3" t="s">
        <v>297</v>
      </c>
      <c r="K3356" s="3" t="s">
        <v>17576</v>
      </c>
      <c r="L3356" s="3"/>
      <c r="M3356" s="4"/>
      <c r="N3356" s="3" t="s">
        <v>37</v>
      </c>
      <c r="O3356" s="3" t="s">
        <v>38</v>
      </c>
      <c r="P3356" s="5">
        <v>11</v>
      </c>
      <c r="Q3356" s="5">
        <v>135</v>
      </c>
      <c r="R3356" s="5">
        <v>11</v>
      </c>
      <c r="S3356" s="5">
        <v>131</v>
      </c>
    </row>
    <row r="3357" spans="1:19" ht="28" x14ac:dyDescent="0.15">
      <c r="A3357" s="2">
        <f>HYPERLINK("https://open-school.uspishnemisto.com.ua/school/180269/", 180269)</f>
        <v>180269</v>
      </c>
      <c r="B3357" s="3" t="s">
        <v>17577</v>
      </c>
      <c r="C3357" s="3" t="s">
        <v>31</v>
      </c>
      <c r="D3357" s="3" t="s">
        <v>175</v>
      </c>
      <c r="E3357" s="4" t="s">
        <v>22</v>
      </c>
      <c r="F3357" s="4" t="s">
        <v>17578</v>
      </c>
      <c r="G3357" s="4" t="s">
        <v>17579</v>
      </c>
      <c r="H3357" s="3" t="s">
        <v>16292</v>
      </c>
      <c r="I3357" s="3" t="s">
        <v>17580</v>
      </c>
      <c r="J3357" s="3" t="s">
        <v>5955</v>
      </c>
      <c r="K3357" s="3" t="s">
        <v>17581</v>
      </c>
      <c r="L3357" s="3"/>
      <c r="M3357" s="4"/>
      <c r="N3357" s="3" t="s">
        <v>37</v>
      </c>
      <c r="O3357" s="3" t="s">
        <v>70</v>
      </c>
      <c r="P3357" s="5">
        <v>8</v>
      </c>
      <c r="Q3357" s="5">
        <v>61</v>
      </c>
      <c r="R3357" s="5">
        <v>8</v>
      </c>
      <c r="S3357" s="5">
        <v>55</v>
      </c>
    </row>
    <row r="3358" spans="1:19" ht="28" x14ac:dyDescent="0.15">
      <c r="A3358" s="2">
        <f>HYPERLINK("https://open-school.uspishnemisto.com.ua/school/180270/", 180270)</f>
        <v>180270</v>
      </c>
      <c r="B3358" s="3" t="s">
        <v>17582</v>
      </c>
      <c r="C3358" s="3" t="s">
        <v>31</v>
      </c>
      <c r="D3358" s="3" t="s">
        <v>32</v>
      </c>
      <c r="E3358" s="4" t="s">
        <v>22</v>
      </c>
      <c r="F3358" s="4" t="s">
        <v>17583</v>
      </c>
      <c r="G3358" s="4" t="s">
        <v>17584</v>
      </c>
      <c r="H3358" s="3" t="s">
        <v>16292</v>
      </c>
      <c r="I3358" s="3" t="s">
        <v>17585</v>
      </c>
      <c r="J3358" s="3" t="s">
        <v>17586</v>
      </c>
      <c r="K3358" s="3" t="s">
        <v>17587</v>
      </c>
      <c r="L3358" s="3"/>
      <c r="M3358" s="4"/>
      <c r="N3358" s="3" t="s">
        <v>37</v>
      </c>
      <c r="O3358" s="3" t="s">
        <v>38</v>
      </c>
      <c r="P3358" s="5">
        <v>11</v>
      </c>
      <c r="Q3358" s="5">
        <v>108</v>
      </c>
      <c r="R3358" s="5">
        <v>11</v>
      </c>
      <c r="S3358" s="5">
        <v>117</v>
      </c>
    </row>
    <row r="3359" spans="1:19" ht="28" x14ac:dyDescent="0.15">
      <c r="A3359" s="2">
        <f>HYPERLINK("https://open-school.uspishnemisto.com.ua/school/180271/", 180271)</f>
        <v>180271</v>
      </c>
      <c r="B3359" s="3" t="s">
        <v>17588</v>
      </c>
      <c r="C3359" s="3" t="s">
        <v>31</v>
      </c>
      <c r="D3359" s="3" t="s">
        <v>32</v>
      </c>
      <c r="E3359" s="4" t="s">
        <v>22</v>
      </c>
      <c r="F3359" s="4" t="s">
        <v>17589</v>
      </c>
      <c r="G3359" s="4" t="s">
        <v>17590</v>
      </c>
      <c r="H3359" s="3" t="s">
        <v>16292</v>
      </c>
      <c r="I3359" s="3" t="s">
        <v>17591</v>
      </c>
      <c r="J3359" s="3" t="s">
        <v>297</v>
      </c>
      <c r="K3359" s="3" t="s">
        <v>17592</v>
      </c>
      <c r="L3359" s="3"/>
      <c r="M3359" s="4"/>
      <c r="N3359" s="3" t="s">
        <v>37</v>
      </c>
      <c r="O3359" s="3" t="s">
        <v>52</v>
      </c>
      <c r="P3359" s="5">
        <v>7</v>
      </c>
      <c r="Q3359" s="5">
        <v>55</v>
      </c>
      <c r="R3359" s="5">
        <v>7</v>
      </c>
      <c r="S3359" s="5">
        <v>55</v>
      </c>
    </row>
    <row r="3360" spans="1:19" ht="28" x14ac:dyDescent="0.15">
      <c r="A3360" s="2">
        <f>HYPERLINK("https://open-school.uspishnemisto.com.ua/school/180272/", 180272)</f>
        <v>180272</v>
      </c>
      <c r="B3360" s="3" t="s">
        <v>17593</v>
      </c>
      <c r="C3360" s="3" t="s">
        <v>31</v>
      </c>
      <c r="D3360" s="3" t="s">
        <v>175</v>
      </c>
      <c r="E3360" s="4" t="s">
        <v>22</v>
      </c>
      <c r="F3360" s="4" t="s">
        <v>17594</v>
      </c>
      <c r="G3360" s="4" t="s">
        <v>17595</v>
      </c>
      <c r="H3360" s="3" t="s">
        <v>16292</v>
      </c>
      <c r="I3360" s="3" t="s">
        <v>17596</v>
      </c>
      <c r="J3360" s="3" t="s">
        <v>17597</v>
      </c>
      <c r="K3360" s="3" t="s">
        <v>17598</v>
      </c>
      <c r="L3360" s="3"/>
      <c r="M3360" s="4"/>
      <c r="N3360" s="3" t="s">
        <v>37</v>
      </c>
      <c r="O3360" s="3" t="s">
        <v>38</v>
      </c>
      <c r="P3360" s="5">
        <v>4</v>
      </c>
      <c r="Q3360" s="5">
        <v>32</v>
      </c>
      <c r="R3360" s="5">
        <v>4</v>
      </c>
      <c r="S3360" s="5">
        <v>36</v>
      </c>
    </row>
    <row r="3361" spans="1:19" ht="28" x14ac:dyDescent="0.15">
      <c r="A3361" s="2">
        <f>HYPERLINK("https://open-school.uspishnemisto.com.ua/school/180273/", 180273)</f>
        <v>180273</v>
      </c>
      <c r="B3361" s="3" t="s">
        <v>17599</v>
      </c>
      <c r="C3361" s="3" t="s">
        <v>31</v>
      </c>
      <c r="D3361" s="3" t="s">
        <v>175</v>
      </c>
      <c r="E3361" s="4" t="s">
        <v>22</v>
      </c>
      <c r="F3361" s="4" t="s">
        <v>17594</v>
      </c>
      <c r="G3361" s="4" t="s">
        <v>17600</v>
      </c>
      <c r="H3361" s="3" t="s">
        <v>16292</v>
      </c>
      <c r="I3361" s="3" t="s">
        <v>17601</v>
      </c>
      <c r="J3361" s="3" t="s">
        <v>17602</v>
      </c>
      <c r="K3361" s="3" t="s">
        <v>17603</v>
      </c>
      <c r="L3361" s="3"/>
      <c r="M3361" s="4"/>
      <c r="N3361" s="3" t="s">
        <v>37</v>
      </c>
      <c r="O3361" s="3" t="s">
        <v>38</v>
      </c>
      <c r="P3361" s="5">
        <v>2</v>
      </c>
      <c r="Q3361" s="5">
        <v>32</v>
      </c>
      <c r="R3361" s="5">
        <v>3</v>
      </c>
      <c r="S3361" s="5">
        <v>36</v>
      </c>
    </row>
    <row r="3362" spans="1:19" ht="28" x14ac:dyDescent="0.15">
      <c r="A3362" s="2">
        <f>HYPERLINK("https://open-school.uspishnemisto.com.ua/school/180274/", 180274)</f>
        <v>180274</v>
      </c>
      <c r="B3362" s="3" t="s">
        <v>17604</v>
      </c>
      <c r="C3362" s="3" t="s">
        <v>31</v>
      </c>
      <c r="D3362" s="3" t="s">
        <v>175</v>
      </c>
      <c r="E3362" s="4" t="s">
        <v>22</v>
      </c>
      <c r="F3362" s="4" t="s">
        <v>17605</v>
      </c>
      <c r="G3362" s="4" t="s">
        <v>17606</v>
      </c>
      <c r="H3362" s="3" t="s">
        <v>16292</v>
      </c>
      <c r="I3362" s="3" t="s">
        <v>13213</v>
      </c>
      <c r="J3362" s="3" t="s">
        <v>17607</v>
      </c>
      <c r="K3362" s="3" t="s">
        <v>17608</v>
      </c>
      <c r="L3362" s="3"/>
      <c r="M3362" s="4"/>
      <c r="N3362" s="3" t="s">
        <v>37</v>
      </c>
      <c r="O3362" s="3" t="s">
        <v>112</v>
      </c>
      <c r="P3362" s="5">
        <v>1</v>
      </c>
      <c r="Q3362" s="5">
        <v>31</v>
      </c>
      <c r="R3362" s="5">
        <v>1</v>
      </c>
      <c r="S3362" s="5">
        <v>30</v>
      </c>
    </row>
    <row r="3363" spans="1:19" ht="28" x14ac:dyDescent="0.15">
      <c r="A3363" s="2">
        <f>HYPERLINK("https://open-school.uspishnemisto.com.ua/school/180275/", 180275)</f>
        <v>180275</v>
      </c>
      <c r="B3363" s="3" t="s">
        <v>17609</v>
      </c>
      <c r="C3363" s="3" t="s">
        <v>31</v>
      </c>
      <c r="D3363" s="3" t="s">
        <v>32</v>
      </c>
      <c r="E3363" s="4" t="s">
        <v>22</v>
      </c>
      <c r="F3363" s="4" t="s">
        <v>17610</v>
      </c>
      <c r="G3363" s="4" t="s">
        <v>17611</v>
      </c>
      <c r="H3363" s="3" t="s">
        <v>16292</v>
      </c>
      <c r="I3363" s="3" t="s">
        <v>17612</v>
      </c>
      <c r="J3363" s="3" t="s">
        <v>17613</v>
      </c>
      <c r="K3363" s="3" t="s">
        <v>17614</v>
      </c>
      <c r="L3363" s="3"/>
      <c r="M3363" s="4"/>
      <c r="N3363" s="3" t="s">
        <v>37</v>
      </c>
      <c r="O3363" s="3" t="s">
        <v>70</v>
      </c>
      <c r="P3363" s="5">
        <v>11</v>
      </c>
      <c r="Q3363" s="5">
        <v>134</v>
      </c>
      <c r="R3363" s="5">
        <v>11</v>
      </c>
      <c r="S3363" s="5">
        <v>130</v>
      </c>
    </row>
    <row r="3364" spans="1:19" ht="28" x14ac:dyDescent="0.15">
      <c r="A3364" s="2">
        <f>HYPERLINK("https://open-school.uspishnemisto.com.ua/school/180276/", 180276)</f>
        <v>180276</v>
      </c>
      <c r="B3364" s="3" t="s">
        <v>17615</v>
      </c>
      <c r="C3364" s="3" t="s">
        <v>31</v>
      </c>
      <c r="D3364" s="3" t="s">
        <v>32</v>
      </c>
      <c r="E3364" s="4" t="s">
        <v>22</v>
      </c>
      <c r="F3364" s="4" t="s">
        <v>17616</v>
      </c>
      <c r="G3364" s="4" t="s">
        <v>17617</v>
      </c>
      <c r="H3364" s="3" t="s">
        <v>16292</v>
      </c>
      <c r="I3364" s="3" t="s">
        <v>17618</v>
      </c>
      <c r="J3364" s="3" t="s">
        <v>1245</v>
      </c>
      <c r="K3364" s="3" t="s">
        <v>17619</v>
      </c>
      <c r="L3364" s="3" t="s">
        <v>17620</v>
      </c>
      <c r="M3364" s="4"/>
      <c r="N3364" s="3" t="s">
        <v>37</v>
      </c>
      <c r="O3364" s="3" t="s">
        <v>52</v>
      </c>
      <c r="P3364" s="5">
        <v>6</v>
      </c>
      <c r="Q3364" s="5">
        <v>55</v>
      </c>
      <c r="R3364" s="5">
        <v>6</v>
      </c>
      <c r="S3364" s="5">
        <v>53</v>
      </c>
    </row>
    <row r="3365" spans="1:19" ht="28" x14ac:dyDescent="0.15">
      <c r="A3365" s="2">
        <f>HYPERLINK("https://open-school.uspishnemisto.com.ua/school/180277/", 180277)</f>
        <v>180277</v>
      </c>
      <c r="B3365" s="3" t="s">
        <v>17621</v>
      </c>
      <c r="C3365" s="3" t="s">
        <v>31</v>
      </c>
      <c r="D3365" s="3" t="s">
        <v>32</v>
      </c>
      <c r="E3365" s="4" t="s">
        <v>22</v>
      </c>
      <c r="F3365" s="4" t="s">
        <v>17622</v>
      </c>
      <c r="G3365" s="4" t="s">
        <v>17623</v>
      </c>
      <c r="H3365" s="3" t="s">
        <v>16292</v>
      </c>
      <c r="I3365" s="3" t="s">
        <v>1033</v>
      </c>
      <c r="J3365" s="3" t="s">
        <v>17624</v>
      </c>
      <c r="K3365" s="3" t="s">
        <v>17625</v>
      </c>
      <c r="L3365" s="3"/>
      <c r="M3365" s="4"/>
      <c r="N3365" s="3" t="s">
        <v>37</v>
      </c>
      <c r="O3365" s="3" t="s">
        <v>38</v>
      </c>
      <c r="P3365" s="5">
        <v>11</v>
      </c>
      <c r="Q3365" s="5">
        <v>128</v>
      </c>
      <c r="R3365" s="5">
        <v>11</v>
      </c>
      <c r="S3365" s="5">
        <v>122</v>
      </c>
    </row>
    <row r="3366" spans="1:19" ht="28" x14ac:dyDescent="0.15">
      <c r="A3366" s="2">
        <f>HYPERLINK("https://open-school.uspishnemisto.com.ua/school/180278/", 180278)</f>
        <v>180278</v>
      </c>
      <c r="B3366" s="3" t="s">
        <v>17626</v>
      </c>
      <c r="C3366" s="3" t="s">
        <v>31</v>
      </c>
      <c r="D3366" s="3" t="s">
        <v>175</v>
      </c>
      <c r="E3366" s="4" t="s">
        <v>22</v>
      </c>
      <c r="F3366" s="4" t="s">
        <v>17627</v>
      </c>
      <c r="G3366" s="4" t="s">
        <v>17628</v>
      </c>
      <c r="H3366" s="3" t="s">
        <v>16292</v>
      </c>
      <c r="I3366" s="3" t="s">
        <v>17629</v>
      </c>
      <c r="J3366" s="3" t="s">
        <v>14575</v>
      </c>
      <c r="K3366" s="3" t="s">
        <v>17630</v>
      </c>
      <c r="L3366" s="3"/>
      <c r="M3366" s="4"/>
      <c r="N3366" s="3" t="s">
        <v>37</v>
      </c>
      <c r="O3366" s="3" t="s">
        <v>112</v>
      </c>
      <c r="P3366" s="5">
        <v>5</v>
      </c>
      <c r="Q3366" s="5">
        <v>31</v>
      </c>
      <c r="R3366" s="5">
        <v>5</v>
      </c>
      <c r="S3366" s="5">
        <v>33</v>
      </c>
    </row>
    <row r="3367" spans="1:19" ht="28" x14ac:dyDescent="0.15">
      <c r="A3367" s="2">
        <f>HYPERLINK("https://open-school.uspishnemisto.com.ua/school/180279/", 180279)</f>
        <v>180279</v>
      </c>
      <c r="B3367" s="3" t="s">
        <v>17631</v>
      </c>
      <c r="C3367" s="3" t="s">
        <v>31</v>
      </c>
      <c r="D3367" s="3" t="s">
        <v>32</v>
      </c>
      <c r="E3367" s="4" t="s">
        <v>22</v>
      </c>
      <c r="F3367" s="4" t="s">
        <v>17632</v>
      </c>
      <c r="G3367" s="4" t="s">
        <v>17633</v>
      </c>
      <c r="H3367" s="3" t="s">
        <v>16292</v>
      </c>
      <c r="I3367" s="3" t="s">
        <v>17634</v>
      </c>
      <c r="J3367" s="3" t="s">
        <v>3363</v>
      </c>
      <c r="K3367" s="3" t="s">
        <v>17635</v>
      </c>
      <c r="L3367" s="3"/>
      <c r="M3367" s="4"/>
      <c r="N3367" s="3" t="s">
        <v>37</v>
      </c>
      <c r="O3367" s="3" t="s">
        <v>38</v>
      </c>
      <c r="P3367" s="5">
        <v>2</v>
      </c>
      <c r="Q3367" s="5">
        <v>26</v>
      </c>
      <c r="R3367" s="5">
        <v>1</v>
      </c>
      <c r="S3367" s="5">
        <v>26</v>
      </c>
    </row>
    <row r="3368" spans="1:19" ht="42" x14ac:dyDescent="0.15">
      <c r="A3368" s="2">
        <f>HYPERLINK("https://open-school.uspishnemisto.com.ua/school/180280/", 180280)</f>
        <v>180280</v>
      </c>
      <c r="B3368" s="3" t="s">
        <v>17636</v>
      </c>
      <c r="C3368" s="3" t="s">
        <v>40</v>
      </c>
      <c r="D3368" s="3" t="s">
        <v>32</v>
      </c>
      <c r="E3368" s="4" t="s">
        <v>22</v>
      </c>
      <c r="F3368" s="4" t="s">
        <v>17637</v>
      </c>
      <c r="G3368" s="4" t="s">
        <v>17638</v>
      </c>
      <c r="H3368" s="3" t="s">
        <v>16292</v>
      </c>
      <c r="I3368" s="3" t="s">
        <v>17639</v>
      </c>
      <c r="J3368" s="3" t="s">
        <v>1999</v>
      </c>
      <c r="K3368" s="3" t="s">
        <v>17640</v>
      </c>
      <c r="L3368" s="3" t="s">
        <v>17641</v>
      </c>
      <c r="M3368" s="4"/>
      <c r="N3368" s="3" t="s">
        <v>37</v>
      </c>
      <c r="O3368" s="3" t="s">
        <v>70</v>
      </c>
      <c r="P3368" s="5">
        <v>29</v>
      </c>
      <c r="Q3368" s="5">
        <v>628</v>
      </c>
      <c r="R3368" s="5">
        <v>27</v>
      </c>
      <c r="S3368" s="5">
        <v>616</v>
      </c>
    </row>
    <row r="3369" spans="1:19" ht="28" x14ac:dyDescent="0.15">
      <c r="A3369" s="2">
        <f>HYPERLINK("https://open-school.uspishnemisto.com.ua/school/180281/", 180281)</f>
        <v>180281</v>
      </c>
      <c r="B3369" s="3" t="s">
        <v>17642</v>
      </c>
      <c r="C3369" s="3" t="s">
        <v>40</v>
      </c>
      <c r="D3369" s="3" t="s">
        <v>32</v>
      </c>
      <c r="E3369" s="4" t="s">
        <v>22</v>
      </c>
      <c r="F3369" s="4" t="s">
        <v>17643</v>
      </c>
      <c r="G3369" s="4" t="s">
        <v>17644</v>
      </c>
      <c r="H3369" s="3" t="s">
        <v>16292</v>
      </c>
      <c r="I3369" s="3" t="s">
        <v>6545</v>
      </c>
      <c r="J3369" s="3" t="s">
        <v>17645</v>
      </c>
      <c r="K3369" s="3" t="s">
        <v>17646</v>
      </c>
      <c r="L3369" s="3" t="s">
        <v>17647</v>
      </c>
      <c r="M3369" s="4"/>
      <c r="N3369" s="3" t="s">
        <v>37</v>
      </c>
      <c r="O3369" s="3" t="s">
        <v>237</v>
      </c>
      <c r="P3369" s="5">
        <v>26</v>
      </c>
      <c r="Q3369" s="5">
        <v>613</v>
      </c>
      <c r="R3369" s="5">
        <v>24</v>
      </c>
      <c r="S3369" s="5">
        <v>602</v>
      </c>
    </row>
    <row r="3370" spans="1:19" ht="28" x14ac:dyDescent="0.15">
      <c r="A3370" s="2">
        <f>HYPERLINK("https://open-school.uspishnemisto.com.ua/school/180282/", 180282)</f>
        <v>180282</v>
      </c>
      <c r="B3370" s="3" t="s">
        <v>17648</v>
      </c>
      <c r="C3370" s="3" t="s">
        <v>31</v>
      </c>
      <c r="D3370" s="3" t="s">
        <v>32</v>
      </c>
      <c r="E3370" s="4" t="s">
        <v>22</v>
      </c>
      <c r="F3370" s="4" t="s">
        <v>17649</v>
      </c>
      <c r="G3370" s="4" t="s">
        <v>17650</v>
      </c>
      <c r="H3370" s="3" t="s">
        <v>16292</v>
      </c>
      <c r="I3370" s="3" t="s">
        <v>725</v>
      </c>
      <c r="J3370" s="3" t="s">
        <v>17651</v>
      </c>
      <c r="K3370" s="3" t="s">
        <v>17652</v>
      </c>
      <c r="L3370" s="3" t="s">
        <v>17653</v>
      </c>
      <c r="M3370" s="4"/>
      <c r="N3370" s="3" t="s">
        <v>37</v>
      </c>
      <c r="O3370" s="3" t="s">
        <v>70</v>
      </c>
      <c r="P3370" s="5">
        <v>11</v>
      </c>
      <c r="Q3370" s="5">
        <v>153</v>
      </c>
      <c r="R3370" s="5">
        <v>11</v>
      </c>
      <c r="S3370" s="5">
        <v>141</v>
      </c>
    </row>
    <row r="3371" spans="1:19" ht="42" x14ac:dyDescent="0.15">
      <c r="A3371" s="2">
        <f>HYPERLINK("https://open-school.uspishnemisto.com.ua/school/180283/", 180283)</f>
        <v>180283</v>
      </c>
      <c r="B3371" s="3" t="s">
        <v>17654</v>
      </c>
      <c r="C3371" s="3" t="s">
        <v>293</v>
      </c>
      <c r="D3371" s="3" t="s">
        <v>32</v>
      </c>
      <c r="E3371" s="4" t="s">
        <v>22</v>
      </c>
      <c r="F3371" s="4" t="s">
        <v>17649</v>
      </c>
      <c r="G3371" s="4" t="s">
        <v>17650</v>
      </c>
      <c r="H3371" s="3" t="s">
        <v>16292</v>
      </c>
      <c r="I3371" s="3" t="s">
        <v>725</v>
      </c>
      <c r="J3371" s="3" t="s">
        <v>17655</v>
      </c>
      <c r="K3371" s="3" t="s">
        <v>17656</v>
      </c>
      <c r="L3371" s="3" t="s">
        <v>17657</v>
      </c>
      <c r="M3371" s="4" t="s">
        <v>17658</v>
      </c>
      <c r="N3371" s="3" t="s">
        <v>37</v>
      </c>
      <c r="O3371" s="3" t="s">
        <v>52</v>
      </c>
      <c r="P3371" s="5">
        <v>14</v>
      </c>
      <c r="Q3371" s="5">
        <v>105</v>
      </c>
      <c r="R3371" s="5">
        <v>14</v>
      </c>
      <c r="S3371" s="5">
        <v>102</v>
      </c>
    </row>
    <row r="3372" spans="1:19" ht="28" x14ac:dyDescent="0.15">
      <c r="A3372" s="2">
        <f>HYPERLINK("https://open-school.uspishnemisto.com.ua/school/180284/", 180284)</f>
        <v>180284</v>
      </c>
      <c r="B3372" s="3" t="s">
        <v>17659</v>
      </c>
      <c r="C3372" s="3" t="s">
        <v>31</v>
      </c>
      <c r="D3372" s="3" t="s">
        <v>60</v>
      </c>
      <c r="E3372" s="4" t="s">
        <v>22</v>
      </c>
      <c r="F3372" s="4" t="s">
        <v>17649</v>
      </c>
      <c r="G3372" s="4" t="s">
        <v>17660</v>
      </c>
      <c r="H3372" s="3" t="s">
        <v>16292</v>
      </c>
      <c r="I3372" s="3" t="s">
        <v>2868</v>
      </c>
      <c r="J3372" s="3" t="s">
        <v>17661</v>
      </c>
      <c r="K3372" s="3" t="s">
        <v>17662</v>
      </c>
      <c r="L3372" s="3"/>
      <c r="M3372" s="4"/>
      <c r="N3372" s="3" t="s">
        <v>37</v>
      </c>
      <c r="O3372" s="3" t="s">
        <v>618</v>
      </c>
      <c r="P3372" s="5">
        <v>4</v>
      </c>
      <c r="Q3372" s="5">
        <v>27</v>
      </c>
      <c r="R3372" s="5">
        <v>4</v>
      </c>
      <c r="S3372" s="5">
        <v>23</v>
      </c>
    </row>
    <row r="3373" spans="1:19" ht="28" x14ac:dyDescent="0.15">
      <c r="A3373" s="2">
        <f>HYPERLINK("https://open-school.uspishnemisto.com.ua/school/180285/", 180285)</f>
        <v>180285</v>
      </c>
      <c r="B3373" s="3" t="s">
        <v>17663</v>
      </c>
      <c r="C3373" s="3" t="s">
        <v>31</v>
      </c>
      <c r="D3373" s="3" t="s">
        <v>175</v>
      </c>
      <c r="E3373" s="4" t="s">
        <v>22</v>
      </c>
      <c r="F3373" s="4" t="s">
        <v>17649</v>
      </c>
      <c r="G3373" s="4" t="s">
        <v>17664</v>
      </c>
      <c r="H3373" s="3" t="s">
        <v>16292</v>
      </c>
      <c r="I3373" s="3" t="s">
        <v>3303</v>
      </c>
      <c r="J3373" s="3" t="s">
        <v>17665</v>
      </c>
      <c r="K3373" s="3" t="s">
        <v>17666</v>
      </c>
      <c r="L3373" s="3"/>
      <c r="M3373" s="4"/>
      <c r="N3373" s="3" t="s">
        <v>37</v>
      </c>
      <c r="O3373" s="3" t="s">
        <v>46</v>
      </c>
      <c r="P3373" s="5">
        <v>7</v>
      </c>
      <c r="Q3373" s="5">
        <v>72</v>
      </c>
      <c r="R3373" s="5">
        <v>7</v>
      </c>
      <c r="S3373" s="5">
        <v>64</v>
      </c>
    </row>
    <row r="3374" spans="1:19" ht="42" x14ac:dyDescent="0.15">
      <c r="A3374" s="2">
        <f>HYPERLINK("https://open-school.uspishnemisto.com.ua/school/180286/", 180286)</f>
        <v>180286</v>
      </c>
      <c r="B3374" s="3" t="s">
        <v>17667</v>
      </c>
      <c r="C3374" s="3" t="s">
        <v>31</v>
      </c>
      <c r="D3374" s="3" t="s">
        <v>32</v>
      </c>
      <c r="E3374" s="4" t="s">
        <v>22</v>
      </c>
      <c r="F3374" s="4" t="s">
        <v>17668</v>
      </c>
      <c r="G3374" s="4" t="s">
        <v>17669</v>
      </c>
      <c r="H3374" s="3" t="s">
        <v>16292</v>
      </c>
      <c r="I3374" s="3" t="s">
        <v>1500</v>
      </c>
      <c r="J3374" s="3" t="s">
        <v>297</v>
      </c>
      <c r="K3374" s="3" t="s">
        <v>17670</v>
      </c>
      <c r="L3374" s="3"/>
      <c r="M3374" s="4"/>
      <c r="N3374" s="3" t="s">
        <v>37</v>
      </c>
      <c r="O3374" s="3" t="s">
        <v>46</v>
      </c>
      <c r="P3374" s="5">
        <v>11</v>
      </c>
      <c r="Q3374" s="5">
        <v>120</v>
      </c>
      <c r="R3374" s="5">
        <v>10</v>
      </c>
      <c r="S3374" s="5">
        <v>108</v>
      </c>
    </row>
    <row r="3375" spans="1:19" ht="28" x14ac:dyDescent="0.15">
      <c r="A3375" s="2">
        <f>HYPERLINK("https://open-school.uspishnemisto.com.ua/school/180287/", 180287)</f>
        <v>180287</v>
      </c>
      <c r="B3375" s="3" t="s">
        <v>17671</v>
      </c>
      <c r="C3375" s="3" t="s">
        <v>31</v>
      </c>
      <c r="D3375" s="3" t="s">
        <v>32</v>
      </c>
      <c r="E3375" s="4" t="s">
        <v>22</v>
      </c>
      <c r="F3375" s="4" t="s">
        <v>17672</v>
      </c>
      <c r="G3375" s="4" t="s">
        <v>17673</v>
      </c>
      <c r="H3375" s="3" t="s">
        <v>16292</v>
      </c>
      <c r="I3375" s="3" t="s">
        <v>17674</v>
      </c>
      <c r="J3375" s="3" t="s">
        <v>1576</v>
      </c>
      <c r="K3375" s="3" t="s">
        <v>17675</v>
      </c>
      <c r="L3375" s="3"/>
      <c r="M3375" s="4"/>
      <c r="N3375" s="3" t="s">
        <v>37</v>
      </c>
      <c r="O3375" s="3" t="s">
        <v>38</v>
      </c>
      <c r="P3375" s="5">
        <v>9</v>
      </c>
      <c r="Q3375" s="5">
        <v>111</v>
      </c>
      <c r="R3375" s="5">
        <v>11</v>
      </c>
      <c r="S3375" s="5">
        <v>104</v>
      </c>
    </row>
    <row r="3376" spans="1:19" ht="28" x14ac:dyDescent="0.15">
      <c r="A3376" s="2">
        <f>HYPERLINK("https://open-school.uspishnemisto.com.ua/school/180288/", 180288)</f>
        <v>180288</v>
      </c>
      <c r="B3376" s="3" t="s">
        <v>17676</v>
      </c>
      <c r="C3376" s="3" t="s">
        <v>31</v>
      </c>
      <c r="D3376" s="3" t="s">
        <v>32</v>
      </c>
      <c r="E3376" s="4" t="s">
        <v>22</v>
      </c>
      <c r="F3376" s="4" t="s">
        <v>17677</v>
      </c>
      <c r="G3376" s="4" t="s">
        <v>17678</v>
      </c>
      <c r="H3376" s="3" t="s">
        <v>16292</v>
      </c>
      <c r="I3376" s="3" t="s">
        <v>17679</v>
      </c>
      <c r="J3376" s="3" t="s">
        <v>17680</v>
      </c>
      <c r="K3376" s="3" t="s">
        <v>17681</v>
      </c>
      <c r="L3376" s="3"/>
      <c r="M3376" s="4"/>
      <c r="N3376" s="3" t="s">
        <v>37</v>
      </c>
      <c r="O3376" s="3" t="s">
        <v>38</v>
      </c>
      <c r="P3376" s="5">
        <v>8</v>
      </c>
      <c r="Q3376" s="5">
        <v>77</v>
      </c>
      <c r="R3376" s="5">
        <v>8</v>
      </c>
      <c r="S3376" s="5">
        <v>69</v>
      </c>
    </row>
    <row r="3377" spans="1:19" ht="28" x14ac:dyDescent="0.15">
      <c r="A3377" s="2">
        <f>HYPERLINK("https://open-school.uspishnemisto.com.ua/school/180289/", 180289)</f>
        <v>180289</v>
      </c>
      <c r="B3377" s="3" t="s">
        <v>17682</v>
      </c>
      <c r="C3377" s="3" t="s">
        <v>31</v>
      </c>
      <c r="D3377" s="3" t="s">
        <v>32</v>
      </c>
      <c r="E3377" s="4" t="s">
        <v>22</v>
      </c>
      <c r="F3377" s="4" t="s">
        <v>17683</v>
      </c>
      <c r="G3377" s="4" t="s">
        <v>17684</v>
      </c>
      <c r="H3377" s="3" t="s">
        <v>16292</v>
      </c>
      <c r="I3377" s="3" t="s">
        <v>17685</v>
      </c>
      <c r="J3377" s="3" t="s">
        <v>17686</v>
      </c>
      <c r="K3377" s="3" t="s">
        <v>17687</v>
      </c>
      <c r="L3377" s="3"/>
      <c r="M3377" s="4"/>
      <c r="N3377" s="3" t="s">
        <v>37</v>
      </c>
      <c r="O3377" s="3" t="s">
        <v>38</v>
      </c>
      <c r="P3377" s="5">
        <v>9</v>
      </c>
      <c r="Q3377" s="5">
        <v>86</v>
      </c>
      <c r="R3377" s="5">
        <v>8</v>
      </c>
      <c r="S3377" s="5">
        <v>84</v>
      </c>
    </row>
    <row r="3378" spans="1:19" ht="28" x14ac:dyDescent="0.15">
      <c r="A3378" s="2">
        <f>HYPERLINK("https://open-school.uspishnemisto.com.ua/school/180290/", 180290)</f>
        <v>180290</v>
      </c>
      <c r="B3378" s="3" t="s">
        <v>17688</v>
      </c>
      <c r="C3378" s="3" t="s">
        <v>31</v>
      </c>
      <c r="D3378" s="3" t="s">
        <v>32</v>
      </c>
      <c r="E3378" s="4" t="s">
        <v>22</v>
      </c>
      <c r="F3378" s="4" t="s">
        <v>17689</v>
      </c>
      <c r="G3378" s="4" t="s">
        <v>17684</v>
      </c>
      <c r="H3378" s="3" t="s">
        <v>16292</v>
      </c>
      <c r="I3378" s="3" t="s">
        <v>17685</v>
      </c>
      <c r="J3378" s="3" t="s">
        <v>17690</v>
      </c>
      <c r="K3378" s="3" t="s">
        <v>17691</v>
      </c>
      <c r="L3378" s="3" t="s">
        <v>17692</v>
      </c>
      <c r="M3378" s="4"/>
      <c r="N3378" s="3" t="s">
        <v>37</v>
      </c>
      <c r="O3378" s="3" t="s">
        <v>38</v>
      </c>
      <c r="P3378" s="5">
        <v>11</v>
      </c>
      <c r="Q3378" s="5">
        <v>215</v>
      </c>
      <c r="R3378" s="5">
        <v>11</v>
      </c>
      <c r="S3378" s="5">
        <v>223</v>
      </c>
    </row>
    <row r="3379" spans="1:19" ht="28" x14ac:dyDescent="0.15">
      <c r="A3379" s="2">
        <f>HYPERLINK("https://open-school.uspishnemisto.com.ua/school/180291/", 180291)</f>
        <v>180291</v>
      </c>
      <c r="B3379" s="3" t="s">
        <v>17693</v>
      </c>
      <c r="C3379" s="3" t="s">
        <v>31</v>
      </c>
      <c r="D3379" s="3" t="s">
        <v>175</v>
      </c>
      <c r="E3379" s="4" t="s">
        <v>22</v>
      </c>
      <c r="F3379" s="4" t="s">
        <v>17694</v>
      </c>
      <c r="G3379" s="4" t="s">
        <v>17695</v>
      </c>
      <c r="H3379" s="3" t="s">
        <v>16292</v>
      </c>
      <c r="I3379" s="3" t="s">
        <v>3614</v>
      </c>
      <c r="J3379" s="3" t="s">
        <v>7340</v>
      </c>
      <c r="K3379" s="3" t="s">
        <v>17696</v>
      </c>
      <c r="L3379" s="3"/>
      <c r="M3379" s="4"/>
      <c r="N3379" s="3" t="s">
        <v>37</v>
      </c>
      <c r="O3379" s="3" t="s">
        <v>46</v>
      </c>
      <c r="P3379" s="5">
        <v>7</v>
      </c>
      <c r="Q3379" s="5">
        <v>38</v>
      </c>
      <c r="R3379" s="5">
        <v>7</v>
      </c>
      <c r="S3379" s="5">
        <v>39</v>
      </c>
    </row>
    <row r="3380" spans="1:19" ht="28" x14ac:dyDescent="0.15">
      <c r="A3380" s="2">
        <f>HYPERLINK("https://open-school.uspishnemisto.com.ua/school/180292/", 180292)</f>
        <v>180292</v>
      </c>
      <c r="B3380" s="3" t="s">
        <v>17697</v>
      </c>
      <c r="C3380" s="3" t="s">
        <v>31</v>
      </c>
      <c r="D3380" s="3" t="s">
        <v>32</v>
      </c>
      <c r="E3380" s="4" t="s">
        <v>22</v>
      </c>
      <c r="F3380" s="4" t="s">
        <v>17698</v>
      </c>
      <c r="G3380" s="4" t="s">
        <v>17699</v>
      </c>
      <c r="H3380" s="3" t="s">
        <v>16292</v>
      </c>
      <c r="I3380" s="3" t="s">
        <v>17700</v>
      </c>
      <c r="J3380" s="3" t="s">
        <v>17701</v>
      </c>
      <c r="K3380" s="3" t="s">
        <v>17702</v>
      </c>
      <c r="L3380" s="3"/>
      <c r="M3380" s="4"/>
      <c r="N3380" s="3" t="s">
        <v>37</v>
      </c>
      <c r="O3380" s="3" t="s">
        <v>70</v>
      </c>
      <c r="P3380" s="5">
        <v>10</v>
      </c>
      <c r="Q3380" s="5">
        <v>175</v>
      </c>
      <c r="R3380" s="5">
        <v>10</v>
      </c>
      <c r="S3380" s="5">
        <v>170</v>
      </c>
    </row>
    <row r="3381" spans="1:19" ht="28" x14ac:dyDescent="0.15">
      <c r="A3381" s="2">
        <f>HYPERLINK("https://open-school.uspishnemisto.com.ua/school/180293/", 180293)</f>
        <v>180293</v>
      </c>
      <c r="B3381" s="3" t="s">
        <v>17703</v>
      </c>
      <c r="C3381" s="3" t="s">
        <v>31</v>
      </c>
      <c r="D3381" s="3" t="s">
        <v>60</v>
      </c>
      <c r="E3381" s="4" t="s">
        <v>22</v>
      </c>
      <c r="F3381" s="4" t="s">
        <v>17704</v>
      </c>
      <c r="G3381" s="4" t="s">
        <v>17705</v>
      </c>
      <c r="H3381" s="3" t="s">
        <v>16292</v>
      </c>
      <c r="I3381" s="3" t="s">
        <v>17706</v>
      </c>
      <c r="J3381" s="3" t="s">
        <v>11085</v>
      </c>
      <c r="K3381" s="3" t="s">
        <v>17707</v>
      </c>
      <c r="L3381" s="3"/>
      <c r="M3381" s="4"/>
      <c r="N3381" s="3" t="s">
        <v>37</v>
      </c>
      <c r="O3381" s="3" t="s">
        <v>52</v>
      </c>
      <c r="P3381" s="5">
        <v>0</v>
      </c>
      <c r="Q3381" s="5">
        <v>12</v>
      </c>
      <c r="R3381" s="5">
        <v>2</v>
      </c>
      <c r="S3381" s="5">
        <v>12</v>
      </c>
    </row>
    <row r="3382" spans="1:19" ht="28" x14ac:dyDescent="0.15">
      <c r="A3382" s="2">
        <f>HYPERLINK("https://open-school.uspishnemisto.com.ua/school/180294/", 180294)</f>
        <v>180294</v>
      </c>
      <c r="B3382" s="3" t="s">
        <v>17708</v>
      </c>
      <c r="C3382" s="3" t="s">
        <v>31</v>
      </c>
      <c r="D3382" s="3" t="s">
        <v>175</v>
      </c>
      <c r="E3382" s="4" t="s">
        <v>22</v>
      </c>
      <c r="F3382" s="4" t="s">
        <v>17704</v>
      </c>
      <c r="G3382" s="4" t="s">
        <v>17709</v>
      </c>
      <c r="H3382" s="3" t="s">
        <v>16292</v>
      </c>
      <c r="I3382" s="3" t="s">
        <v>17710</v>
      </c>
      <c r="J3382" s="3" t="s">
        <v>17711</v>
      </c>
      <c r="K3382" s="3" t="s">
        <v>17712</v>
      </c>
      <c r="L3382" s="3"/>
      <c r="M3382" s="4"/>
      <c r="N3382" s="3" t="s">
        <v>37</v>
      </c>
      <c r="O3382" s="3" t="s">
        <v>46</v>
      </c>
      <c r="P3382" s="5">
        <v>0</v>
      </c>
      <c r="Q3382" s="5">
        <v>0</v>
      </c>
      <c r="R3382" s="5">
        <v>6</v>
      </c>
      <c r="S3382" s="5">
        <v>55</v>
      </c>
    </row>
    <row r="3383" spans="1:19" ht="28" x14ac:dyDescent="0.15">
      <c r="A3383" s="2">
        <f>HYPERLINK("https://open-school.uspishnemisto.com.ua/school/180295/", 180295)</f>
        <v>180295</v>
      </c>
      <c r="B3383" s="3" t="s">
        <v>17713</v>
      </c>
      <c r="C3383" s="3" t="s">
        <v>31</v>
      </c>
      <c r="D3383" s="3" t="s">
        <v>175</v>
      </c>
      <c r="E3383" s="4" t="s">
        <v>22</v>
      </c>
      <c r="F3383" s="4" t="s">
        <v>17714</v>
      </c>
      <c r="G3383" s="4" t="s">
        <v>17715</v>
      </c>
      <c r="H3383" s="3" t="s">
        <v>16292</v>
      </c>
      <c r="I3383" s="3" t="s">
        <v>17716</v>
      </c>
      <c r="J3383" s="3" t="s">
        <v>466</v>
      </c>
      <c r="K3383" s="3" t="s">
        <v>17717</v>
      </c>
      <c r="L3383" s="3"/>
      <c r="M3383" s="4"/>
      <c r="N3383" s="3" t="s">
        <v>37</v>
      </c>
      <c r="O3383" s="3" t="s">
        <v>38</v>
      </c>
      <c r="P3383" s="5">
        <v>8</v>
      </c>
      <c r="Q3383" s="5">
        <v>58</v>
      </c>
      <c r="R3383" s="5">
        <v>8</v>
      </c>
      <c r="S3383" s="5">
        <v>62</v>
      </c>
    </row>
    <row r="3384" spans="1:19" ht="28" x14ac:dyDescent="0.15">
      <c r="A3384" s="2">
        <f>HYPERLINK("https://open-school.uspishnemisto.com.ua/school/180296/", 180296)</f>
        <v>180296</v>
      </c>
      <c r="B3384" s="3" t="s">
        <v>17718</v>
      </c>
      <c r="C3384" s="3" t="s">
        <v>31</v>
      </c>
      <c r="D3384" s="3" t="s">
        <v>32</v>
      </c>
      <c r="E3384" s="4" t="s">
        <v>22</v>
      </c>
      <c r="F3384" s="4" t="s">
        <v>17719</v>
      </c>
      <c r="G3384" s="4" t="s">
        <v>17720</v>
      </c>
      <c r="H3384" s="3" t="s">
        <v>16292</v>
      </c>
      <c r="I3384" s="3" t="s">
        <v>17721</v>
      </c>
      <c r="J3384" s="3" t="s">
        <v>17722</v>
      </c>
      <c r="K3384" s="3" t="s">
        <v>17723</v>
      </c>
      <c r="L3384" s="3" t="s">
        <v>17724</v>
      </c>
      <c r="M3384" s="4"/>
      <c r="N3384" s="3" t="s">
        <v>37</v>
      </c>
      <c r="O3384" s="3" t="s">
        <v>139</v>
      </c>
      <c r="P3384" s="5">
        <v>11</v>
      </c>
      <c r="Q3384" s="5">
        <v>206</v>
      </c>
      <c r="R3384" s="5">
        <v>11</v>
      </c>
      <c r="S3384" s="5">
        <v>180</v>
      </c>
    </row>
    <row r="3385" spans="1:19" ht="28" x14ac:dyDescent="0.15">
      <c r="A3385" s="2">
        <f>HYPERLINK("https://open-school.uspishnemisto.com.ua/school/180297/", 180297)</f>
        <v>180297</v>
      </c>
      <c r="B3385" s="3" t="s">
        <v>17725</v>
      </c>
      <c r="C3385" s="3" t="s">
        <v>181</v>
      </c>
      <c r="D3385" s="3" t="s">
        <v>60</v>
      </c>
      <c r="E3385" s="4" t="s">
        <v>22</v>
      </c>
      <c r="F3385" s="4" t="s">
        <v>17719</v>
      </c>
      <c r="G3385" s="4" t="s">
        <v>17720</v>
      </c>
      <c r="H3385" s="3" t="s">
        <v>16292</v>
      </c>
      <c r="I3385" s="3" t="s">
        <v>17721</v>
      </c>
      <c r="J3385" s="3" t="s">
        <v>17726</v>
      </c>
      <c r="K3385" s="3" t="s">
        <v>17727</v>
      </c>
      <c r="L3385" s="3" t="s">
        <v>17728</v>
      </c>
      <c r="M3385" s="4" t="s">
        <v>17729</v>
      </c>
      <c r="N3385" s="3" t="s">
        <v>37</v>
      </c>
      <c r="O3385" s="3" t="s">
        <v>52</v>
      </c>
      <c r="P3385" s="5">
        <v>4</v>
      </c>
      <c r="Q3385" s="5">
        <v>65</v>
      </c>
      <c r="R3385" s="5">
        <v>5</v>
      </c>
      <c r="S3385" s="5">
        <v>60</v>
      </c>
    </row>
    <row r="3386" spans="1:19" ht="28" x14ac:dyDescent="0.15">
      <c r="A3386" s="2">
        <f>HYPERLINK("https://open-school.uspishnemisto.com.ua/school/180298/", 180298)</f>
        <v>180298</v>
      </c>
      <c r="B3386" s="3" t="s">
        <v>17730</v>
      </c>
      <c r="C3386" s="3" t="s">
        <v>31</v>
      </c>
      <c r="D3386" s="3" t="s">
        <v>175</v>
      </c>
      <c r="E3386" s="4" t="s">
        <v>22</v>
      </c>
      <c r="F3386" s="4" t="s">
        <v>17731</v>
      </c>
      <c r="G3386" s="4" t="s">
        <v>17732</v>
      </c>
      <c r="H3386" s="3" t="s">
        <v>16292</v>
      </c>
      <c r="I3386" s="3" t="s">
        <v>17733</v>
      </c>
      <c r="J3386" s="3" t="s">
        <v>946</v>
      </c>
      <c r="K3386" s="3" t="s">
        <v>17734</v>
      </c>
      <c r="L3386" s="3"/>
      <c r="M3386" s="4"/>
      <c r="N3386" s="3" t="s">
        <v>37</v>
      </c>
      <c r="O3386" s="3" t="s">
        <v>38</v>
      </c>
      <c r="P3386" s="5">
        <v>9</v>
      </c>
      <c r="Q3386" s="5">
        <v>156</v>
      </c>
      <c r="R3386" s="5">
        <v>9</v>
      </c>
      <c r="S3386" s="5">
        <v>137</v>
      </c>
    </row>
    <row r="3387" spans="1:19" ht="28" x14ac:dyDescent="0.15">
      <c r="A3387" s="2">
        <f>HYPERLINK("https://open-school.uspishnemisto.com.ua/school/180299/", 180299)</f>
        <v>180299</v>
      </c>
      <c r="B3387" s="3" t="s">
        <v>17735</v>
      </c>
      <c r="C3387" s="3" t="s">
        <v>31</v>
      </c>
      <c r="D3387" s="3" t="s">
        <v>32</v>
      </c>
      <c r="E3387" s="4" t="s">
        <v>22</v>
      </c>
      <c r="F3387" s="4" t="s">
        <v>17736</v>
      </c>
      <c r="G3387" s="4" t="s">
        <v>17737</v>
      </c>
      <c r="H3387" s="3" t="s">
        <v>16292</v>
      </c>
      <c r="I3387" s="3" t="s">
        <v>883</v>
      </c>
      <c r="J3387" s="3" t="s">
        <v>17738</v>
      </c>
      <c r="K3387" s="3" t="s">
        <v>17739</v>
      </c>
      <c r="L3387" s="3"/>
      <c r="M3387" s="4"/>
      <c r="N3387" s="3" t="s">
        <v>37</v>
      </c>
      <c r="O3387" s="3" t="s">
        <v>46</v>
      </c>
      <c r="P3387" s="5">
        <v>11</v>
      </c>
      <c r="Q3387" s="5">
        <v>142</v>
      </c>
      <c r="R3387" s="5">
        <v>10</v>
      </c>
      <c r="S3387" s="5">
        <v>142</v>
      </c>
    </row>
    <row r="3388" spans="1:19" ht="28" x14ac:dyDescent="0.15">
      <c r="A3388" s="2">
        <f>HYPERLINK("https://open-school.uspishnemisto.com.ua/school/180300/", 180300)</f>
        <v>180300</v>
      </c>
      <c r="B3388" s="3" t="s">
        <v>17740</v>
      </c>
      <c r="C3388" s="3" t="s">
        <v>31</v>
      </c>
      <c r="D3388" s="3" t="s">
        <v>32</v>
      </c>
      <c r="E3388" s="4" t="s">
        <v>22</v>
      </c>
      <c r="F3388" s="4" t="s">
        <v>17741</v>
      </c>
      <c r="G3388" s="4" t="s">
        <v>17742</v>
      </c>
      <c r="H3388" s="3" t="s">
        <v>16292</v>
      </c>
      <c r="I3388" s="3" t="s">
        <v>17743</v>
      </c>
      <c r="J3388" s="3" t="s">
        <v>17744</v>
      </c>
      <c r="K3388" s="3" t="s">
        <v>17745</v>
      </c>
      <c r="L3388" s="3" t="s">
        <v>17746</v>
      </c>
      <c r="M3388" s="4"/>
      <c r="N3388" s="3" t="s">
        <v>37</v>
      </c>
      <c r="O3388" s="3" t="s">
        <v>38</v>
      </c>
      <c r="P3388" s="5">
        <v>11</v>
      </c>
      <c r="Q3388" s="5">
        <v>134</v>
      </c>
      <c r="R3388" s="5">
        <v>11</v>
      </c>
      <c r="S3388" s="5">
        <v>143</v>
      </c>
    </row>
    <row r="3389" spans="1:19" ht="28" x14ac:dyDescent="0.15">
      <c r="A3389" s="2">
        <f>HYPERLINK("https://open-school.uspishnemisto.com.ua/school/180301/", 180301)</f>
        <v>180301</v>
      </c>
      <c r="B3389" s="3" t="s">
        <v>17747</v>
      </c>
      <c r="C3389" s="3" t="s">
        <v>31</v>
      </c>
      <c r="D3389" s="3" t="s">
        <v>175</v>
      </c>
      <c r="E3389" s="4" t="s">
        <v>22</v>
      </c>
      <c r="F3389" s="4" t="s">
        <v>17748</v>
      </c>
      <c r="G3389" s="4" t="s">
        <v>17749</v>
      </c>
      <c r="H3389" s="3" t="s">
        <v>16292</v>
      </c>
      <c r="I3389" s="3" t="s">
        <v>10829</v>
      </c>
      <c r="J3389" s="3" t="s">
        <v>17750</v>
      </c>
      <c r="K3389" s="3" t="s">
        <v>17751</v>
      </c>
      <c r="L3389" s="3"/>
      <c r="M3389" s="4"/>
      <c r="N3389" s="3" t="s">
        <v>37</v>
      </c>
      <c r="O3389" s="3" t="s">
        <v>38</v>
      </c>
      <c r="P3389" s="5">
        <v>9</v>
      </c>
      <c r="Q3389" s="5">
        <v>61</v>
      </c>
      <c r="R3389" s="5">
        <v>8</v>
      </c>
      <c r="S3389" s="5">
        <v>58</v>
      </c>
    </row>
    <row r="3390" spans="1:19" ht="28" x14ac:dyDescent="0.15">
      <c r="A3390" s="2">
        <f>HYPERLINK("https://open-school.uspishnemisto.com.ua/school/180302/", 180302)</f>
        <v>180302</v>
      </c>
      <c r="B3390" s="3" t="s">
        <v>17752</v>
      </c>
      <c r="C3390" s="3" t="s">
        <v>31</v>
      </c>
      <c r="D3390" s="3" t="s">
        <v>32</v>
      </c>
      <c r="E3390" s="4" t="s">
        <v>22</v>
      </c>
      <c r="F3390" s="4" t="s">
        <v>17753</v>
      </c>
      <c r="G3390" s="4" t="s">
        <v>17754</v>
      </c>
      <c r="H3390" s="3" t="s">
        <v>16292</v>
      </c>
      <c r="I3390" s="3" t="s">
        <v>17755</v>
      </c>
      <c r="J3390" s="3" t="s">
        <v>17756</v>
      </c>
      <c r="K3390" s="3" t="s">
        <v>17757</v>
      </c>
      <c r="L3390" s="3"/>
      <c r="M3390" s="4"/>
      <c r="N3390" s="3" t="s">
        <v>37</v>
      </c>
      <c r="O3390" s="3" t="s">
        <v>38</v>
      </c>
      <c r="P3390" s="5">
        <v>10</v>
      </c>
      <c r="Q3390" s="5">
        <v>179</v>
      </c>
      <c r="R3390" s="5">
        <v>11</v>
      </c>
      <c r="S3390" s="5">
        <v>186</v>
      </c>
    </row>
    <row r="3391" spans="1:19" ht="28" x14ac:dyDescent="0.15">
      <c r="A3391" s="2">
        <f>HYPERLINK("https://open-school.uspishnemisto.com.ua/school/180303/", 180303)</f>
        <v>180303</v>
      </c>
      <c r="B3391" s="3" t="s">
        <v>17758</v>
      </c>
      <c r="C3391" s="3" t="s">
        <v>31</v>
      </c>
      <c r="D3391" s="3" t="s">
        <v>32</v>
      </c>
      <c r="E3391" s="4" t="s">
        <v>22</v>
      </c>
      <c r="F3391" s="4" t="s">
        <v>17759</v>
      </c>
      <c r="G3391" s="4" t="s">
        <v>17760</v>
      </c>
      <c r="H3391" s="3" t="s">
        <v>16292</v>
      </c>
      <c r="I3391" s="3" t="s">
        <v>17761</v>
      </c>
      <c r="J3391" s="3" t="s">
        <v>17762</v>
      </c>
      <c r="K3391" s="3" t="s">
        <v>17763</v>
      </c>
      <c r="L3391" s="3"/>
      <c r="M3391" s="4"/>
      <c r="N3391" s="3" t="s">
        <v>37</v>
      </c>
      <c r="O3391" s="3" t="s">
        <v>52</v>
      </c>
      <c r="P3391" s="5">
        <v>0</v>
      </c>
      <c r="Q3391" s="5">
        <v>24</v>
      </c>
      <c r="R3391" s="5">
        <v>9</v>
      </c>
      <c r="S3391" s="5">
        <v>40</v>
      </c>
    </row>
    <row r="3392" spans="1:19" ht="28" x14ac:dyDescent="0.15">
      <c r="A3392" s="2">
        <f>HYPERLINK("https://open-school.uspishnemisto.com.ua/school/180304/", 180304)</f>
        <v>180304</v>
      </c>
      <c r="B3392" s="3" t="s">
        <v>17764</v>
      </c>
      <c r="C3392" s="3" t="s">
        <v>31</v>
      </c>
      <c r="D3392" s="3" t="s">
        <v>32</v>
      </c>
      <c r="E3392" s="4" t="s">
        <v>22</v>
      </c>
      <c r="F3392" s="4" t="s">
        <v>17765</v>
      </c>
      <c r="G3392" s="4" t="s">
        <v>17766</v>
      </c>
      <c r="H3392" s="3" t="s">
        <v>16292</v>
      </c>
      <c r="I3392" s="3" t="s">
        <v>2104</v>
      </c>
      <c r="J3392" s="3" t="s">
        <v>17767</v>
      </c>
      <c r="K3392" s="3" t="s">
        <v>17768</v>
      </c>
      <c r="L3392" s="3"/>
      <c r="M3392" s="4"/>
      <c r="N3392" s="3" t="s">
        <v>37</v>
      </c>
      <c r="O3392" s="3" t="s">
        <v>38</v>
      </c>
      <c r="P3392" s="5">
        <v>19</v>
      </c>
      <c r="Q3392" s="5">
        <v>365</v>
      </c>
      <c r="R3392" s="5">
        <v>19</v>
      </c>
      <c r="S3392" s="5">
        <v>354</v>
      </c>
    </row>
    <row r="3393" spans="1:19" ht="28" x14ac:dyDescent="0.15">
      <c r="A3393" s="2">
        <f>HYPERLINK("https://open-school.uspishnemisto.com.ua/school/180305/", 180305)</f>
        <v>180305</v>
      </c>
      <c r="B3393" s="3" t="s">
        <v>17769</v>
      </c>
      <c r="C3393" s="3" t="s">
        <v>31</v>
      </c>
      <c r="D3393" s="3" t="s">
        <v>32</v>
      </c>
      <c r="E3393" s="4" t="s">
        <v>22</v>
      </c>
      <c r="F3393" s="4" t="s">
        <v>17770</v>
      </c>
      <c r="G3393" s="4" t="s">
        <v>17771</v>
      </c>
      <c r="H3393" s="3" t="s">
        <v>16292</v>
      </c>
      <c r="I3393" s="3" t="s">
        <v>17772</v>
      </c>
      <c r="J3393" s="3" t="s">
        <v>466</v>
      </c>
      <c r="K3393" s="3" t="s">
        <v>17773</v>
      </c>
      <c r="L3393" s="3"/>
      <c r="M3393" s="4"/>
      <c r="N3393" s="3" t="s">
        <v>37</v>
      </c>
      <c r="O3393" s="3" t="s">
        <v>38</v>
      </c>
      <c r="P3393" s="5">
        <v>11</v>
      </c>
      <c r="Q3393" s="5">
        <v>123</v>
      </c>
      <c r="R3393" s="5">
        <v>10</v>
      </c>
      <c r="S3393" s="5">
        <v>109</v>
      </c>
    </row>
    <row r="3394" spans="1:19" ht="28" x14ac:dyDescent="0.15">
      <c r="A3394" s="2">
        <f>HYPERLINK("https://open-school.uspishnemisto.com.ua/school/180306/", 180306)</f>
        <v>180306</v>
      </c>
      <c r="B3394" s="3" t="s">
        <v>17774</v>
      </c>
      <c r="C3394" s="3" t="s">
        <v>31</v>
      </c>
      <c r="D3394" s="3" t="s">
        <v>32</v>
      </c>
      <c r="E3394" s="4" t="s">
        <v>22</v>
      </c>
      <c r="F3394" s="4" t="s">
        <v>17775</v>
      </c>
      <c r="G3394" s="4" t="s">
        <v>17776</v>
      </c>
      <c r="H3394" s="3" t="s">
        <v>16292</v>
      </c>
      <c r="I3394" s="3" t="s">
        <v>17777</v>
      </c>
      <c r="J3394" s="3" t="s">
        <v>7166</v>
      </c>
      <c r="K3394" s="3" t="s">
        <v>17778</v>
      </c>
      <c r="L3394" s="3"/>
      <c r="M3394" s="4"/>
      <c r="N3394" s="3" t="s">
        <v>37</v>
      </c>
      <c r="O3394" s="3" t="s">
        <v>52</v>
      </c>
      <c r="P3394" s="5">
        <v>0</v>
      </c>
      <c r="Q3394" s="5">
        <v>0</v>
      </c>
      <c r="R3394" s="5">
        <v>11</v>
      </c>
      <c r="S3394" s="5">
        <v>108</v>
      </c>
    </row>
    <row r="3395" spans="1:19" ht="28" x14ac:dyDescent="0.15">
      <c r="A3395" s="2">
        <f>HYPERLINK("https://open-school.uspishnemisto.com.ua/school/180307/", 180307)</f>
        <v>180307</v>
      </c>
      <c r="B3395" s="3" t="s">
        <v>17779</v>
      </c>
      <c r="C3395" s="3" t="s">
        <v>31</v>
      </c>
      <c r="D3395" s="3" t="s">
        <v>175</v>
      </c>
      <c r="E3395" s="4" t="s">
        <v>22</v>
      </c>
      <c r="F3395" s="4" t="s">
        <v>17780</v>
      </c>
      <c r="G3395" s="4" t="s">
        <v>17781</v>
      </c>
      <c r="H3395" s="3" t="s">
        <v>16292</v>
      </c>
      <c r="I3395" s="3" t="s">
        <v>3145</v>
      </c>
      <c r="J3395" s="3" t="s">
        <v>17782</v>
      </c>
      <c r="K3395" s="3" t="s">
        <v>17783</v>
      </c>
      <c r="L3395" s="3"/>
      <c r="M3395" s="4"/>
      <c r="N3395" s="3" t="s">
        <v>37</v>
      </c>
      <c r="O3395" s="3" t="s">
        <v>38</v>
      </c>
      <c r="P3395" s="5">
        <v>5</v>
      </c>
      <c r="Q3395" s="5">
        <v>31</v>
      </c>
      <c r="R3395" s="5">
        <v>5</v>
      </c>
      <c r="S3395" s="5">
        <v>31</v>
      </c>
    </row>
    <row r="3396" spans="1:19" ht="28" x14ac:dyDescent="0.15">
      <c r="A3396" s="2">
        <f>HYPERLINK("https://open-school.uspishnemisto.com.ua/school/180308/", 180308)</f>
        <v>180308</v>
      </c>
      <c r="B3396" s="3" t="s">
        <v>17784</v>
      </c>
      <c r="C3396" s="3" t="s">
        <v>31</v>
      </c>
      <c r="D3396" s="3" t="s">
        <v>175</v>
      </c>
      <c r="E3396" s="4" t="s">
        <v>22</v>
      </c>
      <c r="F3396" s="4" t="s">
        <v>17785</v>
      </c>
      <c r="G3396" s="4" t="s">
        <v>17786</v>
      </c>
      <c r="H3396" s="3" t="s">
        <v>16292</v>
      </c>
      <c r="I3396" s="3" t="s">
        <v>17787</v>
      </c>
      <c r="J3396" s="3" t="s">
        <v>17788</v>
      </c>
      <c r="K3396" s="3" t="s">
        <v>17789</v>
      </c>
      <c r="L3396" s="3"/>
      <c r="M3396" s="4"/>
      <c r="N3396" s="3" t="s">
        <v>37</v>
      </c>
      <c r="O3396" s="3" t="s">
        <v>38</v>
      </c>
      <c r="P3396" s="5">
        <v>7</v>
      </c>
      <c r="Q3396" s="5">
        <v>49</v>
      </c>
      <c r="R3396" s="5">
        <v>6</v>
      </c>
      <c r="S3396" s="5">
        <v>49</v>
      </c>
    </row>
    <row r="3397" spans="1:19" ht="28" x14ac:dyDescent="0.15">
      <c r="A3397" s="2">
        <f>HYPERLINK("https://open-school.uspishnemisto.com.ua/school/180309/", 180309)</f>
        <v>180309</v>
      </c>
      <c r="B3397" s="3" t="s">
        <v>17790</v>
      </c>
      <c r="C3397" s="3" t="s">
        <v>31</v>
      </c>
      <c r="D3397" s="3" t="s">
        <v>175</v>
      </c>
      <c r="E3397" s="4" t="s">
        <v>22</v>
      </c>
      <c r="F3397" s="4" t="s">
        <v>17791</v>
      </c>
      <c r="G3397" s="4" t="s">
        <v>17792</v>
      </c>
      <c r="H3397" s="3" t="s">
        <v>16292</v>
      </c>
      <c r="I3397" s="3" t="s">
        <v>17793</v>
      </c>
      <c r="J3397" s="3" t="s">
        <v>17794</v>
      </c>
      <c r="K3397" s="3" t="s">
        <v>17795</v>
      </c>
      <c r="L3397" s="3"/>
      <c r="M3397" s="4"/>
      <c r="N3397" s="3" t="s">
        <v>37</v>
      </c>
      <c r="O3397" s="3" t="s">
        <v>46</v>
      </c>
      <c r="P3397" s="5">
        <v>9</v>
      </c>
      <c r="Q3397" s="5">
        <v>92</v>
      </c>
      <c r="R3397" s="5">
        <v>9</v>
      </c>
      <c r="S3397" s="5">
        <v>96</v>
      </c>
    </row>
    <row r="3398" spans="1:19" ht="28" x14ac:dyDescent="0.15">
      <c r="A3398" s="2">
        <f>HYPERLINK("https://open-school.uspishnemisto.com.ua/school/180310/", 180310)</f>
        <v>180310</v>
      </c>
      <c r="B3398" s="3" t="s">
        <v>17796</v>
      </c>
      <c r="C3398" s="3" t="s">
        <v>31</v>
      </c>
      <c r="D3398" s="3" t="s">
        <v>32</v>
      </c>
      <c r="E3398" s="4" t="s">
        <v>22</v>
      </c>
      <c r="F3398" s="4" t="s">
        <v>17797</v>
      </c>
      <c r="G3398" s="4" t="s">
        <v>17798</v>
      </c>
      <c r="H3398" s="3" t="s">
        <v>16292</v>
      </c>
      <c r="I3398" s="3" t="s">
        <v>17799</v>
      </c>
      <c r="J3398" s="3" t="s">
        <v>2719</v>
      </c>
      <c r="K3398" s="3" t="s">
        <v>17800</v>
      </c>
      <c r="L3398" s="3"/>
      <c r="M3398" s="4"/>
      <c r="N3398" s="3" t="s">
        <v>37</v>
      </c>
      <c r="O3398" s="3" t="s">
        <v>38</v>
      </c>
      <c r="P3398" s="5">
        <v>11</v>
      </c>
      <c r="Q3398" s="5">
        <v>207</v>
      </c>
      <c r="R3398" s="5">
        <v>11</v>
      </c>
      <c r="S3398" s="5">
        <v>193</v>
      </c>
    </row>
    <row r="3399" spans="1:19" ht="28" x14ac:dyDescent="0.15">
      <c r="A3399" s="2">
        <f>HYPERLINK("https://open-school.uspishnemisto.com.ua/school/180311/", 180311)</f>
        <v>180311</v>
      </c>
      <c r="B3399" s="3" t="s">
        <v>17801</v>
      </c>
      <c r="C3399" s="3" t="s">
        <v>31</v>
      </c>
      <c r="D3399" s="3" t="s">
        <v>175</v>
      </c>
      <c r="E3399" s="4" t="s">
        <v>22</v>
      </c>
      <c r="F3399" s="4" t="s">
        <v>17802</v>
      </c>
      <c r="G3399" s="4" t="s">
        <v>17803</v>
      </c>
      <c r="H3399" s="3" t="s">
        <v>16292</v>
      </c>
      <c r="I3399" s="3" t="s">
        <v>17804</v>
      </c>
      <c r="J3399" s="3" t="s">
        <v>17805</v>
      </c>
      <c r="K3399" s="3" t="s">
        <v>17806</v>
      </c>
      <c r="L3399" s="3"/>
      <c r="M3399" s="4"/>
      <c r="N3399" s="3" t="s">
        <v>37</v>
      </c>
      <c r="O3399" s="3" t="s">
        <v>112</v>
      </c>
      <c r="P3399" s="5">
        <v>9</v>
      </c>
      <c r="Q3399" s="5">
        <v>54</v>
      </c>
      <c r="R3399" s="5">
        <v>9</v>
      </c>
      <c r="S3399" s="5">
        <v>58</v>
      </c>
    </row>
    <row r="3400" spans="1:19" ht="28" x14ac:dyDescent="0.15">
      <c r="A3400" s="2">
        <f>HYPERLINK("https://open-school.uspishnemisto.com.ua/school/180312/", 180312)</f>
        <v>180312</v>
      </c>
      <c r="B3400" s="3" t="s">
        <v>17807</v>
      </c>
      <c r="C3400" s="3" t="s">
        <v>31</v>
      </c>
      <c r="D3400" s="3" t="s">
        <v>32</v>
      </c>
      <c r="E3400" s="4" t="s">
        <v>22</v>
      </c>
      <c r="F3400" s="4" t="s">
        <v>17649</v>
      </c>
      <c r="G3400" s="4" t="s">
        <v>17808</v>
      </c>
      <c r="H3400" s="3" t="s">
        <v>16292</v>
      </c>
      <c r="I3400" s="3" t="s">
        <v>2491</v>
      </c>
      <c r="J3400" s="3" t="s">
        <v>17809</v>
      </c>
      <c r="K3400" s="3" t="s">
        <v>17810</v>
      </c>
      <c r="L3400" s="3"/>
      <c r="M3400" s="4"/>
      <c r="N3400" s="3" t="s">
        <v>37</v>
      </c>
      <c r="O3400" s="3" t="s">
        <v>46</v>
      </c>
      <c r="P3400" s="5">
        <v>11</v>
      </c>
      <c r="Q3400" s="5">
        <v>107</v>
      </c>
      <c r="R3400" s="5">
        <v>10</v>
      </c>
      <c r="S3400" s="5">
        <v>101</v>
      </c>
    </row>
    <row r="3401" spans="1:19" ht="28" x14ac:dyDescent="0.15">
      <c r="A3401" s="2">
        <f>HYPERLINK("https://open-school.uspishnemisto.com.ua/school/180313/", 180313)</f>
        <v>180313</v>
      </c>
      <c r="B3401" s="3" t="s">
        <v>17811</v>
      </c>
      <c r="C3401" s="3" t="s">
        <v>31</v>
      </c>
      <c r="D3401" s="3" t="s">
        <v>32</v>
      </c>
      <c r="E3401" s="4" t="s">
        <v>22</v>
      </c>
      <c r="F3401" s="4" t="s">
        <v>17812</v>
      </c>
      <c r="G3401" s="4" t="s">
        <v>17813</v>
      </c>
      <c r="H3401" s="3" t="s">
        <v>16292</v>
      </c>
      <c r="I3401" s="3" t="s">
        <v>17814</v>
      </c>
      <c r="J3401" s="3" t="s">
        <v>2191</v>
      </c>
      <c r="K3401" s="3" t="s">
        <v>17815</v>
      </c>
      <c r="L3401" s="3" t="s">
        <v>17816</v>
      </c>
      <c r="M3401" s="4"/>
      <c r="N3401" s="3" t="s">
        <v>37</v>
      </c>
      <c r="O3401" s="3" t="s">
        <v>70</v>
      </c>
      <c r="P3401" s="5">
        <v>12</v>
      </c>
      <c r="Q3401" s="5">
        <v>241</v>
      </c>
      <c r="R3401" s="5">
        <v>11</v>
      </c>
      <c r="S3401" s="5">
        <v>232</v>
      </c>
    </row>
    <row r="3402" spans="1:19" ht="28" x14ac:dyDescent="0.15">
      <c r="A3402" s="2">
        <f>HYPERLINK("https://open-school.uspishnemisto.com.ua/school/180314/", 180314)</f>
        <v>180314</v>
      </c>
      <c r="B3402" s="3" t="s">
        <v>17817</v>
      </c>
      <c r="C3402" s="3" t="s">
        <v>31</v>
      </c>
      <c r="D3402" s="3" t="s">
        <v>175</v>
      </c>
      <c r="E3402" s="4" t="s">
        <v>22</v>
      </c>
      <c r="F3402" s="4" t="s">
        <v>17818</v>
      </c>
      <c r="G3402" s="4" t="s">
        <v>17819</v>
      </c>
      <c r="H3402" s="3" t="s">
        <v>16292</v>
      </c>
      <c r="I3402" s="3" t="s">
        <v>17820</v>
      </c>
      <c r="J3402" s="3" t="s">
        <v>17821</v>
      </c>
      <c r="K3402" s="3" t="s">
        <v>17822</v>
      </c>
      <c r="L3402" s="3"/>
      <c r="M3402" s="4"/>
      <c r="N3402" s="3" t="s">
        <v>37</v>
      </c>
      <c r="O3402" s="3" t="s">
        <v>46</v>
      </c>
      <c r="P3402" s="5">
        <v>7</v>
      </c>
      <c r="Q3402" s="5">
        <v>50</v>
      </c>
      <c r="R3402" s="5">
        <v>6</v>
      </c>
      <c r="S3402" s="5">
        <v>42</v>
      </c>
    </row>
    <row r="3403" spans="1:19" ht="28" x14ac:dyDescent="0.15">
      <c r="A3403" s="2">
        <f>HYPERLINK("https://open-school.uspishnemisto.com.ua/school/180315/", 180315)</f>
        <v>180315</v>
      </c>
      <c r="B3403" s="3" t="s">
        <v>17823</v>
      </c>
      <c r="C3403" s="3" t="s">
        <v>31</v>
      </c>
      <c r="D3403" s="3" t="s">
        <v>32</v>
      </c>
      <c r="E3403" s="4" t="s">
        <v>253</v>
      </c>
      <c r="F3403" s="4"/>
      <c r="G3403" s="4" t="s">
        <v>17824</v>
      </c>
      <c r="H3403" s="3" t="s">
        <v>16292</v>
      </c>
      <c r="I3403" s="3" t="s">
        <v>17825</v>
      </c>
      <c r="J3403" s="3" t="s">
        <v>17826</v>
      </c>
      <c r="K3403" s="3" t="s">
        <v>17827</v>
      </c>
      <c r="L3403" s="3"/>
      <c r="M3403" s="4"/>
      <c r="N3403" s="3" t="s">
        <v>37</v>
      </c>
      <c r="O3403" s="3" t="s">
        <v>38</v>
      </c>
      <c r="P3403" s="5">
        <v>10</v>
      </c>
      <c r="Q3403" s="5">
        <v>115</v>
      </c>
      <c r="R3403" s="5">
        <v>10</v>
      </c>
      <c r="S3403" s="5">
        <v>130</v>
      </c>
    </row>
    <row r="3404" spans="1:19" ht="28" x14ac:dyDescent="0.15">
      <c r="A3404" s="2">
        <f>HYPERLINK("https://open-school.uspishnemisto.com.ua/school/180316/", 180316)</f>
        <v>180316</v>
      </c>
      <c r="B3404" s="3" t="s">
        <v>17828</v>
      </c>
      <c r="C3404" s="3" t="s">
        <v>31</v>
      </c>
      <c r="D3404" s="3" t="s">
        <v>32</v>
      </c>
      <c r="E3404" s="4" t="s">
        <v>22</v>
      </c>
      <c r="F3404" s="4" t="s">
        <v>17829</v>
      </c>
      <c r="G3404" s="4" t="s">
        <v>17830</v>
      </c>
      <c r="H3404" s="3" t="s">
        <v>16292</v>
      </c>
      <c r="I3404" s="3" t="s">
        <v>17831</v>
      </c>
      <c r="J3404" s="3" t="s">
        <v>17832</v>
      </c>
      <c r="K3404" s="3" t="s">
        <v>17833</v>
      </c>
      <c r="L3404" s="3"/>
      <c r="M3404" s="4"/>
      <c r="N3404" s="3" t="s">
        <v>37</v>
      </c>
      <c r="O3404" s="3" t="s">
        <v>266</v>
      </c>
      <c r="P3404" s="5">
        <v>14</v>
      </c>
      <c r="Q3404" s="5">
        <v>288</v>
      </c>
      <c r="R3404" s="5">
        <v>13</v>
      </c>
      <c r="S3404" s="5">
        <v>266</v>
      </c>
    </row>
    <row r="3405" spans="1:19" ht="28" x14ac:dyDescent="0.15">
      <c r="A3405" s="2">
        <f>HYPERLINK("https://open-school.uspishnemisto.com.ua/school/180317/", 180317)</f>
        <v>180317</v>
      </c>
      <c r="B3405" s="3" t="s">
        <v>17834</v>
      </c>
      <c r="C3405" s="3" t="s">
        <v>31</v>
      </c>
      <c r="D3405" s="3" t="s">
        <v>32</v>
      </c>
      <c r="E3405" s="4" t="s">
        <v>22</v>
      </c>
      <c r="F3405" s="4" t="s">
        <v>17835</v>
      </c>
      <c r="G3405" s="4" t="s">
        <v>17836</v>
      </c>
      <c r="H3405" s="3" t="s">
        <v>16292</v>
      </c>
      <c r="I3405" s="3" t="s">
        <v>17837</v>
      </c>
      <c r="J3405" s="3" t="s">
        <v>17838</v>
      </c>
      <c r="K3405" s="3" t="s">
        <v>17839</v>
      </c>
      <c r="L3405" s="3" t="s">
        <v>17840</v>
      </c>
      <c r="M3405" s="4"/>
      <c r="N3405" s="3" t="s">
        <v>37</v>
      </c>
      <c r="O3405" s="3" t="s">
        <v>70</v>
      </c>
      <c r="P3405" s="5">
        <v>11</v>
      </c>
      <c r="Q3405" s="5">
        <v>162</v>
      </c>
      <c r="R3405" s="5">
        <v>10</v>
      </c>
      <c r="S3405" s="5">
        <v>144</v>
      </c>
    </row>
    <row r="3406" spans="1:19" ht="28" x14ac:dyDescent="0.15">
      <c r="A3406" s="2">
        <f>HYPERLINK("https://open-school.uspishnemisto.com.ua/school/180318/", 180318)</f>
        <v>180318</v>
      </c>
      <c r="B3406" s="3" t="s">
        <v>17841</v>
      </c>
      <c r="C3406" s="3" t="s">
        <v>31</v>
      </c>
      <c r="D3406" s="3" t="s">
        <v>32</v>
      </c>
      <c r="E3406" s="4" t="s">
        <v>22</v>
      </c>
      <c r="F3406" s="4" t="s">
        <v>17842</v>
      </c>
      <c r="G3406" s="4" t="s">
        <v>17843</v>
      </c>
      <c r="H3406" s="3" t="s">
        <v>16292</v>
      </c>
      <c r="I3406" s="3" t="s">
        <v>17844</v>
      </c>
      <c r="J3406" s="3" t="s">
        <v>2384</v>
      </c>
      <c r="K3406" s="3" t="s">
        <v>17845</v>
      </c>
      <c r="L3406" s="3"/>
      <c r="M3406" s="4"/>
      <c r="N3406" s="3" t="s">
        <v>37</v>
      </c>
      <c r="O3406" s="3" t="s">
        <v>46</v>
      </c>
      <c r="P3406" s="5">
        <v>11</v>
      </c>
      <c r="Q3406" s="5">
        <v>97</v>
      </c>
      <c r="R3406" s="5">
        <v>11</v>
      </c>
      <c r="S3406" s="5">
        <v>101</v>
      </c>
    </row>
    <row r="3407" spans="1:19" ht="28" x14ac:dyDescent="0.15">
      <c r="A3407" s="2">
        <f>HYPERLINK("https://open-school.uspishnemisto.com.ua/school/180319/", 180319)</f>
        <v>180319</v>
      </c>
      <c r="B3407" s="3" t="s">
        <v>17846</v>
      </c>
      <c r="C3407" s="3" t="s">
        <v>31</v>
      </c>
      <c r="D3407" s="3" t="s">
        <v>175</v>
      </c>
      <c r="E3407" s="4" t="s">
        <v>22</v>
      </c>
      <c r="F3407" s="4" t="s">
        <v>17847</v>
      </c>
      <c r="G3407" s="4" t="s">
        <v>17848</v>
      </c>
      <c r="H3407" s="3" t="s">
        <v>16292</v>
      </c>
      <c r="I3407" s="3" t="s">
        <v>17849</v>
      </c>
      <c r="J3407" s="3" t="s">
        <v>17850</v>
      </c>
      <c r="K3407" s="3" t="s">
        <v>17851</v>
      </c>
      <c r="L3407" s="3" t="s">
        <v>17852</v>
      </c>
      <c r="M3407" s="4"/>
      <c r="N3407" s="3" t="s">
        <v>37</v>
      </c>
      <c r="O3407" s="3" t="s">
        <v>46</v>
      </c>
      <c r="P3407" s="5">
        <v>5</v>
      </c>
      <c r="Q3407" s="5">
        <v>42</v>
      </c>
      <c r="R3407" s="5">
        <v>6</v>
      </c>
      <c r="S3407" s="5">
        <v>44</v>
      </c>
    </row>
    <row r="3408" spans="1:19" ht="28" x14ac:dyDescent="0.15">
      <c r="A3408" s="2">
        <f>HYPERLINK("https://open-school.uspishnemisto.com.ua/school/180320/", 180320)</f>
        <v>180320</v>
      </c>
      <c r="B3408" s="3" t="s">
        <v>17853</v>
      </c>
      <c r="C3408" s="3" t="s">
        <v>31</v>
      </c>
      <c r="D3408" s="3" t="s">
        <v>32</v>
      </c>
      <c r="E3408" s="4" t="s">
        <v>22</v>
      </c>
      <c r="F3408" s="4" t="s">
        <v>17854</v>
      </c>
      <c r="G3408" s="4" t="s">
        <v>17855</v>
      </c>
      <c r="H3408" s="3" t="s">
        <v>16292</v>
      </c>
      <c r="I3408" s="3" t="s">
        <v>17856</v>
      </c>
      <c r="J3408" s="3" t="s">
        <v>17857</v>
      </c>
      <c r="K3408" s="3" t="s">
        <v>17858</v>
      </c>
      <c r="L3408" s="3" t="s">
        <v>17859</v>
      </c>
      <c r="M3408" s="4"/>
      <c r="N3408" s="3" t="s">
        <v>37</v>
      </c>
      <c r="O3408" s="3" t="s">
        <v>52</v>
      </c>
      <c r="P3408" s="5">
        <v>11</v>
      </c>
      <c r="Q3408" s="5">
        <v>119</v>
      </c>
      <c r="R3408" s="5">
        <v>11</v>
      </c>
      <c r="S3408" s="5">
        <v>125</v>
      </c>
    </row>
    <row r="3409" spans="1:19" ht="28" x14ac:dyDescent="0.15">
      <c r="A3409" s="2">
        <f>HYPERLINK("https://open-school.uspishnemisto.com.ua/school/180321/", 180321)</f>
        <v>180321</v>
      </c>
      <c r="B3409" s="3" t="s">
        <v>17860</v>
      </c>
      <c r="C3409" s="3" t="s">
        <v>31</v>
      </c>
      <c r="D3409" s="3" t="s">
        <v>32</v>
      </c>
      <c r="E3409" s="4" t="s">
        <v>22</v>
      </c>
      <c r="F3409" s="4" t="s">
        <v>17861</v>
      </c>
      <c r="G3409" s="4" t="s">
        <v>17862</v>
      </c>
      <c r="H3409" s="3" t="s">
        <v>16292</v>
      </c>
      <c r="I3409" s="3" t="s">
        <v>17863</v>
      </c>
      <c r="J3409" s="3" t="s">
        <v>3994</v>
      </c>
      <c r="K3409" s="3" t="s">
        <v>17864</v>
      </c>
      <c r="L3409" s="3"/>
      <c r="M3409" s="4"/>
      <c r="N3409" s="3" t="s">
        <v>37</v>
      </c>
      <c r="O3409" s="3" t="s">
        <v>52</v>
      </c>
      <c r="P3409" s="5">
        <v>11</v>
      </c>
      <c r="Q3409" s="5">
        <v>164</v>
      </c>
      <c r="R3409" s="5">
        <v>11</v>
      </c>
      <c r="S3409" s="5">
        <v>174</v>
      </c>
    </row>
    <row r="3410" spans="1:19" ht="42" x14ac:dyDescent="0.15">
      <c r="A3410" s="2">
        <f>HYPERLINK("https://open-school.uspishnemisto.com.ua/school/180322/", 180322)</f>
        <v>180322</v>
      </c>
      <c r="B3410" s="3" t="s">
        <v>17865</v>
      </c>
      <c r="C3410" s="3" t="s">
        <v>31</v>
      </c>
      <c r="D3410" s="3" t="s">
        <v>32</v>
      </c>
      <c r="E3410" s="4" t="s">
        <v>22</v>
      </c>
      <c r="F3410" s="4" t="s">
        <v>17866</v>
      </c>
      <c r="G3410" s="4" t="s">
        <v>17867</v>
      </c>
      <c r="H3410" s="3" t="s">
        <v>16292</v>
      </c>
      <c r="I3410" s="3" t="s">
        <v>17868</v>
      </c>
      <c r="J3410" s="3" t="s">
        <v>8049</v>
      </c>
      <c r="K3410" s="3"/>
      <c r="L3410" s="3"/>
      <c r="M3410" s="4"/>
      <c r="N3410" s="3"/>
      <c r="O3410" s="3"/>
      <c r="P3410" s="5">
        <v>0</v>
      </c>
      <c r="Q3410" s="5">
        <v>0</v>
      </c>
      <c r="R3410" s="5"/>
      <c r="S3410" s="5"/>
    </row>
    <row r="3411" spans="1:19" ht="28" x14ac:dyDescent="0.15">
      <c r="A3411" s="2">
        <f>HYPERLINK("https://open-school.uspishnemisto.com.ua/school/180323/", 180323)</f>
        <v>180323</v>
      </c>
      <c r="B3411" s="3" t="s">
        <v>17869</v>
      </c>
      <c r="C3411" s="3" t="s">
        <v>31</v>
      </c>
      <c r="D3411" s="3" t="s">
        <v>32</v>
      </c>
      <c r="E3411" s="4" t="s">
        <v>22</v>
      </c>
      <c r="F3411" s="4" t="s">
        <v>17870</v>
      </c>
      <c r="G3411" s="4" t="s">
        <v>17871</v>
      </c>
      <c r="H3411" s="3" t="s">
        <v>16292</v>
      </c>
      <c r="I3411" s="3" t="s">
        <v>17872</v>
      </c>
      <c r="J3411" s="3" t="s">
        <v>1348</v>
      </c>
      <c r="K3411" s="3" t="s">
        <v>17873</v>
      </c>
      <c r="L3411" s="3"/>
      <c r="M3411" s="4"/>
      <c r="N3411" s="3" t="s">
        <v>37</v>
      </c>
      <c r="O3411" s="3" t="s">
        <v>38</v>
      </c>
      <c r="P3411" s="5">
        <v>19</v>
      </c>
      <c r="Q3411" s="5">
        <v>335</v>
      </c>
      <c r="R3411" s="5">
        <v>19</v>
      </c>
      <c r="S3411" s="5">
        <v>349</v>
      </c>
    </row>
    <row r="3412" spans="1:19" ht="42" x14ac:dyDescent="0.15">
      <c r="A3412" s="2">
        <f>HYPERLINK("https://open-school.uspishnemisto.com.ua/school/180324/", 180324)</f>
        <v>180324</v>
      </c>
      <c r="B3412" s="3" t="s">
        <v>17874</v>
      </c>
      <c r="C3412" s="3" t="s">
        <v>31</v>
      </c>
      <c r="D3412" s="3" t="s">
        <v>60</v>
      </c>
      <c r="E3412" s="4" t="s">
        <v>22</v>
      </c>
      <c r="F3412" s="4"/>
      <c r="G3412" s="4" t="s">
        <v>17875</v>
      </c>
      <c r="H3412" s="3" t="s">
        <v>16292</v>
      </c>
      <c r="I3412" s="3" t="s">
        <v>17876</v>
      </c>
      <c r="J3412" s="3" t="s">
        <v>700</v>
      </c>
      <c r="K3412" s="3" t="s">
        <v>17877</v>
      </c>
      <c r="L3412" s="3"/>
      <c r="M3412" s="4"/>
      <c r="N3412" s="3"/>
      <c r="O3412" s="3"/>
      <c r="P3412" s="5">
        <v>0</v>
      </c>
      <c r="Q3412" s="5">
        <v>0</v>
      </c>
      <c r="R3412" s="5"/>
      <c r="S3412" s="5"/>
    </row>
    <row r="3413" spans="1:19" ht="28" x14ac:dyDescent="0.15">
      <c r="A3413" s="2">
        <f>HYPERLINK("https://open-school.uspishnemisto.com.ua/school/180325/", 180325)</f>
        <v>180325</v>
      </c>
      <c r="B3413" s="3" t="s">
        <v>17878</v>
      </c>
      <c r="C3413" s="3" t="s">
        <v>31</v>
      </c>
      <c r="D3413" s="3" t="s">
        <v>60</v>
      </c>
      <c r="E3413" s="4" t="s">
        <v>22</v>
      </c>
      <c r="F3413" s="4" t="s">
        <v>17879</v>
      </c>
      <c r="G3413" s="4" t="s">
        <v>17880</v>
      </c>
      <c r="H3413" s="3" t="s">
        <v>16292</v>
      </c>
      <c r="I3413" s="3" t="s">
        <v>17881</v>
      </c>
      <c r="J3413" s="3" t="s">
        <v>17882</v>
      </c>
      <c r="K3413" s="3" t="s">
        <v>17883</v>
      </c>
      <c r="L3413" s="3" t="s">
        <v>17884</v>
      </c>
      <c r="M3413" s="4"/>
      <c r="N3413" s="3" t="s">
        <v>37</v>
      </c>
      <c r="O3413" s="3" t="s">
        <v>52</v>
      </c>
      <c r="P3413" s="5">
        <v>0</v>
      </c>
      <c r="Q3413" s="5">
        <v>5</v>
      </c>
      <c r="R3413" s="5">
        <v>0</v>
      </c>
      <c r="S3413" s="5">
        <v>5</v>
      </c>
    </row>
    <row r="3414" spans="1:19" ht="56" x14ac:dyDescent="0.15">
      <c r="A3414" s="2">
        <f>HYPERLINK("https://open-school.uspishnemisto.com.ua/school/180326/", 180326)</f>
        <v>180326</v>
      </c>
      <c r="B3414" s="3" t="s">
        <v>17885</v>
      </c>
      <c r="C3414" s="3" t="s">
        <v>54</v>
      </c>
      <c r="D3414" s="3" t="s">
        <v>175</v>
      </c>
      <c r="E3414" s="4" t="s">
        <v>22</v>
      </c>
      <c r="F3414" s="4" t="s">
        <v>17886</v>
      </c>
      <c r="G3414" s="4" t="s">
        <v>17887</v>
      </c>
      <c r="H3414" s="3" t="s">
        <v>16292</v>
      </c>
      <c r="I3414" s="3" t="s">
        <v>17888</v>
      </c>
      <c r="J3414" s="3" t="s">
        <v>17889</v>
      </c>
      <c r="K3414" s="3" t="s">
        <v>17890</v>
      </c>
      <c r="L3414" s="3"/>
      <c r="M3414" s="4"/>
      <c r="N3414" s="3" t="s">
        <v>37</v>
      </c>
      <c r="O3414" s="3" t="s">
        <v>46</v>
      </c>
      <c r="P3414" s="5">
        <v>7</v>
      </c>
      <c r="Q3414" s="5">
        <v>47</v>
      </c>
      <c r="R3414" s="5">
        <v>7</v>
      </c>
      <c r="S3414" s="5">
        <v>52</v>
      </c>
    </row>
    <row r="3415" spans="1:19" ht="28" x14ac:dyDescent="0.15">
      <c r="A3415" s="2">
        <f>HYPERLINK("https://open-school.uspishnemisto.com.ua/school/180327/", 180327)</f>
        <v>180327</v>
      </c>
      <c r="B3415" s="3" t="s">
        <v>17891</v>
      </c>
      <c r="C3415" s="3" t="s">
        <v>31</v>
      </c>
      <c r="D3415" s="3" t="s">
        <v>60</v>
      </c>
      <c r="E3415" s="4" t="s">
        <v>22</v>
      </c>
      <c r="F3415" s="4" t="s">
        <v>17892</v>
      </c>
      <c r="G3415" s="4" t="s">
        <v>17893</v>
      </c>
      <c r="H3415" s="3" t="s">
        <v>16292</v>
      </c>
      <c r="I3415" s="3" t="s">
        <v>17894</v>
      </c>
      <c r="J3415" s="3" t="s">
        <v>16258</v>
      </c>
      <c r="K3415" s="3"/>
      <c r="L3415" s="3" t="s">
        <v>17895</v>
      </c>
      <c r="M3415" s="4"/>
      <c r="N3415" s="3" t="s">
        <v>37</v>
      </c>
      <c r="O3415" s="3" t="s">
        <v>52</v>
      </c>
      <c r="P3415" s="5">
        <v>0</v>
      </c>
      <c r="Q3415" s="5">
        <v>8</v>
      </c>
      <c r="R3415" s="5">
        <v>0</v>
      </c>
      <c r="S3415" s="5">
        <v>10</v>
      </c>
    </row>
    <row r="3416" spans="1:19" ht="28" x14ac:dyDescent="0.15">
      <c r="A3416" s="2">
        <f>HYPERLINK("https://open-school.uspishnemisto.com.ua/school/180328/", 180328)</f>
        <v>180328</v>
      </c>
      <c r="B3416" s="3" t="s">
        <v>17896</v>
      </c>
      <c r="C3416" s="3" t="s">
        <v>31</v>
      </c>
      <c r="D3416" s="3" t="s">
        <v>32</v>
      </c>
      <c r="E3416" s="4" t="s">
        <v>22</v>
      </c>
      <c r="F3416" s="4" t="s">
        <v>17897</v>
      </c>
      <c r="G3416" s="4" t="s">
        <v>17898</v>
      </c>
      <c r="H3416" s="3" t="s">
        <v>16292</v>
      </c>
      <c r="I3416" s="3" t="s">
        <v>17899</v>
      </c>
      <c r="J3416" s="3" t="s">
        <v>946</v>
      </c>
      <c r="K3416" s="3" t="s">
        <v>17900</v>
      </c>
      <c r="L3416" s="3" t="s">
        <v>17901</v>
      </c>
      <c r="M3416" s="4"/>
      <c r="N3416" s="3" t="s">
        <v>37</v>
      </c>
      <c r="O3416" s="3" t="s">
        <v>52</v>
      </c>
      <c r="P3416" s="5">
        <v>8</v>
      </c>
      <c r="Q3416" s="5">
        <v>70</v>
      </c>
      <c r="R3416" s="5">
        <v>8</v>
      </c>
      <c r="S3416" s="5">
        <v>80</v>
      </c>
    </row>
    <row r="3417" spans="1:19" ht="28" x14ac:dyDescent="0.15">
      <c r="A3417" s="2">
        <f>HYPERLINK("https://open-school.uspishnemisto.com.ua/school/180329/", 180329)</f>
        <v>180329</v>
      </c>
      <c r="B3417" s="3" t="s">
        <v>17902</v>
      </c>
      <c r="C3417" s="3" t="s">
        <v>31</v>
      </c>
      <c r="D3417" s="3" t="s">
        <v>175</v>
      </c>
      <c r="E3417" s="4" t="s">
        <v>22</v>
      </c>
      <c r="F3417" s="4" t="s">
        <v>17903</v>
      </c>
      <c r="G3417" s="4" t="s">
        <v>17904</v>
      </c>
      <c r="H3417" s="3" t="s">
        <v>16292</v>
      </c>
      <c r="I3417" s="3" t="s">
        <v>17905</v>
      </c>
      <c r="J3417" s="3" t="s">
        <v>17906</v>
      </c>
      <c r="K3417" s="3"/>
      <c r="L3417" s="3" t="s">
        <v>17907</v>
      </c>
      <c r="M3417" s="4"/>
      <c r="N3417" s="3" t="s">
        <v>37</v>
      </c>
      <c r="O3417" s="3" t="s">
        <v>52</v>
      </c>
      <c r="P3417" s="5">
        <v>1</v>
      </c>
      <c r="Q3417" s="5">
        <v>27</v>
      </c>
      <c r="R3417" s="5">
        <v>1</v>
      </c>
      <c r="S3417" s="5">
        <v>25</v>
      </c>
    </row>
    <row r="3418" spans="1:19" ht="28" x14ac:dyDescent="0.15">
      <c r="A3418" s="2">
        <f>HYPERLINK("https://open-school.uspishnemisto.com.ua/school/180330/", 180330)</f>
        <v>180330</v>
      </c>
      <c r="B3418" s="3" t="s">
        <v>17908</v>
      </c>
      <c r="C3418" s="3" t="s">
        <v>31</v>
      </c>
      <c r="D3418" s="3" t="s">
        <v>60</v>
      </c>
      <c r="E3418" s="4" t="s">
        <v>22</v>
      </c>
      <c r="F3418" s="4" t="s">
        <v>17909</v>
      </c>
      <c r="G3418" s="4" t="s">
        <v>17910</v>
      </c>
      <c r="H3418" s="3" t="s">
        <v>16292</v>
      </c>
      <c r="I3418" s="3" t="s">
        <v>5320</v>
      </c>
      <c r="J3418" s="3" t="s">
        <v>17911</v>
      </c>
      <c r="K3418" s="3"/>
      <c r="L3418" s="3"/>
      <c r="M3418" s="4"/>
      <c r="N3418" s="3" t="s">
        <v>37</v>
      </c>
      <c r="O3418" s="3" t="s">
        <v>52</v>
      </c>
      <c r="P3418" s="5">
        <v>1</v>
      </c>
      <c r="Q3418" s="5">
        <v>18</v>
      </c>
      <c r="R3418" s="5">
        <v>1</v>
      </c>
      <c r="S3418" s="5">
        <v>17</v>
      </c>
    </row>
    <row r="3419" spans="1:19" ht="42" x14ac:dyDescent="0.15">
      <c r="A3419" s="2">
        <f>HYPERLINK("https://open-school.uspishnemisto.com.ua/school/180331/", 180331)</f>
        <v>180331</v>
      </c>
      <c r="B3419" s="3" t="s">
        <v>17912</v>
      </c>
      <c r="C3419" s="3" t="s">
        <v>31</v>
      </c>
      <c r="D3419" s="3" t="s">
        <v>32</v>
      </c>
      <c r="E3419" s="4" t="s">
        <v>22</v>
      </c>
      <c r="F3419" s="4" t="s">
        <v>17913</v>
      </c>
      <c r="G3419" s="4" t="s">
        <v>17914</v>
      </c>
      <c r="H3419" s="3" t="s">
        <v>16292</v>
      </c>
      <c r="I3419" s="3" t="s">
        <v>17915</v>
      </c>
      <c r="J3419" s="3" t="s">
        <v>17916</v>
      </c>
      <c r="K3419" s="3" t="s">
        <v>17917</v>
      </c>
      <c r="L3419" s="3" t="s">
        <v>17918</v>
      </c>
      <c r="M3419" s="4"/>
      <c r="N3419" s="3" t="s">
        <v>37</v>
      </c>
      <c r="O3419" s="3" t="s">
        <v>38</v>
      </c>
      <c r="P3419" s="5">
        <v>11</v>
      </c>
      <c r="Q3419" s="5">
        <v>139</v>
      </c>
      <c r="R3419" s="5">
        <v>11</v>
      </c>
      <c r="S3419" s="5">
        <v>140</v>
      </c>
    </row>
    <row r="3420" spans="1:19" ht="28" x14ac:dyDescent="0.15">
      <c r="A3420" s="2">
        <f>HYPERLINK("https://open-school.uspishnemisto.com.ua/school/180332/", 180332)</f>
        <v>180332</v>
      </c>
      <c r="B3420" s="3" t="s">
        <v>17919</v>
      </c>
      <c r="C3420" s="3" t="s">
        <v>31</v>
      </c>
      <c r="D3420" s="3" t="s">
        <v>32</v>
      </c>
      <c r="E3420" s="4" t="s">
        <v>22</v>
      </c>
      <c r="F3420" s="4" t="s">
        <v>17920</v>
      </c>
      <c r="G3420" s="4" t="s">
        <v>17921</v>
      </c>
      <c r="H3420" s="3" t="s">
        <v>16292</v>
      </c>
      <c r="I3420" s="3" t="s">
        <v>17922</v>
      </c>
      <c r="J3420" s="3" t="s">
        <v>726</v>
      </c>
      <c r="K3420" s="3" t="s">
        <v>17923</v>
      </c>
      <c r="L3420" s="3" t="s">
        <v>17924</v>
      </c>
      <c r="M3420" s="4"/>
      <c r="N3420" s="3" t="s">
        <v>37</v>
      </c>
      <c r="O3420" s="3" t="s">
        <v>52</v>
      </c>
      <c r="P3420" s="5">
        <v>11</v>
      </c>
      <c r="Q3420" s="5">
        <v>114</v>
      </c>
      <c r="R3420" s="5">
        <v>11</v>
      </c>
      <c r="S3420" s="5">
        <v>103</v>
      </c>
    </row>
    <row r="3421" spans="1:19" ht="42" x14ac:dyDescent="0.15">
      <c r="A3421" s="2">
        <f>HYPERLINK("https://open-school.uspishnemisto.com.ua/school/180333/", 180333)</f>
        <v>180333</v>
      </c>
      <c r="B3421" s="3" t="s">
        <v>17925</v>
      </c>
      <c r="C3421" s="3" t="s">
        <v>54</v>
      </c>
      <c r="D3421" s="3" t="s">
        <v>32</v>
      </c>
      <c r="E3421" s="4" t="s">
        <v>22</v>
      </c>
      <c r="F3421" s="4" t="s">
        <v>17926</v>
      </c>
      <c r="G3421" s="4" t="s">
        <v>17927</v>
      </c>
      <c r="H3421" s="3" t="s">
        <v>16292</v>
      </c>
      <c r="I3421" s="3" t="s">
        <v>17928</v>
      </c>
      <c r="J3421" s="3" t="s">
        <v>17929</v>
      </c>
      <c r="K3421" s="3" t="s">
        <v>17930</v>
      </c>
      <c r="L3421" s="3"/>
      <c r="M3421" s="4"/>
      <c r="N3421" s="3" t="s">
        <v>37</v>
      </c>
      <c r="O3421" s="3" t="s">
        <v>46</v>
      </c>
      <c r="P3421" s="5">
        <v>5</v>
      </c>
      <c r="Q3421" s="5">
        <v>53</v>
      </c>
      <c r="R3421" s="5">
        <v>6</v>
      </c>
      <c r="S3421" s="5">
        <v>56</v>
      </c>
    </row>
    <row r="3422" spans="1:19" ht="28" x14ac:dyDescent="0.15">
      <c r="A3422" s="2">
        <f>HYPERLINK("https://open-school.uspishnemisto.com.ua/school/180334/", 180334)</f>
        <v>180334</v>
      </c>
      <c r="B3422" s="3" t="s">
        <v>17931</v>
      </c>
      <c r="C3422" s="3" t="s">
        <v>31</v>
      </c>
      <c r="D3422" s="3" t="s">
        <v>175</v>
      </c>
      <c r="E3422" s="4" t="s">
        <v>22</v>
      </c>
      <c r="F3422" s="4" t="s">
        <v>17932</v>
      </c>
      <c r="G3422" s="4" t="s">
        <v>17933</v>
      </c>
      <c r="H3422" s="3" t="s">
        <v>16292</v>
      </c>
      <c r="I3422" s="3" t="s">
        <v>688</v>
      </c>
      <c r="J3422" s="3" t="s">
        <v>17934</v>
      </c>
      <c r="K3422" s="3" t="s">
        <v>17935</v>
      </c>
      <c r="L3422" s="3" t="s">
        <v>17936</v>
      </c>
      <c r="M3422" s="4"/>
      <c r="N3422" s="3" t="s">
        <v>37</v>
      </c>
      <c r="O3422" s="3" t="s">
        <v>52</v>
      </c>
      <c r="P3422" s="5">
        <v>7</v>
      </c>
      <c r="Q3422" s="5">
        <v>65</v>
      </c>
      <c r="R3422" s="5">
        <v>8</v>
      </c>
      <c r="S3422" s="5">
        <v>70</v>
      </c>
    </row>
    <row r="3423" spans="1:19" ht="42" x14ac:dyDescent="0.15">
      <c r="A3423" s="2">
        <f>HYPERLINK("https://open-school.uspishnemisto.com.ua/school/180335/", 180335)</f>
        <v>180335</v>
      </c>
      <c r="B3423" s="3" t="s">
        <v>17937</v>
      </c>
      <c r="C3423" s="3" t="s">
        <v>54</v>
      </c>
      <c r="D3423" s="3" t="s">
        <v>175</v>
      </c>
      <c r="E3423" s="4" t="s">
        <v>22</v>
      </c>
      <c r="F3423" s="4" t="s">
        <v>17938</v>
      </c>
      <c r="G3423" s="4" t="s">
        <v>17939</v>
      </c>
      <c r="H3423" s="3" t="s">
        <v>16292</v>
      </c>
      <c r="I3423" s="3" t="s">
        <v>17940</v>
      </c>
      <c r="J3423" s="3" t="s">
        <v>792</v>
      </c>
      <c r="K3423" s="3" t="s">
        <v>17941</v>
      </c>
      <c r="L3423" s="3"/>
      <c r="M3423" s="4"/>
      <c r="N3423" s="3" t="s">
        <v>37</v>
      </c>
      <c r="O3423" s="3" t="s">
        <v>38</v>
      </c>
      <c r="P3423" s="5">
        <v>6</v>
      </c>
      <c r="Q3423" s="5">
        <v>48</v>
      </c>
      <c r="R3423" s="5">
        <v>8</v>
      </c>
      <c r="S3423" s="5">
        <v>54</v>
      </c>
    </row>
    <row r="3424" spans="1:19" ht="28" x14ac:dyDescent="0.15">
      <c r="A3424" s="2">
        <f>HYPERLINK("https://open-school.uspishnemisto.com.ua/school/180336/", 180336)</f>
        <v>180336</v>
      </c>
      <c r="B3424" s="3" t="s">
        <v>17942</v>
      </c>
      <c r="C3424" s="3" t="s">
        <v>31</v>
      </c>
      <c r="D3424" s="3" t="s">
        <v>32</v>
      </c>
      <c r="E3424" s="4" t="s">
        <v>22</v>
      </c>
      <c r="F3424" s="4" t="s">
        <v>17943</v>
      </c>
      <c r="G3424" s="4" t="s">
        <v>17944</v>
      </c>
      <c r="H3424" s="3" t="s">
        <v>16292</v>
      </c>
      <c r="I3424" s="3" t="s">
        <v>8169</v>
      </c>
      <c r="J3424" s="3" t="s">
        <v>634</v>
      </c>
      <c r="K3424" s="3" t="s">
        <v>17945</v>
      </c>
      <c r="L3424" s="3"/>
      <c r="M3424" s="4"/>
      <c r="N3424" s="3" t="s">
        <v>37</v>
      </c>
      <c r="O3424" s="3" t="s">
        <v>52</v>
      </c>
      <c r="P3424" s="5">
        <v>15</v>
      </c>
      <c r="Q3424" s="5">
        <v>305</v>
      </c>
      <c r="R3424" s="5">
        <v>15</v>
      </c>
      <c r="S3424" s="5">
        <v>290</v>
      </c>
    </row>
    <row r="3425" spans="1:19" ht="28" x14ac:dyDescent="0.15">
      <c r="A3425" s="2">
        <f>HYPERLINK("https://open-school.uspishnemisto.com.ua/school/180337/", 180337)</f>
        <v>180337</v>
      </c>
      <c r="B3425" s="3" t="s">
        <v>17946</v>
      </c>
      <c r="C3425" s="3" t="s">
        <v>31</v>
      </c>
      <c r="D3425" s="3" t="s">
        <v>175</v>
      </c>
      <c r="E3425" s="4" t="s">
        <v>22</v>
      </c>
      <c r="F3425" s="4" t="s">
        <v>17947</v>
      </c>
      <c r="G3425" s="4" t="s">
        <v>17948</v>
      </c>
      <c r="H3425" s="3" t="s">
        <v>16292</v>
      </c>
      <c r="I3425" s="3" t="s">
        <v>3346</v>
      </c>
      <c r="J3425" s="3" t="s">
        <v>17949</v>
      </c>
      <c r="K3425" s="3" t="s">
        <v>17950</v>
      </c>
      <c r="L3425" s="3"/>
      <c r="M3425" s="4"/>
      <c r="N3425" s="3" t="s">
        <v>37</v>
      </c>
      <c r="O3425" s="3" t="s">
        <v>52</v>
      </c>
      <c r="P3425" s="5">
        <v>6</v>
      </c>
      <c r="Q3425" s="5">
        <v>48</v>
      </c>
      <c r="R3425" s="5">
        <v>6</v>
      </c>
      <c r="S3425" s="5">
        <v>48</v>
      </c>
    </row>
    <row r="3426" spans="1:19" ht="28" x14ac:dyDescent="0.15">
      <c r="A3426" s="2">
        <f>HYPERLINK("https://open-school.uspishnemisto.com.ua/school/180338/", 180338)</f>
        <v>180338</v>
      </c>
      <c r="B3426" s="3" t="s">
        <v>17951</v>
      </c>
      <c r="C3426" s="3" t="s">
        <v>31</v>
      </c>
      <c r="D3426" s="3" t="s">
        <v>60</v>
      </c>
      <c r="E3426" s="4" t="s">
        <v>22</v>
      </c>
      <c r="F3426" s="4" t="s">
        <v>17952</v>
      </c>
      <c r="G3426" s="4" t="s">
        <v>17953</v>
      </c>
      <c r="H3426" s="3" t="s">
        <v>16292</v>
      </c>
      <c r="I3426" s="3" t="s">
        <v>883</v>
      </c>
      <c r="J3426" s="3" t="s">
        <v>17954</v>
      </c>
      <c r="K3426" s="3" t="s">
        <v>17955</v>
      </c>
      <c r="L3426" s="3"/>
      <c r="M3426" s="4"/>
      <c r="N3426" s="3" t="s">
        <v>37</v>
      </c>
      <c r="O3426" s="3" t="s">
        <v>52</v>
      </c>
      <c r="P3426" s="5">
        <v>0</v>
      </c>
      <c r="Q3426" s="5">
        <v>6</v>
      </c>
      <c r="R3426" s="5">
        <v>1</v>
      </c>
      <c r="S3426" s="5">
        <v>11</v>
      </c>
    </row>
    <row r="3427" spans="1:19" ht="28" x14ac:dyDescent="0.15">
      <c r="A3427" s="2">
        <f>HYPERLINK("https://open-school.uspishnemisto.com.ua/school/180339/", 180339)</f>
        <v>180339</v>
      </c>
      <c r="B3427" s="3" t="s">
        <v>17956</v>
      </c>
      <c r="C3427" s="3" t="s">
        <v>31</v>
      </c>
      <c r="D3427" s="3" t="s">
        <v>32</v>
      </c>
      <c r="E3427" s="4" t="s">
        <v>22</v>
      </c>
      <c r="F3427" s="4" t="s">
        <v>17957</v>
      </c>
      <c r="G3427" s="4" t="s">
        <v>17958</v>
      </c>
      <c r="H3427" s="3" t="s">
        <v>16292</v>
      </c>
      <c r="I3427" s="3" t="s">
        <v>17959</v>
      </c>
      <c r="J3427" s="3" t="s">
        <v>17960</v>
      </c>
      <c r="K3427" s="3" t="s">
        <v>17961</v>
      </c>
      <c r="L3427" s="3"/>
      <c r="M3427" s="4"/>
      <c r="N3427" s="3" t="s">
        <v>37</v>
      </c>
      <c r="O3427" s="3" t="s">
        <v>618</v>
      </c>
      <c r="P3427" s="5">
        <v>6</v>
      </c>
      <c r="Q3427" s="5">
        <v>42</v>
      </c>
      <c r="R3427" s="5">
        <v>6</v>
      </c>
      <c r="S3427" s="5">
        <v>46</v>
      </c>
    </row>
    <row r="3428" spans="1:19" ht="28" x14ac:dyDescent="0.15">
      <c r="A3428" s="2">
        <f>HYPERLINK("https://open-school.uspishnemisto.com.ua/school/180340/", 180340)</f>
        <v>180340</v>
      </c>
      <c r="B3428" s="3" t="s">
        <v>17962</v>
      </c>
      <c r="C3428" s="3" t="s">
        <v>31</v>
      </c>
      <c r="D3428" s="3" t="s">
        <v>32</v>
      </c>
      <c r="E3428" s="4" t="s">
        <v>22</v>
      </c>
      <c r="F3428" s="4" t="s">
        <v>17963</v>
      </c>
      <c r="G3428" s="4" t="s">
        <v>17964</v>
      </c>
      <c r="H3428" s="3" t="s">
        <v>16292</v>
      </c>
      <c r="I3428" s="3" t="s">
        <v>17965</v>
      </c>
      <c r="J3428" s="3" t="s">
        <v>6432</v>
      </c>
      <c r="K3428" s="3" t="s">
        <v>17966</v>
      </c>
      <c r="L3428" s="3" t="s">
        <v>17967</v>
      </c>
      <c r="M3428" s="4"/>
      <c r="N3428" s="3" t="s">
        <v>37</v>
      </c>
      <c r="O3428" s="3" t="s">
        <v>112</v>
      </c>
      <c r="P3428" s="5">
        <v>5</v>
      </c>
      <c r="Q3428" s="5">
        <v>36</v>
      </c>
      <c r="R3428" s="5">
        <v>5</v>
      </c>
      <c r="S3428" s="5">
        <v>37</v>
      </c>
    </row>
    <row r="3429" spans="1:19" ht="28" x14ac:dyDescent="0.15">
      <c r="A3429" s="2">
        <f>HYPERLINK("https://open-school.uspishnemisto.com.ua/school/180341/", 180341)</f>
        <v>180341</v>
      </c>
      <c r="B3429" s="3" t="s">
        <v>17968</v>
      </c>
      <c r="C3429" s="3" t="s">
        <v>40</v>
      </c>
      <c r="D3429" s="3" t="s">
        <v>32</v>
      </c>
      <c r="E3429" s="4" t="s">
        <v>22</v>
      </c>
      <c r="F3429" s="4" t="s">
        <v>17969</v>
      </c>
      <c r="G3429" s="4" t="s">
        <v>17970</v>
      </c>
      <c r="H3429" s="3" t="s">
        <v>16292</v>
      </c>
      <c r="I3429" s="3" t="s">
        <v>17971</v>
      </c>
      <c r="J3429" s="3" t="s">
        <v>3393</v>
      </c>
      <c r="K3429" s="3" t="s">
        <v>17972</v>
      </c>
      <c r="L3429" s="3"/>
      <c r="M3429" s="4"/>
      <c r="N3429" s="3" t="s">
        <v>37</v>
      </c>
      <c r="O3429" s="3" t="s">
        <v>38</v>
      </c>
      <c r="P3429" s="5">
        <v>11</v>
      </c>
      <c r="Q3429" s="5">
        <v>203</v>
      </c>
      <c r="R3429" s="5">
        <v>11</v>
      </c>
      <c r="S3429" s="5">
        <v>202</v>
      </c>
    </row>
    <row r="3430" spans="1:19" ht="42" x14ac:dyDescent="0.15">
      <c r="A3430" s="2">
        <f>HYPERLINK("https://open-school.uspishnemisto.com.ua/school/180342/", 180342)</f>
        <v>180342</v>
      </c>
      <c r="B3430" s="3" t="s">
        <v>17973</v>
      </c>
      <c r="C3430" s="3" t="s">
        <v>54</v>
      </c>
      <c r="D3430" s="3" t="s">
        <v>175</v>
      </c>
      <c r="E3430" s="4" t="s">
        <v>22</v>
      </c>
      <c r="F3430" s="4" t="s">
        <v>17974</v>
      </c>
      <c r="G3430" s="4" t="s">
        <v>17975</v>
      </c>
      <c r="H3430" s="3" t="s">
        <v>16292</v>
      </c>
      <c r="I3430" s="3" t="s">
        <v>17976</v>
      </c>
      <c r="J3430" s="3" t="s">
        <v>7304</v>
      </c>
      <c r="K3430" s="3" t="s">
        <v>17977</v>
      </c>
      <c r="L3430" s="3"/>
      <c r="M3430" s="4"/>
      <c r="N3430" s="3" t="s">
        <v>37</v>
      </c>
      <c r="O3430" s="3" t="s">
        <v>46</v>
      </c>
      <c r="P3430" s="5">
        <v>5</v>
      </c>
      <c r="Q3430" s="5">
        <v>39</v>
      </c>
      <c r="R3430" s="5">
        <v>6</v>
      </c>
      <c r="S3430" s="5">
        <v>45</v>
      </c>
    </row>
    <row r="3431" spans="1:19" ht="28" x14ac:dyDescent="0.15">
      <c r="A3431" s="2">
        <f>HYPERLINK("https://open-school.uspishnemisto.com.ua/school/180343/", 180343)</f>
        <v>180343</v>
      </c>
      <c r="B3431" s="3" t="s">
        <v>17978</v>
      </c>
      <c r="C3431" s="3" t="s">
        <v>31</v>
      </c>
      <c r="D3431" s="3" t="s">
        <v>32</v>
      </c>
      <c r="E3431" s="4" t="s">
        <v>22</v>
      </c>
      <c r="F3431" s="4" t="s">
        <v>17979</v>
      </c>
      <c r="G3431" s="4" t="s">
        <v>17980</v>
      </c>
      <c r="H3431" s="3" t="s">
        <v>16292</v>
      </c>
      <c r="I3431" s="3" t="s">
        <v>17981</v>
      </c>
      <c r="J3431" s="3" t="s">
        <v>17982</v>
      </c>
      <c r="K3431" s="3" t="s">
        <v>17983</v>
      </c>
      <c r="L3431" s="3" t="s">
        <v>17984</v>
      </c>
      <c r="M3431" s="4"/>
      <c r="N3431" s="3" t="s">
        <v>37</v>
      </c>
      <c r="O3431" s="3" t="s">
        <v>46</v>
      </c>
      <c r="P3431" s="5">
        <v>6</v>
      </c>
      <c r="Q3431" s="5">
        <v>46</v>
      </c>
      <c r="R3431" s="5">
        <v>6</v>
      </c>
      <c r="S3431" s="5">
        <v>44</v>
      </c>
    </row>
    <row r="3432" spans="1:19" ht="28" x14ac:dyDescent="0.15">
      <c r="A3432" s="2">
        <f>HYPERLINK("https://open-school.uspishnemisto.com.ua/school/180344/", 180344)</f>
        <v>180344</v>
      </c>
      <c r="B3432" s="3" t="s">
        <v>17985</v>
      </c>
      <c r="C3432" s="3" t="s">
        <v>40</v>
      </c>
      <c r="D3432" s="3" t="s">
        <v>32</v>
      </c>
      <c r="E3432" s="4" t="s">
        <v>22</v>
      </c>
      <c r="F3432" s="4" t="s">
        <v>17986</v>
      </c>
      <c r="G3432" s="4" t="s">
        <v>17987</v>
      </c>
      <c r="H3432" s="3" t="s">
        <v>16292</v>
      </c>
      <c r="I3432" s="3" t="s">
        <v>17988</v>
      </c>
      <c r="J3432" s="3" t="s">
        <v>17989</v>
      </c>
      <c r="K3432" s="3" t="s">
        <v>17990</v>
      </c>
      <c r="L3432" s="3" t="s">
        <v>17991</v>
      </c>
      <c r="M3432" s="4"/>
      <c r="N3432" s="3" t="s">
        <v>37</v>
      </c>
      <c r="O3432" s="3" t="s">
        <v>52</v>
      </c>
      <c r="P3432" s="5">
        <v>11</v>
      </c>
      <c r="Q3432" s="5">
        <v>204</v>
      </c>
      <c r="R3432" s="5">
        <v>11</v>
      </c>
      <c r="S3432" s="5">
        <v>198</v>
      </c>
    </row>
    <row r="3433" spans="1:19" ht="42" x14ac:dyDescent="0.15">
      <c r="A3433" s="2">
        <f>HYPERLINK("https://open-school.uspishnemisto.com.ua/school/180345/", 180345)</f>
        <v>180345</v>
      </c>
      <c r="B3433" s="3" t="s">
        <v>17992</v>
      </c>
      <c r="C3433" s="3" t="s">
        <v>293</v>
      </c>
      <c r="D3433" s="3" t="s">
        <v>175</v>
      </c>
      <c r="E3433" s="4" t="s">
        <v>22</v>
      </c>
      <c r="F3433" s="4" t="s">
        <v>17986</v>
      </c>
      <c r="G3433" s="4" t="s">
        <v>17987</v>
      </c>
      <c r="H3433" s="3" t="s">
        <v>16292</v>
      </c>
      <c r="I3433" s="3" t="s">
        <v>17988</v>
      </c>
      <c r="J3433" s="3" t="s">
        <v>17993</v>
      </c>
      <c r="K3433" s="3" t="s">
        <v>17994</v>
      </c>
      <c r="L3433" s="3"/>
      <c r="M3433" s="4" t="s">
        <v>17995</v>
      </c>
      <c r="N3433" s="3" t="s">
        <v>37</v>
      </c>
      <c r="O3433" s="3"/>
      <c r="P3433" s="5">
        <v>0</v>
      </c>
      <c r="Q3433" s="5">
        <v>0</v>
      </c>
      <c r="R3433" s="5">
        <v>9</v>
      </c>
      <c r="S3433" s="5">
        <v>128</v>
      </c>
    </row>
    <row r="3434" spans="1:19" ht="28" x14ac:dyDescent="0.15">
      <c r="A3434" s="2">
        <f>HYPERLINK("https://open-school.uspishnemisto.com.ua/school/180346/", 180346)</f>
        <v>180346</v>
      </c>
      <c r="B3434" s="3" t="s">
        <v>17996</v>
      </c>
      <c r="C3434" s="3" t="s">
        <v>31</v>
      </c>
      <c r="D3434" s="3" t="s">
        <v>175</v>
      </c>
      <c r="E3434" s="4" t="s">
        <v>22</v>
      </c>
      <c r="F3434" s="4" t="s">
        <v>17997</v>
      </c>
      <c r="G3434" s="4" t="s">
        <v>17998</v>
      </c>
      <c r="H3434" s="3" t="s">
        <v>16292</v>
      </c>
      <c r="I3434" s="3" t="s">
        <v>17999</v>
      </c>
      <c r="J3434" s="3" t="s">
        <v>18000</v>
      </c>
      <c r="K3434" s="3"/>
      <c r="L3434" s="3"/>
      <c r="M3434" s="4"/>
      <c r="N3434" s="3" t="s">
        <v>37</v>
      </c>
      <c r="O3434" s="3" t="s">
        <v>38</v>
      </c>
      <c r="P3434" s="5">
        <v>5</v>
      </c>
      <c r="Q3434" s="5">
        <v>43</v>
      </c>
      <c r="R3434" s="5">
        <v>4</v>
      </c>
      <c r="S3434" s="5">
        <v>36</v>
      </c>
    </row>
    <row r="3435" spans="1:19" ht="28" x14ac:dyDescent="0.15">
      <c r="A3435" s="2">
        <f>HYPERLINK("https://open-school.uspishnemisto.com.ua/school/180347/", 180347)</f>
        <v>180347</v>
      </c>
      <c r="B3435" s="3" t="s">
        <v>18001</v>
      </c>
      <c r="C3435" s="3" t="s">
        <v>31</v>
      </c>
      <c r="D3435" s="3" t="s">
        <v>32</v>
      </c>
      <c r="E3435" s="4" t="s">
        <v>22</v>
      </c>
      <c r="F3435" s="4" t="s">
        <v>18002</v>
      </c>
      <c r="G3435" s="4" t="s">
        <v>18003</v>
      </c>
      <c r="H3435" s="3" t="s">
        <v>16292</v>
      </c>
      <c r="I3435" s="3" t="s">
        <v>18004</v>
      </c>
      <c r="J3435" s="3" t="s">
        <v>18005</v>
      </c>
      <c r="K3435" s="3" t="s">
        <v>18006</v>
      </c>
      <c r="L3435" s="3" t="s">
        <v>18007</v>
      </c>
      <c r="M3435" s="4"/>
      <c r="N3435" s="3" t="s">
        <v>37</v>
      </c>
      <c r="O3435" s="3" t="s">
        <v>52</v>
      </c>
      <c r="P3435" s="5">
        <v>11</v>
      </c>
      <c r="Q3435" s="5">
        <v>94</v>
      </c>
      <c r="R3435" s="5">
        <v>11</v>
      </c>
      <c r="S3435" s="5">
        <v>83</v>
      </c>
    </row>
    <row r="3436" spans="1:19" ht="28" x14ac:dyDescent="0.15">
      <c r="A3436" s="2">
        <f>HYPERLINK("https://open-school.uspishnemisto.com.ua/school/180349/", 180349)</f>
        <v>180349</v>
      </c>
      <c r="B3436" s="3" t="s">
        <v>18008</v>
      </c>
      <c r="C3436" s="3" t="s">
        <v>31</v>
      </c>
      <c r="D3436" s="3" t="s">
        <v>32</v>
      </c>
      <c r="E3436" s="4" t="s">
        <v>22</v>
      </c>
      <c r="F3436" s="4" t="s">
        <v>18009</v>
      </c>
      <c r="G3436" s="4" t="s">
        <v>18010</v>
      </c>
      <c r="H3436" s="3" t="s">
        <v>16292</v>
      </c>
      <c r="I3436" s="3" t="s">
        <v>18011</v>
      </c>
      <c r="J3436" s="3" t="s">
        <v>18012</v>
      </c>
      <c r="K3436" s="3" t="s">
        <v>18013</v>
      </c>
      <c r="L3436" s="3"/>
      <c r="M3436" s="4"/>
      <c r="N3436" s="3" t="s">
        <v>37</v>
      </c>
      <c r="O3436" s="3" t="s">
        <v>52</v>
      </c>
      <c r="P3436" s="5">
        <v>9</v>
      </c>
      <c r="Q3436" s="5">
        <v>76</v>
      </c>
      <c r="R3436" s="5">
        <v>9</v>
      </c>
      <c r="S3436" s="5">
        <v>69</v>
      </c>
    </row>
    <row r="3437" spans="1:19" ht="28" x14ac:dyDescent="0.15">
      <c r="A3437" s="2">
        <f>HYPERLINK("https://open-school.uspishnemisto.com.ua/school/180350/", 180350)</f>
        <v>180350</v>
      </c>
      <c r="B3437" s="3" t="s">
        <v>18014</v>
      </c>
      <c r="C3437" s="3" t="s">
        <v>31</v>
      </c>
      <c r="D3437" s="3" t="s">
        <v>60</v>
      </c>
      <c r="E3437" s="4" t="s">
        <v>22</v>
      </c>
      <c r="F3437" s="4" t="s">
        <v>18015</v>
      </c>
      <c r="G3437" s="4" t="s">
        <v>18016</v>
      </c>
      <c r="H3437" s="3" t="s">
        <v>16292</v>
      </c>
      <c r="I3437" s="3" t="s">
        <v>18017</v>
      </c>
      <c r="J3437" s="3" t="s">
        <v>18018</v>
      </c>
      <c r="K3437" s="3" t="s">
        <v>18019</v>
      </c>
      <c r="L3437" s="3"/>
      <c r="M3437" s="4"/>
      <c r="N3437" s="3" t="s">
        <v>37</v>
      </c>
      <c r="O3437" s="3" t="s">
        <v>52</v>
      </c>
      <c r="P3437" s="5">
        <v>0</v>
      </c>
      <c r="Q3437" s="5">
        <v>5</v>
      </c>
      <c r="R3437" s="5">
        <v>0</v>
      </c>
      <c r="S3437" s="5">
        <v>5</v>
      </c>
    </row>
    <row r="3438" spans="1:19" ht="28" x14ac:dyDescent="0.15">
      <c r="A3438" s="2">
        <f>HYPERLINK("https://open-school.uspishnemisto.com.ua/school/180351/", 180351)</f>
        <v>180351</v>
      </c>
      <c r="B3438" s="3" t="s">
        <v>18020</v>
      </c>
      <c r="C3438" s="3" t="s">
        <v>31</v>
      </c>
      <c r="D3438" s="3" t="s">
        <v>175</v>
      </c>
      <c r="E3438" s="4" t="s">
        <v>22</v>
      </c>
      <c r="F3438" s="4" t="s">
        <v>18021</v>
      </c>
      <c r="G3438" s="4" t="s">
        <v>18022</v>
      </c>
      <c r="H3438" s="3" t="s">
        <v>16292</v>
      </c>
      <c r="I3438" s="3" t="s">
        <v>4061</v>
      </c>
      <c r="J3438" s="3" t="s">
        <v>18023</v>
      </c>
      <c r="K3438" s="3" t="s">
        <v>18024</v>
      </c>
      <c r="L3438" s="3"/>
      <c r="M3438" s="4"/>
      <c r="N3438" s="3" t="s">
        <v>37</v>
      </c>
      <c r="O3438" s="3" t="s">
        <v>38</v>
      </c>
      <c r="P3438" s="5">
        <v>3</v>
      </c>
      <c r="Q3438" s="5">
        <v>32</v>
      </c>
      <c r="R3438" s="5">
        <v>3</v>
      </c>
      <c r="S3438" s="5">
        <v>32</v>
      </c>
    </row>
    <row r="3439" spans="1:19" ht="28" x14ac:dyDescent="0.15">
      <c r="A3439" s="2">
        <f>HYPERLINK("https://open-school.uspishnemisto.com.ua/school/180352/", 180352)</f>
        <v>180352</v>
      </c>
      <c r="B3439" s="3" t="s">
        <v>18025</v>
      </c>
      <c r="C3439" s="3" t="s">
        <v>31</v>
      </c>
      <c r="D3439" s="3" t="s">
        <v>175</v>
      </c>
      <c r="E3439" s="4" t="s">
        <v>22</v>
      </c>
      <c r="F3439" s="4" t="s">
        <v>18026</v>
      </c>
      <c r="G3439" s="4" t="s">
        <v>18027</v>
      </c>
      <c r="H3439" s="3" t="s">
        <v>16292</v>
      </c>
      <c r="I3439" s="3" t="s">
        <v>18028</v>
      </c>
      <c r="J3439" s="3" t="s">
        <v>2253</v>
      </c>
      <c r="K3439" s="3"/>
      <c r="L3439" s="3" t="s">
        <v>18029</v>
      </c>
      <c r="M3439" s="4"/>
      <c r="N3439" s="3" t="s">
        <v>37</v>
      </c>
      <c r="O3439" s="3" t="s">
        <v>52</v>
      </c>
      <c r="P3439" s="5">
        <v>9</v>
      </c>
      <c r="Q3439" s="5">
        <v>62</v>
      </c>
      <c r="R3439" s="5">
        <v>9</v>
      </c>
      <c r="S3439" s="5">
        <v>66</v>
      </c>
    </row>
    <row r="3440" spans="1:19" ht="28" x14ac:dyDescent="0.15">
      <c r="A3440" s="2">
        <f>HYPERLINK("https://open-school.uspishnemisto.com.ua/school/180353/", 180353)</f>
        <v>180353</v>
      </c>
      <c r="B3440" s="3" t="s">
        <v>18030</v>
      </c>
      <c r="C3440" s="3" t="s">
        <v>40</v>
      </c>
      <c r="D3440" s="3" t="s">
        <v>32</v>
      </c>
      <c r="E3440" s="4" t="s">
        <v>22</v>
      </c>
      <c r="F3440" s="4" t="s">
        <v>18031</v>
      </c>
      <c r="G3440" s="4" t="s">
        <v>18032</v>
      </c>
      <c r="H3440" s="3" t="s">
        <v>16292</v>
      </c>
      <c r="I3440" s="3" t="s">
        <v>18033</v>
      </c>
      <c r="J3440" s="3" t="s">
        <v>18034</v>
      </c>
      <c r="K3440" s="3" t="s">
        <v>18035</v>
      </c>
      <c r="L3440" s="3" t="s">
        <v>18036</v>
      </c>
      <c r="M3440" s="4" t="s">
        <v>18037</v>
      </c>
      <c r="N3440" s="3" t="s">
        <v>37</v>
      </c>
      <c r="O3440" s="3" t="s">
        <v>129</v>
      </c>
      <c r="P3440" s="5">
        <v>30</v>
      </c>
      <c r="Q3440" s="5">
        <v>817</v>
      </c>
      <c r="R3440" s="5">
        <v>30</v>
      </c>
      <c r="S3440" s="5">
        <v>774</v>
      </c>
    </row>
    <row r="3441" spans="1:19" ht="28" x14ac:dyDescent="0.15">
      <c r="A3441" s="2">
        <f>HYPERLINK("https://open-school.uspishnemisto.com.ua/school/180354/", 180354)</f>
        <v>180354</v>
      </c>
      <c r="B3441" s="3" t="s">
        <v>18038</v>
      </c>
      <c r="C3441" s="3" t="s">
        <v>20</v>
      </c>
      <c r="D3441" s="3" t="s">
        <v>21</v>
      </c>
      <c r="E3441" s="4" t="s">
        <v>253</v>
      </c>
      <c r="F3441" s="4" t="s">
        <v>18039</v>
      </c>
      <c r="G3441" s="4" t="s">
        <v>18032</v>
      </c>
      <c r="H3441" s="3" t="s">
        <v>16292</v>
      </c>
      <c r="I3441" s="3" t="s">
        <v>18033</v>
      </c>
      <c r="J3441" s="3" t="s">
        <v>18040</v>
      </c>
      <c r="K3441" s="3" t="s">
        <v>18041</v>
      </c>
      <c r="L3441" s="3"/>
      <c r="M3441" s="4"/>
      <c r="N3441" s="3"/>
      <c r="O3441" s="3"/>
      <c r="P3441" s="5">
        <v>0</v>
      </c>
      <c r="Q3441" s="5">
        <v>0</v>
      </c>
      <c r="R3441" s="5"/>
      <c r="S3441" s="5"/>
    </row>
    <row r="3442" spans="1:19" ht="28" x14ac:dyDescent="0.15">
      <c r="A3442" s="2">
        <f>HYPERLINK("https://open-school.uspishnemisto.com.ua/school/180355/", 180355)</f>
        <v>180355</v>
      </c>
      <c r="B3442" s="3" t="s">
        <v>18042</v>
      </c>
      <c r="C3442" s="3" t="s">
        <v>31</v>
      </c>
      <c r="D3442" s="3" t="s">
        <v>32</v>
      </c>
      <c r="E3442" s="4" t="s">
        <v>22</v>
      </c>
      <c r="F3442" s="4" t="s">
        <v>18043</v>
      </c>
      <c r="G3442" s="4" t="s">
        <v>18032</v>
      </c>
      <c r="H3442" s="3" t="s">
        <v>16292</v>
      </c>
      <c r="I3442" s="3" t="s">
        <v>18033</v>
      </c>
      <c r="J3442" s="3" t="s">
        <v>18044</v>
      </c>
      <c r="K3442" s="3" t="s">
        <v>18045</v>
      </c>
      <c r="L3442" s="3"/>
      <c r="M3442" s="4" t="s">
        <v>18046</v>
      </c>
      <c r="N3442" s="3" t="s">
        <v>37</v>
      </c>
      <c r="O3442" s="3" t="s">
        <v>38</v>
      </c>
      <c r="P3442" s="5">
        <v>20</v>
      </c>
      <c r="Q3442" s="5">
        <v>528</v>
      </c>
      <c r="R3442" s="5">
        <v>20</v>
      </c>
      <c r="S3442" s="5">
        <v>511</v>
      </c>
    </row>
    <row r="3443" spans="1:19" ht="28" x14ac:dyDescent="0.15">
      <c r="A3443" s="2">
        <f>HYPERLINK("https://open-school.uspishnemisto.com.ua/school/180356/", 180356)</f>
        <v>180356</v>
      </c>
      <c r="B3443" s="3" t="s">
        <v>18047</v>
      </c>
      <c r="C3443" s="3" t="s">
        <v>31</v>
      </c>
      <c r="D3443" s="3" t="s">
        <v>32</v>
      </c>
      <c r="E3443" s="4" t="s">
        <v>22</v>
      </c>
      <c r="F3443" s="4" t="s">
        <v>18043</v>
      </c>
      <c r="G3443" s="4" t="s">
        <v>18032</v>
      </c>
      <c r="H3443" s="3" t="s">
        <v>16292</v>
      </c>
      <c r="I3443" s="3" t="s">
        <v>18033</v>
      </c>
      <c r="J3443" s="3" t="s">
        <v>17440</v>
      </c>
      <c r="K3443" s="3" t="s">
        <v>18048</v>
      </c>
      <c r="L3443" s="3"/>
      <c r="M3443" s="4" t="s">
        <v>18049</v>
      </c>
      <c r="N3443" s="3" t="s">
        <v>37</v>
      </c>
      <c r="O3443" s="3" t="s">
        <v>38</v>
      </c>
      <c r="P3443" s="5">
        <v>27</v>
      </c>
      <c r="Q3443" s="5">
        <v>651</v>
      </c>
      <c r="R3443" s="5">
        <v>27</v>
      </c>
      <c r="S3443" s="5">
        <v>661</v>
      </c>
    </row>
    <row r="3444" spans="1:19" ht="42" x14ac:dyDescent="0.15">
      <c r="A3444" s="2">
        <f>HYPERLINK("https://open-school.uspishnemisto.com.ua/school/180357/", 180357)</f>
        <v>180357</v>
      </c>
      <c r="B3444" s="3" t="s">
        <v>18050</v>
      </c>
      <c r="C3444" s="3" t="s">
        <v>181</v>
      </c>
      <c r="D3444" s="3" t="s">
        <v>32</v>
      </c>
      <c r="E3444" s="4" t="s">
        <v>22</v>
      </c>
      <c r="F3444" s="4" t="s">
        <v>18043</v>
      </c>
      <c r="G3444" s="4" t="s">
        <v>18032</v>
      </c>
      <c r="H3444" s="3" t="s">
        <v>16292</v>
      </c>
      <c r="I3444" s="3" t="s">
        <v>18033</v>
      </c>
      <c r="J3444" s="3" t="s">
        <v>18051</v>
      </c>
      <c r="K3444" s="3" t="s">
        <v>18052</v>
      </c>
      <c r="L3444" s="3"/>
      <c r="M3444" s="4" t="s">
        <v>18053</v>
      </c>
      <c r="N3444" s="3" t="s">
        <v>37</v>
      </c>
      <c r="O3444" s="3"/>
      <c r="P3444" s="5">
        <v>8</v>
      </c>
      <c r="Q3444" s="5">
        <v>96</v>
      </c>
      <c r="R3444" s="5">
        <v>0</v>
      </c>
      <c r="S3444" s="5">
        <v>0</v>
      </c>
    </row>
    <row r="3445" spans="1:19" ht="42" x14ac:dyDescent="0.15">
      <c r="A3445" s="2">
        <f>HYPERLINK("https://open-school.uspishnemisto.com.ua/school/180358/", 180358)</f>
        <v>180358</v>
      </c>
      <c r="B3445" s="3" t="s">
        <v>18054</v>
      </c>
      <c r="C3445" s="3" t="s">
        <v>188</v>
      </c>
      <c r="D3445" s="3" t="s">
        <v>32</v>
      </c>
      <c r="E3445" s="4" t="s">
        <v>22</v>
      </c>
      <c r="F3445" s="4" t="s">
        <v>18055</v>
      </c>
      <c r="G3445" s="4" t="s">
        <v>18032</v>
      </c>
      <c r="H3445" s="3" t="s">
        <v>16292</v>
      </c>
      <c r="I3445" s="3" t="s">
        <v>18033</v>
      </c>
      <c r="J3445" s="3" t="s">
        <v>18040</v>
      </c>
      <c r="K3445" s="3" t="s">
        <v>18056</v>
      </c>
      <c r="L3445" s="3" t="s">
        <v>18057</v>
      </c>
      <c r="M3445" s="4" t="s">
        <v>18058</v>
      </c>
      <c r="N3445" s="3" t="s">
        <v>37</v>
      </c>
      <c r="O3445" s="3" t="s">
        <v>52</v>
      </c>
      <c r="P3445" s="5">
        <v>30</v>
      </c>
      <c r="Q3445" s="5">
        <v>819</v>
      </c>
      <c r="R3445" s="5">
        <v>29</v>
      </c>
      <c r="S3445" s="5">
        <v>771</v>
      </c>
    </row>
    <row r="3446" spans="1:19" ht="42" x14ac:dyDescent="0.15">
      <c r="A3446" s="2">
        <f>HYPERLINK("https://open-school.uspishnemisto.com.ua/school/180359/", 180359)</f>
        <v>180359</v>
      </c>
      <c r="B3446" s="3" t="s">
        <v>18059</v>
      </c>
      <c r="C3446" s="3" t="s">
        <v>40</v>
      </c>
      <c r="D3446" s="3" t="s">
        <v>32</v>
      </c>
      <c r="E3446" s="4" t="s">
        <v>22</v>
      </c>
      <c r="F3446" s="4" t="s">
        <v>18031</v>
      </c>
      <c r="G3446" s="4" t="s">
        <v>18032</v>
      </c>
      <c r="H3446" s="3" t="s">
        <v>16292</v>
      </c>
      <c r="I3446" s="3" t="s">
        <v>18033</v>
      </c>
      <c r="J3446" s="3" t="s">
        <v>18060</v>
      </c>
      <c r="K3446" s="3" t="s">
        <v>18061</v>
      </c>
      <c r="L3446" s="3" t="s">
        <v>18062</v>
      </c>
      <c r="M3446" s="4" t="s">
        <v>18063</v>
      </c>
      <c r="N3446" s="3" t="s">
        <v>37</v>
      </c>
      <c r="O3446" s="3" t="s">
        <v>70</v>
      </c>
      <c r="P3446" s="5">
        <v>20</v>
      </c>
      <c r="Q3446" s="5">
        <v>440</v>
      </c>
      <c r="R3446" s="5">
        <v>20</v>
      </c>
      <c r="S3446" s="5">
        <v>414</v>
      </c>
    </row>
    <row r="3447" spans="1:19" ht="28" x14ac:dyDescent="0.15">
      <c r="A3447" s="2">
        <f>HYPERLINK("https://open-school.uspishnemisto.com.ua/school/180744/", 180744)</f>
        <v>180744</v>
      </c>
      <c r="B3447" s="3" t="s">
        <v>18064</v>
      </c>
      <c r="C3447" s="3" t="s">
        <v>188</v>
      </c>
      <c r="D3447" s="3"/>
      <c r="E3447" s="4" t="s">
        <v>22</v>
      </c>
      <c r="F3447" s="4"/>
      <c r="G3447" s="4" t="s">
        <v>18032</v>
      </c>
      <c r="H3447" s="3" t="s">
        <v>16292</v>
      </c>
      <c r="I3447" s="3" t="s">
        <v>18033</v>
      </c>
      <c r="J3447" s="3"/>
      <c r="K3447" s="3"/>
      <c r="L3447" s="3"/>
      <c r="M3447" s="4"/>
      <c r="N3447" s="3"/>
      <c r="O3447" s="3"/>
      <c r="P3447" s="5">
        <v>0</v>
      </c>
      <c r="Q3447" s="5">
        <v>0</v>
      </c>
      <c r="R3447" s="5"/>
      <c r="S3447" s="5"/>
    </row>
    <row r="3448" spans="1:19" ht="28" x14ac:dyDescent="0.15">
      <c r="A3448" s="2">
        <f>HYPERLINK("https://open-school.uspishnemisto.com.ua/school/180360/", 180360)</f>
        <v>180360</v>
      </c>
      <c r="B3448" s="3" t="s">
        <v>18065</v>
      </c>
      <c r="C3448" s="3" t="s">
        <v>31</v>
      </c>
      <c r="D3448" s="3" t="s">
        <v>32</v>
      </c>
      <c r="E3448" s="4" t="s">
        <v>22</v>
      </c>
      <c r="F3448" s="4" t="s">
        <v>18066</v>
      </c>
      <c r="G3448" s="4" t="s">
        <v>18067</v>
      </c>
      <c r="H3448" s="3" t="s">
        <v>16292</v>
      </c>
      <c r="I3448" s="3" t="s">
        <v>18068</v>
      </c>
      <c r="J3448" s="3" t="s">
        <v>18069</v>
      </c>
      <c r="K3448" s="3" t="s">
        <v>18070</v>
      </c>
      <c r="L3448" s="3"/>
      <c r="M3448" s="4" t="s">
        <v>18071</v>
      </c>
      <c r="N3448" s="3" t="s">
        <v>37</v>
      </c>
      <c r="O3448" s="3" t="s">
        <v>38</v>
      </c>
      <c r="P3448" s="5">
        <v>10</v>
      </c>
      <c r="Q3448" s="5">
        <v>74</v>
      </c>
      <c r="R3448" s="5">
        <v>8</v>
      </c>
      <c r="S3448" s="5">
        <v>62</v>
      </c>
    </row>
    <row r="3449" spans="1:19" ht="28" x14ac:dyDescent="0.15">
      <c r="A3449" s="2">
        <f>HYPERLINK("https://open-school.uspishnemisto.com.ua/school/180361/", 180361)</f>
        <v>180361</v>
      </c>
      <c r="B3449" s="3" t="s">
        <v>18072</v>
      </c>
      <c r="C3449" s="3" t="s">
        <v>31</v>
      </c>
      <c r="D3449" s="3" t="s">
        <v>32</v>
      </c>
      <c r="E3449" s="4" t="s">
        <v>22</v>
      </c>
      <c r="F3449" s="4" t="s">
        <v>18073</v>
      </c>
      <c r="G3449" s="4" t="s">
        <v>18074</v>
      </c>
      <c r="H3449" s="3" t="s">
        <v>16292</v>
      </c>
      <c r="I3449" s="3" t="s">
        <v>18075</v>
      </c>
      <c r="J3449" s="3" t="s">
        <v>18076</v>
      </c>
      <c r="K3449" s="3" t="s">
        <v>18077</v>
      </c>
      <c r="L3449" s="3" t="s">
        <v>18078</v>
      </c>
      <c r="M3449" s="4"/>
      <c r="N3449" s="3" t="s">
        <v>37</v>
      </c>
      <c r="O3449" s="3" t="s">
        <v>618</v>
      </c>
      <c r="P3449" s="5">
        <v>11</v>
      </c>
      <c r="Q3449" s="5">
        <v>81</v>
      </c>
      <c r="R3449" s="5">
        <v>11</v>
      </c>
      <c r="S3449" s="5">
        <v>81</v>
      </c>
    </row>
    <row r="3450" spans="1:19" ht="42" x14ac:dyDescent="0.15">
      <c r="A3450" s="2">
        <f>HYPERLINK("https://open-school.uspishnemisto.com.ua/school/180362/", 180362)</f>
        <v>180362</v>
      </c>
      <c r="B3450" s="3" t="s">
        <v>18079</v>
      </c>
      <c r="C3450" s="3" t="s">
        <v>54</v>
      </c>
      <c r="D3450" s="3" t="s">
        <v>32</v>
      </c>
      <c r="E3450" s="4" t="s">
        <v>22</v>
      </c>
      <c r="F3450" s="4" t="s">
        <v>18080</v>
      </c>
      <c r="G3450" s="4" t="s">
        <v>18081</v>
      </c>
      <c r="H3450" s="3" t="s">
        <v>16292</v>
      </c>
      <c r="I3450" s="3" t="s">
        <v>18082</v>
      </c>
      <c r="J3450" s="3" t="s">
        <v>18083</v>
      </c>
      <c r="K3450" s="3" t="s">
        <v>18084</v>
      </c>
      <c r="L3450" s="3"/>
      <c r="M3450" s="4"/>
      <c r="N3450" s="3" t="s">
        <v>37</v>
      </c>
      <c r="O3450" s="3" t="s">
        <v>38</v>
      </c>
      <c r="P3450" s="5">
        <v>9</v>
      </c>
      <c r="Q3450" s="5">
        <v>60</v>
      </c>
      <c r="R3450" s="5">
        <v>9</v>
      </c>
      <c r="S3450" s="5">
        <v>56</v>
      </c>
    </row>
    <row r="3451" spans="1:19" ht="28" x14ac:dyDescent="0.15">
      <c r="A3451" s="2">
        <f>HYPERLINK("https://open-school.uspishnemisto.com.ua/school/180363/", 180363)</f>
        <v>180363</v>
      </c>
      <c r="B3451" s="3" t="s">
        <v>18085</v>
      </c>
      <c r="C3451" s="3" t="s">
        <v>31</v>
      </c>
      <c r="D3451" s="3" t="s">
        <v>175</v>
      </c>
      <c r="E3451" s="4" t="s">
        <v>22</v>
      </c>
      <c r="F3451" s="4" t="s">
        <v>18086</v>
      </c>
      <c r="G3451" s="4" t="s">
        <v>18087</v>
      </c>
      <c r="H3451" s="3" t="s">
        <v>16292</v>
      </c>
      <c r="I3451" s="3" t="s">
        <v>18088</v>
      </c>
      <c r="J3451" s="3" t="s">
        <v>18089</v>
      </c>
      <c r="K3451" s="3" t="s">
        <v>18090</v>
      </c>
      <c r="L3451" s="3"/>
      <c r="M3451" s="4"/>
      <c r="N3451" s="3" t="s">
        <v>37</v>
      </c>
      <c r="O3451" s="3" t="s">
        <v>52</v>
      </c>
      <c r="P3451" s="5">
        <v>3</v>
      </c>
      <c r="Q3451" s="5">
        <v>31</v>
      </c>
      <c r="R3451" s="5">
        <v>2</v>
      </c>
      <c r="S3451" s="5">
        <v>32</v>
      </c>
    </row>
    <row r="3452" spans="1:19" ht="28" x14ac:dyDescent="0.15">
      <c r="A3452" s="2">
        <f>HYPERLINK("https://open-school.uspishnemisto.com.ua/school/180364/", 180364)</f>
        <v>180364</v>
      </c>
      <c r="B3452" s="3" t="s">
        <v>18091</v>
      </c>
      <c r="C3452" s="3" t="s">
        <v>31</v>
      </c>
      <c r="D3452" s="3" t="s">
        <v>32</v>
      </c>
      <c r="E3452" s="4" t="s">
        <v>22</v>
      </c>
      <c r="F3452" s="4" t="s">
        <v>18092</v>
      </c>
      <c r="G3452" s="4" t="s">
        <v>18093</v>
      </c>
      <c r="H3452" s="3" t="s">
        <v>16292</v>
      </c>
      <c r="I3452" s="3" t="s">
        <v>16826</v>
      </c>
      <c r="J3452" s="3" t="s">
        <v>18094</v>
      </c>
      <c r="K3452" s="3" t="s">
        <v>18095</v>
      </c>
      <c r="L3452" s="3"/>
      <c r="M3452" s="4"/>
      <c r="N3452" s="3" t="s">
        <v>37</v>
      </c>
      <c r="O3452" s="3" t="s">
        <v>38</v>
      </c>
      <c r="P3452" s="5">
        <v>11</v>
      </c>
      <c r="Q3452" s="5">
        <v>121</v>
      </c>
      <c r="R3452" s="5">
        <v>11</v>
      </c>
      <c r="S3452" s="5">
        <v>114</v>
      </c>
    </row>
    <row r="3453" spans="1:19" ht="28" x14ac:dyDescent="0.15">
      <c r="A3453" s="2">
        <f>HYPERLINK("https://open-school.uspishnemisto.com.ua/school/180365/", 180365)</f>
        <v>180365</v>
      </c>
      <c r="B3453" s="3" t="s">
        <v>18096</v>
      </c>
      <c r="C3453" s="3" t="s">
        <v>31</v>
      </c>
      <c r="D3453" s="3" t="s">
        <v>175</v>
      </c>
      <c r="E3453" s="4" t="s">
        <v>22</v>
      </c>
      <c r="F3453" s="4" t="s">
        <v>18097</v>
      </c>
      <c r="G3453" s="4" t="s">
        <v>18098</v>
      </c>
      <c r="H3453" s="3" t="s">
        <v>16292</v>
      </c>
      <c r="I3453" s="3" t="s">
        <v>8067</v>
      </c>
      <c r="J3453" s="3" t="s">
        <v>18099</v>
      </c>
      <c r="K3453" s="3" t="s">
        <v>18100</v>
      </c>
      <c r="L3453" s="3"/>
      <c r="M3453" s="4" t="s">
        <v>18101</v>
      </c>
      <c r="N3453" s="3" t="s">
        <v>37</v>
      </c>
      <c r="O3453" s="3" t="s">
        <v>70</v>
      </c>
      <c r="P3453" s="5">
        <v>6</v>
      </c>
      <c r="Q3453" s="5">
        <v>47</v>
      </c>
      <c r="R3453" s="5">
        <v>6</v>
      </c>
      <c r="S3453" s="5">
        <v>44</v>
      </c>
    </row>
    <row r="3454" spans="1:19" ht="28" x14ac:dyDescent="0.15">
      <c r="A3454" s="2">
        <f>HYPERLINK("https://open-school.uspishnemisto.com.ua/school/180366/", 180366)</f>
        <v>180366</v>
      </c>
      <c r="B3454" s="3" t="s">
        <v>18102</v>
      </c>
      <c r="C3454" s="3" t="s">
        <v>181</v>
      </c>
      <c r="D3454" s="3" t="s">
        <v>175</v>
      </c>
      <c r="E3454" s="4" t="s">
        <v>22</v>
      </c>
      <c r="F3454" s="4" t="s">
        <v>18103</v>
      </c>
      <c r="G3454" s="4" t="s">
        <v>18104</v>
      </c>
      <c r="H3454" s="3" t="s">
        <v>16292</v>
      </c>
      <c r="I3454" s="3" t="s">
        <v>18105</v>
      </c>
      <c r="J3454" s="3" t="s">
        <v>18106</v>
      </c>
      <c r="K3454" s="3" t="s">
        <v>18107</v>
      </c>
      <c r="L3454" s="3" t="s">
        <v>18108</v>
      </c>
      <c r="M3454" s="4" t="s">
        <v>18109</v>
      </c>
      <c r="N3454" s="3" t="s">
        <v>37</v>
      </c>
      <c r="O3454" s="3"/>
      <c r="P3454" s="5">
        <v>8</v>
      </c>
      <c r="Q3454" s="5">
        <v>86</v>
      </c>
      <c r="R3454" s="5">
        <v>9</v>
      </c>
      <c r="S3454" s="5">
        <v>95</v>
      </c>
    </row>
    <row r="3455" spans="1:19" ht="28" x14ac:dyDescent="0.15">
      <c r="A3455" s="2">
        <f>HYPERLINK("https://open-school.uspishnemisto.com.ua/school/180367/", 180367)</f>
        <v>180367</v>
      </c>
      <c r="B3455" s="3" t="s">
        <v>18110</v>
      </c>
      <c r="C3455" s="3" t="s">
        <v>31</v>
      </c>
      <c r="D3455" s="3" t="s">
        <v>175</v>
      </c>
      <c r="E3455" s="4" t="s">
        <v>22</v>
      </c>
      <c r="F3455" s="4" t="s">
        <v>18103</v>
      </c>
      <c r="G3455" s="4" t="s">
        <v>18111</v>
      </c>
      <c r="H3455" s="3" t="s">
        <v>16292</v>
      </c>
      <c r="I3455" s="3" t="s">
        <v>18112</v>
      </c>
      <c r="J3455" s="3" t="s">
        <v>946</v>
      </c>
      <c r="K3455" s="3" t="s">
        <v>18113</v>
      </c>
      <c r="L3455" s="3"/>
      <c r="M3455" s="4"/>
      <c r="N3455" s="3" t="s">
        <v>37</v>
      </c>
      <c r="O3455" s="3" t="s">
        <v>38</v>
      </c>
      <c r="P3455" s="5">
        <v>9</v>
      </c>
      <c r="Q3455" s="5">
        <v>72</v>
      </c>
      <c r="R3455" s="5">
        <v>9</v>
      </c>
      <c r="S3455" s="5">
        <v>79</v>
      </c>
    </row>
    <row r="3456" spans="1:19" ht="28" x14ac:dyDescent="0.15">
      <c r="A3456" s="2">
        <f>HYPERLINK("https://open-school.uspishnemisto.com.ua/school/180368/", 180368)</f>
        <v>180368</v>
      </c>
      <c r="B3456" s="3" t="s">
        <v>18114</v>
      </c>
      <c r="C3456" s="3" t="s">
        <v>31</v>
      </c>
      <c r="D3456" s="3" t="s">
        <v>175</v>
      </c>
      <c r="E3456" s="4" t="s">
        <v>22</v>
      </c>
      <c r="F3456" s="4" t="s">
        <v>18115</v>
      </c>
      <c r="G3456" s="4" t="s">
        <v>18116</v>
      </c>
      <c r="H3456" s="3" t="s">
        <v>16292</v>
      </c>
      <c r="I3456" s="3" t="s">
        <v>18117</v>
      </c>
      <c r="J3456" s="3" t="s">
        <v>11509</v>
      </c>
      <c r="K3456" s="3" t="s">
        <v>18118</v>
      </c>
      <c r="L3456" s="3" t="s">
        <v>18119</v>
      </c>
      <c r="M3456" s="4"/>
      <c r="N3456" s="3" t="s">
        <v>37</v>
      </c>
      <c r="O3456" s="3" t="s">
        <v>38</v>
      </c>
      <c r="P3456" s="5">
        <v>6</v>
      </c>
      <c r="Q3456" s="5">
        <v>44</v>
      </c>
      <c r="R3456" s="5">
        <v>7</v>
      </c>
      <c r="S3456" s="5">
        <v>51</v>
      </c>
    </row>
    <row r="3457" spans="1:19" ht="70" x14ac:dyDescent="0.15">
      <c r="A3457" s="2">
        <f>HYPERLINK("https://open-school.uspishnemisto.com.ua/school/180369/", 180369)</f>
        <v>180369</v>
      </c>
      <c r="B3457" s="3" t="s">
        <v>18120</v>
      </c>
      <c r="C3457" s="3" t="s">
        <v>54</v>
      </c>
      <c r="D3457" s="3" t="s">
        <v>32</v>
      </c>
      <c r="E3457" s="4" t="s">
        <v>22</v>
      </c>
      <c r="F3457" s="4" t="s">
        <v>18121</v>
      </c>
      <c r="G3457" s="4" t="s">
        <v>18122</v>
      </c>
      <c r="H3457" s="3" t="s">
        <v>16292</v>
      </c>
      <c r="I3457" s="3" t="s">
        <v>17255</v>
      </c>
      <c r="J3457" s="3" t="s">
        <v>2253</v>
      </c>
      <c r="K3457" s="3"/>
      <c r="L3457" s="3"/>
      <c r="M3457" s="4"/>
      <c r="N3457" s="3" t="s">
        <v>37</v>
      </c>
      <c r="O3457" s="3" t="s">
        <v>52</v>
      </c>
      <c r="P3457" s="5">
        <v>0</v>
      </c>
      <c r="Q3457" s="5">
        <v>0</v>
      </c>
      <c r="R3457" s="5">
        <v>1</v>
      </c>
      <c r="S3457" s="5">
        <v>18</v>
      </c>
    </row>
    <row r="3458" spans="1:19" ht="56" x14ac:dyDescent="0.15">
      <c r="A3458" s="2">
        <f>HYPERLINK("https://open-school.uspishnemisto.com.ua/school/180370/", 180370)</f>
        <v>180370</v>
      </c>
      <c r="B3458" s="3" t="s">
        <v>18123</v>
      </c>
      <c r="C3458" s="3" t="s">
        <v>31</v>
      </c>
      <c r="D3458" s="3" t="s">
        <v>60</v>
      </c>
      <c r="E3458" s="4" t="s">
        <v>22</v>
      </c>
      <c r="F3458" s="4" t="s">
        <v>18124</v>
      </c>
      <c r="G3458" s="4" t="s">
        <v>18125</v>
      </c>
      <c r="H3458" s="3" t="s">
        <v>16292</v>
      </c>
      <c r="I3458" s="3" t="s">
        <v>18126</v>
      </c>
      <c r="J3458" s="3" t="s">
        <v>6191</v>
      </c>
      <c r="K3458" s="3" t="s">
        <v>18127</v>
      </c>
      <c r="L3458" s="3"/>
      <c r="M3458" s="4"/>
      <c r="N3458" s="3" t="s">
        <v>37</v>
      </c>
      <c r="O3458" s="3" t="s">
        <v>52</v>
      </c>
      <c r="P3458" s="5">
        <v>0</v>
      </c>
      <c r="Q3458" s="5">
        <v>0</v>
      </c>
      <c r="R3458" s="5">
        <v>0</v>
      </c>
      <c r="S3458" s="5">
        <v>11</v>
      </c>
    </row>
    <row r="3459" spans="1:19" ht="28" x14ac:dyDescent="0.15">
      <c r="A3459" s="2">
        <f>HYPERLINK("https://open-school.uspishnemisto.com.ua/school/180371/", 180371)</f>
        <v>180371</v>
      </c>
      <c r="B3459" s="3" t="s">
        <v>18128</v>
      </c>
      <c r="C3459" s="3" t="s">
        <v>31</v>
      </c>
      <c r="D3459" s="3" t="s">
        <v>60</v>
      </c>
      <c r="E3459" s="4" t="s">
        <v>22</v>
      </c>
      <c r="F3459" s="4" t="s">
        <v>18129</v>
      </c>
      <c r="G3459" s="4" t="s">
        <v>18130</v>
      </c>
      <c r="H3459" s="3" t="s">
        <v>16292</v>
      </c>
      <c r="I3459" s="3" t="s">
        <v>18131</v>
      </c>
      <c r="J3459" s="3" t="s">
        <v>554</v>
      </c>
      <c r="K3459" s="3" t="s">
        <v>18132</v>
      </c>
      <c r="L3459" s="3"/>
      <c r="M3459" s="4"/>
      <c r="N3459" s="3" t="s">
        <v>37</v>
      </c>
      <c r="O3459" s="3" t="s">
        <v>52</v>
      </c>
      <c r="P3459" s="5">
        <v>4</v>
      </c>
      <c r="Q3459" s="5">
        <v>22</v>
      </c>
      <c r="R3459" s="5">
        <v>3</v>
      </c>
      <c r="S3459" s="5">
        <v>16</v>
      </c>
    </row>
    <row r="3460" spans="1:19" ht="28" x14ac:dyDescent="0.15">
      <c r="A3460" s="2">
        <f>HYPERLINK("https://open-school.uspishnemisto.com.ua/school/180372/", 180372)</f>
        <v>180372</v>
      </c>
      <c r="B3460" s="3" t="s">
        <v>18133</v>
      </c>
      <c r="C3460" s="3" t="s">
        <v>40</v>
      </c>
      <c r="D3460" s="3" t="s">
        <v>32</v>
      </c>
      <c r="E3460" s="4" t="s">
        <v>22</v>
      </c>
      <c r="F3460" s="4" t="s">
        <v>18134</v>
      </c>
      <c r="G3460" s="4" t="s">
        <v>18135</v>
      </c>
      <c r="H3460" s="3" t="s">
        <v>16292</v>
      </c>
      <c r="I3460" s="3" t="s">
        <v>18136</v>
      </c>
      <c r="J3460" s="3" t="s">
        <v>1186</v>
      </c>
      <c r="K3460" s="3" t="s">
        <v>18137</v>
      </c>
      <c r="L3460" s="3"/>
      <c r="M3460" s="4" t="s">
        <v>18138</v>
      </c>
      <c r="N3460" s="3" t="s">
        <v>37</v>
      </c>
      <c r="O3460" s="3" t="s">
        <v>46</v>
      </c>
      <c r="P3460" s="5">
        <v>11</v>
      </c>
      <c r="Q3460" s="5">
        <v>157</v>
      </c>
      <c r="R3460" s="5">
        <v>11</v>
      </c>
      <c r="S3460" s="5">
        <v>161</v>
      </c>
    </row>
    <row r="3461" spans="1:19" ht="42" x14ac:dyDescent="0.15">
      <c r="A3461" s="2">
        <f>HYPERLINK("https://open-school.uspishnemisto.com.ua/school/180373/", 180373)</f>
        <v>180373</v>
      </c>
      <c r="B3461" s="3" t="s">
        <v>18139</v>
      </c>
      <c r="C3461" s="3" t="s">
        <v>2128</v>
      </c>
      <c r="D3461" s="3" t="s">
        <v>32</v>
      </c>
      <c r="E3461" s="4" t="s">
        <v>22</v>
      </c>
      <c r="F3461" s="4" t="s">
        <v>18140</v>
      </c>
      <c r="G3461" s="4" t="s">
        <v>18141</v>
      </c>
      <c r="H3461" s="3" t="s">
        <v>16292</v>
      </c>
      <c r="I3461" s="3" t="s">
        <v>18142</v>
      </c>
      <c r="J3461" s="3" t="s">
        <v>18143</v>
      </c>
      <c r="K3461" s="3" t="s">
        <v>18144</v>
      </c>
      <c r="L3461" s="3"/>
      <c r="M3461" s="4"/>
      <c r="N3461" s="3" t="s">
        <v>37</v>
      </c>
      <c r="O3461" s="3" t="s">
        <v>52</v>
      </c>
      <c r="P3461" s="5">
        <v>11</v>
      </c>
      <c r="Q3461" s="5">
        <v>153</v>
      </c>
      <c r="R3461" s="5">
        <v>11</v>
      </c>
      <c r="S3461" s="5">
        <v>157</v>
      </c>
    </row>
    <row r="3462" spans="1:19" ht="28" x14ac:dyDescent="0.15">
      <c r="A3462" s="2">
        <f>HYPERLINK("https://open-school.uspishnemisto.com.ua/school/180374/", 180374)</f>
        <v>180374</v>
      </c>
      <c r="B3462" s="3" t="s">
        <v>18145</v>
      </c>
      <c r="C3462" s="3" t="s">
        <v>31</v>
      </c>
      <c r="D3462" s="3" t="s">
        <v>32</v>
      </c>
      <c r="E3462" s="4" t="s">
        <v>22</v>
      </c>
      <c r="F3462" s="4" t="s">
        <v>18146</v>
      </c>
      <c r="G3462" s="4" t="s">
        <v>18147</v>
      </c>
      <c r="H3462" s="3" t="s">
        <v>16292</v>
      </c>
      <c r="I3462" s="3" t="s">
        <v>18148</v>
      </c>
      <c r="J3462" s="3" t="s">
        <v>1348</v>
      </c>
      <c r="K3462" s="3" t="s">
        <v>18149</v>
      </c>
      <c r="L3462" s="3"/>
      <c r="M3462" s="4" t="s">
        <v>18150</v>
      </c>
      <c r="N3462" s="3" t="s">
        <v>37</v>
      </c>
      <c r="O3462" s="3" t="s">
        <v>38</v>
      </c>
      <c r="P3462" s="5">
        <v>11</v>
      </c>
      <c r="Q3462" s="5">
        <v>139</v>
      </c>
      <c r="R3462" s="5">
        <v>11</v>
      </c>
      <c r="S3462" s="5">
        <v>136</v>
      </c>
    </row>
    <row r="3463" spans="1:19" ht="42" x14ac:dyDescent="0.15">
      <c r="A3463" s="2">
        <f>HYPERLINK("https://open-school.uspishnemisto.com.ua/school/180375/", 180375)</f>
        <v>180375</v>
      </c>
      <c r="B3463" s="3" t="s">
        <v>18151</v>
      </c>
      <c r="C3463" s="3" t="s">
        <v>54</v>
      </c>
      <c r="D3463" s="3" t="s">
        <v>175</v>
      </c>
      <c r="E3463" s="4" t="s">
        <v>22</v>
      </c>
      <c r="F3463" s="4" t="s">
        <v>18152</v>
      </c>
      <c r="G3463" s="4" t="s">
        <v>18153</v>
      </c>
      <c r="H3463" s="3" t="s">
        <v>16292</v>
      </c>
      <c r="I3463" s="3" t="s">
        <v>4248</v>
      </c>
      <c r="J3463" s="3" t="s">
        <v>18154</v>
      </c>
      <c r="K3463" s="3" t="s">
        <v>18155</v>
      </c>
      <c r="L3463" s="3"/>
      <c r="M3463" s="4"/>
      <c r="N3463" s="3" t="s">
        <v>37</v>
      </c>
      <c r="O3463" s="3" t="s">
        <v>38</v>
      </c>
      <c r="P3463" s="5">
        <v>7</v>
      </c>
      <c r="Q3463" s="5">
        <v>55</v>
      </c>
      <c r="R3463" s="5">
        <v>7</v>
      </c>
      <c r="S3463" s="5">
        <v>59</v>
      </c>
    </row>
    <row r="3464" spans="1:19" ht="28" x14ac:dyDescent="0.15">
      <c r="A3464" s="2">
        <f>HYPERLINK("https://open-school.uspishnemisto.com.ua/school/180376/", 180376)</f>
        <v>180376</v>
      </c>
      <c r="B3464" s="3" t="s">
        <v>18156</v>
      </c>
      <c r="C3464" s="3" t="s">
        <v>31</v>
      </c>
      <c r="D3464" s="3" t="s">
        <v>175</v>
      </c>
      <c r="E3464" s="4" t="s">
        <v>22</v>
      </c>
      <c r="F3464" s="4" t="s">
        <v>18039</v>
      </c>
      <c r="G3464" s="4" t="s">
        <v>18157</v>
      </c>
      <c r="H3464" s="3" t="s">
        <v>16292</v>
      </c>
      <c r="I3464" s="3" t="s">
        <v>18158</v>
      </c>
      <c r="J3464" s="3" t="s">
        <v>599</v>
      </c>
      <c r="K3464" s="3" t="s">
        <v>18159</v>
      </c>
      <c r="L3464" s="3"/>
      <c r="M3464" s="4"/>
      <c r="N3464" s="3" t="s">
        <v>37</v>
      </c>
      <c r="O3464" s="3" t="s">
        <v>38</v>
      </c>
      <c r="P3464" s="5">
        <v>6</v>
      </c>
      <c r="Q3464" s="5">
        <v>62</v>
      </c>
      <c r="R3464" s="5">
        <v>7</v>
      </c>
      <c r="S3464" s="5">
        <v>62</v>
      </c>
    </row>
    <row r="3465" spans="1:19" ht="28" x14ac:dyDescent="0.15">
      <c r="A3465" s="2">
        <f>HYPERLINK("https://open-school.uspishnemisto.com.ua/school/180377/", 180377)</f>
        <v>180377</v>
      </c>
      <c r="B3465" s="3" t="s">
        <v>18160</v>
      </c>
      <c r="C3465" s="3" t="s">
        <v>31</v>
      </c>
      <c r="D3465" s="3" t="s">
        <v>32</v>
      </c>
      <c r="E3465" s="4" t="s">
        <v>22</v>
      </c>
      <c r="F3465" s="4" t="s">
        <v>18161</v>
      </c>
      <c r="G3465" s="4" t="s">
        <v>18162</v>
      </c>
      <c r="H3465" s="3" t="s">
        <v>16292</v>
      </c>
      <c r="I3465" s="3" t="s">
        <v>18163</v>
      </c>
      <c r="J3465" s="3" t="s">
        <v>18164</v>
      </c>
      <c r="K3465" s="3" t="s">
        <v>18165</v>
      </c>
      <c r="L3465" s="3"/>
      <c r="M3465" s="4"/>
      <c r="N3465" s="3" t="s">
        <v>37</v>
      </c>
      <c r="O3465" s="3" t="s">
        <v>38</v>
      </c>
      <c r="P3465" s="5">
        <v>9</v>
      </c>
      <c r="Q3465" s="5">
        <v>75</v>
      </c>
      <c r="R3465" s="5">
        <v>9</v>
      </c>
      <c r="S3465" s="5">
        <v>76</v>
      </c>
    </row>
    <row r="3466" spans="1:19" ht="28" x14ac:dyDescent="0.15">
      <c r="A3466" s="2">
        <f>HYPERLINK("https://open-school.uspishnemisto.com.ua/school/180378/", 180378)</f>
        <v>180378</v>
      </c>
      <c r="B3466" s="3" t="s">
        <v>18166</v>
      </c>
      <c r="C3466" s="3" t="s">
        <v>31</v>
      </c>
      <c r="D3466" s="3" t="s">
        <v>32</v>
      </c>
      <c r="E3466" s="4" t="s">
        <v>22</v>
      </c>
      <c r="F3466" s="4" t="s">
        <v>18167</v>
      </c>
      <c r="G3466" s="4" t="s">
        <v>18168</v>
      </c>
      <c r="H3466" s="3" t="s">
        <v>16292</v>
      </c>
      <c r="I3466" s="3" t="s">
        <v>18169</v>
      </c>
      <c r="J3466" s="3" t="s">
        <v>18170</v>
      </c>
      <c r="K3466" s="3"/>
      <c r="L3466" s="3"/>
      <c r="M3466" s="4" t="s">
        <v>18171</v>
      </c>
      <c r="N3466" s="3" t="s">
        <v>37</v>
      </c>
      <c r="O3466" s="3" t="s">
        <v>70</v>
      </c>
      <c r="P3466" s="5">
        <v>10</v>
      </c>
      <c r="Q3466" s="5">
        <v>103</v>
      </c>
      <c r="R3466" s="5">
        <v>10</v>
      </c>
      <c r="S3466" s="5">
        <v>100</v>
      </c>
    </row>
    <row r="3467" spans="1:19" ht="28" x14ac:dyDescent="0.15">
      <c r="A3467" s="2">
        <f>HYPERLINK("https://open-school.uspishnemisto.com.ua/school/180379/", 180379)</f>
        <v>180379</v>
      </c>
      <c r="B3467" s="3" t="s">
        <v>18172</v>
      </c>
      <c r="C3467" s="3" t="s">
        <v>40</v>
      </c>
      <c r="D3467" s="3" t="s">
        <v>32</v>
      </c>
      <c r="E3467" s="4" t="s">
        <v>22</v>
      </c>
      <c r="F3467" s="4" t="s">
        <v>18173</v>
      </c>
      <c r="G3467" s="4" t="s">
        <v>18174</v>
      </c>
      <c r="H3467" s="3" t="s">
        <v>16292</v>
      </c>
      <c r="I3467" s="3" t="s">
        <v>18175</v>
      </c>
      <c r="J3467" s="3" t="s">
        <v>18176</v>
      </c>
      <c r="K3467" s="3" t="s">
        <v>18177</v>
      </c>
      <c r="L3467" s="3"/>
      <c r="M3467" s="4"/>
      <c r="N3467" s="3" t="s">
        <v>37</v>
      </c>
      <c r="O3467" s="3" t="s">
        <v>38</v>
      </c>
      <c r="P3467" s="5">
        <v>22</v>
      </c>
      <c r="Q3467" s="5">
        <v>376</v>
      </c>
      <c r="R3467" s="5">
        <v>22</v>
      </c>
      <c r="S3467" s="5">
        <v>377</v>
      </c>
    </row>
    <row r="3468" spans="1:19" ht="42" x14ac:dyDescent="0.15">
      <c r="A3468" s="2">
        <f>HYPERLINK("https://open-school.uspishnemisto.com.ua/school/180380/", 180380)</f>
        <v>180380</v>
      </c>
      <c r="B3468" s="3" t="s">
        <v>18178</v>
      </c>
      <c r="C3468" s="3" t="s">
        <v>31</v>
      </c>
      <c r="D3468" s="3" t="s">
        <v>32</v>
      </c>
      <c r="E3468" s="4" t="s">
        <v>22</v>
      </c>
      <c r="F3468" s="4" t="s">
        <v>18173</v>
      </c>
      <c r="G3468" s="4" t="s">
        <v>18174</v>
      </c>
      <c r="H3468" s="3" t="s">
        <v>16292</v>
      </c>
      <c r="I3468" s="3" t="s">
        <v>18175</v>
      </c>
      <c r="J3468" s="3" t="s">
        <v>18179</v>
      </c>
      <c r="K3468" s="3" t="s">
        <v>18180</v>
      </c>
      <c r="L3468" s="3"/>
      <c r="M3468" s="4"/>
      <c r="N3468" s="3" t="s">
        <v>37</v>
      </c>
      <c r="O3468" s="3" t="s">
        <v>52</v>
      </c>
      <c r="P3468" s="5">
        <v>12</v>
      </c>
      <c r="Q3468" s="5">
        <v>218</v>
      </c>
      <c r="R3468" s="5">
        <v>11</v>
      </c>
      <c r="S3468" s="5">
        <v>204</v>
      </c>
    </row>
    <row r="3469" spans="1:19" ht="28" x14ac:dyDescent="0.15">
      <c r="A3469" s="2">
        <f>HYPERLINK("https://open-school.uspishnemisto.com.ua/school/180381/", 180381)</f>
        <v>180381</v>
      </c>
      <c r="B3469" s="3" t="s">
        <v>18181</v>
      </c>
      <c r="C3469" s="3" t="s">
        <v>31</v>
      </c>
      <c r="D3469" s="3" t="s">
        <v>32</v>
      </c>
      <c r="E3469" s="4" t="s">
        <v>22</v>
      </c>
      <c r="F3469" s="4" t="s">
        <v>18182</v>
      </c>
      <c r="G3469" s="4" t="s">
        <v>18183</v>
      </c>
      <c r="H3469" s="3" t="s">
        <v>16292</v>
      </c>
      <c r="I3469" s="3" t="s">
        <v>18184</v>
      </c>
      <c r="J3469" s="3" t="s">
        <v>2820</v>
      </c>
      <c r="K3469" s="3" t="s">
        <v>18185</v>
      </c>
      <c r="L3469" s="3"/>
      <c r="M3469" s="4"/>
      <c r="N3469" s="3" t="s">
        <v>37</v>
      </c>
      <c r="O3469" s="3" t="s">
        <v>46</v>
      </c>
      <c r="P3469" s="5">
        <v>9</v>
      </c>
      <c r="Q3469" s="5">
        <v>79</v>
      </c>
      <c r="R3469" s="5">
        <v>9</v>
      </c>
      <c r="S3469" s="5">
        <v>75</v>
      </c>
    </row>
    <row r="3470" spans="1:19" ht="28" x14ac:dyDescent="0.15">
      <c r="A3470" s="2">
        <f>HYPERLINK("https://open-school.uspishnemisto.com.ua/school/180382/", 180382)</f>
        <v>180382</v>
      </c>
      <c r="B3470" s="3" t="s">
        <v>18186</v>
      </c>
      <c r="C3470" s="3" t="s">
        <v>54</v>
      </c>
      <c r="D3470" s="3" t="s">
        <v>32</v>
      </c>
      <c r="E3470" s="4" t="s">
        <v>22</v>
      </c>
      <c r="F3470" s="4" t="s">
        <v>18187</v>
      </c>
      <c r="G3470" s="4" t="s">
        <v>18188</v>
      </c>
      <c r="H3470" s="3" t="s">
        <v>16292</v>
      </c>
      <c r="I3470" s="3" t="s">
        <v>18189</v>
      </c>
      <c r="J3470" s="3" t="s">
        <v>18190</v>
      </c>
      <c r="K3470" s="3" t="s">
        <v>18191</v>
      </c>
      <c r="L3470" s="3"/>
      <c r="M3470" s="4"/>
      <c r="N3470" s="3" t="s">
        <v>37</v>
      </c>
      <c r="O3470" s="3" t="s">
        <v>52</v>
      </c>
      <c r="P3470" s="5">
        <v>7</v>
      </c>
      <c r="Q3470" s="5">
        <v>56</v>
      </c>
      <c r="R3470" s="5">
        <v>5</v>
      </c>
      <c r="S3470" s="5">
        <v>50</v>
      </c>
    </row>
    <row r="3471" spans="1:19" ht="56" x14ac:dyDescent="0.15">
      <c r="A3471" s="2">
        <f>HYPERLINK("https://open-school.uspishnemisto.com.ua/school/180383/", 180383)</f>
        <v>180383</v>
      </c>
      <c r="B3471" s="3" t="s">
        <v>18192</v>
      </c>
      <c r="C3471" s="3" t="s">
        <v>31</v>
      </c>
      <c r="D3471" s="3" t="s">
        <v>32</v>
      </c>
      <c r="E3471" s="4" t="s">
        <v>22</v>
      </c>
      <c r="F3471" s="4" t="s">
        <v>17065</v>
      </c>
      <c r="G3471" s="4" t="s">
        <v>18193</v>
      </c>
      <c r="H3471" s="3" t="s">
        <v>16292</v>
      </c>
      <c r="I3471" s="3" t="s">
        <v>18194</v>
      </c>
      <c r="J3471" s="3" t="s">
        <v>634</v>
      </c>
      <c r="K3471" s="3" t="s">
        <v>18195</v>
      </c>
      <c r="L3471" s="3"/>
      <c r="M3471" s="4"/>
      <c r="N3471" s="3" t="s">
        <v>37</v>
      </c>
      <c r="O3471" s="3" t="s">
        <v>52</v>
      </c>
      <c r="P3471" s="5">
        <v>2</v>
      </c>
      <c r="Q3471" s="5">
        <v>30</v>
      </c>
      <c r="R3471" s="5">
        <v>1</v>
      </c>
      <c r="S3471" s="5">
        <v>26</v>
      </c>
    </row>
    <row r="3472" spans="1:19" ht="42" x14ac:dyDescent="0.15">
      <c r="A3472" s="2">
        <f>HYPERLINK("https://open-school.uspishnemisto.com.ua/school/180384/", 180384)</f>
        <v>180384</v>
      </c>
      <c r="B3472" s="3" t="s">
        <v>18196</v>
      </c>
      <c r="C3472" s="3" t="s">
        <v>54</v>
      </c>
      <c r="D3472" s="3" t="s">
        <v>32</v>
      </c>
      <c r="E3472" s="4" t="s">
        <v>22</v>
      </c>
      <c r="F3472" s="4" t="s">
        <v>18197</v>
      </c>
      <c r="G3472" s="4" t="s">
        <v>18198</v>
      </c>
      <c r="H3472" s="3" t="s">
        <v>16292</v>
      </c>
      <c r="I3472" s="3" t="s">
        <v>18199</v>
      </c>
      <c r="J3472" s="3" t="s">
        <v>18200</v>
      </c>
      <c r="K3472" s="3" t="s">
        <v>18201</v>
      </c>
      <c r="L3472" s="3"/>
      <c r="M3472" s="4"/>
      <c r="N3472" s="3" t="s">
        <v>37</v>
      </c>
      <c r="O3472" s="3" t="s">
        <v>52</v>
      </c>
      <c r="P3472" s="5">
        <v>9</v>
      </c>
      <c r="Q3472" s="5">
        <v>64</v>
      </c>
      <c r="R3472" s="5">
        <v>10</v>
      </c>
      <c r="S3472" s="5">
        <v>73</v>
      </c>
    </row>
    <row r="3473" spans="1:19" ht="56" x14ac:dyDescent="0.15">
      <c r="A3473" s="2">
        <f>HYPERLINK("https://open-school.uspishnemisto.com.ua/school/180385/", 180385)</f>
        <v>180385</v>
      </c>
      <c r="B3473" s="3" t="s">
        <v>18202</v>
      </c>
      <c r="C3473" s="3" t="s">
        <v>54</v>
      </c>
      <c r="D3473" s="3" t="s">
        <v>32</v>
      </c>
      <c r="E3473" s="4" t="s">
        <v>22</v>
      </c>
      <c r="F3473" s="4" t="s">
        <v>18203</v>
      </c>
      <c r="G3473" s="4" t="s">
        <v>18204</v>
      </c>
      <c r="H3473" s="3" t="s">
        <v>16292</v>
      </c>
      <c r="I3473" s="3" t="s">
        <v>18205</v>
      </c>
      <c r="J3473" s="3" t="s">
        <v>3775</v>
      </c>
      <c r="K3473" s="3" t="s">
        <v>18206</v>
      </c>
      <c r="L3473" s="3"/>
      <c r="M3473" s="4"/>
      <c r="N3473" s="3" t="s">
        <v>37</v>
      </c>
      <c r="O3473" s="3" t="s">
        <v>46</v>
      </c>
      <c r="P3473" s="5">
        <v>11</v>
      </c>
      <c r="Q3473" s="5">
        <v>118</v>
      </c>
      <c r="R3473" s="5">
        <v>11</v>
      </c>
      <c r="S3473" s="5">
        <v>122</v>
      </c>
    </row>
    <row r="3474" spans="1:19" ht="56" x14ac:dyDescent="0.15">
      <c r="A3474" s="2">
        <f>HYPERLINK("https://open-school.uspishnemisto.com.ua/school/180386/", 180386)</f>
        <v>180386</v>
      </c>
      <c r="B3474" s="3" t="s">
        <v>18207</v>
      </c>
      <c r="C3474" s="3" t="s">
        <v>54</v>
      </c>
      <c r="D3474" s="3" t="s">
        <v>32</v>
      </c>
      <c r="E3474" s="4" t="s">
        <v>22</v>
      </c>
      <c r="F3474" s="4" t="s">
        <v>18208</v>
      </c>
      <c r="G3474" s="4" t="s">
        <v>18209</v>
      </c>
      <c r="H3474" s="3" t="s">
        <v>16292</v>
      </c>
      <c r="I3474" s="3" t="s">
        <v>1803</v>
      </c>
      <c r="J3474" s="3" t="s">
        <v>946</v>
      </c>
      <c r="K3474" s="3" t="s">
        <v>18210</v>
      </c>
      <c r="L3474" s="3"/>
      <c r="M3474" s="4"/>
      <c r="N3474" s="3" t="s">
        <v>37</v>
      </c>
      <c r="O3474" s="3" t="s">
        <v>52</v>
      </c>
      <c r="P3474" s="5">
        <v>2</v>
      </c>
      <c r="Q3474" s="5">
        <v>26</v>
      </c>
      <c r="R3474" s="5">
        <v>1</v>
      </c>
      <c r="S3474" s="5">
        <v>26</v>
      </c>
    </row>
    <row r="3475" spans="1:19" ht="56" x14ac:dyDescent="0.15">
      <c r="A3475" s="2">
        <f>HYPERLINK("https://open-school.uspishnemisto.com.ua/school/180387/", 180387)</f>
        <v>180387</v>
      </c>
      <c r="B3475" s="3" t="s">
        <v>18211</v>
      </c>
      <c r="C3475" s="3" t="s">
        <v>54</v>
      </c>
      <c r="D3475" s="3" t="s">
        <v>175</v>
      </c>
      <c r="E3475" s="4" t="s">
        <v>22</v>
      </c>
      <c r="F3475" s="4" t="s">
        <v>18212</v>
      </c>
      <c r="G3475" s="4" t="s">
        <v>18213</v>
      </c>
      <c r="H3475" s="3" t="s">
        <v>16292</v>
      </c>
      <c r="I3475" s="3" t="s">
        <v>5138</v>
      </c>
      <c r="J3475" s="3" t="s">
        <v>18214</v>
      </c>
      <c r="K3475" s="3"/>
      <c r="L3475" s="3"/>
      <c r="M3475" s="4"/>
      <c r="N3475" s="3" t="s">
        <v>37</v>
      </c>
      <c r="O3475" s="3" t="s">
        <v>52</v>
      </c>
      <c r="P3475" s="5">
        <v>1</v>
      </c>
      <c r="Q3475" s="5">
        <v>31</v>
      </c>
      <c r="R3475" s="5">
        <v>0</v>
      </c>
      <c r="S3475" s="5">
        <v>26</v>
      </c>
    </row>
    <row r="3476" spans="1:19" ht="28" x14ac:dyDescent="0.15">
      <c r="A3476" s="2">
        <f>HYPERLINK("https://open-school.uspishnemisto.com.ua/school/180388/", 180388)</f>
        <v>180388</v>
      </c>
      <c r="B3476" s="3" t="s">
        <v>18215</v>
      </c>
      <c r="C3476" s="3" t="s">
        <v>31</v>
      </c>
      <c r="D3476" s="3" t="s">
        <v>32</v>
      </c>
      <c r="E3476" s="4" t="s">
        <v>22</v>
      </c>
      <c r="F3476" s="4" t="s">
        <v>18216</v>
      </c>
      <c r="G3476" s="4" t="s">
        <v>18217</v>
      </c>
      <c r="H3476" s="3" t="s">
        <v>16292</v>
      </c>
      <c r="I3476" s="3" t="s">
        <v>18218</v>
      </c>
      <c r="J3476" s="3" t="s">
        <v>1360</v>
      </c>
      <c r="K3476" s="3"/>
      <c r="L3476" s="3"/>
      <c r="M3476" s="4"/>
      <c r="N3476" s="3" t="s">
        <v>37</v>
      </c>
      <c r="O3476" s="3" t="s">
        <v>52</v>
      </c>
      <c r="P3476" s="5">
        <v>9</v>
      </c>
      <c r="Q3476" s="5">
        <v>93</v>
      </c>
      <c r="R3476" s="5">
        <v>10</v>
      </c>
      <c r="S3476" s="5">
        <v>102</v>
      </c>
    </row>
    <row r="3477" spans="1:19" ht="28" x14ac:dyDescent="0.15">
      <c r="A3477" s="2">
        <f>HYPERLINK("https://open-school.uspishnemisto.com.ua/school/180389/", 180389)</f>
        <v>180389</v>
      </c>
      <c r="B3477" s="3" t="s">
        <v>18219</v>
      </c>
      <c r="C3477" s="3" t="s">
        <v>54</v>
      </c>
      <c r="D3477" s="3" t="s">
        <v>175</v>
      </c>
      <c r="E3477" s="4" t="s">
        <v>22</v>
      </c>
      <c r="F3477" s="4" t="s">
        <v>18220</v>
      </c>
      <c r="G3477" s="4" t="s">
        <v>18221</v>
      </c>
      <c r="H3477" s="3" t="s">
        <v>16292</v>
      </c>
      <c r="I3477" s="3" t="s">
        <v>18222</v>
      </c>
      <c r="J3477" s="3" t="s">
        <v>18223</v>
      </c>
      <c r="K3477" s="3" t="s">
        <v>18224</v>
      </c>
      <c r="L3477" s="3"/>
      <c r="M3477" s="4"/>
      <c r="N3477" s="3" t="s">
        <v>37</v>
      </c>
      <c r="O3477" s="3" t="s">
        <v>38</v>
      </c>
      <c r="P3477" s="5">
        <v>2</v>
      </c>
      <c r="Q3477" s="5">
        <v>29</v>
      </c>
      <c r="R3477" s="5">
        <v>3</v>
      </c>
      <c r="S3477" s="5">
        <v>38</v>
      </c>
    </row>
    <row r="3478" spans="1:19" ht="28" x14ac:dyDescent="0.15">
      <c r="A3478" s="2">
        <f>HYPERLINK("https://open-school.uspishnemisto.com.ua/school/180390/", 180390)</f>
        <v>180390</v>
      </c>
      <c r="B3478" s="3" t="s">
        <v>18225</v>
      </c>
      <c r="C3478" s="3" t="s">
        <v>31</v>
      </c>
      <c r="D3478" s="3" t="s">
        <v>32</v>
      </c>
      <c r="E3478" s="4" t="s">
        <v>22</v>
      </c>
      <c r="F3478" s="4" t="s">
        <v>18226</v>
      </c>
      <c r="G3478" s="4" t="s">
        <v>18227</v>
      </c>
      <c r="H3478" s="3" t="s">
        <v>16292</v>
      </c>
      <c r="I3478" s="3" t="s">
        <v>18228</v>
      </c>
      <c r="J3478" s="3" t="s">
        <v>18229</v>
      </c>
      <c r="K3478" s="3"/>
      <c r="L3478" s="3"/>
      <c r="M3478" s="4"/>
      <c r="N3478" s="3" t="s">
        <v>37</v>
      </c>
      <c r="O3478" s="3" t="s">
        <v>38</v>
      </c>
      <c r="P3478" s="5">
        <v>10</v>
      </c>
      <c r="Q3478" s="5">
        <v>112</v>
      </c>
      <c r="R3478" s="5">
        <v>10</v>
      </c>
      <c r="S3478" s="5">
        <v>117</v>
      </c>
    </row>
    <row r="3479" spans="1:19" ht="56" x14ac:dyDescent="0.15">
      <c r="A3479" s="2">
        <f>HYPERLINK("https://open-school.uspishnemisto.com.ua/school/180391/", 180391)</f>
        <v>180391</v>
      </c>
      <c r="B3479" s="3" t="s">
        <v>18230</v>
      </c>
      <c r="C3479" s="3" t="s">
        <v>54</v>
      </c>
      <c r="D3479" s="3" t="s">
        <v>32</v>
      </c>
      <c r="E3479" s="4" t="s">
        <v>22</v>
      </c>
      <c r="F3479" s="4" t="s">
        <v>18231</v>
      </c>
      <c r="G3479" s="4" t="s">
        <v>18232</v>
      </c>
      <c r="H3479" s="3" t="s">
        <v>16292</v>
      </c>
      <c r="I3479" s="3" t="s">
        <v>18233</v>
      </c>
      <c r="J3479" s="3" t="s">
        <v>1348</v>
      </c>
      <c r="K3479" s="3" t="s">
        <v>18234</v>
      </c>
      <c r="L3479" s="3"/>
      <c r="M3479" s="4"/>
      <c r="N3479" s="3" t="s">
        <v>37</v>
      </c>
      <c r="O3479" s="3" t="s">
        <v>52</v>
      </c>
      <c r="P3479" s="5">
        <v>5</v>
      </c>
      <c r="Q3479" s="5">
        <v>36</v>
      </c>
      <c r="R3479" s="5">
        <v>5</v>
      </c>
      <c r="S3479" s="5">
        <v>36</v>
      </c>
    </row>
    <row r="3480" spans="1:19" ht="28" x14ac:dyDescent="0.15">
      <c r="A3480" s="2">
        <f>HYPERLINK("https://open-school.uspishnemisto.com.ua/school/180392/", 180392)</f>
        <v>180392</v>
      </c>
      <c r="B3480" s="3" t="s">
        <v>18235</v>
      </c>
      <c r="C3480" s="3" t="s">
        <v>31</v>
      </c>
      <c r="D3480" s="3" t="s">
        <v>175</v>
      </c>
      <c r="E3480" s="4" t="s">
        <v>22</v>
      </c>
      <c r="F3480" s="4" t="s">
        <v>18236</v>
      </c>
      <c r="G3480" s="4" t="s">
        <v>18237</v>
      </c>
      <c r="H3480" s="3" t="s">
        <v>16292</v>
      </c>
      <c r="I3480" s="3" t="s">
        <v>18238</v>
      </c>
      <c r="J3480" s="3" t="s">
        <v>3399</v>
      </c>
      <c r="K3480" s="3"/>
      <c r="L3480" s="3"/>
      <c r="M3480" s="4"/>
      <c r="N3480" s="3" t="s">
        <v>37</v>
      </c>
      <c r="O3480" s="3" t="s">
        <v>38</v>
      </c>
      <c r="P3480" s="5">
        <v>5</v>
      </c>
      <c r="Q3480" s="5">
        <v>38</v>
      </c>
      <c r="R3480" s="5">
        <v>5</v>
      </c>
      <c r="S3480" s="5">
        <v>38</v>
      </c>
    </row>
    <row r="3481" spans="1:19" ht="28" x14ac:dyDescent="0.15">
      <c r="A3481" s="2">
        <f>HYPERLINK("https://open-school.uspishnemisto.com.ua/school/180393/", 180393)</f>
        <v>180393</v>
      </c>
      <c r="B3481" s="3" t="s">
        <v>18239</v>
      </c>
      <c r="C3481" s="3" t="s">
        <v>54</v>
      </c>
      <c r="D3481" s="3" t="s">
        <v>32</v>
      </c>
      <c r="E3481" s="4" t="s">
        <v>22</v>
      </c>
      <c r="F3481" s="4" t="s">
        <v>18240</v>
      </c>
      <c r="G3481" s="4" t="s">
        <v>18241</v>
      </c>
      <c r="H3481" s="3" t="s">
        <v>16292</v>
      </c>
      <c r="I3481" s="3" t="s">
        <v>18242</v>
      </c>
      <c r="J3481" s="3" t="s">
        <v>18243</v>
      </c>
      <c r="K3481" s="3" t="s">
        <v>18244</v>
      </c>
      <c r="L3481" s="3"/>
      <c r="M3481" s="4"/>
      <c r="N3481" s="3" t="s">
        <v>37</v>
      </c>
      <c r="O3481" s="3" t="s">
        <v>52</v>
      </c>
      <c r="P3481" s="5">
        <v>10</v>
      </c>
      <c r="Q3481" s="5">
        <v>75</v>
      </c>
      <c r="R3481" s="5">
        <v>10</v>
      </c>
      <c r="S3481" s="5">
        <v>83</v>
      </c>
    </row>
    <row r="3482" spans="1:19" ht="28" x14ac:dyDescent="0.15">
      <c r="A3482" s="2">
        <f>HYPERLINK("https://open-school.uspishnemisto.com.ua/school/180394/", 180394)</f>
        <v>180394</v>
      </c>
      <c r="B3482" s="3" t="s">
        <v>18245</v>
      </c>
      <c r="C3482" s="3" t="s">
        <v>31</v>
      </c>
      <c r="D3482" s="3" t="s">
        <v>175</v>
      </c>
      <c r="E3482" s="4" t="s">
        <v>22</v>
      </c>
      <c r="F3482" s="4" t="s">
        <v>18246</v>
      </c>
      <c r="G3482" s="4" t="s">
        <v>18247</v>
      </c>
      <c r="H3482" s="3" t="s">
        <v>16292</v>
      </c>
      <c r="I3482" s="3" t="s">
        <v>1033</v>
      </c>
      <c r="J3482" s="3" t="s">
        <v>12389</v>
      </c>
      <c r="K3482" s="3" t="s">
        <v>18248</v>
      </c>
      <c r="L3482" s="3"/>
      <c r="M3482" s="4"/>
      <c r="N3482" s="3" t="s">
        <v>37</v>
      </c>
      <c r="O3482" s="3" t="s">
        <v>52</v>
      </c>
      <c r="P3482" s="5">
        <v>6</v>
      </c>
      <c r="Q3482" s="5">
        <v>34</v>
      </c>
      <c r="R3482" s="5">
        <v>7</v>
      </c>
      <c r="S3482" s="5">
        <v>37</v>
      </c>
    </row>
    <row r="3483" spans="1:19" ht="42" x14ac:dyDescent="0.15">
      <c r="A3483" s="2">
        <f>HYPERLINK("https://open-school.uspishnemisto.com.ua/school/180395/", 180395)</f>
        <v>180395</v>
      </c>
      <c r="B3483" s="3" t="s">
        <v>18249</v>
      </c>
      <c r="C3483" s="3" t="s">
        <v>54</v>
      </c>
      <c r="D3483" s="3" t="s">
        <v>60</v>
      </c>
      <c r="E3483" s="4" t="s">
        <v>22</v>
      </c>
      <c r="F3483" s="4" t="s">
        <v>18250</v>
      </c>
      <c r="G3483" s="4" t="s">
        <v>18251</v>
      </c>
      <c r="H3483" s="3" t="s">
        <v>16292</v>
      </c>
      <c r="I3483" s="3" t="s">
        <v>18252</v>
      </c>
      <c r="J3483" s="3" t="s">
        <v>18253</v>
      </c>
      <c r="K3483" s="3" t="s">
        <v>18254</v>
      </c>
      <c r="L3483" s="3"/>
      <c r="M3483" s="4"/>
      <c r="N3483" s="3" t="s">
        <v>37</v>
      </c>
      <c r="O3483" s="3" t="s">
        <v>52</v>
      </c>
      <c r="P3483" s="5">
        <v>0</v>
      </c>
      <c r="Q3483" s="5">
        <v>11</v>
      </c>
      <c r="R3483" s="5">
        <v>1</v>
      </c>
      <c r="S3483" s="5">
        <v>21</v>
      </c>
    </row>
    <row r="3484" spans="1:19" ht="28" x14ac:dyDescent="0.15">
      <c r="A3484" s="2">
        <f>HYPERLINK("https://open-school.uspishnemisto.com.ua/school/180396/", 180396)</f>
        <v>180396</v>
      </c>
      <c r="B3484" s="3" t="s">
        <v>18255</v>
      </c>
      <c r="C3484" s="3" t="s">
        <v>31</v>
      </c>
      <c r="D3484" s="3" t="s">
        <v>32</v>
      </c>
      <c r="E3484" s="4" t="s">
        <v>22</v>
      </c>
      <c r="F3484" s="4" t="s">
        <v>18256</v>
      </c>
      <c r="G3484" s="4" t="s">
        <v>18257</v>
      </c>
      <c r="H3484" s="3" t="s">
        <v>16292</v>
      </c>
      <c r="I3484" s="3" t="s">
        <v>18258</v>
      </c>
      <c r="J3484" s="3" t="s">
        <v>18259</v>
      </c>
      <c r="K3484" s="3" t="s">
        <v>18260</v>
      </c>
      <c r="L3484" s="3"/>
      <c r="M3484" s="4"/>
      <c r="N3484" s="3" t="s">
        <v>37</v>
      </c>
      <c r="O3484" s="3" t="s">
        <v>52</v>
      </c>
      <c r="P3484" s="5">
        <v>10</v>
      </c>
      <c r="Q3484" s="5">
        <v>85</v>
      </c>
      <c r="R3484" s="5">
        <v>11</v>
      </c>
      <c r="S3484" s="5">
        <v>88</v>
      </c>
    </row>
    <row r="3485" spans="1:19" ht="28" x14ac:dyDescent="0.15">
      <c r="A3485" s="2">
        <f>HYPERLINK("https://open-school.uspishnemisto.com.ua/school/180397/", 180397)</f>
        <v>180397</v>
      </c>
      <c r="B3485" s="3" t="s">
        <v>18261</v>
      </c>
      <c r="C3485" s="3" t="s">
        <v>40</v>
      </c>
      <c r="D3485" s="3" t="s">
        <v>32</v>
      </c>
      <c r="E3485" s="4" t="s">
        <v>22</v>
      </c>
      <c r="F3485" s="4" t="s">
        <v>18262</v>
      </c>
      <c r="G3485" s="4" t="s">
        <v>18263</v>
      </c>
      <c r="H3485" s="3" t="s">
        <v>16292</v>
      </c>
      <c r="I3485" s="3" t="s">
        <v>18264</v>
      </c>
      <c r="J3485" s="3" t="s">
        <v>4136</v>
      </c>
      <c r="K3485" s="3" t="s">
        <v>18265</v>
      </c>
      <c r="L3485" s="3" t="s">
        <v>18266</v>
      </c>
      <c r="M3485" s="4"/>
      <c r="N3485" s="3" t="s">
        <v>37</v>
      </c>
      <c r="O3485" s="3" t="s">
        <v>70</v>
      </c>
      <c r="P3485" s="5">
        <v>27</v>
      </c>
      <c r="Q3485" s="5">
        <v>471</v>
      </c>
      <c r="R3485" s="5">
        <v>28</v>
      </c>
      <c r="S3485" s="5">
        <v>479</v>
      </c>
    </row>
    <row r="3486" spans="1:19" ht="28" x14ac:dyDescent="0.15">
      <c r="A3486" s="2">
        <f>HYPERLINK("https://open-school.uspishnemisto.com.ua/school/180398/", 180398)</f>
        <v>180398</v>
      </c>
      <c r="B3486" s="3" t="s">
        <v>18267</v>
      </c>
      <c r="C3486" s="3" t="s">
        <v>181</v>
      </c>
      <c r="D3486" s="3" t="s">
        <v>32</v>
      </c>
      <c r="E3486" s="4" t="s">
        <v>22</v>
      </c>
      <c r="F3486" s="4" t="s">
        <v>18268</v>
      </c>
      <c r="G3486" s="4" t="s">
        <v>18263</v>
      </c>
      <c r="H3486" s="3" t="s">
        <v>16292</v>
      </c>
      <c r="I3486" s="3" t="s">
        <v>18264</v>
      </c>
      <c r="J3486" s="3" t="s">
        <v>18269</v>
      </c>
      <c r="K3486" s="3" t="s">
        <v>18270</v>
      </c>
      <c r="L3486" s="3"/>
      <c r="M3486" s="4" t="s">
        <v>18271</v>
      </c>
      <c r="N3486" s="3" t="s">
        <v>37</v>
      </c>
      <c r="O3486" s="3"/>
      <c r="P3486" s="5">
        <v>10</v>
      </c>
      <c r="Q3486" s="5">
        <v>106</v>
      </c>
      <c r="R3486" s="5">
        <v>11</v>
      </c>
      <c r="S3486" s="5">
        <v>105</v>
      </c>
    </row>
    <row r="3487" spans="1:19" ht="28" x14ac:dyDescent="0.15">
      <c r="A3487" s="2">
        <f>HYPERLINK("https://open-school.uspishnemisto.com.ua/school/180399/", 180399)</f>
        <v>180399</v>
      </c>
      <c r="B3487" s="3" t="s">
        <v>18272</v>
      </c>
      <c r="C3487" s="3" t="s">
        <v>31</v>
      </c>
      <c r="D3487" s="3" t="s">
        <v>32</v>
      </c>
      <c r="E3487" s="4" t="s">
        <v>22</v>
      </c>
      <c r="F3487" s="4" t="s">
        <v>18273</v>
      </c>
      <c r="G3487" s="4" t="s">
        <v>18274</v>
      </c>
      <c r="H3487" s="3" t="s">
        <v>16292</v>
      </c>
      <c r="I3487" s="3" t="s">
        <v>18275</v>
      </c>
      <c r="J3487" s="3" t="s">
        <v>18276</v>
      </c>
      <c r="K3487" s="3" t="s">
        <v>18277</v>
      </c>
      <c r="L3487" s="3"/>
      <c r="M3487" s="4"/>
      <c r="N3487" s="3" t="s">
        <v>37</v>
      </c>
      <c r="O3487" s="3" t="s">
        <v>52</v>
      </c>
      <c r="P3487" s="5">
        <v>1</v>
      </c>
      <c r="Q3487" s="5">
        <v>27</v>
      </c>
      <c r="R3487" s="5">
        <v>2</v>
      </c>
      <c r="S3487" s="5">
        <v>30</v>
      </c>
    </row>
    <row r="3488" spans="1:19" ht="28" x14ac:dyDescent="0.15">
      <c r="A3488" s="2">
        <f>HYPERLINK("https://open-school.uspishnemisto.com.ua/school/180400/", 180400)</f>
        <v>180400</v>
      </c>
      <c r="B3488" s="3" t="s">
        <v>18278</v>
      </c>
      <c r="C3488" s="3" t="s">
        <v>31</v>
      </c>
      <c r="D3488" s="3" t="s">
        <v>32</v>
      </c>
      <c r="E3488" s="4" t="s">
        <v>22</v>
      </c>
      <c r="F3488" s="4" t="s">
        <v>18273</v>
      </c>
      <c r="G3488" s="4" t="s">
        <v>18279</v>
      </c>
      <c r="H3488" s="3" t="s">
        <v>16292</v>
      </c>
      <c r="I3488" s="3" t="s">
        <v>18280</v>
      </c>
      <c r="J3488" s="3" t="s">
        <v>933</v>
      </c>
      <c r="K3488" s="3" t="s">
        <v>18281</v>
      </c>
      <c r="L3488" s="3"/>
      <c r="M3488" s="4"/>
      <c r="N3488" s="3" t="s">
        <v>37</v>
      </c>
      <c r="O3488" s="3" t="s">
        <v>38</v>
      </c>
      <c r="P3488" s="5">
        <v>8</v>
      </c>
      <c r="Q3488" s="5">
        <v>73</v>
      </c>
      <c r="R3488" s="5">
        <v>8</v>
      </c>
      <c r="S3488" s="5">
        <v>77</v>
      </c>
    </row>
    <row r="3489" spans="1:19" ht="42" x14ac:dyDescent="0.15">
      <c r="A3489" s="2">
        <f>HYPERLINK("https://open-school.uspishnemisto.com.ua/school/180401/", 180401)</f>
        <v>180401</v>
      </c>
      <c r="B3489" s="3" t="s">
        <v>18282</v>
      </c>
      <c r="C3489" s="3" t="s">
        <v>31</v>
      </c>
      <c r="D3489" s="3" t="s">
        <v>32</v>
      </c>
      <c r="E3489" s="4" t="s">
        <v>22</v>
      </c>
      <c r="F3489" s="4" t="s">
        <v>18283</v>
      </c>
      <c r="G3489" s="4" t="s">
        <v>18284</v>
      </c>
      <c r="H3489" s="3" t="s">
        <v>16292</v>
      </c>
      <c r="I3489" s="3" t="s">
        <v>725</v>
      </c>
      <c r="J3489" s="3" t="s">
        <v>18285</v>
      </c>
      <c r="K3489" s="3" t="s">
        <v>18286</v>
      </c>
      <c r="L3489" s="3"/>
      <c r="M3489" s="4"/>
      <c r="N3489" s="3" t="s">
        <v>37</v>
      </c>
      <c r="O3489" s="3" t="s">
        <v>46</v>
      </c>
      <c r="P3489" s="5">
        <v>9</v>
      </c>
      <c r="Q3489" s="5">
        <v>92</v>
      </c>
      <c r="R3489" s="5">
        <v>10</v>
      </c>
      <c r="S3489" s="5">
        <v>94</v>
      </c>
    </row>
    <row r="3490" spans="1:19" ht="28" x14ac:dyDescent="0.15">
      <c r="A3490" s="2">
        <f>HYPERLINK("https://open-school.uspishnemisto.com.ua/school/180402/", 180402)</f>
        <v>180402</v>
      </c>
      <c r="B3490" s="3" t="s">
        <v>18287</v>
      </c>
      <c r="C3490" s="3" t="s">
        <v>31</v>
      </c>
      <c r="D3490" s="3" t="s">
        <v>175</v>
      </c>
      <c r="E3490" s="4" t="s">
        <v>22</v>
      </c>
      <c r="F3490" s="4" t="s">
        <v>18288</v>
      </c>
      <c r="G3490" s="4" t="s">
        <v>18289</v>
      </c>
      <c r="H3490" s="3" t="s">
        <v>16292</v>
      </c>
      <c r="I3490" s="3" t="s">
        <v>18290</v>
      </c>
      <c r="J3490" s="3" t="s">
        <v>18291</v>
      </c>
      <c r="K3490" s="3" t="s">
        <v>18292</v>
      </c>
      <c r="L3490" s="3"/>
      <c r="M3490" s="4"/>
      <c r="N3490" s="3" t="s">
        <v>37</v>
      </c>
      <c r="O3490" s="3" t="s">
        <v>38</v>
      </c>
      <c r="P3490" s="5">
        <v>1</v>
      </c>
      <c r="Q3490" s="5">
        <v>15</v>
      </c>
      <c r="R3490" s="5">
        <v>3</v>
      </c>
      <c r="S3490" s="5">
        <v>26</v>
      </c>
    </row>
    <row r="3491" spans="1:19" ht="28" x14ac:dyDescent="0.15">
      <c r="A3491" s="2">
        <f>HYPERLINK("https://open-school.uspishnemisto.com.ua/school/180403/", 180403)</f>
        <v>180403</v>
      </c>
      <c r="B3491" s="3" t="s">
        <v>18293</v>
      </c>
      <c r="C3491" s="3" t="s">
        <v>31</v>
      </c>
      <c r="D3491" s="3" t="s">
        <v>32</v>
      </c>
      <c r="E3491" s="4" t="s">
        <v>22</v>
      </c>
      <c r="F3491" s="4" t="s">
        <v>18294</v>
      </c>
      <c r="G3491" s="4" t="s">
        <v>18295</v>
      </c>
      <c r="H3491" s="3" t="s">
        <v>16292</v>
      </c>
      <c r="I3491" s="3" t="s">
        <v>18296</v>
      </c>
      <c r="J3491" s="3" t="s">
        <v>18297</v>
      </c>
      <c r="K3491" s="3" t="s">
        <v>18298</v>
      </c>
      <c r="L3491" s="3"/>
      <c r="M3491" s="4"/>
      <c r="N3491" s="3" t="s">
        <v>37</v>
      </c>
      <c r="O3491" s="3" t="s">
        <v>46</v>
      </c>
      <c r="P3491" s="5">
        <v>10</v>
      </c>
      <c r="Q3491" s="5">
        <v>46</v>
      </c>
      <c r="R3491" s="5">
        <v>11</v>
      </c>
      <c r="S3491" s="5">
        <v>51</v>
      </c>
    </row>
    <row r="3492" spans="1:19" ht="28" x14ac:dyDescent="0.15">
      <c r="A3492" s="2">
        <f>HYPERLINK("https://open-school.uspishnemisto.com.ua/school/180404/", 180404)</f>
        <v>180404</v>
      </c>
      <c r="B3492" s="3" t="s">
        <v>18299</v>
      </c>
      <c r="C3492" s="3" t="s">
        <v>31</v>
      </c>
      <c r="D3492" s="3" t="s">
        <v>175</v>
      </c>
      <c r="E3492" s="4" t="s">
        <v>22</v>
      </c>
      <c r="F3492" s="4" t="s">
        <v>18300</v>
      </c>
      <c r="G3492" s="4" t="s">
        <v>18301</v>
      </c>
      <c r="H3492" s="3" t="s">
        <v>16292</v>
      </c>
      <c r="I3492" s="3" t="s">
        <v>18302</v>
      </c>
      <c r="J3492" s="3" t="s">
        <v>17191</v>
      </c>
      <c r="K3492" s="3" t="s">
        <v>18303</v>
      </c>
      <c r="L3492" s="3"/>
      <c r="M3492" s="4"/>
      <c r="N3492" s="3" t="s">
        <v>37</v>
      </c>
      <c r="O3492" s="3" t="s">
        <v>70</v>
      </c>
      <c r="P3492" s="5">
        <v>8</v>
      </c>
      <c r="Q3492" s="5">
        <v>64</v>
      </c>
      <c r="R3492" s="5">
        <v>8</v>
      </c>
      <c r="S3492" s="5">
        <v>69</v>
      </c>
    </row>
    <row r="3493" spans="1:19" ht="28" x14ac:dyDescent="0.15">
      <c r="A3493" s="2">
        <f>HYPERLINK("https://open-school.uspishnemisto.com.ua/school/180405/", 180405)</f>
        <v>180405</v>
      </c>
      <c r="B3493" s="3" t="s">
        <v>18304</v>
      </c>
      <c r="C3493" s="3" t="s">
        <v>31</v>
      </c>
      <c r="D3493" s="3" t="s">
        <v>32</v>
      </c>
      <c r="E3493" s="4" t="s">
        <v>22</v>
      </c>
      <c r="F3493" s="4" t="s">
        <v>18305</v>
      </c>
      <c r="G3493" s="4" t="s">
        <v>18306</v>
      </c>
      <c r="H3493" s="3" t="s">
        <v>16292</v>
      </c>
      <c r="I3493" s="3" t="s">
        <v>18307</v>
      </c>
      <c r="J3493" s="3" t="s">
        <v>297</v>
      </c>
      <c r="K3493" s="3" t="s">
        <v>18308</v>
      </c>
      <c r="L3493" s="3"/>
      <c r="M3493" s="4"/>
      <c r="N3493" s="3" t="s">
        <v>37</v>
      </c>
      <c r="O3493" s="3" t="s">
        <v>38</v>
      </c>
      <c r="P3493" s="5">
        <v>7</v>
      </c>
      <c r="Q3493" s="5">
        <v>58</v>
      </c>
      <c r="R3493" s="5">
        <v>8</v>
      </c>
      <c r="S3493" s="5">
        <v>63</v>
      </c>
    </row>
    <row r="3494" spans="1:19" ht="28" x14ac:dyDescent="0.15">
      <c r="A3494" s="2">
        <f>HYPERLINK("https://open-school.uspishnemisto.com.ua/school/180406/", 180406)</f>
        <v>180406</v>
      </c>
      <c r="B3494" s="3" t="s">
        <v>18309</v>
      </c>
      <c r="C3494" s="3" t="s">
        <v>31</v>
      </c>
      <c r="D3494" s="3" t="s">
        <v>175</v>
      </c>
      <c r="E3494" s="4" t="s">
        <v>22</v>
      </c>
      <c r="F3494" s="4" t="s">
        <v>18310</v>
      </c>
      <c r="G3494" s="4" t="s">
        <v>18311</v>
      </c>
      <c r="H3494" s="3" t="s">
        <v>16292</v>
      </c>
      <c r="I3494" s="3" t="s">
        <v>18312</v>
      </c>
      <c r="J3494" s="3" t="s">
        <v>1209</v>
      </c>
      <c r="K3494" s="3" t="s">
        <v>18313</v>
      </c>
      <c r="L3494" s="3"/>
      <c r="M3494" s="4"/>
      <c r="N3494" s="3" t="s">
        <v>37</v>
      </c>
      <c r="O3494" s="3" t="s">
        <v>46</v>
      </c>
      <c r="P3494" s="5">
        <v>9</v>
      </c>
      <c r="Q3494" s="5">
        <v>69</v>
      </c>
      <c r="R3494" s="5">
        <v>8</v>
      </c>
      <c r="S3494" s="5">
        <v>69</v>
      </c>
    </row>
    <row r="3495" spans="1:19" ht="28" x14ac:dyDescent="0.15">
      <c r="A3495" s="2">
        <f>HYPERLINK("https://open-school.uspishnemisto.com.ua/school/180407/", 180407)</f>
        <v>180407</v>
      </c>
      <c r="B3495" s="3" t="s">
        <v>18314</v>
      </c>
      <c r="C3495" s="3" t="s">
        <v>31</v>
      </c>
      <c r="D3495" s="3" t="s">
        <v>175</v>
      </c>
      <c r="E3495" s="4" t="s">
        <v>22</v>
      </c>
      <c r="F3495" s="4" t="s">
        <v>18315</v>
      </c>
      <c r="G3495" s="4" t="s">
        <v>18316</v>
      </c>
      <c r="H3495" s="3" t="s">
        <v>16292</v>
      </c>
      <c r="I3495" s="3" t="s">
        <v>18317</v>
      </c>
      <c r="J3495" s="3" t="s">
        <v>18318</v>
      </c>
      <c r="K3495" s="3" t="s">
        <v>18319</v>
      </c>
      <c r="L3495" s="3" t="s">
        <v>18320</v>
      </c>
      <c r="M3495" s="4"/>
      <c r="N3495" s="3" t="s">
        <v>37</v>
      </c>
      <c r="O3495" s="3" t="s">
        <v>38</v>
      </c>
      <c r="P3495" s="5">
        <v>9</v>
      </c>
      <c r="Q3495" s="5">
        <v>53</v>
      </c>
      <c r="R3495" s="5">
        <v>9</v>
      </c>
      <c r="S3495" s="5">
        <v>49</v>
      </c>
    </row>
    <row r="3496" spans="1:19" ht="42" x14ac:dyDescent="0.15">
      <c r="A3496" s="2">
        <f>HYPERLINK("https://open-school.uspishnemisto.com.ua/school/180408/", 180408)</f>
        <v>180408</v>
      </c>
      <c r="B3496" s="3" t="s">
        <v>18321</v>
      </c>
      <c r="C3496" s="3" t="s">
        <v>31</v>
      </c>
      <c r="D3496" s="3" t="s">
        <v>175</v>
      </c>
      <c r="E3496" s="4" t="s">
        <v>22</v>
      </c>
      <c r="F3496" s="4" t="s">
        <v>18322</v>
      </c>
      <c r="G3496" s="4" t="s">
        <v>18323</v>
      </c>
      <c r="H3496" s="3" t="s">
        <v>16292</v>
      </c>
      <c r="I3496" s="3" t="s">
        <v>18324</v>
      </c>
      <c r="J3496" s="3" t="s">
        <v>1600</v>
      </c>
      <c r="K3496" s="3" t="s">
        <v>18325</v>
      </c>
      <c r="L3496" s="3"/>
      <c r="M3496" s="4"/>
      <c r="N3496" s="3" t="s">
        <v>37</v>
      </c>
      <c r="O3496" s="3" t="s">
        <v>38</v>
      </c>
      <c r="P3496" s="5">
        <v>6</v>
      </c>
      <c r="Q3496" s="5">
        <v>52</v>
      </c>
      <c r="R3496" s="5">
        <v>6</v>
      </c>
      <c r="S3496" s="5">
        <v>55</v>
      </c>
    </row>
    <row r="3497" spans="1:19" ht="28" x14ac:dyDescent="0.15">
      <c r="A3497" s="2">
        <f>HYPERLINK("https://open-school.uspishnemisto.com.ua/school/180409/", 180409)</f>
        <v>180409</v>
      </c>
      <c r="B3497" s="3" t="s">
        <v>18326</v>
      </c>
      <c r="C3497" s="3" t="s">
        <v>31</v>
      </c>
      <c r="D3497" s="3" t="s">
        <v>60</v>
      </c>
      <c r="E3497" s="4" t="s">
        <v>22</v>
      </c>
      <c r="F3497" s="4" t="s">
        <v>18322</v>
      </c>
      <c r="G3497" s="4" t="s">
        <v>18327</v>
      </c>
      <c r="H3497" s="3" t="s">
        <v>16292</v>
      </c>
      <c r="I3497" s="3" t="s">
        <v>18328</v>
      </c>
      <c r="J3497" s="3" t="s">
        <v>1636</v>
      </c>
      <c r="K3497" s="3" t="s">
        <v>18329</v>
      </c>
      <c r="L3497" s="3"/>
      <c r="M3497" s="4"/>
      <c r="N3497" s="3" t="s">
        <v>37</v>
      </c>
      <c r="O3497" s="3" t="s">
        <v>52</v>
      </c>
      <c r="P3497" s="5">
        <v>2</v>
      </c>
      <c r="Q3497" s="5">
        <v>8</v>
      </c>
      <c r="R3497" s="5">
        <v>0</v>
      </c>
      <c r="S3497" s="5">
        <v>7</v>
      </c>
    </row>
    <row r="3498" spans="1:19" ht="28" x14ac:dyDescent="0.15">
      <c r="A3498" s="2">
        <f>HYPERLINK("https://open-school.uspishnemisto.com.ua/school/180410/", 180410)</f>
        <v>180410</v>
      </c>
      <c r="B3498" s="3" t="s">
        <v>18330</v>
      </c>
      <c r="C3498" s="3" t="s">
        <v>31</v>
      </c>
      <c r="D3498" s="3" t="s">
        <v>32</v>
      </c>
      <c r="E3498" s="4" t="s">
        <v>22</v>
      </c>
      <c r="F3498" s="4" t="s">
        <v>18331</v>
      </c>
      <c r="G3498" s="4" t="s">
        <v>18332</v>
      </c>
      <c r="H3498" s="3" t="s">
        <v>16292</v>
      </c>
      <c r="I3498" s="3" t="s">
        <v>18333</v>
      </c>
      <c r="J3498" s="3" t="s">
        <v>297</v>
      </c>
      <c r="K3498" s="3" t="s">
        <v>18334</v>
      </c>
      <c r="L3498" s="3"/>
      <c r="M3498" s="4"/>
      <c r="N3498" s="3" t="s">
        <v>37</v>
      </c>
      <c r="O3498" s="3" t="s">
        <v>38</v>
      </c>
      <c r="P3498" s="5">
        <v>11</v>
      </c>
      <c r="Q3498" s="5">
        <v>113</v>
      </c>
      <c r="R3498" s="5">
        <v>11</v>
      </c>
      <c r="S3498" s="5">
        <v>115</v>
      </c>
    </row>
    <row r="3499" spans="1:19" ht="56" x14ac:dyDescent="0.15">
      <c r="A3499" s="2">
        <f>HYPERLINK("https://open-school.uspishnemisto.com.ua/school/180411/", 180411)</f>
        <v>180411</v>
      </c>
      <c r="B3499" s="3" t="s">
        <v>18335</v>
      </c>
      <c r="C3499" s="3" t="s">
        <v>54</v>
      </c>
      <c r="D3499" s="3" t="s">
        <v>175</v>
      </c>
      <c r="E3499" s="4" t="s">
        <v>22</v>
      </c>
      <c r="F3499" s="4" t="s">
        <v>18336</v>
      </c>
      <c r="G3499" s="4" t="s">
        <v>18337</v>
      </c>
      <c r="H3499" s="3" t="s">
        <v>16292</v>
      </c>
      <c r="I3499" s="3" t="s">
        <v>18338</v>
      </c>
      <c r="J3499" s="3" t="s">
        <v>2978</v>
      </c>
      <c r="K3499" s="3" t="s">
        <v>18339</v>
      </c>
      <c r="L3499" s="3" t="s">
        <v>18340</v>
      </c>
      <c r="M3499" s="4"/>
      <c r="N3499" s="3" t="s">
        <v>37</v>
      </c>
      <c r="O3499" s="3" t="s">
        <v>38</v>
      </c>
      <c r="P3499" s="5">
        <v>9</v>
      </c>
      <c r="Q3499" s="5">
        <v>53</v>
      </c>
      <c r="R3499" s="5">
        <v>9</v>
      </c>
      <c r="S3499" s="5">
        <v>52</v>
      </c>
    </row>
    <row r="3500" spans="1:19" ht="28" x14ac:dyDescent="0.15">
      <c r="A3500" s="2">
        <f>HYPERLINK("https://open-school.uspishnemisto.com.ua/school/180412/", 180412)</f>
        <v>180412</v>
      </c>
      <c r="B3500" s="3" t="s">
        <v>18341</v>
      </c>
      <c r="C3500" s="3" t="s">
        <v>31</v>
      </c>
      <c r="D3500" s="3" t="s">
        <v>32</v>
      </c>
      <c r="E3500" s="4" t="s">
        <v>22</v>
      </c>
      <c r="F3500" s="4" t="s">
        <v>18342</v>
      </c>
      <c r="G3500" s="4" t="s">
        <v>18343</v>
      </c>
      <c r="H3500" s="3" t="s">
        <v>16292</v>
      </c>
      <c r="I3500" s="3" t="s">
        <v>6229</v>
      </c>
      <c r="J3500" s="3" t="s">
        <v>792</v>
      </c>
      <c r="K3500" s="3" t="s">
        <v>18344</v>
      </c>
      <c r="L3500" s="3"/>
      <c r="M3500" s="4"/>
      <c r="N3500" s="3" t="s">
        <v>37</v>
      </c>
      <c r="O3500" s="3" t="s">
        <v>38</v>
      </c>
      <c r="P3500" s="5">
        <v>11</v>
      </c>
      <c r="Q3500" s="5">
        <v>158</v>
      </c>
      <c r="R3500" s="5">
        <v>11</v>
      </c>
      <c r="S3500" s="5">
        <v>156</v>
      </c>
    </row>
    <row r="3501" spans="1:19" ht="28" x14ac:dyDescent="0.15">
      <c r="A3501" s="2">
        <f>HYPERLINK("https://open-school.uspishnemisto.com.ua/school/180413/", 180413)</f>
        <v>180413</v>
      </c>
      <c r="B3501" s="3" t="s">
        <v>18345</v>
      </c>
      <c r="C3501" s="3" t="s">
        <v>31</v>
      </c>
      <c r="D3501" s="3" t="s">
        <v>175</v>
      </c>
      <c r="E3501" s="4" t="s">
        <v>22</v>
      </c>
      <c r="F3501" s="4" t="s">
        <v>18346</v>
      </c>
      <c r="G3501" s="4" t="s">
        <v>18347</v>
      </c>
      <c r="H3501" s="3" t="s">
        <v>16292</v>
      </c>
      <c r="I3501" s="3" t="s">
        <v>18348</v>
      </c>
      <c r="J3501" s="3" t="s">
        <v>2601</v>
      </c>
      <c r="K3501" s="3" t="s">
        <v>18349</v>
      </c>
      <c r="L3501" s="3"/>
      <c r="M3501" s="4"/>
      <c r="N3501" s="3" t="s">
        <v>37</v>
      </c>
      <c r="O3501" s="3" t="s">
        <v>46</v>
      </c>
      <c r="P3501" s="5">
        <v>8</v>
      </c>
      <c r="Q3501" s="5">
        <v>64</v>
      </c>
      <c r="R3501" s="5">
        <v>9</v>
      </c>
      <c r="S3501" s="5">
        <v>62</v>
      </c>
    </row>
    <row r="3502" spans="1:19" ht="56" x14ac:dyDescent="0.15">
      <c r="A3502" s="2">
        <f>HYPERLINK("https://open-school.uspishnemisto.com.ua/school/180414/", 180414)</f>
        <v>180414</v>
      </c>
      <c r="B3502" s="3" t="s">
        <v>18350</v>
      </c>
      <c r="C3502" s="3" t="s">
        <v>54</v>
      </c>
      <c r="D3502" s="3" t="s">
        <v>175</v>
      </c>
      <c r="E3502" s="4" t="s">
        <v>22</v>
      </c>
      <c r="F3502" s="4" t="s">
        <v>18351</v>
      </c>
      <c r="G3502" s="4" t="s">
        <v>18352</v>
      </c>
      <c r="H3502" s="3" t="s">
        <v>16292</v>
      </c>
      <c r="I3502" s="3" t="s">
        <v>18353</v>
      </c>
      <c r="J3502" s="3" t="s">
        <v>18354</v>
      </c>
      <c r="K3502" s="3" t="s">
        <v>18355</v>
      </c>
      <c r="L3502" s="3"/>
      <c r="M3502" s="4"/>
      <c r="N3502" s="3" t="s">
        <v>37</v>
      </c>
      <c r="O3502" s="3" t="s">
        <v>52</v>
      </c>
      <c r="P3502" s="5">
        <v>6</v>
      </c>
      <c r="Q3502" s="5">
        <v>45</v>
      </c>
      <c r="R3502" s="5">
        <v>6</v>
      </c>
      <c r="S3502" s="5">
        <v>40</v>
      </c>
    </row>
    <row r="3503" spans="1:19" ht="42" x14ac:dyDescent="0.15">
      <c r="A3503" s="2">
        <f>HYPERLINK("https://open-school.uspishnemisto.com.ua/school/180415/", 180415)</f>
        <v>180415</v>
      </c>
      <c r="B3503" s="3" t="s">
        <v>18356</v>
      </c>
      <c r="C3503" s="3" t="s">
        <v>31</v>
      </c>
      <c r="D3503" s="3" t="s">
        <v>32</v>
      </c>
      <c r="E3503" s="4" t="s">
        <v>22</v>
      </c>
      <c r="F3503" s="4" t="s">
        <v>18357</v>
      </c>
      <c r="G3503" s="4" t="s">
        <v>18358</v>
      </c>
      <c r="H3503" s="3" t="s">
        <v>16292</v>
      </c>
      <c r="I3503" s="3" t="s">
        <v>18359</v>
      </c>
      <c r="J3503" s="3" t="s">
        <v>8007</v>
      </c>
      <c r="K3503" s="3" t="s">
        <v>18360</v>
      </c>
      <c r="L3503" s="3"/>
      <c r="M3503" s="4"/>
      <c r="N3503" s="3" t="s">
        <v>37</v>
      </c>
      <c r="O3503" s="3" t="s">
        <v>52</v>
      </c>
      <c r="P3503" s="5">
        <v>4</v>
      </c>
      <c r="Q3503" s="5">
        <v>40</v>
      </c>
      <c r="R3503" s="5">
        <v>5</v>
      </c>
      <c r="S3503" s="5">
        <v>40</v>
      </c>
    </row>
    <row r="3504" spans="1:19" ht="28" x14ac:dyDescent="0.15">
      <c r="A3504" s="2">
        <f>HYPERLINK("https://open-school.uspishnemisto.com.ua/school/180416/", 180416)</f>
        <v>180416</v>
      </c>
      <c r="B3504" s="3" t="s">
        <v>18361</v>
      </c>
      <c r="C3504" s="3" t="s">
        <v>31</v>
      </c>
      <c r="D3504" s="3" t="s">
        <v>32</v>
      </c>
      <c r="E3504" s="4" t="s">
        <v>22</v>
      </c>
      <c r="F3504" s="4" t="s">
        <v>18362</v>
      </c>
      <c r="G3504" s="4" t="s">
        <v>18363</v>
      </c>
      <c r="H3504" s="3" t="s">
        <v>16292</v>
      </c>
      <c r="I3504" s="3" t="s">
        <v>18364</v>
      </c>
      <c r="J3504" s="3" t="s">
        <v>6692</v>
      </c>
      <c r="K3504" s="3" t="s">
        <v>18365</v>
      </c>
      <c r="L3504" s="3" t="s">
        <v>18366</v>
      </c>
      <c r="M3504" s="4"/>
      <c r="N3504" s="3" t="s">
        <v>37</v>
      </c>
      <c r="O3504" s="3" t="s">
        <v>70</v>
      </c>
      <c r="P3504" s="5">
        <v>11</v>
      </c>
      <c r="Q3504" s="5">
        <v>136</v>
      </c>
      <c r="R3504" s="5">
        <v>11</v>
      </c>
      <c r="S3504" s="5">
        <v>143</v>
      </c>
    </row>
    <row r="3505" spans="1:19" ht="28" x14ac:dyDescent="0.15">
      <c r="A3505" s="2">
        <f>HYPERLINK("https://open-school.uspishnemisto.com.ua/school/180417/", 180417)</f>
        <v>180417</v>
      </c>
      <c r="B3505" s="3" t="s">
        <v>18367</v>
      </c>
      <c r="C3505" s="3" t="s">
        <v>31</v>
      </c>
      <c r="D3505" s="3" t="s">
        <v>60</v>
      </c>
      <c r="E3505" s="4" t="s">
        <v>22</v>
      </c>
      <c r="F3505" s="4" t="s">
        <v>18362</v>
      </c>
      <c r="G3505" s="4" t="s">
        <v>18368</v>
      </c>
      <c r="H3505" s="3" t="s">
        <v>16292</v>
      </c>
      <c r="I3505" s="3" t="s">
        <v>11605</v>
      </c>
      <c r="J3505" s="3" t="s">
        <v>18369</v>
      </c>
      <c r="K3505" s="3" t="s">
        <v>18370</v>
      </c>
      <c r="L3505" s="3"/>
      <c r="M3505" s="4"/>
      <c r="N3505" s="3" t="s">
        <v>37</v>
      </c>
      <c r="O3505" s="3" t="s">
        <v>52</v>
      </c>
      <c r="P3505" s="5">
        <v>0</v>
      </c>
      <c r="Q3505" s="5">
        <v>0</v>
      </c>
      <c r="R3505" s="5">
        <v>1</v>
      </c>
      <c r="S3505" s="5">
        <v>14</v>
      </c>
    </row>
    <row r="3506" spans="1:19" ht="28" x14ac:dyDescent="0.15">
      <c r="A3506" s="2">
        <f>HYPERLINK("https://open-school.uspishnemisto.com.ua/school/180418/", 180418)</f>
        <v>180418</v>
      </c>
      <c r="B3506" s="3" t="s">
        <v>18371</v>
      </c>
      <c r="C3506" s="3" t="s">
        <v>31</v>
      </c>
      <c r="D3506" s="3" t="s">
        <v>32</v>
      </c>
      <c r="E3506" s="4" t="s">
        <v>22</v>
      </c>
      <c r="F3506" s="4" t="s">
        <v>18372</v>
      </c>
      <c r="G3506" s="4" t="s">
        <v>18373</v>
      </c>
      <c r="H3506" s="3" t="s">
        <v>16292</v>
      </c>
      <c r="I3506" s="3" t="s">
        <v>18374</v>
      </c>
      <c r="J3506" s="3" t="s">
        <v>18375</v>
      </c>
      <c r="K3506" s="3" t="s">
        <v>18376</v>
      </c>
      <c r="L3506" s="3"/>
      <c r="M3506" s="4"/>
      <c r="N3506" s="3" t="s">
        <v>37</v>
      </c>
      <c r="O3506" s="3" t="s">
        <v>38</v>
      </c>
      <c r="P3506" s="5">
        <v>10</v>
      </c>
      <c r="Q3506" s="5">
        <v>139</v>
      </c>
      <c r="R3506" s="5">
        <v>11</v>
      </c>
      <c r="S3506" s="5">
        <v>132</v>
      </c>
    </row>
    <row r="3507" spans="1:19" ht="28" x14ac:dyDescent="0.15">
      <c r="A3507" s="2">
        <f>HYPERLINK("https://open-school.uspishnemisto.com.ua/school/180419/", 180419)</f>
        <v>180419</v>
      </c>
      <c r="B3507" s="3" t="s">
        <v>18377</v>
      </c>
      <c r="C3507" s="3" t="s">
        <v>31</v>
      </c>
      <c r="D3507" s="3" t="s">
        <v>175</v>
      </c>
      <c r="E3507" s="4" t="s">
        <v>22</v>
      </c>
      <c r="F3507" s="4" t="s">
        <v>18378</v>
      </c>
      <c r="G3507" s="4" t="s">
        <v>18379</v>
      </c>
      <c r="H3507" s="3" t="s">
        <v>16292</v>
      </c>
      <c r="I3507" s="3" t="s">
        <v>18380</v>
      </c>
      <c r="J3507" s="3" t="s">
        <v>466</v>
      </c>
      <c r="K3507" s="3" t="s">
        <v>18381</v>
      </c>
      <c r="L3507" s="3"/>
      <c r="M3507" s="4"/>
      <c r="N3507" s="3" t="s">
        <v>37</v>
      </c>
      <c r="O3507" s="3"/>
      <c r="P3507" s="5">
        <v>9</v>
      </c>
      <c r="Q3507" s="5">
        <v>50</v>
      </c>
      <c r="R3507" s="5">
        <v>9</v>
      </c>
      <c r="S3507" s="5">
        <v>55</v>
      </c>
    </row>
    <row r="3508" spans="1:19" ht="28" x14ac:dyDescent="0.15">
      <c r="A3508" s="2">
        <f>HYPERLINK("https://open-school.uspishnemisto.com.ua/school/180420/", 180420)</f>
        <v>180420</v>
      </c>
      <c r="B3508" s="3" t="s">
        <v>18382</v>
      </c>
      <c r="C3508" s="3" t="s">
        <v>31</v>
      </c>
      <c r="D3508" s="3" t="s">
        <v>32</v>
      </c>
      <c r="E3508" s="4" t="s">
        <v>22</v>
      </c>
      <c r="F3508" s="4" t="s">
        <v>18383</v>
      </c>
      <c r="G3508" s="4" t="s">
        <v>18384</v>
      </c>
      <c r="H3508" s="3" t="s">
        <v>16292</v>
      </c>
      <c r="I3508" s="3" t="s">
        <v>18385</v>
      </c>
      <c r="J3508" s="3" t="s">
        <v>14575</v>
      </c>
      <c r="K3508" s="3" t="s">
        <v>18386</v>
      </c>
      <c r="L3508" s="3"/>
      <c r="M3508" s="4"/>
      <c r="N3508" s="3" t="s">
        <v>37</v>
      </c>
      <c r="O3508" s="3" t="s">
        <v>38</v>
      </c>
      <c r="P3508" s="5">
        <v>9</v>
      </c>
      <c r="Q3508" s="5">
        <v>74</v>
      </c>
      <c r="R3508" s="5">
        <v>11</v>
      </c>
      <c r="S3508" s="5">
        <v>84</v>
      </c>
    </row>
    <row r="3509" spans="1:19" ht="28" x14ac:dyDescent="0.15">
      <c r="A3509" s="2">
        <f>HYPERLINK("https://open-school.uspishnemisto.com.ua/school/180421/", 180421)</f>
        <v>180421</v>
      </c>
      <c r="B3509" s="3" t="s">
        <v>18387</v>
      </c>
      <c r="C3509" s="3" t="s">
        <v>31</v>
      </c>
      <c r="D3509" s="3" t="s">
        <v>32</v>
      </c>
      <c r="E3509" s="4" t="s">
        <v>253</v>
      </c>
      <c r="F3509" s="4" t="s">
        <v>18388</v>
      </c>
      <c r="G3509" s="4" t="s">
        <v>18389</v>
      </c>
      <c r="H3509" s="3" t="s">
        <v>16292</v>
      </c>
      <c r="I3509" s="3" t="s">
        <v>18390</v>
      </c>
      <c r="J3509" s="3" t="s">
        <v>18391</v>
      </c>
      <c r="K3509" s="3" t="s">
        <v>18392</v>
      </c>
      <c r="L3509" s="3"/>
      <c r="M3509" s="4"/>
      <c r="N3509" s="3" t="s">
        <v>37</v>
      </c>
      <c r="O3509" s="3" t="s">
        <v>38</v>
      </c>
      <c r="P3509" s="5">
        <v>9</v>
      </c>
      <c r="Q3509" s="5">
        <v>106</v>
      </c>
      <c r="R3509" s="5">
        <v>9</v>
      </c>
      <c r="S3509" s="5">
        <v>107</v>
      </c>
    </row>
    <row r="3510" spans="1:19" ht="28" x14ac:dyDescent="0.15">
      <c r="A3510" s="2">
        <f>HYPERLINK("https://open-school.uspishnemisto.com.ua/school/180422/", 180422)</f>
        <v>180422</v>
      </c>
      <c r="B3510" s="3" t="s">
        <v>18393</v>
      </c>
      <c r="C3510" s="3" t="s">
        <v>31</v>
      </c>
      <c r="D3510" s="3" t="s">
        <v>32</v>
      </c>
      <c r="E3510" s="4" t="s">
        <v>22</v>
      </c>
      <c r="F3510" s="4" t="s">
        <v>18394</v>
      </c>
      <c r="G3510" s="4" t="s">
        <v>18395</v>
      </c>
      <c r="H3510" s="3" t="s">
        <v>16292</v>
      </c>
      <c r="I3510" s="3" t="s">
        <v>18396</v>
      </c>
      <c r="J3510" s="3" t="s">
        <v>18397</v>
      </c>
      <c r="K3510" s="3" t="s">
        <v>18398</v>
      </c>
      <c r="L3510" s="3"/>
      <c r="M3510" s="4"/>
      <c r="N3510" s="3" t="s">
        <v>37</v>
      </c>
      <c r="O3510" s="3"/>
      <c r="P3510" s="5">
        <v>9</v>
      </c>
      <c r="Q3510" s="5">
        <v>112</v>
      </c>
      <c r="R3510" s="5">
        <v>9</v>
      </c>
      <c r="S3510" s="5">
        <v>109</v>
      </c>
    </row>
    <row r="3511" spans="1:19" ht="28" x14ac:dyDescent="0.15">
      <c r="A3511" s="2">
        <f>HYPERLINK("https://open-school.uspishnemisto.com.ua/school/180423/", 180423)</f>
        <v>180423</v>
      </c>
      <c r="B3511" s="3" t="s">
        <v>18399</v>
      </c>
      <c r="C3511" s="3" t="s">
        <v>54</v>
      </c>
      <c r="D3511" s="3" t="s">
        <v>175</v>
      </c>
      <c r="E3511" s="4" t="s">
        <v>22</v>
      </c>
      <c r="F3511" s="4" t="s">
        <v>18400</v>
      </c>
      <c r="G3511" s="4" t="s">
        <v>18401</v>
      </c>
      <c r="H3511" s="3" t="s">
        <v>16292</v>
      </c>
      <c r="I3511" s="3" t="s">
        <v>18402</v>
      </c>
      <c r="J3511" s="3" t="s">
        <v>18403</v>
      </c>
      <c r="K3511" s="3" t="s">
        <v>18404</v>
      </c>
      <c r="L3511" s="3"/>
      <c r="M3511" s="4"/>
      <c r="N3511" s="3" t="s">
        <v>37</v>
      </c>
      <c r="O3511" s="3" t="s">
        <v>38</v>
      </c>
      <c r="P3511" s="5">
        <v>8</v>
      </c>
      <c r="Q3511" s="5">
        <v>46</v>
      </c>
      <c r="R3511" s="5">
        <v>7</v>
      </c>
      <c r="S3511" s="5">
        <v>44</v>
      </c>
    </row>
    <row r="3512" spans="1:19" ht="28" x14ac:dyDescent="0.15">
      <c r="A3512" s="2">
        <f>HYPERLINK("https://open-school.uspishnemisto.com.ua/school/180424/", 180424)</f>
        <v>180424</v>
      </c>
      <c r="B3512" s="3" t="s">
        <v>18405</v>
      </c>
      <c r="C3512" s="3" t="s">
        <v>31</v>
      </c>
      <c r="D3512" s="3" t="s">
        <v>32</v>
      </c>
      <c r="E3512" s="4" t="s">
        <v>22</v>
      </c>
      <c r="F3512" s="4" t="s">
        <v>18406</v>
      </c>
      <c r="G3512" s="4" t="s">
        <v>18407</v>
      </c>
      <c r="H3512" s="3" t="s">
        <v>16292</v>
      </c>
      <c r="I3512" s="3" t="s">
        <v>18142</v>
      </c>
      <c r="J3512" s="3" t="s">
        <v>10823</v>
      </c>
      <c r="K3512" s="3" t="s">
        <v>18408</v>
      </c>
      <c r="L3512" s="3"/>
      <c r="M3512" s="4"/>
      <c r="N3512" s="3" t="s">
        <v>18409</v>
      </c>
      <c r="O3512" s="3" t="s">
        <v>38</v>
      </c>
      <c r="P3512" s="5">
        <v>14</v>
      </c>
      <c r="Q3512" s="5">
        <v>260</v>
      </c>
      <c r="R3512" s="5">
        <v>13</v>
      </c>
      <c r="S3512" s="5">
        <v>246</v>
      </c>
    </row>
    <row r="3513" spans="1:19" ht="42" x14ac:dyDescent="0.15">
      <c r="A3513" s="2">
        <f>HYPERLINK("https://open-school.uspishnemisto.com.ua/school/180425/", 180425)</f>
        <v>180425</v>
      </c>
      <c r="B3513" s="3" t="s">
        <v>18410</v>
      </c>
      <c r="C3513" s="3" t="s">
        <v>54</v>
      </c>
      <c r="D3513" s="3" t="s">
        <v>175</v>
      </c>
      <c r="E3513" s="4" t="s">
        <v>22</v>
      </c>
      <c r="F3513" s="4" t="s">
        <v>18411</v>
      </c>
      <c r="G3513" s="4" t="s">
        <v>18412</v>
      </c>
      <c r="H3513" s="3" t="s">
        <v>16292</v>
      </c>
      <c r="I3513" s="3" t="s">
        <v>1797</v>
      </c>
      <c r="J3513" s="3" t="s">
        <v>18413</v>
      </c>
      <c r="K3513" s="3" t="s">
        <v>18414</v>
      </c>
      <c r="L3513" s="3"/>
      <c r="M3513" s="4"/>
      <c r="N3513" s="3" t="s">
        <v>37</v>
      </c>
      <c r="O3513" s="3"/>
      <c r="P3513" s="5">
        <v>9</v>
      </c>
      <c r="Q3513" s="5">
        <v>78</v>
      </c>
      <c r="R3513" s="5">
        <v>9</v>
      </c>
      <c r="S3513" s="5">
        <v>74</v>
      </c>
    </row>
    <row r="3514" spans="1:19" ht="28" x14ac:dyDescent="0.15">
      <c r="A3514" s="2">
        <f>HYPERLINK("https://open-school.uspishnemisto.com.ua/school/180426/", 180426)</f>
        <v>180426</v>
      </c>
      <c r="B3514" s="3" t="s">
        <v>18415</v>
      </c>
      <c r="C3514" s="3" t="s">
        <v>31</v>
      </c>
      <c r="D3514" s="3" t="s">
        <v>32</v>
      </c>
      <c r="E3514" s="4" t="s">
        <v>22</v>
      </c>
      <c r="F3514" s="4" t="s">
        <v>18411</v>
      </c>
      <c r="G3514" s="4" t="s">
        <v>18416</v>
      </c>
      <c r="H3514" s="3" t="s">
        <v>16292</v>
      </c>
      <c r="I3514" s="3" t="s">
        <v>18417</v>
      </c>
      <c r="J3514" s="3" t="s">
        <v>18418</v>
      </c>
      <c r="K3514" s="3" t="s">
        <v>18419</v>
      </c>
      <c r="L3514" s="3"/>
      <c r="M3514" s="4"/>
      <c r="N3514" s="3" t="s">
        <v>37</v>
      </c>
      <c r="O3514" s="3" t="s">
        <v>38</v>
      </c>
      <c r="P3514" s="5">
        <v>11</v>
      </c>
      <c r="Q3514" s="5">
        <v>161</v>
      </c>
      <c r="R3514" s="5">
        <v>11</v>
      </c>
      <c r="S3514" s="5">
        <v>161</v>
      </c>
    </row>
    <row r="3515" spans="1:19" ht="28" x14ac:dyDescent="0.15">
      <c r="A3515" s="2">
        <f>HYPERLINK("https://open-school.uspishnemisto.com.ua/school/180427/", 180427)</f>
        <v>180427</v>
      </c>
      <c r="B3515" s="3" t="s">
        <v>18420</v>
      </c>
      <c r="C3515" s="3" t="s">
        <v>31</v>
      </c>
      <c r="D3515" s="3" t="s">
        <v>32</v>
      </c>
      <c r="E3515" s="4" t="s">
        <v>22</v>
      </c>
      <c r="F3515" s="4" t="s">
        <v>18421</v>
      </c>
      <c r="G3515" s="4" t="s">
        <v>18422</v>
      </c>
      <c r="H3515" s="3" t="s">
        <v>16292</v>
      </c>
      <c r="I3515" s="3" t="s">
        <v>10856</v>
      </c>
      <c r="J3515" s="3" t="s">
        <v>18423</v>
      </c>
      <c r="K3515" s="3" t="s">
        <v>18424</v>
      </c>
      <c r="L3515" s="3"/>
      <c r="M3515" s="4"/>
      <c r="N3515" s="3" t="s">
        <v>37</v>
      </c>
      <c r="O3515" s="3" t="s">
        <v>38</v>
      </c>
      <c r="P3515" s="5">
        <v>11</v>
      </c>
      <c r="Q3515" s="5">
        <v>187</v>
      </c>
      <c r="R3515" s="5">
        <v>11</v>
      </c>
      <c r="S3515" s="5">
        <v>162</v>
      </c>
    </row>
    <row r="3516" spans="1:19" ht="56" x14ac:dyDescent="0.15">
      <c r="A3516" s="2">
        <f>HYPERLINK("https://open-school.uspishnemisto.com.ua/school/180428/", 180428)</f>
        <v>180428</v>
      </c>
      <c r="B3516" s="3" t="s">
        <v>18425</v>
      </c>
      <c r="C3516" s="3" t="s">
        <v>54</v>
      </c>
      <c r="D3516" s="3" t="s">
        <v>32</v>
      </c>
      <c r="E3516" s="4" t="s">
        <v>22</v>
      </c>
      <c r="F3516" s="4" t="s">
        <v>18426</v>
      </c>
      <c r="G3516" s="4" t="s">
        <v>18427</v>
      </c>
      <c r="H3516" s="3" t="s">
        <v>16292</v>
      </c>
      <c r="I3516" s="3" t="s">
        <v>18428</v>
      </c>
      <c r="J3516" s="3" t="s">
        <v>18429</v>
      </c>
      <c r="K3516" s="3" t="s">
        <v>18430</v>
      </c>
      <c r="L3516" s="3" t="s">
        <v>18431</v>
      </c>
      <c r="M3516" s="4"/>
      <c r="N3516" s="3" t="s">
        <v>37</v>
      </c>
      <c r="O3516" s="3" t="s">
        <v>38</v>
      </c>
      <c r="P3516" s="5">
        <v>17</v>
      </c>
      <c r="Q3516" s="5">
        <v>318</v>
      </c>
      <c r="R3516" s="5">
        <v>17</v>
      </c>
      <c r="S3516" s="5">
        <v>300</v>
      </c>
    </row>
    <row r="3517" spans="1:19" ht="28" x14ac:dyDescent="0.15">
      <c r="A3517" s="2">
        <f>HYPERLINK("https://open-school.uspishnemisto.com.ua/school/180430/", 180430)</f>
        <v>180430</v>
      </c>
      <c r="B3517" s="3" t="s">
        <v>18432</v>
      </c>
      <c r="C3517" s="3" t="s">
        <v>31</v>
      </c>
      <c r="D3517" s="3" t="s">
        <v>175</v>
      </c>
      <c r="E3517" s="4" t="s">
        <v>22</v>
      </c>
      <c r="F3517" s="4" t="s">
        <v>18433</v>
      </c>
      <c r="G3517" s="4" t="s">
        <v>18434</v>
      </c>
      <c r="H3517" s="3" t="s">
        <v>16292</v>
      </c>
      <c r="I3517" s="3" t="s">
        <v>18435</v>
      </c>
      <c r="J3517" s="3" t="s">
        <v>7277</v>
      </c>
      <c r="K3517" s="3" t="s">
        <v>18436</v>
      </c>
      <c r="L3517" s="3"/>
      <c r="M3517" s="4"/>
      <c r="N3517" s="3" t="s">
        <v>37</v>
      </c>
      <c r="O3517" s="3" t="s">
        <v>618</v>
      </c>
      <c r="P3517" s="5">
        <v>4</v>
      </c>
      <c r="Q3517" s="5">
        <v>33</v>
      </c>
      <c r="R3517" s="5">
        <v>3</v>
      </c>
      <c r="S3517" s="5">
        <v>29</v>
      </c>
    </row>
    <row r="3518" spans="1:19" ht="28" x14ac:dyDescent="0.15">
      <c r="A3518" s="2">
        <f>HYPERLINK("https://open-school.uspishnemisto.com.ua/school/180431/", 180431)</f>
        <v>180431</v>
      </c>
      <c r="B3518" s="3" t="s">
        <v>18437</v>
      </c>
      <c r="C3518" s="3" t="s">
        <v>31</v>
      </c>
      <c r="D3518" s="3" t="s">
        <v>32</v>
      </c>
      <c r="E3518" s="4" t="s">
        <v>22</v>
      </c>
      <c r="F3518" s="4" t="s">
        <v>18438</v>
      </c>
      <c r="G3518" s="4" t="s">
        <v>18439</v>
      </c>
      <c r="H3518" s="3" t="s">
        <v>16292</v>
      </c>
      <c r="I3518" s="3" t="s">
        <v>18440</v>
      </c>
      <c r="J3518" s="3" t="s">
        <v>2080</v>
      </c>
      <c r="K3518" s="3" t="s">
        <v>18441</v>
      </c>
      <c r="L3518" s="3"/>
      <c r="M3518" s="4"/>
      <c r="N3518" s="3" t="s">
        <v>37</v>
      </c>
      <c r="O3518" s="3" t="s">
        <v>46</v>
      </c>
      <c r="P3518" s="5">
        <v>11</v>
      </c>
      <c r="Q3518" s="5">
        <v>114</v>
      </c>
      <c r="R3518" s="5">
        <v>11</v>
      </c>
      <c r="S3518" s="5">
        <v>107</v>
      </c>
    </row>
    <row r="3519" spans="1:19" ht="42" x14ac:dyDescent="0.15">
      <c r="A3519" s="2">
        <f>HYPERLINK("https://open-school.uspishnemisto.com.ua/school/180432/", 180432)</f>
        <v>180432</v>
      </c>
      <c r="B3519" s="3" t="s">
        <v>18442</v>
      </c>
      <c r="C3519" s="3" t="s">
        <v>54</v>
      </c>
      <c r="D3519" s="3" t="s">
        <v>175</v>
      </c>
      <c r="E3519" s="4" t="s">
        <v>22</v>
      </c>
      <c r="F3519" s="4" t="s">
        <v>18443</v>
      </c>
      <c r="G3519" s="4" t="s">
        <v>18444</v>
      </c>
      <c r="H3519" s="3" t="s">
        <v>16292</v>
      </c>
      <c r="I3519" s="3" t="s">
        <v>18445</v>
      </c>
      <c r="J3519" s="3" t="s">
        <v>18446</v>
      </c>
      <c r="K3519" s="3" t="s">
        <v>18447</v>
      </c>
      <c r="L3519" s="3"/>
      <c r="M3519" s="4"/>
      <c r="N3519" s="3" t="s">
        <v>37</v>
      </c>
      <c r="O3519" s="3" t="s">
        <v>38</v>
      </c>
      <c r="P3519" s="5">
        <v>8</v>
      </c>
      <c r="Q3519" s="5">
        <v>55</v>
      </c>
      <c r="R3519" s="5">
        <v>7</v>
      </c>
      <c r="S3519" s="5">
        <v>52</v>
      </c>
    </row>
    <row r="3520" spans="1:19" ht="28" x14ac:dyDescent="0.15">
      <c r="A3520" s="2">
        <f>HYPERLINK("https://open-school.uspishnemisto.com.ua/school/180433/", 180433)</f>
        <v>180433</v>
      </c>
      <c r="B3520" s="3" t="s">
        <v>18448</v>
      </c>
      <c r="C3520" s="3" t="s">
        <v>54</v>
      </c>
      <c r="D3520" s="3" t="s">
        <v>175</v>
      </c>
      <c r="E3520" s="4" t="s">
        <v>22</v>
      </c>
      <c r="F3520" s="4"/>
      <c r="G3520" s="4" t="s">
        <v>18449</v>
      </c>
      <c r="H3520" s="3" t="s">
        <v>16292</v>
      </c>
      <c r="I3520" s="3" t="s">
        <v>18450</v>
      </c>
      <c r="J3520" s="3" t="s">
        <v>1366</v>
      </c>
      <c r="K3520" s="3"/>
      <c r="L3520" s="3"/>
      <c r="M3520" s="4"/>
      <c r="N3520" s="3" t="s">
        <v>37</v>
      </c>
      <c r="O3520" s="3" t="s">
        <v>38</v>
      </c>
      <c r="P3520" s="5">
        <v>9</v>
      </c>
      <c r="Q3520" s="5">
        <v>60</v>
      </c>
      <c r="R3520" s="5">
        <v>8</v>
      </c>
      <c r="S3520" s="5">
        <v>55</v>
      </c>
    </row>
    <row r="3521" spans="1:19" ht="28" x14ac:dyDescent="0.15">
      <c r="A3521" s="2">
        <f>HYPERLINK("https://open-school.uspishnemisto.com.ua/school/180434/", 180434)</f>
        <v>180434</v>
      </c>
      <c r="B3521" s="3" t="s">
        <v>18451</v>
      </c>
      <c r="C3521" s="3" t="s">
        <v>31</v>
      </c>
      <c r="D3521" s="3" t="s">
        <v>175</v>
      </c>
      <c r="E3521" s="4" t="s">
        <v>22</v>
      </c>
      <c r="F3521" s="4" t="s">
        <v>18452</v>
      </c>
      <c r="G3521" s="4" t="s">
        <v>18453</v>
      </c>
      <c r="H3521" s="3" t="s">
        <v>16292</v>
      </c>
      <c r="I3521" s="3" t="s">
        <v>18454</v>
      </c>
      <c r="J3521" s="3" t="s">
        <v>634</v>
      </c>
      <c r="K3521" s="3" t="s">
        <v>18455</v>
      </c>
      <c r="L3521" s="3"/>
      <c r="M3521" s="4"/>
      <c r="N3521" s="3" t="s">
        <v>37</v>
      </c>
      <c r="O3521" s="3" t="s">
        <v>38</v>
      </c>
      <c r="P3521" s="5">
        <v>7</v>
      </c>
      <c r="Q3521" s="5">
        <v>75</v>
      </c>
      <c r="R3521" s="5">
        <v>7</v>
      </c>
      <c r="S3521" s="5">
        <v>76</v>
      </c>
    </row>
    <row r="3522" spans="1:19" ht="28" x14ac:dyDescent="0.15">
      <c r="A3522" s="2">
        <f>HYPERLINK("https://open-school.uspishnemisto.com.ua/school/180435/", 180435)</f>
        <v>180435</v>
      </c>
      <c r="B3522" s="3" t="s">
        <v>18456</v>
      </c>
      <c r="C3522" s="3" t="s">
        <v>31</v>
      </c>
      <c r="D3522" s="3" t="s">
        <v>175</v>
      </c>
      <c r="E3522" s="4" t="s">
        <v>22</v>
      </c>
      <c r="F3522" s="4" t="s">
        <v>18457</v>
      </c>
      <c r="G3522" s="4" t="s">
        <v>18458</v>
      </c>
      <c r="H3522" s="3" t="s">
        <v>16292</v>
      </c>
      <c r="I3522" s="3" t="s">
        <v>7089</v>
      </c>
      <c r="J3522" s="3" t="s">
        <v>18459</v>
      </c>
      <c r="K3522" s="3" t="s">
        <v>18460</v>
      </c>
      <c r="L3522" s="3"/>
      <c r="M3522" s="4"/>
      <c r="N3522" s="3" t="s">
        <v>37</v>
      </c>
      <c r="O3522" s="3" t="s">
        <v>38</v>
      </c>
      <c r="P3522" s="5">
        <v>9</v>
      </c>
      <c r="Q3522" s="5">
        <v>64</v>
      </c>
      <c r="R3522" s="5">
        <v>9</v>
      </c>
      <c r="S3522" s="5">
        <v>68</v>
      </c>
    </row>
    <row r="3523" spans="1:19" ht="28" x14ac:dyDescent="0.15">
      <c r="A3523" s="2">
        <f>HYPERLINK("https://open-school.uspishnemisto.com.ua/school/180436/", 180436)</f>
        <v>180436</v>
      </c>
      <c r="B3523" s="3" t="s">
        <v>18461</v>
      </c>
      <c r="C3523" s="3" t="s">
        <v>31</v>
      </c>
      <c r="D3523" s="3" t="s">
        <v>175</v>
      </c>
      <c r="E3523" s="4" t="s">
        <v>22</v>
      </c>
      <c r="F3523" s="4" t="s">
        <v>18462</v>
      </c>
      <c r="G3523" s="4" t="s">
        <v>18463</v>
      </c>
      <c r="H3523" s="3" t="s">
        <v>16292</v>
      </c>
      <c r="I3523" s="3" t="s">
        <v>883</v>
      </c>
      <c r="J3523" s="3" t="s">
        <v>18464</v>
      </c>
      <c r="K3523" s="3" t="s">
        <v>18465</v>
      </c>
      <c r="L3523" s="3"/>
      <c r="M3523" s="4"/>
      <c r="N3523" s="3" t="s">
        <v>37</v>
      </c>
      <c r="O3523" s="3" t="s">
        <v>46</v>
      </c>
      <c r="P3523" s="5">
        <v>6</v>
      </c>
      <c r="Q3523" s="5">
        <v>41</v>
      </c>
      <c r="R3523" s="5">
        <v>6</v>
      </c>
      <c r="S3523" s="5">
        <v>43</v>
      </c>
    </row>
    <row r="3524" spans="1:19" ht="42" x14ac:dyDescent="0.15">
      <c r="A3524" s="2">
        <f>HYPERLINK("https://open-school.uspishnemisto.com.ua/school/180437/", 180437)</f>
        <v>180437</v>
      </c>
      <c r="B3524" s="3" t="s">
        <v>18466</v>
      </c>
      <c r="C3524" s="3" t="s">
        <v>54</v>
      </c>
      <c r="D3524" s="3" t="s">
        <v>175</v>
      </c>
      <c r="E3524" s="4" t="s">
        <v>22</v>
      </c>
      <c r="F3524" s="4" t="s">
        <v>16618</v>
      </c>
      <c r="G3524" s="4" t="s">
        <v>18467</v>
      </c>
      <c r="H3524" s="3" t="s">
        <v>16292</v>
      </c>
      <c r="I3524" s="3" t="s">
        <v>1684</v>
      </c>
      <c r="J3524" s="3" t="s">
        <v>18468</v>
      </c>
      <c r="K3524" s="3" t="s">
        <v>18469</v>
      </c>
      <c r="L3524" s="3"/>
      <c r="M3524" s="4"/>
      <c r="N3524" s="3" t="s">
        <v>37</v>
      </c>
      <c r="O3524" s="3" t="s">
        <v>38</v>
      </c>
      <c r="P3524" s="5">
        <v>9</v>
      </c>
      <c r="Q3524" s="5">
        <v>76</v>
      </c>
      <c r="R3524" s="5">
        <v>9</v>
      </c>
      <c r="S3524" s="5">
        <v>71</v>
      </c>
    </row>
    <row r="3525" spans="1:19" ht="42" x14ac:dyDescent="0.15">
      <c r="A3525" s="2">
        <f>HYPERLINK("https://open-school.uspishnemisto.com.ua/school/180438/", 180438)</f>
        <v>180438</v>
      </c>
      <c r="B3525" s="3" t="s">
        <v>18470</v>
      </c>
      <c r="C3525" s="3" t="s">
        <v>54</v>
      </c>
      <c r="D3525" s="3" t="s">
        <v>175</v>
      </c>
      <c r="E3525" s="4" t="s">
        <v>22</v>
      </c>
      <c r="F3525" s="4" t="s">
        <v>18471</v>
      </c>
      <c r="G3525" s="4" t="s">
        <v>18472</v>
      </c>
      <c r="H3525" s="3" t="s">
        <v>16292</v>
      </c>
      <c r="I3525" s="3" t="s">
        <v>18473</v>
      </c>
      <c r="J3525" s="3" t="s">
        <v>18474</v>
      </c>
      <c r="K3525" s="3" t="s">
        <v>18475</v>
      </c>
      <c r="L3525" s="3"/>
      <c r="M3525" s="4"/>
      <c r="N3525" s="3" t="s">
        <v>37</v>
      </c>
      <c r="O3525" s="3" t="s">
        <v>38</v>
      </c>
      <c r="P3525" s="5">
        <v>7</v>
      </c>
      <c r="Q3525" s="5">
        <v>41</v>
      </c>
      <c r="R3525" s="5">
        <v>7</v>
      </c>
      <c r="S3525" s="5">
        <v>42</v>
      </c>
    </row>
    <row r="3526" spans="1:19" ht="42" x14ac:dyDescent="0.15">
      <c r="A3526" s="2">
        <f>HYPERLINK("https://open-school.uspishnemisto.com.ua/school/180439/", 180439)</f>
        <v>180439</v>
      </c>
      <c r="B3526" s="3" t="s">
        <v>18476</v>
      </c>
      <c r="C3526" s="3" t="s">
        <v>54</v>
      </c>
      <c r="D3526" s="3" t="s">
        <v>60</v>
      </c>
      <c r="E3526" s="4" t="s">
        <v>22</v>
      </c>
      <c r="F3526" s="4" t="s">
        <v>18477</v>
      </c>
      <c r="G3526" s="4" t="s">
        <v>18478</v>
      </c>
      <c r="H3526" s="3" t="s">
        <v>16292</v>
      </c>
      <c r="I3526" s="3" t="s">
        <v>18479</v>
      </c>
      <c r="J3526" s="3" t="s">
        <v>18480</v>
      </c>
      <c r="K3526" s="3"/>
      <c r="L3526" s="3"/>
      <c r="M3526" s="4"/>
      <c r="N3526" s="3" t="s">
        <v>37</v>
      </c>
      <c r="O3526" s="3" t="s">
        <v>52</v>
      </c>
      <c r="P3526" s="5">
        <v>2</v>
      </c>
      <c r="Q3526" s="5">
        <v>15</v>
      </c>
      <c r="R3526" s="5">
        <v>1</v>
      </c>
      <c r="S3526" s="5">
        <v>11</v>
      </c>
    </row>
    <row r="3527" spans="1:19" ht="42" x14ac:dyDescent="0.15">
      <c r="A3527" s="2">
        <f>HYPERLINK("https://open-school.uspishnemisto.com.ua/school/180440/", 180440)</f>
        <v>180440</v>
      </c>
      <c r="B3527" s="3" t="s">
        <v>18481</v>
      </c>
      <c r="C3527" s="3" t="s">
        <v>54</v>
      </c>
      <c r="D3527" s="3" t="s">
        <v>32</v>
      </c>
      <c r="E3527" s="4" t="s">
        <v>22</v>
      </c>
      <c r="F3527" s="4" t="s">
        <v>18482</v>
      </c>
      <c r="G3527" s="4" t="s">
        <v>18483</v>
      </c>
      <c r="H3527" s="3" t="s">
        <v>16292</v>
      </c>
      <c r="I3527" s="3" t="s">
        <v>2359</v>
      </c>
      <c r="J3527" s="3" t="s">
        <v>18484</v>
      </c>
      <c r="K3527" s="3" t="s">
        <v>18485</v>
      </c>
      <c r="L3527" s="3"/>
      <c r="M3527" s="4"/>
      <c r="N3527" s="3" t="s">
        <v>37</v>
      </c>
      <c r="O3527" s="3" t="s">
        <v>46</v>
      </c>
      <c r="P3527" s="5">
        <v>16</v>
      </c>
      <c r="Q3527" s="5">
        <v>262</v>
      </c>
      <c r="R3527" s="5">
        <v>15</v>
      </c>
      <c r="S3527" s="5">
        <v>250</v>
      </c>
    </row>
    <row r="3528" spans="1:19" ht="28" x14ac:dyDescent="0.15">
      <c r="A3528" s="2">
        <f>HYPERLINK("https://open-school.uspishnemisto.com.ua/school/180441/", 180441)</f>
        <v>180441</v>
      </c>
      <c r="B3528" s="3" t="s">
        <v>18486</v>
      </c>
      <c r="C3528" s="3" t="s">
        <v>31</v>
      </c>
      <c r="D3528" s="3" t="s">
        <v>175</v>
      </c>
      <c r="E3528" s="4" t="s">
        <v>22</v>
      </c>
      <c r="F3528" s="4" t="s">
        <v>18487</v>
      </c>
      <c r="G3528" s="4" t="s">
        <v>18488</v>
      </c>
      <c r="H3528" s="3" t="s">
        <v>16292</v>
      </c>
      <c r="I3528" s="3" t="s">
        <v>2718</v>
      </c>
      <c r="J3528" s="3" t="s">
        <v>18489</v>
      </c>
      <c r="K3528" s="3" t="s">
        <v>18490</v>
      </c>
      <c r="L3528" s="3"/>
      <c r="M3528" s="4"/>
      <c r="N3528" s="3" t="s">
        <v>37</v>
      </c>
      <c r="O3528" s="3" t="s">
        <v>38</v>
      </c>
      <c r="P3528" s="5">
        <v>7</v>
      </c>
      <c r="Q3528" s="5">
        <v>45</v>
      </c>
      <c r="R3528" s="5">
        <v>9</v>
      </c>
      <c r="S3528" s="5">
        <v>48</v>
      </c>
    </row>
    <row r="3529" spans="1:19" ht="56" x14ac:dyDescent="0.15">
      <c r="A3529" s="2">
        <f>HYPERLINK("https://open-school.uspishnemisto.com.ua/school/180442/", 180442)</f>
        <v>180442</v>
      </c>
      <c r="B3529" s="3" t="s">
        <v>18491</v>
      </c>
      <c r="C3529" s="3" t="s">
        <v>54</v>
      </c>
      <c r="D3529" s="3" t="s">
        <v>32</v>
      </c>
      <c r="E3529" s="4" t="s">
        <v>22</v>
      </c>
      <c r="F3529" s="4" t="s">
        <v>18492</v>
      </c>
      <c r="G3529" s="4" t="s">
        <v>18493</v>
      </c>
      <c r="H3529" s="3" t="s">
        <v>16292</v>
      </c>
      <c r="I3529" s="3" t="s">
        <v>18494</v>
      </c>
      <c r="J3529" s="3" t="s">
        <v>726</v>
      </c>
      <c r="K3529" s="3" t="s">
        <v>18495</v>
      </c>
      <c r="L3529" s="3"/>
      <c r="M3529" s="4"/>
      <c r="N3529" s="3" t="s">
        <v>37</v>
      </c>
      <c r="O3529" s="3" t="s">
        <v>52</v>
      </c>
      <c r="P3529" s="5">
        <v>9</v>
      </c>
      <c r="Q3529" s="5">
        <v>70</v>
      </c>
      <c r="R3529" s="5">
        <v>9</v>
      </c>
      <c r="S3529" s="5">
        <v>63</v>
      </c>
    </row>
    <row r="3530" spans="1:19" ht="42" x14ac:dyDescent="0.15">
      <c r="A3530" s="2">
        <f>HYPERLINK("https://open-school.uspishnemisto.com.ua/school/180443/", 180443)</f>
        <v>180443</v>
      </c>
      <c r="B3530" s="3" t="s">
        <v>18496</v>
      </c>
      <c r="C3530" s="3" t="s">
        <v>54</v>
      </c>
      <c r="D3530" s="3" t="s">
        <v>32</v>
      </c>
      <c r="E3530" s="4" t="s">
        <v>22</v>
      </c>
      <c r="F3530" s="4" t="s">
        <v>18497</v>
      </c>
      <c r="G3530" s="4" t="s">
        <v>18498</v>
      </c>
      <c r="H3530" s="3" t="s">
        <v>16292</v>
      </c>
      <c r="I3530" s="3" t="s">
        <v>18499</v>
      </c>
      <c r="J3530" s="3" t="s">
        <v>1636</v>
      </c>
      <c r="K3530" s="3"/>
      <c r="L3530" s="3"/>
      <c r="M3530" s="4"/>
      <c r="N3530" s="3" t="s">
        <v>37</v>
      </c>
      <c r="O3530" s="3" t="s">
        <v>38</v>
      </c>
      <c r="P3530" s="5">
        <v>11</v>
      </c>
      <c r="Q3530" s="5">
        <v>95</v>
      </c>
      <c r="R3530" s="5">
        <v>11</v>
      </c>
      <c r="S3530" s="5">
        <v>101</v>
      </c>
    </row>
    <row r="3531" spans="1:19" ht="42" x14ac:dyDescent="0.15">
      <c r="A3531" s="2">
        <f>HYPERLINK("https://open-school.uspishnemisto.com.ua/school/180444/", 180444)</f>
        <v>180444</v>
      </c>
      <c r="B3531" s="3" t="s">
        <v>18500</v>
      </c>
      <c r="C3531" s="3" t="s">
        <v>54</v>
      </c>
      <c r="D3531" s="3" t="s">
        <v>32</v>
      </c>
      <c r="E3531" s="4" t="s">
        <v>22</v>
      </c>
      <c r="F3531" s="4" t="s">
        <v>18501</v>
      </c>
      <c r="G3531" s="4" t="s">
        <v>18502</v>
      </c>
      <c r="H3531" s="3" t="s">
        <v>16292</v>
      </c>
      <c r="I3531" s="3" t="s">
        <v>18503</v>
      </c>
      <c r="J3531" s="3" t="s">
        <v>18504</v>
      </c>
      <c r="K3531" s="3"/>
      <c r="L3531" s="3"/>
      <c r="M3531" s="4"/>
      <c r="N3531" s="3" t="s">
        <v>37</v>
      </c>
      <c r="O3531" s="3" t="s">
        <v>70</v>
      </c>
      <c r="P3531" s="5">
        <v>10</v>
      </c>
      <c r="Q3531" s="5">
        <v>91</v>
      </c>
      <c r="R3531" s="5">
        <v>10</v>
      </c>
      <c r="S3531" s="5">
        <v>88</v>
      </c>
    </row>
    <row r="3532" spans="1:19" ht="28" x14ac:dyDescent="0.15">
      <c r="A3532" s="2">
        <f>HYPERLINK("https://open-school.uspishnemisto.com.ua/school/180445/", 180445)</f>
        <v>180445</v>
      </c>
      <c r="B3532" s="3" t="s">
        <v>18505</v>
      </c>
      <c r="C3532" s="3" t="s">
        <v>31</v>
      </c>
      <c r="D3532" s="3" t="s">
        <v>32</v>
      </c>
      <c r="E3532" s="4" t="s">
        <v>22</v>
      </c>
      <c r="F3532" s="4" t="s">
        <v>18506</v>
      </c>
      <c r="G3532" s="4" t="s">
        <v>18507</v>
      </c>
      <c r="H3532" s="3" t="s">
        <v>16292</v>
      </c>
      <c r="I3532" s="3" t="s">
        <v>18508</v>
      </c>
      <c r="J3532" s="3" t="s">
        <v>18509</v>
      </c>
      <c r="K3532" s="3" t="s">
        <v>18510</v>
      </c>
      <c r="L3532" s="3"/>
      <c r="M3532" s="4"/>
      <c r="N3532" s="3" t="s">
        <v>37</v>
      </c>
      <c r="O3532" s="3" t="s">
        <v>70</v>
      </c>
      <c r="P3532" s="5">
        <v>5</v>
      </c>
      <c r="Q3532" s="5">
        <v>37</v>
      </c>
      <c r="R3532" s="5">
        <v>4</v>
      </c>
      <c r="S3532" s="5">
        <v>38</v>
      </c>
    </row>
    <row r="3533" spans="1:19" ht="28" x14ac:dyDescent="0.15">
      <c r="A3533" s="2">
        <f>HYPERLINK("https://open-school.uspishnemisto.com.ua/school/180446/", 180446)</f>
        <v>180446</v>
      </c>
      <c r="B3533" s="3" t="s">
        <v>18511</v>
      </c>
      <c r="C3533" s="3" t="s">
        <v>31</v>
      </c>
      <c r="D3533" s="3" t="s">
        <v>175</v>
      </c>
      <c r="E3533" s="4" t="s">
        <v>22</v>
      </c>
      <c r="F3533" s="4" t="s">
        <v>18512</v>
      </c>
      <c r="G3533" s="4" t="s">
        <v>18513</v>
      </c>
      <c r="H3533" s="3" t="s">
        <v>16292</v>
      </c>
      <c r="I3533" s="3" t="s">
        <v>1883</v>
      </c>
      <c r="J3533" s="3" t="s">
        <v>18514</v>
      </c>
      <c r="K3533" s="3" t="s">
        <v>18515</v>
      </c>
      <c r="L3533" s="3"/>
      <c r="M3533" s="4"/>
      <c r="N3533" s="3" t="s">
        <v>37</v>
      </c>
      <c r="O3533" s="3" t="s">
        <v>721</v>
      </c>
      <c r="P3533" s="5">
        <v>8</v>
      </c>
      <c r="Q3533" s="5">
        <v>53</v>
      </c>
      <c r="R3533" s="5">
        <v>9</v>
      </c>
      <c r="S3533" s="5">
        <v>55</v>
      </c>
    </row>
    <row r="3534" spans="1:19" ht="28" x14ac:dyDescent="0.15">
      <c r="A3534" s="2">
        <f>HYPERLINK("https://open-school.uspishnemisto.com.ua/school/180447/", 180447)</f>
        <v>180447</v>
      </c>
      <c r="B3534" s="3" t="s">
        <v>18516</v>
      </c>
      <c r="C3534" s="3" t="s">
        <v>31</v>
      </c>
      <c r="D3534" s="3" t="s">
        <v>175</v>
      </c>
      <c r="E3534" s="4" t="s">
        <v>22</v>
      </c>
      <c r="F3534" s="4" t="s">
        <v>18517</v>
      </c>
      <c r="G3534" s="4" t="s">
        <v>18518</v>
      </c>
      <c r="H3534" s="3" t="s">
        <v>16292</v>
      </c>
      <c r="I3534" s="3" t="s">
        <v>18519</v>
      </c>
      <c r="J3534" s="3" t="s">
        <v>18520</v>
      </c>
      <c r="K3534" s="3" t="s">
        <v>18521</v>
      </c>
      <c r="L3534" s="3"/>
      <c r="M3534" s="4"/>
      <c r="N3534" s="3" t="s">
        <v>37</v>
      </c>
      <c r="O3534" s="3" t="s">
        <v>721</v>
      </c>
      <c r="P3534" s="5">
        <v>4</v>
      </c>
      <c r="Q3534" s="5">
        <v>38</v>
      </c>
      <c r="R3534" s="5">
        <v>4</v>
      </c>
      <c r="S3534" s="5">
        <v>34</v>
      </c>
    </row>
    <row r="3535" spans="1:19" ht="28" x14ac:dyDescent="0.15">
      <c r="A3535" s="2">
        <f>HYPERLINK("https://open-school.uspishnemisto.com.ua/school/180448/", 180448)</f>
        <v>180448</v>
      </c>
      <c r="B3535" s="3" t="s">
        <v>18522</v>
      </c>
      <c r="C3535" s="3" t="s">
        <v>31</v>
      </c>
      <c r="D3535" s="3" t="s">
        <v>32</v>
      </c>
      <c r="E3535" s="4" t="s">
        <v>22</v>
      </c>
      <c r="F3535" s="4" t="s">
        <v>18523</v>
      </c>
      <c r="G3535" s="4" t="s">
        <v>18524</v>
      </c>
      <c r="H3535" s="3" t="s">
        <v>16292</v>
      </c>
      <c r="I3535" s="3" t="s">
        <v>10789</v>
      </c>
      <c r="J3535" s="3" t="s">
        <v>18525</v>
      </c>
      <c r="K3535" s="3" t="s">
        <v>18526</v>
      </c>
      <c r="L3535" s="3"/>
      <c r="M3535" s="4"/>
      <c r="N3535" s="3" t="s">
        <v>37</v>
      </c>
      <c r="O3535" s="3" t="s">
        <v>38</v>
      </c>
      <c r="P3535" s="5">
        <v>9</v>
      </c>
      <c r="Q3535" s="5">
        <v>115</v>
      </c>
      <c r="R3535" s="5">
        <v>10</v>
      </c>
      <c r="S3535" s="5">
        <v>114</v>
      </c>
    </row>
    <row r="3536" spans="1:19" ht="42" x14ac:dyDescent="0.15">
      <c r="A3536" s="2">
        <f>HYPERLINK("https://open-school.uspishnemisto.com.ua/school/180449/", 180449)</f>
        <v>180449</v>
      </c>
      <c r="B3536" s="3" t="s">
        <v>18527</v>
      </c>
      <c r="C3536" s="3" t="s">
        <v>54</v>
      </c>
      <c r="D3536" s="3" t="s">
        <v>60</v>
      </c>
      <c r="E3536" s="4" t="s">
        <v>22</v>
      </c>
      <c r="F3536" s="4" t="s">
        <v>18528</v>
      </c>
      <c r="G3536" s="4" t="s">
        <v>18529</v>
      </c>
      <c r="H3536" s="3" t="s">
        <v>16292</v>
      </c>
      <c r="I3536" s="3" t="s">
        <v>4683</v>
      </c>
      <c r="J3536" s="3" t="s">
        <v>18530</v>
      </c>
      <c r="K3536" s="3" t="s">
        <v>18531</v>
      </c>
      <c r="L3536" s="3"/>
      <c r="M3536" s="4"/>
      <c r="N3536" s="3" t="s">
        <v>37</v>
      </c>
      <c r="O3536" s="3" t="s">
        <v>52</v>
      </c>
      <c r="P3536" s="5">
        <v>2</v>
      </c>
      <c r="Q3536" s="5">
        <v>13</v>
      </c>
      <c r="R3536" s="5">
        <v>2</v>
      </c>
      <c r="S3536" s="5">
        <v>16</v>
      </c>
    </row>
    <row r="3537" spans="1:19" ht="28" x14ac:dyDescent="0.15">
      <c r="A3537" s="2">
        <f>HYPERLINK("https://open-school.uspishnemisto.com.ua/school/180450/", 180450)</f>
        <v>180450</v>
      </c>
      <c r="B3537" s="3" t="s">
        <v>18532</v>
      </c>
      <c r="C3537" s="3" t="s">
        <v>40</v>
      </c>
      <c r="D3537" s="3" t="s">
        <v>32</v>
      </c>
      <c r="E3537" s="4" t="s">
        <v>22</v>
      </c>
      <c r="F3537" s="4" t="s">
        <v>18533</v>
      </c>
      <c r="G3537" s="4" t="s">
        <v>18534</v>
      </c>
      <c r="H3537" s="3" t="s">
        <v>16292</v>
      </c>
      <c r="I3537" s="3" t="s">
        <v>18535</v>
      </c>
      <c r="J3537" s="3" t="s">
        <v>18536</v>
      </c>
      <c r="K3537" s="3" t="s">
        <v>18537</v>
      </c>
      <c r="L3537" s="3"/>
      <c r="M3537" s="4"/>
      <c r="N3537" s="3" t="s">
        <v>37</v>
      </c>
      <c r="O3537" s="3" t="s">
        <v>70</v>
      </c>
      <c r="P3537" s="5">
        <v>20</v>
      </c>
      <c r="Q3537" s="5">
        <v>399</v>
      </c>
      <c r="R3537" s="5">
        <v>20</v>
      </c>
      <c r="S3537" s="5">
        <v>392</v>
      </c>
    </row>
    <row r="3538" spans="1:19" ht="42" x14ac:dyDescent="0.15">
      <c r="A3538" s="2">
        <f>HYPERLINK("https://open-school.uspishnemisto.com.ua/school/180451/", 180451)</f>
        <v>180451</v>
      </c>
      <c r="B3538" s="3" t="s">
        <v>18538</v>
      </c>
      <c r="C3538" s="3" t="s">
        <v>54</v>
      </c>
      <c r="D3538" s="3" t="s">
        <v>32</v>
      </c>
      <c r="E3538" s="4" t="s">
        <v>22</v>
      </c>
      <c r="F3538" s="4" t="s">
        <v>18539</v>
      </c>
      <c r="G3538" s="4" t="s">
        <v>18540</v>
      </c>
      <c r="H3538" s="3" t="s">
        <v>16292</v>
      </c>
      <c r="I3538" s="3" t="s">
        <v>18541</v>
      </c>
      <c r="J3538" s="3" t="s">
        <v>466</v>
      </c>
      <c r="K3538" s="3" t="s">
        <v>18542</v>
      </c>
      <c r="L3538" s="3"/>
      <c r="M3538" s="4"/>
      <c r="N3538" s="3" t="s">
        <v>37</v>
      </c>
      <c r="O3538" s="3" t="s">
        <v>38</v>
      </c>
      <c r="P3538" s="5">
        <v>9</v>
      </c>
      <c r="Q3538" s="5">
        <v>100</v>
      </c>
      <c r="R3538" s="5">
        <v>10</v>
      </c>
      <c r="S3538" s="5">
        <v>98</v>
      </c>
    </row>
    <row r="3539" spans="1:19" ht="28" x14ac:dyDescent="0.15">
      <c r="A3539" s="2">
        <f>HYPERLINK("https://open-school.uspishnemisto.com.ua/school/180452/", 180452)</f>
        <v>180452</v>
      </c>
      <c r="B3539" s="3" t="s">
        <v>18543</v>
      </c>
      <c r="C3539" s="3" t="s">
        <v>31</v>
      </c>
      <c r="D3539" s="3" t="s">
        <v>175</v>
      </c>
      <c r="E3539" s="4" t="s">
        <v>22</v>
      </c>
      <c r="F3539" s="4" t="s">
        <v>18544</v>
      </c>
      <c r="G3539" s="4" t="s">
        <v>18545</v>
      </c>
      <c r="H3539" s="3" t="s">
        <v>16292</v>
      </c>
      <c r="I3539" s="3" t="s">
        <v>18546</v>
      </c>
      <c r="J3539" s="3" t="s">
        <v>10823</v>
      </c>
      <c r="K3539" s="3" t="s">
        <v>18547</v>
      </c>
      <c r="L3539" s="3"/>
      <c r="M3539" s="4"/>
      <c r="N3539" s="3" t="s">
        <v>37</v>
      </c>
      <c r="O3539" s="3" t="s">
        <v>38</v>
      </c>
      <c r="P3539" s="5">
        <v>3</v>
      </c>
      <c r="Q3539" s="5">
        <v>29</v>
      </c>
      <c r="R3539" s="5">
        <v>3</v>
      </c>
      <c r="S3539" s="5">
        <v>29</v>
      </c>
    </row>
    <row r="3540" spans="1:19" ht="42" x14ac:dyDescent="0.15">
      <c r="A3540" s="2">
        <f>HYPERLINK("https://open-school.uspishnemisto.com.ua/school/180453/", 180453)</f>
        <v>180453</v>
      </c>
      <c r="B3540" s="3" t="s">
        <v>18548</v>
      </c>
      <c r="C3540" s="3" t="s">
        <v>54</v>
      </c>
      <c r="D3540" s="3" t="s">
        <v>32</v>
      </c>
      <c r="E3540" s="4" t="s">
        <v>22</v>
      </c>
      <c r="F3540" s="4" t="s">
        <v>18549</v>
      </c>
      <c r="G3540" s="4" t="s">
        <v>18550</v>
      </c>
      <c r="H3540" s="3" t="s">
        <v>16292</v>
      </c>
      <c r="I3540" s="3" t="s">
        <v>5865</v>
      </c>
      <c r="J3540" s="3" t="s">
        <v>18551</v>
      </c>
      <c r="K3540" s="3" t="s">
        <v>18552</v>
      </c>
      <c r="L3540" s="3"/>
      <c r="M3540" s="4"/>
      <c r="N3540" s="3" t="s">
        <v>37</v>
      </c>
      <c r="O3540" s="3" t="s">
        <v>38</v>
      </c>
      <c r="P3540" s="5">
        <v>6</v>
      </c>
      <c r="Q3540" s="5">
        <v>61</v>
      </c>
      <c r="R3540" s="5">
        <v>8</v>
      </c>
      <c r="S3540" s="5">
        <v>70</v>
      </c>
    </row>
    <row r="3541" spans="1:19" ht="28" x14ac:dyDescent="0.15">
      <c r="A3541" s="2">
        <f>HYPERLINK("https://open-school.uspishnemisto.com.ua/school/180454/", 180454)</f>
        <v>180454</v>
      </c>
      <c r="B3541" s="3" t="s">
        <v>18553</v>
      </c>
      <c r="C3541" s="3" t="s">
        <v>31</v>
      </c>
      <c r="D3541" s="3" t="s">
        <v>32</v>
      </c>
      <c r="E3541" s="4" t="s">
        <v>22</v>
      </c>
      <c r="F3541" s="4" t="s">
        <v>18554</v>
      </c>
      <c r="G3541" s="4" t="s">
        <v>18555</v>
      </c>
      <c r="H3541" s="3" t="s">
        <v>16292</v>
      </c>
      <c r="I3541" s="3" t="s">
        <v>18556</v>
      </c>
      <c r="J3541" s="3" t="s">
        <v>566</v>
      </c>
      <c r="K3541" s="3" t="s">
        <v>18557</v>
      </c>
      <c r="L3541" s="3"/>
      <c r="M3541" s="4"/>
      <c r="N3541" s="3" t="s">
        <v>37</v>
      </c>
      <c r="O3541" s="3" t="s">
        <v>38</v>
      </c>
      <c r="P3541" s="5">
        <v>9</v>
      </c>
      <c r="Q3541" s="5">
        <v>66</v>
      </c>
      <c r="R3541" s="5">
        <v>7</v>
      </c>
      <c r="S3541" s="5">
        <v>58</v>
      </c>
    </row>
    <row r="3542" spans="1:19" ht="28" x14ac:dyDescent="0.15">
      <c r="A3542" s="2">
        <f>HYPERLINK("https://open-school.uspishnemisto.com.ua/school/180455/", 180455)</f>
        <v>180455</v>
      </c>
      <c r="B3542" s="3" t="s">
        <v>18558</v>
      </c>
      <c r="C3542" s="3" t="s">
        <v>31</v>
      </c>
      <c r="D3542" s="3" t="s">
        <v>32</v>
      </c>
      <c r="E3542" s="4" t="s">
        <v>22</v>
      </c>
      <c r="F3542" s="4" t="s">
        <v>18559</v>
      </c>
      <c r="G3542" s="4" t="s">
        <v>18560</v>
      </c>
      <c r="H3542" s="3" t="s">
        <v>16292</v>
      </c>
      <c r="I3542" s="3" t="s">
        <v>18561</v>
      </c>
      <c r="J3542" s="3" t="s">
        <v>7581</v>
      </c>
      <c r="K3542" s="3" t="s">
        <v>18562</v>
      </c>
      <c r="L3542" s="3"/>
      <c r="M3542" s="4"/>
      <c r="N3542" s="3" t="s">
        <v>37</v>
      </c>
      <c r="O3542" s="3" t="s">
        <v>52</v>
      </c>
      <c r="P3542" s="5">
        <v>6</v>
      </c>
      <c r="Q3542" s="5">
        <v>44</v>
      </c>
      <c r="R3542" s="5">
        <v>6</v>
      </c>
      <c r="S3542" s="5">
        <v>46</v>
      </c>
    </row>
    <row r="3543" spans="1:19" ht="28" x14ac:dyDescent="0.15">
      <c r="A3543" s="2">
        <f>HYPERLINK("https://open-school.uspishnemisto.com.ua/school/180456/", 180456)</f>
        <v>180456</v>
      </c>
      <c r="B3543" s="3" t="s">
        <v>18563</v>
      </c>
      <c r="C3543" s="3" t="s">
        <v>31</v>
      </c>
      <c r="D3543" s="3" t="s">
        <v>32</v>
      </c>
      <c r="E3543" s="4" t="s">
        <v>22</v>
      </c>
      <c r="F3543" s="4" t="s">
        <v>18564</v>
      </c>
      <c r="G3543" s="4" t="s">
        <v>18565</v>
      </c>
      <c r="H3543" s="3" t="s">
        <v>16292</v>
      </c>
      <c r="I3543" s="3" t="s">
        <v>18566</v>
      </c>
      <c r="J3543" s="3" t="s">
        <v>18567</v>
      </c>
      <c r="K3543" s="3" t="s">
        <v>18568</v>
      </c>
      <c r="L3543" s="3"/>
      <c r="M3543" s="4"/>
      <c r="N3543" s="3" t="s">
        <v>37</v>
      </c>
      <c r="O3543" s="3" t="s">
        <v>38</v>
      </c>
      <c r="P3543" s="5">
        <v>4</v>
      </c>
      <c r="Q3543" s="5">
        <v>46</v>
      </c>
      <c r="R3543" s="5">
        <v>5</v>
      </c>
      <c r="S3543" s="5">
        <v>49</v>
      </c>
    </row>
    <row r="3544" spans="1:19" ht="28" x14ac:dyDescent="0.15">
      <c r="A3544" s="2">
        <f>HYPERLINK("https://open-school.uspishnemisto.com.ua/school/180457/", 180457)</f>
        <v>180457</v>
      </c>
      <c r="B3544" s="3" t="s">
        <v>18569</v>
      </c>
      <c r="C3544" s="3" t="s">
        <v>31</v>
      </c>
      <c r="D3544" s="3" t="s">
        <v>32</v>
      </c>
      <c r="E3544" s="4" t="s">
        <v>22</v>
      </c>
      <c r="F3544" s="4" t="s">
        <v>18570</v>
      </c>
      <c r="G3544" s="4" t="s">
        <v>18571</v>
      </c>
      <c r="H3544" s="3" t="s">
        <v>16292</v>
      </c>
      <c r="I3544" s="3" t="s">
        <v>18572</v>
      </c>
      <c r="J3544" s="3" t="s">
        <v>479</v>
      </c>
      <c r="K3544" s="3" t="s">
        <v>18573</v>
      </c>
      <c r="L3544" s="3"/>
      <c r="M3544" s="4"/>
      <c r="N3544" s="3" t="s">
        <v>37</v>
      </c>
      <c r="O3544" s="3" t="s">
        <v>38</v>
      </c>
      <c r="P3544" s="5">
        <v>9</v>
      </c>
      <c r="Q3544" s="5">
        <v>79</v>
      </c>
      <c r="R3544" s="5">
        <v>8</v>
      </c>
      <c r="S3544" s="5">
        <v>82</v>
      </c>
    </row>
    <row r="3545" spans="1:19" ht="28" x14ac:dyDescent="0.15">
      <c r="A3545" s="2">
        <f>HYPERLINK("https://open-school.uspishnemisto.com.ua/school/180458/", 180458)</f>
        <v>180458</v>
      </c>
      <c r="B3545" s="3" t="s">
        <v>18574</v>
      </c>
      <c r="C3545" s="3" t="s">
        <v>31</v>
      </c>
      <c r="D3545" s="3" t="s">
        <v>32</v>
      </c>
      <c r="E3545" s="4" t="s">
        <v>22</v>
      </c>
      <c r="F3545" s="4" t="s">
        <v>18575</v>
      </c>
      <c r="G3545" s="4" t="s">
        <v>18576</v>
      </c>
      <c r="H3545" s="3" t="s">
        <v>16292</v>
      </c>
      <c r="I3545" s="3" t="s">
        <v>18577</v>
      </c>
      <c r="J3545" s="3" t="s">
        <v>18578</v>
      </c>
      <c r="K3545" s="3" t="s">
        <v>18579</v>
      </c>
      <c r="L3545" s="3"/>
      <c r="M3545" s="4"/>
      <c r="N3545" s="3" t="s">
        <v>37</v>
      </c>
      <c r="O3545" s="3" t="s">
        <v>38</v>
      </c>
      <c r="P3545" s="5">
        <v>8</v>
      </c>
      <c r="Q3545" s="5">
        <v>62</v>
      </c>
      <c r="R3545" s="5">
        <v>8</v>
      </c>
      <c r="S3545" s="5">
        <v>63</v>
      </c>
    </row>
    <row r="3546" spans="1:19" ht="28" x14ac:dyDescent="0.15">
      <c r="A3546" s="2">
        <f>HYPERLINK("https://open-school.uspishnemisto.com.ua/school/180459/", 180459)</f>
        <v>180459</v>
      </c>
      <c r="B3546" s="3" t="s">
        <v>18580</v>
      </c>
      <c r="C3546" s="3" t="s">
        <v>31</v>
      </c>
      <c r="D3546" s="3" t="s">
        <v>175</v>
      </c>
      <c r="E3546" s="4" t="s">
        <v>22</v>
      </c>
      <c r="F3546" s="4" t="s">
        <v>18581</v>
      </c>
      <c r="G3546" s="4" t="s">
        <v>18582</v>
      </c>
      <c r="H3546" s="3" t="s">
        <v>16292</v>
      </c>
      <c r="I3546" s="3" t="s">
        <v>8386</v>
      </c>
      <c r="J3546" s="3" t="s">
        <v>18583</v>
      </c>
      <c r="K3546" s="3"/>
      <c r="L3546" s="3"/>
      <c r="M3546" s="4"/>
      <c r="N3546" s="3"/>
      <c r="O3546" s="3"/>
      <c r="P3546" s="5">
        <v>0</v>
      </c>
      <c r="Q3546" s="5">
        <v>0</v>
      </c>
      <c r="R3546" s="5"/>
      <c r="S3546" s="5"/>
    </row>
    <row r="3547" spans="1:19" ht="28" x14ac:dyDescent="0.15">
      <c r="A3547" s="2">
        <f>HYPERLINK("https://open-school.uspishnemisto.com.ua/school/180460/", 180460)</f>
        <v>180460</v>
      </c>
      <c r="B3547" s="3" t="s">
        <v>18584</v>
      </c>
      <c r="C3547" s="3" t="s">
        <v>31</v>
      </c>
      <c r="D3547" s="3" t="s">
        <v>175</v>
      </c>
      <c r="E3547" s="4" t="s">
        <v>22</v>
      </c>
      <c r="F3547" s="4" t="s">
        <v>18585</v>
      </c>
      <c r="G3547" s="4" t="s">
        <v>18586</v>
      </c>
      <c r="H3547" s="3" t="s">
        <v>16292</v>
      </c>
      <c r="I3547" s="3" t="s">
        <v>18587</v>
      </c>
      <c r="J3547" s="3" t="s">
        <v>18588</v>
      </c>
      <c r="K3547" s="3" t="s">
        <v>18589</v>
      </c>
      <c r="L3547" s="3"/>
      <c r="M3547" s="4"/>
      <c r="N3547" s="3" t="s">
        <v>37</v>
      </c>
      <c r="O3547" s="3" t="s">
        <v>38</v>
      </c>
      <c r="P3547" s="5">
        <v>7</v>
      </c>
      <c r="Q3547" s="5">
        <v>47</v>
      </c>
      <c r="R3547" s="5">
        <v>6</v>
      </c>
      <c r="S3547" s="5">
        <v>43</v>
      </c>
    </row>
    <row r="3548" spans="1:19" ht="56" x14ac:dyDescent="0.15">
      <c r="A3548" s="2">
        <f>HYPERLINK("https://open-school.uspishnemisto.com.ua/school/180461/", 180461)</f>
        <v>180461</v>
      </c>
      <c r="B3548" s="3" t="s">
        <v>18590</v>
      </c>
      <c r="C3548" s="3" t="s">
        <v>31</v>
      </c>
      <c r="D3548" s="3" t="s">
        <v>32</v>
      </c>
      <c r="E3548" s="4" t="s">
        <v>22</v>
      </c>
      <c r="F3548" s="4" t="s">
        <v>18591</v>
      </c>
      <c r="G3548" s="4" t="s">
        <v>18592</v>
      </c>
      <c r="H3548" s="3" t="s">
        <v>16292</v>
      </c>
      <c r="I3548" s="3" t="s">
        <v>18593</v>
      </c>
      <c r="J3548" s="3" t="s">
        <v>4537</v>
      </c>
      <c r="K3548" s="3" t="s">
        <v>18594</v>
      </c>
      <c r="L3548" s="3"/>
      <c r="M3548" s="4"/>
      <c r="N3548" s="3" t="s">
        <v>37</v>
      </c>
      <c r="O3548" s="3" t="s">
        <v>70</v>
      </c>
      <c r="P3548" s="5">
        <v>30</v>
      </c>
      <c r="Q3548" s="5">
        <v>669</v>
      </c>
      <c r="R3548" s="5">
        <v>30</v>
      </c>
      <c r="S3548" s="5">
        <v>679</v>
      </c>
    </row>
    <row r="3549" spans="1:19" ht="28" x14ac:dyDescent="0.15">
      <c r="A3549" s="2">
        <f>HYPERLINK("https://open-school.uspishnemisto.com.ua/school/180462/", 180462)</f>
        <v>180462</v>
      </c>
      <c r="B3549" s="3" t="s">
        <v>18595</v>
      </c>
      <c r="C3549" s="3" t="s">
        <v>31</v>
      </c>
      <c r="D3549" s="3" t="s">
        <v>32</v>
      </c>
      <c r="E3549" s="4" t="s">
        <v>22</v>
      </c>
      <c r="F3549" s="4" t="s">
        <v>18596</v>
      </c>
      <c r="G3549" s="4" t="s">
        <v>18597</v>
      </c>
      <c r="H3549" s="3" t="s">
        <v>16292</v>
      </c>
      <c r="I3549" s="3" t="s">
        <v>18598</v>
      </c>
      <c r="J3549" s="3" t="s">
        <v>18599</v>
      </c>
      <c r="K3549" s="3" t="s">
        <v>18600</v>
      </c>
      <c r="L3549" s="3"/>
      <c r="M3549" s="4"/>
      <c r="N3549" s="3" t="s">
        <v>37</v>
      </c>
      <c r="O3549" s="3" t="s">
        <v>70</v>
      </c>
      <c r="P3549" s="5">
        <v>5</v>
      </c>
      <c r="Q3549" s="5">
        <v>58</v>
      </c>
      <c r="R3549" s="5">
        <v>6</v>
      </c>
      <c r="S3549" s="5">
        <v>63</v>
      </c>
    </row>
    <row r="3550" spans="1:19" ht="28" x14ac:dyDescent="0.15">
      <c r="A3550" s="2">
        <f>HYPERLINK("https://open-school.uspishnemisto.com.ua/school/180463/", 180463)</f>
        <v>180463</v>
      </c>
      <c r="B3550" s="3" t="s">
        <v>18601</v>
      </c>
      <c r="C3550" s="3" t="s">
        <v>31</v>
      </c>
      <c r="D3550" s="3" t="s">
        <v>175</v>
      </c>
      <c r="E3550" s="4" t="s">
        <v>22</v>
      </c>
      <c r="F3550" s="4" t="s">
        <v>18602</v>
      </c>
      <c r="G3550" s="4" t="s">
        <v>18603</v>
      </c>
      <c r="H3550" s="3" t="s">
        <v>16292</v>
      </c>
      <c r="I3550" s="3" t="s">
        <v>18604</v>
      </c>
      <c r="J3550" s="3" t="s">
        <v>18605</v>
      </c>
      <c r="K3550" s="3" t="s">
        <v>18606</v>
      </c>
      <c r="L3550" s="3" t="s">
        <v>18607</v>
      </c>
      <c r="M3550" s="4"/>
      <c r="N3550" s="3" t="s">
        <v>37</v>
      </c>
      <c r="O3550" s="3" t="s">
        <v>38</v>
      </c>
      <c r="P3550" s="5">
        <v>4</v>
      </c>
      <c r="Q3550" s="5">
        <v>34</v>
      </c>
      <c r="R3550" s="5">
        <v>5</v>
      </c>
      <c r="S3550" s="5">
        <v>37</v>
      </c>
    </row>
    <row r="3551" spans="1:19" ht="28" x14ac:dyDescent="0.15">
      <c r="A3551" s="2">
        <f>HYPERLINK("https://open-school.uspishnemisto.com.ua/school/180464/", 180464)</f>
        <v>180464</v>
      </c>
      <c r="B3551" s="3" t="s">
        <v>18608</v>
      </c>
      <c r="C3551" s="3" t="s">
        <v>31</v>
      </c>
      <c r="D3551" s="3" t="s">
        <v>32</v>
      </c>
      <c r="E3551" s="4" t="s">
        <v>22</v>
      </c>
      <c r="F3551" s="4" t="s">
        <v>18609</v>
      </c>
      <c r="G3551" s="4" t="s">
        <v>18610</v>
      </c>
      <c r="H3551" s="3" t="s">
        <v>16292</v>
      </c>
      <c r="I3551" s="3" t="s">
        <v>18611</v>
      </c>
      <c r="J3551" s="3" t="s">
        <v>3494</v>
      </c>
      <c r="K3551" s="3" t="s">
        <v>18612</v>
      </c>
      <c r="L3551" s="3"/>
      <c r="M3551" s="4"/>
      <c r="N3551" s="3" t="s">
        <v>37</v>
      </c>
      <c r="O3551" s="3" t="s">
        <v>70</v>
      </c>
      <c r="P3551" s="5">
        <v>10</v>
      </c>
      <c r="Q3551" s="5">
        <v>103</v>
      </c>
      <c r="R3551" s="5">
        <v>10</v>
      </c>
      <c r="S3551" s="5">
        <v>101</v>
      </c>
    </row>
    <row r="3552" spans="1:19" ht="42" x14ac:dyDescent="0.15">
      <c r="A3552" s="2">
        <f>HYPERLINK("https://open-school.uspishnemisto.com.ua/school/180465/", 180465)</f>
        <v>180465</v>
      </c>
      <c r="B3552" s="3" t="s">
        <v>18613</v>
      </c>
      <c r="C3552" s="3" t="s">
        <v>31</v>
      </c>
      <c r="D3552" s="3" t="s">
        <v>175</v>
      </c>
      <c r="E3552" s="4" t="s">
        <v>22</v>
      </c>
      <c r="F3552" s="4" t="s">
        <v>18614</v>
      </c>
      <c r="G3552" s="4" t="s">
        <v>18615</v>
      </c>
      <c r="H3552" s="3" t="s">
        <v>16292</v>
      </c>
      <c r="I3552" s="3" t="s">
        <v>18616</v>
      </c>
      <c r="J3552" s="3" t="s">
        <v>18617</v>
      </c>
      <c r="K3552" s="3" t="s">
        <v>18618</v>
      </c>
      <c r="L3552" s="3"/>
      <c r="M3552" s="4"/>
      <c r="N3552" s="3" t="s">
        <v>37</v>
      </c>
      <c r="O3552" s="3" t="s">
        <v>38</v>
      </c>
      <c r="P3552" s="5">
        <v>9</v>
      </c>
      <c r="Q3552" s="5">
        <v>67</v>
      </c>
      <c r="R3552" s="5">
        <v>9</v>
      </c>
      <c r="S3552" s="5">
        <v>68</v>
      </c>
    </row>
    <row r="3553" spans="1:19" ht="28" x14ac:dyDescent="0.15">
      <c r="A3553" s="2">
        <f>HYPERLINK("https://open-school.uspishnemisto.com.ua/school/180466/", 180466)</f>
        <v>180466</v>
      </c>
      <c r="B3553" s="3" t="s">
        <v>18619</v>
      </c>
      <c r="C3553" s="3" t="s">
        <v>31</v>
      </c>
      <c r="D3553" s="3" t="s">
        <v>32</v>
      </c>
      <c r="E3553" s="4" t="s">
        <v>22</v>
      </c>
      <c r="F3553" s="4" t="s">
        <v>18620</v>
      </c>
      <c r="G3553" s="4" t="s">
        <v>18621</v>
      </c>
      <c r="H3553" s="3" t="s">
        <v>16292</v>
      </c>
      <c r="I3553" s="3" t="s">
        <v>18622</v>
      </c>
      <c r="J3553" s="3" t="s">
        <v>18623</v>
      </c>
      <c r="K3553" s="3" t="s">
        <v>18624</v>
      </c>
      <c r="L3553" s="3"/>
      <c r="M3553" s="4"/>
      <c r="N3553" s="3" t="s">
        <v>37</v>
      </c>
      <c r="O3553" s="3" t="s">
        <v>38</v>
      </c>
      <c r="P3553" s="5">
        <v>11</v>
      </c>
      <c r="Q3553" s="5">
        <v>164</v>
      </c>
      <c r="R3553" s="5">
        <v>11</v>
      </c>
      <c r="S3553" s="5">
        <v>159</v>
      </c>
    </row>
    <row r="3554" spans="1:19" ht="28" x14ac:dyDescent="0.15">
      <c r="A3554" s="2">
        <f>HYPERLINK("https://open-school.uspishnemisto.com.ua/school/180467/", 180467)</f>
        <v>180467</v>
      </c>
      <c r="B3554" s="3" t="s">
        <v>18625</v>
      </c>
      <c r="C3554" s="3" t="s">
        <v>31</v>
      </c>
      <c r="D3554" s="3" t="s">
        <v>32</v>
      </c>
      <c r="E3554" s="4" t="s">
        <v>22</v>
      </c>
      <c r="F3554" s="4" t="s">
        <v>18626</v>
      </c>
      <c r="G3554" s="4" t="s">
        <v>18627</v>
      </c>
      <c r="H3554" s="3" t="s">
        <v>16292</v>
      </c>
      <c r="I3554" s="3" t="s">
        <v>18628</v>
      </c>
      <c r="J3554" s="3" t="s">
        <v>566</v>
      </c>
      <c r="K3554" s="3" t="s">
        <v>18629</v>
      </c>
      <c r="L3554" s="3"/>
      <c r="M3554" s="4"/>
      <c r="N3554" s="3" t="s">
        <v>37</v>
      </c>
      <c r="O3554" s="3" t="s">
        <v>38</v>
      </c>
      <c r="P3554" s="5">
        <v>11</v>
      </c>
      <c r="Q3554" s="5">
        <v>153</v>
      </c>
      <c r="R3554" s="5">
        <v>11</v>
      </c>
      <c r="S3554" s="5">
        <v>160</v>
      </c>
    </row>
    <row r="3555" spans="1:19" ht="28" x14ac:dyDescent="0.15">
      <c r="A3555" s="2">
        <f>HYPERLINK("https://open-school.uspishnemisto.com.ua/school/180468/", 180468)</f>
        <v>180468</v>
      </c>
      <c r="B3555" s="3" t="s">
        <v>18630</v>
      </c>
      <c r="C3555" s="3" t="s">
        <v>31</v>
      </c>
      <c r="D3555" s="3" t="s">
        <v>175</v>
      </c>
      <c r="E3555" s="4" t="s">
        <v>22</v>
      </c>
      <c r="F3555" s="4" t="s">
        <v>18631</v>
      </c>
      <c r="G3555" s="4" t="s">
        <v>18632</v>
      </c>
      <c r="H3555" s="3" t="s">
        <v>16292</v>
      </c>
      <c r="I3555" s="3" t="s">
        <v>18633</v>
      </c>
      <c r="J3555" s="3" t="s">
        <v>15139</v>
      </c>
      <c r="K3555" s="3" t="s">
        <v>18634</v>
      </c>
      <c r="L3555" s="3" t="s">
        <v>18635</v>
      </c>
      <c r="M3555" s="4"/>
      <c r="N3555" s="3" t="s">
        <v>37</v>
      </c>
      <c r="O3555" s="3" t="s">
        <v>38</v>
      </c>
      <c r="P3555" s="5">
        <v>5</v>
      </c>
      <c r="Q3555" s="5">
        <v>40</v>
      </c>
      <c r="R3555" s="5">
        <v>5</v>
      </c>
      <c r="S3555" s="5">
        <v>41</v>
      </c>
    </row>
    <row r="3556" spans="1:19" ht="28" x14ac:dyDescent="0.15">
      <c r="A3556" s="2">
        <f>HYPERLINK("https://open-school.uspishnemisto.com.ua/school/180469/", 180469)</f>
        <v>180469</v>
      </c>
      <c r="B3556" s="3" t="s">
        <v>18636</v>
      </c>
      <c r="C3556" s="3" t="s">
        <v>31</v>
      </c>
      <c r="D3556" s="3" t="s">
        <v>60</v>
      </c>
      <c r="E3556" s="4" t="s">
        <v>22</v>
      </c>
      <c r="F3556" s="4" t="s">
        <v>18637</v>
      </c>
      <c r="G3556" s="4" t="s">
        <v>18638</v>
      </c>
      <c r="H3556" s="3" t="s">
        <v>16292</v>
      </c>
      <c r="I3556" s="3" t="s">
        <v>11929</v>
      </c>
      <c r="J3556" s="3" t="s">
        <v>18639</v>
      </c>
      <c r="K3556" s="3" t="s">
        <v>18640</v>
      </c>
      <c r="L3556" s="3"/>
      <c r="M3556" s="4"/>
      <c r="N3556" s="3" t="s">
        <v>37</v>
      </c>
      <c r="O3556" s="3" t="s">
        <v>52</v>
      </c>
      <c r="P3556" s="5">
        <v>0</v>
      </c>
      <c r="Q3556" s="5">
        <v>5</v>
      </c>
      <c r="R3556" s="5">
        <v>0</v>
      </c>
      <c r="S3556" s="5">
        <v>8</v>
      </c>
    </row>
    <row r="3557" spans="1:19" ht="28" x14ac:dyDescent="0.15">
      <c r="A3557" s="2">
        <f>HYPERLINK("https://open-school.uspishnemisto.com.ua/school/180470/", 180470)</f>
        <v>180470</v>
      </c>
      <c r="B3557" s="3" t="s">
        <v>18641</v>
      </c>
      <c r="C3557" s="3" t="s">
        <v>31</v>
      </c>
      <c r="D3557" s="3" t="s">
        <v>32</v>
      </c>
      <c r="E3557" s="4" t="s">
        <v>22</v>
      </c>
      <c r="F3557" s="4" t="s">
        <v>18642</v>
      </c>
      <c r="G3557" s="4" t="s">
        <v>18643</v>
      </c>
      <c r="H3557" s="3" t="s">
        <v>16292</v>
      </c>
      <c r="I3557" s="3" t="s">
        <v>18644</v>
      </c>
      <c r="J3557" s="3" t="s">
        <v>18645</v>
      </c>
      <c r="K3557" s="3" t="s">
        <v>18646</v>
      </c>
      <c r="L3557" s="3"/>
      <c r="M3557" s="4"/>
      <c r="N3557" s="3" t="s">
        <v>37</v>
      </c>
      <c r="O3557" s="3" t="s">
        <v>2740</v>
      </c>
      <c r="P3557" s="5">
        <v>9</v>
      </c>
      <c r="Q3557" s="5">
        <v>69</v>
      </c>
      <c r="R3557" s="5">
        <v>10</v>
      </c>
      <c r="S3557" s="5">
        <v>74</v>
      </c>
    </row>
    <row r="3558" spans="1:19" ht="28" x14ac:dyDescent="0.15">
      <c r="A3558" s="2">
        <f>HYPERLINK("https://open-school.uspishnemisto.com.ua/school/180471/", 180471)</f>
        <v>180471</v>
      </c>
      <c r="B3558" s="3" t="s">
        <v>18647</v>
      </c>
      <c r="C3558" s="3" t="s">
        <v>31</v>
      </c>
      <c r="D3558" s="3" t="s">
        <v>175</v>
      </c>
      <c r="E3558" s="4" t="s">
        <v>22</v>
      </c>
      <c r="F3558" s="4" t="s">
        <v>18648</v>
      </c>
      <c r="G3558" s="4" t="s">
        <v>18649</v>
      </c>
      <c r="H3558" s="3" t="s">
        <v>16292</v>
      </c>
      <c r="I3558" s="3" t="s">
        <v>12816</v>
      </c>
      <c r="J3558" s="3" t="s">
        <v>18650</v>
      </c>
      <c r="K3558" s="3" t="s">
        <v>18651</v>
      </c>
      <c r="L3558" s="3" t="s">
        <v>18652</v>
      </c>
      <c r="M3558" s="4"/>
      <c r="N3558" s="3" t="s">
        <v>37</v>
      </c>
      <c r="O3558" s="3" t="s">
        <v>38</v>
      </c>
      <c r="P3558" s="5">
        <v>4</v>
      </c>
      <c r="Q3558" s="5">
        <v>38</v>
      </c>
      <c r="R3558" s="5">
        <v>5</v>
      </c>
      <c r="S3558" s="5">
        <v>33</v>
      </c>
    </row>
    <row r="3559" spans="1:19" ht="28" x14ac:dyDescent="0.15">
      <c r="A3559" s="2">
        <f>HYPERLINK("https://open-school.uspishnemisto.com.ua/school/180472/", 180472)</f>
        <v>180472</v>
      </c>
      <c r="B3559" s="3" t="s">
        <v>18653</v>
      </c>
      <c r="C3559" s="3" t="s">
        <v>31</v>
      </c>
      <c r="D3559" s="3" t="s">
        <v>32</v>
      </c>
      <c r="E3559" s="4" t="s">
        <v>22</v>
      </c>
      <c r="F3559" s="4" t="s">
        <v>18654</v>
      </c>
      <c r="G3559" s="4" t="s">
        <v>18655</v>
      </c>
      <c r="H3559" s="3" t="s">
        <v>16292</v>
      </c>
      <c r="I3559" s="3" t="s">
        <v>18656</v>
      </c>
      <c r="J3559" s="3" t="s">
        <v>18657</v>
      </c>
      <c r="K3559" s="3" t="s">
        <v>18658</v>
      </c>
      <c r="L3559" s="3" t="s">
        <v>18659</v>
      </c>
      <c r="M3559" s="4"/>
      <c r="N3559" s="3" t="s">
        <v>37</v>
      </c>
      <c r="O3559" s="3" t="s">
        <v>38</v>
      </c>
      <c r="P3559" s="5">
        <v>10</v>
      </c>
      <c r="Q3559" s="5">
        <v>110</v>
      </c>
      <c r="R3559" s="5">
        <v>10</v>
      </c>
      <c r="S3559" s="5">
        <v>115</v>
      </c>
    </row>
    <row r="3560" spans="1:19" ht="42" x14ac:dyDescent="0.15">
      <c r="A3560" s="2">
        <f>HYPERLINK("https://open-school.uspishnemisto.com.ua/school/180473/", 180473)</f>
        <v>180473</v>
      </c>
      <c r="B3560" s="3" t="s">
        <v>18660</v>
      </c>
      <c r="C3560" s="3" t="s">
        <v>31</v>
      </c>
      <c r="D3560" s="3" t="s">
        <v>175</v>
      </c>
      <c r="E3560" s="4" t="s">
        <v>22</v>
      </c>
      <c r="F3560" s="4" t="s">
        <v>18661</v>
      </c>
      <c r="G3560" s="4" t="s">
        <v>18662</v>
      </c>
      <c r="H3560" s="3" t="s">
        <v>16292</v>
      </c>
      <c r="I3560" s="3" t="s">
        <v>18663</v>
      </c>
      <c r="J3560" s="3" t="s">
        <v>1606</v>
      </c>
      <c r="K3560" s="3" t="s">
        <v>18664</v>
      </c>
      <c r="L3560" s="3"/>
      <c r="M3560" s="4"/>
      <c r="N3560" s="3" t="s">
        <v>37</v>
      </c>
      <c r="O3560" s="3" t="s">
        <v>112</v>
      </c>
      <c r="P3560" s="5">
        <v>2</v>
      </c>
      <c r="Q3560" s="5">
        <v>37</v>
      </c>
      <c r="R3560" s="5">
        <v>2</v>
      </c>
      <c r="S3560" s="5">
        <v>35</v>
      </c>
    </row>
    <row r="3561" spans="1:19" ht="28" x14ac:dyDescent="0.15">
      <c r="A3561" s="2">
        <f>HYPERLINK("https://open-school.uspishnemisto.com.ua/school/180474/", 180474)</f>
        <v>180474</v>
      </c>
      <c r="B3561" s="3" t="s">
        <v>18665</v>
      </c>
      <c r="C3561" s="3" t="s">
        <v>31</v>
      </c>
      <c r="D3561" s="3" t="s">
        <v>175</v>
      </c>
      <c r="E3561" s="4" t="s">
        <v>22</v>
      </c>
      <c r="F3561" s="4" t="s">
        <v>18666</v>
      </c>
      <c r="G3561" s="4" t="s">
        <v>18667</v>
      </c>
      <c r="H3561" s="3" t="s">
        <v>16292</v>
      </c>
      <c r="I3561" s="3" t="s">
        <v>17513</v>
      </c>
      <c r="J3561" s="3" t="s">
        <v>18668</v>
      </c>
      <c r="K3561" s="3" t="s">
        <v>18669</v>
      </c>
      <c r="L3561" s="3" t="s">
        <v>18670</v>
      </c>
      <c r="M3561" s="4"/>
      <c r="N3561" s="3" t="s">
        <v>37</v>
      </c>
      <c r="O3561" s="3" t="s">
        <v>52</v>
      </c>
      <c r="P3561" s="5">
        <v>8</v>
      </c>
      <c r="Q3561" s="5">
        <v>49</v>
      </c>
      <c r="R3561" s="5">
        <v>6</v>
      </c>
      <c r="S3561" s="5">
        <v>40</v>
      </c>
    </row>
    <row r="3562" spans="1:19" ht="28" x14ac:dyDescent="0.15">
      <c r="A3562" s="2">
        <f>HYPERLINK("https://open-school.uspishnemisto.com.ua/school/180475/", 180475)</f>
        <v>180475</v>
      </c>
      <c r="B3562" s="3" t="s">
        <v>18671</v>
      </c>
      <c r="C3562" s="3" t="s">
        <v>31</v>
      </c>
      <c r="D3562" s="3" t="s">
        <v>32</v>
      </c>
      <c r="E3562" s="4" t="s">
        <v>22</v>
      </c>
      <c r="F3562" s="4" t="s">
        <v>18672</v>
      </c>
      <c r="G3562" s="4" t="s">
        <v>18673</v>
      </c>
      <c r="H3562" s="3" t="s">
        <v>16292</v>
      </c>
      <c r="I3562" s="3" t="s">
        <v>18674</v>
      </c>
      <c r="J3562" s="3" t="s">
        <v>11022</v>
      </c>
      <c r="K3562" s="3" t="s">
        <v>18675</v>
      </c>
      <c r="L3562" s="3"/>
      <c r="M3562" s="4"/>
      <c r="N3562" s="3" t="s">
        <v>37</v>
      </c>
      <c r="O3562" s="3" t="s">
        <v>112</v>
      </c>
      <c r="P3562" s="5">
        <v>5</v>
      </c>
      <c r="Q3562" s="5">
        <v>40</v>
      </c>
      <c r="R3562" s="5">
        <v>4</v>
      </c>
      <c r="S3562" s="5">
        <v>37</v>
      </c>
    </row>
    <row r="3563" spans="1:19" ht="42" x14ac:dyDescent="0.15">
      <c r="A3563" s="2">
        <f>HYPERLINK("https://open-school.uspishnemisto.com.ua/school/180476/", 180476)</f>
        <v>180476</v>
      </c>
      <c r="B3563" s="3" t="s">
        <v>18676</v>
      </c>
      <c r="C3563" s="3" t="s">
        <v>31</v>
      </c>
      <c r="D3563" s="3" t="s">
        <v>60</v>
      </c>
      <c r="E3563" s="4" t="s">
        <v>22</v>
      </c>
      <c r="F3563" s="4" t="s">
        <v>18609</v>
      </c>
      <c r="G3563" s="4" t="s">
        <v>18677</v>
      </c>
      <c r="H3563" s="3" t="s">
        <v>16292</v>
      </c>
      <c r="I3563" s="3" t="s">
        <v>5785</v>
      </c>
      <c r="J3563" s="3" t="s">
        <v>18678</v>
      </c>
      <c r="K3563" s="3" t="s">
        <v>18679</v>
      </c>
      <c r="L3563" s="3"/>
      <c r="M3563" s="4"/>
      <c r="N3563" s="3" t="s">
        <v>37</v>
      </c>
      <c r="O3563" s="3" t="s">
        <v>52</v>
      </c>
      <c r="P3563" s="5">
        <v>0</v>
      </c>
      <c r="Q3563" s="5">
        <v>0</v>
      </c>
      <c r="R3563" s="5">
        <v>0</v>
      </c>
      <c r="S3563" s="5">
        <v>7</v>
      </c>
    </row>
    <row r="3564" spans="1:19" ht="42" x14ac:dyDescent="0.15">
      <c r="A3564" s="2">
        <f>HYPERLINK("https://open-school.uspishnemisto.com.ua/school/180477/", 180477)</f>
        <v>180477</v>
      </c>
      <c r="B3564" s="3" t="s">
        <v>18680</v>
      </c>
      <c r="C3564" s="3" t="s">
        <v>31</v>
      </c>
      <c r="D3564" s="3" t="s">
        <v>32</v>
      </c>
      <c r="E3564" s="4" t="s">
        <v>22</v>
      </c>
      <c r="F3564" s="4" t="s">
        <v>18681</v>
      </c>
      <c r="G3564" s="4" t="s">
        <v>18682</v>
      </c>
      <c r="H3564" s="3" t="s">
        <v>16292</v>
      </c>
      <c r="I3564" s="3" t="s">
        <v>18683</v>
      </c>
      <c r="J3564" s="3" t="s">
        <v>11043</v>
      </c>
      <c r="K3564" s="3" t="s">
        <v>18684</v>
      </c>
      <c r="L3564" s="3"/>
      <c r="M3564" s="4"/>
      <c r="N3564" s="3" t="s">
        <v>37</v>
      </c>
      <c r="O3564" s="3" t="s">
        <v>46</v>
      </c>
      <c r="P3564" s="5">
        <v>11</v>
      </c>
      <c r="Q3564" s="5">
        <v>144</v>
      </c>
      <c r="R3564" s="5">
        <v>11</v>
      </c>
      <c r="S3564" s="5">
        <v>154</v>
      </c>
    </row>
    <row r="3565" spans="1:19" ht="28" x14ac:dyDescent="0.15">
      <c r="A3565" s="2">
        <f>HYPERLINK("https://open-school.uspishnemisto.com.ua/school/180478/", 180478)</f>
        <v>180478</v>
      </c>
      <c r="B3565" s="3" t="s">
        <v>18685</v>
      </c>
      <c r="C3565" s="3" t="s">
        <v>31</v>
      </c>
      <c r="D3565" s="3" t="s">
        <v>32</v>
      </c>
      <c r="E3565" s="4" t="s">
        <v>22</v>
      </c>
      <c r="F3565" s="4" t="s">
        <v>18686</v>
      </c>
      <c r="G3565" s="4" t="s">
        <v>18687</v>
      </c>
      <c r="H3565" s="3" t="s">
        <v>16292</v>
      </c>
      <c r="I3565" s="3" t="s">
        <v>18688</v>
      </c>
      <c r="J3565" s="3" t="s">
        <v>18689</v>
      </c>
      <c r="K3565" s="3" t="s">
        <v>18690</v>
      </c>
      <c r="L3565" s="3"/>
      <c r="M3565" s="4"/>
      <c r="N3565" s="3" t="s">
        <v>37</v>
      </c>
      <c r="O3565" s="3" t="s">
        <v>70</v>
      </c>
      <c r="P3565" s="5">
        <v>7</v>
      </c>
      <c r="Q3565" s="5">
        <v>52</v>
      </c>
      <c r="R3565" s="5">
        <v>8</v>
      </c>
      <c r="S3565" s="5">
        <v>56</v>
      </c>
    </row>
    <row r="3566" spans="1:19" ht="42" x14ac:dyDescent="0.15">
      <c r="A3566" s="2">
        <f>HYPERLINK("https://open-school.uspishnemisto.com.ua/school/180479/", 180479)</f>
        <v>180479</v>
      </c>
      <c r="B3566" s="3" t="s">
        <v>18691</v>
      </c>
      <c r="C3566" s="3" t="s">
        <v>31</v>
      </c>
      <c r="D3566" s="3" t="s">
        <v>32</v>
      </c>
      <c r="E3566" s="4" t="s">
        <v>22</v>
      </c>
      <c r="F3566" s="4" t="s">
        <v>18692</v>
      </c>
      <c r="G3566" s="4" t="s">
        <v>18693</v>
      </c>
      <c r="H3566" s="3" t="s">
        <v>16292</v>
      </c>
      <c r="I3566" s="3" t="s">
        <v>18694</v>
      </c>
      <c r="J3566" s="3" t="s">
        <v>2687</v>
      </c>
      <c r="K3566" s="3" t="s">
        <v>18695</v>
      </c>
      <c r="L3566" s="3"/>
      <c r="M3566" s="4"/>
      <c r="N3566" s="3" t="s">
        <v>37</v>
      </c>
      <c r="O3566" s="3" t="s">
        <v>46</v>
      </c>
      <c r="P3566" s="5">
        <v>9</v>
      </c>
      <c r="Q3566" s="5">
        <v>62</v>
      </c>
      <c r="R3566" s="5">
        <v>7</v>
      </c>
      <c r="S3566" s="5">
        <v>59</v>
      </c>
    </row>
    <row r="3567" spans="1:19" ht="42" x14ac:dyDescent="0.15">
      <c r="A3567" s="2">
        <f>HYPERLINK("https://open-school.uspishnemisto.com.ua/school/180480/", 180480)</f>
        <v>180480</v>
      </c>
      <c r="B3567" s="3" t="s">
        <v>18696</v>
      </c>
      <c r="C3567" s="3" t="s">
        <v>31</v>
      </c>
      <c r="D3567" s="3" t="s">
        <v>175</v>
      </c>
      <c r="E3567" s="4" t="s">
        <v>22</v>
      </c>
      <c r="F3567" s="4" t="s">
        <v>18697</v>
      </c>
      <c r="G3567" s="4" t="s">
        <v>18698</v>
      </c>
      <c r="H3567" s="3" t="s">
        <v>16292</v>
      </c>
      <c r="I3567" s="3" t="s">
        <v>18699</v>
      </c>
      <c r="J3567" s="3" t="s">
        <v>6394</v>
      </c>
      <c r="K3567" s="3" t="s">
        <v>18700</v>
      </c>
      <c r="L3567" s="3"/>
      <c r="M3567" s="4"/>
      <c r="N3567" s="3" t="s">
        <v>37</v>
      </c>
      <c r="O3567" s="3" t="s">
        <v>46</v>
      </c>
      <c r="P3567" s="5">
        <v>9</v>
      </c>
      <c r="Q3567" s="5">
        <v>91</v>
      </c>
      <c r="R3567" s="5">
        <v>9</v>
      </c>
      <c r="S3567" s="5">
        <v>89</v>
      </c>
    </row>
    <row r="3568" spans="1:19" ht="28" x14ac:dyDescent="0.15">
      <c r="A3568" s="2">
        <f>HYPERLINK("https://open-school.uspishnemisto.com.ua/school/180481/", 180481)</f>
        <v>180481</v>
      </c>
      <c r="B3568" s="3" t="s">
        <v>18701</v>
      </c>
      <c r="C3568" s="3" t="s">
        <v>31</v>
      </c>
      <c r="D3568" s="3" t="s">
        <v>175</v>
      </c>
      <c r="E3568" s="4" t="s">
        <v>22</v>
      </c>
      <c r="F3568" s="4" t="s">
        <v>18702</v>
      </c>
      <c r="G3568" s="4" t="s">
        <v>18703</v>
      </c>
      <c r="H3568" s="3" t="s">
        <v>16292</v>
      </c>
      <c r="I3568" s="3" t="s">
        <v>18704</v>
      </c>
      <c r="J3568" s="3" t="s">
        <v>18705</v>
      </c>
      <c r="K3568" s="3" t="s">
        <v>18706</v>
      </c>
      <c r="L3568" s="3" t="s">
        <v>18707</v>
      </c>
      <c r="M3568" s="4"/>
      <c r="N3568" s="3" t="s">
        <v>37</v>
      </c>
      <c r="O3568" s="3" t="s">
        <v>112</v>
      </c>
      <c r="P3568" s="5">
        <v>1</v>
      </c>
      <c r="Q3568" s="5">
        <v>26</v>
      </c>
      <c r="R3568" s="5">
        <v>2</v>
      </c>
      <c r="S3568" s="5">
        <v>26</v>
      </c>
    </row>
    <row r="3569" spans="1:19" ht="42" x14ac:dyDescent="0.15">
      <c r="A3569" s="2">
        <f>HYPERLINK("https://open-school.uspishnemisto.com.ua/school/180482/", 180482)</f>
        <v>180482</v>
      </c>
      <c r="B3569" s="3" t="s">
        <v>18708</v>
      </c>
      <c r="C3569" s="3" t="s">
        <v>31</v>
      </c>
      <c r="D3569" s="3" t="s">
        <v>175</v>
      </c>
      <c r="E3569" s="4" t="s">
        <v>22</v>
      </c>
      <c r="F3569" s="4" t="s">
        <v>18702</v>
      </c>
      <c r="G3569" s="4" t="s">
        <v>18709</v>
      </c>
      <c r="H3569" s="3" t="s">
        <v>16292</v>
      </c>
      <c r="I3569" s="3" t="s">
        <v>18710</v>
      </c>
      <c r="J3569" s="3" t="s">
        <v>18711</v>
      </c>
      <c r="K3569" s="3" t="s">
        <v>18712</v>
      </c>
      <c r="L3569" s="3"/>
      <c r="M3569" s="4"/>
      <c r="N3569" s="3" t="s">
        <v>37</v>
      </c>
      <c r="O3569" s="3" t="s">
        <v>46</v>
      </c>
      <c r="P3569" s="5">
        <v>3</v>
      </c>
      <c r="Q3569" s="5">
        <v>38</v>
      </c>
      <c r="R3569" s="5">
        <v>5</v>
      </c>
      <c r="S3569" s="5">
        <v>43</v>
      </c>
    </row>
    <row r="3570" spans="1:19" ht="28" x14ac:dyDescent="0.15">
      <c r="A3570" s="2">
        <f>HYPERLINK("https://open-school.uspishnemisto.com.ua/school/180483/", 180483)</f>
        <v>180483</v>
      </c>
      <c r="B3570" s="3" t="s">
        <v>18713</v>
      </c>
      <c r="C3570" s="3" t="s">
        <v>31</v>
      </c>
      <c r="D3570" s="3" t="s">
        <v>175</v>
      </c>
      <c r="E3570" s="4" t="s">
        <v>22</v>
      </c>
      <c r="F3570" s="4" t="s">
        <v>18714</v>
      </c>
      <c r="G3570" s="4" t="s">
        <v>18715</v>
      </c>
      <c r="H3570" s="3" t="s">
        <v>16292</v>
      </c>
      <c r="I3570" s="3" t="s">
        <v>3178</v>
      </c>
      <c r="J3570" s="3" t="s">
        <v>466</v>
      </c>
      <c r="K3570" s="3" t="s">
        <v>18716</v>
      </c>
      <c r="L3570" s="3"/>
      <c r="M3570" s="4"/>
      <c r="N3570" s="3" t="s">
        <v>37</v>
      </c>
      <c r="O3570" s="3" t="s">
        <v>46</v>
      </c>
      <c r="P3570" s="5">
        <v>7</v>
      </c>
      <c r="Q3570" s="5">
        <v>61</v>
      </c>
      <c r="R3570" s="5">
        <v>7</v>
      </c>
      <c r="S3570" s="5">
        <v>60</v>
      </c>
    </row>
    <row r="3571" spans="1:19" ht="42" x14ac:dyDescent="0.15">
      <c r="A3571" s="2">
        <f>HYPERLINK("https://open-school.uspishnemisto.com.ua/school/180484/", 180484)</f>
        <v>180484</v>
      </c>
      <c r="B3571" s="3" t="s">
        <v>18717</v>
      </c>
      <c r="C3571" s="3" t="s">
        <v>31</v>
      </c>
      <c r="D3571" s="3"/>
      <c r="E3571" s="4" t="s">
        <v>22</v>
      </c>
      <c r="F3571" s="4" t="s">
        <v>18718</v>
      </c>
      <c r="G3571" s="4" t="s">
        <v>18719</v>
      </c>
      <c r="H3571" s="3" t="s">
        <v>16292</v>
      </c>
      <c r="I3571" s="3" t="s">
        <v>18720</v>
      </c>
      <c r="J3571" s="3" t="s">
        <v>3244</v>
      </c>
      <c r="K3571" s="3" t="s">
        <v>18721</v>
      </c>
      <c r="L3571" s="3"/>
      <c r="M3571" s="4"/>
      <c r="N3571" s="3" t="s">
        <v>37</v>
      </c>
      <c r="O3571" s="3" t="s">
        <v>52</v>
      </c>
      <c r="P3571" s="5">
        <v>0</v>
      </c>
      <c r="Q3571" s="5">
        <v>0</v>
      </c>
      <c r="R3571" s="5">
        <v>5</v>
      </c>
      <c r="S3571" s="5">
        <v>51</v>
      </c>
    </row>
    <row r="3572" spans="1:19" ht="42" x14ac:dyDescent="0.15">
      <c r="A3572" s="2">
        <f>HYPERLINK("https://open-school.uspishnemisto.com.ua/school/180485/", 180485)</f>
        <v>180485</v>
      </c>
      <c r="B3572" s="3" t="s">
        <v>18722</v>
      </c>
      <c r="C3572" s="3" t="s">
        <v>31</v>
      </c>
      <c r="D3572" s="3" t="s">
        <v>60</v>
      </c>
      <c r="E3572" s="4" t="s">
        <v>22</v>
      </c>
      <c r="F3572" s="4" t="s">
        <v>18723</v>
      </c>
      <c r="G3572" s="4" t="s">
        <v>18724</v>
      </c>
      <c r="H3572" s="3" t="s">
        <v>16292</v>
      </c>
      <c r="I3572" s="3" t="s">
        <v>18725</v>
      </c>
      <c r="J3572" s="3" t="s">
        <v>18726</v>
      </c>
      <c r="K3572" s="3" t="s">
        <v>18727</v>
      </c>
      <c r="L3572" s="3"/>
      <c r="M3572" s="4"/>
      <c r="N3572" s="3" t="s">
        <v>37</v>
      </c>
      <c r="O3572" s="3" t="s">
        <v>618</v>
      </c>
      <c r="P3572" s="5">
        <v>1</v>
      </c>
      <c r="Q3572" s="5">
        <v>14</v>
      </c>
      <c r="R3572" s="5">
        <v>2</v>
      </c>
      <c r="S3572" s="5">
        <v>17</v>
      </c>
    </row>
    <row r="3573" spans="1:19" ht="28" x14ac:dyDescent="0.15">
      <c r="A3573" s="2">
        <f>HYPERLINK("https://open-school.uspishnemisto.com.ua/school/180486/", 180486)</f>
        <v>180486</v>
      </c>
      <c r="B3573" s="3" t="s">
        <v>18728</v>
      </c>
      <c r="C3573" s="3" t="s">
        <v>31</v>
      </c>
      <c r="D3573" s="3" t="s">
        <v>60</v>
      </c>
      <c r="E3573" s="4" t="s">
        <v>22</v>
      </c>
      <c r="F3573" s="4" t="s">
        <v>18729</v>
      </c>
      <c r="G3573" s="4" t="s">
        <v>18730</v>
      </c>
      <c r="H3573" s="3" t="s">
        <v>16292</v>
      </c>
      <c r="I3573" s="3" t="s">
        <v>18731</v>
      </c>
      <c r="J3573" s="3" t="s">
        <v>792</v>
      </c>
      <c r="K3573" s="3" t="s">
        <v>18732</v>
      </c>
      <c r="L3573" s="3"/>
      <c r="M3573" s="4"/>
      <c r="N3573" s="3" t="s">
        <v>37</v>
      </c>
      <c r="O3573" s="3" t="s">
        <v>52</v>
      </c>
      <c r="P3573" s="5">
        <v>1</v>
      </c>
      <c r="Q3573" s="5">
        <v>16</v>
      </c>
      <c r="R3573" s="5">
        <v>1</v>
      </c>
      <c r="S3573" s="5">
        <v>16</v>
      </c>
    </row>
    <row r="3574" spans="1:19" ht="28" x14ac:dyDescent="0.15">
      <c r="A3574" s="2">
        <f>HYPERLINK("https://open-school.uspishnemisto.com.ua/school/180487/", 180487)</f>
        <v>180487</v>
      </c>
      <c r="B3574" s="3" t="s">
        <v>18733</v>
      </c>
      <c r="C3574" s="3" t="s">
        <v>31</v>
      </c>
      <c r="D3574" s="3" t="s">
        <v>60</v>
      </c>
      <c r="E3574" s="4" t="s">
        <v>22</v>
      </c>
      <c r="F3574" s="4" t="s">
        <v>16635</v>
      </c>
      <c r="G3574" s="4" t="s">
        <v>18734</v>
      </c>
      <c r="H3574" s="3" t="s">
        <v>16292</v>
      </c>
      <c r="I3574" s="3" t="s">
        <v>18735</v>
      </c>
      <c r="J3574" s="3" t="s">
        <v>4062</v>
      </c>
      <c r="K3574" s="3" t="s">
        <v>18736</v>
      </c>
      <c r="L3574" s="3"/>
      <c r="M3574" s="4"/>
      <c r="N3574" s="3" t="s">
        <v>37</v>
      </c>
      <c r="O3574" s="3" t="s">
        <v>52</v>
      </c>
      <c r="P3574" s="5">
        <v>1</v>
      </c>
      <c r="Q3574" s="5">
        <v>14</v>
      </c>
      <c r="R3574" s="5">
        <v>1</v>
      </c>
      <c r="S3574" s="5">
        <v>13</v>
      </c>
    </row>
    <row r="3575" spans="1:19" ht="28" x14ac:dyDescent="0.15">
      <c r="A3575" s="2">
        <f>HYPERLINK("https://open-school.uspishnemisto.com.ua/school/180488/", 180488)</f>
        <v>180488</v>
      </c>
      <c r="B3575" s="3" t="s">
        <v>18737</v>
      </c>
      <c r="C3575" s="3" t="s">
        <v>31</v>
      </c>
      <c r="D3575" s="3" t="s">
        <v>175</v>
      </c>
      <c r="E3575" s="4" t="s">
        <v>22</v>
      </c>
      <c r="F3575" s="4" t="s">
        <v>18738</v>
      </c>
      <c r="G3575" s="4" t="s">
        <v>18739</v>
      </c>
      <c r="H3575" s="3" t="s">
        <v>16292</v>
      </c>
      <c r="I3575" s="3" t="s">
        <v>18740</v>
      </c>
      <c r="J3575" s="3" t="s">
        <v>447</v>
      </c>
      <c r="K3575" s="3" t="s">
        <v>18741</v>
      </c>
      <c r="L3575" s="3" t="s">
        <v>18742</v>
      </c>
      <c r="M3575" s="4"/>
      <c r="N3575" s="3" t="s">
        <v>37</v>
      </c>
      <c r="O3575" s="3" t="s">
        <v>46</v>
      </c>
      <c r="P3575" s="5">
        <v>2</v>
      </c>
      <c r="Q3575" s="5">
        <v>27</v>
      </c>
      <c r="R3575" s="5">
        <v>4</v>
      </c>
      <c r="S3575" s="5">
        <v>34</v>
      </c>
    </row>
    <row r="3576" spans="1:19" ht="28" x14ac:dyDescent="0.15">
      <c r="A3576" s="2">
        <f>HYPERLINK("https://open-school.uspishnemisto.com.ua/school/180489/", 180489)</f>
        <v>180489</v>
      </c>
      <c r="B3576" s="3" t="s">
        <v>18743</v>
      </c>
      <c r="C3576" s="3" t="s">
        <v>31</v>
      </c>
      <c r="D3576" s="3" t="s">
        <v>175</v>
      </c>
      <c r="E3576" s="4" t="s">
        <v>22</v>
      </c>
      <c r="F3576" s="4" t="s">
        <v>18744</v>
      </c>
      <c r="G3576" s="4" t="s">
        <v>18745</v>
      </c>
      <c r="H3576" s="3" t="s">
        <v>16292</v>
      </c>
      <c r="I3576" s="3" t="s">
        <v>18746</v>
      </c>
      <c r="J3576" s="3" t="s">
        <v>18747</v>
      </c>
      <c r="K3576" s="3" t="s">
        <v>18748</v>
      </c>
      <c r="L3576" s="3" t="s">
        <v>18749</v>
      </c>
      <c r="M3576" s="4"/>
      <c r="N3576" s="3" t="s">
        <v>37</v>
      </c>
      <c r="O3576" s="3" t="s">
        <v>38</v>
      </c>
      <c r="P3576" s="5">
        <v>9</v>
      </c>
      <c r="Q3576" s="5">
        <v>123</v>
      </c>
      <c r="R3576" s="5">
        <v>9</v>
      </c>
      <c r="S3576" s="5">
        <v>122</v>
      </c>
    </row>
    <row r="3577" spans="1:19" ht="28" x14ac:dyDescent="0.15">
      <c r="A3577" s="2">
        <f>HYPERLINK("https://open-school.uspishnemisto.com.ua/school/180490/", 180490)</f>
        <v>180490</v>
      </c>
      <c r="B3577" s="3" t="s">
        <v>18750</v>
      </c>
      <c r="C3577" s="3" t="s">
        <v>31</v>
      </c>
      <c r="D3577" s="3" t="s">
        <v>32</v>
      </c>
      <c r="E3577" s="4" t="s">
        <v>22</v>
      </c>
      <c r="F3577" s="4" t="s">
        <v>18751</v>
      </c>
      <c r="G3577" s="4" t="s">
        <v>18752</v>
      </c>
      <c r="H3577" s="3" t="s">
        <v>16292</v>
      </c>
      <c r="I3577" s="3" t="s">
        <v>18753</v>
      </c>
      <c r="J3577" s="3" t="s">
        <v>2180</v>
      </c>
      <c r="K3577" s="3" t="s">
        <v>18754</v>
      </c>
      <c r="L3577" s="3"/>
      <c r="M3577" s="4"/>
      <c r="N3577" s="3" t="s">
        <v>37</v>
      </c>
      <c r="O3577" s="3" t="s">
        <v>38</v>
      </c>
      <c r="P3577" s="5">
        <v>11</v>
      </c>
      <c r="Q3577" s="5">
        <v>114</v>
      </c>
      <c r="R3577" s="5">
        <v>11</v>
      </c>
      <c r="S3577" s="5">
        <v>110</v>
      </c>
    </row>
    <row r="3578" spans="1:19" ht="28" x14ac:dyDescent="0.15">
      <c r="A3578" s="2">
        <f>HYPERLINK("https://open-school.uspishnemisto.com.ua/school/180491/", 180491)</f>
        <v>180491</v>
      </c>
      <c r="B3578" s="3" t="s">
        <v>18755</v>
      </c>
      <c r="C3578" s="3" t="s">
        <v>31</v>
      </c>
      <c r="D3578" s="3" t="s">
        <v>32</v>
      </c>
      <c r="E3578" s="4" t="s">
        <v>22</v>
      </c>
      <c r="F3578" s="4" t="s">
        <v>18756</v>
      </c>
      <c r="G3578" s="4" t="s">
        <v>18757</v>
      </c>
      <c r="H3578" s="3" t="s">
        <v>16292</v>
      </c>
      <c r="I3578" s="3" t="s">
        <v>18758</v>
      </c>
      <c r="J3578" s="3" t="s">
        <v>2601</v>
      </c>
      <c r="K3578" s="3" t="s">
        <v>18759</v>
      </c>
      <c r="L3578" s="3"/>
      <c r="M3578" s="4"/>
      <c r="N3578" s="3" t="s">
        <v>37</v>
      </c>
      <c r="O3578" s="3" t="s">
        <v>38</v>
      </c>
      <c r="P3578" s="5">
        <v>11</v>
      </c>
      <c r="Q3578" s="5">
        <v>193</v>
      </c>
      <c r="R3578" s="5">
        <v>11</v>
      </c>
      <c r="S3578" s="5">
        <v>179</v>
      </c>
    </row>
    <row r="3579" spans="1:19" ht="28" x14ac:dyDescent="0.15">
      <c r="A3579" s="2">
        <f>HYPERLINK("https://open-school.uspishnemisto.com.ua/school/180492/", 180492)</f>
        <v>180492</v>
      </c>
      <c r="B3579" s="3" t="s">
        <v>18760</v>
      </c>
      <c r="C3579" s="3" t="s">
        <v>40</v>
      </c>
      <c r="D3579" s="3" t="s">
        <v>32</v>
      </c>
      <c r="E3579" s="4" t="s">
        <v>22</v>
      </c>
      <c r="F3579" s="4" t="s">
        <v>18761</v>
      </c>
      <c r="G3579" s="4" t="s">
        <v>18762</v>
      </c>
      <c r="H3579" s="3" t="s">
        <v>16292</v>
      </c>
      <c r="I3579" s="3" t="s">
        <v>18763</v>
      </c>
      <c r="J3579" s="3" t="s">
        <v>18764</v>
      </c>
      <c r="K3579" s="3" t="s">
        <v>18765</v>
      </c>
      <c r="L3579" s="3" t="s">
        <v>18766</v>
      </c>
      <c r="M3579" s="4" t="s">
        <v>18767</v>
      </c>
      <c r="N3579" s="3" t="s">
        <v>37</v>
      </c>
      <c r="O3579" s="3" t="s">
        <v>52</v>
      </c>
      <c r="P3579" s="5">
        <v>11</v>
      </c>
      <c r="Q3579" s="5">
        <v>147</v>
      </c>
      <c r="R3579" s="5">
        <v>11</v>
      </c>
      <c r="S3579" s="5">
        <v>145</v>
      </c>
    </row>
    <row r="3580" spans="1:19" ht="42" x14ac:dyDescent="0.15">
      <c r="A3580" s="2">
        <f>HYPERLINK("https://open-school.uspishnemisto.com.ua/school/180493/", 180493)</f>
        <v>180493</v>
      </c>
      <c r="B3580" s="3" t="s">
        <v>18768</v>
      </c>
      <c r="C3580" s="3" t="s">
        <v>31</v>
      </c>
      <c r="D3580" s="3" t="s">
        <v>32</v>
      </c>
      <c r="E3580" s="4" t="s">
        <v>22</v>
      </c>
      <c r="F3580" s="4" t="s">
        <v>18769</v>
      </c>
      <c r="G3580" s="4" t="s">
        <v>18770</v>
      </c>
      <c r="H3580" s="3" t="s">
        <v>16292</v>
      </c>
      <c r="I3580" s="3" t="s">
        <v>18771</v>
      </c>
      <c r="J3580" s="3" t="s">
        <v>18772</v>
      </c>
      <c r="K3580" s="3" t="s">
        <v>18773</v>
      </c>
      <c r="L3580" s="3" t="s">
        <v>18774</v>
      </c>
      <c r="M3580" s="4"/>
      <c r="N3580" s="3" t="s">
        <v>37</v>
      </c>
      <c r="O3580" s="3" t="s">
        <v>46</v>
      </c>
      <c r="P3580" s="5">
        <v>10</v>
      </c>
      <c r="Q3580" s="5">
        <v>99</v>
      </c>
      <c r="R3580" s="5">
        <v>11</v>
      </c>
      <c r="S3580" s="5">
        <v>100</v>
      </c>
    </row>
    <row r="3581" spans="1:19" ht="42" x14ac:dyDescent="0.15">
      <c r="A3581" s="2">
        <f>HYPERLINK("https://open-school.uspishnemisto.com.ua/school/180494/", 180494)</f>
        <v>180494</v>
      </c>
      <c r="B3581" s="3" t="s">
        <v>18775</v>
      </c>
      <c r="C3581" s="3" t="s">
        <v>31</v>
      </c>
      <c r="D3581" s="3" t="s">
        <v>32</v>
      </c>
      <c r="E3581" s="4" t="s">
        <v>22</v>
      </c>
      <c r="F3581" s="4" t="s">
        <v>18776</v>
      </c>
      <c r="G3581" s="4" t="s">
        <v>18777</v>
      </c>
      <c r="H3581" s="3" t="s">
        <v>16292</v>
      </c>
      <c r="I3581" s="3" t="s">
        <v>18778</v>
      </c>
      <c r="J3581" s="3" t="s">
        <v>466</v>
      </c>
      <c r="K3581" s="3" t="s">
        <v>18779</v>
      </c>
      <c r="L3581" s="3" t="s">
        <v>18780</v>
      </c>
      <c r="M3581" s="4"/>
      <c r="N3581" s="3" t="s">
        <v>37</v>
      </c>
      <c r="O3581" s="3" t="s">
        <v>70</v>
      </c>
      <c r="P3581" s="5">
        <v>11</v>
      </c>
      <c r="Q3581" s="5">
        <v>180</v>
      </c>
      <c r="R3581" s="5">
        <v>11</v>
      </c>
      <c r="S3581" s="5">
        <v>193</v>
      </c>
    </row>
    <row r="3582" spans="1:19" ht="28" x14ac:dyDescent="0.15">
      <c r="A3582" s="2">
        <f>HYPERLINK("https://open-school.uspishnemisto.com.ua/school/180495/", 180495)</f>
        <v>180495</v>
      </c>
      <c r="B3582" s="3" t="s">
        <v>18781</v>
      </c>
      <c r="C3582" s="3" t="s">
        <v>31</v>
      </c>
      <c r="D3582" s="3" t="s">
        <v>32</v>
      </c>
      <c r="E3582" s="4" t="s">
        <v>22</v>
      </c>
      <c r="F3582" s="4" t="s">
        <v>18782</v>
      </c>
      <c r="G3582" s="4" t="s">
        <v>18783</v>
      </c>
      <c r="H3582" s="3" t="s">
        <v>16292</v>
      </c>
      <c r="I3582" s="3" t="s">
        <v>18784</v>
      </c>
      <c r="J3582" s="3" t="s">
        <v>6004</v>
      </c>
      <c r="K3582" s="3" t="s">
        <v>18785</v>
      </c>
      <c r="L3582" s="3" t="s">
        <v>18786</v>
      </c>
      <c r="M3582" s="4"/>
      <c r="N3582" s="3" t="s">
        <v>37</v>
      </c>
      <c r="O3582" s="3" t="s">
        <v>46</v>
      </c>
      <c r="P3582" s="5">
        <v>10</v>
      </c>
      <c r="Q3582" s="5">
        <v>101</v>
      </c>
      <c r="R3582" s="5">
        <v>10</v>
      </c>
      <c r="S3582" s="5">
        <v>99</v>
      </c>
    </row>
    <row r="3583" spans="1:19" ht="28" x14ac:dyDescent="0.15">
      <c r="A3583" s="2">
        <f>HYPERLINK("https://open-school.uspishnemisto.com.ua/school/180496/", 180496)</f>
        <v>180496</v>
      </c>
      <c r="B3583" s="3" t="s">
        <v>18787</v>
      </c>
      <c r="C3583" s="3" t="s">
        <v>31</v>
      </c>
      <c r="D3583" s="3" t="s">
        <v>32</v>
      </c>
      <c r="E3583" s="4" t="s">
        <v>22</v>
      </c>
      <c r="F3583" s="4" t="s">
        <v>18788</v>
      </c>
      <c r="G3583" s="4" t="s">
        <v>18789</v>
      </c>
      <c r="H3583" s="3" t="s">
        <v>16292</v>
      </c>
      <c r="I3583" s="3" t="s">
        <v>18790</v>
      </c>
      <c r="J3583" s="3" t="s">
        <v>4728</v>
      </c>
      <c r="K3583" s="3" t="s">
        <v>18791</v>
      </c>
      <c r="L3583" s="3"/>
      <c r="M3583" s="4"/>
      <c r="N3583" s="3" t="s">
        <v>37</v>
      </c>
      <c r="O3583" s="3" t="s">
        <v>38</v>
      </c>
      <c r="P3583" s="5">
        <v>5</v>
      </c>
      <c r="Q3583" s="5">
        <v>39</v>
      </c>
      <c r="R3583" s="5">
        <v>5</v>
      </c>
      <c r="S3583" s="5">
        <v>39</v>
      </c>
    </row>
    <row r="3584" spans="1:19" ht="28" x14ac:dyDescent="0.15">
      <c r="A3584" s="2">
        <f>HYPERLINK("https://open-school.uspishnemisto.com.ua/school/180497/", 180497)</f>
        <v>180497</v>
      </c>
      <c r="B3584" s="3" t="s">
        <v>18792</v>
      </c>
      <c r="C3584" s="3" t="s">
        <v>31</v>
      </c>
      <c r="D3584" s="3" t="s">
        <v>175</v>
      </c>
      <c r="E3584" s="4" t="s">
        <v>22</v>
      </c>
      <c r="F3584" s="4" t="s">
        <v>18793</v>
      </c>
      <c r="G3584" s="4" t="s">
        <v>18794</v>
      </c>
      <c r="H3584" s="3" t="s">
        <v>16292</v>
      </c>
      <c r="I3584" s="3" t="s">
        <v>1803</v>
      </c>
      <c r="J3584" s="3" t="s">
        <v>634</v>
      </c>
      <c r="K3584" s="3" t="s">
        <v>18795</v>
      </c>
      <c r="L3584" s="3" t="s">
        <v>18796</v>
      </c>
      <c r="M3584" s="4"/>
      <c r="N3584" s="3" t="s">
        <v>37</v>
      </c>
      <c r="O3584" s="3" t="s">
        <v>38</v>
      </c>
      <c r="P3584" s="5">
        <v>6</v>
      </c>
      <c r="Q3584" s="5">
        <v>44</v>
      </c>
      <c r="R3584" s="5">
        <v>5</v>
      </c>
      <c r="S3584" s="5">
        <v>38</v>
      </c>
    </row>
    <row r="3585" spans="1:19" ht="28" x14ac:dyDescent="0.15">
      <c r="A3585" s="2">
        <f>HYPERLINK("https://open-school.uspishnemisto.com.ua/school/180498/", 180498)</f>
        <v>180498</v>
      </c>
      <c r="B3585" s="3" t="s">
        <v>18797</v>
      </c>
      <c r="C3585" s="3" t="s">
        <v>31</v>
      </c>
      <c r="D3585" s="3" t="s">
        <v>175</v>
      </c>
      <c r="E3585" s="4" t="s">
        <v>22</v>
      </c>
      <c r="F3585" s="4" t="s">
        <v>18697</v>
      </c>
      <c r="G3585" s="4" t="s">
        <v>18798</v>
      </c>
      <c r="H3585" s="3" t="s">
        <v>16292</v>
      </c>
      <c r="I3585" s="3" t="s">
        <v>18799</v>
      </c>
      <c r="J3585" s="3" t="s">
        <v>634</v>
      </c>
      <c r="K3585" s="3" t="s">
        <v>18800</v>
      </c>
      <c r="L3585" s="3"/>
      <c r="M3585" s="4"/>
      <c r="N3585" s="3" t="s">
        <v>37</v>
      </c>
      <c r="O3585" s="3" t="s">
        <v>38</v>
      </c>
      <c r="P3585" s="5">
        <v>4</v>
      </c>
      <c r="Q3585" s="5">
        <v>36</v>
      </c>
      <c r="R3585" s="5">
        <v>6</v>
      </c>
      <c r="S3585" s="5">
        <v>39</v>
      </c>
    </row>
    <row r="3586" spans="1:19" ht="42" x14ac:dyDescent="0.15">
      <c r="A3586" s="2">
        <f>HYPERLINK("https://open-school.uspishnemisto.com.ua/school/180499/", 180499)</f>
        <v>180499</v>
      </c>
      <c r="B3586" s="3" t="s">
        <v>18801</v>
      </c>
      <c r="C3586" s="3" t="s">
        <v>31</v>
      </c>
      <c r="D3586" s="3" t="s">
        <v>175</v>
      </c>
      <c r="E3586" s="4" t="s">
        <v>22</v>
      </c>
      <c r="F3586" s="4" t="s">
        <v>18802</v>
      </c>
      <c r="G3586" s="4" t="s">
        <v>18803</v>
      </c>
      <c r="H3586" s="3" t="s">
        <v>16292</v>
      </c>
      <c r="I3586" s="3" t="s">
        <v>18804</v>
      </c>
      <c r="J3586" s="3" t="s">
        <v>18805</v>
      </c>
      <c r="K3586" s="3" t="s">
        <v>18806</v>
      </c>
      <c r="L3586" s="3" t="s">
        <v>18807</v>
      </c>
      <c r="M3586" s="4"/>
      <c r="N3586" s="3" t="s">
        <v>37</v>
      </c>
      <c r="O3586" s="3" t="s">
        <v>38</v>
      </c>
      <c r="P3586" s="5">
        <v>4</v>
      </c>
      <c r="Q3586" s="5">
        <v>39</v>
      </c>
      <c r="R3586" s="5">
        <v>3</v>
      </c>
      <c r="S3586" s="5">
        <v>37</v>
      </c>
    </row>
    <row r="3587" spans="1:19" ht="28" x14ac:dyDescent="0.15">
      <c r="A3587" s="2">
        <f>HYPERLINK("https://open-school.uspishnemisto.com.ua/school/180500/", 180500)</f>
        <v>180500</v>
      </c>
      <c r="B3587" s="3" t="s">
        <v>18808</v>
      </c>
      <c r="C3587" s="3" t="s">
        <v>31</v>
      </c>
      <c r="D3587" s="3" t="s">
        <v>175</v>
      </c>
      <c r="E3587" s="4" t="s">
        <v>22</v>
      </c>
      <c r="F3587" s="4" t="s">
        <v>18809</v>
      </c>
      <c r="G3587" s="4" t="s">
        <v>18810</v>
      </c>
      <c r="H3587" s="3" t="s">
        <v>16292</v>
      </c>
      <c r="I3587" s="3" t="s">
        <v>18811</v>
      </c>
      <c r="J3587" s="3" t="s">
        <v>18812</v>
      </c>
      <c r="K3587" s="3" t="s">
        <v>18813</v>
      </c>
      <c r="L3587" s="3"/>
      <c r="M3587" s="4"/>
      <c r="N3587" s="3" t="s">
        <v>37</v>
      </c>
      <c r="O3587" s="3" t="s">
        <v>38</v>
      </c>
      <c r="P3587" s="5">
        <v>9</v>
      </c>
      <c r="Q3587" s="5">
        <v>58</v>
      </c>
      <c r="R3587" s="5">
        <v>9</v>
      </c>
      <c r="S3587" s="5">
        <v>60</v>
      </c>
    </row>
    <row r="3588" spans="1:19" ht="28" x14ac:dyDescent="0.15">
      <c r="A3588" s="2">
        <f>HYPERLINK("https://open-school.uspishnemisto.com.ua/school/180501/", 180501)</f>
        <v>180501</v>
      </c>
      <c r="B3588" s="3" t="s">
        <v>18814</v>
      </c>
      <c r="C3588" s="3" t="s">
        <v>31</v>
      </c>
      <c r="D3588" s="3" t="s">
        <v>32</v>
      </c>
      <c r="E3588" s="4" t="s">
        <v>22</v>
      </c>
      <c r="F3588" s="4" t="s">
        <v>18815</v>
      </c>
      <c r="G3588" s="4" t="s">
        <v>18816</v>
      </c>
      <c r="H3588" s="3" t="s">
        <v>16292</v>
      </c>
      <c r="I3588" s="3" t="s">
        <v>18817</v>
      </c>
      <c r="J3588" s="3" t="s">
        <v>18818</v>
      </c>
      <c r="K3588" s="3" t="s">
        <v>18819</v>
      </c>
      <c r="L3588" s="3" t="s">
        <v>18820</v>
      </c>
      <c r="M3588" s="4"/>
      <c r="N3588" s="3" t="s">
        <v>37</v>
      </c>
      <c r="O3588" s="3" t="s">
        <v>139</v>
      </c>
      <c r="P3588" s="5">
        <v>9</v>
      </c>
      <c r="Q3588" s="5">
        <v>137</v>
      </c>
      <c r="R3588" s="5">
        <v>10</v>
      </c>
      <c r="S3588" s="5">
        <v>136</v>
      </c>
    </row>
    <row r="3589" spans="1:19" ht="28" x14ac:dyDescent="0.15">
      <c r="A3589" s="2">
        <f>HYPERLINK("https://open-school.uspishnemisto.com.ua/school/180502/", 180502)</f>
        <v>180502</v>
      </c>
      <c r="B3589" s="3" t="s">
        <v>18821</v>
      </c>
      <c r="C3589" s="3" t="s">
        <v>31</v>
      </c>
      <c r="D3589" s="3" t="s">
        <v>175</v>
      </c>
      <c r="E3589" s="4" t="s">
        <v>22</v>
      </c>
      <c r="F3589" s="4" t="s">
        <v>18822</v>
      </c>
      <c r="G3589" s="4" t="s">
        <v>18823</v>
      </c>
      <c r="H3589" s="3" t="s">
        <v>16292</v>
      </c>
      <c r="I3589" s="3" t="s">
        <v>18824</v>
      </c>
      <c r="J3589" s="3" t="s">
        <v>718</v>
      </c>
      <c r="K3589" s="3" t="s">
        <v>18825</v>
      </c>
      <c r="L3589" s="3" t="s">
        <v>18826</v>
      </c>
      <c r="M3589" s="4"/>
      <c r="N3589" s="3" t="s">
        <v>37</v>
      </c>
      <c r="O3589" s="3" t="s">
        <v>38</v>
      </c>
      <c r="P3589" s="5">
        <v>5</v>
      </c>
      <c r="Q3589" s="5">
        <v>44</v>
      </c>
      <c r="R3589" s="5">
        <v>5</v>
      </c>
      <c r="S3589" s="5">
        <v>47</v>
      </c>
    </row>
    <row r="3590" spans="1:19" ht="28" x14ac:dyDescent="0.15">
      <c r="A3590" s="2">
        <f>HYPERLINK("https://open-school.uspishnemisto.com.ua/school/180503/", 180503)</f>
        <v>180503</v>
      </c>
      <c r="B3590" s="3" t="s">
        <v>18827</v>
      </c>
      <c r="C3590" s="3" t="s">
        <v>31</v>
      </c>
      <c r="D3590" s="3" t="s">
        <v>175</v>
      </c>
      <c r="E3590" s="4" t="s">
        <v>22</v>
      </c>
      <c r="F3590" s="4" t="s">
        <v>18828</v>
      </c>
      <c r="G3590" s="4" t="s">
        <v>18829</v>
      </c>
      <c r="H3590" s="3" t="s">
        <v>16292</v>
      </c>
      <c r="I3590" s="3" t="s">
        <v>17292</v>
      </c>
      <c r="J3590" s="3" t="s">
        <v>18830</v>
      </c>
      <c r="K3590" s="3" t="s">
        <v>18831</v>
      </c>
      <c r="L3590" s="3" t="s">
        <v>18832</v>
      </c>
      <c r="M3590" s="4"/>
      <c r="N3590" s="3" t="s">
        <v>37</v>
      </c>
      <c r="O3590" s="3" t="s">
        <v>46</v>
      </c>
      <c r="P3590" s="5">
        <v>8</v>
      </c>
      <c r="Q3590" s="5">
        <v>53</v>
      </c>
      <c r="R3590" s="5">
        <v>8</v>
      </c>
      <c r="S3590" s="5">
        <v>55</v>
      </c>
    </row>
    <row r="3591" spans="1:19" ht="28" x14ac:dyDescent="0.15">
      <c r="A3591" s="2">
        <f>HYPERLINK("https://open-school.uspishnemisto.com.ua/school/180504/", 180504)</f>
        <v>180504</v>
      </c>
      <c r="B3591" s="3" t="s">
        <v>18833</v>
      </c>
      <c r="C3591" s="3" t="s">
        <v>31</v>
      </c>
      <c r="D3591" s="3" t="s">
        <v>32</v>
      </c>
      <c r="E3591" s="4" t="s">
        <v>22</v>
      </c>
      <c r="F3591" s="4" t="s">
        <v>18834</v>
      </c>
      <c r="G3591" s="4" t="s">
        <v>18835</v>
      </c>
      <c r="H3591" s="3" t="s">
        <v>16292</v>
      </c>
      <c r="I3591" s="3" t="s">
        <v>18836</v>
      </c>
      <c r="J3591" s="3" t="s">
        <v>18837</v>
      </c>
      <c r="K3591" s="3" t="s">
        <v>18838</v>
      </c>
      <c r="L3591" s="3"/>
      <c r="M3591" s="4"/>
      <c r="N3591" s="3" t="s">
        <v>37</v>
      </c>
      <c r="O3591" s="3" t="s">
        <v>70</v>
      </c>
      <c r="P3591" s="5">
        <v>11</v>
      </c>
      <c r="Q3591" s="5">
        <v>159</v>
      </c>
      <c r="R3591" s="5">
        <v>11</v>
      </c>
      <c r="S3591" s="5">
        <v>152</v>
      </c>
    </row>
    <row r="3592" spans="1:19" ht="28" x14ac:dyDescent="0.15">
      <c r="A3592" s="2">
        <f>HYPERLINK("https://open-school.uspishnemisto.com.ua/school/180505/", 180505)</f>
        <v>180505</v>
      </c>
      <c r="B3592" s="3" t="s">
        <v>18839</v>
      </c>
      <c r="C3592" s="3" t="s">
        <v>31</v>
      </c>
      <c r="D3592" s="3" t="s">
        <v>175</v>
      </c>
      <c r="E3592" s="4" t="s">
        <v>22</v>
      </c>
      <c r="F3592" s="4" t="s">
        <v>18840</v>
      </c>
      <c r="G3592" s="4" t="s">
        <v>18841</v>
      </c>
      <c r="H3592" s="3" t="s">
        <v>16292</v>
      </c>
      <c r="I3592" s="3" t="s">
        <v>18842</v>
      </c>
      <c r="J3592" s="3" t="s">
        <v>18843</v>
      </c>
      <c r="K3592" s="3" t="s">
        <v>18844</v>
      </c>
      <c r="L3592" s="3"/>
      <c r="M3592" s="4"/>
      <c r="N3592" s="3" t="s">
        <v>37</v>
      </c>
      <c r="O3592" s="3" t="s">
        <v>38</v>
      </c>
      <c r="P3592" s="5">
        <v>5</v>
      </c>
      <c r="Q3592" s="5">
        <v>58</v>
      </c>
      <c r="R3592" s="5">
        <v>5</v>
      </c>
      <c r="S3592" s="5">
        <v>58</v>
      </c>
    </row>
    <row r="3593" spans="1:19" ht="42" x14ac:dyDescent="0.15">
      <c r="A3593" s="2">
        <f>HYPERLINK("https://open-school.uspishnemisto.com.ua/school/180506/", 180506)</f>
        <v>180506</v>
      </c>
      <c r="B3593" s="3" t="s">
        <v>18845</v>
      </c>
      <c r="C3593" s="3" t="s">
        <v>31</v>
      </c>
      <c r="D3593" s="3" t="s">
        <v>175</v>
      </c>
      <c r="E3593" s="4" t="s">
        <v>22</v>
      </c>
      <c r="F3593" s="4" t="s">
        <v>18846</v>
      </c>
      <c r="G3593" s="4" t="s">
        <v>18847</v>
      </c>
      <c r="H3593" s="3" t="s">
        <v>16292</v>
      </c>
      <c r="I3593" s="3" t="s">
        <v>4683</v>
      </c>
      <c r="J3593" s="3" t="s">
        <v>18848</v>
      </c>
      <c r="K3593" s="3" t="s">
        <v>18849</v>
      </c>
      <c r="L3593" s="3" t="s">
        <v>18850</v>
      </c>
      <c r="M3593" s="4"/>
      <c r="N3593" s="3" t="s">
        <v>37</v>
      </c>
      <c r="O3593" s="3" t="s">
        <v>46</v>
      </c>
      <c r="P3593" s="5">
        <v>5</v>
      </c>
      <c r="Q3593" s="5">
        <v>33</v>
      </c>
      <c r="R3593" s="5">
        <v>5</v>
      </c>
      <c r="S3593" s="5">
        <v>31</v>
      </c>
    </row>
    <row r="3594" spans="1:19" ht="42" x14ac:dyDescent="0.15">
      <c r="A3594" s="2">
        <f>HYPERLINK("https://open-school.uspishnemisto.com.ua/school/180507/", 180507)</f>
        <v>180507</v>
      </c>
      <c r="B3594" s="3" t="s">
        <v>18851</v>
      </c>
      <c r="C3594" s="3" t="s">
        <v>31</v>
      </c>
      <c r="D3594" s="3" t="s">
        <v>175</v>
      </c>
      <c r="E3594" s="4" t="s">
        <v>22</v>
      </c>
      <c r="F3594" s="4" t="s">
        <v>18852</v>
      </c>
      <c r="G3594" s="4" t="s">
        <v>18853</v>
      </c>
      <c r="H3594" s="3" t="s">
        <v>16292</v>
      </c>
      <c r="I3594" s="3" t="s">
        <v>18854</v>
      </c>
      <c r="J3594" s="3" t="s">
        <v>6394</v>
      </c>
      <c r="K3594" s="3" t="s">
        <v>18855</v>
      </c>
      <c r="L3594" s="3"/>
      <c r="M3594" s="4"/>
      <c r="N3594" s="3" t="s">
        <v>37</v>
      </c>
      <c r="O3594" s="3" t="s">
        <v>46</v>
      </c>
      <c r="P3594" s="5">
        <v>3</v>
      </c>
      <c r="Q3594" s="5">
        <v>34</v>
      </c>
      <c r="R3594" s="5">
        <v>1</v>
      </c>
      <c r="S3594" s="5">
        <v>29</v>
      </c>
    </row>
    <row r="3595" spans="1:19" ht="42" x14ac:dyDescent="0.15">
      <c r="A3595" s="2">
        <f>HYPERLINK("https://open-school.uspishnemisto.com.ua/school/180508/", 180508)</f>
        <v>180508</v>
      </c>
      <c r="B3595" s="3" t="s">
        <v>18856</v>
      </c>
      <c r="C3595" s="3" t="s">
        <v>31</v>
      </c>
      <c r="D3595" s="3" t="s">
        <v>32</v>
      </c>
      <c r="E3595" s="4" t="s">
        <v>22</v>
      </c>
      <c r="F3595" s="4" t="s">
        <v>18857</v>
      </c>
      <c r="G3595" s="4" t="s">
        <v>18858</v>
      </c>
      <c r="H3595" s="3" t="s">
        <v>16292</v>
      </c>
      <c r="I3595" s="3" t="s">
        <v>18859</v>
      </c>
      <c r="J3595" s="3" t="s">
        <v>18860</v>
      </c>
      <c r="K3595" s="3" t="s">
        <v>18861</v>
      </c>
      <c r="L3595" s="3"/>
      <c r="M3595" s="4"/>
      <c r="N3595" s="3" t="s">
        <v>37</v>
      </c>
      <c r="O3595" s="3" t="s">
        <v>266</v>
      </c>
      <c r="P3595" s="5">
        <v>13</v>
      </c>
      <c r="Q3595" s="5">
        <v>267</v>
      </c>
      <c r="R3595" s="5">
        <v>14</v>
      </c>
      <c r="S3595" s="5">
        <v>277</v>
      </c>
    </row>
    <row r="3596" spans="1:19" ht="28" x14ac:dyDescent="0.15">
      <c r="A3596" s="2">
        <f>HYPERLINK("https://open-school.uspishnemisto.com.ua/school/180509/", 180509)</f>
        <v>180509</v>
      </c>
      <c r="B3596" s="3" t="s">
        <v>18862</v>
      </c>
      <c r="C3596" s="3" t="s">
        <v>31</v>
      </c>
      <c r="D3596" s="3" t="s">
        <v>32</v>
      </c>
      <c r="E3596" s="4" t="s">
        <v>22</v>
      </c>
      <c r="F3596" s="4" t="s">
        <v>18863</v>
      </c>
      <c r="G3596" s="4" t="s">
        <v>18864</v>
      </c>
      <c r="H3596" s="3" t="s">
        <v>16292</v>
      </c>
      <c r="I3596" s="3" t="s">
        <v>18865</v>
      </c>
      <c r="J3596" s="3" t="s">
        <v>18866</v>
      </c>
      <c r="K3596" s="3" t="s">
        <v>18867</v>
      </c>
      <c r="L3596" s="3"/>
      <c r="M3596" s="4"/>
      <c r="N3596" s="3" t="s">
        <v>37</v>
      </c>
      <c r="O3596" s="3" t="s">
        <v>38</v>
      </c>
      <c r="P3596" s="5">
        <v>18</v>
      </c>
      <c r="Q3596" s="5">
        <v>310</v>
      </c>
      <c r="R3596" s="5">
        <v>16</v>
      </c>
      <c r="S3596" s="5">
        <v>302</v>
      </c>
    </row>
    <row r="3597" spans="1:19" ht="42" x14ac:dyDescent="0.15">
      <c r="A3597" s="2">
        <f>HYPERLINK("https://open-school.uspishnemisto.com.ua/school/180510/", 180510)</f>
        <v>180510</v>
      </c>
      <c r="B3597" s="3" t="s">
        <v>18868</v>
      </c>
      <c r="C3597" s="3" t="s">
        <v>31</v>
      </c>
      <c r="D3597" s="3" t="s">
        <v>175</v>
      </c>
      <c r="E3597" s="4" t="s">
        <v>22</v>
      </c>
      <c r="F3597" s="4" t="s">
        <v>18869</v>
      </c>
      <c r="G3597" s="4" t="s">
        <v>18870</v>
      </c>
      <c r="H3597" s="3" t="s">
        <v>16292</v>
      </c>
      <c r="I3597" s="3" t="s">
        <v>7056</v>
      </c>
      <c r="J3597" s="3" t="s">
        <v>18871</v>
      </c>
      <c r="K3597" s="3" t="s">
        <v>18872</v>
      </c>
      <c r="L3597" s="3" t="s">
        <v>18873</v>
      </c>
      <c r="M3597" s="4"/>
      <c r="N3597" s="3" t="s">
        <v>37</v>
      </c>
      <c r="O3597" s="3" t="s">
        <v>38</v>
      </c>
      <c r="P3597" s="5">
        <v>9</v>
      </c>
      <c r="Q3597" s="5">
        <v>60</v>
      </c>
      <c r="R3597" s="5">
        <v>9</v>
      </c>
      <c r="S3597" s="5">
        <v>61</v>
      </c>
    </row>
    <row r="3598" spans="1:19" ht="28" x14ac:dyDescent="0.15">
      <c r="A3598" s="2">
        <f>HYPERLINK("https://open-school.uspishnemisto.com.ua/school/180511/", 180511)</f>
        <v>180511</v>
      </c>
      <c r="B3598" s="3" t="s">
        <v>18874</v>
      </c>
      <c r="C3598" s="3" t="s">
        <v>31</v>
      </c>
      <c r="D3598" s="3" t="s">
        <v>32</v>
      </c>
      <c r="E3598" s="4" t="s">
        <v>22</v>
      </c>
      <c r="F3598" s="4" t="s">
        <v>18875</v>
      </c>
      <c r="G3598" s="4" t="s">
        <v>18876</v>
      </c>
      <c r="H3598" s="3" t="s">
        <v>16292</v>
      </c>
      <c r="I3598" s="3" t="s">
        <v>18877</v>
      </c>
      <c r="J3598" s="3" t="s">
        <v>18878</v>
      </c>
      <c r="K3598" s="3" t="s">
        <v>18879</v>
      </c>
      <c r="L3598" s="3"/>
      <c r="M3598" s="4" t="s">
        <v>18880</v>
      </c>
      <c r="N3598" s="3" t="s">
        <v>37</v>
      </c>
      <c r="O3598" s="3" t="s">
        <v>38</v>
      </c>
      <c r="P3598" s="5">
        <v>19</v>
      </c>
      <c r="Q3598" s="5">
        <v>321</v>
      </c>
      <c r="R3598" s="5">
        <v>18</v>
      </c>
      <c r="S3598" s="5">
        <v>327</v>
      </c>
    </row>
    <row r="3599" spans="1:19" ht="28" x14ac:dyDescent="0.15">
      <c r="A3599" s="2">
        <f>HYPERLINK("https://open-school.uspishnemisto.com.ua/school/180512/", 180512)</f>
        <v>180512</v>
      </c>
      <c r="B3599" s="3" t="s">
        <v>18881</v>
      </c>
      <c r="C3599" s="3" t="s">
        <v>40</v>
      </c>
      <c r="D3599" s="3" t="s">
        <v>32</v>
      </c>
      <c r="E3599" s="4" t="s">
        <v>22</v>
      </c>
      <c r="F3599" s="4" t="s">
        <v>18882</v>
      </c>
      <c r="G3599" s="4" t="s">
        <v>18876</v>
      </c>
      <c r="H3599" s="3" t="s">
        <v>16292</v>
      </c>
      <c r="I3599" s="3" t="s">
        <v>18877</v>
      </c>
      <c r="J3599" s="3" t="s">
        <v>18883</v>
      </c>
      <c r="K3599" s="3" t="s">
        <v>18884</v>
      </c>
      <c r="L3599" s="3"/>
      <c r="M3599" s="4"/>
      <c r="N3599" s="3" t="s">
        <v>37</v>
      </c>
      <c r="O3599" s="3" t="s">
        <v>46</v>
      </c>
      <c r="P3599" s="5">
        <v>30</v>
      </c>
      <c r="Q3599" s="5">
        <v>521</v>
      </c>
      <c r="R3599" s="5">
        <v>29</v>
      </c>
      <c r="S3599" s="5">
        <v>533</v>
      </c>
    </row>
    <row r="3600" spans="1:19" ht="28" x14ac:dyDescent="0.15">
      <c r="A3600" s="2">
        <f>HYPERLINK("https://open-school.uspishnemisto.com.ua/school/180513/", 180513)</f>
        <v>180513</v>
      </c>
      <c r="B3600" s="3" t="s">
        <v>18885</v>
      </c>
      <c r="C3600" s="3" t="s">
        <v>31</v>
      </c>
      <c r="D3600" s="3" t="s">
        <v>32</v>
      </c>
      <c r="E3600" s="4" t="s">
        <v>22</v>
      </c>
      <c r="F3600" s="4" t="s">
        <v>18882</v>
      </c>
      <c r="G3600" s="4" t="s">
        <v>18876</v>
      </c>
      <c r="H3600" s="3" t="s">
        <v>16292</v>
      </c>
      <c r="I3600" s="3" t="s">
        <v>18877</v>
      </c>
      <c r="J3600" s="3" t="s">
        <v>18886</v>
      </c>
      <c r="K3600" s="3" t="s">
        <v>18887</v>
      </c>
      <c r="L3600" s="3"/>
      <c r="M3600" s="4" t="s">
        <v>18888</v>
      </c>
      <c r="N3600" s="3" t="s">
        <v>37</v>
      </c>
      <c r="O3600" s="3" t="s">
        <v>38</v>
      </c>
      <c r="P3600" s="5">
        <v>41</v>
      </c>
      <c r="Q3600" s="5">
        <v>801</v>
      </c>
      <c r="R3600" s="5">
        <v>37</v>
      </c>
      <c r="S3600" s="5">
        <v>740</v>
      </c>
    </row>
    <row r="3601" spans="1:19" ht="28" x14ac:dyDescent="0.15">
      <c r="A3601" s="2">
        <f>HYPERLINK("https://open-school.uspishnemisto.com.ua/school/180514/", 180514)</f>
        <v>180514</v>
      </c>
      <c r="B3601" s="3" t="s">
        <v>18889</v>
      </c>
      <c r="C3601" s="3" t="s">
        <v>31</v>
      </c>
      <c r="D3601" s="3" t="s">
        <v>32</v>
      </c>
      <c r="E3601" s="4" t="s">
        <v>22</v>
      </c>
      <c r="F3601" s="4" t="s">
        <v>18882</v>
      </c>
      <c r="G3601" s="4" t="s">
        <v>18876</v>
      </c>
      <c r="H3601" s="3" t="s">
        <v>16292</v>
      </c>
      <c r="I3601" s="3" t="s">
        <v>18877</v>
      </c>
      <c r="J3601" s="3" t="s">
        <v>18890</v>
      </c>
      <c r="K3601" s="3" t="s">
        <v>18891</v>
      </c>
      <c r="L3601" s="3"/>
      <c r="M3601" s="4"/>
      <c r="N3601" s="3" t="s">
        <v>37</v>
      </c>
      <c r="O3601" s="3" t="s">
        <v>46</v>
      </c>
      <c r="P3601" s="5">
        <v>28</v>
      </c>
      <c r="Q3601" s="5">
        <v>561</v>
      </c>
      <c r="R3601" s="5">
        <v>28</v>
      </c>
      <c r="S3601" s="5">
        <v>568</v>
      </c>
    </row>
    <row r="3602" spans="1:19" ht="28" x14ac:dyDescent="0.15">
      <c r="A3602" s="2">
        <f>HYPERLINK("https://open-school.uspishnemisto.com.ua/school/180515/", 180515)</f>
        <v>180515</v>
      </c>
      <c r="B3602" s="3" t="s">
        <v>18892</v>
      </c>
      <c r="C3602" s="3" t="s">
        <v>31</v>
      </c>
      <c r="D3602" s="3" t="s">
        <v>32</v>
      </c>
      <c r="E3602" s="4" t="s">
        <v>22</v>
      </c>
      <c r="F3602" s="4" t="s">
        <v>18893</v>
      </c>
      <c r="G3602" s="4" t="s">
        <v>18894</v>
      </c>
      <c r="H3602" s="3" t="s">
        <v>16292</v>
      </c>
      <c r="I3602" s="3" t="s">
        <v>11989</v>
      </c>
      <c r="J3602" s="3" t="s">
        <v>18895</v>
      </c>
      <c r="K3602" s="3" t="s">
        <v>18896</v>
      </c>
      <c r="L3602" s="3"/>
      <c r="M3602" s="4"/>
      <c r="N3602" s="3" t="s">
        <v>37</v>
      </c>
      <c r="O3602" s="3" t="s">
        <v>38</v>
      </c>
      <c r="P3602" s="5">
        <v>17</v>
      </c>
      <c r="Q3602" s="5">
        <v>289</v>
      </c>
      <c r="R3602" s="5">
        <v>18</v>
      </c>
      <c r="S3602" s="5">
        <v>312</v>
      </c>
    </row>
    <row r="3603" spans="1:19" ht="28" x14ac:dyDescent="0.15">
      <c r="A3603" s="2">
        <f>HYPERLINK("https://open-school.uspishnemisto.com.ua/school/180516/", 180516)</f>
        <v>180516</v>
      </c>
      <c r="B3603" s="3" t="s">
        <v>18897</v>
      </c>
      <c r="C3603" s="3" t="s">
        <v>31</v>
      </c>
      <c r="D3603" s="3" t="s">
        <v>32</v>
      </c>
      <c r="E3603" s="4" t="s">
        <v>22</v>
      </c>
      <c r="F3603" s="4" t="s">
        <v>18898</v>
      </c>
      <c r="G3603" s="4" t="s">
        <v>18899</v>
      </c>
      <c r="H3603" s="3" t="s">
        <v>16292</v>
      </c>
      <c r="I3603" s="3" t="s">
        <v>18900</v>
      </c>
      <c r="J3603" s="3" t="s">
        <v>18901</v>
      </c>
      <c r="K3603" s="3" t="s">
        <v>18902</v>
      </c>
      <c r="L3603" s="3"/>
      <c r="M3603" s="4"/>
      <c r="N3603" s="3" t="s">
        <v>37</v>
      </c>
      <c r="O3603" s="3" t="s">
        <v>197</v>
      </c>
      <c r="P3603" s="5">
        <v>11</v>
      </c>
      <c r="Q3603" s="5">
        <v>170</v>
      </c>
      <c r="R3603" s="5">
        <v>11</v>
      </c>
      <c r="S3603" s="5">
        <v>170</v>
      </c>
    </row>
    <row r="3604" spans="1:19" ht="28" x14ac:dyDescent="0.15">
      <c r="A3604" s="2">
        <f>HYPERLINK("https://open-school.uspishnemisto.com.ua/school/180517/", 180517)</f>
        <v>180517</v>
      </c>
      <c r="B3604" s="3" t="s">
        <v>18903</v>
      </c>
      <c r="C3604" s="3" t="s">
        <v>31</v>
      </c>
      <c r="D3604" s="3" t="s">
        <v>32</v>
      </c>
      <c r="E3604" s="4" t="s">
        <v>22</v>
      </c>
      <c r="F3604" s="4" t="s">
        <v>18904</v>
      </c>
      <c r="G3604" s="4" t="s">
        <v>18905</v>
      </c>
      <c r="H3604" s="3" t="s">
        <v>16292</v>
      </c>
      <c r="I3604" s="3" t="s">
        <v>18906</v>
      </c>
      <c r="J3604" s="3" t="s">
        <v>554</v>
      </c>
      <c r="K3604" s="3" t="s">
        <v>18907</v>
      </c>
      <c r="L3604" s="3"/>
      <c r="M3604" s="4"/>
      <c r="N3604" s="3" t="s">
        <v>37</v>
      </c>
      <c r="O3604" s="3" t="s">
        <v>38</v>
      </c>
      <c r="P3604" s="5">
        <v>11</v>
      </c>
      <c r="Q3604" s="5">
        <v>149</v>
      </c>
      <c r="R3604" s="5">
        <v>11</v>
      </c>
      <c r="S3604" s="5">
        <v>156</v>
      </c>
    </row>
    <row r="3605" spans="1:19" ht="28" x14ac:dyDescent="0.15">
      <c r="A3605" s="2">
        <f>HYPERLINK("https://open-school.uspishnemisto.com.ua/school/180518/", 180518)</f>
        <v>180518</v>
      </c>
      <c r="B3605" s="3" t="s">
        <v>18908</v>
      </c>
      <c r="C3605" s="3" t="s">
        <v>31</v>
      </c>
      <c r="D3605" s="3" t="s">
        <v>32</v>
      </c>
      <c r="E3605" s="4" t="s">
        <v>22</v>
      </c>
      <c r="F3605" s="4" t="s">
        <v>18909</v>
      </c>
      <c r="G3605" s="4" t="s">
        <v>18910</v>
      </c>
      <c r="H3605" s="3" t="s">
        <v>16292</v>
      </c>
      <c r="I3605" s="3" t="s">
        <v>18911</v>
      </c>
      <c r="J3605" s="3" t="s">
        <v>2978</v>
      </c>
      <c r="K3605" s="3" t="s">
        <v>18912</v>
      </c>
      <c r="L3605" s="3"/>
      <c r="M3605" s="4"/>
      <c r="N3605" s="3" t="s">
        <v>37</v>
      </c>
      <c r="O3605" s="3" t="s">
        <v>70</v>
      </c>
      <c r="P3605" s="5">
        <v>10</v>
      </c>
      <c r="Q3605" s="5">
        <v>115</v>
      </c>
      <c r="R3605" s="5">
        <v>10</v>
      </c>
      <c r="S3605" s="5">
        <v>116</v>
      </c>
    </row>
    <row r="3606" spans="1:19" ht="28" x14ac:dyDescent="0.15">
      <c r="A3606" s="2">
        <f>HYPERLINK("https://open-school.uspishnemisto.com.ua/school/180519/", 180519)</f>
        <v>180519</v>
      </c>
      <c r="B3606" s="3" t="s">
        <v>18913</v>
      </c>
      <c r="C3606" s="3" t="s">
        <v>31</v>
      </c>
      <c r="D3606" s="3" t="s">
        <v>32</v>
      </c>
      <c r="E3606" s="4" t="s">
        <v>22</v>
      </c>
      <c r="F3606" s="4" t="s">
        <v>18914</v>
      </c>
      <c r="G3606" s="4" t="s">
        <v>18915</v>
      </c>
      <c r="H3606" s="3" t="s">
        <v>16292</v>
      </c>
      <c r="I3606" s="3" t="s">
        <v>18916</v>
      </c>
      <c r="J3606" s="3" t="s">
        <v>18917</v>
      </c>
      <c r="K3606" s="3" t="s">
        <v>18918</v>
      </c>
      <c r="L3606" s="3"/>
      <c r="M3606" s="4"/>
      <c r="N3606" s="3" t="s">
        <v>37</v>
      </c>
      <c r="O3606" s="3" t="s">
        <v>38</v>
      </c>
      <c r="P3606" s="5">
        <v>10</v>
      </c>
      <c r="Q3606" s="5">
        <v>89</v>
      </c>
      <c r="R3606" s="5">
        <v>9</v>
      </c>
      <c r="S3606" s="5">
        <v>83</v>
      </c>
    </row>
    <row r="3607" spans="1:19" ht="28" x14ac:dyDescent="0.15">
      <c r="A3607" s="2">
        <f>HYPERLINK("https://open-school.uspishnemisto.com.ua/school/180520/", 180520)</f>
        <v>180520</v>
      </c>
      <c r="B3607" s="3" t="s">
        <v>18919</v>
      </c>
      <c r="C3607" s="3" t="s">
        <v>31</v>
      </c>
      <c r="D3607" s="3" t="s">
        <v>32</v>
      </c>
      <c r="E3607" s="4" t="s">
        <v>22</v>
      </c>
      <c r="F3607" s="4" t="s">
        <v>18920</v>
      </c>
      <c r="G3607" s="4" t="s">
        <v>18921</v>
      </c>
      <c r="H3607" s="3" t="s">
        <v>16292</v>
      </c>
      <c r="I3607" s="3" t="s">
        <v>18922</v>
      </c>
      <c r="J3607" s="3" t="s">
        <v>18923</v>
      </c>
      <c r="K3607" s="3" t="s">
        <v>18924</v>
      </c>
      <c r="L3607" s="3"/>
      <c r="M3607" s="4"/>
      <c r="N3607" s="3" t="s">
        <v>37</v>
      </c>
      <c r="O3607" s="3" t="s">
        <v>46</v>
      </c>
      <c r="P3607" s="5">
        <v>10</v>
      </c>
      <c r="Q3607" s="5">
        <v>73</v>
      </c>
      <c r="R3607" s="5">
        <v>11</v>
      </c>
      <c r="S3607" s="5">
        <v>81</v>
      </c>
    </row>
    <row r="3608" spans="1:19" ht="28" x14ac:dyDescent="0.15">
      <c r="A3608" s="2">
        <f>HYPERLINK("https://open-school.uspishnemisto.com.ua/school/180521/", 180521)</f>
        <v>180521</v>
      </c>
      <c r="B3608" s="3" t="s">
        <v>18925</v>
      </c>
      <c r="C3608" s="3" t="s">
        <v>31</v>
      </c>
      <c r="D3608" s="3" t="s">
        <v>32</v>
      </c>
      <c r="E3608" s="4" t="s">
        <v>22</v>
      </c>
      <c r="F3608" s="4" t="s">
        <v>18926</v>
      </c>
      <c r="G3608" s="4" t="s">
        <v>18927</v>
      </c>
      <c r="H3608" s="3" t="s">
        <v>16292</v>
      </c>
      <c r="I3608" s="3" t="s">
        <v>18928</v>
      </c>
      <c r="J3608" s="3" t="s">
        <v>18929</v>
      </c>
      <c r="K3608" s="3" t="s">
        <v>18930</v>
      </c>
      <c r="L3608" s="3"/>
      <c r="M3608" s="4"/>
      <c r="N3608" s="3" t="s">
        <v>37</v>
      </c>
      <c r="O3608" s="3" t="s">
        <v>70</v>
      </c>
      <c r="P3608" s="5">
        <v>11</v>
      </c>
      <c r="Q3608" s="5">
        <v>115</v>
      </c>
      <c r="R3608" s="5">
        <v>11</v>
      </c>
      <c r="S3608" s="5">
        <v>119</v>
      </c>
    </row>
    <row r="3609" spans="1:19" ht="28" x14ac:dyDescent="0.15">
      <c r="A3609" s="2">
        <f>HYPERLINK("https://open-school.uspishnemisto.com.ua/school/180522/", 180522)</f>
        <v>180522</v>
      </c>
      <c r="B3609" s="3" t="s">
        <v>18931</v>
      </c>
      <c r="C3609" s="3" t="s">
        <v>31</v>
      </c>
      <c r="D3609" s="3" t="s">
        <v>175</v>
      </c>
      <c r="E3609" s="4" t="s">
        <v>22</v>
      </c>
      <c r="F3609" s="4" t="s">
        <v>18932</v>
      </c>
      <c r="G3609" s="4" t="s">
        <v>18933</v>
      </c>
      <c r="H3609" s="3" t="s">
        <v>16292</v>
      </c>
      <c r="I3609" s="3" t="s">
        <v>18934</v>
      </c>
      <c r="J3609" s="3" t="s">
        <v>2719</v>
      </c>
      <c r="K3609" s="3" t="s">
        <v>18935</v>
      </c>
      <c r="L3609" s="3"/>
      <c r="M3609" s="4"/>
      <c r="N3609" s="3" t="s">
        <v>37</v>
      </c>
      <c r="O3609" s="3" t="s">
        <v>46</v>
      </c>
      <c r="P3609" s="5">
        <v>8</v>
      </c>
      <c r="Q3609" s="5">
        <v>60</v>
      </c>
      <c r="R3609" s="5">
        <v>8</v>
      </c>
      <c r="S3609" s="5">
        <v>60</v>
      </c>
    </row>
    <row r="3610" spans="1:19" ht="28" x14ac:dyDescent="0.15">
      <c r="A3610" s="2">
        <f>HYPERLINK("https://open-school.uspishnemisto.com.ua/school/180523/", 180523)</f>
        <v>180523</v>
      </c>
      <c r="B3610" s="3" t="s">
        <v>18936</v>
      </c>
      <c r="C3610" s="3" t="s">
        <v>31</v>
      </c>
      <c r="D3610" s="3" t="s">
        <v>175</v>
      </c>
      <c r="E3610" s="4" t="s">
        <v>22</v>
      </c>
      <c r="F3610" s="4" t="s">
        <v>18937</v>
      </c>
      <c r="G3610" s="4" t="s">
        <v>18938</v>
      </c>
      <c r="H3610" s="3" t="s">
        <v>16292</v>
      </c>
      <c r="I3610" s="3" t="s">
        <v>18939</v>
      </c>
      <c r="J3610" s="3" t="s">
        <v>2978</v>
      </c>
      <c r="K3610" s="3" t="s">
        <v>18940</v>
      </c>
      <c r="L3610" s="3"/>
      <c r="M3610" s="4"/>
      <c r="N3610" s="3" t="s">
        <v>37</v>
      </c>
      <c r="O3610" s="3" t="s">
        <v>112</v>
      </c>
      <c r="P3610" s="5">
        <v>2</v>
      </c>
      <c r="Q3610" s="5">
        <v>32</v>
      </c>
      <c r="R3610" s="5">
        <v>2</v>
      </c>
      <c r="S3610" s="5">
        <v>34</v>
      </c>
    </row>
    <row r="3611" spans="1:19" ht="28" x14ac:dyDescent="0.15">
      <c r="A3611" s="2">
        <f>HYPERLINK("https://open-school.uspishnemisto.com.ua/school/180524/", 180524)</f>
        <v>180524</v>
      </c>
      <c r="B3611" s="3" t="s">
        <v>18941</v>
      </c>
      <c r="C3611" s="3" t="s">
        <v>31</v>
      </c>
      <c r="D3611" s="3" t="s">
        <v>32</v>
      </c>
      <c r="E3611" s="4" t="s">
        <v>253</v>
      </c>
      <c r="F3611" s="4" t="s">
        <v>18942</v>
      </c>
      <c r="G3611" s="4" t="s">
        <v>18943</v>
      </c>
      <c r="H3611" s="3" t="s">
        <v>16292</v>
      </c>
      <c r="I3611" s="3" t="s">
        <v>18944</v>
      </c>
      <c r="J3611" s="3" t="s">
        <v>952</v>
      </c>
      <c r="K3611" s="3" t="s">
        <v>18945</v>
      </c>
      <c r="L3611" s="3"/>
      <c r="M3611" s="4"/>
      <c r="N3611" s="3" t="s">
        <v>37</v>
      </c>
      <c r="O3611" s="3" t="s">
        <v>46</v>
      </c>
      <c r="P3611" s="5">
        <v>10</v>
      </c>
      <c r="Q3611" s="5">
        <v>70</v>
      </c>
      <c r="R3611" s="5">
        <v>9</v>
      </c>
      <c r="S3611" s="5">
        <v>67</v>
      </c>
    </row>
    <row r="3612" spans="1:19" ht="42" x14ac:dyDescent="0.15">
      <c r="A3612" s="2">
        <f>HYPERLINK("https://open-school.uspishnemisto.com.ua/school/180525/", 180525)</f>
        <v>180525</v>
      </c>
      <c r="B3612" s="3" t="s">
        <v>18946</v>
      </c>
      <c r="C3612" s="3" t="s">
        <v>31</v>
      </c>
      <c r="D3612" s="3" t="s">
        <v>32</v>
      </c>
      <c r="E3612" s="4" t="s">
        <v>22</v>
      </c>
      <c r="F3612" s="4"/>
      <c r="G3612" s="4" t="s">
        <v>18947</v>
      </c>
      <c r="H3612" s="3" t="s">
        <v>16292</v>
      </c>
      <c r="I3612" s="3" t="s">
        <v>18948</v>
      </c>
      <c r="J3612" s="3" t="s">
        <v>18949</v>
      </c>
      <c r="K3612" s="3" t="s">
        <v>18950</v>
      </c>
      <c r="L3612" s="3"/>
      <c r="M3612" s="4"/>
      <c r="N3612" s="3" t="s">
        <v>37</v>
      </c>
      <c r="O3612" s="3" t="s">
        <v>38</v>
      </c>
      <c r="P3612" s="5">
        <v>10</v>
      </c>
      <c r="Q3612" s="5">
        <v>163</v>
      </c>
      <c r="R3612" s="5">
        <v>11</v>
      </c>
      <c r="S3612" s="5">
        <v>163</v>
      </c>
    </row>
    <row r="3613" spans="1:19" ht="28" x14ac:dyDescent="0.15">
      <c r="A3613" s="2">
        <f>HYPERLINK("https://open-school.uspishnemisto.com.ua/school/180526/", 180526)</f>
        <v>180526</v>
      </c>
      <c r="B3613" s="3" t="s">
        <v>18951</v>
      </c>
      <c r="C3613" s="3" t="s">
        <v>31</v>
      </c>
      <c r="D3613" s="3" t="s">
        <v>32</v>
      </c>
      <c r="E3613" s="4" t="s">
        <v>22</v>
      </c>
      <c r="F3613" s="4" t="s">
        <v>18952</v>
      </c>
      <c r="G3613" s="4" t="s">
        <v>18953</v>
      </c>
      <c r="H3613" s="3" t="s">
        <v>16292</v>
      </c>
      <c r="I3613" s="3" t="s">
        <v>18954</v>
      </c>
      <c r="J3613" s="3" t="s">
        <v>18955</v>
      </c>
      <c r="K3613" s="3" t="s">
        <v>18956</v>
      </c>
      <c r="L3613" s="3"/>
      <c r="M3613" s="4"/>
      <c r="N3613" s="3" t="s">
        <v>37</v>
      </c>
      <c r="O3613" s="3" t="s">
        <v>38</v>
      </c>
      <c r="P3613" s="5">
        <v>10</v>
      </c>
      <c r="Q3613" s="5">
        <v>139</v>
      </c>
      <c r="R3613" s="5">
        <v>11</v>
      </c>
      <c r="S3613" s="5">
        <v>143</v>
      </c>
    </row>
    <row r="3614" spans="1:19" ht="28" x14ac:dyDescent="0.15">
      <c r="A3614" s="2">
        <f>HYPERLINK("https://open-school.uspishnemisto.com.ua/school/180527/", 180527)</f>
        <v>180527</v>
      </c>
      <c r="B3614" s="3" t="s">
        <v>18957</v>
      </c>
      <c r="C3614" s="3" t="s">
        <v>31</v>
      </c>
      <c r="D3614" s="3" t="s">
        <v>175</v>
      </c>
      <c r="E3614" s="4" t="s">
        <v>22</v>
      </c>
      <c r="F3614" s="4" t="s">
        <v>18958</v>
      </c>
      <c r="G3614" s="4" t="s">
        <v>18959</v>
      </c>
      <c r="H3614" s="3" t="s">
        <v>16292</v>
      </c>
      <c r="I3614" s="3" t="s">
        <v>18960</v>
      </c>
      <c r="J3614" s="3" t="s">
        <v>3393</v>
      </c>
      <c r="K3614" s="3" t="s">
        <v>18961</v>
      </c>
      <c r="L3614" s="3"/>
      <c r="M3614" s="4"/>
      <c r="N3614" s="3" t="s">
        <v>37</v>
      </c>
      <c r="O3614" s="3" t="s">
        <v>38</v>
      </c>
      <c r="P3614" s="5">
        <v>6</v>
      </c>
      <c r="Q3614" s="5">
        <v>51</v>
      </c>
      <c r="R3614" s="5">
        <v>7</v>
      </c>
      <c r="S3614" s="5">
        <v>51</v>
      </c>
    </row>
    <row r="3615" spans="1:19" ht="28" x14ac:dyDescent="0.15">
      <c r="A3615" s="2">
        <f>HYPERLINK("https://open-school.uspishnemisto.com.ua/school/180528/", 180528)</f>
        <v>180528</v>
      </c>
      <c r="B3615" s="3" t="s">
        <v>18962</v>
      </c>
      <c r="C3615" s="3" t="s">
        <v>31</v>
      </c>
      <c r="D3615" s="3" t="s">
        <v>32</v>
      </c>
      <c r="E3615" s="4" t="s">
        <v>22</v>
      </c>
      <c r="F3615" s="4" t="s">
        <v>18963</v>
      </c>
      <c r="G3615" s="4" t="s">
        <v>18964</v>
      </c>
      <c r="H3615" s="3" t="s">
        <v>16292</v>
      </c>
      <c r="I3615" s="3" t="s">
        <v>18965</v>
      </c>
      <c r="J3615" s="3" t="s">
        <v>1636</v>
      </c>
      <c r="K3615" s="3" t="s">
        <v>18966</v>
      </c>
      <c r="L3615" s="3"/>
      <c r="M3615" s="4"/>
      <c r="N3615" s="3" t="s">
        <v>37</v>
      </c>
      <c r="O3615" s="3" t="s">
        <v>112</v>
      </c>
      <c r="P3615" s="5">
        <v>11</v>
      </c>
      <c r="Q3615" s="5">
        <v>151</v>
      </c>
      <c r="R3615" s="5">
        <v>11</v>
      </c>
      <c r="S3615" s="5">
        <v>161</v>
      </c>
    </row>
    <row r="3616" spans="1:19" ht="28" x14ac:dyDescent="0.15">
      <c r="A3616" s="2">
        <f>HYPERLINK("https://open-school.uspishnemisto.com.ua/school/180529/", 180529)</f>
        <v>180529</v>
      </c>
      <c r="B3616" s="3" t="s">
        <v>18967</v>
      </c>
      <c r="C3616" s="3" t="s">
        <v>31</v>
      </c>
      <c r="D3616" s="3" t="s">
        <v>32</v>
      </c>
      <c r="E3616" s="4" t="s">
        <v>22</v>
      </c>
      <c r="F3616" s="4" t="s">
        <v>18968</v>
      </c>
      <c r="G3616" s="4" t="s">
        <v>18969</v>
      </c>
      <c r="H3616" s="3" t="s">
        <v>16292</v>
      </c>
      <c r="I3616" s="3" t="s">
        <v>18970</v>
      </c>
      <c r="J3616" s="3" t="s">
        <v>18971</v>
      </c>
      <c r="K3616" s="3" t="s">
        <v>18972</v>
      </c>
      <c r="L3616" s="3"/>
      <c r="M3616" s="4"/>
      <c r="N3616" s="3" t="s">
        <v>37</v>
      </c>
      <c r="O3616" s="3" t="s">
        <v>38</v>
      </c>
      <c r="P3616" s="5">
        <v>6</v>
      </c>
      <c r="Q3616" s="5">
        <v>42</v>
      </c>
      <c r="R3616" s="5">
        <v>8</v>
      </c>
      <c r="S3616" s="5">
        <v>53</v>
      </c>
    </row>
    <row r="3617" spans="1:19" ht="28" x14ac:dyDescent="0.15">
      <c r="A3617" s="2">
        <f>HYPERLINK("https://open-school.uspishnemisto.com.ua/school/180530/", 180530)</f>
        <v>180530</v>
      </c>
      <c r="B3617" s="3" t="s">
        <v>18973</v>
      </c>
      <c r="C3617" s="3" t="s">
        <v>31</v>
      </c>
      <c r="D3617" s="3" t="s">
        <v>32</v>
      </c>
      <c r="E3617" s="4" t="s">
        <v>22</v>
      </c>
      <c r="F3617" s="4" t="s">
        <v>18974</v>
      </c>
      <c r="G3617" s="4" t="s">
        <v>18975</v>
      </c>
      <c r="H3617" s="3" t="s">
        <v>16292</v>
      </c>
      <c r="I3617" s="3" t="s">
        <v>18976</v>
      </c>
      <c r="J3617" s="3" t="s">
        <v>554</v>
      </c>
      <c r="K3617" s="3" t="s">
        <v>18977</v>
      </c>
      <c r="L3617" s="3"/>
      <c r="M3617" s="4"/>
      <c r="N3617" s="3" t="s">
        <v>37</v>
      </c>
      <c r="O3617" s="3" t="s">
        <v>70</v>
      </c>
      <c r="P3617" s="5">
        <v>10</v>
      </c>
      <c r="Q3617" s="5">
        <v>75</v>
      </c>
      <c r="R3617" s="5">
        <v>10</v>
      </c>
      <c r="S3617" s="5">
        <v>70</v>
      </c>
    </row>
    <row r="3618" spans="1:19" ht="28" x14ac:dyDescent="0.15">
      <c r="A3618" s="2">
        <f>HYPERLINK("https://open-school.uspishnemisto.com.ua/school/180531/", 180531)</f>
        <v>180531</v>
      </c>
      <c r="B3618" s="3" t="s">
        <v>18978</v>
      </c>
      <c r="C3618" s="3" t="s">
        <v>31</v>
      </c>
      <c r="D3618" s="3" t="s">
        <v>175</v>
      </c>
      <c r="E3618" s="4" t="s">
        <v>22</v>
      </c>
      <c r="F3618" s="4" t="s">
        <v>18979</v>
      </c>
      <c r="G3618" s="4" t="s">
        <v>18980</v>
      </c>
      <c r="H3618" s="3" t="s">
        <v>16292</v>
      </c>
      <c r="I3618" s="3" t="s">
        <v>18981</v>
      </c>
      <c r="J3618" s="3" t="s">
        <v>3415</v>
      </c>
      <c r="K3618" s="3" t="s">
        <v>18982</v>
      </c>
      <c r="L3618" s="3"/>
      <c r="M3618" s="4"/>
      <c r="N3618" s="3" t="s">
        <v>37</v>
      </c>
      <c r="O3618" s="3" t="s">
        <v>46</v>
      </c>
      <c r="P3618" s="5">
        <v>3</v>
      </c>
      <c r="Q3618" s="5">
        <v>34</v>
      </c>
      <c r="R3618" s="5">
        <v>3</v>
      </c>
      <c r="S3618" s="5">
        <v>35</v>
      </c>
    </row>
    <row r="3619" spans="1:19" ht="28" x14ac:dyDescent="0.15">
      <c r="A3619" s="2">
        <f>HYPERLINK("https://open-school.uspishnemisto.com.ua/school/180532/", 180532)</f>
        <v>180532</v>
      </c>
      <c r="B3619" s="3" t="s">
        <v>18983</v>
      </c>
      <c r="C3619" s="3" t="s">
        <v>31</v>
      </c>
      <c r="D3619" s="3" t="s">
        <v>32</v>
      </c>
      <c r="E3619" s="4" t="s">
        <v>253</v>
      </c>
      <c r="F3619" s="4" t="s">
        <v>18984</v>
      </c>
      <c r="G3619" s="4" t="s">
        <v>18985</v>
      </c>
      <c r="H3619" s="3" t="s">
        <v>16292</v>
      </c>
      <c r="I3619" s="3" t="s">
        <v>18986</v>
      </c>
      <c r="J3619" s="3" t="s">
        <v>5955</v>
      </c>
      <c r="K3619" s="3" t="s">
        <v>18987</v>
      </c>
      <c r="L3619" s="3"/>
      <c r="M3619" s="4"/>
      <c r="N3619" s="3" t="s">
        <v>37</v>
      </c>
      <c r="O3619" s="3" t="s">
        <v>46</v>
      </c>
      <c r="P3619" s="5">
        <v>11</v>
      </c>
      <c r="Q3619" s="5">
        <v>173</v>
      </c>
      <c r="R3619" s="5">
        <v>11</v>
      </c>
      <c r="S3619" s="5">
        <v>186</v>
      </c>
    </row>
    <row r="3620" spans="1:19" ht="28" x14ac:dyDescent="0.15">
      <c r="A3620" s="2">
        <f>HYPERLINK("https://open-school.uspishnemisto.com.ua/school/180533/", 180533)</f>
        <v>180533</v>
      </c>
      <c r="B3620" s="3" t="s">
        <v>18988</v>
      </c>
      <c r="C3620" s="3" t="s">
        <v>31</v>
      </c>
      <c r="D3620" s="3" t="s">
        <v>175</v>
      </c>
      <c r="E3620" s="4" t="s">
        <v>22</v>
      </c>
      <c r="F3620" s="4" t="s">
        <v>18989</v>
      </c>
      <c r="G3620" s="4" t="s">
        <v>18990</v>
      </c>
      <c r="H3620" s="3" t="s">
        <v>16292</v>
      </c>
      <c r="I3620" s="3" t="s">
        <v>18694</v>
      </c>
      <c r="J3620" s="3" t="s">
        <v>18991</v>
      </c>
      <c r="K3620" s="3" t="s">
        <v>18992</v>
      </c>
      <c r="L3620" s="3"/>
      <c r="M3620" s="4"/>
      <c r="N3620" s="3" t="s">
        <v>37</v>
      </c>
      <c r="O3620" s="3" t="s">
        <v>46</v>
      </c>
      <c r="P3620" s="5">
        <v>9</v>
      </c>
      <c r="Q3620" s="5">
        <v>79</v>
      </c>
      <c r="R3620" s="5">
        <v>9</v>
      </c>
      <c r="S3620" s="5">
        <v>78</v>
      </c>
    </row>
    <row r="3621" spans="1:19" ht="28" x14ac:dyDescent="0.15">
      <c r="A3621" s="2">
        <f>HYPERLINK("https://open-school.uspishnemisto.com.ua/school/180534/", 180534)</f>
        <v>180534</v>
      </c>
      <c r="B3621" s="3" t="s">
        <v>18993</v>
      </c>
      <c r="C3621" s="3" t="s">
        <v>31</v>
      </c>
      <c r="D3621" s="3" t="s">
        <v>175</v>
      </c>
      <c r="E3621" s="4" t="s">
        <v>22</v>
      </c>
      <c r="F3621" s="4" t="s">
        <v>18994</v>
      </c>
      <c r="G3621" s="4" t="s">
        <v>18995</v>
      </c>
      <c r="H3621" s="3" t="s">
        <v>16292</v>
      </c>
      <c r="I3621" s="3" t="s">
        <v>18996</v>
      </c>
      <c r="J3621" s="3" t="s">
        <v>17722</v>
      </c>
      <c r="K3621" s="3" t="s">
        <v>18997</v>
      </c>
      <c r="L3621" s="3"/>
      <c r="M3621" s="4"/>
      <c r="N3621" s="3" t="s">
        <v>37</v>
      </c>
      <c r="O3621" s="3" t="s">
        <v>46</v>
      </c>
      <c r="P3621" s="5">
        <v>1</v>
      </c>
      <c r="Q3621" s="5">
        <v>26</v>
      </c>
      <c r="R3621" s="5">
        <v>1</v>
      </c>
      <c r="S3621" s="5">
        <v>26</v>
      </c>
    </row>
    <row r="3622" spans="1:19" ht="28" x14ac:dyDescent="0.15">
      <c r="A3622" s="2">
        <f>HYPERLINK("https://open-school.uspishnemisto.com.ua/school/180535/", 180535)</f>
        <v>180535</v>
      </c>
      <c r="B3622" s="3" t="s">
        <v>18998</v>
      </c>
      <c r="C3622" s="3" t="s">
        <v>31</v>
      </c>
      <c r="D3622" s="3" t="s">
        <v>32</v>
      </c>
      <c r="E3622" s="4" t="s">
        <v>22</v>
      </c>
      <c r="F3622" s="4" t="s">
        <v>18999</v>
      </c>
      <c r="G3622" s="4" t="s">
        <v>19000</v>
      </c>
      <c r="H3622" s="3" t="s">
        <v>16292</v>
      </c>
      <c r="I3622" s="3" t="s">
        <v>19001</v>
      </c>
      <c r="J3622" s="3" t="s">
        <v>792</v>
      </c>
      <c r="K3622" s="3" t="s">
        <v>19002</v>
      </c>
      <c r="L3622" s="3"/>
      <c r="M3622" s="4"/>
      <c r="N3622" s="3" t="s">
        <v>37</v>
      </c>
      <c r="O3622" s="3" t="s">
        <v>38</v>
      </c>
      <c r="P3622" s="5">
        <v>10</v>
      </c>
      <c r="Q3622" s="5">
        <v>140</v>
      </c>
      <c r="R3622" s="5">
        <v>11</v>
      </c>
      <c r="S3622" s="5">
        <v>141</v>
      </c>
    </row>
    <row r="3623" spans="1:19" ht="28" x14ac:dyDescent="0.15">
      <c r="A3623" s="2">
        <f>HYPERLINK("https://open-school.uspishnemisto.com.ua/school/180536/", 180536)</f>
        <v>180536</v>
      </c>
      <c r="B3623" s="3" t="s">
        <v>19003</v>
      </c>
      <c r="C3623" s="3" t="s">
        <v>31</v>
      </c>
      <c r="D3623" s="3" t="s">
        <v>32</v>
      </c>
      <c r="E3623" s="4" t="s">
        <v>22</v>
      </c>
      <c r="F3623" s="4" t="s">
        <v>19004</v>
      </c>
      <c r="G3623" s="4" t="s">
        <v>19005</v>
      </c>
      <c r="H3623" s="3" t="s">
        <v>16292</v>
      </c>
      <c r="I3623" s="3" t="s">
        <v>19006</v>
      </c>
      <c r="J3623" s="3" t="s">
        <v>19007</v>
      </c>
      <c r="K3623" s="3" t="s">
        <v>19008</v>
      </c>
      <c r="L3623" s="3"/>
      <c r="M3623" s="4"/>
      <c r="N3623" s="3" t="s">
        <v>37</v>
      </c>
      <c r="O3623" s="3" t="s">
        <v>46</v>
      </c>
      <c r="P3623" s="5">
        <v>9</v>
      </c>
      <c r="Q3623" s="5">
        <v>95</v>
      </c>
      <c r="R3623" s="5">
        <v>10</v>
      </c>
      <c r="S3623" s="5">
        <v>91</v>
      </c>
    </row>
    <row r="3624" spans="1:19" ht="28" x14ac:dyDescent="0.15">
      <c r="A3624" s="2">
        <f>HYPERLINK("https://open-school.uspishnemisto.com.ua/school/180537/", 180537)</f>
        <v>180537</v>
      </c>
      <c r="B3624" s="3" t="s">
        <v>19009</v>
      </c>
      <c r="C3624" s="3" t="s">
        <v>31</v>
      </c>
      <c r="D3624" s="3" t="s">
        <v>32</v>
      </c>
      <c r="E3624" s="4" t="s">
        <v>22</v>
      </c>
      <c r="F3624" s="4" t="s">
        <v>19010</v>
      </c>
      <c r="G3624" s="4" t="s">
        <v>19011</v>
      </c>
      <c r="H3624" s="3" t="s">
        <v>16292</v>
      </c>
      <c r="I3624" s="3" t="s">
        <v>19012</v>
      </c>
      <c r="J3624" s="3" t="s">
        <v>19013</v>
      </c>
      <c r="K3624" s="3" t="s">
        <v>19014</v>
      </c>
      <c r="L3624" s="3"/>
      <c r="M3624" s="4"/>
      <c r="N3624" s="3" t="s">
        <v>37</v>
      </c>
      <c r="O3624" s="3" t="s">
        <v>70</v>
      </c>
      <c r="P3624" s="5">
        <v>11</v>
      </c>
      <c r="Q3624" s="5">
        <v>134</v>
      </c>
      <c r="R3624" s="5">
        <v>11</v>
      </c>
      <c r="S3624" s="5">
        <v>151</v>
      </c>
    </row>
    <row r="3625" spans="1:19" ht="28" x14ac:dyDescent="0.15">
      <c r="A3625" s="2">
        <f>HYPERLINK("https://open-school.uspishnemisto.com.ua/school/180538/", 180538)</f>
        <v>180538</v>
      </c>
      <c r="B3625" s="3" t="s">
        <v>19015</v>
      </c>
      <c r="C3625" s="3" t="s">
        <v>31</v>
      </c>
      <c r="D3625" s="3" t="s">
        <v>32</v>
      </c>
      <c r="E3625" s="4" t="s">
        <v>253</v>
      </c>
      <c r="F3625" s="4" t="s">
        <v>19016</v>
      </c>
      <c r="G3625" s="4" t="s">
        <v>19017</v>
      </c>
      <c r="H3625" s="3" t="s">
        <v>16292</v>
      </c>
      <c r="I3625" s="3" t="s">
        <v>19018</v>
      </c>
      <c r="J3625" s="3" t="s">
        <v>19019</v>
      </c>
      <c r="K3625" s="3" t="s">
        <v>19020</v>
      </c>
      <c r="L3625" s="3"/>
      <c r="M3625" s="4"/>
      <c r="N3625" s="3" t="s">
        <v>37</v>
      </c>
      <c r="O3625" s="3" t="s">
        <v>38</v>
      </c>
      <c r="P3625" s="5">
        <v>9</v>
      </c>
      <c r="Q3625" s="5">
        <v>78</v>
      </c>
      <c r="R3625" s="5">
        <v>9</v>
      </c>
      <c r="S3625" s="5">
        <v>77</v>
      </c>
    </row>
    <row r="3626" spans="1:19" ht="28" x14ac:dyDescent="0.15">
      <c r="A3626" s="2">
        <f>HYPERLINK("https://open-school.uspishnemisto.com.ua/school/180539/", 180539)</f>
        <v>180539</v>
      </c>
      <c r="B3626" s="3" t="s">
        <v>19021</v>
      </c>
      <c r="C3626" s="3" t="s">
        <v>31</v>
      </c>
      <c r="D3626" s="3" t="s">
        <v>60</v>
      </c>
      <c r="E3626" s="4" t="s">
        <v>253</v>
      </c>
      <c r="F3626" s="4" t="s">
        <v>19022</v>
      </c>
      <c r="G3626" s="4" t="s">
        <v>19023</v>
      </c>
      <c r="H3626" s="3" t="s">
        <v>16292</v>
      </c>
      <c r="I3626" s="3" t="s">
        <v>19024</v>
      </c>
      <c r="J3626" s="3" t="s">
        <v>19025</v>
      </c>
      <c r="K3626" s="3" t="s">
        <v>19026</v>
      </c>
      <c r="L3626" s="3"/>
      <c r="M3626" s="4"/>
      <c r="N3626" s="3" t="s">
        <v>37</v>
      </c>
      <c r="O3626" s="3" t="s">
        <v>618</v>
      </c>
      <c r="P3626" s="5">
        <v>0</v>
      </c>
      <c r="Q3626" s="5">
        <v>9</v>
      </c>
      <c r="R3626" s="5">
        <v>0</v>
      </c>
      <c r="S3626" s="5">
        <v>7</v>
      </c>
    </row>
    <row r="3627" spans="1:19" ht="28" x14ac:dyDescent="0.15">
      <c r="A3627" s="2">
        <f>HYPERLINK("https://open-school.uspishnemisto.com.ua/school/180540/", 180540)</f>
        <v>180540</v>
      </c>
      <c r="B3627" s="3" t="s">
        <v>19027</v>
      </c>
      <c r="C3627" s="3" t="s">
        <v>31</v>
      </c>
      <c r="D3627" s="3" t="s">
        <v>32</v>
      </c>
      <c r="E3627" s="4" t="s">
        <v>22</v>
      </c>
      <c r="F3627" s="4" t="s">
        <v>19028</v>
      </c>
      <c r="G3627" s="4" t="s">
        <v>19029</v>
      </c>
      <c r="H3627" s="3" t="s">
        <v>16292</v>
      </c>
      <c r="I3627" s="3" t="s">
        <v>19030</v>
      </c>
      <c r="J3627" s="3" t="s">
        <v>19031</v>
      </c>
      <c r="K3627" s="3" t="s">
        <v>19032</v>
      </c>
      <c r="L3627" s="3"/>
      <c r="M3627" s="4" t="s">
        <v>19033</v>
      </c>
      <c r="N3627" s="3" t="s">
        <v>37</v>
      </c>
      <c r="O3627" s="3" t="s">
        <v>46</v>
      </c>
      <c r="P3627" s="5">
        <v>13</v>
      </c>
      <c r="Q3627" s="5">
        <v>245</v>
      </c>
      <c r="R3627" s="5">
        <v>11</v>
      </c>
      <c r="S3627" s="5">
        <v>228</v>
      </c>
    </row>
    <row r="3628" spans="1:19" ht="42" x14ac:dyDescent="0.15">
      <c r="A3628" s="2">
        <f>HYPERLINK("https://open-school.uspishnemisto.com.ua/school/180541/", 180541)</f>
        <v>180541</v>
      </c>
      <c r="B3628" s="3" t="s">
        <v>19034</v>
      </c>
      <c r="C3628" s="3" t="s">
        <v>31</v>
      </c>
      <c r="D3628" s="3" t="s">
        <v>175</v>
      </c>
      <c r="E3628" s="4" t="s">
        <v>22</v>
      </c>
      <c r="F3628" s="4" t="s">
        <v>19028</v>
      </c>
      <c r="G3628" s="4" t="s">
        <v>19035</v>
      </c>
      <c r="H3628" s="3" t="s">
        <v>16292</v>
      </c>
      <c r="I3628" s="3" t="s">
        <v>19036</v>
      </c>
      <c r="J3628" s="3" t="s">
        <v>2063</v>
      </c>
      <c r="K3628" s="3" t="s">
        <v>19037</v>
      </c>
      <c r="L3628" s="3"/>
      <c r="M3628" s="4"/>
      <c r="N3628" s="3" t="s">
        <v>37</v>
      </c>
      <c r="O3628" s="3" t="s">
        <v>46</v>
      </c>
      <c r="P3628" s="5">
        <v>0</v>
      </c>
      <c r="Q3628" s="5">
        <v>0</v>
      </c>
      <c r="R3628" s="5">
        <v>2</v>
      </c>
      <c r="S3628" s="5">
        <v>29</v>
      </c>
    </row>
    <row r="3629" spans="1:19" ht="28" x14ac:dyDescent="0.15">
      <c r="A3629" s="2">
        <f>HYPERLINK("https://open-school.uspishnemisto.com.ua/school/180542/", 180542)</f>
        <v>180542</v>
      </c>
      <c r="B3629" s="3" t="s">
        <v>19038</v>
      </c>
      <c r="C3629" s="3" t="s">
        <v>31</v>
      </c>
      <c r="D3629" s="3" t="s">
        <v>32</v>
      </c>
      <c r="E3629" s="4" t="s">
        <v>22</v>
      </c>
      <c r="F3629" s="4" t="s">
        <v>19039</v>
      </c>
      <c r="G3629" s="4" t="s">
        <v>19040</v>
      </c>
      <c r="H3629" s="3" t="s">
        <v>16292</v>
      </c>
      <c r="I3629" s="3" t="s">
        <v>19041</v>
      </c>
      <c r="J3629" s="3" t="s">
        <v>19042</v>
      </c>
      <c r="K3629" s="3" t="s">
        <v>19043</v>
      </c>
      <c r="L3629" s="3"/>
      <c r="M3629" s="4"/>
      <c r="N3629" s="3" t="s">
        <v>37</v>
      </c>
      <c r="O3629" s="3" t="s">
        <v>70</v>
      </c>
      <c r="P3629" s="5">
        <v>11</v>
      </c>
      <c r="Q3629" s="5">
        <v>101</v>
      </c>
      <c r="R3629" s="5">
        <v>11</v>
      </c>
      <c r="S3629" s="5">
        <v>104</v>
      </c>
    </row>
    <row r="3630" spans="1:19" ht="28" x14ac:dyDescent="0.15">
      <c r="A3630" s="2">
        <f>HYPERLINK("https://open-school.uspishnemisto.com.ua/school/180543/", 180543)</f>
        <v>180543</v>
      </c>
      <c r="B3630" s="3" t="s">
        <v>19044</v>
      </c>
      <c r="C3630" s="3" t="s">
        <v>31</v>
      </c>
      <c r="D3630" s="3" t="s">
        <v>175</v>
      </c>
      <c r="E3630" s="4" t="s">
        <v>22</v>
      </c>
      <c r="F3630" s="4" t="s">
        <v>19045</v>
      </c>
      <c r="G3630" s="4" t="s">
        <v>19046</v>
      </c>
      <c r="H3630" s="3" t="s">
        <v>16292</v>
      </c>
      <c r="I3630" s="3" t="s">
        <v>19047</v>
      </c>
      <c r="J3630" s="3" t="s">
        <v>946</v>
      </c>
      <c r="K3630" s="3" t="s">
        <v>19048</v>
      </c>
      <c r="L3630" s="3"/>
      <c r="M3630" s="4"/>
      <c r="N3630" s="3" t="s">
        <v>37</v>
      </c>
      <c r="O3630" s="3" t="s">
        <v>46</v>
      </c>
      <c r="P3630" s="5">
        <v>6</v>
      </c>
      <c r="Q3630" s="5">
        <v>48</v>
      </c>
      <c r="R3630" s="5">
        <v>6</v>
      </c>
      <c r="S3630" s="5">
        <v>52</v>
      </c>
    </row>
    <row r="3631" spans="1:19" ht="28" x14ac:dyDescent="0.15">
      <c r="A3631" s="2">
        <f>HYPERLINK("https://open-school.uspishnemisto.com.ua/school/180544/", 180544)</f>
        <v>180544</v>
      </c>
      <c r="B3631" s="3" t="s">
        <v>19049</v>
      </c>
      <c r="C3631" s="3" t="s">
        <v>31</v>
      </c>
      <c r="D3631" s="3" t="s">
        <v>175</v>
      </c>
      <c r="E3631" s="4" t="s">
        <v>22</v>
      </c>
      <c r="F3631" s="4" t="s">
        <v>19050</v>
      </c>
      <c r="G3631" s="4" t="s">
        <v>19051</v>
      </c>
      <c r="H3631" s="3" t="s">
        <v>16292</v>
      </c>
      <c r="I3631" s="3" t="s">
        <v>17844</v>
      </c>
      <c r="J3631" s="3" t="s">
        <v>6598</v>
      </c>
      <c r="K3631" s="3" t="s">
        <v>19052</v>
      </c>
      <c r="L3631" s="3"/>
      <c r="M3631" s="4"/>
      <c r="N3631" s="3" t="s">
        <v>37</v>
      </c>
      <c r="O3631" s="3" t="s">
        <v>46</v>
      </c>
      <c r="P3631" s="5">
        <v>2</v>
      </c>
      <c r="Q3631" s="5">
        <v>27</v>
      </c>
      <c r="R3631" s="5">
        <v>2</v>
      </c>
      <c r="S3631" s="5">
        <v>26</v>
      </c>
    </row>
    <row r="3632" spans="1:19" ht="42" x14ac:dyDescent="0.15">
      <c r="A3632" s="2">
        <f>HYPERLINK("https://open-school.uspishnemisto.com.ua/school/180545/", 180545)</f>
        <v>180545</v>
      </c>
      <c r="B3632" s="3" t="s">
        <v>19053</v>
      </c>
      <c r="C3632" s="3" t="s">
        <v>31</v>
      </c>
      <c r="D3632" s="3" t="s">
        <v>175</v>
      </c>
      <c r="E3632" s="4" t="s">
        <v>22</v>
      </c>
      <c r="F3632" s="4" t="s">
        <v>19054</v>
      </c>
      <c r="G3632" s="4" t="s">
        <v>19055</v>
      </c>
      <c r="H3632" s="3" t="s">
        <v>16292</v>
      </c>
      <c r="I3632" s="3" t="s">
        <v>19056</v>
      </c>
      <c r="J3632" s="3" t="s">
        <v>19057</v>
      </c>
      <c r="K3632" s="3" t="s">
        <v>19058</v>
      </c>
      <c r="L3632" s="3"/>
      <c r="M3632" s="4"/>
      <c r="N3632" s="3" t="s">
        <v>37</v>
      </c>
      <c r="O3632" s="3" t="s">
        <v>52</v>
      </c>
      <c r="P3632" s="5">
        <v>0</v>
      </c>
      <c r="Q3632" s="5">
        <v>0</v>
      </c>
      <c r="R3632" s="5">
        <v>3</v>
      </c>
      <c r="S3632" s="5">
        <v>28</v>
      </c>
    </row>
    <row r="3633" spans="1:19" ht="28" x14ac:dyDescent="0.15">
      <c r="A3633" s="2">
        <f>HYPERLINK("https://open-school.uspishnemisto.com.ua/school/180546/", 180546)</f>
        <v>180546</v>
      </c>
      <c r="B3633" s="3" t="s">
        <v>19059</v>
      </c>
      <c r="C3633" s="3" t="s">
        <v>31</v>
      </c>
      <c r="D3633" s="3" t="s">
        <v>32</v>
      </c>
      <c r="E3633" s="4" t="s">
        <v>22</v>
      </c>
      <c r="F3633" s="4" t="s">
        <v>19060</v>
      </c>
      <c r="G3633" s="4" t="s">
        <v>19061</v>
      </c>
      <c r="H3633" s="3" t="s">
        <v>16292</v>
      </c>
      <c r="I3633" s="3" t="s">
        <v>19062</v>
      </c>
      <c r="J3633" s="3" t="s">
        <v>19063</v>
      </c>
      <c r="K3633" s="3" t="s">
        <v>19064</v>
      </c>
      <c r="L3633" s="3"/>
      <c r="M3633" s="4"/>
      <c r="N3633" s="3" t="s">
        <v>37</v>
      </c>
      <c r="O3633" s="3" t="s">
        <v>38</v>
      </c>
      <c r="P3633" s="5">
        <v>11</v>
      </c>
      <c r="Q3633" s="5">
        <v>178</v>
      </c>
      <c r="R3633" s="5">
        <v>10</v>
      </c>
      <c r="S3633" s="5">
        <v>171</v>
      </c>
    </row>
    <row r="3634" spans="1:19" ht="28" x14ac:dyDescent="0.15">
      <c r="A3634" s="2">
        <f>HYPERLINK("https://open-school.uspishnemisto.com.ua/school/180547/", 180547)</f>
        <v>180547</v>
      </c>
      <c r="B3634" s="3" t="s">
        <v>19065</v>
      </c>
      <c r="C3634" s="3" t="s">
        <v>40</v>
      </c>
      <c r="D3634" s="3" t="s">
        <v>32</v>
      </c>
      <c r="E3634" s="4" t="s">
        <v>22</v>
      </c>
      <c r="F3634" s="4" t="s">
        <v>19066</v>
      </c>
      <c r="G3634" s="4" t="s">
        <v>19067</v>
      </c>
      <c r="H3634" s="3" t="s">
        <v>16292</v>
      </c>
      <c r="I3634" s="3" t="s">
        <v>19068</v>
      </c>
      <c r="J3634" s="3" t="s">
        <v>19069</v>
      </c>
      <c r="K3634" s="3" t="s">
        <v>19070</v>
      </c>
      <c r="L3634" s="3"/>
      <c r="M3634" s="4"/>
      <c r="N3634" s="3" t="s">
        <v>37</v>
      </c>
      <c r="O3634" s="3" t="s">
        <v>52</v>
      </c>
      <c r="P3634" s="5">
        <v>25</v>
      </c>
      <c r="Q3634" s="5">
        <v>593</v>
      </c>
      <c r="R3634" s="5">
        <v>24</v>
      </c>
      <c r="S3634" s="5">
        <v>589</v>
      </c>
    </row>
    <row r="3635" spans="1:19" ht="28" x14ac:dyDescent="0.15">
      <c r="A3635" s="2">
        <f>HYPERLINK("https://open-school.uspishnemisto.com.ua/school/180548/", 180548)</f>
        <v>180548</v>
      </c>
      <c r="B3635" s="3" t="s">
        <v>19071</v>
      </c>
      <c r="C3635" s="3" t="s">
        <v>31</v>
      </c>
      <c r="D3635" s="3" t="s">
        <v>32</v>
      </c>
      <c r="E3635" s="4" t="s">
        <v>22</v>
      </c>
      <c r="F3635" s="4" t="s">
        <v>19066</v>
      </c>
      <c r="G3635" s="4" t="s">
        <v>19067</v>
      </c>
      <c r="H3635" s="3" t="s">
        <v>16292</v>
      </c>
      <c r="I3635" s="3" t="s">
        <v>19068</v>
      </c>
      <c r="J3635" s="3" t="s">
        <v>19072</v>
      </c>
      <c r="K3635" s="3" t="s">
        <v>19073</v>
      </c>
      <c r="L3635" s="3"/>
      <c r="M3635" s="4"/>
      <c r="N3635" s="3" t="s">
        <v>37</v>
      </c>
      <c r="O3635" s="3" t="s">
        <v>38</v>
      </c>
      <c r="P3635" s="5">
        <v>26</v>
      </c>
      <c r="Q3635" s="5">
        <v>611</v>
      </c>
      <c r="R3635" s="5">
        <v>25</v>
      </c>
      <c r="S3635" s="5">
        <v>604</v>
      </c>
    </row>
    <row r="3636" spans="1:19" ht="28" x14ac:dyDescent="0.15">
      <c r="A3636" s="2">
        <f>HYPERLINK("https://open-school.uspishnemisto.com.ua/school/180549/", 180549)</f>
        <v>180549</v>
      </c>
      <c r="B3636" s="3" t="s">
        <v>19074</v>
      </c>
      <c r="C3636" s="3" t="s">
        <v>31</v>
      </c>
      <c r="D3636" s="3" t="s">
        <v>32</v>
      </c>
      <c r="E3636" s="4" t="s">
        <v>22</v>
      </c>
      <c r="F3636" s="4" t="s">
        <v>19075</v>
      </c>
      <c r="G3636" s="4" t="s">
        <v>19067</v>
      </c>
      <c r="H3636" s="3" t="s">
        <v>16292</v>
      </c>
      <c r="I3636" s="3" t="s">
        <v>19068</v>
      </c>
      <c r="J3636" s="3" t="s">
        <v>466</v>
      </c>
      <c r="K3636" s="3" t="s">
        <v>19076</v>
      </c>
      <c r="L3636" s="3"/>
      <c r="M3636" s="4"/>
      <c r="N3636" s="3" t="s">
        <v>37</v>
      </c>
      <c r="O3636" s="3" t="s">
        <v>38</v>
      </c>
      <c r="P3636" s="5">
        <v>16</v>
      </c>
      <c r="Q3636" s="5">
        <v>313</v>
      </c>
      <c r="R3636" s="5">
        <v>16</v>
      </c>
      <c r="S3636" s="5">
        <v>308</v>
      </c>
    </row>
    <row r="3637" spans="1:19" ht="42" x14ac:dyDescent="0.15">
      <c r="A3637" s="2">
        <f>HYPERLINK("https://open-school.uspishnemisto.com.ua/school/180550/", 180550)</f>
        <v>180550</v>
      </c>
      <c r="B3637" s="3" t="s">
        <v>19077</v>
      </c>
      <c r="C3637" s="3" t="s">
        <v>7651</v>
      </c>
      <c r="D3637" s="3" t="s">
        <v>19078</v>
      </c>
      <c r="E3637" s="4" t="s">
        <v>22</v>
      </c>
      <c r="F3637" s="4" t="s">
        <v>19079</v>
      </c>
      <c r="G3637" s="4" t="s">
        <v>19067</v>
      </c>
      <c r="H3637" s="3" t="s">
        <v>16292</v>
      </c>
      <c r="I3637" s="3" t="s">
        <v>19068</v>
      </c>
      <c r="J3637" s="3" t="s">
        <v>19080</v>
      </c>
      <c r="K3637" s="3" t="s">
        <v>19081</v>
      </c>
      <c r="L3637" s="3"/>
      <c r="M3637" s="4"/>
      <c r="N3637" s="3"/>
      <c r="O3637" s="3"/>
      <c r="P3637" s="5">
        <v>0</v>
      </c>
      <c r="Q3637" s="5">
        <v>0</v>
      </c>
      <c r="R3637" s="5"/>
      <c r="S3637" s="5"/>
    </row>
    <row r="3638" spans="1:19" ht="28" x14ac:dyDescent="0.15">
      <c r="A3638" s="2">
        <f>HYPERLINK("https://open-school.uspishnemisto.com.ua/school/180551/", 180551)</f>
        <v>180551</v>
      </c>
      <c r="B3638" s="3" t="s">
        <v>19082</v>
      </c>
      <c r="C3638" s="3" t="s">
        <v>31</v>
      </c>
      <c r="D3638" s="3" t="s">
        <v>175</v>
      </c>
      <c r="E3638" s="4" t="s">
        <v>22</v>
      </c>
      <c r="F3638" s="4" t="s">
        <v>19083</v>
      </c>
      <c r="G3638" s="4" t="s">
        <v>19084</v>
      </c>
      <c r="H3638" s="3" t="s">
        <v>16292</v>
      </c>
      <c r="I3638" s="3" t="s">
        <v>19085</v>
      </c>
      <c r="J3638" s="3" t="s">
        <v>8152</v>
      </c>
      <c r="K3638" s="3" t="s">
        <v>19086</v>
      </c>
      <c r="L3638" s="3"/>
      <c r="M3638" s="4"/>
      <c r="N3638" s="3" t="s">
        <v>37</v>
      </c>
      <c r="O3638" s="3" t="s">
        <v>38</v>
      </c>
      <c r="P3638" s="5">
        <v>8</v>
      </c>
      <c r="Q3638" s="5">
        <v>74</v>
      </c>
      <c r="R3638" s="5">
        <v>7</v>
      </c>
      <c r="S3638" s="5">
        <v>64</v>
      </c>
    </row>
    <row r="3639" spans="1:19" ht="28" x14ac:dyDescent="0.15">
      <c r="A3639" s="2">
        <f>HYPERLINK("https://open-school.uspishnemisto.com.ua/school/180552/", 180552)</f>
        <v>180552</v>
      </c>
      <c r="B3639" s="3" t="s">
        <v>19087</v>
      </c>
      <c r="C3639" s="3" t="s">
        <v>54</v>
      </c>
      <c r="D3639" s="3" t="s">
        <v>32</v>
      </c>
      <c r="E3639" s="4" t="s">
        <v>22</v>
      </c>
      <c r="F3639" s="4" t="s">
        <v>19088</v>
      </c>
      <c r="G3639" s="4" t="s">
        <v>19089</v>
      </c>
      <c r="H3639" s="3" t="s">
        <v>16292</v>
      </c>
      <c r="I3639" s="3" t="s">
        <v>11543</v>
      </c>
      <c r="J3639" s="3" t="s">
        <v>19090</v>
      </c>
      <c r="K3639" s="3" t="s">
        <v>19091</v>
      </c>
      <c r="L3639" s="3"/>
      <c r="M3639" s="4"/>
      <c r="N3639" s="3" t="s">
        <v>37</v>
      </c>
      <c r="O3639" s="3" t="s">
        <v>38</v>
      </c>
      <c r="P3639" s="5">
        <v>7</v>
      </c>
      <c r="Q3639" s="5">
        <v>56</v>
      </c>
      <c r="R3639" s="5">
        <v>7</v>
      </c>
      <c r="S3639" s="5">
        <v>54</v>
      </c>
    </row>
    <row r="3640" spans="1:19" ht="28" x14ac:dyDescent="0.15">
      <c r="A3640" s="2">
        <f>HYPERLINK("https://open-school.uspishnemisto.com.ua/school/180553/", 180553)</f>
        <v>180553</v>
      </c>
      <c r="B3640" s="3" t="s">
        <v>19092</v>
      </c>
      <c r="C3640" s="3" t="s">
        <v>54</v>
      </c>
      <c r="D3640" s="3" t="s">
        <v>32</v>
      </c>
      <c r="E3640" s="4" t="s">
        <v>22</v>
      </c>
      <c r="F3640" s="4" t="s">
        <v>19093</v>
      </c>
      <c r="G3640" s="4" t="s">
        <v>19094</v>
      </c>
      <c r="H3640" s="3" t="s">
        <v>16292</v>
      </c>
      <c r="I3640" s="3" t="s">
        <v>19095</v>
      </c>
      <c r="J3640" s="3" t="s">
        <v>19096</v>
      </c>
      <c r="K3640" s="3" t="s">
        <v>19097</v>
      </c>
      <c r="L3640" s="3"/>
      <c r="M3640" s="4"/>
      <c r="N3640" s="3" t="s">
        <v>37</v>
      </c>
      <c r="O3640" s="3" t="s">
        <v>38</v>
      </c>
      <c r="P3640" s="5">
        <v>7</v>
      </c>
      <c r="Q3640" s="5">
        <v>61</v>
      </c>
      <c r="R3640" s="5">
        <v>7</v>
      </c>
      <c r="S3640" s="5">
        <v>55</v>
      </c>
    </row>
    <row r="3641" spans="1:19" ht="28" x14ac:dyDescent="0.15">
      <c r="A3641" s="2">
        <f>HYPERLINK("https://open-school.uspishnemisto.com.ua/school/180554/", 180554)</f>
        <v>180554</v>
      </c>
      <c r="B3641" s="3" t="s">
        <v>19098</v>
      </c>
      <c r="C3641" s="3" t="s">
        <v>31</v>
      </c>
      <c r="D3641" s="3" t="s">
        <v>175</v>
      </c>
      <c r="E3641" s="4" t="s">
        <v>22</v>
      </c>
      <c r="F3641" s="4" t="s">
        <v>19093</v>
      </c>
      <c r="G3641" s="4" t="s">
        <v>19099</v>
      </c>
      <c r="H3641" s="3" t="s">
        <v>16292</v>
      </c>
      <c r="I3641" s="3" t="s">
        <v>8368</v>
      </c>
      <c r="J3641" s="3" t="s">
        <v>634</v>
      </c>
      <c r="K3641" s="3" t="s">
        <v>19100</v>
      </c>
      <c r="L3641" s="3"/>
      <c r="M3641" s="4"/>
      <c r="N3641" s="3" t="s">
        <v>37</v>
      </c>
      <c r="O3641" s="3" t="s">
        <v>38</v>
      </c>
      <c r="P3641" s="5">
        <v>1</v>
      </c>
      <c r="Q3641" s="5">
        <v>25</v>
      </c>
      <c r="R3641" s="5">
        <v>3</v>
      </c>
      <c r="S3641" s="5">
        <v>26</v>
      </c>
    </row>
    <row r="3642" spans="1:19" ht="28" x14ac:dyDescent="0.15">
      <c r="A3642" s="2">
        <f>HYPERLINK("https://open-school.uspishnemisto.com.ua/school/180555/", 180555)</f>
        <v>180555</v>
      </c>
      <c r="B3642" s="3" t="s">
        <v>19101</v>
      </c>
      <c r="C3642" s="3" t="s">
        <v>31</v>
      </c>
      <c r="D3642" s="3" t="s">
        <v>32</v>
      </c>
      <c r="E3642" s="4" t="s">
        <v>22</v>
      </c>
      <c r="F3642" s="4" t="s">
        <v>19102</v>
      </c>
      <c r="G3642" s="4" t="s">
        <v>19103</v>
      </c>
      <c r="H3642" s="3" t="s">
        <v>16292</v>
      </c>
      <c r="I3642" s="3" t="s">
        <v>19104</v>
      </c>
      <c r="J3642" s="3" t="s">
        <v>946</v>
      </c>
      <c r="K3642" s="3" t="s">
        <v>19105</v>
      </c>
      <c r="L3642" s="3"/>
      <c r="M3642" s="4"/>
      <c r="N3642" s="3" t="s">
        <v>37</v>
      </c>
      <c r="O3642" s="3" t="s">
        <v>38</v>
      </c>
      <c r="P3642" s="5">
        <v>11</v>
      </c>
      <c r="Q3642" s="5">
        <v>104</v>
      </c>
      <c r="R3642" s="5">
        <v>11</v>
      </c>
      <c r="S3642" s="5">
        <v>105</v>
      </c>
    </row>
    <row r="3643" spans="1:19" ht="28" x14ac:dyDescent="0.15">
      <c r="A3643" s="2">
        <f>HYPERLINK("https://open-school.uspishnemisto.com.ua/school/180556/", 180556)</f>
        <v>180556</v>
      </c>
      <c r="B3643" s="3" t="s">
        <v>19106</v>
      </c>
      <c r="C3643" s="3" t="s">
        <v>31</v>
      </c>
      <c r="D3643" s="3" t="s">
        <v>32</v>
      </c>
      <c r="E3643" s="4" t="s">
        <v>22</v>
      </c>
      <c r="F3643" s="4" t="s">
        <v>19107</v>
      </c>
      <c r="G3643" s="4" t="s">
        <v>19103</v>
      </c>
      <c r="H3643" s="3" t="s">
        <v>16292</v>
      </c>
      <c r="I3643" s="3" t="s">
        <v>19104</v>
      </c>
      <c r="J3643" s="3" t="s">
        <v>19108</v>
      </c>
      <c r="K3643" s="3"/>
      <c r="L3643" s="3"/>
      <c r="M3643" s="4"/>
      <c r="N3643" s="3" t="s">
        <v>37</v>
      </c>
      <c r="O3643" s="3" t="s">
        <v>38</v>
      </c>
      <c r="P3643" s="5">
        <v>10</v>
      </c>
      <c r="Q3643" s="5">
        <v>187</v>
      </c>
      <c r="R3643" s="5">
        <v>10</v>
      </c>
      <c r="S3643" s="5">
        <v>203</v>
      </c>
    </row>
    <row r="3644" spans="1:19" ht="28" x14ac:dyDescent="0.15">
      <c r="A3644" s="2">
        <f>HYPERLINK("https://open-school.uspishnemisto.com.ua/school/180557/", 180557)</f>
        <v>180557</v>
      </c>
      <c r="B3644" s="3" t="s">
        <v>19109</v>
      </c>
      <c r="C3644" s="3" t="s">
        <v>31</v>
      </c>
      <c r="D3644" s="3" t="s">
        <v>32</v>
      </c>
      <c r="E3644" s="4" t="s">
        <v>22</v>
      </c>
      <c r="F3644" s="4" t="s">
        <v>19110</v>
      </c>
      <c r="G3644" s="4" t="s">
        <v>19111</v>
      </c>
      <c r="H3644" s="3" t="s">
        <v>16292</v>
      </c>
      <c r="I3644" s="3" t="s">
        <v>19112</v>
      </c>
      <c r="J3644" s="3" t="s">
        <v>566</v>
      </c>
      <c r="K3644" s="3" t="s">
        <v>19113</v>
      </c>
      <c r="L3644" s="3"/>
      <c r="M3644" s="4"/>
      <c r="N3644" s="3" t="s">
        <v>37</v>
      </c>
      <c r="O3644" s="3" t="s">
        <v>38</v>
      </c>
      <c r="P3644" s="5">
        <v>13</v>
      </c>
      <c r="Q3644" s="5">
        <v>221</v>
      </c>
      <c r="R3644" s="5">
        <v>13</v>
      </c>
      <c r="S3644" s="5">
        <v>236</v>
      </c>
    </row>
    <row r="3645" spans="1:19" ht="28" x14ac:dyDescent="0.15">
      <c r="A3645" s="2">
        <f>HYPERLINK("https://open-school.uspishnemisto.com.ua/school/180558/", 180558)</f>
        <v>180558</v>
      </c>
      <c r="B3645" s="3" t="s">
        <v>19114</v>
      </c>
      <c r="C3645" s="3" t="s">
        <v>31</v>
      </c>
      <c r="D3645" s="3" t="s">
        <v>175</v>
      </c>
      <c r="E3645" s="4" t="s">
        <v>22</v>
      </c>
      <c r="F3645" s="4" t="s">
        <v>19115</v>
      </c>
      <c r="G3645" s="4" t="s">
        <v>19116</v>
      </c>
      <c r="H3645" s="3" t="s">
        <v>16292</v>
      </c>
      <c r="I3645" s="3" t="s">
        <v>1803</v>
      </c>
      <c r="J3645" s="3" t="s">
        <v>19117</v>
      </c>
      <c r="K3645" s="3" t="s">
        <v>19118</v>
      </c>
      <c r="L3645" s="3"/>
      <c r="M3645" s="4"/>
      <c r="N3645" s="3" t="s">
        <v>37</v>
      </c>
      <c r="O3645" s="3" t="s">
        <v>70</v>
      </c>
      <c r="P3645" s="5">
        <v>9</v>
      </c>
      <c r="Q3645" s="5">
        <v>88</v>
      </c>
      <c r="R3645" s="5">
        <v>9</v>
      </c>
      <c r="S3645" s="5">
        <v>89</v>
      </c>
    </row>
    <row r="3646" spans="1:19" ht="28" x14ac:dyDescent="0.15">
      <c r="A3646" s="2">
        <f>HYPERLINK("https://open-school.uspishnemisto.com.ua/school/180559/", 180559)</f>
        <v>180559</v>
      </c>
      <c r="B3646" s="3" t="s">
        <v>19119</v>
      </c>
      <c r="C3646" s="3" t="s">
        <v>31</v>
      </c>
      <c r="D3646" s="3" t="s">
        <v>32</v>
      </c>
      <c r="E3646" s="4" t="s">
        <v>22</v>
      </c>
      <c r="F3646" s="4" t="s">
        <v>19120</v>
      </c>
      <c r="G3646" s="4" t="s">
        <v>19121</v>
      </c>
      <c r="H3646" s="3" t="s">
        <v>16292</v>
      </c>
      <c r="I3646" s="3" t="s">
        <v>19122</v>
      </c>
      <c r="J3646" s="3" t="s">
        <v>2745</v>
      </c>
      <c r="K3646" s="3"/>
      <c r="L3646" s="3"/>
      <c r="M3646" s="4"/>
      <c r="N3646" s="3" t="s">
        <v>37</v>
      </c>
      <c r="O3646" s="3" t="s">
        <v>52</v>
      </c>
      <c r="P3646" s="5">
        <v>15</v>
      </c>
      <c r="Q3646" s="5">
        <v>253</v>
      </c>
      <c r="R3646" s="5">
        <v>15</v>
      </c>
      <c r="S3646" s="5">
        <v>250</v>
      </c>
    </row>
    <row r="3647" spans="1:19" ht="28" x14ac:dyDescent="0.15">
      <c r="A3647" s="2">
        <f>HYPERLINK("https://open-school.uspishnemisto.com.ua/school/180560/", 180560)</f>
        <v>180560</v>
      </c>
      <c r="B3647" s="3" t="s">
        <v>19123</v>
      </c>
      <c r="C3647" s="3" t="s">
        <v>31</v>
      </c>
      <c r="D3647" s="3" t="s">
        <v>175</v>
      </c>
      <c r="E3647" s="4" t="s">
        <v>22</v>
      </c>
      <c r="F3647" s="4" t="s">
        <v>19124</v>
      </c>
      <c r="G3647" s="4" t="s">
        <v>19125</v>
      </c>
      <c r="H3647" s="3" t="s">
        <v>16292</v>
      </c>
      <c r="I3647" s="3" t="s">
        <v>19126</v>
      </c>
      <c r="J3647" s="3" t="s">
        <v>19127</v>
      </c>
      <c r="K3647" s="3"/>
      <c r="L3647" s="3"/>
      <c r="M3647" s="4"/>
      <c r="N3647" s="3" t="s">
        <v>37</v>
      </c>
      <c r="O3647" s="3" t="s">
        <v>112</v>
      </c>
      <c r="P3647" s="5">
        <v>5</v>
      </c>
      <c r="Q3647" s="5">
        <v>48</v>
      </c>
      <c r="R3647" s="5">
        <v>5</v>
      </c>
      <c r="S3647" s="5">
        <v>49</v>
      </c>
    </row>
    <row r="3648" spans="1:19" ht="28" x14ac:dyDescent="0.15">
      <c r="A3648" s="2">
        <f>HYPERLINK("https://open-school.uspishnemisto.com.ua/school/180561/", 180561)</f>
        <v>180561</v>
      </c>
      <c r="B3648" s="3" t="s">
        <v>19128</v>
      </c>
      <c r="C3648" s="3" t="s">
        <v>31</v>
      </c>
      <c r="D3648" s="3" t="s">
        <v>32</v>
      </c>
      <c r="E3648" s="4" t="s">
        <v>22</v>
      </c>
      <c r="F3648" s="4" t="s">
        <v>19129</v>
      </c>
      <c r="G3648" s="4" t="s">
        <v>19130</v>
      </c>
      <c r="H3648" s="3" t="s">
        <v>16292</v>
      </c>
      <c r="I3648" s="3" t="s">
        <v>19131</v>
      </c>
      <c r="J3648" s="3" t="s">
        <v>19132</v>
      </c>
      <c r="K3648" s="3" t="s">
        <v>19133</v>
      </c>
      <c r="L3648" s="3"/>
      <c r="M3648" s="4"/>
      <c r="N3648" s="3" t="s">
        <v>37</v>
      </c>
      <c r="O3648" s="3" t="s">
        <v>46</v>
      </c>
      <c r="P3648" s="5">
        <v>11</v>
      </c>
      <c r="Q3648" s="5">
        <v>97</v>
      </c>
      <c r="R3648" s="5">
        <v>11</v>
      </c>
      <c r="S3648" s="5">
        <v>106</v>
      </c>
    </row>
    <row r="3649" spans="1:19" ht="28" x14ac:dyDescent="0.15">
      <c r="A3649" s="2">
        <f>HYPERLINK("https://open-school.uspishnemisto.com.ua/school/180562/", 180562)</f>
        <v>180562</v>
      </c>
      <c r="B3649" s="3" t="s">
        <v>19134</v>
      </c>
      <c r="C3649" s="3" t="s">
        <v>31</v>
      </c>
      <c r="D3649" s="3" t="s">
        <v>175</v>
      </c>
      <c r="E3649" s="4" t="s">
        <v>22</v>
      </c>
      <c r="F3649" s="4" t="s">
        <v>19135</v>
      </c>
      <c r="G3649" s="4" t="s">
        <v>19136</v>
      </c>
      <c r="H3649" s="3" t="s">
        <v>16292</v>
      </c>
      <c r="I3649" s="3" t="s">
        <v>19137</v>
      </c>
      <c r="J3649" s="3" t="s">
        <v>19138</v>
      </c>
      <c r="K3649" s="3" t="s">
        <v>19139</v>
      </c>
      <c r="L3649" s="3"/>
      <c r="M3649" s="4"/>
      <c r="N3649" s="3" t="s">
        <v>37</v>
      </c>
      <c r="O3649" s="3" t="s">
        <v>70</v>
      </c>
      <c r="P3649" s="5">
        <v>8</v>
      </c>
      <c r="Q3649" s="5">
        <v>67</v>
      </c>
      <c r="R3649" s="5">
        <v>8</v>
      </c>
      <c r="S3649" s="5">
        <v>64</v>
      </c>
    </row>
    <row r="3650" spans="1:19" ht="28" x14ac:dyDescent="0.15">
      <c r="A3650" s="2">
        <f>HYPERLINK("https://open-school.uspishnemisto.com.ua/school/180563/", 180563)</f>
        <v>180563</v>
      </c>
      <c r="B3650" s="3" t="s">
        <v>19140</v>
      </c>
      <c r="C3650" s="3" t="s">
        <v>31</v>
      </c>
      <c r="D3650" s="3" t="s">
        <v>175</v>
      </c>
      <c r="E3650" s="4" t="s">
        <v>22</v>
      </c>
      <c r="F3650" s="4" t="s">
        <v>19135</v>
      </c>
      <c r="G3650" s="4" t="s">
        <v>19141</v>
      </c>
      <c r="H3650" s="3" t="s">
        <v>16292</v>
      </c>
      <c r="I3650" s="3" t="s">
        <v>19142</v>
      </c>
      <c r="J3650" s="3" t="s">
        <v>19143</v>
      </c>
      <c r="K3650" s="3" t="s">
        <v>19144</v>
      </c>
      <c r="L3650" s="3"/>
      <c r="M3650" s="4"/>
      <c r="N3650" s="3" t="s">
        <v>37</v>
      </c>
      <c r="O3650" s="3" t="s">
        <v>52</v>
      </c>
      <c r="P3650" s="5">
        <v>2</v>
      </c>
      <c r="Q3650" s="5">
        <v>33</v>
      </c>
      <c r="R3650" s="5">
        <v>2</v>
      </c>
      <c r="S3650" s="5">
        <v>32</v>
      </c>
    </row>
    <row r="3651" spans="1:19" ht="28" x14ac:dyDescent="0.15">
      <c r="A3651" s="2">
        <f>HYPERLINK("https://open-school.uspishnemisto.com.ua/school/180564/", 180564)</f>
        <v>180564</v>
      </c>
      <c r="B3651" s="3" t="s">
        <v>19145</v>
      </c>
      <c r="C3651" s="3" t="s">
        <v>31</v>
      </c>
      <c r="D3651" s="3" t="s">
        <v>32</v>
      </c>
      <c r="E3651" s="4" t="s">
        <v>22</v>
      </c>
      <c r="F3651" s="4" t="s">
        <v>19146</v>
      </c>
      <c r="G3651" s="4" t="s">
        <v>19147</v>
      </c>
      <c r="H3651" s="3" t="s">
        <v>16292</v>
      </c>
      <c r="I3651" s="3" t="s">
        <v>19148</v>
      </c>
      <c r="J3651" s="3" t="s">
        <v>19149</v>
      </c>
      <c r="K3651" s="3" t="s">
        <v>19150</v>
      </c>
      <c r="L3651" s="3"/>
      <c r="M3651" s="4"/>
      <c r="N3651" s="3" t="s">
        <v>37</v>
      </c>
      <c r="O3651" s="3" t="s">
        <v>38</v>
      </c>
      <c r="P3651" s="5">
        <v>11</v>
      </c>
      <c r="Q3651" s="5">
        <v>143</v>
      </c>
      <c r="R3651" s="5">
        <v>11</v>
      </c>
      <c r="S3651" s="5">
        <v>149</v>
      </c>
    </row>
    <row r="3652" spans="1:19" ht="28" x14ac:dyDescent="0.15">
      <c r="A3652" s="2">
        <f>HYPERLINK("https://open-school.uspishnemisto.com.ua/school/180565/", 180565)</f>
        <v>180565</v>
      </c>
      <c r="B3652" s="3" t="s">
        <v>19151</v>
      </c>
      <c r="C3652" s="3" t="s">
        <v>31</v>
      </c>
      <c r="D3652" s="3" t="s">
        <v>32</v>
      </c>
      <c r="E3652" s="4" t="s">
        <v>22</v>
      </c>
      <c r="F3652" s="4" t="s">
        <v>19152</v>
      </c>
      <c r="G3652" s="4" t="s">
        <v>19153</v>
      </c>
      <c r="H3652" s="3" t="s">
        <v>16292</v>
      </c>
      <c r="I3652" s="3" t="s">
        <v>10829</v>
      </c>
      <c r="J3652" s="3" t="s">
        <v>5924</v>
      </c>
      <c r="K3652" s="3" t="s">
        <v>19154</v>
      </c>
      <c r="L3652" s="3"/>
      <c r="M3652" s="4"/>
      <c r="N3652" s="3" t="s">
        <v>37</v>
      </c>
      <c r="O3652" s="3" t="s">
        <v>70</v>
      </c>
      <c r="P3652" s="5">
        <v>11</v>
      </c>
      <c r="Q3652" s="5">
        <v>154</v>
      </c>
      <c r="R3652" s="5">
        <v>11</v>
      </c>
      <c r="S3652" s="5">
        <v>152</v>
      </c>
    </row>
    <row r="3653" spans="1:19" ht="28" x14ac:dyDescent="0.15">
      <c r="A3653" s="2">
        <f>HYPERLINK("https://open-school.uspishnemisto.com.ua/school/180566/", 180566)</f>
        <v>180566</v>
      </c>
      <c r="B3653" s="3" t="s">
        <v>19155</v>
      </c>
      <c r="C3653" s="3" t="s">
        <v>31</v>
      </c>
      <c r="D3653" s="3" t="s">
        <v>32</v>
      </c>
      <c r="E3653" s="4" t="s">
        <v>22</v>
      </c>
      <c r="F3653" s="4" t="s">
        <v>19156</v>
      </c>
      <c r="G3653" s="4" t="s">
        <v>19157</v>
      </c>
      <c r="H3653" s="3" t="s">
        <v>16292</v>
      </c>
      <c r="I3653" s="3" t="s">
        <v>19158</v>
      </c>
      <c r="J3653" s="3" t="s">
        <v>19159</v>
      </c>
      <c r="K3653" s="3" t="s">
        <v>19160</v>
      </c>
      <c r="L3653" s="3"/>
      <c r="M3653" s="4"/>
      <c r="N3653" s="3" t="s">
        <v>37</v>
      </c>
      <c r="O3653" s="3" t="s">
        <v>38</v>
      </c>
      <c r="P3653" s="5">
        <v>11</v>
      </c>
      <c r="Q3653" s="5">
        <v>218</v>
      </c>
      <c r="R3653" s="5">
        <v>11</v>
      </c>
      <c r="S3653" s="5">
        <v>211</v>
      </c>
    </row>
    <row r="3654" spans="1:19" ht="28" x14ac:dyDescent="0.15">
      <c r="A3654" s="2">
        <f>HYPERLINK("https://open-school.uspishnemisto.com.ua/school/180567/", 180567)</f>
        <v>180567</v>
      </c>
      <c r="B3654" s="3" t="s">
        <v>19161</v>
      </c>
      <c r="C3654" s="3" t="s">
        <v>31</v>
      </c>
      <c r="D3654" s="3" t="s">
        <v>60</v>
      </c>
      <c r="E3654" s="4" t="s">
        <v>22</v>
      </c>
      <c r="F3654" s="4" t="s">
        <v>19156</v>
      </c>
      <c r="G3654" s="4" t="s">
        <v>19162</v>
      </c>
      <c r="H3654" s="3" t="s">
        <v>16292</v>
      </c>
      <c r="I3654" s="3" t="s">
        <v>19163</v>
      </c>
      <c r="J3654" s="3" t="s">
        <v>19164</v>
      </c>
      <c r="K3654" s="3" t="s">
        <v>19165</v>
      </c>
      <c r="L3654" s="3"/>
      <c r="M3654" s="4"/>
      <c r="N3654" s="3" t="s">
        <v>37</v>
      </c>
      <c r="O3654" s="3" t="s">
        <v>52</v>
      </c>
      <c r="P3654" s="5">
        <v>0</v>
      </c>
      <c r="Q3654" s="5">
        <v>4</v>
      </c>
      <c r="R3654" s="5">
        <v>0</v>
      </c>
      <c r="S3654" s="5">
        <v>2</v>
      </c>
    </row>
    <row r="3655" spans="1:19" ht="28" x14ac:dyDescent="0.15">
      <c r="A3655" s="2">
        <f>HYPERLINK("https://open-school.uspishnemisto.com.ua/school/180568/", 180568)</f>
        <v>180568</v>
      </c>
      <c r="B3655" s="3" t="s">
        <v>19166</v>
      </c>
      <c r="C3655" s="3" t="s">
        <v>31</v>
      </c>
      <c r="D3655" s="3" t="s">
        <v>60</v>
      </c>
      <c r="E3655" s="4" t="s">
        <v>22</v>
      </c>
      <c r="F3655" s="4" t="s">
        <v>19156</v>
      </c>
      <c r="G3655" s="4" t="s">
        <v>19167</v>
      </c>
      <c r="H3655" s="3" t="s">
        <v>16292</v>
      </c>
      <c r="I3655" s="3" t="s">
        <v>19168</v>
      </c>
      <c r="J3655" s="3" t="s">
        <v>14869</v>
      </c>
      <c r="K3655" s="3" t="s">
        <v>19169</v>
      </c>
      <c r="L3655" s="3"/>
      <c r="M3655" s="4"/>
      <c r="N3655" s="3" t="s">
        <v>37</v>
      </c>
      <c r="O3655" s="3" t="s">
        <v>52</v>
      </c>
      <c r="P3655" s="5">
        <v>1</v>
      </c>
      <c r="Q3655" s="5">
        <v>11</v>
      </c>
      <c r="R3655" s="5">
        <v>0</v>
      </c>
      <c r="S3655" s="5">
        <v>8</v>
      </c>
    </row>
    <row r="3656" spans="1:19" ht="28" x14ac:dyDescent="0.15">
      <c r="A3656" s="2">
        <f>HYPERLINK("https://open-school.uspishnemisto.com.ua/school/180569/", 180569)</f>
        <v>180569</v>
      </c>
      <c r="B3656" s="3" t="s">
        <v>19170</v>
      </c>
      <c r="C3656" s="3" t="s">
        <v>31</v>
      </c>
      <c r="D3656" s="3" t="s">
        <v>32</v>
      </c>
      <c r="E3656" s="4" t="s">
        <v>22</v>
      </c>
      <c r="F3656" s="4" t="s">
        <v>19171</v>
      </c>
      <c r="G3656" s="4" t="s">
        <v>19172</v>
      </c>
      <c r="H3656" s="3" t="s">
        <v>16292</v>
      </c>
      <c r="I3656" s="3" t="s">
        <v>12001</v>
      </c>
      <c r="J3656" s="3" t="s">
        <v>6394</v>
      </c>
      <c r="K3656" s="3" t="s">
        <v>19173</v>
      </c>
      <c r="L3656" s="3"/>
      <c r="M3656" s="4"/>
      <c r="N3656" s="3" t="s">
        <v>37</v>
      </c>
      <c r="O3656" s="3" t="s">
        <v>70</v>
      </c>
      <c r="P3656" s="5">
        <v>11</v>
      </c>
      <c r="Q3656" s="5">
        <v>126</v>
      </c>
      <c r="R3656" s="5">
        <v>11</v>
      </c>
      <c r="S3656" s="5">
        <v>122</v>
      </c>
    </row>
    <row r="3657" spans="1:19" ht="28" x14ac:dyDescent="0.15">
      <c r="A3657" s="2">
        <f>HYPERLINK("https://open-school.uspishnemisto.com.ua/school/180570/", 180570)</f>
        <v>180570</v>
      </c>
      <c r="B3657" s="3" t="s">
        <v>19174</v>
      </c>
      <c r="C3657" s="3" t="s">
        <v>31</v>
      </c>
      <c r="D3657" s="3" t="s">
        <v>60</v>
      </c>
      <c r="E3657" s="4" t="s">
        <v>22</v>
      </c>
      <c r="F3657" s="4" t="s">
        <v>19079</v>
      </c>
      <c r="G3657" s="4" t="s">
        <v>19175</v>
      </c>
      <c r="H3657" s="3" t="s">
        <v>16292</v>
      </c>
      <c r="I3657" s="3" t="s">
        <v>7421</v>
      </c>
      <c r="J3657" s="3" t="s">
        <v>10734</v>
      </c>
      <c r="K3657" s="3" t="s">
        <v>19176</v>
      </c>
      <c r="L3657" s="3"/>
      <c r="M3657" s="4"/>
      <c r="N3657" s="3" t="s">
        <v>37</v>
      </c>
      <c r="O3657" s="3" t="s">
        <v>52</v>
      </c>
      <c r="P3657" s="5">
        <v>0</v>
      </c>
      <c r="Q3657" s="5">
        <v>11</v>
      </c>
      <c r="R3657" s="5">
        <v>0</v>
      </c>
      <c r="S3657" s="5">
        <v>7</v>
      </c>
    </row>
    <row r="3658" spans="1:19" ht="28" x14ac:dyDescent="0.15">
      <c r="A3658" s="2">
        <f>HYPERLINK("https://open-school.uspishnemisto.com.ua/school/180571/", 180571)</f>
        <v>180571</v>
      </c>
      <c r="B3658" s="3" t="s">
        <v>19177</v>
      </c>
      <c r="C3658" s="3" t="s">
        <v>31</v>
      </c>
      <c r="D3658" s="3" t="s">
        <v>32</v>
      </c>
      <c r="E3658" s="4" t="s">
        <v>22</v>
      </c>
      <c r="F3658" s="4" t="s">
        <v>19178</v>
      </c>
      <c r="G3658" s="4" t="s">
        <v>19179</v>
      </c>
      <c r="H3658" s="3" t="s">
        <v>16292</v>
      </c>
      <c r="I3658" s="3" t="s">
        <v>19180</v>
      </c>
      <c r="J3658" s="3" t="s">
        <v>19181</v>
      </c>
      <c r="K3658" s="3" t="s">
        <v>19182</v>
      </c>
      <c r="L3658" s="3"/>
      <c r="M3658" s="4"/>
      <c r="N3658" s="3" t="s">
        <v>37</v>
      </c>
      <c r="O3658" s="3" t="s">
        <v>70</v>
      </c>
      <c r="P3658" s="5">
        <v>11</v>
      </c>
      <c r="Q3658" s="5">
        <v>183</v>
      </c>
      <c r="R3658" s="5">
        <v>11</v>
      </c>
      <c r="S3658" s="5">
        <v>167</v>
      </c>
    </row>
    <row r="3659" spans="1:19" ht="28" x14ac:dyDescent="0.15">
      <c r="A3659" s="2">
        <f>HYPERLINK("https://open-school.uspishnemisto.com.ua/school/180572/", 180572)</f>
        <v>180572</v>
      </c>
      <c r="B3659" s="3" t="s">
        <v>19183</v>
      </c>
      <c r="C3659" s="3" t="s">
        <v>31</v>
      </c>
      <c r="D3659" s="3" t="s">
        <v>175</v>
      </c>
      <c r="E3659" s="4" t="s">
        <v>22</v>
      </c>
      <c r="F3659" s="4" t="s">
        <v>19178</v>
      </c>
      <c r="G3659" s="4" t="s">
        <v>19184</v>
      </c>
      <c r="H3659" s="3" t="s">
        <v>16292</v>
      </c>
      <c r="I3659" s="3" t="s">
        <v>19185</v>
      </c>
      <c r="J3659" s="3" t="s">
        <v>19186</v>
      </c>
      <c r="K3659" s="3" t="s">
        <v>19187</v>
      </c>
      <c r="L3659" s="3"/>
      <c r="M3659" s="4"/>
      <c r="N3659" s="3" t="s">
        <v>37</v>
      </c>
      <c r="O3659" s="3" t="s">
        <v>112</v>
      </c>
      <c r="P3659" s="5">
        <v>6</v>
      </c>
      <c r="Q3659" s="5">
        <v>53</v>
      </c>
      <c r="R3659" s="5">
        <v>5</v>
      </c>
      <c r="S3659" s="5">
        <v>49</v>
      </c>
    </row>
    <row r="3660" spans="1:19" ht="28" x14ac:dyDescent="0.15">
      <c r="A3660" s="2">
        <f>HYPERLINK("https://open-school.uspishnemisto.com.ua/school/180573/", 180573)</f>
        <v>180573</v>
      </c>
      <c r="B3660" s="3" t="s">
        <v>19188</v>
      </c>
      <c r="C3660" s="3" t="s">
        <v>31</v>
      </c>
      <c r="D3660" s="3" t="s">
        <v>32</v>
      </c>
      <c r="E3660" s="4" t="s">
        <v>22</v>
      </c>
      <c r="F3660" s="4" t="s">
        <v>19189</v>
      </c>
      <c r="G3660" s="4" t="s">
        <v>19190</v>
      </c>
      <c r="H3660" s="3" t="s">
        <v>16292</v>
      </c>
      <c r="I3660" s="3" t="s">
        <v>19191</v>
      </c>
      <c r="J3660" s="3" t="s">
        <v>19192</v>
      </c>
      <c r="K3660" s="3" t="s">
        <v>19193</v>
      </c>
      <c r="L3660" s="3"/>
      <c r="M3660" s="4"/>
      <c r="N3660" s="3" t="s">
        <v>37</v>
      </c>
      <c r="O3660" s="3" t="s">
        <v>38</v>
      </c>
      <c r="P3660" s="5">
        <v>11</v>
      </c>
      <c r="Q3660" s="5">
        <v>178</v>
      </c>
      <c r="R3660" s="5">
        <v>10</v>
      </c>
      <c r="S3660" s="5">
        <v>173</v>
      </c>
    </row>
    <row r="3661" spans="1:19" ht="28" x14ac:dyDescent="0.15">
      <c r="A3661" s="2">
        <f>HYPERLINK("https://open-school.uspishnemisto.com.ua/school/180574/", 180574)</f>
        <v>180574</v>
      </c>
      <c r="B3661" s="3" t="s">
        <v>19194</v>
      </c>
      <c r="C3661" s="3" t="s">
        <v>31</v>
      </c>
      <c r="D3661" s="3" t="s">
        <v>32</v>
      </c>
      <c r="E3661" s="4" t="s">
        <v>22</v>
      </c>
      <c r="F3661" s="4" t="s">
        <v>19195</v>
      </c>
      <c r="G3661" s="4" t="s">
        <v>19196</v>
      </c>
      <c r="H3661" s="3" t="s">
        <v>16292</v>
      </c>
      <c r="I3661" s="3" t="s">
        <v>6494</v>
      </c>
      <c r="J3661" s="3" t="s">
        <v>19197</v>
      </c>
      <c r="K3661" s="3" t="s">
        <v>19198</v>
      </c>
      <c r="L3661" s="3"/>
      <c r="M3661" s="4"/>
      <c r="N3661" s="3" t="s">
        <v>37</v>
      </c>
      <c r="O3661" s="3" t="s">
        <v>70</v>
      </c>
      <c r="P3661" s="5">
        <v>10</v>
      </c>
      <c r="Q3661" s="5">
        <v>123</v>
      </c>
      <c r="R3661" s="5">
        <v>11</v>
      </c>
      <c r="S3661" s="5">
        <v>121</v>
      </c>
    </row>
    <row r="3662" spans="1:19" ht="28" x14ac:dyDescent="0.15">
      <c r="A3662" s="2">
        <f>HYPERLINK("https://open-school.uspishnemisto.com.ua/school/180575/", 180575)</f>
        <v>180575</v>
      </c>
      <c r="B3662" s="3" t="s">
        <v>19199</v>
      </c>
      <c r="C3662" s="3" t="s">
        <v>31</v>
      </c>
      <c r="D3662" s="3" t="s">
        <v>60</v>
      </c>
      <c r="E3662" s="4" t="s">
        <v>22</v>
      </c>
      <c r="F3662" s="4" t="s">
        <v>19195</v>
      </c>
      <c r="G3662" s="4" t="s">
        <v>19200</v>
      </c>
      <c r="H3662" s="3" t="s">
        <v>16292</v>
      </c>
      <c r="I3662" s="3" t="s">
        <v>19201</v>
      </c>
      <c r="J3662" s="3" t="s">
        <v>19202</v>
      </c>
      <c r="K3662" s="3" t="s">
        <v>19203</v>
      </c>
      <c r="L3662" s="3"/>
      <c r="M3662" s="4"/>
      <c r="N3662" s="3" t="s">
        <v>37</v>
      </c>
      <c r="O3662" s="3" t="s">
        <v>52</v>
      </c>
      <c r="P3662" s="5">
        <v>0</v>
      </c>
      <c r="Q3662" s="5">
        <v>5</v>
      </c>
      <c r="R3662" s="5">
        <v>0</v>
      </c>
      <c r="S3662" s="5">
        <v>6</v>
      </c>
    </row>
    <row r="3663" spans="1:19" ht="28" x14ac:dyDescent="0.15">
      <c r="A3663" s="2">
        <f>HYPERLINK("https://open-school.uspishnemisto.com.ua/school/180576/", 180576)</f>
        <v>180576</v>
      </c>
      <c r="B3663" s="3" t="s">
        <v>19204</v>
      </c>
      <c r="C3663" s="3" t="s">
        <v>31</v>
      </c>
      <c r="D3663" s="3" t="s">
        <v>60</v>
      </c>
      <c r="E3663" s="4" t="s">
        <v>22</v>
      </c>
      <c r="F3663" s="4" t="s">
        <v>19195</v>
      </c>
      <c r="G3663" s="4" t="s">
        <v>19205</v>
      </c>
      <c r="H3663" s="3" t="s">
        <v>16292</v>
      </c>
      <c r="I3663" s="3" t="s">
        <v>19206</v>
      </c>
      <c r="J3663" s="3" t="s">
        <v>19207</v>
      </c>
      <c r="K3663" s="3" t="s">
        <v>19208</v>
      </c>
      <c r="L3663" s="3"/>
      <c r="M3663" s="4"/>
      <c r="N3663" s="3" t="s">
        <v>37</v>
      </c>
      <c r="O3663" s="3" t="s">
        <v>52</v>
      </c>
      <c r="P3663" s="5">
        <v>0</v>
      </c>
      <c r="Q3663" s="5">
        <v>7</v>
      </c>
      <c r="R3663" s="5">
        <v>0</v>
      </c>
      <c r="S3663" s="5">
        <v>4</v>
      </c>
    </row>
    <row r="3664" spans="1:19" ht="28" x14ac:dyDescent="0.15">
      <c r="A3664" s="2">
        <f>HYPERLINK("https://open-school.uspishnemisto.com.ua/school/180577/", 180577)</f>
        <v>180577</v>
      </c>
      <c r="B3664" s="3" t="s">
        <v>19209</v>
      </c>
      <c r="C3664" s="3" t="s">
        <v>31</v>
      </c>
      <c r="D3664" s="3" t="s">
        <v>32</v>
      </c>
      <c r="E3664" s="4" t="s">
        <v>22</v>
      </c>
      <c r="F3664" s="4" t="s">
        <v>19210</v>
      </c>
      <c r="G3664" s="4" t="s">
        <v>19211</v>
      </c>
      <c r="H3664" s="3" t="s">
        <v>16292</v>
      </c>
      <c r="I3664" s="3" t="s">
        <v>19212</v>
      </c>
      <c r="J3664" s="3" t="s">
        <v>19213</v>
      </c>
      <c r="K3664" s="3" t="s">
        <v>19214</v>
      </c>
      <c r="L3664" s="3"/>
      <c r="M3664" s="4"/>
      <c r="N3664" s="3" t="s">
        <v>37</v>
      </c>
      <c r="O3664" s="3" t="s">
        <v>38</v>
      </c>
      <c r="P3664" s="5">
        <v>11</v>
      </c>
      <c r="Q3664" s="5">
        <v>161</v>
      </c>
      <c r="R3664" s="5">
        <v>11</v>
      </c>
      <c r="S3664" s="5">
        <v>161</v>
      </c>
    </row>
    <row r="3665" spans="1:19" ht="28" x14ac:dyDescent="0.15">
      <c r="A3665" s="2">
        <f>HYPERLINK("https://open-school.uspishnemisto.com.ua/school/180578/", 180578)</f>
        <v>180578</v>
      </c>
      <c r="B3665" s="3" t="s">
        <v>19215</v>
      </c>
      <c r="C3665" s="3" t="s">
        <v>31</v>
      </c>
      <c r="D3665" s="3" t="s">
        <v>175</v>
      </c>
      <c r="E3665" s="4" t="s">
        <v>22</v>
      </c>
      <c r="F3665" s="4" t="s">
        <v>19210</v>
      </c>
      <c r="G3665" s="4" t="s">
        <v>19216</v>
      </c>
      <c r="H3665" s="3" t="s">
        <v>16292</v>
      </c>
      <c r="I3665" s="3" t="s">
        <v>19217</v>
      </c>
      <c r="J3665" s="3" t="s">
        <v>19218</v>
      </c>
      <c r="K3665" s="3" t="s">
        <v>19219</v>
      </c>
      <c r="L3665" s="3"/>
      <c r="M3665" s="4"/>
      <c r="N3665" s="3" t="s">
        <v>37</v>
      </c>
      <c r="O3665" s="3" t="s">
        <v>112</v>
      </c>
      <c r="P3665" s="5">
        <v>5</v>
      </c>
      <c r="Q3665" s="5">
        <v>44</v>
      </c>
      <c r="R3665" s="5">
        <v>5</v>
      </c>
      <c r="S3665" s="5">
        <v>42</v>
      </c>
    </row>
    <row r="3666" spans="1:19" ht="28" x14ac:dyDescent="0.15">
      <c r="A3666" s="2">
        <f>HYPERLINK("https://open-school.uspishnemisto.com.ua/school/180579/", 180579)</f>
        <v>180579</v>
      </c>
      <c r="B3666" s="3" t="s">
        <v>19220</v>
      </c>
      <c r="C3666" s="3" t="s">
        <v>31</v>
      </c>
      <c r="D3666" s="3" t="s">
        <v>32</v>
      </c>
      <c r="E3666" s="4" t="s">
        <v>22</v>
      </c>
      <c r="F3666" s="4" t="s">
        <v>19221</v>
      </c>
      <c r="G3666" s="4" t="s">
        <v>19222</v>
      </c>
      <c r="H3666" s="3" t="s">
        <v>16292</v>
      </c>
      <c r="I3666" s="3" t="s">
        <v>12816</v>
      </c>
      <c r="J3666" s="3" t="s">
        <v>2901</v>
      </c>
      <c r="K3666" s="3" t="s">
        <v>19223</v>
      </c>
      <c r="L3666" s="3"/>
      <c r="M3666" s="4"/>
      <c r="N3666" s="3" t="s">
        <v>37</v>
      </c>
      <c r="O3666" s="3" t="s">
        <v>52</v>
      </c>
      <c r="P3666" s="5">
        <v>11</v>
      </c>
      <c r="Q3666" s="5">
        <v>175</v>
      </c>
      <c r="R3666" s="5">
        <v>11</v>
      </c>
      <c r="S3666" s="5">
        <v>168</v>
      </c>
    </row>
    <row r="3667" spans="1:19" ht="28" x14ac:dyDescent="0.15">
      <c r="A3667" s="2">
        <f>HYPERLINK("https://open-school.uspishnemisto.com.ua/school/180580/", 180580)</f>
        <v>180580</v>
      </c>
      <c r="B3667" s="3" t="s">
        <v>19224</v>
      </c>
      <c r="C3667" s="3" t="s">
        <v>31</v>
      </c>
      <c r="D3667" s="3" t="s">
        <v>175</v>
      </c>
      <c r="E3667" s="4" t="s">
        <v>22</v>
      </c>
      <c r="F3667" s="4" t="s">
        <v>19225</v>
      </c>
      <c r="G3667" s="4" t="s">
        <v>19226</v>
      </c>
      <c r="H3667" s="3" t="s">
        <v>16292</v>
      </c>
      <c r="I3667" s="3" t="s">
        <v>19227</v>
      </c>
      <c r="J3667" s="3" t="s">
        <v>19228</v>
      </c>
      <c r="K3667" s="3" t="s">
        <v>19229</v>
      </c>
      <c r="L3667" s="3"/>
      <c r="M3667" s="4"/>
      <c r="N3667" s="3" t="s">
        <v>37</v>
      </c>
      <c r="O3667" s="3" t="s">
        <v>38</v>
      </c>
      <c r="P3667" s="5">
        <v>7</v>
      </c>
      <c r="Q3667" s="5">
        <v>63</v>
      </c>
      <c r="R3667" s="5">
        <v>7</v>
      </c>
      <c r="S3667" s="5">
        <v>68</v>
      </c>
    </row>
    <row r="3668" spans="1:19" ht="28" x14ac:dyDescent="0.15">
      <c r="A3668" s="2">
        <f>HYPERLINK("https://open-school.uspishnemisto.com.ua/school/180581/", 180581)</f>
        <v>180581</v>
      </c>
      <c r="B3668" s="3" t="s">
        <v>19230</v>
      </c>
      <c r="C3668" s="3" t="s">
        <v>31</v>
      </c>
      <c r="D3668" s="3" t="s">
        <v>175</v>
      </c>
      <c r="E3668" s="4" t="s">
        <v>22</v>
      </c>
      <c r="F3668" s="4" t="s">
        <v>19231</v>
      </c>
      <c r="G3668" s="4" t="s">
        <v>19232</v>
      </c>
      <c r="H3668" s="3" t="s">
        <v>16292</v>
      </c>
      <c r="I3668" s="3" t="s">
        <v>19233</v>
      </c>
      <c r="J3668" s="3" t="s">
        <v>1022</v>
      </c>
      <c r="K3668" s="3" t="s">
        <v>19234</v>
      </c>
      <c r="L3668" s="3"/>
      <c r="M3668" s="4"/>
      <c r="N3668" s="3" t="s">
        <v>37</v>
      </c>
      <c r="O3668" s="3" t="s">
        <v>52</v>
      </c>
      <c r="P3668" s="5">
        <v>9</v>
      </c>
      <c r="Q3668" s="5">
        <v>71</v>
      </c>
      <c r="R3668" s="5">
        <v>8</v>
      </c>
      <c r="S3668" s="5">
        <v>67</v>
      </c>
    </row>
    <row r="3669" spans="1:19" ht="28" x14ac:dyDescent="0.15">
      <c r="A3669" s="2">
        <f>HYPERLINK("https://open-school.uspishnemisto.com.ua/school/180582/", 180582)</f>
        <v>180582</v>
      </c>
      <c r="B3669" s="3" t="s">
        <v>19235</v>
      </c>
      <c r="C3669" s="3" t="s">
        <v>31</v>
      </c>
      <c r="D3669" s="3" t="s">
        <v>175</v>
      </c>
      <c r="E3669" s="4" t="s">
        <v>22</v>
      </c>
      <c r="F3669" s="4" t="s">
        <v>19236</v>
      </c>
      <c r="G3669" s="4" t="s">
        <v>19237</v>
      </c>
      <c r="H3669" s="3" t="s">
        <v>16292</v>
      </c>
      <c r="I3669" s="3" t="s">
        <v>19238</v>
      </c>
      <c r="J3669" s="3" t="s">
        <v>13183</v>
      </c>
      <c r="K3669" s="3" t="s">
        <v>19239</v>
      </c>
      <c r="L3669" s="3"/>
      <c r="M3669" s="4"/>
      <c r="N3669" s="3" t="s">
        <v>37</v>
      </c>
      <c r="O3669" s="3" t="s">
        <v>70</v>
      </c>
      <c r="P3669" s="5">
        <v>9</v>
      </c>
      <c r="Q3669" s="5">
        <v>142</v>
      </c>
      <c r="R3669" s="5">
        <v>9</v>
      </c>
      <c r="S3669" s="5">
        <v>135</v>
      </c>
    </row>
    <row r="3670" spans="1:19" ht="28" x14ac:dyDescent="0.15">
      <c r="A3670" s="2">
        <f>HYPERLINK("https://open-school.uspishnemisto.com.ua/school/180583/", 180583)</f>
        <v>180583</v>
      </c>
      <c r="B3670" s="3" t="s">
        <v>19240</v>
      </c>
      <c r="C3670" s="3" t="s">
        <v>31</v>
      </c>
      <c r="D3670" s="3" t="s">
        <v>60</v>
      </c>
      <c r="E3670" s="4" t="s">
        <v>22</v>
      </c>
      <c r="F3670" s="4" t="s">
        <v>19236</v>
      </c>
      <c r="G3670" s="4" t="s">
        <v>19241</v>
      </c>
      <c r="H3670" s="3" t="s">
        <v>16292</v>
      </c>
      <c r="I3670" s="3" t="s">
        <v>4594</v>
      </c>
      <c r="J3670" s="3" t="s">
        <v>12146</v>
      </c>
      <c r="K3670" s="3"/>
      <c r="L3670" s="3"/>
      <c r="M3670" s="4"/>
      <c r="N3670" s="3" t="s">
        <v>37</v>
      </c>
      <c r="O3670" s="3" t="s">
        <v>618</v>
      </c>
      <c r="P3670" s="5">
        <v>2</v>
      </c>
      <c r="Q3670" s="5">
        <v>14</v>
      </c>
      <c r="R3670" s="5">
        <v>1</v>
      </c>
      <c r="S3670" s="5">
        <v>14</v>
      </c>
    </row>
    <row r="3671" spans="1:19" ht="28" x14ac:dyDescent="0.15">
      <c r="A3671" s="2">
        <f>HYPERLINK("https://open-school.uspishnemisto.com.ua/school/180584/", 180584)</f>
        <v>180584</v>
      </c>
      <c r="B3671" s="3" t="s">
        <v>19242</v>
      </c>
      <c r="C3671" s="3" t="s">
        <v>31</v>
      </c>
      <c r="D3671" s="3" t="s">
        <v>32</v>
      </c>
      <c r="E3671" s="4" t="s">
        <v>22</v>
      </c>
      <c r="F3671" s="4" t="s">
        <v>19243</v>
      </c>
      <c r="G3671" s="4" t="s">
        <v>19244</v>
      </c>
      <c r="H3671" s="3" t="s">
        <v>16292</v>
      </c>
      <c r="I3671" s="3" t="s">
        <v>19245</v>
      </c>
      <c r="J3671" s="3" t="s">
        <v>19246</v>
      </c>
      <c r="K3671" s="3"/>
      <c r="L3671" s="3"/>
      <c r="M3671" s="4"/>
      <c r="N3671" s="3" t="s">
        <v>37</v>
      </c>
      <c r="O3671" s="3" t="s">
        <v>46</v>
      </c>
      <c r="P3671" s="5">
        <v>11</v>
      </c>
      <c r="Q3671" s="5">
        <v>154</v>
      </c>
      <c r="R3671" s="5">
        <v>11</v>
      </c>
      <c r="S3671" s="5">
        <v>163</v>
      </c>
    </row>
    <row r="3672" spans="1:19" ht="28" x14ac:dyDescent="0.15">
      <c r="A3672" s="2">
        <f>HYPERLINK("https://open-school.uspishnemisto.com.ua/school/180585/", 180585)</f>
        <v>180585</v>
      </c>
      <c r="B3672" s="3" t="s">
        <v>19247</v>
      </c>
      <c r="C3672" s="3" t="s">
        <v>31</v>
      </c>
      <c r="D3672" s="3" t="s">
        <v>60</v>
      </c>
      <c r="E3672" s="4" t="s">
        <v>22</v>
      </c>
      <c r="F3672" s="4" t="s">
        <v>19243</v>
      </c>
      <c r="G3672" s="4" t="s">
        <v>19248</v>
      </c>
      <c r="H3672" s="3" t="s">
        <v>16292</v>
      </c>
      <c r="I3672" s="3" t="s">
        <v>5208</v>
      </c>
      <c r="J3672" s="3" t="s">
        <v>19249</v>
      </c>
      <c r="K3672" s="3" t="s">
        <v>19250</v>
      </c>
      <c r="L3672" s="3"/>
      <c r="M3672" s="4"/>
      <c r="N3672" s="3" t="s">
        <v>37</v>
      </c>
      <c r="O3672" s="3" t="s">
        <v>52</v>
      </c>
      <c r="P3672" s="5">
        <v>1</v>
      </c>
      <c r="Q3672" s="5">
        <v>17</v>
      </c>
      <c r="R3672" s="5">
        <v>1</v>
      </c>
      <c r="S3672" s="5">
        <v>14</v>
      </c>
    </row>
    <row r="3673" spans="1:19" ht="28" x14ac:dyDescent="0.15">
      <c r="A3673" s="2">
        <f>HYPERLINK("https://open-school.uspishnemisto.com.ua/school/180586/", 180586)</f>
        <v>180586</v>
      </c>
      <c r="B3673" s="3" t="s">
        <v>19251</v>
      </c>
      <c r="C3673" s="3" t="s">
        <v>31</v>
      </c>
      <c r="D3673" s="3" t="s">
        <v>32</v>
      </c>
      <c r="E3673" s="4" t="s">
        <v>22</v>
      </c>
      <c r="F3673" s="4" t="s">
        <v>19252</v>
      </c>
      <c r="G3673" s="4" t="s">
        <v>19253</v>
      </c>
      <c r="H3673" s="3" t="s">
        <v>16292</v>
      </c>
      <c r="I3673" s="3" t="s">
        <v>19254</v>
      </c>
      <c r="J3673" s="3" t="s">
        <v>466</v>
      </c>
      <c r="K3673" s="3" t="s">
        <v>19255</v>
      </c>
      <c r="L3673" s="3"/>
      <c r="M3673" s="4"/>
      <c r="N3673" s="3" t="s">
        <v>37</v>
      </c>
      <c r="O3673" s="3" t="s">
        <v>38</v>
      </c>
      <c r="P3673" s="5">
        <v>11</v>
      </c>
      <c r="Q3673" s="5">
        <v>102</v>
      </c>
      <c r="R3673" s="5">
        <v>10</v>
      </c>
      <c r="S3673" s="5">
        <v>97</v>
      </c>
    </row>
    <row r="3674" spans="1:19" ht="28" x14ac:dyDescent="0.15">
      <c r="A3674" s="2">
        <f>HYPERLINK("https://open-school.uspishnemisto.com.ua/school/180587/", 180587)</f>
        <v>180587</v>
      </c>
      <c r="B3674" s="3" t="s">
        <v>19256</v>
      </c>
      <c r="C3674" s="3" t="s">
        <v>31</v>
      </c>
      <c r="D3674" s="3" t="s">
        <v>175</v>
      </c>
      <c r="E3674" s="4" t="s">
        <v>22</v>
      </c>
      <c r="F3674" s="4" t="s">
        <v>19257</v>
      </c>
      <c r="G3674" s="4" t="s">
        <v>19258</v>
      </c>
      <c r="H3674" s="3" t="s">
        <v>16292</v>
      </c>
      <c r="I3674" s="3" t="s">
        <v>19259</v>
      </c>
      <c r="J3674" s="3" t="s">
        <v>19260</v>
      </c>
      <c r="K3674" s="3" t="s">
        <v>19261</v>
      </c>
      <c r="L3674" s="3"/>
      <c r="M3674" s="4"/>
      <c r="N3674" s="3" t="s">
        <v>37</v>
      </c>
      <c r="O3674" s="3" t="s">
        <v>38</v>
      </c>
      <c r="P3674" s="5">
        <v>7</v>
      </c>
      <c r="Q3674" s="5">
        <v>46</v>
      </c>
      <c r="R3674" s="5">
        <v>5</v>
      </c>
      <c r="S3674" s="5">
        <v>40</v>
      </c>
    </row>
    <row r="3675" spans="1:19" ht="28" x14ac:dyDescent="0.15">
      <c r="A3675" s="2">
        <f>HYPERLINK("https://open-school.uspishnemisto.com.ua/school/180588/", 180588)</f>
        <v>180588</v>
      </c>
      <c r="B3675" s="3" t="s">
        <v>19262</v>
      </c>
      <c r="C3675" s="3" t="s">
        <v>31</v>
      </c>
      <c r="D3675" s="3" t="s">
        <v>175</v>
      </c>
      <c r="E3675" s="4" t="s">
        <v>22</v>
      </c>
      <c r="F3675" s="4" t="s">
        <v>19263</v>
      </c>
      <c r="G3675" s="4" t="s">
        <v>19264</v>
      </c>
      <c r="H3675" s="3" t="s">
        <v>16292</v>
      </c>
      <c r="I3675" s="3" t="s">
        <v>19265</v>
      </c>
      <c r="J3675" s="3" t="s">
        <v>466</v>
      </c>
      <c r="K3675" s="3" t="s">
        <v>19266</v>
      </c>
      <c r="L3675" s="3"/>
      <c r="M3675" s="4"/>
      <c r="N3675" s="3" t="s">
        <v>37</v>
      </c>
      <c r="O3675" s="3" t="s">
        <v>70</v>
      </c>
      <c r="P3675" s="5">
        <v>8</v>
      </c>
      <c r="Q3675" s="5">
        <v>66</v>
      </c>
      <c r="R3675" s="5">
        <v>8</v>
      </c>
      <c r="S3675" s="5">
        <v>68</v>
      </c>
    </row>
    <row r="3676" spans="1:19" ht="28" x14ac:dyDescent="0.15">
      <c r="A3676" s="2">
        <f>HYPERLINK("https://open-school.uspishnemisto.com.ua/school/180589/", 180589)</f>
        <v>180589</v>
      </c>
      <c r="B3676" s="3" t="s">
        <v>19267</v>
      </c>
      <c r="C3676" s="3" t="s">
        <v>40</v>
      </c>
      <c r="D3676" s="3" t="s">
        <v>32</v>
      </c>
      <c r="E3676" s="4" t="s">
        <v>22</v>
      </c>
      <c r="F3676" s="4" t="s">
        <v>19268</v>
      </c>
      <c r="G3676" s="4" t="s">
        <v>19269</v>
      </c>
      <c r="H3676" s="3" t="s">
        <v>16292</v>
      </c>
      <c r="I3676" s="3" t="s">
        <v>19270</v>
      </c>
      <c r="J3676" s="3" t="s">
        <v>19271</v>
      </c>
      <c r="K3676" s="3" t="s">
        <v>19272</v>
      </c>
      <c r="L3676" s="3"/>
      <c r="M3676" s="4"/>
      <c r="N3676" s="3" t="s">
        <v>37</v>
      </c>
      <c r="O3676" s="3" t="s">
        <v>70</v>
      </c>
      <c r="P3676" s="5">
        <v>32</v>
      </c>
      <c r="Q3676" s="5">
        <v>739</v>
      </c>
      <c r="R3676" s="5">
        <v>31</v>
      </c>
      <c r="S3676" s="5">
        <v>697</v>
      </c>
    </row>
    <row r="3677" spans="1:19" ht="42" x14ac:dyDescent="0.15">
      <c r="A3677" s="2">
        <f>HYPERLINK("https://open-school.uspishnemisto.com.ua/school/180590/", 180590)</f>
        <v>180590</v>
      </c>
      <c r="B3677" s="3" t="s">
        <v>19273</v>
      </c>
      <c r="C3677" s="3" t="s">
        <v>54</v>
      </c>
      <c r="D3677" s="3" t="s">
        <v>32</v>
      </c>
      <c r="E3677" s="4" t="s">
        <v>22</v>
      </c>
      <c r="F3677" s="4" t="s">
        <v>19274</v>
      </c>
      <c r="G3677" s="4" t="s">
        <v>19275</v>
      </c>
      <c r="H3677" s="3" t="s">
        <v>16292</v>
      </c>
      <c r="I3677" s="3" t="s">
        <v>19276</v>
      </c>
      <c r="J3677" s="3" t="s">
        <v>19277</v>
      </c>
      <c r="K3677" s="3" t="s">
        <v>19278</v>
      </c>
      <c r="L3677" s="3" t="s">
        <v>19279</v>
      </c>
      <c r="M3677" s="4"/>
      <c r="N3677" s="3" t="s">
        <v>37</v>
      </c>
      <c r="O3677" s="3" t="s">
        <v>2740</v>
      </c>
      <c r="P3677" s="5">
        <v>15</v>
      </c>
      <c r="Q3677" s="5">
        <v>285</v>
      </c>
      <c r="R3677" s="5">
        <v>13</v>
      </c>
      <c r="S3677" s="5">
        <v>269</v>
      </c>
    </row>
    <row r="3678" spans="1:19" ht="42" x14ac:dyDescent="0.15">
      <c r="A3678" s="2">
        <f>HYPERLINK("https://open-school.uspishnemisto.com.ua/school/180591/", 180591)</f>
        <v>180591</v>
      </c>
      <c r="B3678" s="3" t="s">
        <v>19280</v>
      </c>
      <c r="C3678" s="3" t="s">
        <v>31</v>
      </c>
      <c r="D3678" s="3" t="s">
        <v>32</v>
      </c>
      <c r="E3678" s="4" t="s">
        <v>22</v>
      </c>
      <c r="F3678" s="4" t="s">
        <v>19281</v>
      </c>
      <c r="G3678" s="4" t="s">
        <v>19282</v>
      </c>
      <c r="H3678" s="3" t="s">
        <v>16292</v>
      </c>
      <c r="I3678" s="3" t="s">
        <v>19283</v>
      </c>
      <c r="J3678" s="3" t="s">
        <v>19284</v>
      </c>
      <c r="K3678" s="3" t="s">
        <v>19285</v>
      </c>
      <c r="L3678" s="3"/>
      <c r="M3678" s="4"/>
      <c r="N3678" s="3" t="s">
        <v>37</v>
      </c>
      <c r="O3678" s="3" t="s">
        <v>52</v>
      </c>
      <c r="P3678" s="5">
        <v>9</v>
      </c>
      <c r="Q3678" s="5">
        <v>113</v>
      </c>
      <c r="R3678" s="5">
        <v>10</v>
      </c>
      <c r="S3678" s="5">
        <v>119</v>
      </c>
    </row>
    <row r="3679" spans="1:19" ht="42" x14ac:dyDescent="0.15">
      <c r="A3679" s="2">
        <f>HYPERLINK("https://open-school.uspishnemisto.com.ua/school/180592/", 180592)</f>
        <v>180592</v>
      </c>
      <c r="B3679" s="3" t="s">
        <v>19286</v>
      </c>
      <c r="C3679" s="3" t="s">
        <v>31</v>
      </c>
      <c r="D3679" s="3" t="s">
        <v>32</v>
      </c>
      <c r="E3679" s="4" t="s">
        <v>22</v>
      </c>
      <c r="F3679" s="4" t="s">
        <v>19287</v>
      </c>
      <c r="G3679" s="4" t="s">
        <v>19288</v>
      </c>
      <c r="H3679" s="3" t="s">
        <v>16292</v>
      </c>
      <c r="I3679" s="3" t="s">
        <v>19289</v>
      </c>
      <c r="J3679" s="3" t="s">
        <v>466</v>
      </c>
      <c r="K3679" s="3" t="s">
        <v>19290</v>
      </c>
      <c r="L3679" s="3"/>
      <c r="M3679" s="4"/>
      <c r="N3679" s="3" t="s">
        <v>37</v>
      </c>
      <c r="O3679" s="3" t="s">
        <v>52</v>
      </c>
      <c r="P3679" s="5">
        <v>12</v>
      </c>
      <c r="Q3679" s="5">
        <v>216</v>
      </c>
      <c r="R3679" s="5">
        <v>14</v>
      </c>
      <c r="S3679" s="5">
        <v>225</v>
      </c>
    </row>
    <row r="3680" spans="1:19" ht="28" x14ac:dyDescent="0.15">
      <c r="A3680" s="2">
        <f>HYPERLINK("https://open-school.uspishnemisto.com.ua/school/180593/", 180593)</f>
        <v>180593</v>
      </c>
      <c r="B3680" s="3" t="s">
        <v>19291</v>
      </c>
      <c r="C3680" s="3" t="s">
        <v>31</v>
      </c>
      <c r="D3680" s="3" t="s">
        <v>175</v>
      </c>
      <c r="E3680" s="4" t="s">
        <v>22</v>
      </c>
      <c r="F3680" s="4" t="s">
        <v>19292</v>
      </c>
      <c r="G3680" s="4" t="s">
        <v>19293</v>
      </c>
      <c r="H3680" s="3" t="s">
        <v>16292</v>
      </c>
      <c r="I3680" s="3" t="s">
        <v>19294</v>
      </c>
      <c r="J3680" s="3" t="s">
        <v>19295</v>
      </c>
      <c r="K3680" s="3" t="s">
        <v>19296</v>
      </c>
      <c r="L3680" s="3"/>
      <c r="M3680" s="4"/>
      <c r="N3680" s="3" t="s">
        <v>37</v>
      </c>
      <c r="O3680" s="3" t="s">
        <v>52</v>
      </c>
      <c r="P3680" s="5">
        <v>5</v>
      </c>
      <c r="Q3680" s="5">
        <v>48</v>
      </c>
      <c r="R3680" s="5">
        <v>4</v>
      </c>
      <c r="S3680" s="5">
        <v>43</v>
      </c>
    </row>
    <row r="3681" spans="1:19" ht="42" x14ac:dyDescent="0.15">
      <c r="A3681" s="2">
        <f>HYPERLINK("https://open-school.uspishnemisto.com.ua/school/180594/", 180594)</f>
        <v>180594</v>
      </c>
      <c r="B3681" s="3" t="s">
        <v>19297</v>
      </c>
      <c r="C3681" s="3" t="s">
        <v>31</v>
      </c>
      <c r="D3681" s="3" t="s">
        <v>175</v>
      </c>
      <c r="E3681" s="4" t="s">
        <v>22</v>
      </c>
      <c r="F3681" s="4" t="s">
        <v>19298</v>
      </c>
      <c r="G3681" s="4" t="s">
        <v>19299</v>
      </c>
      <c r="H3681" s="3" t="s">
        <v>16292</v>
      </c>
      <c r="I3681" s="3" t="s">
        <v>1500</v>
      </c>
      <c r="J3681" s="3" t="s">
        <v>19300</v>
      </c>
      <c r="K3681" s="3" t="s">
        <v>19301</v>
      </c>
      <c r="L3681" s="3"/>
      <c r="M3681" s="4"/>
      <c r="N3681" s="3" t="s">
        <v>37</v>
      </c>
      <c r="O3681" s="3" t="s">
        <v>52</v>
      </c>
      <c r="P3681" s="5">
        <v>0</v>
      </c>
      <c r="Q3681" s="5">
        <v>0</v>
      </c>
      <c r="R3681" s="5">
        <v>3</v>
      </c>
      <c r="S3681" s="5">
        <v>33</v>
      </c>
    </row>
    <row r="3682" spans="1:19" ht="56" x14ac:dyDescent="0.15">
      <c r="A3682" s="2">
        <f>HYPERLINK("https://open-school.uspishnemisto.com.ua/school/180595/", 180595)</f>
        <v>180595</v>
      </c>
      <c r="B3682" s="3" t="s">
        <v>19302</v>
      </c>
      <c r="C3682" s="3" t="s">
        <v>31</v>
      </c>
      <c r="D3682" s="3" t="s">
        <v>175</v>
      </c>
      <c r="E3682" s="4" t="s">
        <v>22</v>
      </c>
      <c r="F3682" s="4" t="s">
        <v>19303</v>
      </c>
      <c r="G3682" s="4" t="s">
        <v>19304</v>
      </c>
      <c r="H3682" s="3" t="s">
        <v>16292</v>
      </c>
      <c r="I3682" s="3" t="s">
        <v>19305</v>
      </c>
      <c r="J3682" s="3" t="s">
        <v>19306</v>
      </c>
      <c r="K3682" s="3" t="s">
        <v>19307</v>
      </c>
      <c r="L3682" s="3"/>
      <c r="M3682" s="4"/>
      <c r="N3682" s="3" t="s">
        <v>37</v>
      </c>
      <c r="O3682" s="3" t="s">
        <v>52</v>
      </c>
      <c r="P3682" s="5">
        <v>0</v>
      </c>
      <c r="Q3682" s="5">
        <v>0</v>
      </c>
      <c r="R3682" s="5">
        <v>4</v>
      </c>
      <c r="S3682" s="5">
        <v>38</v>
      </c>
    </row>
    <row r="3683" spans="1:19" ht="42" x14ac:dyDescent="0.15">
      <c r="A3683" s="2">
        <f>HYPERLINK("https://open-school.uspishnemisto.com.ua/school/180596/", 180596)</f>
        <v>180596</v>
      </c>
      <c r="B3683" s="3" t="s">
        <v>19308</v>
      </c>
      <c r="C3683" s="3" t="s">
        <v>31</v>
      </c>
      <c r="D3683" s="3" t="s">
        <v>32</v>
      </c>
      <c r="E3683" s="4" t="s">
        <v>22</v>
      </c>
      <c r="F3683" s="4" t="s">
        <v>19309</v>
      </c>
      <c r="G3683" s="4" t="s">
        <v>19310</v>
      </c>
      <c r="H3683" s="3" t="s">
        <v>16292</v>
      </c>
      <c r="I3683" s="3" t="s">
        <v>8067</v>
      </c>
      <c r="J3683" s="3" t="s">
        <v>3994</v>
      </c>
      <c r="K3683" s="3" t="s">
        <v>19311</v>
      </c>
      <c r="L3683" s="3" t="s">
        <v>19312</v>
      </c>
      <c r="M3683" s="4"/>
      <c r="N3683" s="3" t="s">
        <v>37</v>
      </c>
      <c r="O3683" s="3" t="s">
        <v>70</v>
      </c>
      <c r="P3683" s="5">
        <v>24</v>
      </c>
      <c r="Q3683" s="5">
        <v>316</v>
      </c>
      <c r="R3683" s="5">
        <v>11</v>
      </c>
      <c r="S3683" s="5">
        <v>158</v>
      </c>
    </row>
    <row r="3684" spans="1:19" ht="28" x14ac:dyDescent="0.15">
      <c r="A3684" s="2">
        <f>HYPERLINK("https://open-school.uspishnemisto.com.ua/school/180597/", 180597)</f>
        <v>180597</v>
      </c>
      <c r="B3684" s="3" t="s">
        <v>19313</v>
      </c>
      <c r="C3684" s="3" t="s">
        <v>31</v>
      </c>
      <c r="D3684" s="3" t="s">
        <v>175</v>
      </c>
      <c r="E3684" s="4" t="s">
        <v>22</v>
      </c>
      <c r="F3684" s="4" t="s">
        <v>19314</v>
      </c>
      <c r="G3684" s="4" t="s">
        <v>19315</v>
      </c>
      <c r="H3684" s="3" t="s">
        <v>16292</v>
      </c>
      <c r="I3684" s="3" t="s">
        <v>10829</v>
      </c>
      <c r="J3684" s="3" t="s">
        <v>19316</v>
      </c>
      <c r="K3684" s="3" t="s">
        <v>19317</v>
      </c>
      <c r="L3684" s="3"/>
      <c r="M3684" s="4"/>
      <c r="N3684" s="3" t="s">
        <v>37</v>
      </c>
      <c r="O3684" s="3" t="s">
        <v>38</v>
      </c>
      <c r="P3684" s="5">
        <v>7</v>
      </c>
      <c r="Q3684" s="5">
        <v>59</v>
      </c>
      <c r="R3684" s="5">
        <v>7</v>
      </c>
      <c r="S3684" s="5">
        <v>64</v>
      </c>
    </row>
    <row r="3685" spans="1:19" ht="28" x14ac:dyDescent="0.15">
      <c r="A3685" s="2">
        <f>HYPERLINK("https://open-school.uspishnemisto.com.ua/school/180598/", 180598)</f>
        <v>180598</v>
      </c>
      <c r="B3685" s="3" t="s">
        <v>19318</v>
      </c>
      <c r="C3685" s="3" t="s">
        <v>31</v>
      </c>
      <c r="D3685" s="3" t="s">
        <v>175</v>
      </c>
      <c r="E3685" s="4" t="s">
        <v>22</v>
      </c>
      <c r="F3685" s="4" t="s">
        <v>19319</v>
      </c>
      <c r="G3685" s="4" t="s">
        <v>19320</v>
      </c>
      <c r="H3685" s="3" t="s">
        <v>16292</v>
      </c>
      <c r="I3685" s="3" t="s">
        <v>19321</v>
      </c>
      <c r="J3685" s="3" t="s">
        <v>19322</v>
      </c>
      <c r="K3685" s="3" t="s">
        <v>19323</v>
      </c>
      <c r="L3685" s="3"/>
      <c r="M3685" s="4"/>
      <c r="N3685" s="3" t="s">
        <v>37</v>
      </c>
      <c r="O3685" s="3" t="s">
        <v>52</v>
      </c>
      <c r="P3685" s="5">
        <v>5</v>
      </c>
      <c r="Q3685" s="5">
        <v>39</v>
      </c>
      <c r="R3685" s="5">
        <v>6</v>
      </c>
      <c r="S3685" s="5">
        <v>42</v>
      </c>
    </row>
    <row r="3686" spans="1:19" ht="28" x14ac:dyDescent="0.15">
      <c r="A3686" s="2">
        <f>HYPERLINK("https://open-school.uspishnemisto.com.ua/school/180599/", 180599)</f>
        <v>180599</v>
      </c>
      <c r="B3686" s="3" t="s">
        <v>19324</v>
      </c>
      <c r="C3686" s="3" t="s">
        <v>31</v>
      </c>
      <c r="D3686" s="3" t="s">
        <v>175</v>
      </c>
      <c r="E3686" s="4" t="s">
        <v>22</v>
      </c>
      <c r="F3686" s="4" t="s">
        <v>19325</v>
      </c>
      <c r="G3686" s="4" t="s">
        <v>19326</v>
      </c>
      <c r="H3686" s="3" t="s">
        <v>16292</v>
      </c>
      <c r="I3686" s="3" t="s">
        <v>19327</v>
      </c>
      <c r="J3686" s="3" t="s">
        <v>4822</v>
      </c>
      <c r="K3686" s="3" t="s">
        <v>19328</v>
      </c>
      <c r="L3686" s="3"/>
      <c r="M3686" s="4"/>
      <c r="N3686" s="3" t="s">
        <v>37</v>
      </c>
      <c r="O3686" s="3" t="s">
        <v>38</v>
      </c>
      <c r="P3686" s="5">
        <v>2</v>
      </c>
      <c r="Q3686" s="5">
        <v>29</v>
      </c>
      <c r="R3686" s="5">
        <v>3</v>
      </c>
      <c r="S3686" s="5">
        <v>31</v>
      </c>
    </row>
    <row r="3687" spans="1:19" ht="28" x14ac:dyDescent="0.15">
      <c r="A3687" s="2">
        <f>HYPERLINK("https://open-school.uspishnemisto.com.ua/school/180600/", 180600)</f>
        <v>180600</v>
      </c>
      <c r="B3687" s="3" t="s">
        <v>19329</v>
      </c>
      <c r="C3687" s="3" t="s">
        <v>31</v>
      </c>
      <c r="D3687" s="3" t="s">
        <v>175</v>
      </c>
      <c r="E3687" s="4" t="s">
        <v>22</v>
      </c>
      <c r="F3687" s="4" t="s">
        <v>19330</v>
      </c>
      <c r="G3687" s="4" t="s">
        <v>19331</v>
      </c>
      <c r="H3687" s="3" t="s">
        <v>16292</v>
      </c>
      <c r="I3687" s="3" t="s">
        <v>19332</v>
      </c>
      <c r="J3687" s="3" t="s">
        <v>5896</v>
      </c>
      <c r="K3687" s="3" t="s">
        <v>19333</v>
      </c>
      <c r="L3687" s="3"/>
      <c r="M3687" s="4"/>
      <c r="N3687" s="3" t="s">
        <v>37</v>
      </c>
      <c r="O3687" s="3" t="s">
        <v>52</v>
      </c>
      <c r="P3687" s="5">
        <v>3</v>
      </c>
      <c r="Q3687" s="5">
        <v>36</v>
      </c>
      <c r="R3687" s="5">
        <v>3</v>
      </c>
      <c r="S3687" s="5">
        <v>35</v>
      </c>
    </row>
    <row r="3688" spans="1:19" ht="42" x14ac:dyDescent="0.15">
      <c r="A3688" s="2">
        <f>HYPERLINK("https://open-school.uspishnemisto.com.ua/school/180601/", 180601)</f>
        <v>180601</v>
      </c>
      <c r="B3688" s="3" t="s">
        <v>19334</v>
      </c>
      <c r="C3688" s="3" t="s">
        <v>31</v>
      </c>
      <c r="D3688" s="3" t="s">
        <v>32</v>
      </c>
      <c r="E3688" s="4" t="s">
        <v>22</v>
      </c>
      <c r="F3688" s="4" t="s">
        <v>19335</v>
      </c>
      <c r="G3688" s="4" t="s">
        <v>19336</v>
      </c>
      <c r="H3688" s="3" t="s">
        <v>16292</v>
      </c>
      <c r="I3688" s="3" t="s">
        <v>19337</v>
      </c>
      <c r="J3688" s="3" t="s">
        <v>19338</v>
      </c>
      <c r="K3688" s="3" t="s">
        <v>19339</v>
      </c>
      <c r="L3688" s="3"/>
      <c r="M3688" s="4"/>
      <c r="N3688" s="3" t="s">
        <v>37</v>
      </c>
      <c r="O3688" s="3" t="s">
        <v>38</v>
      </c>
      <c r="P3688" s="5">
        <v>6</v>
      </c>
      <c r="Q3688" s="5">
        <v>48</v>
      </c>
      <c r="R3688" s="5">
        <v>7</v>
      </c>
      <c r="S3688" s="5">
        <v>53</v>
      </c>
    </row>
    <row r="3689" spans="1:19" ht="28" x14ac:dyDescent="0.15">
      <c r="A3689" s="2">
        <f>HYPERLINK("https://open-school.uspishnemisto.com.ua/school/180602/", 180602)</f>
        <v>180602</v>
      </c>
      <c r="B3689" s="3" t="s">
        <v>19340</v>
      </c>
      <c r="C3689" s="3" t="s">
        <v>31</v>
      </c>
      <c r="D3689" s="3" t="s">
        <v>32</v>
      </c>
      <c r="E3689" s="4" t="s">
        <v>22</v>
      </c>
      <c r="F3689" s="4" t="s">
        <v>19341</v>
      </c>
      <c r="G3689" s="4" t="s">
        <v>19342</v>
      </c>
      <c r="H3689" s="3" t="s">
        <v>16292</v>
      </c>
      <c r="I3689" s="3" t="s">
        <v>15755</v>
      </c>
      <c r="J3689" s="3" t="s">
        <v>19343</v>
      </c>
      <c r="K3689" s="3" t="s">
        <v>19344</v>
      </c>
      <c r="L3689" s="3"/>
      <c r="M3689" s="4"/>
      <c r="N3689" s="3" t="s">
        <v>37</v>
      </c>
      <c r="O3689" s="3" t="s">
        <v>52</v>
      </c>
      <c r="P3689" s="5">
        <v>6</v>
      </c>
      <c r="Q3689" s="5">
        <v>45</v>
      </c>
      <c r="R3689" s="5">
        <v>7</v>
      </c>
      <c r="S3689" s="5">
        <v>54</v>
      </c>
    </row>
    <row r="3690" spans="1:19" ht="28" x14ac:dyDescent="0.15">
      <c r="A3690" s="2">
        <f>HYPERLINK("https://open-school.uspishnemisto.com.ua/school/180603/", 180603)</f>
        <v>180603</v>
      </c>
      <c r="B3690" s="3" t="s">
        <v>19345</v>
      </c>
      <c r="C3690" s="3" t="s">
        <v>31</v>
      </c>
      <c r="D3690" s="3" t="s">
        <v>32</v>
      </c>
      <c r="E3690" s="4" t="s">
        <v>22</v>
      </c>
      <c r="F3690" s="4" t="s">
        <v>19346</v>
      </c>
      <c r="G3690" s="4" t="s">
        <v>19347</v>
      </c>
      <c r="H3690" s="3" t="s">
        <v>16292</v>
      </c>
      <c r="I3690" s="3" t="s">
        <v>19348</v>
      </c>
      <c r="J3690" s="3" t="s">
        <v>3415</v>
      </c>
      <c r="K3690" s="3" t="s">
        <v>19349</v>
      </c>
      <c r="L3690" s="3"/>
      <c r="M3690" s="4"/>
      <c r="N3690" s="3" t="s">
        <v>37</v>
      </c>
      <c r="O3690" s="3" t="s">
        <v>46</v>
      </c>
      <c r="P3690" s="5">
        <v>9</v>
      </c>
      <c r="Q3690" s="5">
        <v>109</v>
      </c>
      <c r="R3690" s="5">
        <v>10</v>
      </c>
      <c r="S3690" s="5">
        <v>110</v>
      </c>
    </row>
    <row r="3691" spans="1:19" ht="28" x14ac:dyDescent="0.15">
      <c r="A3691" s="2">
        <f>HYPERLINK("https://open-school.uspishnemisto.com.ua/school/180604/", 180604)</f>
        <v>180604</v>
      </c>
      <c r="B3691" s="3" t="s">
        <v>19350</v>
      </c>
      <c r="C3691" s="3" t="s">
        <v>31</v>
      </c>
      <c r="D3691" s="3" t="s">
        <v>32</v>
      </c>
      <c r="E3691" s="4" t="s">
        <v>22</v>
      </c>
      <c r="F3691" s="4" t="s">
        <v>19351</v>
      </c>
      <c r="G3691" s="4" t="s">
        <v>19352</v>
      </c>
      <c r="H3691" s="3" t="s">
        <v>16292</v>
      </c>
      <c r="I3691" s="3" t="s">
        <v>3145</v>
      </c>
      <c r="J3691" s="3" t="s">
        <v>878</v>
      </c>
      <c r="K3691" s="3" t="s">
        <v>19353</v>
      </c>
      <c r="L3691" s="3"/>
      <c r="M3691" s="4"/>
      <c r="N3691" s="3" t="s">
        <v>37</v>
      </c>
      <c r="O3691" s="3" t="s">
        <v>46</v>
      </c>
      <c r="P3691" s="5">
        <v>8</v>
      </c>
      <c r="Q3691" s="5">
        <v>71</v>
      </c>
      <c r="R3691" s="5">
        <v>9</v>
      </c>
      <c r="S3691" s="5">
        <v>77</v>
      </c>
    </row>
    <row r="3692" spans="1:19" ht="28" x14ac:dyDescent="0.15">
      <c r="A3692" s="2">
        <f>HYPERLINK("https://open-school.uspishnemisto.com.ua/school/180605/", 180605)</f>
        <v>180605</v>
      </c>
      <c r="B3692" s="3" t="s">
        <v>19354</v>
      </c>
      <c r="C3692" s="3" t="s">
        <v>31</v>
      </c>
      <c r="D3692" s="3" t="s">
        <v>175</v>
      </c>
      <c r="E3692" s="4" t="s">
        <v>22</v>
      </c>
      <c r="F3692" s="4" t="s">
        <v>19355</v>
      </c>
      <c r="G3692" s="4" t="s">
        <v>19356</v>
      </c>
      <c r="H3692" s="3" t="s">
        <v>16292</v>
      </c>
      <c r="I3692" s="3" t="s">
        <v>2296</v>
      </c>
      <c r="J3692" s="3" t="s">
        <v>2185</v>
      </c>
      <c r="K3692" s="3" t="s">
        <v>19357</v>
      </c>
      <c r="L3692" s="3"/>
      <c r="M3692" s="4"/>
      <c r="N3692" s="3" t="s">
        <v>37</v>
      </c>
      <c r="O3692" s="3" t="s">
        <v>70</v>
      </c>
      <c r="P3692" s="5">
        <v>8</v>
      </c>
      <c r="Q3692" s="5">
        <v>66</v>
      </c>
      <c r="R3692" s="5">
        <v>8</v>
      </c>
      <c r="S3692" s="5">
        <v>68</v>
      </c>
    </row>
    <row r="3693" spans="1:19" ht="28" x14ac:dyDescent="0.15">
      <c r="A3693" s="2">
        <f>HYPERLINK("https://open-school.uspishnemisto.com.ua/school/180606/", 180606)</f>
        <v>180606</v>
      </c>
      <c r="B3693" s="3" t="s">
        <v>19358</v>
      </c>
      <c r="C3693" s="3" t="s">
        <v>31</v>
      </c>
      <c r="D3693" s="3" t="s">
        <v>32</v>
      </c>
      <c r="E3693" s="4" t="s">
        <v>22</v>
      </c>
      <c r="F3693" s="4" t="s">
        <v>19359</v>
      </c>
      <c r="G3693" s="4" t="s">
        <v>19360</v>
      </c>
      <c r="H3693" s="3" t="s">
        <v>16292</v>
      </c>
      <c r="I3693" s="3" t="s">
        <v>19361</v>
      </c>
      <c r="J3693" s="3" t="s">
        <v>19362</v>
      </c>
      <c r="K3693" s="3" t="s">
        <v>19363</v>
      </c>
      <c r="L3693" s="3"/>
      <c r="M3693" s="4"/>
      <c r="N3693" s="3" t="s">
        <v>37</v>
      </c>
      <c r="O3693" s="3" t="s">
        <v>52</v>
      </c>
      <c r="P3693" s="5">
        <v>10</v>
      </c>
      <c r="Q3693" s="5">
        <v>95</v>
      </c>
      <c r="R3693" s="5">
        <v>10</v>
      </c>
      <c r="S3693" s="5">
        <v>102</v>
      </c>
    </row>
    <row r="3694" spans="1:19" ht="28" x14ac:dyDescent="0.15">
      <c r="A3694" s="2">
        <f>HYPERLINK("https://open-school.uspishnemisto.com.ua/school/180607/", 180607)</f>
        <v>180607</v>
      </c>
      <c r="B3694" s="3" t="s">
        <v>19364</v>
      </c>
      <c r="C3694" s="3" t="s">
        <v>31</v>
      </c>
      <c r="D3694" s="3" t="s">
        <v>32</v>
      </c>
      <c r="E3694" s="4" t="s">
        <v>22</v>
      </c>
      <c r="F3694" s="4" t="s">
        <v>19365</v>
      </c>
      <c r="G3694" s="4" t="s">
        <v>19366</v>
      </c>
      <c r="H3694" s="3" t="s">
        <v>16292</v>
      </c>
      <c r="I3694" s="3" t="s">
        <v>19367</v>
      </c>
      <c r="J3694" s="3" t="s">
        <v>19368</v>
      </c>
      <c r="K3694" s="3" t="s">
        <v>19369</v>
      </c>
      <c r="L3694" s="3"/>
      <c r="M3694" s="4"/>
      <c r="N3694" s="3" t="s">
        <v>37</v>
      </c>
      <c r="O3694" s="3" t="s">
        <v>46</v>
      </c>
      <c r="P3694" s="5">
        <v>10</v>
      </c>
      <c r="Q3694" s="5">
        <v>79</v>
      </c>
      <c r="R3694" s="5">
        <v>11</v>
      </c>
      <c r="S3694" s="5">
        <v>88</v>
      </c>
    </row>
    <row r="3695" spans="1:19" ht="28" x14ac:dyDescent="0.15">
      <c r="A3695" s="2">
        <f>HYPERLINK("https://open-school.uspishnemisto.com.ua/school/180608/", 180608)</f>
        <v>180608</v>
      </c>
      <c r="B3695" s="3" t="s">
        <v>19370</v>
      </c>
      <c r="C3695" s="3" t="s">
        <v>31</v>
      </c>
      <c r="D3695" s="3" t="s">
        <v>32</v>
      </c>
      <c r="E3695" s="4" t="s">
        <v>22</v>
      </c>
      <c r="F3695" s="4" t="s">
        <v>19268</v>
      </c>
      <c r="G3695" s="4" t="s">
        <v>19371</v>
      </c>
      <c r="H3695" s="3" t="s">
        <v>16292</v>
      </c>
      <c r="I3695" s="3" t="s">
        <v>19270</v>
      </c>
      <c r="J3695" s="3" t="s">
        <v>466</v>
      </c>
      <c r="K3695" s="3" t="s">
        <v>19372</v>
      </c>
      <c r="L3695" s="3"/>
      <c r="M3695" s="4"/>
      <c r="N3695" s="3" t="s">
        <v>37</v>
      </c>
      <c r="O3695" s="3" t="s">
        <v>52</v>
      </c>
      <c r="P3695" s="5">
        <v>12</v>
      </c>
      <c r="Q3695" s="5">
        <v>216</v>
      </c>
      <c r="R3695" s="5">
        <v>12</v>
      </c>
      <c r="S3695" s="5">
        <v>212</v>
      </c>
    </row>
    <row r="3696" spans="1:19" ht="56" x14ac:dyDescent="0.15">
      <c r="A3696" s="2">
        <f>HYPERLINK("https://open-school.uspishnemisto.com.ua/school/180609/", 180609)</f>
        <v>180609</v>
      </c>
      <c r="B3696" s="3" t="s">
        <v>19373</v>
      </c>
      <c r="C3696" s="3" t="s">
        <v>31</v>
      </c>
      <c r="D3696" s="3" t="s">
        <v>175</v>
      </c>
      <c r="E3696" s="4" t="s">
        <v>22</v>
      </c>
      <c r="F3696" s="4" t="s">
        <v>19374</v>
      </c>
      <c r="G3696" s="4" t="s">
        <v>19375</v>
      </c>
      <c r="H3696" s="3" t="s">
        <v>16292</v>
      </c>
      <c r="I3696" s="3" t="s">
        <v>19376</v>
      </c>
      <c r="J3696" s="3" t="s">
        <v>2085</v>
      </c>
      <c r="K3696" s="3" t="s">
        <v>19377</v>
      </c>
      <c r="L3696" s="3"/>
      <c r="M3696" s="4"/>
      <c r="N3696" s="3" t="s">
        <v>37</v>
      </c>
      <c r="O3696" s="3" t="s">
        <v>46</v>
      </c>
      <c r="P3696" s="5">
        <v>0</v>
      </c>
      <c r="Q3696" s="5">
        <v>0</v>
      </c>
      <c r="R3696" s="5">
        <v>9</v>
      </c>
      <c r="S3696" s="5">
        <v>105</v>
      </c>
    </row>
    <row r="3697" spans="1:19" ht="28" x14ac:dyDescent="0.15">
      <c r="A3697" s="2">
        <f>HYPERLINK("https://open-school.uspishnemisto.com.ua/school/180610/", 180610)</f>
        <v>180610</v>
      </c>
      <c r="B3697" s="3" t="s">
        <v>19378</v>
      </c>
      <c r="C3697" s="3" t="s">
        <v>31</v>
      </c>
      <c r="D3697" s="3" t="s">
        <v>32</v>
      </c>
      <c r="E3697" s="4" t="s">
        <v>22</v>
      </c>
      <c r="F3697" s="4" t="s">
        <v>19379</v>
      </c>
      <c r="G3697" s="4" t="s">
        <v>19380</v>
      </c>
      <c r="H3697" s="3" t="s">
        <v>16292</v>
      </c>
      <c r="I3697" s="3" t="s">
        <v>17032</v>
      </c>
      <c r="J3697" s="3" t="s">
        <v>19381</v>
      </c>
      <c r="K3697" s="3" t="s">
        <v>19382</v>
      </c>
      <c r="L3697" s="3"/>
      <c r="M3697" s="4"/>
      <c r="N3697" s="3" t="s">
        <v>37</v>
      </c>
      <c r="O3697" s="3" t="s">
        <v>52</v>
      </c>
      <c r="P3697" s="5">
        <v>10</v>
      </c>
      <c r="Q3697" s="5">
        <v>111</v>
      </c>
      <c r="R3697" s="5">
        <v>10</v>
      </c>
      <c r="S3697" s="5">
        <v>130</v>
      </c>
    </row>
    <row r="3698" spans="1:19" ht="28" x14ac:dyDescent="0.15">
      <c r="A3698" s="2">
        <f>HYPERLINK("https://open-school.uspishnemisto.com.ua/school/180611/", 180611)</f>
        <v>180611</v>
      </c>
      <c r="B3698" s="3" t="s">
        <v>19383</v>
      </c>
      <c r="C3698" s="3" t="s">
        <v>31</v>
      </c>
      <c r="D3698" s="3" t="s">
        <v>175</v>
      </c>
      <c r="E3698" s="4" t="s">
        <v>22</v>
      </c>
      <c r="F3698" s="4" t="s">
        <v>19384</v>
      </c>
      <c r="G3698" s="4" t="s">
        <v>19385</v>
      </c>
      <c r="H3698" s="3" t="s">
        <v>16292</v>
      </c>
      <c r="I3698" s="3" t="s">
        <v>19386</v>
      </c>
      <c r="J3698" s="3" t="s">
        <v>19387</v>
      </c>
      <c r="K3698" s="3" t="s">
        <v>19388</v>
      </c>
      <c r="L3698" s="3"/>
      <c r="M3698" s="4"/>
      <c r="N3698" s="3" t="s">
        <v>37</v>
      </c>
      <c r="O3698" s="3" t="s">
        <v>52</v>
      </c>
      <c r="P3698" s="5">
        <v>8</v>
      </c>
      <c r="Q3698" s="5">
        <v>65</v>
      </c>
      <c r="R3698" s="5">
        <v>9</v>
      </c>
      <c r="S3698" s="5">
        <v>79</v>
      </c>
    </row>
    <row r="3699" spans="1:19" ht="28" x14ac:dyDescent="0.15">
      <c r="A3699" s="2">
        <f>HYPERLINK("https://open-school.uspishnemisto.com.ua/school/180612/", 180612)</f>
        <v>180612</v>
      </c>
      <c r="B3699" s="3" t="s">
        <v>19389</v>
      </c>
      <c r="C3699" s="3" t="s">
        <v>31</v>
      </c>
      <c r="D3699" s="3" t="s">
        <v>32</v>
      </c>
      <c r="E3699" s="4" t="s">
        <v>22</v>
      </c>
      <c r="F3699" s="4" t="s">
        <v>19390</v>
      </c>
      <c r="G3699" s="4" t="s">
        <v>19391</v>
      </c>
      <c r="H3699" s="3" t="s">
        <v>16292</v>
      </c>
      <c r="I3699" s="3" t="s">
        <v>19392</v>
      </c>
      <c r="J3699" s="3" t="s">
        <v>634</v>
      </c>
      <c r="K3699" s="3" t="s">
        <v>19393</v>
      </c>
      <c r="L3699" s="3"/>
      <c r="M3699" s="4"/>
      <c r="N3699" s="3" t="s">
        <v>37</v>
      </c>
      <c r="O3699" s="3" t="s">
        <v>46</v>
      </c>
      <c r="P3699" s="5">
        <v>11</v>
      </c>
      <c r="Q3699" s="5">
        <v>110</v>
      </c>
      <c r="R3699" s="5">
        <v>11</v>
      </c>
      <c r="S3699" s="5">
        <v>108</v>
      </c>
    </row>
    <row r="3700" spans="1:19" ht="28" x14ac:dyDescent="0.15">
      <c r="A3700" s="2">
        <f>HYPERLINK("https://open-school.uspishnemisto.com.ua/school/180613/", 180613)</f>
        <v>180613</v>
      </c>
      <c r="B3700" s="3" t="s">
        <v>19394</v>
      </c>
      <c r="C3700" s="3" t="s">
        <v>31</v>
      </c>
      <c r="D3700" s="3" t="s">
        <v>32</v>
      </c>
      <c r="E3700" s="4" t="s">
        <v>22</v>
      </c>
      <c r="F3700" s="4" t="s">
        <v>19395</v>
      </c>
      <c r="G3700" s="4" t="s">
        <v>19396</v>
      </c>
      <c r="H3700" s="3" t="s">
        <v>16292</v>
      </c>
      <c r="I3700" s="3" t="s">
        <v>19397</v>
      </c>
      <c r="J3700" s="3" t="s">
        <v>1348</v>
      </c>
      <c r="K3700" s="3" t="s">
        <v>19398</v>
      </c>
      <c r="L3700" s="3"/>
      <c r="M3700" s="4"/>
      <c r="N3700" s="3" t="s">
        <v>37</v>
      </c>
      <c r="O3700" s="3" t="s">
        <v>46</v>
      </c>
      <c r="P3700" s="5">
        <v>9</v>
      </c>
      <c r="Q3700" s="5">
        <v>81</v>
      </c>
      <c r="R3700" s="5">
        <v>9</v>
      </c>
      <c r="S3700" s="5">
        <v>79</v>
      </c>
    </row>
    <row r="3701" spans="1:19" ht="28" x14ac:dyDescent="0.15">
      <c r="A3701" s="2">
        <f>HYPERLINK("https://open-school.uspishnemisto.com.ua/school/180614/", 180614)</f>
        <v>180614</v>
      </c>
      <c r="B3701" s="3" t="s">
        <v>19399</v>
      </c>
      <c r="C3701" s="3" t="s">
        <v>31</v>
      </c>
      <c r="D3701" s="3" t="s">
        <v>175</v>
      </c>
      <c r="E3701" s="4" t="s">
        <v>22</v>
      </c>
      <c r="F3701" s="4" t="s">
        <v>19400</v>
      </c>
      <c r="G3701" s="4" t="s">
        <v>19401</v>
      </c>
      <c r="H3701" s="3" t="s">
        <v>16292</v>
      </c>
      <c r="I3701" s="3" t="s">
        <v>19402</v>
      </c>
      <c r="J3701" s="3" t="s">
        <v>19403</v>
      </c>
      <c r="K3701" s="3" t="s">
        <v>19404</v>
      </c>
      <c r="L3701" s="3"/>
      <c r="M3701" s="4"/>
      <c r="N3701" s="3" t="s">
        <v>37</v>
      </c>
      <c r="O3701" s="3" t="s">
        <v>52</v>
      </c>
      <c r="P3701" s="5">
        <v>3</v>
      </c>
      <c r="Q3701" s="5">
        <v>36</v>
      </c>
      <c r="R3701" s="5">
        <v>4</v>
      </c>
      <c r="S3701" s="5">
        <v>32</v>
      </c>
    </row>
    <row r="3702" spans="1:19" ht="56" x14ac:dyDescent="0.15">
      <c r="A3702" s="2">
        <f>HYPERLINK("https://open-school.uspishnemisto.com.ua/school/180615/", 180615)</f>
        <v>180615</v>
      </c>
      <c r="B3702" s="3" t="s">
        <v>19405</v>
      </c>
      <c r="C3702" s="3" t="s">
        <v>31</v>
      </c>
      <c r="D3702" s="3" t="s">
        <v>32</v>
      </c>
      <c r="E3702" s="4" t="s">
        <v>22</v>
      </c>
      <c r="F3702" s="4" t="s">
        <v>19406</v>
      </c>
      <c r="G3702" s="4" t="s">
        <v>19407</v>
      </c>
      <c r="H3702" s="3" t="s">
        <v>16292</v>
      </c>
      <c r="I3702" s="3" t="s">
        <v>19408</v>
      </c>
      <c r="J3702" s="3" t="s">
        <v>19409</v>
      </c>
      <c r="K3702" s="3" t="s">
        <v>19410</v>
      </c>
      <c r="L3702" s="3"/>
      <c r="M3702" s="4"/>
      <c r="N3702" s="3" t="s">
        <v>37</v>
      </c>
      <c r="O3702" s="3" t="s">
        <v>38</v>
      </c>
      <c r="P3702" s="5">
        <v>7</v>
      </c>
      <c r="Q3702" s="5">
        <v>65</v>
      </c>
      <c r="R3702" s="5">
        <v>10</v>
      </c>
      <c r="S3702" s="5">
        <v>62</v>
      </c>
    </row>
    <row r="3703" spans="1:19" ht="28" x14ac:dyDescent="0.15">
      <c r="A3703" s="2">
        <f>HYPERLINK("https://open-school.uspishnemisto.com.ua/school/180616/", 180616)</f>
        <v>180616</v>
      </c>
      <c r="B3703" s="3" t="s">
        <v>19411</v>
      </c>
      <c r="C3703" s="3" t="s">
        <v>31</v>
      </c>
      <c r="D3703" s="3" t="s">
        <v>32</v>
      </c>
      <c r="E3703" s="4" t="s">
        <v>22</v>
      </c>
      <c r="F3703" s="4" t="s">
        <v>19412</v>
      </c>
      <c r="G3703" s="4" t="s">
        <v>19413</v>
      </c>
      <c r="H3703" s="3" t="s">
        <v>16292</v>
      </c>
      <c r="I3703" s="3" t="s">
        <v>19414</v>
      </c>
      <c r="J3703" s="3" t="s">
        <v>19415</v>
      </c>
      <c r="K3703" s="3" t="s">
        <v>19416</v>
      </c>
      <c r="L3703" s="3"/>
      <c r="M3703" s="4"/>
      <c r="N3703" s="3" t="s">
        <v>37</v>
      </c>
      <c r="O3703" s="3" t="s">
        <v>52</v>
      </c>
      <c r="P3703" s="5">
        <v>10</v>
      </c>
      <c r="Q3703" s="5">
        <v>132</v>
      </c>
      <c r="R3703" s="5">
        <v>10</v>
      </c>
      <c r="S3703" s="5">
        <v>139</v>
      </c>
    </row>
    <row r="3704" spans="1:19" ht="42" x14ac:dyDescent="0.15">
      <c r="A3704" s="2">
        <f>HYPERLINK("https://open-school.uspishnemisto.com.ua/school/180617/", 180617)</f>
        <v>180617</v>
      </c>
      <c r="B3704" s="3" t="s">
        <v>19417</v>
      </c>
      <c r="C3704" s="3" t="s">
        <v>2634</v>
      </c>
      <c r="D3704" s="3" t="s">
        <v>32</v>
      </c>
      <c r="E3704" s="4" t="s">
        <v>22</v>
      </c>
      <c r="F3704" s="4" t="s">
        <v>19418</v>
      </c>
      <c r="G3704" s="4" t="s">
        <v>19419</v>
      </c>
      <c r="H3704" s="3" t="s">
        <v>16292</v>
      </c>
      <c r="I3704" s="3" t="s">
        <v>6940</v>
      </c>
      <c r="J3704" s="3" t="s">
        <v>17237</v>
      </c>
      <c r="K3704" s="3" t="s">
        <v>19420</v>
      </c>
      <c r="L3704" s="3"/>
      <c r="M3704" s="4" t="s">
        <v>19421</v>
      </c>
      <c r="N3704" s="3" t="s">
        <v>37</v>
      </c>
      <c r="O3704" s="3" t="s">
        <v>52</v>
      </c>
      <c r="P3704" s="5">
        <v>11</v>
      </c>
      <c r="Q3704" s="5">
        <v>209</v>
      </c>
      <c r="R3704" s="5">
        <v>11</v>
      </c>
      <c r="S3704" s="5">
        <v>209</v>
      </c>
    </row>
    <row r="3705" spans="1:19" ht="28" x14ac:dyDescent="0.15">
      <c r="A3705" s="2">
        <f>HYPERLINK("https://open-school.uspishnemisto.com.ua/school/180618/", 180618)</f>
        <v>180618</v>
      </c>
      <c r="B3705" s="3" t="s">
        <v>19422</v>
      </c>
      <c r="C3705" s="3" t="s">
        <v>40</v>
      </c>
      <c r="D3705" s="3" t="s">
        <v>32</v>
      </c>
      <c r="E3705" s="4" t="s">
        <v>22</v>
      </c>
      <c r="F3705" s="4" t="s">
        <v>19418</v>
      </c>
      <c r="G3705" s="4" t="s">
        <v>19419</v>
      </c>
      <c r="H3705" s="3" t="s">
        <v>16292</v>
      </c>
      <c r="I3705" s="3" t="s">
        <v>6940</v>
      </c>
      <c r="J3705" s="3" t="s">
        <v>19423</v>
      </c>
      <c r="K3705" s="3" t="s">
        <v>19424</v>
      </c>
      <c r="L3705" s="3" t="s">
        <v>19425</v>
      </c>
      <c r="M3705" s="4" t="s">
        <v>19426</v>
      </c>
      <c r="N3705" s="3" t="s">
        <v>37</v>
      </c>
      <c r="O3705" s="3" t="s">
        <v>46</v>
      </c>
      <c r="P3705" s="5">
        <v>38</v>
      </c>
      <c r="Q3705" s="5">
        <v>690</v>
      </c>
      <c r="R3705" s="5">
        <v>24</v>
      </c>
      <c r="S3705" s="5">
        <v>562</v>
      </c>
    </row>
    <row r="3706" spans="1:19" ht="28" x14ac:dyDescent="0.15">
      <c r="A3706" s="2">
        <f>HYPERLINK("https://open-school.uspishnemisto.com.ua/school/180619/", 180619)</f>
        <v>180619</v>
      </c>
      <c r="B3706" s="3" t="s">
        <v>19427</v>
      </c>
      <c r="C3706" s="3" t="s">
        <v>31</v>
      </c>
      <c r="D3706" s="3" t="s">
        <v>32</v>
      </c>
      <c r="E3706" s="4" t="s">
        <v>22</v>
      </c>
      <c r="F3706" s="4" t="s">
        <v>19418</v>
      </c>
      <c r="G3706" s="4" t="s">
        <v>19419</v>
      </c>
      <c r="H3706" s="3" t="s">
        <v>16292</v>
      </c>
      <c r="I3706" s="3" t="s">
        <v>6940</v>
      </c>
      <c r="J3706" s="3" t="s">
        <v>19428</v>
      </c>
      <c r="K3706" s="3" t="s">
        <v>19429</v>
      </c>
      <c r="L3706" s="3" t="s">
        <v>19430</v>
      </c>
      <c r="M3706" s="4" t="s">
        <v>19431</v>
      </c>
      <c r="N3706" s="3" t="s">
        <v>37</v>
      </c>
      <c r="O3706" s="3" t="s">
        <v>38</v>
      </c>
      <c r="P3706" s="5">
        <v>18</v>
      </c>
      <c r="Q3706" s="5">
        <v>375</v>
      </c>
      <c r="R3706" s="5">
        <v>18</v>
      </c>
      <c r="S3706" s="5">
        <v>376</v>
      </c>
    </row>
    <row r="3707" spans="1:19" ht="28" x14ac:dyDescent="0.15">
      <c r="A3707" s="2">
        <f>HYPERLINK("https://open-school.uspishnemisto.com.ua/school/180620/", 180620)</f>
        <v>180620</v>
      </c>
      <c r="B3707" s="3" t="s">
        <v>19432</v>
      </c>
      <c r="C3707" s="3" t="s">
        <v>31</v>
      </c>
      <c r="D3707" s="3" t="s">
        <v>32</v>
      </c>
      <c r="E3707" s="4" t="s">
        <v>22</v>
      </c>
      <c r="F3707" s="4" t="s">
        <v>19418</v>
      </c>
      <c r="G3707" s="4" t="s">
        <v>19419</v>
      </c>
      <c r="H3707" s="3" t="s">
        <v>16292</v>
      </c>
      <c r="I3707" s="3" t="s">
        <v>6940</v>
      </c>
      <c r="J3707" s="3" t="s">
        <v>19433</v>
      </c>
      <c r="K3707" s="3" t="s">
        <v>19434</v>
      </c>
      <c r="L3707" s="3"/>
      <c r="M3707" s="4" t="s">
        <v>19435</v>
      </c>
      <c r="N3707" s="3" t="s">
        <v>37</v>
      </c>
      <c r="O3707" s="3" t="s">
        <v>52</v>
      </c>
      <c r="P3707" s="5">
        <v>18</v>
      </c>
      <c r="Q3707" s="5">
        <v>342</v>
      </c>
      <c r="R3707" s="5">
        <v>17</v>
      </c>
      <c r="S3707" s="5">
        <v>338</v>
      </c>
    </row>
    <row r="3708" spans="1:19" ht="56" x14ac:dyDescent="0.15">
      <c r="A3708" s="2">
        <f>HYPERLINK("https://open-school.uspishnemisto.com.ua/school/180621/", 180621)</f>
        <v>180621</v>
      </c>
      <c r="B3708" s="3" t="s">
        <v>19436</v>
      </c>
      <c r="C3708" s="3" t="s">
        <v>54</v>
      </c>
      <c r="D3708" s="3" t="s">
        <v>32</v>
      </c>
      <c r="E3708" s="4" t="s">
        <v>22</v>
      </c>
      <c r="F3708" s="4" t="s">
        <v>19418</v>
      </c>
      <c r="G3708" s="4" t="s">
        <v>19419</v>
      </c>
      <c r="H3708" s="3" t="s">
        <v>16292</v>
      </c>
      <c r="I3708" s="3" t="s">
        <v>6940</v>
      </c>
      <c r="J3708" s="3" t="s">
        <v>19437</v>
      </c>
      <c r="K3708" s="3" t="s">
        <v>19438</v>
      </c>
      <c r="L3708" s="3"/>
      <c r="M3708" s="4" t="s">
        <v>19439</v>
      </c>
      <c r="N3708" s="3" t="s">
        <v>37</v>
      </c>
      <c r="O3708" s="3" t="s">
        <v>52</v>
      </c>
      <c r="P3708" s="5">
        <v>10</v>
      </c>
      <c r="Q3708" s="5">
        <v>156</v>
      </c>
      <c r="R3708" s="5">
        <v>10</v>
      </c>
      <c r="S3708" s="5">
        <v>153</v>
      </c>
    </row>
    <row r="3709" spans="1:19" ht="28" x14ac:dyDescent="0.15">
      <c r="A3709" s="2">
        <f>HYPERLINK("https://open-school.uspishnemisto.com.ua/school/180622/", 180622)</f>
        <v>180622</v>
      </c>
      <c r="B3709" s="3" t="s">
        <v>19440</v>
      </c>
      <c r="C3709" s="3" t="s">
        <v>188</v>
      </c>
      <c r="D3709" s="3" t="s">
        <v>32</v>
      </c>
      <c r="E3709" s="4" t="s">
        <v>22</v>
      </c>
      <c r="F3709" s="4" t="s">
        <v>19418</v>
      </c>
      <c r="G3709" s="4" t="s">
        <v>19419</v>
      </c>
      <c r="H3709" s="3" t="s">
        <v>16292</v>
      </c>
      <c r="I3709" s="3" t="s">
        <v>6940</v>
      </c>
      <c r="J3709" s="3" t="s">
        <v>14941</v>
      </c>
      <c r="K3709" s="3" t="s">
        <v>19441</v>
      </c>
      <c r="L3709" s="3" t="s">
        <v>19442</v>
      </c>
      <c r="M3709" s="4" t="s">
        <v>19443</v>
      </c>
      <c r="N3709" s="3" t="s">
        <v>37</v>
      </c>
      <c r="O3709" s="3" t="s">
        <v>52</v>
      </c>
      <c r="P3709" s="5">
        <v>21</v>
      </c>
      <c r="Q3709" s="5">
        <v>442</v>
      </c>
      <c r="R3709" s="5">
        <v>20</v>
      </c>
      <c r="S3709" s="5">
        <v>446</v>
      </c>
    </row>
    <row r="3710" spans="1:19" ht="28" x14ac:dyDescent="0.15">
      <c r="A3710" s="2">
        <f>HYPERLINK("https://open-school.uspishnemisto.com.ua/school/180623/", 180623)</f>
        <v>180623</v>
      </c>
      <c r="B3710" s="3" t="s">
        <v>19444</v>
      </c>
      <c r="C3710" s="3" t="s">
        <v>31</v>
      </c>
      <c r="D3710" s="3" t="s">
        <v>32</v>
      </c>
      <c r="E3710" s="4" t="s">
        <v>22</v>
      </c>
      <c r="F3710" s="4" t="s">
        <v>19445</v>
      </c>
      <c r="G3710" s="4" t="s">
        <v>19446</v>
      </c>
      <c r="H3710" s="3" t="s">
        <v>16292</v>
      </c>
      <c r="I3710" s="3" t="s">
        <v>19447</v>
      </c>
      <c r="J3710" s="3" t="s">
        <v>19448</v>
      </c>
      <c r="K3710" s="3" t="s">
        <v>19449</v>
      </c>
      <c r="L3710" s="3"/>
      <c r="M3710" s="4"/>
      <c r="N3710" s="3" t="s">
        <v>37</v>
      </c>
      <c r="O3710" s="3" t="s">
        <v>52</v>
      </c>
      <c r="P3710" s="5">
        <v>10</v>
      </c>
      <c r="Q3710" s="5">
        <v>91</v>
      </c>
      <c r="R3710" s="5">
        <v>11</v>
      </c>
      <c r="S3710" s="5">
        <v>93</v>
      </c>
    </row>
    <row r="3711" spans="1:19" ht="28" x14ac:dyDescent="0.15">
      <c r="A3711" s="2">
        <f>HYPERLINK("https://open-school.uspishnemisto.com.ua/school/180624/", 180624)</f>
        <v>180624</v>
      </c>
      <c r="B3711" s="3" t="s">
        <v>19450</v>
      </c>
      <c r="C3711" s="3" t="s">
        <v>31</v>
      </c>
      <c r="D3711" s="3" t="s">
        <v>32</v>
      </c>
      <c r="E3711" s="4" t="s">
        <v>22</v>
      </c>
      <c r="F3711" s="4" t="s">
        <v>19451</v>
      </c>
      <c r="G3711" s="4" t="s">
        <v>19452</v>
      </c>
      <c r="H3711" s="3" t="s">
        <v>16292</v>
      </c>
      <c r="I3711" s="3" t="s">
        <v>1506</v>
      </c>
      <c r="J3711" s="3" t="s">
        <v>2191</v>
      </c>
      <c r="K3711" s="3" t="s">
        <v>19453</v>
      </c>
      <c r="L3711" s="3" t="s">
        <v>19454</v>
      </c>
      <c r="M3711" s="4" t="s">
        <v>19455</v>
      </c>
      <c r="N3711" s="3" t="s">
        <v>37</v>
      </c>
      <c r="O3711" s="3" t="s">
        <v>52</v>
      </c>
      <c r="P3711" s="5">
        <v>15</v>
      </c>
      <c r="Q3711" s="5">
        <v>286</v>
      </c>
      <c r="R3711" s="5">
        <v>15</v>
      </c>
      <c r="S3711" s="5">
        <v>303</v>
      </c>
    </row>
    <row r="3712" spans="1:19" ht="42" x14ac:dyDescent="0.15">
      <c r="A3712" s="2">
        <f>HYPERLINK("https://open-school.uspishnemisto.com.ua/school/180625/", 180625)</f>
        <v>180625</v>
      </c>
      <c r="B3712" s="3" t="s">
        <v>19456</v>
      </c>
      <c r="C3712" s="3" t="s">
        <v>54</v>
      </c>
      <c r="D3712" s="3" t="s">
        <v>32</v>
      </c>
      <c r="E3712" s="4" t="s">
        <v>22</v>
      </c>
      <c r="F3712" s="4" t="s">
        <v>19457</v>
      </c>
      <c r="G3712" s="4" t="s">
        <v>19458</v>
      </c>
      <c r="H3712" s="3" t="s">
        <v>16292</v>
      </c>
      <c r="I3712" s="3" t="s">
        <v>19459</v>
      </c>
      <c r="J3712" s="3" t="s">
        <v>19460</v>
      </c>
      <c r="K3712" s="3" t="s">
        <v>19461</v>
      </c>
      <c r="L3712" s="3"/>
      <c r="M3712" s="4"/>
      <c r="N3712" s="3" t="s">
        <v>37</v>
      </c>
      <c r="O3712" s="3" t="s">
        <v>52</v>
      </c>
      <c r="P3712" s="5">
        <v>6</v>
      </c>
      <c r="Q3712" s="5">
        <v>40</v>
      </c>
      <c r="R3712" s="5">
        <v>7</v>
      </c>
      <c r="S3712" s="5">
        <v>51</v>
      </c>
    </row>
    <row r="3713" spans="1:19" ht="28" x14ac:dyDescent="0.15">
      <c r="A3713" s="2">
        <f>HYPERLINK("https://open-school.uspishnemisto.com.ua/school/180626/", 180626)</f>
        <v>180626</v>
      </c>
      <c r="B3713" s="3" t="s">
        <v>19462</v>
      </c>
      <c r="C3713" s="3" t="s">
        <v>31</v>
      </c>
      <c r="D3713" s="3" t="s">
        <v>32</v>
      </c>
      <c r="E3713" s="4" t="s">
        <v>22</v>
      </c>
      <c r="F3713" s="4" t="s">
        <v>19463</v>
      </c>
      <c r="G3713" s="4" t="s">
        <v>19464</v>
      </c>
      <c r="H3713" s="3" t="s">
        <v>16292</v>
      </c>
      <c r="I3713" s="3" t="s">
        <v>19465</v>
      </c>
      <c r="J3713" s="3" t="s">
        <v>19466</v>
      </c>
      <c r="K3713" s="3" t="s">
        <v>19467</v>
      </c>
      <c r="L3713" s="3"/>
      <c r="M3713" s="4"/>
      <c r="N3713" s="3" t="s">
        <v>37</v>
      </c>
      <c r="O3713" s="3" t="s">
        <v>52</v>
      </c>
      <c r="P3713" s="5">
        <v>10</v>
      </c>
      <c r="Q3713" s="5">
        <v>97</v>
      </c>
      <c r="R3713" s="5">
        <v>9</v>
      </c>
      <c r="S3713" s="5">
        <v>101</v>
      </c>
    </row>
    <row r="3714" spans="1:19" ht="28" x14ac:dyDescent="0.15">
      <c r="A3714" s="2">
        <f>HYPERLINK("https://open-school.uspishnemisto.com.ua/school/180627/", 180627)</f>
        <v>180627</v>
      </c>
      <c r="B3714" s="3" t="s">
        <v>19468</v>
      </c>
      <c r="C3714" s="3" t="s">
        <v>31</v>
      </c>
      <c r="D3714" s="3" t="s">
        <v>175</v>
      </c>
      <c r="E3714" s="4" t="s">
        <v>22</v>
      </c>
      <c r="F3714" s="4" t="s">
        <v>19469</v>
      </c>
      <c r="G3714" s="4" t="s">
        <v>19470</v>
      </c>
      <c r="H3714" s="3" t="s">
        <v>16292</v>
      </c>
      <c r="I3714" s="3" t="s">
        <v>19471</v>
      </c>
      <c r="J3714" s="3" t="s">
        <v>19472</v>
      </c>
      <c r="K3714" s="3" t="s">
        <v>19473</v>
      </c>
      <c r="L3714" s="3"/>
      <c r="M3714" s="4"/>
      <c r="N3714" s="3" t="s">
        <v>37</v>
      </c>
      <c r="O3714" s="3" t="s">
        <v>52</v>
      </c>
      <c r="P3714" s="5">
        <v>5</v>
      </c>
      <c r="Q3714" s="5">
        <v>42</v>
      </c>
      <c r="R3714" s="5">
        <v>7</v>
      </c>
      <c r="S3714" s="5">
        <v>51</v>
      </c>
    </row>
    <row r="3715" spans="1:19" ht="28" x14ac:dyDescent="0.15">
      <c r="A3715" s="2">
        <f>HYPERLINK("https://open-school.uspishnemisto.com.ua/school/180628/", 180628)</f>
        <v>180628</v>
      </c>
      <c r="B3715" s="3" t="s">
        <v>19474</v>
      </c>
      <c r="C3715" s="3" t="s">
        <v>54</v>
      </c>
      <c r="D3715" s="3" t="s">
        <v>60</v>
      </c>
      <c r="E3715" s="4" t="s">
        <v>22</v>
      </c>
      <c r="F3715" s="4" t="s">
        <v>19475</v>
      </c>
      <c r="G3715" s="4" t="s">
        <v>19476</v>
      </c>
      <c r="H3715" s="3" t="s">
        <v>16292</v>
      </c>
      <c r="I3715" s="3" t="s">
        <v>19477</v>
      </c>
      <c r="J3715" s="3" t="s">
        <v>19478</v>
      </c>
      <c r="K3715" s="3" t="s">
        <v>19479</v>
      </c>
      <c r="L3715" s="3"/>
      <c r="M3715" s="4"/>
      <c r="N3715" s="3" t="s">
        <v>37</v>
      </c>
      <c r="O3715" s="3" t="s">
        <v>52</v>
      </c>
      <c r="P3715" s="5">
        <v>2</v>
      </c>
      <c r="Q3715" s="5">
        <v>15</v>
      </c>
      <c r="R3715" s="5">
        <v>2</v>
      </c>
      <c r="S3715" s="5">
        <v>16</v>
      </c>
    </row>
    <row r="3716" spans="1:19" ht="56" x14ac:dyDescent="0.15">
      <c r="A3716" s="2">
        <f>HYPERLINK("https://open-school.uspishnemisto.com.ua/school/180629/", 180629)</f>
        <v>180629</v>
      </c>
      <c r="B3716" s="3" t="s">
        <v>19480</v>
      </c>
      <c r="C3716" s="3" t="s">
        <v>31</v>
      </c>
      <c r="D3716" s="3" t="s">
        <v>175</v>
      </c>
      <c r="E3716" s="4" t="s">
        <v>22</v>
      </c>
      <c r="F3716" s="4" t="s">
        <v>19481</v>
      </c>
      <c r="G3716" s="4" t="s">
        <v>19482</v>
      </c>
      <c r="H3716" s="3" t="s">
        <v>16292</v>
      </c>
      <c r="I3716" s="3" t="s">
        <v>19483</v>
      </c>
      <c r="J3716" s="3" t="s">
        <v>1636</v>
      </c>
      <c r="K3716" s="3" t="s">
        <v>19484</v>
      </c>
      <c r="L3716" s="3"/>
      <c r="M3716" s="4"/>
      <c r="N3716" s="3" t="s">
        <v>37</v>
      </c>
      <c r="O3716" s="3" t="s">
        <v>52</v>
      </c>
      <c r="P3716" s="5">
        <v>0</v>
      </c>
      <c r="Q3716" s="5">
        <v>0</v>
      </c>
      <c r="R3716" s="5">
        <v>5</v>
      </c>
      <c r="S3716" s="5">
        <v>45</v>
      </c>
    </row>
    <row r="3717" spans="1:19" ht="28" x14ac:dyDescent="0.15">
      <c r="A3717" s="2">
        <f>HYPERLINK("https://open-school.uspishnemisto.com.ua/school/180630/", 180630)</f>
        <v>180630</v>
      </c>
      <c r="B3717" s="3" t="s">
        <v>19485</v>
      </c>
      <c r="C3717" s="3" t="s">
        <v>31</v>
      </c>
      <c r="D3717" s="3" t="s">
        <v>32</v>
      </c>
      <c r="E3717" s="4" t="s">
        <v>22</v>
      </c>
      <c r="F3717" s="4" t="s">
        <v>19486</v>
      </c>
      <c r="G3717" s="4" t="s">
        <v>19487</v>
      </c>
      <c r="H3717" s="3" t="s">
        <v>16292</v>
      </c>
      <c r="I3717" s="3" t="s">
        <v>19488</v>
      </c>
      <c r="J3717" s="3" t="s">
        <v>7340</v>
      </c>
      <c r="K3717" s="3" t="s">
        <v>19489</v>
      </c>
      <c r="L3717" s="3"/>
      <c r="M3717" s="4"/>
      <c r="N3717" s="3" t="s">
        <v>37</v>
      </c>
      <c r="O3717" s="3" t="s">
        <v>52</v>
      </c>
      <c r="P3717" s="5">
        <v>11</v>
      </c>
      <c r="Q3717" s="5">
        <v>167</v>
      </c>
      <c r="R3717" s="5">
        <v>11</v>
      </c>
      <c r="S3717" s="5">
        <v>159</v>
      </c>
    </row>
    <row r="3718" spans="1:19" ht="42" x14ac:dyDescent="0.15">
      <c r="A3718" s="2">
        <f>HYPERLINK("https://open-school.uspishnemisto.com.ua/school/180631/", 180631)</f>
        <v>180631</v>
      </c>
      <c r="B3718" s="3" t="s">
        <v>19490</v>
      </c>
      <c r="C3718" s="3" t="s">
        <v>181</v>
      </c>
      <c r="D3718" s="3" t="s">
        <v>175</v>
      </c>
      <c r="E3718" s="4" t="s">
        <v>22</v>
      </c>
      <c r="F3718" s="4" t="s">
        <v>19486</v>
      </c>
      <c r="G3718" s="4" t="s">
        <v>19487</v>
      </c>
      <c r="H3718" s="3" t="s">
        <v>16292</v>
      </c>
      <c r="I3718" s="3" t="s">
        <v>19488</v>
      </c>
      <c r="J3718" s="3" t="s">
        <v>7930</v>
      </c>
      <c r="K3718" s="3" t="s">
        <v>19491</v>
      </c>
      <c r="L3718" s="3"/>
      <c r="M3718" s="4" t="s">
        <v>19492</v>
      </c>
      <c r="N3718" s="3" t="s">
        <v>37</v>
      </c>
      <c r="O3718" s="3"/>
      <c r="P3718" s="5">
        <v>0</v>
      </c>
      <c r="Q3718" s="5">
        <v>0</v>
      </c>
      <c r="R3718" s="5">
        <v>9</v>
      </c>
      <c r="S3718" s="5">
        <v>102</v>
      </c>
    </row>
    <row r="3719" spans="1:19" ht="28" x14ac:dyDescent="0.15">
      <c r="A3719" s="2">
        <f>HYPERLINK("https://open-school.uspishnemisto.com.ua/school/180745/", 180745)</f>
        <v>180745</v>
      </c>
      <c r="B3719" s="3" t="s">
        <v>19493</v>
      </c>
      <c r="C3719" s="3" t="s">
        <v>31</v>
      </c>
      <c r="D3719" s="3" t="s">
        <v>175</v>
      </c>
      <c r="E3719" s="4" t="s">
        <v>22</v>
      </c>
      <c r="F3719" s="4" t="s">
        <v>19494</v>
      </c>
      <c r="G3719" s="4" t="s">
        <v>19495</v>
      </c>
      <c r="H3719" s="3" t="s">
        <v>16292</v>
      </c>
      <c r="I3719" s="3" t="s">
        <v>19496</v>
      </c>
      <c r="J3719" s="3" t="s">
        <v>3852</v>
      </c>
      <c r="K3719" s="3" t="s">
        <v>19497</v>
      </c>
      <c r="L3719" s="3"/>
      <c r="M3719" s="4"/>
      <c r="N3719" s="3" t="s">
        <v>37</v>
      </c>
      <c r="O3719" s="3" t="s">
        <v>52</v>
      </c>
      <c r="P3719" s="5">
        <v>4</v>
      </c>
      <c r="Q3719" s="5">
        <v>40</v>
      </c>
      <c r="R3719" s="5"/>
      <c r="S3719" s="5"/>
    </row>
    <row r="3720" spans="1:19" ht="28" x14ac:dyDescent="0.15">
      <c r="A3720" s="2">
        <f>HYPERLINK("https://open-school.uspishnemisto.com.ua/school/180632/", 180632)</f>
        <v>180632</v>
      </c>
      <c r="B3720" s="3" t="s">
        <v>19498</v>
      </c>
      <c r="C3720" s="3" t="s">
        <v>31</v>
      </c>
      <c r="D3720" s="3" t="s">
        <v>32</v>
      </c>
      <c r="E3720" s="4" t="s">
        <v>22</v>
      </c>
      <c r="F3720" s="4" t="s">
        <v>19499</v>
      </c>
      <c r="G3720" s="4" t="s">
        <v>19500</v>
      </c>
      <c r="H3720" s="3" t="s">
        <v>16292</v>
      </c>
      <c r="I3720" s="3" t="s">
        <v>19501</v>
      </c>
      <c r="J3720" s="3" t="s">
        <v>1348</v>
      </c>
      <c r="K3720" s="3" t="s">
        <v>19502</v>
      </c>
      <c r="L3720" s="3"/>
      <c r="M3720" s="4"/>
      <c r="N3720" s="3" t="s">
        <v>37</v>
      </c>
      <c r="O3720" s="3" t="s">
        <v>52</v>
      </c>
      <c r="P3720" s="5">
        <v>8</v>
      </c>
      <c r="Q3720" s="5">
        <v>53</v>
      </c>
      <c r="R3720" s="5">
        <v>8</v>
      </c>
      <c r="S3720" s="5">
        <v>56</v>
      </c>
    </row>
    <row r="3721" spans="1:19" ht="42" x14ac:dyDescent="0.15">
      <c r="A3721" s="2">
        <f>HYPERLINK("https://open-school.uspishnemisto.com.ua/school/180633/", 180633)</f>
        <v>180633</v>
      </c>
      <c r="B3721" s="3" t="s">
        <v>19503</v>
      </c>
      <c r="C3721" s="3" t="s">
        <v>31</v>
      </c>
      <c r="D3721" s="3" t="s">
        <v>32</v>
      </c>
      <c r="E3721" s="4" t="s">
        <v>22</v>
      </c>
      <c r="F3721" s="4" t="s">
        <v>19504</v>
      </c>
      <c r="G3721" s="4" t="s">
        <v>19505</v>
      </c>
      <c r="H3721" s="3" t="s">
        <v>16292</v>
      </c>
      <c r="I3721" s="3" t="s">
        <v>19506</v>
      </c>
      <c r="J3721" s="3" t="s">
        <v>11089</v>
      </c>
      <c r="K3721" s="3" t="s">
        <v>19507</v>
      </c>
      <c r="L3721" s="3"/>
      <c r="M3721" s="4"/>
      <c r="N3721" s="3" t="s">
        <v>37</v>
      </c>
      <c r="O3721" s="3" t="s">
        <v>46</v>
      </c>
      <c r="P3721" s="5">
        <v>11</v>
      </c>
      <c r="Q3721" s="5">
        <v>110</v>
      </c>
      <c r="R3721" s="5">
        <v>11</v>
      </c>
      <c r="S3721" s="5">
        <v>111</v>
      </c>
    </row>
    <row r="3722" spans="1:19" ht="56" x14ac:dyDescent="0.15">
      <c r="A3722" s="2">
        <f>HYPERLINK("https://open-school.uspishnemisto.com.ua/school/180634/", 180634)</f>
        <v>180634</v>
      </c>
      <c r="B3722" s="3" t="s">
        <v>19508</v>
      </c>
      <c r="C3722" s="3" t="s">
        <v>31</v>
      </c>
      <c r="D3722" s="3" t="s">
        <v>175</v>
      </c>
      <c r="E3722" s="4" t="s">
        <v>22</v>
      </c>
      <c r="F3722" s="4" t="s">
        <v>19509</v>
      </c>
      <c r="G3722" s="4" t="s">
        <v>19510</v>
      </c>
      <c r="H3722" s="3" t="s">
        <v>16292</v>
      </c>
      <c r="I3722" s="3" t="s">
        <v>19511</v>
      </c>
      <c r="J3722" s="3" t="s">
        <v>19512</v>
      </c>
      <c r="K3722" s="3" t="s">
        <v>19513</v>
      </c>
      <c r="L3722" s="3"/>
      <c r="M3722" s="4"/>
      <c r="N3722" s="3" t="s">
        <v>37</v>
      </c>
      <c r="O3722" s="3" t="s">
        <v>52</v>
      </c>
      <c r="P3722" s="5">
        <v>0</v>
      </c>
      <c r="Q3722" s="5">
        <v>0</v>
      </c>
      <c r="R3722" s="5">
        <v>7</v>
      </c>
      <c r="S3722" s="5">
        <v>46</v>
      </c>
    </row>
    <row r="3723" spans="1:19" ht="28" x14ac:dyDescent="0.15">
      <c r="A3723" s="2">
        <f>HYPERLINK("https://open-school.uspishnemisto.com.ua/school/180635/", 180635)</f>
        <v>180635</v>
      </c>
      <c r="B3723" s="3" t="s">
        <v>19514</v>
      </c>
      <c r="C3723" s="3" t="s">
        <v>31</v>
      </c>
      <c r="D3723" s="3" t="s">
        <v>60</v>
      </c>
      <c r="E3723" s="4" t="s">
        <v>22</v>
      </c>
      <c r="F3723" s="4" t="s">
        <v>19515</v>
      </c>
      <c r="G3723" s="4" t="s">
        <v>19516</v>
      </c>
      <c r="H3723" s="3" t="s">
        <v>16292</v>
      </c>
      <c r="I3723" s="3" t="s">
        <v>19517</v>
      </c>
      <c r="J3723" s="3" t="s">
        <v>19518</v>
      </c>
      <c r="K3723" s="3" t="s">
        <v>19519</v>
      </c>
      <c r="L3723" s="3"/>
      <c r="M3723" s="4"/>
      <c r="N3723" s="3" t="s">
        <v>37</v>
      </c>
      <c r="O3723" s="3" t="s">
        <v>52</v>
      </c>
      <c r="P3723" s="5">
        <v>0</v>
      </c>
      <c r="Q3723" s="5">
        <v>0</v>
      </c>
      <c r="R3723" s="5">
        <v>1</v>
      </c>
      <c r="S3723" s="5">
        <v>14</v>
      </c>
    </row>
    <row r="3724" spans="1:19" ht="28" x14ac:dyDescent="0.15">
      <c r="A3724" s="2">
        <f>HYPERLINK("https://open-school.uspishnemisto.com.ua/school/180636/", 180636)</f>
        <v>180636</v>
      </c>
      <c r="B3724" s="3" t="s">
        <v>19520</v>
      </c>
      <c r="C3724" s="3" t="s">
        <v>31</v>
      </c>
      <c r="D3724" s="3" t="s">
        <v>32</v>
      </c>
      <c r="E3724" s="4" t="s">
        <v>22</v>
      </c>
      <c r="F3724" s="4" t="s">
        <v>19521</v>
      </c>
      <c r="G3724" s="4" t="s">
        <v>19522</v>
      </c>
      <c r="H3724" s="3" t="s">
        <v>16292</v>
      </c>
      <c r="I3724" s="3" t="s">
        <v>19523</v>
      </c>
      <c r="J3724" s="3" t="s">
        <v>466</v>
      </c>
      <c r="K3724" s="3"/>
      <c r="L3724" s="3"/>
      <c r="M3724" s="4"/>
      <c r="N3724" s="3" t="s">
        <v>37</v>
      </c>
      <c r="O3724" s="3" t="s">
        <v>52</v>
      </c>
      <c r="P3724" s="5">
        <v>10</v>
      </c>
      <c r="Q3724" s="5">
        <v>93</v>
      </c>
      <c r="R3724" s="5">
        <v>11</v>
      </c>
      <c r="S3724" s="5">
        <v>92</v>
      </c>
    </row>
    <row r="3725" spans="1:19" ht="28" x14ac:dyDescent="0.15">
      <c r="A3725" s="2">
        <f>HYPERLINK("https://open-school.uspishnemisto.com.ua/school/180637/", 180637)</f>
        <v>180637</v>
      </c>
      <c r="B3725" s="3" t="s">
        <v>19524</v>
      </c>
      <c r="C3725" s="3" t="s">
        <v>31</v>
      </c>
      <c r="D3725" s="3" t="s">
        <v>32</v>
      </c>
      <c r="E3725" s="4" t="s">
        <v>22</v>
      </c>
      <c r="F3725" s="4" t="s">
        <v>19525</v>
      </c>
      <c r="G3725" s="4" t="s">
        <v>19526</v>
      </c>
      <c r="H3725" s="3" t="s">
        <v>16292</v>
      </c>
      <c r="I3725" s="3" t="s">
        <v>19527</v>
      </c>
      <c r="J3725" s="3" t="s">
        <v>19528</v>
      </c>
      <c r="K3725" s="3"/>
      <c r="L3725" s="3"/>
      <c r="M3725" s="4"/>
      <c r="N3725" s="3" t="s">
        <v>37</v>
      </c>
      <c r="O3725" s="3" t="s">
        <v>46</v>
      </c>
      <c r="P3725" s="5">
        <v>10</v>
      </c>
      <c r="Q3725" s="5">
        <v>96</v>
      </c>
      <c r="R3725" s="5">
        <v>11</v>
      </c>
      <c r="S3725" s="5">
        <v>106</v>
      </c>
    </row>
    <row r="3726" spans="1:19" ht="28" x14ac:dyDescent="0.15">
      <c r="A3726" s="2">
        <f>HYPERLINK("https://open-school.uspishnemisto.com.ua/school/180638/", 180638)</f>
        <v>180638</v>
      </c>
      <c r="B3726" s="3" t="s">
        <v>19529</v>
      </c>
      <c r="C3726" s="3" t="s">
        <v>31</v>
      </c>
      <c r="D3726" s="3" t="s">
        <v>32</v>
      </c>
      <c r="E3726" s="4" t="s">
        <v>22</v>
      </c>
      <c r="F3726" s="4" t="s">
        <v>19494</v>
      </c>
      <c r="G3726" s="4" t="s">
        <v>19530</v>
      </c>
      <c r="H3726" s="3" t="s">
        <v>16292</v>
      </c>
      <c r="I3726" s="3" t="s">
        <v>739</v>
      </c>
      <c r="J3726" s="3" t="s">
        <v>19531</v>
      </c>
      <c r="K3726" s="3" t="s">
        <v>19532</v>
      </c>
      <c r="L3726" s="3"/>
      <c r="M3726" s="4"/>
      <c r="N3726" s="3" t="s">
        <v>37</v>
      </c>
      <c r="O3726" s="3" t="s">
        <v>52</v>
      </c>
      <c r="P3726" s="5">
        <v>8</v>
      </c>
      <c r="Q3726" s="5">
        <v>58</v>
      </c>
      <c r="R3726" s="5">
        <v>7</v>
      </c>
      <c r="S3726" s="5">
        <v>60</v>
      </c>
    </row>
    <row r="3727" spans="1:19" ht="28" x14ac:dyDescent="0.15">
      <c r="A3727" s="2">
        <f>HYPERLINK("https://open-school.uspishnemisto.com.ua/school/180639/", 180639)</f>
        <v>180639</v>
      </c>
      <c r="B3727" s="3" t="s">
        <v>19533</v>
      </c>
      <c r="C3727" s="3" t="s">
        <v>31</v>
      </c>
      <c r="D3727" s="3" t="s">
        <v>60</v>
      </c>
      <c r="E3727" s="4" t="s">
        <v>22</v>
      </c>
      <c r="F3727" s="4" t="s">
        <v>19534</v>
      </c>
      <c r="G3727" s="4" t="s">
        <v>19535</v>
      </c>
      <c r="H3727" s="3" t="s">
        <v>16292</v>
      </c>
      <c r="I3727" s="3" t="s">
        <v>19536</v>
      </c>
      <c r="J3727" s="3" t="s">
        <v>7166</v>
      </c>
      <c r="K3727" s="3" t="s">
        <v>19537</v>
      </c>
      <c r="L3727" s="3"/>
      <c r="M3727" s="4"/>
      <c r="N3727" s="3" t="s">
        <v>37</v>
      </c>
      <c r="O3727" s="3" t="s">
        <v>52</v>
      </c>
      <c r="P3727" s="5">
        <v>1</v>
      </c>
      <c r="Q3727" s="5">
        <v>7</v>
      </c>
      <c r="R3727" s="5">
        <v>1</v>
      </c>
      <c r="S3727" s="5">
        <v>7</v>
      </c>
    </row>
    <row r="3728" spans="1:19" ht="42" x14ac:dyDescent="0.15">
      <c r="A3728" s="2">
        <f>HYPERLINK("https://open-school.uspishnemisto.com.ua/school/180640/", 180640)</f>
        <v>180640</v>
      </c>
      <c r="B3728" s="3" t="s">
        <v>19538</v>
      </c>
      <c r="C3728" s="3" t="s">
        <v>54</v>
      </c>
      <c r="D3728" s="3"/>
      <c r="E3728" s="4" t="s">
        <v>22</v>
      </c>
      <c r="F3728" s="4" t="s">
        <v>19539</v>
      </c>
      <c r="G3728" s="4" t="s">
        <v>19540</v>
      </c>
      <c r="H3728" s="3" t="s">
        <v>16292</v>
      </c>
      <c r="I3728" s="3" t="s">
        <v>19541</v>
      </c>
      <c r="J3728" s="3" t="s">
        <v>19542</v>
      </c>
      <c r="K3728" s="3"/>
      <c r="L3728" s="3"/>
      <c r="M3728" s="4"/>
      <c r="N3728" s="3" t="s">
        <v>37</v>
      </c>
      <c r="O3728" s="3" t="s">
        <v>52</v>
      </c>
      <c r="P3728" s="5">
        <v>3</v>
      </c>
      <c r="Q3728" s="5">
        <v>21</v>
      </c>
      <c r="R3728" s="5">
        <v>3</v>
      </c>
      <c r="S3728" s="5">
        <v>20</v>
      </c>
    </row>
    <row r="3729" spans="1:19" ht="56" x14ac:dyDescent="0.15">
      <c r="A3729" s="2">
        <f>HYPERLINK("https://open-school.uspishnemisto.com.ua/school/180641/", 180641)</f>
        <v>180641</v>
      </c>
      <c r="B3729" s="3" t="s">
        <v>19543</v>
      </c>
      <c r="C3729" s="3" t="s">
        <v>54</v>
      </c>
      <c r="D3729" s="3" t="s">
        <v>175</v>
      </c>
      <c r="E3729" s="4" t="s">
        <v>22</v>
      </c>
      <c r="F3729" s="4" t="s">
        <v>19544</v>
      </c>
      <c r="G3729" s="4" t="s">
        <v>19545</v>
      </c>
      <c r="H3729" s="3" t="s">
        <v>16292</v>
      </c>
      <c r="I3729" s="3" t="s">
        <v>19546</v>
      </c>
      <c r="J3729" s="3" t="s">
        <v>19547</v>
      </c>
      <c r="K3729" s="3" t="s">
        <v>19548</v>
      </c>
      <c r="L3729" s="3"/>
      <c r="M3729" s="4"/>
      <c r="N3729" s="3" t="s">
        <v>37</v>
      </c>
      <c r="O3729" s="3" t="s">
        <v>46</v>
      </c>
      <c r="P3729" s="5">
        <v>6</v>
      </c>
      <c r="Q3729" s="5">
        <v>40</v>
      </c>
      <c r="R3729" s="5">
        <v>7</v>
      </c>
      <c r="S3729" s="5">
        <v>37</v>
      </c>
    </row>
    <row r="3730" spans="1:19" ht="28" x14ac:dyDescent="0.15">
      <c r="A3730" s="2">
        <f>HYPERLINK("https://open-school.uspishnemisto.com.ua/school/180642/", 180642)</f>
        <v>180642</v>
      </c>
      <c r="B3730" s="3" t="s">
        <v>19549</v>
      </c>
      <c r="C3730" s="3" t="s">
        <v>31</v>
      </c>
      <c r="D3730" s="3" t="s">
        <v>32</v>
      </c>
      <c r="E3730" s="4" t="s">
        <v>22</v>
      </c>
      <c r="F3730" s="4" t="s">
        <v>19550</v>
      </c>
      <c r="G3730" s="4" t="s">
        <v>19551</v>
      </c>
      <c r="H3730" s="3" t="s">
        <v>16292</v>
      </c>
      <c r="I3730" s="3" t="s">
        <v>19552</v>
      </c>
      <c r="J3730" s="3" t="s">
        <v>19553</v>
      </c>
      <c r="K3730" s="3" t="s">
        <v>19554</v>
      </c>
      <c r="L3730" s="3"/>
      <c r="M3730" s="4"/>
      <c r="N3730" s="3" t="s">
        <v>37</v>
      </c>
      <c r="O3730" s="3" t="s">
        <v>52</v>
      </c>
      <c r="P3730" s="5">
        <v>11</v>
      </c>
      <c r="Q3730" s="5">
        <v>98</v>
      </c>
      <c r="R3730" s="5">
        <v>10</v>
      </c>
      <c r="S3730" s="5">
        <v>86</v>
      </c>
    </row>
    <row r="3731" spans="1:19" ht="28" x14ac:dyDescent="0.15">
      <c r="A3731" s="2">
        <f>HYPERLINK("https://open-school.uspishnemisto.com.ua/school/180643/", 180643)</f>
        <v>180643</v>
      </c>
      <c r="B3731" s="3" t="s">
        <v>19555</v>
      </c>
      <c r="C3731" s="3" t="s">
        <v>31</v>
      </c>
      <c r="D3731" s="3" t="s">
        <v>175</v>
      </c>
      <c r="E3731" s="4" t="s">
        <v>22</v>
      </c>
      <c r="F3731" s="4" t="s">
        <v>19556</v>
      </c>
      <c r="G3731" s="4" t="s">
        <v>19557</v>
      </c>
      <c r="H3731" s="3" t="s">
        <v>16292</v>
      </c>
      <c r="I3731" s="3" t="s">
        <v>18778</v>
      </c>
      <c r="J3731" s="3" t="s">
        <v>466</v>
      </c>
      <c r="K3731" s="3" t="s">
        <v>19558</v>
      </c>
      <c r="L3731" s="3"/>
      <c r="M3731" s="4"/>
      <c r="N3731" s="3" t="s">
        <v>37</v>
      </c>
      <c r="O3731" s="3" t="s">
        <v>46</v>
      </c>
      <c r="P3731" s="5">
        <v>2</v>
      </c>
      <c r="Q3731" s="5">
        <v>35</v>
      </c>
      <c r="R3731" s="5">
        <v>4</v>
      </c>
      <c r="S3731" s="5">
        <v>41</v>
      </c>
    </row>
    <row r="3732" spans="1:19" ht="28" x14ac:dyDescent="0.15">
      <c r="A3732" s="2">
        <f>HYPERLINK("https://open-school.uspishnemisto.com.ua/school/180644/", 180644)</f>
        <v>180644</v>
      </c>
      <c r="B3732" s="3" t="s">
        <v>19559</v>
      </c>
      <c r="C3732" s="3" t="s">
        <v>181</v>
      </c>
      <c r="D3732" s="3" t="s">
        <v>32</v>
      </c>
      <c r="E3732" s="4" t="s">
        <v>22</v>
      </c>
      <c r="F3732" s="4" t="s">
        <v>19560</v>
      </c>
      <c r="G3732" s="4" t="s">
        <v>19561</v>
      </c>
      <c r="H3732" s="3" t="s">
        <v>16292</v>
      </c>
      <c r="I3732" s="3" t="s">
        <v>19562</v>
      </c>
      <c r="J3732" s="3" t="s">
        <v>19563</v>
      </c>
      <c r="K3732" s="3" t="s">
        <v>19564</v>
      </c>
      <c r="L3732" s="3" t="s">
        <v>19565</v>
      </c>
      <c r="M3732" s="4" t="s">
        <v>19566</v>
      </c>
      <c r="N3732" s="3" t="s">
        <v>37</v>
      </c>
      <c r="O3732" s="3" t="s">
        <v>52</v>
      </c>
      <c r="P3732" s="5">
        <v>15</v>
      </c>
      <c r="Q3732" s="5">
        <v>117</v>
      </c>
      <c r="R3732" s="5">
        <v>15</v>
      </c>
      <c r="S3732" s="5">
        <v>117</v>
      </c>
    </row>
    <row r="3733" spans="1:19" ht="28" x14ac:dyDescent="0.15">
      <c r="A3733" s="2">
        <f>HYPERLINK("https://open-school.uspishnemisto.com.ua/school/180746/", 180746)</f>
        <v>180746</v>
      </c>
      <c r="B3733" s="3" t="s">
        <v>19567</v>
      </c>
      <c r="C3733" s="3" t="s">
        <v>31</v>
      </c>
      <c r="D3733" s="3" t="s">
        <v>32</v>
      </c>
      <c r="E3733" s="4" t="s">
        <v>22</v>
      </c>
      <c r="F3733" s="4" t="s">
        <v>19560</v>
      </c>
      <c r="G3733" s="4" t="s">
        <v>19561</v>
      </c>
      <c r="H3733" s="3" t="s">
        <v>16292</v>
      </c>
      <c r="I3733" s="3" t="s">
        <v>19562</v>
      </c>
      <c r="J3733" s="3" t="s">
        <v>19568</v>
      </c>
      <c r="K3733" s="3" t="s">
        <v>19569</v>
      </c>
      <c r="L3733" s="3"/>
      <c r="M3733" s="4"/>
      <c r="N3733" s="3" t="s">
        <v>37</v>
      </c>
      <c r="O3733" s="3" t="s">
        <v>52</v>
      </c>
      <c r="P3733" s="5">
        <v>12</v>
      </c>
      <c r="Q3733" s="5">
        <v>201</v>
      </c>
      <c r="R3733" s="5"/>
      <c r="S3733" s="5"/>
    </row>
    <row r="3734" spans="1:19" ht="28" x14ac:dyDescent="0.15">
      <c r="A3734" s="2">
        <f>HYPERLINK("https://open-school.uspishnemisto.com.ua/school/180645/", 180645)</f>
        <v>180645</v>
      </c>
      <c r="B3734" s="3" t="s">
        <v>19570</v>
      </c>
      <c r="C3734" s="3" t="s">
        <v>31</v>
      </c>
      <c r="D3734" s="3" t="s">
        <v>32</v>
      </c>
      <c r="E3734" s="4" t="s">
        <v>22</v>
      </c>
      <c r="F3734" s="4" t="s">
        <v>19571</v>
      </c>
      <c r="G3734" s="4" t="s">
        <v>19572</v>
      </c>
      <c r="H3734" s="3" t="s">
        <v>16292</v>
      </c>
      <c r="I3734" s="3" t="s">
        <v>19573</v>
      </c>
      <c r="J3734" s="3" t="s">
        <v>19574</v>
      </c>
      <c r="K3734" s="3" t="s">
        <v>19575</v>
      </c>
      <c r="L3734" s="3"/>
      <c r="M3734" s="4"/>
      <c r="N3734" s="3" t="s">
        <v>37</v>
      </c>
      <c r="O3734" s="3" t="s">
        <v>46</v>
      </c>
      <c r="P3734" s="5">
        <v>6</v>
      </c>
      <c r="Q3734" s="5">
        <v>55</v>
      </c>
      <c r="R3734" s="5">
        <v>9</v>
      </c>
      <c r="S3734" s="5">
        <v>62</v>
      </c>
    </row>
    <row r="3735" spans="1:19" ht="28" x14ac:dyDescent="0.15">
      <c r="A3735" s="2">
        <f>HYPERLINK("https://open-school.uspishnemisto.com.ua/school/180646/", 180646)</f>
        <v>180646</v>
      </c>
      <c r="B3735" s="3" t="s">
        <v>19576</v>
      </c>
      <c r="C3735" s="3" t="s">
        <v>40</v>
      </c>
      <c r="D3735" s="3" t="s">
        <v>32</v>
      </c>
      <c r="E3735" s="4" t="s">
        <v>22</v>
      </c>
      <c r="F3735" s="4" t="s">
        <v>19577</v>
      </c>
      <c r="G3735" s="4" t="s">
        <v>19578</v>
      </c>
      <c r="H3735" s="3" t="s">
        <v>16292</v>
      </c>
      <c r="I3735" s="3" t="s">
        <v>8377</v>
      </c>
      <c r="J3735" s="3" t="s">
        <v>19579</v>
      </c>
      <c r="K3735" s="3" t="s">
        <v>19580</v>
      </c>
      <c r="L3735" s="3"/>
      <c r="M3735" s="4"/>
      <c r="N3735" s="3" t="s">
        <v>37</v>
      </c>
      <c r="O3735" s="3" t="s">
        <v>46</v>
      </c>
      <c r="P3735" s="5">
        <v>28</v>
      </c>
      <c r="Q3735" s="5">
        <v>548</v>
      </c>
      <c r="R3735" s="5">
        <v>27</v>
      </c>
      <c r="S3735" s="5">
        <v>538</v>
      </c>
    </row>
    <row r="3736" spans="1:19" ht="28" x14ac:dyDescent="0.15">
      <c r="A3736" s="2">
        <f>HYPERLINK("https://open-school.uspishnemisto.com.ua/school/180647/", 180647)</f>
        <v>180647</v>
      </c>
      <c r="B3736" s="3" t="s">
        <v>19581</v>
      </c>
      <c r="C3736" s="3" t="s">
        <v>31</v>
      </c>
      <c r="D3736" s="3" t="s">
        <v>175</v>
      </c>
      <c r="E3736" s="4" t="s">
        <v>22</v>
      </c>
      <c r="F3736" s="4" t="s">
        <v>19582</v>
      </c>
      <c r="G3736" s="4" t="s">
        <v>19583</v>
      </c>
      <c r="H3736" s="3" t="s">
        <v>16292</v>
      </c>
      <c r="I3736" s="3" t="s">
        <v>7441</v>
      </c>
      <c r="J3736" s="3" t="s">
        <v>19584</v>
      </c>
      <c r="K3736" s="3" t="s">
        <v>19585</v>
      </c>
      <c r="L3736" s="3"/>
      <c r="M3736" s="4"/>
      <c r="N3736" s="3" t="s">
        <v>37</v>
      </c>
      <c r="O3736" s="3" t="s">
        <v>38</v>
      </c>
      <c r="P3736" s="5">
        <v>9</v>
      </c>
      <c r="Q3736" s="5">
        <v>117</v>
      </c>
      <c r="R3736" s="5">
        <v>9</v>
      </c>
      <c r="S3736" s="5">
        <v>113</v>
      </c>
    </row>
    <row r="3737" spans="1:19" ht="28" x14ac:dyDescent="0.15">
      <c r="A3737" s="2">
        <f>HYPERLINK("https://open-school.uspishnemisto.com.ua/school/180648/", 180648)</f>
        <v>180648</v>
      </c>
      <c r="B3737" s="3" t="s">
        <v>19586</v>
      </c>
      <c r="C3737" s="3" t="s">
        <v>40</v>
      </c>
      <c r="D3737" s="3" t="s">
        <v>32</v>
      </c>
      <c r="E3737" s="4" t="s">
        <v>22</v>
      </c>
      <c r="F3737" s="4" t="s">
        <v>19587</v>
      </c>
      <c r="G3737" s="4" t="s">
        <v>19588</v>
      </c>
      <c r="H3737" s="3" t="s">
        <v>16292</v>
      </c>
      <c r="I3737" s="3" t="s">
        <v>19589</v>
      </c>
      <c r="J3737" s="3" t="s">
        <v>2052</v>
      </c>
      <c r="K3737" s="3" t="s">
        <v>19590</v>
      </c>
      <c r="L3737" s="3" t="s">
        <v>19591</v>
      </c>
      <c r="M3737" s="4"/>
      <c r="N3737" s="3" t="s">
        <v>37</v>
      </c>
      <c r="O3737" s="3" t="s">
        <v>46</v>
      </c>
      <c r="P3737" s="5">
        <v>12</v>
      </c>
      <c r="Q3737" s="5">
        <v>227</v>
      </c>
      <c r="R3737" s="5">
        <v>12</v>
      </c>
      <c r="S3737" s="5">
        <v>242</v>
      </c>
    </row>
    <row r="3738" spans="1:19" ht="42" x14ac:dyDescent="0.15">
      <c r="A3738" s="2">
        <f>HYPERLINK("https://open-school.uspishnemisto.com.ua/school/180649/", 180649)</f>
        <v>180649</v>
      </c>
      <c r="B3738" s="3" t="s">
        <v>19592</v>
      </c>
      <c r="C3738" s="3" t="s">
        <v>31</v>
      </c>
      <c r="D3738" s="3" t="s">
        <v>32</v>
      </c>
      <c r="E3738" s="4" t="s">
        <v>22</v>
      </c>
      <c r="F3738" s="4" t="s">
        <v>19593</v>
      </c>
      <c r="G3738" s="4" t="s">
        <v>19594</v>
      </c>
      <c r="H3738" s="3" t="s">
        <v>16292</v>
      </c>
      <c r="I3738" s="3" t="s">
        <v>19595</v>
      </c>
      <c r="J3738" s="3" t="s">
        <v>466</v>
      </c>
      <c r="K3738" s="3" t="s">
        <v>19596</v>
      </c>
      <c r="L3738" s="3"/>
      <c r="M3738" s="4"/>
      <c r="N3738" s="3" t="s">
        <v>37</v>
      </c>
      <c r="O3738" s="3" t="s">
        <v>112</v>
      </c>
      <c r="P3738" s="5">
        <v>9</v>
      </c>
      <c r="Q3738" s="5">
        <v>60</v>
      </c>
      <c r="R3738" s="5">
        <v>9</v>
      </c>
      <c r="S3738" s="5">
        <v>61</v>
      </c>
    </row>
    <row r="3739" spans="1:19" ht="28" x14ac:dyDescent="0.15">
      <c r="A3739" s="2">
        <f>HYPERLINK("https://open-school.uspishnemisto.com.ua/school/180650/", 180650)</f>
        <v>180650</v>
      </c>
      <c r="B3739" s="3" t="s">
        <v>19597</v>
      </c>
      <c r="C3739" s="3" t="s">
        <v>31</v>
      </c>
      <c r="D3739" s="3" t="s">
        <v>175</v>
      </c>
      <c r="E3739" s="4" t="s">
        <v>22</v>
      </c>
      <c r="F3739" s="4" t="s">
        <v>19598</v>
      </c>
      <c r="G3739" s="4" t="s">
        <v>19599</v>
      </c>
      <c r="H3739" s="3" t="s">
        <v>16292</v>
      </c>
      <c r="I3739" s="3" t="s">
        <v>19600</v>
      </c>
      <c r="J3739" s="3" t="s">
        <v>4728</v>
      </c>
      <c r="K3739" s="3" t="s">
        <v>19601</v>
      </c>
      <c r="L3739" s="3"/>
      <c r="M3739" s="4"/>
      <c r="N3739" s="3" t="s">
        <v>37</v>
      </c>
      <c r="O3739" s="3" t="s">
        <v>38</v>
      </c>
      <c r="P3739" s="5">
        <v>6</v>
      </c>
      <c r="Q3739" s="5">
        <v>45</v>
      </c>
      <c r="R3739" s="5">
        <v>5</v>
      </c>
      <c r="S3739" s="5">
        <v>51</v>
      </c>
    </row>
    <row r="3740" spans="1:19" ht="28" x14ac:dyDescent="0.15">
      <c r="A3740" s="2">
        <f>HYPERLINK("https://open-school.uspishnemisto.com.ua/school/180651/", 180651)</f>
        <v>180651</v>
      </c>
      <c r="B3740" s="3" t="s">
        <v>19602</v>
      </c>
      <c r="C3740" s="3" t="s">
        <v>31</v>
      </c>
      <c r="D3740" s="3" t="s">
        <v>32</v>
      </c>
      <c r="E3740" s="4" t="s">
        <v>22</v>
      </c>
      <c r="F3740" s="4" t="s">
        <v>19603</v>
      </c>
      <c r="G3740" s="4" t="s">
        <v>19604</v>
      </c>
      <c r="H3740" s="3" t="s">
        <v>16292</v>
      </c>
      <c r="I3740" s="3" t="s">
        <v>16959</v>
      </c>
      <c r="J3740" s="3" t="s">
        <v>19605</v>
      </c>
      <c r="K3740" s="3" t="s">
        <v>19606</v>
      </c>
      <c r="L3740" s="3"/>
      <c r="M3740" s="4"/>
      <c r="N3740" s="3" t="s">
        <v>37</v>
      </c>
      <c r="O3740" s="3" t="s">
        <v>38</v>
      </c>
      <c r="P3740" s="5">
        <v>10</v>
      </c>
      <c r="Q3740" s="5">
        <v>111</v>
      </c>
      <c r="R3740" s="5">
        <v>10</v>
      </c>
      <c r="S3740" s="5">
        <v>117</v>
      </c>
    </row>
    <row r="3741" spans="1:19" ht="28" x14ac:dyDescent="0.15">
      <c r="A3741" s="2">
        <f>HYPERLINK("https://open-school.uspishnemisto.com.ua/school/180652/", 180652)</f>
        <v>180652</v>
      </c>
      <c r="B3741" s="3" t="s">
        <v>19607</v>
      </c>
      <c r="C3741" s="3" t="s">
        <v>31</v>
      </c>
      <c r="D3741" s="3" t="s">
        <v>175</v>
      </c>
      <c r="E3741" s="4" t="s">
        <v>22</v>
      </c>
      <c r="F3741" s="4" t="s">
        <v>19608</v>
      </c>
      <c r="G3741" s="4" t="s">
        <v>19609</v>
      </c>
      <c r="H3741" s="3" t="s">
        <v>16292</v>
      </c>
      <c r="I3741" s="3" t="s">
        <v>3046</v>
      </c>
      <c r="J3741" s="3" t="s">
        <v>466</v>
      </c>
      <c r="K3741" s="3" t="s">
        <v>19610</v>
      </c>
      <c r="L3741" s="3"/>
      <c r="M3741" s="4"/>
      <c r="N3741" s="3" t="s">
        <v>37</v>
      </c>
      <c r="O3741" s="3" t="s">
        <v>112</v>
      </c>
      <c r="P3741" s="5">
        <v>2</v>
      </c>
      <c r="Q3741" s="5">
        <v>31</v>
      </c>
      <c r="R3741" s="5">
        <v>2</v>
      </c>
      <c r="S3741" s="5">
        <v>26</v>
      </c>
    </row>
    <row r="3742" spans="1:19" ht="28" x14ac:dyDescent="0.15">
      <c r="A3742" s="2">
        <f>HYPERLINK("https://open-school.uspishnemisto.com.ua/school/180653/", 180653)</f>
        <v>180653</v>
      </c>
      <c r="B3742" s="3" t="s">
        <v>19611</v>
      </c>
      <c r="C3742" s="3" t="s">
        <v>31</v>
      </c>
      <c r="D3742" s="3" t="s">
        <v>32</v>
      </c>
      <c r="E3742" s="4" t="s">
        <v>22</v>
      </c>
      <c r="F3742" s="4" t="s">
        <v>19612</v>
      </c>
      <c r="G3742" s="4" t="s">
        <v>19613</v>
      </c>
      <c r="H3742" s="3" t="s">
        <v>16292</v>
      </c>
      <c r="I3742" s="3" t="s">
        <v>19614</v>
      </c>
      <c r="J3742" s="3" t="s">
        <v>17949</v>
      </c>
      <c r="K3742" s="3" t="s">
        <v>19615</v>
      </c>
      <c r="L3742" s="3"/>
      <c r="M3742" s="4"/>
      <c r="N3742" s="3" t="s">
        <v>37</v>
      </c>
      <c r="O3742" s="3" t="s">
        <v>38</v>
      </c>
      <c r="P3742" s="5">
        <v>7</v>
      </c>
      <c r="Q3742" s="5">
        <v>48</v>
      </c>
      <c r="R3742" s="5">
        <v>7</v>
      </c>
      <c r="S3742" s="5">
        <v>48</v>
      </c>
    </row>
    <row r="3743" spans="1:19" ht="28" x14ac:dyDescent="0.15">
      <c r="A3743" s="2">
        <f>HYPERLINK("https://open-school.uspishnemisto.com.ua/school/180654/", 180654)</f>
        <v>180654</v>
      </c>
      <c r="B3743" s="3" t="s">
        <v>19616</v>
      </c>
      <c r="C3743" s="3" t="s">
        <v>31</v>
      </c>
      <c r="D3743" s="3" t="s">
        <v>32</v>
      </c>
      <c r="E3743" s="4" t="s">
        <v>22</v>
      </c>
      <c r="F3743" s="4" t="s">
        <v>19617</v>
      </c>
      <c r="G3743" s="4" t="s">
        <v>19618</v>
      </c>
      <c r="H3743" s="3" t="s">
        <v>16292</v>
      </c>
      <c r="I3743" s="3" t="s">
        <v>19619</v>
      </c>
      <c r="J3743" s="3" t="s">
        <v>8232</v>
      </c>
      <c r="K3743" s="3" t="s">
        <v>19620</v>
      </c>
      <c r="L3743" s="3"/>
      <c r="M3743" s="4"/>
      <c r="N3743" s="3" t="s">
        <v>37</v>
      </c>
      <c r="O3743" s="3" t="s">
        <v>112</v>
      </c>
      <c r="P3743" s="5">
        <v>9</v>
      </c>
      <c r="Q3743" s="5">
        <v>64</v>
      </c>
      <c r="R3743" s="5">
        <v>8</v>
      </c>
      <c r="S3743" s="5">
        <v>58</v>
      </c>
    </row>
    <row r="3744" spans="1:19" ht="28" x14ac:dyDescent="0.15">
      <c r="A3744" s="2">
        <f>HYPERLINK("https://open-school.uspishnemisto.com.ua/school/180655/", 180655)</f>
        <v>180655</v>
      </c>
      <c r="B3744" s="3" t="s">
        <v>19621</v>
      </c>
      <c r="C3744" s="3" t="s">
        <v>31</v>
      </c>
      <c r="D3744" s="3" t="s">
        <v>32</v>
      </c>
      <c r="E3744" s="4" t="s">
        <v>22</v>
      </c>
      <c r="F3744" s="4" t="s">
        <v>19622</v>
      </c>
      <c r="G3744" s="4" t="s">
        <v>19623</v>
      </c>
      <c r="H3744" s="3" t="s">
        <v>16292</v>
      </c>
      <c r="I3744" s="3" t="s">
        <v>19624</v>
      </c>
      <c r="J3744" s="3" t="s">
        <v>12690</v>
      </c>
      <c r="K3744" s="3" t="s">
        <v>19625</v>
      </c>
      <c r="L3744" s="3"/>
      <c r="M3744" s="4"/>
      <c r="N3744" s="3" t="s">
        <v>37</v>
      </c>
      <c r="O3744" s="3" t="s">
        <v>38</v>
      </c>
      <c r="P3744" s="5">
        <v>11</v>
      </c>
      <c r="Q3744" s="5">
        <v>123</v>
      </c>
      <c r="R3744" s="5">
        <v>10</v>
      </c>
      <c r="S3744" s="5">
        <v>116</v>
      </c>
    </row>
    <row r="3745" spans="1:19" ht="28" x14ac:dyDescent="0.15">
      <c r="A3745" s="2">
        <f>HYPERLINK("https://open-school.uspishnemisto.com.ua/school/180656/", 180656)</f>
        <v>180656</v>
      </c>
      <c r="B3745" s="3" t="s">
        <v>19626</v>
      </c>
      <c r="C3745" s="3" t="s">
        <v>31</v>
      </c>
      <c r="D3745" s="3" t="s">
        <v>32</v>
      </c>
      <c r="E3745" s="4" t="s">
        <v>22</v>
      </c>
      <c r="F3745" s="4" t="s">
        <v>19627</v>
      </c>
      <c r="G3745" s="4" t="s">
        <v>19628</v>
      </c>
      <c r="H3745" s="3" t="s">
        <v>16292</v>
      </c>
      <c r="I3745" s="3" t="s">
        <v>12141</v>
      </c>
      <c r="J3745" s="3" t="s">
        <v>19629</v>
      </c>
      <c r="K3745" s="3"/>
      <c r="L3745" s="3"/>
      <c r="M3745" s="4"/>
      <c r="N3745" s="3" t="s">
        <v>37</v>
      </c>
      <c r="O3745" s="3" t="s">
        <v>52</v>
      </c>
      <c r="P3745" s="5">
        <v>6</v>
      </c>
      <c r="Q3745" s="5">
        <v>47</v>
      </c>
      <c r="R3745" s="5">
        <v>9</v>
      </c>
      <c r="S3745" s="5">
        <v>57</v>
      </c>
    </row>
    <row r="3746" spans="1:19" ht="28" x14ac:dyDescent="0.15">
      <c r="A3746" s="2">
        <f>HYPERLINK("https://open-school.uspishnemisto.com.ua/school/180657/", 180657)</f>
        <v>180657</v>
      </c>
      <c r="B3746" s="3" t="s">
        <v>19630</v>
      </c>
      <c r="C3746" s="3" t="s">
        <v>31</v>
      </c>
      <c r="D3746" s="3" t="s">
        <v>175</v>
      </c>
      <c r="E3746" s="4" t="s">
        <v>22</v>
      </c>
      <c r="F3746" s="4" t="s">
        <v>19631</v>
      </c>
      <c r="G3746" s="4" t="s">
        <v>19632</v>
      </c>
      <c r="H3746" s="3" t="s">
        <v>16292</v>
      </c>
      <c r="I3746" s="3" t="s">
        <v>1506</v>
      </c>
      <c r="J3746" s="3" t="s">
        <v>2191</v>
      </c>
      <c r="K3746" s="3" t="s">
        <v>19633</v>
      </c>
      <c r="L3746" s="3"/>
      <c r="M3746" s="4"/>
      <c r="N3746" s="3" t="s">
        <v>37</v>
      </c>
      <c r="O3746" s="3" t="s">
        <v>112</v>
      </c>
      <c r="P3746" s="5">
        <v>5</v>
      </c>
      <c r="Q3746" s="5">
        <v>38</v>
      </c>
      <c r="R3746" s="5">
        <v>2</v>
      </c>
      <c r="S3746" s="5">
        <v>30</v>
      </c>
    </row>
    <row r="3747" spans="1:19" ht="28" x14ac:dyDescent="0.15">
      <c r="A3747" s="2">
        <f>HYPERLINK("https://open-school.uspishnemisto.com.ua/school/180658/", 180658)</f>
        <v>180658</v>
      </c>
      <c r="B3747" s="3" t="s">
        <v>19634</v>
      </c>
      <c r="C3747" s="3" t="s">
        <v>31</v>
      </c>
      <c r="D3747" s="3" t="s">
        <v>175</v>
      </c>
      <c r="E3747" s="4" t="s">
        <v>22</v>
      </c>
      <c r="F3747" s="4" t="s">
        <v>19635</v>
      </c>
      <c r="G3747" s="4" t="s">
        <v>19636</v>
      </c>
      <c r="H3747" s="3" t="s">
        <v>16292</v>
      </c>
      <c r="I3747" s="3" t="s">
        <v>19637</v>
      </c>
      <c r="J3747" s="3" t="s">
        <v>466</v>
      </c>
      <c r="K3747" s="3" t="s">
        <v>19638</v>
      </c>
      <c r="L3747" s="3"/>
      <c r="M3747" s="4"/>
      <c r="N3747" s="3" t="s">
        <v>37</v>
      </c>
      <c r="O3747" s="3" t="s">
        <v>38</v>
      </c>
      <c r="P3747" s="5">
        <v>2</v>
      </c>
      <c r="Q3747" s="5">
        <v>30</v>
      </c>
      <c r="R3747" s="5">
        <v>3</v>
      </c>
      <c r="S3747" s="5">
        <v>33</v>
      </c>
    </row>
    <row r="3748" spans="1:19" ht="28" x14ac:dyDescent="0.15">
      <c r="A3748" s="2">
        <f>HYPERLINK("https://open-school.uspishnemisto.com.ua/school/180659/", 180659)</f>
        <v>180659</v>
      </c>
      <c r="B3748" s="3" t="s">
        <v>19639</v>
      </c>
      <c r="C3748" s="3" t="s">
        <v>31</v>
      </c>
      <c r="D3748" s="3" t="s">
        <v>32</v>
      </c>
      <c r="E3748" s="4" t="s">
        <v>22</v>
      </c>
      <c r="F3748" s="4" t="s">
        <v>19640</v>
      </c>
      <c r="G3748" s="4" t="s">
        <v>19641</v>
      </c>
      <c r="H3748" s="3" t="s">
        <v>16292</v>
      </c>
      <c r="I3748" s="3" t="s">
        <v>19642</v>
      </c>
      <c r="J3748" s="3" t="s">
        <v>19643</v>
      </c>
      <c r="K3748" s="3" t="s">
        <v>19644</v>
      </c>
      <c r="L3748" s="3" t="s">
        <v>19645</v>
      </c>
      <c r="M3748" s="4"/>
      <c r="N3748" s="3" t="s">
        <v>37</v>
      </c>
      <c r="O3748" s="3" t="s">
        <v>38</v>
      </c>
      <c r="P3748" s="5">
        <v>10</v>
      </c>
      <c r="Q3748" s="5">
        <v>107</v>
      </c>
      <c r="R3748" s="5">
        <v>10</v>
      </c>
      <c r="S3748" s="5">
        <v>106</v>
      </c>
    </row>
    <row r="3749" spans="1:19" ht="42" x14ac:dyDescent="0.15">
      <c r="A3749" s="2">
        <f>HYPERLINK("https://open-school.uspishnemisto.com.ua/school/180660/", 180660)</f>
        <v>180660</v>
      </c>
      <c r="B3749" s="3" t="s">
        <v>19646</v>
      </c>
      <c r="C3749" s="3" t="s">
        <v>31</v>
      </c>
      <c r="D3749" s="3" t="s">
        <v>32</v>
      </c>
      <c r="E3749" s="4" t="s">
        <v>22</v>
      </c>
      <c r="F3749" s="4" t="s">
        <v>19647</v>
      </c>
      <c r="G3749" s="4" t="s">
        <v>19648</v>
      </c>
      <c r="H3749" s="3" t="s">
        <v>16292</v>
      </c>
      <c r="I3749" s="3" t="s">
        <v>19649</v>
      </c>
      <c r="J3749" s="3" t="s">
        <v>19650</v>
      </c>
      <c r="K3749" s="3" t="s">
        <v>19651</v>
      </c>
      <c r="L3749" s="3"/>
      <c r="M3749" s="4"/>
      <c r="N3749" s="3" t="s">
        <v>37</v>
      </c>
      <c r="O3749" s="3" t="s">
        <v>70</v>
      </c>
      <c r="P3749" s="5">
        <v>11</v>
      </c>
      <c r="Q3749" s="5">
        <v>98</v>
      </c>
      <c r="R3749" s="5">
        <v>10</v>
      </c>
      <c r="S3749" s="5">
        <v>93</v>
      </c>
    </row>
    <row r="3750" spans="1:19" ht="28" x14ac:dyDescent="0.15">
      <c r="A3750" s="2">
        <f>HYPERLINK("https://open-school.uspishnemisto.com.ua/school/180661/", 180661)</f>
        <v>180661</v>
      </c>
      <c r="B3750" s="3" t="s">
        <v>19652</v>
      </c>
      <c r="C3750" s="3" t="s">
        <v>31</v>
      </c>
      <c r="D3750" s="3" t="s">
        <v>60</v>
      </c>
      <c r="E3750" s="4" t="s">
        <v>22</v>
      </c>
      <c r="F3750" s="4" t="s">
        <v>19653</v>
      </c>
      <c r="G3750" s="4" t="s">
        <v>19654</v>
      </c>
      <c r="H3750" s="3" t="s">
        <v>16292</v>
      </c>
      <c r="I3750" s="3" t="s">
        <v>19655</v>
      </c>
      <c r="J3750" s="3" t="s">
        <v>19656</v>
      </c>
      <c r="K3750" s="3" t="s">
        <v>19657</v>
      </c>
      <c r="L3750" s="3"/>
      <c r="M3750" s="4"/>
      <c r="N3750" s="3" t="s">
        <v>37</v>
      </c>
      <c r="O3750" s="3" t="s">
        <v>38</v>
      </c>
      <c r="P3750" s="5">
        <v>0</v>
      </c>
      <c r="Q3750" s="5">
        <v>12</v>
      </c>
      <c r="R3750" s="5">
        <v>0</v>
      </c>
      <c r="S3750" s="5">
        <v>8</v>
      </c>
    </row>
    <row r="3751" spans="1:19" ht="28" x14ac:dyDescent="0.15">
      <c r="A3751" s="2">
        <f>HYPERLINK("https://open-school.uspishnemisto.com.ua/school/180662/", 180662)</f>
        <v>180662</v>
      </c>
      <c r="B3751" s="3" t="s">
        <v>19658</v>
      </c>
      <c r="C3751" s="3" t="s">
        <v>31</v>
      </c>
      <c r="D3751" s="3" t="s">
        <v>175</v>
      </c>
      <c r="E3751" s="4" t="s">
        <v>22</v>
      </c>
      <c r="F3751" s="4" t="s">
        <v>19659</v>
      </c>
      <c r="G3751" s="4" t="s">
        <v>19660</v>
      </c>
      <c r="H3751" s="3" t="s">
        <v>16292</v>
      </c>
      <c r="I3751" s="3" t="s">
        <v>16746</v>
      </c>
      <c r="J3751" s="3" t="s">
        <v>3415</v>
      </c>
      <c r="K3751" s="3" t="s">
        <v>19661</v>
      </c>
      <c r="L3751" s="3"/>
      <c r="M3751" s="4"/>
      <c r="N3751" s="3" t="s">
        <v>37</v>
      </c>
      <c r="O3751" s="3" t="s">
        <v>70</v>
      </c>
      <c r="P3751" s="5">
        <v>4</v>
      </c>
      <c r="Q3751" s="5">
        <v>36</v>
      </c>
      <c r="R3751" s="5">
        <v>4</v>
      </c>
      <c r="S3751" s="5">
        <v>38</v>
      </c>
    </row>
    <row r="3752" spans="1:19" ht="28" x14ac:dyDescent="0.15">
      <c r="A3752" s="2">
        <f>HYPERLINK("https://open-school.uspishnemisto.com.ua/school/180663/", 180663)</f>
        <v>180663</v>
      </c>
      <c r="B3752" s="3" t="s">
        <v>19662</v>
      </c>
      <c r="C3752" s="3" t="s">
        <v>31</v>
      </c>
      <c r="D3752" s="3" t="s">
        <v>175</v>
      </c>
      <c r="E3752" s="4" t="s">
        <v>22</v>
      </c>
      <c r="F3752" s="4" t="s">
        <v>19663</v>
      </c>
      <c r="G3752" s="4" t="s">
        <v>19664</v>
      </c>
      <c r="H3752" s="3" t="s">
        <v>16292</v>
      </c>
      <c r="I3752" s="3" t="s">
        <v>19665</v>
      </c>
      <c r="J3752" s="3" t="s">
        <v>19666</v>
      </c>
      <c r="K3752" s="3" t="s">
        <v>19667</v>
      </c>
      <c r="L3752" s="3"/>
      <c r="M3752" s="4"/>
      <c r="N3752" s="3" t="s">
        <v>37</v>
      </c>
      <c r="O3752" s="3" t="s">
        <v>112</v>
      </c>
      <c r="P3752" s="5">
        <v>3</v>
      </c>
      <c r="Q3752" s="5">
        <v>26</v>
      </c>
      <c r="R3752" s="5">
        <v>3</v>
      </c>
      <c r="S3752" s="5">
        <v>27</v>
      </c>
    </row>
    <row r="3753" spans="1:19" ht="28" x14ac:dyDescent="0.15">
      <c r="A3753" s="2">
        <f>HYPERLINK("https://open-school.uspishnemisto.com.ua/school/180664/", 180664)</f>
        <v>180664</v>
      </c>
      <c r="B3753" s="3" t="s">
        <v>19668</v>
      </c>
      <c r="C3753" s="3" t="s">
        <v>31</v>
      </c>
      <c r="D3753" s="3" t="s">
        <v>32</v>
      </c>
      <c r="E3753" s="4" t="s">
        <v>22</v>
      </c>
      <c r="F3753" s="4" t="s">
        <v>19669</v>
      </c>
      <c r="G3753" s="4" t="s">
        <v>19670</v>
      </c>
      <c r="H3753" s="3" t="s">
        <v>16292</v>
      </c>
      <c r="I3753" s="3" t="s">
        <v>19671</v>
      </c>
      <c r="J3753" s="3" t="s">
        <v>2372</v>
      </c>
      <c r="K3753" s="3" t="s">
        <v>19672</v>
      </c>
      <c r="L3753" s="3"/>
      <c r="M3753" s="4"/>
      <c r="N3753" s="3" t="s">
        <v>37</v>
      </c>
      <c r="O3753" s="3" t="s">
        <v>38</v>
      </c>
      <c r="P3753" s="5">
        <v>10</v>
      </c>
      <c r="Q3753" s="5">
        <v>81</v>
      </c>
      <c r="R3753" s="5">
        <v>11</v>
      </c>
      <c r="S3753" s="5">
        <v>83</v>
      </c>
    </row>
    <row r="3754" spans="1:19" ht="28" x14ac:dyDescent="0.15">
      <c r="A3754" s="2">
        <f>HYPERLINK("https://open-school.uspishnemisto.com.ua/school/180665/", 180665)</f>
        <v>180665</v>
      </c>
      <c r="B3754" s="3" t="s">
        <v>19673</v>
      </c>
      <c r="C3754" s="3" t="s">
        <v>31</v>
      </c>
      <c r="D3754" s="3" t="s">
        <v>32</v>
      </c>
      <c r="E3754" s="4" t="s">
        <v>22</v>
      </c>
      <c r="F3754" s="4" t="s">
        <v>19674</v>
      </c>
      <c r="G3754" s="4" t="s">
        <v>19675</v>
      </c>
      <c r="H3754" s="3" t="s">
        <v>16292</v>
      </c>
      <c r="I3754" s="3" t="s">
        <v>19676</v>
      </c>
      <c r="J3754" s="3" t="s">
        <v>19677</v>
      </c>
      <c r="K3754" s="3" t="s">
        <v>19678</v>
      </c>
      <c r="L3754" s="3"/>
      <c r="M3754" s="4"/>
      <c r="N3754" s="3" t="s">
        <v>37</v>
      </c>
      <c r="O3754" s="3" t="s">
        <v>38</v>
      </c>
      <c r="P3754" s="5">
        <v>11</v>
      </c>
      <c r="Q3754" s="5">
        <v>124</v>
      </c>
      <c r="R3754" s="5">
        <v>11</v>
      </c>
      <c r="S3754" s="5">
        <v>122</v>
      </c>
    </row>
    <row r="3755" spans="1:19" ht="28" x14ac:dyDescent="0.15">
      <c r="A3755" s="2">
        <f>HYPERLINK("https://open-school.uspishnemisto.com.ua/school/180666/", 180666)</f>
        <v>180666</v>
      </c>
      <c r="B3755" s="3" t="s">
        <v>19679</v>
      </c>
      <c r="C3755" s="3" t="s">
        <v>31</v>
      </c>
      <c r="D3755" s="3" t="s">
        <v>175</v>
      </c>
      <c r="E3755" s="4" t="s">
        <v>22</v>
      </c>
      <c r="F3755" s="4" t="s">
        <v>19680</v>
      </c>
      <c r="G3755" s="4" t="s">
        <v>19681</v>
      </c>
      <c r="H3755" s="3" t="s">
        <v>16292</v>
      </c>
      <c r="I3755" s="3" t="s">
        <v>19682</v>
      </c>
      <c r="J3755" s="3" t="s">
        <v>1417</v>
      </c>
      <c r="K3755" s="3" t="s">
        <v>19683</v>
      </c>
      <c r="L3755" s="3"/>
      <c r="M3755" s="4"/>
      <c r="N3755" s="3" t="s">
        <v>37</v>
      </c>
      <c r="O3755" s="3" t="s">
        <v>70</v>
      </c>
      <c r="P3755" s="5">
        <v>2</v>
      </c>
      <c r="Q3755" s="5">
        <v>27</v>
      </c>
      <c r="R3755" s="5">
        <v>2</v>
      </c>
      <c r="S3755" s="5">
        <v>35</v>
      </c>
    </row>
    <row r="3756" spans="1:19" ht="28" x14ac:dyDescent="0.15">
      <c r="A3756" s="2">
        <f>HYPERLINK("https://open-school.uspishnemisto.com.ua/school/180667/", 180667)</f>
        <v>180667</v>
      </c>
      <c r="B3756" s="3" t="s">
        <v>19684</v>
      </c>
      <c r="C3756" s="3" t="s">
        <v>31</v>
      </c>
      <c r="D3756" s="3" t="s">
        <v>32</v>
      </c>
      <c r="E3756" s="4" t="s">
        <v>22</v>
      </c>
      <c r="F3756" s="4" t="s">
        <v>19685</v>
      </c>
      <c r="G3756" s="4" t="s">
        <v>19686</v>
      </c>
      <c r="H3756" s="3" t="s">
        <v>16292</v>
      </c>
      <c r="I3756" s="3" t="s">
        <v>19687</v>
      </c>
      <c r="J3756" s="3" t="s">
        <v>19688</v>
      </c>
      <c r="K3756" s="3" t="s">
        <v>19689</v>
      </c>
      <c r="L3756" s="3"/>
      <c r="M3756" s="4"/>
      <c r="N3756" s="3" t="s">
        <v>37</v>
      </c>
      <c r="O3756" s="3" t="s">
        <v>38</v>
      </c>
      <c r="P3756" s="5">
        <v>10</v>
      </c>
      <c r="Q3756" s="5">
        <v>95</v>
      </c>
      <c r="R3756" s="5">
        <v>10</v>
      </c>
      <c r="S3756" s="5">
        <v>102</v>
      </c>
    </row>
    <row r="3757" spans="1:19" ht="28" x14ac:dyDescent="0.15">
      <c r="A3757" s="2">
        <f>HYPERLINK("https://open-school.uspishnemisto.com.ua/school/180668/", 180668)</f>
        <v>180668</v>
      </c>
      <c r="B3757" s="3" t="s">
        <v>19690</v>
      </c>
      <c r="C3757" s="3" t="s">
        <v>31</v>
      </c>
      <c r="D3757" s="3" t="s">
        <v>175</v>
      </c>
      <c r="E3757" s="4" t="s">
        <v>22</v>
      </c>
      <c r="F3757" s="4" t="s">
        <v>19691</v>
      </c>
      <c r="G3757" s="4" t="s">
        <v>19692</v>
      </c>
      <c r="H3757" s="3" t="s">
        <v>16292</v>
      </c>
      <c r="I3757" s="3" t="s">
        <v>19693</v>
      </c>
      <c r="J3757" s="3" t="s">
        <v>19694</v>
      </c>
      <c r="K3757" s="3" t="s">
        <v>19695</v>
      </c>
      <c r="L3757" s="3"/>
      <c r="M3757" s="4"/>
      <c r="N3757" s="3" t="s">
        <v>37</v>
      </c>
      <c r="O3757" s="3" t="s">
        <v>38</v>
      </c>
      <c r="P3757" s="5">
        <v>2</v>
      </c>
      <c r="Q3757" s="5">
        <v>27</v>
      </c>
      <c r="R3757" s="5">
        <v>2</v>
      </c>
      <c r="S3757" s="5">
        <v>26</v>
      </c>
    </row>
    <row r="3758" spans="1:19" ht="28" x14ac:dyDescent="0.15">
      <c r="A3758" s="2">
        <f>HYPERLINK("https://open-school.uspishnemisto.com.ua/school/180669/", 180669)</f>
        <v>180669</v>
      </c>
      <c r="B3758" s="3" t="s">
        <v>19696</v>
      </c>
      <c r="C3758" s="3" t="s">
        <v>31</v>
      </c>
      <c r="D3758" s="3" t="s">
        <v>32</v>
      </c>
      <c r="E3758" s="4" t="s">
        <v>22</v>
      </c>
      <c r="F3758" s="4" t="s">
        <v>19697</v>
      </c>
      <c r="G3758" s="4" t="s">
        <v>19698</v>
      </c>
      <c r="H3758" s="3" t="s">
        <v>16292</v>
      </c>
      <c r="I3758" s="3" t="s">
        <v>19699</v>
      </c>
      <c r="J3758" s="3" t="s">
        <v>19700</v>
      </c>
      <c r="K3758" s="3" t="s">
        <v>19701</v>
      </c>
      <c r="L3758" s="3"/>
      <c r="M3758" s="4"/>
      <c r="N3758" s="3" t="s">
        <v>37</v>
      </c>
      <c r="O3758" s="3" t="s">
        <v>38</v>
      </c>
      <c r="P3758" s="5">
        <v>9</v>
      </c>
      <c r="Q3758" s="5">
        <v>74</v>
      </c>
      <c r="R3758" s="5">
        <v>10</v>
      </c>
      <c r="S3758" s="5">
        <v>75</v>
      </c>
    </row>
    <row r="3759" spans="1:19" ht="28" x14ac:dyDescent="0.15">
      <c r="A3759" s="2">
        <f>HYPERLINK("https://open-school.uspishnemisto.com.ua/school/180670/", 180670)</f>
        <v>180670</v>
      </c>
      <c r="B3759" s="3" t="s">
        <v>19702</v>
      </c>
      <c r="C3759" s="3" t="s">
        <v>31</v>
      </c>
      <c r="D3759" s="3" t="s">
        <v>175</v>
      </c>
      <c r="E3759" s="4" t="s">
        <v>22</v>
      </c>
      <c r="F3759" s="4" t="s">
        <v>19703</v>
      </c>
      <c r="G3759" s="4" t="s">
        <v>19704</v>
      </c>
      <c r="H3759" s="3" t="s">
        <v>16292</v>
      </c>
      <c r="I3759" s="3" t="s">
        <v>19705</v>
      </c>
      <c r="J3759" s="3" t="s">
        <v>19706</v>
      </c>
      <c r="K3759" s="3" t="s">
        <v>19707</v>
      </c>
      <c r="L3759" s="3"/>
      <c r="M3759" s="4"/>
      <c r="N3759" s="3" t="s">
        <v>37</v>
      </c>
      <c r="O3759" s="3" t="s">
        <v>38</v>
      </c>
      <c r="P3759" s="5">
        <v>8</v>
      </c>
      <c r="Q3759" s="5">
        <v>59</v>
      </c>
      <c r="R3759" s="5">
        <v>7</v>
      </c>
      <c r="S3759" s="5">
        <v>63</v>
      </c>
    </row>
    <row r="3760" spans="1:19" ht="28" x14ac:dyDescent="0.15">
      <c r="A3760" s="2">
        <f>HYPERLINK("https://open-school.uspishnemisto.com.ua/school/180671/", 180671)</f>
        <v>180671</v>
      </c>
      <c r="B3760" s="3" t="s">
        <v>19708</v>
      </c>
      <c r="C3760" s="3" t="s">
        <v>31</v>
      </c>
      <c r="D3760" s="3" t="s">
        <v>32</v>
      </c>
      <c r="E3760" s="4" t="s">
        <v>22</v>
      </c>
      <c r="F3760" s="4" t="s">
        <v>19709</v>
      </c>
      <c r="G3760" s="4" t="s">
        <v>19710</v>
      </c>
      <c r="H3760" s="3" t="s">
        <v>16292</v>
      </c>
      <c r="I3760" s="3" t="s">
        <v>19711</v>
      </c>
      <c r="J3760" s="3" t="s">
        <v>19712</v>
      </c>
      <c r="K3760" s="3" t="s">
        <v>19713</v>
      </c>
      <c r="L3760" s="3"/>
      <c r="M3760" s="4"/>
      <c r="N3760" s="3" t="s">
        <v>37</v>
      </c>
      <c r="O3760" s="3" t="s">
        <v>38</v>
      </c>
      <c r="P3760" s="5">
        <v>10</v>
      </c>
      <c r="Q3760" s="5">
        <v>91</v>
      </c>
      <c r="R3760" s="5">
        <v>11</v>
      </c>
      <c r="S3760" s="5">
        <v>104</v>
      </c>
    </row>
    <row r="3761" spans="1:19" ht="28" x14ac:dyDescent="0.15">
      <c r="A3761" s="2">
        <f>HYPERLINK("https://open-school.uspishnemisto.com.ua/school/180672/", 180672)</f>
        <v>180672</v>
      </c>
      <c r="B3761" s="3" t="s">
        <v>19714</v>
      </c>
      <c r="C3761" s="3" t="s">
        <v>31</v>
      </c>
      <c r="D3761" s="3" t="s">
        <v>32</v>
      </c>
      <c r="E3761" s="4" t="s">
        <v>22</v>
      </c>
      <c r="F3761" s="4" t="s">
        <v>19715</v>
      </c>
      <c r="G3761" s="4" t="s">
        <v>19716</v>
      </c>
      <c r="H3761" s="3" t="s">
        <v>16292</v>
      </c>
      <c r="I3761" s="3" t="s">
        <v>19717</v>
      </c>
      <c r="J3761" s="3" t="s">
        <v>19718</v>
      </c>
      <c r="K3761" s="3" t="s">
        <v>19719</v>
      </c>
      <c r="L3761" s="3"/>
      <c r="M3761" s="4"/>
      <c r="N3761" s="3" t="s">
        <v>37</v>
      </c>
      <c r="O3761" s="3" t="s">
        <v>70</v>
      </c>
      <c r="P3761" s="5">
        <v>28</v>
      </c>
      <c r="Q3761" s="5">
        <v>672</v>
      </c>
      <c r="R3761" s="5">
        <v>28</v>
      </c>
      <c r="S3761" s="5">
        <v>648</v>
      </c>
    </row>
    <row r="3762" spans="1:19" ht="28" x14ac:dyDescent="0.15">
      <c r="A3762" s="2">
        <f>HYPERLINK("https://open-school.uspishnemisto.com.ua/school/180673/", 180673)</f>
        <v>180673</v>
      </c>
      <c r="B3762" s="3" t="s">
        <v>19720</v>
      </c>
      <c r="C3762" s="3" t="s">
        <v>31</v>
      </c>
      <c r="D3762" s="3" t="s">
        <v>32</v>
      </c>
      <c r="E3762" s="4" t="s">
        <v>22</v>
      </c>
      <c r="F3762" s="4" t="s">
        <v>19721</v>
      </c>
      <c r="G3762" s="4" t="s">
        <v>19722</v>
      </c>
      <c r="H3762" s="3" t="s">
        <v>16292</v>
      </c>
      <c r="I3762" s="3" t="s">
        <v>4594</v>
      </c>
      <c r="J3762" s="3" t="s">
        <v>356</v>
      </c>
      <c r="K3762" s="3" t="s">
        <v>19723</v>
      </c>
      <c r="L3762" s="3"/>
      <c r="M3762" s="4"/>
      <c r="N3762" s="3" t="s">
        <v>37</v>
      </c>
      <c r="O3762" s="3" t="s">
        <v>52</v>
      </c>
      <c r="P3762" s="5">
        <v>10</v>
      </c>
      <c r="Q3762" s="5">
        <v>85</v>
      </c>
      <c r="R3762" s="5">
        <v>11</v>
      </c>
      <c r="S3762" s="5">
        <v>79</v>
      </c>
    </row>
    <row r="3763" spans="1:19" ht="28" x14ac:dyDescent="0.15">
      <c r="A3763" s="2">
        <f>HYPERLINK("https://open-school.uspishnemisto.com.ua/school/180674/", 180674)</f>
        <v>180674</v>
      </c>
      <c r="B3763" s="3" t="s">
        <v>19724</v>
      </c>
      <c r="C3763" s="3" t="s">
        <v>31</v>
      </c>
      <c r="D3763" s="3" t="s">
        <v>32</v>
      </c>
      <c r="E3763" s="4" t="s">
        <v>22</v>
      </c>
      <c r="F3763" s="4" t="s">
        <v>19725</v>
      </c>
      <c r="G3763" s="4" t="s">
        <v>19726</v>
      </c>
      <c r="H3763" s="3" t="s">
        <v>16292</v>
      </c>
      <c r="I3763" s="3" t="s">
        <v>19727</v>
      </c>
      <c r="J3763" s="3" t="s">
        <v>15380</v>
      </c>
      <c r="K3763" s="3" t="s">
        <v>19728</v>
      </c>
      <c r="L3763" s="3"/>
      <c r="M3763" s="4"/>
      <c r="N3763" s="3" t="s">
        <v>37</v>
      </c>
      <c r="O3763" s="3" t="s">
        <v>38</v>
      </c>
      <c r="P3763" s="5">
        <v>10</v>
      </c>
      <c r="Q3763" s="5">
        <v>105</v>
      </c>
      <c r="R3763" s="5">
        <v>9</v>
      </c>
      <c r="S3763" s="5">
        <v>96</v>
      </c>
    </row>
    <row r="3764" spans="1:19" ht="56" x14ac:dyDescent="0.15">
      <c r="A3764" s="2">
        <f>HYPERLINK("https://open-school.uspishnemisto.com.ua/school/180675/", 180675)</f>
        <v>180675</v>
      </c>
      <c r="B3764" s="3" t="s">
        <v>19729</v>
      </c>
      <c r="C3764" s="3" t="s">
        <v>31</v>
      </c>
      <c r="D3764" s="3" t="s">
        <v>175</v>
      </c>
      <c r="E3764" s="4" t="s">
        <v>22</v>
      </c>
      <c r="F3764" s="4" t="s">
        <v>19730</v>
      </c>
      <c r="G3764" s="4" t="s">
        <v>19731</v>
      </c>
      <c r="H3764" s="3" t="s">
        <v>16292</v>
      </c>
      <c r="I3764" s="3" t="s">
        <v>19732</v>
      </c>
      <c r="J3764" s="3" t="s">
        <v>3047</v>
      </c>
      <c r="K3764" s="3" t="s">
        <v>19733</v>
      </c>
      <c r="L3764" s="3" t="s">
        <v>19734</v>
      </c>
      <c r="M3764" s="4"/>
      <c r="N3764" s="3" t="s">
        <v>37</v>
      </c>
      <c r="O3764" s="3" t="s">
        <v>46</v>
      </c>
      <c r="P3764" s="5">
        <v>7</v>
      </c>
      <c r="Q3764" s="5">
        <v>39</v>
      </c>
      <c r="R3764" s="5">
        <v>6</v>
      </c>
      <c r="S3764" s="5">
        <v>40</v>
      </c>
    </row>
    <row r="3765" spans="1:19" ht="28" x14ac:dyDescent="0.15">
      <c r="A3765" s="2">
        <f>HYPERLINK("https://open-school.uspishnemisto.com.ua/school/180676/", 180676)</f>
        <v>180676</v>
      </c>
      <c r="B3765" s="3" t="s">
        <v>19735</v>
      </c>
      <c r="C3765" s="3" t="s">
        <v>31</v>
      </c>
      <c r="D3765" s="3" t="s">
        <v>32</v>
      </c>
      <c r="E3765" s="4" t="s">
        <v>22</v>
      </c>
      <c r="F3765" s="4" t="s">
        <v>19736</v>
      </c>
      <c r="G3765" s="4" t="s">
        <v>19737</v>
      </c>
      <c r="H3765" s="3" t="s">
        <v>16292</v>
      </c>
      <c r="I3765" s="3" t="s">
        <v>19738</v>
      </c>
      <c r="J3765" s="3" t="s">
        <v>1857</v>
      </c>
      <c r="K3765" s="3" t="s">
        <v>19739</v>
      </c>
      <c r="L3765" s="3"/>
      <c r="M3765" s="4"/>
      <c r="N3765" s="3" t="s">
        <v>37</v>
      </c>
      <c r="O3765" s="3" t="s">
        <v>38</v>
      </c>
      <c r="P3765" s="5">
        <v>11</v>
      </c>
      <c r="Q3765" s="5">
        <v>100</v>
      </c>
      <c r="R3765" s="5">
        <v>11</v>
      </c>
      <c r="S3765" s="5">
        <v>98</v>
      </c>
    </row>
    <row r="3766" spans="1:19" ht="28" x14ac:dyDescent="0.15">
      <c r="A3766" s="2">
        <f>HYPERLINK("https://open-school.uspishnemisto.com.ua/school/180677/", 180677)</f>
        <v>180677</v>
      </c>
      <c r="B3766" s="3" t="s">
        <v>19740</v>
      </c>
      <c r="C3766" s="3" t="s">
        <v>31</v>
      </c>
      <c r="D3766" s="3" t="s">
        <v>32</v>
      </c>
      <c r="E3766" s="4" t="s">
        <v>22</v>
      </c>
      <c r="F3766" s="4" t="s">
        <v>19741</v>
      </c>
      <c r="G3766" s="4" t="s">
        <v>19742</v>
      </c>
      <c r="H3766" s="3" t="s">
        <v>16292</v>
      </c>
      <c r="I3766" s="3" t="s">
        <v>19743</v>
      </c>
      <c r="J3766" s="3" t="s">
        <v>19744</v>
      </c>
      <c r="K3766" s="3" t="s">
        <v>19745</v>
      </c>
      <c r="L3766" s="3"/>
      <c r="M3766" s="4"/>
      <c r="N3766" s="3" t="s">
        <v>37</v>
      </c>
      <c r="O3766" s="3" t="s">
        <v>38</v>
      </c>
      <c r="P3766" s="5">
        <v>11</v>
      </c>
      <c r="Q3766" s="5">
        <v>102</v>
      </c>
      <c r="R3766" s="5">
        <v>11</v>
      </c>
      <c r="S3766" s="5">
        <v>100</v>
      </c>
    </row>
    <row r="3767" spans="1:19" ht="28" x14ac:dyDescent="0.15">
      <c r="A3767" s="2">
        <f>HYPERLINK("https://open-school.uspishnemisto.com.ua/school/180678/", 180678)</f>
        <v>180678</v>
      </c>
      <c r="B3767" s="3" t="s">
        <v>19746</v>
      </c>
      <c r="C3767" s="3" t="s">
        <v>31</v>
      </c>
      <c r="D3767" s="3" t="s">
        <v>175</v>
      </c>
      <c r="E3767" s="4" t="s">
        <v>22</v>
      </c>
      <c r="F3767" s="4" t="s">
        <v>19747</v>
      </c>
      <c r="G3767" s="4" t="s">
        <v>19748</v>
      </c>
      <c r="H3767" s="3" t="s">
        <v>16292</v>
      </c>
      <c r="I3767" s="3" t="s">
        <v>17286</v>
      </c>
      <c r="J3767" s="3" t="s">
        <v>19749</v>
      </c>
      <c r="K3767" s="3" t="s">
        <v>19750</v>
      </c>
      <c r="L3767" s="3"/>
      <c r="M3767" s="4"/>
      <c r="N3767" s="3" t="s">
        <v>37</v>
      </c>
      <c r="O3767" s="3" t="s">
        <v>52</v>
      </c>
      <c r="P3767" s="5">
        <v>5</v>
      </c>
      <c r="Q3767" s="5">
        <v>41</v>
      </c>
      <c r="R3767" s="5">
        <v>8</v>
      </c>
      <c r="S3767" s="5">
        <v>39</v>
      </c>
    </row>
    <row r="3768" spans="1:19" ht="28" x14ac:dyDescent="0.15">
      <c r="A3768" s="2">
        <f>HYPERLINK("https://open-school.uspishnemisto.com.ua/school/180679/", 180679)</f>
        <v>180679</v>
      </c>
      <c r="B3768" s="3" t="s">
        <v>19751</v>
      </c>
      <c r="C3768" s="3" t="s">
        <v>31</v>
      </c>
      <c r="D3768" s="3" t="s">
        <v>32</v>
      </c>
      <c r="E3768" s="4" t="s">
        <v>22</v>
      </c>
      <c r="F3768" s="4" t="s">
        <v>19752</v>
      </c>
      <c r="G3768" s="4" t="s">
        <v>19753</v>
      </c>
      <c r="H3768" s="3" t="s">
        <v>16292</v>
      </c>
      <c r="I3768" s="3" t="s">
        <v>19754</v>
      </c>
      <c r="J3768" s="3" t="s">
        <v>19629</v>
      </c>
      <c r="K3768" s="3" t="s">
        <v>19755</v>
      </c>
      <c r="L3768" s="3"/>
      <c r="M3768" s="4"/>
      <c r="N3768" s="3" t="s">
        <v>37</v>
      </c>
      <c r="O3768" s="3" t="s">
        <v>52</v>
      </c>
      <c r="P3768" s="5">
        <v>11</v>
      </c>
      <c r="Q3768" s="5">
        <v>112</v>
      </c>
      <c r="R3768" s="5">
        <v>11</v>
      </c>
      <c r="S3768" s="5">
        <v>104</v>
      </c>
    </row>
    <row r="3769" spans="1:19" ht="28" x14ac:dyDescent="0.15">
      <c r="A3769" s="2">
        <f>HYPERLINK("https://open-school.uspishnemisto.com.ua/school/180680/", 180680)</f>
        <v>180680</v>
      </c>
      <c r="B3769" s="3" t="s">
        <v>19756</v>
      </c>
      <c r="C3769" s="3" t="s">
        <v>31</v>
      </c>
      <c r="D3769" s="3" t="s">
        <v>175</v>
      </c>
      <c r="E3769" s="4" t="s">
        <v>22</v>
      </c>
      <c r="F3769" s="4" t="s">
        <v>19757</v>
      </c>
      <c r="G3769" s="4" t="s">
        <v>19758</v>
      </c>
      <c r="H3769" s="3" t="s">
        <v>16292</v>
      </c>
      <c r="I3769" s="3" t="s">
        <v>19754</v>
      </c>
      <c r="J3769" s="3" t="s">
        <v>466</v>
      </c>
      <c r="K3769" s="3" t="s">
        <v>19759</v>
      </c>
      <c r="L3769" s="3"/>
      <c r="M3769" s="4"/>
      <c r="N3769" s="3" t="s">
        <v>37</v>
      </c>
      <c r="O3769" s="3" t="s">
        <v>38</v>
      </c>
      <c r="P3769" s="5">
        <v>9</v>
      </c>
      <c r="Q3769" s="5">
        <v>77</v>
      </c>
      <c r="R3769" s="5">
        <v>9</v>
      </c>
      <c r="S3769" s="5">
        <v>80</v>
      </c>
    </row>
    <row r="3770" spans="1:19" ht="28" x14ac:dyDescent="0.15">
      <c r="A3770" s="2">
        <f>HYPERLINK("https://open-school.uspishnemisto.com.ua/school/180681/", 180681)</f>
        <v>180681</v>
      </c>
      <c r="B3770" s="3" t="s">
        <v>19760</v>
      </c>
      <c r="C3770" s="3" t="s">
        <v>31</v>
      </c>
      <c r="D3770" s="3" t="s">
        <v>32</v>
      </c>
      <c r="E3770" s="4" t="s">
        <v>22</v>
      </c>
      <c r="F3770" s="4" t="s">
        <v>19761</v>
      </c>
      <c r="G3770" s="4" t="s">
        <v>19762</v>
      </c>
      <c r="H3770" s="3" t="s">
        <v>16292</v>
      </c>
      <c r="I3770" s="3" t="s">
        <v>1308</v>
      </c>
      <c r="J3770" s="3" t="s">
        <v>1668</v>
      </c>
      <c r="K3770" s="3" t="s">
        <v>19763</v>
      </c>
      <c r="L3770" s="3"/>
      <c r="M3770" s="4"/>
      <c r="N3770" s="3" t="s">
        <v>37</v>
      </c>
      <c r="O3770" s="3" t="s">
        <v>38</v>
      </c>
      <c r="P3770" s="5">
        <v>11</v>
      </c>
      <c r="Q3770" s="5">
        <v>121</v>
      </c>
      <c r="R3770" s="5">
        <v>11</v>
      </c>
      <c r="S3770" s="5">
        <v>121</v>
      </c>
    </row>
    <row r="3771" spans="1:19" ht="42" x14ac:dyDescent="0.15">
      <c r="A3771" s="2">
        <f>HYPERLINK("https://open-school.uspishnemisto.com.ua/school/180682/", 180682)</f>
        <v>180682</v>
      </c>
      <c r="B3771" s="3" t="s">
        <v>19764</v>
      </c>
      <c r="C3771" s="3" t="s">
        <v>31</v>
      </c>
      <c r="D3771" s="3" t="s">
        <v>32</v>
      </c>
      <c r="E3771" s="4" t="s">
        <v>22</v>
      </c>
      <c r="F3771" s="4" t="s">
        <v>19765</v>
      </c>
      <c r="G3771" s="4" t="s">
        <v>19766</v>
      </c>
      <c r="H3771" s="3" t="s">
        <v>16292</v>
      </c>
      <c r="I3771" s="3" t="s">
        <v>19767</v>
      </c>
      <c r="J3771" s="3" t="s">
        <v>1198</v>
      </c>
      <c r="K3771" s="3" t="s">
        <v>19768</v>
      </c>
      <c r="L3771" s="3"/>
      <c r="M3771" s="4"/>
      <c r="N3771" s="3" t="s">
        <v>37</v>
      </c>
      <c r="O3771" s="3" t="s">
        <v>46</v>
      </c>
      <c r="P3771" s="5">
        <v>10</v>
      </c>
      <c r="Q3771" s="5">
        <v>99</v>
      </c>
      <c r="R3771" s="5">
        <v>11</v>
      </c>
      <c r="S3771" s="5">
        <v>102</v>
      </c>
    </row>
    <row r="3772" spans="1:19" ht="42" x14ac:dyDescent="0.15">
      <c r="A3772" s="2">
        <f>HYPERLINK("https://open-school.uspishnemisto.com.ua/school/180683/", 180683)</f>
        <v>180683</v>
      </c>
      <c r="B3772" s="3" t="s">
        <v>19769</v>
      </c>
      <c r="C3772" s="3" t="s">
        <v>31</v>
      </c>
      <c r="D3772" s="3" t="s">
        <v>175</v>
      </c>
      <c r="E3772" s="4" t="s">
        <v>22</v>
      </c>
      <c r="F3772" s="4" t="s">
        <v>19770</v>
      </c>
      <c r="G3772" s="4" t="s">
        <v>19771</v>
      </c>
      <c r="H3772" s="3" t="s">
        <v>16292</v>
      </c>
      <c r="I3772" s="3" t="s">
        <v>19772</v>
      </c>
      <c r="J3772" s="3" t="s">
        <v>634</v>
      </c>
      <c r="K3772" s="3" t="s">
        <v>19773</v>
      </c>
      <c r="L3772" s="3"/>
      <c r="M3772" s="4"/>
      <c r="N3772" s="3" t="s">
        <v>37</v>
      </c>
      <c r="O3772" s="3" t="s">
        <v>46</v>
      </c>
      <c r="P3772" s="5">
        <v>5</v>
      </c>
      <c r="Q3772" s="5">
        <v>38</v>
      </c>
      <c r="R3772" s="5">
        <v>8</v>
      </c>
      <c r="S3772" s="5">
        <v>55</v>
      </c>
    </row>
    <row r="3773" spans="1:19" ht="28" x14ac:dyDescent="0.15">
      <c r="A3773" s="2">
        <f>HYPERLINK("https://open-school.uspishnemisto.com.ua/school/180684/", 180684)</f>
        <v>180684</v>
      </c>
      <c r="B3773" s="3" t="s">
        <v>19774</v>
      </c>
      <c r="C3773" s="3" t="s">
        <v>40</v>
      </c>
      <c r="D3773" s="3" t="s">
        <v>32</v>
      </c>
      <c r="E3773" s="4" t="s">
        <v>22</v>
      </c>
      <c r="F3773" s="4" t="s">
        <v>19775</v>
      </c>
      <c r="G3773" s="4" t="s">
        <v>19776</v>
      </c>
      <c r="H3773" s="3" t="s">
        <v>16292</v>
      </c>
      <c r="I3773" s="3" t="s">
        <v>19777</v>
      </c>
      <c r="J3773" s="3" t="s">
        <v>18678</v>
      </c>
      <c r="K3773" s="3" t="s">
        <v>19778</v>
      </c>
      <c r="L3773" s="3" t="s">
        <v>19779</v>
      </c>
      <c r="M3773" s="4"/>
      <c r="N3773" s="3" t="s">
        <v>37</v>
      </c>
      <c r="O3773" s="3" t="s">
        <v>46</v>
      </c>
      <c r="P3773" s="5">
        <v>11</v>
      </c>
      <c r="Q3773" s="5">
        <v>137</v>
      </c>
      <c r="R3773" s="5">
        <v>11</v>
      </c>
      <c r="S3773" s="5">
        <v>151</v>
      </c>
    </row>
    <row r="3774" spans="1:19" ht="28" x14ac:dyDescent="0.15">
      <c r="A3774" s="2">
        <f>HYPERLINK("https://open-school.uspishnemisto.com.ua/school/180685/", 180685)</f>
        <v>180685</v>
      </c>
      <c r="B3774" s="3" t="s">
        <v>19780</v>
      </c>
      <c r="C3774" s="3" t="s">
        <v>31</v>
      </c>
      <c r="D3774" s="3" t="s">
        <v>175</v>
      </c>
      <c r="E3774" s="4" t="s">
        <v>22</v>
      </c>
      <c r="F3774" s="4" t="s">
        <v>19781</v>
      </c>
      <c r="G3774" s="4" t="s">
        <v>19782</v>
      </c>
      <c r="H3774" s="3" t="s">
        <v>16292</v>
      </c>
      <c r="I3774" s="3" t="s">
        <v>19783</v>
      </c>
      <c r="J3774" s="3" t="s">
        <v>4118</v>
      </c>
      <c r="K3774" s="3" t="s">
        <v>19784</v>
      </c>
      <c r="L3774" s="3"/>
      <c r="M3774" s="4"/>
      <c r="N3774" s="3" t="s">
        <v>37</v>
      </c>
      <c r="O3774" s="3" t="s">
        <v>52</v>
      </c>
      <c r="P3774" s="5">
        <v>8</v>
      </c>
      <c r="Q3774" s="5">
        <v>61</v>
      </c>
      <c r="R3774" s="5">
        <v>8</v>
      </c>
      <c r="S3774" s="5">
        <v>65</v>
      </c>
    </row>
    <row r="3775" spans="1:19" ht="42" x14ac:dyDescent="0.15">
      <c r="A3775" s="2">
        <f>HYPERLINK("https://open-school.uspishnemisto.com.ua/school/180686/", 180686)</f>
        <v>180686</v>
      </c>
      <c r="B3775" s="3" t="s">
        <v>19785</v>
      </c>
      <c r="C3775" s="3" t="s">
        <v>31</v>
      </c>
      <c r="D3775" s="3" t="s">
        <v>32</v>
      </c>
      <c r="E3775" s="4" t="s">
        <v>22</v>
      </c>
      <c r="F3775" s="4" t="s">
        <v>19786</v>
      </c>
      <c r="G3775" s="4" t="s">
        <v>19787</v>
      </c>
      <c r="H3775" s="3" t="s">
        <v>16292</v>
      </c>
      <c r="I3775" s="3" t="s">
        <v>19788</v>
      </c>
      <c r="J3775" s="3" t="s">
        <v>634</v>
      </c>
      <c r="K3775" s="3" t="s">
        <v>19789</v>
      </c>
      <c r="L3775" s="3"/>
      <c r="M3775" s="4"/>
      <c r="N3775" s="3" t="s">
        <v>37</v>
      </c>
      <c r="O3775" s="3" t="s">
        <v>38</v>
      </c>
      <c r="P3775" s="5">
        <v>11</v>
      </c>
      <c r="Q3775" s="5">
        <v>191</v>
      </c>
      <c r="R3775" s="5">
        <v>11</v>
      </c>
      <c r="S3775" s="5">
        <v>192</v>
      </c>
    </row>
    <row r="3776" spans="1:19" ht="28" x14ac:dyDescent="0.15">
      <c r="A3776" s="2">
        <f>HYPERLINK("https://open-school.uspishnemisto.com.ua/school/180687/", 180687)</f>
        <v>180687</v>
      </c>
      <c r="B3776" s="3" t="s">
        <v>19790</v>
      </c>
      <c r="C3776" s="3" t="s">
        <v>31</v>
      </c>
      <c r="D3776" s="3" t="s">
        <v>32</v>
      </c>
      <c r="E3776" s="4" t="s">
        <v>22</v>
      </c>
      <c r="F3776" s="4" t="s">
        <v>19791</v>
      </c>
      <c r="G3776" s="4" t="s">
        <v>19792</v>
      </c>
      <c r="H3776" s="3" t="s">
        <v>16292</v>
      </c>
      <c r="I3776" s="3" t="s">
        <v>19793</v>
      </c>
      <c r="J3776" s="3" t="s">
        <v>19794</v>
      </c>
      <c r="K3776" s="3" t="s">
        <v>19795</v>
      </c>
      <c r="L3776" s="3"/>
      <c r="M3776" s="4"/>
      <c r="N3776" s="3" t="s">
        <v>37</v>
      </c>
      <c r="O3776" s="3" t="s">
        <v>52</v>
      </c>
      <c r="P3776" s="5">
        <v>11</v>
      </c>
      <c r="Q3776" s="5">
        <v>111</v>
      </c>
      <c r="R3776" s="5">
        <v>11</v>
      </c>
      <c r="S3776" s="5">
        <v>103</v>
      </c>
    </row>
    <row r="3777" spans="1:19" ht="28" x14ac:dyDescent="0.15">
      <c r="A3777" s="2">
        <f>HYPERLINK("https://open-school.uspishnemisto.com.ua/school/180688/", 180688)</f>
        <v>180688</v>
      </c>
      <c r="B3777" s="3" t="s">
        <v>19796</v>
      </c>
      <c r="C3777" s="3" t="s">
        <v>31</v>
      </c>
      <c r="D3777" s="3" t="s">
        <v>175</v>
      </c>
      <c r="E3777" s="4" t="s">
        <v>22</v>
      </c>
      <c r="F3777" s="4" t="s">
        <v>19797</v>
      </c>
      <c r="G3777" s="4" t="s">
        <v>19798</v>
      </c>
      <c r="H3777" s="3" t="s">
        <v>16292</v>
      </c>
      <c r="I3777" s="3" t="s">
        <v>19799</v>
      </c>
      <c r="J3777" s="3" t="s">
        <v>19800</v>
      </c>
      <c r="K3777" s="3"/>
      <c r="L3777" s="3"/>
      <c r="M3777" s="4"/>
      <c r="N3777" s="3" t="s">
        <v>37</v>
      </c>
      <c r="O3777" s="3" t="s">
        <v>52</v>
      </c>
      <c r="P3777" s="5">
        <v>8</v>
      </c>
      <c r="Q3777" s="5">
        <v>63</v>
      </c>
      <c r="R3777" s="5">
        <v>7</v>
      </c>
      <c r="S3777" s="5">
        <v>65</v>
      </c>
    </row>
    <row r="3778" spans="1:19" ht="28" x14ac:dyDescent="0.15">
      <c r="A3778" s="2">
        <f>HYPERLINK("https://open-school.uspishnemisto.com.ua/school/180689/", 180689)</f>
        <v>180689</v>
      </c>
      <c r="B3778" s="3" t="s">
        <v>19801</v>
      </c>
      <c r="C3778" s="3" t="s">
        <v>31</v>
      </c>
      <c r="D3778" s="3" t="s">
        <v>32</v>
      </c>
      <c r="E3778" s="4" t="s">
        <v>22</v>
      </c>
      <c r="F3778" s="4" t="s">
        <v>19802</v>
      </c>
      <c r="G3778" s="4" t="s">
        <v>19803</v>
      </c>
      <c r="H3778" s="3" t="s">
        <v>16292</v>
      </c>
      <c r="I3778" s="3" t="s">
        <v>19804</v>
      </c>
      <c r="J3778" s="3" t="s">
        <v>19322</v>
      </c>
      <c r="K3778" s="3" t="s">
        <v>19805</v>
      </c>
      <c r="L3778" s="3"/>
      <c r="M3778" s="4"/>
      <c r="N3778" s="3" t="s">
        <v>37</v>
      </c>
      <c r="O3778" s="3" t="s">
        <v>46</v>
      </c>
      <c r="P3778" s="5">
        <v>11</v>
      </c>
      <c r="Q3778" s="5">
        <v>99</v>
      </c>
      <c r="R3778" s="5">
        <v>11</v>
      </c>
      <c r="S3778" s="5">
        <v>102</v>
      </c>
    </row>
    <row r="3779" spans="1:19" ht="28" x14ac:dyDescent="0.15">
      <c r="A3779" s="2">
        <f>HYPERLINK("https://open-school.uspishnemisto.com.ua/school/180690/", 180690)</f>
        <v>180690</v>
      </c>
      <c r="B3779" s="3" t="s">
        <v>19806</v>
      </c>
      <c r="C3779" s="3" t="s">
        <v>31</v>
      </c>
      <c r="D3779" s="3" t="s">
        <v>175</v>
      </c>
      <c r="E3779" s="4" t="s">
        <v>22</v>
      </c>
      <c r="F3779" s="4" t="s">
        <v>19807</v>
      </c>
      <c r="G3779" s="4" t="s">
        <v>19808</v>
      </c>
      <c r="H3779" s="3" t="s">
        <v>16292</v>
      </c>
      <c r="I3779" s="3" t="s">
        <v>3087</v>
      </c>
      <c r="J3779" s="3" t="s">
        <v>19809</v>
      </c>
      <c r="K3779" s="3" t="s">
        <v>19810</v>
      </c>
      <c r="L3779" s="3"/>
      <c r="M3779" s="4"/>
      <c r="N3779" s="3" t="s">
        <v>37</v>
      </c>
      <c r="O3779" s="3" t="s">
        <v>46</v>
      </c>
      <c r="P3779" s="5">
        <v>5</v>
      </c>
      <c r="Q3779" s="5">
        <v>41</v>
      </c>
      <c r="R3779" s="5">
        <v>7</v>
      </c>
      <c r="S3779" s="5">
        <v>39</v>
      </c>
    </row>
    <row r="3780" spans="1:19" ht="28" x14ac:dyDescent="0.15">
      <c r="A3780" s="2">
        <f>HYPERLINK("https://open-school.uspishnemisto.com.ua/school/180691/", 180691)</f>
        <v>180691</v>
      </c>
      <c r="B3780" s="3" t="s">
        <v>19811</v>
      </c>
      <c r="C3780" s="3" t="s">
        <v>31</v>
      </c>
      <c r="D3780" s="3" t="s">
        <v>175</v>
      </c>
      <c r="E3780" s="4" t="s">
        <v>22</v>
      </c>
      <c r="F3780" s="4" t="s">
        <v>19812</v>
      </c>
      <c r="G3780" s="4" t="s">
        <v>19813</v>
      </c>
      <c r="H3780" s="3" t="s">
        <v>16292</v>
      </c>
      <c r="I3780" s="3" t="s">
        <v>19814</v>
      </c>
      <c r="J3780" s="3" t="s">
        <v>19815</v>
      </c>
      <c r="K3780" s="3"/>
      <c r="L3780" s="3"/>
      <c r="M3780" s="4"/>
      <c r="N3780" s="3" t="s">
        <v>37</v>
      </c>
      <c r="O3780" s="3" t="s">
        <v>52</v>
      </c>
      <c r="P3780" s="5">
        <v>9</v>
      </c>
      <c r="Q3780" s="5">
        <v>76</v>
      </c>
      <c r="R3780" s="5">
        <v>9</v>
      </c>
      <c r="S3780" s="5">
        <v>76</v>
      </c>
    </row>
    <row r="3781" spans="1:19" ht="28" x14ac:dyDescent="0.15">
      <c r="A3781" s="2">
        <f>HYPERLINK("https://open-school.uspishnemisto.com.ua/school/180692/", 180692)</f>
        <v>180692</v>
      </c>
      <c r="B3781" s="3" t="s">
        <v>19816</v>
      </c>
      <c r="C3781" s="3" t="s">
        <v>40</v>
      </c>
      <c r="D3781" s="3" t="s">
        <v>32</v>
      </c>
      <c r="E3781" s="4" t="s">
        <v>22</v>
      </c>
      <c r="F3781" s="4" t="s">
        <v>19817</v>
      </c>
      <c r="G3781" s="4" t="s">
        <v>19818</v>
      </c>
      <c r="H3781" s="3" t="s">
        <v>16292</v>
      </c>
      <c r="I3781" s="3" t="s">
        <v>19819</v>
      </c>
      <c r="J3781" s="3" t="s">
        <v>19820</v>
      </c>
      <c r="K3781" s="3" t="s">
        <v>19821</v>
      </c>
      <c r="L3781" s="3"/>
      <c r="M3781" s="4"/>
      <c r="N3781" s="3" t="s">
        <v>37</v>
      </c>
      <c r="O3781" s="3" t="s">
        <v>38</v>
      </c>
      <c r="P3781" s="5">
        <v>30</v>
      </c>
      <c r="Q3781" s="5">
        <v>678</v>
      </c>
      <c r="R3781" s="5">
        <v>31</v>
      </c>
      <c r="S3781" s="5">
        <v>682</v>
      </c>
    </row>
    <row r="3782" spans="1:19" ht="28" x14ac:dyDescent="0.15">
      <c r="A3782" s="2">
        <f>HYPERLINK("https://open-school.uspishnemisto.com.ua/school/180693/", 180693)</f>
        <v>180693</v>
      </c>
      <c r="B3782" s="3" t="s">
        <v>19822</v>
      </c>
      <c r="C3782" s="3" t="s">
        <v>31</v>
      </c>
      <c r="D3782" s="3" t="s">
        <v>32</v>
      </c>
      <c r="E3782" s="4" t="s">
        <v>22</v>
      </c>
      <c r="F3782" s="4" t="s">
        <v>19817</v>
      </c>
      <c r="G3782" s="4" t="s">
        <v>19818</v>
      </c>
      <c r="H3782" s="3" t="s">
        <v>16292</v>
      </c>
      <c r="I3782" s="3" t="s">
        <v>19819</v>
      </c>
      <c r="J3782" s="3" t="s">
        <v>19823</v>
      </c>
      <c r="K3782" s="3" t="s">
        <v>19824</v>
      </c>
      <c r="L3782" s="3"/>
      <c r="M3782" s="4"/>
      <c r="N3782" s="3" t="s">
        <v>37</v>
      </c>
      <c r="O3782" s="3" t="s">
        <v>70</v>
      </c>
      <c r="P3782" s="5">
        <v>23</v>
      </c>
      <c r="Q3782" s="5">
        <v>582</v>
      </c>
      <c r="R3782" s="5">
        <v>22</v>
      </c>
      <c r="S3782" s="5">
        <v>541</v>
      </c>
    </row>
    <row r="3783" spans="1:19" ht="28" x14ac:dyDescent="0.15">
      <c r="A3783" s="2">
        <f>HYPERLINK("https://open-school.uspishnemisto.com.ua/school/180694/", 180694)</f>
        <v>180694</v>
      </c>
      <c r="B3783" s="3" t="s">
        <v>19825</v>
      </c>
      <c r="C3783" s="3" t="s">
        <v>40</v>
      </c>
      <c r="D3783" s="3" t="s">
        <v>32</v>
      </c>
      <c r="E3783" s="4" t="s">
        <v>22</v>
      </c>
      <c r="F3783" s="4" t="s">
        <v>19826</v>
      </c>
      <c r="G3783" s="4" t="s">
        <v>19827</v>
      </c>
      <c r="H3783" s="3" t="s">
        <v>16292</v>
      </c>
      <c r="I3783" s="3" t="s">
        <v>19828</v>
      </c>
      <c r="J3783" s="3" t="s">
        <v>19829</v>
      </c>
      <c r="K3783" s="3" t="s">
        <v>19830</v>
      </c>
      <c r="L3783" s="3"/>
      <c r="M3783" s="4"/>
      <c r="N3783" s="3" t="s">
        <v>37</v>
      </c>
      <c r="O3783" s="3" t="s">
        <v>38</v>
      </c>
      <c r="P3783" s="5">
        <v>16</v>
      </c>
      <c r="Q3783" s="5">
        <v>303</v>
      </c>
      <c r="R3783" s="5">
        <v>16</v>
      </c>
      <c r="S3783" s="5">
        <v>314</v>
      </c>
    </row>
    <row r="3784" spans="1:19" ht="28" x14ac:dyDescent="0.15">
      <c r="A3784" s="2">
        <f>HYPERLINK("https://open-school.uspishnemisto.com.ua/school/180695/", 180695)</f>
        <v>180695</v>
      </c>
      <c r="B3784" s="3" t="s">
        <v>19720</v>
      </c>
      <c r="C3784" s="3" t="s">
        <v>31</v>
      </c>
      <c r="D3784" s="3" t="s">
        <v>32</v>
      </c>
      <c r="E3784" s="4" t="s">
        <v>22</v>
      </c>
      <c r="F3784" s="4" t="s">
        <v>19831</v>
      </c>
      <c r="G3784" s="4" t="s">
        <v>19832</v>
      </c>
      <c r="H3784" s="3" t="s">
        <v>16292</v>
      </c>
      <c r="I3784" s="3" t="s">
        <v>4594</v>
      </c>
      <c r="J3784" s="3" t="s">
        <v>19833</v>
      </c>
      <c r="K3784" s="3" t="s">
        <v>19834</v>
      </c>
      <c r="L3784" s="3"/>
      <c r="M3784" s="4"/>
      <c r="N3784" s="3" t="s">
        <v>37</v>
      </c>
      <c r="O3784" s="3" t="s">
        <v>38</v>
      </c>
      <c r="P3784" s="5">
        <v>11</v>
      </c>
      <c r="Q3784" s="5">
        <v>114</v>
      </c>
      <c r="R3784" s="5">
        <v>11</v>
      </c>
      <c r="S3784" s="5">
        <v>108</v>
      </c>
    </row>
    <row r="3785" spans="1:19" ht="28" x14ac:dyDescent="0.15">
      <c r="A3785" s="2">
        <f>HYPERLINK("https://open-school.uspishnemisto.com.ua/school/180696/", 180696)</f>
        <v>180696</v>
      </c>
      <c r="B3785" s="3" t="s">
        <v>19835</v>
      </c>
      <c r="C3785" s="3" t="s">
        <v>31</v>
      </c>
      <c r="D3785" s="3" t="s">
        <v>175</v>
      </c>
      <c r="E3785" s="4" t="s">
        <v>22</v>
      </c>
      <c r="F3785" s="4" t="s">
        <v>19836</v>
      </c>
      <c r="G3785" s="4" t="s">
        <v>19837</v>
      </c>
      <c r="H3785" s="3" t="s">
        <v>16292</v>
      </c>
      <c r="I3785" s="3" t="s">
        <v>19838</v>
      </c>
      <c r="J3785" s="3" t="s">
        <v>19839</v>
      </c>
      <c r="K3785" s="3" t="s">
        <v>19840</v>
      </c>
      <c r="L3785" s="3"/>
      <c r="M3785" s="4"/>
      <c r="N3785" s="3" t="s">
        <v>37</v>
      </c>
      <c r="O3785" s="3" t="s">
        <v>52</v>
      </c>
      <c r="P3785" s="5">
        <v>5</v>
      </c>
      <c r="Q3785" s="5">
        <v>55</v>
      </c>
      <c r="R3785" s="5">
        <v>5</v>
      </c>
      <c r="S3785" s="5">
        <v>48</v>
      </c>
    </row>
    <row r="3786" spans="1:19" ht="28" x14ac:dyDescent="0.15">
      <c r="A3786" s="2">
        <f>HYPERLINK("https://open-school.uspishnemisto.com.ua/school/180697/", 180697)</f>
        <v>180697</v>
      </c>
      <c r="B3786" s="3" t="s">
        <v>19841</v>
      </c>
      <c r="C3786" s="3" t="s">
        <v>31</v>
      </c>
      <c r="D3786" s="3" t="s">
        <v>32</v>
      </c>
      <c r="E3786" s="4" t="s">
        <v>22</v>
      </c>
      <c r="F3786" s="4" t="s">
        <v>19842</v>
      </c>
      <c r="G3786" s="4" t="s">
        <v>19843</v>
      </c>
      <c r="H3786" s="3" t="s">
        <v>16292</v>
      </c>
      <c r="I3786" s="3" t="s">
        <v>19844</v>
      </c>
      <c r="J3786" s="3" t="s">
        <v>19845</v>
      </c>
      <c r="K3786" s="3" t="s">
        <v>19846</v>
      </c>
      <c r="L3786" s="3"/>
      <c r="M3786" s="4"/>
      <c r="N3786" s="3" t="s">
        <v>37</v>
      </c>
      <c r="O3786" s="3" t="s">
        <v>38</v>
      </c>
      <c r="P3786" s="5">
        <v>8</v>
      </c>
      <c r="Q3786" s="5">
        <v>76</v>
      </c>
      <c r="R3786" s="5">
        <v>9</v>
      </c>
      <c r="S3786" s="5">
        <v>93</v>
      </c>
    </row>
    <row r="3787" spans="1:19" ht="28" x14ac:dyDescent="0.15">
      <c r="A3787" s="2">
        <f>HYPERLINK("https://open-school.uspishnemisto.com.ua/school/180698/", 180698)</f>
        <v>180698</v>
      </c>
      <c r="B3787" s="3" t="s">
        <v>19847</v>
      </c>
      <c r="C3787" s="3" t="s">
        <v>188</v>
      </c>
      <c r="D3787" s="3" t="s">
        <v>32</v>
      </c>
      <c r="E3787" s="4" t="s">
        <v>22</v>
      </c>
      <c r="F3787" s="4" t="s">
        <v>19848</v>
      </c>
      <c r="G3787" s="4" t="s">
        <v>19849</v>
      </c>
      <c r="H3787" s="3" t="s">
        <v>16292</v>
      </c>
      <c r="I3787" s="3" t="s">
        <v>19850</v>
      </c>
      <c r="J3787" s="3" t="s">
        <v>466</v>
      </c>
      <c r="K3787" s="3" t="s">
        <v>19851</v>
      </c>
      <c r="L3787" s="3" t="s">
        <v>19852</v>
      </c>
      <c r="M3787" s="4"/>
      <c r="N3787" s="3" t="s">
        <v>37</v>
      </c>
      <c r="O3787" s="3" t="s">
        <v>70</v>
      </c>
      <c r="P3787" s="5">
        <v>11</v>
      </c>
      <c r="Q3787" s="5">
        <v>152</v>
      </c>
      <c r="R3787" s="5">
        <v>11</v>
      </c>
      <c r="S3787" s="5">
        <v>144</v>
      </c>
    </row>
    <row r="3788" spans="1:19" ht="28" x14ac:dyDescent="0.15">
      <c r="A3788" s="2">
        <f>HYPERLINK("https://open-school.uspishnemisto.com.ua/school/180699/", 180699)</f>
        <v>180699</v>
      </c>
      <c r="B3788" s="3" t="s">
        <v>19853</v>
      </c>
      <c r="C3788" s="3" t="s">
        <v>40</v>
      </c>
      <c r="D3788" s="3" t="s">
        <v>32</v>
      </c>
      <c r="E3788" s="4" t="s">
        <v>22</v>
      </c>
      <c r="F3788" s="4" t="s">
        <v>19854</v>
      </c>
      <c r="G3788" s="4" t="s">
        <v>19855</v>
      </c>
      <c r="H3788" s="3" t="s">
        <v>16292</v>
      </c>
      <c r="I3788" s="3" t="s">
        <v>3512</v>
      </c>
      <c r="J3788" s="3" t="s">
        <v>6598</v>
      </c>
      <c r="K3788" s="3" t="s">
        <v>19856</v>
      </c>
      <c r="L3788" s="3"/>
      <c r="M3788" s="4"/>
      <c r="N3788" s="3" t="s">
        <v>37</v>
      </c>
      <c r="O3788" s="3" t="s">
        <v>38</v>
      </c>
      <c r="P3788" s="5">
        <v>11</v>
      </c>
      <c r="Q3788" s="5">
        <v>165</v>
      </c>
      <c r="R3788" s="5">
        <v>11</v>
      </c>
      <c r="S3788" s="5">
        <v>152</v>
      </c>
    </row>
    <row r="3789" spans="1:19" ht="28" x14ac:dyDescent="0.15">
      <c r="A3789" s="2">
        <f>HYPERLINK("https://open-school.uspishnemisto.com.ua/school/180700/", 180700)</f>
        <v>180700</v>
      </c>
      <c r="B3789" s="3" t="s">
        <v>19857</v>
      </c>
      <c r="C3789" s="3" t="s">
        <v>31</v>
      </c>
      <c r="D3789" s="3" t="s">
        <v>32</v>
      </c>
      <c r="E3789" s="4" t="s">
        <v>22</v>
      </c>
      <c r="F3789" s="4" t="s">
        <v>19858</v>
      </c>
      <c r="G3789" s="4" t="s">
        <v>19859</v>
      </c>
      <c r="H3789" s="3" t="s">
        <v>16292</v>
      </c>
      <c r="I3789" s="3" t="s">
        <v>19860</v>
      </c>
      <c r="J3789" s="3" t="s">
        <v>19861</v>
      </c>
      <c r="K3789" s="3" t="s">
        <v>19862</v>
      </c>
      <c r="L3789" s="3"/>
      <c r="M3789" s="4"/>
      <c r="N3789" s="3" t="s">
        <v>37</v>
      </c>
      <c r="O3789" s="3" t="s">
        <v>52</v>
      </c>
      <c r="P3789" s="5">
        <v>4</v>
      </c>
      <c r="Q3789" s="5">
        <v>47</v>
      </c>
      <c r="R3789" s="5">
        <v>4</v>
      </c>
      <c r="S3789" s="5">
        <v>47</v>
      </c>
    </row>
    <row r="3790" spans="1:19" ht="28" x14ac:dyDescent="0.15">
      <c r="A3790" s="2">
        <f>HYPERLINK("https://open-school.uspishnemisto.com.ua/school/180701/", 180701)</f>
        <v>180701</v>
      </c>
      <c r="B3790" s="3" t="s">
        <v>19863</v>
      </c>
      <c r="C3790" s="3" t="s">
        <v>31</v>
      </c>
      <c r="D3790" s="3" t="s">
        <v>175</v>
      </c>
      <c r="E3790" s="4" t="s">
        <v>22</v>
      </c>
      <c r="F3790" s="4" t="s">
        <v>19864</v>
      </c>
      <c r="G3790" s="4" t="s">
        <v>19865</v>
      </c>
      <c r="H3790" s="3" t="s">
        <v>16292</v>
      </c>
      <c r="I3790" s="3" t="s">
        <v>19866</v>
      </c>
      <c r="J3790" s="3" t="s">
        <v>15561</v>
      </c>
      <c r="K3790" s="3" t="s">
        <v>19867</v>
      </c>
      <c r="L3790" s="3"/>
      <c r="M3790" s="4"/>
      <c r="N3790" s="3" t="s">
        <v>37</v>
      </c>
      <c r="O3790" s="3" t="s">
        <v>38</v>
      </c>
      <c r="P3790" s="5">
        <v>9</v>
      </c>
      <c r="Q3790" s="5">
        <v>77</v>
      </c>
      <c r="R3790" s="5">
        <v>9</v>
      </c>
      <c r="S3790" s="5">
        <v>69</v>
      </c>
    </row>
    <row r="3791" spans="1:19" ht="28" x14ac:dyDescent="0.15">
      <c r="A3791" s="2">
        <f>HYPERLINK("https://open-school.uspishnemisto.com.ua/school/180702/", 180702)</f>
        <v>180702</v>
      </c>
      <c r="B3791" s="3" t="s">
        <v>19868</v>
      </c>
      <c r="C3791" s="3" t="s">
        <v>2128</v>
      </c>
      <c r="D3791" s="3" t="s">
        <v>32</v>
      </c>
      <c r="E3791" s="4" t="s">
        <v>22</v>
      </c>
      <c r="F3791" s="4" t="s">
        <v>19869</v>
      </c>
      <c r="G3791" s="4" t="s">
        <v>19870</v>
      </c>
      <c r="H3791" s="3" t="s">
        <v>16292</v>
      </c>
      <c r="I3791" s="3" t="s">
        <v>19871</v>
      </c>
      <c r="J3791" s="3" t="s">
        <v>466</v>
      </c>
      <c r="K3791" s="3"/>
      <c r="L3791" s="3"/>
      <c r="M3791" s="4"/>
      <c r="N3791" s="3" t="s">
        <v>37</v>
      </c>
      <c r="O3791" s="3" t="s">
        <v>38</v>
      </c>
      <c r="P3791" s="5">
        <v>10</v>
      </c>
      <c r="Q3791" s="5">
        <v>82</v>
      </c>
      <c r="R3791" s="5">
        <v>11</v>
      </c>
      <c r="S3791" s="5">
        <v>84</v>
      </c>
    </row>
    <row r="3792" spans="1:19" ht="28" x14ac:dyDescent="0.15">
      <c r="A3792" s="2">
        <f>HYPERLINK("https://open-school.uspishnemisto.com.ua/school/180703/", 180703)</f>
        <v>180703</v>
      </c>
      <c r="B3792" s="3" t="s">
        <v>19872</v>
      </c>
      <c r="C3792" s="3" t="s">
        <v>31</v>
      </c>
      <c r="D3792" s="3" t="s">
        <v>32</v>
      </c>
      <c r="E3792" s="4" t="s">
        <v>22</v>
      </c>
      <c r="F3792" s="4" t="s">
        <v>19873</v>
      </c>
      <c r="G3792" s="4" t="s">
        <v>19874</v>
      </c>
      <c r="H3792" s="3" t="s">
        <v>16292</v>
      </c>
      <c r="I3792" s="3" t="s">
        <v>19875</v>
      </c>
      <c r="J3792" s="3" t="s">
        <v>19876</v>
      </c>
      <c r="K3792" s="3" t="s">
        <v>19877</v>
      </c>
      <c r="L3792" s="3"/>
      <c r="M3792" s="4"/>
      <c r="N3792" s="3" t="s">
        <v>37</v>
      </c>
      <c r="O3792" s="3" t="s">
        <v>52</v>
      </c>
      <c r="P3792" s="5">
        <v>11</v>
      </c>
      <c r="Q3792" s="5">
        <v>112</v>
      </c>
      <c r="R3792" s="5">
        <v>11</v>
      </c>
      <c r="S3792" s="5">
        <v>101</v>
      </c>
    </row>
    <row r="3793" spans="1:19" ht="28" x14ac:dyDescent="0.15">
      <c r="A3793" s="2">
        <f>HYPERLINK("https://open-school.uspishnemisto.com.ua/school/180704/", 180704)</f>
        <v>180704</v>
      </c>
      <c r="B3793" s="3" t="s">
        <v>19878</v>
      </c>
      <c r="C3793" s="3" t="s">
        <v>188</v>
      </c>
      <c r="D3793" s="3" t="s">
        <v>32</v>
      </c>
      <c r="E3793" s="4" t="s">
        <v>22</v>
      </c>
      <c r="F3793" s="4" t="s">
        <v>19879</v>
      </c>
      <c r="G3793" s="4" t="s">
        <v>19880</v>
      </c>
      <c r="H3793" s="3" t="s">
        <v>16292</v>
      </c>
      <c r="I3793" s="3" t="s">
        <v>19881</v>
      </c>
      <c r="J3793" s="3" t="s">
        <v>19882</v>
      </c>
      <c r="K3793" s="3" t="s">
        <v>19883</v>
      </c>
      <c r="L3793" s="3" t="s">
        <v>19884</v>
      </c>
      <c r="M3793" s="4"/>
      <c r="N3793" s="3" t="s">
        <v>37</v>
      </c>
      <c r="O3793" s="3" t="s">
        <v>52</v>
      </c>
      <c r="P3793" s="5">
        <v>11</v>
      </c>
      <c r="Q3793" s="5">
        <v>71</v>
      </c>
      <c r="R3793" s="5">
        <v>11</v>
      </c>
      <c r="S3793" s="5">
        <v>77</v>
      </c>
    </row>
    <row r="3794" spans="1:19" ht="28" x14ac:dyDescent="0.15">
      <c r="A3794" s="2">
        <f>HYPERLINK("https://open-school.uspishnemisto.com.ua/school/180705/", 180705)</f>
        <v>180705</v>
      </c>
      <c r="B3794" s="3" t="s">
        <v>19885</v>
      </c>
      <c r="C3794" s="3" t="s">
        <v>31</v>
      </c>
      <c r="D3794" s="3" t="s">
        <v>175</v>
      </c>
      <c r="E3794" s="4" t="s">
        <v>22</v>
      </c>
      <c r="F3794" s="4" t="s">
        <v>19886</v>
      </c>
      <c r="G3794" s="4" t="s">
        <v>19887</v>
      </c>
      <c r="H3794" s="3" t="s">
        <v>16292</v>
      </c>
      <c r="I3794" s="3" t="s">
        <v>19888</v>
      </c>
      <c r="J3794" s="3" t="s">
        <v>19889</v>
      </c>
      <c r="K3794" s="3" t="s">
        <v>19890</v>
      </c>
      <c r="L3794" s="3"/>
      <c r="M3794" s="4"/>
      <c r="N3794" s="3" t="s">
        <v>37</v>
      </c>
      <c r="O3794" s="3" t="s">
        <v>52</v>
      </c>
      <c r="P3794" s="5">
        <v>2</v>
      </c>
      <c r="Q3794" s="5">
        <v>25</v>
      </c>
      <c r="R3794" s="5">
        <v>2</v>
      </c>
      <c r="S3794" s="5">
        <v>26</v>
      </c>
    </row>
    <row r="3795" spans="1:19" ht="28" x14ac:dyDescent="0.15">
      <c r="A3795" s="2">
        <f>HYPERLINK("https://open-school.uspishnemisto.com.ua/school/180706/", 180706)</f>
        <v>180706</v>
      </c>
      <c r="B3795" s="3" t="s">
        <v>19891</v>
      </c>
      <c r="C3795" s="3" t="s">
        <v>31</v>
      </c>
      <c r="D3795" s="3" t="s">
        <v>32</v>
      </c>
      <c r="E3795" s="4" t="s">
        <v>22</v>
      </c>
      <c r="F3795" s="4" t="s">
        <v>19892</v>
      </c>
      <c r="G3795" s="4" t="s">
        <v>19893</v>
      </c>
      <c r="H3795" s="3" t="s">
        <v>16292</v>
      </c>
      <c r="I3795" s="3" t="s">
        <v>19894</v>
      </c>
      <c r="J3795" s="3" t="s">
        <v>2085</v>
      </c>
      <c r="K3795" s="3" t="s">
        <v>19895</v>
      </c>
      <c r="L3795" s="3" t="s">
        <v>19896</v>
      </c>
      <c r="M3795" s="4"/>
      <c r="N3795" s="3" t="s">
        <v>37</v>
      </c>
      <c r="O3795" s="3" t="s">
        <v>38</v>
      </c>
      <c r="P3795" s="5">
        <v>11</v>
      </c>
      <c r="Q3795" s="5">
        <v>173</v>
      </c>
      <c r="R3795" s="5">
        <v>11</v>
      </c>
      <c r="S3795" s="5">
        <v>158</v>
      </c>
    </row>
    <row r="3796" spans="1:19" ht="28" x14ac:dyDescent="0.15">
      <c r="A3796" s="2">
        <f>HYPERLINK("https://open-school.uspishnemisto.com.ua/school/180707/", 180707)</f>
        <v>180707</v>
      </c>
      <c r="B3796" s="3" t="s">
        <v>19897</v>
      </c>
      <c r="C3796" s="3" t="s">
        <v>31</v>
      </c>
      <c r="D3796" s="3" t="s">
        <v>60</v>
      </c>
      <c r="E3796" s="4" t="s">
        <v>22</v>
      </c>
      <c r="F3796" s="4" t="s">
        <v>19898</v>
      </c>
      <c r="G3796" s="4" t="s">
        <v>19899</v>
      </c>
      <c r="H3796" s="3" t="s">
        <v>16292</v>
      </c>
      <c r="I3796" s="3" t="s">
        <v>19900</v>
      </c>
      <c r="J3796" s="3" t="s">
        <v>19901</v>
      </c>
      <c r="K3796" s="3" t="s">
        <v>19902</v>
      </c>
      <c r="L3796" s="3"/>
      <c r="M3796" s="4"/>
      <c r="N3796" s="3" t="s">
        <v>37</v>
      </c>
      <c r="O3796" s="3" t="s">
        <v>52</v>
      </c>
      <c r="P3796" s="5">
        <v>0</v>
      </c>
      <c r="Q3796" s="5">
        <v>3</v>
      </c>
      <c r="R3796" s="5">
        <v>0</v>
      </c>
      <c r="S3796" s="5">
        <v>8</v>
      </c>
    </row>
    <row r="3797" spans="1:19" ht="28" x14ac:dyDescent="0.15">
      <c r="A3797" s="2">
        <f>HYPERLINK("https://open-school.uspishnemisto.com.ua/school/180708/", 180708)</f>
        <v>180708</v>
      </c>
      <c r="B3797" s="3" t="s">
        <v>19903</v>
      </c>
      <c r="C3797" s="3" t="s">
        <v>31</v>
      </c>
      <c r="D3797" s="3" t="s">
        <v>32</v>
      </c>
      <c r="E3797" s="4" t="s">
        <v>22</v>
      </c>
      <c r="F3797" s="4"/>
      <c r="G3797" s="4" t="s">
        <v>19904</v>
      </c>
      <c r="H3797" s="3" t="s">
        <v>16292</v>
      </c>
      <c r="I3797" s="3" t="s">
        <v>19905</v>
      </c>
      <c r="J3797" s="3"/>
      <c r="K3797" s="3" t="s">
        <v>19906</v>
      </c>
      <c r="L3797" s="3"/>
      <c r="M3797" s="4"/>
      <c r="N3797" s="3" t="s">
        <v>37</v>
      </c>
      <c r="O3797" s="3" t="s">
        <v>52</v>
      </c>
      <c r="P3797" s="5">
        <v>1</v>
      </c>
      <c r="Q3797" s="5">
        <v>28</v>
      </c>
      <c r="R3797" s="5">
        <v>3</v>
      </c>
      <c r="S3797" s="5">
        <v>31</v>
      </c>
    </row>
    <row r="3798" spans="1:19" ht="28" x14ac:dyDescent="0.15">
      <c r="A3798" s="2">
        <f>HYPERLINK("https://open-school.uspishnemisto.com.ua/school/180709/", 180709)</f>
        <v>180709</v>
      </c>
      <c r="B3798" s="3" t="s">
        <v>19907</v>
      </c>
      <c r="C3798" s="3" t="s">
        <v>31</v>
      </c>
      <c r="D3798" s="3" t="s">
        <v>175</v>
      </c>
      <c r="E3798" s="4" t="s">
        <v>22</v>
      </c>
      <c r="F3798" s="4" t="s">
        <v>19908</v>
      </c>
      <c r="G3798" s="4" t="s">
        <v>19909</v>
      </c>
      <c r="H3798" s="3" t="s">
        <v>16292</v>
      </c>
      <c r="I3798" s="3" t="s">
        <v>8386</v>
      </c>
      <c r="J3798" s="3" t="s">
        <v>2052</v>
      </c>
      <c r="K3798" s="3" t="s">
        <v>19910</v>
      </c>
      <c r="L3798" s="3"/>
      <c r="M3798" s="4"/>
      <c r="N3798" s="3" t="s">
        <v>37</v>
      </c>
      <c r="O3798" s="3" t="s">
        <v>70</v>
      </c>
      <c r="P3798" s="5">
        <v>1</v>
      </c>
      <c r="Q3798" s="5">
        <v>29</v>
      </c>
      <c r="R3798" s="5">
        <v>2</v>
      </c>
      <c r="S3798" s="5">
        <v>31</v>
      </c>
    </row>
    <row r="3799" spans="1:19" ht="28" x14ac:dyDescent="0.15">
      <c r="A3799" s="2">
        <f>HYPERLINK("https://open-school.uspishnemisto.com.ua/school/180710/", 180710)</f>
        <v>180710</v>
      </c>
      <c r="B3799" s="3" t="s">
        <v>19911</v>
      </c>
      <c r="C3799" s="3" t="s">
        <v>188</v>
      </c>
      <c r="D3799" s="3" t="s">
        <v>32</v>
      </c>
      <c r="E3799" s="4" t="s">
        <v>22</v>
      </c>
      <c r="F3799" s="4" t="s">
        <v>19873</v>
      </c>
      <c r="G3799" s="4" t="s">
        <v>19912</v>
      </c>
      <c r="H3799" s="3" t="s">
        <v>16292</v>
      </c>
      <c r="I3799" s="3" t="s">
        <v>19913</v>
      </c>
      <c r="J3799" s="3" t="s">
        <v>19914</v>
      </c>
      <c r="K3799" s="3" t="s">
        <v>19915</v>
      </c>
      <c r="L3799" s="3"/>
      <c r="M3799" s="4"/>
      <c r="N3799" s="3" t="s">
        <v>37</v>
      </c>
      <c r="O3799" s="3" t="s">
        <v>52</v>
      </c>
      <c r="P3799" s="5">
        <v>11</v>
      </c>
      <c r="Q3799" s="5">
        <v>120</v>
      </c>
      <c r="R3799" s="5">
        <v>11</v>
      </c>
      <c r="S3799" s="5">
        <v>125</v>
      </c>
    </row>
    <row r="3800" spans="1:19" ht="28" x14ac:dyDescent="0.15">
      <c r="A3800" s="2">
        <f>HYPERLINK("https://open-school.uspishnemisto.com.ua/school/180711/", 180711)</f>
        <v>180711</v>
      </c>
      <c r="B3800" s="3" t="s">
        <v>19916</v>
      </c>
      <c r="C3800" s="3" t="s">
        <v>31</v>
      </c>
      <c r="D3800" s="3" t="s">
        <v>175</v>
      </c>
      <c r="E3800" s="4" t="s">
        <v>22</v>
      </c>
      <c r="F3800" s="4" t="s">
        <v>19917</v>
      </c>
      <c r="G3800" s="4" t="s">
        <v>19918</v>
      </c>
      <c r="H3800" s="3" t="s">
        <v>16292</v>
      </c>
      <c r="I3800" s="3" t="s">
        <v>19919</v>
      </c>
      <c r="J3800" s="3" t="s">
        <v>2411</v>
      </c>
      <c r="K3800" s="3"/>
      <c r="L3800" s="3"/>
      <c r="M3800" s="4"/>
      <c r="N3800" s="3" t="s">
        <v>37</v>
      </c>
      <c r="O3800" s="3" t="s">
        <v>52</v>
      </c>
      <c r="P3800" s="5">
        <v>6</v>
      </c>
      <c r="Q3800" s="5">
        <v>53</v>
      </c>
      <c r="R3800" s="5">
        <v>6</v>
      </c>
      <c r="S3800" s="5">
        <v>55</v>
      </c>
    </row>
    <row r="3801" spans="1:19" ht="28" x14ac:dyDescent="0.15">
      <c r="A3801" s="2">
        <f>HYPERLINK("https://open-school.uspishnemisto.com.ua/school/180712/", 180712)</f>
        <v>180712</v>
      </c>
      <c r="B3801" s="3" t="s">
        <v>19920</v>
      </c>
      <c r="C3801" s="3" t="s">
        <v>188</v>
      </c>
      <c r="D3801" s="3" t="s">
        <v>32</v>
      </c>
      <c r="E3801" s="4" t="s">
        <v>22</v>
      </c>
      <c r="F3801" s="4" t="s">
        <v>19921</v>
      </c>
      <c r="G3801" s="4" t="s">
        <v>19922</v>
      </c>
      <c r="H3801" s="3" t="s">
        <v>16292</v>
      </c>
      <c r="I3801" s="3" t="s">
        <v>19923</v>
      </c>
      <c r="J3801" s="3" t="s">
        <v>19876</v>
      </c>
      <c r="K3801" s="3" t="s">
        <v>19924</v>
      </c>
      <c r="L3801" s="3"/>
      <c r="M3801" s="4"/>
      <c r="N3801" s="3" t="s">
        <v>37</v>
      </c>
      <c r="O3801" s="3" t="s">
        <v>52</v>
      </c>
      <c r="P3801" s="5">
        <v>11</v>
      </c>
      <c r="Q3801" s="5">
        <v>163</v>
      </c>
      <c r="R3801" s="5">
        <v>11</v>
      </c>
      <c r="S3801" s="5">
        <v>163</v>
      </c>
    </row>
    <row r="3802" spans="1:19" ht="28" x14ac:dyDescent="0.15">
      <c r="A3802" s="2">
        <f>HYPERLINK("https://open-school.uspishnemisto.com.ua/school/180713/", 180713)</f>
        <v>180713</v>
      </c>
      <c r="B3802" s="3" t="s">
        <v>19925</v>
      </c>
      <c r="C3802" s="3" t="s">
        <v>31</v>
      </c>
      <c r="D3802" s="3" t="s">
        <v>175</v>
      </c>
      <c r="E3802" s="4" t="s">
        <v>22</v>
      </c>
      <c r="F3802" s="4" t="s">
        <v>19926</v>
      </c>
      <c r="G3802" s="4" t="s">
        <v>19927</v>
      </c>
      <c r="H3802" s="3" t="s">
        <v>16292</v>
      </c>
      <c r="I3802" s="3" t="s">
        <v>19928</v>
      </c>
      <c r="J3802" s="3" t="s">
        <v>19929</v>
      </c>
      <c r="K3802" s="3" t="s">
        <v>19930</v>
      </c>
      <c r="L3802" s="3"/>
      <c r="M3802" s="4"/>
      <c r="N3802" s="3" t="s">
        <v>37</v>
      </c>
      <c r="O3802" s="3" t="s">
        <v>38</v>
      </c>
      <c r="P3802" s="5">
        <v>6</v>
      </c>
      <c r="Q3802" s="5">
        <v>50</v>
      </c>
      <c r="R3802" s="5">
        <v>5</v>
      </c>
      <c r="S3802" s="5">
        <v>45</v>
      </c>
    </row>
    <row r="3803" spans="1:19" ht="28" x14ac:dyDescent="0.15">
      <c r="A3803" s="2">
        <f>HYPERLINK("https://open-school.uspishnemisto.com.ua/school/180714/", 180714)</f>
        <v>180714</v>
      </c>
      <c r="B3803" s="3" t="s">
        <v>19931</v>
      </c>
      <c r="C3803" s="3" t="s">
        <v>40</v>
      </c>
      <c r="D3803" s="3" t="s">
        <v>32</v>
      </c>
      <c r="E3803" s="4" t="s">
        <v>22</v>
      </c>
      <c r="F3803" s="4" t="s">
        <v>19932</v>
      </c>
      <c r="G3803" s="4" t="s">
        <v>19933</v>
      </c>
      <c r="H3803" s="3" t="s">
        <v>16292</v>
      </c>
      <c r="I3803" s="3" t="s">
        <v>19934</v>
      </c>
      <c r="J3803" s="3" t="s">
        <v>903</v>
      </c>
      <c r="K3803" s="3" t="s">
        <v>19935</v>
      </c>
      <c r="L3803" s="3"/>
      <c r="M3803" s="4"/>
      <c r="N3803" s="3" t="s">
        <v>37</v>
      </c>
      <c r="O3803" s="3" t="s">
        <v>70</v>
      </c>
      <c r="P3803" s="5">
        <v>29</v>
      </c>
      <c r="Q3803" s="5">
        <v>638</v>
      </c>
      <c r="R3803" s="5">
        <v>29</v>
      </c>
      <c r="S3803" s="5">
        <v>644</v>
      </c>
    </row>
    <row r="3804" spans="1:19" ht="28" x14ac:dyDescent="0.15">
      <c r="A3804" s="2">
        <f>HYPERLINK("https://open-school.uspishnemisto.com.ua/school/180715/", 180715)</f>
        <v>180715</v>
      </c>
      <c r="B3804" s="3" t="s">
        <v>19936</v>
      </c>
      <c r="C3804" s="3" t="s">
        <v>31</v>
      </c>
      <c r="D3804" s="3" t="s">
        <v>32</v>
      </c>
      <c r="E3804" s="4" t="s">
        <v>22</v>
      </c>
      <c r="F3804" s="4" t="s">
        <v>19932</v>
      </c>
      <c r="G3804" s="4" t="s">
        <v>19933</v>
      </c>
      <c r="H3804" s="3" t="s">
        <v>16292</v>
      </c>
      <c r="I3804" s="3" t="s">
        <v>19934</v>
      </c>
      <c r="J3804" s="3" t="s">
        <v>19937</v>
      </c>
      <c r="K3804" s="3" t="s">
        <v>19938</v>
      </c>
      <c r="L3804" s="3"/>
      <c r="M3804" s="4"/>
      <c r="N3804" s="3" t="s">
        <v>37</v>
      </c>
      <c r="O3804" s="3" t="s">
        <v>38</v>
      </c>
      <c r="P3804" s="5">
        <v>11</v>
      </c>
      <c r="Q3804" s="5">
        <v>151</v>
      </c>
      <c r="R3804" s="5">
        <v>11</v>
      </c>
      <c r="S3804" s="5">
        <v>145</v>
      </c>
    </row>
    <row r="3805" spans="1:19" ht="28" x14ac:dyDescent="0.15">
      <c r="A3805" s="2">
        <f>HYPERLINK("https://open-school.uspishnemisto.com.ua/school/180716/", 180716)</f>
        <v>180716</v>
      </c>
      <c r="B3805" s="3" t="s">
        <v>19939</v>
      </c>
      <c r="C3805" s="3" t="s">
        <v>31</v>
      </c>
      <c r="D3805" s="3" t="s">
        <v>32</v>
      </c>
      <c r="E3805" s="4" t="s">
        <v>22</v>
      </c>
      <c r="F3805" s="4" t="s">
        <v>19940</v>
      </c>
      <c r="G3805" s="4" t="s">
        <v>19941</v>
      </c>
      <c r="H3805" s="3" t="s">
        <v>16292</v>
      </c>
      <c r="I3805" s="3" t="s">
        <v>19942</v>
      </c>
      <c r="J3805" s="3" t="s">
        <v>19943</v>
      </c>
      <c r="K3805" s="3" t="s">
        <v>19944</v>
      </c>
      <c r="L3805" s="3" t="s">
        <v>19945</v>
      </c>
      <c r="M3805" s="4"/>
      <c r="N3805" s="3" t="s">
        <v>37</v>
      </c>
      <c r="O3805" s="3" t="s">
        <v>38</v>
      </c>
      <c r="P3805" s="5">
        <v>10</v>
      </c>
      <c r="Q3805" s="5">
        <v>171</v>
      </c>
      <c r="R3805" s="5">
        <v>11</v>
      </c>
      <c r="S3805" s="5">
        <v>184</v>
      </c>
    </row>
    <row r="3806" spans="1:19" ht="42" x14ac:dyDescent="0.15">
      <c r="A3806" s="2">
        <f>HYPERLINK("https://open-school.uspishnemisto.com.ua/school/180717/", 180717)</f>
        <v>180717</v>
      </c>
      <c r="B3806" s="3" t="s">
        <v>19946</v>
      </c>
      <c r="C3806" s="3" t="s">
        <v>31</v>
      </c>
      <c r="D3806" s="3" t="s">
        <v>32</v>
      </c>
      <c r="E3806" s="4" t="s">
        <v>22</v>
      </c>
      <c r="F3806" s="4" t="s">
        <v>19947</v>
      </c>
      <c r="G3806" s="4" t="s">
        <v>19948</v>
      </c>
      <c r="H3806" s="3" t="s">
        <v>16292</v>
      </c>
      <c r="I3806" s="3" t="s">
        <v>19949</v>
      </c>
      <c r="J3806" s="3" t="s">
        <v>19950</v>
      </c>
      <c r="K3806" s="3" t="s">
        <v>19951</v>
      </c>
      <c r="L3806" s="3"/>
      <c r="M3806" s="4"/>
      <c r="N3806" s="3" t="s">
        <v>37</v>
      </c>
      <c r="O3806" s="3" t="s">
        <v>46</v>
      </c>
      <c r="P3806" s="5">
        <v>11</v>
      </c>
      <c r="Q3806" s="5">
        <v>202</v>
      </c>
      <c r="R3806" s="5">
        <v>11</v>
      </c>
      <c r="S3806" s="5">
        <v>202</v>
      </c>
    </row>
    <row r="3807" spans="1:19" ht="28" x14ac:dyDescent="0.15">
      <c r="A3807" s="2">
        <f>HYPERLINK("https://open-school.uspishnemisto.com.ua/school/180718/", 180718)</f>
        <v>180718</v>
      </c>
      <c r="B3807" s="3" t="s">
        <v>19952</v>
      </c>
      <c r="C3807" s="3" t="s">
        <v>40</v>
      </c>
      <c r="D3807" s="3" t="s">
        <v>32</v>
      </c>
      <c r="E3807" s="4" t="s">
        <v>22</v>
      </c>
      <c r="F3807" s="4" t="s">
        <v>19953</v>
      </c>
      <c r="G3807" s="4" t="s">
        <v>19954</v>
      </c>
      <c r="H3807" s="3" t="s">
        <v>16292</v>
      </c>
      <c r="I3807" s="3" t="s">
        <v>2439</v>
      </c>
      <c r="J3807" s="3" t="s">
        <v>19955</v>
      </c>
      <c r="K3807" s="3" t="s">
        <v>19956</v>
      </c>
      <c r="L3807" s="3"/>
      <c r="M3807" s="4"/>
      <c r="N3807" s="3" t="s">
        <v>37</v>
      </c>
      <c r="O3807" s="3" t="s">
        <v>52</v>
      </c>
      <c r="P3807" s="5">
        <v>18</v>
      </c>
      <c r="Q3807" s="5">
        <v>326</v>
      </c>
      <c r="R3807" s="5">
        <v>19</v>
      </c>
      <c r="S3807" s="5">
        <v>345</v>
      </c>
    </row>
    <row r="3808" spans="1:19" ht="42" x14ac:dyDescent="0.15">
      <c r="A3808" s="2">
        <f>HYPERLINK("https://open-school.uspishnemisto.com.ua/school/180719/", 180719)</f>
        <v>180719</v>
      </c>
      <c r="B3808" s="3" t="s">
        <v>19957</v>
      </c>
      <c r="C3808" s="3" t="s">
        <v>31</v>
      </c>
      <c r="D3808" s="3" t="s">
        <v>175</v>
      </c>
      <c r="E3808" s="4" t="s">
        <v>22</v>
      </c>
      <c r="F3808" s="4" t="s">
        <v>19958</v>
      </c>
      <c r="G3808" s="4" t="s">
        <v>19959</v>
      </c>
      <c r="H3808" s="3" t="s">
        <v>16292</v>
      </c>
      <c r="I3808" s="3" t="s">
        <v>19960</v>
      </c>
      <c r="J3808" s="3" t="s">
        <v>1719</v>
      </c>
      <c r="K3808" s="3" t="s">
        <v>19961</v>
      </c>
      <c r="L3808" s="3"/>
      <c r="M3808" s="4"/>
      <c r="N3808" s="3" t="s">
        <v>37</v>
      </c>
      <c r="O3808" s="3" t="s">
        <v>70</v>
      </c>
      <c r="P3808" s="5">
        <v>6</v>
      </c>
      <c r="Q3808" s="5">
        <v>52</v>
      </c>
      <c r="R3808" s="5">
        <v>5</v>
      </c>
      <c r="S3808" s="5">
        <v>52</v>
      </c>
    </row>
    <row r="3809" spans="1:19" ht="28" x14ac:dyDescent="0.15">
      <c r="A3809" s="2">
        <f>HYPERLINK("https://open-school.uspishnemisto.com.ua/school/180722/", 180722)</f>
        <v>180722</v>
      </c>
      <c r="B3809" s="3" t="s">
        <v>19962</v>
      </c>
      <c r="C3809" s="3" t="s">
        <v>31</v>
      </c>
      <c r="D3809" s="3" t="s">
        <v>32</v>
      </c>
      <c r="E3809" s="4" t="s">
        <v>22</v>
      </c>
      <c r="F3809" s="4" t="s">
        <v>19963</v>
      </c>
      <c r="G3809" s="4" t="s">
        <v>19964</v>
      </c>
      <c r="H3809" s="3" t="s">
        <v>16292</v>
      </c>
      <c r="I3809" s="3" t="s">
        <v>19965</v>
      </c>
      <c r="J3809" s="3" t="s">
        <v>19966</v>
      </c>
      <c r="K3809" s="3" t="s">
        <v>19967</v>
      </c>
      <c r="L3809" s="3"/>
      <c r="M3809" s="4"/>
      <c r="N3809" s="3" t="s">
        <v>37</v>
      </c>
      <c r="O3809" s="3" t="s">
        <v>38</v>
      </c>
      <c r="P3809" s="5">
        <v>9</v>
      </c>
      <c r="Q3809" s="5">
        <v>81</v>
      </c>
      <c r="R3809" s="5">
        <v>10</v>
      </c>
      <c r="S3809" s="5">
        <v>81</v>
      </c>
    </row>
    <row r="3810" spans="1:19" ht="28" x14ac:dyDescent="0.15">
      <c r="A3810" s="2">
        <f>HYPERLINK("https://open-school.uspishnemisto.com.ua/school/180723/", 180723)</f>
        <v>180723</v>
      </c>
      <c r="B3810" s="3" t="s">
        <v>19968</v>
      </c>
      <c r="C3810" s="3" t="s">
        <v>31</v>
      </c>
      <c r="D3810" s="3" t="s">
        <v>32</v>
      </c>
      <c r="E3810" s="4" t="s">
        <v>22</v>
      </c>
      <c r="F3810" s="4" t="s">
        <v>19969</v>
      </c>
      <c r="G3810" s="4" t="s">
        <v>19970</v>
      </c>
      <c r="H3810" s="3" t="s">
        <v>16292</v>
      </c>
      <c r="I3810" s="3" t="s">
        <v>19971</v>
      </c>
      <c r="J3810" s="3" t="s">
        <v>19972</v>
      </c>
      <c r="K3810" s="3" t="s">
        <v>19973</v>
      </c>
      <c r="L3810" s="3"/>
      <c r="M3810" s="4"/>
      <c r="N3810" s="3" t="s">
        <v>37</v>
      </c>
      <c r="O3810" s="3" t="s">
        <v>38</v>
      </c>
      <c r="P3810" s="5">
        <v>9</v>
      </c>
      <c r="Q3810" s="5">
        <v>82</v>
      </c>
      <c r="R3810" s="5">
        <v>8</v>
      </c>
      <c r="S3810" s="5">
        <v>68</v>
      </c>
    </row>
    <row r="3811" spans="1:19" ht="28" x14ac:dyDescent="0.15">
      <c r="A3811" s="2">
        <f>HYPERLINK("https://open-school.uspishnemisto.com.ua/school/180724/", 180724)</f>
        <v>180724</v>
      </c>
      <c r="B3811" s="3" t="s">
        <v>19974</v>
      </c>
      <c r="C3811" s="3" t="s">
        <v>31</v>
      </c>
      <c r="D3811" s="3" t="s">
        <v>175</v>
      </c>
      <c r="E3811" s="4" t="s">
        <v>22</v>
      </c>
      <c r="F3811" s="4" t="s">
        <v>19975</v>
      </c>
      <c r="G3811" s="4" t="s">
        <v>19976</v>
      </c>
      <c r="H3811" s="3" t="s">
        <v>16292</v>
      </c>
      <c r="I3811" s="3" t="s">
        <v>6148</v>
      </c>
      <c r="J3811" s="3" t="s">
        <v>19977</v>
      </c>
      <c r="K3811" s="3" t="s">
        <v>19978</v>
      </c>
      <c r="L3811" s="3"/>
      <c r="M3811" s="4"/>
      <c r="N3811" s="3" t="s">
        <v>37</v>
      </c>
      <c r="O3811" s="3" t="s">
        <v>46</v>
      </c>
      <c r="P3811" s="5">
        <v>8</v>
      </c>
      <c r="Q3811" s="5">
        <v>72</v>
      </c>
      <c r="R3811" s="5">
        <v>8</v>
      </c>
      <c r="S3811" s="5">
        <v>68</v>
      </c>
    </row>
    <row r="3812" spans="1:19" ht="28" x14ac:dyDescent="0.15">
      <c r="A3812" s="2">
        <f>HYPERLINK("https://open-school.uspishnemisto.com.ua/school/180725/", 180725)</f>
        <v>180725</v>
      </c>
      <c r="B3812" s="3" t="s">
        <v>19979</v>
      </c>
      <c r="C3812" s="3" t="s">
        <v>31</v>
      </c>
      <c r="D3812" s="3" t="s">
        <v>32</v>
      </c>
      <c r="E3812" s="4" t="s">
        <v>22</v>
      </c>
      <c r="F3812" s="4" t="s">
        <v>19980</v>
      </c>
      <c r="G3812" s="4" t="s">
        <v>19981</v>
      </c>
      <c r="H3812" s="3" t="s">
        <v>16292</v>
      </c>
      <c r="I3812" s="3" t="s">
        <v>19982</v>
      </c>
      <c r="J3812" s="3" t="s">
        <v>19983</v>
      </c>
      <c r="K3812" s="3"/>
      <c r="L3812" s="3"/>
      <c r="M3812" s="4"/>
      <c r="N3812" s="3" t="s">
        <v>37</v>
      </c>
      <c r="O3812" s="3" t="s">
        <v>70</v>
      </c>
      <c r="P3812" s="5">
        <v>11</v>
      </c>
      <c r="Q3812" s="5">
        <v>88</v>
      </c>
      <c r="R3812" s="5">
        <v>8</v>
      </c>
      <c r="S3812" s="5">
        <v>75</v>
      </c>
    </row>
    <row r="3813" spans="1:19" ht="28" x14ac:dyDescent="0.15">
      <c r="A3813" s="2">
        <f>HYPERLINK("https://open-school.uspishnemisto.com.ua/school/180726/", 180726)</f>
        <v>180726</v>
      </c>
      <c r="B3813" s="3" t="s">
        <v>19984</v>
      </c>
      <c r="C3813" s="3" t="s">
        <v>31</v>
      </c>
      <c r="D3813" s="3" t="s">
        <v>32</v>
      </c>
      <c r="E3813" s="4" t="s">
        <v>22</v>
      </c>
      <c r="F3813" s="4" t="s">
        <v>19985</v>
      </c>
      <c r="G3813" s="4" t="s">
        <v>19986</v>
      </c>
      <c r="H3813" s="3" t="s">
        <v>16292</v>
      </c>
      <c r="I3813" s="3" t="s">
        <v>19987</v>
      </c>
      <c r="J3813" s="3" t="s">
        <v>2826</v>
      </c>
      <c r="K3813" s="3" t="s">
        <v>19988</v>
      </c>
      <c r="L3813" s="3"/>
      <c r="M3813" s="4"/>
      <c r="N3813" s="3" t="s">
        <v>37</v>
      </c>
      <c r="O3813" s="3" t="s">
        <v>38</v>
      </c>
      <c r="P3813" s="5">
        <v>11</v>
      </c>
      <c r="Q3813" s="5">
        <v>149</v>
      </c>
      <c r="R3813" s="5">
        <v>10</v>
      </c>
      <c r="S3813" s="5">
        <v>145</v>
      </c>
    </row>
    <row r="3814" spans="1:19" ht="28" x14ac:dyDescent="0.15">
      <c r="A3814" s="2">
        <f>HYPERLINK("https://open-school.uspishnemisto.com.ua/school/180727/", 180727)</f>
        <v>180727</v>
      </c>
      <c r="B3814" s="3" t="s">
        <v>19989</v>
      </c>
      <c r="C3814" s="3" t="s">
        <v>31</v>
      </c>
      <c r="D3814" s="3" t="s">
        <v>175</v>
      </c>
      <c r="E3814" s="4" t="s">
        <v>22</v>
      </c>
      <c r="F3814" s="4" t="s">
        <v>19990</v>
      </c>
      <c r="G3814" s="4" t="s">
        <v>19991</v>
      </c>
      <c r="H3814" s="3" t="s">
        <v>16292</v>
      </c>
      <c r="I3814" s="3" t="s">
        <v>19992</v>
      </c>
      <c r="J3814" s="3" t="s">
        <v>19993</v>
      </c>
      <c r="K3814" s="3" t="s">
        <v>19994</v>
      </c>
      <c r="L3814" s="3"/>
      <c r="M3814" s="4"/>
      <c r="N3814" s="3" t="s">
        <v>37</v>
      </c>
      <c r="O3814" s="3" t="s">
        <v>70</v>
      </c>
      <c r="P3814" s="5">
        <v>7</v>
      </c>
      <c r="Q3814" s="5">
        <v>47</v>
      </c>
      <c r="R3814" s="5">
        <v>6</v>
      </c>
      <c r="S3814" s="5">
        <v>41</v>
      </c>
    </row>
    <row r="3815" spans="1:19" ht="28" x14ac:dyDescent="0.15">
      <c r="A3815" s="2">
        <f>HYPERLINK("https://open-school.uspishnemisto.com.ua/school/180728/", 180728)</f>
        <v>180728</v>
      </c>
      <c r="B3815" s="3" t="s">
        <v>19995</v>
      </c>
      <c r="C3815" s="3" t="s">
        <v>31</v>
      </c>
      <c r="D3815" s="3" t="s">
        <v>32</v>
      </c>
      <c r="E3815" s="4" t="s">
        <v>22</v>
      </c>
      <c r="F3815" s="4" t="s">
        <v>19996</v>
      </c>
      <c r="G3815" s="4" t="s">
        <v>19997</v>
      </c>
      <c r="H3815" s="3" t="s">
        <v>16292</v>
      </c>
      <c r="I3815" s="3" t="s">
        <v>19327</v>
      </c>
      <c r="J3815" s="3" t="s">
        <v>466</v>
      </c>
      <c r="K3815" s="3" t="s">
        <v>19998</v>
      </c>
      <c r="L3815" s="3"/>
      <c r="M3815" s="4"/>
      <c r="N3815" s="3" t="s">
        <v>37</v>
      </c>
      <c r="O3815" s="3" t="s">
        <v>38</v>
      </c>
      <c r="P3815" s="5">
        <v>4</v>
      </c>
      <c r="Q3815" s="5">
        <v>43</v>
      </c>
      <c r="R3815" s="5">
        <v>4</v>
      </c>
      <c r="S3815" s="5">
        <v>41</v>
      </c>
    </row>
    <row r="3816" spans="1:19" ht="42" x14ac:dyDescent="0.15">
      <c r="A3816" s="2">
        <f>HYPERLINK("https://open-school.uspishnemisto.com.ua/school/180729/", 180729)</f>
        <v>180729</v>
      </c>
      <c r="B3816" s="3" t="s">
        <v>19999</v>
      </c>
      <c r="C3816" s="3" t="s">
        <v>31</v>
      </c>
      <c r="D3816" s="3" t="s">
        <v>32</v>
      </c>
      <c r="E3816" s="4" t="s">
        <v>22</v>
      </c>
      <c r="F3816" s="4" t="s">
        <v>20000</v>
      </c>
      <c r="G3816" s="4" t="s">
        <v>20001</v>
      </c>
      <c r="H3816" s="3" t="s">
        <v>16292</v>
      </c>
      <c r="I3816" s="3" t="s">
        <v>20002</v>
      </c>
      <c r="J3816" s="3" t="s">
        <v>297</v>
      </c>
      <c r="K3816" s="3" t="s">
        <v>20003</v>
      </c>
      <c r="L3816" s="3"/>
      <c r="M3816" s="4"/>
      <c r="N3816" s="3" t="s">
        <v>37</v>
      </c>
      <c r="O3816" s="3" t="s">
        <v>38</v>
      </c>
      <c r="P3816" s="5">
        <v>11</v>
      </c>
      <c r="Q3816" s="5">
        <v>157</v>
      </c>
      <c r="R3816" s="5">
        <v>11</v>
      </c>
      <c r="S3816" s="5">
        <v>152</v>
      </c>
    </row>
    <row r="3817" spans="1:19" ht="28" x14ac:dyDescent="0.15">
      <c r="A3817" s="2">
        <f>HYPERLINK("https://open-school.uspishnemisto.com.ua/school/180730/", 180730)</f>
        <v>180730</v>
      </c>
      <c r="B3817" s="3" t="s">
        <v>20004</v>
      </c>
      <c r="C3817" s="3" t="s">
        <v>31</v>
      </c>
      <c r="D3817" s="3" t="s">
        <v>32</v>
      </c>
      <c r="E3817" s="4" t="s">
        <v>22</v>
      </c>
      <c r="F3817" s="4" t="s">
        <v>20005</v>
      </c>
      <c r="G3817" s="4" t="s">
        <v>20006</v>
      </c>
      <c r="H3817" s="3" t="s">
        <v>16292</v>
      </c>
      <c r="I3817" s="3" t="s">
        <v>656</v>
      </c>
      <c r="J3817" s="3" t="s">
        <v>2329</v>
      </c>
      <c r="K3817" s="3" t="s">
        <v>20007</v>
      </c>
      <c r="L3817" s="3"/>
      <c r="M3817" s="4"/>
      <c r="N3817" s="3" t="s">
        <v>37</v>
      </c>
      <c r="O3817" s="3" t="s">
        <v>38</v>
      </c>
      <c r="P3817" s="5">
        <v>7</v>
      </c>
      <c r="Q3817" s="5">
        <v>60</v>
      </c>
      <c r="R3817" s="5">
        <v>8</v>
      </c>
      <c r="S3817" s="5">
        <v>62</v>
      </c>
    </row>
    <row r="3818" spans="1:19" ht="28" x14ac:dyDescent="0.15">
      <c r="A3818" s="2">
        <f>HYPERLINK("https://open-school.uspishnemisto.com.ua/school/180731/", 180731)</f>
        <v>180731</v>
      </c>
      <c r="B3818" s="3" t="s">
        <v>20008</v>
      </c>
      <c r="C3818" s="3" t="s">
        <v>31</v>
      </c>
      <c r="D3818" s="3" t="s">
        <v>175</v>
      </c>
      <c r="E3818" s="4" t="s">
        <v>22</v>
      </c>
      <c r="F3818" s="4" t="s">
        <v>20009</v>
      </c>
      <c r="G3818" s="4" t="s">
        <v>20010</v>
      </c>
      <c r="H3818" s="3" t="s">
        <v>16292</v>
      </c>
      <c r="I3818" s="3" t="s">
        <v>20011</v>
      </c>
      <c r="J3818" s="3" t="s">
        <v>20012</v>
      </c>
      <c r="K3818" s="3" t="s">
        <v>20013</v>
      </c>
      <c r="L3818" s="3"/>
      <c r="M3818" s="4"/>
      <c r="N3818" s="3" t="s">
        <v>37</v>
      </c>
      <c r="O3818" s="3" t="s">
        <v>38</v>
      </c>
      <c r="P3818" s="5">
        <v>2</v>
      </c>
      <c r="Q3818" s="5">
        <v>26</v>
      </c>
      <c r="R3818" s="5">
        <v>2</v>
      </c>
      <c r="S3818" s="5">
        <v>27</v>
      </c>
    </row>
    <row r="3819" spans="1:19" ht="42" x14ac:dyDescent="0.15">
      <c r="A3819" s="2">
        <f>HYPERLINK("https://open-school.uspishnemisto.com.ua/school/180732/", 180732)</f>
        <v>180732</v>
      </c>
      <c r="B3819" s="3" t="s">
        <v>20014</v>
      </c>
      <c r="C3819" s="3" t="s">
        <v>31</v>
      </c>
      <c r="D3819" s="3" t="s">
        <v>175</v>
      </c>
      <c r="E3819" s="4" t="s">
        <v>22</v>
      </c>
      <c r="F3819" s="4" t="s">
        <v>20015</v>
      </c>
      <c r="G3819" s="4" t="s">
        <v>20016</v>
      </c>
      <c r="H3819" s="3" t="s">
        <v>16292</v>
      </c>
      <c r="I3819" s="3" t="s">
        <v>20017</v>
      </c>
      <c r="J3819" s="3" t="s">
        <v>11008</v>
      </c>
      <c r="K3819" s="3" t="s">
        <v>20018</v>
      </c>
      <c r="L3819" s="3"/>
      <c r="M3819" s="4"/>
      <c r="N3819" s="3" t="s">
        <v>37</v>
      </c>
      <c r="O3819" s="3" t="s">
        <v>38</v>
      </c>
      <c r="P3819" s="5">
        <v>9</v>
      </c>
      <c r="Q3819" s="5">
        <v>66</v>
      </c>
      <c r="R3819" s="5">
        <v>9</v>
      </c>
      <c r="S3819" s="5">
        <v>67</v>
      </c>
    </row>
    <row r="3820" spans="1:19" ht="42" x14ac:dyDescent="0.15">
      <c r="A3820" s="2">
        <f>HYPERLINK("https://open-school.uspishnemisto.com.ua/school/180733/", 180733)</f>
        <v>180733</v>
      </c>
      <c r="B3820" s="3" t="s">
        <v>20019</v>
      </c>
      <c r="C3820" s="3" t="s">
        <v>31</v>
      </c>
      <c r="D3820" s="3" t="s">
        <v>32</v>
      </c>
      <c r="E3820" s="4" t="s">
        <v>22</v>
      </c>
      <c r="F3820" s="4" t="s">
        <v>20020</v>
      </c>
      <c r="G3820" s="4" t="s">
        <v>20021</v>
      </c>
      <c r="H3820" s="3" t="s">
        <v>16292</v>
      </c>
      <c r="I3820" s="3" t="s">
        <v>20022</v>
      </c>
      <c r="J3820" s="3" t="s">
        <v>20023</v>
      </c>
      <c r="K3820" s="3" t="s">
        <v>20024</v>
      </c>
      <c r="L3820" s="3"/>
      <c r="M3820" s="4"/>
      <c r="N3820" s="3" t="s">
        <v>37</v>
      </c>
      <c r="O3820" s="3" t="s">
        <v>38</v>
      </c>
      <c r="P3820" s="5">
        <v>8</v>
      </c>
      <c r="Q3820" s="5">
        <v>87</v>
      </c>
      <c r="R3820" s="5">
        <v>9</v>
      </c>
      <c r="S3820" s="5">
        <v>85</v>
      </c>
    </row>
    <row r="3821" spans="1:19" ht="28" x14ac:dyDescent="0.15">
      <c r="A3821" s="2">
        <f>HYPERLINK("https://open-school.uspishnemisto.com.ua/school/180734/", 180734)</f>
        <v>180734</v>
      </c>
      <c r="B3821" s="3" t="s">
        <v>20025</v>
      </c>
      <c r="C3821" s="3" t="s">
        <v>31</v>
      </c>
      <c r="D3821" s="3" t="s">
        <v>32</v>
      </c>
      <c r="E3821" s="4" t="s">
        <v>22</v>
      </c>
      <c r="F3821" s="4" t="s">
        <v>20026</v>
      </c>
      <c r="G3821" s="4" t="s">
        <v>20027</v>
      </c>
      <c r="H3821" s="3" t="s">
        <v>16292</v>
      </c>
      <c r="I3821" s="3" t="s">
        <v>2079</v>
      </c>
      <c r="J3821" s="3" t="s">
        <v>2465</v>
      </c>
      <c r="K3821" s="3" t="s">
        <v>20028</v>
      </c>
      <c r="L3821" s="3"/>
      <c r="M3821" s="4"/>
      <c r="N3821" s="3" t="s">
        <v>37</v>
      </c>
      <c r="O3821" s="3" t="s">
        <v>70</v>
      </c>
      <c r="P3821" s="5">
        <v>12</v>
      </c>
      <c r="Q3821" s="5">
        <v>261</v>
      </c>
      <c r="R3821" s="5">
        <v>11</v>
      </c>
      <c r="S3821" s="5">
        <v>224</v>
      </c>
    </row>
    <row r="3822" spans="1:19" ht="28" x14ac:dyDescent="0.15">
      <c r="A3822" s="2">
        <f>HYPERLINK("https://open-school.uspishnemisto.com.ua/school/180735/", 180735)</f>
        <v>180735</v>
      </c>
      <c r="B3822" s="3" t="s">
        <v>20029</v>
      </c>
      <c r="C3822" s="3" t="s">
        <v>31</v>
      </c>
      <c r="D3822" s="3" t="s">
        <v>32</v>
      </c>
      <c r="E3822" s="4" t="s">
        <v>22</v>
      </c>
      <c r="F3822" s="4" t="s">
        <v>16974</v>
      </c>
      <c r="G3822" s="4" t="s">
        <v>20030</v>
      </c>
      <c r="H3822" s="3" t="s">
        <v>16292</v>
      </c>
      <c r="I3822" s="3" t="s">
        <v>20031</v>
      </c>
      <c r="J3822" s="3" t="s">
        <v>20032</v>
      </c>
      <c r="K3822" s="3" t="s">
        <v>20033</v>
      </c>
      <c r="L3822" s="3"/>
      <c r="M3822" s="4"/>
      <c r="N3822" s="3" t="s">
        <v>37</v>
      </c>
      <c r="O3822" s="3" t="s">
        <v>46</v>
      </c>
      <c r="P3822" s="5">
        <v>10</v>
      </c>
      <c r="Q3822" s="5">
        <v>94</v>
      </c>
      <c r="R3822" s="5">
        <v>11</v>
      </c>
      <c r="S3822" s="5">
        <v>94</v>
      </c>
    </row>
    <row r="3823" spans="1:19" ht="28" x14ac:dyDescent="0.15">
      <c r="A3823" s="2">
        <f>HYPERLINK("https://open-school.uspishnemisto.com.ua/school/180736/", 180736)</f>
        <v>180736</v>
      </c>
      <c r="B3823" s="3" t="s">
        <v>20034</v>
      </c>
      <c r="C3823" s="3" t="s">
        <v>31</v>
      </c>
      <c r="D3823" s="3" t="s">
        <v>175</v>
      </c>
      <c r="E3823" s="4" t="s">
        <v>22</v>
      </c>
      <c r="F3823" s="4" t="s">
        <v>20035</v>
      </c>
      <c r="G3823" s="4" t="s">
        <v>20036</v>
      </c>
      <c r="H3823" s="3" t="s">
        <v>16292</v>
      </c>
      <c r="I3823" s="3" t="s">
        <v>2851</v>
      </c>
      <c r="J3823" s="3" t="s">
        <v>1360</v>
      </c>
      <c r="K3823" s="3" t="s">
        <v>20037</v>
      </c>
      <c r="L3823" s="3"/>
      <c r="M3823" s="4"/>
      <c r="N3823" s="3" t="s">
        <v>37</v>
      </c>
      <c r="O3823" s="3" t="s">
        <v>38</v>
      </c>
      <c r="P3823" s="5">
        <v>4</v>
      </c>
      <c r="Q3823" s="5">
        <v>38</v>
      </c>
      <c r="R3823" s="5">
        <v>4</v>
      </c>
      <c r="S3823" s="5">
        <v>38</v>
      </c>
    </row>
    <row r="3824" spans="1:19" ht="42" x14ac:dyDescent="0.15">
      <c r="A3824" s="2">
        <f>HYPERLINK("https://open-school.uspishnemisto.com.ua/school/180737/", 180737)</f>
        <v>180737</v>
      </c>
      <c r="B3824" s="3" t="s">
        <v>20038</v>
      </c>
      <c r="C3824" s="3" t="s">
        <v>31</v>
      </c>
      <c r="D3824" s="3" t="s">
        <v>32</v>
      </c>
      <c r="E3824" s="4" t="s">
        <v>22</v>
      </c>
      <c r="F3824" s="4" t="s">
        <v>20039</v>
      </c>
      <c r="G3824" s="4" t="s">
        <v>20040</v>
      </c>
      <c r="H3824" s="3" t="s">
        <v>16292</v>
      </c>
      <c r="I3824" s="3" t="s">
        <v>20041</v>
      </c>
      <c r="J3824" s="3" t="s">
        <v>20042</v>
      </c>
      <c r="K3824" s="3" t="s">
        <v>20043</v>
      </c>
      <c r="L3824" s="3"/>
      <c r="M3824" s="4"/>
      <c r="N3824" s="3" t="s">
        <v>37</v>
      </c>
      <c r="O3824" s="3" t="s">
        <v>38</v>
      </c>
      <c r="P3824" s="5">
        <v>11</v>
      </c>
      <c r="Q3824" s="5">
        <v>80</v>
      </c>
      <c r="R3824" s="5">
        <v>10</v>
      </c>
      <c r="S3824" s="5">
        <v>77</v>
      </c>
    </row>
    <row r="3825" spans="1:19" ht="28" x14ac:dyDescent="0.15">
      <c r="A3825" s="2">
        <f>HYPERLINK("https://open-school.uspishnemisto.com.ua/school/180738/", 180738)</f>
        <v>180738</v>
      </c>
      <c r="B3825" s="3" t="s">
        <v>20044</v>
      </c>
      <c r="C3825" s="3" t="s">
        <v>31</v>
      </c>
      <c r="D3825" s="3" t="s">
        <v>175</v>
      </c>
      <c r="E3825" s="4" t="s">
        <v>22</v>
      </c>
      <c r="F3825" s="4" t="s">
        <v>20045</v>
      </c>
      <c r="G3825" s="4" t="s">
        <v>20046</v>
      </c>
      <c r="H3825" s="3" t="s">
        <v>16292</v>
      </c>
      <c r="I3825" s="3" t="s">
        <v>20047</v>
      </c>
      <c r="J3825" s="3" t="s">
        <v>20048</v>
      </c>
      <c r="K3825" s="3" t="s">
        <v>20049</v>
      </c>
      <c r="L3825" s="3"/>
      <c r="M3825" s="4"/>
      <c r="N3825" s="3" t="s">
        <v>37</v>
      </c>
      <c r="O3825" s="3" t="s">
        <v>70</v>
      </c>
      <c r="P3825" s="5">
        <v>5</v>
      </c>
      <c r="Q3825" s="5">
        <v>49</v>
      </c>
      <c r="R3825" s="5">
        <v>6</v>
      </c>
      <c r="S3825" s="5">
        <v>51</v>
      </c>
    </row>
    <row r="3826" spans="1:19" ht="28" x14ac:dyDescent="0.15">
      <c r="A3826" s="2">
        <f>HYPERLINK("https://open-school.uspishnemisto.com.ua/school/180739/", 180739)</f>
        <v>180739</v>
      </c>
      <c r="B3826" s="3" t="s">
        <v>20050</v>
      </c>
      <c r="C3826" s="3" t="s">
        <v>31</v>
      </c>
      <c r="D3826" s="3" t="s">
        <v>32</v>
      </c>
      <c r="E3826" s="4" t="s">
        <v>22</v>
      </c>
      <c r="F3826" s="4" t="s">
        <v>20051</v>
      </c>
      <c r="G3826" s="4" t="s">
        <v>20052</v>
      </c>
      <c r="H3826" s="3" t="s">
        <v>16292</v>
      </c>
      <c r="I3826" s="3" t="s">
        <v>2264</v>
      </c>
      <c r="J3826" s="3" t="s">
        <v>20053</v>
      </c>
      <c r="K3826" s="3" t="s">
        <v>20054</v>
      </c>
      <c r="L3826" s="3"/>
      <c r="M3826" s="4"/>
      <c r="N3826" s="3" t="s">
        <v>37</v>
      </c>
      <c r="O3826" s="3" t="s">
        <v>38</v>
      </c>
      <c r="P3826" s="5">
        <v>11</v>
      </c>
      <c r="Q3826" s="5">
        <v>101</v>
      </c>
      <c r="R3826" s="5">
        <v>10</v>
      </c>
      <c r="S3826" s="5">
        <v>100</v>
      </c>
    </row>
    <row r="3827" spans="1:19" ht="28" x14ac:dyDescent="0.15">
      <c r="A3827" s="2">
        <f>HYPERLINK("https://open-school.uspishnemisto.com.ua/school/180740/", 180740)</f>
        <v>180740</v>
      </c>
      <c r="B3827" s="3" t="s">
        <v>20055</v>
      </c>
      <c r="C3827" s="3" t="s">
        <v>31</v>
      </c>
      <c r="D3827" s="3" t="s">
        <v>60</v>
      </c>
      <c r="E3827" s="4" t="s">
        <v>22</v>
      </c>
      <c r="F3827" s="4" t="s">
        <v>20056</v>
      </c>
      <c r="G3827" s="4" t="s">
        <v>20057</v>
      </c>
      <c r="H3827" s="3" t="s">
        <v>16292</v>
      </c>
      <c r="I3827" s="3" t="s">
        <v>20058</v>
      </c>
      <c r="J3827" s="3" t="s">
        <v>18484</v>
      </c>
      <c r="K3827" s="3" t="s">
        <v>20059</v>
      </c>
      <c r="L3827" s="3"/>
      <c r="M3827" s="4"/>
      <c r="N3827" s="3" t="s">
        <v>37</v>
      </c>
      <c r="O3827" s="3" t="s">
        <v>52</v>
      </c>
      <c r="P3827" s="5">
        <v>1</v>
      </c>
      <c r="Q3827" s="5">
        <v>17</v>
      </c>
      <c r="R3827" s="5">
        <v>2</v>
      </c>
      <c r="S3827" s="5">
        <v>19</v>
      </c>
    </row>
    <row r="3828" spans="1:19" ht="28" x14ac:dyDescent="0.15">
      <c r="A3828" s="2">
        <f>HYPERLINK("https://open-school.uspishnemisto.com.ua/school/180741/", 180741)</f>
        <v>180741</v>
      </c>
      <c r="B3828" s="3" t="s">
        <v>20060</v>
      </c>
      <c r="C3828" s="3" t="s">
        <v>31</v>
      </c>
      <c r="D3828" s="3" t="s">
        <v>32</v>
      </c>
      <c r="E3828" s="4" t="s">
        <v>22</v>
      </c>
      <c r="F3828" s="4" t="s">
        <v>20061</v>
      </c>
      <c r="G3828" s="4" t="s">
        <v>20062</v>
      </c>
      <c r="H3828" s="3" t="s">
        <v>16292</v>
      </c>
      <c r="I3828" s="3" t="s">
        <v>20063</v>
      </c>
      <c r="J3828" s="3" t="s">
        <v>466</v>
      </c>
      <c r="K3828" s="3" t="s">
        <v>20064</v>
      </c>
      <c r="L3828" s="3"/>
      <c r="M3828" s="4"/>
      <c r="N3828" s="3" t="s">
        <v>37</v>
      </c>
      <c r="O3828" s="3" t="s">
        <v>38</v>
      </c>
      <c r="P3828" s="5">
        <v>11</v>
      </c>
      <c r="Q3828" s="5">
        <v>100</v>
      </c>
      <c r="R3828" s="5">
        <v>11</v>
      </c>
      <c r="S3828" s="5">
        <v>100</v>
      </c>
    </row>
    <row r="3829" spans="1:19" ht="28" x14ac:dyDescent="0.15">
      <c r="A3829" s="2">
        <f>HYPERLINK("https://open-school.uspishnemisto.com.ua/school/180743/", 180743)</f>
        <v>180743</v>
      </c>
      <c r="B3829" s="3" t="s">
        <v>20065</v>
      </c>
      <c r="C3829" s="3" t="s">
        <v>31</v>
      </c>
      <c r="D3829" s="3" t="s">
        <v>175</v>
      </c>
      <c r="E3829" s="4" t="s">
        <v>22</v>
      </c>
      <c r="F3829" s="4" t="s">
        <v>20066</v>
      </c>
      <c r="G3829" s="4" t="s">
        <v>20067</v>
      </c>
      <c r="H3829" s="3" t="s">
        <v>16292</v>
      </c>
      <c r="I3829" s="3" t="s">
        <v>20068</v>
      </c>
      <c r="J3829" s="3" t="s">
        <v>20069</v>
      </c>
      <c r="K3829" s="3" t="s">
        <v>20070</v>
      </c>
      <c r="L3829" s="3"/>
      <c r="M3829" s="4"/>
      <c r="N3829" s="3" t="s">
        <v>37</v>
      </c>
      <c r="O3829" s="3" t="s">
        <v>38</v>
      </c>
      <c r="P3829" s="5">
        <v>2</v>
      </c>
      <c r="Q3829" s="5">
        <v>32</v>
      </c>
      <c r="R3829" s="5">
        <v>3</v>
      </c>
      <c r="S3829" s="5">
        <v>40</v>
      </c>
    </row>
    <row r="3830" spans="1:19" ht="28" x14ac:dyDescent="0.15">
      <c r="A3830" s="2">
        <f>HYPERLINK("https://open-school.uspishnemisto.com.ua/school/210001/", 210001)</f>
        <v>210001</v>
      </c>
      <c r="B3830" s="3" t="s">
        <v>20071</v>
      </c>
      <c r="C3830" s="3" t="s">
        <v>188</v>
      </c>
      <c r="D3830" s="3" t="s">
        <v>32</v>
      </c>
      <c r="E3830" s="4" t="s">
        <v>22</v>
      </c>
      <c r="F3830" s="4" t="s">
        <v>20072</v>
      </c>
      <c r="G3830" s="4" t="s">
        <v>20073</v>
      </c>
      <c r="H3830" s="3" t="s">
        <v>20074</v>
      </c>
      <c r="I3830" s="3" t="s">
        <v>20075</v>
      </c>
      <c r="J3830" s="3" t="s">
        <v>20076</v>
      </c>
      <c r="K3830" s="3" t="s">
        <v>20077</v>
      </c>
      <c r="L3830" s="3"/>
      <c r="M3830" s="4" t="s">
        <v>20078</v>
      </c>
      <c r="N3830" s="3" t="s">
        <v>37</v>
      </c>
      <c r="O3830" s="3" t="s">
        <v>38</v>
      </c>
      <c r="P3830" s="5">
        <v>21</v>
      </c>
      <c r="Q3830" s="5">
        <v>564</v>
      </c>
      <c r="R3830" s="5">
        <v>20</v>
      </c>
      <c r="S3830" s="5">
        <v>543</v>
      </c>
    </row>
    <row r="3831" spans="1:19" ht="28" x14ac:dyDescent="0.15">
      <c r="A3831" s="2">
        <f>HYPERLINK("https://open-school.uspishnemisto.com.ua/school/210002/", 210002)</f>
        <v>210002</v>
      </c>
      <c r="B3831" s="3" t="s">
        <v>20079</v>
      </c>
      <c r="C3831" s="3" t="s">
        <v>31</v>
      </c>
      <c r="D3831" s="3" t="s">
        <v>32</v>
      </c>
      <c r="E3831" s="4" t="s">
        <v>22</v>
      </c>
      <c r="F3831" s="4" t="s">
        <v>20072</v>
      </c>
      <c r="G3831" s="4" t="s">
        <v>20073</v>
      </c>
      <c r="H3831" s="3" t="s">
        <v>20074</v>
      </c>
      <c r="I3831" s="3" t="s">
        <v>20075</v>
      </c>
      <c r="J3831" s="3" t="s">
        <v>20080</v>
      </c>
      <c r="K3831" s="3" t="s">
        <v>20081</v>
      </c>
      <c r="L3831" s="3"/>
      <c r="M3831" s="4"/>
      <c r="N3831" s="3" t="s">
        <v>37</v>
      </c>
      <c r="O3831" s="3" t="s">
        <v>38</v>
      </c>
      <c r="P3831" s="5">
        <v>10</v>
      </c>
      <c r="Q3831" s="5">
        <v>155</v>
      </c>
      <c r="R3831" s="5">
        <v>11</v>
      </c>
      <c r="S3831" s="5">
        <v>160</v>
      </c>
    </row>
    <row r="3832" spans="1:19" ht="28" x14ac:dyDescent="0.15">
      <c r="A3832" s="2">
        <f>HYPERLINK("https://open-school.uspishnemisto.com.ua/school/210003/", 210003)</f>
        <v>210003</v>
      </c>
      <c r="B3832" s="3" t="s">
        <v>20082</v>
      </c>
      <c r="C3832" s="3" t="s">
        <v>40</v>
      </c>
      <c r="D3832" s="3" t="s">
        <v>32</v>
      </c>
      <c r="E3832" s="4" t="s">
        <v>22</v>
      </c>
      <c r="F3832" s="4" t="s">
        <v>20083</v>
      </c>
      <c r="G3832" s="4" t="s">
        <v>20073</v>
      </c>
      <c r="H3832" s="3" t="s">
        <v>20074</v>
      </c>
      <c r="I3832" s="3" t="s">
        <v>20075</v>
      </c>
      <c r="J3832" s="3" t="s">
        <v>20084</v>
      </c>
      <c r="K3832" s="3" t="s">
        <v>20085</v>
      </c>
      <c r="L3832" s="3" t="s">
        <v>20086</v>
      </c>
      <c r="M3832" s="4" t="s">
        <v>20087</v>
      </c>
      <c r="N3832" s="3" t="s">
        <v>37</v>
      </c>
      <c r="O3832" s="3" t="s">
        <v>46</v>
      </c>
      <c r="P3832" s="5">
        <v>25</v>
      </c>
      <c r="Q3832" s="5">
        <v>829</v>
      </c>
      <c r="R3832" s="5">
        <v>24</v>
      </c>
      <c r="S3832" s="5">
        <v>787</v>
      </c>
    </row>
    <row r="3833" spans="1:19" ht="28" x14ac:dyDescent="0.15">
      <c r="A3833" s="2">
        <f>HYPERLINK("https://open-school.uspishnemisto.com.ua/school/210004/", 210004)</f>
        <v>210004</v>
      </c>
      <c r="B3833" s="3" t="s">
        <v>20088</v>
      </c>
      <c r="C3833" s="3" t="s">
        <v>40</v>
      </c>
      <c r="D3833" s="3" t="s">
        <v>32</v>
      </c>
      <c r="E3833" s="4" t="s">
        <v>22</v>
      </c>
      <c r="F3833" s="4" t="s">
        <v>20072</v>
      </c>
      <c r="G3833" s="4" t="s">
        <v>20073</v>
      </c>
      <c r="H3833" s="3" t="s">
        <v>20074</v>
      </c>
      <c r="I3833" s="3" t="s">
        <v>20075</v>
      </c>
      <c r="J3833" s="3" t="s">
        <v>20089</v>
      </c>
      <c r="K3833" s="3" t="s">
        <v>20090</v>
      </c>
      <c r="L3833" s="3"/>
      <c r="M3833" s="4" t="s">
        <v>20091</v>
      </c>
      <c r="N3833" s="3" t="s">
        <v>37</v>
      </c>
      <c r="O3833" s="3" t="s">
        <v>46</v>
      </c>
      <c r="P3833" s="5">
        <v>25</v>
      </c>
      <c r="Q3833" s="5">
        <v>733</v>
      </c>
      <c r="R3833" s="5">
        <v>24</v>
      </c>
      <c r="S3833" s="5">
        <v>716</v>
      </c>
    </row>
    <row r="3834" spans="1:19" ht="28" x14ac:dyDescent="0.15">
      <c r="A3834" s="2">
        <f>HYPERLINK("https://open-school.uspishnemisto.com.ua/school/210005/", 210005)</f>
        <v>210005</v>
      </c>
      <c r="B3834" s="3" t="s">
        <v>20092</v>
      </c>
      <c r="C3834" s="3" t="s">
        <v>54</v>
      </c>
      <c r="D3834" s="3" t="s">
        <v>32</v>
      </c>
      <c r="E3834" s="4" t="s">
        <v>22</v>
      </c>
      <c r="F3834" s="4" t="s">
        <v>20072</v>
      </c>
      <c r="G3834" s="4" t="s">
        <v>20073</v>
      </c>
      <c r="H3834" s="3" t="s">
        <v>20074</v>
      </c>
      <c r="I3834" s="3" t="s">
        <v>20075</v>
      </c>
      <c r="J3834" s="3" t="s">
        <v>20093</v>
      </c>
      <c r="K3834" s="3" t="s">
        <v>20094</v>
      </c>
      <c r="L3834" s="3" t="s">
        <v>20095</v>
      </c>
      <c r="M3834" s="4" t="s">
        <v>20096</v>
      </c>
      <c r="N3834" s="3" t="s">
        <v>37</v>
      </c>
      <c r="O3834" s="3" t="s">
        <v>20097</v>
      </c>
      <c r="P3834" s="5">
        <v>11</v>
      </c>
      <c r="Q3834" s="5">
        <v>230</v>
      </c>
      <c r="R3834" s="5">
        <v>11</v>
      </c>
      <c r="S3834" s="5">
        <v>216</v>
      </c>
    </row>
    <row r="3835" spans="1:19" ht="42" x14ac:dyDescent="0.15">
      <c r="A3835" s="2">
        <f>HYPERLINK("https://open-school.uspishnemisto.com.ua/school/210006/", 210006)</f>
        <v>210006</v>
      </c>
      <c r="B3835" s="3" t="s">
        <v>20098</v>
      </c>
      <c r="C3835" s="3" t="s">
        <v>54</v>
      </c>
      <c r="D3835" s="3" t="s">
        <v>32</v>
      </c>
      <c r="E3835" s="4" t="s">
        <v>22</v>
      </c>
      <c r="F3835" s="4" t="s">
        <v>20083</v>
      </c>
      <c r="G3835" s="4" t="s">
        <v>20073</v>
      </c>
      <c r="H3835" s="3" t="s">
        <v>20074</v>
      </c>
      <c r="I3835" s="3" t="s">
        <v>20075</v>
      </c>
      <c r="J3835" s="3" t="s">
        <v>20099</v>
      </c>
      <c r="K3835" s="3" t="s">
        <v>20100</v>
      </c>
      <c r="L3835" s="3" t="s">
        <v>20101</v>
      </c>
      <c r="M3835" s="4" t="s">
        <v>20102</v>
      </c>
      <c r="N3835" s="3" t="s">
        <v>18409</v>
      </c>
      <c r="O3835" s="3" t="s">
        <v>46</v>
      </c>
      <c r="P3835" s="5">
        <v>11</v>
      </c>
      <c r="Q3835" s="5">
        <v>252</v>
      </c>
      <c r="R3835" s="5">
        <v>10</v>
      </c>
      <c r="S3835" s="5">
        <v>222</v>
      </c>
    </row>
    <row r="3836" spans="1:19" ht="28" x14ac:dyDescent="0.15">
      <c r="A3836" s="2">
        <f>HYPERLINK("https://open-school.uspishnemisto.com.ua/school/210007/", 210007)</f>
        <v>210007</v>
      </c>
      <c r="B3836" s="3" t="s">
        <v>20103</v>
      </c>
      <c r="C3836" s="3" t="s">
        <v>31</v>
      </c>
      <c r="D3836" s="3" t="s">
        <v>32</v>
      </c>
      <c r="E3836" s="4" t="s">
        <v>22</v>
      </c>
      <c r="F3836" s="4" t="s">
        <v>20072</v>
      </c>
      <c r="G3836" s="4" t="s">
        <v>20073</v>
      </c>
      <c r="H3836" s="3" t="s">
        <v>20074</v>
      </c>
      <c r="I3836" s="3" t="s">
        <v>20075</v>
      </c>
      <c r="J3836" s="3" t="s">
        <v>20104</v>
      </c>
      <c r="K3836" s="3" t="s">
        <v>20105</v>
      </c>
      <c r="L3836" s="3" t="s">
        <v>20106</v>
      </c>
      <c r="M3836" s="4" t="s">
        <v>20107</v>
      </c>
      <c r="N3836" s="3" t="s">
        <v>37</v>
      </c>
      <c r="O3836" s="3" t="s">
        <v>2740</v>
      </c>
      <c r="P3836" s="5">
        <v>22</v>
      </c>
      <c r="Q3836" s="5">
        <v>620</v>
      </c>
      <c r="R3836" s="5">
        <v>21</v>
      </c>
      <c r="S3836" s="5">
        <v>589</v>
      </c>
    </row>
    <row r="3837" spans="1:19" ht="42" x14ac:dyDescent="0.15">
      <c r="A3837" s="2">
        <f>HYPERLINK("https://open-school.uspishnemisto.com.ua/school/210008/", 210008)</f>
        <v>210008</v>
      </c>
      <c r="B3837" s="3" t="s">
        <v>20108</v>
      </c>
      <c r="C3837" s="3" t="s">
        <v>54</v>
      </c>
      <c r="D3837" s="3" t="s">
        <v>60</v>
      </c>
      <c r="E3837" s="4" t="s">
        <v>22</v>
      </c>
      <c r="F3837" s="4" t="s">
        <v>20083</v>
      </c>
      <c r="G3837" s="4" t="s">
        <v>20073</v>
      </c>
      <c r="H3837" s="3" t="s">
        <v>20074</v>
      </c>
      <c r="I3837" s="3" t="s">
        <v>20075</v>
      </c>
      <c r="J3837" s="3" t="s">
        <v>20109</v>
      </c>
      <c r="K3837" s="3" t="s">
        <v>20110</v>
      </c>
      <c r="L3837" s="3" t="s">
        <v>20111</v>
      </c>
      <c r="M3837" s="4" t="s">
        <v>20112</v>
      </c>
      <c r="N3837" s="3" t="s">
        <v>37</v>
      </c>
      <c r="O3837" s="3" t="s">
        <v>52</v>
      </c>
      <c r="P3837" s="5">
        <v>8</v>
      </c>
      <c r="Q3837" s="5">
        <v>282</v>
      </c>
      <c r="R3837" s="5">
        <v>8</v>
      </c>
      <c r="S3837" s="5">
        <v>276</v>
      </c>
    </row>
    <row r="3838" spans="1:19" ht="42" x14ac:dyDescent="0.15">
      <c r="A3838" s="2">
        <f>HYPERLINK("https://open-school.uspishnemisto.com.ua/school/210009/", 210009)</f>
        <v>210009</v>
      </c>
      <c r="B3838" s="3" t="s">
        <v>20113</v>
      </c>
      <c r="C3838" s="3" t="s">
        <v>244</v>
      </c>
      <c r="D3838" s="3" t="s">
        <v>32</v>
      </c>
      <c r="E3838" s="4" t="s">
        <v>22</v>
      </c>
      <c r="F3838" s="4" t="s">
        <v>20072</v>
      </c>
      <c r="G3838" s="4" t="s">
        <v>20073</v>
      </c>
      <c r="H3838" s="3" t="s">
        <v>20074</v>
      </c>
      <c r="I3838" s="3" t="s">
        <v>20075</v>
      </c>
      <c r="J3838" s="3" t="s">
        <v>20114</v>
      </c>
      <c r="K3838" s="3" t="s">
        <v>20115</v>
      </c>
      <c r="L3838" s="3" t="s">
        <v>20116</v>
      </c>
      <c r="M3838" s="4" t="s">
        <v>20117</v>
      </c>
      <c r="N3838" s="3" t="s">
        <v>20118</v>
      </c>
      <c r="O3838" s="3" t="s">
        <v>20119</v>
      </c>
      <c r="P3838" s="5">
        <v>11</v>
      </c>
      <c r="Q3838" s="5">
        <v>366</v>
      </c>
      <c r="R3838" s="5">
        <v>11</v>
      </c>
      <c r="S3838" s="5">
        <v>363</v>
      </c>
    </row>
    <row r="3839" spans="1:19" ht="28" x14ac:dyDescent="0.15">
      <c r="A3839" s="2">
        <f>HYPERLINK("https://open-school.uspishnemisto.com.ua/school/210010/", 210010)</f>
        <v>210010</v>
      </c>
      <c r="B3839" s="3" t="s">
        <v>20120</v>
      </c>
      <c r="C3839" s="3" t="s">
        <v>54</v>
      </c>
      <c r="D3839" s="3" t="s">
        <v>60</v>
      </c>
      <c r="E3839" s="4" t="s">
        <v>22</v>
      </c>
      <c r="F3839" s="4" t="s">
        <v>20121</v>
      </c>
      <c r="G3839" s="4" t="s">
        <v>20073</v>
      </c>
      <c r="H3839" s="3" t="s">
        <v>20074</v>
      </c>
      <c r="I3839" s="3" t="s">
        <v>20075</v>
      </c>
      <c r="J3839" s="3" t="s">
        <v>20122</v>
      </c>
      <c r="K3839" s="3" t="s">
        <v>20123</v>
      </c>
      <c r="L3839" s="3" t="s">
        <v>20124</v>
      </c>
      <c r="M3839" s="4" t="s">
        <v>20125</v>
      </c>
      <c r="N3839" s="3" t="s">
        <v>37</v>
      </c>
      <c r="O3839" s="3" t="s">
        <v>52</v>
      </c>
      <c r="P3839" s="5">
        <v>8</v>
      </c>
      <c r="Q3839" s="5">
        <v>285</v>
      </c>
      <c r="R3839" s="5">
        <v>8</v>
      </c>
      <c r="S3839" s="5">
        <v>274</v>
      </c>
    </row>
    <row r="3840" spans="1:19" ht="42" x14ac:dyDescent="0.15">
      <c r="A3840" s="2">
        <f>HYPERLINK("https://open-school.uspishnemisto.com.ua/school/210011/", 210011)</f>
        <v>210011</v>
      </c>
      <c r="B3840" s="3" t="s">
        <v>20126</v>
      </c>
      <c r="C3840" s="3" t="s">
        <v>54</v>
      </c>
      <c r="D3840" s="3" t="s">
        <v>60</v>
      </c>
      <c r="E3840" s="4" t="s">
        <v>22</v>
      </c>
      <c r="F3840" s="4" t="s">
        <v>20127</v>
      </c>
      <c r="G3840" s="4" t="s">
        <v>20073</v>
      </c>
      <c r="H3840" s="3" t="s">
        <v>20074</v>
      </c>
      <c r="I3840" s="3" t="s">
        <v>20075</v>
      </c>
      <c r="J3840" s="3" t="s">
        <v>20128</v>
      </c>
      <c r="K3840" s="3" t="s">
        <v>20129</v>
      </c>
      <c r="L3840" s="3"/>
      <c r="M3840" s="4" t="s">
        <v>20130</v>
      </c>
      <c r="N3840" s="3" t="s">
        <v>37</v>
      </c>
      <c r="O3840" s="3" t="s">
        <v>52</v>
      </c>
      <c r="P3840" s="5">
        <v>5</v>
      </c>
      <c r="Q3840" s="5">
        <v>136</v>
      </c>
      <c r="R3840" s="5">
        <v>5</v>
      </c>
      <c r="S3840" s="5">
        <v>133</v>
      </c>
    </row>
    <row r="3841" spans="1:19" ht="56" x14ac:dyDescent="0.15">
      <c r="A3841" s="2">
        <f>HYPERLINK("https://open-school.uspishnemisto.com.ua/school/210012/", 210012)</f>
        <v>210012</v>
      </c>
      <c r="B3841" s="3" t="s">
        <v>20131</v>
      </c>
      <c r="C3841" s="3" t="s">
        <v>54</v>
      </c>
      <c r="D3841" s="3" t="s">
        <v>60</v>
      </c>
      <c r="E3841" s="4" t="s">
        <v>22</v>
      </c>
      <c r="F3841" s="4" t="s">
        <v>20072</v>
      </c>
      <c r="G3841" s="4" t="s">
        <v>20073</v>
      </c>
      <c r="H3841" s="3" t="s">
        <v>20074</v>
      </c>
      <c r="I3841" s="3" t="s">
        <v>20075</v>
      </c>
      <c r="J3841" s="3" t="s">
        <v>20132</v>
      </c>
      <c r="K3841" s="3" t="s">
        <v>20133</v>
      </c>
      <c r="L3841" s="3" t="s">
        <v>20134</v>
      </c>
      <c r="M3841" s="4" t="s">
        <v>20135</v>
      </c>
      <c r="N3841" s="3" t="s">
        <v>37</v>
      </c>
      <c r="O3841" s="3" t="s">
        <v>52</v>
      </c>
      <c r="P3841" s="5">
        <v>9</v>
      </c>
      <c r="Q3841" s="5">
        <v>266</v>
      </c>
      <c r="R3841" s="5">
        <v>9</v>
      </c>
      <c r="S3841" s="5">
        <v>263</v>
      </c>
    </row>
    <row r="3842" spans="1:19" ht="42" x14ac:dyDescent="0.15">
      <c r="A3842" s="2">
        <f>HYPERLINK("https://open-school.uspishnemisto.com.ua/school/210013/", 210013)</f>
        <v>210013</v>
      </c>
      <c r="B3842" s="3" t="s">
        <v>20136</v>
      </c>
      <c r="C3842" s="3" t="s">
        <v>4989</v>
      </c>
      <c r="D3842" s="3" t="s">
        <v>21</v>
      </c>
      <c r="E3842" s="4" t="s">
        <v>22</v>
      </c>
      <c r="F3842" s="4" t="s">
        <v>20137</v>
      </c>
      <c r="G3842" s="4" t="s">
        <v>20073</v>
      </c>
      <c r="H3842" s="3" t="s">
        <v>20074</v>
      </c>
      <c r="I3842" s="3" t="s">
        <v>20075</v>
      </c>
      <c r="J3842" s="3" t="s">
        <v>20138</v>
      </c>
      <c r="K3842" s="3" t="s">
        <v>20139</v>
      </c>
      <c r="L3842" s="3"/>
      <c r="M3842" s="4" t="s">
        <v>20140</v>
      </c>
      <c r="N3842" s="3" t="s">
        <v>37</v>
      </c>
      <c r="O3842" s="3" t="s">
        <v>46</v>
      </c>
      <c r="P3842" s="5">
        <v>17</v>
      </c>
      <c r="Q3842" s="5">
        <v>502</v>
      </c>
      <c r="R3842" s="5">
        <v>17</v>
      </c>
      <c r="S3842" s="5">
        <v>508</v>
      </c>
    </row>
    <row r="3843" spans="1:19" ht="28" x14ac:dyDescent="0.15">
      <c r="A3843" s="2">
        <f>HYPERLINK("https://open-school.uspishnemisto.com.ua/school/210014/", 210014)</f>
        <v>210014</v>
      </c>
      <c r="B3843" s="3" t="s">
        <v>20141</v>
      </c>
      <c r="C3843" s="3" t="s">
        <v>31</v>
      </c>
      <c r="D3843" s="3" t="s">
        <v>32</v>
      </c>
      <c r="E3843" s="4" t="s">
        <v>22</v>
      </c>
      <c r="F3843" s="4" t="s">
        <v>20142</v>
      </c>
      <c r="G3843" s="4" t="s">
        <v>20073</v>
      </c>
      <c r="H3843" s="3" t="s">
        <v>20074</v>
      </c>
      <c r="I3843" s="3" t="s">
        <v>20075</v>
      </c>
      <c r="J3843" s="3" t="s">
        <v>20143</v>
      </c>
      <c r="K3843" s="3" t="s">
        <v>20144</v>
      </c>
      <c r="L3843" s="3"/>
      <c r="M3843" s="4" t="s">
        <v>20145</v>
      </c>
      <c r="N3843" s="3" t="s">
        <v>37</v>
      </c>
      <c r="O3843" s="3" t="s">
        <v>46</v>
      </c>
      <c r="P3843" s="5">
        <v>37</v>
      </c>
      <c r="Q3843" s="5">
        <v>1068</v>
      </c>
      <c r="R3843" s="5">
        <v>37</v>
      </c>
      <c r="S3843" s="5">
        <v>1049</v>
      </c>
    </row>
    <row r="3844" spans="1:19" ht="28" x14ac:dyDescent="0.15">
      <c r="A3844" s="2">
        <f>HYPERLINK("https://open-school.uspishnemisto.com.ua/school/210015/", 210015)</f>
        <v>210015</v>
      </c>
      <c r="B3844" s="3" t="s">
        <v>20146</v>
      </c>
      <c r="C3844" s="3" t="s">
        <v>31</v>
      </c>
      <c r="D3844" s="3" t="s">
        <v>32</v>
      </c>
      <c r="E3844" s="4" t="s">
        <v>22</v>
      </c>
      <c r="F3844" s="4" t="s">
        <v>20121</v>
      </c>
      <c r="G3844" s="4" t="s">
        <v>20073</v>
      </c>
      <c r="H3844" s="3" t="s">
        <v>20074</v>
      </c>
      <c r="I3844" s="3" t="s">
        <v>20075</v>
      </c>
      <c r="J3844" s="3" t="s">
        <v>20147</v>
      </c>
      <c r="K3844" s="3" t="s">
        <v>20148</v>
      </c>
      <c r="L3844" s="3" t="s">
        <v>20149</v>
      </c>
      <c r="M3844" s="4" t="s">
        <v>20150</v>
      </c>
      <c r="N3844" s="3" t="s">
        <v>37</v>
      </c>
      <c r="O3844" s="3" t="s">
        <v>2740</v>
      </c>
      <c r="P3844" s="5">
        <v>39</v>
      </c>
      <c r="Q3844" s="5">
        <v>1193</v>
      </c>
      <c r="R3844" s="5">
        <v>39</v>
      </c>
      <c r="S3844" s="5">
        <v>1172</v>
      </c>
    </row>
    <row r="3845" spans="1:19" ht="28" x14ac:dyDescent="0.15">
      <c r="A3845" s="2">
        <f>HYPERLINK("https://open-school.uspishnemisto.com.ua/school/210016/", 210016)</f>
        <v>210016</v>
      </c>
      <c r="B3845" s="3" t="s">
        <v>20151</v>
      </c>
      <c r="C3845" s="3" t="s">
        <v>31</v>
      </c>
      <c r="D3845" s="3" t="s">
        <v>175</v>
      </c>
      <c r="E3845" s="4" t="s">
        <v>22</v>
      </c>
      <c r="F3845" s="4" t="s">
        <v>20152</v>
      </c>
      <c r="G3845" s="4" t="s">
        <v>20073</v>
      </c>
      <c r="H3845" s="3" t="s">
        <v>20074</v>
      </c>
      <c r="I3845" s="3" t="s">
        <v>20075</v>
      </c>
      <c r="J3845" s="3" t="s">
        <v>20153</v>
      </c>
      <c r="K3845" s="3" t="s">
        <v>20154</v>
      </c>
      <c r="L3845" s="3"/>
      <c r="M3845" s="4"/>
      <c r="N3845" s="3" t="s">
        <v>37</v>
      </c>
      <c r="O3845" s="3" t="s">
        <v>2740</v>
      </c>
      <c r="P3845" s="5">
        <v>10</v>
      </c>
      <c r="Q3845" s="5">
        <v>317</v>
      </c>
      <c r="R3845" s="5">
        <v>10</v>
      </c>
      <c r="S3845" s="5">
        <v>313</v>
      </c>
    </row>
    <row r="3846" spans="1:19" ht="28" x14ac:dyDescent="0.15">
      <c r="A3846" s="2">
        <f>HYPERLINK("https://open-school.uspishnemisto.com.ua/school/210017/", 210017)</f>
        <v>210017</v>
      </c>
      <c r="B3846" s="3" t="s">
        <v>20155</v>
      </c>
      <c r="C3846" s="3" t="s">
        <v>31</v>
      </c>
      <c r="D3846" s="3" t="s">
        <v>175</v>
      </c>
      <c r="E3846" s="4" t="s">
        <v>22</v>
      </c>
      <c r="F3846" s="4" t="s">
        <v>20072</v>
      </c>
      <c r="G3846" s="4" t="s">
        <v>20073</v>
      </c>
      <c r="H3846" s="3" t="s">
        <v>20074</v>
      </c>
      <c r="I3846" s="3" t="s">
        <v>20075</v>
      </c>
      <c r="J3846" s="3" t="s">
        <v>20156</v>
      </c>
      <c r="K3846" s="3" t="s">
        <v>20157</v>
      </c>
      <c r="L3846" s="3"/>
      <c r="M3846" s="4"/>
      <c r="N3846" s="3" t="s">
        <v>37</v>
      </c>
      <c r="O3846" s="3" t="s">
        <v>38</v>
      </c>
      <c r="P3846" s="5">
        <v>8</v>
      </c>
      <c r="Q3846" s="5">
        <v>184</v>
      </c>
      <c r="R3846" s="5">
        <v>7</v>
      </c>
      <c r="S3846" s="5">
        <v>157</v>
      </c>
    </row>
    <row r="3847" spans="1:19" ht="42" x14ac:dyDescent="0.15">
      <c r="A3847" s="2">
        <f>HYPERLINK("https://open-school.uspishnemisto.com.ua/school/210018/", 210018)</f>
        <v>210018</v>
      </c>
      <c r="B3847" s="3" t="s">
        <v>20158</v>
      </c>
      <c r="C3847" s="3" t="s">
        <v>31</v>
      </c>
      <c r="D3847" s="3" t="s">
        <v>32</v>
      </c>
      <c r="E3847" s="4" t="s">
        <v>22</v>
      </c>
      <c r="F3847" s="4" t="s">
        <v>20072</v>
      </c>
      <c r="G3847" s="4" t="s">
        <v>20073</v>
      </c>
      <c r="H3847" s="3" t="s">
        <v>20074</v>
      </c>
      <c r="I3847" s="3" t="s">
        <v>20075</v>
      </c>
      <c r="J3847" s="3" t="s">
        <v>20159</v>
      </c>
      <c r="K3847" s="3" t="s">
        <v>20160</v>
      </c>
      <c r="L3847" s="3" t="s">
        <v>20161</v>
      </c>
      <c r="M3847" s="4" t="s">
        <v>20162</v>
      </c>
      <c r="N3847" s="3" t="s">
        <v>18409</v>
      </c>
      <c r="O3847" s="3" t="s">
        <v>46</v>
      </c>
      <c r="P3847" s="5">
        <v>22</v>
      </c>
      <c r="Q3847" s="5">
        <v>487</v>
      </c>
      <c r="R3847" s="5">
        <v>21</v>
      </c>
      <c r="S3847" s="5">
        <v>469</v>
      </c>
    </row>
    <row r="3848" spans="1:19" ht="28" x14ac:dyDescent="0.15">
      <c r="A3848" s="2">
        <f>HYPERLINK("https://open-school.uspishnemisto.com.ua/school/210019/", 210019)</f>
        <v>210019</v>
      </c>
      <c r="B3848" s="3" t="s">
        <v>20163</v>
      </c>
      <c r="C3848" s="3" t="s">
        <v>31</v>
      </c>
      <c r="D3848" s="3" t="s">
        <v>32</v>
      </c>
      <c r="E3848" s="4" t="s">
        <v>22</v>
      </c>
      <c r="F3848" s="4" t="s">
        <v>20072</v>
      </c>
      <c r="G3848" s="4" t="s">
        <v>20073</v>
      </c>
      <c r="H3848" s="3" t="s">
        <v>20074</v>
      </c>
      <c r="I3848" s="3" t="s">
        <v>20075</v>
      </c>
      <c r="J3848" s="3" t="s">
        <v>20164</v>
      </c>
      <c r="K3848" s="3" t="s">
        <v>20165</v>
      </c>
      <c r="L3848" s="3" t="s">
        <v>20166</v>
      </c>
      <c r="M3848" s="4" t="s">
        <v>20167</v>
      </c>
      <c r="N3848" s="3" t="s">
        <v>37</v>
      </c>
      <c r="O3848" s="3" t="s">
        <v>46</v>
      </c>
      <c r="P3848" s="5">
        <v>35</v>
      </c>
      <c r="Q3848" s="5">
        <v>988</v>
      </c>
      <c r="R3848" s="5">
        <v>35</v>
      </c>
      <c r="S3848" s="5">
        <v>970</v>
      </c>
    </row>
    <row r="3849" spans="1:19" ht="28" x14ac:dyDescent="0.15">
      <c r="A3849" s="2">
        <f>HYPERLINK("https://open-school.uspishnemisto.com.ua/school/210020/", 210020)</f>
        <v>210020</v>
      </c>
      <c r="B3849" s="3" t="s">
        <v>20168</v>
      </c>
      <c r="C3849" s="3" t="s">
        <v>31</v>
      </c>
      <c r="D3849" s="3" t="s">
        <v>32</v>
      </c>
      <c r="E3849" s="4" t="s">
        <v>22</v>
      </c>
      <c r="F3849" s="4" t="s">
        <v>20083</v>
      </c>
      <c r="G3849" s="4" t="s">
        <v>20073</v>
      </c>
      <c r="H3849" s="3" t="s">
        <v>20074</v>
      </c>
      <c r="I3849" s="3" t="s">
        <v>20075</v>
      </c>
      <c r="J3849" s="3" t="s">
        <v>20169</v>
      </c>
      <c r="K3849" s="3" t="s">
        <v>20170</v>
      </c>
      <c r="L3849" s="3" t="s">
        <v>20171</v>
      </c>
      <c r="M3849" s="4" t="s">
        <v>20172</v>
      </c>
      <c r="N3849" s="3" t="s">
        <v>37</v>
      </c>
      <c r="O3849" s="3" t="s">
        <v>46</v>
      </c>
      <c r="P3849" s="5">
        <v>27</v>
      </c>
      <c r="Q3849" s="5">
        <v>741</v>
      </c>
      <c r="R3849" s="5">
        <v>29</v>
      </c>
      <c r="S3849" s="5">
        <v>756</v>
      </c>
    </row>
    <row r="3850" spans="1:19" ht="28" x14ac:dyDescent="0.15">
      <c r="A3850" s="2">
        <f>HYPERLINK("https://open-school.uspishnemisto.com.ua/school/210021/", 210021)</f>
        <v>210021</v>
      </c>
      <c r="B3850" s="3" t="s">
        <v>20173</v>
      </c>
      <c r="C3850" s="3" t="s">
        <v>31</v>
      </c>
      <c r="D3850" s="3" t="s">
        <v>32</v>
      </c>
      <c r="E3850" s="4" t="s">
        <v>22</v>
      </c>
      <c r="F3850" s="4" t="s">
        <v>20072</v>
      </c>
      <c r="G3850" s="4" t="s">
        <v>20073</v>
      </c>
      <c r="H3850" s="3" t="s">
        <v>20074</v>
      </c>
      <c r="I3850" s="3" t="s">
        <v>20075</v>
      </c>
      <c r="J3850" s="3" t="s">
        <v>20174</v>
      </c>
      <c r="K3850" s="3" t="s">
        <v>20175</v>
      </c>
      <c r="L3850" s="3"/>
      <c r="M3850" s="4" t="s">
        <v>20176</v>
      </c>
      <c r="N3850" s="3" t="s">
        <v>37</v>
      </c>
      <c r="O3850" s="3" t="s">
        <v>46</v>
      </c>
      <c r="P3850" s="5">
        <v>38</v>
      </c>
      <c r="Q3850" s="5">
        <v>1081</v>
      </c>
      <c r="R3850" s="5">
        <v>36</v>
      </c>
      <c r="S3850" s="5">
        <v>1062</v>
      </c>
    </row>
    <row r="3851" spans="1:19" ht="42" x14ac:dyDescent="0.15">
      <c r="A3851" s="2">
        <f>HYPERLINK("https://open-school.uspishnemisto.com.ua/school/210022/", 210022)</f>
        <v>210022</v>
      </c>
      <c r="B3851" s="3" t="s">
        <v>20177</v>
      </c>
      <c r="C3851" s="3" t="s">
        <v>188</v>
      </c>
      <c r="D3851" s="3" t="s">
        <v>32</v>
      </c>
      <c r="E3851" s="4" t="s">
        <v>22</v>
      </c>
      <c r="F3851" s="4" t="s">
        <v>20072</v>
      </c>
      <c r="G3851" s="4" t="s">
        <v>20073</v>
      </c>
      <c r="H3851" s="3" t="s">
        <v>20074</v>
      </c>
      <c r="I3851" s="3" t="s">
        <v>20075</v>
      </c>
      <c r="J3851" s="3" t="s">
        <v>20178</v>
      </c>
      <c r="K3851" s="3" t="s">
        <v>20179</v>
      </c>
      <c r="L3851" s="3"/>
      <c r="M3851" s="4" t="s">
        <v>20180</v>
      </c>
      <c r="N3851" s="3" t="s">
        <v>37</v>
      </c>
      <c r="O3851" s="3" t="s">
        <v>237</v>
      </c>
      <c r="P3851" s="5">
        <v>30</v>
      </c>
      <c r="Q3851" s="5">
        <v>822</v>
      </c>
      <c r="R3851" s="5">
        <v>29</v>
      </c>
      <c r="S3851" s="5">
        <v>742</v>
      </c>
    </row>
    <row r="3852" spans="1:19" ht="28" x14ac:dyDescent="0.15">
      <c r="A3852" s="2">
        <f>HYPERLINK("https://open-school.uspishnemisto.com.ua/school/210023/", 210023)</f>
        <v>210023</v>
      </c>
      <c r="B3852" s="3" t="s">
        <v>20181</v>
      </c>
      <c r="C3852" s="3" t="s">
        <v>31</v>
      </c>
      <c r="D3852" s="3" t="s">
        <v>32</v>
      </c>
      <c r="E3852" s="4" t="s">
        <v>22</v>
      </c>
      <c r="F3852" s="4" t="s">
        <v>20152</v>
      </c>
      <c r="G3852" s="4" t="s">
        <v>20073</v>
      </c>
      <c r="H3852" s="3" t="s">
        <v>20074</v>
      </c>
      <c r="I3852" s="3" t="s">
        <v>20075</v>
      </c>
      <c r="J3852" s="3" t="s">
        <v>20182</v>
      </c>
      <c r="K3852" s="3" t="s">
        <v>20183</v>
      </c>
      <c r="L3852" s="3"/>
      <c r="M3852" s="4" t="s">
        <v>20184</v>
      </c>
      <c r="N3852" s="3" t="s">
        <v>37</v>
      </c>
      <c r="O3852" s="3" t="s">
        <v>123</v>
      </c>
      <c r="P3852" s="5">
        <v>20</v>
      </c>
      <c r="Q3852" s="5">
        <v>542</v>
      </c>
      <c r="R3852" s="5">
        <v>20</v>
      </c>
      <c r="S3852" s="5">
        <v>533</v>
      </c>
    </row>
    <row r="3853" spans="1:19" ht="28" x14ac:dyDescent="0.15">
      <c r="A3853" s="2">
        <f>HYPERLINK("https://open-school.uspishnemisto.com.ua/school/210024/", 210024)</f>
        <v>210024</v>
      </c>
      <c r="B3853" s="3" t="s">
        <v>20185</v>
      </c>
      <c r="C3853" s="3" t="s">
        <v>244</v>
      </c>
      <c r="D3853" s="3" t="s">
        <v>60</v>
      </c>
      <c r="E3853" s="4" t="s">
        <v>22</v>
      </c>
      <c r="F3853" s="4" t="s">
        <v>20072</v>
      </c>
      <c r="G3853" s="4" t="s">
        <v>20073</v>
      </c>
      <c r="H3853" s="3" t="s">
        <v>20074</v>
      </c>
      <c r="I3853" s="3" t="s">
        <v>20075</v>
      </c>
      <c r="J3853" s="3" t="s">
        <v>20186</v>
      </c>
      <c r="K3853" s="3" t="s">
        <v>20187</v>
      </c>
      <c r="L3853" s="3"/>
      <c r="M3853" s="4" t="s">
        <v>20188</v>
      </c>
      <c r="N3853" s="3" t="s">
        <v>37</v>
      </c>
      <c r="O3853" s="3" t="s">
        <v>52</v>
      </c>
      <c r="P3853" s="5">
        <v>12</v>
      </c>
      <c r="Q3853" s="5">
        <v>367</v>
      </c>
      <c r="R3853" s="5">
        <v>12</v>
      </c>
      <c r="S3853" s="5">
        <v>386</v>
      </c>
    </row>
    <row r="3854" spans="1:19" ht="42" x14ac:dyDescent="0.15">
      <c r="A3854" s="2">
        <f>HYPERLINK("https://open-school.uspishnemisto.com.ua/school/210025/", 210025)</f>
        <v>210025</v>
      </c>
      <c r="B3854" s="3" t="s">
        <v>20189</v>
      </c>
      <c r="C3854" s="3" t="s">
        <v>244</v>
      </c>
      <c r="D3854" s="3" t="s">
        <v>32</v>
      </c>
      <c r="E3854" s="4" t="s">
        <v>22</v>
      </c>
      <c r="F3854" s="4" t="s">
        <v>20072</v>
      </c>
      <c r="G3854" s="4" t="s">
        <v>20073</v>
      </c>
      <c r="H3854" s="3" t="s">
        <v>20074</v>
      </c>
      <c r="I3854" s="3" t="s">
        <v>20075</v>
      </c>
      <c r="J3854" s="3" t="s">
        <v>20190</v>
      </c>
      <c r="K3854" s="3" t="s">
        <v>20191</v>
      </c>
      <c r="L3854" s="3" t="s">
        <v>20192</v>
      </c>
      <c r="M3854" s="4" t="s">
        <v>20193</v>
      </c>
      <c r="N3854" s="3" t="s">
        <v>37</v>
      </c>
      <c r="O3854" s="3" t="s">
        <v>123</v>
      </c>
      <c r="P3854" s="5">
        <v>33</v>
      </c>
      <c r="Q3854" s="5">
        <v>1026</v>
      </c>
      <c r="R3854" s="5">
        <v>33</v>
      </c>
      <c r="S3854" s="5">
        <v>1043</v>
      </c>
    </row>
    <row r="3855" spans="1:19" ht="42" x14ac:dyDescent="0.15">
      <c r="A3855" s="2">
        <f>HYPERLINK("https://open-school.uspishnemisto.com.ua/school/210026/", 210026)</f>
        <v>210026</v>
      </c>
      <c r="B3855" s="3" t="s">
        <v>20194</v>
      </c>
      <c r="C3855" s="3" t="s">
        <v>244</v>
      </c>
      <c r="D3855" s="3" t="s">
        <v>32</v>
      </c>
      <c r="E3855" s="4" t="s">
        <v>22</v>
      </c>
      <c r="F3855" s="4"/>
      <c r="G3855" s="4" t="s">
        <v>20073</v>
      </c>
      <c r="H3855" s="3" t="s">
        <v>20074</v>
      </c>
      <c r="I3855" s="3" t="s">
        <v>20075</v>
      </c>
      <c r="J3855" s="3" t="s">
        <v>20195</v>
      </c>
      <c r="K3855" s="3" t="s">
        <v>20196</v>
      </c>
      <c r="L3855" s="3"/>
      <c r="M3855" s="4" t="s">
        <v>20197</v>
      </c>
      <c r="N3855" s="3" t="s">
        <v>967</v>
      </c>
      <c r="O3855" s="3" t="s">
        <v>20198</v>
      </c>
      <c r="P3855" s="5">
        <v>22</v>
      </c>
      <c r="Q3855" s="5">
        <v>640</v>
      </c>
      <c r="R3855" s="5">
        <v>22</v>
      </c>
      <c r="S3855" s="5">
        <v>634</v>
      </c>
    </row>
    <row r="3856" spans="1:19" ht="42" x14ac:dyDescent="0.15">
      <c r="A3856" s="2">
        <f>HYPERLINK("https://open-school.uspishnemisto.com.ua/school/210027/", 210027)</f>
        <v>210027</v>
      </c>
      <c r="B3856" s="3" t="s">
        <v>20199</v>
      </c>
      <c r="C3856" s="3" t="s">
        <v>244</v>
      </c>
      <c r="D3856" s="3" t="s">
        <v>32</v>
      </c>
      <c r="E3856" s="4" t="s">
        <v>22</v>
      </c>
      <c r="F3856" s="4" t="s">
        <v>20142</v>
      </c>
      <c r="G3856" s="4" t="s">
        <v>20073</v>
      </c>
      <c r="H3856" s="3" t="s">
        <v>20074</v>
      </c>
      <c r="I3856" s="3" t="s">
        <v>20075</v>
      </c>
      <c r="J3856" s="3" t="s">
        <v>20200</v>
      </c>
      <c r="K3856" s="3" t="s">
        <v>20201</v>
      </c>
      <c r="L3856" s="3"/>
      <c r="M3856" s="4" t="s">
        <v>20202</v>
      </c>
      <c r="N3856" s="3" t="s">
        <v>37</v>
      </c>
      <c r="O3856" s="3" t="s">
        <v>1081</v>
      </c>
      <c r="P3856" s="5">
        <v>33</v>
      </c>
      <c r="Q3856" s="5">
        <v>1025</v>
      </c>
      <c r="R3856" s="5">
        <v>32</v>
      </c>
      <c r="S3856" s="5">
        <v>1001</v>
      </c>
    </row>
    <row r="3857" spans="1:19" ht="28" x14ac:dyDescent="0.15">
      <c r="A3857" s="2">
        <f>HYPERLINK("https://open-school.uspishnemisto.com.ua/school/210028/", 210028)</f>
        <v>210028</v>
      </c>
      <c r="B3857" s="3" t="s">
        <v>20203</v>
      </c>
      <c r="C3857" s="3" t="s">
        <v>181</v>
      </c>
      <c r="D3857" s="3" t="s">
        <v>32</v>
      </c>
      <c r="E3857" s="4" t="s">
        <v>22</v>
      </c>
      <c r="F3857" s="4" t="s">
        <v>20137</v>
      </c>
      <c r="G3857" s="4" t="s">
        <v>20073</v>
      </c>
      <c r="H3857" s="3" t="s">
        <v>20074</v>
      </c>
      <c r="I3857" s="3" t="s">
        <v>20075</v>
      </c>
      <c r="J3857" s="3" t="s">
        <v>20204</v>
      </c>
      <c r="K3857" s="3" t="s">
        <v>20205</v>
      </c>
      <c r="L3857" s="3"/>
      <c r="M3857" s="4" t="s">
        <v>20206</v>
      </c>
      <c r="N3857" s="3" t="s">
        <v>37</v>
      </c>
      <c r="O3857" s="3" t="s">
        <v>52</v>
      </c>
      <c r="P3857" s="5">
        <v>10</v>
      </c>
      <c r="Q3857" s="5">
        <v>71</v>
      </c>
      <c r="R3857" s="5">
        <v>11</v>
      </c>
      <c r="S3857" s="5">
        <v>70</v>
      </c>
    </row>
    <row r="3858" spans="1:19" ht="28" x14ac:dyDescent="0.15">
      <c r="A3858" s="2">
        <f>HYPERLINK("https://open-school.uspishnemisto.com.ua/school/210029/", 210029)</f>
        <v>210029</v>
      </c>
      <c r="B3858" s="3" t="s">
        <v>20207</v>
      </c>
      <c r="C3858" s="3" t="s">
        <v>54</v>
      </c>
      <c r="D3858" s="3" t="s">
        <v>60</v>
      </c>
      <c r="E3858" s="4" t="s">
        <v>22</v>
      </c>
      <c r="F3858" s="4" t="s">
        <v>20072</v>
      </c>
      <c r="G3858" s="4" t="s">
        <v>20073</v>
      </c>
      <c r="H3858" s="3" t="s">
        <v>20074</v>
      </c>
      <c r="I3858" s="3" t="s">
        <v>20075</v>
      </c>
      <c r="J3858" s="3" t="s">
        <v>20208</v>
      </c>
      <c r="K3858" s="3" t="s">
        <v>20209</v>
      </c>
      <c r="L3858" s="3"/>
      <c r="M3858" s="4" t="s">
        <v>20210</v>
      </c>
      <c r="N3858" s="3" t="s">
        <v>37</v>
      </c>
      <c r="O3858" s="3" t="s">
        <v>52</v>
      </c>
      <c r="P3858" s="5">
        <v>5</v>
      </c>
      <c r="Q3858" s="5">
        <v>149</v>
      </c>
      <c r="R3858" s="5">
        <v>5</v>
      </c>
      <c r="S3858" s="5">
        <v>151</v>
      </c>
    </row>
    <row r="3859" spans="1:19" ht="28" x14ac:dyDescent="0.15">
      <c r="A3859" s="2">
        <f>HYPERLINK("https://open-school.uspishnemisto.com.ua/school/210030/", 210030)</f>
        <v>210030</v>
      </c>
      <c r="B3859" s="3" t="s">
        <v>20211</v>
      </c>
      <c r="C3859" s="3" t="s">
        <v>20</v>
      </c>
      <c r="D3859" s="3" t="s">
        <v>19078</v>
      </c>
      <c r="E3859" s="4" t="s">
        <v>22</v>
      </c>
      <c r="F3859" s="4" t="s">
        <v>20212</v>
      </c>
      <c r="G3859" s="4" t="s">
        <v>20213</v>
      </c>
      <c r="H3859" s="3" t="s">
        <v>20074</v>
      </c>
      <c r="I3859" s="3" t="s">
        <v>20214</v>
      </c>
      <c r="J3859" s="3" t="s">
        <v>20215</v>
      </c>
      <c r="K3859" s="3" t="s">
        <v>20216</v>
      </c>
      <c r="L3859" s="3"/>
      <c r="M3859" s="4" t="s">
        <v>20217</v>
      </c>
      <c r="N3859" s="3"/>
      <c r="O3859" s="3"/>
      <c r="P3859" s="5">
        <v>0</v>
      </c>
      <c r="Q3859" s="5">
        <v>0</v>
      </c>
      <c r="R3859" s="5"/>
      <c r="S3859" s="5"/>
    </row>
    <row r="3860" spans="1:19" ht="28" x14ac:dyDescent="0.15">
      <c r="A3860" s="2">
        <f>HYPERLINK("https://open-school.uspishnemisto.com.ua/school/210031/", 210031)</f>
        <v>210031</v>
      </c>
      <c r="B3860" s="3" t="s">
        <v>20218</v>
      </c>
      <c r="C3860" s="3" t="s">
        <v>40</v>
      </c>
      <c r="D3860" s="3" t="s">
        <v>32</v>
      </c>
      <c r="E3860" s="4" t="s">
        <v>22</v>
      </c>
      <c r="F3860" s="4" t="s">
        <v>20212</v>
      </c>
      <c r="G3860" s="4" t="s">
        <v>20213</v>
      </c>
      <c r="H3860" s="3" t="s">
        <v>20074</v>
      </c>
      <c r="I3860" s="3" t="s">
        <v>20214</v>
      </c>
      <c r="J3860" s="3" t="s">
        <v>20219</v>
      </c>
      <c r="K3860" s="3" t="s">
        <v>20220</v>
      </c>
      <c r="L3860" s="3"/>
      <c r="M3860" s="4" t="s">
        <v>20221</v>
      </c>
      <c r="N3860" s="3" t="s">
        <v>37</v>
      </c>
      <c r="O3860" s="3" t="s">
        <v>46</v>
      </c>
      <c r="P3860" s="5">
        <v>14</v>
      </c>
      <c r="Q3860" s="5">
        <v>282</v>
      </c>
      <c r="R3860" s="5">
        <v>14</v>
      </c>
      <c r="S3860" s="5">
        <v>302</v>
      </c>
    </row>
    <row r="3861" spans="1:19" ht="42" x14ac:dyDescent="0.15">
      <c r="A3861" s="2">
        <f>HYPERLINK("https://open-school.uspishnemisto.com.ua/school/210032/", 210032)</f>
        <v>210032</v>
      </c>
      <c r="B3861" s="3" t="s">
        <v>20222</v>
      </c>
      <c r="C3861" s="3" t="s">
        <v>31</v>
      </c>
      <c r="D3861" s="3" t="s">
        <v>32</v>
      </c>
      <c r="E3861" s="4" t="s">
        <v>22</v>
      </c>
      <c r="F3861" s="4" t="s">
        <v>20223</v>
      </c>
      <c r="G3861" s="4" t="s">
        <v>20213</v>
      </c>
      <c r="H3861" s="3" t="s">
        <v>20074</v>
      </c>
      <c r="I3861" s="3" t="s">
        <v>20214</v>
      </c>
      <c r="J3861" s="3" t="s">
        <v>18871</v>
      </c>
      <c r="K3861" s="3" t="s">
        <v>20224</v>
      </c>
      <c r="L3861" s="3"/>
      <c r="M3861" s="4" t="s">
        <v>20225</v>
      </c>
      <c r="N3861" s="3" t="s">
        <v>20226</v>
      </c>
      <c r="O3861" s="3" t="s">
        <v>20097</v>
      </c>
      <c r="P3861" s="5">
        <v>22</v>
      </c>
      <c r="Q3861" s="5">
        <v>340</v>
      </c>
      <c r="R3861" s="5">
        <v>22</v>
      </c>
      <c r="S3861" s="5">
        <v>333</v>
      </c>
    </row>
    <row r="3862" spans="1:19" ht="42" x14ac:dyDescent="0.15">
      <c r="A3862" s="2">
        <f>HYPERLINK("https://open-school.uspishnemisto.com.ua/school/210033/", 210033)</f>
        <v>210033</v>
      </c>
      <c r="B3862" s="3" t="s">
        <v>20227</v>
      </c>
      <c r="C3862" s="3" t="s">
        <v>31</v>
      </c>
      <c r="D3862" s="3" t="s">
        <v>175</v>
      </c>
      <c r="E3862" s="4" t="s">
        <v>22</v>
      </c>
      <c r="F3862" s="4" t="s">
        <v>20212</v>
      </c>
      <c r="G3862" s="4" t="s">
        <v>20213</v>
      </c>
      <c r="H3862" s="3" t="s">
        <v>20074</v>
      </c>
      <c r="I3862" s="3" t="s">
        <v>20214</v>
      </c>
      <c r="J3862" s="3" t="s">
        <v>20228</v>
      </c>
      <c r="K3862" s="3" t="s">
        <v>20229</v>
      </c>
      <c r="L3862" s="3" t="s">
        <v>20230</v>
      </c>
      <c r="M3862" s="4" t="s">
        <v>20231</v>
      </c>
      <c r="N3862" s="3" t="s">
        <v>18409</v>
      </c>
      <c r="O3862" s="3" t="s">
        <v>52</v>
      </c>
      <c r="P3862" s="5">
        <v>9</v>
      </c>
      <c r="Q3862" s="5">
        <v>180</v>
      </c>
      <c r="R3862" s="5">
        <v>9</v>
      </c>
      <c r="S3862" s="5">
        <v>166</v>
      </c>
    </row>
    <row r="3863" spans="1:19" ht="42" x14ac:dyDescent="0.15">
      <c r="A3863" s="2">
        <f>HYPERLINK("https://open-school.uspishnemisto.com.ua/school/210034/", 210034)</f>
        <v>210034</v>
      </c>
      <c r="B3863" s="3" t="s">
        <v>20232</v>
      </c>
      <c r="C3863" s="3" t="s">
        <v>31</v>
      </c>
      <c r="D3863" s="3" t="s">
        <v>175</v>
      </c>
      <c r="E3863" s="4" t="s">
        <v>22</v>
      </c>
      <c r="F3863" s="4" t="s">
        <v>20212</v>
      </c>
      <c r="G3863" s="4" t="s">
        <v>20213</v>
      </c>
      <c r="H3863" s="3" t="s">
        <v>20074</v>
      </c>
      <c r="I3863" s="3" t="s">
        <v>20214</v>
      </c>
      <c r="J3863" s="3" t="s">
        <v>20233</v>
      </c>
      <c r="K3863" s="3" t="s">
        <v>20234</v>
      </c>
      <c r="L3863" s="3" t="s">
        <v>20235</v>
      </c>
      <c r="M3863" s="4" t="s">
        <v>20236</v>
      </c>
      <c r="N3863" s="3" t="s">
        <v>18409</v>
      </c>
      <c r="O3863" s="3" t="s">
        <v>52</v>
      </c>
      <c r="P3863" s="5">
        <v>8</v>
      </c>
      <c r="Q3863" s="5">
        <v>131</v>
      </c>
      <c r="R3863" s="5">
        <v>8</v>
      </c>
      <c r="S3863" s="5">
        <v>112</v>
      </c>
    </row>
    <row r="3864" spans="1:19" ht="28" x14ac:dyDescent="0.15">
      <c r="A3864" s="2">
        <f>HYPERLINK("https://open-school.uspishnemisto.com.ua/school/210035/", 210035)</f>
        <v>210035</v>
      </c>
      <c r="B3864" s="3" t="s">
        <v>20237</v>
      </c>
      <c r="C3864" s="3" t="s">
        <v>31</v>
      </c>
      <c r="D3864" s="3" t="s">
        <v>32</v>
      </c>
      <c r="E3864" s="4" t="s">
        <v>22</v>
      </c>
      <c r="F3864" s="4" t="s">
        <v>20212</v>
      </c>
      <c r="G3864" s="4" t="s">
        <v>20213</v>
      </c>
      <c r="H3864" s="3" t="s">
        <v>20074</v>
      </c>
      <c r="I3864" s="3" t="s">
        <v>20214</v>
      </c>
      <c r="J3864" s="3" t="s">
        <v>20219</v>
      </c>
      <c r="K3864" s="3" t="s">
        <v>20238</v>
      </c>
      <c r="L3864" s="3" t="s">
        <v>20239</v>
      </c>
      <c r="M3864" s="4" t="s">
        <v>20240</v>
      </c>
      <c r="N3864" s="3" t="s">
        <v>37</v>
      </c>
      <c r="O3864" s="3" t="s">
        <v>46</v>
      </c>
      <c r="P3864" s="5">
        <v>30</v>
      </c>
      <c r="Q3864" s="5">
        <v>728</v>
      </c>
      <c r="R3864" s="5">
        <v>30</v>
      </c>
      <c r="S3864" s="5">
        <v>753</v>
      </c>
    </row>
    <row r="3865" spans="1:19" ht="28" x14ac:dyDescent="0.15">
      <c r="A3865" s="2">
        <f>HYPERLINK("https://open-school.uspishnemisto.com.ua/school/210036/", 210036)</f>
        <v>210036</v>
      </c>
      <c r="B3865" s="3" t="s">
        <v>20241</v>
      </c>
      <c r="C3865" s="3" t="s">
        <v>31</v>
      </c>
      <c r="D3865" s="3" t="s">
        <v>32</v>
      </c>
      <c r="E3865" s="4" t="s">
        <v>22</v>
      </c>
      <c r="F3865" s="4" t="s">
        <v>20212</v>
      </c>
      <c r="G3865" s="4" t="s">
        <v>20213</v>
      </c>
      <c r="H3865" s="3" t="s">
        <v>20074</v>
      </c>
      <c r="I3865" s="3" t="s">
        <v>20214</v>
      </c>
      <c r="J3865" s="3" t="s">
        <v>20242</v>
      </c>
      <c r="K3865" s="3" t="s">
        <v>20243</v>
      </c>
      <c r="L3865" s="3" t="s">
        <v>20244</v>
      </c>
      <c r="M3865" s="4"/>
      <c r="N3865" s="3" t="s">
        <v>20245</v>
      </c>
      <c r="O3865" s="3" t="s">
        <v>20246</v>
      </c>
      <c r="P3865" s="5">
        <v>18</v>
      </c>
      <c r="Q3865" s="5">
        <v>180</v>
      </c>
      <c r="R3865" s="5">
        <v>19</v>
      </c>
      <c r="S3865" s="5">
        <v>205</v>
      </c>
    </row>
    <row r="3866" spans="1:19" ht="42" x14ac:dyDescent="0.15">
      <c r="A3866" s="2">
        <f>HYPERLINK("https://open-school.uspishnemisto.com.ua/school/210037/", 210037)</f>
        <v>210037</v>
      </c>
      <c r="B3866" s="3" t="s">
        <v>20247</v>
      </c>
      <c r="C3866" s="3" t="s">
        <v>31</v>
      </c>
      <c r="D3866" s="3" t="s">
        <v>32</v>
      </c>
      <c r="E3866" s="4" t="s">
        <v>22</v>
      </c>
      <c r="F3866" s="4" t="s">
        <v>20212</v>
      </c>
      <c r="G3866" s="4" t="s">
        <v>20213</v>
      </c>
      <c r="H3866" s="3" t="s">
        <v>20074</v>
      </c>
      <c r="I3866" s="3" t="s">
        <v>20214</v>
      </c>
      <c r="J3866" s="3" t="s">
        <v>20248</v>
      </c>
      <c r="K3866" s="3"/>
      <c r="L3866" s="3"/>
      <c r="M3866" s="4" t="s">
        <v>20249</v>
      </c>
      <c r="N3866" s="3" t="s">
        <v>18409</v>
      </c>
      <c r="O3866" s="3" t="s">
        <v>52</v>
      </c>
      <c r="P3866" s="5">
        <v>23</v>
      </c>
      <c r="Q3866" s="5">
        <v>638</v>
      </c>
      <c r="R3866" s="5">
        <v>23</v>
      </c>
      <c r="S3866" s="5">
        <v>607</v>
      </c>
    </row>
    <row r="3867" spans="1:19" ht="56" x14ac:dyDescent="0.15">
      <c r="A3867" s="2">
        <f>HYPERLINK("https://open-school.uspishnemisto.com.ua/school/210038/", 210038)</f>
        <v>210038</v>
      </c>
      <c r="B3867" s="3" t="s">
        <v>20250</v>
      </c>
      <c r="C3867" s="3" t="s">
        <v>244</v>
      </c>
      <c r="D3867" s="3" t="s">
        <v>32</v>
      </c>
      <c r="E3867" s="4" t="s">
        <v>22</v>
      </c>
      <c r="F3867" s="4" t="s">
        <v>20212</v>
      </c>
      <c r="G3867" s="4" t="s">
        <v>20213</v>
      </c>
      <c r="H3867" s="3" t="s">
        <v>20074</v>
      </c>
      <c r="I3867" s="3" t="s">
        <v>20214</v>
      </c>
      <c r="J3867" s="3" t="s">
        <v>20251</v>
      </c>
      <c r="K3867" s="3" t="s">
        <v>20252</v>
      </c>
      <c r="L3867" s="3"/>
      <c r="M3867" s="4" t="s">
        <v>20253</v>
      </c>
      <c r="N3867" s="3" t="s">
        <v>37</v>
      </c>
      <c r="O3867" s="3" t="s">
        <v>20097</v>
      </c>
      <c r="P3867" s="5">
        <v>25</v>
      </c>
      <c r="Q3867" s="5">
        <v>581</v>
      </c>
      <c r="R3867" s="5">
        <v>27</v>
      </c>
      <c r="S3867" s="5">
        <v>606</v>
      </c>
    </row>
    <row r="3868" spans="1:19" ht="42" x14ac:dyDescent="0.15">
      <c r="A3868" s="2">
        <f>HYPERLINK("https://open-school.uspishnemisto.com.ua/school/210039/", 210039)</f>
        <v>210039</v>
      </c>
      <c r="B3868" s="3" t="s">
        <v>20254</v>
      </c>
      <c r="C3868" s="3" t="s">
        <v>31</v>
      </c>
      <c r="D3868" s="3" t="s">
        <v>175</v>
      </c>
      <c r="E3868" s="4" t="s">
        <v>22</v>
      </c>
      <c r="F3868" s="4" t="s">
        <v>20212</v>
      </c>
      <c r="G3868" s="4" t="s">
        <v>20213</v>
      </c>
      <c r="H3868" s="3" t="s">
        <v>20074</v>
      </c>
      <c r="I3868" s="3" t="s">
        <v>20214</v>
      </c>
      <c r="J3868" s="3" t="s">
        <v>20255</v>
      </c>
      <c r="K3868" s="3" t="s">
        <v>20256</v>
      </c>
      <c r="L3868" s="3"/>
      <c r="M3868" s="4" t="s">
        <v>20257</v>
      </c>
      <c r="N3868" s="3" t="s">
        <v>18409</v>
      </c>
      <c r="O3868" s="3" t="s">
        <v>52</v>
      </c>
      <c r="P3868" s="5">
        <v>13</v>
      </c>
      <c r="Q3868" s="5">
        <v>334</v>
      </c>
      <c r="R3868" s="5">
        <v>13</v>
      </c>
      <c r="S3868" s="5">
        <v>338</v>
      </c>
    </row>
    <row r="3869" spans="1:19" ht="28" x14ac:dyDescent="0.15">
      <c r="A3869" s="2">
        <f>HYPERLINK("https://open-school.uspishnemisto.com.ua/school/210040/", 210040)</f>
        <v>210040</v>
      </c>
      <c r="B3869" s="3" t="s">
        <v>20258</v>
      </c>
      <c r="C3869" s="3" t="s">
        <v>40</v>
      </c>
      <c r="D3869" s="3" t="s">
        <v>32</v>
      </c>
      <c r="E3869" s="4" t="s">
        <v>22</v>
      </c>
      <c r="F3869" s="4" t="s">
        <v>20212</v>
      </c>
      <c r="G3869" s="4" t="s">
        <v>20213</v>
      </c>
      <c r="H3869" s="3" t="s">
        <v>20074</v>
      </c>
      <c r="I3869" s="3" t="s">
        <v>20214</v>
      </c>
      <c r="J3869" s="3" t="s">
        <v>20259</v>
      </c>
      <c r="K3869" s="3" t="s">
        <v>20260</v>
      </c>
      <c r="L3869" s="3"/>
      <c r="M3869" s="4" t="s">
        <v>20261</v>
      </c>
      <c r="N3869" s="3" t="s">
        <v>18409</v>
      </c>
      <c r="O3869" s="3" t="s">
        <v>46</v>
      </c>
      <c r="P3869" s="5">
        <v>12</v>
      </c>
      <c r="Q3869" s="5">
        <v>286</v>
      </c>
      <c r="R3869" s="5">
        <v>14</v>
      </c>
      <c r="S3869" s="5">
        <v>305</v>
      </c>
    </row>
    <row r="3870" spans="1:19" ht="28" x14ac:dyDescent="0.15">
      <c r="A3870" s="2">
        <f>HYPERLINK("https://open-school.uspishnemisto.com.ua/school/210041/", 210041)</f>
        <v>210041</v>
      </c>
      <c r="B3870" s="3" t="s">
        <v>20262</v>
      </c>
      <c r="C3870" s="3" t="s">
        <v>4989</v>
      </c>
      <c r="D3870" s="3" t="s">
        <v>32</v>
      </c>
      <c r="E3870" s="4" t="s">
        <v>22</v>
      </c>
      <c r="F3870" s="4" t="s">
        <v>20212</v>
      </c>
      <c r="G3870" s="4" t="s">
        <v>20213</v>
      </c>
      <c r="H3870" s="3" t="s">
        <v>20074</v>
      </c>
      <c r="I3870" s="3" t="s">
        <v>20214</v>
      </c>
      <c r="J3870" s="3" t="s">
        <v>14725</v>
      </c>
      <c r="K3870" s="3" t="s">
        <v>1738</v>
      </c>
      <c r="L3870" s="3"/>
      <c r="M3870" s="4" t="s">
        <v>20263</v>
      </c>
      <c r="N3870" s="3" t="s">
        <v>20226</v>
      </c>
      <c r="O3870" s="3" t="s">
        <v>52</v>
      </c>
      <c r="P3870" s="5">
        <v>21</v>
      </c>
      <c r="Q3870" s="5">
        <v>204</v>
      </c>
      <c r="R3870" s="5">
        <v>21</v>
      </c>
      <c r="S3870" s="5">
        <v>202</v>
      </c>
    </row>
    <row r="3871" spans="1:19" ht="28" x14ac:dyDescent="0.15">
      <c r="A3871" s="2">
        <f>HYPERLINK("https://open-school.uspishnemisto.com.ua/school/210042/", 210042)</f>
        <v>210042</v>
      </c>
      <c r="B3871" s="3" t="s">
        <v>20264</v>
      </c>
      <c r="C3871" s="3" t="s">
        <v>48</v>
      </c>
      <c r="D3871" s="3" t="s">
        <v>32</v>
      </c>
      <c r="E3871" s="4" t="s">
        <v>22</v>
      </c>
      <c r="F3871" s="4" t="s">
        <v>20265</v>
      </c>
      <c r="G3871" s="4" t="s">
        <v>20266</v>
      </c>
      <c r="H3871" s="3" t="s">
        <v>20074</v>
      </c>
      <c r="I3871" s="3" t="s">
        <v>20267</v>
      </c>
      <c r="J3871" s="3" t="s">
        <v>20268</v>
      </c>
      <c r="K3871" s="3" t="s">
        <v>20269</v>
      </c>
      <c r="L3871" s="3"/>
      <c r="M3871" s="4" t="s">
        <v>20270</v>
      </c>
      <c r="N3871" s="3" t="s">
        <v>37</v>
      </c>
      <c r="O3871" s="3" t="s">
        <v>46</v>
      </c>
      <c r="P3871" s="5">
        <v>6</v>
      </c>
      <c r="Q3871" s="5">
        <v>178</v>
      </c>
      <c r="R3871" s="5">
        <v>6</v>
      </c>
      <c r="S3871" s="5">
        <v>178</v>
      </c>
    </row>
    <row r="3872" spans="1:19" ht="42" x14ac:dyDescent="0.15">
      <c r="A3872" s="2">
        <f>HYPERLINK("https://open-school.uspishnemisto.com.ua/school/210043/", 210043)</f>
        <v>210043</v>
      </c>
      <c r="B3872" s="3" t="s">
        <v>20271</v>
      </c>
      <c r="C3872" s="3" t="s">
        <v>31</v>
      </c>
      <c r="D3872" s="3" t="s">
        <v>32</v>
      </c>
      <c r="E3872" s="4" t="s">
        <v>22</v>
      </c>
      <c r="F3872" s="4" t="s">
        <v>20265</v>
      </c>
      <c r="G3872" s="4" t="s">
        <v>20266</v>
      </c>
      <c r="H3872" s="3" t="s">
        <v>20074</v>
      </c>
      <c r="I3872" s="3" t="s">
        <v>20267</v>
      </c>
      <c r="J3872" s="3" t="s">
        <v>20272</v>
      </c>
      <c r="K3872" s="3" t="s">
        <v>20273</v>
      </c>
      <c r="L3872" s="3"/>
      <c r="M3872" s="4" t="s">
        <v>20274</v>
      </c>
      <c r="N3872" s="3" t="s">
        <v>37</v>
      </c>
      <c r="O3872" s="3" t="s">
        <v>2740</v>
      </c>
      <c r="P3872" s="5">
        <v>26</v>
      </c>
      <c r="Q3872" s="5">
        <v>730</v>
      </c>
      <c r="R3872" s="5">
        <v>26</v>
      </c>
      <c r="S3872" s="5">
        <v>704</v>
      </c>
    </row>
    <row r="3873" spans="1:19" ht="28" x14ac:dyDescent="0.15">
      <c r="A3873" s="2">
        <f>HYPERLINK("https://open-school.uspishnemisto.com.ua/school/210044/", 210044)</f>
        <v>210044</v>
      </c>
      <c r="B3873" s="3" t="s">
        <v>20275</v>
      </c>
      <c r="C3873" s="3" t="s">
        <v>31</v>
      </c>
      <c r="D3873" s="3" t="s">
        <v>175</v>
      </c>
      <c r="E3873" s="4" t="s">
        <v>22</v>
      </c>
      <c r="F3873" s="4" t="s">
        <v>20265</v>
      </c>
      <c r="G3873" s="4" t="s">
        <v>20266</v>
      </c>
      <c r="H3873" s="3" t="s">
        <v>20074</v>
      </c>
      <c r="I3873" s="3" t="s">
        <v>20267</v>
      </c>
      <c r="J3873" s="3" t="s">
        <v>20276</v>
      </c>
      <c r="K3873" s="3"/>
      <c r="L3873" s="3"/>
      <c r="M3873" s="4" t="s">
        <v>20277</v>
      </c>
      <c r="N3873" s="3" t="s">
        <v>18409</v>
      </c>
      <c r="O3873" s="3" t="s">
        <v>2740</v>
      </c>
      <c r="P3873" s="5">
        <v>28</v>
      </c>
      <c r="Q3873" s="5">
        <v>884</v>
      </c>
      <c r="R3873" s="5">
        <v>27</v>
      </c>
      <c r="S3873" s="5">
        <v>875</v>
      </c>
    </row>
    <row r="3874" spans="1:19" ht="28" x14ac:dyDescent="0.15">
      <c r="A3874" s="2">
        <f>HYPERLINK("https://open-school.uspishnemisto.com.ua/school/210045/", 210045)</f>
        <v>210045</v>
      </c>
      <c r="B3874" s="3" t="s">
        <v>20278</v>
      </c>
      <c r="C3874" s="3" t="s">
        <v>31</v>
      </c>
      <c r="D3874" s="3" t="s">
        <v>32</v>
      </c>
      <c r="E3874" s="4" t="s">
        <v>22</v>
      </c>
      <c r="F3874" s="4" t="s">
        <v>20265</v>
      </c>
      <c r="G3874" s="4" t="s">
        <v>20266</v>
      </c>
      <c r="H3874" s="3" t="s">
        <v>20074</v>
      </c>
      <c r="I3874" s="3" t="s">
        <v>20267</v>
      </c>
      <c r="J3874" s="3" t="s">
        <v>20279</v>
      </c>
      <c r="K3874" s="3"/>
      <c r="L3874" s="3"/>
      <c r="M3874" s="4" t="s">
        <v>20280</v>
      </c>
      <c r="N3874" s="3" t="s">
        <v>37</v>
      </c>
      <c r="O3874" s="3" t="s">
        <v>46</v>
      </c>
      <c r="P3874" s="5">
        <v>20</v>
      </c>
      <c r="Q3874" s="5">
        <v>404</v>
      </c>
      <c r="R3874" s="5">
        <v>19</v>
      </c>
      <c r="S3874" s="5">
        <v>383</v>
      </c>
    </row>
    <row r="3875" spans="1:19" ht="56" x14ac:dyDescent="0.15">
      <c r="A3875" s="2">
        <f>HYPERLINK("https://open-school.uspishnemisto.com.ua/school/210046/", 210046)</f>
        <v>210046</v>
      </c>
      <c r="B3875" s="3" t="s">
        <v>20281</v>
      </c>
      <c r="C3875" s="3" t="s">
        <v>54</v>
      </c>
      <c r="D3875" s="3" t="s">
        <v>32</v>
      </c>
      <c r="E3875" s="4" t="s">
        <v>22</v>
      </c>
      <c r="F3875" s="4" t="s">
        <v>20265</v>
      </c>
      <c r="G3875" s="4" t="s">
        <v>20266</v>
      </c>
      <c r="H3875" s="3" t="s">
        <v>20074</v>
      </c>
      <c r="I3875" s="3" t="s">
        <v>20267</v>
      </c>
      <c r="J3875" s="3" t="s">
        <v>20282</v>
      </c>
      <c r="K3875" s="3" t="s">
        <v>20283</v>
      </c>
      <c r="L3875" s="3" t="s">
        <v>20284</v>
      </c>
      <c r="M3875" s="4" t="s">
        <v>20285</v>
      </c>
      <c r="N3875" s="3" t="s">
        <v>37</v>
      </c>
      <c r="O3875" s="3" t="s">
        <v>70</v>
      </c>
      <c r="P3875" s="5">
        <v>26</v>
      </c>
      <c r="Q3875" s="5">
        <v>667</v>
      </c>
      <c r="R3875" s="5">
        <v>25</v>
      </c>
      <c r="S3875" s="5">
        <v>653</v>
      </c>
    </row>
    <row r="3876" spans="1:19" ht="28" x14ac:dyDescent="0.15">
      <c r="A3876" s="2">
        <f>HYPERLINK("https://open-school.uspishnemisto.com.ua/school/210047/", 210047)</f>
        <v>210047</v>
      </c>
      <c r="B3876" s="3" t="s">
        <v>20286</v>
      </c>
      <c r="C3876" s="3" t="s">
        <v>31</v>
      </c>
      <c r="D3876" s="3" t="s">
        <v>32</v>
      </c>
      <c r="E3876" s="4" t="s">
        <v>22</v>
      </c>
      <c r="F3876" s="4" t="s">
        <v>20265</v>
      </c>
      <c r="G3876" s="4" t="s">
        <v>20266</v>
      </c>
      <c r="H3876" s="3" t="s">
        <v>20074</v>
      </c>
      <c r="I3876" s="3" t="s">
        <v>20267</v>
      </c>
      <c r="J3876" s="3" t="s">
        <v>20287</v>
      </c>
      <c r="K3876" s="3" t="s">
        <v>20288</v>
      </c>
      <c r="L3876" s="3"/>
      <c r="M3876" s="4" t="s">
        <v>20289</v>
      </c>
      <c r="N3876" s="3" t="s">
        <v>37</v>
      </c>
      <c r="O3876" s="3" t="s">
        <v>46</v>
      </c>
      <c r="P3876" s="5">
        <v>33</v>
      </c>
      <c r="Q3876" s="5">
        <v>844</v>
      </c>
      <c r="R3876" s="5">
        <v>30</v>
      </c>
      <c r="S3876" s="5">
        <v>797</v>
      </c>
    </row>
    <row r="3877" spans="1:19" ht="42" x14ac:dyDescent="0.15">
      <c r="A3877" s="2">
        <f>HYPERLINK("https://open-school.uspishnemisto.com.ua/school/210048/", 210048)</f>
        <v>210048</v>
      </c>
      <c r="B3877" s="3" t="s">
        <v>20290</v>
      </c>
      <c r="C3877" s="3" t="s">
        <v>31</v>
      </c>
      <c r="D3877" s="3" t="s">
        <v>32</v>
      </c>
      <c r="E3877" s="4" t="s">
        <v>22</v>
      </c>
      <c r="F3877" s="4" t="s">
        <v>20265</v>
      </c>
      <c r="G3877" s="4" t="s">
        <v>20266</v>
      </c>
      <c r="H3877" s="3" t="s">
        <v>20074</v>
      </c>
      <c r="I3877" s="3" t="s">
        <v>20267</v>
      </c>
      <c r="J3877" s="3" t="s">
        <v>20291</v>
      </c>
      <c r="K3877" s="3" t="s">
        <v>20292</v>
      </c>
      <c r="L3877" s="3" t="s">
        <v>20293</v>
      </c>
      <c r="M3877" s="4" t="s">
        <v>20294</v>
      </c>
      <c r="N3877" s="3" t="s">
        <v>37</v>
      </c>
      <c r="O3877" s="3" t="s">
        <v>70</v>
      </c>
      <c r="P3877" s="5">
        <v>29</v>
      </c>
      <c r="Q3877" s="5">
        <v>804</v>
      </c>
      <c r="R3877" s="5">
        <v>29</v>
      </c>
      <c r="S3877" s="5">
        <v>819</v>
      </c>
    </row>
    <row r="3878" spans="1:19" ht="42" x14ac:dyDescent="0.15">
      <c r="A3878" s="2">
        <f>HYPERLINK("https://open-school.uspishnemisto.com.ua/school/210049/", 210049)</f>
        <v>210049</v>
      </c>
      <c r="B3878" s="3" t="s">
        <v>20295</v>
      </c>
      <c r="C3878" s="3" t="s">
        <v>31</v>
      </c>
      <c r="D3878" s="3" t="s">
        <v>32</v>
      </c>
      <c r="E3878" s="4" t="s">
        <v>22</v>
      </c>
      <c r="F3878" s="4" t="s">
        <v>20265</v>
      </c>
      <c r="G3878" s="4" t="s">
        <v>20266</v>
      </c>
      <c r="H3878" s="3" t="s">
        <v>20074</v>
      </c>
      <c r="I3878" s="3" t="s">
        <v>20267</v>
      </c>
      <c r="J3878" s="3" t="s">
        <v>20296</v>
      </c>
      <c r="K3878" s="3" t="s">
        <v>20297</v>
      </c>
      <c r="L3878" s="3"/>
      <c r="M3878" s="4" t="s">
        <v>20298</v>
      </c>
      <c r="N3878" s="3" t="s">
        <v>128</v>
      </c>
      <c r="O3878" s="3" t="s">
        <v>70</v>
      </c>
      <c r="P3878" s="5">
        <v>33</v>
      </c>
      <c r="Q3878" s="5">
        <v>844</v>
      </c>
      <c r="R3878" s="5">
        <v>33</v>
      </c>
      <c r="S3878" s="5">
        <v>853</v>
      </c>
    </row>
    <row r="3879" spans="1:19" ht="42" x14ac:dyDescent="0.15">
      <c r="A3879" s="2">
        <f>HYPERLINK("https://open-school.uspishnemisto.com.ua/school/210050/", 210050)</f>
        <v>210050</v>
      </c>
      <c r="B3879" s="3" t="s">
        <v>20299</v>
      </c>
      <c r="C3879" s="3" t="s">
        <v>244</v>
      </c>
      <c r="D3879" s="3" t="s">
        <v>32</v>
      </c>
      <c r="E3879" s="4" t="s">
        <v>22</v>
      </c>
      <c r="F3879" s="4" t="s">
        <v>20265</v>
      </c>
      <c r="G3879" s="4" t="s">
        <v>20266</v>
      </c>
      <c r="H3879" s="3" t="s">
        <v>20074</v>
      </c>
      <c r="I3879" s="3" t="s">
        <v>20267</v>
      </c>
      <c r="J3879" s="3" t="s">
        <v>20300</v>
      </c>
      <c r="K3879" s="3" t="s">
        <v>20301</v>
      </c>
      <c r="L3879" s="3" t="s">
        <v>20302</v>
      </c>
      <c r="M3879" s="4" t="s">
        <v>20303</v>
      </c>
      <c r="N3879" s="3" t="s">
        <v>37</v>
      </c>
      <c r="O3879" s="3" t="s">
        <v>46</v>
      </c>
      <c r="P3879" s="5">
        <v>20</v>
      </c>
      <c r="Q3879" s="5">
        <v>612</v>
      </c>
      <c r="R3879" s="5">
        <v>20</v>
      </c>
      <c r="S3879" s="5">
        <v>603</v>
      </c>
    </row>
    <row r="3880" spans="1:19" ht="42" x14ac:dyDescent="0.15">
      <c r="A3880" s="2">
        <f>HYPERLINK("https://open-school.uspishnemisto.com.ua/school/210051/", 210051)</f>
        <v>210051</v>
      </c>
      <c r="B3880" s="3" t="s">
        <v>20304</v>
      </c>
      <c r="C3880" s="3" t="s">
        <v>244</v>
      </c>
      <c r="D3880" s="3" t="s">
        <v>32</v>
      </c>
      <c r="E3880" s="4" t="s">
        <v>22</v>
      </c>
      <c r="F3880" s="4" t="s">
        <v>20265</v>
      </c>
      <c r="G3880" s="4" t="s">
        <v>20266</v>
      </c>
      <c r="H3880" s="3" t="s">
        <v>20074</v>
      </c>
      <c r="I3880" s="3" t="s">
        <v>20267</v>
      </c>
      <c r="J3880" s="3" t="s">
        <v>20305</v>
      </c>
      <c r="K3880" s="3" t="s">
        <v>20306</v>
      </c>
      <c r="L3880" s="3" t="s">
        <v>20307</v>
      </c>
      <c r="M3880" s="4" t="s">
        <v>20308</v>
      </c>
      <c r="N3880" s="3" t="s">
        <v>37</v>
      </c>
      <c r="O3880" s="3" t="s">
        <v>46</v>
      </c>
      <c r="P3880" s="5">
        <v>22</v>
      </c>
      <c r="Q3880" s="5">
        <v>596</v>
      </c>
      <c r="R3880" s="5">
        <v>22</v>
      </c>
      <c r="S3880" s="5">
        <v>587</v>
      </c>
    </row>
    <row r="3881" spans="1:19" ht="42" x14ac:dyDescent="0.15">
      <c r="A3881" s="2">
        <f>HYPERLINK("https://open-school.uspishnemisto.com.ua/school/210052/", 210052)</f>
        <v>210052</v>
      </c>
      <c r="B3881" s="3" t="s">
        <v>20309</v>
      </c>
      <c r="C3881" s="3" t="s">
        <v>244</v>
      </c>
      <c r="D3881" s="3" t="s">
        <v>32</v>
      </c>
      <c r="E3881" s="4" t="s">
        <v>22</v>
      </c>
      <c r="F3881" s="4" t="s">
        <v>20265</v>
      </c>
      <c r="G3881" s="4" t="s">
        <v>20266</v>
      </c>
      <c r="H3881" s="3" t="s">
        <v>20074</v>
      </c>
      <c r="I3881" s="3" t="s">
        <v>20267</v>
      </c>
      <c r="J3881" s="3" t="s">
        <v>1900</v>
      </c>
      <c r="K3881" s="3" t="s">
        <v>20310</v>
      </c>
      <c r="L3881" s="3"/>
      <c r="M3881" s="4" t="s">
        <v>20311</v>
      </c>
      <c r="N3881" s="3" t="s">
        <v>18409</v>
      </c>
      <c r="O3881" s="3" t="s">
        <v>46</v>
      </c>
      <c r="P3881" s="5">
        <v>20</v>
      </c>
      <c r="Q3881" s="5">
        <v>472</v>
      </c>
      <c r="R3881" s="5">
        <v>21</v>
      </c>
      <c r="S3881" s="5">
        <v>465</v>
      </c>
    </row>
    <row r="3882" spans="1:19" ht="28" x14ac:dyDescent="0.15">
      <c r="A3882" s="2">
        <f>HYPERLINK("https://open-school.uspishnemisto.com.ua/school/210053/", 210053)</f>
        <v>210053</v>
      </c>
      <c r="B3882" s="3" t="s">
        <v>20312</v>
      </c>
      <c r="C3882" s="3" t="s">
        <v>181</v>
      </c>
      <c r="D3882" s="3" t="s">
        <v>175</v>
      </c>
      <c r="E3882" s="4" t="s">
        <v>22</v>
      </c>
      <c r="F3882" s="4" t="s">
        <v>20265</v>
      </c>
      <c r="G3882" s="4" t="s">
        <v>20266</v>
      </c>
      <c r="H3882" s="3" t="s">
        <v>20074</v>
      </c>
      <c r="I3882" s="3" t="s">
        <v>20267</v>
      </c>
      <c r="J3882" s="3" t="s">
        <v>20313</v>
      </c>
      <c r="K3882" s="3" t="s">
        <v>20314</v>
      </c>
      <c r="L3882" s="3" t="s">
        <v>20315</v>
      </c>
      <c r="M3882" s="4" t="s">
        <v>20316</v>
      </c>
      <c r="N3882" s="3" t="s">
        <v>37</v>
      </c>
      <c r="O3882" s="3" t="s">
        <v>618</v>
      </c>
      <c r="P3882" s="5">
        <v>13</v>
      </c>
      <c r="Q3882" s="5">
        <v>113</v>
      </c>
      <c r="R3882" s="5">
        <v>13</v>
      </c>
      <c r="S3882" s="5">
        <v>112</v>
      </c>
    </row>
    <row r="3883" spans="1:19" ht="28" x14ac:dyDescent="0.15">
      <c r="A3883" s="2">
        <f>HYPERLINK("https://open-school.uspishnemisto.com.ua/school/210054/", 210054)</f>
        <v>210054</v>
      </c>
      <c r="B3883" s="3" t="s">
        <v>20317</v>
      </c>
      <c r="C3883" s="3" t="s">
        <v>188</v>
      </c>
      <c r="D3883" s="3" t="s">
        <v>32</v>
      </c>
      <c r="E3883" s="4" t="s">
        <v>41</v>
      </c>
      <c r="F3883" s="4" t="s">
        <v>20265</v>
      </c>
      <c r="G3883" s="4" t="s">
        <v>20266</v>
      </c>
      <c r="H3883" s="3" t="s">
        <v>20074</v>
      </c>
      <c r="I3883" s="3" t="s">
        <v>20267</v>
      </c>
      <c r="J3883" s="3" t="s">
        <v>20318</v>
      </c>
      <c r="K3883" s="3"/>
      <c r="L3883" s="3"/>
      <c r="M3883" s="4" t="s">
        <v>20319</v>
      </c>
      <c r="N3883" s="3" t="s">
        <v>18409</v>
      </c>
      <c r="O3883" s="3" t="s">
        <v>46</v>
      </c>
      <c r="P3883" s="5">
        <v>4</v>
      </c>
      <c r="Q3883" s="5">
        <v>57</v>
      </c>
      <c r="R3883" s="5">
        <v>4</v>
      </c>
      <c r="S3883" s="5">
        <v>57</v>
      </c>
    </row>
    <row r="3884" spans="1:19" ht="28" x14ac:dyDescent="0.15">
      <c r="A3884" s="2">
        <f>HYPERLINK("https://open-school.uspishnemisto.com.ua/school/210055/", 210055)</f>
        <v>210055</v>
      </c>
      <c r="B3884" s="3" t="s">
        <v>20320</v>
      </c>
      <c r="C3884" s="3" t="s">
        <v>188</v>
      </c>
      <c r="D3884" s="3" t="s">
        <v>32</v>
      </c>
      <c r="E3884" s="4" t="s">
        <v>22</v>
      </c>
      <c r="F3884" s="4" t="s">
        <v>20265</v>
      </c>
      <c r="G3884" s="4" t="s">
        <v>20266</v>
      </c>
      <c r="H3884" s="3" t="s">
        <v>20074</v>
      </c>
      <c r="I3884" s="3" t="s">
        <v>20267</v>
      </c>
      <c r="J3884" s="3" t="s">
        <v>20321</v>
      </c>
      <c r="K3884" s="3"/>
      <c r="L3884" s="3"/>
      <c r="M3884" s="4" t="s">
        <v>20322</v>
      </c>
      <c r="N3884" s="3" t="s">
        <v>37</v>
      </c>
      <c r="O3884" s="3" t="s">
        <v>52</v>
      </c>
      <c r="P3884" s="5">
        <v>9</v>
      </c>
      <c r="Q3884" s="5">
        <v>220</v>
      </c>
      <c r="R3884" s="5">
        <v>8</v>
      </c>
      <c r="S3884" s="5">
        <v>226</v>
      </c>
    </row>
    <row r="3885" spans="1:19" ht="42" x14ac:dyDescent="0.15">
      <c r="A3885" s="2">
        <f>HYPERLINK("https://open-school.uspishnemisto.com.ua/school/210056/", 210056)</f>
        <v>210056</v>
      </c>
      <c r="B3885" s="3" t="s">
        <v>20323</v>
      </c>
      <c r="C3885" s="3" t="s">
        <v>54</v>
      </c>
      <c r="D3885" s="3" t="s">
        <v>32</v>
      </c>
      <c r="E3885" s="4" t="s">
        <v>22</v>
      </c>
      <c r="F3885" s="4" t="s">
        <v>20265</v>
      </c>
      <c r="G3885" s="4" t="s">
        <v>20266</v>
      </c>
      <c r="H3885" s="3" t="s">
        <v>20074</v>
      </c>
      <c r="I3885" s="3" t="s">
        <v>20267</v>
      </c>
      <c r="J3885" s="3" t="s">
        <v>20324</v>
      </c>
      <c r="K3885" s="3" t="s">
        <v>20325</v>
      </c>
      <c r="L3885" s="3"/>
      <c r="M3885" s="4"/>
      <c r="N3885" s="3" t="s">
        <v>37</v>
      </c>
      <c r="O3885" s="3" t="s">
        <v>46</v>
      </c>
      <c r="P3885" s="5">
        <v>26</v>
      </c>
      <c r="Q3885" s="5">
        <v>657</v>
      </c>
      <c r="R3885" s="5">
        <v>25</v>
      </c>
      <c r="S3885" s="5">
        <v>642</v>
      </c>
    </row>
    <row r="3886" spans="1:19" ht="42" x14ac:dyDescent="0.15">
      <c r="A3886" s="2">
        <f>HYPERLINK("https://open-school.uspishnemisto.com.ua/school/210057/", 210057)</f>
        <v>210057</v>
      </c>
      <c r="B3886" s="3" t="s">
        <v>20326</v>
      </c>
      <c r="C3886" s="3" t="s">
        <v>54</v>
      </c>
      <c r="D3886" s="3" t="s">
        <v>175</v>
      </c>
      <c r="E3886" s="4" t="s">
        <v>22</v>
      </c>
      <c r="F3886" s="4" t="s">
        <v>20265</v>
      </c>
      <c r="G3886" s="4" t="s">
        <v>20266</v>
      </c>
      <c r="H3886" s="3" t="s">
        <v>20074</v>
      </c>
      <c r="I3886" s="3" t="s">
        <v>20267</v>
      </c>
      <c r="J3886" s="3" t="s">
        <v>20327</v>
      </c>
      <c r="K3886" s="3" t="s">
        <v>20328</v>
      </c>
      <c r="L3886" s="3"/>
      <c r="M3886" s="4" t="s">
        <v>20329</v>
      </c>
      <c r="N3886" s="3" t="s">
        <v>37</v>
      </c>
      <c r="O3886" s="3" t="s">
        <v>52</v>
      </c>
      <c r="P3886" s="5">
        <v>9</v>
      </c>
      <c r="Q3886" s="5">
        <v>138</v>
      </c>
      <c r="R3886" s="5">
        <v>9</v>
      </c>
      <c r="S3886" s="5">
        <v>128</v>
      </c>
    </row>
    <row r="3887" spans="1:19" ht="56" x14ac:dyDescent="0.15">
      <c r="A3887" s="2">
        <f>HYPERLINK("https://open-school.uspishnemisto.com.ua/school/210058/", 210058)</f>
        <v>210058</v>
      </c>
      <c r="B3887" s="3" t="s">
        <v>20330</v>
      </c>
      <c r="C3887" s="3" t="s">
        <v>54</v>
      </c>
      <c r="D3887" s="3" t="s">
        <v>32</v>
      </c>
      <c r="E3887" s="4" t="s">
        <v>22</v>
      </c>
      <c r="F3887" s="4" t="s">
        <v>20265</v>
      </c>
      <c r="G3887" s="4" t="s">
        <v>20266</v>
      </c>
      <c r="H3887" s="3" t="s">
        <v>20074</v>
      </c>
      <c r="I3887" s="3" t="s">
        <v>20267</v>
      </c>
      <c r="J3887" s="3" t="s">
        <v>10289</v>
      </c>
      <c r="K3887" s="3" t="s">
        <v>20331</v>
      </c>
      <c r="L3887" s="3" t="s">
        <v>20332</v>
      </c>
      <c r="M3887" s="4"/>
      <c r="N3887" s="3" t="s">
        <v>37</v>
      </c>
      <c r="O3887" s="3" t="s">
        <v>46</v>
      </c>
      <c r="P3887" s="5">
        <v>11</v>
      </c>
      <c r="Q3887" s="5">
        <v>212</v>
      </c>
      <c r="R3887" s="5">
        <v>11</v>
      </c>
      <c r="S3887" s="5">
        <v>212</v>
      </c>
    </row>
    <row r="3888" spans="1:19" ht="42" x14ac:dyDescent="0.15">
      <c r="A3888" s="2">
        <f>HYPERLINK("https://open-school.uspishnemisto.com.ua/school/210059/", 210059)</f>
        <v>210059</v>
      </c>
      <c r="B3888" s="3" t="s">
        <v>20333</v>
      </c>
      <c r="C3888" s="3" t="s">
        <v>54</v>
      </c>
      <c r="D3888" s="3" t="s">
        <v>32</v>
      </c>
      <c r="E3888" s="4" t="s">
        <v>22</v>
      </c>
      <c r="F3888" s="4" t="s">
        <v>20265</v>
      </c>
      <c r="G3888" s="4" t="s">
        <v>20266</v>
      </c>
      <c r="H3888" s="3" t="s">
        <v>20074</v>
      </c>
      <c r="I3888" s="3" t="s">
        <v>20267</v>
      </c>
      <c r="J3888" s="3" t="s">
        <v>20334</v>
      </c>
      <c r="K3888" s="3" t="s">
        <v>20335</v>
      </c>
      <c r="L3888" s="3"/>
      <c r="M3888" s="4" t="s">
        <v>20336</v>
      </c>
      <c r="N3888" s="3" t="s">
        <v>37</v>
      </c>
      <c r="O3888" s="3" t="s">
        <v>123</v>
      </c>
      <c r="P3888" s="5">
        <v>40</v>
      </c>
      <c r="Q3888" s="5">
        <v>1134</v>
      </c>
      <c r="R3888" s="5">
        <v>39</v>
      </c>
      <c r="S3888" s="5">
        <v>1098</v>
      </c>
    </row>
    <row r="3889" spans="1:19" ht="56" x14ac:dyDescent="0.15">
      <c r="A3889" s="2">
        <f>HYPERLINK("https://open-school.uspishnemisto.com.ua/school/210060/", 210060)</f>
        <v>210060</v>
      </c>
      <c r="B3889" s="3" t="s">
        <v>20337</v>
      </c>
      <c r="C3889" s="3" t="s">
        <v>54</v>
      </c>
      <c r="D3889" s="3" t="s">
        <v>32</v>
      </c>
      <c r="E3889" s="4" t="s">
        <v>22</v>
      </c>
      <c r="F3889" s="4" t="s">
        <v>20265</v>
      </c>
      <c r="G3889" s="4" t="s">
        <v>20266</v>
      </c>
      <c r="H3889" s="3" t="s">
        <v>20074</v>
      </c>
      <c r="I3889" s="3" t="s">
        <v>20267</v>
      </c>
      <c r="J3889" s="3" t="s">
        <v>20338</v>
      </c>
      <c r="K3889" s="3" t="s">
        <v>20339</v>
      </c>
      <c r="L3889" s="3"/>
      <c r="M3889" s="4"/>
      <c r="N3889" s="3" t="s">
        <v>37</v>
      </c>
      <c r="O3889" s="3" t="s">
        <v>20340</v>
      </c>
      <c r="P3889" s="5">
        <v>33</v>
      </c>
      <c r="Q3889" s="5">
        <v>807</v>
      </c>
      <c r="R3889" s="5">
        <v>33</v>
      </c>
      <c r="S3889" s="5">
        <v>820</v>
      </c>
    </row>
    <row r="3890" spans="1:19" ht="56" x14ac:dyDescent="0.15">
      <c r="A3890" s="2">
        <f>HYPERLINK("https://open-school.uspishnemisto.com.ua/school/210061/", 210061)</f>
        <v>210061</v>
      </c>
      <c r="B3890" s="3" t="s">
        <v>20341</v>
      </c>
      <c r="C3890" s="3" t="s">
        <v>54</v>
      </c>
      <c r="D3890" s="3" t="s">
        <v>32</v>
      </c>
      <c r="E3890" s="4" t="s">
        <v>22</v>
      </c>
      <c r="F3890" s="4" t="s">
        <v>20265</v>
      </c>
      <c r="G3890" s="4" t="s">
        <v>20266</v>
      </c>
      <c r="H3890" s="3" t="s">
        <v>20074</v>
      </c>
      <c r="I3890" s="3" t="s">
        <v>20267</v>
      </c>
      <c r="J3890" s="3" t="s">
        <v>20342</v>
      </c>
      <c r="K3890" s="3" t="s">
        <v>20343</v>
      </c>
      <c r="L3890" s="3"/>
      <c r="M3890" s="4" t="s">
        <v>20344</v>
      </c>
      <c r="N3890" s="3" t="s">
        <v>37</v>
      </c>
      <c r="O3890" s="3" t="s">
        <v>70</v>
      </c>
      <c r="P3890" s="5">
        <v>20</v>
      </c>
      <c r="Q3890" s="5">
        <v>530</v>
      </c>
      <c r="R3890" s="5">
        <v>20</v>
      </c>
      <c r="S3890" s="5">
        <v>525</v>
      </c>
    </row>
    <row r="3891" spans="1:19" ht="42" x14ac:dyDescent="0.15">
      <c r="A3891" s="2">
        <f>HYPERLINK("https://open-school.uspishnemisto.com.ua/school/210062/", 210062)</f>
        <v>210062</v>
      </c>
      <c r="B3891" s="3" t="s">
        <v>20345</v>
      </c>
      <c r="C3891" s="3" t="s">
        <v>54</v>
      </c>
      <c r="D3891" s="3" t="s">
        <v>60</v>
      </c>
      <c r="E3891" s="4" t="s">
        <v>41</v>
      </c>
      <c r="F3891" s="4" t="s">
        <v>20265</v>
      </c>
      <c r="G3891" s="4" t="s">
        <v>20266</v>
      </c>
      <c r="H3891" s="3" t="s">
        <v>20074</v>
      </c>
      <c r="I3891" s="3" t="s">
        <v>20267</v>
      </c>
      <c r="J3891" s="3" t="s">
        <v>20346</v>
      </c>
      <c r="K3891" s="3" t="s">
        <v>20347</v>
      </c>
      <c r="L3891" s="3"/>
      <c r="M3891" s="4"/>
      <c r="N3891" s="3" t="s">
        <v>37</v>
      </c>
      <c r="O3891" s="3" t="s">
        <v>52</v>
      </c>
      <c r="P3891" s="5">
        <v>4</v>
      </c>
      <c r="Q3891" s="5">
        <v>40</v>
      </c>
      <c r="R3891" s="5">
        <v>3</v>
      </c>
      <c r="S3891" s="5">
        <v>32</v>
      </c>
    </row>
    <row r="3892" spans="1:19" ht="28" x14ac:dyDescent="0.15">
      <c r="A3892" s="2">
        <f>HYPERLINK("https://open-school.uspishnemisto.com.ua/school/210063/", 210063)</f>
        <v>210063</v>
      </c>
      <c r="B3892" s="3" t="s">
        <v>20348</v>
      </c>
      <c r="C3892" s="3" t="s">
        <v>181</v>
      </c>
      <c r="D3892" s="3" t="s">
        <v>60</v>
      </c>
      <c r="E3892" s="4" t="s">
        <v>22</v>
      </c>
      <c r="F3892" s="4" t="s">
        <v>20349</v>
      </c>
      <c r="G3892" s="4" t="s">
        <v>20350</v>
      </c>
      <c r="H3892" s="3" t="s">
        <v>20074</v>
      </c>
      <c r="I3892" s="3" t="s">
        <v>20351</v>
      </c>
      <c r="J3892" s="3" t="s">
        <v>20352</v>
      </c>
      <c r="K3892" s="3" t="s">
        <v>20353</v>
      </c>
      <c r="L3892" s="3"/>
      <c r="M3892" s="4" t="s">
        <v>20354</v>
      </c>
      <c r="N3892" s="3" t="s">
        <v>37</v>
      </c>
      <c r="O3892" s="3" t="s">
        <v>52</v>
      </c>
      <c r="P3892" s="5">
        <v>4</v>
      </c>
      <c r="Q3892" s="5">
        <v>28</v>
      </c>
      <c r="R3892" s="5">
        <v>4</v>
      </c>
      <c r="S3892" s="5">
        <v>26</v>
      </c>
    </row>
    <row r="3893" spans="1:19" ht="28" x14ac:dyDescent="0.15">
      <c r="A3893" s="2">
        <f>HYPERLINK("https://open-school.uspishnemisto.com.ua/school/210064/", 210064)</f>
        <v>210064</v>
      </c>
      <c r="B3893" s="3" t="s">
        <v>20355</v>
      </c>
      <c r="C3893" s="3" t="s">
        <v>20356</v>
      </c>
      <c r="D3893" s="3" t="s">
        <v>32</v>
      </c>
      <c r="E3893" s="4" t="s">
        <v>22</v>
      </c>
      <c r="F3893" s="4" t="s">
        <v>20349</v>
      </c>
      <c r="G3893" s="4" t="s">
        <v>20350</v>
      </c>
      <c r="H3893" s="3" t="s">
        <v>20074</v>
      </c>
      <c r="I3893" s="3" t="s">
        <v>20351</v>
      </c>
      <c r="J3893" s="3" t="s">
        <v>20357</v>
      </c>
      <c r="K3893" s="3" t="s">
        <v>20358</v>
      </c>
      <c r="L3893" s="3"/>
      <c r="M3893" s="4" t="s">
        <v>20359</v>
      </c>
      <c r="N3893" s="3" t="s">
        <v>37</v>
      </c>
      <c r="O3893" s="3" t="s">
        <v>123</v>
      </c>
      <c r="P3893" s="5">
        <v>18</v>
      </c>
      <c r="Q3893" s="5">
        <v>463</v>
      </c>
      <c r="R3893" s="5">
        <v>18</v>
      </c>
      <c r="S3893" s="5">
        <v>494</v>
      </c>
    </row>
    <row r="3894" spans="1:19" ht="28" x14ac:dyDescent="0.15">
      <c r="A3894" s="2">
        <f>HYPERLINK("https://open-school.uspishnemisto.com.ua/school/210065/", 210065)</f>
        <v>210065</v>
      </c>
      <c r="B3894" s="3" t="s">
        <v>20360</v>
      </c>
      <c r="C3894" s="3" t="s">
        <v>31</v>
      </c>
      <c r="D3894" s="3" t="s">
        <v>175</v>
      </c>
      <c r="E3894" s="4" t="s">
        <v>22</v>
      </c>
      <c r="F3894" s="4" t="s">
        <v>20349</v>
      </c>
      <c r="G3894" s="4" t="s">
        <v>20350</v>
      </c>
      <c r="H3894" s="3" t="s">
        <v>20074</v>
      </c>
      <c r="I3894" s="3" t="s">
        <v>20351</v>
      </c>
      <c r="J3894" s="3" t="s">
        <v>20361</v>
      </c>
      <c r="K3894" s="3" t="s">
        <v>20362</v>
      </c>
      <c r="L3894" s="3"/>
      <c r="M3894" s="4" t="s">
        <v>20363</v>
      </c>
      <c r="N3894" s="3" t="s">
        <v>18409</v>
      </c>
      <c r="O3894" s="3" t="s">
        <v>52</v>
      </c>
      <c r="P3894" s="5">
        <v>9</v>
      </c>
      <c r="Q3894" s="5">
        <v>130</v>
      </c>
      <c r="R3894" s="5">
        <v>8</v>
      </c>
      <c r="S3894" s="5">
        <v>105</v>
      </c>
    </row>
    <row r="3895" spans="1:19" ht="28" x14ac:dyDescent="0.15">
      <c r="A3895" s="2">
        <f>HYPERLINK("https://open-school.uspishnemisto.com.ua/school/210066/", 210066)</f>
        <v>210066</v>
      </c>
      <c r="B3895" s="3" t="s">
        <v>20364</v>
      </c>
      <c r="C3895" s="3" t="s">
        <v>31</v>
      </c>
      <c r="D3895" s="3" t="s">
        <v>32</v>
      </c>
      <c r="E3895" s="4" t="s">
        <v>22</v>
      </c>
      <c r="F3895" s="4" t="s">
        <v>20349</v>
      </c>
      <c r="G3895" s="4" t="s">
        <v>20350</v>
      </c>
      <c r="H3895" s="3" t="s">
        <v>20074</v>
      </c>
      <c r="I3895" s="3" t="s">
        <v>20351</v>
      </c>
      <c r="J3895" s="3" t="s">
        <v>20365</v>
      </c>
      <c r="K3895" s="3" t="s">
        <v>20366</v>
      </c>
      <c r="L3895" s="3"/>
      <c r="M3895" s="4" t="s">
        <v>20367</v>
      </c>
      <c r="N3895" s="3" t="s">
        <v>37</v>
      </c>
      <c r="O3895" s="3" t="s">
        <v>123</v>
      </c>
      <c r="P3895" s="5">
        <v>28</v>
      </c>
      <c r="Q3895" s="5">
        <v>738</v>
      </c>
      <c r="R3895" s="5">
        <v>29</v>
      </c>
      <c r="S3895" s="5">
        <v>715</v>
      </c>
    </row>
    <row r="3896" spans="1:19" ht="28" x14ac:dyDescent="0.15">
      <c r="A3896" s="2">
        <f>HYPERLINK("https://open-school.uspishnemisto.com.ua/school/210067/", 210067)</f>
        <v>210067</v>
      </c>
      <c r="B3896" s="3" t="s">
        <v>20368</v>
      </c>
      <c r="C3896" s="3" t="s">
        <v>31</v>
      </c>
      <c r="D3896" s="3" t="s">
        <v>32</v>
      </c>
      <c r="E3896" s="4" t="s">
        <v>22</v>
      </c>
      <c r="F3896" s="4" t="s">
        <v>20349</v>
      </c>
      <c r="G3896" s="4" t="s">
        <v>20350</v>
      </c>
      <c r="H3896" s="3" t="s">
        <v>20074</v>
      </c>
      <c r="I3896" s="3" t="s">
        <v>20351</v>
      </c>
      <c r="J3896" s="3" t="s">
        <v>20369</v>
      </c>
      <c r="K3896" s="3" t="s">
        <v>20370</v>
      </c>
      <c r="L3896" s="3"/>
      <c r="M3896" s="4" t="s">
        <v>20371</v>
      </c>
      <c r="N3896" s="3" t="s">
        <v>37</v>
      </c>
      <c r="O3896" s="3" t="s">
        <v>2740</v>
      </c>
      <c r="P3896" s="5">
        <v>21</v>
      </c>
      <c r="Q3896" s="5">
        <v>440</v>
      </c>
      <c r="R3896" s="5">
        <v>21</v>
      </c>
      <c r="S3896" s="5">
        <v>453</v>
      </c>
    </row>
    <row r="3897" spans="1:19" ht="28" x14ac:dyDescent="0.15">
      <c r="A3897" s="2">
        <f>HYPERLINK("https://open-school.uspishnemisto.com.ua/school/210068/", 210068)</f>
        <v>210068</v>
      </c>
      <c r="B3897" s="3" t="s">
        <v>20372</v>
      </c>
      <c r="C3897" s="3" t="s">
        <v>31</v>
      </c>
      <c r="D3897" s="3" t="s">
        <v>32</v>
      </c>
      <c r="E3897" s="4" t="s">
        <v>22</v>
      </c>
      <c r="F3897" s="4" t="s">
        <v>20349</v>
      </c>
      <c r="G3897" s="4" t="s">
        <v>20350</v>
      </c>
      <c r="H3897" s="3" t="s">
        <v>20074</v>
      </c>
      <c r="I3897" s="3" t="s">
        <v>20351</v>
      </c>
      <c r="J3897" s="3" t="s">
        <v>20373</v>
      </c>
      <c r="K3897" s="3"/>
      <c r="L3897" s="3"/>
      <c r="M3897" s="4" t="s">
        <v>20374</v>
      </c>
      <c r="N3897" s="3" t="s">
        <v>37</v>
      </c>
      <c r="O3897" s="3" t="s">
        <v>52</v>
      </c>
      <c r="P3897" s="5">
        <v>21</v>
      </c>
      <c r="Q3897" s="5">
        <v>573</v>
      </c>
      <c r="R3897" s="5">
        <v>23</v>
      </c>
      <c r="S3897" s="5">
        <v>543</v>
      </c>
    </row>
    <row r="3898" spans="1:19" ht="28" x14ac:dyDescent="0.15">
      <c r="A3898" s="2">
        <f>HYPERLINK("https://open-school.uspishnemisto.com.ua/school/210069/", 210069)</f>
        <v>210069</v>
      </c>
      <c r="B3898" s="3" t="s">
        <v>20375</v>
      </c>
      <c r="C3898" s="3" t="s">
        <v>244</v>
      </c>
      <c r="D3898" s="3" t="s">
        <v>32</v>
      </c>
      <c r="E3898" s="4" t="s">
        <v>22</v>
      </c>
      <c r="F3898" s="4" t="s">
        <v>20349</v>
      </c>
      <c r="G3898" s="4" t="s">
        <v>20350</v>
      </c>
      <c r="H3898" s="3" t="s">
        <v>20074</v>
      </c>
      <c r="I3898" s="3" t="s">
        <v>20351</v>
      </c>
      <c r="J3898" s="3" t="s">
        <v>20376</v>
      </c>
      <c r="K3898" s="3" t="s">
        <v>20377</v>
      </c>
      <c r="L3898" s="3"/>
      <c r="M3898" s="4" t="s">
        <v>20378</v>
      </c>
      <c r="N3898" s="3" t="s">
        <v>37</v>
      </c>
      <c r="O3898" s="3" t="s">
        <v>2740</v>
      </c>
      <c r="P3898" s="5">
        <v>33</v>
      </c>
      <c r="Q3898" s="5">
        <v>818</v>
      </c>
      <c r="R3898" s="5">
        <v>32</v>
      </c>
      <c r="S3898" s="5">
        <v>800</v>
      </c>
    </row>
    <row r="3899" spans="1:19" ht="28" x14ac:dyDescent="0.15">
      <c r="A3899" s="2">
        <f>HYPERLINK("https://open-school.uspishnemisto.com.ua/school/210070/", 210070)</f>
        <v>210070</v>
      </c>
      <c r="B3899" s="3" t="s">
        <v>20379</v>
      </c>
      <c r="C3899" s="3" t="s">
        <v>244</v>
      </c>
      <c r="D3899" s="3" t="s">
        <v>32</v>
      </c>
      <c r="E3899" s="4" t="s">
        <v>22</v>
      </c>
      <c r="F3899" s="4" t="s">
        <v>20349</v>
      </c>
      <c r="G3899" s="4" t="s">
        <v>20350</v>
      </c>
      <c r="H3899" s="3" t="s">
        <v>20074</v>
      </c>
      <c r="I3899" s="3" t="s">
        <v>20351</v>
      </c>
      <c r="J3899" s="3" t="s">
        <v>20380</v>
      </c>
      <c r="K3899" s="3" t="s">
        <v>20381</v>
      </c>
      <c r="L3899" s="3"/>
      <c r="M3899" s="4" t="s">
        <v>20382</v>
      </c>
      <c r="N3899" s="3" t="s">
        <v>37</v>
      </c>
      <c r="O3899" s="3" t="s">
        <v>2740</v>
      </c>
      <c r="P3899" s="5">
        <v>24</v>
      </c>
      <c r="Q3899" s="5">
        <v>602</v>
      </c>
      <c r="R3899" s="5">
        <v>23</v>
      </c>
      <c r="S3899" s="5">
        <v>556</v>
      </c>
    </row>
    <row r="3900" spans="1:19" ht="28" x14ac:dyDescent="0.15">
      <c r="A3900" s="2">
        <f>HYPERLINK("https://open-school.uspishnemisto.com.ua/school/210071/", 210071)</f>
        <v>210071</v>
      </c>
      <c r="B3900" s="3" t="s">
        <v>20383</v>
      </c>
      <c r="C3900" s="3" t="s">
        <v>244</v>
      </c>
      <c r="D3900" s="3" t="s">
        <v>32</v>
      </c>
      <c r="E3900" s="4" t="s">
        <v>22</v>
      </c>
      <c r="F3900" s="4" t="s">
        <v>20349</v>
      </c>
      <c r="G3900" s="4" t="s">
        <v>20350</v>
      </c>
      <c r="H3900" s="3" t="s">
        <v>20074</v>
      </c>
      <c r="I3900" s="3" t="s">
        <v>20351</v>
      </c>
      <c r="J3900" s="3" t="s">
        <v>20384</v>
      </c>
      <c r="K3900" s="3" t="s">
        <v>20385</v>
      </c>
      <c r="L3900" s="3"/>
      <c r="M3900" s="4" t="s">
        <v>20386</v>
      </c>
      <c r="N3900" s="3" t="s">
        <v>37</v>
      </c>
      <c r="O3900" s="3" t="s">
        <v>52</v>
      </c>
      <c r="P3900" s="5">
        <v>21</v>
      </c>
      <c r="Q3900" s="5">
        <v>549</v>
      </c>
      <c r="R3900" s="5">
        <v>21</v>
      </c>
      <c r="S3900" s="5">
        <v>538</v>
      </c>
    </row>
    <row r="3901" spans="1:19" ht="28" x14ac:dyDescent="0.15">
      <c r="A3901" s="2">
        <f>HYPERLINK("https://open-school.uspishnemisto.com.ua/school/210072/", 210072)</f>
        <v>210072</v>
      </c>
      <c r="B3901" s="3" t="s">
        <v>20387</v>
      </c>
      <c r="C3901" s="3" t="s">
        <v>181</v>
      </c>
      <c r="D3901" s="3" t="s">
        <v>32</v>
      </c>
      <c r="E3901" s="4" t="s">
        <v>22</v>
      </c>
      <c r="F3901" s="4" t="s">
        <v>20349</v>
      </c>
      <c r="G3901" s="4" t="s">
        <v>20350</v>
      </c>
      <c r="H3901" s="3" t="s">
        <v>20074</v>
      </c>
      <c r="I3901" s="3" t="s">
        <v>20351</v>
      </c>
      <c r="J3901" s="3" t="s">
        <v>20388</v>
      </c>
      <c r="K3901" s="3" t="s">
        <v>20389</v>
      </c>
      <c r="L3901" s="3"/>
      <c r="M3901" s="4" t="s">
        <v>20390</v>
      </c>
      <c r="N3901" s="3" t="s">
        <v>37</v>
      </c>
      <c r="O3901" s="3" t="s">
        <v>52</v>
      </c>
      <c r="P3901" s="5">
        <v>12</v>
      </c>
      <c r="Q3901" s="5">
        <v>98</v>
      </c>
      <c r="R3901" s="5">
        <v>11</v>
      </c>
      <c r="S3901" s="5">
        <v>84</v>
      </c>
    </row>
    <row r="3902" spans="1:19" ht="28" x14ac:dyDescent="0.15">
      <c r="A3902" s="2">
        <f>HYPERLINK("https://open-school.uspishnemisto.com.ua/school/210073/", 210073)</f>
        <v>210073</v>
      </c>
      <c r="B3902" s="3" t="s">
        <v>20391</v>
      </c>
      <c r="C3902" s="3" t="s">
        <v>54</v>
      </c>
      <c r="D3902" s="3" t="s">
        <v>32</v>
      </c>
      <c r="E3902" s="4" t="s">
        <v>22</v>
      </c>
      <c r="F3902" s="4" t="s">
        <v>20349</v>
      </c>
      <c r="G3902" s="4" t="s">
        <v>20350</v>
      </c>
      <c r="H3902" s="3" t="s">
        <v>20074</v>
      </c>
      <c r="I3902" s="3" t="s">
        <v>20351</v>
      </c>
      <c r="J3902" s="3" t="s">
        <v>6143</v>
      </c>
      <c r="K3902" s="3" t="s">
        <v>20392</v>
      </c>
      <c r="L3902" s="3" t="s">
        <v>20393</v>
      </c>
      <c r="M3902" s="4" t="s">
        <v>20394</v>
      </c>
      <c r="N3902" s="3" t="s">
        <v>37</v>
      </c>
      <c r="O3902" s="3" t="s">
        <v>46</v>
      </c>
      <c r="P3902" s="5">
        <v>11</v>
      </c>
      <c r="Q3902" s="5">
        <v>224</v>
      </c>
      <c r="R3902" s="5">
        <v>11</v>
      </c>
      <c r="S3902" s="5">
        <v>231</v>
      </c>
    </row>
    <row r="3903" spans="1:19" ht="28" x14ac:dyDescent="0.15">
      <c r="A3903" s="2">
        <f>HYPERLINK("https://open-school.uspishnemisto.com.ua/school/210074/", 210074)</f>
        <v>210074</v>
      </c>
      <c r="B3903" s="3" t="s">
        <v>20395</v>
      </c>
      <c r="C3903" s="3" t="s">
        <v>31</v>
      </c>
      <c r="D3903" s="3" t="s">
        <v>60</v>
      </c>
      <c r="E3903" s="4" t="s">
        <v>22</v>
      </c>
      <c r="F3903" s="4" t="s">
        <v>20349</v>
      </c>
      <c r="G3903" s="4" t="s">
        <v>20396</v>
      </c>
      <c r="H3903" s="3" t="s">
        <v>20074</v>
      </c>
      <c r="I3903" s="3" t="s">
        <v>20397</v>
      </c>
      <c r="J3903" s="3" t="s">
        <v>20398</v>
      </c>
      <c r="K3903" s="3" t="s">
        <v>20399</v>
      </c>
      <c r="L3903" s="3"/>
      <c r="M3903" s="4" t="s">
        <v>20400</v>
      </c>
      <c r="N3903" s="3" t="s">
        <v>37</v>
      </c>
      <c r="O3903" s="3" t="s">
        <v>52</v>
      </c>
      <c r="P3903" s="5">
        <v>4</v>
      </c>
      <c r="Q3903" s="5">
        <v>53</v>
      </c>
      <c r="R3903" s="5">
        <v>4</v>
      </c>
      <c r="S3903" s="5">
        <v>51</v>
      </c>
    </row>
    <row r="3904" spans="1:19" ht="28" x14ac:dyDescent="0.15">
      <c r="A3904" s="2">
        <f>HYPERLINK("https://open-school.uspishnemisto.com.ua/school/210075/", 210075)</f>
        <v>210075</v>
      </c>
      <c r="B3904" s="3" t="s">
        <v>20401</v>
      </c>
      <c r="C3904" s="3" t="s">
        <v>31</v>
      </c>
      <c r="D3904" s="3" t="s">
        <v>32</v>
      </c>
      <c r="E3904" s="4" t="s">
        <v>22</v>
      </c>
      <c r="F3904" s="4" t="s">
        <v>20402</v>
      </c>
      <c r="G3904" s="4" t="s">
        <v>20403</v>
      </c>
      <c r="H3904" s="3" t="s">
        <v>20074</v>
      </c>
      <c r="I3904" s="3" t="s">
        <v>20404</v>
      </c>
      <c r="J3904" s="3" t="s">
        <v>1668</v>
      </c>
      <c r="K3904" s="3"/>
      <c r="L3904" s="3"/>
      <c r="M3904" s="4"/>
      <c r="N3904" s="3" t="s">
        <v>37</v>
      </c>
      <c r="O3904" s="3" t="s">
        <v>46</v>
      </c>
      <c r="P3904" s="5">
        <v>27</v>
      </c>
      <c r="Q3904" s="5">
        <v>660</v>
      </c>
      <c r="R3904" s="5">
        <v>26</v>
      </c>
      <c r="S3904" s="5">
        <v>660</v>
      </c>
    </row>
    <row r="3905" spans="1:19" ht="42" x14ac:dyDescent="0.15">
      <c r="A3905" s="2">
        <f>HYPERLINK("https://open-school.uspishnemisto.com.ua/school/210076/", 210076)</f>
        <v>210076</v>
      </c>
      <c r="B3905" s="3" t="s">
        <v>20405</v>
      </c>
      <c r="C3905" s="3" t="s">
        <v>31</v>
      </c>
      <c r="D3905" s="3" t="s">
        <v>32</v>
      </c>
      <c r="E3905" s="4" t="s">
        <v>22</v>
      </c>
      <c r="F3905" s="4" t="s">
        <v>20402</v>
      </c>
      <c r="G3905" s="4" t="s">
        <v>20403</v>
      </c>
      <c r="H3905" s="3" t="s">
        <v>20074</v>
      </c>
      <c r="I3905" s="3" t="s">
        <v>20404</v>
      </c>
      <c r="J3905" s="3" t="s">
        <v>10734</v>
      </c>
      <c r="K3905" s="3" t="s">
        <v>20406</v>
      </c>
      <c r="L3905" s="3"/>
      <c r="M3905" s="4"/>
      <c r="N3905" s="3" t="s">
        <v>18409</v>
      </c>
      <c r="O3905" s="3" t="s">
        <v>52</v>
      </c>
      <c r="P3905" s="5">
        <v>18</v>
      </c>
      <c r="Q3905" s="5">
        <v>366</v>
      </c>
      <c r="R3905" s="5">
        <v>18</v>
      </c>
      <c r="S3905" s="5">
        <v>376</v>
      </c>
    </row>
    <row r="3906" spans="1:19" ht="28" x14ac:dyDescent="0.15">
      <c r="A3906" s="2">
        <f>HYPERLINK("https://open-school.uspishnemisto.com.ua/school/210077/", 210077)</f>
        <v>210077</v>
      </c>
      <c r="B3906" s="3" t="s">
        <v>20407</v>
      </c>
      <c r="C3906" s="3" t="s">
        <v>31</v>
      </c>
      <c r="D3906" s="3" t="s">
        <v>32</v>
      </c>
      <c r="E3906" s="4" t="s">
        <v>22</v>
      </c>
      <c r="F3906" s="4" t="s">
        <v>20408</v>
      </c>
      <c r="G3906" s="4" t="s">
        <v>20409</v>
      </c>
      <c r="H3906" s="3" t="s">
        <v>20074</v>
      </c>
      <c r="I3906" s="3" t="s">
        <v>20410</v>
      </c>
      <c r="J3906" s="3" t="s">
        <v>20411</v>
      </c>
      <c r="K3906" s="3" t="s">
        <v>20412</v>
      </c>
      <c r="L3906" s="3"/>
      <c r="M3906" s="4" t="s">
        <v>20413</v>
      </c>
      <c r="N3906" s="3" t="s">
        <v>18409</v>
      </c>
      <c r="O3906" s="3" t="s">
        <v>52</v>
      </c>
      <c r="P3906" s="5">
        <v>11</v>
      </c>
      <c r="Q3906" s="5">
        <v>202</v>
      </c>
      <c r="R3906" s="5">
        <v>11</v>
      </c>
      <c r="S3906" s="5">
        <v>207</v>
      </c>
    </row>
    <row r="3907" spans="1:19" ht="28" x14ac:dyDescent="0.15">
      <c r="A3907" s="2">
        <f>HYPERLINK("https://open-school.uspishnemisto.com.ua/school/210078/", 210078)</f>
        <v>210078</v>
      </c>
      <c r="B3907" s="3" t="s">
        <v>20414</v>
      </c>
      <c r="C3907" s="3" t="s">
        <v>54</v>
      </c>
      <c r="D3907" s="3" t="s">
        <v>175</v>
      </c>
      <c r="E3907" s="4" t="s">
        <v>22</v>
      </c>
      <c r="F3907" s="4" t="s">
        <v>20408</v>
      </c>
      <c r="G3907" s="4" t="s">
        <v>20409</v>
      </c>
      <c r="H3907" s="3" t="s">
        <v>20074</v>
      </c>
      <c r="I3907" s="3" t="s">
        <v>20410</v>
      </c>
      <c r="J3907" s="3" t="s">
        <v>2757</v>
      </c>
      <c r="K3907" s="3" t="s">
        <v>20415</v>
      </c>
      <c r="L3907" s="3"/>
      <c r="M3907" s="4" t="s">
        <v>20416</v>
      </c>
      <c r="N3907" s="3" t="s">
        <v>37</v>
      </c>
      <c r="O3907" s="3" t="s">
        <v>52</v>
      </c>
      <c r="P3907" s="5">
        <v>9</v>
      </c>
      <c r="Q3907" s="5">
        <v>144</v>
      </c>
      <c r="R3907" s="5">
        <v>9</v>
      </c>
      <c r="S3907" s="5">
        <v>136</v>
      </c>
    </row>
    <row r="3908" spans="1:19" ht="28" x14ac:dyDescent="0.15">
      <c r="A3908" s="2">
        <f>HYPERLINK("https://open-school.uspishnemisto.com.ua/school/210079/", 210079)</f>
        <v>210079</v>
      </c>
      <c r="B3908" s="3" t="s">
        <v>20417</v>
      </c>
      <c r="C3908" s="3" t="s">
        <v>31</v>
      </c>
      <c r="D3908" s="3" t="s">
        <v>60</v>
      </c>
      <c r="E3908" s="4" t="s">
        <v>22</v>
      </c>
      <c r="F3908" s="4" t="s">
        <v>20223</v>
      </c>
      <c r="G3908" s="4" t="s">
        <v>20418</v>
      </c>
      <c r="H3908" s="3" t="s">
        <v>20074</v>
      </c>
      <c r="I3908" s="3" t="s">
        <v>20419</v>
      </c>
      <c r="J3908" s="3" t="s">
        <v>20420</v>
      </c>
      <c r="K3908" s="3"/>
      <c r="L3908" s="3"/>
      <c r="M3908" s="4" t="s">
        <v>20421</v>
      </c>
      <c r="N3908" s="3" t="s">
        <v>18409</v>
      </c>
      <c r="O3908" s="3" t="s">
        <v>52</v>
      </c>
      <c r="P3908" s="5">
        <v>4</v>
      </c>
      <c r="Q3908" s="5">
        <v>18</v>
      </c>
      <c r="R3908" s="5">
        <v>4</v>
      </c>
      <c r="S3908" s="5">
        <v>19</v>
      </c>
    </row>
    <row r="3909" spans="1:19" ht="28" x14ac:dyDescent="0.15">
      <c r="A3909" s="2">
        <f>HYPERLINK("https://open-school.uspishnemisto.com.ua/school/210080/", 210080)</f>
        <v>210080</v>
      </c>
      <c r="B3909" s="3" t="s">
        <v>20422</v>
      </c>
      <c r="C3909" s="3" t="s">
        <v>31</v>
      </c>
      <c r="D3909" s="3" t="s">
        <v>60</v>
      </c>
      <c r="E3909" s="4" t="s">
        <v>22</v>
      </c>
      <c r="F3909" s="4" t="s">
        <v>20423</v>
      </c>
      <c r="G3909" s="4" t="s">
        <v>20424</v>
      </c>
      <c r="H3909" s="3" t="s">
        <v>20074</v>
      </c>
      <c r="I3909" s="3" t="s">
        <v>20425</v>
      </c>
      <c r="J3909" s="3" t="s">
        <v>20426</v>
      </c>
      <c r="K3909" s="3" t="s">
        <v>20427</v>
      </c>
      <c r="L3909" s="3"/>
      <c r="M3909" s="4" t="s">
        <v>20428</v>
      </c>
      <c r="N3909" s="3" t="s">
        <v>37</v>
      </c>
      <c r="O3909" s="3" t="s">
        <v>52</v>
      </c>
      <c r="P3909" s="5">
        <v>4</v>
      </c>
      <c r="Q3909" s="5">
        <v>17</v>
      </c>
      <c r="R3909" s="5">
        <v>4</v>
      </c>
      <c r="S3909" s="5">
        <v>14</v>
      </c>
    </row>
    <row r="3910" spans="1:19" ht="28" x14ac:dyDescent="0.15">
      <c r="A3910" s="2">
        <f>HYPERLINK("https://open-school.uspishnemisto.com.ua/school/210081/", 210081)</f>
        <v>210081</v>
      </c>
      <c r="B3910" s="3" t="s">
        <v>20429</v>
      </c>
      <c r="C3910" s="3" t="s">
        <v>31</v>
      </c>
      <c r="D3910" s="3" t="s">
        <v>175</v>
      </c>
      <c r="E3910" s="4" t="s">
        <v>22</v>
      </c>
      <c r="F3910" s="4" t="s">
        <v>20423</v>
      </c>
      <c r="G3910" s="4" t="s">
        <v>20424</v>
      </c>
      <c r="H3910" s="3" t="s">
        <v>20074</v>
      </c>
      <c r="I3910" s="3" t="s">
        <v>20425</v>
      </c>
      <c r="J3910" s="3" t="s">
        <v>20430</v>
      </c>
      <c r="K3910" s="3" t="s">
        <v>20431</v>
      </c>
      <c r="L3910" s="3"/>
      <c r="M3910" s="4" t="s">
        <v>20432</v>
      </c>
      <c r="N3910" s="3" t="s">
        <v>20226</v>
      </c>
      <c r="O3910" s="3" t="s">
        <v>52</v>
      </c>
      <c r="P3910" s="5">
        <v>16</v>
      </c>
      <c r="Q3910" s="5">
        <v>184</v>
      </c>
      <c r="R3910" s="5">
        <v>16</v>
      </c>
      <c r="S3910" s="5">
        <v>192</v>
      </c>
    </row>
    <row r="3911" spans="1:19" ht="42" x14ac:dyDescent="0.15">
      <c r="A3911" s="2">
        <f>HYPERLINK("https://open-school.uspishnemisto.com.ua/school/210082/", 210082)</f>
        <v>210082</v>
      </c>
      <c r="B3911" s="3" t="s">
        <v>20433</v>
      </c>
      <c r="C3911" s="3" t="s">
        <v>54</v>
      </c>
      <c r="D3911" s="3" t="s">
        <v>175</v>
      </c>
      <c r="E3911" s="4" t="s">
        <v>22</v>
      </c>
      <c r="F3911" s="4" t="s">
        <v>20434</v>
      </c>
      <c r="G3911" s="4" t="s">
        <v>20435</v>
      </c>
      <c r="H3911" s="3" t="s">
        <v>20074</v>
      </c>
      <c r="I3911" s="3" t="s">
        <v>20436</v>
      </c>
      <c r="J3911" s="3" t="s">
        <v>1495</v>
      </c>
      <c r="K3911" s="3" t="s">
        <v>20437</v>
      </c>
      <c r="L3911" s="3"/>
      <c r="M3911" s="4" t="s">
        <v>20438</v>
      </c>
      <c r="N3911" s="3" t="s">
        <v>20226</v>
      </c>
      <c r="O3911" s="3" t="s">
        <v>52</v>
      </c>
      <c r="P3911" s="5">
        <v>8</v>
      </c>
      <c r="Q3911" s="5">
        <v>51</v>
      </c>
      <c r="R3911" s="5">
        <v>7</v>
      </c>
      <c r="S3911" s="5">
        <v>48</v>
      </c>
    </row>
    <row r="3912" spans="1:19" ht="42" x14ac:dyDescent="0.15">
      <c r="A3912" s="2">
        <f>HYPERLINK("https://open-school.uspishnemisto.com.ua/school/210083/", 210083)</f>
        <v>210083</v>
      </c>
      <c r="B3912" s="3" t="s">
        <v>20439</v>
      </c>
      <c r="C3912" s="3" t="s">
        <v>31</v>
      </c>
      <c r="D3912" s="3" t="s">
        <v>32</v>
      </c>
      <c r="E3912" s="4" t="s">
        <v>22</v>
      </c>
      <c r="F3912" s="4" t="s">
        <v>20440</v>
      </c>
      <c r="G3912" s="4" t="s">
        <v>20441</v>
      </c>
      <c r="H3912" s="3" t="s">
        <v>20074</v>
      </c>
      <c r="I3912" s="3" t="s">
        <v>20442</v>
      </c>
      <c r="J3912" s="3" t="s">
        <v>20443</v>
      </c>
      <c r="K3912" s="3" t="s">
        <v>20444</v>
      </c>
      <c r="L3912" s="3"/>
      <c r="M3912" s="4"/>
      <c r="N3912" s="3" t="s">
        <v>20226</v>
      </c>
      <c r="O3912" s="3" t="s">
        <v>52</v>
      </c>
      <c r="P3912" s="5">
        <v>26</v>
      </c>
      <c r="Q3912" s="5">
        <v>432</v>
      </c>
      <c r="R3912" s="5">
        <v>25</v>
      </c>
      <c r="S3912" s="5">
        <v>423</v>
      </c>
    </row>
    <row r="3913" spans="1:19" ht="28" x14ac:dyDescent="0.15">
      <c r="A3913" s="2">
        <f>HYPERLINK("https://open-school.uspishnemisto.com.ua/school/210084/", 210084)</f>
        <v>210084</v>
      </c>
      <c r="B3913" s="3" t="s">
        <v>20445</v>
      </c>
      <c r="C3913" s="3" t="s">
        <v>188</v>
      </c>
      <c r="D3913" s="3" t="s">
        <v>32</v>
      </c>
      <c r="E3913" s="4" t="s">
        <v>41</v>
      </c>
      <c r="F3913" s="4" t="s">
        <v>20440</v>
      </c>
      <c r="G3913" s="4" t="s">
        <v>20441</v>
      </c>
      <c r="H3913" s="3" t="s">
        <v>20074</v>
      </c>
      <c r="I3913" s="3" t="s">
        <v>20442</v>
      </c>
      <c r="J3913" s="3" t="s">
        <v>20446</v>
      </c>
      <c r="K3913" s="3" t="s">
        <v>20447</v>
      </c>
      <c r="L3913" s="3"/>
      <c r="M3913" s="4" t="s">
        <v>20448</v>
      </c>
      <c r="N3913" s="3" t="s">
        <v>18409</v>
      </c>
      <c r="O3913" s="3" t="s">
        <v>52</v>
      </c>
      <c r="P3913" s="5">
        <v>7</v>
      </c>
      <c r="Q3913" s="5">
        <v>120</v>
      </c>
      <c r="R3913" s="5">
        <v>6</v>
      </c>
      <c r="S3913" s="5">
        <v>122</v>
      </c>
    </row>
    <row r="3914" spans="1:19" ht="28" x14ac:dyDescent="0.15">
      <c r="A3914" s="2">
        <f>HYPERLINK("https://open-school.uspishnemisto.com.ua/school/210085/", 210085)</f>
        <v>210085</v>
      </c>
      <c r="B3914" s="3" t="s">
        <v>20449</v>
      </c>
      <c r="C3914" s="3" t="s">
        <v>31</v>
      </c>
      <c r="D3914" s="3" t="s">
        <v>175</v>
      </c>
      <c r="E3914" s="4" t="s">
        <v>22</v>
      </c>
      <c r="F3914" s="4" t="s">
        <v>20450</v>
      </c>
      <c r="G3914" s="4" t="s">
        <v>20451</v>
      </c>
      <c r="H3914" s="3" t="s">
        <v>20074</v>
      </c>
      <c r="I3914" s="3" t="s">
        <v>20452</v>
      </c>
      <c r="J3914" s="3" t="s">
        <v>20453</v>
      </c>
      <c r="K3914" s="3"/>
      <c r="L3914" s="3"/>
      <c r="M3914" s="4" t="s">
        <v>20454</v>
      </c>
      <c r="N3914" s="3" t="s">
        <v>18409</v>
      </c>
      <c r="O3914" s="3" t="s">
        <v>52</v>
      </c>
      <c r="P3914" s="5">
        <v>9</v>
      </c>
      <c r="Q3914" s="5">
        <v>132</v>
      </c>
      <c r="R3914" s="5">
        <v>9</v>
      </c>
      <c r="S3914" s="5">
        <v>144</v>
      </c>
    </row>
    <row r="3915" spans="1:19" ht="42" x14ac:dyDescent="0.15">
      <c r="A3915" s="2">
        <f>HYPERLINK("https://open-school.uspishnemisto.com.ua/school/210086/", 210086)</f>
        <v>210086</v>
      </c>
      <c r="B3915" s="3" t="s">
        <v>20455</v>
      </c>
      <c r="C3915" s="3" t="s">
        <v>31</v>
      </c>
      <c r="D3915" s="3" t="s">
        <v>32</v>
      </c>
      <c r="E3915" s="4" t="s">
        <v>22</v>
      </c>
      <c r="F3915" s="4" t="s">
        <v>20456</v>
      </c>
      <c r="G3915" s="4" t="s">
        <v>20457</v>
      </c>
      <c r="H3915" s="3" t="s">
        <v>20074</v>
      </c>
      <c r="I3915" s="3" t="s">
        <v>20458</v>
      </c>
      <c r="J3915" s="3" t="s">
        <v>20459</v>
      </c>
      <c r="K3915" s="3" t="s">
        <v>20460</v>
      </c>
      <c r="L3915" s="3" t="s">
        <v>20461</v>
      </c>
      <c r="M3915" s="4" t="s">
        <v>20462</v>
      </c>
      <c r="N3915" s="3" t="s">
        <v>18409</v>
      </c>
      <c r="O3915" s="3" t="s">
        <v>52</v>
      </c>
      <c r="P3915" s="5">
        <v>21</v>
      </c>
      <c r="Q3915" s="5">
        <v>372</v>
      </c>
      <c r="R3915" s="5">
        <v>20</v>
      </c>
      <c r="S3915" s="5">
        <v>374</v>
      </c>
    </row>
    <row r="3916" spans="1:19" ht="42" x14ac:dyDescent="0.15">
      <c r="A3916" s="2">
        <f>HYPERLINK("https://open-school.uspishnemisto.com.ua/school/210087/", 210087)</f>
        <v>210087</v>
      </c>
      <c r="B3916" s="3" t="s">
        <v>20463</v>
      </c>
      <c r="C3916" s="3" t="s">
        <v>31</v>
      </c>
      <c r="D3916" s="3" t="s">
        <v>175</v>
      </c>
      <c r="E3916" s="4" t="s">
        <v>22</v>
      </c>
      <c r="F3916" s="4" t="s">
        <v>20464</v>
      </c>
      <c r="G3916" s="4" t="s">
        <v>20465</v>
      </c>
      <c r="H3916" s="3" t="s">
        <v>20074</v>
      </c>
      <c r="I3916" s="3" t="s">
        <v>20466</v>
      </c>
      <c r="J3916" s="3" t="s">
        <v>20467</v>
      </c>
      <c r="K3916" s="3" t="s">
        <v>20468</v>
      </c>
      <c r="L3916" s="3"/>
      <c r="M3916" s="4" t="s">
        <v>20469</v>
      </c>
      <c r="N3916" s="3" t="s">
        <v>18409</v>
      </c>
      <c r="O3916" s="3" t="s">
        <v>52</v>
      </c>
      <c r="P3916" s="5">
        <v>9</v>
      </c>
      <c r="Q3916" s="5">
        <v>98</v>
      </c>
      <c r="R3916" s="5">
        <v>9</v>
      </c>
      <c r="S3916" s="5">
        <v>92</v>
      </c>
    </row>
    <row r="3917" spans="1:19" ht="28" x14ac:dyDescent="0.15">
      <c r="A3917" s="2">
        <f>HYPERLINK("https://open-school.uspishnemisto.com.ua/school/210088/", 210088)</f>
        <v>210088</v>
      </c>
      <c r="B3917" s="3" t="s">
        <v>20470</v>
      </c>
      <c r="C3917" s="3" t="s">
        <v>31</v>
      </c>
      <c r="D3917" s="3" t="s">
        <v>175</v>
      </c>
      <c r="E3917" s="4" t="s">
        <v>22</v>
      </c>
      <c r="F3917" s="4" t="s">
        <v>20471</v>
      </c>
      <c r="G3917" s="4" t="s">
        <v>20472</v>
      </c>
      <c r="H3917" s="3" t="s">
        <v>20074</v>
      </c>
      <c r="I3917" s="3" t="s">
        <v>20473</v>
      </c>
      <c r="J3917" s="3" t="s">
        <v>466</v>
      </c>
      <c r="K3917" s="3" t="s">
        <v>20474</v>
      </c>
      <c r="L3917" s="3"/>
      <c r="M3917" s="4"/>
      <c r="N3917" s="3" t="s">
        <v>18409</v>
      </c>
      <c r="O3917" s="3" t="s">
        <v>52</v>
      </c>
      <c r="P3917" s="5">
        <v>8</v>
      </c>
      <c r="Q3917" s="5">
        <v>69</v>
      </c>
      <c r="R3917" s="5">
        <v>9</v>
      </c>
      <c r="S3917" s="5">
        <v>76</v>
      </c>
    </row>
    <row r="3918" spans="1:19" ht="28" x14ac:dyDescent="0.15">
      <c r="A3918" s="2">
        <f>HYPERLINK("https://open-school.uspishnemisto.com.ua/school/210089/", 210089)</f>
        <v>210089</v>
      </c>
      <c r="B3918" s="3" t="s">
        <v>20475</v>
      </c>
      <c r="C3918" s="3" t="s">
        <v>31</v>
      </c>
      <c r="D3918" s="3" t="s">
        <v>175</v>
      </c>
      <c r="E3918" s="4" t="s">
        <v>22</v>
      </c>
      <c r="F3918" s="4" t="s">
        <v>20471</v>
      </c>
      <c r="G3918" s="4" t="s">
        <v>20476</v>
      </c>
      <c r="H3918" s="3" t="s">
        <v>20074</v>
      </c>
      <c r="I3918" s="3" t="s">
        <v>20477</v>
      </c>
      <c r="J3918" s="3" t="s">
        <v>20478</v>
      </c>
      <c r="K3918" s="3"/>
      <c r="L3918" s="3"/>
      <c r="M3918" s="4" t="s">
        <v>20479</v>
      </c>
      <c r="N3918" s="3" t="s">
        <v>20226</v>
      </c>
      <c r="O3918" s="3" t="s">
        <v>52</v>
      </c>
      <c r="P3918" s="5">
        <v>10</v>
      </c>
      <c r="Q3918" s="5">
        <v>127</v>
      </c>
      <c r="R3918" s="5">
        <v>11</v>
      </c>
      <c r="S3918" s="5">
        <v>125</v>
      </c>
    </row>
    <row r="3919" spans="1:19" ht="28" x14ac:dyDescent="0.15">
      <c r="A3919" s="2">
        <f>HYPERLINK("https://open-school.uspishnemisto.com.ua/school/210090/", 210090)</f>
        <v>210090</v>
      </c>
      <c r="B3919" s="3" t="s">
        <v>20480</v>
      </c>
      <c r="C3919" s="3" t="s">
        <v>31</v>
      </c>
      <c r="D3919" s="3" t="s">
        <v>175</v>
      </c>
      <c r="E3919" s="4" t="s">
        <v>22</v>
      </c>
      <c r="F3919" s="4" t="s">
        <v>20481</v>
      </c>
      <c r="G3919" s="4" t="s">
        <v>20482</v>
      </c>
      <c r="H3919" s="3" t="s">
        <v>20074</v>
      </c>
      <c r="I3919" s="3" t="s">
        <v>20483</v>
      </c>
      <c r="J3919" s="3" t="s">
        <v>20484</v>
      </c>
      <c r="K3919" s="3" t="s">
        <v>20485</v>
      </c>
      <c r="L3919" s="3"/>
      <c r="M3919" s="4" t="s">
        <v>20486</v>
      </c>
      <c r="N3919" s="3" t="s">
        <v>18409</v>
      </c>
      <c r="O3919" s="3" t="s">
        <v>52</v>
      </c>
      <c r="P3919" s="5">
        <v>8</v>
      </c>
      <c r="Q3919" s="5">
        <v>63</v>
      </c>
      <c r="R3919" s="5">
        <v>8</v>
      </c>
      <c r="S3919" s="5">
        <v>54</v>
      </c>
    </row>
    <row r="3920" spans="1:19" ht="28" x14ac:dyDescent="0.15">
      <c r="A3920" s="2">
        <f>HYPERLINK("https://open-school.uspishnemisto.com.ua/school/210091/", 210091)</f>
        <v>210091</v>
      </c>
      <c r="B3920" s="3" t="s">
        <v>20487</v>
      </c>
      <c r="C3920" s="3" t="s">
        <v>31</v>
      </c>
      <c r="D3920" s="3" t="s">
        <v>175</v>
      </c>
      <c r="E3920" s="4" t="s">
        <v>22</v>
      </c>
      <c r="F3920" s="4" t="s">
        <v>20488</v>
      </c>
      <c r="G3920" s="4" t="s">
        <v>20489</v>
      </c>
      <c r="H3920" s="3" t="s">
        <v>20074</v>
      </c>
      <c r="I3920" s="3" t="s">
        <v>20490</v>
      </c>
      <c r="J3920" s="3" t="s">
        <v>20491</v>
      </c>
      <c r="K3920" s="3" t="s">
        <v>20492</v>
      </c>
      <c r="L3920" s="3"/>
      <c r="M3920" s="4" t="s">
        <v>20493</v>
      </c>
      <c r="N3920" s="3" t="s">
        <v>18409</v>
      </c>
      <c r="O3920" s="3" t="s">
        <v>52</v>
      </c>
      <c r="P3920" s="5">
        <v>9</v>
      </c>
      <c r="Q3920" s="5">
        <v>95</v>
      </c>
      <c r="R3920" s="5">
        <v>9</v>
      </c>
      <c r="S3920" s="5">
        <v>102</v>
      </c>
    </row>
    <row r="3921" spans="1:19" ht="42" x14ac:dyDescent="0.15">
      <c r="A3921" s="2">
        <f>HYPERLINK("https://open-school.uspishnemisto.com.ua/school/210092/", 210092)</f>
        <v>210092</v>
      </c>
      <c r="B3921" s="3" t="s">
        <v>20494</v>
      </c>
      <c r="C3921" s="3" t="s">
        <v>31</v>
      </c>
      <c r="D3921" s="3" t="s">
        <v>32</v>
      </c>
      <c r="E3921" s="4" t="s">
        <v>22</v>
      </c>
      <c r="F3921" s="4" t="s">
        <v>20495</v>
      </c>
      <c r="G3921" s="4" t="s">
        <v>20496</v>
      </c>
      <c r="H3921" s="3" t="s">
        <v>20074</v>
      </c>
      <c r="I3921" s="3" t="s">
        <v>20497</v>
      </c>
      <c r="J3921" s="3" t="s">
        <v>6438</v>
      </c>
      <c r="K3921" s="3" t="s">
        <v>20498</v>
      </c>
      <c r="L3921" s="3"/>
      <c r="M3921" s="4" t="s">
        <v>20499</v>
      </c>
      <c r="N3921" s="3" t="s">
        <v>18409</v>
      </c>
      <c r="O3921" s="3" t="s">
        <v>52</v>
      </c>
      <c r="P3921" s="5">
        <v>15</v>
      </c>
      <c r="Q3921" s="5">
        <v>303</v>
      </c>
      <c r="R3921" s="5">
        <v>17</v>
      </c>
      <c r="S3921" s="5">
        <v>309</v>
      </c>
    </row>
    <row r="3922" spans="1:19" ht="42" x14ac:dyDescent="0.15">
      <c r="A3922" s="2">
        <f>HYPERLINK("https://open-school.uspishnemisto.com.ua/school/210093/", 210093)</f>
        <v>210093</v>
      </c>
      <c r="B3922" s="3" t="s">
        <v>20500</v>
      </c>
      <c r="C3922" s="3" t="s">
        <v>31</v>
      </c>
      <c r="D3922" s="3" t="s">
        <v>175</v>
      </c>
      <c r="E3922" s="4" t="s">
        <v>22</v>
      </c>
      <c r="F3922" s="4" t="s">
        <v>20501</v>
      </c>
      <c r="G3922" s="4" t="s">
        <v>20502</v>
      </c>
      <c r="H3922" s="3" t="s">
        <v>20074</v>
      </c>
      <c r="I3922" s="3" t="s">
        <v>20503</v>
      </c>
      <c r="J3922" s="3" t="s">
        <v>20504</v>
      </c>
      <c r="K3922" s="3" t="s">
        <v>20505</v>
      </c>
      <c r="L3922" s="3"/>
      <c r="M3922" s="4" t="s">
        <v>20506</v>
      </c>
      <c r="N3922" s="3" t="s">
        <v>18409</v>
      </c>
      <c r="O3922" s="3" t="s">
        <v>52</v>
      </c>
      <c r="P3922" s="5">
        <v>8</v>
      </c>
      <c r="Q3922" s="5">
        <v>78</v>
      </c>
      <c r="R3922" s="5">
        <v>8</v>
      </c>
      <c r="S3922" s="5">
        <v>72</v>
      </c>
    </row>
    <row r="3923" spans="1:19" ht="42" x14ac:dyDescent="0.15">
      <c r="A3923" s="2">
        <f>HYPERLINK("https://open-school.uspishnemisto.com.ua/school/210094/", 210094)</f>
        <v>210094</v>
      </c>
      <c r="B3923" s="3" t="s">
        <v>20507</v>
      </c>
      <c r="C3923" s="3" t="s">
        <v>54</v>
      </c>
      <c r="D3923" s="3" t="s">
        <v>60</v>
      </c>
      <c r="E3923" s="4" t="s">
        <v>22</v>
      </c>
      <c r="F3923" s="4" t="s">
        <v>20508</v>
      </c>
      <c r="G3923" s="4" t="s">
        <v>20509</v>
      </c>
      <c r="H3923" s="3" t="s">
        <v>20074</v>
      </c>
      <c r="I3923" s="3" t="s">
        <v>20510</v>
      </c>
      <c r="J3923" s="3" t="s">
        <v>2841</v>
      </c>
      <c r="K3923" s="3" t="s">
        <v>20511</v>
      </c>
      <c r="L3923" s="3"/>
      <c r="M3923" s="4"/>
      <c r="N3923" s="3" t="s">
        <v>37</v>
      </c>
      <c r="O3923" s="3" t="s">
        <v>52</v>
      </c>
      <c r="P3923" s="5">
        <v>0</v>
      </c>
      <c r="Q3923" s="5">
        <v>12</v>
      </c>
      <c r="R3923" s="5">
        <v>3</v>
      </c>
      <c r="S3923" s="5">
        <v>23</v>
      </c>
    </row>
    <row r="3924" spans="1:19" ht="28" x14ac:dyDescent="0.15">
      <c r="A3924" s="2">
        <f>HYPERLINK("https://open-school.uspishnemisto.com.ua/school/210095/", 210095)</f>
        <v>210095</v>
      </c>
      <c r="B3924" s="3" t="s">
        <v>20512</v>
      </c>
      <c r="C3924" s="3" t="s">
        <v>31</v>
      </c>
      <c r="D3924" s="3" t="s">
        <v>32</v>
      </c>
      <c r="E3924" s="4" t="s">
        <v>22</v>
      </c>
      <c r="F3924" s="4" t="s">
        <v>20513</v>
      </c>
      <c r="G3924" s="4" t="s">
        <v>20514</v>
      </c>
      <c r="H3924" s="3" t="s">
        <v>20074</v>
      </c>
      <c r="I3924" s="3" t="s">
        <v>20515</v>
      </c>
      <c r="J3924" s="3" t="s">
        <v>20516</v>
      </c>
      <c r="K3924" s="3"/>
      <c r="L3924" s="3"/>
      <c r="M3924" s="4" t="s">
        <v>20517</v>
      </c>
      <c r="N3924" s="3" t="s">
        <v>20226</v>
      </c>
      <c r="O3924" s="3" t="s">
        <v>52</v>
      </c>
      <c r="P3924" s="5">
        <v>17</v>
      </c>
      <c r="Q3924" s="5">
        <v>132</v>
      </c>
      <c r="R3924" s="5">
        <v>18</v>
      </c>
      <c r="S3924" s="5">
        <v>137</v>
      </c>
    </row>
    <row r="3925" spans="1:19" ht="42" x14ac:dyDescent="0.15">
      <c r="A3925" s="2">
        <f>HYPERLINK("https://open-school.uspishnemisto.com.ua/school/210096/", 210096)</f>
        <v>210096</v>
      </c>
      <c r="B3925" s="3" t="s">
        <v>20518</v>
      </c>
      <c r="C3925" s="3" t="s">
        <v>54</v>
      </c>
      <c r="D3925" s="3" t="s">
        <v>60</v>
      </c>
      <c r="E3925" s="4" t="s">
        <v>22</v>
      </c>
      <c r="F3925" s="4" t="s">
        <v>20519</v>
      </c>
      <c r="G3925" s="4" t="s">
        <v>20520</v>
      </c>
      <c r="H3925" s="3" t="s">
        <v>20074</v>
      </c>
      <c r="I3925" s="3" t="s">
        <v>20521</v>
      </c>
      <c r="J3925" s="3" t="s">
        <v>20522</v>
      </c>
      <c r="K3925" s="3"/>
      <c r="L3925" s="3"/>
      <c r="M3925" s="4" t="s">
        <v>20523</v>
      </c>
      <c r="N3925" s="3" t="s">
        <v>18409</v>
      </c>
      <c r="O3925" s="3" t="s">
        <v>52</v>
      </c>
      <c r="P3925" s="5">
        <v>4</v>
      </c>
      <c r="Q3925" s="5">
        <v>23</v>
      </c>
      <c r="R3925" s="5">
        <v>4</v>
      </c>
      <c r="S3925" s="5">
        <v>23</v>
      </c>
    </row>
    <row r="3926" spans="1:19" ht="28" x14ac:dyDescent="0.15">
      <c r="A3926" s="2">
        <f>HYPERLINK("https://open-school.uspishnemisto.com.ua/school/210097/", 210097)</f>
        <v>210097</v>
      </c>
      <c r="B3926" s="3" t="s">
        <v>20524</v>
      </c>
      <c r="C3926" s="3" t="s">
        <v>31</v>
      </c>
      <c r="D3926" s="3" t="s">
        <v>175</v>
      </c>
      <c r="E3926" s="4" t="s">
        <v>22</v>
      </c>
      <c r="F3926" s="4" t="s">
        <v>20525</v>
      </c>
      <c r="G3926" s="4" t="s">
        <v>20526</v>
      </c>
      <c r="H3926" s="3" t="s">
        <v>20074</v>
      </c>
      <c r="I3926" s="3" t="s">
        <v>20527</v>
      </c>
      <c r="J3926" s="3" t="s">
        <v>20528</v>
      </c>
      <c r="K3926" s="3" t="s">
        <v>20529</v>
      </c>
      <c r="L3926" s="3"/>
      <c r="M3926" s="4"/>
      <c r="N3926" s="3" t="s">
        <v>20226</v>
      </c>
      <c r="O3926" s="3" t="s">
        <v>20246</v>
      </c>
      <c r="P3926" s="5">
        <v>9</v>
      </c>
      <c r="Q3926" s="5">
        <v>129</v>
      </c>
      <c r="R3926" s="5">
        <v>9</v>
      </c>
      <c r="S3926" s="5">
        <v>122</v>
      </c>
    </row>
    <row r="3927" spans="1:19" ht="28" x14ac:dyDescent="0.15">
      <c r="A3927" s="2">
        <f>HYPERLINK("https://open-school.uspishnemisto.com.ua/school/210098/", 210098)</f>
        <v>210098</v>
      </c>
      <c r="B3927" s="3" t="s">
        <v>20530</v>
      </c>
      <c r="C3927" s="3" t="s">
        <v>31</v>
      </c>
      <c r="D3927" s="3" t="s">
        <v>175</v>
      </c>
      <c r="E3927" s="4" t="s">
        <v>22</v>
      </c>
      <c r="F3927" s="4" t="s">
        <v>20531</v>
      </c>
      <c r="G3927" s="4" t="s">
        <v>20532</v>
      </c>
      <c r="H3927" s="3" t="s">
        <v>20074</v>
      </c>
      <c r="I3927" s="3" t="s">
        <v>20533</v>
      </c>
      <c r="J3927" s="3" t="s">
        <v>639</v>
      </c>
      <c r="K3927" s="3" t="s">
        <v>20534</v>
      </c>
      <c r="L3927" s="3"/>
      <c r="M3927" s="4" t="s">
        <v>20535</v>
      </c>
      <c r="N3927" s="3" t="s">
        <v>18409</v>
      </c>
      <c r="O3927" s="3" t="s">
        <v>52</v>
      </c>
      <c r="P3927" s="5">
        <v>9</v>
      </c>
      <c r="Q3927" s="5">
        <v>88</v>
      </c>
      <c r="R3927" s="5">
        <v>9</v>
      </c>
      <c r="S3927" s="5">
        <v>91</v>
      </c>
    </row>
    <row r="3928" spans="1:19" ht="28" x14ac:dyDescent="0.15">
      <c r="A3928" s="2">
        <f>HYPERLINK("https://open-school.uspishnemisto.com.ua/school/210099/", 210099)</f>
        <v>210099</v>
      </c>
      <c r="B3928" s="3" t="s">
        <v>20536</v>
      </c>
      <c r="C3928" s="3" t="s">
        <v>31</v>
      </c>
      <c r="D3928" s="3" t="s">
        <v>60</v>
      </c>
      <c r="E3928" s="4" t="s">
        <v>22</v>
      </c>
      <c r="F3928" s="4" t="s">
        <v>20531</v>
      </c>
      <c r="G3928" s="4" t="s">
        <v>20537</v>
      </c>
      <c r="H3928" s="3" t="s">
        <v>20074</v>
      </c>
      <c r="I3928" s="3" t="s">
        <v>20538</v>
      </c>
      <c r="J3928" s="3" t="s">
        <v>20539</v>
      </c>
      <c r="K3928" s="3" t="s">
        <v>20540</v>
      </c>
      <c r="L3928" s="3"/>
      <c r="M3928" s="4" t="s">
        <v>20541</v>
      </c>
      <c r="N3928" s="3" t="s">
        <v>37</v>
      </c>
      <c r="O3928" s="3" t="s">
        <v>52</v>
      </c>
      <c r="P3928" s="5">
        <v>4</v>
      </c>
      <c r="Q3928" s="5">
        <v>17</v>
      </c>
      <c r="R3928" s="5">
        <v>4</v>
      </c>
      <c r="S3928" s="5">
        <v>16</v>
      </c>
    </row>
    <row r="3929" spans="1:19" ht="56" x14ac:dyDescent="0.15">
      <c r="A3929" s="2">
        <f>HYPERLINK("https://open-school.uspishnemisto.com.ua/school/210100/", 210100)</f>
        <v>210100</v>
      </c>
      <c r="B3929" s="3" t="s">
        <v>20542</v>
      </c>
      <c r="C3929" s="3" t="s">
        <v>54</v>
      </c>
      <c r="D3929" s="3" t="s">
        <v>175</v>
      </c>
      <c r="E3929" s="4" t="s">
        <v>22</v>
      </c>
      <c r="F3929" s="4" t="s">
        <v>20543</v>
      </c>
      <c r="G3929" s="4" t="s">
        <v>20544</v>
      </c>
      <c r="H3929" s="3" t="s">
        <v>20074</v>
      </c>
      <c r="I3929" s="3" t="s">
        <v>20545</v>
      </c>
      <c r="J3929" s="3" t="s">
        <v>20546</v>
      </c>
      <c r="K3929" s="3" t="s">
        <v>20547</v>
      </c>
      <c r="L3929" s="3"/>
      <c r="M3929" s="4" t="s">
        <v>20548</v>
      </c>
      <c r="N3929" s="3" t="s">
        <v>18409</v>
      </c>
      <c r="O3929" s="3" t="s">
        <v>46</v>
      </c>
      <c r="P3929" s="5">
        <v>9</v>
      </c>
      <c r="Q3929" s="5">
        <v>87</v>
      </c>
      <c r="R3929" s="5">
        <v>9</v>
      </c>
      <c r="S3929" s="5">
        <v>86</v>
      </c>
    </row>
    <row r="3930" spans="1:19" ht="42" x14ac:dyDescent="0.15">
      <c r="A3930" s="2">
        <f>HYPERLINK("https://open-school.uspishnemisto.com.ua/school/210101/", 210101)</f>
        <v>210101</v>
      </c>
      <c r="B3930" s="3" t="s">
        <v>20549</v>
      </c>
      <c r="C3930" s="3" t="s">
        <v>31</v>
      </c>
      <c r="D3930" s="3" t="s">
        <v>175</v>
      </c>
      <c r="E3930" s="4" t="s">
        <v>22</v>
      </c>
      <c r="F3930" s="4" t="s">
        <v>20550</v>
      </c>
      <c r="G3930" s="4" t="s">
        <v>20551</v>
      </c>
      <c r="H3930" s="3" t="s">
        <v>20074</v>
      </c>
      <c r="I3930" s="3" t="s">
        <v>20552</v>
      </c>
      <c r="J3930" s="3" t="s">
        <v>20553</v>
      </c>
      <c r="K3930" s="3" t="s">
        <v>20554</v>
      </c>
      <c r="L3930" s="3"/>
      <c r="M3930" s="4" t="s">
        <v>20555</v>
      </c>
      <c r="N3930" s="3" t="s">
        <v>18409</v>
      </c>
      <c r="O3930" s="3" t="s">
        <v>46</v>
      </c>
      <c r="P3930" s="5">
        <v>9</v>
      </c>
      <c r="Q3930" s="5">
        <v>148</v>
      </c>
      <c r="R3930" s="5">
        <v>9</v>
      </c>
      <c r="S3930" s="5">
        <v>149</v>
      </c>
    </row>
    <row r="3931" spans="1:19" ht="28" x14ac:dyDescent="0.15">
      <c r="A3931" s="2">
        <f>HYPERLINK("https://open-school.uspishnemisto.com.ua/school/210102/", 210102)</f>
        <v>210102</v>
      </c>
      <c r="B3931" s="3" t="s">
        <v>20556</v>
      </c>
      <c r="C3931" s="3" t="s">
        <v>31</v>
      </c>
      <c r="D3931" s="3" t="s">
        <v>32</v>
      </c>
      <c r="E3931" s="4" t="s">
        <v>22</v>
      </c>
      <c r="F3931" s="4" t="s">
        <v>20557</v>
      </c>
      <c r="G3931" s="4" t="s">
        <v>20558</v>
      </c>
      <c r="H3931" s="3" t="s">
        <v>20074</v>
      </c>
      <c r="I3931" s="3" t="s">
        <v>20559</v>
      </c>
      <c r="J3931" s="3" t="s">
        <v>20560</v>
      </c>
      <c r="K3931" s="3" t="s">
        <v>20561</v>
      </c>
      <c r="L3931" s="3"/>
      <c r="M3931" s="4" t="s">
        <v>20562</v>
      </c>
      <c r="N3931" s="3" t="s">
        <v>20226</v>
      </c>
      <c r="O3931" s="3" t="s">
        <v>20097</v>
      </c>
      <c r="P3931" s="5">
        <v>22</v>
      </c>
      <c r="Q3931" s="5">
        <v>348</v>
      </c>
      <c r="R3931" s="5">
        <v>23</v>
      </c>
      <c r="S3931" s="5">
        <v>343</v>
      </c>
    </row>
    <row r="3932" spans="1:19" ht="28" x14ac:dyDescent="0.15">
      <c r="A3932" s="2">
        <f>HYPERLINK("https://open-school.uspishnemisto.com.ua/school/210103/", 210103)</f>
        <v>210103</v>
      </c>
      <c r="B3932" s="3" t="s">
        <v>20563</v>
      </c>
      <c r="C3932" s="3" t="s">
        <v>188</v>
      </c>
      <c r="D3932" s="3" t="s">
        <v>32</v>
      </c>
      <c r="E3932" s="4" t="s">
        <v>22</v>
      </c>
      <c r="F3932" s="4" t="s">
        <v>20557</v>
      </c>
      <c r="G3932" s="4" t="s">
        <v>20558</v>
      </c>
      <c r="H3932" s="3" t="s">
        <v>20074</v>
      </c>
      <c r="I3932" s="3" t="s">
        <v>20559</v>
      </c>
      <c r="J3932" s="3" t="s">
        <v>20564</v>
      </c>
      <c r="K3932" s="3" t="s">
        <v>20565</v>
      </c>
      <c r="L3932" s="3"/>
      <c r="M3932" s="4" t="s">
        <v>20566</v>
      </c>
      <c r="N3932" s="3" t="s">
        <v>18409</v>
      </c>
      <c r="O3932" s="3" t="s">
        <v>52</v>
      </c>
      <c r="P3932" s="5">
        <v>4</v>
      </c>
      <c r="Q3932" s="5">
        <v>92</v>
      </c>
      <c r="R3932" s="5">
        <v>3</v>
      </c>
      <c r="S3932" s="5">
        <v>68</v>
      </c>
    </row>
    <row r="3933" spans="1:19" ht="28" x14ac:dyDescent="0.15">
      <c r="A3933" s="2">
        <f>HYPERLINK("https://open-school.uspishnemisto.com.ua/school/210104/", 210104)</f>
        <v>210104</v>
      </c>
      <c r="B3933" s="3" t="s">
        <v>20567</v>
      </c>
      <c r="C3933" s="3" t="s">
        <v>31</v>
      </c>
      <c r="D3933" s="3" t="s">
        <v>175</v>
      </c>
      <c r="E3933" s="4" t="s">
        <v>22</v>
      </c>
      <c r="F3933" s="4" t="s">
        <v>20568</v>
      </c>
      <c r="G3933" s="4" t="s">
        <v>20569</v>
      </c>
      <c r="H3933" s="3" t="s">
        <v>20074</v>
      </c>
      <c r="I3933" s="3" t="s">
        <v>20570</v>
      </c>
      <c r="J3933" s="3" t="s">
        <v>20571</v>
      </c>
      <c r="K3933" s="3"/>
      <c r="L3933" s="3"/>
      <c r="M3933" s="4" t="s">
        <v>20572</v>
      </c>
      <c r="N3933" s="3" t="s">
        <v>37</v>
      </c>
      <c r="O3933" s="3" t="s">
        <v>20246</v>
      </c>
      <c r="P3933" s="5">
        <v>9</v>
      </c>
      <c r="Q3933" s="5">
        <v>77</v>
      </c>
      <c r="R3933" s="5">
        <v>9</v>
      </c>
      <c r="S3933" s="5">
        <v>74</v>
      </c>
    </row>
    <row r="3934" spans="1:19" ht="28" x14ac:dyDescent="0.15">
      <c r="A3934" s="2">
        <f>HYPERLINK("https://open-school.uspishnemisto.com.ua/school/210105/", 210105)</f>
        <v>210105</v>
      </c>
      <c r="B3934" s="3" t="s">
        <v>20573</v>
      </c>
      <c r="C3934" s="3" t="s">
        <v>31</v>
      </c>
      <c r="D3934" s="3" t="s">
        <v>32</v>
      </c>
      <c r="E3934" s="4" t="s">
        <v>22</v>
      </c>
      <c r="F3934" s="4" t="s">
        <v>20574</v>
      </c>
      <c r="G3934" s="4" t="s">
        <v>20575</v>
      </c>
      <c r="H3934" s="3" t="s">
        <v>20074</v>
      </c>
      <c r="I3934" s="3" t="s">
        <v>20576</v>
      </c>
      <c r="J3934" s="3" t="s">
        <v>20577</v>
      </c>
      <c r="K3934" s="3" t="s">
        <v>20578</v>
      </c>
      <c r="L3934" s="3"/>
      <c r="M3934" s="4"/>
      <c r="N3934" s="3" t="s">
        <v>18409</v>
      </c>
      <c r="O3934" s="3" t="s">
        <v>52</v>
      </c>
      <c r="P3934" s="5">
        <v>12</v>
      </c>
      <c r="Q3934" s="5">
        <v>242</v>
      </c>
      <c r="R3934" s="5">
        <v>12</v>
      </c>
      <c r="S3934" s="5">
        <v>241</v>
      </c>
    </row>
    <row r="3935" spans="1:19" ht="28" x14ac:dyDescent="0.15">
      <c r="A3935" s="2">
        <f>HYPERLINK("https://open-school.uspishnemisto.com.ua/school/210106/", 210106)</f>
        <v>210106</v>
      </c>
      <c r="B3935" s="3" t="s">
        <v>20579</v>
      </c>
      <c r="C3935" s="3" t="s">
        <v>31</v>
      </c>
      <c r="D3935" s="3" t="s">
        <v>60</v>
      </c>
      <c r="E3935" s="4" t="s">
        <v>22</v>
      </c>
      <c r="F3935" s="4" t="s">
        <v>20513</v>
      </c>
      <c r="G3935" s="4" t="s">
        <v>20580</v>
      </c>
      <c r="H3935" s="3" t="s">
        <v>20074</v>
      </c>
      <c r="I3935" s="3" t="s">
        <v>20581</v>
      </c>
      <c r="J3935" s="3" t="s">
        <v>20582</v>
      </c>
      <c r="K3935" s="3" t="s">
        <v>20583</v>
      </c>
      <c r="L3935" s="3"/>
      <c r="M3935" s="4" t="s">
        <v>20584</v>
      </c>
      <c r="N3935" s="3" t="s">
        <v>37</v>
      </c>
      <c r="O3935" s="3" t="s">
        <v>52</v>
      </c>
      <c r="P3935" s="5">
        <v>3</v>
      </c>
      <c r="Q3935" s="5">
        <v>6</v>
      </c>
      <c r="R3935" s="5">
        <v>3</v>
      </c>
      <c r="S3935" s="5">
        <v>7</v>
      </c>
    </row>
    <row r="3936" spans="1:19" ht="28" x14ac:dyDescent="0.15">
      <c r="A3936" s="2">
        <f>HYPERLINK("https://open-school.uspishnemisto.com.ua/school/210107/", 210107)</f>
        <v>210107</v>
      </c>
      <c r="B3936" s="3" t="s">
        <v>20585</v>
      </c>
      <c r="C3936" s="3" t="s">
        <v>31</v>
      </c>
      <c r="D3936" s="3" t="s">
        <v>32</v>
      </c>
      <c r="E3936" s="4" t="s">
        <v>22</v>
      </c>
      <c r="F3936" s="4" t="s">
        <v>20586</v>
      </c>
      <c r="G3936" s="4" t="s">
        <v>20587</v>
      </c>
      <c r="H3936" s="3" t="s">
        <v>20074</v>
      </c>
      <c r="I3936" s="3" t="s">
        <v>20588</v>
      </c>
      <c r="J3936" s="3" t="s">
        <v>1216</v>
      </c>
      <c r="K3936" s="3" t="s">
        <v>20589</v>
      </c>
      <c r="L3936" s="3"/>
      <c r="M3936" s="4"/>
      <c r="N3936" s="3" t="s">
        <v>20226</v>
      </c>
      <c r="O3936" s="3" t="s">
        <v>46</v>
      </c>
      <c r="P3936" s="5">
        <v>20</v>
      </c>
      <c r="Q3936" s="5">
        <v>245</v>
      </c>
      <c r="R3936" s="5">
        <v>21</v>
      </c>
      <c r="S3936" s="5">
        <v>246</v>
      </c>
    </row>
    <row r="3937" spans="1:19" ht="28" x14ac:dyDescent="0.15">
      <c r="A3937" s="2">
        <f>HYPERLINK("https://open-school.uspishnemisto.com.ua/school/210108/", 210108)</f>
        <v>210108</v>
      </c>
      <c r="B3937" s="3" t="s">
        <v>20590</v>
      </c>
      <c r="C3937" s="3" t="s">
        <v>31</v>
      </c>
      <c r="D3937" s="3" t="s">
        <v>175</v>
      </c>
      <c r="E3937" s="4" t="s">
        <v>22</v>
      </c>
      <c r="F3937" s="4" t="s">
        <v>20591</v>
      </c>
      <c r="G3937" s="4" t="s">
        <v>20592</v>
      </c>
      <c r="H3937" s="3" t="s">
        <v>20074</v>
      </c>
      <c r="I3937" s="3" t="s">
        <v>20593</v>
      </c>
      <c r="J3937" s="3" t="s">
        <v>20594</v>
      </c>
      <c r="K3937" s="3" t="s">
        <v>20595</v>
      </c>
      <c r="L3937" s="3"/>
      <c r="M3937" s="4" t="s">
        <v>20596</v>
      </c>
      <c r="N3937" s="3" t="s">
        <v>37</v>
      </c>
      <c r="O3937" s="3" t="s">
        <v>38</v>
      </c>
      <c r="P3937" s="5">
        <v>9</v>
      </c>
      <c r="Q3937" s="5">
        <v>108</v>
      </c>
      <c r="R3937" s="5">
        <v>9</v>
      </c>
      <c r="S3937" s="5">
        <v>108</v>
      </c>
    </row>
    <row r="3938" spans="1:19" ht="28" x14ac:dyDescent="0.15">
      <c r="A3938" s="2">
        <f>HYPERLINK("https://open-school.uspishnemisto.com.ua/school/210109/", 210109)</f>
        <v>210109</v>
      </c>
      <c r="B3938" s="3" t="s">
        <v>20597</v>
      </c>
      <c r="C3938" s="3" t="s">
        <v>31</v>
      </c>
      <c r="D3938" s="3" t="s">
        <v>175</v>
      </c>
      <c r="E3938" s="4" t="s">
        <v>22</v>
      </c>
      <c r="F3938" s="4" t="s">
        <v>20598</v>
      </c>
      <c r="G3938" s="4" t="s">
        <v>20599</v>
      </c>
      <c r="H3938" s="3" t="s">
        <v>20074</v>
      </c>
      <c r="I3938" s="3" t="s">
        <v>20600</v>
      </c>
      <c r="J3938" s="3" t="s">
        <v>20601</v>
      </c>
      <c r="K3938" s="3" t="s">
        <v>20602</v>
      </c>
      <c r="L3938" s="3"/>
      <c r="M3938" s="4" t="s">
        <v>20603</v>
      </c>
      <c r="N3938" s="3" t="s">
        <v>18409</v>
      </c>
      <c r="O3938" s="3" t="s">
        <v>52</v>
      </c>
      <c r="P3938" s="5">
        <v>10</v>
      </c>
      <c r="Q3938" s="5">
        <v>174</v>
      </c>
      <c r="R3938" s="5">
        <v>9</v>
      </c>
      <c r="S3938" s="5">
        <v>154</v>
      </c>
    </row>
    <row r="3939" spans="1:19" ht="28" x14ac:dyDescent="0.15">
      <c r="A3939" s="2">
        <f>HYPERLINK("https://open-school.uspishnemisto.com.ua/school/210110/", 210110)</f>
        <v>210110</v>
      </c>
      <c r="B3939" s="3" t="s">
        <v>20604</v>
      </c>
      <c r="C3939" s="3" t="s">
        <v>31</v>
      </c>
      <c r="D3939" s="3" t="s">
        <v>175</v>
      </c>
      <c r="E3939" s="4" t="s">
        <v>22</v>
      </c>
      <c r="F3939" s="4" t="s">
        <v>20605</v>
      </c>
      <c r="G3939" s="4" t="s">
        <v>20606</v>
      </c>
      <c r="H3939" s="3" t="s">
        <v>20074</v>
      </c>
      <c r="I3939" s="3" t="s">
        <v>20607</v>
      </c>
      <c r="J3939" s="3" t="s">
        <v>20608</v>
      </c>
      <c r="K3939" s="3" t="s">
        <v>20609</v>
      </c>
      <c r="L3939" s="3"/>
      <c r="M3939" s="4" t="s">
        <v>20610</v>
      </c>
      <c r="N3939" s="3" t="s">
        <v>18409</v>
      </c>
      <c r="O3939" s="3" t="s">
        <v>46</v>
      </c>
      <c r="P3939" s="5">
        <v>9</v>
      </c>
      <c r="Q3939" s="5">
        <v>75</v>
      </c>
      <c r="R3939" s="5">
        <v>8</v>
      </c>
      <c r="S3939" s="5">
        <v>69</v>
      </c>
    </row>
    <row r="3940" spans="1:19" ht="42" x14ac:dyDescent="0.15">
      <c r="A3940" s="2">
        <f>HYPERLINK("https://open-school.uspishnemisto.com.ua/school/210111/", 210111)</f>
        <v>210111</v>
      </c>
      <c r="B3940" s="3" t="s">
        <v>20611</v>
      </c>
      <c r="C3940" s="3" t="s">
        <v>31</v>
      </c>
      <c r="D3940" s="3" t="s">
        <v>175</v>
      </c>
      <c r="E3940" s="4" t="s">
        <v>22</v>
      </c>
      <c r="F3940" s="4" t="s">
        <v>20612</v>
      </c>
      <c r="G3940" s="4" t="s">
        <v>20613</v>
      </c>
      <c r="H3940" s="3" t="s">
        <v>20074</v>
      </c>
      <c r="I3940" s="3" t="s">
        <v>20614</v>
      </c>
      <c r="J3940" s="3" t="s">
        <v>634</v>
      </c>
      <c r="K3940" s="3"/>
      <c r="L3940" s="3"/>
      <c r="M3940" s="4" t="s">
        <v>20615</v>
      </c>
      <c r="N3940" s="3" t="s">
        <v>18409</v>
      </c>
      <c r="O3940" s="3" t="s">
        <v>52</v>
      </c>
      <c r="P3940" s="5">
        <v>9</v>
      </c>
      <c r="Q3940" s="5">
        <v>90</v>
      </c>
      <c r="R3940" s="5">
        <v>9</v>
      </c>
      <c r="S3940" s="5">
        <v>94</v>
      </c>
    </row>
    <row r="3941" spans="1:19" ht="42" x14ac:dyDescent="0.15">
      <c r="A3941" s="2">
        <f>HYPERLINK("https://open-school.uspishnemisto.com.ua/school/210112/", 210112)</f>
        <v>210112</v>
      </c>
      <c r="B3941" s="3" t="s">
        <v>20616</v>
      </c>
      <c r="C3941" s="3" t="s">
        <v>31</v>
      </c>
      <c r="D3941" s="3" t="s">
        <v>175</v>
      </c>
      <c r="E3941" s="4" t="s">
        <v>22</v>
      </c>
      <c r="F3941" s="4" t="s">
        <v>20617</v>
      </c>
      <c r="G3941" s="4" t="s">
        <v>20618</v>
      </c>
      <c r="H3941" s="3" t="s">
        <v>20074</v>
      </c>
      <c r="I3941" s="3" t="s">
        <v>20619</v>
      </c>
      <c r="J3941" s="3" t="s">
        <v>466</v>
      </c>
      <c r="K3941" s="3" t="s">
        <v>20620</v>
      </c>
      <c r="L3941" s="3"/>
      <c r="M3941" s="4" t="s">
        <v>20621</v>
      </c>
      <c r="N3941" s="3" t="s">
        <v>18409</v>
      </c>
      <c r="O3941" s="3" t="s">
        <v>2740</v>
      </c>
      <c r="P3941" s="5">
        <v>8</v>
      </c>
      <c r="Q3941" s="5">
        <v>53</v>
      </c>
      <c r="R3941" s="5">
        <v>7</v>
      </c>
      <c r="S3941" s="5">
        <v>44</v>
      </c>
    </row>
    <row r="3942" spans="1:19" ht="28" x14ac:dyDescent="0.15">
      <c r="A3942" s="2">
        <f>HYPERLINK("https://open-school.uspishnemisto.com.ua/school/210113/", 210113)</f>
        <v>210113</v>
      </c>
      <c r="B3942" s="3" t="s">
        <v>20622</v>
      </c>
      <c r="C3942" s="3" t="s">
        <v>31</v>
      </c>
      <c r="D3942" s="3" t="s">
        <v>175</v>
      </c>
      <c r="E3942" s="4" t="s">
        <v>22</v>
      </c>
      <c r="F3942" s="4" t="s">
        <v>20623</v>
      </c>
      <c r="G3942" s="4" t="s">
        <v>20624</v>
      </c>
      <c r="H3942" s="3" t="s">
        <v>20074</v>
      </c>
      <c r="I3942" s="3" t="s">
        <v>20625</v>
      </c>
      <c r="J3942" s="3" t="s">
        <v>19284</v>
      </c>
      <c r="K3942" s="3" t="s">
        <v>20626</v>
      </c>
      <c r="L3942" s="3"/>
      <c r="M3942" s="4" t="s">
        <v>20627</v>
      </c>
      <c r="N3942" s="3" t="s">
        <v>18409</v>
      </c>
      <c r="O3942" s="3" t="s">
        <v>52</v>
      </c>
      <c r="P3942" s="5">
        <v>8</v>
      </c>
      <c r="Q3942" s="5">
        <v>63</v>
      </c>
      <c r="R3942" s="5">
        <v>7</v>
      </c>
      <c r="S3942" s="5">
        <v>54</v>
      </c>
    </row>
    <row r="3943" spans="1:19" ht="28" x14ac:dyDescent="0.15">
      <c r="A3943" s="2">
        <f>HYPERLINK("https://open-school.uspishnemisto.com.ua/school/210114/", 210114)</f>
        <v>210114</v>
      </c>
      <c r="B3943" s="3" t="s">
        <v>20628</v>
      </c>
      <c r="C3943" s="3" t="s">
        <v>31</v>
      </c>
      <c r="D3943" s="3" t="s">
        <v>60</v>
      </c>
      <c r="E3943" s="4" t="s">
        <v>22</v>
      </c>
      <c r="F3943" s="4" t="s">
        <v>20629</v>
      </c>
      <c r="G3943" s="4" t="s">
        <v>20630</v>
      </c>
      <c r="H3943" s="3" t="s">
        <v>20074</v>
      </c>
      <c r="I3943" s="3" t="s">
        <v>20631</v>
      </c>
      <c r="J3943" s="3" t="s">
        <v>20632</v>
      </c>
      <c r="K3943" s="3" t="s">
        <v>20633</v>
      </c>
      <c r="L3943" s="3"/>
      <c r="M3943" s="4" t="s">
        <v>20634</v>
      </c>
      <c r="N3943" s="3" t="s">
        <v>37</v>
      </c>
      <c r="O3943" s="3" t="s">
        <v>52</v>
      </c>
      <c r="P3943" s="5">
        <v>4</v>
      </c>
      <c r="Q3943" s="5">
        <v>75</v>
      </c>
      <c r="R3943" s="5">
        <v>4</v>
      </c>
      <c r="S3943" s="5">
        <v>85</v>
      </c>
    </row>
    <row r="3944" spans="1:19" ht="28" x14ac:dyDescent="0.15">
      <c r="A3944" s="2">
        <f>HYPERLINK("https://open-school.uspishnemisto.com.ua/school/210115/", 210115)</f>
        <v>210115</v>
      </c>
      <c r="B3944" s="3" t="s">
        <v>20635</v>
      </c>
      <c r="C3944" s="3" t="s">
        <v>31</v>
      </c>
      <c r="D3944" s="3" t="s">
        <v>32</v>
      </c>
      <c r="E3944" s="4" t="s">
        <v>22</v>
      </c>
      <c r="F3944" s="4" t="s">
        <v>20636</v>
      </c>
      <c r="G3944" s="4" t="s">
        <v>20637</v>
      </c>
      <c r="H3944" s="3" t="s">
        <v>20074</v>
      </c>
      <c r="I3944" s="3" t="s">
        <v>20638</v>
      </c>
      <c r="J3944" s="3" t="s">
        <v>16925</v>
      </c>
      <c r="K3944" s="3" t="s">
        <v>20639</v>
      </c>
      <c r="L3944" s="3"/>
      <c r="M3944" s="4" t="s">
        <v>20640</v>
      </c>
      <c r="N3944" s="3" t="s">
        <v>37</v>
      </c>
      <c r="O3944" s="3" t="s">
        <v>20641</v>
      </c>
      <c r="P3944" s="5">
        <v>15</v>
      </c>
      <c r="Q3944" s="5">
        <v>263</v>
      </c>
      <c r="R3944" s="5">
        <v>15</v>
      </c>
      <c r="S3944" s="5">
        <v>267</v>
      </c>
    </row>
    <row r="3945" spans="1:19" ht="28" x14ac:dyDescent="0.15">
      <c r="A3945" s="2">
        <f>HYPERLINK("https://open-school.uspishnemisto.com.ua/school/210116/", 210116)</f>
        <v>210116</v>
      </c>
      <c r="B3945" s="3" t="s">
        <v>20642</v>
      </c>
      <c r="C3945" s="3" t="s">
        <v>31</v>
      </c>
      <c r="D3945" s="3" t="s">
        <v>60</v>
      </c>
      <c r="E3945" s="4" t="s">
        <v>22</v>
      </c>
      <c r="F3945" s="4" t="s">
        <v>20629</v>
      </c>
      <c r="G3945" s="4" t="s">
        <v>20643</v>
      </c>
      <c r="H3945" s="3" t="s">
        <v>20074</v>
      </c>
      <c r="I3945" s="3" t="s">
        <v>11397</v>
      </c>
      <c r="J3945" s="3" t="s">
        <v>20644</v>
      </c>
      <c r="K3945" s="3" t="s">
        <v>20645</v>
      </c>
      <c r="L3945" s="3"/>
      <c r="M3945" s="4"/>
      <c r="N3945" s="3" t="s">
        <v>37</v>
      </c>
      <c r="O3945" s="3" t="s">
        <v>52</v>
      </c>
      <c r="P3945" s="5">
        <v>4</v>
      </c>
      <c r="Q3945" s="5">
        <v>18</v>
      </c>
      <c r="R3945" s="5">
        <v>4</v>
      </c>
      <c r="S3945" s="5">
        <v>18</v>
      </c>
    </row>
    <row r="3946" spans="1:19" ht="42" x14ac:dyDescent="0.15">
      <c r="A3946" s="2">
        <f>HYPERLINK("https://open-school.uspishnemisto.com.ua/school/210117/", 210117)</f>
        <v>210117</v>
      </c>
      <c r="B3946" s="3" t="s">
        <v>20646</v>
      </c>
      <c r="C3946" s="3" t="s">
        <v>31</v>
      </c>
      <c r="D3946" s="3" t="s">
        <v>175</v>
      </c>
      <c r="E3946" s="4" t="s">
        <v>22</v>
      </c>
      <c r="F3946" s="4" t="s">
        <v>20647</v>
      </c>
      <c r="G3946" s="4" t="s">
        <v>20648</v>
      </c>
      <c r="H3946" s="3" t="s">
        <v>20074</v>
      </c>
      <c r="I3946" s="3" t="s">
        <v>20649</v>
      </c>
      <c r="J3946" s="3" t="s">
        <v>20650</v>
      </c>
      <c r="K3946" s="3" t="s">
        <v>20651</v>
      </c>
      <c r="L3946" s="3"/>
      <c r="M3946" s="4" t="s">
        <v>20652</v>
      </c>
      <c r="N3946" s="3" t="s">
        <v>18409</v>
      </c>
      <c r="O3946" s="3" t="s">
        <v>52</v>
      </c>
      <c r="P3946" s="5">
        <v>8</v>
      </c>
      <c r="Q3946" s="5">
        <v>66</v>
      </c>
      <c r="R3946" s="5">
        <v>8</v>
      </c>
      <c r="S3946" s="5">
        <v>65</v>
      </c>
    </row>
    <row r="3947" spans="1:19" ht="28" x14ac:dyDescent="0.15">
      <c r="A3947" s="2">
        <f>HYPERLINK("https://open-school.uspishnemisto.com.ua/school/210118/", 210118)</f>
        <v>210118</v>
      </c>
      <c r="B3947" s="3" t="s">
        <v>20653</v>
      </c>
      <c r="C3947" s="3" t="s">
        <v>40</v>
      </c>
      <c r="D3947" s="3" t="s">
        <v>32</v>
      </c>
      <c r="E3947" s="4" t="s">
        <v>22</v>
      </c>
      <c r="F3947" s="4" t="s">
        <v>20654</v>
      </c>
      <c r="G3947" s="4" t="s">
        <v>20655</v>
      </c>
      <c r="H3947" s="3" t="s">
        <v>20074</v>
      </c>
      <c r="I3947" s="3" t="s">
        <v>20656</v>
      </c>
      <c r="J3947" s="3" t="s">
        <v>20657</v>
      </c>
      <c r="K3947" s="3" t="s">
        <v>20658</v>
      </c>
      <c r="L3947" s="3"/>
      <c r="M3947" s="4" t="s">
        <v>20659</v>
      </c>
      <c r="N3947" s="3" t="s">
        <v>37</v>
      </c>
      <c r="O3947" s="3" t="s">
        <v>46</v>
      </c>
      <c r="P3947" s="5">
        <v>18</v>
      </c>
      <c r="Q3947" s="5">
        <v>358</v>
      </c>
      <c r="R3947" s="5">
        <v>17</v>
      </c>
      <c r="S3947" s="5">
        <v>346</v>
      </c>
    </row>
    <row r="3948" spans="1:19" ht="28" x14ac:dyDescent="0.15">
      <c r="A3948" s="2">
        <f>HYPERLINK("https://open-school.uspishnemisto.com.ua/school/210119/", 210119)</f>
        <v>210119</v>
      </c>
      <c r="B3948" s="3" t="s">
        <v>20660</v>
      </c>
      <c r="C3948" s="3" t="s">
        <v>2634</v>
      </c>
      <c r="D3948" s="3" t="s">
        <v>32</v>
      </c>
      <c r="E3948" s="4" t="s">
        <v>22</v>
      </c>
      <c r="F3948" s="4" t="s">
        <v>20654</v>
      </c>
      <c r="G3948" s="4" t="s">
        <v>20655</v>
      </c>
      <c r="H3948" s="3" t="s">
        <v>20074</v>
      </c>
      <c r="I3948" s="3" t="s">
        <v>20656</v>
      </c>
      <c r="J3948" s="3" t="s">
        <v>20661</v>
      </c>
      <c r="K3948" s="3" t="s">
        <v>20662</v>
      </c>
      <c r="L3948" s="3"/>
      <c r="M3948" s="4" t="s">
        <v>20663</v>
      </c>
      <c r="N3948" s="3" t="s">
        <v>37</v>
      </c>
      <c r="O3948" s="3" t="s">
        <v>46</v>
      </c>
      <c r="P3948" s="5">
        <v>11</v>
      </c>
      <c r="Q3948" s="5">
        <v>116</v>
      </c>
      <c r="R3948" s="5">
        <v>11</v>
      </c>
      <c r="S3948" s="5">
        <v>116</v>
      </c>
    </row>
    <row r="3949" spans="1:19" ht="42" x14ac:dyDescent="0.15">
      <c r="A3949" s="2">
        <f>HYPERLINK("https://open-school.uspishnemisto.com.ua/school/210120/", 210120)</f>
        <v>210120</v>
      </c>
      <c r="B3949" s="3" t="s">
        <v>20664</v>
      </c>
      <c r="C3949" s="3" t="s">
        <v>31</v>
      </c>
      <c r="D3949" s="3" t="s">
        <v>32</v>
      </c>
      <c r="E3949" s="4" t="s">
        <v>22</v>
      </c>
      <c r="F3949" s="4" t="s">
        <v>20654</v>
      </c>
      <c r="G3949" s="4" t="s">
        <v>20655</v>
      </c>
      <c r="H3949" s="3" t="s">
        <v>20074</v>
      </c>
      <c r="I3949" s="3" t="s">
        <v>20656</v>
      </c>
      <c r="J3949" s="3" t="s">
        <v>20665</v>
      </c>
      <c r="K3949" s="3" t="s">
        <v>20666</v>
      </c>
      <c r="L3949" s="3"/>
      <c r="M3949" s="4" t="s">
        <v>20667</v>
      </c>
      <c r="N3949" s="3" t="s">
        <v>37</v>
      </c>
      <c r="O3949" s="3" t="s">
        <v>46</v>
      </c>
      <c r="P3949" s="5">
        <v>28</v>
      </c>
      <c r="Q3949" s="5">
        <v>649</v>
      </c>
      <c r="R3949" s="5">
        <v>29</v>
      </c>
      <c r="S3949" s="5">
        <v>670</v>
      </c>
    </row>
    <row r="3950" spans="1:19" ht="42" x14ac:dyDescent="0.15">
      <c r="A3950" s="2">
        <f>HYPERLINK("https://open-school.uspishnemisto.com.ua/school/210121/", 210121)</f>
        <v>210121</v>
      </c>
      <c r="B3950" s="3" t="s">
        <v>20668</v>
      </c>
      <c r="C3950" s="3" t="s">
        <v>31</v>
      </c>
      <c r="D3950" s="3" t="s">
        <v>175</v>
      </c>
      <c r="E3950" s="4" t="s">
        <v>22</v>
      </c>
      <c r="F3950" s="4" t="s">
        <v>20669</v>
      </c>
      <c r="G3950" s="4" t="s">
        <v>20670</v>
      </c>
      <c r="H3950" s="3" t="s">
        <v>20074</v>
      </c>
      <c r="I3950" s="3" t="s">
        <v>20671</v>
      </c>
      <c r="J3950" s="3" t="s">
        <v>20672</v>
      </c>
      <c r="K3950" s="3"/>
      <c r="L3950" s="3"/>
      <c r="M3950" s="4" t="s">
        <v>20673</v>
      </c>
      <c r="N3950" s="3" t="s">
        <v>37</v>
      </c>
      <c r="O3950" s="3" t="s">
        <v>46</v>
      </c>
      <c r="P3950" s="5">
        <v>6</v>
      </c>
      <c r="Q3950" s="5">
        <v>46</v>
      </c>
      <c r="R3950" s="5">
        <v>6</v>
      </c>
      <c r="S3950" s="5">
        <v>43</v>
      </c>
    </row>
    <row r="3951" spans="1:19" ht="42" x14ac:dyDescent="0.15">
      <c r="A3951" s="2">
        <f>HYPERLINK("https://open-school.uspishnemisto.com.ua/school/210122/", 210122)</f>
        <v>210122</v>
      </c>
      <c r="B3951" s="3" t="s">
        <v>20674</v>
      </c>
      <c r="C3951" s="3" t="s">
        <v>31</v>
      </c>
      <c r="D3951" s="3" t="s">
        <v>60</v>
      </c>
      <c r="E3951" s="4" t="s">
        <v>22</v>
      </c>
      <c r="F3951" s="4" t="s">
        <v>20675</v>
      </c>
      <c r="G3951" s="4" t="s">
        <v>20676</v>
      </c>
      <c r="H3951" s="3" t="s">
        <v>20074</v>
      </c>
      <c r="I3951" s="3" t="s">
        <v>20677</v>
      </c>
      <c r="J3951" s="3" t="s">
        <v>20678</v>
      </c>
      <c r="K3951" s="3" t="s">
        <v>20679</v>
      </c>
      <c r="L3951" s="3"/>
      <c r="M3951" s="4" t="s">
        <v>20680</v>
      </c>
      <c r="N3951" s="3" t="s">
        <v>37</v>
      </c>
      <c r="O3951" s="3" t="s">
        <v>618</v>
      </c>
      <c r="P3951" s="5">
        <v>3</v>
      </c>
      <c r="Q3951" s="5">
        <v>16</v>
      </c>
      <c r="R3951" s="5">
        <v>3</v>
      </c>
      <c r="S3951" s="5">
        <v>18</v>
      </c>
    </row>
    <row r="3952" spans="1:19" ht="42" x14ac:dyDescent="0.15">
      <c r="A3952" s="2">
        <f>HYPERLINK("https://open-school.uspishnemisto.com.ua/school/210123/", 210123)</f>
        <v>210123</v>
      </c>
      <c r="B3952" s="3" t="s">
        <v>20681</v>
      </c>
      <c r="C3952" s="3" t="s">
        <v>31</v>
      </c>
      <c r="D3952" s="3" t="s">
        <v>32</v>
      </c>
      <c r="E3952" s="4" t="s">
        <v>22</v>
      </c>
      <c r="F3952" s="4" t="s">
        <v>20675</v>
      </c>
      <c r="G3952" s="4" t="s">
        <v>20676</v>
      </c>
      <c r="H3952" s="3" t="s">
        <v>20074</v>
      </c>
      <c r="I3952" s="3" t="s">
        <v>20677</v>
      </c>
      <c r="J3952" s="3" t="s">
        <v>20682</v>
      </c>
      <c r="K3952" s="3" t="s">
        <v>20683</v>
      </c>
      <c r="L3952" s="3"/>
      <c r="M3952" s="4" t="s">
        <v>20684</v>
      </c>
      <c r="N3952" s="3" t="s">
        <v>37</v>
      </c>
      <c r="O3952" s="3" t="s">
        <v>123</v>
      </c>
      <c r="P3952" s="5">
        <v>11</v>
      </c>
      <c r="Q3952" s="5">
        <v>142</v>
      </c>
      <c r="R3952" s="5">
        <v>11</v>
      </c>
      <c r="S3952" s="5">
        <v>161</v>
      </c>
    </row>
    <row r="3953" spans="1:19" ht="42" x14ac:dyDescent="0.15">
      <c r="A3953" s="2">
        <f>HYPERLINK("https://open-school.uspishnemisto.com.ua/school/210124/", 210124)</f>
        <v>210124</v>
      </c>
      <c r="B3953" s="3" t="s">
        <v>20685</v>
      </c>
      <c r="C3953" s="3" t="s">
        <v>31</v>
      </c>
      <c r="D3953" s="3" t="s">
        <v>175</v>
      </c>
      <c r="E3953" s="4" t="s">
        <v>22</v>
      </c>
      <c r="F3953" s="4" t="s">
        <v>20686</v>
      </c>
      <c r="G3953" s="4" t="s">
        <v>20687</v>
      </c>
      <c r="H3953" s="3" t="s">
        <v>20074</v>
      </c>
      <c r="I3953" s="3" t="s">
        <v>20688</v>
      </c>
      <c r="J3953" s="3" t="s">
        <v>20689</v>
      </c>
      <c r="K3953" s="3" t="s">
        <v>20690</v>
      </c>
      <c r="L3953" s="3"/>
      <c r="M3953" s="4"/>
      <c r="N3953" s="3" t="s">
        <v>37</v>
      </c>
      <c r="O3953" s="3" t="s">
        <v>46</v>
      </c>
      <c r="P3953" s="5">
        <v>6</v>
      </c>
      <c r="Q3953" s="5">
        <v>48</v>
      </c>
      <c r="R3953" s="5">
        <v>7</v>
      </c>
      <c r="S3953" s="5">
        <v>52</v>
      </c>
    </row>
    <row r="3954" spans="1:19" ht="42" x14ac:dyDescent="0.15">
      <c r="A3954" s="2">
        <f>HYPERLINK("https://open-school.uspishnemisto.com.ua/school/210125/", 210125)</f>
        <v>210125</v>
      </c>
      <c r="B3954" s="3" t="s">
        <v>20691</v>
      </c>
      <c r="C3954" s="3" t="s">
        <v>31</v>
      </c>
      <c r="D3954" s="3" t="s">
        <v>175</v>
      </c>
      <c r="E3954" s="4" t="s">
        <v>22</v>
      </c>
      <c r="F3954" s="4" t="s">
        <v>20692</v>
      </c>
      <c r="G3954" s="4" t="s">
        <v>20693</v>
      </c>
      <c r="H3954" s="3" t="s">
        <v>20074</v>
      </c>
      <c r="I3954" s="3" t="s">
        <v>20694</v>
      </c>
      <c r="J3954" s="3" t="s">
        <v>20695</v>
      </c>
      <c r="K3954" s="3" t="s">
        <v>20696</v>
      </c>
      <c r="L3954" s="3"/>
      <c r="M3954" s="4"/>
      <c r="N3954" s="3" t="s">
        <v>37</v>
      </c>
      <c r="O3954" s="3" t="s">
        <v>46</v>
      </c>
      <c r="P3954" s="5">
        <v>9</v>
      </c>
      <c r="Q3954" s="5">
        <v>119</v>
      </c>
      <c r="R3954" s="5">
        <v>9</v>
      </c>
      <c r="S3954" s="5">
        <v>125</v>
      </c>
    </row>
    <row r="3955" spans="1:19" ht="42" x14ac:dyDescent="0.15">
      <c r="A3955" s="2">
        <f>HYPERLINK("https://open-school.uspishnemisto.com.ua/school/210126/", 210126)</f>
        <v>210126</v>
      </c>
      <c r="B3955" s="3" t="s">
        <v>20697</v>
      </c>
      <c r="C3955" s="3" t="s">
        <v>31</v>
      </c>
      <c r="D3955" s="3" t="s">
        <v>60</v>
      </c>
      <c r="E3955" s="4" t="s">
        <v>22</v>
      </c>
      <c r="F3955" s="4" t="s">
        <v>20698</v>
      </c>
      <c r="G3955" s="4" t="s">
        <v>20699</v>
      </c>
      <c r="H3955" s="3" t="s">
        <v>20074</v>
      </c>
      <c r="I3955" s="3" t="s">
        <v>20700</v>
      </c>
      <c r="J3955" s="3" t="s">
        <v>20701</v>
      </c>
      <c r="K3955" s="3" t="s">
        <v>20702</v>
      </c>
      <c r="L3955" s="3"/>
      <c r="M3955" s="4"/>
      <c r="N3955" s="3" t="s">
        <v>37</v>
      </c>
      <c r="O3955" s="3" t="s">
        <v>52</v>
      </c>
      <c r="P3955" s="5">
        <v>0</v>
      </c>
      <c r="Q3955" s="5">
        <v>7</v>
      </c>
      <c r="R3955" s="5">
        <v>0</v>
      </c>
      <c r="S3955" s="5">
        <v>7</v>
      </c>
    </row>
    <row r="3956" spans="1:19" ht="42" x14ac:dyDescent="0.15">
      <c r="A3956" s="2">
        <f>HYPERLINK("https://open-school.uspishnemisto.com.ua/school/210127/", 210127)</f>
        <v>210127</v>
      </c>
      <c r="B3956" s="3" t="s">
        <v>20703</v>
      </c>
      <c r="C3956" s="3" t="s">
        <v>31</v>
      </c>
      <c r="D3956" s="3" t="s">
        <v>175</v>
      </c>
      <c r="E3956" s="4" t="s">
        <v>22</v>
      </c>
      <c r="F3956" s="4" t="s">
        <v>20704</v>
      </c>
      <c r="G3956" s="4" t="s">
        <v>20705</v>
      </c>
      <c r="H3956" s="3" t="s">
        <v>20074</v>
      </c>
      <c r="I3956" s="3" t="s">
        <v>20706</v>
      </c>
      <c r="J3956" s="3" t="s">
        <v>20707</v>
      </c>
      <c r="K3956" s="3"/>
      <c r="L3956" s="3"/>
      <c r="M3956" s="4"/>
      <c r="N3956" s="3" t="s">
        <v>37</v>
      </c>
      <c r="O3956" s="3" t="s">
        <v>46</v>
      </c>
      <c r="P3956" s="5">
        <v>9</v>
      </c>
      <c r="Q3956" s="5">
        <v>89</v>
      </c>
      <c r="R3956" s="5">
        <v>9</v>
      </c>
      <c r="S3956" s="5">
        <v>92</v>
      </c>
    </row>
    <row r="3957" spans="1:19" ht="42" x14ac:dyDescent="0.15">
      <c r="A3957" s="2">
        <f>HYPERLINK("https://open-school.uspishnemisto.com.ua/school/210128/", 210128)</f>
        <v>210128</v>
      </c>
      <c r="B3957" s="3" t="s">
        <v>20708</v>
      </c>
      <c r="C3957" s="3" t="s">
        <v>4989</v>
      </c>
      <c r="D3957" s="3" t="s">
        <v>21</v>
      </c>
      <c r="E3957" s="4" t="s">
        <v>22</v>
      </c>
      <c r="F3957" s="4" t="s">
        <v>20709</v>
      </c>
      <c r="G3957" s="4" t="s">
        <v>20710</v>
      </c>
      <c r="H3957" s="3" t="s">
        <v>20074</v>
      </c>
      <c r="I3957" s="3" t="s">
        <v>20711</v>
      </c>
      <c r="J3957" s="3" t="s">
        <v>20712</v>
      </c>
      <c r="K3957" s="3" t="s">
        <v>20713</v>
      </c>
      <c r="L3957" s="3"/>
      <c r="M3957" s="4"/>
      <c r="N3957" s="3" t="s">
        <v>37</v>
      </c>
      <c r="O3957" s="3" t="s">
        <v>46</v>
      </c>
      <c r="P3957" s="5">
        <v>7</v>
      </c>
      <c r="Q3957" s="5">
        <v>71</v>
      </c>
      <c r="R3957" s="5">
        <v>7</v>
      </c>
      <c r="S3957" s="5">
        <v>70</v>
      </c>
    </row>
    <row r="3958" spans="1:19" ht="42" x14ac:dyDescent="0.15">
      <c r="A3958" s="2">
        <f>HYPERLINK("https://open-school.uspishnemisto.com.ua/school/210129/", 210129)</f>
        <v>210129</v>
      </c>
      <c r="B3958" s="3" t="s">
        <v>20714</v>
      </c>
      <c r="C3958" s="3" t="s">
        <v>31</v>
      </c>
      <c r="D3958" s="3" t="s">
        <v>60</v>
      </c>
      <c r="E3958" s="4" t="s">
        <v>22</v>
      </c>
      <c r="F3958" s="4" t="s">
        <v>20709</v>
      </c>
      <c r="G3958" s="4" t="s">
        <v>20710</v>
      </c>
      <c r="H3958" s="3" t="s">
        <v>20074</v>
      </c>
      <c r="I3958" s="3" t="s">
        <v>20711</v>
      </c>
      <c r="J3958" s="3" t="s">
        <v>20715</v>
      </c>
      <c r="K3958" s="3" t="s">
        <v>20716</v>
      </c>
      <c r="L3958" s="3"/>
      <c r="M3958" s="4"/>
      <c r="N3958" s="3" t="s">
        <v>37</v>
      </c>
      <c r="O3958" s="3" t="s">
        <v>52</v>
      </c>
      <c r="P3958" s="5">
        <v>4</v>
      </c>
      <c r="Q3958" s="5">
        <v>40</v>
      </c>
      <c r="R3958" s="5">
        <v>4</v>
      </c>
      <c r="S3958" s="5">
        <v>36</v>
      </c>
    </row>
    <row r="3959" spans="1:19" ht="28" x14ac:dyDescent="0.15">
      <c r="A3959" s="2">
        <f>HYPERLINK("https://open-school.uspishnemisto.com.ua/school/210130/", 210130)</f>
        <v>210130</v>
      </c>
      <c r="B3959" s="3" t="s">
        <v>20717</v>
      </c>
      <c r="C3959" s="3" t="s">
        <v>54</v>
      </c>
      <c r="D3959" s="3" t="s">
        <v>60</v>
      </c>
      <c r="E3959" s="4" t="s">
        <v>22</v>
      </c>
      <c r="F3959" s="4" t="s">
        <v>20709</v>
      </c>
      <c r="G3959" s="4" t="s">
        <v>20718</v>
      </c>
      <c r="H3959" s="3" t="s">
        <v>20074</v>
      </c>
      <c r="I3959" s="3" t="s">
        <v>20719</v>
      </c>
      <c r="J3959" s="3" t="s">
        <v>20720</v>
      </c>
      <c r="K3959" s="3"/>
      <c r="L3959" s="3"/>
      <c r="M3959" s="4" t="s">
        <v>20721</v>
      </c>
      <c r="N3959" s="3" t="s">
        <v>37</v>
      </c>
      <c r="O3959" s="3" t="s">
        <v>52</v>
      </c>
      <c r="P3959" s="5">
        <v>2</v>
      </c>
      <c r="Q3959" s="5">
        <v>16</v>
      </c>
      <c r="R3959" s="5">
        <v>2</v>
      </c>
      <c r="S3959" s="5">
        <v>17</v>
      </c>
    </row>
    <row r="3960" spans="1:19" ht="42" x14ac:dyDescent="0.15">
      <c r="A3960" s="2">
        <f>HYPERLINK("https://open-school.uspishnemisto.com.ua/school/210131/", 210131)</f>
        <v>210131</v>
      </c>
      <c r="B3960" s="3" t="s">
        <v>20722</v>
      </c>
      <c r="C3960" s="3" t="s">
        <v>31</v>
      </c>
      <c r="D3960" s="3" t="s">
        <v>32</v>
      </c>
      <c r="E3960" s="4" t="s">
        <v>22</v>
      </c>
      <c r="F3960" s="4" t="s">
        <v>20723</v>
      </c>
      <c r="G3960" s="4" t="s">
        <v>20724</v>
      </c>
      <c r="H3960" s="3" t="s">
        <v>20074</v>
      </c>
      <c r="I3960" s="3" t="s">
        <v>20725</v>
      </c>
      <c r="J3960" s="3" t="s">
        <v>20726</v>
      </c>
      <c r="K3960" s="3" t="s">
        <v>20727</v>
      </c>
      <c r="L3960" s="3"/>
      <c r="M3960" s="4" t="s">
        <v>20728</v>
      </c>
      <c r="N3960" s="3" t="s">
        <v>37</v>
      </c>
      <c r="O3960" s="3" t="s">
        <v>46</v>
      </c>
      <c r="P3960" s="5">
        <v>11</v>
      </c>
      <c r="Q3960" s="5">
        <v>189</v>
      </c>
      <c r="R3960" s="5">
        <v>11</v>
      </c>
      <c r="S3960" s="5">
        <v>183</v>
      </c>
    </row>
    <row r="3961" spans="1:19" ht="42" x14ac:dyDescent="0.15">
      <c r="A3961" s="2">
        <f>HYPERLINK("https://open-school.uspishnemisto.com.ua/school/210132/", 210132)</f>
        <v>210132</v>
      </c>
      <c r="B3961" s="3" t="s">
        <v>20729</v>
      </c>
      <c r="C3961" s="3" t="s">
        <v>31</v>
      </c>
      <c r="D3961" s="3" t="s">
        <v>175</v>
      </c>
      <c r="E3961" s="4" t="s">
        <v>22</v>
      </c>
      <c r="F3961" s="4" t="s">
        <v>20723</v>
      </c>
      <c r="G3961" s="4" t="s">
        <v>20724</v>
      </c>
      <c r="H3961" s="3" t="s">
        <v>20074</v>
      </c>
      <c r="I3961" s="3" t="s">
        <v>20725</v>
      </c>
      <c r="J3961" s="3" t="s">
        <v>20730</v>
      </c>
      <c r="K3961" s="3" t="s">
        <v>20731</v>
      </c>
      <c r="L3961" s="3"/>
      <c r="M3961" s="4"/>
      <c r="N3961" s="3" t="s">
        <v>37</v>
      </c>
      <c r="O3961" s="3" t="s">
        <v>46</v>
      </c>
      <c r="P3961" s="5">
        <v>8</v>
      </c>
      <c r="Q3961" s="5">
        <v>53</v>
      </c>
      <c r="R3961" s="5">
        <v>8</v>
      </c>
      <c r="S3961" s="5">
        <v>54</v>
      </c>
    </row>
    <row r="3962" spans="1:19" ht="42" x14ac:dyDescent="0.15">
      <c r="A3962" s="2">
        <f>HYPERLINK("https://open-school.uspishnemisto.com.ua/school/210133/", 210133)</f>
        <v>210133</v>
      </c>
      <c r="B3962" s="3" t="s">
        <v>20732</v>
      </c>
      <c r="C3962" s="3" t="s">
        <v>31</v>
      </c>
      <c r="D3962" s="3" t="s">
        <v>32</v>
      </c>
      <c r="E3962" s="4" t="s">
        <v>22</v>
      </c>
      <c r="F3962" s="4" t="s">
        <v>20733</v>
      </c>
      <c r="G3962" s="4" t="s">
        <v>20734</v>
      </c>
      <c r="H3962" s="3" t="s">
        <v>20074</v>
      </c>
      <c r="I3962" s="3" t="s">
        <v>20735</v>
      </c>
      <c r="J3962" s="3" t="s">
        <v>20736</v>
      </c>
      <c r="K3962" s="3" t="s">
        <v>20737</v>
      </c>
      <c r="L3962" s="3" t="s">
        <v>20738</v>
      </c>
      <c r="M3962" s="4"/>
      <c r="N3962" s="3" t="s">
        <v>37</v>
      </c>
      <c r="O3962" s="3" t="s">
        <v>46</v>
      </c>
      <c r="P3962" s="5">
        <v>11</v>
      </c>
      <c r="Q3962" s="5">
        <v>158</v>
      </c>
      <c r="R3962" s="5">
        <v>11</v>
      </c>
      <c r="S3962" s="5">
        <v>151</v>
      </c>
    </row>
    <row r="3963" spans="1:19" ht="42" x14ac:dyDescent="0.15">
      <c r="A3963" s="2">
        <f>HYPERLINK("https://open-school.uspishnemisto.com.ua/school/210134/", 210134)</f>
        <v>210134</v>
      </c>
      <c r="B3963" s="3" t="s">
        <v>20739</v>
      </c>
      <c r="C3963" s="3" t="s">
        <v>31</v>
      </c>
      <c r="D3963" s="3" t="s">
        <v>175</v>
      </c>
      <c r="E3963" s="4" t="s">
        <v>22</v>
      </c>
      <c r="F3963" s="4" t="s">
        <v>20733</v>
      </c>
      <c r="G3963" s="4" t="s">
        <v>20740</v>
      </c>
      <c r="H3963" s="3" t="s">
        <v>20074</v>
      </c>
      <c r="I3963" s="3" t="s">
        <v>20741</v>
      </c>
      <c r="J3963" s="3" t="s">
        <v>20742</v>
      </c>
      <c r="K3963" s="3" t="s">
        <v>20743</v>
      </c>
      <c r="L3963" s="3"/>
      <c r="M3963" s="4" t="s">
        <v>20744</v>
      </c>
      <c r="N3963" s="3" t="s">
        <v>37</v>
      </c>
      <c r="O3963" s="3" t="s">
        <v>46</v>
      </c>
      <c r="P3963" s="5">
        <v>9</v>
      </c>
      <c r="Q3963" s="5">
        <v>65</v>
      </c>
      <c r="R3963" s="5">
        <v>8</v>
      </c>
      <c r="S3963" s="5">
        <v>64</v>
      </c>
    </row>
    <row r="3964" spans="1:19" ht="42" x14ac:dyDescent="0.15">
      <c r="A3964" s="2">
        <f>HYPERLINK("https://open-school.uspishnemisto.com.ua/school/210135/", 210135)</f>
        <v>210135</v>
      </c>
      <c r="B3964" s="3" t="s">
        <v>20745</v>
      </c>
      <c r="C3964" s="3" t="s">
        <v>31</v>
      </c>
      <c r="D3964" s="3" t="s">
        <v>175</v>
      </c>
      <c r="E3964" s="4" t="s">
        <v>22</v>
      </c>
      <c r="F3964" s="4" t="s">
        <v>20746</v>
      </c>
      <c r="G3964" s="4" t="s">
        <v>20747</v>
      </c>
      <c r="H3964" s="3" t="s">
        <v>20074</v>
      </c>
      <c r="I3964" s="3" t="s">
        <v>20748</v>
      </c>
      <c r="J3964" s="3" t="s">
        <v>20749</v>
      </c>
      <c r="K3964" s="3" t="s">
        <v>20750</v>
      </c>
      <c r="L3964" s="3"/>
      <c r="M3964" s="4"/>
      <c r="N3964" s="3" t="s">
        <v>37</v>
      </c>
      <c r="O3964" s="3" t="s">
        <v>46</v>
      </c>
      <c r="P3964" s="5">
        <v>7</v>
      </c>
      <c r="Q3964" s="5">
        <v>50</v>
      </c>
      <c r="R3964" s="5">
        <v>7</v>
      </c>
      <c r="S3964" s="5">
        <v>43</v>
      </c>
    </row>
    <row r="3965" spans="1:19" ht="42" x14ac:dyDescent="0.15">
      <c r="A3965" s="2">
        <f>HYPERLINK("https://open-school.uspishnemisto.com.ua/school/210136/", 210136)</f>
        <v>210136</v>
      </c>
      <c r="B3965" s="3" t="s">
        <v>20751</v>
      </c>
      <c r="C3965" s="3" t="s">
        <v>31</v>
      </c>
      <c r="D3965" s="3" t="s">
        <v>60</v>
      </c>
      <c r="E3965" s="4" t="s">
        <v>22</v>
      </c>
      <c r="F3965" s="4" t="s">
        <v>20746</v>
      </c>
      <c r="G3965" s="4" t="s">
        <v>20752</v>
      </c>
      <c r="H3965" s="3" t="s">
        <v>20074</v>
      </c>
      <c r="I3965" s="3" t="s">
        <v>20753</v>
      </c>
      <c r="J3965" s="3" t="s">
        <v>20754</v>
      </c>
      <c r="K3965" s="3" t="s">
        <v>20755</v>
      </c>
      <c r="L3965" s="3"/>
      <c r="M3965" s="4"/>
      <c r="N3965" s="3" t="s">
        <v>37</v>
      </c>
      <c r="O3965" s="3" t="s">
        <v>618</v>
      </c>
      <c r="P3965" s="5">
        <v>0</v>
      </c>
      <c r="Q3965" s="5">
        <v>3</v>
      </c>
      <c r="R3965" s="5">
        <v>0</v>
      </c>
      <c r="S3965" s="5">
        <v>4</v>
      </c>
    </row>
    <row r="3966" spans="1:19" ht="42" x14ac:dyDescent="0.15">
      <c r="A3966" s="2">
        <f>HYPERLINK("https://open-school.uspishnemisto.com.ua/school/210137/", 210137)</f>
        <v>210137</v>
      </c>
      <c r="B3966" s="3" t="s">
        <v>20756</v>
      </c>
      <c r="C3966" s="3" t="s">
        <v>31</v>
      </c>
      <c r="D3966" s="3" t="s">
        <v>60</v>
      </c>
      <c r="E3966" s="4" t="s">
        <v>22</v>
      </c>
      <c r="F3966" s="4" t="s">
        <v>20746</v>
      </c>
      <c r="G3966" s="4" t="s">
        <v>20757</v>
      </c>
      <c r="H3966" s="3" t="s">
        <v>20074</v>
      </c>
      <c r="I3966" s="3" t="s">
        <v>20758</v>
      </c>
      <c r="J3966" s="3" t="s">
        <v>3196</v>
      </c>
      <c r="K3966" s="3" t="s">
        <v>20759</v>
      </c>
      <c r="L3966" s="3"/>
      <c r="M3966" s="4" t="s">
        <v>20760</v>
      </c>
      <c r="N3966" s="3" t="s">
        <v>37</v>
      </c>
      <c r="O3966" s="3" t="s">
        <v>618</v>
      </c>
      <c r="P3966" s="5">
        <v>3</v>
      </c>
      <c r="Q3966" s="5">
        <v>20</v>
      </c>
      <c r="R3966" s="5">
        <v>2</v>
      </c>
      <c r="S3966" s="5">
        <v>16</v>
      </c>
    </row>
    <row r="3967" spans="1:19" ht="42" x14ac:dyDescent="0.15">
      <c r="A3967" s="2">
        <f>HYPERLINK("https://open-school.uspishnemisto.com.ua/school/210138/", 210138)</f>
        <v>210138</v>
      </c>
      <c r="B3967" s="3" t="s">
        <v>20761</v>
      </c>
      <c r="C3967" s="3" t="s">
        <v>31</v>
      </c>
      <c r="D3967" s="3" t="s">
        <v>175</v>
      </c>
      <c r="E3967" s="4" t="s">
        <v>22</v>
      </c>
      <c r="F3967" s="4" t="s">
        <v>20762</v>
      </c>
      <c r="G3967" s="4" t="s">
        <v>20763</v>
      </c>
      <c r="H3967" s="3" t="s">
        <v>20074</v>
      </c>
      <c r="I3967" s="3" t="s">
        <v>20764</v>
      </c>
      <c r="J3967" s="3" t="s">
        <v>20765</v>
      </c>
      <c r="K3967" s="3" t="s">
        <v>20766</v>
      </c>
      <c r="L3967" s="3"/>
      <c r="M3967" s="4" t="s">
        <v>20767</v>
      </c>
      <c r="N3967" s="3" t="s">
        <v>37</v>
      </c>
      <c r="O3967" s="3" t="s">
        <v>112</v>
      </c>
      <c r="P3967" s="5">
        <v>3</v>
      </c>
      <c r="Q3967" s="5">
        <v>32</v>
      </c>
      <c r="R3967" s="5">
        <v>1</v>
      </c>
      <c r="S3967" s="5">
        <v>26</v>
      </c>
    </row>
    <row r="3968" spans="1:19" ht="42" x14ac:dyDescent="0.15">
      <c r="A3968" s="2">
        <f>HYPERLINK("https://open-school.uspishnemisto.com.ua/school/210139/", 210139)</f>
        <v>210139</v>
      </c>
      <c r="B3968" s="3" t="s">
        <v>20768</v>
      </c>
      <c r="C3968" s="3" t="s">
        <v>31</v>
      </c>
      <c r="D3968" s="3" t="s">
        <v>175</v>
      </c>
      <c r="E3968" s="4" t="s">
        <v>22</v>
      </c>
      <c r="F3968" s="4" t="s">
        <v>20769</v>
      </c>
      <c r="G3968" s="4" t="s">
        <v>20770</v>
      </c>
      <c r="H3968" s="3" t="s">
        <v>20074</v>
      </c>
      <c r="I3968" s="3" t="s">
        <v>20771</v>
      </c>
      <c r="J3968" s="3" t="s">
        <v>20772</v>
      </c>
      <c r="K3968" s="3"/>
      <c r="L3968" s="3"/>
      <c r="M3968" s="4" t="s">
        <v>20773</v>
      </c>
      <c r="N3968" s="3" t="s">
        <v>37</v>
      </c>
      <c r="O3968" s="3" t="s">
        <v>46</v>
      </c>
      <c r="P3968" s="5">
        <v>9</v>
      </c>
      <c r="Q3968" s="5">
        <v>79</v>
      </c>
      <c r="R3968" s="5">
        <v>9</v>
      </c>
      <c r="S3968" s="5">
        <v>76</v>
      </c>
    </row>
    <row r="3969" spans="1:19" ht="42" x14ac:dyDescent="0.15">
      <c r="A3969" s="2">
        <f>HYPERLINK("https://open-school.uspishnemisto.com.ua/school/210140/", 210140)</f>
        <v>210140</v>
      </c>
      <c r="B3969" s="3" t="s">
        <v>20774</v>
      </c>
      <c r="C3969" s="3" t="s">
        <v>31</v>
      </c>
      <c r="D3969" s="3" t="s">
        <v>60</v>
      </c>
      <c r="E3969" s="4" t="s">
        <v>22</v>
      </c>
      <c r="F3969" s="4" t="s">
        <v>20769</v>
      </c>
      <c r="G3969" s="4" t="s">
        <v>20775</v>
      </c>
      <c r="H3969" s="3" t="s">
        <v>20074</v>
      </c>
      <c r="I3969" s="3" t="s">
        <v>20776</v>
      </c>
      <c r="J3969" s="3" t="s">
        <v>20777</v>
      </c>
      <c r="K3969" s="3" t="s">
        <v>20778</v>
      </c>
      <c r="L3969" s="3"/>
      <c r="M3969" s="4"/>
      <c r="N3969" s="3" t="s">
        <v>37</v>
      </c>
      <c r="O3969" s="3" t="s">
        <v>52</v>
      </c>
      <c r="P3969" s="5">
        <v>3</v>
      </c>
      <c r="Q3969" s="5">
        <v>25</v>
      </c>
      <c r="R3969" s="5">
        <v>3</v>
      </c>
      <c r="S3969" s="5">
        <v>22</v>
      </c>
    </row>
    <row r="3970" spans="1:19" ht="42" x14ac:dyDescent="0.15">
      <c r="A3970" s="2">
        <f>HYPERLINK("https://open-school.uspishnemisto.com.ua/school/210141/", 210141)</f>
        <v>210141</v>
      </c>
      <c r="B3970" s="3" t="s">
        <v>20779</v>
      </c>
      <c r="C3970" s="3" t="s">
        <v>31</v>
      </c>
      <c r="D3970" s="3" t="s">
        <v>32</v>
      </c>
      <c r="E3970" s="4" t="s">
        <v>22</v>
      </c>
      <c r="F3970" s="4" t="s">
        <v>20780</v>
      </c>
      <c r="G3970" s="4" t="s">
        <v>20781</v>
      </c>
      <c r="H3970" s="3" t="s">
        <v>20074</v>
      </c>
      <c r="I3970" s="3" t="s">
        <v>20782</v>
      </c>
      <c r="J3970" s="3" t="s">
        <v>20682</v>
      </c>
      <c r="K3970" s="3"/>
      <c r="L3970" s="3"/>
      <c r="M3970" s="4" t="s">
        <v>20783</v>
      </c>
      <c r="N3970" s="3" t="s">
        <v>37</v>
      </c>
      <c r="O3970" s="3" t="s">
        <v>70</v>
      </c>
      <c r="P3970" s="5">
        <v>11</v>
      </c>
      <c r="Q3970" s="5">
        <v>161</v>
      </c>
      <c r="R3970" s="5">
        <v>11</v>
      </c>
      <c r="S3970" s="5">
        <v>153</v>
      </c>
    </row>
    <row r="3971" spans="1:19" ht="42" x14ac:dyDescent="0.15">
      <c r="A3971" s="2">
        <f>HYPERLINK("https://open-school.uspishnemisto.com.ua/school/210142/", 210142)</f>
        <v>210142</v>
      </c>
      <c r="B3971" s="3" t="s">
        <v>20784</v>
      </c>
      <c r="C3971" s="3" t="s">
        <v>31</v>
      </c>
      <c r="D3971" s="3" t="s">
        <v>175</v>
      </c>
      <c r="E3971" s="4" t="s">
        <v>22</v>
      </c>
      <c r="F3971" s="4" t="s">
        <v>20785</v>
      </c>
      <c r="G3971" s="4" t="s">
        <v>20786</v>
      </c>
      <c r="H3971" s="3" t="s">
        <v>20074</v>
      </c>
      <c r="I3971" s="3" t="s">
        <v>20787</v>
      </c>
      <c r="J3971" s="3" t="s">
        <v>20754</v>
      </c>
      <c r="K3971" s="3" t="s">
        <v>20788</v>
      </c>
      <c r="L3971" s="3" t="s">
        <v>20789</v>
      </c>
      <c r="M3971" s="4"/>
      <c r="N3971" s="3" t="s">
        <v>37</v>
      </c>
      <c r="O3971" s="3" t="s">
        <v>46</v>
      </c>
      <c r="P3971" s="5">
        <v>3</v>
      </c>
      <c r="Q3971" s="5">
        <v>45</v>
      </c>
      <c r="R3971" s="5">
        <v>3</v>
      </c>
      <c r="S3971" s="5">
        <v>40</v>
      </c>
    </row>
    <row r="3972" spans="1:19" ht="42" x14ac:dyDescent="0.15">
      <c r="A3972" s="2">
        <f>HYPERLINK("https://open-school.uspishnemisto.com.ua/school/210143/", 210143)</f>
        <v>210143</v>
      </c>
      <c r="B3972" s="3" t="s">
        <v>20790</v>
      </c>
      <c r="C3972" s="3" t="s">
        <v>31</v>
      </c>
      <c r="D3972" s="3" t="s">
        <v>60</v>
      </c>
      <c r="E3972" s="4" t="s">
        <v>22</v>
      </c>
      <c r="F3972" s="4" t="s">
        <v>20769</v>
      </c>
      <c r="G3972" s="4" t="s">
        <v>20791</v>
      </c>
      <c r="H3972" s="3" t="s">
        <v>20074</v>
      </c>
      <c r="I3972" s="3" t="s">
        <v>20792</v>
      </c>
      <c r="J3972" s="3" t="s">
        <v>17503</v>
      </c>
      <c r="K3972" s="3" t="s">
        <v>20793</v>
      </c>
      <c r="L3972" s="3"/>
      <c r="M3972" s="4" t="s">
        <v>20794</v>
      </c>
      <c r="N3972" s="3" t="s">
        <v>37</v>
      </c>
      <c r="O3972" s="3" t="s">
        <v>52</v>
      </c>
      <c r="P3972" s="5">
        <v>2</v>
      </c>
      <c r="Q3972" s="5">
        <v>16</v>
      </c>
      <c r="R3972" s="5">
        <v>1</v>
      </c>
      <c r="S3972" s="5">
        <v>14</v>
      </c>
    </row>
    <row r="3973" spans="1:19" ht="42" x14ac:dyDescent="0.15">
      <c r="A3973" s="2">
        <f>HYPERLINK("https://open-school.uspishnemisto.com.ua/school/210144/", 210144)</f>
        <v>210144</v>
      </c>
      <c r="B3973" s="3" t="s">
        <v>20795</v>
      </c>
      <c r="C3973" s="3" t="s">
        <v>31</v>
      </c>
      <c r="D3973" s="3" t="s">
        <v>60</v>
      </c>
      <c r="E3973" s="4" t="s">
        <v>22</v>
      </c>
      <c r="F3973" s="4" t="s">
        <v>20796</v>
      </c>
      <c r="G3973" s="4" t="s">
        <v>20797</v>
      </c>
      <c r="H3973" s="3" t="s">
        <v>20074</v>
      </c>
      <c r="I3973" s="3" t="s">
        <v>20798</v>
      </c>
      <c r="J3973" s="3" t="s">
        <v>20799</v>
      </c>
      <c r="K3973" s="3" t="s">
        <v>20800</v>
      </c>
      <c r="L3973" s="3"/>
      <c r="M3973" s="4" t="s">
        <v>20801</v>
      </c>
      <c r="N3973" s="3" t="s">
        <v>37</v>
      </c>
      <c r="O3973" s="3" t="s">
        <v>618</v>
      </c>
      <c r="P3973" s="5">
        <v>0</v>
      </c>
      <c r="Q3973" s="5">
        <v>12</v>
      </c>
      <c r="R3973" s="5">
        <v>0</v>
      </c>
      <c r="S3973" s="5">
        <v>14</v>
      </c>
    </row>
    <row r="3974" spans="1:19" ht="42" x14ac:dyDescent="0.15">
      <c r="A3974" s="2">
        <f>HYPERLINK("https://open-school.uspishnemisto.com.ua/school/210145/", 210145)</f>
        <v>210145</v>
      </c>
      <c r="B3974" s="3" t="s">
        <v>20802</v>
      </c>
      <c r="C3974" s="3" t="s">
        <v>31</v>
      </c>
      <c r="D3974" s="3" t="s">
        <v>175</v>
      </c>
      <c r="E3974" s="4" t="s">
        <v>22</v>
      </c>
      <c r="F3974" s="4" t="s">
        <v>20796</v>
      </c>
      <c r="G3974" s="4" t="s">
        <v>20797</v>
      </c>
      <c r="H3974" s="3" t="s">
        <v>20074</v>
      </c>
      <c r="I3974" s="3" t="s">
        <v>20798</v>
      </c>
      <c r="J3974" s="3" t="s">
        <v>20803</v>
      </c>
      <c r="K3974" s="3" t="s">
        <v>20804</v>
      </c>
      <c r="L3974" s="3"/>
      <c r="M3974" s="4" t="s">
        <v>20805</v>
      </c>
      <c r="N3974" s="3" t="s">
        <v>37</v>
      </c>
      <c r="O3974" s="3" t="s">
        <v>46</v>
      </c>
      <c r="P3974" s="5">
        <v>7</v>
      </c>
      <c r="Q3974" s="5">
        <v>68</v>
      </c>
      <c r="R3974" s="5">
        <v>8</v>
      </c>
      <c r="S3974" s="5">
        <v>72</v>
      </c>
    </row>
    <row r="3975" spans="1:19" ht="42" x14ac:dyDescent="0.15">
      <c r="A3975" s="2">
        <f>HYPERLINK("https://open-school.uspishnemisto.com.ua/school/210146/", 210146)</f>
        <v>210146</v>
      </c>
      <c r="B3975" s="3" t="s">
        <v>20806</v>
      </c>
      <c r="C3975" s="3" t="s">
        <v>31</v>
      </c>
      <c r="D3975" s="3" t="s">
        <v>175</v>
      </c>
      <c r="E3975" s="4" t="s">
        <v>22</v>
      </c>
      <c r="F3975" s="4" t="s">
        <v>20807</v>
      </c>
      <c r="G3975" s="4" t="s">
        <v>20808</v>
      </c>
      <c r="H3975" s="3" t="s">
        <v>20074</v>
      </c>
      <c r="I3975" s="3" t="s">
        <v>20809</v>
      </c>
      <c r="J3975" s="3" t="s">
        <v>20810</v>
      </c>
      <c r="K3975" s="3" t="s">
        <v>20811</v>
      </c>
      <c r="L3975" s="3"/>
      <c r="M3975" s="4"/>
      <c r="N3975" s="3" t="s">
        <v>37</v>
      </c>
      <c r="O3975" s="3" t="s">
        <v>112</v>
      </c>
      <c r="P3975" s="5">
        <v>2</v>
      </c>
      <c r="Q3975" s="5">
        <v>25</v>
      </c>
      <c r="R3975" s="5">
        <v>1</v>
      </c>
      <c r="S3975" s="5">
        <v>23</v>
      </c>
    </row>
    <row r="3976" spans="1:19" ht="28" x14ac:dyDescent="0.15">
      <c r="A3976" s="2">
        <f>HYPERLINK("https://open-school.uspishnemisto.com.ua/school/210147/", 210147)</f>
        <v>210147</v>
      </c>
      <c r="B3976" s="3" t="s">
        <v>20812</v>
      </c>
      <c r="C3976" s="3" t="s">
        <v>31</v>
      </c>
      <c r="D3976" s="3" t="s">
        <v>175</v>
      </c>
      <c r="E3976" s="4" t="s">
        <v>22</v>
      </c>
      <c r="F3976" s="4" t="s">
        <v>20813</v>
      </c>
      <c r="G3976" s="4" t="s">
        <v>20814</v>
      </c>
      <c r="H3976" s="3" t="s">
        <v>20074</v>
      </c>
      <c r="I3976" s="3" t="s">
        <v>20815</v>
      </c>
      <c r="J3976" s="3" t="s">
        <v>20816</v>
      </c>
      <c r="K3976" s="3" t="s">
        <v>20817</v>
      </c>
      <c r="L3976" s="3"/>
      <c r="M3976" s="4"/>
      <c r="N3976" s="3" t="s">
        <v>37</v>
      </c>
      <c r="O3976" s="3" t="s">
        <v>70</v>
      </c>
      <c r="P3976" s="5">
        <v>8</v>
      </c>
      <c r="Q3976" s="5">
        <v>70</v>
      </c>
      <c r="R3976" s="5">
        <v>8</v>
      </c>
      <c r="S3976" s="5">
        <v>75</v>
      </c>
    </row>
    <row r="3977" spans="1:19" ht="42" x14ac:dyDescent="0.15">
      <c r="A3977" s="2">
        <f>HYPERLINK("https://open-school.uspishnemisto.com.ua/school/210148/", 210148)</f>
        <v>210148</v>
      </c>
      <c r="B3977" s="3" t="s">
        <v>20818</v>
      </c>
      <c r="C3977" s="3" t="s">
        <v>31</v>
      </c>
      <c r="D3977" s="3" t="s">
        <v>32</v>
      </c>
      <c r="E3977" s="4" t="s">
        <v>22</v>
      </c>
      <c r="F3977" s="4" t="s">
        <v>20819</v>
      </c>
      <c r="G3977" s="4" t="s">
        <v>20820</v>
      </c>
      <c r="H3977" s="3" t="s">
        <v>20074</v>
      </c>
      <c r="I3977" s="3" t="s">
        <v>20821</v>
      </c>
      <c r="J3977" s="3" t="s">
        <v>20822</v>
      </c>
      <c r="K3977" s="3"/>
      <c r="L3977" s="3"/>
      <c r="M3977" s="4" t="s">
        <v>20823</v>
      </c>
      <c r="N3977" s="3" t="s">
        <v>37</v>
      </c>
      <c r="O3977" s="3" t="s">
        <v>618</v>
      </c>
      <c r="P3977" s="5">
        <v>11</v>
      </c>
      <c r="Q3977" s="5">
        <v>125</v>
      </c>
      <c r="R3977" s="5">
        <v>11</v>
      </c>
      <c r="S3977" s="5">
        <v>141</v>
      </c>
    </row>
    <row r="3978" spans="1:19" ht="28" x14ac:dyDescent="0.15">
      <c r="A3978" s="2">
        <f>HYPERLINK("https://open-school.uspishnemisto.com.ua/school/210149/", 210149)</f>
        <v>210149</v>
      </c>
      <c r="B3978" s="3" t="s">
        <v>20824</v>
      </c>
      <c r="C3978" s="3" t="s">
        <v>40</v>
      </c>
      <c r="D3978" s="3" t="s">
        <v>32</v>
      </c>
      <c r="E3978" s="4" t="s">
        <v>22</v>
      </c>
      <c r="F3978" s="4" t="s">
        <v>20825</v>
      </c>
      <c r="G3978" s="4" t="s">
        <v>20826</v>
      </c>
      <c r="H3978" s="3" t="s">
        <v>20074</v>
      </c>
      <c r="I3978" s="3" t="s">
        <v>20827</v>
      </c>
      <c r="J3978" s="3" t="s">
        <v>5492</v>
      </c>
      <c r="K3978" s="3" t="s">
        <v>20828</v>
      </c>
      <c r="L3978" s="3" t="s">
        <v>20829</v>
      </c>
      <c r="M3978" s="4"/>
      <c r="N3978" s="3" t="s">
        <v>37</v>
      </c>
      <c r="O3978" s="3" t="s">
        <v>123</v>
      </c>
      <c r="P3978" s="5">
        <v>13</v>
      </c>
      <c r="Q3978" s="5">
        <v>289</v>
      </c>
      <c r="R3978" s="5">
        <v>13</v>
      </c>
      <c r="S3978" s="5">
        <v>265</v>
      </c>
    </row>
    <row r="3979" spans="1:19" ht="28" x14ac:dyDescent="0.15">
      <c r="A3979" s="2">
        <f>HYPERLINK("https://open-school.uspishnemisto.com.ua/school/210150/", 210150)</f>
        <v>210150</v>
      </c>
      <c r="B3979" s="3" t="s">
        <v>20830</v>
      </c>
      <c r="C3979" s="3" t="s">
        <v>31</v>
      </c>
      <c r="D3979" s="3" t="s">
        <v>32</v>
      </c>
      <c r="E3979" s="4" t="s">
        <v>22</v>
      </c>
      <c r="F3979" s="4" t="s">
        <v>20825</v>
      </c>
      <c r="G3979" s="4" t="s">
        <v>20826</v>
      </c>
      <c r="H3979" s="3" t="s">
        <v>20074</v>
      </c>
      <c r="I3979" s="3" t="s">
        <v>20827</v>
      </c>
      <c r="J3979" s="3" t="s">
        <v>20831</v>
      </c>
      <c r="K3979" s="3" t="s">
        <v>20832</v>
      </c>
      <c r="L3979" s="3"/>
      <c r="M3979" s="4"/>
      <c r="N3979" s="3" t="s">
        <v>37</v>
      </c>
      <c r="O3979" s="3" t="s">
        <v>20641</v>
      </c>
      <c r="P3979" s="5">
        <v>26</v>
      </c>
      <c r="Q3979" s="5">
        <v>690</v>
      </c>
      <c r="R3979" s="5">
        <v>25</v>
      </c>
      <c r="S3979" s="5">
        <v>643</v>
      </c>
    </row>
    <row r="3980" spans="1:19" ht="28" x14ac:dyDescent="0.15">
      <c r="A3980" s="2">
        <f>HYPERLINK("https://open-school.uspishnemisto.com.ua/school/210151/", 210151)</f>
        <v>210151</v>
      </c>
      <c r="B3980" s="3" t="s">
        <v>20833</v>
      </c>
      <c r="C3980" s="3" t="s">
        <v>31</v>
      </c>
      <c r="D3980" s="3" t="s">
        <v>32</v>
      </c>
      <c r="E3980" s="4" t="s">
        <v>22</v>
      </c>
      <c r="F3980" s="4" t="s">
        <v>20825</v>
      </c>
      <c r="G3980" s="4" t="s">
        <v>20826</v>
      </c>
      <c r="H3980" s="3" t="s">
        <v>20074</v>
      </c>
      <c r="I3980" s="3" t="s">
        <v>20827</v>
      </c>
      <c r="J3980" s="3" t="s">
        <v>2384</v>
      </c>
      <c r="K3980" s="3" t="s">
        <v>20834</v>
      </c>
      <c r="L3980" s="3" t="s">
        <v>20835</v>
      </c>
      <c r="M3980" s="4"/>
      <c r="N3980" s="3" t="s">
        <v>37</v>
      </c>
      <c r="O3980" s="3" t="s">
        <v>52</v>
      </c>
      <c r="P3980" s="5">
        <v>31</v>
      </c>
      <c r="Q3980" s="5">
        <v>767</v>
      </c>
      <c r="R3980" s="5">
        <v>31</v>
      </c>
      <c r="S3980" s="5">
        <v>764</v>
      </c>
    </row>
    <row r="3981" spans="1:19" ht="28" x14ac:dyDescent="0.15">
      <c r="A3981" s="2">
        <f>HYPERLINK("https://open-school.uspishnemisto.com.ua/school/210152/", 210152)</f>
        <v>210152</v>
      </c>
      <c r="B3981" s="3" t="s">
        <v>20836</v>
      </c>
      <c r="C3981" s="3" t="s">
        <v>31</v>
      </c>
      <c r="D3981" s="3" t="s">
        <v>32</v>
      </c>
      <c r="E3981" s="4" t="s">
        <v>22</v>
      </c>
      <c r="F3981" s="4" t="s">
        <v>20825</v>
      </c>
      <c r="G3981" s="4" t="s">
        <v>20826</v>
      </c>
      <c r="H3981" s="3" t="s">
        <v>20074</v>
      </c>
      <c r="I3981" s="3" t="s">
        <v>20827</v>
      </c>
      <c r="J3981" s="3" t="s">
        <v>20837</v>
      </c>
      <c r="K3981" s="3"/>
      <c r="L3981" s="3"/>
      <c r="M3981" s="4"/>
      <c r="N3981" s="3" t="s">
        <v>37</v>
      </c>
      <c r="O3981" s="3" t="s">
        <v>2740</v>
      </c>
      <c r="P3981" s="5">
        <v>18</v>
      </c>
      <c r="Q3981" s="5">
        <v>332</v>
      </c>
      <c r="R3981" s="5">
        <v>19</v>
      </c>
      <c r="S3981" s="5">
        <v>359</v>
      </c>
    </row>
    <row r="3982" spans="1:19" ht="42" x14ac:dyDescent="0.15">
      <c r="A3982" s="2">
        <f>HYPERLINK("https://open-school.uspishnemisto.com.ua/school/210153/", 210153)</f>
        <v>210153</v>
      </c>
      <c r="B3982" s="3" t="s">
        <v>20838</v>
      </c>
      <c r="C3982" s="3" t="s">
        <v>31</v>
      </c>
      <c r="D3982" s="3" t="s">
        <v>32</v>
      </c>
      <c r="E3982" s="4" t="s">
        <v>22</v>
      </c>
      <c r="F3982" s="4" t="s">
        <v>20825</v>
      </c>
      <c r="G3982" s="4" t="s">
        <v>20826</v>
      </c>
      <c r="H3982" s="3" t="s">
        <v>20074</v>
      </c>
      <c r="I3982" s="3" t="s">
        <v>20827</v>
      </c>
      <c r="J3982" s="3" t="s">
        <v>16005</v>
      </c>
      <c r="K3982" s="3"/>
      <c r="L3982" s="3"/>
      <c r="M3982" s="4"/>
      <c r="N3982" s="3" t="s">
        <v>18409</v>
      </c>
      <c r="O3982" s="3" t="s">
        <v>52</v>
      </c>
      <c r="P3982" s="5">
        <v>16</v>
      </c>
      <c r="Q3982" s="5">
        <v>306</v>
      </c>
      <c r="R3982" s="5">
        <v>15</v>
      </c>
      <c r="S3982" s="5">
        <v>296</v>
      </c>
    </row>
    <row r="3983" spans="1:19" ht="28" x14ac:dyDescent="0.15">
      <c r="A3983" s="2">
        <f>HYPERLINK("https://open-school.uspishnemisto.com.ua/school/210154/", 210154)</f>
        <v>210154</v>
      </c>
      <c r="B3983" s="3" t="s">
        <v>20839</v>
      </c>
      <c r="C3983" s="3" t="s">
        <v>31</v>
      </c>
      <c r="D3983" s="3" t="s">
        <v>32</v>
      </c>
      <c r="E3983" s="4" t="s">
        <v>22</v>
      </c>
      <c r="F3983" s="4" t="s">
        <v>20825</v>
      </c>
      <c r="G3983" s="4" t="s">
        <v>20826</v>
      </c>
      <c r="H3983" s="3" t="s">
        <v>20074</v>
      </c>
      <c r="I3983" s="3" t="s">
        <v>20827</v>
      </c>
      <c r="J3983" s="3" t="s">
        <v>20840</v>
      </c>
      <c r="K3983" s="3" t="s">
        <v>20841</v>
      </c>
      <c r="L3983" s="3" t="s">
        <v>20842</v>
      </c>
      <c r="M3983" s="4"/>
      <c r="N3983" s="3" t="s">
        <v>37</v>
      </c>
      <c r="O3983" s="3" t="s">
        <v>123</v>
      </c>
      <c r="P3983" s="5">
        <v>41</v>
      </c>
      <c r="Q3983" s="5">
        <v>1056</v>
      </c>
      <c r="R3983" s="5">
        <v>41</v>
      </c>
      <c r="S3983" s="5">
        <v>1062</v>
      </c>
    </row>
    <row r="3984" spans="1:19" ht="28" x14ac:dyDescent="0.15">
      <c r="A3984" s="2">
        <f>HYPERLINK("https://open-school.uspishnemisto.com.ua/school/210155/", 210155)</f>
        <v>210155</v>
      </c>
      <c r="B3984" s="3" t="s">
        <v>20843</v>
      </c>
      <c r="C3984" s="3" t="s">
        <v>31</v>
      </c>
      <c r="D3984" s="3" t="s">
        <v>32</v>
      </c>
      <c r="E3984" s="4" t="s">
        <v>22</v>
      </c>
      <c r="F3984" s="4" t="s">
        <v>20825</v>
      </c>
      <c r="G3984" s="4" t="s">
        <v>20826</v>
      </c>
      <c r="H3984" s="3" t="s">
        <v>20074</v>
      </c>
      <c r="I3984" s="3" t="s">
        <v>20827</v>
      </c>
      <c r="J3984" s="3" t="s">
        <v>20844</v>
      </c>
      <c r="K3984" s="3" t="s">
        <v>20845</v>
      </c>
      <c r="L3984" s="3"/>
      <c r="M3984" s="4"/>
      <c r="N3984" s="3" t="s">
        <v>37</v>
      </c>
      <c r="O3984" s="3" t="s">
        <v>52</v>
      </c>
      <c r="P3984" s="5">
        <v>11</v>
      </c>
      <c r="Q3984" s="5">
        <v>173</v>
      </c>
      <c r="R3984" s="5">
        <v>11</v>
      </c>
      <c r="S3984" s="5">
        <v>177</v>
      </c>
    </row>
    <row r="3985" spans="1:19" ht="28" x14ac:dyDescent="0.15">
      <c r="A3985" s="2">
        <f>HYPERLINK("https://open-school.uspishnemisto.com.ua/school/210156/", 210156)</f>
        <v>210156</v>
      </c>
      <c r="B3985" s="3" t="s">
        <v>20846</v>
      </c>
      <c r="C3985" s="3" t="s">
        <v>20</v>
      </c>
      <c r="D3985" s="3" t="s">
        <v>19078</v>
      </c>
      <c r="E3985" s="4" t="s">
        <v>22</v>
      </c>
      <c r="F3985" s="4" t="s">
        <v>20825</v>
      </c>
      <c r="G3985" s="4" t="s">
        <v>20826</v>
      </c>
      <c r="H3985" s="3" t="s">
        <v>20074</v>
      </c>
      <c r="I3985" s="3" t="s">
        <v>20827</v>
      </c>
      <c r="J3985" s="3" t="s">
        <v>20847</v>
      </c>
      <c r="K3985" s="3" t="s">
        <v>20848</v>
      </c>
      <c r="L3985" s="3"/>
      <c r="M3985" s="4"/>
      <c r="N3985" s="3"/>
      <c r="O3985" s="3"/>
      <c r="P3985" s="5">
        <v>0</v>
      </c>
      <c r="Q3985" s="5">
        <v>0</v>
      </c>
      <c r="R3985" s="5"/>
      <c r="S3985" s="5"/>
    </row>
    <row r="3986" spans="1:19" ht="56" x14ac:dyDescent="0.15">
      <c r="A3986" s="2">
        <f>HYPERLINK("https://open-school.uspishnemisto.com.ua/school/210157/", 210157)</f>
        <v>210157</v>
      </c>
      <c r="B3986" s="3" t="s">
        <v>20849</v>
      </c>
      <c r="C3986" s="3" t="s">
        <v>54</v>
      </c>
      <c r="D3986" s="3" t="s">
        <v>175</v>
      </c>
      <c r="E3986" s="4" t="s">
        <v>22</v>
      </c>
      <c r="F3986" s="4" t="s">
        <v>20825</v>
      </c>
      <c r="G3986" s="4" t="s">
        <v>20826</v>
      </c>
      <c r="H3986" s="3" t="s">
        <v>20074</v>
      </c>
      <c r="I3986" s="3" t="s">
        <v>20827</v>
      </c>
      <c r="J3986" s="3" t="s">
        <v>20850</v>
      </c>
      <c r="K3986" s="3" t="s">
        <v>20851</v>
      </c>
      <c r="L3986" s="3"/>
      <c r="M3986" s="4"/>
      <c r="N3986" s="3" t="s">
        <v>37</v>
      </c>
      <c r="O3986" s="3" t="s">
        <v>52</v>
      </c>
      <c r="P3986" s="5">
        <v>9</v>
      </c>
      <c r="Q3986" s="5">
        <v>115</v>
      </c>
      <c r="R3986" s="5">
        <v>9</v>
      </c>
      <c r="S3986" s="5">
        <v>107</v>
      </c>
    </row>
    <row r="3987" spans="1:19" ht="28" x14ac:dyDescent="0.15">
      <c r="A3987" s="2">
        <f>HYPERLINK("https://open-school.uspishnemisto.com.ua/school/210158/", 210158)</f>
        <v>210158</v>
      </c>
      <c r="B3987" s="3" t="s">
        <v>20852</v>
      </c>
      <c r="C3987" s="3" t="s">
        <v>31</v>
      </c>
      <c r="D3987" s="3" t="s">
        <v>32</v>
      </c>
      <c r="E3987" s="4" t="s">
        <v>22</v>
      </c>
      <c r="F3987" s="4" t="s">
        <v>20853</v>
      </c>
      <c r="G3987" s="4" t="s">
        <v>20854</v>
      </c>
      <c r="H3987" s="3" t="s">
        <v>20074</v>
      </c>
      <c r="I3987" s="3" t="s">
        <v>20855</v>
      </c>
      <c r="J3987" s="3" t="s">
        <v>1348</v>
      </c>
      <c r="K3987" s="3" t="s">
        <v>20856</v>
      </c>
      <c r="L3987" s="3"/>
      <c r="M3987" s="4"/>
      <c r="N3987" s="3" t="s">
        <v>37</v>
      </c>
      <c r="O3987" s="3" t="s">
        <v>20097</v>
      </c>
      <c r="P3987" s="5">
        <v>17</v>
      </c>
      <c r="Q3987" s="5">
        <v>331</v>
      </c>
      <c r="R3987" s="5">
        <v>16</v>
      </c>
      <c r="S3987" s="5">
        <v>329</v>
      </c>
    </row>
    <row r="3988" spans="1:19" ht="28" x14ac:dyDescent="0.15">
      <c r="A3988" s="2">
        <f>HYPERLINK("https://open-school.uspishnemisto.com.ua/school/210159/", 210159)</f>
        <v>210159</v>
      </c>
      <c r="B3988" s="3" t="s">
        <v>20857</v>
      </c>
      <c r="C3988" s="3" t="s">
        <v>31</v>
      </c>
      <c r="D3988" s="3" t="s">
        <v>32</v>
      </c>
      <c r="E3988" s="4" t="s">
        <v>22</v>
      </c>
      <c r="F3988" s="4" t="s">
        <v>20853</v>
      </c>
      <c r="G3988" s="4" t="s">
        <v>20854</v>
      </c>
      <c r="H3988" s="3" t="s">
        <v>20074</v>
      </c>
      <c r="I3988" s="3" t="s">
        <v>20855</v>
      </c>
      <c r="J3988" s="3" t="s">
        <v>20858</v>
      </c>
      <c r="K3988" s="3"/>
      <c r="L3988" s="3" t="s">
        <v>20859</v>
      </c>
      <c r="M3988" s="4"/>
      <c r="N3988" s="3" t="s">
        <v>18409</v>
      </c>
      <c r="O3988" s="3" t="s">
        <v>52</v>
      </c>
      <c r="P3988" s="5">
        <v>11</v>
      </c>
      <c r="Q3988" s="5">
        <v>183</v>
      </c>
      <c r="R3988" s="5">
        <v>11</v>
      </c>
      <c r="S3988" s="5">
        <v>185</v>
      </c>
    </row>
    <row r="3989" spans="1:19" ht="28" x14ac:dyDescent="0.15">
      <c r="A3989" s="2">
        <f>HYPERLINK("https://open-school.uspishnemisto.com.ua/school/210160/", 210160)</f>
        <v>210160</v>
      </c>
      <c r="B3989" s="3" t="s">
        <v>20860</v>
      </c>
      <c r="C3989" s="3" t="s">
        <v>31</v>
      </c>
      <c r="D3989" s="3" t="s">
        <v>32</v>
      </c>
      <c r="E3989" s="4" t="s">
        <v>22</v>
      </c>
      <c r="F3989" s="4" t="s">
        <v>20861</v>
      </c>
      <c r="G3989" s="4" t="s">
        <v>20862</v>
      </c>
      <c r="H3989" s="3" t="s">
        <v>20074</v>
      </c>
      <c r="I3989" s="3" t="s">
        <v>20863</v>
      </c>
      <c r="J3989" s="3" t="s">
        <v>20864</v>
      </c>
      <c r="K3989" s="3" t="s">
        <v>20865</v>
      </c>
      <c r="L3989" s="3"/>
      <c r="M3989" s="4"/>
      <c r="N3989" s="3" t="s">
        <v>37</v>
      </c>
      <c r="O3989" s="3" t="s">
        <v>52</v>
      </c>
      <c r="P3989" s="5">
        <v>22</v>
      </c>
      <c r="Q3989" s="5">
        <v>437</v>
      </c>
      <c r="R3989" s="5">
        <v>22</v>
      </c>
      <c r="S3989" s="5">
        <v>466</v>
      </c>
    </row>
    <row r="3990" spans="1:19" ht="28" x14ac:dyDescent="0.15">
      <c r="A3990" s="2">
        <f>HYPERLINK("https://open-school.uspishnemisto.com.ua/school/210161/", 210161)</f>
        <v>210161</v>
      </c>
      <c r="B3990" s="3" t="s">
        <v>20866</v>
      </c>
      <c r="C3990" s="3" t="s">
        <v>31</v>
      </c>
      <c r="D3990" s="3" t="s">
        <v>32</v>
      </c>
      <c r="E3990" s="4" t="s">
        <v>22</v>
      </c>
      <c r="F3990" s="4" t="s">
        <v>20861</v>
      </c>
      <c r="G3990" s="4" t="s">
        <v>20862</v>
      </c>
      <c r="H3990" s="3" t="s">
        <v>20074</v>
      </c>
      <c r="I3990" s="3" t="s">
        <v>20863</v>
      </c>
      <c r="J3990" s="3" t="s">
        <v>20867</v>
      </c>
      <c r="K3990" s="3" t="s">
        <v>20868</v>
      </c>
      <c r="L3990" s="3"/>
      <c r="M3990" s="4"/>
      <c r="N3990" s="3" t="s">
        <v>37</v>
      </c>
      <c r="O3990" s="3" t="s">
        <v>52</v>
      </c>
      <c r="P3990" s="5">
        <v>25</v>
      </c>
      <c r="Q3990" s="5">
        <v>539</v>
      </c>
      <c r="R3990" s="5">
        <v>27</v>
      </c>
      <c r="S3990" s="5">
        <v>611</v>
      </c>
    </row>
    <row r="3991" spans="1:19" ht="56" x14ac:dyDescent="0.15">
      <c r="A3991" s="2">
        <f>HYPERLINK("https://open-school.uspishnemisto.com.ua/school/210162/", 210162)</f>
        <v>210162</v>
      </c>
      <c r="B3991" s="3" t="s">
        <v>20869</v>
      </c>
      <c r="C3991" s="3" t="s">
        <v>54</v>
      </c>
      <c r="D3991" s="3" t="s">
        <v>32</v>
      </c>
      <c r="E3991" s="4" t="s">
        <v>22</v>
      </c>
      <c r="F3991" s="4" t="s">
        <v>20870</v>
      </c>
      <c r="G3991" s="4" t="s">
        <v>20871</v>
      </c>
      <c r="H3991" s="3" t="s">
        <v>20074</v>
      </c>
      <c r="I3991" s="3" t="s">
        <v>20872</v>
      </c>
      <c r="J3991" s="3" t="s">
        <v>20873</v>
      </c>
      <c r="K3991" s="3" t="s">
        <v>20874</v>
      </c>
      <c r="L3991" s="3"/>
      <c r="M3991" s="4"/>
      <c r="N3991" s="3" t="s">
        <v>37</v>
      </c>
      <c r="O3991" s="3" t="s">
        <v>11684</v>
      </c>
      <c r="P3991" s="5">
        <v>24</v>
      </c>
      <c r="Q3991" s="5">
        <v>469</v>
      </c>
      <c r="R3991" s="5">
        <v>24</v>
      </c>
      <c r="S3991" s="5">
        <v>469</v>
      </c>
    </row>
    <row r="3992" spans="1:19" ht="28" x14ac:dyDescent="0.15">
      <c r="A3992" s="2">
        <f>HYPERLINK("https://open-school.uspishnemisto.com.ua/school/210163/", 210163)</f>
        <v>210163</v>
      </c>
      <c r="B3992" s="3" t="s">
        <v>20875</v>
      </c>
      <c r="C3992" s="3" t="s">
        <v>31</v>
      </c>
      <c r="D3992" s="3" t="s">
        <v>32</v>
      </c>
      <c r="E3992" s="4" t="s">
        <v>22</v>
      </c>
      <c r="F3992" s="4" t="s">
        <v>20876</v>
      </c>
      <c r="G3992" s="4" t="s">
        <v>20877</v>
      </c>
      <c r="H3992" s="3" t="s">
        <v>20074</v>
      </c>
      <c r="I3992" s="3" t="s">
        <v>20878</v>
      </c>
      <c r="J3992" s="3" t="s">
        <v>20879</v>
      </c>
      <c r="K3992" s="3" t="s">
        <v>6204</v>
      </c>
      <c r="L3992" s="3"/>
      <c r="M3992" s="4"/>
      <c r="N3992" s="3" t="s">
        <v>37</v>
      </c>
      <c r="O3992" s="3" t="s">
        <v>52</v>
      </c>
      <c r="P3992" s="5">
        <v>16</v>
      </c>
      <c r="Q3992" s="5">
        <v>300</v>
      </c>
      <c r="R3992" s="5">
        <v>15</v>
      </c>
      <c r="S3992" s="5">
        <v>305</v>
      </c>
    </row>
    <row r="3993" spans="1:19" ht="28" x14ac:dyDescent="0.15">
      <c r="A3993" s="2">
        <f>HYPERLINK("https://open-school.uspishnemisto.com.ua/school/210164/", 210164)</f>
        <v>210164</v>
      </c>
      <c r="B3993" s="3" t="s">
        <v>20880</v>
      </c>
      <c r="C3993" s="3" t="s">
        <v>31</v>
      </c>
      <c r="D3993" s="3" t="s">
        <v>175</v>
      </c>
      <c r="E3993" s="4" t="s">
        <v>22</v>
      </c>
      <c r="F3993" s="4" t="s">
        <v>20881</v>
      </c>
      <c r="G3993" s="4" t="s">
        <v>20882</v>
      </c>
      <c r="H3993" s="3" t="s">
        <v>20074</v>
      </c>
      <c r="I3993" s="3" t="s">
        <v>20883</v>
      </c>
      <c r="J3993" s="3" t="s">
        <v>20884</v>
      </c>
      <c r="K3993" s="3" t="s">
        <v>20885</v>
      </c>
      <c r="L3993" s="3"/>
      <c r="M3993" s="4"/>
      <c r="N3993" s="3" t="s">
        <v>37</v>
      </c>
      <c r="O3993" s="3" t="s">
        <v>2740</v>
      </c>
      <c r="P3993" s="5">
        <v>18</v>
      </c>
      <c r="Q3993" s="5">
        <v>313</v>
      </c>
      <c r="R3993" s="5">
        <v>18</v>
      </c>
      <c r="S3993" s="5">
        <v>309</v>
      </c>
    </row>
    <row r="3994" spans="1:19" ht="28" x14ac:dyDescent="0.15">
      <c r="A3994" s="2">
        <f>HYPERLINK("https://open-school.uspishnemisto.com.ua/school/210165/", 210165)</f>
        <v>210165</v>
      </c>
      <c r="B3994" s="3" t="s">
        <v>20886</v>
      </c>
      <c r="C3994" s="3" t="s">
        <v>31</v>
      </c>
      <c r="D3994" s="3" t="s">
        <v>32</v>
      </c>
      <c r="E3994" s="4" t="s">
        <v>22</v>
      </c>
      <c r="F3994" s="4" t="s">
        <v>20881</v>
      </c>
      <c r="G3994" s="4" t="s">
        <v>20882</v>
      </c>
      <c r="H3994" s="3" t="s">
        <v>20074</v>
      </c>
      <c r="I3994" s="3" t="s">
        <v>20883</v>
      </c>
      <c r="J3994" s="3" t="s">
        <v>20887</v>
      </c>
      <c r="K3994" s="3" t="s">
        <v>20888</v>
      </c>
      <c r="L3994" s="3"/>
      <c r="M3994" s="4"/>
      <c r="N3994" s="3" t="s">
        <v>37</v>
      </c>
      <c r="O3994" s="3" t="s">
        <v>2740</v>
      </c>
      <c r="P3994" s="5">
        <v>30</v>
      </c>
      <c r="Q3994" s="5">
        <v>635</v>
      </c>
      <c r="R3994" s="5">
        <v>29</v>
      </c>
      <c r="S3994" s="5">
        <v>621</v>
      </c>
    </row>
    <row r="3995" spans="1:19" ht="42" x14ac:dyDescent="0.15">
      <c r="A3995" s="2">
        <f>HYPERLINK("https://open-school.uspishnemisto.com.ua/school/210166/", 210166)</f>
        <v>210166</v>
      </c>
      <c r="B3995" s="3" t="s">
        <v>20889</v>
      </c>
      <c r="C3995" s="3" t="s">
        <v>31</v>
      </c>
      <c r="D3995" s="3" t="s">
        <v>32</v>
      </c>
      <c r="E3995" s="4" t="s">
        <v>22</v>
      </c>
      <c r="F3995" s="4" t="s">
        <v>20890</v>
      </c>
      <c r="G3995" s="4" t="s">
        <v>20891</v>
      </c>
      <c r="H3995" s="3" t="s">
        <v>20074</v>
      </c>
      <c r="I3995" s="3" t="s">
        <v>20892</v>
      </c>
      <c r="J3995" s="3" t="s">
        <v>20893</v>
      </c>
      <c r="K3995" s="3" t="s">
        <v>20894</v>
      </c>
      <c r="L3995" s="3"/>
      <c r="M3995" s="4"/>
      <c r="N3995" s="3" t="s">
        <v>18409</v>
      </c>
      <c r="O3995" s="3" t="s">
        <v>52</v>
      </c>
      <c r="P3995" s="5">
        <v>11</v>
      </c>
      <c r="Q3995" s="5">
        <v>164</v>
      </c>
      <c r="R3995" s="5">
        <v>11</v>
      </c>
      <c r="S3995" s="5">
        <v>156</v>
      </c>
    </row>
    <row r="3996" spans="1:19" ht="28" x14ac:dyDescent="0.15">
      <c r="A3996" s="2">
        <f>HYPERLINK("https://open-school.uspishnemisto.com.ua/school/210167/", 210167)</f>
        <v>210167</v>
      </c>
      <c r="B3996" s="3" t="s">
        <v>20895</v>
      </c>
      <c r="C3996" s="3" t="s">
        <v>31</v>
      </c>
      <c r="D3996" s="3" t="s">
        <v>175</v>
      </c>
      <c r="E3996" s="4" t="s">
        <v>22</v>
      </c>
      <c r="F3996" s="4" t="s">
        <v>20896</v>
      </c>
      <c r="G3996" s="4" t="s">
        <v>20897</v>
      </c>
      <c r="H3996" s="3" t="s">
        <v>20074</v>
      </c>
      <c r="I3996" s="3" t="s">
        <v>20898</v>
      </c>
      <c r="J3996" s="3" t="s">
        <v>20899</v>
      </c>
      <c r="K3996" s="3" t="s">
        <v>20900</v>
      </c>
      <c r="L3996" s="3"/>
      <c r="M3996" s="4"/>
      <c r="N3996" s="3" t="s">
        <v>18409</v>
      </c>
      <c r="O3996" s="3" t="s">
        <v>52</v>
      </c>
      <c r="P3996" s="5">
        <v>9</v>
      </c>
      <c r="Q3996" s="5">
        <v>111</v>
      </c>
      <c r="R3996" s="5">
        <v>9</v>
      </c>
      <c r="S3996" s="5">
        <v>106</v>
      </c>
    </row>
    <row r="3997" spans="1:19" ht="28" x14ac:dyDescent="0.15">
      <c r="A3997" s="2">
        <f>HYPERLINK("https://open-school.uspishnemisto.com.ua/school/210168/", 210168)</f>
        <v>210168</v>
      </c>
      <c r="B3997" s="3" t="s">
        <v>20901</v>
      </c>
      <c r="C3997" s="3" t="s">
        <v>31</v>
      </c>
      <c r="D3997" s="3" t="s">
        <v>32</v>
      </c>
      <c r="E3997" s="4" t="s">
        <v>22</v>
      </c>
      <c r="F3997" s="4" t="s">
        <v>20902</v>
      </c>
      <c r="G3997" s="4" t="s">
        <v>20903</v>
      </c>
      <c r="H3997" s="3" t="s">
        <v>20074</v>
      </c>
      <c r="I3997" s="3" t="s">
        <v>20904</v>
      </c>
      <c r="J3997" s="3" t="s">
        <v>20905</v>
      </c>
      <c r="K3997" s="3" t="s">
        <v>20906</v>
      </c>
      <c r="L3997" s="3"/>
      <c r="M3997" s="4"/>
      <c r="N3997" s="3" t="s">
        <v>37</v>
      </c>
      <c r="O3997" s="3" t="s">
        <v>2740</v>
      </c>
      <c r="P3997" s="5">
        <v>22</v>
      </c>
      <c r="Q3997" s="5">
        <v>438</v>
      </c>
      <c r="R3997" s="5">
        <v>23</v>
      </c>
      <c r="S3997" s="5">
        <v>448</v>
      </c>
    </row>
    <row r="3998" spans="1:19" ht="28" x14ac:dyDescent="0.15">
      <c r="A3998" s="2">
        <f>HYPERLINK("https://open-school.uspishnemisto.com.ua/school/210169/", 210169)</f>
        <v>210169</v>
      </c>
      <c r="B3998" s="3" t="s">
        <v>20907</v>
      </c>
      <c r="C3998" s="3" t="s">
        <v>31</v>
      </c>
      <c r="D3998" s="3" t="s">
        <v>32</v>
      </c>
      <c r="E3998" s="4" t="s">
        <v>22</v>
      </c>
      <c r="F3998" s="4" t="s">
        <v>20908</v>
      </c>
      <c r="G3998" s="4" t="s">
        <v>20909</v>
      </c>
      <c r="H3998" s="3" t="s">
        <v>20074</v>
      </c>
      <c r="I3998" s="3" t="s">
        <v>2655</v>
      </c>
      <c r="J3998" s="3" t="s">
        <v>20910</v>
      </c>
      <c r="K3998" s="3" t="s">
        <v>20911</v>
      </c>
      <c r="L3998" s="3"/>
      <c r="M3998" s="4"/>
      <c r="N3998" s="3" t="s">
        <v>20226</v>
      </c>
      <c r="O3998" s="3" t="s">
        <v>52</v>
      </c>
      <c r="P3998" s="5">
        <v>20</v>
      </c>
      <c r="Q3998" s="5">
        <v>253</v>
      </c>
      <c r="R3998" s="5">
        <v>20</v>
      </c>
      <c r="S3998" s="5">
        <v>256</v>
      </c>
    </row>
    <row r="3999" spans="1:19" ht="28" x14ac:dyDescent="0.15">
      <c r="A3999" s="2">
        <f>HYPERLINK("https://open-school.uspishnemisto.com.ua/school/210170/", 210170)</f>
        <v>210170</v>
      </c>
      <c r="B3999" s="3" t="s">
        <v>20912</v>
      </c>
      <c r="C3999" s="3" t="s">
        <v>31</v>
      </c>
      <c r="D3999" s="3" t="s">
        <v>175</v>
      </c>
      <c r="E3999" s="4" t="s">
        <v>22</v>
      </c>
      <c r="F3999" s="4" t="s">
        <v>20913</v>
      </c>
      <c r="G3999" s="4" t="s">
        <v>20914</v>
      </c>
      <c r="H3999" s="3" t="s">
        <v>20074</v>
      </c>
      <c r="I3999" s="3" t="s">
        <v>20915</v>
      </c>
      <c r="J3999" s="3" t="s">
        <v>20916</v>
      </c>
      <c r="K3999" s="3" t="s">
        <v>20917</v>
      </c>
      <c r="L3999" s="3"/>
      <c r="M3999" s="4"/>
      <c r="N3999" s="3" t="s">
        <v>37</v>
      </c>
      <c r="O3999" s="3" t="s">
        <v>38</v>
      </c>
      <c r="P3999" s="5">
        <v>9</v>
      </c>
      <c r="Q3999" s="5">
        <v>147</v>
      </c>
      <c r="R3999" s="5">
        <v>9</v>
      </c>
      <c r="S3999" s="5">
        <v>133</v>
      </c>
    </row>
    <row r="4000" spans="1:19" ht="28" x14ac:dyDescent="0.15">
      <c r="A4000" s="2">
        <f>HYPERLINK("https://open-school.uspishnemisto.com.ua/school/210171/", 210171)</f>
        <v>210171</v>
      </c>
      <c r="B4000" s="3" t="s">
        <v>20918</v>
      </c>
      <c r="C4000" s="3" t="s">
        <v>31</v>
      </c>
      <c r="D4000" s="3" t="s">
        <v>175</v>
      </c>
      <c r="E4000" s="4" t="s">
        <v>22</v>
      </c>
      <c r="F4000" s="4"/>
      <c r="G4000" s="4" t="s">
        <v>20919</v>
      </c>
      <c r="H4000" s="3" t="s">
        <v>20074</v>
      </c>
      <c r="I4000" s="3" t="s">
        <v>20920</v>
      </c>
      <c r="J4000" s="3" t="s">
        <v>20921</v>
      </c>
      <c r="K4000" s="3" t="s">
        <v>20922</v>
      </c>
      <c r="L4000" s="3"/>
      <c r="M4000" s="4"/>
      <c r="N4000" s="3" t="s">
        <v>37</v>
      </c>
      <c r="O4000" s="3" t="s">
        <v>38</v>
      </c>
      <c r="P4000" s="5">
        <v>8</v>
      </c>
      <c r="Q4000" s="5">
        <v>72</v>
      </c>
      <c r="R4000" s="5">
        <v>9</v>
      </c>
      <c r="S4000" s="5">
        <v>77</v>
      </c>
    </row>
    <row r="4001" spans="1:19" ht="28" x14ac:dyDescent="0.15">
      <c r="A4001" s="2">
        <f>HYPERLINK("https://open-school.uspishnemisto.com.ua/school/210172/", 210172)</f>
        <v>210172</v>
      </c>
      <c r="B4001" s="3" t="s">
        <v>20923</v>
      </c>
      <c r="C4001" s="3" t="s">
        <v>31</v>
      </c>
      <c r="D4001" s="3" t="s">
        <v>32</v>
      </c>
      <c r="E4001" s="4" t="s">
        <v>22</v>
      </c>
      <c r="F4001" s="4"/>
      <c r="G4001" s="4" t="s">
        <v>20924</v>
      </c>
      <c r="H4001" s="3" t="s">
        <v>20074</v>
      </c>
      <c r="I4001" s="3" t="s">
        <v>20925</v>
      </c>
      <c r="J4001" s="3" t="s">
        <v>20926</v>
      </c>
      <c r="K4001" s="3"/>
      <c r="L4001" s="3"/>
      <c r="M4001" s="4"/>
      <c r="N4001" s="3" t="s">
        <v>37</v>
      </c>
      <c r="O4001" s="3" t="s">
        <v>2740</v>
      </c>
      <c r="P4001" s="5">
        <v>15</v>
      </c>
      <c r="Q4001" s="5">
        <v>277</v>
      </c>
      <c r="R4001" s="5">
        <v>15</v>
      </c>
      <c r="S4001" s="5">
        <v>274</v>
      </c>
    </row>
    <row r="4002" spans="1:19" ht="28" x14ac:dyDescent="0.15">
      <c r="A4002" s="2">
        <f>HYPERLINK("https://open-school.uspishnemisto.com.ua/school/210173/", 210173)</f>
        <v>210173</v>
      </c>
      <c r="B4002" s="3" t="s">
        <v>20927</v>
      </c>
      <c r="C4002" s="3" t="s">
        <v>31</v>
      </c>
      <c r="D4002" s="3" t="s">
        <v>175</v>
      </c>
      <c r="E4002" s="4" t="s">
        <v>22</v>
      </c>
      <c r="F4002" s="4" t="s">
        <v>20928</v>
      </c>
      <c r="G4002" s="4" t="s">
        <v>20929</v>
      </c>
      <c r="H4002" s="3" t="s">
        <v>20074</v>
      </c>
      <c r="I4002" s="3" t="s">
        <v>20930</v>
      </c>
      <c r="J4002" s="3" t="s">
        <v>6438</v>
      </c>
      <c r="K4002" s="3" t="s">
        <v>20931</v>
      </c>
      <c r="L4002" s="3"/>
      <c r="M4002" s="4"/>
      <c r="N4002" s="3" t="s">
        <v>18409</v>
      </c>
      <c r="O4002" s="3" t="s">
        <v>52</v>
      </c>
      <c r="P4002" s="5">
        <v>9</v>
      </c>
      <c r="Q4002" s="5">
        <v>133</v>
      </c>
      <c r="R4002" s="5">
        <v>9</v>
      </c>
      <c r="S4002" s="5">
        <v>129</v>
      </c>
    </row>
    <row r="4003" spans="1:19" ht="56" x14ac:dyDescent="0.15">
      <c r="A4003" s="2">
        <f>HYPERLINK("https://open-school.uspishnemisto.com.ua/school/210174/", 210174)</f>
        <v>210174</v>
      </c>
      <c r="B4003" s="3" t="s">
        <v>20932</v>
      </c>
      <c r="C4003" s="3" t="s">
        <v>54</v>
      </c>
      <c r="D4003" s="3" t="s">
        <v>32</v>
      </c>
      <c r="E4003" s="4" t="s">
        <v>22</v>
      </c>
      <c r="F4003" s="4" t="s">
        <v>20933</v>
      </c>
      <c r="G4003" s="4" t="s">
        <v>20934</v>
      </c>
      <c r="H4003" s="3" t="s">
        <v>20074</v>
      </c>
      <c r="I4003" s="3" t="s">
        <v>20935</v>
      </c>
      <c r="J4003" s="3" t="s">
        <v>20936</v>
      </c>
      <c r="K4003" s="3" t="s">
        <v>20937</v>
      </c>
      <c r="L4003" s="3"/>
      <c r="M4003" s="4"/>
      <c r="N4003" s="3" t="s">
        <v>20226</v>
      </c>
      <c r="O4003" s="3" t="s">
        <v>52</v>
      </c>
      <c r="P4003" s="5">
        <v>19</v>
      </c>
      <c r="Q4003" s="5">
        <v>248</v>
      </c>
      <c r="R4003" s="5">
        <v>19</v>
      </c>
      <c r="S4003" s="5">
        <v>258</v>
      </c>
    </row>
    <row r="4004" spans="1:19" ht="28" x14ac:dyDescent="0.15">
      <c r="A4004" s="2">
        <f>HYPERLINK("https://open-school.uspishnemisto.com.ua/school/210175/", 210175)</f>
        <v>210175</v>
      </c>
      <c r="B4004" s="3" t="s">
        <v>20938</v>
      </c>
      <c r="C4004" s="3" t="s">
        <v>31</v>
      </c>
      <c r="D4004" s="3" t="s">
        <v>60</v>
      </c>
      <c r="E4004" s="4" t="s">
        <v>22</v>
      </c>
      <c r="F4004" s="4" t="s">
        <v>20933</v>
      </c>
      <c r="G4004" s="4" t="s">
        <v>20939</v>
      </c>
      <c r="H4004" s="3" t="s">
        <v>20074</v>
      </c>
      <c r="I4004" s="3" t="s">
        <v>20940</v>
      </c>
      <c r="J4004" s="3" t="s">
        <v>20941</v>
      </c>
      <c r="K4004" s="3" t="s">
        <v>20942</v>
      </c>
      <c r="L4004" s="3"/>
      <c r="M4004" s="4"/>
      <c r="N4004" s="3" t="s">
        <v>18409</v>
      </c>
      <c r="O4004" s="3" t="s">
        <v>52</v>
      </c>
      <c r="P4004" s="5">
        <v>4</v>
      </c>
      <c r="Q4004" s="5">
        <v>53</v>
      </c>
      <c r="R4004" s="5">
        <v>4</v>
      </c>
      <c r="S4004" s="5">
        <v>45</v>
      </c>
    </row>
    <row r="4005" spans="1:19" ht="56" x14ac:dyDescent="0.15">
      <c r="A4005" s="2">
        <f>HYPERLINK("https://open-school.uspishnemisto.com.ua/school/210176/", 210176)</f>
        <v>210176</v>
      </c>
      <c r="B4005" s="3" t="s">
        <v>20943</v>
      </c>
      <c r="C4005" s="3" t="s">
        <v>54</v>
      </c>
      <c r="D4005" s="3" t="s">
        <v>60</v>
      </c>
      <c r="E4005" s="4" t="s">
        <v>22</v>
      </c>
      <c r="F4005" s="4" t="s">
        <v>20933</v>
      </c>
      <c r="G4005" s="4" t="s">
        <v>20944</v>
      </c>
      <c r="H4005" s="3" t="s">
        <v>20074</v>
      </c>
      <c r="I4005" s="3" t="s">
        <v>20945</v>
      </c>
      <c r="J4005" s="3" t="s">
        <v>20946</v>
      </c>
      <c r="K4005" s="3" t="s">
        <v>20947</v>
      </c>
      <c r="L4005" s="3"/>
      <c r="M4005" s="4"/>
      <c r="N4005" s="3" t="s">
        <v>18409</v>
      </c>
      <c r="O4005" s="3" t="s">
        <v>52</v>
      </c>
      <c r="P4005" s="5">
        <v>4</v>
      </c>
      <c r="Q4005" s="5">
        <v>20</v>
      </c>
      <c r="R4005" s="5">
        <v>4</v>
      </c>
      <c r="S4005" s="5">
        <v>21</v>
      </c>
    </row>
    <row r="4006" spans="1:19" ht="56" x14ac:dyDescent="0.15">
      <c r="A4006" s="2">
        <f>HYPERLINK("https://open-school.uspishnemisto.com.ua/school/210177/", 210177)</f>
        <v>210177</v>
      </c>
      <c r="B4006" s="3" t="s">
        <v>20948</v>
      </c>
      <c r="C4006" s="3" t="s">
        <v>54</v>
      </c>
      <c r="D4006" s="3" t="s">
        <v>175</v>
      </c>
      <c r="E4006" s="4" t="s">
        <v>22</v>
      </c>
      <c r="F4006" s="4" t="s">
        <v>20933</v>
      </c>
      <c r="G4006" s="4" t="s">
        <v>20949</v>
      </c>
      <c r="H4006" s="3" t="s">
        <v>20074</v>
      </c>
      <c r="I4006" s="3" t="s">
        <v>20950</v>
      </c>
      <c r="J4006" s="3" t="s">
        <v>20951</v>
      </c>
      <c r="K4006" s="3" t="s">
        <v>20952</v>
      </c>
      <c r="L4006" s="3"/>
      <c r="M4006" s="4"/>
      <c r="N4006" s="3" t="s">
        <v>18409</v>
      </c>
      <c r="O4006" s="3" t="s">
        <v>52</v>
      </c>
      <c r="P4006" s="5">
        <v>9</v>
      </c>
      <c r="Q4006" s="5">
        <v>103</v>
      </c>
      <c r="R4006" s="5">
        <v>9</v>
      </c>
      <c r="S4006" s="5">
        <v>101</v>
      </c>
    </row>
    <row r="4007" spans="1:19" ht="28" x14ac:dyDescent="0.15">
      <c r="A4007" s="2">
        <f>HYPERLINK("https://open-school.uspishnemisto.com.ua/school/210178/", 210178)</f>
        <v>210178</v>
      </c>
      <c r="B4007" s="3" t="s">
        <v>20953</v>
      </c>
      <c r="C4007" s="3" t="s">
        <v>31</v>
      </c>
      <c r="D4007" s="3" t="s">
        <v>175</v>
      </c>
      <c r="E4007" s="4" t="s">
        <v>22</v>
      </c>
      <c r="F4007" s="4" t="s">
        <v>20954</v>
      </c>
      <c r="G4007" s="4" t="s">
        <v>20955</v>
      </c>
      <c r="H4007" s="3" t="s">
        <v>20074</v>
      </c>
      <c r="I4007" s="3" t="s">
        <v>20956</v>
      </c>
      <c r="J4007" s="3" t="s">
        <v>20957</v>
      </c>
      <c r="K4007" s="3" t="s">
        <v>20958</v>
      </c>
      <c r="L4007" s="3"/>
      <c r="M4007" s="4"/>
      <c r="N4007" s="3" t="s">
        <v>37</v>
      </c>
      <c r="O4007" s="3" t="s">
        <v>46</v>
      </c>
      <c r="P4007" s="5">
        <v>9</v>
      </c>
      <c r="Q4007" s="5">
        <v>147</v>
      </c>
      <c r="R4007" s="5">
        <v>9</v>
      </c>
      <c r="S4007" s="5">
        <v>151</v>
      </c>
    </row>
    <row r="4008" spans="1:19" ht="56" x14ac:dyDescent="0.15">
      <c r="A4008" s="2">
        <f>HYPERLINK("https://open-school.uspishnemisto.com.ua/school/210179/", 210179)</f>
        <v>210179</v>
      </c>
      <c r="B4008" s="3" t="s">
        <v>20959</v>
      </c>
      <c r="C4008" s="3" t="s">
        <v>54</v>
      </c>
      <c r="D4008" s="3" t="s">
        <v>175</v>
      </c>
      <c r="E4008" s="4" t="s">
        <v>22</v>
      </c>
      <c r="F4008" s="4" t="s">
        <v>20960</v>
      </c>
      <c r="G4008" s="4" t="s">
        <v>20961</v>
      </c>
      <c r="H4008" s="3" t="s">
        <v>20074</v>
      </c>
      <c r="I4008" s="3" t="s">
        <v>20962</v>
      </c>
      <c r="J4008" s="3" t="s">
        <v>11022</v>
      </c>
      <c r="K4008" s="3" t="s">
        <v>20963</v>
      </c>
      <c r="L4008" s="3"/>
      <c r="M4008" s="4"/>
      <c r="N4008" s="3" t="s">
        <v>37</v>
      </c>
      <c r="O4008" s="3" t="s">
        <v>2740</v>
      </c>
      <c r="P4008" s="5">
        <v>9</v>
      </c>
      <c r="Q4008" s="5">
        <v>157</v>
      </c>
      <c r="R4008" s="5">
        <v>9</v>
      </c>
      <c r="S4008" s="5">
        <v>150</v>
      </c>
    </row>
    <row r="4009" spans="1:19" ht="28" x14ac:dyDescent="0.15">
      <c r="A4009" s="2">
        <f>HYPERLINK("https://open-school.uspishnemisto.com.ua/school/210180/", 210180)</f>
        <v>210180</v>
      </c>
      <c r="B4009" s="3" t="s">
        <v>20964</v>
      </c>
      <c r="C4009" s="3" t="s">
        <v>31</v>
      </c>
      <c r="D4009" s="3" t="s">
        <v>175</v>
      </c>
      <c r="E4009" s="4" t="s">
        <v>22</v>
      </c>
      <c r="F4009" s="4" t="s">
        <v>20965</v>
      </c>
      <c r="G4009" s="4" t="s">
        <v>20966</v>
      </c>
      <c r="H4009" s="3" t="s">
        <v>20074</v>
      </c>
      <c r="I4009" s="3" t="s">
        <v>2296</v>
      </c>
      <c r="J4009" s="3" t="s">
        <v>20967</v>
      </c>
      <c r="K4009" s="3" t="s">
        <v>20968</v>
      </c>
      <c r="L4009" s="3"/>
      <c r="M4009" s="4"/>
      <c r="N4009" s="3" t="s">
        <v>37</v>
      </c>
      <c r="O4009" s="3" t="s">
        <v>46</v>
      </c>
      <c r="P4009" s="5">
        <v>9</v>
      </c>
      <c r="Q4009" s="5">
        <v>145</v>
      </c>
      <c r="R4009" s="5">
        <v>9</v>
      </c>
      <c r="S4009" s="5">
        <v>142</v>
      </c>
    </row>
    <row r="4010" spans="1:19" ht="56" x14ac:dyDescent="0.15">
      <c r="A4010" s="2">
        <f>HYPERLINK("https://open-school.uspishnemisto.com.ua/school/210181/", 210181)</f>
        <v>210181</v>
      </c>
      <c r="B4010" s="3" t="s">
        <v>20969</v>
      </c>
      <c r="C4010" s="3" t="s">
        <v>54</v>
      </c>
      <c r="D4010" s="3" t="s">
        <v>175</v>
      </c>
      <c r="E4010" s="4" t="s">
        <v>22</v>
      </c>
      <c r="F4010" s="4" t="s">
        <v>20970</v>
      </c>
      <c r="G4010" s="4" t="s">
        <v>20971</v>
      </c>
      <c r="H4010" s="3" t="s">
        <v>20074</v>
      </c>
      <c r="I4010" s="3" t="s">
        <v>20972</v>
      </c>
      <c r="J4010" s="3" t="s">
        <v>20973</v>
      </c>
      <c r="K4010" s="3" t="s">
        <v>20974</v>
      </c>
      <c r="L4010" s="3"/>
      <c r="M4010" s="4"/>
      <c r="N4010" s="3" t="s">
        <v>20226</v>
      </c>
      <c r="O4010" s="3" t="s">
        <v>20246</v>
      </c>
      <c r="P4010" s="5">
        <v>13</v>
      </c>
      <c r="Q4010" s="5">
        <v>203</v>
      </c>
      <c r="R4010" s="5">
        <v>12</v>
      </c>
      <c r="S4010" s="5">
        <v>205</v>
      </c>
    </row>
    <row r="4011" spans="1:19" ht="28" x14ac:dyDescent="0.15">
      <c r="A4011" s="2">
        <f>HYPERLINK("https://open-school.uspishnemisto.com.ua/school/210182/", 210182)</f>
        <v>210182</v>
      </c>
      <c r="B4011" s="3" t="s">
        <v>20975</v>
      </c>
      <c r="C4011" s="3" t="s">
        <v>31</v>
      </c>
      <c r="D4011" s="3" t="s">
        <v>32</v>
      </c>
      <c r="E4011" s="4" t="s">
        <v>22</v>
      </c>
      <c r="F4011" s="4" t="s">
        <v>20976</v>
      </c>
      <c r="G4011" s="4" t="s">
        <v>20977</v>
      </c>
      <c r="H4011" s="3" t="s">
        <v>20074</v>
      </c>
      <c r="I4011" s="3" t="s">
        <v>20978</v>
      </c>
      <c r="J4011" s="3" t="s">
        <v>20979</v>
      </c>
      <c r="K4011" s="3" t="s">
        <v>20980</v>
      </c>
      <c r="L4011" s="3"/>
      <c r="M4011" s="4"/>
      <c r="N4011" s="3" t="s">
        <v>37</v>
      </c>
      <c r="O4011" s="3" t="s">
        <v>721</v>
      </c>
      <c r="P4011" s="5">
        <v>31</v>
      </c>
      <c r="Q4011" s="5">
        <v>656</v>
      </c>
      <c r="R4011" s="5">
        <v>31</v>
      </c>
      <c r="S4011" s="5">
        <v>654</v>
      </c>
    </row>
    <row r="4012" spans="1:19" ht="28" x14ac:dyDescent="0.15">
      <c r="A4012" s="2">
        <f>HYPERLINK("https://open-school.uspishnemisto.com.ua/school/210183/", 210183)</f>
        <v>210183</v>
      </c>
      <c r="B4012" s="3" t="s">
        <v>20981</v>
      </c>
      <c r="C4012" s="3" t="s">
        <v>31</v>
      </c>
      <c r="D4012" s="3" t="s">
        <v>32</v>
      </c>
      <c r="E4012" s="4" t="s">
        <v>22</v>
      </c>
      <c r="F4012" s="4" t="s">
        <v>20982</v>
      </c>
      <c r="G4012" s="4" t="s">
        <v>20983</v>
      </c>
      <c r="H4012" s="3" t="s">
        <v>20074</v>
      </c>
      <c r="I4012" s="3" t="s">
        <v>20984</v>
      </c>
      <c r="J4012" s="3" t="s">
        <v>20985</v>
      </c>
      <c r="K4012" s="3" t="s">
        <v>20986</v>
      </c>
      <c r="L4012" s="3"/>
      <c r="M4012" s="4"/>
      <c r="N4012" s="3" t="s">
        <v>37</v>
      </c>
      <c r="O4012" s="3" t="s">
        <v>46</v>
      </c>
      <c r="P4012" s="5">
        <v>21</v>
      </c>
      <c r="Q4012" s="5">
        <v>396</v>
      </c>
      <c r="R4012" s="5">
        <v>19</v>
      </c>
      <c r="S4012" s="5">
        <v>396</v>
      </c>
    </row>
    <row r="4013" spans="1:19" ht="56" x14ac:dyDescent="0.15">
      <c r="A4013" s="2">
        <f>HYPERLINK("https://open-school.uspishnemisto.com.ua/school/210184/", 210184)</f>
        <v>210184</v>
      </c>
      <c r="B4013" s="3" t="s">
        <v>20987</v>
      </c>
      <c r="C4013" s="3" t="s">
        <v>54</v>
      </c>
      <c r="D4013" s="3" t="s">
        <v>175</v>
      </c>
      <c r="E4013" s="4" t="s">
        <v>22</v>
      </c>
      <c r="F4013" s="4" t="s">
        <v>20988</v>
      </c>
      <c r="G4013" s="4" t="s">
        <v>20989</v>
      </c>
      <c r="H4013" s="3" t="s">
        <v>20074</v>
      </c>
      <c r="I4013" s="3" t="s">
        <v>20990</v>
      </c>
      <c r="J4013" s="3" t="s">
        <v>20991</v>
      </c>
      <c r="K4013" s="3" t="s">
        <v>20992</v>
      </c>
      <c r="L4013" s="3"/>
      <c r="M4013" s="4"/>
      <c r="N4013" s="3" t="s">
        <v>18409</v>
      </c>
      <c r="O4013" s="3" t="s">
        <v>2740</v>
      </c>
      <c r="P4013" s="5">
        <v>9</v>
      </c>
      <c r="Q4013" s="5">
        <v>94</v>
      </c>
      <c r="R4013" s="5">
        <v>9</v>
      </c>
      <c r="S4013" s="5">
        <v>80</v>
      </c>
    </row>
    <row r="4014" spans="1:19" ht="28" x14ac:dyDescent="0.15">
      <c r="A4014" s="2">
        <f>HYPERLINK("https://open-school.uspishnemisto.com.ua/school/210185/", 210185)</f>
        <v>210185</v>
      </c>
      <c r="B4014" s="3" t="s">
        <v>20993</v>
      </c>
      <c r="C4014" s="3" t="s">
        <v>181</v>
      </c>
      <c r="D4014" s="3" t="s">
        <v>175</v>
      </c>
      <c r="E4014" s="4" t="s">
        <v>22</v>
      </c>
      <c r="F4014" s="4" t="s">
        <v>20988</v>
      </c>
      <c r="G4014" s="4" t="s">
        <v>20989</v>
      </c>
      <c r="H4014" s="3" t="s">
        <v>20074</v>
      </c>
      <c r="I4014" s="3" t="s">
        <v>20990</v>
      </c>
      <c r="J4014" s="3" t="s">
        <v>8254</v>
      </c>
      <c r="K4014" s="3" t="s">
        <v>20994</v>
      </c>
      <c r="L4014" s="3"/>
      <c r="M4014" s="4" t="s">
        <v>20995</v>
      </c>
      <c r="N4014" s="3" t="s">
        <v>37</v>
      </c>
      <c r="O4014" s="3"/>
      <c r="P4014" s="5">
        <v>6</v>
      </c>
      <c r="Q4014" s="5">
        <v>42</v>
      </c>
      <c r="R4014" s="5">
        <v>8</v>
      </c>
      <c r="S4014" s="5">
        <v>55</v>
      </c>
    </row>
    <row r="4015" spans="1:19" ht="28" x14ac:dyDescent="0.15">
      <c r="A4015" s="2">
        <f>HYPERLINK("https://open-school.uspishnemisto.com.ua/school/210186/", 210186)</f>
        <v>210186</v>
      </c>
      <c r="B4015" s="3" t="s">
        <v>20996</v>
      </c>
      <c r="C4015" s="3" t="s">
        <v>188</v>
      </c>
      <c r="D4015" s="3" t="s">
        <v>32</v>
      </c>
      <c r="E4015" s="4" t="s">
        <v>41</v>
      </c>
      <c r="F4015" s="4" t="s">
        <v>20988</v>
      </c>
      <c r="G4015" s="4" t="s">
        <v>20997</v>
      </c>
      <c r="H4015" s="3" t="s">
        <v>20074</v>
      </c>
      <c r="I4015" s="3" t="s">
        <v>20998</v>
      </c>
      <c r="J4015" s="3" t="s">
        <v>20999</v>
      </c>
      <c r="K4015" s="3" t="s">
        <v>21000</v>
      </c>
      <c r="L4015" s="3"/>
      <c r="M4015" s="4" t="s">
        <v>21001</v>
      </c>
      <c r="N4015" s="3" t="s">
        <v>18409</v>
      </c>
      <c r="O4015" s="3" t="s">
        <v>52</v>
      </c>
      <c r="P4015" s="5">
        <v>4</v>
      </c>
      <c r="Q4015" s="5">
        <v>94</v>
      </c>
      <c r="R4015" s="5">
        <v>4</v>
      </c>
      <c r="S4015" s="5">
        <v>97</v>
      </c>
    </row>
    <row r="4016" spans="1:19" ht="28" x14ac:dyDescent="0.15">
      <c r="A4016" s="2">
        <f>HYPERLINK("https://open-school.uspishnemisto.com.ua/school/210187/", 210187)</f>
        <v>210187</v>
      </c>
      <c r="B4016" s="3" t="s">
        <v>21002</v>
      </c>
      <c r="C4016" s="3" t="s">
        <v>31</v>
      </c>
      <c r="D4016" s="3" t="s">
        <v>32</v>
      </c>
      <c r="E4016" s="4" t="s">
        <v>22</v>
      </c>
      <c r="F4016" s="4" t="s">
        <v>21003</v>
      </c>
      <c r="G4016" s="4" t="s">
        <v>21004</v>
      </c>
      <c r="H4016" s="3" t="s">
        <v>20074</v>
      </c>
      <c r="I4016" s="3" t="s">
        <v>21005</v>
      </c>
      <c r="J4016" s="3" t="s">
        <v>21006</v>
      </c>
      <c r="K4016" s="3" t="s">
        <v>21007</v>
      </c>
      <c r="L4016" s="3" t="s">
        <v>21008</v>
      </c>
      <c r="M4016" s="4"/>
      <c r="N4016" s="3" t="s">
        <v>18409</v>
      </c>
      <c r="O4016" s="3" t="s">
        <v>52</v>
      </c>
      <c r="P4016" s="5">
        <v>11</v>
      </c>
      <c r="Q4016" s="5">
        <v>221</v>
      </c>
      <c r="R4016" s="5">
        <v>11</v>
      </c>
      <c r="S4016" s="5">
        <v>223</v>
      </c>
    </row>
    <row r="4017" spans="1:19" ht="28" x14ac:dyDescent="0.15">
      <c r="A4017" s="2">
        <f>HYPERLINK("https://open-school.uspishnemisto.com.ua/school/210188/", 210188)</f>
        <v>210188</v>
      </c>
      <c r="B4017" s="3" t="s">
        <v>21009</v>
      </c>
      <c r="C4017" s="3" t="s">
        <v>188</v>
      </c>
      <c r="D4017" s="3" t="s">
        <v>32</v>
      </c>
      <c r="E4017" s="4" t="s">
        <v>41</v>
      </c>
      <c r="F4017" s="4" t="s">
        <v>21003</v>
      </c>
      <c r="G4017" s="4" t="s">
        <v>21004</v>
      </c>
      <c r="H4017" s="3" t="s">
        <v>20074</v>
      </c>
      <c r="I4017" s="3" t="s">
        <v>21005</v>
      </c>
      <c r="J4017" s="3" t="s">
        <v>21010</v>
      </c>
      <c r="K4017" s="3" t="s">
        <v>21011</v>
      </c>
      <c r="L4017" s="3"/>
      <c r="M4017" s="4" t="s">
        <v>21012</v>
      </c>
      <c r="N4017" s="3" t="s">
        <v>18409</v>
      </c>
      <c r="O4017" s="3" t="s">
        <v>52</v>
      </c>
      <c r="P4017" s="5">
        <v>8</v>
      </c>
      <c r="Q4017" s="5">
        <v>139</v>
      </c>
      <c r="R4017" s="5">
        <v>8</v>
      </c>
      <c r="S4017" s="5">
        <v>138</v>
      </c>
    </row>
    <row r="4018" spans="1:19" ht="28" x14ac:dyDescent="0.15">
      <c r="A4018" s="2">
        <f>HYPERLINK("https://open-school.uspishnemisto.com.ua/school/210189/", 210189)</f>
        <v>210189</v>
      </c>
      <c r="B4018" s="3" t="s">
        <v>21013</v>
      </c>
      <c r="C4018" s="3" t="s">
        <v>31</v>
      </c>
      <c r="D4018" s="3" t="s">
        <v>175</v>
      </c>
      <c r="E4018" s="4" t="s">
        <v>22</v>
      </c>
      <c r="F4018" s="4" t="s">
        <v>21014</v>
      </c>
      <c r="G4018" s="4" t="s">
        <v>21015</v>
      </c>
      <c r="H4018" s="3" t="s">
        <v>20074</v>
      </c>
      <c r="I4018" s="3" t="s">
        <v>21016</v>
      </c>
      <c r="J4018" s="3" t="s">
        <v>21017</v>
      </c>
      <c r="K4018" s="3"/>
      <c r="L4018" s="3"/>
      <c r="M4018" s="4"/>
      <c r="N4018" s="3" t="s">
        <v>18409</v>
      </c>
      <c r="O4018" s="3" t="s">
        <v>52</v>
      </c>
      <c r="P4018" s="5">
        <v>15</v>
      </c>
      <c r="Q4018" s="5">
        <v>279</v>
      </c>
      <c r="R4018" s="5">
        <v>15</v>
      </c>
      <c r="S4018" s="5">
        <v>279</v>
      </c>
    </row>
    <row r="4019" spans="1:19" ht="28" x14ac:dyDescent="0.15">
      <c r="A4019" s="2">
        <f>HYPERLINK("https://open-school.uspishnemisto.com.ua/school/210190/", 210190)</f>
        <v>210190</v>
      </c>
      <c r="B4019" s="3" t="s">
        <v>21018</v>
      </c>
      <c r="C4019" s="3" t="s">
        <v>31</v>
      </c>
      <c r="D4019" s="3" t="s">
        <v>175</v>
      </c>
      <c r="E4019" s="4" t="s">
        <v>22</v>
      </c>
      <c r="F4019" s="4" t="s">
        <v>21003</v>
      </c>
      <c r="G4019" s="4" t="s">
        <v>21019</v>
      </c>
      <c r="H4019" s="3" t="s">
        <v>20074</v>
      </c>
      <c r="I4019" s="3" t="s">
        <v>21020</v>
      </c>
      <c r="J4019" s="3" t="s">
        <v>21021</v>
      </c>
      <c r="K4019" s="3" t="s">
        <v>21022</v>
      </c>
      <c r="L4019" s="3"/>
      <c r="M4019" s="4"/>
      <c r="N4019" s="3" t="s">
        <v>18409</v>
      </c>
      <c r="O4019" s="3" t="s">
        <v>52</v>
      </c>
      <c r="P4019" s="5">
        <v>8</v>
      </c>
      <c r="Q4019" s="5">
        <v>65</v>
      </c>
      <c r="R4019" s="5">
        <v>8</v>
      </c>
      <c r="S4019" s="5">
        <v>64</v>
      </c>
    </row>
    <row r="4020" spans="1:19" ht="28" x14ac:dyDescent="0.15">
      <c r="A4020" s="2">
        <f>HYPERLINK("https://open-school.uspishnemisto.com.ua/school/210191/", 210191)</f>
        <v>210191</v>
      </c>
      <c r="B4020" s="3" t="s">
        <v>21023</v>
      </c>
      <c r="C4020" s="3" t="s">
        <v>31</v>
      </c>
      <c r="D4020" s="3" t="s">
        <v>32</v>
      </c>
      <c r="E4020" s="4" t="s">
        <v>22</v>
      </c>
      <c r="F4020" s="4"/>
      <c r="G4020" s="4" t="s">
        <v>21024</v>
      </c>
      <c r="H4020" s="3" t="s">
        <v>20074</v>
      </c>
      <c r="I4020" s="3" t="s">
        <v>21025</v>
      </c>
      <c r="J4020" s="3" t="s">
        <v>15380</v>
      </c>
      <c r="K4020" s="3" t="s">
        <v>21026</v>
      </c>
      <c r="L4020" s="3"/>
      <c r="M4020" s="4"/>
      <c r="N4020" s="3" t="s">
        <v>37</v>
      </c>
      <c r="O4020" s="3" t="s">
        <v>2740</v>
      </c>
      <c r="P4020" s="5">
        <v>24</v>
      </c>
      <c r="Q4020" s="5">
        <v>551</v>
      </c>
      <c r="R4020" s="5">
        <v>39</v>
      </c>
      <c r="S4020" s="5">
        <v>1087</v>
      </c>
    </row>
    <row r="4021" spans="1:19" ht="28" x14ac:dyDescent="0.15">
      <c r="A4021" s="2">
        <f>HYPERLINK("https://open-school.uspishnemisto.com.ua/school/210192/", 210192)</f>
        <v>210192</v>
      </c>
      <c r="B4021" s="3" t="s">
        <v>21027</v>
      </c>
      <c r="C4021" s="3" t="s">
        <v>31</v>
      </c>
      <c r="D4021" s="3" t="s">
        <v>175</v>
      </c>
      <c r="E4021" s="4" t="s">
        <v>22</v>
      </c>
      <c r="F4021" s="4" t="s">
        <v>21028</v>
      </c>
      <c r="G4021" s="4" t="s">
        <v>21029</v>
      </c>
      <c r="H4021" s="3" t="s">
        <v>20074</v>
      </c>
      <c r="I4021" s="3" t="s">
        <v>21030</v>
      </c>
      <c r="J4021" s="3" t="s">
        <v>21031</v>
      </c>
      <c r="K4021" s="3" t="s">
        <v>21032</v>
      </c>
      <c r="L4021" s="3"/>
      <c r="M4021" s="4"/>
      <c r="N4021" s="3" t="s">
        <v>37</v>
      </c>
      <c r="O4021" s="3" t="s">
        <v>20097</v>
      </c>
      <c r="P4021" s="5">
        <v>9</v>
      </c>
      <c r="Q4021" s="5">
        <v>141</v>
      </c>
      <c r="R4021" s="5">
        <v>9</v>
      </c>
      <c r="S4021" s="5">
        <v>154</v>
      </c>
    </row>
    <row r="4022" spans="1:19" ht="28" x14ac:dyDescent="0.15">
      <c r="A4022" s="2">
        <f>HYPERLINK("https://open-school.uspishnemisto.com.ua/school/210193/", 210193)</f>
        <v>210193</v>
      </c>
      <c r="B4022" s="3" t="s">
        <v>21033</v>
      </c>
      <c r="C4022" s="3" t="s">
        <v>31</v>
      </c>
      <c r="D4022" s="3" t="s">
        <v>32</v>
      </c>
      <c r="E4022" s="4" t="s">
        <v>22</v>
      </c>
      <c r="F4022" s="4" t="s">
        <v>21034</v>
      </c>
      <c r="G4022" s="4" t="s">
        <v>21035</v>
      </c>
      <c r="H4022" s="3" t="s">
        <v>20074</v>
      </c>
      <c r="I4022" s="3" t="s">
        <v>21036</v>
      </c>
      <c r="J4022" s="3" t="s">
        <v>5029</v>
      </c>
      <c r="K4022" s="3" t="s">
        <v>21037</v>
      </c>
      <c r="L4022" s="3"/>
      <c r="M4022" s="4"/>
      <c r="N4022" s="3" t="s">
        <v>37</v>
      </c>
      <c r="O4022" s="3" t="s">
        <v>52</v>
      </c>
      <c r="P4022" s="5">
        <v>15</v>
      </c>
      <c r="Q4022" s="5">
        <v>276</v>
      </c>
      <c r="R4022" s="5">
        <v>15</v>
      </c>
      <c r="S4022" s="5">
        <v>279</v>
      </c>
    </row>
    <row r="4023" spans="1:19" ht="28" x14ac:dyDescent="0.15">
      <c r="A4023" s="2">
        <f>HYPERLINK("https://open-school.uspishnemisto.com.ua/school/210194/", 210194)</f>
        <v>210194</v>
      </c>
      <c r="B4023" s="3" t="s">
        <v>21038</v>
      </c>
      <c r="C4023" s="3" t="s">
        <v>31</v>
      </c>
      <c r="D4023" s="3" t="s">
        <v>175</v>
      </c>
      <c r="E4023" s="4" t="s">
        <v>22</v>
      </c>
      <c r="F4023" s="4" t="s">
        <v>21039</v>
      </c>
      <c r="G4023" s="4" t="s">
        <v>21040</v>
      </c>
      <c r="H4023" s="3" t="s">
        <v>20074</v>
      </c>
      <c r="I4023" s="3" t="s">
        <v>21041</v>
      </c>
      <c r="J4023" s="3" t="s">
        <v>21042</v>
      </c>
      <c r="K4023" s="3" t="s">
        <v>21043</v>
      </c>
      <c r="L4023" s="3"/>
      <c r="M4023" s="4"/>
      <c r="N4023" s="3" t="s">
        <v>37</v>
      </c>
      <c r="O4023" s="3" t="s">
        <v>20246</v>
      </c>
      <c r="P4023" s="5">
        <v>9</v>
      </c>
      <c r="Q4023" s="5">
        <v>171</v>
      </c>
      <c r="R4023" s="5">
        <v>9</v>
      </c>
      <c r="S4023" s="5">
        <v>181</v>
      </c>
    </row>
    <row r="4024" spans="1:19" ht="28" x14ac:dyDescent="0.15">
      <c r="A4024" s="2">
        <f>HYPERLINK("https://open-school.uspishnemisto.com.ua/school/210195/", 210195)</f>
        <v>210195</v>
      </c>
      <c r="B4024" s="3" t="s">
        <v>21044</v>
      </c>
      <c r="C4024" s="3" t="s">
        <v>31</v>
      </c>
      <c r="D4024" s="3" t="s">
        <v>32</v>
      </c>
      <c r="E4024" s="4" t="s">
        <v>22</v>
      </c>
      <c r="F4024" s="4" t="s">
        <v>21045</v>
      </c>
      <c r="G4024" s="4" t="s">
        <v>21046</v>
      </c>
      <c r="H4024" s="3" t="s">
        <v>20074</v>
      </c>
      <c r="I4024" s="3" t="s">
        <v>21047</v>
      </c>
      <c r="J4024" s="3" t="s">
        <v>21048</v>
      </c>
      <c r="K4024" s="3" t="s">
        <v>21049</v>
      </c>
      <c r="L4024" s="3"/>
      <c r="M4024" s="4"/>
      <c r="N4024" s="3" t="s">
        <v>37</v>
      </c>
      <c r="O4024" s="3" t="s">
        <v>20246</v>
      </c>
      <c r="P4024" s="5">
        <v>22</v>
      </c>
      <c r="Q4024" s="5">
        <v>410</v>
      </c>
      <c r="R4024" s="5">
        <v>22</v>
      </c>
      <c r="S4024" s="5">
        <v>406</v>
      </c>
    </row>
    <row r="4025" spans="1:19" ht="28" x14ac:dyDescent="0.15">
      <c r="A4025" s="2">
        <f>HYPERLINK("https://open-school.uspishnemisto.com.ua/school/210196/", 210196)</f>
        <v>210196</v>
      </c>
      <c r="B4025" s="3" t="s">
        <v>21050</v>
      </c>
      <c r="C4025" s="3" t="s">
        <v>31</v>
      </c>
      <c r="D4025" s="3" t="s">
        <v>175</v>
      </c>
      <c r="E4025" s="4" t="s">
        <v>22</v>
      </c>
      <c r="F4025" s="4" t="s">
        <v>21045</v>
      </c>
      <c r="G4025" s="4" t="s">
        <v>21051</v>
      </c>
      <c r="H4025" s="3" t="s">
        <v>20074</v>
      </c>
      <c r="I4025" s="3" t="s">
        <v>21052</v>
      </c>
      <c r="J4025" s="3" t="s">
        <v>21053</v>
      </c>
      <c r="K4025" s="3" t="s">
        <v>21054</v>
      </c>
      <c r="L4025" s="3" t="s">
        <v>21055</v>
      </c>
      <c r="M4025" s="4"/>
      <c r="N4025" s="3" t="s">
        <v>37</v>
      </c>
      <c r="O4025" s="3" t="s">
        <v>52</v>
      </c>
      <c r="P4025" s="5">
        <v>9</v>
      </c>
      <c r="Q4025" s="5">
        <v>162</v>
      </c>
      <c r="R4025" s="5">
        <v>9</v>
      </c>
      <c r="S4025" s="5">
        <v>160</v>
      </c>
    </row>
    <row r="4026" spans="1:19" ht="28" x14ac:dyDescent="0.15">
      <c r="A4026" s="2">
        <f>HYPERLINK("https://open-school.uspishnemisto.com.ua/school/210197/", 210197)</f>
        <v>210197</v>
      </c>
      <c r="B4026" s="3" t="s">
        <v>21056</v>
      </c>
      <c r="C4026" s="3" t="s">
        <v>54</v>
      </c>
      <c r="D4026" s="3" t="s">
        <v>32</v>
      </c>
      <c r="E4026" s="4" t="s">
        <v>22</v>
      </c>
      <c r="F4026" s="4" t="s">
        <v>21057</v>
      </c>
      <c r="G4026" s="4" t="s">
        <v>21058</v>
      </c>
      <c r="H4026" s="3" t="s">
        <v>20074</v>
      </c>
      <c r="I4026" s="3" t="s">
        <v>21059</v>
      </c>
      <c r="J4026" s="3" t="s">
        <v>20632</v>
      </c>
      <c r="K4026" s="3" t="s">
        <v>21060</v>
      </c>
      <c r="L4026" s="3"/>
      <c r="M4026" s="4"/>
      <c r="N4026" s="3" t="s">
        <v>37</v>
      </c>
      <c r="O4026" s="3" t="s">
        <v>46</v>
      </c>
      <c r="P4026" s="5">
        <v>12</v>
      </c>
      <c r="Q4026" s="5">
        <v>241</v>
      </c>
      <c r="R4026" s="5">
        <v>12</v>
      </c>
      <c r="S4026" s="5">
        <v>240</v>
      </c>
    </row>
    <row r="4027" spans="1:19" ht="42" x14ac:dyDescent="0.15">
      <c r="A4027" s="2">
        <f>HYPERLINK("https://open-school.uspishnemisto.com.ua/school/210198/", 210198)</f>
        <v>210198</v>
      </c>
      <c r="B4027" s="3" t="s">
        <v>21061</v>
      </c>
      <c r="C4027" s="3" t="s">
        <v>54</v>
      </c>
      <c r="D4027" s="3" t="s">
        <v>32</v>
      </c>
      <c r="E4027" s="4" t="s">
        <v>22</v>
      </c>
      <c r="F4027" s="4" t="s">
        <v>21062</v>
      </c>
      <c r="G4027" s="4" t="s">
        <v>21063</v>
      </c>
      <c r="H4027" s="3" t="s">
        <v>20074</v>
      </c>
      <c r="I4027" s="3" t="s">
        <v>21064</v>
      </c>
      <c r="J4027" s="3" t="s">
        <v>21065</v>
      </c>
      <c r="K4027" s="3" t="s">
        <v>21066</v>
      </c>
      <c r="L4027" s="3"/>
      <c r="M4027" s="4"/>
      <c r="N4027" s="3" t="s">
        <v>20226</v>
      </c>
      <c r="O4027" s="3" t="s">
        <v>20246</v>
      </c>
      <c r="P4027" s="5">
        <v>23</v>
      </c>
      <c r="Q4027" s="5">
        <v>358</v>
      </c>
      <c r="R4027" s="5">
        <v>24</v>
      </c>
      <c r="S4027" s="5">
        <v>364</v>
      </c>
    </row>
    <row r="4028" spans="1:19" ht="28" x14ac:dyDescent="0.15">
      <c r="A4028" s="2">
        <f>HYPERLINK("https://open-school.uspishnemisto.com.ua/school/210199/", 210199)</f>
        <v>210199</v>
      </c>
      <c r="B4028" s="3" t="s">
        <v>21067</v>
      </c>
      <c r="C4028" s="3" t="s">
        <v>31</v>
      </c>
      <c r="D4028" s="3" t="s">
        <v>60</v>
      </c>
      <c r="E4028" s="4" t="s">
        <v>22</v>
      </c>
      <c r="F4028" s="4" t="s">
        <v>21062</v>
      </c>
      <c r="G4028" s="4" t="s">
        <v>21068</v>
      </c>
      <c r="H4028" s="3" t="s">
        <v>20074</v>
      </c>
      <c r="I4028" s="3" t="s">
        <v>21069</v>
      </c>
      <c r="J4028" s="3" t="s">
        <v>1360</v>
      </c>
      <c r="K4028" s="3" t="s">
        <v>21070</v>
      </c>
      <c r="L4028" s="3"/>
      <c r="M4028" s="4"/>
      <c r="N4028" s="3" t="s">
        <v>37</v>
      </c>
      <c r="O4028" s="3" t="s">
        <v>52</v>
      </c>
      <c r="P4028" s="5">
        <v>1</v>
      </c>
      <c r="Q4028" s="5">
        <v>14</v>
      </c>
      <c r="R4028" s="5">
        <v>2</v>
      </c>
      <c r="S4028" s="5">
        <v>19</v>
      </c>
    </row>
    <row r="4029" spans="1:19" ht="28" x14ac:dyDescent="0.15">
      <c r="A4029" s="2">
        <f>HYPERLINK("https://open-school.uspishnemisto.com.ua/school/210200/", 210200)</f>
        <v>210200</v>
      </c>
      <c r="B4029" s="3" t="s">
        <v>21071</v>
      </c>
      <c r="C4029" s="3" t="s">
        <v>31</v>
      </c>
      <c r="D4029" s="3" t="s">
        <v>32</v>
      </c>
      <c r="E4029" s="4" t="s">
        <v>22</v>
      </c>
      <c r="F4029" s="4" t="s">
        <v>21072</v>
      </c>
      <c r="G4029" s="4" t="s">
        <v>21073</v>
      </c>
      <c r="H4029" s="3" t="s">
        <v>20074</v>
      </c>
      <c r="I4029" s="3" t="s">
        <v>21074</v>
      </c>
      <c r="J4029" s="3" t="s">
        <v>1576</v>
      </c>
      <c r="K4029" s="3" t="s">
        <v>21075</v>
      </c>
      <c r="L4029" s="3"/>
      <c r="M4029" s="4"/>
      <c r="N4029" s="3" t="s">
        <v>20226</v>
      </c>
      <c r="O4029" s="3" t="s">
        <v>52</v>
      </c>
      <c r="P4029" s="5">
        <v>21</v>
      </c>
      <c r="Q4029" s="5">
        <v>269</v>
      </c>
      <c r="R4029" s="5">
        <v>21</v>
      </c>
      <c r="S4029" s="5">
        <v>279</v>
      </c>
    </row>
    <row r="4030" spans="1:19" ht="28" x14ac:dyDescent="0.15">
      <c r="A4030" s="2">
        <f>HYPERLINK("https://open-school.uspishnemisto.com.ua/school/210201/", 210201)</f>
        <v>210201</v>
      </c>
      <c r="B4030" s="3" t="s">
        <v>21076</v>
      </c>
      <c r="C4030" s="3" t="s">
        <v>31</v>
      </c>
      <c r="D4030" s="3" t="s">
        <v>175</v>
      </c>
      <c r="E4030" s="4" t="s">
        <v>22</v>
      </c>
      <c r="F4030" s="4" t="s">
        <v>21072</v>
      </c>
      <c r="G4030" s="4" t="s">
        <v>21077</v>
      </c>
      <c r="H4030" s="3" t="s">
        <v>20074</v>
      </c>
      <c r="I4030" s="3" t="s">
        <v>21078</v>
      </c>
      <c r="J4030" s="3" t="s">
        <v>21079</v>
      </c>
      <c r="K4030" s="3" t="s">
        <v>21080</v>
      </c>
      <c r="L4030" s="3"/>
      <c r="M4030" s="4"/>
      <c r="N4030" s="3" t="s">
        <v>37</v>
      </c>
      <c r="O4030" s="3" t="s">
        <v>52</v>
      </c>
      <c r="P4030" s="5">
        <v>9</v>
      </c>
      <c r="Q4030" s="5">
        <v>98</v>
      </c>
      <c r="R4030" s="5">
        <v>9</v>
      </c>
      <c r="S4030" s="5">
        <v>99</v>
      </c>
    </row>
    <row r="4031" spans="1:19" ht="28" x14ac:dyDescent="0.15">
      <c r="A4031" s="2">
        <f>HYPERLINK("https://open-school.uspishnemisto.com.ua/school/210202/", 210202)</f>
        <v>210202</v>
      </c>
      <c r="B4031" s="3" t="s">
        <v>21081</v>
      </c>
      <c r="C4031" s="3" t="s">
        <v>31</v>
      </c>
      <c r="D4031" s="3" t="s">
        <v>32</v>
      </c>
      <c r="E4031" s="4" t="s">
        <v>22</v>
      </c>
      <c r="F4031" s="4" t="s">
        <v>21082</v>
      </c>
      <c r="G4031" s="4" t="s">
        <v>21083</v>
      </c>
      <c r="H4031" s="3" t="s">
        <v>20074</v>
      </c>
      <c r="I4031" s="3" t="s">
        <v>21084</v>
      </c>
      <c r="J4031" s="3" t="s">
        <v>21085</v>
      </c>
      <c r="K4031" s="3" t="s">
        <v>21086</v>
      </c>
      <c r="L4031" s="3"/>
      <c r="M4031" s="4"/>
      <c r="N4031" s="3" t="s">
        <v>37</v>
      </c>
      <c r="O4031" s="3" t="s">
        <v>46</v>
      </c>
      <c r="P4031" s="5">
        <v>19</v>
      </c>
      <c r="Q4031" s="5">
        <v>340</v>
      </c>
      <c r="R4031" s="5">
        <v>19</v>
      </c>
      <c r="S4031" s="5">
        <v>352</v>
      </c>
    </row>
    <row r="4032" spans="1:19" ht="28" x14ac:dyDescent="0.15">
      <c r="A4032" s="2">
        <f>HYPERLINK("https://open-school.uspishnemisto.com.ua/school/210203/", 210203)</f>
        <v>210203</v>
      </c>
      <c r="B4032" s="3" t="s">
        <v>21087</v>
      </c>
      <c r="C4032" s="3" t="s">
        <v>31</v>
      </c>
      <c r="D4032" s="3" t="s">
        <v>32</v>
      </c>
      <c r="E4032" s="4" t="s">
        <v>22</v>
      </c>
      <c r="F4032" s="4" t="s">
        <v>21088</v>
      </c>
      <c r="G4032" s="4" t="s">
        <v>21089</v>
      </c>
      <c r="H4032" s="3" t="s">
        <v>20074</v>
      </c>
      <c r="I4032" s="3" t="s">
        <v>21090</v>
      </c>
      <c r="J4032" s="3" t="s">
        <v>21091</v>
      </c>
      <c r="K4032" s="3" t="s">
        <v>21092</v>
      </c>
      <c r="L4032" s="3"/>
      <c r="M4032" s="4"/>
      <c r="N4032" s="3" t="s">
        <v>20226</v>
      </c>
      <c r="O4032" s="3" t="s">
        <v>52</v>
      </c>
      <c r="P4032" s="5">
        <v>22</v>
      </c>
      <c r="Q4032" s="5">
        <v>313</v>
      </c>
      <c r="R4032" s="5">
        <v>21</v>
      </c>
      <c r="S4032" s="5">
        <v>309</v>
      </c>
    </row>
    <row r="4033" spans="1:19" ht="56" x14ac:dyDescent="0.15">
      <c r="A4033" s="2">
        <f>HYPERLINK("https://open-school.uspishnemisto.com.ua/school/210204/", 210204)</f>
        <v>210204</v>
      </c>
      <c r="B4033" s="3" t="s">
        <v>21093</v>
      </c>
      <c r="C4033" s="3" t="s">
        <v>54</v>
      </c>
      <c r="D4033" s="3" t="s">
        <v>175</v>
      </c>
      <c r="E4033" s="4" t="s">
        <v>22</v>
      </c>
      <c r="F4033" s="4" t="s">
        <v>21094</v>
      </c>
      <c r="G4033" s="4" t="s">
        <v>21095</v>
      </c>
      <c r="H4033" s="3" t="s">
        <v>20074</v>
      </c>
      <c r="I4033" s="3" t="s">
        <v>5519</v>
      </c>
      <c r="J4033" s="3" t="s">
        <v>21096</v>
      </c>
      <c r="K4033" s="3" t="s">
        <v>21097</v>
      </c>
      <c r="L4033" s="3"/>
      <c r="M4033" s="4"/>
      <c r="N4033" s="3" t="s">
        <v>37</v>
      </c>
      <c r="O4033" s="3" t="s">
        <v>38</v>
      </c>
      <c r="P4033" s="5">
        <v>9</v>
      </c>
      <c r="Q4033" s="5">
        <v>121</v>
      </c>
      <c r="R4033" s="5">
        <v>9</v>
      </c>
      <c r="S4033" s="5">
        <v>102</v>
      </c>
    </row>
    <row r="4034" spans="1:19" ht="28" x14ac:dyDescent="0.15">
      <c r="A4034" s="2">
        <f>HYPERLINK("https://open-school.uspishnemisto.com.ua/school/210205/", 210205)</f>
        <v>210205</v>
      </c>
      <c r="B4034" s="3" t="s">
        <v>21098</v>
      </c>
      <c r="C4034" s="3" t="s">
        <v>31</v>
      </c>
      <c r="D4034" s="3" t="s">
        <v>32</v>
      </c>
      <c r="E4034" s="4" t="s">
        <v>22</v>
      </c>
      <c r="F4034" s="4" t="s">
        <v>21094</v>
      </c>
      <c r="G4034" s="4" t="s">
        <v>21095</v>
      </c>
      <c r="H4034" s="3" t="s">
        <v>20074</v>
      </c>
      <c r="I4034" s="3" t="s">
        <v>5519</v>
      </c>
      <c r="J4034" s="3" t="s">
        <v>21099</v>
      </c>
      <c r="K4034" s="3" t="s">
        <v>21100</v>
      </c>
      <c r="L4034" s="3"/>
      <c r="M4034" s="4"/>
      <c r="N4034" s="3" t="s">
        <v>37</v>
      </c>
      <c r="O4034" s="3" t="s">
        <v>38</v>
      </c>
      <c r="P4034" s="5">
        <v>13</v>
      </c>
      <c r="Q4034" s="5">
        <v>237</v>
      </c>
      <c r="R4034" s="5">
        <v>13</v>
      </c>
      <c r="S4034" s="5">
        <v>239</v>
      </c>
    </row>
    <row r="4035" spans="1:19" ht="28" x14ac:dyDescent="0.15">
      <c r="A4035" s="2">
        <f>HYPERLINK("https://open-school.uspishnemisto.com.ua/school/210206/", 210206)</f>
        <v>210206</v>
      </c>
      <c r="B4035" s="3" t="s">
        <v>21101</v>
      </c>
      <c r="C4035" s="3" t="s">
        <v>31</v>
      </c>
      <c r="D4035" s="3" t="s">
        <v>32</v>
      </c>
      <c r="E4035" s="4" t="s">
        <v>22</v>
      </c>
      <c r="F4035" s="4" t="s">
        <v>21102</v>
      </c>
      <c r="G4035" s="4" t="s">
        <v>21103</v>
      </c>
      <c r="H4035" s="3" t="s">
        <v>20074</v>
      </c>
      <c r="I4035" s="3" t="s">
        <v>21104</v>
      </c>
      <c r="J4035" s="3" t="s">
        <v>21105</v>
      </c>
      <c r="K4035" s="3" t="s">
        <v>21106</v>
      </c>
      <c r="L4035" s="3"/>
      <c r="M4035" s="4" t="s">
        <v>21107</v>
      </c>
      <c r="N4035" s="3" t="s">
        <v>37</v>
      </c>
      <c r="O4035" s="3" t="s">
        <v>46</v>
      </c>
      <c r="P4035" s="5">
        <v>31</v>
      </c>
      <c r="Q4035" s="5">
        <v>693</v>
      </c>
      <c r="R4035" s="5">
        <v>31</v>
      </c>
      <c r="S4035" s="5">
        <v>690</v>
      </c>
    </row>
    <row r="4036" spans="1:19" ht="28" x14ac:dyDescent="0.15">
      <c r="A4036" s="2">
        <f>HYPERLINK("https://open-school.uspishnemisto.com.ua/school/210207/", 210207)</f>
        <v>210207</v>
      </c>
      <c r="B4036" s="3" t="s">
        <v>21108</v>
      </c>
      <c r="C4036" s="3" t="s">
        <v>31</v>
      </c>
      <c r="D4036" s="3" t="s">
        <v>175</v>
      </c>
      <c r="E4036" s="4" t="s">
        <v>22</v>
      </c>
      <c r="F4036" s="4" t="s">
        <v>21102</v>
      </c>
      <c r="G4036" s="4" t="s">
        <v>21109</v>
      </c>
      <c r="H4036" s="3" t="s">
        <v>20074</v>
      </c>
      <c r="I4036" s="3" t="s">
        <v>21110</v>
      </c>
      <c r="J4036" s="3" t="s">
        <v>21111</v>
      </c>
      <c r="K4036" s="3"/>
      <c r="L4036" s="3"/>
      <c r="M4036" s="4" t="s">
        <v>21112</v>
      </c>
      <c r="N4036" s="3" t="s">
        <v>37</v>
      </c>
      <c r="O4036" s="3" t="s">
        <v>52</v>
      </c>
      <c r="P4036" s="5">
        <v>7</v>
      </c>
      <c r="Q4036" s="5">
        <v>49</v>
      </c>
      <c r="R4036" s="5">
        <v>7</v>
      </c>
      <c r="S4036" s="5">
        <v>53</v>
      </c>
    </row>
    <row r="4037" spans="1:19" ht="28" x14ac:dyDescent="0.15">
      <c r="A4037" s="2">
        <f>HYPERLINK("https://open-school.uspishnemisto.com.ua/school/210208/", 210208)</f>
        <v>210208</v>
      </c>
      <c r="B4037" s="3" t="s">
        <v>21113</v>
      </c>
      <c r="C4037" s="3" t="s">
        <v>31</v>
      </c>
      <c r="D4037" s="3" t="s">
        <v>32</v>
      </c>
      <c r="E4037" s="4" t="s">
        <v>22</v>
      </c>
      <c r="F4037" s="4" t="s">
        <v>21114</v>
      </c>
      <c r="G4037" s="4" t="s">
        <v>21115</v>
      </c>
      <c r="H4037" s="3" t="s">
        <v>20074</v>
      </c>
      <c r="I4037" s="3" t="s">
        <v>21116</v>
      </c>
      <c r="J4037" s="3" t="s">
        <v>21117</v>
      </c>
      <c r="K4037" s="3" t="s">
        <v>21118</v>
      </c>
      <c r="L4037" s="3" t="s">
        <v>21119</v>
      </c>
      <c r="M4037" s="4" t="s">
        <v>21120</v>
      </c>
      <c r="N4037" s="3" t="s">
        <v>37</v>
      </c>
      <c r="O4037" s="3" t="s">
        <v>46</v>
      </c>
      <c r="P4037" s="5">
        <v>11</v>
      </c>
      <c r="Q4037" s="5">
        <v>226</v>
      </c>
      <c r="R4037" s="5">
        <v>11</v>
      </c>
      <c r="S4037" s="5">
        <v>214</v>
      </c>
    </row>
    <row r="4038" spans="1:19" ht="28" x14ac:dyDescent="0.15">
      <c r="A4038" s="2">
        <f>HYPERLINK("https://open-school.uspishnemisto.com.ua/school/210209/", 210209)</f>
        <v>210209</v>
      </c>
      <c r="B4038" s="3" t="s">
        <v>21121</v>
      </c>
      <c r="C4038" s="3" t="s">
        <v>31</v>
      </c>
      <c r="D4038" s="3" t="s">
        <v>175</v>
      </c>
      <c r="E4038" s="4" t="s">
        <v>22</v>
      </c>
      <c r="F4038" s="4" t="s">
        <v>21122</v>
      </c>
      <c r="G4038" s="4" t="s">
        <v>21123</v>
      </c>
      <c r="H4038" s="3" t="s">
        <v>20074</v>
      </c>
      <c r="I4038" s="3" t="s">
        <v>21124</v>
      </c>
      <c r="J4038" s="3" t="s">
        <v>21125</v>
      </c>
      <c r="K4038" s="3" t="s">
        <v>21126</v>
      </c>
      <c r="L4038" s="3"/>
      <c r="M4038" s="4" t="s">
        <v>21127</v>
      </c>
      <c r="N4038" s="3" t="s">
        <v>37</v>
      </c>
      <c r="O4038" s="3" t="s">
        <v>618</v>
      </c>
      <c r="P4038" s="5">
        <v>8</v>
      </c>
      <c r="Q4038" s="5">
        <v>69</v>
      </c>
      <c r="R4038" s="5">
        <v>8</v>
      </c>
      <c r="S4038" s="5">
        <v>66</v>
      </c>
    </row>
    <row r="4039" spans="1:19" ht="28" x14ac:dyDescent="0.15">
      <c r="A4039" s="2">
        <f>HYPERLINK("https://open-school.uspishnemisto.com.ua/school/210210/", 210210)</f>
        <v>210210</v>
      </c>
      <c r="B4039" s="3" t="s">
        <v>21128</v>
      </c>
      <c r="C4039" s="3" t="s">
        <v>31</v>
      </c>
      <c r="D4039" s="3" t="s">
        <v>175</v>
      </c>
      <c r="E4039" s="4" t="s">
        <v>22</v>
      </c>
      <c r="F4039" s="4" t="s">
        <v>21129</v>
      </c>
      <c r="G4039" s="4" t="s">
        <v>21130</v>
      </c>
      <c r="H4039" s="3" t="s">
        <v>20074</v>
      </c>
      <c r="I4039" s="3" t="s">
        <v>21131</v>
      </c>
      <c r="J4039" s="3" t="s">
        <v>21132</v>
      </c>
      <c r="K4039" s="3"/>
      <c r="L4039" s="3"/>
      <c r="M4039" s="4" t="s">
        <v>21133</v>
      </c>
      <c r="N4039" s="3" t="s">
        <v>37</v>
      </c>
      <c r="O4039" s="3" t="s">
        <v>52</v>
      </c>
      <c r="P4039" s="5">
        <v>9</v>
      </c>
      <c r="Q4039" s="5">
        <v>84</v>
      </c>
      <c r="R4039" s="5">
        <v>9</v>
      </c>
      <c r="S4039" s="5">
        <v>91</v>
      </c>
    </row>
    <row r="4040" spans="1:19" ht="28" x14ac:dyDescent="0.15">
      <c r="A4040" s="2">
        <f>HYPERLINK("https://open-school.uspishnemisto.com.ua/school/210211/", 210211)</f>
        <v>210211</v>
      </c>
      <c r="B4040" s="3" t="s">
        <v>21134</v>
      </c>
      <c r="C4040" s="3" t="s">
        <v>31</v>
      </c>
      <c r="D4040" s="3" t="s">
        <v>175</v>
      </c>
      <c r="E4040" s="4" t="s">
        <v>22</v>
      </c>
      <c r="F4040" s="4" t="s">
        <v>21135</v>
      </c>
      <c r="G4040" s="4" t="s">
        <v>21136</v>
      </c>
      <c r="H4040" s="3" t="s">
        <v>20074</v>
      </c>
      <c r="I4040" s="3" t="s">
        <v>21137</v>
      </c>
      <c r="J4040" s="3" t="s">
        <v>21138</v>
      </c>
      <c r="K4040" s="3" t="s">
        <v>21139</v>
      </c>
      <c r="L4040" s="3"/>
      <c r="M4040" s="4" t="s">
        <v>21140</v>
      </c>
      <c r="N4040" s="3" t="s">
        <v>37</v>
      </c>
      <c r="O4040" s="3" t="s">
        <v>618</v>
      </c>
      <c r="P4040" s="5">
        <v>5</v>
      </c>
      <c r="Q4040" s="5">
        <v>36</v>
      </c>
      <c r="R4040" s="5">
        <v>4</v>
      </c>
      <c r="S4040" s="5">
        <v>33</v>
      </c>
    </row>
    <row r="4041" spans="1:19" ht="28" x14ac:dyDescent="0.15">
      <c r="A4041" s="2">
        <f>HYPERLINK("https://open-school.uspishnemisto.com.ua/school/210212/", 210212)</f>
        <v>210212</v>
      </c>
      <c r="B4041" s="3" t="s">
        <v>21141</v>
      </c>
      <c r="C4041" s="3" t="s">
        <v>31</v>
      </c>
      <c r="D4041" s="3" t="s">
        <v>175</v>
      </c>
      <c r="E4041" s="4" t="s">
        <v>22</v>
      </c>
      <c r="F4041" s="4" t="s">
        <v>21142</v>
      </c>
      <c r="G4041" s="4" t="s">
        <v>21143</v>
      </c>
      <c r="H4041" s="3" t="s">
        <v>20074</v>
      </c>
      <c r="I4041" s="3" t="s">
        <v>21144</v>
      </c>
      <c r="J4041" s="3" t="s">
        <v>712</v>
      </c>
      <c r="K4041" s="3" t="s">
        <v>21145</v>
      </c>
      <c r="L4041" s="3"/>
      <c r="M4041" s="4" t="s">
        <v>21146</v>
      </c>
      <c r="N4041" s="3" t="s">
        <v>37</v>
      </c>
      <c r="O4041" s="3" t="s">
        <v>618</v>
      </c>
      <c r="P4041" s="5">
        <v>9</v>
      </c>
      <c r="Q4041" s="5">
        <v>73</v>
      </c>
      <c r="R4041" s="5">
        <v>9</v>
      </c>
      <c r="S4041" s="5">
        <v>83</v>
      </c>
    </row>
    <row r="4042" spans="1:19" ht="28" x14ac:dyDescent="0.15">
      <c r="A4042" s="2">
        <f>HYPERLINK("https://open-school.uspishnemisto.com.ua/school/210213/", 210213)</f>
        <v>210213</v>
      </c>
      <c r="B4042" s="3" t="s">
        <v>21147</v>
      </c>
      <c r="C4042" s="3" t="s">
        <v>31</v>
      </c>
      <c r="D4042" s="3" t="s">
        <v>175</v>
      </c>
      <c r="E4042" s="4" t="s">
        <v>22</v>
      </c>
      <c r="F4042" s="4" t="s">
        <v>21142</v>
      </c>
      <c r="G4042" s="4" t="s">
        <v>21148</v>
      </c>
      <c r="H4042" s="3" t="s">
        <v>20074</v>
      </c>
      <c r="I4042" s="3" t="s">
        <v>21149</v>
      </c>
      <c r="J4042" s="3" t="s">
        <v>8232</v>
      </c>
      <c r="K4042" s="3" t="s">
        <v>21150</v>
      </c>
      <c r="L4042" s="3" t="s">
        <v>21151</v>
      </c>
      <c r="M4042" s="4" t="s">
        <v>21152</v>
      </c>
      <c r="N4042" s="3" t="s">
        <v>37</v>
      </c>
      <c r="O4042" s="3" t="s">
        <v>52</v>
      </c>
      <c r="P4042" s="5">
        <v>7</v>
      </c>
      <c r="Q4042" s="5">
        <v>81</v>
      </c>
      <c r="R4042" s="5">
        <v>9</v>
      </c>
      <c r="S4042" s="5">
        <v>90</v>
      </c>
    </row>
    <row r="4043" spans="1:19" ht="28" x14ac:dyDescent="0.15">
      <c r="A4043" s="2">
        <f>HYPERLINK("https://open-school.uspishnemisto.com.ua/school/210214/", 210214)</f>
        <v>210214</v>
      </c>
      <c r="B4043" s="3" t="s">
        <v>21153</v>
      </c>
      <c r="C4043" s="3" t="s">
        <v>31</v>
      </c>
      <c r="D4043" s="3" t="s">
        <v>32</v>
      </c>
      <c r="E4043" s="4" t="s">
        <v>22</v>
      </c>
      <c r="F4043" s="4" t="s">
        <v>21154</v>
      </c>
      <c r="G4043" s="4" t="s">
        <v>21155</v>
      </c>
      <c r="H4043" s="3" t="s">
        <v>20074</v>
      </c>
      <c r="I4043" s="3" t="s">
        <v>21156</v>
      </c>
      <c r="J4043" s="3" t="s">
        <v>21157</v>
      </c>
      <c r="K4043" s="3" t="s">
        <v>21158</v>
      </c>
      <c r="L4043" s="3"/>
      <c r="M4043" s="4"/>
      <c r="N4043" s="3" t="s">
        <v>37</v>
      </c>
      <c r="O4043" s="3" t="s">
        <v>52</v>
      </c>
      <c r="P4043" s="5">
        <v>17</v>
      </c>
      <c r="Q4043" s="5">
        <v>294</v>
      </c>
      <c r="R4043" s="5">
        <v>16</v>
      </c>
      <c r="S4043" s="5">
        <v>299</v>
      </c>
    </row>
    <row r="4044" spans="1:19" ht="28" x14ac:dyDescent="0.15">
      <c r="A4044" s="2">
        <f>HYPERLINK("https://open-school.uspishnemisto.com.ua/school/210215/", 210215)</f>
        <v>210215</v>
      </c>
      <c r="B4044" s="3" t="s">
        <v>21159</v>
      </c>
      <c r="C4044" s="3" t="s">
        <v>31</v>
      </c>
      <c r="D4044" s="3" t="s">
        <v>175</v>
      </c>
      <c r="E4044" s="4" t="s">
        <v>22</v>
      </c>
      <c r="F4044" s="4" t="s">
        <v>21160</v>
      </c>
      <c r="G4044" s="4" t="s">
        <v>21161</v>
      </c>
      <c r="H4044" s="3" t="s">
        <v>20074</v>
      </c>
      <c r="I4044" s="3" t="s">
        <v>21162</v>
      </c>
      <c r="J4044" s="3" t="s">
        <v>21163</v>
      </c>
      <c r="K4044" s="3" t="s">
        <v>21164</v>
      </c>
      <c r="L4044" s="3"/>
      <c r="M4044" s="4" t="s">
        <v>21165</v>
      </c>
      <c r="N4044" s="3" t="s">
        <v>37</v>
      </c>
      <c r="O4044" s="3" t="s">
        <v>46</v>
      </c>
      <c r="P4044" s="5">
        <v>12</v>
      </c>
      <c r="Q4044" s="5">
        <v>249</v>
      </c>
      <c r="R4044" s="5">
        <v>13</v>
      </c>
      <c r="S4044" s="5">
        <v>249</v>
      </c>
    </row>
    <row r="4045" spans="1:19" ht="28" x14ac:dyDescent="0.15">
      <c r="A4045" s="2">
        <f>HYPERLINK("https://open-school.uspishnemisto.com.ua/school/210216/", 210216)</f>
        <v>210216</v>
      </c>
      <c r="B4045" s="3" t="s">
        <v>21166</v>
      </c>
      <c r="C4045" s="3" t="s">
        <v>31</v>
      </c>
      <c r="D4045" s="3" t="s">
        <v>175</v>
      </c>
      <c r="E4045" s="4" t="s">
        <v>22</v>
      </c>
      <c r="F4045" s="4" t="s">
        <v>21167</v>
      </c>
      <c r="G4045" s="4" t="s">
        <v>21168</v>
      </c>
      <c r="H4045" s="3" t="s">
        <v>20074</v>
      </c>
      <c r="I4045" s="3" t="s">
        <v>21169</v>
      </c>
      <c r="J4045" s="3" t="s">
        <v>21170</v>
      </c>
      <c r="K4045" s="3" t="s">
        <v>21171</v>
      </c>
      <c r="L4045" s="3"/>
      <c r="M4045" s="4" t="s">
        <v>21172</v>
      </c>
      <c r="N4045" s="3" t="s">
        <v>37</v>
      </c>
      <c r="O4045" s="3" t="s">
        <v>52</v>
      </c>
      <c r="P4045" s="5">
        <v>9</v>
      </c>
      <c r="Q4045" s="5">
        <v>115</v>
      </c>
      <c r="R4045" s="5">
        <v>9</v>
      </c>
      <c r="S4045" s="5">
        <v>116</v>
      </c>
    </row>
    <row r="4046" spans="1:19" ht="28" x14ac:dyDescent="0.15">
      <c r="A4046" s="2">
        <f>HYPERLINK("https://open-school.uspishnemisto.com.ua/school/210217/", 210217)</f>
        <v>210217</v>
      </c>
      <c r="B4046" s="3" t="s">
        <v>21173</v>
      </c>
      <c r="C4046" s="3" t="s">
        <v>31</v>
      </c>
      <c r="D4046" s="3" t="s">
        <v>32</v>
      </c>
      <c r="E4046" s="4" t="s">
        <v>22</v>
      </c>
      <c r="F4046" s="4" t="s">
        <v>21174</v>
      </c>
      <c r="G4046" s="4" t="s">
        <v>21175</v>
      </c>
      <c r="H4046" s="3" t="s">
        <v>20074</v>
      </c>
      <c r="I4046" s="3" t="s">
        <v>21176</v>
      </c>
      <c r="J4046" s="3" t="s">
        <v>21177</v>
      </c>
      <c r="K4046" s="3" t="s">
        <v>21178</v>
      </c>
      <c r="L4046" s="3" t="s">
        <v>21179</v>
      </c>
      <c r="M4046" s="4" t="s">
        <v>21180</v>
      </c>
      <c r="N4046" s="3" t="s">
        <v>37</v>
      </c>
      <c r="O4046" s="3" t="s">
        <v>46</v>
      </c>
      <c r="P4046" s="5">
        <v>11</v>
      </c>
      <c r="Q4046" s="5">
        <v>172</v>
      </c>
      <c r="R4046" s="5">
        <v>11</v>
      </c>
      <c r="S4046" s="5">
        <v>171</v>
      </c>
    </row>
    <row r="4047" spans="1:19" ht="28" x14ac:dyDescent="0.15">
      <c r="A4047" s="2">
        <f>HYPERLINK("https://open-school.uspishnemisto.com.ua/school/210218/", 210218)</f>
        <v>210218</v>
      </c>
      <c r="B4047" s="3" t="s">
        <v>21181</v>
      </c>
      <c r="C4047" s="3" t="s">
        <v>293</v>
      </c>
      <c r="D4047" s="3" t="s">
        <v>32</v>
      </c>
      <c r="E4047" s="4" t="s">
        <v>22</v>
      </c>
      <c r="F4047" s="4" t="s">
        <v>21174</v>
      </c>
      <c r="G4047" s="4" t="s">
        <v>21175</v>
      </c>
      <c r="H4047" s="3" t="s">
        <v>20074</v>
      </c>
      <c r="I4047" s="3" t="s">
        <v>21176</v>
      </c>
      <c r="J4047" s="3" t="s">
        <v>21182</v>
      </c>
      <c r="K4047" s="3" t="s">
        <v>21183</v>
      </c>
      <c r="L4047" s="3" t="s">
        <v>21184</v>
      </c>
      <c r="M4047" s="4" t="s">
        <v>21185</v>
      </c>
      <c r="N4047" s="3" t="s">
        <v>37</v>
      </c>
      <c r="O4047" s="3" t="s">
        <v>46</v>
      </c>
      <c r="P4047" s="5">
        <v>11</v>
      </c>
      <c r="Q4047" s="5">
        <v>238</v>
      </c>
      <c r="R4047" s="5">
        <v>11</v>
      </c>
      <c r="S4047" s="5">
        <v>238</v>
      </c>
    </row>
    <row r="4048" spans="1:19" ht="28" x14ac:dyDescent="0.15">
      <c r="A4048" s="2">
        <f>HYPERLINK("https://open-school.uspishnemisto.com.ua/school/210219/", 210219)</f>
        <v>210219</v>
      </c>
      <c r="B4048" s="3" t="s">
        <v>21186</v>
      </c>
      <c r="C4048" s="3" t="s">
        <v>31</v>
      </c>
      <c r="D4048" s="3" t="s">
        <v>60</v>
      </c>
      <c r="E4048" s="4" t="s">
        <v>22</v>
      </c>
      <c r="F4048" s="4" t="s">
        <v>21174</v>
      </c>
      <c r="G4048" s="4" t="s">
        <v>21187</v>
      </c>
      <c r="H4048" s="3" t="s">
        <v>20074</v>
      </c>
      <c r="I4048" s="3" t="s">
        <v>21188</v>
      </c>
      <c r="J4048" s="3" t="s">
        <v>21189</v>
      </c>
      <c r="K4048" s="3"/>
      <c r="L4048" s="3"/>
      <c r="M4048" s="4" t="s">
        <v>21190</v>
      </c>
      <c r="N4048" s="3" t="s">
        <v>37</v>
      </c>
      <c r="O4048" s="3" t="s">
        <v>52</v>
      </c>
      <c r="P4048" s="5">
        <v>1</v>
      </c>
      <c r="Q4048" s="5">
        <v>17</v>
      </c>
      <c r="R4048" s="5">
        <v>2</v>
      </c>
      <c r="S4048" s="5">
        <v>19</v>
      </c>
    </row>
    <row r="4049" spans="1:19" ht="28" x14ac:dyDescent="0.15">
      <c r="A4049" s="2">
        <f>HYPERLINK("https://open-school.uspishnemisto.com.ua/school/210220/", 210220)</f>
        <v>210220</v>
      </c>
      <c r="B4049" s="3" t="s">
        <v>21191</v>
      </c>
      <c r="C4049" s="3" t="s">
        <v>31</v>
      </c>
      <c r="D4049" s="3" t="s">
        <v>175</v>
      </c>
      <c r="E4049" s="4" t="s">
        <v>22</v>
      </c>
      <c r="F4049" s="4" t="s">
        <v>21192</v>
      </c>
      <c r="G4049" s="4" t="s">
        <v>21193</v>
      </c>
      <c r="H4049" s="3" t="s">
        <v>20074</v>
      </c>
      <c r="I4049" s="3" t="s">
        <v>21194</v>
      </c>
      <c r="J4049" s="3" t="s">
        <v>21195</v>
      </c>
      <c r="K4049" s="3" t="s">
        <v>21196</v>
      </c>
      <c r="L4049" s="3"/>
      <c r="M4049" s="4"/>
      <c r="N4049" s="3" t="s">
        <v>37</v>
      </c>
      <c r="O4049" s="3" t="s">
        <v>52</v>
      </c>
      <c r="P4049" s="5">
        <v>9</v>
      </c>
      <c r="Q4049" s="5">
        <v>101</v>
      </c>
      <c r="R4049" s="5">
        <v>9</v>
      </c>
      <c r="S4049" s="5">
        <v>100</v>
      </c>
    </row>
    <row r="4050" spans="1:19" ht="28" x14ac:dyDescent="0.15">
      <c r="A4050" s="2">
        <f>HYPERLINK("https://open-school.uspishnemisto.com.ua/school/210221/", 210221)</f>
        <v>210221</v>
      </c>
      <c r="B4050" s="3" t="s">
        <v>21197</v>
      </c>
      <c r="C4050" s="3" t="s">
        <v>31</v>
      </c>
      <c r="D4050" s="3" t="s">
        <v>60</v>
      </c>
      <c r="E4050" s="4" t="s">
        <v>22</v>
      </c>
      <c r="F4050" s="4" t="s">
        <v>21192</v>
      </c>
      <c r="G4050" s="4" t="s">
        <v>21198</v>
      </c>
      <c r="H4050" s="3" t="s">
        <v>20074</v>
      </c>
      <c r="I4050" s="3" t="s">
        <v>21199</v>
      </c>
      <c r="J4050" s="3" t="s">
        <v>20803</v>
      </c>
      <c r="K4050" s="3"/>
      <c r="L4050" s="3"/>
      <c r="M4050" s="4" t="s">
        <v>21200</v>
      </c>
      <c r="N4050" s="3" t="s">
        <v>37</v>
      </c>
      <c r="O4050" s="3" t="s">
        <v>52</v>
      </c>
      <c r="P4050" s="5">
        <v>4</v>
      </c>
      <c r="Q4050" s="5">
        <v>30</v>
      </c>
      <c r="R4050" s="5">
        <v>4</v>
      </c>
      <c r="S4050" s="5">
        <v>25</v>
      </c>
    </row>
    <row r="4051" spans="1:19" ht="28" x14ac:dyDescent="0.15">
      <c r="A4051" s="2">
        <f>HYPERLINK("https://open-school.uspishnemisto.com.ua/school/210222/", 210222)</f>
        <v>210222</v>
      </c>
      <c r="B4051" s="3" t="s">
        <v>21201</v>
      </c>
      <c r="C4051" s="3" t="s">
        <v>54</v>
      </c>
      <c r="D4051" s="3" t="s">
        <v>60</v>
      </c>
      <c r="E4051" s="4" t="s">
        <v>22</v>
      </c>
      <c r="F4051" s="4" t="s">
        <v>21202</v>
      </c>
      <c r="G4051" s="4" t="s">
        <v>21203</v>
      </c>
      <c r="H4051" s="3" t="s">
        <v>20074</v>
      </c>
      <c r="I4051" s="3" t="s">
        <v>21204</v>
      </c>
      <c r="J4051" s="3" t="s">
        <v>21205</v>
      </c>
      <c r="K4051" s="3" t="s">
        <v>21206</v>
      </c>
      <c r="L4051" s="3"/>
      <c r="M4051" s="4"/>
      <c r="N4051" s="3" t="s">
        <v>37</v>
      </c>
      <c r="O4051" s="3" t="s">
        <v>618</v>
      </c>
      <c r="P4051" s="5">
        <v>3</v>
      </c>
      <c r="Q4051" s="5">
        <v>21</v>
      </c>
      <c r="R4051" s="5">
        <v>2</v>
      </c>
      <c r="S4051" s="5">
        <v>19</v>
      </c>
    </row>
    <row r="4052" spans="1:19" ht="28" x14ac:dyDescent="0.15">
      <c r="A4052" s="2">
        <f>HYPERLINK("https://open-school.uspishnemisto.com.ua/school/210223/", 210223)</f>
        <v>210223</v>
      </c>
      <c r="B4052" s="3" t="s">
        <v>21207</v>
      </c>
      <c r="C4052" s="3" t="s">
        <v>31</v>
      </c>
      <c r="D4052" s="3" t="s">
        <v>175</v>
      </c>
      <c r="E4052" s="4" t="s">
        <v>22</v>
      </c>
      <c r="F4052" s="4" t="s">
        <v>21202</v>
      </c>
      <c r="G4052" s="4" t="s">
        <v>21208</v>
      </c>
      <c r="H4052" s="3" t="s">
        <v>20074</v>
      </c>
      <c r="I4052" s="3" t="s">
        <v>21209</v>
      </c>
      <c r="J4052" s="3" t="s">
        <v>21210</v>
      </c>
      <c r="K4052" s="3" t="s">
        <v>21211</v>
      </c>
      <c r="L4052" s="3"/>
      <c r="M4052" s="4" t="s">
        <v>21212</v>
      </c>
      <c r="N4052" s="3" t="s">
        <v>37</v>
      </c>
      <c r="O4052" s="3" t="s">
        <v>618</v>
      </c>
      <c r="P4052" s="5">
        <v>7</v>
      </c>
      <c r="Q4052" s="5">
        <v>82</v>
      </c>
      <c r="R4052" s="5">
        <v>7</v>
      </c>
      <c r="S4052" s="5">
        <v>85</v>
      </c>
    </row>
    <row r="4053" spans="1:19" ht="28" x14ac:dyDescent="0.15">
      <c r="A4053" s="2">
        <f>HYPERLINK("https://open-school.uspishnemisto.com.ua/school/210224/", 210224)</f>
        <v>210224</v>
      </c>
      <c r="B4053" s="3" t="s">
        <v>21213</v>
      </c>
      <c r="C4053" s="3" t="s">
        <v>54</v>
      </c>
      <c r="D4053" s="3" t="s">
        <v>60</v>
      </c>
      <c r="E4053" s="4" t="s">
        <v>22</v>
      </c>
      <c r="F4053" s="4" t="s">
        <v>21202</v>
      </c>
      <c r="G4053" s="4" t="s">
        <v>21214</v>
      </c>
      <c r="H4053" s="3" t="s">
        <v>20074</v>
      </c>
      <c r="I4053" s="3" t="s">
        <v>21215</v>
      </c>
      <c r="J4053" s="3" t="s">
        <v>21216</v>
      </c>
      <c r="K4053" s="3" t="s">
        <v>21217</v>
      </c>
      <c r="L4053" s="3"/>
      <c r="M4053" s="4"/>
      <c r="N4053" s="3" t="s">
        <v>37</v>
      </c>
      <c r="O4053" s="3" t="s">
        <v>618</v>
      </c>
      <c r="P4053" s="5">
        <v>1</v>
      </c>
      <c r="Q4053" s="5">
        <v>14</v>
      </c>
      <c r="R4053" s="5">
        <v>1</v>
      </c>
      <c r="S4053" s="5">
        <v>13</v>
      </c>
    </row>
    <row r="4054" spans="1:19" ht="42" x14ac:dyDescent="0.15">
      <c r="A4054" s="2">
        <f>HYPERLINK("https://open-school.uspishnemisto.com.ua/school/210225/", 210225)</f>
        <v>210225</v>
      </c>
      <c r="B4054" s="3" t="s">
        <v>21218</v>
      </c>
      <c r="C4054" s="3" t="s">
        <v>31</v>
      </c>
      <c r="D4054" s="3" t="s">
        <v>175</v>
      </c>
      <c r="E4054" s="4" t="s">
        <v>22</v>
      </c>
      <c r="F4054" s="4" t="s">
        <v>21219</v>
      </c>
      <c r="G4054" s="4" t="s">
        <v>21220</v>
      </c>
      <c r="H4054" s="3" t="s">
        <v>20074</v>
      </c>
      <c r="I4054" s="3" t="s">
        <v>21221</v>
      </c>
      <c r="J4054" s="3" t="s">
        <v>21222</v>
      </c>
      <c r="K4054" s="3" t="s">
        <v>21223</v>
      </c>
      <c r="L4054" s="3"/>
      <c r="M4054" s="4" t="s">
        <v>21224</v>
      </c>
      <c r="N4054" s="3" t="s">
        <v>37</v>
      </c>
      <c r="O4054" s="3" t="s">
        <v>46</v>
      </c>
      <c r="P4054" s="5">
        <v>9</v>
      </c>
      <c r="Q4054" s="5">
        <v>119</v>
      </c>
      <c r="R4054" s="5">
        <v>9</v>
      </c>
      <c r="S4054" s="5">
        <v>117</v>
      </c>
    </row>
    <row r="4055" spans="1:19" ht="28" x14ac:dyDescent="0.15">
      <c r="A4055" s="2">
        <f>HYPERLINK("https://open-school.uspishnemisto.com.ua/school/210226/", 210226)</f>
        <v>210226</v>
      </c>
      <c r="B4055" s="3" t="s">
        <v>21225</v>
      </c>
      <c r="C4055" s="3" t="s">
        <v>31</v>
      </c>
      <c r="D4055" s="3" t="s">
        <v>175</v>
      </c>
      <c r="E4055" s="4" t="s">
        <v>22</v>
      </c>
      <c r="F4055" s="4" t="s">
        <v>21226</v>
      </c>
      <c r="G4055" s="4" t="s">
        <v>21227</v>
      </c>
      <c r="H4055" s="3" t="s">
        <v>20074</v>
      </c>
      <c r="I4055" s="3" t="s">
        <v>21228</v>
      </c>
      <c r="J4055" s="3" t="s">
        <v>20803</v>
      </c>
      <c r="K4055" s="3"/>
      <c r="L4055" s="3"/>
      <c r="M4055" s="4"/>
      <c r="N4055" s="3" t="s">
        <v>37</v>
      </c>
      <c r="O4055" s="3" t="s">
        <v>52</v>
      </c>
      <c r="P4055" s="5">
        <v>7</v>
      </c>
      <c r="Q4055" s="5">
        <v>71</v>
      </c>
      <c r="R4055" s="5">
        <v>9</v>
      </c>
      <c r="S4055" s="5">
        <v>78</v>
      </c>
    </row>
    <row r="4056" spans="1:19" ht="28" x14ac:dyDescent="0.15">
      <c r="A4056" s="2">
        <f>HYPERLINK("https://open-school.uspishnemisto.com.ua/school/210227/", 210227)</f>
        <v>210227</v>
      </c>
      <c r="B4056" s="3" t="s">
        <v>21229</v>
      </c>
      <c r="C4056" s="3" t="s">
        <v>31</v>
      </c>
      <c r="D4056" s="3" t="s">
        <v>60</v>
      </c>
      <c r="E4056" s="4" t="s">
        <v>22</v>
      </c>
      <c r="F4056" s="4" t="s">
        <v>21129</v>
      </c>
      <c r="G4056" s="4" t="s">
        <v>21230</v>
      </c>
      <c r="H4056" s="3" t="s">
        <v>20074</v>
      </c>
      <c r="I4056" s="3" t="s">
        <v>21231</v>
      </c>
      <c r="J4056" s="3" t="s">
        <v>18354</v>
      </c>
      <c r="K4056" s="3"/>
      <c r="L4056" s="3"/>
      <c r="M4056" s="4"/>
      <c r="N4056" s="3" t="s">
        <v>37</v>
      </c>
      <c r="O4056" s="3" t="s">
        <v>52</v>
      </c>
      <c r="P4056" s="5">
        <v>1</v>
      </c>
      <c r="Q4056" s="5">
        <v>11</v>
      </c>
      <c r="R4056" s="5">
        <v>1</v>
      </c>
      <c r="S4056" s="5">
        <v>12</v>
      </c>
    </row>
    <row r="4057" spans="1:19" ht="28" x14ac:dyDescent="0.15">
      <c r="A4057" s="2">
        <f>HYPERLINK("https://open-school.uspishnemisto.com.ua/school/210228/", 210228)</f>
        <v>210228</v>
      </c>
      <c r="B4057" s="3" t="s">
        <v>21232</v>
      </c>
      <c r="C4057" s="3" t="s">
        <v>40</v>
      </c>
      <c r="D4057" s="3" t="s">
        <v>32</v>
      </c>
      <c r="E4057" s="4" t="s">
        <v>22</v>
      </c>
      <c r="F4057" s="4" t="s">
        <v>21233</v>
      </c>
      <c r="G4057" s="4" t="s">
        <v>21234</v>
      </c>
      <c r="H4057" s="3" t="s">
        <v>20074</v>
      </c>
      <c r="I4057" s="3" t="s">
        <v>21235</v>
      </c>
      <c r="J4057" s="3" t="s">
        <v>2434</v>
      </c>
      <c r="K4057" s="3" t="s">
        <v>21236</v>
      </c>
      <c r="L4057" s="3"/>
      <c r="M4057" s="4"/>
      <c r="N4057" s="3" t="s">
        <v>37</v>
      </c>
      <c r="O4057" s="3" t="s">
        <v>46</v>
      </c>
      <c r="P4057" s="5">
        <v>16</v>
      </c>
      <c r="Q4057" s="5">
        <v>308</v>
      </c>
      <c r="R4057" s="5">
        <v>15</v>
      </c>
      <c r="S4057" s="5">
        <v>270</v>
      </c>
    </row>
    <row r="4058" spans="1:19" ht="28" x14ac:dyDescent="0.15">
      <c r="A4058" s="2">
        <f>HYPERLINK("https://open-school.uspishnemisto.com.ua/school/210229/", 210229)</f>
        <v>210229</v>
      </c>
      <c r="B4058" s="3" t="s">
        <v>21237</v>
      </c>
      <c r="C4058" s="3" t="s">
        <v>31</v>
      </c>
      <c r="D4058" s="3" t="s">
        <v>32</v>
      </c>
      <c r="E4058" s="4" t="s">
        <v>22</v>
      </c>
      <c r="F4058" s="4" t="s">
        <v>21233</v>
      </c>
      <c r="G4058" s="4" t="s">
        <v>21234</v>
      </c>
      <c r="H4058" s="3" t="s">
        <v>20074</v>
      </c>
      <c r="I4058" s="3" t="s">
        <v>21235</v>
      </c>
      <c r="J4058" s="3" t="s">
        <v>19381</v>
      </c>
      <c r="K4058" s="3" t="s">
        <v>21238</v>
      </c>
      <c r="L4058" s="3"/>
      <c r="M4058" s="4"/>
      <c r="N4058" s="3" t="s">
        <v>37</v>
      </c>
      <c r="O4058" s="3" t="s">
        <v>46</v>
      </c>
      <c r="P4058" s="5">
        <v>31</v>
      </c>
      <c r="Q4058" s="5">
        <v>755</v>
      </c>
      <c r="R4058" s="5">
        <v>30</v>
      </c>
      <c r="S4058" s="5">
        <v>724</v>
      </c>
    </row>
    <row r="4059" spans="1:19" ht="28" x14ac:dyDescent="0.15">
      <c r="A4059" s="2">
        <f>HYPERLINK("https://open-school.uspishnemisto.com.ua/school/210230/", 210230)</f>
        <v>210230</v>
      </c>
      <c r="B4059" s="3" t="s">
        <v>21239</v>
      </c>
      <c r="C4059" s="3" t="s">
        <v>31</v>
      </c>
      <c r="D4059" s="3" t="s">
        <v>32</v>
      </c>
      <c r="E4059" s="4" t="s">
        <v>22</v>
      </c>
      <c r="F4059" s="4" t="s">
        <v>21233</v>
      </c>
      <c r="G4059" s="4" t="s">
        <v>21234</v>
      </c>
      <c r="H4059" s="3" t="s">
        <v>20074</v>
      </c>
      <c r="I4059" s="3" t="s">
        <v>21235</v>
      </c>
      <c r="J4059" s="3" t="s">
        <v>2434</v>
      </c>
      <c r="K4059" s="3" t="s">
        <v>21240</v>
      </c>
      <c r="L4059" s="3"/>
      <c r="M4059" s="4"/>
      <c r="N4059" s="3" t="s">
        <v>37</v>
      </c>
      <c r="O4059" s="3" t="s">
        <v>70</v>
      </c>
      <c r="P4059" s="5">
        <v>22</v>
      </c>
      <c r="Q4059" s="5">
        <v>447</v>
      </c>
      <c r="R4059" s="5">
        <v>21</v>
      </c>
      <c r="S4059" s="5">
        <v>426</v>
      </c>
    </row>
    <row r="4060" spans="1:19" ht="28" x14ac:dyDescent="0.15">
      <c r="A4060" s="2">
        <f>HYPERLINK("https://open-school.uspishnemisto.com.ua/school/210231/", 210231)</f>
        <v>210231</v>
      </c>
      <c r="B4060" s="3" t="s">
        <v>21241</v>
      </c>
      <c r="C4060" s="3" t="s">
        <v>31</v>
      </c>
      <c r="D4060" s="3" t="s">
        <v>60</v>
      </c>
      <c r="E4060" s="4" t="s">
        <v>22</v>
      </c>
      <c r="F4060" s="4" t="s">
        <v>21233</v>
      </c>
      <c r="G4060" s="4" t="s">
        <v>21242</v>
      </c>
      <c r="H4060" s="3" t="s">
        <v>20074</v>
      </c>
      <c r="I4060" s="3" t="s">
        <v>21243</v>
      </c>
      <c r="J4060" s="3" t="s">
        <v>21244</v>
      </c>
      <c r="K4060" s="3" t="s">
        <v>21245</v>
      </c>
      <c r="L4060" s="3"/>
      <c r="M4060" s="4"/>
      <c r="N4060" s="3" t="s">
        <v>37</v>
      </c>
      <c r="O4060" s="3" t="s">
        <v>52</v>
      </c>
      <c r="P4060" s="5">
        <v>9</v>
      </c>
      <c r="Q4060" s="5">
        <v>106</v>
      </c>
      <c r="R4060" s="5">
        <v>9</v>
      </c>
      <c r="S4060" s="5">
        <v>106</v>
      </c>
    </row>
    <row r="4061" spans="1:19" ht="28" x14ac:dyDescent="0.15">
      <c r="A4061" s="2">
        <f>HYPERLINK("https://open-school.uspishnemisto.com.ua/school/210232/", 210232)</f>
        <v>210232</v>
      </c>
      <c r="B4061" s="3" t="s">
        <v>21246</v>
      </c>
      <c r="C4061" s="3" t="s">
        <v>31</v>
      </c>
      <c r="D4061" s="3" t="s">
        <v>32</v>
      </c>
      <c r="E4061" s="4" t="s">
        <v>22</v>
      </c>
      <c r="F4061" s="4" t="s">
        <v>21247</v>
      </c>
      <c r="G4061" s="4" t="s">
        <v>21248</v>
      </c>
      <c r="H4061" s="3" t="s">
        <v>20074</v>
      </c>
      <c r="I4061" s="3" t="s">
        <v>21249</v>
      </c>
      <c r="J4061" s="3" t="s">
        <v>21250</v>
      </c>
      <c r="K4061" s="3" t="s">
        <v>21251</v>
      </c>
      <c r="L4061" s="3"/>
      <c r="M4061" s="4"/>
      <c r="N4061" s="3" t="s">
        <v>37</v>
      </c>
      <c r="O4061" s="3" t="s">
        <v>112</v>
      </c>
      <c r="P4061" s="5">
        <v>11</v>
      </c>
      <c r="Q4061" s="5">
        <v>160</v>
      </c>
      <c r="R4061" s="5">
        <v>11</v>
      </c>
      <c r="S4061" s="5">
        <v>163</v>
      </c>
    </row>
    <row r="4062" spans="1:19" ht="28" x14ac:dyDescent="0.15">
      <c r="A4062" s="2">
        <f>HYPERLINK("https://open-school.uspishnemisto.com.ua/school/210233/", 210233)</f>
        <v>210233</v>
      </c>
      <c r="B4062" s="3" t="s">
        <v>21252</v>
      </c>
      <c r="C4062" s="3" t="s">
        <v>31</v>
      </c>
      <c r="D4062" s="3" t="s">
        <v>175</v>
      </c>
      <c r="E4062" s="4" t="s">
        <v>22</v>
      </c>
      <c r="F4062" s="4" t="s">
        <v>21253</v>
      </c>
      <c r="G4062" s="4" t="s">
        <v>21254</v>
      </c>
      <c r="H4062" s="3" t="s">
        <v>20074</v>
      </c>
      <c r="I4062" s="3" t="s">
        <v>21255</v>
      </c>
      <c r="J4062" s="3" t="s">
        <v>21256</v>
      </c>
      <c r="K4062" s="3" t="s">
        <v>21257</v>
      </c>
      <c r="L4062" s="3"/>
      <c r="M4062" s="4"/>
      <c r="N4062" s="3" t="s">
        <v>37</v>
      </c>
      <c r="O4062" s="3" t="s">
        <v>112</v>
      </c>
      <c r="P4062" s="5">
        <v>9</v>
      </c>
      <c r="Q4062" s="5">
        <v>88</v>
      </c>
      <c r="R4062" s="5">
        <v>9</v>
      </c>
      <c r="S4062" s="5">
        <v>87</v>
      </c>
    </row>
    <row r="4063" spans="1:19" ht="28" x14ac:dyDescent="0.15">
      <c r="A4063" s="2">
        <f>HYPERLINK("https://open-school.uspishnemisto.com.ua/school/210234/", 210234)</f>
        <v>210234</v>
      </c>
      <c r="B4063" s="3" t="s">
        <v>21258</v>
      </c>
      <c r="C4063" s="3" t="s">
        <v>31</v>
      </c>
      <c r="D4063" s="3" t="s">
        <v>175</v>
      </c>
      <c r="E4063" s="4" t="s">
        <v>22</v>
      </c>
      <c r="F4063" s="4" t="s">
        <v>21259</v>
      </c>
      <c r="G4063" s="4" t="s">
        <v>21260</v>
      </c>
      <c r="H4063" s="3" t="s">
        <v>20074</v>
      </c>
      <c r="I4063" s="3" t="s">
        <v>21261</v>
      </c>
      <c r="J4063" s="3" t="s">
        <v>21262</v>
      </c>
      <c r="K4063" s="3" t="s">
        <v>21263</v>
      </c>
      <c r="L4063" s="3"/>
      <c r="M4063" s="4"/>
      <c r="N4063" s="3" t="s">
        <v>37</v>
      </c>
      <c r="O4063" s="3" t="s">
        <v>112</v>
      </c>
      <c r="P4063" s="5">
        <v>8</v>
      </c>
      <c r="Q4063" s="5">
        <v>88</v>
      </c>
      <c r="R4063" s="5">
        <v>8</v>
      </c>
      <c r="S4063" s="5">
        <v>83</v>
      </c>
    </row>
    <row r="4064" spans="1:19" ht="28" x14ac:dyDescent="0.15">
      <c r="A4064" s="2">
        <f>HYPERLINK("https://open-school.uspishnemisto.com.ua/school/210235/", 210235)</f>
        <v>210235</v>
      </c>
      <c r="B4064" s="3" t="s">
        <v>21264</v>
      </c>
      <c r="C4064" s="3" t="s">
        <v>31</v>
      </c>
      <c r="D4064" s="3" t="s">
        <v>60</v>
      </c>
      <c r="E4064" s="4" t="s">
        <v>22</v>
      </c>
      <c r="F4064" s="4" t="s">
        <v>21265</v>
      </c>
      <c r="G4064" s="4" t="s">
        <v>21266</v>
      </c>
      <c r="H4064" s="3" t="s">
        <v>20074</v>
      </c>
      <c r="I4064" s="3" t="s">
        <v>1494</v>
      </c>
      <c r="J4064" s="3" t="s">
        <v>21267</v>
      </c>
      <c r="K4064" s="3" t="s">
        <v>21268</v>
      </c>
      <c r="L4064" s="3"/>
      <c r="M4064" s="4"/>
      <c r="N4064" s="3" t="s">
        <v>37</v>
      </c>
      <c r="O4064" s="3" t="s">
        <v>46</v>
      </c>
      <c r="P4064" s="5">
        <v>0</v>
      </c>
      <c r="Q4064" s="5">
        <v>10</v>
      </c>
      <c r="R4064" s="5">
        <v>0</v>
      </c>
      <c r="S4064" s="5">
        <v>6</v>
      </c>
    </row>
    <row r="4065" spans="1:19" ht="28" x14ac:dyDescent="0.15">
      <c r="A4065" s="2">
        <f>HYPERLINK("https://open-school.uspishnemisto.com.ua/school/210236/", 210236)</f>
        <v>210236</v>
      </c>
      <c r="B4065" s="3" t="s">
        <v>21269</v>
      </c>
      <c r="C4065" s="3" t="s">
        <v>31</v>
      </c>
      <c r="D4065" s="3" t="s">
        <v>60</v>
      </c>
      <c r="E4065" s="4" t="s">
        <v>22</v>
      </c>
      <c r="F4065" s="4" t="s">
        <v>21265</v>
      </c>
      <c r="G4065" s="4" t="s">
        <v>21266</v>
      </c>
      <c r="H4065" s="3" t="s">
        <v>20074</v>
      </c>
      <c r="I4065" s="3" t="s">
        <v>1494</v>
      </c>
      <c r="J4065" s="3" t="s">
        <v>21270</v>
      </c>
      <c r="K4065" s="3" t="s">
        <v>21271</v>
      </c>
      <c r="L4065" s="3"/>
      <c r="M4065" s="4"/>
      <c r="N4065" s="3" t="s">
        <v>37</v>
      </c>
      <c r="O4065" s="3" t="s">
        <v>52</v>
      </c>
      <c r="P4065" s="5">
        <v>4</v>
      </c>
      <c r="Q4065" s="5">
        <v>66</v>
      </c>
      <c r="R4065" s="5">
        <v>4</v>
      </c>
      <c r="S4065" s="5">
        <v>60</v>
      </c>
    </row>
    <row r="4066" spans="1:19" ht="28" x14ac:dyDescent="0.15">
      <c r="A4066" s="2">
        <f>HYPERLINK("https://open-school.uspishnemisto.com.ua/school/210237/", 210237)</f>
        <v>210237</v>
      </c>
      <c r="B4066" s="3" t="s">
        <v>21272</v>
      </c>
      <c r="C4066" s="3" t="s">
        <v>31</v>
      </c>
      <c r="D4066" s="3" t="s">
        <v>60</v>
      </c>
      <c r="E4066" s="4" t="s">
        <v>22</v>
      </c>
      <c r="F4066" s="4" t="s">
        <v>21265</v>
      </c>
      <c r="G4066" s="4" t="s">
        <v>21266</v>
      </c>
      <c r="H4066" s="3" t="s">
        <v>20074</v>
      </c>
      <c r="I4066" s="3" t="s">
        <v>1494</v>
      </c>
      <c r="J4066" s="3" t="s">
        <v>21273</v>
      </c>
      <c r="K4066" s="3" t="s">
        <v>21274</v>
      </c>
      <c r="L4066" s="3"/>
      <c r="M4066" s="4"/>
      <c r="N4066" s="3" t="s">
        <v>37</v>
      </c>
      <c r="O4066" s="3" t="s">
        <v>52</v>
      </c>
      <c r="P4066" s="5">
        <v>4</v>
      </c>
      <c r="Q4066" s="5">
        <v>29</v>
      </c>
      <c r="R4066" s="5">
        <v>4</v>
      </c>
      <c r="S4066" s="5">
        <v>33</v>
      </c>
    </row>
    <row r="4067" spans="1:19" ht="28" x14ac:dyDescent="0.15">
      <c r="A4067" s="2">
        <f>HYPERLINK("https://open-school.uspishnemisto.com.ua/school/210238/", 210238)</f>
        <v>210238</v>
      </c>
      <c r="B4067" s="3" t="s">
        <v>21275</v>
      </c>
      <c r="C4067" s="3" t="s">
        <v>31</v>
      </c>
      <c r="D4067" s="3" t="s">
        <v>32</v>
      </c>
      <c r="E4067" s="4" t="s">
        <v>22</v>
      </c>
      <c r="F4067" s="4" t="s">
        <v>21265</v>
      </c>
      <c r="G4067" s="4" t="s">
        <v>21266</v>
      </c>
      <c r="H4067" s="3" t="s">
        <v>20074</v>
      </c>
      <c r="I4067" s="3" t="s">
        <v>1494</v>
      </c>
      <c r="J4067" s="3" t="s">
        <v>21276</v>
      </c>
      <c r="K4067" s="3" t="s">
        <v>21277</v>
      </c>
      <c r="L4067" s="3"/>
      <c r="M4067" s="4"/>
      <c r="N4067" s="3" t="s">
        <v>37</v>
      </c>
      <c r="O4067" s="3" t="s">
        <v>70</v>
      </c>
      <c r="P4067" s="5">
        <v>19</v>
      </c>
      <c r="Q4067" s="5">
        <v>328</v>
      </c>
      <c r="R4067" s="5">
        <v>19</v>
      </c>
      <c r="S4067" s="5">
        <v>335</v>
      </c>
    </row>
    <row r="4068" spans="1:19" ht="28" x14ac:dyDescent="0.15">
      <c r="A4068" s="2">
        <f>HYPERLINK("https://open-school.uspishnemisto.com.ua/school/210239/", 210239)</f>
        <v>210239</v>
      </c>
      <c r="B4068" s="3" t="s">
        <v>21278</v>
      </c>
      <c r="C4068" s="3" t="s">
        <v>31</v>
      </c>
      <c r="D4068" s="3" t="s">
        <v>32</v>
      </c>
      <c r="E4068" s="4" t="s">
        <v>22</v>
      </c>
      <c r="F4068" s="4" t="s">
        <v>21265</v>
      </c>
      <c r="G4068" s="4" t="s">
        <v>21266</v>
      </c>
      <c r="H4068" s="3" t="s">
        <v>20074</v>
      </c>
      <c r="I4068" s="3" t="s">
        <v>1494</v>
      </c>
      <c r="J4068" s="3" t="s">
        <v>2372</v>
      </c>
      <c r="K4068" s="3" t="s">
        <v>21279</v>
      </c>
      <c r="L4068" s="3"/>
      <c r="M4068" s="4"/>
      <c r="N4068" s="3" t="s">
        <v>37</v>
      </c>
      <c r="O4068" s="3" t="s">
        <v>197</v>
      </c>
      <c r="P4068" s="5">
        <v>31</v>
      </c>
      <c r="Q4068" s="5">
        <v>740</v>
      </c>
      <c r="R4068" s="5">
        <v>31</v>
      </c>
      <c r="S4068" s="5">
        <v>708</v>
      </c>
    </row>
    <row r="4069" spans="1:19" ht="28" x14ac:dyDescent="0.15">
      <c r="A4069" s="2">
        <f>HYPERLINK("https://open-school.uspishnemisto.com.ua/school/210240/", 210240)</f>
        <v>210240</v>
      </c>
      <c r="B4069" s="3" t="s">
        <v>21280</v>
      </c>
      <c r="C4069" s="3" t="s">
        <v>31</v>
      </c>
      <c r="D4069" s="3" t="s">
        <v>32</v>
      </c>
      <c r="E4069" s="4" t="s">
        <v>22</v>
      </c>
      <c r="F4069" s="4" t="s">
        <v>21281</v>
      </c>
      <c r="G4069" s="4" t="s">
        <v>21282</v>
      </c>
      <c r="H4069" s="3" t="s">
        <v>20074</v>
      </c>
      <c r="I4069" s="3" t="s">
        <v>21283</v>
      </c>
      <c r="J4069" s="3" t="s">
        <v>21284</v>
      </c>
      <c r="K4069" s="3" t="s">
        <v>21285</v>
      </c>
      <c r="L4069" s="3"/>
      <c r="M4069" s="4"/>
      <c r="N4069" s="3" t="s">
        <v>37</v>
      </c>
      <c r="O4069" s="3" t="s">
        <v>52</v>
      </c>
      <c r="P4069" s="5">
        <v>17</v>
      </c>
      <c r="Q4069" s="5">
        <v>332</v>
      </c>
      <c r="R4069" s="5">
        <v>17</v>
      </c>
      <c r="S4069" s="5">
        <v>340</v>
      </c>
    </row>
    <row r="4070" spans="1:19" ht="28" x14ac:dyDescent="0.15">
      <c r="A4070" s="2">
        <f>HYPERLINK("https://open-school.uspishnemisto.com.ua/school/210241/", 210241)</f>
        <v>210241</v>
      </c>
      <c r="B4070" s="3" t="s">
        <v>21286</v>
      </c>
      <c r="C4070" s="3" t="s">
        <v>31</v>
      </c>
      <c r="D4070" s="3" t="s">
        <v>60</v>
      </c>
      <c r="E4070" s="4" t="s">
        <v>22</v>
      </c>
      <c r="F4070" s="4" t="s">
        <v>21281</v>
      </c>
      <c r="G4070" s="4" t="s">
        <v>21287</v>
      </c>
      <c r="H4070" s="3" t="s">
        <v>20074</v>
      </c>
      <c r="I4070" s="3" t="s">
        <v>21288</v>
      </c>
      <c r="J4070" s="3" t="s">
        <v>21289</v>
      </c>
      <c r="K4070" s="3" t="s">
        <v>21290</v>
      </c>
      <c r="L4070" s="3"/>
      <c r="M4070" s="4"/>
      <c r="N4070" s="3" t="s">
        <v>37</v>
      </c>
      <c r="O4070" s="3" t="s">
        <v>52</v>
      </c>
      <c r="P4070" s="5">
        <v>4</v>
      </c>
      <c r="Q4070" s="5">
        <v>41</v>
      </c>
      <c r="R4070" s="5">
        <v>4</v>
      </c>
      <c r="S4070" s="5">
        <v>41</v>
      </c>
    </row>
    <row r="4071" spans="1:19" ht="28" x14ac:dyDescent="0.15">
      <c r="A4071" s="2">
        <f>HYPERLINK("https://open-school.uspishnemisto.com.ua/school/210242/", 210242)</f>
        <v>210242</v>
      </c>
      <c r="B4071" s="3" t="s">
        <v>21291</v>
      </c>
      <c r="C4071" s="3" t="s">
        <v>31</v>
      </c>
      <c r="D4071" s="3" t="s">
        <v>32</v>
      </c>
      <c r="E4071" s="4" t="s">
        <v>22</v>
      </c>
      <c r="F4071" s="4" t="s">
        <v>21292</v>
      </c>
      <c r="G4071" s="4" t="s">
        <v>21293</v>
      </c>
      <c r="H4071" s="3" t="s">
        <v>20074</v>
      </c>
      <c r="I4071" s="3" t="s">
        <v>21294</v>
      </c>
      <c r="J4071" s="3" t="s">
        <v>21138</v>
      </c>
      <c r="K4071" s="3" t="s">
        <v>21295</v>
      </c>
      <c r="L4071" s="3"/>
      <c r="M4071" s="4"/>
      <c r="N4071" s="3" t="s">
        <v>37</v>
      </c>
      <c r="O4071" s="3" t="s">
        <v>70</v>
      </c>
      <c r="P4071" s="5">
        <v>14</v>
      </c>
      <c r="Q4071" s="5">
        <v>244</v>
      </c>
      <c r="R4071" s="5">
        <v>14</v>
      </c>
      <c r="S4071" s="5">
        <v>249</v>
      </c>
    </row>
    <row r="4072" spans="1:19" ht="28" x14ac:dyDescent="0.15">
      <c r="A4072" s="2">
        <f>HYPERLINK("https://open-school.uspishnemisto.com.ua/school/210243/", 210243)</f>
        <v>210243</v>
      </c>
      <c r="B4072" s="3" t="s">
        <v>21296</v>
      </c>
      <c r="C4072" s="3" t="s">
        <v>31</v>
      </c>
      <c r="D4072" s="3" t="s">
        <v>175</v>
      </c>
      <c r="E4072" s="4" t="s">
        <v>22</v>
      </c>
      <c r="F4072" s="4" t="s">
        <v>21297</v>
      </c>
      <c r="G4072" s="4" t="s">
        <v>21298</v>
      </c>
      <c r="H4072" s="3" t="s">
        <v>20074</v>
      </c>
      <c r="I4072" s="3" t="s">
        <v>21299</v>
      </c>
      <c r="J4072" s="3" t="s">
        <v>21300</v>
      </c>
      <c r="K4072" s="3"/>
      <c r="L4072" s="3"/>
      <c r="M4072" s="4"/>
      <c r="N4072" s="3" t="s">
        <v>37</v>
      </c>
      <c r="O4072" s="3" t="s">
        <v>46</v>
      </c>
      <c r="P4072" s="5">
        <v>11</v>
      </c>
      <c r="Q4072" s="5">
        <v>186</v>
      </c>
      <c r="R4072" s="5">
        <v>11</v>
      </c>
      <c r="S4072" s="5">
        <v>189</v>
      </c>
    </row>
    <row r="4073" spans="1:19" ht="28" x14ac:dyDescent="0.15">
      <c r="A4073" s="2">
        <f>HYPERLINK("https://open-school.uspishnemisto.com.ua/school/210244/", 210244)</f>
        <v>210244</v>
      </c>
      <c r="B4073" s="3" t="s">
        <v>21301</v>
      </c>
      <c r="C4073" s="3" t="s">
        <v>31</v>
      </c>
      <c r="D4073" s="3" t="s">
        <v>175</v>
      </c>
      <c r="E4073" s="4" t="s">
        <v>22</v>
      </c>
      <c r="F4073" s="4" t="s">
        <v>21302</v>
      </c>
      <c r="G4073" s="4" t="s">
        <v>21303</v>
      </c>
      <c r="H4073" s="3" t="s">
        <v>20074</v>
      </c>
      <c r="I4073" s="3" t="s">
        <v>21304</v>
      </c>
      <c r="J4073" s="3" t="s">
        <v>21305</v>
      </c>
      <c r="K4073" s="3"/>
      <c r="L4073" s="3"/>
      <c r="M4073" s="4"/>
      <c r="N4073" s="3" t="s">
        <v>37</v>
      </c>
      <c r="O4073" s="3" t="s">
        <v>46</v>
      </c>
      <c r="P4073" s="5">
        <v>11</v>
      </c>
      <c r="Q4073" s="5">
        <v>193</v>
      </c>
      <c r="R4073" s="5">
        <v>11</v>
      </c>
      <c r="S4073" s="5">
        <v>193</v>
      </c>
    </row>
    <row r="4074" spans="1:19" ht="28" x14ac:dyDescent="0.15">
      <c r="A4074" s="2">
        <f>HYPERLINK("https://open-school.uspishnemisto.com.ua/school/210245/", 210245)</f>
        <v>210245</v>
      </c>
      <c r="B4074" s="3" t="s">
        <v>21306</v>
      </c>
      <c r="C4074" s="3" t="s">
        <v>31</v>
      </c>
      <c r="D4074" s="3" t="s">
        <v>32</v>
      </c>
      <c r="E4074" s="4" t="s">
        <v>22</v>
      </c>
      <c r="F4074" s="4" t="s">
        <v>21302</v>
      </c>
      <c r="G4074" s="4" t="s">
        <v>21303</v>
      </c>
      <c r="H4074" s="3" t="s">
        <v>20074</v>
      </c>
      <c r="I4074" s="3" t="s">
        <v>21304</v>
      </c>
      <c r="J4074" s="3" t="s">
        <v>21307</v>
      </c>
      <c r="K4074" s="3" t="s">
        <v>21308</v>
      </c>
      <c r="L4074" s="3"/>
      <c r="M4074" s="4"/>
      <c r="N4074" s="3" t="s">
        <v>37</v>
      </c>
      <c r="O4074" s="3" t="s">
        <v>123</v>
      </c>
      <c r="P4074" s="5">
        <v>20</v>
      </c>
      <c r="Q4074" s="5">
        <v>454</v>
      </c>
      <c r="R4074" s="5">
        <v>21</v>
      </c>
      <c r="S4074" s="5">
        <v>450</v>
      </c>
    </row>
    <row r="4075" spans="1:19" ht="28" x14ac:dyDescent="0.15">
      <c r="A4075" s="2">
        <f>HYPERLINK("https://open-school.uspishnemisto.com.ua/school/210246/", 210246)</f>
        <v>210246</v>
      </c>
      <c r="B4075" s="3" t="s">
        <v>21309</v>
      </c>
      <c r="C4075" s="3" t="s">
        <v>31</v>
      </c>
      <c r="D4075" s="3" t="s">
        <v>60</v>
      </c>
      <c r="E4075" s="4" t="s">
        <v>22</v>
      </c>
      <c r="F4075" s="4" t="s">
        <v>21302</v>
      </c>
      <c r="G4075" s="4" t="s">
        <v>21310</v>
      </c>
      <c r="H4075" s="3" t="s">
        <v>20074</v>
      </c>
      <c r="I4075" s="3" t="s">
        <v>2057</v>
      </c>
      <c r="J4075" s="3" t="s">
        <v>21311</v>
      </c>
      <c r="K4075" s="3" t="s">
        <v>21312</v>
      </c>
      <c r="L4075" s="3"/>
      <c r="M4075" s="4"/>
      <c r="N4075" s="3" t="s">
        <v>37</v>
      </c>
      <c r="O4075" s="3" t="s">
        <v>52</v>
      </c>
      <c r="P4075" s="5">
        <v>4</v>
      </c>
      <c r="Q4075" s="5">
        <v>44</v>
      </c>
      <c r="R4075" s="5">
        <v>4</v>
      </c>
      <c r="S4075" s="5">
        <v>41</v>
      </c>
    </row>
    <row r="4076" spans="1:19" ht="28" x14ac:dyDescent="0.15">
      <c r="A4076" s="2">
        <f>HYPERLINK("https://open-school.uspishnemisto.com.ua/school/210247/", 210247)</f>
        <v>210247</v>
      </c>
      <c r="B4076" s="3" t="s">
        <v>21313</v>
      </c>
      <c r="C4076" s="3" t="s">
        <v>31</v>
      </c>
      <c r="D4076" s="3" t="s">
        <v>175</v>
      </c>
      <c r="E4076" s="4" t="s">
        <v>22</v>
      </c>
      <c r="F4076" s="4" t="s">
        <v>21314</v>
      </c>
      <c r="G4076" s="4" t="s">
        <v>21315</v>
      </c>
      <c r="H4076" s="3" t="s">
        <v>20074</v>
      </c>
      <c r="I4076" s="3" t="s">
        <v>21316</v>
      </c>
      <c r="J4076" s="3" t="s">
        <v>21317</v>
      </c>
      <c r="K4076" s="3" t="s">
        <v>21318</v>
      </c>
      <c r="L4076" s="3"/>
      <c r="M4076" s="4"/>
      <c r="N4076" s="3" t="s">
        <v>37</v>
      </c>
      <c r="O4076" s="3" t="s">
        <v>52</v>
      </c>
      <c r="P4076" s="5">
        <v>9</v>
      </c>
      <c r="Q4076" s="5">
        <v>145</v>
      </c>
      <c r="R4076" s="5">
        <v>9</v>
      </c>
      <c r="S4076" s="5">
        <v>152</v>
      </c>
    </row>
    <row r="4077" spans="1:19" ht="28" x14ac:dyDescent="0.15">
      <c r="A4077" s="2">
        <f>HYPERLINK("https://open-school.uspishnemisto.com.ua/school/210248/", 210248)</f>
        <v>210248</v>
      </c>
      <c r="B4077" s="3" t="s">
        <v>21319</v>
      </c>
      <c r="C4077" s="3" t="s">
        <v>31</v>
      </c>
      <c r="D4077" s="3" t="s">
        <v>32</v>
      </c>
      <c r="E4077" s="4" t="s">
        <v>22</v>
      </c>
      <c r="F4077" s="4" t="s">
        <v>21320</v>
      </c>
      <c r="G4077" s="4" t="s">
        <v>21321</v>
      </c>
      <c r="H4077" s="3" t="s">
        <v>20074</v>
      </c>
      <c r="I4077" s="3" t="s">
        <v>16867</v>
      </c>
      <c r="J4077" s="3" t="s">
        <v>21322</v>
      </c>
      <c r="K4077" s="3" t="s">
        <v>21323</v>
      </c>
      <c r="L4077" s="3"/>
      <c r="M4077" s="4"/>
      <c r="N4077" s="3" t="s">
        <v>37</v>
      </c>
      <c r="O4077" s="3" t="s">
        <v>70</v>
      </c>
      <c r="P4077" s="5">
        <v>11</v>
      </c>
      <c r="Q4077" s="5">
        <v>171</v>
      </c>
      <c r="R4077" s="5">
        <v>11</v>
      </c>
      <c r="S4077" s="5">
        <v>173</v>
      </c>
    </row>
    <row r="4078" spans="1:19" ht="28" x14ac:dyDescent="0.15">
      <c r="A4078" s="2">
        <f>HYPERLINK("https://open-school.uspishnemisto.com.ua/school/210249/", 210249)</f>
        <v>210249</v>
      </c>
      <c r="B4078" s="3" t="s">
        <v>21324</v>
      </c>
      <c r="C4078" s="3" t="s">
        <v>54</v>
      </c>
      <c r="D4078" s="3" t="s">
        <v>60</v>
      </c>
      <c r="E4078" s="4" t="s">
        <v>22</v>
      </c>
      <c r="F4078" s="4" t="s">
        <v>21320</v>
      </c>
      <c r="G4078" s="4" t="s">
        <v>21325</v>
      </c>
      <c r="H4078" s="3" t="s">
        <v>20074</v>
      </c>
      <c r="I4078" s="3" t="s">
        <v>21326</v>
      </c>
      <c r="J4078" s="3" t="s">
        <v>21327</v>
      </c>
      <c r="K4078" s="3" t="s">
        <v>21328</v>
      </c>
      <c r="L4078" s="3"/>
      <c r="M4078" s="4" t="s">
        <v>21329</v>
      </c>
      <c r="N4078" s="3" t="s">
        <v>37</v>
      </c>
      <c r="O4078" s="3" t="s">
        <v>52</v>
      </c>
      <c r="P4078" s="5">
        <v>4</v>
      </c>
      <c r="Q4078" s="5">
        <v>44</v>
      </c>
      <c r="R4078" s="5">
        <v>4</v>
      </c>
      <c r="S4078" s="5">
        <v>39</v>
      </c>
    </row>
    <row r="4079" spans="1:19" ht="28" x14ac:dyDescent="0.15">
      <c r="A4079" s="2">
        <f>HYPERLINK("https://open-school.uspishnemisto.com.ua/school/210250/", 210250)</f>
        <v>210250</v>
      </c>
      <c r="B4079" s="3" t="s">
        <v>21330</v>
      </c>
      <c r="C4079" s="3" t="s">
        <v>31</v>
      </c>
      <c r="D4079" s="3" t="s">
        <v>175</v>
      </c>
      <c r="E4079" s="4" t="s">
        <v>22</v>
      </c>
      <c r="F4079" s="4" t="s">
        <v>21331</v>
      </c>
      <c r="G4079" s="4" t="s">
        <v>21332</v>
      </c>
      <c r="H4079" s="3" t="s">
        <v>20074</v>
      </c>
      <c r="I4079" s="3" t="s">
        <v>21333</v>
      </c>
      <c r="J4079" s="3" t="s">
        <v>21334</v>
      </c>
      <c r="K4079" s="3" t="s">
        <v>21335</v>
      </c>
      <c r="L4079" s="3"/>
      <c r="M4079" s="4"/>
      <c r="N4079" s="3" t="s">
        <v>37</v>
      </c>
      <c r="O4079" s="3" t="s">
        <v>70</v>
      </c>
      <c r="P4079" s="5">
        <v>10</v>
      </c>
      <c r="Q4079" s="5">
        <v>194</v>
      </c>
      <c r="R4079" s="5">
        <v>10</v>
      </c>
      <c r="S4079" s="5">
        <v>196</v>
      </c>
    </row>
    <row r="4080" spans="1:19" ht="28" x14ac:dyDescent="0.15">
      <c r="A4080" s="2">
        <f>HYPERLINK("https://open-school.uspishnemisto.com.ua/school/210251/", 210251)</f>
        <v>210251</v>
      </c>
      <c r="B4080" s="3" t="s">
        <v>21336</v>
      </c>
      <c r="C4080" s="3" t="s">
        <v>31</v>
      </c>
      <c r="D4080" s="3" t="s">
        <v>32</v>
      </c>
      <c r="E4080" s="4" t="s">
        <v>22</v>
      </c>
      <c r="F4080" s="4" t="s">
        <v>21331</v>
      </c>
      <c r="G4080" s="4" t="s">
        <v>21332</v>
      </c>
      <c r="H4080" s="3" t="s">
        <v>20074</v>
      </c>
      <c r="I4080" s="3" t="s">
        <v>21333</v>
      </c>
      <c r="J4080" s="3" t="s">
        <v>21337</v>
      </c>
      <c r="K4080" s="3" t="s">
        <v>21338</v>
      </c>
      <c r="L4080" s="3"/>
      <c r="M4080" s="4"/>
      <c r="N4080" s="3" t="s">
        <v>37</v>
      </c>
      <c r="O4080" s="3" t="s">
        <v>70</v>
      </c>
      <c r="P4080" s="5">
        <v>32</v>
      </c>
      <c r="Q4080" s="5">
        <v>795</v>
      </c>
      <c r="R4080" s="5">
        <v>31</v>
      </c>
      <c r="S4080" s="5">
        <v>796</v>
      </c>
    </row>
    <row r="4081" spans="1:19" ht="28" x14ac:dyDescent="0.15">
      <c r="A4081" s="2">
        <f>HYPERLINK("https://open-school.uspishnemisto.com.ua/school/210252/", 210252)</f>
        <v>210252</v>
      </c>
      <c r="B4081" s="3" t="s">
        <v>21339</v>
      </c>
      <c r="C4081" s="3" t="s">
        <v>31</v>
      </c>
      <c r="D4081" s="3" t="s">
        <v>32</v>
      </c>
      <c r="E4081" s="4" t="s">
        <v>22</v>
      </c>
      <c r="F4081" s="4" t="s">
        <v>21340</v>
      </c>
      <c r="G4081" s="4" t="s">
        <v>21341</v>
      </c>
      <c r="H4081" s="3" t="s">
        <v>20074</v>
      </c>
      <c r="I4081" s="3" t="s">
        <v>21342</v>
      </c>
      <c r="J4081" s="3" t="s">
        <v>4442</v>
      </c>
      <c r="K4081" s="3" t="s">
        <v>21343</v>
      </c>
      <c r="L4081" s="3" t="s">
        <v>21344</v>
      </c>
      <c r="M4081" s="4"/>
      <c r="N4081" s="3" t="s">
        <v>37</v>
      </c>
      <c r="O4081" s="3" t="s">
        <v>70</v>
      </c>
      <c r="P4081" s="5">
        <v>12</v>
      </c>
      <c r="Q4081" s="5">
        <v>251</v>
      </c>
      <c r="R4081" s="5">
        <v>13</v>
      </c>
      <c r="S4081" s="5">
        <v>246</v>
      </c>
    </row>
    <row r="4082" spans="1:19" ht="56" x14ac:dyDescent="0.15">
      <c r="A4082" s="2">
        <f>HYPERLINK("https://open-school.uspishnemisto.com.ua/school/210253/", 210253)</f>
        <v>210253</v>
      </c>
      <c r="B4082" s="3" t="s">
        <v>21345</v>
      </c>
      <c r="C4082" s="3" t="s">
        <v>54</v>
      </c>
      <c r="D4082" s="3" t="s">
        <v>175</v>
      </c>
      <c r="E4082" s="4" t="s">
        <v>22</v>
      </c>
      <c r="F4082" s="4" t="s">
        <v>21346</v>
      </c>
      <c r="G4082" s="4" t="s">
        <v>21347</v>
      </c>
      <c r="H4082" s="3" t="s">
        <v>20074</v>
      </c>
      <c r="I4082" s="3" t="s">
        <v>21348</v>
      </c>
      <c r="J4082" s="3" t="s">
        <v>20967</v>
      </c>
      <c r="K4082" s="3" t="s">
        <v>21349</v>
      </c>
      <c r="L4082" s="3"/>
      <c r="M4082" s="4"/>
      <c r="N4082" s="3" t="s">
        <v>37</v>
      </c>
      <c r="O4082" s="3" t="s">
        <v>112</v>
      </c>
      <c r="P4082" s="5">
        <v>8</v>
      </c>
      <c r="Q4082" s="5">
        <v>64</v>
      </c>
      <c r="R4082" s="5">
        <v>8</v>
      </c>
      <c r="S4082" s="5">
        <v>61</v>
      </c>
    </row>
    <row r="4083" spans="1:19" ht="28" x14ac:dyDescent="0.15">
      <c r="A4083" s="2">
        <f>HYPERLINK("https://open-school.uspishnemisto.com.ua/school/210254/", 210254)</f>
        <v>210254</v>
      </c>
      <c r="B4083" s="3" t="s">
        <v>21350</v>
      </c>
      <c r="C4083" s="3" t="s">
        <v>31</v>
      </c>
      <c r="D4083" s="3" t="s">
        <v>32</v>
      </c>
      <c r="E4083" s="4" t="s">
        <v>22</v>
      </c>
      <c r="F4083" s="4" t="s">
        <v>21351</v>
      </c>
      <c r="G4083" s="4" t="s">
        <v>21352</v>
      </c>
      <c r="H4083" s="3" t="s">
        <v>20074</v>
      </c>
      <c r="I4083" s="3" t="s">
        <v>21353</v>
      </c>
      <c r="J4083" s="3" t="s">
        <v>1495</v>
      </c>
      <c r="K4083" s="3" t="s">
        <v>21354</v>
      </c>
      <c r="L4083" s="3"/>
      <c r="M4083" s="4"/>
      <c r="N4083" s="3" t="s">
        <v>37</v>
      </c>
      <c r="O4083" s="3" t="s">
        <v>70</v>
      </c>
      <c r="P4083" s="5">
        <v>15</v>
      </c>
      <c r="Q4083" s="5">
        <v>286</v>
      </c>
      <c r="R4083" s="5">
        <v>14</v>
      </c>
      <c r="S4083" s="5">
        <v>278</v>
      </c>
    </row>
    <row r="4084" spans="1:19" ht="28" x14ac:dyDescent="0.15">
      <c r="A4084" s="2">
        <f>HYPERLINK("https://open-school.uspishnemisto.com.ua/school/210255/", 210255)</f>
        <v>210255</v>
      </c>
      <c r="B4084" s="3" t="s">
        <v>21355</v>
      </c>
      <c r="C4084" s="3" t="s">
        <v>31</v>
      </c>
      <c r="D4084" s="3" t="s">
        <v>175</v>
      </c>
      <c r="E4084" s="4" t="s">
        <v>22</v>
      </c>
      <c r="F4084" s="4" t="s">
        <v>21351</v>
      </c>
      <c r="G4084" s="4" t="s">
        <v>21352</v>
      </c>
      <c r="H4084" s="3" t="s">
        <v>20074</v>
      </c>
      <c r="I4084" s="3" t="s">
        <v>21353</v>
      </c>
      <c r="J4084" s="3" t="s">
        <v>21356</v>
      </c>
      <c r="K4084" s="3"/>
      <c r="L4084" s="3"/>
      <c r="M4084" s="4"/>
      <c r="N4084" s="3" t="s">
        <v>37</v>
      </c>
      <c r="O4084" s="3" t="s">
        <v>38</v>
      </c>
      <c r="P4084" s="5">
        <v>9</v>
      </c>
      <c r="Q4084" s="5">
        <v>80</v>
      </c>
      <c r="R4084" s="5">
        <v>9</v>
      </c>
      <c r="S4084" s="5">
        <v>78</v>
      </c>
    </row>
    <row r="4085" spans="1:19" ht="28" x14ac:dyDescent="0.15">
      <c r="A4085" s="2">
        <f>HYPERLINK("https://open-school.uspishnemisto.com.ua/school/210256/", 210256)</f>
        <v>210256</v>
      </c>
      <c r="B4085" s="3" t="s">
        <v>21357</v>
      </c>
      <c r="C4085" s="3" t="s">
        <v>31</v>
      </c>
      <c r="D4085" s="3" t="s">
        <v>60</v>
      </c>
      <c r="E4085" s="4" t="s">
        <v>22</v>
      </c>
      <c r="F4085" s="4" t="s">
        <v>21351</v>
      </c>
      <c r="G4085" s="4" t="s">
        <v>21358</v>
      </c>
      <c r="H4085" s="3" t="s">
        <v>20074</v>
      </c>
      <c r="I4085" s="3" t="s">
        <v>21359</v>
      </c>
      <c r="J4085" s="3"/>
      <c r="K4085" s="3" t="s">
        <v>21360</v>
      </c>
      <c r="L4085" s="3"/>
      <c r="M4085" s="4"/>
      <c r="N4085" s="3" t="s">
        <v>37</v>
      </c>
      <c r="O4085" s="3" t="s">
        <v>618</v>
      </c>
      <c r="P4085" s="5">
        <v>0</v>
      </c>
      <c r="Q4085" s="5">
        <v>12</v>
      </c>
      <c r="R4085" s="5">
        <v>0</v>
      </c>
      <c r="S4085" s="5">
        <v>12</v>
      </c>
    </row>
    <row r="4086" spans="1:19" ht="28" x14ac:dyDescent="0.15">
      <c r="A4086" s="2">
        <f>HYPERLINK("https://open-school.uspishnemisto.com.ua/school/210257/", 210257)</f>
        <v>210257</v>
      </c>
      <c r="B4086" s="3" t="s">
        <v>21361</v>
      </c>
      <c r="C4086" s="3" t="s">
        <v>31</v>
      </c>
      <c r="D4086" s="3" t="s">
        <v>60</v>
      </c>
      <c r="E4086" s="4" t="s">
        <v>22</v>
      </c>
      <c r="F4086" s="4" t="s">
        <v>21351</v>
      </c>
      <c r="G4086" s="4" t="s">
        <v>21362</v>
      </c>
      <c r="H4086" s="3" t="s">
        <v>20074</v>
      </c>
      <c r="I4086" s="3" t="s">
        <v>21363</v>
      </c>
      <c r="J4086" s="3" t="s">
        <v>21364</v>
      </c>
      <c r="K4086" s="3" t="s">
        <v>21365</v>
      </c>
      <c r="L4086" s="3"/>
      <c r="M4086" s="4"/>
      <c r="N4086" s="3" t="s">
        <v>37</v>
      </c>
      <c r="O4086" s="3" t="s">
        <v>618</v>
      </c>
      <c r="P4086" s="5">
        <v>0</v>
      </c>
      <c r="Q4086" s="5">
        <v>8</v>
      </c>
      <c r="R4086" s="5">
        <v>0</v>
      </c>
      <c r="S4086" s="5">
        <v>7</v>
      </c>
    </row>
    <row r="4087" spans="1:19" ht="28" x14ac:dyDescent="0.15">
      <c r="A4087" s="2">
        <f>HYPERLINK("https://open-school.uspishnemisto.com.ua/school/210258/", 210258)</f>
        <v>210258</v>
      </c>
      <c r="B4087" s="3" t="s">
        <v>21366</v>
      </c>
      <c r="C4087" s="3" t="s">
        <v>31</v>
      </c>
      <c r="D4087" s="3" t="s">
        <v>175</v>
      </c>
      <c r="E4087" s="4" t="s">
        <v>22</v>
      </c>
      <c r="F4087" s="4" t="s">
        <v>21351</v>
      </c>
      <c r="G4087" s="4" t="s">
        <v>21367</v>
      </c>
      <c r="H4087" s="3" t="s">
        <v>20074</v>
      </c>
      <c r="I4087" s="3" t="s">
        <v>21368</v>
      </c>
      <c r="J4087" s="3"/>
      <c r="K4087" s="3" t="s">
        <v>21369</v>
      </c>
      <c r="L4087" s="3"/>
      <c r="M4087" s="4"/>
      <c r="N4087" s="3" t="s">
        <v>37</v>
      </c>
      <c r="O4087" s="3" t="s">
        <v>46</v>
      </c>
      <c r="P4087" s="5">
        <v>8</v>
      </c>
      <c r="Q4087" s="5">
        <v>84</v>
      </c>
      <c r="R4087" s="5">
        <v>9</v>
      </c>
      <c r="S4087" s="5">
        <v>89</v>
      </c>
    </row>
    <row r="4088" spans="1:19" ht="28" x14ac:dyDescent="0.15">
      <c r="A4088" s="2">
        <f>HYPERLINK("https://open-school.uspishnemisto.com.ua/school/210259/", 210259)</f>
        <v>210259</v>
      </c>
      <c r="B4088" s="3" t="s">
        <v>21370</v>
      </c>
      <c r="C4088" s="3" t="s">
        <v>31</v>
      </c>
      <c r="D4088" s="3" t="s">
        <v>175</v>
      </c>
      <c r="E4088" s="4" t="s">
        <v>22</v>
      </c>
      <c r="F4088" s="4" t="s">
        <v>21371</v>
      </c>
      <c r="G4088" s="4" t="s">
        <v>21372</v>
      </c>
      <c r="H4088" s="3" t="s">
        <v>20074</v>
      </c>
      <c r="I4088" s="3" t="s">
        <v>7441</v>
      </c>
      <c r="J4088" s="3" t="s">
        <v>21373</v>
      </c>
      <c r="K4088" s="3" t="s">
        <v>21374</v>
      </c>
      <c r="L4088" s="3"/>
      <c r="M4088" s="4"/>
      <c r="N4088" s="3" t="s">
        <v>37</v>
      </c>
      <c r="O4088" s="3" t="s">
        <v>70</v>
      </c>
      <c r="P4088" s="5">
        <v>22</v>
      </c>
      <c r="Q4088" s="5">
        <v>506</v>
      </c>
      <c r="R4088" s="5">
        <v>22</v>
      </c>
      <c r="S4088" s="5">
        <v>491</v>
      </c>
    </row>
    <row r="4089" spans="1:19" ht="28" x14ac:dyDescent="0.15">
      <c r="A4089" s="2">
        <f>HYPERLINK("https://open-school.uspishnemisto.com.ua/school/210260/", 210260)</f>
        <v>210260</v>
      </c>
      <c r="B4089" s="3" t="s">
        <v>21375</v>
      </c>
      <c r="C4089" s="3" t="s">
        <v>31</v>
      </c>
      <c r="D4089" s="3" t="s">
        <v>60</v>
      </c>
      <c r="E4089" s="4" t="s">
        <v>22</v>
      </c>
      <c r="F4089" s="4" t="s">
        <v>21376</v>
      </c>
      <c r="G4089" s="4" t="s">
        <v>21377</v>
      </c>
      <c r="H4089" s="3" t="s">
        <v>20074</v>
      </c>
      <c r="I4089" s="3" t="s">
        <v>21378</v>
      </c>
      <c r="J4089" s="3" t="s">
        <v>21379</v>
      </c>
      <c r="K4089" s="3" t="s">
        <v>21380</v>
      </c>
      <c r="L4089" s="3"/>
      <c r="M4089" s="4"/>
      <c r="N4089" s="3" t="s">
        <v>37</v>
      </c>
      <c r="O4089" s="3" t="s">
        <v>52</v>
      </c>
      <c r="P4089" s="5">
        <v>4</v>
      </c>
      <c r="Q4089" s="5">
        <v>38</v>
      </c>
      <c r="R4089" s="5">
        <v>4</v>
      </c>
      <c r="S4089" s="5">
        <v>34</v>
      </c>
    </row>
    <row r="4090" spans="1:19" ht="28" x14ac:dyDescent="0.15">
      <c r="A4090" s="2">
        <f>HYPERLINK("https://open-school.uspishnemisto.com.ua/school/210261/", 210261)</f>
        <v>210261</v>
      </c>
      <c r="B4090" s="3" t="s">
        <v>21381</v>
      </c>
      <c r="C4090" s="3" t="s">
        <v>31</v>
      </c>
      <c r="D4090" s="3" t="s">
        <v>32</v>
      </c>
      <c r="E4090" s="4" t="s">
        <v>22</v>
      </c>
      <c r="F4090" s="4" t="s">
        <v>21376</v>
      </c>
      <c r="G4090" s="4" t="s">
        <v>21377</v>
      </c>
      <c r="H4090" s="3" t="s">
        <v>20074</v>
      </c>
      <c r="I4090" s="3" t="s">
        <v>21378</v>
      </c>
      <c r="J4090" s="3" t="s">
        <v>16401</v>
      </c>
      <c r="K4090" s="3" t="s">
        <v>21382</v>
      </c>
      <c r="L4090" s="3"/>
      <c r="M4090" s="4"/>
      <c r="N4090" s="3" t="s">
        <v>37</v>
      </c>
      <c r="O4090" s="3" t="s">
        <v>70</v>
      </c>
      <c r="P4090" s="5">
        <v>15</v>
      </c>
      <c r="Q4090" s="5">
        <v>294</v>
      </c>
      <c r="R4090" s="5">
        <v>15</v>
      </c>
      <c r="S4090" s="5">
        <v>291</v>
      </c>
    </row>
    <row r="4091" spans="1:19" ht="28" x14ac:dyDescent="0.15">
      <c r="A4091" s="2">
        <f>HYPERLINK("https://open-school.uspishnemisto.com.ua/school/210262/", 210262)</f>
        <v>210262</v>
      </c>
      <c r="B4091" s="3" t="s">
        <v>21383</v>
      </c>
      <c r="C4091" s="3" t="s">
        <v>31</v>
      </c>
      <c r="D4091" s="3" t="s">
        <v>175</v>
      </c>
      <c r="E4091" s="4" t="s">
        <v>22</v>
      </c>
      <c r="F4091" s="4" t="s">
        <v>21384</v>
      </c>
      <c r="G4091" s="4" t="s">
        <v>21385</v>
      </c>
      <c r="H4091" s="3" t="s">
        <v>20074</v>
      </c>
      <c r="I4091" s="3" t="s">
        <v>21386</v>
      </c>
      <c r="J4091" s="3" t="s">
        <v>21387</v>
      </c>
      <c r="K4091" s="3" t="s">
        <v>21388</v>
      </c>
      <c r="L4091" s="3"/>
      <c r="M4091" s="4"/>
      <c r="N4091" s="3" t="s">
        <v>37</v>
      </c>
      <c r="O4091" s="3" t="s">
        <v>2740</v>
      </c>
      <c r="P4091" s="5">
        <v>10</v>
      </c>
      <c r="Q4091" s="5">
        <v>198</v>
      </c>
      <c r="R4091" s="5">
        <v>10</v>
      </c>
      <c r="S4091" s="5">
        <v>193</v>
      </c>
    </row>
    <row r="4092" spans="1:19" ht="28" x14ac:dyDescent="0.15">
      <c r="A4092" s="2">
        <f>HYPERLINK("https://open-school.uspishnemisto.com.ua/school/210263/", 210263)</f>
        <v>210263</v>
      </c>
      <c r="B4092" s="3" t="s">
        <v>21389</v>
      </c>
      <c r="C4092" s="3" t="s">
        <v>31</v>
      </c>
      <c r="D4092" s="3" t="s">
        <v>60</v>
      </c>
      <c r="E4092" s="4" t="s">
        <v>22</v>
      </c>
      <c r="F4092" s="4" t="s">
        <v>21384</v>
      </c>
      <c r="G4092" s="4" t="s">
        <v>21385</v>
      </c>
      <c r="H4092" s="3" t="s">
        <v>20074</v>
      </c>
      <c r="I4092" s="3" t="s">
        <v>21386</v>
      </c>
      <c r="J4092" s="3" t="s">
        <v>21390</v>
      </c>
      <c r="K4092" s="3" t="s">
        <v>21391</v>
      </c>
      <c r="L4092" s="3"/>
      <c r="M4092" s="4"/>
      <c r="N4092" s="3" t="s">
        <v>37</v>
      </c>
      <c r="O4092" s="3" t="s">
        <v>52</v>
      </c>
      <c r="P4092" s="5">
        <v>4</v>
      </c>
      <c r="Q4092" s="5">
        <v>31</v>
      </c>
      <c r="R4092" s="5">
        <v>4</v>
      </c>
      <c r="S4092" s="5">
        <v>33</v>
      </c>
    </row>
    <row r="4093" spans="1:19" ht="28" x14ac:dyDescent="0.15">
      <c r="A4093" s="2">
        <f>HYPERLINK("https://open-school.uspishnemisto.com.ua/school/210264/", 210264)</f>
        <v>210264</v>
      </c>
      <c r="B4093" s="3" t="s">
        <v>21392</v>
      </c>
      <c r="C4093" s="3" t="s">
        <v>31</v>
      </c>
      <c r="D4093" s="3" t="s">
        <v>32</v>
      </c>
      <c r="E4093" s="4" t="s">
        <v>22</v>
      </c>
      <c r="F4093" s="4" t="s">
        <v>21384</v>
      </c>
      <c r="G4093" s="4" t="s">
        <v>21385</v>
      </c>
      <c r="H4093" s="3" t="s">
        <v>20074</v>
      </c>
      <c r="I4093" s="3" t="s">
        <v>21386</v>
      </c>
      <c r="J4093" s="3" t="s">
        <v>21393</v>
      </c>
      <c r="K4093" s="3" t="s">
        <v>21394</v>
      </c>
      <c r="L4093" s="3"/>
      <c r="M4093" s="4"/>
      <c r="N4093" s="3" t="s">
        <v>37</v>
      </c>
      <c r="O4093" s="3" t="s">
        <v>38</v>
      </c>
      <c r="P4093" s="5">
        <v>30</v>
      </c>
      <c r="Q4093" s="5">
        <v>702</v>
      </c>
      <c r="R4093" s="5">
        <v>29</v>
      </c>
      <c r="S4093" s="5">
        <v>697</v>
      </c>
    </row>
    <row r="4094" spans="1:19" ht="28" x14ac:dyDescent="0.15">
      <c r="A4094" s="2">
        <f>HYPERLINK("https://open-school.uspishnemisto.com.ua/school/210265/", 210265)</f>
        <v>210265</v>
      </c>
      <c r="B4094" s="3" t="s">
        <v>21395</v>
      </c>
      <c r="C4094" s="3" t="s">
        <v>293</v>
      </c>
      <c r="D4094" s="3" t="s">
        <v>32</v>
      </c>
      <c r="E4094" s="4" t="s">
        <v>22</v>
      </c>
      <c r="F4094" s="4" t="s">
        <v>21384</v>
      </c>
      <c r="G4094" s="4" t="s">
        <v>21385</v>
      </c>
      <c r="H4094" s="3" t="s">
        <v>20074</v>
      </c>
      <c r="I4094" s="3" t="s">
        <v>21386</v>
      </c>
      <c r="J4094" s="3" t="s">
        <v>21396</v>
      </c>
      <c r="K4094" s="3" t="s">
        <v>21397</v>
      </c>
      <c r="L4094" s="3" t="s">
        <v>21398</v>
      </c>
      <c r="M4094" s="4"/>
      <c r="N4094" s="3" t="s">
        <v>37</v>
      </c>
      <c r="O4094" s="3" t="s">
        <v>721</v>
      </c>
      <c r="P4094" s="5">
        <v>11</v>
      </c>
      <c r="Q4094" s="5">
        <v>90</v>
      </c>
      <c r="R4094" s="5">
        <v>11</v>
      </c>
      <c r="S4094" s="5">
        <v>84</v>
      </c>
    </row>
    <row r="4095" spans="1:19" ht="28" x14ac:dyDescent="0.15">
      <c r="A4095" s="2">
        <f>HYPERLINK("https://open-school.uspishnemisto.com.ua/school/210266/", 210266)</f>
        <v>210266</v>
      </c>
      <c r="B4095" s="3" t="s">
        <v>21399</v>
      </c>
      <c r="C4095" s="3" t="s">
        <v>188</v>
      </c>
      <c r="D4095" s="3" t="s">
        <v>32</v>
      </c>
      <c r="E4095" s="4" t="s">
        <v>22</v>
      </c>
      <c r="F4095" s="4" t="s">
        <v>21384</v>
      </c>
      <c r="G4095" s="4" t="s">
        <v>21385</v>
      </c>
      <c r="H4095" s="3" t="s">
        <v>20074</v>
      </c>
      <c r="I4095" s="3" t="s">
        <v>21386</v>
      </c>
      <c r="J4095" s="3" t="s">
        <v>21400</v>
      </c>
      <c r="K4095" s="3" t="s">
        <v>21401</v>
      </c>
      <c r="L4095" s="3" t="s">
        <v>21402</v>
      </c>
      <c r="M4095" s="4"/>
      <c r="N4095" s="3" t="s">
        <v>37</v>
      </c>
      <c r="O4095" s="3" t="s">
        <v>38</v>
      </c>
      <c r="P4095" s="5">
        <v>7</v>
      </c>
      <c r="Q4095" s="5">
        <v>105</v>
      </c>
      <c r="R4095" s="5">
        <v>7</v>
      </c>
      <c r="S4095" s="5">
        <v>115</v>
      </c>
    </row>
    <row r="4096" spans="1:19" ht="28" x14ac:dyDescent="0.15">
      <c r="A4096" s="2">
        <f>HYPERLINK("https://open-school.uspishnemisto.com.ua/school/210267/", 210267)</f>
        <v>210267</v>
      </c>
      <c r="B4096" s="3" t="s">
        <v>21403</v>
      </c>
      <c r="C4096" s="3" t="s">
        <v>31</v>
      </c>
      <c r="D4096" s="3" t="s">
        <v>32</v>
      </c>
      <c r="E4096" s="4" t="s">
        <v>22</v>
      </c>
      <c r="F4096" s="4" t="s">
        <v>21404</v>
      </c>
      <c r="G4096" s="4" t="s">
        <v>21405</v>
      </c>
      <c r="H4096" s="3" t="s">
        <v>20074</v>
      </c>
      <c r="I4096" s="3" t="s">
        <v>9321</v>
      </c>
      <c r="J4096" s="3" t="s">
        <v>21406</v>
      </c>
      <c r="K4096" s="3" t="s">
        <v>21407</v>
      </c>
      <c r="L4096" s="3"/>
      <c r="M4096" s="4"/>
      <c r="N4096" s="3" t="s">
        <v>37</v>
      </c>
      <c r="O4096" s="3" t="s">
        <v>70</v>
      </c>
      <c r="P4096" s="5">
        <v>12</v>
      </c>
      <c r="Q4096" s="5">
        <v>284</v>
      </c>
      <c r="R4096" s="5">
        <v>11</v>
      </c>
      <c r="S4096" s="5">
        <v>270</v>
      </c>
    </row>
    <row r="4097" spans="1:19" ht="28" x14ac:dyDescent="0.15">
      <c r="A4097" s="2">
        <f>HYPERLINK("https://open-school.uspishnemisto.com.ua/school/210268/", 210268)</f>
        <v>210268</v>
      </c>
      <c r="B4097" s="3" t="s">
        <v>21408</v>
      </c>
      <c r="C4097" s="3" t="s">
        <v>31</v>
      </c>
      <c r="D4097" s="3" t="s">
        <v>60</v>
      </c>
      <c r="E4097" s="4" t="s">
        <v>22</v>
      </c>
      <c r="F4097" s="4" t="s">
        <v>21404</v>
      </c>
      <c r="G4097" s="4" t="s">
        <v>21409</v>
      </c>
      <c r="H4097" s="3" t="s">
        <v>20074</v>
      </c>
      <c r="I4097" s="3" t="s">
        <v>21410</v>
      </c>
      <c r="J4097" s="3" t="s">
        <v>21411</v>
      </c>
      <c r="K4097" s="3" t="s">
        <v>21412</v>
      </c>
      <c r="L4097" s="3"/>
      <c r="M4097" s="4"/>
      <c r="N4097" s="3" t="s">
        <v>37</v>
      </c>
      <c r="O4097" s="3" t="s">
        <v>52</v>
      </c>
      <c r="P4097" s="5">
        <v>4</v>
      </c>
      <c r="Q4097" s="5">
        <v>29</v>
      </c>
      <c r="R4097" s="5">
        <v>4</v>
      </c>
      <c r="S4097" s="5">
        <v>31</v>
      </c>
    </row>
    <row r="4098" spans="1:19" ht="28" x14ac:dyDescent="0.15">
      <c r="A4098" s="2">
        <f>HYPERLINK("https://open-school.uspishnemisto.com.ua/school/210269/", 210269)</f>
        <v>210269</v>
      </c>
      <c r="B4098" s="3" t="s">
        <v>21413</v>
      </c>
      <c r="C4098" s="3" t="s">
        <v>31</v>
      </c>
      <c r="D4098" s="3" t="s">
        <v>60</v>
      </c>
      <c r="E4098" s="4" t="s">
        <v>22</v>
      </c>
      <c r="F4098" s="4" t="s">
        <v>21414</v>
      </c>
      <c r="G4098" s="4" t="s">
        <v>21415</v>
      </c>
      <c r="H4098" s="3" t="s">
        <v>20074</v>
      </c>
      <c r="I4098" s="3" t="s">
        <v>21416</v>
      </c>
      <c r="J4098" s="3" t="s">
        <v>21417</v>
      </c>
      <c r="K4098" s="3" t="s">
        <v>21418</v>
      </c>
      <c r="L4098" s="3"/>
      <c r="M4098" s="4"/>
      <c r="N4098" s="3" t="s">
        <v>37</v>
      </c>
      <c r="O4098" s="3" t="s">
        <v>52</v>
      </c>
      <c r="P4098" s="5">
        <v>1</v>
      </c>
      <c r="Q4098" s="5">
        <v>10</v>
      </c>
      <c r="R4098" s="5">
        <v>1</v>
      </c>
      <c r="S4098" s="5">
        <v>11</v>
      </c>
    </row>
    <row r="4099" spans="1:19" ht="28" x14ac:dyDescent="0.15">
      <c r="A4099" s="2">
        <f>HYPERLINK("https://open-school.uspishnemisto.com.ua/school/210270/", 210270)</f>
        <v>210270</v>
      </c>
      <c r="B4099" s="3" t="s">
        <v>21419</v>
      </c>
      <c r="C4099" s="3" t="s">
        <v>31</v>
      </c>
      <c r="D4099" s="3" t="s">
        <v>175</v>
      </c>
      <c r="E4099" s="4" t="s">
        <v>22</v>
      </c>
      <c r="F4099" s="4" t="s">
        <v>21414</v>
      </c>
      <c r="G4099" s="4" t="s">
        <v>21420</v>
      </c>
      <c r="H4099" s="3" t="s">
        <v>20074</v>
      </c>
      <c r="I4099" s="3" t="s">
        <v>368</v>
      </c>
      <c r="J4099" s="3" t="s">
        <v>21421</v>
      </c>
      <c r="K4099" s="3" t="s">
        <v>21422</v>
      </c>
      <c r="L4099" s="3" t="s">
        <v>21423</v>
      </c>
      <c r="M4099" s="4"/>
      <c r="N4099" s="3" t="s">
        <v>37</v>
      </c>
      <c r="O4099" s="3" t="s">
        <v>38</v>
      </c>
      <c r="P4099" s="5">
        <v>9</v>
      </c>
      <c r="Q4099" s="5">
        <v>107</v>
      </c>
      <c r="R4099" s="5">
        <v>8</v>
      </c>
      <c r="S4099" s="5">
        <v>97</v>
      </c>
    </row>
    <row r="4100" spans="1:19" ht="28" x14ac:dyDescent="0.15">
      <c r="A4100" s="2">
        <f>HYPERLINK("https://open-school.uspishnemisto.com.ua/school/210271/", 210271)</f>
        <v>210271</v>
      </c>
      <c r="B4100" s="3" t="s">
        <v>21424</v>
      </c>
      <c r="C4100" s="3" t="s">
        <v>31</v>
      </c>
      <c r="D4100" s="3" t="s">
        <v>32</v>
      </c>
      <c r="E4100" s="4" t="s">
        <v>22</v>
      </c>
      <c r="F4100" s="4" t="s">
        <v>21425</v>
      </c>
      <c r="G4100" s="4" t="s">
        <v>21426</v>
      </c>
      <c r="H4100" s="3" t="s">
        <v>20074</v>
      </c>
      <c r="I4100" s="3" t="s">
        <v>21427</v>
      </c>
      <c r="J4100" s="3" t="s">
        <v>6432</v>
      </c>
      <c r="K4100" s="3" t="s">
        <v>21428</v>
      </c>
      <c r="L4100" s="3"/>
      <c r="M4100" s="4"/>
      <c r="N4100" s="3" t="s">
        <v>37</v>
      </c>
      <c r="O4100" s="3" t="s">
        <v>123</v>
      </c>
      <c r="P4100" s="5">
        <v>23</v>
      </c>
      <c r="Q4100" s="5">
        <v>540</v>
      </c>
      <c r="R4100" s="5">
        <v>26</v>
      </c>
      <c r="S4100" s="5">
        <v>569</v>
      </c>
    </row>
    <row r="4101" spans="1:19" ht="28" x14ac:dyDescent="0.15">
      <c r="A4101" s="2">
        <f>HYPERLINK("https://open-school.uspishnemisto.com.ua/school/210272/", 210272)</f>
        <v>210272</v>
      </c>
      <c r="B4101" s="3" t="s">
        <v>21429</v>
      </c>
      <c r="C4101" s="3" t="s">
        <v>31</v>
      </c>
      <c r="D4101" s="3" t="s">
        <v>32</v>
      </c>
      <c r="E4101" s="4" t="s">
        <v>22</v>
      </c>
      <c r="F4101" s="4" t="s">
        <v>21430</v>
      </c>
      <c r="G4101" s="4" t="s">
        <v>21431</v>
      </c>
      <c r="H4101" s="3" t="s">
        <v>20074</v>
      </c>
      <c r="I4101" s="3" t="s">
        <v>21432</v>
      </c>
      <c r="J4101" s="3" t="s">
        <v>21433</v>
      </c>
      <c r="K4101" s="3" t="s">
        <v>21434</v>
      </c>
      <c r="L4101" s="3"/>
      <c r="M4101" s="4"/>
      <c r="N4101" s="3" t="s">
        <v>37</v>
      </c>
      <c r="O4101" s="3" t="s">
        <v>197</v>
      </c>
      <c r="P4101" s="5">
        <v>12</v>
      </c>
      <c r="Q4101" s="5">
        <v>231</v>
      </c>
      <c r="R4101" s="5">
        <v>12</v>
      </c>
      <c r="S4101" s="5">
        <v>235</v>
      </c>
    </row>
    <row r="4102" spans="1:19" ht="28" x14ac:dyDescent="0.15">
      <c r="A4102" s="2">
        <f>HYPERLINK("https://open-school.uspishnemisto.com.ua/school/210273/", 210273)</f>
        <v>210273</v>
      </c>
      <c r="B4102" s="3" t="s">
        <v>21435</v>
      </c>
      <c r="C4102" s="3" t="s">
        <v>31</v>
      </c>
      <c r="D4102" s="3" t="s">
        <v>175</v>
      </c>
      <c r="E4102" s="4" t="s">
        <v>22</v>
      </c>
      <c r="F4102" s="4" t="s">
        <v>21436</v>
      </c>
      <c r="G4102" s="4" t="s">
        <v>21437</v>
      </c>
      <c r="H4102" s="3" t="s">
        <v>20074</v>
      </c>
      <c r="I4102" s="3" t="s">
        <v>21438</v>
      </c>
      <c r="J4102" s="3" t="s">
        <v>21439</v>
      </c>
      <c r="K4102" s="3" t="s">
        <v>21440</v>
      </c>
      <c r="L4102" s="3"/>
      <c r="M4102" s="4"/>
      <c r="N4102" s="3" t="s">
        <v>37</v>
      </c>
      <c r="O4102" s="3" t="s">
        <v>38</v>
      </c>
      <c r="P4102" s="5">
        <v>9</v>
      </c>
      <c r="Q4102" s="5">
        <v>112</v>
      </c>
      <c r="R4102" s="5">
        <v>9</v>
      </c>
      <c r="S4102" s="5">
        <v>104</v>
      </c>
    </row>
    <row r="4103" spans="1:19" ht="28" x14ac:dyDescent="0.15">
      <c r="A4103" s="2">
        <f>HYPERLINK("https://open-school.uspishnemisto.com.ua/school/210274/", 210274)</f>
        <v>210274</v>
      </c>
      <c r="B4103" s="3" t="s">
        <v>21441</v>
      </c>
      <c r="C4103" s="3" t="s">
        <v>31</v>
      </c>
      <c r="D4103" s="3" t="s">
        <v>175</v>
      </c>
      <c r="E4103" s="4" t="s">
        <v>22</v>
      </c>
      <c r="F4103" s="4" t="s">
        <v>21442</v>
      </c>
      <c r="G4103" s="4" t="s">
        <v>21443</v>
      </c>
      <c r="H4103" s="3" t="s">
        <v>20074</v>
      </c>
      <c r="I4103" s="3" t="s">
        <v>21444</v>
      </c>
      <c r="J4103" s="3" t="s">
        <v>21445</v>
      </c>
      <c r="K4103" s="3" t="s">
        <v>21446</v>
      </c>
      <c r="L4103" s="3" t="s">
        <v>21447</v>
      </c>
      <c r="M4103" s="4"/>
      <c r="N4103" s="3" t="s">
        <v>37</v>
      </c>
      <c r="O4103" s="3" t="s">
        <v>46</v>
      </c>
      <c r="P4103" s="5">
        <v>11</v>
      </c>
      <c r="Q4103" s="5">
        <v>185</v>
      </c>
      <c r="R4103" s="5">
        <v>10</v>
      </c>
      <c r="S4103" s="5">
        <v>178</v>
      </c>
    </row>
    <row r="4104" spans="1:19" ht="28" x14ac:dyDescent="0.15">
      <c r="A4104" s="2">
        <f>HYPERLINK("https://open-school.uspishnemisto.com.ua/school/210275/", 210275)</f>
        <v>210275</v>
      </c>
      <c r="B4104" s="3" t="s">
        <v>21448</v>
      </c>
      <c r="C4104" s="3" t="s">
        <v>31</v>
      </c>
      <c r="D4104" s="3" t="s">
        <v>60</v>
      </c>
      <c r="E4104" s="4" t="s">
        <v>22</v>
      </c>
      <c r="F4104" s="4" t="s">
        <v>21449</v>
      </c>
      <c r="G4104" s="4" t="s">
        <v>21450</v>
      </c>
      <c r="H4104" s="3" t="s">
        <v>20074</v>
      </c>
      <c r="I4104" s="3" t="s">
        <v>21451</v>
      </c>
      <c r="J4104" s="3" t="s">
        <v>21452</v>
      </c>
      <c r="K4104" s="3" t="s">
        <v>21453</v>
      </c>
      <c r="L4104" s="3"/>
      <c r="M4104" s="4"/>
      <c r="N4104" s="3" t="s">
        <v>37</v>
      </c>
      <c r="O4104" s="3" t="s">
        <v>52</v>
      </c>
      <c r="P4104" s="5">
        <v>4</v>
      </c>
      <c r="Q4104" s="5">
        <v>27</v>
      </c>
      <c r="R4104" s="5">
        <v>4</v>
      </c>
      <c r="S4104" s="5">
        <v>28</v>
      </c>
    </row>
    <row r="4105" spans="1:19" ht="28" x14ac:dyDescent="0.15">
      <c r="A4105" s="2">
        <f>HYPERLINK("https://open-school.uspishnemisto.com.ua/school/210276/", 210276)</f>
        <v>210276</v>
      </c>
      <c r="B4105" s="3" t="s">
        <v>21454</v>
      </c>
      <c r="C4105" s="3" t="s">
        <v>31</v>
      </c>
      <c r="D4105" s="3" t="s">
        <v>175</v>
      </c>
      <c r="E4105" s="4" t="s">
        <v>22</v>
      </c>
      <c r="F4105" s="4" t="s">
        <v>21449</v>
      </c>
      <c r="G4105" s="4" t="s">
        <v>21450</v>
      </c>
      <c r="H4105" s="3" t="s">
        <v>20074</v>
      </c>
      <c r="I4105" s="3" t="s">
        <v>21451</v>
      </c>
      <c r="J4105" s="3" t="s">
        <v>1576</v>
      </c>
      <c r="K4105" s="3"/>
      <c r="L4105" s="3"/>
      <c r="M4105" s="4"/>
      <c r="N4105" s="3" t="s">
        <v>37</v>
      </c>
      <c r="O4105" s="3" t="s">
        <v>70</v>
      </c>
      <c r="P4105" s="5">
        <v>9</v>
      </c>
      <c r="Q4105" s="5">
        <v>81</v>
      </c>
      <c r="R4105" s="5">
        <v>9</v>
      </c>
      <c r="S4105" s="5">
        <v>79</v>
      </c>
    </row>
    <row r="4106" spans="1:19" ht="28" x14ac:dyDescent="0.15">
      <c r="A4106" s="2">
        <f>HYPERLINK("https://open-school.uspishnemisto.com.ua/school/210277/", 210277)</f>
        <v>210277</v>
      </c>
      <c r="B4106" s="3" t="s">
        <v>21455</v>
      </c>
      <c r="C4106" s="3" t="s">
        <v>31</v>
      </c>
      <c r="D4106" s="3" t="s">
        <v>32</v>
      </c>
      <c r="E4106" s="4" t="s">
        <v>22</v>
      </c>
      <c r="F4106" s="4" t="s">
        <v>21449</v>
      </c>
      <c r="G4106" s="4" t="s">
        <v>21450</v>
      </c>
      <c r="H4106" s="3" t="s">
        <v>20074</v>
      </c>
      <c r="I4106" s="3" t="s">
        <v>21451</v>
      </c>
      <c r="J4106" s="3" t="s">
        <v>466</v>
      </c>
      <c r="K4106" s="3"/>
      <c r="L4106" s="3"/>
      <c r="M4106" s="4"/>
      <c r="N4106" s="3" t="s">
        <v>37</v>
      </c>
      <c r="O4106" s="3" t="s">
        <v>123</v>
      </c>
      <c r="P4106" s="5">
        <v>14</v>
      </c>
      <c r="Q4106" s="5">
        <v>251</v>
      </c>
      <c r="R4106" s="5">
        <v>15</v>
      </c>
      <c r="S4106" s="5">
        <v>260</v>
      </c>
    </row>
    <row r="4107" spans="1:19" ht="28" x14ac:dyDescent="0.15">
      <c r="A4107" s="2">
        <f>HYPERLINK("https://open-school.uspishnemisto.com.ua/school/210278/", 210278)</f>
        <v>210278</v>
      </c>
      <c r="B4107" s="3" t="s">
        <v>21456</v>
      </c>
      <c r="C4107" s="3" t="s">
        <v>31</v>
      </c>
      <c r="D4107" s="3" t="s">
        <v>175</v>
      </c>
      <c r="E4107" s="4" t="s">
        <v>22</v>
      </c>
      <c r="F4107" s="4" t="s">
        <v>21457</v>
      </c>
      <c r="G4107" s="4" t="s">
        <v>21458</v>
      </c>
      <c r="H4107" s="3" t="s">
        <v>20074</v>
      </c>
      <c r="I4107" s="3" t="s">
        <v>21459</v>
      </c>
      <c r="J4107" s="3" t="s">
        <v>4425</v>
      </c>
      <c r="K4107" s="3" t="s">
        <v>21460</v>
      </c>
      <c r="L4107" s="3"/>
      <c r="M4107" s="4"/>
      <c r="N4107" s="3" t="s">
        <v>37</v>
      </c>
      <c r="O4107" s="3" t="s">
        <v>52</v>
      </c>
      <c r="P4107" s="5">
        <v>9</v>
      </c>
      <c r="Q4107" s="5">
        <v>112</v>
      </c>
      <c r="R4107" s="5">
        <v>9</v>
      </c>
      <c r="S4107" s="5">
        <v>115</v>
      </c>
    </row>
    <row r="4108" spans="1:19" ht="28" x14ac:dyDescent="0.15">
      <c r="A4108" s="2">
        <f>HYPERLINK("https://open-school.uspishnemisto.com.ua/school/210279/", 210279)</f>
        <v>210279</v>
      </c>
      <c r="B4108" s="3" t="s">
        <v>21461</v>
      </c>
      <c r="C4108" s="3" t="s">
        <v>31</v>
      </c>
      <c r="D4108" s="3" t="s">
        <v>32</v>
      </c>
      <c r="E4108" s="4" t="s">
        <v>22</v>
      </c>
      <c r="F4108" s="4" t="s">
        <v>21462</v>
      </c>
      <c r="G4108" s="4" t="s">
        <v>21463</v>
      </c>
      <c r="H4108" s="3" t="s">
        <v>20074</v>
      </c>
      <c r="I4108" s="3" t="s">
        <v>5393</v>
      </c>
      <c r="J4108" s="3" t="s">
        <v>466</v>
      </c>
      <c r="K4108" s="3" t="s">
        <v>21464</v>
      </c>
      <c r="L4108" s="3"/>
      <c r="M4108" s="4"/>
      <c r="N4108" s="3" t="s">
        <v>37</v>
      </c>
      <c r="O4108" s="3" t="s">
        <v>46</v>
      </c>
      <c r="P4108" s="5">
        <v>13</v>
      </c>
      <c r="Q4108" s="5">
        <v>298</v>
      </c>
      <c r="R4108" s="5">
        <v>13</v>
      </c>
      <c r="S4108" s="5">
        <v>287</v>
      </c>
    </row>
    <row r="4109" spans="1:19" ht="28" x14ac:dyDescent="0.15">
      <c r="A4109" s="2">
        <f>HYPERLINK("https://open-school.uspishnemisto.com.ua/school/210280/", 210280)</f>
        <v>210280</v>
      </c>
      <c r="B4109" s="3" t="s">
        <v>21465</v>
      </c>
      <c r="C4109" s="3" t="s">
        <v>31</v>
      </c>
      <c r="D4109" s="3" t="s">
        <v>175</v>
      </c>
      <c r="E4109" s="4" t="s">
        <v>22</v>
      </c>
      <c r="F4109" s="4" t="s">
        <v>21466</v>
      </c>
      <c r="G4109" s="4" t="s">
        <v>21467</v>
      </c>
      <c r="H4109" s="3" t="s">
        <v>20074</v>
      </c>
      <c r="I4109" s="3" t="s">
        <v>21468</v>
      </c>
      <c r="J4109" s="3" t="s">
        <v>21469</v>
      </c>
      <c r="K4109" s="3" t="s">
        <v>21470</v>
      </c>
      <c r="L4109" s="3"/>
      <c r="M4109" s="4"/>
      <c r="N4109" s="3" t="s">
        <v>37</v>
      </c>
      <c r="O4109" s="3" t="s">
        <v>70</v>
      </c>
      <c r="P4109" s="5">
        <v>9</v>
      </c>
      <c r="Q4109" s="5">
        <v>147</v>
      </c>
      <c r="R4109" s="5">
        <v>9</v>
      </c>
      <c r="S4109" s="5">
        <v>157</v>
      </c>
    </row>
    <row r="4110" spans="1:19" ht="28" x14ac:dyDescent="0.15">
      <c r="A4110" s="2">
        <f>HYPERLINK("https://open-school.uspishnemisto.com.ua/school/210281/", 210281)</f>
        <v>210281</v>
      </c>
      <c r="B4110" s="3" t="s">
        <v>21471</v>
      </c>
      <c r="C4110" s="3" t="s">
        <v>31</v>
      </c>
      <c r="D4110" s="3" t="s">
        <v>60</v>
      </c>
      <c r="E4110" s="4" t="s">
        <v>22</v>
      </c>
      <c r="F4110" s="4" t="s">
        <v>21472</v>
      </c>
      <c r="G4110" s="4" t="s">
        <v>21473</v>
      </c>
      <c r="H4110" s="3" t="s">
        <v>20074</v>
      </c>
      <c r="I4110" s="3" t="s">
        <v>21474</v>
      </c>
      <c r="J4110" s="3" t="s">
        <v>21475</v>
      </c>
      <c r="K4110" s="3" t="s">
        <v>21476</v>
      </c>
      <c r="L4110" s="3"/>
      <c r="M4110" s="4"/>
      <c r="N4110" s="3" t="s">
        <v>37</v>
      </c>
      <c r="O4110" s="3" t="s">
        <v>52</v>
      </c>
      <c r="P4110" s="5">
        <v>4</v>
      </c>
      <c r="Q4110" s="5">
        <v>43</v>
      </c>
      <c r="R4110" s="5">
        <v>4</v>
      </c>
      <c r="S4110" s="5">
        <v>39</v>
      </c>
    </row>
    <row r="4111" spans="1:19" ht="28" x14ac:dyDescent="0.15">
      <c r="A4111" s="2">
        <f>HYPERLINK("https://open-school.uspishnemisto.com.ua/school/210282/", 210282)</f>
        <v>210282</v>
      </c>
      <c r="B4111" s="3" t="s">
        <v>21477</v>
      </c>
      <c r="C4111" s="3" t="s">
        <v>31</v>
      </c>
      <c r="D4111" s="3" t="s">
        <v>32</v>
      </c>
      <c r="E4111" s="4" t="s">
        <v>22</v>
      </c>
      <c r="F4111" s="4"/>
      <c r="G4111" s="4" t="s">
        <v>21473</v>
      </c>
      <c r="H4111" s="3" t="s">
        <v>20074</v>
      </c>
      <c r="I4111" s="3" t="s">
        <v>21474</v>
      </c>
      <c r="J4111" s="3" t="s">
        <v>21478</v>
      </c>
      <c r="K4111" s="3" t="s">
        <v>21479</v>
      </c>
      <c r="L4111" s="3"/>
      <c r="M4111" s="4"/>
      <c r="N4111" s="3" t="s">
        <v>37</v>
      </c>
      <c r="O4111" s="3" t="s">
        <v>721</v>
      </c>
      <c r="P4111" s="5">
        <v>22</v>
      </c>
      <c r="Q4111" s="5">
        <v>515</v>
      </c>
      <c r="R4111" s="5">
        <v>22</v>
      </c>
      <c r="S4111" s="5">
        <v>501</v>
      </c>
    </row>
    <row r="4112" spans="1:19" ht="28" x14ac:dyDescent="0.15">
      <c r="A4112" s="2">
        <f>HYPERLINK("https://open-school.uspishnemisto.com.ua/school/210283/", 210283)</f>
        <v>210283</v>
      </c>
      <c r="B4112" s="3" t="s">
        <v>21480</v>
      </c>
      <c r="C4112" s="3" t="s">
        <v>31</v>
      </c>
      <c r="D4112" s="3" t="s">
        <v>32</v>
      </c>
      <c r="E4112" s="4" t="s">
        <v>22</v>
      </c>
      <c r="F4112" s="4" t="s">
        <v>21481</v>
      </c>
      <c r="G4112" s="4" t="s">
        <v>21482</v>
      </c>
      <c r="H4112" s="3" t="s">
        <v>20074</v>
      </c>
      <c r="I4112" s="3" t="s">
        <v>21483</v>
      </c>
      <c r="J4112" s="3" t="s">
        <v>21484</v>
      </c>
      <c r="K4112" s="3" t="s">
        <v>21485</v>
      </c>
      <c r="L4112" s="3"/>
      <c r="M4112" s="4"/>
      <c r="N4112" s="3" t="s">
        <v>37</v>
      </c>
      <c r="O4112" s="3" t="s">
        <v>70</v>
      </c>
      <c r="P4112" s="5">
        <v>21</v>
      </c>
      <c r="Q4112" s="5">
        <v>389</v>
      </c>
      <c r="R4112" s="5">
        <v>22</v>
      </c>
      <c r="S4112" s="5">
        <v>405</v>
      </c>
    </row>
    <row r="4113" spans="1:19" ht="28" x14ac:dyDescent="0.15">
      <c r="A4113" s="2">
        <f>HYPERLINK("https://open-school.uspishnemisto.com.ua/school/210284/", 210284)</f>
        <v>210284</v>
      </c>
      <c r="B4113" s="3" t="s">
        <v>21486</v>
      </c>
      <c r="C4113" s="3" t="s">
        <v>31</v>
      </c>
      <c r="D4113" s="3" t="s">
        <v>175</v>
      </c>
      <c r="E4113" s="4" t="s">
        <v>22</v>
      </c>
      <c r="F4113" s="4" t="s">
        <v>21487</v>
      </c>
      <c r="G4113" s="4" t="s">
        <v>21488</v>
      </c>
      <c r="H4113" s="3" t="s">
        <v>20074</v>
      </c>
      <c r="I4113" s="3" t="s">
        <v>5514</v>
      </c>
      <c r="J4113" s="3" t="s">
        <v>13585</v>
      </c>
      <c r="K4113" s="3" t="s">
        <v>21489</v>
      </c>
      <c r="L4113" s="3"/>
      <c r="M4113" s="4"/>
      <c r="N4113" s="3" t="s">
        <v>37</v>
      </c>
      <c r="O4113" s="3" t="s">
        <v>52</v>
      </c>
      <c r="P4113" s="5">
        <v>9</v>
      </c>
      <c r="Q4113" s="5">
        <v>133</v>
      </c>
      <c r="R4113" s="5">
        <v>9</v>
      </c>
      <c r="S4113" s="5">
        <v>119</v>
      </c>
    </row>
    <row r="4114" spans="1:19" ht="42" x14ac:dyDescent="0.15">
      <c r="A4114" s="2">
        <f>HYPERLINK("https://open-school.uspishnemisto.com.ua/school/210285/", 210285)</f>
        <v>210285</v>
      </c>
      <c r="B4114" s="3" t="s">
        <v>21490</v>
      </c>
      <c r="C4114" s="3" t="s">
        <v>31</v>
      </c>
      <c r="D4114" s="3" t="s">
        <v>32</v>
      </c>
      <c r="E4114" s="4" t="s">
        <v>22</v>
      </c>
      <c r="F4114" s="4" t="s">
        <v>21487</v>
      </c>
      <c r="G4114" s="4" t="s">
        <v>21488</v>
      </c>
      <c r="H4114" s="3" t="s">
        <v>20074</v>
      </c>
      <c r="I4114" s="3" t="s">
        <v>5514</v>
      </c>
      <c r="J4114" s="3" t="s">
        <v>3683</v>
      </c>
      <c r="K4114" s="3" t="s">
        <v>21491</v>
      </c>
      <c r="L4114" s="3"/>
      <c r="M4114" s="4"/>
      <c r="N4114" s="3" t="s">
        <v>37</v>
      </c>
      <c r="O4114" s="3" t="s">
        <v>70</v>
      </c>
      <c r="P4114" s="5">
        <v>21</v>
      </c>
      <c r="Q4114" s="5">
        <v>454</v>
      </c>
      <c r="R4114" s="5">
        <v>23</v>
      </c>
      <c r="S4114" s="5">
        <v>467</v>
      </c>
    </row>
    <row r="4115" spans="1:19" ht="28" x14ac:dyDescent="0.15">
      <c r="A4115" s="2">
        <f>HYPERLINK("https://open-school.uspishnemisto.com.ua/school/210286/", 210286)</f>
        <v>210286</v>
      </c>
      <c r="B4115" s="3" t="s">
        <v>21492</v>
      </c>
      <c r="C4115" s="3" t="s">
        <v>31</v>
      </c>
      <c r="D4115" s="3" t="s">
        <v>32</v>
      </c>
      <c r="E4115" s="4" t="s">
        <v>22</v>
      </c>
      <c r="F4115" s="4" t="s">
        <v>21493</v>
      </c>
      <c r="G4115" s="4" t="s">
        <v>21494</v>
      </c>
      <c r="H4115" s="3" t="s">
        <v>20074</v>
      </c>
      <c r="I4115" s="3" t="s">
        <v>21495</v>
      </c>
      <c r="J4115" s="3" t="s">
        <v>21496</v>
      </c>
      <c r="K4115" s="3" t="s">
        <v>21497</v>
      </c>
      <c r="L4115" s="3"/>
      <c r="M4115" s="4"/>
      <c r="N4115" s="3" t="s">
        <v>37</v>
      </c>
      <c r="O4115" s="3" t="s">
        <v>46</v>
      </c>
      <c r="P4115" s="5">
        <v>12</v>
      </c>
      <c r="Q4115" s="5">
        <v>208</v>
      </c>
      <c r="R4115" s="5">
        <v>12</v>
      </c>
      <c r="S4115" s="5">
        <v>208</v>
      </c>
    </row>
    <row r="4116" spans="1:19" ht="28" x14ac:dyDescent="0.15">
      <c r="A4116" s="2">
        <f>HYPERLINK("https://open-school.uspishnemisto.com.ua/school/210287/", 210287)</f>
        <v>210287</v>
      </c>
      <c r="B4116" s="3" t="s">
        <v>21498</v>
      </c>
      <c r="C4116" s="3" t="s">
        <v>31</v>
      </c>
      <c r="D4116" s="3" t="s">
        <v>175</v>
      </c>
      <c r="E4116" s="4" t="s">
        <v>22</v>
      </c>
      <c r="F4116" s="4" t="s">
        <v>21346</v>
      </c>
      <c r="G4116" s="4" t="s">
        <v>21499</v>
      </c>
      <c r="H4116" s="3" t="s">
        <v>20074</v>
      </c>
      <c r="I4116" s="3" t="s">
        <v>21500</v>
      </c>
      <c r="J4116" s="3" t="s">
        <v>3415</v>
      </c>
      <c r="K4116" s="3" t="s">
        <v>21501</v>
      </c>
      <c r="L4116" s="3"/>
      <c r="M4116" s="4"/>
      <c r="N4116" s="3" t="s">
        <v>37</v>
      </c>
      <c r="O4116" s="3" t="s">
        <v>70</v>
      </c>
      <c r="P4116" s="5">
        <v>9</v>
      </c>
      <c r="Q4116" s="5">
        <v>118</v>
      </c>
      <c r="R4116" s="5">
        <v>9</v>
      </c>
      <c r="S4116" s="5">
        <v>120</v>
      </c>
    </row>
    <row r="4117" spans="1:19" ht="56" x14ac:dyDescent="0.15">
      <c r="A4117" s="2">
        <f>HYPERLINK("https://open-school.uspishnemisto.com.ua/school/210288/", 210288)</f>
        <v>210288</v>
      </c>
      <c r="B4117" s="3" t="s">
        <v>21502</v>
      </c>
      <c r="C4117" s="3" t="s">
        <v>54</v>
      </c>
      <c r="D4117" s="3" t="s">
        <v>175</v>
      </c>
      <c r="E4117" s="4" t="s">
        <v>22</v>
      </c>
      <c r="F4117" s="4" t="s">
        <v>21493</v>
      </c>
      <c r="G4117" s="4" t="s">
        <v>21503</v>
      </c>
      <c r="H4117" s="3" t="s">
        <v>20074</v>
      </c>
      <c r="I4117" s="3" t="s">
        <v>21504</v>
      </c>
      <c r="J4117" s="3" t="s">
        <v>11410</v>
      </c>
      <c r="K4117" s="3" t="s">
        <v>21505</v>
      </c>
      <c r="L4117" s="3" t="s">
        <v>21506</v>
      </c>
      <c r="M4117" s="4" t="s">
        <v>21507</v>
      </c>
      <c r="N4117" s="3" t="s">
        <v>37</v>
      </c>
      <c r="O4117" s="3" t="s">
        <v>70</v>
      </c>
      <c r="P4117" s="5">
        <v>5</v>
      </c>
      <c r="Q4117" s="5">
        <v>56</v>
      </c>
      <c r="R4117" s="5">
        <v>6</v>
      </c>
      <c r="S4117" s="5">
        <v>55</v>
      </c>
    </row>
    <row r="4118" spans="1:19" ht="28" x14ac:dyDescent="0.15">
      <c r="A4118" s="2">
        <f>HYPERLINK("https://open-school.uspishnemisto.com.ua/school/210289/", 210289)</f>
        <v>210289</v>
      </c>
      <c r="B4118" s="3" t="s">
        <v>21508</v>
      </c>
      <c r="C4118" s="3" t="s">
        <v>31</v>
      </c>
      <c r="D4118" s="3" t="s">
        <v>175</v>
      </c>
      <c r="E4118" s="4" t="s">
        <v>22</v>
      </c>
      <c r="F4118" s="4" t="s">
        <v>21509</v>
      </c>
      <c r="G4118" s="4" t="s">
        <v>21510</v>
      </c>
      <c r="H4118" s="3" t="s">
        <v>20074</v>
      </c>
      <c r="I4118" s="3" t="s">
        <v>21511</v>
      </c>
      <c r="J4118" s="3" t="s">
        <v>21512</v>
      </c>
      <c r="K4118" s="3" t="s">
        <v>21513</v>
      </c>
      <c r="L4118" s="3"/>
      <c r="M4118" s="4" t="s">
        <v>21514</v>
      </c>
      <c r="N4118" s="3" t="s">
        <v>37</v>
      </c>
      <c r="O4118" s="3" t="s">
        <v>46</v>
      </c>
      <c r="P4118" s="5">
        <v>9</v>
      </c>
      <c r="Q4118" s="5">
        <v>123</v>
      </c>
      <c r="R4118" s="5">
        <v>9</v>
      </c>
      <c r="S4118" s="5">
        <v>120</v>
      </c>
    </row>
    <row r="4119" spans="1:19" ht="28" x14ac:dyDescent="0.15">
      <c r="A4119" s="2">
        <f>HYPERLINK("https://open-school.uspishnemisto.com.ua/school/210290/", 210290)</f>
        <v>210290</v>
      </c>
      <c r="B4119" s="3" t="s">
        <v>21515</v>
      </c>
      <c r="C4119" s="3" t="s">
        <v>31</v>
      </c>
      <c r="D4119" s="3" t="s">
        <v>32</v>
      </c>
      <c r="E4119" s="4" t="s">
        <v>22</v>
      </c>
      <c r="F4119" s="4" t="s">
        <v>21509</v>
      </c>
      <c r="G4119" s="4" t="s">
        <v>21510</v>
      </c>
      <c r="H4119" s="3" t="s">
        <v>20074</v>
      </c>
      <c r="I4119" s="3" t="s">
        <v>21511</v>
      </c>
      <c r="J4119" s="3" t="s">
        <v>14642</v>
      </c>
      <c r="K4119" s="3"/>
      <c r="L4119" s="3"/>
      <c r="M4119" s="4" t="s">
        <v>21516</v>
      </c>
      <c r="N4119" s="3" t="s">
        <v>37</v>
      </c>
      <c r="O4119" s="3" t="s">
        <v>46</v>
      </c>
      <c r="P4119" s="5">
        <v>30</v>
      </c>
      <c r="Q4119" s="5">
        <v>761</v>
      </c>
      <c r="R4119" s="5">
        <v>29</v>
      </c>
      <c r="S4119" s="5">
        <v>745</v>
      </c>
    </row>
    <row r="4120" spans="1:19" ht="56" x14ac:dyDescent="0.15">
      <c r="A4120" s="2">
        <f>HYPERLINK("https://open-school.uspishnemisto.com.ua/school/210291/", 210291)</f>
        <v>210291</v>
      </c>
      <c r="B4120" s="3" t="s">
        <v>21517</v>
      </c>
      <c r="C4120" s="3" t="s">
        <v>244</v>
      </c>
      <c r="D4120" s="3" t="s">
        <v>32</v>
      </c>
      <c r="E4120" s="4" t="s">
        <v>22</v>
      </c>
      <c r="F4120" s="4" t="s">
        <v>21509</v>
      </c>
      <c r="G4120" s="4" t="s">
        <v>21510</v>
      </c>
      <c r="H4120" s="3" t="s">
        <v>20074</v>
      </c>
      <c r="I4120" s="3" t="s">
        <v>21511</v>
      </c>
      <c r="J4120" s="3" t="s">
        <v>21518</v>
      </c>
      <c r="K4120" s="3" t="s">
        <v>21519</v>
      </c>
      <c r="L4120" s="3"/>
      <c r="M4120" s="4" t="s">
        <v>21520</v>
      </c>
      <c r="N4120" s="3" t="s">
        <v>37</v>
      </c>
      <c r="O4120" s="3" t="s">
        <v>46</v>
      </c>
      <c r="P4120" s="5">
        <v>23</v>
      </c>
      <c r="Q4120" s="5">
        <v>515</v>
      </c>
      <c r="R4120" s="5">
        <v>24</v>
      </c>
      <c r="S4120" s="5">
        <v>533</v>
      </c>
    </row>
    <row r="4121" spans="1:19" ht="28" x14ac:dyDescent="0.15">
      <c r="A4121" s="2">
        <f>HYPERLINK("https://open-school.uspishnemisto.com.ua/school/210292/", 210292)</f>
        <v>210292</v>
      </c>
      <c r="B4121" s="3" t="s">
        <v>21521</v>
      </c>
      <c r="C4121" s="3" t="s">
        <v>31</v>
      </c>
      <c r="D4121" s="3" t="s">
        <v>175</v>
      </c>
      <c r="E4121" s="4" t="s">
        <v>22</v>
      </c>
      <c r="F4121" s="4" t="s">
        <v>21522</v>
      </c>
      <c r="G4121" s="4" t="s">
        <v>21523</v>
      </c>
      <c r="H4121" s="3" t="s">
        <v>20074</v>
      </c>
      <c r="I4121" s="3" t="s">
        <v>21524</v>
      </c>
      <c r="J4121" s="3" t="s">
        <v>21525</v>
      </c>
      <c r="K4121" s="3" t="s">
        <v>21526</v>
      </c>
      <c r="L4121" s="3"/>
      <c r="M4121" s="4"/>
      <c r="N4121" s="3" t="s">
        <v>37</v>
      </c>
      <c r="O4121" s="3" t="s">
        <v>52</v>
      </c>
      <c r="P4121" s="5">
        <v>9</v>
      </c>
      <c r="Q4121" s="5">
        <v>148</v>
      </c>
      <c r="R4121" s="5">
        <v>9</v>
      </c>
      <c r="S4121" s="5">
        <v>145</v>
      </c>
    </row>
    <row r="4122" spans="1:19" ht="56" x14ac:dyDescent="0.15">
      <c r="A4122" s="2">
        <f>HYPERLINK("https://open-school.uspishnemisto.com.ua/school/210293/", 210293)</f>
        <v>210293</v>
      </c>
      <c r="B4122" s="3" t="s">
        <v>21527</v>
      </c>
      <c r="C4122" s="3" t="s">
        <v>54</v>
      </c>
      <c r="D4122" s="3" t="s">
        <v>175</v>
      </c>
      <c r="E4122" s="4" t="s">
        <v>22</v>
      </c>
      <c r="F4122" s="4" t="s">
        <v>21509</v>
      </c>
      <c r="G4122" s="4" t="s">
        <v>21528</v>
      </c>
      <c r="H4122" s="3" t="s">
        <v>20074</v>
      </c>
      <c r="I4122" s="3" t="s">
        <v>21529</v>
      </c>
      <c r="J4122" s="3" t="s">
        <v>20754</v>
      </c>
      <c r="K4122" s="3" t="s">
        <v>21530</v>
      </c>
      <c r="L4122" s="3"/>
      <c r="M4122" s="4" t="s">
        <v>21531</v>
      </c>
      <c r="N4122" s="3" t="s">
        <v>37</v>
      </c>
      <c r="O4122" s="3" t="s">
        <v>46</v>
      </c>
      <c r="P4122" s="5">
        <v>6</v>
      </c>
      <c r="Q4122" s="5">
        <v>49</v>
      </c>
      <c r="R4122" s="5">
        <v>5</v>
      </c>
      <c r="S4122" s="5">
        <v>44</v>
      </c>
    </row>
    <row r="4123" spans="1:19" ht="56" x14ac:dyDescent="0.15">
      <c r="A4123" s="2">
        <f>HYPERLINK("https://open-school.uspishnemisto.com.ua/school/210294/", 210294)</f>
        <v>210294</v>
      </c>
      <c r="B4123" s="3" t="s">
        <v>21532</v>
      </c>
      <c r="C4123" s="3" t="s">
        <v>54</v>
      </c>
      <c r="D4123" s="3" t="s">
        <v>175</v>
      </c>
      <c r="E4123" s="4" t="s">
        <v>22</v>
      </c>
      <c r="F4123" s="4" t="s">
        <v>21533</v>
      </c>
      <c r="G4123" s="4" t="s">
        <v>21534</v>
      </c>
      <c r="H4123" s="3" t="s">
        <v>20074</v>
      </c>
      <c r="I4123" s="3" t="s">
        <v>21137</v>
      </c>
      <c r="J4123" s="3" t="s">
        <v>21535</v>
      </c>
      <c r="K4123" s="3"/>
      <c r="L4123" s="3"/>
      <c r="M4123" s="4"/>
      <c r="N4123" s="3" t="s">
        <v>37</v>
      </c>
      <c r="O4123" s="3" t="s">
        <v>46</v>
      </c>
      <c r="P4123" s="5">
        <v>2</v>
      </c>
      <c r="Q4123" s="5">
        <v>19</v>
      </c>
      <c r="R4123" s="5">
        <v>2</v>
      </c>
      <c r="S4123" s="5">
        <v>28</v>
      </c>
    </row>
    <row r="4124" spans="1:19" ht="28" x14ac:dyDescent="0.15">
      <c r="A4124" s="2">
        <f>HYPERLINK("https://open-school.uspishnemisto.com.ua/school/210295/", 210295)</f>
        <v>210295</v>
      </c>
      <c r="B4124" s="3" t="s">
        <v>21536</v>
      </c>
      <c r="C4124" s="3" t="s">
        <v>31</v>
      </c>
      <c r="D4124" s="3" t="s">
        <v>175</v>
      </c>
      <c r="E4124" s="4" t="s">
        <v>22</v>
      </c>
      <c r="F4124" s="4" t="s">
        <v>21537</v>
      </c>
      <c r="G4124" s="4" t="s">
        <v>21538</v>
      </c>
      <c r="H4124" s="3" t="s">
        <v>20074</v>
      </c>
      <c r="I4124" s="3" t="s">
        <v>21539</v>
      </c>
      <c r="J4124" s="3" t="s">
        <v>21540</v>
      </c>
      <c r="K4124" s="3" t="s">
        <v>21541</v>
      </c>
      <c r="L4124" s="3"/>
      <c r="M4124" s="4" t="s">
        <v>21542</v>
      </c>
      <c r="N4124" s="3" t="s">
        <v>37</v>
      </c>
      <c r="O4124" s="3" t="s">
        <v>52</v>
      </c>
      <c r="P4124" s="5">
        <v>9</v>
      </c>
      <c r="Q4124" s="5">
        <v>131</v>
      </c>
      <c r="R4124" s="5">
        <v>9</v>
      </c>
      <c r="S4124" s="5">
        <v>134</v>
      </c>
    </row>
    <row r="4125" spans="1:19" ht="56" x14ac:dyDescent="0.15">
      <c r="A4125" s="2">
        <f>HYPERLINK("https://open-school.uspishnemisto.com.ua/school/210296/", 210296)</f>
        <v>210296</v>
      </c>
      <c r="B4125" s="3" t="s">
        <v>21543</v>
      </c>
      <c r="C4125" s="3" t="s">
        <v>54</v>
      </c>
      <c r="D4125" s="3" t="s">
        <v>175</v>
      </c>
      <c r="E4125" s="4" t="s">
        <v>22</v>
      </c>
      <c r="F4125" s="4" t="s">
        <v>21544</v>
      </c>
      <c r="G4125" s="4" t="s">
        <v>21545</v>
      </c>
      <c r="H4125" s="3" t="s">
        <v>20074</v>
      </c>
      <c r="I4125" s="3" t="s">
        <v>21546</v>
      </c>
      <c r="J4125" s="3" t="s">
        <v>21547</v>
      </c>
      <c r="K4125" s="3" t="s">
        <v>21548</v>
      </c>
      <c r="L4125" s="3"/>
      <c r="M4125" s="4" t="s">
        <v>21549</v>
      </c>
      <c r="N4125" s="3" t="s">
        <v>37</v>
      </c>
      <c r="O4125" s="3" t="s">
        <v>52</v>
      </c>
      <c r="P4125" s="5">
        <v>8</v>
      </c>
      <c r="Q4125" s="5">
        <v>69</v>
      </c>
      <c r="R4125" s="5">
        <v>8</v>
      </c>
      <c r="S4125" s="5">
        <v>70</v>
      </c>
    </row>
    <row r="4126" spans="1:19" ht="28" x14ac:dyDescent="0.15">
      <c r="A4126" s="2">
        <f>HYPERLINK("https://open-school.uspishnemisto.com.ua/school/210297/", 210297)</f>
        <v>210297</v>
      </c>
      <c r="B4126" s="3" t="s">
        <v>21550</v>
      </c>
      <c r="C4126" s="3" t="s">
        <v>31</v>
      </c>
      <c r="D4126" s="3" t="s">
        <v>32</v>
      </c>
      <c r="E4126" s="4" t="s">
        <v>22</v>
      </c>
      <c r="F4126" s="4" t="s">
        <v>21551</v>
      </c>
      <c r="G4126" s="4" t="s">
        <v>21552</v>
      </c>
      <c r="H4126" s="3" t="s">
        <v>20074</v>
      </c>
      <c r="I4126" s="3" t="s">
        <v>21553</v>
      </c>
      <c r="J4126" s="3" t="s">
        <v>21554</v>
      </c>
      <c r="K4126" s="3" t="s">
        <v>21555</v>
      </c>
      <c r="L4126" s="3"/>
      <c r="M4126" s="4"/>
      <c r="N4126" s="3" t="s">
        <v>37</v>
      </c>
      <c r="O4126" s="3" t="s">
        <v>46</v>
      </c>
      <c r="P4126" s="5">
        <v>12</v>
      </c>
      <c r="Q4126" s="5">
        <v>184</v>
      </c>
      <c r="R4126" s="5">
        <v>11</v>
      </c>
      <c r="S4126" s="5">
        <v>178</v>
      </c>
    </row>
    <row r="4127" spans="1:19" ht="28" x14ac:dyDescent="0.15">
      <c r="A4127" s="2">
        <f>HYPERLINK("https://open-school.uspishnemisto.com.ua/school/210298/", 210298)</f>
        <v>210298</v>
      </c>
      <c r="B4127" s="3" t="s">
        <v>21556</v>
      </c>
      <c r="C4127" s="3" t="s">
        <v>31</v>
      </c>
      <c r="D4127" s="3" t="s">
        <v>175</v>
      </c>
      <c r="E4127" s="4" t="s">
        <v>22</v>
      </c>
      <c r="F4127" s="4" t="s">
        <v>21557</v>
      </c>
      <c r="G4127" s="4" t="s">
        <v>21558</v>
      </c>
      <c r="H4127" s="3" t="s">
        <v>20074</v>
      </c>
      <c r="I4127" s="3" t="s">
        <v>21559</v>
      </c>
      <c r="J4127" s="3" t="s">
        <v>21560</v>
      </c>
      <c r="K4127" s="3" t="s">
        <v>21561</v>
      </c>
      <c r="L4127" s="3"/>
      <c r="M4127" s="4" t="s">
        <v>21562</v>
      </c>
      <c r="N4127" s="3" t="s">
        <v>37</v>
      </c>
      <c r="O4127" s="3" t="s">
        <v>46</v>
      </c>
      <c r="P4127" s="5">
        <v>8</v>
      </c>
      <c r="Q4127" s="5">
        <v>62</v>
      </c>
      <c r="R4127" s="5">
        <v>7</v>
      </c>
      <c r="S4127" s="5">
        <v>50</v>
      </c>
    </row>
    <row r="4128" spans="1:19" ht="56" x14ac:dyDescent="0.15">
      <c r="A4128" s="2">
        <f>HYPERLINK("https://open-school.uspishnemisto.com.ua/school/210299/", 210299)</f>
        <v>210299</v>
      </c>
      <c r="B4128" s="3" t="s">
        <v>21563</v>
      </c>
      <c r="C4128" s="3" t="s">
        <v>54</v>
      </c>
      <c r="D4128" s="3" t="s">
        <v>175</v>
      </c>
      <c r="E4128" s="4" t="s">
        <v>22</v>
      </c>
      <c r="F4128" s="4" t="s">
        <v>21564</v>
      </c>
      <c r="G4128" s="4" t="s">
        <v>21565</v>
      </c>
      <c r="H4128" s="3" t="s">
        <v>20074</v>
      </c>
      <c r="I4128" s="3" t="s">
        <v>21566</v>
      </c>
      <c r="J4128" s="3" t="s">
        <v>20701</v>
      </c>
      <c r="K4128" s="3" t="s">
        <v>21567</v>
      </c>
      <c r="L4128" s="3"/>
      <c r="M4128" s="4" t="s">
        <v>21568</v>
      </c>
      <c r="N4128" s="3" t="s">
        <v>37</v>
      </c>
      <c r="O4128" s="3" t="s">
        <v>46</v>
      </c>
      <c r="P4128" s="5">
        <v>6</v>
      </c>
      <c r="Q4128" s="5">
        <v>48</v>
      </c>
      <c r="R4128" s="5">
        <v>6</v>
      </c>
      <c r="S4128" s="5">
        <v>46</v>
      </c>
    </row>
    <row r="4129" spans="1:19" ht="28" x14ac:dyDescent="0.15">
      <c r="A4129" s="2">
        <f>HYPERLINK("https://open-school.uspishnemisto.com.ua/school/210300/", 210300)</f>
        <v>210300</v>
      </c>
      <c r="B4129" s="3" t="s">
        <v>21569</v>
      </c>
      <c r="C4129" s="3" t="s">
        <v>31</v>
      </c>
      <c r="D4129" s="3" t="s">
        <v>32</v>
      </c>
      <c r="E4129" s="4" t="s">
        <v>22</v>
      </c>
      <c r="F4129" s="4" t="s">
        <v>21570</v>
      </c>
      <c r="G4129" s="4" t="s">
        <v>21571</v>
      </c>
      <c r="H4129" s="3" t="s">
        <v>20074</v>
      </c>
      <c r="I4129" s="3" t="s">
        <v>21572</v>
      </c>
      <c r="J4129" s="3" t="s">
        <v>21573</v>
      </c>
      <c r="K4129" s="3" t="s">
        <v>21574</v>
      </c>
      <c r="L4129" s="3"/>
      <c r="M4129" s="4" t="s">
        <v>21575</v>
      </c>
      <c r="N4129" s="3" t="s">
        <v>37</v>
      </c>
      <c r="O4129" s="3" t="s">
        <v>46</v>
      </c>
      <c r="P4129" s="5">
        <v>26</v>
      </c>
      <c r="Q4129" s="5">
        <v>428</v>
      </c>
      <c r="R4129" s="5">
        <v>25</v>
      </c>
      <c r="S4129" s="5">
        <v>428</v>
      </c>
    </row>
    <row r="4130" spans="1:19" ht="56" x14ac:dyDescent="0.15">
      <c r="A4130" s="2">
        <f>HYPERLINK("https://open-school.uspishnemisto.com.ua/school/210301/", 210301)</f>
        <v>210301</v>
      </c>
      <c r="B4130" s="3" t="s">
        <v>21576</v>
      </c>
      <c r="C4130" s="3" t="s">
        <v>54</v>
      </c>
      <c r="D4130" s="3" t="s">
        <v>32</v>
      </c>
      <c r="E4130" s="4" t="s">
        <v>22</v>
      </c>
      <c r="F4130" s="4" t="s">
        <v>21577</v>
      </c>
      <c r="G4130" s="4" t="s">
        <v>21571</v>
      </c>
      <c r="H4130" s="3" t="s">
        <v>20074</v>
      </c>
      <c r="I4130" s="3" t="s">
        <v>21572</v>
      </c>
      <c r="J4130" s="3" t="s">
        <v>21578</v>
      </c>
      <c r="K4130" s="3" t="s">
        <v>21579</v>
      </c>
      <c r="L4130" s="3"/>
      <c r="M4130" s="4"/>
      <c r="N4130" s="3" t="s">
        <v>37</v>
      </c>
      <c r="O4130" s="3" t="s">
        <v>46</v>
      </c>
      <c r="P4130" s="5">
        <v>13</v>
      </c>
      <c r="Q4130" s="5">
        <v>193</v>
      </c>
      <c r="R4130" s="5">
        <v>13</v>
      </c>
      <c r="S4130" s="5">
        <v>213</v>
      </c>
    </row>
    <row r="4131" spans="1:19" ht="28" x14ac:dyDescent="0.15">
      <c r="A4131" s="2">
        <f>HYPERLINK("https://open-school.uspishnemisto.com.ua/school/210668/", 210668)</f>
        <v>210668</v>
      </c>
      <c r="B4131" s="3" t="s">
        <v>21580</v>
      </c>
      <c r="C4131" s="3" t="s">
        <v>40</v>
      </c>
      <c r="D4131" s="3" t="s">
        <v>32</v>
      </c>
      <c r="E4131" s="4" t="s">
        <v>22</v>
      </c>
      <c r="F4131" s="4" t="s">
        <v>21581</v>
      </c>
      <c r="G4131" s="4" t="s">
        <v>21571</v>
      </c>
      <c r="H4131" s="3" t="s">
        <v>20074</v>
      </c>
      <c r="I4131" s="3" t="s">
        <v>21572</v>
      </c>
      <c r="J4131" s="3" t="s">
        <v>21578</v>
      </c>
      <c r="K4131" s="3" t="s">
        <v>21582</v>
      </c>
      <c r="L4131" s="3"/>
      <c r="M4131" s="4"/>
      <c r="N4131" s="3" t="s">
        <v>37</v>
      </c>
      <c r="O4131" s="3" t="s">
        <v>46</v>
      </c>
      <c r="P4131" s="5">
        <v>3</v>
      </c>
      <c r="Q4131" s="5">
        <v>25</v>
      </c>
      <c r="R4131" s="5"/>
      <c r="S4131" s="5"/>
    </row>
    <row r="4132" spans="1:19" ht="28" x14ac:dyDescent="0.15">
      <c r="A4132" s="2">
        <f>HYPERLINK("https://open-school.uspishnemisto.com.ua/school/210302/", 210302)</f>
        <v>210302</v>
      </c>
      <c r="B4132" s="3" t="s">
        <v>21583</v>
      </c>
      <c r="C4132" s="3" t="s">
        <v>31</v>
      </c>
      <c r="D4132" s="3" t="s">
        <v>175</v>
      </c>
      <c r="E4132" s="4" t="s">
        <v>22</v>
      </c>
      <c r="F4132" s="4" t="s">
        <v>21570</v>
      </c>
      <c r="G4132" s="4" t="s">
        <v>21584</v>
      </c>
      <c r="H4132" s="3" t="s">
        <v>20074</v>
      </c>
      <c r="I4132" s="3" t="s">
        <v>21585</v>
      </c>
      <c r="J4132" s="3" t="s">
        <v>2384</v>
      </c>
      <c r="K4132" s="3" t="s">
        <v>21586</v>
      </c>
      <c r="L4132" s="3"/>
      <c r="M4132" s="4" t="s">
        <v>21587</v>
      </c>
      <c r="N4132" s="3" t="s">
        <v>37</v>
      </c>
      <c r="O4132" s="3" t="s">
        <v>46</v>
      </c>
      <c r="P4132" s="5">
        <v>13</v>
      </c>
      <c r="Q4132" s="5">
        <v>200</v>
      </c>
      <c r="R4132" s="5">
        <v>13</v>
      </c>
      <c r="S4132" s="5">
        <v>199</v>
      </c>
    </row>
    <row r="4133" spans="1:19" ht="56" x14ac:dyDescent="0.15">
      <c r="A4133" s="2">
        <f>HYPERLINK("https://open-school.uspishnemisto.com.ua/school/210303/", 210303)</f>
        <v>210303</v>
      </c>
      <c r="B4133" s="3" t="s">
        <v>21588</v>
      </c>
      <c r="C4133" s="3" t="s">
        <v>54</v>
      </c>
      <c r="D4133" s="3" t="s">
        <v>175</v>
      </c>
      <c r="E4133" s="4" t="s">
        <v>22</v>
      </c>
      <c r="F4133" s="4" t="s">
        <v>21570</v>
      </c>
      <c r="G4133" s="4" t="s">
        <v>21589</v>
      </c>
      <c r="H4133" s="3" t="s">
        <v>20074</v>
      </c>
      <c r="I4133" s="3" t="s">
        <v>21590</v>
      </c>
      <c r="J4133" s="3" t="s">
        <v>16903</v>
      </c>
      <c r="K4133" s="3" t="s">
        <v>21591</v>
      </c>
      <c r="L4133" s="3"/>
      <c r="M4133" s="4" t="s">
        <v>21592</v>
      </c>
      <c r="N4133" s="3" t="s">
        <v>37</v>
      </c>
      <c r="O4133" s="3" t="s">
        <v>46</v>
      </c>
      <c r="P4133" s="5">
        <v>9</v>
      </c>
      <c r="Q4133" s="5">
        <v>75</v>
      </c>
      <c r="R4133" s="5">
        <v>9</v>
      </c>
      <c r="S4133" s="5">
        <v>71</v>
      </c>
    </row>
    <row r="4134" spans="1:19" ht="56" x14ac:dyDescent="0.15">
      <c r="A4134" s="2">
        <f>HYPERLINK("https://open-school.uspishnemisto.com.ua/school/210304/", 210304)</f>
        <v>210304</v>
      </c>
      <c r="B4134" s="3" t="s">
        <v>21593</v>
      </c>
      <c r="C4134" s="3" t="s">
        <v>54</v>
      </c>
      <c r="D4134" s="3" t="s">
        <v>175</v>
      </c>
      <c r="E4134" s="4" t="s">
        <v>22</v>
      </c>
      <c r="F4134" s="4" t="s">
        <v>21594</v>
      </c>
      <c r="G4134" s="4" t="s">
        <v>21595</v>
      </c>
      <c r="H4134" s="3" t="s">
        <v>20074</v>
      </c>
      <c r="I4134" s="3" t="s">
        <v>21596</v>
      </c>
      <c r="J4134" s="3" t="s">
        <v>21597</v>
      </c>
      <c r="K4134" s="3" t="s">
        <v>21598</v>
      </c>
      <c r="L4134" s="3"/>
      <c r="M4134" s="4" t="s">
        <v>21599</v>
      </c>
      <c r="N4134" s="3" t="s">
        <v>37</v>
      </c>
      <c r="O4134" s="3" t="s">
        <v>52</v>
      </c>
      <c r="P4134" s="5">
        <v>9</v>
      </c>
      <c r="Q4134" s="5">
        <v>86</v>
      </c>
      <c r="R4134" s="5">
        <v>9</v>
      </c>
      <c r="S4134" s="5">
        <v>89</v>
      </c>
    </row>
    <row r="4135" spans="1:19" ht="28" x14ac:dyDescent="0.15">
      <c r="A4135" s="2">
        <f>HYPERLINK("https://open-school.uspishnemisto.com.ua/school/210305/", 210305)</f>
        <v>210305</v>
      </c>
      <c r="B4135" s="3" t="s">
        <v>21600</v>
      </c>
      <c r="C4135" s="3" t="s">
        <v>31</v>
      </c>
      <c r="D4135" s="3" t="s">
        <v>175</v>
      </c>
      <c r="E4135" s="4" t="s">
        <v>22</v>
      </c>
      <c r="F4135" s="4" t="s">
        <v>21601</v>
      </c>
      <c r="G4135" s="4" t="s">
        <v>21602</v>
      </c>
      <c r="H4135" s="3" t="s">
        <v>20074</v>
      </c>
      <c r="I4135" s="3" t="s">
        <v>21603</v>
      </c>
      <c r="J4135" s="3" t="s">
        <v>21604</v>
      </c>
      <c r="K4135" s="3" t="s">
        <v>21605</v>
      </c>
      <c r="L4135" s="3"/>
      <c r="M4135" s="4" t="s">
        <v>21606</v>
      </c>
      <c r="N4135" s="3" t="s">
        <v>37</v>
      </c>
      <c r="O4135" s="3" t="s">
        <v>70</v>
      </c>
      <c r="P4135" s="5">
        <v>9</v>
      </c>
      <c r="Q4135" s="5">
        <v>126</v>
      </c>
      <c r="R4135" s="5">
        <v>10</v>
      </c>
      <c r="S4135" s="5">
        <v>120</v>
      </c>
    </row>
    <row r="4136" spans="1:19" ht="42" x14ac:dyDescent="0.15">
      <c r="A4136" s="2">
        <f>HYPERLINK("https://open-school.uspishnemisto.com.ua/school/210306/", 210306)</f>
        <v>210306</v>
      </c>
      <c r="B4136" s="3" t="s">
        <v>21607</v>
      </c>
      <c r="C4136" s="3" t="s">
        <v>54</v>
      </c>
      <c r="D4136" s="3" t="s">
        <v>175</v>
      </c>
      <c r="E4136" s="4" t="s">
        <v>22</v>
      </c>
      <c r="F4136" s="4" t="s">
        <v>21601</v>
      </c>
      <c r="G4136" s="4" t="s">
        <v>21602</v>
      </c>
      <c r="H4136" s="3" t="s">
        <v>20074</v>
      </c>
      <c r="I4136" s="3" t="s">
        <v>21603</v>
      </c>
      <c r="J4136" s="3" t="s">
        <v>21608</v>
      </c>
      <c r="K4136" s="3" t="s">
        <v>21609</v>
      </c>
      <c r="L4136" s="3"/>
      <c r="M4136" s="4" t="s">
        <v>21610</v>
      </c>
      <c r="N4136" s="3" t="s">
        <v>37</v>
      </c>
      <c r="O4136" s="3" t="s">
        <v>70</v>
      </c>
      <c r="P4136" s="5">
        <v>9</v>
      </c>
      <c r="Q4136" s="5">
        <v>126</v>
      </c>
      <c r="R4136" s="5">
        <v>9</v>
      </c>
      <c r="S4136" s="5">
        <v>124</v>
      </c>
    </row>
    <row r="4137" spans="1:19" ht="28" x14ac:dyDescent="0.15">
      <c r="A4137" s="2">
        <f>HYPERLINK("https://open-school.uspishnemisto.com.ua/school/210307/", 210307)</f>
        <v>210307</v>
      </c>
      <c r="B4137" s="3" t="s">
        <v>21611</v>
      </c>
      <c r="C4137" s="3" t="s">
        <v>31</v>
      </c>
      <c r="D4137" s="3" t="s">
        <v>32</v>
      </c>
      <c r="E4137" s="4" t="s">
        <v>22</v>
      </c>
      <c r="F4137" s="4" t="s">
        <v>21612</v>
      </c>
      <c r="G4137" s="4" t="s">
        <v>21613</v>
      </c>
      <c r="H4137" s="3" t="s">
        <v>20074</v>
      </c>
      <c r="I4137" s="3" t="s">
        <v>6494</v>
      </c>
      <c r="J4137" s="3" t="s">
        <v>21614</v>
      </c>
      <c r="K4137" s="3" t="s">
        <v>21615</v>
      </c>
      <c r="L4137" s="3"/>
      <c r="M4137" s="4" t="s">
        <v>21616</v>
      </c>
      <c r="N4137" s="3" t="s">
        <v>37</v>
      </c>
      <c r="O4137" s="3" t="s">
        <v>46</v>
      </c>
      <c r="P4137" s="5">
        <v>13</v>
      </c>
      <c r="Q4137" s="5">
        <v>210</v>
      </c>
      <c r="R4137" s="5">
        <v>13</v>
      </c>
      <c r="S4137" s="5">
        <v>207</v>
      </c>
    </row>
    <row r="4138" spans="1:19" ht="56" x14ac:dyDescent="0.15">
      <c r="A4138" s="2">
        <f>HYPERLINK("https://open-school.uspishnemisto.com.ua/school/210308/", 210308)</f>
        <v>210308</v>
      </c>
      <c r="B4138" s="3" t="s">
        <v>21617</v>
      </c>
      <c r="C4138" s="3" t="s">
        <v>54</v>
      </c>
      <c r="D4138" s="3" t="s">
        <v>32</v>
      </c>
      <c r="E4138" s="4" t="s">
        <v>22</v>
      </c>
      <c r="F4138" s="4" t="s">
        <v>21618</v>
      </c>
      <c r="G4138" s="4" t="s">
        <v>21619</v>
      </c>
      <c r="H4138" s="3" t="s">
        <v>20074</v>
      </c>
      <c r="I4138" s="3" t="s">
        <v>21620</v>
      </c>
      <c r="J4138" s="3"/>
      <c r="K4138" s="3"/>
      <c r="L4138" s="3"/>
      <c r="M4138" s="4" t="s">
        <v>21621</v>
      </c>
      <c r="N4138" s="3" t="s">
        <v>37</v>
      </c>
      <c r="O4138" s="3" t="s">
        <v>46</v>
      </c>
      <c r="P4138" s="5">
        <v>17</v>
      </c>
      <c r="Q4138" s="5">
        <v>282</v>
      </c>
      <c r="R4138" s="5">
        <v>17</v>
      </c>
      <c r="S4138" s="5">
        <v>274</v>
      </c>
    </row>
    <row r="4139" spans="1:19" ht="56" x14ac:dyDescent="0.15">
      <c r="A4139" s="2">
        <f>HYPERLINK("https://open-school.uspishnemisto.com.ua/school/210309/", 210309)</f>
        <v>210309</v>
      </c>
      <c r="B4139" s="3" t="s">
        <v>21622</v>
      </c>
      <c r="C4139" s="3" t="s">
        <v>54</v>
      </c>
      <c r="D4139" s="3" t="s">
        <v>175</v>
      </c>
      <c r="E4139" s="4" t="s">
        <v>22</v>
      </c>
      <c r="F4139" s="4" t="s">
        <v>21623</v>
      </c>
      <c r="G4139" s="4" t="s">
        <v>21624</v>
      </c>
      <c r="H4139" s="3" t="s">
        <v>20074</v>
      </c>
      <c r="I4139" s="3" t="s">
        <v>21625</v>
      </c>
      <c r="J4139" s="3" t="s">
        <v>21626</v>
      </c>
      <c r="K4139" s="3" t="s">
        <v>21627</v>
      </c>
      <c r="L4139" s="3"/>
      <c r="M4139" s="4" t="s">
        <v>21628</v>
      </c>
      <c r="N4139" s="3" t="s">
        <v>37</v>
      </c>
      <c r="O4139" s="3" t="s">
        <v>46</v>
      </c>
      <c r="P4139" s="5">
        <v>8</v>
      </c>
      <c r="Q4139" s="5">
        <v>67</v>
      </c>
      <c r="R4139" s="5">
        <v>8</v>
      </c>
      <c r="S4139" s="5">
        <v>71</v>
      </c>
    </row>
    <row r="4140" spans="1:19" ht="56" x14ac:dyDescent="0.15">
      <c r="A4140" s="2">
        <f>HYPERLINK("https://open-school.uspishnemisto.com.ua/school/210310/", 210310)</f>
        <v>210310</v>
      </c>
      <c r="B4140" s="3" t="s">
        <v>21629</v>
      </c>
      <c r="C4140" s="3" t="s">
        <v>54</v>
      </c>
      <c r="D4140" s="3" t="s">
        <v>175</v>
      </c>
      <c r="E4140" s="4" t="s">
        <v>22</v>
      </c>
      <c r="F4140" s="4" t="s">
        <v>21623</v>
      </c>
      <c r="G4140" s="4" t="s">
        <v>21630</v>
      </c>
      <c r="H4140" s="3" t="s">
        <v>20074</v>
      </c>
      <c r="I4140" s="3" t="s">
        <v>21631</v>
      </c>
      <c r="J4140" s="3" t="s">
        <v>21632</v>
      </c>
      <c r="K4140" s="3" t="s">
        <v>21633</v>
      </c>
      <c r="L4140" s="3"/>
      <c r="M4140" s="4" t="s">
        <v>21634</v>
      </c>
      <c r="N4140" s="3" t="s">
        <v>37</v>
      </c>
      <c r="O4140" s="3" t="s">
        <v>618</v>
      </c>
      <c r="P4140" s="5">
        <v>9</v>
      </c>
      <c r="Q4140" s="5">
        <v>68</v>
      </c>
      <c r="R4140" s="5">
        <v>9</v>
      </c>
      <c r="S4140" s="5">
        <v>66</v>
      </c>
    </row>
    <row r="4141" spans="1:19" ht="28" x14ac:dyDescent="0.15">
      <c r="A4141" s="2">
        <f>HYPERLINK("https://open-school.uspishnemisto.com.ua/school/210311/", 210311)</f>
        <v>210311</v>
      </c>
      <c r="B4141" s="3" t="s">
        <v>21635</v>
      </c>
      <c r="C4141" s="3" t="s">
        <v>31</v>
      </c>
      <c r="D4141" s="3" t="s">
        <v>32</v>
      </c>
      <c r="E4141" s="4" t="s">
        <v>22</v>
      </c>
      <c r="F4141" s="4" t="s">
        <v>21636</v>
      </c>
      <c r="G4141" s="4" t="s">
        <v>21637</v>
      </c>
      <c r="H4141" s="3" t="s">
        <v>20074</v>
      </c>
      <c r="I4141" s="3" t="s">
        <v>2296</v>
      </c>
      <c r="J4141" s="3" t="s">
        <v>21638</v>
      </c>
      <c r="K4141" s="3" t="s">
        <v>21639</v>
      </c>
      <c r="L4141" s="3"/>
      <c r="M4141" s="4" t="s">
        <v>21640</v>
      </c>
      <c r="N4141" s="3" t="s">
        <v>37</v>
      </c>
      <c r="O4141" s="3" t="s">
        <v>52</v>
      </c>
      <c r="P4141" s="5">
        <v>13</v>
      </c>
      <c r="Q4141" s="5">
        <v>124</v>
      </c>
      <c r="R4141" s="5">
        <v>13</v>
      </c>
      <c r="S4141" s="5">
        <v>128</v>
      </c>
    </row>
    <row r="4142" spans="1:19" ht="56" x14ac:dyDescent="0.15">
      <c r="A4142" s="2">
        <f>HYPERLINK("https://open-school.uspishnemisto.com.ua/school/210312/", 210312)</f>
        <v>210312</v>
      </c>
      <c r="B4142" s="3" t="s">
        <v>21641</v>
      </c>
      <c r="C4142" s="3" t="s">
        <v>54</v>
      </c>
      <c r="D4142" s="3" t="s">
        <v>60</v>
      </c>
      <c r="E4142" s="4" t="s">
        <v>22</v>
      </c>
      <c r="F4142" s="4" t="s">
        <v>21642</v>
      </c>
      <c r="G4142" s="4" t="s">
        <v>21643</v>
      </c>
      <c r="H4142" s="3" t="s">
        <v>20074</v>
      </c>
      <c r="I4142" s="3" t="s">
        <v>21644</v>
      </c>
      <c r="J4142" s="3" t="s">
        <v>21645</v>
      </c>
      <c r="K4142" s="3" t="s">
        <v>21646</v>
      </c>
      <c r="L4142" s="3"/>
      <c r="M4142" s="4"/>
      <c r="N4142" s="3" t="s">
        <v>37</v>
      </c>
      <c r="O4142" s="3" t="s">
        <v>46</v>
      </c>
      <c r="P4142" s="5">
        <v>8</v>
      </c>
      <c r="Q4142" s="5">
        <v>81</v>
      </c>
      <c r="R4142" s="5">
        <v>7</v>
      </c>
      <c r="S4142" s="5">
        <v>70</v>
      </c>
    </row>
    <row r="4143" spans="1:19" ht="42" x14ac:dyDescent="0.15">
      <c r="A4143" s="2">
        <f>HYPERLINK("https://open-school.uspishnemisto.com.ua/school/210313/", 210313)</f>
        <v>210313</v>
      </c>
      <c r="B4143" s="3" t="s">
        <v>21647</v>
      </c>
      <c r="C4143" s="3" t="s">
        <v>4989</v>
      </c>
      <c r="D4143" s="3" t="s">
        <v>21</v>
      </c>
      <c r="E4143" s="4" t="s">
        <v>22</v>
      </c>
      <c r="F4143" s="4" t="s">
        <v>21642</v>
      </c>
      <c r="G4143" s="4" t="s">
        <v>21643</v>
      </c>
      <c r="H4143" s="3" t="s">
        <v>20074</v>
      </c>
      <c r="I4143" s="3" t="s">
        <v>21644</v>
      </c>
      <c r="J4143" s="3" t="s">
        <v>21645</v>
      </c>
      <c r="K4143" s="3" t="s">
        <v>21648</v>
      </c>
      <c r="L4143" s="3"/>
      <c r="M4143" s="4" t="s">
        <v>21649</v>
      </c>
      <c r="N4143" s="3" t="s">
        <v>37</v>
      </c>
      <c r="O4143" s="3" t="s">
        <v>46</v>
      </c>
      <c r="P4143" s="5">
        <v>8</v>
      </c>
      <c r="Q4143" s="5">
        <v>144</v>
      </c>
      <c r="R4143" s="5">
        <v>8</v>
      </c>
      <c r="S4143" s="5">
        <v>152</v>
      </c>
    </row>
    <row r="4144" spans="1:19" ht="56" x14ac:dyDescent="0.15">
      <c r="A4144" s="2">
        <f>HYPERLINK("https://open-school.uspishnemisto.com.ua/school/210314/", 210314)</f>
        <v>210314</v>
      </c>
      <c r="B4144" s="3" t="s">
        <v>21650</v>
      </c>
      <c r="C4144" s="3" t="s">
        <v>54</v>
      </c>
      <c r="D4144" s="3" t="s">
        <v>175</v>
      </c>
      <c r="E4144" s="4" t="s">
        <v>22</v>
      </c>
      <c r="F4144" s="4" t="s">
        <v>21642</v>
      </c>
      <c r="G4144" s="4" t="s">
        <v>21651</v>
      </c>
      <c r="H4144" s="3" t="s">
        <v>20074</v>
      </c>
      <c r="I4144" s="3" t="s">
        <v>21652</v>
      </c>
      <c r="J4144" s="3" t="s">
        <v>16232</v>
      </c>
      <c r="K4144" s="3" t="s">
        <v>21653</v>
      </c>
      <c r="L4144" s="3"/>
      <c r="M4144" s="4" t="s">
        <v>21654</v>
      </c>
      <c r="N4144" s="3" t="s">
        <v>37</v>
      </c>
      <c r="O4144" s="3" t="s">
        <v>46</v>
      </c>
      <c r="P4144" s="5">
        <v>3</v>
      </c>
      <c r="Q4144" s="5">
        <v>28</v>
      </c>
      <c r="R4144" s="5">
        <v>3</v>
      </c>
      <c r="S4144" s="5">
        <v>26</v>
      </c>
    </row>
    <row r="4145" spans="1:19" ht="56" x14ac:dyDescent="0.15">
      <c r="A4145" s="2">
        <f>HYPERLINK("https://open-school.uspishnemisto.com.ua/school/210315/", 210315)</f>
        <v>210315</v>
      </c>
      <c r="B4145" s="3" t="s">
        <v>21655</v>
      </c>
      <c r="C4145" s="3" t="s">
        <v>54</v>
      </c>
      <c r="D4145" s="3" t="s">
        <v>175</v>
      </c>
      <c r="E4145" s="4" t="s">
        <v>22</v>
      </c>
      <c r="F4145" s="4" t="s">
        <v>21642</v>
      </c>
      <c r="G4145" s="4" t="s">
        <v>21656</v>
      </c>
      <c r="H4145" s="3" t="s">
        <v>20074</v>
      </c>
      <c r="I4145" s="3" t="s">
        <v>21204</v>
      </c>
      <c r="J4145" s="3" t="s">
        <v>21657</v>
      </c>
      <c r="K4145" s="3" t="s">
        <v>21658</v>
      </c>
      <c r="L4145" s="3"/>
      <c r="M4145" s="4" t="s">
        <v>21659</v>
      </c>
      <c r="N4145" s="3" t="s">
        <v>37</v>
      </c>
      <c r="O4145" s="3" t="s">
        <v>46</v>
      </c>
      <c r="P4145" s="5">
        <v>1</v>
      </c>
      <c r="Q4145" s="5">
        <v>29</v>
      </c>
      <c r="R4145" s="5">
        <v>1</v>
      </c>
      <c r="S4145" s="5">
        <v>33</v>
      </c>
    </row>
    <row r="4146" spans="1:19" ht="56" x14ac:dyDescent="0.15">
      <c r="A4146" s="2">
        <f>HYPERLINK("https://open-school.uspishnemisto.com.ua/school/210316/", 210316)</f>
        <v>210316</v>
      </c>
      <c r="B4146" s="3" t="s">
        <v>21660</v>
      </c>
      <c r="C4146" s="3" t="s">
        <v>54</v>
      </c>
      <c r="D4146" s="3" t="s">
        <v>175</v>
      </c>
      <c r="E4146" s="4" t="s">
        <v>22</v>
      </c>
      <c r="F4146" s="4" t="s">
        <v>21661</v>
      </c>
      <c r="G4146" s="4" t="s">
        <v>21662</v>
      </c>
      <c r="H4146" s="3" t="s">
        <v>20074</v>
      </c>
      <c r="I4146" s="3" t="s">
        <v>21663</v>
      </c>
      <c r="J4146" s="3" t="s">
        <v>21664</v>
      </c>
      <c r="K4146" s="3" t="s">
        <v>21665</v>
      </c>
      <c r="L4146" s="3"/>
      <c r="M4146" s="4" t="s">
        <v>21666</v>
      </c>
      <c r="N4146" s="3" t="s">
        <v>37</v>
      </c>
      <c r="O4146" s="3" t="s">
        <v>46</v>
      </c>
      <c r="P4146" s="5">
        <v>12</v>
      </c>
      <c r="Q4146" s="5">
        <v>125</v>
      </c>
      <c r="R4146" s="5">
        <v>11</v>
      </c>
      <c r="S4146" s="5">
        <v>114</v>
      </c>
    </row>
    <row r="4147" spans="1:19" ht="56" x14ac:dyDescent="0.15">
      <c r="A4147" s="2">
        <f>HYPERLINK("https://open-school.uspishnemisto.com.ua/school/210317/", 210317)</f>
        <v>210317</v>
      </c>
      <c r="B4147" s="3" t="s">
        <v>21667</v>
      </c>
      <c r="C4147" s="3" t="s">
        <v>54</v>
      </c>
      <c r="D4147" s="3" t="s">
        <v>32</v>
      </c>
      <c r="E4147" s="4" t="s">
        <v>22</v>
      </c>
      <c r="F4147" s="4" t="s">
        <v>21668</v>
      </c>
      <c r="G4147" s="4" t="s">
        <v>21669</v>
      </c>
      <c r="H4147" s="3" t="s">
        <v>20074</v>
      </c>
      <c r="I4147" s="3" t="s">
        <v>21670</v>
      </c>
      <c r="J4147" s="3" t="s">
        <v>21671</v>
      </c>
      <c r="K4147" s="3" t="s">
        <v>21672</v>
      </c>
      <c r="L4147" s="3"/>
      <c r="M4147" s="4" t="s">
        <v>21673</v>
      </c>
      <c r="N4147" s="3" t="s">
        <v>37</v>
      </c>
      <c r="O4147" s="3" t="s">
        <v>46</v>
      </c>
      <c r="P4147" s="5">
        <v>15</v>
      </c>
      <c r="Q4147" s="5">
        <v>240</v>
      </c>
      <c r="R4147" s="5">
        <v>14</v>
      </c>
      <c r="S4147" s="5">
        <v>248</v>
      </c>
    </row>
    <row r="4148" spans="1:19" ht="28" x14ac:dyDescent="0.15">
      <c r="A4148" s="2">
        <f>HYPERLINK("https://open-school.uspishnemisto.com.ua/school/210318/", 210318)</f>
        <v>210318</v>
      </c>
      <c r="B4148" s="3" t="s">
        <v>21674</v>
      </c>
      <c r="C4148" s="3" t="s">
        <v>31</v>
      </c>
      <c r="D4148" s="3" t="s">
        <v>175</v>
      </c>
      <c r="E4148" s="4" t="s">
        <v>22</v>
      </c>
      <c r="F4148" s="4"/>
      <c r="G4148" s="4" t="s">
        <v>21675</v>
      </c>
      <c r="H4148" s="3" t="s">
        <v>20074</v>
      </c>
      <c r="I4148" s="3" t="s">
        <v>21676</v>
      </c>
      <c r="J4148" s="3" t="s">
        <v>21657</v>
      </c>
      <c r="K4148" s="3" t="s">
        <v>21677</v>
      </c>
      <c r="L4148" s="3" t="s">
        <v>21678</v>
      </c>
      <c r="M4148" s="4" t="s">
        <v>21679</v>
      </c>
      <c r="N4148" s="3" t="s">
        <v>37</v>
      </c>
      <c r="O4148" s="3" t="s">
        <v>46</v>
      </c>
      <c r="P4148" s="5">
        <v>9</v>
      </c>
      <c r="Q4148" s="5">
        <v>89</v>
      </c>
      <c r="R4148" s="5">
        <v>9</v>
      </c>
      <c r="S4148" s="5">
        <v>84</v>
      </c>
    </row>
    <row r="4149" spans="1:19" ht="28" x14ac:dyDescent="0.15">
      <c r="A4149" s="2">
        <f>HYPERLINK("https://open-school.uspishnemisto.com.ua/school/210319/", 210319)</f>
        <v>210319</v>
      </c>
      <c r="B4149" s="3" t="s">
        <v>21680</v>
      </c>
      <c r="C4149" s="3" t="s">
        <v>31</v>
      </c>
      <c r="D4149" s="3" t="s">
        <v>32</v>
      </c>
      <c r="E4149" s="4" t="s">
        <v>22</v>
      </c>
      <c r="F4149" s="4" t="s">
        <v>21681</v>
      </c>
      <c r="G4149" s="4" t="s">
        <v>21682</v>
      </c>
      <c r="H4149" s="3" t="s">
        <v>20074</v>
      </c>
      <c r="I4149" s="3" t="s">
        <v>21683</v>
      </c>
      <c r="J4149" s="3" t="s">
        <v>21684</v>
      </c>
      <c r="K4149" s="3" t="s">
        <v>21685</v>
      </c>
      <c r="L4149" s="3"/>
      <c r="M4149" s="4" t="s">
        <v>21686</v>
      </c>
      <c r="N4149" s="3" t="s">
        <v>37</v>
      </c>
      <c r="O4149" s="3" t="s">
        <v>46</v>
      </c>
      <c r="P4149" s="5">
        <v>38</v>
      </c>
      <c r="Q4149" s="5">
        <v>620</v>
      </c>
      <c r="R4149" s="5">
        <v>40</v>
      </c>
      <c r="S4149" s="5">
        <v>637</v>
      </c>
    </row>
    <row r="4150" spans="1:19" ht="28" x14ac:dyDescent="0.15">
      <c r="A4150" s="2">
        <f>HYPERLINK("https://open-school.uspishnemisto.com.ua/school/210320/", 210320)</f>
        <v>210320</v>
      </c>
      <c r="B4150" s="3" t="s">
        <v>21687</v>
      </c>
      <c r="C4150" s="3" t="s">
        <v>31</v>
      </c>
      <c r="D4150" s="3" t="s">
        <v>32</v>
      </c>
      <c r="E4150" s="4" t="s">
        <v>22</v>
      </c>
      <c r="F4150" s="4" t="s">
        <v>21688</v>
      </c>
      <c r="G4150" s="4" t="s">
        <v>21689</v>
      </c>
      <c r="H4150" s="3" t="s">
        <v>20074</v>
      </c>
      <c r="I4150" s="3" t="s">
        <v>21690</v>
      </c>
      <c r="J4150" s="3" t="s">
        <v>21691</v>
      </c>
      <c r="K4150" s="3" t="s">
        <v>21692</v>
      </c>
      <c r="L4150" s="3"/>
      <c r="M4150" s="4" t="s">
        <v>21693</v>
      </c>
      <c r="N4150" s="3" t="s">
        <v>37</v>
      </c>
      <c r="O4150" s="3" t="s">
        <v>46</v>
      </c>
      <c r="P4150" s="5">
        <v>19</v>
      </c>
      <c r="Q4150" s="5">
        <v>313</v>
      </c>
      <c r="R4150" s="5">
        <v>18</v>
      </c>
      <c r="S4150" s="5">
        <v>305</v>
      </c>
    </row>
    <row r="4151" spans="1:19" ht="56" x14ac:dyDescent="0.15">
      <c r="A4151" s="2">
        <f>HYPERLINK("https://open-school.uspishnemisto.com.ua/school/210321/", 210321)</f>
        <v>210321</v>
      </c>
      <c r="B4151" s="3" t="s">
        <v>21694</v>
      </c>
      <c r="C4151" s="3" t="s">
        <v>54</v>
      </c>
      <c r="D4151" s="3" t="s">
        <v>175</v>
      </c>
      <c r="E4151" s="4" t="s">
        <v>22</v>
      </c>
      <c r="F4151" s="4" t="s">
        <v>21695</v>
      </c>
      <c r="G4151" s="4" t="s">
        <v>21696</v>
      </c>
      <c r="H4151" s="3" t="s">
        <v>20074</v>
      </c>
      <c r="I4151" s="3" t="s">
        <v>21697</v>
      </c>
      <c r="J4151" s="3" t="s">
        <v>21698</v>
      </c>
      <c r="K4151" s="3" t="s">
        <v>21699</v>
      </c>
      <c r="L4151" s="3"/>
      <c r="M4151" s="4" t="s">
        <v>21700</v>
      </c>
      <c r="N4151" s="3" t="s">
        <v>37</v>
      </c>
      <c r="O4151" s="3" t="s">
        <v>46</v>
      </c>
      <c r="P4151" s="5">
        <v>9</v>
      </c>
      <c r="Q4151" s="5">
        <v>71</v>
      </c>
      <c r="R4151" s="5">
        <v>9</v>
      </c>
      <c r="S4151" s="5">
        <v>74</v>
      </c>
    </row>
    <row r="4152" spans="1:19" ht="28" x14ac:dyDescent="0.15">
      <c r="A4152" s="2">
        <f>HYPERLINK("https://open-school.uspishnemisto.com.ua/school/210322/", 210322)</f>
        <v>210322</v>
      </c>
      <c r="B4152" s="3" t="s">
        <v>21701</v>
      </c>
      <c r="C4152" s="3" t="s">
        <v>31</v>
      </c>
      <c r="D4152" s="3" t="s">
        <v>32</v>
      </c>
      <c r="E4152" s="4" t="s">
        <v>22</v>
      </c>
      <c r="F4152" s="4" t="s">
        <v>21702</v>
      </c>
      <c r="G4152" s="4" t="s">
        <v>21703</v>
      </c>
      <c r="H4152" s="3" t="s">
        <v>20074</v>
      </c>
      <c r="I4152" s="3" t="s">
        <v>21704</v>
      </c>
      <c r="J4152" s="3" t="s">
        <v>21705</v>
      </c>
      <c r="K4152" s="3" t="s">
        <v>21706</v>
      </c>
      <c r="L4152" s="3"/>
      <c r="M4152" s="4" t="s">
        <v>21707</v>
      </c>
      <c r="N4152" s="3" t="s">
        <v>37</v>
      </c>
      <c r="O4152" s="3" t="s">
        <v>46</v>
      </c>
      <c r="P4152" s="5">
        <v>12</v>
      </c>
      <c r="Q4152" s="5">
        <v>227</v>
      </c>
      <c r="R4152" s="5">
        <v>12</v>
      </c>
      <c r="S4152" s="5">
        <v>217</v>
      </c>
    </row>
    <row r="4153" spans="1:19" ht="56" x14ac:dyDescent="0.15">
      <c r="A4153" s="2">
        <f>HYPERLINK("https://open-school.uspishnemisto.com.ua/school/210323/", 210323)</f>
        <v>210323</v>
      </c>
      <c r="B4153" s="3" t="s">
        <v>21708</v>
      </c>
      <c r="C4153" s="3" t="s">
        <v>54</v>
      </c>
      <c r="D4153" s="3" t="s">
        <v>175</v>
      </c>
      <c r="E4153" s="4" t="s">
        <v>22</v>
      </c>
      <c r="F4153" s="4" t="s">
        <v>21702</v>
      </c>
      <c r="G4153" s="4" t="s">
        <v>21709</v>
      </c>
      <c r="H4153" s="3" t="s">
        <v>20074</v>
      </c>
      <c r="I4153" s="3" t="s">
        <v>21710</v>
      </c>
      <c r="J4153" s="3" t="s">
        <v>21711</v>
      </c>
      <c r="K4153" s="3" t="s">
        <v>21712</v>
      </c>
      <c r="L4153" s="3"/>
      <c r="M4153" s="4" t="s">
        <v>21713</v>
      </c>
      <c r="N4153" s="3" t="s">
        <v>37</v>
      </c>
      <c r="O4153" s="3" t="s">
        <v>46</v>
      </c>
      <c r="P4153" s="5">
        <v>8</v>
      </c>
      <c r="Q4153" s="5">
        <v>59</v>
      </c>
      <c r="R4153" s="5">
        <v>8</v>
      </c>
      <c r="S4153" s="5">
        <v>61</v>
      </c>
    </row>
    <row r="4154" spans="1:19" ht="28" x14ac:dyDescent="0.15">
      <c r="A4154" s="2">
        <f>HYPERLINK("https://open-school.uspishnemisto.com.ua/school/210324/", 210324)</f>
        <v>210324</v>
      </c>
      <c r="B4154" s="3" t="s">
        <v>21714</v>
      </c>
      <c r="C4154" s="3" t="s">
        <v>31</v>
      </c>
      <c r="D4154" s="3" t="s">
        <v>175</v>
      </c>
      <c r="E4154" s="4" t="s">
        <v>22</v>
      </c>
      <c r="F4154" s="4" t="s">
        <v>21715</v>
      </c>
      <c r="G4154" s="4" t="s">
        <v>21716</v>
      </c>
      <c r="H4154" s="3" t="s">
        <v>20074</v>
      </c>
      <c r="I4154" s="3" t="s">
        <v>21717</v>
      </c>
      <c r="J4154" s="3" t="s">
        <v>21718</v>
      </c>
      <c r="K4154" s="3" t="s">
        <v>21719</v>
      </c>
      <c r="L4154" s="3"/>
      <c r="M4154" s="4" t="s">
        <v>21720</v>
      </c>
      <c r="N4154" s="3" t="s">
        <v>37</v>
      </c>
      <c r="O4154" s="3" t="s">
        <v>46</v>
      </c>
      <c r="P4154" s="5">
        <v>9</v>
      </c>
      <c r="Q4154" s="5">
        <v>83</v>
      </c>
      <c r="R4154" s="5">
        <v>9</v>
      </c>
      <c r="S4154" s="5">
        <v>83</v>
      </c>
    </row>
    <row r="4155" spans="1:19" ht="28" x14ac:dyDescent="0.15">
      <c r="A4155" s="2">
        <f>HYPERLINK("https://open-school.uspishnemisto.com.ua/school/210325/", 210325)</f>
        <v>210325</v>
      </c>
      <c r="B4155" s="3" t="s">
        <v>21721</v>
      </c>
      <c r="C4155" s="3" t="s">
        <v>31</v>
      </c>
      <c r="D4155" s="3" t="s">
        <v>32</v>
      </c>
      <c r="E4155" s="4" t="s">
        <v>22</v>
      </c>
      <c r="F4155" s="4" t="s">
        <v>21722</v>
      </c>
      <c r="G4155" s="4" t="s">
        <v>21723</v>
      </c>
      <c r="H4155" s="3" t="s">
        <v>20074</v>
      </c>
      <c r="I4155" s="3" t="s">
        <v>21724</v>
      </c>
      <c r="J4155" s="3" t="s">
        <v>21725</v>
      </c>
      <c r="K4155" s="3" t="s">
        <v>21726</v>
      </c>
      <c r="L4155" s="3" t="s">
        <v>21727</v>
      </c>
      <c r="M4155" s="4"/>
      <c r="N4155" s="3" t="s">
        <v>37</v>
      </c>
      <c r="O4155" s="3" t="s">
        <v>46</v>
      </c>
      <c r="P4155" s="5">
        <v>19</v>
      </c>
      <c r="Q4155" s="5">
        <v>415</v>
      </c>
      <c r="R4155" s="5">
        <v>19</v>
      </c>
      <c r="S4155" s="5">
        <v>420</v>
      </c>
    </row>
    <row r="4156" spans="1:19" ht="28" x14ac:dyDescent="0.15">
      <c r="A4156" s="2">
        <f>HYPERLINK("https://open-school.uspishnemisto.com.ua/school/210326/", 210326)</f>
        <v>210326</v>
      </c>
      <c r="B4156" s="3" t="s">
        <v>21728</v>
      </c>
      <c r="C4156" s="3" t="s">
        <v>31</v>
      </c>
      <c r="D4156" s="3" t="s">
        <v>60</v>
      </c>
      <c r="E4156" s="4" t="s">
        <v>22</v>
      </c>
      <c r="F4156" s="4" t="s">
        <v>21722</v>
      </c>
      <c r="G4156" s="4" t="s">
        <v>21729</v>
      </c>
      <c r="H4156" s="3" t="s">
        <v>20074</v>
      </c>
      <c r="I4156" s="3" t="s">
        <v>21730</v>
      </c>
      <c r="J4156" s="3" t="s">
        <v>3544</v>
      </c>
      <c r="K4156" s="3" t="s">
        <v>21731</v>
      </c>
      <c r="L4156" s="3"/>
      <c r="M4156" s="4"/>
      <c r="N4156" s="3" t="s">
        <v>37</v>
      </c>
      <c r="O4156" s="3" t="s">
        <v>618</v>
      </c>
      <c r="P4156" s="5">
        <v>1</v>
      </c>
      <c r="Q4156" s="5">
        <v>9</v>
      </c>
      <c r="R4156" s="5">
        <v>1</v>
      </c>
      <c r="S4156" s="5">
        <v>11</v>
      </c>
    </row>
    <row r="4157" spans="1:19" ht="28" x14ac:dyDescent="0.15">
      <c r="A4157" s="2">
        <f>HYPERLINK("https://open-school.uspishnemisto.com.ua/school/210327/", 210327)</f>
        <v>210327</v>
      </c>
      <c r="B4157" s="3" t="s">
        <v>21732</v>
      </c>
      <c r="C4157" s="3" t="s">
        <v>31</v>
      </c>
      <c r="D4157" s="3" t="s">
        <v>60</v>
      </c>
      <c r="E4157" s="4" t="s">
        <v>22</v>
      </c>
      <c r="F4157" s="4" t="s">
        <v>21722</v>
      </c>
      <c r="G4157" s="4" t="s">
        <v>21733</v>
      </c>
      <c r="H4157" s="3" t="s">
        <v>20074</v>
      </c>
      <c r="I4157" s="3" t="s">
        <v>21734</v>
      </c>
      <c r="J4157" s="3" t="s">
        <v>21735</v>
      </c>
      <c r="K4157" s="3"/>
      <c r="L4157" s="3"/>
      <c r="M4157" s="4"/>
      <c r="N4157" s="3" t="s">
        <v>37</v>
      </c>
      <c r="O4157" s="3" t="s">
        <v>52</v>
      </c>
      <c r="P4157" s="5">
        <v>1</v>
      </c>
      <c r="Q4157" s="5">
        <v>11</v>
      </c>
      <c r="R4157" s="5">
        <v>0</v>
      </c>
      <c r="S4157" s="5">
        <v>8</v>
      </c>
    </row>
    <row r="4158" spans="1:19" ht="28" x14ac:dyDescent="0.15">
      <c r="A4158" s="2">
        <f>HYPERLINK("https://open-school.uspishnemisto.com.ua/school/210328/", 210328)</f>
        <v>210328</v>
      </c>
      <c r="B4158" s="3" t="s">
        <v>21736</v>
      </c>
      <c r="C4158" s="3" t="s">
        <v>31</v>
      </c>
      <c r="D4158" s="3" t="s">
        <v>175</v>
      </c>
      <c r="E4158" s="4" t="s">
        <v>22</v>
      </c>
      <c r="F4158" s="4" t="s">
        <v>21722</v>
      </c>
      <c r="G4158" s="4" t="s">
        <v>21733</v>
      </c>
      <c r="H4158" s="3" t="s">
        <v>20074</v>
      </c>
      <c r="I4158" s="3" t="s">
        <v>21734</v>
      </c>
      <c r="J4158" s="3" t="s">
        <v>21737</v>
      </c>
      <c r="K4158" s="3" t="s">
        <v>21738</v>
      </c>
      <c r="L4158" s="3"/>
      <c r="M4158" s="4"/>
      <c r="N4158" s="3" t="s">
        <v>37</v>
      </c>
      <c r="O4158" s="3" t="s">
        <v>46</v>
      </c>
      <c r="P4158" s="5">
        <v>9</v>
      </c>
      <c r="Q4158" s="5">
        <v>94</v>
      </c>
      <c r="R4158" s="5">
        <v>9</v>
      </c>
      <c r="S4158" s="5">
        <v>91</v>
      </c>
    </row>
    <row r="4159" spans="1:19" ht="28" x14ac:dyDescent="0.15">
      <c r="A4159" s="2">
        <f>HYPERLINK("https://open-school.uspishnemisto.com.ua/school/210329/", 210329)</f>
        <v>210329</v>
      </c>
      <c r="B4159" s="3" t="s">
        <v>21739</v>
      </c>
      <c r="C4159" s="3" t="s">
        <v>31</v>
      </c>
      <c r="D4159" s="3" t="s">
        <v>175</v>
      </c>
      <c r="E4159" s="4" t="s">
        <v>22</v>
      </c>
      <c r="F4159" s="4" t="s">
        <v>21740</v>
      </c>
      <c r="G4159" s="4" t="s">
        <v>21741</v>
      </c>
      <c r="H4159" s="3" t="s">
        <v>20074</v>
      </c>
      <c r="I4159" s="3" t="s">
        <v>21742</v>
      </c>
      <c r="J4159" s="3" t="s">
        <v>21743</v>
      </c>
      <c r="K4159" s="3" t="s">
        <v>21744</v>
      </c>
      <c r="L4159" s="3"/>
      <c r="M4159" s="4"/>
      <c r="N4159" s="3" t="s">
        <v>37</v>
      </c>
      <c r="O4159" s="3" t="s">
        <v>46</v>
      </c>
      <c r="P4159" s="5">
        <v>12</v>
      </c>
      <c r="Q4159" s="5">
        <v>250</v>
      </c>
      <c r="R4159" s="5">
        <v>13</v>
      </c>
      <c r="S4159" s="5">
        <v>247</v>
      </c>
    </row>
    <row r="4160" spans="1:19" ht="28" x14ac:dyDescent="0.15">
      <c r="A4160" s="2">
        <f>HYPERLINK("https://open-school.uspishnemisto.com.ua/school/210330/", 210330)</f>
        <v>210330</v>
      </c>
      <c r="B4160" s="3" t="s">
        <v>21745</v>
      </c>
      <c r="C4160" s="3" t="s">
        <v>31</v>
      </c>
      <c r="D4160" s="3" t="s">
        <v>32</v>
      </c>
      <c r="E4160" s="4" t="s">
        <v>22</v>
      </c>
      <c r="F4160" s="4" t="s">
        <v>21740</v>
      </c>
      <c r="G4160" s="4" t="s">
        <v>21741</v>
      </c>
      <c r="H4160" s="3" t="s">
        <v>20074</v>
      </c>
      <c r="I4160" s="3" t="s">
        <v>21742</v>
      </c>
      <c r="J4160" s="3" t="s">
        <v>21746</v>
      </c>
      <c r="K4160" s="3" t="s">
        <v>21747</v>
      </c>
      <c r="L4160" s="3"/>
      <c r="M4160" s="4"/>
      <c r="N4160" s="3" t="s">
        <v>37</v>
      </c>
      <c r="O4160" s="3" t="s">
        <v>46</v>
      </c>
      <c r="P4160" s="5">
        <v>29</v>
      </c>
      <c r="Q4160" s="5">
        <v>636</v>
      </c>
      <c r="R4160" s="5">
        <v>27</v>
      </c>
      <c r="S4160" s="5">
        <v>625</v>
      </c>
    </row>
    <row r="4161" spans="1:19" ht="56" x14ac:dyDescent="0.15">
      <c r="A4161" s="2">
        <f>HYPERLINK("https://open-school.uspishnemisto.com.ua/school/210331/", 210331)</f>
        <v>210331</v>
      </c>
      <c r="B4161" s="3" t="s">
        <v>21748</v>
      </c>
      <c r="C4161" s="3" t="s">
        <v>54</v>
      </c>
      <c r="D4161" s="3" t="s">
        <v>60</v>
      </c>
      <c r="E4161" s="4" t="s">
        <v>22</v>
      </c>
      <c r="F4161" s="4" t="s">
        <v>21749</v>
      </c>
      <c r="G4161" s="4" t="s">
        <v>21750</v>
      </c>
      <c r="H4161" s="3" t="s">
        <v>20074</v>
      </c>
      <c r="I4161" s="3" t="s">
        <v>21751</v>
      </c>
      <c r="J4161" s="3"/>
      <c r="K4161" s="3" t="s">
        <v>21752</v>
      </c>
      <c r="L4161" s="3"/>
      <c r="M4161" s="4"/>
      <c r="N4161" s="3" t="s">
        <v>37</v>
      </c>
      <c r="O4161" s="3" t="s">
        <v>52</v>
      </c>
      <c r="P4161" s="5">
        <v>2</v>
      </c>
      <c r="Q4161" s="5">
        <v>18</v>
      </c>
      <c r="R4161" s="5">
        <v>2</v>
      </c>
      <c r="S4161" s="5">
        <v>14</v>
      </c>
    </row>
    <row r="4162" spans="1:19" ht="28" x14ac:dyDescent="0.15">
      <c r="A4162" s="2">
        <f>HYPERLINK("https://open-school.uspishnemisto.com.ua/school/210332/", 210332)</f>
        <v>210332</v>
      </c>
      <c r="B4162" s="3" t="s">
        <v>21753</v>
      </c>
      <c r="C4162" s="3" t="s">
        <v>31</v>
      </c>
      <c r="D4162" s="3" t="s">
        <v>175</v>
      </c>
      <c r="E4162" s="4" t="s">
        <v>22</v>
      </c>
      <c r="F4162" s="4" t="s">
        <v>21754</v>
      </c>
      <c r="G4162" s="4" t="s">
        <v>21755</v>
      </c>
      <c r="H4162" s="3" t="s">
        <v>20074</v>
      </c>
      <c r="I4162" s="3" t="s">
        <v>21756</v>
      </c>
      <c r="J4162" s="3" t="s">
        <v>21757</v>
      </c>
      <c r="K4162" s="3" t="s">
        <v>21758</v>
      </c>
      <c r="L4162" s="3"/>
      <c r="M4162" s="4"/>
      <c r="N4162" s="3" t="s">
        <v>37</v>
      </c>
      <c r="O4162" s="3" t="s">
        <v>46</v>
      </c>
      <c r="P4162" s="5">
        <v>11</v>
      </c>
      <c r="Q4162" s="5">
        <v>125</v>
      </c>
      <c r="R4162" s="5">
        <v>12</v>
      </c>
      <c r="S4162" s="5">
        <v>120</v>
      </c>
    </row>
    <row r="4163" spans="1:19" ht="28" x14ac:dyDescent="0.15">
      <c r="A4163" s="2">
        <f>HYPERLINK("https://open-school.uspishnemisto.com.ua/school/210333/", 210333)</f>
        <v>210333</v>
      </c>
      <c r="B4163" s="3" t="s">
        <v>21759</v>
      </c>
      <c r="C4163" s="3" t="s">
        <v>31</v>
      </c>
      <c r="D4163" s="3" t="s">
        <v>32</v>
      </c>
      <c r="E4163" s="4" t="s">
        <v>22</v>
      </c>
      <c r="F4163" s="4" t="s">
        <v>21760</v>
      </c>
      <c r="G4163" s="4" t="s">
        <v>21761</v>
      </c>
      <c r="H4163" s="3" t="s">
        <v>20074</v>
      </c>
      <c r="I4163" s="3" t="s">
        <v>21762</v>
      </c>
      <c r="J4163" s="3" t="s">
        <v>21763</v>
      </c>
      <c r="K4163" s="3" t="s">
        <v>21764</v>
      </c>
      <c r="L4163" s="3" t="s">
        <v>21765</v>
      </c>
      <c r="M4163" s="4"/>
      <c r="N4163" s="3" t="s">
        <v>37</v>
      </c>
      <c r="O4163" s="3" t="s">
        <v>46</v>
      </c>
      <c r="P4163" s="5">
        <v>15</v>
      </c>
      <c r="Q4163" s="5">
        <v>266</v>
      </c>
      <c r="R4163" s="5">
        <v>15</v>
      </c>
      <c r="S4163" s="5">
        <v>277</v>
      </c>
    </row>
    <row r="4164" spans="1:19" ht="28" x14ac:dyDescent="0.15">
      <c r="A4164" s="2">
        <f>HYPERLINK("https://open-school.uspishnemisto.com.ua/school/210334/", 210334)</f>
        <v>210334</v>
      </c>
      <c r="B4164" s="3" t="s">
        <v>21766</v>
      </c>
      <c r="C4164" s="3" t="s">
        <v>31</v>
      </c>
      <c r="D4164" s="3" t="s">
        <v>175</v>
      </c>
      <c r="E4164" s="4" t="s">
        <v>22</v>
      </c>
      <c r="F4164" s="4" t="s">
        <v>21767</v>
      </c>
      <c r="G4164" s="4" t="s">
        <v>21768</v>
      </c>
      <c r="H4164" s="3" t="s">
        <v>20074</v>
      </c>
      <c r="I4164" s="3" t="s">
        <v>21769</v>
      </c>
      <c r="J4164" s="3" t="s">
        <v>21770</v>
      </c>
      <c r="K4164" s="3"/>
      <c r="L4164" s="3"/>
      <c r="M4164" s="4"/>
      <c r="N4164" s="3" t="s">
        <v>37</v>
      </c>
      <c r="O4164" s="3" t="s">
        <v>618</v>
      </c>
      <c r="P4164" s="5">
        <v>8</v>
      </c>
      <c r="Q4164" s="5">
        <v>63</v>
      </c>
      <c r="R4164" s="5">
        <v>8</v>
      </c>
      <c r="S4164" s="5">
        <v>56</v>
      </c>
    </row>
    <row r="4165" spans="1:19" ht="28" x14ac:dyDescent="0.15">
      <c r="A4165" s="2">
        <f>HYPERLINK("https://open-school.uspishnemisto.com.ua/school/210335/", 210335)</f>
        <v>210335</v>
      </c>
      <c r="B4165" s="3" t="s">
        <v>21771</v>
      </c>
      <c r="C4165" s="3" t="s">
        <v>31</v>
      </c>
      <c r="D4165" s="3" t="s">
        <v>175</v>
      </c>
      <c r="E4165" s="4" t="s">
        <v>22</v>
      </c>
      <c r="F4165" s="4" t="s">
        <v>21754</v>
      </c>
      <c r="G4165" s="4" t="s">
        <v>21772</v>
      </c>
      <c r="H4165" s="3" t="s">
        <v>20074</v>
      </c>
      <c r="I4165" s="3" t="s">
        <v>21773</v>
      </c>
      <c r="J4165" s="3" t="s">
        <v>21774</v>
      </c>
      <c r="K4165" s="3"/>
      <c r="L4165" s="3" t="s">
        <v>21775</v>
      </c>
      <c r="M4165" s="4"/>
      <c r="N4165" s="3" t="s">
        <v>37</v>
      </c>
      <c r="O4165" s="3" t="s">
        <v>52</v>
      </c>
      <c r="P4165" s="5">
        <v>8</v>
      </c>
      <c r="Q4165" s="5">
        <v>109</v>
      </c>
      <c r="R4165" s="5">
        <v>8</v>
      </c>
      <c r="S4165" s="5">
        <v>105</v>
      </c>
    </row>
    <row r="4166" spans="1:19" ht="28" x14ac:dyDescent="0.15">
      <c r="A4166" s="2">
        <f>HYPERLINK("https://open-school.uspishnemisto.com.ua/school/210336/", 210336)</f>
        <v>210336</v>
      </c>
      <c r="B4166" s="3" t="s">
        <v>21776</v>
      </c>
      <c r="C4166" s="3" t="s">
        <v>31</v>
      </c>
      <c r="D4166" s="3" t="s">
        <v>60</v>
      </c>
      <c r="E4166" s="4" t="s">
        <v>22</v>
      </c>
      <c r="F4166" s="4" t="s">
        <v>21777</v>
      </c>
      <c r="G4166" s="4" t="s">
        <v>21778</v>
      </c>
      <c r="H4166" s="3" t="s">
        <v>20074</v>
      </c>
      <c r="I4166" s="3" t="s">
        <v>21779</v>
      </c>
      <c r="J4166" s="3" t="s">
        <v>21780</v>
      </c>
      <c r="K4166" s="3"/>
      <c r="L4166" s="3"/>
      <c r="M4166" s="4"/>
      <c r="N4166" s="3" t="s">
        <v>37</v>
      </c>
      <c r="O4166" s="3" t="s">
        <v>618</v>
      </c>
      <c r="P4166" s="5">
        <v>1</v>
      </c>
      <c r="Q4166" s="5">
        <v>16</v>
      </c>
      <c r="R4166" s="5">
        <v>0</v>
      </c>
      <c r="S4166" s="5">
        <v>13</v>
      </c>
    </row>
    <row r="4167" spans="1:19" ht="28" x14ac:dyDescent="0.15">
      <c r="A4167" s="2">
        <f>HYPERLINK("https://open-school.uspishnemisto.com.ua/school/210337/", 210337)</f>
        <v>210337</v>
      </c>
      <c r="B4167" s="3" t="s">
        <v>21781</v>
      </c>
      <c r="C4167" s="3" t="s">
        <v>31</v>
      </c>
      <c r="D4167" s="3" t="s">
        <v>175</v>
      </c>
      <c r="E4167" s="4" t="s">
        <v>22</v>
      </c>
      <c r="F4167" s="4" t="s">
        <v>21777</v>
      </c>
      <c r="G4167" s="4" t="s">
        <v>21782</v>
      </c>
      <c r="H4167" s="3" t="s">
        <v>20074</v>
      </c>
      <c r="I4167" s="3" t="s">
        <v>21783</v>
      </c>
      <c r="J4167" s="3" t="s">
        <v>21784</v>
      </c>
      <c r="K4167" s="3" t="s">
        <v>21785</v>
      </c>
      <c r="L4167" s="3" t="s">
        <v>21786</v>
      </c>
      <c r="M4167" s="4"/>
      <c r="N4167" s="3" t="s">
        <v>37</v>
      </c>
      <c r="O4167" s="3" t="s">
        <v>52</v>
      </c>
      <c r="P4167" s="5">
        <v>9</v>
      </c>
      <c r="Q4167" s="5">
        <v>120</v>
      </c>
      <c r="R4167" s="5">
        <v>9</v>
      </c>
      <c r="S4167" s="5">
        <v>119</v>
      </c>
    </row>
    <row r="4168" spans="1:19" ht="56" x14ac:dyDescent="0.15">
      <c r="A4168" s="2">
        <f>HYPERLINK("https://open-school.uspishnemisto.com.ua/school/210338/", 210338)</f>
        <v>210338</v>
      </c>
      <c r="B4168" s="3" t="s">
        <v>21787</v>
      </c>
      <c r="C4168" s="3" t="s">
        <v>54</v>
      </c>
      <c r="D4168" s="3" t="s">
        <v>60</v>
      </c>
      <c r="E4168" s="4" t="s">
        <v>22</v>
      </c>
      <c r="F4168" s="4" t="s">
        <v>21777</v>
      </c>
      <c r="G4168" s="4" t="s">
        <v>21788</v>
      </c>
      <c r="H4168" s="3" t="s">
        <v>20074</v>
      </c>
      <c r="I4168" s="3" t="s">
        <v>21789</v>
      </c>
      <c r="J4168" s="3" t="s">
        <v>21790</v>
      </c>
      <c r="K4168" s="3" t="s">
        <v>21791</v>
      </c>
      <c r="L4168" s="3"/>
      <c r="M4168" s="4"/>
      <c r="N4168" s="3" t="s">
        <v>37</v>
      </c>
      <c r="O4168" s="3" t="s">
        <v>52</v>
      </c>
      <c r="P4168" s="5">
        <v>4</v>
      </c>
      <c r="Q4168" s="5">
        <v>36</v>
      </c>
      <c r="R4168" s="5">
        <v>4</v>
      </c>
      <c r="S4168" s="5">
        <v>34</v>
      </c>
    </row>
    <row r="4169" spans="1:19" ht="28" x14ac:dyDescent="0.15">
      <c r="A4169" s="2">
        <f>HYPERLINK("https://open-school.uspishnemisto.com.ua/school/210339/", 210339)</f>
        <v>210339</v>
      </c>
      <c r="B4169" s="3" t="s">
        <v>21792</v>
      </c>
      <c r="C4169" s="3" t="s">
        <v>31</v>
      </c>
      <c r="D4169" s="3" t="s">
        <v>175</v>
      </c>
      <c r="E4169" s="4" t="s">
        <v>22</v>
      </c>
      <c r="F4169" s="4" t="s">
        <v>21793</v>
      </c>
      <c r="G4169" s="4" t="s">
        <v>21794</v>
      </c>
      <c r="H4169" s="3" t="s">
        <v>20074</v>
      </c>
      <c r="I4169" s="3" t="s">
        <v>21795</v>
      </c>
      <c r="J4169" s="3" t="s">
        <v>21796</v>
      </c>
      <c r="K4169" s="3" t="s">
        <v>21797</v>
      </c>
      <c r="L4169" s="3" t="s">
        <v>21798</v>
      </c>
      <c r="M4169" s="4"/>
      <c r="N4169" s="3" t="s">
        <v>37</v>
      </c>
      <c r="O4169" s="3" t="s">
        <v>38</v>
      </c>
      <c r="P4169" s="5">
        <v>9</v>
      </c>
      <c r="Q4169" s="5">
        <v>162</v>
      </c>
      <c r="R4169" s="5">
        <v>9</v>
      </c>
      <c r="S4169" s="5">
        <v>154</v>
      </c>
    </row>
    <row r="4170" spans="1:19" ht="28" x14ac:dyDescent="0.15">
      <c r="A4170" s="2">
        <f>HYPERLINK("https://open-school.uspishnemisto.com.ua/school/210340/", 210340)</f>
        <v>210340</v>
      </c>
      <c r="B4170" s="3" t="s">
        <v>21799</v>
      </c>
      <c r="C4170" s="3" t="s">
        <v>31</v>
      </c>
      <c r="D4170" s="3" t="s">
        <v>32</v>
      </c>
      <c r="E4170" s="4" t="s">
        <v>22</v>
      </c>
      <c r="F4170" s="4" t="s">
        <v>21793</v>
      </c>
      <c r="G4170" s="4" t="s">
        <v>21794</v>
      </c>
      <c r="H4170" s="3" t="s">
        <v>20074</v>
      </c>
      <c r="I4170" s="3" t="s">
        <v>21795</v>
      </c>
      <c r="J4170" s="3" t="s">
        <v>21800</v>
      </c>
      <c r="K4170" s="3" t="s">
        <v>21801</v>
      </c>
      <c r="L4170" s="3"/>
      <c r="M4170" s="4"/>
      <c r="N4170" s="3" t="s">
        <v>37</v>
      </c>
      <c r="O4170" s="3" t="s">
        <v>38</v>
      </c>
      <c r="P4170" s="5">
        <v>38</v>
      </c>
      <c r="Q4170" s="5">
        <v>946</v>
      </c>
      <c r="R4170" s="5">
        <v>38</v>
      </c>
      <c r="S4170" s="5">
        <v>942</v>
      </c>
    </row>
    <row r="4171" spans="1:19" ht="28" x14ac:dyDescent="0.15">
      <c r="A4171" s="2">
        <f>HYPERLINK("https://open-school.uspishnemisto.com.ua/school/210341/", 210341)</f>
        <v>210341</v>
      </c>
      <c r="B4171" s="3" t="s">
        <v>21802</v>
      </c>
      <c r="C4171" s="3" t="s">
        <v>31</v>
      </c>
      <c r="D4171" s="3" t="s">
        <v>32</v>
      </c>
      <c r="E4171" s="4" t="s">
        <v>22</v>
      </c>
      <c r="F4171" s="4" t="s">
        <v>21803</v>
      </c>
      <c r="G4171" s="4" t="s">
        <v>21804</v>
      </c>
      <c r="H4171" s="3" t="s">
        <v>20074</v>
      </c>
      <c r="I4171" s="3" t="s">
        <v>21805</v>
      </c>
      <c r="J4171" s="3" t="s">
        <v>21806</v>
      </c>
      <c r="K4171" s="3" t="s">
        <v>21807</v>
      </c>
      <c r="L4171" s="3"/>
      <c r="M4171" s="4"/>
      <c r="N4171" s="3" t="s">
        <v>37</v>
      </c>
      <c r="O4171" s="3" t="s">
        <v>46</v>
      </c>
      <c r="P4171" s="5">
        <v>19</v>
      </c>
      <c r="Q4171" s="5">
        <v>352</v>
      </c>
      <c r="R4171" s="5">
        <v>19</v>
      </c>
      <c r="S4171" s="5">
        <v>349</v>
      </c>
    </row>
    <row r="4172" spans="1:19" ht="28" x14ac:dyDescent="0.15">
      <c r="A4172" s="2">
        <f>HYPERLINK("https://open-school.uspishnemisto.com.ua/school/210342/", 210342)</f>
        <v>210342</v>
      </c>
      <c r="B4172" s="3" t="s">
        <v>21808</v>
      </c>
      <c r="C4172" s="3" t="s">
        <v>31</v>
      </c>
      <c r="D4172" s="3" t="s">
        <v>32</v>
      </c>
      <c r="E4172" s="4" t="s">
        <v>22</v>
      </c>
      <c r="F4172" s="4" t="s">
        <v>21809</v>
      </c>
      <c r="G4172" s="4" t="s">
        <v>21810</v>
      </c>
      <c r="H4172" s="3" t="s">
        <v>20074</v>
      </c>
      <c r="I4172" s="3" t="s">
        <v>21811</v>
      </c>
      <c r="J4172" s="3" t="s">
        <v>21812</v>
      </c>
      <c r="K4172" s="3" t="s">
        <v>21813</v>
      </c>
      <c r="L4172" s="3"/>
      <c r="M4172" s="4"/>
      <c r="N4172" s="3" t="s">
        <v>37</v>
      </c>
      <c r="O4172" s="3" t="s">
        <v>46</v>
      </c>
      <c r="P4172" s="5">
        <v>14</v>
      </c>
      <c r="Q4172" s="5">
        <v>280</v>
      </c>
      <c r="R4172" s="5">
        <v>13</v>
      </c>
      <c r="S4172" s="5">
        <v>261</v>
      </c>
    </row>
    <row r="4173" spans="1:19" ht="28" x14ac:dyDescent="0.15">
      <c r="A4173" s="2">
        <f>HYPERLINK("https://open-school.uspishnemisto.com.ua/school/210343/", 210343)</f>
        <v>210343</v>
      </c>
      <c r="B4173" s="3" t="s">
        <v>21814</v>
      </c>
      <c r="C4173" s="3" t="s">
        <v>31</v>
      </c>
      <c r="D4173" s="3" t="s">
        <v>60</v>
      </c>
      <c r="E4173" s="4" t="s">
        <v>22</v>
      </c>
      <c r="F4173" s="4" t="s">
        <v>21809</v>
      </c>
      <c r="G4173" s="4" t="s">
        <v>21815</v>
      </c>
      <c r="H4173" s="3" t="s">
        <v>20074</v>
      </c>
      <c r="I4173" s="3" t="s">
        <v>21816</v>
      </c>
      <c r="J4173" s="3" t="s">
        <v>21817</v>
      </c>
      <c r="K4173" s="3" t="s">
        <v>21818</v>
      </c>
      <c r="L4173" s="3"/>
      <c r="M4173" s="4"/>
      <c r="N4173" s="3" t="s">
        <v>37</v>
      </c>
      <c r="O4173" s="3" t="s">
        <v>618</v>
      </c>
      <c r="P4173" s="5">
        <v>4</v>
      </c>
      <c r="Q4173" s="5">
        <v>37</v>
      </c>
      <c r="R4173" s="5">
        <v>4</v>
      </c>
      <c r="S4173" s="5">
        <v>37</v>
      </c>
    </row>
    <row r="4174" spans="1:19" ht="28" x14ac:dyDescent="0.15">
      <c r="A4174" s="2">
        <f>HYPERLINK("https://open-school.uspishnemisto.com.ua/school/210344/", 210344)</f>
        <v>210344</v>
      </c>
      <c r="B4174" s="3" t="s">
        <v>21819</v>
      </c>
      <c r="C4174" s="3" t="s">
        <v>31</v>
      </c>
      <c r="D4174" s="3" t="s">
        <v>60</v>
      </c>
      <c r="E4174" s="4" t="s">
        <v>22</v>
      </c>
      <c r="F4174" s="4" t="s">
        <v>21820</v>
      </c>
      <c r="G4174" s="4" t="s">
        <v>21821</v>
      </c>
      <c r="H4174" s="3" t="s">
        <v>20074</v>
      </c>
      <c r="I4174" s="3" t="s">
        <v>21822</v>
      </c>
      <c r="J4174" s="3" t="s">
        <v>21823</v>
      </c>
      <c r="K4174" s="3" t="s">
        <v>21824</v>
      </c>
      <c r="L4174" s="3"/>
      <c r="M4174" s="4"/>
      <c r="N4174" s="3" t="s">
        <v>37</v>
      </c>
      <c r="O4174" s="3" t="s">
        <v>52</v>
      </c>
      <c r="P4174" s="5">
        <v>4</v>
      </c>
      <c r="Q4174" s="5">
        <v>32</v>
      </c>
      <c r="R4174" s="5">
        <v>4</v>
      </c>
      <c r="S4174" s="5">
        <v>32</v>
      </c>
    </row>
    <row r="4175" spans="1:19" ht="28" x14ac:dyDescent="0.15">
      <c r="A4175" s="2">
        <f>HYPERLINK("https://open-school.uspishnemisto.com.ua/school/210345/", 210345)</f>
        <v>210345</v>
      </c>
      <c r="B4175" s="3" t="s">
        <v>21825</v>
      </c>
      <c r="C4175" s="3" t="s">
        <v>31</v>
      </c>
      <c r="D4175" s="3" t="s">
        <v>32</v>
      </c>
      <c r="E4175" s="4" t="s">
        <v>22</v>
      </c>
      <c r="F4175" s="4" t="s">
        <v>21826</v>
      </c>
      <c r="G4175" s="4" t="s">
        <v>21827</v>
      </c>
      <c r="H4175" s="3" t="s">
        <v>20074</v>
      </c>
      <c r="I4175" s="3" t="s">
        <v>21828</v>
      </c>
      <c r="J4175" s="3" t="s">
        <v>21829</v>
      </c>
      <c r="K4175" s="3" t="s">
        <v>21830</v>
      </c>
      <c r="L4175" s="3"/>
      <c r="M4175" s="4"/>
      <c r="N4175" s="3" t="s">
        <v>37</v>
      </c>
      <c r="O4175" s="3" t="s">
        <v>2740</v>
      </c>
      <c r="P4175" s="5">
        <v>27</v>
      </c>
      <c r="Q4175" s="5">
        <v>610</v>
      </c>
      <c r="R4175" s="5">
        <v>27</v>
      </c>
      <c r="S4175" s="5">
        <v>591</v>
      </c>
    </row>
    <row r="4176" spans="1:19" ht="42" x14ac:dyDescent="0.15">
      <c r="A4176" s="2">
        <f>HYPERLINK("https://open-school.uspishnemisto.com.ua/school/210346/", 210346)</f>
        <v>210346</v>
      </c>
      <c r="B4176" s="3" t="s">
        <v>21831</v>
      </c>
      <c r="C4176" s="3" t="s">
        <v>31</v>
      </c>
      <c r="D4176" s="3" t="s">
        <v>32</v>
      </c>
      <c r="E4176" s="4" t="s">
        <v>22</v>
      </c>
      <c r="F4176" s="4" t="s">
        <v>21832</v>
      </c>
      <c r="G4176" s="4" t="s">
        <v>21833</v>
      </c>
      <c r="H4176" s="3" t="s">
        <v>20074</v>
      </c>
      <c r="I4176" s="3" t="s">
        <v>21834</v>
      </c>
      <c r="J4176" s="3" t="s">
        <v>21835</v>
      </c>
      <c r="K4176" s="3" t="s">
        <v>21836</v>
      </c>
      <c r="L4176" s="3" t="s">
        <v>21837</v>
      </c>
      <c r="M4176" s="4"/>
      <c r="N4176" s="3" t="s">
        <v>18409</v>
      </c>
      <c r="O4176" s="3" t="s">
        <v>52</v>
      </c>
      <c r="P4176" s="5">
        <v>15</v>
      </c>
      <c r="Q4176" s="5">
        <v>274</v>
      </c>
      <c r="R4176" s="5">
        <v>17</v>
      </c>
      <c r="S4176" s="5">
        <v>297</v>
      </c>
    </row>
    <row r="4177" spans="1:19" ht="28" x14ac:dyDescent="0.15">
      <c r="A4177" s="2">
        <f>HYPERLINK("https://open-school.uspishnemisto.com.ua/school/210347/", 210347)</f>
        <v>210347</v>
      </c>
      <c r="B4177" s="3" t="s">
        <v>21838</v>
      </c>
      <c r="C4177" s="3" t="s">
        <v>31</v>
      </c>
      <c r="D4177" s="3" t="s">
        <v>175</v>
      </c>
      <c r="E4177" s="4" t="s">
        <v>22</v>
      </c>
      <c r="F4177" s="4" t="s">
        <v>21839</v>
      </c>
      <c r="G4177" s="4" t="s">
        <v>21840</v>
      </c>
      <c r="H4177" s="3" t="s">
        <v>20074</v>
      </c>
      <c r="I4177" s="3" t="s">
        <v>21841</v>
      </c>
      <c r="J4177" s="3" t="s">
        <v>21842</v>
      </c>
      <c r="K4177" s="3" t="s">
        <v>21843</v>
      </c>
      <c r="L4177" s="3"/>
      <c r="M4177" s="4"/>
      <c r="N4177" s="3" t="s">
        <v>37</v>
      </c>
      <c r="O4177" s="3" t="s">
        <v>52</v>
      </c>
      <c r="P4177" s="5">
        <v>9</v>
      </c>
      <c r="Q4177" s="5">
        <v>99</v>
      </c>
      <c r="R4177" s="5">
        <v>8</v>
      </c>
      <c r="S4177" s="5">
        <v>91</v>
      </c>
    </row>
    <row r="4178" spans="1:19" ht="42" x14ac:dyDescent="0.15">
      <c r="A4178" s="2">
        <f>HYPERLINK("https://open-school.uspishnemisto.com.ua/school/210348/", 210348)</f>
        <v>210348</v>
      </c>
      <c r="B4178" s="3" t="s">
        <v>21844</v>
      </c>
      <c r="C4178" s="3" t="s">
        <v>31</v>
      </c>
      <c r="D4178" s="3" t="s">
        <v>175</v>
      </c>
      <c r="E4178" s="4" t="s">
        <v>22</v>
      </c>
      <c r="F4178" s="4" t="s">
        <v>21839</v>
      </c>
      <c r="G4178" s="4" t="s">
        <v>21840</v>
      </c>
      <c r="H4178" s="3" t="s">
        <v>20074</v>
      </c>
      <c r="I4178" s="3" t="s">
        <v>21841</v>
      </c>
      <c r="J4178" s="3" t="s">
        <v>21845</v>
      </c>
      <c r="K4178" s="3" t="s">
        <v>21846</v>
      </c>
      <c r="L4178" s="3" t="s">
        <v>21847</v>
      </c>
      <c r="M4178" s="4"/>
      <c r="N4178" s="3" t="s">
        <v>18409</v>
      </c>
      <c r="O4178" s="3" t="s">
        <v>52</v>
      </c>
      <c r="P4178" s="5">
        <v>9</v>
      </c>
      <c r="Q4178" s="5">
        <v>124</v>
      </c>
      <c r="R4178" s="5">
        <v>9</v>
      </c>
      <c r="S4178" s="5">
        <v>118</v>
      </c>
    </row>
    <row r="4179" spans="1:19" ht="28" x14ac:dyDescent="0.15">
      <c r="A4179" s="2">
        <f>HYPERLINK("https://open-school.uspishnemisto.com.ua/school/210349/", 210349)</f>
        <v>210349</v>
      </c>
      <c r="B4179" s="3" t="s">
        <v>21848</v>
      </c>
      <c r="C4179" s="3" t="s">
        <v>31</v>
      </c>
      <c r="D4179" s="3" t="s">
        <v>60</v>
      </c>
      <c r="E4179" s="4" t="s">
        <v>22</v>
      </c>
      <c r="F4179" s="4" t="s">
        <v>21849</v>
      </c>
      <c r="G4179" s="4" t="s">
        <v>21850</v>
      </c>
      <c r="H4179" s="3" t="s">
        <v>20074</v>
      </c>
      <c r="I4179" s="3" t="s">
        <v>21851</v>
      </c>
      <c r="J4179" s="3" t="s">
        <v>7201</v>
      </c>
      <c r="K4179" s="3" t="s">
        <v>21852</v>
      </c>
      <c r="L4179" s="3"/>
      <c r="M4179" s="4"/>
      <c r="N4179" s="3" t="s">
        <v>37</v>
      </c>
      <c r="O4179" s="3" t="s">
        <v>52</v>
      </c>
      <c r="P4179" s="5">
        <v>2</v>
      </c>
      <c r="Q4179" s="5">
        <v>22</v>
      </c>
      <c r="R4179" s="5">
        <v>3</v>
      </c>
      <c r="S4179" s="5">
        <v>21</v>
      </c>
    </row>
    <row r="4180" spans="1:19" ht="28" x14ac:dyDescent="0.15">
      <c r="A4180" s="2">
        <f>HYPERLINK("https://open-school.uspishnemisto.com.ua/school/210350/", 210350)</f>
        <v>210350</v>
      </c>
      <c r="B4180" s="3" t="s">
        <v>21853</v>
      </c>
      <c r="C4180" s="3" t="s">
        <v>31</v>
      </c>
      <c r="D4180" s="3" t="s">
        <v>175</v>
      </c>
      <c r="E4180" s="4" t="s">
        <v>22</v>
      </c>
      <c r="F4180" s="4" t="s">
        <v>21854</v>
      </c>
      <c r="G4180" s="4" t="s">
        <v>21855</v>
      </c>
      <c r="H4180" s="3" t="s">
        <v>20074</v>
      </c>
      <c r="I4180" s="3" t="s">
        <v>21856</v>
      </c>
      <c r="J4180" s="3" t="s">
        <v>21857</v>
      </c>
      <c r="K4180" s="3" t="s">
        <v>21858</v>
      </c>
      <c r="L4180" s="3"/>
      <c r="M4180" s="4"/>
      <c r="N4180" s="3" t="s">
        <v>37</v>
      </c>
      <c r="O4180" s="3" t="s">
        <v>38</v>
      </c>
      <c r="P4180" s="5">
        <v>9</v>
      </c>
      <c r="Q4180" s="5">
        <v>99</v>
      </c>
      <c r="R4180" s="5">
        <v>9</v>
      </c>
      <c r="S4180" s="5">
        <v>108</v>
      </c>
    </row>
    <row r="4181" spans="1:19" ht="28" x14ac:dyDescent="0.15">
      <c r="A4181" s="2">
        <f>HYPERLINK("https://open-school.uspishnemisto.com.ua/school/210351/", 210351)</f>
        <v>210351</v>
      </c>
      <c r="B4181" s="3" t="s">
        <v>21859</v>
      </c>
      <c r="C4181" s="3" t="s">
        <v>31</v>
      </c>
      <c r="D4181" s="3" t="s">
        <v>32</v>
      </c>
      <c r="E4181" s="4" t="s">
        <v>22</v>
      </c>
      <c r="F4181" s="4" t="s">
        <v>21860</v>
      </c>
      <c r="G4181" s="4" t="s">
        <v>21861</v>
      </c>
      <c r="H4181" s="3" t="s">
        <v>20074</v>
      </c>
      <c r="I4181" s="3" t="s">
        <v>3357</v>
      </c>
      <c r="J4181" s="3" t="s">
        <v>466</v>
      </c>
      <c r="K4181" s="3" t="s">
        <v>21862</v>
      </c>
      <c r="L4181" s="3" t="s">
        <v>21863</v>
      </c>
      <c r="M4181" s="4"/>
      <c r="N4181" s="3" t="s">
        <v>37</v>
      </c>
      <c r="O4181" s="3" t="s">
        <v>52</v>
      </c>
      <c r="P4181" s="5">
        <v>11</v>
      </c>
      <c r="Q4181" s="5">
        <v>223</v>
      </c>
      <c r="R4181" s="5">
        <v>11</v>
      </c>
      <c r="S4181" s="5">
        <v>225</v>
      </c>
    </row>
    <row r="4182" spans="1:19" ht="42" x14ac:dyDescent="0.15">
      <c r="A4182" s="2">
        <f>HYPERLINK("https://open-school.uspishnemisto.com.ua/school/210352/", 210352)</f>
        <v>210352</v>
      </c>
      <c r="B4182" s="3" t="s">
        <v>21864</v>
      </c>
      <c r="C4182" s="3" t="s">
        <v>7651</v>
      </c>
      <c r="D4182" s="3"/>
      <c r="E4182" s="4" t="s">
        <v>22</v>
      </c>
      <c r="F4182" s="4" t="s">
        <v>21860</v>
      </c>
      <c r="G4182" s="4" t="s">
        <v>21861</v>
      </c>
      <c r="H4182" s="3" t="s">
        <v>20074</v>
      </c>
      <c r="I4182" s="3" t="s">
        <v>3357</v>
      </c>
      <c r="J4182" s="3" t="s">
        <v>21865</v>
      </c>
      <c r="K4182" s="3" t="s">
        <v>21866</v>
      </c>
      <c r="L4182" s="3"/>
      <c r="M4182" s="4"/>
      <c r="N4182" s="3"/>
      <c r="O4182" s="3"/>
      <c r="P4182" s="5">
        <v>0</v>
      </c>
      <c r="Q4182" s="5">
        <v>0</v>
      </c>
      <c r="R4182" s="5"/>
      <c r="S4182" s="5"/>
    </row>
    <row r="4183" spans="1:19" ht="28" x14ac:dyDescent="0.15">
      <c r="A4183" s="2">
        <f>HYPERLINK("https://open-school.uspishnemisto.com.ua/school/210353/", 210353)</f>
        <v>210353</v>
      </c>
      <c r="B4183" s="3" t="s">
        <v>21867</v>
      </c>
      <c r="C4183" s="3" t="s">
        <v>31</v>
      </c>
      <c r="D4183" s="3" t="s">
        <v>32</v>
      </c>
      <c r="E4183" s="4" t="s">
        <v>22</v>
      </c>
      <c r="F4183" s="4" t="s">
        <v>21868</v>
      </c>
      <c r="G4183" s="4" t="s">
        <v>21869</v>
      </c>
      <c r="H4183" s="3" t="s">
        <v>20074</v>
      </c>
      <c r="I4183" s="3" t="s">
        <v>21870</v>
      </c>
      <c r="J4183" s="3" t="s">
        <v>21871</v>
      </c>
      <c r="K4183" s="3"/>
      <c r="L4183" s="3"/>
      <c r="M4183" s="4"/>
      <c r="N4183" s="3" t="s">
        <v>37</v>
      </c>
      <c r="O4183" s="3" t="s">
        <v>46</v>
      </c>
      <c r="P4183" s="5">
        <v>12</v>
      </c>
      <c r="Q4183" s="5">
        <v>234</v>
      </c>
      <c r="R4183" s="5">
        <v>12</v>
      </c>
      <c r="S4183" s="5">
        <v>232</v>
      </c>
    </row>
    <row r="4184" spans="1:19" ht="42" x14ac:dyDescent="0.15">
      <c r="A4184" s="2">
        <f>HYPERLINK("https://open-school.uspishnemisto.com.ua/school/210354/", 210354)</f>
        <v>210354</v>
      </c>
      <c r="B4184" s="3" t="s">
        <v>21872</v>
      </c>
      <c r="C4184" s="3" t="s">
        <v>54</v>
      </c>
      <c r="D4184" s="3" t="s">
        <v>175</v>
      </c>
      <c r="E4184" s="4" t="s">
        <v>22</v>
      </c>
      <c r="F4184" s="4" t="s">
        <v>21868</v>
      </c>
      <c r="G4184" s="4" t="s">
        <v>21873</v>
      </c>
      <c r="H4184" s="3" t="s">
        <v>20074</v>
      </c>
      <c r="I4184" s="3" t="s">
        <v>21874</v>
      </c>
      <c r="J4184" s="3" t="s">
        <v>21875</v>
      </c>
      <c r="K4184" s="3"/>
      <c r="L4184" s="3"/>
      <c r="M4184" s="4"/>
      <c r="N4184" s="3" t="s">
        <v>37</v>
      </c>
      <c r="O4184" s="3" t="s">
        <v>618</v>
      </c>
      <c r="P4184" s="5">
        <v>9</v>
      </c>
      <c r="Q4184" s="5">
        <v>85</v>
      </c>
      <c r="R4184" s="5">
        <v>9</v>
      </c>
      <c r="S4184" s="5">
        <v>86</v>
      </c>
    </row>
    <row r="4185" spans="1:19" ht="28" x14ac:dyDescent="0.15">
      <c r="A4185" s="2">
        <f>HYPERLINK("https://open-school.uspishnemisto.com.ua/school/210355/", 210355)</f>
        <v>210355</v>
      </c>
      <c r="B4185" s="3" t="s">
        <v>21876</v>
      </c>
      <c r="C4185" s="3" t="s">
        <v>31</v>
      </c>
      <c r="D4185" s="3" t="s">
        <v>60</v>
      </c>
      <c r="E4185" s="4" t="s">
        <v>22</v>
      </c>
      <c r="F4185" s="4" t="s">
        <v>21877</v>
      </c>
      <c r="G4185" s="4" t="s">
        <v>21878</v>
      </c>
      <c r="H4185" s="3" t="s">
        <v>20074</v>
      </c>
      <c r="I4185" s="3" t="s">
        <v>21879</v>
      </c>
      <c r="J4185" s="3" t="s">
        <v>21880</v>
      </c>
      <c r="K4185" s="3" t="s">
        <v>21881</v>
      </c>
      <c r="L4185" s="3"/>
      <c r="M4185" s="4"/>
      <c r="N4185" s="3" t="s">
        <v>37</v>
      </c>
      <c r="O4185" s="3" t="s">
        <v>618</v>
      </c>
      <c r="P4185" s="5">
        <v>4</v>
      </c>
      <c r="Q4185" s="5">
        <v>38</v>
      </c>
      <c r="R4185" s="5">
        <v>4</v>
      </c>
      <c r="S4185" s="5">
        <v>39</v>
      </c>
    </row>
    <row r="4186" spans="1:19" ht="28" x14ac:dyDescent="0.15">
      <c r="A4186" s="2">
        <f>HYPERLINK("https://open-school.uspishnemisto.com.ua/school/210356/", 210356)</f>
        <v>210356</v>
      </c>
      <c r="B4186" s="3" t="s">
        <v>21882</v>
      </c>
      <c r="C4186" s="3" t="s">
        <v>31</v>
      </c>
      <c r="D4186" s="3" t="s">
        <v>175</v>
      </c>
      <c r="E4186" s="4" t="s">
        <v>22</v>
      </c>
      <c r="F4186" s="4" t="s">
        <v>21877</v>
      </c>
      <c r="G4186" s="4" t="s">
        <v>21878</v>
      </c>
      <c r="H4186" s="3" t="s">
        <v>20074</v>
      </c>
      <c r="I4186" s="3" t="s">
        <v>21879</v>
      </c>
      <c r="J4186" s="3" t="s">
        <v>21883</v>
      </c>
      <c r="K4186" s="3" t="s">
        <v>21884</v>
      </c>
      <c r="L4186" s="3"/>
      <c r="M4186" s="4"/>
      <c r="N4186" s="3" t="s">
        <v>37</v>
      </c>
      <c r="O4186" s="3" t="s">
        <v>46</v>
      </c>
      <c r="P4186" s="5">
        <v>17</v>
      </c>
      <c r="Q4186" s="5">
        <v>284</v>
      </c>
      <c r="R4186" s="5">
        <v>16</v>
      </c>
      <c r="S4186" s="5">
        <v>282</v>
      </c>
    </row>
    <row r="4187" spans="1:19" ht="42" x14ac:dyDescent="0.15">
      <c r="A4187" s="2">
        <f>HYPERLINK("https://open-school.uspishnemisto.com.ua/school/210357/", 210357)</f>
        <v>210357</v>
      </c>
      <c r="B4187" s="3" t="s">
        <v>21885</v>
      </c>
      <c r="C4187" s="3" t="s">
        <v>54</v>
      </c>
      <c r="D4187" s="3" t="s">
        <v>60</v>
      </c>
      <c r="E4187" s="4" t="s">
        <v>22</v>
      </c>
      <c r="F4187" s="4" t="s">
        <v>21849</v>
      </c>
      <c r="G4187" s="4" t="s">
        <v>21886</v>
      </c>
      <c r="H4187" s="3" t="s">
        <v>20074</v>
      </c>
      <c r="I4187" s="3" t="s">
        <v>21887</v>
      </c>
      <c r="J4187" s="3" t="s">
        <v>21888</v>
      </c>
      <c r="K4187" s="3"/>
      <c r="L4187" s="3"/>
      <c r="M4187" s="4"/>
      <c r="N4187" s="3" t="s">
        <v>37</v>
      </c>
      <c r="O4187" s="3" t="s">
        <v>52</v>
      </c>
      <c r="P4187" s="5">
        <v>4</v>
      </c>
      <c r="Q4187" s="5">
        <v>28</v>
      </c>
      <c r="R4187" s="5">
        <v>3</v>
      </c>
      <c r="S4187" s="5">
        <v>24</v>
      </c>
    </row>
    <row r="4188" spans="1:19" ht="28" x14ac:dyDescent="0.15">
      <c r="A4188" s="2">
        <f>HYPERLINK("https://open-school.uspishnemisto.com.ua/school/210358/", 210358)</f>
        <v>210358</v>
      </c>
      <c r="B4188" s="3" t="s">
        <v>21889</v>
      </c>
      <c r="C4188" s="3" t="s">
        <v>31</v>
      </c>
      <c r="D4188" s="3" t="s">
        <v>60</v>
      </c>
      <c r="E4188" s="4" t="s">
        <v>22</v>
      </c>
      <c r="F4188" s="4" t="s">
        <v>21849</v>
      </c>
      <c r="G4188" s="4" t="s">
        <v>21890</v>
      </c>
      <c r="H4188" s="3" t="s">
        <v>20074</v>
      </c>
      <c r="I4188" s="3" t="s">
        <v>21891</v>
      </c>
      <c r="J4188" s="3" t="s">
        <v>21892</v>
      </c>
      <c r="K4188" s="3"/>
      <c r="L4188" s="3"/>
      <c r="M4188" s="4"/>
      <c r="N4188" s="3" t="s">
        <v>37</v>
      </c>
      <c r="O4188" s="3" t="s">
        <v>52</v>
      </c>
      <c r="P4188" s="5">
        <v>2</v>
      </c>
      <c r="Q4188" s="5">
        <v>22</v>
      </c>
      <c r="R4188" s="5">
        <v>3</v>
      </c>
      <c r="S4188" s="5">
        <v>27</v>
      </c>
    </row>
    <row r="4189" spans="1:19" ht="28" x14ac:dyDescent="0.15">
      <c r="A4189" s="2">
        <f>HYPERLINK("https://open-school.uspishnemisto.com.ua/school/210359/", 210359)</f>
        <v>210359</v>
      </c>
      <c r="B4189" s="3" t="s">
        <v>21893</v>
      </c>
      <c r="C4189" s="3" t="s">
        <v>31</v>
      </c>
      <c r="D4189" s="3" t="s">
        <v>175</v>
      </c>
      <c r="E4189" s="4" t="s">
        <v>22</v>
      </c>
      <c r="F4189" s="4" t="s">
        <v>21894</v>
      </c>
      <c r="G4189" s="4" t="s">
        <v>21895</v>
      </c>
      <c r="H4189" s="3" t="s">
        <v>20074</v>
      </c>
      <c r="I4189" s="3" t="s">
        <v>478</v>
      </c>
      <c r="J4189" s="3" t="s">
        <v>21896</v>
      </c>
      <c r="K4189" s="3" t="s">
        <v>21897</v>
      </c>
      <c r="L4189" s="3" t="s">
        <v>21898</v>
      </c>
      <c r="M4189" s="4"/>
      <c r="N4189" s="3" t="s">
        <v>37</v>
      </c>
      <c r="O4189" s="3" t="s">
        <v>46</v>
      </c>
      <c r="P4189" s="5">
        <v>9</v>
      </c>
      <c r="Q4189" s="5">
        <v>162</v>
      </c>
      <c r="R4189" s="5">
        <v>9</v>
      </c>
      <c r="S4189" s="5">
        <v>160</v>
      </c>
    </row>
    <row r="4190" spans="1:19" ht="28" x14ac:dyDescent="0.15">
      <c r="A4190" s="2">
        <f>HYPERLINK("https://open-school.uspishnemisto.com.ua/school/210360/", 210360)</f>
        <v>210360</v>
      </c>
      <c r="B4190" s="3" t="s">
        <v>21899</v>
      </c>
      <c r="C4190" s="3" t="s">
        <v>31</v>
      </c>
      <c r="D4190" s="3" t="s">
        <v>32</v>
      </c>
      <c r="E4190" s="4" t="s">
        <v>22</v>
      </c>
      <c r="F4190" s="4" t="s">
        <v>21900</v>
      </c>
      <c r="G4190" s="4" t="s">
        <v>21901</v>
      </c>
      <c r="H4190" s="3" t="s">
        <v>20074</v>
      </c>
      <c r="I4190" s="3" t="s">
        <v>21902</v>
      </c>
      <c r="J4190" s="3" t="s">
        <v>21903</v>
      </c>
      <c r="K4190" s="3" t="s">
        <v>21904</v>
      </c>
      <c r="L4190" s="3"/>
      <c r="M4190" s="4"/>
      <c r="N4190" s="3" t="s">
        <v>37</v>
      </c>
      <c r="O4190" s="3" t="s">
        <v>46</v>
      </c>
      <c r="P4190" s="5">
        <v>11</v>
      </c>
      <c r="Q4190" s="5">
        <v>212</v>
      </c>
      <c r="R4190" s="5">
        <v>11</v>
      </c>
      <c r="S4190" s="5">
        <v>218</v>
      </c>
    </row>
    <row r="4191" spans="1:19" ht="28" x14ac:dyDescent="0.15">
      <c r="A4191" s="2">
        <f>HYPERLINK("https://open-school.uspishnemisto.com.ua/school/210361/", 210361)</f>
        <v>210361</v>
      </c>
      <c r="B4191" s="3" t="s">
        <v>21905</v>
      </c>
      <c r="C4191" s="3" t="s">
        <v>31</v>
      </c>
      <c r="D4191" s="3" t="s">
        <v>60</v>
      </c>
      <c r="E4191" s="4" t="s">
        <v>22</v>
      </c>
      <c r="F4191" s="4" t="s">
        <v>21809</v>
      </c>
      <c r="G4191" s="4" t="s">
        <v>21906</v>
      </c>
      <c r="H4191" s="3" t="s">
        <v>20074</v>
      </c>
      <c r="I4191" s="3" t="s">
        <v>21907</v>
      </c>
      <c r="J4191" s="3" t="s">
        <v>21908</v>
      </c>
      <c r="K4191" s="3" t="s">
        <v>21909</v>
      </c>
      <c r="L4191" s="3"/>
      <c r="M4191" s="4"/>
      <c r="N4191" s="3" t="s">
        <v>37</v>
      </c>
      <c r="O4191" s="3" t="s">
        <v>46</v>
      </c>
      <c r="P4191" s="5">
        <v>3</v>
      </c>
      <c r="Q4191" s="5">
        <v>21</v>
      </c>
      <c r="R4191" s="5">
        <v>3</v>
      </c>
      <c r="S4191" s="5">
        <v>23</v>
      </c>
    </row>
    <row r="4192" spans="1:19" ht="28" x14ac:dyDescent="0.15">
      <c r="A4192" s="2">
        <f>HYPERLINK("https://open-school.uspishnemisto.com.ua/school/210362/", 210362)</f>
        <v>210362</v>
      </c>
      <c r="B4192" s="3" t="s">
        <v>21910</v>
      </c>
      <c r="C4192" s="3" t="s">
        <v>31</v>
      </c>
      <c r="D4192" s="3" t="s">
        <v>32</v>
      </c>
      <c r="E4192" s="4" t="s">
        <v>22</v>
      </c>
      <c r="F4192" s="4" t="s">
        <v>21911</v>
      </c>
      <c r="G4192" s="4" t="s">
        <v>21912</v>
      </c>
      <c r="H4192" s="3" t="s">
        <v>20074</v>
      </c>
      <c r="I4192" s="3" t="s">
        <v>1530</v>
      </c>
      <c r="J4192" s="3" t="s">
        <v>21913</v>
      </c>
      <c r="K4192" s="3"/>
      <c r="L4192" s="3" t="s">
        <v>21914</v>
      </c>
      <c r="M4192" s="4"/>
      <c r="N4192" s="3" t="s">
        <v>37</v>
      </c>
      <c r="O4192" s="3" t="s">
        <v>52</v>
      </c>
      <c r="P4192" s="5">
        <v>11</v>
      </c>
      <c r="Q4192" s="5">
        <v>114</v>
      </c>
      <c r="R4192" s="5">
        <v>11</v>
      </c>
      <c r="S4192" s="5">
        <v>115</v>
      </c>
    </row>
    <row r="4193" spans="1:19" ht="28" x14ac:dyDescent="0.15">
      <c r="A4193" s="2">
        <f>HYPERLINK("https://open-school.uspishnemisto.com.ua/school/210363/", 210363)</f>
        <v>210363</v>
      </c>
      <c r="B4193" s="3" t="s">
        <v>21915</v>
      </c>
      <c r="C4193" s="3" t="s">
        <v>31</v>
      </c>
      <c r="D4193" s="3" t="s">
        <v>175</v>
      </c>
      <c r="E4193" s="4" t="s">
        <v>22</v>
      </c>
      <c r="F4193" s="4" t="s">
        <v>21911</v>
      </c>
      <c r="G4193" s="4" t="s">
        <v>21916</v>
      </c>
      <c r="H4193" s="3" t="s">
        <v>20074</v>
      </c>
      <c r="I4193" s="3" t="s">
        <v>21917</v>
      </c>
      <c r="J4193" s="3" t="s">
        <v>4570</v>
      </c>
      <c r="K4193" s="3" t="s">
        <v>21918</v>
      </c>
      <c r="L4193" s="3" t="s">
        <v>21919</v>
      </c>
      <c r="M4193" s="4"/>
      <c r="N4193" s="3" t="s">
        <v>37</v>
      </c>
      <c r="O4193" s="3" t="s">
        <v>52</v>
      </c>
      <c r="P4193" s="5">
        <v>9</v>
      </c>
      <c r="Q4193" s="5">
        <v>60</v>
      </c>
      <c r="R4193" s="5">
        <v>9</v>
      </c>
      <c r="S4193" s="5">
        <v>57</v>
      </c>
    </row>
    <row r="4194" spans="1:19" ht="28" x14ac:dyDescent="0.15">
      <c r="A4194" s="2">
        <f>HYPERLINK("https://open-school.uspishnemisto.com.ua/school/210364/", 210364)</f>
        <v>210364</v>
      </c>
      <c r="B4194" s="3" t="s">
        <v>21920</v>
      </c>
      <c r="C4194" s="3" t="s">
        <v>31</v>
      </c>
      <c r="D4194" s="3" t="s">
        <v>175</v>
      </c>
      <c r="E4194" s="4" t="s">
        <v>22</v>
      </c>
      <c r="F4194" s="4" t="s">
        <v>21921</v>
      </c>
      <c r="G4194" s="4" t="s">
        <v>21922</v>
      </c>
      <c r="H4194" s="3" t="s">
        <v>20074</v>
      </c>
      <c r="I4194" s="3" t="s">
        <v>21923</v>
      </c>
      <c r="J4194" s="3" t="s">
        <v>2384</v>
      </c>
      <c r="K4194" s="3" t="s">
        <v>21924</v>
      </c>
      <c r="L4194" s="3"/>
      <c r="M4194" s="4"/>
      <c r="N4194" s="3" t="s">
        <v>37</v>
      </c>
      <c r="O4194" s="3" t="s">
        <v>46</v>
      </c>
      <c r="P4194" s="5">
        <v>11</v>
      </c>
      <c r="Q4194" s="5">
        <v>196</v>
      </c>
      <c r="R4194" s="5">
        <v>12</v>
      </c>
      <c r="S4194" s="5">
        <v>213</v>
      </c>
    </row>
    <row r="4195" spans="1:19" ht="28" x14ac:dyDescent="0.15">
      <c r="A4195" s="2">
        <f>HYPERLINK("https://open-school.uspishnemisto.com.ua/school/210365/", 210365)</f>
        <v>210365</v>
      </c>
      <c r="B4195" s="3" t="s">
        <v>21925</v>
      </c>
      <c r="C4195" s="3" t="s">
        <v>31</v>
      </c>
      <c r="D4195" s="3" t="s">
        <v>175</v>
      </c>
      <c r="E4195" s="4" t="s">
        <v>22</v>
      </c>
      <c r="F4195" s="4" t="s">
        <v>21926</v>
      </c>
      <c r="G4195" s="4" t="s">
        <v>21927</v>
      </c>
      <c r="H4195" s="3" t="s">
        <v>20074</v>
      </c>
      <c r="I4195" s="3" t="s">
        <v>21928</v>
      </c>
      <c r="J4195" s="3" t="s">
        <v>466</v>
      </c>
      <c r="K4195" s="3" t="s">
        <v>21929</v>
      </c>
      <c r="L4195" s="3"/>
      <c r="M4195" s="4"/>
      <c r="N4195" s="3" t="s">
        <v>37</v>
      </c>
      <c r="O4195" s="3" t="s">
        <v>52</v>
      </c>
      <c r="P4195" s="5">
        <v>9</v>
      </c>
      <c r="Q4195" s="5">
        <v>151</v>
      </c>
      <c r="R4195" s="5">
        <v>9</v>
      </c>
      <c r="S4195" s="5">
        <v>141</v>
      </c>
    </row>
    <row r="4196" spans="1:19" ht="28" x14ac:dyDescent="0.15">
      <c r="A4196" s="2">
        <f>HYPERLINK("https://open-school.uspishnemisto.com.ua/school/210366/", 210366)</f>
        <v>210366</v>
      </c>
      <c r="B4196" s="3" t="s">
        <v>21930</v>
      </c>
      <c r="C4196" s="3" t="s">
        <v>31</v>
      </c>
      <c r="D4196" s="3" t="s">
        <v>60</v>
      </c>
      <c r="E4196" s="4" t="s">
        <v>22</v>
      </c>
      <c r="F4196" s="4" t="s">
        <v>21926</v>
      </c>
      <c r="G4196" s="4" t="s">
        <v>21931</v>
      </c>
      <c r="H4196" s="3" t="s">
        <v>20074</v>
      </c>
      <c r="I4196" s="3" t="s">
        <v>21932</v>
      </c>
      <c r="J4196" s="3" t="s">
        <v>11612</v>
      </c>
      <c r="K4196" s="3" t="s">
        <v>21933</v>
      </c>
      <c r="L4196" s="3"/>
      <c r="M4196" s="4"/>
      <c r="N4196" s="3" t="s">
        <v>37</v>
      </c>
      <c r="O4196" s="3" t="s">
        <v>52</v>
      </c>
      <c r="P4196" s="5">
        <v>2</v>
      </c>
      <c r="Q4196" s="5">
        <v>18</v>
      </c>
      <c r="R4196" s="5">
        <v>3</v>
      </c>
      <c r="S4196" s="5">
        <v>23</v>
      </c>
    </row>
    <row r="4197" spans="1:19" ht="28" x14ac:dyDescent="0.15">
      <c r="A4197" s="2">
        <f>HYPERLINK("https://open-school.uspishnemisto.com.ua/school/210367/", 210367)</f>
        <v>210367</v>
      </c>
      <c r="B4197" s="3" t="s">
        <v>21934</v>
      </c>
      <c r="C4197" s="3" t="s">
        <v>31</v>
      </c>
      <c r="D4197" s="3" t="s">
        <v>60</v>
      </c>
      <c r="E4197" s="4" t="s">
        <v>22</v>
      </c>
      <c r="F4197" s="4" t="s">
        <v>21926</v>
      </c>
      <c r="G4197" s="4" t="s">
        <v>21935</v>
      </c>
      <c r="H4197" s="3" t="s">
        <v>20074</v>
      </c>
      <c r="I4197" s="3" t="s">
        <v>21936</v>
      </c>
      <c r="J4197" s="3" t="s">
        <v>21937</v>
      </c>
      <c r="K4197" s="3" t="s">
        <v>21938</v>
      </c>
      <c r="L4197" s="3"/>
      <c r="M4197" s="4"/>
      <c r="N4197" s="3" t="s">
        <v>37</v>
      </c>
      <c r="O4197" s="3" t="s">
        <v>52</v>
      </c>
      <c r="P4197" s="5">
        <v>1</v>
      </c>
      <c r="Q4197" s="5">
        <v>12</v>
      </c>
      <c r="R4197" s="5">
        <v>1</v>
      </c>
      <c r="S4197" s="5">
        <v>13</v>
      </c>
    </row>
    <row r="4198" spans="1:19" ht="28" x14ac:dyDescent="0.15">
      <c r="A4198" s="2">
        <f>HYPERLINK("https://open-school.uspishnemisto.com.ua/school/210368/", 210368)</f>
        <v>210368</v>
      </c>
      <c r="B4198" s="3" t="s">
        <v>21939</v>
      </c>
      <c r="C4198" s="3" t="s">
        <v>31</v>
      </c>
      <c r="D4198" s="3" t="s">
        <v>175</v>
      </c>
      <c r="E4198" s="4" t="s">
        <v>22</v>
      </c>
      <c r="F4198" s="4" t="s">
        <v>21940</v>
      </c>
      <c r="G4198" s="4" t="s">
        <v>21941</v>
      </c>
      <c r="H4198" s="3" t="s">
        <v>20074</v>
      </c>
      <c r="I4198" s="3" t="s">
        <v>21942</v>
      </c>
      <c r="J4198" s="3" t="s">
        <v>21943</v>
      </c>
      <c r="K4198" s="3" t="s">
        <v>21944</v>
      </c>
      <c r="L4198" s="3"/>
      <c r="M4198" s="4"/>
      <c r="N4198" s="3" t="s">
        <v>37</v>
      </c>
      <c r="O4198" s="3" t="s">
        <v>38</v>
      </c>
      <c r="P4198" s="5">
        <v>9</v>
      </c>
      <c r="Q4198" s="5">
        <v>115</v>
      </c>
      <c r="R4198" s="5">
        <v>9</v>
      </c>
      <c r="S4198" s="5">
        <v>122</v>
      </c>
    </row>
    <row r="4199" spans="1:19" ht="28" x14ac:dyDescent="0.15">
      <c r="A4199" s="2">
        <f>HYPERLINK("https://open-school.uspishnemisto.com.ua/school/210369/", 210369)</f>
        <v>210369</v>
      </c>
      <c r="B4199" s="3" t="s">
        <v>21945</v>
      </c>
      <c r="C4199" s="3" t="s">
        <v>31</v>
      </c>
      <c r="D4199" s="3" t="s">
        <v>175</v>
      </c>
      <c r="E4199" s="4" t="s">
        <v>22</v>
      </c>
      <c r="F4199" s="4" t="s">
        <v>21849</v>
      </c>
      <c r="G4199" s="4" t="s">
        <v>21946</v>
      </c>
      <c r="H4199" s="3" t="s">
        <v>20074</v>
      </c>
      <c r="I4199" s="3" t="s">
        <v>21947</v>
      </c>
      <c r="J4199" s="3" t="s">
        <v>21948</v>
      </c>
      <c r="K4199" s="3" t="s">
        <v>21949</v>
      </c>
      <c r="L4199" s="3"/>
      <c r="M4199" s="4"/>
      <c r="N4199" s="3" t="s">
        <v>37</v>
      </c>
      <c r="O4199" s="3" t="s">
        <v>38</v>
      </c>
      <c r="P4199" s="5">
        <v>9</v>
      </c>
      <c r="Q4199" s="5">
        <v>149</v>
      </c>
      <c r="R4199" s="5">
        <v>9</v>
      </c>
      <c r="S4199" s="5">
        <v>140</v>
      </c>
    </row>
    <row r="4200" spans="1:19" ht="28" x14ac:dyDescent="0.15">
      <c r="A4200" s="2">
        <f>HYPERLINK("https://open-school.uspishnemisto.com.ua/school/210370/", 210370)</f>
        <v>210370</v>
      </c>
      <c r="B4200" s="3" t="s">
        <v>21950</v>
      </c>
      <c r="C4200" s="3" t="s">
        <v>31</v>
      </c>
      <c r="D4200" s="3" t="s">
        <v>32</v>
      </c>
      <c r="E4200" s="4" t="s">
        <v>22</v>
      </c>
      <c r="F4200" s="4" t="s">
        <v>21951</v>
      </c>
      <c r="G4200" s="4" t="s">
        <v>21952</v>
      </c>
      <c r="H4200" s="3" t="s">
        <v>20074</v>
      </c>
      <c r="I4200" s="3" t="s">
        <v>21953</v>
      </c>
      <c r="J4200" s="3" t="s">
        <v>1845</v>
      </c>
      <c r="K4200" s="3" t="s">
        <v>21954</v>
      </c>
      <c r="L4200" s="3"/>
      <c r="M4200" s="4"/>
      <c r="N4200" s="3" t="s">
        <v>37</v>
      </c>
      <c r="O4200" s="3" t="s">
        <v>46</v>
      </c>
      <c r="P4200" s="5">
        <v>12</v>
      </c>
      <c r="Q4200" s="5">
        <v>230</v>
      </c>
      <c r="R4200" s="5">
        <v>12</v>
      </c>
      <c r="S4200" s="5">
        <v>232</v>
      </c>
    </row>
    <row r="4201" spans="1:19" ht="42" x14ac:dyDescent="0.15">
      <c r="A4201" s="2">
        <f>HYPERLINK("https://open-school.uspishnemisto.com.ua/school/210371/", 210371)</f>
        <v>210371</v>
      </c>
      <c r="B4201" s="3" t="s">
        <v>21955</v>
      </c>
      <c r="C4201" s="3" t="s">
        <v>31</v>
      </c>
      <c r="D4201" s="3" t="s">
        <v>175</v>
      </c>
      <c r="E4201" s="4" t="s">
        <v>22</v>
      </c>
      <c r="F4201" s="4" t="s">
        <v>21956</v>
      </c>
      <c r="G4201" s="4" t="s">
        <v>21957</v>
      </c>
      <c r="H4201" s="3" t="s">
        <v>20074</v>
      </c>
      <c r="I4201" s="3" t="s">
        <v>21958</v>
      </c>
      <c r="J4201" s="3" t="s">
        <v>21959</v>
      </c>
      <c r="K4201" s="3" t="s">
        <v>21960</v>
      </c>
      <c r="L4201" s="3"/>
      <c r="M4201" s="4"/>
      <c r="N4201" s="3" t="s">
        <v>18409</v>
      </c>
      <c r="O4201" s="3" t="s">
        <v>618</v>
      </c>
      <c r="P4201" s="5">
        <v>9</v>
      </c>
      <c r="Q4201" s="5">
        <v>144</v>
      </c>
      <c r="R4201" s="5">
        <v>9</v>
      </c>
      <c r="S4201" s="5">
        <v>160</v>
      </c>
    </row>
    <row r="4202" spans="1:19" ht="28" x14ac:dyDescent="0.15">
      <c r="A4202" s="2">
        <f>HYPERLINK("https://open-school.uspishnemisto.com.ua/school/210372/", 210372)</f>
        <v>210372</v>
      </c>
      <c r="B4202" s="3" t="s">
        <v>21961</v>
      </c>
      <c r="C4202" s="3" t="s">
        <v>31</v>
      </c>
      <c r="D4202" s="3" t="s">
        <v>32</v>
      </c>
      <c r="E4202" s="4" t="s">
        <v>22</v>
      </c>
      <c r="F4202" s="4" t="s">
        <v>21962</v>
      </c>
      <c r="G4202" s="4" t="s">
        <v>21963</v>
      </c>
      <c r="H4202" s="3" t="s">
        <v>20074</v>
      </c>
      <c r="I4202" s="3" t="s">
        <v>21964</v>
      </c>
      <c r="J4202" s="3" t="s">
        <v>19284</v>
      </c>
      <c r="K4202" s="3" t="s">
        <v>21965</v>
      </c>
      <c r="L4202" s="3"/>
      <c r="M4202" s="4"/>
      <c r="N4202" s="3" t="s">
        <v>37</v>
      </c>
      <c r="O4202" s="3" t="s">
        <v>46</v>
      </c>
      <c r="P4202" s="5">
        <v>11</v>
      </c>
      <c r="Q4202" s="5">
        <v>176</v>
      </c>
      <c r="R4202" s="5">
        <v>11</v>
      </c>
      <c r="S4202" s="5">
        <v>196</v>
      </c>
    </row>
    <row r="4203" spans="1:19" ht="28" x14ac:dyDescent="0.15">
      <c r="A4203" s="2">
        <f>HYPERLINK("https://open-school.uspishnemisto.com.ua/school/210373/", 210373)</f>
        <v>210373</v>
      </c>
      <c r="B4203" s="3" t="s">
        <v>21966</v>
      </c>
      <c r="C4203" s="3" t="s">
        <v>31</v>
      </c>
      <c r="D4203" s="3" t="s">
        <v>175</v>
      </c>
      <c r="E4203" s="4" t="s">
        <v>22</v>
      </c>
      <c r="F4203" s="4" t="s">
        <v>21967</v>
      </c>
      <c r="G4203" s="4" t="s">
        <v>21968</v>
      </c>
      <c r="H4203" s="3" t="s">
        <v>20074</v>
      </c>
      <c r="I4203" s="3" t="s">
        <v>21969</v>
      </c>
      <c r="J4203" s="3" t="s">
        <v>3494</v>
      </c>
      <c r="K4203" s="3" t="s">
        <v>21970</v>
      </c>
      <c r="L4203" s="3"/>
      <c r="M4203" s="4"/>
      <c r="N4203" s="3" t="s">
        <v>37</v>
      </c>
      <c r="O4203" s="3" t="s">
        <v>52</v>
      </c>
      <c r="P4203" s="5">
        <v>9</v>
      </c>
      <c r="Q4203" s="5">
        <v>139</v>
      </c>
      <c r="R4203" s="5">
        <v>9</v>
      </c>
      <c r="S4203" s="5">
        <v>124</v>
      </c>
    </row>
    <row r="4204" spans="1:19" ht="28" x14ac:dyDescent="0.15">
      <c r="A4204" s="2">
        <f>HYPERLINK("https://open-school.uspishnemisto.com.ua/school/210374/", 210374)</f>
        <v>210374</v>
      </c>
      <c r="B4204" s="3" t="s">
        <v>21971</v>
      </c>
      <c r="C4204" s="3" t="s">
        <v>31</v>
      </c>
      <c r="D4204" s="3" t="s">
        <v>175</v>
      </c>
      <c r="E4204" s="4" t="s">
        <v>22</v>
      </c>
      <c r="F4204" s="4" t="s">
        <v>21972</v>
      </c>
      <c r="G4204" s="4" t="s">
        <v>21973</v>
      </c>
      <c r="H4204" s="3" t="s">
        <v>20074</v>
      </c>
      <c r="I4204" s="3" t="s">
        <v>21974</v>
      </c>
      <c r="J4204" s="3" t="s">
        <v>1770</v>
      </c>
      <c r="K4204" s="3" t="s">
        <v>21975</v>
      </c>
      <c r="L4204" s="3" t="s">
        <v>21976</v>
      </c>
      <c r="M4204" s="4"/>
      <c r="N4204" s="3" t="s">
        <v>37</v>
      </c>
      <c r="O4204" s="3" t="s">
        <v>38</v>
      </c>
      <c r="P4204" s="5">
        <v>9</v>
      </c>
      <c r="Q4204" s="5">
        <v>74</v>
      </c>
      <c r="R4204" s="5">
        <v>8</v>
      </c>
      <c r="S4204" s="5">
        <v>72</v>
      </c>
    </row>
    <row r="4205" spans="1:19" ht="28" x14ac:dyDescent="0.15">
      <c r="A4205" s="2">
        <f>HYPERLINK("https://open-school.uspishnemisto.com.ua/school/210375/", 210375)</f>
        <v>210375</v>
      </c>
      <c r="B4205" s="3" t="s">
        <v>21977</v>
      </c>
      <c r="C4205" s="3" t="s">
        <v>31</v>
      </c>
      <c r="D4205" s="3" t="s">
        <v>32</v>
      </c>
      <c r="E4205" s="4" t="s">
        <v>22</v>
      </c>
      <c r="F4205" s="4" t="s">
        <v>21978</v>
      </c>
      <c r="G4205" s="4" t="s">
        <v>21979</v>
      </c>
      <c r="H4205" s="3" t="s">
        <v>20074</v>
      </c>
      <c r="I4205" s="3" t="s">
        <v>21980</v>
      </c>
      <c r="J4205" s="3" t="s">
        <v>21981</v>
      </c>
      <c r="K4205" s="3" t="s">
        <v>21982</v>
      </c>
      <c r="L4205" s="3"/>
      <c r="M4205" s="4"/>
      <c r="N4205" s="3" t="s">
        <v>37</v>
      </c>
      <c r="O4205" s="3" t="s">
        <v>70</v>
      </c>
      <c r="P4205" s="5">
        <v>19</v>
      </c>
      <c r="Q4205" s="5">
        <v>431</v>
      </c>
      <c r="R4205" s="5">
        <v>21</v>
      </c>
      <c r="S4205" s="5">
        <v>415</v>
      </c>
    </row>
    <row r="4206" spans="1:19" ht="28" x14ac:dyDescent="0.15">
      <c r="A4206" s="2">
        <f>HYPERLINK("https://open-school.uspishnemisto.com.ua/school/210376/", 210376)</f>
        <v>210376</v>
      </c>
      <c r="B4206" s="3" t="s">
        <v>21983</v>
      </c>
      <c r="C4206" s="3" t="s">
        <v>31</v>
      </c>
      <c r="D4206" s="3" t="s">
        <v>175</v>
      </c>
      <c r="E4206" s="4" t="s">
        <v>22</v>
      </c>
      <c r="F4206" s="4" t="s">
        <v>21984</v>
      </c>
      <c r="G4206" s="4" t="s">
        <v>21985</v>
      </c>
      <c r="H4206" s="3" t="s">
        <v>20074</v>
      </c>
      <c r="I4206" s="3" t="s">
        <v>21986</v>
      </c>
      <c r="J4206" s="3" t="s">
        <v>17237</v>
      </c>
      <c r="K4206" s="3" t="s">
        <v>21987</v>
      </c>
      <c r="L4206" s="3"/>
      <c r="M4206" s="4"/>
      <c r="N4206" s="3" t="s">
        <v>37</v>
      </c>
      <c r="O4206" s="3" t="s">
        <v>46</v>
      </c>
      <c r="P4206" s="5">
        <v>12</v>
      </c>
      <c r="Q4206" s="5">
        <v>219</v>
      </c>
      <c r="R4206" s="5">
        <v>12</v>
      </c>
      <c r="S4206" s="5">
        <v>220</v>
      </c>
    </row>
    <row r="4207" spans="1:19" ht="28" x14ac:dyDescent="0.15">
      <c r="A4207" s="2">
        <f>HYPERLINK("https://open-school.uspishnemisto.com.ua/school/210377/", 210377)</f>
        <v>210377</v>
      </c>
      <c r="B4207" s="3" t="s">
        <v>21988</v>
      </c>
      <c r="C4207" s="3" t="s">
        <v>31</v>
      </c>
      <c r="D4207" s="3" t="s">
        <v>60</v>
      </c>
      <c r="E4207" s="4" t="s">
        <v>22</v>
      </c>
      <c r="F4207" s="4" t="s">
        <v>21984</v>
      </c>
      <c r="G4207" s="4" t="s">
        <v>21989</v>
      </c>
      <c r="H4207" s="3" t="s">
        <v>20074</v>
      </c>
      <c r="I4207" s="3" t="s">
        <v>21990</v>
      </c>
      <c r="J4207" s="3" t="s">
        <v>21991</v>
      </c>
      <c r="K4207" s="3"/>
      <c r="L4207" s="3"/>
      <c r="M4207" s="4"/>
      <c r="N4207" s="3" t="s">
        <v>37</v>
      </c>
      <c r="O4207" s="3" t="s">
        <v>52</v>
      </c>
      <c r="P4207" s="5">
        <v>4</v>
      </c>
      <c r="Q4207" s="5">
        <v>31</v>
      </c>
      <c r="R4207" s="5">
        <v>4</v>
      </c>
      <c r="S4207" s="5">
        <v>32</v>
      </c>
    </row>
    <row r="4208" spans="1:19" ht="28" x14ac:dyDescent="0.15">
      <c r="A4208" s="2">
        <f>HYPERLINK("https://open-school.uspishnemisto.com.ua/school/210378/", 210378)</f>
        <v>210378</v>
      </c>
      <c r="B4208" s="3" t="s">
        <v>21992</v>
      </c>
      <c r="C4208" s="3" t="s">
        <v>31</v>
      </c>
      <c r="D4208" s="3" t="s">
        <v>60</v>
      </c>
      <c r="E4208" s="4" t="s">
        <v>22</v>
      </c>
      <c r="F4208" s="4" t="s">
        <v>21984</v>
      </c>
      <c r="G4208" s="4" t="s">
        <v>21993</v>
      </c>
      <c r="H4208" s="3" t="s">
        <v>20074</v>
      </c>
      <c r="I4208" s="3" t="s">
        <v>21994</v>
      </c>
      <c r="J4208" s="3" t="s">
        <v>21995</v>
      </c>
      <c r="K4208" s="3"/>
      <c r="L4208" s="3"/>
      <c r="M4208" s="4"/>
      <c r="N4208" s="3" t="s">
        <v>37</v>
      </c>
      <c r="O4208" s="3" t="s">
        <v>52</v>
      </c>
      <c r="P4208" s="5">
        <v>4</v>
      </c>
      <c r="Q4208" s="5">
        <v>75</v>
      </c>
      <c r="R4208" s="5">
        <v>4</v>
      </c>
      <c r="S4208" s="5">
        <v>76</v>
      </c>
    </row>
    <row r="4209" spans="1:19" ht="28" x14ac:dyDescent="0.15">
      <c r="A4209" s="2">
        <f>HYPERLINK("https://open-school.uspishnemisto.com.ua/school/210379/", 210379)</f>
        <v>210379</v>
      </c>
      <c r="B4209" s="3" t="s">
        <v>21996</v>
      </c>
      <c r="C4209" s="3" t="s">
        <v>31</v>
      </c>
      <c r="D4209" s="3" t="s">
        <v>60</v>
      </c>
      <c r="E4209" s="4" t="s">
        <v>22</v>
      </c>
      <c r="F4209" s="4" t="s">
        <v>21997</v>
      </c>
      <c r="G4209" s="4" t="s">
        <v>21998</v>
      </c>
      <c r="H4209" s="3" t="s">
        <v>20074</v>
      </c>
      <c r="I4209" s="3" t="s">
        <v>21999</v>
      </c>
      <c r="J4209" s="3" t="s">
        <v>22000</v>
      </c>
      <c r="K4209" s="3" t="s">
        <v>22001</v>
      </c>
      <c r="L4209" s="3"/>
      <c r="M4209" s="4"/>
      <c r="N4209" s="3" t="s">
        <v>37</v>
      </c>
      <c r="O4209" s="3" t="s">
        <v>618</v>
      </c>
      <c r="P4209" s="5">
        <v>4</v>
      </c>
      <c r="Q4209" s="5">
        <v>45</v>
      </c>
      <c r="R4209" s="5">
        <v>4</v>
      </c>
      <c r="S4209" s="5">
        <v>42</v>
      </c>
    </row>
    <row r="4210" spans="1:19" ht="28" x14ac:dyDescent="0.15">
      <c r="A4210" s="2">
        <f>HYPERLINK("https://open-school.uspishnemisto.com.ua/school/210380/", 210380)</f>
        <v>210380</v>
      </c>
      <c r="B4210" s="3" t="s">
        <v>22002</v>
      </c>
      <c r="C4210" s="3" t="s">
        <v>31</v>
      </c>
      <c r="D4210" s="3" t="s">
        <v>175</v>
      </c>
      <c r="E4210" s="4" t="s">
        <v>22</v>
      </c>
      <c r="F4210" s="4" t="s">
        <v>22003</v>
      </c>
      <c r="G4210" s="4" t="s">
        <v>22004</v>
      </c>
      <c r="H4210" s="3" t="s">
        <v>20074</v>
      </c>
      <c r="I4210" s="3" t="s">
        <v>22005</v>
      </c>
      <c r="J4210" s="3" t="s">
        <v>1773</v>
      </c>
      <c r="K4210" s="3" t="s">
        <v>22006</v>
      </c>
      <c r="L4210" s="3"/>
      <c r="M4210" s="4"/>
      <c r="N4210" s="3" t="s">
        <v>37</v>
      </c>
      <c r="O4210" s="3" t="s">
        <v>46</v>
      </c>
      <c r="P4210" s="5">
        <v>9</v>
      </c>
      <c r="Q4210" s="5">
        <v>76</v>
      </c>
      <c r="R4210" s="5">
        <v>8</v>
      </c>
      <c r="S4210" s="5">
        <v>63</v>
      </c>
    </row>
    <row r="4211" spans="1:19" ht="28" x14ac:dyDescent="0.15">
      <c r="A4211" s="2">
        <f>HYPERLINK("https://open-school.uspishnemisto.com.ua/school/210381/", 210381)</f>
        <v>210381</v>
      </c>
      <c r="B4211" s="3" t="s">
        <v>22007</v>
      </c>
      <c r="C4211" s="3" t="s">
        <v>31</v>
      </c>
      <c r="D4211" s="3" t="s">
        <v>32</v>
      </c>
      <c r="E4211" s="4" t="s">
        <v>22</v>
      </c>
      <c r="F4211" s="4" t="s">
        <v>22008</v>
      </c>
      <c r="G4211" s="4" t="s">
        <v>22009</v>
      </c>
      <c r="H4211" s="3" t="s">
        <v>20074</v>
      </c>
      <c r="I4211" s="3" t="s">
        <v>22010</v>
      </c>
      <c r="J4211" s="3" t="s">
        <v>22011</v>
      </c>
      <c r="K4211" s="3" t="s">
        <v>22012</v>
      </c>
      <c r="L4211" s="3"/>
      <c r="M4211" s="4"/>
      <c r="N4211" s="3" t="s">
        <v>37</v>
      </c>
      <c r="O4211" s="3" t="s">
        <v>112</v>
      </c>
      <c r="P4211" s="5">
        <v>11</v>
      </c>
      <c r="Q4211" s="5">
        <v>136</v>
      </c>
      <c r="R4211" s="5">
        <v>11</v>
      </c>
      <c r="S4211" s="5">
        <v>137</v>
      </c>
    </row>
    <row r="4212" spans="1:19" ht="42" x14ac:dyDescent="0.15">
      <c r="A4212" s="2">
        <f>HYPERLINK("https://open-school.uspishnemisto.com.ua/school/210382/", 210382)</f>
        <v>210382</v>
      </c>
      <c r="B4212" s="3" t="s">
        <v>22013</v>
      </c>
      <c r="C4212" s="3" t="s">
        <v>31</v>
      </c>
      <c r="D4212" s="3" t="s">
        <v>175</v>
      </c>
      <c r="E4212" s="4" t="s">
        <v>22</v>
      </c>
      <c r="F4212" s="4" t="s">
        <v>22014</v>
      </c>
      <c r="G4212" s="4" t="s">
        <v>22015</v>
      </c>
      <c r="H4212" s="3" t="s">
        <v>20074</v>
      </c>
      <c r="I4212" s="3" t="s">
        <v>22016</v>
      </c>
      <c r="J4212" s="3" t="s">
        <v>22017</v>
      </c>
      <c r="K4212" s="3" t="s">
        <v>22018</v>
      </c>
      <c r="L4212" s="3" t="s">
        <v>22019</v>
      </c>
      <c r="M4212" s="4"/>
      <c r="N4212" s="3" t="s">
        <v>18409</v>
      </c>
      <c r="O4212" s="3" t="s">
        <v>52</v>
      </c>
      <c r="P4212" s="5">
        <v>9</v>
      </c>
      <c r="Q4212" s="5">
        <v>113</v>
      </c>
      <c r="R4212" s="5">
        <v>9</v>
      </c>
      <c r="S4212" s="5">
        <v>123</v>
      </c>
    </row>
    <row r="4213" spans="1:19" ht="28" x14ac:dyDescent="0.15">
      <c r="A4213" s="2">
        <f>HYPERLINK("https://open-school.uspishnemisto.com.ua/school/210383/", 210383)</f>
        <v>210383</v>
      </c>
      <c r="B4213" s="3" t="s">
        <v>22020</v>
      </c>
      <c r="C4213" s="3" t="s">
        <v>31</v>
      </c>
      <c r="D4213" s="3" t="s">
        <v>32</v>
      </c>
      <c r="E4213" s="4" t="s">
        <v>22</v>
      </c>
      <c r="F4213" s="4" t="s">
        <v>22014</v>
      </c>
      <c r="G4213" s="4" t="s">
        <v>22015</v>
      </c>
      <c r="H4213" s="3" t="s">
        <v>20074</v>
      </c>
      <c r="I4213" s="3" t="s">
        <v>22016</v>
      </c>
      <c r="J4213" s="3" t="s">
        <v>22021</v>
      </c>
      <c r="K4213" s="3" t="s">
        <v>22022</v>
      </c>
      <c r="L4213" s="3"/>
      <c r="M4213" s="4"/>
      <c r="N4213" s="3" t="s">
        <v>37</v>
      </c>
      <c r="O4213" s="3" t="s">
        <v>46</v>
      </c>
      <c r="P4213" s="5">
        <v>21</v>
      </c>
      <c r="Q4213" s="5">
        <v>402</v>
      </c>
      <c r="R4213" s="5">
        <v>20</v>
      </c>
      <c r="S4213" s="5">
        <v>380</v>
      </c>
    </row>
    <row r="4214" spans="1:19" ht="28" x14ac:dyDescent="0.15">
      <c r="A4214" s="2">
        <f>HYPERLINK("https://open-school.uspishnemisto.com.ua/school/210384/", 210384)</f>
        <v>210384</v>
      </c>
      <c r="B4214" s="3" t="s">
        <v>22023</v>
      </c>
      <c r="C4214" s="3" t="s">
        <v>181</v>
      </c>
      <c r="D4214" s="3" t="s">
        <v>175</v>
      </c>
      <c r="E4214" s="4" t="s">
        <v>22</v>
      </c>
      <c r="F4214" s="4" t="s">
        <v>22014</v>
      </c>
      <c r="G4214" s="4" t="s">
        <v>22024</v>
      </c>
      <c r="H4214" s="3" t="s">
        <v>20074</v>
      </c>
      <c r="I4214" s="3" t="s">
        <v>22025</v>
      </c>
      <c r="J4214" s="3" t="s">
        <v>22026</v>
      </c>
      <c r="K4214" s="3" t="s">
        <v>22027</v>
      </c>
      <c r="L4214" s="3"/>
      <c r="M4214" s="4" t="s">
        <v>22028</v>
      </c>
      <c r="N4214" s="3" t="s">
        <v>37</v>
      </c>
      <c r="O4214" s="3"/>
      <c r="P4214" s="5">
        <v>2</v>
      </c>
      <c r="Q4214" s="5">
        <v>27</v>
      </c>
      <c r="R4214" s="5">
        <v>4</v>
      </c>
      <c r="S4214" s="5">
        <v>32</v>
      </c>
    </row>
    <row r="4215" spans="1:19" ht="28" x14ac:dyDescent="0.15">
      <c r="A4215" s="2">
        <f>HYPERLINK("https://open-school.uspishnemisto.com.ua/school/210385/", 210385)</f>
        <v>210385</v>
      </c>
      <c r="B4215" s="3" t="s">
        <v>22029</v>
      </c>
      <c r="C4215" s="3" t="s">
        <v>31</v>
      </c>
      <c r="D4215" s="3" t="s">
        <v>175</v>
      </c>
      <c r="E4215" s="4" t="s">
        <v>22</v>
      </c>
      <c r="F4215" s="4" t="s">
        <v>22014</v>
      </c>
      <c r="G4215" s="4" t="s">
        <v>22030</v>
      </c>
      <c r="H4215" s="3" t="s">
        <v>20074</v>
      </c>
      <c r="I4215" s="3" t="s">
        <v>22031</v>
      </c>
      <c r="J4215" s="3" t="s">
        <v>22032</v>
      </c>
      <c r="K4215" s="3"/>
      <c r="L4215" s="3"/>
      <c r="M4215" s="4"/>
      <c r="N4215" s="3" t="s">
        <v>37</v>
      </c>
      <c r="O4215" s="3" t="s">
        <v>52</v>
      </c>
      <c r="P4215" s="5">
        <v>9</v>
      </c>
      <c r="Q4215" s="5">
        <v>175</v>
      </c>
      <c r="R4215" s="5">
        <v>9</v>
      </c>
      <c r="S4215" s="5">
        <v>172</v>
      </c>
    </row>
    <row r="4216" spans="1:19" ht="42" x14ac:dyDescent="0.15">
      <c r="A4216" s="2">
        <f>HYPERLINK("https://open-school.uspishnemisto.com.ua/school/210386/", 210386)</f>
        <v>210386</v>
      </c>
      <c r="B4216" s="3" t="s">
        <v>22033</v>
      </c>
      <c r="C4216" s="3" t="s">
        <v>54</v>
      </c>
      <c r="D4216" s="3" t="s">
        <v>60</v>
      </c>
      <c r="E4216" s="4" t="s">
        <v>22</v>
      </c>
      <c r="F4216" s="4" t="s">
        <v>22014</v>
      </c>
      <c r="G4216" s="4" t="s">
        <v>22034</v>
      </c>
      <c r="H4216" s="3" t="s">
        <v>20074</v>
      </c>
      <c r="I4216" s="3" t="s">
        <v>22035</v>
      </c>
      <c r="J4216" s="3" t="s">
        <v>22036</v>
      </c>
      <c r="K4216" s="3"/>
      <c r="L4216" s="3"/>
      <c r="M4216" s="4"/>
      <c r="N4216" s="3" t="s">
        <v>37</v>
      </c>
      <c r="O4216" s="3" t="s">
        <v>52</v>
      </c>
      <c r="P4216" s="5">
        <v>3</v>
      </c>
      <c r="Q4216" s="5">
        <v>20</v>
      </c>
      <c r="R4216" s="5">
        <v>3</v>
      </c>
      <c r="S4216" s="5">
        <v>23</v>
      </c>
    </row>
    <row r="4217" spans="1:19" ht="42" x14ac:dyDescent="0.15">
      <c r="A4217" s="2">
        <f>HYPERLINK("https://open-school.uspishnemisto.com.ua/school/210387/", 210387)</f>
        <v>210387</v>
      </c>
      <c r="B4217" s="3" t="s">
        <v>22037</v>
      </c>
      <c r="C4217" s="3" t="s">
        <v>31</v>
      </c>
      <c r="D4217" s="3" t="s">
        <v>175</v>
      </c>
      <c r="E4217" s="4" t="s">
        <v>22</v>
      </c>
      <c r="F4217" s="4" t="s">
        <v>22038</v>
      </c>
      <c r="G4217" s="4" t="s">
        <v>22039</v>
      </c>
      <c r="H4217" s="3" t="s">
        <v>20074</v>
      </c>
      <c r="I4217" s="3" t="s">
        <v>22040</v>
      </c>
      <c r="J4217" s="3" t="s">
        <v>22041</v>
      </c>
      <c r="K4217" s="3" t="s">
        <v>22042</v>
      </c>
      <c r="L4217" s="3"/>
      <c r="M4217" s="4"/>
      <c r="N4217" s="3" t="s">
        <v>18409</v>
      </c>
      <c r="O4217" s="3" t="s">
        <v>618</v>
      </c>
      <c r="P4217" s="5">
        <v>13</v>
      </c>
      <c r="Q4217" s="5">
        <v>251</v>
      </c>
      <c r="R4217" s="5">
        <v>12</v>
      </c>
      <c r="S4217" s="5">
        <v>243</v>
      </c>
    </row>
    <row r="4218" spans="1:19" ht="42" x14ac:dyDescent="0.15">
      <c r="A4218" s="2">
        <f>HYPERLINK("https://open-school.uspishnemisto.com.ua/school/210388/", 210388)</f>
        <v>210388</v>
      </c>
      <c r="B4218" s="3" t="s">
        <v>22043</v>
      </c>
      <c r="C4218" s="3" t="s">
        <v>31</v>
      </c>
      <c r="D4218" s="3" t="s">
        <v>32</v>
      </c>
      <c r="E4218" s="4" t="s">
        <v>22</v>
      </c>
      <c r="F4218" s="4" t="s">
        <v>22044</v>
      </c>
      <c r="G4218" s="4" t="s">
        <v>22045</v>
      </c>
      <c r="H4218" s="3" t="s">
        <v>20074</v>
      </c>
      <c r="I4218" s="3" t="s">
        <v>22046</v>
      </c>
      <c r="J4218" s="3" t="s">
        <v>22047</v>
      </c>
      <c r="K4218" s="3" t="s">
        <v>22048</v>
      </c>
      <c r="L4218" s="3"/>
      <c r="M4218" s="4"/>
      <c r="N4218" s="3" t="s">
        <v>20226</v>
      </c>
      <c r="O4218" s="3" t="s">
        <v>52</v>
      </c>
      <c r="P4218" s="5">
        <v>25</v>
      </c>
      <c r="Q4218" s="5">
        <v>450</v>
      </c>
      <c r="R4218" s="5">
        <v>25</v>
      </c>
      <c r="S4218" s="5">
        <v>470</v>
      </c>
    </row>
    <row r="4219" spans="1:19" ht="28" x14ac:dyDescent="0.15">
      <c r="A4219" s="2">
        <f>HYPERLINK("https://open-school.uspishnemisto.com.ua/school/210389/", 210389)</f>
        <v>210389</v>
      </c>
      <c r="B4219" s="3" t="s">
        <v>22049</v>
      </c>
      <c r="C4219" s="3" t="s">
        <v>31</v>
      </c>
      <c r="D4219" s="3" t="s">
        <v>32</v>
      </c>
      <c r="E4219" s="4" t="s">
        <v>22</v>
      </c>
      <c r="F4219" s="4" t="s">
        <v>22050</v>
      </c>
      <c r="G4219" s="4" t="s">
        <v>22051</v>
      </c>
      <c r="H4219" s="3" t="s">
        <v>20074</v>
      </c>
      <c r="I4219" s="3" t="s">
        <v>22052</v>
      </c>
      <c r="J4219" s="3" t="s">
        <v>22053</v>
      </c>
      <c r="K4219" s="3" t="s">
        <v>22054</v>
      </c>
      <c r="L4219" s="3"/>
      <c r="M4219" s="4"/>
      <c r="N4219" s="3" t="s">
        <v>37</v>
      </c>
      <c r="O4219" s="3" t="s">
        <v>46</v>
      </c>
      <c r="P4219" s="5">
        <v>12</v>
      </c>
      <c r="Q4219" s="5">
        <v>188</v>
      </c>
      <c r="R4219" s="5">
        <v>12</v>
      </c>
      <c r="S4219" s="5">
        <v>185</v>
      </c>
    </row>
    <row r="4220" spans="1:19" ht="42" x14ac:dyDescent="0.15">
      <c r="A4220" s="2">
        <f>HYPERLINK("https://open-school.uspishnemisto.com.ua/school/210390/", 210390)</f>
        <v>210390</v>
      </c>
      <c r="B4220" s="3" t="s">
        <v>22055</v>
      </c>
      <c r="C4220" s="3" t="s">
        <v>54</v>
      </c>
      <c r="D4220" s="3" t="s">
        <v>60</v>
      </c>
      <c r="E4220" s="4" t="s">
        <v>22</v>
      </c>
      <c r="F4220" s="4" t="s">
        <v>22056</v>
      </c>
      <c r="G4220" s="4" t="s">
        <v>22057</v>
      </c>
      <c r="H4220" s="3" t="s">
        <v>20074</v>
      </c>
      <c r="I4220" s="3" t="s">
        <v>22058</v>
      </c>
      <c r="J4220" s="3" t="s">
        <v>22059</v>
      </c>
      <c r="K4220" s="3" t="s">
        <v>22060</v>
      </c>
      <c r="L4220" s="3"/>
      <c r="M4220" s="4"/>
      <c r="N4220" s="3" t="s">
        <v>37</v>
      </c>
      <c r="O4220" s="3" t="s">
        <v>52</v>
      </c>
      <c r="P4220" s="5">
        <v>0</v>
      </c>
      <c r="Q4220" s="5">
        <v>8</v>
      </c>
      <c r="R4220" s="5">
        <v>0</v>
      </c>
      <c r="S4220" s="5">
        <v>8</v>
      </c>
    </row>
    <row r="4221" spans="1:19" ht="28" x14ac:dyDescent="0.15">
      <c r="A4221" s="2">
        <f>HYPERLINK("https://open-school.uspishnemisto.com.ua/school/210391/", 210391)</f>
        <v>210391</v>
      </c>
      <c r="B4221" s="3" t="s">
        <v>22061</v>
      </c>
      <c r="C4221" s="3" t="s">
        <v>31</v>
      </c>
      <c r="D4221" s="3" t="s">
        <v>32</v>
      </c>
      <c r="E4221" s="4" t="s">
        <v>22</v>
      </c>
      <c r="F4221" s="4" t="s">
        <v>22062</v>
      </c>
      <c r="G4221" s="4" t="s">
        <v>22063</v>
      </c>
      <c r="H4221" s="3" t="s">
        <v>20074</v>
      </c>
      <c r="I4221" s="3" t="s">
        <v>22064</v>
      </c>
      <c r="J4221" s="3" t="s">
        <v>22065</v>
      </c>
      <c r="K4221" s="3" t="s">
        <v>22066</v>
      </c>
      <c r="L4221" s="3" t="s">
        <v>22067</v>
      </c>
      <c r="M4221" s="4"/>
      <c r="N4221" s="3" t="s">
        <v>37</v>
      </c>
      <c r="O4221" s="3" t="s">
        <v>38</v>
      </c>
      <c r="P4221" s="5">
        <v>21</v>
      </c>
      <c r="Q4221" s="5">
        <v>425</v>
      </c>
      <c r="R4221" s="5">
        <v>21</v>
      </c>
      <c r="S4221" s="5">
        <v>433</v>
      </c>
    </row>
    <row r="4222" spans="1:19" ht="42" x14ac:dyDescent="0.15">
      <c r="A4222" s="2">
        <f>HYPERLINK("https://open-school.uspishnemisto.com.ua/school/210392/", 210392)</f>
        <v>210392</v>
      </c>
      <c r="B4222" s="3" t="s">
        <v>22068</v>
      </c>
      <c r="C4222" s="3" t="s">
        <v>31</v>
      </c>
      <c r="D4222" s="3" t="s">
        <v>175</v>
      </c>
      <c r="E4222" s="4" t="s">
        <v>22</v>
      </c>
      <c r="F4222" s="4" t="s">
        <v>22069</v>
      </c>
      <c r="G4222" s="4" t="s">
        <v>22070</v>
      </c>
      <c r="H4222" s="3" t="s">
        <v>20074</v>
      </c>
      <c r="I4222" s="3" t="s">
        <v>22071</v>
      </c>
      <c r="J4222" s="3" t="s">
        <v>22072</v>
      </c>
      <c r="K4222" s="3" t="s">
        <v>22073</v>
      </c>
      <c r="L4222" s="3" t="s">
        <v>22074</v>
      </c>
      <c r="M4222" s="4"/>
      <c r="N4222" s="3" t="s">
        <v>18409</v>
      </c>
      <c r="O4222" s="3" t="s">
        <v>52</v>
      </c>
      <c r="P4222" s="5">
        <v>17</v>
      </c>
      <c r="Q4222" s="5">
        <v>311</v>
      </c>
      <c r="R4222" s="5">
        <v>17</v>
      </c>
      <c r="S4222" s="5">
        <v>310</v>
      </c>
    </row>
    <row r="4223" spans="1:19" ht="42" x14ac:dyDescent="0.15">
      <c r="A4223" s="2">
        <f>HYPERLINK("https://open-school.uspishnemisto.com.ua/school/210393/", 210393)</f>
        <v>210393</v>
      </c>
      <c r="B4223" s="3" t="s">
        <v>22075</v>
      </c>
      <c r="C4223" s="3" t="s">
        <v>54</v>
      </c>
      <c r="D4223" s="3" t="s">
        <v>60</v>
      </c>
      <c r="E4223" s="4" t="s">
        <v>22</v>
      </c>
      <c r="F4223" s="4" t="s">
        <v>22056</v>
      </c>
      <c r="G4223" s="4" t="s">
        <v>22076</v>
      </c>
      <c r="H4223" s="3" t="s">
        <v>20074</v>
      </c>
      <c r="I4223" s="3" t="s">
        <v>22077</v>
      </c>
      <c r="J4223" s="3" t="s">
        <v>22078</v>
      </c>
      <c r="K4223" s="3" t="s">
        <v>22079</v>
      </c>
      <c r="L4223" s="3"/>
      <c r="M4223" s="4"/>
      <c r="N4223" s="3" t="s">
        <v>37</v>
      </c>
      <c r="O4223" s="3" t="s">
        <v>52</v>
      </c>
      <c r="P4223" s="5">
        <v>4</v>
      </c>
      <c r="Q4223" s="5">
        <v>42</v>
      </c>
      <c r="R4223" s="5">
        <v>4</v>
      </c>
      <c r="S4223" s="5">
        <v>39</v>
      </c>
    </row>
    <row r="4224" spans="1:19" ht="28" x14ac:dyDescent="0.15">
      <c r="A4224" s="2">
        <f>HYPERLINK("https://open-school.uspishnemisto.com.ua/school/210394/", 210394)</f>
        <v>210394</v>
      </c>
      <c r="B4224" s="3" t="s">
        <v>22080</v>
      </c>
      <c r="C4224" s="3" t="s">
        <v>31</v>
      </c>
      <c r="D4224" s="3" t="s">
        <v>60</v>
      </c>
      <c r="E4224" s="4" t="s">
        <v>22</v>
      </c>
      <c r="F4224" s="4" t="s">
        <v>22056</v>
      </c>
      <c r="G4224" s="4" t="s">
        <v>22081</v>
      </c>
      <c r="H4224" s="3" t="s">
        <v>20074</v>
      </c>
      <c r="I4224" s="3" t="s">
        <v>2296</v>
      </c>
      <c r="J4224" s="3" t="s">
        <v>6800</v>
      </c>
      <c r="K4224" s="3"/>
      <c r="L4224" s="3"/>
      <c r="M4224" s="4"/>
      <c r="N4224" s="3" t="s">
        <v>37</v>
      </c>
      <c r="O4224" s="3" t="s">
        <v>52</v>
      </c>
      <c r="P4224" s="5">
        <v>2</v>
      </c>
      <c r="Q4224" s="5">
        <v>14</v>
      </c>
      <c r="R4224" s="5">
        <v>0</v>
      </c>
      <c r="S4224" s="5">
        <v>7</v>
      </c>
    </row>
    <row r="4225" spans="1:19" ht="28" x14ac:dyDescent="0.15">
      <c r="A4225" s="2">
        <f>HYPERLINK("https://open-school.uspishnemisto.com.ua/school/210395/", 210395)</f>
        <v>210395</v>
      </c>
      <c r="B4225" s="3" t="s">
        <v>22082</v>
      </c>
      <c r="C4225" s="3" t="s">
        <v>40</v>
      </c>
      <c r="D4225" s="3" t="s">
        <v>32</v>
      </c>
      <c r="E4225" s="4" t="s">
        <v>22</v>
      </c>
      <c r="F4225" s="4" t="s">
        <v>22083</v>
      </c>
      <c r="G4225" s="4" t="s">
        <v>22084</v>
      </c>
      <c r="H4225" s="3" t="s">
        <v>20074</v>
      </c>
      <c r="I4225" s="3" t="s">
        <v>22085</v>
      </c>
      <c r="J4225" s="3" t="s">
        <v>22086</v>
      </c>
      <c r="K4225" s="3" t="s">
        <v>22087</v>
      </c>
      <c r="L4225" s="3"/>
      <c r="M4225" s="4" t="s">
        <v>22088</v>
      </c>
      <c r="N4225" s="3" t="s">
        <v>37</v>
      </c>
      <c r="O4225" s="3" t="s">
        <v>70</v>
      </c>
      <c r="P4225" s="5">
        <v>10</v>
      </c>
      <c r="Q4225" s="5">
        <v>213</v>
      </c>
      <c r="R4225" s="5">
        <v>9</v>
      </c>
      <c r="S4225" s="5">
        <v>183</v>
      </c>
    </row>
    <row r="4226" spans="1:19" ht="28" x14ac:dyDescent="0.15">
      <c r="A4226" s="2">
        <f>HYPERLINK("https://open-school.uspishnemisto.com.ua/school/210396/", 210396)</f>
        <v>210396</v>
      </c>
      <c r="B4226" s="3" t="s">
        <v>22089</v>
      </c>
      <c r="C4226" s="3" t="s">
        <v>31</v>
      </c>
      <c r="D4226" s="3" t="s">
        <v>32</v>
      </c>
      <c r="E4226" s="4" t="s">
        <v>22</v>
      </c>
      <c r="F4226" s="4" t="s">
        <v>22083</v>
      </c>
      <c r="G4226" s="4" t="s">
        <v>22084</v>
      </c>
      <c r="H4226" s="3" t="s">
        <v>20074</v>
      </c>
      <c r="I4226" s="3" t="s">
        <v>22085</v>
      </c>
      <c r="J4226" s="3" t="s">
        <v>22090</v>
      </c>
      <c r="K4226" s="3" t="s">
        <v>22091</v>
      </c>
      <c r="L4226" s="3"/>
      <c r="M4226" s="4" t="s">
        <v>22092</v>
      </c>
      <c r="N4226" s="3" t="s">
        <v>37</v>
      </c>
      <c r="O4226" s="3" t="s">
        <v>70</v>
      </c>
      <c r="P4226" s="5">
        <v>29</v>
      </c>
      <c r="Q4226" s="5">
        <v>716</v>
      </c>
      <c r="R4226" s="5">
        <v>28</v>
      </c>
      <c r="S4226" s="5">
        <v>705</v>
      </c>
    </row>
    <row r="4227" spans="1:19" ht="28" x14ac:dyDescent="0.15">
      <c r="A4227" s="2">
        <f>HYPERLINK("https://open-school.uspishnemisto.com.ua/school/210397/", 210397)</f>
        <v>210397</v>
      </c>
      <c r="B4227" s="3" t="s">
        <v>22093</v>
      </c>
      <c r="C4227" s="3" t="s">
        <v>293</v>
      </c>
      <c r="D4227" s="3" t="s">
        <v>175</v>
      </c>
      <c r="E4227" s="4" t="s">
        <v>22</v>
      </c>
      <c r="F4227" s="4" t="s">
        <v>22083</v>
      </c>
      <c r="G4227" s="4" t="s">
        <v>22084</v>
      </c>
      <c r="H4227" s="3" t="s">
        <v>20074</v>
      </c>
      <c r="I4227" s="3" t="s">
        <v>22085</v>
      </c>
      <c r="J4227" s="3" t="s">
        <v>22094</v>
      </c>
      <c r="K4227" s="3" t="s">
        <v>22095</v>
      </c>
      <c r="L4227" s="3"/>
      <c r="M4227" s="4" t="s">
        <v>22096</v>
      </c>
      <c r="N4227" s="3" t="s">
        <v>37</v>
      </c>
      <c r="O4227" s="3" t="s">
        <v>52</v>
      </c>
      <c r="P4227" s="5">
        <v>6</v>
      </c>
      <c r="Q4227" s="5">
        <v>47</v>
      </c>
      <c r="R4227" s="5">
        <v>6</v>
      </c>
      <c r="S4227" s="5">
        <v>59</v>
      </c>
    </row>
    <row r="4228" spans="1:19" ht="28" x14ac:dyDescent="0.15">
      <c r="A4228" s="2">
        <f>HYPERLINK("https://open-school.uspishnemisto.com.ua/school/210398/", 210398)</f>
        <v>210398</v>
      </c>
      <c r="B4228" s="3" t="s">
        <v>22097</v>
      </c>
      <c r="C4228" s="3" t="s">
        <v>31</v>
      </c>
      <c r="D4228" s="3" t="s">
        <v>60</v>
      </c>
      <c r="E4228" s="4" t="s">
        <v>22</v>
      </c>
      <c r="F4228" s="4" t="s">
        <v>22098</v>
      </c>
      <c r="G4228" s="4" t="s">
        <v>22099</v>
      </c>
      <c r="H4228" s="3" t="s">
        <v>20074</v>
      </c>
      <c r="I4228" s="3" t="s">
        <v>22100</v>
      </c>
      <c r="J4228" s="3" t="s">
        <v>22101</v>
      </c>
      <c r="K4228" s="3" t="s">
        <v>22102</v>
      </c>
      <c r="L4228" s="3" t="s">
        <v>22103</v>
      </c>
      <c r="M4228" s="4"/>
      <c r="N4228" s="3" t="s">
        <v>37</v>
      </c>
      <c r="O4228" s="3" t="s">
        <v>52</v>
      </c>
      <c r="P4228" s="5">
        <v>4</v>
      </c>
      <c r="Q4228" s="5">
        <v>34</v>
      </c>
      <c r="R4228" s="5">
        <v>4</v>
      </c>
      <c r="S4228" s="5">
        <v>32</v>
      </c>
    </row>
    <row r="4229" spans="1:19" ht="28" x14ac:dyDescent="0.15">
      <c r="A4229" s="2">
        <f>HYPERLINK("https://open-school.uspishnemisto.com.ua/school/210399/", 210399)</f>
        <v>210399</v>
      </c>
      <c r="B4229" s="3" t="s">
        <v>22104</v>
      </c>
      <c r="C4229" s="3" t="s">
        <v>31</v>
      </c>
      <c r="D4229" s="3" t="s">
        <v>60</v>
      </c>
      <c r="E4229" s="4" t="s">
        <v>22</v>
      </c>
      <c r="F4229" s="4" t="s">
        <v>22105</v>
      </c>
      <c r="G4229" s="4" t="s">
        <v>22106</v>
      </c>
      <c r="H4229" s="3" t="s">
        <v>20074</v>
      </c>
      <c r="I4229" s="3" t="s">
        <v>22107</v>
      </c>
      <c r="J4229" s="3" t="s">
        <v>22108</v>
      </c>
      <c r="K4229" s="3" t="s">
        <v>22109</v>
      </c>
      <c r="L4229" s="3" t="s">
        <v>22110</v>
      </c>
      <c r="M4229" s="4"/>
      <c r="N4229" s="3" t="s">
        <v>37</v>
      </c>
      <c r="O4229" s="3" t="s">
        <v>52</v>
      </c>
      <c r="P4229" s="5">
        <v>1</v>
      </c>
      <c r="Q4229" s="5">
        <v>7</v>
      </c>
      <c r="R4229" s="5">
        <v>1</v>
      </c>
      <c r="S4229" s="5">
        <v>6</v>
      </c>
    </row>
    <row r="4230" spans="1:19" ht="28" x14ac:dyDescent="0.15">
      <c r="A4230" s="2">
        <f>HYPERLINK("https://open-school.uspishnemisto.com.ua/school/210400/", 210400)</f>
        <v>210400</v>
      </c>
      <c r="B4230" s="3" t="s">
        <v>22111</v>
      </c>
      <c r="C4230" s="3" t="s">
        <v>31</v>
      </c>
      <c r="D4230" s="3" t="s">
        <v>32</v>
      </c>
      <c r="E4230" s="4" t="s">
        <v>22</v>
      </c>
      <c r="F4230" s="4" t="s">
        <v>22105</v>
      </c>
      <c r="G4230" s="4" t="s">
        <v>22106</v>
      </c>
      <c r="H4230" s="3" t="s">
        <v>20074</v>
      </c>
      <c r="I4230" s="3" t="s">
        <v>22107</v>
      </c>
      <c r="J4230" s="3" t="s">
        <v>3266</v>
      </c>
      <c r="K4230" s="3" t="s">
        <v>22112</v>
      </c>
      <c r="L4230" s="3"/>
      <c r="M4230" s="4" t="s">
        <v>22113</v>
      </c>
      <c r="N4230" s="3" t="s">
        <v>37</v>
      </c>
      <c r="O4230" s="3" t="s">
        <v>46</v>
      </c>
      <c r="P4230" s="5">
        <v>12</v>
      </c>
      <c r="Q4230" s="5">
        <v>216</v>
      </c>
      <c r="R4230" s="5">
        <v>12</v>
      </c>
      <c r="S4230" s="5">
        <v>221</v>
      </c>
    </row>
    <row r="4231" spans="1:19" ht="28" x14ac:dyDescent="0.15">
      <c r="A4231" s="2">
        <f>HYPERLINK("https://open-school.uspishnemisto.com.ua/school/210401/", 210401)</f>
        <v>210401</v>
      </c>
      <c r="B4231" s="3" t="s">
        <v>22114</v>
      </c>
      <c r="C4231" s="3" t="s">
        <v>31</v>
      </c>
      <c r="D4231" s="3" t="s">
        <v>60</v>
      </c>
      <c r="E4231" s="4" t="s">
        <v>22</v>
      </c>
      <c r="F4231" s="4" t="s">
        <v>22105</v>
      </c>
      <c r="G4231" s="4" t="s">
        <v>22115</v>
      </c>
      <c r="H4231" s="3" t="s">
        <v>20074</v>
      </c>
      <c r="I4231" s="3" t="s">
        <v>22116</v>
      </c>
      <c r="J4231" s="3" t="s">
        <v>6042</v>
      </c>
      <c r="K4231" s="3" t="s">
        <v>22117</v>
      </c>
      <c r="L4231" s="3" t="s">
        <v>22118</v>
      </c>
      <c r="M4231" s="4"/>
      <c r="N4231" s="3" t="s">
        <v>37</v>
      </c>
      <c r="O4231" s="3" t="s">
        <v>52</v>
      </c>
      <c r="P4231" s="5">
        <v>1</v>
      </c>
      <c r="Q4231" s="5">
        <v>13</v>
      </c>
      <c r="R4231" s="5">
        <v>2</v>
      </c>
      <c r="S4231" s="5">
        <v>16</v>
      </c>
    </row>
    <row r="4232" spans="1:19" ht="28" x14ac:dyDescent="0.15">
      <c r="A4232" s="2">
        <f>HYPERLINK("https://open-school.uspishnemisto.com.ua/school/210402/", 210402)</f>
        <v>210402</v>
      </c>
      <c r="B4232" s="3" t="s">
        <v>22119</v>
      </c>
      <c r="C4232" s="3" t="s">
        <v>31</v>
      </c>
      <c r="D4232" s="3" t="s">
        <v>175</v>
      </c>
      <c r="E4232" s="4" t="s">
        <v>22</v>
      </c>
      <c r="F4232" s="4" t="s">
        <v>22120</v>
      </c>
      <c r="G4232" s="4" t="s">
        <v>22121</v>
      </c>
      <c r="H4232" s="3" t="s">
        <v>20074</v>
      </c>
      <c r="I4232" s="3" t="s">
        <v>22122</v>
      </c>
      <c r="J4232" s="3" t="s">
        <v>22123</v>
      </c>
      <c r="K4232" s="3" t="s">
        <v>22124</v>
      </c>
      <c r="L4232" s="3" t="s">
        <v>22125</v>
      </c>
      <c r="M4232" s="4"/>
      <c r="N4232" s="3" t="s">
        <v>37</v>
      </c>
      <c r="O4232" s="3" t="s">
        <v>70</v>
      </c>
      <c r="P4232" s="5">
        <v>11</v>
      </c>
      <c r="Q4232" s="5">
        <v>210</v>
      </c>
      <c r="R4232" s="5">
        <v>11</v>
      </c>
      <c r="S4232" s="5">
        <v>220</v>
      </c>
    </row>
    <row r="4233" spans="1:19" ht="28" x14ac:dyDescent="0.15">
      <c r="A4233" s="2">
        <f>HYPERLINK("https://open-school.uspishnemisto.com.ua/school/210403/", 210403)</f>
        <v>210403</v>
      </c>
      <c r="B4233" s="3" t="s">
        <v>22126</v>
      </c>
      <c r="C4233" s="3" t="s">
        <v>54</v>
      </c>
      <c r="D4233" s="3" t="s">
        <v>175</v>
      </c>
      <c r="E4233" s="4" t="s">
        <v>22</v>
      </c>
      <c r="F4233" s="4" t="s">
        <v>22127</v>
      </c>
      <c r="G4233" s="4" t="s">
        <v>22128</v>
      </c>
      <c r="H4233" s="3" t="s">
        <v>20074</v>
      </c>
      <c r="I4233" s="3" t="s">
        <v>2296</v>
      </c>
      <c r="J4233" s="3" t="s">
        <v>2873</v>
      </c>
      <c r="K4233" s="3" t="s">
        <v>22129</v>
      </c>
      <c r="L4233" s="3" t="s">
        <v>22130</v>
      </c>
      <c r="M4233" s="4"/>
      <c r="N4233" s="3" t="s">
        <v>37</v>
      </c>
      <c r="O4233" s="3" t="s">
        <v>46</v>
      </c>
      <c r="P4233" s="5">
        <v>7</v>
      </c>
      <c r="Q4233" s="5">
        <v>45</v>
      </c>
      <c r="R4233" s="5">
        <v>6</v>
      </c>
      <c r="S4233" s="5">
        <v>40</v>
      </c>
    </row>
    <row r="4234" spans="1:19" ht="42" x14ac:dyDescent="0.15">
      <c r="A4234" s="2">
        <f>HYPERLINK("https://open-school.uspishnemisto.com.ua/school/210404/", 210404)</f>
        <v>210404</v>
      </c>
      <c r="B4234" s="3" t="s">
        <v>22131</v>
      </c>
      <c r="C4234" s="3" t="s">
        <v>54</v>
      </c>
      <c r="D4234" s="3" t="s">
        <v>175</v>
      </c>
      <c r="E4234" s="4" t="s">
        <v>22</v>
      </c>
      <c r="F4234" s="4" t="s">
        <v>22132</v>
      </c>
      <c r="G4234" s="4" t="s">
        <v>22133</v>
      </c>
      <c r="H4234" s="3" t="s">
        <v>20074</v>
      </c>
      <c r="I4234" s="3" t="s">
        <v>22134</v>
      </c>
      <c r="J4234" s="3" t="s">
        <v>22135</v>
      </c>
      <c r="K4234" s="3" t="s">
        <v>22136</v>
      </c>
      <c r="L4234" s="3" t="s">
        <v>22137</v>
      </c>
      <c r="M4234" s="4"/>
      <c r="N4234" s="3" t="s">
        <v>37</v>
      </c>
      <c r="O4234" s="3" t="s">
        <v>38</v>
      </c>
      <c r="P4234" s="5">
        <v>8</v>
      </c>
      <c r="Q4234" s="5">
        <v>55</v>
      </c>
      <c r="R4234" s="5">
        <v>8</v>
      </c>
      <c r="S4234" s="5">
        <v>59</v>
      </c>
    </row>
    <row r="4235" spans="1:19" ht="28" x14ac:dyDescent="0.15">
      <c r="A4235" s="2">
        <f>HYPERLINK("https://open-school.uspishnemisto.com.ua/school/210405/", 210405)</f>
        <v>210405</v>
      </c>
      <c r="B4235" s="3" t="s">
        <v>22138</v>
      </c>
      <c r="C4235" s="3" t="s">
        <v>31</v>
      </c>
      <c r="D4235" s="3" t="s">
        <v>60</v>
      </c>
      <c r="E4235" s="4" t="s">
        <v>22</v>
      </c>
      <c r="F4235" s="4" t="s">
        <v>22132</v>
      </c>
      <c r="G4235" s="4" t="s">
        <v>22133</v>
      </c>
      <c r="H4235" s="3" t="s">
        <v>20074</v>
      </c>
      <c r="I4235" s="3" t="s">
        <v>22134</v>
      </c>
      <c r="J4235" s="3" t="s">
        <v>22139</v>
      </c>
      <c r="K4235" s="3" t="s">
        <v>22140</v>
      </c>
      <c r="L4235" s="3" t="s">
        <v>22141</v>
      </c>
      <c r="M4235" s="4"/>
      <c r="N4235" s="3" t="s">
        <v>37</v>
      </c>
      <c r="O4235" s="3" t="s">
        <v>52</v>
      </c>
      <c r="P4235" s="5">
        <v>0</v>
      </c>
      <c r="Q4235" s="5">
        <v>5</v>
      </c>
      <c r="R4235" s="5">
        <v>0</v>
      </c>
      <c r="S4235" s="5">
        <v>7</v>
      </c>
    </row>
    <row r="4236" spans="1:19" ht="28" x14ac:dyDescent="0.15">
      <c r="A4236" s="2">
        <f>HYPERLINK("https://open-school.uspishnemisto.com.ua/school/210406/", 210406)</f>
        <v>210406</v>
      </c>
      <c r="B4236" s="3" t="s">
        <v>22142</v>
      </c>
      <c r="C4236" s="3" t="s">
        <v>31</v>
      </c>
      <c r="D4236" s="3" t="s">
        <v>32</v>
      </c>
      <c r="E4236" s="4" t="s">
        <v>22</v>
      </c>
      <c r="F4236" s="4" t="s">
        <v>22143</v>
      </c>
      <c r="G4236" s="4" t="s">
        <v>22144</v>
      </c>
      <c r="H4236" s="3" t="s">
        <v>20074</v>
      </c>
      <c r="I4236" s="3" t="s">
        <v>22145</v>
      </c>
      <c r="J4236" s="3" t="s">
        <v>22146</v>
      </c>
      <c r="K4236" s="3" t="s">
        <v>22147</v>
      </c>
      <c r="L4236" s="3"/>
      <c r="M4236" s="4" t="s">
        <v>22148</v>
      </c>
      <c r="N4236" s="3" t="s">
        <v>37</v>
      </c>
      <c r="O4236" s="3" t="s">
        <v>38</v>
      </c>
      <c r="P4236" s="5">
        <v>35</v>
      </c>
      <c r="Q4236" s="5">
        <v>951</v>
      </c>
      <c r="R4236" s="5">
        <v>35</v>
      </c>
      <c r="S4236" s="5">
        <v>933</v>
      </c>
    </row>
    <row r="4237" spans="1:19" ht="28" x14ac:dyDescent="0.15">
      <c r="A4237" s="2">
        <f>HYPERLINK("https://open-school.uspishnemisto.com.ua/school/210407/", 210407)</f>
        <v>210407</v>
      </c>
      <c r="B4237" s="3" t="s">
        <v>22149</v>
      </c>
      <c r="C4237" s="3" t="s">
        <v>31</v>
      </c>
      <c r="D4237" s="3" t="s">
        <v>60</v>
      </c>
      <c r="E4237" s="4" t="s">
        <v>22</v>
      </c>
      <c r="F4237" s="4" t="s">
        <v>22143</v>
      </c>
      <c r="G4237" s="4" t="s">
        <v>22150</v>
      </c>
      <c r="H4237" s="3" t="s">
        <v>20074</v>
      </c>
      <c r="I4237" s="3" t="s">
        <v>22151</v>
      </c>
      <c r="J4237" s="3" t="s">
        <v>22152</v>
      </c>
      <c r="K4237" s="3" t="s">
        <v>22153</v>
      </c>
      <c r="L4237" s="3" t="s">
        <v>22154</v>
      </c>
      <c r="M4237" s="4"/>
      <c r="N4237" s="3" t="s">
        <v>37</v>
      </c>
      <c r="O4237" s="3" t="s">
        <v>52</v>
      </c>
      <c r="P4237" s="5">
        <v>2</v>
      </c>
      <c r="Q4237" s="5">
        <v>13</v>
      </c>
      <c r="R4237" s="5">
        <v>0</v>
      </c>
      <c r="S4237" s="5">
        <v>9</v>
      </c>
    </row>
    <row r="4238" spans="1:19" ht="28" x14ac:dyDescent="0.15">
      <c r="A4238" s="2">
        <f>HYPERLINK("https://open-school.uspishnemisto.com.ua/school/210408/", 210408)</f>
        <v>210408</v>
      </c>
      <c r="B4238" s="3" t="s">
        <v>22155</v>
      </c>
      <c r="C4238" s="3" t="s">
        <v>31</v>
      </c>
      <c r="D4238" s="3" t="s">
        <v>175</v>
      </c>
      <c r="E4238" s="4" t="s">
        <v>22</v>
      </c>
      <c r="F4238" s="4" t="s">
        <v>22156</v>
      </c>
      <c r="G4238" s="4" t="s">
        <v>22157</v>
      </c>
      <c r="H4238" s="3" t="s">
        <v>20074</v>
      </c>
      <c r="I4238" s="3" t="s">
        <v>22158</v>
      </c>
      <c r="J4238" s="3" t="s">
        <v>1588</v>
      </c>
      <c r="K4238" s="3" t="s">
        <v>22159</v>
      </c>
      <c r="L4238" s="3" t="s">
        <v>22160</v>
      </c>
      <c r="M4238" s="4"/>
      <c r="N4238" s="3" t="s">
        <v>37</v>
      </c>
      <c r="O4238" s="3" t="s">
        <v>52</v>
      </c>
      <c r="P4238" s="5">
        <v>9</v>
      </c>
      <c r="Q4238" s="5">
        <v>83</v>
      </c>
      <c r="R4238" s="5">
        <v>9</v>
      </c>
      <c r="S4238" s="5">
        <v>86</v>
      </c>
    </row>
    <row r="4239" spans="1:19" ht="28" x14ac:dyDescent="0.15">
      <c r="A4239" s="2">
        <f>HYPERLINK("https://open-school.uspishnemisto.com.ua/school/210409/", 210409)</f>
        <v>210409</v>
      </c>
      <c r="B4239" s="3" t="s">
        <v>22161</v>
      </c>
      <c r="C4239" s="3" t="s">
        <v>31</v>
      </c>
      <c r="D4239" s="3" t="s">
        <v>175</v>
      </c>
      <c r="E4239" s="4" t="s">
        <v>22</v>
      </c>
      <c r="F4239" s="4" t="s">
        <v>22162</v>
      </c>
      <c r="G4239" s="4" t="s">
        <v>22163</v>
      </c>
      <c r="H4239" s="3" t="s">
        <v>20074</v>
      </c>
      <c r="I4239" s="3" t="s">
        <v>22164</v>
      </c>
      <c r="J4239" s="3" t="s">
        <v>22165</v>
      </c>
      <c r="K4239" s="3" t="s">
        <v>22166</v>
      </c>
      <c r="L4239" s="3" t="s">
        <v>22167</v>
      </c>
      <c r="M4239" s="4"/>
      <c r="N4239" s="3" t="s">
        <v>37</v>
      </c>
      <c r="O4239" s="3" t="s">
        <v>46</v>
      </c>
      <c r="P4239" s="5">
        <v>9</v>
      </c>
      <c r="Q4239" s="5">
        <v>169</v>
      </c>
      <c r="R4239" s="5">
        <v>9</v>
      </c>
      <c r="S4239" s="5">
        <v>173</v>
      </c>
    </row>
    <row r="4240" spans="1:19" ht="28" x14ac:dyDescent="0.15">
      <c r="A4240" s="2">
        <f>HYPERLINK("https://open-school.uspishnemisto.com.ua/school/210410/", 210410)</f>
        <v>210410</v>
      </c>
      <c r="B4240" s="3" t="s">
        <v>22168</v>
      </c>
      <c r="C4240" s="3" t="s">
        <v>31</v>
      </c>
      <c r="D4240" s="3" t="s">
        <v>175</v>
      </c>
      <c r="E4240" s="4" t="s">
        <v>22</v>
      </c>
      <c r="F4240" s="4" t="s">
        <v>22169</v>
      </c>
      <c r="G4240" s="4" t="s">
        <v>22170</v>
      </c>
      <c r="H4240" s="3" t="s">
        <v>20074</v>
      </c>
      <c r="I4240" s="3" t="s">
        <v>22171</v>
      </c>
      <c r="J4240" s="3" t="s">
        <v>7717</v>
      </c>
      <c r="K4240" s="3" t="s">
        <v>22172</v>
      </c>
      <c r="L4240" s="3"/>
      <c r="M4240" s="4" t="s">
        <v>22173</v>
      </c>
      <c r="N4240" s="3" t="s">
        <v>37</v>
      </c>
      <c r="O4240" s="3" t="s">
        <v>38</v>
      </c>
      <c r="P4240" s="5">
        <v>9</v>
      </c>
      <c r="Q4240" s="5">
        <v>116</v>
      </c>
      <c r="R4240" s="5">
        <v>9</v>
      </c>
      <c r="S4240" s="5">
        <v>117</v>
      </c>
    </row>
    <row r="4241" spans="1:19" ht="28" x14ac:dyDescent="0.15">
      <c r="A4241" s="2">
        <f>HYPERLINK("https://open-school.uspishnemisto.com.ua/school/210411/", 210411)</f>
        <v>210411</v>
      </c>
      <c r="B4241" s="3" t="s">
        <v>22174</v>
      </c>
      <c r="C4241" s="3" t="s">
        <v>31</v>
      </c>
      <c r="D4241" s="3" t="s">
        <v>175</v>
      </c>
      <c r="E4241" s="4" t="s">
        <v>22</v>
      </c>
      <c r="F4241" s="4" t="s">
        <v>22175</v>
      </c>
      <c r="G4241" s="4" t="s">
        <v>22176</v>
      </c>
      <c r="H4241" s="3" t="s">
        <v>20074</v>
      </c>
      <c r="I4241" s="3" t="s">
        <v>22177</v>
      </c>
      <c r="J4241" s="3" t="s">
        <v>5264</v>
      </c>
      <c r="K4241" s="3" t="s">
        <v>22178</v>
      </c>
      <c r="L4241" s="3" t="s">
        <v>22179</v>
      </c>
      <c r="M4241" s="4"/>
      <c r="N4241" s="3" t="s">
        <v>37</v>
      </c>
      <c r="O4241" s="3" t="s">
        <v>38</v>
      </c>
      <c r="P4241" s="5">
        <v>6</v>
      </c>
      <c r="Q4241" s="5">
        <v>49</v>
      </c>
      <c r="R4241" s="5">
        <v>6</v>
      </c>
      <c r="S4241" s="5">
        <v>46</v>
      </c>
    </row>
    <row r="4242" spans="1:19" ht="28" x14ac:dyDescent="0.15">
      <c r="A4242" s="2">
        <f>HYPERLINK("https://open-school.uspishnemisto.com.ua/school/210412/", 210412)</f>
        <v>210412</v>
      </c>
      <c r="B4242" s="3" t="s">
        <v>22180</v>
      </c>
      <c r="C4242" s="3" t="s">
        <v>31</v>
      </c>
      <c r="D4242" s="3" t="s">
        <v>60</v>
      </c>
      <c r="E4242" s="4" t="s">
        <v>22</v>
      </c>
      <c r="F4242" s="4" t="s">
        <v>22175</v>
      </c>
      <c r="G4242" s="4" t="s">
        <v>22181</v>
      </c>
      <c r="H4242" s="3" t="s">
        <v>20074</v>
      </c>
      <c r="I4242" s="3" t="s">
        <v>2119</v>
      </c>
      <c r="J4242" s="3" t="s">
        <v>22182</v>
      </c>
      <c r="K4242" s="3" t="s">
        <v>22183</v>
      </c>
      <c r="L4242" s="3" t="s">
        <v>22184</v>
      </c>
      <c r="M4242" s="4"/>
      <c r="N4242" s="3" t="s">
        <v>37</v>
      </c>
      <c r="O4242" s="3" t="s">
        <v>52</v>
      </c>
      <c r="P4242" s="5">
        <v>0</v>
      </c>
      <c r="Q4242" s="5">
        <v>7</v>
      </c>
      <c r="R4242" s="5">
        <v>0</v>
      </c>
      <c r="S4242" s="5">
        <v>5</v>
      </c>
    </row>
    <row r="4243" spans="1:19" ht="28" x14ac:dyDescent="0.15">
      <c r="A4243" s="2">
        <f>HYPERLINK("https://open-school.uspishnemisto.com.ua/school/210413/", 210413)</f>
        <v>210413</v>
      </c>
      <c r="B4243" s="3" t="s">
        <v>22185</v>
      </c>
      <c r="C4243" s="3" t="s">
        <v>31</v>
      </c>
      <c r="D4243" s="3" t="s">
        <v>175</v>
      </c>
      <c r="E4243" s="4" t="s">
        <v>22</v>
      </c>
      <c r="F4243" s="4" t="s">
        <v>22186</v>
      </c>
      <c r="G4243" s="4" t="s">
        <v>22187</v>
      </c>
      <c r="H4243" s="3" t="s">
        <v>20074</v>
      </c>
      <c r="I4243" s="3" t="s">
        <v>22188</v>
      </c>
      <c r="J4243" s="3" t="s">
        <v>22189</v>
      </c>
      <c r="K4243" s="3" t="s">
        <v>22190</v>
      </c>
      <c r="L4243" s="3"/>
      <c r="M4243" s="4"/>
      <c r="N4243" s="3" t="s">
        <v>37</v>
      </c>
      <c r="O4243" s="3" t="s">
        <v>52</v>
      </c>
      <c r="P4243" s="5">
        <v>10</v>
      </c>
      <c r="Q4243" s="5">
        <v>195</v>
      </c>
      <c r="R4243" s="5">
        <v>10</v>
      </c>
      <c r="S4243" s="5">
        <v>185</v>
      </c>
    </row>
    <row r="4244" spans="1:19" ht="28" x14ac:dyDescent="0.15">
      <c r="A4244" s="2">
        <f>HYPERLINK("https://open-school.uspishnemisto.com.ua/school/210414/", 210414)</f>
        <v>210414</v>
      </c>
      <c r="B4244" s="3" t="s">
        <v>22191</v>
      </c>
      <c r="C4244" s="3" t="s">
        <v>31</v>
      </c>
      <c r="D4244" s="3" t="s">
        <v>32</v>
      </c>
      <c r="E4244" s="4" t="s">
        <v>22</v>
      </c>
      <c r="F4244" s="4" t="s">
        <v>22192</v>
      </c>
      <c r="G4244" s="4" t="s">
        <v>22193</v>
      </c>
      <c r="H4244" s="3" t="s">
        <v>20074</v>
      </c>
      <c r="I4244" s="3" t="s">
        <v>22194</v>
      </c>
      <c r="J4244" s="3" t="s">
        <v>22195</v>
      </c>
      <c r="K4244" s="3" t="s">
        <v>22196</v>
      </c>
      <c r="L4244" s="3" t="s">
        <v>22197</v>
      </c>
      <c r="M4244" s="4"/>
      <c r="N4244" s="3" t="s">
        <v>37</v>
      </c>
      <c r="O4244" s="3" t="s">
        <v>38</v>
      </c>
      <c r="P4244" s="5">
        <v>11</v>
      </c>
      <c r="Q4244" s="5">
        <v>277</v>
      </c>
      <c r="R4244" s="5">
        <v>11</v>
      </c>
      <c r="S4244" s="5">
        <v>258</v>
      </c>
    </row>
    <row r="4245" spans="1:19" ht="28" x14ac:dyDescent="0.15">
      <c r="A4245" s="2">
        <f>HYPERLINK("https://open-school.uspishnemisto.com.ua/school/210415/", 210415)</f>
        <v>210415</v>
      </c>
      <c r="B4245" s="3" t="s">
        <v>3559</v>
      </c>
      <c r="C4245" s="3" t="s">
        <v>31</v>
      </c>
      <c r="D4245" s="3" t="s">
        <v>175</v>
      </c>
      <c r="E4245" s="4" t="s">
        <v>22</v>
      </c>
      <c r="F4245" s="4" t="s">
        <v>22198</v>
      </c>
      <c r="G4245" s="4" t="s">
        <v>22199</v>
      </c>
      <c r="H4245" s="3" t="s">
        <v>20074</v>
      </c>
      <c r="I4245" s="3" t="s">
        <v>22200</v>
      </c>
      <c r="J4245" s="3" t="s">
        <v>2052</v>
      </c>
      <c r="K4245" s="3" t="s">
        <v>22201</v>
      </c>
      <c r="L4245" s="3" t="s">
        <v>22202</v>
      </c>
      <c r="M4245" s="4"/>
      <c r="N4245" s="3" t="s">
        <v>37</v>
      </c>
      <c r="O4245" s="3" t="s">
        <v>52</v>
      </c>
      <c r="P4245" s="5">
        <v>9</v>
      </c>
      <c r="Q4245" s="5">
        <v>104</v>
      </c>
      <c r="R4245" s="5">
        <v>9</v>
      </c>
      <c r="S4245" s="5">
        <v>102</v>
      </c>
    </row>
    <row r="4246" spans="1:19" ht="28" x14ac:dyDescent="0.15">
      <c r="A4246" s="2">
        <f>HYPERLINK("https://open-school.uspishnemisto.com.ua/school/210416/", 210416)</f>
        <v>210416</v>
      </c>
      <c r="B4246" s="3" t="s">
        <v>22203</v>
      </c>
      <c r="C4246" s="3" t="s">
        <v>31</v>
      </c>
      <c r="D4246" s="3" t="s">
        <v>175</v>
      </c>
      <c r="E4246" s="4" t="s">
        <v>22</v>
      </c>
      <c r="F4246" s="4" t="s">
        <v>22204</v>
      </c>
      <c r="G4246" s="4" t="s">
        <v>22205</v>
      </c>
      <c r="H4246" s="3" t="s">
        <v>20074</v>
      </c>
      <c r="I4246" s="3" t="s">
        <v>22206</v>
      </c>
      <c r="J4246" s="3" t="s">
        <v>747</v>
      </c>
      <c r="K4246" s="3" t="s">
        <v>22207</v>
      </c>
      <c r="L4246" s="3"/>
      <c r="M4246" s="4" t="s">
        <v>22208</v>
      </c>
      <c r="N4246" s="3" t="s">
        <v>37</v>
      </c>
      <c r="O4246" s="3" t="s">
        <v>38</v>
      </c>
      <c r="P4246" s="5">
        <v>9</v>
      </c>
      <c r="Q4246" s="5">
        <v>131</v>
      </c>
      <c r="R4246" s="5">
        <v>9</v>
      </c>
      <c r="S4246" s="5">
        <v>130</v>
      </c>
    </row>
    <row r="4247" spans="1:19" ht="28" x14ac:dyDescent="0.15">
      <c r="A4247" s="2">
        <f>HYPERLINK("https://open-school.uspishnemisto.com.ua/school/210417/", 210417)</f>
        <v>210417</v>
      </c>
      <c r="B4247" s="3" t="s">
        <v>22209</v>
      </c>
      <c r="C4247" s="3" t="s">
        <v>31</v>
      </c>
      <c r="D4247" s="3" t="s">
        <v>175</v>
      </c>
      <c r="E4247" s="4" t="s">
        <v>22</v>
      </c>
      <c r="F4247" s="4" t="s">
        <v>22204</v>
      </c>
      <c r="G4247" s="4" t="s">
        <v>22210</v>
      </c>
      <c r="H4247" s="3" t="s">
        <v>20074</v>
      </c>
      <c r="I4247" s="3" t="s">
        <v>22211</v>
      </c>
      <c r="J4247" s="3" t="s">
        <v>22212</v>
      </c>
      <c r="K4247" s="3" t="s">
        <v>22213</v>
      </c>
      <c r="L4247" s="3"/>
      <c r="M4247" s="4" t="s">
        <v>22214</v>
      </c>
      <c r="N4247" s="3" t="s">
        <v>37</v>
      </c>
      <c r="O4247" s="3" t="s">
        <v>38</v>
      </c>
      <c r="P4247" s="5">
        <v>9</v>
      </c>
      <c r="Q4247" s="5">
        <v>78</v>
      </c>
      <c r="R4247" s="5">
        <v>9</v>
      </c>
      <c r="S4247" s="5">
        <v>81</v>
      </c>
    </row>
    <row r="4248" spans="1:19" ht="28" x14ac:dyDescent="0.15">
      <c r="A4248" s="2">
        <f>HYPERLINK("https://open-school.uspishnemisto.com.ua/school/210418/", 210418)</f>
        <v>210418</v>
      </c>
      <c r="B4248" s="3" t="s">
        <v>22215</v>
      </c>
      <c r="C4248" s="3" t="s">
        <v>31</v>
      </c>
      <c r="D4248" s="3" t="s">
        <v>32</v>
      </c>
      <c r="E4248" s="4" t="s">
        <v>22</v>
      </c>
      <c r="F4248" s="4" t="s">
        <v>22216</v>
      </c>
      <c r="G4248" s="4" t="s">
        <v>22217</v>
      </c>
      <c r="H4248" s="3" t="s">
        <v>20074</v>
      </c>
      <c r="I4248" s="3" t="s">
        <v>22218</v>
      </c>
      <c r="J4248" s="3" t="s">
        <v>22219</v>
      </c>
      <c r="K4248" s="3" t="s">
        <v>22220</v>
      </c>
      <c r="L4248" s="3"/>
      <c r="M4248" s="4" t="s">
        <v>22221</v>
      </c>
      <c r="N4248" s="3" t="s">
        <v>37</v>
      </c>
      <c r="O4248" s="3" t="s">
        <v>70</v>
      </c>
      <c r="P4248" s="5">
        <v>20</v>
      </c>
      <c r="Q4248" s="5">
        <v>419</v>
      </c>
      <c r="R4248" s="5">
        <v>20</v>
      </c>
      <c r="S4248" s="5">
        <v>412</v>
      </c>
    </row>
    <row r="4249" spans="1:19" ht="28" x14ac:dyDescent="0.15">
      <c r="A4249" s="2">
        <f>HYPERLINK("https://open-school.uspishnemisto.com.ua/school/210419/", 210419)</f>
        <v>210419</v>
      </c>
      <c r="B4249" s="3" t="s">
        <v>22222</v>
      </c>
      <c r="C4249" s="3" t="s">
        <v>31</v>
      </c>
      <c r="D4249" s="3" t="s">
        <v>32</v>
      </c>
      <c r="E4249" s="4" t="s">
        <v>22</v>
      </c>
      <c r="F4249" s="4" t="s">
        <v>22223</v>
      </c>
      <c r="G4249" s="4" t="s">
        <v>22224</v>
      </c>
      <c r="H4249" s="3" t="s">
        <v>20074</v>
      </c>
      <c r="I4249" s="3" t="s">
        <v>22225</v>
      </c>
      <c r="J4249" s="3" t="s">
        <v>22226</v>
      </c>
      <c r="K4249" s="3" t="s">
        <v>22227</v>
      </c>
      <c r="L4249" s="3"/>
      <c r="M4249" s="4" t="s">
        <v>22228</v>
      </c>
      <c r="N4249" s="3" t="s">
        <v>37</v>
      </c>
      <c r="O4249" s="3" t="s">
        <v>70</v>
      </c>
      <c r="P4249" s="5">
        <v>29</v>
      </c>
      <c r="Q4249" s="5">
        <v>654</v>
      </c>
      <c r="R4249" s="5">
        <v>28</v>
      </c>
      <c r="S4249" s="5">
        <v>628</v>
      </c>
    </row>
    <row r="4250" spans="1:19" ht="28" x14ac:dyDescent="0.15">
      <c r="A4250" s="2">
        <f>HYPERLINK("https://open-school.uspishnemisto.com.ua/school/210420/", 210420)</f>
        <v>210420</v>
      </c>
      <c r="B4250" s="3" t="s">
        <v>22229</v>
      </c>
      <c r="C4250" s="3" t="s">
        <v>31</v>
      </c>
      <c r="D4250" s="3" t="s">
        <v>32</v>
      </c>
      <c r="E4250" s="4" t="s">
        <v>22</v>
      </c>
      <c r="F4250" s="4" t="s">
        <v>22223</v>
      </c>
      <c r="G4250" s="4" t="s">
        <v>22224</v>
      </c>
      <c r="H4250" s="3" t="s">
        <v>20074</v>
      </c>
      <c r="I4250" s="3" t="s">
        <v>22225</v>
      </c>
      <c r="J4250" s="3" t="s">
        <v>1773</v>
      </c>
      <c r="K4250" s="3" t="s">
        <v>22230</v>
      </c>
      <c r="L4250" s="3" t="s">
        <v>22231</v>
      </c>
      <c r="M4250" s="4" t="s">
        <v>22232</v>
      </c>
      <c r="N4250" s="3" t="s">
        <v>20226</v>
      </c>
      <c r="O4250" s="3" t="s">
        <v>46</v>
      </c>
      <c r="P4250" s="5">
        <v>40</v>
      </c>
      <c r="Q4250" s="5">
        <v>969</v>
      </c>
      <c r="R4250" s="5">
        <v>38</v>
      </c>
      <c r="S4250" s="5">
        <v>950</v>
      </c>
    </row>
    <row r="4251" spans="1:19" ht="28" x14ac:dyDescent="0.15">
      <c r="A4251" s="2">
        <f>HYPERLINK("https://open-school.uspishnemisto.com.ua/school/210421/", 210421)</f>
        <v>210421</v>
      </c>
      <c r="B4251" s="3" t="s">
        <v>22233</v>
      </c>
      <c r="C4251" s="3" t="s">
        <v>31</v>
      </c>
      <c r="D4251" s="3" t="s">
        <v>32</v>
      </c>
      <c r="E4251" s="4" t="s">
        <v>22</v>
      </c>
      <c r="F4251" s="4" t="s">
        <v>22223</v>
      </c>
      <c r="G4251" s="4" t="s">
        <v>22224</v>
      </c>
      <c r="H4251" s="3" t="s">
        <v>20074</v>
      </c>
      <c r="I4251" s="3" t="s">
        <v>22225</v>
      </c>
      <c r="J4251" s="3" t="s">
        <v>3556</v>
      </c>
      <c r="K4251" s="3" t="s">
        <v>22234</v>
      </c>
      <c r="L4251" s="3" t="s">
        <v>22235</v>
      </c>
      <c r="M4251" s="4" t="s">
        <v>22236</v>
      </c>
      <c r="N4251" s="3" t="s">
        <v>37</v>
      </c>
      <c r="O4251" s="3" t="s">
        <v>46</v>
      </c>
      <c r="P4251" s="5">
        <v>20</v>
      </c>
      <c r="Q4251" s="5">
        <v>422</v>
      </c>
      <c r="R4251" s="5">
        <v>19</v>
      </c>
      <c r="S4251" s="5">
        <v>398</v>
      </c>
    </row>
    <row r="4252" spans="1:19" ht="28" x14ac:dyDescent="0.15">
      <c r="A4252" s="2">
        <f>HYPERLINK("https://open-school.uspishnemisto.com.ua/school/210422/", 210422)</f>
        <v>210422</v>
      </c>
      <c r="B4252" s="3" t="s">
        <v>22237</v>
      </c>
      <c r="C4252" s="3" t="s">
        <v>31</v>
      </c>
      <c r="D4252" s="3" t="s">
        <v>32</v>
      </c>
      <c r="E4252" s="4" t="s">
        <v>22</v>
      </c>
      <c r="F4252" s="4" t="s">
        <v>22223</v>
      </c>
      <c r="G4252" s="4" t="s">
        <v>22224</v>
      </c>
      <c r="H4252" s="3" t="s">
        <v>20074</v>
      </c>
      <c r="I4252" s="3" t="s">
        <v>22225</v>
      </c>
      <c r="J4252" s="3" t="s">
        <v>22238</v>
      </c>
      <c r="K4252" s="3" t="s">
        <v>22239</v>
      </c>
      <c r="L4252" s="3"/>
      <c r="M4252" s="4" t="s">
        <v>22240</v>
      </c>
      <c r="N4252" s="3" t="s">
        <v>37</v>
      </c>
      <c r="O4252" s="3" t="s">
        <v>38</v>
      </c>
      <c r="P4252" s="5">
        <v>19</v>
      </c>
      <c r="Q4252" s="5">
        <v>343</v>
      </c>
      <c r="R4252" s="5">
        <v>20</v>
      </c>
      <c r="S4252" s="5">
        <v>353</v>
      </c>
    </row>
    <row r="4253" spans="1:19" ht="28" x14ac:dyDescent="0.15">
      <c r="A4253" s="2">
        <f>HYPERLINK("https://open-school.uspishnemisto.com.ua/school/210423/", 210423)</f>
        <v>210423</v>
      </c>
      <c r="B4253" s="3" t="s">
        <v>22241</v>
      </c>
      <c r="C4253" s="3" t="s">
        <v>31</v>
      </c>
      <c r="D4253" s="3" t="s">
        <v>175</v>
      </c>
      <c r="E4253" s="4" t="s">
        <v>22</v>
      </c>
      <c r="F4253" s="4" t="s">
        <v>22242</v>
      </c>
      <c r="G4253" s="4" t="s">
        <v>22243</v>
      </c>
      <c r="H4253" s="3" t="s">
        <v>20074</v>
      </c>
      <c r="I4253" s="3" t="s">
        <v>22244</v>
      </c>
      <c r="J4253" s="3" t="s">
        <v>22245</v>
      </c>
      <c r="K4253" s="3" t="s">
        <v>22246</v>
      </c>
      <c r="L4253" s="3"/>
      <c r="M4253" s="4" t="s">
        <v>22247</v>
      </c>
      <c r="N4253" s="3" t="s">
        <v>37</v>
      </c>
      <c r="O4253" s="3" t="s">
        <v>52</v>
      </c>
      <c r="P4253" s="5">
        <v>13</v>
      </c>
      <c r="Q4253" s="5">
        <v>245</v>
      </c>
      <c r="R4253" s="5">
        <v>12</v>
      </c>
      <c r="S4253" s="5">
        <v>234</v>
      </c>
    </row>
    <row r="4254" spans="1:19" ht="28" x14ac:dyDescent="0.15">
      <c r="A4254" s="2">
        <f>HYPERLINK("https://open-school.uspishnemisto.com.ua/school/210424/", 210424)</f>
        <v>210424</v>
      </c>
      <c r="B4254" s="3" t="s">
        <v>22248</v>
      </c>
      <c r="C4254" s="3" t="s">
        <v>31</v>
      </c>
      <c r="D4254" s="3" t="s">
        <v>32</v>
      </c>
      <c r="E4254" s="4" t="s">
        <v>22</v>
      </c>
      <c r="F4254" s="4" t="s">
        <v>22242</v>
      </c>
      <c r="G4254" s="4" t="s">
        <v>22243</v>
      </c>
      <c r="H4254" s="3" t="s">
        <v>20074</v>
      </c>
      <c r="I4254" s="3" t="s">
        <v>22244</v>
      </c>
      <c r="J4254" s="3" t="s">
        <v>22249</v>
      </c>
      <c r="K4254" s="3" t="s">
        <v>22250</v>
      </c>
      <c r="L4254" s="3" t="s">
        <v>22251</v>
      </c>
      <c r="M4254" s="4"/>
      <c r="N4254" s="3" t="s">
        <v>37</v>
      </c>
      <c r="O4254" s="3" t="s">
        <v>46</v>
      </c>
      <c r="P4254" s="5">
        <v>21</v>
      </c>
      <c r="Q4254" s="5">
        <v>451</v>
      </c>
      <c r="R4254" s="5">
        <v>22</v>
      </c>
      <c r="S4254" s="5">
        <v>448</v>
      </c>
    </row>
    <row r="4255" spans="1:19" ht="28" x14ac:dyDescent="0.15">
      <c r="A4255" s="2">
        <f>HYPERLINK("https://open-school.uspishnemisto.com.ua/school/210425/", 210425)</f>
        <v>210425</v>
      </c>
      <c r="B4255" s="3" t="s">
        <v>22252</v>
      </c>
      <c r="C4255" s="3" t="s">
        <v>31</v>
      </c>
      <c r="D4255" s="3" t="s">
        <v>32</v>
      </c>
      <c r="E4255" s="4" t="s">
        <v>22</v>
      </c>
      <c r="F4255" s="4" t="s">
        <v>22242</v>
      </c>
      <c r="G4255" s="4" t="s">
        <v>22243</v>
      </c>
      <c r="H4255" s="3" t="s">
        <v>20074</v>
      </c>
      <c r="I4255" s="3" t="s">
        <v>22244</v>
      </c>
      <c r="J4255" s="3" t="s">
        <v>22253</v>
      </c>
      <c r="K4255" s="3" t="s">
        <v>22254</v>
      </c>
      <c r="L4255" s="3"/>
      <c r="M4255" s="4" t="s">
        <v>22255</v>
      </c>
      <c r="N4255" s="3" t="s">
        <v>37</v>
      </c>
      <c r="O4255" s="3" t="s">
        <v>46</v>
      </c>
      <c r="P4255" s="5">
        <v>22</v>
      </c>
      <c r="Q4255" s="5">
        <v>436</v>
      </c>
      <c r="R4255" s="5">
        <v>21</v>
      </c>
      <c r="S4255" s="5">
        <v>427</v>
      </c>
    </row>
    <row r="4256" spans="1:19" ht="28" x14ac:dyDescent="0.15">
      <c r="A4256" s="2">
        <f>HYPERLINK("https://open-school.uspishnemisto.com.ua/school/210426/", 210426)</f>
        <v>210426</v>
      </c>
      <c r="B4256" s="3" t="s">
        <v>22256</v>
      </c>
      <c r="C4256" s="3" t="s">
        <v>293</v>
      </c>
      <c r="D4256" s="3" t="s">
        <v>32</v>
      </c>
      <c r="E4256" s="4" t="s">
        <v>22</v>
      </c>
      <c r="F4256" s="4" t="s">
        <v>22242</v>
      </c>
      <c r="G4256" s="4" t="s">
        <v>22243</v>
      </c>
      <c r="H4256" s="3" t="s">
        <v>20074</v>
      </c>
      <c r="I4256" s="3" t="s">
        <v>22244</v>
      </c>
      <c r="J4256" s="3" t="s">
        <v>22257</v>
      </c>
      <c r="K4256" s="3" t="s">
        <v>22258</v>
      </c>
      <c r="L4256" s="3"/>
      <c r="M4256" s="4" t="s">
        <v>22259</v>
      </c>
      <c r="N4256" s="3" t="s">
        <v>37</v>
      </c>
      <c r="O4256" s="3" t="s">
        <v>46</v>
      </c>
      <c r="P4256" s="5">
        <v>11</v>
      </c>
      <c r="Q4256" s="5">
        <v>184</v>
      </c>
      <c r="R4256" s="5">
        <v>11</v>
      </c>
      <c r="S4256" s="5">
        <v>180</v>
      </c>
    </row>
    <row r="4257" spans="1:19" ht="28" x14ac:dyDescent="0.15">
      <c r="A4257" s="2">
        <f>HYPERLINK("https://open-school.uspishnemisto.com.ua/school/210427/", 210427)</f>
        <v>210427</v>
      </c>
      <c r="B4257" s="3" t="s">
        <v>22260</v>
      </c>
      <c r="C4257" s="3" t="s">
        <v>31</v>
      </c>
      <c r="D4257" s="3" t="s">
        <v>32</v>
      </c>
      <c r="E4257" s="4" t="s">
        <v>22</v>
      </c>
      <c r="F4257" s="4" t="s">
        <v>22261</v>
      </c>
      <c r="G4257" s="4" t="s">
        <v>22262</v>
      </c>
      <c r="H4257" s="3" t="s">
        <v>20074</v>
      </c>
      <c r="I4257" s="3" t="s">
        <v>22263</v>
      </c>
      <c r="J4257" s="3" t="s">
        <v>22264</v>
      </c>
      <c r="K4257" s="3" t="s">
        <v>22265</v>
      </c>
      <c r="L4257" s="3"/>
      <c r="M4257" s="4" t="s">
        <v>22266</v>
      </c>
      <c r="N4257" s="3" t="s">
        <v>37</v>
      </c>
      <c r="O4257" s="3" t="s">
        <v>46</v>
      </c>
      <c r="P4257" s="5">
        <v>21</v>
      </c>
      <c r="Q4257" s="5">
        <v>447</v>
      </c>
      <c r="R4257" s="5">
        <v>22</v>
      </c>
      <c r="S4257" s="5">
        <v>438</v>
      </c>
    </row>
    <row r="4258" spans="1:19" ht="28" x14ac:dyDescent="0.15">
      <c r="A4258" s="2">
        <f>HYPERLINK("https://open-school.uspishnemisto.com.ua/school/210428/", 210428)</f>
        <v>210428</v>
      </c>
      <c r="B4258" s="3" t="s">
        <v>22267</v>
      </c>
      <c r="C4258" s="3" t="s">
        <v>31</v>
      </c>
      <c r="D4258" s="3" t="s">
        <v>175</v>
      </c>
      <c r="E4258" s="4" t="s">
        <v>22</v>
      </c>
      <c r="F4258" s="4" t="s">
        <v>22268</v>
      </c>
      <c r="G4258" s="4" t="s">
        <v>22269</v>
      </c>
      <c r="H4258" s="3" t="s">
        <v>20074</v>
      </c>
      <c r="I4258" s="3" t="s">
        <v>22270</v>
      </c>
      <c r="J4258" s="3" t="s">
        <v>22271</v>
      </c>
      <c r="K4258" s="3" t="s">
        <v>22272</v>
      </c>
      <c r="L4258" s="3"/>
      <c r="M4258" s="4" t="s">
        <v>22273</v>
      </c>
      <c r="N4258" s="3" t="s">
        <v>37</v>
      </c>
      <c r="O4258" s="3" t="s">
        <v>52</v>
      </c>
      <c r="P4258" s="5">
        <v>9</v>
      </c>
      <c r="Q4258" s="5">
        <v>100</v>
      </c>
      <c r="R4258" s="5">
        <v>9</v>
      </c>
      <c r="S4258" s="5">
        <v>100</v>
      </c>
    </row>
    <row r="4259" spans="1:19" ht="28" x14ac:dyDescent="0.15">
      <c r="A4259" s="2">
        <f>HYPERLINK("https://open-school.uspishnemisto.com.ua/school/210429/", 210429)</f>
        <v>210429</v>
      </c>
      <c r="B4259" s="3" t="s">
        <v>22274</v>
      </c>
      <c r="C4259" s="3" t="s">
        <v>31</v>
      </c>
      <c r="D4259" s="3" t="s">
        <v>32</v>
      </c>
      <c r="E4259" s="4" t="s">
        <v>22</v>
      </c>
      <c r="F4259" s="4" t="s">
        <v>22268</v>
      </c>
      <c r="G4259" s="4" t="s">
        <v>22269</v>
      </c>
      <c r="H4259" s="3" t="s">
        <v>20074</v>
      </c>
      <c r="I4259" s="3" t="s">
        <v>22270</v>
      </c>
      <c r="J4259" s="3" t="s">
        <v>5606</v>
      </c>
      <c r="K4259" s="3" t="s">
        <v>22275</v>
      </c>
      <c r="L4259" s="3"/>
      <c r="M4259" s="4" t="s">
        <v>22276</v>
      </c>
      <c r="N4259" s="3" t="s">
        <v>37</v>
      </c>
      <c r="O4259" s="3" t="s">
        <v>46</v>
      </c>
      <c r="P4259" s="5">
        <v>21</v>
      </c>
      <c r="Q4259" s="5">
        <v>453</v>
      </c>
      <c r="R4259" s="5">
        <v>21</v>
      </c>
      <c r="S4259" s="5">
        <v>437</v>
      </c>
    </row>
    <row r="4260" spans="1:19" ht="28" x14ac:dyDescent="0.15">
      <c r="A4260" s="2">
        <f>HYPERLINK("https://open-school.uspishnemisto.com.ua/school/210430/", 210430)</f>
        <v>210430</v>
      </c>
      <c r="B4260" s="3" t="s">
        <v>22277</v>
      </c>
      <c r="C4260" s="3" t="s">
        <v>31</v>
      </c>
      <c r="D4260" s="3" t="s">
        <v>32</v>
      </c>
      <c r="E4260" s="4" t="s">
        <v>22</v>
      </c>
      <c r="F4260" s="4" t="s">
        <v>22268</v>
      </c>
      <c r="G4260" s="4" t="s">
        <v>22269</v>
      </c>
      <c r="H4260" s="3" t="s">
        <v>20074</v>
      </c>
      <c r="I4260" s="3" t="s">
        <v>22270</v>
      </c>
      <c r="J4260" s="3" t="s">
        <v>22278</v>
      </c>
      <c r="K4260" s="3" t="s">
        <v>22279</v>
      </c>
      <c r="L4260" s="3"/>
      <c r="M4260" s="4" t="s">
        <v>22280</v>
      </c>
      <c r="N4260" s="3" t="s">
        <v>20226</v>
      </c>
      <c r="O4260" s="3" t="s">
        <v>197</v>
      </c>
      <c r="P4260" s="5">
        <v>32</v>
      </c>
      <c r="Q4260" s="5">
        <v>721</v>
      </c>
      <c r="R4260" s="5">
        <v>32</v>
      </c>
      <c r="S4260" s="5">
        <v>692</v>
      </c>
    </row>
    <row r="4261" spans="1:19" ht="28" x14ac:dyDescent="0.15">
      <c r="A4261" s="2">
        <f>HYPERLINK("https://open-school.uspishnemisto.com.ua/school/210431/", 210431)</f>
        <v>210431</v>
      </c>
      <c r="B4261" s="3" t="s">
        <v>22281</v>
      </c>
      <c r="C4261" s="3" t="s">
        <v>31</v>
      </c>
      <c r="D4261" s="3" t="s">
        <v>60</v>
      </c>
      <c r="E4261" s="4" t="s">
        <v>22</v>
      </c>
      <c r="F4261" s="4" t="s">
        <v>22268</v>
      </c>
      <c r="G4261" s="4" t="s">
        <v>22269</v>
      </c>
      <c r="H4261" s="3" t="s">
        <v>20074</v>
      </c>
      <c r="I4261" s="3" t="s">
        <v>22270</v>
      </c>
      <c r="J4261" s="3" t="s">
        <v>22282</v>
      </c>
      <c r="K4261" s="3" t="s">
        <v>22283</v>
      </c>
      <c r="L4261" s="3"/>
      <c r="M4261" s="4" t="s">
        <v>22284</v>
      </c>
      <c r="N4261" s="3" t="s">
        <v>37</v>
      </c>
      <c r="O4261" s="3" t="s">
        <v>46</v>
      </c>
      <c r="P4261" s="5">
        <v>4</v>
      </c>
      <c r="Q4261" s="5">
        <v>70</v>
      </c>
      <c r="R4261" s="5">
        <v>4</v>
      </c>
      <c r="S4261" s="5">
        <v>71</v>
      </c>
    </row>
    <row r="4262" spans="1:19" ht="28" x14ac:dyDescent="0.15">
      <c r="A4262" s="2">
        <f>HYPERLINK("https://open-school.uspishnemisto.com.ua/school/210432/", 210432)</f>
        <v>210432</v>
      </c>
      <c r="B4262" s="3" t="s">
        <v>22285</v>
      </c>
      <c r="C4262" s="3" t="s">
        <v>31</v>
      </c>
      <c r="D4262" s="3" t="s">
        <v>60</v>
      </c>
      <c r="E4262" s="4" t="s">
        <v>22</v>
      </c>
      <c r="F4262" s="4" t="s">
        <v>22268</v>
      </c>
      <c r="G4262" s="4" t="s">
        <v>22286</v>
      </c>
      <c r="H4262" s="3" t="s">
        <v>20074</v>
      </c>
      <c r="I4262" s="3" t="s">
        <v>22287</v>
      </c>
      <c r="J4262" s="3" t="s">
        <v>22288</v>
      </c>
      <c r="K4262" s="3" t="s">
        <v>22289</v>
      </c>
      <c r="L4262" s="3"/>
      <c r="M4262" s="4" t="s">
        <v>22290</v>
      </c>
      <c r="N4262" s="3" t="s">
        <v>37</v>
      </c>
      <c r="O4262" s="3" t="s">
        <v>52</v>
      </c>
      <c r="P4262" s="5">
        <v>4</v>
      </c>
      <c r="Q4262" s="5">
        <v>49</v>
      </c>
      <c r="R4262" s="5">
        <v>4</v>
      </c>
      <c r="S4262" s="5">
        <v>44</v>
      </c>
    </row>
    <row r="4263" spans="1:19" ht="28" x14ac:dyDescent="0.15">
      <c r="A4263" s="2">
        <f>HYPERLINK("https://open-school.uspishnemisto.com.ua/school/210433/", 210433)</f>
        <v>210433</v>
      </c>
      <c r="B4263" s="3" t="s">
        <v>22291</v>
      </c>
      <c r="C4263" s="3" t="s">
        <v>31</v>
      </c>
      <c r="D4263" s="3" t="s">
        <v>32</v>
      </c>
      <c r="E4263" s="4" t="s">
        <v>22</v>
      </c>
      <c r="F4263" s="4" t="s">
        <v>22292</v>
      </c>
      <c r="G4263" s="4" t="s">
        <v>22293</v>
      </c>
      <c r="H4263" s="3" t="s">
        <v>20074</v>
      </c>
      <c r="I4263" s="3" t="s">
        <v>5101</v>
      </c>
      <c r="J4263" s="3" t="s">
        <v>22294</v>
      </c>
      <c r="K4263" s="3" t="s">
        <v>22295</v>
      </c>
      <c r="L4263" s="3" t="s">
        <v>22296</v>
      </c>
      <c r="M4263" s="4" t="s">
        <v>22297</v>
      </c>
      <c r="N4263" s="3" t="s">
        <v>37</v>
      </c>
      <c r="O4263" s="3" t="s">
        <v>52</v>
      </c>
      <c r="P4263" s="5">
        <v>14</v>
      </c>
      <c r="Q4263" s="5">
        <v>305</v>
      </c>
      <c r="R4263" s="5">
        <v>15</v>
      </c>
      <c r="S4263" s="5">
        <v>304</v>
      </c>
    </row>
    <row r="4264" spans="1:19" ht="28" x14ac:dyDescent="0.15">
      <c r="A4264" s="2">
        <f>HYPERLINK("https://open-school.uspishnemisto.com.ua/school/210434/", 210434)</f>
        <v>210434</v>
      </c>
      <c r="B4264" s="3" t="s">
        <v>22298</v>
      </c>
      <c r="C4264" s="3" t="s">
        <v>31</v>
      </c>
      <c r="D4264" s="3" t="s">
        <v>32</v>
      </c>
      <c r="E4264" s="4" t="s">
        <v>22</v>
      </c>
      <c r="F4264" s="4" t="s">
        <v>22299</v>
      </c>
      <c r="G4264" s="4" t="s">
        <v>22300</v>
      </c>
      <c r="H4264" s="3" t="s">
        <v>20074</v>
      </c>
      <c r="I4264" s="3" t="s">
        <v>22301</v>
      </c>
      <c r="J4264" s="3" t="s">
        <v>22302</v>
      </c>
      <c r="K4264" s="3" t="s">
        <v>22303</v>
      </c>
      <c r="L4264" s="3"/>
      <c r="M4264" s="4" t="s">
        <v>22304</v>
      </c>
      <c r="N4264" s="3" t="s">
        <v>22305</v>
      </c>
      <c r="O4264" s="3" t="s">
        <v>11684</v>
      </c>
      <c r="P4264" s="5">
        <v>13</v>
      </c>
      <c r="Q4264" s="5">
        <v>200</v>
      </c>
      <c r="R4264" s="5">
        <v>13</v>
      </c>
      <c r="S4264" s="5">
        <v>209</v>
      </c>
    </row>
    <row r="4265" spans="1:19" ht="28" x14ac:dyDescent="0.15">
      <c r="A4265" s="2">
        <f>HYPERLINK("https://open-school.uspishnemisto.com.ua/school/210435/", 210435)</f>
        <v>210435</v>
      </c>
      <c r="B4265" s="3" t="s">
        <v>22306</v>
      </c>
      <c r="C4265" s="3" t="s">
        <v>31</v>
      </c>
      <c r="D4265" s="3" t="s">
        <v>32</v>
      </c>
      <c r="E4265" s="4" t="s">
        <v>22</v>
      </c>
      <c r="F4265" s="4" t="s">
        <v>22307</v>
      </c>
      <c r="G4265" s="4" t="s">
        <v>22308</v>
      </c>
      <c r="H4265" s="3" t="s">
        <v>20074</v>
      </c>
      <c r="I4265" s="3" t="s">
        <v>22309</v>
      </c>
      <c r="J4265" s="3" t="s">
        <v>1471</v>
      </c>
      <c r="K4265" s="3" t="s">
        <v>22310</v>
      </c>
      <c r="L4265" s="3"/>
      <c r="M4265" s="4" t="s">
        <v>22311</v>
      </c>
      <c r="N4265" s="3" t="s">
        <v>37</v>
      </c>
      <c r="O4265" s="3" t="s">
        <v>2740</v>
      </c>
      <c r="P4265" s="5">
        <v>34</v>
      </c>
      <c r="Q4265" s="5">
        <v>714</v>
      </c>
      <c r="R4265" s="5">
        <v>34</v>
      </c>
      <c r="S4265" s="5">
        <v>678</v>
      </c>
    </row>
    <row r="4266" spans="1:19" ht="28" x14ac:dyDescent="0.15">
      <c r="A4266" s="2">
        <f>HYPERLINK("https://open-school.uspishnemisto.com.ua/school/210436/", 210436)</f>
        <v>210436</v>
      </c>
      <c r="B4266" s="3" t="s">
        <v>22312</v>
      </c>
      <c r="C4266" s="3" t="s">
        <v>31</v>
      </c>
      <c r="D4266" s="3" t="s">
        <v>60</v>
      </c>
      <c r="E4266" s="4" t="s">
        <v>22</v>
      </c>
      <c r="F4266" s="4" t="s">
        <v>22313</v>
      </c>
      <c r="G4266" s="4" t="s">
        <v>22314</v>
      </c>
      <c r="H4266" s="3" t="s">
        <v>20074</v>
      </c>
      <c r="I4266" s="3" t="s">
        <v>22315</v>
      </c>
      <c r="J4266" s="3" t="s">
        <v>22316</v>
      </c>
      <c r="K4266" s="3" t="s">
        <v>22317</v>
      </c>
      <c r="L4266" s="3"/>
      <c r="M4266" s="4" t="s">
        <v>22318</v>
      </c>
      <c r="N4266" s="3" t="s">
        <v>37</v>
      </c>
      <c r="O4266" s="3" t="s">
        <v>52</v>
      </c>
      <c r="P4266" s="5">
        <v>3</v>
      </c>
      <c r="Q4266" s="5">
        <v>9</v>
      </c>
      <c r="R4266" s="5">
        <v>3</v>
      </c>
      <c r="S4266" s="5">
        <v>10</v>
      </c>
    </row>
    <row r="4267" spans="1:19" ht="28" x14ac:dyDescent="0.15">
      <c r="A4267" s="2">
        <f>HYPERLINK("https://open-school.uspishnemisto.com.ua/school/210437/", 210437)</f>
        <v>210437</v>
      </c>
      <c r="B4267" s="3" t="s">
        <v>22319</v>
      </c>
      <c r="C4267" s="3" t="s">
        <v>31</v>
      </c>
      <c r="D4267" s="3" t="s">
        <v>32</v>
      </c>
      <c r="E4267" s="4" t="s">
        <v>22</v>
      </c>
      <c r="F4267" s="4" t="s">
        <v>22313</v>
      </c>
      <c r="G4267" s="4" t="s">
        <v>22314</v>
      </c>
      <c r="H4267" s="3" t="s">
        <v>20074</v>
      </c>
      <c r="I4267" s="3" t="s">
        <v>22315</v>
      </c>
      <c r="J4267" s="3" t="s">
        <v>22320</v>
      </c>
      <c r="K4267" s="3" t="s">
        <v>22321</v>
      </c>
      <c r="L4267" s="3"/>
      <c r="M4267" s="4" t="s">
        <v>22322</v>
      </c>
      <c r="N4267" s="3" t="s">
        <v>37</v>
      </c>
      <c r="O4267" s="3" t="s">
        <v>52</v>
      </c>
      <c r="P4267" s="5">
        <v>27</v>
      </c>
      <c r="Q4267" s="5">
        <v>593</v>
      </c>
      <c r="R4267" s="5">
        <v>26</v>
      </c>
      <c r="S4267" s="5">
        <v>573</v>
      </c>
    </row>
    <row r="4268" spans="1:19" ht="28" x14ac:dyDescent="0.15">
      <c r="A4268" s="2">
        <f>HYPERLINK("https://open-school.uspishnemisto.com.ua/school/210438/", 210438)</f>
        <v>210438</v>
      </c>
      <c r="B4268" s="3" t="s">
        <v>22323</v>
      </c>
      <c r="C4268" s="3" t="s">
        <v>31</v>
      </c>
      <c r="D4268" s="3" t="s">
        <v>32</v>
      </c>
      <c r="E4268" s="4" t="s">
        <v>22</v>
      </c>
      <c r="F4268" s="4" t="s">
        <v>22313</v>
      </c>
      <c r="G4268" s="4" t="s">
        <v>22314</v>
      </c>
      <c r="H4268" s="3" t="s">
        <v>20074</v>
      </c>
      <c r="I4268" s="3" t="s">
        <v>22315</v>
      </c>
      <c r="J4268" s="3" t="s">
        <v>22324</v>
      </c>
      <c r="K4268" s="3" t="s">
        <v>22325</v>
      </c>
      <c r="L4268" s="3"/>
      <c r="M4268" s="4" t="s">
        <v>22326</v>
      </c>
      <c r="N4268" s="3" t="s">
        <v>37</v>
      </c>
      <c r="O4268" s="3" t="s">
        <v>52</v>
      </c>
      <c r="P4268" s="5">
        <v>12</v>
      </c>
      <c r="Q4268" s="5">
        <v>248</v>
      </c>
      <c r="R4268" s="5">
        <v>12</v>
      </c>
      <c r="S4268" s="5">
        <v>249</v>
      </c>
    </row>
    <row r="4269" spans="1:19" ht="28" x14ac:dyDescent="0.15">
      <c r="A4269" s="2">
        <f>HYPERLINK("https://open-school.uspishnemisto.com.ua/school/210439/", 210439)</f>
        <v>210439</v>
      </c>
      <c r="B4269" s="3" t="s">
        <v>22327</v>
      </c>
      <c r="C4269" s="3" t="s">
        <v>31</v>
      </c>
      <c r="D4269" s="3" t="s">
        <v>32</v>
      </c>
      <c r="E4269" s="4" t="s">
        <v>22</v>
      </c>
      <c r="F4269" s="4" t="s">
        <v>22313</v>
      </c>
      <c r="G4269" s="4" t="s">
        <v>22328</v>
      </c>
      <c r="H4269" s="3" t="s">
        <v>20074</v>
      </c>
      <c r="I4269" s="3" t="s">
        <v>22329</v>
      </c>
      <c r="J4269" s="3" t="s">
        <v>22330</v>
      </c>
      <c r="K4269" s="3" t="s">
        <v>22331</v>
      </c>
      <c r="L4269" s="3"/>
      <c r="M4269" s="4"/>
      <c r="N4269" s="3" t="s">
        <v>37</v>
      </c>
      <c r="O4269" s="3" t="s">
        <v>52</v>
      </c>
      <c r="P4269" s="5">
        <v>11</v>
      </c>
      <c r="Q4269" s="5">
        <v>141</v>
      </c>
      <c r="R4269" s="5">
        <v>11</v>
      </c>
      <c r="S4269" s="5">
        <v>149</v>
      </c>
    </row>
    <row r="4270" spans="1:19" ht="28" x14ac:dyDescent="0.15">
      <c r="A4270" s="2">
        <f>HYPERLINK("https://open-school.uspishnemisto.com.ua/school/210440/", 210440)</f>
        <v>210440</v>
      </c>
      <c r="B4270" s="3" t="s">
        <v>22332</v>
      </c>
      <c r="C4270" s="3" t="s">
        <v>31</v>
      </c>
      <c r="D4270" s="3" t="s">
        <v>32</v>
      </c>
      <c r="E4270" s="4" t="s">
        <v>22</v>
      </c>
      <c r="F4270" s="4" t="s">
        <v>22333</v>
      </c>
      <c r="G4270" s="4" t="s">
        <v>22334</v>
      </c>
      <c r="H4270" s="3" t="s">
        <v>20074</v>
      </c>
      <c r="I4270" s="3" t="s">
        <v>22335</v>
      </c>
      <c r="J4270" s="3" t="s">
        <v>22336</v>
      </c>
      <c r="K4270" s="3" t="s">
        <v>22337</v>
      </c>
      <c r="L4270" s="3"/>
      <c r="M4270" s="4" t="s">
        <v>22338</v>
      </c>
      <c r="N4270" s="3" t="s">
        <v>37</v>
      </c>
      <c r="O4270" s="3" t="s">
        <v>52</v>
      </c>
      <c r="P4270" s="5">
        <v>15</v>
      </c>
      <c r="Q4270" s="5">
        <v>235</v>
      </c>
      <c r="R4270" s="5">
        <v>14</v>
      </c>
      <c r="S4270" s="5">
        <v>225</v>
      </c>
    </row>
    <row r="4271" spans="1:19" ht="28" x14ac:dyDescent="0.15">
      <c r="A4271" s="2">
        <f>HYPERLINK("https://open-school.uspishnemisto.com.ua/school/210441/", 210441)</f>
        <v>210441</v>
      </c>
      <c r="B4271" s="3" t="s">
        <v>22339</v>
      </c>
      <c r="C4271" s="3" t="s">
        <v>31</v>
      </c>
      <c r="D4271" s="3" t="s">
        <v>32</v>
      </c>
      <c r="E4271" s="4" t="s">
        <v>22</v>
      </c>
      <c r="F4271" s="4" t="s">
        <v>22333</v>
      </c>
      <c r="G4271" s="4" t="s">
        <v>22340</v>
      </c>
      <c r="H4271" s="3" t="s">
        <v>20074</v>
      </c>
      <c r="I4271" s="3" t="s">
        <v>22341</v>
      </c>
      <c r="J4271" s="3" t="s">
        <v>22342</v>
      </c>
      <c r="K4271" s="3" t="s">
        <v>22343</v>
      </c>
      <c r="L4271" s="3" t="s">
        <v>22344</v>
      </c>
      <c r="M4271" s="4" t="s">
        <v>22345</v>
      </c>
      <c r="N4271" s="3" t="s">
        <v>22346</v>
      </c>
      <c r="O4271" s="3" t="s">
        <v>11684</v>
      </c>
      <c r="P4271" s="5">
        <v>11</v>
      </c>
      <c r="Q4271" s="5">
        <v>90</v>
      </c>
      <c r="R4271" s="5">
        <v>11</v>
      </c>
      <c r="S4271" s="5">
        <v>91</v>
      </c>
    </row>
    <row r="4272" spans="1:19" ht="28" x14ac:dyDescent="0.15">
      <c r="A4272" s="2">
        <f>HYPERLINK("https://open-school.uspishnemisto.com.ua/school/210442/", 210442)</f>
        <v>210442</v>
      </c>
      <c r="B4272" s="3" t="s">
        <v>22347</v>
      </c>
      <c r="C4272" s="3" t="s">
        <v>31</v>
      </c>
      <c r="D4272" s="3" t="s">
        <v>32</v>
      </c>
      <c r="E4272" s="4" t="s">
        <v>22</v>
      </c>
      <c r="F4272" s="4" t="s">
        <v>22348</v>
      </c>
      <c r="G4272" s="4" t="s">
        <v>22349</v>
      </c>
      <c r="H4272" s="3" t="s">
        <v>20074</v>
      </c>
      <c r="I4272" s="3" t="s">
        <v>22350</v>
      </c>
      <c r="J4272" s="3" t="s">
        <v>22351</v>
      </c>
      <c r="K4272" s="3" t="s">
        <v>22352</v>
      </c>
      <c r="L4272" s="3"/>
      <c r="M4272" s="4" t="s">
        <v>22353</v>
      </c>
      <c r="N4272" s="3" t="s">
        <v>37</v>
      </c>
      <c r="O4272" s="3" t="s">
        <v>22354</v>
      </c>
      <c r="P4272" s="5">
        <v>21</v>
      </c>
      <c r="Q4272" s="5">
        <v>434</v>
      </c>
      <c r="R4272" s="5">
        <v>20</v>
      </c>
      <c r="S4272" s="5">
        <v>409</v>
      </c>
    </row>
    <row r="4273" spans="1:19" ht="28" x14ac:dyDescent="0.15">
      <c r="A4273" s="2">
        <f>HYPERLINK("https://open-school.uspishnemisto.com.ua/school/210443/", 210443)</f>
        <v>210443</v>
      </c>
      <c r="B4273" s="3" t="s">
        <v>22355</v>
      </c>
      <c r="C4273" s="3" t="s">
        <v>31</v>
      </c>
      <c r="D4273" s="3" t="s">
        <v>32</v>
      </c>
      <c r="E4273" s="4" t="s">
        <v>22</v>
      </c>
      <c r="F4273" s="4" t="s">
        <v>22356</v>
      </c>
      <c r="G4273" s="4" t="s">
        <v>22357</v>
      </c>
      <c r="H4273" s="3" t="s">
        <v>20074</v>
      </c>
      <c r="I4273" s="3" t="s">
        <v>22358</v>
      </c>
      <c r="J4273" s="3" t="s">
        <v>22359</v>
      </c>
      <c r="K4273" s="3" t="s">
        <v>22360</v>
      </c>
      <c r="L4273" s="3" t="s">
        <v>22361</v>
      </c>
      <c r="M4273" s="4" t="s">
        <v>22362</v>
      </c>
      <c r="N4273" s="3" t="s">
        <v>37</v>
      </c>
      <c r="O4273" s="3" t="s">
        <v>52</v>
      </c>
      <c r="P4273" s="5">
        <v>20</v>
      </c>
      <c r="Q4273" s="5">
        <v>457</v>
      </c>
      <c r="R4273" s="5">
        <v>21</v>
      </c>
      <c r="S4273" s="5">
        <v>453</v>
      </c>
    </row>
    <row r="4274" spans="1:19" ht="28" x14ac:dyDescent="0.15">
      <c r="A4274" s="2">
        <f>HYPERLINK("https://open-school.uspishnemisto.com.ua/school/210444/", 210444)</f>
        <v>210444</v>
      </c>
      <c r="B4274" s="3" t="s">
        <v>22363</v>
      </c>
      <c r="C4274" s="3" t="s">
        <v>31</v>
      </c>
      <c r="D4274" s="3" t="s">
        <v>60</v>
      </c>
      <c r="E4274" s="4" t="s">
        <v>22</v>
      </c>
      <c r="F4274" s="4" t="s">
        <v>22356</v>
      </c>
      <c r="G4274" s="4" t="s">
        <v>22364</v>
      </c>
      <c r="H4274" s="3" t="s">
        <v>20074</v>
      </c>
      <c r="I4274" s="3" t="s">
        <v>22365</v>
      </c>
      <c r="J4274" s="3" t="s">
        <v>14575</v>
      </c>
      <c r="K4274" s="3" t="s">
        <v>22366</v>
      </c>
      <c r="L4274" s="3"/>
      <c r="M4274" s="4" t="s">
        <v>22367</v>
      </c>
      <c r="N4274" s="3" t="s">
        <v>37</v>
      </c>
      <c r="O4274" s="3" t="s">
        <v>52</v>
      </c>
      <c r="P4274" s="5">
        <v>4</v>
      </c>
      <c r="Q4274" s="5">
        <v>32</v>
      </c>
      <c r="R4274" s="5">
        <v>4</v>
      </c>
      <c r="S4274" s="5">
        <v>26</v>
      </c>
    </row>
    <row r="4275" spans="1:19" ht="28" x14ac:dyDescent="0.15">
      <c r="A4275" s="2">
        <f>HYPERLINK("https://open-school.uspishnemisto.com.ua/school/210445/", 210445)</f>
        <v>210445</v>
      </c>
      <c r="B4275" s="3" t="s">
        <v>22368</v>
      </c>
      <c r="C4275" s="3" t="s">
        <v>31</v>
      </c>
      <c r="D4275" s="3" t="s">
        <v>32</v>
      </c>
      <c r="E4275" s="4" t="s">
        <v>22</v>
      </c>
      <c r="F4275" s="4" t="s">
        <v>22369</v>
      </c>
      <c r="G4275" s="4" t="s">
        <v>22370</v>
      </c>
      <c r="H4275" s="3" t="s">
        <v>20074</v>
      </c>
      <c r="I4275" s="3" t="s">
        <v>22371</v>
      </c>
      <c r="J4275" s="3" t="s">
        <v>22372</v>
      </c>
      <c r="K4275" s="3" t="s">
        <v>22373</v>
      </c>
      <c r="L4275" s="3"/>
      <c r="M4275" s="4" t="s">
        <v>22374</v>
      </c>
      <c r="N4275" s="3" t="s">
        <v>37</v>
      </c>
      <c r="O4275" s="3" t="s">
        <v>52</v>
      </c>
      <c r="P4275" s="5">
        <v>19</v>
      </c>
      <c r="Q4275" s="5">
        <v>375</v>
      </c>
      <c r="R4275" s="5">
        <v>18</v>
      </c>
      <c r="S4275" s="5">
        <v>352</v>
      </c>
    </row>
    <row r="4276" spans="1:19" ht="42" x14ac:dyDescent="0.15">
      <c r="A4276" s="2">
        <f>HYPERLINK("https://open-school.uspishnemisto.com.ua/school/210446/", 210446)</f>
        <v>210446</v>
      </c>
      <c r="B4276" s="3" t="s">
        <v>22375</v>
      </c>
      <c r="C4276" s="3" t="s">
        <v>31</v>
      </c>
      <c r="D4276" s="3" t="s">
        <v>175</v>
      </c>
      <c r="E4276" s="4" t="s">
        <v>22</v>
      </c>
      <c r="F4276" s="4" t="s">
        <v>22376</v>
      </c>
      <c r="G4276" s="4" t="s">
        <v>22377</v>
      </c>
      <c r="H4276" s="3" t="s">
        <v>20074</v>
      </c>
      <c r="I4276" s="3" t="s">
        <v>22378</v>
      </c>
      <c r="J4276" s="3" t="s">
        <v>22379</v>
      </c>
      <c r="K4276" s="3" t="s">
        <v>22380</v>
      </c>
      <c r="L4276" s="3"/>
      <c r="M4276" s="4" t="s">
        <v>22381</v>
      </c>
      <c r="N4276" s="3" t="s">
        <v>37</v>
      </c>
      <c r="O4276" s="3" t="s">
        <v>52</v>
      </c>
      <c r="P4276" s="5">
        <v>9</v>
      </c>
      <c r="Q4276" s="5">
        <v>125</v>
      </c>
      <c r="R4276" s="5">
        <v>9</v>
      </c>
      <c r="S4276" s="5">
        <v>116</v>
      </c>
    </row>
    <row r="4277" spans="1:19" ht="28" x14ac:dyDescent="0.15">
      <c r="A4277" s="2">
        <f>HYPERLINK("https://open-school.uspishnemisto.com.ua/school/210447/", 210447)</f>
        <v>210447</v>
      </c>
      <c r="B4277" s="3" t="s">
        <v>22382</v>
      </c>
      <c r="C4277" s="3" t="s">
        <v>31</v>
      </c>
      <c r="D4277" s="3" t="s">
        <v>60</v>
      </c>
      <c r="E4277" s="4" t="s">
        <v>22</v>
      </c>
      <c r="F4277" s="4" t="s">
        <v>22376</v>
      </c>
      <c r="G4277" s="4" t="s">
        <v>22377</v>
      </c>
      <c r="H4277" s="3" t="s">
        <v>20074</v>
      </c>
      <c r="I4277" s="3" t="s">
        <v>22378</v>
      </c>
      <c r="J4277" s="3" t="s">
        <v>22383</v>
      </c>
      <c r="K4277" s="3" t="s">
        <v>22384</v>
      </c>
      <c r="L4277" s="3"/>
      <c r="M4277" s="4" t="s">
        <v>22385</v>
      </c>
      <c r="N4277" s="3" t="s">
        <v>37</v>
      </c>
      <c r="O4277" s="3" t="s">
        <v>52</v>
      </c>
      <c r="P4277" s="5">
        <v>2</v>
      </c>
      <c r="Q4277" s="5">
        <v>5</v>
      </c>
      <c r="R4277" s="5">
        <v>3</v>
      </c>
      <c r="S4277" s="5">
        <v>7</v>
      </c>
    </row>
    <row r="4278" spans="1:19" ht="28" x14ac:dyDescent="0.15">
      <c r="A4278" s="2">
        <f>HYPERLINK("https://open-school.uspishnemisto.com.ua/school/210448/", 210448)</f>
        <v>210448</v>
      </c>
      <c r="B4278" s="3" t="s">
        <v>22386</v>
      </c>
      <c r="C4278" s="3" t="s">
        <v>31</v>
      </c>
      <c r="D4278" s="3" t="s">
        <v>32</v>
      </c>
      <c r="E4278" s="4" t="s">
        <v>22</v>
      </c>
      <c r="F4278" s="4" t="s">
        <v>22376</v>
      </c>
      <c r="G4278" s="4" t="s">
        <v>22377</v>
      </c>
      <c r="H4278" s="3" t="s">
        <v>20074</v>
      </c>
      <c r="I4278" s="3" t="s">
        <v>22378</v>
      </c>
      <c r="J4278" s="3" t="s">
        <v>22387</v>
      </c>
      <c r="K4278" s="3" t="s">
        <v>22388</v>
      </c>
      <c r="L4278" s="3"/>
      <c r="M4278" s="4" t="s">
        <v>22389</v>
      </c>
      <c r="N4278" s="3" t="s">
        <v>37</v>
      </c>
      <c r="O4278" s="3" t="s">
        <v>46</v>
      </c>
      <c r="P4278" s="5">
        <v>21</v>
      </c>
      <c r="Q4278" s="5">
        <v>393</v>
      </c>
      <c r="R4278" s="5">
        <v>22</v>
      </c>
      <c r="S4278" s="5">
        <v>393</v>
      </c>
    </row>
    <row r="4279" spans="1:19" ht="28" x14ac:dyDescent="0.15">
      <c r="A4279" s="2">
        <f>HYPERLINK("https://open-school.uspishnemisto.com.ua/school/210449/", 210449)</f>
        <v>210449</v>
      </c>
      <c r="B4279" s="3" t="s">
        <v>22390</v>
      </c>
      <c r="C4279" s="3" t="s">
        <v>31</v>
      </c>
      <c r="D4279" s="3" t="s">
        <v>60</v>
      </c>
      <c r="E4279" s="4" t="s">
        <v>22</v>
      </c>
      <c r="F4279" s="4" t="s">
        <v>22391</v>
      </c>
      <c r="G4279" s="4" t="s">
        <v>22392</v>
      </c>
      <c r="H4279" s="3" t="s">
        <v>20074</v>
      </c>
      <c r="I4279" s="3" t="s">
        <v>22393</v>
      </c>
      <c r="J4279" s="3" t="s">
        <v>22394</v>
      </c>
      <c r="K4279" s="3" t="s">
        <v>22395</v>
      </c>
      <c r="L4279" s="3"/>
      <c r="M4279" s="4" t="s">
        <v>22396</v>
      </c>
      <c r="N4279" s="3" t="s">
        <v>37</v>
      </c>
      <c r="O4279" s="3" t="s">
        <v>52</v>
      </c>
      <c r="P4279" s="5">
        <v>4</v>
      </c>
      <c r="Q4279" s="5">
        <v>68</v>
      </c>
      <c r="R4279" s="5">
        <v>4</v>
      </c>
      <c r="S4279" s="5">
        <v>66</v>
      </c>
    </row>
    <row r="4280" spans="1:19" ht="28" x14ac:dyDescent="0.15">
      <c r="A4280" s="2">
        <f>HYPERLINK("https://open-school.uspishnemisto.com.ua/school/210450/", 210450)</f>
        <v>210450</v>
      </c>
      <c r="B4280" s="3" t="s">
        <v>22397</v>
      </c>
      <c r="C4280" s="3" t="s">
        <v>31</v>
      </c>
      <c r="D4280" s="3" t="s">
        <v>32</v>
      </c>
      <c r="E4280" s="4" t="s">
        <v>22</v>
      </c>
      <c r="F4280" s="4" t="s">
        <v>22391</v>
      </c>
      <c r="G4280" s="4" t="s">
        <v>22392</v>
      </c>
      <c r="H4280" s="3" t="s">
        <v>20074</v>
      </c>
      <c r="I4280" s="3" t="s">
        <v>22393</v>
      </c>
      <c r="J4280" s="3" t="s">
        <v>2384</v>
      </c>
      <c r="K4280" s="3" t="s">
        <v>22398</v>
      </c>
      <c r="L4280" s="3"/>
      <c r="M4280" s="4" t="s">
        <v>22399</v>
      </c>
      <c r="N4280" s="3" t="s">
        <v>37</v>
      </c>
      <c r="O4280" s="3" t="s">
        <v>52</v>
      </c>
      <c r="P4280" s="5">
        <v>20</v>
      </c>
      <c r="Q4280" s="5">
        <v>397</v>
      </c>
      <c r="R4280" s="5">
        <v>19</v>
      </c>
      <c r="S4280" s="5">
        <v>387</v>
      </c>
    </row>
    <row r="4281" spans="1:19" ht="28" x14ac:dyDescent="0.15">
      <c r="A4281" s="2">
        <f>HYPERLINK("https://open-school.uspishnemisto.com.ua/school/210451/", 210451)</f>
        <v>210451</v>
      </c>
      <c r="B4281" s="3" t="s">
        <v>22400</v>
      </c>
      <c r="C4281" s="3" t="s">
        <v>31</v>
      </c>
      <c r="D4281" s="3" t="s">
        <v>32</v>
      </c>
      <c r="E4281" s="4" t="s">
        <v>22</v>
      </c>
      <c r="F4281" s="4" t="s">
        <v>22401</v>
      </c>
      <c r="G4281" s="4" t="s">
        <v>22402</v>
      </c>
      <c r="H4281" s="3" t="s">
        <v>20074</v>
      </c>
      <c r="I4281" s="3" t="s">
        <v>22403</v>
      </c>
      <c r="J4281" s="3" t="s">
        <v>22404</v>
      </c>
      <c r="K4281" s="3" t="s">
        <v>22405</v>
      </c>
      <c r="L4281" s="3"/>
      <c r="M4281" s="4" t="s">
        <v>22406</v>
      </c>
      <c r="N4281" s="3" t="s">
        <v>37</v>
      </c>
      <c r="O4281" s="3" t="s">
        <v>2740</v>
      </c>
      <c r="P4281" s="5">
        <v>35</v>
      </c>
      <c r="Q4281" s="5">
        <v>634</v>
      </c>
      <c r="R4281" s="5">
        <v>33</v>
      </c>
      <c r="S4281" s="5">
        <v>617</v>
      </c>
    </row>
    <row r="4282" spans="1:19" ht="28" x14ac:dyDescent="0.15">
      <c r="A4282" s="2">
        <f>HYPERLINK("https://open-school.uspishnemisto.com.ua/school/210452/", 210452)</f>
        <v>210452</v>
      </c>
      <c r="B4282" s="3" t="s">
        <v>22407</v>
      </c>
      <c r="C4282" s="3" t="s">
        <v>31</v>
      </c>
      <c r="D4282" s="3" t="s">
        <v>32</v>
      </c>
      <c r="E4282" s="4" t="s">
        <v>22</v>
      </c>
      <c r="F4282" s="4" t="s">
        <v>22408</v>
      </c>
      <c r="G4282" s="4" t="s">
        <v>22409</v>
      </c>
      <c r="H4282" s="3" t="s">
        <v>20074</v>
      </c>
      <c r="I4282" s="3" t="s">
        <v>4430</v>
      </c>
      <c r="J4282" s="3" t="s">
        <v>2873</v>
      </c>
      <c r="K4282" s="3" t="s">
        <v>22410</v>
      </c>
      <c r="L4282" s="3"/>
      <c r="M4282" s="4" t="s">
        <v>22411</v>
      </c>
      <c r="N4282" s="3" t="s">
        <v>37</v>
      </c>
      <c r="O4282" s="3" t="s">
        <v>52</v>
      </c>
      <c r="P4282" s="5">
        <v>15</v>
      </c>
      <c r="Q4282" s="5">
        <v>247</v>
      </c>
      <c r="R4282" s="5">
        <v>15</v>
      </c>
      <c r="S4282" s="5">
        <v>250</v>
      </c>
    </row>
    <row r="4283" spans="1:19" ht="28" x14ac:dyDescent="0.15">
      <c r="A4283" s="2">
        <f>HYPERLINK("https://open-school.uspishnemisto.com.ua/school/210453/", 210453)</f>
        <v>210453</v>
      </c>
      <c r="B4283" s="3" t="s">
        <v>22412</v>
      </c>
      <c r="C4283" s="3" t="s">
        <v>31</v>
      </c>
      <c r="D4283" s="3" t="s">
        <v>32</v>
      </c>
      <c r="E4283" s="4" t="s">
        <v>22</v>
      </c>
      <c r="F4283" s="4" t="s">
        <v>22413</v>
      </c>
      <c r="G4283" s="4" t="s">
        <v>22414</v>
      </c>
      <c r="H4283" s="3" t="s">
        <v>20074</v>
      </c>
      <c r="I4283" s="3" t="s">
        <v>22415</v>
      </c>
      <c r="J4283" s="3" t="s">
        <v>22416</v>
      </c>
      <c r="K4283" s="3" t="s">
        <v>22417</v>
      </c>
      <c r="L4283" s="3" t="s">
        <v>22418</v>
      </c>
      <c r="M4283" s="4" t="s">
        <v>22419</v>
      </c>
      <c r="N4283" s="3" t="s">
        <v>37</v>
      </c>
      <c r="O4283" s="3" t="s">
        <v>46</v>
      </c>
      <c r="P4283" s="5">
        <v>13</v>
      </c>
      <c r="Q4283" s="5">
        <v>235</v>
      </c>
      <c r="R4283" s="5">
        <v>12</v>
      </c>
      <c r="S4283" s="5">
        <v>229</v>
      </c>
    </row>
    <row r="4284" spans="1:19" ht="28" x14ac:dyDescent="0.15">
      <c r="A4284" s="2">
        <f>HYPERLINK("https://open-school.uspishnemisto.com.ua/school/210454/", 210454)</f>
        <v>210454</v>
      </c>
      <c r="B4284" s="3" t="s">
        <v>22420</v>
      </c>
      <c r="C4284" s="3" t="s">
        <v>31</v>
      </c>
      <c r="D4284" s="3" t="s">
        <v>32</v>
      </c>
      <c r="E4284" s="4" t="s">
        <v>22</v>
      </c>
      <c r="F4284" s="4" t="s">
        <v>22421</v>
      </c>
      <c r="G4284" s="4" t="s">
        <v>22422</v>
      </c>
      <c r="H4284" s="3" t="s">
        <v>20074</v>
      </c>
      <c r="I4284" s="3" t="s">
        <v>22423</v>
      </c>
      <c r="J4284" s="3" t="s">
        <v>22424</v>
      </c>
      <c r="K4284" s="3" t="s">
        <v>22425</v>
      </c>
      <c r="L4284" s="3"/>
      <c r="M4284" s="4" t="s">
        <v>22426</v>
      </c>
      <c r="N4284" s="3" t="s">
        <v>37</v>
      </c>
      <c r="O4284" s="3" t="s">
        <v>52</v>
      </c>
      <c r="P4284" s="5">
        <v>30</v>
      </c>
      <c r="Q4284" s="5">
        <v>452</v>
      </c>
      <c r="R4284" s="5">
        <v>29</v>
      </c>
      <c r="S4284" s="5">
        <v>445</v>
      </c>
    </row>
    <row r="4285" spans="1:19" ht="28" x14ac:dyDescent="0.15">
      <c r="A4285" s="2">
        <f>HYPERLINK("https://open-school.uspishnemisto.com.ua/school/210455/", 210455)</f>
        <v>210455</v>
      </c>
      <c r="B4285" s="3" t="s">
        <v>22427</v>
      </c>
      <c r="C4285" s="3" t="s">
        <v>31</v>
      </c>
      <c r="D4285" s="3" t="s">
        <v>32</v>
      </c>
      <c r="E4285" s="4" t="s">
        <v>22</v>
      </c>
      <c r="F4285" s="4" t="s">
        <v>22428</v>
      </c>
      <c r="G4285" s="4" t="s">
        <v>22429</v>
      </c>
      <c r="H4285" s="3" t="s">
        <v>20074</v>
      </c>
      <c r="I4285" s="3" t="s">
        <v>22430</v>
      </c>
      <c r="J4285" s="3" t="s">
        <v>22431</v>
      </c>
      <c r="K4285" s="3"/>
      <c r="L4285" s="3"/>
      <c r="M4285" s="4" t="s">
        <v>22432</v>
      </c>
      <c r="N4285" s="3" t="s">
        <v>37</v>
      </c>
      <c r="O4285" s="3" t="s">
        <v>46</v>
      </c>
      <c r="P4285" s="5">
        <v>11</v>
      </c>
      <c r="Q4285" s="5">
        <v>161</v>
      </c>
      <c r="R4285" s="5">
        <v>11</v>
      </c>
      <c r="S4285" s="5">
        <v>156</v>
      </c>
    </row>
    <row r="4286" spans="1:19" ht="28" x14ac:dyDescent="0.15">
      <c r="A4286" s="2">
        <f>HYPERLINK("https://open-school.uspishnemisto.com.ua/school/210456/", 210456)</f>
        <v>210456</v>
      </c>
      <c r="B4286" s="3" t="s">
        <v>22433</v>
      </c>
      <c r="C4286" s="3" t="s">
        <v>31</v>
      </c>
      <c r="D4286" s="3" t="s">
        <v>32</v>
      </c>
      <c r="E4286" s="4" t="s">
        <v>22</v>
      </c>
      <c r="F4286" s="4" t="s">
        <v>22434</v>
      </c>
      <c r="G4286" s="4" t="s">
        <v>22435</v>
      </c>
      <c r="H4286" s="3" t="s">
        <v>20074</v>
      </c>
      <c r="I4286" s="3" t="s">
        <v>22436</v>
      </c>
      <c r="J4286" s="3" t="s">
        <v>22437</v>
      </c>
      <c r="K4286" s="3" t="s">
        <v>22438</v>
      </c>
      <c r="L4286" s="3"/>
      <c r="M4286" s="4" t="s">
        <v>22439</v>
      </c>
      <c r="N4286" s="3" t="s">
        <v>22346</v>
      </c>
      <c r="O4286" s="3" t="s">
        <v>2740</v>
      </c>
      <c r="P4286" s="5">
        <v>21</v>
      </c>
      <c r="Q4286" s="5">
        <v>448</v>
      </c>
      <c r="R4286" s="5">
        <v>21</v>
      </c>
      <c r="S4286" s="5">
        <v>457</v>
      </c>
    </row>
    <row r="4287" spans="1:19" ht="28" x14ac:dyDescent="0.15">
      <c r="A4287" s="2">
        <f>HYPERLINK("https://open-school.uspishnemisto.com.ua/school/210457/", 210457)</f>
        <v>210457</v>
      </c>
      <c r="B4287" s="3" t="s">
        <v>22440</v>
      </c>
      <c r="C4287" s="3" t="s">
        <v>31</v>
      </c>
      <c r="D4287" s="3" t="s">
        <v>175</v>
      </c>
      <c r="E4287" s="4" t="s">
        <v>22</v>
      </c>
      <c r="F4287" s="4" t="s">
        <v>22441</v>
      </c>
      <c r="G4287" s="4" t="s">
        <v>22442</v>
      </c>
      <c r="H4287" s="3" t="s">
        <v>20074</v>
      </c>
      <c r="I4287" s="3" t="s">
        <v>22443</v>
      </c>
      <c r="J4287" s="3" t="s">
        <v>22444</v>
      </c>
      <c r="K4287" s="3" t="s">
        <v>22445</v>
      </c>
      <c r="L4287" s="3"/>
      <c r="M4287" s="4" t="s">
        <v>22446</v>
      </c>
      <c r="N4287" s="3" t="s">
        <v>22346</v>
      </c>
      <c r="O4287" s="3" t="s">
        <v>2740</v>
      </c>
      <c r="P4287" s="5">
        <v>9</v>
      </c>
      <c r="Q4287" s="5">
        <v>102</v>
      </c>
      <c r="R4287" s="5">
        <v>9</v>
      </c>
      <c r="S4287" s="5">
        <v>100</v>
      </c>
    </row>
    <row r="4288" spans="1:19" ht="28" x14ac:dyDescent="0.15">
      <c r="A4288" s="2">
        <f>HYPERLINK("https://open-school.uspishnemisto.com.ua/school/210458/", 210458)</f>
        <v>210458</v>
      </c>
      <c r="B4288" s="3" t="s">
        <v>22447</v>
      </c>
      <c r="C4288" s="3" t="s">
        <v>31</v>
      </c>
      <c r="D4288" s="3" t="s">
        <v>32</v>
      </c>
      <c r="E4288" s="4" t="s">
        <v>22</v>
      </c>
      <c r="F4288" s="4" t="s">
        <v>22448</v>
      </c>
      <c r="G4288" s="4" t="s">
        <v>22449</v>
      </c>
      <c r="H4288" s="3" t="s">
        <v>20074</v>
      </c>
      <c r="I4288" s="3" t="s">
        <v>22450</v>
      </c>
      <c r="J4288" s="3" t="s">
        <v>22451</v>
      </c>
      <c r="K4288" s="3" t="s">
        <v>22452</v>
      </c>
      <c r="L4288" s="3" t="s">
        <v>22453</v>
      </c>
      <c r="M4288" s="4" t="s">
        <v>22454</v>
      </c>
      <c r="N4288" s="3" t="s">
        <v>37</v>
      </c>
      <c r="O4288" s="3" t="s">
        <v>2740</v>
      </c>
      <c r="P4288" s="5">
        <v>21</v>
      </c>
      <c r="Q4288" s="5">
        <v>472</v>
      </c>
      <c r="R4288" s="5">
        <v>22</v>
      </c>
      <c r="S4288" s="5">
        <v>484</v>
      </c>
    </row>
    <row r="4289" spans="1:19" ht="28" x14ac:dyDescent="0.15">
      <c r="A4289" s="2">
        <f>HYPERLINK("https://open-school.uspishnemisto.com.ua/school/210459/", 210459)</f>
        <v>210459</v>
      </c>
      <c r="B4289" s="3" t="s">
        <v>22455</v>
      </c>
      <c r="C4289" s="3" t="s">
        <v>40</v>
      </c>
      <c r="D4289" s="3" t="s">
        <v>32</v>
      </c>
      <c r="E4289" s="4" t="s">
        <v>22</v>
      </c>
      <c r="F4289" s="4" t="s">
        <v>22456</v>
      </c>
      <c r="G4289" s="4" t="s">
        <v>22457</v>
      </c>
      <c r="H4289" s="3" t="s">
        <v>20074</v>
      </c>
      <c r="I4289" s="3" t="s">
        <v>22458</v>
      </c>
      <c r="J4289" s="3" t="s">
        <v>22459</v>
      </c>
      <c r="K4289" s="3" t="s">
        <v>22460</v>
      </c>
      <c r="L4289" s="3"/>
      <c r="M4289" s="4"/>
      <c r="N4289" s="3" t="s">
        <v>37</v>
      </c>
      <c r="O4289" s="3" t="s">
        <v>46</v>
      </c>
      <c r="P4289" s="5">
        <v>20</v>
      </c>
      <c r="Q4289" s="5">
        <v>431</v>
      </c>
      <c r="R4289" s="5">
        <v>20</v>
      </c>
      <c r="S4289" s="5">
        <v>404</v>
      </c>
    </row>
    <row r="4290" spans="1:19" ht="28" x14ac:dyDescent="0.15">
      <c r="A4290" s="2">
        <f>HYPERLINK("https://open-school.uspishnemisto.com.ua/school/210460/", 210460)</f>
        <v>210460</v>
      </c>
      <c r="B4290" s="3" t="s">
        <v>22461</v>
      </c>
      <c r="C4290" s="3" t="s">
        <v>31</v>
      </c>
      <c r="D4290" s="3" t="s">
        <v>60</v>
      </c>
      <c r="E4290" s="4" t="s">
        <v>22</v>
      </c>
      <c r="F4290" s="4" t="s">
        <v>22456</v>
      </c>
      <c r="G4290" s="4" t="s">
        <v>22457</v>
      </c>
      <c r="H4290" s="3" t="s">
        <v>20074</v>
      </c>
      <c r="I4290" s="3" t="s">
        <v>22458</v>
      </c>
      <c r="J4290" s="3" t="s">
        <v>22462</v>
      </c>
      <c r="K4290" s="3" t="s">
        <v>22463</v>
      </c>
      <c r="L4290" s="3"/>
      <c r="M4290" s="4"/>
      <c r="N4290" s="3" t="s">
        <v>37</v>
      </c>
      <c r="O4290" s="3" t="s">
        <v>52</v>
      </c>
      <c r="P4290" s="5">
        <v>4</v>
      </c>
      <c r="Q4290" s="5">
        <v>30</v>
      </c>
      <c r="R4290" s="5">
        <v>4</v>
      </c>
      <c r="S4290" s="5">
        <v>30</v>
      </c>
    </row>
    <row r="4291" spans="1:19" ht="28" x14ac:dyDescent="0.15">
      <c r="A4291" s="2">
        <f>HYPERLINK("https://open-school.uspishnemisto.com.ua/school/210461/", 210461)</f>
        <v>210461</v>
      </c>
      <c r="B4291" s="3" t="s">
        <v>22464</v>
      </c>
      <c r="C4291" s="3" t="s">
        <v>31</v>
      </c>
      <c r="D4291" s="3" t="s">
        <v>175</v>
      </c>
      <c r="E4291" s="4" t="s">
        <v>22</v>
      </c>
      <c r="F4291" s="4" t="s">
        <v>22456</v>
      </c>
      <c r="G4291" s="4" t="s">
        <v>22457</v>
      </c>
      <c r="H4291" s="3" t="s">
        <v>20074</v>
      </c>
      <c r="I4291" s="3" t="s">
        <v>22458</v>
      </c>
      <c r="J4291" s="3" t="s">
        <v>22465</v>
      </c>
      <c r="K4291" s="3" t="s">
        <v>22466</v>
      </c>
      <c r="L4291" s="3" t="s">
        <v>22467</v>
      </c>
      <c r="M4291" s="4"/>
      <c r="N4291" s="3" t="s">
        <v>37</v>
      </c>
      <c r="O4291" s="3" t="s">
        <v>52</v>
      </c>
      <c r="P4291" s="5">
        <v>9</v>
      </c>
      <c r="Q4291" s="5">
        <v>124</v>
      </c>
      <c r="R4291" s="5">
        <v>9</v>
      </c>
      <c r="S4291" s="5">
        <v>126</v>
      </c>
    </row>
    <row r="4292" spans="1:19" ht="42" x14ac:dyDescent="0.15">
      <c r="A4292" s="2">
        <f>HYPERLINK("https://open-school.uspishnemisto.com.ua/school/210462/", 210462)</f>
        <v>210462</v>
      </c>
      <c r="B4292" s="3" t="s">
        <v>22468</v>
      </c>
      <c r="C4292" s="3" t="s">
        <v>31</v>
      </c>
      <c r="D4292" s="3" t="s">
        <v>32</v>
      </c>
      <c r="E4292" s="4" t="s">
        <v>22</v>
      </c>
      <c r="F4292" s="4" t="s">
        <v>22456</v>
      </c>
      <c r="G4292" s="4" t="s">
        <v>22457</v>
      </c>
      <c r="H4292" s="3" t="s">
        <v>20074</v>
      </c>
      <c r="I4292" s="3" t="s">
        <v>22458</v>
      </c>
      <c r="J4292" s="3" t="s">
        <v>22469</v>
      </c>
      <c r="K4292" s="3" t="s">
        <v>22470</v>
      </c>
      <c r="L4292" s="3" t="s">
        <v>22471</v>
      </c>
      <c r="M4292" s="4"/>
      <c r="N4292" s="3" t="s">
        <v>37</v>
      </c>
      <c r="O4292" s="3" t="s">
        <v>22472</v>
      </c>
      <c r="P4292" s="5">
        <v>27</v>
      </c>
      <c r="Q4292" s="5">
        <v>613</v>
      </c>
      <c r="R4292" s="5">
        <v>25</v>
      </c>
      <c r="S4292" s="5">
        <v>570</v>
      </c>
    </row>
    <row r="4293" spans="1:19" ht="28" x14ac:dyDescent="0.15">
      <c r="A4293" s="2">
        <f>HYPERLINK("https://open-school.uspishnemisto.com.ua/school/210463/", 210463)</f>
        <v>210463</v>
      </c>
      <c r="B4293" s="3" t="s">
        <v>22473</v>
      </c>
      <c r="C4293" s="3" t="s">
        <v>31</v>
      </c>
      <c r="D4293" s="3" t="s">
        <v>32</v>
      </c>
      <c r="E4293" s="4" t="s">
        <v>22</v>
      </c>
      <c r="F4293" s="4"/>
      <c r="G4293" s="4" t="s">
        <v>22457</v>
      </c>
      <c r="H4293" s="3" t="s">
        <v>20074</v>
      </c>
      <c r="I4293" s="3" t="s">
        <v>22458</v>
      </c>
      <c r="J4293" s="3" t="s">
        <v>14683</v>
      </c>
      <c r="K4293" s="3" t="s">
        <v>22474</v>
      </c>
      <c r="L4293" s="3"/>
      <c r="M4293" s="4"/>
      <c r="N4293" s="3" t="s">
        <v>37</v>
      </c>
      <c r="O4293" s="3" t="s">
        <v>52</v>
      </c>
      <c r="P4293" s="5">
        <v>20</v>
      </c>
      <c r="Q4293" s="5">
        <v>420</v>
      </c>
      <c r="R4293" s="5">
        <v>20</v>
      </c>
      <c r="S4293" s="5">
        <v>405</v>
      </c>
    </row>
    <row r="4294" spans="1:19" ht="28" x14ac:dyDescent="0.15">
      <c r="A4294" s="2">
        <f>HYPERLINK("https://open-school.uspishnemisto.com.ua/school/210464/", 210464)</f>
        <v>210464</v>
      </c>
      <c r="B4294" s="3" t="s">
        <v>22475</v>
      </c>
      <c r="C4294" s="3" t="s">
        <v>31</v>
      </c>
      <c r="D4294" s="3" t="s">
        <v>32</v>
      </c>
      <c r="E4294" s="4" t="s">
        <v>22</v>
      </c>
      <c r="F4294" s="4" t="s">
        <v>22456</v>
      </c>
      <c r="G4294" s="4" t="s">
        <v>22457</v>
      </c>
      <c r="H4294" s="3" t="s">
        <v>20074</v>
      </c>
      <c r="I4294" s="3" t="s">
        <v>22458</v>
      </c>
      <c r="J4294" s="3" t="s">
        <v>22476</v>
      </c>
      <c r="K4294" s="3" t="s">
        <v>22477</v>
      </c>
      <c r="L4294" s="3" t="s">
        <v>22478</v>
      </c>
      <c r="M4294" s="4"/>
      <c r="N4294" s="3" t="s">
        <v>37</v>
      </c>
      <c r="O4294" s="3" t="s">
        <v>123</v>
      </c>
      <c r="P4294" s="5">
        <v>37</v>
      </c>
      <c r="Q4294" s="5">
        <v>872</v>
      </c>
      <c r="R4294" s="5">
        <v>35</v>
      </c>
      <c r="S4294" s="5">
        <v>790</v>
      </c>
    </row>
    <row r="4295" spans="1:19" ht="28" x14ac:dyDescent="0.15">
      <c r="A4295" s="2">
        <f>HYPERLINK("https://open-school.uspishnemisto.com.ua/school/210465/", 210465)</f>
        <v>210465</v>
      </c>
      <c r="B4295" s="3" t="s">
        <v>22479</v>
      </c>
      <c r="C4295" s="3" t="s">
        <v>31</v>
      </c>
      <c r="D4295" s="3" t="s">
        <v>60</v>
      </c>
      <c r="E4295" s="4" t="s">
        <v>22</v>
      </c>
      <c r="F4295" s="4" t="s">
        <v>22456</v>
      </c>
      <c r="G4295" s="4" t="s">
        <v>22457</v>
      </c>
      <c r="H4295" s="3" t="s">
        <v>20074</v>
      </c>
      <c r="I4295" s="3" t="s">
        <v>22458</v>
      </c>
      <c r="J4295" s="3" t="s">
        <v>22480</v>
      </c>
      <c r="K4295" s="3"/>
      <c r="L4295" s="3"/>
      <c r="M4295" s="4"/>
      <c r="N4295" s="3" t="s">
        <v>37</v>
      </c>
      <c r="O4295" s="3" t="s">
        <v>52</v>
      </c>
      <c r="P4295" s="5">
        <v>8</v>
      </c>
      <c r="Q4295" s="5">
        <v>210</v>
      </c>
      <c r="R4295" s="5">
        <v>8</v>
      </c>
      <c r="S4295" s="5">
        <v>218</v>
      </c>
    </row>
    <row r="4296" spans="1:19" ht="28" x14ac:dyDescent="0.15">
      <c r="A4296" s="2">
        <f>HYPERLINK("https://open-school.uspishnemisto.com.ua/school/210466/", 210466)</f>
        <v>210466</v>
      </c>
      <c r="B4296" s="3" t="s">
        <v>22481</v>
      </c>
      <c r="C4296" s="3" t="s">
        <v>54</v>
      </c>
      <c r="D4296" s="3" t="s">
        <v>60</v>
      </c>
      <c r="E4296" s="4" t="s">
        <v>22</v>
      </c>
      <c r="F4296" s="4" t="s">
        <v>22456</v>
      </c>
      <c r="G4296" s="4" t="s">
        <v>22457</v>
      </c>
      <c r="H4296" s="3" t="s">
        <v>20074</v>
      </c>
      <c r="I4296" s="3" t="s">
        <v>22458</v>
      </c>
      <c r="J4296" s="3" t="s">
        <v>22482</v>
      </c>
      <c r="K4296" s="3" t="s">
        <v>22483</v>
      </c>
      <c r="L4296" s="3"/>
      <c r="M4296" s="4"/>
      <c r="N4296" s="3" t="s">
        <v>18409</v>
      </c>
      <c r="O4296" s="3" t="s">
        <v>52</v>
      </c>
      <c r="P4296" s="5">
        <v>4</v>
      </c>
      <c r="Q4296" s="5">
        <v>58</v>
      </c>
      <c r="R4296" s="5">
        <v>4</v>
      </c>
      <c r="S4296" s="5">
        <v>55</v>
      </c>
    </row>
    <row r="4297" spans="1:19" ht="28" x14ac:dyDescent="0.15">
      <c r="A4297" s="2">
        <f>HYPERLINK("https://open-school.uspishnemisto.com.ua/school/210467/", 210467)</f>
        <v>210467</v>
      </c>
      <c r="B4297" s="3" t="s">
        <v>22484</v>
      </c>
      <c r="C4297" s="3" t="s">
        <v>54</v>
      </c>
      <c r="D4297" s="3" t="s">
        <v>60</v>
      </c>
      <c r="E4297" s="4" t="s">
        <v>22</v>
      </c>
      <c r="F4297" s="4" t="s">
        <v>22456</v>
      </c>
      <c r="G4297" s="4" t="s">
        <v>22457</v>
      </c>
      <c r="H4297" s="3" t="s">
        <v>20074</v>
      </c>
      <c r="I4297" s="3" t="s">
        <v>22458</v>
      </c>
      <c r="J4297" s="3" t="s">
        <v>22485</v>
      </c>
      <c r="K4297" s="3" t="s">
        <v>22486</v>
      </c>
      <c r="L4297" s="3"/>
      <c r="M4297" s="4"/>
      <c r="N4297" s="3" t="s">
        <v>37</v>
      </c>
      <c r="O4297" s="3" t="s">
        <v>52</v>
      </c>
      <c r="P4297" s="5">
        <v>4</v>
      </c>
      <c r="Q4297" s="5">
        <v>82</v>
      </c>
      <c r="R4297" s="5">
        <v>4</v>
      </c>
      <c r="S4297" s="5">
        <v>87</v>
      </c>
    </row>
    <row r="4298" spans="1:19" ht="28" x14ac:dyDescent="0.15">
      <c r="A4298" s="2">
        <f>HYPERLINK("https://open-school.uspishnemisto.com.ua/school/210468/", 210468)</f>
        <v>210468</v>
      </c>
      <c r="B4298" s="3" t="s">
        <v>22487</v>
      </c>
      <c r="C4298" s="3" t="s">
        <v>31</v>
      </c>
      <c r="D4298" s="3" t="s">
        <v>32</v>
      </c>
      <c r="E4298" s="4" t="s">
        <v>22</v>
      </c>
      <c r="F4298" s="4" t="s">
        <v>22488</v>
      </c>
      <c r="G4298" s="4" t="s">
        <v>22489</v>
      </c>
      <c r="H4298" s="3" t="s">
        <v>20074</v>
      </c>
      <c r="I4298" s="3" t="s">
        <v>17481</v>
      </c>
      <c r="J4298" s="3" t="s">
        <v>22490</v>
      </c>
      <c r="K4298" s="3" t="s">
        <v>22491</v>
      </c>
      <c r="L4298" s="3" t="s">
        <v>22492</v>
      </c>
      <c r="M4298" s="4"/>
      <c r="N4298" s="3" t="s">
        <v>37</v>
      </c>
      <c r="O4298" s="3" t="s">
        <v>2740</v>
      </c>
      <c r="P4298" s="5">
        <v>20</v>
      </c>
      <c r="Q4298" s="5">
        <v>354</v>
      </c>
      <c r="R4298" s="5">
        <v>19</v>
      </c>
      <c r="S4298" s="5">
        <v>348</v>
      </c>
    </row>
    <row r="4299" spans="1:19" ht="28" x14ac:dyDescent="0.15">
      <c r="A4299" s="2">
        <f>HYPERLINK("https://open-school.uspishnemisto.com.ua/school/210469/", 210469)</f>
        <v>210469</v>
      </c>
      <c r="B4299" s="3" t="s">
        <v>22493</v>
      </c>
      <c r="C4299" s="3" t="s">
        <v>31</v>
      </c>
      <c r="D4299" s="3" t="s">
        <v>175</v>
      </c>
      <c r="E4299" s="4" t="s">
        <v>22</v>
      </c>
      <c r="F4299" s="4" t="s">
        <v>22494</v>
      </c>
      <c r="G4299" s="4" t="s">
        <v>22495</v>
      </c>
      <c r="H4299" s="3" t="s">
        <v>20074</v>
      </c>
      <c r="I4299" s="3" t="s">
        <v>22496</v>
      </c>
      <c r="J4299" s="3" t="s">
        <v>21210</v>
      </c>
      <c r="K4299" s="3" t="s">
        <v>22497</v>
      </c>
      <c r="L4299" s="3"/>
      <c r="M4299" s="4"/>
      <c r="N4299" s="3" t="s">
        <v>37</v>
      </c>
      <c r="O4299" s="3" t="s">
        <v>46</v>
      </c>
      <c r="P4299" s="5">
        <v>8</v>
      </c>
      <c r="Q4299" s="5">
        <v>53</v>
      </c>
      <c r="R4299" s="5">
        <v>7</v>
      </c>
      <c r="S4299" s="5">
        <v>49</v>
      </c>
    </row>
    <row r="4300" spans="1:19" ht="28" x14ac:dyDescent="0.15">
      <c r="A4300" s="2">
        <f>HYPERLINK("https://open-school.uspishnemisto.com.ua/school/210470/", 210470)</f>
        <v>210470</v>
      </c>
      <c r="B4300" s="3" t="s">
        <v>22498</v>
      </c>
      <c r="C4300" s="3" t="s">
        <v>31</v>
      </c>
      <c r="D4300" s="3" t="s">
        <v>175</v>
      </c>
      <c r="E4300" s="4" t="s">
        <v>22</v>
      </c>
      <c r="F4300" s="4" t="s">
        <v>22499</v>
      </c>
      <c r="G4300" s="4" t="s">
        <v>22500</v>
      </c>
      <c r="H4300" s="3" t="s">
        <v>20074</v>
      </c>
      <c r="I4300" s="3" t="s">
        <v>22501</v>
      </c>
      <c r="J4300" s="3" t="s">
        <v>22502</v>
      </c>
      <c r="K4300" s="3" t="s">
        <v>22503</v>
      </c>
      <c r="L4300" s="3"/>
      <c r="M4300" s="4"/>
      <c r="N4300" s="3" t="s">
        <v>37</v>
      </c>
      <c r="O4300" s="3" t="s">
        <v>52</v>
      </c>
      <c r="P4300" s="5">
        <v>9</v>
      </c>
      <c r="Q4300" s="5">
        <v>143</v>
      </c>
      <c r="R4300" s="5">
        <v>9</v>
      </c>
      <c r="S4300" s="5">
        <v>145</v>
      </c>
    </row>
    <row r="4301" spans="1:19" ht="28" x14ac:dyDescent="0.15">
      <c r="A4301" s="2">
        <f>HYPERLINK("https://open-school.uspishnemisto.com.ua/school/210471/", 210471)</f>
        <v>210471</v>
      </c>
      <c r="B4301" s="3" t="s">
        <v>22504</v>
      </c>
      <c r="C4301" s="3" t="s">
        <v>31</v>
      </c>
      <c r="D4301" s="3" t="s">
        <v>32</v>
      </c>
      <c r="E4301" s="4" t="s">
        <v>22</v>
      </c>
      <c r="F4301" s="4" t="s">
        <v>22505</v>
      </c>
      <c r="G4301" s="4" t="s">
        <v>22506</v>
      </c>
      <c r="H4301" s="3" t="s">
        <v>20074</v>
      </c>
      <c r="I4301" s="3" t="s">
        <v>22507</v>
      </c>
      <c r="J4301" s="3" t="s">
        <v>22508</v>
      </c>
      <c r="K4301" s="3" t="s">
        <v>22509</v>
      </c>
      <c r="L4301" s="3"/>
      <c r="M4301" s="4"/>
      <c r="N4301" s="3" t="s">
        <v>37</v>
      </c>
      <c r="O4301" s="3" t="s">
        <v>46</v>
      </c>
      <c r="P4301" s="5">
        <v>11</v>
      </c>
      <c r="Q4301" s="5">
        <v>224</v>
      </c>
      <c r="R4301" s="5">
        <v>11</v>
      </c>
      <c r="S4301" s="5">
        <v>233</v>
      </c>
    </row>
    <row r="4302" spans="1:19" ht="28" x14ac:dyDescent="0.15">
      <c r="A4302" s="2">
        <f>HYPERLINK("https://open-school.uspishnemisto.com.ua/school/210490/", 210490)</f>
        <v>210490</v>
      </c>
      <c r="B4302" s="3" t="s">
        <v>22510</v>
      </c>
      <c r="C4302" s="3" t="s">
        <v>31</v>
      </c>
      <c r="D4302" s="3" t="s">
        <v>60</v>
      </c>
      <c r="E4302" s="4" t="s">
        <v>22</v>
      </c>
      <c r="F4302" s="4" t="s">
        <v>22505</v>
      </c>
      <c r="G4302" s="4" t="s">
        <v>22511</v>
      </c>
      <c r="H4302" s="3" t="s">
        <v>20074</v>
      </c>
      <c r="I4302" s="3" t="s">
        <v>22512</v>
      </c>
      <c r="J4302" s="3" t="s">
        <v>22513</v>
      </c>
      <c r="K4302" s="3"/>
      <c r="L4302" s="3"/>
      <c r="M4302" s="4"/>
      <c r="N4302" s="3" t="s">
        <v>37</v>
      </c>
      <c r="O4302" s="3" t="s">
        <v>52</v>
      </c>
      <c r="P4302" s="5">
        <v>4</v>
      </c>
      <c r="Q4302" s="5">
        <v>33</v>
      </c>
      <c r="R4302" s="5">
        <v>3</v>
      </c>
      <c r="S4302" s="5">
        <v>29</v>
      </c>
    </row>
    <row r="4303" spans="1:19" ht="42" x14ac:dyDescent="0.15">
      <c r="A4303" s="2">
        <f>HYPERLINK("https://open-school.uspishnemisto.com.ua/school/210472/", 210472)</f>
        <v>210472</v>
      </c>
      <c r="B4303" s="3" t="s">
        <v>22514</v>
      </c>
      <c r="C4303" s="3" t="s">
        <v>31</v>
      </c>
      <c r="D4303" s="3" t="s">
        <v>175</v>
      </c>
      <c r="E4303" s="4" t="s">
        <v>22</v>
      </c>
      <c r="F4303" s="4" t="s">
        <v>22515</v>
      </c>
      <c r="G4303" s="4" t="s">
        <v>22516</v>
      </c>
      <c r="H4303" s="3" t="s">
        <v>20074</v>
      </c>
      <c r="I4303" s="3" t="s">
        <v>22517</v>
      </c>
      <c r="J4303" s="3" t="s">
        <v>2253</v>
      </c>
      <c r="K4303" s="3" t="s">
        <v>22518</v>
      </c>
      <c r="L4303" s="3"/>
      <c r="M4303" s="4"/>
      <c r="N4303" s="3" t="s">
        <v>37</v>
      </c>
      <c r="O4303" s="3" t="s">
        <v>2740</v>
      </c>
      <c r="P4303" s="5">
        <v>15</v>
      </c>
      <c r="Q4303" s="5">
        <v>269</v>
      </c>
      <c r="R4303" s="5">
        <v>14</v>
      </c>
      <c r="S4303" s="5">
        <v>259</v>
      </c>
    </row>
    <row r="4304" spans="1:19" ht="28" x14ac:dyDescent="0.15">
      <c r="A4304" s="2">
        <f>HYPERLINK("https://open-school.uspishnemisto.com.ua/school/210473/", 210473)</f>
        <v>210473</v>
      </c>
      <c r="B4304" s="3" t="s">
        <v>22519</v>
      </c>
      <c r="C4304" s="3" t="s">
        <v>31</v>
      </c>
      <c r="D4304" s="3" t="s">
        <v>32</v>
      </c>
      <c r="E4304" s="4" t="s">
        <v>22</v>
      </c>
      <c r="F4304" s="4" t="s">
        <v>22520</v>
      </c>
      <c r="G4304" s="4" t="s">
        <v>22521</v>
      </c>
      <c r="H4304" s="3" t="s">
        <v>20074</v>
      </c>
      <c r="I4304" s="3" t="s">
        <v>22522</v>
      </c>
      <c r="J4304" s="3" t="s">
        <v>22523</v>
      </c>
      <c r="K4304" s="3" t="s">
        <v>22524</v>
      </c>
      <c r="L4304" s="3"/>
      <c r="M4304" s="4"/>
      <c r="N4304" s="3" t="s">
        <v>37</v>
      </c>
      <c r="O4304" s="3" t="s">
        <v>123</v>
      </c>
      <c r="P4304" s="5">
        <v>23</v>
      </c>
      <c r="Q4304" s="5">
        <v>506</v>
      </c>
      <c r="R4304" s="5">
        <v>23</v>
      </c>
      <c r="S4304" s="5">
        <v>510</v>
      </c>
    </row>
    <row r="4305" spans="1:19" ht="28" x14ac:dyDescent="0.15">
      <c r="A4305" s="2">
        <f>HYPERLINK("https://open-school.uspishnemisto.com.ua/school/210474/", 210474)</f>
        <v>210474</v>
      </c>
      <c r="B4305" s="3" t="s">
        <v>22525</v>
      </c>
      <c r="C4305" s="3" t="s">
        <v>31</v>
      </c>
      <c r="D4305" s="3" t="s">
        <v>32</v>
      </c>
      <c r="E4305" s="4" t="s">
        <v>22</v>
      </c>
      <c r="F4305" s="4" t="s">
        <v>22526</v>
      </c>
      <c r="G4305" s="4" t="s">
        <v>22527</v>
      </c>
      <c r="H4305" s="3" t="s">
        <v>20074</v>
      </c>
      <c r="I4305" s="3" t="s">
        <v>22528</v>
      </c>
      <c r="J4305" s="3" t="s">
        <v>22529</v>
      </c>
      <c r="K4305" s="3" t="s">
        <v>22530</v>
      </c>
      <c r="L4305" s="3"/>
      <c r="M4305" s="4"/>
      <c r="N4305" s="3" t="s">
        <v>37</v>
      </c>
      <c r="O4305" s="3" t="s">
        <v>46</v>
      </c>
      <c r="P4305" s="5">
        <v>19</v>
      </c>
      <c r="Q4305" s="5">
        <v>363</v>
      </c>
      <c r="R4305" s="5">
        <v>18</v>
      </c>
      <c r="S4305" s="5">
        <v>336</v>
      </c>
    </row>
    <row r="4306" spans="1:19" ht="28" x14ac:dyDescent="0.15">
      <c r="A4306" s="2">
        <f>HYPERLINK("https://open-school.uspishnemisto.com.ua/school/210475/", 210475)</f>
        <v>210475</v>
      </c>
      <c r="B4306" s="3" t="s">
        <v>22531</v>
      </c>
      <c r="C4306" s="3" t="s">
        <v>31</v>
      </c>
      <c r="D4306" s="3" t="s">
        <v>175</v>
      </c>
      <c r="E4306" s="4" t="s">
        <v>22</v>
      </c>
      <c r="F4306" s="4" t="s">
        <v>22532</v>
      </c>
      <c r="G4306" s="4" t="s">
        <v>22533</v>
      </c>
      <c r="H4306" s="3" t="s">
        <v>20074</v>
      </c>
      <c r="I4306" s="3" t="s">
        <v>22534</v>
      </c>
      <c r="J4306" s="3" t="s">
        <v>22535</v>
      </c>
      <c r="K4306" s="3" t="s">
        <v>22536</v>
      </c>
      <c r="L4306" s="3"/>
      <c r="M4306" s="4"/>
      <c r="N4306" s="3" t="s">
        <v>37</v>
      </c>
      <c r="O4306" s="3" t="s">
        <v>46</v>
      </c>
      <c r="P4306" s="5">
        <v>9</v>
      </c>
      <c r="Q4306" s="5">
        <v>140</v>
      </c>
      <c r="R4306" s="5">
        <v>9</v>
      </c>
      <c r="S4306" s="5">
        <v>137</v>
      </c>
    </row>
    <row r="4307" spans="1:19" ht="28" x14ac:dyDescent="0.15">
      <c r="A4307" s="2">
        <f>HYPERLINK("https://open-school.uspishnemisto.com.ua/school/210476/", 210476)</f>
        <v>210476</v>
      </c>
      <c r="B4307" s="3" t="s">
        <v>22537</v>
      </c>
      <c r="C4307" s="3" t="s">
        <v>31</v>
      </c>
      <c r="D4307" s="3" t="s">
        <v>32</v>
      </c>
      <c r="E4307" s="4" t="s">
        <v>22</v>
      </c>
      <c r="F4307" s="4" t="s">
        <v>22538</v>
      </c>
      <c r="G4307" s="4" t="s">
        <v>22539</v>
      </c>
      <c r="H4307" s="3" t="s">
        <v>20074</v>
      </c>
      <c r="I4307" s="3" t="s">
        <v>22540</v>
      </c>
      <c r="J4307" s="3" t="s">
        <v>22541</v>
      </c>
      <c r="K4307" s="3" t="s">
        <v>22542</v>
      </c>
      <c r="L4307" s="3"/>
      <c r="M4307" s="4"/>
      <c r="N4307" s="3" t="s">
        <v>37</v>
      </c>
      <c r="O4307" s="3" t="s">
        <v>46</v>
      </c>
      <c r="P4307" s="5">
        <v>16</v>
      </c>
      <c r="Q4307" s="5">
        <v>309</v>
      </c>
      <c r="R4307" s="5">
        <v>16</v>
      </c>
      <c r="S4307" s="5">
        <v>312</v>
      </c>
    </row>
    <row r="4308" spans="1:19" ht="28" x14ac:dyDescent="0.15">
      <c r="A4308" s="2">
        <f>HYPERLINK("https://open-school.uspishnemisto.com.ua/school/210478/", 210478)</f>
        <v>210478</v>
      </c>
      <c r="B4308" s="3" t="s">
        <v>22543</v>
      </c>
      <c r="C4308" s="3" t="s">
        <v>31</v>
      </c>
      <c r="D4308" s="3" t="s">
        <v>60</v>
      </c>
      <c r="E4308" s="4" t="s">
        <v>22</v>
      </c>
      <c r="F4308" s="4" t="s">
        <v>22538</v>
      </c>
      <c r="G4308" s="4" t="s">
        <v>22544</v>
      </c>
      <c r="H4308" s="3" t="s">
        <v>20074</v>
      </c>
      <c r="I4308" s="3" t="s">
        <v>22545</v>
      </c>
      <c r="J4308" s="3" t="s">
        <v>22546</v>
      </c>
      <c r="K4308" s="3" t="s">
        <v>22547</v>
      </c>
      <c r="L4308" s="3"/>
      <c r="M4308" s="4"/>
      <c r="N4308" s="3" t="s">
        <v>37</v>
      </c>
      <c r="O4308" s="3" t="s">
        <v>618</v>
      </c>
      <c r="P4308" s="5">
        <v>2</v>
      </c>
      <c r="Q4308" s="5">
        <v>20</v>
      </c>
      <c r="R4308" s="5">
        <v>2</v>
      </c>
      <c r="S4308" s="5">
        <v>20</v>
      </c>
    </row>
    <row r="4309" spans="1:19" ht="28" x14ac:dyDescent="0.15">
      <c r="A4309" s="2">
        <f>HYPERLINK("https://open-school.uspishnemisto.com.ua/school/210479/", 210479)</f>
        <v>210479</v>
      </c>
      <c r="B4309" s="3" t="s">
        <v>22548</v>
      </c>
      <c r="C4309" s="3" t="s">
        <v>54</v>
      </c>
      <c r="D4309" s="3" t="s">
        <v>60</v>
      </c>
      <c r="E4309" s="4" t="s">
        <v>22</v>
      </c>
      <c r="F4309" s="4" t="s">
        <v>22538</v>
      </c>
      <c r="G4309" s="4" t="s">
        <v>22549</v>
      </c>
      <c r="H4309" s="3" t="s">
        <v>20074</v>
      </c>
      <c r="I4309" s="3" t="s">
        <v>22550</v>
      </c>
      <c r="J4309" s="3" t="s">
        <v>22546</v>
      </c>
      <c r="K4309" s="3"/>
      <c r="L4309" s="3"/>
      <c r="M4309" s="4"/>
      <c r="N4309" s="3" t="s">
        <v>37</v>
      </c>
      <c r="O4309" s="3" t="s">
        <v>46</v>
      </c>
      <c r="P4309" s="5">
        <v>4</v>
      </c>
      <c r="Q4309" s="5">
        <v>39</v>
      </c>
      <c r="R4309" s="5">
        <v>4</v>
      </c>
      <c r="S4309" s="5">
        <v>39</v>
      </c>
    </row>
    <row r="4310" spans="1:19" ht="28" x14ac:dyDescent="0.15">
      <c r="A4310" s="2">
        <f>HYPERLINK("https://open-school.uspishnemisto.com.ua/school/210480/", 210480)</f>
        <v>210480</v>
      </c>
      <c r="B4310" s="3" t="s">
        <v>22551</v>
      </c>
      <c r="C4310" s="3" t="s">
        <v>31</v>
      </c>
      <c r="D4310" s="3" t="s">
        <v>60</v>
      </c>
      <c r="E4310" s="4" t="s">
        <v>22</v>
      </c>
      <c r="F4310" s="4" t="s">
        <v>22538</v>
      </c>
      <c r="G4310" s="4" t="s">
        <v>22552</v>
      </c>
      <c r="H4310" s="3" t="s">
        <v>20074</v>
      </c>
      <c r="I4310" s="3" t="s">
        <v>22553</v>
      </c>
      <c r="J4310" s="3" t="s">
        <v>22554</v>
      </c>
      <c r="K4310" s="3"/>
      <c r="L4310" s="3"/>
      <c r="M4310" s="4"/>
      <c r="N4310" s="3" t="s">
        <v>37</v>
      </c>
      <c r="O4310" s="3" t="s">
        <v>52</v>
      </c>
      <c r="P4310" s="5">
        <v>2</v>
      </c>
      <c r="Q4310" s="5">
        <v>17</v>
      </c>
      <c r="R4310" s="5">
        <v>3</v>
      </c>
      <c r="S4310" s="5">
        <v>19</v>
      </c>
    </row>
    <row r="4311" spans="1:19" ht="28" x14ac:dyDescent="0.15">
      <c r="A4311" s="2">
        <f>HYPERLINK("https://open-school.uspishnemisto.com.ua/school/210481/", 210481)</f>
        <v>210481</v>
      </c>
      <c r="B4311" s="3" t="s">
        <v>22555</v>
      </c>
      <c r="C4311" s="3" t="s">
        <v>31</v>
      </c>
      <c r="D4311" s="3" t="s">
        <v>32</v>
      </c>
      <c r="E4311" s="4" t="s">
        <v>22</v>
      </c>
      <c r="F4311" s="4" t="s">
        <v>22556</v>
      </c>
      <c r="G4311" s="4" t="s">
        <v>22557</v>
      </c>
      <c r="H4311" s="3" t="s">
        <v>20074</v>
      </c>
      <c r="I4311" s="3" t="s">
        <v>22558</v>
      </c>
      <c r="J4311" s="3" t="s">
        <v>22559</v>
      </c>
      <c r="K4311" s="3" t="s">
        <v>22560</v>
      </c>
      <c r="L4311" s="3"/>
      <c r="M4311" s="4"/>
      <c r="N4311" s="3" t="s">
        <v>37</v>
      </c>
      <c r="O4311" s="3" t="s">
        <v>46</v>
      </c>
      <c r="P4311" s="5">
        <v>20</v>
      </c>
      <c r="Q4311" s="5">
        <v>378</v>
      </c>
      <c r="R4311" s="5">
        <v>18</v>
      </c>
      <c r="S4311" s="5">
        <v>335</v>
      </c>
    </row>
    <row r="4312" spans="1:19" ht="42" x14ac:dyDescent="0.15">
      <c r="A4312" s="2">
        <f>HYPERLINK("https://open-school.uspishnemisto.com.ua/school/210483/", 210483)</f>
        <v>210483</v>
      </c>
      <c r="B4312" s="3" t="s">
        <v>22561</v>
      </c>
      <c r="C4312" s="3" t="s">
        <v>31</v>
      </c>
      <c r="D4312" s="3" t="s">
        <v>175</v>
      </c>
      <c r="E4312" s="4" t="s">
        <v>22</v>
      </c>
      <c r="F4312" s="4" t="s">
        <v>22562</v>
      </c>
      <c r="G4312" s="4" t="s">
        <v>22563</v>
      </c>
      <c r="H4312" s="3" t="s">
        <v>20074</v>
      </c>
      <c r="I4312" s="3" t="s">
        <v>22564</v>
      </c>
      <c r="J4312" s="3" t="s">
        <v>21547</v>
      </c>
      <c r="K4312" s="3"/>
      <c r="L4312" s="3"/>
      <c r="M4312" s="4"/>
      <c r="N4312" s="3" t="s">
        <v>37</v>
      </c>
      <c r="O4312" s="3" t="s">
        <v>46</v>
      </c>
      <c r="P4312" s="5">
        <v>9</v>
      </c>
      <c r="Q4312" s="5">
        <v>132</v>
      </c>
      <c r="R4312" s="5">
        <v>9</v>
      </c>
      <c r="S4312" s="5">
        <v>129</v>
      </c>
    </row>
    <row r="4313" spans="1:19" ht="42" x14ac:dyDescent="0.15">
      <c r="A4313" s="2">
        <f>HYPERLINK("https://open-school.uspishnemisto.com.ua/school/210484/", 210484)</f>
        <v>210484</v>
      </c>
      <c r="B4313" s="3" t="s">
        <v>22565</v>
      </c>
      <c r="C4313" s="3" t="s">
        <v>54</v>
      </c>
      <c r="D4313" s="3" t="s">
        <v>60</v>
      </c>
      <c r="E4313" s="4" t="s">
        <v>22</v>
      </c>
      <c r="F4313" s="4" t="s">
        <v>22562</v>
      </c>
      <c r="G4313" s="4" t="s">
        <v>22566</v>
      </c>
      <c r="H4313" s="3" t="s">
        <v>20074</v>
      </c>
      <c r="I4313" s="3" t="s">
        <v>22567</v>
      </c>
      <c r="J4313" s="3" t="s">
        <v>22568</v>
      </c>
      <c r="K4313" s="3" t="s">
        <v>22569</v>
      </c>
      <c r="L4313" s="3"/>
      <c r="M4313" s="4"/>
      <c r="N4313" s="3" t="s">
        <v>37</v>
      </c>
      <c r="O4313" s="3" t="s">
        <v>52</v>
      </c>
      <c r="P4313" s="5">
        <v>4</v>
      </c>
      <c r="Q4313" s="5">
        <v>28</v>
      </c>
      <c r="R4313" s="5">
        <v>4</v>
      </c>
      <c r="S4313" s="5">
        <v>24</v>
      </c>
    </row>
    <row r="4314" spans="1:19" ht="28" x14ac:dyDescent="0.15">
      <c r="A4314" s="2">
        <f>HYPERLINK("https://open-school.uspishnemisto.com.ua/school/210485/", 210485)</f>
        <v>210485</v>
      </c>
      <c r="B4314" s="3" t="s">
        <v>22570</v>
      </c>
      <c r="C4314" s="3" t="s">
        <v>31</v>
      </c>
      <c r="D4314" s="3" t="s">
        <v>175</v>
      </c>
      <c r="E4314" s="4" t="s">
        <v>22</v>
      </c>
      <c r="F4314" s="4" t="s">
        <v>22571</v>
      </c>
      <c r="G4314" s="4" t="s">
        <v>22572</v>
      </c>
      <c r="H4314" s="3" t="s">
        <v>20074</v>
      </c>
      <c r="I4314" s="3" t="s">
        <v>22573</v>
      </c>
      <c r="J4314" s="3" t="s">
        <v>20730</v>
      </c>
      <c r="K4314" s="3" t="s">
        <v>22574</v>
      </c>
      <c r="L4314" s="3"/>
      <c r="M4314" s="4"/>
      <c r="N4314" s="3" t="s">
        <v>37</v>
      </c>
      <c r="O4314" s="3" t="s">
        <v>52</v>
      </c>
      <c r="P4314" s="5">
        <v>8</v>
      </c>
      <c r="Q4314" s="5">
        <v>69</v>
      </c>
      <c r="R4314" s="5">
        <v>8</v>
      </c>
      <c r="S4314" s="5">
        <v>72</v>
      </c>
    </row>
    <row r="4315" spans="1:19" ht="28" x14ac:dyDescent="0.15">
      <c r="A4315" s="2">
        <f>HYPERLINK("https://open-school.uspishnemisto.com.ua/school/210486/", 210486)</f>
        <v>210486</v>
      </c>
      <c r="B4315" s="3" t="s">
        <v>22575</v>
      </c>
      <c r="C4315" s="3" t="s">
        <v>31</v>
      </c>
      <c r="D4315" s="3" t="s">
        <v>175</v>
      </c>
      <c r="E4315" s="4" t="s">
        <v>22</v>
      </c>
      <c r="F4315" s="4" t="s">
        <v>22538</v>
      </c>
      <c r="G4315" s="4" t="s">
        <v>22576</v>
      </c>
      <c r="H4315" s="3" t="s">
        <v>20074</v>
      </c>
      <c r="I4315" s="3" t="s">
        <v>22577</v>
      </c>
      <c r="J4315" s="3" t="s">
        <v>22578</v>
      </c>
      <c r="K4315" s="3" t="s">
        <v>22579</v>
      </c>
      <c r="L4315" s="3"/>
      <c r="M4315" s="4"/>
      <c r="N4315" s="3" t="s">
        <v>37</v>
      </c>
      <c r="O4315" s="3" t="s">
        <v>46</v>
      </c>
      <c r="P4315" s="5">
        <v>15</v>
      </c>
      <c r="Q4315" s="5">
        <v>252</v>
      </c>
      <c r="R4315" s="5">
        <v>14</v>
      </c>
      <c r="S4315" s="5">
        <v>251</v>
      </c>
    </row>
    <row r="4316" spans="1:19" ht="28" x14ac:dyDescent="0.15">
      <c r="A4316" s="2">
        <f>HYPERLINK("https://open-school.uspishnemisto.com.ua/school/210487/", 210487)</f>
        <v>210487</v>
      </c>
      <c r="B4316" s="3" t="s">
        <v>22580</v>
      </c>
      <c r="C4316" s="3" t="s">
        <v>31</v>
      </c>
      <c r="D4316" s="3" t="s">
        <v>60</v>
      </c>
      <c r="E4316" s="4" t="s">
        <v>22</v>
      </c>
      <c r="F4316" s="4" t="s">
        <v>22581</v>
      </c>
      <c r="G4316" s="4" t="s">
        <v>22582</v>
      </c>
      <c r="H4316" s="3" t="s">
        <v>20074</v>
      </c>
      <c r="I4316" s="3" t="s">
        <v>22583</v>
      </c>
      <c r="J4316" s="3" t="s">
        <v>22584</v>
      </c>
      <c r="K4316" s="3" t="s">
        <v>22585</v>
      </c>
      <c r="L4316" s="3"/>
      <c r="M4316" s="4"/>
      <c r="N4316" s="3" t="s">
        <v>37</v>
      </c>
      <c r="O4316" s="3" t="s">
        <v>52</v>
      </c>
      <c r="P4316" s="5">
        <v>2</v>
      </c>
      <c r="Q4316" s="5">
        <v>17</v>
      </c>
      <c r="R4316" s="5">
        <v>1</v>
      </c>
      <c r="S4316" s="5">
        <v>14</v>
      </c>
    </row>
    <row r="4317" spans="1:19" ht="28" x14ac:dyDescent="0.15">
      <c r="A4317" s="2">
        <f>HYPERLINK("https://open-school.uspishnemisto.com.ua/school/210488/", 210488)</f>
        <v>210488</v>
      </c>
      <c r="B4317" s="3" t="s">
        <v>22586</v>
      </c>
      <c r="C4317" s="3" t="s">
        <v>31</v>
      </c>
      <c r="D4317" s="3" t="s">
        <v>175</v>
      </c>
      <c r="E4317" s="4" t="s">
        <v>22</v>
      </c>
      <c r="F4317" s="4" t="s">
        <v>22587</v>
      </c>
      <c r="G4317" s="4" t="s">
        <v>22588</v>
      </c>
      <c r="H4317" s="3" t="s">
        <v>20074</v>
      </c>
      <c r="I4317" s="3" t="s">
        <v>22589</v>
      </c>
      <c r="J4317" s="3" t="s">
        <v>22590</v>
      </c>
      <c r="K4317" s="3" t="s">
        <v>22591</v>
      </c>
      <c r="L4317" s="3"/>
      <c r="M4317" s="4"/>
      <c r="N4317" s="3" t="s">
        <v>37</v>
      </c>
      <c r="O4317" s="3" t="s">
        <v>52</v>
      </c>
      <c r="P4317" s="5">
        <v>9</v>
      </c>
      <c r="Q4317" s="5">
        <v>140</v>
      </c>
      <c r="R4317" s="5">
        <v>9</v>
      </c>
      <c r="S4317" s="5">
        <v>137</v>
      </c>
    </row>
    <row r="4318" spans="1:19" ht="28" x14ac:dyDescent="0.15">
      <c r="A4318" s="2">
        <f>HYPERLINK("https://open-school.uspishnemisto.com.ua/school/210489/", 210489)</f>
        <v>210489</v>
      </c>
      <c r="B4318" s="3" t="s">
        <v>22592</v>
      </c>
      <c r="C4318" s="3" t="s">
        <v>31</v>
      </c>
      <c r="D4318" s="3" t="s">
        <v>175</v>
      </c>
      <c r="E4318" s="4" t="s">
        <v>22</v>
      </c>
      <c r="F4318" s="4" t="s">
        <v>22593</v>
      </c>
      <c r="G4318" s="4" t="s">
        <v>22594</v>
      </c>
      <c r="H4318" s="3" t="s">
        <v>20074</v>
      </c>
      <c r="I4318" s="3" t="s">
        <v>22595</v>
      </c>
      <c r="J4318" s="3" t="s">
        <v>22596</v>
      </c>
      <c r="K4318" s="3" t="s">
        <v>22597</v>
      </c>
      <c r="L4318" s="3"/>
      <c r="M4318" s="4"/>
      <c r="N4318" s="3" t="s">
        <v>37</v>
      </c>
      <c r="O4318" s="3" t="s">
        <v>52</v>
      </c>
      <c r="P4318" s="5">
        <v>9</v>
      </c>
      <c r="Q4318" s="5">
        <v>94</v>
      </c>
      <c r="R4318" s="5">
        <v>9</v>
      </c>
      <c r="S4318" s="5">
        <v>99</v>
      </c>
    </row>
    <row r="4319" spans="1:19" ht="28" x14ac:dyDescent="0.15">
      <c r="A4319" s="2">
        <f>HYPERLINK("https://open-school.uspishnemisto.com.ua/school/210477/", 210477)</f>
        <v>210477</v>
      </c>
      <c r="B4319" s="3" t="s">
        <v>22598</v>
      </c>
      <c r="C4319" s="3" t="s">
        <v>31</v>
      </c>
      <c r="D4319" s="3" t="s">
        <v>175</v>
      </c>
      <c r="E4319" s="4" t="s">
        <v>22</v>
      </c>
      <c r="F4319" s="4" t="s">
        <v>22599</v>
      </c>
      <c r="G4319" s="4" t="s">
        <v>22600</v>
      </c>
      <c r="H4319" s="3" t="s">
        <v>20074</v>
      </c>
      <c r="I4319" s="3" t="s">
        <v>22601</v>
      </c>
      <c r="J4319" s="3" t="s">
        <v>22602</v>
      </c>
      <c r="K4319" s="3" t="s">
        <v>22603</v>
      </c>
      <c r="L4319" s="3" t="s">
        <v>22604</v>
      </c>
      <c r="M4319" s="4"/>
      <c r="N4319" s="3" t="s">
        <v>37</v>
      </c>
      <c r="O4319" s="3" t="s">
        <v>46</v>
      </c>
      <c r="P4319" s="5">
        <v>9</v>
      </c>
      <c r="Q4319" s="5">
        <v>95</v>
      </c>
      <c r="R4319" s="5">
        <v>9</v>
      </c>
      <c r="S4319" s="5">
        <v>88</v>
      </c>
    </row>
    <row r="4320" spans="1:19" ht="28" x14ac:dyDescent="0.15">
      <c r="A4320" s="2">
        <f>HYPERLINK("https://open-school.uspishnemisto.com.ua/school/210491/", 210491)</f>
        <v>210491</v>
      </c>
      <c r="B4320" s="3" t="s">
        <v>22605</v>
      </c>
      <c r="C4320" s="3" t="s">
        <v>54</v>
      </c>
      <c r="D4320" s="3" t="s">
        <v>60</v>
      </c>
      <c r="E4320" s="4" t="s">
        <v>22</v>
      </c>
      <c r="F4320" s="4" t="s">
        <v>22606</v>
      </c>
      <c r="G4320" s="4" t="s">
        <v>22607</v>
      </c>
      <c r="H4320" s="3" t="s">
        <v>20074</v>
      </c>
      <c r="I4320" s="3" t="s">
        <v>22608</v>
      </c>
      <c r="J4320" s="3" t="s">
        <v>22609</v>
      </c>
      <c r="K4320" s="3" t="s">
        <v>22610</v>
      </c>
      <c r="L4320" s="3"/>
      <c r="M4320" s="4"/>
      <c r="N4320" s="3" t="s">
        <v>37</v>
      </c>
      <c r="O4320" s="3" t="s">
        <v>52</v>
      </c>
      <c r="P4320" s="5">
        <v>4</v>
      </c>
      <c r="Q4320" s="5">
        <v>35</v>
      </c>
      <c r="R4320" s="5">
        <v>4</v>
      </c>
      <c r="S4320" s="5">
        <v>35</v>
      </c>
    </row>
    <row r="4321" spans="1:19" ht="42" x14ac:dyDescent="0.15">
      <c r="A4321" s="2">
        <f>HYPERLINK("https://open-school.uspishnemisto.com.ua/school/210492/", 210492)</f>
        <v>210492</v>
      </c>
      <c r="B4321" s="3" t="s">
        <v>22611</v>
      </c>
      <c r="C4321" s="3" t="s">
        <v>31</v>
      </c>
      <c r="D4321" s="3" t="s">
        <v>32</v>
      </c>
      <c r="E4321" s="4" t="s">
        <v>22</v>
      </c>
      <c r="F4321" s="4" t="s">
        <v>22612</v>
      </c>
      <c r="G4321" s="4" t="s">
        <v>22613</v>
      </c>
      <c r="H4321" s="3" t="s">
        <v>20074</v>
      </c>
      <c r="I4321" s="3" t="s">
        <v>22614</v>
      </c>
      <c r="J4321" s="3" t="s">
        <v>22615</v>
      </c>
      <c r="K4321" s="3" t="s">
        <v>22616</v>
      </c>
      <c r="L4321" s="3"/>
      <c r="M4321" s="4" t="s">
        <v>22617</v>
      </c>
      <c r="N4321" s="3" t="s">
        <v>37</v>
      </c>
      <c r="O4321" s="3" t="s">
        <v>123</v>
      </c>
      <c r="P4321" s="5">
        <v>30</v>
      </c>
      <c r="Q4321" s="5">
        <v>671</v>
      </c>
      <c r="R4321" s="5">
        <v>29</v>
      </c>
      <c r="S4321" s="5">
        <v>670</v>
      </c>
    </row>
    <row r="4322" spans="1:19" ht="28" x14ac:dyDescent="0.15">
      <c r="A4322" s="2">
        <f>HYPERLINK("https://open-school.uspishnemisto.com.ua/school/210493/", 210493)</f>
        <v>210493</v>
      </c>
      <c r="B4322" s="3" t="s">
        <v>22618</v>
      </c>
      <c r="C4322" s="3" t="s">
        <v>31</v>
      </c>
      <c r="D4322" s="3" t="s">
        <v>32</v>
      </c>
      <c r="E4322" s="4" t="s">
        <v>22</v>
      </c>
      <c r="F4322" s="4" t="s">
        <v>22612</v>
      </c>
      <c r="G4322" s="4" t="s">
        <v>22613</v>
      </c>
      <c r="H4322" s="3" t="s">
        <v>20074</v>
      </c>
      <c r="I4322" s="3" t="s">
        <v>22614</v>
      </c>
      <c r="J4322" s="3" t="s">
        <v>22619</v>
      </c>
      <c r="K4322" s="3" t="s">
        <v>22620</v>
      </c>
      <c r="L4322" s="3" t="s">
        <v>22621</v>
      </c>
      <c r="M4322" s="4" t="s">
        <v>22622</v>
      </c>
      <c r="N4322" s="3" t="s">
        <v>128</v>
      </c>
      <c r="O4322" s="3" t="s">
        <v>46</v>
      </c>
      <c r="P4322" s="5">
        <v>21</v>
      </c>
      <c r="Q4322" s="5">
        <v>430</v>
      </c>
      <c r="R4322" s="5">
        <v>20</v>
      </c>
      <c r="S4322" s="5">
        <v>443</v>
      </c>
    </row>
    <row r="4323" spans="1:19" ht="42" x14ac:dyDescent="0.15">
      <c r="A4323" s="2">
        <f>HYPERLINK("https://open-school.uspishnemisto.com.ua/school/210494/", 210494)</f>
        <v>210494</v>
      </c>
      <c r="B4323" s="3" t="s">
        <v>22623</v>
      </c>
      <c r="C4323" s="3" t="s">
        <v>31</v>
      </c>
      <c r="D4323" s="3" t="s">
        <v>32</v>
      </c>
      <c r="E4323" s="4" t="s">
        <v>22</v>
      </c>
      <c r="F4323" s="4" t="s">
        <v>22612</v>
      </c>
      <c r="G4323" s="4" t="s">
        <v>22613</v>
      </c>
      <c r="H4323" s="3" t="s">
        <v>20074</v>
      </c>
      <c r="I4323" s="3" t="s">
        <v>22614</v>
      </c>
      <c r="J4323" s="3" t="s">
        <v>18536</v>
      </c>
      <c r="K4323" s="3" t="s">
        <v>22624</v>
      </c>
      <c r="L4323" s="3"/>
      <c r="M4323" s="4"/>
      <c r="N4323" s="3" t="s">
        <v>18409</v>
      </c>
      <c r="O4323" s="3" t="s">
        <v>46</v>
      </c>
      <c r="P4323" s="5">
        <v>16</v>
      </c>
      <c r="Q4323" s="5">
        <v>286</v>
      </c>
      <c r="R4323" s="5">
        <v>13</v>
      </c>
      <c r="S4323" s="5">
        <v>221</v>
      </c>
    </row>
    <row r="4324" spans="1:19" ht="28" x14ac:dyDescent="0.15">
      <c r="A4324" s="2">
        <f>HYPERLINK("https://open-school.uspishnemisto.com.ua/school/210495/", 210495)</f>
        <v>210495</v>
      </c>
      <c r="B4324" s="3" t="s">
        <v>22625</v>
      </c>
      <c r="C4324" s="3" t="s">
        <v>48</v>
      </c>
      <c r="D4324" s="3" t="s">
        <v>32</v>
      </c>
      <c r="E4324" s="4" t="s">
        <v>22</v>
      </c>
      <c r="F4324" s="4" t="s">
        <v>22612</v>
      </c>
      <c r="G4324" s="4" t="s">
        <v>22613</v>
      </c>
      <c r="H4324" s="3" t="s">
        <v>20074</v>
      </c>
      <c r="I4324" s="3" t="s">
        <v>22614</v>
      </c>
      <c r="J4324" s="3" t="s">
        <v>824</v>
      </c>
      <c r="K4324" s="3" t="s">
        <v>22626</v>
      </c>
      <c r="L4324" s="3"/>
      <c r="M4324" s="4" t="s">
        <v>22627</v>
      </c>
      <c r="N4324" s="3" t="s">
        <v>18409</v>
      </c>
      <c r="O4324" s="3" t="s">
        <v>52</v>
      </c>
      <c r="P4324" s="5">
        <v>6</v>
      </c>
      <c r="Q4324" s="5">
        <v>116</v>
      </c>
      <c r="R4324" s="5">
        <v>6</v>
      </c>
      <c r="S4324" s="5">
        <v>131</v>
      </c>
    </row>
    <row r="4325" spans="1:19" ht="56" x14ac:dyDescent="0.15">
      <c r="A4325" s="2">
        <f>HYPERLINK("https://open-school.uspishnemisto.com.ua/school/210669/", 210669)</f>
        <v>210669</v>
      </c>
      <c r="B4325" s="3" t="s">
        <v>22628</v>
      </c>
      <c r="C4325" s="3" t="s">
        <v>54</v>
      </c>
      <c r="D4325" s="3" t="s">
        <v>175</v>
      </c>
      <c r="E4325" s="4" t="s">
        <v>41</v>
      </c>
      <c r="F4325" s="4" t="s">
        <v>22612</v>
      </c>
      <c r="G4325" s="4" t="s">
        <v>22613</v>
      </c>
      <c r="H4325" s="3" t="s">
        <v>20074</v>
      </c>
      <c r="I4325" s="3" t="s">
        <v>22614</v>
      </c>
      <c r="J4325" s="3" t="s">
        <v>22629</v>
      </c>
      <c r="K4325" s="3" t="s">
        <v>22630</v>
      </c>
      <c r="L4325" s="3" t="s">
        <v>22631</v>
      </c>
      <c r="M4325" s="4"/>
      <c r="N4325" s="3" t="s">
        <v>37</v>
      </c>
      <c r="O4325" s="3" t="s">
        <v>46</v>
      </c>
      <c r="P4325" s="5">
        <v>8</v>
      </c>
      <c r="Q4325" s="5">
        <v>62</v>
      </c>
      <c r="R4325" s="5"/>
      <c r="S4325" s="5"/>
    </row>
    <row r="4326" spans="1:19" ht="28" x14ac:dyDescent="0.15">
      <c r="A4326" s="2">
        <f>HYPERLINK("https://open-school.uspishnemisto.com.ua/school/210496/", 210496)</f>
        <v>210496</v>
      </c>
      <c r="B4326" s="3" t="s">
        <v>22632</v>
      </c>
      <c r="C4326" s="3" t="s">
        <v>31</v>
      </c>
      <c r="D4326" s="3" t="s">
        <v>175</v>
      </c>
      <c r="E4326" s="4" t="s">
        <v>22</v>
      </c>
      <c r="F4326" s="4" t="s">
        <v>22633</v>
      </c>
      <c r="G4326" s="4" t="s">
        <v>22634</v>
      </c>
      <c r="H4326" s="3" t="s">
        <v>20074</v>
      </c>
      <c r="I4326" s="3" t="s">
        <v>22635</v>
      </c>
      <c r="J4326" s="3" t="s">
        <v>13066</v>
      </c>
      <c r="K4326" s="3" t="s">
        <v>22636</v>
      </c>
      <c r="L4326" s="3"/>
      <c r="M4326" s="4" t="s">
        <v>22637</v>
      </c>
      <c r="N4326" s="3" t="s">
        <v>37</v>
      </c>
      <c r="O4326" s="3" t="s">
        <v>52</v>
      </c>
      <c r="P4326" s="5">
        <v>9</v>
      </c>
      <c r="Q4326" s="5">
        <v>186</v>
      </c>
      <c r="R4326" s="5">
        <v>9</v>
      </c>
      <c r="S4326" s="5">
        <v>180</v>
      </c>
    </row>
    <row r="4327" spans="1:19" ht="42" x14ac:dyDescent="0.15">
      <c r="A4327" s="2">
        <f>HYPERLINK("https://open-school.uspishnemisto.com.ua/school/210497/", 210497)</f>
        <v>210497</v>
      </c>
      <c r="B4327" s="3" t="s">
        <v>22638</v>
      </c>
      <c r="C4327" s="3" t="s">
        <v>20356</v>
      </c>
      <c r="D4327" s="3" t="s">
        <v>32</v>
      </c>
      <c r="E4327" s="4" t="s">
        <v>22</v>
      </c>
      <c r="F4327" s="4" t="s">
        <v>22639</v>
      </c>
      <c r="G4327" s="4" t="s">
        <v>22640</v>
      </c>
      <c r="H4327" s="3" t="s">
        <v>20074</v>
      </c>
      <c r="I4327" s="3" t="s">
        <v>22641</v>
      </c>
      <c r="J4327" s="3" t="s">
        <v>22642</v>
      </c>
      <c r="K4327" s="3" t="s">
        <v>22643</v>
      </c>
      <c r="L4327" s="3" t="s">
        <v>22644</v>
      </c>
      <c r="M4327" s="4" t="s">
        <v>22645</v>
      </c>
      <c r="N4327" s="3" t="s">
        <v>37</v>
      </c>
      <c r="O4327" s="3" t="s">
        <v>123</v>
      </c>
      <c r="P4327" s="5">
        <v>25</v>
      </c>
      <c r="Q4327" s="5">
        <v>688</v>
      </c>
      <c r="R4327" s="5">
        <v>25</v>
      </c>
      <c r="S4327" s="5">
        <v>679</v>
      </c>
    </row>
    <row r="4328" spans="1:19" ht="42" x14ac:dyDescent="0.15">
      <c r="A4328" s="2">
        <f>HYPERLINK("https://open-school.uspishnemisto.com.ua/school/210498/", 210498)</f>
        <v>210498</v>
      </c>
      <c r="B4328" s="3" t="s">
        <v>22646</v>
      </c>
      <c r="C4328" s="3" t="s">
        <v>31</v>
      </c>
      <c r="D4328" s="3" t="s">
        <v>32</v>
      </c>
      <c r="E4328" s="4" t="s">
        <v>22</v>
      </c>
      <c r="F4328" s="4" t="s">
        <v>22639</v>
      </c>
      <c r="G4328" s="4" t="s">
        <v>22640</v>
      </c>
      <c r="H4328" s="3" t="s">
        <v>20074</v>
      </c>
      <c r="I4328" s="3" t="s">
        <v>22641</v>
      </c>
      <c r="J4328" s="3" t="s">
        <v>792</v>
      </c>
      <c r="K4328" s="3" t="s">
        <v>22647</v>
      </c>
      <c r="L4328" s="3" t="s">
        <v>22648</v>
      </c>
      <c r="M4328" s="4" t="s">
        <v>22649</v>
      </c>
      <c r="N4328" s="3" t="s">
        <v>37</v>
      </c>
      <c r="O4328" s="3" t="s">
        <v>70</v>
      </c>
      <c r="P4328" s="5">
        <v>29</v>
      </c>
      <c r="Q4328" s="5">
        <v>667</v>
      </c>
      <c r="R4328" s="5">
        <v>29</v>
      </c>
      <c r="S4328" s="5">
        <v>642</v>
      </c>
    </row>
    <row r="4329" spans="1:19" ht="42" x14ac:dyDescent="0.15">
      <c r="A4329" s="2">
        <f>HYPERLINK("https://open-school.uspishnemisto.com.ua/school/210499/", 210499)</f>
        <v>210499</v>
      </c>
      <c r="B4329" s="3" t="s">
        <v>22650</v>
      </c>
      <c r="C4329" s="3" t="s">
        <v>31</v>
      </c>
      <c r="D4329" s="3" t="s">
        <v>175</v>
      </c>
      <c r="E4329" s="4" t="s">
        <v>22</v>
      </c>
      <c r="F4329" s="4" t="s">
        <v>22651</v>
      </c>
      <c r="G4329" s="4" t="s">
        <v>22652</v>
      </c>
      <c r="H4329" s="3" t="s">
        <v>20074</v>
      </c>
      <c r="I4329" s="3" t="s">
        <v>6415</v>
      </c>
      <c r="J4329" s="3" t="s">
        <v>22653</v>
      </c>
      <c r="K4329" s="3" t="s">
        <v>22654</v>
      </c>
      <c r="L4329" s="3" t="s">
        <v>22655</v>
      </c>
      <c r="M4329" s="4" t="s">
        <v>22656</v>
      </c>
      <c r="N4329" s="3" t="s">
        <v>37</v>
      </c>
      <c r="O4329" s="3" t="s">
        <v>38</v>
      </c>
      <c r="P4329" s="5">
        <v>20</v>
      </c>
      <c r="Q4329" s="5">
        <v>479</v>
      </c>
      <c r="R4329" s="5">
        <v>20</v>
      </c>
      <c r="S4329" s="5">
        <v>474</v>
      </c>
    </row>
    <row r="4330" spans="1:19" ht="42" x14ac:dyDescent="0.15">
      <c r="A4330" s="2">
        <f>HYPERLINK("https://open-school.uspishnemisto.com.ua/school/210500/", 210500)</f>
        <v>210500</v>
      </c>
      <c r="B4330" s="3" t="s">
        <v>22657</v>
      </c>
      <c r="C4330" s="3" t="s">
        <v>31</v>
      </c>
      <c r="D4330" s="3" t="s">
        <v>175</v>
      </c>
      <c r="E4330" s="4" t="s">
        <v>22</v>
      </c>
      <c r="F4330" s="4" t="s">
        <v>22651</v>
      </c>
      <c r="G4330" s="4" t="s">
        <v>22652</v>
      </c>
      <c r="H4330" s="3" t="s">
        <v>20074</v>
      </c>
      <c r="I4330" s="3" t="s">
        <v>6415</v>
      </c>
      <c r="J4330" s="3" t="s">
        <v>22658</v>
      </c>
      <c r="K4330" s="3" t="s">
        <v>22659</v>
      </c>
      <c r="L4330" s="3" t="s">
        <v>22660</v>
      </c>
      <c r="M4330" s="4" t="s">
        <v>22661</v>
      </c>
      <c r="N4330" s="3" t="s">
        <v>37</v>
      </c>
      <c r="O4330" s="3" t="s">
        <v>38</v>
      </c>
      <c r="P4330" s="5">
        <v>12</v>
      </c>
      <c r="Q4330" s="5">
        <v>201</v>
      </c>
      <c r="R4330" s="5">
        <v>11</v>
      </c>
      <c r="S4330" s="5">
        <v>188</v>
      </c>
    </row>
    <row r="4331" spans="1:19" ht="28" x14ac:dyDescent="0.15">
      <c r="A4331" s="2">
        <f>HYPERLINK("https://open-school.uspishnemisto.com.ua/school/210501/", 210501)</f>
        <v>210501</v>
      </c>
      <c r="B4331" s="3" t="s">
        <v>22662</v>
      </c>
      <c r="C4331" s="3" t="s">
        <v>31</v>
      </c>
      <c r="D4331" s="3" t="s">
        <v>32</v>
      </c>
      <c r="E4331" s="4" t="s">
        <v>22</v>
      </c>
      <c r="F4331" s="4" t="s">
        <v>22651</v>
      </c>
      <c r="G4331" s="4" t="s">
        <v>22652</v>
      </c>
      <c r="H4331" s="3" t="s">
        <v>20074</v>
      </c>
      <c r="I4331" s="3" t="s">
        <v>6415</v>
      </c>
      <c r="J4331" s="3" t="s">
        <v>22663</v>
      </c>
      <c r="K4331" s="3" t="s">
        <v>22664</v>
      </c>
      <c r="L4331" s="3" t="s">
        <v>22665</v>
      </c>
      <c r="M4331" s="4" t="s">
        <v>22666</v>
      </c>
      <c r="N4331" s="3" t="s">
        <v>37</v>
      </c>
      <c r="O4331" s="3" t="s">
        <v>46</v>
      </c>
      <c r="P4331" s="5">
        <v>36</v>
      </c>
      <c r="Q4331" s="5">
        <v>975</v>
      </c>
      <c r="R4331" s="5">
        <v>36</v>
      </c>
      <c r="S4331" s="5">
        <v>962</v>
      </c>
    </row>
    <row r="4332" spans="1:19" ht="42" x14ac:dyDescent="0.15">
      <c r="A4332" s="2">
        <f>HYPERLINK("https://open-school.uspishnemisto.com.ua/school/210502/", 210502)</f>
        <v>210502</v>
      </c>
      <c r="B4332" s="3" t="s">
        <v>22667</v>
      </c>
      <c r="C4332" s="3" t="s">
        <v>31</v>
      </c>
      <c r="D4332" s="3" t="s">
        <v>60</v>
      </c>
      <c r="E4332" s="4" t="s">
        <v>22</v>
      </c>
      <c r="F4332" s="4" t="s">
        <v>22651</v>
      </c>
      <c r="G4332" s="4" t="s">
        <v>22652</v>
      </c>
      <c r="H4332" s="3" t="s">
        <v>20074</v>
      </c>
      <c r="I4332" s="3" t="s">
        <v>6415</v>
      </c>
      <c r="J4332" s="3" t="s">
        <v>22668</v>
      </c>
      <c r="K4332" s="3"/>
      <c r="L4332" s="3"/>
      <c r="M4332" s="4"/>
      <c r="N4332" s="3" t="s">
        <v>37</v>
      </c>
      <c r="O4332" s="3" t="s">
        <v>52</v>
      </c>
      <c r="P4332" s="5">
        <v>4</v>
      </c>
      <c r="Q4332" s="5">
        <v>68</v>
      </c>
      <c r="R4332" s="5">
        <v>4</v>
      </c>
      <c r="S4332" s="5">
        <v>62</v>
      </c>
    </row>
    <row r="4333" spans="1:19" ht="42" x14ac:dyDescent="0.15">
      <c r="A4333" s="2">
        <f>HYPERLINK("https://open-school.uspishnemisto.com.ua/school/210503/", 210503)</f>
        <v>210503</v>
      </c>
      <c r="B4333" s="3" t="s">
        <v>22669</v>
      </c>
      <c r="C4333" s="3" t="s">
        <v>31</v>
      </c>
      <c r="D4333" s="3" t="s">
        <v>32</v>
      </c>
      <c r="E4333" s="4" t="s">
        <v>22</v>
      </c>
      <c r="F4333" s="4" t="s">
        <v>22670</v>
      </c>
      <c r="G4333" s="4" t="s">
        <v>22671</v>
      </c>
      <c r="H4333" s="3" t="s">
        <v>20074</v>
      </c>
      <c r="I4333" s="3" t="s">
        <v>22672</v>
      </c>
      <c r="J4333" s="3" t="s">
        <v>22673</v>
      </c>
      <c r="K4333" s="3" t="s">
        <v>22674</v>
      </c>
      <c r="L4333" s="3"/>
      <c r="M4333" s="4" t="s">
        <v>22675</v>
      </c>
      <c r="N4333" s="3" t="s">
        <v>128</v>
      </c>
      <c r="O4333" s="3" t="s">
        <v>721</v>
      </c>
      <c r="P4333" s="5">
        <v>22</v>
      </c>
      <c r="Q4333" s="5">
        <v>466</v>
      </c>
      <c r="R4333" s="5">
        <v>23</v>
      </c>
      <c r="S4333" s="5">
        <v>473</v>
      </c>
    </row>
    <row r="4334" spans="1:19" ht="42" x14ac:dyDescent="0.15">
      <c r="A4334" s="2">
        <f>HYPERLINK("https://open-school.uspishnemisto.com.ua/school/210504/", 210504)</f>
        <v>210504</v>
      </c>
      <c r="B4334" s="3" t="s">
        <v>22676</v>
      </c>
      <c r="C4334" s="3" t="s">
        <v>31</v>
      </c>
      <c r="D4334" s="3" t="s">
        <v>32</v>
      </c>
      <c r="E4334" s="4" t="s">
        <v>22</v>
      </c>
      <c r="F4334" s="4" t="s">
        <v>22670</v>
      </c>
      <c r="G4334" s="4" t="s">
        <v>22671</v>
      </c>
      <c r="H4334" s="3" t="s">
        <v>20074</v>
      </c>
      <c r="I4334" s="3" t="s">
        <v>22672</v>
      </c>
      <c r="J4334" s="3" t="s">
        <v>22677</v>
      </c>
      <c r="K4334" s="3" t="s">
        <v>22678</v>
      </c>
      <c r="L4334" s="3"/>
      <c r="M4334" s="4" t="s">
        <v>22679</v>
      </c>
      <c r="N4334" s="3" t="s">
        <v>22346</v>
      </c>
      <c r="O4334" s="3" t="s">
        <v>2740</v>
      </c>
      <c r="P4334" s="5">
        <v>19</v>
      </c>
      <c r="Q4334" s="5">
        <v>329</v>
      </c>
      <c r="R4334" s="5">
        <v>20</v>
      </c>
      <c r="S4334" s="5">
        <v>375</v>
      </c>
    </row>
    <row r="4335" spans="1:19" ht="42" x14ac:dyDescent="0.15">
      <c r="A4335" s="2">
        <f>HYPERLINK("https://open-school.uspishnemisto.com.ua/school/210505/", 210505)</f>
        <v>210505</v>
      </c>
      <c r="B4335" s="3" t="s">
        <v>22680</v>
      </c>
      <c r="C4335" s="3" t="s">
        <v>31</v>
      </c>
      <c r="D4335" s="3" t="s">
        <v>32</v>
      </c>
      <c r="E4335" s="4" t="s">
        <v>22</v>
      </c>
      <c r="F4335" s="4" t="s">
        <v>22670</v>
      </c>
      <c r="G4335" s="4" t="s">
        <v>22671</v>
      </c>
      <c r="H4335" s="3" t="s">
        <v>20074</v>
      </c>
      <c r="I4335" s="3" t="s">
        <v>22672</v>
      </c>
      <c r="J4335" s="3" t="s">
        <v>22681</v>
      </c>
      <c r="K4335" s="3" t="s">
        <v>22682</v>
      </c>
      <c r="L4335" s="3"/>
      <c r="M4335" s="4" t="s">
        <v>22683</v>
      </c>
      <c r="N4335" s="3" t="s">
        <v>18409</v>
      </c>
      <c r="O4335" s="3" t="s">
        <v>46</v>
      </c>
      <c r="P4335" s="5">
        <v>11</v>
      </c>
      <c r="Q4335" s="5">
        <v>147</v>
      </c>
      <c r="R4335" s="5">
        <v>11</v>
      </c>
      <c r="S4335" s="5">
        <v>151</v>
      </c>
    </row>
    <row r="4336" spans="1:19" ht="28" x14ac:dyDescent="0.15">
      <c r="A4336" s="2">
        <f>HYPERLINK("https://open-school.uspishnemisto.com.ua/school/210506/", 210506)</f>
        <v>210506</v>
      </c>
      <c r="B4336" s="3" t="s">
        <v>22684</v>
      </c>
      <c r="C4336" s="3" t="s">
        <v>181</v>
      </c>
      <c r="D4336" s="3" t="s">
        <v>175</v>
      </c>
      <c r="E4336" s="4" t="s">
        <v>22</v>
      </c>
      <c r="F4336" s="4" t="s">
        <v>22670</v>
      </c>
      <c r="G4336" s="4" t="s">
        <v>22671</v>
      </c>
      <c r="H4336" s="3" t="s">
        <v>20074</v>
      </c>
      <c r="I4336" s="3" t="s">
        <v>22672</v>
      </c>
      <c r="J4336" s="3" t="s">
        <v>22685</v>
      </c>
      <c r="K4336" s="3" t="s">
        <v>22686</v>
      </c>
      <c r="L4336" s="3"/>
      <c r="M4336" s="4" t="s">
        <v>22687</v>
      </c>
      <c r="N4336" s="3" t="s">
        <v>37</v>
      </c>
      <c r="O4336" s="3"/>
      <c r="P4336" s="5">
        <v>7</v>
      </c>
      <c r="Q4336" s="5">
        <v>80</v>
      </c>
      <c r="R4336" s="5">
        <v>9</v>
      </c>
      <c r="S4336" s="5">
        <v>95</v>
      </c>
    </row>
    <row r="4337" spans="1:19" ht="42" x14ac:dyDescent="0.15">
      <c r="A4337" s="2">
        <f>HYPERLINK("https://open-school.uspishnemisto.com.ua/school/210507/", 210507)</f>
        <v>210507</v>
      </c>
      <c r="B4337" s="3" t="s">
        <v>22688</v>
      </c>
      <c r="C4337" s="3" t="s">
        <v>48</v>
      </c>
      <c r="D4337" s="3" t="s">
        <v>32</v>
      </c>
      <c r="E4337" s="4" t="s">
        <v>22</v>
      </c>
      <c r="F4337" s="4" t="s">
        <v>22670</v>
      </c>
      <c r="G4337" s="4" t="s">
        <v>22671</v>
      </c>
      <c r="H4337" s="3" t="s">
        <v>20074</v>
      </c>
      <c r="I4337" s="3" t="s">
        <v>22672</v>
      </c>
      <c r="J4337" s="3" t="s">
        <v>22689</v>
      </c>
      <c r="K4337" s="3"/>
      <c r="L4337" s="3"/>
      <c r="M4337" s="4" t="s">
        <v>22690</v>
      </c>
      <c r="N4337" s="3" t="s">
        <v>22346</v>
      </c>
      <c r="O4337" s="3" t="s">
        <v>2740</v>
      </c>
      <c r="P4337" s="5">
        <v>4</v>
      </c>
      <c r="Q4337" s="5">
        <v>59</v>
      </c>
      <c r="R4337" s="5">
        <v>2</v>
      </c>
      <c r="S4337" s="5">
        <v>30</v>
      </c>
    </row>
    <row r="4338" spans="1:19" ht="42" x14ac:dyDescent="0.15">
      <c r="A4338" s="2">
        <f>HYPERLINK("https://open-school.uspishnemisto.com.ua/school/210508/", 210508)</f>
        <v>210508</v>
      </c>
      <c r="B4338" s="3" t="s">
        <v>22691</v>
      </c>
      <c r="C4338" s="3" t="s">
        <v>31</v>
      </c>
      <c r="D4338" s="3" t="s">
        <v>32</v>
      </c>
      <c r="E4338" s="4" t="s">
        <v>22</v>
      </c>
      <c r="F4338" s="4" t="s">
        <v>22692</v>
      </c>
      <c r="G4338" s="4" t="s">
        <v>22693</v>
      </c>
      <c r="H4338" s="3" t="s">
        <v>20074</v>
      </c>
      <c r="I4338" s="3" t="s">
        <v>22694</v>
      </c>
      <c r="J4338" s="3" t="s">
        <v>12968</v>
      </c>
      <c r="K4338" s="3" t="s">
        <v>22695</v>
      </c>
      <c r="L4338" s="3" t="s">
        <v>22696</v>
      </c>
      <c r="M4338" s="4" t="s">
        <v>22697</v>
      </c>
      <c r="N4338" s="3" t="s">
        <v>37</v>
      </c>
      <c r="O4338" s="3" t="s">
        <v>46</v>
      </c>
      <c r="P4338" s="5">
        <v>44</v>
      </c>
      <c r="Q4338" s="5">
        <v>1161</v>
      </c>
      <c r="R4338" s="5">
        <v>43</v>
      </c>
      <c r="S4338" s="5">
        <v>1124</v>
      </c>
    </row>
    <row r="4339" spans="1:19" ht="42" x14ac:dyDescent="0.15">
      <c r="A4339" s="2">
        <f>HYPERLINK("https://open-school.uspishnemisto.com.ua/school/210509/", 210509)</f>
        <v>210509</v>
      </c>
      <c r="B4339" s="3" t="s">
        <v>22698</v>
      </c>
      <c r="C4339" s="3" t="s">
        <v>31</v>
      </c>
      <c r="D4339" s="3" t="s">
        <v>19078</v>
      </c>
      <c r="E4339" s="4" t="s">
        <v>22</v>
      </c>
      <c r="F4339" s="4" t="s">
        <v>22699</v>
      </c>
      <c r="G4339" s="4" t="s">
        <v>22700</v>
      </c>
      <c r="H4339" s="3" t="s">
        <v>20074</v>
      </c>
      <c r="I4339" s="3" t="s">
        <v>22701</v>
      </c>
      <c r="J4339" s="3" t="s">
        <v>22702</v>
      </c>
      <c r="K4339" s="3" t="s">
        <v>22703</v>
      </c>
      <c r="L4339" s="3"/>
      <c r="M4339" s="4" t="s">
        <v>22704</v>
      </c>
      <c r="N4339" s="3" t="s">
        <v>37</v>
      </c>
      <c r="O4339" s="3" t="s">
        <v>46</v>
      </c>
      <c r="P4339" s="5">
        <v>16</v>
      </c>
      <c r="Q4339" s="5">
        <v>307</v>
      </c>
      <c r="R4339" s="5">
        <v>15</v>
      </c>
      <c r="S4339" s="5">
        <v>295</v>
      </c>
    </row>
    <row r="4340" spans="1:19" ht="28" x14ac:dyDescent="0.15">
      <c r="A4340" s="2">
        <f>HYPERLINK("https://open-school.uspishnemisto.com.ua/school/210510/", 210510)</f>
        <v>210510</v>
      </c>
      <c r="B4340" s="3" t="s">
        <v>22705</v>
      </c>
      <c r="C4340" s="3" t="s">
        <v>31</v>
      </c>
      <c r="D4340" s="3" t="s">
        <v>32</v>
      </c>
      <c r="E4340" s="4" t="s">
        <v>22</v>
      </c>
      <c r="F4340" s="4" t="s">
        <v>22706</v>
      </c>
      <c r="G4340" s="4" t="s">
        <v>22707</v>
      </c>
      <c r="H4340" s="3" t="s">
        <v>20074</v>
      </c>
      <c r="I4340" s="3" t="s">
        <v>22708</v>
      </c>
      <c r="J4340" s="3" t="s">
        <v>22709</v>
      </c>
      <c r="K4340" s="3" t="s">
        <v>22710</v>
      </c>
      <c r="L4340" s="3"/>
      <c r="M4340" s="4" t="s">
        <v>22711</v>
      </c>
      <c r="N4340" s="3" t="s">
        <v>37</v>
      </c>
      <c r="O4340" s="3" t="s">
        <v>70</v>
      </c>
      <c r="P4340" s="5">
        <v>25</v>
      </c>
      <c r="Q4340" s="5">
        <v>585</v>
      </c>
      <c r="R4340" s="5">
        <v>24</v>
      </c>
      <c r="S4340" s="5">
        <v>564</v>
      </c>
    </row>
    <row r="4341" spans="1:19" ht="42" x14ac:dyDescent="0.15">
      <c r="A4341" s="2">
        <f>HYPERLINK("https://open-school.uspishnemisto.com.ua/school/210511/", 210511)</f>
        <v>210511</v>
      </c>
      <c r="B4341" s="3" t="s">
        <v>22712</v>
      </c>
      <c r="C4341" s="3" t="s">
        <v>31</v>
      </c>
      <c r="D4341" s="3" t="s">
        <v>175</v>
      </c>
      <c r="E4341" s="4" t="s">
        <v>22</v>
      </c>
      <c r="F4341" s="4" t="s">
        <v>22706</v>
      </c>
      <c r="G4341" s="4" t="s">
        <v>22707</v>
      </c>
      <c r="H4341" s="3" t="s">
        <v>20074</v>
      </c>
      <c r="I4341" s="3" t="s">
        <v>22708</v>
      </c>
      <c r="J4341" s="3" t="s">
        <v>22713</v>
      </c>
      <c r="K4341" s="3" t="s">
        <v>22714</v>
      </c>
      <c r="L4341" s="3"/>
      <c r="M4341" s="4" t="s">
        <v>22715</v>
      </c>
      <c r="N4341" s="3" t="s">
        <v>37</v>
      </c>
      <c r="O4341" s="3" t="s">
        <v>38</v>
      </c>
      <c r="P4341" s="5">
        <v>9</v>
      </c>
      <c r="Q4341" s="5">
        <v>61</v>
      </c>
      <c r="R4341" s="5">
        <v>9</v>
      </c>
      <c r="S4341" s="5">
        <v>53</v>
      </c>
    </row>
    <row r="4342" spans="1:19" ht="42" x14ac:dyDescent="0.15">
      <c r="A4342" s="2">
        <f>HYPERLINK("https://open-school.uspishnemisto.com.ua/school/210512/", 210512)</f>
        <v>210512</v>
      </c>
      <c r="B4342" s="3" t="s">
        <v>22716</v>
      </c>
      <c r="C4342" s="3" t="s">
        <v>31</v>
      </c>
      <c r="D4342" s="3" t="s">
        <v>175</v>
      </c>
      <c r="E4342" s="4" t="s">
        <v>22</v>
      </c>
      <c r="F4342" s="4" t="s">
        <v>22717</v>
      </c>
      <c r="G4342" s="4" t="s">
        <v>22718</v>
      </c>
      <c r="H4342" s="3" t="s">
        <v>20074</v>
      </c>
      <c r="I4342" s="3" t="s">
        <v>22719</v>
      </c>
      <c r="J4342" s="3" t="s">
        <v>22720</v>
      </c>
      <c r="K4342" s="3" t="s">
        <v>22721</v>
      </c>
      <c r="L4342" s="3"/>
      <c r="M4342" s="4" t="s">
        <v>22722</v>
      </c>
      <c r="N4342" s="3" t="s">
        <v>37</v>
      </c>
      <c r="O4342" s="3" t="s">
        <v>38</v>
      </c>
      <c r="P4342" s="5">
        <v>9</v>
      </c>
      <c r="Q4342" s="5">
        <v>95</v>
      </c>
      <c r="R4342" s="5">
        <v>9</v>
      </c>
      <c r="S4342" s="5">
        <v>92</v>
      </c>
    </row>
    <row r="4343" spans="1:19" ht="42" x14ac:dyDescent="0.15">
      <c r="A4343" s="2">
        <f>HYPERLINK("https://open-school.uspishnemisto.com.ua/school/210513/", 210513)</f>
        <v>210513</v>
      </c>
      <c r="B4343" s="3" t="s">
        <v>22723</v>
      </c>
      <c r="C4343" s="3" t="s">
        <v>31</v>
      </c>
      <c r="D4343" s="3" t="s">
        <v>32</v>
      </c>
      <c r="E4343" s="4" t="s">
        <v>22</v>
      </c>
      <c r="F4343" s="4" t="s">
        <v>22724</v>
      </c>
      <c r="G4343" s="4" t="s">
        <v>22725</v>
      </c>
      <c r="H4343" s="3" t="s">
        <v>20074</v>
      </c>
      <c r="I4343" s="3" t="s">
        <v>22726</v>
      </c>
      <c r="J4343" s="3" t="s">
        <v>22727</v>
      </c>
      <c r="K4343" s="3" t="s">
        <v>22728</v>
      </c>
      <c r="L4343" s="3"/>
      <c r="M4343" s="4" t="s">
        <v>22729</v>
      </c>
      <c r="N4343" s="3" t="s">
        <v>37</v>
      </c>
      <c r="O4343" s="3" t="s">
        <v>46</v>
      </c>
      <c r="P4343" s="5">
        <v>20</v>
      </c>
      <c r="Q4343" s="5">
        <v>242</v>
      </c>
      <c r="R4343" s="5">
        <v>19</v>
      </c>
      <c r="S4343" s="5">
        <v>234</v>
      </c>
    </row>
    <row r="4344" spans="1:19" ht="28" x14ac:dyDescent="0.15">
      <c r="A4344" s="2">
        <f>HYPERLINK("https://open-school.uspishnemisto.com.ua/school/210514/", 210514)</f>
        <v>210514</v>
      </c>
      <c r="B4344" s="3" t="s">
        <v>22730</v>
      </c>
      <c r="C4344" s="3" t="s">
        <v>31</v>
      </c>
      <c r="D4344" s="3" t="s">
        <v>32</v>
      </c>
      <c r="E4344" s="4" t="s">
        <v>22</v>
      </c>
      <c r="F4344" s="4" t="s">
        <v>22731</v>
      </c>
      <c r="G4344" s="4" t="s">
        <v>22732</v>
      </c>
      <c r="H4344" s="3" t="s">
        <v>20074</v>
      </c>
      <c r="I4344" s="3" t="s">
        <v>22733</v>
      </c>
      <c r="J4344" s="3" t="s">
        <v>22734</v>
      </c>
      <c r="K4344" s="3" t="s">
        <v>22735</v>
      </c>
      <c r="L4344" s="3"/>
      <c r="M4344" s="4" t="s">
        <v>22736</v>
      </c>
      <c r="N4344" s="3" t="s">
        <v>37</v>
      </c>
      <c r="O4344" s="3" t="s">
        <v>70</v>
      </c>
      <c r="P4344" s="5">
        <v>14</v>
      </c>
      <c r="Q4344" s="5">
        <v>216</v>
      </c>
      <c r="R4344" s="5">
        <v>14</v>
      </c>
      <c r="S4344" s="5">
        <v>219</v>
      </c>
    </row>
    <row r="4345" spans="1:19" ht="42" x14ac:dyDescent="0.15">
      <c r="A4345" s="2">
        <f>HYPERLINK("https://open-school.uspishnemisto.com.ua/school/210515/", 210515)</f>
        <v>210515</v>
      </c>
      <c r="B4345" s="3" t="s">
        <v>22737</v>
      </c>
      <c r="C4345" s="3" t="s">
        <v>31</v>
      </c>
      <c r="D4345" s="3" t="s">
        <v>32</v>
      </c>
      <c r="E4345" s="4" t="s">
        <v>22</v>
      </c>
      <c r="F4345" s="4" t="s">
        <v>22738</v>
      </c>
      <c r="G4345" s="4" t="s">
        <v>22739</v>
      </c>
      <c r="H4345" s="3" t="s">
        <v>20074</v>
      </c>
      <c r="I4345" s="3" t="s">
        <v>22740</v>
      </c>
      <c r="J4345" s="3" t="s">
        <v>22741</v>
      </c>
      <c r="K4345" s="3" t="s">
        <v>22742</v>
      </c>
      <c r="L4345" s="3" t="s">
        <v>22743</v>
      </c>
      <c r="M4345" s="4" t="s">
        <v>22744</v>
      </c>
      <c r="N4345" s="3" t="s">
        <v>37</v>
      </c>
      <c r="O4345" s="3" t="s">
        <v>70</v>
      </c>
      <c r="P4345" s="5">
        <v>28</v>
      </c>
      <c r="Q4345" s="5">
        <v>643</v>
      </c>
      <c r="R4345" s="5">
        <v>28</v>
      </c>
      <c r="S4345" s="5">
        <v>607</v>
      </c>
    </row>
    <row r="4346" spans="1:19" ht="42" x14ac:dyDescent="0.15">
      <c r="A4346" s="2">
        <f>HYPERLINK("https://open-school.uspishnemisto.com.ua/school/210516/", 210516)</f>
        <v>210516</v>
      </c>
      <c r="B4346" s="3" t="s">
        <v>22745</v>
      </c>
      <c r="C4346" s="3" t="s">
        <v>31</v>
      </c>
      <c r="D4346" s="3" t="s">
        <v>32</v>
      </c>
      <c r="E4346" s="4" t="s">
        <v>22</v>
      </c>
      <c r="F4346" s="4" t="s">
        <v>22738</v>
      </c>
      <c r="G4346" s="4" t="s">
        <v>22739</v>
      </c>
      <c r="H4346" s="3" t="s">
        <v>20074</v>
      </c>
      <c r="I4346" s="3" t="s">
        <v>22740</v>
      </c>
      <c r="J4346" s="3" t="s">
        <v>22746</v>
      </c>
      <c r="K4346" s="3" t="s">
        <v>22747</v>
      </c>
      <c r="L4346" s="3" t="s">
        <v>22748</v>
      </c>
      <c r="M4346" s="4" t="s">
        <v>22749</v>
      </c>
      <c r="N4346" s="3" t="s">
        <v>37</v>
      </c>
      <c r="O4346" s="3" t="s">
        <v>38</v>
      </c>
      <c r="P4346" s="5">
        <v>9</v>
      </c>
      <c r="Q4346" s="5">
        <v>139</v>
      </c>
      <c r="R4346" s="5">
        <v>9</v>
      </c>
      <c r="S4346" s="5">
        <v>134</v>
      </c>
    </row>
    <row r="4347" spans="1:19" ht="42" x14ac:dyDescent="0.15">
      <c r="A4347" s="2">
        <f>HYPERLINK("https://open-school.uspishnemisto.com.ua/school/210517/", 210517)</f>
        <v>210517</v>
      </c>
      <c r="B4347" s="3" t="s">
        <v>22750</v>
      </c>
      <c r="C4347" s="3" t="s">
        <v>31</v>
      </c>
      <c r="D4347" s="3" t="s">
        <v>175</v>
      </c>
      <c r="E4347" s="4" t="s">
        <v>22</v>
      </c>
      <c r="F4347" s="4" t="s">
        <v>22751</v>
      </c>
      <c r="G4347" s="4" t="s">
        <v>22752</v>
      </c>
      <c r="H4347" s="3" t="s">
        <v>20074</v>
      </c>
      <c r="I4347" s="3" t="s">
        <v>22753</v>
      </c>
      <c r="J4347" s="3" t="s">
        <v>22754</v>
      </c>
      <c r="K4347" s="3" t="s">
        <v>22755</v>
      </c>
      <c r="L4347" s="3"/>
      <c r="M4347" s="4" t="s">
        <v>22756</v>
      </c>
      <c r="N4347" s="3" t="s">
        <v>22346</v>
      </c>
      <c r="O4347" s="3" t="s">
        <v>13272</v>
      </c>
      <c r="P4347" s="5">
        <v>11</v>
      </c>
      <c r="Q4347" s="5">
        <v>108</v>
      </c>
      <c r="R4347" s="5">
        <v>11</v>
      </c>
      <c r="S4347" s="5">
        <v>107</v>
      </c>
    </row>
    <row r="4348" spans="1:19" ht="42" x14ac:dyDescent="0.15">
      <c r="A4348" s="2">
        <f>HYPERLINK("https://open-school.uspishnemisto.com.ua/school/210518/", 210518)</f>
        <v>210518</v>
      </c>
      <c r="B4348" s="3" t="s">
        <v>22757</v>
      </c>
      <c r="C4348" s="3" t="s">
        <v>31</v>
      </c>
      <c r="D4348" s="3" t="s">
        <v>175</v>
      </c>
      <c r="E4348" s="4" t="s">
        <v>22</v>
      </c>
      <c r="F4348" s="4" t="s">
        <v>22751</v>
      </c>
      <c r="G4348" s="4" t="s">
        <v>22752</v>
      </c>
      <c r="H4348" s="3" t="s">
        <v>20074</v>
      </c>
      <c r="I4348" s="3" t="s">
        <v>22753</v>
      </c>
      <c r="J4348" s="3" t="s">
        <v>22758</v>
      </c>
      <c r="K4348" s="3" t="s">
        <v>22759</v>
      </c>
      <c r="L4348" s="3"/>
      <c r="M4348" s="4"/>
      <c r="N4348" s="3" t="s">
        <v>22346</v>
      </c>
      <c r="O4348" s="3" t="s">
        <v>38</v>
      </c>
      <c r="P4348" s="5">
        <v>11</v>
      </c>
      <c r="Q4348" s="5">
        <v>192</v>
      </c>
      <c r="R4348" s="5">
        <v>11</v>
      </c>
      <c r="S4348" s="5">
        <v>187</v>
      </c>
    </row>
    <row r="4349" spans="1:19" ht="42" x14ac:dyDescent="0.15">
      <c r="A4349" s="2">
        <f>HYPERLINK("https://open-school.uspishnemisto.com.ua/school/210519/", 210519)</f>
        <v>210519</v>
      </c>
      <c r="B4349" s="3" t="s">
        <v>22760</v>
      </c>
      <c r="C4349" s="3" t="s">
        <v>31</v>
      </c>
      <c r="D4349" s="3" t="s">
        <v>32</v>
      </c>
      <c r="E4349" s="4" t="s">
        <v>22</v>
      </c>
      <c r="F4349" s="4" t="s">
        <v>22751</v>
      </c>
      <c r="G4349" s="4" t="s">
        <v>22752</v>
      </c>
      <c r="H4349" s="3" t="s">
        <v>20074</v>
      </c>
      <c r="I4349" s="3" t="s">
        <v>22753</v>
      </c>
      <c r="J4349" s="3" t="s">
        <v>12217</v>
      </c>
      <c r="K4349" s="3" t="s">
        <v>22761</v>
      </c>
      <c r="L4349" s="3"/>
      <c r="M4349" s="4" t="s">
        <v>22762</v>
      </c>
      <c r="N4349" s="3" t="s">
        <v>22346</v>
      </c>
      <c r="O4349" s="3" t="s">
        <v>2740</v>
      </c>
      <c r="P4349" s="5">
        <v>18</v>
      </c>
      <c r="Q4349" s="5">
        <v>329</v>
      </c>
      <c r="R4349" s="5">
        <v>19</v>
      </c>
      <c r="S4349" s="5">
        <v>339</v>
      </c>
    </row>
    <row r="4350" spans="1:19" ht="28" x14ac:dyDescent="0.15">
      <c r="A4350" s="2">
        <f>HYPERLINK("https://open-school.uspishnemisto.com.ua/school/210520/", 210520)</f>
        <v>210520</v>
      </c>
      <c r="B4350" s="3" t="s">
        <v>22763</v>
      </c>
      <c r="C4350" s="3" t="s">
        <v>31</v>
      </c>
      <c r="D4350" s="3" t="s">
        <v>175</v>
      </c>
      <c r="E4350" s="4" t="s">
        <v>22</v>
      </c>
      <c r="F4350" s="4" t="s">
        <v>22751</v>
      </c>
      <c r="G4350" s="4" t="s">
        <v>22752</v>
      </c>
      <c r="H4350" s="3" t="s">
        <v>20074</v>
      </c>
      <c r="I4350" s="3" t="s">
        <v>22753</v>
      </c>
      <c r="J4350" s="3" t="s">
        <v>22764</v>
      </c>
      <c r="K4350" s="3" t="s">
        <v>22765</v>
      </c>
      <c r="L4350" s="3"/>
      <c r="M4350" s="4"/>
      <c r="N4350" s="3" t="s">
        <v>22346</v>
      </c>
      <c r="O4350" s="3" t="s">
        <v>13272</v>
      </c>
      <c r="P4350" s="5">
        <v>9</v>
      </c>
      <c r="Q4350" s="5">
        <v>110</v>
      </c>
      <c r="R4350" s="5">
        <v>9</v>
      </c>
      <c r="S4350" s="5">
        <v>109</v>
      </c>
    </row>
    <row r="4351" spans="1:19" ht="28" x14ac:dyDescent="0.15">
      <c r="A4351" s="2">
        <f>HYPERLINK("https://open-school.uspishnemisto.com.ua/school/210521/", 210521)</f>
        <v>210521</v>
      </c>
      <c r="B4351" s="3" t="s">
        <v>22766</v>
      </c>
      <c r="C4351" s="3" t="s">
        <v>31</v>
      </c>
      <c r="D4351" s="3" t="s">
        <v>60</v>
      </c>
      <c r="E4351" s="4" t="s">
        <v>22</v>
      </c>
      <c r="F4351" s="4" t="s">
        <v>22767</v>
      </c>
      <c r="G4351" s="4" t="s">
        <v>22768</v>
      </c>
      <c r="H4351" s="3" t="s">
        <v>20074</v>
      </c>
      <c r="I4351" s="3" t="s">
        <v>22769</v>
      </c>
      <c r="J4351" s="3" t="s">
        <v>22770</v>
      </c>
      <c r="K4351" s="3" t="s">
        <v>22771</v>
      </c>
      <c r="L4351" s="3"/>
      <c r="M4351" s="4" t="s">
        <v>22772</v>
      </c>
      <c r="N4351" s="3" t="s">
        <v>37</v>
      </c>
      <c r="O4351" s="3" t="s">
        <v>52</v>
      </c>
      <c r="P4351" s="5">
        <v>4</v>
      </c>
      <c r="Q4351" s="5">
        <v>42</v>
      </c>
      <c r="R4351" s="5">
        <v>4</v>
      </c>
      <c r="S4351" s="5">
        <v>43</v>
      </c>
    </row>
    <row r="4352" spans="1:19" ht="28" x14ac:dyDescent="0.15">
      <c r="A4352" s="2">
        <f>HYPERLINK("https://open-school.uspishnemisto.com.ua/school/210522/", 210522)</f>
        <v>210522</v>
      </c>
      <c r="B4352" s="3" t="s">
        <v>22773</v>
      </c>
      <c r="C4352" s="3" t="s">
        <v>31</v>
      </c>
      <c r="D4352" s="3" t="s">
        <v>32</v>
      </c>
      <c r="E4352" s="4" t="s">
        <v>22</v>
      </c>
      <c r="F4352" s="4" t="s">
        <v>22767</v>
      </c>
      <c r="G4352" s="4" t="s">
        <v>22768</v>
      </c>
      <c r="H4352" s="3" t="s">
        <v>20074</v>
      </c>
      <c r="I4352" s="3" t="s">
        <v>22769</v>
      </c>
      <c r="J4352" s="3" t="s">
        <v>22774</v>
      </c>
      <c r="K4352" s="3" t="s">
        <v>22775</v>
      </c>
      <c r="L4352" s="3"/>
      <c r="M4352" s="4" t="s">
        <v>22776</v>
      </c>
      <c r="N4352" s="3" t="s">
        <v>37</v>
      </c>
      <c r="O4352" s="3" t="s">
        <v>70</v>
      </c>
      <c r="P4352" s="5">
        <v>30</v>
      </c>
      <c r="Q4352" s="5">
        <v>711</v>
      </c>
      <c r="R4352" s="5">
        <v>29</v>
      </c>
      <c r="S4352" s="5">
        <v>695</v>
      </c>
    </row>
    <row r="4353" spans="1:19" ht="28" x14ac:dyDescent="0.15">
      <c r="A4353" s="2">
        <f>HYPERLINK("https://open-school.uspishnemisto.com.ua/school/210523/", 210523)</f>
        <v>210523</v>
      </c>
      <c r="B4353" s="3" t="s">
        <v>22777</v>
      </c>
      <c r="C4353" s="3" t="s">
        <v>31</v>
      </c>
      <c r="D4353" s="3" t="s">
        <v>32</v>
      </c>
      <c r="E4353" s="4" t="s">
        <v>22</v>
      </c>
      <c r="F4353" s="4" t="s">
        <v>22778</v>
      </c>
      <c r="G4353" s="4" t="s">
        <v>22779</v>
      </c>
      <c r="H4353" s="3" t="s">
        <v>20074</v>
      </c>
      <c r="I4353" s="3" t="s">
        <v>22780</v>
      </c>
      <c r="J4353" s="3" t="s">
        <v>2476</v>
      </c>
      <c r="K4353" s="3" t="s">
        <v>22781</v>
      </c>
      <c r="L4353" s="3"/>
      <c r="M4353" s="4" t="s">
        <v>22782</v>
      </c>
      <c r="N4353" s="3" t="s">
        <v>22783</v>
      </c>
      <c r="O4353" s="3" t="s">
        <v>2740</v>
      </c>
      <c r="P4353" s="5">
        <v>41</v>
      </c>
      <c r="Q4353" s="5">
        <v>851</v>
      </c>
      <c r="R4353" s="5">
        <v>40</v>
      </c>
      <c r="S4353" s="5">
        <v>836</v>
      </c>
    </row>
    <row r="4354" spans="1:19" ht="42" x14ac:dyDescent="0.15">
      <c r="A4354" s="2">
        <f>HYPERLINK("https://open-school.uspishnemisto.com.ua/school/210524/", 210524)</f>
        <v>210524</v>
      </c>
      <c r="B4354" s="3" t="s">
        <v>22784</v>
      </c>
      <c r="C4354" s="3" t="s">
        <v>31</v>
      </c>
      <c r="D4354" s="3" t="s">
        <v>175</v>
      </c>
      <c r="E4354" s="4" t="s">
        <v>22</v>
      </c>
      <c r="F4354" s="4" t="s">
        <v>22778</v>
      </c>
      <c r="G4354" s="4" t="s">
        <v>22779</v>
      </c>
      <c r="H4354" s="3" t="s">
        <v>20074</v>
      </c>
      <c r="I4354" s="3" t="s">
        <v>22780</v>
      </c>
      <c r="J4354" s="3" t="s">
        <v>22785</v>
      </c>
      <c r="K4354" s="3" t="s">
        <v>22786</v>
      </c>
      <c r="L4354" s="3"/>
      <c r="M4354" s="4" t="s">
        <v>22787</v>
      </c>
      <c r="N4354" s="3" t="s">
        <v>22346</v>
      </c>
      <c r="O4354" s="3" t="s">
        <v>13272</v>
      </c>
      <c r="P4354" s="5">
        <v>3</v>
      </c>
      <c r="Q4354" s="5">
        <v>34</v>
      </c>
      <c r="R4354" s="5">
        <v>3</v>
      </c>
      <c r="S4354" s="5">
        <v>32</v>
      </c>
    </row>
    <row r="4355" spans="1:19" ht="42" x14ac:dyDescent="0.15">
      <c r="A4355" s="2">
        <f>HYPERLINK("https://open-school.uspishnemisto.com.ua/school/210525/", 210525)</f>
        <v>210525</v>
      </c>
      <c r="B4355" s="3" t="s">
        <v>22788</v>
      </c>
      <c r="C4355" s="3" t="s">
        <v>31</v>
      </c>
      <c r="D4355" s="3" t="s">
        <v>175</v>
      </c>
      <c r="E4355" s="4" t="s">
        <v>22</v>
      </c>
      <c r="F4355" s="4"/>
      <c r="G4355" s="4" t="s">
        <v>22789</v>
      </c>
      <c r="H4355" s="3" t="s">
        <v>20074</v>
      </c>
      <c r="I4355" s="3" t="s">
        <v>22790</v>
      </c>
      <c r="J4355" s="3" t="s">
        <v>22791</v>
      </c>
      <c r="K4355" s="3" t="s">
        <v>22792</v>
      </c>
      <c r="L4355" s="3"/>
      <c r="M4355" s="4"/>
      <c r="N4355" s="3" t="s">
        <v>22346</v>
      </c>
      <c r="O4355" s="3" t="s">
        <v>2740</v>
      </c>
      <c r="P4355" s="5">
        <v>10</v>
      </c>
      <c r="Q4355" s="5">
        <v>169</v>
      </c>
      <c r="R4355" s="5">
        <v>10</v>
      </c>
      <c r="S4355" s="5">
        <v>165</v>
      </c>
    </row>
    <row r="4356" spans="1:19" ht="42" x14ac:dyDescent="0.15">
      <c r="A4356" s="2">
        <f>HYPERLINK("https://open-school.uspishnemisto.com.ua/school/210526/", 210526)</f>
        <v>210526</v>
      </c>
      <c r="B4356" s="3" t="s">
        <v>22793</v>
      </c>
      <c r="C4356" s="3" t="s">
        <v>31</v>
      </c>
      <c r="D4356" s="3" t="s">
        <v>32</v>
      </c>
      <c r="E4356" s="4" t="s">
        <v>22</v>
      </c>
      <c r="F4356" s="4" t="s">
        <v>22794</v>
      </c>
      <c r="G4356" s="4" t="s">
        <v>22795</v>
      </c>
      <c r="H4356" s="3" t="s">
        <v>20074</v>
      </c>
      <c r="I4356" s="3" t="s">
        <v>22796</v>
      </c>
      <c r="J4356" s="3" t="s">
        <v>4636</v>
      </c>
      <c r="K4356" s="3" t="s">
        <v>22797</v>
      </c>
      <c r="L4356" s="3"/>
      <c r="M4356" s="4" t="s">
        <v>22798</v>
      </c>
      <c r="N4356" s="3" t="s">
        <v>37</v>
      </c>
      <c r="O4356" s="3" t="s">
        <v>52</v>
      </c>
      <c r="P4356" s="5">
        <v>22</v>
      </c>
      <c r="Q4356" s="5">
        <v>411</v>
      </c>
      <c r="R4356" s="5">
        <v>22</v>
      </c>
      <c r="S4356" s="5">
        <v>405</v>
      </c>
    </row>
    <row r="4357" spans="1:19" ht="42" x14ac:dyDescent="0.15">
      <c r="A4357" s="2">
        <f>HYPERLINK("https://open-school.uspishnemisto.com.ua/school/210527/", 210527)</f>
        <v>210527</v>
      </c>
      <c r="B4357" s="3" t="s">
        <v>22799</v>
      </c>
      <c r="C4357" s="3" t="s">
        <v>31</v>
      </c>
      <c r="D4357" s="3" t="s">
        <v>175</v>
      </c>
      <c r="E4357" s="4" t="s">
        <v>22</v>
      </c>
      <c r="F4357" s="4" t="s">
        <v>22800</v>
      </c>
      <c r="G4357" s="4" t="s">
        <v>22801</v>
      </c>
      <c r="H4357" s="3" t="s">
        <v>20074</v>
      </c>
      <c r="I4357" s="3" t="s">
        <v>22802</v>
      </c>
      <c r="J4357" s="3" t="s">
        <v>22803</v>
      </c>
      <c r="K4357" s="3"/>
      <c r="L4357" s="3"/>
      <c r="M4357" s="4" t="s">
        <v>22804</v>
      </c>
      <c r="N4357" s="3" t="s">
        <v>37</v>
      </c>
      <c r="O4357" s="3" t="s">
        <v>46</v>
      </c>
      <c r="P4357" s="5">
        <v>10</v>
      </c>
      <c r="Q4357" s="5">
        <v>173</v>
      </c>
      <c r="R4357" s="5">
        <v>9</v>
      </c>
      <c r="S4357" s="5">
        <v>160</v>
      </c>
    </row>
    <row r="4358" spans="1:19" ht="42" x14ac:dyDescent="0.15">
      <c r="A4358" s="2">
        <f>HYPERLINK("https://open-school.uspishnemisto.com.ua/school/210528/", 210528)</f>
        <v>210528</v>
      </c>
      <c r="B4358" s="3" t="s">
        <v>22805</v>
      </c>
      <c r="C4358" s="3" t="s">
        <v>31</v>
      </c>
      <c r="D4358" s="3" t="s">
        <v>175</v>
      </c>
      <c r="E4358" s="4" t="s">
        <v>22</v>
      </c>
      <c r="F4358" s="4" t="s">
        <v>22806</v>
      </c>
      <c r="G4358" s="4" t="s">
        <v>22807</v>
      </c>
      <c r="H4358" s="3" t="s">
        <v>20074</v>
      </c>
      <c r="I4358" s="3" t="s">
        <v>22808</v>
      </c>
      <c r="J4358" s="3" t="s">
        <v>22809</v>
      </c>
      <c r="K4358" s="3" t="s">
        <v>22810</v>
      </c>
      <c r="L4358" s="3"/>
      <c r="M4358" s="4" t="s">
        <v>22811</v>
      </c>
      <c r="N4358" s="3" t="s">
        <v>37</v>
      </c>
      <c r="O4358" s="3" t="s">
        <v>46</v>
      </c>
      <c r="P4358" s="5">
        <v>9</v>
      </c>
      <c r="Q4358" s="5">
        <v>167</v>
      </c>
      <c r="R4358" s="5">
        <v>9</v>
      </c>
      <c r="S4358" s="5">
        <v>167</v>
      </c>
    </row>
    <row r="4359" spans="1:19" ht="42" x14ac:dyDescent="0.15">
      <c r="A4359" s="2">
        <f>HYPERLINK("https://open-school.uspishnemisto.com.ua/school/210529/", 210529)</f>
        <v>210529</v>
      </c>
      <c r="B4359" s="3" t="s">
        <v>22812</v>
      </c>
      <c r="C4359" s="3" t="s">
        <v>31</v>
      </c>
      <c r="D4359" s="3" t="s">
        <v>32</v>
      </c>
      <c r="E4359" s="4" t="s">
        <v>22</v>
      </c>
      <c r="F4359" s="4" t="s">
        <v>22806</v>
      </c>
      <c r="G4359" s="4" t="s">
        <v>22807</v>
      </c>
      <c r="H4359" s="3" t="s">
        <v>20074</v>
      </c>
      <c r="I4359" s="3" t="s">
        <v>22808</v>
      </c>
      <c r="J4359" s="3" t="s">
        <v>22813</v>
      </c>
      <c r="K4359" s="3" t="s">
        <v>22814</v>
      </c>
      <c r="L4359" s="3"/>
      <c r="M4359" s="4" t="s">
        <v>22815</v>
      </c>
      <c r="N4359" s="3" t="s">
        <v>37</v>
      </c>
      <c r="O4359" s="3" t="s">
        <v>70</v>
      </c>
      <c r="P4359" s="5">
        <v>28</v>
      </c>
      <c r="Q4359" s="5">
        <v>621</v>
      </c>
      <c r="R4359" s="5">
        <v>27</v>
      </c>
      <c r="S4359" s="5">
        <v>594</v>
      </c>
    </row>
    <row r="4360" spans="1:19" ht="42" x14ac:dyDescent="0.15">
      <c r="A4360" s="2">
        <f>HYPERLINK("https://open-school.uspishnemisto.com.ua/school/210530/", 210530)</f>
        <v>210530</v>
      </c>
      <c r="B4360" s="3" t="s">
        <v>22816</v>
      </c>
      <c r="C4360" s="3" t="s">
        <v>31</v>
      </c>
      <c r="D4360" s="3" t="s">
        <v>32</v>
      </c>
      <c r="E4360" s="4" t="s">
        <v>22</v>
      </c>
      <c r="F4360" s="4" t="s">
        <v>22817</v>
      </c>
      <c r="G4360" s="4" t="s">
        <v>22818</v>
      </c>
      <c r="H4360" s="3" t="s">
        <v>20074</v>
      </c>
      <c r="I4360" s="3" t="s">
        <v>22819</v>
      </c>
      <c r="J4360" s="3" t="s">
        <v>22820</v>
      </c>
      <c r="K4360" s="3" t="s">
        <v>22821</v>
      </c>
      <c r="L4360" s="3"/>
      <c r="M4360" s="4" t="s">
        <v>22822</v>
      </c>
      <c r="N4360" s="3" t="s">
        <v>37</v>
      </c>
      <c r="O4360" s="3" t="s">
        <v>70</v>
      </c>
      <c r="P4360" s="5">
        <v>12</v>
      </c>
      <c r="Q4360" s="5">
        <v>215</v>
      </c>
      <c r="R4360" s="5">
        <v>12</v>
      </c>
      <c r="S4360" s="5">
        <v>214</v>
      </c>
    </row>
    <row r="4361" spans="1:19" ht="42" x14ac:dyDescent="0.15">
      <c r="A4361" s="2">
        <f>HYPERLINK("https://open-school.uspishnemisto.com.ua/school/210531/", 210531)</f>
        <v>210531</v>
      </c>
      <c r="B4361" s="3" t="s">
        <v>22823</v>
      </c>
      <c r="C4361" s="3" t="s">
        <v>31</v>
      </c>
      <c r="D4361" s="3" t="s">
        <v>32</v>
      </c>
      <c r="E4361" s="4" t="s">
        <v>22</v>
      </c>
      <c r="F4361" s="4" t="s">
        <v>22824</v>
      </c>
      <c r="G4361" s="4" t="s">
        <v>22825</v>
      </c>
      <c r="H4361" s="3" t="s">
        <v>20074</v>
      </c>
      <c r="I4361" s="3" t="s">
        <v>22826</v>
      </c>
      <c r="J4361" s="3" t="s">
        <v>22827</v>
      </c>
      <c r="K4361" s="3" t="s">
        <v>22828</v>
      </c>
      <c r="L4361" s="3"/>
      <c r="M4361" s="4" t="s">
        <v>22829</v>
      </c>
      <c r="N4361" s="3" t="s">
        <v>37</v>
      </c>
      <c r="O4361" s="3" t="s">
        <v>52</v>
      </c>
      <c r="P4361" s="5">
        <v>19</v>
      </c>
      <c r="Q4361" s="5">
        <v>344</v>
      </c>
      <c r="R4361" s="5">
        <v>18</v>
      </c>
      <c r="S4361" s="5">
        <v>328</v>
      </c>
    </row>
    <row r="4362" spans="1:19" ht="28" x14ac:dyDescent="0.15">
      <c r="A4362" s="2">
        <f>HYPERLINK("https://open-school.uspishnemisto.com.ua/school/210532/", 210532)</f>
        <v>210532</v>
      </c>
      <c r="B4362" s="3" t="s">
        <v>22830</v>
      </c>
      <c r="C4362" s="3" t="s">
        <v>31</v>
      </c>
      <c r="D4362" s="3"/>
      <c r="E4362" s="4" t="s">
        <v>22</v>
      </c>
      <c r="F4362" s="4" t="s">
        <v>22831</v>
      </c>
      <c r="G4362" s="4" t="s">
        <v>22832</v>
      </c>
      <c r="H4362" s="3" t="s">
        <v>20074</v>
      </c>
      <c r="I4362" s="3" t="s">
        <v>22833</v>
      </c>
      <c r="J4362" s="3" t="s">
        <v>22834</v>
      </c>
      <c r="K4362" s="3" t="s">
        <v>22835</v>
      </c>
      <c r="L4362" s="3"/>
      <c r="M4362" s="4"/>
      <c r="N4362" s="3" t="s">
        <v>37</v>
      </c>
      <c r="O4362" s="3" t="s">
        <v>52</v>
      </c>
      <c r="P4362" s="5">
        <v>3</v>
      </c>
      <c r="Q4362" s="5">
        <v>20</v>
      </c>
      <c r="R4362" s="5">
        <v>3</v>
      </c>
      <c r="S4362" s="5">
        <v>19</v>
      </c>
    </row>
    <row r="4363" spans="1:19" ht="28" x14ac:dyDescent="0.15">
      <c r="A4363" s="2">
        <f>HYPERLINK("https://open-school.uspishnemisto.com.ua/school/210533/", 210533)</f>
        <v>210533</v>
      </c>
      <c r="B4363" s="3" t="s">
        <v>22836</v>
      </c>
      <c r="C4363" s="3" t="s">
        <v>31</v>
      </c>
      <c r="D4363" s="3" t="s">
        <v>175</v>
      </c>
      <c r="E4363" s="4" t="s">
        <v>22</v>
      </c>
      <c r="F4363" s="4" t="s">
        <v>22831</v>
      </c>
      <c r="G4363" s="4" t="s">
        <v>22832</v>
      </c>
      <c r="H4363" s="3" t="s">
        <v>20074</v>
      </c>
      <c r="I4363" s="3" t="s">
        <v>22833</v>
      </c>
      <c r="J4363" s="3" t="s">
        <v>22837</v>
      </c>
      <c r="K4363" s="3" t="s">
        <v>22838</v>
      </c>
      <c r="L4363" s="3"/>
      <c r="M4363" s="4"/>
      <c r="N4363" s="3" t="s">
        <v>37</v>
      </c>
      <c r="O4363" s="3" t="s">
        <v>46</v>
      </c>
      <c r="P4363" s="5">
        <v>16</v>
      </c>
      <c r="Q4363" s="5">
        <v>330</v>
      </c>
      <c r="R4363" s="5">
        <v>15</v>
      </c>
      <c r="S4363" s="5">
        <v>308</v>
      </c>
    </row>
    <row r="4364" spans="1:19" ht="28" x14ac:dyDescent="0.15">
      <c r="A4364" s="2">
        <f>HYPERLINK("https://open-school.uspishnemisto.com.ua/school/210534/", 210534)</f>
        <v>210534</v>
      </c>
      <c r="B4364" s="3" t="s">
        <v>22839</v>
      </c>
      <c r="C4364" s="3" t="s">
        <v>31</v>
      </c>
      <c r="D4364" s="3" t="s">
        <v>32</v>
      </c>
      <c r="E4364" s="4" t="s">
        <v>22</v>
      </c>
      <c r="F4364" s="4" t="s">
        <v>22840</v>
      </c>
      <c r="G4364" s="4" t="s">
        <v>22841</v>
      </c>
      <c r="H4364" s="3" t="s">
        <v>20074</v>
      </c>
      <c r="I4364" s="3" t="s">
        <v>22842</v>
      </c>
      <c r="J4364" s="3" t="s">
        <v>22843</v>
      </c>
      <c r="K4364" s="3" t="s">
        <v>22844</v>
      </c>
      <c r="L4364" s="3"/>
      <c r="M4364" s="4" t="s">
        <v>22845</v>
      </c>
      <c r="N4364" s="3" t="s">
        <v>37</v>
      </c>
      <c r="O4364" s="3" t="s">
        <v>46</v>
      </c>
      <c r="P4364" s="5">
        <v>18</v>
      </c>
      <c r="Q4364" s="5">
        <v>313</v>
      </c>
      <c r="R4364" s="5">
        <v>18</v>
      </c>
      <c r="S4364" s="5">
        <v>342</v>
      </c>
    </row>
    <row r="4365" spans="1:19" ht="28" x14ac:dyDescent="0.15">
      <c r="A4365" s="2">
        <f>HYPERLINK("https://open-school.uspishnemisto.com.ua/school/210535/", 210535)</f>
        <v>210535</v>
      </c>
      <c r="B4365" s="3" t="s">
        <v>22846</v>
      </c>
      <c r="C4365" s="3" t="s">
        <v>31</v>
      </c>
      <c r="D4365" s="3" t="s">
        <v>32</v>
      </c>
      <c r="E4365" s="4" t="s">
        <v>22</v>
      </c>
      <c r="F4365" s="4" t="s">
        <v>22847</v>
      </c>
      <c r="G4365" s="4" t="s">
        <v>22848</v>
      </c>
      <c r="H4365" s="3" t="s">
        <v>20074</v>
      </c>
      <c r="I4365" s="3" t="s">
        <v>21169</v>
      </c>
      <c r="J4365" s="3" t="s">
        <v>22849</v>
      </c>
      <c r="K4365" s="3" t="s">
        <v>22850</v>
      </c>
      <c r="L4365" s="3"/>
      <c r="M4365" s="4" t="s">
        <v>22851</v>
      </c>
      <c r="N4365" s="3" t="s">
        <v>37</v>
      </c>
      <c r="O4365" s="3" t="s">
        <v>52</v>
      </c>
      <c r="P4365" s="5">
        <v>27</v>
      </c>
      <c r="Q4365" s="5">
        <v>514</v>
      </c>
      <c r="R4365" s="5">
        <v>28</v>
      </c>
      <c r="S4365" s="5">
        <v>513</v>
      </c>
    </row>
    <row r="4366" spans="1:19" ht="28" x14ac:dyDescent="0.15">
      <c r="A4366" s="2">
        <f>HYPERLINK("https://open-school.uspishnemisto.com.ua/school/210536/", 210536)</f>
        <v>210536</v>
      </c>
      <c r="B4366" s="3" t="s">
        <v>22852</v>
      </c>
      <c r="C4366" s="3" t="s">
        <v>31</v>
      </c>
      <c r="D4366" s="3" t="s">
        <v>175</v>
      </c>
      <c r="E4366" s="4" t="s">
        <v>22</v>
      </c>
      <c r="F4366" s="4" t="s">
        <v>22853</v>
      </c>
      <c r="G4366" s="4" t="s">
        <v>22854</v>
      </c>
      <c r="H4366" s="3" t="s">
        <v>20074</v>
      </c>
      <c r="I4366" s="3" t="s">
        <v>22855</v>
      </c>
      <c r="J4366" s="3" t="s">
        <v>15190</v>
      </c>
      <c r="K4366" s="3" t="s">
        <v>22856</v>
      </c>
      <c r="L4366" s="3"/>
      <c r="M4366" s="4" t="s">
        <v>22857</v>
      </c>
      <c r="N4366" s="3" t="s">
        <v>37</v>
      </c>
      <c r="O4366" s="3" t="s">
        <v>38</v>
      </c>
      <c r="P4366" s="5">
        <v>21</v>
      </c>
      <c r="Q4366" s="5">
        <v>227</v>
      </c>
      <c r="R4366" s="5">
        <v>20</v>
      </c>
      <c r="S4366" s="5">
        <v>226</v>
      </c>
    </row>
    <row r="4367" spans="1:19" ht="42" x14ac:dyDescent="0.15">
      <c r="A4367" s="2">
        <f>HYPERLINK("https://open-school.uspishnemisto.com.ua/school/210537/", 210537)</f>
        <v>210537</v>
      </c>
      <c r="B4367" s="3" t="s">
        <v>22858</v>
      </c>
      <c r="C4367" s="3" t="s">
        <v>31</v>
      </c>
      <c r="D4367" s="3" t="s">
        <v>32</v>
      </c>
      <c r="E4367" s="4" t="s">
        <v>22</v>
      </c>
      <c r="F4367" s="4" t="s">
        <v>22859</v>
      </c>
      <c r="G4367" s="4" t="s">
        <v>22860</v>
      </c>
      <c r="H4367" s="3" t="s">
        <v>20074</v>
      </c>
      <c r="I4367" s="3" t="s">
        <v>22861</v>
      </c>
      <c r="J4367" s="3" t="s">
        <v>22862</v>
      </c>
      <c r="K4367" s="3" t="s">
        <v>22863</v>
      </c>
      <c r="L4367" s="3"/>
      <c r="M4367" s="4" t="s">
        <v>22864</v>
      </c>
      <c r="N4367" s="3" t="s">
        <v>37</v>
      </c>
      <c r="O4367" s="3" t="s">
        <v>46</v>
      </c>
      <c r="P4367" s="5">
        <v>26</v>
      </c>
      <c r="Q4367" s="5">
        <v>577</v>
      </c>
      <c r="R4367" s="5">
        <v>26</v>
      </c>
      <c r="S4367" s="5">
        <v>564</v>
      </c>
    </row>
    <row r="4368" spans="1:19" ht="56" x14ac:dyDescent="0.15">
      <c r="A4368" s="2">
        <f>HYPERLINK("https://open-school.uspishnemisto.com.ua/school/210538/", 210538)</f>
        <v>210538</v>
      </c>
      <c r="B4368" s="3" t="s">
        <v>22865</v>
      </c>
      <c r="C4368" s="3" t="s">
        <v>54</v>
      </c>
      <c r="D4368" s="3" t="s">
        <v>60</v>
      </c>
      <c r="E4368" s="4" t="s">
        <v>22</v>
      </c>
      <c r="F4368" s="4" t="s">
        <v>22859</v>
      </c>
      <c r="G4368" s="4" t="s">
        <v>22860</v>
      </c>
      <c r="H4368" s="3" t="s">
        <v>20074</v>
      </c>
      <c r="I4368" s="3" t="s">
        <v>22861</v>
      </c>
      <c r="J4368" s="3" t="s">
        <v>22866</v>
      </c>
      <c r="K4368" s="3" t="s">
        <v>22867</v>
      </c>
      <c r="L4368" s="3"/>
      <c r="M4368" s="4" t="s">
        <v>22868</v>
      </c>
      <c r="N4368" s="3" t="s">
        <v>37</v>
      </c>
      <c r="O4368" s="3" t="s">
        <v>618</v>
      </c>
      <c r="P4368" s="5">
        <v>4</v>
      </c>
      <c r="Q4368" s="5">
        <v>33</v>
      </c>
      <c r="R4368" s="5">
        <v>4</v>
      </c>
      <c r="S4368" s="5">
        <v>35</v>
      </c>
    </row>
    <row r="4369" spans="1:19" ht="56" x14ac:dyDescent="0.15">
      <c r="A4369" s="2">
        <f>HYPERLINK("https://open-school.uspishnemisto.com.ua/school/210539/", 210539)</f>
        <v>210539</v>
      </c>
      <c r="B4369" s="3" t="s">
        <v>22869</v>
      </c>
      <c r="C4369" s="3" t="s">
        <v>54</v>
      </c>
      <c r="D4369" s="3" t="s">
        <v>60</v>
      </c>
      <c r="E4369" s="4" t="s">
        <v>22</v>
      </c>
      <c r="F4369" s="4" t="s">
        <v>22859</v>
      </c>
      <c r="G4369" s="4" t="s">
        <v>22860</v>
      </c>
      <c r="H4369" s="3" t="s">
        <v>20074</v>
      </c>
      <c r="I4369" s="3" t="s">
        <v>22861</v>
      </c>
      <c r="J4369" s="3" t="s">
        <v>22870</v>
      </c>
      <c r="K4369" s="3" t="s">
        <v>22871</v>
      </c>
      <c r="L4369" s="3"/>
      <c r="M4369" s="4"/>
      <c r="N4369" s="3" t="s">
        <v>37</v>
      </c>
      <c r="O4369" s="3" t="s">
        <v>618</v>
      </c>
      <c r="P4369" s="5">
        <v>3</v>
      </c>
      <c r="Q4369" s="5">
        <v>21</v>
      </c>
      <c r="R4369" s="5">
        <v>2</v>
      </c>
      <c r="S4369" s="5">
        <v>18</v>
      </c>
    </row>
    <row r="4370" spans="1:19" ht="42" x14ac:dyDescent="0.15">
      <c r="A4370" s="2">
        <f>HYPERLINK("https://open-school.uspishnemisto.com.ua/school/210540/", 210540)</f>
        <v>210540</v>
      </c>
      <c r="B4370" s="3" t="s">
        <v>22872</v>
      </c>
      <c r="C4370" s="3" t="s">
        <v>31</v>
      </c>
      <c r="D4370" s="3" t="s">
        <v>32</v>
      </c>
      <c r="E4370" s="4" t="s">
        <v>22</v>
      </c>
      <c r="F4370" s="4" t="s">
        <v>22873</v>
      </c>
      <c r="G4370" s="4" t="s">
        <v>22874</v>
      </c>
      <c r="H4370" s="3" t="s">
        <v>20074</v>
      </c>
      <c r="I4370" s="3" t="s">
        <v>22875</v>
      </c>
      <c r="J4370" s="3" t="s">
        <v>22876</v>
      </c>
      <c r="K4370" s="3" t="s">
        <v>22877</v>
      </c>
      <c r="L4370" s="3"/>
      <c r="M4370" s="4" t="s">
        <v>22878</v>
      </c>
      <c r="N4370" s="3" t="s">
        <v>37</v>
      </c>
      <c r="O4370" s="3" t="s">
        <v>46</v>
      </c>
      <c r="P4370" s="5">
        <v>24</v>
      </c>
      <c r="Q4370" s="5">
        <v>501</v>
      </c>
      <c r="R4370" s="5">
        <v>23</v>
      </c>
      <c r="S4370" s="5">
        <v>485</v>
      </c>
    </row>
    <row r="4371" spans="1:19" ht="42" x14ac:dyDescent="0.15">
      <c r="A4371" s="2">
        <f>HYPERLINK("https://open-school.uspishnemisto.com.ua/school/210541/", 210541)</f>
        <v>210541</v>
      </c>
      <c r="B4371" s="3" t="s">
        <v>22879</v>
      </c>
      <c r="C4371" s="3" t="s">
        <v>31</v>
      </c>
      <c r="D4371" s="3" t="s">
        <v>175</v>
      </c>
      <c r="E4371" s="4" t="s">
        <v>22</v>
      </c>
      <c r="F4371" s="4" t="s">
        <v>22880</v>
      </c>
      <c r="G4371" s="4" t="s">
        <v>22881</v>
      </c>
      <c r="H4371" s="3" t="s">
        <v>20074</v>
      </c>
      <c r="I4371" s="3" t="s">
        <v>22882</v>
      </c>
      <c r="J4371" s="3" t="s">
        <v>22883</v>
      </c>
      <c r="K4371" s="3" t="s">
        <v>22884</v>
      </c>
      <c r="L4371" s="3"/>
      <c r="M4371" s="4" t="s">
        <v>22885</v>
      </c>
      <c r="N4371" s="3" t="s">
        <v>37</v>
      </c>
      <c r="O4371" s="3" t="s">
        <v>38</v>
      </c>
      <c r="P4371" s="5">
        <v>9</v>
      </c>
      <c r="Q4371" s="5">
        <v>114</v>
      </c>
      <c r="R4371" s="5">
        <v>9</v>
      </c>
      <c r="S4371" s="5">
        <v>116</v>
      </c>
    </row>
    <row r="4372" spans="1:19" ht="42" x14ac:dyDescent="0.15">
      <c r="A4372" s="2">
        <f>HYPERLINK("https://open-school.uspishnemisto.com.ua/school/210542/", 210542)</f>
        <v>210542</v>
      </c>
      <c r="B4372" s="3" t="s">
        <v>22886</v>
      </c>
      <c r="C4372" s="3" t="s">
        <v>31</v>
      </c>
      <c r="D4372" s="3" t="s">
        <v>175</v>
      </c>
      <c r="E4372" s="4" t="s">
        <v>22</v>
      </c>
      <c r="F4372" s="4" t="s">
        <v>22887</v>
      </c>
      <c r="G4372" s="4" t="s">
        <v>22888</v>
      </c>
      <c r="H4372" s="3" t="s">
        <v>20074</v>
      </c>
      <c r="I4372" s="3" t="s">
        <v>22889</v>
      </c>
      <c r="J4372" s="3" t="s">
        <v>22890</v>
      </c>
      <c r="K4372" s="3" t="s">
        <v>22891</v>
      </c>
      <c r="L4372" s="3"/>
      <c r="M4372" s="4"/>
      <c r="N4372" s="3" t="s">
        <v>37</v>
      </c>
      <c r="O4372" s="3" t="s">
        <v>46</v>
      </c>
      <c r="P4372" s="5">
        <v>10</v>
      </c>
      <c r="Q4372" s="5">
        <v>156</v>
      </c>
      <c r="R4372" s="5">
        <v>10</v>
      </c>
      <c r="S4372" s="5">
        <v>161</v>
      </c>
    </row>
    <row r="4373" spans="1:19" ht="42" x14ac:dyDescent="0.15">
      <c r="A4373" s="2">
        <f>HYPERLINK("https://open-school.uspishnemisto.com.ua/school/210543/", 210543)</f>
        <v>210543</v>
      </c>
      <c r="B4373" s="3" t="s">
        <v>22892</v>
      </c>
      <c r="C4373" s="3" t="s">
        <v>31</v>
      </c>
      <c r="D4373" s="3" t="s">
        <v>32</v>
      </c>
      <c r="E4373" s="4" t="s">
        <v>22</v>
      </c>
      <c r="F4373" s="4" t="s">
        <v>22893</v>
      </c>
      <c r="G4373" s="4" t="s">
        <v>22894</v>
      </c>
      <c r="H4373" s="3" t="s">
        <v>20074</v>
      </c>
      <c r="I4373" s="3" t="s">
        <v>2296</v>
      </c>
      <c r="J4373" s="3" t="s">
        <v>22895</v>
      </c>
      <c r="K4373" s="3" t="s">
        <v>22896</v>
      </c>
      <c r="L4373" s="3"/>
      <c r="M4373" s="4" t="s">
        <v>22897</v>
      </c>
      <c r="N4373" s="3" t="s">
        <v>37</v>
      </c>
      <c r="O4373" s="3" t="s">
        <v>52</v>
      </c>
      <c r="P4373" s="5">
        <v>29</v>
      </c>
      <c r="Q4373" s="5">
        <v>537</v>
      </c>
      <c r="R4373" s="5">
        <v>28</v>
      </c>
      <c r="S4373" s="5">
        <v>532</v>
      </c>
    </row>
    <row r="4374" spans="1:19" ht="42" x14ac:dyDescent="0.15">
      <c r="A4374" s="2">
        <f>HYPERLINK("https://open-school.uspishnemisto.com.ua/school/210544/", 210544)</f>
        <v>210544</v>
      </c>
      <c r="B4374" s="3" t="s">
        <v>22898</v>
      </c>
      <c r="C4374" s="3" t="s">
        <v>31</v>
      </c>
      <c r="D4374" s="3" t="s">
        <v>175</v>
      </c>
      <c r="E4374" s="4" t="s">
        <v>22</v>
      </c>
      <c r="F4374" s="4" t="s">
        <v>22899</v>
      </c>
      <c r="G4374" s="4" t="s">
        <v>22900</v>
      </c>
      <c r="H4374" s="3" t="s">
        <v>20074</v>
      </c>
      <c r="I4374" s="3" t="s">
        <v>22901</v>
      </c>
      <c r="J4374" s="3" t="s">
        <v>22902</v>
      </c>
      <c r="K4374" s="3"/>
      <c r="L4374" s="3"/>
      <c r="M4374" s="4"/>
      <c r="N4374" s="3" t="s">
        <v>37</v>
      </c>
      <c r="O4374" s="3" t="s">
        <v>46</v>
      </c>
      <c r="P4374" s="5">
        <v>9</v>
      </c>
      <c r="Q4374" s="5">
        <v>124</v>
      </c>
      <c r="R4374" s="5">
        <v>9</v>
      </c>
      <c r="S4374" s="5">
        <v>120</v>
      </c>
    </row>
    <row r="4375" spans="1:19" ht="42" x14ac:dyDescent="0.15">
      <c r="A4375" s="2">
        <f>HYPERLINK("https://open-school.uspishnemisto.com.ua/school/210545/", 210545)</f>
        <v>210545</v>
      </c>
      <c r="B4375" s="3" t="s">
        <v>22903</v>
      </c>
      <c r="C4375" s="3" t="s">
        <v>31</v>
      </c>
      <c r="D4375" s="3" t="s">
        <v>32</v>
      </c>
      <c r="E4375" s="4" t="s">
        <v>22</v>
      </c>
      <c r="F4375" s="4" t="s">
        <v>22904</v>
      </c>
      <c r="G4375" s="4" t="s">
        <v>22905</v>
      </c>
      <c r="H4375" s="3" t="s">
        <v>20074</v>
      </c>
      <c r="I4375" s="3" t="s">
        <v>22906</v>
      </c>
      <c r="J4375" s="3" t="s">
        <v>22907</v>
      </c>
      <c r="K4375" s="3" t="s">
        <v>22908</v>
      </c>
      <c r="L4375" s="3"/>
      <c r="M4375" s="4" t="s">
        <v>22909</v>
      </c>
      <c r="N4375" s="3" t="s">
        <v>37</v>
      </c>
      <c r="O4375" s="3" t="s">
        <v>197</v>
      </c>
      <c r="P4375" s="5">
        <v>26</v>
      </c>
      <c r="Q4375" s="5">
        <v>585</v>
      </c>
      <c r="R4375" s="5">
        <v>26</v>
      </c>
      <c r="S4375" s="5">
        <v>573</v>
      </c>
    </row>
    <row r="4376" spans="1:19" ht="42" x14ac:dyDescent="0.15">
      <c r="A4376" s="2">
        <f>HYPERLINK("https://open-school.uspishnemisto.com.ua/school/210546/", 210546)</f>
        <v>210546</v>
      </c>
      <c r="B4376" s="3" t="s">
        <v>22910</v>
      </c>
      <c r="C4376" s="3" t="s">
        <v>31</v>
      </c>
      <c r="D4376" s="3" t="s">
        <v>175</v>
      </c>
      <c r="E4376" s="4" t="s">
        <v>22</v>
      </c>
      <c r="F4376" s="4" t="s">
        <v>22911</v>
      </c>
      <c r="G4376" s="4" t="s">
        <v>22912</v>
      </c>
      <c r="H4376" s="3" t="s">
        <v>20074</v>
      </c>
      <c r="I4376" s="3" t="s">
        <v>22913</v>
      </c>
      <c r="J4376" s="3" t="s">
        <v>22914</v>
      </c>
      <c r="K4376" s="3" t="s">
        <v>22915</v>
      </c>
      <c r="L4376" s="3"/>
      <c r="M4376" s="4" t="s">
        <v>22916</v>
      </c>
      <c r="N4376" s="3" t="s">
        <v>37</v>
      </c>
      <c r="O4376" s="3" t="s">
        <v>38</v>
      </c>
      <c r="P4376" s="5">
        <v>9</v>
      </c>
      <c r="Q4376" s="5">
        <v>141</v>
      </c>
      <c r="R4376" s="5">
        <v>9</v>
      </c>
      <c r="S4376" s="5">
        <v>134</v>
      </c>
    </row>
    <row r="4377" spans="1:19" ht="42" x14ac:dyDescent="0.15">
      <c r="A4377" s="2">
        <f>HYPERLINK("https://open-school.uspishnemisto.com.ua/school/210547/", 210547)</f>
        <v>210547</v>
      </c>
      <c r="B4377" s="3" t="s">
        <v>22917</v>
      </c>
      <c r="C4377" s="3" t="s">
        <v>31</v>
      </c>
      <c r="D4377" s="3" t="s">
        <v>32</v>
      </c>
      <c r="E4377" s="4" t="s">
        <v>22</v>
      </c>
      <c r="F4377" s="4" t="s">
        <v>22918</v>
      </c>
      <c r="G4377" s="4" t="s">
        <v>22919</v>
      </c>
      <c r="H4377" s="3" t="s">
        <v>20074</v>
      </c>
      <c r="I4377" s="3" t="s">
        <v>22920</v>
      </c>
      <c r="J4377" s="3" t="s">
        <v>22921</v>
      </c>
      <c r="K4377" s="3" t="s">
        <v>22922</v>
      </c>
      <c r="L4377" s="3"/>
      <c r="M4377" s="4" t="s">
        <v>22923</v>
      </c>
      <c r="N4377" s="3" t="s">
        <v>37</v>
      </c>
      <c r="O4377" s="3" t="s">
        <v>46</v>
      </c>
      <c r="P4377" s="5">
        <v>27</v>
      </c>
      <c r="Q4377" s="5">
        <v>540</v>
      </c>
      <c r="R4377" s="5">
        <v>26</v>
      </c>
      <c r="S4377" s="5">
        <v>556</v>
      </c>
    </row>
    <row r="4378" spans="1:19" ht="42" x14ac:dyDescent="0.15">
      <c r="A4378" s="2">
        <f>HYPERLINK("https://open-school.uspishnemisto.com.ua/school/210548/", 210548)</f>
        <v>210548</v>
      </c>
      <c r="B4378" s="3" t="s">
        <v>22924</v>
      </c>
      <c r="C4378" s="3" t="s">
        <v>31</v>
      </c>
      <c r="D4378" s="3" t="s">
        <v>60</v>
      </c>
      <c r="E4378" s="4" t="s">
        <v>22</v>
      </c>
      <c r="F4378" s="4" t="s">
        <v>22918</v>
      </c>
      <c r="G4378" s="4" t="s">
        <v>22919</v>
      </c>
      <c r="H4378" s="3" t="s">
        <v>20074</v>
      </c>
      <c r="I4378" s="3" t="s">
        <v>22920</v>
      </c>
      <c r="J4378" s="3" t="s">
        <v>22925</v>
      </c>
      <c r="K4378" s="3" t="s">
        <v>22926</v>
      </c>
      <c r="L4378" s="3"/>
      <c r="M4378" s="4"/>
      <c r="N4378" s="3" t="s">
        <v>37</v>
      </c>
      <c r="O4378" s="3" t="s">
        <v>52</v>
      </c>
      <c r="P4378" s="5">
        <v>4</v>
      </c>
      <c r="Q4378" s="5">
        <v>46</v>
      </c>
      <c r="R4378" s="5">
        <v>4</v>
      </c>
      <c r="S4378" s="5">
        <v>43</v>
      </c>
    </row>
    <row r="4379" spans="1:19" ht="28" x14ac:dyDescent="0.15">
      <c r="A4379" s="2">
        <f>HYPERLINK("https://open-school.uspishnemisto.com.ua/school/210549/", 210549)</f>
        <v>210549</v>
      </c>
      <c r="B4379" s="3" t="s">
        <v>22927</v>
      </c>
      <c r="C4379" s="3" t="s">
        <v>31</v>
      </c>
      <c r="D4379" s="3" t="s">
        <v>175</v>
      </c>
      <c r="E4379" s="4" t="s">
        <v>22</v>
      </c>
      <c r="F4379" s="4" t="s">
        <v>22918</v>
      </c>
      <c r="G4379" s="4" t="s">
        <v>22928</v>
      </c>
      <c r="H4379" s="3" t="s">
        <v>20074</v>
      </c>
      <c r="I4379" s="3" t="s">
        <v>22929</v>
      </c>
      <c r="J4379" s="3" t="s">
        <v>22930</v>
      </c>
      <c r="K4379" s="3" t="s">
        <v>22931</v>
      </c>
      <c r="L4379" s="3"/>
      <c r="M4379" s="4" t="s">
        <v>22932</v>
      </c>
      <c r="N4379" s="3" t="s">
        <v>37</v>
      </c>
      <c r="O4379" s="3" t="s">
        <v>70</v>
      </c>
      <c r="P4379" s="5">
        <v>9</v>
      </c>
      <c r="Q4379" s="5">
        <v>131</v>
      </c>
      <c r="R4379" s="5">
        <v>9</v>
      </c>
      <c r="S4379" s="5">
        <v>135</v>
      </c>
    </row>
    <row r="4380" spans="1:19" ht="42" x14ac:dyDescent="0.15">
      <c r="A4380" s="2">
        <f>HYPERLINK("https://open-school.uspishnemisto.com.ua/school/210550/", 210550)</f>
        <v>210550</v>
      </c>
      <c r="B4380" s="3" t="s">
        <v>22933</v>
      </c>
      <c r="C4380" s="3" t="s">
        <v>31</v>
      </c>
      <c r="D4380" s="3" t="s">
        <v>175</v>
      </c>
      <c r="E4380" s="4" t="s">
        <v>22</v>
      </c>
      <c r="F4380" s="4" t="s">
        <v>22934</v>
      </c>
      <c r="G4380" s="4" t="s">
        <v>22935</v>
      </c>
      <c r="H4380" s="3" t="s">
        <v>20074</v>
      </c>
      <c r="I4380" s="3" t="s">
        <v>22936</v>
      </c>
      <c r="J4380" s="3" t="s">
        <v>22937</v>
      </c>
      <c r="K4380" s="3" t="s">
        <v>22938</v>
      </c>
      <c r="L4380" s="3" t="s">
        <v>22939</v>
      </c>
      <c r="M4380" s="4"/>
      <c r="N4380" s="3" t="s">
        <v>37</v>
      </c>
      <c r="O4380" s="3" t="s">
        <v>46</v>
      </c>
      <c r="P4380" s="5">
        <v>13</v>
      </c>
      <c r="Q4380" s="5">
        <v>208</v>
      </c>
      <c r="R4380" s="5">
        <v>13</v>
      </c>
      <c r="S4380" s="5">
        <v>206</v>
      </c>
    </row>
    <row r="4381" spans="1:19" ht="42" x14ac:dyDescent="0.15">
      <c r="A4381" s="2">
        <f>HYPERLINK("https://open-school.uspishnemisto.com.ua/school/210551/", 210551)</f>
        <v>210551</v>
      </c>
      <c r="B4381" s="3" t="s">
        <v>22940</v>
      </c>
      <c r="C4381" s="3" t="s">
        <v>31</v>
      </c>
      <c r="D4381" s="3" t="s">
        <v>175</v>
      </c>
      <c r="E4381" s="4" t="s">
        <v>22</v>
      </c>
      <c r="F4381" s="4" t="s">
        <v>22934</v>
      </c>
      <c r="G4381" s="4" t="s">
        <v>22941</v>
      </c>
      <c r="H4381" s="3" t="s">
        <v>20074</v>
      </c>
      <c r="I4381" s="3" t="s">
        <v>22942</v>
      </c>
      <c r="J4381" s="3" t="s">
        <v>16232</v>
      </c>
      <c r="K4381" s="3" t="s">
        <v>22943</v>
      </c>
      <c r="L4381" s="3"/>
      <c r="M4381" s="4" t="s">
        <v>22944</v>
      </c>
      <c r="N4381" s="3" t="s">
        <v>37</v>
      </c>
      <c r="O4381" s="3" t="s">
        <v>46</v>
      </c>
      <c r="P4381" s="5">
        <v>9</v>
      </c>
      <c r="Q4381" s="5">
        <v>110</v>
      </c>
      <c r="R4381" s="5">
        <v>9</v>
      </c>
      <c r="S4381" s="5">
        <v>113</v>
      </c>
    </row>
    <row r="4382" spans="1:19" ht="28" x14ac:dyDescent="0.15">
      <c r="A4382" s="2">
        <f>HYPERLINK("https://open-school.uspishnemisto.com.ua/school/210552/", 210552)</f>
        <v>210552</v>
      </c>
      <c r="B4382" s="3" t="s">
        <v>22945</v>
      </c>
      <c r="C4382" s="3" t="s">
        <v>31</v>
      </c>
      <c r="D4382" s="3" t="s">
        <v>32</v>
      </c>
      <c r="E4382" s="4" t="s">
        <v>22</v>
      </c>
      <c r="F4382" s="4" t="s">
        <v>22946</v>
      </c>
      <c r="G4382" s="4" t="s">
        <v>22947</v>
      </c>
      <c r="H4382" s="3" t="s">
        <v>20074</v>
      </c>
      <c r="I4382" s="3" t="s">
        <v>22948</v>
      </c>
      <c r="J4382" s="3" t="s">
        <v>466</v>
      </c>
      <c r="K4382" s="3" t="s">
        <v>22949</v>
      </c>
      <c r="L4382" s="3"/>
      <c r="M4382" s="4" t="s">
        <v>22950</v>
      </c>
      <c r="N4382" s="3" t="s">
        <v>37</v>
      </c>
      <c r="O4382" s="3" t="s">
        <v>52</v>
      </c>
      <c r="P4382" s="5">
        <v>28</v>
      </c>
      <c r="Q4382" s="5">
        <v>611</v>
      </c>
      <c r="R4382" s="5">
        <v>27</v>
      </c>
      <c r="S4382" s="5">
        <v>594</v>
      </c>
    </row>
    <row r="4383" spans="1:19" ht="42" x14ac:dyDescent="0.15">
      <c r="A4383" s="2">
        <f>HYPERLINK("https://open-school.uspishnemisto.com.ua/school/210553/", 210553)</f>
        <v>210553</v>
      </c>
      <c r="B4383" s="3" t="s">
        <v>22951</v>
      </c>
      <c r="C4383" s="3" t="s">
        <v>31</v>
      </c>
      <c r="D4383" s="3" t="s">
        <v>32</v>
      </c>
      <c r="E4383" s="4" t="s">
        <v>22</v>
      </c>
      <c r="F4383" s="4" t="s">
        <v>22952</v>
      </c>
      <c r="G4383" s="4" t="s">
        <v>22953</v>
      </c>
      <c r="H4383" s="3" t="s">
        <v>20074</v>
      </c>
      <c r="I4383" s="3" t="s">
        <v>1439</v>
      </c>
      <c r="J4383" s="3" t="s">
        <v>22954</v>
      </c>
      <c r="K4383" s="3" t="s">
        <v>22955</v>
      </c>
      <c r="L4383" s="3"/>
      <c r="M4383" s="4" t="s">
        <v>22956</v>
      </c>
      <c r="N4383" s="3" t="s">
        <v>37</v>
      </c>
      <c r="O4383" s="3" t="s">
        <v>46</v>
      </c>
      <c r="P4383" s="5">
        <v>26</v>
      </c>
      <c r="Q4383" s="5">
        <v>467</v>
      </c>
      <c r="R4383" s="5">
        <v>25</v>
      </c>
      <c r="S4383" s="5">
        <v>443</v>
      </c>
    </row>
    <row r="4384" spans="1:19" ht="42" x14ac:dyDescent="0.15">
      <c r="A4384" s="2">
        <f>HYPERLINK("https://open-school.uspishnemisto.com.ua/school/210554/", 210554)</f>
        <v>210554</v>
      </c>
      <c r="B4384" s="3" t="s">
        <v>22957</v>
      </c>
      <c r="C4384" s="3" t="s">
        <v>31</v>
      </c>
      <c r="D4384" s="3" t="s">
        <v>60</v>
      </c>
      <c r="E4384" s="4" t="s">
        <v>22</v>
      </c>
      <c r="F4384" s="4" t="s">
        <v>22958</v>
      </c>
      <c r="G4384" s="4" t="s">
        <v>22959</v>
      </c>
      <c r="H4384" s="3" t="s">
        <v>20074</v>
      </c>
      <c r="I4384" s="3" t="s">
        <v>22960</v>
      </c>
      <c r="J4384" s="3" t="s">
        <v>1360</v>
      </c>
      <c r="K4384" s="3" t="s">
        <v>22961</v>
      </c>
      <c r="L4384" s="3"/>
      <c r="M4384" s="4" t="s">
        <v>22962</v>
      </c>
      <c r="N4384" s="3" t="s">
        <v>37</v>
      </c>
      <c r="O4384" s="3" t="s">
        <v>52</v>
      </c>
      <c r="P4384" s="5">
        <v>8</v>
      </c>
      <c r="Q4384" s="5">
        <v>161</v>
      </c>
      <c r="R4384" s="5">
        <v>8</v>
      </c>
      <c r="S4384" s="5">
        <v>151</v>
      </c>
    </row>
    <row r="4385" spans="1:19" ht="56" x14ac:dyDescent="0.15">
      <c r="A4385" s="2">
        <f>HYPERLINK("https://open-school.uspishnemisto.com.ua/school/210555/", 210555)</f>
        <v>210555</v>
      </c>
      <c r="B4385" s="3" t="s">
        <v>22963</v>
      </c>
      <c r="C4385" s="3" t="s">
        <v>54</v>
      </c>
      <c r="D4385" s="3" t="s">
        <v>32</v>
      </c>
      <c r="E4385" s="4" t="s">
        <v>22</v>
      </c>
      <c r="F4385" s="4" t="s">
        <v>22958</v>
      </c>
      <c r="G4385" s="4" t="s">
        <v>22959</v>
      </c>
      <c r="H4385" s="3" t="s">
        <v>20074</v>
      </c>
      <c r="I4385" s="3" t="s">
        <v>22960</v>
      </c>
      <c r="J4385" s="3" t="s">
        <v>22964</v>
      </c>
      <c r="K4385" s="3"/>
      <c r="L4385" s="3" t="s">
        <v>22965</v>
      </c>
      <c r="M4385" s="4" t="s">
        <v>22966</v>
      </c>
      <c r="N4385" s="3" t="s">
        <v>37</v>
      </c>
      <c r="O4385" s="3" t="s">
        <v>38</v>
      </c>
      <c r="P4385" s="5">
        <v>13</v>
      </c>
      <c r="Q4385" s="5">
        <v>246</v>
      </c>
      <c r="R4385" s="5">
        <v>13</v>
      </c>
      <c r="S4385" s="5">
        <v>254</v>
      </c>
    </row>
    <row r="4386" spans="1:19" ht="28" x14ac:dyDescent="0.15">
      <c r="A4386" s="2">
        <f>HYPERLINK("https://open-school.uspishnemisto.com.ua/school/210556/", 210556)</f>
        <v>210556</v>
      </c>
      <c r="B4386" s="3" t="s">
        <v>22967</v>
      </c>
      <c r="C4386" s="3" t="s">
        <v>31</v>
      </c>
      <c r="D4386" s="3" t="s">
        <v>32</v>
      </c>
      <c r="E4386" s="4" t="s">
        <v>22</v>
      </c>
      <c r="F4386" s="4" t="s">
        <v>22968</v>
      </c>
      <c r="G4386" s="4" t="s">
        <v>22969</v>
      </c>
      <c r="H4386" s="3" t="s">
        <v>20074</v>
      </c>
      <c r="I4386" s="3" t="s">
        <v>22970</v>
      </c>
      <c r="J4386" s="3" t="s">
        <v>15201</v>
      </c>
      <c r="K4386" s="3" t="s">
        <v>22971</v>
      </c>
      <c r="L4386" s="3"/>
      <c r="M4386" s="4" t="s">
        <v>22972</v>
      </c>
      <c r="N4386" s="3" t="s">
        <v>37</v>
      </c>
      <c r="O4386" s="3" t="s">
        <v>46</v>
      </c>
      <c r="P4386" s="5">
        <v>37</v>
      </c>
      <c r="Q4386" s="5">
        <v>877</v>
      </c>
      <c r="R4386" s="5">
        <v>37</v>
      </c>
      <c r="S4386" s="5">
        <v>860</v>
      </c>
    </row>
    <row r="4387" spans="1:19" ht="42" x14ac:dyDescent="0.15">
      <c r="A4387" s="2">
        <f>HYPERLINK("https://open-school.uspishnemisto.com.ua/school/210557/", 210557)</f>
        <v>210557</v>
      </c>
      <c r="B4387" s="3" t="s">
        <v>22973</v>
      </c>
      <c r="C4387" s="3" t="s">
        <v>31</v>
      </c>
      <c r="D4387" s="3" t="s">
        <v>175</v>
      </c>
      <c r="E4387" s="4" t="s">
        <v>22</v>
      </c>
      <c r="F4387" s="4" t="s">
        <v>22974</v>
      </c>
      <c r="G4387" s="4" t="s">
        <v>22975</v>
      </c>
      <c r="H4387" s="3" t="s">
        <v>20074</v>
      </c>
      <c r="I4387" s="3" t="s">
        <v>22976</v>
      </c>
      <c r="J4387" s="3" t="s">
        <v>22977</v>
      </c>
      <c r="K4387" s="3" t="s">
        <v>22978</v>
      </c>
      <c r="L4387" s="3"/>
      <c r="M4387" s="4" t="s">
        <v>22979</v>
      </c>
      <c r="N4387" s="3" t="s">
        <v>37</v>
      </c>
      <c r="O4387" s="3" t="s">
        <v>52</v>
      </c>
      <c r="P4387" s="5">
        <v>10</v>
      </c>
      <c r="Q4387" s="5">
        <v>170</v>
      </c>
      <c r="R4387" s="5">
        <v>10</v>
      </c>
      <c r="S4387" s="5">
        <v>168</v>
      </c>
    </row>
    <row r="4388" spans="1:19" ht="42" x14ac:dyDescent="0.15">
      <c r="A4388" s="2">
        <f>HYPERLINK("https://open-school.uspishnemisto.com.ua/school/210558/", 210558)</f>
        <v>210558</v>
      </c>
      <c r="B4388" s="3" t="s">
        <v>22980</v>
      </c>
      <c r="C4388" s="3" t="s">
        <v>31</v>
      </c>
      <c r="D4388" s="3" t="s">
        <v>175</v>
      </c>
      <c r="E4388" s="4" t="s">
        <v>22</v>
      </c>
      <c r="F4388" s="4" t="s">
        <v>22968</v>
      </c>
      <c r="G4388" s="4" t="s">
        <v>22981</v>
      </c>
      <c r="H4388" s="3" t="s">
        <v>20074</v>
      </c>
      <c r="I4388" s="3" t="s">
        <v>22982</v>
      </c>
      <c r="J4388" s="3" t="s">
        <v>22983</v>
      </c>
      <c r="K4388" s="3" t="s">
        <v>22984</v>
      </c>
      <c r="L4388" s="3"/>
      <c r="M4388" s="4" t="s">
        <v>22985</v>
      </c>
      <c r="N4388" s="3" t="s">
        <v>37</v>
      </c>
      <c r="O4388" s="3" t="s">
        <v>618</v>
      </c>
      <c r="P4388" s="5">
        <v>12</v>
      </c>
      <c r="Q4388" s="5">
        <v>116</v>
      </c>
      <c r="R4388" s="5">
        <v>11</v>
      </c>
      <c r="S4388" s="5">
        <v>113</v>
      </c>
    </row>
    <row r="4389" spans="1:19" ht="28" x14ac:dyDescent="0.15">
      <c r="A4389" s="2">
        <f>HYPERLINK("https://open-school.uspishnemisto.com.ua/school/210559/", 210559)</f>
        <v>210559</v>
      </c>
      <c r="B4389" s="3" t="s">
        <v>22986</v>
      </c>
      <c r="C4389" s="3" t="s">
        <v>31</v>
      </c>
      <c r="D4389" s="3" t="s">
        <v>175</v>
      </c>
      <c r="E4389" s="4" t="s">
        <v>22</v>
      </c>
      <c r="F4389" s="4" t="s">
        <v>22987</v>
      </c>
      <c r="G4389" s="4" t="s">
        <v>22988</v>
      </c>
      <c r="H4389" s="3" t="s">
        <v>20074</v>
      </c>
      <c r="I4389" s="3" t="s">
        <v>22989</v>
      </c>
      <c r="J4389" s="3" t="s">
        <v>22990</v>
      </c>
      <c r="K4389" s="3" t="s">
        <v>22991</v>
      </c>
      <c r="L4389" s="3"/>
      <c r="M4389" s="4"/>
      <c r="N4389" s="3" t="s">
        <v>22346</v>
      </c>
      <c r="O4389" s="3" t="s">
        <v>2740</v>
      </c>
      <c r="P4389" s="5">
        <v>11</v>
      </c>
      <c r="Q4389" s="5">
        <v>224</v>
      </c>
      <c r="R4389" s="5">
        <v>11</v>
      </c>
      <c r="S4389" s="5">
        <v>215</v>
      </c>
    </row>
    <row r="4390" spans="1:19" ht="28" x14ac:dyDescent="0.15">
      <c r="A4390" s="2">
        <f>HYPERLINK("https://open-school.uspishnemisto.com.ua/school/210560/", 210560)</f>
        <v>210560</v>
      </c>
      <c r="B4390" s="3" t="s">
        <v>22992</v>
      </c>
      <c r="C4390" s="3" t="s">
        <v>31</v>
      </c>
      <c r="D4390" s="3" t="s">
        <v>60</v>
      </c>
      <c r="E4390" s="4" t="s">
        <v>22</v>
      </c>
      <c r="F4390" s="4" t="s">
        <v>22993</v>
      </c>
      <c r="G4390" s="4" t="s">
        <v>22994</v>
      </c>
      <c r="H4390" s="3" t="s">
        <v>20074</v>
      </c>
      <c r="I4390" s="3" t="s">
        <v>22995</v>
      </c>
      <c r="J4390" s="3" t="s">
        <v>22996</v>
      </c>
      <c r="K4390" s="3" t="s">
        <v>22997</v>
      </c>
      <c r="L4390" s="3"/>
      <c r="M4390" s="4" t="s">
        <v>22998</v>
      </c>
      <c r="N4390" s="3" t="s">
        <v>37</v>
      </c>
      <c r="O4390" s="3" t="s">
        <v>618</v>
      </c>
      <c r="P4390" s="5">
        <v>1</v>
      </c>
      <c r="Q4390" s="5">
        <v>10</v>
      </c>
      <c r="R4390" s="5">
        <v>1</v>
      </c>
      <c r="S4390" s="5">
        <v>10</v>
      </c>
    </row>
    <row r="4391" spans="1:19" ht="28" x14ac:dyDescent="0.15">
      <c r="A4391" s="2">
        <f>HYPERLINK("https://open-school.uspishnemisto.com.ua/school/210561/", 210561)</f>
        <v>210561</v>
      </c>
      <c r="B4391" s="3" t="s">
        <v>22999</v>
      </c>
      <c r="C4391" s="3" t="s">
        <v>31</v>
      </c>
      <c r="D4391" s="3" t="s">
        <v>32</v>
      </c>
      <c r="E4391" s="4" t="s">
        <v>22</v>
      </c>
      <c r="F4391" s="4" t="s">
        <v>22993</v>
      </c>
      <c r="G4391" s="4" t="s">
        <v>22994</v>
      </c>
      <c r="H4391" s="3" t="s">
        <v>20074</v>
      </c>
      <c r="I4391" s="3" t="s">
        <v>22995</v>
      </c>
      <c r="J4391" s="3" t="s">
        <v>466</v>
      </c>
      <c r="K4391" s="3"/>
      <c r="L4391" s="3"/>
      <c r="M4391" s="4" t="s">
        <v>23000</v>
      </c>
      <c r="N4391" s="3" t="s">
        <v>37</v>
      </c>
      <c r="O4391" s="3" t="s">
        <v>46</v>
      </c>
      <c r="P4391" s="5">
        <v>25</v>
      </c>
      <c r="Q4391" s="5">
        <v>374</v>
      </c>
      <c r="R4391" s="5">
        <v>22</v>
      </c>
      <c r="S4391" s="5">
        <v>341</v>
      </c>
    </row>
    <row r="4392" spans="1:19" ht="42" x14ac:dyDescent="0.15">
      <c r="A4392" s="2">
        <f>HYPERLINK("https://open-school.uspishnemisto.com.ua/school/210562/", 210562)</f>
        <v>210562</v>
      </c>
      <c r="B4392" s="3" t="s">
        <v>23001</v>
      </c>
      <c r="C4392" s="3" t="s">
        <v>54</v>
      </c>
      <c r="D4392" s="3" t="s">
        <v>60</v>
      </c>
      <c r="E4392" s="4" t="s">
        <v>22</v>
      </c>
      <c r="F4392" s="4" t="s">
        <v>22993</v>
      </c>
      <c r="G4392" s="4" t="s">
        <v>22994</v>
      </c>
      <c r="H4392" s="3" t="s">
        <v>20074</v>
      </c>
      <c r="I4392" s="3" t="s">
        <v>22995</v>
      </c>
      <c r="J4392" s="3" t="s">
        <v>23002</v>
      </c>
      <c r="K4392" s="3" t="s">
        <v>23003</v>
      </c>
      <c r="L4392" s="3"/>
      <c r="M4392" s="4"/>
      <c r="N4392" s="3" t="s">
        <v>37</v>
      </c>
      <c r="O4392" s="3" t="s">
        <v>46</v>
      </c>
      <c r="P4392" s="5">
        <v>4</v>
      </c>
      <c r="Q4392" s="5">
        <v>51</v>
      </c>
      <c r="R4392" s="5">
        <v>4</v>
      </c>
      <c r="S4392" s="5">
        <v>48</v>
      </c>
    </row>
    <row r="4393" spans="1:19" ht="28" x14ac:dyDescent="0.15">
      <c r="A4393" s="2">
        <f>HYPERLINK("https://open-school.uspishnemisto.com.ua/school/210563/", 210563)</f>
        <v>210563</v>
      </c>
      <c r="B4393" s="3" t="s">
        <v>23004</v>
      </c>
      <c r="C4393" s="3" t="s">
        <v>31</v>
      </c>
      <c r="D4393" s="3" t="s">
        <v>175</v>
      </c>
      <c r="E4393" s="4" t="s">
        <v>22</v>
      </c>
      <c r="F4393" s="4" t="s">
        <v>22993</v>
      </c>
      <c r="G4393" s="4" t="s">
        <v>23005</v>
      </c>
      <c r="H4393" s="3" t="s">
        <v>20074</v>
      </c>
      <c r="I4393" s="3" t="s">
        <v>23006</v>
      </c>
      <c r="J4393" s="3" t="s">
        <v>23007</v>
      </c>
      <c r="K4393" s="3" t="s">
        <v>23008</v>
      </c>
      <c r="L4393" s="3"/>
      <c r="M4393" s="4"/>
      <c r="N4393" s="3" t="s">
        <v>37</v>
      </c>
      <c r="O4393" s="3" t="s">
        <v>46</v>
      </c>
      <c r="P4393" s="5">
        <v>14</v>
      </c>
      <c r="Q4393" s="5">
        <v>209</v>
      </c>
      <c r="R4393" s="5">
        <v>14</v>
      </c>
      <c r="S4393" s="5">
        <v>210</v>
      </c>
    </row>
    <row r="4394" spans="1:19" ht="28" x14ac:dyDescent="0.15">
      <c r="A4394" s="2">
        <f>HYPERLINK("https://open-school.uspishnemisto.com.ua/school/210564/", 210564)</f>
        <v>210564</v>
      </c>
      <c r="B4394" s="3" t="s">
        <v>23009</v>
      </c>
      <c r="C4394" s="3" t="s">
        <v>31</v>
      </c>
      <c r="D4394" s="3" t="s">
        <v>175</v>
      </c>
      <c r="E4394" s="4" t="s">
        <v>22</v>
      </c>
      <c r="F4394" s="4" t="s">
        <v>23010</v>
      </c>
      <c r="G4394" s="4" t="s">
        <v>23011</v>
      </c>
      <c r="H4394" s="3" t="s">
        <v>20074</v>
      </c>
      <c r="I4394" s="3" t="s">
        <v>23012</v>
      </c>
      <c r="J4394" s="3" t="s">
        <v>23013</v>
      </c>
      <c r="K4394" s="3" t="s">
        <v>23014</v>
      </c>
      <c r="L4394" s="3"/>
      <c r="M4394" s="4" t="s">
        <v>23015</v>
      </c>
      <c r="N4394" s="3" t="s">
        <v>37</v>
      </c>
      <c r="O4394" s="3" t="s">
        <v>618</v>
      </c>
      <c r="P4394" s="5">
        <v>9</v>
      </c>
      <c r="Q4394" s="5">
        <v>80</v>
      </c>
      <c r="R4394" s="5">
        <v>9</v>
      </c>
      <c r="S4394" s="5">
        <v>81</v>
      </c>
    </row>
    <row r="4395" spans="1:19" ht="42" x14ac:dyDescent="0.15">
      <c r="A4395" s="2">
        <f>HYPERLINK("https://open-school.uspishnemisto.com.ua/school/210565/", 210565)</f>
        <v>210565</v>
      </c>
      <c r="B4395" s="3" t="s">
        <v>23016</v>
      </c>
      <c r="C4395" s="3" t="s">
        <v>31</v>
      </c>
      <c r="D4395" s="3" t="s">
        <v>175</v>
      </c>
      <c r="E4395" s="4" t="s">
        <v>22</v>
      </c>
      <c r="F4395" s="4" t="s">
        <v>22993</v>
      </c>
      <c r="G4395" s="4" t="s">
        <v>23011</v>
      </c>
      <c r="H4395" s="3" t="s">
        <v>20074</v>
      </c>
      <c r="I4395" s="3" t="s">
        <v>23012</v>
      </c>
      <c r="J4395" s="3" t="s">
        <v>21411</v>
      </c>
      <c r="K4395" s="3" t="s">
        <v>23017</v>
      </c>
      <c r="L4395" s="3" t="s">
        <v>23018</v>
      </c>
      <c r="M4395" s="4"/>
      <c r="N4395" s="3" t="s">
        <v>37</v>
      </c>
      <c r="O4395" s="3" t="s">
        <v>46</v>
      </c>
      <c r="P4395" s="5">
        <v>9</v>
      </c>
      <c r="Q4395" s="5">
        <v>85</v>
      </c>
      <c r="R4395" s="5">
        <v>9</v>
      </c>
      <c r="S4395" s="5">
        <v>80</v>
      </c>
    </row>
    <row r="4396" spans="1:19" ht="42" x14ac:dyDescent="0.15">
      <c r="A4396" s="2">
        <f>HYPERLINK("https://open-school.uspishnemisto.com.ua/school/210566/", 210566)</f>
        <v>210566</v>
      </c>
      <c r="B4396" s="3" t="s">
        <v>23019</v>
      </c>
      <c r="C4396" s="3" t="s">
        <v>31</v>
      </c>
      <c r="D4396" s="3" t="s">
        <v>32</v>
      </c>
      <c r="E4396" s="4" t="s">
        <v>22</v>
      </c>
      <c r="F4396" s="4" t="s">
        <v>23020</v>
      </c>
      <c r="G4396" s="4" t="s">
        <v>23021</v>
      </c>
      <c r="H4396" s="3" t="s">
        <v>20074</v>
      </c>
      <c r="I4396" s="3" t="s">
        <v>23022</v>
      </c>
      <c r="J4396" s="3" t="s">
        <v>8128</v>
      </c>
      <c r="K4396" s="3" t="s">
        <v>23023</v>
      </c>
      <c r="L4396" s="3" t="s">
        <v>23024</v>
      </c>
      <c r="M4396" s="4" t="s">
        <v>23025</v>
      </c>
      <c r="N4396" s="3" t="s">
        <v>37</v>
      </c>
      <c r="O4396" s="3" t="s">
        <v>46</v>
      </c>
      <c r="P4396" s="5">
        <v>11</v>
      </c>
      <c r="Q4396" s="5">
        <v>200</v>
      </c>
      <c r="R4396" s="5">
        <v>11</v>
      </c>
      <c r="S4396" s="5">
        <v>214</v>
      </c>
    </row>
    <row r="4397" spans="1:19" ht="42" x14ac:dyDescent="0.15">
      <c r="A4397" s="2">
        <f>HYPERLINK("https://open-school.uspishnemisto.com.ua/school/210567/", 210567)</f>
        <v>210567</v>
      </c>
      <c r="B4397" s="3" t="s">
        <v>23026</v>
      </c>
      <c r="C4397" s="3" t="s">
        <v>31</v>
      </c>
      <c r="D4397" s="3" t="s">
        <v>32</v>
      </c>
      <c r="E4397" s="4" t="s">
        <v>22</v>
      </c>
      <c r="F4397" s="4" t="s">
        <v>23027</v>
      </c>
      <c r="G4397" s="4" t="s">
        <v>23028</v>
      </c>
      <c r="H4397" s="3" t="s">
        <v>20074</v>
      </c>
      <c r="I4397" s="3" t="s">
        <v>23029</v>
      </c>
      <c r="J4397" s="3" t="s">
        <v>23030</v>
      </c>
      <c r="K4397" s="3" t="s">
        <v>23031</v>
      </c>
      <c r="L4397" s="3"/>
      <c r="M4397" s="4" t="s">
        <v>23032</v>
      </c>
      <c r="N4397" s="3" t="s">
        <v>37</v>
      </c>
      <c r="O4397" s="3" t="s">
        <v>46</v>
      </c>
      <c r="P4397" s="5">
        <v>19</v>
      </c>
      <c r="Q4397" s="5">
        <v>323</v>
      </c>
      <c r="R4397" s="5">
        <v>18</v>
      </c>
      <c r="S4397" s="5">
        <v>309</v>
      </c>
    </row>
    <row r="4398" spans="1:19" ht="42" x14ac:dyDescent="0.15">
      <c r="A4398" s="2">
        <f>HYPERLINK("https://open-school.uspishnemisto.com.ua/school/210568/", 210568)</f>
        <v>210568</v>
      </c>
      <c r="B4398" s="3" t="s">
        <v>23033</v>
      </c>
      <c r="C4398" s="3" t="s">
        <v>31</v>
      </c>
      <c r="D4398" s="3" t="s">
        <v>175</v>
      </c>
      <c r="E4398" s="4" t="s">
        <v>22</v>
      </c>
      <c r="F4398" s="4" t="s">
        <v>23027</v>
      </c>
      <c r="G4398" s="4" t="s">
        <v>23034</v>
      </c>
      <c r="H4398" s="3" t="s">
        <v>20074</v>
      </c>
      <c r="I4398" s="3" t="s">
        <v>23035</v>
      </c>
      <c r="J4398" s="3" t="s">
        <v>23036</v>
      </c>
      <c r="K4398" s="3"/>
      <c r="L4398" s="3"/>
      <c r="M4398" s="4" t="s">
        <v>23037</v>
      </c>
      <c r="N4398" s="3" t="s">
        <v>37</v>
      </c>
      <c r="O4398" s="3" t="s">
        <v>38</v>
      </c>
      <c r="P4398" s="5">
        <v>12</v>
      </c>
      <c r="Q4398" s="5">
        <v>93</v>
      </c>
      <c r="R4398" s="5">
        <v>12</v>
      </c>
      <c r="S4398" s="5">
        <v>94</v>
      </c>
    </row>
    <row r="4399" spans="1:19" ht="28" x14ac:dyDescent="0.15">
      <c r="A4399" s="2">
        <f>HYPERLINK("https://open-school.uspishnemisto.com.ua/school/210569/", 210569)</f>
        <v>210569</v>
      </c>
      <c r="B4399" s="3" t="s">
        <v>23038</v>
      </c>
      <c r="C4399" s="3" t="s">
        <v>31</v>
      </c>
      <c r="D4399" s="3" t="s">
        <v>32</v>
      </c>
      <c r="E4399" s="4" t="s">
        <v>22</v>
      </c>
      <c r="F4399" s="4" t="s">
        <v>23039</v>
      </c>
      <c r="G4399" s="4" t="s">
        <v>23040</v>
      </c>
      <c r="H4399" s="3" t="s">
        <v>20074</v>
      </c>
      <c r="I4399" s="3" t="s">
        <v>23041</v>
      </c>
      <c r="J4399" s="3" t="s">
        <v>23042</v>
      </c>
      <c r="K4399" s="3" t="s">
        <v>23043</v>
      </c>
      <c r="L4399" s="3" t="s">
        <v>23044</v>
      </c>
      <c r="M4399" s="4" t="s">
        <v>23045</v>
      </c>
      <c r="N4399" s="3" t="s">
        <v>37</v>
      </c>
      <c r="O4399" s="3" t="s">
        <v>46</v>
      </c>
      <c r="P4399" s="5">
        <v>33</v>
      </c>
      <c r="Q4399" s="5">
        <v>885</v>
      </c>
      <c r="R4399" s="5">
        <v>34</v>
      </c>
      <c r="S4399" s="5">
        <v>839</v>
      </c>
    </row>
    <row r="4400" spans="1:19" ht="42" x14ac:dyDescent="0.15">
      <c r="A4400" s="2">
        <f>HYPERLINK("https://open-school.uspishnemisto.com.ua/school/210570/", 210570)</f>
        <v>210570</v>
      </c>
      <c r="B4400" s="3" t="s">
        <v>23046</v>
      </c>
      <c r="C4400" s="3" t="s">
        <v>54</v>
      </c>
      <c r="D4400" s="3" t="s">
        <v>60</v>
      </c>
      <c r="E4400" s="4" t="s">
        <v>22</v>
      </c>
      <c r="F4400" s="4" t="s">
        <v>23039</v>
      </c>
      <c r="G4400" s="4" t="s">
        <v>23047</v>
      </c>
      <c r="H4400" s="3" t="s">
        <v>20074</v>
      </c>
      <c r="I4400" s="3" t="s">
        <v>23048</v>
      </c>
      <c r="J4400" s="3" t="s">
        <v>23049</v>
      </c>
      <c r="K4400" s="3" t="s">
        <v>23050</v>
      </c>
      <c r="L4400" s="3"/>
      <c r="M4400" s="4" t="s">
        <v>23051</v>
      </c>
      <c r="N4400" s="3" t="s">
        <v>37</v>
      </c>
      <c r="O4400" s="3" t="s">
        <v>52</v>
      </c>
      <c r="P4400" s="5">
        <v>4</v>
      </c>
      <c r="Q4400" s="5">
        <v>20</v>
      </c>
      <c r="R4400" s="5">
        <v>2</v>
      </c>
      <c r="S4400" s="5">
        <v>18</v>
      </c>
    </row>
    <row r="4401" spans="1:19" ht="28" x14ac:dyDescent="0.15">
      <c r="A4401" s="2">
        <f>HYPERLINK("https://open-school.uspishnemisto.com.ua/school/210571/", 210571)</f>
        <v>210571</v>
      </c>
      <c r="B4401" s="3" t="s">
        <v>23052</v>
      </c>
      <c r="C4401" s="3" t="s">
        <v>31</v>
      </c>
      <c r="D4401" s="3" t="s">
        <v>60</v>
      </c>
      <c r="E4401" s="4" t="s">
        <v>22</v>
      </c>
      <c r="F4401" s="4" t="s">
        <v>23053</v>
      </c>
      <c r="G4401" s="4" t="s">
        <v>23054</v>
      </c>
      <c r="H4401" s="3" t="s">
        <v>20074</v>
      </c>
      <c r="I4401" s="3" t="s">
        <v>23055</v>
      </c>
      <c r="J4401" s="3" t="s">
        <v>10957</v>
      </c>
      <c r="K4401" s="3" t="s">
        <v>23056</v>
      </c>
      <c r="L4401" s="3"/>
      <c r="M4401" s="4" t="s">
        <v>23057</v>
      </c>
      <c r="N4401" s="3" t="s">
        <v>37</v>
      </c>
      <c r="O4401" s="3" t="s">
        <v>52</v>
      </c>
      <c r="P4401" s="5">
        <v>4</v>
      </c>
      <c r="Q4401" s="5">
        <v>23</v>
      </c>
      <c r="R4401" s="5">
        <v>3</v>
      </c>
      <c r="S4401" s="5">
        <v>23</v>
      </c>
    </row>
    <row r="4402" spans="1:19" ht="28" x14ac:dyDescent="0.15">
      <c r="A4402" s="2">
        <f>HYPERLINK("https://open-school.uspishnemisto.com.ua/school/210572/", 210572)</f>
        <v>210572</v>
      </c>
      <c r="B4402" s="3" t="s">
        <v>23058</v>
      </c>
      <c r="C4402" s="3" t="s">
        <v>31</v>
      </c>
      <c r="D4402" s="3" t="s">
        <v>60</v>
      </c>
      <c r="E4402" s="4" t="s">
        <v>22</v>
      </c>
      <c r="F4402" s="4" t="s">
        <v>23053</v>
      </c>
      <c r="G4402" s="4" t="s">
        <v>23059</v>
      </c>
      <c r="H4402" s="3" t="s">
        <v>20074</v>
      </c>
      <c r="I4402" s="3" t="s">
        <v>23060</v>
      </c>
      <c r="J4402" s="3" t="s">
        <v>23061</v>
      </c>
      <c r="K4402" s="3" t="s">
        <v>23062</v>
      </c>
      <c r="L4402" s="3"/>
      <c r="M4402" s="4" t="s">
        <v>23063</v>
      </c>
      <c r="N4402" s="3" t="s">
        <v>37</v>
      </c>
      <c r="O4402" s="3" t="s">
        <v>52</v>
      </c>
      <c r="P4402" s="5">
        <v>2</v>
      </c>
      <c r="Q4402" s="5">
        <v>14</v>
      </c>
      <c r="R4402" s="5">
        <v>3</v>
      </c>
      <c r="S4402" s="5">
        <v>10</v>
      </c>
    </row>
    <row r="4403" spans="1:19" ht="56" x14ac:dyDescent="0.15">
      <c r="A4403" s="2">
        <f>HYPERLINK("https://open-school.uspishnemisto.com.ua/school/210573/", 210573)</f>
        <v>210573</v>
      </c>
      <c r="B4403" s="3" t="s">
        <v>23064</v>
      </c>
      <c r="C4403" s="3" t="s">
        <v>54</v>
      </c>
      <c r="D4403" s="3" t="s">
        <v>60</v>
      </c>
      <c r="E4403" s="4" t="s">
        <v>22</v>
      </c>
      <c r="F4403" s="4" t="s">
        <v>23065</v>
      </c>
      <c r="G4403" s="4" t="s">
        <v>23066</v>
      </c>
      <c r="H4403" s="3" t="s">
        <v>20074</v>
      </c>
      <c r="I4403" s="3" t="s">
        <v>23067</v>
      </c>
      <c r="J4403" s="3" t="s">
        <v>16177</v>
      </c>
      <c r="K4403" s="3" t="s">
        <v>23068</v>
      </c>
      <c r="L4403" s="3"/>
      <c r="M4403" s="4"/>
      <c r="N4403" s="3" t="s">
        <v>37</v>
      </c>
      <c r="O4403" s="3" t="s">
        <v>52</v>
      </c>
      <c r="P4403" s="5">
        <v>3</v>
      </c>
      <c r="Q4403" s="5">
        <v>13</v>
      </c>
      <c r="R4403" s="5">
        <v>3</v>
      </c>
      <c r="S4403" s="5">
        <v>16</v>
      </c>
    </row>
    <row r="4404" spans="1:19" ht="28" x14ac:dyDescent="0.15">
      <c r="A4404" s="2">
        <f>HYPERLINK("https://open-school.uspishnemisto.com.ua/school/210574/", 210574)</f>
        <v>210574</v>
      </c>
      <c r="B4404" s="3" t="s">
        <v>23069</v>
      </c>
      <c r="C4404" s="3" t="s">
        <v>54</v>
      </c>
      <c r="D4404" s="3" t="s">
        <v>60</v>
      </c>
      <c r="E4404" s="4" t="s">
        <v>22</v>
      </c>
      <c r="F4404" s="4" t="s">
        <v>23053</v>
      </c>
      <c r="G4404" s="4" t="s">
        <v>23070</v>
      </c>
      <c r="H4404" s="3" t="s">
        <v>20074</v>
      </c>
      <c r="I4404" s="3" t="s">
        <v>23071</v>
      </c>
      <c r="J4404" s="3" t="s">
        <v>11043</v>
      </c>
      <c r="K4404" s="3" t="s">
        <v>23072</v>
      </c>
      <c r="L4404" s="3"/>
      <c r="M4404" s="4"/>
      <c r="N4404" s="3" t="s">
        <v>37</v>
      </c>
      <c r="O4404" s="3" t="s">
        <v>52</v>
      </c>
      <c r="P4404" s="5">
        <v>3</v>
      </c>
      <c r="Q4404" s="5">
        <v>6</v>
      </c>
      <c r="R4404" s="5">
        <v>1</v>
      </c>
      <c r="S4404" s="5">
        <v>10</v>
      </c>
    </row>
    <row r="4405" spans="1:19" ht="28" x14ac:dyDescent="0.15">
      <c r="A4405" s="2">
        <f>HYPERLINK("https://open-school.uspishnemisto.com.ua/school/210575/", 210575)</f>
        <v>210575</v>
      </c>
      <c r="B4405" s="3" t="s">
        <v>23073</v>
      </c>
      <c r="C4405" s="3" t="s">
        <v>31</v>
      </c>
      <c r="D4405" s="3" t="s">
        <v>175</v>
      </c>
      <c r="E4405" s="4" t="s">
        <v>22</v>
      </c>
      <c r="F4405" s="4" t="s">
        <v>23065</v>
      </c>
      <c r="G4405" s="4" t="s">
        <v>23074</v>
      </c>
      <c r="H4405" s="3" t="s">
        <v>20074</v>
      </c>
      <c r="I4405" s="3" t="s">
        <v>23075</v>
      </c>
      <c r="J4405" s="3" t="s">
        <v>23076</v>
      </c>
      <c r="K4405" s="3" t="s">
        <v>23077</v>
      </c>
      <c r="L4405" s="3"/>
      <c r="M4405" s="4"/>
      <c r="N4405" s="3" t="s">
        <v>20226</v>
      </c>
      <c r="O4405" s="3" t="s">
        <v>20246</v>
      </c>
      <c r="P4405" s="5">
        <v>11</v>
      </c>
      <c r="Q4405" s="5">
        <v>101</v>
      </c>
      <c r="R4405" s="5">
        <v>11</v>
      </c>
      <c r="S4405" s="5">
        <v>97</v>
      </c>
    </row>
    <row r="4406" spans="1:19" ht="28" x14ac:dyDescent="0.15">
      <c r="A4406" s="2">
        <f>HYPERLINK("https://open-school.uspishnemisto.com.ua/school/210576/", 210576)</f>
        <v>210576</v>
      </c>
      <c r="B4406" s="3" t="s">
        <v>23078</v>
      </c>
      <c r="C4406" s="3" t="s">
        <v>54</v>
      </c>
      <c r="D4406" s="3" t="s">
        <v>32</v>
      </c>
      <c r="E4406" s="4" t="s">
        <v>22</v>
      </c>
      <c r="F4406" s="4" t="s">
        <v>23065</v>
      </c>
      <c r="G4406" s="4" t="s">
        <v>23079</v>
      </c>
      <c r="H4406" s="3" t="s">
        <v>20074</v>
      </c>
      <c r="I4406" s="3" t="s">
        <v>23080</v>
      </c>
      <c r="J4406" s="3" t="s">
        <v>23081</v>
      </c>
      <c r="K4406" s="3" t="s">
        <v>23082</v>
      </c>
      <c r="L4406" s="3"/>
      <c r="M4406" s="4" t="s">
        <v>23083</v>
      </c>
      <c r="N4406" s="3" t="s">
        <v>18409</v>
      </c>
      <c r="O4406" s="3" t="s">
        <v>618</v>
      </c>
      <c r="P4406" s="5">
        <v>11</v>
      </c>
      <c r="Q4406" s="5">
        <v>123</v>
      </c>
      <c r="R4406" s="5">
        <v>11</v>
      </c>
      <c r="S4406" s="5">
        <v>111</v>
      </c>
    </row>
    <row r="4407" spans="1:19" ht="28" x14ac:dyDescent="0.15">
      <c r="A4407" s="2">
        <f>HYPERLINK("https://open-school.uspishnemisto.com.ua/school/210577/", 210577)</f>
        <v>210577</v>
      </c>
      <c r="B4407" s="3" t="s">
        <v>23084</v>
      </c>
      <c r="C4407" s="3" t="s">
        <v>31</v>
      </c>
      <c r="D4407" s="3" t="s">
        <v>32</v>
      </c>
      <c r="E4407" s="4" t="s">
        <v>22</v>
      </c>
      <c r="F4407" s="4" t="s">
        <v>23085</v>
      </c>
      <c r="G4407" s="4" t="s">
        <v>23086</v>
      </c>
      <c r="H4407" s="3" t="s">
        <v>20074</v>
      </c>
      <c r="I4407" s="3" t="s">
        <v>23087</v>
      </c>
      <c r="J4407" s="3" t="s">
        <v>23088</v>
      </c>
      <c r="K4407" s="3" t="s">
        <v>23089</v>
      </c>
      <c r="L4407" s="3" t="s">
        <v>23090</v>
      </c>
      <c r="M4407" s="4" t="s">
        <v>23091</v>
      </c>
      <c r="N4407" s="3" t="s">
        <v>18409</v>
      </c>
      <c r="O4407" s="3" t="s">
        <v>52</v>
      </c>
      <c r="P4407" s="5">
        <v>30</v>
      </c>
      <c r="Q4407" s="5">
        <v>666</v>
      </c>
      <c r="R4407" s="5">
        <v>30</v>
      </c>
      <c r="S4407" s="5">
        <v>682</v>
      </c>
    </row>
    <row r="4408" spans="1:19" ht="28" x14ac:dyDescent="0.15">
      <c r="A4408" s="2">
        <f>HYPERLINK("https://open-school.uspishnemisto.com.ua/school/210578/", 210578)</f>
        <v>210578</v>
      </c>
      <c r="B4408" s="3" t="s">
        <v>23092</v>
      </c>
      <c r="C4408" s="3" t="s">
        <v>188</v>
      </c>
      <c r="D4408" s="3" t="s">
        <v>32</v>
      </c>
      <c r="E4408" s="4" t="s">
        <v>41</v>
      </c>
      <c r="F4408" s="4" t="s">
        <v>23085</v>
      </c>
      <c r="G4408" s="4" t="s">
        <v>23086</v>
      </c>
      <c r="H4408" s="3" t="s">
        <v>20074</v>
      </c>
      <c r="I4408" s="3" t="s">
        <v>23087</v>
      </c>
      <c r="J4408" s="3" t="s">
        <v>23093</v>
      </c>
      <c r="K4408" s="3" t="s">
        <v>23094</v>
      </c>
      <c r="L4408" s="3"/>
      <c r="M4408" s="4"/>
      <c r="N4408" s="3" t="s">
        <v>18409</v>
      </c>
      <c r="O4408" s="3" t="s">
        <v>52</v>
      </c>
      <c r="P4408" s="5">
        <v>7</v>
      </c>
      <c r="Q4408" s="5">
        <v>118</v>
      </c>
      <c r="R4408" s="5">
        <v>7</v>
      </c>
      <c r="S4408" s="5">
        <v>109</v>
      </c>
    </row>
    <row r="4409" spans="1:19" ht="42" x14ac:dyDescent="0.15">
      <c r="A4409" s="2">
        <f>HYPERLINK("https://open-school.uspishnemisto.com.ua/school/210579/", 210579)</f>
        <v>210579</v>
      </c>
      <c r="B4409" s="3" t="s">
        <v>23095</v>
      </c>
      <c r="C4409" s="3" t="s">
        <v>31</v>
      </c>
      <c r="D4409" s="3" t="s">
        <v>32</v>
      </c>
      <c r="E4409" s="4" t="s">
        <v>22</v>
      </c>
      <c r="F4409" s="4" t="s">
        <v>23096</v>
      </c>
      <c r="G4409" s="4" t="s">
        <v>23097</v>
      </c>
      <c r="H4409" s="3" t="s">
        <v>20074</v>
      </c>
      <c r="I4409" s="3" t="s">
        <v>23098</v>
      </c>
      <c r="J4409" s="3" t="s">
        <v>23099</v>
      </c>
      <c r="K4409" s="3" t="s">
        <v>23100</v>
      </c>
      <c r="L4409" s="3"/>
      <c r="M4409" s="4" t="s">
        <v>23101</v>
      </c>
      <c r="N4409" s="3" t="s">
        <v>37</v>
      </c>
      <c r="O4409" s="3" t="s">
        <v>52</v>
      </c>
      <c r="P4409" s="5">
        <v>18</v>
      </c>
      <c r="Q4409" s="5">
        <v>383</v>
      </c>
      <c r="R4409" s="5">
        <v>17</v>
      </c>
      <c r="S4409" s="5">
        <v>366</v>
      </c>
    </row>
    <row r="4410" spans="1:19" ht="42" x14ac:dyDescent="0.15">
      <c r="A4410" s="2">
        <f>HYPERLINK("https://open-school.uspishnemisto.com.ua/school/210580/", 210580)</f>
        <v>210580</v>
      </c>
      <c r="B4410" s="3" t="s">
        <v>23102</v>
      </c>
      <c r="C4410" s="3" t="s">
        <v>31</v>
      </c>
      <c r="D4410" s="3" t="s">
        <v>60</v>
      </c>
      <c r="E4410" s="4" t="s">
        <v>22</v>
      </c>
      <c r="F4410" s="4" t="s">
        <v>23096</v>
      </c>
      <c r="G4410" s="4" t="s">
        <v>23103</v>
      </c>
      <c r="H4410" s="3" t="s">
        <v>20074</v>
      </c>
      <c r="I4410" s="3" t="s">
        <v>23104</v>
      </c>
      <c r="J4410" s="3" t="s">
        <v>23105</v>
      </c>
      <c r="K4410" s="3" t="s">
        <v>23106</v>
      </c>
      <c r="L4410" s="3"/>
      <c r="M4410" s="4" t="s">
        <v>23107</v>
      </c>
      <c r="N4410" s="3" t="s">
        <v>37</v>
      </c>
      <c r="O4410" s="3" t="s">
        <v>52</v>
      </c>
      <c r="P4410" s="5">
        <v>2</v>
      </c>
      <c r="Q4410" s="5">
        <v>15</v>
      </c>
      <c r="R4410" s="5">
        <v>4</v>
      </c>
      <c r="S4410" s="5">
        <v>17</v>
      </c>
    </row>
    <row r="4411" spans="1:19" ht="28" x14ac:dyDescent="0.15">
      <c r="A4411" s="2">
        <f>HYPERLINK("https://open-school.uspishnemisto.com.ua/school/210581/", 210581)</f>
        <v>210581</v>
      </c>
      <c r="B4411" s="3" t="s">
        <v>23108</v>
      </c>
      <c r="C4411" s="3" t="s">
        <v>54</v>
      </c>
      <c r="D4411" s="3" t="s">
        <v>60</v>
      </c>
      <c r="E4411" s="4" t="s">
        <v>22</v>
      </c>
      <c r="F4411" s="4" t="s">
        <v>23109</v>
      </c>
      <c r="G4411" s="4" t="s">
        <v>23110</v>
      </c>
      <c r="H4411" s="3" t="s">
        <v>20074</v>
      </c>
      <c r="I4411" s="3" t="s">
        <v>23111</v>
      </c>
      <c r="J4411" s="3" t="s">
        <v>23112</v>
      </c>
      <c r="K4411" s="3" t="s">
        <v>23113</v>
      </c>
      <c r="L4411" s="3"/>
      <c r="M4411" s="4"/>
      <c r="N4411" s="3" t="s">
        <v>18409</v>
      </c>
      <c r="O4411" s="3" t="s">
        <v>52</v>
      </c>
      <c r="P4411" s="5">
        <v>4</v>
      </c>
      <c r="Q4411" s="5">
        <v>28</v>
      </c>
      <c r="R4411" s="5">
        <v>4</v>
      </c>
      <c r="S4411" s="5">
        <v>29</v>
      </c>
    </row>
    <row r="4412" spans="1:19" ht="28" x14ac:dyDescent="0.15">
      <c r="A4412" s="2">
        <f>HYPERLINK("https://open-school.uspishnemisto.com.ua/school/210582/", 210582)</f>
        <v>210582</v>
      </c>
      <c r="B4412" s="3" t="s">
        <v>23114</v>
      </c>
      <c r="C4412" s="3" t="s">
        <v>31</v>
      </c>
      <c r="D4412" s="3" t="s">
        <v>60</v>
      </c>
      <c r="E4412" s="4" t="s">
        <v>22</v>
      </c>
      <c r="F4412" s="4" t="s">
        <v>23115</v>
      </c>
      <c r="G4412" s="4" t="s">
        <v>23116</v>
      </c>
      <c r="H4412" s="3" t="s">
        <v>20074</v>
      </c>
      <c r="I4412" s="3" t="s">
        <v>23117</v>
      </c>
      <c r="J4412" s="3" t="s">
        <v>23118</v>
      </c>
      <c r="K4412" s="3" t="s">
        <v>23119</v>
      </c>
      <c r="L4412" s="3"/>
      <c r="M4412" s="4" t="s">
        <v>23120</v>
      </c>
      <c r="N4412" s="3" t="s">
        <v>37</v>
      </c>
      <c r="O4412" s="3" t="s">
        <v>52</v>
      </c>
      <c r="P4412" s="5">
        <v>4</v>
      </c>
      <c r="Q4412" s="5">
        <v>25</v>
      </c>
      <c r="R4412" s="5">
        <v>4</v>
      </c>
      <c r="S4412" s="5">
        <v>25</v>
      </c>
    </row>
    <row r="4413" spans="1:19" ht="42" x14ac:dyDescent="0.15">
      <c r="A4413" s="2">
        <f>HYPERLINK("https://open-school.uspishnemisto.com.ua/school/210583/", 210583)</f>
        <v>210583</v>
      </c>
      <c r="B4413" s="3" t="s">
        <v>23121</v>
      </c>
      <c r="C4413" s="3" t="s">
        <v>54</v>
      </c>
      <c r="D4413" s="3" t="s">
        <v>60</v>
      </c>
      <c r="E4413" s="4" t="s">
        <v>22</v>
      </c>
      <c r="F4413" s="4" t="s">
        <v>23122</v>
      </c>
      <c r="G4413" s="4" t="s">
        <v>23123</v>
      </c>
      <c r="H4413" s="3" t="s">
        <v>20074</v>
      </c>
      <c r="I4413" s="3" t="s">
        <v>23124</v>
      </c>
      <c r="J4413" s="3" t="s">
        <v>16401</v>
      </c>
      <c r="K4413" s="3" t="s">
        <v>23125</v>
      </c>
      <c r="L4413" s="3"/>
      <c r="M4413" s="4" t="s">
        <v>23126</v>
      </c>
      <c r="N4413" s="3" t="s">
        <v>37</v>
      </c>
      <c r="O4413" s="3" t="s">
        <v>52</v>
      </c>
      <c r="P4413" s="5">
        <v>4</v>
      </c>
      <c r="Q4413" s="5">
        <v>35</v>
      </c>
      <c r="R4413" s="5">
        <v>3</v>
      </c>
      <c r="S4413" s="5">
        <v>42</v>
      </c>
    </row>
    <row r="4414" spans="1:19" ht="28" x14ac:dyDescent="0.15">
      <c r="A4414" s="2">
        <f>HYPERLINK("https://open-school.uspishnemisto.com.ua/school/210584/", 210584)</f>
        <v>210584</v>
      </c>
      <c r="B4414" s="3" t="s">
        <v>23127</v>
      </c>
      <c r="C4414" s="3" t="s">
        <v>31</v>
      </c>
      <c r="D4414" s="3" t="s">
        <v>32</v>
      </c>
      <c r="E4414" s="4" t="s">
        <v>22</v>
      </c>
      <c r="F4414" s="4" t="s">
        <v>23128</v>
      </c>
      <c r="G4414" s="4" t="s">
        <v>23129</v>
      </c>
      <c r="H4414" s="3" t="s">
        <v>20074</v>
      </c>
      <c r="I4414" s="3" t="s">
        <v>23130</v>
      </c>
      <c r="J4414" s="3" t="s">
        <v>3370</v>
      </c>
      <c r="K4414" s="3" t="s">
        <v>23131</v>
      </c>
      <c r="L4414" s="3"/>
      <c r="M4414" s="4" t="s">
        <v>23132</v>
      </c>
      <c r="N4414" s="3" t="s">
        <v>37</v>
      </c>
      <c r="O4414" s="3" t="s">
        <v>38</v>
      </c>
      <c r="P4414" s="5">
        <v>16</v>
      </c>
      <c r="Q4414" s="5">
        <v>329</v>
      </c>
      <c r="R4414" s="5">
        <v>17</v>
      </c>
      <c r="S4414" s="5">
        <v>335</v>
      </c>
    </row>
    <row r="4415" spans="1:19" ht="28" x14ac:dyDescent="0.15">
      <c r="A4415" s="2">
        <f>HYPERLINK("https://open-school.uspishnemisto.com.ua/school/210585/", 210585)</f>
        <v>210585</v>
      </c>
      <c r="B4415" s="3" t="s">
        <v>23133</v>
      </c>
      <c r="C4415" s="3" t="s">
        <v>31</v>
      </c>
      <c r="D4415" s="3" t="s">
        <v>175</v>
      </c>
      <c r="E4415" s="4" t="s">
        <v>22</v>
      </c>
      <c r="F4415" s="4" t="s">
        <v>23134</v>
      </c>
      <c r="G4415" s="4" t="s">
        <v>23135</v>
      </c>
      <c r="H4415" s="3" t="s">
        <v>20074</v>
      </c>
      <c r="I4415" s="3" t="s">
        <v>16867</v>
      </c>
      <c r="J4415" s="3" t="s">
        <v>23136</v>
      </c>
      <c r="K4415" s="3" t="s">
        <v>23137</v>
      </c>
      <c r="L4415" s="3"/>
      <c r="M4415" s="4" t="s">
        <v>23138</v>
      </c>
      <c r="N4415" s="3" t="s">
        <v>37</v>
      </c>
      <c r="O4415" s="3" t="s">
        <v>52</v>
      </c>
      <c r="P4415" s="5">
        <v>9</v>
      </c>
      <c r="Q4415" s="5">
        <v>102</v>
      </c>
      <c r="R4415" s="5">
        <v>9</v>
      </c>
      <c r="S4415" s="5">
        <v>91</v>
      </c>
    </row>
    <row r="4416" spans="1:19" ht="28" x14ac:dyDescent="0.15">
      <c r="A4416" s="2">
        <f>HYPERLINK("https://open-school.uspishnemisto.com.ua/school/210586/", 210586)</f>
        <v>210586</v>
      </c>
      <c r="B4416" s="3" t="s">
        <v>23139</v>
      </c>
      <c r="C4416" s="3" t="s">
        <v>31</v>
      </c>
      <c r="D4416" s="3" t="s">
        <v>60</v>
      </c>
      <c r="E4416" s="4" t="s">
        <v>22</v>
      </c>
      <c r="F4416" s="4" t="s">
        <v>23134</v>
      </c>
      <c r="G4416" s="4" t="s">
        <v>23140</v>
      </c>
      <c r="H4416" s="3" t="s">
        <v>20074</v>
      </c>
      <c r="I4416" s="3" t="s">
        <v>23141</v>
      </c>
      <c r="J4416" s="3" t="s">
        <v>21445</v>
      </c>
      <c r="K4416" s="3" t="s">
        <v>23142</v>
      </c>
      <c r="L4416" s="3"/>
      <c r="M4416" s="4" t="s">
        <v>23143</v>
      </c>
      <c r="N4416" s="3" t="s">
        <v>37</v>
      </c>
      <c r="O4416" s="3" t="s">
        <v>52</v>
      </c>
      <c r="P4416" s="5">
        <v>4</v>
      </c>
      <c r="Q4416" s="5">
        <v>5</v>
      </c>
      <c r="R4416" s="5">
        <v>4</v>
      </c>
      <c r="S4416" s="5">
        <v>6</v>
      </c>
    </row>
    <row r="4417" spans="1:19" ht="28" x14ac:dyDescent="0.15">
      <c r="A4417" s="2">
        <f>HYPERLINK("https://open-school.uspishnemisto.com.ua/school/210587/", 210587)</f>
        <v>210587</v>
      </c>
      <c r="B4417" s="3" t="s">
        <v>23144</v>
      </c>
      <c r="C4417" s="3" t="s">
        <v>31</v>
      </c>
      <c r="D4417" s="3" t="s">
        <v>175</v>
      </c>
      <c r="E4417" s="4" t="s">
        <v>22</v>
      </c>
      <c r="F4417" s="4" t="s">
        <v>23134</v>
      </c>
      <c r="G4417" s="4" t="s">
        <v>23145</v>
      </c>
      <c r="H4417" s="3" t="s">
        <v>20074</v>
      </c>
      <c r="I4417" s="3" t="s">
        <v>23146</v>
      </c>
      <c r="J4417" s="3" t="s">
        <v>23147</v>
      </c>
      <c r="K4417" s="3" t="s">
        <v>23148</v>
      </c>
      <c r="L4417" s="3"/>
      <c r="M4417" s="4" t="s">
        <v>23149</v>
      </c>
      <c r="N4417" s="3" t="s">
        <v>37</v>
      </c>
      <c r="O4417" s="3" t="s">
        <v>46</v>
      </c>
      <c r="P4417" s="5">
        <v>9</v>
      </c>
      <c r="Q4417" s="5">
        <v>54</v>
      </c>
      <c r="R4417" s="5">
        <v>9</v>
      </c>
      <c r="S4417" s="5">
        <v>57</v>
      </c>
    </row>
    <row r="4418" spans="1:19" ht="28" x14ac:dyDescent="0.15">
      <c r="A4418" s="2">
        <f>HYPERLINK("https://open-school.uspishnemisto.com.ua/school/210588/", 210588)</f>
        <v>210588</v>
      </c>
      <c r="B4418" s="3" t="s">
        <v>23150</v>
      </c>
      <c r="C4418" s="3" t="s">
        <v>31</v>
      </c>
      <c r="D4418" s="3" t="s">
        <v>32</v>
      </c>
      <c r="E4418" s="4" t="s">
        <v>22</v>
      </c>
      <c r="F4418" s="4" t="s">
        <v>23151</v>
      </c>
      <c r="G4418" s="4" t="s">
        <v>23152</v>
      </c>
      <c r="H4418" s="3" t="s">
        <v>20074</v>
      </c>
      <c r="I4418" s="3" t="s">
        <v>23153</v>
      </c>
      <c r="J4418" s="3" t="s">
        <v>23154</v>
      </c>
      <c r="K4418" s="3" t="s">
        <v>23155</v>
      </c>
      <c r="L4418" s="3"/>
      <c r="M4418" s="4" t="s">
        <v>23156</v>
      </c>
      <c r="N4418" s="3" t="s">
        <v>37</v>
      </c>
      <c r="O4418" s="3" t="s">
        <v>46</v>
      </c>
      <c r="P4418" s="5">
        <v>17</v>
      </c>
      <c r="Q4418" s="5">
        <v>291</v>
      </c>
      <c r="R4418" s="5">
        <v>17</v>
      </c>
      <c r="S4418" s="5">
        <v>298</v>
      </c>
    </row>
    <row r="4419" spans="1:19" ht="28" x14ac:dyDescent="0.15">
      <c r="A4419" s="2">
        <f>HYPERLINK("https://open-school.uspishnemisto.com.ua/school/210589/", 210589)</f>
        <v>210589</v>
      </c>
      <c r="B4419" s="3" t="s">
        <v>23157</v>
      </c>
      <c r="C4419" s="3" t="s">
        <v>31</v>
      </c>
      <c r="D4419" s="3" t="s">
        <v>175</v>
      </c>
      <c r="E4419" s="4" t="s">
        <v>22</v>
      </c>
      <c r="F4419" s="4" t="s">
        <v>23158</v>
      </c>
      <c r="G4419" s="4" t="s">
        <v>23159</v>
      </c>
      <c r="H4419" s="3" t="s">
        <v>20074</v>
      </c>
      <c r="I4419" s="3" t="s">
        <v>23160</v>
      </c>
      <c r="J4419" s="3" t="s">
        <v>23161</v>
      </c>
      <c r="K4419" s="3" t="s">
        <v>23162</v>
      </c>
      <c r="L4419" s="3"/>
      <c r="M4419" s="4" t="s">
        <v>23163</v>
      </c>
      <c r="N4419" s="3" t="s">
        <v>37</v>
      </c>
      <c r="O4419" s="3" t="s">
        <v>46</v>
      </c>
      <c r="P4419" s="5">
        <v>9</v>
      </c>
      <c r="Q4419" s="5">
        <v>84</v>
      </c>
      <c r="R4419" s="5">
        <v>9</v>
      </c>
      <c r="S4419" s="5">
        <v>84</v>
      </c>
    </row>
    <row r="4420" spans="1:19" ht="56" x14ac:dyDescent="0.15">
      <c r="A4420" s="2">
        <f>HYPERLINK("https://open-school.uspishnemisto.com.ua/school/210590/", 210590)</f>
        <v>210590</v>
      </c>
      <c r="B4420" s="3" t="s">
        <v>23164</v>
      </c>
      <c r="C4420" s="3" t="s">
        <v>54</v>
      </c>
      <c r="D4420" s="3" t="s">
        <v>60</v>
      </c>
      <c r="E4420" s="4" t="s">
        <v>22</v>
      </c>
      <c r="F4420" s="4" t="s">
        <v>23158</v>
      </c>
      <c r="G4420" s="4" t="s">
        <v>23165</v>
      </c>
      <c r="H4420" s="3" t="s">
        <v>20074</v>
      </c>
      <c r="I4420" s="3" t="s">
        <v>23166</v>
      </c>
      <c r="J4420" s="3" t="s">
        <v>23167</v>
      </c>
      <c r="K4420" s="3" t="s">
        <v>23168</v>
      </c>
      <c r="L4420" s="3"/>
      <c r="M4420" s="4"/>
      <c r="N4420" s="3" t="s">
        <v>37</v>
      </c>
      <c r="O4420" s="3" t="s">
        <v>46</v>
      </c>
      <c r="P4420" s="5">
        <v>4</v>
      </c>
      <c r="Q4420" s="5">
        <v>16</v>
      </c>
      <c r="R4420" s="5">
        <v>4</v>
      </c>
      <c r="S4420" s="5">
        <v>16</v>
      </c>
    </row>
    <row r="4421" spans="1:19" ht="28" x14ac:dyDescent="0.15">
      <c r="A4421" s="2">
        <f>HYPERLINK("https://open-school.uspishnemisto.com.ua/school/210591/", 210591)</f>
        <v>210591</v>
      </c>
      <c r="B4421" s="3" t="s">
        <v>23169</v>
      </c>
      <c r="C4421" s="3" t="s">
        <v>31</v>
      </c>
      <c r="D4421" s="3" t="s">
        <v>32</v>
      </c>
      <c r="E4421" s="4" t="s">
        <v>22</v>
      </c>
      <c r="F4421" s="4" t="s">
        <v>23158</v>
      </c>
      <c r="G4421" s="4" t="s">
        <v>23170</v>
      </c>
      <c r="H4421" s="3" t="s">
        <v>20074</v>
      </c>
      <c r="I4421" s="3" t="s">
        <v>23171</v>
      </c>
      <c r="J4421" s="3" t="s">
        <v>23172</v>
      </c>
      <c r="K4421" s="3" t="s">
        <v>23173</v>
      </c>
      <c r="L4421" s="3"/>
      <c r="M4421" s="4" t="s">
        <v>23174</v>
      </c>
      <c r="N4421" s="3" t="s">
        <v>37</v>
      </c>
      <c r="O4421" s="3" t="s">
        <v>46</v>
      </c>
      <c r="P4421" s="5">
        <v>11</v>
      </c>
      <c r="Q4421" s="5">
        <v>137</v>
      </c>
      <c r="R4421" s="5">
        <v>11</v>
      </c>
      <c r="S4421" s="5">
        <v>133</v>
      </c>
    </row>
    <row r="4422" spans="1:19" ht="28" x14ac:dyDescent="0.15">
      <c r="A4422" s="2">
        <f>HYPERLINK("https://open-school.uspishnemisto.com.ua/school/210592/", 210592)</f>
        <v>210592</v>
      </c>
      <c r="B4422" s="3" t="s">
        <v>23175</v>
      </c>
      <c r="C4422" s="3" t="s">
        <v>31</v>
      </c>
      <c r="D4422" s="3" t="s">
        <v>175</v>
      </c>
      <c r="E4422" s="4" t="s">
        <v>22</v>
      </c>
      <c r="F4422" s="4" t="s">
        <v>23176</v>
      </c>
      <c r="G4422" s="4" t="s">
        <v>23177</v>
      </c>
      <c r="H4422" s="3" t="s">
        <v>20074</v>
      </c>
      <c r="I4422" s="3" t="s">
        <v>23178</v>
      </c>
      <c r="J4422" s="3" t="s">
        <v>23179</v>
      </c>
      <c r="K4422" s="3" t="s">
        <v>23180</v>
      </c>
      <c r="L4422" s="3"/>
      <c r="M4422" s="4" t="s">
        <v>23181</v>
      </c>
      <c r="N4422" s="3" t="s">
        <v>18409</v>
      </c>
      <c r="O4422" s="3" t="s">
        <v>46</v>
      </c>
      <c r="P4422" s="5">
        <v>6</v>
      </c>
      <c r="Q4422" s="5">
        <v>51</v>
      </c>
      <c r="R4422" s="5">
        <v>8</v>
      </c>
      <c r="S4422" s="5">
        <v>59</v>
      </c>
    </row>
    <row r="4423" spans="1:19" ht="42" x14ac:dyDescent="0.15">
      <c r="A4423" s="2">
        <f>HYPERLINK("https://open-school.uspishnemisto.com.ua/school/210593/", 210593)</f>
        <v>210593</v>
      </c>
      <c r="B4423" s="3" t="s">
        <v>23182</v>
      </c>
      <c r="C4423" s="3" t="s">
        <v>31</v>
      </c>
      <c r="D4423" s="3" t="s">
        <v>32</v>
      </c>
      <c r="E4423" s="4" t="s">
        <v>22</v>
      </c>
      <c r="F4423" s="4" t="s">
        <v>23183</v>
      </c>
      <c r="G4423" s="4" t="s">
        <v>23184</v>
      </c>
      <c r="H4423" s="3" t="s">
        <v>20074</v>
      </c>
      <c r="I4423" s="3" t="s">
        <v>23185</v>
      </c>
      <c r="J4423" s="3" t="s">
        <v>23186</v>
      </c>
      <c r="K4423" s="3" t="s">
        <v>23187</v>
      </c>
      <c r="L4423" s="3" t="s">
        <v>23188</v>
      </c>
      <c r="M4423" s="4" t="s">
        <v>23189</v>
      </c>
      <c r="N4423" s="3" t="s">
        <v>37</v>
      </c>
      <c r="O4423" s="3" t="s">
        <v>46</v>
      </c>
      <c r="P4423" s="5">
        <v>14</v>
      </c>
      <c r="Q4423" s="5">
        <v>274</v>
      </c>
      <c r="R4423" s="5">
        <v>13</v>
      </c>
      <c r="S4423" s="5">
        <v>286</v>
      </c>
    </row>
    <row r="4424" spans="1:19" ht="28" x14ac:dyDescent="0.15">
      <c r="A4424" s="2">
        <f>HYPERLINK("https://open-school.uspishnemisto.com.ua/school/210594/", 210594)</f>
        <v>210594</v>
      </c>
      <c r="B4424" s="3" t="s">
        <v>23190</v>
      </c>
      <c r="C4424" s="3" t="s">
        <v>31</v>
      </c>
      <c r="D4424" s="3" t="s">
        <v>32</v>
      </c>
      <c r="E4424" s="4" t="s">
        <v>22</v>
      </c>
      <c r="F4424" s="4" t="s">
        <v>23191</v>
      </c>
      <c r="G4424" s="4" t="s">
        <v>23192</v>
      </c>
      <c r="H4424" s="3" t="s">
        <v>20074</v>
      </c>
      <c r="I4424" s="3" t="s">
        <v>23193</v>
      </c>
      <c r="J4424" s="3" t="s">
        <v>23194</v>
      </c>
      <c r="K4424" s="3" t="s">
        <v>23195</v>
      </c>
      <c r="L4424" s="3" t="s">
        <v>23196</v>
      </c>
      <c r="M4424" s="4" t="s">
        <v>23197</v>
      </c>
      <c r="N4424" s="3" t="s">
        <v>18409</v>
      </c>
      <c r="O4424" s="3" t="s">
        <v>52</v>
      </c>
      <c r="P4424" s="5">
        <v>11</v>
      </c>
      <c r="Q4424" s="5">
        <v>230</v>
      </c>
      <c r="R4424" s="5">
        <v>11</v>
      </c>
      <c r="S4424" s="5">
        <v>227</v>
      </c>
    </row>
    <row r="4425" spans="1:19" ht="42" x14ac:dyDescent="0.15">
      <c r="A4425" s="2">
        <f>HYPERLINK("https://open-school.uspishnemisto.com.ua/school/210595/", 210595)</f>
        <v>210595</v>
      </c>
      <c r="B4425" s="3" t="s">
        <v>23198</v>
      </c>
      <c r="C4425" s="3" t="s">
        <v>54</v>
      </c>
      <c r="D4425" s="3" t="s">
        <v>60</v>
      </c>
      <c r="E4425" s="4" t="s">
        <v>22</v>
      </c>
      <c r="F4425" s="4" t="s">
        <v>23191</v>
      </c>
      <c r="G4425" s="4" t="s">
        <v>23199</v>
      </c>
      <c r="H4425" s="3" t="s">
        <v>20074</v>
      </c>
      <c r="I4425" s="3" t="s">
        <v>23200</v>
      </c>
      <c r="J4425" s="3" t="s">
        <v>2052</v>
      </c>
      <c r="K4425" s="3" t="s">
        <v>23201</v>
      </c>
      <c r="L4425" s="3"/>
      <c r="M4425" s="4" t="s">
        <v>23202</v>
      </c>
      <c r="N4425" s="3" t="s">
        <v>37</v>
      </c>
      <c r="O4425" s="3" t="s">
        <v>46</v>
      </c>
      <c r="P4425" s="5">
        <v>3</v>
      </c>
      <c r="Q4425" s="5">
        <v>9</v>
      </c>
      <c r="R4425" s="5">
        <v>4</v>
      </c>
      <c r="S4425" s="5">
        <v>13</v>
      </c>
    </row>
    <row r="4426" spans="1:19" ht="28" x14ac:dyDescent="0.15">
      <c r="A4426" s="2">
        <f>HYPERLINK("https://open-school.uspishnemisto.com.ua/school/210596/", 210596)</f>
        <v>210596</v>
      </c>
      <c r="B4426" s="3" t="s">
        <v>23203</v>
      </c>
      <c r="C4426" s="3" t="s">
        <v>31</v>
      </c>
      <c r="D4426" s="3" t="s">
        <v>175</v>
      </c>
      <c r="E4426" s="4" t="s">
        <v>22</v>
      </c>
      <c r="F4426" s="4" t="s">
        <v>20402</v>
      </c>
      <c r="G4426" s="4" t="s">
        <v>23204</v>
      </c>
      <c r="H4426" s="3" t="s">
        <v>20074</v>
      </c>
      <c r="I4426" s="3" t="s">
        <v>23205</v>
      </c>
      <c r="J4426" s="3" t="s">
        <v>23206</v>
      </c>
      <c r="K4426" s="3" t="s">
        <v>23207</v>
      </c>
      <c r="L4426" s="3"/>
      <c r="M4426" s="4"/>
      <c r="N4426" s="3" t="s">
        <v>18409</v>
      </c>
      <c r="O4426" s="3" t="s">
        <v>52</v>
      </c>
      <c r="P4426" s="5">
        <v>9</v>
      </c>
      <c r="Q4426" s="5">
        <v>69</v>
      </c>
      <c r="R4426" s="5">
        <v>9</v>
      </c>
      <c r="S4426" s="5">
        <v>70</v>
      </c>
    </row>
    <row r="4427" spans="1:19" ht="56" x14ac:dyDescent="0.15">
      <c r="A4427" s="2">
        <f>HYPERLINK("https://open-school.uspishnemisto.com.ua/school/210597/", 210597)</f>
        <v>210597</v>
      </c>
      <c r="B4427" s="3" t="s">
        <v>23208</v>
      </c>
      <c r="C4427" s="3" t="s">
        <v>54</v>
      </c>
      <c r="D4427" s="3" t="s">
        <v>60</v>
      </c>
      <c r="E4427" s="4" t="s">
        <v>22</v>
      </c>
      <c r="F4427" s="4" t="s">
        <v>23209</v>
      </c>
      <c r="G4427" s="4" t="s">
        <v>23210</v>
      </c>
      <c r="H4427" s="3" t="s">
        <v>20074</v>
      </c>
      <c r="I4427" s="3" t="s">
        <v>23211</v>
      </c>
      <c r="J4427" s="3" t="s">
        <v>23212</v>
      </c>
      <c r="K4427" s="3" t="s">
        <v>23213</v>
      </c>
      <c r="L4427" s="3"/>
      <c r="M4427" s="4"/>
      <c r="N4427" s="3" t="s">
        <v>37</v>
      </c>
      <c r="O4427" s="3" t="s">
        <v>52</v>
      </c>
      <c r="P4427" s="5">
        <v>0</v>
      </c>
      <c r="Q4427" s="5">
        <v>9</v>
      </c>
      <c r="R4427" s="5">
        <v>4</v>
      </c>
      <c r="S4427" s="5">
        <v>10</v>
      </c>
    </row>
    <row r="4428" spans="1:19" ht="28" x14ac:dyDescent="0.15">
      <c r="A4428" s="2">
        <f>HYPERLINK("https://open-school.uspishnemisto.com.ua/school/210598/", 210598)</f>
        <v>210598</v>
      </c>
      <c r="B4428" s="3" t="s">
        <v>23214</v>
      </c>
      <c r="C4428" s="3" t="s">
        <v>31</v>
      </c>
      <c r="D4428" s="3" t="s">
        <v>32</v>
      </c>
      <c r="E4428" s="4" t="s">
        <v>22</v>
      </c>
      <c r="F4428" s="4" t="s">
        <v>23122</v>
      </c>
      <c r="G4428" s="4" t="s">
        <v>23215</v>
      </c>
      <c r="H4428" s="3" t="s">
        <v>20074</v>
      </c>
      <c r="I4428" s="3" t="s">
        <v>23216</v>
      </c>
      <c r="J4428" s="3" t="s">
        <v>466</v>
      </c>
      <c r="K4428" s="3" t="s">
        <v>23217</v>
      </c>
      <c r="L4428" s="3"/>
      <c r="M4428" s="4" t="s">
        <v>23218</v>
      </c>
      <c r="N4428" s="3" t="s">
        <v>37</v>
      </c>
      <c r="O4428" s="3" t="s">
        <v>46</v>
      </c>
      <c r="P4428" s="5">
        <v>11</v>
      </c>
      <c r="Q4428" s="5">
        <v>202</v>
      </c>
      <c r="R4428" s="5">
        <v>11</v>
      </c>
      <c r="S4428" s="5">
        <v>202</v>
      </c>
    </row>
    <row r="4429" spans="1:19" ht="28" x14ac:dyDescent="0.15">
      <c r="A4429" s="2">
        <f>HYPERLINK("https://open-school.uspishnemisto.com.ua/school/210599/", 210599)</f>
        <v>210599</v>
      </c>
      <c r="B4429" s="3" t="s">
        <v>23219</v>
      </c>
      <c r="C4429" s="3" t="s">
        <v>31</v>
      </c>
      <c r="D4429" s="3" t="s">
        <v>60</v>
      </c>
      <c r="E4429" s="4" t="s">
        <v>22</v>
      </c>
      <c r="F4429" s="4" t="s">
        <v>23220</v>
      </c>
      <c r="G4429" s="4" t="s">
        <v>23221</v>
      </c>
      <c r="H4429" s="3" t="s">
        <v>20074</v>
      </c>
      <c r="I4429" s="3" t="s">
        <v>23222</v>
      </c>
      <c r="J4429" s="3" t="s">
        <v>23223</v>
      </c>
      <c r="K4429" s="3" t="s">
        <v>23224</v>
      </c>
      <c r="L4429" s="3"/>
      <c r="M4429" s="4" t="s">
        <v>23225</v>
      </c>
      <c r="N4429" s="3" t="s">
        <v>37</v>
      </c>
      <c r="O4429" s="3" t="s">
        <v>52</v>
      </c>
      <c r="P4429" s="5">
        <v>3</v>
      </c>
      <c r="Q4429" s="5">
        <v>27</v>
      </c>
      <c r="R4429" s="5">
        <v>3</v>
      </c>
      <c r="S4429" s="5">
        <v>27</v>
      </c>
    </row>
    <row r="4430" spans="1:19" ht="28" x14ac:dyDescent="0.15">
      <c r="A4430" s="2">
        <f>HYPERLINK("https://open-school.uspishnemisto.com.ua/school/210600/", 210600)</f>
        <v>210600</v>
      </c>
      <c r="B4430" s="3" t="s">
        <v>23226</v>
      </c>
      <c r="C4430" s="3" t="s">
        <v>31</v>
      </c>
      <c r="D4430" s="3" t="s">
        <v>175</v>
      </c>
      <c r="E4430" s="4" t="s">
        <v>22</v>
      </c>
      <c r="F4430" s="4" t="s">
        <v>23227</v>
      </c>
      <c r="G4430" s="4" t="s">
        <v>23228</v>
      </c>
      <c r="H4430" s="3" t="s">
        <v>20074</v>
      </c>
      <c r="I4430" s="3" t="s">
        <v>23229</v>
      </c>
      <c r="J4430" s="3" t="s">
        <v>23230</v>
      </c>
      <c r="K4430" s="3" t="s">
        <v>23231</v>
      </c>
      <c r="L4430" s="3" t="s">
        <v>23232</v>
      </c>
      <c r="M4430" s="4" t="s">
        <v>23233</v>
      </c>
      <c r="N4430" s="3" t="s">
        <v>37</v>
      </c>
      <c r="O4430" s="3" t="s">
        <v>46</v>
      </c>
      <c r="P4430" s="5">
        <v>9</v>
      </c>
      <c r="Q4430" s="5">
        <v>94</v>
      </c>
      <c r="R4430" s="5">
        <v>9</v>
      </c>
      <c r="S4430" s="5">
        <v>91</v>
      </c>
    </row>
    <row r="4431" spans="1:19" ht="28" x14ac:dyDescent="0.15">
      <c r="A4431" s="2">
        <f>HYPERLINK("https://open-school.uspishnemisto.com.ua/school/210601/", 210601)</f>
        <v>210601</v>
      </c>
      <c r="B4431" s="3" t="s">
        <v>23234</v>
      </c>
      <c r="C4431" s="3" t="s">
        <v>31</v>
      </c>
      <c r="D4431" s="3" t="s">
        <v>175</v>
      </c>
      <c r="E4431" s="4" t="s">
        <v>22</v>
      </c>
      <c r="F4431" s="4" t="s">
        <v>23235</v>
      </c>
      <c r="G4431" s="4" t="s">
        <v>23236</v>
      </c>
      <c r="H4431" s="3" t="s">
        <v>20074</v>
      </c>
      <c r="I4431" s="3" t="s">
        <v>23237</v>
      </c>
      <c r="J4431" s="3" t="s">
        <v>23238</v>
      </c>
      <c r="K4431" s="3" t="s">
        <v>23239</v>
      </c>
      <c r="L4431" s="3" t="s">
        <v>23240</v>
      </c>
      <c r="M4431" s="4" t="s">
        <v>23241</v>
      </c>
      <c r="N4431" s="3" t="s">
        <v>20226</v>
      </c>
      <c r="O4431" s="3" t="s">
        <v>20097</v>
      </c>
      <c r="P4431" s="5">
        <v>10</v>
      </c>
      <c r="Q4431" s="5">
        <v>119</v>
      </c>
      <c r="R4431" s="5">
        <v>10</v>
      </c>
      <c r="S4431" s="5">
        <v>124</v>
      </c>
    </row>
    <row r="4432" spans="1:19" ht="28" x14ac:dyDescent="0.15">
      <c r="A4432" s="2">
        <f>HYPERLINK("https://open-school.uspishnemisto.com.ua/school/210602/", 210602)</f>
        <v>210602</v>
      </c>
      <c r="B4432" s="3" t="s">
        <v>23242</v>
      </c>
      <c r="C4432" s="3" t="s">
        <v>31</v>
      </c>
      <c r="D4432" s="3" t="s">
        <v>175</v>
      </c>
      <c r="E4432" s="4" t="s">
        <v>22</v>
      </c>
      <c r="F4432" s="4" t="s">
        <v>23243</v>
      </c>
      <c r="G4432" s="4" t="s">
        <v>23244</v>
      </c>
      <c r="H4432" s="3" t="s">
        <v>20074</v>
      </c>
      <c r="I4432" s="3" t="s">
        <v>23245</v>
      </c>
      <c r="J4432" s="3" t="s">
        <v>466</v>
      </c>
      <c r="K4432" s="3" t="s">
        <v>23246</v>
      </c>
      <c r="L4432" s="3" t="s">
        <v>23247</v>
      </c>
      <c r="M4432" s="4" t="s">
        <v>23248</v>
      </c>
      <c r="N4432" s="3" t="s">
        <v>18409</v>
      </c>
      <c r="O4432" s="3" t="s">
        <v>46</v>
      </c>
      <c r="P4432" s="5">
        <v>9</v>
      </c>
      <c r="Q4432" s="5">
        <v>73</v>
      </c>
      <c r="R4432" s="5">
        <v>9</v>
      </c>
      <c r="S4432" s="5">
        <v>71</v>
      </c>
    </row>
    <row r="4433" spans="1:19" ht="56" x14ac:dyDescent="0.15">
      <c r="A4433" s="2">
        <f>HYPERLINK("https://open-school.uspishnemisto.com.ua/school/210603/", 210603)</f>
        <v>210603</v>
      </c>
      <c r="B4433" s="3" t="s">
        <v>23249</v>
      </c>
      <c r="C4433" s="3" t="s">
        <v>54</v>
      </c>
      <c r="D4433" s="3" t="s">
        <v>60</v>
      </c>
      <c r="E4433" s="4" t="s">
        <v>22</v>
      </c>
      <c r="F4433" s="4" t="s">
        <v>23250</v>
      </c>
      <c r="G4433" s="4" t="s">
        <v>23251</v>
      </c>
      <c r="H4433" s="3" t="s">
        <v>20074</v>
      </c>
      <c r="I4433" s="3" t="s">
        <v>12478</v>
      </c>
      <c r="J4433" s="3" t="s">
        <v>23252</v>
      </c>
      <c r="K4433" s="3"/>
      <c r="L4433" s="3"/>
      <c r="M4433" s="4"/>
      <c r="N4433" s="3" t="s">
        <v>37</v>
      </c>
      <c r="O4433" s="3" t="s">
        <v>52</v>
      </c>
      <c r="P4433" s="5">
        <v>3</v>
      </c>
      <c r="Q4433" s="5">
        <v>19</v>
      </c>
      <c r="R4433" s="5">
        <v>3</v>
      </c>
      <c r="S4433" s="5">
        <v>23</v>
      </c>
    </row>
    <row r="4434" spans="1:19" ht="28" x14ac:dyDescent="0.15">
      <c r="A4434" s="2">
        <f>HYPERLINK("https://open-school.uspishnemisto.com.ua/school/210604/", 210604)</f>
        <v>210604</v>
      </c>
      <c r="B4434" s="3" t="s">
        <v>23253</v>
      </c>
      <c r="C4434" s="3" t="s">
        <v>31</v>
      </c>
      <c r="D4434" s="3" t="s">
        <v>175</v>
      </c>
      <c r="E4434" s="4" t="s">
        <v>22</v>
      </c>
      <c r="F4434" s="4" t="s">
        <v>21740</v>
      </c>
      <c r="G4434" s="4" t="s">
        <v>23254</v>
      </c>
      <c r="H4434" s="3" t="s">
        <v>20074</v>
      </c>
      <c r="I4434" s="3" t="s">
        <v>23255</v>
      </c>
      <c r="J4434" s="3" t="s">
        <v>23256</v>
      </c>
      <c r="K4434" s="3" t="s">
        <v>23257</v>
      </c>
      <c r="L4434" s="3"/>
      <c r="M4434" s="4"/>
      <c r="N4434" s="3" t="s">
        <v>18409</v>
      </c>
      <c r="O4434" s="3" t="s">
        <v>46</v>
      </c>
      <c r="P4434" s="5">
        <v>9</v>
      </c>
      <c r="Q4434" s="5">
        <v>80</v>
      </c>
      <c r="R4434" s="5">
        <v>9</v>
      </c>
      <c r="S4434" s="5">
        <v>79</v>
      </c>
    </row>
    <row r="4435" spans="1:19" ht="28" x14ac:dyDescent="0.15">
      <c r="A4435" s="2">
        <f>HYPERLINK("https://open-school.uspishnemisto.com.ua/school/210605/", 210605)</f>
        <v>210605</v>
      </c>
      <c r="B4435" s="3" t="s">
        <v>23258</v>
      </c>
      <c r="C4435" s="3" t="s">
        <v>31</v>
      </c>
      <c r="D4435" s="3" t="s">
        <v>32</v>
      </c>
      <c r="E4435" s="4" t="s">
        <v>22</v>
      </c>
      <c r="F4435" s="4" t="s">
        <v>23259</v>
      </c>
      <c r="G4435" s="4" t="s">
        <v>23260</v>
      </c>
      <c r="H4435" s="3" t="s">
        <v>20074</v>
      </c>
      <c r="I4435" s="3" t="s">
        <v>23261</v>
      </c>
      <c r="J4435" s="3" t="s">
        <v>23262</v>
      </c>
      <c r="K4435" s="3" t="s">
        <v>23263</v>
      </c>
      <c r="L4435" s="3"/>
      <c r="M4435" s="4" t="s">
        <v>23264</v>
      </c>
      <c r="N4435" s="3" t="s">
        <v>37</v>
      </c>
      <c r="O4435" s="3" t="s">
        <v>23265</v>
      </c>
      <c r="P4435" s="5">
        <v>11</v>
      </c>
      <c r="Q4435" s="5">
        <v>152</v>
      </c>
      <c r="R4435" s="5">
        <v>11</v>
      </c>
      <c r="S4435" s="5">
        <v>154</v>
      </c>
    </row>
    <row r="4436" spans="1:19" ht="28" x14ac:dyDescent="0.15">
      <c r="A4436" s="2">
        <f>HYPERLINK("https://open-school.uspishnemisto.com.ua/school/210606/", 210606)</f>
        <v>210606</v>
      </c>
      <c r="B4436" s="3" t="s">
        <v>23266</v>
      </c>
      <c r="C4436" s="3" t="s">
        <v>31</v>
      </c>
      <c r="D4436" s="3" t="s">
        <v>32</v>
      </c>
      <c r="E4436" s="4" t="s">
        <v>22</v>
      </c>
      <c r="F4436" s="4" t="s">
        <v>23267</v>
      </c>
      <c r="G4436" s="4" t="s">
        <v>23268</v>
      </c>
      <c r="H4436" s="3" t="s">
        <v>20074</v>
      </c>
      <c r="I4436" s="3" t="s">
        <v>23269</v>
      </c>
      <c r="J4436" s="3" t="s">
        <v>23270</v>
      </c>
      <c r="K4436" s="3" t="s">
        <v>23271</v>
      </c>
      <c r="L4436" s="3"/>
      <c r="M4436" s="4" t="s">
        <v>23272</v>
      </c>
      <c r="N4436" s="3" t="s">
        <v>20226</v>
      </c>
      <c r="O4436" s="3" t="s">
        <v>20097</v>
      </c>
      <c r="P4436" s="5">
        <v>21</v>
      </c>
      <c r="Q4436" s="5">
        <v>276</v>
      </c>
      <c r="R4436" s="5">
        <v>26</v>
      </c>
      <c r="S4436" s="5">
        <v>279</v>
      </c>
    </row>
    <row r="4437" spans="1:19" ht="42" x14ac:dyDescent="0.15">
      <c r="A4437" s="2">
        <f>HYPERLINK("https://open-school.uspishnemisto.com.ua/school/210607/", 210607)</f>
        <v>210607</v>
      </c>
      <c r="B4437" s="3" t="s">
        <v>23273</v>
      </c>
      <c r="C4437" s="3" t="s">
        <v>31</v>
      </c>
      <c r="D4437" s="3" t="s">
        <v>32</v>
      </c>
      <c r="E4437" s="4" t="s">
        <v>22</v>
      </c>
      <c r="F4437" s="4" t="s">
        <v>23274</v>
      </c>
      <c r="G4437" s="4" t="s">
        <v>23275</v>
      </c>
      <c r="H4437" s="3" t="s">
        <v>20074</v>
      </c>
      <c r="I4437" s="3" t="s">
        <v>23276</v>
      </c>
      <c r="J4437" s="3" t="s">
        <v>23277</v>
      </c>
      <c r="K4437" s="3" t="s">
        <v>23278</v>
      </c>
      <c r="L4437" s="3" t="s">
        <v>23279</v>
      </c>
      <c r="M4437" s="4" t="s">
        <v>23280</v>
      </c>
      <c r="N4437" s="3" t="s">
        <v>20226</v>
      </c>
      <c r="O4437" s="3" t="s">
        <v>20097</v>
      </c>
      <c r="P4437" s="5">
        <v>22</v>
      </c>
      <c r="Q4437" s="5">
        <v>281</v>
      </c>
      <c r="R4437" s="5">
        <v>22</v>
      </c>
      <c r="S4437" s="5">
        <v>267</v>
      </c>
    </row>
    <row r="4438" spans="1:19" ht="28" x14ac:dyDescent="0.15">
      <c r="A4438" s="2">
        <f>HYPERLINK("https://open-school.uspishnemisto.com.ua/school/210608/", 210608)</f>
        <v>210608</v>
      </c>
      <c r="B4438" s="3" t="s">
        <v>23281</v>
      </c>
      <c r="C4438" s="3" t="s">
        <v>31</v>
      </c>
      <c r="D4438" s="3" t="s">
        <v>175</v>
      </c>
      <c r="E4438" s="4" t="s">
        <v>22</v>
      </c>
      <c r="F4438" s="4" t="s">
        <v>23191</v>
      </c>
      <c r="G4438" s="4" t="s">
        <v>23282</v>
      </c>
      <c r="H4438" s="3" t="s">
        <v>20074</v>
      </c>
      <c r="I4438" s="3" t="s">
        <v>23283</v>
      </c>
      <c r="J4438" s="3" t="s">
        <v>23284</v>
      </c>
      <c r="K4438" s="3" t="s">
        <v>23285</v>
      </c>
      <c r="L4438" s="3"/>
      <c r="M4438" s="4" t="s">
        <v>23286</v>
      </c>
      <c r="N4438" s="3" t="s">
        <v>18409</v>
      </c>
      <c r="O4438" s="3" t="s">
        <v>52</v>
      </c>
      <c r="P4438" s="5">
        <v>9</v>
      </c>
      <c r="Q4438" s="5">
        <v>135</v>
      </c>
      <c r="R4438" s="5">
        <v>9</v>
      </c>
      <c r="S4438" s="5">
        <v>131</v>
      </c>
    </row>
    <row r="4439" spans="1:19" ht="28" x14ac:dyDescent="0.15">
      <c r="A4439" s="2">
        <f>HYPERLINK("https://open-school.uspishnemisto.com.ua/school/210609/", 210609)</f>
        <v>210609</v>
      </c>
      <c r="B4439" s="3" t="s">
        <v>23287</v>
      </c>
      <c r="C4439" s="3" t="s">
        <v>31</v>
      </c>
      <c r="D4439" s="3" t="s">
        <v>60</v>
      </c>
      <c r="E4439" s="4" t="s">
        <v>22</v>
      </c>
      <c r="F4439" s="4" t="s">
        <v>23288</v>
      </c>
      <c r="G4439" s="4" t="s">
        <v>23289</v>
      </c>
      <c r="H4439" s="3" t="s">
        <v>20074</v>
      </c>
      <c r="I4439" s="3" t="s">
        <v>23290</v>
      </c>
      <c r="J4439" s="3" t="s">
        <v>23291</v>
      </c>
      <c r="K4439" s="3" t="s">
        <v>23292</v>
      </c>
      <c r="L4439" s="3"/>
      <c r="M4439" s="4" t="s">
        <v>23293</v>
      </c>
      <c r="N4439" s="3" t="s">
        <v>37</v>
      </c>
      <c r="O4439" s="3" t="s">
        <v>52</v>
      </c>
      <c r="P4439" s="5">
        <v>4</v>
      </c>
      <c r="Q4439" s="5">
        <v>16</v>
      </c>
      <c r="R4439" s="5">
        <v>3</v>
      </c>
      <c r="S4439" s="5">
        <v>22</v>
      </c>
    </row>
    <row r="4440" spans="1:19" ht="28" x14ac:dyDescent="0.15">
      <c r="A4440" s="2">
        <f>HYPERLINK("https://open-school.uspishnemisto.com.ua/school/210610/", 210610)</f>
        <v>210610</v>
      </c>
      <c r="B4440" s="3" t="s">
        <v>23294</v>
      </c>
      <c r="C4440" s="3" t="s">
        <v>31</v>
      </c>
      <c r="D4440" s="3" t="s">
        <v>175</v>
      </c>
      <c r="E4440" s="4" t="s">
        <v>22</v>
      </c>
      <c r="F4440" s="4" t="s">
        <v>23295</v>
      </c>
      <c r="G4440" s="4" t="s">
        <v>23296</v>
      </c>
      <c r="H4440" s="3" t="s">
        <v>20074</v>
      </c>
      <c r="I4440" s="3" t="s">
        <v>23297</v>
      </c>
      <c r="J4440" s="3" t="s">
        <v>23298</v>
      </c>
      <c r="K4440" s="3" t="s">
        <v>23299</v>
      </c>
      <c r="L4440" s="3" t="s">
        <v>23300</v>
      </c>
      <c r="M4440" s="4" t="s">
        <v>23301</v>
      </c>
      <c r="N4440" s="3" t="s">
        <v>20226</v>
      </c>
      <c r="O4440" s="3" t="s">
        <v>46</v>
      </c>
      <c r="P4440" s="5">
        <v>12</v>
      </c>
      <c r="Q4440" s="5">
        <v>178</v>
      </c>
      <c r="R4440" s="5">
        <v>12</v>
      </c>
      <c r="S4440" s="5">
        <v>164</v>
      </c>
    </row>
    <row r="4441" spans="1:19" ht="42" x14ac:dyDescent="0.15">
      <c r="A4441" s="2">
        <f>HYPERLINK("https://open-school.uspishnemisto.com.ua/school/210611/", 210611)</f>
        <v>210611</v>
      </c>
      <c r="B4441" s="3" t="s">
        <v>23302</v>
      </c>
      <c r="C4441" s="3" t="s">
        <v>31</v>
      </c>
      <c r="D4441" s="3" t="s">
        <v>32</v>
      </c>
      <c r="E4441" s="4" t="s">
        <v>22</v>
      </c>
      <c r="F4441" s="4" t="s">
        <v>23303</v>
      </c>
      <c r="G4441" s="4" t="s">
        <v>23304</v>
      </c>
      <c r="H4441" s="3" t="s">
        <v>20074</v>
      </c>
      <c r="I4441" s="3" t="s">
        <v>23305</v>
      </c>
      <c r="J4441" s="3" t="s">
        <v>466</v>
      </c>
      <c r="K4441" s="3" t="s">
        <v>23306</v>
      </c>
      <c r="L4441" s="3" t="s">
        <v>23307</v>
      </c>
      <c r="M4441" s="4" t="s">
        <v>23308</v>
      </c>
      <c r="N4441" s="3" t="s">
        <v>20226</v>
      </c>
      <c r="O4441" s="3" t="s">
        <v>46</v>
      </c>
      <c r="P4441" s="5">
        <v>19</v>
      </c>
      <c r="Q4441" s="5">
        <v>286</v>
      </c>
      <c r="R4441" s="5">
        <v>18</v>
      </c>
      <c r="S4441" s="5">
        <v>287</v>
      </c>
    </row>
    <row r="4442" spans="1:19" ht="28" x14ac:dyDescent="0.15">
      <c r="A4442" s="2">
        <f>HYPERLINK("https://open-school.uspishnemisto.com.ua/school/210612/", 210612)</f>
        <v>210612</v>
      </c>
      <c r="B4442" s="3" t="s">
        <v>23309</v>
      </c>
      <c r="C4442" s="3" t="s">
        <v>31</v>
      </c>
      <c r="D4442" s="3" t="s">
        <v>60</v>
      </c>
      <c r="E4442" s="4" t="s">
        <v>22</v>
      </c>
      <c r="F4442" s="4" t="s">
        <v>23310</v>
      </c>
      <c r="G4442" s="4" t="s">
        <v>23311</v>
      </c>
      <c r="H4442" s="3" t="s">
        <v>20074</v>
      </c>
      <c r="I4442" s="3" t="s">
        <v>23312</v>
      </c>
      <c r="J4442" s="3" t="s">
        <v>23313</v>
      </c>
      <c r="K4442" s="3" t="s">
        <v>23314</v>
      </c>
      <c r="L4442" s="3"/>
      <c r="M4442" s="4"/>
      <c r="N4442" s="3" t="s">
        <v>37</v>
      </c>
      <c r="O4442" s="3" t="s">
        <v>52</v>
      </c>
      <c r="P4442" s="5">
        <v>4</v>
      </c>
      <c r="Q4442" s="5">
        <v>56</v>
      </c>
      <c r="R4442" s="5">
        <v>4</v>
      </c>
      <c r="S4442" s="5">
        <v>55</v>
      </c>
    </row>
    <row r="4443" spans="1:19" ht="28" x14ac:dyDescent="0.15">
      <c r="A4443" s="2">
        <f>HYPERLINK("https://open-school.uspishnemisto.com.ua/school/210613/", 210613)</f>
        <v>210613</v>
      </c>
      <c r="B4443" s="3" t="s">
        <v>23315</v>
      </c>
      <c r="C4443" s="3" t="s">
        <v>31</v>
      </c>
      <c r="D4443" s="3" t="s">
        <v>32</v>
      </c>
      <c r="E4443" s="4" t="s">
        <v>22</v>
      </c>
      <c r="F4443" s="4" t="s">
        <v>23316</v>
      </c>
      <c r="G4443" s="4" t="s">
        <v>23317</v>
      </c>
      <c r="H4443" s="3" t="s">
        <v>20074</v>
      </c>
      <c r="I4443" s="3" t="s">
        <v>23318</v>
      </c>
      <c r="J4443" s="3" t="s">
        <v>23319</v>
      </c>
      <c r="K4443" s="3" t="s">
        <v>23320</v>
      </c>
      <c r="L4443" s="3"/>
      <c r="M4443" s="4" t="s">
        <v>23321</v>
      </c>
      <c r="N4443" s="3" t="s">
        <v>37</v>
      </c>
      <c r="O4443" s="3" t="s">
        <v>46</v>
      </c>
      <c r="P4443" s="5">
        <v>14</v>
      </c>
      <c r="Q4443" s="5">
        <v>257</v>
      </c>
      <c r="R4443" s="5">
        <v>14</v>
      </c>
      <c r="S4443" s="5">
        <v>264</v>
      </c>
    </row>
    <row r="4444" spans="1:19" ht="56" x14ac:dyDescent="0.15">
      <c r="A4444" s="2">
        <f>HYPERLINK("https://open-school.uspishnemisto.com.ua/school/210614/", 210614)</f>
        <v>210614</v>
      </c>
      <c r="B4444" s="3" t="s">
        <v>23322</v>
      </c>
      <c r="C4444" s="3" t="s">
        <v>31</v>
      </c>
      <c r="D4444" s="3" t="s">
        <v>175</v>
      </c>
      <c r="E4444" s="4" t="s">
        <v>22</v>
      </c>
      <c r="F4444" s="4" t="s">
        <v>23323</v>
      </c>
      <c r="G4444" s="4" t="s">
        <v>23324</v>
      </c>
      <c r="H4444" s="3" t="s">
        <v>20074</v>
      </c>
      <c r="I4444" s="3" t="s">
        <v>23325</v>
      </c>
      <c r="J4444" s="3" t="s">
        <v>23326</v>
      </c>
      <c r="K4444" s="3" t="s">
        <v>23327</v>
      </c>
      <c r="L4444" s="3"/>
      <c r="M4444" s="4"/>
      <c r="N4444" s="3" t="s">
        <v>37</v>
      </c>
      <c r="O4444" s="3" t="s">
        <v>20119</v>
      </c>
      <c r="P4444" s="5">
        <v>9</v>
      </c>
      <c r="Q4444" s="5">
        <v>116</v>
      </c>
      <c r="R4444" s="5">
        <v>9</v>
      </c>
      <c r="S4444" s="5">
        <v>115</v>
      </c>
    </row>
    <row r="4445" spans="1:19" ht="42" x14ac:dyDescent="0.15">
      <c r="A4445" s="2">
        <f>HYPERLINK("https://open-school.uspishnemisto.com.ua/school/210615/", 210615)</f>
        <v>210615</v>
      </c>
      <c r="B4445" s="3" t="s">
        <v>23328</v>
      </c>
      <c r="C4445" s="3" t="s">
        <v>54</v>
      </c>
      <c r="D4445" s="3" t="s">
        <v>60</v>
      </c>
      <c r="E4445" s="4" t="s">
        <v>22</v>
      </c>
      <c r="F4445" s="4" t="s">
        <v>23316</v>
      </c>
      <c r="G4445" s="4" t="s">
        <v>23329</v>
      </c>
      <c r="H4445" s="3" t="s">
        <v>20074</v>
      </c>
      <c r="I4445" s="3" t="s">
        <v>23330</v>
      </c>
      <c r="J4445" s="3" t="s">
        <v>23331</v>
      </c>
      <c r="K4445" s="3" t="s">
        <v>23332</v>
      </c>
      <c r="L4445" s="3"/>
      <c r="M4445" s="4"/>
      <c r="N4445" s="3" t="s">
        <v>37</v>
      </c>
      <c r="O4445" s="3" t="s">
        <v>52</v>
      </c>
      <c r="P4445" s="5">
        <v>4</v>
      </c>
      <c r="Q4445" s="5">
        <v>9</v>
      </c>
      <c r="R4445" s="5">
        <v>4</v>
      </c>
      <c r="S4445" s="5">
        <v>8</v>
      </c>
    </row>
    <row r="4446" spans="1:19" ht="28" x14ac:dyDescent="0.15">
      <c r="A4446" s="2">
        <f>HYPERLINK("https://open-school.uspishnemisto.com.ua/school/210616/", 210616)</f>
        <v>210616</v>
      </c>
      <c r="B4446" s="3" t="s">
        <v>23333</v>
      </c>
      <c r="C4446" s="3" t="s">
        <v>31</v>
      </c>
      <c r="D4446" s="3" t="s">
        <v>175</v>
      </c>
      <c r="E4446" s="4" t="s">
        <v>22</v>
      </c>
      <c r="F4446" s="4" t="s">
        <v>23316</v>
      </c>
      <c r="G4446" s="4" t="s">
        <v>23334</v>
      </c>
      <c r="H4446" s="3" t="s">
        <v>20074</v>
      </c>
      <c r="I4446" s="3" t="s">
        <v>23335</v>
      </c>
      <c r="J4446" s="3" t="s">
        <v>23336</v>
      </c>
      <c r="K4446" s="3" t="s">
        <v>23337</v>
      </c>
      <c r="L4446" s="3"/>
      <c r="M4446" s="4" t="s">
        <v>23338</v>
      </c>
      <c r="N4446" s="3" t="s">
        <v>37</v>
      </c>
      <c r="O4446" s="3" t="s">
        <v>52</v>
      </c>
      <c r="P4446" s="5">
        <v>9</v>
      </c>
      <c r="Q4446" s="5">
        <v>85</v>
      </c>
      <c r="R4446" s="5">
        <v>9</v>
      </c>
      <c r="S4446" s="5">
        <v>76</v>
      </c>
    </row>
    <row r="4447" spans="1:19" ht="28" x14ac:dyDescent="0.15">
      <c r="A4447" s="2">
        <f>HYPERLINK("https://open-school.uspishnemisto.com.ua/school/210617/", 210617)</f>
        <v>210617</v>
      </c>
      <c r="B4447" s="3" t="s">
        <v>23339</v>
      </c>
      <c r="C4447" s="3" t="s">
        <v>181</v>
      </c>
      <c r="D4447" s="3" t="s">
        <v>175</v>
      </c>
      <c r="E4447" s="4" t="s">
        <v>22</v>
      </c>
      <c r="F4447" s="4" t="s">
        <v>23039</v>
      </c>
      <c r="G4447" s="4" t="s">
        <v>23334</v>
      </c>
      <c r="H4447" s="3" t="s">
        <v>20074</v>
      </c>
      <c r="I4447" s="3" t="s">
        <v>23335</v>
      </c>
      <c r="J4447" s="3" t="s">
        <v>4425</v>
      </c>
      <c r="K4447" s="3" t="s">
        <v>23340</v>
      </c>
      <c r="L4447" s="3" t="s">
        <v>23341</v>
      </c>
      <c r="M4447" s="4" t="s">
        <v>23342</v>
      </c>
      <c r="N4447" s="3" t="s">
        <v>37</v>
      </c>
      <c r="O4447" s="3"/>
      <c r="P4447" s="5">
        <v>7</v>
      </c>
      <c r="Q4447" s="5">
        <v>59</v>
      </c>
      <c r="R4447" s="5">
        <v>9</v>
      </c>
      <c r="S4447" s="5">
        <v>71</v>
      </c>
    </row>
    <row r="4448" spans="1:19" ht="28" x14ac:dyDescent="0.15">
      <c r="A4448" s="2">
        <f>HYPERLINK("https://open-school.uspishnemisto.com.ua/school/210618/", 210618)</f>
        <v>210618</v>
      </c>
      <c r="B4448" s="3" t="s">
        <v>23343</v>
      </c>
      <c r="C4448" s="3" t="s">
        <v>181</v>
      </c>
      <c r="D4448" s="3" t="s">
        <v>175</v>
      </c>
      <c r="E4448" s="4" t="s">
        <v>22</v>
      </c>
      <c r="F4448" s="4" t="s">
        <v>23183</v>
      </c>
      <c r="G4448" s="4" t="s">
        <v>23344</v>
      </c>
      <c r="H4448" s="3" t="s">
        <v>20074</v>
      </c>
      <c r="I4448" s="3" t="s">
        <v>23345</v>
      </c>
      <c r="J4448" s="3" t="s">
        <v>23346</v>
      </c>
      <c r="K4448" s="3" t="s">
        <v>23347</v>
      </c>
      <c r="L4448" s="3" t="s">
        <v>23348</v>
      </c>
      <c r="M4448" s="4" t="s">
        <v>23349</v>
      </c>
      <c r="N4448" s="3" t="s">
        <v>37</v>
      </c>
      <c r="O4448" s="3"/>
      <c r="P4448" s="5">
        <v>8</v>
      </c>
      <c r="Q4448" s="5">
        <v>70</v>
      </c>
      <c r="R4448" s="5">
        <v>9</v>
      </c>
      <c r="S4448" s="5">
        <v>83</v>
      </c>
    </row>
    <row r="4449" spans="1:19" ht="42" x14ac:dyDescent="0.15">
      <c r="A4449" s="2">
        <f>HYPERLINK("https://open-school.uspishnemisto.com.ua/school/210619/", 210619)</f>
        <v>210619</v>
      </c>
      <c r="B4449" s="3" t="s">
        <v>23350</v>
      </c>
      <c r="C4449" s="3" t="s">
        <v>54</v>
      </c>
      <c r="D4449" s="3" t="s">
        <v>60</v>
      </c>
      <c r="E4449" s="4" t="s">
        <v>22</v>
      </c>
      <c r="F4449" s="4" t="s">
        <v>23183</v>
      </c>
      <c r="G4449" s="4" t="s">
        <v>23344</v>
      </c>
      <c r="H4449" s="3" t="s">
        <v>20074</v>
      </c>
      <c r="I4449" s="3" t="s">
        <v>23345</v>
      </c>
      <c r="J4449" s="3" t="s">
        <v>23351</v>
      </c>
      <c r="K4449" s="3" t="s">
        <v>23352</v>
      </c>
      <c r="L4449" s="3"/>
      <c r="M4449" s="4"/>
      <c r="N4449" s="3" t="s">
        <v>18409</v>
      </c>
      <c r="O4449" s="3" t="s">
        <v>52</v>
      </c>
      <c r="P4449" s="5">
        <v>4</v>
      </c>
      <c r="Q4449" s="5">
        <v>12</v>
      </c>
      <c r="R4449" s="5">
        <v>4</v>
      </c>
      <c r="S4449" s="5">
        <v>11</v>
      </c>
    </row>
    <row r="4450" spans="1:19" ht="28" x14ac:dyDescent="0.15">
      <c r="A4450" s="2">
        <f>HYPERLINK("https://open-school.uspishnemisto.com.ua/school/210620/", 210620)</f>
        <v>210620</v>
      </c>
      <c r="B4450" s="3" t="s">
        <v>23353</v>
      </c>
      <c r="C4450" s="3" t="s">
        <v>31</v>
      </c>
      <c r="D4450" s="3" t="s">
        <v>32</v>
      </c>
      <c r="E4450" s="4" t="s">
        <v>22</v>
      </c>
      <c r="F4450" s="4" t="s">
        <v>23354</v>
      </c>
      <c r="G4450" s="4" t="s">
        <v>23355</v>
      </c>
      <c r="H4450" s="3" t="s">
        <v>20074</v>
      </c>
      <c r="I4450" s="3" t="s">
        <v>11464</v>
      </c>
      <c r="J4450" s="3" t="s">
        <v>1857</v>
      </c>
      <c r="K4450" s="3" t="s">
        <v>23356</v>
      </c>
      <c r="L4450" s="3"/>
      <c r="M4450" s="4" t="s">
        <v>23357</v>
      </c>
      <c r="N4450" s="3" t="s">
        <v>37</v>
      </c>
      <c r="O4450" s="3" t="s">
        <v>46</v>
      </c>
      <c r="P4450" s="5">
        <v>11</v>
      </c>
      <c r="Q4450" s="5">
        <v>149</v>
      </c>
      <c r="R4450" s="5">
        <v>11</v>
      </c>
      <c r="S4450" s="5">
        <v>149</v>
      </c>
    </row>
    <row r="4451" spans="1:19" ht="28" x14ac:dyDescent="0.15">
      <c r="A4451" s="2">
        <f>HYPERLINK("https://open-school.uspishnemisto.com.ua/school/210621/", 210621)</f>
        <v>210621</v>
      </c>
      <c r="B4451" s="3" t="s">
        <v>23358</v>
      </c>
      <c r="C4451" s="3" t="s">
        <v>31</v>
      </c>
      <c r="D4451" s="3" t="s">
        <v>32</v>
      </c>
      <c r="E4451" s="4" t="s">
        <v>22</v>
      </c>
      <c r="F4451" s="4" t="s">
        <v>23250</v>
      </c>
      <c r="G4451" s="4" t="s">
        <v>23359</v>
      </c>
      <c r="H4451" s="3" t="s">
        <v>20074</v>
      </c>
      <c r="I4451" s="3" t="s">
        <v>23360</v>
      </c>
      <c r="J4451" s="3" t="s">
        <v>23361</v>
      </c>
      <c r="K4451" s="3" t="s">
        <v>23362</v>
      </c>
      <c r="L4451" s="3"/>
      <c r="M4451" s="4" t="s">
        <v>23363</v>
      </c>
      <c r="N4451" s="3" t="s">
        <v>18409</v>
      </c>
      <c r="O4451" s="3" t="s">
        <v>52</v>
      </c>
      <c r="P4451" s="5">
        <v>11</v>
      </c>
      <c r="Q4451" s="5">
        <v>187</v>
      </c>
      <c r="R4451" s="5">
        <v>11</v>
      </c>
      <c r="S4451" s="5">
        <v>183</v>
      </c>
    </row>
    <row r="4452" spans="1:19" ht="28" x14ac:dyDescent="0.15">
      <c r="A4452" s="2">
        <f>HYPERLINK("https://open-school.uspishnemisto.com.ua/school/210622/", 210622)</f>
        <v>210622</v>
      </c>
      <c r="B4452" s="3" t="s">
        <v>23364</v>
      </c>
      <c r="C4452" s="3" t="s">
        <v>31</v>
      </c>
      <c r="D4452" s="3" t="s">
        <v>175</v>
      </c>
      <c r="E4452" s="4" t="s">
        <v>22</v>
      </c>
      <c r="F4452" s="4" t="s">
        <v>23365</v>
      </c>
      <c r="G4452" s="4" t="s">
        <v>23366</v>
      </c>
      <c r="H4452" s="3" t="s">
        <v>20074</v>
      </c>
      <c r="I4452" s="3" t="s">
        <v>23367</v>
      </c>
      <c r="J4452" s="3" t="s">
        <v>23368</v>
      </c>
      <c r="K4452" s="3" t="s">
        <v>23369</v>
      </c>
      <c r="L4452" s="3"/>
      <c r="M4452" s="4" t="s">
        <v>23370</v>
      </c>
      <c r="N4452" s="3" t="s">
        <v>37</v>
      </c>
      <c r="O4452" s="3" t="s">
        <v>46</v>
      </c>
      <c r="P4452" s="5">
        <v>9</v>
      </c>
      <c r="Q4452" s="5">
        <v>65</v>
      </c>
      <c r="R4452" s="5">
        <v>9</v>
      </c>
      <c r="S4452" s="5">
        <v>67</v>
      </c>
    </row>
    <row r="4453" spans="1:19" ht="56" x14ac:dyDescent="0.15">
      <c r="A4453" s="2">
        <f>HYPERLINK("https://open-school.uspishnemisto.com.ua/school/210623/", 210623)</f>
        <v>210623</v>
      </c>
      <c r="B4453" s="3" t="s">
        <v>23371</v>
      </c>
      <c r="C4453" s="3" t="s">
        <v>54</v>
      </c>
      <c r="D4453" s="3" t="s">
        <v>60</v>
      </c>
      <c r="E4453" s="4" t="s">
        <v>22</v>
      </c>
      <c r="F4453" s="4" t="s">
        <v>23365</v>
      </c>
      <c r="G4453" s="4" t="s">
        <v>23372</v>
      </c>
      <c r="H4453" s="3" t="s">
        <v>20074</v>
      </c>
      <c r="I4453" s="3" t="s">
        <v>23373</v>
      </c>
      <c r="J4453" s="3" t="s">
        <v>23374</v>
      </c>
      <c r="K4453" s="3" t="s">
        <v>23375</v>
      </c>
      <c r="L4453" s="3"/>
      <c r="M4453" s="4"/>
      <c r="N4453" s="3" t="s">
        <v>37</v>
      </c>
      <c r="O4453" s="3" t="s">
        <v>52</v>
      </c>
      <c r="P4453" s="5">
        <v>4</v>
      </c>
      <c r="Q4453" s="5">
        <v>21</v>
      </c>
      <c r="R4453" s="5">
        <v>4</v>
      </c>
      <c r="S4453" s="5">
        <v>21</v>
      </c>
    </row>
    <row r="4454" spans="1:19" ht="28" x14ac:dyDescent="0.15">
      <c r="A4454" s="2">
        <f>HYPERLINK("https://open-school.uspishnemisto.com.ua/school/210624/", 210624)</f>
        <v>210624</v>
      </c>
      <c r="B4454" s="3" t="s">
        <v>23376</v>
      </c>
      <c r="C4454" s="3" t="s">
        <v>31</v>
      </c>
      <c r="D4454" s="3" t="s">
        <v>60</v>
      </c>
      <c r="E4454" s="4" t="s">
        <v>22</v>
      </c>
      <c r="F4454" s="4" t="s">
        <v>23377</v>
      </c>
      <c r="G4454" s="4" t="s">
        <v>23378</v>
      </c>
      <c r="H4454" s="3" t="s">
        <v>20074</v>
      </c>
      <c r="I4454" s="3" t="s">
        <v>23379</v>
      </c>
      <c r="J4454" s="3" t="s">
        <v>23380</v>
      </c>
      <c r="K4454" s="3" t="s">
        <v>23381</v>
      </c>
      <c r="L4454" s="3"/>
      <c r="M4454" s="4"/>
      <c r="N4454" s="3" t="s">
        <v>37</v>
      </c>
      <c r="O4454" s="3" t="s">
        <v>52</v>
      </c>
      <c r="P4454" s="5">
        <v>4</v>
      </c>
      <c r="Q4454" s="5">
        <v>41</v>
      </c>
      <c r="R4454" s="5">
        <v>4</v>
      </c>
      <c r="S4454" s="5">
        <v>44</v>
      </c>
    </row>
    <row r="4455" spans="1:19" ht="28" x14ac:dyDescent="0.15">
      <c r="A4455" s="2">
        <f>HYPERLINK("https://open-school.uspishnemisto.com.ua/school/210625/", 210625)</f>
        <v>210625</v>
      </c>
      <c r="B4455" s="3" t="s">
        <v>23382</v>
      </c>
      <c r="C4455" s="3" t="s">
        <v>31</v>
      </c>
      <c r="D4455" s="3" t="s">
        <v>32</v>
      </c>
      <c r="E4455" s="4" t="s">
        <v>22</v>
      </c>
      <c r="F4455" s="4" t="s">
        <v>23377</v>
      </c>
      <c r="G4455" s="4" t="s">
        <v>23378</v>
      </c>
      <c r="H4455" s="3" t="s">
        <v>20074</v>
      </c>
      <c r="I4455" s="3" t="s">
        <v>23379</v>
      </c>
      <c r="J4455" s="3" t="s">
        <v>23383</v>
      </c>
      <c r="K4455" s="3" t="s">
        <v>23384</v>
      </c>
      <c r="L4455" s="3"/>
      <c r="M4455" s="4" t="s">
        <v>23385</v>
      </c>
      <c r="N4455" s="3" t="s">
        <v>37</v>
      </c>
      <c r="O4455" s="3" t="s">
        <v>52</v>
      </c>
      <c r="P4455" s="5">
        <v>39</v>
      </c>
      <c r="Q4455" s="5">
        <v>820</v>
      </c>
      <c r="R4455" s="5">
        <v>38</v>
      </c>
      <c r="S4455" s="5">
        <v>828</v>
      </c>
    </row>
    <row r="4456" spans="1:19" ht="56" x14ac:dyDescent="0.15">
      <c r="A4456" s="2">
        <f>HYPERLINK("https://open-school.uspishnemisto.com.ua/school/210626/", 210626)</f>
        <v>210626</v>
      </c>
      <c r="B4456" s="3" t="s">
        <v>23386</v>
      </c>
      <c r="C4456" s="3" t="s">
        <v>54</v>
      </c>
      <c r="D4456" s="3" t="s">
        <v>32</v>
      </c>
      <c r="E4456" s="4" t="s">
        <v>22</v>
      </c>
      <c r="F4456" s="4" t="s">
        <v>23377</v>
      </c>
      <c r="G4456" s="4" t="s">
        <v>23378</v>
      </c>
      <c r="H4456" s="3" t="s">
        <v>20074</v>
      </c>
      <c r="I4456" s="3" t="s">
        <v>23379</v>
      </c>
      <c r="J4456" s="3" t="s">
        <v>23387</v>
      </c>
      <c r="K4456" s="3" t="s">
        <v>23388</v>
      </c>
      <c r="L4456" s="3"/>
      <c r="M4456" s="4" t="s">
        <v>23389</v>
      </c>
      <c r="N4456" s="3" t="s">
        <v>18409</v>
      </c>
      <c r="O4456" s="3" t="s">
        <v>2740</v>
      </c>
      <c r="P4456" s="5">
        <v>18</v>
      </c>
      <c r="Q4456" s="5">
        <v>391</v>
      </c>
      <c r="R4456" s="5">
        <v>18</v>
      </c>
      <c r="S4456" s="5">
        <v>358</v>
      </c>
    </row>
    <row r="4457" spans="1:19" ht="28" x14ac:dyDescent="0.15">
      <c r="A4457" s="2">
        <f>HYPERLINK("https://open-school.uspishnemisto.com.ua/school/210627/", 210627)</f>
        <v>210627</v>
      </c>
      <c r="B4457" s="3" t="s">
        <v>23390</v>
      </c>
      <c r="C4457" s="3" t="s">
        <v>31</v>
      </c>
      <c r="D4457" s="3" t="s">
        <v>175</v>
      </c>
      <c r="E4457" s="4" t="s">
        <v>22</v>
      </c>
      <c r="F4457" s="4" t="s">
        <v>23377</v>
      </c>
      <c r="G4457" s="4" t="s">
        <v>23391</v>
      </c>
      <c r="H4457" s="3" t="s">
        <v>20074</v>
      </c>
      <c r="I4457" s="3" t="s">
        <v>23392</v>
      </c>
      <c r="J4457" s="3" t="s">
        <v>23393</v>
      </c>
      <c r="K4457" s="3" t="s">
        <v>23394</v>
      </c>
      <c r="L4457" s="3"/>
      <c r="M4457" s="4" t="s">
        <v>23395</v>
      </c>
      <c r="N4457" s="3" t="s">
        <v>37</v>
      </c>
      <c r="O4457" s="3" t="s">
        <v>52</v>
      </c>
      <c r="P4457" s="5">
        <v>9</v>
      </c>
      <c r="Q4457" s="5">
        <v>148</v>
      </c>
      <c r="R4457" s="5">
        <v>9</v>
      </c>
      <c r="S4457" s="5">
        <v>147</v>
      </c>
    </row>
    <row r="4458" spans="1:19" ht="28" x14ac:dyDescent="0.15">
      <c r="A4458" s="2">
        <f>HYPERLINK("https://open-school.uspishnemisto.com.ua/school/210628/", 210628)</f>
        <v>210628</v>
      </c>
      <c r="B4458" s="3" t="s">
        <v>23396</v>
      </c>
      <c r="C4458" s="3" t="s">
        <v>54</v>
      </c>
      <c r="D4458" s="3" t="s">
        <v>60</v>
      </c>
      <c r="E4458" s="4" t="s">
        <v>22</v>
      </c>
      <c r="F4458" s="4" t="s">
        <v>23397</v>
      </c>
      <c r="G4458" s="4" t="s">
        <v>23398</v>
      </c>
      <c r="H4458" s="3" t="s">
        <v>20074</v>
      </c>
      <c r="I4458" s="3" t="s">
        <v>23399</v>
      </c>
      <c r="J4458" s="3" t="s">
        <v>694</v>
      </c>
      <c r="K4458" s="3" t="s">
        <v>23400</v>
      </c>
      <c r="L4458" s="3"/>
      <c r="M4458" s="4"/>
      <c r="N4458" s="3" t="s">
        <v>37</v>
      </c>
      <c r="O4458" s="3" t="s">
        <v>52</v>
      </c>
      <c r="P4458" s="5">
        <v>4</v>
      </c>
      <c r="Q4458" s="5">
        <v>42</v>
      </c>
      <c r="R4458" s="5">
        <v>4</v>
      </c>
      <c r="S4458" s="5">
        <v>36</v>
      </c>
    </row>
    <row r="4459" spans="1:19" ht="28" x14ac:dyDescent="0.15">
      <c r="A4459" s="2">
        <f>HYPERLINK("https://open-school.uspishnemisto.com.ua/school/210629/", 210629)</f>
        <v>210629</v>
      </c>
      <c r="B4459" s="3" t="s">
        <v>23401</v>
      </c>
      <c r="C4459" s="3" t="s">
        <v>31</v>
      </c>
      <c r="D4459" s="3" t="s">
        <v>32</v>
      </c>
      <c r="E4459" s="4" t="s">
        <v>22</v>
      </c>
      <c r="F4459" s="4" t="s">
        <v>23402</v>
      </c>
      <c r="G4459" s="4" t="s">
        <v>23403</v>
      </c>
      <c r="H4459" s="3" t="s">
        <v>20074</v>
      </c>
      <c r="I4459" s="3" t="s">
        <v>17601</v>
      </c>
      <c r="J4459" s="3" t="s">
        <v>23404</v>
      </c>
      <c r="K4459" s="3" t="s">
        <v>23405</v>
      </c>
      <c r="L4459" s="3"/>
      <c r="M4459" s="4"/>
      <c r="N4459" s="3" t="s">
        <v>37</v>
      </c>
      <c r="O4459" s="3" t="s">
        <v>2740</v>
      </c>
      <c r="P4459" s="5">
        <v>11</v>
      </c>
      <c r="Q4459" s="5">
        <v>207</v>
      </c>
      <c r="R4459" s="5">
        <v>11</v>
      </c>
      <c r="S4459" s="5">
        <v>209</v>
      </c>
    </row>
    <row r="4460" spans="1:19" ht="28" x14ac:dyDescent="0.15">
      <c r="A4460" s="2">
        <f>HYPERLINK("https://open-school.uspishnemisto.com.ua/school/210630/", 210630)</f>
        <v>210630</v>
      </c>
      <c r="B4460" s="3" t="s">
        <v>23406</v>
      </c>
      <c r="C4460" s="3" t="s">
        <v>31</v>
      </c>
      <c r="D4460" s="3" t="s">
        <v>32</v>
      </c>
      <c r="E4460" s="4" t="s">
        <v>22</v>
      </c>
      <c r="F4460" s="4" t="s">
        <v>23407</v>
      </c>
      <c r="G4460" s="4" t="s">
        <v>23408</v>
      </c>
      <c r="H4460" s="3" t="s">
        <v>20074</v>
      </c>
      <c r="I4460" s="3" t="s">
        <v>1291</v>
      </c>
      <c r="J4460" s="3" t="s">
        <v>1946</v>
      </c>
      <c r="K4460" s="3" t="s">
        <v>23409</v>
      </c>
      <c r="L4460" s="3"/>
      <c r="M4460" s="4" t="s">
        <v>23410</v>
      </c>
      <c r="N4460" s="3" t="s">
        <v>37</v>
      </c>
      <c r="O4460" s="3" t="s">
        <v>46</v>
      </c>
      <c r="P4460" s="5">
        <v>14</v>
      </c>
      <c r="Q4460" s="5">
        <v>249</v>
      </c>
      <c r="R4460" s="5">
        <v>13</v>
      </c>
      <c r="S4460" s="5">
        <v>260</v>
      </c>
    </row>
    <row r="4461" spans="1:19" ht="28" x14ac:dyDescent="0.15">
      <c r="A4461" s="2">
        <f>HYPERLINK("https://open-school.uspishnemisto.com.ua/school/210631/", 210631)</f>
        <v>210631</v>
      </c>
      <c r="B4461" s="3" t="s">
        <v>23411</v>
      </c>
      <c r="C4461" s="3" t="s">
        <v>31</v>
      </c>
      <c r="D4461" s="3" t="s">
        <v>32</v>
      </c>
      <c r="E4461" s="4" t="s">
        <v>22</v>
      </c>
      <c r="F4461" s="4" t="s">
        <v>23412</v>
      </c>
      <c r="G4461" s="4" t="s">
        <v>23413</v>
      </c>
      <c r="H4461" s="3" t="s">
        <v>20074</v>
      </c>
      <c r="I4461" s="3" t="s">
        <v>23414</v>
      </c>
      <c r="J4461" s="3" t="s">
        <v>23415</v>
      </c>
      <c r="K4461" s="3" t="s">
        <v>23416</v>
      </c>
      <c r="L4461" s="3"/>
      <c r="M4461" s="4" t="s">
        <v>23417</v>
      </c>
      <c r="N4461" s="3" t="s">
        <v>37</v>
      </c>
      <c r="O4461" s="3" t="s">
        <v>46</v>
      </c>
      <c r="P4461" s="5">
        <v>23</v>
      </c>
      <c r="Q4461" s="5">
        <v>399</v>
      </c>
      <c r="R4461" s="5">
        <v>24</v>
      </c>
      <c r="S4461" s="5">
        <v>416</v>
      </c>
    </row>
    <row r="4462" spans="1:19" ht="28" x14ac:dyDescent="0.15">
      <c r="A4462" s="2">
        <f>HYPERLINK("https://open-school.uspishnemisto.com.ua/school/210632/", 210632)</f>
        <v>210632</v>
      </c>
      <c r="B4462" s="3" t="s">
        <v>23418</v>
      </c>
      <c r="C4462" s="3" t="s">
        <v>31</v>
      </c>
      <c r="D4462" s="3" t="s">
        <v>32</v>
      </c>
      <c r="E4462" s="4" t="s">
        <v>22</v>
      </c>
      <c r="F4462" s="4" t="s">
        <v>23419</v>
      </c>
      <c r="G4462" s="4" t="s">
        <v>23420</v>
      </c>
      <c r="H4462" s="3" t="s">
        <v>20074</v>
      </c>
      <c r="I4462" s="3" t="s">
        <v>23421</v>
      </c>
      <c r="J4462" s="3" t="s">
        <v>23422</v>
      </c>
      <c r="K4462" s="3" t="s">
        <v>23423</v>
      </c>
      <c r="L4462" s="3"/>
      <c r="M4462" s="4"/>
      <c r="N4462" s="3" t="s">
        <v>37</v>
      </c>
      <c r="O4462" s="3" t="s">
        <v>46</v>
      </c>
      <c r="P4462" s="5">
        <v>23</v>
      </c>
      <c r="Q4462" s="5">
        <v>457</v>
      </c>
      <c r="R4462" s="5">
        <v>23</v>
      </c>
      <c r="S4462" s="5">
        <v>464</v>
      </c>
    </row>
    <row r="4463" spans="1:19" ht="28" x14ac:dyDescent="0.15">
      <c r="A4463" s="2">
        <f>HYPERLINK("https://open-school.uspishnemisto.com.ua/school/210633/", 210633)</f>
        <v>210633</v>
      </c>
      <c r="B4463" s="3" t="s">
        <v>23424</v>
      </c>
      <c r="C4463" s="3" t="s">
        <v>31</v>
      </c>
      <c r="D4463" s="3" t="s">
        <v>32</v>
      </c>
      <c r="E4463" s="4" t="s">
        <v>22</v>
      </c>
      <c r="F4463" s="4" t="s">
        <v>23425</v>
      </c>
      <c r="G4463" s="4" t="s">
        <v>23426</v>
      </c>
      <c r="H4463" s="3" t="s">
        <v>20074</v>
      </c>
      <c r="I4463" s="3" t="s">
        <v>23427</v>
      </c>
      <c r="J4463" s="3" t="s">
        <v>2745</v>
      </c>
      <c r="K4463" s="3" t="s">
        <v>23428</v>
      </c>
      <c r="L4463" s="3"/>
      <c r="M4463" s="4" t="s">
        <v>23429</v>
      </c>
      <c r="N4463" s="3" t="s">
        <v>37</v>
      </c>
      <c r="O4463" s="3" t="s">
        <v>123</v>
      </c>
      <c r="P4463" s="5">
        <v>21</v>
      </c>
      <c r="Q4463" s="5">
        <v>452</v>
      </c>
      <c r="R4463" s="5">
        <v>22</v>
      </c>
      <c r="S4463" s="5">
        <v>434</v>
      </c>
    </row>
    <row r="4464" spans="1:19" ht="28" x14ac:dyDescent="0.15">
      <c r="A4464" s="2">
        <f>HYPERLINK("https://open-school.uspishnemisto.com.ua/school/210634/", 210634)</f>
        <v>210634</v>
      </c>
      <c r="B4464" s="3" t="s">
        <v>23430</v>
      </c>
      <c r="C4464" s="3" t="s">
        <v>31</v>
      </c>
      <c r="D4464" s="3" t="s">
        <v>32</v>
      </c>
      <c r="E4464" s="4" t="s">
        <v>22</v>
      </c>
      <c r="F4464" s="4" t="s">
        <v>23431</v>
      </c>
      <c r="G4464" s="4" t="s">
        <v>23432</v>
      </c>
      <c r="H4464" s="3" t="s">
        <v>20074</v>
      </c>
      <c r="I4464" s="3" t="s">
        <v>23433</v>
      </c>
      <c r="J4464" s="3" t="s">
        <v>23434</v>
      </c>
      <c r="K4464" s="3" t="s">
        <v>23435</v>
      </c>
      <c r="L4464" s="3"/>
      <c r="M4464" s="4" t="s">
        <v>23436</v>
      </c>
      <c r="N4464" s="3" t="s">
        <v>37</v>
      </c>
      <c r="O4464" s="3" t="s">
        <v>721</v>
      </c>
      <c r="P4464" s="5">
        <v>22</v>
      </c>
      <c r="Q4464" s="5">
        <v>476</v>
      </c>
      <c r="R4464" s="5">
        <v>22</v>
      </c>
      <c r="S4464" s="5">
        <v>458</v>
      </c>
    </row>
    <row r="4465" spans="1:19" ht="28" x14ac:dyDescent="0.15">
      <c r="A4465" s="2">
        <f>HYPERLINK("https://open-school.uspishnemisto.com.ua/school/210635/", 210635)</f>
        <v>210635</v>
      </c>
      <c r="B4465" s="3" t="s">
        <v>23437</v>
      </c>
      <c r="C4465" s="3" t="s">
        <v>31</v>
      </c>
      <c r="D4465" s="3" t="s">
        <v>60</v>
      </c>
      <c r="E4465" s="4" t="s">
        <v>22</v>
      </c>
      <c r="F4465" s="4" t="s">
        <v>23431</v>
      </c>
      <c r="G4465" s="4" t="s">
        <v>23438</v>
      </c>
      <c r="H4465" s="3" t="s">
        <v>20074</v>
      </c>
      <c r="I4465" s="3" t="s">
        <v>23439</v>
      </c>
      <c r="J4465" s="3" t="s">
        <v>23440</v>
      </c>
      <c r="K4465" s="3" t="s">
        <v>23441</v>
      </c>
      <c r="L4465" s="3"/>
      <c r="M4465" s="4"/>
      <c r="N4465" s="3" t="s">
        <v>37</v>
      </c>
      <c r="O4465" s="3" t="s">
        <v>52</v>
      </c>
      <c r="P4465" s="5">
        <v>3</v>
      </c>
      <c r="Q4465" s="5">
        <v>22</v>
      </c>
      <c r="R4465" s="5">
        <v>3</v>
      </c>
      <c r="S4465" s="5">
        <v>22</v>
      </c>
    </row>
    <row r="4466" spans="1:19" ht="42" x14ac:dyDescent="0.15">
      <c r="A4466" s="2">
        <f>HYPERLINK("https://open-school.uspishnemisto.com.ua/school/210636/", 210636)</f>
        <v>210636</v>
      </c>
      <c r="B4466" s="3" t="s">
        <v>23442</v>
      </c>
      <c r="C4466" s="3" t="s">
        <v>54</v>
      </c>
      <c r="D4466" s="3" t="s">
        <v>32</v>
      </c>
      <c r="E4466" s="4" t="s">
        <v>22</v>
      </c>
      <c r="F4466" s="4" t="s">
        <v>23443</v>
      </c>
      <c r="G4466" s="4" t="s">
        <v>23444</v>
      </c>
      <c r="H4466" s="3" t="s">
        <v>20074</v>
      </c>
      <c r="I4466" s="3" t="s">
        <v>23445</v>
      </c>
      <c r="J4466" s="3" t="s">
        <v>466</v>
      </c>
      <c r="K4466" s="3"/>
      <c r="L4466" s="3"/>
      <c r="M4466" s="4" t="s">
        <v>23446</v>
      </c>
      <c r="N4466" s="3" t="s">
        <v>37</v>
      </c>
      <c r="O4466" s="3" t="s">
        <v>38</v>
      </c>
      <c r="P4466" s="5">
        <v>11</v>
      </c>
      <c r="Q4466" s="5">
        <v>171</v>
      </c>
      <c r="R4466" s="5">
        <v>11</v>
      </c>
      <c r="S4466" s="5">
        <v>178</v>
      </c>
    </row>
    <row r="4467" spans="1:19" ht="28" x14ac:dyDescent="0.15">
      <c r="A4467" s="2">
        <f>HYPERLINK("https://open-school.uspishnemisto.com.ua/school/210637/", 210637)</f>
        <v>210637</v>
      </c>
      <c r="B4467" s="3" t="s">
        <v>23447</v>
      </c>
      <c r="C4467" s="3" t="s">
        <v>31</v>
      </c>
      <c r="D4467" s="3" t="s">
        <v>32</v>
      </c>
      <c r="E4467" s="4" t="s">
        <v>22</v>
      </c>
      <c r="F4467" s="4" t="s">
        <v>23448</v>
      </c>
      <c r="G4467" s="4" t="s">
        <v>23449</v>
      </c>
      <c r="H4467" s="3" t="s">
        <v>20074</v>
      </c>
      <c r="I4467" s="3" t="s">
        <v>23450</v>
      </c>
      <c r="J4467" s="3" t="s">
        <v>11043</v>
      </c>
      <c r="K4467" s="3" t="s">
        <v>23451</v>
      </c>
      <c r="L4467" s="3"/>
      <c r="M4467" s="4" t="s">
        <v>23452</v>
      </c>
      <c r="N4467" s="3" t="s">
        <v>37</v>
      </c>
      <c r="O4467" s="3" t="s">
        <v>197</v>
      </c>
      <c r="P4467" s="5">
        <v>29</v>
      </c>
      <c r="Q4467" s="5">
        <v>615</v>
      </c>
      <c r="R4467" s="5">
        <v>29</v>
      </c>
      <c r="S4467" s="5">
        <v>622</v>
      </c>
    </row>
    <row r="4468" spans="1:19" ht="28" x14ac:dyDescent="0.15">
      <c r="A4468" s="2">
        <f>HYPERLINK("https://open-school.uspishnemisto.com.ua/school/210638/", 210638)</f>
        <v>210638</v>
      </c>
      <c r="B4468" s="3" t="s">
        <v>23453</v>
      </c>
      <c r="C4468" s="3" t="s">
        <v>31</v>
      </c>
      <c r="D4468" s="3" t="s">
        <v>60</v>
      </c>
      <c r="E4468" s="4" t="s">
        <v>22</v>
      </c>
      <c r="F4468" s="4" t="s">
        <v>23448</v>
      </c>
      <c r="G4468" s="4" t="s">
        <v>23454</v>
      </c>
      <c r="H4468" s="3" t="s">
        <v>20074</v>
      </c>
      <c r="I4468" s="3" t="s">
        <v>23455</v>
      </c>
      <c r="J4468" s="3" t="s">
        <v>23456</v>
      </c>
      <c r="K4468" s="3" t="s">
        <v>23457</v>
      </c>
      <c r="L4468" s="3"/>
      <c r="M4468" s="4" t="s">
        <v>23458</v>
      </c>
      <c r="N4468" s="3" t="s">
        <v>37</v>
      </c>
      <c r="O4468" s="3" t="s">
        <v>52</v>
      </c>
      <c r="P4468" s="5">
        <v>1</v>
      </c>
      <c r="Q4468" s="5">
        <v>11</v>
      </c>
      <c r="R4468" s="5">
        <v>1</v>
      </c>
      <c r="S4468" s="5">
        <v>10</v>
      </c>
    </row>
    <row r="4469" spans="1:19" ht="28" x14ac:dyDescent="0.15">
      <c r="A4469" s="2">
        <f>HYPERLINK("https://open-school.uspishnemisto.com.ua/school/210639/", 210639)</f>
        <v>210639</v>
      </c>
      <c r="B4469" s="3" t="s">
        <v>23459</v>
      </c>
      <c r="C4469" s="3" t="s">
        <v>31</v>
      </c>
      <c r="D4469" s="3" t="s">
        <v>175</v>
      </c>
      <c r="E4469" s="4" t="s">
        <v>22</v>
      </c>
      <c r="F4469" s="4" t="s">
        <v>23448</v>
      </c>
      <c r="G4469" s="4" t="s">
        <v>23460</v>
      </c>
      <c r="H4469" s="3" t="s">
        <v>20074</v>
      </c>
      <c r="I4469" s="3" t="s">
        <v>23461</v>
      </c>
      <c r="J4469" s="3" t="s">
        <v>23415</v>
      </c>
      <c r="K4469" s="3" t="s">
        <v>23462</v>
      </c>
      <c r="L4469" s="3"/>
      <c r="M4469" s="4" t="s">
        <v>23463</v>
      </c>
      <c r="N4469" s="3" t="s">
        <v>37</v>
      </c>
      <c r="O4469" s="3" t="s">
        <v>38</v>
      </c>
      <c r="P4469" s="5">
        <v>9</v>
      </c>
      <c r="Q4469" s="5">
        <v>121</v>
      </c>
      <c r="R4469" s="5">
        <v>9</v>
      </c>
      <c r="S4469" s="5">
        <v>120</v>
      </c>
    </row>
    <row r="4470" spans="1:19" ht="28" x14ac:dyDescent="0.15">
      <c r="A4470" s="2">
        <f>HYPERLINK("https://open-school.uspishnemisto.com.ua/school/210640/", 210640)</f>
        <v>210640</v>
      </c>
      <c r="B4470" s="3" t="s">
        <v>23464</v>
      </c>
      <c r="C4470" s="3" t="s">
        <v>31</v>
      </c>
      <c r="D4470" s="3" t="s">
        <v>60</v>
      </c>
      <c r="E4470" s="4" t="s">
        <v>22</v>
      </c>
      <c r="F4470" s="4" t="s">
        <v>23448</v>
      </c>
      <c r="G4470" s="4" t="s">
        <v>23465</v>
      </c>
      <c r="H4470" s="3" t="s">
        <v>20074</v>
      </c>
      <c r="I4470" s="3" t="s">
        <v>23466</v>
      </c>
      <c r="J4470" s="3" t="s">
        <v>23467</v>
      </c>
      <c r="K4470" s="3" t="s">
        <v>23468</v>
      </c>
      <c r="L4470" s="3"/>
      <c r="M4470" s="4" t="s">
        <v>23469</v>
      </c>
      <c r="N4470" s="3" t="s">
        <v>37</v>
      </c>
      <c r="O4470" s="3" t="s">
        <v>52</v>
      </c>
      <c r="P4470" s="5">
        <v>4</v>
      </c>
      <c r="Q4470" s="5">
        <v>32</v>
      </c>
      <c r="R4470" s="5">
        <v>4</v>
      </c>
      <c r="S4470" s="5">
        <v>29</v>
      </c>
    </row>
    <row r="4471" spans="1:19" ht="28" x14ac:dyDescent="0.15">
      <c r="A4471" s="2">
        <f>HYPERLINK("https://open-school.uspishnemisto.com.ua/school/210641/", 210641)</f>
        <v>210641</v>
      </c>
      <c r="B4471" s="3" t="s">
        <v>23470</v>
      </c>
      <c r="C4471" s="3" t="s">
        <v>31</v>
      </c>
      <c r="D4471" s="3" t="s">
        <v>32</v>
      </c>
      <c r="E4471" s="4" t="s">
        <v>22</v>
      </c>
      <c r="F4471" s="4" t="s">
        <v>23471</v>
      </c>
      <c r="G4471" s="4" t="s">
        <v>23472</v>
      </c>
      <c r="H4471" s="3" t="s">
        <v>20074</v>
      </c>
      <c r="I4471" s="3" t="s">
        <v>20694</v>
      </c>
      <c r="J4471" s="3" t="s">
        <v>23473</v>
      </c>
      <c r="K4471" s="3" t="s">
        <v>23474</v>
      </c>
      <c r="L4471" s="3"/>
      <c r="M4471" s="4" t="s">
        <v>23475</v>
      </c>
      <c r="N4471" s="3" t="s">
        <v>37</v>
      </c>
      <c r="O4471" s="3" t="s">
        <v>46</v>
      </c>
      <c r="P4471" s="5">
        <v>11</v>
      </c>
      <c r="Q4471" s="5">
        <v>212</v>
      </c>
      <c r="R4471" s="5">
        <v>12</v>
      </c>
      <c r="S4471" s="5">
        <v>216</v>
      </c>
    </row>
    <row r="4472" spans="1:19" ht="28" x14ac:dyDescent="0.15">
      <c r="A4472" s="2">
        <f>HYPERLINK("https://open-school.uspishnemisto.com.ua/school/210642/", 210642)</f>
        <v>210642</v>
      </c>
      <c r="B4472" s="3" t="s">
        <v>23476</v>
      </c>
      <c r="C4472" s="3" t="s">
        <v>31</v>
      </c>
      <c r="D4472" s="3" t="s">
        <v>32</v>
      </c>
      <c r="E4472" s="4" t="s">
        <v>22</v>
      </c>
      <c r="F4472" s="4" t="s">
        <v>23477</v>
      </c>
      <c r="G4472" s="4" t="s">
        <v>23478</v>
      </c>
      <c r="H4472" s="3" t="s">
        <v>20074</v>
      </c>
      <c r="I4472" s="3" t="s">
        <v>23479</v>
      </c>
      <c r="J4472" s="3" t="s">
        <v>23480</v>
      </c>
      <c r="K4472" s="3" t="s">
        <v>23481</v>
      </c>
      <c r="L4472" s="3"/>
      <c r="M4472" s="4" t="s">
        <v>23482</v>
      </c>
      <c r="N4472" s="3" t="s">
        <v>37</v>
      </c>
      <c r="O4472" s="3" t="s">
        <v>38</v>
      </c>
      <c r="P4472" s="5">
        <v>22</v>
      </c>
      <c r="Q4472" s="5">
        <v>425</v>
      </c>
      <c r="R4472" s="5">
        <v>22</v>
      </c>
      <c r="S4472" s="5">
        <v>416</v>
      </c>
    </row>
    <row r="4473" spans="1:19" ht="28" x14ac:dyDescent="0.15">
      <c r="A4473" s="2">
        <f>HYPERLINK("https://open-school.uspishnemisto.com.ua/school/210643/", 210643)</f>
        <v>210643</v>
      </c>
      <c r="B4473" s="3" t="s">
        <v>23483</v>
      </c>
      <c r="C4473" s="3" t="s">
        <v>31</v>
      </c>
      <c r="D4473" s="3" t="s">
        <v>32</v>
      </c>
      <c r="E4473" s="4" t="s">
        <v>22</v>
      </c>
      <c r="F4473" s="4" t="s">
        <v>23484</v>
      </c>
      <c r="G4473" s="4" t="s">
        <v>23485</v>
      </c>
      <c r="H4473" s="3" t="s">
        <v>20074</v>
      </c>
      <c r="I4473" s="3" t="s">
        <v>23486</v>
      </c>
      <c r="J4473" s="3" t="s">
        <v>7717</v>
      </c>
      <c r="K4473" s="3" t="s">
        <v>23462</v>
      </c>
      <c r="L4473" s="3"/>
      <c r="M4473" s="4" t="s">
        <v>23487</v>
      </c>
      <c r="N4473" s="3" t="s">
        <v>37</v>
      </c>
      <c r="O4473" s="3" t="s">
        <v>2740</v>
      </c>
      <c r="P4473" s="5">
        <v>27</v>
      </c>
      <c r="Q4473" s="5">
        <v>595</v>
      </c>
      <c r="R4473" s="5">
        <v>27</v>
      </c>
      <c r="S4473" s="5">
        <v>584</v>
      </c>
    </row>
    <row r="4474" spans="1:19" ht="28" x14ac:dyDescent="0.15">
      <c r="A4474" s="2">
        <f>HYPERLINK("https://open-school.uspishnemisto.com.ua/school/210644/", 210644)</f>
        <v>210644</v>
      </c>
      <c r="B4474" s="3" t="s">
        <v>23488</v>
      </c>
      <c r="C4474" s="3" t="s">
        <v>31</v>
      </c>
      <c r="D4474" s="3" t="s">
        <v>32</v>
      </c>
      <c r="E4474" s="4" t="s">
        <v>22</v>
      </c>
      <c r="F4474" s="4" t="s">
        <v>23489</v>
      </c>
      <c r="G4474" s="4" t="s">
        <v>23490</v>
      </c>
      <c r="H4474" s="3" t="s">
        <v>20074</v>
      </c>
      <c r="I4474" s="3" t="s">
        <v>23491</v>
      </c>
      <c r="J4474" s="3" t="s">
        <v>23492</v>
      </c>
      <c r="K4474" s="3" t="s">
        <v>23493</v>
      </c>
      <c r="L4474" s="3"/>
      <c r="M4474" s="4" t="s">
        <v>23494</v>
      </c>
      <c r="N4474" s="3" t="s">
        <v>37</v>
      </c>
      <c r="O4474" s="3" t="s">
        <v>2740</v>
      </c>
      <c r="P4474" s="5">
        <v>28</v>
      </c>
      <c r="Q4474" s="5">
        <v>639</v>
      </c>
      <c r="R4474" s="5">
        <v>28</v>
      </c>
      <c r="S4474" s="5">
        <v>635</v>
      </c>
    </row>
    <row r="4475" spans="1:19" ht="28" x14ac:dyDescent="0.15">
      <c r="A4475" s="2">
        <f>HYPERLINK("https://open-school.uspishnemisto.com.ua/school/210645/", 210645)</f>
        <v>210645</v>
      </c>
      <c r="B4475" s="3" t="s">
        <v>23495</v>
      </c>
      <c r="C4475" s="3" t="s">
        <v>31</v>
      </c>
      <c r="D4475" s="3" t="s">
        <v>60</v>
      </c>
      <c r="E4475" s="4" t="s">
        <v>22</v>
      </c>
      <c r="F4475" s="4" t="s">
        <v>23496</v>
      </c>
      <c r="G4475" s="4" t="s">
        <v>23497</v>
      </c>
      <c r="H4475" s="3" t="s">
        <v>20074</v>
      </c>
      <c r="I4475" s="3" t="s">
        <v>23498</v>
      </c>
      <c r="J4475" s="3" t="s">
        <v>23499</v>
      </c>
      <c r="K4475" s="3" t="s">
        <v>23500</v>
      </c>
      <c r="L4475" s="3"/>
      <c r="M4475" s="4" t="s">
        <v>23501</v>
      </c>
      <c r="N4475" s="3" t="s">
        <v>37</v>
      </c>
      <c r="O4475" s="3" t="s">
        <v>52</v>
      </c>
      <c r="P4475" s="5">
        <v>3</v>
      </c>
      <c r="Q4475" s="5">
        <v>27</v>
      </c>
      <c r="R4475" s="5">
        <v>2</v>
      </c>
      <c r="S4475" s="5">
        <v>18</v>
      </c>
    </row>
    <row r="4476" spans="1:19" ht="42" x14ac:dyDescent="0.15">
      <c r="A4476" s="2">
        <f>HYPERLINK("https://open-school.uspishnemisto.com.ua/school/210646/", 210646)</f>
        <v>210646</v>
      </c>
      <c r="B4476" s="3" t="s">
        <v>23502</v>
      </c>
      <c r="C4476" s="3" t="s">
        <v>54</v>
      </c>
      <c r="D4476" s="3" t="s">
        <v>60</v>
      </c>
      <c r="E4476" s="4" t="s">
        <v>22</v>
      </c>
      <c r="F4476" s="4" t="s">
        <v>23489</v>
      </c>
      <c r="G4476" s="4" t="s">
        <v>23497</v>
      </c>
      <c r="H4476" s="3" t="s">
        <v>20074</v>
      </c>
      <c r="I4476" s="3" t="s">
        <v>23498</v>
      </c>
      <c r="J4476" s="3" t="s">
        <v>23503</v>
      </c>
      <c r="K4476" s="3" t="s">
        <v>23504</v>
      </c>
      <c r="L4476" s="3"/>
      <c r="M4476" s="4" t="s">
        <v>23505</v>
      </c>
      <c r="N4476" s="3" t="s">
        <v>37</v>
      </c>
      <c r="O4476" s="3" t="s">
        <v>52</v>
      </c>
      <c r="P4476" s="5">
        <v>2</v>
      </c>
      <c r="Q4476" s="5">
        <v>18</v>
      </c>
      <c r="R4476" s="5">
        <v>2</v>
      </c>
      <c r="S4476" s="5">
        <v>19</v>
      </c>
    </row>
    <row r="4477" spans="1:19" ht="28" x14ac:dyDescent="0.15">
      <c r="A4477" s="2">
        <f>HYPERLINK("https://open-school.uspishnemisto.com.ua/school/210647/", 210647)</f>
        <v>210647</v>
      </c>
      <c r="B4477" s="3" t="s">
        <v>23506</v>
      </c>
      <c r="C4477" s="3" t="s">
        <v>31</v>
      </c>
      <c r="D4477" s="3" t="s">
        <v>60</v>
      </c>
      <c r="E4477" s="4" t="s">
        <v>22</v>
      </c>
      <c r="F4477" s="4" t="s">
        <v>23496</v>
      </c>
      <c r="G4477" s="4" t="s">
        <v>23507</v>
      </c>
      <c r="H4477" s="3" t="s">
        <v>20074</v>
      </c>
      <c r="I4477" s="3" t="s">
        <v>23508</v>
      </c>
      <c r="J4477" s="3" t="s">
        <v>23509</v>
      </c>
      <c r="K4477" s="3" t="s">
        <v>23510</v>
      </c>
      <c r="L4477" s="3"/>
      <c r="M4477" s="4" t="s">
        <v>23511</v>
      </c>
      <c r="N4477" s="3" t="s">
        <v>37</v>
      </c>
      <c r="O4477" s="3" t="s">
        <v>52</v>
      </c>
      <c r="P4477" s="5">
        <v>4</v>
      </c>
      <c r="Q4477" s="5">
        <v>58</v>
      </c>
      <c r="R4477" s="5">
        <v>4</v>
      </c>
      <c r="S4477" s="5">
        <v>56</v>
      </c>
    </row>
    <row r="4478" spans="1:19" ht="28" x14ac:dyDescent="0.15">
      <c r="A4478" s="2">
        <f>HYPERLINK("https://open-school.uspishnemisto.com.ua/school/210648/", 210648)</f>
        <v>210648</v>
      </c>
      <c r="B4478" s="3" t="s">
        <v>23512</v>
      </c>
      <c r="C4478" s="3" t="s">
        <v>31</v>
      </c>
      <c r="D4478" s="3" t="s">
        <v>32</v>
      </c>
      <c r="E4478" s="4" t="s">
        <v>22</v>
      </c>
      <c r="F4478" s="4" t="s">
        <v>23513</v>
      </c>
      <c r="G4478" s="4" t="s">
        <v>23514</v>
      </c>
      <c r="H4478" s="3" t="s">
        <v>20074</v>
      </c>
      <c r="I4478" s="3" t="s">
        <v>23515</v>
      </c>
      <c r="J4478" s="3" t="s">
        <v>4046</v>
      </c>
      <c r="K4478" s="3" t="s">
        <v>23516</v>
      </c>
      <c r="L4478" s="3"/>
      <c r="M4478" s="4"/>
      <c r="N4478" s="3" t="s">
        <v>37</v>
      </c>
      <c r="O4478" s="3" t="s">
        <v>38</v>
      </c>
      <c r="P4478" s="5">
        <v>19</v>
      </c>
      <c r="Q4478" s="5">
        <v>392</v>
      </c>
      <c r="R4478" s="5">
        <v>19</v>
      </c>
      <c r="S4478" s="5">
        <v>406</v>
      </c>
    </row>
    <row r="4479" spans="1:19" ht="28" x14ac:dyDescent="0.15">
      <c r="A4479" s="2">
        <f>HYPERLINK("https://open-school.uspishnemisto.com.ua/school/210649/", 210649)</f>
        <v>210649</v>
      </c>
      <c r="B4479" s="3" t="s">
        <v>23517</v>
      </c>
      <c r="C4479" s="3" t="s">
        <v>31</v>
      </c>
      <c r="D4479" s="3" t="s">
        <v>175</v>
      </c>
      <c r="E4479" s="4" t="s">
        <v>22</v>
      </c>
      <c r="F4479" s="4" t="s">
        <v>23518</v>
      </c>
      <c r="G4479" s="4" t="s">
        <v>23519</v>
      </c>
      <c r="H4479" s="3" t="s">
        <v>20074</v>
      </c>
      <c r="I4479" s="3" t="s">
        <v>23520</v>
      </c>
      <c r="J4479" s="3" t="s">
        <v>23521</v>
      </c>
      <c r="K4479" s="3" t="s">
        <v>23522</v>
      </c>
      <c r="L4479" s="3"/>
      <c r="M4479" s="4" t="s">
        <v>23523</v>
      </c>
      <c r="N4479" s="3" t="s">
        <v>37</v>
      </c>
      <c r="O4479" s="3" t="s">
        <v>38</v>
      </c>
      <c r="P4479" s="5">
        <v>9</v>
      </c>
      <c r="Q4479" s="5">
        <v>164</v>
      </c>
      <c r="R4479" s="5">
        <v>9</v>
      </c>
      <c r="S4479" s="5">
        <v>165</v>
      </c>
    </row>
    <row r="4480" spans="1:19" ht="28" x14ac:dyDescent="0.15">
      <c r="A4480" s="2">
        <f>HYPERLINK("https://open-school.uspishnemisto.com.ua/school/210650/", 210650)</f>
        <v>210650</v>
      </c>
      <c r="B4480" s="3" t="s">
        <v>23524</v>
      </c>
      <c r="C4480" s="3" t="s">
        <v>31</v>
      </c>
      <c r="D4480" s="3" t="s">
        <v>175</v>
      </c>
      <c r="E4480" s="4" t="s">
        <v>22</v>
      </c>
      <c r="F4480" s="4" t="s">
        <v>23518</v>
      </c>
      <c r="G4480" s="4" t="s">
        <v>23519</v>
      </c>
      <c r="H4480" s="3" t="s">
        <v>20074</v>
      </c>
      <c r="I4480" s="3" t="s">
        <v>23520</v>
      </c>
      <c r="J4480" s="3" t="s">
        <v>23525</v>
      </c>
      <c r="K4480" s="3" t="s">
        <v>23526</v>
      </c>
      <c r="L4480" s="3"/>
      <c r="M4480" s="4" t="s">
        <v>23527</v>
      </c>
      <c r="N4480" s="3" t="s">
        <v>37</v>
      </c>
      <c r="O4480" s="3" t="s">
        <v>2740</v>
      </c>
      <c r="P4480" s="5">
        <v>9</v>
      </c>
      <c r="Q4480" s="5">
        <v>132</v>
      </c>
      <c r="R4480" s="5">
        <v>9</v>
      </c>
      <c r="S4480" s="5">
        <v>124</v>
      </c>
    </row>
    <row r="4481" spans="1:19" ht="28" x14ac:dyDescent="0.15">
      <c r="A4481" s="2">
        <f>HYPERLINK("https://open-school.uspishnemisto.com.ua/school/210651/", 210651)</f>
        <v>210651</v>
      </c>
      <c r="B4481" s="3" t="s">
        <v>23528</v>
      </c>
      <c r="C4481" s="3" t="s">
        <v>31</v>
      </c>
      <c r="D4481" s="3" t="s">
        <v>32</v>
      </c>
      <c r="E4481" s="4" t="s">
        <v>22</v>
      </c>
      <c r="F4481" s="4" t="s">
        <v>23529</v>
      </c>
      <c r="G4481" s="4" t="s">
        <v>23530</v>
      </c>
      <c r="H4481" s="3" t="s">
        <v>20074</v>
      </c>
      <c r="I4481" s="3" t="s">
        <v>23531</v>
      </c>
      <c r="J4481" s="3" t="s">
        <v>2601</v>
      </c>
      <c r="K4481" s="3" t="s">
        <v>23532</v>
      </c>
      <c r="L4481" s="3"/>
      <c r="M4481" s="4" t="s">
        <v>23533</v>
      </c>
      <c r="N4481" s="3" t="s">
        <v>37</v>
      </c>
      <c r="O4481" s="3" t="s">
        <v>38</v>
      </c>
      <c r="P4481" s="5">
        <v>11</v>
      </c>
      <c r="Q4481" s="5">
        <v>190</v>
      </c>
      <c r="R4481" s="5">
        <v>11</v>
      </c>
      <c r="S4481" s="5">
        <v>182</v>
      </c>
    </row>
    <row r="4482" spans="1:19" ht="42" x14ac:dyDescent="0.15">
      <c r="A4482" s="2">
        <f>HYPERLINK("https://open-school.uspishnemisto.com.ua/school/210652/", 210652)</f>
        <v>210652</v>
      </c>
      <c r="B4482" s="3" t="s">
        <v>23534</v>
      </c>
      <c r="C4482" s="3" t="s">
        <v>54</v>
      </c>
      <c r="D4482" s="3" t="s">
        <v>32</v>
      </c>
      <c r="E4482" s="4" t="s">
        <v>22</v>
      </c>
      <c r="F4482" s="4" t="s">
        <v>23535</v>
      </c>
      <c r="G4482" s="4" t="s">
        <v>23536</v>
      </c>
      <c r="H4482" s="3" t="s">
        <v>20074</v>
      </c>
      <c r="I4482" s="3" t="s">
        <v>22833</v>
      </c>
      <c r="J4482" s="3" t="s">
        <v>23105</v>
      </c>
      <c r="K4482" s="3" t="s">
        <v>23537</v>
      </c>
      <c r="L4482" s="3"/>
      <c r="M4482" s="4" t="s">
        <v>23538</v>
      </c>
      <c r="N4482" s="3" t="s">
        <v>37</v>
      </c>
      <c r="O4482" s="3" t="s">
        <v>2740</v>
      </c>
      <c r="P4482" s="5">
        <v>11</v>
      </c>
      <c r="Q4482" s="5">
        <v>128</v>
      </c>
      <c r="R4482" s="5">
        <v>11</v>
      </c>
      <c r="S4482" s="5">
        <v>128</v>
      </c>
    </row>
    <row r="4483" spans="1:19" ht="28" x14ac:dyDescent="0.15">
      <c r="A4483" s="2">
        <f>HYPERLINK("https://open-school.uspishnemisto.com.ua/school/210653/", 210653)</f>
        <v>210653</v>
      </c>
      <c r="B4483" s="3" t="s">
        <v>23539</v>
      </c>
      <c r="C4483" s="3" t="s">
        <v>31</v>
      </c>
      <c r="D4483" s="3" t="s">
        <v>32</v>
      </c>
      <c r="E4483" s="4" t="s">
        <v>22</v>
      </c>
      <c r="F4483" s="4" t="s">
        <v>23540</v>
      </c>
      <c r="G4483" s="4" t="s">
        <v>23541</v>
      </c>
      <c r="H4483" s="3" t="s">
        <v>20074</v>
      </c>
      <c r="I4483" s="3" t="s">
        <v>23542</v>
      </c>
      <c r="J4483" s="3" t="s">
        <v>14794</v>
      </c>
      <c r="K4483" s="3" t="s">
        <v>23543</v>
      </c>
      <c r="L4483" s="3"/>
      <c r="M4483" s="4" t="s">
        <v>23544</v>
      </c>
      <c r="N4483" s="3" t="s">
        <v>37</v>
      </c>
      <c r="O4483" s="3" t="s">
        <v>721</v>
      </c>
      <c r="P4483" s="5">
        <v>19</v>
      </c>
      <c r="Q4483" s="5">
        <v>324</v>
      </c>
      <c r="R4483" s="5">
        <v>19</v>
      </c>
      <c r="S4483" s="5">
        <v>327</v>
      </c>
    </row>
    <row r="4484" spans="1:19" ht="28" x14ac:dyDescent="0.15">
      <c r="A4484" s="2">
        <f>HYPERLINK("https://open-school.uspishnemisto.com.ua/school/210654/", 210654)</f>
        <v>210654</v>
      </c>
      <c r="B4484" s="3" t="s">
        <v>23545</v>
      </c>
      <c r="C4484" s="3" t="s">
        <v>31</v>
      </c>
      <c r="D4484" s="3" t="s">
        <v>32</v>
      </c>
      <c r="E4484" s="4" t="s">
        <v>22</v>
      </c>
      <c r="F4484" s="4" t="s">
        <v>23546</v>
      </c>
      <c r="G4484" s="4" t="s">
        <v>23547</v>
      </c>
      <c r="H4484" s="3" t="s">
        <v>20074</v>
      </c>
      <c r="I4484" s="3" t="s">
        <v>2119</v>
      </c>
      <c r="J4484" s="3" t="s">
        <v>2745</v>
      </c>
      <c r="K4484" s="3" t="s">
        <v>23548</v>
      </c>
      <c r="L4484" s="3"/>
      <c r="M4484" s="4" t="s">
        <v>23549</v>
      </c>
      <c r="N4484" s="3" t="s">
        <v>37</v>
      </c>
      <c r="O4484" s="3" t="s">
        <v>2740</v>
      </c>
      <c r="P4484" s="5">
        <v>11</v>
      </c>
      <c r="Q4484" s="5">
        <v>163</v>
      </c>
      <c r="R4484" s="5">
        <v>11</v>
      </c>
      <c r="S4484" s="5">
        <v>169</v>
      </c>
    </row>
    <row r="4485" spans="1:19" ht="28" x14ac:dyDescent="0.15">
      <c r="A4485" s="2">
        <f>HYPERLINK("https://open-school.uspishnemisto.com.ua/school/210655/", 210655)</f>
        <v>210655</v>
      </c>
      <c r="B4485" s="3" t="s">
        <v>23550</v>
      </c>
      <c r="C4485" s="3" t="s">
        <v>31</v>
      </c>
      <c r="D4485" s="3" t="s">
        <v>32</v>
      </c>
      <c r="E4485" s="4" t="s">
        <v>22</v>
      </c>
      <c r="F4485" s="4" t="s">
        <v>23551</v>
      </c>
      <c r="G4485" s="4" t="s">
        <v>23552</v>
      </c>
      <c r="H4485" s="3" t="s">
        <v>20074</v>
      </c>
      <c r="I4485" s="3" t="s">
        <v>23553</v>
      </c>
      <c r="J4485" s="3" t="s">
        <v>15800</v>
      </c>
      <c r="K4485" s="3" t="s">
        <v>23554</v>
      </c>
      <c r="L4485" s="3"/>
      <c r="M4485" s="4" t="s">
        <v>23555</v>
      </c>
      <c r="N4485" s="3" t="s">
        <v>37</v>
      </c>
      <c r="O4485" s="3" t="s">
        <v>123</v>
      </c>
      <c r="P4485" s="5">
        <v>29</v>
      </c>
      <c r="Q4485" s="5">
        <v>613</v>
      </c>
      <c r="R4485" s="5">
        <v>28</v>
      </c>
      <c r="S4485" s="5">
        <v>585</v>
      </c>
    </row>
    <row r="4486" spans="1:19" ht="42" x14ac:dyDescent="0.15">
      <c r="A4486" s="2">
        <f>HYPERLINK("https://open-school.uspishnemisto.com.ua/school/210656/", 210656)</f>
        <v>210656</v>
      </c>
      <c r="B4486" s="3" t="s">
        <v>23556</v>
      </c>
      <c r="C4486" s="3" t="s">
        <v>54</v>
      </c>
      <c r="D4486" s="3" t="s">
        <v>32</v>
      </c>
      <c r="E4486" s="4" t="s">
        <v>22</v>
      </c>
      <c r="F4486" s="4" t="s">
        <v>23557</v>
      </c>
      <c r="G4486" s="4" t="s">
        <v>23558</v>
      </c>
      <c r="H4486" s="3" t="s">
        <v>20074</v>
      </c>
      <c r="I4486" s="3" t="s">
        <v>23559</v>
      </c>
      <c r="J4486" s="3" t="s">
        <v>23560</v>
      </c>
      <c r="K4486" s="3" t="s">
        <v>23561</v>
      </c>
      <c r="L4486" s="3"/>
      <c r="M4486" s="4" t="s">
        <v>23562</v>
      </c>
      <c r="N4486" s="3" t="s">
        <v>37</v>
      </c>
      <c r="O4486" s="3" t="s">
        <v>70</v>
      </c>
      <c r="P4486" s="5">
        <v>22</v>
      </c>
      <c r="Q4486" s="5">
        <v>413</v>
      </c>
      <c r="R4486" s="5">
        <v>22</v>
      </c>
      <c r="S4486" s="5">
        <v>412</v>
      </c>
    </row>
    <row r="4487" spans="1:19" ht="28" x14ac:dyDescent="0.15">
      <c r="A4487" s="2">
        <f>HYPERLINK("https://open-school.uspishnemisto.com.ua/school/210657/", 210657)</f>
        <v>210657</v>
      </c>
      <c r="B4487" s="3" t="s">
        <v>23563</v>
      </c>
      <c r="C4487" s="3" t="s">
        <v>54</v>
      </c>
      <c r="D4487" s="3" t="s">
        <v>60</v>
      </c>
      <c r="E4487" s="4" t="s">
        <v>22</v>
      </c>
      <c r="F4487" s="4" t="s">
        <v>23557</v>
      </c>
      <c r="G4487" s="4" t="s">
        <v>23564</v>
      </c>
      <c r="H4487" s="3" t="s">
        <v>20074</v>
      </c>
      <c r="I4487" s="3" t="s">
        <v>23565</v>
      </c>
      <c r="J4487" s="3" t="s">
        <v>20772</v>
      </c>
      <c r="K4487" s="3" t="s">
        <v>23566</v>
      </c>
      <c r="L4487" s="3"/>
      <c r="M4487" s="4"/>
      <c r="N4487" s="3" t="s">
        <v>37</v>
      </c>
      <c r="O4487" s="3" t="s">
        <v>618</v>
      </c>
      <c r="P4487" s="5">
        <v>4</v>
      </c>
      <c r="Q4487" s="5">
        <v>57</v>
      </c>
      <c r="R4487" s="5">
        <v>4</v>
      </c>
      <c r="S4487" s="5">
        <v>53</v>
      </c>
    </row>
    <row r="4488" spans="1:19" ht="28" x14ac:dyDescent="0.15">
      <c r="A4488" s="2">
        <f>HYPERLINK("https://open-school.uspishnemisto.com.ua/school/210658/", 210658)</f>
        <v>210658</v>
      </c>
      <c r="B4488" s="3" t="s">
        <v>23567</v>
      </c>
      <c r="C4488" s="3" t="s">
        <v>31</v>
      </c>
      <c r="D4488" s="3" t="s">
        <v>32</v>
      </c>
      <c r="E4488" s="4" t="s">
        <v>22</v>
      </c>
      <c r="F4488" s="4" t="s">
        <v>23568</v>
      </c>
      <c r="G4488" s="4" t="s">
        <v>23569</v>
      </c>
      <c r="H4488" s="3" t="s">
        <v>20074</v>
      </c>
      <c r="I4488" s="3" t="s">
        <v>23570</v>
      </c>
      <c r="J4488" s="3" t="s">
        <v>23571</v>
      </c>
      <c r="K4488" s="3" t="s">
        <v>23572</v>
      </c>
      <c r="L4488" s="3"/>
      <c r="M4488" s="4" t="s">
        <v>23573</v>
      </c>
      <c r="N4488" s="3" t="s">
        <v>37</v>
      </c>
      <c r="O4488" s="3" t="s">
        <v>721</v>
      </c>
      <c r="P4488" s="5">
        <v>18</v>
      </c>
      <c r="Q4488" s="5">
        <v>342</v>
      </c>
      <c r="R4488" s="5">
        <v>17</v>
      </c>
      <c r="S4488" s="5">
        <v>326</v>
      </c>
    </row>
    <row r="4489" spans="1:19" ht="28" x14ac:dyDescent="0.15">
      <c r="A4489" s="2">
        <f>HYPERLINK("https://open-school.uspishnemisto.com.ua/school/210659/", 210659)</f>
        <v>210659</v>
      </c>
      <c r="B4489" s="3" t="s">
        <v>23574</v>
      </c>
      <c r="C4489" s="3" t="s">
        <v>31</v>
      </c>
      <c r="D4489" s="3" t="s">
        <v>32</v>
      </c>
      <c r="E4489" s="4" t="s">
        <v>22</v>
      </c>
      <c r="F4489" s="4" t="s">
        <v>23575</v>
      </c>
      <c r="G4489" s="4" t="s">
        <v>23576</v>
      </c>
      <c r="H4489" s="3" t="s">
        <v>20074</v>
      </c>
      <c r="I4489" s="3" t="s">
        <v>23577</v>
      </c>
      <c r="J4489" s="3" t="s">
        <v>23578</v>
      </c>
      <c r="K4489" s="3" t="s">
        <v>23579</v>
      </c>
      <c r="L4489" s="3"/>
      <c r="M4489" s="4" t="s">
        <v>23580</v>
      </c>
      <c r="N4489" s="3" t="s">
        <v>37</v>
      </c>
      <c r="O4489" s="3" t="s">
        <v>618</v>
      </c>
      <c r="P4489" s="5">
        <v>11</v>
      </c>
      <c r="Q4489" s="5">
        <v>127</v>
      </c>
      <c r="R4489" s="5">
        <v>11</v>
      </c>
      <c r="S4489" s="5">
        <v>124</v>
      </c>
    </row>
    <row r="4490" spans="1:19" ht="28" x14ac:dyDescent="0.15">
      <c r="A4490" s="2">
        <f>HYPERLINK("https://open-school.uspishnemisto.com.ua/school/210660/", 210660)</f>
        <v>210660</v>
      </c>
      <c r="B4490" s="3" t="s">
        <v>23581</v>
      </c>
      <c r="C4490" s="3" t="s">
        <v>293</v>
      </c>
      <c r="D4490" s="3" t="s">
        <v>175</v>
      </c>
      <c r="E4490" s="4" t="s">
        <v>22</v>
      </c>
      <c r="F4490" s="4" t="s">
        <v>23582</v>
      </c>
      <c r="G4490" s="4" t="s">
        <v>23576</v>
      </c>
      <c r="H4490" s="3" t="s">
        <v>20074</v>
      </c>
      <c r="I4490" s="3" t="s">
        <v>23577</v>
      </c>
      <c r="J4490" s="3" t="s">
        <v>23583</v>
      </c>
      <c r="K4490" s="3" t="s">
        <v>23584</v>
      </c>
      <c r="L4490" s="3"/>
      <c r="M4490" s="4" t="s">
        <v>23585</v>
      </c>
      <c r="N4490" s="3" t="s">
        <v>37</v>
      </c>
      <c r="O4490" s="3" t="s">
        <v>38</v>
      </c>
      <c r="P4490" s="5">
        <v>9</v>
      </c>
      <c r="Q4490" s="5">
        <v>144</v>
      </c>
      <c r="R4490" s="5">
        <v>9</v>
      </c>
      <c r="S4490" s="5">
        <v>144</v>
      </c>
    </row>
    <row r="4491" spans="1:19" ht="28" x14ac:dyDescent="0.15">
      <c r="A4491" s="2">
        <f>HYPERLINK("https://open-school.uspishnemisto.com.ua/school/210661/", 210661)</f>
        <v>210661</v>
      </c>
      <c r="B4491" s="3" t="s">
        <v>23586</v>
      </c>
      <c r="C4491" s="3" t="s">
        <v>31</v>
      </c>
      <c r="D4491" s="3" t="s">
        <v>175</v>
      </c>
      <c r="E4491" s="4" t="s">
        <v>22</v>
      </c>
      <c r="F4491" s="4" t="s">
        <v>23575</v>
      </c>
      <c r="G4491" s="4" t="s">
        <v>23587</v>
      </c>
      <c r="H4491" s="3" t="s">
        <v>20074</v>
      </c>
      <c r="I4491" s="3" t="s">
        <v>5519</v>
      </c>
      <c r="J4491" s="3" t="s">
        <v>23588</v>
      </c>
      <c r="K4491" s="3" t="s">
        <v>23589</v>
      </c>
      <c r="L4491" s="3"/>
      <c r="M4491" s="4" t="s">
        <v>23590</v>
      </c>
      <c r="N4491" s="3" t="s">
        <v>37</v>
      </c>
      <c r="O4491" s="3" t="s">
        <v>618</v>
      </c>
      <c r="P4491" s="5">
        <v>1</v>
      </c>
      <c r="Q4491" s="5">
        <v>25</v>
      </c>
      <c r="R4491" s="5">
        <v>2</v>
      </c>
      <c r="S4491" s="5">
        <v>25</v>
      </c>
    </row>
    <row r="4492" spans="1:19" ht="28" x14ac:dyDescent="0.15">
      <c r="A4492" s="2">
        <f>HYPERLINK("https://open-school.uspishnemisto.com.ua/school/210662/", 210662)</f>
        <v>210662</v>
      </c>
      <c r="B4492" s="3" t="s">
        <v>23591</v>
      </c>
      <c r="C4492" s="3" t="s">
        <v>31</v>
      </c>
      <c r="D4492" s="3" t="s">
        <v>32</v>
      </c>
      <c r="E4492" s="4" t="s">
        <v>22</v>
      </c>
      <c r="F4492" s="4" t="s">
        <v>23592</v>
      </c>
      <c r="G4492" s="4" t="s">
        <v>23593</v>
      </c>
      <c r="H4492" s="3" t="s">
        <v>20074</v>
      </c>
      <c r="I4492" s="3" t="s">
        <v>23594</v>
      </c>
      <c r="J4492" s="3"/>
      <c r="K4492" s="3" t="s">
        <v>23595</v>
      </c>
      <c r="L4492" s="3"/>
      <c r="M4492" s="4" t="s">
        <v>23596</v>
      </c>
      <c r="N4492" s="3" t="s">
        <v>37</v>
      </c>
      <c r="O4492" s="3" t="s">
        <v>2740</v>
      </c>
      <c r="P4492" s="5">
        <v>19</v>
      </c>
      <c r="Q4492" s="5">
        <v>351</v>
      </c>
      <c r="R4492" s="5">
        <v>18</v>
      </c>
      <c r="S4492" s="5">
        <v>332</v>
      </c>
    </row>
    <row r="4493" spans="1:19" ht="28" x14ac:dyDescent="0.15">
      <c r="A4493" s="2">
        <f>HYPERLINK("https://open-school.uspishnemisto.com.ua/school/210663/", 210663)</f>
        <v>210663</v>
      </c>
      <c r="B4493" s="3" t="s">
        <v>23597</v>
      </c>
      <c r="C4493" s="3" t="s">
        <v>31</v>
      </c>
      <c r="D4493" s="3" t="s">
        <v>175</v>
      </c>
      <c r="E4493" s="4" t="s">
        <v>22</v>
      </c>
      <c r="F4493" s="4" t="s">
        <v>23598</v>
      </c>
      <c r="G4493" s="4" t="s">
        <v>23599</v>
      </c>
      <c r="H4493" s="3" t="s">
        <v>20074</v>
      </c>
      <c r="I4493" s="3" t="s">
        <v>23600</v>
      </c>
      <c r="J4493" s="3"/>
      <c r="K4493" s="3" t="s">
        <v>23601</v>
      </c>
      <c r="L4493" s="3"/>
      <c r="M4493" s="4" t="s">
        <v>23602</v>
      </c>
      <c r="N4493" s="3" t="s">
        <v>37</v>
      </c>
      <c r="O4493" s="3" t="s">
        <v>38</v>
      </c>
      <c r="P4493" s="5">
        <v>8</v>
      </c>
      <c r="Q4493" s="5">
        <v>63</v>
      </c>
      <c r="R4493" s="5">
        <v>9</v>
      </c>
      <c r="S4493" s="5">
        <v>65</v>
      </c>
    </row>
    <row r="4494" spans="1:19" ht="28" x14ac:dyDescent="0.15">
      <c r="A4494" s="2">
        <f>HYPERLINK("https://open-school.uspishnemisto.com.ua/school/210664/", 210664)</f>
        <v>210664</v>
      </c>
      <c r="B4494" s="3" t="s">
        <v>23603</v>
      </c>
      <c r="C4494" s="3" t="s">
        <v>31</v>
      </c>
      <c r="D4494" s="3" t="s">
        <v>32</v>
      </c>
      <c r="E4494" s="4" t="s">
        <v>22</v>
      </c>
      <c r="F4494" s="4" t="s">
        <v>23604</v>
      </c>
      <c r="G4494" s="4" t="s">
        <v>23605</v>
      </c>
      <c r="H4494" s="3" t="s">
        <v>20074</v>
      </c>
      <c r="I4494" s="3" t="s">
        <v>23606</v>
      </c>
      <c r="J4494" s="3" t="s">
        <v>19518</v>
      </c>
      <c r="K4494" s="3" t="s">
        <v>23607</v>
      </c>
      <c r="L4494" s="3"/>
      <c r="M4494" s="4" t="s">
        <v>23608</v>
      </c>
      <c r="N4494" s="3" t="s">
        <v>37</v>
      </c>
      <c r="O4494" s="3" t="s">
        <v>52</v>
      </c>
      <c r="P4494" s="5">
        <v>27</v>
      </c>
      <c r="Q4494" s="5">
        <v>626</v>
      </c>
      <c r="R4494" s="5">
        <v>26</v>
      </c>
      <c r="S4494" s="5">
        <v>617</v>
      </c>
    </row>
    <row r="4495" spans="1:19" ht="28" x14ac:dyDescent="0.15">
      <c r="A4495" s="2">
        <f>HYPERLINK("https://open-school.uspishnemisto.com.ua/school/210665/", 210665)</f>
        <v>210665</v>
      </c>
      <c r="B4495" s="3" t="s">
        <v>23609</v>
      </c>
      <c r="C4495" s="3" t="s">
        <v>54</v>
      </c>
      <c r="D4495" s="3" t="s">
        <v>60</v>
      </c>
      <c r="E4495" s="4" t="s">
        <v>22</v>
      </c>
      <c r="F4495" s="4" t="s">
        <v>23604</v>
      </c>
      <c r="G4495" s="4" t="s">
        <v>23610</v>
      </c>
      <c r="H4495" s="3" t="s">
        <v>20074</v>
      </c>
      <c r="I4495" s="3" t="s">
        <v>23611</v>
      </c>
      <c r="J4495" s="3" t="s">
        <v>9299</v>
      </c>
      <c r="K4495" s="3" t="s">
        <v>23612</v>
      </c>
      <c r="L4495" s="3"/>
      <c r="M4495" s="4" t="s">
        <v>23613</v>
      </c>
      <c r="N4495" s="3" t="s">
        <v>37</v>
      </c>
      <c r="O4495" s="3" t="s">
        <v>52</v>
      </c>
      <c r="P4495" s="5">
        <v>2</v>
      </c>
      <c r="Q4495" s="5">
        <v>26</v>
      </c>
      <c r="R4495" s="5">
        <v>2</v>
      </c>
      <c r="S4495" s="5">
        <v>31</v>
      </c>
    </row>
    <row r="4496" spans="1:19" ht="42" x14ac:dyDescent="0.15">
      <c r="A4496" s="2">
        <f>HYPERLINK("https://open-school.uspishnemisto.com.ua/school/210666/", 210666)</f>
        <v>210666</v>
      </c>
      <c r="B4496" s="3" t="s">
        <v>23614</v>
      </c>
      <c r="C4496" s="3" t="s">
        <v>244</v>
      </c>
      <c r="D4496" s="3" t="s">
        <v>32</v>
      </c>
      <c r="E4496" s="4" t="s">
        <v>22</v>
      </c>
      <c r="F4496" s="4" t="s">
        <v>23615</v>
      </c>
      <c r="G4496" s="4" t="s">
        <v>23616</v>
      </c>
      <c r="H4496" s="3" t="s">
        <v>20074</v>
      </c>
      <c r="I4496" s="3" t="s">
        <v>23617</v>
      </c>
      <c r="J4496" s="3" t="s">
        <v>4833</v>
      </c>
      <c r="K4496" s="3"/>
      <c r="L4496" s="3"/>
      <c r="M4496" s="4" t="s">
        <v>23618</v>
      </c>
      <c r="N4496" s="3" t="s">
        <v>37</v>
      </c>
      <c r="O4496" s="3" t="s">
        <v>2740</v>
      </c>
      <c r="P4496" s="5">
        <v>30</v>
      </c>
      <c r="Q4496" s="5">
        <v>603</v>
      </c>
      <c r="R4496" s="5">
        <v>30</v>
      </c>
      <c r="S4496" s="5">
        <v>601</v>
      </c>
    </row>
    <row r="4497" spans="1:19" ht="28" x14ac:dyDescent="0.15">
      <c r="A4497" s="2">
        <f>HYPERLINK("https://open-school.uspishnemisto.com.ua/school/210667/", 210667)</f>
        <v>210667</v>
      </c>
      <c r="B4497" s="3" t="s">
        <v>23619</v>
      </c>
      <c r="C4497" s="3" t="s">
        <v>31</v>
      </c>
      <c r="D4497" s="3" t="s">
        <v>32</v>
      </c>
      <c r="E4497" s="4" t="s">
        <v>22</v>
      </c>
      <c r="F4497" s="4" t="s">
        <v>23620</v>
      </c>
      <c r="G4497" s="4" t="s">
        <v>23621</v>
      </c>
      <c r="H4497" s="3" t="s">
        <v>20074</v>
      </c>
      <c r="I4497" s="3" t="s">
        <v>23622</v>
      </c>
      <c r="J4497" s="3" t="s">
        <v>23623</v>
      </c>
      <c r="K4497" s="3" t="s">
        <v>23624</v>
      </c>
      <c r="L4497" s="3"/>
      <c r="M4497" s="4" t="s">
        <v>23625</v>
      </c>
      <c r="N4497" s="3" t="s">
        <v>37</v>
      </c>
      <c r="O4497" s="3" t="s">
        <v>70</v>
      </c>
      <c r="P4497" s="5">
        <v>13</v>
      </c>
      <c r="Q4497" s="5">
        <v>237</v>
      </c>
      <c r="R4497" s="5">
        <v>13</v>
      </c>
      <c r="S4497" s="5">
        <v>239</v>
      </c>
    </row>
    <row r="4498" spans="1:19" ht="56" x14ac:dyDescent="0.15">
      <c r="A4498" s="2">
        <f>HYPERLINK("https://open-school.uspishnemisto.com.ua/school/230001/", 230001)</f>
        <v>230001</v>
      </c>
      <c r="B4498" s="3" t="s">
        <v>23626</v>
      </c>
      <c r="C4498" s="3" t="s">
        <v>2634</v>
      </c>
      <c r="D4498" s="3" t="s">
        <v>32</v>
      </c>
      <c r="E4498" s="4" t="s">
        <v>22</v>
      </c>
      <c r="F4498" s="4" t="s">
        <v>23627</v>
      </c>
      <c r="G4498" s="4" t="s">
        <v>23628</v>
      </c>
      <c r="H4498" s="3" t="s">
        <v>23629</v>
      </c>
      <c r="I4498" s="3" t="s">
        <v>13437</v>
      </c>
      <c r="J4498" s="3" t="s">
        <v>23630</v>
      </c>
      <c r="K4498" s="3" t="s">
        <v>23631</v>
      </c>
      <c r="L4498" s="3" t="s">
        <v>23632</v>
      </c>
      <c r="M4498" s="4"/>
      <c r="N4498" s="3" t="s">
        <v>37</v>
      </c>
      <c r="O4498" s="3" t="s">
        <v>52</v>
      </c>
      <c r="P4498" s="5">
        <v>15</v>
      </c>
      <c r="Q4498" s="5">
        <v>189</v>
      </c>
      <c r="R4498" s="5">
        <v>16</v>
      </c>
      <c r="S4498" s="5">
        <v>198</v>
      </c>
    </row>
    <row r="4499" spans="1:19" ht="28" x14ac:dyDescent="0.15">
      <c r="A4499" s="2">
        <f>HYPERLINK("https://open-school.uspishnemisto.com.ua/school/230002/", 230002)</f>
        <v>230002</v>
      </c>
      <c r="B4499" s="3" t="s">
        <v>23633</v>
      </c>
      <c r="C4499" s="3" t="s">
        <v>40</v>
      </c>
      <c r="D4499" s="3" t="s">
        <v>32</v>
      </c>
      <c r="E4499" s="4" t="s">
        <v>22</v>
      </c>
      <c r="F4499" s="4" t="s">
        <v>23634</v>
      </c>
      <c r="G4499" s="4" t="s">
        <v>23628</v>
      </c>
      <c r="H4499" s="3" t="s">
        <v>23629</v>
      </c>
      <c r="I4499" s="3" t="s">
        <v>13437</v>
      </c>
      <c r="J4499" s="3" t="s">
        <v>23635</v>
      </c>
      <c r="K4499" s="3" t="s">
        <v>23636</v>
      </c>
      <c r="L4499" s="3" t="s">
        <v>23637</v>
      </c>
      <c r="M4499" s="4"/>
      <c r="N4499" s="3" t="s">
        <v>128</v>
      </c>
      <c r="O4499" s="3" t="s">
        <v>23638</v>
      </c>
      <c r="P4499" s="5">
        <v>24</v>
      </c>
      <c r="Q4499" s="5">
        <v>651</v>
      </c>
      <c r="R4499" s="5">
        <v>24</v>
      </c>
      <c r="S4499" s="5">
        <v>649</v>
      </c>
    </row>
    <row r="4500" spans="1:19" ht="28" x14ac:dyDescent="0.15">
      <c r="A4500" s="2">
        <f>HYPERLINK("https://open-school.uspishnemisto.com.ua/school/230003/", 230003)</f>
        <v>230003</v>
      </c>
      <c r="B4500" s="3" t="s">
        <v>23639</v>
      </c>
      <c r="C4500" s="3" t="s">
        <v>40</v>
      </c>
      <c r="D4500" s="3" t="s">
        <v>32</v>
      </c>
      <c r="E4500" s="4" t="s">
        <v>22</v>
      </c>
      <c r="F4500" s="4" t="s">
        <v>23640</v>
      </c>
      <c r="G4500" s="4" t="s">
        <v>23628</v>
      </c>
      <c r="H4500" s="3" t="s">
        <v>23629</v>
      </c>
      <c r="I4500" s="3" t="s">
        <v>13437</v>
      </c>
      <c r="J4500" s="3" t="s">
        <v>23641</v>
      </c>
      <c r="K4500" s="3" t="s">
        <v>23642</v>
      </c>
      <c r="L4500" s="3" t="s">
        <v>23643</v>
      </c>
      <c r="M4500" s="4"/>
      <c r="N4500" s="3" t="s">
        <v>37</v>
      </c>
      <c r="O4500" s="3" t="s">
        <v>70</v>
      </c>
      <c r="P4500" s="5">
        <v>30</v>
      </c>
      <c r="Q4500" s="5">
        <v>844</v>
      </c>
      <c r="R4500" s="5">
        <v>30</v>
      </c>
      <c r="S4500" s="5">
        <v>843</v>
      </c>
    </row>
    <row r="4501" spans="1:19" ht="28" x14ac:dyDescent="0.15">
      <c r="A4501" s="2">
        <f>HYPERLINK("https://open-school.uspishnemisto.com.ua/school/230004/", 230004)</f>
        <v>230004</v>
      </c>
      <c r="B4501" s="3" t="s">
        <v>23644</v>
      </c>
      <c r="C4501" s="3" t="s">
        <v>40</v>
      </c>
      <c r="D4501" s="3" t="s">
        <v>32</v>
      </c>
      <c r="E4501" s="4" t="s">
        <v>22</v>
      </c>
      <c r="F4501" s="4" t="s">
        <v>23645</v>
      </c>
      <c r="G4501" s="4" t="s">
        <v>23628</v>
      </c>
      <c r="H4501" s="3" t="s">
        <v>23629</v>
      </c>
      <c r="I4501" s="3" t="s">
        <v>13437</v>
      </c>
      <c r="J4501" s="3" t="s">
        <v>23646</v>
      </c>
      <c r="K4501" s="3" t="s">
        <v>23647</v>
      </c>
      <c r="L4501" s="3" t="s">
        <v>23648</v>
      </c>
      <c r="M4501" s="4"/>
      <c r="N4501" s="3" t="s">
        <v>37</v>
      </c>
      <c r="O4501" s="3" t="s">
        <v>70</v>
      </c>
      <c r="P4501" s="5">
        <v>20</v>
      </c>
      <c r="Q4501" s="5">
        <v>642</v>
      </c>
      <c r="R4501" s="5">
        <v>21</v>
      </c>
      <c r="S4501" s="5">
        <v>646</v>
      </c>
    </row>
    <row r="4502" spans="1:19" ht="28" x14ac:dyDescent="0.15">
      <c r="A4502" s="2">
        <f>HYPERLINK("https://open-school.uspishnemisto.com.ua/school/230006/", 230006)</f>
        <v>230006</v>
      </c>
      <c r="B4502" s="3" t="s">
        <v>23649</v>
      </c>
      <c r="C4502" s="3" t="s">
        <v>40</v>
      </c>
      <c r="D4502" s="3" t="s">
        <v>32</v>
      </c>
      <c r="E4502" s="4" t="s">
        <v>22</v>
      </c>
      <c r="F4502" s="4" t="s">
        <v>23650</v>
      </c>
      <c r="G4502" s="4" t="s">
        <v>23628</v>
      </c>
      <c r="H4502" s="3" t="s">
        <v>23629</v>
      </c>
      <c r="I4502" s="3" t="s">
        <v>13437</v>
      </c>
      <c r="J4502" s="3" t="s">
        <v>23651</v>
      </c>
      <c r="K4502" s="3" t="s">
        <v>23652</v>
      </c>
      <c r="L4502" s="3" t="s">
        <v>23653</v>
      </c>
      <c r="M4502" s="4"/>
      <c r="N4502" s="3" t="s">
        <v>37</v>
      </c>
      <c r="O4502" s="3" t="s">
        <v>46</v>
      </c>
      <c r="P4502" s="5">
        <v>33</v>
      </c>
      <c r="Q4502" s="5">
        <v>893</v>
      </c>
      <c r="R4502" s="5">
        <v>31</v>
      </c>
      <c r="S4502" s="5">
        <v>847</v>
      </c>
    </row>
    <row r="4503" spans="1:19" ht="42" x14ac:dyDescent="0.15">
      <c r="A4503" s="2">
        <f>HYPERLINK("https://open-school.uspishnemisto.com.ua/school/230007/", 230007)</f>
        <v>230007</v>
      </c>
      <c r="B4503" s="3" t="s">
        <v>23654</v>
      </c>
      <c r="C4503" s="3" t="s">
        <v>40</v>
      </c>
      <c r="D4503" s="3" t="s">
        <v>32</v>
      </c>
      <c r="E4503" s="4" t="s">
        <v>22</v>
      </c>
      <c r="F4503" s="4" t="s">
        <v>23655</v>
      </c>
      <c r="G4503" s="4" t="s">
        <v>23628</v>
      </c>
      <c r="H4503" s="3" t="s">
        <v>23629</v>
      </c>
      <c r="I4503" s="3" t="s">
        <v>13437</v>
      </c>
      <c r="J4503" s="3" t="s">
        <v>23656</v>
      </c>
      <c r="K4503" s="3" t="s">
        <v>23657</v>
      </c>
      <c r="L4503" s="3" t="s">
        <v>23658</v>
      </c>
      <c r="M4503" s="4"/>
      <c r="N4503" s="3" t="s">
        <v>967</v>
      </c>
      <c r="O4503" s="3" t="s">
        <v>2740</v>
      </c>
      <c r="P4503" s="5">
        <v>23</v>
      </c>
      <c r="Q4503" s="5">
        <v>623</v>
      </c>
      <c r="R4503" s="5">
        <v>23</v>
      </c>
      <c r="S4503" s="5">
        <v>624</v>
      </c>
    </row>
    <row r="4504" spans="1:19" ht="28" x14ac:dyDescent="0.15">
      <c r="A4504" s="2">
        <f>HYPERLINK("https://open-school.uspishnemisto.com.ua/school/230008/", 230008)</f>
        <v>230008</v>
      </c>
      <c r="B4504" s="3" t="s">
        <v>23659</v>
      </c>
      <c r="C4504" s="3" t="s">
        <v>20</v>
      </c>
      <c r="D4504" s="3" t="s">
        <v>21</v>
      </c>
      <c r="E4504" s="4" t="s">
        <v>22</v>
      </c>
      <c r="F4504" s="4" t="s">
        <v>23634</v>
      </c>
      <c r="G4504" s="4" t="s">
        <v>23628</v>
      </c>
      <c r="H4504" s="3" t="s">
        <v>23629</v>
      </c>
      <c r="I4504" s="3" t="s">
        <v>13437</v>
      </c>
      <c r="J4504" s="3" t="s">
        <v>23660</v>
      </c>
      <c r="K4504" s="3" t="s">
        <v>23661</v>
      </c>
      <c r="L4504" s="3"/>
      <c r="M4504" s="4"/>
      <c r="N4504" s="3"/>
      <c r="O4504" s="3"/>
      <c r="P4504" s="5">
        <v>0</v>
      </c>
      <c r="Q4504" s="5">
        <v>0</v>
      </c>
      <c r="R4504" s="5"/>
      <c r="S4504" s="5"/>
    </row>
    <row r="4505" spans="1:19" ht="28" x14ac:dyDescent="0.15">
      <c r="A4505" s="2">
        <f>HYPERLINK("https://open-school.uspishnemisto.com.ua/school/230009/", 230009)</f>
        <v>230009</v>
      </c>
      <c r="B4505" s="3" t="s">
        <v>23662</v>
      </c>
      <c r="C4505" s="3" t="s">
        <v>2634</v>
      </c>
      <c r="D4505" s="3" t="s">
        <v>175</v>
      </c>
      <c r="E4505" s="4" t="s">
        <v>22</v>
      </c>
      <c r="F4505" s="4" t="s">
        <v>23663</v>
      </c>
      <c r="G4505" s="4" t="s">
        <v>23628</v>
      </c>
      <c r="H4505" s="3" t="s">
        <v>23629</v>
      </c>
      <c r="I4505" s="3" t="s">
        <v>13437</v>
      </c>
      <c r="J4505" s="3" t="s">
        <v>23664</v>
      </c>
      <c r="K4505" s="3" t="s">
        <v>23665</v>
      </c>
      <c r="L4505" s="3" t="s">
        <v>23666</v>
      </c>
      <c r="M4505" s="4" t="s">
        <v>23667</v>
      </c>
      <c r="N4505" s="3" t="s">
        <v>37</v>
      </c>
      <c r="O4505" s="3" t="s">
        <v>70</v>
      </c>
      <c r="P4505" s="5">
        <v>17</v>
      </c>
      <c r="Q4505" s="5">
        <v>286</v>
      </c>
      <c r="R4505" s="5">
        <v>17</v>
      </c>
      <c r="S4505" s="5">
        <v>300</v>
      </c>
    </row>
    <row r="4506" spans="1:19" ht="28" x14ac:dyDescent="0.15">
      <c r="A4506" s="2">
        <f>HYPERLINK("https://open-school.uspishnemisto.com.ua/school/230010/", 230010)</f>
        <v>230010</v>
      </c>
      <c r="B4506" s="3" t="s">
        <v>23668</v>
      </c>
      <c r="C4506" s="3" t="s">
        <v>31</v>
      </c>
      <c r="D4506" s="3" t="s">
        <v>32</v>
      </c>
      <c r="E4506" s="4" t="s">
        <v>22</v>
      </c>
      <c r="F4506" s="4" t="s">
        <v>23669</v>
      </c>
      <c r="G4506" s="4" t="s">
        <v>23628</v>
      </c>
      <c r="H4506" s="3" t="s">
        <v>23629</v>
      </c>
      <c r="I4506" s="3" t="s">
        <v>13437</v>
      </c>
      <c r="J4506" s="3" t="s">
        <v>23670</v>
      </c>
      <c r="K4506" s="3" t="s">
        <v>23671</v>
      </c>
      <c r="L4506" s="3" t="s">
        <v>23672</v>
      </c>
      <c r="M4506" s="4"/>
      <c r="N4506" s="3" t="s">
        <v>37</v>
      </c>
      <c r="O4506" s="3" t="s">
        <v>197</v>
      </c>
      <c r="P4506" s="5">
        <v>30</v>
      </c>
      <c r="Q4506" s="5">
        <v>827</v>
      </c>
      <c r="R4506" s="5">
        <v>29</v>
      </c>
      <c r="S4506" s="5">
        <v>791</v>
      </c>
    </row>
    <row r="4507" spans="1:19" ht="28" x14ac:dyDescent="0.15">
      <c r="A4507" s="2">
        <f>HYPERLINK("https://open-school.uspishnemisto.com.ua/school/230011/", 230011)</f>
        <v>230011</v>
      </c>
      <c r="B4507" s="3" t="s">
        <v>23673</v>
      </c>
      <c r="C4507" s="3" t="s">
        <v>31</v>
      </c>
      <c r="D4507" s="3" t="s">
        <v>32</v>
      </c>
      <c r="E4507" s="4" t="s">
        <v>22</v>
      </c>
      <c r="F4507" s="4" t="s">
        <v>23674</v>
      </c>
      <c r="G4507" s="4" t="s">
        <v>23628</v>
      </c>
      <c r="H4507" s="3" t="s">
        <v>23629</v>
      </c>
      <c r="I4507" s="3" t="s">
        <v>13437</v>
      </c>
      <c r="J4507" s="3" t="s">
        <v>23675</v>
      </c>
      <c r="K4507" s="3" t="s">
        <v>23676</v>
      </c>
      <c r="L4507" s="3" t="s">
        <v>23677</v>
      </c>
      <c r="M4507" s="4"/>
      <c r="N4507" s="3" t="s">
        <v>967</v>
      </c>
      <c r="O4507" s="3" t="s">
        <v>46</v>
      </c>
      <c r="P4507" s="5">
        <v>29</v>
      </c>
      <c r="Q4507" s="5">
        <v>826</v>
      </c>
      <c r="R4507" s="5">
        <v>29</v>
      </c>
      <c r="S4507" s="5">
        <v>860</v>
      </c>
    </row>
    <row r="4508" spans="1:19" ht="28" x14ac:dyDescent="0.15">
      <c r="A4508" s="2">
        <f>HYPERLINK("https://open-school.uspishnemisto.com.ua/school/230012/", 230012)</f>
        <v>230012</v>
      </c>
      <c r="B4508" s="3" t="s">
        <v>23678</v>
      </c>
      <c r="C4508" s="3" t="s">
        <v>31</v>
      </c>
      <c r="D4508" s="3" t="s">
        <v>32</v>
      </c>
      <c r="E4508" s="4" t="s">
        <v>22</v>
      </c>
      <c r="F4508" s="4" t="s">
        <v>23679</v>
      </c>
      <c r="G4508" s="4" t="s">
        <v>23628</v>
      </c>
      <c r="H4508" s="3" t="s">
        <v>23629</v>
      </c>
      <c r="I4508" s="3" t="s">
        <v>13437</v>
      </c>
      <c r="J4508" s="3" t="s">
        <v>23680</v>
      </c>
      <c r="K4508" s="3" t="s">
        <v>23681</v>
      </c>
      <c r="L4508" s="3" t="s">
        <v>23682</v>
      </c>
      <c r="M4508" s="4"/>
      <c r="N4508" s="3" t="s">
        <v>37</v>
      </c>
      <c r="O4508" s="3" t="s">
        <v>70</v>
      </c>
      <c r="P4508" s="5">
        <v>13</v>
      </c>
      <c r="Q4508" s="5">
        <v>301</v>
      </c>
      <c r="R4508" s="5">
        <v>12</v>
      </c>
      <c r="S4508" s="5">
        <v>300</v>
      </c>
    </row>
    <row r="4509" spans="1:19" ht="42" x14ac:dyDescent="0.15">
      <c r="A4509" s="2">
        <f>HYPERLINK("https://open-school.uspishnemisto.com.ua/school/230013/", 230013)</f>
        <v>230013</v>
      </c>
      <c r="B4509" s="3" t="s">
        <v>23683</v>
      </c>
      <c r="C4509" s="3" t="s">
        <v>31</v>
      </c>
      <c r="D4509" s="3" t="s">
        <v>32</v>
      </c>
      <c r="E4509" s="4" t="s">
        <v>22</v>
      </c>
      <c r="F4509" s="4" t="s">
        <v>23684</v>
      </c>
      <c r="G4509" s="4" t="s">
        <v>23628</v>
      </c>
      <c r="H4509" s="3" t="s">
        <v>23629</v>
      </c>
      <c r="I4509" s="3" t="s">
        <v>13437</v>
      </c>
      <c r="J4509" s="3" t="s">
        <v>23685</v>
      </c>
      <c r="K4509" s="3" t="s">
        <v>23686</v>
      </c>
      <c r="L4509" s="3" t="s">
        <v>23687</v>
      </c>
      <c r="M4509" s="4"/>
      <c r="N4509" s="3" t="s">
        <v>37</v>
      </c>
      <c r="O4509" s="3" t="s">
        <v>70</v>
      </c>
      <c r="P4509" s="5">
        <v>29</v>
      </c>
      <c r="Q4509" s="5">
        <v>771</v>
      </c>
      <c r="R4509" s="5">
        <v>28</v>
      </c>
      <c r="S4509" s="5">
        <v>742</v>
      </c>
    </row>
    <row r="4510" spans="1:19" ht="42" x14ac:dyDescent="0.15">
      <c r="A4510" s="2">
        <f>HYPERLINK("https://open-school.uspishnemisto.com.ua/school/230014/", 230014)</f>
        <v>230014</v>
      </c>
      <c r="B4510" s="3" t="s">
        <v>23688</v>
      </c>
      <c r="C4510" s="3" t="s">
        <v>31</v>
      </c>
      <c r="D4510" s="3" t="s">
        <v>32</v>
      </c>
      <c r="E4510" s="4" t="s">
        <v>22</v>
      </c>
      <c r="F4510" s="4" t="s">
        <v>23689</v>
      </c>
      <c r="G4510" s="4" t="s">
        <v>23628</v>
      </c>
      <c r="H4510" s="3" t="s">
        <v>23629</v>
      </c>
      <c r="I4510" s="3" t="s">
        <v>13437</v>
      </c>
      <c r="J4510" s="3" t="s">
        <v>23690</v>
      </c>
      <c r="K4510" s="3" t="s">
        <v>23691</v>
      </c>
      <c r="L4510" s="3" t="s">
        <v>23692</v>
      </c>
      <c r="M4510" s="4"/>
      <c r="N4510" s="3" t="s">
        <v>37</v>
      </c>
      <c r="O4510" s="3" t="s">
        <v>38</v>
      </c>
      <c r="P4510" s="5">
        <v>9</v>
      </c>
      <c r="Q4510" s="5">
        <v>215</v>
      </c>
      <c r="R4510" s="5">
        <v>9</v>
      </c>
      <c r="S4510" s="5">
        <v>222</v>
      </c>
    </row>
    <row r="4511" spans="1:19" ht="28" x14ac:dyDescent="0.15">
      <c r="A4511" s="2">
        <f>HYPERLINK("https://open-school.uspishnemisto.com.ua/school/230015/", 230015)</f>
        <v>230015</v>
      </c>
      <c r="B4511" s="3" t="s">
        <v>23693</v>
      </c>
      <c r="C4511" s="3" t="s">
        <v>31</v>
      </c>
      <c r="D4511" s="3" t="s">
        <v>32</v>
      </c>
      <c r="E4511" s="4" t="s">
        <v>22</v>
      </c>
      <c r="F4511" s="4" t="s">
        <v>23694</v>
      </c>
      <c r="G4511" s="4" t="s">
        <v>23628</v>
      </c>
      <c r="H4511" s="3" t="s">
        <v>23629</v>
      </c>
      <c r="I4511" s="3" t="s">
        <v>13437</v>
      </c>
      <c r="J4511" s="3" t="s">
        <v>23695</v>
      </c>
      <c r="K4511" s="3" t="s">
        <v>23696</v>
      </c>
      <c r="L4511" s="3"/>
      <c r="M4511" s="4"/>
      <c r="N4511" s="3" t="s">
        <v>37</v>
      </c>
      <c r="O4511" s="3" t="s">
        <v>10453</v>
      </c>
      <c r="P4511" s="5">
        <v>20</v>
      </c>
      <c r="Q4511" s="5">
        <v>553</v>
      </c>
      <c r="R4511" s="5">
        <v>20</v>
      </c>
      <c r="S4511" s="5">
        <v>563</v>
      </c>
    </row>
    <row r="4512" spans="1:19" ht="28" x14ac:dyDescent="0.15">
      <c r="A4512" s="2">
        <f>HYPERLINK("https://open-school.uspishnemisto.com.ua/school/230016/", 230016)</f>
        <v>230016</v>
      </c>
      <c r="B4512" s="3" t="s">
        <v>23697</v>
      </c>
      <c r="C4512" s="3" t="s">
        <v>31</v>
      </c>
      <c r="D4512" s="3" t="s">
        <v>32</v>
      </c>
      <c r="E4512" s="4" t="s">
        <v>22</v>
      </c>
      <c r="F4512" s="4" t="s">
        <v>23698</v>
      </c>
      <c r="G4512" s="4" t="s">
        <v>23628</v>
      </c>
      <c r="H4512" s="3" t="s">
        <v>23629</v>
      </c>
      <c r="I4512" s="3" t="s">
        <v>13437</v>
      </c>
      <c r="J4512" s="3" t="s">
        <v>23699</v>
      </c>
      <c r="K4512" s="3" t="s">
        <v>23700</v>
      </c>
      <c r="L4512" s="3" t="s">
        <v>23701</v>
      </c>
      <c r="M4512" s="4"/>
      <c r="N4512" s="3" t="s">
        <v>128</v>
      </c>
      <c r="O4512" s="3" t="s">
        <v>38</v>
      </c>
      <c r="P4512" s="5">
        <v>28</v>
      </c>
      <c r="Q4512" s="5">
        <v>658</v>
      </c>
      <c r="R4512" s="5">
        <v>28</v>
      </c>
      <c r="S4512" s="5">
        <v>693</v>
      </c>
    </row>
    <row r="4513" spans="1:19" ht="28" x14ac:dyDescent="0.15">
      <c r="A4513" s="2">
        <f>HYPERLINK("https://open-school.uspishnemisto.com.ua/school/230017/", 230017)</f>
        <v>230017</v>
      </c>
      <c r="B4513" s="3" t="s">
        <v>23702</v>
      </c>
      <c r="C4513" s="3" t="s">
        <v>31</v>
      </c>
      <c r="D4513" s="3" t="s">
        <v>32</v>
      </c>
      <c r="E4513" s="4" t="s">
        <v>22</v>
      </c>
      <c r="F4513" s="4" t="s">
        <v>23703</v>
      </c>
      <c r="G4513" s="4" t="s">
        <v>23628</v>
      </c>
      <c r="H4513" s="3" t="s">
        <v>23629</v>
      </c>
      <c r="I4513" s="3" t="s">
        <v>13437</v>
      </c>
      <c r="J4513" s="3" t="s">
        <v>23704</v>
      </c>
      <c r="K4513" s="3" t="s">
        <v>23705</v>
      </c>
      <c r="L4513" s="3" t="s">
        <v>23706</v>
      </c>
      <c r="M4513" s="4"/>
      <c r="N4513" s="3" t="s">
        <v>37</v>
      </c>
      <c r="O4513" s="3" t="s">
        <v>70</v>
      </c>
      <c r="P4513" s="5">
        <v>11</v>
      </c>
      <c r="Q4513" s="5">
        <v>230</v>
      </c>
      <c r="R4513" s="5">
        <v>11</v>
      </c>
      <c r="S4513" s="5">
        <v>243</v>
      </c>
    </row>
    <row r="4514" spans="1:19" ht="28" x14ac:dyDescent="0.15">
      <c r="A4514" s="2">
        <f>HYPERLINK("https://open-school.uspishnemisto.com.ua/school/230018/", 230018)</f>
        <v>230018</v>
      </c>
      <c r="B4514" s="3" t="s">
        <v>23707</v>
      </c>
      <c r="C4514" s="3" t="s">
        <v>31</v>
      </c>
      <c r="D4514" s="3" t="s">
        <v>32</v>
      </c>
      <c r="E4514" s="4" t="s">
        <v>22</v>
      </c>
      <c r="F4514" s="4" t="s">
        <v>23640</v>
      </c>
      <c r="G4514" s="4" t="s">
        <v>23628</v>
      </c>
      <c r="H4514" s="3" t="s">
        <v>23629</v>
      </c>
      <c r="I4514" s="3" t="s">
        <v>13437</v>
      </c>
      <c r="J4514" s="3" t="s">
        <v>23708</v>
      </c>
      <c r="K4514" s="3" t="s">
        <v>23709</v>
      </c>
      <c r="L4514" s="3" t="s">
        <v>23710</v>
      </c>
      <c r="M4514" s="4"/>
      <c r="N4514" s="3" t="s">
        <v>967</v>
      </c>
      <c r="O4514" s="3" t="s">
        <v>2740</v>
      </c>
      <c r="P4514" s="5">
        <v>23</v>
      </c>
      <c r="Q4514" s="5">
        <v>611</v>
      </c>
      <c r="R4514" s="5">
        <v>23</v>
      </c>
      <c r="S4514" s="5">
        <v>582</v>
      </c>
    </row>
    <row r="4515" spans="1:19" ht="28" x14ac:dyDescent="0.15">
      <c r="A4515" s="2">
        <f>HYPERLINK("https://open-school.uspishnemisto.com.ua/school/230019/", 230019)</f>
        <v>230019</v>
      </c>
      <c r="B4515" s="3" t="s">
        <v>23711</v>
      </c>
      <c r="C4515" s="3" t="s">
        <v>40</v>
      </c>
      <c r="D4515" s="3" t="s">
        <v>32</v>
      </c>
      <c r="E4515" s="4" t="s">
        <v>41</v>
      </c>
      <c r="F4515" s="4" t="s">
        <v>23712</v>
      </c>
      <c r="G4515" s="4" t="s">
        <v>23628</v>
      </c>
      <c r="H4515" s="3" t="s">
        <v>23629</v>
      </c>
      <c r="I4515" s="3" t="s">
        <v>13437</v>
      </c>
      <c r="J4515" s="3" t="s">
        <v>23713</v>
      </c>
      <c r="K4515" s="3" t="s">
        <v>23714</v>
      </c>
      <c r="L4515" s="3"/>
      <c r="M4515" s="4"/>
      <c r="N4515" s="3" t="s">
        <v>967</v>
      </c>
      <c r="O4515" s="3" t="s">
        <v>52</v>
      </c>
      <c r="P4515" s="5">
        <v>0</v>
      </c>
      <c r="Q4515" s="5">
        <v>1</v>
      </c>
      <c r="R4515" s="5">
        <v>0</v>
      </c>
      <c r="S4515" s="5">
        <v>1</v>
      </c>
    </row>
    <row r="4516" spans="1:19" ht="28" x14ac:dyDescent="0.15">
      <c r="A4516" s="2">
        <f>HYPERLINK("https://open-school.uspishnemisto.com.ua/school/230020/", 230020)</f>
        <v>230020</v>
      </c>
      <c r="B4516" s="3" t="s">
        <v>23715</v>
      </c>
      <c r="C4516" s="3" t="s">
        <v>2128</v>
      </c>
      <c r="D4516" s="3" t="s">
        <v>32</v>
      </c>
      <c r="E4516" s="4" t="s">
        <v>22</v>
      </c>
      <c r="F4516" s="4" t="s">
        <v>23716</v>
      </c>
      <c r="G4516" s="4" t="s">
        <v>23628</v>
      </c>
      <c r="H4516" s="3" t="s">
        <v>23629</v>
      </c>
      <c r="I4516" s="3" t="s">
        <v>13437</v>
      </c>
      <c r="J4516" s="3" t="s">
        <v>23717</v>
      </c>
      <c r="K4516" s="3" t="s">
        <v>23718</v>
      </c>
      <c r="L4516" s="3" t="s">
        <v>23719</v>
      </c>
      <c r="M4516" s="4" t="s">
        <v>23720</v>
      </c>
      <c r="N4516" s="3" t="s">
        <v>37</v>
      </c>
      <c r="O4516" s="3" t="s">
        <v>46</v>
      </c>
      <c r="P4516" s="5">
        <v>22</v>
      </c>
      <c r="Q4516" s="5">
        <v>674</v>
      </c>
      <c r="R4516" s="5">
        <v>22</v>
      </c>
      <c r="S4516" s="5">
        <v>672</v>
      </c>
    </row>
    <row r="4517" spans="1:19" ht="28" x14ac:dyDescent="0.15">
      <c r="A4517" s="2">
        <f>HYPERLINK("https://open-school.uspishnemisto.com.ua/school/230021/", 230021)</f>
        <v>230021</v>
      </c>
      <c r="B4517" s="3" t="s">
        <v>23721</v>
      </c>
      <c r="C4517" s="3" t="s">
        <v>54</v>
      </c>
      <c r="D4517" s="3" t="s">
        <v>32</v>
      </c>
      <c r="E4517" s="4" t="s">
        <v>22</v>
      </c>
      <c r="F4517" s="4" t="s">
        <v>23722</v>
      </c>
      <c r="G4517" s="4" t="s">
        <v>23628</v>
      </c>
      <c r="H4517" s="3" t="s">
        <v>23629</v>
      </c>
      <c r="I4517" s="3" t="s">
        <v>13437</v>
      </c>
      <c r="J4517" s="3" t="s">
        <v>23723</v>
      </c>
      <c r="K4517" s="3" t="s">
        <v>23724</v>
      </c>
      <c r="L4517" s="3" t="s">
        <v>23725</v>
      </c>
      <c r="M4517" s="4"/>
      <c r="N4517" s="3" t="s">
        <v>37</v>
      </c>
      <c r="O4517" s="3" t="s">
        <v>38</v>
      </c>
      <c r="P4517" s="5">
        <v>14</v>
      </c>
      <c r="Q4517" s="5">
        <v>307</v>
      </c>
      <c r="R4517" s="5">
        <v>14</v>
      </c>
      <c r="S4517" s="5">
        <v>312</v>
      </c>
    </row>
    <row r="4518" spans="1:19" ht="28" x14ac:dyDescent="0.15">
      <c r="A4518" s="2">
        <f>HYPERLINK("https://open-school.uspishnemisto.com.ua/school/230022/", 230022)</f>
        <v>230022</v>
      </c>
      <c r="B4518" s="3" t="s">
        <v>23726</v>
      </c>
      <c r="C4518" s="3" t="s">
        <v>54</v>
      </c>
      <c r="D4518" s="3" t="s">
        <v>32</v>
      </c>
      <c r="E4518" s="4" t="s">
        <v>22</v>
      </c>
      <c r="F4518" s="4" t="s">
        <v>23727</v>
      </c>
      <c r="G4518" s="4" t="s">
        <v>23628</v>
      </c>
      <c r="H4518" s="3" t="s">
        <v>23629</v>
      </c>
      <c r="I4518" s="3" t="s">
        <v>13437</v>
      </c>
      <c r="J4518" s="3" t="s">
        <v>23728</v>
      </c>
      <c r="K4518" s="3" t="s">
        <v>23729</v>
      </c>
      <c r="L4518" s="3" t="s">
        <v>23730</v>
      </c>
      <c r="M4518" s="4"/>
      <c r="N4518" s="3" t="s">
        <v>37</v>
      </c>
      <c r="O4518" s="3" t="s">
        <v>38</v>
      </c>
      <c r="P4518" s="5">
        <v>24</v>
      </c>
      <c r="Q4518" s="5">
        <v>670</v>
      </c>
      <c r="R4518" s="5">
        <v>24</v>
      </c>
      <c r="S4518" s="5">
        <v>654</v>
      </c>
    </row>
    <row r="4519" spans="1:19" ht="28" x14ac:dyDescent="0.15">
      <c r="A4519" s="2">
        <f>HYPERLINK("https://open-school.uspishnemisto.com.ua/school/230023/", 230023)</f>
        <v>230023</v>
      </c>
      <c r="B4519" s="3" t="s">
        <v>23731</v>
      </c>
      <c r="C4519" s="3" t="s">
        <v>54</v>
      </c>
      <c r="D4519" s="3" t="s">
        <v>32</v>
      </c>
      <c r="E4519" s="4" t="s">
        <v>22</v>
      </c>
      <c r="F4519" s="4" t="s">
        <v>23698</v>
      </c>
      <c r="G4519" s="4" t="s">
        <v>23628</v>
      </c>
      <c r="H4519" s="3" t="s">
        <v>23629</v>
      </c>
      <c r="I4519" s="3" t="s">
        <v>13437</v>
      </c>
      <c r="J4519" s="3" t="s">
        <v>23732</v>
      </c>
      <c r="K4519" s="3" t="s">
        <v>23733</v>
      </c>
      <c r="L4519" s="3" t="s">
        <v>23734</v>
      </c>
      <c r="M4519" s="4"/>
      <c r="N4519" s="3" t="s">
        <v>37</v>
      </c>
      <c r="O4519" s="3" t="s">
        <v>38</v>
      </c>
      <c r="P4519" s="5">
        <v>17</v>
      </c>
      <c r="Q4519" s="5">
        <v>478</v>
      </c>
      <c r="R4519" s="5">
        <v>16</v>
      </c>
      <c r="S4519" s="5">
        <v>442</v>
      </c>
    </row>
    <row r="4520" spans="1:19" ht="28" x14ac:dyDescent="0.15">
      <c r="A4520" s="2">
        <f>HYPERLINK("https://open-school.uspishnemisto.com.ua/school/230024/", 230024)</f>
        <v>230024</v>
      </c>
      <c r="B4520" s="3" t="s">
        <v>23735</v>
      </c>
      <c r="C4520" s="3" t="s">
        <v>54</v>
      </c>
      <c r="D4520" s="3" t="s">
        <v>32</v>
      </c>
      <c r="E4520" s="4" t="s">
        <v>22</v>
      </c>
      <c r="F4520" s="4" t="s">
        <v>23674</v>
      </c>
      <c r="G4520" s="4" t="s">
        <v>23628</v>
      </c>
      <c r="H4520" s="3" t="s">
        <v>23629</v>
      </c>
      <c r="I4520" s="3" t="s">
        <v>13437</v>
      </c>
      <c r="J4520" s="3" t="s">
        <v>23736</v>
      </c>
      <c r="K4520" s="3" t="s">
        <v>23737</v>
      </c>
      <c r="L4520" s="3"/>
      <c r="M4520" s="4"/>
      <c r="N4520" s="3" t="s">
        <v>128</v>
      </c>
      <c r="O4520" s="3" t="s">
        <v>721</v>
      </c>
      <c r="P4520" s="5">
        <v>15</v>
      </c>
      <c r="Q4520" s="5">
        <v>386</v>
      </c>
      <c r="R4520" s="5">
        <v>14</v>
      </c>
      <c r="S4520" s="5">
        <v>358</v>
      </c>
    </row>
    <row r="4521" spans="1:19" ht="56" x14ac:dyDescent="0.15">
      <c r="A4521" s="2">
        <f>HYPERLINK("https://open-school.uspishnemisto.com.ua/school/230026/", 230026)</f>
        <v>230026</v>
      </c>
      <c r="B4521" s="3" t="s">
        <v>23738</v>
      </c>
      <c r="C4521" s="3" t="s">
        <v>181</v>
      </c>
      <c r="D4521" s="3" t="s">
        <v>175</v>
      </c>
      <c r="E4521" s="4" t="s">
        <v>22</v>
      </c>
      <c r="F4521" s="4" t="s">
        <v>23650</v>
      </c>
      <c r="G4521" s="4" t="s">
        <v>23628</v>
      </c>
      <c r="H4521" s="3" t="s">
        <v>23629</v>
      </c>
      <c r="I4521" s="3" t="s">
        <v>13437</v>
      </c>
      <c r="J4521" s="3" t="s">
        <v>23739</v>
      </c>
      <c r="K4521" s="3" t="s">
        <v>23740</v>
      </c>
      <c r="L4521" s="3" t="s">
        <v>23741</v>
      </c>
      <c r="M4521" s="4" t="s">
        <v>23742</v>
      </c>
      <c r="N4521" s="3" t="s">
        <v>37</v>
      </c>
      <c r="O4521" s="3" t="s">
        <v>52</v>
      </c>
      <c r="P4521" s="5">
        <v>18</v>
      </c>
      <c r="Q4521" s="5">
        <v>219</v>
      </c>
      <c r="R4521" s="5">
        <v>17</v>
      </c>
      <c r="S4521" s="5">
        <v>213</v>
      </c>
    </row>
    <row r="4522" spans="1:19" ht="42" x14ac:dyDescent="0.15">
      <c r="A4522" s="2">
        <f>HYPERLINK("https://open-school.uspishnemisto.com.ua/school/230027/", 230027)</f>
        <v>230027</v>
      </c>
      <c r="B4522" s="3" t="s">
        <v>23743</v>
      </c>
      <c r="C4522" s="3" t="s">
        <v>181</v>
      </c>
      <c r="D4522" s="3" t="s">
        <v>32</v>
      </c>
      <c r="E4522" s="4" t="s">
        <v>22</v>
      </c>
      <c r="F4522" s="4" t="s">
        <v>23744</v>
      </c>
      <c r="G4522" s="4" t="s">
        <v>23628</v>
      </c>
      <c r="H4522" s="3" t="s">
        <v>23629</v>
      </c>
      <c r="I4522" s="3" t="s">
        <v>13437</v>
      </c>
      <c r="J4522" s="3" t="s">
        <v>23745</v>
      </c>
      <c r="K4522" s="3" t="s">
        <v>23746</v>
      </c>
      <c r="L4522" s="3" t="s">
        <v>23747</v>
      </c>
      <c r="M4522" s="4" t="s">
        <v>23748</v>
      </c>
      <c r="N4522" s="3" t="s">
        <v>37</v>
      </c>
      <c r="O4522" s="3" t="s">
        <v>52</v>
      </c>
      <c r="P4522" s="5">
        <v>19</v>
      </c>
      <c r="Q4522" s="5">
        <v>156</v>
      </c>
      <c r="R4522" s="5">
        <v>18</v>
      </c>
      <c r="S4522" s="5">
        <v>155</v>
      </c>
    </row>
    <row r="4523" spans="1:19" ht="42" x14ac:dyDescent="0.15">
      <c r="A4523" s="2">
        <f>HYPERLINK("https://open-school.uspishnemisto.com.ua/school/230028/", 230028)</f>
        <v>230028</v>
      </c>
      <c r="B4523" s="3" t="s">
        <v>23749</v>
      </c>
      <c r="C4523" s="3" t="s">
        <v>48</v>
      </c>
      <c r="D4523" s="3" t="s">
        <v>32</v>
      </c>
      <c r="E4523" s="4" t="s">
        <v>22</v>
      </c>
      <c r="F4523" s="4" t="s">
        <v>23750</v>
      </c>
      <c r="G4523" s="4" t="s">
        <v>23628</v>
      </c>
      <c r="H4523" s="3" t="s">
        <v>23629</v>
      </c>
      <c r="I4523" s="3" t="s">
        <v>13437</v>
      </c>
      <c r="J4523" s="3" t="s">
        <v>23751</v>
      </c>
      <c r="K4523" s="3" t="s">
        <v>23752</v>
      </c>
      <c r="L4523" s="3"/>
      <c r="M4523" s="4" t="s">
        <v>23753</v>
      </c>
      <c r="N4523" s="3" t="s">
        <v>37</v>
      </c>
      <c r="O4523" s="3" t="s">
        <v>52</v>
      </c>
      <c r="P4523" s="5">
        <v>9</v>
      </c>
      <c r="Q4523" s="5">
        <v>229</v>
      </c>
      <c r="R4523" s="5">
        <v>9</v>
      </c>
      <c r="S4523" s="5">
        <v>240</v>
      </c>
    </row>
    <row r="4524" spans="1:19" ht="42" x14ac:dyDescent="0.15">
      <c r="A4524" s="2">
        <f>HYPERLINK("https://open-school.uspishnemisto.com.ua/school/230082/", 230082)</f>
        <v>230082</v>
      </c>
      <c r="B4524" s="3" t="s">
        <v>23754</v>
      </c>
      <c r="C4524" s="3" t="s">
        <v>54</v>
      </c>
      <c r="D4524" s="3" t="s">
        <v>21</v>
      </c>
      <c r="E4524" s="4" t="s">
        <v>41</v>
      </c>
      <c r="F4524" s="4" t="s">
        <v>23755</v>
      </c>
      <c r="G4524" s="4" t="s">
        <v>23628</v>
      </c>
      <c r="H4524" s="3" t="s">
        <v>23629</v>
      </c>
      <c r="I4524" s="3" t="s">
        <v>13437</v>
      </c>
      <c r="J4524" s="3" t="s">
        <v>23756</v>
      </c>
      <c r="K4524" s="3" t="s">
        <v>23757</v>
      </c>
      <c r="L4524" s="3"/>
      <c r="M4524" s="4"/>
      <c r="N4524" s="3" t="s">
        <v>967</v>
      </c>
      <c r="O4524" s="3" t="s">
        <v>46</v>
      </c>
      <c r="P4524" s="5">
        <v>7</v>
      </c>
      <c r="Q4524" s="5">
        <v>67</v>
      </c>
      <c r="R4524" s="5">
        <v>8</v>
      </c>
      <c r="S4524" s="5">
        <v>97</v>
      </c>
    </row>
    <row r="4525" spans="1:19" ht="42" x14ac:dyDescent="0.15">
      <c r="A4525" s="2">
        <f>HYPERLINK("https://open-school.uspishnemisto.com.ua/school/230029/", 230029)</f>
        <v>230029</v>
      </c>
      <c r="B4525" s="3" t="s">
        <v>23758</v>
      </c>
      <c r="C4525" s="3" t="s">
        <v>20</v>
      </c>
      <c r="D4525" s="3" t="s">
        <v>21</v>
      </c>
      <c r="E4525" s="4" t="s">
        <v>22</v>
      </c>
      <c r="F4525" s="4" t="s">
        <v>23759</v>
      </c>
      <c r="G4525" s="4" t="s">
        <v>23760</v>
      </c>
      <c r="H4525" s="3" t="s">
        <v>23629</v>
      </c>
      <c r="I4525" s="3" t="s">
        <v>23761</v>
      </c>
      <c r="J4525" s="3" t="s">
        <v>23762</v>
      </c>
      <c r="K4525" s="3" t="s">
        <v>23763</v>
      </c>
      <c r="L4525" s="3" t="s">
        <v>23764</v>
      </c>
      <c r="M4525" s="4"/>
      <c r="N4525" s="3"/>
      <c r="O4525" s="3"/>
      <c r="P4525" s="5">
        <v>0</v>
      </c>
      <c r="Q4525" s="5">
        <v>0</v>
      </c>
      <c r="R4525" s="5"/>
      <c r="S4525" s="5"/>
    </row>
    <row r="4526" spans="1:19" ht="42" x14ac:dyDescent="0.15">
      <c r="A4526" s="2">
        <f>HYPERLINK("https://open-school.uspishnemisto.com.ua/school/230030/", 230030)</f>
        <v>230030</v>
      </c>
      <c r="B4526" s="3" t="s">
        <v>23765</v>
      </c>
      <c r="C4526" s="3" t="s">
        <v>40</v>
      </c>
      <c r="D4526" s="3" t="s">
        <v>32</v>
      </c>
      <c r="E4526" s="4" t="s">
        <v>22</v>
      </c>
      <c r="F4526" s="4" t="s">
        <v>23766</v>
      </c>
      <c r="G4526" s="4" t="s">
        <v>23760</v>
      </c>
      <c r="H4526" s="3" t="s">
        <v>23629</v>
      </c>
      <c r="I4526" s="3" t="s">
        <v>23761</v>
      </c>
      <c r="J4526" s="3" t="s">
        <v>23767</v>
      </c>
      <c r="K4526" s="3"/>
      <c r="L4526" s="3" t="s">
        <v>23768</v>
      </c>
      <c r="M4526" s="4"/>
      <c r="N4526" s="3" t="s">
        <v>967</v>
      </c>
      <c r="O4526" s="3" t="s">
        <v>46</v>
      </c>
      <c r="P4526" s="5">
        <v>31</v>
      </c>
      <c r="Q4526" s="5">
        <v>898</v>
      </c>
      <c r="R4526" s="5">
        <v>31</v>
      </c>
      <c r="S4526" s="5">
        <v>881</v>
      </c>
    </row>
    <row r="4527" spans="1:19" ht="42" x14ac:dyDescent="0.15">
      <c r="A4527" s="2">
        <f>HYPERLINK("https://open-school.uspishnemisto.com.ua/school/230031/", 230031)</f>
        <v>230031</v>
      </c>
      <c r="B4527" s="3" t="s">
        <v>23769</v>
      </c>
      <c r="C4527" s="3" t="s">
        <v>40</v>
      </c>
      <c r="D4527" s="3" t="s">
        <v>32</v>
      </c>
      <c r="E4527" s="4" t="s">
        <v>22</v>
      </c>
      <c r="F4527" s="4" t="s">
        <v>23770</v>
      </c>
      <c r="G4527" s="4" t="s">
        <v>23760</v>
      </c>
      <c r="H4527" s="3" t="s">
        <v>23629</v>
      </c>
      <c r="I4527" s="3" t="s">
        <v>23761</v>
      </c>
      <c r="J4527" s="3" t="s">
        <v>2446</v>
      </c>
      <c r="K4527" s="3" t="s">
        <v>23771</v>
      </c>
      <c r="L4527" s="3" t="s">
        <v>23772</v>
      </c>
      <c r="M4527" s="4"/>
      <c r="N4527" s="3" t="s">
        <v>37</v>
      </c>
      <c r="O4527" s="3" t="s">
        <v>10453</v>
      </c>
      <c r="P4527" s="5">
        <v>24</v>
      </c>
      <c r="Q4527" s="5">
        <v>670</v>
      </c>
      <c r="R4527" s="5">
        <v>24</v>
      </c>
      <c r="S4527" s="5">
        <v>675</v>
      </c>
    </row>
    <row r="4528" spans="1:19" ht="56" x14ac:dyDescent="0.15">
      <c r="A4528" s="2">
        <f>HYPERLINK("https://open-school.uspishnemisto.com.ua/school/230032/", 230032)</f>
        <v>230032</v>
      </c>
      <c r="B4528" s="3" t="s">
        <v>23773</v>
      </c>
      <c r="C4528" s="3" t="s">
        <v>31</v>
      </c>
      <c r="D4528" s="3" t="s">
        <v>32</v>
      </c>
      <c r="E4528" s="4" t="s">
        <v>22</v>
      </c>
      <c r="F4528" s="4" t="s">
        <v>23770</v>
      </c>
      <c r="G4528" s="4" t="s">
        <v>23760</v>
      </c>
      <c r="H4528" s="3" t="s">
        <v>23629</v>
      </c>
      <c r="I4528" s="3" t="s">
        <v>23761</v>
      </c>
      <c r="J4528" s="3" t="s">
        <v>23774</v>
      </c>
      <c r="K4528" s="3" t="s">
        <v>23775</v>
      </c>
      <c r="L4528" s="3" t="s">
        <v>23776</v>
      </c>
      <c r="M4528" s="4"/>
      <c r="N4528" s="3" t="s">
        <v>967</v>
      </c>
      <c r="O4528" s="3" t="s">
        <v>52</v>
      </c>
      <c r="P4528" s="5">
        <v>37</v>
      </c>
      <c r="Q4528" s="5">
        <v>1025</v>
      </c>
      <c r="R4528" s="5">
        <v>37</v>
      </c>
      <c r="S4528" s="5">
        <v>1006</v>
      </c>
    </row>
    <row r="4529" spans="1:19" ht="42" x14ac:dyDescent="0.15">
      <c r="A4529" s="2">
        <f>HYPERLINK("https://open-school.uspishnemisto.com.ua/school/230033/", 230033)</f>
        <v>230033</v>
      </c>
      <c r="B4529" s="3" t="s">
        <v>23777</v>
      </c>
      <c r="C4529" s="3" t="s">
        <v>31</v>
      </c>
      <c r="D4529" s="3" t="s">
        <v>32</v>
      </c>
      <c r="E4529" s="4" t="s">
        <v>22</v>
      </c>
      <c r="F4529" s="4" t="s">
        <v>23770</v>
      </c>
      <c r="G4529" s="4" t="s">
        <v>23760</v>
      </c>
      <c r="H4529" s="3" t="s">
        <v>23629</v>
      </c>
      <c r="I4529" s="3" t="s">
        <v>23761</v>
      </c>
      <c r="J4529" s="3" t="s">
        <v>3363</v>
      </c>
      <c r="K4529" s="3" t="s">
        <v>23778</v>
      </c>
      <c r="L4529" s="3" t="s">
        <v>23779</v>
      </c>
      <c r="M4529" s="4"/>
      <c r="N4529" s="3" t="s">
        <v>967</v>
      </c>
      <c r="O4529" s="3" t="s">
        <v>52</v>
      </c>
      <c r="P4529" s="5">
        <v>15</v>
      </c>
      <c r="Q4529" s="5">
        <v>267</v>
      </c>
      <c r="R4529" s="5">
        <v>14</v>
      </c>
      <c r="S4529" s="5">
        <v>316</v>
      </c>
    </row>
    <row r="4530" spans="1:19" ht="42" x14ac:dyDescent="0.15">
      <c r="A4530" s="2">
        <f>HYPERLINK("https://open-school.uspishnemisto.com.ua/school/230034/", 230034)</f>
        <v>230034</v>
      </c>
      <c r="B4530" s="3" t="s">
        <v>23780</v>
      </c>
      <c r="C4530" s="3" t="s">
        <v>31</v>
      </c>
      <c r="D4530" s="3" t="s">
        <v>32</v>
      </c>
      <c r="E4530" s="4" t="s">
        <v>22</v>
      </c>
      <c r="F4530" s="4" t="s">
        <v>23766</v>
      </c>
      <c r="G4530" s="4" t="s">
        <v>23760</v>
      </c>
      <c r="H4530" s="3" t="s">
        <v>23629</v>
      </c>
      <c r="I4530" s="3" t="s">
        <v>23761</v>
      </c>
      <c r="J4530" s="3" t="s">
        <v>23781</v>
      </c>
      <c r="K4530" s="3" t="s">
        <v>23782</v>
      </c>
      <c r="L4530" s="3" t="s">
        <v>23783</v>
      </c>
      <c r="M4530" s="4"/>
      <c r="N4530" s="3" t="s">
        <v>37</v>
      </c>
      <c r="O4530" s="3" t="s">
        <v>38</v>
      </c>
      <c r="P4530" s="5">
        <v>11</v>
      </c>
      <c r="Q4530" s="5">
        <v>306</v>
      </c>
      <c r="R4530" s="5">
        <v>11</v>
      </c>
      <c r="S4530" s="5">
        <v>301</v>
      </c>
    </row>
    <row r="4531" spans="1:19" ht="42" x14ac:dyDescent="0.15">
      <c r="A4531" s="2">
        <f>HYPERLINK("https://open-school.uspishnemisto.com.ua/school/230035/", 230035)</f>
        <v>230035</v>
      </c>
      <c r="B4531" s="3" t="s">
        <v>23784</v>
      </c>
      <c r="C4531" s="3" t="s">
        <v>31</v>
      </c>
      <c r="D4531" s="3" t="s">
        <v>32</v>
      </c>
      <c r="E4531" s="4" t="s">
        <v>22</v>
      </c>
      <c r="F4531" s="4" t="s">
        <v>23759</v>
      </c>
      <c r="G4531" s="4" t="s">
        <v>23760</v>
      </c>
      <c r="H4531" s="3" t="s">
        <v>23629</v>
      </c>
      <c r="I4531" s="3" t="s">
        <v>23761</v>
      </c>
      <c r="J4531" s="3" t="s">
        <v>23785</v>
      </c>
      <c r="K4531" s="3" t="s">
        <v>23786</v>
      </c>
      <c r="L4531" s="3" t="s">
        <v>23787</v>
      </c>
      <c r="M4531" s="4"/>
      <c r="N4531" s="3" t="s">
        <v>37</v>
      </c>
      <c r="O4531" s="3" t="s">
        <v>38</v>
      </c>
      <c r="P4531" s="5">
        <v>10</v>
      </c>
      <c r="Q4531" s="5">
        <v>254</v>
      </c>
      <c r="R4531" s="5">
        <v>11</v>
      </c>
      <c r="S4531" s="5">
        <v>271</v>
      </c>
    </row>
    <row r="4532" spans="1:19" ht="42" x14ac:dyDescent="0.15">
      <c r="A4532" s="2">
        <f>HYPERLINK("https://open-school.uspishnemisto.com.ua/school/230036/", 230036)</f>
        <v>230036</v>
      </c>
      <c r="B4532" s="3" t="s">
        <v>23788</v>
      </c>
      <c r="C4532" s="3" t="s">
        <v>31</v>
      </c>
      <c r="D4532" s="3" t="s">
        <v>32</v>
      </c>
      <c r="E4532" s="4" t="s">
        <v>22</v>
      </c>
      <c r="F4532" s="4" t="s">
        <v>23759</v>
      </c>
      <c r="G4532" s="4" t="s">
        <v>23760</v>
      </c>
      <c r="H4532" s="3" t="s">
        <v>23629</v>
      </c>
      <c r="I4532" s="3" t="s">
        <v>23761</v>
      </c>
      <c r="J4532" s="3" t="s">
        <v>3363</v>
      </c>
      <c r="K4532" s="3" t="s">
        <v>23789</v>
      </c>
      <c r="L4532" s="3" t="s">
        <v>23790</v>
      </c>
      <c r="M4532" s="4"/>
      <c r="N4532" s="3" t="s">
        <v>37</v>
      </c>
      <c r="O4532" s="3" t="s">
        <v>38</v>
      </c>
      <c r="P4532" s="5">
        <v>14</v>
      </c>
      <c r="Q4532" s="5">
        <v>379</v>
      </c>
      <c r="R4532" s="5">
        <v>12</v>
      </c>
      <c r="S4532" s="5">
        <v>336</v>
      </c>
    </row>
    <row r="4533" spans="1:19" ht="42" x14ac:dyDescent="0.15">
      <c r="A4533" s="2">
        <f>HYPERLINK("https://open-school.uspishnemisto.com.ua/school/230037/", 230037)</f>
        <v>230037</v>
      </c>
      <c r="B4533" s="3" t="s">
        <v>23791</v>
      </c>
      <c r="C4533" s="3" t="s">
        <v>188</v>
      </c>
      <c r="D4533" s="3" t="s">
        <v>32</v>
      </c>
      <c r="E4533" s="4" t="s">
        <v>22</v>
      </c>
      <c r="F4533" s="4" t="s">
        <v>23759</v>
      </c>
      <c r="G4533" s="4" t="s">
        <v>23760</v>
      </c>
      <c r="H4533" s="3" t="s">
        <v>23629</v>
      </c>
      <c r="I4533" s="3" t="s">
        <v>23761</v>
      </c>
      <c r="J4533" s="3" t="s">
        <v>23792</v>
      </c>
      <c r="K4533" s="3" t="s">
        <v>23793</v>
      </c>
      <c r="L4533" s="3" t="s">
        <v>23794</v>
      </c>
      <c r="M4533" s="4"/>
      <c r="N4533" s="3" t="s">
        <v>37</v>
      </c>
      <c r="O4533" s="3" t="s">
        <v>38</v>
      </c>
      <c r="P4533" s="5">
        <v>13</v>
      </c>
      <c r="Q4533" s="5">
        <v>408</v>
      </c>
      <c r="R4533" s="5">
        <v>13</v>
      </c>
      <c r="S4533" s="5">
        <v>390</v>
      </c>
    </row>
    <row r="4534" spans="1:19" ht="42" x14ac:dyDescent="0.15">
      <c r="A4534" s="2">
        <f>HYPERLINK("https://open-school.uspishnemisto.com.ua/school/230038/", 230038)</f>
        <v>230038</v>
      </c>
      <c r="B4534" s="3" t="s">
        <v>23795</v>
      </c>
      <c r="C4534" s="3" t="s">
        <v>2128</v>
      </c>
      <c r="D4534" s="3" t="s">
        <v>32</v>
      </c>
      <c r="E4534" s="4" t="s">
        <v>22</v>
      </c>
      <c r="F4534" s="4" t="s">
        <v>23759</v>
      </c>
      <c r="G4534" s="4" t="s">
        <v>23760</v>
      </c>
      <c r="H4534" s="3" t="s">
        <v>23629</v>
      </c>
      <c r="I4534" s="3" t="s">
        <v>23761</v>
      </c>
      <c r="J4534" s="3" t="s">
        <v>23796</v>
      </c>
      <c r="K4534" s="3" t="s">
        <v>23797</v>
      </c>
      <c r="L4534" s="3" t="s">
        <v>23798</v>
      </c>
      <c r="M4534" s="4"/>
      <c r="N4534" s="3" t="s">
        <v>967</v>
      </c>
      <c r="O4534" s="3" t="s">
        <v>46</v>
      </c>
      <c r="P4534" s="5">
        <v>30</v>
      </c>
      <c r="Q4534" s="5">
        <v>838</v>
      </c>
      <c r="R4534" s="5">
        <v>31</v>
      </c>
      <c r="S4534" s="5">
        <v>848</v>
      </c>
    </row>
    <row r="4535" spans="1:19" ht="42" x14ac:dyDescent="0.15">
      <c r="A4535" s="2">
        <f>HYPERLINK("https://open-school.uspishnemisto.com.ua/school/230039/", 230039)</f>
        <v>230039</v>
      </c>
      <c r="B4535" s="3" t="s">
        <v>23799</v>
      </c>
      <c r="C4535" s="3" t="s">
        <v>188</v>
      </c>
      <c r="D4535" s="3" t="s">
        <v>32</v>
      </c>
      <c r="E4535" s="4" t="s">
        <v>22</v>
      </c>
      <c r="F4535" s="4" t="s">
        <v>23759</v>
      </c>
      <c r="G4535" s="4" t="s">
        <v>23760</v>
      </c>
      <c r="H4535" s="3" t="s">
        <v>23629</v>
      </c>
      <c r="I4535" s="3" t="s">
        <v>23761</v>
      </c>
      <c r="J4535" s="3" t="s">
        <v>23800</v>
      </c>
      <c r="K4535" s="3" t="s">
        <v>23801</v>
      </c>
      <c r="L4535" s="3" t="s">
        <v>23802</v>
      </c>
      <c r="M4535" s="4"/>
      <c r="N4535" s="3" t="s">
        <v>37</v>
      </c>
      <c r="O4535" s="3" t="s">
        <v>52</v>
      </c>
      <c r="P4535" s="5">
        <v>9</v>
      </c>
      <c r="Q4535" s="5">
        <v>175</v>
      </c>
      <c r="R4535" s="5">
        <v>8</v>
      </c>
      <c r="S4535" s="5">
        <v>153</v>
      </c>
    </row>
    <row r="4536" spans="1:19" ht="42" x14ac:dyDescent="0.15">
      <c r="A4536" s="2">
        <f>HYPERLINK("https://open-school.uspishnemisto.com.ua/school/230040/", 230040)</f>
        <v>230040</v>
      </c>
      <c r="B4536" s="3" t="s">
        <v>23803</v>
      </c>
      <c r="C4536" s="3" t="s">
        <v>54</v>
      </c>
      <c r="D4536" s="3" t="s">
        <v>32</v>
      </c>
      <c r="E4536" s="4" t="s">
        <v>41</v>
      </c>
      <c r="F4536" s="4" t="s">
        <v>23759</v>
      </c>
      <c r="G4536" s="4" t="s">
        <v>23760</v>
      </c>
      <c r="H4536" s="3" t="s">
        <v>23629</v>
      </c>
      <c r="I4536" s="3" t="s">
        <v>23761</v>
      </c>
      <c r="J4536" s="3" t="s">
        <v>23792</v>
      </c>
      <c r="K4536" s="3" t="s">
        <v>23804</v>
      </c>
      <c r="L4536" s="3" t="s">
        <v>23805</v>
      </c>
      <c r="M4536" s="4"/>
      <c r="N4536" s="3" t="s">
        <v>128</v>
      </c>
      <c r="O4536" s="3" t="s">
        <v>52</v>
      </c>
      <c r="P4536" s="5">
        <v>7</v>
      </c>
      <c r="Q4536" s="5">
        <v>75</v>
      </c>
      <c r="R4536" s="5">
        <v>6</v>
      </c>
      <c r="S4536" s="5">
        <v>67</v>
      </c>
    </row>
    <row r="4537" spans="1:19" ht="42" x14ac:dyDescent="0.15">
      <c r="A4537" s="2">
        <f>HYPERLINK("https://open-school.uspishnemisto.com.ua/school/230041/", 230041)</f>
        <v>230041</v>
      </c>
      <c r="B4537" s="3" t="s">
        <v>23806</v>
      </c>
      <c r="C4537" s="3" t="s">
        <v>188</v>
      </c>
      <c r="D4537" s="3" t="s">
        <v>32</v>
      </c>
      <c r="E4537" s="4" t="s">
        <v>22</v>
      </c>
      <c r="F4537" s="4" t="s">
        <v>23770</v>
      </c>
      <c r="G4537" s="4" t="s">
        <v>23760</v>
      </c>
      <c r="H4537" s="3" t="s">
        <v>23629</v>
      </c>
      <c r="I4537" s="3" t="s">
        <v>23761</v>
      </c>
      <c r="J4537" s="3" t="s">
        <v>23807</v>
      </c>
      <c r="K4537" s="3" t="s">
        <v>23808</v>
      </c>
      <c r="L4537" s="3" t="s">
        <v>23809</v>
      </c>
      <c r="M4537" s="4"/>
      <c r="N4537" s="3" t="s">
        <v>37</v>
      </c>
      <c r="O4537" s="3" t="s">
        <v>38</v>
      </c>
      <c r="P4537" s="5">
        <v>5</v>
      </c>
      <c r="Q4537" s="5">
        <v>134</v>
      </c>
      <c r="R4537" s="5">
        <v>5</v>
      </c>
      <c r="S4537" s="5">
        <v>136</v>
      </c>
    </row>
    <row r="4538" spans="1:19" ht="28" x14ac:dyDescent="0.15">
      <c r="A4538" s="2">
        <f>HYPERLINK("https://open-school.uspishnemisto.com.ua/school/230042/", 230042)</f>
        <v>230042</v>
      </c>
      <c r="B4538" s="3" t="s">
        <v>23810</v>
      </c>
      <c r="C4538" s="3" t="s">
        <v>31</v>
      </c>
      <c r="D4538" s="3" t="s">
        <v>175</v>
      </c>
      <c r="E4538" s="4" t="s">
        <v>22</v>
      </c>
      <c r="F4538" s="4" t="s">
        <v>23811</v>
      </c>
      <c r="G4538" s="4" t="s">
        <v>23812</v>
      </c>
      <c r="H4538" s="3" t="s">
        <v>23629</v>
      </c>
      <c r="I4538" s="3" t="s">
        <v>23813</v>
      </c>
      <c r="J4538" s="3" t="s">
        <v>23814</v>
      </c>
      <c r="K4538" s="3" t="s">
        <v>23815</v>
      </c>
      <c r="L4538" s="3"/>
      <c r="M4538" s="4"/>
      <c r="N4538" s="3" t="s">
        <v>37</v>
      </c>
      <c r="O4538" s="3" t="s">
        <v>38</v>
      </c>
      <c r="P4538" s="5">
        <v>9</v>
      </c>
      <c r="Q4538" s="5">
        <v>201</v>
      </c>
      <c r="R4538" s="5">
        <v>9</v>
      </c>
      <c r="S4538" s="5">
        <v>203</v>
      </c>
    </row>
    <row r="4539" spans="1:19" ht="28" x14ac:dyDescent="0.15">
      <c r="A4539" s="2">
        <f>HYPERLINK("https://open-school.uspishnemisto.com.ua/school/230043/", 230043)</f>
        <v>230043</v>
      </c>
      <c r="B4539" s="3" t="s">
        <v>23816</v>
      </c>
      <c r="C4539" s="3" t="s">
        <v>31</v>
      </c>
      <c r="D4539" s="3" t="s">
        <v>32</v>
      </c>
      <c r="E4539" s="4" t="s">
        <v>22</v>
      </c>
      <c r="F4539" s="4" t="s">
        <v>23817</v>
      </c>
      <c r="G4539" s="4" t="s">
        <v>23812</v>
      </c>
      <c r="H4539" s="3" t="s">
        <v>23629</v>
      </c>
      <c r="I4539" s="3" t="s">
        <v>23813</v>
      </c>
      <c r="J4539" s="3" t="s">
        <v>23818</v>
      </c>
      <c r="K4539" s="3" t="s">
        <v>23819</v>
      </c>
      <c r="L4539" s="3" t="s">
        <v>23820</v>
      </c>
      <c r="M4539" s="4"/>
      <c r="N4539" s="3" t="s">
        <v>37</v>
      </c>
      <c r="O4539" s="3" t="s">
        <v>38</v>
      </c>
      <c r="P4539" s="5">
        <v>11</v>
      </c>
      <c r="Q4539" s="5">
        <v>215</v>
      </c>
      <c r="R4539" s="5">
        <v>11</v>
      </c>
      <c r="S4539" s="5">
        <v>211</v>
      </c>
    </row>
    <row r="4540" spans="1:19" ht="28" x14ac:dyDescent="0.15">
      <c r="A4540" s="2">
        <f>HYPERLINK("https://open-school.uspishnemisto.com.ua/school/230044/", 230044)</f>
        <v>230044</v>
      </c>
      <c r="B4540" s="3" t="s">
        <v>23821</v>
      </c>
      <c r="C4540" s="3" t="s">
        <v>31</v>
      </c>
      <c r="D4540" s="3" t="s">
        <v>175</v>
      </c>
      <c r="E4540" s="4" t="s">
        <v>22</v>
      </c>
      <c r="F4540" s="4" t="s">
        <v>23811</v>
      </c>
      <c r="G4540" s="4" t="s">
        <v>23812</v>
      </c>
      <c r="H4540" s="3" t="s">
        <v>23629</v>
      </c>
      <c r="I4540" s="3" t="s">
        <v>23813</v>
      </c>
      <c r="J4540" s="3" t="s">
        <v>23822</v>
      </c>
      <c r="K4540" s="3" t="s">
        <v>23823</v>
      </c>
      <c r="L4540" s="3"/>
      <c r="M4540" s="4"/>
      <c r="N4540" s="3" t="s">
        <v>37</v>
      </c>
      <c r="O4540" s="3" t="s">
        <v>70</v>
      </c>
      <c r="P4540" s="5">
        <v>9</v>
      </c>
      <c r="Q4540" s="5">
        <v>164</v>
      </c>
      <c r="R4540" s="5">
        <v>9</v>
      </c>
      <c r="S4540" s="5">
        <v>161</v>
      </c>
    </row>
    <row r="4541" spans="1:19" ht="28" x14ac:dyDescent="0.15">
      <c r="A4541" s="2">
        <f>HYPERLINK("https://open-school.uspishnemisto.com.ua/school/230045/", 230045)</f>
        <v>230045</v>
      </c>
      <c r="B4541" s="3" t="s">
        <v>23824</v>
      </c>
      <c r="C4541" s="3" t="s">
        <v>54</v>
      </c>
      <c r="D4541" s="3" t="s">
        <v>175</v>
      </c>
      <c r="E4541" s="4" t="s">
        <v>22</v>
      </c>
      <c r="F4541" s="4" t="s">
        <v>23655</v>
      </c>
      <c r="G4541" s="4" t="s">
        <v>23812</v>
      </c>
      <c r="H4541" s="3" t="s">
        <v>23629</v>
      </c>
      <c r="I4541" s="3" t="s">
        <v>23813</v>
      </c>
      <c r="J4541" s="3" t="s">
        <v>23825</v>
      </c>
      <c r="K4541" s="3" t="s">
        <v>23826</v>
      </c>
      <c r="L4541" s="3"/>
      <c r="M4541" s="4"/>
      <c r="N4541" s="3" t="s">
        <v>37</v>
      </c>
      <c r="O4541" s="3" t="s">
        <v>46</v>
      </c>
      <c r="P4541" s="5">
        <v>9</v>
      </c>
      <c r="Q4541" s="5">
        <v>96</v>
      </c>
      <c r="R4541" s="5">
        <v>9</v>
      </c>
      <c r="S4541" s="5">
        <v>87</v>
      </c>
    </row>
    <row r="4542" spans="1:19" ht="28" x14ac:dyDescent="0.15">
      <c r="A4542" s="2">
        <f>HYPERLINK("https://open-school.uspishnemisto.com.ua/school/230046/", 230046)</f>
        <v>230046</v>
      </c>
      <c r="B4542" s="3" t="s">
        <v>23827</v>
      </c>
      <c r="C4542" s="3" t="s">
        <v>31</v>
      </c>
      <c r="D4542" s="3" t="s">
        <v>32</v>
      </c>
      <c r="E4542" s="4" t="s">
        <v>22</v>
      </c>
      <c r="F4542" s="4" t="s">
        <v>23828</v>
      </c>
      <c r="G4542" s="4" t="s">
        <v>23812</v>
      </c>
      <c r="H4542" s="3" t="s">
        <v>23629</v>
      </c>
      <c r="I4542" s="3" t="s">
        <v>23813</v>
      </c>
      <c r="J4542" s="3" t="s">
        <v>23829</v>
      </c>
      <c r="K4542" s="3" t="s">
        <v>23830</v>
      </c>
      <c r="L4542" s="3" t="s">
        <v>23831</v>
      </c>
      <c r="M4542" s="4"/>
      <c r="N4542" s="3" t="s">
        <v>37</v>
      </c>
      <c r="O4542" s="3" t="s">
        <v>38</v>
      </c>
      <c r="P4542" s="5">
        <v>11</v>
      </c>
      <c r="Q4542" s="5">
        <v>309</v>
      </c>
      <c r="R4542" s="5">
        <v>11</v>
      </c>
      <c r="S4542" s="5">
        <v>302</v>
      </c>
    </row>
    <row r="4543" spans="1:19" ht="28" x14ac:dyDescent="0.15">
      <c r="A4543" s="2">
        <f>HYPERLINK("https://open-school.uspishnemisto.com.ua/school/230047/", 230047)</f>
        <v>230047</v>
      </c>
      <c r="B4543" s="3" t="s">
        <v>23832</v>
      </c>
      <c r="C4543" s="3" t="s">
        <v>31</v>
      </c>
      <c r="D4543" s="3" t="s">
        <v>32</v>
      </c>
      <c r="E4543" s="4" t="s">
        <v>22</v>
      </c>
      <c r="F4543" s="4" t="s">
        <v>23828</v>
      </c>
      <c r="G4543" s="4" t="s">
        <v>23812</v>
      </c>
      <c r="H4543" s="3" t="s">
        <v>23629</v>
      </c>
      <c r="I4543" s="3" t="s">
        <v>23813</v>
      </c>
      <c r="J4543" s="3" t="s">
        <v>23833</v>
      </c>
      <c r="K4543" s="3" t="s">
        <v>23834</v>
      </c>
      <c r="L4543" s="3" t="s">
        <v>23835</v>
      </c>
      <c r="M4543" s="4"/>
      <c r="N4543" s="3" t="s">
        <v>967</v>
      </c>
      <c r="O4543" s="3" t="s">
        <v>52</v>
      </c>
      <c r="P4543" s="5">
        <v>17</v>
      </c>
      <c r="Q4543" s="5">
        <v>444</v>
      </c>
      <c r="R4543" s="5">
        <v>17</v>
      </c>
      <c r="S4543" s="5">
        <v>458</v>
      </c>
    </row>
    <row r="4544" spans="1:19" ht="28" x14ac:dyDescent="0.15">
      <c r="A4544" s="2">
        <f>HYPERLINK("https://open-school.uspishnemisto.com.ua/school/230048/", 230048)</f>
        <v>230048</v>
      </c>
      <c r="B4544" s="3" t="s">
        <v>23836</v>
      </c>
      <c r="C4544" s="3" t="s">
        <v>31</v>
      </c>
      <c r="D4544" s="3" t="s">
        <v>32</v>
      </c>
      <c r="E4544" s="4" t="s">
        <v>22</v>
      </c>
      <c r="F4544" s="4" t="s">
        <v>23650</v>
      </c>
      <c r="G4544" s="4" t="s">
        <v>23812</v>
      </c>
      <c r="H4544" s="3" t="s">
        <v>23629</v>
      </c>
      <c r="I4544" s="3" t="s">
        <v>23813</v>
      </c>
      <c r="J4544" s="3" t="s">
        <v>23837</v>
      </c>
      <c r="K4544" s="3" t="s">
        <v>23838</v>
      </c>
      <c r="L4544" s="3" t="s">
        <v>23839</v>
      </c>
      <c r="M4544" s="4"/>
      <c r="N4544" s="3" t="s">
        <v>37</v>
      </c>
      <c r="O4544" s="3" t="s">
        <v>70</v>
      </c>
      <c r="P4544" s="5">
        <v>24</v>
      </c>
      <c r="Q4544" s="5">
        <v>685</v>
      </c>
      <c r="R4544" s="5">
        <v>23</v>
      </c>
      <c r="S4544" s="5">
        <v>651</v>
      </c>
    </row>
    <row r="4545" spans="1:19" ht="28" x14ac:dyDescent="0.15">
      <c r="A4545" s="2">
        <f>HYPERLINK("https://open-school.uspishnemisto.com.ua/school/230049/", 230049)</f>
        <v>230049</v>
      </c>
      <c r="B4545" s="3" t="s">
        <v>23840</v>
      </c>
      <c r="C4545" s="3" t="s">
        <v>54</v>
      </c>
      <c r="D4545" s="3" t="s">
        <v>60</v>
      </c>
      <c r="E4545" s="4" t="s">
        <v>22</v>
      </c>
      <c r="F4545" s="4" t="s">
        <v>23650</v>
      </c>
      <c r="G4545" s="4" t="s">
        <v>23812</v>
      </c>
      <c r="H4545" s="3" t="s">
        <v>23629</v>
      </c>
      <c r="I4545" s="3" t="s">
        <v>23813</v>
      </c>
      <c r="J4545" s="3" t="s">
        <v>23841</v>
      </c>
      <c r="K4545" s="3" t="s">
        <v>23842</v>
      </c>
      <c r="L4545" s="3" t="s">
        <v>23843</v>
      </c>
      <c r="M4545" s="4"/>
      <c r="N4545" s="3" t="s">
        <v>37</v>
      </c>
      <c r="O4545" s="3" t="s">
        <v>52</v>
      </c>
      <c r="P4545" s="5">
        <v>8</v>
      </c>
      <c r="Q4545" s="5">
        <v>219</v>
      </c>
      <c r="R4545" s="5">
        <v>8</v>
      </c>
      <c r="S4545" s="5">
        <v>219</v>
      </c>
    </row>
    <row r="4546" spans="1:19" ht="28" x14ac:dyDescent="0.15">
      <c r="A4546" s="2">
        <f>HYPERLINK("https://open-school.uspishnemisto.com.ua/school/230050/", 230050)</f>
        <v>230050</v>
      </c>
      <c r="B4546" s="3" t="s">
        <v>23844</v>
      </c>
      <c r="C4546" s="3" t="s">
        <v>54</v>
      </c>
      <c r="D4546" s="3" t="s">
        <v>32</v>
      </c>
      <c r="E4546" s="4" t="s">
        <v>22</v>
      </c>
      <c r="F4546" s="4" t="s">
        <v>23828</v>
      </c>
      <c r="G4546" s="4" t="s">
        <v>23812</v>
      </c>
      <c r="H4546" s="3" t="s">
        <v>23629</v>
      </c>
      <c r="I4546" s="3" t="s">
        <v>23813</v>
      </c>
      <c r="J4546" s="3" t="s">
        <v>23845</v>
      </c>
      <c r="K4546" s="3" t="s">
        <v>23846</v>
      </c>
      <c r="L4546" s="3" t="s">
        <v>23847</v>
      </c>
      <c r="M4546" s="4"/>
      <c r="N4546" s="3" t="s">
        <v>37</v>
      </c>
      <c r="O4546" s="3" t="s">
        <v>197</v>
      </c>
      <c r="P4546" s="5">
        <v>30</v>
      </c>
      <c r="Q4546" s="5">
        <v>888</v>
      </c>
      <c r="R4546" s="5">
        <v>30</v>
      </c>
      <c r="S4546" s="5">
        <v>885</v>
      </c>
    </row>
    <row r="4547" spans="1:19" ht="42" x14ac:dyDescent="0.15">
      <c r="A4547" s="2">
        <f>HYPERLINK("https://open-school.uspishnemisto.com.ua/school/230051/", 230051)</f>
        <v>230051</v>
      </c>
      <c r="B4547" s="3" t="s">
        <v>23848</v>
      </c>
      <c r="C4547" s="3" t="s">
        <v>181</v>
      </c>
      <c r="D4547" s="3" t="s">
        <v>175</v>
      </c>
      <c r="E4547" s="4" t="s">
        <v>22</v>
      </c>
      <c r="F4547" s="4" t="s">
        <v>23828</v>
      </c>
      <c r="G4547" s="4" t="s">
        <v>23812</v>
      </c>
      <c r="H4547" s="3" t="s">
        <v>23629</v>
      </c>
      <c r="I4547" s="3" t="s">
        <v>23813</v>
      </c>
      <c r="J4547" s="3" t="s">
        <v>23849</v>
      </c>
      <c r="K4547" s="3" t="s">
        <v>23850</v>
      </c>
      <c r="L4547" s="3"/>
      <c r="M4547" s="4" t="s">
        <v>23851</v>
      </c>
      <c r="N4547" s="3" t="s">
        <v>37</v>
      </c>
      <c r="O4547" s="3" t="s">
        <v>52</v>
      </c>
      <c r="P4547" s="5">
        <v>21</v>
      </c>
      <c r="Q4547" s="5">
        <v>208</v>
      </c>
      <c r="R4547" s="5">
        <v>21</v>
      </c>
      <c r="S4547" s="5">
        <v>223</v>
      </c>
    </row>
    <row r="4548" spans="1:19" ht="28" x14ac:dyDescent="0.15">
      <c r="A4548" s="2">
        <f>HYPERLINK("https://open-school.uspishnemisto.com.ua/school/230005/", 230005)</f>
        <v>230005</v>
      </c>
      <c r="B4548" s="3" t="s">
        <v>23852</v>
      </c>
      <c r="C4548" s="3" t="s">
        <v>40</v>
      </c>
      <c r="D4548" s="3" t="s">
        <v>32</v>
      </c>
      <c r="E4548" s="4" t="s">
        <v>22</v>
      </c>
      <c r="F4548" s="4" t="s">
        <v>23853</v>
      </c>
      <c r="G4548" s="4" t="s">
        <v>23854</v>
      </c>
      <c r="H4548" s="3" t="s">
        <v>23629</v>
      </c>
      <c r="I4548" s="3" t="s">
        <v>23855</v>
      </c>
      <c r="J4548" s="3" t="s">
        <v>23856</v>
      </c>
      <c r="K4548" s="3" t="s">
        <v>23857</v>
      </c>
      <c r="L4548" s="3" t="s">
        <v>23858</v>
      </c>
      <c r="M4548" s="4" t="s">
        <v>23859</v>
      </c>
      <c r="N4548" s="3" t="s">
        <v>37</v>
      </c>
      <c r="O4548" s="3" t="s">
        <v>70</v>
      </c>
      <c r="P4548" s="5">
        <v>38</v>
      </c>
      <c r="Q4548" s="5">
        <v>1076</v>
      </c>
      <c r="R4548" s="5">
        <v>38</v>
      </c>
      <c r="S4548" s="5">
        <v>1063</v>
      </c>
    </row>
    <row r="4549" spans="1:19" ht="28" x14ac:dyDescent="0.15">
      <c r="A4549" s="2">
        <f>HYPERLINK("https://open-school.uspishnemisto.com.ua/school/230052/", 230052)</f>
        <v>230052</v>
      </c>
      <c r="B4549" s="3" t="s">
        <v>23860</v>
      </c>
      <c r="C4549" s="3" t="s">
        <v>40</v>
      </c>
      <c r="D4549" s="3" t="s">
        <v>32</v>
      </c>
      <c r="E4549" s="4" t="s">
        <v>22</v>
      </c>
      <c r="F4549" s="4" t="s">
        <v>23640</v>
      </c>
      <c r="G4549" s="4" t="s">
        <v>23854</v>
      </c>
      <c r="H4549" s="3" t="s">
        <v>23629</v>
      </c>
      <c r="I4549" s="3" t="s">
        <v>23855</v>
      </c>
      <c r="J4549" s="3" t="s">
        <v>23861</v>
      </c>
      <c r="K4549" s="3" t="s">
        <v>23862</v>
      </c>
      <c r="L4549" s="3" t="s">
        <v>23863</v>
      </c>
      <c r="M4549" s="4"/>
      <c r="N4549" s="3" t="s">
        <v>967</v>
      </c>
      <c r="O4549" s="3" t="s">
        <v>123</v>
      </c>
      <c r="P4549" s="5">
        <v>28</v>
      </c>
      <c r="Q4549" s="5">
        <v>841</v>
      </c>
      <c r="R4549" s="5">
        <v>27</v>
      </c>
      <c r="S4549" s="5">
        <v>816</v>
      </c>
    </row>
    <row r="4550" spans="1:19" ht="28" x14ac:dyDescent="0.15">
      <c r="A4550" s="2">
        <f>HYPERLINK("https://open-school.uspishnemisto.com.ua/school/230053/", 230053)</f>
        <v>230053</v>
      </c>
      <c r="B4550" s="3" t="s">
        <v>23864</v>
      </c>
      <c r="C4550" s="3" t="s">
        <v>31</v>
      </c>
      <c r="D4550" s="3" t="s">
        <v>32</v>
      </c>
      <c r="E4550" s="4" t="s">
        <v>22</v>
      </c>
      <c r="F4550" s="4" t="s">
        <v>23865</v>
      </c>
      <c r="G4550" s="4" t="s">
        <v>23854</v>
      </c>
      <c r="H4550" s="3" t="s">
        <v>23629</v>
      </c>
      <c r="I4550" s="3" t="s">
        <v>23855</v>
      </c>
      <c r="J4550" s="3" t="s">
        <v>23866</v>
      </c>
      <c r="K4550" s="3" t="s">
        <v>23867</v>
      </c>
      <c r="L4550" s="3" t="s">
        <v>23868</v>
      </c>
      <c r="M4550" s="4"/>
      <c r="N4550" s="3" t="s">
        <v>37</v>
      </c>
      <c r="O4550" s="3" t="s">
        <v>38</v>
      </c>
      <c r="P4550" s="5">
        <v>31</v>
      </c>
      <c r="Q4550" s="5">
        <v>910</v>
      </c>
      <c r="R4550" s="5">
        <v>31</v>
      </c>
      <c r="S4550" s="5">
        <v>872</v>
      </c>
    </row>
    <row r="4551" spans="1:19" ht="28" x14ac:dyDescent="0.15">
      <c r="A4551" s="2">
        <f>HYPERLINK("https://open-school.uspishnemisto.com.ua/school/230054/", 230054)</f>
        <v>230054</v>
      </c>
      <c r="B4551" s="3" t="s">
        <v>23869</v>
      </c>
      <c r="C4551" s="3" t="s">
        <v>31</v>
      </c>
      <c r="D4551" s="3" t="s">
        <v>32</v>
      </c>
      <c r="E4551" s="4" t="s">
        <v>22</v>
      </c>
      <c r="F4551" s="4" t="s">
        <v>23870</v>
      </c>
      <c r="G4551" s="4" t="s">
        <v>23854</v>
      </c>
      <c r="H4551" s="3" t="s">
        <v>23629</v>
      </c>
      <c r="I4551" s="3" t="s">
        <v>23855</v>
      </c>
      <c r="J4551" s="3" t="s">
        <v>23871</v>
      </c>
      <c r="K4551" s="3" t="s">
        <v>23872</v>
      </c>
      <c r="L4551" s="3"/>
      <c r="M4551" s="4"/>
      <c r="N4551" s="3" t="s">
        <v>37</v>
      </c>
      <c r="O4551" s="3" t="s">
        <v>38</v>
      </c>
      <c r="P4551" s="5">
        <v>10</v>
      </c>
      <c r="Q4551" s="5">
        <v>177</v>
      </c>
      <c r="R4551" s="5">
        <v>10</v>
      </c>
      <c r="S4551" s="5">
        <v>179</v>
      </c>
    </row>
    <row r="4552" spans="1:19" ht="28" x14ac:dyDescent="0.15">
      <c r="A4552" s="2">
        <f>HYPERLINK("https://open-school.uspishnemisto.com.ua/school/230055/", 230055)</f>
        <v>230055</v>
      </c>
      <c r="B4552" s="3" t="s">
        <v>23873</v>
      </c>
      <c r="C4552" s="3" t="s">
        <v>31</v>
      </c>
      <c r="D4552" s="3" t="s">
        <v>32</v>
      </c>
      <c r="E4552" s="4" t="s">
        <v>22</v>
      </c>
      <c r="F4552" s="4" t="s">
        <v>23870</v>
      </c>
      <c r="G4552" s="4" t="s">
        <v>23854</v>
      </c>
      <c r="H4552" s="3" t="s">
        <v>23629</v>
      </c>
      <c r="I4552" s="3" t="s">
        <v>23855</v>
      </c>
      <c r="J4552" s="3" t="s">
        <v>23874</v>
      </c>
      <c r="K4552" s="3" t="s">
        <v>23875</v>
      </c>
      <c r="L4552" s="3" t="s">
        <v>23876</v>
      </c>
      <c r="M4552" s="4"/>
      <c r="N4552" s="3" t="s">
        <v>37</v>
      </c>
      <c r="O4552" s="3" t="s">
        <v>38</v>
      </c>
      <c r="P4552" s="5">
        <v>9</v>
      </c>
      <c r="Q4552" s="5">
        <v>237</v>
      </c>
      <c r="R4552" s="5">
        <v>9</v>
      </c>
      <c r="S4552" s="5">
        <v>238</v>
      </c>
    </row>
    <row r="4553" spans="1:19" ht="28" x14ac:dyDescent="0.15">
      <c r="A4553" s="2">
        <f>HYPERLINK("https://open-school.uspishnemisto.com.ua/school/230056/", 230056)</f>
        <v>230056</v>
      </c>
      <c r="B4553" s="3" t="s">
        <v>23877</v>
      </c>
      <c r="C4553" s="3" t="s">
        <v>31</v>
      </c>
      <c r="D4553" s="3" t="s">
        <v>32</v>
      </c>
      <c r="E4553" s="4" t="s">
        <v>22</v>
      </c>
      <c r="F4553" s="4" t="s">
        <v>23865</v>
      </c>
      <c r="G4553" s="4" t="s">
        <v>23854</v>
      </c>
      <c r="H4553" s="3" t="s">
        <v>23629</v>
      </c>
      <c r="I4553" s="3" t="s">
        <v>23855</v>
      </c>
      <c r="J4553" s="3" t="s">
        <v>23878</v>
      </c>
      <c r="K4553" s="3" t="s">
        <v>23879</v>
      </c>
      <c r="L4553" s="3" t="s">
        <v>23880</v>
      </c>
      <c r="M4553" s="4"/>
      <c r="N4553" s="3" t="s">
        <v>128</v>
      </c>
      <c r="O4553" s="3" t="s">
        <v>38</v>
      </c>
      <c r="P4553" s="5">
        <v>14</v>
      </c>
      <c r="Q4553" s="5">
        <v>351</v>
      </c>
      <c r="R4553" s="5">
        <v>14</v>
      </c>
      <c r="S4553" s="5">
        <v>339</v>
      </c>
    </row>
    <row r="4554" spans="1:19" ht="28" x14ac:dyDescent="0.15">
      <c r="A4554" s="2">
        <f>HYPERLINK("https://open-school.uspishnemisto.com.ua/school/230057/", 230057)</f>
        <v>230057</v>
      </c>
      <c r="B4554" s="3" t="s">
        <v>23881</v>
      </c>
      <c r="C4554" s="3" t="s">
        <v>31</v>
      </c>
      <c r="D4554" s="3" t="s">
        <v>32</v>
      </c>
      <c r="E4554" s="4" t="s">
        <v>22</v>
      </c>
      <c r="F4554" s="4" t="s">
        <v>23853</v>
      </c>
      <c r="G4554" s="4" t="s">
        <v>23854</v>
      </c>
      <c r="H4554" s="3" t="s">
        <v>23629</v>
      </c>
      <c r="I4554" s="3" t="s">
        <v>23855</v>
      </c>
      <c r="J4554" s="3" t="s">
        <v>23882</v>
      </c>
      <c r="K4554" s="3" t="s">
        <v>23883</v>
      </c>
      <c r="L4554" s="3" t="s">
        <v>23884</v>
      </c>
      <c r="M4554" s="4"/>
      <c r="N4554" s="3" t="s">
        <v>967</v>
      </c>
      <c r="O4554" s="3" t="s">
        <v>46</v>
      </c>
      <c r="P4554" s="5">
        <v>39</v>
      </c>
      <c r="Q4554" s="5">
        <v>1105</v>
      </c>
      <c r="R4554" s="5">
        <v>38</v>
      </c>
      <c r="S4554" s="5">
        <v>1093</v>
      </c>
    </row>
    <row r="4555" spans="1:19" ht="28" x14ac:dyDescent="0.15">
      <c r="A4555" s="2">
        <f>HYPERLINK("https://open-school.uspishnemisto.com.ua/school/230058/", 230058)</f>
        <v>230058</v>
      </c>
      <c r="B4555" s="3" t="s">
        <v>23885</v>
      </c>
      <c r="C4555" s="3" t="s">
        <v>31</v>
      </c>
      <c r="D4555" s="3" t="s">
        <v>32</v>
      </c>
      <c r="E4555" s="4" t="s">
        <v>22</v>
      </c>
      <c r="F4555" s="4" t="s">
        <v>23865</v>
      </c>
      <c r="G4555" s="4" t="s">
        <v>23854</v>
      </c>
      <c r="H4555" s="3" t="s">
        <v>23629</v>
      </c>
      <c r="I4555" s="3" t="s">
        <v>23855</v>
      </c>
      <c r="J4555" s="3" t="s">
        <v>23886</v>
      </c>
      <c r="K4555" s="3" t="s">
        <v>23887</v>
      </c>
      <c r="L4555" s="3" t="s">
        <v>23888</v>
      </c>
      <c r="M4555" s="4"/>
      <c r="N4555" s="3" t="s">
        <v>37</v>
      </c>
      <c r="O4555" s="3" t="s">
        <v>38</v>
      </c>
      <c r="P4555" s="5">
        <v>30</v>
      </c>
      <c r="Q4555" s="5">
        <v>812</v>
      </c>
      <c r="R4555" s="5">
        <v>28</v>
      </c>
      <c r="S4555" s="5">
        <v>778</v>
      </c>
    </row>
    <row r="4556" spans="1:19" ht="28" x14ac:dyDescent="0.15">
      <c r="A4556" s="2">
        <f>HYPERLINK("https://open-school.uspishnemisto.com.ua/school/230059/", 230059)</f>
        <v>230059</v>
      </c>
      <c r="B4556" s="3" t="s">
        <v>23889</v>
      </c>
      <c r="C4556" s="3" t="s">
        <v>54</v>
      </c>
      <c r="D4556" s="3" t="s">
        <v>32</v>
      </c>
      <c r="E4556" s="4" t="s">
        <v>22</v>
      </c>
      <c r="F4556" s="4" t="s">
        <v>23640</v>
      </c>
      <c r="G4556" s="4" t="s">
        <v>23854</v>
      </c>
      <c r="H4556" s="3" t="s">
        <v>23629</v>
      </c>
      <c r="I4556" s="3" t="s">
        <v>23855</v>
      </c>
      <c r="J4556" s="3" t="s">
        <v>23890</v>
      </c>
      <c r="K4556" s="3" t="s">
        <v>23891</v>
      </c>
      <c r="L4556" s="3" t="s">
        <v>23892</v>
      </c>
      <c r="M4556" s="4"/>
      <c r="N4556" s="3" t="s">
        <v>967</v>
      </c>
      <c r="O4556" s="3" t="s">
        <v>2740</v>
      </c>
      <c r="P4556" s="5">
        <v>14</v>
      </c>
      <c r="Q4556" s="5">
        <v>346</v>
      </c>
      <c r="R4556" s="5">
        <v>12</v>
      </c>
      <c r="S4556" s="5">
        <v>318</v>
      </c>
    </row>
    <row r="4557" spans="1:19" ht="28" x14ac:dyDescent="0.15">
      <c r="A4557" s="2">
        <f>HYPERLINK("https://open-school.uspishnemisto.com.ua/school/230060/", 230060)</f>
        <v>230060</v>
      </c>
      <c r="B4557" s="3" t="s">
        <v>23893</v>
      </c>
      <c r="C4557" s="3" t="s">
        <v>31</v>
      </c>
      <c r="D4557" s="3" t="s">
        <v>32</v>
      </c>
      <c r="E4557" s="4" t="s">
        <v>22</v>
      </c>
      <c r="F4557" s="4" t="s">
        <v>23853</v>
      </c>
      <c r="G4557" s="4" t="s">
        <v>23854</v>
      </c>
      <c r="H4557" s="3" t="s">
        <v>23629</v>
      </c>
      <c r="I4557" s="3" t="s">
        <v>23855</v>
      </c>
      <c r="J4557" s="3" t="s">
        <v>23894</v>
      </c>
      <c r="K4557" s="3" t="s">
        <v>23895</v>
      </c>
      <c r="L4557" s="3" t="s">
        <v>23896</v>
      </c>
      <c r="M4557" s="4"/>
      <c r="N4557" s="3" t="s">
        <v>37</v>
      </c>
      <c r="O4557" s="3" t="s">
        <v>721</v>
      </c>
      <c r="P4557" s="5">
        <v>25</v>
      </c>
      <c r="Q4557" s="5">
        <v>610</v>
      </c>
      <c r="R4557" s="5">
        <v>23</v>
      </c>
      <c r="S4557" s="5">
        <v>560</v>
      </c>
    </row>
    <row r="4558" spans="1:19" ht="42" x14ac:dyDescent="0.15">
      <c r="A4558" s="2">
        <f>HYPERLINK("https://open-school.uspishnemisto.com.ua/school/230061/", 230061)</f>
        <v>230061</v>
      </c>
      <c r="B4558" s="3" t="s">
        <v>23897</v>
      </c>
      <c r="C4558" s="3" t="s">
        <v>244</v>
      </c>
      <c r="D4558" s="3" t="s">
        <v>32</v>
      </c>
      <c r="E4558" s="4" t="s">
        <v>22</v>
      </c>
      <c r="F4558" s="4" t="s">
        <v>23865</v>
      </c>
      <c r="G4558" s="4" t="s">
        <v>23854</v>
      </c>
      <c r="H4558" s="3" t="s">
        <v>23629</v>
      </c>
      <c r="I4558" s="3" t="s">
        <v>23855</v>
      </c>
      <c r="J4558" s="3" t="s">
        <v>23898</v>
      </c>
      <c r="K4558" s="3" t="s">
        <v>23899</v>
      </c>
      <c r="L4558" s="3" t="s">
        <v>23900</v>
      </c>
      <c r="M4558" s="4"/>
      <c r="N4558" s="3" t="s">
        <v>967</v>
      </c>
      <c r="O4558" s="3" t="s">
        <v>237</v>
      </c>
      <c r="P4558" s="5">
        <v>32</v>
      </c>
      <c r="Q4558" s="5">
        <v>1013</v>
      </c>
      <c r="R4558" s="5">
        <v>32</v>
      </c>
      <c r="S4558" s="5">
        <v>976</v>
      </c>
    </row>
    <row r="4559" spans="1:19" ht="28" x14ac:dyDescent="0.15">
      <c r="A4559" s="2">
        <f>HYPERLINK("https://open-school.uspishnemisto.com.ua/school/230062/", 230062)</f>
        <v>230062</v>
      </c>
      <c r="B4559" s="3" t="s">
        <v>23901</v>
      </c>
      <c r="C4559" s="3" t="s">
        <v>54</v>
      </c>
      <c r="D4559" s="3" t="s">
        <v>32</v>
      </c>
      <c r="E4559" s="4" t="s">
        <v>22</v>
      </c>
      <c r="F4559" s="4" t="s">
        <v>23870</v>
      </c>
      <c r="G4559" s="4" t="s">
        <v>23854</v>
      </c>
      <c r="H4559" s="3" t="s">
        <v>23629</v>
      </c>
      <c r="I4559" s="3" t="s">
        <v>23855</v>
      </c>
      <c r="J4559" s="3" t="s">
        <v>23902</v>
      </c>
      <c r="K4559" s="3" t="s">
        <v>23903</v>
      </c>
      <c r="L4559" s="3" t="s">
        <v>23904</v>
      </c>
      <c r="M4559" s="4"/>
      <c r="N4559" s="3" t="s">
        <v>128</v>
      </c>
      <c r="O4559" s="3" t="s">
        <v>38</v>
      </c>
      <c r="P4559" s="5">
        <v>21</v>
      </c>
      <c r="Q4559" s="5">
        <v>588</v>
      </c>
      <c r="R4559" s="5">
        <v>21</v>
      </c>
      <c r="S4559" s="5">
        <v>550</v>
      </c>
    </row>
    <row r="4560" spans="1:19" ht="28" x14ac:dyDescent="0.15">
      <c r="A4560" s="2">
        <f>HYPERLINK("https://open-school.uspishnemisto.com.ua/school/230063/", 230063)</f>
        <v>230063</v>
      </c>
      <c r="B4560" s="3" t="s">
        <v>23905</v>
      </c>
      <c r="C4560" s="3" t="s">
        <v>54</v>
      </c>
      <c r="D4560" s="3" t="s">
        <v>32</v>
      </c>
      <c r="E4560" s="4" t="s">
        <v>22</v>
      </c>
      <c r="F4560" s="4" t="s">
        <v>23853</v>
      </c>
      <c r="G4560" s="4" t="s">
        <v>23854</v>
      </c>
      <c r="H4560" s="3" t="s">
        <v>23629</v>
      </c>
      <c r="I4560" s="3" t="s">
        <v>23855</v>
      </c>
      <c r="J4560" s="3" t="s">
        <v>23906</v>
      </c>
      <c r="K4560" s="3" t="s">
        <v>23907</v>
      </c>
      <c r="L4560" s="3" t="s">
        <v>23908</v>
      </c>
      <c r="M4560" s="4"/>
      <c r="N4560" s="3" t="s">
        <v>967</v>
      </c>
      <c r="O4560" s="3" t="s">
        <v>52</v>
      </c>
      <c r="P4560" s="5">
        <v>19</v>
      </c>
      <c r="Q4560" s="5">
        <v>444</v>
      </c>
      <c r="R4560" s="5">
        <v>18</v>
      </c>
      <c r="S4560" s="5">
        <v>448</v>
      </c>
    </row>
    <row r="4561" spans="1:19" ht="28" x14ac:dyDescent="0.15">
      <c r="A4561" s="2">
        <f>HYPERLINK("https://open-school.uspishnemisto.com.ua/school/230064/", 230064)</f>
        <v>230064</v>
      </c>
      <c r="B4561" s="3" t="s">
        <v>23909</v>
      </c>
      <c r="C4561" s="3" t="s">
        <v>40</v>
      </c>
      <c r="D4561" s="3" t="s">
        <v>32</v>
      </c>
      <c r="E4561" s="4" t="s">
        <v>22</v>
      </c>
      <c r="F4561" s="4" t="s">
        <v>23634</v>
      </c>
      <c r="G4561" s="4" t="s">
        <v>23910</v>
      </c>
      <c r="H4561" s="3" t="s">
        <v>23629</v>
      </c>
      <c r="I4561" s="3" t="s">
        <v>23911</v>
      </c>
      <c r="J4561" s="3" t="s">
        <v>23912</v>
      </c>
      <c r="K4561" s="3" t="s">
        <v>23913</v>
      </c>
      <c r="L4561" s="3" t="s">
        <v>23914</v>
      </c>
      <c r="M4561" s="4"/>
      <c r="N4561" s="3" t="s">
        <v>37</v>
      </c>
      <c r="O4561" s="3" t="s">
        <v>197</v>
      </c>
      <c r="P4561" s="5">
        <v>31</v>
      </c>
      <c r="Q4561" s="5">
        <v>883</v>
      </c>
      <c r="R4561" s="5">
        <v>31</v>
      </c>
      <c r="S4561" s="5">
        <v>886</v>
      </c>
    </row>
    <row r="4562" spans="1:19" ht="28" x14ac:dyDescent="0.15">
      <c r="A4562" s="2">
        <f>HYPERLINK("https://open-school.uspishnemisto.com.ua/school/230065/", 230065)</f>
        <v>230065</v>
      </c>
      <c r="B4562" s="3" t="s">
        <v>23915</v>
      </c>
      <c r="C4562" s="3" t="s">
        <v>31</v>
      </c>
      <c r="D4562" s="3" t="s">
        <v>32</v>
      </c>
      <c r="E4562" s="4" t="s">
        <v>22</v>
      </c>
      <c r="F4562" s="4" t="s">
        <v>23755</v>
      </c>
      <c r="G4562" s="4" t="s">
        <v>23910</v>
      </c>
      <c r="H4562" s="3" t="s">
        <v>23629</v>
      </c>
      <c r="I4562" s="3" t="s">
        <v>23911</v>
      </c>
      <c r="J4562" s="3" t="s">
        <v>23916</v>
      </c>
      <c r="K4562" s="3" t="s">
        <v>23917</v>
      </c>
      <c r="L4562" s="3" t="s">
        <v>23918</v>
      </c>
      <c r="M4562" s="4"/>
      <c r="N4562" s="3" t="s">
        <v>967</v>
      </c>
      <c r="O4562" s="3" t="s">
        <v>52</v>
      </c>
      <c r="P4562" s="5">
        <v>11</v>
      </c>
      <c r="Q4562" s="5">
        <v>269</v>
      </c>
      <c r="R4562" s="5">
        <v>11</v>
      </c>
      <c r="S4562" s="5">
        <v>271</v>
      </c>
    </row>
    <row r="4563" spans="1:19" ht="42" x14ac:dyDescent="0.15">
      <c r="A4563" s="2">
        <f>HYPERLINK("https://open-school.uspishnemisto.com.ua/school/230066/", 230066)</f>
        <v>230066</v>
      </c>
      <c r="B4563" s="3" t="s">
        <v>23919</v>
      </c>
      <c r="C4563" s="3" t="s">
        <v>31</v>
      </c>
      <c r="D4563" s="3" t="s">
        <v>32</v>
      </c>
      <c r="E4563" s="4" t="s">
        <v>22</v>
      </c>
      <c r="F4563" s="4" t="s">
        <v>23755</v>
      </c>
      <c r="G4563" s="4" t="s">
        <v>23910</v>
      </c>
      <c r="H4563" s="3" t="s">
        <v>23629</v>
      </c>
      <c r="I4563" s="3" t="s">
        <v>23911</v>
      </c>
      <c r="J4563" s="3" t="s">
        <v>23920</v>
      </c>
      <c r="K4563" s="3" t="s">
        <v>23921</v>
      </c>
      <c r="L4563" s="3" t="s">
        <v>23922</v>
      </c>
      <c r="M4563" s="4"/>
      <c r="N4563" s="3" t="s">
        <v>37</v>
      </c>
      <c r="O4563" s="3" t="s">
        <v>70</v>
      </c>
      <c r="P4563" s="5">
        <v>11</v>
      </c>
      <c r="Q4563" s="5">
        <v>217</v>
      </c>
      <c r="R4563" s="5">
        <v>11</v>
      </c>
      <c r="S4563" s="5">
        <v>212</v>
      </c>
    </row>
    <row r="4564" spans="1:19" ht="28" x14ac:dyDescent="0.15">
      <c r="A4564" s="2">
        <f>HYPERLINK("https://open-school.uspishnemisto.com.ua/school/230067/", 230067)</f>
        <v>230067</v>
      </c>
      <c r="B4564" s="3" t="s">
        <v>23923</v>
      </c>
      <c r="C4564" s="3" t="s">
        <v>31</v>
      </c>
      <c r="D4564" s="3" t="s">
        <v>32</v>
      </c>
      <c r="E4564" s="4" t="s">
        <v>22</v>
      </c>
      <c r="F4564" s="4" t="s">
        <v>23634</v>
      </c>
      <c r="G4564" s="4" t="s">
        <v>23910</v>
      </c>
      <c r="H4564" s="3" t="s">
        <v>23629</v>
      </c>
      <c r="I4564" s="3" t="s">
        <v>23911</v>
      </c>
      <c r="J4564" s="3" t="s">
        <v>23924</v>
      </c>
      <c r="K4564" s="3" t="s">
        <v>23925</v>
      </c>
      <c r="L4564" s="3" t="s">
        <v>23926</v>
      </c>
      <c r="M4564" s="4"/>
      <c r="N4564" s="3" t="s">
        <v>37</v>
      </c>
      <c r="O4564" s="3" t="s">
        <v>38</v>
      </c>
      <c r="P4564" s="5">
        <v>11</v>
      </c>
      <c r="Q4564" s="5">
        <v>301</v>
      </c>
      <c r="R4564" s="5">
        <v>11</v>
      </c>
      <c r="S4564" s="5">
        <v>292</v>
      </c>
    </row>
    <row r="4565" spans="1:19" ht="28" x14ac:dyDescent="0.15">
      <c r="A4565" s="2">
        <f>HYPERLINK("https://open-school.uspishnemisto.com.ua/school/230068/", 230068)</f>
        <v>230068</v>
      </c>
      <c r="B4565" s="3" t="s">
        <v>23927</v>
      </c>
      <c r="C4565" s="3" t="s">
        <v>31</v>
      </c>
      <c r="D4565" s="3" t="s">
        <v>32</v>
      </c>
      <c r="E4565" s="4" t="s">
        <v>22</v>
      </c>
      <c r="F4565" s="4" t="s">
        <v>23744</v>
      </c>
      <c r="G4565" s="4" t="s">
        <v>23910</v>
      </c>
      <c r="H4565" s="3" t="s">
        <v>23629</v>
      </c>
      <c r="I4565" s="3" t="s">
        <v>23911</v>
      </c>
      <c r="J4565" s="3" t="s">
        <v>23928</v>
      </c>
      <c r="K4565" s="3" t="s">
        <v>23929</v>
      </c>
      <c r="L4565" s="3" t="s">
        <v>23930</v>
      </c>
      <c r="M4565" s="4"/>
      <c r="N4565" s="3" t="s">
        <v>967</v>
      </c>
      <c r="O4565" s="3" t="s">
        <v>46</v>
      </c>
      <c r="P4565" s="5">
        <v>35</v>
      </c>
      <c r="Q4565" s="5">
        <v>972</v>
      </c>
      <c r="R4565" s="5">
        <v>33</v>
      </c>
      <c r="S4565" s="5">
        <v>948</v>
      </c>
    </row>
    <row r="4566" spans="1:19" ht="28" x14ac:dyDescent="0.15">
      <c r="A4566" s="2">
        <f>HYPERLINK("https://open-school.uspishnemisto.com.ua/school/230069/", 230069)</f>
        <v>230069</v>
      </c>
      <c r="B4566" s="3" t="s">
        <v>23931</v>
      </c>
      <c r="C4566" s="3" t="s">
        <v>31</v>
      </c>
      <c r="D4566" s="3" t="s">
        <v>32</v>
      </c>
      <c r="E4566" s="4" t="s">
        <v>22</v>
      </c>
      <c r="F4566" s="4" t="s">
        <v>23684</v>
      </c>
      <c r="G4566" s="4" t="s">
        <v>23910</v>
      </c>
      <c r="H4566" s="3" t="s">
        <v>23629</v>
      </c>
      <c r="I4566" s="3" t="s">
        <v>23911</v>
      </c>
      <c r="J4566" s="3" t="s">
        <v>23932</v>
      </c>
      <c r="K4566" s="3" t="s">
        <v>23933</v>
      </c>
      <c r="L4566" s="3" t="s">
        <v>23934</v>
      </c>
      <c r="M4566" s="4"/>
      <c r="N4566" s="3" t="s">
        <v>37</v>
      </c>
      <c r="O4566" s="3" t="s">
        <v>46</v>
      </c>
      <c r="P4566" s="5">
        <v>26</v>
      </c>
      <c r="Q4566" s="5">
        <v>759</v>
      </c>
      <c r="R4566" s="5">
        <v>25</v>
      </c>
      <c r="S4566" s="5">
        <v>747</v>
      </c>
    </row>
    <row r="4567" spans="1:19" ht="28" x14ac:dyDescent="0.15">
      <c r="A4567" s="2">
        <f>HYPERLINK("https://open-school.uspishnemisto.com.ua/school/230070/", 230070)</f>
        <v>230070</v>
      </c>
      <c r="B4567" s="3" t="s">
        <v>23935</v>
      </c>
      <c r="C4567" s="3" t="s">
        <v>31</v>
      </c>
      <c r="D4567" s="3" t="s">
        <v>32</v>
      </c>
      <c r="E4567" s="4" t="s">
        <v>22</v>
      </c>
      <c r="F4567" s="4" t="s">
        <v>23936</v>
      </c>
      <c r="G4567" s="4" t="s">
        <v>23910</v>
      </c>
      <c r="H4567" s="3" t="s">
        <v>23629</v>
      </c>
      <c r="I4567" s="3" t="s">
        <v>23911</v>
      </c>
      <c r="J4567" s="3" t="s">
        <v>23937</v>
      </c>
      <c r="K4567" s="3" t="s">
        <v>23938</v>
      </c>
      <c r="L4567" s="3" t="s">
        <v>23939</v>
      </c>
      <c r="M4567" s="4"/>
      <c r="N4567" s="3" t="s">
        <v>37</v>
      </c>
      <c r="O4567" s="3" t="s">
        <v>23940</v>
      </c>
      <c r="P4567" s="5">
        <v>26</v>
      </c>
      <c r="Q4567" s="5">
        <v>721</v>
      </c>
      <c r="R4567" s="5">
        <v>26</v>
      </c>
      <c r="S4567" s="5">
        <v>704</v>
      </c>
    </row>
    <row r="4568" spans="1:19" ht="28" x14ac:dyDescent="0.15">
      <c r="A4568" s="2">
        <f>HYPERLINK("https://open-school.uspishnemisto.com.ua/school/230071/", 230071)</f>
        <v>230071</v>
      </c>
      <c r="B4568" s="3" t="s">
        <v>23941</v>
      </c>
      <c r="C4568" s="3" t="s">
        <v>31</v>
      </c>
      <c r="D4568" s="3" t="s">
        <v>32</v>
      </c>
      <c r="E4568" s="4" t="s">
        <v>22</v>
      </c>
      <c r="F4568" s="4" t="s">
        <v>23684</v>
      </c>
      <c r="G4568" s="4" t="s">
        <v>23910</v>
      </c>
      <c r="H4568" s="3" t="s">
        <v>23629</v>
      </c>
      <c r="I4568" s="3" t="s">
        <v>23911</v>
      </c>
      <c r="J4568" s="3" t="s">
        <v>23942</v>
      </c>
      <c r="K4568" s="3" t="s">
        <v>23943</v>
      </c>
      <c r="L4568" s="3" t="s">
        <v>23944</v>
      </c>
      <c r="M4568" s="4"/>
      <c r="N4568" s="3" t="s">
        <v>37</v>
      </c>
      <c r="O4568" s="3" t="s">
        <v>70</v>
      </c>
      <c r="P4568" s="5">
        <v>26</v>
      </c>
      <c r="Q4568" s="5">
        <v>744</v>
      </c>
      <c r="R4568" s="5">
        <v>25</v>
      </c>
      <c r="S4568" s="5">
        <v>701</v>
      </c>
    </row>
    <row r="4569" spans="1:19" ht="28" x14ac:dyDescent="0.15">
      <c r="A4569" s="2">
        <f>HYPERLINK("https://open-school.uspishnemisto.com.ua/school/230072/", 230072)</f>
        <v>230072</v>
      </c>
      <c r="B4569" s="3" t="s">
        <v>23945</v>
      </c>
      <c r="C4569" s="3" t="s">
        <v>31</v>
      </c>
      <c r="D4569" s="3" t="s">
        <v>32</v>
      </c>
      <c r="E4569" s="4" t="s">
        <v>22</v>
      </c>
      <c r="F4569" s="4" t="s">
        <v>23946</v>
      </c>
      <c r="G4569" s="4" t="s">
        <v>23910</v>
      </c>
      <c r="H4569" s="3" t="s">
        <v>23629</v>
      </c>
      <c r="I4569" s="3" t="s">
        <v>23911</v>
      </c>
      <c r="J4569" s="3" t="s">
        <v>23947</v>
      </c>
      <c r="K4569" s="3" t="s">
        <v>23948</v>
      </c>
      <c r="L4569" s="3" t="s">
        <v>23949</v>
      </c>
      <c r="M4569" s="4"/>
      <c r="N4569" s="3" t="s">
        <v>128</v>
      </c>
      <c r="O4569" s="3" t="s">
        <v>70</v>
      </c>
      <c r="P4569" s="5">
        <v>15</v>
      </c>
      <c r="Q4569" s="5">
        <v>306</v>
      </c>
      <c r="R4569" s="5">
        <v>15</v>
      </c>
      <c r="S4569" s="5">
        <v>311</v>
      </c>
    </row>
    <row r="4570" spans="1:19" ht="28" x14ac:dyDescent="0.15">
      <c r="A4570" s="2">
        <f>HYPERLINK("https://open-school.uspishnemisto.com.ua/school/230073/", 230073)</f>
        <v>230073</v>
      </c>
      <c r="B4570" s="3" t="s">
        <v>23950</v>
      </c>
      <c r="C4570" s="3" t="s">
        <v>31</v>
      </c>
      <c r="D4570" s="3" t="s">
        <v>32</v>
      </c>
      <c r="E4570" s="4" t="s">
        <v>22</v>
      </c>
      <c r="F4570" s="4" t="s">
        <v>23936</v>
      </c>
      <c r="G4570" s="4" t="s">
        <v>23910</v>
      </c>
      <c r="H4570" s="3" t="s">
        <v>23629</v>
      </c>
      <c r="I4570" s="3" t="s">
        <v>23911</v>
      </c>
      <c r="J4570" s="3" t="s">
        <v>23951</v>
      </c>
      <c r="K4570" s="3" t="s">
        <v>23952</v>
      </c>
      <c r="L4570" s="3" t="s">
        <v>23953</v>
      </c>
      <c r="M4570" s="4"/>
      <c r="N4570" s="3" t="s">
        <v>967</v>
      </c>
      <c r="O4570" s="3" t="s">
        <v>52</v>
      </c>
      <c r="P4570" s="5">
        <v>12</v>
      </c>
      <c r="Q4570" s="5">
        <v>283</v>
      </c>
      <c r="R4570" s="5">
        <v>11</v>
      </c>
      <c r="S4570" s="5">
        <v>273</v>
      </c>
    </row>
    <row r="4571" spans="1:19" ht="28" x14ac:dyDescent="0.15">
      <c r="A4571" s="2">
        <f>HYPERLINK("https://open-school.uspishnemisto.com.ua/school/230074/", 230074)</f>
        <v>230074</v>
      </c>
      <c r="B4571" s="3" t="s">
        <v>23954</v>
      </c>
      <c r="C4571" s="3" t="s">
        <v>244</v>
      </c>
      <c r="D4571" s="3" t="s">
        <v>32</v>
      </c>
      <c r="E4571" s="4" t="s">
        <v>22</v>
      </c>
      <c r="F4571" s="4" t="s">
        <v>23744</v>
      </c>
      <c r="G4571" s="4" t="s">
        <v>23910</v>
      </c>
      <c r="H4571" s="3" t="s">
        <v>23629</v>
      </c>
      <c r="I4571" s="3" t="s">
        <v>23911</v>
      </c>
      <c r="J4571" s="3" t="s">
        <v>23955</v>
      </c>
      <c r="K4571" s="3"/>
      <c r="L4571" s="3" t="s">
        <v>23956</v>
      </c>
      <c r="M4571" s="4"/>
      <c r="N4571" s="3" t="s">
        <v>37</v>
      </c>
      <c r="O4571" s="3" t="s">
        <v>721</v>
      </c>
      <c r="P4571" s="5">
        <v>34</v>
      </c>
      <c r="Q4571" s="5">
        <v>1031</v>
      </c>
      <c r="R4571" s="5">
        <v>33</v>
      </c>
      <c r="S4571" s="5">
        <v>958</v>
      </c>
    </row>
    <row r="4572" spans="1:19" ht="42" x14ac:dyDescent="0.15">
      <c r="A4572" s="2">
        <f>HYPERLINK("https://open-school.uspishnemisto.com.ua/school/230075/", 230075)</f>
        <v>230075</v>
      </c>
      <c r="B4572" s="3" t="s">
        <v>23957</v>
      </c>
      <c r="C4572" s="3" t="s">
        <v>244</v>
      </c>
      <c r="D4572" s="3" t="s">
        <v>32</v>
      </c>
      <c r="E4572" s="4" t="s">
        <v>22</v>
      </c>
      <c r="F4572" s="4" t="s">
        <v>23755</v>
      </c>
      <c r="G4572" s="4" t="s">
        <v>23910</v>
      </c>
      <c r="H4572" s="3" t="s">
        <v>23629</v>
      </c>
      <c r="I4572" s="3" t="s">
        <v>23911</v>
      </c>
      <c r="J4572" s="3" t="s">
        <v>23958</v>
      </c>
      <c r="K4572" s="3" t="s">
        <v>23959</v>
      </c>
      <c r="L4572" s="3" t="s">
        <v>23960</v>
      </c>
      <c r="M4572" s="4"/>
      <c r="N4572" s="3" t="s">
        <v>37</v>
      </c>
      <c r="O4572" s="3" t="s">
        <v>70</v>
      </c>
      <c r="P4572" s="5">
        <v>27</v>
      </c>
      <c r="Q4572" s="5">
        <v>719</v>
      </c>
      <c r="R4572" s="5">
        <v>28</v>
      </c>
      <c r="S4572" s="5">
        <v>730</v>
      </c>
    </row>
    <row r="4573" spans="1:19" ht="28" x14ac:dyDescent="0.15">
      <c r="A4573" s="2">
        <f>HYPERLINK("https://open-school.uspishnemisto.com.ua/school/230076/", 230076)</f>
        <v>230076</v>
      </c>
      <c r="B4573" s="3" t="s">
        <v>23961</v>
      </c>
      <c r="C4573" s="3" t="s">
        <v>188</v>
      </c>
      <c r="D4573" s="3" t="s">
        <v>32</v>
      </c>
      <c r="E4573" s="4" t="s">
        <v>22</v>
      </c>
      <c r="F4573" s="4" t="s">
        <v>23634</v>
      </c>
      <c r="G4573" s="4" t="s">
        <v>23910</v>
      </c>
      <c r="H4573" s="3" t="s">
        <v>23629</v>
      </c>
      <c r="I4573" s="3" t="s">
        <v>23911</v>
      </c>
      <c r="J4573" s="3" t="s">
        <v>23962</v>
      </c>
      <c r="K4573" s="3" t="s">
        <v>23963</v>
      </c>
      <c r="L4573" s="3" t="s">
        <v>23964</v>
      </c>
      <c r="M4573" s="4"/>
      <c r="N4573" s="3" t="s">
        <v>967</v>
      </c>
      <c r="O4573" s="3" t="s">
        <v>46</v>
      </c>
      <c r="P4573" s="5">
        <v>26</v>
      </c>
      <c r="Q4573" s="5">
        <v>721</v>
      </c>
      <c r="R4573" s="5">
        <v>26</v>
      </c>
      <c r="S4573" s="5">
        <v>737</v>
      </c>
    </row>
    <row r="4574" spans="1:19" ht="28" x14ac:dyDescent="0.15">
      <c r="A4574" s="2">
        <f>HYPERLINK("https://open-school.uspishnemisto.com.ua/school/230077/", 230077)</f>
        <v>230077</v>
      </c>
      <c r="B4574" s="3" t="s">
        <v>23965</v>
      </c>
      <c r="C4574" s="3" t="s">
        <v>2128</v>
      </c>
      <c r="D4574" s="3" t="s">
        <v>32</v>
      </c>
      <c r="E4574" s="4" t="s">
        <v>22</v>
      </c>
      <c r="F4574" s="4" t="s">
        <v>23727</v>
      </c>
      <c r="G4574" s="4" t="s">
        <v>23910</v>
      </c>
      <c r="H4574" s="3" t="s">
        <v>23629</v>
      </c>
      <c r="I4574" s="3" t="s">
        <v>23911</v>
      </c>
      <c r="J4574" s="3" t="s">
        <v>23966</v>
      </c>
      <c r="K4574" s="3" t="s">
        <v>23967</v>
      </c>
      <c r="L4574" s="3" t="s">
        <v>23968</v>
      </c>
      <c r="M4574" s="4"/>
      <c r="N4574" s="3" t="s">
        <v>37</v>
      </c>
      <c r="O4574" s="3" t="s">
        <v>70</v>
      </c>
      <c r="P4574" s="5">
        <v>41</v>
      </c>
      <c r="Q4574" s="5">
        <v>1238</v>
      </c>
      <c r="R4574" s="5">
        <v>39</v>
      </c>
      <c r="S4574" s="5">
        <v>1201</v>
      </c>
    </row>
    <row r="4575" spans="1:19" ht="42" x14ac:dyDescent="0.15">
      <c r="A4575" s="2">
        <f>HYPERLINK("https://open-school.uspishnemisto.com.ua/school/230078/", 230078)</f>
        <v>230078</v>
      </c>
      <c r="B4575" s="3" t="s">
        <v>23969</v>
      </c>
      <c r="C4575" s="3" t="s">
        <v>54</v>
      </c>
      <c r="D4575" s="3" t="s">
        <v>60</v>
      </c>
      <c r="E4575" s="4" t="s">
        <v>22</v>
      </c>
      <c r="F4575" s="4" t="s">
        <v>23936</v>
      </c>
      <c r="G4575" s="4" t="s">
        <v>23910</v>
      </c>
      <c r="H4575" s="3" t="s">
        <v>23629</v>
      </c>
      <c r="I4575" s="3" t="s">
        <v>23911</v>
      </c>
      <c r="J4575" s="3" t="s">
        <v>23970</v>
      </c>
      <c r="K4575" s="3" t="s">
        <v>23971</v>
      </c>
      <c r="L4575" s="3"/>
      <c r="M4575" s="4"/>
      <c r="N4575" s="3" t="s">
        <v>37</v>
      </c>
      <c r="O4575" s="3" t="s">
        <v>38</v>
      </c>
      <c r="P4575" s="5">
        <v>4</v>
      </c>
      <c r="Q4575" s="5">
        <v>88</v>
      </c>
      <c r="R4575" s="5">
        <v>4</v>
      </c>
      <c r="S4575" s="5">
        <v>86</v>
      </c>
    </row>
    <row r="4576" spans="1:19" ht="42" x14ac:dyDescent="0.15">
      <c r="A4576" s="2">
        <f>HYPERLINK("https://open-school.uspishnemisto.com.ua/school/230079/", 230079)</f>
        <v>230079</v>
      </c>
      <c r="B4576" s="3" t="s">
        <v>23972</v>
      </c>
      <c r="C4576" s="3" t="s">
        <v>54</v>
      </c>
      <c r="D4576" s="3" t="s">
        <v>21</v>
      </c>
      <c r="E4576" s="4" t="s">
        <v>22</v>
      </c>
      <c r="F4576" s="4" t="s">
        <v>23679</v>
      </c>
      <c r="G4576" s="4" t="s">
        <v>23910</v>
      </c>
      <c r="H4576" s="3" t="s">
        <v>23629</v>
      </c>
      <c r="I4576" s="3" t="s">
        <v>23911</v>
      </c>
      <c r="J4576" s="3" t="s">
        <v>23973</v>
      </c>
      <c r="K4576" s="3" t="s">
        <v>23974</v>
      </c>
      <c r="L4576" s="3"/>
      <c r="M4576" s="4"/>
      <c r="N4576" s="3" t="s">
        <v>967</v>
      </c>
      <c r="O4576" s="3" t="s">
        <v>46</v>
      </c>
      <c r="P4576" s="5">
        <v>2</v>
      </c>
      <c r="Q4576" s="5">
        <v>39</v>
      </c>
      <c r="R4576" s="5">
        <v>2</v>
      </c>
      <c r="S4576" s="5">
        <v>39</v>
      </c>
    </row>
    <row r="4577" spans="1:19" ht="42" x14ac:dyDescent="0.15">
      <c r="A4577" s="2">
        <f>HYPERLINK("https://open-school.uspishnemisto.com.ua/school/230080/", 230080)</f>
        <v>230080</v>
      </c>
      <c r="B4577" s="3" t="s">
        <v>23975</v>
      </c>
      <c r="C4577" s="3" t="s">
        <v>293</v>
      </c>
      <c r="D4577" s="3" t="s">
        <v>21</v>
      </c>
      <c r="E4577" s="4" t="s">
        <v>22</v>
      </c>
      <c r="F4577" s="4" t="s">
        <v>23936</v>
      </c>
      <c r="G4577" s="4" t="s">
        <v>23910</v>
      </c>
      <c r="H4577" s="3" t="s">
        <v>23629</v>
      </c>
      <c r="I4577" s="3" t="s">
        <v>23911</v>
      </c>
      <c r="J4577" s="3" t="s">
        <v>23976</v>
      </c>
      <c r="K4577" s="3" t="s">
        <v>23977</v>
      </c>
      <c r="L4577" s="3" t="s">
        <v>23978</v>
      </c>
      <c r="M4577" s="4" t="s">
        <v>23979</v>
      </c>
      <c r="N4577" s="3" t="s">
        <v>37</v>
      </c>
      <c r="O4577" s="3" t="s">
        <v>46</v>
      </c>
      <c r="P4577" s="5">
        <v>16</v>
      </c>
      <c r="Q4577" s="5">
        <v>299</v>
      </c>
      <c r="R4577" s="5">
        <v>13</v>
      </c>
      <c r="S4577" s="5">
        <v>273</v>
      </c>
    </row>
    <row r="4578" spans="1:19" ht="28" x14ac:dyDescent="0.15">
      <c r="A4578" s="2">
        <f>HYPERLINK("https://open-school.uspishnemisto.com.ua/school/230081/", 230081)</f>
        <v>230081</v>
      </c>
      <c r="B4578" s="3" t="s">
        <v>23980</v>
      </c>
      <c r="C4578" s="3" t="s">
        <v>244</v>
      </c>
      <c r="D4578" s="3" t="s">
        <v>32</v>
      </c>
      <c r="E4578" s="4" t="s">
        <v>41</v>
      </c>
      <c r="F4578" s="4" t="s">
        <v>23744</v>
      </c>
      <c r="G4578" s="4" t="s">
        <v>23910</v>
      </c>
      <c r="H4578" s="3" t="s">
        <v>23629</v>
      </c>
      <c r="I4578" s="3" t="s">
        <v>23911</v>
      </c>
      <c r="J4578" s="3" t="s">
        <v>23981</v>
      </c>
      <c r="K4578" s="3" t="s">
        <v>23982</v>
      </c>
      <c r="L4578" s="3" t="s">
        <v>23983</v>
      </c>
      <c r="M4578" s="4"/>
      <c r="N4578" s="3" t="s">
        <v>967</v>
      </c>
      <c r="O4578" s="3" t="s">
        <v>8629</v>
      </c>
      <c r="P4578" s="5">
        <v>9</v>
      </c>
      <c r="Q4578" s="5">
        <v>115</v>
      </c>
      <c r="R4578" s="5">
        <v>9</v>
      </c>
      <c r="S4578" s="5">
        <v>98</v>
      </c>
    </row>
    <row r="4579" spans="1:19" ht="42" x14ac:dyDescent="0.15">
      <c r="A4579" s="2">
        <f>HYPERLINK("https://open-school.uspishnemisto.com.ua/school/230025/", 230025)</f>
        <v>230025</v>
      </c>
      <c r="B4579" s="3" t="s">
        <v>23984</v>
      </c>
      <c r="C4579" s="3" t="s">
        <v>293</v>
      </c>
      <c r="D4579" s="3" t="s">
        <v>32</v>
      </c>
      <c r="E4579" s="4" t="s">
        <v>22</v>
      </c>
      <c r="F4579" s="4" t="s">
        <v>23985</v>
      </c>
      <c r="G4579" s="4" t="s">
        <v>23986</v>
      </c>
      <c r="H4579" s="3" t="s">
        <v>23629</v>
      </c>
      <c r="I4579" s="3" t="s">
        <v>23987</v>
      </c>
      <c r="J4579" s="3" t="s">
        <v>23988</v>
      </c>
      <c r="K4579" s="3" t="s">
        <v>23989</v>
      </c>
      <c r="L4579" s="3" t="s">
        <v>23990</v>
      </c>
      <c r="M4579" s="4" t="s">
        <v>23991</v>
      </c>
      <c r="N4579" s="3" t="s">
        <v>37</v>
      </c>
      <c r="O4579" s="3" t="s">
        <v>52</v>
      </c>
      <c r="P4579" s="5">
        <v>10</v>
      </c>
      <c r="Q4579" s="5">
        <v>177</v>
      </c>
      <c r="R4579" s="5">
        <v>10</v>
      </c>
      <c r="S4579" s="5">
        <v>176</v>
      </c>
    </row>
    <row r="4580" spans="1:19" ht="42" x14ac:dyDescent="0.15">
      <c r="A4580" s="2">
        <f>HYPERLINK("https://open-school.uspishnemisto.com.ua/school/230083/", 230083)</f>
        <v>230083</v>
      </c>
      <c r="B4580" s="3" t="s">
        <v>23992</v>
      </c>
      <c r="C4580" s="3" t="s">
        <v>40</v>
      </c>
      <c r="D4580" s="3" t="s">
        <v>32</v>
      </c>
      <c r="E4580" s="4" t="s">
        <v>22</v>
      </c>
      <c r="F4580" s="4" t="s">
        <v>23993</v>
      </c>
      <c r="G4580" s="4" t="s">
        <v>23986</v>
      </c>
      <c r="H4580" s="3" t="s">
        <v>23629</v>
      </c>
      <c r="I4580" s="3" t="s">
        <v>23987</v>
      </c>
      <c r="J4580" s="3" t="s">
        <v>23994</v>
      </c>
      <c r="K4580" s="3" t="s">
        <v>23995</v>
      </c>
      <c r="L4580" s="3" t="s">
        <v>23996</v>
      </c>
      <c r="M4580" s="4"/>
      <c r="N4580" s="3" t="s">
        <v>967</v>
      </c>
      <c r="O4580" s="3" t="s">
        <v>46</v>
      </c>
      <c r="P4580" s="5">
        <v>17</v>
      </c>
      <c r="Q4580" s="5">
        <v>326</v>
      </c>
      <c r="R4580" s="5">
        <v>17</v>
      </c>
      <c r="S4580" s="5">
        <v>316</v>
      </c>
    </row>
    <row r="4581" spans="1:19" ht="42" x14ac:dyDescent="0.15">
      <c r="A4581" s="2">
        <f>HYPERLINK("https://open-school.uspishnemisto.com.ua/school/230084/", 230084)</f>
        <v>230084</v>
      </c>
      <c r="B4581" s="3" t="s">
        <v>23997</v>
      </c>
      <c r="C4581" s="3" t="s">
        <v>40</v>
      </c>
      <c r="D4581" s="3" t="s">
        <v>32</v>
      </c>
      <c r="E4581" s="4" t="s">
        <v>22</v>
      </c>
      <c r="F4581" s="4" t="s">
        <v>23712</v>
      </c>
      <c r="G4581" s="4" t="s">
        <v>23986</v>
      </c>
      <c r="H4581" s="3" t="s">
        <v>23629</v>
      </c>
      <c r="I4581" s="3" t="s">
        <v>23987</v>
      </c>
      <c r="J4581" s="3" t="s">
        <v>23998</v>
      </c>
      <c r="K4581" s="3" t="s">
        <v>23999</v>
      </c>
      <c r="L4581" s="3" t="s">
        <v>24000</v>
      </c>
      <c r="M4581" s="4"/>
      <c r="N4581" s="3" t="s">
        <v>37</v>
      </c>
      <c r="O4581" s="3" t="s">
        <v>123</v>
      </c>
      <c r="P4581" s="5">
        <v>20</v>
      </c>
      <c r="Q4581" s="5">
        <v>510</v>
      </c>
      <c r="R4581" s="5">
        <v>20</v>
      </c>
      <c r="S4581" s="5">
        <v>494</v>
      </c>
    </row>
    <row r="4582" spans="1:19" ht="42" x14ac:dyDescent="0.15">
      <c r="A4582" s="2">
        <f>HYPERLINK("https://open-school.uspishnemisto.com.ua/school/230085/", 230085)</f>
        <v>230085</v>
      </c>
      <c r="B4582" s="3" t="s">
        <v>24001</v>
      </c>
      <c r="C4582" s="3" t="s">
        <v>40</v>
      </c>
      <c r="D4582" s="3" t="s">
        <v>32</v>
      </c>
      <c r="E4582" s="4" t="s">
        <v>22</v>
      </c>
      <c r="F4582" s="4" t="s">
        <v>23993</v>
      </c>
      <c r="G4582" s="4" t="s">
        <v>23986</v>
      </c>
      <c r="H4582" s="3" t="s">
        <v>23629</v>
      </c>
      <c r="I4582" s="3" t="s">
        <v>23987</v>
      </c>
      <c r="J4582" s="3" t="s">
        <v>24002</v>
      </c>
      <c r="K4582" s="3" t="s">
        <v>24003</v>
      </c>
      <c r="L4582" s="3" t="s">
        <v>24004</v>
      </c>
      <c r="M4582" s="4"/>
      <c r="N4582" s="3" t="s">
        <v>967</v>
      </c>
      <c r="O4582" s="3" t="s">
        <v>52</v>
      </c>
      <c r="P4582" s="5">
        <v>29</v>
      </c>
      <c r="Q4582" s="5">
        <v>868</v>
      </c>
      <c r="R4582" s="5">
        <v>29</v>
      </c>
      <c r="S4582" s="5">
        <v>864</v>
      </c>
    </row>
    <row r="4583" spans="1:19" ht="42" x14ac:dyDescent="0.15">
      <c r="A4583" s="2">
        <f>HYPERLINK("https://open-school.uspishnemisto.com.ua/school/230086/", 230086)</f>
        <v>230086</v>
      </c>
      <c r="B4583" s="3" t="s">
        <v>24005</v>
      </c>
      <c r="C4583" s="3" t="s">
        <v>40</v>
      </c>
      <c r="D4583" s="3" t="s">
        <v>32</v>
      </c>
      <c r="E4583" s="4" t="s">
        <v>22</v>
      </c>
      <c r="F4583" s="4" t="s">
        <v>23993</v>
      </c>
      <c r="G4583" s="4" t="s">
        <v>23986</v>
      </c>
      <c r="H4583" s="3" t="s">
        <v>23629</v>
      </c>
      <c r="I4583" s="3" t="s">
        <v>23987</v>
      </c>
      <c r="J4583" s="3" t="s">
        <v>24006</v>
      </c>
      <c r="K4583" s="3" t="s">
        <v>24007</v>
      </c>
      <c r="L4583" s="3" t="s">
        <v>24008</v>
      </c>
      <c r="M4583" s="4"/>
      <c r="N4583" s="3" t="s">
        <v>967</v>
      </c>
      <c r="O4583" s="3" t="s">
        <v>123</v>
      </c>
      <c r="P4583" s="5">
        <v>32</v>
      </c>
      <c r="Q4583" s="5">
        <v>1016</v>
      </c>
      <c r="R4583" s="5">
        <v>32</v>
      </c>
      <c r="S4583" s="5">
        <v>1003</v>
      </c>
    </row>
    <row r="4584" spans="1:19" ht="42" x14ac:dyDescent="0.15">
      <c r="A4584" s="2">
        <f>HYPERLINK("https://open-school.uspishnemisto.com.ua/school/230087/", 230087)</f>
        <v>230087</v>
      </c>
      <c r="B4584" s="3" t="s">
        <v>24009</v>
      </c>
      <c r="C4584" s="3" t="s">
        <v>40</v>
      </c>
      <c r="D4584" s="3" t="s">
        <v>32</v>
      </c>
      <c r="E4584" s="4" t="s">
        <v>22</v>
      </c>
      <c r="F4584" s="4" t="s">
        <v>23993</v>
      </c>
      <c r="G4584" s="4" t="s">
        <v>23986</v>
      </c>
      <c r="H4584" s="3" t="s">
        <v>23629</v>
      </c>
      <c r="I4584" s="3" t="s">
        <v>23987</v>
      </c>
      <c r="J4584" s="3" t="s">
        <v>24010</v>
      </c>
      <c r="K4584" s="3" t="s">
        <v>24011</v>
      </c>
      <c r="L4584" s="3" t="s">
        <v>24012</v>
      </c>
      <c r="M4584" s="4"/>
      <c r="N4584" s="3" t="s">
        <v>967</v>
      </c>
      <c r="O4584" s="3" t="s">
        <v>8629</v>
      </c>
      <c r="P4584" s="5">
        <v>20</v>
      </c>
      <c r="Q4584" s="5">
        <v>399</v>
      </c>
      <c r="R4584" s="5">
        <v>19</v>
      </c>
      <c r="S4584" s="5">
        <v>382</v>
      </c>
    </row>
    <row r="4585" spans="1:19" ht="42" x14ac:dyDescent="0.15">
      <c r="A4585" s="2">
        <f>HYPERLINK("https://open-school.uspishnemisto.com.ua/school/230088/", 230088)</f>
        <v>230088</v>
      </c>
      <c r="B4585" s="3" t="s">
        <v>24013</v>
      </c>
      <c r="C4585" s="3" t="s">
        <v>31</v>
      </c>
      <c r="D4585" s="3" t="s">
        <v>32</v>
      </c>
      <c r="E4585" s="4" t="s">
        <v>22</v>
      </c>
      <c r="F4585" s="4" t="s">
        <v>23712</v>
      </c>
      <c r="G4585" s="4" t="s">
        <v>23986</v>
      </c>
      <c r="H4585" s="3" t="s">
        <v>23629</v>
      </c>
      <c r="I4585" s="3" t="s">
        <v>23987</v>
      </c>
      <c r="J4585" s="3" t="s">
        <v>24014</v>
      </c>
      <c r="K4585" s="3" t="s">
        <v>24015</v>
      </c>
      <c r="L4585" s="3" t="s">
        <v>24016</v>
      </c>
      <c r="M4585" s="4"/>
      <c r="N4585" s="3" t="s">
        <v>37</v>
      </c>
      <c r="O4585" s="3" t="s">
        <v>123</v>
      </c>
      <c r="P4585" s="5">
        <v>20</v>
      </c>
      <c r="Q4585" s="5">
        <v>452</v>
      </c>
      <c r="R4585" s="5">
        <v>20</v>
      </c>
      <c r="S4585" s="5">
        <v>461</v>
      </c>
    </row>
    <row r="4586" spans="1:19" ht="42" x14ac:dyDescent="0.15">
      <c r="A4586" s="2">
        <f>HYPERLINK("https://open-school.uspishnemisto.com.ua/school/230089/", 230089)</f>
        <v>230089</v>
      </c>
      <c r="B4586" s="3" t="s">
        <v>24017</v>
      </c>
      <c r="C4586" s="3" t="s">
        <v>31</v>
      </c>
      <c r="D4586" s="3" t="s">
        <v>32</v>
      </c>
      <c r="E4586" s="4" t="s">
        <v>22</v>
      </c>
      <c r="F4586" s="4" t="s">
        <v>24018</v>
      </c>
      <c r="G4586" s="4" t="s">
        <v>23986</v>
      </c>
      <c r="H4586" s="3" t="s">
        <v>23629</v>
      </c>
      <c r="I4586" s="3" t="s">
        <v>23987</v>
      </c>
      <c r="J4586" s="3" t="s">
        <v>24019</v>
      </c>
      <c r="K4586" s="3" t="s">
        <v>24020</v>
      </c>
      <c r="L4586" s="3" t="s">
        <v>24021</v>
      </c>
      <c r="M4586" s="4"/>
      <c r="N4586" s="3" t="s">
        <v>37</v>
      </c>
      <c r="O4586" s="3" t="s">
        <v>70</v>
      </c>
      <c r="P4586" s="5">
        <v>18</v>
      </c>
      <c r="Q4586" s="5">
        <v>457</v>
      </c>
      <c r="R4586" s="5">
        <v>18</v>
      </c>
      <c r="S4586" s="5">
        <v>423</v>
      </c>
    </row>
    <row r="4587" spans="1:19" ht="42" x14ac:dyDescent="0.15">
      <c r="A4587" s="2">
        <f>HYPERLINK("https://open-school.uspishnemisto.com.ua/school/230090/", 230090)</f>
        <v>230090</v>
      </c>
      <c r="B4587" s="3" t="s">
        <v>24022</v>
      </c>
      <c r="C4587" s="3" t="s">
        <v>54</v>
      </c>
      <c r="D4587" s="3" t="s">
        <v>32</v>
      </c>
      <c r="E4587" s="4" t="s">
        <v>22</v>
      </c>
      <c r="F4587" s="4" t="s">
        <v>24023</v>
      </c>
      <c r="G4587" s="4" t="s">
        <v>23986</v>
      </c>
      <c r="H4587" s="3" t="s">
        <v>23629</v>
      </c>
      <c r="I4587" s="3" t="s">
        <v>23987</v>
      </c>
      <c r="J4587" s="3" t="s">
        <v>24024</v>
      </c>
      <c r="K4587" s="3" t="s">
        <v>24025</v>
      </c>
      <c r="L4587" s="3"/>
      <c r="M4587" s="4"/>
      <c r="N4587" s="3" t="s">
        <v>967</v>
      </c>
      <c r="O4587" s="3" t="s">
        <v>46</v>
      </c>
      <c r="P4587" s="5">
        <v>16</v>
      </c>
      <c r="Q4587" s="5">
        <v>364</v>
      </c>
      <c r="R4587" s="5">
        <v>15</v>
      </c>
      <c r="S4587" s="5">
        <v>361</v>
      </c>
    </row>
    <row r="4588" spans="1:19" ht="42" x14ac:dyDescent="0.15">
      <c r="A4588" s="2">
        <f>HYPERLINK("https://open-school.uspishnemisto.com.ua/school/230091/", 230091)</f>
        <v>230091</v>
      </c>
      <c r="B4588" s="3" t="s">
        <v>24026</v>
      </c>
      <c r="C4588" s="3" t="s">
        <v>31</v>
      </c>
      <c r="D4588" s="3" t="s">
        <v>32</v>
      </c>
      <c r="E4588" s="4" t="s">
        <v>22</v>
      </c>
      <c r="F4588" s="4" t="s">
        <v>23985</v>
      </c>
      <c r="G4588" s="4" t="s">
        <v>23986</v>
      </c>
      <c r="H4588" s="3" t="s">
        <v>23629</v>
      </c>
      <c r="I4588" s="3" t="s">
        <v>23987</v>
      </c>
      <c r="J4588" s="3" t="s">
        <v>24027</v>
      </c>
      <c r="K4588" s="3" t="s">
        <v>24028</v>
      </c>
      <c r="L4588" s="3" t="s">
        <v>24029</v>
      </c>
      <c r="M4588" s="4"/>
      <c r="N4588" s="3" t="s">
        <v>37</v>
      </c>
      <c r="O4588" s="3" t="s">
        <v>70</v>
      </c>
      <c r="P4588" s="5">
        <v>10</v>
      </c>
      <c r="Q4588" s="5">
        <v>262</v>
      </c>
      <c r="R4588" s="5">
        <v>12</v>
      </c>
      <c r="S4588" s="5">
        <v>307</v>
      </c>
    </row>
    <row r="4589" spans="1:19" ht="42" x14ac:dyDescent="0.15">
      <c r="A4589" s="2">
        <f>HYPERLINK("https://open-school.uspishnemisto.com.ua/school/230092/", 230092)</f>
        <v>230092</v>
      </c>
      <c r="B4589" s="3" t="s">
        <v>24030</v>
      </c>
      <c r="C4589" s="3" t="s">
        <v>31</v>
      </c>
      <c r="D4589" s="3" t="s">
        <v>32</v>
      </c>
      <c r="E4589" s="4" t="s">
        <v>22</v>
      </c>
      <c r="F4589" s="4" t="s">
        <v>23712</v>
      </c>
      <c r="G4589" s="4" t="s">
        <v>23986</v>
      </c>
      <c r="H4589" s="3" t="s">
        <v>23629</v>
      </c>
      <c r="I4589" s="3" t="s">
        <v>23987</v>
      </c>
      <c r="J4589" s="3" t="s">
        <v>24031</v>
      </c>
      <c r="K4589" s="3" t="s">
        <v>24032</v>
      </c>
      <c r="L4589" s="3" t="s">
        <v>24033</v>
      </c>
      <c r="M4589" s="4"/>
      <c r="N4589" s="3" t="s">
        <v>37</v>
      </c>
      <c r="O4589" s="3" t="s">
        <v>46</v>
      </c>
      <c r="P4589" s="5">
        <v>18</v>
      </c>
      <c r="Q4589" s="5">
        <v>413</v>
      </c>
      <c r="R4589" s="5">
        <v>17</v>
      </c>
      <c r="S4589" s="5">
        <v>403</v>
      </c>
    </row>
    <row r="4590" spans="1:19" ht="42" x14ac:dyDescent="0.15">
      <c r="A4590" s="2">
        <f>HYPERLINK("https://open-school.uspishnemisto.com.ua/school/230093/", 230093)</f>
        <v>230093</v>
      </c>
      <c r="B4590" s="3" t="s">
        <v>24034</v>
      </c>
      <c r="C4590" s="3" t="s">
        <v>31</v>
      </c>
      <c r="D4590" s="3" t="s">
        <v>32</v>
      </c>
      <c r="E4590" s="4" t="s">
        <v>22</v>
      </c>
      <c r="F4590" s="4" t="s">
        <v>24035</v>
      </c>
      <c r="G4590" s="4" t="s">
        <v>23986</v>
      </c>
      <c r="H4590" s="3" t="s">
        <v>23629</v>
      </c>
      <c r="I4590" s="3" t="s">
        <v>23987</v>
      </c>
      <c r="J4590" s="3" t="s">
        <v>24036</v>
      </c>
      <c r="K4590" s="3" t="s">
        <v>24037</v>
      </c>
      <c r="L4590" s="3"/>
      <c r="M4590" s="4"/>
      <c r="N4590" s="3" t="s">
        <v>37</v>
      </c>
      <c r="O4590" s="3" t="s">
        <v>38</v>
      </c>
      <c r="P4590" s="5">
        <v>9</v>
      </c>
      <c r="Q4590" s="5">
        <v>258</v>
      </c>
      <c r="R4590" s="5">
        <v>9</v>
      </c>
      <c r="S4590" s="5">
        <v>233</v>
      </c>
    </row>
    <row r="4591" spans="1:19" ht="42" x14ac:dyDescent="0.15">
      <c r="A4591" s="2">
        <f>HYPERLINK("https://open-school.uspishnemisto.com.ua/school/230094/", 230094)</f>
        <v>230094</v>
      </c>
      <c r="B4591" s="3" t="s">
        <v>24038</v>
      </c>
      <c r="C4591" s="3" t="s">
        <v>31</v>
      </c>
      <c r="D4591" s="3" t="s">
        <v>32</v>
      </c>
      <c r="E4591" s="4" t="s">
        <v>22</v>
      </c>
      <c r="F4591" s="4" t="s">
        <v>23985</v>
      </c>
      <c r="G4591" s="4" t="s">
        <v>23986</v>
      </c>
      <c r="H4591" s="3" t="s">
        <v>23629</v>
      </c>
      <c r="I4591" s="3" t="s">
        <v>23987</v>
      </c>
      <c r="J4591" s="3" t="s">
        <v>24039</v>
      </c>
      <c r="K4591" s="3" t="s">
        <v>24040</v>
      </c>
      <c r="L4591" s="3" t="s">
        <v>24041</v>
      </c>
      <c r="M4591" s="4"/>
      <c r="N4591" s="3" t="s">
        <v>37</v>
      </c>
      <c r="O4591" s="3" t="s">
        <v>38</v>
      </c>
      <c r="P4591" s="5">
        <v>8</v>
      </c>
      <c r="Q4591" s="5">
        <v>172</v>
      </c>
      <c r="R4591" s="5">
        <v>7</v>
      </c>
      <c r="S4591" s="5">
        <v>158</v>
      </c>
    </row>
    <row r="4592" spans="1:19" ht="42" x14ac:dyDescent="0.15">
      <c r="A4592" s="2">
        <f>HYPERLINK("https://open-school.uspishnemisto.com.ua/school/230095/", 230095)</f>
        <v>230095</v>
      </c>
      <c r="B4592" s="3" t="s">
        <v>24042</v>
      </c>
      <c r="C4592" s="3" t="s">
        <v>31</v>
      </c>
      <c r="D4592" s="3" t="s">
        <v>32</v>
      </c>
      <c r="E4592" s="4" t="s">
        <v>22</v>
      </c>
      <c r="F4592" s="4" t="s">
        <v>24035</v>
      </c>
      <c r="G4592" s="4" t="s">
        <v>23986</v>
      </c>
      <c r="H4592" s="3" t="s">
        <v>23629</v>
      </c>
      <c r="I4592" s="3" t="s">
        <v>23987</v>
      </c>
      <c r="J4592" s="3" t="s">
        <v>24043</v>
      </c>
      <c r="K4592" s="3" t="s">
        <v>24044</v>
      </c>
      <c r="L4592" s="3" t="s">
        <v>24045</v>
      </c>
      <c r="M4592" s="4"/>
      <c r="N4592" s="3" t="s">
        <v>37</v>
      </c>
      <c r="O4592" s="3" t="s">
        <v>70</v>
      </c>
      <c r="P4592" s="5">
        <v>9</v>
      </c>
      <c r="Q4592" s="5">
        <v>233</v>
      </c>
      <c r="R4592" s="5">
        <v>10</v>
      </c>
      <c r="S4592" s="5">
        <v>245</v>
      </c>
    </row>
    <row r="4593" spans="1:19" ht="42" x14ac:dyDescent="0.15">
      <c r="A4593" s="2">
        <f>HYPERLINK("https://open-school.uspishnemisto.com.ua/school/230096/", 230096)</f>
        <v>230096</v>
      </c>
      <c r="B4593" s="3" t="s">
        <v>24046</v>
      </c>
      <c r="C4593" s="3" t="s">
        <v>244</v>
      </c>
      <c r="D4593" s="3" t="s">
        <v>32</v>
      </c>
      <c r="E4593" s="4" t="s">
        <v>22</v>
      </c>
      <c r="F4593" s="4" t="s">
        <v>24047</v>
      </c>
      <c r="G4593" s="4" t="s">
        <v>23986</v>
      </c>
      <c r="H4593" s="3" t="s">
        <v>23629</v>
      </c>
      <c r="I4593" s="3" t="s">
        <v>23987</v>
      </c>
      <c r="J4593" s="3" t="s">
        <v>24048</v>
      </c>
      <c r="K4593" s="3" t="s">
        <v>24049</v>
      </c>
      <c r="L4593" s="3" t="s">
        <v>24050</v>
      </c>
      <c r="M4593" s="4"/>
      <c r="N4593" s="3" t="s">
        <v>37</v>
      </c>
      <c r="O4593" s="3" t="s">
        <v>721</v>
      </c>
      <c r="P4593" s="5">
        <v>21</v>
      </c>
      <c r="Q4593" s="5">
        <v>582</v>
      </c>
      <c r="R4593" s="5">
        <v>21</v>
      </c>
      <c r="S4593" s="5">
        <v>576</v>
      </c>
    </row>
    <row r="4594" spans="1:19" ht="42" x14ac:dyDescent="0.15">
      <c r="A4594" s="2">
        <f>HYPERLINK("https://open-school.uspishnemisto.com.ua/school/230097/", 230097)</f>
        <v>230097</v>
      </c>
      <c r="B4594" s="3" t="s">
        <v>24051</v>
      </c>
      <c r="C4594" s="3" t="s">
        <v>40</v>
      </c>
      <c r="D4594" s="3" t="s">
        <v>32</v>
      </c>
      <c r="E4594" s="4" t="s">
        <v>22</v>
      </c>
      <c r="F4594" s="4" t="s">
        <v>23712</v>
      </c>
      <c r="G4594" s="4" t="s">
        <v>23986</v>
      </c>
      <c r="H4594" s="3" t="s">
        <v>23629</v>
      </c>
      <c r="I4594" s="3" t="s">
        <v>23987</v>
      </c>
      <c r="J4594" s="3" t="s">
        <v>23713</v>
      </c>
      <c r="K4594" s="3" t="s">
        <v>24052</v>
      </c>
      <c r="L4594" s="3" t="s">
        <v>24053</v>
      </c>
      <c r="M4594" s="4"/>
      <c r="N4594" s="3" t="s">
        <v>967</v>
      </c>
      <c r="O4594" s="3" t="s">
        <v>52</v>
      </c>
      <c r="P4594" s="5">
        <v>20</v>
      </c>
      <c r="Q4594" s="5">
        <v>545</v>
      </c>
      <c r="R4594" s="5">
        <v>21</v>
      </c>
      <c r="S4594" s="5">
        <v>535</v>
      </c>
    </row>
    <row r="4595" spans="1:19" ht="42" x14ac:dyDescent="0.15">
      <c r="A4595" s="2">
        <f>HYPERLINK("https://open-school.uspishnemisto.com.ua/school/230098/", 230098)</f>
        <v>230098</v>
      </c>
      <c r="B4595" s="3" t="s">
        <v>24054</v>
      </c>
      <c r="C4595" s="3" t="s">
        <v>188</v>
      </c>
      <c r="D4595" s="3" t="s">
        <v>32</v>
      </c>
      <c r="E4595" s="4" t="s">
        <v>22</v>
      </c>
      <c r="F4595" s="4" t="s">
        <v>23993</v>
      </c>
      <c r="G4595" s="4" t="s">
        <v>23986</v>
      </c>
      <c r="H4595" s="3" t="s">
        <v>23629</v>
      </c>
      <c r="I4595" s="3" t="s">
        <v>23987</v>
      </c>
      <c r="J4595" s="3" t="s">
        <v>24055</v>
      </c>
      <c r="K4595" s="3" t="s">
        <v>24056</v>
      </c>
      <c r="L4595" s="3"/>
      <c r="M4595" s="4"/>
      <c r="N4595" s="3" t="s">
        <v>967</v>
      </c>
      <c r="O4595" s="3" t="s">
        <v>2740</v>
      </c>
      <c r="P4595" s="5">
        <v>20</v>
      </c>
      <c r="Q4595" s="5">
        <v>559</v>
      </c>
      <c r="R4595" s="5">
        <v>20</v>
      </c>
      <c r="S4595" s="5">
        <v>556</v>
      </c>
    </row>
    <row r="4596" spans="1:19" ht="42" x14ac:dyDescent="0.15">
      <c r="A4596" s="2">
        <f>HYPERLINK("https://open-school.uspishnemisto.com.ua/school/230099/", 230099)</f>
        <v>230099</v>
      </c>
      <c r="B4596" s="3" t="s">
        <v>24057</v>
      </c>
      <c r="C4596" s="3" t="s">
        <v>188</v>
      </c>
      <c r="D4596" s="3" t="s">
        <v>32</v>
      </c>
      <c r="E4596" s="4" t="s">
        <v>22</v>
      </c>
      <c r="F4596" s="4" t="s">
        <v>23993</v>
      </c>
      <c r="G4596" s="4" t="s">
        <v>23986</v>
      </c>
      <c r="H4596" s="3" t="s">
        <v>23629</v>
      </c>
      <c r="I4596" s="3" t="s">
        <v>23987</v>
      </c>
      <c r="J4596" s="3" t="s">
        <v>24058</v>
      </c>
      <c r="K4596" s="3" t="s">
        <v>24059</v>
      </c>
      <c r="L4596" s="3" t="s">
        <v>24060</v>
      </c>
      <c r="M4596" s="4"/>
      <c r="N4596" s="3" t="s">
        <v>967</v>
      </c>
      <c r="O4596" s="3" t="s">
        <v>123</v>
      </c>
      <c r="P4596" s="5">
        <v>33</v>
      </c>
      <c r="Q4596" s="5">
        <v>730</v>
      </c>
      <c r="R4596" s="5">
        <v>32</v>
      </c>
      <c r="S4596" s="5">
        <v>677</v>
      </c>
    </row>
    <row r="4597" spans="1:19" ht="42" x14ac:dyDescent="0.15">
      <c r="A4597" s="2">
        <f>HYPERLINK("https://open-school.uspishnemisto.com.ua/school/230100/", 230100)</f>
        <v>230100</v>
      </c>
      <c r="B4597" s="3" t="s">
        <v>24061</v>
      </c>
      <c r="C4597" s="3" t="s">
        <v>54</v>
      </c>
      <c r="D4597" s="3" t="s">
        <v>32</v>
      </c>
      <c r="E4597" s="4" t="s">
        <v>22</v>
      </c>
      <c r="F4597" s="4" t="s">
        <v>23627</v>
      </c>
      <c r="G4597" s="4" t="s">
        <v>23986</v>
      </c>
      <c r="H4597" s="3" t="s">
        <v>23629</v>
      </c>
      <c r="I4597" s="3" t="s">
        <v>23987</v>
      </c>
      <c r="J4597" s="3" t="s">
        <v>24062</v>
      </c>
      <c r="K4597" s="3" t="s">
        <v>24063</v>
      </c>
      <c r="L4597" s="3" t="s">
        <v>24064</v>
      </c>
      <c r="M4597" s="4"/>
      <c r="N4597" s="3" t="s">
        <v>37</v>
      </c>
      <c r="O4597" s="3" t="s">
        <v>38</v>
      </c>
      <c r="P4597" s="5">
        <v>18</v>
      </c>
      <c r="Q4597" s="5">
        <v>409</v>
      </c>
      <c r="R4597" s="5">
        <v>18</v>
      </c>
      <c r="S4597" s="5">
        <v>408</v>
      </c>
    </row>
    <row r="4598" spans="1:19" ht="42" x14ac:dyDescent="0.15">
      <c r="A4598" s="2">
        <f>HYPERLINK("https://open-school.uspishnemisto.com.ua/school/230101/", 230101)</f>
        <v>230101</v>
      </c>
      <c r="B4598" s="3" t="s">
        <v>24065</v>
      </c>
      <c r="C4598" s="3" t="s">
        <v>181</v>
      </c>
      <c r="D4598" s="3" t="s">
        <v>32</v>
      </c>
      <c r="E4598" s="4" t="s">
        <v>22</v>
      </c>
      <c r="F4598" s="4" t="s">
        <v>23985</v>
      </c>
      <c r="G4598" s="4" t="s">
        <v>23986</v>
      </c>
      <c r="H4598" s="3" t="s">
        <v>23629</v>
      </c>
      <c r="I4598" s="3" t="s">
        <v>23987</v>
      </c>
      <c r="J4598" s="3" t="s">
        <v>24066</v>
      </c>
      <c r="K4598" s="3" t="s">
        <v>24067</v>
      </c>
      <c r="L4598" s="3" t="s">
        <v>24068</v>
      </c>
      <c r="M4598" s="4" t="s">
        <v>24069</v>
      </c>
      <c r="N4598" s="3" t="s">
        <v>37</v>
      </c>
      <c r="O4598" s="3" t="s">
        <v>52</v>
      </c>
      <c r="P4598" s="5">
        <v>24</v>
      </c>
      <c r="Q4598" s="5">
        <v>247</v>
      </c>
      <c r="R4598" s="5">
        <v>26</v>
      </c>
      <c r="S4598" s="5">
        <v>269</v>
      </c>
    </row>
    <row r="4599" spans="1:19" ht="42" x14ac:dyDescent="0.15">
      <c r="A4599" s="2">
        <f>HYPERLINK("https://open-school.uspishnemisto.com.ua/school/230102/", 230102)</f>
        <v>230102</v>
      </c>
      <c r="B4599" s="3" t="s">
        <v>24070</v>
      </c>
      <c r="C4599" s="3" t="s">
        <v>31</v>
      </c>
      <c r="D4599" s="3" t="s">
        <v>32</v>
      </c>
      <c r="E4599" s="4" t="s">
        <v>41</v>
      </c>
      <c r="F4599" s="4" t="s">
        <v>24018</v>
      </c>
      <c r="G4599" s="4" t="s">
        <v>23986</v>
      </c>
      <c r="H4599" s="3" t="s">
        <v>23629</v>
      </c>
      <c r="I4599" s="3" t="s">
        <v>23987</v>
      </c>
      <c r="J4599" s="3" t="s">
        <v>24071</v>
      </c>
      <c r="K4599" s="3" t="s">
        <v>24072</v>
      </c>
      <c r="L4599" s="3" t="s">
        <v>24073</v>
      </c>
      <c r="M4599" s="4"/>
      <c r="N4599" s="3" t="s">
        <v>967</v>
      </c>
      <c r="O4599" s="3" t="s">
        <v>46</v>
      </c>
      <c r="P4599" s="5">
        <v>14</v>
      </c>
      <c r="Q4599" s="5">
        <v>147</v>
      </c>
      <c r="R4599" s="5">
        <v>13</v>
      </c>
      <c r="S4599" s="5">
        <v>120</v>
      </c>
    </row>
    <row r="4600" spans="1:19" ht="28" x14ac:dyDescent="0.15">
      <c r="A4600" s="2">
        <f>HYPERLINK("https://open-school.uspishnemisto.com.ua/school/230103/", 230103)</f>
        <v>230103</v>
      </c>
      <c r="B4600" s="3" t="s">
        <v>24074</v>
      </c>
      <c r="C4600" s="3" t="s">
        <v>40</v>
      </c>
      <c r="D4600" s="3" t="s">
        <v>32</v>
      </c>
      <c r="E4600" s="4" t="s">
        <v>22</v>
      </c>
      <c r="F4600" s="4" t="s">
        <v>24075</v>
      </c>
      <c r="G4600" s="4" t="s">
        <v>24076</v>
      </c>
      <c r="H4600" s="3" t="s">
        <v>23629</v>
      </c>
      <c r="I4600" s="3" t="s">
        <v>24077</v>
      </c>
      <c r="J4600" s="3" t="s">
        <v>24078</v>
      </c>
      <c r="K4600" s="3" t="s">
        <v>24079</v>
      </c>
      <c r="L4600" s="3" t="s">
        <v>24080</v>
      </c>
      <c r="M4600" s="4"/>
      <c r="N4600" s="3" t="s">
        <v>37</v>
      </c>
      <c r="O4600" s="3" t="s">
        <v>70</v>
      </c>
      <c r="P4600" s="5">
        <v>27</v>
      </c>
      <c r="Q4600" s="5">
        <v>725</v>
      </c>
      <c r="R4600" s="5">
        <v>27</v>
      </c>
      <c r="S4600" s="5">
        <v>738</v>
      </c>
    </row>
    <row r="4601" spans="1:19" ht="28" x14ac:dyDescent="0.15">
      <c r="A4601" s="2">
        <f>HYPERLINK("https://open-school.uspishnemisto.com.ua/school/230104/", 230104)</f>
        <v>230104</v>
      </c>
      <c r="B4601" s="3" t="s">
        <v>24081</v>
      </c>
      <c r="C4601" s="3" t="s">
        <v>31</v>
      </c>
      <c r="D4601" s="3" t="s">
        <v>32</v>
      </c>
      <c r="E4601" s="4" t="s">
        <v>22</v>
      </c>
      <c r="F4601" s="4" t="s">
        <v>24082</v>
      </c>
      <c r="G4601" s="4" t="s">
        <v>24076</v>
      </c>
      <c r="H4601" s="3" t="s">
        <v>23629</v>
      </c>
      <c r="I4601" s="3" t="s">
        <v>24077</v>
      </c>
      <c r="J4601" s="3" t="s">
        <v>24083</v>
      </c>
      <c r="K4601" s="3" t="s">
        <v>24084</v>
      </c>
      <c r="L4601" s="3" t="s">
        <v>24085</v>
      </c>
      <c r="M4601" s="4"/>
      <c r="N4601" s="3" t="s">
        <v>967</v>
      </c>
      <c r="O4601" s="3" t="s">
        <v>2740</v>
      </c>
      <c r="P4601" s="5">
        <v>25</v>
      </c>
      <c r="Q4601" s="5">
        <v>667</v>
      </c>
      <c r="R4601" s="5">
        <v>24</v>
      </c>
      <c r="S4601" s="5">
        <v>645</v>
      </c>
    </row>
    <row r="4602" spans="1:19" ht="28" x14ac:dyDescent="0.15">
      <c r="A4602" s="2">
        <f>HYPERLINK("https://open-school.uspishnemisto.com.ua/school/230105/", 230105)</f>
        <v>230105</v>
      </c>
      <c r="B4602" s="3" t="s">
        <v>24086</v>
      </c>
      <c r="C4602" s="3" t="s">
        <v>31</v>
      </c>
      <c r="D4602" s="3" t="s">
        <v>32</v>
      </c>
      <c r="E4602" s="4" t="s">
        <v>22</v>
      </c>
      <c r="F4602" s="4" t="s">
        <v>23716</v>
      </c>
      <c r="G4602" s="4" t="s">
        <v>24076</v>
      </c>
      <c r="H4602" s="3" t="s">
        <v>23629</v>
      </c>
      <c r="I4602" s="3" t="s">
        <v>24077</v>
      </c>
      <c r="J4602" s="3" t="s">
        <v>24087</v>
      </c>
      <c r="K4602" s="3" t="s">
        <v>24088</v>
      </c>
      <c r="L4602" s="3" t="s">
        <v>24089</v>
      </c>
      <c r="M4602" s="4"/>
      <c r="N4602" s="3" t="s">
        <v>37</v>
      </c>
      <c r="O4602" s="3" t="s">
        <v>721</v>
      </c>
      <c r="P4602" s="5">
        <v>27</v>
      </c>
      <c r="Q4602" s="5">
        <v>714</v>
      </c>
      <c r="R4602" s="5">
        <v>26</v>
      </c>
      <c r="S4602" s="5">
        <v>689</v>
      </c>
    </row>
    <row r="4603" spans="1:19" ht="28" x14ac:dyDescent="0.15">
      <c r="A4603" s="2">
        <f>HYPERLINK("https://open-school.uspishnemisto.com.ua/school/230106/", 230106)</f>
        <v>230106</v>
      </c>
      <c r="B4603" s="3" t="s">
        <v>24090</v>
      </c>
      <c r="C4603" s="3" t="s">
        <v>31</v>
      </c>
      <c r="D4603" s="3" t="s">
        <v>32</v>
      </c>
      <c r="E4603" s="4" t="s">
        <v>22</v>
      </c>
      <c r="F4603" s="4" t="s">
        <v>24075</v>
      </c>
      <c r="G4603" s="4" t="s">
        <v>24076</v>
      </c>
      <c r="H4603" s="3" t="s">
        <v>23629</v>
      </c>
      <c r="I4603" s="3" t="s">
        <v>24077</v>
      </c>
      <c r="J4603" s="3" t="s">
        <v>24091</v>
      </c>
      <c r="K4603" s="3" t="s">
        <v>24092</v>
      </c>
      <c r="L4603" s="3" t="s">
        <v>24093</v>
      </c>
      <c r="M4603" s="4"/>
      <c r="N4603" s="3" t="s">
        <v>37</v>
      </c>
      <c r="O4603" s="3" t="s">
        <v>70</v>
      </c>
      <c r="P4603" s="5">
        <v>21</v>
      </c>
      <c r="Q4603" s="5">
        <v>581</v>
      </c>
      <c r="R4603" s="5">
        <v>20</v>
      </c>
      <c r="S4603" s="5">
        <v>566</v>
      </c>
    </row>
    <row r="4604" spans="1:19" ht="28" x14ac:dyDescent="0.15">
      <c r="A4604" s="2">
        <f>HYPERLINK("https://open-school.uspishnemisto.com.ua/school/230107/", 230107)</f>
        <v>230107</v>
      </c>
      <c r="B4604" s="3" t="s">
        <v>24094</v>
      </c>
      <c r="C4604" s="3" t="s">
        <v>31</v>
      </c>
      <c r="D4604" s="3" t="s">
        <v>32</v>
      </c>
      <c r="E4604" s="4" t="s">
        <v>22</v>
      </c>
      <c r="F4604" s="4" t="s">
        <v>24075</v>
      </c>
      <c r="G4604" s="4" t="s">
        <v>24076</v>
      </c>
      <c r="H4604" s="3" t="s">
        <v>23629</v>
      </c>
      <c r="I4604" s="3" t="s">
        <v>24077</v>
      </c>
      <c r="J4604" s="3" t="s">
        <v>24095</v>
      </c>
      <c r="K4604" s="3" t="s">
        <v>24096</v>
      </c>
      <c r="L4604" s="3" t="s">
        <v>24097</v>
      </c>
      <c r="M4604" s="4"/>
      <c r="N4604" s="3" t="s">
        <v>967</v>
      </c>
      <c r="O4604" s="3" t="s">
        <v>52</v>
      </c>
      <c r="P4604" s="5">
        <v>21</v>
      </c>
      <c r="Q4604" s="5">
        <v>536</v>
      </c>
      <c r="R4604" s="5">
        <v>21</v>
      </c>
      <c r="S4604" s="5">
        <v>530</v>
      </c>
    </row>
    <row r="4605" spans="1:19" ht="28" x14ac:dyDescent="0.15">
      <c r="A4605" s="2">
        <f>HYPERLINK("https://open-school.uspishnemisto.com.ua/school/230108/", 230108)</f>
        <v>230108</v>
      </c>
      <c r="B4605" s="3" t="s">
        <v>24098</v>
      </c>
      <c r="C4605" s="3" t="s">
        <v>31</v>
      </c>
      <c r="D4605" s="3" t="s">
        <v>32</v>
      </c>
      <c r="E4605" s="4" t="s">
        <v>22</v>
      </c>
      <c r="F4605" s="4" t="s">
        <v>23694</v>
      </c>
      <c r="G4605" s="4" t="s">
        <v>24076</v>
      </c>
      <c r="H4605" s="3" t="s">
        <v>23629</v>
      </c>
      <c r="I4605" s="3" t="s">
        <v>24077</v>
      </c>
      <c r="J4605" s="3" t="s">
        <v>24099</v>
      </c>
      <c r="K4605" s="3" t="s">
        <v>24100</v>
      </c>
      <c r="L4605" s="3" t="s">
        <v>24101</v>
      </c>
      <c r="M4605" s="4"/>
      <c r="N4605" s="3" t="s">
        <v>37</v>
      </c>
      <c r="O4605" s="3" t="s">
        <v>46</v>
      </c>
      <c r="P4605" s="5">
        <v>20</v>
      </c>
      <c r="Q4605" s="5">
        <v>525</v>
      </c>
      <c r="R4605" s="5">
        <v>19</v>
      </c>
      <c r="S4605" s="5">
        <v>488</v>
      </c>
    </row>
    <row r="4606" spans="1:19" ht="42" x14ac:dyDescent="0.15">
      <c r="A4606" s="2">
        <f>HYPERLINK("https://open-school.uspishnemisto.com.ua/school/230109/", 230109)</f>
        <v>230109</v>
      </c>
      <c r="B4606" s="3" t="s">
        <v>24102</v>
      </c>
      <c r="C4606" s="3" t="s">
        <v>244</v>
      </c>
      <c r="D4606" s="3" t="s">
        <v>32</v>
      </c>
      <c r="E4606" s="4" t="s">
        <v>22</v>
      </c>
      <c r="F4606" s="4" t="s">
        <v>23716</v>
      </c>
      <c r="G4606" s="4" t="s">
        <v>24076</v>
      </c>
      <c r="H4606" s="3" t="s">
        <v>23629</v>
      </c>
      <c r="I4606" s="3" t="s">
        <v>24077</v>
      </c>
      <c r="J4606" s="3" t="s">
        <v>24103</v>
      </c>
      <c r="K4606" s="3" t="s">
        <v>24104</v>
      </c>
      <c r="L4606" s="3" t="s">
        <v>24105</v>
      </c>
      <c r="M4606" s="4"/>
      <c r="N4606" s="3" t="s">
        <v>37</v>
      </c>
      <c r="O4606" s="3" t="s">
        <v>123</v>
      </c>
      <c r="P4606" s="5">
        <v>25</v>
      </c>
      <c r="Q4606" s="5">
        <v>777</v>
      </c>
      <c r="R4606" s="5">
        <v>24</v>
      </c>
      <c r="S4606" s="5">
        <v>740</v>
      </c>
    </row>
    <row r="4607" spans="1:19" ht="28" x14ac:dyDescent="0.15">
      <c r="A4607" s="2">
        <f>HYPERLINK("https://open-school.uspishnemisto.com.ua/school/230110/", 230110)</f>
        <v>230110</v>
      </c>
      <c r="B4607" s="3" t="s">
        <v>24106</v>
      </c>
      <c r="C4607" s="3" t="s">
        <v>188</v>
      </c>
      <c r="D4607" s="3" t="s">
        <v>32</v>
      </c>
      <c r="E4607" s="4" t="s">
        <v>22</v>
      </c>
      <c r="F4607" s="4" t="s">
        <v>23716</v>
      </c>
      <c r="G4607" s="4" t="s">
        <v>24076</v>
      </c>
      <c r="H4607" s="3" t="s">
        <v>23629</v>
      </c>
      <c r="I4607" s="3" t="s">
        <v>24077</v>
      </c>
      <c r="J4607" s="3" t="s">
        <v>24107</v>
      </c>
      <c r="K4607" s="3" t="s">
        <v>24108</v>
      </c>
      <c r="L4607" s="3" t="s">
        <v>24109</v>
      </c>
      <c r="M4607" s="4" t="s">
        <v>24110</v>
      </c>
      <c r="N4607" s="3" t="s">
        <v>967</v>
      </c>
      <c r="O4607" s="3" t="s">
        <v>123</v>
      </c>
      <c r="P4607" s="5">
        <v>44</v>
      </c>
      <c r="Q4607" s="5">
        <v>1305</v>
      </c>
      <c r="R4607" s="5">
        <v>44</v>
      </c>
      <c r="S4607" s="5">
        <v>1307</v>
      </c>
    </row>
    <row r="4608" spans="1:19" ht="42" x14ac:dyDescent="0.15">
      <c r="A4608" s="2">
        <f>HYPERLINK("https://open-school.uspishnemisto.com.ua/school/230111/", 230111)</f>
        <v>230111</v>
      </c>
      <c r="B4608" s="3" t="s">
        <v>24111</v>
      </c>
      <c r="C4608" s="3" t="s">
        <v>54</v>
      </c>
      <c r="D4608" s="3" t="s">
        <v>32</v>
      </c>
      <c r="E4608" s="4" t="s">
        <v>22</v>
      </c>
      <c r="F4608" s="4" t="s">
        <v>24112</v>
      </c>
      <c r="G4608" s="4" t="s">
        <v>24076</v>
      </c>
      <c r="H4608" s="3" t="s">
        <v>23629</v>
      </c>
      <c r="I4608" s="3" t="s">
        <v>24077</v>
      </c>
      <c r="J4608" s="3" t="s">
        <v>24113</v>
      </c>
      <c r="K4608" s="3" t="s">
        <v>24114</v>
      </c>
      <c r="L4608" s="3" t="s">
        <v>24115</v>
      </c>
      <c r="M4608" s="4"/>
      <c r="N4608" s="3" t="s">
        <v>37</v>
      </c>
      <c r="O4608" s="3" t="s">
        <v>38</v>
      </c>
      <c r="P4608" s="5">
        <v>39</v>
      </c>
      <c r="Q4608" s="5">
        <v>1092</v>
      </c>
      <c r="R4608" s="5">
        <v>37</v>
      </c>
      <c r="S4608" s="5">
        <v>1026</v>
      </c>
    </row>
    <row r="4609" spans="1:19" ht="42" x14ac:dyDescent="0.15">
      <c r="A4609" s="2">
        <f>HYPERLINK("https://open-school.uspishnemisto.com.ua/school/230112/", 230112)</f>
        <v>230112</v>
      </c>
      <c r="B4609" s="3" t="s">
        <v>24116</v>
      </c>
      <c r="C4609" s="3" t="s">
        <v>54</v>
      </c>
      <c r="D4609" s="3" t="s">
        <v>21</v>
      </c>
      <c r="E4609" s="4" t="s">
        <v>22</v>
      </c>
      <c r="F4609" s="4" t="s">
        <v>24082</v>
      </c>
      <c r="G4609" s="4" t="s">
        <v>24076</v>
      </c>
      <c r="H4609" s="3" t="s">
        <v>23629</v>
      </c>
      <c r="I4609" s="3" t="s">
        <v>24077</v>
      </c>
      <c r="J4609" s="3" t="s">
        <v>24117</v>
      </c>
      <c r="K4609" s="3" t="s">
        <v>24118</v>
      </c>
      <c r="L4609" s="3" t="s">
        <v>24119</v>
      </c>
      <c r="M4609" s="4"/>
      <c r="N4609" s="3" t="s">
        <v>37</v>
      </c>
      <c r="O4609" s="3" t="s">
        <v>52</v>
      </c>
      <c r="P4609" s="5">
        <v>2</v>
      </c>
      <c r="Q4609" s="5">
        <v>45</v>
      </c>
      <c r="R4609" s="5">
        <v>2</v>
      </c>
      <c r="S4609" s="5">
        <v>37</v>
      </c>
    </row>
    <row r="4610" spans="1:19" ht="42" x14ac:dyDescent="0.15">
      <c r="A4610" s="2">
        <f>HYPERLINK("https://open-school.uspishnemisto.com.ua/school/230113/", 230113)</f>
        <v>230113</v>
      </c>
      <c r="B4610" s="3" t="s">
        <v>24120</v>
      </c>
      <c r="C4610" s="3" t="s">
        <v>54</v>
      </c>
      <c r="D4610" s="3" t="s">
        <v>32</v>
      </c>
      <c r="E4610" s="4" t="s">
        <v>22</v>
      </c>
      <c r="F4610" s="4" t="s">
        <v>24112</v>
      </c>
      <c r="G4610" s="4" t="s">
        <v>24076</v>
      </c>
      <c r="H4610" s="3" t="s">
        <v>23629</v>
      </c>
      <c r="I4610" s="3" t="s">
        <v>24077</v>
      </c>
      <c r="J4610" s="3" t="s">
        <v>24121</v>
      </c>
      <c r="K4610" s="3" t="s">
        <v>24122</v>
      </c>
      <c r="L4610" s="3" t="s">
        <v>24123</v>
      </c>
      <c r="M4610" s="4"/>
      <c r="N4610" s="3" t="s">
        <v>37</v>
      </c>
      <c r="O4610" s="3" t="s">
        <v>38</v>
      </c>
      <c r="P4610" s="5">
        <v>23</v>
      </c>
      <c r="Q4610" s="5">
        <v>592</v>
      </c>
      <c r="R4610" s="5">
        <v>22</v>
      </c>
      <c r="S4610" s="5">
        <v>582</v>
      </c>
    </row>
    <row r="4611" spans="1:19" ht="42" x14ac:dyDescent="0.15">
      <c r="A4611" s="2">
        <f>HYPERLINK("https://open-school.uspishnemisto.com.ua/school/230114/", 230114)</f>
        <v>230114</v>
      </c>
      <c r="B4611" s="3" t="s">
        <v>24124</v>
      </c>
      <c r="C4611" s="3" t="s">
        <v>54</v>
      </c>
      <c r="D4611" s="3" t="s">
        <v>60</v>
      </c>
      <c r="E4611" s="4" t="s">
        <v>22</v>
      </c>
      <c r="F4611" s="4" t="s">
        <v>23694</v>
      </c>
      <c r="G4611" s="4" t="s">
        <v>24076</v>
      </c>
      <c r="H4611" s="3" t="s">
        <v>23629</v>
      </c>
      <c r="I4611" s="3" t="s">
        <v>24077</v>
      </c>
      <c r="J4611" s="3" t="s">
        <v>24125</v>
      </c>
      <c r="K4611" s="3" t="s">
        <v>24126</v>
      </c>
      <c r="L4611" s="3"/>
      <c r="M4611" s="4"/>
      <c r="N4611" s="3" t="s">
        <v>37</v>
      </c>
      <c r="O4611" s="3" t="s">
        <v>52</v>
      </c>
      <c r="P4611" s="5">
        <v>4</v>
      </c>
      <c r="Q4611" s="5">
        <v>93</v>
      </c>
      <c r="R4611" s="5">
        <v>4</v>
      </c>
      <c r="S4611" s="5">
        <v>89</v>
      </c>
    </row>
    <row r="4612" spans="1:19" ht="28" x14ac:dyDescent="0.15">
      <c r="A4612" s="2">
        <f>HYPERLINK("https://open-school.uspishnemisto.com.ua/school/230115/", 230115)</f>
        <v>230115</v>
      </c>
      <c r="B4612" s="3" t="s">
        <v>24127</v>
      </c>
      <c r="C4612" s="3" t="s">
        <v>54</v>
      </c>
      <c r="D4612" s="3" t="s">
        <v>60</v>
      </c>
      <c r="E4612" s="4" t="s">
        <v>22</v>
      </c>
      <c r="F4612" s="4" t="s">
        <v>24075</v>
      </c>
      <c r="G4612" s="4" t="s">
        <v>24076</v>
      </c>
      <c r="H4612" s="3" t="s">
        <v>23629</v>
      </c>
      <c r="I4612" s="3" t="s">
        <v>24077</v>
      </c>
      <c r="J4612" s="3" t="s">
        <v>24128</v>
      </c>
      <c r="K4612" s="3" t="s">
        <v>24129</v>
      </c>
      <c r="L4612" s="3" t="s">
        <v>24130</v>
      </c>
      <c r="M4612" s="4"/>
      <c r="N4612" s="3" t="s">
        <v>967</v>
      </c>
      <c r="O4612" s="3" t="s">
        <v>52</v>
      </c>
      <c r="P4612" s="5">
        <v>8</v>
      </c>
      <c r="Q4612" s="5">
        <v>192</v>
      </c>
      <c r="R4612" s="5">
        <v>8</v>
      </c>
      <c r="S4612" s="5">
        <v>191</v>
      </c>
    </row>
    <row r="4613" spans="1:19" ht="42" x14ac:dyDescent="0.15">
      <c r="A4613" s="2">
        <f>HYPERLINK("https://open-school.uspishnemisto.com.ua/school/230116/", 230116)</f>
        <v>230116</v>
      </c>
      <c r="B4613" s="3" t="s">
        <v>24131</v>
      </c>
      <c r="C4613" s="3" t="s">
        <v>4989</v>
      </c>
      <c r="D4613" s="3" t="s">
        <v>21</v>
      </c>
      <c r="E4613" s="4" t="s">
        <v>22</v>
      </c>
      <c r="F4613" s="4" t="s">
        <v>23694</v>
      </c>
      <c r="G4613" s="4" t="s">
        <v>24076</v>
      </c>
      <c r="H4613" s="3" t="s">
        <v>23629</v>
      </c>
      <c r="I4613" s="3" t="s">
        <v>24077</v>
      </c>
      <c r="J4613" s="3" t="s">
        <v>24132</v>
      </c>
      <c r="K4613" s="3" t="s">
        <v>24133</v>
      </c>
      <c r="L4613" s="3" t="s">
        <v>24134</v>
      </c>
      <c r="M4613" s="4" t="s">
        <v>24135</v>
      </c>
      <c r="N4613" s="3" t="s">
        <v>37</v>
      </c>
      <c r="O4613" s="3" t="s">
        <v>52</v>
      </c>
      <c r="P4613" s="5">
        <v>22</v>
      </c>
      <c r="Q4613" s="5">
        <v>434</v>
      </c>
      <c r="R4613" s="5">
        <v>21</v>
      </c>
      <c r="S4613" s="5">
        <v>420</v>
      </c>
    </row>
    <row r="4614" spans="1:19" ht="28" x14ac:dyDescent="0.15">
      <c r="A4614" s="2">
        <f>HYPERLINK("https://open-school.uspishnemisto.com.ua/school/230117/", 230117)</f>
        <v>230117</v>
      </c>
      <c r="B4614" s="3" t="s">
        <v>24136</v>
      </c>
      <c r="C4614" s="3" t="s">
        <v>31</v>
      </c>
      <c r="D4614" s="3" t="s">
        <v>32</v>
      </c>
      <c r="E4614" s="4" t="s">
        <v>22</v>
      </c>
      <c r="F4614" s="4" t="s">
        <v>24137</v>
      </c>
      <c r="G4614" s="4" t="s">
        <v>24138</v>
      </c>
      <c r="H4614" s="3" t="s">
        <v>23629</v>
      </c>
      <c r="I4614" s="3" t="s">
        <v>24139</v>
      </c>
      <c r="J4614" s="3" t="s">
        <v>24140</v>
      </c>
      <c r="K4614" s="3" t="s">
        <v>24141</v>
      </c>
      <c r="L4614" s="3" t="s">
        <v>24142</v>
      </c>
      <c r="M4614" s="4"/>
      <c r="N4614" s="3" t="s">
        <v>37</v>
      </c>
      <c r="O4614" s="3" t="s">
        <v>38</v>
      </c>
      <c r="P4614" s="5">
        <v>24</v>
      </c>
      <c r="Q4614" s="5">
        <v>541</v>
      </c>
      <c r="R4614" s="5">
        <v>21</v>
      </c>
      <c r="S4614" s="5">
        <v>499</v>
      </c>
    </row>
    <row r="4615" spans="1:19" ht="42" x14ac:dyDescent="0.15">
      <c r="A4615" s="2">
        <f>HYPERLINK("https://open-school.uspishnemisto.com.ua/school/230118/", 230118)</f>
        <v>230118</v>
      </c>
      <c r="B4615" s="3" t="s">
        <v>24143</v>
      </c>
      <c r="C4615" s="3" t="s">
        <v>31</v>
      </c>
      <c r="D4615" s="3" t="s">
        <v>32</v>
      </c>
      <c r="E4615" s="4" t="s">
        <v>22</v>
      </c>
      <c r="F4615" s="4" t="s">
        <v>23674</v>
      </c>
      <c r="G4615" s="4" t="s">
        <v>24138</v>
      </c>
      <c r="H4615" s="3" t="s">
        <v>23629</v>
      </c>
      <c r="I4615" s="3" t="s">
        <v>24139</v>
      </c>
      <c r="J4615" s="3" t="s">
        <v>24144</v>
      </c>
      <c r="K4615" s="3" t="s">
        <v>24145</v>
      </c>
      <c r="L4615" s="3" t="s">
        <v>24146</v>
      </c>
      <c r="M4615" s="4"/>
      <c r="N4615" s="3" t="s">
        <v>967</v>
      </c>
      <c r="O4615" s="3" t="s">
        <v>123</v>
      </c>
      <c r="P4615" s="5">
        <v>31</v>
      </c>
      <c r="Q4615" s="5">
        <v>886</v>
      </c>
      <c r="R4615" s="5">
        <v>30</v>
      </c>
      <c r="S4615" s="5">
        <v>854</v>
      </c>
    </row>
    <row r="4616" spans="1:19" ht="42" x14ac:dyDescent="0.15">
      <c r="A4616" s="2">
        <f>HYPERLINK("https://open-school.uspishnemisto.com.ua/school/230119/", 230119)</f>
        <v>230119</v>
      </c>
      <c r="B4616" s="3" t="s">
        <v>24147</v>
      </c>
      <c r="C4616" s="3" t="s">
        <v>31</v>
      </c>
      <c r="D4616" s="3" t="s">
        <v>60</v>
      </c>
      <c r="E4616" s="4" t="s">
        <v>22</v>
      </c>
      <c r="F4616" s="4" t="s">
        <v>24148</v>
      </c>
      <c r="G4616" s="4" t="s">
        <v>24138</v>
      </c>
      <c r="H4616" s="3" t="s">
        <v>23629</v>
      </c>
      <c r="I4616" s="3" t="s">
        <v>24139</v>
      </c>
      <c r="J4616" s="3" t="s">
        <v>24149</v>
      </c>
      <c r="K4616" s="3" t="s">
        <v>24150</v>
      </c>
      <c r="L4616" s="3"/>
      <c r="M4616" s="4"/>
      <c r="N4616" s="3" t="s">
        <v>967</v>
      </c>
      <c r="O4616" s="3" t="s">
        <v>52</v>
      </c>
      <c r="P4616" s="5">
        <v>1</v>
      </c>
      <c r="Q4616" s="5">
        <v>26</v>
      </c>
      <c r="R4616" s="5">
        <v>1</v>
      </c>
      <c r="S4616" s="5">
        <v>25</v>
      </c>
    </row>
    <row r="4617" spans="1:19" ht="28" x14ac:dyDescent="0.15">
      <c r="A4617" s="2">
        <f>HYPERLINK("https://open-school.uspishnemisto.com.ua/school/230120/", 230120)</f>
        <v>230120</v>
      </c>
      <c r="B4617" s="3" t="s">
        <v>24151</v>
      </c>
      <c r="C4617" s="3" t="s">
        <v>31</v>
      </c>
      <c r="D4617" s="3" t="s">
        <v>32</v>
      </c>
      <c r="E4617" s="4" t="s">
        <v>22</v>
      </c>
      <c r="F4617" s="4" t="s">
        <v>23645</v>
      </c>
      <c r="G4617" s="4" t="s">
        <v>24138</v>
      </c>
      <c r="H4617" s="3" t="s">
        <v>23629</v>
      </c>
      <c r="I4617" s="3" t="s">
        <v>24139</v>
      </c>
      <c r="J4617" s="3" t="s">
        <v>24152</v>
      </c>
      <c r="K4617" s="3" t="s">
        <v>24153</v>
      </c>
      <c r="L4617" s="3" t="s">
        <v>24154</v>
      </c>
      <c r="M4617" s="4"/>
      <c r="N4617" s="3" t="s">
        <v>37</v>
      </c>
      <c r="O4617" s="3" t="s">
        <v>38</v>
      </c>
      <c r="P4617" s="5">
        <v>31</v>
      </c>
      <c r="Q4617" s="5">
        <v>904</v>
      </c>
      <c r="R4617" s="5">
        <v>30</v>
      </c>
      <c r="S4617" s="5">
        <v>853</v>
      </c>
    </row>
    <row r="4618" spans="1:19" ht="28" x14ac:dyDescent="0.15">
      <c r="A4618" s="2">
        <f>HYPERLINK("https://open-school.uspishnemisto.com.ua/school/230121/", 230121)</f>
        <v>230121</v>
      </c>
      <c r="B4618" s="3" t="s">
        <v>24155</v>
      </c>
      <c r="C4618" s="3" t="s">
        <v>31</v>
      </c>
      <c r="D4618" s="3" t="s">
        <v>32</v>
      </c>
      <c r="E4618" s="4" t="s">
        <v>22</v>
      </c>
      <c r="F4618" s="4" t="s">
        <v>24156</v>
      </c>
      <c r="G4618" s="4" t="s">
        <v>24138</v>
      </c>
      <c r="H4618" s="3" t="s">
        <v>23629</v>
      </c>
      <c r="I4618" s="3" t="s">
        <v>24139</v>
      </c>
      <c r="J4618" s="3" t="s">
        <v>24157</v>
      </c>
      <c r="K4618" s="3" t="s">
        <v>24158</v>
      </c>
      <c r="L4618" s="3" t="s">
        <v>24159</v>
      </c>
      <c r="M4618" s="4"/>
      <c r="N4618" s="3" t="s">
        <v>967</v>
      </c>
      <c r="O4618" s="3" t="s">
        <v>46</v>
      </c>
      <c r="P4618" s="5">
        <v>18</v>
      </c>
      <c r="Q4618" s="5">
        <v>441</v>
      </c>
      <c r="R4618" s="5">
        <v>19</v>
      </c>
      <c r="S4618" s="5">
        <v>443</v>
      </c>
    </row>
    <row r="4619" spans="1:19" ht="28" x14ac:dyDescent="0.15">
      <c r="A4619" s="2">
        <f>HYPERLINK("https://open-school.uspishnemisto.com.ua/school/230122/", 230122)</f>
        <v>230122</v>
      </c>
      <c r="B4619" s="3" t="s">
        <v>24160</v>
      </c>
      <c r="C4619" s="3" t="s">
        <v>31</v>
      </c>
      <c r="D4619" s="3" t="s">
        <v>32</v>
      </c>
      <c r="E4619" s="4" t="s">
        <v>22</v>
      </c>
      <c r="F4619" s="4" t="s">
        <v>24161</v>
      </c>
      <c r="G4619" s="4" t="s">
        <v>24138</v>
      </c>
      <c r="H4619" s="3" t="s">
        <v>23629</v>
      </c>
      <c r="I4619" s="3" t="s">
        <v>24139</v>
      </c>
      <c r="J4619" s="3" t="s">
        <v>24162</v>
      </c>
      <c r="K4619" s="3" t="s">
        <v>24163</v>
      </c>
      <c r="L4619" s="3" t="s">
        <v>24164</v>
      </c>
      <c r="M4619" s="4"/>
      <c r="N4619" s="3" t="s">
        <v>37</v>
      </c>
      <c r="O4619" s="3" t="s">
        <v>721</v>
      </c>
      <c r="P4619" s="5">
        <v>22</v>
      </c>
      <c r="Q4619" s="5">
        <v>610</v>
      </c>
      <c r="R4619" s="5">
        <v>21</v>
      </c>
      <c r="S4619" s="5">
        <v>585</v>
      </c>
    </row>
    <row r="4620" spans="1:19" ht="28" x14ac:dyDescent="0.15">
      <c r="A4620" s="2">
        <f>HYPERLINK("https://open-school.uspishnemisto.com.ua/school/230123/", 230123)</f>
        <v>230123</v>
      </c>
      <c r="B4620" s="3" t="s">
        <v>24165</v>
      </c>
      <c r="C4620" s="3" t="s">
        <v>31</v>
      </c>
      <c r="D4620" s="3" t="s">
        <v>32</v>
      </c>
      <c r="E4620" s="4" t="s">
        <v>22</v>
      </c>
      <c r="F4620" s="4" t="s">
        <v>24166</v>
      </c>
      <c r="G4620" s="4" t="s">
        <v>24138</v>
      </c>
      <c r="H4620" s="3" t="s">
        <v>23629</v>
      </c>
      <c r="I4620" s="3" t="s">
        <v>24139</v>
      </c>
      <c r="J4620" s="3" t="s">
        <v>24167</v>
      </c>
      <c r="K4620" s="3" t="s">
        <v>24168</v>
      </c>
      <c r="L4620" s="3" t="s">
        <v>24169</v>
      </c>
      <c r="M4620" s="4"/>
      <c r="N4620" s="3" t="s">
        <v>37</v>
      </c>
      <c r="O4620" s="3" t="s">
        <v>38</v>
      </c>
      <c r="P4620" s="5">
        <v>13</v>
      </c>
      <c r="Q4620" s="5">
        <v>323</v>
      </c>
      <c r="R4620" s="5">
        <v>13</v>
      </c>
      <c r="S4620" s="5">
        <v>322</v>
      </c>
    </row>
    <row r="4621" spans="1:19" ht="28" x14ac:dyDescent="0.15">
      <c r="A4621" s="2">
        <f>HYPERLINK("https://open-school.uspishnemisto.com.ua/school/230124/", 230124)</f>
        <v>230124</v>
      </c>
      <c r="B4621" s="3" t="s">
        <v>24170</v>
      </c>
      <c r="C4621" s="3" t="s">
        <v>244</v>
      </c>
      <c r="D4621" s="3" t="s">
        <v>32</v>
      </c>
      <c r="E4621" s="4" t="s">
        <v>22</v>
      </c>
      <c r="F4621" s="4" t="s">
        <v>23674</v>
      </c>
      <c r="G4621" s="4" t="s">
        <v>24138</v>
      </c>
      <c r="H4621" s="3" t="s">
        <v>23629</v>
      </c>
      <c r="I4621" s="3" t="s">
        <v>24139</v>
      </c>
      <c r="J4621" s="3" t="s">
        <v>24171</v>
      </c>
      <c r="K4621" s="3" t="s">
        <v>24172</v>
      </c>
      <c r="L4621" s="3" t="s">
        <v>24173</v>
      </c>
      <c r="M4621" s="4"/>
      <c r="N4621" s="3" t="s">
        <v>128</v>
      </c>
      <c r="O4621" s="3" t="s">
        <v>38</v>
      </c>
      <c r="P4621" s="5">
        <v>19</v>
      </c>
      <c r="Q4621" s="5">
        <v>494</v>
      </c>
      <c r="R4621" s="5">
        <v>18</v>
      </c>
      <c r="S4621" s="5">
        <v>472</v>
      </c>
    </row>
    <row r="4622" spans="1:19" ht="42" x14ac:dyDescent="0.15">
      <c r="A4622" s="2">
        <f>HYPERLINK("https://open-school.uspishnemisto.com.ua/school/230125/", 230125)</f>
        <v>230125</v>
      </c>
      <c r="B4622" s="3" t="s">
        <v>24174</v>
      </c>
      <c r="C4622" s="3" t="s">
        <v>188</v>
      </c>
      <c r="D4622" s="3" t="s">
        <v>32</v>
      </c>
      <c r="E4622" s="4" t="s">
        <v>22</v>
      </c>
      <c r="F4622" s="4" t="s">
        <v>23674</v>
      </c>
      <c r="G4622" s="4" t="s">
        <v>24138</v>
      </c>
      <c r="H4622" s="3" t="s">
        <v>23629</v>
      </c>
      <c r="I4622" s="3" t="s">
        <v>24139</v>
      </c>
      <c r="J4622" s="3" t="s">
        <v>24175</v>
      </c>
      <c r="K4622" s="3" t="s">
        <v>24176</v>
      </c>
      <c r="L4622" s="3" t="s">
        <v>24177</v>
      </c>
      <c r="M4622" s="4"/>
      <c r="N4622" s="3" t="s">
        <v>967</v>
      </c>
      <c r="O4622" s="3" t="s">
        <v>46</v>
      </c>
      <c r="P4622" s="5">
        <v>22</v>
      </c>
      <c r="Q4622" s="5">
        <v>552</v>
      </c>
      <c r="R4622" s="5">
        <v>22</v>
      </c>
      <c r="S4622" s="5">
        <v>532</v>
      </c>
    </row>
    <row r="4623" spans="1:19" ht="28" x14ac:dyDescent="0.15">
      <c r="A4623" s="2">
        <f>HYPERLINK("https://open-school.uspishnemisto.com.ua/school/230126/", 230126)</f>
        <v>230126</v>
      </c>
      <c r="B4623" s="3" t="s">
        <v>24178</v>
      </c>
      <c r="C4623" s="3" t="s">
        <v>188</v>
      </c>
      <c r="D4623" s="3" t="s">
        <v>32</v>
      </c>
      <c r="E4623" s="4" t="s">
        <v>22</v>
      </c>
      <c r="F4623" s="4" t="s">
        <v>24137</v>
      </c>
      <c r="G4623" s="4" t="s">
        <v>24138</v>
      </c>
      <c r="H4623" s="3" t="s">
        <v>23629</v>
      </c>
      <c r="I4623" s="3" t="s">
        <v>24139</v>
      </c>
      <c r="J4623" s="3" t="s">
        <v>24179</v>
      </c>
      <c r="K4623" s="3" t="s">
        <v>24180</v>
      </c>
      <c r="L4623" s="3" t="s">
        <v>24181</v>
      </c>
      <c r="M4623" s="4"/>
      <c r="N4623" s="3" t="s">
        <v>37</v>
      </c>
      <c r="O4623" s="3" t="s">
        <v>38</v>
      </c>
      <c r="P4623" s="5">
        <v>31</v>
      </c>
      <c r="Q4623" s="5">
        <v>980</v>
      </c>
      <c r="R4623" s="5">
        <v>31</v>
      </c>
      <c r="S4623" s="5">
        <v>965</v>
      </c>
    </row>
    <row r="4624" spans="1:19" ht="28" x14ac:dyDescent="0.15">
      <c r="A4624" s="2">
        <f>HYPERLINK("https://open-school.uspishnemisto.com.ua/school/230127/", 230127)</f>
        <v>230127</v>
      </c>
      <c r="B4624" s="3" t="s">
        <v>24182</v>
      </c>
      <c r="C4624" s="3" t="s">
        <v>54</v>
      </c>
      <c r="D4624" s="3" t="s">
        <v>32</v>
      </c>
      <c r="E4624" s="4" t="s">
        <v>22</v>
      </c>
      <c r="F4624" s="4" t="s">
        <v>24148</v>
      </c>
      <c r="G4624" s="4" t="s">
        <v>24138</v>
      </c>
      <c r="H4624" s="3" t="s">
        <v>23629</v>
      </c>
      <c r="I4624" s="3" t="s">
        <v>24139</v>
      </c>
      <c r="J4624" s="3" t="s">
        <v>24183</v>
      </c>
      <c r="K4624" s="3" t="s">
        <v>24184</v>
      </c>
      <c r="L4624" s="3" t="s">
        <v>24185</v>
      </c>
      <c r="M4624" s="4"/>
      <c r="N4624" s="3" t="s">
        <v>967</v>
      </c>
      <c r="O4624" s="3" t="s">
        <v>52</v>
      </c>
      <c r="P4624" s="5">
        <v>24</v>
      </c>
      <c r="Q4624" s="5">
        <v>657</v>
      </c>
      <c r="R4624" s="5">
        <v>22</v>
      </c>
      <c r="S4624" s="5">
        <v>604</v>
      </c>
    </row>
    <row r="4625" spans="1:19" ht="28" x14ac:dyDescent="0.15">
      <c r="A4625" s="2">
        <f>HYPERLINK("https://open-school.uspishnemisto.com.ua/school/230128/", 230128)</f>
        <v>230128</v>
      </c>
      <c r="B4625" s="3" t="s">
        <v>24186</v>
      </c>
      <c r="C4625" s="3" t="s">
        <v>54</v>
      </c>
      <c r="D4625" s="3" t="s">
        <v>60</v>
      </c>
      <c r="E4625" s="4" t="s">
        <v>22</v>
      </c>
      <c r="F4625" s="4" t="s">
        <v>24187</v>
      </c>
      <c r="G4625" s="4" t="s">
        <v>24138</v>
      </c>
      <c r="H4625" s="3" t="s">
        <v>23629</v>
      </c>
      <c r="I4625" s="3" t="s">
        <v>24139</v>
      </c>
      <c r="J4625" s="3" t="s">
        <v>24188</v>
      </c>
      <c r="K4625" s="3" t="s">
        <v>24189</v>
      </c>
      <c r="L4625" s="3"/>
      <c r="M4625" s="4"/>
      <c r="N4625" s="3" t="s">
        <v>967</v>
      </c>
      <c r="O4625" s="3" t="s">
        <v>52</v>
      </c>
      <c r="P4625" s="5">
        <v>4</v>
      </c>
      <c r="Q4625" s="5">
        <v>96</v>
      </c>
      <c r="R4625" s="5">
        <v>4</v>
      </c>
      <c r="S4625" s="5">
        <v>95</v>
      </c>
    </row>
    <row r="4626" spans="1:19" ht="28" x14ac:dyDescent="0.15">
      <c r="A4626" s="2">
        <f>HYPERLINK("https://open-school.uspishnemisto.com.ua/school/230129/", 230129)</f>
        <v>230129</v>
      </c>
      <c r="B4626" s="3" t="s">
        <v>24190</v>
      </c>
      <c r="C4626" s="3" t="s">
        <v>54</v>
      </c>
      <c r="D4626" s="3" t="s">
        <v>32</v>
      </c>
      <c r="E4626" s="4" t="s">
        <v>22</v>
      </c>
      <c r="F4626" s="4" t="s">
        <v>24191</v>
      </c>
      <c r="G4626" s="4" t="s">
        <v>24138</v>
      </c>
      <c r="H4626" s="3" t="s">
        <v>23629</v>
      </c>
      <c r="I4626" s="3" t="s">
        <v>24139</v>
      </c>
      <c r="J4626" s="3" t="s">
        <v>1252</v>
      </c>
      <c r="K4626" s="3" t="s">
        <v>24192</v>
      </c>
      <c r="L4626" s="3" t="s">
        <v>24193</v>
      </c>
      <c r="M4626" s="4"/>
      <c r="N4626" s="3" t="s">
        <v>37</v>
      </c>
      <c r="O4626" s="3" t="s">
        <v>38</v>
      </c>
      <c r="P4626" s="5">
        <v>11</v>
      </c>
      <c r="Q4626" s="5">
        <v>220</v>
      </c>
      <c r="R4626" s="5">
        <v>12</v>
      </c>
      <c r="S4626" s="5">
        <v>214</v>
      </c>
    </row>
    <row r="4627" spans="1:19" ht="28" x14ac:dyDescent="0.15">
      <c r="A4627" s="2">
        <f>HYPERLINK("https://open-school.uspishnemisto.com.ua/school/230130/", 230130)</f>
        <v>230130</v>
      </c>
      <c r="B4627" s="3" t="s">
        <v>24194</v>
      </c>
      <c r="C4627" s="3" t="s">
        <v>54</v>
      </c>
      <c r="D4627" s="3" t="s">
        <v>32</v>
      </c>
      <c r="E4627" s="4" t="s">
        <v>22</v>
      </c>
      <c r="F4627" s="4" t="s">
        <v>23750</v>
      </c>
      <c r="G4627" s="4" t="s">
        <v>24138</v>
      </c>
      <c r="H4627" s="3" t="s">
        <v>23629</v>
      </c>
      <c r="I4627" s="3" t="s">
        <v>24139</v>
      </c>
      <c r="J4627" s="3" t="s">
        <v>24195</v>
      </c>
      <c r="K4627" s="3" t="s">
        <v>24196</v>
      </c>
      <c r="L4627" s="3" t="s">
        <v>24197</v>
      </c>
      <c r="M4627" s="4" t="s">
        <v>24198</v>
      </c>
      <c r="N4627" s="3" t="s">
        <v>128</v>
      </c>
      <c r="O4627" s="3" t="s">
        <v>70</v>
      </c>
      <c r="P4627" s="5">
        <v>34</v>
      </c>
      <c r="Q4627" s="5">
        <v>813</v>
      </c>
      <c r="R4627" s="5">
        <v>36</v>
      </c>
      <c r="S4627" s="5">
        <v>822</v>
      </c>
    </row>
    <row r="4628" spans="1:19" ht="28" x14ac:dyDescent="0.15">
      <c r="A4628" s="2">
        <f>HYPERLINK("https://open-school.uspishnemisto.com.ua/school/230131/", 230131)</f>
        <v>230131</v>
      </c>
      <c r="B4628" s="3" t="s">
        <v>24199</v>
      </c>
      <c r="C4628" s="3" t="s">
        <v>54</v>
      </c>
      <c r="D4628" s="3" t="s">
        <v>32</v>
      </c>
      <c r="E4628" s="4" t="s">
        <v>22</v>
      </c>
      <c r="F4628" s="4" t="s">
        <v>24148</v>
      </c>
      <c r="G4628" s="4" t="s">
        <v>24138</v>
      </c>
      <c r="H4628" s="3" t="s">
        <v>23629</v>
      </c>
      <c r="I4628" s="3" t="s">
        <v>24139</v>
      </c>
      <c r="J4628" s="3" t="s">
        <v>24200</v>
      </c>
      <c r="K4628" s="3" t="s">
        <v>24201</v>
      </c>
      <c r="L4628" s="3" t="s">
        <v>24202</v>
      </c>
      <c r="M4628" s="4"/>
      <c r="N4628" s="3" t="s">
        <v>37</v>
      </c>
      <c r="O4628" s="3" t="s">
        <v>38</v>
      </c>
      <c r="P4628" s="5">
        <v>24</v>
      </c>
      <c r="Q4628" s="5">
        <v>649</v>
      </c>
      <c r="R4628" s="5">
        <v>23</v>
      </c>
      <c r="S4628" s="5">
        <v>634</v>
      </c>
    </row>
    <row r="4629" spans="1:19" ht="28" x14ac:dyDescent="0.15">
      <c r="A4629" s="2">
        <f>HYPERLINK("https://open-school.uspishnemisto.com.ua/school/230132/", 230132)</f>
        <v>230132</v>
      </c>
      <c r="B4629" s="3" t="s">
        <v>24203</v>
      </c>
      <c r="C4629" s="3" t="s">
        <v>54</v>
      </c>
      <c r="D4629" s="3" t="s">
        <v>32</v>
      </c>
      <c r="E4629" s="4" t="s">
        <v>22</v>
      </c>
      <c r="F4629" s="4" t="s">
        <v>24161</v>
      </c>
      <c r="G4629" s="4" t="s">
        <v>24138</v>
      </c>
      <c r="H4629" s="3" t="s">
        <v>23629</v>
      </c>
      <c r="I4629" s="3" t="s">
        <v>24139</v>
      </c>
      <c r="J4629" s="3" t="s">
        <v>24204</v>
      </c>
      <c r="K4629" s="3" t="s">
        <v>24205</v>
      </c>
      <c r="L4629" s="3" t="s">
        <v>24206</v>
      </c>
      <c r="M4629" s="4" t="s">
        <v>24207</v>
      </c>
      <c r="N4629" s="3" t="s">
        <v>37</v>
      </c>
      <c r="O4629" s="3" t="s">
        <v>38</v>
      </c>
      <c r="P4629" s="5">
        <v>21</v>
      </c>
      <c r="Q4629" s="5">
        <v>564</v>
      </c>
      <c r="R4629" s="5">
        <v>21</v>
      </c>
      <c r="S4629" s="5">
        <v>548</v>
      </c>
    </row>
    <row r="4630" spans="1:19" ht="28" x14ac:dyDescent="0.15">
      <c r="A4630" s="2">
        <f>HYPERLINK("https://open-school.uspishnemisto.com.ua/school/230133/", 230133)</f>
        <v>230133</v>
      </c>
      <c r="B4630" s="3" t="s">
        <v>24208</v>
      </c>
      <c r="C4630" s="3" t="s">
        <v>54</v>
      </c>
      <c r="D4630" s="3" t="s">
        <v>60</v>
      </c>
      <c r="E4630" s="4" t="s">
        <v>22</v>
      </c>
      <c r="F4630" s="4" t="s">
        <v>23674</v>
      </c>
      <c r="G4630" s="4" t="s">
        <v>24138</v>
      </c>
      <c r="H4630" s="3" t="s">
        <v>23629</v>
      </c>
      <c r="I4630" s="3" t="s">
        <v>24139</v>
      </c>
      <c r="J4630" s="3" t="s">
        <v>24209</v>
      </c>
      <c r="K4630" s="3" t="s">
        <v>24210</v>
      </c>
      <c r="L4630" s="3" t="s">
        <v>24211</v>
      </c>
      <c r="M4630" s="4"/>
      <c r="N4630" s="3" t="s">
        <v>37</v>
      </c>
      <c r="O4630" s="3" t="s">
        <v>38</v>
      </c>
      <c r="P4630" s="5">
        <v>8</v>
      </c>
      <c r="Q4630" s="5">
        <v>198</v>
      </c>
      <c r="R4630" s="5">
        <v>8</v>
      </c>
      <c r="S4630" s="5">
        <v>176</v>
      </c>
    </row>
    <row r="4631" spans="1:19" ht="42" x14ac:dyDescent="0.15">
      <c r="A4631" s="2">
        <f>HYPERLINK("https://open-school.uspishnemisto.com.ua/school/230134/", 230134)</f>
        <v>230134</v>
      </c>
      <c r="B4631" s="3" t="s">
        <v>24212</v>
      </c>
      <c r="C4631" s="3" t="s">
        <v>181</v>
      </c>
      <c r="D4631" s="3" t="s">
        <v>32</v>
      </c>
      <c r="E4631" s="4" t="s">
        <v>22</v>
      </c>
      <c r="F4631" s="4" t="s">
        <v>23817</v>
      </c>
      <c r="G4631" s="4" t="s">
        <v>24138</v>
      </c>
      <c r="H4631" s="3" t="s">
        <v>23629</v>
      </c>
      <c r="I4631" s="3" t="s">
        <v>24139</v>
      </c>
      <c r="J4631" s="3" t="s">
        <v>24213</v>
      </c>
      <c r="K4631" s="3" t="s">
        <v>24214</v>
      </c>
      <c r="L4631" s="3" t="s">
        <v>24215</v>
      </c>
      <c r="M4631" s="4" t="s">
        <v>24216</v>
      </c>
      <c r="N4631" s="3" t="s">
        <v>128</v>
      </c>
      <c r="O4631" s="3" t="s">
        <v>38</v>
      </c>
      <c r="P4631" s="5">
        <v>26</v>
      </c>
      <c r="Q4631" s="5">
        <v>281</v>
      </c>
      <c r="R4631" s="5">
        <v>25</v>
      </c>
      <c r="S4631" s="5">
        <v>266</v>
      </c>
    </row>
    <row r="4632" spans="1:19" ht="42" x14ac:dyDescent="0.15">
      <c r="A4632" s="2">
        <f>HYPERLINK("https://open-school.uspishnemisto.com.ua/school/230135/", 230135)</f>
        <v>230135</v>
      </c>
      <c r="B4632" s="3" t="s">
        <v>24217</v>
      </c>
      <c r="C4632" s="3" t="s">
        <v>181</v>
      </c>
      <c r="D4632" s="3" t="s">
        <v>175</v>
      </c>
      <c r="E4632" s="4" t="s">
        <v>22</v>
      </c>
      <c r="F4632" s="4" t="s">
        <v>24148</v>
      </c>
      <c r="G4632" s="4" t="s">
        <v>24138</v>
      </c>
      <c r="H4632" s="3" t="s">
        <v>23629</v>
      </c>
      <c r="I4632" s="3" t="s">
        <v>24139</v>
      </c>
      <c r="J4632" s="3" t="s">
        <v>24218</v>
      </c>
      <c r="K4632" s="3" t="s">
        <v>24219</v>
      </c>
      <c r="L4632" s="3" t="s">
        <v>24220</v>
      </c>
      <c r="M4632" s="4" t="s">
        <v>24221</v>
      </c>
      <c r="N4632" s="3" t="s">
        <v>37</v>
      </c>
      <c r="O4632" s="3" t="s">
        <v>52</v>
      </c>
      <c r="P4632" s="5">
        <v>20</v>
      </c>
      <c r="Q4632" s="5">
        <v>232</v>
      </c>
      <c r="R4632" s="5">
        <v>20</v>
      </c>
      <c r="S4632" s="5">
        <v>254</v>
      </c>
    </row>
    <row r="4633" spans="1:19" ht="28" x14ac:dyDescent="0.15">
      <c r="A4633" s="2">
        <f>HYPERLINK("https://open-school.uspishnemisto.com.ua/school/230136/", 230136)</f>
        <v>230136</v>
      </c>
      <c r="B4633" s="3" t="s">
        <v>24222</v>
      </c>
      <c r="C4633" s="3" t="s">
        <v>40</v>
      </c>
      <c r="D4633" s="3" t="s">
        <v>32</v>
      </c>
      <c r="E4633" s="4" t="s">
        <v>22</v>
      </c>
      <c r="F4633" s="4" t="s">
        <v>24223</v>
      </c>
      <c r="G4633" s="4" t="s">
        <v>24224</v>
      </c>
      <c r="H4633" s="3" t="s">
        <v>23629</v>
      </c>
      <c r="I4633" s="3" t="s">
        <v>24225</v>
      </c>
      <c r="J4633" s="3" t="s">
        <v>24226</v>
      </c>
      <c r="K4633" s="3" t="s">
        <v>24227</v>
      </c>
      <c r="L4633" s="3" t="s">
        <v>24228</v>
      </c>
      <c r="M4633" s="4"/>
      <c r="N4633" s="3" t="s">
        <v>37</v>
      </c>
      <c r="O4633" s="3" t="s">
        <v>721</v>
      </c>
      <c r="P4633" s="5">
        <v>20</v>
      </c>
      <c r="Q4633" s="5">
        <v>501</v>
      </c>
      <c r="R4633" s="5">
        <v>20</v>
      </c>
      <c r="S4633" s="5">
        <v>468</v>
      </c>
    </row>
    <row r="4634" spans="1:19" ht="28" x14ac:dyDescent="0.15">
      <c r="A4634" s="2">
        <f>HYPERLINK("https://open-school.uspishnemisto.com.ua/school/230137/", 230137)</f>
        <v>230137</v>
      </c>
      <c r="B4634" s="3" t="s">
        <v>24229</v>
      </c>
      <c r="C4634" s="3" t="s">
        <v>40</v>
      </c>
      <c r="D4634" s="3" t="s">
        <v>32</v>
      </c>
      <c r="E4634" s="4" t="s">
        <v>22</v>
      </c>
      <c r="F4634" s="4" t="s">
        <v>24230</v>
      </c>
      <c r="G4634" s="4" t="s">
        <v>24224</v>
      </c>
      <c r="H4634" s="3" t="s">
        <v>23629</v>
      </c>
      <c r="I4634" s="3" t="s">
        <v>24225</v>
      </c>
      <c r="J4634" s="3" t="s">
        <v>24231</v>
      </c>
      <c r="K4634" s="3" t="s">
        <v>24232</v>
      </c>
      <c r="L4634" s="3" t="s">
        <v>24233</v>
      </c>
      <c r="M4634" s="4"/>
      <c r="N4634" s="3" t="s">
        <v>37</v>
      </c>
      <c r="O4634" s="3" t="s">
        <v>46</v>
      </c>
      <c r="P4634" s="5">
        <v>11</v>
      </c>
      <c r="Q4634" s="5">
        <v>262</v>
      </c>
      <c r="R4634" s="5">
        <v>11</v>
      </c>
      <c r="S4634" s="5">
        <v>253</v>
      </c>
    </row>
    <row r="4635" spans="1:19" ht="28" x14ac:dyDescent="0.15">
      <c r="A4635" s="2">
        <f>HYPERLINK("https://open-school.uspishnemisto.com.ua/school/230138/", 230138)</f>
        <v>230138</v>
      </c>
      <c r="B4635" s="3" t="s">
        <v>24234</v>
      </c>
      <c r="C4635" s="3" t="s">
        <v>40</v>
      </c>
      <c r="D4635" s="3" t="s">
        <v>32</v>
      </c>
      <c r="E4635" s="4" t="s">
        <v>22</v>
      </c>
      <c r="F4635" s="4" t="s">
        <v>24235</v>
      </c>
      <c r="G4635" s="4" t="s">
        <v>24224</v>
      </c>
      <c r="H4635" s="3" t="s">
        <v>23629</v>
      </c>
      <c r="I4635" s="3" t="s">
        <v>24225</v>
      </c>
      <c r="J4635" s="3" t="s">
        <v>24236</v>
      </c>
      <c r="K4635" s="3" t="s">
        <v>24237</v>
      </c>
      <c r="L4635" s="3" t="s">
        <v>24238</v>
      </c>
      <c r="M4635" s="4"/>
      <c r="N4635" s="3" t="s">
        <v>128</v>
      </c>
      <c r="O4635" s="3" t="s">
        <v>70</v>
      </c>
      <c r="P4635" s="5">
        <v>30</v>
      </c>
      <c r="Q4635" s="5">
        <v>698</v>
      </c>
      <c r="R4635" s="5">
        <v>28</v>
      </c>
      <c r="S4635" s="5">
        <v>663</v>
      </c>
    </row>
    <row r="4636" spans="1:19" ht="28" x14ac:dyDescent="0.15">
      <c r="A4636" s="2">
        <f>HYPERLINK("https://open-school.uspishnemisto.com.ua/school/230139/", 230139)</f>
        <v>230139</v>
      </c>
      <c r="B4636" s="3" t="s">
        <v>24239</v>
      </c>
      <c r="C4636" s="3" t="s">
        <v>31</v>
      </c>
      <c r="D4636" s="3" t="s">
        <v>32</v>
      </c>
      <c r="E4636" s="4" t="s">
        <v>22</v>
      </c>
      <c r="F4636" s="4" t="s">
        <v>24223</v>
      </c>
      <c r="G4636" s="4" t="s">
        <v>24224</v>
      </c>
      <c r="H4636" s="3" t="s">
        <v>23629</v>
      </c>
      <c r="I4636" s="3" t="s">
        <v>24225</v>
      </c>
      <c r="J4636" s="3" t="s">
        <v>24240</v>
      </c>
      <c r="K4636" s="3" t="s">
        <v>24241</v>
      </c>
      <c r="L4636" s="3" t="s">
        <v>24242</v>
      </c>
      <c r="M4636" s="4"/>
      <c r="N4636" s="3" t="s">
        <v>967</v>
      </c>
      <c r="O4636" s="3" t="s">
        <v>2740</v>
      </c>
      <c r="P4636" s="5">
        <v>23</v>
      </c>
      <c r="Q4636" s="5">
        <v>596</v>
      </c>
      <c r="R4636" s="5">
        <v>25</v>
      </c>
      <c r="S4636" s="5">
        <v>624</v>
      </c>
    </row>
    <row r="4637" spans="1:19" ht="28" x14ac:dyDescent="0.15">
      <c r="A4637" s="2">
        <f>HYPERLINK("https://open-school.uspishnemisto.com.ua/school/230140/", 230140)</f>
        <v>230140</v>
      </c>
      <c r="B4637" s="3" t="s">
        <v>24243</v>
      </c>
      <c r="C4637" s="3" t="s">
        <v>31</v>
      </c>
      <c r="D4637" s="3" t="s">
        <v>175</v>
      </c>
      <c r="E4637" s="4" t="s">
        <v>22</v>
      </c>
      <c r="F4637" s="4" t="s">
        <v>24244</v>
      </c>
      <c r="G4637" s="4" t="s">
        <v>24224</v>
      </c>
      <c r="H4637" s="3" t="s">
        <v>23629</v>
      </c>
      <c r="I4637" s="3" t="s">
        <v>24225</v>
      </c>
      <c r="J4637" s="3" t="s">
        <v>24245</v>
      </c>
      <c r="K4637" s="3" t="s">
        <v>24246</v>
      </c>
      <c r="L4637" s="3"/>
      <c r="M4637" s="4"/>
      <c r="N4637" s="3" t="s">
        <v>967</v>
      </c>
      <c r="O4637" s="3" t="s">
        <v>46</v>
      </c>
      <c r="P4637" s="5">
        <v>17</v>
      </c>
      <c r="Q4637" s="5">
        <v>421</v>
      </c>
      <c r="R4637" s="5">
        <v>17</v>
      </c>
      <c r="S4637" s="5">
        <v>411</v>
      </c>
    </row>
    <row r="4638" spans="1:19" ht="28" x14ac:dyDescent="0.15">
      <c r="A4638" s="2">
        <f>HYPERLINK("https://open-school.uspishnemisto.com.ua/school/230141/", 230141)</f>
        <v>230141</v>
      </c>
      <c r="B4638" s="3" t="s">
        <v>24247</v>
      </c>
      <c r="C4638" s="3" t="s">
        <v>31</v>
      </c>
      <c r="D4638" s="3" t="s">
        <v>32</v>
      </c>
      <c r="E4638" s="4" t="s">
        <v>22</v>
      </c>
      <c r="F4638" s="4" t="s">
        <v>24230</v>
      </c>
      <c r="G4638" s="4" t="s">
        <v>24224</v>
      </c>
      <c r="H4638" s="3" t="s">
        <v>23629</v>
      </c>
      <c r="I4638" s="3" t="s">
        <v>24225</v>
      </c>
      <c r="J4638" s="3" t="s">
        <v>24248</v>
      </c>
      <c r="K4638" s="3" t="s">
        <v>24249</v>
      </c>
      <c r="L4638" s="3" t="s">
        <v>24250</v>
      </c>
      <c r="M4638" s="4"/>
      <c r="N4638" s="3" t="s">
        <v>967</v>
      </c>
      <c r="O4638" s="3" t="s">
        <v>123</v>
      </c>
      <c r="P4638" s="5">
        <v>28</v>
      </c>
      <c r="Q4638" s="5">
        <v>748</v>
      </c>
      <c r="R4638" s="5">
        <v>27</v>
      </c>
      <c r="S4638" s="5">
        <v>715</v>
      </c>
    </row>
    <row r="4639" spans="1:19" ht="28" x14ac:dyDescent="0.15">
      <c r="A4639" s="2">
        <f>HYPERLINK("https://open-school.uspishnemisto.com.ua/school/230142/", 230142)</f>
        <v>230142</v>
      </c>
      <c r="B4639" s="3" t="s">
        <v>24251</v>
      </c>
      <c r="C4639" s="3" t="s">
        <v>31</v>
      </c>
      <c r="D4639" s="3" t="s">
        <v>32</v>
      </c>
      <c r="E4639" s="4" t="s">
        <v>22</v>
      </c>
      <c r="F4639" s="4" t="s">
        <v>24252</v>
      </c>
      <c r="G4639" s="4" t="s">
        <v>24224</v>
      </c>
      <c r="H4639" s="3" t="s">
        <v>23629</v>
      </c>
      <c r="I4639" s="3" t="s">
        <v>24225</v>
      </c>
      <c r="J4639" s="3" t="s">
        <v>24253</v>
      </c>
      <c r="K4639" s="3" t="s">
        <v>24254</v>
      </c>
      <c r="L4639" s="3" t="s">
        <v>24255</v>
      </c>
      <c r="M4639" s="4"/>
      <c r="N4639" s="3" t="s">
        <v>37</v>
      </c>
      <c r="O4639" s="3" t="s">
        <v>38</v>
      </c>
      <c r="P4639" s="5">
        <v>20</v>
      </c>
      <c r="Q4639" s="5">
        <v>538</v>
      </c>
      <c r="R4639" s="5">
        <v>19</v>
      </c>
      <c r="S4639" s="5">
        <v>533</v>
      </c>
    </row>
    <row r="4640" spans="1:19" ht="28" x14ac:dyDescent="0.15">
      <c r="A4640" s="2">
        <f>HYPERLINK("https://open-school.uspishnemisto.com.ua/school/230143/", 230143)</f>
        <v>230143</v>
      </c>
      <c r="B4640" s="3" t="s">
        <v>24256</v>
      </c>
      <c r="C4640" s="3" t="s">
        <v>31</v>
      </c>
      <c r="D4640" s="3" t="s">
        <v>32</v>
      </c>
      <c r="E4640" s="4" t="s">
        <v>22</v>
      </c>
      <c r="F4640" s="4" t="s">
        <v>24223</v>
      </c>
      <c r="G4640" s="4" t="s">
        <v>24224</v>
      </c>
      <c r="H4640" s="3" t="s">
        <v>23629</v>
      </c>
      <c r="I4640" s="3" t="s">
        <v>24225</v>
      </c>
      <c r="J4640" s="3" t="s">
        <v>24257</v>
      </c>
      <c r="K4640" s="3" t="s">
        <v>24258</v>
      </c>
      <c r="L4640" s="3" t="s">
        <v>24259</v>
      </c>
      <c r="M4640" s="4"/>
      <c r="N4640" s="3" t="s">
        <v>37</v>
      </c>
      <c r="O4640" s="3" t="s">
        <v>721</v>
      </c>
      <c r="P4640" s="5">
        <v>41</v>
      </c>
      <c r="Q4640" s="5">
        <v>1033</v>
      </c>
      <c r="R4640" s="5">
        <v>40</v>
      </c>
      <c r="S4640" s="5">
        <v>1023</v>
      </c>
    </row>
    <row r="4641" spans="1:19" ht="28" x14ac:dyDescent="0.15">
      <c r="A4641" s="2">
        <f>HYPERLINK("https://open-school.uspishnemisto.com.ua/school/230144/", 230144)</f>
        <v>230144</v>
      </c>
      <c r="B4641" s="3" t="s">
        <v>24260</v>
      </c>
      <c r="C4641" s="3" t="s">
        <v>31</v>
      </c>
      <c r="D4641" s="3" t="s">
        <v>32</v>
      </c>
      <c r="E4641" s="4" t="s">
        <v>22</v>
      </c>
      <c r="F4641" s="4" t="s">
        <v>24244</v>
      </c>
      <c r="G4641" s="4" t="s">
        <v>24224</v>
      </c>
      <c r="H4641" s="3" t="s">
        <v>23629</v>
      </c>
      <c r="I4641" s="3" t="s">
        <v>24225</v>
      </c>
      <c r="J4641" s="3" t="s">
        <v>24261</v>
      </c>
      <c r="K4641" s="3" t="s">
        <v>24262</v>
      </c>
      <c r="L4641" s="3" t="s">
        <v>24263</v>
      </c>
      <c r="M4641" s="4"/>
      <c r="N4641" s="3" t="s">
        <v>37</v>
      </c>
      <c r="O4641" s="3" t="s">
        <v>70</v>
      </c>
      <c r="P4641" s="5">
        <v>24</v>
      </c>
      <c r="Q4641" s="5">
        <v>651</v>
      </c>
      <c r="R4641" s="5">
        <v>24</v>
      </c>
      <c r="S4641" s="5">
        <v>623</v>
      </c>
    </row>
    <row r="4642" spans="1:19" ht="28" x14ac:dyDescent="0.15">
      <c r="A4642" s="2">
        <f>HYPERLINK("https://open-school.uspishnemisto.com.ua/school/230145/", 230145)</f>
        <v>230145</v>
      </c>
      <c r="B4642" s="3" t="s">
        <v>24264</v>
      </c>
      <c r="C4642" s="3" t="s">
        <v>31</v>
      </c>
      <c r="D4642" s="3" t="s">
        <v>32</v>
      </c>
      <c r="E4642" s="4" t="s">
        <v>22</v>
      </c>
      <c r="F4642" s="4" t="s">
        <v>24265</v>
      </c>
      <c r="G4642" s="4" t="s">
        <v>24224</v>
      </c>
      <c r="H4642" s="3" t="s">
        <v>23629</v>
      </c>
      <c r="I4642" s="3" t="s">
        <v>24225</v>
      </c>
      <c r="J4642" s="3" t="s">
        <v>24266</v>
      </c>
      <c r="K4642" s="3" t="s">
        <v>24267</v>
      </c>
      <c r="L4642" s="3" t="s">
        <v>24268</v>
      </c>
      <c r="M4642" s="4"/>
      <c r="N4642" s="3" t="s">
        <v>37</v>
      </c>
      <c r="O4642" s="3" t="s">
        <v>38</v>
      </c>
      <c r="P4642" s="5">
        <v>49</v>
      </c>
      <c r="Q4642" s="5">
        <v>1330</v>
      </c>
      <c r="R4642" s="5">
        <v>49</v>
      </c>
      <c r="S4642" s="5">
        <v>1266</v>
      </c>
    </row>
    <row r="4643" spans="1:19" ht="42" x14ac:dyDescent="0.15">
      <c r="A4643" s="2">
        <f>HYPERLINK("https://open-school.uspishnemisto.com.ua/school/230146/", 230146)</f>
        <v>230146</v>
      </c>
      <c r="B4643" s="3" t="s">
        <v>24269</v>
      </c>
      <c r="C4643" s="3" t="s">
        <v>31</v>
      </c>
      <c r="D4643" s="3" t="s">
        <v>32</v>
      </c>
      <c r="E4643" s="4" t="s">
        <v>22</v>
      </c>
      <c r="F4643" s="4" t="s">
        <v>24230</v>
      </c>
      <c r="G4643" s="4" t="s">
        <v>24224</v>
      </c>
      <c r="H4643" s="3" t="s">
        <v>23629</v>
      </c>
      <c r="I4643" s="3" t="s">
        <v>24225</v>
      </c>
      <c r="J4643" s="3" t="s">
        <v>24270</v>
      </c>
      <c r="K4643" s="3" t="s">
        <v>24271</v>
      </c>
      <c r="L4643" s="3" t="s">
        <v>24272</v>
      </c>
      <c r="M4643" s="4"/>
      <c r="N4643" s="3" t="s">
        <v>967</v>
      </c>
      <c r="O4643" s="3" t="s">
        <v>123</v>
      </c>
      <c r="P4643" s="5">
        <v>23</v>
      </c>
      <c r="Q4643" s="5">
        <v>617</v>
      </c>
      <c r="R4643" s="5">
        <v>22</v>
      </c>
      <c r="S4643" s="5">
        <v>624</v>
      </c>
    </row>
    <row r="4644" spans="1:19" ht="28" x14ac:dyDescent="0.15">
      <c r="A4644" s="2">
        <f>HYPERLINK("https://open-school.uspishnemisto.com.ua/school/230147/", 230147)</f>
        <v>230147</v>
      </c>
      <c r="B4644" s="3" t="s">
        <v>24273</v>
      </c>
      <c r="C4644" s="3" t="s">
        <v>31</v>
      </c>
      <c r="D4644" s="3" t="s">
        <v>32</v>
      </c>
      <c r="E4644" s="4" t="s">
        <v>22</v>
      </c>
      <c r="F4644" s="4" t="s">
        <v>24274</v>
      </c>
      <c r="G4644" s="4" t="s">
        <v>24224</v>
      </c>
      <c r="H4644" s="3" t="s">
        <v>23629</v>
      </c>
      <c r="I4644" s="3" t="s">
        <v>24225</v>
      </c>
      <c r="J4644" s="3" t="s">
        <v>24275</v>
      </c>
      <c r="K4644" s="3" t="s">
        <v>24276</v>
      </c>
      <c r="L4644" s="3" t="s">
        <v>24277</v>
      </c>
      <c r="M4644" s="4"/>
      <c r="N4644" s="3" t="s">
        <v>128</v>
      </c>
      <c r="O4644" s="3" t="s">
        <v>38</v>
      </c>
      <c r="P4644" s="5">
        <v>19</v>
      </c>
      <c r="Q4644" s="5">
        <v>488</v>
      </c>
      <c r="R4644" s="5">
        <v>18</v>
      </c>
      <c r="S4644" s="5">
        <v>459</v>
      </c>
    </row>
    <row r="4645" spans="1:19" ht="42" x14ac:dyDescent="0.15">
      <c r="A4645" s="2">
        <f>HYPERLINK("https://open-school.uspishnemisto.com.ua/school/230148/", 230148)</f>
        <v>230148</v>
      </c>
      <c r="B4645" s="3" t="s">
        <v>24278</v>
      </c>
      <c r="C4645" s="3" t="s">
        <v>31</v>
      </c>
      <c r="D4645" s="3" t="s">
        <v>32</v>
      </c>
      <c r="E4645" s="4" t="s">
        <v>22</v>
      </c>
      <c r="F4645" s="4" t="s">
        <v>24252</v>
      </c>
      <c r="G4645" s="4" t="s">
        <v>24224</v>
      </c>
      <c r="H4645" s="3" t="s">
        <v>23629</v>
      </c>
      <c r="I4645" s="3" t="s">
        <v>24225</v>
      </c>
      <c r="J4645" s="3" t="s">
        <v>24279</v>
      </c>
      <c r="K4645" s="3" t="s">
        <v>24280</v>
      </c>
      <c r="L4645" s="3" t="s">
        <v>24281</v>
      </c>
      <c r="M4645" s="4"/>
      <c r="N4645" s="3" t="s">
        <v>967</v>
      </c>
      <c r="O4645" s="3" t="s">
        <v>52</v>
      </c>
      <c r="P4645" s="5">
        <v>11</v>
      </c>
      <c r="Q4645" s="5">
        <v>266</v>
      </c>
      <c r="R4645" s="5">
        <v>12</v>
      </c>
      <c r="S4645" s="5">
        <v>257</v>
      </c>
    </row>
    <row r="4646" spans="1:19" ht="28" x14ac:dyDescent="0.15">
      <c r="A4646" s="2">
        <f>HYPERLINK("https://open-school.uspishnemisto.com.ua/school/230149/", 230149)</f>
        <v>230149</v>
      </c>
      <c r="B4646" s="3" t="s">
        <v>24282</v>
      </c>
      <c r="C4646" s="3" t="s">
        <v>31</v>
      </c>
      <c r="D4646" s="3" t="s">
        <v>32</v>
      </c>
      <c r="E4646" s="4" t="s">
        <v>22</v>
      </c>
      <c r="F4646" s="4" t="s">
        <v>24223</v>
      </c>
      <c r="G4646" s="4" t="s">
        <v>24224</v>
      </c>
      <c r="H4646" s="3" t="s">
        <v>23629</v>
      </c>
      <c r="I4646" s="3" t="s">
        <v>24225</v>
      </c>
      <c r="J4646" s="3" t="s">
        <v>24283</v>
      </c>
      <c r="K4646" s="3" t="s">
        <v>937</v>
      </c>
      <c r="L4646" s="3" t="s">
        <v>24284</v>
      </c>
      <c r="M4646" s="4"/>
      <c r="N4646" s="3" t="s">
        <v>37</v>
      </c>
      <c r="O4646" s="3" t="s">
        <v>70</v>
      </c>
      <c r="P4646" s="5">
        <v>11</v>
      </c>
      <c r="Q4646" s="5">
        <v>269</v>
      </c>
      <c r="R4646" s="5">
        <v>11</v>
      </c>
      <c r="S4646" s="5">
        <v>282</v>
      </c>
    </row>
    <row r="4647" spans="1:19" ht="42" x14ac:dyDescent="0.15">
      <c r="A4647" s="2">
        <f>HYPERLINK("https://open-school.uspishnemisto.com.ua/school/230150/", 230150)</f>
        <v>230150</v>
      </c>
      <c r="B4647" s="3" t="s">
        <v>24285</v>
      </c>
      <c r="C4647" s="3" t="s">
        <v>244</v>
      </c>
      <c r="D4647" s="3" t="s">
        <v>32</v>
      </c>
      <c r="E4647" s="4" t="s">
        <v>22</v>
      </c>
      <c r="F4647" s="4" t="s">
        <v>24223</v>
      </c>
      <c r="G4647" s="4" t="s">
        <v>24224</v>
      </c>
      <c r="H4647" s="3" t="s">
        <v>23629</v>
      </c>
      <c r="I4647" s="3" t="s">
        <v>24225</v>
      </c>
      <c r="J4647" s="3" t="s">
        <v>24286</v>
      </c>
      <c r="K4647" s="3" t="s">
        <v>24287</v>
      </c>
      <c r="L4647" s="3" t="s">
        <v>24288</v>
      </c>
      <c r="M4647" s="4"/>
      <c r="N4647" s="3" t="s">
        <v>37</v>
      </c>
      <c r="O4647" s="3" t="s">
        <v>197</v>
      </c>
      <c r="P4647" s="5">
        <v>40</v>
      </c>
      <c r="Q4647" s="5">
        <v>1031</v>
      </c>
      <c r="R4647" s="5">
        <v>39</v>
      </c>
      <c r="S4647" s="5">
        <v>988</v>
      </c>
    </row>
    <row r="4648" spans="1:19" ht="28" x14ac:dyDescent="0.15">
      <c r="A4648" s="2">
        <f>HYPERLINK("https://open-school.uspishnemisto.com.ua/school/230151/", 230151)</f>
        <v>230151</v>
      </c>
      <c r="B4648" s="3" t="s">
        <v>24289</v>
      </c>
      <c r="C4648" s="3" t="s">
        <v>188</v>
      </c>
      <c r="D4648" s="3" t="s">
        <v>32</v>
      </c>
      <c r="E4648" s="4" t="s">
        <v>22</v>
      </c>
      <c r="F4648" s="4" t="s">
        <v>24223</v>
      </c>
      <c r="G4648" s="4" t="s">
        <v>24224</v>
      </c>
      <c r="H4648" s="3" t="s">
        <v>23629</v>
      </c>
      <c r="I4648" s="3" t="s">
        <v>24225</v>
      </c>
      <c r="J4648" s="3" t="s">
        <v>24290</v>
      </c>
      <c r="K4648" s="3" t="s">
        <v>24291</v>
      </c>
      <c r="L4648" s="3" t="s">
        <v>24292</v>
      </c>
      <c r="M4648" s="4"/>
      <c r="N4648" s="3" t="s">
        <v>967</v>
      </c>
      <c r="O4648" s="3" t="s">
        <v>46</v>
      </c>
      <c r="P4648" s="5">
        <v>10</v>
      </c>
      <c r="Q4648" s="5">
        <v>244</v>
      </c>
      <c r="R4648" s="5">
        <v>10</v>
      </c>
      <c r="S4648" s="5">
        <v>247</v>
      </c>
    </row>
    <row r="4649" spans="1:19" ht="56" x14ac:dyDescent="0.15">
      <c r="A4649" s="2">
        <f>HYPERLINK("https://open-school.uspishnemisto.com.ua/school/230152/", 230152)</f>
        <v>230152</v>
      </c>
      <c r="B4649" s="3" t="s">
        <v>24293</v>
      </c>
      <c r="C4649" s="3" t="s">
        <v>54</v>
      </c>
      <c r="D4649" s="3" t="s">
        <v>60</v>
      </c>
      <c r="E4649" s="4" t="s">
        <v>41</v>
      </c>
      <c r="F4649" s="4" t="s">
        <v>24223</v>
      </c>
      <c r="G4649" s="4" t="s">
        <v>24224</v>
      </c>
      <c r="H4649" s="3" t="s">
        <v>23629</v>
      </c>
      <c r="I4649" s="3" t="s">
        <v>24225</v>
      </c>
      <c r="J4649" s="3" t="s">
        <v>24294</v>
      </c>
      <c r="K4649" s="3" t="s">
        <v>24295</v>
      </c>
      <c r="L4649" s="3"/>
      <c r="M4649" s="4"/>
      <c r="N4649" s="3" t="s">
        <v>37</v>
      </c>
      <c r="O4649" s="3" t="s">
        <v>38</v>
      </c>
      <c r="P4649" s="5">
        <v>4</v>
      </c>
      <c r="Q4649" s="5">
        <v>53</v>
      </c>
      <c r="R4649" s="5">
        <v>4</v>
      </c>
      <c r="S4649" s="5">
        <v>55</v>
      </c>
    </row>
    <row r="4650" spans="1:19" ht="42" x14ac:dyDescent="0.15">
      <c r="A4650" s="2">
        <f>HYPERLINK("https://open-school.uspishnemisto.com.ua/school/230153/", 230153)</f>
        <v>230153</v>
      </c>
      <c r="B4650" s="3" t="s">
        <v>24296</v>
      </c>
      <c r="C4650" s="3" t="s">
        <v>2634</v>
      </c>
      <c r="D4650" s="3" t="s">
        <v>32</v>
      </c>
      <c r="E4650" s="4" t="s">
        <v>22</v>
      </c>
      <c r="F4650" s="4" t="s">
        <v>24235</v>
      </c>
      <c r="G4650" s="4" t="s">
        <v>24224</v>
      </c>
      <c r="H4650" s="3" t="s">
        <v>23629</v>
      </c>
      <c r="I4650" s="3" t="s">
        <v>24225</v>
      </c>
      <c r="J4650" s="3" t="s">
        <v>24297</v>
      </c>
      <c r="K4650" s="3" t="s">
        <v>24298</v>
      </c>
      <c r="L4650" s="3" t="s">
        <v>24299</v>
      </c>
      <c r="M4650" s="4" t="s">
        <v>24300</v>
      </c>
      <c r="N4650" s="3" t="s">
        <v>37</v>
      </c>
      <c r="O4650" s="3" t="s">
        <v>52</v>
      </c>
      <c r="P4650" s="5">
        <v>10</v>
      </c>
      <c r="Q4650" s="5">
        <v>110</v>
      </c>
      <c r="R4650" s="5">
        <v>9</v>
      </c>
      <c r="S4650" s="5">
        <v>114</v>
      </c>
    </row>
    <row r="4651" spans="1:19" ht="56" x14ac:dyDescent="0.15">
      <c r="A4651" s="2">
        <f>HYPERLINK("https://open-school.uspishnemisto.com.ua/school/230154/", 230154)</f>
        <v>230154</v>
      </c>
      <c r="B4651" s="3" t="s">
        <v>24301</v>
      </c>
      <c r="C4651" s="3" t="s">
        <v>54</v>
      </c>
      <c r="D4651" s="3" t="s">
        <v>32</v>
      </c>
      <c r="E4651" s="4" t="s">
        <v>22</v>
      </c>
      <c r="F4651" s="4" t="s">
        <v>24302</v>
      </c>
      <c r="G4651" s="4" t="s">
        <v>24303</v>
      </c>
      <c r="H4651" s="3" t="s">
        <v>23629</v>
      </c>
      <c r="I4651" s="3" t="s">
        <v>13182</v>
      </c>
      <c r="J4651" s="3" t="s">
        <v>4537</v>
      </c>
      <c r="K4651" s="3" t="s">
        <v>24304</v>
      </c>
      <c r="L4651" s="3" t="s">
        <v>24305</v>
      </c>
      <c r="M4651" s="4"/>
      <c r="N4651" s="3" t="s">
        <v>967</v>
      </c>
      <c r="O4651" s="3" t="s">
        <v>123</v>
      </c>
      <c r="P4651" s="5">
        <v>19</v>
      </c>
      <c r="Q4651" s="5">
        <v>238</v>
      </c>
      <c r="R4651" s="5">
        <v>19</v>
      </c>
      <c r="S4651" s="5">
        <v>243</v>
      </c>
    </row>
    <row r="4652" spans="1:19" ht="42" x14ac:dyDescent="0.15">
      <c r="A4652" s="2">
        <f>HYPERLINK("https://open-school.uspishnemisto.com.ua/school/230155/", 230155)</f>
        <v>230155</v>
      </c>
      <c r="B4652" s="3" t="s">
        <v>24306</v>
      </c>
      <c r="C4652" s="3" t="s">
        <v>2634</v>
      </c>
      <c r="D4652" s="3" t="s">
        <v>32</v>
      </c>
      <c r="E4652" s="4" t="s">
        <v>22</v>
      </c>
      <c r="F4652" s="4" t="s">
        <v>24307</v>
      </c>
      <c r="G4652" s="4" t="s">
        <v>24308</v>
      </c>
      <c r="H4652" s="3" t="s">
        <v>23629</v>
      </c>
      <c r="I4652" s="3" t="s">
        <v>24309</v>
      </c>
      <c r="J4652" s="3" t="s">
        <v>24310</v>
      </c>
      <c r="K4652" s="3" t="s">
        <v>24311</v>
      </c>
      <c r="L4652" s="3" t="s">
        <v>24312</v>
      </c>
      <c r="M4652" s="4" t="s">
        <v>24313</v>
      </c>
      <c r="N4652" s="3" t="s">
        <v>128</v>
      </c>
      <c r="O4652" s="3" t="s">
        <v>70</v>
      </c>
      <c r="P4652" s="5">
        <v>10</v>
      </c>
      <c r="Q4652" s="5">
        <v>136</v>
      </c>
      <c r="R4652" s="5">
        <v>10</v>
      </c>
      <c r="S4652" s="5">
        <v>151</v>
      </c>
    </row>
    <row r="4653" spans="1:19" ht="42" x14ac:dyDescent="0.15">
      <c r="A4653" s="2">
        <f>HYPERLINK("https://open-school.uspishnemisto.com.ua/school/230156/", 230156)</f>
        <v>230156</v>
      </c>
      <c r="B4653" s="3" t="s">
        <v>24314</v>
      </c>
      <c r="C4653" s="3" t="s">
        <v>4989</v>
      </c>
      <c r="D4653" s="3" t="s">
        <v>21</v>
      </c>
      <c r="E4653" s="4" t="s">
        <v>22</v>
      </c>
      <c r="F4653" s="4" t="s">
        <v>24315</v>
      </c>
      <c r="G4653" s="4" t="s">
        <v>24308</v>
      </c>
      <c r="H4653" s="3" t="s">
        <v>23629</v>
      </c>
      <c r="I4653" s="3" t="s">
        <v>24309</v>
      </c>
      <c r="J4653" s="3" t="s">
        <v>24316</v>
      </c>
      <c r="K4653" s="3" t="s">
        <v>24317</v>
      </c>
      <c r="L4653" s="3" t="s">
        <v>24318</v>
      </c>
      <c r="M4653" s="4" t="s">
        <v>24319</v>
      </c>
      <c r="N4653" s="3" t="s">
        <v>37</v>
      </c>
      <c r="O4653" s="3" t="s">
        <v>70</v>
      </c>
      <c r="P4653" s="5">
        <v>5</v>
      </c>
      <c r="Q4653" s="5">
        <v>106</v>
      </c>
      <c r="R4653" s="5">
        <v>7</v>
      </c>
      <c r="S4653" s="5">
        <v>167</v>
      </c>
    </row>
    <row r="4654" spans="1:19" ht="42" x14ac:dyDescent="0.15">
      <c r="A4654" s="2">
        <f>HYPERLINK("https://open-school.uspishnemisto.com.ua/school/230157/", 230157)</f>
        <v>230157</v>
      </c>
      <c r="B4654" s="3" t="s">
        <v>24320</v>
      </c>
      <c r="C4654" s="3" t="s">
        <v>181</v>
      </c>
      <c r="D4654" s="3" t="s">
        <v>175</v>
      </c>
      <c r="E4654" s="4" t="s">
        <v>22</v>
      </c>
      <c r="F4654" s="4" t="s">
        <v>24321</v>
      </c>
      <c r="G4654" s="4" t="s">
        <v>24308</v>
      </c>
      <c r="H4654" s="3" t="s">
        <v>23629</v>
      </c>
      <c r="I4654" s="3" t="s">
        <v>24309</v>
      </c>
      <c r="J4654" s="3" t="s">
        <v>24322</v>
      </c>
      <c r="K4654" s="3" t="s">
        <v>24323</v>
      </c>
      <c r="L4654" s="3"/>
      <c r="M4654" s="4" t="s">
        <v>24324</v>
      </c>
      <c r="N4654" s="3" t="s">
        <v>967</v>
      </c>
      <c r="O4654" s="3" t="s">
        <v>52</v>
      </c>
      <c r="P4654" s="5">
        <v>21</v>
      </c>
      <c r="Q4654" s="5">
        <v>248</v>
      </c>
      <c r="R4654" s="5">
        <v>21</v>
      </c>
      <c r="S4654" s="5">
        <v>269</v>
      </c>
    </row>
    <row r="4655" spans="1:19" ht="28" x14ac:dyDescent="0.15">
      <c r="A4655" s="2">
        <f>HYPERLINK("https://open-school.uspishnemisto.com.ua/school/230159/", 230159)</f>
        <v>230159</v>
      </c>
      <c r="B4655" s="3" t="s">
        <v>24325</v>
      </c>
      <c r="C4655" s="3" t="s">
        <v>40</v>
      </c>
      <c r="D4655" s="3" t="s">
        <v>32</v>
      </c>
      <c r="E4655" s="4" t="s">
        <v>22</v>
      </c>
      <c r="F4655" s="4" t="s">
        <v>24326</v>
      </c>
      <c r="G4655" s="4" t="s">
        <v>24308</v>
      </c>
      <c r="H4655" s="3" t="s">
        <v>23629</v>
      </c>
      <c r="I4655" s="3" t="s">
        <v>24309</v>
      </c>
      <c r="J4655" s="3" t="s">
        <v>24327</v>
      </c>
      <c r="K4655" s="3" t="s">
        <v>24328</v>
      </c>
      <c r="L4655" s="3" t="s">
        <v>24329</v>
      </c>
      <c r="M4655" s="4"/>
      <c r="N4655" s="3" t="s">
        <v>37</v>
      </c>
      <c r="O4655" s="3" t="s">
        <v>70</v>
      </c>
      <c r="P4655" s="5">
        <v>10</v>
      </c>
      <c r="Q4655" s="5">
        <v>261</v>
      </c>
      <c r="R4655" s="5">
        <v>10</v>
      </c>
      <c r="S4655" s="5">
        <v>265</v>
      </c>
    </row>
    <row r="4656" spans="1:19" ht="28" x14ac:dyDescent="0.15">
      <c r="A4656" s="2">
        <f>HYPERLINK("https://open-school.uspishnemisto.com.ua/school/230160/", 230160)</f>
        <v>230160</v>
      </c>
      <c r="B4656" s="3" t="s">
        <v>24330</v>
      </c>
      <c r="C4656" s="3" t="s">
        <v>40</v>
      </c>
      <c r="D4656" s="3" t="s">
        <v>32</v>
      </c>
      <c r="E4656" s="4" t="s">
        <v>22</v>
      </c>
      <c r="F4656" s="4" t="s">
        <v>24321</v>
      </c>
      <c r="G4656" s="4" t="s">
        <v>24308</v>
      </c>
      <c r="H4656" s="3" t="s">
        <v>23629</v>
      </c>
      <c r="I4656" s="3" t="s">
        <v>24309</v>
      </c>
      <c r="J4656" s="3" t="s">
        <v>24331</v>
      </c>
      <c r="K4656" s="3" t="s">
        <v>24332</v>
      </c>
      <c r="L4656" s="3" t="s">
        <v>24333</v>
      </c>
      <c r="M4656" s="4"/>
      <c r="N4656" s="3" t="s">
        <v>128</v>
      </c>
      <c r="O4656" s="3" t="s">
        <v>70</v>
      </c>
      <c r="P4656" s="5">
        <v>14</v>
      </c>
      <c r="Q4656" s="5">
        <v>399</v>
      </c>
      <c r="R4656" s="5">
        <v>14</v>
      </c>
      <c r="S4656" s="5">
        <v>390</v>
      </c>
    </row>
    <row r="4657" spans="1:19" ht="28" x14ac:dyDescent="0.15">
      <c r="A4657" s="2">
        <f>HYPERLINK("https://open-school.uspishnemisto.com.ua/school/230161/", 230161)</f>
        <v>230161</v>
      </c>
      <c r="B4657" s="3" t="s">
        <v>24334</v>
      </c>
      <c r="C4657" s="3" t="s">
        <v>40</v>
      </c>
      <c r="D4657" s="3" t="s">
        <v>32</v>
      </c>
      <c r="E4657" s="4" t="s">
        <v>22</v>
      </c>
      <c r="F4657" s="4" t="s">
        <v>24335</v>
      </c>
      <c r="G4657" s="4" t="s">
        <v>24308</v>
      </c>
      <c r="H4657" s="3" t="s">
        <v>23629</v>
      </c>
      <c r="I4657" s="3" t="s">
        <v>24309</v>
      </c>
      <c r="J4657" s="3" t="s">
        <v>24336</v>
      </c>
      <c r="K4657" s="3" t="s">
        <v>24337</v>
      </c>
      <c r="L4657" s="3" t="s">
        <v>24338</v>
      </c>
      <c r="M4657" s="4"/>
      <c r="N4657" s="3" t="s">
        <v>37</v>
      </c>
      <c r="O4657" s="3" t="s">
        <v>46</v>
      </c>
      <c r="P4657" s="5">
        <v>22</v>
      </c>
      <c r="Q4657" s="5">
        <v>595</v>
      </c>
      <c r="R4657" s="5">
        <v>22</v>
      </c>
      <c r="S4657" s="5">
        <v>634</v>
      </c>
    </row>
    <row r="4658" spans="1:19" ht="28" x14ac:dyDescent="0.15">
      <c r="A4658" s="2">
        <f>HYPERLINK("https://open-school.uspishnemisto.com.ua/school/230162/", 230162)</f>
        <v>230162</v>
      </c>
      <c r="B4658" s="3" t="s">
        <v>24339</v>
      </c>
      <c r="C4658" s="3" t="s">
        <v>40</v>
      </c>
      <c r="D4658" s="3" t="s">
        <v>32</v>
      </c>
      <c r="E4658" s="4" t="s">
        <v>22</v>
      </c>
      <c r="F4658" s="4" t="s">
        <v>24340</v>
      </c>
      <c r="G4658" s="4" t="s">
        <v>24308</v>
      </c>
      <c r="H4658" s="3" t="s">
        <v>23629</v>
      </c>
      <c r="I4658" s="3" t="s">
        <v>24309</v>
      </c>
      <c r="J4658" s="3" t="s">
        <v>24341</v>
      </c>
      <c r="K4658" s="3" t="s">
        <v>24342</v>
      </c>
      <c r="L4658" s="3" t="s">
        <v>24343</v>
      </c>
      <c r="M4658" s="4"/>
      <c r="N4658" s="3" t="s">
        <v>37</v>
      </c>
      <c r="O4658" s="3" t="s">
        <v>70</v>
      </c>
      <c r="P4658" s="5">
        <v>19</v>
      </c>
      <c r="Q4658" s="5">
        <v>534</v>
      </c>
      <c r="R4658" s="5">
        <v>19</v>
      </c>
      <c r="S4658" s="5">
        <v>513</v>
      </c>
    </row>
    <row r="4659" spans="1:19" ht="28" x14ac:dyDescent="0.15">
      <c r="A4659" s="2">
        <f>HYPERLINK("https://open-school.uspishnemisto.com.ua/school/230163/", 230163)</f>
        <v>230163</v>
      </c>
      <c r="B4659" s="3" t="s">
        <v>24344</v>
      </c>
      <c r="C4659" s="3" t="s">
        <v>31</v>
      </c>
      <c r="D4659" s="3" t="s">
        <v>60</v>
      </c>
      <c r="E4659" s="4" t="s">
        <v>22</v>
      </c>
      <c r="F4659" s="4" t="s">
        <v>24321</v>
      </c>
      <c r="G4659" s="4" t="s">
        <v>24308</v>
      </c>
      <c r="H4659" s="3" t="s">
        <v>23629</v>
      </c>
      <c r="I4659" s="3" t="s">
        <v>24309</v>
      </c>
      <c r="J4659" s="3" t="s">
        <v>24345</v>
      </c>
      <c r="K4659" s="3" t="s">
        <v>24346</v>
      </c>
      <c r="L4659" s="3" t="s">
        <v>24347</v>
      </c>
      <c r="M4659" s="4"/>
      <c r="N4659" s="3" t="s">
        <v>37</v>
      </c>
      <c r="O4659" s="3" t="s">
        <v>38</v>
      </c>
      <c r="P4659" s="5">
        <v>12</v>
      </c>
      <c r="Q4659" s="5">
        <v>373</v>
      </c>
      <c r="R4659" s="5">
        <v>12</v>
      </c>
      <c r="S4659" s="5">
        <v>362</v>
      </c>
    </row>
    <row r="4660" spans="1:19" ht="28" x14ac:dyDescent="0.15">
      <c r="A4660" s="2">
        <f>HYPERLINK("https://open-school.uspishnemisto.com.ua/school/230164/", 230164)</f>
        <v>230164</v>
      </c>
      <c r="B4660" s="3" t="s">
        <v>24348</v>
      </c>
      <c r="C4660" s="3" t="s">
        <v>31</v>
      </c>
      <c r="D4660" s="3" t="s">
        <v>32</v>
      </c>
      <c r="E4660" s="4" t="s">
        <v>22</v>
      </c>
      <c r="F4660" s="4" t="s">
        <v>24326</v>
      </c>
      <c r="G4660" s="4" t="s">
        <v>24308</v>
      </c>
      <c r="H4660" s="3" t="s">
        <v>23629</v>
      </c>
      <c r="I4660" s="3" t="s">
        <v>24309</v>
      </c>
      <c r="J4660" s="3" t="s">
        <v>24349</v>
      </c>
      <c r="K4660" s="3" t="s">
        <v>24350</v>
      </c>
      <c r="L4660" s="3" t="s">
        <v>24351</v>
      </c>
      <c r="M4660" s="4"/>
      <c r="N4660" s="3" t="s">
        <v>37</v>
      </c>
      <c r="O4660" s="3" t="s">
        <v>70</v>
      </c>
      <c r="P4660" s="5">
        <v>35</v>
      </c>
      <c r="Q4660" s="5">
        <v>1005</v>
      </c>
      <c r="R4660" s="5">
        <v>34</v>
      </c>
      <c r="S4660" s="5">
        <v>978</v>
      </c>
    </row>
    <row r="4661" spans="1:19" ht="28" x14ac:dyDescent="0.15">
      <c r="A4661" s="2">
        <f>HYPERLINK("https://open-school.uspishnemisto.com.ua/school/230165/", 230165)</f>
        <v>230165</v>
      </c>
      <c r="B4661" s="3" t="s">
        <v>24352</v>
      </c>
      <c r="C4661" s="3" t="s">
        <v>31</v>
      </c>
      <c r="D4661" s="3" t="s">
        <v>60</v>
      </c>
      <c r="E4661" s="4" t="s">
        <v>22</v>
      </c>
      <c r="F4661" s="4" t="s">
        <v>24321</v>
      </c>
      <c r="G4661" s="4" t="s">
        <v>24308</v>
      </c>
      <c r="H4661" s="3" t="s">
        <v>23629</v>
      </c>
      <c r="I4661" s="3" t="s">
        <v>24309</v>
      </c>
      <c r="J4661" s="3" t="s">
        <v>24353</v>
      </c>
      <c r="K4661" s="3" t="s">
        <v>24354</v>
      </c>
      <c r="L4661" s="3" t="s">
        <v>24355</v>
      </c>
      <c r="M4661" s="4"/>
      <c r="N4661" s="3" t="s">
        <v>128</v>
      </c>
      <c r="O4661" s="3" t="s">
        <v>38</v>
      </c>
      <c r="P4661" s="5">
        <v>10</v>
      </c>
      <c r="Q4661" s="5">
        <v>310</v>
      </c>
      <c r="R4661" s="5">
        <v>10</v>
      </c>
      <c r="S4661" s="5">
        <v>302</v>
      </c>
    </row>
    <row r="4662" spans="1:19" ht="28" x14ac:dyDescent="0.15">
      <c r="A4662" s="2">
        <f>HYPERLINK("https://open-school.uspishnemisto.com.ua/school/230166/", 230166)</f>
        <v>230166</v>
      </c>
      <c r="B4662" s="3" t="s">
        <v>24356</v>
      </c>
      <c r="C4662" s="3" t="s">
        <v>31</v>
      </c>
      <c r="D4662" s="3" t="s">
        <v>32</v>
      </c>
      <c r="E4662" s="4" t="s">
        <v>22</v>
      </c>
      <c r="F4662" s="4" t="s">
        <v>24335</v>
      </c>
      <c r="G4662" s="4" t="s">
        <v>24308</v>
      </c>
      <c r="H4662" s="3" t="s">
        <v>23629</v>
      </c>
      <c r="I4662" s="3" t="s">
        <v>24309</v>
      </c>
      <c r="J4662" s="3" t="s">
        <v>24357</v>
      </c>
      <c r="K4662" s="3" t="s">
        <v>24358</v>
      </c>
      <c r="L4662" s="3" t="s">
        <v>24359</v>
      </c>
      <c r="M4662" s="4"/>
      <c r="N4662" s="3" t="s">
        <v>128</v>
      </c>
      <c r="O4662" s="3" t="s">
        <v>38</v>
      </c>
      <c r="P4662" s="5">
        <v>31</v>
      </c>
      <c r="Q4662" s="5">
        <v>840</v>
      </c>
      <c r="R4662" s="5">
        <v>31</v>
      </c>
      <c r="S4662" s="5">
        <v>842</v>
      </c>
    </row>
    <row r="4663" spans="1:19" ht="28" x14ac:dyDescent="0.15">
      <c r="A4663" s="2">
        <f>HYPERLINK("https://open-school.uspishnemisto.com.ua/school/230167/", 230167)</f>
        <v>230167</v>
      </c>
      <c r="B4663" s="3" t="s">
        <v>24360</v>
      </c>
      <c r="C4663" s="3" t="s">
        <v>31</v>
      </c>
      <c r="D4663" s="3" t="s">
        <v>32</v>
      </c>
      <c r="E4663" s="4" t="s">
        <v>22</v>
      </c>
      <c r="F4663" s="4" t="s">
        <v>24361</v>
      </c>
      <c r="G4663" s="4" t="s">
        <v>24308</v>
      </c>
      <c r="H4663" s="3" t="s">
        <v>23629</v>
      </c>
      <c r="I4663" s="3" t="s">
        <v>24309</v>
      </c>
      <c r="J4663" s="3" t="s">
        <v>24362</v>
      </c>
      <c r="K4663" s="3" t="s">
        <v>24363</v>
      </c>
      <c r="L4663" s="3" t="s">
        <v>24364</v>
      </c>
      <c r="M4663" s="4"/>
      <c r="N4663" s="3" t="s">
        <v>128</v>
      </c>
      <c r="O4663" s="3" t="s">
        <v>38</v>
      </c>
      <c r="P4663" s="5">
        <v>17</v>
      </c>
      <c r="Q4663" s="5">
        <v>420</v>
      </c>
      <c r="R4663" s="5">
        <v>16</v>
      </c>
      <c r="S4663" s="5">
        <v>432</v>
      </c>
    </row>
    <row r="4664" spans="1:19" ht="28" x14ac:dyDescent="0.15">
      <c r="A4664" s="2">
        <f>HYPERLINK("https://open-school.uspishnemisto.com.ua/school/230168/", 230168)</f>
        <v>230168</v>
      </c>
      <c r="B4664" s="3" t="s">
        <v>24365</v>
      </c>
      <c r="C4664" s="3" t="s">
        <v>31</v>
      </c>
      <c r="D4664" s="3" t="s">
        <v>32</v>
      </c>
      <c r="E4664" s="4" t="s">
        <v>22</v>
      </c>
      <c r="F4664" s="4" t="s">
        <v>24307</v>
      </c>
      <c r="G4664" s="4" t="s">
        <v>24308</v>
      </c>
      <c r="H4664" s="3" t="s">
        <v>23629</v>
      </c>
      <c r="I4664" s="3" t="s">
        <v>24309</v>
      </c>
      <c r="J4664" s="3" t="s">
        <v>24366</v>
      </c>
      <c r="K4664" s="3" t="s">
        <v>24367</v>
      </c>
      <c r="L4664" s="3" t="s">
        <v>24368</v>
      </c>
      <c r="M4664" s="4"/>
      <c r="N4664" s="3" t="s">
        <v>37</v>
      </c>
      <c r="O4664" s="3" t="s">
        <v>38</v>
      </c>
      <c r="P4664" s="5">
        <v>35</v>
      </c>
      <c r="Q4664" s="5">
        <v>983</v>
      </c>
      <c r="R4664" s="5">
        <v>34</v>
      </c>
      <c r="S4664" s="5">
        <v>970</v>
      </c>
    </row>
    <row r="4665" spans="1:19" ht="28" x14ac:dyDescent="0.15">
      <c r="A4665" s="2">
        <f>HYPERLINK("https://open-school.uspishnemisto.com.ua/school/230169/", 230169)</f>
        <v>230169</v>
      </c>
      <c r="B4665" s="3" t="s">
        <v>24369</v>
      </c>
      <c r="C4665" s="3" t="s">
        <v>31</v>
      </c>
      <c r="D4665" s="3" t="s">
        <v>32</v>
      </c>
      <c r="E4665" s="4" t="s">
        <v>22</v>
      </c>
      <c r="F4665" s="4" t="s">
        <v>24321</v>
      </c>
      <c r="G4665" s="4" t="s">
        <v>24308</v>
      </c>
      <c r="H4665" s="3" t="s">
        <v>23629</v>
      </c>
      <c r="I4665" s="3" t="s">
        <v>24309</v>
      </c>
      <c r="J4665" s="3" t="s">
        <v>24370</v>
      </c>
      <c r="K4665" s="3" t="s">
        <v>24371</v>
      </c>
      <c r="L4665" s="3" t="s">
        <v>24372</v>
      </c>
      <c r="M4665" s="4"/>
      <c r="N4665" s="3" t="s">
        <v>37</v>
      </c>
      <c r="O4665" s="3" t="s">
        <v>721</v>
      </c>
      <c r="P4665" s="5">
        <v>18</v>
      </c>
      <c r="Q4665" s="5">
        <v>513</v>
      </c>
      <c r="R4665" s="5">
        <v>18</v>
      </c>
      <c r="S4665" s="5">
        <v>480</v>
      </c>
    </row>
    <row r="4666" spans="1:19" ht="28" x14ac:dyDescent="0.15">
      <c r="A4666" s="2">
        <f>HYPERLINK("https://open-school.uspishnemisto.com.ua/school/230170/", 230170)</f>
        <v>230170</v>
      </c>
      <c r="B4666" s="3" t="s">
        <v>24373</v>
      </c>
      <c r="C4666" s="3" t="s">
        <v>31</v>
      </c>
      <c r="D4666" s="3" t="s">
        <v>32</v>
      </c>
      <c r="E4666" s="4" t="s">
        <v>22</v>
      </c>
      <c r="F4666" s="4" t="s">
        <v>24321</v>
      </c>
      <c r="G4666" s="4" t="s">
        <v>24308</v>
      </c>
      <c r="H4666" s="3" t="s">
        <v>23629</v>
      </c>
      <c r="I4666" s="3" t="s">
        <v>24309</v>
      </c>
      <c r="J4666" s="3" t="s">
        <v>24374</v>
      </c>
      <c r="K4666" s="3" t="s">
        <v>24375</v>
      </c>
      <c r="L4666" s="3" t="s">
        <v>24376</v>
      </c>
      <c r="M4666" s="4"/>
      <c r="N4666" s="3" t="s">
        <v>967</v>
      </c>
      <c r="O4666" s="3" t="s">
        <v>46</v>
      </c>
      <c r="P4666" s="5">
        <v>19</v>
      </c>
      <c r="Q4666" s="5">
        <v>552</v>
      </c>
      <c r="R4666" s="5">
        <v>18</v>
      </c>
      <c r="S4666" s="5">
        <v>533</v>
      </c>
    </row>
    <row r="4667" spans="1:19" ht="28" x14ac:dyDescent="0.15">
      <c r="A4667" s="2">
        <f>HYPERLINK("https://open-school.uspishnemisto.com.ua/school/230171/", 230171)</f>
        <v>230171</v>
      </c>
      <c r="B4667" s="3" t="s">
        <v>24377</v>
      </c>
      <c r="C4667" s="3" t="s">
        <v>31</v>
      </c>
      <c r="D4667" s="3" t="s">
        <v>32</v>
      </c>
      <c r="E4667" s="4" t="s">
        <v>22</v>
      </c>
      <c r="F4667" s="4" t="s">
        <v>24378</v>
      </c>
      <c r="G4667" s="4" t="s">
        <v>24308</v>
      </c>
      <c r="H4667" s="3" t="s">
        <v>23629</v>
      </c>
      <c r="I4667" s="3" t="s">
        <v>24309</v>
      </c>
      <c r="J4667" s="3" t="s">
        <v>24379</v>
      </c>
      <c r="K4667" s="3" t="s">
        <v>24380</v>
      </c>
      <c r="L4667" s="3" t="s">
        <v>24381</v>
      </c>
      <c r="M4667" s="4"/>
      <c r="N4667" s="3" t="s">
        <v>967</v>
      </c>
      <c r="O4667" s="3" t="s">
        <v>46</v>
      </c>
      <c r="P4667" s="5">
        <v>19</v>
      </c>
      <c r="Q4667" s="5">
        <v>507</v>
      </c>
      <c r="R4667" s="5">
        <v>19</v>
      </c>
      <c r="S4667" s="5">
        <v>520</v>
      </c>
    </row>
    <row r="4668" spans="1:19" ht="28" x14ac:dyDescent="0.15">
      <c r="A4668" s="2">
        <f>HYPERLINK("https://open-school.uspishnemisto.com.ua/school/230172/", 230172)</f>
        <v>230172</v>
      </c>
      <c r="B4668" s="3" t="s">
        <v>24382</v>
      </c>
      <c r="C4668" s="3" t="s">
        <v>31</v>
      </c>
      <c r="D4668" s="3" t="s">
        <v>32</v>
      </c>
      <c r="E4668" s="4" t="s">
        <v>22</v>
      </c>
      <c r="F4668" s="4" t="s">
        <v>24335</v>
      </c>
      <c r="G4668" s="4" t="s">
        <v>24308</v>
      </c>
      <c r="H4668" s="3" t="s">
        <v>23629</v>
      </c>
      <c r="I4668" s="3" t="s">
        <v>24309</v>
      </c>
      <c r="J4668" s="3" t="s">
        <v>24383</v>
      </c>
      <c r="K4668" s="3" t="s">
        <v>24384</v>
      </c>
      <c r="L4668" s="3" t="s">
        <v>24385</v>
      </c>
      <c r="M4668" s="4"/>
      <c r="N4668" s="3" t="s">
        <v>128</v>
      </c>
      <c r="O4668" s="3" t="s">
        <v>70</v>
      </c>
      <c r="P4668" s="5">
        <v>31</v>
      </c>
      <c r="Q4668" s="5">
        <v>897</v>
      </c>
      <c r="R4668" s="5">
        <v>30</v>
      </c>
      <c r="S4668" s="5">
        <v>869</v>
      </c>
    </row>
    <row r="4669" spans="1:19" ht="28" x14ac:dyDescent="0.15">
      <c r="A4669" s="2">
        <f>HYPERLINK("https://open-school.uspishnemisto.com.ua/school/230173/", 230173)</f>
        <v>230173</v>
      </c>
      <c r="B4669" s="3" t="s">
        <v>24386</v>
      </c>
      <c r="C4669" s="3" t="s">
        <v>31</v>
      </c>
      <c r="D4669" s="3" t="s">
        <v>32</v>
      </c>
      <c r="E4669" s="4" t="s">
        <v>22</v>
      </c>
      <c r="F4669" s="4" t="s">
        <v>24387</v>
      </c>
      <c r="G4669" s="4" t="s">
        <v>24308</v>
      </c>
      <c r="H4669" s="3" t="s">
        <v>23629</v>
      </c>
      <c r="I4669" s="3" t="s">
        <v>24309</v>
      </c>
      <c r="J4669" s="3" t="s">
        <v>24388</v>
      </c>
      <c r="K4669" s="3" t="s">
        <v>24389</v>
      </c>
      <c r="L4669" s="3" t="s">
        <v>24390</v>
      </c>
      <c r="M4669" s="4"/>
      <c r="N4669" s="3" t="s">
        <v>37</v>
      </c>
      <c r="O4669" s="3" t="s">
        <v>46</v>
      </c>
      <c r="P4669" s="5">
        <v>18</v>
      </c>
      <c r="Q4669" s="5">
        <v>460</v>
      </c>
      <c r="R4669" s="5">
        <v>16</v>
      </c>
      <c r="S4669" s="5">
        <v>433</v>
      </c>
    </row>
    <row r="4670" spans="1:19" ht="28" x14ac:dyDescent="0.15">
      <c r="A4670" s="2">
        <f>HYPERLINK("https://open-school.uspishnemisto.com.ua/school/230174/", 230174)</f>
        <v>230174</v>
      </c>
      <c r="B4670" s="3" t="s">
        <v>24391</v>
      </c>
      <c r="C4670" s="3" t="s">
        <v>31</v>
      </c>
      <c r="D4670" s="3" t="s">
        <v>32</v>
      </c>
      <c r="E4670" s="4" t="s">
        <v>22</v>
      </c>
      <c r="F4670" s="4" t="s">
        <v>24315</v>
      </c>
      <c r="G4670" s="4" t="s">
        <v>24308</v>
      </c>
      <c r="H4670" s="3" t="s">
        <v>23629</v>
      </c>
      <c r="I4670" s="3" t="s">
        <v>24309</v>
      </c>
      <c r="J4670" s="3" t="s">
        <v>24392</v>
      </c>
      <c r="K4670" s="3" t="s">
        <v>24393</v>
      </c>
      <c r="L4670" s="3" t="s">
        <v>24394</v>
      </c>
      <c r="M4670" s="4" t="s">
        <v>24395</v>
      </c>
      <c r="N4670" s="3" t="s">
        <v>128</v>
      </c>
      <c r="O4670" s="3" t="s">
        <v>70</v>
      </c>
      <c r="P4670" s="5">
        <v>45</v>
      </c>
      <c r="Q4670" s="5">
        <v>1311</v>
      </c>
      <c r="R4670" s="5">
        <v>44</v>
      </c>
      <c r="S4670" s="5">
        <v>1268</v>
      </c>
    </row>
    <row r="4671" spans="1:19" ht="28" x14ac:dyDescent="0.15">
      <c r="A4671" s="2">
        <f>HYPERLINK("https://open-school.uspishnemisto.com.ua/school/230175/", 230175)</f>
        <v>230175</v>
      </c>
      <c r="B4671" s="3" t="s">
        <v>24396</v>
      </c>
      <c r="C4671" s="3" t="s">
        <v>31</v>
      </c>
      <c r="D4671" s="3" t="s">
        <v>32</v>
      </c>
      <c r="E4671" s="4" t="s">
        <v>22</v>
      </c>
      <c r="F4671" s="4" t="s">
        <v>24397</v>
      </c>
      <c r="G4671" s="4" t="s">
        <v>24308</v>
      </c>
      <c r="H4671" s="3" t="s">
        <v>23629</v>
      </c>
      <c r="I4671" s="3" t="s">
        <v>24309</v>
      </c>
      <c r="J4671" s="3" t="s">
        <v>24398</v>
      </c>
      <c r="K4671" s="3" t="s">
        <v>24399</v>
      </c>
      <c r="L4671" s="3" t="s">
        <v>24400</v>
      </c>
      <c r="M4671" s="4"/>
      <c r="N4671" s="3" t="s">
        <v>37</v>
      </c>
      <c r="O4671" s="3" t="s">
        <v>70</v>
      </c>
      <c r="P4671" s="5">
        <v>22</v>
      </c>
      <c r="Q4671" s="5">
        <v>620</v>
      </c>
      <c r="R4671" s="5">
        <v>22</v>
      </c>
      <c r="S4671" s="5">
        <v>605</v>
      </c>
    </row>
    <row r="4672" spans="1:19" ht="28" x14ac:dyDescent="0.15">
      <c r="A4672" s="2">
        <f>HYPERLINK("https://open-school.uspishnemisto.com.ua/school/230176/", 230176)</f>
        <v>230176</v>
      </c>
      <c r="B4672" s="3" t="s">
        <v>24401</v>
      </c>
      <c r="C4672" s="3" t="s">
        <v>31</v>
      </c>
      <c r="D4672" s="3" t="s">
        <v>21</v>
      </c>
      <c r="E4672" s="4" t="s">
        <v>253</v>
      </c>
      <c r="F4672" s="4" t="s">
        <v>24402</v>
      </c>
      <c r="G4672" s="4" t="s">
        <v>24308</v>
      </c>
      <c r="H4672" s="3" t="s">
        <v>23629</v>
      </c>
      <c r="I4672" s="3" t="s">
        <v>24309</v>
      </c>
      <c r="J4672" s="3" t="s">
        <v>24403</v>
      </c>
      <c r="K4672" s="3" t="s">
        <v>24404</v>
      </c>
      <c r="L4672" s="3"/>
      <c r="M4672" s="4"/>
      <c r="N4672" s="3" t="s">
        <v>37</v>
      </c>
      <c r="O4672" s="3" t="s">
        <v>52</v>
      </c>
      <c r="P4672" s="5">
        <v>0</v>
      </c>
      <c r="Q4672" s="5">
        <v>2</v>
      </c>
      <c r="R4672" s="5">
        <v>1</v>
      </c>
      <c r="S4672" s="5">
        <v>12</v>
      </c>
    </row>
    <row r="4673" spans="1:19" ht="28" x14ac:dyDescent="0.15">
      <c r="A4673" s="2">
        <f>HYPERLINK("https://open-school.uspishnemisto.com.ua/school/230177/", 230177)</f>
        <v>230177</v>
      </c>
      <c r="B4673" s="3" t="s">
        <v>24405</v>
      </c>
      <c r="C4673" s="3" t="s">
        <v>31</v>
      </c>
      <c r="D4673" s="3" t="s">
        <v>60</v>
      </c>
      <c r="E4673" s="4" t="s">
        <v>22</v>
      </c>
      <c r="F4673" s="4" t="s">
        <v>24406</v>
      </c>
      <c r="G4673" s="4" t="s">
        <v>24308</v>
      </c>
      <c r="H4673" s="3" t="s">
        <v>23629</v>
      </c>
      <c r="I4673" s="3" t="s">
        <v>24309</v>
      </c>
      <c r="J4673" s="3" t="s">
        <v>24407</v>
      </c>
      <c r="K4673" s="3" t="s">
        <v>24408</v>
      </c>
      <c r="L4673" s="3" t="s">
        <v>24409</v>
      </c>
      <c r="M4673" s="4"/>
      <c r="N4673" s="3" t="s">
        <v>128</v>
      </c>
      <c r="O4673" s="3" t="s">
        <v>38</v>
      </c>
      <c r="P4673" s="5">
        <v>8</v>
      </c>
      <c r="Q4673" s="5">
        <v>192</v>
      </c>
      <c r="R4673" s="5">
        <v>8</v>
      </c>
      <c r="S4673" s="5">
        <v>179</v>
      </c>
    </row>
    <row r="4674" spans="1:19" ht="28" x14ac:dyDescent="0.15">
      <c r="A4674" s="2">
        <f>HYPERLINK("https://open-school.uspishnemisto.com.ua/school/230178/", 230178)</f>
        <v>230178</v>
      </c>
      <c r="B4674" s="3" t="s">
        <v>24410</v>
      </c>
      <c r="C4674" s="3" t="s">
        <v>31</v>
      </c>
      <c r="D4674" s="3" t="s">
        <v>32</v>
      </c>
      <c r="E4674" s="4" t="s">
        <v>22</v>
      </c>
      <c r="F4674" s="4" t="s">
        <v>24321</v>
      </c>
      <c r="G4674" s="4" t="s">
        <v>24308</v>
      </c>
      <c r="H4674" s="3" t="s">
        <v>23629</v>
      </c>
      <c r="I4674" s="3" t="s">
        <v>24309</v>
      </c>
      <c r="J4674" s="3" t="s">
        <v>24411</v>
      </c>
      <c r="K4674" s="3" t="s">
        <v>24412</v>
      </c>
      <c r="L4674" s="3" t="s">
        <v>24413</v>
      </c>
      <c r="M4674" s="4"/>
      <c r="N4674" s="3" t="s">
        <v>37</v>
      </c>
      <c r="O4674" s="3" t="s">
        <v>38</v>
      </c>
      <c r="P4674" s="5">
        <v>27</v>
      </c>
      <c r="Q4674" s="5">
        <v>811</v>
      </c>
      <c r="R4674" s="5">
        <v>26</v>
      </c>
      <c r="S4674" s="5">
        <v>752</v>
      </c>
    </row>
    <row r="4675" spans="1:19" ht="28" x14ac:dyDescent="0.15">
      <c r="A4675" s="2">
        <f>HYPERLINK("https://open-school.uspishnemisto.com.ua/school/230179/", 230179)</f>
        <v>230179</v>
      </c>
      <c r="B4675" s="3" t="s">
        <v>24414</v>
      </c>
      <c r="C4675" s="3" t="s">
        <v>244</v>
      </c>
      <c r="D4675" s="3" t="s">
        <v>32</v>
      </c>
      <c r="E4675" s="4" t="s">
        <v>22</v>
      </c>
      <c r="F4675" s="4" t="s">
        <v>24387</v>
      </c>
      <c r="G4675" s="4" t="s">
        <v>24308</v>
      </c>
      <c r="H4675" s="3" t="s">
        <v>23629</v>
      </c>
      <c r="I4675" s="3" t="s">
        <v>24309</v>
      </c>
      <c r="J4675" s="3" t="s">
        <v>24415</v>
      </c>
      <c r="K4675" s="3" t="s">
        <v>24416</v>
      </c>
      <c r="L4675" s="3" t="s">
        <v>24417</v>
      </c>
      <c r="M4675" s="4"/>
      <c r="N4675" s="3" t="s">
        <v>128</v>
      </c>
      <c r="O4675" s="3" t="s">
        <v>46</v>
      </c>
      <c r="P4675" s="5">
        <v>19</v>
      </c>
      <c r="Q4675" s="5">
        <v>481</v>
      </c>
      <c r="R4675" s="5">
        <v>18</v>
      </c>
      <c r="S4675" s="5">
        <v>455</v>
      </c>
    </row>
    <row r="4676" spans="1:19" ht="28" x14ac:dyDescent="0.15">
      <c r="A4676" s="2">
        <f>HYPERLINK("https://open-school.uspishnemisto.com.ua/school/230180/", 230180)</f>
        <v>230180</v>
      </c>
      <c r="B4676" s="3" t="s">
        <v>24418</v>
      </c>
      <c r="C4676" s="3" t="s">
        <v>244</v>
      </c>
      <c r="D4676" s="3" t="s">
        <v>32</v>
      </c>
      <c r="E4676" s="4" t="s">
        <v>22</v>
      </c>
      <c r="F4676" s="4" t="s">
        <v>24340</v>
      </c>
      <c r="G4676" s="4" t="s">
        <v>24308</v>
      </c>
      <c r="H4676" s="3" t="s">
        <v>23629</v>
      </c>
      <c r="I4676" s="3" t="s">
        <v>24309</v>
      </c>
      <c r="J4676" s="3" t="s">
        <v>24419</v>
      </c>
      <c r="K4676" s="3" t="s">
        <v>24420</v>
      </c>
      <c r="L4676" s="3" t="s">
        <v>24421</v>
      </c>
      <c r="M4676" s="4"/>
      <c r="N4676" s="3" t="s">
        <v>37</v>
      </c>
      <c r="O4676" s="3" t="s">
        <v>197</v>
      </c>
      <c r="P4676" s="5">
        <v>21</v>
      </c>
      <c r="Q4676" s="5">
        <v>584</v>
      </c>
      <c r="R4676" s="5">
        <v>21</v>
      </c>
      <c r="S4676" s="5">
        <v>583</v>
      </c>
    </row>
    <row r="4677" spans="1:19" ht="42" x14ac:dyDescent="0.15">
      <c r="A4677" s="2">
        <f>HYPERLINK("https://open-school.uspishnemisto.com.ua/school/230181/", 230181)</f>
        <v>230181</v>
      </c>
      <c r="B4677" s="3" t="s">
        <v>24422</v>
      </c>
      <c r="C4677" s="3" t="s">
        <v>54</v>
      </c>
      <c r="D4677" s="3" t="s">
        <v>32</v>
      </c>
      <c r="E4677" s="4" t="s">
        <v>22</v>
      </c>
      <c r="F4677" s="4" t="s">
        <v>24361</v>
      </c>
      <c r="G4677" s="4" t="s">
        <v>24308</v>
      </c>
      <c r="H4677" s="3" t="s">
        <v>23629</v>
      </c>
      <c r="I4677" s="3" t="s">
        <v>24309</v>
      </c>
      <c r="J4677" s="3" t="s">
        <v>24423</v>
      </c>
      <c r="K4677" s="3" t="s">
        <v>24424</v>
      </c>
      <c r="L4677" s="3" t="s">
        <v>24425</v>
      </c>
      <c r="M4677" s="4" t="s">
        <v>24426</v>
      </c>
      <c r="N4677" s="3" t="s">
        <v>128</v>
      </c>
      <c r="O4677" s="3" t="s">
        <v>197</v>
      </c>
      <c r="P4677" s="5">
        <v>48</v>
      </c>
      <c r="Q4677" s="5">
        <v>1353</v>
      </c>
      <c r="R4677" s="5">
        <v>47</v>
      </c>
      <c r="S4677" s="5">
        <v>1307</v>
      </c>
    </row>
    <row r="4678" spans="1:19" ht="42" x14ac:dyDescent="0.15">
      <c r="A4678" s="2">
        <f>HYPERLINK("https://open-school.uspishnemisto.com.ua/school/230182/", 230182)</f>
        <v>230182</v>
      </c>
      <c r="B4678" s="3" t="s">
        <v>24427</v>
      </c>
      <c r="C4678" s="3" t="s">
        <v>181</v>
      </c>
      <c r="D4678" s="3" t="s">
        <v>175</v>
      </c>
      <c r="E4678" s="4" t="s">
        <v>22</v>
      </c>
      <c r="F4678" s="4" t="s">
        <v>24428</v>
      </c>
      <c r="G4678" s="4" t="s">
        <v>24429</v>
      </c>
      <c r="H4678" s="3" t="s">
        <v>23629</v>
      </c>
      <c r="I4678" s="3" t="s">
        <v>24430</v>
      </c>
      <c r="J4678" s="3" t="s">
        <v>24431</v>
      </c>
      <c r="K4678" s="3" t="s">
        <v>24432</v>
      </c>
      <c r="L4678" s="3" t="s">
        <v>24433</v>
      </c>
      <c r="M4678" s="4" t="s">
        <v>24434</v>
      </c>
      <c r="N4678" s="3" t="s">
        <v>37</v>
      </c>
      <c r="O4678" s="3" t="s">
        <v>52</v>
      </c>
      <c r="P4678" s="5">
        <v>12</v>
      </c>
      <c r="Q4678" s="5">
        <v>128</v>
      </c>
      <c r="R4678" s="5">
        <v>12</v>
      </c>
      <c r="S4678" s="5">
        <v>128</v>
      </c>
    </row>
    <row r="4679" spans="1:19" ht="28" x14ac:dyDescent="0.15">
      <c r="A4679" s="2">
        <f>HYPERLINK("https://open-school.uspishnemisto.com.ua/school/230183/", 230183)</f>
        <v>230183</v>
      </c>
      <c r="B4679" s="3" t="s">
        <v>24435</v>
      </c>
      <c r="C4679" s="3" t="s">
        <v>31</v>
      </c>
      <c r="D4679" s="3" t="s">
        <v>32</v>
      </c>
      <c r="E4679" s="4" t="s">
        <v>22</v>
      </c>
      <c r="F4679" s="4" t="s">
        <v>24436</v>
      </c>
      <c r="G4679" s="4" t="s">
        <v>24429</v>
      </c>
      <c r="H4679" s="3" t="s">
        <v>23629</v>
      </c>
      <c r="I4679" s="3" t="s">
        <v>24430</v>
      </c>
      <c r="J4679" s="3" t="s">
        <v>21270</v>
      </c>
      <c r="K4679" s="3" t="s">
        <v>24437</v>
      </c>
      <c r="L4679" s="3" t="s">
        <v>24438</v>
      </c>
      <c r="M4679" s="4"/>
      <c r="N4679" s="3" t="s">
        <v>128</v>
      </c>
      <c r="O4679" s="3" t="s">
        <v>70</v>
      </c>
      <c r="P4679" s="5">
        <v>32</v>
      </c>
      <c r="Q4679" s="5">
        <v>863</v>
      </c>
      <c r="R4679" s="5">
        <v>30</v>
      </c>
      <c r="S4679" s="5">
        <v>825</v>
      </c>
    </row>
    <row r="4680" spans="1:19" ht="28" x14ac:dyDescent="0.15">
      <c r="A4680" s="2">
        <f>HYPERLINK("https://open-school.uspishnemisto.com.ua/school/230184/", 230184)</f>
        <v>230184</v>
      </c>
      <c r="B4680" s="3" t="s">
        <v>24439</v>
      </c>
      <c r="C4680" s="3" t="s">
        <v>31</v>
      </c>
      <c r="D4680" s="3" t="s">
        <v>32</v>
      </c>
      <c r="E4680" s="4" t="s">
        <v>22</v>
      </c>
      <c r="F4680" s="4" t="s">
        <v>24440</v>
      </c>
      <c r="G4680" s="4" t="s">
        <v>24429</v>
      </c>
      <c r="H4680" s="3" t="s">
        <v>23629</v>
      </c>
      <c r="I4680" s="3" t="s">
        <v>24430</v>
      </c>
      <c r="J4680" s="3" t="s">
        <v>24441</v>
      </c>
      <c r="K4680" s="3" t="s">
        <v>24442</v>
      </c>
      <c r="L4680" s="3" t="s">
        <v>24443</v>
      </c>
      <c r="M4680" s="4"/>
      <c r="N4680" s="3" t="s">
        <v>37</v>
      </c>
      <c r="O4680" s="3" t="s">
        <v>38</v>
      </c>
      <c r="P4680" s="5">
        <v>25</v>
      </c>
      <c r="Q4680" s="5">
        <v>587</v>
      </c>
      <c r="R4680" s="5">
        <v>24</v>
      </c>
      <c r="S4680" s="5">
        <v>557</v>
      </c>
    </row>
    <row r="4681" spans="1:19" ht="42" x14ac:dyDescent="0.15">
      <c r="A4681" s="2">
        <f>HYPERLINK("https://open-school.uspishnemisto.com.ua/school/230185/", 230185)</f>
        <v>230185</v>
      </c>
      <c r="B4681" s="3" t="s">
        <v>24444</v>
      </c>
      <c r="C4681" s="3" t="s">
        <v>31</v>
      </c>
      <c r="D4681" s="3" t="s">
        <v>175</v>
      </c>
      <c r="E4681" s="4" t="s">
        <v>22</v>
      </c>
      <c r="F4681" s="4" t="s">
        <v>24428</v>
      </c>
      <c r="G4681" s="4" t="s">
        <v>24429</v>
      </c>
      <c r="H4681" s="3" t="s">
        <v>23629</v>
      </c>
      <c r="I4681" s="3" t="s">
        <v>24430</v>
      </c>
      <c r="J4681" s="3" t="s">
        <v>24445</v>
      </c>
      <c r="K4681" s="3" t="s">
        <v>24446</v>
      </c>
      <c r="L4681" s="3" t="s">
        <v>24447</v>
      </c>
      <c r="M4681" s="4"/>
      <c r="N4681" s="3" t="s">
        <v>37</v>
      </c>
      <c r="O4681" s="3" t="s">
        <v>38</v>
      </c>
      <c r="P4681" s="5">
        <v>9</v>
      </c>
      <c r="Q4681" s="5">
        <v>124</v>
      </c>
      <c r="R4681" s="5">
        <v>9</v>
      </c>
      <c r="S4681" s="5">
        <v>173</v>
      </c>
    </row>
    <row r="4682" spans="1:19" ht="28" x14ac:dyDescent="0.15">
      <c r="A4682" s="2">
        <f>HYPERLINK("https://open-school.uspishnemisto.com.ua/school/230186/", 230186)</f>
        <v>230186</v>
      </c>
      <c r="B4682" s="3" t="s">
        <v>24448</v>
      </c>
      <c r="C4682" s="3" t="s">
        <v>31</v>
      </c>
      <c r="D4682" s="3" t="s">
        <v>32</v>
      </c>
      <c r="E4682" s="4" t="s">
        <v>22</v>
      </c>
      <c r="F4682" s="4" t="s">
        <v>24436</v>
      </c>
      <c r="G4682" s="4" t="s">
        <v>24429</v>
      </c>
      <c r="H4682" s="3" t="s">
        <v>23629</v>
      </c>
      <c r="I4682" s="3" t="s">
        <v>24430</v>
      </c>
      <c r="J4682" s="3" t="s">
        <v>3415</v>
      </c>
      <c r="K4682" s="3" t="s">
        <v>24449</v>
      </c>
      <c r="L4682" s="3" t="s">
        <v>24450</v>
      </c>
      <c r="M4682" s="4"/>
      <c r="N4682" s="3" t="s">
        <v>37</v>
      </c>
      <c r="O4682" s="3" t="s">
        <v>38</v>
      </c>
      <c r="P4682" s="5">
        <v>25</v>
      </c>
      <c r="Q4682" s="5">
        <v>667</v>
      </c>
      <c r="R4682" s="5">
        <v>24</v>
      </c>
      <c r="S4682" s="5">
        <v>661</v>
      </c>
    </row>
    <row r="4683" spans="1:19" ht="42" x14ac:dyDescent="0.15">
      <c r="A4683" s="2">
        <f>HYPERLINK("https://open-school.uspishnemisto.com.ua/school/230187/", 230187)</f>
        <v>230187</v>
      </c>
      <c r="B4683" s="3" t="s">
        <v>24451</v>
      </c>
      <c r="C4683" s="3" t="s">
        <v>31</v>
      </c>
      <c r="D4683" s="3" t="s">
        <v>32</v>
      </c>
      <c r="E4683" s="4" t="s">
        <v>22</v>
      </c>
      <c r="F4683" s="4" t="s">
        <v>24436</v>
      </c>
      <c r="G4683" s="4" t="s">
        <v>24429</v>
      </c>
      <c r="H4683" s="3" t="s">
        <v>23629</v>
      </c>
      <c r="I4683" s="3" t="s">
        <v>24430</v>
      </c>
      <c r="J4683" s="3" t="s">
        <v>18170</v>
      </c>
      <c r="K4683" s="3" t="s">
        <v>24452</v>
      </c>
      <c r="L4683" s="3" t="s">
        <v>24453</v>
      </c>
      <c r="M4683" s="4"/>
      <c r="N4683" s="3" t="s">
        <v>37</v>
      </c>
      <c r="O4683" s="3" t="s">
        <v>70</v>
      </c>
      <c r="P4683" s="5">
        <v>19</v>
      </c>
      <c r="Q4683" s="5">
        <v>470</v>
      </c>
      <c r="R4683" s="5">
        <v>20</v>
      </c>
      <c r="S4683" s="5">
        <v>489</v>
      </c>
    </row>
    <row r="4684" spans="1:19" ht="42" x14ac:dyDescent="0.15">
      <c r="A4684" s="2">
        <f>HYPERLINK("https://open-school.uspishnemisto.com.ua/school/230188/", 230188)</f>
        <v>230188</v>
      </c>
      <c r="B4684" s="3" t="s">
        <v>24454</v>
      </c>
      <c r="C4684" s="3" t="s">
        <v>54</v>
      </c>
      <c r="D4684" s="3" t="s">
        <v>175</v>
      </c>
      <c r="E4684" s="4" t="s">
        <v>22</v>
      </c>
      <c r="F4684" s="4" t="s">
        <v>24455</v>
      </c>
      <c r="G4684" s="4" t="s">
        <v>24429</v>
      </c>
      <c r="H4684" s="3" t="s">
        <v>23629</v>
      </c>
      <c r="I4684" s="3" t="s">
        <v>24430</v>
      </c>
      <c r="J4684" s="3" t="s">
        <v>24456</v>
      </c>
      <c r="K4684" s="3" t="s">
        <v>24457</v>
      </c>
      <c r="L4684" s="3" t="s">
        <v>24458</v>
      </c>
      <c r="M4684" s="4"/>
      <c r="N4684" s="3" t="s">
        <v>37</v>
      </c>
      <c r="O4684" s="3" t="s">
        <v>70</v>
      </c>
      <c r="P4684" s="5">
        <v>7</v>
      </c>
      <c r="Q4684" s="5">
        <v>102</v>
      </c>
      <c r="R4684" s="5">
        <v>7</v>
      </c>
      <c r="S4684" s="5">
        <v>97</v>
      </c>
    </row>
    <row r="4685" spans="1:19" ht="42" x14ac:dyDescent="0.15">
      <c r="A4685" s="2">
        <f>HYPERLINK("https://open-school.uspishnemisto.com.ua/school/230189/", 230189)</f>
        <v>230189</v>
      </c>
      <c r="B4685" s="3" t="s">
        <v>24459</v>
      </c>
      <c r="C4685" s="3" t="s">
        <v>54</v>
      </c>
      <c r="D4685" s="3" t="s">
        <v>175</v>
      </c>
      <c r="E4685" s="4" t="s">
        <v>22</v>
      </c>
      <c r="F4685" s="4" t="s">
        <v>24460</v>
      </c>
      <c r="G4685" s="4" t="s">
        <v>24429</v>
      </c>
      <c r="H4685" s="3" t="s">
        <v>23629</v>
      </c>
      <c r="I4685" s="3" t="s">
        <v>24430</v>
      </c>
      <c r="J4685" s="3" t="s">
        <v>24461</v>
      </c>
      <c r="K4685" s="3" t="s">
        <v>24462</v>
      </c>
      <c r="L4685" s="3" t="s">
        <v>24463</v>
      </c>
      <c r="M4685" s="4"/>
      <c r="N4685" s="3" t="s">
        <v>37</v>
      </c>
      <c r="O4685" s="3" t="s">
        <v>38</v>
      </c>
      <c r="P4685" s="5">
        <v>9</v>
      </c>
      <c r="Q4685" s="5">
        <v>159</v>
      </c>
      <c r="R4685" s="5">
        <v>8</v>
      </c>
      <c r="S4685" s="5">
        <v>124</v>
      </c>
    </row>
    <row r="4686" spans="1:19" ht="28" x14ac:dyDescent="0.15">
      <c r="A4686" s="2">
        <f>HYPERLINK("https://open-school.uspishnemisto.com.ua/school/230190/", 230190)</f>
        <v>230190</v>
      </c>
      <c r="B4686" s="3" t="s">
        <v>24464</v>
      </c>
      <c r="C4686" s="3" t="s">
        <v>40</v>
      </c>
      <c r="D4686" s="3" t="s">
        <v>32</v>
      </c>
      <c r="E4686" s="4" t="s">
        <v>22</v>
      </c>
      <c r="F4686" s="4" t="s">
        <v>24465</v>
      </c>
      <c r="G4686" s="4" t="s">
        <v>24466</v>
      </c>
      <c r="H4686" s="3" t="s">
        <v>23629</v>
      </c>
      <c r="I4686" s="3" t="s">
        <v>24467</v>
      </c>
      <c r="J4686" s="3" t="s">
        <v>24468</v>
      </c>
      <c r="K4686" s="3" t="s">
        <v>24469</v>
      </c>
      <c r="L4686" s="3" t="s">
        <v>24470</v>
      </c>
      <c r="M4686" s="4"/>
      <c r="N4686" s="3" t="s">
        <v>37</v>
      </c>
      <c r="O4686" s="3" t="s">
        <v>197</v>
      </c>
      <c r="P4686" s="5">
        <v>21</v>
      </c>
      <c r="Q4686" s="5">
        <v>569</v>
      </c>
      <c r="R4686" s="5">
        <v>21</v>
      </c>
      <c r="S4686" s="5">
        <v>550</v>
      </c>
    </row>
    <row r="4687" spans="1:19" ht="28" x14ac:dyDescent="0.15">
      <c r="A4687" s="2">
        <f>HYPERLINK("https://open-school.uspishnemisto.com.ua/school/230191/", 230191)</f>
        <v>230191</v>
      </c>
      <c r="B4687" s="3" t="s">
        <v>24471</v>
      </c>
      <c r="C4687" s="3" t="s">
        <v>31</v>
      </c>
      <c r="D4687" s="3" t="s">
        <v>32</v>
      </c>
      <c r="E4687" s="4" t="s">
        <v>22</v>
      </c>
      <c r="F4687" s="4" t="s">
        <v>24472</v>
      </c>
      <c r="G4687" s="4" t="s">
        <v>24466</v>
      </c>
      <c r="H4687" s="3" t="s">
        <v>23629</v>
      </c>
      <c r="I4687" s="3" t="s">
        <v>24467</v>
      </c>
      <c r="J4687" s="3" t="s">
        <v>24473</v>
      </c>
      <c r="K4687" s="3" t="s">
        <v>24474</v>
      </c>
      <c r="L4687" s="3" t="s">
        <v>24475</v>
      </c>
      <c r="M4687" s="4" t="s">
        <v>24476</v>
      </c>
      <c r="N4687" s="3" t="s">
        <v>128</v>
      </c>
      <c r="O4687" s="3" t="s">
        <v>197</v>
      </c>
      <c r="P4687" s="5">
        <v>34</v>
      </c>
      <c r="Q4687" s="5">
        <v>1021</v>
      </c>
      <c r="R4687" s="5">
        <v>33</v>
      </c>
      <c r="S4687" s="5">
        <v>1005</v>
      </c>
    </row>
    <row r="4688" spans="1:19" ht="42" x14ac:dyDescent="0.15">
      <c r="A4688" s="2">
        <f>HYPERLINK("https://open-school.uspishnemisto.com.ua/school/230192/", 230192)</f>
        <v>230192</v>
      </c>
      <c r="B4688" s="3" t="s">
        <v>24477</v>
      </c>
      <c r="C4688" s="3" t="s">
        <v>31</v>
      </c>
      <c r="D4688" s="3" t="s">
        <v>32</v>
      </c>
      <c r="E4688" s="4" t="s">
        <v>22</v>
      </c>
      <c r="F4688" s="4" t="s">
        <v>24478</v>
      </c>
      <c r="G4688" s="4" t="s">
        <v>24466</v>
      </c>
      <c r="H4688" s="3" t="s">
        <v>23629</v>
      </c>
      <c r="I4688" s="3" t="s">
        <v>24467</v>
      </c>
      <c r="J4688" s="3" t="s">
        <v>24479</v>
      </c>
      <c r="K4688" s="3" t="s">
        <v>24480</v>
      </c>
      <c r="L4688" s="3" t="s">
        <v>24481</v>
      </c>
      <c r="M4688" s="4" t="s">
        <v>24482</v>
      </c>
      <c r="N4688" s="3" t="s">
        <v>128</v>
      </c>
      <c r="O4688" s="3" t="s">
        <v>721</v>
      </c>
      <c r="P4688" s="5">
        <v>21</v>
      </c>
      <c r="Q4688" s="5">
        <v>529</v>
      </c>
      <c r="R4688" s="5">
        <v>20</v>
      </c>
      <c r="S4688" s="5">
        <v>506</v>
      </c>
    </row>
    <row r="4689" spans="1:19" ht="28" x14ac:dyDescent="0.15">
      <c r="A4689" s="2">
        <f>HYPERLINK("https://open-school.uspishnemisto.com.ua/school/230193/", 230193)</f>
        <v>230193</v>
      </c>
      <c r="B4689" s="3" t="s">
        <v>24483</v>
      </c>
      <c r="C4689" s="3" t="s">
        <v>31</v>
      </c>
      <c r="D4689" s="3" t="s">
        <v>32</v>
      </c>
      <c r="E4689" s="4" t="s">
        <v>22</v>
      </c>
      <c r="F4689" s="4" t="s">
        <v>24465</v>
      </c>
      <c r="G4689" s="4" t="s">
        <v>24466</v>
      </c>
      <c r="H4689" s="3" t="s">
        <v>23629</v>
      </c>
      <c r="I4689" s="3" t="s">
        <v>24467</v>
      </c>
      <c r="J4689" s="3" t="s">
        <v>24484</v>
      </c>
      <c r="K4689" s="3" t="s">
        <v>24485</v>
      </c>
      <c r="L4689" s="3" t="s">
        <v>24486</v>
      </c>
      <c r="M4689" s="4" t="s">
        <v>24487</v>
      </c>
      <c r="N4689" s="3" t="s">
        <v>37</v>
      </c>
      <c r="O4689" s="3" t="s">
        <v>70</v>
      </c>
      <c r="P4689" s="5">
        <v>28</v>
      </c>
      <c r="Q4689" s="5">
        <v>781</v>
      </c>
      <c r="R4689" s="5">
        <v>26</v>
      </c>
      <c r="S4689" s="5">
        <v>745</v>
      </c>
    </row>
    <row r="4690" spans="1:19" ht="28" x14ac:dyDescent="0.15">
      <c r="A4690" s="2">
        <f>HYPERLINK("https://open-school.uspishnemisto.com.ua/school/230194/", 230194)</f>
        <v>230194</v>
      </c>
      <c r="B4690" s="3" t="s">
        <v>24488</v>
      </c>
      <c r="C4690" s="3" t="s">
        <v>188</v>
      </c>
      <c r="D4690" s="3" t="s">
        <v>32</v>
      </c>
      <c r="E4690" s="4" t="s">
        <v>22</v>
      </c>
      <c r="F4690" s="4" t="s">
        <v>24478</v>
      </c>
      <c r="G4690" s="4" t="s">
        <v>24466</v>
      </c>
      <c r="H4690" s="3" t="s">
        <v>23629</v>
      </c>
      <c r="I4690" s="3" t="s">
        <v>24467</v>
      </c>
      <c r="J4690" s="3" t="s">
        <v>24479</v>
      </c>
      <c r="K4690" s="3" t="s">
        <v>24489</v>
      </c>
      <c r="L4690" s="3" t="s">
        <v>24490</v>
      </c>
      <c r="M4690" s="4" t="s">
        <v>24491</v>
      </c>
      <c r="N4690" s="3" t="s">
        <v>967</v>
      </c>
      <c r="O4690" s="3" t="s">
        <v>46</v>
      </c>
      <c r="P4690" s="5">
        <v>14</v>
      </c>
      <c r="Q4690" s="5">
        <v>381</v>
      </c>
      <c r="R4690" s="5">
        <v>14</v>
      </c>
      <c r="S4690" s="5">
        <v>374</v>
      </c>
    </row>
    <row r="4691" spans="1:19" ht="42" x14ac:dyDescent="0.15">
      <c r="A4691" s="2">
        <f>HYPERLINK("https://open-school.uspishnemisto.com.ua/school/230195/", 230195)</f>
        <v>230195</v>
      </c>
      <c r="B4691" s="3" t="s">
        <v>24492</v>
      </c>
      <c r="C4691" s="3" t="s">
        <v>54</v>
      </c>
      <c r="D4691" s="3" t="s">
        <v>32</v>
      </c>
      <c r="E4691" s="4" t="s">
        <v>22</v>
      </c>
      <c r="F4691" s="4" t="s">
        <v>24472</v>
      </c>
      <c r="G4691" s="4" t="s">
        <v>24466</v>
      </c>
      <c r="H4691" s="3" t="s">
        <v>23629</v>
      </c>
      <c r="I4691" s="3" t="s">
        <v>24467</v>
      </c>
      <c r="J4691" s="3" t="s">
        <v>24493</v>
      </c>
      <c r="K4691" s="3" t="s">
        <v>24494</v>
      </c>
      <c r="L4691" s="3" t="s">
        <v>24495</v>
      </c>
      <c r="M4691" s="4" t="s">
        <v>24496</v>
      </c>
      <c r="N4691" s="3" t="s">
        <v>37</v>
      </c>
      <c r="O4691" s="3" t="s">
        <v>70</v>
      </c>
      <c r="P4691" s="5">
        <v>34</v>
      </c>
      <c r="Q4691" s="5">
        <v>978</v>
      </c>
      <c r="R4691" s="5">
        <v>35</v>
      </c>
      <c r="S4691" s="5">
        <v>994</v>
      </c>
    </row>
    <row r="4692" spans="1:19" ht="56" x14ac:dyDescent="0.15">
      <c r="A4692" s="2">
        <f>HYPERLINK("https://open-school.uspishnemisto.com.ua/school/230196/", 230196)</f>
        <v>230196</v>
      </c>
      <c r="B4692" s="3" t="s">
        <v>24497</v>
      </c>
      <c r="C4692" s="3" t="s">
        <v>54</v>
      </c>
      <c r="D4692" s="3" t="s">
        <v>60</v>
      </c>
      <c r="E4692" s="4" t="s">
        <v>22</v>
      </c>
      <c r="F4692" s="4" t="s">
        <v>24472</v>
      </c>
      <c r="G4692" s="4" t="s">
        <v>24466</v>
      </c>
      <c r="H4692" s="3" t="s">
        <v>23629</v>
      </c>
      <c r="I4692" s="3" t="s">
        <v>24467</v>
      </c>
      <c r="J4692" s="3" t="s">
        <v>24498</v>
      </c>
      <c r="K4692" s="3" t="s">
        <v>24499</v>
      </c>
      <c r="L4692" s="3" t="s">
        <v>24500</v>
      </c>
      <c r="M4692" s="4" t="s">
        <v>24501</v>
      </c>
      <c r="N4692" s="3" t="s">
        <v>967</v>
      </c>
      <c r="O4692" s="3" t="s">
        <v>52</v>
      </c>
      <c r="P4692" s="5">
        <v>8</v>
      </c>
      <c r="Q4692" s="5">
        <v>228</v>
      </c>
      <c r="R4692" s="5">
        <v>8</v>
      </c>
      <c r="S4692" s="5">
        <v>222</v>
      </c>
    </row>
    <row r="4693" spans="1:19" ht="56" x14ac:dyDescent="0.15">
      <c r="A4693" s="2">
        <f>HYPERLINK("https://open-school.uspishnemisto.com.ua/school/230197/", 230197)</f>
        <v>230197</v>
      </c>
      <c r="B4693" s="3" t="s">
        <v>24502</v>
      </c>
      <c r="C4693" s="3" t="s">
        <v>54</v>
      </c>
      <c r="D4693" s="3" t="s">
        <v>60</v>
      </c>
      <c r="E4693" s="4" t="s">
        <v>22</v>
      </c>
      <c r="F4693" s="4" t="s">
        <v>24472</v>
      </c>
      <c r="G4693" s="4" t="s">
        <v>24466</v>
      </c>
      <c r="H4693" s="3" t="s">
        <v>23629</v>
      </c>
      <c r="I4693" s="3" t="s">
        <v>24467</v>
      </c>
      <c r="J4693" s="3" t="s">
        <v>24503</v>
      </c>
      <c r="K4693" s="3" t="s">
        <v>24504</v>
      </c>
      <c r="L4693" s="3" t="s">
        <v>24505</v>
      </c>
      <c r="M4693" s="4" t="s">
        <v>24506</v>
      </c>
      <c r="N4693" s="3" t="s">
        <v>128</v>
      </c>
      <c r="O4693" s="3" t="s">
        <v>38</v>
      </c>
      <c r="P4693" s="5">
        <v>10</v>
      </c>
      <c r="Q4693" s="5">
        <v>166</v>
      </c>
      <c r="R4693" s="5">
        <v>10</v>
      </c>
      <c r="S4693" s="5">
        <v>170</v>
      </c>
    </row>
    <row r="4694" spans="1:19" ht="56" x14ac:dyDescent="0.15">
      <c r="A4694" s="2">
        <f>HYPERLINK("https://open-school.uspishnemisto.com.ua/school/230198/", 230198)</f>
        <v>230198</v>
      </c>
      <c r="B4694" s="3" t="s">
        <v>24507</v>
      </c>
      <c r="C4694" s="3" t="s">
        <v>54</v>
      </c>
      <c r="D4694" s="3" t="s">
        <v>21</v>
      </c>
      <c r="E4694" s="4" t="s">
        <v>22</v>
      </c>
      <c r="F4694" s="4" t="s">
        <v>24472</v>
      </c>
      <c r="G4694" s="4" t="s">
        <v>24466</v>
      </c>
      <c r="H4694" s="3" t="s">
        <v>23629</v>
      </c>
      <c r="I4694" s="3" t="s">
        <v>24467</v>
      </c>
      <c r="J4694" s="3" t="s">
        <v>24508</v>
      </c>
      <c r="K4694" s="3" t="s">
        <v>24509</v>
      </c>
      <c r="L4694" s="3" t="s">
        <v>24510</v>
      </c>
      <c r="M4694" s="4" t="s">
        <v>24511</v>
      </c>
      <c r="N4694" s="3" t="s">
        <v>967</v>
      </c>
      <c r="O4694" s="3" t="s">
        <v>52</v>
      </c>
      <c r="P4694" s="5">
        <v>4</v>
      </c>
      <c r="Q4694" s="5">
        <v>60</v>
      </c>
      <c r="R4694" s="5">
        <v>3</v>
      </c>
      <c r="S4694" s="5">
        <v>38</v>
      </c>
    </row>
    <row r="4695" spans="1:19" ht="28" x14ac:dyDescent="0.15">
      <c r="A4695" s="2">
        <f>HYPERLINK("https://open-school.uspishnemisto.com.ua/school/230199/", 230199)</f>
        <v>230199</v>
      </c>
      <c r="B4695" s="3" t="s">
        <v>24512</v>
      </c>
      <c r="C4695" s="3" t="s">
        <v>54</v>
      </c>
      <c r="D4695" s="3" t="s">
        <v>32</v>
      </c>
      <c r="E4695" s="4" t="s">
        <v>22</v>
      </c>
      <c r="F4695" s="4" t="s">
        <v>24465</v>
      </c>
      <c r="G4695" s="4" t="s">
        <v>24466</v>
      </c>
      <c r="H4695" s="3" t="s">
        <v>23629</v>
      </c>
      <c r="I4695" s="3" t="s">
        <v>24467</v>
      </c>
      <c r="J4695" s="3" t="s">
        <v>24513</v>
      </c>
      <c r="K4695" s="3" t="s">
        <v>24514</v>
      </c>
      <c r="L4695" s="3" t="s">
        <v>24515</v>
      </c>
      <c r="M4695" s="4" t="s">
        <v>24516</v>
      </c>
      <c r="N4695" s="3" t="s">
        <v>967</v>
      </c>
      <c r="O4695" s="3" t="s">
        <v>52</v>
      </c>
      <c r="P4695" s="5">
        <v>41</v>
      </c>
      <c r="Q4695" s="5">
        <v>1214</v>
      </c>
      <c r="R4695" s="5">
        <v>41</v>
      </c>
      <c r="S4695" s="5">
        <v>1215</v>
      </c>
    </row>
    <row r="4696" spans="1:19" ht="28" x14ac:dyDescent="0.15">
      <c r="A4696" s="2">
        <f>HYPERLINK("https://open-school.uspishnemisto.com.ua/school/230200/", 230200)</f>
        <v>230200</v>
      </c>
      <c r="B4696" s="3" t="s">
        <v>24517</v>
      </c>
      <c r="C4696" s="3" t="s">
        <v>54</v>
      </c>
      <c r="D4696" s="3" t="s">
        <v>32</v>
      </c>
      <c r="E4696" s="4" t="s">
        <v>22</v>
      </c>
      <c r="F4696" s="4" t="s">
        <v>24518</v>
      </c>
      <c r="G4696" s="4" t="s">
        <v>24519</v>
      </c>
      <c r="H4696" s="3" t="s">
        <v>23629</v>
      </c>
      <c r="I4696" s="3" t="s">
        <v>2954</v>
      </c>
      <c r="J4696" s="3" t="s">
        <v>3266</v>
      </c>
      <c r="K4696" s="3" t="s">
        <v>24520</v>
      </c>
      <c r="L4696" s="3" t="s">
        <v>24521</v>
      </c>
      <c r="M4696" s="4"/>
      <c r="N4696" s="3" t="s">
        <v>128</v>
      </c>
      <c r="O4696" s="3" t="s">
        <v>70</v>
      </c>
      <c r="P4696" s="5">
        <v>21</v>
      </c>
      <c r="Q4696" s="5">
        <v>462</v>
      </c>
      <c r="R4696" s="5">
        <v>21</v>
      </c>
      <c r="S4696" s="5">
        <v>455</v>
      </c>
    </row>
    <row r="4697" spans="1:19" ht="28" x14ac:dyDescent="0.15">
      <c r="A4697" s="2">
        <f>HYPERLINK("https://open-school.uspishnemisto.com.ua/school/230201/", 230201)</f>
        <v>230201</v>
      </c>
      <c r="B4697" s="3" t="s">
        <v>24522</v>
      </c>
      <c r="C4697" s="3" t="s">
        <v>31</v>
      </c>
      <c r="D4697" s="3" t="s">
        <v>32</v>
      </c>
      <c r="E4697" s="4" t="s">
        <v>22</v>
      </c>
      <c r="F4697" s="4" t="s">
        <v>24518</v>
      </c>
      <c r="G4697" s="4" t="s">
        <v>24519</v>
      </c>
      <c r="H4697" s="3" t="s">
        <v>23629</v>
      </c>
      <c r="I4697" s="3" t="s">
        <v>2954</v>
      </c>
      <c r="J4697" s="3" t="s">
        <v>24523</v>
      </c>
      <c r="K4697" s="3" t="s">
        <v>24524</v>
      </c>
      <c r="L4697" s="3" t="s">
        <v>24525</v>
      </c>
      <c r="M4697" s="4"/>
      <c r="N4697" s="3" t="s">
        <v>967</v>
      </c>
      <c r="O4697" s="3" t="s">
        <v>52</v>
      </c>
      <c r="P4697" s="5">
        <v>20</v>
      </c>
      <c r="Q4697" s="5">
        <v>407</v>
      </c>
      <c r="R4697" s="5">
        <v>19</v>
      </c>
      <c r="S4697" s="5">
        <v>401</v>
      </c>
    </row>
    <row r="4698" spans="1:19" ht="28" x14ac:dyDescent="0.15">
      <c r="A4698" s="2">
        <f>HYPERLINK("https://open-school.uspishnemisto.com.ua/school/230202/", 230202)</f>
        <v>230202</v>
      </c>
      <c r="B4698" s="3" t="s">
        <v>24526</v>
      </c>
      <c r="C4698" s="3" t="s">
        <v>31</v>
      </c>
      <c r="D4698" s="3" t="s">
        <v>32</v>
      </c>
      <c r="E4698" s="4" t="s">
        <v>22</v>
      </c>
      <c r="F4698" s="4" t="s">
        <v>24518</v>
      </c>
      <c r="G4698" s="4" t="s">
        <v>24519</v>
      </c>
      <c r="H4698" s="3" t="s">
        <v>23629</v>
      </c>
      <c r="I4698" s="3" t="s">
        <v>2954</v>
      </c>
      <c r="J4698" s="3" t="s">
        <v>24527</v>
      </c>
      <c r="K4698" s="3" t="s">
        <v>24528</v>
      </c>
      <c r="L4698" s="3" t="s">
        <v>24529</v>
      </c>
      <c r="M4698" s="4"/>
      <c r="N4698" s="3" t="s">
        <v>37</v>
      </c>
      <c r="O4698" s="3" t="s">
        <v>38</v>
      </c>
      <c r="P4698" s="5">
        <v>20</v>
      </c>
      <c r="Q4698" s="5">
        <v>405</v>
      </c>
      <c r="R4698" s="5">
        <v>19</v>
      </c>
      <c r="S4698" s="5">
        <v>399</v>
      </c>
    </row>
    <row r="4699" spans="1:19" ht="28" x14ac:dyDescent="0.15">
      <c r="A4699" s="2">
        <f>HYPERLINK("https://open-school.uspishnemisto.com.ua/school/230203/", 230203)</f>
        <v>230203</v>
      </c>
      <c r="B4699" s="3" t="s">
        <v>24530</v>
      </c>
      <c r="C4699" s="3" t="s">
        <v>31</v>
      </c>
      <c r="D4699" s="3" t="s">
        <v>32</v>
      </c>
      <c r="E4699" s="4" t="s">
        <v>22</v>
      </c>
      <c r="F4699" s="4" t="s">
        <v>24531</v>
      </c>
      <c r="G4699" s="4" t="s">
        <v>24532</v>
      </c>
      <c r="H4699" s="3" t="s">
        <v>23629</v>
      </c>
      <c r="I4699" s="3" t="s">
        <v>15373</v>
      </c>
      <c r="J4699" s="3" t="s">
        <v>24533</v>
      </c>
      <c r="K4699" s="3" t="s">
        <v>24534</v>
      </c>
      <c r="L4699" s="3" t="s">
        <v>24535</v>
      </c>
      <c r="M4699" s="4"/>
      <c r="N4699" s="3" t="s">
        <v>37</v>
      </c>
      <c r="O4699" s="3" t="s">
        <v>38</v>
      </c>
      <c r="P4699" s="5">
        <v>16</v>
      </c>
      <c r="Q4699" s="5">
        <v>298</v>
      </c>
      <c r="R4699" s="5">
        <v>15</v>
      </c>
      <c r="S4699" s="5">
        <v>296</v>
      </c>
    </row>
    <row r="4700" spans="1:19" ht="42" x14ac:dyDescent="0.15">
      <c r="A4700" s="2">
        <f>HYPERLINK("https://open-school.uspishnemisto.com.ua/school/230204/", 230204)</f>
        <v>230204</v>
      </c>
      <c r="B4700" s="3" t="s">
        <v>24536</v>
      </c>
      <c r="C4700" s="3" t="s">
        <v>31</v>
      </c>
      <c r="D4700" s="3" t="s">
        <v>60</v>
      </c>
      <c r="E4700" s="4" t="s">
        <v>22</v>
      </c>
      <c r="F4700" s="4" t="s">
        <v>24537</v>
      </c>
      <c r="G4700" s="4" t="s">
        <v>24532</v>
      </c>
      <c r="H4700" s="3" t="s">
        <v>23629</v>
      </c>
      <c r="I4700" s="3" t="s">
        <v>15373</v>
      </c>
      <c r="J4700" s="3" t="s">
        <v>24538</v>
      </c>
      <c r="K4700" s="3" t="s">
        <v>24539</v>
      </c>
      <c r="L4700" s="3"/>
      <c r="M4700" s="4" t="s">
        <v>24540</v>
      </c>
      <c r="N4700" s="3" t="s">
        <v>37</v>
      </c>
      <c r="O4700" s="3" t="s">
        <v>38</v>
      </c>
      <c r="P4700" s="5">
        <v>4</v>
      </c>
      <c r="Q4700" s="5">
        <v>68</v>
      </c>
      <c r="R4700" s="5">
        <v>4</v>
      </c>
      <c r="S4700" s="5">
        <v>62</v>
      </c>
    </row>
    <row r="4701" spans="1:19" ht="28" x14ac:dyDescent="0.15">
      <c r="A4701" s="2">
        <f>HYPERLINK("https://open-school.uspishnemisto.com.ua/school/230205/", 230205)</f>
        <v>230205</v>
      </c>
      <c r="B4701" s="3" t="s">
        <v>24541</v>
      </c>
      <c r="C4701" s="3" t="s">
        <v>31</v>
      </c>
      <c r="D4701" s="3" t="s">
        <v>32</v>
      </c>
      <c r="E4701" s="4" t="s">
        <v>22</v>
      </c>
      <c r="F4701" s="4" t="s">
        <v>24542</v>
      </c>
      <c r="G4701" s="4" t="s">
        <v>24543</v>
      </c>
      <c r="H4701" s="3" t="s">
        <v>23629</v>
      </c>
      <c r="I4701" s="3" t="s">
        <v>24544</v>
      </c>
      <c r="J4701" s="3" t="s">
        <v>24545</v>
      </c>
      <c r="K4701" s="3" t="s">
        <v>24546</v>
      </c>
      <c r="L4701" s="3"/>
      <c r="M4701" s="4"/>
      <c r="N4701" s="3" t="s">
        <v>37</v>
      </c>
      <c r="O4701" s="3" t="s">
        <v>112</v>
      </c>
      <c r="P4701" s="5">
        <v>11</v>
      </c>
      <c r="Q4701" s="5">
        <v>92</v>
      </c>
      <c r="R4701" s="5">
        <v>11</v>
      </c>
      <c r="S4701" s="5">
        <v>101</v>
      </c>
    </row>
    <row r="4702" spans="1:19" ht="28" x14ac:dyDescent="0.15">
      <c r="A4702" s="2">
        <f>HYPERLINK("https://open-school.uspishnemisto.com.ua/school/230206/", 230206)</f>
        <v>230206</v>
      </c>
      <c r="B4702" s="3" t="s">
        <v>24547</v>
      </c>
      <c r="C4702" s="3" t="s">
        <v>31</v>
      </c>
      <c r="D4702" s="3" t="s">
        <v>32</v>
      </c>
      <c r="E4702" s="4" t="s">
        <v>22</v>
      </c>
      <c r="F4702" s="4" t="s">
        <v>24548</v>
      </c>
      <c r="G4702" s="4" t="s">
        <v>24549</v>
      </c>
      <c r="H4702" s="3" t="s">
        <v>23629</v>
      </c>
      <c r="I4702" s="3" t="s">
        <v>10816</v>
      </c>
      <c r="J4702" s="3" t="s">
        <v>24550</v>
      </c>
      <c r="K4702" s="3" t="s">
        <v>24551</v>
      </c>
      <c r="L4702" s="3" t="s">
        <v>24552</v>
      </c>
      <c r="M4702" s="4"/>
      <c r="N4702" s="3" t="s">
        <v>37</v>
      </c>
      <c r="O4702" s="3" t="s">
        <v>38</v>
      </c>
      <c r="P4702" s="5">
        <v>9</v>
      </c>
      <c r="Q4702" s="5">
        <v>118</v>
      </c>
      <c r="R4702" s="5">
        <v>10</v>
      </c>
      <c r="S4702" s="5">
        <v>109</v>
      </c>
    </row>
    <row r="4703" spans="1:19" ht="28" x14ac:dyDescent="0.15">
      <c r="A4703" s="2">
        <f>HYPERLINK("https://open-school.uspishnemisto.com.ua/school/230207/", 230207)</f>
        <v>230207</v>
      </c>
      <c r="B4703" s="3" t="s">
        <v>24553</v>
      </c>
      <c r="C4703" s="3" t="s">
        <v>31</v>
      </c>
      <c r="D4703" s="3" t="s">
        <v>32</v>
      </c>
      <c r="E4703" s="4" t="s">
        <v>22</v>
      </c>
      <c r="F4703" s="4" t="s">
        <v>24554</v>
      </c>
      <c r="G4703" s="4" t="s">
        <v>24555</v>
      </c>
      <c r="H4703" s="3" t="s">
        <v>23629</v>
      </c>
      <c r="I4703" s="3" t="s">
        <v>24556</v>
      </c>
      <c r="J4703" s="3" t="s">
        <v>24557</v>
      </c>
      <c r="K4703" s="3" t="s">
        <v>24558</v>
      </c>
      <c r="L4703" s="3"/>
      <c r="M4703" s="4"/>
      <c r="N4703" s="3" t="s">
        <v>37</v>
      </c>
      <c r="O4703" s="3" t="s">
        <v>38</v>
      </c>
      <c r="P4703" s="5">
        <v>9</v>
      </c>
      <c r="Q4703" s="5">
        <v>86</v>
      </c>
      <c r="R4703" s="5">
        <v>10</v>
      </c>
      <c r="S4703" s="5">
        <v>87</v>
      </c>
    </row>
    <row r="4704" spans="1:19" ht="28" x14ac:dyDescent="0.15">
      <c r="A4704" s="2">
        <f>HYPERLINK("https://open-school.uspishnemisto.com.ua/school/230208/", 230208)</f>
        <v>230208</v>
      </c>
      <c r="B4704" s="3" t="s">
        <v>24559</v>
      </c>
      <c r="C4704" s="3" t="s">
        <v>31</v>
      </c>
      <c r="D4704" s="3" t="s">
        <v>32</v>
      </c>
      <c r="E4704" s="4" t="s">
        <v>22</v>
      </c>
      <c r="F4704" s="4" t="s">
        <v>24560</v>
      </c>
      <c r="G4704" s="4" t="s">
        <v>24561</v>
      </c>
      <c r="H4704" s="3" t="s">
        <v>23629</v>
      </c>
      <c r="I4704" s="3" t="s">
        <v>17219</v>
      </c>
      <c r="J4704" s="3" t="s">
        <v>3173</v>
      </c>
      <c r="K4704" s="3" t="s">
        <v>24562</v>
      </c>
      <c r="L4704" s="3" t="s">
        <v>24563</v>
      </c>
      <c r="M4704" s="4"/>
      <c r="N4704" s="3" t="s">
        <v>37</v>
      </c>
      <c r="O4704" s="3" t="s">
        <v>38</v>
      </c>
      <c r="P4704" s="5">
        <v>8</v>
      </c>
      <c r="Q4704" s="5">
        <v>71</v>
      </c>
      <c r="R4704" s="5">
        <v>8</v>
      </c>
      <c r="S4704" s="5">
        <v>66</v>
      </c>
    </row>
    <row r="4705" spans="1:19" ht="28" x14ac:dyDescent="0.15">
      <c r="A4705" s="2">
        <f>HYPERLINK("https://open-school.uspishnemisto.com.ua/school/230209/", 230209)</f>
        <v>230209</v>
      </c>
      <c r="B4705" s="3" t="s">
        <v>24564</v>
      </c>
      <c r="C4705" s="3" t="s">
        <v>31</v>
      </c>
      <c r="D4705" s="3" t="s">
        <v>32</v>
      </c>
      <c r="E4705" s="4" t="s">
        <v>22</v>
      </c>
      <c r="F4705" s="4" t="s">
        <v>24565</v>
      </c>
      <c r="G4705" s="4" t="s">
        <v>24566</v>
      </c>
      <c r="H4705" s="3" t="s">
        <v>23629</v>
      </c>
      <c r="I4705" s="3" t="s">
        <v>24567</v>
      </c>
      <c r="J4705" s="3" t="s">
        <v>14435</v>
      </c>
      <c r="K4705" s="3" t="s">
        <v>24568</v>
      </c>
      <c r="L4705" s="3" t="s">
        <v>24569</v>
      </c>
      <c r="M4705" s="4"/>
      <c r="N4705" s="3" t="s">
        <v>37</v>
      </c>
      <c r="O4705" s="3" t="s">
        <v>38</v>
      </c>
      <c r="P4705" s="5">
        <v>11</v>
      </c>
      <c r="Q4705" s="5">
        <v>101</v>
      </c>
      <c r="R4705" s="5">
        <v>11</v>
      </c>
      <c r="S4705" s="5">
        <v>102</v>
      </c>
    </row>
    <row r="4706" spans="1:19" ht="28" x14ac:dyDescent="0.15">
      <c r="A4706" s="2">
        <f>HYPERLINK("https://open-school.uspishnemisto.com.ua/school/230210/", 230210)</f>
        <v>230210</v>
      </c>
      <c r="B4706" s="3" t="s">
        <v>24570</v>
      </c>
      <c r="C4706" s="3" t="s">
        <v>31</v>
      </c>
      <c r="D4706" s="3" t="s">
        <v>32</v>
      </c>
      <c r="E4706" s="4" t="s">
        <v>22</v>
      </c>
      <c r="F4706" s="4" t="s">
        <v>24571</v>
      </c>
      <c r="G4706" s="4" t="s">
        <v>24572</v>
      </c>
      <c r="H4706" s="3" t="s">
        <v>23629</v>
      </c>
      <c r="I4706" s="3" t="s">
        <v>24573</v>
      </c>
      <c r="J4706" s="3" t="s">
        <v>2372</v>
      </c>
      <c r="K4706" s="3" t="s">
        <v>24574</v>
      </c>
      <c r="L4706" s="3" t="s">
        <v>24575</v>
      </c>
      <c r="M4706" s="4"/>
      <c r="N4706" s="3" t="s">
        <v>37</v>
      </c>
      <c r="O4706" s="3" t="s">
        <v>38</v>
      </c>
      <c r="P4706" s="5">
        <v>11</v>
      </c>
      <c r="Q4706" s="5">
        <v>153</v>
      </c>
      <c r="R4706" s="5">
        <v>11</v>
      </c>
      <c r="S4706" s="5">
        <v>149</v>
      </c>
    </row>
    <row r="4707" spans="1:19" ht="28" x14ac:dyDescent="0.15">
      <c r="A4707" s="2">
        <f>HYPERLINK("https://open-school.uspishnemisto.com.ua/school/230211/", 230211)</f>
        <v>230211</v>
      </c>
      <c r="B4707" s="3" t="s">
        <v>24576</v>
      </c>
      <c r="C4707" s="3" t="s">
        <v>31</v>
      </c>
      <c r="D4707" s="3" t="s">
        <v>32</v>
      </c>
      <c r="E4707" s="4" t="s">
        <v>22</v>
      </c>
      <c r="F4707" s="4" t="s">
        <v>24577</v>
      </c>
      <c r="G4707" s="4" t="s">
        <v>24578</v>
      </c>
      <c r="H4707" s="3" t="s">
        <v>23629</v>
      </c>
      <c r="I4707" s="3" t="s">
        <v>24579</v>
      </c>
      <c r="J4707" s="3" t="s">
        <v>3363</v>
      </c>
      <c r="K4707" s="3" t="s">
        <v>24580</v>
      </c>
      <c r="L4707" s="3" t="s">
        <v>24581</v>
      </c>
      <c r="M4707" s="4"/>
      <c r="N4707" s="3" t="s">
        <v>967</v>
      </c>
      <c r="O4707" s="3" t="s">
        <v>52</v>
      </c>
      <c r="P4707" s="5">
        <v>11</v>
      </c>
      <c r="Q4707" s="5">
        <v>92</v>
      </c>
      <c r="R4707" s="5">
        <v>11</v>
      </c>
      <c r="S4707" s="5">
        <v>100</v>
      </c>
    </row>
    <row r="4708" spans="1:19" ht="28" x14ac:dyDescent="0.15">
      <c r="A4708" s="2">
        <f>HYPERLINK("https://open-school.uspishnemisto.com.ua/school/230212/", 230212)</f>
        <v>230212</v>
      </c>
      <c r="B4708" s="3" t="s">
        <v>24582</v>
      </c>
      <c r="C4708" s="3" t="s">
        <v>31</v>
      </c>
      <c r="D4708" s="3" t="s">
        <v>32</v>
      </c>
      <c r="E4708" s="4" t="s">
        <v>22</v>
      </c>
      <c r="F4708" s="4" t="s">
        <v>24583</v>
      </c>
      <c r="G4708" s="4" t="s">
        <v>24584</v>
      </c>
      <c r="H4708" s="3" t="s">
        <v>23629</v>
      </c>
      <c r="I4708" s="3" t="s">
        <v>24585</v>
      </c>
      <c r="J4708" s="3" t="s">
        <v>21774</v>
      </c>
      <c r="K4708" s="3" t="s">
        <v>24586</v>
      </c>
      <c r="L4708" s="3" t="s">
        <v>24587</v>
      </c>
      <c r="M4708" s="4"/>
      <c r="N4708" s="3" t="s">
        <v>37</v>
      </c>
      <c r="O4708" s="3" t="s">
        <v>38</v>
      </c>
      <c r="P4708" s="5">
        <v>11</v>
      </c>
      <c r="Q4708" s="5">
        <v>167</v>
      </c>
      <c r="R4708" s="5">
        <v>11</v>
      </c>
      <c r="S4708" s="5">
        <v>162</v>
      </c>
    </row>
    <row r="4709" spans="1:19" ht="28" x14ac:dyDescent="0.15">
      <c r="A4709" s="2">
        <f>HYPERLINK("https://open-school.uspishnemisto.com.ua/school/230213/", 230213)</f>
        <v>230213</v>
      </c>
      <c r="B4709" s="3" t="s">
        <v>24588</v>
      </c>
      <c r="C4709" s="3" t="s">
        <v>31</v>
      </c>
      <c r="D4709" s="3" t="s">
        <v>32</v>
      </c>
      <c r="E4709" s="4" t="s">
        <v>22</v>
      </c>
      <c r="F4709" s="4" t="s">
        <v>24589</v>
      </c>
      <c r="G4709" s="4" t="s">
        <v>24590</v>
      </c>
      <c r="H4709" s="3" t="s">
        <v>23629</v>
      </c>
      <c r="I4709" s="3" t="s">
        <v>24591</v>
      </c>
      <c r="J4709" s="3" t="s">
        <v>2555</v>
      </c>
      <c r="K4709" s="3" t="s">
        <v>24592</v>
      </c>
      <c r="L4709" s="3" t="s">
        <v>24593</v>
      </c>
      <c r="M4709" s="4"/>
      <c r="N4709" s="3" t="s">
        <v>37</v>
      </c>
      <c r="O4709" s="3" t="s">
        <v>38</v>
      </c>
      <c r="P4709" s="5">
        <v>11</v>
      </c>
      <c r="Q4709" s="5">
        <v>90</v>
      </c>
      <c r="R4709" s="5">
        <v>11</v>
      </c>
      <c r="S4709" s="5">
        <v>101</v>
      </c>
    </row>
    <row r="4710" spans="1:19" ht="28" x14ac:dyDescent="0.15">
      <c r="A4710" s="2">
        <f>HYPERLINK("https://open-school.uspishnemisto.com.ua/school/230214/", 230214)</f>
        <v>230214</v>
      </c>
      <c r="B4710" s="3" t="s">
        <v>24594</v>
      </c>
      <c r="C4710" s="3" t="s">
        <v>31</v>
      </c>
      <c r="D4710" s="3" t="s">
        <v>32</v>
      </c>
      <c r="E4710" s="4" t="s">
        <v>22</v>
      </c>
      <c r="F4710" s="4" t="s">
        <v>24595</v>
      </c>
      <c r="G4710" s="4" t="s">
        <v>24596</v>
      </c>
      <c r="H4710" s="3" t="s">
        <v>23629</v>
      </c>
      <c r="I4710" s="3" t="s">
        <v>24597</v>
      </c>
      <c r="J4710" s="3" t="s">
        <v>24598</v>
      </c>
      <c r="K4710" s="3" t="s">
        <v>24599</v>
      </c>
      <c r="L4710" s="3" t="s">
        <v>24600</v>
      </c>
      <c r="M4710" s="4"/>
      <c r="N4710" s="3" t="s">
        <v>967</v>
      </c>
      <c r="O4710" s="3" t="s">
        <v>70</v>
      </c>
      <c r="P4710" s="5">
        <v>11</v>
      </c>
      <c r="Q4710" s="5">
        <v>87</v>
      </c>
      <c r="R4710" s="5">
        <v>11</v>
      </c>
      <c r="S4710" s="5">
        <v>86</v>
      </c>
    </row>
    <row r="4711" spans="1:19" ht="28" x14ac:dyDescent="0.15">
      <c r="A4711" s="2">
        <f>HYPERLINK("https://open-school.uspishnemisto.com.ua/school/230215/", 230215)</f>
        <v>230215</v>
      </c>
      <c r="B4711" s="3" t="s">
        <v>24601</v>
      </c>
      <c r="C4711" s="3" t="s">
        <v>31</v>
      </c>
      <c r="D4711" s="3" t="s">
        <v>32</v>
      </c>
      <c r="E4711" s="4" t="s">
        <v>22</v>
      </c>
      <c r="F4711" s="4" t="s">
        <v>24602</v>
      </c>
      <c r="G4711" s="4" t="s">
        <v>24603</v>
      </c>
      <c r="H4711" s="3" t="s">
        <v>23629</v>
      </c>
      <c r="I4711" s="3" t="s">
        <v>24604</v>
      </c>
      <c r="J4711" s="3" t="s">
        <v>24605</v>
      </c>
      <c r="K4711" s="3" t="s">
        <v>24606</v>
      </c>
      <c r="L4711" s="3" t="s">
        <v>24607</v>
      </c>
      <c r="M4711" s="4"/>
      <c r="N4711" s="3" t="s">
        <v>37</v>
      </c>
      <c r="O4711" s="3" t="s">
        <v>38</v>
      </c>
      <c r="P4711" s="5">
        <v>11</v>
      </c>
      <c r="Q4711" s="5">
        <v>139</v>
      </c>
      <c r="R4711" s="5">
        <v>11</v>
      </c>
      <c r="S4711" s="5">
        <v>142</v>
      </c>
    </row>
    <row r="4712" spans="1:19" ht="28" x14ac:dyDescent="0.15">
      <c r="A4712" s="2">
        <f>HYPERLINK("https://open-school.uspishnemisto.com.ua/school/230216/", 230216)</f>
        <v>230216</v>
      </c>
      <c r="B4712" s="3" t="s">
        <v>24608</v>
      </c>
      <c r="C4712" s="3" t="s">
        <v>31</v>
      </c>
      <c r="D4712" s="3" t="s">
        <v>32</v>
      </c>
      <c r="E4712" s="4" t="s">
        <v>22</v>
      </c>
      <c r="F4712" s="4" t="s">
        <v>24609</v>
      </c>
      <c r="G4712" s="4" t="s">
        <v>24610</v>
      </c>
      <c r="H4712" s="3" t="s">
        <v>23629</v>
      </c>
      <c r="I4712" s="3" t="s">
        <v>1889</v>
      </c>
      <c r="J4712" s="3" t="s">
        <v>24611</v>
      </c>
      <c r="K4712" s="3" t="s">
        <v>24612</v>
      </c>
      <c r="L4712" s="3" t="s">
        <v>24613</v>
      </c>
      <c r="M4712" s="4"/>
      <c r="N4712" s="3" t="s">
        <v>37</v>
      </c>
      <c r="O4712" s="3" t="s">
        <v>38</v>
      </c>
      <c r="P4712" s="5">
        <v>10</v>
      </c>
      <c r="Q4712" s="5">
        <v>85</v>
      </c>
      <c r="R4712" s="5">
        <v>10</v>
      </c>
      <c r="S4712" s="5">
        <v>78</v>
      </c>
    </row>
    <row r="4713" spans="1:19" ht="28" x14ac:dyDescent="0.15">
      <c r="A4713" s="2">
        <f>HYPERLINK("https://open-school.uspishnemisto.com.ua/school/230217/", 230217)</f>
        <v>230217</v>
      </c>
      <c r="B4713" s="3" t="s">
        <v>24614</v>
      </c>
      <c r="C4713" s="3" t="s">
        <v>31</v>
      </c>
      <c r="D4713" s="3" t="s">
        <v>32</v>
      </c>
      <c r="E4713" s="4" t="s">
        <v>22</v>
      </c>
      <c r="F4713" s="4" t="s">
        <v>24615</v>
      </c>
      <c r="G4713" s="4" t="s">
        <v>24616</v>
      </c>
      <c r="H4713" s="3" t="s">
        <v>23629</v>
      </c>
      <c r="I4713" s="3" t="s">
        <v>24617</v>
      </c>
      <c r="J4713" s="3" t="s">
        <v>1216</v>
      </c>
      <c r="K4713" s="3" t="s">
        <v>24618</v>
      </c>
      <c r="L4713" s="3" t="s">
        <v>24619</v>
      </c>
      <c r="M4713" s="4"/>
      <c r="N4713" s="3" t="s">
        <v>37</v>
      </c>
      <c r="O4713" s="3" t="s">
        <v>112</v>
      </c>
      <c r="P4713" s="5">
        <v>11</v>
      </c>
      <c r="Q4713" s="5">
        <v>105</v>
      </c>
      <c r="R4713" s="5">
        <v>11</v>
      </c>
      <c r="S4713" s="5">
        <v>88</v>
      </c>
    </row>
    <row r="4714" spans="1:19" ht="28" x14ac:dyDescent="0.15">
      <c r="A4714" s="2">
        <f>HYPERLINK("https://open-school.uspishnemisto.com.ua/school/230218/", 230218)</f>
        <v>230218</v>
      </c>
      <c r="B4714" s="3" t="s">
        <v>24620</v>
      </c>
      <c r="C4714" s="3" t="s">
        <v>31</v>
      </c>
      <c r="D4714" s="3" t="s">
        <v>32</v>
      </c>
      <c r="E4714" s="4" t="s">
        <v>22</v>
      </c>
      <c r="F4714" s="4" t="s">
        <v>24621</v>
      </c>
      <c r="G4714" s="4" t="s">
        <v>24622</v>
      </c>
      <c r="H4714" s="3" t="s">
        <v>23629</v>
      </c>
      <c r="I4714" s="3" t="s">
        <v>24623</v>
      </c>
      <c r="J4714" s="3" t="s">
        <v>554</v>
      </c>
      <c r="K4714" s="3" t="s">
        <v>24624</v>
      </c>
      <c r="L4714" s="3" t="s">
        <v>24625</v>
      </c>
      <c r="M4714" s="4"/>
      <c r="N4714" s="3" t="s">
        <v>37</v>
      </c>
      <c r="O4714" s="3" t="s">
        <v>38</v>
      </c>
      <c r="P4714" s="5">
        <v>10</v>
      </c>
      <c r="Q4714" s="5">
        <v>77</v>
      </c>
      <c r="R4714" s="5">
        <v>9</v>
      </c>
      <c r="S4714" s="5">
        <v>74</v>
      </c>
    </row>
    <row r="4715" spans="1:19" ht="28" x14ac:dyDescent="0.15">
      <c r="A4715" s="2">
        <f>HYPERLINK("https://open-school.uspishnemisto.com.ua/school/230219/", 230219)</f>
        <v>230219</v>
      </c>
      <c r="B4715" s="3" t="s">
        <v>24626</v>
      </c>
      <c r="C4715" s="3" t="s">
        <v>31</v>
      </c>
      <c r="D4715" s="3" t="s">
        <v>32</v>
      </c>
      <c r="E4715" s="4" t="s">
        <v>22</v>
      </c>
      <c r="F4715" s="4" t="s">
        <v>24627</v>
      </c>
      <c r="G4715" s="4" t="s">
        <v>24628</v>
      </c>
      <c r="H4715" s="3" t="s">
        <v>23629</v>
      </c>
      <c r="I4715" s="3" t="s">
        <v>24629</v>
      </c>
      <c r="J4715" s="3" t="s">
        <v>24630</v>
      </c>
      <c r="K4715" s="3" t="s">
        <v>24631</v>
      </c>
      <c r="L4715" s="3" t="s">
        <v>24632</v>
      </c>
      <c r="M4715" s="4"/>
      <c r="N4715" s="3" t="s">
        <v>37</v>
      </c>
      <c r="O4715" s="3" t="s">
        <v>52</v>
      </c>
      <c r="P4715" s="5">
        <v>10</v>
      </c>
      <c r="Q4715" s="5">
        <v>97</v>
      </c>
      <c r="R4715" s="5">
        <v>10</v>
      </c>
      <c r="S4715" s="5">
        <v>103</v>
      </c>
    </row>
    <row r="4716" spans="1:19" ht="28" x14ac:dyDescent="0.15">
      <c r="A4716" s="2">
        <f>HYPERLINK("https://open-school.uspishnemisto.com.ua/school/230220/", 230220)</f>
        <v>230220</v>
      </c>
      <c r="B4716" s="3" t="s">
        <v>24633</v>
      </c>
      <c r="C4716" s="3" t="s">
        <v>244</v>
      </c>
      <c r="D4716" s="3" t="s">
        <v>32</v>
      </c>
      <c r="E4716" s="4" t="s">
        <v>22</v>
      </c>
      <c r="F4716" s="4" t="s">
        <v>24634</v>
      </c>
      <c r="G4716" s="4" t="s">
        <v>24635</v>
      </c>
      <c r="H4716" s="3" t="s">
        <v>23629</v>
      </c>
      <c r="I4716" s="3" t="s">
        <v>4594</v>
      </c>
      <c r="J4716" s="3" t="s">
        <v>24636</v>
      </c>
      <c r="K4716" s="3" t="s">
        <v>24637</v>
      </c>
      <c r="L4716" s="3" t="s">
        <v>24638</v>
      </c>
      <c r="M4716" s="4" t="s">
        <v>24639</v>
      </c>
      <c r="N4716" s="3" t="s">
        <v>37</v>
      </c>
      <c r="O4716" s="3" t="s">
        <v>721</v>
      </c>
      <c r="P4716" s="5">
        <v>14</v>
      </c>
      <c r="Q4716" s="5">
        <v>243</v>
      </c>
      <c r="R4716" s="5">
        <v>13</v>
      </c>
      <c r="S4716" s="5">
        <v>234</v>
      </c>
    </row>
    <row r="4717" spans="1:19" ht="28" x14ac:dyDescent="0.15">
      <c r="A4717" s="2">
        <f>HYPERLINK("https://open-school.uspishnemisto.com.ua/school/230221/", 230221)</f>
        <v>230221</v>
      </c>
      <c r="B4717" s="3" t="s">
        <v>24640</v>
      </c>
      <c r="C4717" s="3" t="s">
        <v>31</v>
      </c>
      <c r="D4717" s="3" t="s">
        <v>175</v>
      </c>
      <c r="E4717" s="4" t="s">
        <v>22</v>
      </c>
      <c r="F4717" s="4" t="s">
        <v>24641</v>
      </c>
      <c r="G4717" s="4" t="s">
        <v>24642</v>
      </c>
      <c r="H4717" s="3" t="s">
        <v>23629</v>
      </c>
      <c r="I4717" s="3" t="s">
        <v>16056</v>
      </c>
      <c r="J4717" s="3" t="s">
        <v>24643</v>
      </c>
      <c r="K4717" s="3" t="s">
        <v>24644</v>
      </c>
      <c r="L4717" s="3" t="s">
        <v>24645</v>
      </c>
      <c r="M4717" s="4" t="s">
        <v>24646</v>
      </c>
      <c r="N4717" s="3" t="s">
        <v>37</v>
      </c>
      <c r="O4717" s="3" t="s">
        <v>38</v>
      </c>
      <c r="P4717" s="5">
        <v>9</v>
      </c>
      <c r="Q4717" s="5">
        <v>72</v>
      </c>
      <c r="R4717" s="5">
        <v>9</v>
      </c>
      <c r="S4717" s="5">
        <v>76</v>
      </c>
    </row>
    <row r="4718" spans="1:19" ht="28" x14ac:dyDescent="0.15">
      <c r="A4718" s="2">
        <f>HYPERLINK("https://open-school.uspishnemisto.com.ua/school/230222/", 230222)</f>
        <v>230222</v>
      </c>
      <c r="B4718" s="3" t="s">
        <v>24647</v>
      </c>
      <c r="C4718" s="3" t="s">
        <v>31</v>
      </c>
      <c r="D4718" s="3" t="s">
        <v>32</v>
      </c>
      <c r="E4718" s="4" t="s">
        <v>22</v>
      </c>
      <c r="F4718" s="4" t="s">
        <v>24648</v>
      </c>
      <c r="G4718" s="4" t="s">
        <v>24649</v>
      </c>
      <c r="H4718" s="3" t="s">
        <v>23629</v>
      </c>
      <c r="I4718" s="3" t="s">
        <v>24650</v>
      </c>
      <c r="J4718" s="3" t="s">
        <v>24651</v>
      </c>
      <c r="K4718" s="3" t="s">
        <v>24652</v>
      </c>
      <c r="L4718" s="3"/>
      <c r="M4718" s="4" t="s">
        <v>24653</v>
      </c>
      <c r="N4718" s="3" t="s">
        <v>37</v>
      </c>
      <c r="O4718" s="3" t="s">
        <v>38</v>
      </c>
      <c r="P4718" s="5">
        <v>10</v>
      </c>
      <c r="Q4718" s="5">
        <v>96</v>
      </c>
      <c r="R4718" s="5">
        <v>10</v>
      </c>
      <c r="S4718" s="5">
        <v>101</v>
      </c>
    </row>
    <row r="4719" spans="1:19" ht="28" x14ac:dyDescent="0.15">
      <c r="A4719" s="2">
        <f>HYPERLINK("https://open-school.uspishnemisto.com.ua/school/230223/", 230223)</f>
        <v>230223</v>
      </c>
      <c r="B4719" s="3" t="s">
        <v>24654</v>
      </c>
      <c r="C4719" s="3" t="s">
        <v>31</v>
      </c>
      <c r="D4719" s="3" t="s">
        <v>32</v>
      </c>
      <c r="E4719" s="4" t="s">
        <v>22</v>
      </c>
      <c r="F4719" s="4" t="s">
        <v>24655</v>
      </c>
      <c r="G4719" s="4" t="s">
        <v>24656</v>
      </c>
      <c r="H4719" s="3" t="s">
        <v>23629</v>
      </c>
      <c r="I4719" s="3" t="s">
        <v>24657</v>
      </c>
      <c r="J4719" s="3" t="s">
        <v>24658</v>
      </c>
      <c r="K4719" s="3" t="s">
        <v>24659</v>
      </c>
      <c r="L4719" s="3" t="s">
        <v>24660</v>
      </c>
      <c r="M4719" s="4" t="s">
        <v>24661</v>
      </c>
      <c r="N4719" s="3" t="s">
        <v>37</v>
      </c>
      <c r="O4719" s="3" t="s">
        <v>38</v>
      </c>
      <c r="P4719" s="5">
        <v>11</v>
      </c>
      <c r="Q4719" s="5">
        <v>101</v>
      </c>
      <c r="R4719" s="5">
        <v>11</v>
      </c>
      <c r="S4719" s="5">
        <v>95</v>
      </c>
    </row>
    <row r="4720" spans="1:19" ht="42" x14ac:dyDescent="0.15">
      <c r="A4720" s="2">
        <f>HYPERLINK("https://open-school.uspishnemisto.com.ua/school/230224/", 230224)</f>
        <v>230224</v>
      </c>
      <c r="B4720" s="3" t="s">
        <v>24662</v>
      </c>
      <c r="C4720" s="3" t="s">
        <v>31</v>
      </c>
      <c r="D4720" s="3" t="s">
        <v>32</v>
      </c>
      <c r="E4720" s="4" t="s">
        <v>22</v>
      </c>
      <c r="F4720" s="4" t="s">
        <v>24663</v>
      </c>
      <c r="G4720" s="4" t="s">
        <v>24664</v>
      </c>
      <c r="H4720" s="3" t="s">
        <v>23629</v>
      </c>
      <c r="I4720" s="3" t="s">
        <v>14971</v>
      </c>
      <c r="J4720" s="3" t="s">
        <v>24665</v>
      </c>
      <c r="K4720" s="3" t="s">
        <v>24666</v>
      </c>
      <c r="L4720" s="3"/>
      <c r="M4720" s="4"/>
      <c r="N4720" s="3" t="s">
        <v>37</v>
      </c>
      <c r="O4720" s="3" t="s">
        <v>38</v>
      </c>
      <c r="P4720" s="5">
        <v>11</v>
      </c>
      <c r="Q4720" s="5">
        <v>139</v>
      </c>
      <c r="R4720" s="5">
        <v>11</v>
      </c>
      <c r="S4720" s="5">
        <v>133</v>
      </c>
    </row>
    <row r="4721" spans="1:19" ht="28" x14ac:dyDescent="0.15">
      <c r="A4721" s="2">
        <f>HYPERLINK("https://open-school.uspishnemisto.com.ua/school/230225/", 230225)</f>
        <v>230225</v>
      </c>
      <c r="B4721" s="3" t="s">
        <v>24667</v>
      </c>
      <c r="C4721" s="3" t="s">
        <v>31</v>
      </c>
      <c r="D4721" s="3" t="s">
        <v>32</v>
      </c>
      <c r="E4721" s="4" t="s">
        <v>22</v>
      </c>
      <c r="F4721" s="4" t="s">
        <v>24668</v>
      </c>
      <c r="G4721" s="4" t="s">
        <v>24669</v>
      </c>
      <c r="H4721" s="3" t="s">
        <v>23629</v>
      </c>
      <c r="I4721" s="3" t="s">
        <v>11923</v>
      </c>
      <c r="J4721" s="3" t="s">
        <v>24670</v>
      </c>
      <c r="K4721" s="3" t="s">
        <v>24671</v>
      </c>
      <c r="L4721" s="3" t="s">
        <v>24672</v>
      </c>
      <c r="M4721" s="4" t="s">
        <v>24673</v>
      </c>
      <c r="N4721" s="3" t="s">
        <v>37</v>
      </c>
      <c r="O4721" s="3" t="s">
        <v>38</v>
      </c>
      <c r="P4721" s="5">
        <v>11</v>
      </c>
      <c r="Q4721" s="5">
        <v>225</v>
      </c>
      <c r="R4721" s="5">
        <v>11</v>
      </c>
      <c r="S4721" s="5">
        <v>212</v>
      </c>
    </row>
    <row r="4722" spans="1:19" ht="28" x14ac:dyDescent="0.15">
      <c r="A4722" s="2">
        <f>HYPERLINK("https://open-school.uspishnemisto.com.ua/school/230226/", 230226)</f>
        <v>230226</v>
      </c>
      <c r="B4722" s="3" t="s">
        <v>24674</v>
      </c>
      <c r="C4722" s="3" t="s">
        <v>31</v>
      </c>
      <c r="D4722" s="3" t="s">
        <v>32</v>
      </c>
      <c r="E4722" s="4" t="s">
        <v>22</v>
      </c>
      <c r="F4722" s="4" t="s">
        <v>24675</v>
      </c>
      <c r="G4722" s="4" t="s">
        <v>24676</v>
      </c>
      <c r="H4722" s="3" t="s">
        <v>23629</v>
      </c>
      <c r="I4722" s="3" t="s">
        <v>12730</v>
      </c>
      <c r="J4722" s="3" t="s">
        <v>4570</v>
      </c>
      <c r="K4722" s="3" t="s">
        <v>24677</v>
      </c>
      <c r="L4722" s="3" t="s">
        <v>24678</v>
      </c>
      <c r="M4722" s="4" t="s">
        <v>24679</v>
      </c>
      <c r="N4722" s="3" t="s">
        <v>37</v>
      </c>
      <c r="O4722" s="3" t="s">
        <v>38</v>
      </c>
      <c r="P4722" s="5">
        <v>11</v>
      </c>
      <c r="Q4722" s="5">
        <v>79</v>
      </c>
      <c r="R4722" s="5">
        <v>10</v>
      </c>
      <c r="S4722" s="5">
        <v>77</v>
      </c>
    </row>
    <row r="4723" spans="1:19" ht="28" x14ac:dyDescent="0.15">
      <c r="A4723" s="2">
        <f>HYPERLINK("https://open-school.uspishnemisto.com.ua/school/230227/", 230227)</f>
        <v>230227</v>
      </c>
      <c r="B4723" s="3" t="s">
        <v>24680</v>
      </c>
      <c r="C4723" s="3" t="s">
        <v>31</v>
      </c>
      <c r="D4723" s="3" t="s">
        <v>175</v>
      </c>
      <c r="E4723" s="4" t="s">
        <v>22</v>
      </c>
      <c r="F4723" s="4" t="s">
        <v>24681</v>
      </c>
      <c r="G4723" s="4" t="s">
        <v>24682</v>
      </c>
      <c r="H4723" s="3" t="s">
        <v>23629</v>
      </c>
      <c r="I4723" s="3" t="s">
        <v>11064</v>
      </c>
      <c r="J4723" s="3" t="s">
        <v>24683</v>
      </c>
      <c r="K4723" s="3" t="s">
        <v>24684</v>
      </c>
      <c r="L4723" s="3"/>
      <c r="M4723" s="4" t="s">
        <v>24685</v>
      </c>
      <c r="N4723" s="3" t="s">
        <v>37</v>
      </c>
      <c r="O4723" s="3" t="s">
        <v>38</v>
      </c>
      <c r="P4723" s="5">
        <v>5</v>
      </c>
      <c r="Q4723" s="5">
        <v>34</v>
      </c>
      <c r="R4723" s="5">
        <v>5</v>
      </c>
      <c r="S4723" s="5">
        <v>41</v>
      </c>
    </row>
    <row r="4724" spans="1:19" ht="28" x14ac:dyDescent="0.15">
      <c r="A4724" s="2">
        <f>HYPERLINK("https://open-school.uspishnemisto.com.ua/school/230228/", 230228)</f>
        <v>230228</v>
      </c>
      <c r="B4724" s="3" t="s">
        <v>24686</v>
      </c>
      <c r="C4724" s="3" t="s">
        <v>31</v>
      </c>
      <c r="D4724" s="3" t="s">
        <v>32</v>
      </c>
      <c r="E4724" s="4" t="s">
        <v>22</v>
      </c>
      <c r="F4724" s="4" t="s">
        <v>24687</v>
      </c>
      <c r="G4724" s="4" t="s">
        <v>24688</v>
      </c>
      <c r="H4724" s="3" t="s">
        <v>23629</v>
      </c>
      <c r="I4724" s="3" t="s">
        <v>12351</v>
      </c>
      <c r="J4724" s="3" t="s">
        <v>634</v>
      </c>
      <c r="K4724" s="3" t="s">
        <v>24689</v>
      </c>
      <c r="L4724" s="3" t="s">
        <v>24690</v>
      </c>
      <c r="M4724" s="4"/>
      <c r="N4724" s="3" t="s">
        <v>37</v>
      </c>
      <c r="O4724" s="3" t="s">
        <v>38</v>
      </c>
      <c r="P4724" s="5">
        <v>11</v>
      </c>
      <c r="Q4724" s="5">
        <v>81</v>
      </c>
      <c r="R4724" s="5">
        <v>11</v>
      </c>
      <c r="S4724" s="5">
        <v>81</v>
      </c>
    </row>
    <row r="4725" spans="1:19" ht="28" x14ac:dyDescent="0.15">
      <c r="A4725" s="2">
        <f>HYPERLINK("https://open-school.uspishnemisto.com.ua/school/230229/", 230229)</f>
        <v>230229</v>
      </c>
      <c r="B4725" s="3" t="s">
        <v>24691</v>
      </c>
      <c r="C4725" s="3" t="s">
        <v>31</v>
      </c>
      <c r="D4725" s="3" t="s">
        <v>32</v>
      </c>
      <c r="E4725" s="4" t="s">
        <v>22</v>
      </c>
      <c r="F4725" s="4" t="s">
        <v>24692</v>
      </c>
      <c r="G4725" s="4" t="s">
        <v>24693</v>
      </c>
      <c r="H4725" s="3" t="s">
        <v>23629</v>
      </c>
      <c r="I4725" s="3" t="s">
        <v>24694</v>
      </c>
      <c r="J4725" s="3" t="s">
        <v>24695</v>
      </c>
      <c r="K4725" s="3" t="s">
        <v>24696</v>
      </c>
      <c r="L4725" s="3" t="s">
        <v>24697</v>
      </c>
      <c r="M4725" s="4" t="s">
        <v>24698</v>
      </c>
      <c r="N4725" s="3" t="s">
        <v>37</v>
      </c>
      <c r="O4725" s="3" t="s">
        <v>70</v>
      </c>
      <c r="P4725" s="5">
        <v>11</v>
      </c>
      <c r="Q4725" s="5">
        <v>173</v>
      </c>
      <c r="R4725" s="5">
        <v>11</v>
      </c>
      <c r="S4725" s="5">
        <v>176</v>
      </c>
    </row>
    <row r="4726" spans="1:19" ht="42" x14ac:dyDescent="0.15">
      <c r="A4726" s="2">
        <f>HYPERLINK("https://open-school.uspishnemisto.com.ua/school/230230/", 230230)</f>
        <v>230230</v>
      </c>
      <c r="B4726" s="3" t="s">
        <v>24699</v>
      </c>
      <c r="C4726" s="3" t="s">
        <v>31</v>
      </c>
      <c r="D4726" s="3" t="s">
        <v>32</v>
      </c>
      <c r="E4726" s="4" t="s">
        <v>22</v>
      </c>
      <c r="F4726" s="4" t="s">
        <v>24700</v>
      </c>
      <c r="G4726" s="4" t="s">
        <v>24701</v>
      </c>
      <c r="H4726" s="3" t="s">
        <v>23629</v>
      </c>
      <c r="I4726" s="3" t="s">
        <v>1740</v>
      </c>
      <c r="J4726" s="3" t="s">
        <v>6621</v>
      </c>
      <c r="K4726" s="3" t="s">
        <v>24702</v>
      </c>
      <c r="L4726" s="3" t="s">
        <v>24703</v>
      </c>
      <c r="M4726" s="4"/>
      <c r="N4726" s="3" t="s">
        <v>37</v>
      </c>
      <c r="O4726" s="3" t="s">
        <v>38</v>
      </c>
      <c r="P4726" s="5">
        <v>11</v>
      </c>
      <c r="Q4726" s="5">
        <v>104</v>
      </c>
      <c r="R4726" s="5">
        <v>11</v>
      </c>
      <c r="S4726" s="5">
        <v>115</v>
      </c>
    </row>
    <row r="4727" spans="1:19" ht="42" x14ac:dyDescent="0.15">
      <c r="A4727" s="2">
        <f>HYPERLINK("https://open-school.uspishnemisto.com.ua/school/230231/", 230231)</f>
        <v>230231</v>
      </c>
      <c r="B4727" s="3" t="s">
        <v>24704</v>
      </c>
      <c r="C4727" s="3" t="s">
        <v>31</v>
      </c>
      <c r="D4727" s="3" t="s">
        <v>32</v>
      </c>
      <c r="E4727" s="4" t="s">
        <v>22</v>
      </c>
      <c r="F4727" s="4" t="s">
        <v>24705</v>
      </c>
      <c r="G4727" s="4" t="s">
        <v>24706</v>
      </c>
      <c r="H4727" s="3" t="s">
        <v>23629</v>
      </c>
      <c r="I4727" s="3" t="s">
        <v>11724</v>
      </c>
      <c r="J4727" s="3" t="s">
        <v>3266</v>
      </c>
      <c r="K4727" s="3" t="s">
        <v>24707</v>
      </c>
      <c r="L4727" s="3" t="s">
        <v>24708</v>
      </c>
      <c r="M4727" s="4" t="s">
        <v>24709</v>
      </c>
      <c r="N4727" s="3" t="s">
        <v>37</v>
      </c>
      <c r="O4727" s="3" t="s">
        <v>38</v>
      </c>
      <c r="P4727" s="5">
        <v>12</v>
      </c>
      <c r="Q4727" s="5">
        <v>226</v>
      </c>
      <c r="R4727" s="5">
        <v>13</v>
      </c>
      <c r="S4727" s="5">
        <v>231</v>
      </c>
    </row>
    <row r="4728" spans="1:19" ht="28" x14ac:dyDescent="0.15">
      <c r="A4728" s="2">
        <f>HYPERLINK("https://open-school.uspishnemisto.com.ua/school/230232/", 230232)</f>
        <v>230232</v>
      </c>
      <c r="B4728" s="3" t="s">
        <v>24710</v>
      </c>
      <c r="C4728" s="3" t="s">
        <v>31</v>
      </c>
      <c r="D4728" s="3" t="s">
        <v>175</v>
      </c>
      <c r="E4728" s="4" t="s">
        <v>22</v>
      </c>
      <c r="F4728" s="4" t="s">
        <v>24711</v>
      </c>
      <c r="G4728" s="4" t="s">
        <v>24712</v>
      </c>
      <c r="H4728" s="3" t="s">
        <v>23629</v>
      </c>
      <c r="I4728" s="3" t="s">
        <v>24713</v>
      </c>
      <c r="J4728" s="3" t="s">
        <v>24714</v>
      </c>
      <c r="K4728" s="3" t="s">
        <v>24715</v>
      </c>
      <c r="L4728" s="3" t="s">
        <v>24716</v>
      </c>
      <c r="M4728" s="4" t="s">
        <v>24717</v>
      </c>
      <c r="N4728" s="3" t="s">
        <v>37</v>
      </c>
      <c r="O4728" s="3" t="s">
        <v>52</v>
      </c>
      <c r="P4728" s="5">
        <v>9</v>
      </c>
      <c r="Q4728" s="5">
        <v>68</v>
      </c>
      <c r="R4728" s="5">
        <v>9</v>
      </c>
      <c r="S4728" s="5">
        <v>71</v>
      </c>
    </row>
    <row r="4729" spans="1:19" ht="28" x14ac:dyDescent="0.15">
      <c r="A4729" s="2">
        <f>HYPERLINK("https://open-school.uspishnemisto.com.ua/school/230233/", 230233)</f>
        <v>230233</v>
      </c>
      <c r="B4729" s="3" t="s">
        <v>24718</v>
      </c>
      <c r="C4729" s="3" t="s">
        <v>31</v>
      </c>
      <c r="D4729" s="3" t="s">
        <v>32</v>
      </c>
      <c r="E4729" s="4" t="s">
        <v>22</v>
      </c>
      <c r="F4729" s="4" t="s">
        <v>24719</v>
      </c>
      <c r="G4729" s="4" t="s">
        <v>24720</v>
      </c>
      <c r="H4729" s="3" t="s">
        <v>23629</v>
      </c>
      <c r="I4729" s="3" t="s">
        <v>12168</v>
      </c>
      <c r="J4729" s="3" t="s">
        <v>24721</v>
      </c>
      <c r="K4729" s="3" t="s">
        <v>24722</v>
      </c>
      <c r="L4729" s="3" t="s">
        <v>24723</v>
      </c>
      <c r="M4729" s="4" t="s">
        <v>24724</v>
      </c>
      <c r="N4729" s="3" t="s">
        <v>37</v>
      </c>
      <c r="O4729" s="3" t="s">
        <v>38</v>
      </c>
      <c r="P4729" s="5">
        <v>11</v>
      </c>
      <c r="Q4729" s="5">
        <v>142</v>
      </c>
      <c r="R4729" s="5">
        <v>11</v>
      </c>
      <c r="S4729" s="5">
        <v>146</v>
      </c>
    </row>
    <row r="4730" spans="1:19" ht="42" x14ac:dyDescent="0.15">
      <c r="A4730" s="2">
        <f>HYPERLINK("https://open-school.uspishnemisto.com.ua/school/230234/", 230234)</f>
        <v>230234</v>
      </c>
      <c r="B4730" s="3" t="s">
        <v>24725</v>
      </c>
      <c r="C4730" s="3" t="s">
        <v>31</v>
      </c>
      <c r="D4730" s="3" t="s">
        <v>32</v>
      </c>
      <c r="E4730" s="4" t="s">
        <v>22</v>
      </c>
      <c r="F4730" s="4" t="s">
        <v>24726</v>
      </c>
      <c r="G4730" s="4" t="s">
        <v>24727</v>
      </c>
      <c r="H4730" s="3" t="s">
        <v>23629</v>
      </c>
      <c r="I4730" s="3" t="s">
        <v>24728</v>
      </c>
      <c r="J4730" s="3" t="s">
        <v>24729</v>
      </c>
      <c r="K4730" s="3" t="s">
        <v>24730</v>
      </c>
      <c r="L4730" s="3" t="s">
        <v>24731</v>
      </c>
      <c r="M4730" s="4" t="s">
        <v>24732</v>
      </c>
      <c r="N4730" s="3" t="s">
        <v>37</v>
      </c>
      <c r="O4730" s="3" t="s">
        <v>38</v>
      </c>
      <c r="P4730" s="5">
        <v>19</v>
      </c>
      <c r="Q4730" s="5">
        <v>421</v>
      </c>
      <c r="R4730" s="5">
        <v>18</v>
      </c>
      <c r="S4730" s="5">
        <v>388</v>
      </c>
    </row>
    <row r="4731" spans="1:19" ht="42" x14ac:dyDescent="0.15">
      <c r="A4731" s="2">
        <f>HYPERLINK("https://open-school.uspishnemisto.com.ua/school/230235/", 230235)</f>
        <v>230235</v>
      </c>
      <c r="B4731" s="3" t="s">
        <v>24733</v>
      </c>
      <c r="C4731" s="3" t="s">
        <v>31</v>
      </c>
      <c r="D4731" s="3" t="s">
        <v>32</v>
      </c>
      <c r="E4731" s="4" t="s">
        <v>22</v>
      </c>
      <c r="F4731" s="4" t="s">
        <v>24734</v>
      </c>
      <c r="G4731" s="4" t="s">
        <v>24735</v>
      </c>
      <c r="H4731" s="3" t="s">
        <v>23629</v>
      </c>
      <c r="I4731" s="3" t="s">
        <v>24736</v>
      </c>
      <c r="J4731" s="3" t="s">
        <v>24737</v>
      </c>
      <c r="K4731" s="3" t="s">
        <v>24738</v>
      </c>
      <c r="L4731" s="3" t="s">
        <v>24739</v>
      </c>
      <c r="M4731" s="4" t="s">
        <v>24740</v>
      </c>
      <c r="N4731" s="3" t="s">
        <v>37</v>
      </c>
      <c r="O4731" s="3" t="s">
        <v>38</v>
      </c>
      <c r="P4731" s="5">
        <v>11</v>
      </c>
      <c r="Q4731" s="5">
        <v>102</v>
      </c>
      <c r="R4731" s="5">
        <v>11</v>
      </c>
      <c r="S4731" s="5">
        <v>99</v>
      </c>
    </row>
    <row r="4732" spans="1:19" ht="42" x14ac:dyDescent="0.15">
      <c r="A4732" s="2">
        <f>HYPERLINK("https://open-school.uspishnemisto.com.ua/school/230236/", 230236)</f>
        <v>230236</v>
      </c>
      <c r="B4732" s="3" t="s">
        <v>24741</v>
      </c>
      <c r="C4732" s="3" t="s">
        <v>31</v>
      </c>
      <c r="D4732" s="3" t="s">
        <v>175</v>
      </c>
      <c r="E4732" s="4" t="s">
        <v>22</v>
      </c>
      <c r="F4732" s="4" t="s">
        <v>24742</v>
      </c>
      <c r="G4732" s="4" t="s">
        <v>24743</v>
      </c>
      <c r="H4732" s="3" t="s">
        <v>23629</v>
      </c>
      <c r="I4732" s="3" t="s">
        <v>16082</v>
      </c>
      <c r="J4732" s="3" t="s">
        <v>1999</v>
      </c>
      <c r="K4732" s="3" t="s">
        <v>24744</v>
      </c>
      <c r="L4732" s="3"/>
      <c r="M4732" s="4" t="s">
        <v>24745</v>
      </c>
      <c r="N4732" s="3" t="s">
        <v>37</v>
      </c>
      <c r="O4732" s="3" t="s">
        <v>38</v>
      </c>
      <c r="P4732" s="5">
        <v>5</v>
      </c>
      <c r="Q4732" s="5">
        <v>41</v>
      </c>
      <c r="R4732" s="5">
        <v>7</v>
      </c>
      <c r="S4732" s="5">
        <v>43</v>
      </c>
    </row>
    <row r="4733" spans="1:19" ht="28" x14ac:dyDescent="0.15">
      <c r="A4733" s="2">
        <f>HYPERLINK("https://open-school.uspishnemisto.com.ua/school/230237/", 230237)</f>
        <v>230237</v>
      </c>
      <c r="B4733" s="3" t="s">
        <v>24746</v>
      </c>
      <c r="C4733" s="3" t="s">
        <v>20</v>
      </c>
      <c r="D4733" s="3" t="s">
        <v>21</v>
      </c>
      <c r="E4733" s="4" t="s">
        <v>22</v>
      </c>
      <c r="F4733" s="4" t="s">
        <v>24747</v>
      </c>
      <c r="G4733" s="4" t="s">
        <v>24748</v>
      </c>
      <c r="H4733" s="3" t="s">
        <v>23629</v>
      </c>
      <c r="I4733" s="3" t="s">
        <v>1500</v>
      </c>
      <c r="J4733" s="3" t="s">
        <v>16202</v>
      </c>
      <c r="K4733" s="3" t="s">
        <v>24749</v>
      </c>
      <c r="L4733" s="3" t="s">
        <v>24750</v>
      </c>
      <c r="M4733" s="4"/>
      <c r="N4733" s="3"/>
      <c r="O4733" s="3"/>
      <c r="P4733" s="5">
        <v>0</v>
      </c>
      <c r="Q4733" s="5">
        <v>0</v>
      </c>
      <c r="R4733" s="5"/>
      <c r="S4733" s="5"/>
    </row>
    <row r="4734" spans="1:19" ht="42" x14ac:dyDescent="0.15">
      <c r="A4734" s="2">
        <f>HYPERLINK("https://open-school.uspishnemisto.com.ua/school/230238/", 230238)</f>
        <v>230238</v>
      </c>
      <c r="B4734" s="3" t="s">
        <v>24751</v>
      </c>
      <c r="C4734" s="3" t="s">
        <v>31</v>
      </c>
      <c r="D4734" s="3" t="s">
        <v>32</v>
      </c>
      <c r="E4734" s="4" t="s">
        <v>22</v>
      </c>
      <c r="F4734" s="4" t="s">
        <v>24747</v>
      </c>
      <c r="G4734" s="4" t="s">
        <v>24748</v>
      </c>
      <c r="H4734" s="3" t="s">
        <v>23629</v>
      </c>
      <c r="I4734" s="3" t="s">
        <v>1500</v>
      </c>
      <c r="J4734" s="3" t="s">
        <v>1360</v>
      </c>
      <c r="K4734" s="3" t="s">
        <v>24752</v>
      </c>
      <c r="L4734" s="3" t="s">
        <v>24753</v>
      </c>
      <c r="M4734" s="4" t="s">
        <v>24754</v>
      </c>
      <c r="N4734" s="3" t="s">
        <v>37</v>
      </c>
      <c r="O4734" s="3" t="s">
        <v>46</v>
      </c>
      <c r="P4734" s="5">
        <v>21</v>
      </c>
      <c r="Q4734" s="5">
        <v>565</v>
      </c>
      <c r="R4734" s="5">
        <v>20</v>
      </c>
      <c r="S4734" s="5">
        <v>550</v>
      </c>
    </row>
    <row r="4735" spans="1:19" ht="42" x14ac:dyDescent="0.15">
      <c r="A4735" s="2">
        <f>HYPERLINK("https://open-school.uspishnemisto.com.ua/school/230239/", 230239)</f>
        <v>230239</v>
      </c>
      <c r="B4735" s="3" t="s">
        <v>24755</v>
      </c>
      <c r="C4735" s="3" t="s">
        <v>31</v>
      </c>
      <c r="D4735" s="3" t="s">
        <v>32</v>
      </c>
      <c r="E4735" s="4" t="s">
        <v>22</v>
      </c>
      <c r="F4735" s="4" t="s">
        <v>24747</v>
      </c>
      <c r="G4735" s="4" t="s">
        <v>24748</v>
      </c>
      <c r="H4735" s="3" t="s">
        <v>23629</v>
      </c>
      <c r="I4735" s="3" t="s">
        <v>1500</v>
      </c>
      <c r="J4735" s="3" t="s">
        <v>24756</v>
      </c>
      <c r="K4735" s="3" t="s">
        <v>24757</v>
      </c>
      <c r="L4735" s="3" t="s">
        <v>24758</v>
      </c>
      <c r="M4735" s="4" t="s">
        <v>24759</v>
      </c>
      <c r="N4735" s="3" t="s">
        <v>37</v>
      </c>
      <c r="O4735" s="3" t="s">
        <v>38</v>
      </c>
      <c r="P4735" s="5">
        <v>18</v>
      </c>
      <c r="Q4735" s="5">
        <v>355</v>
      </c>
      <c r="R4735" s="5">
        <v>17</v>
      </c>
      <c r="S4735" s="5">
        <v>343</v>
      </c>
    </row>
    <row r="4736" spans="1:19" ht="42" x14ac:dyDescent="0.15">
      <c r="A4736" s="2">
        <f>HYPERLINK("https://open-school.uspishnemisto.com.ua/school/230240/", 230240)</f>
        <v>230240</v>
      </c>
      <c r="B4736" s="3" t="s">
        <v>24760</v>
      </c>
      <c r="C4736" s="3" t="s">
        <v>181</v>
      </c>
      <c r="D4736" s="3" t="s">
        <v>175</v>
      </c>
      <c r="E4736" s="4" t="s">
        <v>22</v>
      </c>
      <c r="F4736" s="4" t="s">
        <v>24761</v>
      </c>
      <c r="G4736" s="4" t="s">
        <v>24748</v>
      </c>
      <c r="H4736" s="3" t="s">
        <v>23629</v>
      </c>
      <c r="I4736" s="3" t="s">
        <v>1500</v>
      </c>
      <c r="J4736" s="3" t="s">
        <v>5303</v>
      </c>
      <c r="K4736" s="3" t="s">
        <v>24762</v>
      </c>
      <c r="L4736" s="3" t="s">
        <v>24763</v>
      </c>
      <c r="M4736" s="4" t="s">
        <v>24764</v>
      </c>
      <c r="N4736" s="3" t="s">
        <v>37</v>
      </c>
      <c r="O4736" s="3" t="s">
        <v>52</v>
      </c>
      <c r="P4736" s="5">
        <v>16</v>
      </c>
      <c r="Q4736" s="5">
        <v>163</v>
      </c>
      <c r="R4736" s="5">
        <v>15</v>
      </c>
      <c r="S4736" s="5">
        <v>151</v>
      </c>
    </row>
    <row r="4737" spans="1:19" ht="42" x14ac:dyDescent="0.15">
      <c r="A4737" s="2">
        <f>HYPERLINK("https://open-school.uspishnemisto.com.ua/school/230241/", 230241)</f>
        <v>230241</v>
      </c>
      <c r="B4737" s="3" t="s">
        <v>24765</v>
      </c>
      <c r="C4737" s="3" t="s">
        <v>40</v>
      </c>
      <c r="D4737" s="3" t="s">
        <v>32</v>
      </c>
      <c r="E4737" s="4" t="s">
        <v>22</v>
      </c>
      <c r="F4737" s="4" t="s">
        <v>24747</v>
      </c>
      <c r="G4737" s="4" t="s">
        <v>24748</v>
      </c>
      <c r="H4737" s="3" t="s">
        <v>23629</v>
      </c>
      <c r="I4737" s="3" t="s">
        <v>1500</v>
      </c>
      <c r="J4737" s="3" t="s">
        <v>17555</v>
      </c>
      <c r="K4737" s="3" t="s">
        <v>24766</v>
      </c>
      <c r="L4737" s="3" t="s">
        <v>24767</v>
      </c>
      <c r="M4737" s="4" t="s">
        <v>24768</v>
      </c>
      <c r="N4737" s="3" t="s">
        <v>37</v>
      </c>
      <c r="O4737" s="3" t="s">
        <v>123</v>
      </c>
      <c r="P4737" s="5">
        <v>27</v>
      </c>
      <c r="Q4737" s="5">
        <v>743</v>
      </c>
      <c r="R4737" s="5">
        <v>27</v>
      </c>
      <c r="S4737" s="5">
        <v>773</v>
      </c>
    </row>
    <row r="4738" spans="1:19" ht="42" x14ac:dyDescent="0.15">
      <c r="A4738" s="2">
        <f>HYPERLINK("https://open-school.uspishnemisto.com.ua/school/230242/", 230242)</f>
        <v>230242</v>
      </c>
      <c r="B4738" s="3" t="s">
        <v>24769</v>
      </c>
      <c r="C4738" s="3" t="s">
        <v>40</v>
      </c>
      <c r="D4738" s="3" t="s">
        <v>32</v>
      </c>
      <c r="E4738" s="4" t="s">
        <v>22</v>
      </c>
      <c r="F4738" s="4" t="s">
        <v>24770</v>
      </c>
      <c r="G4738" s="4" t="s">
        <v>24771</v>
      </c>
      <c r="H4738" s="3" t="s">
        <v>23629</v>
      </c>
      <c r="I4738" s="3" t="s">
        <v>24772</v>
      </c>
      <c r="J4738" s="3" t="s">
        <v>24773</v>
      </c>
      <c r="K4738" s="3" t="s">
        <v>24774</v>
      </c>
      <c r="L4738" s="3" t="s">
        <v>24775</v>
      </c>
      <c r="M4738" s="4" t="s">
        <v>24776</v>
      </c>
      <c r="N4738" s="3" t="s">
        <v>128</v>
      </c>
      <c r="O4738" s="3" t="s">
        <v>197</v>
      </c>
      <c r="P4738" s="5">
        <v>33</v>
      </c>
      <c r="Q4738" s="5">
        <v>861</v>
      </c>
      <c r="R4738" s="5">
        <v>32</v>
      </c>
      <c r="S4738" s="5">
        <v>840</v>
      </c>
    </row>
    <row r="4739" spans="1:19" ht="42" x14ac:dyDescent="0.15">
      <c r="A4739" s="2">
        <f>HYPERLINK("https://open-school.uspishnemisto.com.ua/school/230243/", 230243)</f>
        <v>230243</v>
      </c>
      <c r="B4739" s="3" t="s">
        <v>24777</v>
      </c>
      <c r="C4739" s="3" t="s">
        <v>31</v>
      </c>
      <c r="D4739" s="3" t="s">
        <v>175</v>
      </c>
      <c r="E4739" s="4" t="s">
        <v>22</v>
      </c>
      <c r="F4739" s="4" t="s">
        <v>24778</v>
      </c>
      <c r="G4739" s="4" t="s">
        <v>24771</v>
      </c>
      <c r="H4739" s="3" t="s">
        <v>23629</v>
      </c>
      <c r="I4739" s="3" t="s">
        <v>24772</v>
      </c>
      <c r="J4739" s="3" t="s">
        <v>11283</v>
      </c>
      <c r="K4739" s="3" t="s">
        <v>24779</v>
      </c>
      <c r="L4739" s="3" t="s">
        <v>24780</v>
      </c>
      <c r="M4739" s="4" t="s">
        <v>24781</v>
      </c>
      <c r="N4739" s="3" t="s">
        <v>37</v>
      </c>
      <c r="O4739" s="3" t="s">
        <v>38</v>
      </c>
      <c r="P4739" s="5">
        <v>9</v>
      </c>
      <c r="Q4739" s="5">
        <v>140</v>
      </c>
      <c r="R4739" s="5">
        <v>9</v>
      </c>
      <c r="S4739" s="5">
        <v>141</v>
      </c>
    </row>
    <row r="4740" spans="1:19" ht="56" x14ac:dyDescent="0.15">
      <c r="A4740" s="2">
        <f>HYPERLINK("https://open-school.uspishnemisto.com.ua/school/230244/", 230244)</f>
        <v>230244</v>
      </c>
      <c r="B4740" s="3" t="s">
        <v>24782</v>
      </c>
      <c r="C4740" s="3" t="s">
        <v>244</v>
      </c>
      <c r="D4740" s="3" t="s">
        <v>32</v>
      </c>
      <c r="E4740" s="4" t="s">
        <v>22</v>
      </c>
      <c r="F4740" s="4" t="s">
        <v>24770</v>
      </c>
      <c r="G4740" s="4" t="s">
        <v>24771</v>
      </c>
      <c r="H4740" s="3" t="s">
        <v>23629</v>
      </c>
      <c r="I4740" s="3" t="s">
        <v>24772</v>
      </c>
      <c r="J4740" s="3" t="s">
        <v>24783</v>
      </c>
      <c r="K4740" s="3" t="s">
        <v>24784</v>
      </c>
      <c r="L4740" s="3" t="s">
        <v>24785</v>
      </c>
      <c r="M4740" s="4" t="s">
        <v>24786</v>
      </c>
      <c r="N4740" s="3" t="s">
        <v>128</v>
      </c>
      <c r="O4740" s="3" t="s">
        <v>70</v>
      </c>
      <c r="P4740" s="5">
        <v>19</v>
      </c>
      <c r="Q4740" s="5">
        <v>428</v>
      </c>
      <c r="R4740" s="5">
        <v>19</v>
      </c>
      <c r="S4740" s="5">
        <v>414</v>
      </c>
    </row>
    <row r="4741" spans="1:19" ht="42" x14ac:dyDescent="0.15">
      <c r="A4741" s="2">
        <f>HYPERLINK("https://open-school.uspishnemisto.com.ua/school/230245/", 230245)</f>
        <v>230245</v>
      </c>
      <c r="B4741" s="3" t="s">
        <v>24787</v>
      </c>
      <c r="C4741" s="3" t="s">
        <v>244</v>
      </c>
      <c r="D4741" s="3" t="s">
        <v>32</v>
      </c>
      <c r="E4741" s="4" t="s">
        <v>22</v>
      </c>
      <c r="F4741" s="4" t="s">
        <v>24770</v>
      </c>
      <c r="G4741" s="4" t="s">
        <v>24771</v>
      </c>
      <c r="H4741" s="3" t="s">
        <v>23629</v>
      </c>
      <c r="I4741" s="3" t="s">
        <v>24772</v>
      </c>
      <c r="J4741" s="3" t="s">
        <v>24788</v>
      </c>
      <c r="K4741" s="3" t="s">
        <v>24789</v>
      </c>
      <c r="L4741" s="3" t="s">
        <v>24790</v>
      </c>
      <c r="M4741" s="4" t="s">
        <v>24791</v>
      </c>
      <c r="N4741" s="3" t="s">
        <v>128</v>
      </c>
      <c r="O4741" s="3" t="s">
        <v>197</v>
      </c>
      <c r="P4741" s="5">
        <v>27</v>
      </c>
      <c r="Q4741" s="5">
        <v>678</v>
      </c>
      <c r="R4741" s="5">
        <v>27</v>
      </c>
      <c r="S4741" s="5">
        <v>681</v>
      </c>
    </row>
    <row r="4742" spans="1:19" ht="42" x14ac:dyDescent="0.15">
      <c r="A4742" s="2">
        <f>HYPERLINK("https://open-school.uspishnemisto.com.ua/school/230246/", 230246)</f>
        <v>230246</v>
      </c>
      <c r="B4742" s="3" t="s">
        <v>24792</v>
      </c>
      <c r="C4742" s="3" t="s">
        <v>31</v>
      </c>
      <c r="D4742" s="3" t="s">
        <v>32</v>
      </c>
      <c r="E4742" s="4" t="s">
        <v>22</v>
      </c>
      <c r="F4742" s="4" t="s">
        <v>24793</v>
      </c>
      <c r="G4742" s="4" t="s">
        <v>24794</v>
      </c>
      <c r="H4742" s="3" t="s">
        <v>23629</v>
      </c>
      <c r="I4742" s="3" t="s">
        <v>24795</v>
      </c>
      <c r="J4742" s="3" t="s">
        <v>1482</v>
      </c>
      <c r="K4742" s="3" t="s">
        <v>24796</v>
      </c>
      <c r="L4742" s="3" t="s">
        <v>24797</v>
      </c>
      <c r="M4742" s="4" t="s">
        <v>24798</v>
      </c>
      <c r="N4742" s="3" t="s">
        <v>37</v>
      </c>
      <c r="O4742" s="3" t="s">
        <v>38</v>
      </c>
      <c r="P4742" s="5">
        <v>20</v>
      </c>
      <c r="Q4742" s="5">
        <v>422</v>
      </c>
      <c r="R4742" s="5">
        <v>20</v>
      </c>
      <c r="S4742" s="5">
        <v>404</v>
      </c>
    </row>
    <row r="4743" spans="1:19" ht="28" x14ac:dyDescent="0.15">
      <c r="A4743" s="2">
        <f>HYPERLINK("https://open-school.uspishnemisto.com.ua/school/230247/", 230247)</f>
        <v>230247</v>
      </c>
      <c r="B4743" s="3" t="s">
        <v>24799</v>
      </c>
      <c r="C4743" s="3" t="s">
        <v>31</v>
      </c>
      <c r="D4743" s="3" t="s">
        <v>175</v>
      </c>
      <c r="E4743" s="4" t="s">
        <v>22</v>
      </c>
      <c r="F4743" s="4" t="s">
        <v>24800</v>
      </c>
      <c r="G4743" s="4" t="s">
        <v>24801</v>
      </c>
      <c r="H4743" s="3" t="s">
        <v>23629</v>
      </c>
      <c r="I4743" s="3" t="s">
        <v>418</v>
      </c>
      <c r="J4743" s="3" t="s">
        <v>24802</v>
      </c>
      <c r="K4743" s="3" t="s">
        <v>24803</v>
      </c>
      <c r="L4743" s="3" t="s">
        <v>24804</v>
      </c>
      <c r="M4743" s="4"/>
      <c r="N4743" s="3" t="s">
        <v>37</v>
      </c>
      <c r="O4743" s="3" t="s">
        <v>112</v>
      </c>
      <c r="P4743" s="5">
        <v>9</v>
      </c>
      <c r="Q4743" s="5">
        <v>106</v>
      </c>
      <c r="R4743" s="5">
        <v>9</v>
      </c>
      <c r="S4743" s="5">
        <v>102</v>
      </c>
    </row>
    <row r="4744" spans="1:19" ht="42" x14ac:dyDescent="0.15">
      <c r="A4744" s="2">
        <f>HYPERLINK("https://open-school.uspishnemisto.com.ua/school/230248/", 230248)</f>
        <v>230248</v>
      </c>
      <c r="B4744" s="3" t="s">
        <v>24805</v>
      </c>
      <c r="C4744" s="3" t="s">
        <v>31</v>
      </c>
      <c r="D4744" s="3" t="s">
        <v>32</v>
      </c>
      <c r="E4744" s="4" t="s">
        <v>22</v>
      </c>
      <c r="F4744" s="4" t="s">
        <v>24800</v>
      </c>
      <c r="G4744" s="4" t="s">
        <v>24801</v>
      </c>
      <c r="H4744" s="3" t="s">
        <v>23629</v>
      </c>
      <c r="I4744" s="3" t="s">
        <v>418</v>
      </c>
      <c r="J4744" s="3" t="s">
        <v>24806</v>
      </c>
      <c r="K4744" s="3" t="s">
        <v>24807</v>
      </c>
      <c r="L4744" s="3" t="s">
        <v>24808</v>
      </c>
      <c r="M4744" s="4"/>
      <c r="N4744" s="3" t="s">
        <v>37</v>
      </c>
      <c r="O4744" s="3" t="s">
        <v>70</v>
      </c>
      <c r="P4744" s="5">
        <v>10</v>
      </c>
      <c r="Q4744" s="5">
        <v>151</v>
      </c>
      <c r="R4744" s="5">
        <v>10</v>
      </c>
      <c r="S4744" s="5">
        <v>146</v>
      </c>
    </row>
    <row r="4745" spans="1:19" ht="42" x14ac:dyDescent="0.15">
      <c r="A4745" s="2">
        <f>HYPERLINK("https://open-school.uspishnemisto.com.ua/school/230249/", 230249)</f>
        <v>230249</v>
      </c>
      <c r="B4745" s="3" t="s">
        <v>24809</v>
      </c>
      <c r="C4745" s="3" t="s">
        <v>31</v>
      </c>
      <c r="D4745" s="3" t="s">
        <v>32</v>
      </c>
      <c r="E4745" s="4" t="s">
        <v>22</v>
      </c>
      <c r="F4745" s="4" t="s">
        <v>24810</v>
      </c>
      <c r="G4745" s="4" t="s">
        <v>24811</v>
      </c>
      <c r="H4745" s="3" t="s">
        <v>23629</v>
      </c>
      <c r="I4745" s="3" t="s">
        <v>9321</v>
      </c>
      <c r="J4745" s="3" t="s">
        <v>1792</v>
      </c>
      <c r="K4745" s="3" t="s">
        <v>24812</v>
      </c>
      <c r="L4745" s="3" t="s">
        <v>24813</v>
      </c>
      <c r="M4745" s="4"/>
      <c r="N4745" s="3" t="s">
        <v>37</v>
      </c>
      <c r="O4745" s="3" t="s">
        <v>38</v>
      </c>
      <c r="P4745" s="5">
        <v>11</v>
      </c>
      <c r="Q4745" s="5">
        <v>153</v>
      </c>
      <c r="R4745" s="5">
        <v>11</v>
      </c>
      <c r="S4745" s="5">
        <v>147</v>
      </c>
    </row>
    <row r="4746" spans="1:19" ht="42" x14ac:dyDescent="0.15">
      <c r="A4746" s="2">
        <f>HYPERLINK("https://open-school.uspishnemisto.com.ua/school/230250/", 230250)</f>
        <v>230250</v>
      </c>
      <c r="B4746" s="3" t="s">
        <v>24814</v>
      </c>
      <c r="C4746" s="3" t="s">
        <v>181</v>
      </c>
      <c r="D4746" s="3" t="s">
        <v>32</v>
      </c>
      <c r="E4746" s="4" t="s">
        <v>22</v>
      </c>
      <c r="F4746" s="4" t="s">
        <v>24810</v>
      </c>
      <c r="G4746" s="4" t="s">
        <v>24811</v>
      </c>
      <c r="H4746" s="3" t="s">
        <v>23629</v>
      </c>
      <c r="I4746" s="3" t="s">
        <v>9321</v>
      </c>
      <c r="J4746" s="3" t="s">
        <v>24815</v>
      </c>
      <c r="K4746" s="3" t="s">
        <v>24816</v>
      </c>
      <c r="L4746" s="3" t="s">
        <v>24817</v>
      </c>
      <c r="M4746" s="4" t="s">
        <v>24818</v>
      </c>
      <c r="N4746" s="3" t="s">
        <v>128</v>
      </c>
      <c r="O4746" s="3" t="s">
        <v>52</v>
      </c>
      <c r="P4746" s="5">
        <v>18</v>
      </c>
      <c r="Q4746" s="5">
        <v>190</v>
      </c>
      <c r="R4746" s="5">
        <v>20</v>
      </c>
      <c r="S4746" s="5">
        <v>202</v>
      </c>
    </row>
    <row r="4747" spans="1:19" ht="56" x14ac:dyDescent="0.15">
      <c r="A4747" s="2">
        <f>HYPERLINK("https://open-school.uspishnemisto.com.ua/school/230251/", 230251)</f>
        <v>230251</v>
      </c>
      <c r="B4747" s="3" t="s">
        <v>24819</v>
      </c>
      <c r="C4747" s="3" t="s">
        <v>54</v>
      </c>
      <c r="D4747" s="3" t="s">
        <v>175</v>
      </c>
      <c r="E4747" s="4" t="s">
        <v>22</v>
      </c>
      <c r="F4747" s="4" t="s">
        <v>24820</v>
      </c>
      <c r="G4747" s="4" t="s">
        <v>24821</v>
      </c>
      <c r="H4747" s="3" t="s">
        <v>23629</v>
      </c>
      <c r="I4747" s="3" t="s">
        <v>24822</v>
      </c>
      <c r="J4747" s="3" t="s">
        <v>24823</v>
      </c>
      <c r="K4747" s="3" t="s">
        <v>24824</v>
      </c>
      <c r="L4747" s="3"/>
      <c r="M4747" s="4" t="s">
        <v>24825</v>
      </c>
      <c r="N4747" s="3" t="s">
        <v>37</v>
      </c>
      <c r="O4747" s="3" t="s">
        <v>38</v>
      </c>
      <c r="P4747" s="5">
        <v>9</v>
      </c>
      <c r="Q4747" s="5">
        <v>98</v>
      </c>
      <c r="R4747" s="5">
        <v>9</v>
      </c>
      <c r="S4747" s="5">
        <v>90</v>
      </c>
    </row>
    <row r="4748" spans="1:19" ht="42" x14ac:dyDescent="0.15">
      <c r="A4748" s="2">
        <f>HYPERLINK("https://open-school.uspishnemisto.com.ua/school/230252/", 230252)</f>
        <v>230252</v>
      </c>
      <c r="B4748" s="3" t="s">
        <v>24826</v>
      </c>
      <c r="C4748" s="3" t="s">
        <v>31</v>
      </c>
      <c r="D4748" s="3" t="s">
        <v>175</v>
      </c>
      <c r="E4748" s="4" t="s">
        <v>22</v>
      </c>
      <c r="F4748" s="4" t="s">
        <v>24827</v>
      </c>
      <c r="G4748" s="4" t="s">
        <v>24828</v>
      </c>
      <c r="H4748" s="3" t="s">
        <v>23629</v>
      </c>
      <c r="I4748" s="3" t="s">
        <v>24829</v>
      </c>
      <c r="J4748" s="3" t="s">
        <v>24830</v>
      </c>
      <c r="K4748" s="3" t="s">
        <v>24831</v>
      </c>
      <c r="L4748" s="3" t="s">
        <v>24832</v>
      </c>
      <c r="M4748" s="4" t="s">
        <v>24833</v>
      </c>
      <c r="N4748" s="3" t="s">
        <v>37</v>
      </c>
      <c r="O4748" s="3" t="s">
        <v>38</v>
      </c>
      <c r="P4748" s="5">
        <v>7</v>
      </c>
      <c r="Q4748" s="5">
        <v>71</v>
      </c>
      <c r="R4748" s="5">
        <v>6</v>
      </c>
      <c r="S4748" s="5">
        <v>77</v>
      </c>
    </row>
    <row r="4749" spans="1:19" ht="42" x14ac:dyDescent="0.15">
      <c r="A4749" s="2">
        <f>HYPERLINK("https://open-school.uspishnemisto.com.ua/school/230253/", 230253)</f>
        <v>230253</v>
      </c>
      <c r="B4749" s="3" t="s">
        <v>24834</v>
      </c>
      <c r="C4749" s="3" t="s">
        <v>31</v>
      </c>
      <c r="D4749" s="3" t="s">
        <v>175</v>
      </c>
      <c r="E4749" s="4" t="s">
        <v>22</v>
      </c>
      <c r="F4749" s="4" t="s">
        <v>24835</v>
      </c>
      <c r="G4749" s="4" t="s">
        <v>24828</v>
      </c>
      <c r="H4749" s="3" t="s">
        <v>23629</v>
      </c>
      <c r="I4749" s="3" t="s">
        <v>24829</v>
      </c>
      <c r="J4749" s="3" t="s">
        <v>24836</v>
      </c>
      <c r="K4749" s="3" t="s">
        <v>24837</v>
      </c>
      <c r="L4749" s="3" t="s">
        <v>24838</v>
      </c>
      <c r="M4749" s="4"/>
      <c r="N4749" s="3" t="s">
        <v>37</v>
      </c>
      <c r="O4749" s="3" t="s">
        <v>38</v>
      </c>
      <c r="P4749" s="5">
        <v>9</v>
      </c>
      <c r="Q4749" s="5">
        <v>118</v>
      </c>
      <c r="R4749" s="5">
        <v>9</v>
      </c>
      <c r="S4749" s="5">
        <v>118</v>
      </c>
    </row>
    <row r="4750" spans="1:19" ht="42" x14ac:dyDescent="0.15">
      <c r="A4750" s="2">
        <f>HYPERLINK("https://open-school.uspishnemisto.com.ua/school/230254/", 230254)</f>
        <v>230254</v>
      </c>
      <c r="B4750" s="3" t="s">
        <v>24839</v>
      </c>
      <c r="C4750" s="3" t="s">
        <v>31</v>
      </c>
      <c r="D4750" s="3" t="s">
        <v>32</v>
      </c>
      <c r="E4750" s="4" t="s">
        <v>22</v>
      </c>
      <c r="F4750" s="4" t="s">
        <v>24840</v>
      </c>
      <c r="G4750" s="4" t="s">
        <v>24828</v>
      </c>
      <c r="H4750" s="3" t="s">
        <v>23629</v>
      </c>
      <c r="I4750" s="3" t="s">
        <v>24829</v>
      </c>
      <c r="J4750" s="3" t="s">
        <v>24841</v>
      </c>
      <c r="K4750" s="3" t="s">
        <v>24842</v>
      </c>
      <c r="L4750" s="3" t="s">
        <v>24843</v>
      </c>
      <c r="M4750" s="4" t="s">
        <v>24844</v>
      </c>
      <c r="N4750" s="3" t="s">
        <v>37</v>
      </c>
      <c r="O4750" s="3" t="s">
        <v>46</v>
      </c>
      <c r="P4750" s="5">
        <v>11</v>
      </c>
      <c r="Q4750" s="5">
        <v>209</v>
      </c>
      <c r="R4750" s="5">
        <v>11</v>
      </c>
      <c r="S4750" s="5">
        <v>212</v>
      </c>
    </row>
    <row r="4751" spans="1:19" ht="42" x14ac:dyDescent="0.15">
      <c r="A4751" s="2">
        <f>HYPERLINK("https://open-school.uspishnemisto.com.ua/school/230255/", 230255)</f>
        <v>230255</v>
      </c>
      <c r="B4751" s="3" t="s">
        <v>24845</v>
      </c>
      <c r="C4751" s="3" t="s">
        <v>4989</v>
      </c>
      <c r="D4751" s="3" t="s">
        <v>21</v>
      </c>
      <c r="E4751" s="4" t="s">
        <v>22</v>
      </c>
      <c r="F4751" s="4" t="s">
        <v>24846</v>
      </c>
      <c r="G4751" s="4" t="s">
        <v>24828</v>
      </c>
      <c r="H4751" s="3" t="s">
        <v>23629</v>
      </c>
      <c r="I4751" s="3" t="s">
        <v>24829</v>
      </c>
      <c r="J4751" s="3" t="s">
        <v>24847</v>
      </c>
      <c r="K4751" s="3" t="s">
        <v>24848</v>
      </c>
      <c r="L4751" s="3" t="s">
        <v>24849</v>
      </c>
      <c r="M4751" s="4" t="s">
        <v>24850</v>
      </c>
      <c r="N4751" s="3" t="s">
        <v>37</v>
      </c>
      <c r="O4751" s="3" t="s">
        <v>52</v>
      </c>
      <c r="P4751" s="5">
        <v>13</v>
      </c>
      <c r="Q4751" s="5">
        <v>234</v>
      </c>
      <c r="R4751" s="5">
        <v>12</v>
      </c>
      <c r="S4751" s="5">
        <v>230</v>
      </c>
    </row>
    <row r="4752" spans="1:19" ht="42" x14ac:dyDescent="0.15">
      <c r="A4752" s="2">
        <f>HYPERLINK("https://open-school.uspishnemisto.com.ua/school/230256/", 230256)</f>
        <v>230256</v>
      </c>
      <c r="B4752" s="3" t="s">
        <v>24851</v>
      </c>
      <c r="C4752" s="3" t="s">
        <v>31</v>
      </c>
      <c r="D4752" s="3" t="s">
        <v>32</v>
      </c>
      <c r="E4752" s="4" t="s">
        <v>22</v>
      </c>
      <c r="F4752" s="4" t="s">
        <v>24852</v>
      </c>
      <c r="G4752" s="4" t="s">
        <v>24853</v>
      </c>
      <c r="H4752" s="3" t="s">
        <v>23629</v>
      </c>
      <c r="I4752" s="3" t="s">
        <v>24854</v>
      </c>
      <c r="J4752" s="3" t="s">
        <v>946</v>
      </c>
      <c r="K4752" s="3" t="s">
        <v>24855</v>
      </c>
      <c r="L4752" s="3" t="s">
        <v>24856</v>
      </c>
      <c r="M4752" s="4"/>
      <c r="N4752" s="3" t="s">
        <v>37</v>
      </c>
      <c r="O4752" s="3" t="s">
        <v>38</v>
      </c>
      <c r="P4752" s="5">
        <v>11</v>
      </c>
      <c r="Q4752" s="5">
        <v>251</v>
      </c>
      <c r="R4752" s="5">
        <v>11</v>
      </c>
      <c r="S4752" s="5">
        <v>257</v>
      </c>
    </row>
    <row r="4753" spans="1:19" ht="42" x14ac:dyDescent="0.15">
      <c r="A4753" s="2">
        <f>HYPERLINK("https://open-school.uspishnemisto.com.ua/school/230257/", 230257)</f>
        <v>230257</v>
      </c>
      <c r="B4753" s="3" t="s">
        <v>24857</v>
      </c>
      <c r="C4753" s="3" t="s">
        <v>31</v>
      </c>
      <c r="D4753" s="3" t="s">
        <v>32</v>
      </c>
      <c r="E4753" s="4" t="s">
        <v>22</v>
      </c>
      <c r="F4753" s="4" t="s">
        <v>24858</v>
      </c>
      <c r="G4753" s="4" t="s">
        <v>24859</v>
      </c>
      <c r="H4753" s="3" t="s">
        <v>23629</v>
      </c>
      <c r="I4753" s="3" t="s">
        <v>15554</v>
      </c>
      <c r="J4753" s="3" t="s">
        <v>21289</v>
      </c>
      <c r="K4753" s="3" t="s">
        <v>24860</v>
      </c>
      <c r="L4753" s="3" t="s">
        <v>24861</v>
      </c>
      <c r="M4753" s="4"/>
      <c r="N4753" s="3" t="s">
        <v>37</v>
      </c>
      <c r="O4753" s="3" t="s">
        <v>38</v>
      </c>
      <c r="P4753" s="5">
        <v>11</v>
      </c>
      <c r="Q4753" s="5">
        <v>82</v>
      </c>
      <c r="R4753" s="5">
        <v>11</v>
      </c>
      <c r="S4753" s="5">
        <v>85</v>
      </c>
    </row>
    <row r="4754" spans="1:19" ht="42" x14ac:dyDescent="0.15">
      <c r="A4754" s="2">
        <f>HYPERLINK("https://open-school.uspishnemisto.com.ua/school/230258/", 230258)</f>
        <v>230258</v>
      </c>
      <c r="B4754" s="3" t="s">
        <v>24862</v>
      </c>
      <c r="C4754" s="3" t="s">
        <v>31</v>
      </c>
      <c r="D4754" s="3" t="s">
        <v>175</v>
      </c>
      <c r="E4754" s="4" t="s">
        <v>22</v>
      </c>
      <c r="F4754" s="4" t="s">
        <v>24863</v>
      </c>
      <c r="G4754" s="4" t="s">
        <v>24864</v>
      </c>
      <c r="H4754" s="3" t="s">
        <v>23629</v>
      </c>
      <c r="I4754" s="3" t="s">
        <v>21500</v>
      </c>
      <c r="J4754" s="3" t="s">
        <v>24865</v>
      </c>
      <c r="K4754" s="3" t="s">
        <v>24866</v>
      </c>
      <c r="L4754" s="3" t="s">
        <v>24867</v>
      </c>
      <c r="M4754" s="4"/>
      <c r="N4754" s="3" t="s">
        <v>37</v>
      </c>
      <c r="O4754" s="3" t="s">
        <v>38</v>
      </c>
      <c r="P4754" s="5">
        <v>6</v>
      </c>
      <c r="Q4754" s="5">
        <v>56</v>
      </c>
      <c r="R4754" s="5">
        <v>7</v>
      </c>
      <c r="S4754" s="5">
        <v>51</v>
      </c>
    </row>
    <row r="4755" spans="1:19" ht="42" x14ac:dyDescent="0.15">
      <c r="A4755" s="2">
        <f>HYPERLINK("https://open-school.uspishnemisto.com.ua/school/230259/", 230259)</f>
        <v>230259</v>
      </c>
      <c r="B4755" s="3" t="s">
        <v>24868</v>
      </c>
      <c r="C4755" s="3" t="s">
        <v>31</v>
      </c>
      <c r="D4755" s="3" t="s">
        <v>32</v>
      </c>
      <c r="E4755" s="4" t="s">
        <v>22</v>
      </c>
      <c r="F4755" s="4" t="s">
        <v>24869</v>
      </c>
      <c r="G4755" s="4" t="s">
        <v>24870</v>
      </c>
      <c r="H4755" s="3" t="s">
        <v>23629</v>
      </c>
      <c r="I4755" s="3" t="s">
        <v>24871</v>
      </c>
      <c r="J4755" s="3" t="s">
        <v>24872</v>
      </c>
      <c r="K4755" s="3" t="s">
        <v>24873</v>
      </c>
      <c r="L4755" s="3" t="s">
        <v>24874</v>
      </c>
      <c r="M4755" s="4" t="s">
        <v>24875</v>
      </c>
      <c r="N4755" s="3" t="s">
        <v>37</v>
      </c>
      <c r="O4755" s="3" t="s">
        <v>38</v>
      </c>
      <c r="P4755" s="5">
        <v>11</v>
      </c>
      <c r="Q4755" s="5">
        <v>221</v>
      </c>
      <c r="R4755" s="5">
        <v>11</v>
      </c>
      <c r="S4755" s="5">
        <v>210</v>
      </c>
    </row>
    <row r="4756" spans="1:19" ht="56" x14ac:dyDescent="0.15">
      <c r="A4756" s="2">
        <f>HYPERLINK("https://open-school.uspishnemisto.com.ua/school/230260/", 230260)</f>
        <v>230260</v>
      </c>
      <c r="B4756" s="3" t="s">
        <v>24876</v>
      </c>
      <c r="C4756" s="3" t="s">
        <v>54</v>
      </c>
      <c r="D4756" s="3" t="s">
        <v>175</v>
      </c>
      <c r="E4756" s="4" t="s">
        <v>22</v>
      </c>
      <c r="F4756" s="4" t="s">
        <v>24877</v>
      </c>
      <c r="G4756" s="4" t="s">
        <v>24870</v>
      </c>
      <c r="H4756" s="3" t="s">
        <v>23629</v>
      </c>
      <c r="I4756" s="3" t="s">
        <v>24871</v>
      </c>
      <c r="J4756" s="3" t="s">
        <v>24878</v>
      </c>
      <c r="K4756" s="3" t="s">
        <v>24879</v>
      </c>
      <c r="L4756" s="3" t="s">
        <v>24880</v>
      </c>
      <c r="M4756" s="4" t="s">
        <v>24881</v>
      </c>
      <c r="N4756" s="3" t="s">
        <v>37</v>
      </c>
      <c r="O4756" s="3" t="s">
        <v>38</v>
      </c>
      <c r="P4756" s="5">
        <v>9</v>
      </c>
      <c r="Q4756" s="5">
        <v>114</v>
      </c>
      <c r="R4756" s="5">
        <v>9</v>
      </c>
      <c r="S4756" s="5">
        <v>117</v>
      </c>
    </row>
    <row r="4757" spans="1:19" ht="42" x14ac:dyDescent="0.15">
      <c r="A4757" s="2">
        <f>HYPERLINK("https://open-school.uspishnemisto.com.ua/school/230261/", 230261)</f>
        <v>230261</v>
      </c>
      <c r="B4757" s="3" t="s">
        <v>24882</v>
      </c>
      <c r="C4757" s="3" t="s">
        <v>31</v>
      </c>
      <c r="D4757" s="3" t="s">
        <v>175</v>
      </c>
      <c r="E4757" s="4" t="s">
        <v>22</v>
      </c>
      <c r="F4757" s="4" t="s">
        <v>24883</v>
      </c>
      <c r="G4757" s="4" t="s">
        <v>24884</v>
      </c>
      <c r="H4757" s="3" t="s">
        <v>23629</v>
      </c>
      <c r="I4757" s="3" t="s">
        <v>12610</v>
      </c>
      <c r="J4757" s="3" t="s">
        <v>5586</v>
      </c>
      <c r="K4757" s="3" t="s">
        <v>24885</v>
      </c>
      <c r="L4757" s="3" t="s">
        <v>24886</v>
      </c>
      <c r="M4757" s="4"/>
      <c r="N4757" s="3" t="s">
        <v>37</v>
      </c>
      <c r="O4757" s="3" t="s">
        <v>38</v>
      </c>
      <c r="P4757" s="5">
        <v>9</v>
      </c>
      <c r="Q4757" s="5">
        <v>69</v>
      </c>
      <c r="R4757" s="5">
        <v>9</v>
      </c>
      <c r="S4757" s="5">
        <v>64</v>
      </c>
    </row>
    <row r="4758" spans="1:19" ht="42" x14ac:dyDescent="0.15">
      <c r="A4758" s="2">
        <f>HYPERLINK("https://open-school.uspishnemisto.com.ua/school/230262/", 230262)</f>
        <v>230262</v>
      </c>
      <c r="B4758" s="3" t="s">
        <v>24887</v>
      </c>
      <c r="C4758" s="3" t="s">
        <v>31</v>
      </c>
      <c r="D4758" s="3" t="s">
        <v>32</v>
      </c>
      <c r="E4758" s="4" t="s">
        <v>22</v>
      </c>
      <c r="F4758" s="4" t="s">
        <v>24888</v>
      </c>
      <c r="G4758" s="4" t="s">
        <v>24889</v>
      </c>
      <c r="H4758" s="3" t="s">
        <v>23629</v>
      </c>
      <c r="I4758" s="3" t="s">
        <v>24890</v>
      </c>
      <c r="J4758" s="3" t="s">
        <v>24891</v>
      </c>
      <c r="K4758" s="3" t="s">
        <v>24892</v>
      </c>
      <c r="L4758" s="3" t="s">
        <v>24893</v>
      </c>
      <c r="M4758" s="4" t="s">
        <v>24894</v>
      </c>
      <c r="N4758" s="3" t="s">
        <v>37</v>
      </c>
      <c r="O4758" s="3" t="s">
        <v>38</v>
      </c>
      <c r="P4758" s="5">
        <v>11</v>
      </c>
      <c r="Q4758" s="5">
        <v>184</v>
      </c>
      <c r="R4758" s="5">
        <v>10</v>
      </c>
      <c r="S4758" s="5">
        <v>176</v>
      </c>
    </row>
    <row r="4759" spans="1:19" ht="42" x14ac:dyDescent="0.15">
      <c r="A4759" s="2">
        <f>HYPERLINK("https://open-school.uspishnemisto.com.ua/school/230263/", 230263)</f>
        <v>230263</v>
      </c>
      <c r="B4759" s="3" t="s">
        <v>24895</v>
      </c>
      <c r="C4759" s="3" t="s">
        <v>31</v>
      </c>
      <c r="D4759" s="3" t="s">
        <v>175</v>
      </c>
      <c r="E4759" s="4" t="s">
        <v>22</v>
      </c>
      <c r="F4759" s="4" t="s">
        <v>24896</v>
      </c>
      <c r="G4759" s="4" t="s">
        <v>24897</v>
      </c>
      <c r="H4759" s="3" t="s">
        <v>23629</v>
      </c>
      <c r="I4759" s="3" t="s">
        <v>2445</v>
      </c>
      <c r="J4759" s="3" t="s">
        <v>24898</v>
      </c>
      <c r="K4759" s="3" t="s">
        <v>24899</v>
      </c>
      <c r="L4759" s="3"/>
      <c r="M4759" s="4"/>
      <c r="N4759" s="3" t="s">
        <v>37</v>
      </c>
      <c r="O4759" s="3" t="s">
        <v>38</v>
      </c>
      <c r="P4759" s="5">
        <v>8</v>
      </c>
      <c r="Q4759" s="5">
        <v>60</v>
      </c>
      <c r="R4759" s="5">
        <v>8</v>
      </c>
      <c r="S4759" s="5">
        <v>60</v>
      </c>
    </row>
    <row r="4760" spans="1:19" ht="28" x14ac:dyDescent="0.15">
      <c r="A4760" s="2">
        <f>HYPERLINK("https://open-school.uspishnemisto.com.ua/school/230264/", 230264)</f>
        <v>230264</v>
      </c>
      <c r="B4760" s="3" t="s">
        <v>24900</v>
      </c>
      <c r="C4760" s="3" t="s">
        <v>31</v>
      </c>
      <c r="D4760" s="3" t="s">
        <v>175</v>
      </c>
      <c r="E4760" s="4" t="s">
        <v>22</v>
      </c>
      <c r="F4760" s="4" t="s">
        <v>24901</v>
      </c>
      <c r="G4760" s="4" t="s">
        <v>24902</v>
      </c>
      <c r="H4760" s="3" t="s">
        <v>23629</v>
      </c>
      <c r="I4760" s="3" t="s">
        <v>5519</v>
      </c>
      <c r="J4760" s="3" t="s">
        <v>24903</v>
      </c>
      <c r="K4760" s="3" t="s">
        <v>24904</v>
      </c>
      <c r="L4760" s="3" t="s">
        <v>24905</v>
      </c>
      <c r="M4760" s="4"/>
      <c r="N4760" s="3" t="s">
        <v>37</v>
      </c>
      <c r="O4760" s="3" t="s">
        <v>38</v>
      </c>
      <c r="P4760" s="5">
        <v>7</v>
      </c>
      <c r="Q4760" s="5">
        <v>50</v>
      </c>
      <c r="R4760" s="5">
        <v>8</v>
      </c>
      <c r="S4760" s="5">
        <v>58</v>
      </c>
    </row>
    <row r="4761" spans="1:19" ht="28" x14ac:dyDescent="0.15">
      <c r="A4761" s="2">
        <f>HYPERLINK("https://open-school.uspishnemisto.com.ua/school/230265/", 230265)</f>
        <v>230265</v>
      </c>
      <c r="B4761" s="3" t="s">
        <v>24906</v>
      </c>
      <c r="C4761" s="3" t="s">
        <v>31</v>
      </c>
      <c r="D4761" s="3" t="s">
        <v>175</v>
      </c>
      <c r="E4761" s="4" t="s">
        <v>22</v>
      </c>
      <c r="F4761" s="4" t="s">
        <v>24907</v>
      </c>
      <c r="G4761" s="4" t="s">
        <v>24908</v>
      </c>
      <c r="H4761" s="3" t="s">
        <v>23629</v>
      </c>
      <c r="I4761" s="3" t="s">
        <v>5544</v>
      </c>
      <c r="J4761" s="3" t="s">
        <v>3961</v>
      </c>
      <c r="K4761" s="3" t="s">
        <v>24909</v>
      </c>
      <c r="L4761" s="3" t="s">
        <v>24910</v>
      </c>
      <c r="M4761" s="4"/>
      <c r="N4761" s="3" t="s">
        <v>37</v>
      </c>
      <c r="O4761" s="3" t="s">
        <v>38</v>
      </c>
      <c r="P4761" s="5">
        <v>8</v>
      </c>
      <c r="Q4761" s="5">
        <v>56</v>
      </c>
      <c r="R4761" s="5">
        <v>7</v>
      </c>
      <c r="S4761" s="5">
        <v>51</v>
      </c>
    </row>
    <row r="4762" spans="1:19" ht="42" x14ac:dyDescent="0.15">
      <c r="A4762" s="2">
        <f>HYPERLINK("https://open-school.uspishnemisto.com.ua/school/230266/", 230266)</f>
        <v>230266</v>
      </c>
      <c r="B4762" s="3" t="s">
        <v>24911</v>
      </c>
      <c r="C4762" s="3" t="s">
        <v>31</v>
      </c>
      <c r="D4762" s="3" t="s">
        <v>175</v>
      </c>
      <c r="E4762" s="4" t="s">
        <v>22</v>
      </c>
      <c r="F4762" s="4" t="s">
        <v>24912</v>
      </c>
      <c r="G4762" s="4" t="s">
        <v>24913</v>
      </c>
      <c r="H4762" s="3" t="s">
        <v>23629</v>
      </c>
      <c r="I4762" s="3" t="s">
        <v>24914</v>
      </c>
      <c r="J4762" s="3" t="s">
        <v>24915</v>
      </c>
      <c r="K4762" s="3" t="s">
        <v>24916</v>
      </c>
      <c r="L4762" s="3"/>
      <c r="M4762" s="4"/>
      <c r="N4762" s="3" t="s">
        <v>37</v>
      </c>
      <c r="O4762" s="3" t="s">
        <v>38</v>
      </c>
      <c r="P4762" s="5">
        <v>9</v>
      </c>
      <c r="Q4762" s="5">
        <v>81</v>
      </c>
      <c r="R4762" s="5">
        <v>9</v>
      </c>
      <c r="S4762" s="5">
        <v>77</v>
      </c>
    </row>
    <row r="4763" spans="1:19" ht="42" x14ac:dyDescent="0.15">
      <c r="A4763" s="2">
        <f>HYPERLINK("https://open-school.uspishnemisto.com.ua/school/230267/", 230267)</f>
        <v>230267</v>
      </c>
      <c r="B4763" s="3" t="s">
        <v>24917</v>
      </c>
      <c r="C4763" s="3" t="s">
        <v>54</v>
      </c>
      <c r="D4763" s="3" t="s">
        <v>32</v>
      </c>
      <c r="E4763" s="4" t="s">
        <v>22</v>
      </c>
      <c r="F4763" s="4" t="s">
        <v>24912</v>
      </c>
      <c r="G4763" s="4" t="s">
        <v>24913</v>
      </c>
      <c r="H4763" s="3" t="s">
        <v>23629</v>
      </c>
      <c r="I4763" s="3" t="s">
        <v>24914</v>
      </c>
      <c r="J4763" s="3" t="s">
        <v>24918</v>
      </c>
      <c r="K4763" s="3" t="s">
        <v>24919</v>
      </c>
      <c r="L4763" s="3"/>
      <c r="M4763" s="4"/>
      <c r="N4763" s="3" t="s">
        <v>37</v>
      </c>
      <c r="O4763" s="3" t="s">
        <v>721</v>
      </c>
      <c r="P4763" s="5">
        <v>14</v>
      </c>
      <c r="Q4763" s="5">
        <v>294</v>
      </c>
      <c r="R4763" s="5">
        <v>14</v>
      </c>
      <c r="S4763" s="5">
        <v>273</v>
      </c>
    </row>
    <row r="4764" spans="1:19" ht="28" x14ac:dyDescent="0.15">
      <c r="A4764" s="2">
        <f>HYPERLINK("https://open-school.uspishnemisto.com.ua/school/230268/", 230268)</f>
        <v>230268</v>
      </c>
      <c r="B4764" s="3" t="s">
        <v>24920</v>
      </c>
      <c r="C4764" s="3" t="s">
        <v>31</v>
      </c>
      <c r="D4764" s="3" t="s">
        <v>175</v>
      </c>
      <c r="E4764" s="4" t="s">
        <v>22</v>
      </c>
      <c r="F4764" s="4" t="s">
        <v>24921</v>
      </c>
      <c r="G4764" s="4" t="s">
        <v>24922</v>
      </c>
      <c r="H4764" s="3" t="s">
        <v>23629</v>
      </c>
      <c r="I4764" s="3" t="s">
        <v>24923</v>
      </c>
      <c r="J4764" s="3" t="s">
        <v>14554</v>
      </c>
      <c r="K4764" s="3" t="s">
        <v>24924</v>
      </c>
      <c r="L4764" s="3"/>
      <c r="M4764" s="4"/>
      <c r="N4764" s="3" t="s">
        <v>37</v>
      </c>
      <c r="O4764" s="3" t="s">
        <v>13272</v>
      </c>
      <c r="P4764" s="5">
        <v>6</v>
      </c>
      <c r="Q4764" s="5">
        <v>44</v>
      </c>
      <c r="R4764" s="5">
        <v>7</v>
      </c>
      <c r="S4764" s="5">
        <v>53</v>
      </c>
    </row>
    <row r="4765" spans="1:19" ht="42" x14ac:dyDescent="0.15">
      <c r="A4765" s="2">
        <f>HYPERLINK("https://open-school.uspishnemisto.com.ua/school/230269/", 230269)</f>
        <v>230269</v>
      </c>
      <c r="B4765" s="3" t="s">
        <v>24925</v>
      </c>
      <c r="C4765" s="3" t="s">
        <v>31</v>
      </c>
      <c r="D4765" s="3" t="s">
        <v>175</v>
      </c>
      <c r="E4765" s="4" t="s">
        <v>22</v>
      </c>
      <c r="F4765" s="4" t="s">
        <v>24926</v>
      </c>
      <c r="G4765" s="4" t="s">
        <v>24927</v>
      </c>
      <c r="H4765" s="3" t="s">
        <v>23629</v>
      </c>
      <c r="I4765" s="3" t="s">
        <v>24928</v>
      </c>
      <c r="J4765" s="3" t="s">
        <v>24929</v>
      </c>
      <c r="K4765" s="3" t="s">
        <v>24930</v>
      </c>
      <c r="L4765" s="3"/>
      <c r="M4765" s="4"/>
      <c r="N4765" s="3" t="s">
        <v>37</v>
      </c>
      <c r="O4765" s="3" t="s">
        <v>38</v>
      </c>
      <c r="P4765" s="5">
        <v>7</v>
      </c>
      <c r="Q4765" s="5">
        <v>58</v>
      </c>
      <c r="R4765" s="5">
        <v>7</v>
      </c>
      <c r="S4765" s="5">
        <v>59</v>
      </c>
    </row>
    <row r="4766" spans="1:19" ht="42" x14ac:dyDescent="0.15">
      <c r="A4766" s="2">
        <f>HYPERLINK("https://open-school.uspishnemisto.com.ua/school/230270/", 230270)</f>
        <v>230270</v>
      </c>
      <c r="B4766" s="3" t="s">
        <v>24931</v>
      </c>
      <c r="C4766" s="3" t="s">
        <v>31</v>
      </c>
      <c r="D4766" s="3" t="s">
        <v>175</v>
      </c>
      <c r="E4766" s="4" t="s">
        <v>22</v>
      </c>
      <c r="F4766" s="4" t="s">
        <v>24926</v>
      </c>
      <c r="G4766" s="4" t="s">
        <v>24932</v>
      </c>
      <c r="H4766" s="3" t="s">
        <v>23629</v>
      </c>
      <c r="I4766" s="3" t="s">
        <v>24933</v>
      </c>
      <c r="J4766" s="3" t="s">
        <v>19478</v>
      </c>
      <c r="K4766" s="3" t="s">
        <v>24934</v>
      </c>
      <c r="L4766" s="3"/>
      <c r="M4766" s="4"/>
      <c r="N4766" s="3" t="s">
        <v>37</v>
      </c>
      <c r="O4766" s="3" t="s">
        <v>13272</v>
      </c>
      <c r="P4766" s="5">
        <v>9</v>
      </c>
      <c r="Q4766" s="5">
        <v>88</v>
      </c>
      <c r="R4766" s="5">
        <v>11</v>
      </c>
      <c r="S4766" s="5">
        <v>100</v>
      </c>
    </row>
    <row r="4767" spans="1:19" ht="42" x14ac:dyDescent="0.15">
      <c r="A4767" s="2">
        <f>HYPERLINK("https://open-school.uspishnemisto.com.ua/school/230271/", 230271)</f>
        <v>230271</v>
      </c>
      <c r="B4767" s="3" t="s">
        <v>24935</v>
      </c>
      <c r="C4767" s="3" t="s">
        <v>31</v>
      </c>
      <c r="D4767" s="3" t="s">
        <v>175</v>
      </c>
      <c r="E4767" s="4" t="s">
        <v>22</v>
      </c>
      <c r="F4767" s="4" t="s">
        <v>24936</v>
      </c>
      <c r="G4767" s="4" t="s">
        <v>24937</v>
      </c>
      <c r="H4767" s="3" t="s">
        <v>23629</v>
      </c>
      <c r="I4767" s="3" t="s">
        <v>24938</v>
      </c>
      <c r="J4767" s="3" t="s">
        <v>24939</v>
      </c>
      <c r="K4767" s="3" t="s">
        <v>24940</v>
      </c>
      <c r="L4767" s="3"/>
      <c r="M4767" s="4"/>
      <c r="N4767" s="3" t="s">
        <v>37</v>
      </c>
      <c r="O4767" s="3" t="s">
        <v>38</v>
      </c>
      <c r="P4767" s="5">
        <v>9</v>
      </c>
      <c r="Q4767" s="5">
        <v>103</v>
      </c>
      <c r="R4767" s="5">
        <v>11</v>
      </c>
      <c r="S4767" s="5">
        <v>113</v>
      </c>
    </row>
    <row r="4768" spans="1:19" ht="42" x14ac:dyDescent="0.15">
      <c r="A4768" s="2">
        <f>HYPERLINK("https://open-school.uspishnemisto.com.ua/school/230272/", 230272)</f>
        <v>230272</v>
      </c>
      <c r="B4768" s="3" t="s">
        <v>24941</v>
      </c>
      <c r="C4768" s="3" t="s">
        <v>31</v>
      </c>
      <c r="D4768" s="3" t="s">
        <v>175</v>
      </c>
      <c r="E4768" s="4" t="s">
        <v>22</v>
      </c>
      <c r="F4768" s="4" t="s">
        <v>24942</v>
      </c>
      <c r="G4768" s="4" t="s">
        <v>24937</v>
      </c>
      <c r="H4768" s="3" t="s">
        <v>23629</v>
      </c>
      <c r="I4768" s="3" t="s">
        <v>24938</v>
      </c>
      <c r="J4768" s="3" t="s">
        <v>24943</v>
      </c>
      <c r="K4768" s="3" t="s">
        <v>24944</v>
      </c>
      <c r="L4768" s="3"/>
      <c r="M4768" s="4"/>
      <c r="N4768" s="3" t="s">
        <v>37</v>
      </c>
      <c r="O4768" s="3" t="s">
        <v>38</v>
      </c>
      <c r="P4768" s="5">
        <v>8</v>
      </c>
      <c r="Q4768" s="5">
        <v>94</v>
      </c>
      <c r="R4768" s="5">
        <v>10</v>
      </c>
      <c r="S4768" s="5">
        <v>100</v>
      </c>
    </row>
    <row r="4769" spans="1:19" ht="28" x14ac:dyDescent="0.15">
      <c r="A4769" s="2">
        <f>HYPERLINK("https://open-school.uspishnemisto.com.ua/school/230273/", 230273)</f>
        <v>230273</v>
      </c>
      <c r="B4769" s="3" t="s">
        <v>24945</v>
      </c>
      <c r="C4769" s="3" t="s">
        <v>31</v>
      </c>
      <c r="D4769" s="3" t="s">
        <v>32</v>
      </c>
      <c r="E4769" s="4" t="s">
        <v>22</v>
      </c>
      <c r="F4769" s="4" t="s">
        <v>24946</v>
      </c>
      <c r="G4769" s="4" t="s">
        <v>24947</v>
      </c>
      <c r="H4769" s="3" t="s">
        <v>23629</v>
      </c>
      <c r="I4769" s="3" t="s">
        <v>6822</v>
      </c>
      <c r="J4769" s="3" t="s">
        <v>24948</v>
      </c>
      <c r="K4769" s="3" t="s">
        <v>24949</v>
      </c>
      <c r="L4769" s="3" t="s">
        <v>24950</v>
      </c>
      <c r="M4769" s="4" t="s">
        <v>24951</v>
      </c>
      <c r="N4769" s="3" t="s">
        <v>37</v>
      </c>
      <c r="O4769" s="3" t="s">
        <v>38</v>
      </c>
      <c r="P4769" s="5">
        <v>20</v>
      </c>
      <c r="Q4769" s="5">
        <v>451</v>
      </c>
      <c r="R4769" s="5">
        <v>19</v>
      </c>
      <c r="S4769" s="5">
        <v>407</v>
      </c>
    </row>
    <row r="4770" spans="1:19" ht="28" x14ac:dyDescent="0.15">
      <c r="A4770" s="2">
        <f>HYPERLINK("https://open-school.uspishnemisto.com.ua/school/230274/", 230274)</f>
        <v>230274</v>
      </c>
      <c r="B4770" s="3" t="s">
        <v>24952</v>
      </c>
      <c r="C4770" s="3" t="s">
        <v>31</v>
      </c>
      <c r="D4770" s="3" t="s">
        <v>32</v>
      </c>
      <c r="E4770" s="4" t="s">
        <v>22</v>
      </c>
      <c r="F4770" s="4" t="s">
        <v>24946</v>
      </c>
      <c r="G4770" s="4" t="s">
        <v>24947</v>
      </c>
      <c r="H4770" s="3" t="s">
        <v>23629</v>
      </c>
      <c r="I4770" s="3" t="s">
        <v>6822</v>
      </c>
      <c r="J4770" s="3" t="s">
        <v>24953</v>
      </c>
      <c r="K4770" s="3" t="s">
        <v>24954</v>
      </c>
      <c r="L4770" s="3" t="s">
        <v>24955</v>
      </c>
      <c r="M4770" s="4" t="s">
        <v>24956</v>
      </c>
      <c r="N4770" s="3" t="s">
        <v>967</v>
      </c>
      <c r="O4770" s="3" t="s">
        <v>52</v>
      </c>
      <c r="P4770" s="5">
        <v>11</v>
      </c>
      <c r="Q4770" s="5">
        <v>205</v>
      </c>
      <c r="R4770" s="5">
        <v>11</v>
      </c>
      <c r="S4770" s="5">
        <v>210</v>
      </c>
    </row>
    <row r="4771" spans="1:19" ht="28" x14ac:dyDescent="0.15">
      <c r="A4771" s="2">
        <f>HYPERLINK("https://open-school.uspishnemisto.com.ua/school/230275/", 230275)</f>
        <v>230275</v>
      </c>
      <c r="B4771" s="3" t="s">
        <v>24957</v>
      </c>
      <c r="C4771" s="3" t="s">
        <v>40</v>
      </c>
      <c r="D4771" s="3" t="s">
        <v>32</v>
      </c>
      <c r="E4771" s="4" t="s">
        <v>22</v>
      </c>
      <c r="F4771" s="4" t="s">
        <v>24946</v>
      </c>
      <c r="G4771" s="4" t="s">
        <v>24947</v>
      </c>
      <c r="H4771" s="3" t="s">
        <v>23629</v>
      </c>
      <c r="I4771" s="3" t="s">
        <v>6822</v>
      </c>
      <c r="J4771" s="3" t="s">
        <v>24958</v>
      </c>
      <c r="K4771" s="3" t="s">
        <v>24959</v>
      </c>
      <c r="L4771" s="3" t="s">
        <v>24960</v>
      </c>
      <c r="M4771" s="4" t="s">
        <v>24961</v>
      </c>
      <c r="N4771" s="3" t="s">
        <v>37</v>
      </c>
      <c r="O4771" s="3" t="s">
        <v>70</v>
      </c>
      <c r="P4771" s="5">
        <v>21</v>
      </c>
      <c r="Q4771" s="5">
        <v>437</v>
      </c>
      <c r="R4771" s="5">
        <v>21</v>
      </c>
      <c r="S4771" s="5">
        <v>408</v>
      </c>
    </row>
    <row r="4772" spans="1:19" ht="42" x14ac:dyDescent="0.15">
      <c r="A4772" s="2">
        <f>HYPERLINK("https://open-school.uspishnemisto.com.ua/school/230276/", 230276)</f>
        <v>230276</v>
      </c>
      <c r="B4772" s="3" t="s">
        <v>24962</v>
      </c>
      <c r="C4772" s="3" t="s">
        <v>31</v>
      </c>
      <c r="D4772" s="3" t="s">
        <v>175</v>
      </c>
      <c r="E4772" s="4" t="s">
        <v>22</v>
      </c>
      <c r="F4772" s="4" t="s">
        <v>24963</v>
      </c>
      <c r="G4772" s="4" t="s">
        <v>24964</v>
      </c>
      <c r="H4772" s="3" t="s">
        <v>23629</v>
      </c>
      <c r="I4772" s="3" t="s">
        <v>11267</v>
      </c>
      <c r="J4772" s="3" t="s">
        <v>634</v>
      </c>
      <c r="K4772" s="3" t="s">
        <v>24965</v>
      </c>
      <c r="L4772" s="3"/>
      <c r="M4772" s="4" t="s">
        <v>24966</v>
      </c>
      <c r="N4772" s="3" t="s">
        <v>967</v>
      </c>
      <c r="O4772" s="3" t="s">
        <v>52</v>
      </c>
      <c r="P4772" s="5">
        <v>4</v>
      </c>
      <c r="Q4772" s="5">
        <v>31</v>
      </c>
      <c r="R4772" s="5">
        <v>6</v>
      </c>
      <c r="S4772" s="5">
        <v>51</v>
      </c>
    </row>
    <row r="4773" spans="1:19" ht="42" x14ac:dyDescent="0.15">
      <c r="A4773" s="2">
        <f>HYPERLINK("https://open-school.uspishnemisto.com.ua/school/230277/", 230277)</f>
        <v>230277</v>
      </c>
      <c r="B4773" s="3" t="s">
        <v>24967</v>
      </c>
      <c r="C4773" s="3" t="s">
        <v>31</v>
      </c>
      <c r="D4773" s="3" t="s">
        <v>32</v>
      </c>
      <c r="E4773" s="4" t="s">
        <v>22</v>
      </c>
      <c r="F4773" s="4" t="s">
        <v>24968</v>
      </c>
      <c r="G4773" s="4" t="s">
        <v>24969</v>
      </c>
      <c r="H4773" s="3" t="s">
        <v>23629</v>
      </c>
      <c r="I4773" s="3" t="s">
        <v>24970</v>
      </c>
      <c r="J4773" s="3" t="s">
        <v>3494</v>
      </c>
      <c r="K4773" s="3" t="s">
        <v>24971</v>
      </c>
      <c r="L4773" s="3"/>
      <c r="M4773" s="4" t="s">
        <v>24972</v>
      </c>
      <c r="N4773" s="3" t="s">
        <v>37</v>
      </c>
      <c r="O4773" s="3" t="s">
        <v>52</v>
      </c>
      <c r="P4773" s="5">
        <v>8</v>
      </c>
      <c r="Q4773" s="5">
        <v>77</v>
      </c>
      <c r="R4773" s="5">
        <v>9</v>
      </c>
      <c r="S4773" s="5">
        <v>85</v>
      </c>
    </row>
    <row r="4774" spans="1:19" ht="42" x14ac:dyDescent="0.15">
      <c r="A4774" s="2">
        <f>HYPERLINK("https://open-school.uspishnemisto.com.ua/school/230278/", 230278)</f>
        <v>230278</v>
      </c>
      <c r="B4774" s="3" t="s">
        <v>24973</v>
      </c>
      <c r="C4774" s="3" t="s">
        <v>31</v>
      </c>
      <c r="D4774" s="3" t="s">
        <v>32</v>
      </c>
      <c r="E4774" s="4" t="s">
        <v>22</v>
      </c>
      <c r="F4774" s="4" t="s">
        <v>24974</v>
      </c>
      <c r="G4774" s="4" t="s">
        <v>24975</v>
      </c>
      <c r="H4774" s="3" t="s">
        <v>23629</v>
      </c>
      <c r="I4774" s="3" t="s">
        <v>13437</v>
      </c>
      <c r="J4774" s="3" t="s">
        <v>24976</v>
      </c>
      <c r="K4774" s="3" t="s">
        <v>24977</v>
      </c>
      <c r="L4774" s="3" t="s">
        <v>24978</v>
      </c>
      <c r="M4774" s="4"/>
      <c r="N4774" s="3" t="s">
        <v>37</v>
      </c>
      <c r="O4774" s="3" t="s">
        <v>38</v>
      </c>
      <c r="P4774" s="5">
        <v>8</v>
      </c>
      <c r="Q4774" s="5">
        <v>58</v>
      </c>
      <c r="R4774" s="5">
        <v>8</v>
      </c>
      <c r="S4774" s="5">
        <v>65</v>
      </c>
    </row>
    <row r="4775" spans="1:19" ht="42" x14ac:dyDescent="0.15">
      <c r="A4775" s="2">
        <f>HYPERLINK("https://open-school.uspishnemisto.com.ua/school/230279/", 230279)</f>
        <v>230279</v>
      </c>
      <c r="B4775" s="3" t="s">
        <v>24979</v>
      </c>
      <c r="C4775" s="3" t="s">
        <v>31</v>
      </c>
      <c r="D4775" s="3" t="s">
        <v>175</v>
      </c>
      <c r="E4775" s="4" t="s">
        <v>22</v>
      </c>
      <c r="F4775" s="4" t="s">
        <v>24980</v>
      </c>
      <c r="G4775" s="4" t="s">
        <v>24981</v>
      </c>
      <c r="H4775" s="3" t="s">
        <v>23629</v>
      </c>
      <c r="I4775" s="3" t="s">
        <v>11029</v>
      </c>
      <c r="J4775" s="3" t="s">
        <v>5264</v>
      </c>
      <c r="K4775" s="3" t="s">
        <v>24982</v>
      </c>
      <c r="L4775" s="3" t="s">
        <v>24983</v>
      </c>
      <c r="M4775" s="4"/>
      <c r="N4775" s="3" t="s">
        <v>37</v>
      </c>
      <c r="O4775" s="3" t="s">
        <v>112</v>
      </c>
      <c r="P4775" s="5">
        <v>5</v>
      </c>
      <c r="Q4775" s="5">
        <v>34</v>
      </c>
      <c r="R4775" s="5">
        <v>6</v>
      </c>
      <c r="S4775" s="5">
        <v>41</v>
      </c>
    </row>
    <row r="4776" spans="1:19" ht="28" x14ac:dyDescent="0.15">
      <c r="A4776" s="2">
        <f>HYPERLINK("https://open-school.uspishnemisto.com.ua/school/230280/", 230280)</f>
        <v>230280</v>
      </c>
      <c r="B4776" s="3" t="s">
        <v>24984</v>
      </c>
      <c r="C4776" s="3" t="s">
        <v>31</v>
      </c>
      <c r="D4776" s="3" t="s">
        <v>32</v>
      </c>
      <c r="E4776" s="4" t="s">
        <v>22</v>
      </c>
      <c r="F4776" s="4" t="s">
        <v>24985</v>
      </c>
      <c r="G4776" s="4" t="s">
        <v>24986</v>
      </c>
      <c r="H4776" s="3" t="s">
        <v>23629</v>
      </c>
      <c r="I4776" s="3" t="s">
        <v>1803</v>
      </c>
      <c r="J4776" s="3" t="s">
        <v>12674</v>
      </c>
      <c r="K4776" s="3" t="s">
        <v>24987</v>
      </c>
      <c r="L4776" s="3" t="s">
        <v>24988</v>
      </c>
      <c r="M4776" s="4"/>
      <c r="N4776" s="3" t="s">
        <v>37</v>
      </c>
      <c r="O4776" s="3" t="s">
        <v>70</v>
      </c>
      <c r="P4776" s="5">
        <v>9</v>
      </c>
      <c r="Q4776" s="5">
        <v>80</v>
      </c>
      <c r="R4776" s="5">
        <v>9</v>
      </c>
      <c r="S4776" s="5">
        <v>81</v>
      </c>
    </row>
    <row r="4777" spans="1:19" ht="28" x14ac:dyDescent="0.15">
      <c r="A4777" s="2">
        <f>HYPERLINK("https://open-school.uspishnemisto.com.ua/school/230281/", 230281)</f>
        <v>230281</v>
      </c>
      <c r="B4777" s="3" t="s">
        <v>24989</v>
      </c>
      <c r="C4777" s="3" t="s">
        <v>31</v>
      </c>
      <c r="D4777" s="3" t="s">
        <v>32</v>
      </c>
      <c r="E4777" s="4" t="s">
        <v>22</v>
      </c>
      <c r="F4777" s="4" t="s">
        <v>24990</v>
      </c>
      <c r="G4777" s="4" t="s">
        <v>24991</v>
      </c>
      <c r="H4777" s="3" t="s">
        <v>23629</v>
      </c>
      <c r="I4777" s="3" t="s">
        <v>24992</v>
      </c>
      <c r="J4777" s="3" t="s">
        <v>24993</v>
      </c>
      <c r="K4777" s="3" t="s">
        <v>24994</v>
      </c>
      <c r="L4777" s="3"/>
      <c r="M4777" s="4"/>
      <c r="N4777" s="3" t="s">
        <v>37</v>
      </c>
      <c r="O4777" s="3" t="s">
        <v>38</v>
      </c>
      <c r="P4777" s="5">
        <v>10</v>
      </c>
      <c r="Q4777" s="5">
        <v>76</v>
      </c>
      <c r="R4777" s="5">
        <v>10</v>
      </c>
      <c r="S4777" s="5">
        <v>78</v>
      </c>
    </row>
    <row r="4778" spans="1:19" ht="42" x14ac:dyDescent="0.15">
      <c r="A4778" s="2">
        <f>HYPERLINK("https://open-school.uspishnemisto.com.ua/school/230282/", 230282)</f>
        <v>230282</v>
      </c>
      <c r="B4778" s="3" t="s">
        <v>24995</v>
      </c>
      <c r="C4778" s="3" t="s">
        <v>31</v>
      </c>
      <c r="D4778" s="3" t="s">
        <v>32</v>
      </c>
      <c r="E4778" s="4" t="s">
        <v>22</v>
      </c>
      <c r="F4778" s="4" t="s">
        <v>24996</v>
      </c>
      <c r="G4778" s="4" t="s">
        <v>24997</v>
      </c>
      <c r="H4778" s="3" t="s">
        <v>23629</v>
      </c>
      <c r="I4778" s="3" t="s">
        <v>24998</v>
      </c>
      <c r="J4778" s="3" t="s">
        <v>24999</v>
      </c>
      <c r="K4778" s="3" t="s">
        <v>25000</v>
      </c>
      <c r="L4778" s="3"/>
      <c r="M4778" s="4"/>
      <c r="N4778" s="3" t="s">
        <v>967</v>
      </c>
      <c r="O4778" s="3" t="s">
        <v>618</v>
      </c>
      <c r="P4778" s="5">
        <v>4</v>
      </c>
      <c r="Q4778" s="5">
        <v>45</v>
      </c>
      <c r="R4778" s="5">
        <v>5</v>
      </c>
      <c r="S4778" s="5">
        <v>50</v>
      </c>
    </row>
    <row r="4779" spans="1:19" ht="42" x14ac:dyDescent="0.15">
      <c r="A4779" s="2">
        <f>HYPERLINK("https://open-school.uspishnemisto.com.ua/school/230283/", 230283)</f>
        <v>230283</v>
      </c>
      <c r="B4779" s="3" t="s">
        <v>25001</v>
      </c>
      <c r="C4779" s="3" t="s">
        <v>31</v>
      </c>
      <c r="D4779" s="3" t="s">
        <v>32</v>
      </c>
      <c r="E4779" s="4" t="s">
        <v>22</v>
      </c>
      <c r="F4779" s="4" t="s">
        <v>25002</v>
      </c>
      <c r="G4779" s="4" t="s">
        <v>25003</v>
      </c>
      <c r="H4779" s="3" t="s">
        <v>23629</v>
      </c>
      <c r="I4779" s="3" t="s">
        <v>25004</v>
      </c>
      <c r="J4779" s="3" t="s">
        <v>25005</v>
      </c>
      <c r="K4779" s="3" t="s">
        <v>25006</v>
      </c>
      <c r="L4779" s="3"/>
      <c r="M4779" s="4"/>
      <c r="N4779" s="3" t="s">
        <v>37</v>
      </c>
      <c r="O4779" s="3" t="s">
        <v>721</v>
      </c>
      <c r="P4779" s="5">
        <v>11</v>
      </c>
      <c r="Q4779" s="5">
        <v>151</v>
      </c>
      <c r="R4779" s="5">
        <v>11</v>
      </c>
      <c r="S4779" s="5">
        <v>148</v>
      </c>
    </row>
    <row r="4780" spans="1:19" ht="42" x14ac:dyDescent="0.15">
      <c r="A4780" s="2">
        <f>HYPERLINK("https://open-school.uspishnemisto.com.ua/school/230284/", 230284)</f>
        <v>230284</v>
      </c>
      <c r="B4780" s="3" t="s">
        <v>25007</v>
      </c>
      <c r="C4780" s="3" t="s">
        <v>31</v>
      </c>
      <c r="D4780" s="3" t="s">
        <v>32</v>
      </c>
      <c r="E4780" s="4" t="s">
        <v>22</v>
      </c>
      <c r="F4780" s="4" t="s">
        <v>25008</v>
      </c>
      <c r="G4780" s="4" t="s">
        <v>25009</v>
      </c>
      <c r="H4780" s="3" t="s">
        <v>23629</v>
      </c>
      <c r="I4780" s="3" t="s">
        <v>25010</v>
      </c>
      <c r="J4780" s="3" t="s">
        <v>8007</v>
      </c>
      <c r="K4780" s="3" t="s">
        <v>25011</v>
      </c>
      <c r="L4780" s="3"/>
      <c r="M4780" s="4"/>
      <c r="N4780" s="3" t="s">
        <v>37</v>
      </c>
      <c r="O4780" s="3" t="s">
        <v>70</v>
      </c>
      <c r="P4780" s="5">
        <v>10</v>
      </c>
      <c r="Q4780" s="5">
        <v>68</v>
      </c>
      <c r="R4780" s="5">
        <v>11</v>
      </c>
      <c r="S4780" s="5">
        <v>81</v>
      </c>
    </row>
    <row r="4781" spans="1:19" ht="28" x14ac:dyDescent="0.15">
      <c r="A4781" s="2">
        <f>HYPERLINK("https://open-school.uspishnemisto.com.ua/school/230285/", 230285)</f>
        <v>230285</v>
      </c>
      <c r="B4781" s="3" t="s">
        <v>25012</v>
      </c>
      <c r="C4781" s="3" t="s">
        <v>31</v>
      </c>
      <c r="D4781" s="3" t="s">
        <v>32</v>
      </c>
      <c r="E4781" s="4" t="s">
        <v>22</v>
      </c>
      <c r="F4781" s="4" t="s">
        <v>25013</v>
      </c>
      <c r="G4781" s="4" t="s">
        <v>25014</v>
      </c>
      <c r="H4781" s="3" t="s">
        <v>23629</v>
      </c>
      <c r="I4781" s="3" t="s">
        <v>25015</v>
      </c>
      <c r="J4781" s="3" t="s">
        <v>466</v>
      </c>
      <c r="K4781" s="3" t="s">
        <v>25016</v>
      </c>
      <c r="L4781" s="3"/>
      <c r="M4781" s="4"/>
      <c r="N4781" s="3" t="s">
        <v>37</v>
      </c>
      <c r="O4781" s="3" t="s">
        <v>52</v>
      </c>
      <c r="P4781" s="5">
        <v>7</v>
      </c>
      <c r="Q4781" s="5">
        <v>57</v>
      </c>
      <c r="R4781" s="5">
        <v>7</v>
      </c>
      <c r="S4781" s="5">
        <v>60</v>
      </c>
    </row>
    <row r="4782" spans="1:19" ht="42" x14ac:dyDescent="0.15">
      <c r="A4782" s="2">
        <f>HYPERLINK("https://open-school.uspishnemisto.com.ua/school/230286/", 230286)</f>
        <v>230286</v>
      </c>
      <c r="B4782" s="3" t="s">
        <v>25017</v>
      </c>
      <c r="C4782" s="3" t="s">
        <v>31</v>
      </c>
      <c r="D4782" s="3" t="s">
        <v>32</v>
      </c>
      <c r="E4782" s="4" t="s">
        <v>22</v>
      </c>
      <c r="F4782" s="4" t="s">
        <v>25018</v>
      </c>
      <c r="G4782" s="4" t="s">
        <v>25019</v>
      </c>
      <c r="H4782" s="3" t="s">
        <v>23629</v>
      </c>
      <c r="I4782" s="3" t="s">
        <v>6822</v>
      </c>
      <c r="J4782" s="3" t="s">
        <v>3370</v>
      </c>
      <c r="K4782" s="3" t="s">
        <v>25020</v>
      </c>
      <c r="L4782" s="3"/>
      <c r="M4782" s="4"/>
      <c r="N4782" s="3" t="s">
        <v>37</v>
      </c>
      <c r="O4782" s="3" t="s">
        <v>70</v>
      </c>
      <c r="P4782" s="5">
        <v>9</v>
      </c>
      <c r="Q4782" s="5">
        <v>62</v>
      </c>
      <c r="R4782" s="5">
        <v>9</v>
      </c>
      <c r="S4782" s="5">
        <v>63</v>
      </c>
    </row>
    <row r="4783" spans="1:19" ht="42" x14ac:dyDescent="0.15">
      <c r="A4783" s="2">
        <f>HYPERLINK("https://open-school.uspishnemisto.com.ua/school/230287/", 230287)</f>
        <v>230287</v>
      </c>
      <c r="B4783" s="3" t="s">
        <v>25021</v>
      </c>
      <c r="C4783" s="3" t="s">
        <v>31</v>
      </c>
      <c r="D4783" s="3" t="s">
        <v>32</v>
      </c>
      <c r="E4783" s="4" t="s">
        <v>22</v>
      </c>
      <c r="F4783" s="4" t="s">
        <v>25022</v>
      </c>
      <c r="G4783" s="4" t="s">
        <v>25023</v>
      </c>
      <c r="H4783" s="3" t="s">
        <v>23629</v>
      </c>
      <c r="I4783" s="3" t="s">
        <v>12028</v>
      </c>
      <c r="J4783" s="3" t="s">
        <v>25024</v>
      </c>
      <c r="K4783" s="3" t="s">
        <v>25025</v>
      </c>
      <c r="L4783" s="3" t="s">
        <v>25026</v>
      </c>
      <c r="M4783" s="4"/>
      <c r="N4783" s="3" t="s">
        <v>37</v>
      </c>
      <c r="O4783" s="3" t="s">
        <v>70</v>
      </c>
      <c r="P4783" s="5">
        <v>11</v>
      </c>
      <c r="Q4783" s="5">
        <v>128</v>
      </c>
      <c r="R4783" s="5">
        <v>11</v>
      </c>
      <c r="S4783" s="5">
        <v>140</v>
      </c>
    </row>
    <row r="4784" spans="1:19" ht="28" x14ac:dyDescent="0.15">
      <c r="A4784" s="2">
        <f>HYPERLINK("https://open-school.uspishnemisto.com.ua/school/230288/", 230288)</f>
        <v>230288</v>
      </c>
      <c r="B4784" s="3" t="s">
        <v>25027</v>
      </c>
      <c r="C4784" s="3" t="s">
        <v>31</v>
      </c>
      <c r="D4784" s="3" t="s">
        <v>32</v>
      </c>
      <c r="E4784" s="4" t="s">
        <v>22</v>
      </c>
      <c r="F4784" s="4" t="s">
        <v>25028</v>
      </c>
      <c r="G4784" s="4" t="s">
        <v>25029</v>
      </c>
      <c r="H4784" s="3" t="s">
        <v>23629</v>
      </c>
      <c r="I4784" s="3" t="s">
        <v>5519</v>
      </c>
      <c r="J4784" s="3" t="s">
        <v>25030</v>
      </c>
      <c r="K4784" s="3" t="s">
        <v>25031</v>
      </c>
      <c r="L4784" s="3"/>
      <c r="M4784" s="4" t="s">
        <v>25032</v>
      </c>
      <c r="N4784" s="3" t="s">
        <v>37</v>
      </c>
      <c r="O4784" s="3" t="s">
        <v>38</v>
      </c>
      <c r="P4784" s="5">
        <v>9</v>
      </c>
      <c r="Q4784" s="5">
        <v>86</v>
      </c>
      <c r="R4784" s="5">
        <v>10</v>
      </c>
      <c r="S4784" s="5">
        <v>82</v>
      </c>
    </row>
    <row r="4785" spans="1:19" ht="28" x14ac:dyDescent="0.15">
      <c r="A4785" s="2">
        <f>HYPERLINK("https://open-school.uspishnemisto.com.ua/school/230289/", 230289)</f>
        <v>230289</v>
      </c>
      <c r="B4785" s="3" t="s">
        <v>25033</v>
      </c>
      <c r="C4785" s="3" t="s">
        <v>40</v>
      </c>
      <c r="D4785" s="3" t="s">
        <v>32</v>
      </c>
      <c r="E4785" s="4" t="s">
        <v>22</v>
      </c>
      <c r="F4785" s="4" t="s">
        <v>25034</v>
      </c>
      <c r="G4785" s="4" t="s">
        <v>25035</v>
      </c>
      <c r="H4785" s="3" t="s">
        <v>23629</v>
      </c>
      <c r="I4785" s="3" t="s">
        <v>25036</v>
      </c>
      <c r="J4785" s="3" t="s">
        <v>25037</v>
      </c>
      <c r="K4785" s="3" t="s">
        <v>25038</v>
      </c>
      <c r="L4785" s="3" t="s">
        <v>25039</v>
      </c>
      <c r="M4785" s="4" t="s">
        <v>25040</v>
      </c>
      <c r="N4785" s="3" t="s">
        <v>37</v>
      </c>
      <c r="O4785" s="3" t="s">
        <v>197</v>
      </c>
      <c r="P4785" s="5">
        <v>22</v>
      </c>
      <c r="Q4785" s="5">
        <v>467</v>
      </c>
      <c r="R4785" s="5">
        <v>20</v>
      </c>
      <c r="S4785" s="5">
        <v>445</v>
      </c>
    </row>
    <row r="4786" spans="1:19" ht="28" x14ac:dyDescent="0.15">
      <c r="A4786" s="2">
        <f>HYPERLINK("https://open-school.uspishnemisto.com.ua/school/230290/", 230290)</f>
        <v>230290</v>
      </c>
      <c r="B4786" s="3" t="s">
        <v>25041</v>
      </c>
      <c r="C4786" s="3" t="s">
        <v>31</v>
      </c>
      <c r="D4786" s="3" t="s">
        <v>32</v>
      </c>
      <c r="E4786" s="4" t="s">
        <v>22</v>
      </c>
      <c r="F4786" s="4" t="s">
        <v>25034</v>
      </c>
      <c r="G4786" s="4" t="s">
        <v>25035</v>
      </c>
      <c r="H4786" s="3" t="s">
        <v>23629</v>
      </c>
      <c r="I4786" s="3" t="s">
        <v>25036</v>
      </c>
      <c r="J4786" s="3" t="s">
        <v>25042</v>
      </c>
      <c r="K4786" s="3" t="s">
        <v>25043</v>
      </c>
      <c r="L4786" s="3" t="s">
        <v>25044</v>
      </c>
      <c r="M4786" s="4" t="s">
        <v>25045</v>
      </c>
      <c r="N4786" s="3" t="s">
        <v>37</v>
      </c>
      <c r="O4786" s="3" t="s">
        <v>70</v>
      </c>
      <c r="P4786" s="5">
        <v>25</v>
      </c>
      <c r="Q4786" s="5">
        <v>657</v>
      </c>
      <c r="R4786" s="5">
        <v>25</v>
      </c>
      <c r="S4786" s="5">
        <v>655</v>
      </c>
    </row>
    <row r="4787" spans="1:19" ht="28" x14ac:dyDescent="0.15">
      <c r="A4787" s="2">
        <f>HYPERLINK("https://open-school.uspishnemisto.com.ua/school/230291/", 230291)</f>
        <v>230291</v>
      </c>
      <c r="B4787" s="3" t="s">
        <v>25046</v>
      </c>
      <c r="C4787" s="3" t="s">
        <v>31</v>
      </c>
      <c r="D4787" s="3" t="s">
        <v>32</v>
      </c>
      <c r="E4787" s="4" t="s">
        <v>22</v>
      </c>
      <c r="F4787" s="4" t="s">
        <v>25034</v>
      </c>
      <c r="G4787" s="4" t="s">
        <v>25035</v>
      </c>
      <c r="H4787" s="3" t="s">
        <v>23629</v>
      </c>
      <c r="I4787" s="3" t="s">
        <v>25036</v>
      </c>
      <c r="J4787" s="3" t="s">
        <v>25047</v>
      </c>
      <c r="K4787" s="3" t="s">
        <v>25048</v>
      </c>
      <c r="L4787" s="3" t="s">
        <v>25049</v>
      </c>
      <c r="M4787" s="4" t="s">
        <v>25050</v>
      </c>
      <c r="N4787" s="3" t="s">
        <v>37</v>
      </c>
      <c r="O4787" s="3" t="s">
        <v>721</v>
      </c>
      <c r="P4787" s="5">
        <v>14</v>
      </c>
      <c r="Q4787" s="5">
        <v>288</v>
      </c>
      <c r="R4787" s="5">
        <v>14</v>
      </c>
      <c r="S4787" s="5">
        <v>262</v>
      </c>
    </row>
    <row r="4788" spans="1:19" ht="28" x14ac:dyDescent="0.15">
      <c r="A4788" s="2">
        <f>HYPERLINK("https://open-school.uspishnemisto.com.ua/school/230292/", 230292)</f>
        <v>230292</v>
      </c>
      <c r="B4788" s="3" t="s">
        <v>25051</v>
      </c>
      <c r="C4788" s="3" t="s">
        <v>31</v>
      </c>
      <c r="D4788" s="3" t="s">
        <v>32</v>
      </c>
      <c r="E4788" s="4" t="s">
        <v>22</v>
      </c>
      <c r="F4788" s="4" t="s">
        <v>25034</v>
      </c>
      <c r="G4788" s="4" t="s">
        <v>25035</v>
      </c>
      <c r="H4788" s="3" t="s">
        <v>23629</v>
      </c>
      <c r="I4788" s="3" t="s">
        <v>25036</v>
      </c>
      <c r="J4788" s="3" t="s">
        <v>25052</v>
      </c>
      <c r="K4788" s="3" t="s">
        <v>25053</v>
      </c>
      <c r="L4788" s="3" t="s">
        <v>25054</v>
      </c>
      <c r="M4788" s="4" t="s">
        <v>25055</v>
      </c>
      <c r="N4788" s="3" t="s">
        <v>37</v>
      </c>
      <c r="O4788" s="3" t="s">
        <v>70</v>
      </c>
      <c r="P4788" s="5">
        <v>24</v>
      </c>
      <c r="Q4788" s="5">
        <v>527</v>
      </c>
      <c r="R4788" s="5">
        <v>22</v>
      </c>
      <c r="S4788" s="5">
        <v>507</v>
      </c>
    </row>
    <row r="4789" spans="1:19" ht="42" x14ac:dyDescent="0.15">
      <c r="A4789" s="2">
        <f>HYPERLINK("https://open-school.uspishnemisto.com.ua/school/230293/", 230293)</f>
        <v>230293</v>
      </c>
      <c r="B4789" s="3" t="s">
        <v>25056</v>
      </c>
      <c r="C4789" s="3" t="s">
        <v>181</v>
      </c>
      <c r="D4789" s="3" t="s">
        <v>175</v>
      </c>
      <c r="E4789" s="4" t="s">
        <v>22</v>
      </c>
      <c r="F4789" s="4" t="s">
        <v>25034</v>
      </c>
      <c r="G4789" s="4" t="s">
        <v>25035</v>
      </c>
      <c r="H4789" s="3" t="s">
        <v>23629</v>
      </c>
      <c r="I4789" s="3" t="s">
        <v>25036</v>
      </c>
      <c r="J4789" s="3" t="s">
        <v>25057</v>
      </c>
      <c r="K4789" s="3" t="s">
        <v>25058</v>
      </c>
      <c r="L4789" s="3" t="s">
        <v>25059</v>
      </c>
      <c r="M4789" s="4" t="s">
        <v>25060</v>
      </c>
      <c r="N4789" s="3" t="s">
        <v>37</v>
      </c>
      <c r="O4789" s="3" t="s">
        <v>52</v>
      </c>
      <c r="P4789" s="5">
        <v>22</v>
      </c>
      <c r="Q4789" s="5">
        <v>187</v>
      </c>
      <c r="R4789" s="5">
        <v>22</v>
      </c>
      <c r="S4789" s="5">
        <v>210</v>
      </c>
    </row>
    <row r="4790" spans="1:19" ht="28" x14ac:dyDescent="0.15">
      <c r="A4790" s="2">
        <f>HYPERLINK("https://open-school.uspishnemisto.com.ua/school/230294/", 230294)</f>
        <v>230294</v>
      </c>
      <c r="B4790" s="3" t="s">
        <v>25061</v>
      </c>
      <c r="C4790" s="3" t="s">
        <v>31</v>
      </c>
      <c r="D4790" s="3" t="s">
        <v>175</v>
      </c>
      <c r="E4790" s="4" t="s">
        <v>22</v>
      </c>
      <c r="F4790" s="4" t="s">
        <v>25062</v>
      </c>
      <c r="G4790" s="4" t="s">
        <v>25063</v>
      </c>
      <c r="H4790" s="3" t="s">
        <v>23629</v>
      </c>
      <c r="I4790" s="3" t="s">
        <v>25064</v>
      </c>
      <c r="J4790" s="3" t="s">
        <v>25065</v>
      </c>
      <c r="K4790" s="3" t="s">
        <v>25066</v>
      </c>
      <c r="L4790" s="3" t="s">
        <v>25067</v>
      </c>
      <c r="M4790" s="4" t="s">
        <v>25068</v>
      </c>
      <c r="N4790" s="3" t="s">
        <v>37</v>
      </c>
      <c r="O4790" s="3" t="s">
        <v>38</v>
      </c>
      <c r="P4790" s="5">
        <v>9</v>
      </c>
      <c r="Q4790" s="5">
        <v>86</v>
      </c>
      <c r="R4790" s="5">
        <v>9</v>
      </c>
      <c r="S4790" s="5">
        <v>79</v>
      </c>
    </row>
    <row r="4791" spans="1:19" ht="28" x14ac:dyDescent="0.15">
      <c r="A4791" s="2">
        <f>HYPERLINK("https://open-school.uspishnemisto.com.ua/school/230295/", 230295)</f>
        <v>230295</v>
      </c>
      <c r="B4791" s="3" t="s">
        <v>25069</v>
      </c>
      <c r="C4791" s="3" t="s">
        <v>54</v>
      </c>
      <c r="D4791" s="3" t="s">
        <v>32</v>
      </c>
      <c r="E4791" s="4" t="s">
        <v>22</v>
      </c>
      <c r="F4791" s="4" t="s">
        <v>25070</v>
      </c>
      <c r="G4791" s="4" t="s">
        <v>25071</v>
      </c>
      <c r="H4791" s="3" t="s">
        <v>23629</v>
      </c>
      <c r="I4791" s="3" t="s">
        <v>3481</v>
      </c>
      <c r="J4791" s="3" t="s">
        <v>5264</v>
      </c>
      <c r="K4791" s="3" t="s">
        <v>25072</v>
      </c>
      <c r="L4791" s="3" t="s">
        <v>25073</v>
      </c>
      <c r="M4791" s="4" t="s">
        <v>25074</v>
      </c>
      <c r="N4791" s="3" t="s">
        <v>37</v>
      </c>
      <c r="O4791" s="3" t="s">
        <v>112</v>
      </c>
      <c r="P4791" s="5">
        <v>8</v>
      </c>
      <c r="Q4791" s="5">
        <v>52</v>
      </c>
      <c r="R4791" s="5">
        <v>8</v>
      </c>
      <c r="S4791" s="5">
        <v>55</v>
      </c>
    </row>
    <row r="4792" spans="1:19" ht="28" x14ac:dyDescent="0.15">
      <c r="A4792" s="2">
        <f>HYPERLINK("https://open-school.uspishnemisto.com.ua/school/230296/", 230296)</f>
        <v>230296</v>
      </c>
      <c r="B4792" s="3" t="s">
        <v>25075</v>
      </c>
      <c r="C4792" s="3" t="s">
        <v>31</v>
      </c>
      <c r="D4792" s="3" t="s">
        <v>60</v>
      </c>
      <c r="E4792" s="4" t="s">
        <v>22</v>
      </c>
      <c r="F4792" s="4" t="s">
        <v>25076</v>
      </c>
      <c r="G4792" s="4" t="s">
        <v>25077</v>
      </c>
      <c r="H4792" s="3" t="s">
        <v>23629</v>
      </c>
      <c r="I4792" s="3" t="s">
        <v>25078</v>
      </c>
      <c r="J4792" s="3" t="s">
        <v>4537</v>
      </c>
      <c r="K4792" s="3" t="s">
        <v>25079</v>
      </c>
      <c r="L4792" s="3" t="s">
        <v>25080</v>
      </c>
      <c r="M4792" s="4" t="s">
        <v>25081</v>
      </c>
      <c r="N4792" s="3" t="s">
        <v>37</v>
      </c>
      <c r="O4792" s="3" t="s">
        <v>52</v>
      </c>
      <c r="P4792" s="5">
        <v>4</v>
      </c>
      <c r="Q4792" s="5">
        <v>28</v>
      </c>
      <c r="R4792" s="5">
        <v>4</v>
      </c>
      <c r="S4792" s="5">
        <v>27</v>
      </c>
    </row>
    <row r="4793" spans="1:19" ht="28" x14ac:dyDescent="0.15">
      <c r="A4793" s="2">
        <f>HYPERLINK("https://open-school.uspishnemisto.com.ua/school/230297/", 230297)</f>
        <v>230297</v>
      </c>
      <c r="B4793" s="3" t="s">
        <v>25082</v>
      </c>
      <c r="C4793" s="3" t="s">
        <v>31</v>
      </c>
      <c r="D4793" s="3" t="s">
        <v>32</v>
      </c>
      <c r="E4793" s="4" t="s">
        <v>22</v>
      </c>
      <c r="F4793" s="4" t="s">
        <v>25083</v>
      </c>
      <c r="G4793" s="4" t="s">
        <v>25084</v>
      </c>
      <c r="H4793" s="3" t="s">
        <v>23629</v>
      </c>
      <c r="I4793" s="3" t="s">
        <v>25085</v>
      </c>
      <c r="J4793" s="3" t="s">
        <v>25086</v>
      </c>
      <c r="K4793" s="3" t="s">
        <v>25087</v>
      </c>
      <c r="L4793" s="3" t="s">
        <v>25088</v>
      </c>
      <c r="M4793" s="4" t="s">
        <v>25089</v>
      </c>
      <c r="N4793" s="3" t="s">
        <v>37</v>
      </c>
      <c r="O4793" s="3" t="s">
        <v>38</v>
      </c>
      <c r="P4793" s="5">
        <v>10</v>
      </c>
      <c r="Q4793" s="5">
        <v>115</v>
      </c>
      <c r="R4793" s="5">
        <v>9</v>
      </c>
      <c r="S4793" s="5">
        <v>101</v>
      </c>
    </row>
    <row r="4794" spans="1:19" ht="28" x14ac:dyDescent="0.15">
      <c r="A4794" s="2">
        <f>HYPERLINK("https://open-school.uspishnemisto.com.ua/school/230298/", 230298)</f>
        <v>230298</v>
      </c>
      <c r="B4794" s="3" t="s">
        <v>25090</v>
      </c>
      <c r="C4794" s="3" t="s">
        <v>54</v>
      </c>
      <c r="D4794" s="3" t="s">
        <v>32</v>
      </c>
      <c r="E4794" s="4" t="s">
        <v>22</v>
      </c>
      <c r="F4794" s="4" t="s">
        <v>25091</v>
      </c>
      <c r="G4794" s="4" t="s">
        <v>25092</v>
      </c>
      <c r="H4794" s="3" t="s">
        <v>23629</v>
      </c>
      <c r="I4794" s="3" t="s">
        <v>1844</v>
      </c>
      <c r="J4794" s="3" t="s">
        <v>25093</v>
      </c>
      <c r="K4794" s="3" t="s">
        <v>25094</v>
      </c>
      <c r="L4794" s="3" t="s">
        <v>25095</v>
      </c>
      <c r="M4794" s="4" t="s">
        <v>25096</v>
      </c>
      <c r="N4794" s="3" t="s">
        <v>37</v>
      </c>
      <c r="O4794" s="3" t="s">
        <v>38</v>
      </c>
      <c r="P4794" s="5">
        <v>10</v>
      </c>
      <c r="Q4794" s="5">
        <v>111</v>
      </c>
      <c r="R4794" s="5">
        <v>9</v>
      </c>
      <c r="S4794" s="5">
        <v>106</v>
      </c>
    </row>
    <row r="4795" spans="1:19" ht="28" x14ac:dyDescent="0.15">
      <c r="A4795" s="2">
        <f>HYPERLINK("https://open-school.uspishnemisto.com.ua/school/230299/", 230299)</f>
        <v>230299</v>
      </c>
      <c r="B4795" s="3" t="s">
        <v>25097</v>
      </c>
      <c r="C4795" s="3" t="s">
        <v>54</v>
      </c>
      <c r="D4795" s="3" t="s">
        <v>32</v>
      </c>
      <c r="E4795" s="4" t="s">
        <v>22</v>
      </c>
      <c r="F4795" s="4" t="s">
        <v>25098</v>
      </c>
      <c r="G4795" s="4" t="s">
        <v>25099</v>
      </c>
      <c r="H4795" s="3" t="s">
        <v>23629</v>
      </c>
      <c r="I4795" s="3" t="s">
        <v>25100</v>
      </c>
      <c r="J4795" s="3" t="s">
        <v>19218</v>
      </c>
      <c r="K4795" s="3" t="s">
        <v>25101</v>
      </c>
      <c r="L4795" s="3" t="s">
        <v>25102</v>
      </c>
      <c r="M4795" s="4" t="s">
        <v>25103</v>
      </c>
      <c r="N4795" s="3" t="s">
        <v>37</v>
      </c>
      <c r="O4795" s="3" t="s">
        <v>38</v>
      </c>
      <c r="P4795" s="5">
        <v>9</v>
      </c>
      <c r="Q4795" s="5">
        <v>105</v>
      </c>
      <c r="R4795" s="5">
        <v>8</v>
      </c>
      <c r="S4795" s="5">
        <v>91</v>
      </c>
    </row>
    <row r="4796" spans="1:19" ht="28" x14ac:dyDescent="0.15">
      <c r="A4796" s="2">
        <f>HYPERLINK("https://open-school.uspishnemisto.com.ua/school/230300/", 230300)</f>
        <v>230300</v>
      </c>
      <c r="B4796" s="3" t="s">
        <v>25104</v>
      </c>
      <c r="C4796" s="3" t="s">
        <v>54</v>
      </c>
      <c r="D4796" s="3" t="s">
        <v>32</v>
      </c>
      <c r="E4796" s="4" t="s">
        <v>22</v>
      </c>
      <c r="F4796" s="4" t="s">
        <v>25105</v>
      </c>
      <c r="G4796" s="4" t="s">
        <v>25106</v>
      </c>
      <c r="H4796" s="3" t="s">
        <v>23629</v>
      </c>
      <c r="I4796" s="3" t="s">
        <v>25107</v>
      </c>
      <c r="J4796" s="3" t="s">
        <v>1451</v>
      </c>
      <c r="K4796" s="3" t="s">
        <v>25108</v>
      </c>
      <c r="L4796" s="3" t="s">
        <v>25109</v>
      </c>
      <c r="M4796" s="4" t="s">
        <v>25110</v>
      </c>
      <c r="N4796" s="3" t="s">
        <v>37</v>
      </c>
      <c r="O4796" s="3" t="s">
        <v>38</v>
      </c>
      <c r="P4796" s="5">
        <v>4</v>
      </c>
      <c r="Q4796" s="5">
        <v>29</v>
      </c>
      <c r="R4796" s="5">
        <v>6</v>
      </c>
      <c r="S4796" s="5">
        <v>57</v>
      </c>
    </row>
    <row r="4797" spans="1:19" ht="42" x14ac:dyDescent="0.15">
      <c r="A4797" s="2">
        <f>HYPERLINK("https://open-school.uspishnemisto.com.ua/school/230301/", 230301)</f>
        <v>230301</v>
      </c>
      <c r="B4797" s="3" t="s">
        <v>25111</v>
      </c>
      <c r="C4797" s="3" t="s">
        <v>54</v>
      </c>
      <c r="D4797" s="3" t="s">
        <v>175</v>
      </c>
      <c r="E4797" s="4" t="s">
        <v>22</v>
      </c>
      <c r="F4797" s="4" t="s">
        <v>25112</v>
      </c>
      <c r="G4797" s="4" t="s">
        <v>25113</v>
      </c>
      <c r="H4797" s="3" t="s">
        <v>23629</v>
      </c>
      <c r="I4797" s="3" t="s">
        <v>11256</v>
      </c>
      <c r="J4797" s="3" t="s">
        <v>25114</v>
      </c>
      <c r="K4797" s="3" t="s">
        <v>25115</v>
      </c>
      <c r="L4797" s="3" t="s">
        <v>25116</v>
      </c>
      <c r="M4797" s="4" t="s">
        <v>25117</v>
      </c>
      <c r="N4797" s="3" t="s">
        <v>37</v>
      </c>
      <c r="O4797" s="3" t="s">
        <v>38</v>
      </c>
      <c r="P4797" s="5">
        <v>8</v>
      </c>
      <c r="Q4797" s="5">
        <v>67</v>
      </c>
      <c r="R4797" s="5">
        <v>8</v>
      </c>
      <c r="S4797" s="5">
        <v>65</v>
      </c>
    </row>
    <row r="4798" spans="1:19" ht="28" x14ac:dyDescent="0.15">
      <c r="A4798" s="2">
        <f>HYPERLINK("https://open-school.uspishnemisto.com.ua/school/230302/", 230302)</f>
        <v>230302</v>
      </c>
      <c r="B4798" s="3" t="s">
        <v>25118</v>
      </c>
      <c r="C4798" s="3" t="s">
        <v>54</v>
      </c>
      <c r="D4798" s="3" t="s">
        <v>32</v>
      </c>
      <c r="E4798" s="4" t="s">
        <v>22</v>
      </c>
      <c r="F4798" s="4" t="s">
        <v>25119</v>
      </c>
      <c r="G4798" s="4" t="s">
        <v>25120</v>
      </c>
      <c r="H4798" s="3" t="s">
        <v>23629</v>
      </c>
      <c r="I4798" s="3" t="s">
        <v>25121</v>
      </c>
      <c r="J4798" s="3" t="s">
        <v>25122</v>
      </c>
      <c r="K4798" s="3" t="s">
        <v>25123</v>
      </c>
      <c r="L4798" s="3" t="s">
        <v>25124</v>
      </c>
      <c r="M4798" s="4" t="s">
        <v>25125</v>
      </c>
      <c r="N4798" s="3" t="s">
        <v>37</v>
      </c>
      <c r="O4798" s="3" t="s">
        <v>38</v>
      </c>
      <c r="P4798" s="5">
        <v>11</v>
      </c>
      <c r="Q4798" s="5">
        <v>174</v>
      </c>
      <c r="R4798" s="5">
        <v>11</v>
      </c>
      <c r="S4798" s="5">
        <v>148</v>
      </c>
    </row>
    <row r="4799" spans="1:19" ht="28" x14ac:dyDescent="0.15">
      <c r="A4799" s="2">
        <f>HYPERLINK("https://open-school.uspishnemisto.com.ua/school/230303/", 230303)</f>
        <v>230303</v>
      </c>
      <c r="B4799" s="3" t="s">
        <v>25126</v>
      </c>
      <c r="C4799" s="3" t="s">
        <v>54</v>
      </c>
      <c r="D4799" s="3" t="s">
        <v>32</v>
      </c>
      <c r="E4799" s="4" t="s">
        <v>22</v>
      </c>
      <c r="F4799" s="4" t="s">
        <v>25127</v>
      </c>
      <c r="G4799" s="4" t="s">
        <v>25128</v>
      </c>
      <c r="H4799" s="3" t="s">
        <v>23629</v>
      </c>
      <c r="I4799" s="3" t="s">
        <v>16036</v>
      </c>
      <c r="J4799" s="3" t="s">
        <v>792</v>
      </c>
      <c r="K4799" s="3" t="s">
        <v>25129</v>
      </c>
      <c r="L4799" s="3" t="s">
        <v>25130</v>
      </c>
      <c r="M4799" s="4" t="s">
        <v>25131</v>
      </c>
      <c r="N4799" s="3" t="s">
        <v>37</v>
      </c>
      <c r="O4799" s="3" t="s">
        <v>38</v>
      </c>
      <c r="P4799" s="5">
        <v>9</v>
      </c>
      <c r="Q4799" s="5">
        <v>107</v>
      </c>
      <c r="R4799" s="5">
        <v>9</v>
      </c>
      <c r="S4799" s="5">
        <v>102</v>
      </c>
    </row>
    <row r="4800" spans="1:19" ht="42" x14ac:dyDescent="0.15">
      <c r="A4800" s="2">
        <f>HYPERLINK("https://open-school.uspishnemisto.com.ua/school/230304/", 230304)</f>
        <v>230304</v>
      </c>
      <c r="B4800" s="3" t="s">
        <v>25132</v>
      </c>
      <c r="C4800" s="3" t="s">
        <v>2634</v>
      </c>
      <c r="D4800" s="3" t="s">
        <v>32</v>
      </c>
      <c r="E4800" s="4" t="s">
        <v>22</v>
      </c>
      <c r="F4800" s="4" t="s">
        <v>25133</v>
      </c>
      <c r="G4800" s="4" t="s">
        <v>25134</v>
      </c>
      <c r="H4800" s="3" t="s">
        <v>23629</v>
      </c>
      <c r="I4800" s="3" t="s">
        <v>24998</v>
      </c>
      <c r="J4800" s="3" t="s">
        <v>10620</v>
      </c>
      <c r="K4800" s="3" t="s">
        <v>25135</v>
      </c>
      <c r="L4800" s="3" t="s">
        <v>25136</v>
      </c>
      <c r="M4800" s="4" t="s">
        <v>25137</v>
      </c>
      <c r="N4800" s="3" t="s">
        <v>37</v>
      </c>
      <c r="O4800" s="3" t="s">
        <v>46</v>
      </c>
      <c r="P4800" s="5">
        <v>12</v>
      </c>
      <c r="Q4800" s="5">
        <v>196</v>
      </c>
      <c r="R4800" s="5">
        <v>13</v>
      </c>
      <c r="S4800" s="5">
        <v>231</v>
      </c>
    </row>
    <row r="4801" spans="1:19" ht="42" x14ac:dyDescent="0.15">
      <c r="A4801" s="2">
        <f>HYPERLINK("https://open-school.uspishnemisto.com.ua/school/230305/", 230305)</f>
        <v>230305</v>
      </c>
      <c r="B4801" s="3" t="s">
        <v>25138</v>
      </c>
      <c r="C4801" s="3" t="s">
        <v>54</v>
      </c>
      <c r="D4801" s="3" t="s">
        <v>32</v>
      </c>
      <c r="E4801" s="4" t="s">
        <v>22</v>
      </c>
      <c r="F4801" s="4" t="s">
        <v>25133</v>
      </c>
      <c r="G4801" s="4" t="s">
        <v>25134</v>
      </c>
      <c r="H4801" s="3" t="s">
        <v>23629</v>
      </c>
      <c r="I4801" s="3" t="s">
        <v>24998</v>
      </c>
      <c r="J4801" s="3" t="s">
        <v>25139</v>
      </c>
      <c r="K4801" s="3" t="s">
        <v>25140</v>
      </c>
      <c r="L4801" s="3" t="s">
        <v>25141</v>
      </c>
      <c r="M4801" s="4" t="s">
        <v>25142</v>
      </c>
      <c r="N4801" s="3" t="s">
        <v>37</v>
      </c>
      <c r="O4801" s="3" t="s">
        <v>9891</v>
      </c>
      <c r="P4801" s="5">
        <v>20</v>
      </c>
      <c r="Q4801" s="5">
        <v>461</v>
      </c>
      <c r="R4801" s="5">
        <v>20</v>
      </c>
      <c r="S4801" s="5">
        <v>451</v>
      </c>
    </row>
    <row r="4802" spans="1:19" ht="42" x14ac:dyDescent="0.15">
      <c r="A4802" s="2">
        <f>HYPERLINK("https://open-school.uspishnemisto.com.ua/school/230306/", 230306)</f>
        <v>230306</v>
      </c>
      <c r="B4802" s="3" t="s">
        <v>25143</v>
      </c>
      <c r="C4802" s="3" t="s">
        <v>54</v>
      </c>
      <c r="D4802" s="3" t="s">
        <v>32</v>
      </c>
      <c r="E4802" s="4" t="s">
        <v>22</v>
      </c>
      <c r="F4802" s="4" t="s">
        <v>25144</v>
      </c>
      <c r="G4802" s="4" t="s">
        <v>25145</v>
      </c>
      <c r="H4802" s="3" t="s">
        <v>23629</v>
      </c>
      <c r="I4802" s="3" t="s">
        <v>688</v>
      </c>
      <c r="J4802" s="3" t="s">
        <v>25146</v>
      </c>
      <c r="K4802" s="3" t="s">
        <v>25147</v>
      </c>
      <c r="L4802" s="3" t="s">
        <v>25148</v>
      </c>
      <c r="M4802" s="4" t="s">
        <v>25149</v>
      </c>
      <c r="N4802" s="3" t="s">
        <v>37</v>
      </c>
      <c r="O4802" s="3" t="s">
        <v>38</v>
      </c>
      <c r="P4802" s="5">
        <v>13</v>
      </c>
      <c r="Q4802" s="5">
        <v>276</v>
      </c>
      <c r="R4802" s="5">
        <v>13</v>
      </c>
      <c r="S4802" s="5">
        <v>281</v>
      </c>
    </row>
    <row r="4803" spans="1:19" ht="28" x14ac:dyDescent="0.15">
      <c r="A4803" s="2">
        <f>HYPERLINK("https://open-school.uspishnemisto.com.ua/school/230307/", 230307)</f>
        <v>230307</v>
      </c>
      <c r="B4803" s="3" t="s">
        <v>25150</v>
      </c>
      <c r="C4803" s="3" t="s">
        <v>31</v>
      </c>
      <c r="D4803" s="3" t="s">
        <v>175</v>
      </c>
      <c r="E4803" s="4" t="s">
        <v>22</v>
      </c>
      <c r="F4803" s="4" t="s">
        <v>25151</v>
      </c>
      <c r="G4803" s="4" t="s">
        <v>25152</v>
      </c>
      <c r="H4803" s="3" t="s">
        <v>23629</v>
      </c>
      <c r="I4803" s="3" t="s">
        <v>25153</v>
      </c>
      <c r="J4803" s="3" t="s">
        <v>25154</v>
      </c>
      <c r="K4803" s="3" t="s">
        <v>25155</v>
      </c>
      <c r="L4803" s="3" t="s">
        <v>25156</v>
      </c>
      <c r="M4803" s="4" t="s">
        <v>25157</v>
      </c>
      <c r="N4803" s="3" t="s">
        <v>37</v>
      </c>
      <c r="O4803" s="3" t="s">
        <v>38</v>
      </c>
      <c r="P4803" s="5">
        <v>6</v>
      </c>
      <c r="Q4803" s="5">
        <v>41</v>
      </c>
      <c r="R4803" s="5">
        <v>7</v>
      </c>
      <c r="S4803" s="5">
        <v>54</v>
      </c>
    </row>
    <row r="4804" spans="1:19" ht="42" x14ac:dyDescent="0.15">
      <c r="A4804" s="2">
        <f>HYPERLINK("https://open-school.uspishnemisto.com.ua/school/230308/", 230308)</f>
        <v>230308</v>
      </c>
      <c r="B4804" s="3" t="s">
        <v>25158</v>
      </c>
      <c r="C4804" s="3" t="s">
        <v>54</v>
      </c>
      <c r="D4804" s="3" t="s">
        <v>32</v>
      </c>
      <c r="E4804" s="4" t="s">
        <v>22</v>
      </c>
      <c r="F4804" s="4" t="s">
        <v>25159</v>
      </c>
      <c r="G4804" s="4" t="s">
        <v>25160</v>
      </c>
      <c r="H4804" s="3" t="s">
        <v>23629</v>
      </c>
      <c r="I4804" s="3" t="s">
        <v>2096</v>
      </c>
      <c r="J4804" s="3" t="s">
        <v>25161</v>
      </c>
      <c r="K4804" s="3" t="s">
        <v>25162</v>
      </c>
      <c r="L4804" s="3" t="s">
        <v>25163</v>
      </c>
      <c r="M4804" s="4" t="s">
        <v>25164</v>
      </c>
      <c r="N4804" s="3" t="s">
        <v>37</v>
      </c>
      <c r="O4804" s="3" t="s">
        <v>38</v>
      </c>
      <c r="P4804" s="5">
        <v>11</v>
      </c>
      <c r="Q4804" s="5">
        <v>132</v>
      </c>
      <c r="R4804" s="5">
        <v>11</v>
      </c>
      <c r="S4804" s="5">
        <v>137</v>
      </c>
    </row>
    <row r="4805" spans="1:19" ht="28" x14ac:dyDescent="0.15">
      <c r="A4805" s="2">
        <f>HYPERLINK("https://open-school.uspishnemisto.com.ua/school/230309/", 230309)</f>
        <v>230309</v>
      </c>
      <c r="B4805" s="3" t="s">
        <v>25165</v>
      </c>
      <c r="C4805" s="3" t="s">
        <v>31</v>
      </c>
      <c r="D4805" s="3" t="s">
        <v>32</v>
      </c>
      <c r="E4805" s="4" t="s">
        <v>22</v>
      </c>
      <c r="F4805" s="4" t="s">
        <v>25166</v>
      </c>
      <c r="G4805" s="4" t="s">
        <v>25167</v>
      </c>
      <c r="H4805" s="3" t="s">
        <v>23629</v>
      </c>
      <c r="I4805" s="3" t="s">
        <v>25168</v>
      </c>
      <c r="J4805" s="3" t="s">
        <v>25169</v>
      </c>
      <c r="K4805" s="3" t="s">
        <v>25170</v>
      </c>
      <c r="L4805" s="3" t="s">
        <v>25171</v>
      </c>
      <c r="M4805" s="4" t="s">
        <v>25172</v>
      </c>
      <c r="N4805" s="3" t="s">
        <v>37</v>
      </c>
      <c r="O4805" s="3" t="s">
        <v>70</v>
      </c>
      <c r="P4805" s="5">
        <v>11</v>
      </c>
      <c r="Q4805" s="5">
        <v>149</v>
      </c>
      <c r="R4805" s="5">
        <v>11</v>
      </c>
      <c r="S4805" s="5">
        <v>161</v>
      </c>
    </row>
    <row r="4806" spans="1:19" ht="28" x14ac:dyDescent="0.15">
      <c r="A4806" s="2">
        <f>HYPERLINK("https://open-school.uspishnemisto.com.ua/school/230310/", 230310)</f>
        <v>230310</v>
      </c>
      <c r="B4806" s="3" t="s">
        <v>25173</v>
      </c>
      <c r="C4806" s="3" t="s">
        <v>54</v>
      </c>
      <c r="D4806" s="3" t="s">
        <v>32</v>
      </c>
      <c r="E4806" s="4" t="s">
        <v>22</v>
      </c>
      <c r="F4806" s="4" t="s">
        <v>25174</v>
      </c>
      <c r="G4806" s="4" t="s">
        <v>25175</v>
      </c>
      <c r="H4806" s="3" t="s">
        <v>23629</v>
      </c>
      <c r="I4806" s="3" t="s">
        <v>25176</v>
      </c>
      <c r="J4806" s="3" t="s">
        <v>2826</v>
      </c>
      <c r="K4806" s="3" t="s">
        <v>25177</v>
      </c>
      <c r="L4806" s="3" t="s">
        <v>25178</v>
      </c>
      <c r="M4806" s="4" t="s">
        <v>25179</v>
      </c>
      <c r="N4806" s="3" t="s">
        <v>37</v>
      </c>
      <c r="O4806" s="3" t="s">
        <v>112</v>
      </c>
      <c r="P4806" s="5">
        <v>7</v>
      </c>
      <c r="Q4806" s="5">
        <v>60</v>
      </c>
      <c r="R4806" s="5">
        <v>9</v>
      </c>
      <c r="S4806" s="5">
        <v>69</v>
      </c>
    </row>
    <row r="4807" spans="1:19" ht="28" x14ac:dyDescent="0.15">
      <c r="A4807" s="2">
        <f>HYPERLINK("https://open-school.uspishnemisto.com.ua/school/230311/", 230311)</f>
        <v>230311</v>
      </c>
      <c r="B4807" s="3" t="s">
        <v>25180</v>
      </c>
      <c r="C4807" s="3" t="s">
        <v>54</v>
      </c>
      <c r="D4807" s="3" t="s">
        <v>32</v>
      </c>
      <c r="E4807" s="4" t="s">
        <v>22</v>
      </c>
      <c r="F4807" s="4" t="s">
        <v>25181</v>
      </c>
      <c r="G4807" s="4" t="s">
        <v>25182</v>
      </c>
      <c r="H4807" s="3" t="s">
        <v>23629</v>
      </c>
      <c r="I4807" s="3" t="s">
        <v>25183</v>
      </c>
      <c r="J4807" s="3" t="s">
        <v>2434</v>
      </c>
      <c r="K4807" s="3" t="s">
        <v>25184</v>
      </c>
      <c r="L4807" s="3" t="s">
        <v>25185</v>
      </c>
      <c r="M4807" s="4" t="s">
        <v>25186</v>
      </c>
      <c r="N4807" s="3" t="s">
        <v>37</v>
      </c>
      <c r="O4807" s="3" t="s">
        <v>721</v>
      </c>
      <c r="P4807" s="5">
        <v>11</v>
      </c>
      <c r="Q4807" s="5">
        <v>92</v>
      </c>
      <c r="R4807" s="5">
        <v>11</v>
      </c>
      <c r="S4807" s="5">
        <v>88</v>
      </c>
    </row>
    <row r="4808" spans="1:19" ht="28" x14ac:dyDescent="0.15">
      <c r="A4808" s="2">
        <f>HYPERLINK("https://open-school.uspishnemisto.com.ua/school/230312/", 230312)</f>
        <v>230312</v>
      </c>
      <c r="B4808" s="3" t="s">
        <v>25187</v>
      </c>
      <c r="C4808" s="3" t="s">
        <v>54</v>
      </c>
      <c r="D4808" s="3" t="s">
        <v>175</v>
      </c>
      <c r="E4808" s="4" t="s">
        <v>22</v>
      </c>
      <c r="F4808" s="4" t="s">
        <v>25188</v>
      </c>
      <c r="G4808" s="4" t="s">
        <v>25189</v>
      </c>
      <c r="H4808" s="3" t="s">
        <v>23629</v>
      </c>
      <c r="I4808" s="3" t="s">
        <v>13182</v>
      </c>
      <c r="J4808" s="3" t="s">
        <v>25190</v>
      </c>
      <c r="K4808" s="3" t="s">
        <v>25191</v>
      </c>
      <c r="L4808" s="3" t="s">
        <v>25192</v>
      </c>
      <c r="M4808" s="4" t="s">
        <v>25193</v>
      </c>
      <c r="N4808" s="3" t="s">
        <v>37</v>
      </c>
      <c r="O4808" s="3" t="s">
        <v>112</v>
      </c>
      <c r="P4808" s="5">
        <v>8</v>
      </c>
      <c r="Q4808" s="5">
        <v>87</v>
      </c>
      <c r="R4808" s="5">
        <v>8</v>
      </c>
      <c r="S4808" s="5">
        <v>83</v>
      </c>
    </row>
    <row r="4809" spans="1:19" ht="28" x14ac:dyDescent="0.15">
      <c r="A4809" s="2">
        <f>HYPERLINK("https://open-school.uspishnemisto.com.ua/school/230313/", 230313)</f>
        <v>230313</v>
      </c>
      <c r="B4809" s="3" t="s">
        <v>25194</v>
      </c>
      <c r="C4809" s="3" t="s">
        <v>31</v>
      </c>
      <c r="D4809" s="3" t="s">
        <v>32</v>
      </c>
      <c r="E4809" s="4" t="s">
        <v>22</v>
      </c>
      <c r="F4809" s="4" t="s">
        <v>25195</v>
      </c>
      <c r="G4809" s="4" t="s">
        <v>25196</v>
      </c>
      <c r="H4809" s="3" t="s">
        <v>23629</v>
      </c>
      <c r="I4809" s="3" t="s">
        <v>25197</v>
      </c>
      <c r="J4809" s="3" t="s">
        <v>2136</v>
      </c>
      <c r="K4809" s="3" t="s">
        <v>25198</v>
      </c>
      <c r="L4809" s="3" t="s">
        <v>25199</v>
      </c>
      <c r="M4809" s="4" t="s">
        <v>25200</v>
      </c>
      <c r="N4809" s="3" t="s">
        <v>37</v>
      </c>
      <c r="O4809" s="3" t="s">
        <v>38</v>
      </c>
      <c r="P4809" s="5">
        <v>11</v>
      </c>
      <c r="Q4809" s="5">
        <v>200</v>
      </c>
      <c r="R4809" s="5">
        <v>11</v>
      </c>
      <c r="S4809" s="5">
        <v>205</v>
      </c>
    </row>
    <row r="4810" spans="1:19" ht="28" x14ac:dyDescent="0.15">
      <c r="A4810" s="2">
        <f>HYPERLINK("https://open-school.uspishnemisto.com.ua/school/230314/", 230314)</f>
        <v>230314</v>
      </c>
      <c r="B4810" s="3" t="s">
        <v>25201</v>
      </c>
      <c r="C4810" s="3" t="s">
        <v>54</v>
      </c>
      <c r="D4810" s="3" t="s">
        <v>32</v>
      </c>
      <c r="E4810" s="4" t="s">
        <v>22</v>
      </c>
      <c r="F4810" s="4" t="s">
        <v>25202</v>
      </c>
      <c r="G4810" s="4" t="s">
        <v>25203</v>
      </c>
      <c r="H4810" s="3" t="s">
        <v>23629</v>
      </c>
      <c r="I4810" s="3" t="s">
        <v>13072</v>
      </c>
      <c r="J4810" s="3" t="s">
        <v>5632</v>
      </c>
      <c r="K4810" s="3" t="s">
        <v>25204</v>
      </c>
      <c r="L4810" s="3" t="s">
        <v>25205</v>
      </c>
      <c r="M4810" s="4" t="s">
        <v>25206</v>
      </c>
      <c r="N4810" s="3" t="s">
        <v>37</v>
      </c>
      <c r="O4810" s="3" t="s">
        <v>38</v>
      </c>
      <c r="P4810" s="5">
        <v>8</v>
      </c>
      <c r="Q4810" s="5">
        <v>92</v>
      </c>
      <c r="R4810" s="5">
        <v>9</v>
      </c>
      <c r="S4810" s="5">
        <v>98</v>
      </c>
    </row>
    <row r="4811" spans="1:19" ht="28" x14ac:dyDescent="0.15">
      <c r="A4811" s="2">
        <f>HYPERLINK("https://open-school.uspishnemisto.com.ua/school/230315/", 230315)</f>
        <v>230315</v>
      </c>
      <c r="B4811" s="3" t="s">
        <v>25207</v>
      </c>
      <c r="C4811" s="3" t="s">
        <v>54</v>
      </c>
      <c r="D4811" s="3" t="s">
        <v>32</v>
      </c>
      <c r="E4811" s="4" t="s">
        <v>22</v>
      </c>
      <c r="F4811" s="4" t="s">
        <v>25208</v>
      </c>
      <c r="G4811" s="4" t="s">
        <v>25209</v>
      </c>
      <c r="H4811" s="3" t="s">
        <v>23629</v>
      </c>
      <c r="I4811" s="3" t="s">
        <v>12922</v>
      </c>
      <c r="J4811" s="3" t="s">
        <v>25210</v>
      </c>
      <c r="K4811" s="3" t="s">
        <v>25211</v>
      </c>
      <c r="L4811" s="3" t="s">
        <v>25212</v>
      </c>
      <c r="M4811" s="4" t="s">
        <v>25213</v>
      </c>
      <c r="N4811" s="3" t="s">
        <v>37</v>
      </c>
      <c r="O4811" s="3" t="s">
        <v>38</v>
      </c>
      <c r="P4811" s="5">
        <v>10</v>
      </c>
      <c r="Q4811" s="5">
        <v>123</v>
      </c>
      <c r="R4811" s="5">
        <v>10</v>
      </c>
      <c r="S4811" s="5">
        <v>124</v>
      </c>
    </row>
    <row r="4812" spans="1:19" ht="28" x14ac:dyDescent="0.15">
      <c r="A4812" s="2">
        <f>HYPERLINK("https://open-school.uspishnemisto.com.ua/school/230316/", 230316)</f>
        <v>230316</v>
      </c>
      <c r="B4812" s="3" t="s">
        <v>25214</v>
      </c>
      <c r="C4812" s="3" t="s">
        <v>54</v>
      </c>
      <c r="D4812" s="3" t="s">
        <v>32</v>
      </c>
      <c r="E4812" s="4" t="s">
        <v>22</v>
      </c>
      <c r="F4812" s="4" t="s">
        <v>25215</v>
      </c>
      <c r="G4812" s="4" t="s">
        <v>25216</v>
      </c>
      <c r="H4812" s="3" t="s">
        <v>23629</v>
      </c>
      <c r="I4812" s="3" t="s">
        <v>753</v>
      </c>
      <c r="J4812" s="3" t="s">
        <v>25217</v>
      </c>
      <c r="K4812" s="3" t="s">
        <v>25218</v>
      </c>
      <c r="L4812" s="3" t="s">
        <v>25219</v>
      </c>
      <c r="M4812" s="4" t="s">
        <v>25220</v>
      </c>
      <c r="N4812" s="3" t="s">
        <v>37</v>
      </c>
      <c r="O4812" s="3" t="s">
        <v>38</v>
      </c>
      <c r="P4812" s="5">
        <v>9</v>
      </c>
      <c r="Q4812" s="5">
        <v>85</v>
      </c>
      <c r="R4812" s="5">
        <v>9</v>
      </c>
      <c r="S4812" s="5">
        <v>86</v>
      </c>
    </row>
    <row r="4813" spans="1:19" ht="56" x14ac:dyDescent="0.15">
      <c r="A4813" s="2">
        <f>HYPERLINK("https://open-school.uspishnemisto.com.ua/school/230317/", 230317)</f>
        <v>230317</v>
      </c>
      <c r="B4813" s="3" t="s">
        <v>25221</v>
      </c>
      <c r="C4813" s="3" t="s">
        <v>31</v>
      </c>
      <c r="D4813" s="3" t="s">
        <v>32</v>
      </c>
      <c r="E4813" s="4" t="s">
        <v>22</v>
      </c>
      <c r="F4813" s="4" t="s">
        <v>25222</v>
      </c>
      <c r="G4813" s="4" t="s">
        <v>25223</v>
      </c>
      <c r="H4813" s="3" t="s">
        <v>23629</v>
      </c>
      <c r="I4813" s="3" t="s">
        <v>11532</v>
      </c>
      <c r="J4813" s="3" t="s">
        <v>25224</v>
      </c>
      <c r="K4813" s="3" t="s">
        <v>25225</v>
      </c>
      <c r="L4813" s="3" t="s">
        <v>25226</v>
      </c>
      <c r="M4813" s="4" t="s">
        <v>25227</v>
      </c>
      <c r="N4813" s="3" t="s">
        <v>37</v>
      </c>
      <c r="O4813" s="3" t="s">
        <v>197</v>
      </c>
      <c r="P4813" s="5">
        <v>23</v>
      </c>
      <c r="Q4813" s="5">
        <v>640</v>
      </c>
      <c r="R4813" s="5">
        <v>23</v>
      </c>
      <c r="S4813" s="5">
        <v>627</v>
      </c>
    </row>
    <row r="4814" spans="1:19" ht="28" x14ac:dyDescent="0.15">
      <c r="A4814" s="2">
        <f>HYPERLINK("https://open-school.uspishnemisto.com.ua/school/230318/", 230318)</f>
        <v>230318</v>
      </c>
      <c r="B4814" s="3" t="s">
        <v>25228</v>
      </c>
      <c r="C4814" s="3" t="s">
        <v>31</v>
      </c>
      <c r="D4814" s="3" t="s">
        <v>32</v>
      </c>
      <c r="E4814" s="4" t="s">
        <v>22</v>
      </c>
      <c r="F4814" s="4" t="s">
        <v>25229</v>
      </c>
      <c r="G4814" s="4" t="s">
        <v>25223</v>
      </c>
      <c r="H4814" s="3" t="s">
        <v>23629</v>
      </c>
      <c r="I4814" s="3" t="s">
        <v>11532</v>
      </c>
      <c r="J4814" s="3" t="s">
        <v>25230</v>
      </c>
      <c r="K4814" s="3" t="s">
        <v>25231</v>
      </c>
      <c r="L4814" s="3" t="s">
        <v>25232</v>
      </c>
      <c r="M4814" s="4" t="s">
        <v>25233</v>
      </c>
      <c r="N4814" s="3" t="s">
        <v>37</v>
      </c>
      <c r="O4814" s="3" t="s">
        <v>38</v>
      </c>
      <c r="P4814" s="5">
        <v>11</v>
      </c>
      <c r="Q4814" s="5">
        <v>149</v>
      </c>
      <c r="R4814" s="5">
        <v>10</v>
      </c>
      <c r="S4814" s="5">
        <v>137</v>
      </c>
    </row>
    <row r="4815" spans="1:19" ht="42" x14ac:dyDescent="0.15">
      <c r="A4815" s="2">
        <f>HYPERLINK("https://open-school.uspishnemisto.com.ua/school/230319/", 230319)</f>
        <v>230319</v>
      </c>
      <c r="B4815" s="3" t="s">
        <v>25234</v>
      </c>
      <c r="C4815" s="3" t="s">
        <v>244</v>
      </c>
      <c r="D4815" s="3" t="s">
        <v>32</v>
      </c>
      <c r="E4815" s="4" t="s">
        <v>22</v>
      </c>
      <c r="F4815" s="4" t="s">
        <v>25222</v>
      </c>
      <c r="G4815" s="4" t="s">
        <v>25223</v>
      </c>
      <c r="H4815" s="3" t="s">
        <v>23629</v>
      </c>
      <c r="I4815" s="3" t="s">
        <v>11532</v>
      </c>
      <c r="J4815" s="3" t="s">
        <v>25235</v>
      </c>
      <c r="K4815" s="3" t="s">
        <v>25236</v>
      </c>
      <c r="L4815" s="3" t="s">
        <v>25237</v>
      </c>
      <c r="M4815" s="4" t="s">
        <v>25238</v>
      </c>
      <c r="N4815" s="3" t="s">
        <v>37</v>
      </c>
      <c r="O4815" s="3" t="s">
        <v>70</v>
      </c>
      <c r="P4815" s="5">
        <v>11</v>
      </c>
      <c r="Q4815" s="5">
        <v>211</v>
      </c>
      <c r="R4815" s="5">
        <v>12</v>
      </c>
      <c r="S4815" s="5">
        <v>214</v>
      </c>
    </row>
    <row r="4816" spans="1:19" ht="42" x14ac:dyDescent="0.15">
      <c r="A4816" s="2">
        <f>HYPERLINK("https://open-school.uspishnemisto.com.ua/school/230320/", 230320)</f>
        <v>230320</v>
      </c>
      <c r="B4816" s="3" t="s">
        <v>25239</v>
      </c>
      <c r="C4816" s="3" t="s">
        <v>2128</v>
      </c>
      <c r="D4816" s="3" t="s">
        <v>32</v>
      </c>
      <c r="E4816" s="4" t="s">
        <v>22</v>
      </c>
      <c r="F4816" s="4" t="s">
        <v>25222</v>
      </c>
      <c r="G4816" s="4" t="s">
        <v>25223</v>
      </c>
      <c r="H4816" s="3" t="s">
        <v>23629</v>
      </c>
      <c r="I4816" s="3" t="s">
        <v>11532</v>
      </c>
      <c r="J4816" s="3" t="s">
        <v>25240</v>
      </c>
      <c r="K4816" s="3" t="s">
        <v>25241</v>
      </c>
      <c r="L4816" s="3" t="s">
        <v>25242</v>
      </c>
      <c r="M4816" s="4" t="s">
        <v>25243</v>
      </c>
      <c r="N4816" s="3" t="s">
        <v>37</v>
      </c>
      <c r="O4816" s="3" t="s">
        <v>197</v>
      </c>
      <c r="P4816" s="5">
        <v>22</v>
      </c>
      <c r="Q4816" s="5">
        <v>492</v>
      </c>
      <c r="R4816" s="5">
        <v>21</v>
      </c>
      <c r="S4816" s="5">
        <v>487</v>
      </c>
    </row>
    <row r="4817" spans="1:19" ht="42" x14ac:dyDescent="0.15">
      <c r="A4817" s="2">
        <f>HYPERLINK("https://open-school.uspishnemisto.com.ua/school/230321/", 230321)</f>
        <v>230321</v>
      </c>
      <c r="B4817" s="3" t="s">
        <v>25244</v>
      </c>
      <c r="C4817" s="3" t="s">
        <v>181</v>
      </c>
      <c r="D4817" s="3" t="s">
        <v>175</v>
      </c>
      <c r="E4817" s="4" t="s">
        <v>22</v>
      </c>
      <c r="F4817" s="4" t="s">
        <v>25245</v>
      </c>
      <c r="G4817" s="4" t="s">
        <v>25246</v>
      </c>
      <c r="H4817" s="3" t="s">
        <v>23629</v>
      </c>
      <c r="I4817" s="3" t="s">
        <v>25247</v>
      </c>
      <c r="J4817" s="3" t="s">
        <v>25248</v>
      </c>
      <c r="K4817" s="3" t="s">
        <v>25249</v>
      </c>
      <c r="L4817" s="3" t="s">
        <v>25250</v>
      </c>
      <c r="M4817" s="4" t="s">
        <v>25251</v>
      </c>
      <c r="N4817" s="3" t="s">
        <v>37</v>
      </c>
      <c r="O4817" s="3" t="s">
        <v>38</v>
      </c>
      <c r="P4817" s="5">
        <v>20</v>
      </c>
      <c r="Q4817" s="5">
        <v>210</v>
      </c>
      <c r="R4817" s="5">
        <v>19</v>
      </c>
      <c r="S4817" s="5">
        <v>205</v>
      </c>
    </row>
    <row r="4818" spans="1:19" ht="28" x14ac:dyDescent="0.15">
      <c r="A4818" s="2">
        <f>HYPERLINK("https://open-school.uspishnemisto.com.ua/school/230322/", 230322)</f>
        <v>230322</v>
      </c>
      <c r="B4818" s="3" t="s">
        <v>25252</v>
      </c>
      <c r="C4818" s="3" t="s">
        <v>31</v>
      </c>
      <c r="D4818" s="3" t="s">
        <v>175</v>
      </c>
      <c r="E4818" s="4" t="s">
        <v>22</v>
      </c>
      <c r="F4818" s="4" t="s">
        <v>25245</v>
      </c>
      <c r="G4818" s="4" t="s">
        <v>25246</v>
      </c>
      <c r="H4818" s="3" t="s">
        <v>23629</v>
      </c>
      <c r="I4818" s="3" t="s">
        <v>25247</v>
      </c>
      <c r="J4818" s="3" t="s">
        <v>1636</v>
      </c>
      <c r="K4818" s="3" t="s">
        <v>25253</v>
      </c>
      <c r="L4818" s="3" t="s">
        <v>25254</v>
      </c>
      <c r="M4818" s="4" t="s">
        <v>25255</v>
      </c>
      <c r="N4818" s="3" t="s">
        <v>37</v>
      </c>
      <c r="O4818" s="3" t="s">
        <v>38</v>
      </c>
      <c r="P4818" s="5">
        <v>9</v>
      </c>
      <c r="Q4818" s="5">
        <v>83</v>
      </c>
      <c r="R4818" s="5">
        <v>9</v>
      </c>
      <c r="S4818" s="5">
        <v>82</v>
      </c>
    </row>
    <row r="4819" spans="1:19" ht="28" x14ac:dyDescent="0.15">
      <c r="A4819" s="2">
        <f>HYPERLINK("https://open-school.uspishnemisto.com.ua/school/230323/", 230323)</f>
        <v>230323</v>
      </c>
      <c r="B4819" s="3" t="s">
        <v>25256</v>
      </c>
      <c r="C4819" s="3" t="s">
        <v>31</v>
      </c>
      <c r="D4819" s="3" t="s">
        <v>32</v>
      </c>
      <c r="E4819" s="4" t="s">
        <v>22</v>
      </c>
      <c r="F4819" s="4" t="s">
        <v>25257</v>
      </c>
      <c r="G4819" s="4" t="s">
        <v>25258</v>
      </c>
      <c r="H4819" s="3" t="s">
        <v>23629</v>
      </c>
      <c r="I4819" s="3" t="s">
        <v>25259</v>
      </c>
      <c r="J4819" s="3" t="s">
        <v>25260</v>
      </c>
      <c r="K4819" s="3" t="s">
        <v>25261</v>
      </c>
      <c r="L4819" s="3" t="s">
        <v>25262</v>
      </c>
      <c r="M4819" s="4" t="s">
        <v>25263</v>
      </c>
      <c r="N4819" s="3" t="s">
        <v>37</v>
      </c>
      <c r="O4819" s="3" t="s">
        <v>38</v>
      </c>
      <c r="P4819" s="5">
        <v>11</v>
      </c>
      <c r="Q4819" s="5">
        <v>120</v>
      </c>
      <c r="R4819" s="5">
        <v>11</v>
      </c>
      <c r="S4819" s="5">
        <v>111</v>
      </c>
    </row>
    <row r="4820" spans="1:19" ht="28" x14ac:dyDescent="0.15">
      <c r="A4820" s="2">
        <f>HYPERLINK("https://open-school.uspishnemisto.com.ua/school/230324/", 230324)</f>
        <v>230324</v>
      </c>
      <c r="B4820" s="3" t="s">
        <v>25264</v>
      </c>
      <c r="C4820" s="3" t="s">
        <v>31</v>
      </c>
      <c r="D4820" s="3" t="s">
        <v>32</v>
      </c>
      <c r="E4820" s="4" t="s">
        <v>22</v>
      </c>
      <c r="F4820" s="4" t="s">
        <v>25265</v>
      </c>
      <c r="G4820" s="4" t="s">
        <v>25266</v>
      </c>
      <c r="H4820" s="3" t="s">
        <v>23629</v>
      </c>
      <c r="I4820" s="3" t="s">
        <v>25267</v>
      </c>
      <c r="J4820" s="3" t="s">
        <v>25268</v>
      </c>
      <c r="K4820" s="3" t="s">
        <v>25269</v>
      </c>
      <c r="L4820" s="3" t="s">
        <v>25270</v>
      </c>
      <c r="M4820" s="4" t="s">
        <v>25271</v>
      </c>
      <c r="N4820" s="3" t="s">
        <v>37</v>
      </c>
      <c r="O4820" s="3" t="s">
        <v>38</v>
      </c>
      <c r="P4820" s="5">
        <v>10</v>
      </c>
      <c r="Q4820" s="5">
        <v>101</v>
      </c>
      <c r="R4820" s="5">
        <v>9</v>
      </c>
      <c r="S4820" s="5">
        <v>96</v>
      </c>
    </row>
    <row r="4821" spans="1:19" ht="28" x14ac:dyDescent="0.15">
      <c r="A4821" s="2">
        <f>HYPERLINK("https://open-school.uspishnemisto.com.ua/school/230325/", 230325)</f>
        <v>230325</v>
      </c>
      <c r="B4821" s="3" t="s">
        <v>25272</v>
      </c>
      <c r="C4821" s="3" t="s">
        <v>31</v>
      </c>
      <c r="D4821" s="3" t="s">
        <v>32</v>
      </c>
      <c r="E4821" s="4" t="s">
        <v>22</v>
      </c>
      <c r="F4821" s="4" t="s">
        <v>25273</v>
      </c>
      <c r="G4821" s="4" t="s">
        <v>25274</v>
      </c>
      <c r="H4821" s="3" t="s">
        <v>23629</v>
      </c>
      <c r="I4821" s="3" t="s">
        <v>13794</v>
      </c>
      <c r="J4821" s="3" t="s">
        <v>25275</v>
      </c>
      <c r="K4821" s="3" t="s">
        <v>25276</v>
      </c>
      <c r="L4821" s="3" t="s">
        <v>25277</v>
      </c>
      <c r="M4821" s="4" t="s">
        <v>25278</v>
      </c>
      <c r="N4821" s="3" t="s">
        <v>37</v>
      </c>
      <c r="O4821" s="3" t="s">
        <v>38</v>
      </c>
      <c r="P4821" s="5">
        <v>10</v>
      </c>
      <c r="Q4821" s="5">
        <v>73</v>
      </c>
      <c r="R4821" s="5">
        <v>10</v>
      </c>
      <c r="S4821" s="5">
        <v>72</v>
      </c>
    </row>
    <row r="4822" spans="1:19" ht="28" x14ac:dyDescent="0.15">
      <c r="A4822" s="2">
        <f>HYPERLINK("https://open-school.uspishnemisto.com.ua/school/230326/", 230326)</f>
        <v>230326</v>
      </c>
      <c r="B4822" s="3" t="s">
        <v>25279</v>
      </c>
      <c r="C4822" s="3" t="s">
        <v>31</v>
      </c>
      <c r="D4822" s="3" t="s">
        <v>32</v>
      </c>
      <c r="E4822" s="4" t="s">
        <v>22</v>
      </c>
      <c r="F4822" s="4" t="s">
        <v>25280</v>
      </c>
      <c r="G4822" s="4" t="s">
        <v>25281</v>
      </c>
      <c r="H4822" s="3" t="s">
        <v>23629</v>
      </c>
      <c r="I4822" s="3" t="s">
        <v>5544</v>
      </c>
      <c r="J4822" s="3" t="s">
        <v>634</v>
      </c>
      <c r="K4822" s="3" t="s">
        <v>25282</v>
      </c>
      <c r="L4822" s="3" t="s">
        <v>25283</v>
      </c>
      <c r="M4822" s="4" t="s">
        <v>25284</v>
      </c>
      <c r="N4822" s="3" t="s">
        <v>37</v>
      </c>
      <c r="O4822" s="3" t="s">
        <v>38</v>
      </c>
      <c r="P4822" s="5">
        <v>3</v>
      </c>
      <c r="Q4822" s="5">
        <v>36</v>
      </c>
      <c r="R4822" s="5">
        <v>3</v>
      </c>
      <c r="S4822" s="5">
        <v>38</v>
      </c>
    </row>
    <row r="4823" spans="1:19" ht="28" x14ac:dyDescent="0.15">
      <c r="A4823" s="2">
        <f>HYPERLINK("https://open-school.uspishnemisto.com.ua/school/230327/", 230327)</f>
        <v>230327</v>
      </c>
      <c r="B4823" s="3" t="s">
        <v>25285</v>
      </c>
      <c r="C4823" s="3" t="s">
        <v>31</v>
      </c>
      <c r="D4823" s="3" t="s">
        <v>32</v>
      </c>
      <c r="E4823" s="4" t="s">
        <v>22</v>
      </c>
      <c r="F4823" s="4" t="s">
        <v>25286</v>
      </c>
      <c r="G4823" s="4" t="s">
        <v>25287</v>
      </c>
      <c r="H4823" s="3" t="s">
        <v>23629</v>
      </c>
      <c r="I4823" s="3" t="s">
        <v>25288</v>
      </c>
      <c r="J4823" s="3" t="s">
        <v>25289</v>
      </c>
      <c r="K4823" s="3" t="s">
        <v>25290</v>
      </c>
      <c r="L4823" s="3" t="s">
        <v>25291</v>
      </c>
      <c r="M4823" s="4" t="s">
        <v>25292</v>
      </c>
      <c r="N4823" s="3" t="s">
        <v>37</v>
      </c>
      <c r="O4823" s="3" t="s">
        <v>38</v>
      </c>
      <c r="P4823" s="5">
        <v>8</v>
      </c>
      <c r="Q4823" s="5">
        <v>67</v>
      </c>
      <c r="R4823" s="5">
        <v>8</v>
      </c>
      <c r="S4823" s="5">
        <v>65</v>
      </c>
    </row>
    <row r="4824" spans="1:19" ht="28" x14ac:dyDescent="0.15">
      <c r="A4824" s="2">
        <f>HYPERLINK("https://open-school.uspishnemisto.com.ua/school/230328/", 230328)</f>
        <v>230328</v>
      </c>
      <c r="B4824" s="3" t="s">
        <v>25293</v>
      </c>
      <c r="C4824" s="3" t="s">
        <v>31</v>
      </c>
      <c r="D4824" s="3" t="s">
        <v>32</v>
      </c>
      <c r="E4824" s="4" t="s">
        <v>22</v>
      </c>
      <c r="F4824" s="4" t="s">
        <v>25294</v>
      </c>
      <c r="G4824" s="4" t="s">
        <v>25295</v>
      </c>
      <c r="H4824" s="3" t="s">
        <v>23629</v>
      </c>
      <c r="I4824" s="3" t="s">
        <v>11256</v>
      </c>
      <c r="J4824" s="3" t="s">
        <v>25296</v>
      </c>
      <c r="K4824" s="3" t="s">
        <v>25297</v>
      </c>
      <c r="L4824" s="3"/>
      <c r="M4824" s="4" t="s">
        <v>25298</v>
      </c>
      <c r="N4824" s="3" t="s">
        <v>37</v>
      </c>
      <c r="O4824" s="3" t="s">
        <v>38</v>
      </c>
      <c r="P4824" s="5">
        <v>6</v>
      </c>
      <c r="Q4824" s="5">
        <v>57</v>
      </c>
      <c r="R4824" s="5">
        <v>7</v>
      </c>
      <c r="S4824" s="5">
        <v>57</v>
      </c>
    </row>
    <row r="4825" spans="1:19" ht="28" x14ac:dyDescent="0.15">
      <c r="A4825" s="2">
        <f>HYPERLINK("https://open-school.uspishnemisto.com.ua/school/230329/", 230329)</f>
        <v>230329</v>
      </c>
      <c r="B4825" s="3" t="s">
        <v>25299</v>
      </c>
      <c r="C4825" s="3" t="s">
        <v>31</v>
      </c>
      <c r="D4825" s="3" t="s">
        <v>32</v>
      </c>
      <c r="E4825" s="4" t="s">
        <v>22</v>
      </c>
      <c r="F4825" s="4" t="s">
        <v>25300</v>
      </c>
      <c r="G4825" s="4" t="s">
        <v>25301</v>
      </c>
      <c r="H4825" s="3" t="s">
        <v>23629</v>
      </c>
      <c r="I4825" s="3" t="s">
        <v>2359</v>
      </c>
      <c r="J4825" s="3" t="s">
        <v>25302</v>
      </c>
      <c r="K4825" s="3" t="s">
        <v>25303</v>
      </c>
      <c r="L4825" s="3" t="s">
        <v>25304</v>
      </c>
      <c r="M4825" s="4" t="s">
        <v>25305</v>
      </c>
      <c r="N4825" s="3" t="s">
        <v>37</v>
      </c>
      <c r="O4825" s="3" t="s">
        <v>38</v>
      </c>
      <c r="P4825" s="5">
        <v>9</v>
      </c>
      <c r="Q4825" s="5">
        <v>66</v>
      </c>
      <c r="R4825" s="5">
        <v>7</v>
      </c>
      <c r="S4825" s="5">
        <v>60</v>
      </c>
    </row>
    <row r="4826" spans="1:19" ht="28" x14ac:dyDescent="0.15">
      <c r="A4826" s="2">
        <f>HYPERLINK("https://open-school.uspishnemisto.com.ua/school/230330/", 230330)</f>
        <v>230330</v>
      </c>
      <c r="B4826" s="3" t="s">
        <v>25306</v>
      </c>
      <c r="C4826" s="3" t="s">
        <v>31</v>
      </c>
      <c r="D4826" s="3" t="s">
        <v>32</v>
      </c>
      <c r="E4826" s="4" t="s">
        <v>22</v>
      </c>
      <c r="F4826" s="4" t="s">
        <v>25307</v>
      </c>
      <c r="G4826" s="4" t="s">
        <v>25308</v>
      </c>
      <c r="H4826" s="3" t="s">
        <v>23629</v>
      </c>
      <c r="I4826" s="3" t="s">
        <v>1889</v>
      </c>
      <c r="J4826" s="3" t="s">
        <v>17470</v>
      </c>
      <c r="K4826" s="3" t="s">
        <v>25309</v>
      </c>
      <c r="L4826" s="3" t="s">
        <v>25310</v>
      </c>
      <c r="M4826" s="4" t="s">
        <v>25311</v>
      </c>
      <c r="N4826" s="3" t="s">
        <v>37</v>
      </c>
      <c r="O4826" s="3" t="s">
        <v>38</v>
      </c>
      <c r="P4826" s="5">
        <v>5</v>
      </c>
      <c r="Q4826" s="5">
        <v>39</v>
      </c>
      <c r="R4826" s="5">
        <v>6</v>
      </c>
      <c r="S4826" s="5">
        <v>45</v>
      </c>
    </row>
    <row r="4827" spans="1:19" ht="28" x14ac:dyDescent="0.15">
      <c r="A4827" s="2">
        <f>HYPERLINK("https://open-school.uspishnemisto.com.ua/school/230331/", 230331)</f>
        <v>230331</v>
      </c>
      <c r="B4827" s="3" t="s">
        <v>25312</v>
      </c>
      <c r="C4827" s="3" t="s">
        <v>31</v>
      </c>
      <c r="D4827" s="3" t="s">
        <v>32</v>
      </c>
      <c r="E4827" s="4" t="s">
        <v>22</v>
      </c>
      <c r="F4827" s="4" t="s">
        <v>25313</v>
      </c>
      <c r="G4827" s="4" t="s">
        <v>25314</v>
      </c>
      <c r="H4827" s="3" t="s">
        <v>23629</v>
      </c>
      <c r="I4827" s="3" t="s">
        <v>25315</v>
      </c>
      <c r="J4827" s="3" t="s">
        <v>25316</v>
      </c>
      <c r="K4827" s="3" t="s">
        <v>25317</v>
      </c>
      <c r="L4827" s="3" t="s">
        <v>25318</v>
      </c>
      <c r="M4827" s="4" t="s">
        <v>25319</v>
      </c>
      <c r="N4827" s="3" t="s">
        <v>37</v>
      </c>
      <c r="O4827" s="3" t="s">
        <v>38</v>
      </c>
      <c r="P4827" s="5">
        <v>9</v>
      </c>
      <c r="Q4827" s="5">
        <v>66</v>
      </c>
      <c r="R4827" s="5">
        <v>9</v>
      </c>
      <c r="S4827" s="5">
        <v>72</v>
      </c>
    </row>
    <row r="4828" spans="1:19" ht="28" x14ac:dyDescent="0.15">
      <c r="A4828" s="2">
        <f>HYPERLINK("https://open-school.uspishnemisto.com.ua/school/230332/", 230332)</f>
        <v>230332</v>
      </c>
      <c r="B4828" s="3" t="s">
        <v>25320</v>
      </c>
      <c r="C4828" s="3" t="s">
        <v>31</v>
      </c>
      <c r="D4828" s="3" t="s">
        <v>32</v>
      </c>
      <c r="E4828" s="4" t="s">
        <v>22</v>
      </c>
      <c r="F4828" s="4" t="s">
        <v>25321</v>
      </c>
      <c r="G4828" s="4" t="s">
        <v>25322</v>
      </c>
      <c r="H4828" s="3" t="s">
        <v>23629</v>
      </c>
      <c r="I4828" s="3" t="s">
        <v>25323</v>
      </c>
      <c r="J4828" s="3" t="s">
        <v>25324</v>
      </c>
      <c r="K4828" s="3" t="s">
        <v>25325</v>
      </c>
      <c r="L4828" s="3" t="s">
        <v>25326</v>
      </c>
      <c r="M4828" s="4" t="s">
        <v>25327</v>
      </c>
      <c r="N4828" s="3" t="s">
        <v>37</v>
      </c>
      <c r="O4828" s="3" t="s">
        <v>38</v>
      </c>
      <c r="P4828" s="5">
        <v>9</v>
      </c>
      <c r="Q4828" s="5">
        <v>84</v>
      </c>
      <c r="R4828" s="5">
        <v>9</v>
      </c>
      <c r="S4828" s="5">
        <v>85</v>
      </c>
    </row>
    <row r="4829" spans="1:19" ht="28" x14ac:dyDescent="0.15">
      <c r="A4829" s="2">
        <f>HYPERLINK("https://open-school.uspishnemisto.com.ua/school/230333/", 230333)</f>
        <v>230333</v>
      </c>
      <c r="B4829" s="3" t="s">
        <v>25328</v>
      </c>
      <c r="C4829" s="3" t="s">
        <v>31</v>
      </c>
      <c r="D4829" s="3" t="s">
        <v>32</v>
      </c>
      <c r="E4829" s="4" t="s">
        <v>22</v>
      </c>
      <c r="F4829" s="4" t="s">
        <v>25329</v>
      </c>
      <c r="G4829" s="4" t="s">
        <v>25330</v>
      </c>
      <c r="H4829" s="3" t="s">
        <v>23629</v>
      </c>
      <c r="I4829" s="3" t="s">
        <v>25331</v>
      </c>
      <c r="J4829" s="3" t="s">
        <v>946</v>
      </c>
      <c r="K4829" s="3" t="s">
        <v>25332</v>
      </c>
      <c r="L4829" s="3"/>
      <c r="M4829" s="4" t="s">
        <v>25333</v>
      </c>
      <c r="N4829" s="3" t="s">
        <v>37</v>
      </c>
      <c r="O4829" s="3" t="s">
        <v>112</v>
      </c>
      <c r="P4829" s="5">
        <v>1</v>
      </c>
      <c r="Q4829" s="5">
        <v>34</v>
      </c>
      <c r="R4829" s="5">
        <v>2</v>
      </c>
      <c r="S4829" s="5">
        <v>33</v>
      </c>
    </row>
    <row r="4830" spans="1:19" ht="28" x14ac:dyDescent="0.15">
      <c r="A4830" s="2">
        <f>HYPERLINK("https://open-school.uspishnemisto.com.ua/school/230334/", 230334)</f>
        <v>230334</v>
      </c>
      <c r="B4830" s="3" t="s">
        <v>25334</v>
      </c>
      <c r="C4830" s="3" t="s">
        <v>31</v>
      </c>
      <c r="D4830" s="3" t="s">
        <v>32</v>
      </c>
      <c r="E4830" s="4" t="s">
        <v>22</v>
      </c>
      <c r="F4830" s="4" t="s">
        <v>25335</v>
      </c>
      <c r="G4830" s="4" t="s">
        <v>25336</v>
      </c>
      <c r="H4830" s="3" t="s">
        <v>23629</v>
      </c>
      <c r="I4830" s="3" t="s">
        <v>25337</v>
      </c>
      <c r="J4830" s="3" t="s">
        <v>17051</v>
      </c>
      <c r="K4830" s="3" t="s">
        <v>25338</v>
      </c>
      <c r="L4830" s="3" t="s">
        <v>25339</v>
      </c>
      <c r="M4830" s="4" t="s">
        <v>25340</v>
      </c>
      <c r="N4830" s="3" t="s">
        <v>37</v>
      </c>
      <c r="O4830" s="3" t="s">
        <v>38</v>
      </c>
      <c r="P4830" s="5">
        <v>8</v>
      </c>
      <c r="Q4830" s="5">
        <v>64</v>
      </c>
      <c r="R4830" s="5">
        <v>7</v>
      </c>
      <c r="S4830" s="5">
        <v>63</v>
      </c>
    </row>
    <row r="4831" spans="1:19" ht="28" x14ac:dyDescent="0.15">
      <c r="A4831" s="2">
        <f>HYPERLINK("https://open-school.uspishnemisto.com.ua/school/230335/", 230335)</f>
        <v>230335</v>
      </c>
      <c r="B4831" s="3" t="s">
        <v>25341</v>
      </c>
      <c r="C4831" s="3" t="s">
        <v>31</v>
      </c>
      <c r="D4831" s="3" t="s">
        <v>32</v>
      </c>
      <c r="E4831" s="4" t="s">
        <v>22</v>
      </c>
      <c r="F4831" s="4" t="s">
        <v>25342</v>
      </c>
      <c r="G4831" s="4" t="s">
        <v>25343</v>
      </c>
      <c r="H4831" s="3" t="s">
        <v>23629</v>
      </c>
      <c r="I4831" s="3" t="s">
        <v>16056</v>
      </c>
      <c r="J4831" s="3" t="s">
        <v>25344</v>
      </c>
      <c r="K4831" s="3" t="s">
        <v>25345</v>
      </c>
      <c r="L4831" s="3" t="s">
        <v>25346</v>
      </c>
      <c r="M4831" s="4" t="s">
        <v>25347</v>
      </c>
      <c r="N4831" s="3" t="s">
        <v>37</v>
      </c>
      <c r="O4831" s="3" t="s">
        <v>38</v>
      </c>
      <c r="P4831" s="5">
        <v>11</v>
      </c>
      <c r="Q4831" s="5">
        <v>147</v>
      </c>
      <c r="R4831" s="5">
        <v>10</v>
      </c>
      <c r="S4831" s="5">
        <v>144</v>
      </c>
    </row>
    <row r="4832" spans="1:19" ht="28" x14ac:dyDescent="0.15">
      <c r="A4832" s="2">
        <f>HYPERLINK("https://open-school.uspishnemisto.com.ua/school/230336/", 230336)</f>
        <v>230336</v>
      </c>
      <c r="B4832" s="3" t="s">
        <v>25348</v>
      </c>
      <c r="C4832" s="3" t="s">
        <v>31</v>
      </c>
      <c r="D4832" s="3" t="s">
        <v>32</v>
      </c>
      <c r="E4832" s="4" t="s">
        <v>22</v>
      </c>
      <c r="F4832" s="4" t="s">
        <v>25349</v>
      </c>
      <c r="G4832" s="4" t="s">
        <v>25350</v>
      </c>
      <c r="H4832" s="3" t="s">
        <v>23629</v>
      </c>
      <c r="I4832" s="3" t="s">
        <v>11464</v>
      </c>
      <c r="J4832" s="3" t="s">
        <v>1987</v>
      </c>
      <c r="K4832" s="3" t="s">
        <v>25351</v>
      </c>
      <c r="L4832" s="3" t="s">
        <v>25352</v>
      </c>
      <c r="M4832" s="4" t="s">
        <v>25353</v>
      </c>
      <c r="N4832" s="3" t="s">
        <v>37</v>
      </c>
      <c r="O4832" s="3" t="s">
        <v>38</v>
      </c>
      <c r="P4832" s="5">
        <v>7</v>
      </c>
      <c r="Q4832" s="5">
        <v>57</v>
      </c>
      <c r="R4832" s="5">
        <v>7</v>
      </c>
      <c r="S4832" s="5">
        <v>58</v>
      </c>
    </row>
    <row r="4833" spans="1:19" ht="42" x14ac:dyDescent="0.15">
      <c r="A4833" s="2">
        <f>HYPERLINK("https://open-school.uspishnemisto.com.ua/school/230337/", 230337)</f>
        <v>230337</v>
      </c>
      <c r="B4833" s="3" t="s">
        <v>25354</v>
      </c>
      <c r="C4833" s="3" t="s">
        <v>54</v>
      </c>
      <c r="D4833" s="3" t="s">
        <v>32</v>
      </c>
      <c r="E4833" s="4" t="s">
        <v>22</v>
      </c>
      <c r="F4833" s="4" t="s">
        <v>25355</v>
      </c>
      <c r="G4833" s="4" t="s">
        <v>25356</v>
      </c>
      <c r="H4833" s="3" t="s">
        <v>23629</v>
      </c>
      <c r="I4833" s="3" t="s">
        <v>25357</v>
      </c>
      <c r="J4833" s="3" t="s">
        <v>25358</v>
      </c>
      <c r="K4833" s="3" t="s">
        <v>25359</v>
      </c>
      <c r="L4833" s="3" t="s">
        <v>25360</v>
      </c>
      <c r="M4833" s="4" t="s">
        <v>25361</v>
      </c>
      <c r="N4833" s="3" t="s">
        <v>37</v>
      </c>
      <c r="O4833" s="3" t="s">
        <v>70</v>
      </c>
      <c r="P4833" s="5">
        <v>30</v>
      </c>
      <c r="Q4833" s="5">
        <v>651</v>
      </c>
      <c r="R4833" s="5">
        <v>28</v>
      </c>
      <c r="S4833" s="5">
        <v>596</v>
      </c>
    </row>
    <row r="4834" spans="1:19" ht="42" x14ac:dyDescent="0.15">
      <c r="A4834" s="2">
        <f>HYPERLINK("https://open-school.uspishnemisto.com.ua/school/230338/", 230338)</f>
        <v>230338</v>
      </c>
      <c r="B4834" s="3" t="s">
        <v>25362</v>
      </c>
      <c r="C4834" s="3" t="s">
        <v>54</v>
      </c>
      <c r="D4834" s="3" t="s">
        <v>32</v>
      </c>
      <c r="E4834" s="4" t="s">
        <v>22</v>
      </c>
      <c r="F4834" s="4" t="s">
        <v>25363</v>
      </c>
      <c r="G4834" s="4" t="s">
        <v>25364</v>
      </c>
      <c r="H4834" s="3" t="s">
        <v>23629</v>
      </c>
      <c r="I4834" s="3" t="s">
        <v>25365</v>
      </c>
      <c r="J4834" s="3" t="s">
        <v>25366</v>
      </c>
      <c r="K4834" s="3" t="s">
        <v>25367</v>
      </c>
      <c r="L4834" s="3" t="s">
        <v>25368</v>
      </c>
      <c r="M4834" s="4" t="s">
        <v>25369</v>
      </c>
      <c r="N4834" s="3" t="s">
        <v>37</v>
      </c>
      <c r="O4834" s="3" t="s">
        <v>721</v>
      </c>
      <c r="P4834" s="5">
        <v>28</v>
      </c>
      <c r="Q4834" s="5">
        <v>670</v>
      </c>
      <c r="R4834" s="5">
        <v>27</v>
      </c>
      <c r="S4834" s="5">
        <v>667</v>
      </c>
    </row>
    <row r="4835" spans="1:19" ht="42" x14ac:dyDescent="0.15">
      <c r="A4835" s="2">
        <f>HYPERLINK("https://open-school.uspishnemisto.com.ua/school/230339/", 230339)</f>
        <v>230339</v>
      </c>
      <c r="B4835" s="3" t="s">
        <v>25370</v>
      </c>
      <c r="C4835" s="3" t="s">
        <v>54</v>
      </c>
      <c r="D4835" s="3" t="s">
        <v>32</v>
      </c>
      <c r="E4835" s="4" t="s">
        <v>22</v>
      </c>
      <c r="F4835" s="4" t="s">
        <v>25371</v>
      </c>
      <c r="G4835" s="4" t="s">
        <v>25372</v>
      </c>
      <c r="H4835" s="3" t="s">
        <v>23629</v>
      </c>
      <c r="I4835" s="3" t="s">
        <v>25373</v>
      </c>
      <c r="J4835" s="3" t="s">
        <v>25374</v>
      </c>
      <c r="K4835" s="3" t="s">
        <v>25375</v>
      </c>
      <c r="L4835" s="3" t="s">
        <v>25376</v>
      </c>
      <c r="M4835" s="4" t="s">
        <v>25377</v>
      </c>
      <c r="N4835" s="3" t="s">
        <v>37</v>
      </c>
      <c r="O4835" s="3" t="s">
        <v>70</v>
      </c>
      <c r="P4835" s="5">
        <v>13</v>
      </c>
      <c r="Q4835" s="5">
        <v>266</v>
      </c>
      <c r="R4835" s="5">
        <v>13</v>
      </c>
      <c r="S4835" s="5">
        <v>274</v>
      </c>
    </row>
    <row r="4836" spans="1:19" ht="28" x14ac:dyDescent="0.15">
      <c r="A4836" s="2">
        <f>HYPERLINK("https://open-school.uspishnemisto.com.ua/school/230340/", 230340)</f>
        <v>230340</v>
      </c>
      <c r="B4836" s="3" t="s">
        <v>25378</v>
      </c>
      <c r="C4836" s="3" t="s">
        <v>31</v>
      </c>
      <c r="D4836" s="3" t="s">
        <v>32</v>
      </c>
      <c r="E4836" s="4" t="s">
        <v>22</v>
      </c>
      <c r="F4836" s="4" t="s">
        <v>25379</v>
      </c>
      <c r="G4836" s="4" t="s">
        <v>25380</v>
      </c>
      <c r="H4836" s="3" t="s">
        <v>23629</v>
      </c>
      <c r="I4836" s="3" t="s">
        <v>25381</v>
      </c>
      <c r="J4836" s="3" t="s">
        <v>25382</v>
      </c>
      <c r="K4836" s="3" t="s">
        <v>25383</v>
      </c>
      <c r="L4836" s="3" t="s">
        <v>25384</v>
      </c>
      <c r="M4836" s="4" t="s">
        <v>25385</v>
      </c>
      <c r="N4836" s="3" t="s">
        <v>37</v>
      </c>
      <c r="O4836" s="3" t="s">
        <v>70</v>
      </c>
      <c r="P4836" s="5">
        <v>11</v>
      </c>
      <c r="Q4836" s="5">
        <v>87</v>
      </c>
      <c r="R4836" s="5">
        <v>11</v>
      </c>
      <c r="S4836" s="5">
        <v>94</v>
      </c>
    </row>
    <row r="4837" spans="1:19" ht="28" x14ac:dyDescent="0.15">
      <c r="A4837" s="2">
        <f>HYPERLINK("https://open-school.uspishnemisto.com.ua/school/230341/", 230341)</f>
        <v>230341</v>
      </c>
      <c r="B4837" s="3" t="s">
        <v>25386</v>
      </c>
      <c r="C4837" s="3" t="s">
        <v>31</v>
      </c>
      <c r="D4837" s="3" t="s">
        <v>32</v>
      </c>
      <c r="E4837" s="4" t="s">
        <v>22</v>
      </c>
      <c r="F4837" s="4" t="s">
        <v>25387</v>
      </c>
      <c r="G4837" s="4" t="s">
        <v>25388</v>
      </c>
      <c r="H4837" s="3" t="s">
        <v>23629</v>
      </c>
      <c r="I4837" s="3" t="s">
        <v>25389</v>
      </c>
      <c r="J4837" s="3" t="s">
        <v>25390</v>
      </c>
      <c r="K4837" s="3" t="s">
        <v>25391</v>
      </c>
      <c r="L4837" s="3" t="s">
        <v>25392</v>
      </c>
      <c r="M4837" s="4" t="s">
        <v>25393</v>
      </c>
      <c r="N4837" s="3" t="s">
        <v>37</v>
      </c>
      <c r="O4837" s="3" t="s">
        <v>112</v>
      </c>
      <c r="P4837" s="5">
        <v>11</v>
      </c>
      <c r="Q4837" s="5">
        <v>123</v>
      </c>
      <c r="R4837" s="5">
        <v>11</v>
      </c>
      <c r="S4837" s="5">
        <v>121</v>
      </c>
    </row>
    <row r="4838" spans="1:19" ht="42" x14ac:dyDescent="0.15">
      <c r="A4838" s="2">
        <f>HYPERLINK("https://open-school.uspishnemisto.com.ua/school/230342/", 230342)</f>
        <v>230342</v>
      </c>
      <c r="B4838" s="3" t="s">
        <v>25394</v>
      </c>
      <c r="C4838" s="3" t="s">
        <v>20</v>
      </c>
      <c r="D4838" s="3" t="s">
        <v>21</v>
      </c>
      <c r="E4838" s="4" t="s">
        <v>22</v>
      </c>
      <c r="F4838" s="4" t="s">
        <v>25395</v>
      </c>
      <c r="G4838" s="4" t="s">
        <v>25396</v>
      </c>
      <c r="H4838" s="3" t="s">
        <v>23629</v>
      </c>
      <c r="I4838" s="3" t="s">
        <v>14501</v>
      </c>
      <c r="J4838" s="3" t="s">
        <v>25397</v>
      </c>
      <c r="K4838" s="3" t="s">
        <v>25398</v>
      </c>
      <c r="L4838" s="3"/>
      <c r="M4838" s="4" t="s">
        <v>25399</v>
      </c>
      <c r="N4838" s="3"/>
      <c r="O4838" s="3"/>
      <c r="P4838" s="5">
        <v>0</v>
      </c>
      <c r="Q4838" s="5">
        <v>0</v>
      </c>
      <c r="R4838" s="5"/>
      <c r="S4838" s="5"/>
    </row>
    <row r="4839" spans="1:19" ht="42" x14ac:dyDescent="0.15">
      <c r="A4839" s="2">
        <f>HYPERLINK("https://open-school.uspishnemisto.com.ua/school/230343/", 230343)</f>
        <v>230343</v>
      </c>
      <c r="B4839" s="3" t="s">
        <v>25400</v>
      </c>
      <c r="C4839" s="3" t="s">
        <v>31</v>
      </c>
      <c r="D4839" s="3" t="s">
        <v>32</v>
      </c>
      <c r="E4839" s="4" t="s">
        <v>22</v>
      </c>
      <c r="F4839" s="4" t="s">
        <v>25395</v>
      </c>
      <c r="G4839" s="4" t="s">
        <v>25396</v>
      </c>
      <c r="H4839" s="3" t="s">
        <v>23629</v>
      </c>
      <c r="I4839" s="3" t="s">
        <v>14501</v>
      </c>
      <c r="J4839" s="3" t="s">
        <v>792</v>
      </c>
      <c r="K4839" s="3" t="s">
        <v>25401</v>
      </c>
      <c r="L4839" s="3" t="s">
        <v>25402</v>
      </c>
      <c r="M4839" s="4" t="s">
        <v>25403</v>
      </c>
      <c r="N4839" s="3" t="s">
        <v>37</v>
      </c>
      <c r="O4839" s="3" t="s">
        <v>70</v>
      </c>
      <c r="P4839" s="5">
        <v>27</v>
      </c>
      <c r="Q4839" s="5">
        <v>532</v>
      </c>
      <c r="R4839" s="5">
        <v>26</v>
      </c>
      <c r="S4839" s="5">
        <v>550</v>
      </c>
    </row>
    <row r="4840" spans="1:19" ht="56" x14ac:dyDescent="0.15">
      <c r="A4840" s="2">
        <f>HYPERLINK("https://open-school.uspishnemisto.com.ua/school/230344/", 230344)</f>
        <v>230344</v>
      </c>
      <c r="B4840" s="3" t="s">
        <v>25404</v>
      </c>
      <c r="C4840" s="3" t="s">
        <v>54</v>
      </c>
      <c r="D4840" s="3" t="s">
        <v>32</v>
      </c>
      <c r="E4840" s="4" t="s">
        <v>22</v>
      </c>
      <c r="F4840" s="4" t="s">
        <v>25405</v>
      </c>
      <c r="G4840" s="4" t="s">
        <v>25406</v>
      </c>
      <c r="H4840" s="3" t="s">
        <v>23629</v>
      </c>
      <c r="I4840" s="3" t="s">
        <v>25407</v>
      </c>
      <c r="J4840" s="3" t="s">
        <v>2253</v>
      </c>
      <c r="K4840" s="3" t="s">
        <v>25408</v>
      </c>
      <c r="L4840" s="3" t="s">
        <v>25409</v>
      </c>
      <c r="M4840" s="4" t="s">
        <v>25410</v>
      </c>
      <c r="N4840" s="3" t="s">
        <v>37</v>
      </c>
      <c r="O4840" s="3" t="s">
        <v>38</v>
      </c>
      <c r="P4840" s="5">
        <v>11</v>
      </c>
      <c r="Q4840" s="5">
        <v>135</v>
      </c>
      <c r="R4840" s="5">
        <v>11</v>
      </c>
      <c r="S4840" s="5">
        <v>115</v>
      </c>
    </row>
    <row r="4841" spans="1:19" ht="42" x14ac:dyDescent="0.15">
      <c r="A4841" s="2">
        <f>HYPERLINK("https://open-school.uspishnemisto.com.ua/school/230345/", 230345)</f>
        <v>230345</v>
      </c>
      <c r="B4841" s="3" t="s">
        <v>25411</v>
      </c>
      <c r="C4841" s="3" t="s">
        <v>54</v>
      </c>
      <c r="D4841" s="3" t="s">
        <v>32</v>
      </c>
      <c r="E4841" s="4" t="s">
        <v>22</v>
      </c>
      <c r="F4841" s="4" t="s">
        <v>25412</v>
      </c>
      <c r="G4841" s="4" t="s">
        <v>25413</v>
      </c>
      <c r="H4841" s="3" t="s">
        <v>23629</v>
      </c>
      <c r="I4841" s="3" t="s">
        <v>25414</v>
      </c>
      <c r="J4841" s="3" t="s">
        <v>25415</v>
      </c>
      <c r="K4841" s="3" t="s">
        <v>25416</v>
      </c>
      <c r="L4841" s="3" t="s">
        <v>25417</v>
      </c>
      <c r="M4841" s="4" t="s">
        <v>25418</v>
      </c>
      <c r="N4841" s="3" t="s">
        <v>37</v>
      </c>
      <c r="O4841" s="3" t="s">
        <v>70</v>
      </c>
      <c r="P4841" s="5">
        <v>11</v>
      </c>
      <c r="Q4841" s="5">
        <v>188</v>
      </c>
      <c r="R4841" s="5">
        <v>11</v>
      </c>
      <c r="S4841" s="5">
        <v>193</v>
      </c>
    </row>
    <row r="4842" spans="1:19" ht="56" x14ac:dyDescent="0.15">
      <c r="A4842" s="2">
        <f>HYPERLINK("https://open-school.uspishnemisto.com.ua/school/230346/", 230346)</f>
        <v>230346</v>
      </c>
      <c r="B4842" s="3" t="s">
        <v>25419</v>
      </c>
      <c r="C4842" s="3" t="s">
        <v>54</v>
      </c>
      <c r="D4842" s="3" t="s">
        <v>32</v>
      </c>
      <c r="E4842" s="4" t="s">
        <v>22</v>
      </c>
      <c r="F4842" s="4" t="s">
        <v>25420</v>
      </c>
      <c r="G4842" s="4" t="s">
        <v>25421</v>
      </c>
      <c r="H4842" s="3" t="s">
        <v>23629</v>
      </c>
      <c r="I4842" s="3" t="s">
        <v>2475</v>
      </c>
      <c r="J4842" s="3" t="s">
        <v>25422</v>
      </c>
      <c r="K4842" s="3" t="s">
        <v>25423</v>
      </c>
      <c r="L4842" s="3" t="s">
        <v>25424</v>
      </c>
      <c r="M4842" s="4" t="s">
        <v>25425</v>
      </c>
      <c r="N4842" s="3" t="s">
        <v>37</v>
      </c>
      <c r="O4842" s="3" t="s">
        <v>52</v>
      </c>
      <c r="P4842" s="5">
        <v>11</v>
      </c>
      <c r="Q4842" s="5">
        <v>116</v>
      </c>
      <c r="R4842" s="5">
        <v>11</v>
      </c>
      <c r="S4842" s="5">
        <v>109</v>
      </c>
    </row>
    <row r="4843" spans="1:19" ht="56" x14ac:dyDescent="0.15">
      <c r="A4843" s="2">
        <f>HYPERLINK("https://open-school.uspishnemisto.com.ua/school/230347/", 230347)</f>
        <v>230347</v>
      </c>
      <c r="B4843" s="3" t="s">
        <v>25426</v>
      </c>
      <c r="C4843" s="3" t="s">
        <v>54</v>
      </c>
      <c r="D4843" s="3" t="s">
        <v>175</v>
      </c>
      <c r="E4843" s="4" t="s">
        <v>22</v>
      </c>
      <c r="F4843" s="4" t="s">
        <v>25427</v>
      </c>
      <c r="G4843" s="4" t="s">
        <v>25428</v>
      </c>
      <c r="H4843" s="3" t="s">
        <v>23629</v>
      </c>
      <c r="I4843" s="3" t="s">
        <v>25429</v>
      </c>
      <c r="J4843" s="3" t="s">
        <v>25430</v>
      </c>
      <c r="K4843" s="3" t="s">
        <v>25431</v>
      </c>
      <c r="L4843" s="3" t="s">
        <v>25432</v>
      </c>
      <c r="M4843" s="4" t="s">
        <v>25433</v>
      </c>
      <c r="N4843" s="3" t="s">
        <v>37</v>
      </c>
      <c r="O4843" s="3" t="s">
        <v>52</v>
      </c>
      <c r="P4843" s="5">
        <v>9</v>
      </c>
      <c r="Q4843" s="5">
        <v>112</v>
      </c>
      <c r="R4843" s="5">
        <v>9</v>
      </c>
      <c r="S4843" s="5">
        <v>101</v>
      </c>
    </row>
    <row r="4844" spans="1:19" ht="42" x14ac:dyDescent="0.15">
      <c r="A4844" s="2">
        <f>HYPERLINK("https://open-school.uspishnemisto.com.ua/school/230349/", 230349)</f>
        <v>230349</v>
      </c>
      <c r="B4844" s="3" t="s">
        <v>25434</v>
      </c>
      <c r="C4844" s="3" t="s">
        <v>31</v>
      </c>
      <c r="D4844" s="3" t="s">
        <v>32</v>
      </c>
      <c r="E4844" s="4" t="s">
        <v>22</v>
      </c>
      <c r="F4844" s="4" t="s">
        <v>25435</v>
      </c>
      <c r="G4844" s="4" t="s">
        <v>25436</v>
      </c>
      <c r="H4844" s="3" t="s">
        <v>23629</v>
      </c>
      <c r="I4844" s="3" t="s">
        <v>25437</v>
      </c>
      <c r="J4844" s="3" t="s">
        <v>16729</v>
      </c>
      <c r="K4844" s="3" t="s">
        <v>25438</v>
      </c>
      <c r="L4844" s="3" t="s">
        <v>25439</v>
      </c>
      <c r="M4844" s="4" t="s">
        <v>25440</v>
      </c>
      <c r="N4844" s="3" t="s">
        <v>37</v>
      </c>
      <c r="O4844" s="3" t="s">
        <v>38</v>
      </c>
      <c r="P4844" s="5">
        <v>11</v>
      </c>
      <c r="Q4844" s="5">
        <v>198</v>
      </c>
      <c r="R4844" s="5">
        <v>11</v>
      </c>
      <c r="S4844" s="5">
        <v>150</v>
      </c>
    </row>
    <row r="4845" spans="1:19" ht="56" x14ac:dyDescent="0.15">
      <c r="A4845" s="2">
        <f>HYPERLINK("https://open-school.uspishnemisto.com.ua/school/230350/", 230350)</f>
        <v>230350</v>
      </c>
      <c r="B4845" s="3" t="s">
        <v>25441</v>
      </c>
      <c r="C4845" s="3" t="s">
        <v>54</v>
      </c>
      <c r="D4845" s="3" t="s">
        <v>32</v>
      </c>
      <c r="E4845" s="4" t="s">
        <v>22</v>
      </c>
      <c r="F4845" s="4" t="s">
        <v>25442</v>
      </c>
      <c r="G4845" s="4" t="s">
        <v>25443</v>
      </c>
      <c r="H4845" s="3" t="s">
        <v>23629</v>
      </c>
      <c r="I4845" s="3" t="s">
        <v>25444</v>
      </c>
      <c r="J4845" s="3" t="s">
        <v>17078</v>
      </c>
      <c r="K4845" s="3" t="s">
        <v>25445</v>
      </c>
      <c r="L4845" s="3" t="s">
        <v>25446</v>
      </c>
      <c r="M4845" s="4" t="s">
        <v>25447</v>
      </c>
      <c r="N4845" s="3" t="s">
        <v>37</v>
      </c>
      <c r="O4845" s="3" t="s">
        <v>721</v>
      </c>
      <c r="P4845" s="5">
        <v>11</v>
      </c>
      <c r="Q4845" s="5">
        <v>119</v>
      </c>
      <c r="R4845" s="5">
        <v>11</v>
      </c>
      <c r="S4845" s="5">
        <v>130</v>
      </c>
    </row>
    <row r="4846" spans="1:19" ht="56" x14ac:dyDescent="0.15">
      <c r="A4846" s="2">
        <f>HYPERLINK("https://open-school.uspishnemisto.com.ua/school/230351/", 230351)</f>
        <v>230351</v>
      </c>
      <c r="B4846" s="3" t="s">
        <v>25448</v>
      </c>
      <c r="C4846" s="3" t="s">
        <v>54</v>
      </c>
      <c r="D4846" s="3" t="s">
        <v>32</v>
      </c>
      <c r="E4846" s="4" t="s">
        <v>22</v>
      </c>
      <c r="F4846" s="4" t="s">
        <v>25449</v>
      </c>
      <c r="G4846" s="4" t="s">
        <v>25450</v>
      </c>
      <c r="H4846" s="3" t="s">
        <v>23629</v>
      </c>
      <c r="I4846" s="3" t="s">
        <v>25451</v>
      </c>
      <c r="J4846" s="3" t="s">
        <v>25452</v>
      </c>
      <c r="K4846" s="3" t="s">
        <v>25453</v>
      </c>
      <c r="L4846" s="3" t="s">
        <v>25454</v>
      </c>
      <c r="M4846" s="4" t="s">
        <v>25455</v>
      </c>
      <c r="N4846" s="3" t="s">
        <v>37</v>
      </c>
      <c r="O4846" s="3" t="s">
        <v>70</v>
      </c>
      <c r="P4846" s="5">
        <v>10</v>
      </c>
      <c r="Q4846" s="5">
        <v>103</v>
      </c>
      <c r="R4846" s="5">
        <v>11</v>
      </c>
      <c r="S4846" s="5">
        <v>108</v>
      </c>
    </row>
    <row r="4847" spans="1:19" ht="56" x14ac:dyDescent="0.15">
      <c r="A4847" s="2">
        <f>HYPERLINK("https://open-school.uspishnemisto.com.ua/school/230352/", 230352)</f>
        <v>230352</v>
      </c>
      <c r="B4847" s="3" t="s">
        <v>25456</v>
      </c>
      <c r="C4847" s="3" t="s">
        <v>54</v>
      </c>
      <c r="D4847" s="3" t="s">
        <v>32</v>
      </c>
      <c r="E4847" s="4" t="s">
        <v>22</v>
      </c>
      <c r="F4847" s="4" t="s">
        <v>25457</v>
      </c>
      <c r="G4847" s="4" t="s">
        <v>25458</v>
      </c>
      <c r="H4847" s="3" t="s">
        <v>23629</v>
      </c>
      <c r="I4847" s="3" t="s">
        <v>11718</v>
      </c>
      <c r="J4847" s="3" t="s">
        <v>718</v>
      </c>
      <c r="K4847" s="3" t="s">
        <v>25459</v>
      </c>
      <c r="L4847" s="3" t="s">
        <v>25460</v>
      </c>
      <c r="M4847" s="4" t="s">
        <v>25461</v>
      </c>
      <c r="N4847" s="3" t="s">
        <v>37</v>
      </c>
      <c r="O4847" s="3" t="s">
        <v>38</v>
      </c>
      <c r="P4847" s="5">
        <v>11</v>
      </c>
      <c r="Q4847" s="5">
        <v>192</v>
      </c>
      <c r="R4847" s="5">
        <v>11</v>
      </c>
      <c r="S4847" s="5">
        <v>177</v>
      </c>
    </row>
    <row r="4848" spans="1:19" ht="56" x14ac:dyDescent="0.15">
      <c r="A4848" s="2">
        <f>HYPERLINK("https://open-school.uspishnemisto.com.ua/school/230353/", 230353)</f>
        <v>230353</v>
      </c>
      <c r="B4848" s="3" t="s">
        <v>25462</v>
      </c>
      <c r="C4848" s="3" t="s">
        <v>54</v>
      </c>
      <c r="D4848" s="3" t="s">
        <v>32</v>
      </c>
      <c r="E4848" s="4" t="s">
        <v>22</v>
      </c>
      <c r="F4848" s="4" t="s">
        <v>25463</v>
      </c>
      <c r="G4848" s="4" t="s">
        <v>25464</v>
      </c>
      <c r="H4848" s="3" t="s">
        <v>23629</v>
      </c>
      <c r="I4848" s="3" t="s">
        <v>18746</v>
      </c>
      <c r="J4848" s="3" t="s">
        <v>25465</v>
      </c>
      <c r="K4848" s="3" t="s">
        <v>25466</v>
      </c>
      <c r="L4848" s="3" t="s">
        <v>25467</v>
      </c>
      <c r="M4848" s="4" t="s">
        <v>25468</v>
      </c>
      <c r="N4848" s="3" t="s">
        <v>37</v>
      </c>
      <c r="O4848" s="3" t="s">
        <v>38</v>
      </c>
      <c r="P4848" s="5">
        <v>11</v>
      </c>
      <c r="Q4848" s="5">
        <v>147</v>
      </c>
      <c r="R4848" s="5">
        <v>11</v>
      </c>
      <c r="S4848" s="5">
        <v>151</v>
      </c>
    </row>
    <row r="4849" spans="1:19" ht="56" x14ac:dyDescent="0.15">
      <c r="A4849" s="2">
        <f>HYPERLINK("https://open-school.uspishnemisto.com.ua/school/230354/", 230354)</f>
        <v>230354</v>
      </c>
      <c r="B4849" s="3" t="s">
        <v>25469</v>
      </c>
      <c r="C4849" s="3" t="s">
        <v>54</v>
      </c>
      <c r="D4849" s="3" t="s">
        <v>32</v>
      </c>
      <c r="E4849" s="4" t="s">
        <v>22</v>
      </c>
      <c r="F4849" s="4" t="s">
        <v>25470</v>
      </c>
      <c r="G4849" s="4" t="s">
        <v>25471</v>
      </c>
      <c r="H4849" s="3" t="s">
        <v>23629</v>
      </c>
      <c r="I4849" s="3" t="s">
        <v>25472</v>
      </c>
      <c r="J4849" s="3" t="s">
        <v>7495</v>
      </c>
      <c r="K4849" s="3" t="s">
        <v>25473</v>
      </c>
      <c r="L4849" s="3" t="s">
        <v>25474</v>
      </c>
      <c r="M4849" s="4" t="s">
        <v>25475</v>
      </c>
      <c r="N4849" s="3" t="s">
        <v>37</v>
      </c>
      <c r="O4849" s="3" t="s">
        <v>38</v>
      </c>
      <c r="P4849" s="5">
        <v>12</v>
      </c>
      <c r="Q4849" s="5">
        <v>238</v>
      </c>
      <c r="R4849" s="5">
        <v>12</v>
      </c>
      <c r="S4849" s="5">
        <v>246</v>
      </c>
    </row>
    <row r="4850" spans="1:19" ht="56" x14ac:dyDescent="0.15">
      <c r="A4850" s="2">
        <f>HYPERLINK("https://open-school.uspishnemisto.com.ua/school/230355/", 230355)</f>
        <v>230355</v>
      </c>
      <c r="B4850" s="3" t="s">
        <v>25476</v>
      </c>
      <c r="C4850" s="3" t="s">
        <v>54</v>
      </c>
      <c r="D4850" s="3" t="s">
        <v>32</v>
      </c>
      <c r="E4850" s="4" t="s">
        <v>22</v>
      </c>
      <c r="F4850" s="4" t="s">
        <v>25477</v>
      </c>
      <c r="G4850" s="4" t="s">
        <v>25478</v>
      </c>
      <c r="H4850" s="3" t="s">
        <v>23629</v>
      </c>
      <c r="I4850" s="3" t="s">
        <v>25479</v>
      </c>
      <c r="J4850" s="3" t="s">
        <v>25480</v>
      </c>
      <c r="K4850" s="3" t="s">
        <v>25481</v>
      </c>
      <c r="L4850" s="3" t="s">
        <v>25482</v>
      </c>
      <c r="M4850" s="4" t="s">
        <v>25483</v>
      </c>
      <c r="N4850" s="3" t="s">
        <v>37</v>
      </c>
      <c r="O4850" s="3" t="s">
        <v>38</v>
      </c>
      <c r="P4850" s="5">
        <v>10</v>
      </c>
      <c r="Q4850" s="5">
        <v>97</v>
      </c>
      <c r="R4850" s="5">
        <v>11</v>
      </c>
      <c r="S4850" s="5">
        <v>96</v>
      </c>
    </row>
    <row r="4851" spans="1:19" ht="56" x14ac:dyDescent="0.15">
      <c r="A4851" s="2">
        <f>HYPERLINK("https://open-school.uspishnemisto.com.ua/school/230356/", 230356)</f>
        <v>230356</v>
      </c>
      <c r="B4851" s="3" t="s">
        <v>25484</v>
      </c>
      <c r="C4851" s="3" t="s">
        <v>54</v>
      </c>
      <c r="D4851" s="3" t="s">
        <v>175</v>
      </c>
      <c r="E4851" s="4" t="s">
        <v>22</v>
      </c>
      <c r="F4851" s="4" t="s">
        <v>25485</v>
      </c>
      <c r="G4851" s="4" t="s">
        <v>25486</v>
      </c>
      <c r="H4851" s="3" t="s">
        <v>23629</v>
      </c>
      <c r="I4851" s="3" t="s">
        <v>11724</v>
      </c>
      <c r="J4851" s="3" t="s">
        <v>25487</v>
      </c>
      <c r="K4851" s="3" t="s">
        <v>25488</v>
      </c>
      <c r="L4851" s="3" t="s">
        <v>25489</v>
      </c>
      <c r="M4851" s="4" t="s">
        <v>25490</v>
      </c>
      <c r="N4851" s="3" t="s">
        <v>37</v>
      </c>
      <c r="O4851" s="3" t="s">
        <v>38</v>
      </c>
      <c r="P4851" s="5">
        <v>9</v>
      </c>
      <c r="Q4851" s="5">
        <v>105</v>
      </c>
      <c r="R4851" s="5">
        <v>9</v>
      </c>
      <c r="S4851" s="5">
        <v>96</v>
      </c>
    </row>
    <row r="4852" spans="1:19" ht="28" x14ac:dyDescent="0.15">
      <c r="A4852" s="2">
        <f>HYPERLINK("https://open-school.uspishnemisto.com.ua/school/230357/", 230357)</f>
        <v>230357</v>
      </c>
      <c r="B4852" s="3" t="s">
        <v>25491</v>
      </c>
      <c r="C4852" s="3" t="s">
        <v>31</v>
      </c>
      <c r="D4852" s="3" t="s">
        <v>32</v>
      </c>
      <c r="E4852" s="4" t="s">
        <v>22</v>
      </c>
      <c r="F4852" s="4" t="s">
        <v>25492</v>
      </c>
      <c r="G4852" s="4" t="s">
        <v>25493</v>
      </c>
      <c r="H4852" s="3" t="s">
        <v>23629</v>
      </c>
      <c r="I4852" s="3" t="s">
        <v>11267</v>
      </c>
      <c r="J4852" s="3" t="s">
        <v>718</v>
      </c>
      <c r="K4852" s="3" t="s">
        <v>25494</v>
      </c>
      <c r="L4852" s="3" t="s">
        <v>25495</v>
      </c>
      <c r="M4852" s="4" t="s">
        <v>25496</v>
      </c>
      <c r="N4852" s="3" t="s">
        <v>37</v>
      </c>
      <c r="O4852" s="3" t="s">
        <v>38</v>
      </c>
      <c r="P4852" s="5">
        <v>11</v>
      </c>
      <c r="Q4852" s="5">
        <v>173</v>
      </c>
      <c r="R4852" s="5">
        <v>11</v>
      </c>
      <c r="S4852" s="5">
        <v>171</v>
      </c>
    </row>
    <row r="4853" spans="1:19" ht="56" x14ac:dyDescent="0.15">
      <c r="A4853" s="2">
        <f>HYPERLINK("https://open-school.uspishnemisto.com.ua/school/230358/", 230358)</f>
        <v>230358</v>
      </c>
      <c r="B4853" s="3" t="s">
        <v>25497</v>
      </c>
      <c r="C4853" s="3" t="s">
        <v>54</v>
      </c>
      <c r="D4853" s="3" t="s">
        <v>32</v>
      </c>
      <c r="E4853" s="4" t="s">
        <v>22</v>
      </c>
      <c r="F4853" s="4" t="s">
        <v>25498</v>
      </c>
      <c r="G4853" s="4" t="s">
        <v>25499</v>
      </c>
      <c r="H4853" s="3" t="s">
        <v>23629</v>
      </c>
      <c r="I4853" s="3" t="s">
        <v>25500</v>
      </c>
      <c r="J4853" s="3" t="s">
        <v>25501</v>
      </c>
      <c r="K4853" s="3" t="s">
        <v>25502</v>
      </c>
      <c r="L4853" s="3" t="s">
        <v>25503</v>
      </c>
      <c r="M4853" s="4" t="s">
        <v>25504</v>
      </c>
      <c r="N4853" s="3" t="s">
        <v>37</v>
      </c>
      <c r="O4853" s="3" t="s">
        <v>8857</v>
      </c>
      <c r="P4853" s="5">
        <v>9</v>
      </c>
      <c r="Q4853" s="5">
        <v>77</v>
      </c>
      <c r="R4853" s="5">
        <v>11</v>
      </c>
      <c r="S4853" s="5">
        <v>71</v>
      </c>
    </row>
    <row r="4854" spans="1:19" ht="42" x14ac:dyDescent="0.15">
      <c r="A4854" s="2">
        <f>HYPERLINK("https://open-school.uspishnemisto.com.ua/school/230359/", 230359)</f>
        <v>230359</v>
      </c>
      <c r="B4854" s="3" t="s">
        <v>25505</v>
      </c>
      <c r="C4854" s="3" t="s">
        <v>31</v>
      </c>
      <c r="D4854" s="3" t="s">
        <v>32</v>
      </c>
      <c r="E4854" s="4" t="s">
        <v>22</v>
      </c>
      <c r="F4854" s="4" t="s">
        <v>25506</v>
      </c>
      <c r="G4854" s="4" t="s">
        <v>25507</v>
      </c>
      <c r="H4854" s="3" t="s">
        <v>23629</v>
      </c>
      <c r="I4854" s="3" t="s">
        <v>25508</v>
      </c>
      <c r="J4854" s="3" t="s">
        <v>25509</v>
      </c>
      <c r="K4854" s="3" t="s">
        <v>25510</v>
      </c>
      <c r="L4854" s="3" t="s">
        <v>25511</v>
      </c>
      <c r="M4854" s="4" t="s">
        <v>25512</v>
      </c>
      <c r="N4854" s="3" t="s">
        <v>37</v>
      </c>
      <c r="O4854" s="3" t="s">
        <v>70</v>
      </c>
      <c r="P4854" s="5">
        <v>11</v>
      </c>
      <c r="Q4854" s="5">
        <v>174</v>
      </c>
      <c r="R4854" s="5">
        <v>11</v>
      </c>
      <c r="S4854" s="5">
        <v>161</v>
      </c>
    </row>
    <row r="4855" spans="1:19" ht="42" x14ac:dyDescent="0.15">
      <c r="A4855" s="2">
        <f>HYPERLINK("https://open-school.uspishnemisto.com.ua/school/230360/", 230360)</f>
        <v>230360</v>
      </c>
      <c r="B4855" s="3" t="s">
        <v>25513</v>
      </c>
      <c r="C4855" s="3" t="s">
        <v>31</v>
      </c>
      <c r="D4855" s="3" t="s">
        <v>32</v>
      </c>
      <c r="E4855" s="4" t="s">
        <v>22</v>
      </c>
      <c r="F4855" s="4" t="s">
        <v>25514</v>
      </c>
      <c r="G4855" s="4" t="s">
        <v>25515</v>
      </c>
      <c r="H4855" s="3" t="s">
        <v>23629</v>
      </c>
      <c r="I4855" s="3" t="s">
        <v>15426</v>
      </c>
      <c r="J4855" s="3" t="s">
        <v>25516</v>
      </c>
      <c r="K4855" s="3" t="s">
        <v>25517</v>
      </c>
      <c r="L4855" s="3" t="s">
        <v>25518</v>
      </c>
      <c r="M4855" s="4" t="s">
        <v>25519</v>
      </c>
      <c r="N4855" s="3" t="s">
        <v>37</v>
      </c>
      <c r="O4855" s="3" t="s">
        <v>70</v>
      </c>
      <c r="P4855" s="5">
        <v>11</v>
      </c>
      <c r="Q4855" s="5">
        <v>164</v>
      </c>
      <c r="R4855" s="5">
        <v>10</v>
      </c>
      <c r="S4855" s="5">
        <v>153</v>
      </c>
    </row>
    <row r="4856" spans="1:19" ht="28" x14ac:dyDescent="0.15">
      <c r="A4856" s="2">
        <f>HYPERLINK("https://open-school.uspishnemisto.com.ua/school/230361/", 230361)</f>
        <v>230361</v>
      </c>
      <c r="B4856" s="3" t="s">
        <v>25520</v>
      </c>
      <c r="C4856" s="3" t="s">
        <v>31</v>
      </c>
      <c r="D4856" s="3" t="s">
        <v>32</v>
      </c>
      <c r="E4856" s="4" t="s">
        <v>22</v>
      </c>
      <c r="F4856" s="4" t="s">
        <v>25521</v>
      </c>
      <c r="G4856" s="4" t="s">
        <v>25522</v>
      </c>
      <c r="H4856" s="3" t="s">
        <v>23629</v>
      </c>
      <c r="I4856" s="3" t="s">
        <v>5519</v>
      </c>
      <c r="J4856" s="3" t="s">
        <v>25523</v>
      </c>
      <c r="K4856" s="3" t="s">
        <v>25524</v>
      </c>
      <c r="L4856" s="3" t="s">
        <v>25525</v>
      </c>
      <c r="M4856" s="4" t="s">
        <v>25526</v>
      </c>
      <c r="N4856" s="3" t="s">
        <v>37</v>
      </c>
      <c r="O4856" s="3" t="s">
        <v>38</v>
      </c>
      <c r="P4856" s="5">
        <v>10</v>
      </c>
      <c r="Q4856" s="5">
        <v>116</v>
      </c>
      <c r="R4856" s="5">
        <v>9</v>
      </c>
      <c r="S4856" s="5">
        <v>107</v>
      </c>
    </row>
    <row r="4857" spans="1:19" ht="42" x14ac:dyDescent="0.15">
      <c r="A4857" s="2">
        <f>HYPERLINK("https://open-school.uspishnemisto.com.ua/school/230362/", 230362)</f>
        <v>230362</v>
      </c>
      <c r="B4857" s="3" t="s">
        <v>25527</v>
      </c>
      <c r="C4857" s="3" t="s">
        <v>31</v>
      </c>
      <c r="D4857" s="3" t="s">
        <v>32</v>
      </c>
      <c r="E4857" s="4" t="s">
        <v>22</v>
      </c>
      <c r="F4857" s="4" t="s">
        <v>25528</v>
      </c>
      <c r="G4857" s="4" t="s">
        <v>25529</v>
      </c>
      <c r="H4857" s="3" t="s">
        <v>23629</v>
      </c>
      <c r="I4857" s="3" t="s">
        <v>25530</v>
      </c>
      <c r="J4857" s="3" t="s">
        <v>25531</v>
      </c>
      <c r="K4857" s="3" t="s">
        <v>25532</v>
      </c>
      <c r="L4857" s="3" t="s">
        <v>25533</v>
      </c>
      <c r="M4857" s="4"/>
      <c r="N4857" s="3" t="s">
        <v>37</v>
      </c>
      <c r="O4857" s="3" t="s">
        <v>38</v>
      </c>
      <c r="P4857" s="5">
        <v>20</v>
      </c>
      <c r="Q4857" s="5">
        <v>381</v>
      </c>
      <c r="R4857" s="5">
        <v>21</v>
      </c>
      <c r="S4857" s="5">
        <v>394</v>
      </c>
    </row>
    <row r="4858" spans="1:19" ht="28" x14ac:dyDescent="0.15">
      <c r="A4858" s="2">
        <f>HYPERLINK("https://open-school.uspishnemisto.com.ua/school/230363/", 230363)</f>
        <v>230363</v>
      </c>
      <c r="B4858" s="3" t="s">
        <v>25534</v>
      </c>
      <c r="C4858" s="3" t="s">
        <v>40</v>
      </c>
      <c r="D4858" s="3" t="s">
        <v>32</v>
      </c>
      <c r="E4858" s="4" t="s">
        <v>22</v>
      </c>
      <c r="F4858" s="4" t="s">
        <v>25528</v>
      </c>
      <c r="G4858" s="4" t="s">
        <v>25529</v>
      </c>
      <c r="H4858" s="3" t="s">
        <v>23629</v>
      </c>
      <c r="I4858" s="3" t="s">
        <v>25530</v>
      </c>
      <c r="J4858" s="3" t="s">
        <v>25535</v>
      </c>
      <c r="K4858" s="3" t="s">
        <v>25536</v>
      </c>
      <c r="L4858" s="3" t="s">
        <v>25537</v>
      </c>
      <c r="M4858" s="4"/>
      <c r="N4858" s="3" t="s">
        <v>37</v>
      </c>
      <c r="O4858" s="3" t="s">
        <v>70</v>
      </c>
      <c r="P4858" s="5">
        <v>15</v>
      </c>
      <c r="Q4858" s="5">
        <v>301</v>
      </c>
      <c r="R4858" s="5">
        <v>15</v>
      </c>
      <c r="S4858" s="5">
        <v>302</v>
      </c>
    </row>
    <row r="4859" spans="1:19" ht="42" x14ac:dyDescent="0.15">
      <c r="A4859" s="2">
        <f>HYPERLINK("https://open-school.uspishnemisto.com.ua/school/230364/", 230364)</f>
        <v>230364</v>
      </c>
      <c r="B4859" s="3" t="s">
        <v>25538</v>
      </c>
      <c r="C4859" s="3" t="s">
        <v>2634</v>
      </c>
      <c r="D4859" s="3" t="s">
        <v>32</v>
      </c>
      <c r="E4859" s="4" t="s">
        <v>22</v>
      </c>
      <c r="F4859" s="4" t="s">
        <v>25539</v>
      </c>
      <c r="G4859" s="4" t="s">
        <v>25529</v>
      </c>
      <c r="H4859" s="3" t="s">
        <v>23629</v>
      </c>
      <c r="I4859" s="3" t="s">
        <v>25530</v>
      </c>
      <c r="J4859" s="3" t="s">
        <v>25540</v>
      </c>
      <c r="K4859" s="3" t="s">
        <v>25541</v>
      </c>
      <c r="L4859" s="3" t="s">
        <v>25542</v>
      </c>
      <c r="M4859" s="4" t="s">
        <v>25543</v>
      </c>
      <c r="N4859" s="3" t="s">
        <v>128</v>
      </c>
      <c r="O4859" s="3" t="s">
        <v>38</v>
      </c>
      <c r="P4859" s="5">
        <v>19</v>
      </c>
      <c r="Q4859" s="5">
        <v>344</v>
      </c>
      <c r="R4859" s="5">
        <v>19</v>
      </c>
      <c r="S4859" s="5">
        <v>377</v>
      </c>
    </row>
    <row r="4860" spans="1:19" ht="42" x14ac:dyDescent="0.15">
      <c r="A4860" s="2">
        <f>HYPERLINK("https://open-school.uspishnemisto.com.ua/school/230365/", 230365)</f>
        <v>230365</v>
      </c>
      <c r="B4860" s="3" t="s">
        <v>25544</v>
      </c>
      <c r="C4860" s="3" t="s">
        <v>54</v>
      </c>
      <c r="D4860" s="3" t="s">
        <v>32</v>
      </c>
      <c r="E4860" s="4" t="s">
        <v>22</v>
      </c>
      <c r="F4860" s="4" t="s">
        <v>25528</v>
      </c>
      <c r="G4860" s="4" t="s">
        <v>25529</v>
      </c>
      <c r="H4860" s="3" t="s">
        <v>23629</v>
      </c>
      <c r="I4860" s="3" t="s">
        <v>25530</v>
      </c>
      <c r="J4860" s="3" t="s">
        <v>25545</v>
      </c>
      <c r="K4860" s="3" t="s">
        <v>25546</v>
      </c>
      <c r="L4860" s="3" t="s">
        <v>25547</v>
      </c>
      <c r="M4860" s="4"/>
      <c r="N4860" s="3" t="s">
        <v>37</v>
      </c>
      <c r="O4860" s="3" t="s">
        <v>70</v>
      </c>
      <c r="P4860" s="5">
        <v>23</v>
      </c>
      <c r="Q4860" s="5">
        <v>552</v>
      </c>
      <c r="R4860" s="5">
        <v>23</v>
      </c>
      <c r="S4860" s="5">
        <v>529</v>
      </c>
    </row>
    <row r="4861" spans="1:19" ht="28" x14ac:dyDescent="0.15">
      <c r="A4861" s="2">
        <f>HYPERLINK("https://open-school.uspishnemisto.com.ua/school/230366/", 230366)</f>
        <v>230366</v>
      </c>
      <c r="B4861" s="3" t="s">
        <v>25548</v>
      </c>
      <c r="C4861" s="3" t="s">
        <v>31</v>
      </c>
      <c r="D4861" s="3" t="s">
        <v>32</v>
      </c>
      <c r="E4861" s="4" t="s">
        <v>22</v>
      </c>
      <c r="F4861" s="4" t="s">
        <v>19393</v>
      </c>
      <c r="G4861" s="4" t="s">
        <v>25549</v>
      </c>
      <c r="H4861" s="3" t="s">
        <v>23629</v>
      </c>
      <c r="I4861" s="3" t="s">
        <v>25550</v>
      </c>
      <c r="J4861" s="3" t="s">
        <v>25551</v>
      </c>
      <c r="K4861" s="3" t="s">
        <v>25552</v>
      </c>
      <c r="L4861" s="3" t="s">
        <v>25553</v>
      </c>
      <c r="M4861" s="4"/>
      <c r="N4861" s="3" t="s">
        <v>37</v>
      </c>
      <c r="O4861" s="3" t="s">
        <v>38</v>
      </c>
      <c r="P4861" s="5">
        <v>11</v>
      </c>
      <c r="Q4861" s="5">
        <v>234</v>
      </c>
      <c r="R4861" s="5">
        <v>11</v>
      </c>
      <c r="S4861" s="5">
        <v>242</v>
      </c>
    </row>
    <row r="4862" spans="1:19" ht="28" x14ac:dyDescent="0.15">
      <c r="A4862" s="2">
        <f>HYPERLINK("https://open-school.uspishnemisto.com.ua/school/230367/", 230367)</f>
        <v>230367</v>
      </c>
      <c r="B4862" s="3" t="s">
        <v>25554</v>
      </c>
      <c r="C4862" s="3" t="s">
        <v>31</v>
      </c>
      <c r="D4862" s="3" t="s">
        <v>175</v>
      </c>
      <c r="E4862" s="4" t="s">
        <v>22</v>
      </c>
      <c r="F4862" s="4" t="s">
        <v>25555</v>
      </c>
      <c r="G4862" s="4" t="s">
        <v>25556</v>
      </c>
      <c r="H4862" s="3" t="s">
        <v>23629</v>
      </c>
      <c r="I4862" s="3" t="s">
        <v>25557</v>
      </c>
      <c r="J4862" s="3" t="s">
        <v>25558</v>
      </c>
      <c r="K4862" s="3" t="s">
        <v>25559</v>
      </c>
      <c r="L4862" s="3" t="s">
        <v>25560</v>
      </c>
      <c r="M4862" s="4"/>
      <c r="N4862" s="3" t="s">
        <v>37</v>
      </c>
      <c r="O4862" s="3" t="s">
        <v>38</v>
      </c>
      <c r="P4862" s="5">
        <v>9</v>
      </c>
      <c r="Q4862" s="5">
        <v>154</v>
      </c>
      <c r="R4862" s="5">
        <v>9</v>
      </c>
      <c r="S4862" s="5">
        <v>132</v>
      </c>
    </row>
    <row r="4863" spans="1:19" ht="42" x14ac:dyDescent="0.15">
      <c r="A4863" s="2">
        <f>HYPERLINK("https://open-school.uspishnemisto.com.ua/school/230368/", 230368)</f>
        <v>230368</v>
      </c>
      <c r="B4863" s="3" t="s">
        <v>25561</v>
      </c>
      <c r="C4863" s="3" t="s">
        <v>31</v>
      </c>
      <c r="D4863" s="3" t="s">
        <v>175</v>
      </c>
      <c r="E4863" s="4" t="s">
        <v>22</v>
      </c>
      <c r="F4863" s="4" t="s">
        <v>25562</v>
      </c>
      <c r="G4863" s="4" t="s">
        <v>25556</v>
      </c>
      <c r="H4863" s="3" t="s">
        <v>23629</v>
      </c>
      <c r="I4863" s="3" t="s">
        <v>25557</v>
      </c>
      <c r="J4863" s="3" t="s">
        <v>25563</v>
      </c>
      <c r="K4863" s="3" t="s">
        <v>25564</v>
      </c>
      <c r="L4863" s="3" t="s">
        <v>25565</v>
      </c>
      <c r="M4863" s="4"/>
      <c r="N4863" s="3" t="s">
        <v>37</v>
      </c>
      <c r="O4863" s="3" t="s">
        <v>38</v>
      </c>
      <c r="P4863" s="5">
        <v>9</v>
      </c>
      <c r="Q4863" s="5">
        <v>95</v>
      </c>
      <c r="R4863" s="5">
        <v>9</v>
      </c>
      <c r="S4863" s="5">
        <v>88</v>
      </c>
    </row>
    <row r="4864" spans="1:19" ht="28" x14ac:dyDescent="0.15">
      <c r="A4864" s="2">
        <f>HYPERLINK("https://open-school.uspishnemisto.com.ua/school/230369/", 230369)</f>
        <v>230369</v>
      </c>
      <c r="B4864" s="3" t="s">
        <v>25566</v>
      </c>
      <c r="C4864" s="3" t="s">
        <v>31</v>
      </c>
      <c r="D4864" s="3" t="s">
        <v>32</v>
      </c>
      <c r="E4864" s="4" t="s">
        <v>22</v>
      </c>
      <c r="F4864" s="4" t="s">
        <v>25555</v>
      </c>
      <c r="G4864" s="4" t="s">
        <v>25556</v>
      </c>
      <c r="H4864" s="3" t="s">
        <v>23629</v>
      </c>
      <c r="I4864" s="3" t="s">
        <v>25557</v>
      </c>
      <c r="J4864" s="3" t="s">
        <v>25567</v>
      </c>
      <c r="K4864" s="3" t="s">
        <v>25568</v>
      </c>
      <c r="L4864" s="3"/>
      <c r="M4864" s="4"/>
      <c r="N4864" s="3" t="s">
        <v>37</v>
      </c>
      <c r="O4864" s="3" t="s">
        <v>38</v>
      </c>
      <c r="P4864" s="5">
        <v>20</v>
      </c>
      <c r="Q4864" s="5">
        <v>375</v>
      </c>
      <c r="R4864" s="5">
        <v>21</v>
      </c>
      <c r="S4864" s="5">
        <v>376</v>
      </c>
    </row>
    <row r="4865" spans="1:19" ht="42" x14ac:dyDescent="0.15">
      <c r="A4865" s="2">
        <f>HYPERLINK("https://open-school.uspishnemisto.com.ua/school/230370/", 230370)</f>
        <v>230370</v>
      </c>
      <c r="B4865" s="3" t="s">
        <v>25569</v>
      </c>
      <c r="C4865" s="3" t="s">
        <v>31</v>
      </c>
      <c r="D4865" s="3" t="s">
        <v>32</v>
      </c>
      <c r="E4865" s="4" t="s">
        <v>22</v>
      </c>
      <c r="F4865" s="4" t="s">
        <v>25570</v>
      </c>
      <c r="G4865" s="4" t="s">
        <v>25556</v>
      </c>
      <c r="H4865" s="3" t="s">
        <v>23629</v>
      </c>
      <c r="I4865" s="3" t="s">
        <v>25557</v>
      </c>
      <c r="J4865" s="3" t="s">
        <v>25571</v>
      </c>
      <c r="K4865" s="3" t="s">
        <v>25572</v>
      </c>
      <c r="L4865" s="3" t="s">
        <v>25573</v>
      </c>
      <c r="M4865" s="4"/>
      <c r="N4865" s="3" t="s">
        <v>37</v>
      </c>
      <c r="O4865" s="3" t="s">
        <v>38</v>
      </c>
      <c r="P4865" s="5">
        <v>11</v>
      </c>
      <c r="Q4865" s="5">
        <v>221</v>
      </c>
      <c r="R4865" s="5">
        <v>11</v>
      </c>
      <c r="S4865" s="5">
        <v>230</v>
      </c>
    </row>
    <row r="4866" spans="1:19" ht="42" x14ac:dyDescent="0.15">
      <c r="A4866" s="2">
        <f>HYPERLINK("https://open-school.uspishnemisto.com.ua/school/230371/", 230371)</f>
        <v>230371</v>
      </c>
      <c r="B4866" s="3" t="s">
        <v>25574</v>
      </c>
      <c r="C4866" s="3" t="s">
        <v>31</v>
      </c>
      <c r="D4866" s="3" t="s">
        <v>32</v>
      </c>
      <c r="E4866" s="4" t="s">
        <v>22</v>
      </c>
      <c r="F4866" s="4" t="s">
        <v>25575</v>
      </c>
      <c r="G4866" s="4" t="s">
        <v>25576</v>
      </c>
      <c r="H4866" s="3" t="s">
        <v>23629</v>
      </c>
      <c r="I4866" s="3" t="s">
        <v>11147</v>
      </c>
      <c r="J4866" s="3" t="s">
        <v>25577</v>
      </c>
      <c r="K4866" s="3" t="s">
        <v>25578</v>
      </c>
      <c r="L4866" s="3" t="s">
        <v>25579</v>
      </c>
      <c r="M4866" s="4"/>
      <c r="N4866" s="3" t="s">
        <v>37</v>
      </c>
      <c r="O4866" s="3" t="s">
        <v>46</v>
      </c>
      <c r="P4866" s="5">
        <v>22</v>
      </c>
      <c r="Q4866" s="5">
        <v>444</v>
      </c>
      <c r="R4866" s="5">
        <v>22</v>
      </c>
      <c r="S4866" s="5">
        <v>459</v>
      </c>
    </row>
    <row r="4867" spans="1:19" ht="28" x14ac:dyDescent="0.15">
      <c r="A4867" s="2">
        <f>HYPERLINK("https://open-school.uspishnemisto.com.ua/school/230372/", 230372)</f>
        <v>230372</v>
      </c>
      <c r="B4867" s="3" t="s">
        <v>25580</v>
      </c>
      <c r="C4867" s="3" t="s">
        <v>31</v>
      </c>
      <c r="D4867" s="3" t="s">
        <v>32</v>
      </c>
      <c r="E4867" s="4" t="s">
        <v>22</v>
      </c>
      <c r="F4867" s="4" t="s">
        <v>25581</v>
      </c>
      <c r="G4867" s="4" t="s">
        <v>25576</v>
      </c>
      <c r="H4867" s="3" t="s">
        <v>23629</v>
      </c>
      <c r="I4867" s="3" t="s">
        <v>11147</v>
      </c>
      <c r="J4867" s="3" t="s">
        <v>25582</v>
      </c>
      <c r="K4867" s="3" t="s">
        <v>25583</v>
      </c>
      <c r="L4867" s="3"/>
      <c r="M4867" s="4"/>
      <c r="N4867" s="3" t="s">
        <v>37</v>
      </c>
      <c r="O4867" s="3" t="s">
        <v>70</v>
      </c>
      <c r="P4867" s="5">
        <v>11</v>
      </c>
      <c r="Q4867" s="5">
        <v>178</v>
      </c>
      <c r="R4867" s="5">
        <v>11</v>
      </c>
      <c r="S4867" s="5">
        <v>188</v>
      </c>
    </row>
    <row r="4868" spans="1:19" ht="28" x14ac:dyDescent="0.15">
      <c r="A4868" s="2">
        <f>HYPERLINK("https://open-school.uspishnemisto.com.ua/school/230373/", 230373)</f>
        <v>230373</v>
      </c>
      <c r="B4868" s="3" t="s">
        <v>25584</v>
      </c>
      <c r="C4868" s="3" t="s">
        <v>31</v>
      </c>
      <c r="D4868" s="3" t="s">
        <v>32</v>
      </c>
      <c r="E4868" s="4" t="s">
        <v>22</v>
      </c>
      <c r="F4868" s="4" t="s">
        <v>25585</v>
      </c>
      <c r="G4868" s="4" t="s">
        <v>25586</v>
      </c>
      <c r="H4868" s="3" t="s">
        <v>23629</v>
      </c>
      <c r="I4868" s="3" t="s">
        <v>25085</v>
      </c>
      <c r="J4868" s="3" t="s">
        <v>3173</v>
      </c>
      <c r="K4868" s="3" t="s">
        <v>25587</v>
      </c>
      <c r="L4868" s="3" t="s">
        <v>25588</v>
      </c>
      <c r="M4868" s="4"/>
      <c r="N4868" s="3" t="s">
        <v>37</v>
      </c>
      <c r="O4868" s="3" t="s">
        <v>38</v>
      </c>
      <c r="P4868" s="5">
        <v>11</v>
      </c>
      <c r="Q4868" s="5">
        <v>97</v>
      </c>
      <c r="R4868" s="5">
        <v>11</v>
      </c>
      <c r="S4868" s="5">
        <v>104</v>
      </c>
    </row>
    <row r="4869" spans="1:19" ht="42" x14ac:dyDescent="0.15">
      <c r="A4869" s="2">
        <f>HYPERLINK("https://open-school.uspishnemisto.com.ua/school/230374/", 230374)</f>
        <v>230374</v>
      </c>
      <c r="B4869" s="3" t="s">
        <v>25589</v>
      </c>
      <c r="C4869" s="3" t="s">
        <v>31</v>
      </c>
      <c r="D4869" s="3" t="s">
        <v>32</v>
      </c>
      <c r="E4869" s="4" t="s">
        <v>22</v>
      </c>
      <c r="F4869" s="4" t="s">
        <v>25585</v>
      </c>
      <c r="G4869" s="4" t="s">
        <v>25586</v>
      </c>
      <c r="H4869" s="3" t="s">
        <v>23629</v>
      </c>
      <c r="I4869" s="3" t="s">
        <v>25085</v>
      </c>
      <c r="J4869" s="3" t="s">
        <v>25590</v>
      </c>
      <c r="K4869" s="3" t="s">
        <v>25591</v>
      </c>
      <c r="L4869" s="3" t="s">
        <v>25592</v>
      </c>
      <c r="M4869" s="4"/>
      <c r="N4869" s="3" t="s">
        <v>37</v>
      </c>
      <c r="O4869" s="3" t="s">
        <v>38</v>
      </c>
      <c r="P4869" s="5">
        <v>11</v>
      </c>
      <c r="Q4869" s="5">
        <v>185</v>
      </c>
      <c r="R4869" s="5">
        <v>11</v>
      </c>
      <c r="S4869" s="5">
        <v>191</v>
      </c>
    </row>
    <row r="4870" spans="1:19" ht="42" x14ac:dyDescent="0.15">
      <c r="A4870" s="2">
        <f>HYPERLINK("https://open-school.uspishnemisto.com.ua/school/230375/", 230375)</f>
        <v>230375</v>
      </c>
      <c r="B4870" s="3" t="s">
        <v>25593</v>
      </c>
      <c r="C4870" s="3" t="s">
        <v>31</v>
      </c>
      <c r="D4870" s="3" t="s">
        <v>32</v>
      </c>
      <c r="E4870" s="4" t="s">
        <v>22</v>
      </c>
      <c r="F4870" s="4" t="s">
        <v>25594</v>
      </c>
      <c r="G4870" s="4" t="s">
        <v>25595</v>
      </c>
      <c r="H4870" s="3" t="s">
        <v>23629</v>
      </c>
      <c r="I4870" s="3" t="s">
        <v>25596</v>
      </c>
      <c r="J4870" s="3" t="s">
        <v>447</v>
      </c>
      <c r="K4870" s="3" t="s">
        <v>25597</v>
      </c>
      <c r="L4870" s="3" t="s">
        <v>25598</v>
      </c>
      <c r="M4870" s="4"/>
      <c r="N4870" s="3" t="s">
        <v>37</v>
      </c>
      <c r="O4870" s="3" t="s">
        <v>38</v>
      </c>
      <c r="P4870" s="5">
        <v>11</v>
      </c>
      <c r="Q4870" s="5">
        <v>105</v>
      </c>
      <c r="R4870" s="5">
        <v>10</v>
      </c>
      <c r="S4870" s="5">
        <v>98</v>
      </c>
    </row>
    <row r="4871" spans="1:19" ht="42" x14ac:dyDescent="0.15">
      <c r="A4871" s="2">
        <f>HYPERLINK("https://open-school.uspishnemisto.com.ua/school/230376/", 230376)</f>
        <v>230376</v>
      </c>
      <c r="B4871" s="3" t="s">
        <v>25599</v>
      </c>
      <c r="C4871" s="3" t="s">
        <v>54</v>
      </c>
      <c r="D4871" s="3" t="s">
        <v>32</v>
      </c>
      <c r="E4871" s="4" t="s">
        <v>22</v>
      </c>
      <c r="F4871" s="4" t="s">
        <v>25600</v>
      </c>
      <c r="G4871" s="4" t="s">
        <v>25601</v>
      </c>
      <c r="H4871" s="3" t="s">
        <v>23629</v>
      </c>
      <c r="I4871" s="3" t="s">
        <v>883</v>
      </c>
      <c r="J4871" s="3" t="s">
        <v>25602</v>
      </c>
      <c r="K4871" s="3" t="s">
        <v>25603</v>
      </c>
      <c r="L4871" s="3"/>
      <c r="M4871" s="4"/>
      <c r="N4871" s="3" t="s">
        <v>37</v>
      </c>
      <c r="O4871" s="3" t="s">
        <v>70</v>
      </c>
      <c r="P4871" s="5">
        <v>11</v>
      </c>
      <c r="Q4871" s="5">
        <v>119</v>
      </c>
      <c r="R4871" s="5">
        <v>11</v>
      </c>
      <c r="S4871" s="5">
        <v>120</v>
      </c>
    </row>
    <row r="4872" spans="1:19" ht="28" x14ac:dyDescent="0.15">
      <c r="A4872" s="2">
        <f>HYPERLINK("https://open-school.uspishnemisto.com.ua/school/230377/", 230377)</f>
        <v>230377</v>
      </c>
      <c r="B4872" s="3" t="s">
        <v>25604</v>
      </c>
      <c r="C4872" s="3" t="s">
        <v>31</v>
      </c>
      <c r="D4872" s="3" t="s">
        <v>32</v>
      </c>
      <c r="E4872" s="4" t="s">
        <v>22</v>
      </c>
      <c r="F4872" s="4" t="s">
        <v>25605</v>
      </c>
      <c r="G4872" s="4" t="s">
        <v>25606</v>
      </c>
      <c r="H4872" s="3" t="s">
        <v>23629</v>
      </c>
      <c r="I4872" s="3" t="s">
        <v>15593</v>
      </c>
      <c r="J4872" s="3" t="s">
        <v>25607</v>
      </c>
      <c r="K4872" s="3" t="s">
        <v>25608</v>
      </c>
      <c r="L4872" s="3" t="s">
        <v>25609</v>
      </c>
      <c r="M4872" s="4"/>
      <c r="N4872" s="3" t="s">
        <v>37</v>
      </c>
      <c r="O4872" s="3" t="s">
        <v>38</v>
      </c>
      <c r="P4872" s="5">
        <v>11</v>
      </c>
      <c r="Q4872" s="5">
        <v>152</v>
      </c>
      <c r="R4872" s="5">
        <v>11</v>
      </c>
      <c r="S4872" s="5">
        <v>159</v>
      </c>
    </row>
    <row r="4873" spans="1:19" ht="28" x14ac:dyDescent="0.15">
      <c r="A4873" s="2">
        <f>HYPERLINK("https://open-school.uspishnemisto.com.ua/school/230378/", 230378)</f>
        <v>230378</v>
      </c>
      <c r="B4873" s="3" t="s">
        <v>25610</v>
      </c>
      <c r="C4873" s="3" t="s">
        <v>31</v>
      </c>
      <c r="D4873" s="3" t="s">
        <v>32</v>
      </c>
      <c r="E4873" s="4" t="s">
        <v>22</v>
      </c>
      <c r="F4873" s="4" t="s">
        <v>25611</v>
      </c>
      <c r="G4873" s="4" t="s">
        <v>25612</v>
      </c>
      <c r="H4873" s="3" t="s">
        <v>23629</v>
      </c>
      <c r="I4873" s="3" t="s">
        <v>25613</v>
      </c>
      <c r="J4873" s="3" t="s">
        <v>2820</v>
      </c>
      <c r="K4873" s="3" t="s">
        <v>25614</v>
      </c>
      <c r="L4873" s="3" t="s">
        <v>25615</v>
      </c>
      <c r="M4873" s="4"/>
      <c r="N4873" s="3" t="s">
        <v>37</v>
      </c>
      <c r="O4873" s="3" t="s">
        <v>38</v>
      </c>
      <c r="P4873" s="5">
        <v>11</v>
      </c>
      <c r="Q4873" s="5">
        <v>149</v>
      </c>
      <c r="R4873" s="5">
        <v>11</v>
      </c>
      <c r="S4873" s="5">
        <v>155</v>
      </c>
    </row>
    <row r="4874" spans="1:19" ht="28" x14ac:dyDescent="0.15">
      <c r="A4874" s="2">
        <f>HYPERLINK("https://open-school.uspishnemisto.com.ua/school/230379/", 230379)</f>
        <v>230379</v>
      </c>
      <c r="B4874" s="3" t="s">
        <v>25616</v>
      </c>
      <c r="C4874" s="3" t="s">
        <v>31</v>
      </c>
      <c r="D4874" s="3" t="s">
        <v>32</v>
      </c>
      <c r="E4874" s="4" t="s">
        <v>22</v>
      </c>
      <c r="F4874" s="4" t="s">
        <v>25617</v>
      </c>
      <c r="G4874" s="4" t="s">
        <v>25618</v>
      </c>
      <c r="H4874" s="3" t="s">
        <v>23629</v>
      </c>
      <c r="I4874" s="3" t="s">
        <v>25619</v>
      </c>
      <c r="J4874" s="3" t="s">
        <v>5264</v>
      </c>
      <c r="K4874" s="3" t="s">
        <v>25620</v>
      </c>
      <c r="L4874" s="3" t="s">
        <v>25621</v>
      </c>
      <c r="M4874" s="4"/>
      <c r="N4874" s="3" t="s">
        <v>37</v>
      </c>
      <c r="O4874" s="3" t="s">
        <v>38</v>
      </c>
      <c r="P4874" s="5">
        <v>13</v>
      </c>
      <c r="Q4874" s="5">
        <v>277</v>
      </c>
      <c r="R4874" s="5">
        <v>13</v>
      </c>
      <c r="S4874" s="5">
        <v>283</v>
      </c>
    </row>
    <row r="4875" spans="1:19" ht="42" x14ac:dyDescent="0.15">
      <c r="A4875" s="2">
        <f>HYPERLINK("https://open-school.uspishnemisto.com.ua/school/230380/", 230380)</f>
        <v>230380</v>
      </c>
      <c r="B4875" s="3" t="s">
        <v>25622</v>
      </c>
      <c r="C4875" s="3" t="s">
        <v>244</v>
      </c>
      <c r="D4875" s="3" t="s">
        <v>32</v>
      </c>
      <c r="E4875" s="4" t="s">
        <v>22</v>
      </c>
      <c r="F4875" s="4" t="s">
        <v>25617</v>
      </c>
      <c r="G4875" s="4" t="s">
        <v>25618</v>
      </c>
      <c r="H4875" s="3" t="s">
        <v>23629</v>
      </c>
      <c r="I4875" s="3" t="s">
        <v>25619</v>
      </c>
      <c r="J4875" s="3" t="s">
        <v>1348</v>
      </c>
      <c r="K4875" s="3" t="s">
        <v>25623</v>
      </c>
      <c r="L4875" s="3" t="s">
        <v>25624</v>
      </c>
      <c r="M4875" s="4"/>
      <c r="N4875" s="3" t="s">
        <v>37</v>
      </c>
      <c r="O4875" s="3" t="s">
        <v>70</v>
      </c>
      <c r="P4875" s="5">
        <v>18</v>
      </c>
      <c r="Q4875" s="5">
        <v>367</v>
      </c>
      <c r="R4875" s="5">
        <v>18</v>
      </c>
      <c r="S4875" s="5">
        <v>382</v>
      </c>
    </row>
    <row r="4876" spans="1:19" ht="42" x14ac:dyDescent="0.15">
      <c r="A4876" s="2">
        <f>HYPERLINK("https://open-school.uspishnemisto.com.ua/school/230381/", 230381)</f>
        <v>230381</v>
      </c>
      <c r="B4876" s="3" t="s">
        <v>25625</v>
      </c>
      <c r="C4876" s="3" t="s">
        <v>31</v>
      </c>
      <c r="D4876" s="3" t="s">
        <v>32</v>
      </c>
      <c r="E4876" s="4" t="s">
        <v>22</v>
      </c>
      <c r="F4876" s="4" t="s">
        <v>25626</v>
      </c>
      <c r="G4876" s="4" t="s">
        <v>25627</v>
      </c>
      <c r="H4876" s="3" t="s">
        <v>23629</v>
      </c>
      <c r="I4876" s="3" t="s">
        <v>25628</v>
      </c>
      <c r="J4876" s="3" t="s">
        <v>25629</v>
      </c>
      <c r="K4876" s="3" t="s">
        <v>25630</v>
      </c>
      <c r="L4876" s="3" t="s">
        <v>25631</v>
      </c>
      <c r="M4876" s="4"/>
      <c r="N4876" s="3" t="s">
        <v>37</v>
      </c>
      <c r="O4876" s="3" t="s">
        <v>38</v>
      </c>
      <c r="P4876" s="5">
        <v>14</v>
      </c>
      <c r="Q4876" s="5">
        <v>248</v>
      </c>
      <c r="R4876" s="5">
        <v>12</v>
      </c>
      <c r="S4876" s="5">
        <v>232</v>
      </c>
    </row>
    <row r="4877" spans="1:19" ht="42" x14ac:dyDescent="0.15">
      <c r="A4877" s="2">
        <f>HYPERLINK("https://open-school.uspishnemisto.com.ua/school/230382/", 230382)</f>
        <v>230382</v>
      </c>
      <c r="B4877" s="3" t="s">
        <v>25632</v>
      </c>
      <c r="C4877" s="3" t="s">
        <v>31</v>
      </c>
      <c r="D4877" s="3" t="s">
        <v>32</v>
      </c>
      <c r="E4877" s="4" t="s">
        <v>22</v>
      </c>
      <c r="F4877" s="4" t="s">
        <v>25633</v>
      </c>
      <c r="G4877" s="4" t="s">
        <v>25634</v>
      </c>
      <c r="H4877" s="3" t="s">
        <v>23629</v>
      </c>
      <c r="I4877" s="3" t="s">
        <v>25635</v>
      </c>
      <c r="J4877" s="3" t="s">
        <v>25636</v>
      </c>
      <c r="K4877" s="3" t="s">
        <v>25637</v>
      </c>
      <c r="L4877" s="3" t="s">
        <v>25638</v>
      </c>
      <c r="M4877" s="4"/>
      <c r="N4877" s="3" t="s">
        <v>37</v>
      </c>
      <c r="O4877" s="3" t="s">
        <v>38</v>
      </c>
      <c r="P4877" s="5">
        <v>11</v>
      </c>
      <c r="Q4877" s="5">
        <v>115</v>
      </c>
      <c r="R4877" s="5">
        <v>11</v>
      </c>
      <c r="S4877" s="5">
        <v>119</v>
      </c>
    </row>
    <row r="4878" spans="1:19" ht="42" x14ac:dyDescent="0.15">
      <c r="A4878" s="2">
        <f>HYPERLINK("https://open-school.uspishnemisto.com.ua/school/230383/", 230383)</f>
        <v>230383</v>
      </c>
      <c r="B4878" s="3" t="s">
        <v>25639</v>
      </c>
      <c r="C4878" s="3" t="s">
        <v>31</v>
      </c>
      <c r="D4878" s="3" t="s">
        <v>32</v>
      </c>
      <c r="E4878" s="4" t="s">
        <v>22</v>
      </c>
      <c r="F4878" s="4" t="s">
        <v>25640</v>
      </c>
      <c r="G4878" s="4" t="s">
        <v>25641</v>
      </c>
      <c r="H4878" s="3" t="s">
        <v>23629</v>
      </c>
      <c r="I4878" s="3" t="s">
        <v>25550</v>
      </c>
      <c r="J4878" s="3" t="s">
        <v>25642</v>
      </c>
      <c r="K4878" s="3" t="s">
        <v>25643</v>
      </c>
      <c r="L4878" s="3" t="s">
        <v>25644</v>
      </c>
      <c r="M4878" s="4"/>
      <c r="N4878" s="3" t="s">
        <v>37</v>
      </c>
      <c r="O4878" s="3" t="s">
        <v>38</v>
      </c>
      <c r="P4878" s="5">
        <v>11</v>
      </c>
      <c r="Q4878" s="5">
        <v>122</v>
      </c>
      <c r="R4878" s="5">
        <v>11</v>
      </c>
      <c r="S4878" s="5">
        <v>130</v>
      </c>
    </row>
    <row r="4879" spans="1:19" ht="42" x14ac:dyDescent="0.15">
      <c r="A4879" s="2">
        <f>HYPERLINK("https://open-school.uspishnemisto.com.ua/school/230384/", 230384)</f>
        <v>230384</v>
      </c>
      <c r="B4879" s="3" t="s">
        <v>25645</v>
      </c>
      <c r="C4879" s="3" t="s">
        <v>54</v>
      </c>
      <c r="D4879" s="3" t="s">
        <v>60</v>
      </c>
      <c r="E4879" s="4" t="s">
        <v>22</v>
      </c>
      <c r="F4879" s="4" t="s">
        <v>25646</v>
      </c>
      <c r="G4879" s="4" t="s">
        <v>25647</v>
      </c>
      <c r="H4879" s="3" t="s">
        <v>23629</v>
      </c>
      <c r="I4879" s="3" t="s">
        <v>25648</v>
      </c>
      <c r="J4879" s="3" t="s">
        <v>25649</v>
      </c>
      <c r="K4879" s="3" t="s">
        <v>25650</v>
      </c>
      <c r="L4879" s="3"/>
      <c r="M4879" s="4"/>
      <c r="N4879" s="3" t="s">
        <v>37</v>
      </c>
      <c r="O4879" s="3" t="s">
        <v>38</v>
      </c>
      <c r="P4879" s="5">
        <v>1</v>
      </c>
      <c r="Q4879" s="5">
        <v>5</v>
      </c>
      <c r="R4879" s="5">
        <v>1</v>
      </c>
      <c r="S4879" s="5">
        <v>6</v>
      </c>
    </row>
    <row r="4880" spans="1:19" ht="42" x14ac:dyDescent="0.15">
      <c r="A4880" s="2">
        <f>HYPERLINK("https://open-school.uspishnemisto.com.ua/school/230385/", 230385)</f>
        <v>230385</v>
      </c>
      <c r="B4880" s="3" t="s">
        <v>25651</v>
      </c>
      <c r="C4880" s="3" t="s">
        <v>54</v>
      </c>
      <c r="D4880" s="3" t="s">
        <v>60</v>
      </c>
      <c r="E4880" s="4" t="s">
        <v>22</v>
      </c>
      <c r="F4880" s="4" t="s">
        <v>25652</v>
      </c>
      <c r="G4880" s="4" t="s">
        <v>25653</v>
      </c>
      <c r="H4880" s="3" t="s">
        <v>23629</v>
      </c>
      <c r="I4880" s="3" t="s">
        <v>25654</v>
      </c>
      <c r="J4880" s="3" t="s">
        <v>2555</v>
      </c>
      <c r="K4880" s="3" t="s">
        <v>25655</v>
      </c>
      <c r="L4880" s="3" t="s">
        <v>25656</v>
      </c>
      <c r="M4880" s="4"/>
      <c r="N4880" s="3" t="s">
        <v>37</v>
      </c>
      <c r="O4880" s="3" t="s">
        <v>38</v>
      </c>
      <c r="P4880" s="5">
        <v>1</v>
      </c>
      <c r="Q4880" s="5">
        <v>11</v>
      </c>
      <c r="R4880" s="5">
        <v>2</v>
      </c>
      <c r="S4880" s="5">
        <v>16</v>
      </c>
    </row>
    <row r="4881" spans="1:19" ht="28" x14ac:dyDescent="0.15">
      <c r="A4881" s="2">
        <f>HYPERLINK("https://open-school.uspishnemisto.com.ua/school/230386/", 230386)</f>
        <v>230386</v>
      </c>
      <c r="B4881" s="3" t="s">
        <v>25657</v>
      </c>
      <c r="C4881" s="3" t="s">
        <v>31</v>
      </c>
      <c r="D4881" s="3" t="s">
        <v>32</v>
      </c>
      <c r="E4881" s="4" t="s">
        <v>22</v>
      </c>
      <c r="F4881" s="4" t="s">
        <v>25658</v>
      </c>
      <c r="G4881" s="4" t="s">
        <v>25659</v>
      </c>
      <c r="H4881" s="3" t="s">
        <v>23629</v>
      </c>
      <c r="I4881" s="3" t="s">
        <v>440</v>
      </c>
      <c r="J4881" s="3" t="s">
        <v>25660</v>
      </c>
      <c r="K4881" s="3" t="s">
        <v>25661</v>
      </c>
      <c r="L4881" s="3" t="s">
        <v>25662</v>
      </c>
      <c r="M4881" s="4"/>
      <c r="N4881" s="3" t="s">
        <v>37</v>
      </c>
      <c r="O4881" s="3" t="s">
        <v>38</v>
      </c>
      <c r="P4881" s="5">
        <v>11</v>
      </c>
      <c r="Q4881" s="5">
        <v>95</v>
      </c>
      <c r="R4881" s="5">
        <v>10</v>
      </c>
      <c r="S4881" s="5">
        <v>89</v>
      </c>
    </row>
    <row r="4882" spans="1:19" ht="28" x14ac:dyDescent="0.15">
      <c r="A4882" s="2">
        <f>HYPERLINK("https://open-school.uspishnemisto.com.ua/school/230387/", 230387)</f>
        <v>230387</v>
      </c>
      <c r="B4882" s="3" t="s">
        <v>25663</v>
      </c>
      <c r="C4882" s="3" t="s">
        <v>31</v>
      </c>
      <c r="D4882" s="3" t="s">
        <v>32</v>
      </c>
      <c r="E4882" s="4" t="s">
        <v>22</v>
      </c>
      <c r="F4882" s="4" t="s">
        <v>25664</v>
      </c>
      <c r="G4882" s="4" t="s">
        <v>25665</v>
      </c>
      <c r="H4882" s="3" t="s">
        <v>23629</v>
      </c>
      <c r="I4882" s="3" t="s">
        <v>7563</v>
      </c>
      <c r="J4882" s="3" t="s">
        <v>25666</v>
      </c>
      <c r="K4882" s="3" t="s">
        <v>25667</v>
      </c>
      <c r="L4882" s="3" t="s">
        <v>25668</v>
      </c>
      <c r="M4882" s="4"/>
      <c r="N4882" s="3" t="s">
        <v>37</v>
      </c>
      <c r="O4882" s="3" t="s">
        <v>38</v>
      </c>
      <c r="P4882" s="5">
        <v>10</v>
      </c>
      <c r="Q4882" s="5">
        <v>154</v>
      </c>
      <c r="R4882" s="5">
        <v>9</v>
      </c>
      <c r="S4882" s="5">
        <v>139</v>
      </c>
    </row>
    <row r="4883" spans="1:19" ht="56" x14ac:dyDescent="0.15">
      <c r="A4883" s="2">
        <f>HYPERLINK("https://open-school.uspishnemisto.com.ua/school/230388/", 230388)</f>
        <v>230388</v>
      </c>
      <c r="B4883" s="3" t="s">
        <v>25669</v>
      </c>
      <c r="C4883" s="3" t="s">
        <v>54</v>
      </c>
      <c r="D4883" s="3" t="s">
        <v>32</v>
      </c>
      <c r="E4883" s="4" t="s">
        <v>22</v>
      </c>
      <c r="F4883" s="4" t="s">
        <v>25670</v>
      </c>
      <c r="G4883" s="4" t="s">
        <v>25671</v>
      </c>
      <c r="H4883" s="3" t="s">
        <v>23629</v>
      </c>
      <c r="I4883" s="3" t="s">
        <v>11964</v>
      </c>
      <c r="J4883" s="3" t="s">
        <v>25672</v>
      </c>
      <c r="K4883" s="3" t="s">
        <v>25673</v>
      </c>
      <c r="L4883" s="3" t="s">
        <v>25674</v>
      </c>
      <c r="M4883" s="4"/>
      <c r="N4883" s="3" t="s">
        <v>37</v>
      </c>
      <c r="O4883" s="3" t="s">
        <v>197</v>
      </c>
      <c r="P4883" s="5">
        <v>22</v>
      </c>
      <c r="Q4883" s="5">
        <v>296</v>
      </c>
      <c r="R4883" s="5">
        <v>23</v>
      </c>
      <c r="S4883" s="5">
        <v>305</v>
      </c>
    </row>
    <row r="4884" spans="1:19" ht="42" x14ac:dyDescent="0.15">
      <c r="A4884" s="2">
        <f>HYPERLINK("https://open-school.uspishnemisto.com.ua/school/230389/", 230389)</f>
        <v>230389</v>
      </c>
      <c r="B4884" s="3" t="s">
        <v>25675</v>
      </c>
      <c r="C4884" s="3" t="s">
        <v>31</v>
      </c>
      <c r="D4884" s="3" t="s">
        <v>32</v>
      </c>
      <c r="E4884" s="4" t="s">
        <v>22</v>
      </c>
      <c r="F4884" s="4" t="s">
        <v>25676</v>
      </c>
      <c r="G4884" s="4" t="s">
        <v>25677</v>
      </c>
      <c r="H4884" s="3" t="s">
        <v>23629</v>
      </c>
      <c r="I4884" s="3" t="s">
        <v>11450</v>
      </c>
      <c r="J4884" s="3" t="s">
        <v>25678</v>
      </c>
      <c r="K4884" s="3" t="s">
        <v>25679</v>
      </c>
      <c r="L4884" s="3" t="s">
        <v>25680</v>
      </c>
      <c r="M4884" s="4"/>
      <c r="N4884" s="3" t="s">
        <v>37</v>
      </c>
      <c r="O4884" s="3" t="s">
        <v>38</v>
      </c>
      <c r="P4884" s="5">
        <v>11</v>
      </c>
      <c r="Q4884" s="5">
        <v>90</v>
      </c>
      <c r="R4884" s="5">
        <v>11</v>
      </c>
      <c r="S4884" s="5">
        <v>100</v>
      </c>
    </row>
    <row r="4885" spans="1:19" ht="28" x14ac:dyDescent="0.15">
      <c r="A4885" s="2">
        <f>HYPERLINK("https://open-school.uspishnemisto.com.ua/school/230390/", 230390)</f>
        <v>230390</v>
      </c>
      <c r="B4885" s="3" t="s">
        <v>25681</v>
      </c>
      <c r="C4885" s="3" t="s">
        <v>31</v>
      </c>
      <c r="D4885" s="3" t="s">
        <v>32</v>
      </c>
      <c r="E4885" s="4" t="s">
        <v>22</v>
      </c>
      <c r="F4885" s="4" t="s">
        <v>25682</v>
      </c>
      <c r="G4885" s="4" t="s">
        <v>25683</v>
      </c>
      <c r="H4885" s="3" t="s">
        <v>23629</v>
      </c>
      <c r="I4885" s="3" t="s">
        <v>1889</v>
      </c>
      <c r="J4885" s="3" t="s">
        <v>466</v>
      </c>
      <c r="K4885" s="3" t="s">
        <v>25684</v>
      </c>
      <c r="L4885" s="3" t="s">
        <v>25685</v>
      </c>
      <c r="M4885" s="4" t="s">
        <v>25686</v>
      </c>
      <c r="N4885" s="3" t="s">
        <v>37</v>
      </c>
      <c r="O4885" s="3" t="s">
        <v>38</v>
      </c>
      <c r="P4885" s="5">
        <v>18</v>
      </c>
      <c r="Q4885" s="5">
        <v>334</v>
      </c>
      <c r="R4885" s="5">
        <v>17</v>
      </c>
      <c r="S4885" s="5">
        <v>329</v>
      </c>
    </row>
    <row r="4886" spans="1:19" ht="28" x14ac:dyDescent="0.15">
      <c r="A4886" s="2">
        <f>HYPERLINK("https://open-school.uspishnemisto.com.ua/school/230391/", 230391)</f>
        <v>230391</v>
      </c>
      <c r="B4886" s="3" t="s">
        <v>25687</v>
      </c>
      <c r="C4886" s="3" t="s">
        <v>31</v>
      </c>
      <c r="D4886" s="3" t="s">
        <v>32</v>
      </c>
      <c r="E4886" s="4" t="s">
        <v>22</v>
      </c>
      <c r="F4886" s="4" t="s">
        <v>25688</v>
      </c>
      <c r="G4886" s="4" t="s">
        <v>25689</v>
      </c>
      <c r="H4886" s="3" t="s">
        <v>23629</v>
      </c>
      <c r="I4886" s="3" t="s">
        <v>25690</v>
      </c>
      <c r="J4886" s="3" t="s">
        <v>25691</v>
      </c>
      <c r="K4886" s="3" t="s">
        <v>25692</v>
      </c>
      <c r="L4886" s="3" t="s">
        <v>25693</v>
      </c>
      <c r="M4886" s="4" t="s">
        <v>25694</v>
      </c>
      <c r="N4886" s="3" t="s">
        <v>37</v>
      </c>
      <c r="O4886" s="3" t="s">
        <v>38</v>
      </c>
      <c r="P4886" s="5">
        <v>11</v>
      </c>
      <c r="Q4886" s="5">
        <v>99</v>
      </c>
      <c r="R4886" s="5">
        <v>10</v>
      </c>
      <c r="S4886" s="5">
        <v>90</v>
      </c>
    </row>
    <row r="4887" spans="1:19" ht="28" x14ac:dyDescent="0.15">
      <c r="A4887" s="2">
        <f>HYPERLINK("https://open-school.uspishnemisto.com.ua/school/230392/", 230392)</f>
        <v>230392</v>
      </c>
      <c r="B4887" s="3" t="s">
        <v>25695</v>
      </c>
      <c r="C4887" s="3" t="s">
        <v>40</v>
      </c>
      <c r="D4887" s="3" t="s">
        <v>32</v>
      </c>
      <c r="E4887" s="4" t="s">
        <v>22</v>
      </c>
      <c r="F4887" s="4" t="s">
        <v>25696</v>
      </c>
      <c r="G4887" s="4" t="s">
        <v>25697</v>
      </c>
      <c r="H4887" s="3" t="s">
        <v>23629</v>
      </c>
      <c r="I4887" s="3" t="s">
        <v>25698</v>
      </c>
      <c r="J4887" s="3" t="s">
        <v>25699</v>
      </c>
      <c r="K4887" s="3" t="s">
        <v>25700</v>
      </c>
      <c r="L4887" s="3" t="s">
        <v>25701</v>
      </c>
      <c r="M4887" s="4" t="s">
        <v>25702</v>
      </c>
      <c r="N4887" s="3" t="s">
        <v>37</v>
      </c>
      <c r="O4887" s="3" t="s">
        <v>46</v>
      </c>
      <c r="P4887" s="5">
        <v>12</v>
      </c>
      <c r="Q4887" s="5">
        <v>265</v>
      </c>
      <c r="R4887" s="5">
        <v>12</v>
      </c>
      <c r="S4887" s="5">
        <v>264</v>
      </c>
    </row>
    <row r="4888" spans="1:19" ht="28" x14ac:dyDescent="0.15">
      <c r="A4888" s="2">
        <f>HYPERLINK("https://open-school.uspishnemisto.com.ua/school/230393/", 230393)</f>
        <v>230393</v>
      </c>
      <c r="B4888" s="3" t="s">
        <v>25703</v>
      </c>
      <c r="C4888" s="3" t="s">
        <v>31</v>
      </c>
      <c r="D4888" s="3" t="s">
        <v>32</v>
      </c>
      <c r="E4888" s="4" t="s">
        <v>22</v>
      </c>
      <c r="F4888" s="4" t="s">
        <v>25696</v>
      </c>
      <c r="G4888" s="4" t="s">
        <v>25697</v>
      </c>
      <c r="H4888" s="3" t="s">
        <v>23629</v>
      </c>
      <c r="I4888" s="3" t="s">
        <v>25698</v>
      </c>
      <c r="J4888" s="3" t="s">
        <v>25704</v>
      </c>
      <c r="K4888" s="3" t="s">
        <v>25705</v>
      </c>
      <c r="L4888" s="3" t="s">
        <v>25706</v>
      </c>
      <c r="M4888" s="4" t="s">
        <v>25707</v>
      </c>
      <c r="N4888" s="3" t="s">
        <v>37</v>
      </c>
      <c r="O4888" s="3" t="s">
        <v>38</v>
      </c>
      <c r="P4888" s="5">
        <v>12</v>
      </c>
      <c r="Q4888" s="5">
        <v>223</v>
      </c>
      <c r="R4888" s="5">
        <v>12</v>
      </c>
      <c r="S4888" s="5">
        <v>214</v>
      </c>
    </row>
    <row r="4889" spans="1:19" ht="56" x14ac:dyDescent="0.15">
      <c r="A4889" s="2">
        <f>HYPERLINK("https://open-school.uspishnemisto.com.ua/school/230394/", 230394)</f>
        <v>230394</v>
      </c>
      <c r="B4889" s="3" t="s">
        <v>25708</v>
      </c>
      <c r="C4889" s="3" t="s">
        <v>244</v>
      </c>
      <c r="D4889" s="3" t="s">
        <v>32</v>
      </c>
      <c r="E4889" s="4" t="s">
        <v>22</v>
      </c>
      <c r="F4889" s="4" t="s">
        <v>25709</v>
      </c>
      <c r="G4889" s="4" t="s">
        <v>25710</v>
      </c>
      <c r="H4889" s="3" t="s">
        <v>23629</v>
      </c>
      <c r="I4889" s="3" t="s">
        <v>2179</v>
      </c>
      <c r="J4889" s="3" t="s">
        <v>25711</v>
      </c>
      <c r="K4889" s="3" t="s">
        <v>25712</v>
      </c>
      <c r="L4889" s="3" t="s">
        <v>25713</v>
      </c>
      <c r="M4889" s="4"/>
      <c r="N4889" s="3" t="s">
        <v>37</v>
      </c>
      <c r="O4889" s="3" t="s">
        <v>70</v>
      </c>
      <c r="P4889" s="5">
        <v>21</v>
      </c>
      <c r="Q4889" s="5">
        <v>483</v>
      </c>
      <c r="R4889" s="5">
        <v>21</v>
      </c>
      <c r="S4889" s="5">
        <v>482</v>
      </c>
    </row>
    <row r="4890" spans="1:19" ht="42" x14ac:dyDescent="0.15">
      <c r="A4890" s="2">
        <f>HYPERLINK("https://open-school.uspishnemisto.com.ua/school/230395/", 230395)</f>
        <v>230395</v>
      </c>
      <c r="B4890" s="3" t="s">
        <v>25714</v>
      </c>
      <c r="C4890" s="3" t="s">
        <v>54</v>
      </c>
      <c r="D4890" s="3" t="s">
        <v>32</v>
      </c>
      <c r="E4890" s="4" t="s">
        <v>22</v>
      </c>
      <c r="F4890" s="4" t="s">
        <v>25709</v>
      </c>
      <c r="G4890" s="4" t="s">
        <v>25710</v>
      </c>
      <c r="H4890" s="3" t="s">
        <v>23629</v>
      </c>
      <c r="I4890" s="3" t="s">
        <v>2179</v>
      </c>
      <c r="J4890" s="3" t="s">
        <v>25715</v>
      </c>
      <c r="K4890" s="3" t="s">
        <v>25716</v>
      </c>
      <c r="L4890" s="3" t="s">
        <v>25717</v>
      </c>
      <c r="M4890" s="4" t="s">
        <v>25718</v>
      </c>
      <c r="N4890" s="3" t="s">
        <v>37</v>
      </c>
      <c r="O4890" s="3" t="s">
        <v>70</v>
      </c>
      <c r="P4890" s="5">
        <v>20</v>
      </c>
      <c r="Q4890" s="5">
        <v>426</v>
      </c>
      <c r="R4890" s="5">
        <v>19</v>
      </c>
      <c r="S4890" s="5">
        <v>413</v>
      </c>
    </row>
    <row r="4891" spans="1:19" ht="28" x14ac:dyDescent="0.15">
      <c r="A4891" s="2">
        <f>HYPERLINK("https://open-school.uspishnemisto.com.ua/school/230396/", 230396)</f>
        <v>230396</v>
      </c>
      <c r="B4891" s="3" t="s">
        <v>25719</v>
      </c>
      <c r="C4891" s="3" t="s">
        <v>188</v>
      </c>
      <c r="D4891" s="3" t="s">
        <v>32</v>
      </c>
      <c r="E4891" s="4" t="s">
        <v>22</v>
      </c>
      <c r="F4891" s="4" t="s">
        <v>25720</v>
      </c>
      <c r="G4891" s="4" t="s">
        <v>25710</v>
      </c>
      <c r="H4891" s="3" t="s">
        <v>23629</v>
      </c>
      <c r="I4891" s="3" t="s">
        <v>2179</v>
      </c>
      <c r="J4891" s="3" t="s">
        <v>25721</v>
      </c>
      <c r="K4891" s="3" t="s">
        <v>25722</v>
      </c>
      <c r="L4891" s="3" t="s">
        <v>25723</v>
      </c>
      <c r="M4891" s="4" t="s">
        <v>25724</v>
      </c>
      <c r="N4891" s="3" t="s">
        <v>37</v>
      </c>
      <c r="O4891" s="3" t="s">
        <v>70</v>
      </c>
      <c r="P4891" s="5">
        <v>14</v>
      </c>
      <c r="Q4891" s="5">
        <v>278</v>
      </c>
      <c r="R4891" s="5">
        <v>13</v>
      </c>
      <c r="S4891" s="5">
        <v>266</v>
      </c>
    </row>
    <row r="4892" spans="1:19" ht="28" x14ac:dyDescent="0.15">
      <c r="A4892" s="2">
        <f>HYPERLINK("https://open-school.uspishnemisto.com.ua/school/230397/", 230397)</f>
        <v>230397</v>
      </c>
      <c r="B4892" s="3" t="s">
        <v>25725</v>
      </c>
      <c r="C4892" s="3" t="s">
        <v>31</v>
      </c>
      <c r="D4892" s="3" t="s">
        <v>32</v>
      </c>
      <c r="E4892" s="4" t="s">
        <v>22</v>
      </c>
      <c r="F4892" s="4" t="s">
        <v>25726</v>
      </c>
      <c r="G4892" s="4" t="s">
        <v>25727</v>
      </c>
      <c r="H4892" s="3" t="s">
        <v>23629</v>
      </c>
      <c r="I4892" s="3" t="s">
        <v>25728</v>
      </c>
      <c r="J4892" s="3" t="s">
        <v>25729</v>
      </c>
      <c r="K4892" s="3" t="s">
        <v>25730</v>
      </c>
      <c r="L4892" s="3" t="s">
        <v>25731</v>
      </c>
      <c r="M4892" s="4" t="s">
        <v>25732</v>
      </c>
      <c r="N4892" s="3" t="s">
        <v>967</v>
      </c>
      <c r="O4892" s="3" t="s">
        <v>46</v>
      </c>
      <c r="P4892" s="5">
        <v>10</v>
      </c>
      <c r="Q4892" s="5">
        <v>76</v>
      </c>
      <c r="R4892" s="5">
        <v>10</v>
      </c>
      <c r="S4892" s="5">
        <v>77</v>
      </c>
    </row>
    <row r="4893" spans="1:19" ht="28" x14ac:dyDescent="0.15">
      <c r="A4893" s="2">
        <f>HYPERLINK("https://open-school.uspishnemisto.com.ua/school/230398/", 230398)</f>
        <v>230398</v>
      </c>
      <c r="B4893" s="3" t="s">
        <v>25733</v>
      </c>
      <c r="C4893" s="3" t="s">
        <v>31</v>
      </c>
      <c r="D4893" s="3" t="s">
        <v>32</v>
      </c>
      <c r="E4893" s="4" t="s">
        <v>22</v>
      </c>
      <c r="F4893" s="4" t="s">
        <v>25734</v>
      </c>
      <c r="G4893" s="4" t="s">
        <v>25735</v>
      </c>
      <c r="H4893" s="3" t="s">
        <v>23629</v>
      </c>
      <c r="I4893" s="3" t="s">
        <v>25736</v>
      </c>
      <c r="J4893" s="3" t="s">
        <v>25737</v>
      </c>
      <c r="K4893" s="3" t="s">
        <v>25738</v>
      </c>
      <c r="L4893" s="3" t="s">
        <v>25739</v>
      </c>
      <c r="M4893" s="4" t="s">
        <v>25740</v>
      </c>
      <c r="N4893" s="3" t="s">
        <v>128</v>
      </c>
      <c r="O4893" s="3" t="s">
        <v>46</v>
      </c>
      <c r="P4893" s="5">
        <v>11</v>
      </c>
      <c r="Q4893" s="5">
        <v>119</v>
      </c>
      <c r="R4893" s="5">
        <v>11</v>
      </c>
      <c r="S4893" s="5">
        <v>112</v>
      </c>
    </row>
    <row r="4894" spans="1:19" ht="28" x14ac:dyDescent="0.15">
      <c r="A4894" s="2">
        <f>HYPERLINK("https://open-school.uspishnemisto.com.ua/school/230399/", 230399)</f>
        <v>230399</v>
      </c>
      <c r="B4894" s="3" t="s">
        <v>25741</v>
      </c>
      <c r="C4894" s="3" t="s">
        <v>31</v>
      </c>
      <c r="D4894" s="3" t="s">
        <v>32</v>
      </c>
      <c r="E4894" s="4" t="s">
        <v>22</v>
      </c>
      <c r="F4894" s="4" t="s">
        <v>25742</v>
      </c>
      <c r="G4894" s="4" t="s">
        <v>25743</v>
      </c>
      <c r="H4894" s="3" t="s">
        <v>23629</v>
      </c>
      <c r="I4894" s="3" t="s">
        <v>3512</v>
      </c>
      <c r="J4894" s="3" t="s">
        <v>1798</v>
      </c>
      <c r="K4894" s="3" t="s">
        <v>25744</v>
      </c>
      <c r="L4894" s="3" t="s">
        <v>25745</v>
      </c>
      <c r="M4894" s="4" t="s">
        <v>25746</v>
      </c>
      <c r="N4894" s="3" t="s">
        <v>128</v>
      </c>
      <c r="O4894" s="3" t="s">
        <v>46</v>
      </c>
      <c r="P4894" s="5">
        <v>11</v>
      </c>
      <c r="Q4894" s="5">
        <v>98</v>
      </c>
      <c r="R4894" s="5">
        <v>11</v>
      </c>
      <c r="S4894" s="5">
        <v>110</v>
      </c>
    </row>
    <row r="4895" spans="1:19" ht="28" x14ac:dyDescent="0.15">
      <c r="A4895" s="2">
        <f>HYPERLINK("https://open-school.uspishnemisto.com.ua/school/230400/", 230400)</f>
        <v>230400</v>
      </c>
      <c r="B4895" s="3" t="s">
        <v>25747</v>
      </c>
      <c r="C4895" s="3" t="s">
        <v>31</v>
      </c>
      <c r="D4895" s="3" t="s">
        <v>60</v>
      </c>
      <c r="E4895" s="4" t="s">
        <v>22</v>
      </c>
      <c r="F4895" s="4" t="s">
        <v>25748</v>
      </c>
      <c r="G4895" s="4" t="s">
        <v>25749</v>
      </c>
      <c r="H4895" s="3" t="s">
        <v>23629</v>
      </c>
      <c r="I4895" s="3" t="s">
        <v>15896</v>
      </c>
      <c r="J4895" s="3" t="s">
        <v>25750</v>
      </c>
      <c r="K4895" s="3" t="s">
        <v>25751</v>
      </c>
      <c r="L4895" s="3" t="s">
        <v>25752</v>
      </c>
      <c r="M4895" s="4"/>
      <c r="N4895" s="3" t="s">
        <v>37</v>
      </c>
      <c r="O4895" s="3" t="s">
        <v>38</v>
      </c>
      <c r="P4895" s="5">
        <v>4</v>
      </c>
      <c r="Q4895" s="5">
        <v>34</v>
      </c>
      <c r="R4895" s="5">
        <v>4</v>
      </c>
      <c r="S4895" s="5">
        <v>32</v>
      </c>
    </row>
    <row r="4896" spans="1:19" ht="28" x14ac:dyDescent="0.15">
      <c r="A4896" s="2">
        <f>HYPERLINK("https://open-school.uspishnemisto.com.ua/school/230401/", 230401)</f>
        <v>230401</v>
      </c>
      <c r="B4896" s="3" t="s">
        <v>25753</v>
      </c>
      <c r="C4896" s="3" t="s">
        <v>31</v>
      </c>
      <c r="D4896" s="3" t="s">
        <v>32</v>
      </c>
      <c r="E4896" s="4" t="s">
        <v>22</v>
      </c>
      <c r="F4896" s="4" t="s">
        <v>25754</v>
      </c>
      <c r="G4896" s="4" t="s">
        <v>25755</v>
      </c>
      <c r="H4896" s="3" t="s">
        <v>23629</v>
      </c>
      <c r="I4896" s="3" t="s">
        <v>25756</v>
      </c>
      <c r="J4896" s="3" t="s">
        <v>25757</v>
      </c>
      <c r="K4896" s="3" t="s">
        <v>25758</v>
      </c>
      <c r="L4896" s="3" t="s">
        <v>25759</v>
      </c>
      <c r="M4896" s="4" t="s">
        <v>25760</v>
      </c>
      <c r="N4896" s="3" t="s">
        <v>37</v>
      </c>
      <c r="O4896" s="3" t="s">
        <v>70</v>
      </c>
      <c r="P4896" s="5">
        <v>11</v>
      </c>
      <c r="Q4896" s="5">
        <v>124</v>
      </c>
      <c r="R4896" s="5">
        <v>11</v>
      </c>
      <c r="S4896" s="5">
        <v>117</v>
      </c>
    </row>
    <row r="4897" spans="1:19" ht="28" x14ac:dyDescent="0.15">
      <c r="A4897" s="2">
        <f>HYPERLINK("https://open-school.uspishnemisto.com.ua/school/230402/", 230402)</f>
        <v>230402</v>
      </c>
      <c r="B4897" s="3" t="s">
        <v>25761</v>
      </c>
      <c r="C4897" s="3" t="s">
        <v>31</v>
      </c>
      <c r="D4897" s="3" t="s">
        <v>60</v>
      </c>
      <c r="E4897" s="4" t="s">
        <v>22</v>
      </c>
      <c r="F4897" s="4" t="s">
        <v>25762</v>
      </c>
      <c r="G4897" s="4" t="s">
        <v>25763</v>
      </c>
      <c r="H4897" s="3" t="s">
        <v>23629</v>
      </c>
      <c r="I4897" s="3" t="s">
        <v>18131</v>
      </c>
      <c r="J4897" s="3" t="s">
        <v>25764</v>
      </c>
      <c r="K4897" s="3" t="s">
        <v>25765</v>
      </c>
      <c r="L4897" s="3" t="s">
        <v>25766</v>
      </c>
      <c r="M4897" s="4"/>
      <c r="N4897" s="3" t="s">
        <v>37</v>
      </c>
      <c r="O4897" s="3" t="s">
        <v>38</v>
      </c>
      <c r="P4897" s="5">
        <v>2</v>
      </c>
      <c r="Q4897" s="5">
        <v>25</v>
      </c>
      <c r="R4897" s="5">
        <v>1</v>
      </c>
      <c r="S4897" s="5">
        <v>18</v>
      </c>
    </row>
    <row r="4898" spans="1:19" ht="28" x14ac:dyDescent="0.15">
      <c r="A4898" s="2">
        <f>HYPERLINK("https://open-school.uspishnemisto.com.ua/school/230403/", 230403)</f>
        <v>230403</v>
      </c>
      <c r="B4898" s="3" t="s">
        <v>25767</v>
      </c>
      <c r="C4898" s="3" t="s">
        <v>31</v>
      </c>
      <c r="D4898" s="3" t="s">
        <v>32</v>
      </c>
      <c r="E4898" s="4" t="s">
        <v>22</v>
      </c>
      <c r="F4898" s="4" t="s">
        <v>25768</v>
      </c>
      <c r="G4898" s="4" t="s">
        <v>25769</v>
      </c>
      <c r="H4898" s="3" t="s">
        <v>23629</v>
      </c>
      <c r="I4898" s="3" t="s">
        <v>25770</v>
      </c>
      <c r="J4898" s="3" t="s">
        <v>6042</v>
      </c>
      <c r="K4898" s="3" t="s">
        <v>25771</v>
      </c>
      <c r="L4898" s="3" t="s">
        <v>25772</v>
      </c>
      <c r="M4898" s="4" t="s">
        <v>25773</v>
      </c>
      <c r="N4898" s="3" t="s">
        <v>37</v>
      </c>
      <c r="O4898" s="3" t="s">
        <v>38</v>
      </c>
      <c r="P4898" s="5">
        <v>18</v>
      </c>
      <c r="Q4898" s="5">
        <v>377</v>
      </c>
      <c r="R4898" s="5">
        <v>18</v>
      </c>
      <c r="S4898" s="5">
        <v>372</v>
      </c>
    </row>
    <row r="4899" spans="1:19" ht="28" x14ac:dyDescent="0.15">
      <c r="A4899" s="2">
        <f>HYPERLINK("https://open-school.uspishnemisto.com.ua/school/230404/", 230404)</f>
        <v>230404</v>
      </c>
      <c r="B4899" s="3" t="s">
        <v>25774</v>
      </c>
      <c r="C4899" s="3" t="s">
        <v>31</v>
      </c>
      <c r="D4899" s="3" t="s">
        <v>175</v>
      </c>
      <c r="E4899" s="4" t="s">
        <v>22</v>
      </c>
      <c r="F4899" s="4" t="s">
        <v>25775</v>
      </c>
      <c r="G4899" s="4" t="s">
        <v>25776</v>
      </c>
      <c r="H4899" s="3" t="s">
        <v>23629</v>
      </c>
      <c r="I4899" s="3" t="s">
        <v>25777</v>
      </c>
      <c r="J4899" s="3" t="s">
        <v>1479</v>
      </c>
      <c r="K4899" s="3" t="s">
        <v>25778</v>
      </c>
      <c r="L4899" s="3" t="s">
        <v>25779</v>
      </c>
      <c r="M4899" s="4" t="s">
        <v>25780</v>
      </c>
      <c r="N4899" s="3" t="s">
        <v>967</v>
      </c>
      <c r="O4899" s="3" t="s">
        <v>46</v>
      </c>
      <c r="P4899" s="5">
        <v>7</v>
      </c>
      <c r="Q4899" s="5">
        <v>61</v>
      </c>
      <c r="R4899" s="5">
        <v>8</v>
      </c>
      <c r="S4899" s="5">
        <v>60</v>
      </c>
    </row>
    <row r="4900" spans="1:19" ht="28" x14ac:dyDescent="0.15">
      <c r="A4900" s="2">
        <f>HYPERLINK("https://open-school.uspishnemisto.com.ua/school/230405/", 230405)</f>
        <v>230405</v>
      </c>
      <c r="B4900" s="3" t="s">
        <v>25781</v>
      </c>
      <c r="C4900" s="3" t="s">
        <v>31</v>
      </c>
      <c r="D4900" s="3" t="s">
        <v>60</v>
      </c>
      <c r="E4900" s="4" t="s">
        <v>22</v>
      </c>
      <c r="F4900" s="4" t="s">
        <v>25782</v>
      </c>
      <c r="G4900" s="4" t="s">
        <v>25783</v>
      </c>
      <c r="H4900" s="3" t="s">
        <v>23629</v>
      </c>
      <c r="I4900" s="3" t="s">
        <v>12351</v>
      </c>
      <c r="J4900" s="3" t="s">
        <v>25784</v>
      </c>
      <c r="K4900" s="3" t="s">
        <v>25785</v>
      </c>
      <c r="L4900" s="3" t="s">
        <v>25786</v>
      </c>
      <c r="M4900" s="4" t="s">
        <v>25787</v>
      </c>
      <c r="N4900" s="3" t="s">
        <v>37</v>
      </c>
      <c r="O4900" s="3" t="s">
        <v>38</v>
      </c>
      <c r="P4900" s="5">
        <v>0</v>
      </c>
      <c r="Q4900" s="5">
        <v>10</v>
      </c>
      <c r="R4900" s="5">
        <v>0</v>
      </c>
      <c r="S4900" s="5">
        <v>13</v>
      </c>
    </row>
    <row r="4901" spans="1:19" ht="28" x14ac:dyDescent="0.15">
      <c r="A4901" s="2">
        <f>HYPERLINK("https://open-school.uspishnemisto.com.ua/school/230406/", 230406)</f>
        <v>230406</v>
      </c>
      <c r="B4901" s="3" t="s">
        <v>25788</v>
      </c>
      <c r="C4901" s="3" t="s">
        <v>293</v>
      </c>
      <c r="D4901" s="3" t="s">
        <v>175</v>
      </c>
      <c r="E4901" s="4" t="s">
        <v>22</v>
      </c>
      <c r="F4901" s="4" t="s">
        <v>25789</v>
      </c>
      <c r="G4901" s="4" t="s">
        <v>25790</v>
      </c>
      <c r="H4901" s="3" t="s">
        <v>23629</v>
      </c>
      <c r="I4901" s="3" t="s">
        <v>11119</v>
      </c>
      <c r="J4901" s="3" t="s">
        <v>2578</v>
      </c>
      <c r="K4901" s="3" t="s">
        <v>25791</v>
      </c>
      <c r="L4901" s="3" t="s">
        <v>25792</v>
      </c>
      <c r="M4901" s="4" t="s">
        <v>25793</v>
      </c>
      <c r="N4901" s="3" t="s">
        <v>37</v>
      </c>
      <c r="O4901" s="3" t="s">
        <v>38</v>
      </c>
      <c r="P4901" s="5">
        <v>5</v>
      </c>
      <c r="Q4901" s="5">
        <v>56</v>
      </c>
      <c r="R4901" s="5">
        <v>7</v>
      </c>
      <c r="S4901" s="5">
        <v>81</v>
      </c>
    </row>
    <row r="4902" spans="1:19" ht="28" x14ac:dyDescent="0.15">
      <c r="A4902" s="2">
        <f>HYPERLINK("https://open-school.uspishnemisto.com.ua/school/230407/", 230407)</f>
        <v>230407</v>
      </c>
      <c r="B4902" s="3" t="s">
        <v>25794</v>
      </c>
      <c r="C4902" s="3" t="s">
        <v>31</v>
      </c>
      <c r="D4902" s="3" t="s">
        <v>32</v>
      </c>
      <c r="E4902" s="4" t="s">
        <v>22</v>
      </c>
      <c r="F4902" s="4" t="s">
        <v>25789</v>
      </c>
      <c r="G4902" s="4" t="s">
        <v>25790</v>
      </c>
      <c r="H4902" s="3" t="s">
        <v>23629</v>
      </c>
      <c r="I4902" s="3" t="s">
        <v>11119</v>
      </c>
      <c r="J4902" s="3" t="s">
        <v>10734</v>
      </c>
      <c r="K4902" s="3" t="s">
        <v>25795</v>
      </c>
      <c r="L4902" s="3" t="s">
        <v>25796</v>
      </c>
      <c r="M4902" s="4" t="s">
        <v>25797</v>
      </c>
      <c r="N4902" s="3" t="s">
        <v>37</v>
      </c>
      <c r="O4902" s="3" t="s">
        <v>38</v>
      </c>
      <c r="P4902" s="5">
        <v>11</v>
      </c>
      <c r="Q4902" s="5">
        <v>158</v>
      </c>
      <c r="R4902" s="5">
        <v>11</v>
      </c>
      <c r="S4902" s="5">
        <v>162</v>
      </c>
    </row>
    <row r="4903" spans="1:19" ht="28" x14ac:dyDescent="0.15">
      <c r="A4903" s="2">
        <f>HYPERLINK("https://open-school.uspishnemisto.com.ua/school/230408/", 230408)</f>
        <v>230408</v>
      </c>
      <c r="B4903" s="3" t="s">
        <v>25798</v>
      </c>
      <c r="C4903" s="3" t="s">
        <v>31</v>
      </c>
      <c r="D4903" s="3" t="s">
        <v>32</v>
      </c>
      <c r="E4903" s="4" t="s">
        <v>22</v>
      </c>
      <c r="F4903" s="4" t="s">
        <v>25799</v>
      </c>
      <c r="G4903" s="4" t="s">
        <v>25800</v>
      </c>
      <c r="H4903" s="3" t="s">
        <v>23629</v>
      </c>
      <c r="I4903" s="3" t="s">
        <v>25801</v>
      </c>
      <c r="J4903" s="3" t="s">
        <v>2191</v>
      </c>
      <c r="K4903" s="3" t="s">
        <v>25802</v>
      </c>
      <c r="L4903" s="3" t="s">
        <v>25803</v>
      </c>
      <c r="M4903" s="4" t="s">
        <v>25804</v>
      </c>
      <c r="N4903" s="3" t="s">
        <v>128</v>
      </c>
      <c r="O4903" s="3" t="s">
        <v>70</v>
      </c>
      <c r="P4903" s="5">
        <v>4</v>
      </c>
      <c r="Q4903" s="5">
        <v>51</v>
      </c>
      <c r="R4903" s="5">
        <v>3</v>
      </c>
      <c r="S4903" s="5">
        <v>46</v>
      </c>
    </row>
    <row r="4904" spans="1:19" ht="28" x14ac:dyDescent="0.15">
      <c r="A4904" s="2">
        <f>HYPERLINK("https://open-school.uspishnemisto.com.ua/school/230409/", 230409)</f>
        <v>230409</v>
      </c>
      <c r="B4904" s="3" t="s">
        <v>25805</v>
      </c>
      <c r="C4904" s="3" t="s">
        <v>31</v>
      </c>
      <c r="D4904" s="3" t="s">
        <v>32</v>
      </c>
      <c r="E4904" s="4" t="s">
        <v>22</v>
      </c>
      <c r="F4904" s="4" t="s">
        <v>25806</v>
      </c>
      <c r="G4904" s="4" t="s">
        <v>25807</v>
      </c>
      <c r="H4904" s="3" t="s">
        <v>23629</v>
      </c>
      <c r="I4904" s="3" t="s">
        <v>25808</v>
      </c>
      <c r="J4904" s="3" t="s">
        <v>18253</v>
      </c>
      <c r="K4904" s="3" t="s">
        <v>25809</v>
      </c>
      <c r="L4904" s="3" t="s">
        <v>25810</v>
      </c>
      <c r="M4904" s="4" t="s">
        <v>25811</v>
      </c>
      <c r="N4904" s="3" t="s">
        <v>37</v>
      </c>
      <c r="O4904" s="3" t="s">
        <v>70</v>
      </c>
      <c r="P4904" s="5">
        <v>9</v>
      </c>
      <c r="Q4904" s="5">
        <v>86</v>
      </c>
      <c r="R4904" s="5">
        <v>9</v>
      </c>
      <c r="S4904" s="5">
        <v>85</v>
      </c>
    </row>
    <row r="4905" spans="1:19" ht="28" x14ac:dyDescent="0.15">
      <c r="A4905" s="2">
        <f>HYPERLINK("https://open-school.uspishnemisto.com.ua/school/230410/", 230410)</f>
        <v>230410</v>
      </c>
      <c r="B4905" s="3" t="s">
        <v>25812</v>
      </c>
      <c r="C4905" s="3" t="s">
        <v>31</v>
      </c>
      <c r="D4905" s="3" t="s">
        <v>175</v>
      </c>
      <c r="E4905" s="4" t="s">
        <v>22</v>
      </c>
      <c r="F4905" s="4" t="s">
        <v>25813</v>
      </c>
      <c r="G4905" s="4" t="s">
        <v>25814</v>
      </c>
      <c r="H4905" s="3" t="s">
        <v>23629</v>
      </c>
      <c r="I4905" s="3" t="s">
        <v>25815</v>
      </c>
      <c r="J4905" s="3" t="s">
        <v>25816</v>
      </c>
      <c r="K4905" s="3" t="s">
        <v>25817</v>
      </c>
      <c r="L4905" s="3" t="s">
        <v>25818</v>
      </c>
      <c r="M4905" s="4" t="s">
        <v>25819</v>
      </c>
      <c r="N4905" s="3" t="s">
        <v>37</v>
      </c>
      <c r="O4905" s="3" t="s">
        <v>38</v>
      </c>
      <c r="P4905" s="5">
        <v>2</v>
      </c>
      <c r="Q4905" s="5">
        <v>26</v>
      </c>
      <c r="R4905" s="5">
        <v>1</v>
      </c>
      <c r="S4905" s="5">
        <v>25</v>
      </c>
    </row>
    <row r="4906" spans="1:19" ht="28" x14ac:dyDescent="0.15">
      <c r="A4906" s="2">
        <f>HYPERLINK("https://open-school.uspishnemisto.com.ua/school/230411/", 230411)</f>
        <v>230411</v>
      </c>
      <c r="B4906" s="3" t="s">
        <v>25820</v>
      </c>
      <c r="C4906" s="3" t="s">
        <v>31</v>
      </c>
      <c r="D4906" s="3" t="s">
        <v>32</v>
      </c>
      <c r="E4906" s="4" t="s">
        <v>22</v>
      </c>
      <c r="F4906" s="4" t="s">
        <v>25821</v>
      </c>
      <c r="G4906" s="4" t="s">
        <v>25822</v>
      </c>
      <c r="H4906" s="3" t="s">
        <v>23629</v>
      </c>
      <c r="I4906" s="3" t="s">
        <v>25823</v>
      </c>
      <c r="J4906" s="3" t="s">
        <v>501</v>
      </c>
      <c r="K4906" s="3" t="s">
        <v>25824</v>
      </c>
      <c r="L4906" s="3" t="s">
        <v>25825</v>
      </c>
      <c r="M4906" s="4" t="s">
        <v>25826</v>
      </c>
      <c r="N4906" s="3" t="s">
        <v>128</v>
      </c>
      <c r="O4906" s="3" t="s">
        <v>46</v>
      </c>
      <c r="P4906" s="5">
        <v>10</v>
      </c>
      <c r="Q4906" s="5">
        <v>80</v>
      </c>
      <c r="R4906" s="5">
        <v>10</v>
      </c>
      <c r="S4906" s="5">
        <v>87</v>
      </c>
    </row>
    <row r="4907" spans="1:19" ht="28" x14ac:dyDescent="0.15">
      <c r="A4907" s="2">
        <f>HYPERLINK("https://open-school.uspishnemisto.com.ua/school/230412/", 230412)</f>
        <v>230412</v>
      </c>
      <c r="B4907" s="3" t="s">
        <v>25827</v>
      </c>
      <c r="C4907" s="3" t="s">
        <v>31</v>
      </c>
      <c r="D4907" s="3" t="s">
        <v>60</v>
      </c>
      <c r="E4907" s="4" t="s">
        <v>22</v>
      </c>
      <c r="F4907" s="4" t="s">
        <v>25828</v>
      </c>
      <c r="G4907" s="4" t="s">
        <v>25829</v>
      </c>
      <c r="H4907" s="3" t="s">
        <v>23629</v>
      </c>
      <c r="I4907" s="3" t="s">
        <v>25830</v>
      </c>
      <c r="J4907" s="3" t="s">
        <v>4448</v>
      </c>
      <c r="K4907" s="3" t="s">
        <v>25831</v>
      </c>
      <c r="L4907" s="3" t="s">
        <v>25832</v>
      </c>
      <c r="M4907" s="4"/>
      <c r="N4907" s="3" t="s">
        <v>128</v>
      </c>
      <c r="O4907" s="3" t="s">
        <v>38</v>
      </c>
      <c r="P4907" s="5">
        <v>0</v>
      </c>
      <c r="Q4907" s="5">
        <v>10</v>
      </c>
      <c r="R4907" s="5">
        <v>0</v>
      </c>
      <c r="S4907" s="5">
        <v>10</v>
      </c>
    </row>
    <row r="4908" spans="1:19" ht="28" x14ac:dyDescent="0.15">
      <c r="A4908" s="2">
        <f>HYPERLINK("https://open-school.uspishnemisto.com.ua/school/230413/", 230413)</f>
        <v>230413</v>
      </c>
      <c r="B4908" s="3" t="s">
        <v>25833</v>
      </c>
      <c r="C4908" s="3" t="s">
        <v>31</v>
      </c>
      <c r="D4908" s="3" t="s">
        <v>32</v>
      </c>
      <c r="E4908" s="4" t="s">
        <v>22</v>
      </c>
      <c r="F4908" s="4" t="s">
        <v>16875</v>
      </c>
      <c r="G4908" s="4" t="s">
        <v>25834</v>
      </c>
      <c r="H4908" s="3" t="s">
        <v>23629</v>
      </c>
      <c r="I4908" s="3" t="s">
        <v>25835</v>
      </c>
      <c r="J4908" s="3" t="s">
        <v>718</v>
      </c>
      <c r="K4908" s="3" t="s">
        <v>25836</v>
      </c>
      <c r="L4908" s="3" t="s">
        <v>25837</v>
      </c>
      <c r="M4908" s="4" t="s">
        <v>25838</v>
      </c>
      <c r="N4908" s="3" t="s">
        <v>37</v>
      </c>
      <c r="O4908" s="3" t="s">
        <v>38</v>
      </c>
      <c r="P4908" s="5">
        <v>9</v>
      </c>
      <c r="Q4908" s="5">
        <v>89</v>
      </c>
      <c r="R4908" s="5">
        <v>9</v>
      </c>
      <c r="S4908" s="5">
        <v>91</v>
      </c>
    </row>
    <row r="4909" spans="1:19" ht="28" x14ac:dyDescent="0.15">
      <c r="A4909" s="2">
        <f>HYPERLINK("https://open-school.uspishnemisto.com.ua/school/230414/", 230414)</f>
        <v>230414</v>
      </c>
      <c r="B4909" s="3" t="s">
        <v>25839</v>
      </c>
      <c r="C4909" s="3" t="s">
        <v>31</v>
      </c>
      <c r="D4909" s="3" t="s">
        <v>32</v>
      </c>
      <c r="E4909" s="4" t="s">
        <v>22</v>
      </c>
      <c r="F4909" s="4" t="s">
        <v>25840</v>
      </c>
      <c r="G4909" s="4" t="s">
        <v>25841</v>
      </c>
      <c r="H4909" s="3" t="s">
        <v>23629</v>
      </c>
      <c r="I4909" s="3" t="s">
        <v>25842</v>
      </c>
      <c r="J4909" s="3" t="s">
        <v>1360</v>
      </c>
      <c r="K4909" s="3" t="s">
        <v>25843</v>
      </c>
      <c r="L4909" s="3" t="s">
        <v>25844</v>
      </c>
      <c r="M4909" s="4" t="s">
        <v>25845</v>
      </c>
      <c r="N4909" s="3" t="s">
        <v>37</v>
      </c>
      <c r="O4909" s="3" t="s">
        <v>38</v>
      </c>
      <c r="P4909" s="5">
        <v>8</v>
      </c>
      <c r="Q4909" s="5">
        <v>68</v>
      </c>
      <c r="R4909" s="5">
        <v>9</v>
      </c>
      <c r="S4909" s="5">
        <v>76</v>
      </c>
    </row>
    <row r="4910" spans="1:19" ht="42" x14ac:dyDescent="0.15">
      <c r="A4910" s="2">
        <f>HYPERLINK("https://open-school.uspishnemisto.com.ua/school/230415/", 230415)</f>
        <v>230415</v>
      </c>
      <c r="B4910" s="3" t="s">
        <v>25846</v>
      </c>
      <c r="C4910" s="3" t="s">
        <v>31</v>
      </c>
      <c r="D4910" s="3" t="s">
        <v>175</v>
      </c>
      <c r="E4910" s="4" t="s">
        <v>22</v>
      </c>
      <c r="F4910" s="4" t="s">
        <v>25847</v>
      </c>
      <c r="G4910" s="4" t="s">
        <v>25848</v>
      </c>
      <c r="H4910" s="3" t="s">
        <v>23629</v>
      </c>
      <c r="I4910" s="3" t="s">
        <v>25849</v>
      </c>
      <c r="J4910" s="3" t="s">
        <v>25850</v>
      </c>
      <c r="K4910" s="3" t="s">
        <v>25851</v>
      </c>
      <c r="L4910" s="3" t="s">
        <v>25852</v>
      </c>
      <c r="M4910" s="4" t="s">
        <v>25853</v>
      </c>
      <c r="N4910" s="3" t="s">
        <v>37</v>
      </c>
      <c r="O4910" s="3" t="s">
        <v>70</v>
      </c>
      <c r="P4910" s="5">
        <v>5</v>
      </c>
      <c r="Q4910" s="5">
        <v>41</v>
      </c>
      <c r="R4910" s="5">
        <v>6</v>
      </c>
      <c r="S4910" s="5">
        <v>48</v>
      </c>
    </row>
    <row r="4911" spans="1:19" ht="28" x14ac:dyDescent="0.15">
      <c r="A4911" s="2">
        <f>HYPERLINK("https://open-school.uspishnemisto.com.ua/school/230416/", 230416)</f>
        <v>230416</v>
      </c>
      <c r="B4911" s="3" t="s">
        <v>25854</v>
      </c>
      <c r="C4911" s="3" t="s">
        <v>31</v>
      </c>
      <c r="D4911" s="3" t="s">
        <v>32</v>
      </c>
      <c r="E4911" s="4" t="s">
        <v>22</v>
      </c>
      <c r="F4911" s="4" t="s">
        <v>25855</v>
      </c>
      <c r="G4911" s="4" t="s">
        <v>25856</v>
      </c>
      <c r="H4911" s="3" t="s">
        <v>23629</v>
      </c>
      <c r="I4911" s="3" t="s">
        <v>11605</v>
      </c>
      <c r="J4911" s="3" t="s">
        <v>634</v>
      </c>
      <c r="K4911" s="3" t="s">
        <v>25857</v>
      </c>
      <c r="L4911" s="3" t="s">
        <v>25858</v>
      </c>
      <c r="M4911" s="4" t="s">
        <v>25859</v>
      </c>
      <c r="N4911" s="3" t="s">
        <v>37</v>
      </c>
      <c r="O4911" s="3" t="s">
        <v>38</v>
      </c>
      <c r="P4911" s="5">
        <v>15</v>
      </c>
      <c r="Q4911" s="5">
        <v>323</v>
      </c>
      <c r="R4911" s="5">
        <v>14</v>
      </c>
      <c r="S4911" s="5">
        <v>317</v>
      </c>
    </row>
    <row r="4912" spans="1:19" ht="42" x14ac:dyDescent="0.15">
      <c r="A4912" s="2">
        <f>HYPERLINK("https://open-school.uspishnemisto.com.ua/school/230417/", 230417)</f>
        <v>230417</v>
      </c>
      <c r="B4912" s="3" t="s">
        <v>25860</v>
      </c>
      <c r="C4912" s="3" t="s">
        <v>181</v>
      </c>
      <c r="D4912" s="3" t="s">
        <v>175</v>
      </c>
      <c r="E4912" s="4" t="s">
        <v>22</v>
      </c>
      <c r="F4912" s="4" t="s">
        <v>25861</v>
      </c>
      <c r="G4912" s="4" t="s">
        <v>25862</v>
      </c>
      <c r="H4912" s="3" t="s">
        <v>23629</v>
      </c>
      <c r="I4912" s="3" t="s">
        <v>25863</v>
      </c>
      <c r="J4912" s="3" t="s">
        <v>25864</v>
      </c>
      <c r="K4912" s="3" t="s">
        <v>25865</v>
      </c>
      <c r="L4912" s="3" t="s">
        <v>25866</v>
      </c>
      <c r="M4912" s="4" t="s">
        <v>25867</v>
      </c>
      <c r="N4912" s="3" t="s">
        <v>37</v>
      </c>
      <c r="O4912" s="3" t="s">
        <v>52</v>
      </c>
      <c r="P4912" s="5">
        <v>18</v>
      </c>
      <c r="Q4912" s="5">
        <v>166</v>
      </c>
      <c r="R4912" s="5">
        <v>20</v>
      </c>
      <c r="S4912" s="5">
        <v>208</v>
      </c>
    </row>
    <row r="4913" spans="1:19" ht="28" x14ac:dyDescent="0.15">
      <c r="A4913" s="2">
        <f>HYPERLINK("https://open-school.uspishnemisto.com.ua/school/230418/", 230418)</f>
        <v>230418</v>
      </c>
      <c r="B4913" s="3" t="s">
        <v>25868</v>
      </c>
      <c r="C4913" s="3" t="s">
        <v>31</v>
      </c>
      <c r="D4913" s="3" t="s">
        <v>32</v>
      </c>
      <c r="E4913" s="4" t="s">
        <v>22</v>
      </c>
      <c r="F4913" s="4" t="s">
        <v>25861</v>
      </c>
      <c r="G4913" s="4" t="s">
        <v>25862</v>
      </c>
      <c r="H4913" s="3" t="s">
        <v>23629</v>
      </c>
      <c r="I4913" s="3" t="s">
        <v>25863</v>
      </c>
      <c r="J4913" s="3" t="s">
        <v>25869</v>
      </c>
      <c r="K4913" s="3" t="s">
        <v>25870</v>
      </c>
      <c r="L4913" s="3" t="s">
        <v>25871</v>
      </c>
      <c r="M4913" s="4" t="s">
        <v>25872</v>
      </c>
      <c r="N4913" s="3" t="s">
        <v>967</v>
      </c>
      <c r="O4913" s="3" t="s">
        <v>46</v>
      </c>
      <c r="P4913" s="5">
        <v>11</v>
      </c>
      <c r="Q4913" s="5">
        <v>212</v>
      </c>
      <c r="R4913" s="5">
        <v>11</v>
      </c>
      <c r="S4913" s="5">
        <v>214</v>
      </c>
    </row>
    <row r="4914" spans="1:19" ht="28" x14ac:dyDescent="0.15">
      <c r="A4914" s="2">
        <f>HYPERLINK("https://open-school.uspishnemisto.com.ua/school/230419/", 230419)</f>
        <v>230419</v>
      </c>
      <c r="B4914" s="3" t="s">
        <v>25873</v>
      </c>
      <c r="C4914" s="3" t="s">
        <v>2128</v>
      </c>
      <c r="D4914" s="3" t="s">
        <v>32</v>
      </c>
      <c r="E4914" s="4" t="s">
        <v>22</v>
      </c>
      <c r="F4914" s="4" t="s">
        <v>25861</v>
      </c>
      <c r="G4914" s="4" t="s">
        <v>25862</v>
      </c>
      <c r="H4914" s="3" t="s">
        <v>23629</v>
      </c>
      <c r="I4914" s="3" t="s">
        <v>25863</v>
      </c>
      <c r="J4914" s="3" t="s">
        <v>25874</v>
      </c>
      <c r="K4914" s="3" t="s">
        <v>25875</v>
      </c>
      <c r="L4914" s="3" t="s">
        <v>25876</v>
      </c>
      <c r="M4914" s="4" t="s">
        <v>25877</v>
      </c>
      <c r="N4914" s="3" t="s">
        <v>37</v>
      </c>
      <c r="O4914" s="3" t="s">
        <v>70</v>
      </c>
      <c r="P4914" s="5">
        <v>11</v>
      </c>
      <c r="Q4914" s="5">
        <v>231</v>
      </c>
      <c r="R4914" s="5">
        <v>11</v>
      </c>
      <c r="S4914" s="5">
        <v>226</v>
      </c>
    </row>
    <row r="4915" spans="1:19" ht="28" x14ac:dyDescent="0.15">
      <c r="A4915" s="2">
        <f>HYPERLINK("https://open-school.uspishnemisto.com.ua/school/230420/", 230420)</f>
        <v>230420</v>
      </c>
      <c r="B4915" s="3" t="s">
        <v>25878</v>
      </c>
      <c r="C4915" s="3" t="s">
        <v>31</v>
      </c>
      <c r="D4915" s="3" t="s">
        <v>60</v>
      </c>
      <c r="E4915" s="4" t="s">
        <v>22</v>
      </c>
      <c r="F4915" s="4" t="s">
        <v>25847</v>
      </c>
      <c r="G4915" s="4" t="s">
        <v>25879</v>
      </c>
      <c r="H4915" s="3" t="s">
        <v>23629</v>
      </c>
      <c r="I4915" s="3" t="s">
        <v>3784</v>
      </c>
      <c r="J4915" s="3" t="s">
        <v>25880</v>
      </c>
      <c r="K4915" s="3" t="s">
        <v>25881</v>
      </c>
      <c r="L4915" s="3" t="s">
        <v>25882</v>
      </c>
      <c r="M4915" s="4"/>
      <c r="N4915" s="3" t="s">
        <v>37</v>
      </c>
      <c r="O4915" s="3" t="s">
        <v>38</v>
      </c>
      <c r="P4915" s="5">
        <v>3</v>
      </c>
      <c r="Q4915" s="5">
        <v>22</v>
      </c>
      <c r="R4915" s="5">
        <v>2</v>
      </c>
      <c r="S4915" s="5">
        <v>17</v>
      </c>
    </row>
    <row r="4916" spans="1:19" ht="28" x14ac:dyDescent="0.15">
      <c r="A4916" s="2">
        <f>HYPERLINK("https://open-school.uspishnemisto.com.ua/school/230421/", 230421)</f>
        <v>230421</v>
      </c>
      <c r="B4916" s="3" t="s">
        <v>25883</v>
      </c>
      <c r="C4916" s="3" t="s">
        <v>31</v>
      </c>
      <c r="D4916" s="3" t="s">
        <v>32</v>
      </c>
      <c r="E4916" s="4" t="s">
        <v>22</v>
      </c>
      <c r="F4916" s="4" t="s">
        <v>25884</v>
      </c>
      <c r="G4916" s="4" t="s">
        <v>25885</v>
      </c>
      <c r="H4916" s="3" t="s">
        <v>23629</v>
      </c>
      <c r="I4916" s="3" t="s">
        <v>12265</v>
      </c>
      <c r="J4916" s="3" t="s">
        <v>25886</v>
      </c>
      <c r="K4916" s="3" t="s">
        <v>25887</v>
      </c>
      <c r="L4916" s="3" t="s">
        <v>25888</v>
      </c>
      <c r="M4916" s="4" t="s">
        <v>25889</v>
      </c>
      <c r="N4916" s="3" t="s">
        <v>37</v>
      </c>
      <c r="O4916" s="3" t="s">
        <v>38</v>
      </c>
      <c r="P4916" s="5">
        <v>11</v>
      </c>
      <c r="Q4916" s="5">
        <v>86</v>
      </c>
      <c r="R4916" s="5">
        <v>11</v>
      </c>
      <c r="S4916" s="5">
        <v>87</v>
      </c>
    </row>
    <row r="4917" spans="1:19" ht="28" x14ac:dyDescent="0.15">
      <c r="A4917" s="2">
        <f>HYPERLINK("https://open-school.uspishnemisto.com.ua/school/230422/", 230422)</f>
        <v>230422</v>
      </c>
      <c r="B4917" s="3" t="s">
        <v>25890</v>
      </c>
      <c r="C4917" s="3" t="s">
        <v>31</v>
      </c>
      <c r="D4917" s="3" t="s">
        <v>60</v>
      </c>
      <c r="E4917" s="4" t="s">
        <v>22</v>
      </c>
      <c r="F4917" s="4" t="s">
        <v>25891</v>
      </c>
      <c r="G4917" s="4" t="s">
        <v>25892</v>
      </c>
      <c r="H4917" s="3" t="s">
        <v>23629</v>
      </c>
      <c r="I4917" s="3" t="s">
        <v>4683</v>
      </c>
      <c r="J4917" s="3" t="s">
        <v>25893</v>
      </c>
      <c r="K4917" s="3" t="s">
        <v>25894</v>
      </c>
      <c r="L4917" s="3" t="s">
        <v>25895</v>
      </c>
      <c r="M4917" s="4" t="s">
        <v>25896</v>
      </c>
      <c r="N4917" s="3" t="s">
        <v>967</v>
      </c>
      <c r="O4917" s="3" t="s">
        <v>52</v>
      </c>
      <c r="P4917" s="5">
        <v>0</v>
      </c>
      <c r="Q4917" s="5">
        <v>5</v>
      </c>
      <c r="R4917" s="5">
        <v>0</v>
      </c>
      <c r="S4917" s="5">
        <v>7</v>
      </c>
    </row>
    <row r="4918" spans="1:19" ht="28" x14ac:dyDescent="0.15">
      <c r="A4918" s="2">
        <f>HYPERLINK("https://open-school.uspishnemisto.com.ua/school/230423/", 230423)</f>
        <v>230423</v>
      </c>
      <c r="B4918" s="3" t="s">
        <v>25897</v>
      </c>
      <c r="C4918" s="3" t="s">
        <v>31</v>
      </c>
      <c r="D4918" s="3" t="s">
        <v>175</v>
      </c>
      <c r="E4918" s="4" t="s">
        <v>22</v>
      </c>
      <c r="F4918" s="4" t="s">
        <v>25898</v>
      </c>
      <c r="G4918" s="4" t="s">
        <v>25899</v>
      </c>
      <c r="H4918" s="3" t="s">
        <v>23629</v>
      </c>
      <c r="I4918" s="3" t="s">
        <v>6929</v>
      </c>
      <c r="J4918" s="3" t="s">
        <v>25900</v>
      </c>
      <c r="K4918" s="3" t="s">
        <v>25901</v>
      </c>
      <c r="L4918" s="3" t="s">
        <v>25902</v>
      </c>
      <c r="M4918" s="4" t="s">
        <v>25903</v>
      </c>
      <c r="N4918" s="3" t="s">
        <v>37</v>
      </c>
      <c r="O4918" s="3" t="s">
        <v>38</v>
      </c>
      <c r="P4918" s="5">
        <v>2</v>
      </c>
      <c r="Q4918" s="5">
        <v>30</v>
      </c>
      <c r="R4918" s="5">
        <v>2</v>
      </c>
      <c r="S4918" s="5">
        <v>28</v>
      </c>
    </row>
    <row r="4919" spans="1:19" ht="28" x14ac:dyDescent="0.15">
      <c r="A4919" s="2">
        <f>HYPERLINK("https://open-school.uspishnemisto.com.ua/school/230424/", 230424)</f>
        <v>230424</v>
      </c>
      <c r="B4919" s="3" t="s">
        <v>25904</v>
      </c>
      <c r="C4919" s="3" t="s">
        <v>31</v>
      </c>
      <c r="D4919" s="3" t="s">
        <v>32</v>
      </c>
      <c r="E4919" s="4" t="s">
        <v>22</v>
      </c>
      <c r="F4919" s="4" t="s">
        <v>25905</v>
      </c>
      <c r="G4919" s="4" t="s">
        <v>25906</v>
      </c>
      <c r="H4919" s="3" t="s">
        <v>23629</v>
      </c>
      <c r="I4919" s="3" t="s">
        <v>7211</v>
      </c>
      <c r="J4919" s="3" t="s">
        <v>25907</v>
      </c>
      <c r="K4919" s="3" t="s">
        <v>25908</v>
      </c>
      <c r="L4919" s="3" t="s">
        <v>25909</v>
      </c>
      <c r="M4919" s="4" t="s">
        <v>25910</v>
      </c>
      <c r="N4919" s="3" t="s">
        <v>37</v>
      </c>
      <c r="O4919" s="3" t="s">
        <v>70</v>
      </c>
      <c r="P4919" s="5">
        <v>9</v>
      </c>
      <c r="Q4919" s="5">
        <v>86</v>
      </c>
      <c r="R4919" s="5">
        <v>8</v>
      </c>
      <c r="S4919" s="5">
        <v>78</v>
      </c>
    </row>
    <row r="4920" spans="1:19" ht="28" x14ac:dyDescent="0.15">
      <c r="A4920" s="2">
        <f>HYPERLINK("https://open-school.uspishnemisto.com.ua/school/230425/", 230425)</f>
        <v>230425</v>
      </c>
      <c r="B4920" s="3" t="s">
        <v>25911</v>
      </c>
      <c r="C4920" s="3" t="s">
        <v>31</v>
      </c>
      <c r="D4920" s="3" t="s">
        <v>32</v>
      </c>
      <c r="E4920" s="4" t="s">
        <v>22</v>
      </c>
      <c r="F4920" s="4" t="s">
        <v>25912</v>
      </c>
      <c r="G4920" s="4" t="s">
        <v>25913</v>
      </c>
      <c r="H4920" s="3" t="s">
        <v>23629</v>
      </c>
      <c r="I4920" s="3" t="s">
        <v>25914</v>
      </c>
      <c r="J4920" s="3" t="s">
        <v>4029</v>
      </c>
      <c r="K4920" s="3" t="s">
        <v>25915</v>
      </c>
      <c r="L4920" s="3" t="s">
        <v>25916</v>
      </c>
      <c r="M4920" s="4" t="s">
        <v>25917</v>
      </c>
      <c r="N4920" s="3" t="s">
        <v>128</v>
      </c>
      <c r="O4920" s="3" t="s">
        <v>38</v>
      </c>
      <c r="P4920" s="5">
        <v>11</v>
      </c>
      <c r="Q4920" s="5">
        <v>134</v>
      </c>
      <c r="R4920" s="5">
        <v>11</v>
      </c>
      <c r="S4920" s="5">
        <v>128</v>
      </c>
    </row>
    <row r="4921" spans="1:19" ht="28" x14ac:dyDescent="0.15">
      <c r="A4921" s="2">
        <f>HYPERLINK("https://open-school.uspishnemisto.com.ua/school/230426/", 230426)</f>
        <v>230426</v>
      </c>
      <c r="B4921" s="3" t="s">
        <v>25918</v>
      </c>
      <c r="C4921" s="3" t="s">
        <v>31</v>
      </c>
      <c r="D4921" s="3" t="s">
        <v>175</v>
      </c>
      <c r="E4921" s="4" t="s">
        <v>22</v>
      </c>
      <c r="F4921" s="4" t="s">
        <v>25919</v>
      </c>
      <c r="G4921" s="4" t="s">
        <v>25920</v>
      </c>
      <c r="H4921" s="3" t="s">
        <v>23629</v>
      </c>
      <c r="I4921" s="3" t="s">
        <v>12730</v>
      </c>
      <c r="J4921" s="3" t="s">
        <v>25921</v>
      </c>
      <c r="K4921" s="3" t="s">
        <v>25922</v>
      </c>
      <c r="L4921" s="3" t="s">
        <v>25923</v>
      </c>
      <c r="M4921" s="4"/>
      <c r="N4921" s="3" t="s">
        <v>967</v>
      </c>
      <c r="O4921" s="3" t="s">
        <v>52</v>
      </c>
      <c r="P4921" s="5">
        <v>8</v>
      </c>
      <c r="Q4921" s="5">
        <v>102</v>
      </c>
      <c r="R4921" s="5">
        <v>9</v>
      </c>
      <c r="S4921" s="5">
        <v>102</v>
      </c>
    </row>
    <row r="4922" spans="1:19" ht="42" x14ac:dyDescent="0.15">
      <c r="A4922" s="2">
        <f>HYPERLINK("https://open-school.uspishnemisto.com.ua/school/230427/", 230427)</f>
        <v>230427</v>
      </c>
      <c r="B4922" s="3" t="s">
        <v>25924</v>
      </c>
      <c r="C4922" s="3" t="s">
        <v>31</v>
      </c>
      <c r="D4922" s="3" t="s">
        <v>175</v>
      </c>
      <c r="E4922" s="4" t="s">
        <v>22</v>
      </c>
      <c r="F4922" s="4" t="s">
        <v>25925</v>
      </c>
      <c r="G4922" s="4" t="s">
        <v>25926</v>
      </c>
      <c r="H4922" s="3" t="s">
        <v>23629</v>
      </c>
      <c r="I4922" s="3" t="s">
        <v>688</v>
      </c>
      <c r="J4922" s="3" t="s">
        <v>25927</v>
      </c>
      <c r="K4922" s="3" t="s">
        <v>25928</v>
      </c>
      <c r="L4922" s="3" t="s">
        <v>25929</v>
      </c>
      <c r="M4922" s="4" t="s">
        <v>25930</v>
      </c>
      <c r="N4922" s="3" t="s">
        <v>37</v>
      </c>
      <c r="O4922" s="3" t="s">
        <v>38</v>
      </c>
      <c r="P4922" s="5">
        <v>9</v>
      </c>
      <c r="Q4922" s="5">
        <v>168</v>
      </c>
      <c r="R4922" s="5">
        <v>9</v>
      </c>
      <c r="S4922" s="5">
        <v>168</v>
      </c>
    </row>
    <row r="4923" spans="1:19" ht="42" x14ac:dyDescent="0.15">
      <c r="A4923" s="2">
        <f>HYPERLINK("https://open-school.uspishnemisto.com.ua/school/230428/", 230428)</f>
        <v>230428</v>
      </c>
      <c r="B4923" s="3" t="s">
        <v>25931</v>
      </c>
      <c r="C4923" s="3" t="s">
        <v>31</v>
      </c>
      <c r="D4923" s="3" t="s">
        <v>32</v>
      </c>
      <c r="E4923" s="4" t="s">
        <v>22</v>
      </c>
      <c r="F4923" s="4" t="s">
        <v>25932</v>
      </c>
      <c r="G4923" s="4" t="s">
        <v>25926</v>
      </c>
      <c r="H4923" s="3" t="s">
        <v>23629</v>
      </c>
      <c r="I4923" s="3" t="s">
        <v>688</v>
      </c>
      <c r="J4923" s="3" t="s">
        <v>25933</v>
      </c>
      <c r="K4923" s="3" t="s">
        <v>25934</v>
      </c>
      <c r="L4923" s="3" t="s">
        <v>25935</v>
      </c>
      <c r="M4923" s="4" t="s">
        <v>25936</v>
      </c>
      <c r="N4923" s="3" t="s">
        <v>128</v>
      </c>
      <c r="O4923" s="3" t="s">
        <v>38</v>
      </c>
      <c r="P4923" s="5">
        <v>18</v>
      </c>
      <c r="Q4923" s="5">
        <v>349</v>
      </c>
      <c r="R4923" s="5">
        <v>18</v>
      </c>
      <c r="S4923" s="5">
        <v>355</v>
      </c>
    </row>
    <row r="4924" spans="1:19" ht="42" x14ac:dyDescent="0.15">
      <c r="A4924" s="2">
        <f>HYPERLINK("https://open-school.uspishnemisto.com.ua/school/230429/", 230429)</f>
        <v>230429</v>
      </c>
      <c r="B4924" s="3" t="s">
        <v>25937</v>
      </c>
      <c r="C4924" s="3" t="s">
        <v>54</v>
      </c>
      <c r="D4924" s="3" t="s">
        <v>32</v>
      </c>
      <c r="E4924" s="4" t="s">
        <v>22</v>
      </c>
      <c r="F4924" s="4" t="s">
        <v>25932</v>
      </c>
      <c r="G4924" s="4" t="s">
        <v>25926</v>
      </c>
      <c r="H4924" s="3" t="s">
        <v>23629</v>
      </c>
      <c r="I4924" s="3" t="s">
        <v>688</v>
      </c>
      <c r="J4924" s="3" t="s">
        <v>25938</v>
      </c>
      <c r="K4924" s="3" t="s">
        <v>25939</v>
      </c>
      <c r="L4924" s="3" t="s">
        <v>25940</v>
      </c>
      <c r="M4924" s="4" t="s">
        <v>25941</v>
      </c>
      <c r="N4924" s="3" t="s">
        <v>37</v>
      </c>
      <c r="O4924" s="3" t="s">
        <v>70</v>
      </c>
      <c r="P4924" s="5">
        <v>21</v>
      </c>
      <c r="Q4924" s="5">
        <v>455</v>
      </c>
      <c r="R4924" s="5">
        <v>22</v>
      </c>
      <c r="S4924" s="5">
        <v>447</v>
      </c>
    </row>
    <row r="4925" spans="1:19" ht="56" x14ac:dyDescent="0.15">
      <c r="A4925" s="2">
        <f>HYPERLINK("https://open-school.uspishnemisto.com.ua/school/230430/", 230430)</f>
        <v>230430</v>
      </c>
      <c r="B4925" s="3" t="s">
        <v>25942</v>
      </c>
      <c r="C4925" s="3" t="s">
        <v>54</v>
      </c>
      <c r="D4925" s="3" t="s">
        <v>175</v>
      </c>
      <c r="E4925" s="4" t="s">
        <v>22</v>
      </c>
      <c r="F4925" s="4" t="s">
        <v>25943</v>
      </c>
      <c r="G4925" s="4" t="s">
        <v>25926</v>
      </c>
      <c r="H4925" s="3" t="s">
        <v>23629</v>
      </c>
      <c r="I4925" s="3" t="s">
        <v>688</v>
      </c>
      <c r="J4925" s="3" t="s">
        <v>25944</v>
      </c>
      <c r="K4925" s="3" t="s">
        <v>25945</v>
      </c>
      <c r="L4925" s="3" t="s">
        <v>25946</v>
      </c>
      <c r="M4925" s="4" t="s">
        <v>25947</v>
      </c>
      <c r="N4925" s="3" t="s">
        <v>37</v>
      </c>
      <c r="O4925" s="3" t="s">
        <v>38</v>
      </c>
      <c r="P4925" s="5">
        <v>11</v>
      </c>
      <c r="Q4925" s="5">
        <v>226</v>
      </c>
      <c r="R4925" s="5">
        <v>11</v>
      </c>
      <c r="S4925" s="5">
        <v>196</v>
      </c>
    </row>
    <row r="4926" spans="1:19" ht="42" x14ac:dyDescent="0.15">
      <c r="A4926" s="2">
        <f>HYPERLINK("https://open-school.uspishnemisto.com.ua/school/230432/", 230432)</f>
        <v>230432</v>
      </c>
      <c r="B4926" s="3" t="s">
        <v>25948</v>
      </c>
      <c r="C4926" s="3" t="s">
        <v>31</v>
      </c>
      <c r="D4926" s="3" t="s">
        <v>32</v>
      </c>
      <c r="E4926" s="4" t="s">
        <v>22</v>
      </c>
      <c r="F4926" s="4" t="s">
        <v>25949</v>
      </c>
      <c r="G4926" s="4" t="s">
        <v>25950</v>
      </c>
      <c r="H4926" s="3" t="s">
        <v>23629</v>
      </c>
      <c r="I4926" s="3" t="s">
        <v>25951</v>
      </c>
      <c r="J4926" s="3" t="s">
        <v>25952</v>
      </c>
      <c r="K4926" s="3" t="s">
        <v>25953</v>
      </c>
      <c r="L4926" s="3" t="s">
        <v>25954</v>
      </c>
      <c r="M4926" s="4" t="s">
        <v>25955</v>
      </c>
      <c r="N4926" s="3" t="s">
        <v>37</v>
      </c>
      <c r="O4926" s="3" t="s">
        <v>38</v>
      </c>
      <c r="P4926" s="5">
        <v>18</v>
      </c>
      <c r="Q4926" s="5">
        <v>344</v>
      </c>
      <c r="R4926" s="5">
        <v>17</v>
      </c>
      <c r="S4926" s="5">
        <v>336</v>
      </c>
    </row>
    <row r="4927" spans="1:19" ht="42" x14ac:dyDescent="0.15">
      <c r="A4927" s="2">
        <f>HYPERLINK("https://open-school.uspishnemisto.com.ua/school/230433/", 230433)</f>
        <v>230433</v>
      </c>
      <c r="B4927" s="3" t="s">
        <v>25956</v>
      </c>
      <c r="C4927" s="3" t="s">
        <v>31</v>
      </c>
      <c r="D4927" s="3" t="s">
        <v>32</v>
      </c>
      <c r="E4927" s="4" t="s">
        <v>22</v>
      </c>
      <c r="F4927" s="4" t="s">
        <v>25957</v>
      </c>
      <c r="G4927" s="4" t="s">
        <v>25958</v>
      </c>
      <c r="H4927" s="3" t="s">
        <v>23629</v>
      </c>
      <c r="I4927" s="3" t="s">
        <v>25959</v>
      </c>
      <c r="J4927" s="3" t="s">
        <v>18747</v>
      </c>
      <c r="K4927" s="3" t="s">
        <v>25960</v>
      </c>
      <c r="L4927" s="3" t="s">
        <v>25961</v>
      </c>
      <c r="M4927" s="4" t="s">
        <v>25962</v>
      </c>
      <c r="N4927" s="3" t="s">
        <v>37</v>
      </c>
      <c r="O4927" s="3" t="s">
        <v>38</v>
      </c>
      <c r="P4927" s="5">
        <v>10</v>
      </c>
      <c r="Q4927" s="5">
        <v>147</v>
      </c>
      <c r="R4927" s="5">
        <v>9</v>
      </c>
      <c r="S4927" s="5">
        <v>144</v>
      </c>
    </row>
    <row r="4928" spans="1:19" ht="42" x14ac:dyDescent="0.15">
      <c r="A4928" s="2">
        <f>HYPERLINK("https://open-school.uspishnemisto.com.ua/school/230434/", 230434)</f>
        <v>230434</v>
      </c>
      <c r="B4928" s="3" t="s">
        <v>25963</v>
      </c>
      <c r="C4928" s="3" t="s">
        <v>31</v>
      </c>
      <c r="D4928" s="3" t="s">
        <v>32</v>
      </c>
      <c r="E4928" s="4" t="s">
        <v>22</v>
      </c>
      <c r="F4928" s="4" t="s">
        <v>25964</v>
      </c>
      <c r="G4928" s="4" t="s">
        <v>25965</v>
      </c>
      <c r="H4928" s="3" t="s">
        <v>23629</v>
      </c>
      <c r="I4928" s="3" t="s">
        <v>3512</v>
      </c>
      <c r="J4928" s="3" t="s">
        <v>25966</v>
      </c>
      <c r="K4928" s="3" t="s">
        <v>25967</v>
      </c>
      <c r="L4928" s="3" t="s">
        <v>25968</v>
      </c>
      <c r="M4928" s="4" t="s">
        <v>25969</v>
      </c>
      <c r="N4928" s="3" t="s">
        <v>37</v>
      </c>
      <c r="O4928" s="3" t="s">
        <v>38</v>
      </c>
      <c r="P4928" s="5">
        <v>10</v>
      </c>
      <c r="Q4928" s="5">
        <v>104</v>
      </c>
      <c r="R4928" s="5">
        <v>10</v>
      </c>
      <c r="S4928" s="5">
        <v>105</v>
      </c>
    </row>
    <row r="4929" spans="1:19" ht="42" x14ac:dyDescent="0.15">
      <c r="A4929" s="2">
        <f>HYPERLINK("https://open-school.uspishnemisto.com.ua/school/230435/", 230435)</f>
        <v>230435</v>
      </c>
      <c r="B4929" s="3" t="s">
        <v>25970</v>
      </c>
      <c r="C4929" s="3" t="s">
        <v>31</v>
      </c>
      <c r="D4929" s="3" t="s">
        <v>32</v>
      </c>
      <c r="E4929" s="4" t="s">
        <v>22</v>
      </c>
      <c r="F4929" s="4" t="s">
        <v>25971</v>
      </c>
      <c r="G4929" s="4" t="s">
        <v>25972</v>
      </c>
      <c r="H4929" s="3" t="s">
        <v>23629</v>
      </c>
      <c r="I4929" s="3" t="s">
        <v>11256</v>
      </c>
      <c r="J4929" s="3" t="s">
        <v>25973</v>
      </c>
      <c r="K4929" s="3" t="s">
        <v>25974</v>
      </c>
      <c r="L4929" s="3" t="s">
        <v>25975</v>
      </c>
      <c r="M4929" s="4" t="s">
        <v>25976</v>
      </c>
      <c r="N4929" s="3" t="s">
        <v>37</v>
      </c>
      <c r="O4929" s="3" t="s">
        <v>38</v>
      </c>
      <c r="P4929" s="5">
        <v>11</v>
      </c>
      <c r="Q4929" s="5">
        <v>154</v>
      </c>
      <c r="R4929" s="5">
        <v>11</v>
      </c>
      <c r="S4929" s="5">
        <v>145</v>
      </c>
    </row>
    <row r="4930" spans="1:19" ht="56" x14ac:dyDescent="0.15">
      <c r="A4930" s="2">
        <f>HYPERLINK("https://open-school.uspishnemisto.com.ua/school/230436/", 230436)</f>
        <v>230436</v>
      </c>
      <c r="B4930" s="3" t="s">
        <v>25977</v>
      </c>
      <c r="C4930" s="3" t="s">
        <v>54</v>
      </c>
      <c r="D4930" s="3" t="s">
        <v>175</v>
      </c>
      <c r="E4930" s="4" t="s">
        <v>22</v>
      </c>
      <c r="F4930" s="4" t="s">
        <v>25978</v>
      </c>
      <c r="G4930" s="4" t="s">
        <v>25979</v>
      </c>
      <c r="H4930" s="3" t="s">
        <v>23629</v>
      </c>
      <c r="I4930" s="3" t="s">
        <v>440</v>
      </c>
      <c r="J4930" s="3" t="s">
        <v>25980</v>
      </c>
      <c r="K4930" s="3" t="s">
        <v>25981</v>
      </c>
      <c r="L4930" s="3"/>
      <c r="M4930" s="4" t="s">
        <v>25982</v>
      </c>
      <c r="N4930" s="3" t="s">
        <v>37</v>
      </c>
      <c r="O4930" s="3" t="s">
        <v>38</v>
      </c>
      <c r="P4930" s="5">
        <v>9</v>
      </c>
      <c r="Q4930" s="5">
        <v>67</v>
      </c>
      <c r="R4930" s="5">
        <v>9</v>
      </c>
      <c r="S4930" s="5">
        <v>62</v>
      </c>
    </row>
    <row r="4931" spans="1:19" ht="56" x14ac:dyDescent="0.15">
      <c r="A4931" s="2">
        <f>HYPERLINK("https://open-school.uspishnemisto.com.ua/school/230437/", 230437)</f>
        <v>230437</v>
      </c>
      <c r="B4931" s="3" t="s">
        <v>25983</v>
      </c>
      <c r="C4931" s="3" t="s">
        <v>54</v>
      </c>
      <c r="D4931" s="3" t="s">
        <v>32</v>
      </c>
      <c r="E4931" s="4" t="s">
        <v>22</v>
      </c>
      <c r="F4931" s="4" t="s">
        <v>25984</v>
      </c>
      <c r="G4931" s="4" t="s">
        <v>25985</v>
      </c>
      <c r="H4931" s="3" t="s">
        <v>23629</v>
      </c>
      <c r="I4931" s="3" t="s">
        <v>25986</v>
      </c>
      <c r="J4931" s="3" t="s">
        <v>25987</v>
      </c>
      <c r="K4931" s="3" t="s">
        <v>25988</v>
      </c>
      <c r="L4931" s="3"/>
      <c r="M4931" s="4" t="s">
        <v>25989</v>
      </c>
      <c r="N4931" s="3" t="s">
        <v>37</v>
      </c>
      <c r="O4931" s="3" t="s">
        <v>38</v>
      </c>
      <c r="P4931" s="5">
        <v>12</v>
      </c>
      <c r="Q4931" s="5">
        <v>241</v>
      </c>
      <c r="R4931" s="5">
        <v>11</v>
      </c>
      <c r="S4931" s="5">
        <v>230</v>
      </c>
    </row>
    <row r="4932" spans="1:19" ht="42" x14ac:dyDescent="0.15">
      <c r="A4932" s="2">
        <f>HYPERLINK("https://open-school.uspishnemisto.com.ua/school/230439/", 230439)</f>
        <v>230439</v>
      </c>
      <c r="B4932" s="3" t="s">
        <v>25990</v>
      </c>
      <c r="C4932" s="3" t="s">
        <v>31</v>
      </c>
      <c r="D4932" s="3" t="s">
        <v>32</v>
      </c>
      <c r="E4932" s="4" t="s">
        <v>22</v>
      </c>
      <c r="F4932" s="4" t="s">
        <v>25991</v>
      </c>
      <c r="G4932" s="4" t="s">
        <v>25992</v>
      </c>
      <c r="H4932" s="3" t="s">
        <v>23629</v>
      </c>
      <c r="I4932" s="3" t="s">
        <v>25993</v>
      </c>
      <c r="J4932" s="3" t="s">
        <v>25994</v>
      </c>
      <c r="K4932" s="3" t="s">
        <v>25995</v>
      </c>
      <c r="L4932" s="3" t="s">
        <v>25996</v>
      </c>
      <c r="M4932" s="4" t="s">
        <v>25997</v>
      </c>
      <c r="N4932" s="3" t="s">
        <v>37</v>
      </c>
      <c r="O4932" s="3" t="s">
        <v>38</v>
      </c>
      <c r="P4932" s="5">
        <v>11</v>
      </c>
      <c r="Q4932" s="5">
        <v>124</v>
      </c>
      <c r="R4932" s="5">
        <v>11</v>
      </c>
      <c r="S4932" s="5">
        <v>125</v>
      </c>
    </row>
    <row r="4933" spans="1:19" ht="56" x14ac:dyDescent="0.15">
      <c r="A4933" s="2">
        <f>HYPERLINK("https://open-school.uspishnemisto.com.ua/school/230440/", 230440)</f>
        <v>230440</v>
      </c>
      <c r="B4933" s="3" t="s">
        <v>25998</v>
      </c>
      <c r="C4933" s="3" t="s">
        <v>54</v>
      </c>
      <c r="D4933" s="3" t="s">
        <v>175</v>
      </c>
      <c r="E4933" s="4" t="s">
        <v>22</v>
      </c>
      <c r="F4933" s="4" t="s">
        <v>25999</v>
      </c>
      <c r="G4933" s="4" t="s">
        <v>26000</v>
      </c>
      <c r="H4933" s="3" t="s">
        <v>23629</v>
      </c>
      <c r="I4933" s="3" t="s">
        <v>26001</v>
      </c>
      <c r="J4933" s="3" t="s">
        <v>26002</v>
      </c>
      <c r="K4933" s="3" t="s">
        <v>26003</v>
      </c>
      <c r="L4933" s="3"/>
      <c r="M4933" s="4" t="s">
        <v>26004</v>
      </c>
      <c r="N4933" s="3" t="s">
        <v>37</v>
      </c>
      <c r="O4933" s="3" t="s">
        <v>38</v>
      </c>
      <c r="P4933" s="5">
        <v>7</v>
      </c>
      <c r="Q4933" s="5">
        <v>55</v>
      </c>
      <c r="R4933" s="5">
        <v>7</v>
      </c>
      <c r="S4933" s="5">
        <v>54</v>
      </c>
    </row>
    <row r="4934" spans="1:19" ht="42" x14ac:dyDescent="0.15">
      <c r="A4934" s="2">
        <f>HYPERLINK("https://open-school.uspishnemisto.com.ua/school/230441/", 230441)</f>
        <v>230441</v>
      </c>
      <c r="B4934" s="3" t="s">
        <v>26005</v>
      </c>
      <c r="C4934" s="3" t="s">
        <v>31</v>
      </c>
      <c r="D4934" s="3" t="s">
        <v>32</v>
      </c>
      <c r="E4934" s="4" t="s">
        <v>22</v>
      </c>
      <c r="F4934" s="4" t="s">
        <v>26006</v>
      </c>
      <c r="G4934" s="4" t="s">
        <v>26007</v>
      </c>
      <c r="H4934" s="3" t="s">
        <v>23629</v>
      </c>
      <c r="I4934" s="3" t="s">
        <v>26008</v>
      </c>
      <c r="J4934" s="3" t="s">
        <v>26009</v>
      </c>
      <c r="K4934" s="3" t="s">
        <v>26010</v>
      </c>
      <c r="L4934" s="3" t="s">
        <v>26011</v>
      </c>
      <c r="M4934" s="4" t="s">
        <v>26012</v>
      </c>
      <c r="N4934" s="3" t="s">
        <v>967</v>
      </c>
      <c r="O4934" s="3" t="s">
        <v>52</v>
      </c>
      <c r="P4934" s="5">
        <v>11</v>
      </c>
      <c r="Q4934" s="5">
        <v>181</v>
      </c>
      <c r="R4934" s="5">
        <v>10</v>
      </c>
      <c r="S4934" s="5">
        <v>167</v>
      </c>
    </row>
    <row r="4935" spans="1:19" ht="42" x14ac:dyDescent="0.15">
      <c r="A4935" s="2">
        <f>HYPERLINK("https://open-school.uspishnemisto.com.ua/school/230442/", 230442)</f>
        <v>230442</v>
      </c>
      <c r="B4935" s="3" t="s">
        <v>26013</v>
      </c>
      <c r="C4935" s="3" t="s">
        <v>181</v>
      </c>
      <c r="D4935" s="3" t="s">
        <v>175</v>
      </c>
      <c r="E4935" s="4" t="s">
        <v>22</v>
      </c>
      <c r="F4935" s="4" t="s">
        <v>26014</v>
      </c>
      <c r="G4935" s="4" t="s">
        <v>26015</v>
      </c>
      <c r="H4935" s="3" t="s">
        <v>23629</v>
      </c>
      <c r="I4935" s="3" t="s">
        <v>11119</v>
      </c>
      <c r="J4935" s="3" t="s">
        <v>26016</v>
      </c>
      <c r="K4935" s="3" t="s">
        <v>26017</v>
      </c>
      <c r="L4935" s="3" t="s">
        <v>26018</v>
      </c>
      <c r="M4935" s="4" t="s">
        <v>26019</v>
      </c>
      <c r="N4935" s="3" t="s">
        <v>37</v>
      </c>
      <c r="O4935" s="3" t="s">
        <v>52</v>
      </c>
      <c r="P4935" s="5">
        <v>24</v>
      </c>
      <c r="Q4935" s="5">
        <v>262</v>
      </c>
      <c r="R4935" s="5">
        <v>24</v>
      </c>
      <c r="S4935" s="5">
        <v>259</v>
      </c>
    </row>
    <row r="4936" spans="1:19" ht="42" x14ac:dyDescent="0.15">
      <c r="A4936" s="2">
        <f>HYPERLINK("https://open-school.uspishnemisto.com.ua/school/230443/", 230443)</f>
        <v>230443</v>
      </c>
      <c r="B4936" s="3" t="s">
        <v>26020</v>
      </c>
      <c r="C4936" s="3" t="s">
        <v>244</v>
      </c>
      <c r="D4936" s="3" t="s">
        <v>32</v>
      </c>
      <c r="E4936" s="4" t="s">
        <v>22</v>
      </c>
      <c r="F4936" s="4" t="s">
        <v>26021</v>
      </c>
      <c r="G4936" s="4" t="s">
        <v>26015</v>
      </c>
      <c r="H4936" s="3" t="s">
        <v>23629</v>
      </c>
      <c r="I4936" s="3" t="s">
        <v>11119</v>
      </c>
      <c r="J4936" s="3" t="s">
        <v>20985</v>
      </c>
      <c r="K4936" s="3" t="s">
        <v>26022</v>
      </c>
      <c r="L4936" s="3" t="s">
        <v>26023</v>
      </c>
      <c r="M4936" s="4"/>
      <c r="N4936" s="3" t="s">
        <v>37</v>
      </c>
      <c r="O4936" s="3" t="s">
        <v>38</v>
      </c>
      <c r="P4936" s="5">
        <v>26</v>
      </c>
      <c r="Q4936" s="5">
        <v>514</v>
      </c>
      <c r="R4936" s="5">
        <v>26</v>
      </c>
      <c r="S4936" s="5">
        <v>501</v>
      </c>
    </row>
    <row r="4937" spans="1:19" ht="56" x14ac:dyDescent="0.15">
      <c r="A4937" s="2">
        <f>HYPERLINK("https://open-school.uspishnemisto.com.ua/school/230444/", 230444)</f>
        <v>230444</v>
      </c>
      <c r="B4937" s="3" t="s">
        <v>26024</v>
      </c>
      <c r="C4937" s="3" t="s">
        <v>54</v>
      </c>
      <c r="D4937" s="3" t="s">
        <v>32</v>
      </c>
      <c r="E4937" s="4" t="s">
        <v>22</v>
      </c>
      <c r="F4937" s="4" t="s">
        <v>26025</v>
      </c>
      <c r="G4937" s="4" t="s">
        <v>26026</v>
      </c>
      <c r="H4937" s="3" t="s">
        <v>23629</v>
      </c>
      <c r="I4937" s="3" t="s">
        <v>26027</v>
      </c>
      <c r="J4937" s="3" t="s">
        <v>1792</v>
      </c>
      <c r="K4937" s="3" t="s">
        <v>26028</v>
      </c>
      <c r="L4937" s="3" t="s">
        <v>26029</v>
      </c>
      <c r="M4937" s="4"/>
      <c r="N4937" s="3" t="s">
        <v>37</v>
      </c>
      <c r="O4937" s="3" t="s">
        <v>38</v>
      </c>
      <c r="P4937" s="5">
        <v>11</v>
      </c>
      <c r="Q4937" s="5">
        <v>138</v>
      </c>
      <c r="R4937" s="5">
        <v>11</v>
      </c>
      <c r="S4937" s="5">
        <v>148</v>
      </c>
    </row>
    <row r="4938" spans="1:19" ht="28" x14ac:dyDescent="0.15">
      <c r="A4938" s="2">
        <f>HYPERLINK("https://open-school.uspishnemisto.com.ua/school/230445/", 230445)</f>
        <v>230445</v>
      </c>
      <c r="B4938" s="3" t="s">
        <v>26030</v>
      </c>
      <c r="C4938" s="3" t="s">
        <v>31</v>
      </c>
      <c r="D4938" s="3" t="s">
        <v>175</v>
      </c>
      <c r="E4938" s="4" t="s">
        <v>22</v>
      </c>
      <c r="F4938" s="4" t="s">
        <v>26031</v>
      </c>
      <c r="G4938" s="4" t="s">
        <v>26032</v>
      </c>
      <c r="H4938" s="3" t="s">
        <v>23629</v>
      </c>
      <c r="I4938" s="3" t="s">
        <v>26033</v>
      </c>
      <c r="J4938" s="3" t="s">
        <v>26034</v>
      </c>
      <c r="K4938" s="3" t="s">
        <v>26035</v>
      </c>
      <c r="L4938" s="3" t="s">
        <v>26036</v>
      </c>
      <c r="M4938" s="4"/>
      <c r="N4938" s="3" t="s">
        <v>37</v>
      </c>
      <c r="O4938" s="3" t="s">
        <v>38</v>
      </c>
      <c r="P4938" s="5">
        <v>2</v>
      </c>
      <c r="Q4938" s="5">
        <v>27</v>
      </c>
      <c r="R4938" s="5">
        <v>2</v>
      </c>
      <c r="S4938" s="5">
        <v>27</v>
      </c>
    </row>
    <row r="4939" spans="1:19" ht="42" x14ac:dyDescent="0.15">
      <c r="A4939" s="2">
        <f>HYPERLINK("https://open-school.uspishnemisto.com.ua/school/230446/", 230446)</f>
        <v>230446</v>
      </c>
      <c r="B4939" s="3" t="s">
        <v>26037</v>
      </c>
      <c r="C4939" s="3" t="s">
        <v>31</v>
      </c>
      <c r="D4939" s="3" t="s">
        <v>175</v>
      </c>
      <c r="E4939" s="4" t="s">
        <v>22</v>
      </c>
      <c r="F4939" s="4" t="s">
        <v>26038</v>
      </c>
      <c r="G4939" s="4" t="s">
        <v>26039</v>
      </c>
      <c r="H4939" s="3" t="s">
        <v>23629</v>
      </c>
      <c r="I4939" s="3" t="s">
        <v>11450</v>
      </c>
      <c r="J4939" s="3" t="s">
        <v>2384</v>
      </c>
      <c r="K4939" s="3" t="s">
        <v>26040</v>
      </c>
      <c r="L4939" s="3" t="s">
        <v>26041</v>
      </c>
      <c r="M4939" s="4"/>
      <c r="N4939" s="3" t="s">
        <v>37</v>
      </c>
      <c r="O4939" s="3" t="s">
        <v>70</v>
      </c>
      <c r="P4939" s="5">
        <v>2</v>
      </c>
      <c r="Q4939" s="5">
        <v>31</v>
      </c>
      <c r="R4939" s="5">
        <v>5</v>
      </c>
      <c r="S4939" s="5">
        <v>41</v>
      </c>
    </row>
    <row r="4940" spans="1:19" ht="28" x14ac:dyDescent="0.15">
      <c r="A4940" s="2">
        <f>HYPERLINK("https://open-school.uspishnemisto.com.ua/school/230447/", 230447)</f>
        <v>230447</v>
      </c>
      <c r="B4940" s="3" t="s">
        <v>26042</v>
      </c>
      <c r="C4940" s="3" t="s">
        <v>31</v>
      </c>
      <c r="D4940" s="3" t="s">
        <v>32</v>
      </c>
      <c r="E4940" s="4" t="s">
        <v>22</v>
      </c>
      <c r="F4940" s="4" t="s">
        <v>26043</v>
      </c>
      <c r="G4940" s="4" t="s">
        <v>26044</v>
      </c>
      <c r="H4940" s="3" t="s">
        <v>23629</v>
      </c>
      <c r="I4940" s="3" t="s">
        <v>26045</v>
      </c>
      <c r="J4940" s="3" t="s">
        <v>1636</v>
      </c>
      <c r="K4940" s="3" t="s">
        <v>26046</v>
      </c>
      <c r="L4940" s="3" t="s">
        <v>26047</v>
      </c>
      <c r="M4940" s="4"/>
      <c r="N4940" s="3" t="s">
        <v>37</v>
      </c>
      <c r="O4940" s="3" t="s">
        <v>112</v>
      </c>
      <c r="P4940" s="5">
        <v>10</v>
      </c>
      <c r="Q4940" s="5">
        <v>98</v>
      </c>
      <c r="R4940" s="5">
        <v>11</v>
      </c>
      <c r="S4940" s="5">
        <v>97</v>
      </c>
    </row>
    <row r="4941" spans="1:19" ht="28" x14ac:dyDescent="0.15">
      <c r="A4941" s="2">
        <f>HYPERLINK("https://open-school.uspishnemisto.com.ua/school/230449/", 230449)</f>
        <v>230449</v>
      </c>
      <c r="B4941" s="3" t="s">
        <v>26048</v>
      </c>
      <c r="C4941" s="3" t="s">
        <v>31</v>
      </c>
      <c r="D4941" s="3" t="s">
        <v>32</v>
      </c>
      <c r="E4941" s="4" t="s">
        <v>22</v>
      </c>
      <c r="F4941" s="4" t="s">
        <v>26049</v>
      </c>
      <c r="G4941" s="4" t="s">
        <v>26050</v>
      </c>
      <c r="H4941" s="3" t="s">
        <v>23629</v>
      </c>
      <c r="I4941" s="3" t="s">
        <v>21500</v>
      </c>
      <c r="J4941" s="3" t="s">
        <v>18285</v>
      </c>
      <c r="K4941" s="3" t="s">
        <v>26051</v>
      </c>
      <c r="L4941" s="3" t="s">
        <v>26052</v>
      </c>
      <c r="M4941" s="4"/>
      <c r="N4941" s="3" t="s">
        <v>37</v>
      </c>
      <c r="O4941" s="3" t="s">
        <v>38</v>
      </c>
      <c r="P4941" s="5">
        <v>10</v>
      </c>
      <c r="Q4941" s="5">
        <v>70</v>
      </c>
      <c r="R4941" s="5">
        <v>9</v>
      </c>
      <c r="S4941" s="5">
        <v>68</v>
      </c>
    </row>
    <row r="4942" spans="1:19" ht="56" x14ac:dyDescent="0.15">
      <c r="A4942" s="2">
        <f>HYPERLINK("https://open-school.uspishnemisto.com.ua/school/230450/", 230450)</f>
        <v>230450</v>
      </c>
      <c r="B4942" s="3" t="s">
        <v>26053</v>
      </c>
      <c r="C4942" s="3" t="s">
        <v>54</v>
      </c>
      <c r="D4942" s="3" t="s">
        <v>32</v>
      </c>
      <c r="E4942" s="4" t="s">
        <v>22</v>
      </c>
      <c r="F4942" s="4" t="s">
        <v>26054</v>
      </c>
      <c r="G4942" s="4" t="s">
        <v>26055</v>
      </c>
      <c r="H4942" s="3" t="s">
        <v>23629</v>
      </c>
      <c r="I4942" s="3" t="s">
        <v>11355</v>
      </c>
      <c r="J4942" s="3" t="s">
        <v>26056</v>
      </c>
      <c r="K4942" s="3" t="s">
        <v>26057</v>
      </c>
      <c r="L4942" s="3" t="s">
        <v>26058</v>
      </c>
      <c r="M4942" s="4"/>
      <c r="N4942" s="3" t="s">
        <v>37</v>
      </c>
      <c r="O4942" s="3" t="s">
        <v>38</v>
      </c>
      <c r="P4942" s="5">
        <v>10</v>
      </c>
      <c r="Q4942" s="5">
        <v>89</v>
      </c>
      <c r="R4942" s="5">
        <v>11</v>
      </c>
      <c r="S4942" s="5">
        <v>89</v>
      </c>
    </row>
    <row r="4943" spans="1:19" ht="56" x14ac:dyDescent="0.15">
      <c r="A4943" s="2">
        <f>HYPERLINK("https://open-school.uspishnemisto.com.ua/school/230451/", 230451)</f>
        <v>230451</v>
      </c>
      <c r="B4943" s="3" t="s">
        <v>26059</v>
      </c>
      <c r="C4943" s="3" t="s">
        <v>54</v>
      </c>
      <c r="D4943" s="3" t="s">
        <v>32</v>
      </c>
      <c r="E4943" s="4" t="s">
        <v>22</v>
      </c>
      <c r="F4943" s="4" t="s">
        <v>26060</v>
      </c>
      <c r="G4943" s="4" t="s">
        <v>26061</v>
      </c>
      <c r="H4943" s="3" t="s">
        <v>23629</v>
      </c>
      <c r="I4943" s="3" t="s">
        <v>26062</v>
      </c>
      <c r="J4943" s="3" t="s">
        <v>466</v>
      </c>
      <c r="K4943" s="3" t="s">
        <v>26063</v>
      </c>
      <c r="L4943" s="3" t="s">
        <v>26064</v>
      </c>
      <c r="M4943" s="4"/>
      <c r="N4943" s="3" t="s">
        <v>37</v>
      </c>
      <c r="O4943" s="3" t="s">
        <v>38</v>
      </c>
      <c r="P4943" s="5">
        <v>10</v>
      </c>
      <c r="Q4943" s="5">
        <v>90</v>
      </c>
      <c r="R4943" s="5">
        <v>10</v>
      </c>
      <c r="S4943" s="5">
        <v>66</v>
      </c>
    </row>
    <row r="4944" spans="1:19" ht="70" x14ac:dyDescent="0.15">
      <c r="A4944" s="2">
        <f>HYPERLINK("https://open-school.uspishnemisto.com.ua/school/230452/", 230452)</f>
        <v>230452</v>
      </c>
      <c r="B4944" s="3" t="s">
        <v>26065</v>
      </c>
      <c r="C4944" s="3" t="s">
        <v>54</v>
      </c>
      <c r="D4944" s="3" t="s">
        <v>32</v>
      </c>
      <c r="E4944" s="4" t="s">
        <v>22</v>
      </c>
      <c r="F4944" s="4" t="s">
        <v>26066</v>
      </c>
      <c r="G4944" s="4" t="s">
        <v>26067</v>
      </c>
      <c r="H4944" s="3" t="s">
        <v>23629</v>
      </c>
      <c r="I4944" s="3" t="s">
        <v>26068</v>
      </c>
      <c r="J4944" s="3" t="s">
        <v>8429</v>
      </c>
      <c r="K4944" s="3" t="s">
        <v>26069</v>
      </c>
      <c r="L4944" s="3" t="s">
        <v>26070</v>
      </c>
      <c r="M4944" s="4"/>
      <c r="N4944" s="3" t="s">
        <v>37</v>
      </c>
      <c r="O4944" s="3" t="s">
        <v>38</v>
      </c>
      <c r="P4944" s="5">
        <v>9</v>
      </c>
      <c r="Q4944" s="5">
        <v>101</v>
      </c>
      <c r="R4944" s="5">
        <v>9</v>
      </c>
      <c r="S4944" s="5">
        <v>95</v>
      </c>
    </row>
    <row r="4945" spans="1:19" ht="28" x14ac:dyDescent="0.15">
      <c r="A4945" s="2">
        <f>HYPERLINK("https://open-school.uspishnemisto.com.ua/school/230453/", 230453)</f>
        <v>230453</v>
      </c>
      <c r="B4945" s="3" t="s">
        <v>26071</v>
      </c>
      <c r="C4945" s="3" t="s">
        <v>31</v>
      </c>
      <c r="D4945" s="3" t="s">
        <v>32</v>
      </c>
      <c r="E4945" s="4" t="s">
        <v>22</v>
      </c>
      <c r="F4945" s="4" t="s">
        <v>26072</v>
      </c>
      <c r="G4945" s="4" t="s">
        <v>26073</v>
      </c>
      <c r="H4945" s="3" t="s">
        <v>23629</v>
      </c>
      <c r="I4945" s="3" t="s">
        <v>25801</v>
      </c>
      <c r="J4945" s="3" t="s">
        <v>2687</v>
      </c>
      <c r="K4945" s="3" t="s">
        <v>26074</v>
      </c>
      <c r="L4945" s="3" t="s">
        <v>26075</v>
      </c>
      <c r="M4945" s="4"/>
      <c r="N4945" s="3" t="s">
        <v>37</v>
      </c>
      <c r="O4945" s="3" t="s">
        <v>38</v>
      </c>
      <c r="P4945" s="5">
        <v>6</v>
      </c>
      <c r="Q4945" s="5">
        <v>48</v>
      </c>
      <c r="R4945" s="5">
        <v>6</v>
      </c>
      <c r="S4945" s="5">
        <v>49</v>
      </c>
    </row>
    <row r="4946" spans="1:19" ht="42" x14ac:dyDescent="0.15">
      <c r="A4946" s="2">
        <f>HYPERLINK("https://open-school.uspishnemisto.com.ua/school/230454/", 230454)</f>
        <v>230454</v>
      </c>
      <c r="B4946" s="3" t="s">
        <v>26076</v>
      </c>
      <c r="C4946" s="3" t="s">
        <v>31</v>
      </c>
      <c r="D4946" s="3" t="s">
        <v>175</v>
      </c>
      <c r="E4946" s="4" t="s">
        <v>22</v>
      </c>
      <c r="F4946" s="4" t="s">
        <v>26077</v>
      </c>
      <c r="G4946" s="4" t="s">
        <v>26078</v>
      </c>
      <c r="H4946" s="3" t="s">
        <v>23629</v>
      </c>
      <c r="I4946" s="3" t="s">
        <v>26079</v>
      </c>
      <c r="J4946" s="3" t="s">
        <v>26080</v>
      </c>
      <c r="K4946" s="3" t="s">
        <v>26081</v>
      </c>
      <c r="L4946" s="3" t="s">
        <v>26082</v>
      </c>
      <c r="M4946" s="4"/>
      <c r="N4946" s="3" t="s">
        <v>37</v>
      </c>
      <c r="O4946" s="3" t="s">
        <v>38</v>
      </c>
      <c r="P4946" s="5">
        <v>19</v>
      </c>
      <c r="Q4946" s="5">
        <v>423</v>
      </c>
      <c r="R4946" s="5">
        <v>18</v>
      </c>
      <c r="S4946" s="5">
        <v>414</v>
      </c>
    </row>
    <row r="4947" spans="1:19" ht="42" x14ac:dyDescent="0.15">
      <c r="A4947" s="2">
        <f>HYPERLINK("https://open-school.uspishnemisto.com.ua/school/230455/", 230455)</f>
        <v>230455</v>
      </c>
      <c r="B4947" s="3" t="s">
        <v>26083</v>
      </c>
      <c r="C4947" s="3" t="s">
        <v>31</v>
      </c>
      <c r="D4947" s="3" t="s">
        <v>175</v>
      </c>
      <c r="E4947" s="4" t="s">
        <v>22</v>
      </c>
      <c r="F4947" s="4" t="s">
        <v>26084</v>
      </c>
      <c r="G4947" s="4" t="s">
        <v>26078</v>
      </c>
      <c r="H4947" s="3" t="s">
        <v>23629</v>
      </c>
      <c r="I4947" s="3" t="s">
        <v>26079</v>
      </c>
      <c r="J4947" s="3" t="s">
        <v>26085</v>
      </c>
      <c r="K4947" s="3" t="s">
        <v>26086</v>
      </c>
      <c r="L4947" s="3" t="s">
        <v>26087</v>
      </c>
      <c r="M4947" s="4"/>
      <c r="N4947" s="3" t="s">
        <v>37</v>
      </c>
      <c r="O4947" s="3" t="s">
        <v>38</v>
      </c>
      <c r="P4947" s="5">
        <v>9</v>
      </c>
      <c r="Q4947" s="5">
        <v>146</v>
      </c>
      <c r="R4947" s="5">
        <v>9</v>
      </c>
      <c r="S4947" s="5">
        <v>144</v>
      </c>
    </row>
    <row r="4948" spans="1:19" ht="28" x14ac:dyDescent="0.15">
      <c r="A4948" s="2">
        <f>HYPERLINK("https://open-school.uspishnemisto.com.ua/school/230456/", 230456)</f>
        <v>230456</v>
      </c>
      <c r="B4948" s="3" t="s">
        <v>26088</v>
      </c>
      <c r="C4948" s="3" t="s">
        <v>40</v>
      </c>
      <c r="D4948" s="3" t="s">
        <v>32</v>
      </c>
      <c r="E4948" s="4" t="s">
        <v>22</v>
      </c>
      <c r="F4948" s="4" t="s">
        <v>26089</v>
      </c>
      <c r="G4948" s="4" t="s">
        <v>26078</v>
      </c>
      <c r="H4948" s="3" t="s">
        <v>23629</v>
      </c>
      <c r="I4948" s="3" t="s">
        <v>26079</v>
      </c>
      <c r="J4948" s="3" t="s">
        <v>26090</v>
      </c>
      <c r="K4948" s="3" t="s">
        <v>26091</v>
      </c>
      <c r="L4948" s="3" t="s">
        <v>26092</v>
      </c>
      <c r="M4948" s="4" t="s">
        <v>26093</v>
      </c>
      <c r="N4948" s="3" t="s">
        <v>37</v>
      </c>
      <c r="O4948" s="3" t="s">
        <v>197</v>
      </c>
      <c r="P4948" s="5">
        <v>28</v>
      </c>
      <c r="Q4948" s="5">
        <v>701</v>
      </c>
      <c r="R4948" s="5">
        <v>28</v>
      </c>
      <c r="S4948" s="5">
        <v>670</v>
      </c>
    </row>
    <row r="4949" spans="1:19" ht="42" x14ac:dyDescent="0.15">
      <c r="A4949" s="2">
        <f>HYPERLINK("https://open-school.uspishnemisto.com.ua/school/230457/", 230457)</f>
        <v>230457</v>
      </c>
      <c r="B4949" s="3" t="s">
        <v>26094</v>
      </c>
      <c r="C4949" s="3" t="s">
        <v>54</v>
      </c>
      <c r="D4949" s="3" t="s">
        <v>32</v>
      </c>
      <c r="E4949" s="4" t="s">
        <v>22</v>
      </c>
      <c r="F4949" s="4" t="s">
        <v>26077</v>
      </c>
      <c r="G4949" s="4" t="s">
        <v>26078</v>
      </c>
      <c r="H4949" s="3" t="s">
        <v>23629</v>
      </c>
      <c r="I4949" s="3" t="s">
        <v>26079</v>
      </c>
      <c r="J4949" s="3" t="s">
        <v>6800</v>
      </c>
      <c r="K4949" s="3" t="s">
        <v>26095</v>
      </c>
      <c r="L4949" s="3" t="s">
        <v>26096</v>
      </c>
      <c r="M4949" s="4"/>
      <c r="N4949" s="3" t="s">
        <v>128</v>
      </c>
      <c r="O4949" s="3" t="s">
        <v>70</v>
      </c>
      <c r="P4949" s="5">
        <v>19</v>
      </c>
      <c r="Q4949" s="5">
        <v>328</v>
      </c>
      <c r="R4949" s="5">
        <v>19</v>
      </c>
      <c r="S4949" s="5">
        <v>309</v>
      </c>
    </row>
    <row r="4950" spans="1:19" ht="42" x14ac:dyDescent="0.15">
      <c r="A4950" s="2">
        <f>HYPERLINK("https://open-school.uspishnemisto.com.ua/school/230458/", 230458)</f>
        <v>230458</v>
      </c>
      <c r="B4950" s="3" t="s">
        <v>26097</v>
      </c>
      <c r="C4950" s="3" t="s">
        <v>31</v>
      </c>
      <c r="D4950" s="3" t="s">
        <v>32</v>
      </c>
      <c r="E4950" s="4" t="s">
        <v>22</v>
      </c>
      <c r="F4950" s="4" t="s">
        <v>26098</v>
      </c>
      <c r="G4950" s="4" t="s">
        <v>26099</v>
      </c>
      <c r="H4950" s="3" t="s">
        <v>23629</v>
      </c>
      <c r="I4950" s="3" t="s">
        <v>26100</v>
      </c>
      <c r="J4950" s="3" t="s">
        <v>634</v>
      </c>
      <c r="K4950" s="3" t="s">
        <v>26101</v>
      </c>
      <c r="L4950" s="3"/>
      <c r="M4950" s="4"/>
      <c r="N4950" s="3" t="s">
        <v>37</v>
      </c>
      <c r="O4950" s="3" t="s">
        <v>70</v>
      </c>
      <c r="P4950" s="5">
        <v>61</v>
      </c>
      <c r="Q4950" s="5">
        <v>834</v>
      </c>
      <c r="R4950" s="5">
        <v>27</v>
      </c>
      <c r="S4950" s="5">
        <v>634</v>
      </c>
    </row>
    <row r="4951" spans="1:19" ht="42" x14ac:dyDescent="0.15">
      <c r="A4951" s="2">
        <f>HYPERLINK("https://open-school.uspishnemisto.com.ua/school/230459/", 230459)</f>
        <v>230459</v>
      </c>
      <c r="B4951" s="3" t="s">
        <v>26102</v>
      </c>
      <c r="C4951" s="3" t="s">
        <v>31</v>
      </c>
      <c r="D4951" s="3" t="s">
        <v>32</v>
      </c>
      <c r="E4951" s="4" t="s">
        <v>22</v>
      </c>
      <c r="F4951" s="4" t="s">
        <v>26103</v>
      </c>
      <c r="G4951" s="4" t="s">
        <v>26104</v>
      </c>
      <c r="H4951" s="3" t="s">
        <v>23629</v>
      </c>
      <c r="I4951" s="3" t="s">
        <v>3784</v>
      </c>
      <c r="J4951" s="3" t="s">
        <v>26105</v>
      </c>
      <c r="K4951" s="3" t="s">
        <v>26106</v>
      </c>
      <c r="L4951" s="3"/>
      <c r="M4951" s="4"/>
      <c r="N4951" s="3" t="s">
        <v>37</v>
      </c>
      <c r="O4951" s="3" t="s">
        <v>38</v>
      </c>
      <c r="P4951" s="5">
        <v>10</v>
      </c>
      <c r="Q4951" s="5">
        <v>148</v>
      </c>
      <c r="R4951" s="5">
        <v>10</v>
      </c>
      <c r="S4951" s="5">
        <v>140</v>
      </c>
    </row>
    <row r="4952" spans="1:19" ht="42" x14ac:dyDescent="0.15">
      <c r="A4952" s="2">
        <f>HYPERLINK("https://open-school.uspishnemisto.com.ua/school/230461/", 230461)</f>
        <v>230461</v>
      </c>
      <c r="B4952" s="3" t="s">
        <v>26107</v>
      </c>
      <c r="C4952" s="3" t="s">
        <v>54</v>
      </c>
      <c r="D4952" s="3" t="s">
        <v>32</v>
      </c>
      <c r="E4952" s="4" t="s">
        <v>22</v>
      </c>
      <c r="F4952" s="4" t="s">
        <v>26108</v>
      </c>
      <c r="G4952" s="4" t="s">
        <v>26109</v>
      </c>
      <c r="H4952" s="3" t="s">
        <v>23629</v>
      </c>
      <c r="I4952" s="3" t="s">
        <v>24617</v>
      </c>
      <c r="J4952" s="3" t="s">
        <v>26110</v>
      </c>
      <c r="K4952" s="3" t="s">
        <v>26111</v>
      </c>
      <c r="L4952" s="3"/>
      <c r="M4952" s="4"/>
      <c r="N4952" s="3" t="s">
        <v>37</v>
      </c>
      <c r="O4952" s="3" t="s">
        <v>70</v>
      </c>
      <c r="P4952" s="5">
        <v>28</v>
      </c>
      <c r="Q4952" s="5">
        <v>361</v>
      </c>
      <c r="R4952" s="5">
        <v>11</v>
      </c>
      <c r="S4952" s="5">
        <v>191</v>
      </c>
    </row>
    <row r="4953" spans="1:19" ht="42" x14ac:dyDescent="0.15">
      <c r="A4953" s="2">
        <f>HYPERLINK("https://open-school.uspishnemisto.com.ua/school/230462/", 230462)</f>
        <v>230462</v>
      </c>
      <c r="B4953" s="3" t="s">
        <v>26112</v>
      </c>
      <c r="C4953" s="3" t="s">
        <v>31</v>
      </c>
      <c r="D4953" s="3" t="s">
        <v>32</v>
      </c>
      <c r="E4953" s="4" t="s">
        <v>22</v>
      </c>
      <c r="F4953" s="4" t="s">
        <v>26113</v>
      </c>
      <c r="G4953" s="4" t="s">
        <v>26114</v>
      </c>
      <c r="H4953" s="3" t="s">
        <v>23629</v>
      </c>
      <c r="I4953" s="3" t="s">
        <v>26115</v>
      </c>
      <c r="J4953" s="3" t="s">
        <v>26116</v>
      </c>
      <c r="K4953" s="3" t="s">
        <v>26117</v>
      </c>
      <c r="L4953" s="3" t="s">
        <v>26118</v>
      </c>
      <c r="M4953" s="4"/>
      <c r="N4953" s="3" t="s">
        <v>37</v>
      </c>
      <c r="O4953" s="3" t="s">
        <v>38</v>
      </c>
      <c r="P4953" s="5">
        <v>14</v>
      </c>
      <c r="Q4953" s="5">
        <v>271</v>
      </c>
      <c r="R4953" s="5">
        <v>13</v>
      </c>
      <c r="S4953" s="5">
        <v>260</v>
      </c>
    </row>
    <row r="4954" spans="1:19" ht="56" x14ac:dyDescent="0.15">
      <c r="A4954" s="2">
        <f>HYPERLINK("https://open-school.uspishnemisto.com.ua/school/230463/", 230463)</f>
        <v>230463</v>
      </c>
      <c r="B4954" s="3" t="s">
        <v>26119</v>
      </c>
      <c r="C4954" s="3" t="s">
        <v>31</v>
      </c>
      <c r="D4954" s="3" t="s">
        <v>32</v>
      </c>
      <c r="E4954" s="4" t="s">
        <v>22</v>
      </c>
      <c r="F4954" s="4" t="s">
        <v>26120</v>
      </c>
      <c r="G4954" s="4" t="s">
        <v>26121</v>
      </c>
      <c r="H4954" s="3" t="s">
        <v>23629</v>
      </c>
      <c r="I4954" s="3" t="s">
        <v>1889</v>
      </c>
      <c r="J4954" s="3" t="s">
        <v>26122</v>
      </c>
      <c r="K4954" s="3" t="s">
        <v>26123</v>
      </c>
      <c r="L4954" s="3" t="s">
        <v>26124</v>
      </c>
      <c r="M4954" s="4"/>
      <c r="N4954" s="3" t="s">
        <v>37</v>
      </c>
      <c r="O4954" s="3" t="s">
        <v>38</v>
      </c>
      <c r="P4954" s="5">
        <v>9</v>
      </c>
      <c r="Q4954" s="5">
        <v>81</v>
      </c>
      <c r="R4954" s="5">
        <v>9</v>
      </c>
      <c r="S4954" s="5">
        <v>86</v>
      </c>
    </row>
    <row r="4955" spans="1:19" ht="42" x14ac:dyDescent="0.15">
      <c r="A4955" s="2">
        <f>HYPERLINK("https://open-school.uspishnemisto.com.ua/school/230464/", 230464)</f>
        <v>230464</v>
      </c>
      <c r="B4955" s="3" t="s">
        <v>26125</v>
      </c>
      <c r="C4955" s="3" t="s">
        <v>244</v>
      </c>
      <c r="D4955" s="3" t="s">
        <v>32</v>
      </c>
      <c r="E4955" s="4" t="s">
        <v>22</v>
      </c>
      <c r="F4955" s="4" t="s">
        <v>26126</v>
      </c>
      <c r="G4955" s="4" t="s">
        <v>26127</v>
      </c>
      <c r="H4955" s="3" t="s">
        <v>23629</v>
      </c>
      <c r="I4955" s="3" t="s">
        <v>26128</v>
      </c>
      <c r="J4955" s="3" t="s">
        <v>297</v>
      </c>
      <c r="K4955" s="3" t="s">
        <v>26129</v>
      </c>
      <c r="L4955" s="3" t="s">
        <v>26130</v>
      </c>
      <c r="M4955" s="4" t="s">
        <v>26131</v>
      </c>
      <c r="N4955" s="3" t="s">
        <v>37</v>
      </c>
      <c r="O4955" s="3" t="s">
        <v>52</v>
      </c>
      <c r="P4955" s="5">
        <v>10</v>
      </c>
      <c r="Q4955" s="5">
        <v>160</v>
      </c>
      <c r="R4955" s="5">
        <v>11</v>
      </c>
      <c r="S4955" s="5">
        <v>161</v>
      </c>
    </row>
    <row r="4956" spans="1:19" ht="42" x14ac:dyDescent="0.15">
      <c r="A4956" s="2">
        <f>HYPERLINK("https://open-school.uspishnemisto.com.ua/school/230465/", 230465)</f>
        <v>230465</v>
      </c>
      <c r="B4956" s="3" t="s">
        <v>26132</v>
      </c>
      <c r="C4956" s="3" t="s">
        <v>31</v>
      </c>
      <c r="D4956" s="3" t="s">
        <v>175</v>
      </c>
      <c r="E4956" s="4" t="s">
        <v>22</v>
      </c>
      <c r="F4956" s="4" t="s">
        <v>26133</v>
      </c>
      <c r="G4956" s="4" t="s">
        <v>26134</v>
      </c>
      <c r="H4956" s="3" t="s">
        <v>23629</v>
      </c>
      <c r="I4956" s="3" t="s">
        <v>11880</v>
      </c>
      <c r="J4956" s="3" t="s">
        <v>26135</v>
      </c>
      <c r="K4956" s="3" t="s">
        <v>26136</v>
      </c>
      <c r="L4956" s="3"/>
      <c r="M4956" s="4"/>
      <c r="N4956" s="3" t="s">
        <v>37</v>
      </c>
      <c r="O4956" s="3" t="s">
        <v>38</v>
      </c>
      <c r="P4956" s="5">
        <v>7</v>
      </c>
      <c r="Q4956" s="5">
        <v>52</v>
      </c>
      <c r="R4956" s="5">
        <v>7</v>
      </c>
      <c r="S4956" s="5">
        <v>53</v>
      </c>
    </row>
    <row r="4957" spans="1:19" ht="42" x14ac:dyDescent="0.15">
      <c r="A4957" s="2">
        <f>HYPERLINK("https://open-school.uspishnemisto.com.ua/school/230466/", 230466)</f>
        <v>230466</v>
      </c>
      <c r="B4957" s="3" t="s">
        <v>26137</v>
      </c>
      <c r="C4957" s="3" t="s">
        <v>31</v>
      </c>
      <c r="D4957" s="3" t="s">
        <v>175</v>
      </c>
      <c r="E4957" s="4" t="s">
        <v>22</v>
      </c>
      <c r="F4957" s="4" t="s">
        <v>26138</v>
      </c>
      <c r="G4957" s="4" t="s">
        <v>26139</v>
      </c>
      <c r="H4957" s="3" t="s">
        <v>23629</v>
      </c>
      <c r="I4957" s="3" t="s">
        <v>24573</v>
      </c>
      <c r="J4957" s="3" t="s">
        <v>26140</v>
      </c>
      <c r="K4957" s="3" t="s">
        <v>26141</v>
      </c>
      <c r="L4957" s="3"/>
      <c r="M4957" s="4"/>
      <c r="N4957" s="3" t="s">
        <v>37</v>
      </c>
      <c r="O4957" s="3" t="s">
        <v>38</v>
      </c>
      <c r="P4957" s="5">
        <v>9</v>
      </c>
      <c r="Q4957" s="5">
        <v>74</v>
      </c>
      <c r="R4957" s="5">
        <v>9</v>
      </c>
      <c r="S4957" s="5">
        <v>82</v>
      </c>
    </row>
    <row r="4958" spans="1:19" ht="42" x14ac:dyDescent="0.15">
      <c r="A4958" s="2">
        <f>HYPERLINK("https://open-school.uspishnemisto.com.ua/school/230467/", 230467)</f>
        <v>230467</v>
      </c>
      <c r="B4958" s="3" t="s">
        <v>26142</v>
      </c>
      <c r="C4958" s="3" t="s">
        <v>31</v>
      </c>
      <c r="D4958" s="3" t="s">
        <v>175</v>
      </c>
      <c r="E4958" s="4" t="s">
        <v>22</v>
      </c>
      <c r="F4958" s="4" t="s">
        <v>26143</v>
      </c>
      <c r="G4958" s="4" t="s">
        <v>26144</v>
      </c>
      <c r="H4958" s="3" t="s">
        <v>23629</v>
      </c>
      <c r="I4958" s="3" t="s">
        <v>10843</v>
      </c>
      <c r="J4958" s="3" t="s">
        <v>26145</v>
      </c>
      <c r="K4958" s="3" t="s">
        <v>26146</v>
      </c>
      <c r="L4958" s="3" t="s">
        <v>26147</v>
      </c>
      <c r="M4958" s="4"/>
      <c r="N4958" s="3" t="s">
        <v>37</v>
      </c>
      <c r="O4958" s="3" t="s">
        <v>52</v>
      </c>
      <c r="P4958" s="5">
        <v>0</v>
      </c>
      <c r="Q4958" s="5">
        <v>0</v>
      </c>
      <c r="R4958" s="5">
        <v>6</v>
      </c>
      <c r="S4958" s="5">
        <v>61</v>
      </c>
    </row>
    <row r="4959" spans="1:19" ht="42" x14ac:dyDescent="0.15">
      <c r="A4959" s="2">
        <f>HYPERLINK("https://open-school.uspishnemisto.com.ua/school/230468/", 230468)</f>
        <v>230468</v>
      </c>
      <c r="B4959" s="3" t="s">
        <v>26148</v>
      </c>
      <c r="C4959" s="3" t="s">
        <v>31</v>
      </c>
      <c r="D4959" s="3" t="s">
        <v>32</v>
      </c>
      <c r="E4959" s="4" t="s">
        <v>22</v>
      </c>
      <c r="F4959" s="4" t="s">
        <v>26149</v>
      </c>
      <c r="G4959" s="4" t="s">
        <v>26150</v>
      </c>
      <c r="H4959" s="3" t="s">
        <v>23629</v>
      </c>
      <c r="I4959" s="3" t="s">
        <v>26151</v>
      </c>
      <c r="J4959" s="3" t="s">
        <v>26152</v>
      </c>
      <c r="K4959" s="3" t="s">
        <v>26153</v>
      </c>
      <c r="L4959" s="3" t="s">
        <v>26154</v>
      </c>
      <c r="M4959" s="4"/>
      <c r="N4959" s="3" t="s">
        <v>37</v>
      </c>
      <c r="O4959" s="3" t="s">
        <v>52</v>
      </c>
      <c r="P4959" s="5">
        <v>11</v>
      </c>
      <c r="Q4959" s="5">
        <v>161</v>
      </c>
      <c r="R4959" s="5">
        <v>11</v>
      </c>
      <c r="S4959" s="5">
        <v>163</v>
      </c>
    </row>
    <row r="4960" spans="1:19" ht="56" x14ac:dyDescent="0.15">
      <c r="A4960" s="2">
        <f>HYPERLINK("https://open-school.uspishnemisto.com.ua/school/230469/", 230469)</f>
        <v>230469</v>
      </c>
      <c r="B4960" s="3" t="s">
        <v>26155</v>
      </c>
      <c r="C4960" s="3" t="s">
        <v>54</v>
      </c>
      <c r="D4960" s="3" t="s">
        <v>60</v>
      </c>
      <c r="E4960" s="4" t="s">
        <v>22</v>
      </c>
      <c r="F4960" s="4" t="s">
        <v>26156</v>
      </c>
      <c r="G4960" s="4" t="s">
        <v>26157</v>
      </c>
      <c r="H4960" s="3" t="s">
        <v>23629</v>
      </c>
      <c r="I4960" s="3" t="s">
        <v>971</v>
      </c>
      <c r="J4960" s="3" t="s">
        <v>26158</v>
      </c>
      <c r="K4960" s="3" t="s">
        <v>26159</v>
      </c>
      <c r="L4960" s="3"/>
      <c r="M4960" s="4"/>
      <c r="N4960" s="3" t="s">
        <v>37</v>
      </c>
      <c r="O4960" s="3" t="s">
        <v>52</v>
      </c>
      <c r="P4960" s="5">
        <v>0</v>
      </c>
      <c r="Q4960" s="5">
        <v>7</v>
      </c>
      <c r="R4960" s="5">
        <v>0</v>
      </c>
      <c r="S4960" s="5">
        <v>5</v>
      </c>
    </row>
    <row r="4961" spans="1:19" ht="42" x14ac:dyDescent="0.15">
      <c r="A4961" s="2">
        <f>HYPERLINK("https://open-school.uspishnemisto.com.ua/school/230470/", 230470)</f>
        <v>230470</v>
      </c>
      <c r="B4961" s="3" t="s">
        <v>26160</v>
      </c>
      <c r="C4961" s="3" t="s">
        <v>31</v>
      </c>
      <c r="D4961" s="3"/>
      <c r="E4961" s="4" t="s">
        <v>22</v>
      </c>
      <c r="F4961" s="4" t="s">
        <v>26161</v>
      </c>
      <c r="G4961" s="4" t="s">
        <v>26162</v>
      </c>
      <c r="H4961" s="3" t="s">
        <v>23629</v>
      </c>
      <c r="I4961" s="3" t="s">
        <v>26163</v>
      </c>
      <c r="J4961" s="3" t="s">
        <v>466</v>
      </c>
      <c r="K4961" s="3" t="s">
        <v>26164</v>
      </c>
      <c r="L4961" s="3"/>
      <c r="M4961" s="4"/>
      <c r="N4961" s="3" t="s">
        <v>37</v>
      </c>
      <c r="O4961" s="3" t="s">
        <v>618</v>
      </c>
      <c r="P4961" s="5">
        <v>0</v>
      </c>
      <c r="Q4961" s="5">
        <v>0</v>
      </c>
      <c r="R4961" s="5">
        <v>5</v>
      </c>
      <c r="S4961" s="5">
        <v>49</v>
      </c>
    </row>
    <row r="4962" spans="1:19" ht="28" x14ac:dyDescent="0.15">
      <c r="A4962" s="2">
        <f>HYPERLINK("https://open-school.uspishnemisto.com.ua/school/230471/", 230471)</f>
        <v>230471</v>
      </c>
      <c r="B4962" s="3" t="s">
        <v>26165</v>
      </c>
      <c r="C4962" s="3" t="s">
        <v>54</v>
      </c>
      <c r="D4962" s="3" t="s">
        <v>175</v>
      </c>
      <c r="E4962" s="4" t="s">
        <v>22</v>
      </c>
      <c r="F4962" s="4" t="s">
        <v>26166</v>
      </c>
      <c r="G4962" s="4" t="s">
        <v>26167</v>
      </c>
      <c r="H4962" s="3" t="s">
        <v>23629</v>
      </c>
      <c r="I4962" s="3" t="s">
        <v>11627</v>
      </c>
      <c r="J4962" s="3" t="s">
        <v>26168</v>
      </c>
      <c r="K4962" s="3" t="s">
        <v>26169</v>
      </c>
      <c r="L4962" s="3"/>
      <c r="M4962" s="4"/>
      <c r="N4962" s="3" t="s">
        <v>37</v>
      </c>
      <c r="O4962" s="3" t="s">
        <v>52</v>
      </c>
      <c r="P4962" s="5">
        <v>0</v>
      </c>
      <c r="Q4962" s="5">
        <v>0</v>
      </c>
      <c r="R4962" s="5">
        <v>2</v>
      </c>
      <c r="S4962" s="5">
        <v>27</v>
      </c>
    </row>
    <row r="4963" spans="1:19" ht="42" x14ac:dyDescent="0.15">
      <c r="A4963" s="2">
        <f>HYPERLINK("https://open-school.uspishnemisto.com.ua/school/230472/", 230472)</f>
        <v>230472</v>
      </c>
      <c r="B4963" s="3" t="s">
        <v>26170</v>
      </c>
      <c r="C4963" s="3" t="s">
        <v>54</v>
      </c>
      <c r="D4963" s="3" t="s">
        <v>32</v>
      </c>
      <c r="E4963" s="4" t="s">
        <v>22</v>
      </c>
      <c r="F4963" s="4" t="s">
        <v>26171</v>
      </c>
      <c r="G4963" s="4" t="s">
        <v>26172</v>
      </c>
      <c r="H4963" s="3" t="s">
        <v>23629</v>
      </c>
      <c r="I4963" s="3" t="s">
        <v>11594</v>
      </c>
      <c r="J4963" s="3" t="s">
        <v>4249</v>
      </c>
      <c r="K4963" s="3" t="s">
        <v>26173</v>
      </c>
      <c r="L4963" s="3" t="s">
        <v>26174</v>
      </c>
      <c r="M4963" s="4" t="s">
        <v>26175</v>
      </c>
      <c r="N4963" s="3" t="s">
        <v>37</v>
      </c>
      <c r="O4963" s="3" t="s">
        <v>70</v>
      </c>
      <c r="P4963" s="5">
        <v>24</v>
      </c>
      <c r="Q4963" s="5">
        <v>396</v>
      </c>
      <c r="R4963" s="5">
        <v>27</v>
      </c>
      <c r="S4963" s="5">
        <v>375</v>
      </c>
    </row>
    <row r="4964" spans="1:19" ht="28" x14ac:dyDescent="0.15">
      <c r="A4964" s="2">
        <f>HYPERLINK("https://open-school.uspishnemisto.com.ua/school/230473/", 230473)</f>
        <v>230473</v>
      </c>
      <c r="B4964" s="3" t="s">
        <v>26176</v>
      </c>
      <c r="C4964" s="3" t="s">
        <v>54</v>
      </c>
      <c r="D4964" s="3" t="s">
        <v>175</v>
      </c>
      <c r="E4964" s="4" t="s">
        <v>22</v>
      </c>
      <c r="F4964" s="4" t="s">
        <v>26177</v>
      </c>
      <c r="G4964" s="4" t="s">
        <v>26178</v>
      </c>
      <c r="H4964" s="3" t="s">
        <v>23629</v>
      </c>
      <c r="I4964" s="3" t="s">
        <v>21936</v>
      </c>
      <c r="J4964" s="3" t="s">
        <v>26179</v>
      </c>
      <c r="K4964" s="3" t="s">
        <v>26180</v>
      </c>
      <c r="L4964" s="3"/>
      <c r="M4964" s="4"/>
      <c r="N4964" s="3" t="s">
        <v>37</v>
      </c>
      <c r="O4964" s="3" t="s">
        <v>52</v>
      </c>
      <c r="P4964" s="5">
        <v>0</v>
      </c>
      <c r="Q4964" s="5">
        <v>0</v>
      </c>
      <c r="R4964" s="5">
        <v>2</v>
      </c>
      <c r="S4964" s="5">
        <v>32</v>
      </c>
    </row>
    <row r="4965" spans="1:19" ht="42" x14ac:dyDescent="0.15">
      <c r="A4965" s="2">
        <f>HYPERLINK("https://open-school.uspishnemisto.com.ua/school/230475/", 230475)</f>
        <v>230475</v>
      </c>
      <c r="B4965" s="3" t="s">
        <v>26181</v>
      </c>
      <c r="C4965" s="3" t="s">
        <v>31</v>
      </c>
      <c r="D4965" s="3" t="s">
        <v>32</v>
      </c>
      <c r="E4965" s="4" t="s">
        <v>22</v>
      </c>
      <c r="F4965" s="4" t="s">
        <v>26182</v>
      </c>
      <c r="G4965" s="4" t="s">
        <v>26183</v>
      </c>
      <c r="H4965" s="3" t="s">
        <v>23629</v>
      </c>
      <c r="I4965" s="3" t="s">
        <v>19777</v>
      </c>
      <c r="J4965" s="3" t="s">
        <v>25465</v>
      </c>
      <c r="K4965" s="3" t="s">
        <v>26184</v>
      </c>
      <c r="L4965" s="3"/>
      <c r="M4965" s="4"/>
      <c r="N4965" s="3" t="s">
        <v>37</v>
      </c>
      <c r="O4965" s="3" t="s">
        <v>112</v>
      </c>
      <c r="P4965" s="5">
        <v>11</v>
      </c>
      <c r="Q4965" s="5">
        <v>93</v>
      </c>
      <c r="R4965" s="5">
        <v>11</v>
      </c>
      <c r="S4965" s="5">
        <v>91</v>
      </c>
    </row>
    <row r="4966" spans="1:19" ht="28" x14ac:dyDescent="0.15">
      <c r="A4966" s="2">
        <f>HYPERLINK("https://open-school.uspishnemisto.com.ua/school/230476/", 230476)</f>
        <v>230476</v>
      </c>
      <c r="B4966" s="3" t="s">
        <v>26185</v>
      </c>
      <c r="C4966" s="3" t="s">
        <v>40</v>
      </c>
      <c r="D4966" s="3" t="s">
        <v>32</v>
      </c>
      <c r="E4966" s="4" t="s">
        <v>22</v>
      </c>
      <c r="F4966" s="4" t="s">
        <v>26186</v>
      </c>
      <c r="G4966" s="4" t="s">
        <v>26187</v>
      </c>
      <c r="H4966" s="3" t="s">
        <v>23629</v>
      </c>
      <c r="I4966" s="3" t="s">
        <v>3409</v>
      </c>
      <c r="J4966" s="3" t="s">
        <v>26188</v>
      </c>
      <c r="K4966" s="3" t="s">
        <v>26189</v>
      </c>
      <c r="L4966" s="3" t="s">
        <v>26190</v>
      </c>
      <c r="M4966" s="4"/>
      <c r="N4966" s="3" t="s">
        <v>37</v>
      </c>
      <c r="O4966" s="3" t="s">
        <v>70</v>
      </c>
      <c r="P4966" s="5">
        <v>21</v>
      </c>
      <c r="Q4966" s="5">
        <v>441</v>
      </c>
      <c r="R4966" s="5">
        <v>21</v>
      </c>
      <c r="S4966" s="5">
        <v>447</v>
      </c>
    </row>
    <row r="4967" spans="1:19" ht="28" x14ac:dyDescent="0.15">
      <c r="A4967" s="2">
        <f>HYPERLINK("https://open-school.uspishnemisto.com.ua/school/230477/", 230477)</f>
        <v>230477</v>
      </c>
      <c r="B4967" s="3" t="s">
        <v>26191</v>
      </c>
      <c r="C4967" s="3" t="s">
        <v>2128</v>
      </c>
      <c r="D4967" s="3" t="s">
        <v>32</v>
      </c>
      <c r="E4967" s="4" t="s">
        <v>22</v>
      </c>
      <c r="F4967" s="4" t="s">
        <v>26186</v>
      </c>
      <c r="G4967" s="4" t="s">
        <v>26187</v>
      </c>
      <c r="H4967" s="3" t="s">
        <v>23629</v>
      </c>
      <c r="I4967" s="3" t="s">
        <v>3409</v>
      </c>
      <c r="J4967" s="3" t="s">
        <v>26192</v>
      </c>
      <c r="K4967" s="3" t="s">
        <v>26193</v>
      </c>
      <c r="L4967" s="3" t="s">
        <v>26194</v>
      </c>
      <c r="M4967" s="4"/>
      <c r="N4967" s="3" t="s">
        <v>37</v>
      </c>
      <c r="O4967" s="3" t="s">
        <v>38</v>
      </c>
      <c r="P4967" s="5">
        <v>22</v>
      </c>
      <c r="Q4967" s="5">
        <v>549</v>
      </c>
      <c r="R4967" s="5">
        <v>23</v>
      </c>
      <c r="S4967" s="5">
        <v>548</v>
      </c>
    </row>
    <row r="4968" spans="1:19" ht="42" x14ac:dyDescent="0.15">
      <c r="A4968" s="2">
        <f>HYPERLINK("https://open-school.uspishnemisto.com.ua/school/230478/", 230478)</f>
        <v>230478</v>
      </c>
      <c r="B4968" s="3" t="s">
        <v>26195</v>
      </c>
      <c r="C4968" s="3" t="s">
        <v>244</v>
      </c>
      <c r="D4968" s="3" t="s">
        <v>32</v>
      </c>
      <c r="E4968" s="4" t="s">
        <v>22</v>
      </c>
      <c r="F4968" s="4" t="s">
        <v>26196</v>
      </c>
      <c r="G4968" s="4" t="s">
        <v>26187</v>
      </c>
      <c r="H4968" s="3" t="s">
        <v>23629</v>
      </c>
      <c r="I4968" s="3" t="s">
        <v>3409</v>
      </c>
      <c r="J4968" s="3" t="s">
        <v>6432</v>
      </c>
      <c r="K4968" s="3" t="s">
        <v>26197</v>
      </c>
      <c r="L4968" s="3" t="s">
        <v>26198</v>
      </c>
      <c r="M4968" s="4"/>
      <c r="N4968" s="3" t="s">
        <v>37</v>
      </c>
      <c r="O4968" s="3" t="s">
        <v>46</v>
      </c>
      <c r="P4968" s="5">
        <v>22</v>
      </c>
      <c r="Q4968" s="5">
        <v>422</v>
      </c>
      <c r="R4968" s="5">
        <v>22</v>
      </c>
      <c r="S4968" s="5">
        <v>419</v>
      </c>
    </row>
    <row r="4969" spans="1:19" ht="28" x14ac:dyDescent="0.15">
      <c r="A4969" s="2">
        <f>HYPERLINK("https://open-school.uspishnemisto.com.ua/school/230479/", 230479)</f>
        <v>230479</v>
      </c>
      <c r="B4969" s="3" t="s">
        <v>26199</v>
      </c>
      <c r="C4969" s="3" t="s">
        <v>31</v>
      </c>
      <c r="D4969" s="3" t="s">
        <v>175</v>
      </c>
      <c r="E4969" s="4" t="s">
        <v>22</v>
      </c>
      <c r="F4969" s="4" t="s">
        <v>26200</v>
      </c>
      <c r="G4969" s="4" t="s">
        <v>26187</v>
      </c>
      <c r="H4969" s="3" t="s">
        <v>23629</v>
      </c>
      <c r="I4969" s="3" t="s">
        <v>3409</v>
      </c>
      <c r="J4969" s="3" t="s">
        <v>26201</v>
      </c>
      <c r="K4969" s="3" t="s">
        <v>26202</v>
      </c>
      <c r="L4969" s="3" t="s">
        <v>26203</v>
      </c>
      <c r="M4969" s="4"/>
      <c r="N4969" s="3" t="s">
        <v>37</v>
      </c>
      <c r="O4969" s="3" t="s">
        <v>38</v>
      </c>
      <c r="P4969" s="5">
        <v>9</v>
      </c>
      <c r="Q4969" s="5">
        <v>77</v>
      </c>
      <c r="R4969" s="5">
        <v>9</v>
      </c>
      <c r="S4969" s="5">
        <v>79</v>
      </c>
    </row>
    <row r="4970" spans="1:19" ht="28" x14ac:dyDescent="0.15">
      <c r="A4970" s="2">
        <f>HYPERLINK("https://open-school.uspishnemisto.com.ua/school/230480/", 230480)</f>
        <v>230480</v>
      </c>
      <c r="B4970" s="3" t="s">
        <v>26204</v>
      </c>
      <c r="C4970" s="3" t="s">
        <v>31</v>
      </c>
      <c r="D4970" s="3" t="s">
        <v>32</v>
      </c>
      <c r="E4970" s="4" t="s">
        <v>22</v>
      </c>
      <c r="F4970" s="4" t="s">
        <v>26186</v>
      </c>
      <c r="G4970" s="4" t="s">
        <v>26187</v>
      </c>
      <c r="H4970" s="3" t="s">
        <v>23629</v>
      </c>
      <c r="I4970" s="3" t="s">
        <v>3409</v>
      </c>
      <c r="J4970" s="3" t="s">
        <v>26205</v>
      </c>
      <c r="K4970" s="3" t="s">
        <v>26206</v>
      </c>
      <c r="L4970" s="3" t="s">
        <v>26207</v>
      </c>
      <c r="M4970" s="4"/>
      <c r="N4970" s="3" t="s">
        <v>37</v>
      </c>
      <c r="O4970" s="3" t="s">
        <v>70</v>
      </c>
      <c r="P4970" s="5">
        <v>25</v>
      </c>
      <c r="Q4970" s="5">
        <v>586</v>
      </c>
      <c r="R4970" s="5">
        <v>24</v>
      </c>
      <c r="S4970" s="5">
        <v>568</v>
      </c>
    </row>
    <row r="4971" spans="1:19" ht="42" x14ac:dyDescent="0.15">
      <c r="A4971" s="2">
        <f>HYPERLINK("https://open-school.uspishnemisto.com.ua/school/230481/", 230481)</f>
        <v>230481</v>
      </c>
      <c r="B4971" s="3" t="s">
        <v>26208</v>
      </c>
      <c r="C4971" s="3" t="s">
        <v>31</v>
      </c>
      <c r="D4971" s="3" t="s">
        <v>32</v>
      </c>
      <c r="E4971" s="4" t="s">
        <v>22</v>
      </c>
      <c r="F4971" s="4" t="s">
        <v>26209</v>
      </c>
      <c r="G4971" s="4" t="s">
        <v>26210</v>
      </c>
      <c r="H4971" s="3" t="s">
        <v>23629</v>
      </c>
      <c r="I4971" s="3" t="s">
        <v>26211</v>
      </c>
      <c r="J4971" s="3" t="s">
        <v>466</v>
      </c>
      <c r="K4971" s="3" t="s">
        <v>26212</v>
      </c>
      <c r="L4971" s="3" t="s">
        <v>26213</v>
      </c>
      <c r="M4971" s="4"/>
      <c r="N4971" s="3" t="s">
        <v>37</v>
      </c>
      <c r="O4971" s="3" t="s">
        <v>38</v>
      </c>
      <c r="P4971" s="5">
        <v>11</v>
      </c>
      <c r="Q4971" s="5">
        <v>111</v>
      </c>
      <c r="R4971" s="5">
        <v>11</v>
      </c>
      <c r="S4971" s="5">
        <v>110</v>
      </c>
    </row>
    <row r="4972" spans="1:19" ht="42" x14ac:dyDescent="0.15">
      <c r="A4972" s="2">
        <f>HYPERLINK("https://open-school.uspishnemisto.com.ua/school/230482/", 230482)</f>
        <v>230482</v>
      </c>
      <c r="B4972" s="3" t="s">
        <v>26214</v>
      </c>
      <c r="C4972" s="3" t="s">
        <v>31</v>
      </c>
      <c r="D4972" s="3" t="s">
        <v>32</v>
      </c>
      <c r="E4972" s="4" t="s">
        <v>22</v>
      </c>
      <c r="F4972" s="4" t="s">
        <v>26215</v>
      </c>
      <c r="G4972" s="4" t="s">
        <v>26216</v>
      </c>
      <c r="H4972" s="3" t="s">
        <v>23629</v>
      </c>
      <c r="I4972" s="3" t="s">
        <v>26217</v>
      </c>
      <c r="J4972" s="3" t="s">
        <v>21079</v>
      </c>
      <c r="K4972" s="3" t="s">
        <v>26218</v>
      </c>
      <c r="L4972" s="3" t="s">
        <v>26219</v>
      </c>
      <c r="M4972" s="4"/>
      <c r="N4972" s="3" t="s">
        <v>37</v>
      </c>
      <c r="O4972" s="3" t="s">
        <v>38</v>
      </c>
      <c r="P4972" s="5">
        <v>10</v>
      </c>
      <c r="Q4972" s="5">
        <v>87</v>
      </c>
      <c r="R4972" s="5">
        <v>10</v>
      </c>
      <c r="S4972" s="5">
        <v>90</v>
      </c>
    </row>
    <row r="4973" spans="1:19" ht="42" x14ac:dyDescent="0.15">
      <c r="A4973" s="2">
        <f>HYPERLINK("https://open-school.uspishnemisto.com.ua/school/230483/", 230483)</f>
        <v>230483</v>
      </c>
      <c r="B4973" s="3" t="s">
        <v>26220</v>
      </c>
      <c r="C4973" s="3" t="s">
        <v>31</v>
      </c>
      <c r="D4973" s="3" t="s">
        <v>32</v>
      </c>
      <c r="E4973" s="4" t="s">
        <v>22</v>
      </c>
      <c r="F4973" s="4" t="s">
        <v>26221</v>
      </c>
      <c r="G4973" s="4" t="s">
        <v>26222</v>
      </c>
      <c r="H4973" s="3" t="s">
        <v>23629</v>
      </c>
      <c r="I4973" s="3" t="s">
        <v>2475</v>
      </c>
      <c r="J4973" s="3" t="s">
        <v>26223</v>
      </c>
      <c r="K4973" s="3" t="s">
        <v>26224</v>
      </c>
      <c r="L4973" s="3" t="s">
        <v>26225</v>
      </c>
      <c r="M4973" s="4"/>
      <c r="N4973" s="3" t="s">
        <v>37</v>
      </c>
      <c r="O4973" s="3" t="s">
        <v>721</v>
      </c>
      <c r="P4973" s="5">
        <v>11</v>
      </c>
      <c r="Q4973" s="5">
        <v>103</v>
      </c>
      <c r="R4973" s="5">
        <v>11</v>
      </c>
      <c r="S4973" s="5">
        <v>108</v>
      </c>
    </row>
    <row r="4974" spans="1:19" ht="42" x14ac:dyDescent="0.15">
      <c r="A4974" s="2">
        <f>HYPERLINK("https://open-school.uspishnemisto.com.ua/school/230484/", 230484)</f>
        <v>230484</v>
      </c>
      <c r="B4974" s="3" t="s">
        <v>26226</v>
      </c>
      <c r="C4974" s="3" t="s">
        <v>31</v>
      </c>
      <c r="D4974" s="3" t="s">
        <v>32</v>
      </c>
      <c r="E4974" s="4" t="s">
        <v>22</v>
      </c>
      <c r="F4974" s="4" t="s">
        <v>26227</v>
      </c>
      <c r="G4974" s="4" t="s">
        <v>26228</v>
      </c>
      <c r="H4974" s="3" t="s">
        <v>23629</v>
      </c>
      <c r="I4974" s="3" t="s">
        <v>26229</v>
      </c>
      <c r="J4974" s="3" t="s">
        <v>26230</v>
      </c>
      <c r="K4974" s="3" t="s">
        <v>26231</v>
      </c>
      <c r="L4974" s="3" t="s">
        <v>26232</v>
      </c>
      <c r="M4974" s="4"/>
      <c r="N4974" s="3" t="s">
        <v>37</v>
      </c>
      <c r="O4974" s="3" t="s">
        <v>38</v>
      </c>
      <c r="P4974" s="5">
        <v>9</v>
      </c>
      <c r="Q4974" s="5">
        <v>70</v>
      </c>
      <c r="R4974" s="5">
        <v>10</v>
      </c>
      <c r="S4974" s="5">
        <v>80</v>
      </c>
    </row>
    <row r="4975" spans="1:19" ht="42" x14ac:dyDescent="0.15">
      <c r="A4975" s="2">
        <f>HYPERLINK("https://open-school.uspishnemisto.com.ua/school/230485/", 230485)</f>
        <v>230485</v>
      </c>
      <c r="B4975" s="3" t="s">
        <v>26233</v>
      </c>
      <c r="C4975" s="3" t="s">
        <v>31</v>
      </c>
      <c r="D4975" s="3" t="s">
        <v>32</v>
      </c>
      <c r="E4975" s="4" t="s">
        <v>22</v>
      </c>
      <c r="F4975" s="4" t="s">
        <v>26234</v>
      </c>
      <c r="G4975" s="4" t="s">
        <v>26235</v>
      </c>
      <c r="H4975" s="3" t="s">
        <v>23629</v>
      </c>
      <c r="I4975" s="3" t="s">
        <v>26236</v>
      </c>
      <c r="J4975" s="3" t="s">
        <v>26237</v>
      </c>
      <c r="K4975" s="3" t="s">
        <v>26238</v>
      </c>
      <c r="L4975" s="3" t="s">
        <v>26239</v>
      </c>
      <c r="M4975" s="4"/>
      <c r="N4975" s="3" t="s">
        <v>37</v>
      </c>
      <c r="O4975" s="3" t="s">
        <v>38</v>
      </c>
      <c r="P4975" s="5">
        <v>10</v>
      </c>
      <c r="Q4975" s="5">
        <v>69</v>
      </c>
      <c r="R4975" s="5">
        <v>9</v>
      </c>
      <c r="S4975" s="5">
        <v>66</v>
      </c>
    </row>
    <row r="4976" spans="1:19" ht="42" x14ac:dyDescent="0.15">
      <c r="A4976" s="2">
        <f>HYPERLINK("https://open-school.uspishnemisto.com.ua/school/230486/", 230486)</f>
        <v>230486</v>
      </c>
      <c r="B4976" s="3" t="s">
        <v>26240</v>
      </c>
      <c r="C4976" s="3" t="s">
        <v>31</v>
      </c>
      <c r="D4976" s="3" t="s">
        <v>175</v>
      </c>
      <c r="E4976" s="4" t="s">
        <v>22</v>
      </c>
      <c r="F4976" s="4" t="s">
        <v>26241</v>
      </c>
      <c r="G4976" s="4" t="s">
        <v>26242</v>
      </c>
      <c r="H4976" s="3" t="s">
        <v>23629</v>
      </c>
      <c r="I4976" s="3" t="s">
        <v>26243</v>
      </c>
      <c r="J4976" s="3" t="s">
        <v>26244</v>
      </c>
      <c r="K4976" s="3" t="s">
        <v>26245</v>
      </c>
      <c r="L4976" s="3" t="s">
        <v>26246</v>
      </c>
      <c r="M4976" s="4"/>
      <c r="N4976" s="3" t="s">
        <v>37</v>
      </c>
      <c r="O4976" s="3" t="s">
        <v>112</v>
      </c>
      <c r="P4976" s="5">
        <v>4</v>
      </c>
      <c r="Q4976" s="5">
        <v>31</v>
      </c>
      <c r="R4976" s="5">
        <v>2</v>
      </c>
      <c r="S4976" s="5">
        <v>25</v>
      </c>
    </row>
    <row r="4977" spans="1:19" ht="56" x14ac:dyDescent="0.15">
      <c r="A4977" s="2">
        <f>HYPERLINK("https://open-school.uspishnemisto.com.ua/school/230487/", 230487)</f>
        <v>230487</v>
      </c>
      <c r="B4977" s="3" t="s">
        <v>26247</v>
      </c>
      <c r="C4977" s="3" t="s">
        <v>54</v>
      </c>
      <c r="D4977" s="3" t="s">
        <v>32</v>
      </c>
      <c r="E4977" s="4" t="s">
        <v>22</v>
      </c>
      <c r="F4977" s="4" t="s">
        <v>26248</v>
      </c>
      <c r="G4977" s="4" t="s">
        <v>26249</v>
      </c>
      <c r="H4977" s="3" t="s">
        <v>23629</v>
      </c>
      <c r="I4977" s="3" t="s">
        <v>26250</v>
      </c>
      <c r="J4977" s="3" t="s">
        <v>26251</v>
      </c>
      <c r="K4977" s="3" t="s">
        <v>26252</v>
      </c>
      <c r="L4977" s="3" t="s">
        <v>26253</v>
      </c>
      <c r="M4977" s="4"/>
      <c r="N4977" s="3" t="s">
        <v>37</v>
      </c>
      <c r="O4977" s="3" t="s">
        <v>38</v>
      </c>
      <c r="P4977" s="5">
        <v>11</v>
      </c>
      <c r="Q4977" s="5">
        <v>203</v>
      </c>
      <c r="R4977" s="5">
        <v>12</v>
      </c>
      <c r="S4977" s="5">
        <v>212</v>
      </c>
    </row>
    <row r="4978" spans="1:19" ht="42" x14ac:dyDescent="0.15">
      <c r="A4978" s="2">
        <f>HYPERLINK("https://open-school.uspishnemisto.com.ua/school/230488/", 230488)</f>
        <v>230488</v>
      </c>
      <c r="B4978" s="3" t="s">
        <v>26254</v>
      </c>
      <c r="C4978" s="3" t="s">
        <v>31</v>
      </c>
      <c r="D4978" s="3" t="s">
        <v>32</v>
      </c>
      <c r="E4978" s="4" t="s">
        <v>22</v>
      </c>
      <c r="F4978" s="4" t="s">
        <v>26255</v>
      </c>
      <c r="G4978" s="4" t="s">
        <v>26256</v>
      </c>
      <c r="H4978" s="3" t="s">
        <v>23629</v>
      </c>
      <c r="I4978" s="3" t="s">
        <v>2900</v>
      </c>
      <c r="J4978" s="3" t="s">
        <v>26257</v>
      </c>
      <c r="K4978" s="3" t="s">
        <v>26258</v>
      </c>
      <c r="L4978" s="3" t="s">
        <v>26259</v>
      </c>
      <c r="M4978" s="4"/>
      <c r="N4978" s="3" t="s">
        <v>37</v>
      </c>
      <c r="O4978" s="3" t="s">
        <v>70</v>
      </c>
      <c r="P4978" s="5">
        <v>10</v>
      </c>
      <c r="Q4978" s="5">
        <v>89</v>
      </c>
      <c r="R4978" s="5">
        <v>10</v>
      </c>
      <c r="S4978" s="5">
        <v>87</v>
      </c>
    </row>
    <row r="4979" spans="1:19" ht="28" x14ac:dyDescent="0.15">
      <c r="A4979" s="2">
        <f>HYPERLINK("https://open-school.uspishnemisto.com.ua/school/230489/", 230489)</f>
        <v>230489</v>
      </c>
      <c r="B4979" s="3" t="s">
        <v>26260</v>
      </c>
      <c r="C4979" s="3" t="s">
        <v>31</v>
      </c>
      <c r="D4979" s="3" t="s">
        <v>32</v>
      </c>
      <c r="E4979" s="4" t="s">
        <v>22</v>
      </c>
      <c r="F4979" s="4" t="s">
        <v>26261</v>
      </c>
      <c r="G4979" s="4" t="s">
        <v>26262</v>
      </c>
      <c r="H4979" s="3" t="s">
        <v>23629</v>
      </c>
      <c r="I4979" s="3" t="s">
        <v>2179</v>
      </c>
      <c r="J4979" s="3" t="s">
        <v>26263</v>
      </c>
      <c r="K4979" s="3" t="s">
        <v>26264</v>
      </c>
      <c r="L4979" s="3" t="s">
        <v>26265</v>
      </c>
      <c r="M4979" s="4"/>
      <c r="N4979" s="3" t="s">
        <v>37</v>
      </c>
      <c r="O4979" s="3" t="s">
        <v>38</v>
      </c>
      <c r="P4979" s="5">
        <v>5</v>
      </c>
      <c r="Q4979" s="5">
        <v>41</v>
      </c>
      <c r="R4979" s="5">
        <v>6</v>
      </c>
      <c r="S4979" s="5">
        <v>48</v>
      </c>
    </row>
    <row r="4980" spans="1:19" ht="56" x14ac:dyDescent="0.15">
      <c r="A4980" s="2">
        <f>HYPERLINK("https://open-school.uspishnemisto.com.ua/school/230490/", 230490)</f>
        <v>230490</v>
      </c>
      <c r="B4980" s="3" t="s">
        <v>26266</v>
      </c>
      <c r="C4980" s="3" t="s">
        <v>54</v>
      </c>
      <c r="D4980" s="3" t="s">
        <v>32</v>
      </c>
      <c r="E4980" s="4" t="s">
        <v>22</v>
      </c>
      <c r="F4980" s="4" t="s">
        <v>26267</v>
      </c>
      <c r="G4980" s="4" t="s">
        <v>26268</v>
      </c>
      <c r="H4980" s="3" t="s">
        <v>23629</v>
      </c>
      <c r="I4980" s="3" t="s">
        <v>3409</v>
      </c>
      <c r="J4980" s="3" t="s">
        <v>26269</v>
      </c>
      <c r="K4980" s="3" t="s">
        <v>26270</v>
      </c>
      <c r="L4980" s="3" t="s">
        <v>26271</v>
      </c>
      <c r="M4980" s="4"/>
      <c r="N4980" s="3" t="s">
        <v>37</v>
      </c>
      <c r="O4980" s="3" t="s">
        <v>38</v>
      </c>
      <c r="P4980" s="5">
        <v>11</v>
      </c>
      <c r="Q4980" s="5">
        <v>241</v>
      </c>
      <c r="R4980" s="5">
        <v>11</v>
      </c>
      <c r="S4980" s="5">
        <v>231</v>
      </c>
    </row>
    <row r="4981" spans="1:19" ht="56" x14ac:dyDescent="0.15">
      <c r="A4981" s="2">
        <f>HYPERLINK("https://open-school.uspishnemisto.com.ua/school/230491/", 230491)</f>
        <v>230491</v>
      </c>
      <c r="B4981" s="3" t="s">
        <v>26272</v>
      </c>
      <c r="C4981" s="3" t="s">
        <v>54</v>
      </c>
      <c r="D4981" s="3" t="s">
        <v>32</v>
      </c>
      <c r="E4981" s="4" t="s">
        <v>22</v>
      </c>
      <c r="F4981" s="4" t="s">
        <v>26273</v>
      </c>
      <c r="G4981" s="4" t="s">
        <v>26274</v>
      </c>
      <c r="H4981" s="3" t="s">
        <v>23629</v>
      </c>
      <c r="I4981" s="3" t="s">
        <v>11605</v>
      </c>
      <c r="J4981" s="3" t="s">
        <v>26275</v>
      </c>
      <c r="K4981" s="3" t="s">
        <v>26276</v>
      </c>
      <c r="L4981" s="3" t="s">
        <v>26277</v>
      </c>
      <c r="M4981" s="4"/>
      <c r="N4981" s="3" t="s">
        <v>37</v>
      </c>
      <c r="O4981" s="3" t="s">
        <v>38</v>
      </c>
      <c r="P4981" s="5">
        <v>11</v>
      </c>
      <c r="Q4981" s="5">
        <v>82</v>
      </c>
      <c r="R4981" s="5">
        <v>11</v>
      </c>
      <c r="S4981" s="5">
        <v>83</v>
      </c>
    </row>
    <row r="4982" spans="1:19" ht="42" x14ac:dyDescent="0.15">
      <c r="A4982" s="2">
        <f>HYPERLINK("https://open-school.uspishnemisto.com.ua/school/230492/", 230492)</f>
        <v>230492</v>
      </c>
      <c r="B4982" s="3" t="s">
        <v>26278</v>
      </c>
      <c r="C4982" s="3" t="s">
        <v>31</v>
      </c>
      <c r="D4982" s="3" t="s">
        <v>175</v>
      </c>
      <c r="E4982" s="4" t="s">
        <v>22</v>
      </c>
      <c r="F4982" s="4" t="s">
        <v>26209</v>
      </c>
      <c r="G4982" s="4" t="s">
        <v>26279</v>
      </c>
      <c r="H4982" s="3" t="s">
        <v>23629</v>
      </c>
      <c r="I4982" s="3" t="s">
        <v>1439</v>
      </c>
      <c r="J4982" s="3" t="s">
        <v>26280</v>
      </c>
      <c r="K4982" s="3" t="s">
        <v>26281</v>
      </c>
      <c r="L4982" s="3" t="s">
        <v>26282</v>
      </c>
      <c r="M4982" s="4"/>
      <c r="N4982" s="3" t="s">
        <v>37</v>
      </c>
      <c r="O4982" s="3" t="s">
        <v>38</v>
      </c>
      <c r="P4982" s="5">
        <v>9</v>
      </c>
      <c r="Q4982" s="5">
        <v>69</v>
      </c>
      <c r="R4982" s="5">
        <v>9</v>
      </c>
      <c r="S4982" s="5">
        <v>69</v>
      </c>
    </row>
    <row r="4983" spans="1:19" ht="42" x14ac:dyDescent="0.15">
      <c r="A4983" s="2">
        <f>HYPERLINK("https://open-school.uspishnemisto.com.ua/school/230493/", 230493)</f>
        <v>230493</v>
      </c>
      <c r="B4983" s="3" t="s">
        <v>26283</v>
      </c>
      <c r="C4983" s="3" t="s">
        <v>31</v>
      </c>
      <c r="D4983" s="3" t="s">
        <v>32</v>
      </c>
      <c r="E4983" s="4" t="s">
        <v>22</v>
      </c>
      <c r="F4983" s="4" t="s">
        <v>26284</v>
      </c>
      <c r="G4983" s="4" t="s">
        <v>26285</v>
      </c>
      <c r="H4983" s="3" t="s">
        <v>23629</v>
      </c>
      <c r="I4983" s="3" t="s">
        <v>11064</v>
      </c>
      <c r="J4983" s="3" t="s">
        <v>26286</v>
      </c>
      <c r="K4983" s="3" t="s">
        <v>26287</v>
      </c>
      <c r="L4983" s="3" t="s">
        <v>26288</v>
      </c>
      <c r="M4983" s="4"/>
      <c r="N4983" s="3" t="s">
        <v>37</v>
      </c>
      <c r="O4983" s="3" t="s">
        <v>38</v>
      </c>
      <c r="P4983" s="5">
        <v>9</v>
      </c>
      <c r="Q4983" s="5">
        <v>64</v>
      </c>
      <c r="R4983" s="5">
        <v>7</v>
      </c>
      <c r="S4983" s="5">
        <v>62</v>
      </c>
    </row>
    <row r="4984" spans="1:19" ht="42" x14ac:dyDescent="0.15">
      <c r="A4984" s="2">
        <f>HYPERLINK("https://open-school.uspishnemisto.com.ua/school/230494/", 230494)</f>
        <v>230494</v>
      </c>
      <c r="B4984" s="3" t="s">
        <v>26289</v>
      </c>
      <c r="C4984" s="3" t="s">
        <v>31</v>
      </c>
      <c r="D4984" s="3" t="s">
        <v>175</v>
      </c>
      <c r="E4984" s="4" t="s">
        <v>22</v>
      </c>
      <c r="F4984" s="4" t="s">
        <v>26290</v>
      </c>
      <c r="G4984" s="4" t="s">
        <v>26291</v>
      </c>
      <c r="H4984" s="3" t="s">
        <v>23629</v>
      </c>
      <c r="I4984" s="3" t="s">
        <v>26292</v>
      </c>
      <c r="J4984" s="3" t="s">
        <v>26293</v>
      </c>
      <c r="K4984" s="3" t="s">
        <v>26294</v>
      </c>
      <c r="L4984" s="3" t="s">
        <v>26295</v>
      </c>
      <c r="M4984" s="4"/>
      <c r="N4984" s="3" t="s">
        <v>37</v>
      </c>
      <c r="O4984" s="3" t="s">
        <v>38</v>
      </c>
      <c r="P4984" s="5">
        <v>9</v>
      </c>
      <c r="Q4984" s="5">
        <v>84</v>
      </c>
      <c r="R4984" s="5">
        <v>9</v>
      </c>
      <c r="S4984" s="5">
        <v>73</v>
      </c>
    </row>
    <row r="4985" spans="1:19" ht="56" x14ac:dyDescent="0.15">
      <c r="A4985" s="2">
        <f>HYPERLINK("https://open-school.uspishnemisto.com.ua/school/230495/", 230495)</f>
        <v>230495</v>
      </c>
      <c r="B4985" s="3" t="s">
        <v>26296</v>
      </c>
      <c r="C4985" s="3" t="s">
        <v>54</v>
      </c>
      <c r="D4985" s="3" t="s">
        <v>32</v>
      </c>
      <c r="E4985" s="4" t="s">
        <v>22</v>
      </c>
      <c r="F4985" s="4" t="s">
        <v>26290</v>
      </c>
      <c r="G4985" s="4" t="s">
        <v>26291</v>
      </c>
      <c r="H4985" s="3" t="s">
        <v>23629</v>
      </c>
      <c r="I4985" s="3" t="s">
        <v>26292</v>
      </c>
      <c r="J4985" s="3" t="s">
        <v>26297</v>
      </c>
      <c r="K4985" s="3" t="s">
        <v>26298</v>
      </c>
      <c r="L4985" s="3" t="s">
        <v>26299</v>
      </c>
      <c r="M4985" s="4"/>
      <c r="N4985" s="3" t="s">
        <v>37</v>
      </c>
      <c r="O4985" s="3" t="s">
        <v>38</v>
      </c>
      <c r="P4985" s="5">
        <v>14</v>
      </c>
      <c r="Q4985" s="5">
        <v>254</v>
      </c>
      <c r="R4985" s="5">
        <v>14</v>
      </c>
      <c r="S4985" s="5">
        <v>256</v>
      </c>
    </row>
    <row r="4986" spans="1:19" ht="28" x14ac:dyDescent="0.15">
      <c r="A4986" s="2">
        <f>HYPERLINK("https://open-school.uspishnemisto.com.ua/school/230496/", 230496)</f>
        <v>230496</v>
      </c>
      <c r="B4986" s="3" t="s">
        <v>26300</v>
      </c>
      <c r="C4986" s="3" t="s">
        <v>31</v>
      </c>
      <c r="D4986" s="3" t="s">
        <v>32</v>
      </c>
      <c r="E4986" s="4" t="s">
        <v>22</v>
      </c>
      <c r="F4986" s="4" t="s">
        <v>26301</v>
      </c>
      <c r="G4986" s="4" t="s">
        <v>26302</v>
      </c>
      <c r="H4986" s="3" t="s">
        <v>23629</v>
      </c>
      <c r="I4986" s="3" t="s">
        <v>4683</v>
      </c>
      <c r="J4986" s="3" t="s">
        <v>13549</v>
      </c>
      <c r="K4986" s="3" t="s">
        <v>26303</v>
      </c>
      <c r="L4986" s="3" t="s">
        <v>26304</v>
      </c>
      <c r="M4986" s="4"/>
      <c r="N4986" s="3" t="s">
        <v>37</v>
      </c>
      <c r="O4986" s="3" t="s">
        <v>38</v>
      </c>
      <c r="P4986" s="5">
        <v>11</v>
      </c>
      <c r="Q4986" s="5">
        <v>201</v>
      </c>
      <c r="R4986" s="5">
        <v>11</v>
      </c>
      <c r="S4986" s="5">
        <v>204</v>
      </c>
    </row>
    <row r="4987" spans="1:19" ht="42" x14ac:dyDescent="0.15">
      <c r="A4987" s="2">
        <f>HYPERLINK("https://open-school.uspishnemisto.com.ua/school/230497/", 230497)</f>
        <v>230497</v>
      </c>
      <c r="B4987" s="3" t="s">
        <v>26305</v>
      </c>
      <c r="C4987" s="3" t="s">
        <v>54</v>
      </c>
      <c r="D4987" s="3" t="s">
        <v>60</v>
      </c>
      <c r="E4987" s="4" t="s">
        <v>41</v>
      </c>
      <c r="F4987" s="4" t="s">
        <v>26306</v>
      </c>
      <c r="G4987" s="4" t="s">
        <v>26307</v>
      </c>
      <c r="H4987" s="3" t="s">
        <v>23629</v>
      </c>
      <c r="I4987" s="3" t="s">
        <v>16087</v>
      </c>
      <c r="J4987" s="3" t="s">
        <v>26308</v>
      </c>
      <c r="K4987" s="3" t="s">
        <v>26309</v>
      </c>
      <c r="L4987" s="3"/>
      <c r="M4987" s="4"/>
      <c r="N4987" s="3" t="s">
        <v>37</v>
      </c>
      <c r="O4987" s="3" t="s">
        <v>52</v>
      </c>
      <c r="P4987" s="5">
        <v>3</v>
      </c>
      <c r="Q4987" s="5">
        <v>19</v>
      </c>
      <c r="R4987" s="5">
        <v>1</v>
      </c>
      <c r="S4987" s="5">
        <v>12</v>
      </c>
    </row>
    <row r="4988" spans="1:19" ht="42" x14ac:dyDescent="0.15">
      <c r="A4988" s="2">
        <f>HYPERLINK("https://open-school.uspishnemisto.com.ua/school/230499/", 230499)</f>
        <v>230499</v>
      </c>
      <c r="B4988" s="3" t="s">
        <v>26310</v>
      </c>
      <c r="C4988" s="3" t="s">
        <v>244</v>
      </c>
      <c r="D4988" s="3" t="s">
        <v>32</v>
      </c>
      <c r="E4988" s="4" t="s">
        <v>22</v>
      </c>
      <c r="F4988" s="4" t="s">
        <v>26306</v>
      </c>
      <c r="G4988" s="4" t="s">
        <v>26307</v>
      </c>
      <c r="H4988" s="3" t="s">
        <v>23629</v>
      </c>
      <c r="I4988" s="3" t="s">
        <v>16087</v>
      </c>
      <c r="J4988" s="3" t="s">
        <v>26311</v>
      </c>
      <c r="K4988" s="3" t="s">
        <v>26312</v>
      </c>
      <c r="L4988" s="3"/>
      <c r="M4988" s="4"/>
      <c r="N4988" s="3" t="s">
        <v>37</v>
      </c>
      <c r="O4988" s="3" t="s">
        <v>70</v>
      </c>
      <c r="P4988" s="5">
        <v>52</v>
      </c>
      <c r="Q4988" s="5">
        <v>958</v>
      </c>
      <c r="R4988" s="5">
        <v>31</v>
      </c>
      <c r="S4988" s="5">
        <v>581</v>
      </c>
    </row>
    <row r="4989" spans="1:19" ht="42" x14ac:dyDescent="0.15">
      <c r="A4989" s="2">
        <f>HYPERLINK("https://open-school.uspishnemisto.com.ua/school/230500/", 230500)</f>
        <v>230500</v>
      </c>
      <c r="B4989" s="3" t="s">
        <v>26313</v>
      </c>
      <c r="C4989" s="3" t="s">
        <v>54</v>
      </c>
      <c r="D4989" s="3" t="s">
        <v>60</v>
      </c>
      <c r="E4989" s="4" t="s">
        <v>22</v>
      </c>
      <c r="F4989" s="4" t="s">
        <v>26314</v>
      </c>
      <c r="G4989" s="4" t="s">
        <v>26315</v>
      </c>
      <c r="H4989" s="3" t="s">
        <v>23629</v>
      </c>
      <c r="I4989" s="3" t="s">
        <v>26316</v>
      </c>
      <c r="J4989" s="3" t="s">
        <v>23076</v>
      </c>
      <c r="K4989" s="3" t="s">
        <v>26317</v>
      </c>
      <c r="L4989" s="3"/>
      <c r="M4989" s="4"/>
      <c r="N4989" s="3" t="s">
        <v>37</v>
      </c>
      <c r="O4989" s="3" t="s">
        <v>52</v>
      </c>
      <c r="P4989" s="5">
        <v>3</v>
      </c>
      <c r="Q4989" s="5">
        <v>19</v>
      </c>
      <c r="R4989" s="5">
        <v>2</v>
      </c>
      <c r="S4989" s="5">
        <v>18</v>
      </c>
    </row>
    <row r="4990" spans="1:19" ht="56" x14ac:dyDescent="0.15">
      <c r="A4990" s="2">
        <f>HYPERLINK("https://open-school.uspishnemisto.com.ua/school/230502/", 230502)</f>
        <v>230502</v>
      </c>
      <c r="B4990" s="3" t="s">
        <v>26318</v>
      </c>
      <c r="C4990" s="3" t="s">
        <v>54</v>
      </c>
      <c r="D4990" s="3" t="s">
        <v>32</v>
      </c>
      <c r="E4990" s="4" t="s">
        <v>22</v>
      </c>
      <c r="F4990" s="4" t="s">
        <v>26319</v>
      </c>
      <c r="G4990" s="4" t="s">
        <v>26320</v>
      </c>
      <c r="H4990" s="3" t="s">
        <v>23629</v>
      </c>
      <c r="I4990" s="3" t="s">
        <v>13182</v>
      </c>
      <c r="J4990" s="3" t="s">
        <v>21913</v>
      </c>
      <c r="K4990" s="3" t="s">
        <v>26321</v>
      </c>
      <c r="L4990" s="3" t="s">
        <v>26322</v>
      </c>
      <c r="M4990" s="4"/>
      <c r="N4990" s="3" t="s">
        <v>128</v>
      </c>
      <c r="O4990" s="3" t="s">
        <v>46</v>
      </c>
      <c r="P4990" s="5">
        <v>34</v>
      </c>
      <c r="Q4990" s="5">
        <v>465</v>
      </c>
      <c r="R4990" s="5">
        <v>21</v>
      </c>
      <c r="S4990" s="5">
        <v>348</v>
      </c>
    </row>
    <row r="4991" spans="1:19" ht="42" x14ac:dyDescent="0.15">
      <c r="A4991" s="2">
        <f>HYPERLINK("https://open-school.uspishnemisto.com.ua/school/230503/", 230503)</f>
        <v>230503</v>
      </c>
      <c r="B4991" s="3" t="s">
        <v>26323</v>
      </c>
      <c r="C4991" s="3" t="s">
        <v>31</v>
      </c>
      <c r="D4991" s="3" t="s">
        <v>32</v>
      </c>
      <c r="E4991" s="4" t="s">
        <v>22</v>
      </c>
      <c r="F4991" s="4" t="s">
        <v>26324</v>
      </c>
      <c r="G4991" s="4" t="s">
        <v>26325</v>
      </c>
      <c r="H4991" s="3" t="s">
        <v>23629</v>
      </c>
      <c r="I4991" s="3" t="s">
        <v>1291</v>
      </c>
      <c r="J4991" s="3" t="s">
        <v>3266</v>
      </c>
      <c r="K4991" s="3" t="s">
        <v>26326</v>
      </c>
      <c r="L4991" s="3" t="s">
        <v>26327</v>
      </c>
      <c r="M4991" s="4"/>
      <c r="N4991" s="3" t="s">
        <v>37</v>
      </c>
      <c r="O4991" s="3" t="s">
        <v>38</v>
      </c>
      <c r="P4991" s="5">
        <v>8</v>
      </c>
      <c r="Q4991" s="5">
        <v>79</v>
      </c>
      <c r="R4991" s="5">
        <v>8</v>
      </c>
      <c r="S4991" s="5">
        <v>79</v>
      </c>
    </row>
    <row r="4992" spans="1:19" ht="56" x14ac:dyDescent="0.15">
      <c r="A4992" s="2">
        <f>HYPERLINK("https://open-school.uspishnemisto.com.ua/school/230504/", 230504)</f>
        <v>230504</v>
      </c>
      <c r="B4992" s="3" t="s">
        <v>26328</v>
      </c>
      <c r="C4992" s="3" t="s">
        <v>54</v>
      </c>
      <c r="D4992" s="3" t="s">
        <v>32</v>
      </c>
      <c r="E4992" s="4" t="s">
        <v>22</v>
      </c>
      <c r="F4992" s="4" t="s">
        <v>26329</v>
      </c>
      <c r="G4992" s="4" t="s">
        <v>26330</v>
      </c>
      <c r="H4992" s="3" t="s">
        <v>23629</v>
      </c>
      <c r="I4992" s="3" t="s">
        <v>11128</v>
      </c>
      <c r="J4992" s="3" t="s">
        <v>3146</v>
      </c>
      <c r="K4992" s="3" t="s">
        <v>26331</v>
      </c>
      <c r="L4992" s="3"/>
      <c r="M4992" s="4"/>
      <c r="N4992" s="3" t="s">
        <v>37</v>
      </c>
      <c r="O4992" s="3" t="s">
        <v>38</v>
      </c>
      <c r="P4992" s="5">
        <v>11</v>
      </c>
      <c r="Q4992" s="5">
        <v>94</v>
      </c>
      <c r="R4992" s="5">
        <v>11</v>
      </c>
      <c r="S4992" s="5">
        <v>94</v>
      </c>
    </row>
    <row r="4993" spans="1:19" ht="56" x14ac:dyDescent="0.15">
      <c r="A4993" s="2">
        <f>HYPERLINK("https://open-school.uspishnemisto.com.ua/school/230505/", 230505)</f>
        <v>230505</v>
      </c>
      <c r="B4993" s="3" t="s">
        <v>26332</v>
      </c>
      <c r="C4993" s="3" t="s">
        <v>54</v>
      </c>
      <c r="D4993" s="3" t="s">
        <v>32</v>
      </c>
      <c r="E4993" s="4" t="s">
        <v>22</v>
      </c>
      <c r="F4993" s="4" t="s">
        <v>26333</v>
      </c>
      <c r="G4993" s="4" t="s">
        <v>26334</v>
      </c>
      <c r="H4993" s="3" t="s">
        <v>23629</v>
      </c>
      <c r="I4993" s="3" t="s">
        <v>26335</v>
      </c>
      <c r="J4993" s="3" t="s">
        <v>1216</v>
      </c>
      <c r="K4993" s="3" t="s">
        <v>26336</v>
      </c>
      <c r="L4993" s="3" t="s">
        <v>26337</v>
      </c>
      <c r="M4993" s="4"/>
      <c r="N4993" s="3" t="s">
        <v>37</v>
      </c>
      <c r="O4993" s="3" t="s">
        <v>70</v>
      </c>
      <c r="P4993" s="5">
        <v>10</v>
      </c>
      <c r="Q4993" s="5">
        <v>76</v>
      </c>
      <c r="R4993" s="5">
        <v>10</v>
      </c>
      <c r="S4993" s="5">
        <v>73</v>
      </c>
    </row>
    <row r="4994" spans="1:19" ht="56" x14ac:dyDescent="0.15">
      <c r="A4994" s="2">
        <f>HYPERLINK("https://open-school.uspishnemisto.com.ua/school/230506/", 230506)</f>
        <v>230506</v>
      </c>
      <c r="B4994" s="3" t="s">
        <v>26338</v>
      </c>
      <c r="C4994" s="3" t="s">
        <v>54</v>
      </c>
      <c r="D4994" s="3" t="s">
        <v>32</v>
      </c>
      <c r="E4994" s="4" t="s">
        <v>22</v>
      </c>
      <c r="F4994" s="4" t="s">
        <v>26339</v>
      </c>
      <c r="G4994" s="4" t="s">
        <v>26340</v>
      </c>
      <c r="H4994" s="3" t="s">
        <v>23629</v>
      </c>
      <c r="I4994" s="3" t="s">
        <v>3790</v>
      </c>
      <c r="J4994" s="3" t="s">
        <v>26341</v>
      </c>
      <c r="K4994" s="3" t="s">
        <v>26342</v>
      </c>
      <c r="L4994" s="3" t="s">
        <v>26343</v>
      </c>
      <c r="M4994" s="4"/>
      <c r="N4994" s="3" t="s">
        <v>967</v>
      </c>
      <c r="O4994" s="3" t="s">
        <v>46</v>
      </c>
      <c r="P4994" s="5">
        <v>11</v>
      </c>
      <c r="Q4994" s="5">
        <v>113</v>
      </c>
      <c r="R4994" s="5">
        <v>11</v>
      </c>
      <c r="S4994" s="5">
        <v>111</v>
      </c>
    </row>
    <row r="4995" spans="1:19" ht="42" x14ac:dyDescent="0.15">
      <c r="A4995" s="2">
        <f>HYPERLINK("https://open-school.uspishnemisto.com.ua/school/230507/", 230507)</f>
        <v>230507</v>
      </c>
      <c r="B4995" s="3" t="s">
        <v>26344</v>
      </c>
      <c r="C4995" s="3" t="s">
        <v>31</v>
      </c>
      <c r="D4995" s="3" t="s">
        <v>32</v>
      </c>
      <c r="E4995" s="4" t="s">
        <v>22</v>
      </c>
      <c r="F4995" s="4" t="s">
        <v>26345</v>
      </c>
      <c r="G4995" s="4" t="s">
        <v>26346</v>
      </c>
      <c r="H4995" s="3" t="s">
        <v>23629</v>
      </c>
      <c r="I4995" s="3" t="s">
        <v>26347</v>
      </c>
      <c r="J4995" s="3" t="s">
        <v>26348</v>
      </c>
      <c r="K4995" s="3" t="s">
        <v>26349</v>
      </c>
      <c r="L4995" s="3" t="s">
        <v>26350</v>
      </c>
      <c r="M4995" s="4"/>
      <c r="N4995" s="3" t="s">
        <v>967</v>
      </c>
      <c r="O4995" s="3" t="s">
        <v>52</v>
      </c>
      <c r="P4995" s="5">
        <v>11</v>
      </c>
      <c r="Q4995" s="5">
        <v>201</v>
      </c>
      <c r="R4995" s="5">
        <v>11</v>
      </c>
      <c r="S4995" s="5">
        <v>190</v>
      </c>
    </row>
    <row r="4996" spans="1:19" ht="28" x14ac:dyDescent="0.15">
      <c r="A4996" s="2">
        <f>HYPERLINK("https://open-school.uspishnemisto.com.ua/school/230510/", 230510)</f>
        <v>230510</v>
      </c>
      <c r="B4996" s="3" t="s">
        <v>26351</v>
      </c>
      <c r="C4996" s="3" t="s">
        <v>31</v>
      </c>
      <c r="D4996" s="3" t="s">
        <v>32</v>
      </c>
      <c r="E4996" s="4" t="s">
        <v>22</v>
      </c>
      <c r="F4996" s="4" t="s">
        <v>26352</v>
      </c>
      <c r="G4996" s="4" t="s">
        <v>26353</v>
      </c>
      <c r="H4996" s="3" t="s">
        <v>23629</v>
      </c>
      <c r="I4996" s="3" t="s">
        <v>26354</v>
      </c>
      <c r="J4996" s="3" t="s">
        <v>5525</v>
      </c>
      <c r="K4996" s="3" t="s">
        <v>26355</v>
      </c>
      <c r="L4996" s="3" t="s">
        <v>26356</v>
      </c>
      <c r="M4996" s="4"/>
      <c r="N4996" s="3" t="s">
        <v>967</v>
      </c>
      <c r="O4996" s="3" t="s">
        <v>52</v>
      </c>
      <c r="P4996" s="5">
        <v>11</v>
      </c>
      <c r="Q4996" s="5">
        <v>93</v>
      </c>
      <c r="R4996" s="5">
        <v>11</v>
      </c>
      <c r="S4996" s="5">
        <v>95</v>
      </c>
    </row>
    <row r="4997" spans="1:19" ht="28" x14ac:dyDescent="0.15">
      <c r="A4997" s="2">
        <f>HYPERLINK("https://open-school.uspishnemisto.com.ua/school/230511/", 230511)</f>
        <v>230511</v>
      </c>
      <c r="B4997" s="3" t="s">
        <v>26357</v>
      </c>
      <c r="C4997" s="3" t="s">
        <v>31</v>
      </c>
      <c r="D4997" s="3" t="s">
        <v>32</v>
      </c>
      <c r="E4997" s="4" t="s">
        <v>22</v>
      </c>
      <c r="F4997" s="4" t="s">
        <v>26358</v>
      </c>
      <c r="G4997" s="4" t="s">
        <v>26359</v>
      </c>
      <c r="H4997" s="3" t="s">
        <v>23629</v>
      </c>
      <c r="I4997" s="3" t="s">
        <v>26360</v>
      </c>
      <c r="J4997" s="3" t="s">
        <v>1451</v>
      </c>
      <c r="K4997" s="3" t="s">
        <v>26361</v>
      </c>
      <c r="L4997" s="3"/>
      <c r="M4997" s="4"/>
      <c r="N4997" s="3" t="s">
        <v>37</v>
      </c>
      <c r="O4997" s="3" t="s">
        <v>38</v>
      </c>
      <c r="P4997" s="5">
        <v>8</v>
      </c>
      <c r="Q4997" s="5">
        <v>65</v>
      </c>
      <c r="R4997" s="5">
        <v>9</v>
      </c>
      <c r="S4997" s="5">
        <v>74</v>
      </c>
    </row>
    <row r="4998" spans="1:19" ht="28" x14ac:dyDescent="0.15">
      <c r="A4998" s="2">
        <f>HYPERLINK("https://open-school.uspishnemisto.com.ua/school/230512/", 230512)</f>
        <v>230512</v>
      </c>
      <c r="B4998" s="3" t="s">
        <v>26362</v>
      </c>
      <c r="C4998" s="3" t="s">
        <v>31</v>
      </c>
      <c r="D4998" s="3" t="s">
        <v>32</v>
      </c>
      <c r="E4998" s="4" t="s">
        <v>22</v>
      </c>
      <c r="F4998" s="4" t="s">
        <v>26363</v>
      </c>
      <c r="G4998" s="4" t="s">
        <v>26364</v>
      </c>
      <c r="H4998" s="3" t="s">
        <v>23629</v>
      </c>
      <c r="I4998" s="3" t="s">
        <v>26365</v>
      </c>
      <c r="J4998" s="3" t="s">
        <v>26366</v>
      </c>
      <c r="K4998" s="3" t="s">
        <v>26367</v>
      </c>
      <c r="L4998" s="3" t="s">
        <v>26368</v>
      </c>
      <c r="M4998" s="4"/>
      <c r="N4998" s="3" t="s">
        <v>37</v>
      </c>
      <c r="O4998" s="3" t="s">
        <v>70</v>
      </c>
      <c r="P4998" s="5">
        <v>10</v>
      </c>
      <c r="Q4998" s="5">
        <v>93</v>
      </c>
      <c r="R4998" s="5">
        <v>10</v>
      </c>
      <c r="S4998" s="5">
        <v>92</v>
      </c>
    </row>
    <row r="4999" spans="1:19" ht="56" x14ac:dyDescent="0.15">
      <c r="A4999" s="2">
        <f>HYPERLINK("https://open-school.uspishnemisto.com.ua/school/230513/", 230513)</f>
        <v>230513</v>
      </c>
      <c r="B4999" s="3" t="s">
        <v>26369</v>
      </c>
      <c r="C4999" s="3" t="s">
        <v>54</v>
      </c>
      <c r="D4999" s="3" t="s">
        <v>32</v>
      </c>
      <c r="E4999" s="4" t="s">
        <v>22</v>
      </c>
      <c r="F4999" s="4" t="s">
        <v>26370</v>
      </c>
      <c r="G4999" s="4" t="s">
        <v>26371</v>
      </c>
      <c r="H4999" s="3" t="s">
        <v>23629</v>
      </c>
      <c r="I4999" s="3" t="s">
        <v>26372</v>
      </c>
      <c r="J4999" s="3" t="s">
        <v>26373</v>
      </c>
      <c r="K4999" s="3" t="s">
        <v>26374</v>
      </c>
      <c r="L4999" s="3"/>
      <c r="M4999" s="4"/>
      <c r="N4999" s="3" t="s">
        <v>967</v>
      </c>
      <c r="O4999" s="3" t="s">
        <v>46</v>
      </c>
      <c r="P4999" s="5">
        <v>1</v>
      </c>
      <c r="Q4999" s="5">
        <v>25</v>
      </c>
      <c r="R4999" s="5">
        <v>1</v>
      </c>
      <c r="S4999" s="5">
        <v>27</v>
      </c>
    </row>
    <row r="5000" spans="1:19" ht="42" x14ac:dyDescent="0.15">
      <c r="A5000" s="2">
        <f>HYPERLINK("https://open-school.uspishnemisto.com.ua/school/230514/", 230514)</f>
        <v>230514</v>
      </c>
      <c r="B5000" s="3" t="s">
        <v>26375</v>
      </c>
      <c r="C5000" s="3" t="s">
        <v>31</v>
      </c>
      <c r="D5000" s="3" t="s">
        <v>175</v>
      </c>
      <c r="E5000" s="4" t="s">
        <v>22</v>
      </c>
      <c r="F5000" s="4" t="s">
        <v>26376</v>
      </c>
      <c r="G5000" s="4" t="s">
        <v>26377</v>
      </c>
      <c r="H5000" s="3" t="s">
        <v>23629</v>
      </c>
      <c r="I5000" s="3" t="s">
        <v>26378</v>
      </c>
      <c r="J5000" s="3" t="s">
        <v>26379</v>
      </c>
      <c r="K5000" s="3" t="s">
        <v>26380</v>
      </c>
      <c r="L5000" s="3" t="s">
        <v>26381</v>
      </c>
      <c r="M5000" s="4"/>
      <c r="N5000" s="3" t="s">
        <v>37</v>
      </c>
      <c r="O5000" s="3" t="s">
        <v>38</v>
      </c>
      <c r="P5000" s="5">
        <v>8</v>
      </c>
      <c r="Q5000" s="5">
        <v>57</v>
      </c>
      <c r="R5000" s="5">
        <v>8</v>
      </c>
      <c r="S5000" s="5">
        <v>54</v>
      </c>
    </row>
    <row r="5001" spans="1:19" ht="28" x14ac:dyDescent="0.15">
      <c r="A5001" s="2">
        <f>HYPERLINK("https://open-school.uspishnemisto.com.ua/school/230515/", 230515)</f>
        <v>230515</v>
      </c>
      <c r="B5001" s="3" t="s">
        <v>26382</v>
      </c>
      <c r="C5001" s="3" t="s">
        <v>31</v>
      </c>
      <c r="D5001" s="3" t="s">
        <v>32</v>
      </c>
      <c r="E5001" s="4" t="s">
        <v>22</v>
      </c>
      <c r="F5001" s="4" t="s">
        <v>26383</v>
      </c>
      <c r="G5001" s="4" t="s">
        <v>26384</v>
      </c>
      <c r="H5001" s="3" t="s">
        <v>23629</v>
      </c>
      <c r="I5001" s="3" t="s">
        <v>26385</v>
      </c>
      <c r="J5001" s="3" t="s">
        <v>26386</v>
      </c>
      <c r="K5001" s="3" t="s">
        <v>26387</v>
      </c>
      <c r="L5001" s="3" t="s">
        <v>26388</v>
      </c>
      <c r="M5001" s="4"/>
      <c r="N5001" s="3" t="s">
        <v>37</v>
      </c>
      <c r="O5001" s="3" t="s">
        <v>70</v>
      </c>
      <c r="P5001" s="5">
        <v>10</v>
      </c>
      <c r="Q5001" s="5">
        <v>80</v>
      </c>
      <c r="R5001" s="5">
        <v>10</v>
      </c>
      <c r="S5001" s="5">
        <v>74</v>
      </c>
    </row>
    <row r="5002" spans="1:19" ht="42" x14ac:dyDescent="0.15">
      <c r="A5002" s="2">
        <f>HYPERLINK("https://open-school.uspishnemisto.com.ua/school/230518/", 230518)</f>
        <v>230518</v>
      </c>
      <c r="B5002" s="3" t="s">
        <v>26389</v>
      </c>
      <c r="C5002" s="3" t="s">
        <v>31</v>
      </c>
      <c r="D5002" s="3" t="s">
        <v>32</v>
      </c>
      <c r="E5002" s="4" t="s">
        <v>22</v>
      </c>
      <c r="F5002" s="4" t="s">
        <v>26390</v>
      </c>
      <c r="G5002" s="4" t="s">
        <v>26391</v>
      </c>
      <c r="H5002" s="3" t="s">
        <v>23629</v>
      </c>
      <c r="I5002" s="3" t="s">
        <v>26392</v>
      </c>
      <c r="J5002" s="3" t="s">
        <v>26393</v>
      </c>
      <c r="K5002" s="3" t="s">
        <v>26394</v>
      </c>
      <c r="L5002" s="3" t="s">
        <v>26395</v>
      </c>
      <c r="M5002" s="4"/>
      <c r="N5002" s="3" t="s">
        <v>37</v>
      </c>
      <c r="O5002" s="3" t="s">
        <v>38</v>
      </c>
      <c r="P5002" s="5">
        <v>10</v>
      </c>
      <c r="Q5002" s="5">
        <v>109</v>
      </c>
      <c r="R5002" s="5">
        <v>10</v>
      </c>
      <c r="S5002" s="5">
        <v>109</v>
      </c>
    </row>
    <row r="5003" spans="1:19" ht="56" x14ac:dyDescent="0.15">
      <c r="A5003" s="2">
        <f>HYPERLINK("https://open-school.uspishnemisto.com.ua/school/230519/", 230519)</f>
        <v>230519</v>
      </c>
      <c r="B5003" s="3" t="s">
        <v>26396</v>
      </c>
      <c r="C5003" s="3" t="s">
        <v>54</v>
      </c>
      <c r="D5003" s="3" t="s">
        <v>32</v>
      </c>
      <c r="E5003" s="4" t="s">
        <v>22</v>
      </c>
      <c r="F5003" s="4" t="s">
        <v>26397</v>
      </c>
      <c r="G5003" s="4" t="s">
        <v>26398</v>
      </c>
      <c r="H5003" s="3" t="s">
        <v>23629</v>
      </c>
      <c r="I5003" s="3" t="s">
        <v>12028</v>
      </c>
      <c r="J5003" s="3" t="s">
        <v>26399</v>
      </c>
      <c r="K5003" s="3" t="s">
        <v>26400</v>
      </c>
      <c r="L5003" s="3" t="s">
        <v>26401</v>
      </c>
      <c r="M5003" s="4"/>
      <c r="N5003" s="3" t="s">
        <v>37</v>
      </c>
      <c r="O5003" s="3" t="s">
        <v>38</v>
      </c>
      <c r="P5003" s="5">
        <v>11</v>
      </c>
      <c r="Q5003" s="5">
        <v>128</v>
      </c>
      <c r="R5003" s="5">
        <v>11</v>
      </c>
      <c r="S5003" s="5">
        <v>142</v>
      </c>
    </row>
    <row r="5004" spans="1:19" ht="42" x14ac:dyDescent="0.15">
      <c r="A5004" s="2">
        <f>HYPERLINK("https://open-school.uspishnemisto.com.ua/school/230520/", 230520)</f>
        <v>230520</v>
      </c>
      <c r="B5004" s="3" t="s">
        <v>26402</v>
      </c>
      <c r="C5004" s="3" t="s">
        <v>31</v>
      </c>
      <c r="D5004" s="3" t="s">
        <v>32</v>
      </c>
      <c r="E5004" s="4" t="s">
        <v>22</v>
      </c>
      <c r="F5004" s="4" t="s">
        <v>26403</v>
      </c>
      <c r="G5004" s="4" t="s">
        <v>26404</v>
      </c>
      <c r="H5004" s="3" t="s">
        <v>23629</v>
      </c>
      <c r="I5004" s="3" t="s">
        <v>2445</v>
      </c>
      <c r="J5004" s="3" t="s">
        <v>22078</v>
      </c>
      <c r="K5004" s="3" t="s">
        <v>26405</v>
      </c>
      <c r="L5004" s="3" t="s">
        <v>26406</v>
      </c>
      <c r="M5004" s="4"/>
      <c r="N5004" s="3" t="s">
        <v>37</v>
      </c>
      <c r="O5004" s="3" t="s">
        <v>38</v>
      </c>
      <c r="P5004" s="5">
        <v>2</v>
      </c>
      <c r="Q5004" s="5">
        <v>28</v>
      </c>
      <c r="R5004" s="5">
        <v>4</v>
      </c>
      <c r="S5004" s="5">
        <v>40</v>
      </c>
    </row>
    <row r="5005" spans="1:19" ht="42" x14ac:dyDescent="0.15">
      <c r="A5005" s="2">
        <f>HYPERLINK("https://open-school.uspishnemisto.com.ua/school/230521/", 230521)</f>
        <v>230521</v>
      </c>
      <c r="B5005" s="3" t="s">
        <v>26407</v>
      </c>
      <c r="C5005" s="3" t="s">
        <v>31</v>
      </c>
      <c r="D5005" s="3" t="s">
        <v>32</v>
      </c>
      <c r="E5005" s="4" t="s">
        <v>22</v>
      </c>
      <c r="F5005" s="4" t="s">
        <v>26408</v>
      </c>
      <c r="G5005" s="4" t="s">
        <v>26409</v>
      </c>
      <c r="H5005" s="3" t="s">
        <v>23629</v>
      </c>
      <c r="I5005" s="3" t="s">
        <v>26410</v>
      </c>
      <c r="J5005" s="3" t="s">
        <v>26411</v>
      </c>
      <c r="K5005" s="3" t="s">
        <v>26412</v>
      </c>
      <c r="L5005" s="3" t="s">
        <v>26413</v>
      </c>
      <c r="M5005" s="4" t="s">
        <v>26414</v>
      </c>
      <c r="N5005" s="3" t="s">
        <v>128</v>
      </c>
      <c r="O5005" s="3" t="s">
        <v>721</v>
      </c>
      <c r="P5005" s="5">
        <v>20</v>
      </c>
      <c r="Q5005" s="5">
        <v>335</v>
      </c>
      <c r="R5005" s="5">
        <v>19</v>
      </c>
      <c r="S5005" s="5">
        <v>348</v>
      </c>
    </row>
    <row r="5006" spans="1:19" ht="42" x14ac:dyDescent="0.15">
      <c r="A5006" s="2">
        <f>HYPERLINK("https://open-school.uspishnemisto.com.ua/school/230522/", 230522)</f>
        <v>230522</v>
      </c>
      <c r="B5006" s="3" t="s">
        <v>26415</v>
      </c>
      <c r="C5006" s="3" t="s">
        <v>31</v>
      </c>
      <c r="D5006" s="3" t="s">
        <v>175</v>
      </c>
      <c r="E5006" s="4" t="s">
        <v>22</v>
      </c>
      <c r="F5006" s="4" t="s">
        <v>26416</v>
      </c>
      <c r="G5006" s="4" t="s">
        <v>26409</v>
      </c>
      <c r="H5006" s="3" t="s">
        <v>23629</v>
      </c>
      <c r="I5006" s="3" t="s">
        <v>26410</v>
      </c>
      <c r="J5006" s="3" t="s">
        <v>26417</v>
      </c>
      <c r="K5006" s="3" t="s">
        <v>26418</v>
      </c>
      <c r="L5006" s="3" t="s">
        <v>26419</v>
      </c>
      <c r="M5006" s="4" t="s">
        <v>26420</v>
      </c>
      <c r="N5006" s="3" t="s">
        <v>37</v>
      </c>
      <c r="O5006" s="3" t="s">
        <v>38</v>
      </c>
      <c r="P5006" s="5">
        <v>9</v>
      </c>
      <c r="Q5006" s="5">
        <v>156</v>
      </c>
      <c r="R5006" s="5">
        <v>9</v>
      </c>
      <c r="S5006" s="5">
        <v>139</v>
      </c>
    </row>
    <row r="5007" spans="1:19" ht="70" x14ac:dyDescent="0.15">
      <c r="A5007" s="2">
        <f>HYPERLINK("https://open-school.uspishnemisto.com.ua/school/230523/", 230523)</f>
        <v>230523</v>
      </c>
      <c r="B5007" s="3" t="s">
        <v>26421</v>
      </c>
      <c r="C5007" s="3" t="s">
        <v>244</v>
      </c>
      <c r="D5007" s="3" t="s">
        <v>32</v>
      </c>
      <c r="E5007" s="4" t="s">
        <v>22</v>
      </c>
      <c r="F5007" s="4" t="s">
        <v>26408</v>
      </c>
      <c r="G5007" s="4" t="s">
        <v>26409</v>
      </c>
      <c r="H5007" s="3" t="s">
        <v>23629</v>
      </c>
      <c r="I5007" s="3" t="s">
        <v>26410</v>
      </c>
      <c r="J5007" s="3" t="s">
        <v>26422</v>
      </c>
      <c r="K5007" s="3" t="s">
        <v>26423</v>
      </c>
      <c r="L5007" s="3" t="s">
        <v>26424</v>
      </c>
      <c r="M5007" s="4" t="s">
        <v>26425</v>
      </c>
      <c r="N5007" s="3" t="s">
        <v>37</v>
      </c>
      <c r="O5007" s="3" t="s">
        <v>721</v>
      </c>
      <c r="P5007" s="5">
        <v>26</v>
      </c>
      <c r="Q5007" s="5">
        <v>644</v>
      </c>
      <c r="R5007" s="5">
        <v>25</v>
      </c>
      <c r="S5007" s="5">
        <v>605</v>
      </c>
    </row>
    <row r="5008" spans="1:19" ht="56" x14ac:dyDescent="0.15">
      <c r="A5008" s="2">
        <f>HYPERLINK("https://open-school.uspishnemisto.com.ua/school/230524/", 230524)</f>
        <v>230524</v>
      </c>
      <c r="B5008" s="3" t="s">
        <v>26426</v>
      </c>
      <c r="C5008" s="3" t="s">
        <v>188</v>
      </c>
      <c r="D5008" s="3" t="s">
        <v>32</v>
      </c>
      <c r="E5008" s="4" t="s">
        <v>22</v>
      </c>
      <c r="F5008" s="4" t="s">
        <v>26408</v>
      </c>
      <c r="G5008" s="4" t="s">
        <v>26409</v>
      </c>
      <c r="H5008" s="3" t="s">
        <v>23629</v>
      </c>
      <c r="I5008" s="3" t="s">
        <v>26410</v>
      </c>
      <c r="J5008" s="3" t="s">
        <v>26427</v>
      </c>
      <c r="K5008" s="3" t="s">
        <v>26428</v>
      </c>
      <c r="L5008" s="3" t="s">
        <v>26429</v>
      </c>
      <c r="M5008" s="4" t="s">
        <v>26430</v>
      </c>
      <c r="N5008" s="3" t="s">
        <v>37</v>
      </c>
      <c r="O5008" s="3" t="s">
        <v>26431</v>
      </c>
      <c r="P5008" s="5">
        <v>9</v>
      </c>
      <c r="Q5008" s="5">
        <v>196</v>
      </c>
      <c r="R5008" s="5">
        <v>9</v>
      </c>
      <c r="S5008" s="5">
        <v>202</v>
      </c>
    </row>
    <row r="5009" spans="1:19" ht="28" x14ac:dyDescent="0.15">
      <c r="A5009" s="2">
        <f>HYPERLINK("https://open-school.uspishnemisto.com.ua/school/230525/", 230525)</f>
        <v>230525</v>
      </c>
      <c r="B5009" s="3" t="s">
        <v>26432</v>
      </c>
      <c r="C5009" s="3" t="s">
        <v>31</v>
      </c>
      <c r="D5009" s="3" t="s">
        <v>175</v>
      </c>
      <c r="E5009" s="4" t="s">
        <v>22</v>
      </c>
      <c r="F5009" s="4" t="s">
        <v>26433</v>
      </c>
      <c r="G5009" s="4" t="s">
        <v>26434</v>
      </c>
      <c r="H5009" s="3" t="s">
        <v>23629</v>
      </c>
      <c r="I5009" s="3" t="s">
        <v>26435</v>
      </c>
      <c r="J5009" s="3" t="s">
        <v>26436</v>
      </c>
      <c r="K5009" s="3" t="s">
        <v>26437</v>
      </c>
      <c r="L5009" s="3" t="s">
        <v>26438</v>
      </c>
      <c r="M5009" s="4" t="s">
        <v>26439</v>
      </c>
      <c r="N5009" s="3" t="s">
        <v>37</v>
      </c>
      <c r="O5009" s="3" t="s">
        <v>38</v>
      </c>
      <c r="P5009" s="5">
        <v>8</v>
      </c>
      <c r="Q5009" s="5">
        <v>81</v>
      </c>
      <c r="R5009" s="5">
        <v>8</v>
      </c>
      <c r="S5009" s="5">
        <v>82</v>
      </c>
    </row>
    <row r="5010" spans="1:19" ht="42" x14ac:dyDescent="0.15">
      <c r="A5010" s="2">
        <f>HYPERLINK("https://open-school.uspishnemisto.com.ua/school/230526/", 230526)</f>
        <v>230526</v>
      </c>
      <c r="B5010" s="3" t="s">
        <v>26440</v>
      </c>
      <c r="C5010" s="3" t="s">
        <v>31</v>
      </c>
      <c r="D5010" s="3" t="s">
        <v>32</v>
      </c>
      <c r="E5010" s="4" t="s">
        <v>22</v>
      </c>
      <c r="F5010" s="4" t="s">
        <v>26441</v>
      </c>
      <c r="G5010" s="4" t="s">
        <v>26442</v>
      </c>
      <c r="H5010" s="3" t="s">
        <v>23629</v>
      </c>
      <c r="I5010" s="3" t="s">
        <v>11929</v>
      </c>
      <c r="J5010" s="3" t="s">
        <v>5832</v>
      </c>
      <c r="K5010" s="3" t="s">
        <v>26443</v>
      </c>
      <c r="L5010" s="3" t="s">
        <v>26444</v>
      </c>
      <c r="M5010" s="4" t="s">
        <v>26445</v>
      </c>
      <c r="N5010" s="3" t="s">
        <v>37</v>
      </c>
      <c r="O5010" s="3" t="s">
        <v>38</v>
      </c>
      <c r="P5010" s="5">
        <v>9</v>
      </c>
      <c r="Q5010" s="5">
        <v>103</v>
      </c>
      <c r="R5010" s="5">
        <v>9</v>
      </c>
      <c r="S5010" s="5">
        <v>91</v>
      </c>
    </row>
    <row r="5011" spans="1:19" ht="42" x14ac:dyDescent="0.15">
      <c r="A5011" s="2">
        <f>HYPERLINK("https://open-school.uspishnemisto.com.ua/school/230527/", 230527)</f>
        <v>230527</v>
      </c>
      <c r="B5011" s="3" t="s">
        <v>26446</v>
      </c>
      <c r="C5011" s="3" t="s">
        <v>31</v>
      </c>
      <c r="D5011" s="3" t="s">
        <v>32</v>
      </c>
      <c r="E5011" s="4" t="s">
        <v>22</v>
      </c>
      <c r="F5011" s="4" t="s">
        <v>26447</v>
      </c>
      <c r="G5011" s="4" t="s">
        <v>26448</v>
      </c>
      <c r="H5011" s="3" t="s">
        <v>23629</v>
      </c>
      <c r="I5011" s="3" t="s">
        <v>26449</v>
      </c>
      <c r="J5011" s="3" t="s">
        <v>26450</v>
      </c>
      <c r="K5011" s="3" t="s">
        <v>26451</v>
      </c>
      <c r="L5011" s="3" t="s">
        <v>26452</v>
      </c>
      <c r="M5011" s="4" t="s">
        <v>26453</v>
      </c>
      <c r="N5011" s="3" t="s">
        <v>37</v>
      </c>
      <c r="O5011" s="3" t="s">
        <v>38</v>
      </c>
      <c r="P5011" s="5">
        <v>3</v>
      </c>
      <c r="Q5011" s="5">
        <v>36</v>
      </c>
      <c r="R5011" s="5">
        <v>3</v>
      </c>
      <c r="S5011" s="5">
        <v>35</v>
      </c>
    </row>
    <row r="5012" spans="1:19" ht="42" x14ac:dyDescent="0.15">
      <c r="A5012" s="2">
        <f>HYPERLINK("https://open-school.uspishnemisto.com.ua/school/230528/", 230528)</f>
        <v>230528</v>
      </c>
      <c r="B5012" s="3" t="s">
        <v>26454</v>
      </c>
      <c r="C5012" s="3" t="s">
        <v>31</v>
      </c>
      <c r="D5012" s="3" t="s">
        <v>32</v>
      </c>
      <c r="E5012" s="4" t="s">
        <v>22</v>
      </c>
      <c r="F5012" s="4" t="s">
        <v>26455</v>
      </c>
      <c r="G5012" s="4" t="s">
        <v>26456</v>
      </c>
      <c r="H5012" s="3" t="s">
        <v>23629</v>
      </c>
      <c r="I5012" s="3" t="s">
        <v>26457</v>
      </c>
      <c r="J5012" s="3" t="s">
        <v>10823</v>
      </c>
      <c r="K5012" s="3" t="s">
        <v>26458</v>
      </c>
      <c r="L5012" s="3" t="s">
        <v>26459</v>
      </c>
      <c r="M5012" s="4" t="s">
        <v>26460</v>
      </c>
      <c r="N5012" s="3" t="s">
        <v>37</v>
      </c>
      <c r="O5012" s="3" t="s">
        <v>721</v>
      </c>
      <c r="P5012" s="5">
        <v>3</v>
      </c>
      <c r="Q5012" s="5">
        <v>32</v>
      </c>
      <c r="R5012" s="5">
        <v>5</v>
      </c>
      <c r="S5012" s="5">
        <v>39</v>
      </c>
    </row>
    <row r="5013" spans="1:19" ht="42" x14ac:dyDescent="0.15">
      <c r="A5013" s="2">
        <f>HYPERLINK("https://open-school.uspishnemisto.com.ua/school/230530/", 230530)</f>
        <v>230530</v>
      </c>
      <c r="B5013" s="3" t="s">
        <v>26461</v>
      </c>
      <c r="C5013" s="3" t="s">
        <v>31</v>
      </c>
      <c r="D5013" s="3" t="s">
        <v>32</v>
      </c>
      <c r="E5013" s="4" t="s">
        <v>22</v>
      </c>
      <c r="F5013" s="4" t="s">
        <v>26462</v>
      </c>
      <c r="G5013" s="4" t="s">
        <v>26463</v>
      </c>
      <c r="H5013" s="3" t="s">
        <v>23629</v>
      </c>
      <c r="I5013" s="3" t="s">
        <v>26464</v>
      </c>
      <c r="J5013" s="3" t="s">
        <v>761</v>
      </c>
      <c r="K5013" s="3" t="s">
        <v>26465</v>
      </c>
      <c r="L5013" s="3" t="s">
        <v>26466</v>
      </c>
      <c r="M5013" s="4" t="s">
        <v>26467</v>
      </c>
      <c r="N5013" s="3" t="s">
        <v>37</v>
      </c>
      <c r="O5013" s="3" t="s">
        <v>38</v>
      </c>
      <c r="P5013" s="5">
        <v>7</v>
      </c>
      <c r="Q5013" s="5">
        <v>79</v>
      </c>
      <c r="R5013" s="5">
        <v>7</v>
      </c>
      <c r="S5013" s="5">
        <v>71</v>
      </c>
    </row>
    <row r="5014" spans="1:19" ht="56" x14ac:dyDescent="0.15">
      <c r="A5014" s="2">
        <f>HYPERLINK("https://open-school.uspishnemisto.com.ua/school/230531/", 230531)</f>
        <v>230531</v>
      </c>
      <c r="B5014" s="3" t="s">
        <v>26468</v>
      </c>
      <c r="C5014" s="3" t="s">
        <v>54</v>
      </c>
      <c r="D5014" s="3" t="s">
        <v>32</v>
      </c>
      <c r="E5014" s="4" t="s">
        <v>22</v>
      </c>
      <c r="F5014" s="4" t="s">
        <v>26469</v>
      </c>
      <c r="G5014" s="4" t="s">
        <v>26470</v>
      </c>
      <c r="H5014" s="3" t="s">
        <v>23629</v>
      </c>
      <c r="I5014" s="3" t="s">
        <v>12383</v>
      </c>
      <c r="J5014" s="3" t="s">
        <v>1216</v>
      </c>
      <c r="K5014" s="3" t="s">
        <v>26471</v>
      </c>
      <c r="L5014" s="3" t="s">
        <v>26472</v>
      </c>
      <c r="M5014" s="4" t="s">
        <v>26473</v>
      </c>
      <c r="N5014" s="3" t="s">
        <v>37</v>
      </c>
      <c r="O5014" s="3" t="s">
        <v>52</v>
      </c>
      <c r="P5014" s="5">
        <v>11</v>
      </c>
      <c r="Q5014" s="5">
        <v>92</v>
      </c>
      <c r="R5014" s="5">
        <v>10</v>
      </c>
      <c r="S5014" s="5">
        <v>94</v>
      </c>
    </row>
    <row r="5015" spans="1:19" ht="56" x14ac:dyDescent="0.15">
      <c r="A5015" s="2">
        <f>HYPERLINK("https://open-school.uspishnemisto.com.ua/school/230532/", 230532)</f>
        <v>230532</v>
      </c>
      <c r="B5015" s="3" t="s">
        <v>26474</v>
      </c>
      <c r="C5015" s="3" t="s">
        <v>54</v>
      </c>
      <c r="D5015" s="3" t="s">
        <v>32</v>
      </c>
      <c r="E5015" s="4" t="s">
        <v>22</v>
      </c>
      <c r="F5015" s="4" t="s">
        <v>24230</v>
      </c>
      <c r="G5015" s="4" t="s">
        <v>26475</v>
      </c>
      <c r="H5015" s="3" t="s">
        <v>23629</v>
      </c>
      <c r="I5015" s="3" t="s">
        <v>26476</v>
      </c>
      <c r="J5015" s="3" t="s">
        <v>26477</v>
      </c>
      <c r="K5015" s="3" t="s">
        <v>26478</v>
      </c>
      <c r="L5015" s="3" t="s">
        <v>26479</v>
      </c>
      <c r="M5015" s="4" t="s">
        <v>26480</v>
      </c>
      <c r="N5015" s="3" t="s">
        <v>37</v>
      </c>
      <c r="O5015" s="3" t="s">
        <v>38</v>
      </c>
      <c r="P5015" s="5">
        <v>10</v>
      </c>
      <c r="Q5015" s="5">
        <v>114</v>
      </c>
      <c r="R5015" s="5">
        <v>10</v>
      </c>
      <c r="S5015" s="5">
        <v>97</v>
      </c>
    </row>
    <row r="5016" spans="1:19" ht="42" x14ac:dyDescent="0.15">
      <c r="A5016" s="2">
        <f>HYPERLINK("https://open-school.uspishnemisto.com.ua/school/230533/", 230533)</f>
        <v>230533</v>
      </c>
      <c r="B5016" s="3" t="s">
        <v>26481</v>
      </c>
      <c r="C5016" s="3" t="s">
        <v>31</v>
      </c>
      <c r="D5016" s="3" t="s">
        <v>32</v>
      </c>
      <c r="E5016" s="4" t="s">
        <v>22</v>
      </c>
      <c r="F5016" s="4" t="s">
        <v>26482</v>
      </c>
      <c r="G5016" s="4" t="s">
        <v>26483</v>
      </c>
      <c r="H5016" s="3" t="s">
        <v>23629</v>
      </c>
      <c r="I5016" s="3" t="s">
        <v>26484</v>
      </c>
      <c r="J5016" s="3" t="s">
        <v>26485</v>
      </c>
      <c r="K5016" s="3" t="s">
        <v>26486</v>
      </c>
      <c r="L5016" s="3" t="s">
        <v>26487</v>
      </c>
      <c r="M5016" s="4" t="s">
        <v>26488</v>
      </c>
      <c r="N5016" s="3" t="s">
        <v>37</v>
      </c>
      <c r="O5016" s="3" t="s">
        <v>38</v>
      </c>
      <c r="P5016" s="5">
        <v>11</v>
      </c>
      <c r="Q5016" s="5">
        <v>65</v>
      </c>
      <c r="R5016" s="5">
        <v>11</v>
      </c>
      <c r="S5016" s="5">
        <v>64</v>
      </c>
    </row>
    <row r="5017" spans="1:19" ht="42" x14ac:dyDescent="0.15">
      <c r="A5017" s="2">
        <f>HYPERLINK("https://open-school.uspishnemisto.com.ua/school/230534/", 230534)</f>
        <v>230534</v>
      </c>
      <c r="B5017" s="3" t="s">
        <v>26489</v>
      </c>
      <c r="C5017" s="3" t="s">
        <v>31</v>
      </c>
      <c r="D5017" s="3" t="s">
        <v>32</v>
      </c>
      <c r="E5017" s="4" t="s">
        <v>22</v>
      </c>
      <c r="F5017" s="4" t="s">
        <v>26490</v>
      </c>
      <c r="G5017" s="4" t="s">
        <v>26491</v>
      </c>
      <c r="H5017" s="3" t="s">
        <v>23629</v>
      </c>
      <c r="I5017" s="3" t="s">
        <v>26492</v>
      </c>
      <c r="J5017" s="3" t="s">
        <v>501</v>
      </c>
      <c r="K5017" s="3" t="s">
        <v>26493</v>
      </c>
      <c r="L5017" s="3" t="s">
        <v>26494</v>
      </c>
      <c r="M5017" s="4" t="s">
        <v>26495</v>
      </c>
      <c r="N5017" s="3" t="s">
        <v>37</v>
      </c>
      <c r="O5017" s="3" t="s">
        <v>38</v>
      </c>
      <c r="P5017" s="5">
        <v>6</v>
      </c>
      <c r="Q5017" s="5">
        <v>55</v>
      </c>
      <c r="R5017" s="5">
        <v>8</v>
      </c>
      <c r="S5017" s="5">
        <v>62</v>
      </c>
    </row>
    <row r="5018" spans="1:19" ht="28" x14ac:dyDescent="0.15">
      <c r="A5018" s="2">
        <f>HYPERLINK("https://open-school.uspishnemisto.com.ua/school/230535/", 230535)</f>
        <v>230535</v>
      </c>
      <c r="B5018" s="3" t="s">
        <v>26496</v>
      </c>
      <c r="C5018" s="3" t="s">
        <v>31</v>
      </c>
      <c r="D5018" s="3" t="s">
        <v>32</v>
      </c>
      <c r="E5018" s="4" t="s">
        <v>22</v>
      </c>
      <c r="F5018" s="4" t="s">
        <v>26497</v>
      </c>
      <c r="G5018" s="4" t="s">
        <v>26498</v>
      </c>
      <c r="H5018" s="3" t="s">
        <v>23629</v>
      </c>
      <c r="I5018" s="3" t="s">
        <v>26499</v>
      </c>
      <c r="J5018" s="3" t="s">
        <v>26500</v>
      </c>
      <c r="K5018" s="3" t="s">
        <v>26501</v>
      </c>
      <c r="L5018" s="3" t="s">
        <v>26502</v>
      </c>
      <c r="M5018" s="4" t="s">
        <v>26503</v>
      </c>
      <c r="N5018" s="3" t="s">
        <v>37</v>
      </c>
      <c r="O5018" s="3" t="s">
        <v>38</v>
      </c>
      <c r="P5018" s="5">
        <v>10</v>
      </c>
      <c r="Q5018" s="5">
        <v>106</v>
      </c>
      <c r="R5018" s="5">
        <v>9</v>
      </c>
      <c r="S5018" s="5">
        <v>102</v>
      </c>
    </row>
    <row r="5019" spans="1:19" ht="56" x14ac:dyDescent="0.15">
      <c r="A5019" s="2">
        <f>HYPERLINK("https://open-school.uspishnemisto.com.ua/school/230536/", 230536)</f>
        <v>230536</v>
      </c>
      <c r="B5019" s="3" t="s">
        <v>26504</v>
      </c>
      <c r="C5019" s="3" t="s">
        <v>54</v>
      </c>
      <c r="D5019" s="3" t="s">
        <v>32</v>
      </c>
      <c r="E5019" s="4" t="s">
        <v>22</v>
      </c>
      <c r="F5019" s="4" t="s">
        <v>26505</v>
      </c>
      <c r="G5019" s="4" t="s">
        <v>26506</v>
      </c>
      <c r="H5019" s="3" t="s">
        <v>23629</v>
      </c>
      <c r="I5019" s="3" t="s">
        <v>26507</v>
      </c>
      <c r="J5019" s="3" t="s">
        <v>3064</v>
      </c>
      <c r="K5019" s="3" t="s">
        <v>26508</v>
      </c>
      <c r="L5019" s="3" t="s">
        <v>26509</v>
      </c>
      <c r="M5019" s="4" t="s">
        <v>26510</v>
      </c>
      <c r="N5019" s="3" t="s">
        <v>37</v>
      </c>
      <c r="O5019" s="3" t="s">
        <v>38</v>
      </c>
      <c r="P5019" s="5">
        <v>8</v>
      </c>
      <c r="Q5019" s="5">
        <v>54</v>
      </c>
      <c r="R5019" s="5">
        <v>7</v>
      </c>
      <c r="S5019" s="5">
        <v>56</v>
      </c>
    </row>
    <row r="5020" spans="1:19" ht="42" x14ac:dyDescent="0.15">
      <c r="A5020" s="2">
        <f>HYPERLINK("https://open-school.uspishnemisto.com.ua/school/230537/", 230537)</f>
        <v>230537</v>
      </c>
      <c r="B5020" s="3" t="s">
        <v>26511</v>
      </c>
      <c r="C5020" s="3" t="s">
        <v>31</v>
      </c>
      <c r="D5020" s="3" t="s">
        <v>32</v>
      </c>
      <c r="E5020" s="4" t="s">
        <v>22</v>
      </c>
      <c r="F5020" s="4" t="s">
        <v>26512</v>
      </c>
      <c r="G5020" s="4" t="s">
        <v>26513</v>
      </c>
      <c r="H5020" s="3" t="s">
        <v>23629</v>
      </c>
      <c r="I5020" s="3" t="s">
        <v>26514</v>
      </c>
      <c r="J5020" s="3" t="s">
        <v>26515</v>
      </c>
      <c r="K5020" s="3" t="s">
        <v>26516</v>
      </c>
      <c r="L5020" s="3" t="s">
        <v>26517</v>
      </c>
      <c r="M5020" s="4" t="s">
        <v>26518</v>
      </c>
      <c r="N5020" s="3" t="s">
        <v>37</v>
      </c>
      <c r="O5020" s="3" t="s">
        <v>38</v>
      </c>
      <c r="P5020" s="5">
        <v>4</v>
      </c>
      <c r="Q5020" s="5">
        <v>29</v>
      </c>
      <c r="R5020" s="5">
        <v>5</v>
      </c>
      <c r="S5020" s="5">
        <v>32</v>
      </c>
    </row>
    <row r="5021" spans="1:19" ht="42" x14ac:dyDescent="0.15">
      <c r="A5021" s="2">
        <f>HYPERLINK("https://open-school.uspishnemisto.com.ua/school/230538/", 230538)</f>
        <v>230538</v>
      </c>
      <c r="B5021" s="3" t="s">
        <v>26519</v>
      </c>
      <c r="C5021" s="3" t="s">
        <v>31</v>
      </c>
      <c r="D5021" s="3" t="s">
        <v>175</v>
      </c>
      <c r="E5021" s="4" t="s">
        <v>22</v>
      </c>
      <c r="F5021" s="4" t="s">
        <v>26520</v>
      </c>
      <c r="G5021" s="4" t="s">
        <v>26521</v>
      </c>
      <c r="H5021" s="3" t="s">
        <v>23629</v>
      </c>
      <c r="I5021" s="3" t="s">
        <v>12478</v>
      </c>
      <c r="J5021" s="3" t="s">
        <v>5884</v>
      </c>
      <c r="K5021" s="3" t="s">
        <v>26522</v>
      </c>
      <c r="L5021" s="3" t="s">
        <v>26523</v>
      </c>
      <c r="M5021" s="4" t="s">
        <v>26524</v>
      </c>
      <c r="N5021" s="3" t="s">
        <v>37</v>
      </c>
      <c r="O5021" s="3" t="s">
        <v>38</v>
      </c>
      <c r="P5021" s="5">
        <v>5</v>
      </c>
      <c r="Q5021" s="5">
        <v>46</v>
      </c>
      <c r="R5021" s="5">
        <v>5</v>
      </c>
      <c r="S5021" s="5">
        <v>39</v>
      </c>
    </row>
    <row r="5022" spans="1:19" ht="56" x14ac:dyDescent="0.15">
      <c r="A5022" s="2">
        <f>HYPERLINK("https://open-school.uspishnemisto.com.ua/school/230539/", 230539)</f>
        <v>230539</v>
      </c>
      <c r="B5022" s="3" t="s">
        <v>26525</v>
      </c>
      <c r="C5022" s="3" t="s">
        <v>54</v>
      </c>
      <c r="D5022" s="3" t="s">
        <v>32</v>
      </c>
      <c r="E5022" s="4" t="s">
        <v>22</v>
      </c>
      <c r="F5022" s="4" t="s">
        <v>26526</v>
      </c>
      <c r="G5022" s="4" t="s">
        <v>26527</v>
      </c>
      <c r="H5022" s="3" t="s">
        <v>23629</v>
      </c>
      <c r="I5022" s="3" t="s">
        <v>15360</v>
      </c>
      <c r="J5022" s="3" t="s">
        <v>26528</v>
      </c>
      <c r="K5022" s="3" t="s">
        <v>26529</v>
      </c>
      <c r="L5022" s="3" t="s">
        <v>26530</v>
      </c>
      <c r="M5022" s="4" t="s">
        <v>26531</v>
      </c>
      <c r="N5022" s="3" t="s">
        <v>37</v>
      </c>
      <c r="O5022" s="3" t="s">
        <v>38</v>
      </c>
      <c r="P5022" s="5">
        <v>8</v>
      </c>
      <c r="Q5022" s="5">
        <v>54</v>
      </c>
      <c r="R5022" s="5">
        <v>8</v>
      </c>
      <c r="S5022" s="5">
        <v>63</v>
      </c>
    </row>
    <row r="5023" spans="1:19" ht="42" x14ac:dyDescent="0.15">
      <c r="A5023" s="2">
        <f>HYPERLINK("https://open-school.uspishnemisto.com.ua/school/230540/", 230540)</f>
        <v>230540</v>
      </c>
      <c r="B5023" s="3" t="s">
        <v>26532</v>
      </c>
      <c r="C5023" s="3" t="s">
        <v>31</v>
      </c>
      <c r="D5023" s="3" t="s">
        <v>32</v>
      </c>
      <c r="E5023" s="4" t="s">
        <v>22</v>
      </c>
      <c r="F5023" s="4" t="s">
        <v>26533</v>
      </c>
      <c r="G5023" s="4" t="s">
        <v>26534</v>
      </c>
      <c r="H5023" s="3" t="s">
        <v>23629</v>
      </c>
      <c r="I5023" s="3" t="s">
        <v>3387</v>
      </c>
      <c r="J5023" s="3" t="s">
        <v>26535</v>
      </c>
      <c r="K5023" s="3" t="s">
        <v>26536</v>
      </c>
      <c r="L5023" s="3" t="s">
        <v>26537</v>
      </c>
      <c r="M5023" s="4" t="s">
        <v>26538</v>
      </c>
      <c r="N5023" s="3" t="s">
        <v>37</v>
      </c>
      <c r="O5023" s="3" t="s">
        <v>38</v>
      </c>
      <c r="P5023" s="5">
        <v>10</v>
      </c>
      <c r="Q5023" s="5">
        <v>92</v>
      </c>
      <c r="R5023" s="5">
        <v>11</v>
      </c>
      <c r="S5023" s="5">
        <v>87</v>
      </c>
    </row>
    <row r="5024" spans="1:19" ht="42" x14ac:dyDescent="0.15">
      <c r="A5024" s="2">
        <f>HYPERLINK("https://open-school.uspishnemisto.com.ua/school/230541/", 230541)</f>
        <v>230541</v>
      </c>
      <c r="B5024" s="3" t="s">
        <v>26539</v>
      </c>
      <c r="C5024" s="3" t="s">
        <v>31</v>
      </c>
      <c r="D5024" s="3" t="s">
        <v>32</v>
      </c>
      <c r="E5024" s="4" t="s">
        <v>22</v>
      </c>
      <c r="F5024" s="4" t="s">
        <v>26540</v>
      </c>
      <c r="G5024" s="4" t="s">
        <v>26541</v>
      </c>
      <c r="H5024" s="3" t="s">
        <v>23629</v>
      </c>
      <c r="I5024" s="3" t="s">
        <v>11880</v>
      </c>
      <c r="J5024" s="3" t="s">
        <v>26542</v>
      </c>
      <c r="K5024" s="3" t="s">
        <v>26543</v>
      </c>
      <c r="L5024" s="3" t="s">
        <v>26544</v>
      </c>
      <c r="M5024" s="4" t="s">
        <v>26545</v>
      </c>
      <c r="N5024" s="3" t="s">
        <v>37</v>
      </c>
      <c r="O5024" s="3" t="s">
        <v>38</v>
      </c>
      <c r="P5024" s="5">
        <v>11</v>
      </c>
      <c r="Q5024" s="5">
        <v>139</v>
      </c>
      <c r="R5024" s="5">
        <v>11</v>
      </c>
      <c r="S5024" s="5">
        <v>137</v>
      </c>
    </row>
    <row r="5025" spans="1:19" ht="42" x14ac:dyDescent="0.15">
      <c r="A5025" s="2">
        <f>HYPERLINK("https://open-school.uspishnemisto.com.ua/school/230542/", 230542)</f>
        <v>230542</v>
      </c>
      <c r="B5025" s="3" t="s">
        <v>26546</v>
      </c>
      <c r="C5025" s="3" t="s">
        <v>31</v>
      </c>
      <c r="D5025" s="3" t="s">
        <v>32</v>
      </c>
      <c r="E5025" s="4" t="s">
        <v>22</v>
      </c>
      <c r="F5025" s="4" t="s">
        <v>26547</v>
      </c>
      <c r="G5025" s="4" t="s">
        <v>26548</v>
      </c>
      <c r="H5025" s="3" t="s">
        <v>23629</v>
      </c>
      <c r="I5025" s="3" t="s">
        <v>26549</v>
      </c>
      <c r="J5025" s="3" t="s">
        <v>26550</v>
      </c>
      <c r="K5025" s="3" t="s">
        <v>26551</v>
      </c>
      <c r="L5025" s="3" t="s">
        <v>26552</v>
      </c>
      <c r="M5025" s="4" t="s">
        <v>26553</v>
      </c>
      <c r="N5025" s="3" t="s">
        <v>37</v>
      </c>
      <c r="O5025" s="3" t="s">
        <v>26431</v>
      </c>
      <c r="P5025" s="5">
        <v>11</v>
      </c>
      <c r="Q5025" s="5">
        <v>122</v>
      </c>
      <c r="R5025" s="5">
        <v>11</v>
      </c>
      <c r="S5025" s="5">
        <v>127</v>
      </c>
    </row>
    <row r="5026" spans="1:19" ht="42" x14ac:dyDescent="0.15">
      <c r="A5026" s="2">
        <f>HYPERLINK("https://open-school.uspishnemisto.com.ua/school/230543/", 230543)</f>
        <v>230543</v>
      </c>
      <c r="B5026" s="3" t="s">
        <v>26554</v>
      </c>
      <c r="C5026" s="3" t="s">
        <v>181</v>
      </c>
      <c r="D5026" s="3" t="s">
        <v>32</v>
      </c>
      <c r="E5026" s="4" t="s">
        <v>22</v>
      </c>
      <c r="F5026" s="4" t="s">
        <v>26547</v>
      </c>
      <c r="G5026" s="4" t="s">
        <v>26548</v>
      </c>
      <c r="H5026" s="3" t="s">
        <v>23629</v>
      </c>
      <c r="I5026" s="3" t="s">
        <v>26549</v>
      </c>
      <c r="J5026" s="3" t="s">
        <v>26555</v>
      </c>
      <c r="K5026" s="3" t="s">
        <v>26556</v>
      </c>
      <c r="L5026" s="3" t="s">
        <v>26557</v>
      </c>
      <c r="M5026" s="4" t="s">
        <v>26558</v>
      </c>
      <c r="N5026" s="3" t="s">
        <v>37</v>
      </c>
      <c r="O5026" s="3" t="s">
        <v>52</v>
      </c>
      <c r="P5026" s="5">
        <v>8</v>
      </c>
      <c r="Q5026" s="5">
        <v>86</v>
      </c>
      <c r="R5026" s="5">
        <v>9</v>
      </c>
      <c r="S5026" s="5">
        <v>96</v>
      </c>
    </row>
    <row r="5027" spans="1:19" ht="42" x14ac:dyDescent="0.15">
      <c r="A5027" s="2">
        <f>HYPERLINK("https://open-school.uspishnemisto.com.ua/school/230544/", 230544)</f>
        <v>230544</v>
      </c>
      <c r="B5027" s="3" t="s">
        <v>26559</v>
      </c>
      <c r="C5027" s="3" t="s">
        <v>31</v>
      </c>
      <c r="D5027" s="3" t="s">
        <v>32</v>
      </c>
      <c r="E5027" s="4" t="s">
        <v>22</v>
      </c>
      <c r="F5027" s="4" t="s">
        <v>26560</v>
      </c>
      <c r="G5027" s="4" t="s">
        <v>26561</v>
      </c>
      <c r="H5027" s="3" t="s">
        <v>23629</v>
      </c>
      <c r="I5027" s="3" t="s">
        <v>13393</v>
      </c>
      <c r="J5027" s="3" t="s">
        <v>26562</v>
      </c>
      <c r="K5027" s="3" t="s">
        <v>26563</v>
      </c>
      <c r="L5027" s="3" t="s">
        <v>26564</v>
      </c>
      <c r="M5027" s="4" t="s">
        <v>26565</v>
      </c>
      <c r="N5027" s="3" t="s">
        <v>37</v>
      </c>
      <c r="O5027" s="3" t="s">
        <v>38</v>
      </c>
      <c r="P5027" s="5">
        <v>9</v>
      </c>
      <c r="Q5027" s="5">
        <v>79</v>
      </c>
      <c r="R5027" s="5">
        <v>9</v>
      </c>
      <c r="S5027" s="5">
        <v>76</v>
      </c>
    </row>
    <row r="5028" spans="1:19" ht="28" x14ac:dyDescent="0.15">
      <c r="A5028" s="2">
        <f>HYPERLINK("https://open-school.uspishnemisto.com.ua/school/230545/", 230545)</f>
        <v>230545</v>
      </c>
      <c r="B5028" s="3" t="s">
        <v>26566</v>
      </c>
      <c r="C5028" s="3" t="s">
        <v>31</v>
      </c>
      <c r="D5028" s="3" t="s">
        <v>32</v>
      </c>
      <c r="E5028" s="4" t="s">
        <v>22</v>
      </c>
      <c r="F5028" s="4" t="s">
        <v>26567</v>
      </c>
      <c r="G5028" s="4" t="s">
        <v>26568</v>
      </c>
      <c r="H5028" s="3" t="s">
        <v>23629</v>
      </c>
      <c r="I5028" s="3" t="s">
        <v>24597</v>
      </c>
      <c r="J5028" s="3" t="s">
        <v>11675</v>
      </c>
      <c r="K5028" s="3" t="s">
        <v>26569</v>
      </c>
      <c r="L5028" s="3" t="s">
        <v>26570</v>
      </c>
      <c r="M5028" s="4" t="s">
        <v>26571</v>
      </c>
      <c r="N5028" s="3" t="s">
        <v>37</v>
      </c>
      <c r="O5028" s="3" t="s">
        <v>38</v>
      </c>
      <c r="P5028" s="5">
        <v>17</v>
      </c>
      <c r="Q5028" s="5">
        <v>309</v>
      </c>
      <c r="R5028" s="5">
        <v>16</v>
      </c>
      <c r="S5028" s="5">
        <v>310</v>
      </c>
    </row>
    <row r="5029" spans="1:19" ht="28" x14ac:dyDescent="0.15">
      <c r="A5029" s="2">
        <f>HYPERLINK("https://open-school.uspishnemisto.com.ua/school/230546/", 230546)</f>
        <v>230546</v>
      </c>
      <c r="B5029" s="3" t="s">
        <v>26572</v>
      </c>
      <c r="C5029" s="3" t="s">
        <v>31</v>
      </c>
      <c r="D5029" s="3" t="s">
        <v>32</v>
      </c>
      <c r="E5029" s="4" t="s">
        <v>22</v>
      </c>
      <c r="F5029" s="4" t="s">
        <v>26573</v>
      </c>
      <c r="G5029" s="4" t="s">
        <v>26568</v>
      </c>
      <c r="H5029" s="3" t="s">
        <v>23629</v>
      </c>
      <c r="I5029" s="3" t="s">
        <v>24597</v>
      </c>
      <c r="J5029" s="3" t="s">
        <v>26574</v>
      </c>
      <c r="K5029" s="3" t="s">
        <v>26575</v>
      </c>
      <c r="L5029" s="3" t="s">
        <v>26576</v>
      </c>
      <c r="M5029" s="4" t="s">
        <v>26577</v>
      </c>
      <c r="N5029" s="3" t="s">
        <v>37</v>
      </c>
      <c r="O5029" s="3" t="s">
        <v>38</v>
      </c>
      <c r="P5029" s="5">
        <v>12</v>
      </c>
      <c r="Q5029" s="5">
        <v>218</v>
      </c>
      <c r="R5029" s="5">
        <v>12</v>
      </c>
      <c r="S5029" s="5">
        <v>214</v>
      </c>
    </row>
    <row r="5030" spans="1:19" ht="28" x14ac:dyDescent="0.15">
      <c r="A5030" s="2">
        <f>HYPERLINK("https://open-school.uspishnemisto.com.ua/school/230547/", 230547)</f>
        <v>230547</v>
      </c>
      <c r="B5030" s="3" t="s">
        <v>26578</v>
      </c>
      <c r="C5030" s="3" t="s">
        <v>31</v>
      </c>
      <c r="D5030" s="3" t="s">
        <v>32</v>
      </c>
      <c r="E5030" s="4" t="s">
        <v>22</v>
      </c>
      <c r="F5030" s="4" t="s">
        <v>26579</v>
      </c>
      <c r="G5030" s="4" t="s">
        <v>26580</v>
      </c>
      <c r="H5030" s="3" t="s">
        <v>23629</v>
      </c>
      <c r="I5030" s="3" t="s">
        <v>26581</v>
      </c>
      <c r="J5030" s="3" t="s">
        <v>501</v>
      </c>
      <c r="K5030" s="3" t="s">
        <v>26582</v>
      </c>
      <c r="L5030" s="3" t="s">
        <v>26583</v>
      </c>
      <c r="M5030" s="4" t="s">
        <v>26584</v>
      </c>
      <c r="N5030" s="3" t="s">
        <v>37</v>
      </c>
      <c r="O5030" s="3" t="s">
        <v>112</v>
      </c>
      <c r="P5030" s="5">
        <v>8</v>
      </c>
      <c r="Q5030" s="5">
        <v>77</v>
      </c>
      <c r="R5030" s="5">
        <v>9</v>
      </c>
      <c r="S5030" s="5">
        <v>83</v>
      </c>
    </row>
    <row r="5031" spans="1:19" ht="42" x14ac:dyDescent="0.15">
      <c r="A5031" s="2">
        <f>HYPERLINK("https://open-school.uspishnemisto.com.ua/school/230548/", 230548)</f>
        <v>230548</v>
      </c>
      <c r="B5031" s="3" t="s">
        <v>26585</v>
      </c>
      <c r="C5031" s="3" t="s">
        <v>54</v>
      </c>
      <c r="D5031" s="3" t="s">
        <v>60</v>
      </c>
      <c r="E5031" s="4" t="s">
        <v>22</v>
      </c>
      <c r="F5031" s="4" t="s">
        <v>26586</v>
      </c>
      <c r="G5031" s="4" t="s">
        <v>26587</v>
      </c>
      <c r="H5031" s="3" t="s">
        <v>23629</v>
      </c>
      <c r="I5031" s="3" t="s">
        <v>26588</v>
      </c>
      <c r="J5031" s="3" t="s">
        <v>2465</v>
      </c>
      <c r="K5031" s="3" t="s">
        <v>26589</v>
      </c>
      <c r="L5031" s="3" t="s">
        <v>26590</v>
      </c>
      <c r="M5031" s="4" t="s">
        <v>26591</v>
      </c>
      <c r="N5031" s="3" t="s">
        <v>37</v>
      </c>
      <c r="O5031" s="3" t="s">
        <v>52</v>
      </c>
      <c r="P5031" s="5">
        <v>0</v>
      </c>
      <c r="Q5031" s="5">
        <v>11</v>
      </c>
      <c r="R5031" s="5">
        <v>1</v>
      </c>
      <c r="S5031" s="5">
        <v>12</v>
      </c>
    </row>
    <row r="5032" spans="1:19" ht="56" x14ac:dyDescent="0.15">
      <c r="A5032" s="2">
        <f>HYPERLINK("https://open-school.uspishnemisto.com.ua/school/230549/", 230549)</f>
        <v>230549</v>
      </c>
      <c r="B5032" s="3" t="s">
        <v>26592</v>
      </c>
      <c r="C5032" s="3" t="s">
        <v>54</v>
      </c>
      <c r="D5032" s="3" t="s">
        <v>32</v>
      </c>
      <c r="E5032" s="4" t="s">
        <v>22</v>
      </c>
      <c r="F5032" s="4" t="s">
        <v>26593</v>
      </c>
      <c r="G5032" s="4" t="s">
        <v>26594</v>
      </c>
      <c r="H5032" s="3" t="s">
        <v>23629</v>
      </c>
      <c r="I5032" s="3" t="s">
        <v>5129</v>
      </c>
      <c r="J5032" s="3" t="s">
        <v>26595</v>
      </c>
      <c r="K5032" s="3" t="s">
        <v>26596</v>
      </c>
      <c r="L5032" s="3" t="s">
        <v>26597</v>
      </c>
      <c r="M5032" s="4" t="s">
        <v>26598</v>
      </c>
      <c r="N5032" s="3" t="s">
        <v>37</v>
      </c>
      <c r="O5032" s="3" t="s">
        <v>112</v>
      </c>
      <c r="P5032" s="5">
        <v>8</v>
      </c>
      <c r="Q5032" s="5">
        <v>61</v>
      </c>
      <c r="R5032" s="5">
        <v>10</v>
      </c>
      <c r="S5032" s="5">
        <v>64</v>
      </c>
    </row>
    <row r="5033" spans="1:19" ht="42" x14ac:dyDescent="0.15">
      <c r="A5033" s="2">
        <f>HYPERLINK("https://open-school.uspishnemisto.com.ua/school/230550/", 230550)</f>
        <v>230550</v>
      </c>
      <c r="B5033" s="3" t="s">
        <v>26599</v>
      </c>
      <c r="C5033" s="3" t="s">
        <v>54</v>
      </c>
      <c r="D5033" s="3" t="s">
        <v>32</v>
      </c>
      <c r="E5033" s="4" t="s">
        <v>22</v>
      </c>
      <c r="F5033" s="4" t="s">
        <v>26600</v>
      </c>
      <c r="G5033" s="4" t="s">
        <v>26601</v>
      </c>
      <c r="H5033" s="3" t="s">
        <v>23629</v>
      </c>
      <c r="I5033" s="3" t="s">
        <v>25315</v>
      </c>
      <c r="J5033" s="3" t="s">
        <v>5955</v>
      </c>
      <c r="K5033" s="3"/>
      <c r="L5033" s="3" t="s">
        <v>26602</v>
      </c>
      <c r="M5033" s="4" t="s">
        <v>26603</v>
      </c>
      <c r="N5033" s="3" t="s">
        <v>37</v>
      </c>
      <c r="O5033" s="3" t="s">
        <v>112</v>
      </c>
      <c r="P5033" s="5">
        <v>11</v>
      </c>
      <c r="Q5033" s="5">
        <v>100</v>
      </c>
      <c r="R5033" s="5">
        <v>11</v>
      </c>
      <c r="S5033" s="5">
        <v>103</v>
      </c>
    </row>
    <row r="5034" spans="1:19" ht="56" x14ac:dyDescent="0.15">
      <c r="A5034" s="2">
        <f>HYPERLINK("https://open-school.uspishnemisto.com.ua/school/230551/", 230551)</f>
        <v>230551</v>
      </c>
      <c r="B5034" s="3" t="s">
        <v>26604</v>
      </c>
      <c r="C5034" s="3" t="s">
        <v>31</v>
      </c>
      <c r="D5034" s="3" t="s">
        <v>175</v>
      </c>
      <c r="E5034" s="4" t="s">
        <v>22</v>
      </c>
      <c r="F5034" s="4" t="s">
        <v>26605</v>
      </c>
      <c r="G5034" s="4" t="s">
        <v>26606</v>
      </c>
      <c r="H5034" s="3" t="s">
        <v>23629</v>
      </c>
      <c r="I5034" s="3" t="s">
        <v>26607</v>
      </c>
      <c r="J5034" s="3" t="s">
        <v>26608</v>
      </c>
      <c r="K5034" s="3" t="s">
        <v>26609</v>
      </c>
      <c r="L5034" s="3"/>
      <c r="M5034" s="4" t="s">
        <v>26610</v>
      </c>
      <c r="N5034" s="3" t="s">
        <v>37</v>
      </c>
      <c r="O5034" s="3" t="s">
        <v>70</v>
      </c>
      <c r="P5034" s="5">
        <v>6</v>
      </c>
      <c r="Q5034" s="5">
        <v>46</v>
      </c>
      <c r="R5034" s="5">
        <v>8</v>
      </c>
      <c r="S5034" s="5">
        <v>51</v>
      </c>
    </row>
    <row r="5035" spans="1:19" ht="42" x14ac:dyDescent="0.15">
      <c r="A5035" s="2">
        <f>HYPERLINK("https://open-school.uspishnemisto.com.ua/school/230552/", 230552)</f>
        <v>230552</v>
      </c>
      <c r="B5035" s="3" t="s">
        <v>26611</v>
      </c>
      <c r="C5035" s="3" t="s">
        <v>181</v>
      </c>
      <c r="D5035" s="3" t="s">
        <v>175</v>
      </c>
      <c r="E5035" s="4" t="s">
        <v>22</v>
      </c>
      <c r="F5035" s="4" t="s">
        <v>26612</v>
      </c>
      <c r="G5035" s="4" t="s">
        <v>26613</v>
      </c>
      <c r="H5035" s="3" t="s">
        <v>23629</v>
      </c>
      <c r="I5035" s="3" t="s">
        <v>26614</v>
      </c>
      <c r="J5035" s="3" t="s">
        <v>26615</v>
      </c>
      <c r="K5035" s="3" t="s">
        <v>26616</v>
      </c>
      <c r="L5035" s="3" t="s">
        <v>26617</v>
      </c>
      <c r="M5035" s="4" t="s">
        <v>26618</v>
      </c>
      <c r="N5035" s="3" t="s">
        <v>37</v>
      </c>
      <c r="O5035" s="3" t="s">
        <v>52</v>
      </c>
      <c r="P5035" s="5">
        <v>10</v>
      </c>
      <c r="Q5035" s="5">
        <v>63</v>
      </c>
      <c r="R5035" s="5">
        <v>11</v>
      </c>
      <c r="S5035" s="5">
        <v>74</v>
      </c>
    </row>
    <row r="5036" spans="1:19" ht="28" x14ac:dyDescent="0.15">
      <c r="A5036" s="2">
        <f>HYPERLINK("https://open-school.uspishnemisto.com.ua/school/230553/", 230553)</f>
        <v>230553</v>
      </c>
      <c r="B5036" s="3" t="s">
        <v>26619</v>
      </c>
      <c r="C5036" s="3" t="s">
        <v>31</v>
      </c>
      <c r="D5036" s="3" t="s">
        <v>32</v>
      </c>
      <c r="E5036" s="4" t="s">
        <v>22</v>
      </c>
      <c r="F5036" s="4" t="s">
        <v>26620</v>
      </c>
      <c r="G5036" s="4" t="s">
        <v>26613</v>
      </c>
      <c r="H5036" s="3" t="s">
        <v>23629</v>
      </c>
      <c r="I5036" s="3" t="s">
        <v>26614</v>
      </c>
      <c r="J5036" s="3" t="s">
        <v>26621</v>
      </c>
      <c r="K5036" s="3" t="s">
        <v>26622</v>
      </c>
      <c r="L5036" s="3" t="s">
        <v>26623</v>
      </c>
      <c r="M5036" s="4" t="s">
        <v>26624</v>
      </c>
      <c r="N5036" s="3" t="s">
        <v>37</v>
      </c>
      <c r="O5036" s="3" t="s">
        <v>70</v>
      </c>
      <c r="P5036" s="5">
        <v>12</v>
      </c>
      <c r="Q5036" s="5">
        <v>212</v>
      </c>
      <c r="R5036" s="5">
        <v>11</v>
      </c>
      <c r="S5036" s="5">
        <v>209</v>
      </c>
    </row>
    <row r="5037" spans="1:19" ht="28" x14ac:dyDescent="0.15">
      <c r="A5037" s="2">
        <f>HYPERLINK("https://open-school.uspishnemisto.com.ua/school/230554/", 230554)</f>
        <v>230554</v>
      </c>
      <c r="B5037" s="3" t="s">
        <v>26625</v>
      </c>
      <c r="C5037" s="3" t="s">
        <v>54</v>
      </c>
      <c r="D5037" s="3" t="s">
        <v>32</v>
      </c>
      <c r="E5037" s="4" t="s">
        <v>22</v>
      </c>
      <c r="F5037" s="4" t="s">
        <v>26620</v>
      </c>
      <c r="G5037" s="4" t="s">
        <v>26613</v>
      </c>
      <c r="H5037" s="3" t="s">
        <v>23629</v>
      </c>
      <c r="I5037" s="3" t="s">
        <v>26614</v>
      </c>
      <c r="J5037" s="3" t="s">
        <v>1868</v>
      </c>
      <c r="K5037" s="3" t="s">
        <v>26626</v>
      </c>
      <c r="L5037" s="3"/>
      <c r="M5037" s="4" t="s">
        <v>26627</v>
      </c>
      <c r="N5037" s="3" t="s">
        <v>128</v>
      </c>
      <c r="O5037" s="3" t="s">
        <v>70</v>
      </c>
      <c r="P5037" s="5">
        <v>20</v>
      </c>
      <c r="Q5037" s="5">
        <v>368</v>
      </c>
      <c r="R5037" s="5">
        <v>20</v>
      </c>
      <c r="S5037" s="5">
        <v>362</v>
      </c>
    </row>
    <row r="5038" spans="1:19" ht="28" x14ac:dyDescent="0.15">
      <c r="A5038" s="2">
        <f>HYPERLINK("https://open-school.uspishnemisto.com.ua/school/230555/", 230555)</f>
        <v>230555</v>
      </c>
      <c r="B5038" s="3" t="s">
        <v>26628</v>
      </c>
      <c r="C5038" s="3" t="s">
        <v>31</v>
      </c>
      <c r="D5038" s="3" t="s">
        <v>32</v>
      </c>
      <c r="E5038" s="4" t="s">
        <v>22</v>
      </c>
      <c r="F5038" s="4" t="s">
        <v>26629</v>
      </c>
      <c r="G5038" s="4" t="s">
        <v>26630</v>
      </c>
      <c r="H5038" s="3" t="s">
        <v>23629</v>
      </c>
      <c r="I5038" s="3" t="s">
        <v>26631</v>
      </c>
      <c r="J5038" s="3" t="s">
        <v>26632</v>
      </c>
      <c r="K5038" s="3" t="s">
        <v>26633</v>
      </c>
      <c r="L5038" s="3"/>
      <c r="M5038" s="4" t="s">
        <v>26634</v>
      </c>
      <c r="N5038" s="3" t="s">
        <v>37</v>
      </c>
      <c r="O5038" s="3" t="s">
        <v>38</v>
      </c>
      <c r="P5038" s="5">
        <v>7</v>
      </c>
      <c r="Q5038" s="5">
        <v>50</v>
      </c>
      <c r="R5038" s="5">
        <v>7</v>
      </c>
      <c r="S5038" s="5">
        <v>44</v>
      </c>
    </row>
    <row r="5039" spans="1:19" ht="42" x14ac:dyDescent="0.15">
      <c r="A5039" s="2">
        <f>HYPERLINK("https://open-school.uspishnemisto.com.ua/school/230556/", 230556)</f>
        <v>230556</v>
      </c>
      <c r="B5039" s="3" t="s">
        <v>26635</v>
      </c>
      <c r="C5039" s="3" t="s">
        <v>54</v>
      </c>
      <c r="D5039" s="3" t="s">
        <v>175</v>
      </c>
      <c r="E5039" s="4" t="s">
        <v>22</v>
      </c>
      <c r="F5039" s="4" t="s">
        <v>26636</v>
      </c>
      <c r="G5039" s="4" t="s">
        <v>26637</v>
      </c>
      <c r="H5039" s="3" t="s">
        <v>23629</v>
      </c>
      <c r="I5039" s="3" t="s">
        <v>26638</v>
      </c>
      <c r="J5039" s="3" t="s">
        <v>26639</v>
      </c>
      <c r="K5039" s="3" t="s">
        <v>26640</v>
      </c>
      <c r="L5039" s="3"/>
      <c r="M5039" s="4"/>
      <c r="N5039" s="3" t="s">
        <v>37</v>
      </c>
      <c r="O5039" s="3" t="s">
        <v>46</v>
      </c>
      <c r="P5039" s="5">
        <v>8</v>
      </c>
      <c r="Q5039" s="5">
        <v>49</v>
      </c>
      <c r="R5039" s="5">
        <v>8</v>
      </c>
      <c r="S5039" s="5">
        <v>48</v>
      </c>
    </row>
    <row r="5040" spans="1:19" ht="28" x14ac:dyDescent="0.15">
      <c r="A5040" s="2">
        <f>HYPERLINK("https://open-school.uspishnemisto.com.ua/school/230557/", 230557)</f>
        <v>230557</v>
      </c>
      <c r="B5040" s="3" t="s">
        <v>26641</v>
      </c>
      <c r="C5040" s="3" t="s">
        <v>31</v>
      </c>
      <c r="D5040" s="3" t="s">
        <v>175</v>
      </c>
      <c r="E5040" s="4" t="s">
        <v>22</v>
      </c>
      <c r="F5040" s="4" t="s">
        <v>26642</v>
      </c>
      <c r="G5040" s="4" t="s">
        <v>26643</v>
      </c>
      <c r="H5040" s="3" t="s">
        <v>23629</v>
      </c>
      <c r="I5040" s="3" t="s">
        <v>12001</v>
      </c>
      <c r="J5040" s="3" t="s">
        <v>26644</v>
      </c>
      <c r="K5040" s="3" t="s">
        <v>26645</v>
      </c>
      <c r="L5040" s="3"/>
      <c r="M5040" s="4"/>
      <c r="N5040" s="3" t="s">
        <v>37</v>
      </c>
      <c r="O5040" s="3" t="s">
        <v>70</v>
      </c>
      <c r="P5040" s="5">
        <v>8</v>
      </c>
      <c r="Q5040" s="5">
        <v>57</v>
      </c>
      <c r="R5040" s="5">
        <v>5</v>
      </c>
      <c r="S5040" s="5">
        <v>44</v>
      </c>
    </row>
    <row r="5041" spans="1:19" ht="28" x14ac:dyDescent="0.15">
      <c r="A5041" s="2">
        <f>HYPERLINK("https://open-school.uspishnemisto.com.ua/school/230558/", 230558)</f>
        <v>230558</v>
      </c>
      <c r="B5041" s="3" t="s">
        <v>26646</v>
      </c>
      <c r="C5041" s="3" t="s">
        <v>31</v>
      </c>
      <c r="D5041" s="3" t="s">
        <v>32</v>
      </c>
      <c r="E5041" s="4" t="s">
        <v>22</v>
      </c>
      <c r="F5041" s="4" t="s">
        <v>26647</v>
      </c>
      <c r="G5041" s="4" t="s">
        <v>26648</v>
      </c>
      <c r="H5041" s="3" t="s">
        <v>23629</v>
      </c>
      <c r="I5041" s="3" t="s">
        <v>26649</v>
      </c>
      <c r="J5041" s="3" t="s">
        <v>4537</v>
      </c>
      <c r="K5041" s="3" t="s">
        <v>26650</v>
      </c>
      <c r="L5041" s="3"/>
      <c r="M5041" s="4" t="s">
        <v>26651</v>
      </c>
      <c r="N5041" s="3" t="s">
        <v>37</v>
      </c>
      <c r="O5041" s="3" t="s">
        <v>38</v>
      </c>
      <c r="P5041" s="5">
        <v>11</v>
      </c>
      <c r="Q5041" s="5">
        <v>128</v>
      </c>
      <c r="R5041" s="5">
        <v>11</v>
      </c>
      <c r="S5041" s="5">
        <v>126</v>
      </c>
    </row>
    <row r="5042" spans="1:19" ht="56" x14ac:dyDescent="0.15">
      <c r="A5042" s="2">
        <f>HYPERLINK("https://open-school.uspishnemisto.com.ua/school/230559/", 230559)</f>
        <v>230559</v>
      </c>
      <c r="B5042" s="3" t="s">
        <v>26652</v>
      </c>
      <c r="C5042" s="3" t="s">
        <v>54</v>
      </c>
      <c r="D5042" s="3" t="s">
        <v>32</v>
      </c>
      <c r="E5042" s="4" t="s">
        <v>22</v>
      </c>
      <c r="F5042" s="4" t="s">
        <v>26653</v>
      </c>
      <c r="G5042" s="4" t="s">
        <v>26654</v>
      </c>
      <c r="H5042" s="3" t="s">
        <v>23629</v>
      </c>
      <c r="I5042" s="3" t="s">
        <v>26655</v>
      </c>
      <c r="J5042" s="3" t="s">
        <v>26656</v>
      </c>
      <c r="K5042" s="3" t="s">
        <v>26657</v>
      </c>
      <c r="L5042" s="3"/>
      <c r="M5042" s="4" t="s">
        <v>26658</v>
      </c>
      <c r="N5042" s="3" t="s">
        <v>37</v>
      </c>
      <c r="O5042" s="3" t="s">
        <v>70</v>
      </c>
      <c r="P5042" s="5">
        <v>9</v>
      </c>
      <c r="Q5042" s="5">
        <v>63</v>
      </c>
      <c r="R5042" s="5">
        <v>9</v>
      </c>
      <c r="S5042" s="5">
        <v>63</v>
      </c>
    </row>
    <row r="5043" spans="1:19" ht="28" x14ac:dyDescent="0.15">
      <c r="A5043" s="2">
        <f>HYPERLINK("https://open-school.uspishnemisto.com.ua/school/230560/", 230560)</f>
        <v>230560</v>
      </c>
      <c r="B5043" s="3" t="s">
        <v>26659</v>
      </c>
      <c r="C5043" s="3" t="s">
        <v>31</v>
      </c>
      <c r="D5043" s="3" t="s">
        <v>32</v>
      </c>
      <c r="E5043" s="4" t="s">
        <v>22</v>
      </c>
      <c r="F5043" s="4" t="s">
        <v>26660</v>
      </c>
      <c r="G5043" s="4" t="s">
        <v>26661</v>
      </c>
      <c r="H5043" s="3" t="s">
        <v>23629</v>
      </c>
      <c r="I5043" s="3" t="s">
        <v>15896</v>
      </c>
      <c r="J5043" s="3" t="s">
        <v>3363</v>
      </c>
      <c r="K5043" s="3" t="s">
        <v>26662</v>
      </c>
      <c r="L5043" s="3" t="s">
        <v>26663</v>
      </c>
      <c r="M5043" s="4"/>
      <c r="N5043" s="3" t="s">
        <v>37</v>
      </c>
      <c r="O5043" s="3" t="s">
        <v>38</v>
      </c>
      <c r="P5043" s="5">
        <v>9</v>
      </c>
      <c r="Q5043" s="5">
        <v>93</v>
      </c>
      <c r="R5043" s="5">
        <v>10</v>
      </c>
      <c r="S5043" s="5">
        <v>85</v>
      </c>
    </row>
    <row r="5044" spans="1:19" ht="28" x14ac:dyDescent="0.15">
      <c r="A5044" s="2">
        <f>HYPERLINK("https://open-school.uspishnemisto.com.ua/school/230561/", 230561)</f>
        <v>230561</v>
      </c>
      <c r="B5044" s="3" t="s">
        <v>26664</v>
      </c>
      <c r="C5044" s="3" t="s">
        <v>31</v>
      </c>
      <c r="D5044" s="3" t="s">
        <v>60</v>
      </c>
      <c r="E5044" s="4" t="s">
        <v>22</v>
      </c>
      <c r="F5044" s="4" t="s">
        <v>26665</v>
      </c>
      <c r="G5044" s="4" t="s">
        <v>26666</v>
      </c>
      <c r="H5044" s="3" t="s">
        <v>23629</v>
      </c>
      <c r="I5044" s="3" t="s">
        <v>26667</v>
      </c>
      <c r="J5044" s="3" t="s">
        <v>18464</v>
      </c>
      <c r="K5044" s="3" t="s">
        <v>26668</v>
      </c>
      <c r="L5044" s="3"/>
      <c r="M5044" s="4"/>
      <c r="N5044" s="3" t="s">
        <v>37</v>
      </c>
      <c r="O5044" s="3" t="s">
        <v>967</v>
      </c>
      <c r="P5044" s="5">
        <v>1</v>
      </c>
      <c r="Q5044" s="5">
        <v>13</v>
      </c>
      <c r="R5044" s="5">
        <v>1</v>
      </c>
      <c r="S5044" s="5">
        <v>13</v>
      </c>
    </row>
    <row r="5045" spans="1:19" ht="56" x14ac:dyDescent="0.15">
      <c r="A5045" s="2">
        <f>HYPERLINK("https://open-school.uspishnemisto.com.ua/school/230562/", 230562)</f>
        <v>230562</v>
      </c>
      <c r="B5045" s="3" t="s">
        <v>26669</v>
      </c>
      <c r="C5045" s="3" t="s">
        <v>54</v>
      </c>
      <c r="D5045" s="3" t="s">
        <v>32</v>
      </c>
      <c r="E5045" s="4" t="s">
        <v>22</v>
      </c>
      <c r="F5045" s="4" t="s">
        <v>26670</v>
      </c>
      <c r="G5045" s="4" t="s">
        <v>26671</v>
      </c>
      <c r="H5045" s="3" t="s">
        <v>23629</v>
      </c>
      <c r="I5045" s="3" t="s">
        <v>11119</v>
      </c>
      <c r="J5045" s="3" t="s">
        <v>26672</v>
      </c>
      <c r="K5045" s="3" t="s">
        <v>26673</v>
      </c>
      <c r="L5045" s="3"/>
      <c r="M5045" s="4" t="s">
        <v>26674</v>
      </c>
      <c r="N5045" s="3" t="s">
        <v>37</v>
      </c>
      <c r="O5045" s="3" t="s">
        <v>112</v>
      </c>
      <c r="P5045" s="5">
        <v>10</v>
      </c>
      <c r="Q5045" s="5">
        <v>75</v>
      </c>
      <c r="R5045" s="5">
        <v>9</v>
      </c>
      <c r="S5045" s="5">
        <v>74</v>
      </c>
    </row>
    <row r="5046" spans="1:19" ht="28" x14ac:dyDescent="0.15">
      <c r="A5046" s="2">
        <f>HYPERLINK("https://open-school.uspishnemisto.com.ua/school/230563/", 230563)</f>
        <v>230563</v>
      </c>
      <c r="B5046" s="3" t="s">
        <v>26675</v>
      </c>
      <c r="C5046" s="3" t="s">
        <v>31</v>
      </c>
      <c r="D5046" s="3" t="s">
        <v>32</v>
      </c>
      <c r="E5046" s="4" t="s">
        <v>22</v>
      </c>
      <c r="F5046" s="4" t="s">
        <v>26676</v>
      </c>
      <c r="G5046" s="4" t="s">
        <v>26677</v>
      </c>
      <c r="H5046" s="3" t="s">
        <v>23629</v>
      </c>
      <c r="I5046" s="3" t="s">
        <v>13437</v>
      </c>
      <c r="J5046" s="3" t="s">
        <v>21913</v>
      </c>
      <c r="K5046" s="3" t="s">
        <v>26678</v>
      </c>
      <c r="L5046" s="3"/>
      <c r="M5046" s="4" t="s">
        <v>26679</v>
      </c>
      <c r="N5046" s="3" t="s">
        <v>37</v>
      </c>
      <c r="O5046" s="3" t="s">
        <v>38</v>
      </c>
      <c r="P5046" s="5">
        <v>10</v>
      </c>
      <c r="Q5046" s="5">
        <v>126</v>
      </c>
      <c r="R5046" s="5">
        <v>11</v>
      </c>
      <c r="S5046" s="5">
        <v>129</v>
      </c>
    </row>
    <row r="5047" spans="1:19" ht="56" x14ac:dyDescent="0.15">
      <c r="A5047" s="2">
        <f>HYPERLINK("https://open-school.uspishnemisto.com.ua/school/230564/", 230564)</f>
        <v>230564</v>
      </c>
      <c r="B5047" s="3" t="s">
        <v>26680</v>
      </c>
      <c r="C5047" s="3" t="s">
        <v>31</v>
      </c>
      <c r="D5047" s="3" t="s">
        <v>32</v>
      </c>
      <c r="E5047" s="4" t="s">
        <v>22</v>
      </c>
      <c r="F5047" s="4" t="s">
        <v>26681</v>
      </c>
      <c r="G5047" s="4" t="s">
        <v>26682</v>
      </c>
      <c r="H5047" s="3" t="s">
        <v>23629</v>
      </c>
      <c r="I5047" s="3" t="s">
        <v>26683</v>
      </c>
      <c r="J5047" s="3" t="s">
        <v>26684</v>
      </c>
      <c r="K5047" s="3" t="s">
        <v>26685</v>
      </c>
      <c r="L5047" s="3" t="s">
        <v>26686</v>
      </c>
      <c r="M5047" s="4" t="s">
        <v>26687</v>
      </c>
      <c r="N5047" s="3" t="s">
        <v>37</v>
      </c>
      <c r="O5047" s="3" t="s">
        <v>52</v>
      </c>
      <c r="P5047" s="5">
        <v>10</v>
      </c>
      <c r="Q5047" s="5">
        <v>96</v>
      </c>
      <c r="R5047" s="5">
        <v>11</v>
      </c>
      <c r="S5047" s="5">
        <v>95</v>
      </c>
    </row>
    <row r="5048" spans="1:19" ht="28" x14ac:dyDescent="0.15">
      <c r="A5048" s="2">
        <f>HYPERLINK("https://open-school.uspishnemisto.com.ua/school/230565/", 230565)</f>
        <v>230565</v>
      </c>
      <c r="B5048" s="3" t="s">
        <v>26688</v>
      </c>
      <c r="C5048" s="3" t="s">
        <v>31</v>
      </c>
      <c r="D5048" s="3" t="s">
        <v>32</v>
      </c>
      <c r="E5048" s="4" t="s">
        <v>22</v>
      </c>
      <c r="F5048" s="4" t="s">
        <v>26689</v>
      </c>
      <c r="G5048" s="4" t="s">
        <v>26690</v>
      </c>
      <c r="H5048" s="3" t="s">
        <v>23629</v>
      </c>
      <c r="I5048" s="3" t="s">
        <v>26691</v>
      </c>
      <c r="J5048" s="3" t="s">
        <v>26692</v>
      </c>
      <c r="K5048" s="3" t="s">
        <v>26693</v>
      </c>
      <c r="L5048" s="3"/>
      <c r="M5048" s="4" t="s">
        <v>26694</v>
      </c>
      <c r="N5048" s="3" t="s">
        <v>37</v>
      </c>
      <c r="O5048" s="3" t="s">
        <v>38</v>
      </c>
      <c r="P5048" s="5">
        <v>10</v>
      </c>
      <c r="Q5048" s="5">
        <v>87</v>
      </c>
      <c r="R5048" s="5">
        <v>10</v>
      </c>
      <c r="S5048" s="5">
        <v>95</v>
      </c>
    </row>
    <row r="5049" spans="1:19" ht="56" x14ac:dyDescent="0.15">
      <c r="A5049" s="2">
        <f>HYPERLINK("https://open-school.uspishnemisto.com.ua/school/230566/", 230566)</f>
        <v>230566</v>
      </c>
      <c r="B5049" s="3" t="s">
        <v>26695</v>
      </c>
      <c r="C5049" s="3" t="s">
        <v>54</v>
      </c>
      <c r="D5049" s="3" t="s">
        <v>32</v>
      </c>
      <c r="E5049" s="4" t="s">
        <v>22</v>
      </c>
      <c r="F5049" s="4" t="s">
        <v>26696</v>
      </c>
      <c r="G5049" s="4" t="s">
        <v>26697</v>
      </c>
      <c r="H5049" s="3" t="s">
        <v>23629</v>
      </c>
      <c r="I5049" s="3" t="s">
        <v>26698</v>
      </c>
      <c r="J5049" s="3" t="s">
        <v>297</v>
      </c>
      <c r="K5049" s="3" t="s">
        <v>26699</v>
      </c>
      <c r="L5049" s="3"/>
      <c r="M5049" s="4" t="s">
        <v>26700</v>
      </c>
      <c r="N5049" s="3" t="s">
        <v>37</v>
      </c>
      <c r="O5049" s="3" t="s">
        <v>38</v>
      </c>
      <c r="P5049" s="5">
        <v>6</v>
      </c>
      <c r="Q5049" s="5">
        <v>73</v>
      </c>
      <c r="R5049" s="5">
        <v>8</v>
      </c>
      <c r="S5049" s="5">
        <v>80</v>
      </c>
    </row>
    <row r="5050" spans="1:19" ht="28" x14ac:dyDescent="0.15">
      <c r="A5050" s="2">
        <f>HYPERLINK("https://open-school.uspishnemisto.com.ua/school/230567/", 230567)</f>
        <v>230567</v>
      </c>
      <c r="B5050" s="3" t="s">
        <v>26701</v>
      </c>
      <c r="C5050" s="3" t="s">
        <v>31</v>
      </c>
      <c r="D5050" s="3" t="s">
        <v>32</v>
      </c>
      <c r="E5050" s="4" t="s">
        <v>22</v>
      </c>
      <c r="F5050" s="4" t="s">
        <v>26702</v>
      </c>
      <c r="G5050" s="4" t="s">
        <v>26703</v>
      </c>
      <c r="H5050" s="3" t="s">
        <v>23629</v>
      </c>
      <c r="I5050" s="3" t="s">
        <v>11739</v>
      </c>
      <c r="J5050" s="3" t="s">
        <v>1747</v>
      </c>
      <c r="K5050" s="3" t="s">
        <v>26704</v>
      </c>
      <c r="L5050" s="3"/>
      <c r="M5050" s="4"/>
      <c r="N5050" s="3" t="s">
        <v>37</v>
      </c>
      <c r="O5050" s="3" t="s">
        <v>112</v>
      </c>
      <c r="P5050" s="5">
        <v>5</v>
      </c>
      <c r="Q5050" s="5">
        <v>38</v>
      </c>
      <c r="R5050" s="5">
        <v>6</v>
      </c>
      <c r="S5050" s="5">
        <v>42</v>
      </c>
    </row>
    <row r="5051" spans="1:19" ht="56" x14ac:dyDescent="0.15">
      <c r="A5051" s="2">
        <f>HYPERLINK("https://open-school.uspishnemisto.com.ua/school/230568/", 230568)</f>
        <v>230568</v>
      </c>
      <c r="B5051" s="3" t="s">
        <v>26705</v>
      </c>
      <c r="C5051" s="3" t="s">
        <v>54</v>
      </c>
      <c r="D5051" s="3" t="s">
        <v>32</v>
      </c>
      <c r="E5051" s="4" t="s">
        <v>22</v>
      </c>
      <c r="F5051" s="4" t="s">
        <v>26706</v>
      </c>
      <c r="G5051" s="4" t="s">
        <v>26707</v>
      </c>
      <c r="H5051" s="3" t="s">
        <v>23629</v>
      </c>
      <c r="I5051" s="3" t="s">
        <v>25015</v>
      </c>
      <c r="J5051" s="3" t="s">
        <v>26708</v>
      </c>
      <c r="K5051" s="3" t="s">
        <v>26709</v>
      </c>
      <c r="L5051" s="3"/>
      <c r="M5051" s="4" t="s">
        <v>26710</v>
      </c>
      <c r="N5051" s="3" t="s">
        <v>37</v>
      </c>
      <c r="O5051" s="3" t="s">
        <v>70</v>
      </c>
      <c r="P5051" s="5">
        <v>10</v>
      </c>
      <c r="Q5051" s="5">
        <v>87</v>
      </c>
      <c r="R5051" s="5">
        <v>11</v>
      </c>
      <c r="S5051" s="5">
        <v>88</v>
      </c>
    </row>
    <row r="5052" spans="1:19" ht="28" x14ac:dyDescent="0.15">
      <c r="A5052" s="2">
        <f>HYPERLINK("https://open-school.uspishnemisto.com.ua/school/230569/", 230569)</f>
        <v>230569</v>
      </c>
      <c r="B5052" s="3" t="s">
        <v>26711</v>
      </c>
      <c r="C5052" s="3" t="s">
        <v>31</v>
      </c>
      <c r="D5052" s="3" t="s">
        <v>32</v>
      </c>
      <c r="E5052" s="4" t="s">
        <v>22</v>
      </c>
      <c r="F5052" s="4" t="s">
        <v>26712</v>
      </c>
      <c r="G5052" s="4" t="s">
        <v>26713</v>
      </c>
      <c r="H5052" s="3" t="s">
        <v>23629</v>
      </c>
      <c r="I5052" s="3" t="s">
        <v>26714</v>
      </c>
      <c r="J5052" s="3" t="s">
        <v>4448</v>
      </c>
      <c r="K5052" s="3" t="s">
        <v>26715</v>
      </c>
      <c r="L5052" s="3"/>
      <c r="M5052" s="4" t="s">
        <v>26716</v>
      </c>
      <c r="N5052" s="3" t="s">
        <v>37</v>
      </c>
      <c r="O5052" s="3" t="s">
        <v>70</v>
      </c>
      <c r="P5052" s="5">
        <v>11</v>
      </c>
      <c r="Q5052" s="5">
        <v>124</v>
      </c>
      <c r="R5052" s="5">
        <v>11</v>
      </c>
      <c r="S5052" s="5">
        <v>126</v>
      </c>
    </row>
    <row r="5053" spans="1:19" ht="28" x14ac:dyDescent="0.15">
      <c r="A5053" s="2">
        <f>HYPERLINK("https://open-school.uspishnemisto.com.ua/school/230570/", 230570)</f>
        <v>230570</v>
      </c>
      <c r="B5053" s="3" t="s">
        <v>26717</v>
      </c>
      <c r="C5053" s="3" t="s">
        <v>293</v>
      </c>
      <c r="D5053" s="3" t="s">
        <v>32</v>
      </c>
      <c r="E5053" s="4" t="s">
        <v>22</v>
      </c>
      <c r="F5053" s="4" t="s">
        <v>26718</v>
      </c>
      <c r="G5053" s="4" t="s">
        <v>26719</v>
      </c>
      <c r="H5053" s="3" t="s">
        <v>23629</v>
      </c>
      <c r="I5053" s="3" t="s">
        <v>26720</v>
      </c>
      <c r="J5053" s="3" t="s">
        <v>26721</v>
      </c>
      <c r="K5053" s="3" t="s">
        <v>26722</v>
      </c>
      <c r="L5053" s="3" t="s">
        <v>26723</v>
      </c>
      <c r="M5053" s="4" t="s">
        <v>26724</v>
      </c>
      <c r="N5053" s="3" t="s">
        <v>37</v>
      </c>
      <c r="O5053" s="3" t="s">
        <v>70</v>
      </c>
      <c r="P5053" s="5">
        <v>7</v>
      </c>
      <c r="Q5053" s="5">
        <v>96</v>
      </c>
      <c r="R5053" s="5">
        <v>8</v>
      </c>
      <c r="S5053" s="5">
        <v>114</v>
      </c>
    </row>
    <row r="5054" spans="1:19" ht="56" x14ac:dyDescent="0.15">
      <c r="A5054" s="2">
        <f>HYPERLINK("https://open-school.uspishnemisto.com.ua/school/230571/", 230571)</f>
        <v>230571</v>
      </c>
      <c r="B5054" s="3" t="s">
        <v>26725</v>
      </c>
      <c r="C5054" s="3" t="s">
        <v>31</v>
      </c>
      <c r="D5054" s="3" t="s">
        <v>32</v>
      </c>
      <c r="E5054" s="4" t="s">
        <v>22</v>
      </c>
      <c r="F5054" s="4" t="s">
        <v>26718</v>
      </c>
      <c r="G5054" s="4" t="s">
        <v>26719</v>
      </c>
      <c r="H5054" s="3" t="s">
        <v>23629</v>
      </c>
      <c r="I5054" s="3" t="s">
        <v>26720</v>
      </c>
      <c r="J5054" s="3" t="s">
        <v>26726</v>
      </c>
      <c r="K5054" s="3" t="s">
        <v>26727</v>
      </c>
      <c r="L5054" s="3" t="s">
        <v>26728</v>
      </c>
      <c r="M5054" s="4"/>
      <c r="N5054" s="3" t="s">
        <v>37</v>
      </c>
      <c r="O5054" s="3" t="s">
        <v>70</v>
      </c>
      <c r="P5054" s="5">
        <v>29</v>
      </c>
      <c r="Q5054" s="5">
        <v>382</v>
      </c>
      <c r="R5054" s="5">
        <v>31</v>
      </c>
      <c r="S5054" s="5">
        <v>405</v>
      </c>
    </row>
    <row r="5055" spans="1:19" ht="70" x14ac:dyDescent="0.15">
      <c r="A5055" s="2">
        <f>HYPERLINK("https://open-school.uspishnemisto.com.ua/school/230572/", 230572)</f>
        <v>230572</v>
      </c>
      <c r="B5055" s="3" t="s">
        <v>26729</v>
      </c>
      <c r="C5055" s="3" t="s">
        <v>31</v>
      </c>
      <c r="D5055" s="3" t="s">
        <v>175</v>
      </c>
      <c r="E5055" s="4" t="s">
        <v>22</v>
      </c>
      <c r="F5055" s="4" t="s">
        <v>26730</v>
      </c>
      <c r="G5055" s="4" t="s">
        <v>26719</v>
      </c>
      <c r="H5055" s="3" t="s">
        <v>23629</v>
      </c>
      <c r="I5055" s="3" t="s">
        <v>26720</v>
      </c>
      <c r="J5055" s="3" t="s">
        <v>26731</v>
      </c>
      <c r="K5055" s="3" t="s">
        <v>26732</v>
      </c>
      <c r="L5055" s="3" t="s">
        <v>26733</v>
      </c>
      <c r="M5055" s="4"/>
      <c r="N5055" s="3"/>
      <c r="O5055" s="3"/>
      <c r="P5055" s="5">
        <v>0</v>
      </c>
      <c r="Q5055" s="5">
        <v>0</v>
      </c>
      <c r="R5055" s="5"/>
      <c r="S5055" s="5"/>
    </row>
    <row r="5056" spans="1:19" ht="28" x14ac:dyDescent="0.15">
      <c r="A5056" s="2">
        <f>HYPERLINK("https://open-school.uspishnemisto.com.ua/school/230573/", 230573)</f>
        <v>230573</v>
      </c>
      <c r="B5056" s="3" t="s">
        <v>26734</v>
      </c>
      <c r="C5056" s="3" t="s">
        <v>31</v>
      </c>
      <c r="D5056" s="3" t="s">
        <v>32</v>
      </c>
      <c r="E5056" s="4" t="s">
        <v>22</v>
      </c>
      <c r="F5056" s="4" t="s">
        <v>26718</v>
      </c>
      <c r="G5056" s="4" t="s">
        <v>26719</v>
      </c>
      <c r="H5056" s="3" t="s">
        <v>23629</v>
      </c>
      <c r="I5056" s="3" t="s">
        <v>26720</v>
      </c>
      <c r="J5056" s="3" t="s">
        <v>26735</v>
      </c>
      <c r="K5056" s="3" t="s">
        <v>26736</v>
      </c>
      <c r="L5056" s="3" t="s">
        <v>26737</v>
      </c>
      <c r="M5056" s="4"/>
      <c r="N5056" s="3" t="s">
        <v>37</v>
      </c>
      <c r="O5056" s="3" t="s">
        <v>52</v>
      </c>
      <c r="P5056" s="5">
        <v>14</v>
      </c>
      <c r="Q5056" s="5">
        <v>274</v>
      </c>
      <c r="R5056" s="5">
        <v>14</v>
      </c>
      <c r="S5056" s="5">
        <v>272</v>
      </c>
    </row>
    <row r="5057" spans="1:19" ht="28" x14ac:dyDescent="0.15">
      <c r="A5057" s="2">
        <f>HYPERLINK("https://open-school.uspishnemisto.com.ua/school/230574/", 230574)</f>
        <v>230574</v>
      </c>
      <c r="B5057" s="3" t="s">
        <v>26738</v>
      </c>
      <c r="C5057" s="3" t="s">
        <v>31</v>
      </c>
      <c r="D5057" s="3" t="s">
        <v>32</v>
      </c>
      <c r="E5057" s="4" t="s">
        <v>22</v>
      </c>
      <c r="F5057" s="4" t="s">
        <v>26739</v>
      </c>
      <c r="G5057" s="4" t="s">
        <v>26740</v>
      </c>
      <c r="H5057" s="3" t="s">
        <v>23629</v>
      </c>
      <c r="I5057" s="3" t="s">
        <v>3790</v>
      </c>
      <c r="J5057" s="3" t="s">
        <v>1636</v>
      </c>
      <c r="K5057" s="3" t="s">
        <v>26741</v>
      </c>
      <c r="L5057" s="3" t="s">
        <v>26742</v>
      </c>
      <c r="M5057" s="4"/>
      <c r="N5057" s="3" t="s">
        <v>37</v>
      </c>
      <c r="O5057" s="3" t="s">
        <v>52</v>
      </c>
      <c r="P5057" s="5">
        <v>11</v>
      </c>
      <c r="Q5057" s="5">
        <v>128</v>
      </c>
      <c r="R5057" s="5">
        <v>11</v>
      </c>
      <c r="S5057" s="5">
        <v>113</v>
      </c>
    </row>
    <row r="5058" spans="1:19" ht="28" x14ac:dyDescent="0.15">
      <c r="A5058" s="2">
        <f>HYPERLINK("https://open-school.uspishnemisto.com.ua/school/230575/", 230575)</f>
        <v>230575</v>
      </c>
      <c r="B5058" s="3" t="s">
        <v>26743</v>
      </c>
      <c r="C5058" s="3" t="s">
        <v>31</v>
      </c>
      <c r="D5058" s="3" t="s">
        <v>32</v>
      </c>
      <c r="E5058" s="4" t="s">
        <v>22</v>
      </c>
      <c r="F5058" s="4" t="s">
        <v>26744</v>
      </c>
      <c r="G5058" s="4" t="s">
        <v>26745</v>
      </c>
      <c r="H5058" s="3" t="s">
        <v>23629</v>
      </c>
      <c r="I5058" s="3" t="s">
        <v>26746</v>
      </c>
      <c r="J5058" s="3" t="s">
        <v>26747</v>
      </c>
      <c r="K5058" s="3" t="s">
        <v>26748</v>
      </c>
      <c r="L5058" s="3" t="s">
        <v>26749</v>
      </c>
      <c r="M5058" s="4"/>
      <c r="N5058" s="3" t="s">
        <v>37</v>
      </c>
      <c r="O5058" s="3" t="s">
        <v>38</v>
      </c>
      <c r="P5058" s="5">
        <v>11</v>
      </c>
      <c r="Q5058" s="5">
        <v>117</v>
      </c>
      <c r="R5058" s="5">
        <v>11</v>
      </c>
      <c r="S5058" s="5">
        <v>123</v>
      </c>
    </row>
    <row r="5059" spans="1:19" ht="28" x14ac:dyDescent="0.15">
      <c r="A5059" s="2">
        <f>HYPERLINK("https://open-school.uspishnemisto.com.ua/school/230576/", 230576)</f>
        <v>230576</v>
      </c>
      <c r="B5059" s="3" t="s">
        <v>26750</v>
      </c>
      <c r="C5059" s="3" t="s">
        <v>31</v>
      </c>
      <c r="D5059" s="3" t="s">
        <v>32</v>
      </c>
      <c r="E5059" s="4" t="s">
        <v>22</v>
      </c>
      <c r="F5059" s="4" t="s">
        <v>26751</v>
      </c>
      <c r="G5059" s="4" t="s">
        <v>26752</v>
      </c>
      <c r="H5059" s="3" t="s">
        <v>23629</v>
      </c>
      <c r="I5059" s="3" t="s">
        <v>18445</v>
      </c>
      <c r="J5059" s="3" t="s">
        <v>11612</v>
      </c>
      <c r="K5059" s="3" t="s">
        <v>26753</v>
      </c>
      <c r="L5059" s="3" t="s">
        <v>26754</v>
      </c>
      <c r="M5059" s="4"/>
      <c r="N5059" s="3" t="s">
        <v>37</v>
      </c>
      <c r="O5059" s="3" t="s">
        <v>38</v>
      </c>
      <c r="P5059" s="5">
        <v>10</v>
      </c>
      <c r="Q5059" s="5">
        <v>75</v>
      </c>
      <c r="R5059" s="5">
        <v>11</v>
      </c>
      <c r="S5059" s="5">
        <v>89</v>
      </c>
    </row>
    <row r="5060" spans="1:19" ht="28" x14ac:dyDescent="0.15">
      <c r="A5060" s="2">
        <f>HYPERLINK("https://open-school.uspishnemisto.com.ua/school/230577/", 230577)</f>
        <v>230577</v>
      </c>
      <c r="B5060" s="3" t="s">
        <v>26755</v>
      </c>
      <c r="C5060" s="3" t="s">
        <v>54</v>
      </c>
      <c r="D5060" s="3" t="s">
        <v>32</v>
      </c>
      <c r="E5060" s="4" t="s">
        <v>22</v>
      </c>
      <c r="F5060" s="4" t="s">
        <v>26756</v>
      </c>
      <c r="G5060" s="4" t="s">
        <v>26757</v>
      </c>
      <c r="H5060" s="3" t="s">
        <v>23629</v>
      </c>
      <c r="I5060" s="3" t="s">
        <v>26758</v>
      </c>
      <c r="J5060" s="3" t="s">
        <v>466</v>
      </c>
      <c r="K5060" s="3" t="s">
        <v>26759</v>
      </c>
      <c r="L5060" s="3"/>
      <c r="M5060" s="4"/>
      <c r="N5060" s="3" t="s">
        <v>37</v>
      </c>
      <c r="O5060" s="3" t="s">
        <v>38</v>
      </c>
      <c r="P5060" s="5">
        <v>7</v>
      </c>
      <c r="Q5060" s="5">
        <v>49</v>
      </c>
      <c r="R5060" s="5">
        <v>7</v>
      </c>
      <c r="S5060" s="5">
        <v>49</v>
      </c>
    </row>
    <row r="5061" spans="1:19" ht="28" x14ac:dyDescent="0.15">
      <c r="A5061" s="2">
        <f>HYPERLINK("https://open-school.uspishnemisto.com.ua/school/230578/", 230578)</f>
        <v>230578</v>
      </c>
      <c r="B5061" s="3" t="s">
        <v>26760</v>
      </c>
      <c r="C5061" s="3" t="s">
        <v>54</v>
      </c>
      <c r="D5061" s="3" t="s">
        <v>32</v>
      </c>
      <c r="E5061" s="4" t="s">
        <v>22</v>
      </c>
      <c r="F5061" s="4" t="s">
        <v>26761</v>
      </c>
      <c r="G5061" s="4" t="s">
        <v>26762</v>
      </c>
      <c r="H5061" s="3" t="s">
        <v>23629</v>
      </c>
      <c r="I5061" s="3" t="s">
        <v>16021</v>
      </c>
      <c r="J5061" s="3" t="s">
        <v>554</v>
      </c>
      <c r="K5061" s="3" t="s">
        <v>26763</v>
      </c>
      <c r="L5061" s="3" t="s">
        <v>26764</v>
      </c>
      <c r="M5061" s="4"/>
      <c r="N5061" s="3" t="s">
        <v>37</v>
      </c>
      <c r="O5061" s="3" t="s">
        <v>52</v>
      </c>
      <c r="P5061" s="5">
        <v>8</v>
      </c>
      <c r="Q5061" s="5">
        <v>59</v>
      </c>
      <c r="R5061" s="5">
        <v>8</v>
      </c>
      <c r="S5061" s="5">
        <v>60</v>
      </c>
    </row>
    <row r="5062" spans="1:19" ht="28" x14ac:dyDescent="0.15">
      <c r="A5062" s="2">
        <f>HYPERLINK("https://open-school.uspishnemisto.com.ua/school/230579/", 230579)</f>
        <v>230579</v>
      </c>
      <c r="B5062" s="3" t="s">
        <v>26765</v>
      </c>
      <c r="C5062" s="3" t="s">
        <v>31</v>
      </c>
      <c r="D5062" s="3" t="s">
        <v>32</v>
      </c>
      <c r="E5062" s="4" t="s">
        <v>22</v>
      </c>
      <c r="F5062" s="4" t="s">
        <v>26766</v>
      </c>
      <c r="G5062" s="4" t="s">
        <v>26767</v>
      </c>
      <c r="H5062" s="3" t="s">
        <v>23629</v>
      </c>
      <c r="I5062" s="3" t="s">
        <v>26768</v>
      </c>
      <c r="J5062" s="3" t="s">
        <v>25487</v>
      </c>
      <c r="K5062" s="3" t="s">
        <v>26769</v>
      </c>
      <c r="L5062" s="3"/>
      <c r="M5062" s="4"/>
      <c r="N5062" s="3" t="s">
        <v>37</v>
      </c>
      <c r="O5062" s="3" t="s">
        <v>38</v>
      </c>
      <c r="P5062" s="5">
        <v>11</v>
      </c>
      <c r="Q5062" s="5">
        <v>156</v>
      </c>
      <c r="R5062" s="5">
        <v>11</v>
      </c>
      <c r="S5062" s="5">
        <v>138</v>
      </c>
    </row>
    <row r="5063" spans="1:19" ht="28" x14ac:dyDescent="0.15">
      <c r="A5063" s="2">
        <f>HYPERLINK("https://open-school.uspishnemisto.com.ua/school/230580/", 230580)</f>
        <v>230580</v>
      </c>
      <c r="B5063" s="3" t="s">
        <v>26770</v>
      </c>
      <c r="C5063" s="3" t="s">
        <v>31</v>
      </c>
      <c r="D5063" s="3" t="s">
        <v>175</v>
      </c>
      <c r="E5063" s="4" t="s">
        <v>22</v>
      </c>
      <c r="F5063" s="4" t="s">
        <v>26771</v>
      </c>
      <c r="G5063" s="4" t="s">
        <v>26772</v>
      </c>
      <c r="H5063" s="3" t="s">
        <v>23629</v>
      </c>
      <c r="I5063" s="3" t="s">
        <v>26773</v>
      </c>
      <c r="J5063" s="3" t="s">
        <v>26774</v>
      </c>
      <c r="K5063" s="3" t="s">
        <v>26775</v>
      </c>
      <c r="L5063" s="3"/>
      <c r="M5063" s="4"/>
      <c r="N5063" s="3" t="s">
        <v>37</v>
      </c>
      <c r="O5063" s="3" t="s">
        <v>38</v>
      </c>
      <c r="P5063" s="5">
        <v>7</v>
      </c>
      <c r="Q5063" s="5">
        <v>61</v>
      </c>
      <c r="R5063" s="5">
        <v>9</v>
      </c>
      <c r="S5063" s="5">
        <v>73</v>
      </c>
    </row>
    <row r="5064" spans="1:19" ht="28" x14ac:dyDescent="0.15">
      <c r="A5064" s="2">
        <f>HYPERLINK("https://open-school.uspishnemisto.com.ua/school/230581/", 230581)</f>
        <v>230581</v>
      </c>
      <c r="B5064" s="3" t="s">
        <v>26776</v>
      </c>
      <c r="C5064" s="3" t="s">
        <v>54</v>
      </c>
      <c r="D5064" s="3"/>
      <c r="E5064" s="4" t="s">
        <v>22</v>
      </c>
      <c r="F5064" s="4" t="s">
        <v>26777</v>
      </c>
      <c r="G5064" s="4" t="s">
        <v>26778</v>
      </c>
      <c r="H5064" s="3" t="s">
        <v>23629</v>
      </c>
      <c r="I5064" s="3" t="s">
        <v>26779</v>
      </c>
      <c r="J5064" s="3" t="s">
        <v>26780</v>
      </c>
      <c r="K5064" s="3" t="s">
        <v>26781</v>
      </c>
      <c r="L5064" s="3"/>
      <c r="M5064" s="4"/>
      <c r="N5064" s="3" t="s">
        <v>37</v>
      </c>
      <c r="O5064" s="3" t="s">
        <v>112</v>
      </c>
      <c r="P5064" s="5">
        <v>7</v>
      </c>
      <c r="Q5064" s="5">
        <v>76</v>
      </c>
      <c r="R5064" s="5">
        <v>7</v>
      </c>
      <c r="S5064" s="5">
        <v>76</v>
      </c>
    </row>
    <row r="5065" spans="1:19" ht="28" x14ac:dyDescent="0.15">
      <c r="A5065" s="2">
        <f>HYPERLINK("https://open-school.uspishnemisto.com.ua/school/230582/", 230582)</f>
        <v>230582</v>
      </c>
      <c r="B5065" s="3" t="s">
        <v>26782</v>
      </c>
      <c r="C5065" s="3" t="s">
        <v>31</v>
      </c>
      <c r="D5065" s="3" t="s">
        <v>32</v>
      </c>
      <c r="E5065" s="4" t="s">
        <v>22</v>
      </c>
      <c r="F5065" s="4" t="s">
        <v>26783</v>
      </c>
      <c r="G5065" s="4" t="s">
        <v>26784</v>
      </c>
      <c r="H5065" s="3" t="s">
        <v>23629</v>
      </c>
      <c r="I5065" s="3" t="s">
        <v>26785</v>
      </c>
      <c r="J5065" s="3" t="s">
        <v>26786</v>
      </c>
      <c r="K5065" s="3" t="s">
        <v>26787</v>
      </c>
      <c r="L5065" s="3"/>
      <c r="M5065" s="4"/>
      <c r="N5065" s="3" t="s">
        <v>37</v>
      </c>
      <c r="O5065" s="3" t="s">
        <v>38</v>
      </c>
      <c r="P5065" s="5">
        <v>11</v>
      </c>
      <c r="Q5065" s="5">
        <v>89</v>
      </c>
      <c r="R5065" s="5">
        <v>11</v>
      </c>
      <c r="S5065" s="5">
        <v>94</v>
      </c>
    </row>
    <row r="5066" spans="1:19" ht="28" x14ac:dyDescent="0.15">
      <c r="A5066" s="2">
        <f>HYPERLINK("https://open-school.uspishnemisto.com.ua/school/230583/", 230583)</f>
        <v>230583</v>
      </c>
      <c r="B5066" s="3" t="s">
        <v>26788</v>
      </c>
      <c r="C5066" s="3" t="s">
        <v>54</v>
      </c>
      <c r="D5066" s="3" t="s">
        <v>175</v>
      </c>
      <c r="E5066" s="4" t="s">
        <v>22</v>
      </c>
      <c r="F5066" s="4" t="s">
        <v>26789</v>
      </c>
      <c r="G5066" s="4" t="s">
        <v>26790</v>
      </c>
      <c r="H5066" s="3" t="s">
        <v>23629</v>
      </c>
      <c r="I5066" s="3" t="s">
        <v>21333</v>
      </c>
      <c r="J5066" s="3" t="s">
        <v>26791</v>
      </c>
      <c r="K5066" s="3" t="s">
        <v>26792</v>
      </c>
      <c r="L5066" s="3"/>
      <c r="M5066" s="4"/>
      <c r="N5066" s="3" t="s">
        <v>37</v>
      </c>
      <c r="O5066" s="3" t="s">
        <v>38</v>
      </c>
      <c r="P5066" s="5">
        <v>6</v>
      </c>
      <c r="Q5066" s="5">
        <v>37</v>
      </c>
      <c r="R5066" s="5">
        <v>5</v>
      </c>
      <c r="S5066" s="5">
        <v>35</v>
      </c>
    </row>
    <row r="5067" spans="1:19" ht="70" x14ac:dyDescent="0.15">
      <c r="A5067" s="2">
        <f>HYPERLINK("https://open-school.uspishnemisto.com.ua/school/230584/", 230584)</f>
        <v>230584</v>
      </c>
      <c r="B5067" s="3" t="s">
        <v>26793</v>
      </c>
      <c r="C5067" s="3" t="s">
        <v>54</v>
      </c>
      <c r="D5067" s="3" t="s">
        <v>175</v>
      </c>
      <c r="E5067" s="4" t="s">
        <v>22</v>
      </c>
      <c r="F5067" s="4" t="s">
        <v>26794</v>
      </c>
      <c r="G5067" s="4" t="s">
        <v>26795</v>
      </c>
      <c r="H5067" s="3" t="s">
        <v>23629</v>
      </c>
      <c r="I5067" s="3" t="s">
        <v>26796</v>
      </c>
      <c r="J5067" s="3" t="s">
        <v>26797</v>
      </c>
      <c r="K5067" s="3" t="s">
        <v>26798</v>
      </c>
      <c r="L5067" s="3" t="s">
        <v>26799</v>
      </c>
      <c r="M5067" s="4"/>
      <c r="N5067" s="3"/>
      <c r="O5067" s="3"/>
      <c r="P5067" s="5">
        <v>0</v>
      </c>
      <c r="Q5067" s="5">
        <v>0</v>
      </c>
      <c r="R5067" s="5"/>
      <c r="S5067" s="5"/>
    </row>
    <row r="5068" spans="1:19" ht="28" x14ac:dyDescent="0.15">
      <c r="A5068" s="2">
        <f>HYPERLINK("https://open-school.uspishnemisto.com.ua/school/230585/", 230585)</f>
        <v>230585</v>
      </c>
      <c r="B5068" s="3" t="s">
        <v>26800</v>
      </c>
      <c r="C5068" s="3" t="s">
        <v>54</v>
      </c>
      <c r="D5068" s="3" t="s">
        <v>175</v>
      </c>
      <c r="E5068" s="4" t="s">
        <v>22</v>
      </c>
      <c r="F5068" s="4" t="s">
        <v>26801</v>
      </c>
      <c r="G5068" s="4" t="s">
        <v>26802</v>
      </c>
      <c r="H5068" s="3" t="s">
        <v>23629</v>
      </c>
      <c r="I5068" s="3" t="s">
        <v>26803</v>
      </c>
      <c r="J5068" s="3" t="s">
        <v>3683</v>
      </c>
      <c r="K5068" s="3" t="s">
        <v>26804</v>
      </c>
      <c r="L5068" s="3"/>
      <c r="M5068" s="4"/>
      <c r="N5068" s="3" t="s">
        <v>37</v>
      </c>
      <c r="O5068" s="3" t="s">
        <v>38</v>
      </c>
      <c r="P5068" s="5">
        <v>7</v>
      </c>
      <c r="Q5068" s="5">
        <v>57</v>
      </c>
      <c r="R5068" s="5">
        <v>7</v>
      </c>
      <c r="S5068" s="5">
        <v>62</v>
      </c>
    </row>
    <row r="5069" spans="1:19" ht="42" x14ac:dyDescent="0.15">
      <c r="A5069" s="2">
        <f>HYPERLINK("https://open-school.uspishnemisto.com.ua/school/260001/", 260001)</f>
        <v>260001</v>
      </c>
      <c r="B5069" s="3" t="s">
        <v>26805</v>
      </c>
      <c r="C5069" s="3" t="s">
        <v>31</v>
      </c>
      <c r="D5069" s="3" t="s">
        <v>32</v>
      </c>
      <c r="E5069" s="4" t="s">
        <v>22</v>
      </c>
      <c r="F5069" s="4" t="s">
        <v>26806</v>
      </c>
      <c r="G5069" s="4" t="s">
        <v>26807</v>
      </c>
      <c r="H5069" s="3" t="s">
        <v>26808</v>
      </c>
      <c r="I5069" s="3" t="s">
        <v>26809</v>
      </c>
      <c r="J5069" s="3" t="s">
        <v>26810</v>
      </c>
      <c r="K5069" s="3" t="s">
        <v>26811</v>
      </c>
      <c r="L5069" s="3"/>
      <c r="M5069" s="4"/>
      <c r="N5069" s="3" t="s">
        <v>26812</v>
      </c>
      <c r="O5069" s="3" t="s">
        <v>266</v>
      </c>
      <c r="P5069" s="5">
        <v>40</v>
      </c>
      <c r="Q5069" s="5">
        <v>907</v>
      </c>
      <c r="R5069" s="5">
        <v>40</v>
      </c>
      <c r="S5069" s="5">
        <v>888</v>
      </c>
    </row>
    <row r="5070" spans="1:19" ht="42" x14ac:dyDescent="0.15">
      <c r="A5070" s="2">
        <f>HYPERLINK("https://open-school.uspishnemisto.com.ua/school/260002/", 260002)</f>
        <v>260002</v>
      </c>
      <c r="B5070" s="3" t="s">
        <v>26813</v>
      </c>
      <c r="C5070" s="3" t="s">
        <v>31</v>
      </c>
      <c r="D5070" s="3" t="s">
        <v>32</v>
      </c>
      <c r="E5070" s="4" t="s">
        <v>22</v>
      </c>
      <c r="F5070" s="4" t="s">
        <v>26814</v>
      </c>
      <c r="G5070" s="4" t="s">
        <v>26807</v>
      </c>
      <c r="H5070" s="3" t="s">
        <v>26808</v>
      </c>
      <c r="I5070" s="3" t="s">
        <v>26809</v>
      </c>
      <c r="J5070" s="3" t="s">
        <v>26815</v>
      </c>
      <c r="K5070" s="3" t="s">
        <v>26816</v>
      </c>
      <c r="L5070" s="3"/>
      <c r="M5070" s="4"/>
      <c r="N5070" s="3" t="s">
        <v>37</v>
      </c>
      <c r="O5070" s="3" t="s">
        <v>46</v>
      </c>
      <c r="P5070" s="5">
        <v>52</v>
      </c>
      <c r="Q5070" s="5">
        <v>1487</v>
      </c>
      <c r="R5070" s="5">
        <v>51</v>
      </c>
      <c r="S5070" s="5">
        <v>1445</v>
      </c>
    </row>
    <row r="5071" spans="1:19" ht="42" x14ac:dyDescent="0.15">
      <c r="A5071" s="2">
        <f>HYPERLINK("https://open-school.uspishnemisto.com.ua/school/260003/", 260003)</f>
        <v>260003</v>
      </c>
      <c r="B5071" s="3" t="s">
        <v>26817</v>
      </c>
      <c r="C5071" s="3" t="s">
        <v>54</v>
      </c>
      <c r="D5071" s="3" t="s">
        <v>60</v>
      </c>
      <c r="E5071" s="4" t="s">
        <v>22</v>
      </c>
      <c r="F5071" s="4" t="s">
        <v>26818</v>
      </c>
      <c r="G5071" s="4" t="s">
        <v>26807</v>
      </c>
      <c r="H5071" s="3" t="s">
        <v>26808</v>
      </c>
      <c r="I5071" s="3" t="s">
        <v>26809</v>
      </c>
      <c r="J5071" s="3" t="s">
        <v>26819</v>
      </c>
      <c r="K5071" s="3" t="s">
        <v>26820</v>
      </c>
      <c r="L5071" s="3"/>
      <c r="M5071" s="4"/>
      <c r="N5071" s="3" t="s">
        <v>37</v>
      </c>
      <c r="O5071" s="3" t="s">
        <v>52</v>
      </c>
      <c r="P5071" s="5">
        <v>3</v>
      </c>
      <c r="Q5071" s="5">
        <v>74</v>
      </c>
      <c r="R5071" s="5">
        <v>4</v>
      </c>
      <c r="S5071" s="5">
        <v>99</v>
      </c>
    </row>
    <row r="5072" spans="1:19" ht="42" x14ac:dyDescent="0.15">
      <c r="A5072" s="2">
        <f>HYPERLINK("https://open-school.uspishnemisto.com.ua/school/260004/", 260004)</f>
        <v>260004</v>
      </c>
      <c r="B5072" s="3" t="s">
        <v>26821</v>
      </c>
      <c r="C5072" s="3" t="s">
        <v>31</v>
      </c>
      <c r="D5072" s="3" t="s">
        <v>60</v>
      </c>
      <c r="E5072" s="4" t="s">
        <v>22</v>
      </c>
      <c r="F5072" s="4" t="s">
        <v>26822</v>
      </c>
      <c r="G5072" s="4" t="s">
        <v>26807</v>
      </c>
      <c r="H5072" s="3" t="s">
        <v>26808</v>
      </c>
      <c r="I5072" s="3" t="s">
        <v>26809</v>
      </c>
      <c r="J5072" s="3" t="s">
        <v>26823</v>
      </c>
      <c r="K5072" s="3" t="s">
        <v>26824</v>
      </c>
      <c r="L5072" s="3"/>
      <c r="M5072" s="4"/>
      <c r="N5072" s="3" t="s">
        <v>37</v>
      </c>
      <c r="O5072" s="3" t="s">
        <v>52</v>
      </c>
      <c r="P5072" s="5">
        <v>9</v>
      </c>
      <c r="Q5072" s="5">
        <v>247</v>
      </c>
      <c r="R5072" s="5">
        <v>8</v>
      </c>
      <c r="S5072" s="5">
        <v>220</v>
      </c>
    </row>
    <row r="5073" spans="1:19" ht="42" x14ac:dyDescent="0.15">
      <c r="A5073" s="2">
        <f>HYPERLINK("https://open-school.uspishnemisto.com.ua/school/260005/", 260005)</f>
        <v>260005</v>
      </c>
      <c r="B5073" s="3" t="s">
        <v>26825</v>
      </c>
      <c r="C5073" s="3" t="s">
        <v>31</v>
      </c>
      <c r="D5073" s="3" t="s">
        <v>32</v>
      </c>
      <c r="E5073" s="4" t="s">
        <v>22</v>
      </c>
      <c r="F5073" s="4" t="s">
        <v>26822</v>
      </c>
      <c r="G5073" s="4" t="s">
        <v>26807</v>
      </c>
      <c r="H5073" s="3" t="s">
        <v>26808</v>
      </c>
      <c r="I5073" s="3" t="s">
        <v>26809</v>
      </c>
      <c r="J5073" s="3" t="s">
        <v>26826</v>
      </c>
      <c r="K5073" s="3" t="s">
        <v>26827</v>
      </c>
      <c r="L5073" s="3"/>
      <c r="M5073" s="4" t="s">
        <v>26828</v>
      </c>
      <c r="N5073" s="3" t="s">
        <v>37</v>
      </c>
      <c r="O5073" s="3" t="s">
        <v>46</v>
      </c>
      <c r="P5073" s="5">
        <v>57</v>
      </c>
      <c r="Q5073" s="5">
        <v>1575</v>
      </c>
      <c r="R5073" s="5">
        <v>56</v>
      </c>
      <c r="S5073" s="5">
        <v>1564</v>
      </c>
    </row>
    <row r="5074" spans="1:19" ht="42" x14ac:dyDescent="0.15">
      <c r="A5074" s="2">
        <f>HYPERLINK("https://open-school.uspishnemisto.com.ua/school/260006/", 260006)</f>
        <v>260006</v>
      </c>
      <c r="B5074" s="3" t="s">
        <v>26829</v>
      </c>
      <c r="C5074" s="3" t="s">
        <v>20</v>
      </c>
      <c r="D5074" s="3" t="s">
        <v>21</v>
      </c>
      <c r="E5074" s="4" t="s">
        <v>22</v>
      </c>
      <c r="F5074" s="4" t="s">
        <v>26830</v>
      </c>
      <c r="G5074" s="4" t="s">
        <v>26807</v>
      </c>
      <c r="H5074" s="3" t="s">
        <v>26808</v>
      </c>
      <c r="I5074" s="3" t="s">
        <v>26809</v>
      </c>
      <c r="J5074" s="3" t="s">
        <v>26831</v>
      </c>
      <c r="K5074" s="3" t="s">
        <v>26832</v>
      </c>
      <c r="L5074" s="3"/>
      <c r="M5074" s="4" t="s">
        <v>26833</v>
      </c>
      <c r="N5074" s="3"/>
      <c r="O5074" s="3"/>
      <c r="P5074" s="5">
        <v>0</v>
      </c>
      <c r="Q5074" s="5">
        <v>0</v>
      </c>
      <c r="R5074" s="5"/>
      <c r="S5074" s="5"/>
    </row>
    <row r="5075" spans="1:19" ht="42" x14ac:dyDescent="0.15">
      <c r="A5075" s="2">
        <f>HYPERLINK("https://open-school.uspishnemisto.com.ua/school/260007/", 260007)</f>
        <v>260007</v>
      </c>
      <c r="B5075" s="3" t="s">
        <v>26834</v>
      </c>
      <c r="C5075" s="3" t="s">
        <v>40</v>
      </c>
      <c r="D5075" s="3" t="s">
        <v>32</v>
      </c>
      <c r="E5075" s="4" t="s">
        <v>22</v>
      </c>
      <c r="F5075" s="4" t="s">
        <v>26835</v>
      </c>
      <c r="G5075" s="4" t="s">
        <v>26807</v>
      </c>
      <c r="H5075" s="3" t="s">
        <v>26808</v>
      </c>
      <c r="I5075" s="3" t="s">
        <v>26809</v>
      </c>
      <c r="J5075" s="3" t="s">
        <v>26836</v>
      </c>
      <c r="K5075" s="3" t="s">
        <v>26837</v>
      </c>
      <c r="L5075" s="3"/>
      <c r="M5075" s="4" t="s">
        <v>26838</v>
      </c>
      <c r="N5075" s="3" t="s">
        <v>37</v>
      </c>
      <c r="O5075" s="3" t="s">
        <v>123</v>
      </c>
      <c r="P5075" s="5">
        <v>17</v>
      </c>
      <c r="Q5075" s="5">
        <v>460</v>
      </c>
      <c r="R5075" s="5">
        <v>17</v>
      </c>
      <c r="S5075" s="5">
        <v>451</v>
      </c>
    </row>
    <row r="5076" spans="1:19" ht="42" x14ac:dyDescent="0.15">
      <c r="A5076" s="2">
        <f>HYPERLINK("https://open-school.uspishnemisto.com.ua/school/260008/", 260008)</f>
        <v>260008</v>
      </c>
      <c r="B5076" s="3" t="s">
        <v>26839</v>
      </c>
      <c r="C5076" s="3" t="s">
        <v>31</v>
      </c>
      <c r="D5076" s="3" t="s">
        <v>60</v>
      </c>
      <c r="E5076" s="4" t="s">
        <v>22</v>
      </c>
      <c r="F5076" s="4" t="s">
        <v>26840</v>
      </c>
      <c r="G5076" s="4" t="s">
        <v>26807</v>
      </c>
      <c r="H5076" s="3" t="s">
        <v>26808</v>
      </c>
      <c r="I5076" s="3" t="s">
        <v>26809</v>
      </c>
      <c r="J5076" s="3" t="s">
        <v>26841</v>
      </c>
      <c r="K5076" s="3"/>
      <c r="L5076" s="3"/>
      <c r="M5076" s="4"/>
      <c r="N5076" s="3" t="s">
        <v>37</v>
      </c>
      <c r="O5076" s="3" t="s">
        <v>52</v>
      </c>
      <c r="P5076" s="5">
        <v>12</v>
      </c>
      <c r="Q5076" s="5">
        <v>352</v>
      </c>
      <c r="R5076" s="5">
        <v>12</v>
      </c>
      <c r="S5076" s="5">
        <v>336</v>
      </c>
    </row>
    <row r="5077" spans="1:19" ht="42" x14ac:dyDescent="0.15">
      <c r="A5077" s="2">
        <f>HYPERLINK("https://open-school.uspishnemisto.com.ua/school/260009/", 260009)</f>
        <v>260009</v>
      </c>
      <c r="B5077" s="3" t="s">
        <v>26842</v>
      </c>
      <c r="C5077" s="3" t="s">
        <v>31</v>
      </c>
      <c r="D5077" s="3" t="s">
        <v>60</v>
      </c>
      <c r="E5077" s="4" t="s">
        <v>22</v>
      </c>
      <c r="F5077" s="4" t="s">
        <v>26843</v>
      </c>
      <c r="G5077" s="4" t="s">
        <v>26807</v>
      </c>
      <c r="H5077" s="3" t="s">
        <v>26808</v>
      </c>
      <c r="I5077" s="3" t="s">
        <v>26809</v>
      </c>
      <c r="J5077" s="3" t="s">
        <v>26844</v>
      </c>
      <c r="K5077" s="3" t="s">
        <v>26845</v>
      </c>
      <c r="L5077" s="3"/>
      <c r="M5077" s="4" t="s">
        <v>26846</v>
      </c>
      <c r="N5077" s="3" t="s">
        <v>37</v>
      </c>
      <c r="O5077" s="3" t="s">
        <v>52</v>
      </c>
      <c r="P5077" s="5">
        <v>12</v>
      </c>
      <c r="Q5077" s="5">
        <v>378</v>
      </c>
      <c r="R5077" s="5">
        <v>12</v>
      </c>
      <c r="S5077" s="5">
        <v>372</v>
      </c>
    </row>
    <row r="5078" spans="1:19" ht="42" x14ac:dyDescent="0.15">
      <c r="A5078" s="2">
        <f>HYPERLINK("https://open-school.uspishnemisto.com.ua/school/260010/", 260010)</f>
        <v>260010</v>
      </c>
      <c r="B5078" s="3" t="s">
        <v>26847</v>
      </c>
      <c r="C5078" s="3" t="s">
        <v>31</v>
      </c>
      <c r="D5078" s="3" t="s">
        <v>32</v>
      </c>
      <c r="E5078" s="4" t="s">
        <v>22</v>
      </c>
      <c r="F5078" s="4" t="s">
        <v>26818</v>
      </c>
      <c r="G5078" s="4" t="s">
        <v>26807</v>
      </c>
      <c r="H5078" s="3" t="s">
        <v>26808</v>
      </c>
      <c r="I5078" s="3" t="s">
        <v>26809</v>
      </c>
      <c r="J5078" s="3" t="s">
        <v>26848</v>
      </c>
      <c r="K5078" s="3" t="s">
        <v>26849</v>
      </c>
      <c r="L5078" s="3"/>
      <c r="M5078" s="4"/>
      <c r="N5078" s="3" t="s">
        <v>37</v>
      </c>
      <c r="O5078" s="3" t="s">
        <v>46</v>
      </c>
      <c r="P5078" s="5">
        <v>26</v>
      </c>
      <c r="Q5078" s="5">
        <v>717</v>
      </c>
      <c r="R5078" s="5">
        <v>25</v>
      </c>
      <c r="S5078" s="5">
        <v>688</v>
      </c>
    </row>
    <row r="5079" spans="1:19" ht="42" x14ac:dyDescent="0.15">
      <c r="A5079" s="2">
        <f>HYPERLINK("https://open-school.uspishnemisto.com.ua/school/260011/", 260011)</f>
        <v>260011</v>
      </c>
      <c r="B5079" s="3" t="s">
        <v>26850</v>
      </c>
      <c r="C5079" s="3" t="s">
        <v>31</v>
      </c>
      <c r="D5079" s="3" t="s">
        <v>32</v>
      </c>
      <c r="E5079" s="4" t="s">
        <v>22</v>
      </c>
      <c r="F5079" s="4" t="s">
        <v>26851</v>
      </c>
      <c r="G5079" s="4" t="s">
        <v>26807</v>
      </c>
      <c r="H5079" s="3" t="s">
        <v>26808</v>
      </c>
      <c r="I5079" s="3" t="s">
        <v>26809</v>
      </c>
      <c r="J5079" s="3" t="s">
        <v>26852</v>
      </c>
      <c r="K5079" s="3" t="s">
        <v>26853</v>
      </c>
      <c r="L5079" s="3"/>
      <c r="M5079" s="4" t="s">
        <v>26854</v>
      </c>
      <c r="N5079" s="3" t="s">
        <v>37</v>
      </c>
      <c r="O5079" s="3" t="s">
        <v>46</v>
      </c>
      <c r="P5079" s="5">
        <v>22</v>
      </c>
      <c r="Q5079" s="5">
        <v>589</v>
      </c>
      <c r="R5079" s="5">
        <v>20</v>
      </c>
      <c r="S5079" s="5">
        <v>519</v>
      </c>
    </row>
    <row r="5080" spans="1:19" ht="42" x14ac:dyDescent="0.15">
      <c r="A5080" s="2">
        <f>HYPERLINK("https://open-school.uspishnemisto.com.ua/school/260012/", 260012)</f>
        <v>260012</v>
      </c>
      <c r="B5080" s="3" t="s">
        <v>26855</v>
      </c>
      <c r="C5080" s="3" t="s">
        <v>31</v>
      </c>
      <c r="D5080" s="3" t="s">
        <v>32</v>
      </c>
      <c r="E5080" s="4" t="s">
        <v>22</v>
      </c>
      <c r="F5080" s="4" t="s">
        <v>26856</v>
      </c>
      <c r="G5080" s="4" t="s">
        <v>26807</v>
      </c>
      <c r="H5080" s="3" t="s">
        <v>26808</v>
      </c>
      <c r="I5080" s="3" t="s">
        <v>26809</v>
      </c>
      <c r="J5080" s="3" t="s">
        <v>26857</v>
      </c>
      <c r="K5080" s="3" t="s">
        <v>26858</v>
      </c>
      <c r="L5080" s="3"/>
      <c r="M5080" s="4"/>
      <c r="N5080" s="3" t="s">
        <v>37</v>
      </c>
      <c r="O5080" s="3" t="s">
        <v>52</v>
      </c>
      <c r="P5080" s="5">
        <v>28</v>
      </c>
      <c r="Q5080" s="5">
        <v>724</v>
      </c>
      <c r="R5080" s="5">
        <v>28</v>
      </c>
      <c r="S5080" s="5">
        <v>699</v>
      </c>
    </row>
    <row r="5081" spans="1:19" ht="42" x14ac:dyDescent="0.15">
      <c r="A5081" s="2">
        <f>HYPERLINK("https://open-school.uspishnemisto.com.ua/school/260013/", 260013)</f>
        <v>260013</v>
      </c>
      <c r="B5081" s="3" t="s">
        <v>26859</v>
      </c>
      <c r="C5081" s="3" t="s">
        <v>31</v>
      </c>
      <c r="D5081" s="3" t="s">
        <v>32</v>
      </c>
      <c r="E5081" s="4" t="s">
        <v>22</v>
      </c>
      <c r="F5081" s="4" t="s">
        <v>26851</v>
      </c>
      <c r="G5081" s="4" t="s">
        <v>26807</v>
      </c>
      <c r="H5081" s="3" t="s">
        <v>26808</v>
      </c>
      <c r="I5081" s="3" t="s">
        <v>26809</v>
      </c>
      <c r="J5081" s="3" t="s">
        <v>26860</v>
      </c>
      <c r="K5081" s="3" t="s">
        <v>26861</v>
      </c>
      <c r="L5081" s="3"/>
      <c r="M5081" s="4"/>
      <c r="N5081" s="3" t="s">
        <v>37</v>
      </c>
      <c r="O5081" s="3" t="s">
        <v>46</v>
      </c>
      <c r="P5081" s="5">
        <v>46</v>
      </c>
      <c r="Q5081" s="5">
        <v>1339</v>
      </c>
      <c r="R5081" s="5">
        <v>42</v>
      </c>
      <c r="S5081" s="5">
        <v>1244</v>
      </c>
    </row>
    <row r="5082" spans="1:19" ht="42" x14ac:dyDescent="0.15">
      <c r="A5082" s="2">
        <f>HYPERLINK("https://open-school.uspishnemisto.com.ua/school/260014/", 260014)</f>
        <v>260014</v>
      </c>
      <c r="B5082" s="3" t="s">
        <v>26862</v>
      </c>
      <c r="C5082" s="3" t="s">
        <v>31</v>
      </c>
      <c r="D5082" s="3" t="s">
        <v>32</v>
      </c>
      <c r="E5082" s="4" t="s">
        <v>22</v>
      </c>
      <c r="F5082" s="4" t="s">
        <v>26806</v>
      </c>
      <c r="G5082" s="4" t="s">
        <v>26807</v>
      </c>
      <c r="H5082" s="3" t="s">
        <v>26808</v>
      </c>
      <c r="I5082" s="3" t="s">
        <v>26809</v>
      </c>
      <c r="J5082" s="3" t="s">
        <v>22257</v>
      </c>
      <c r="K5082" s="3" t="s">
        <v>26863</v>
      </c>
      <c r="L5082" s="3"/>
      <c r="M5082" s="4"/>
      <c r="N5082" s="3" t="s">
        <v>37</v>
      </c>
      <c r="O5082" s="3" t="s">
        <v>46</v>
      </c>
      <c r="P5082" s="5">
        <v>19</v>
      </c>
      <c r="Q5082" s="5">
        <v>505</v>
      </c>
      <c r="R5082" s="5">
        <v>19</v>
      </c>
      <c r="S5082" s="5">
        <v>455</v>
      </c>
    </row>
    <row r="5083" spans="1:19" ht="42" x14ac:dyDescent="0.15">
      <c r="A5083" s="2">
        <f>HYPERLINK("https://open-school.uspishnemisto.com.ua/school/260015/", 260015)</f>
        <v>260015</v>
      </c>
      <c r="B5083" s="3" t="s">
        <v>26864</v>
      </c>
      <c r="C5083" s="3" t="s">
        <v>31</v>
      </c>
      <c r="D5083" s="3" t="s">
        <v>32</v>
      </c>
      <c r="E5083" s="4" t="s">
        <v>22</v>
      </c>
      <c r="F5083" s="4" t="s">
        <v>26851</v>
      </c>
      <c r="G5083" s="4" t="s">
        <v>26807</v>
      </c>
      <c r="H5083" s="3" t="s">
        <v>26808</v>
      </c>
      <c r="I5083" s="3" t="s">
        <v>26809</v>
      </c>
      <c r="J5083" s="3" t="s">
        <v>26865</v>
      </c>
      <c r="K5083" s="3" t="s">
        <v>26866</v>
      </c>
      <c r="L5083" s="3"/>
      <c r="M5083" s="4"/>
      <c r="N5083" s="3" t="s">
        <v>37</v>
      </c>
      <c r="O5083" s="3" t="s">
        <v>52</v>
      </c>
      <c r="P5083" s="5">
        <v>45</v>
      </c>
      <c r="Q5083" s="5">
        <v>1285</v>
      </c>
      <c r="R5083" s="5">
        <v>45</v>
      </c>
      <c r="S5083" s="5">
        <v>1241</v>
      </c>
    </row>
    <row r="5084" spans="1:19" ht="42" x14ac:dyDescent="0.15">
      <c r="A5084" s="2">
        <f>HYPERLINK("https://open-school.uspishnemisto.com.ua/school/260016/", 260016)</f>
        <v>260016</v>
      </c>
      <c r="B5084" s="3" t="s">
        <v>26867</v>
      </c>
      <c r="C5084" s="3" t="s">
        <v>31</v>
      </c>
      <c r="D5084" s="3" t="s">
        <v>32</v>
      </c>
      <c r="E5084" s="4" t="s">
        <v>22</v>
      </c>
      <c r="F5084" s="4" t="s">
        <v>26835</v>
      </c>
      <c r="G5084" s="4" t="s">
        <v>26807</v>
      </c>
      <c r="H5084" s="3" t="s">
        <v>26808</v>
      </c>
      <c r="I5084" s="3" t="s">
        <v>26809</v>
      </c>
      <c r="J5084" s="3" t="s">
        <v>26868</v>
      </c>
      <c r="K5084" s="3" t="s">
        <v>26869</v>
      </c>
      <c r="L5084" s="3" t="s">
        <v>26870</v>
      </c>
      <c r="M5084" s="4"/>
      <c r="N5084" s="3" t="s">
        <v>37</v>
      </c>
      <c r="O5084" s="3" t="s">
        <v>46</v>
      </c>
      <c r="P5084" s="5">
        <v>29</v>
      </c>
      <c r="Q5084" s="5">
        <v>771</v>
      </c>
      <c r="R5084" s="5">
        <v>29</v>
      </c>
      <c r="S5084" s="5">
        <v>769</v>
      </c>
    </row>
    <row r="5085" spans="1:19" ht="42" x14ac:dyDescent="0.15">
      <c r="A5085" s="2">
        <f>HYPERLINK("https://open-school.uspishnemisto.com.ua/school/260017/", 260017)</f>
        <v>260017</v>
      </c>
      <c r="B5085" s="3" t="s">
        <v>26871</v>
      </c>
      <c r="C5085" s="3" t="s">
        <v>31</v>
      </c>
      <c r="D5085" s="3" t="s">
        <v>32</v>
      </c>
      <c r="E5085" s="4" t="s">
        <v>22</v>
      </c>
      <c r="F5085" s="4" t="s">
        <v>26856</v>
      </c>
      <c r="G5085" s="4" t="s">
        <v>26807</v>
      </c>
      <c r="H5085" s="3" t="s">
        <v>26808</v>
      </c>
      <c r="I5085" s="3" t="s">
        <v>26809</v>
      </c>
      <c r="J5085" s="3" t="s">
        <v>26872</v>
      </c>
      <c r="K5085" s="3" t="s">
        <v>26873</v>
      </c>
      <c r="L5085" s="3"/>
      <c r="M5085" s="4"/>
      <c r="N5085" s="3" t="s">
        <v>37</v>
      </c>
      <c r="O5085" s="3" t="s">
        <v>46</v>
      </c>
      <c r="P5085" s="5">
        <v>36</v>
      </c>
      <c r="Q5085" s="5">
        <v>1049</v>
      </c>
      <c r="R5085" s="5">
        <v>34</v>
      </c>
      <c r="S5085" s="5">
        <v>1015</v>
      </c>
    </row>
    <row r="5086" spans="1:19" ht="42" x14ac:dyDescent="0.15">
      <c r="A5086" s="2">
        <f>HYPERLINK("https://open-school.uspishnemisto.com.ua/school/260018/", 260018)</f>
        <v>260018</v>
      </c>
      <c r="B5086" s="3" t="s">
        <v>26874</v>
      </c>
      <c r="C5086" s="3" t="s">
        <v>31</v>
      </c>
      <c r="D5086" s="3" t="s">
        <v>32</v>
      </c>
      <c r="E5086" s="4" t="s">
        <v>22</v>
      </c>
      <c r="F5086" s="4" t="s">
        <v>26818</v>
      </c>
      <c r="G5086" s="4" t="s">
        <v>26807</v>
      </c>
      <c r="H5086" s="3" t="s">
        <v>26808</v>
      </c>
      <c r="I5086" s="3" t="s">
        <v>26809</v>
      </c>
      <c r="J5086" s="3" t="s">
        <v>26875</v>
      </c>
      <c r="K5086" s="3" t="s">
        <v>26876</v>
      </c>
      <c r="L5086" s="3"/>
      <c r="M5086" s="4" t="s">
        <v>26877</v>
      </c>
      <c r="N5086" s="3" t="s">
        <v>37</v>
      </c>
      <c r="O5086" s="3" t="s">
        <v>46</v>
      </c>
      <c r="P5086" s="5">
        <v>18</v>
      </c>
      <c r="Q5086" s="5">
        <v>376</v>
      </c>
      <c r="R5086" s="5">
        <v>17</v>
      </c>
      <c r="S5086" s="5">
        <v>361</v>
      </c>
    </row>
    <row r="5087" spans="1:19" ht="42" x14ac:dyDescent="0.15">
      <c r="A5087" s="2">
        <f>HYPERLINK("https://open-school.uspishnemisto.com.ua/school/260019/", 260019)</f>
        <v>260019</v>
      </c>
      <c r="B5087" s="3" t="s">
        <v>26878</v>
      </c>
      <c r="C5087" s="3" t="s">
        <v>31</v>
      </c>
      <c r="D5087" s="3" t="s">
        <v>32</v>
      </c>
      <c r="E5087" s="4" t="s">
        <v>22</v>
      </c>
      <c r="F5087" s="4" t="s">
        <v>26835</v>
      </c>
      <c r="G5087" s="4" t="s">
        <v>26807</v>
      </c>
      <c r="H5087" s="3" t="s">
        <v>26808</v>
      </c>
      <c r="I5087" s="3" t="s">
        <v>26809</v>
      </c>
      <c r="J5087" s="3" t="s">
        <v>26879</v>
      </c>
      <c r="K5087" s="3" t="s">
        <v>26880</v>
      </c>
      <c r="L5087" s="3"/>
      <c r="M5087" s="4"/>
      <c r="N5087" s="3" t="s">
        <v>37</v>
      </c>
      <c r="O5087" s="3" t="s">
        <v>52</v>
      </c>
      <c r="P5087" s="5">
        <v>35</v>
      </c>
      <c r="Q5087" s="5">
        <v>1039</v>
      </c>
      <c r="R5087" s="5">
        <v>35</v>
      </c>
      <c r="S5087" s="5">
        <v>1017</v>
      </c>
    </row>
    <row r="5088" spans="1:19" ht="42" x14ac:dyDescent="0.15">
      <c r="A5088" s="2">
        <f>HYPERLINK("https://open-school.uspishnemisto.com.ua/school/260020/", 260020)</f>
        <v>260020</v>
      </c>
      <c r="B5088" s="3" t="s">
        <v>26881</v>
      </c>
      <c r="C5088" s="3" t="s">
        <v>31</v>
      </c>
      <c r="D5088" s="3" t="s">
        <v>32</v>
      </c>
      <c r="E5088" s="4" t="s">
        <v>22</v>
      </c>
      <c r="F5088" s="4" t="s">
        <v>26814</v>
      </c>
      <c r="G5088" s="4" t="s">
        <v>26807</v>
      </c>
      <c r="H5088" s="3" t="s">
        <v>26808</v>
      </c>
      <c r="I5088" s="3" t="s">
        <v>26809</v>
      </c>
      <c r="J5088" s="3" t="s">
        <v>26882</v>
      </c>
      <c r="K5088" s="3" t="s">
        <v>26883</v>
      </c>
      <c r="L5088" s="3" t="s">
        <v>26884</v>
      </c>
      <c r="M5088" s="4"/>
      <c r="N5088" s="3" t="s">
        <v>37</v>
      </c>
      <c r="O5088" s="3" t="s">
        <v>237</v>
      </c>
      <c r="P5088" s="5">
        <v>36</v>
      </c>
      <c r="Q5088" s="5">
        <v>1056</v>
      </c>
      <c r="R5088" s="5">
        <v>33</v>
      </c>
      <c r="S5088" s="5">
        <v>938</v>
      </c>
    </row>
    <row r="5089" spans="1:19" ht="42" x14ac:dyDescent="0.15">
      <c r="A5089" s="2">
        <f>HYPERLINK("https://open-school.uspishnemisto.com.ua/school/260021/", 260021)</f>
        <v>260021</v>
      </c>
      <c r="B5089" s="3" t="s">
        <v>26885</v>
      </c>
      <c r="C5089" s="3" t="s">
        <v>31</v>
      </c>
      <c r="D5089" s="3" t="s">
        <v>32</v>
      </c>
      <c r="E5089" s="4" t="s">
        <v>22</v>
      </c>
      <c r="F5089" s="4" t="s">
        <v>26886</v>
      </c>
      <c r="G5089" s="4" t="s">
        <v>26807</v>
      </c>
      <c r="H5089" s="3" t="s">
        <v>26808</v>
      </c>
      <c r="I5089" s="3" t="s">
        <v>26809</v>
      </c>
      <c r="J5089" s="3" t="s">
        <v>26887</v>
      </c>
      <c r="K5089" s="3" t="s">
        <v>26888</v>
      </c>
      <c r="L5089" s="3"/>
      <c r="M5089" s="4" t="s">
        <v>26889</v>
      </c>
      <c r="N5089" s="3" t="s">
        <v>37</v>
      </c>
      <c r="O5089" s="3" t="s">
        <v>46</v>
      </c>
      <c r="P5089" s="5">
        <v>29</v>
      </c>
      <c r="Q5089" s="5">
        <v>841</v>
      </c>
      <c r="R5089" s="5">
        <v>27</v>
      </c>
      <c r="S5089" s="5">
        <v>766</v>
      </c>
    </row>
    <row r="5090" spans="1:19" ht="42" x14ac:dyDescent="0.15">
      <c r="A5090" s="2">
        <f>HYPERLINK("https://open-school.uspishnemisto.com.ua/school/260022/", 260022)</f>
        <v>260022</v>
      </c>
      <c r="B5090" s="3" t="s">
        <v>26890</v>
      </c>
      <c r="C5090" s="3" t="s">
        <v>31</v>
      </c>
      <c r="D5090" s="3" t="s">
        <v>32</v>
      </c>
      <c r="E5090" s="4" t="s">
        <v>22</v>
      </c>
      <c r="F5090" s="4" t="s">
        <v>26891</v>
      </c>
      <c r="G5090" s="4" t="s">
        <v>26807</v>
      </c>
      <c r="H5090" s="3" t="s">
        <v>26808</v>
      </c>
      <c r="I5090" s="3" t="s">
        <v>26809</v>
      </c>
      <c r="J5090" s="3" t="s">
        <v>26892</v>
      </c>
      <c r="K5090" s="3" t="s">
        <v>26893</v>
      </c>
      <c r="L5090" s="3" t="s">
        <v>26894</v>
      </c>
      <c r="M5090" s="4"/>
      <c r="N5090" s="3" t="s">
        <v>37</v>
      </c>
      <c r="O5090" s="3" t="s">
        <v>52</v>
      </c>
      <c r="P5090" s="5">
        <v>22</v>
      </c>
      <c r="Q5090" s="5">
        <v>592</v>
      </c>
      <c r="R5090" s="5">
        <v>22</v>
      </c>
      <c r="S5090" s="5">
        <v>580</v>
      </c>
    </row>
    <row r="5091" spans="1:19" ht="42" x14ac:dyDescent="0.15">
      <c r="A5091" s="2">
        <f>HYPERLINK("https://open-school.uspishnemisto.com.ua/school/260023/", 260023)</f>
        <v>260023</v>
      </c>
      <c r="B5091" s="3" t="s">
        <v>26895</v>
      </c>
      <c r="C5091" s="3" t="s">
        <v>31</v>
      </c>
      <c r="D5091" s="3" t="s">
        <v>32</v>
      </c>
      <c r="E5091" s="4" t="s">
        <v>22</v>
      </c>
      <c r="F5091" s="4" t="s">
        <v>26835</v>
      </c>
      <c r="G5091" s="4" t="s">
        <v>26807</v>
      </c>
      <c r="H5091" s="3" t="s">
        <v>26808</v>
      </c>
      <c r="I5091" s="3" t="s">
        <v>26809</v>
      </c>
      <c r="J5091" s="3" t="s">
        <v>26896</v>
      </c>
      <c r="K5091" s="3" t="s">
        <v>26897</v>
      </c>
      <c r="L5091" s="3"/>
      <c r="M5091" s="4"/>
      <c r="N5091" s="3" t="s">
        <v>37</v>
      </c>
      <c r="O5091" s="3" t="s">
        <v>2740</v>
      </c>
      <c r="P5091" s="5">
        <v>19</v>
      </c>
      <c r="Q5091" s="5">
        <v>439</v>
      </c>
      <c r="R5091" s="5">
        <v>18</v>
      </c>
      <c r="S5091" s="5">
        <v>423</v>
      </c>
    </row>
    <row r="5092" spans="1:19" ht="42" x14ac:dyDescent="0.15">
      <c r="A5092" s="2">
        <f>HYPERLINK("https://open-school.uspishnemisto.com.ua/school/260024/", 260024)</f>
        <v>260024</v>
      </c>
      <c r="B5092" s="3" t="s">
        <v>26898</v>
      </c>
      <c r="C5092" s="3" t="s">
        <v>31</v>
      </c>
      <c r="D5092" s="3" t="s">
        <v>21</v>
      </c>
      <c r="E5092" s="4" t="s">
        <v>22</v>
      </c>
      <c r="F5092" s="4" t="s">
        <v>26886</v>
      </c>
      <c r="G5092" s="4" t="s">
        <v>26807</v>
      </c>
      <c r="H5092" s="3" t="s">
        <v>26808</v>
      </c>
      <c r="I5092" s="3" t="s">
        <v>26809</v>
      </c>
      <c r="J5092" s="3" t="s">
        <v>26899</v>
      </c>
      <c r="K5092" s="3" t="s">
        <v>26900</v>
      </c>
      <c r="L5092" s="3" t="s">
        <v>26901</v>
      </c>
      <c r="M5092" s="4" t="s">
        <v>26902</v>
      </c>
      <c r="N5092" s="3" t="s">
        <v>37</v>
      </c>
      <c r="O5092" s="3" t="s">
        <v>46</v>
      </c>
      <c r="P5092" s="5">
        <v>16</v>
      </c>
      <c r="Q5092" s="5">
        <v>410</v>
      </c>
      <c r="R5092" s="5">
        <v>14</v>
      </c>
      <c r="S5092" s="5">
        <v>347</v>
      </c>
    </row>
    <row r="5093" spans="1:19" ht="42" x14ac:dyDescent="0.15">
      <c r="A5093" s="2">
        <f>HYPERLINK("https://open-school.uspishnemisto.com.ua/school/260025/", 260025)</f>
        <v>260025</v>
      </c>
      <c r="B5093" s="3" t="s">
        <v>26903</v>
      </c>
      <c r="C5093" s="3" t="s">
        <v>54</v>
      </c>
      <c r="D5093" s="3" t="s">
        <v>60</v>
      </c>
      <c r="E5093" s="4" t="s">
        <v>22</v>
      </c>
      <c r="F5093" s="4" t="s">
        <v>26814</v>
      </c>
      <c r="G5093" s="4" t="s">
        <v>26807</v>
      </c>
      <c r="H5093" s="3" t="s">
        <v>26808</v>
      </c>
      <c r="I5093" s="3" t="s">
        <v>26809</v>
      </c>
      <c r="J5093" s="3" t="s">
        <v>5377</v>
      </c>
      <c r="K5093" s="3" t="s">
        <v>26904</v>
      </c>
      <c r="L5093" s="3"/>
      <c r="M5093" s="4" t="s">
        <v>26905</v>
      </c>
      <c r="N5093" s="3" t="s">
        <v>37</v>
      </c>
      <c r="O5093" s="3" t="s">
        <v>52</v>
      </c>
      <c r="P5093" s="5">
        <v>9</v>
      </c>
      <c r="Q5093" s="5">
        <v>269</v>
      </c>
      <c r="R5093" s="5">
        <v>8</v>
      </c>
      <c r="S5093" s="5">
        <v>251</v>
      </c>
    </row>
    <row r="5094" spans="1:19" ht="42" x14ac:dyDescent="0.15">
      <c r="A5094" s="2">
        <f>HYPERLINK("https://open-school.uspishnemisto.com.ua/school/260026/", 260026)</f>
        <v>260026</v>
      </c>
      <c r="B5094" s="3" t="s">
        <v>26906</v>
      </c>
      <c r="C5094" s="3" t="s">
        <v>54</v>
      </c>
      <c r="D5094" s="3" t="s">
        <v>60</v>
      </c>
      <c r="E5094" s="4" t="s">
        <v>22</v>
      </c>
      <c r="F5094" s="4" t="s">
        <v>26907</v>
      </c>
      <c r="G5094" s="4" t="s">
        <v>26807</v>
      </c>
      <c r="H5094" s="3" t="s">
        <v>26808</v>
      </c>
      <c r="I5094" s="3" t="s">
        <v>26809</v>
      </c>
      <c r="J5094" s="3" t="s">
        <v>26908</v>
      </c>
      <c r="K5094" s="3" t="s">
        <v>26909</v>
      </c>
      <c r="L5094" s="3"/>
      <c r="M5094" s="4"/>
      <c r="N5094" s="3" t="s">
        <v>37</v>
      </c>
      <c r="O5094" s="3" t="s">
        <v>52</v>
      </c>
      <c r="P5094" s="5">
        <v>6</v>
      </c>
      <c r="Q5094" s="5">
        <v>180</v>
      </c>
      <c r="R5094" s="5">
        <v>6</v>
      </c>
      <c r="S5094" s="5">
        <v>186</v>
      </c>
    </row>
    <row r="5095" spans="1:19" ht="42" x14ac:dyDescent="0.15">
      <c r="A5095" s="2">
        <f>HYPERLINK("https://open-school.uspishnemisto.com.ua/school/260027/", 260027)</f>
        <v>260027</v>
      </c>
      <c r="B5095" s="3" t="s">
        <v>26910</v>
      </c>
      <c r="C5095" s="3" t="s">
        <v>31</v>
      </c>
      <c r="D5095" s="3" t="s">
        <v>32</v>
      </c>
      <c r="E5095" s="4" t="s">
        <v>41</v>
      </c>
      <c r="F5095" s="4" t="s">
        <v>26907</v>
      </c>
      <c r="G5095" s="4" t="s">
        <v>26807</v>
      </c>
      <c r="H5095" s="3" t="s">
        <v>26808</v>
      </c>
      <c r="I5095" s="3" t="s">
        <v>26809</v>
      </c>
      <c r="J5095" s="3" t="s">
        <v>26911</v>
      </c>
      <c r="K5095" s="3" t="s">
        <v>26912</v>
      </c>
      <c r="L5095" s="3"/>
      <c r="M5095" s="4" t="s">
        <v>26913</v>
      </c>
      <c r="N5095" s="3" t="s">
        <v>37</v>
      </c>
      <c r="O5095" s="3" t="s">
        <v>52</v>
      </c>
      <c r="P5095" s="5">
        <v>12</v>
      </c>
      <c r="Q5095" s="5">
        <v>235</v>
      </c>
      <c r="R5095" s="5">
        <v>24</v>
      </c>
      <c r="S5095" s="5">
        <v>453</v>
      </c>
    </row>
    <row r="5096" spans="1:19" ht="42" x14ac:dyDescent="0.15">
      <c r="A5096" s="2">
        <f>HYPERLINK("https://open-school.uspishnemisto.com.ua/school/260028/", 260028)</f>
        <v>260028</v>
      </c>
      <c r="B5096" s="3" t="s">
        <v>26914</v>
      </c>
      <c r="C5096" s="3" t="s">
        <v>244</v>
      </c>
      <c r="D5096" s="3" t="s">
        <v>32</v>
      </c>
      <c r="E5096" s="4" t="s">
        <v>22</v>
      </c>
      <c r="F5096" s="4" t="s">
        <v>26907</v>
      </c>
      <c r="G5096" s="4" t="s">
        <v>26807</v>
      </c>
      <c r="H5096" s="3" t="s">
        <v>26808</v>
      </c>
      <c r="I5096" s="3" t="s">
        <v>26809</v>
      </c>
      <c r="J5096" s="3" t="s">
        <v>26915</v>
      </c>
      <c r="K5096" s="3" t="s">
        <v>26916</v>
      </c>
      <c r="L5096" s="3"/>
      <c r="M5096" s="4" t="s">
        <v>26917</v>
      </c>
      <c r="N5096" s="3" t="s">
        <v>37</v>
      </c>
      <c r="O5096" s="3" t="s">
        <v>237</v>
      </c>
      <c r="P5096" s="5">
        <v>33</v>
      </c>
      <c r="Q5096" s="5">
        <v>1026</v>
      </c>
      <c r="R5096" s="5">
        <v>33</v>
      </c>
      <c r="S5096" s="5">
        <v>1042</v>
      </c>
    </row>
    <row r="5097" spans="1:19" ht="42" x14ac:dyDescent="0.15">
      <c r="A5097" s="2">
        <f>HYPERLINK("https://open-school.uspishnemisto.com.ua/school/260029/", 260029)</f>
        <v>260029</v>
      </c>
      <c r="B5097" s="3" t="s">
        <v>26918</v>
      </c>
      <c r="C5097" s="3" t="s">
        <v>244</v>
      </c>
      <c r="D5097" s="3" t="s">
        <v>32</v>
      </c>
      <c r="E5097" s="4" t="s">
        <v>22</v>
      </c>
      <c r="F5097" s="4" t="s">
        <v>26818</v>
      </c>
      <c r="G5097" s="4" t="s">
        <v>26807</v>
      </c>
      <c r="H5097" s="3" t="s">
        <v>26808</v>
      </c>
      <c r="I5097" s="3" t="s">
        <v>26809</v>
      </c>
      <c r="J5097" s="3" t="s">
        <v>26919</v>
      </c>
      <c r="K5097" s="3" t="s">
        <v>26920</v>
      </c>
      <c r="L5097" s="3"/>
      <c r="M5097" s="4" t="s">
        <v>26921</v>
      </c>
      <c r="N5097" s="3" t="s">
        <v>37</v>
      </c>
      <c r="O5097" s="3" t="s">
        <v>123</v>
      </c>
      <c r="P5097" s="5">
        <v>39</v>
      </c>
      <c r="Q5097" s="5">
        <v>1276</v>
      </c>
      <c r="R5097" s="5">
        <v>40</v>
      </c>
      <c r="S5097" s="5">
        <v>1239</v>
      </c>
    </row>
    <row r="5098" spans="1:19" ht="42" x14ac:dyDescent="0.15">
      <c r="A5098" s="2">
        <f>HYPERLINK("https://open-school.uspishnemisto.com.ua/school/260030/", 260030)</f>
        <v>260030</v>
      </c>
      <c r="B5098" s="3" t="s">
        <v>26922</v>
      </c>
      <c r="C5098" s="3" t="s">
        <v>244</v>
      </c>
      <c r="D5098" s="3" t="s">
        <v>32</v>
      </c>
      <c r="E5098" s="4" t="s">
        <v>22</v>
      </c>
      <c r="F5098" s="4" t="s">
        <v>26907</v>
      </c>
      <c r="G5098" s="4" t="s">
        <v>26807</v>
      </c>
      <c r="H5098" s="3" t="s">
        <v>26808</v>
      </c>
      <c r="I5098" s="3" t="s">
        <v>26809</v>
      </c>
      <c r="J5098" s="3" t="s">
        <v>26923</v>
      </c>
      <c r="K5098" s="3" t="s">
        <v>26924</v>
      </c>
      <c r="L5098" s="3"/>
      <c r="M5098" s="4"/>
      <c r="N5098" s="3" t="s">
        <v>37</v>
      </c>
      <c r="O5098" s="3" t="s">
        <v>123</v>
      </c>
      <c r="P5098" s="5">
        <v>33</v>
      </c>
      <c r="Q5098" s="5">
        <v>1070</v>
      </c>
      <c r="R5098" s="5">
        <v>33</v>
      </c>
      <c r="S5098" s="5">
        <v>1058</v>
      </c>
    </row>
    <row r="5099" spans="1:19" ht="42" x14ac:dyDescent="0.15">
      <c r="A5099" s="2">
        <f>HYPERLINK("https://open-school.uspishnemisto.com.ua/school/260031/", 260031)</f>
        <v>260031</v>
      </c>
      <c r="B5099" s="3" t="s">
        <v>26925</v>
      </c>
      <c r="C5099" s="3" t="s">
        <v>54</v>
      </c>
      <c r="D5099" s="3" t="s">
        <v>32</v>
      </c>
      <c r="E5099" s="4" t="s">
        <v>22</v>
      </c>
      <c r="F5099" s="4" t="s">
        <v>26822</v>
      </c>
      <c r="G5099" s="4" t="s">
        <v>26807</v>
      </c>
      <c r="H5099" s="3" t="s">
        <v>26808</v>
      </c>
      <c r="I5099" s="3" t="s">
        <v>26809</v>
      </c>
      <c r="J5099" s="3" t="s">
        <v>26926</v>
      </c>
      <c r="K5099" s="3" t="s">
        <v>26927</v>
      </c>
      <c r="L5099" s="3"/>
      <c r="M5099" s="4"/>
      <c r="N5099" s="3" t="s">
        <v>37</v>
      </c>
      <c r="O5099" s="3" t="s">
        <v>46</v>
      </c>
      <c r="P5099" s="5">
        <v>38</v>
      </c>
      <c r="Q5099" s="5">
        <v>1121</v>
      </c>
      <c r="R5099" s="5">
        <v>36</v>
      </c>
      <c r="S5099" s="5">
        <v>1047</v>
      </c>
    </row>
    <row r="5100" spans="1:19" ht="42" x14ac:dyDescent="0.15">
      <c r="A5100" s="2">
        <f>HYPERLINK("https://open-school.uspishnemisto.com.ua/school/260032/", 260032)</f>
        <v>260032</v>
      </c>
      <c r="B5100" s="3" t="s">
        <v>26928</v>
      </c>
      <c r="C5100" s="3" t="s">
        <v>174</v>
      </c>
      <c r="D5100" s="3" t="s">
        <v>32</v>
      </c>
      <c r="E5100" s="4" t="s">
        <v>22</v>
      </c>
      <c r="F5100" s="4" t="s">
        <v>26806</v>
      </c>
      <c r="G5100" s="4" t="s">
        <v>26807</v>
      </c>
      <c r="H5100" s="3" t="s">
        <v>26808</v>
      </c>
      <c r="I5100" s="3" t="s">
        <v>26809</v>
      </c>
      <c r="J5100" s="3" t="s">
        <v>26929</v>
      </c>
      <c r="K5100" s="3" t="s">
        <v>26930</v>
      </c>
      <c r="L5100" s="3"/>
      <c r="M5100" s="4"/>
      <c r="N5100" s="3" t="s">
        <v>37</v>
      </c>
      <c r="O5100" s="3" t="s">
        <v>52</v>
      </c>
      <c r="P5100" s="5">
        <v>19</v>
      </c>
      <c r="Q5100" s="5">
        <v>158</v>
      </c>
      <c r="R5100" s="5">
        <v>20</v>
      </c>
      <c r="S5100" s="5">
        <v>164</v>
      </c>
    </row>
    <row r="5101" spans="1:19" ht="42" x14ac:dyDescent="0.15">
      <c r="A5101" s="2">
        <f>HYPERLINK("https://open-school.uspishnemisto.com.ua/school/260033/", 260033)</f>
        <v>260033</v>
      </c>
      <c r="B5101" s="3" t="s">
        <v>26931</v>
      </c>
      <c r="C5101" s="3" t="s">
        <v>188</v>
      </c>
      <c r="D5101" s="3" t="s">
        <v>32</v>
      </c>
      <c r="E5101" s="4" t="s">
        <v>22</v>
      </c>
      <c r="F5101" s="4" t="s">
        <v>26806</v>
      </c>
      <c r="G5101" s="4" t="s">
        <v>26807</v>
      </c>
      <c r="H5101" s="3" t="s">
        <v>26808</v>
      </c>
      <c r="I5101" s="3" t="s">
        <v>26809</v>
      </c>
      <c r="J5101" s="3" t="s">
        <v>26932</v>
      </c>
      <c r="K5101" s="3" t="s">
        <v>26933</v>
      </c>
      <c r="L5101" s="3"/>
      <c r="M5101" s="4" t="s">
        <v>26934</v>
      </c>
      <c r="N5101" s="3" t="s">
        <v>37</v>
      </c>
      <c r="O5101" s="3" t="s">
        <v>123</v>
      </c>
      <c r="P5101" s="5">
        <v>13</v>
      </c>
      <c r="Q5101" s="5">
        <v>406</v>
      </c>
      <c r="R5101" s="5">
        <v>12</v>
      </c>
      <c r="S5101" s="5">
        <v>376</v>
      </c>
    </row>
    <row r="5102" spans="1:19" ht="56" x14ac:dyDescent="0.15">
      <c r="A5102" s="2">
        <f>HYPERLINK("https://open-school.uspishnemisto.com.ua/school/260034/", 260034)</f>
        <v>260034</v>
      </c>
      <c r="B5102" s="3" t="s">
        <v>26935</v>
      </c>
      <c r="C5102" s="3" t="s">
        <v>54</v>
      </c>
      <c r="D5102" s="3" t="s">
        <v>32</v>
      </c>
      <c r="E5102" s="4" t="s">
        <v>22</v>
      </c>
      <c r="F5102" s="4" t="s">
        <v>26907</v>
      </c>
      <c r="G5102" s="4" t="s">
        <v>26807</v>
      </c>
      <c r="H5102" s="3" t="s">
        <v>26808</v>
      </c>
      <c r="I5102" s="3" t="s">
        <v>26809</v>
      </c>
      <c r="J5102" s="3" t="s">
        <v>26936</v>
      </c>
      <c r="K5102" s="3" t="s">
        <v>26937</v>
      </c>
      <c r="L5102" s="3"/>
      <c r="M5102" s="4" t="s">
        <v>26938</v>
      </c>
      <c r="N5102" s="3" t="s">
        <v>37</v>
      </c>
      <c r="O5102" s="3" t="s">
        <v>237</v>
      </c>
      <c r="P5102" s="5">
        <v>50</v>
      </c>
      <c r="Q5102" s="5">
        <v>1567</v>
      </c>
      <c r="R5102" s="5">
        <v>47</v>
      </c>
      <c r="S5102" s="5">
        <v>1465</v>
      </c>
    </row>
    <row r="5103" spans="1:19" ht="42" x14ac:dyDescent="0.15">
      <c r="A5103" s="2">
        <f>HYPERLINK("https://open-school.uspishnemisto.com.ua/school/260035/", 260035)</f>
        <v>260035</v>
      </c>
      <c r="B5103" s="3" t="s">
        <v>26939</v>
      </c>
      <c r="C5103" s="3" t="s">
        <v>54</v>
      </c>
      <c r="D5103" s="3" t="s">
        <v>32</v>
      </c>
      <c r="E5103" s="4" t="s">
        <v>41</v>
      </c>
      <c r="F5103" s="4" t="s">
        <v>26891</v>
      </c>
      <c r="G5103" s="4" t="s">
        <v>26807</v>
      </c>
      <c r="H5103" s="3" t="s">
        <v>26808</v>
      </c>
      <c r="I5103" s="3" t="s">
        <v>26809</v>
      </c>
      <c r="J5103" s="3" t="s">
        <v>26940</v>
      </c>
      <c r="K5103" s="3" t="s">
        <v>26941</v>
      </c>
      <c r="L5103" s="3" t="s">
        <v>26942</v>
      </c>
      <c r="M5103" s="4" t="s">
        <v>26943</v>
      </c>
      <c r="N5103" s="3" t="s">
        <v>37</v>
      </c>
      <c r="O5103" s="3" t="s">
        <v>46</v>
      </c>
      <c r="P5103" s="5">
        <v>12</v>
      </c>
      <c r="Q5103" s="5">
        <v>141</v>
      </c>
      <c r="R5103" s="5">
        <v>12</v>
      </c>
      <c r="S5103" s="5">
        <v>133</v>
      </c>
    </row>
    <row r="5104" spans="1:19" ht="42" x14ac:dyDescent="0.15">
      <c r="A5104" s="2">
        <f>HYPERLINK("https://open-school.uspishnemisto.com.ua/school/260036/", 260036)</f>
        <v>260036</v>
      </c>
      <c r="B5104" s="3" t="s">
        <v>26944</v>
      </c>
      <c r="C5104" s="3" t="s">
        <v>40</v>
      </c>
      <c r="D5104" s="3" t="s">
        <v>32</v>
      </c>
      <c r="E5104" s="4" t="s">
        <v>22</v>
      </c>
      <c r="F5104" s="4" t="s">
        <v>26814</v>
      </c>
      <c r="G5104" s="4" t="s">
        <v>26807</v>
      </c>
      <c r="H5104" s="3" t="s">
        <v>26808</v>
      </c>
      <c r="I5104" s="3" t="s">
        <v>26809</v>
      </c>
      <c r="J5104" s="3" t="s">
        <v>26945</v>
      </c>
      <c r="K5104" s="3" t="s">
        <v>26946</v>
      </c>
      <c r="L5104" s="3" t="s">
        <v>26947</v>
      </c>
      <c r="M5104" s="4" t="s">
        <v>26948</v>
      </c>
      <c r="N5104" s="3" t="s">
        <v>37</v>
      </c>
      <c r="O5104" s="3" t="s">
        <v>123</v>
      </c>
      <c r="P5104" s="5">
        <v>19</v>
      </c>
      <c r="Q5104" s="5">
        <v>448</v>
      </c>
      <c r="R5104" s="5">
        <v>18</v>
      </c>
      <c r="S5104" s="5">
        <v>442</v>
      </c>
    </row>
    <row r="5105" spans="1:19" ht="42" x14ac:dyDescent="0.15">
      <c r="A5105" s="2">
        <f>HYPERLINK("https://open-school.uspishnemisto.com.ua/school/260741/", 260741)</f>
        <v>260741</v>
      </c>
      <c r="B5105" s="3" t="s">
        <v>26949</v>
      </c>
      <c r="C5105" s="3" t="s">
        <v>54</v>
      </c>
      <c r="D5105" s="3" t="s">
        <v>21</v>
      </c>
      <c r="E5105" s="4" t="s">
        <v>41</v>
      </c>
      <c r="F5105" s="4" t="s">
        <v>26907</v>
      </c>
      <c r="G5105" s="4" t="s">
        <v>26807</v>
      </c>
      <c r="H5105" s="3" t="s">
        <v>26808</v>
      </c>
      <c r="I5105" s="3" t="s">
        <v>26809</v>
      </c>
      <c r="J5105" s="3" t="s">
        <v>3112</v>
      </c>
      <c r="K5105" s="3"/>
      <c r="L5105" s="3"/>
      <c r="M5105" s="4"/>
      <c r="N5105" s="3" t="s">
        <v>37</v>
      </c>
      <c r="O5105" s="3" t="s">
        <v>46</v>
      </c>
      <c r="P5105" s="5">
        <v>11</v>
      </c>
      <c r="Q5105" s="5">
        <v>212</v>
      </c>
      <c r="R5105" s="5"/>
      <c r="S5105" s="5"/>
    </row>
    <row r="5106" spans="1:19" ht="42" x14ac:dyDescent="0.15">
      <c r="A5106" s="2">
        <f>HYPERLINK("https://open-school.uspishnemisto.com.ua/school/260037/", 260037)</f>
        <v>260037</v>
      </c>
      <c r="B5106" s="3" t="s">
        <v>26950</v>
      </c>
      <c r="C5106" s="3" t="s">
        <v>31</v>
      </c>
      <c r="D5106" s="3" t="s">
        <v>175</v>
      </c>
      <c r="E5106" s="4" t="s">
        <v>22</v>
      </c>
      <c r="F5106" s="4" t="s">
        <v>26951</v>
      </c>
      <c r="G5106" s="4" t="s">
        <v>26952</v>
      </c>
      <c r="H5106" s="3" t="s">
        <v>26808</v>
      </c>
      <c r="I5106" s="3" t="s">
        <v>1656</v>
      </c>
      <c r="J5106" s="3" t="s">
        <v>26953</v>
      </c>
      <c r="K5106" s="3" t="s">
        <v>26954</v>
      </c>
      <c r="L5106" s="3"/>
      <c r="M5106" s="4"/>
      <c r="N5106" s="3" t="s">
        <v>37</v>
      </c>
      <c r="O5106" s="3" t="s">
        <v>46</v>
      </c>
      <c r="P5106" s="5">
        <v>9</v>
      </c>
      <c r="Q5106" s="5">
        <v>130</v>
      </c>
      <c r="R5106" s="5">
        <v>9</v>
      </c>
      <c r="S5106" s="5">
        <v>127</v>
      </c>
    </row>
    <row r="5107" spans="1:19" ht="42" x14ac:dyDescent="0.15">
      <c r="A5107" s="2">
        <f>HYPERLINK("https://open-school.uspishnemisto.com.ua/school/260038/", 260038)</f>
        <v>260038</v>
      </c>
      <c r="B5107" s="3" t="s">
        <v>26955</v>
      </c>
      <c r="C5107" s="3" t="s">
        <v>31</v>
      </c>
      <c r="D5107" s="3" t="s">
        <v>32</v>
      </c>
      <c r="E5107" s="4" t="s">
        <v>22</v>
      </c>
      <c r="F5107" s="4" t="s">
        <v>26956</v>
      </c>
      <c r="G5107" s="4" t="s">
        <v>26957</v>
      </c>
      <c r="H5107" s="3" t="s">
        <v>26808</v>
      </c>
      <c r="I5107" s="3" t="s">
        <v>26958</v>
      </c>
      <c r="J5107" s="3" t="s">
        <v>26959</v>
      </c>
      <c r="K5107" s="3" t="s">
        <v>26960</v>
      </c>
      <c r="L5107" s="3"/>
      <c r="M5107" s="4"/>
      <c r="N5107" s="3" t="s">
        <v>37</v>
      </c>
      <c r="O5107" s="3" t="s">
        <v>46</v>
      </c>
      <c r="P5107" s="5">
        <v>17</v>
      </c>
      <c r="Q5107" s="5">
        <v>415</v>
      </c>
      <c r="R5107" s="5">
        <v>16</v>
      </c>
      <c r="S5107" s="5">
        <v>376</v>
      </c>
    </row>
    <row r="5108" spans="1:19" ht="42" x14ac:dyDescent="0.15">
      <c r="A5108" s="2">
        <f>HYPERLINK("https://open-school.uspishnemisto.com.ua/school/260039/", 260039)</f>
        <v>260039</v>
      </c>
      <c r="B5108" s="3" t="s">
        <v>26961</v>
      </c>
      <c r="C5108" s="3" t="s">
        <v>54</v>
      </c>
      <c r="D5108" s="3" t="s">
        <v>60</v>
      </c>
      <c r="E5108" s="4" t="s">
        <v>41</v>
      </c>
      <c r="F5108" s="4" t="s">
        <v>26956</v>
      </c>
      <c r="G5108" s="4" t="s">
        <v>26957</v>
      </c>
      <c r="H5108" s="3" t="s">
        <v>26808</v>
      </c>
      <c r="I5108" s="3" t="s">
        <v>26958</v>
      </c>
      <c r="J5108" s="3" t="s">
        <v>26962</v>
      </c>
      <c r="K5108" s="3" t="s">
        <v>26963</v>
      </c>
      <c r="L5108" s="3"/>
      <c r="M5108" s="4"/>
      <c r="N5108" s="3" t="s">
        <v>37</v>
      </c>
      <c r="O5108" s="3" t="s">
        <v>2740</v>
      </c>
      <c r="P5108" s="5">
        <v>4</v>
      </c>
      <c r="Q5108" s="5">
        <v>30</v>
      </c>
      <c r="R5108" s="5">
        <v>3</v>
      </c>
      <c r="S5108" s="5">
        <v>16</v>
      </c>
    </row>
    <row r="5109" spans="1:19" ht="42" x14ac:dyDescent="0.15">
      <c r="A5109" s="2">
        <f>HYPERLINK("https://open-school.uspishnemisto.com.ua/school/260040/", 260040)</f>
        <v>260040</v>
      </c>
      <c r="B5109" s="3" t="s">
        <v>26964</v>
      </c>
      <c r="C5109" s="3" t="s">
        <v>48</v>
      </c>
      <c r="D5109" s="3" t="s">
        <v>32</v>
      </c>
      <c r="E5109" s="4" t="s">
        <v>22</v>
      </c>
      <c r="F5109" s="4" t="s">
        <v>26965</v>
      </c>
      <c r="G5109" s="4" t="s">
        <v>26966</v>
      </c>
      <c r="H5109" s="3" t="s">
        <v>26808</v>
      </c>
      <c r="I5109" s="3" t="s">
        <v>26967</v>
      </c>
      <c r="J5109" s="3" t="s">
        <v>26968</v>
      </c>
      <c r="K5109" s="3" t="s">
        <v>26969</v>
      </c>
      <c r="L5109" s="3" t="s">
        <v>26970</v>
      </c>
      <c r="M5109" s="4" t="s">
        <v>26971</v>
      </c>
      <c r="N5109" s="3" t="s">
        <v>37</v>
      </c>
      <c r="O5109" s="3" t="s">
        <v>123</v>
      </c>
      <c r="P5109" s="5">
        <v>17</v>
      </c>
      <c r="Q5109" s="5">
        <v>462</v>
      </c>
      <c r="R5109" s="5">
        <v>18</v>
      </c>
      <c r="S5109" s="5">
        <v>446</v>
      </c>
    </row>
    <row r="5110" spans="1:19" ht="42" x14ac:dyDescent="0.15">
      <c r="A5110" s="2">
        <f>HYPERLINK("https://open-school.uspishnemisto.com.ua/school/260041/", 260041)</f>
        <v>260041</v>
      </c>
      <c r="B5110" s="3" t="s">
        <v>26972</v>
      </c>
      <c r="C5110" s="3" t="s">
        <v>31</v>
      </c>
      <c r="D5110" s="3" t="s">
        <v>32</v>
      </c>
      <c r="E5110" s="4" t="s">
        <v>22</v>
      </c>
      <c r="F5110" s="4" t="s">
        <v>26973</v>
      </c>
      <c r="G5110" s="4" t="s">
        <v>26966</v>
      </c>
      <c r="H5110" s="3" t="s">
        <v>26808</v>
      </c>
      <c r="I5110" s="3" t="s">
        <v>26967</v>
      </c>
      <c r="J5110" s="3" t="s">
        <v>26974</v>
      </c>
      <c r="K5110" s="3" t="s">
        <v>26975</v>
      </c>
      <c r="L5110" s="3"/>
      <c r="M5110" s="4"/>
      <c r="N5110" s="3" t="s">
        <v>37</v>
      </c>
      <c r="O5110" s="3" t="s">
        <v>52</v>
      </c>
      <c r="P5110" s="5">
        <v>13</v>
      </c>
      <c r="Q5110" s="5">
        <v>258</v>
      </c>
      <c r="R5110" s="5">
        <v>12</v>
      </c>
      <c r="S5110" s="5">
        <v>257</v>
      </c>
    </row>
    <row r="5111" spans="1:19" ht="42" x14ac:dyDescent="0.15">
      <c r="A5111" s="2">
        <f>HYPERLINK("https://open-school.uspishnemisto.com.ua/school/260042/", 260042)</f>
        <v>260042</v>
      </c>
      <c r="B5111" s="3" t="s">
        <v>26976</v>
      </c>
      <c r="C5111" s="3" t="s">
        <v>181</v>
      </c>
      <c r="D5111" s="3" t="s">
        <v>175</v>
      </c>
      <c r="E5111" s="4" t="s">
        <v>22</v>
      </c>
      <c r="F5111" s="4" t="s">
        <v>26965</v>
      </c>
      <c r="G5111" s="4" t="s">
        <v>26977</v>
      </c>
      <c r="H5111" s="3" t="s">
        <v>26808</v>
      </c>
      <c r="I5111" s="3" t="s">
        <v>26978</v>
      </c>
      <c r="J5111" s="3" t="s">
        <v>26979</v>
      </c>
      <c r="K5111" s="3" t="s">
        <v>26980</v>
      </c>
      <c r="L5111" s="3"/>
      <c r="M5111" s="4" t="s">
        <v>26981</v>
      </c>
      <c r="N5111" s="3" t="s">
        <v>37</v>
      </c>
      <c r="O5111" s="3" t="s">
        <v>52</v>
      </c>
      <c r="P5111" s="5">
        <v>12</v>
      </c>
      <c r="Q5111" s="5">
        <v>85</v>
      </c>
      <c r="R5111" s="5">
        <v>10</v>
      </c>
      <c r="S5111" s="5">
        <v>66</v>
      </c>
    </row>
    <row r="5112" spans="1:19" ht="42" x14ac:dyDescent="0.15">
      <c r="A5112" s="2">
        <f>HYPERLINK("https://open-school.uspishnemisto.com.ua/school/260043/", 260043)</f>
        <v>260043</v>
      </c>
      <c r="B5112" s="3" t="s">
        <v>26982</v>
      </c>
      <c r="C5112" s="3" t="s">
        <v>48</v>
      </c>
      <c r="D5112" s="3" t="s">
        <v>32</v>
      </c>
      <c r="E5112" s="4" t="s">
        <v>22</v>
      </c>
      <c r="F5112" s="4" t="s">
        <v>26965</v>
      </c>
      <c r="G5112" s="4" t="s">
        <v>26977</v>
      </c>
      <c r="H5112" s="3" t="s">
        <v>26808</v>
      </c>
      <c r="I5112" s="3" t="s">
        <v>26978</v>
      </c>
      <c r="J5112" s="3" t="s">
        <v>26979</v>
      </c>
      <c r="K5112" s="3" t="s">
        <v>26983</v>
      </c>
      <c r="L5112" s="3" t="s">
        <v>26984</v>
      </c>
      <c r="M5112" s="4" t="s">
        <v>26985</v>
      </c>
      <c r="N5112" s="3" t="s">
        <v>37</v>
      </c>
      <c r="O5112" s="3" t="s">
        <v>52</v>
      </c>
      <c r="P5112" s="5">
        <v>9</v>
      </c>
      <c r="Q5112" s="5">
        <v>266</v>
      </c>
      <c r="R5112" s="5">
        <v>9</v>
      </c>
      <c r="S5112" s="5">
        <v>276</v>
      </c>
    </row>
    <row r="5113" spans="1:19" ht="42" x14ac:dyDescent="0.15">
      <c r="A5113" s="2">
        <f>HYPERLINK("https://open-school.uspishnemisto.com.ua/school/260044/", 260044)</f>
        <v>260044</v>
      </c>
      <c r="B5113" s="3" t="s">
        <v>26986</v>
      </c>
      <c r="C5113" s="3" t="s">
        <v>31</v>
      </c>
      <c r="D5113" s="3" t="s">
        <v>32</v>
      </c>
      <c r="E5113" s="4" t="s">
        <v>22</v>
      </c>
      <c r="F5113" s="4" t="s">
        <v>26965</v>
      </c>
      <c r="G5113" s="4" t="s">
        <v>26977</v>
      </c>
      <c r="H5113" s="3" t="s">
        <v>26808</v>
      </c>
      <c r="I5113" s="3" t="s">
        <v>26978</v>
      </c>
      <c r="J5113" s="3" t="s">
        <v>26987</v>
      </c>
      <c r="K5113" s="3" t="s">
        <v>26988</v>
      </c>
      <c r="L5113" s="3"/>
      <c r="M5113" s="4"/>
      <c r="N5113" s="3" t="s">
        <v>37</v>
      </c>
      <c r="O5113" s="3" t="s">
        <v>52</v>
      </c>
      <c r="P5113" s="5">
        <v>13</v>
      </c>
      <c r="Q5113" s="5">
        <v>266</v>
      </c>
      <c r="R5113" s="5">
        <v>12</v>
      </c>
      <c r="S5113" s="5">
        <v>251</v>
      </c>
    </row>
    <row r="5114" spans="1:19" ht="42" x14ac:dyDescent="0.15">
      <c r="A5114" s="2">
        <f>HYPERLINK("https://open-school.uspishnemisto.com.ua/school/260045/", 260045)</f>
        <v>260045</v>
      </c>
      <c r="B5114" s="3" t="s">
        <v>26989</v>
      </c>
      <c r="C5114" s="3" t="s">
        <v>31</v>
      </c>
      <c r="D5114" s="3" t="s">
        <v>175</v>
      </c>
      <c r="E5114" s="4" t="s">
        <v>22</v>
      </c>
      <c r="F5114" s="4" t="s">
        <v>26990</v>
      </c>
      <c r="G5114" s="4" t="s">
        <v>26991</v>
      </c>
      <c r="H5114" s="3" t="s">
        <v>26808</v>
      </c>
      <c r="I5114" s="3" t="s">
        <v>26992</v>
      </c>
      <c r="J5114" s="3" t="s">
        <v>26993</v>
      </c>
      <c r="K5114" s="3" t="s">
        <v>26994</v>
      </c>
      <c r="L5114" s="3"/>
      <c r="M5114" s="4"/>
      <c r="N5114" s="3" t="s">
        <v>37</v>
      </c>
      <c r="O5114" s="3" t="s">
        <v>52</v>
      </c>
      <c r="P5114" s="5">
        <v>9</v>
      </c>
      <c r="Q5114" s="5">
        <v>103</v>
      </c>
      <c r="R5114" s="5">
        <v>9</v>
      </c>
      <c r="S5114" s="5">
        <v>102</v>
      </c>
    </row>
    <row r="5115" spans="1:19" ht="42" x14ac:dyDescent="0.15">
      <c r="A5115" s="2">
        <f>HYPERLINK("https://open-school.uspishnemisto.com.ua/school/260046/", 260046)</f>
        <v>260046</v>
      </c>
      <c r="B5115" s="3" t="s">
        <v>26995</v>
      </c>
      <c r="C5115" s="3" t="s">
        <v>31</v>
      </c>
      <c r="D5115" s="3" t="s">
        <v>32</v>
      </c>
      <c r="E5115" s="4" t="s">
        <v>22</v>
      </c>
      <c r="F5115" s="4" t="s">
        <v>26996</v>
      </c>
      <c r="G5115" s="4" t="s">
        <v>26997</v>
      </c>
      <c r="H5115" s="3" t="s">
        <v>26808</v>
      </c>
      <c r="I5115" s="3" t="s">
        <v>26998</v>
      </c>
      <c r="J5115" s="3" t="s">
        <v>634</v>
      </c>
      <c r="K5115" s="3" t="s">
        <v>26999</v>
      </c>
      <c r="L5115" s="3"/>
      <c r="M5115" s="4"/>
      <c r="N5115" s="3" t="s">
        <v>37</v>
      </c>
      <c r="O5115" s="3" t="s">
        <v>237</v>
      </c>
      <c r="P5115" s="5">
        <v>36</v>
      </c>
      <c r="Q5115" s="5">
        <v>856</v>
      </c>
      <c r="R5115" s="5">
        <v>35</v>
      </c>
      <c r="S5115" s="5">
        <v>851</v>
      </c>
    </row>
    <row r="5116" spans="1:19" ht="42" x14ac:dyDescent="0.15">
      <c r="A5116" s="2">
        <f>HYPERLINK("https://open-school.uspishnemisto.com.ua/school/260047/", 260047)</f>
        <v>260047</v>
      </c>
      <c r="B5116" s="3" t="s">
        <v>27000</v>
      </c>
      <c r="C5116" s="3" t="s">
        <v>31</v>
      </c>
      <c r="D5116" s="3" t="s">
        <v>32</v>
      </c>
      <c r="E5116" s="4" t="s">
        <v>22</v>
      </c>
      <c r="F5116" s="4" t="s">
        <v>27001</v>
      </c>
      <c r="G5116" s="4" t="s">
        <v>26997</v>
      </c>
      <c r="H5116" s="3" t="s">
        <v>26808</v>
      </c>
      <c r="I5116" s="3" t="s">
        <v>26998</v>
      </c>
      <c r="J5116" s="3" t="s">
        <v>27002</v>
      </c>
      <c r="K5116" s="3" t="s">
        <v>27003</v>
      </c>
      <c r="L5116" s="3"/>
      <c r="M5116" s="4"/>
      <c r="N5116" s="3" t="s">
        <v>37</v>
      </c>
      <c r="O5116" s="3" t="s">
        <v>46</v>
      </c>
      <c r="P5116" s="5">
        <v>20</v>
      </c>
      <c r="Q5116" s="5">
        <v>478</v>
      </c>
      <c r="R5116" s="5">
        <v>19</v>
      </c>
      <c r="S5116" s="5">
        <v>478</v>
      </c>
    </row>
    <row r="5117" spans="1:19" ht="42" x14ac:dyDescent="0.15">
      <c r="A5117" s="2">
        <f>HYPERLINK("https://open-school.uspishnemisto.com.ua/school/260048/", 260048)</f>
        <v>260048</v>
      </c>
      <c r="B5117" s="3" t="s">
        <v>27004</v>
      </c>
      <c r="C5117" s="3" t="s">
        <v>31</v>
      </c>
      <c r="D5117" s="3" t="s">
        <v>32</v>
      </c>
      <c r="E5117" s="4" t="s">
        <v>22</v>
      </c>
      <c r="F5117" s="4" t="s">
        <v>27005</v>
      </c>
      <c r="G5117" s="4" t="s">
        <v>27006</v>
      </c>
      <c r="H5117" s="3" t="s">
        <v>26808</v>
      </c>
      <c r="I5117" s="3" t="s">
        <v>27007</v>
      </c>
      <c r="J5117" s="3" t="s">
        <v>2091</v>
      </c>
      <c r="K5117" s="3" t="s">
        <v>27008</v>
      </c>
      <c r="L5117" s="3"/>
      <c r="M5117" s="4"/>
      <c r="N5117" s="3" t="s">
        <v>37</v>
      </c>
      <c r="O5117" s="3" t="s">
        <v>52</v>
      </c>
      <c r="P5117" s="5">
        <v>11</v>
      </c>
      <c r="Q5117" s="5">
        <v>146</v>
      </c>
      <c r="R5117" s="5">
        <v>11</v>
      </c>
      <c r="S5117" s="5">
        <v>145</v>
      </c>
    </row>
    <row r="5118" spans="1:19" ht="42" x14ac:dyDescent="0.15">
      <c r="A5118" s="2">
        <f>HYPERLINK("https://open-school.uspishnemisto.com.ua/school/260049/", 260049)</f>
        <v>260049</v>
      </c>
      <c r="B5118" s="3" t="s">
        <v>27009</v>
      </c>
      <c r="C5118" s="3" t="s">
        <v>31</v>
      </c>
      <c r="D5118" s="3" t="s">
        <v>32</v>
      </c>
      <c r="E5118" s="4" t="s">
        <v>22</v>
      </c>
      <c r="F5118" s="4" t="s">
        <v>27010</v>
      </c>
      <c r="G5118" s="4" t="s">
        <v>27011</v>
      </c>
      <c r="H5118" s="3" t="s">
        <v>26808</v>
      </c>
      <c r="I5118" s="3" t="s">
        <v>27012</v>
      </c>
      <c r="J5118" s="3" t="s">
        <v>27013</v>
      </c>
      <c r="K5118" s="3" t="s">
        <v>27014</v>
      </c>
      <c r="L5118" s="3"/>
      <c r="M5118" s="4"/>
      <c r="N5118" s="3" t="s">
        <v>37</v>
      </c>
      <c r="O5118" s="3" t="s">
        <v>46</v>
      </c>
      <c r="P5118" s="5">
        <v>14</v>
      </c>
      <c r="Q5118" s="5">
        <v>188</v>
      </c>
      <c r="R5118" s="5">
        <v>15</v>
      </c>
      <c r="S5118" s="5">
        <v>205</v>
      </c>
    </row>
    <row r="5119" spans="1:19" ht="42" x14ac:dyDescent="0.15">
      <c r="A5119" s="2">
        <f>HYPERLINK("https://open-school.uspishnemisto.com.ua/school/260050/", 260050)</f>
        <v>260050</v>
      </c>
      <c r="B5119" s="3" t="s">
        <v>27015</v>
      </c>
      <c r="C5119" s="3" t="s">
        <v>31</v>
      </c>
      <c r="D5119" s="3" t="s">
        <v>32</v>
      </c>
      <c r="E5119" s="4" t="s">
        <v>22</v>
      </c>
      <c r="F5119" s="4" t="s">
        <v>27016</v>
      </c>
      <c r="G5119" s="4" t="s">
        <v>27017</v>
      </c>
      <c r="H5119" s="3" t="s">
        <v>26808</v>
      </c>
      <c r="I5119" s="3" t="s">
        <v>27018</v>
      </c>
      <c r="J5119" s="3" t="s">
        <v>21337</v>
      </c>
      <c r="K5119" s="3" t="s">
        <v>27019</v>
      </c>
      <c r="L5119" s="3"/>
      <c r="M5119" s="4"/>
      <c r="N5119" s="3" t="s">
        <v>37</v>
      </c>
      <c r="O5119" s="3" t="s">
        <v>46</v>
      </c>
      <c r="P5119" s="5">
        <v>11</v>
      </c>
      <c r="Q5119" s="5">
        <v>203</v>
      </c>
      <c r="R5119" s="5">
        <v>11</v>
      </c>
      <c r="S5119" s="5">
        <v>203</v>
      </c>
    </row>
    <row r="5120" spans="1:19" ht="42" x14ac:dyDescent="0.15">
      <c r="A5120" s="2">
        <f>HYPERLINK("https://open-school.uspishnemisto.com.ua/school/260051/", 260051)</f>
        <v>260051</v>
      </c>
      <c r="B5120" s="3" t="s">
        <v>27020</v>
      </c>
      <c r="C5120" s="3" t="s">
        <v>31</v>
      </c>
      <c r="D5120" s="3" t="s">
        <v>175</v>
      </c>
      <c r="E5120" s="4" t="s">
        <v>22</v>
      </c>
      <c r="F5120" s="4" t="s">
        <v>27021</v>
      </c>
      <c r="G5120" s="4" t="s">
        <v>27022</v>
      </c>
      <c r="H5120" s="3" t="s">
        <v>26808</v>
      </c>
      <c r="I5120" s="3" t="s">
        <v>27023</v>
      </c>
      <c r="J5120" s="3" t="s">
        <v>27024</v>
      </c>
      <c r="K5120" s="3" t="s">
        <v>27025</v>
      </c>
      <c r="L5120" s="3"/>
      <c r="M5120" s="4"/>
      <c r="N5120" s="3" t="s">
        <v>37</v>
      </c>
      <c r="O5120" s="3" t="s">
        <v>46</v>
      </c>
      <c r="P5120" s="5">
        <v>9</v>
      </c>
      <c r="Q5120" s="5">
        <v>140</v>
      </c>
      <c r="R5120" s="5">
        <v>9</v>
      </c>
      <c r="S5120" s="5">
        <v>140</v>
      </c>
    </row>
    <row r="5121" spans="1:19" ht="42" x14ac:dyDescent="0.15">
      <c r="A5121" s="2">
        <f>HYPERLINK("https://open-school.uspishnemisto.com.ua/school/260052/", 260052)</f>
        <v>260052</v>
      </c>
      <c r="B5121" s="3" t="s">
        <v>27026</v>
      </c>
      <c r="C5121" s="3" t="s">
        <v>31</v>
      </c>
      <c r="D5121" s="3" t="s">
        <v>32</v>
      </c>
      <c r="E5121" s="4" t="s">
        <v>22</v>
      </c>
      <c r="F5121" s="4" t="s">
        <v>27027</v>
      </c>
      <c r="G5121" s="4" t="s">
        <v>27028</v>
      </c>
      <c r="H5121" s="3" t="s">
        <v>26808</v>
      </c>
      <c r="I5121" s="3" t="s">
        <v>27029</v>
      </c>
      <c r="J5121" s="3" t="s">
        <v>27030</v>
      </c>
      <c r="K5121" s="3" t="s">
        <v>27031</v>
      </c>
      <c r="L5121" s="3"/>
      <c r="M5121" s="4"/>
      <c r="N5121" s="3" t="s">
        <v>37</v>
      </c>
      <c r="O5121" s="3" t="s">
        <v>46</v>
      </c>
      <c r="P5121" s="5">
        <v>12</v>
      </c>
      <c r="Q5121" s="5">
        <v>167</v>
      </c>
      <c r="R5121" s="5">
        <v>11</v>
      </c>
      <c r="S5121" s="5">
        <v>174</v>
      </c>
    </row>
    <row r="5122" spans="1:19" ht="42" x14ac:dyDescent="0.15">
      <c r="A5122" s="2">
        <f>HYPERLINK("https://open-school.uspishnemisto.com.ua/school/260053/", 260053)</f>
        <v>260053</v>
      </c>
      <c r="B5122" s="3" t="s">
        <v>27032</v>
      </c>
      <c r="C5122" s="3" t="s">
        <v>31</v>
      </c>
      <c r="D5122" s="3" t="s">
        <v>32</v>
      </c>
      <c r="E5122" s="4" t="s">
        <v>22</v>
      </c>
      <c r="F5122" s="4" t="s">
        <v>27033</v>
      </c>
      <c r="G5122" s="4" t="s">
        <v>27034</v>
      </c>
      <c r="H5122" s="3" t="s">
        <v>26808</v>
      </c>
      <c r="I5122" s="3" t="s">
        <v>27035</v>
      </c>
      <c r="J5122" s="3" t="s">
        <v>27036</v>
      </c>
      <c r="K5122" s="3" t="s">
        <v>27037</v>
      </c>
      <c r="L5122" s="3"/>
      <c r="M5122" s="4"/>
      <c r="N5122" s="3" t="s">
        <v>37</v>
      </c>
      <c r="O5122" s="3" t="s">
        <v>46</v>
      </c>
      <c r="P5122" s="5">
        <v>19</v>
      </c>
      <c r="Q5122" s="5">
        <v>371</v>
      </c>
      <c r="R5122" s="5">
        <v>19</v>
      </c>
      <c r="S5122" s="5">
        <v>378</v>
      </c>
    </row>
    <row r="5123" spans="1:19" ht="42" x14ac:dyDescent="0.15">
      <c r="A5123" s="2">
        <f>HYPERLINK("https://open-school.uspishnemisto.com.ua/school/260054/", 260054)</f>
        <v>260054</v>
      </c>
      <c r="B5123" s="3" t="s">
        <v>27038</v>
      </c>
      <c r="C5123" s="3" t="s">
        <v>40</v>
      </c>
      <c r="D5123" s="3" t="s">
        <v>32</v>
      </c>
      <c r="E5123" s="4" t="s">
        <v>22</v>
      </c>
      <c r="F5123" s="4" t="s">
        <v>27039</v>
      </c>
      <c r="G5123" s="4" t="s">
        <v>27040</v>
      </c>
      <c r="H5123" s="3" t="s">
        <v>26808</v>
      </c>
      <c r="I5123" s="3" t="s">
        <v>27041</v>
      </c>
      <c r="J5123" s="3" t="s">
        <v>27042</v>
      </c>
      <c r="K5123" s="3" t="s">
        <v>27043</v>
      </c>
      <c r="L5123" s="3"/>
      <c r="M5123" s="4" t="s">
        <v>27044</v>
      </c>
      <c r="N5123" s="3" t="s">
        <v>37</v>
      </c>
      <c r="O5123" s="3" t="s">
        <v>237</v>
      </c>
      <c r="P5123" s="5">
        <v>12</v>
      </c>
      <c r="Q5123" s="5">
        <v>219</v>
      </c>
      <c r="R5123" s="5">
        <v>11</v>
      </c>
      <c r="S5123" s="5">
        <v>208</v>
      </c>
    </row>
    <row r="5124" spans="1:19" ht="42" x14ac:dyDescent="0.15">
      <c r="A5124" s="2">
        <f>HYPERLINK("https://open-school.uspishnemisto.com.ua/school/260055/", 260055)</f>
        <v>260055</v>
      </c>
      <c r="B5124" s="3" t="s">
        <v>27045</v>
      </c>
      <c r="C5124" s="3" t="s">
        <v>31</v>
      </c>
      <c r="D5124" s="3" t="s">
        <v>32</v>
      </c>
      <c r="E5124" s="4" t="s">
        <v>22</v>
      </c>
      <c r="F5124" s="4" t="s">
        <v>27039</v>
      </c>
      <c r="G5124" s="4" t="s">
        <v>27040</v>
      </c>
      <c r="H5124" s="3" t="s">
        <v>26808</v>
      </c>
      <c r="I5124" s="3" t="s">
        <v>27041</v>
      </c>
      <c r="J5124" s="3" t="s">
        <v>27046</v>
      </c>
      <c r="K5124" s="3" t="s">
        <v>27047</v>
      </c>
      <c r="L5124" s="3"/>
      <c r="M5124" s="4"/>
      <c r="N5124" s="3" t="s">
        <v>37</v>
      </c>
      <c r="O5124" s="3" t="s">
        <v>46</v>
      </c>
      <c r="P5124" s="5">
        <v>11</v>
      </c>
      <c r="Q5124" s="5">
        <v>224</v>
      </c>
      <c r="R5124" s="5">
        <v>11</v>
      </c>
      <c r="S5124" s="5">
        <v>229</v>
      </c>
    </row>
    <row r="5125" spans="1:19" ht="42" x14ac:dyDescent="0.15">
      <c r="A5125" s="2">
        <f>HYPERLINK("https://open-school.uspishnemisto.com.ua/school/260056/", 260056)</f>
        <v>260056</v>
      </c>
      <c r="B5125" s="3" t="s">
        <v>27048</v>
      </c>
      <c r="C5125" s="3" t="s">
        <v>31</v>
      </c>
      <c r="D5125" s="3" t="s">
        <v>32</v>
      </c>
      <c r="E5125" s="4" t="s">
        <v>22</v>
      </c>
      <c r="F5125" s="4" t="s">
        <v>27039</v>
      </c>
      <c r="G5125" s="4" t="s">
        <v>27040</v>
      </c>
      <c r="H5125" s="3" t="s">
        <v>26808</v>
      </c>
      <c r="I5125" s="3" t="s">
        <v>27041</v>
      </c>
      <c r="J5125" s="3" t="s">
        <v>27049</v>
      </c>
      <c r="K5125" s="3" t="s">
        <v>27050</v>
      </c>
      <c r="L5125" s="3" t="s">
        <v>27051</v>
      </c>
      <c r="M5125" s="4"/>
      <c r="N5125" s="3" t="s">
        <v>37</v>
      </c>
      <c r="O5125" s="3" t="s">
        <v>46</v>
      </c>
      <c r="P5125" s="5">
        <v>24</v>
      </c>
      <c r="Q5125" s="5">
        <v>525</v>
      </c>
      <c r="R5125" s="5">
        <v>23</v>
      </c>
      <c r="S5125" s="5">
        <v>493</v>
      </c>
    </row>
    <row r="5126" spans="1:19" ht="42" x14ac:dyDescent="0.15">
      <c r="A5126" s="2">
        <f>HYPERLINK("https://open-school.uspishnemisto.com.ua/school/260057/", 260057)</f>
        <v>260057</v>
      </c>
      <c r="B5126" s="3" t="s">
        <v>27052</v>
      </c>
      <c r="C5126" s="3" t="s">
        <v>31</v>
      </c>
      <c r="D5126" s="3" t="s">
        <v>32</v>
      </c>
      <c r="E5126" s="4" t="s">
        <v>22</v>
      </c>
      <c r="F5126" s="4" t="s">
        <v>27039</v>
      </c>
      <c r="G5126" s="4" t="s">
        <v>27040</v>
      </c>
      <c r="H5126" s="3" t="s">
        <v>26808</v>
      </c>
      <c r="I5126" s="3" t="s">
        <v>27041</v>
      </c>
      <c r="J5126" s="3" t="s">
        <v>27053</v>
      </c>
      <c r="K5126" s="3"/>
      <c r="L5126" s="3"/>
      <c r="M5126" s="4"/>
      <c r="N5126" s="3" t="s">
        <v>37</v>
      </c>
      <c r="O5126" s="3" t="s">
        <v>46</v>
      </c>
      <c r="P5126" s="5">
        <v>25</v>
      </c>
      <c r="Q5126" s="5">
        <v>519</v>
      </c>
      <c r="R5126" s="5">
        <v>25</v>
      </c>
      <c r="S5126" s="5">
        <v>538</v>
      </c>
    </row>
    <row r="5127" spans="1:19" ht="42" x14ac:dyDescent="0.15">
      <c r="A5127" s="2">
        <f>HYPERLINK("https://open-school.uspishnemisto.com.ua/school/260058/", 260058)</f>
        <v>260058</v>
      </c>
      <c r="B5127" s="3" t="s">
        <v>27054</v>
      </c>
      <c r="C5127" s="3" t="s">
        <v>7651</v>
      </c>
      <c r="D5127" s="3"/>
      <c r="E5127" s="4" t="s">
        <v>22</v>
      </c>
      <c r="F5127" s="4" t="s">
        <v>27039</v>
      </c>
      <c r="G5127" s="4" t="s">
        <v>27040</v>
      </c>
      <c r="H5127" s="3" t="s">
        <v>26808</v>
      </c>
      <c r="I5127" s="3" t="s">
        <v>27041</v>
      </c>
      <c r="J5127" s="3" t="s">
        <v>27055</v>
      </c>
      <c r="K5127" s="3" t="s">
        <v>27056</v>
      </c>
      <c r="L5127" s="3"/>
      <c r="M5127" s="4"/>
      <c r="N5127" s="3"/>
      <c r="O5127" s="3"/>
      <c r="P5127" s="5">
        <v>0</v>
      </c>
      <c r="Q5127" s="5">
        <v>0</v>
      </c>
      <c r="R5127" s="5"/>
      <c r="S5127" s="5"/>
    </row>
    <row r="5128" spans="1:19" ht="42" x14ac:dyDescent="0.15">
      <c r="A5128" s="2">
        <f>HYPERLINK("https://open-school.uspishnemisto.com.ua/school/260059/", 260059)</f>
        <v>260059</v>
      </c>
      <c r="B5128" s="3" t="s">
        <v>27057</v>
      </c>
      <c r="C5128" s="3" t="s">
        <v>54</v>
      </c>
      <c r="D5128" s="3" t="s">
        <v>60</v>
      </c>
      <c r="E5128" s="4" t="s">
        <v>22</v>
      </c>
      <c r="F5128" s="4" t="s">
        <v>27039</v>
      </c>
      <c r="G5128" s="4" t="s">
        <v>27040</v>
      </c>
      <c r="H5128" s="3" t="s">
        <v>26808</v>
      </c>
      <c r="I5128" s="3" t="s">
        <v>27041</v>
      </c>
      <c r="J5128" s="3" t="s">
        <v>27058</v>
      </c>
      <c r="K5128" s="3"/>
      <c r="L5128" s="3"/>
      <c r="M5128" s="4"/>
      <c r="N5128" s="3" t="s">
        <v>37</v>
      </c>
      <c r="O5128" s="3" t="s">
        <v>52</v>
      </c>
      <c r="P5128" s="5">
        <v>8</v>
      </c>
      <c r="Q5128" s="5">
        <v>163</v>
      </c>
      <c r="R5128" s="5">
        <v>8</v>
      </c>
      <c r="S5128" s="5">
        <v>164</v>
      </c>
    </row>
    <row r="5129" spans="1:19" ht="42" x14ac:dyDescent="0.15">
      <c r="A5129" s="2">
        <f>HYPERLINK("https://open-school.uspishnemisto.com.ua/school/260060/", 260060)</f>
        <v>260060</v>
      </c>
      <c r="B5129" s="3" t="s">
        <v>27059</v>
      </c>
      <c r="C5129" s="3" t="s">
        <v>54</v>
      </c>
      <c r="D5129" s="3" t="s">
        <v>60</v>
      </c>
      <c r="E5129" s="4" t="s">
        <v>22</v>
      </c>
      <c r="F5129" s="4" t="s">
        <v>27039</v>
      </c>
      <c r="G5129" s="4" t="s">
        <v>27060</v>
      </c>
      <c r="H5129" s="3" t="s">
        <v>26808</v>
      </c>
      <c r="I5129" s="3" t="s">
        <v>27061</v>
      </c>
      <c r="J5129" s="3"/>
      <c r="K5129" s="3"/>
      <c r="L5129" s="3"/>
      <c r="M5129" s="4"/>
      <c r="N5129" s="3" t="s">
        <v>37</v>
      </c>
      <c r="O5129" s="3" t="s">
        <v>52</v>
      </c>
      <c r="P5129" s="5">
        <v>0</v>
      </c>
      <c r="Q5129" s="5">
        <v>6</v>
      </c>
      <c r="R5129" s="5">
        <v>0</v>
      </c>
      <c r="S5129" s="5">
        <v>10</v>
      </c>
    </row>
    <row r="5130" spans="1:19" ht="42" x14ac:dyDescent="0.15">
      <c r="A5130" s="2">
        <f>HYPERLINK("https://open-school.uspishnemisto.com.ua/school/260061/", 260061)</f>
        <v>260061</v>
      </c>
      <c r="B5130" s="3" t="s">
        <v>27062</v>
      </c>
      <c r="C5130" s="3" t="s">
        <v>40</v>
      </c>
      <c r="D5130" s="3" t="s">
        <v>32</v>
      </c>
      <c r="E5130" s="4" t="s">
        <v>22</v>
      </c>
      <c r="F5130" s="4" t="s">
        <v>27063</v>
      </c>
      <c r="G5130" s="4" t="s">
        <v>27064</v>
      </c>
      <c r="H5130" s="3" t="s">
        <v>26808</v>
      </c>
      <c r="I5130" s="3" t="s">
        <v>27065</v>
      </c>
      <c r="J5130" s="3" t="s">
        <v>27066</v>
      </c>
      <c r="K5130" s="3" t="s">
        <v>27067</v>
      </c>
      <c r="L5130" s="3" t="s">
        <v>27068</v>
      </c>
      <c r="M5130" s="4"/>
      <c r="N5130" s="3" t="s">
        <v>37</v>
      </c>
      <c r="O5130" s="3" t="s">
        <v>46</v>
      </c>
      <c r="P5130" s="5">
        <v>17</v>
      </c>
      <c r="Q5130" s="5">
        <v>467</v>
      </c>
      <c r="R5130" s="5">
        <v>17</v>
      </c>
      <c r="S5130" s="5">
        <v>466</v>
      </c>
    </row>
    <row r="5131" spans="1:19" ht="42" x14ac:dyDescent="0.15">
      <c r="A5131" s="2">
        <f>HYPERLINK("https://open-school.uspishnemisto.com.ua/school/260062/", 260062)</f>
        <v>260062</v>
      </c>
      <c r="B5131" s="3" t="s">
        <v>27069</v>
      </c>
      <c r="C5131" s="3" t="s">
        <v>31</v>
      </c>
      <c r="D5131" s="3" t="s">
        <v>175</v>
      </c>
      <c r="E5131" s="4" t="s">
        <v>22</v>
      </c>
      <c r="F5131" s="4" t="s">
        <v>27063</v>
      </c>
      <c r="G5131" s="4" t="s">
        <v>27064</v>
      </c>
      <c r="H5131" s="3" t="s">
        <v>26808</v>
      </c>
      <c r="I5131" s="3" t="s">
        <v>27065</v>
      </c>
      <c r="J5131" s="3" t="s">
        <v>27070</v>
      </c>
      <c r="K5131" s="3" t="s">
        <v>27071</v>
      </c>
      <c r="L5131" s="3"/>
      <c r="M5131" s="4"/>
      <c r="N5131" s="3" t="s">
        <v>37</v>
      </c>
      <c r="O5131" s="3" t="s">
        <v>46</v>
      </c>
      <c r="P5131" s="5">
        <v>9</v>
      </c>
      <c r="Q5131" s="5">
        <v>166</v>
      </c>
      <c r="R5131" s="5">
        <v>9</v>
      </c>
      <c r="S5131" s="5">
        <v>171</v>
      </c>
    </row>
    <row r="5132" spans="1:19" ht="42" x14ac:dyDescent="0.15">
      <c r="A5132" s="2">
        <f>HYPERLINK("https://open-school.uspishnemisto.com.ua/school/260063/", 260063)</f>
        <v>260063</v>
      </c>
      <c r="B5132" s="3" t="s">
        <v>27072</v>
      </c>
      <c r="C5132" s="3" t="s">
        <v>31</v>
      </c>
      <c r="D5132" s="3" t="s">
        <v>175</v>
      </c>
      <c r="E5132" s="4" t="s">
        <v>22</v>
      </c>
      <c r="F5132" s="4" t="s">
        <v>27063</v>
      </c>
      <c r="G5132" s="4" t="s">
        <v>27064</v>
      </c>
      <c r="H5132" s="3" t="s">
        <v>26808</v>
      </c>
      <c r="I5132" s="3" t="s">
        <v>27065</v>
      </c>
      <c r="J5132" s="3" t="s">
        <v>27073</v>
      </c>
      <c r="K5132" s="3" t="s">
        <v>27074</v>
      </c>
      <c r="L5132" s="3"/>
      <c r="M5132" s="4"/>
      <c r="N5132" s="3" t="s">
        <v>37</v>
      </c>
      <c r="O5132" s="3" t="s">
        <v>46</v>
      </c>
      <c r="P5132" s="5">
        <v>9</v>
      </c>
      <c r="Q5132" s="5">
        <v>123</v>
      </c>
      <c r="R5132" s="5">
        <v>9</v>
      </c>
      <c r="S5132" s="5">
        <v>121</v>
      </c>
    </row>
    <row r="5133" spans="1:19" ht="42" x14ac:dyDescent="0.15">
      <c r="A5133" s="2">
        <f>HYPERLINK("https://open-school.uspishnemisto.com.ua/school/260064/", 260064)</f>
        <v>260064</v>
      </c>
      <c r="B5133" s="3" t="s">
        <v>27075</v>
      </c>
      <c r="C5133" s="3" t="s">
        <v>31</v>
      </c>
      <c r="D5133" s="3" t="s">
        <v>32</v>
      </c>
      <c r="E5133" s="4" t="s">
        <v>22</v>
      </c>
      <c r="F5133" s="4" t="s">
        <v>27063</v>
      </c>
      <c r="G5133" s="4" t="s">
        <v>27064</v>
      </c>
      <c r="H5133" s="3" t="s">
        <v>26808</v>
      </c>
      <c r="I5133" s="3" t="s">
        <v>27065</v>
      </c>
      <c r="J5133" s="3" t="s">
        <v>27066</v>
      </c>
      <c r="K5133" s="3" t="s">
        <v>27076</v>
      </c>
      <c r="L5133" s="3"/>
      <c r="M5133" s="4"/>
      <c r="N5133" s="3" t="s">
        <v>37</v>
      </c>
      <c r="O5133" s="3" t="s">
        <v>52</v>
      </c>
      <c r="P5133" s="5">
        <v>12</v>
      </c>
      <c r="Q5133" s="5">
        <v>371</v>
      </c>
      <c r="R5133" s="5">
        <v>12</v>
      </c>
      <c r="S5133" s="5">
        <v>383</v>
      </c>
    </row>
    <row r="5134" spans="1:19" ht="42" x14ac:dyDescent="0.15">
      <c r="A5134" s="2">
        <f>HYPERLINK("https://open-school.uspishnemisto.com.ua/school/260065/", 260065)</f>
        <v>260065</v>
      </c>
      <c r="B5134" s="3" t="s">
        <v>27077</v>
      </c>
      <c r="C5134" s="3" t="s">
        <v>31</v>
      </c>
      <c r="D5134" s="3" t="s">
        <v>32</v>
      </c>
      <c r="E5134" s="4" t="s">
        <v>22</v>
      </c>
      <c r="F5134" s="4" t="s">
        <v>27078</v>
      </c>
      <c r="G5134" s="4" t="s">
        <v>27064</v>
      </c>
      <c r="H5134" s="3" t="s">
        <v>26808</v>
      </c>
      <c r="I5134" s="3" t="s">
        <v>27065</v>
      </c>
      <c r="J5134" s="3" t="s">
        <v>27079</v>
      </c>
      <c r="K5134" s="3" t="s">
        <v>27080</v>
      </c>
      <c r="L5134" s="3"/>
      <c r="M5134" s="4"/>
      <c r="N5134" s="3" t="s">
        <v>37</v>
      </c>
      <c r="O5134" s="3" t="s">
        <v>139</v>
      </c>
      <c r="P5134" s="5">
        <v>20</v>
      </c>
      <c r="Q5134" s="5">
        <v>476</v>
      </c>
      <c r="R5134" s="5">
        <v>20</v>
      </c>
      <c r="S5134" s="5">
        <v>485</v>
      </c>
    </row>
    <row r="5135" spans="1:19" ht="42" x14ac:dyDescent="0.15">
      <c r="A5135" s="2">
        <f>HYPERLINK("https://open-school.uspishnemisto.com.ua/school/260066/", 260066)</f>
        <v>260066</v>
      </c>
      <c r="B5135" s="3" t="s">
        <v>27081</v>
      </c>
      <c r="C5135" s="3" t="s">
        <v>31</v>
      </c>
      <c r="D5135" s="3" t="s">
        <v>32</v>
      </c>
      <c r="E5135" s="4" t="s">
        <v>22</v>
      </c>
      <c r="F5135" s="4" t="s">
        <v>27078</v>
      </c>
      <c r="G5135" s="4" t="s">
        <v>27064</v>
      </c>
      <c r="H5135" s="3" t="s">
        <v>26808</v>
      </c>
      <c r="I5135" s="3" t="s">
        <v>27065</v>
      </c>
      <c r="J5135" s="3" t="s">
        <v>27082</v>
      </c>
      <c r="K5135" s="3" t="s">
        <v>27083</v>
      </c>
      <c r="L5135" s="3"/>
      <c r="M5135" s="4"/>
      <c r="N5135" s="3" t="s">
        <v>37</v>
      </c>
      <c r="O5135" s="3" t="s">
        <v>237</v>
      </c>
      <c r="P5135" s="5">
        <v>38</v>
      </c>
      <c r="Q5135" s="5">
        <v>1057</v>
      </c>
      <c r="R5135" s="5">
        <v>38</v>
      </c>
      <c r="S5135" s="5">
        <v>1060</v>
      </c>
    </row>
    <row r="5136" spans="1:19" ht="42" x14ac:dyDescent="0.15">
      <c r="A5136" s="2">
        <f>HYPERLINK("https://open-school.uspishnemisto.com.ua/school/260067/", 260067)</f>
        <v>260067</v>
      </c>
      <c r="B5136" s="3" t="s">
        <v>27084</v>
      </c>
      <c r="C5136" s="3" t="s">
        <v>31</v>
      </c>
      <c r="D5136" s="3" t="s">
        <v>32</v>
      </c>
      <c r="E5136" s="4" t="s">
        <v>22</v>
      </c>
      <c r="F5136" s="4" t="s">
        <v>27063</v>
      </c>
      <c r="G5136" s="4" t="s">
        <v>27064</v>
      </c>
      <c r="H5136" s="3" t="s">
        <v>26808</v>
      </c>
      <c r="I5136" s="3" t="s">
        <v>27065</v>
      </c>
      <c r="J5136" s="3" t="s">
        <v>27085</v>
      </c>
      <c r="K5136" s="3" t="s">
        <v>27086</v>
      </c>
      <c r="L5136" s="3"/>
      <c r="M5136" s="4"/>
      <c r="N5136" s="3" t="s">
        <v>37</v>
      </c>
      <c r="O5136" s="3" t="s">
        <v>46</v>
      </c>
      <c r="P5136" s="5">
        <v>20</v>
      </c>
      <c r="Q5136" s="5">
        <v>512</v>
      </c>
      <c r="R5136" s="5">
        <v>20</v>
      </c>
      <c r="S5136" s="5">
        <v>526</v>
      </c>
    </row>
    <row r="5137" spans="1:19" ht="42" x14ac:dyDescent="0.15">
      <c r="A5137" s="2">
        <f>HYPERLINK("https://open-school.uspishnemisto.com.ua/school/260068/", 260068)</f>
        <v>260068</v>
      </c>
      <c r="B5137" s="3" t="s">
        <v>27087</v>
      </c>
      <c r="C5137" s="3" t="s">
        <v>31</v>
      </c>
      <c r="D5137" s="3" t="s">
        <v>32</v>
      </c>
      <c r="E5137" s="4" t="s">
        <v>22</v>
      </c>
      <c r="F5137" s="4" t="s">
        <v>27063</v>
      </c>
      <c r="G5137" s="4" t="s">
        <v>27064</v>
      </c>
      <c r="H5137" s="3" t="s">
        <v>26808</v>
      </c>
      <c r="I5137" s="3" t="s">
        <v>27065</v>
      </c>
      <c r="J5137" s="3" t="s">
        <v>27088</v>
      </c>
      <c r="K5137" s="3" t="s">
        <v>27089</v>
      </c>
      <c r="L5137" s="3"/>
      <c r="M5137" s="4"/>
      <c r="N5137" s="3" t="s">
        <v>37</v>
      </c>
      <c r="O5137" s="3" t="s">
        <v>139</v>
      </c>
      <c r="P5137" s="5">
        <v>22</v>
      </c>
      <c r="Q5137" s="5">
        <v>544</v>
      </c>
      <c r="R5137" s="5">
        <v>22</v>
      </c>
      <c r="S5137" s="5">
        <v>519</v>
      </c>
    </row>
    <row r="5138" spans="1:19" ht="42" x14ac:dyDescent="0.15">
      <c r="A5138" s="2">
        <f>HYPERLINK("https://open-school.uspishnemisto.com.ua/school/260069/", 260069)</f>
        <v>260069</v>
      </c>
      <c r="B5138" s="3" t="s">
        <v>27090</v>
      </c>
      <c r="C5138" s="3" t="s">
        <v>31</v>
      </c>
      <c r="D5138" s="3" t="s">
        <v>32</v>
      </c>
      <c r="E5138" s="4" t="s">
        <v>22</v>
      </c>
      <c r="F5138" s="4" t="s">
        <v>27063</v>
      </c>
      <c r="G5138" s="4" t="s">
        <v>27064</v>
      </c>
      <c r="H5138" s="3" t="s">
        <v>26808</v>
      </c>
      <c r="I5138" s="3" t="s">
        <v>27065</v>
      </c>
      <c r="J5138" s="3" t="s">
        <v>27091</v>
      </c>
      <c r="K5138" s="3" t="s">
        <v>27092</v>
      </c>
      <c r="L5138" s="3" t="s">
        <v>27093</v>
      </c>
      <c r="M5138" s="4"/>
      <c r="N5138" s="3" t="s">
        <v>37</v>
      </c>
      <c r="O5138" s="3" t="s">
        <v>8857</v>
      </c>
      <c r="P5138" s="5">
        <v>29</v>
      </c>
      <c r="Q5138" s="5">
        <v>775</v>
      </c>
      <c r="R5138" s="5">
        <v>29</v>
      </c>
      <c r="S5138" s="5">
        <v>761</v>
      </c>
    </row>
    <row r="5139" spans="1:19" ht="42" x14ac:dyDescent="0.15">
      <c r="A5139" s="2">
        <f>HYPERLINK("https://open-school.uspishnemisto.com.ua/school/260070/", 260070)</f>
        <v>260070</v>
      </c>
      <c r="B5139" s="3" t="s">
        <v>27094</v>
      </c>
      <c r="C5139" s="3" t="s">
        <v>31</v>
      </c>
      <c r="D5139" s="3" t="s">
        <v>32</v>
      </c>
      <c r="E5139" s="4" t="s">
        <v>22</v>
      </c>
      <c r="F5139" s="4" t="s">
        <v>27063</v>
      </c>
      <c r="G5139" s="4" t="s">
        <v>27064</v>
      </c>
      <c r="H5139" s="3" t="s">
        <v>26808</v>
      </c>
      <c r="I5139" s="3" t="s">
        <v>27065</v>
      </c>
      <c r="J5139" s="3" t="s">
        <v>27095</v>
      </c>
      <c r="K5139" s="3" t="s">
        <v>27096</v>
      </c>
      <c r="L5139" s="3"/>
      <c r="M5139" s="4"/>
      <c r="N5139" s="3" t="s">
        <v>37</v>
      </c>
      <c r="O5139" s="3" t="s">
        <v>237</v>
      </c>
      <c r="P5139" s="5">
        <v>29</v>
      </c>
      <c r="Q5139" s="5">
        <v>752</v>
      </c>
      <c r="R5139" s="5">
        <v>28</v>
      </c>
      <c r="S5139" s="5">
        <v>744</v>
      </c>
    </row>
    <row r="5140" spans="1:19" ht="42" x14ac:dyDescent="0.15">
      <c r="A5140" s="2">
        <f>HYPERLINK("https://open-school.uspishnemisto.com.ua/school/260071/", 260071)</f>
        <v>260071</v>
      </c>
      <c r="B5140" s="3" t="s">
        <v>27097</v>
      </c>
      <c r="C5140" s="3" t="s">
        <v>244</v>
      </c>
      <c r="D5140" s="3" t="s">
        <v>32</v>
      </c>
      <c r="E5140" s="4" t="s">
        <v>22</v>
      </c>
      <c r="F5140" s="4" t="s">
        <v>27063</v>
      </c>
      <c r="G5140" s="4" t="s">
        <v>27064</v>
      </c>
      <c r="H5140" s="3" t="s">
        <v>26808</v>
      </c>
      <c r="I5140" s="3" t="s">
        <v>27065</v>
      </c>
      <c r="J5140" s="3" t="s">
        <v>27098</v>
      </c>
      <c r="K5140" s="3" t="s">
        <v>27099</v>
      </c>
      <c r="L5140" s="3" t="s">
        <v>27100</v>
      </c>
      <c r="M5140" s="4"/>
      <c r="N5140" s="3" t="s">
        <v>37</v>
      </c>
      <c r="O5140" s="3" t="s">
        <v>167</v>
      </c>
      <c r="P5140" s="5">
        <v>30</v>
      </c>
      <c r="Q5140" s="5">
        <v>761</v>
      </c>
      <c r="R5140" s="5">
        <v>30</v>
      </c>
      <c r="S5140" s="5">
        <v>748</v>
      </c>
    </row>
    <row r="5141" spans="1:19" ht="42" x14ac:dyDescent="0.15">
      <c r="A5141" s="2">
        <f>HYPERLINK("https://open-school.uspishnemisto.com.ua/school/260072/", 260072)</f>
        <v>260072</v>
      </c>
      <c r="B5141" s="3" t="s">
        <v>27101</v>
      </c>
      <c r="C5141" s="3" t="s">
        <v>181</v>
      </c>
      <c r="D5141" s="3" t="s">
        <v>32</v>
      </c>
      <c r="E5141" s="4" t="s">
        <v>22</v>
      </c>
      <c r="F5141" s="4" t="s">
        <v>27063</v>
      </c>
      <c r="G5141" s="4" t="s">
        <v>27064</v>
      </c>
      <c r="H5141" s="3" t="s">
        <v>26808</v>
      </c>
      <c r="I5141" s="3" t="s">
        <v>27065</v>
      </c>
      <c r="J5141" s="3" t="s">
        <v>27102</v>
      </c>
      <c r="K5141" s="3" t="s">
        <v>27103</v>
      </c>
      <c r="L5141" s="3"/>
      <c r="M5141" s="4" t="s">
        <v>27104</v>
      </c>
      <c r="N5141" s="3" t="s">
        <v>37</v>
      </c>
      <c r="O5141" s="3"/>
      <c r="P5141" s="5">
        <v>9</v>
      </c>
      <c r="Q5141" s="5">
        <v>75</v>
      </c>
      <c r="R5141" s="5">
        <v>10</v>
      </c>
      <c r="S5141" s="5">
        <v>82</v>
      </c>
    </row>
    <row r="5142" spans="1:19" ht="42" x14ac:dyDescent="0.15">
      <c r="A5142" s="2">
        <f>HYPERLINK("https://open-school.uspishnemisto.com.ua/school/260073/", 260073)</f>
        <v>260073</v>
      </c>
      <c r="B5142" s="3" t="s">
        <v>27105</v>
      </c>
      <c r="C5142" s="3" t="s">
        <v>181</v>
      </c>
      <c r="D5142" s="3" t="s">
        <v>32</v>
      </c>
      <c r="E5142" s="4" t="s">
        <v>22</v>
      </c>
      <c r="F5142" s="4" t="s">
        <v>27078</v>
      </c>
      <c r="G5142" s="4" t="s">
        <v>27064</v>
      </c>
      <c r="H5142" s="3" t="s">
        <v>26808</v>
      </c>
      <c r="I5142" s="3" t="s">
        <v>27065</v>
      </c>
      <c r="J5142" s="3" t="s">
        <v>27106</v>
      </c>
      <c r="K5142" s="3" t="s">
        <v>27107</v>
      </c>
      <c r="L5142" s="3" t="s">
        <v>27108</v>
      </c>
      <c r="M5142" s="4" t="s">
        <v>27109</v>
      </c>
      <c r="N5142" s="3" t="s">
        <v>37</v>
      </c>
      <c r="O5142" s="3" t="s">
        <v>52</v>
      </c>
      <c r="P5142" s="5">
        <v>14</v>
      </c>
      <c r="Q5142" s="5">
        <v>92</v>
      </c>
      <c r="R5142" s="5">
        <v>14</v>
      </c>
      <c r="S5142" s="5">
        <v>93</v>
      </c>
    </row>
    <row r="5143" spans="1:19" ht="42" x14ac:dyDescent="0.15">
      <c r="A5143" s="2">
        <f>HYPERLINK("https://open-school.uspishnemisto.com.ua/school/260074/", 260074)</f>
        <v>260074</v>
      </c>
      <c r="B5143" s="3" t="s">
        <v>27110</v>
      </c>
      <c r="C5143" s="3" t="s">
        <v>54</v>
      </c>
      <c r="D5143" s="3" t="s">
        <v>32</v>
      </c>
      <c r="E5143" s="4" t="s">
        <v>22</v>
      </c>
      <c r="F5143" s="4" t="s">
        <v>27063</v>
      </c>
      <c r="G5143" s="4" t="s">
        <v>27064</v>
      </c>
      <c r="H5143" s="3" t="s">
        <v>26808</v>
      </c>
      <c r="I5143" s="3" t="s">
        <v>27065</v>
      </c>
      <c r="J5143" s="3" t="s">
        <v>27111</v>
      </c>
      <c r="K5143" s="3" t="s">
        <v>27112</v>
      </c>
      <c r="L5143" s="3"/>
      <c r="M5143" s="4"/>
      <c r="N5143" s="3" t="s">
        <v>37</v>
      </c>
      <c r="O5143" s="3" t="s">
        <v>237</v>
      </c>
      <c r="P5143" s="5">
        <v>43</v>
      </c>
      <c r="Q5143" s="5">
        <v>1201</v>
      </c>
      <c r="R5143" s="5">
        <v>41</v>
      </c>
      <c r="S5143" s="5">
        <v>1190</v>
      </c>
    </row>
    <row r="5144" spans="1:19" ht="42" x14ac:dyDescent="0.15">
      <c r="A5144" s="2">
        <f>HYPERLINK("https://open-school.uspishnemisto.com.ua/school/260075/", 260075)</f>
        <v>260075</v>
      </c>
      <c r="B5144" s="3" t="s">
        <v>27113</v>
      </c>
      <c r="C5144" s="3" t="s">
        <v>40</v>
      </c>
      <c r="D5144" s="3" t="s">
        <v>32</v>
      </c>
      <c r="E5144" s="4" t="s">
        <v>22</v>
      </c>
      <c r="F5144" s="4" t="s">
        <v>27114</v>
      </c>
      <c r="G5144" s="4" t="s">
        <v>27115</v>
      </c>
      <c r="H5144" s="3" t="s">
        <v>26808</v>
      </c>
      <c r="I5144" s="3" t="s">
        <v>27116</v>
      </c>
      <c r="J5144" s="3" t="s">
        <v>16653</v>
      </c>
      <c r="K5144" s="3"/>
      <c r="L5144" s="3" t="s">
        <v>27117</v>
      </c>
      <c r="M5144" s="4" t="s">
        <v>27118</v>
      </c>
      <c r="N5144" s="3" t="s">
        <v>37</v>
      </c>
      <c r="O5144" s="3" t="s">
        <v>46</v>
      </c>
      <c r="P5144" s="5">
        <v>14</v>
      </c>
      <c r="Q5144" s="5">
        <v>408</v>
      </c>
      <c r="R5144" s="5">
        <v>14</v>
      </c>
      <c r="S5144" s="5">
        <v>403</v>
      </c>
    </row>
    <row r="5145" spans="1:19" ht="42" x14ac:dyDescent="0.15">
      <c r="A5145" s="2">
        <f>HYPERLINK("https://open-school.uspishnemisto.com.ua/school/260076/", 260076)</f>
        <v>260076</v>
      </c>
      <c r="B5145" s="3" t="s">
        <v>27119</v>
      </c>
      <c r="C5145" s="3" t="s">
        <v>31</v>
      </c>
      <c r="D5145" s="3" t="s">
        <v>175</v>
      </c>
      <c r="E5145" s="4" t="s">
        <v>22</v>
      </c>
      <c r="F5145" s="4" t="s">
        <v>27114</v>
      </c>
      <c r="G5145" s="4" t="s">
        <v>27115</v>
      </c>
      <c r="H5145" s="3" t="s">
        <v>26808</v>
      </c>
      <c r="I5145" s="3" t="s">
        <v>27116</v>
      </c>
      <c r="J5145" s="3" t="s">
        <v>27120</v>
      </c>
      <c r="K5145" s="3" t="s">
        <v>27121</v>
      </c>
      <c r="L5145" s="3" t="s">
        <v>27122</v>
      </c>
      <c r="M5145" s="4" t="s">
        <v>27123</v>
      </c>
      <c r="N5145" s="3" t="s">
        <v>37</v>
      </c>
      <c r="O5145" s="3" t="s">
        <v>139</v>
      </c>
      <c r="P5145" s="5">
        <v>13</v>
      </c>
      <c r="Q5145" s="5">
        <v>286</v>
      </c>
      <c r="R5145" s="5">
        <v>14</v>
      </c>
      <c r="S5145" s="5">
        <v>302</v>
      </c>
    </row>
    <row r="5146" spans="1:19" ht="42" x14ac:dyDescent="0.15">
      <c r="A5146" s="2">
        <f>HYPERLINK("https://open-school.uspishnemisto.com.ua/school/260077/", 260077)</f>
        <v>260077</v>
      </c>
      <c r="B5146" s="3" t="s">
        <v>27124</v>
      </c>
      <c r="C5146" s="3" t="s">
        <v>31</v>
      </c>
      <c r="D5146" s="3" t="s">
        <v>175</v>
      </c>
      <c r="E5146" s="4" t="s">
        <v>22</v>
      </c>
      <c r="F5146" s="4" t="s">
        <v>27114</v>
      </c>
      <c r="G5146" s="4" t="s">
        <v>27115</v>
      </c>
      <c r="H5146" s="3" t="s">
        <v>26808</v>
      </c>
      <c r="I5146" s="3" t="s">
        <v>27116</v>
      </c>
      <c r="J5146" s="3" t="s">
        <v>27125</v>
      </c>
      <c r="K5146" s="3" t="s">
        <v>27126</v>
      </c>
      <c r="L5146" s="3" t="s">
        <v>27127</v>
      </c>
      <c r="M5146" s="4" t="s">
        <v>27128</v>
      </c>
      <c r="N5146" s="3" t="s">
        <v>37</v>
      </c>
      <c r="O5146" s="3" t="s">
        <v>237</v>
      </c>
      <c r="P5146" s="5">
        <v>10</v>
      </c>
      <c r="Q5146" s="5">
        <v>238</v>
      </c>
      <c r="R5146" s="5">
        <v>9</v>
      </c>
      <c r="S5146" s="5">
        <v>225</v>
      </c>
    </row>
    <row r="5147" spans="1:19" ht="42" x14ac:dyDescent="0.15">
      <c r="A5147" s="2">
        <f>HYPERLINK("https://open-school.uspishnemisto.com.ua/school/260078/", 260078)</f>
        <v>260078</v>
      </c>
      <c r="B5147" s="3" t="s">
        <v>27129</v>
      </c>
      <c r="C5147" s="3" t="s">
        <v>31</v>
      </c>
      <c r="D5147" s="3" t="s">
        <v>32</v>
      </c>
      <c r="E5147" s="4" t="s">
        <v>22</v>
      </c>
      <c r="F5147" s="4" t="s">
        <v>27114</v>
      </c>
      <c r="G5147" s="4" t="s">
        <v>27115</v>
      </c>
      <c r="H5147" s="3" t="s">
        <v>26808</v>
      </c>
      <c r="I5147" s="3" t="s">
        <v>27116</v>
      </c>
      <c r="J5147" s="3" t="s">
        <v>5230</v>
      </c>
      <c r="K5147" s="3" t="s">
        <v>27130</v>
      </c>
      <c r="L5147" s="3"/>
      <c r="M5147" s="4" t="s">
        <v>27131</v>
      </c>
      <c r="N5147" s="3" t="s">
        <v>37</v>
      </c>
      <c r="O5147" s="3" t="s">
        <v>139</v>
      </c>
      <c r="P5147" s="5">
        <v>22</v>
      </c>
      <c r="Q5147" s="5">
        <v>573</v>
      </c>
      <c r="R5147" s="5">
        <v>22</v>
      </c>
      <c r="S5147" s="5">
        <v>550</v>
      </c>
    </row>
    <row r="5148" spans="1:19" ht="42" x14ac:dyDescent="0.15">
      <c r="A5148" s="2">
        <f>HYPERLINK("https://open-school.uspishnemisto.com.ua/school/260079/", 260079)</f>
        <v>260079</v>
      </c>
      <c r="B5148" s="3" t="s">
        <v>27132</v>
      </c>
      <c r="C5148" s="3" t="s">
        <v>31</v>
      </c>
      <c r="D5148" s="3" t="s">
        <v>32</v>
      </c>
      <c r="E5148" s="4" t="s">
        <v>22</v>
      </c>
      <c r="F5148" s="4" t="s">
        <v>27114</v>
      </c>
      <c r="G5148" s="4" t="s">
        <v>27115</v>
      </c>
      <c r="H5148" s="3" t="s">
        <v>26808</v>
      </c>
      <c r="I5148" s="3" t="s">
        <v>27116</v>
      </c>
      <c r="J5148" s="3" t="s">
        <v>27133</v>
      </c>
      <c r="K5148" s="3"/>
      <c r="L5148" s="3" t="s">
        <v>27134</v>
      </c>
      <c r="M5148" s="4" t="s">
        <v>27135</v>
      </c>
      <c r="N5148" s="3" t="s">
        <v>37</v>
      </c>
      <c r="O5148" s="3" t="s">
        <v>237</v>
      </c>
      <c r="P5148" s="5">
        <v>14</v>
      </c>
      <c r="Q5148" s="5">
        <v>318</v>
      </c>
      <c r="R5148" s="5">
        <v>14</v>
      </c>
      <c r="S5148" s="5">
        <v>330</v>
      </c>
    </row>
    <row r="5149" spans="1:19" ht="42" x14ac:dyDescent="0.15">
      <c r="A5149" s="2">
        <f>HYPERLINK("https://open-school.uspishnemisto.com.ua/school/260080/", 260080)</f>
        <v>260080</v>
      </c>
      <c r="B5149" s="3" t="s">
        <v>27136</v>
      </c>
      <c r="C5149" s="3" t="s">
        <v>31</v>
      </c>
      <c r="D5149" s="3" t="s">
        <v>32</v>
      </c>
      <c r="E5149" s="4" t="s">
        <v>22</v>
      </c>
      <c r="F5149" s="4" t="s">
        <v>27114</v>
      </c>
      <c r="G5149" s="4" t="s">
        <v>27115</v>
      </c>
      <c r="H5149" s="3" t="s">
        <v>26808</v>
      </c>
      <c r="I5149" s="3" t="s">
        <v>27116</v>
      </c>
      <c r="J5149" s="3" t="s">
        <v>27137</v>
      </c>
      <c r="K5149" s="3" t="s">
        <v>27138</v>
      </c>
      <c r="L5149" s="3" t="s">
        <v>27139</v>
      </c>
      <c r="M5149" s="4" t="s">
        <v>27140</v>
      </c>
      <c r="N5149" s="3" t="s">
        <v>37</v>
      </c>
      <c r="O5149" s="3" t="s">
        <v>237</v>
      </c>
      <c r="P5149" s="5">
        <v>41</v>
      </c>
      <c r="Q5149" s="5">
        <v>1168</v>
      </c>
      <c r="R5149" s="5">
        <v>39</v>
      </c>
      <c r="S5149" s="5">
        <v>1118</v>
      </c>
    </row>
    <row r="5150" spans="1:19" ht="42" x14ac:dyDescent="0.15">
      <c r="A5150" s="2">
        <f>HYPERLINK("https://open-school.uspishnemisto.com.ua/school/260081/", 260081)</f>
        <v>260081</v>
      </c>
      <c r="B5150" s="3" t="s">
        <v>27141</v>
      </c>
      <c r="C5150" s="3" t="s">
        <v>31</v>
      </c>
      <c r="D5150" s="3" t="s">
        <v>32</v>
      </c>
      <c r="E5150" s="4" t="s">
        <v>22</v>
      </c>
      <c r="F5150" s="4" t="s">
        <v>27114</v>
      </c>
      <c r="G5150" s="4" t="s">
        <v>27115</v>
      </c>
      <c r="H5150" s="3" t="s">
        <v>26808</v>
      </c>
      <c r="I5150" s="3" t="s">
        <v>27116</v>
      </c>
      <c r="J5150" s="3" t="s">
        <v>27142</v>
      </c>
      <c r="K5150" s="3" t="s">
        <v>27143</v>
      </c>
      <c r="L5150" s="3" t="s">
        <v>27144</v>
      </c>
      <c r="M5150" s="4" t="s">
        <v>27145</v>
      </c>
      <c r="N5150" s="3" t="s">
        <v>37</v>
      </c>
      <c r="O5150" s="3" t="s">
        <v>1081</v>
      </c>
      <c r="P5150" s="5">
        <v>22</v>
      </c>
      <c r="Q5150" s="5">
        <v>582</v>
      </c>
      <c r="R5150" s="5">
        <v>21</v>
      </c>
      <c r="S5150" s="5">
        <v>563</v>
      </c>
    </row>
    <row r="5151" spans="1:19" ht="42" x14ac:dyDescent="0.15">
      <c r="A5151" s="2">
        <f>HYPERLINK("https://open-school.uspishnemisto.com.ua/school/260082/", 260082)</f>
        <v>260082</v>
      </c>
      <c r="B5151" s="3" t="s">
        <v>27146</v>
      </c>
      <c r="C5151" s="3" t="s">
        <v>31</v>
      </c>
      <c r="D5151" s="3" t="s">
        <v>32</v>
      </c>
      <c r="E5151" s="4" t="s">
        <v>22</v>
      </c>
      <c r="F5151" s="4" t="s">
        <v>27147</v>
      </c>
      <c r="G5151" s="4" t="s">
        <v>27115</v>
      </c>
      <c r="H5151" s="3" t="s">
        <v>26808</v>
      </c>
      <c r="I5151" s="3" t="s">
        <v>27116</v>
      </c>
      <c r="J5151" s="3" t="s">
        <v>27148</v>
      </c>
      <c r="K5151" s="3" t="s">
        <v>27149</v>
      </c>
      <c r="L5151" s="3" t="s">
        <v>27150</v>
      </c>
      <c r="M5151" s="4" t="s">
        <v>27151</v>
      </c>
      <c r="N5151" s="3" t="s">
        <v>37</v>
      </c>
      <c r="O5151" s="3" t="s">
        <v>1081</v>
      </c>
      <c r="P5151" s="5">
        <v>24</v>
      </c>
      <c r="Q5151" s="5">
        <v>542</v>
      </c>
      <c r="R5151" s="5">
        <v>22</v>
      </c>
      <c r="S5151" s="5">
        <v>517</v>
      </c>
    </row>
    <row r="5152" spans="1:19" ht="42" x14ac:dyDescent="0.15">
      <c r="A5152" s="2">
        <f>HYPERLINK("https://open-school.uspishnemisto.com.ua/school/260083/", 260083)</f>
        <v>260083</v>
      </c>
      <c r="B5152" s="3" t="s">
        <v>27152</v>
      </c>
      <c r="C5152" s="3" t="s">
        <v>31</v>
      </c>
      <c r="D5152" s="3" t="s">
        <v>32</v>
      </c>
      <c r="E5152" s="4" t="s">
        <v>22</v>
      </c>
      <c r="F5152" s="4" t="s">
        <v>27114</v>
      </c>
      <c r="G5152" s="4" t="s">
        <v>27115</v>
      </c>
      <c r="H5152" s="3" t="s">
        <v>26808</v>
      </c>
      <c r="I5152" s="3" t="s">
        <v>27116</v>
      </c>
      <c r="J5152" s="3" t="s">
        <v>27153</v>
      </c>
      <c r="K5152" s="3" t="s">
        <v>27154</v>
      </c>
      <c r="L5152" s="3" t="s">
        <v>27155</v>
      </c>
      <c r="M5152" s="4" t="s">
        <v>27156</v>
      </c>
      <c r="N5152" s="3" t="s">
        <v>37</v>
      </c>
      <c r="O5152" s="3" t="s">
        <v>52</v>
      </c>
      <c r="P5152" s="5">
        <v>30</v>
      </c>
      <c r="Q5152" s="5">
        <v>772</v>
      </c>
      <c r="R5152" s="5">
        <v>30</v>
      </c>
      <c r="S5152" s="5">
        <v>771</v>
      </c>
    </row>
    <row r="5153" spans="1:19" ht="42" x14ac:dyDescent="0.15">
      <c r="A5153" s="2">
        <f>HYPERLINK("https://open-school.uspishnemisto.com.ua/school/260084/", 260084)</f>
        <v>260084</v>
      </c>
      <c r="B5153" s="3" t="s">
        <v>27157</v>
      </c>
      <c r="C5153" s="3" t="s">
        <v>244</v>
      </c>
      <c r="D5153" s="3" t="s">
        <v>32</v>
      </c>
      <c r="E5153" s="4" t="s">
        <v>22</v>
      </c>
      <c r="F5153" s="4" t="s">
        <v>27114</v>
      </c>
      <c r="G5153" s="4" t="s">
        <v>27115</v>
      </c>
      <c r="H5153" s="3" t="s">
        <v>26808</v>
      </c>
      <c r="I5153" s="3" t="s">
        <v>27116</v>
      </c>
      <c r="J5153" s="3" t="s">
        <v>27158</v>
      </c>
      <c r="K5153" s="3" t="s">
        <v>27159</v>
      </c>
      <c r="L5153" s="3" t="s">
        <v>27160</v>
      </c>
      <c r="M5153" s="4" t="s">
        <v>27161</v>
      </c>
      <c r="N5153" s="3" t="s">
        <v>37</v>
      </c>
      <c r="O5153" s="3" t="s">
        <v>46</v>
      </c>
      <c r="P5153" s="5">
        <v>41</v>
      </c>
      <c r="Q5153" s="5">
        <v>1192</v>
      </c>
      <c r="R5153" s="5">
        <v>41</v>
      </c>
      <c r="S5153" s="5">
        <v>1197</v>
      </c>
    </row>
    <row r="5154" spans="1:19" ht="42" x14ac:dyDescent="0.15">
      <c r="A5154" s="2">
        <f>HYPERLINK("https://open-school.uspishnemisto.com.ua/school/260085/", 260085)</f>
        <v>260085</v>
      </c>
      <c r="B5154" s="3" t="s">
        <v>27162</v>
      </c>
      <c r="C5154" s="3" t="s">
        <v>54</v>
      </c>
      <c r="D5154" s="3" t="s">
        <v>60</v>
      </c>
      <c r="E5154" s="4" t="s">
        <v>22</v>
      </c>
      <c r="F5154" s="4" t="s">
        <v>27114</v>
      </c>
      <c r="G5154" s="4" t="s">
        <v>27115</v>
      </c>
      <c r="H5154" s="3" t="s">
        <v>26808</v>
      </c>
      <c r="I5154" s="3" t="s">
        <v>27116</v>
      </c>
      <c r="J5154" s="3" t="s">
        <v>27163</v>
      </c>
      <c r="K5154" s="3" t="s">
        <v>27164</v>
      </c>
      <c r="L5154" s="3"/>
      <c r="M5154" s="4" t="s">
        <v>27165</v>
      </c>
      <c r="N5154" s="3" t="s">
        <v>37</v>
      </c>
      <c r="O5154" s="3" t="s">
        <v>52</v>
      </c>
      <c r="P5154" s="5">
        <v>4</v>
      </c>
      <c r="Q5154" s="5">
        <v>117</v>
      </c>
      <c r="R5154" s="5">
        <v>4</v>
      </c>
      <c r="S5154" s="5">
        <v>113</v>
      </c>
    </row>
    <row r="5155" spans="1:19" ht="42" x14ac:dyDescent="0.15">
      <c r="A5155" s="2">
        <f>HYPERLINK("https://open-school.uspishnemisto.com.ua/school/260086/", 260086)</f>
        <v>260086</v>
      </c>
      <c r="B5155" s="3" t="s">
        <v>27166</v>
      </c>
      <c r="C5155" s="3" t="s">
        <v>54</v>
      </c>
      <c r="D5155" s="3"/>
      <c r="E5155" s="4" t="s">
        <v>22</v>
      </c>
      <c r="F5155" s="4" t="s">
        <v>27147</v>
      </c>
      <c r="G5155" s="4" t="s">
        <v>27115</v>
      </c>
      <c r="H5155" s="3" t="s">
        <v>26808</v>
      </c>
      <c r="I5155" s="3" t="s">
        <v>27116</v>
      </c>
      <c r="J5155" s="3" t="s">
        <v>27167</v>
      </c>
      <c r="K5155" s="3" t="s">
        <v>27168</v>
      </c>
      <c r="L5155" s="3"/>
      <c r="M5155" s="4" t="s">
        <v>27169</v>
      </c>
      <c r="N5155" s="3" t="s">
        <v>37</v>
      </c>
      <c r="O5155" s="3" t="s">
        <v>139</v>
      </c>
      <c r="P5155" s="5">
        <v>31</v>
      </c>
      <c r="Q5155" s="5">
        <v>835</v>
      </c>
      <c r="R5155" s="5">
        <v>29</v>
      </c>
      <c r="S5155" s="5">
        <v>781</v>
      </c>
    </row>
    <row r="5156" spans="1:19" ht="42" x14ac:dyDescent="0.15">
      <c r="A5156" s="2">
        <f>HYPERLINK("https://open-school.uspishnemisto.com.ua/school/260087/", 260087)</f>
        <v>260087</v>
      </c>
      <c r="B5156" s="3" t="s">
        <v>27170</v>
      </c>
      <c r="C5156" s="3" t="s">
        <v>31</v>
      </c>
      <c r="D5156" s="3" t="s">
        <v>175</v>
      </c>
      <c r="E5156" s="4" t="s">
        <v>22</v>
      </c>
      <c r="F5156" s="4" t="s">
        <v>27171</v>
      </c>
      <c r="G5156" s="4" t="s">
        <v>27172</v>
      </c>
      <c r="H5156" s="3" t="s">
        <v>26808</v>
      </c>
      <c r="I5156" s="3" t="s">
        <v>27173</v>
      </c>
      <c r="J5156" s="3" t="s">
        <v>27174</v>
      </c>
      <c r="K5156" s="3" t="s">
        <v>27175</v>
      </c>
      <c r="L5156" s="3"/>
      <c r="M5156" s="4" t="s">
        <v>27176</v>
      </c>
      <c r="N5156" s="3" t="s">
        <v>37</v>
      </c>
      <c r="O5156" s="3" t="s">
        <v>2740</v>
      </c>
      <c r="P5156" s="5">
        <v>9</v>
      </c>
      <c r="Q5156" s="5">
        <v>98</v>
      </c>
      <c r="R5156" s="5">
        <v>9</v>
      </c>
      <c r="S5156" s="5">
        <v>99</v>
      </c>
    </row>
    <row r="5157" spans="1:19" ht="42" x14ac:dyDescent="0.15">
      <c r="A5157" s="2">
        <f>HYPERLINK("https://open-school.uspishnemisto.com.ua/school/260088/", 260088)</f>
        <v>260088</v>
      </c>
      <c r="B5157" s="3" t="s">
        <v>27177</v>
      </c>
      <c r="C5157" s="3" t="s">
        <v>31</v>
      </c>
      <c r="D5157" s="3" t="s">
        <v>32</v>
      </c>
      <c r="E5157" s="4" t="s">
        <v>22</v>
      </c>
      <c r="F5157" s="4" t="s">
        <v>27171</v>
      </c>
      <c r="G5157" s="4" t="s">
        <v>27172</v>
      </c>
      <c r="H5157" s="3" t="s">
        <v>26808</v>
      </c>
      <c r="I5157" s="3" t="s">
        <v>27173</v>
      </c>
      <c r="J5157" s="3" t="s">
        <v>27178</v>
      </c>
      <c r="K5157" s="3" t="s">
        <v>27179</v>
      </c>
      <c r="L5157" s="3" t="s">
        <v>27180</v>
      </c>
      <c r="M5157" s="4" t="s">
        <v>27181</v>
      </c>
      <c r="N5157" s="3" t="s">
        <v>37</v>
      </c>
      <c r="O5157" s="3" t="s">
        <v>139</v>
      </c>
      <c r="P5157" s="5">
        <v>23</v>
      </c>
      <c r="Q5157" s="5">
        <v>547</v>
      </c>
      <c r="R5157" s="5">
        <v>21</v>
      </c>
      <c r="S5157" s="5">
        <v>514</v>
      </c>
    </row>
    <row r="5158" spans="1:19" ht="42" x14ac:dyDescent="0.15">
      <c r="A5158" s="2">
        <f>HYPERLINK("https://open-school.uspishnemisto.com.ua/school/260089/", 260089)</f>
        <v>260089</v>
      </c>
      <c r="B5158" s="3" t="s">
        <v>27182</v>
      </c>
      <c r="C5158" s="3" t="s">
        <v>31</v>
      </c>
      <c r="D5158" s="3" t="s">
        <v>32</v>
      </c>
      <c r="E5158" s="4" t="s">
        <v>22</v>
      </c>
      <c r="F5158" s="4" t="s">
        <v>27171</v>
      </c>
      <c r="G5158" s="4" t="s">
        <v>27172</v>
      </c>
      <c r="H5158" s="3" t="s">
        <v>26808</v>
      </c>
      <c r="I5158" s="3" t="s">
        <v>27173</v>
      </c>
      <c r="J5158" s="3" t="s">
        <v>27183</v>
      </c>
      <c r="K5158" s="3" t="s">
        <v>27184</v>
      </c>
      <c r="L5158" s="3"/>
      <c r="M5158" s="4" t="s">
        <v>27185</v>
      </c>
      <c r="N5158" s="3" t="s">
        <v>37</v>
      </c>
      <c r="O5158" s="3" t="s">
        <v>2740</v>
      </c>
      <c r="P5158" s="5">
        <v>18</v>
      </c>
      <c r="Q5158" s="5">
        <v>350</v>
      </c>
      <c r="R5158" s="5">
        <v>18</v>
      </c>
      <c r="S5158" s="5">
        <v>349</v>
      </c>
    </row>
    <row r="5159" spans="1:19" ht="42" x14ac:dyDescent="0.15">
      <c r="A5159" s="2">
        <f>HYPERLINK("https://open-school.uspishnemisto.com.ua/school/260090/", 260090)</f>
        <v>260090</v>
      </c>
      <c r="B5159" s="3" t="s">
        <v>27186</v>
      </c>
      <c r="C5159" s="3" t="s">
        <v>31</v>
      </c>
      <c r="D5159" s="3" t="s">
        <v>32</v>
      </c>
      <c r="E5159" s="4" t="s">
        <v>22</v>
      </c>
      <c r="F5159" s="4" t="s">
        <v>27187</v>
      </c>
      <c r="G5159" s="4" t="s">
        <v>27188</v>
      </c>
      <c r="H5159" s="3" t="s">
        <v>26808</v>
      </c>
      <c r="I5159" s="3" t="s">
        <v>27189</v>
      </c>
      <c r="J5159" s="3" t="s">
        <v>27190</v>
      </c>
      <c r="K5159" s="3" t="s">
        <v>27191</v>
      </c>
      <c r="L5159" s="3" t="s">
        <v>27192</v>
      </c>
      <c r="M5159" s="4" t="s">
        <v>27193</v>
      </c>
      <c r="N5159" s="3" t="s">
        <v>37</v>
      </c>
      <c r="O5159" s="3" t="s">
        <v>2740</v>
      </c>
      <c r="P5159" s="5">
        <v>23</v>
      </c>
      <c r="Q5159" s="5">
        <v>551</v>
      </c>
      <c r="R5159" s="5">
        <v>21</v>
      </c>
      <c r="S5159" s="5">
        <v>518</v>
      </c>
    </row>
    <row r="5160" spans="1:19" ht="42" x14ac:dyDescent="0.15">
      <c r="A5160" s="2">
        <f>HYPERLINK("https://open-school.uspishnemisto.com.ua/school/260091/", 260091)</f>
        <v>260091</v>
      </c>
      <c r="B5160" s="3" t="s">
        <v>27194</v>
      </c>
      <c r="C5160" s="3" t="s">
        <v>31</v>
      </c>
      <c r="D5160" s="3" t="s">
        <v>175</v>
      </c>
      <c r="E5160" s="4" t="s">
        <v>22</v>
      </c>
      <c r="F5160" s="4" t="s">
        <v>27195</v>
      </c>
      <c r="G5160" s="4" t="s">
        <v>27196</v>
      </c>
      <c r="H5160" s="3" t="s">
        <v>26808</v>
      </c>
      <c r="I5160" s="3" t="s">
        <v>27197</v>
      </c>
      <c r="J5160" s="3" t="s">
        <v>27198</v>
      </c>
      <c r="K5160" s="3" t="s">
        <v>27199</v>
      </c>
      <c r="L5160" s="3"/>
      <c r="M5160" s="4" t="s">
        <v>27200</v>
      </c>
      <c r="N5160" s="3" t="s">
        <v>37</v>
      </c>
      <c r="O5160" s="3" t="s">
        <v>2740</v>
      </c>
      <c r="P5160" s="5">
        <v>9</v>
      </c>
      <c r="Q5160" s="5">
        <v>156</v>
      </c>
      <c r="R5160" s="5">
        <v>9</v>
      </c>
      <c r="S5160" s="5">
        <v>148</v>
      </c>
    </row>
    <row r="5161" spans="1:19" ht="42" x14ac:dyDescent="0.15">
      <c r="A5161" s="2">
        <f>HYPERLINK("https://open-school.uspishnemisto.com.ua/school/260092/", 260092)</f>
        <v>260092</v>
      </c>
      <c r="B5161" s="3" t="s">
        <v>27201</v>
      </c>
      <c r="C5161" s="3" t="s">
        <v>31</v>
      </c>
      <c r="D5161" s="3" t="s">
        <v>32</v>
      </c>
      <c r="E5161" s="4" t="s">
        <v>22</v>
      </c>
      <c r="F5161" s="4" t="s">
        <v>27202</v>
      </c>
      <c r="G5161" s="4" t="s">
        <v>27203</v>
      </c>
      <c r="H5161" s="3" t="s">
        <v>26808</v>
      </c>
      <c r="I5161" s="3" t="s">
        <v>27204</v>
      </c>
      <c r="J5161" s="3" t="s">
        <v>634</v>
      </c>
      <c r="K5161" s="3" t="s">
        <v>27205</v>
      </c>
      <c r="L5161" s="3" t="s">
        <v>27206</v>
      </c>
      <c r="M5161" s="4" t="s">
        <v>27207</v>
      </c>
      <c r="N5161" s="3" t="s">
        <v>37</v>
      </c>
      <c r="O5161" s="3" t="s">
        <v>2740</v>
      </c>
      <c r="P5161" s="5">
        <v>31</v>
      </c>
      <c r="Q5161" s="5">
        <v>712</v>
      </c>
      <c r="R5161" s="5">
        <v>30</v>
      </c>
      <c r="S5161" s="5">
        <v>683</v>
      </c>
    </row>
    <row r="5162" spans="1:19" ht="42" x14ac:dyDescent="0.15">
      <c r="A5162" s="2">
        <f>HYPERLINK("https://open-school.uspishnemisto.com.ua/school/260093/", 260093)</f>
        <v>260093</v>
      </c>
      <c r="B5162" s="3" t="s">
        <v>27208</v>
      </c>
      <c r="C5162" s="3" t="s">
        <v>181</v>
      </c>
      <c r="D5162" s="3" t="s">
        <v>175</v>
      </c>
      <c r="E5162" s="4" t="s">
        <v>22</v>
      </c>
      <c r="F5162" s="4" t="s">
        <v>27202</v>
      </c>
      <c r="G5162" s="4" t="s">
        <v>27203</v>
      </c>
      <c r="H5162" s="3" t="s">
        <v>26808</v>
      </c>
      <c r="I5162" s="3" t="s">
        <v>27204</v>
      </c>
      <c r="J5162" s="3" t="s">
        <v>27209</v>
      </c>
      <c r="K5162" s="3" t="s">
        <v>27210</v>
      </c>
      <c r="L5162" s="3"/>
      <c r="M5162" s="4" t="s">
        <v>27211</v>
      </c>
      <c r="N5162" s="3" t="s">
        <v>37</v>
      </c>
      <c r="O5162" s="3"/>
      <c r="P5162" s="5">
        <v>9</v>
      </c>
      <c r="Q5162" s="5">
        <v>76</v>
      </c>
      <c r="R5162" s="5">
        <v>10</v>
      </c>
      <c r="S5162" s="5">
        <v>81</v>
      </c>
    </row>
    <row r="5163" spans="1:19" ht="42" x14ac:dyDescent="0.15">
      <c r="A5163" s="2">
        <f>HYPERLINK("https://open-school.uspishnemisto.com.ua/school/260094/", 260094)</f>
        <v>260094</v>
      </c>
      <c r="B5163" s="3" t="s">
        <v>27212</v>
      </c>
      <c r="C5163" s="3" t="s">
        <v>7651</v>
      </c>
      <c r="D5163" s="3" t="s">
        <v>32</v>
      </c>
      <c r="E5163" s="4" t="s">
        <v>22</v>
      </c>
      <c r="F5163" s="4" t="s">
        <v>27202</v>
      </c>
      <c r="G5163" s="4" t="s">
        <v>27203</v>
      </c>
      <c r="H5163" s="3" t="s">
        <v>26808</v>
      </c>
      <c r="I5163" s="3" t="s">
        <v>27204</v>
      </c>
      <c r="J5163" s="3" t="s">
        <v>27213</v>
      </c>
      <c r="K5163" s="3" t="s">
        <v>27214</v>
      </c>
      <c r="L5163" s="3"/>
      <c r="M5163" s="4"/>
      <c r="N5163" s="3"/>
      <c r="O5163" s="3"/>
      <c r="P5163" s="5">
        <v>0</v>
      </c>
      <c r="Q5163" s="5">
        <v>0</v>
      </c>
      <c r="R5163" s="5"/>
      <c r="S5163" s="5"/>
    </row>
    <row r="5164" spans="1:19" ht="42" x14ac:dyDescent="0.15">
      <c r="A5164" s="2">
        <f>HYPERLINK("https://open-school.uspishnemisto.com.ua/school/260095/", 260095)</f>
        <v>260095</v>
      </c>
      <c r="B5164" s="3" t="s">
        <v>27215</v>
      </c>
      <c r="C5164" s="3" t="s">
        <v>31</v>
      </c>
      <c r="D5164" s="3" t="s">
        <v>175</v>
      </c>
      <c r="E5164" s="4" t="s">
        <v>22</v>
      </c>
      <c r="F5164" s="4" t="s">
        <v>27216</v>
      </c>
      <c r="G5164" s="4" t="s">
        <v>27217</v>
      </c>
      <c r="H5164" s="3" t="s">
        <v>26808</v>
      </c>
      <c r="I5164" s="3" t="s">
        <v>27029</v>
      </c>
      <c r="J5164" s="3" t="s">
        <v>27218</v>
      </c>
      <c r="K5164" s="3" t="s">
        <v>27219</v>
      </c>
      <c r="L5164" s="3" t="s">
        <v>27220</v>
      </c>
      <c r="M5164" s="4" t="s">
        <v>27221</v>
      </c>
      <c r="N5164" s="3" t="s">
        <v>37</v>
      </c>
      <c r="O5164" s="3" t="s">
        <v>2740</v>
      </c>
      <c r="P5164" s="5">
        <v>9</v>
      </c>
      <c r="Q5164" s="5">
        <v>174</v>
      </c>
      <c r="R5164" s="5">
        <v>9</v>
      </c>
      <c r="S5164" s="5">
        <v>158</v>
      </c>
    </row>
    <row r="5165" spans="1:19" ht="42" x14ac:dyDescent="0.15">
      <c r="A5165" s="2">
        <f>HYPERLINK("https://open-school.uspishnemisto.com.ua/school/260096/", 260096)</f>
        <v>260096</v>
      </c>
      <c r="B5165" s="3" t="s">
        <v>27222</v>
      </c>
      <c r="C5165" s="3" t="s">
        <v>31</v>
      </c>
      <c r="D5165" s="3" t="s">
        <v>32</v>
      </c>
      <c r="E5165" s="4" t="s">
        <v>22</v>
      </c>
      <c r="F5165" s="4" t="s">
        <v>27223</v>
      </c>
      <c r="G5165" s="4" t="s">
        <v>27224</v>
      </c>
      <c r="H5165" s="3" t="s">
        <v>26808</v>
      </c>
      <c r="I5165" s="3" t="s">
        <v>27225</v>
      </c>
      <c r="J5165" s="3" t="s">
        <v>27226</v>
      </c>
      <c r="K5165" s="3" t="s">
        <v>27227</v>
      </c>
      <c r="L5165" s="3" t="s">
        <v>27228</v>
      </c>
      <c r="M5165" s="4" t="s">
        <v>27229</v>
      </c>
      <c r="N5165" s="3" t="s">
        <v>37</v>
      </c>
      <c r="O5165" s="3" t="s">
        <v>52</v>
      </c>
      <c r="P5165" s="5">
        <v>19</v>
      </c>
      <c r="Q5165" s="5">
        <v>370</v>
      </c>
      <c r="R5165" s="5">
        <v>19</v>
      </c>
      <c r="S5165" s="5">
        <v>357</v>
      </c>
    </row>
    <row r="5166" spans="1:19" ht="42" x14ac:dyDescent="0.15">
      <c r="A5166" s="2">
        <f>HYPERLINK("https://open-school.uspishnemisto.com.ua/school/260097/", 260097)</f>
        <v>260097</v>
      </c>
      <c r="B5166" s="3" t="s">
        <v>27230</v>
      </c>
      <c r="C5166" s="3" t="s">
        <v>31</v>
      </c>
      <c r="D5166" s="3" t="s">
        <v>60</v>
      </c>
      <c r="E5166" s="4" t="s">
        <v>22</v>
      </c>
      <c r="F5166" s="4" t="s">
        <v>27223</v>
      </c>
      <c r="G5166" s="4" t="s">
        <v>27231</v>
      </c>
      <c r="H5166" s="3" t="s">
        <v>26808</v>
      </c>
      <c r="I5166" s="3" t="s">
        <v>27232</v>
      </c>
      <c r="J5166" s="3" t="s">
        <v>27233</v>
      </c>
      <c r="K5166" s="3" t="s">
        <v>27234</v>
      </c>
      <c r="L5166" s="3"/>
      <c r="M5166" s="4" t="s">
        <v>27235</v>
      </c>
      <c r="N5166" s="3" t="s">
        <v>37</v>
      </c>
      <c r="O5166" s="3" t="s">
        <v>52</v>
      </c>
      <c r="P5166" s="5">
        <v>4</v>
      </c>
      <c r="Q5166" s="5">
        <v>25</v>
      </c>
      <c r="R5166" s="5">
        <v>4</v>
      </c>
      <c r="S5166" s="5">
        <v>26</v>
      </c>
    </row>
    <row r="5167" spans="1:19" ht="42" x14ac:dyDescent="0.15">
      <c r="A5167" s="2">
        <f>HYPERLINK("https://open-school.uspishnemisto.com.ua/school/260098/", 260098)</f>
        <v>260098</v>
      </c>
      <c r="B5167" s="3" t="s">
        <v>27236</v>
      </c>
      <c r="C5167" s="3" t="s">
        <v>20</v>
      </c>
      <c r="D5167" s="3" t="s">
        <v>19078</v>
      </c>
      <c r="E5167" s="4" t="s">
        <v>22</v>
      </c>
      <c r="F5167" s="4" t="s">
        <v>27237</v>
      </c>
      <c r="G5167" s="4" t="s">
        <v>27238</v>
      </c>
      <c r="H5167" s="3" t="s">
        <v>26808</v>
      </c>
      <c r="I5167" s="3" t="s">
        <v>27239</v>
      </c>
      <c r="J5167" s="3" t="s">
        <v>27240</v>
      </c>
      <c r="K5167" s="3"/>
      <c r="L5167" s="3"/>
      <c r="M5167" s="4"/>
      <c r="N5167" s="3"/>
      <c r="O5167" s="3"/>
      <c r="P5167" s="5">
        <v>0</v>
      </c>
      <c r="Q5167" s="5">
        <v>0</v>
      </c>
      <c r="R5167" s="5"/>
      <c r="S5167" s="5"/>
    </row>
    <row r="5168" spans="1:19" ht="42" x14ac:dyDescent="0.15">
      <c r="A5168" s="2">
        <f>HYPERLINK("https://open-school.uspishnemisto.com.ua/school/260099/", 260099)</f>
        <v>260099</v>
      </c>
      <c r="B5168" s="3" t="s">
        <v>27241</v>
      </c>
      <c r="C5168" s="3" t="s">
        <v>31</v>
      </c>
      <c r="D5168" s="3" t="s">
        <v>32</v>
      </c>
      <c r="E5168" s="4" t="s">
        <v>22</v>
      </c>
      <c r="F5168" s="4" t="s">
        <v>27237</v>
      </c>
      <c r="G5168" s="4" t="s">
        <v>27238</v>
      </c>
      <c r="H5168" s="3" t="s">
        <v>26808</v>
      </c>
      <c r="I5168" s="3" t="s">
        <v>27239</v>
      </c>
      <c r="J5168" s="3" t="s">
        <v>27242</v>
      </c>
      <c r="K5168" s="3" t="s">
        <v>27243</v>
      </c>
      <c r="L5168" s="3"/>
      <c r="M5168" s="4"/>
      <c r="N5168" s="3" t="s">
        <v>37</v>
      </c>
      <c r="O5168" s="3" t="s">
        <v>46</v>
      </c>
      <c r="P5168" s="5">
        <v>32</v>
      </c>
      <c r="Q5168" s="5">
        <v>787</v>
      </c>
      <c r="R5168" s="5">
        <v>31</v>
      </c>
      <c r="S5168" s="5">
        <v>742</v>
      </c>
    </row>
    <row r="5169" spans="1:19" ht="42" x14ac:dyDescent="0.15">
      <c r="A5169" s="2">
        <f>HYPERLINK("https://open-school.uspishnemisto.com.ua/school/260100/", 260100)</f>
        <v>260100</v>
      </c>
      <c r="B5169" s="3" t="s">
        <v>27244</v>
      </c>
      <c r="C5169" s="3" t="s">
        <v>31</v>
      </c>
      <c r="D5169" s="3" t="s">
        <v>32</v>
      </c>
      <c r="E5169" s="4" t="s">
        <v>22</v>
      </c>
      <c r="F5169" s="4" t="s">
        <v>27237</v>
      </c>
      <c r="G5169" s="4" t="s">
        <v>27238</v>
      </c>
      <c r="H5169" s="3" t="s">
        <v>26808</v>
      </c>
      <c r="I5169" s="3" t="s">
        <v>27239</v>
      </c>
      <c r="J5169" s="3" t="s">
        <v>27245</v>
      </c>
      <c r="K5169" s="3" t="s">
        <v>27246</v>
      </c>
      <c r="L5169" s="3"/>
      <c r="M5169" s="4"/>
      <c r="N5169" s="3" t="s">
        <v>37</v>
      </c>
      <c r="O5169" s="3" t="s">
        <v>52</v>
      </c>
      <c r="P5169" s="5">
        <v>22</v>
      </c>
      <c r="Q5169" s="5">
        <v>552</v>
      </c>
      <c r="R5169" s="5">
        <v>21</v>
      </c>
      <c r="S5169" s="5">
        <v>541</v>
      </c>
    </row>
    <row r="5170" spans="1:19" ht="42" x14ac:dyDescent="0.15">
      <c r="A5170" s="2">
        <f>HYPERLINK("https://open-school.uspishnemisto.com.ua/school/260101/", 260101)</f>
        <v>260101</v>
      </c>
      <c r="B5170" s="3" t="s">
        <v>27247</v>
      </c>
      <c r="C5170" s="3" t="s">
        <v>7651</v>
      </c>
      <c r="D5170" s="3" t="s">
        <v>32</v>
      </c>
      <c r="E5170" s="4" t="s">
        <v>22</v>
      </c>
      <c r="F5170" s="4" t="s">
        <v>27237</v>
      </c>
      <c r="G5170" s="4" t="s">
        <v>27238</v>
      </c>
      <c r="H5170" s="3" t="s">
        <v>26808</v>
      </c>
      <c r="I5170" s="3" t="s">
        <v>27239</v>
      </c>
      <c r="J5170" s="3" t="s">
        <v>27248</v>
      </c>
      <c r="K5170" s="3"/>
      <c r="L5170" s="3"/>
      <c r="M5170" s="4"/>
      <c r="N5170" s="3"/>
      <c r="O5170" s="3"/>
      <c r="P5170" s="5">
        <v>0</v>
      </c>
      <c r="Q5170" s="5">
        <v>0</v>
      </c>
      <c r="R5170" s="5"/>
      <c r="S5170" s="5"/>
    </row>
    <row r="5171" spans="1:19" ht="42" x14ac:dyDescent="0.15">
      <c r="A5171" s="2">
        <f>HYPERLINK("https://open-school.uspishnemisto.com.ua/school/260102/", 260102)</f>
        <v>260102</v>
      </c>
      <c r="B5171" s="3" t="s">
        <v>27249</v>
      </c>
      <c r="C5171" s="3" t="s">
        <v>2634</v>
      </c>
      <c r="D5171" s="3" t="s">
        <v>32</v>
      </c>
      <c r="E5171" s="4" t="s">
        <v>22</v>
      </c>
      <c r="F5171" s="4" t="s">
        <v>27250</v>
      </c>
      <c r="G5171" s="4" t="s">
        <v>27251</v>
      </c>
      <c r="H5171" s="3" t="s">
        <v>26808</v>
      </c>
      <c r="I5171" s="3" t="s">
        <v>27252</v>
      </c>
      <c r="J5171" s="3" t="s">
        <v>27253</v>
      </c>
      <c r="K5171" s="3" t="s">
        <v>27254</v>
      </c>
      <c r="L5171" s="3"/>
      <c r="M5171" s="4" t="s">
        <v>27255</v>
      </c>
      <c r="N5171" s="3" t="s">
        <v>37</v>
      </c>
      <c r="O5171" s="3" t="s">
        <v>52</v>
      </c>
      <c r="P5171" s="5">
        <v>7</v>
      </c>
      <c r="Q5171" s="5">
        <v>60</v>
      </c>
      <c r="R5171" s="5">
        <v>12</v>
      </c>
      <c r="S5171" s="5">
        <v>109</v>
      </c>
    </row>
    <row r="5172" spans="1:19" ht="56" x14ac:dyDescent="0.15">
      <c r="A5172" s="2">
        <f>HYPERLINK("https://open-school.uspishnemisto.com.ua/school/260103/", 260103)</f>
        <v>260103</v>
      </c>
      <c r="B5172" s="3" t="s">
        <v>27256</v>
      </c>
      <c r="C5172" s="3" t="s">
        <v>54</v>
      </c>
      <c r="D5172" s="3" t="s">
        <v>32</v>
      </c>
      <c r="E5172" s="4" t="s">
        <v>22</v>
      </c>
      <c r="F5172" s="4" t="s">
        <v>27250</v>
      </c>
      <c r="G5172" s="4" t="s">
        <v>27251</v>
      </c>
      <c r="H5172" s="3" t="s">
        <v>26808</v>
      </c>
      <c r="I5172" s="3" t="s">
        <v>27252</v>
      </c>
      <c r="J5172" s="3" t="s">
        <v>27253</v>
      </c>
      <c r="K5172" s="3" t="s">
        <v>27257</v>
      </c>
      <c r="L5172" s="3" t="s">
        <v>27258</v>
      </c>
      <c r="M5172" s="4"/>
      <c r="N5172" s="3" t="s">
        <v>37</v>
      </c>
      <c r="O5172" s="3" t="s">
        <v>46</v>
      </c>
      <c r="P5172" s="5">
        <v>21</v>
      </c>
      <c r="Q5172" s="5">
        <v>461</v>
      </c>
      <c r="R5172" s="5">
        <v>22</v>
      </c>
      <c r="S5172" s="5">
        <v>464</v>
      </c>
    </row>
    <row r="5173" spans="1:19" ht="42" x14ac:dyDescent="0.15">
      <c r="A5173" s="2">
        <f>HYPERLINK("https://open-school.uspishnemisto.com.ua/school/260104/", 260104)</f>
        <v>260104</v>
      </c>
      <c r="B5173" s="3" t="s">
        <v>27259</v>
      </c>
      <c r="C5173" s="3" t="s">
        <v>54</v>
      </c>
      <c r="D5173" s="3" t="s">
        <v>32</v>
      </c>
      <c r="E5173" s="4" t="s">
        <v>22</v>
      </c>
      <c r="F5173" s="4" t="s">
        <v>27260</v>
      </c>
      <c r="G5173" s="4" t="s">
        <v>27261</v>
      </c>
      <c r="H5173" s="3" t="s">
        <v>26808</v>
      </c>
      <c r="I5173" s="3" t="s">
        <v>27262</v>
      </c>
      <c r="J5173" s="3" t="s">
        <v>6952</v>
      </c>
      <c r="K5173" s="3" t="s">
        <v>27263</v>
      </c>
      <c r="L5173" s="3"/>
      <c r="M5173" s="4"/>
      <c r="N5173" s="3" t="s">
        <v>37</v>
      </c>
      <c r="O5173" s="3" t="s">
        <v>46</v>
      </c>
      <c r="P5173" s="5">
        <v>15</v>
      </c>
      <c r="Q5173" s="5">
        <v>271</v>
      </c>
      <c r="R5173" s="5">
        <v>15</v>
      </c>
      <c r="S5173" s="5">
        <v>284</v>
      </c>
    </row>
    <row r="5174" spans="1:19" ht="56" x14ac:dyDescent="0.15">
      <c r="A5174" s="2">
        <f>HYPERLINK("https://open-school.uspishnemisto.com.ua/school/260105/", 260105)</f>
        <v>260105</v>
      </c>
      <c r="B5174" s="3" t="s">
        <v>27264</v>
      </c>
      <c r="C5174" s="3" t="s">
        <v>54</v>
      </c>
      <c r="D5174" s="3" t="s">
        <v>175</v>
      </c>
      <c r="E5174" s="4" t="s">
        <v>22</v>
      </c>
      <c r="F5174" s="4" t="s">
        <v>27265</v>
      </c>
      <c r="G5174" s="4" t="s">
        <v>27266</v>
      </c>
      <c r="H5174" s="3" t="s">
        <v>26808</v>
      </c>
      <c r="I5174" s="3" t="s">
        <v>27267</v>
      </c>
      <c r="J5174" s="3" t="s">
        <v>27268</v>
      </c>
      <c r="K5174" s="3" t="s">
        <v>27269</v>
      </c>
      <c r="L5174" s="3"/>
      <c r="M5174" s="4"/>
      <c r="N5174" s="3" t="s">
        <v>37</v>
      </c>
      <c r="O5174" s="3" t="s">
        <v>46</v>
      </c>
      <c r="P5174" s="5">
        <v>9</v>
      </c>
      <c r="Q5174" s="5">
        <v>110</v>
      </c>
      <c r="R5174" s="5">
        <v>9</v>
      </c>
      <c r="S5174" s="5">
        <v>105</v>
      </c>
    </row>
    <row r="5175" spans="1:19" ht="42" x14ac:dyDescent="0.15">
      <c r="A5175" s="2">
        <f>HYPERLINK("https://open-school.uspishnemisto.com.ua/school/260106/", 260106)</f>
        <v>260106</v>
      </c>
      <c r="B5175" s="3" t="s">
        <v>27270</v>
      </c>
      <c r="C5175" s="3" t="s">
        <v>31</v>
      </c>
      <c r="D5175" s="3" t="s">
        <v>175</v>
      </c>
      <c r="E5175" s="4" t="s">
        <v>22</v>
      </c>
      <c r="F5175" s="4" t="s">
        <v>27271</v>
      </c>
      <c r="G5175" s="4" t="s">
        <v>27272</v>
      </c>
      <c r="H5175" s="3" t="s">
        <v>26808</v>
      </c>
      <c r="I5175" s="3" t="s">
        <v>27273</v>
      </c>
      <c r="J5175" s="3" t="s">
        <v>27274</v>
      </c>
      <c r="K5175" s="3" t="s">
        <v>27275</v>
      </c>
      <c r="L5175" s="3" t="s">
        <v>27276</v>
      </c>
      <c r="M5175" s="4"/>
      <c r="N5175" s="3" t="s">
        <v>37</v>
      </c>
      <c r="O5175" s="3" t="s">
        <v>46</v>
      </c>
      <c r="P5175" s="5">
        <v>9</v>
      </c>
      <c r="Q5175" s="5">
        <v>127</v>
      </c>
      <c r="R5175" s="5">
        <v>9</v>
      </c>
      <c r="S5175" s="5">
        <v>123</v>
      </c>
    </row>
    <row r="5176" spans="1:19" ht="56" x14ac:dyDescent="0.15">
      <c r="A5176" s="2">
        <f>HYPERLINK("https://open-school.uspishnemisto.com.ua/school/260107/", 260107)</f>
        <v>260107</v>
      </c>
      <c r="B5176" s="3" t="s">
        <v>27277</v>
      </c>
      <c r="C5176" s="3" t="s">
        <v>54</v>
      </c>
      <c r="D5176" s="3" t="s">
        <v>175</v>
      </c>
      <c r="E5176" s="4" t="s">
        <v>22</v>
      </c>
      <c r="F5176" s="4" t="s">
        <v>27278</v>
      </c>
      <c r="G5176" s="4" t="s">
        <v>27279</v>
      </c>
      <c r="H5176" s="3" t="s">
        <v>26808</v>
      </c>
      <c r="I5176" s="3" t="s">
        <v>27280</v>
      </c>
      <c r="J5176" s="3" t="s">
        <v>3112</v>
      </c>
      <c r="K5176" s="3" t="s">
        <v>27281</v>
      </c>
      <c r="L5176" s="3"/>
      <c r="M5176" s="4"/>
      <c r="N5176" s="3" t="s">
        <v>37</v>
      </c>
      <c r="O5176" s="3" t="s">
        <v>52</v>
      </c>
      <c r="P5176" s="5">
        <v>9</v>
      </c>
      <c r="Q5176" s="5">
        <v>86</v>
      </c>
      <c r="R5176" s="5">
        <v>9</v>
      </c>
      <c r="S5176" s="5">
        <v>95</v>
      </c>
    </row>
    <row r="5177" spans="1:19" ht="42" x14ac:dyDescent="0.15">
      <c r="A5177" s="2">
        <f>HYPERLINK("https://open-school.uspishnemisto.com.ua/school/260108/", 260108)</f>
        <v>260108</v>
      </c>
      <c r="B5177" s="3" t="s">
        <v>27282</v>
      </c>
      <c r="C5177" s="3" t="s">
        <v>31</v>
      </c>
      <c r="D5177" s="3" t="s">
        <v>32</v>
      </c>
      <c r="E5177" s="4" t="s">
        <v>22</v>
      </c>
      <c r="F5177" s="4" t="s">
        <v>27283</v>
      </c>
      <c r="G5177" s="4" t="s">
        <v>27284</v>
      </c>
      <c r="H5177" s="3" t="s">
        <v>26808</v>
      </c>
      <c r="I5177" s="3" t="s">
        <v>27285</v>
      </c>
      <c r="J5177" s="3" t="s">
        <v>27286</v>
      </c>
      <c r="K5177" s="3" t="s">
        <v>27287</v>
      </c>
      <c r="L5177" s="3"/>
      <c r="M5177" s="4"/>
      <c r="N5177" s="3" t="s">
        <v>37</v>
      </c>
      <c r="O5177" s="3" t="s">
        <v>46</v>
      </c>
      <c r="P5177" s="5">
        <v>13</v>
      </c>
      <c r="Q5177" s="5">
        <v>272</v>
      </c>
      <c r="R5177" s="5">
        <v>15</v>
      </c>
      <c r="S5177" s="5">
        <v>282</v>
      </c>
    </row>
    <row r="5178" spans="1:19" ht="42" x14ac:dyDescent="0.15">
      <c r="A5178" s="2">
        <f>HYPERLINK("https://open-school.uspishnemisto.com.ua/school/260109/", 260109)</f>
        <v>260109</v>
      </c>
      <c r="B5178" s="3" t="s">
        <v>27288</v>
      </c>
      <c r="C5178" s="3" t="s">
        <v>31</v>
      </c>
      <c r="D5178" s="3" t="s">
        <v>60</v>
      </c>
      <c r="E5178" s="4" t="s">
        <v>22</v>
      </c>
      <c r="F5178" s="4" t="s">
        <v>27289</v>
      </c>
      <c r="G5178" s="4" t="s">
        <v>27290</v>
      </c>
      <c r="H5178" s="3" t="s">
        <v>26808</v>
      </c>
      <c r="I5178" s="3" t="s">
        <v>27291</v>
      </c>
      <c r="J5178" s="3" t="s">
        <v>27292</v>
      </c>
      <c r="K5178" s="3" t="s">
        <v>27293</v>
      </c>
      <c r="L5178" s="3"/>
      <c r="M5178" s="4"/>
      <c r="N5178" s="3" t="s">
        <v>37</v>
      </c>
      <c r="O5178" s="3" t="s">
        <v>52</v>
      </c>
      <c r="P5178" s="5">
        <v>3</v>
      </c>
      <c r="Q5178" s="5">
        <v>29</v>
      </c>
      <c r="R5178" s="5">
        <v>3</v>
      </c>
      <c r="S5178" s="5">
        <v>24</v>
      </c>
    </row>
    <row r="5179" spans="1:19" ht="42" x14ac:dyDescent="0.15">
      <c r="A5179" s="2">
        <f>HYPERLINK("https://open-school.uspishnemisto.com.ua/school/260110/", 260110)</f>
        <v>260110</v>
      </c>
      <c r="B5179" s="3" t="s">
        <v>27294</v>
      </c>
      <c r="C5179" s="3" t="s">
        <v>31</v>
      </c>
      <c r="D5179" s="3" t="s">
        <v>175</v>
      </c>
      <c r="E5179" s="4" t="s">
        <v>22</v>
      </c>
      <c r="F5179" s="4" t="s">
        <v>27295</v>
      </c>
      <c r="G5179" s="4" t="s">
        <v>27296</v>
      </c>
      <c r="H5179" s="3" t="s">
        <v>26808</v>
      </c>
      <c r="I5179" s="3" t="s">
        <v>27297</v>
      </c>
      <c r="J5179" s="3" t="s">
        <v>27298</v>
      </c>
      <c r="K5179" s="3" t="s">
        <v>27299</v>
      </c>
      <c r="L5179" s="3"/>
      <c r="M5179" s="4"/>
      <c r="N5179" s="3" t="s">
        <v>37</v>
      </c>
      <c r="O5179" s="3" t="s">
        <v>46</v>
      </c>
      <c r="P5179" s="5">
        <v>9</v>
      </c>
      <c r="Q5179" s="5">
        <v>95</v>
      </c>
      <c r="R5179" s="5">
        <v>9</v>
      </c>
      <c r="S5179" s="5">
        <v>98</v>
      </c>
    </row>
    <row r="5180" spans="1:19" ht="42" x14ac:dyDescent="0.15">
      <c r="A5180" s="2">
        <f>HYPERLINK("https://open-school.uspishnemisto.com.ua/school/260111/", 260111)</f>
        <v>260111</v>
      </c>
      <c r="B5180" s="3" t="s">
        <v>27300</v>
      </c>
      <c r="C5180" s="3" t="s">
        <v>54</v>
      </c>
      <c r="D5180" s="3" t="s">
        <v>60</v>
      </c>
      <c r="E5180" s="4" t="s">
        <v>22</v>
      </c>
      <c r="F5180" s="4" t="s">
        <v>27295</v>
      </c>
      <c r="G5180" s="4" t="s">
        <v>27296</v>
      </c>
      <c r="H5180" s="3" t="s">
        <v>26808</v>
      </c>
      <c r="I5180" s="3" t="s">
        <v>27297</v>
      </c>
      <c r="J5180" s="3" t="s">
        <v>27301</v>
      </c>
      <c r="K5180" s="3" t="s">
        <v>27293</v>
      </c>
      <c r="L5180" s="3"/>
      <c r="M5180" s="4"/>
      <c r="N5180" s="3" t="s">
        <v>37</v>
      </c>
      <c r="O5180" s="3" t="s">
        <v>618</v>
      </c>
      <c r="P5180" s="5">
        <v>0</v>
      </c>
      <c r="Q5180" s="5">
        <v>7</v>
      </c>
      <c r="R5180" s="5">
        <v>0</v>
      </c>
      <c r="S5180" s="5">
        <v>7</v>
      </c>
    </row>
    <row r="5181" spans="1:19" ht="56" x14ac:dyDescent="0.15">
      <c r="A5181" s="2">
        <f>HYPERLINK("https://open-school.uspishnemisto.com.ua/school/260112/", 260112)</f>
        <v>260112</v>
      </c>
      <c r="B5181" s="3" t="s">
        <v>27302</v>
      </c>
      <c r="C5181" s="3" t="s">
        <v>54</v>
      </c>
      <c r="D5181" s="3" t="s">
        <v>32</v>
      </c>
      <c r="E5181" s="4" t="s">
        <v>22</v>
      </c>
      <c r="F5181" s="4" t="s">
        <v>27303</v>
      </c>
      <c r="G5181" s="4" t="s">
        <v>27304</v>
      </c>
      <c r="H5181" s="3" t="s">
        <v>26808</v>
      </c>
      <c r="I5181" s="3" t="s">
        <v>7703</v>
      </c>
      <c r="J5181" s="3" t="s">
        <v>25366</v>
      </c>
      <c r="K5181" s="3" t="s">
        <v>27305</v>
      </c>
      <c r="L5181" s="3"/>
      <c r="M5181" s="4"/>
      <c r="N5181" s="3" t="s">
        <v>37</v>
      </c>
      <c r="O5181" s="3" t="s">
        <v>2740</v>
      </c>
      <c r="P5181" s="5">
        <v>11</v>
      </c>
      <c r="Q5181" s="5">
        <v>167</v>
      </c>
      <c r="R5181" s="5">
        <v>11</v>
      </c>
      <c r="S5181" s="5">
        <v>160</v>
      </c>
    </row>
    <row r="5182" spans="1:19" ht="42" x14ac:dyDescent="0.15">
      <c r="A5182" s="2">
        <f>HYPERLINK("https://open-school.uspishnemisto.com.ua/school/260113/", 260113)</f>
        <v>260113</v>
      </c>
      <c r="B5182" s="3" t="s">
        <v>27306</v>
      </c>
      <c r="C5182" s="3" t="s">
        <v>31</v>
      </c>
      <c r="D5182" s="3" t="s">
        <v>32</v>
      </c>
      <c r="E5182" s="4" t="s">
        <v>22</v>
      </c>
      <c r="F5182" s="4" t="s">
        <v>27307</v>
      </c>
      <c r="G5182" s="4" t="s">
        <v>27308</v>
      </c>
      <c r="H5182" s="3" t="s">
        <v>26808</v>
      </c>
      <c r="I5182" s="3" t="s">
        <v>27309</v>
      </c>
      <c r="J5182" s="3" t="s">
        <v>6191</v>
      </c>
      <c r="K5182" s="3" t="s">
        <v>27310</v>
      </c>
      <c r="L5182" s="3"/>
      <c r="M5182" s="4"/>
      <c r="N5182" s="3" t="s">
        <v>37</v>
      </c>
      <c r="O5182" s="3" t="s">
        <v>46</v>
      </c>
      <c r="P5182" s="5">
        <v>13</v>
      </c>
      <c r="Q5182" s="5">
        <v>224</v>
      </c>
      <c r="R5182" s="5">
        <v>13</v>
      </c>
      <c r="S5182" s="5">
        <v>246</v>
      </c>
    </row>
    <row r="5183" spans="1:19" ht="42" x14ac:dyDescent="0.15">
      <c r="A5183" s="2">
        <f>HYPERLINK("https://open-school.uspishnemisto.com.ua/school/260114/", 260114)</f>
        <v>260114</v>
      </c>
      <c r="B5183" s="3" t="s">
        <v>27311</v>
      </c>
      <c r="C5183" s="3" t="s">
        <v>31</v>
      </c>
      <c r="D5183" s="3" t="s">
        <v>175</v>
      </c>
      <c r="E5183" s="4" t="s">
        <v>22</v>
      </c>
      <c r="F5183" s="4" t="s">
        <v>27312</v>
      </c>
      <c r="G5183" s="4" t="s">
        <v>27313</v>
      </c>
      <c r="H5183" s="3" t="s">
        <v>26808</v>
      </c>
      <c r="I5183" s="3" t="s">
        <v>27314</v>
      </c>
      <c r="J5183" s="3" t="s">
        <v>27315</v>
      </c>
      <c r="K5183" s="3" t="s">
        <v>27316</v>
      </c>
      <c r="L5183" s="3"/>
      <c r="M5183" s="4"/>
      <c r="N5183" s="3" t="s">
        <v>37</v>
      </c>
      <c r="O5183" s="3" t="s">
        <v>46</v>
      </c>
      <c r="P5183" s="5">
        <v>9</v>
      </c>
      <c r="Q5183" s="5">
        <v>151</v>
      </c>
      <c r="R5183" s="5">
        <v>9</v>
      </c>
      <c r="S5183" s="5">
        <v>149</v>
      </c>
    </row>
    <row r="5184" spans="1:19" ht="56" x14ac:dyDescent="0.15">
      <c r="A5184" s="2">
        <f>HYPERLINK("https://open-school.uspishnemisto.com.ua/school/260115/", 260115)</f>
        <v>260115</v>
      </c>
      <c r="B5184" s="3" t="s">
        <v>27317</v>
      </c>
      <c r="C5184" s="3" t="s">
        <v>54</v>
      </c>
      <c r="D5184" s="3" t="s">
        <v>175</v>
      </c>
      <c r="E5184" s="4" t="s">
        <v>22</v>
      </c>
      <c r="F5184" s="4"/>
      <c r="G5184" s="4" t="s">
        <v>27318</v>
      </c>
      <c r="H5184" s="3" t="s">
        <v>26808</v>
      </c>
      <c r="I5184" s="3" t="s">
        <v>27319</v>
      </c>
      <c r="J5184" s="3" t="s">
        <v>2745</v>
      </c>
      <c r="K5184" s="3" t="s">
        <v>27320</v>
      </c>
      <c r="L5184" s="3"/>
      <c r="M5184" s="4"/>
      <c r="N5184" s="3" t="s">
        <v>37</v>
      </c>
      <c r="O5184" s="3" t="s">
        <v>2740</v>
      </c>
      <c r="P5184" s="5">
        <v>9</v>
      </c>
      <c r="Q5184" s="5">
        <v>80</v>
      </c>
      <c r="R5184" s="5">
        <v>9</v>
      </c>
      <c r="S5184" s="5">
        <v>80</v>
      </c>
    </row>
    <row r="5185" spans="1:19" ht="42" x14ac:dyDescent="0.15">
      <c r="A5185" s="2">
        <f>HYPERLINK("https://open-school.uspishnemisto.com.ua/school/260116/", 260116)</f>
        <v>260116</v>
      </c>
      <c r="B5185" s="3" t="s">
        <v>27321</v>
      </c>
      <c r="C5185" s="3" t="s">
        <v>31</v>
      </c>
      <c r="D5185" s="3" t="s">
        <v>32</v>
      </c>
      <c r="E5185" s="4" t="s">
        <v>22</v>
      </c>
      <c r="F5185" s="4" t="s">
        <v>27322</v>
      </c>
      <c r="G5185" s="4" t="s">
        <v>27323</v>
      </c>
      <c r="H5185" s="3" t="s">
        <v>26808</v>
      </c>
      <c r="I5185" s="3" t="s">
        <v>27324</v>
      </c>
      <c r="J5185" s="3" t="s">
        <v>27325</v>
      </c>
      <c r="K5185" s="3" t="s">
        <v>27326</v>
      </c>
      <c r="L5185" s="3"/>
      <c r="M5185" s="4"/>
      <c r="N5185" s="3" t="s">
        <v>37</v>
      </c>
      <c r="O5185" s="3" t="s">
        <v>2740</v>
      </c>
      <c r="P5185" s="5">
        <v>18</v>
      </c>
      <c r="Q5185" s="5">
        <v>356</v>
      </c>
      <c r="R5185" s="5">
        <v>17</v>
      </c>
      <c r="S5185" s="5">
        <v>339</v>
      </c>
    </row>
    <row r="5186" spans="1:19" ht="42" x14ac:dyDescent="0.15">
      <c r="A5186" s="2">
        <f>HYPERLINK("https://open-school.uspishnemisto.com.ua/school/260117/", 260117)</f>
        <v>260117</v>
      </c>
      <c r="B5186" s="3" t="s">
        <v>27327</v>
      </c>
      <c r="C5186" s="3" t="s">
        <v>31</v>
      </c>
      <c r="D5186" s="3" t="s">
        <v>175</v>
      </c>
      <c r="E5186" s="4" t="s">
        <v>22</v>
      </c>
      <c r="F5186" s="4" t="s">
        <v>27328</v>
      </c>
      <c r="G5186" s="4" t="s">
        <v>27329</v>
      </c>
      <c r="H5186" s="3" t="s">
        <v>26808</v>
      </c>
      <c r="I5186" s="3" t="s">
        <v>27330</v>
      </c>
      <c r="J5186" s="3" t="s">
        <v>6394</v>
      </c>
      <c r="K5186" s="3" t="s">
        <v>27331</v>
      </c>
      <c r="L5186" s="3"/>
      <c r="M5186" s="4"/>
      <c r="N5186" s="3" t="s">
        <v>37</v>
      </c>
      <c r="O5186" s="3" t="s">
        <v>52</v>
      </c>
      <c r="P5186" s="5">
        <v>9</v>
      </c>
      <c r="Q5186" s="5">
        <v>134</v>
      </c>
      <c r="R5186" s="5">
        <v>9</v>
      </c>
      <c r="S5186" s="5">
        <v>137</v>
      </c>
    </row>
    <row r="5187" spans="1:19" ht="42" x14ac:dyDescent="0.15">
      <c r="A5187" s="2">
        <f>HYPERLINK("https://open-school.uspishnemisto.com.ua/school/260118/", 260118)</f>
        <v>260118</v>
      </c>
      <c r="B5187" s="3" t="s">
        <v>27332</v>
      </c>
      <c r="C5187" s="3" t="s">
        <v>31</v>
      </c>
      <c r="D5187" s="3" t="s">
        <v>175</v>
      </c>
      <c r="E5187" s="4" t="s">
        <v>22</v>
      </c>
      <c r="F5187" s="4" t="s">
        <v>27333</v>
      </c>
      <c r="G5187" s="4" t="s">
        <v>27334</v>
      </c>
      <c r="H5187" s="3" t="s">
        <v>26808</v>
      </c>
      <c r="I5187" s="3" t="s">
        <v>27335</v>
      </c>
      <c r="J5187" s="3" t="s">
        <v>27336</v>
      </c>
      <c r="K5187" s="3"/>
      <c r="L5187" s="3"/>
      <c r="M5187" s="4"/>
      <c r="N5187" s="3" t="s">
        <v>37</v>
      </c>
      <c r="O5187" s="3" t="s">
        <v>46</v>
      </c>
      <c r="P5187" s="5">
        <v>11</v>
      </c>
      <c r="Q5187" s="5">
        <v>232</v>
      </c>
      <c r="R5187" s="5">
        <v>11</v>
      </c>
      <c r="S5187" s="5">
        <v>236</v>
      </c>
    </row>
    <row r="5188" spans="1:19" ht="56" x14ac:dyDescent="0.15">
      <c r="A5188" s="2">
        <f>HYPERLINK("https://open-school.uspishnemisto.com.ua/school/260119/", 260119)</f>
        <v>260119</v>
      </c>
      <c r="B5188" s="3" t="s">
        <v>27337</v>
      </c>
      <c r="C5188" s="3" t="s">
        <v>54</v>
      </c>
      <c r="D5188" s="3" t="s">
        <v>175</v>
      </c>
      <c r="E5188" s="4" t="s">
        <v>22</v>
      </c>
      <c r="F5188" s="4" t="s">
        <v>27338</v>
      </c>
      <c r="G5188" s="4" t="s">
        <v>27339</v>
      </c>
      <c r="H5188" s="3" t="s">
        <v>26808</v>
      </c>
      <c r="I5188" s="3" t="s">
        <v>27340</v>
      </c>
      <c r="J5188" s="3" t="s">
        <v>27341</v>
      </c>
      <c r="K5188" s="3" t="s">
        <v>27342</v>
      </c>
      <c r="L5188" s="3"/>
      <c r="M5188" s="4"/>
      <c r="N5188" s="3" t="s">
        <v>37</v>
      </c>
      <c r="O5188" s="3" t="s">
        <v>2740</v>
      </c>
      <c r="P5188" s="5">
        <v>9</v>
      </c>
      <c r="Q5188" s="5">
        <v>171</v>
      </c>
      <c r="R5188" s="5">
        <v>9</v>
      </c>
      <c r="S5188" s="5">
        <v>155</v>
      </c>
    </row>
    <row r="5189" spans="1:19" ht="42" x14ac:dyDescent="0.15">
      <c r="A5189" s="2">
        <f>HYPERLINK("https://open-school.uspishnemisto.com.ua/school/260120/", 260120)</f>
        <v>260120</v>
      </c>
      <c r="B5189" s="3" t="s">
        <v>27343</v>
      </c>
      <c r="C5189" s="3" t="s">
        <v>31</v>
      </c>
      <c r="D5189" s="3" t="s">
        <v>175</v>
      </c>
      <c r="E5189" s="4" t="s">
        <v>22</v>
      </c>
      <c r="F5189" s="4" t="s">
        <v>27344</v>
      </c>
      <c r="G5189" s="4" t="s">
        <v>27345</v>
      </c>
      <c r="H5189" s="3" t="s">
        <v>26808</v>
      </c>
      <c r="I5189" s="3" t="s">
        <v>27346</v>
      </c>
      <c r="J5189" s="3" t="s">
        <v>6899</v>
      </c>
      <c r="K5189" s="3" t="s">
        <v>27347</v>
      </c>
      <c r="L5189" s="3"/>
      <c r="M5189" s="4"/>
      <c r="N5189" s="3" t="s">
        <v>37</v>
      </c>
      <c r="O5189" s="3" t="s">
        <v>46</v>
      </c>
      <c r="P5189" s="5">
        <v>8</v>
      </c>
      <c r="Q5189" s="5">
        <v>70</v>
      </c>
      <c r="R5189" s="5">
        <v>8</v>
      </c>
      <c r="S5189" s="5">
        <v>66</v>
      </c>
    </row>
    <row r="5190" spans="1:19" ht="42" x14ac:dyDescent="0.15">
      <c r="A5190" s="2">
        <f>HYPERLINK("https://open-school.uspishnemisto.com.ua/school/260121/", 260121)</f>
        <v>260121</v>
      </c>
      <c r="B5190" s="3" t="s">
        <v>27348</v>
      </c>
      <c r="C5190" s="3" t="s">
        <v>31</v>
      </c>
      <c r="D5190" s="3" t="s">
        <v>60</v>
      </c>
      <c r="E5190" s="4" t="s">
        <v>22</v>
      </c>
      <c r="F5190" s="4" t="s">
        <v>27349</v>
      </c>
      <c r="G5190" s="4" t="s">
        <v>27350</v>
      </c>
      <c r="H5190" s="3" t="s">
        <v>26808</v>
      </c>
      <c r="I5190" s="3" t="s">
        <v>27351</v>
      </c>
      <c r="J5190" s="3" t="s">
        <v>27352</v>
      </c>
      <c r="K5190" s="3" t="s">
        <v>27293</v>
      </c>
      <c r="L5190" s="3"/>
      <c r="M5190" s="4"/>
      <c r="N5190" s="3" t="s">
        <v>37</v>
      </c>
      <c r="O5190" s="3" t="s">
        <v>52</v>
      </c>
      <c r="P5190" s="5">
        <v>4</v>
      </c>
      <c r="Q5190" s="5">
        <v>25</v>
      </c>
      <c r="R5190" s="5">
        <v>4</v>
      </c>
      <c r="S5190" s="5">
        <v>26</v>
      </c>
    </row>
    <row r="5191" spans="1:19" ht="70" x14ac:dyDescent="0.15">
      <c r="A5191" s="2">
        <f>HYPERLINK("https://open-school.uspishnemisto.com.ua/school/260122/", 260122)</f>
        <v>260122</v>
      </c>
      <c r="B5191" s="3" t="s">
        <v>27353</v>
      </c>
      <c r="C5191" s="3" t="s">
        <v>54</v>
      </c>
      <c r="D5191" s="3" t="s">
        <v>32</v>
      </c>
      <c r="E5191" s="4" t="s">
        <v>22</v>
      </c>
      <c r="F5191" s="4" t="s">
        <v>27349</v>
      </c>
      <c r="G5191" s="4" t="s">
        <v>27350</v>
      </c>
      <c r="H5191" s="3" t="s">
        <v>26808</v>
      </c>
      <c r="I5191" s="3" t="s">
        <v>27351</v>
      </c>
      <c r="J5191" s="3" t="s">
        <v>27354</v>
      </c>
      <c r="K5191" s="3" t="s">
        <v>27355</v>
      </c>
      <c r="L5191" s="3"/>
      <c r="M5191" s="4"/>
      <c r="N5191" s="3" t="s">
        <v>37</v>
      </c>
      <c r="O5191" s="3" t="s">
        <v>46</v>
      </c>
      <c r="P5191" s="5">
        <v>18</v>
      </c>
      <c r="Q5191" s="5">
        <v>342</v>
      </c>
      <c r="R5191" s="5">
        <v>18</v>
      </c>
      <c r="S5191" s="5">
        <v>348</v>
      </c>
    </row>
    <row r="5192" spans="1:19" ht="42" x14ac:dyDescent="0.15">
      <c r="A5192" s="2">
        <f>HYPERLINK("https://open-school.uspishnemisto.com.ua/school/260123/", 260123)</f>
        <v>260123</v>
      </c>
      <c r="B5192" s="3" t="s">
        <v>27356</v>
      </c>
      <c r="C5192" s="3" t="s">
        <v>31</v>
      </c>
      <c r="D5192" s="3" t="s">
        <v>32</v>
      </c>
      <c r="E5192" s="4" t="s">
        <v>22</v>
      </c>
      <c r="F5192" s="4" t="s">
        <v>27357</v>
      </c>
      <c r="G5192" s="4" t="s">
        <v>27358</v>
      </c>
      <c r="H5192" s="3" t="s">
        <v>26808</v>
      </c>
      <c r="I5192" s="3" t="s">
        <v>27359</v>
      </c>
      <c r="J5192" s="3" t="s">
        <v>27360</v>
      </c>
      <c r="K5192" s="3" t="s">
        <v>27361</v>
      </c>
      <c r="L5192" s="3"/>
      <c r="M5192" s="4"/>
      <c r="N5192" s="3" t="s">
        <v>37</v>
      </c>
      <c r="O5192" s="3" t="s">
        <v>46</v>
      </c>
      <c r="P5192" s="5">
        <v>16</v>
      </c>
      <c r="Q5192" s="5">
        <v>312</v>
      </c>
      <c r="R5192" s="5">
        <v>16</v>
      </c>
      <c r="S5192" s="5">
        <v>317</v>
      </c>
    </row>
    <row r="5193" spans="1:19" ht="56" x14ac:dyDescent="0.15">
      <c r="A5193" s="2">
        <f>HYPERLINK("https://open-school.uspishnemisto.com.ua/school/260124/", 260124)</f>
        <v>260124</v>
      </c>
      <c r="B5193" s="3" t="s">
        <v>27362</v>
      </c>
      <c r="C5193" s="3" t="s">
        <v>54</v>
      </c>
      <c r="D5193" s="3" t="s">
        <v>175</v>
      </c>
      <c r="E5193" s="4" t="s">
        <v>22</v>
      </c>
      <c r="F5193" s="4" t="s">
        <v>27363</v>
      </c>
      <c r="G5193" s="4" t="s">
        <v>27364</v>
      </c>
      <c r="H5193" s="3" t="s">
        <v>26808</v>
      </c>
      <c r="I5193" s="3" t="s">
        <v>21511</v>
      </c>
      <c r="J5193" s="3" t="s">
        <v>27365</v>
      </c>
      <c r="K5193" s="3" t="s">
        <v>27366</v>
      </c>
      <c r="L5193" s="3"/>
      <c r="M5193" s="4"/>
      <c r="N5193" s="3" t="s">
        <v>37</v>
      </c>
      <c r="O5193" s="3" t="s">
        <v>46</v>
      </c>
      <c r="P5193" s="5">
        <v>8</v>
      </c>
      <c r="Q5193" s="5">
        <v>63</v>
      </c>
      <c r="R5193" s="5">
        <v>8</v>
      </c>
      <c r="S5193" s="5">
        <v>60</v>
      </c>
    </row>
    <row r="5194" spans="1:19" ht="56" x14ac:dyDescent="0.15">
      <c r="A5194" s="2">
        <f>HYPERLINK("https://open-school.uspishnemisto.com.ua/school/260125/", 260125)</f>
        <v>260125</v>
      </c>
      <c r="B5194" s="3" t="s">
        <v>27367</v>
      </c>
      <c r="C5194" s="3" t="s">
        <v>54</v>
      </c>
      <c r="D5194" s="3" t="s">
        <v>175</v>
      </c>
      <c r="E5194" s="4" t="s">
        <v>22</v>
      </c>
      <c r="F5194" s="4" t="s">
        <v>27368</v>
      </c>
      <c r="G5194" s="4" t="s">
        <v>27369</v>
      </c>
      <c r="H5194" s="3" t="s">
        <v>26808</v>
      </c>
      <c r="I5194" s="3" t="s">
        <v>27370</v>
      </c>
      <c r="J5194" s="3" t="s">
        <v>466</v>
      </c>
      <c r="K5194" s="3" t="s">
        <v>27371</v>
      </c>
      <c r="L5194" s="3"/>
      <c r="M5194" s="4"/>
      <c r="N5194" s="3" t="s">
        <v>37</v>
      </c>
      <c r="O5194" s="3" t="s">
        <v>46</v>
      </c>
      <c r="P5194" s="5">
        <v>9</v>
      </c>
      <c r="Q5194" s="5">
        <v>143</v>
      </c>
      <c r="R5194" s="5">
        <v>9</v>
      </c>
      <c r="S5194" s="5">
        <v>142</v>
      </c>
    </row>
    <row r="5195" spans="1:19" ht="56" x14ac:dyDescent="0.15">
      <c r="A5195" s="2">
        <f>HYPERLINK("https://open-school.uspishnemisto.com.ua/school/260126/", 260126)</f>
        <v>260126</v>
      </c>
      <c r="B5195" s="3" t="s">
        <v>27372</v>
      </c>
      <c r="C5195" s="3" t="s">
        <v>54</v>
      </c>
      <c r="D5195" s="3" t="s">
        <v>175</v>
      </c>
      <c r="E5195" s="4" t="s">
        <v>22</v>
      </c>
      <c r="F5195" s="4" t="s">
        <v>27373</v>
      </c>
      <c r="G5195" s="4" t="s">
        <v>27374</v>
      </c>
      <c r="H5195" s="3" t="s">
        <v>26808</v>
      </c>
      <c r="I5195" s="3" t="s">
        <v>27375</v>
      </c>
      <c r="J5195" s="3" t="s">
        <v>4209</v>
      </c>
      <c r="K5195" s="3" t="s">
        <v>27376</v>
      </c>
      <c r="L5195" s="3"/>
      <c r="M5195" s="4"/>
      <c r="N5195" s="3" t="s">
        <v>37</v>
      </c>
      <c r="O5195" s="3" t="s">
        <v>46</v>
      </c>
      <c r="P5195" s="5">
        <v>9</v>
      </c>
      <c r="Q5195" s="5">
        <v>74</v>
      </c>
      <c r="R5195" s="5">
        <v>9</v>
      </c>
      <c r="S5195" s="5">
        <v>68</v>
      </c>
    </row>
    <row r="5196" spans="1:19" ht="56" x14ac:dyDescent="0.15">
      <c r="A5196" s="2">
        <f>HYPERLINK("https://open-school.uspishnemisto.com.ua/school/260127/", 260127)</f>
        <v>260127</v>
      </c>
      <c r="B5196" s="3" t="s">
        <v>27377</v>
      </c>
      <c r="C5196" s="3" t="s">
        <v>31</v>
      </c>
      <c r="D5196" s="3" t="s">
        <v>175</v>
      </c>
      <c r="E5196" s="4" t="s">
        <v>22</v>
      </c>
      <c r="F5196" s="4" t="s">
        <v>27373</v>
      </c>
      <c r="G5196" s="4" t="s">
        <v>27378</v>
      </c>
      <c r="H5196" s="3" t="s">
        <v>26808</v>
      </c>
      <c r="I5196" s="3" t="s">
        <v>27379</v>
      </c>
      <c r="J5196" s="3" t="s">
        <v>27380</v>
      </c>
      <c r="K5196" s="3"/>
      <c r="L5196" s="3"/>
      <c r="M5196" s="4"/>
      <c r="N5196" s="3" t="s">
        <v>37</v>
      </c>
      <c r="O5196" s="3" t="s">
        <v>52</v>
      </c>
      <c r="P5196" s="5">
        <v>7</v>
      </c>
      <c r="Q5196" s="5">
        <v>51</v>
      </c>
      <c r="R5196" s="5">
        <v>6</v>
      </c>
      <c r="S5196" s="5">
        <v>48</v>
      </c>
    </row>
    <row r="5197" spans="1:19" ht="70" x14ac:dyDescent="0.15">
      <c r="A5197" s="2">
        <f>HYPERLINK("https://open-school.uspishnemisto.com.ua/school/260128/", 260128)</f>
        <v>260128</v>
      </c>
      <c r="B5197" s="3" t="s">
        <v>27381</v>
      </c>
      <c r="C5197" s="3" t="s">
        <v>54</v>
      </c>
      <c r="D5197" s="3" t="s">
        <v>60</v>
      </c>
      <c r="E5197" s="4" t="s">
        <v>22</v>
      </c>
      <c r="F5197" s="4" t="s">
        <v>27373</v>
      </c>
      <c r="G5197" s="4" t="s">
        <v>27382</v>
      </c>
      <c r="H5197" s="3" t="s">
        <v>26808</v>
      </c>
      <c r="I5197" s="3" t="s">
        <v>27383</v>
      </c>
      <c r="J5197" s="3" t="s">
        <v>27384</v>
      </c>
      <c r="K5197" s="3" t="s">
        <v>27385</v>
      </c>
      <c r="L5197" s="3"/>
      <c r="M5197" s="4"/>
      <c r="N5197" s="3" t="s">
        <v>37</v>
      </c>
      <c r="O5197" s="3" t="s">
        <v>52</v>
      </c>
      <c r="P5197" s="5">
        <v>0</v>
      </c>
      <c r="Q5197" s="5">
        <v>14</v>
      </c>
      <c r="R5197" s="5">
        <v>1</v>
      </c>
      <c r="S5197" s="5">
        <v>16</v>
      </c>
    </row>
    <row r="5198" spans="1:19" ht="42" x14ac:dyDescent="0.15">
      <c r="A5198" s="2">
        <f>HYPERLINK("https://open-school.uspishnemisto.com.ua/school/260129/", 260129)</f>
        <v>260129</v>
      </c>
      <c r="B5198" s="3" t="s">
        <v>27386</v>
      </c>
      <c r="C5198" s="3" t="s">
        <v>31</v>
      </c>
      <c r="D5198" s="3" t="s">
        <v>175</v>
      </c>
      <c r="E5198" s="4" t="s">
        <v>22</v>
      </c>
      <c r="F5198" s="4" t="s">
        <v>27387</v>
      </c>
      <c r="G5198" s="4" t="s">
        <v>27388</v>
      </c>
      <c r="H5198" s="3" t="s">
        <v>26808</v>
      </c>
      <c r="I5198" s="3" t="s">
        <v>7865</v>
      </c>
      <c r="J5198" s="3" t="s">
        <v>27389</v>
      </c>
      <c r="K5198" s="3" t="s">
        <v>27390</v>
      </c>
      <c r="L5198" s="3"/>
      <c r="M5198" s="4"/>
      <c r="N5198" s="3" t="s">
        <v>37</v>
      </c>
      <c r="O5198" s="3" t="s">
        <v>46</v>
      </c>
      <c r="P5198" s="5">
        <v>9</v>
      </c>
      <c r="Q5198" s="5">
        <v>189</v>
      </c>
      <c r="R5198" s="5">
        <v>9</v>
      </c>
      <c r="S5198" s="5">
        <v>192</v>
      </c>
    </row>
    <row r="5199" spans="1:19" ht="42" x14ac:dyDescent="0.15">
      <c r="A5199" s="2">
        <f>HYPERLINK("https://open-school.uspishnemisto.com.ua/school/260130/", 260130)</f>
        <v>260130</v>
      </c>
      <c r="B5199" s="3" t="s">
        <v>27391</v>
      </c>
      <c r="C5199" s="3" t="s">
        <v>31</v>
      </c>
      <c r="D5199" s="3" t="s">
        <v>32</v>
      </c>
      <c r="E5199" s="4" t="s">
        <v>22</v>
      </c>
      <c r="F5199" s="4" t="s">
        <v>27392</v>
      </c>
      <c r="G5199" s="4" t="s">
        <v>27393</v>
      </c>
      <c r="H5199" s="3" t="s">
        <v>26808</v>
      </c>
      <c r="I5199" s="3" t="s">
        <v>4784</v>
      </c>
      <c r="J5199" s="3" t="s">
        <v>27394</v>
      </c>
      <c r="K5199" s="3"/>
      <c r="L5199" s="3"/>
      <c r="M5199" s="4"/>
      <c r="N5199" s="3" t="s">
        <v>37</v>
      </c>
      <c r="O5199" s="3" t="s">
        <v>2740</v>
      </c>
      <c r="P5199" s="5">
        <v>23</v>
      </c>
      <c r="Q5199" s="5">
        <v>471</v>
      </c>
      <c r="R5199" s="5">
        <v>23</v>
      </c>
      <c r="S5199" s="5">
        <v>470</v>
      </c>
    </row>
    <row r="5200" spans="1:19" ht="42" x14ac:dyDescent="0.15">
      <c r="A5200" s="2">
        <f>HYPERLINK("https://open-school.uspishnemisto.com.ua/school/260131/", 260131)</f>
        <v>260131</v>
      </c>
      <c r="B5200" s="3" t="s">
        <v>27395</v>
      </c>
      <c r="C5200" s="3" t="s">
        <v>31</v>
      </c>
      <c r="D5200" s="3" t="s">
        <v>175</v>
      </c>
      <c r="E5200" s="4" t="s">
        <v>22</v>
      </c>
      <c r="F5200" s="4" t="s">
        <v>27396</v>
      </c>
      <c r="G5200" s="4" t="s">
        <v>27397</v>
      </c>
      <c r="H5200" s="3" t="s">
        <v>26808</v>
      </c>
      <c r="I5200" s="3" t="s">
        <v>27398</v>
      </c>
      <c r="J5200" s="3" t="s">
        <v>27399</v>
      </c>
      <c r="K5200" s="3" t="s">
        <v>27400</v>
      </c>
      <c r="L5200" s="3"/>
      <c r="M5200" s="4"/>
      <c r="N5200" s="3" t="s">
        <v>37</v>
      </c>
      <c r="O5200" s="3" t="s">
        <v>46</v>
      </c>
      <c r="P5200" s="5">
        <v>3</v>
      </c>
      <c r="Q5200" s="5">
        <v>37</v>
      </c>
      <c r="R5200" s="5">
        <v>3</v>
      </c>
      <c r="S5200" s="5">
        <v>36</v>
      </c>
    </row>
    <row r="5201" spans="1:19" ht="42" x14ac:dyDescent="0.15">
      <c r="A5201" s="2">
        <f>HYPERLINK("https://open-school.uspishnemisto.com.ua/school/260132/", 260132)</f>
        <v>260132</v>
      </c>
      <c r="B5201" s="3" t="s">
        <v>27401</v>
      </c>
      <c r="C5201" s="3" t="s">
        <v>54</v>
      </c>
      <c r="D5201" s="3" t="s">
        <v>175</v>
      </c>
      <c r="E5201" s="4" t="s">
        <v>22</v>
      </c>
      <c r="F5201" s="4" t="s">
        <v>27402</v>
      </c>
      <c r="G5201" s="4" t="s">
        <v>27403</v>
      </c>
      <c r="H5201" s="3" t="s">
        <v>26808</v>
      </c>
      <c r="I5201" s="3" t="s">
        <v>27404</v>
      </c>
      <c r="J5201" s="3" t="s">
        <v>27405</v>
      </c>
      <c r="K5201" s="3" t="s">
        <v>27406</v>
      </c>
      <c r="L5201" s="3"/>
      <c r="M5201" s="4"/>
      <c r="N5201" s="3" t="s">
        <v>37</v>
      </c>
      <c r="O5201" s="3" t="s">
        <v>46</v>
      </c>
      <c r="P5201" s="5">
        <v>11</v>
      </c>
      <c r="Q5201" s="5">
        <v>217</v>
      </c>
      <c r="R5201" s="5">
        <v>11</v>
      </c>
      <c r="S5201" s="5">
        <v>218</v>
      </c>
    </row>
    <row r="5202" spans="1:19" ht="42" x14ac:dyDescent="0.15">
      <c r="A5202" s="2">
        <f>HYPERLINK("https://open-school.uspishnemisto.com.ua/school/260133/", 260133)</f>
        <v>260133</v>
      </c>
      <c r="B5202" s="3" t="s">
        <v>27407</v>
      </c>
      <c r="C5202" s="3" t="s">
        <v>31</v>
      </c>
      <c r="D5202" s="3" t="s">
        <v>32</v>
      </c>
      <c r="E5202" s="4" t="s">
        <v>22</v>
      </c>
      <c r="F5202" s="4" t="s">
        <v>27408</v>
      </c>
      <c r="G5202" s="4" t="s">
        <v>27409</v>
      </c>
      <c r="H5202" s="3" t="s">
        <v>26808</v>
      </c>
      <c r="I5202" s="3" t="s">
        <v>27410</v>
      </c>
      <c r="J5202" s="3" t="s">
        <v>27411</v>
      </c>
      <c r="K5202" s="3" t="s">
        <v>27412</v>
      </c>
      <c r="L5202" s="3"/>
      <c r="M5202" s="4"/>
      <c r="N5202" s="3" t="s">
        <v>37</v>
      </c>
      <c r="O5202" s="3" t="s">
        <v>46</v>
      </c>
      <c r="P5202" s="5">
        <v>17</v>
      </c>
      <c r="Q5202" s="5">
        <v>329</v>
      </c>
      <c r="R5202" s="5">
        <v>16</v>
      </c>
      <c r="S5202" s="5">
        <v>330</v>
      </c>
    </row>
    <row r="5203" spans="1:19" ht="42" x14ac:dyDescent="0.15">
      <c r="A5203" s="2">
        <f>HYPERLINK("https://open-school.uspishnemisto.com.ua/school/260134/", 260134)</f>
        <v>260134</v>
      </c>
      <c r="B5203" s="3" t="s">
        <v>27413</v>
      </c>
      <c r="C5203" s="3" t="s">
        <v>31</v>
      </c>
      <c r="D5203" s="3" t="s">
        <v>32</v>
      </c>
      <c r="E5203" s="4" t="s">
        <v>22</v>
      </c>
      <c r="F5203" s="4" t="s">
        <v>27414</v>
      </c>
      <c r="G5203" s="4" t="s">
        <v>27415</v>
      </c>
      <c r="H5203" s="3" t="s">
        <v>26808</v>
      </c>
      <c r="I5203" s="3" t="s">
        <v>27416</v>
      </c>
      <c r="J5203" s="3" t="s">
        <v>1216</v>
      </c>
      <c r="K5203" s="3" t="s">
        <v>27417</v>
      </c>
      <c r="L5203" s="3"/>
      <c r="M5203" s="4"/>
      <c r="N5203" s="3" t="s">
        <v>37</v>
      </c>
      <c r="O5203" s="3" t="s">
        <v>52</v>
      </c>
      <c r="P5203" s="5">
        <v>11</v>
      </c>
      <c r="Q5203" s="5">
        <v>142</v>
      </c>
      <c r="R5203" s="5">
        <v>11</v>
      </c>
      <c r="S5203" s="5">
        <v>143</v>
      </c>
    </row>
    <row r="5204" spans="1:19" ht="42" x14ac:dyDescent="0.15">
      <c r="A5204" s="2">
        <f>HYPERLINK("https://open-school.uspishnemisto.com.ua/school/260135/", 260135)</f>
        <v>260135</v>
      </c>
      <c r="B5204" s="3" t="s">
        <v>27418</v>
      </c>
      <c r="C5204" s="3" t="s">
        <v>31</v>
      </c>
      <c r="D5204" s="3" t="s">
        <v>32</v>
      </c>
      <c r="E5204" s="4" t="s">
        <v>22</v>
      </c>
      <c r="F5204" s="4" t="s">
        <v>27419</v>
      </c>
      <c r="G5204" s="4" t="s">
        <v>27420</v>
      </c>
      <c r="H5204" s="3" t="s">
        <v>26808</v>
      </c>
      <c r="I5204" s="3" t="s">
        <v>27421</v>
      </c>
      <c r="J5204" s="3" t="s">
        <v>27422</v>
      </c>
      <c r="K5204" s="3" t="s">
        <v>27423</v>
      </c>
      <c r="L5204" s="3"/>
      <c r="M5204" s="4"/>
      <c r="N5204" s="3" t="s">
        <v>37</v>
      </c>
      <c r="O5204" s="3" t="s">
        <v>46</v>
      </c>
      <c r="P5204" s="5">
        <v>19</v>
      </c>
      <c r="Q5204" s="5">
        <v>370</v>
      </c>
      <c r="R5204" s="5">
        <v>18</v>
      </c>
      <c r="S5204" s="5">
        <v>354</v>
      </c>
    </row>
    <row r="5205" spans="1:19" ht="42" x14ac:dyDescent="0.15">
      <c r="A5205" s="2">
        <f>HYPERLINK("https://open-school.uspishnemisto.com.ua/school/260136/", 260136)</f>
        <v>260136</v>
      </c>
      <c r="B5205" s="3" t="s">
        <v>27424</v>
      </c>
      <c r="C5205" s="3" t="s">
        <v>54</v>
      </c>
      <c r="D5205" s="3" t="s">
        <v>60</v>
      </c>
      <c r="E5205" s="4" t="s">
        <v>22</v>
      </c>
      <c r="F5205" s="4" t="s">
        <v>27425</v>
      </c>
      <c r="G5205" s="4" t="s">
        <v>27426</v>
      </c>
      <c r="H5205" s="3" t="s">
        <v>26808</v>
      </c>
      <c r="I5205" s="3" t="s">
        <v>27427</v>
      </c>
      <c r="J5205" s="3" t="s">
        <v>27428</v>
      </c>
      <c r="K5205" s="3" t="s">
        <v>27293</v>
      </c>
      <c r="L5205" s="3"/>
      <c r="M5205" s="4"/>
      <c r="N5205" s="3" t="s">
        <v>37</v>
      </c>
      <c r="O5205" s="3" t="s">
        <v>52</v>
      </c>
      <c r="P5205" s="5">
        <v>1</v>
      </c>
      <c r="Q5205" s="5">
        <v>15</v>
      </c>
      <c r="R5205" s="5">
        <v>1</v>
      </c>
      <c r="S5205" s="5">
        <v>15</v>
      </c>
    </row>
    <row r="5206" spans="1:19" ht="56" x14ac:dyDescent="0.15">
      <c r="A5206" s="2">
        <f>HYPERLINK("https://open-school.uspishnemisto.com.ua/school/260137/", 260137)</f>
        <v>260137</v>
      </c>
      <c r="B5206" s="3" t="s">
        <v>27429</v>
      </c>
      <c r="C5206" s="3" t="s">
        <v>54</v>
      </c>
      <c r="D5206" s="3" t="s">
        <v>32</v>
      </c>
      <c r="E5206" s="4" t="s">
        <v>22</v>
      </c>
      <c r="F5206" s="4" t="s">
        <v>27430</v>
      </c>
      <c r="G5206" s="4" t="s">
        <v>27431</v>
      </c>
      <c r="H5206" s="3" t="s">
        <v>26808</v>
      </c>
      <c r="I5206" s="3" t="s">
        <v>27432</v>
      </c>
      <c r="J5206" s="3" t="s">
        <v>8298</v>
      </c>
      <c r="K5206" s="3" t="s">
        <v>27433</v>
      </c>
      <c r="L5206" s="3"/>
      <c r="M5206" s="4"/>
      <c r="N5206" s="3" t="s">
        <v>37</v>
      </c>
      <c r="O5206" s="3" t="s">
        <v>46</v>
      </c>
      <c r="P5206" s="5">
        <v>17</v>
      </c>
      <c r="Q5206" s="5">
        <v>331</v>
      </c>
      <c r="R5206" s="5">
        <v>18</v>
      </c>
      <c r="S5206" s="5">
        <v>341</v>
      </c>
    </row>
    <row r="5207" spans="1:19" ht="56" x14ac:dyDescent="0.15">
      <c r="A5207" s="2">
        <f>HYPERLINK("https://open-school.uspishnemisto.com.ua/school/260138/", 260138)</f>
        <v>260138</v>
      </c>
      <c r="B5207" s="3" t="s">
        <v>27434</v>
      </c>
      <c r="C5207" s="3" t="s">
        <v>54</v>
      </c>
      <c r="D5207" s="3" t="s">
        <v>175</v>
      </c>
      <c r="E5207" s="4" t="s">
        <v>22</v>
      </c>
      <c r="F5207" s="4" t="s">
        <v>27430</v>
      </c>
      <c r="G5207" s="4" t="s">
        <v>27435</v>
      </c>
      <c r="H5207" s="3" t="s">
        <v>26808</v>
      </c>
      <c r="I5207" s="3" t="s">
        <v>27436</v>
      </c>
      <c r="J5207" s="3" t="s">
        <v>27437</v>
      </c>
      <c r="K5207" s="3" t="s">
        <v>27438</v>
      </c>
      <c r="L5207" s="3"/>
      <c r="M5207" s="4"/>
      <c r="N5207" s="3" t="s">
        <v>37</v>
      </c>
      <c r="O5207" s="3" t="s">
        <v>46</v>
      </c>
      <c r="P5207" s="5">
        <v>9</v>
      </c>
      <c r="Q5207" s="5">
        <v>125</v>
      </c>
      <c r="R5207" s="5">
        <v>9</v>
      </c>
      <c r="S5207" s="5">
        <v>121</v>
      </c>
    </row>
    <row r="5208" spans="1:19" ht="42" x14ac:dyDescent="0.15">
      <c r="A5208" s="2">
        <f>HYPERLINK("https://open-school.uspishnemisto.com.ua/school/260139/", 260139)</f>
        <v>260139</v>
      </c>
      <c r="B5208" s="3" t="s">
        <v>27439</v>
      </c>
      <c r="C5208" s="3" t="s">
        <v>31</v>
      </c>
      <c r="D5208" s="3" t="s">
        <v>175</v>
      </c>
      <c r="E5208" s="4" t="s">
        <v>22</v>
      </c>
      <c r="F5208" s="4" t="s">
        <v>27440</v>
      </c>
      <c r="G5208" s="4" t="s">
        <v>27441</v>
      </c>
      <c r="H5208" s="3" t="s">
        <v>26808</v>
      </c>
      <c r="I5208" s="3" t="s">
        <v>5208</v>
      </c>
      <c r="J5208" s="3" t="s">
        <v>18837</v>
      </c>
      <c r="K5208" s="3" t="s">
        <v>27442</v>
      </c>
      <c r="L5208" s="3"/>
      <c r="M5208" s="4"/>
      <c r="N5208" s="3" t="s">
        <v>37</v>
      </c>
      <c r="O5208" s="3" t="s">
        <v>46</v>
      </c>
      <c r="P5208" s="5">
        <v>8</v>
      </c>
      <c r="Q5208" s="5">
        <v>51</v>
      </c>
      <c r="R5208" s="5">
        <v>8</v>
      </c>
      <c r="S5208" s="5">
        <v>55</v>
      </c>
    </row>
    <row r="5209" spans="1:19" ht="42" x14ac:dyDescent="0.15">
      <c r="A5209" s="2">
        <f>HYPERLINK("https://open-school.uspishnemisto.com.ua/school/260140/", 260140)</f>
        <v>260140</v>
      </c>
      <c r="B5209" s="3" t="s">
        <v>27443</v>
      </c>
      <c r="C5209" s="3" t="s">
        <v>31</v>
      </c>
      <c r="D5209" s="3" t="s">
        <v>32</v>
      </c>
      <c r="E5209" s="4" t="s">
        <v>22</v>
      </c>
      <c r="F5209" s="4" t="s">
        <v>27444</v>
      </c>
      <c r="G5209" s="4" t="s">
        <v>27445</v>
      </c>
      <c r="H5209" s="3" t="s">
        <v>26808</v>
      </c>
      <c r="I5209" s="3" t="s">
        <v>27446</v>
      </c>
      <c r="J5209" s="3" t="s">
        <v>27447</v>
      </c>
      <c r="K5209" s="3" t="s">
        <v>27448</v>
      </c>
      <c r="L5209" s="3"/>
      <c r="M5209" s="4"/>
      <c r="N5209" s="3" t="s">
        <v>37</v>
      </c>
      <c r="O5209" s="3" t="s">
        <v>123</v>
      </c>
      <c r="P5209" s="5">
        <v>15</v>
      </c>
      <c r="Q5209" s="5">
        <v>284</v>
      </c>
      <c r="R5209" s="5">
        <v>15</v>
      </c>
      <c r="S5209" s="5">
        <v>310</v>
      </c>
    </row>
    <row r="5210" spans="1:19" ht="42" x14ac:dyDescent="0.15">
      <c r="A5210" s="2">
        <f>HYPERLINK("https://open-school.uspishnemisto.com.ua/school/260141/", 260141)</f>
        <v>260141</v>
      </c>
      <c r="B5210" s="3" t="s">
        <v>27449</v>
      </c>
      <c r="C5210" s="3" t="s">
        <v>20</v>
      </c>
      <c r="D5210" s="3" t="s">
        <v>21</v>
      </c>
      <c r="E5210" s="4" t="s">
        <v>22</v>
      </c>
      <c r="F5210" s="4" t="s">
        <v>27450</v>
      </c>
      <c r="G5210" s="4" t="s">
        <v>27451</v>
      </c>
      <c r="H5210" s="3" t="s">
        <v>26808</v>
      </c>
      <c r="I5210" s="3" t="s">
        <v>27452</v>
      </c>
      <c r="J5210" s="3" t="s">
        <v>27453</v>
      </c>
      <c r="K5210" s="3" t="s">
        <v>27454</v>
      </c>
      <c r="L5210" s="3"/>
      <c r="M5210" s="4"/>
      <c r="N5210" s="3"/>
      <c r="O5210" s="3"/>
      <c r="P5210" s="5">
        <v>0</v>
      </c>
      <c r="Q5210" s="5">
        <v>0</v>
      </c>
      <c r="R5210" s="5"/>
      <c r="S5210" s="5"/>
    </row>
    <row r="5211" spans="1:19" ht="42" x14ac:dyDescent="0.15">
      <c r="A5211" s="2">
        <f>HYPERLINK("https://open-school.uspishnemisto.com.ua/school/260142/", 260142)</f>
        <v>260142</v>
      </c>
      <c r="B5211" s="3" t="s">
        <v>27455</v>
      </c>
      <c r="C5211" s="3" t="s">
        <v>31</v>
      </c>
      <c r="D5211" s="3" t="s">
        <v>32</v>
      </c>
      <c r="E5211" s="4" t="s">
        <v>22</v>
      </c>
      <c r="F5211" s="4" t="s">
        <v>27450</v>
      </c>
      <c r="G5211" s="4" t="s">
        <v>27451</v>
      </c>
      <c r="H5211" s="3" t="s">
        <v>26808</v>
      </c>
      <c r="I5211" s="3" t="s">
        <v>27452</v>
      </c>
      <c r="J5211" s="3" t="s">
        <v>27456</v>
      </c>
      <c r="K5211" s="3" t="s">
        <v>27457</v>
      </c>
      <c r="L5211" s="3"/>
      <c r="M5211" s="4"/>
      <c r="N5211" s="3" t="s">
        <v>37</v>
      </c>
      <c r="O5211" s="3" t="s">
        <v>46</v>
      </c>
      <c r="P5211" s="5">
        <v>29</v>
      </c>
      <c r="Q5211" s="5">
        <v>643</v>
      </c>
      <c r="R5211" s="5">
        <v>28</v>
      </c>
      <c r="S5211" s="5">
        <v>618</v>
      </c>
    </row>
    <row r="5212" spans="1:19" ht="42" x14ac:dyDescent="0.15">
      <c r="A5212" s="2">
        <f>HYPERLINK("https://open-school.uspishnemisto.com.ua/school/260143/", 260143)</f>
        <v>260143</v>
      </c>
      <c r="B5212" s="3" t="s">
        <v>27458</v>
      </c>
      <c r="C5212" s="3" t="s">
        <v>293</v>
      </c>
      <c r="D5212" s="3" t="s">
        <v>32</v>
      </c>
      <c r="E5212" s="4" t="s">
        <v>22</v>
      </c>
      <c r="F5212" s="4" t="s">
        <v>27450</v>
      </c>
      <c r="G5212" s="4" t="s">
        <v>27451</v>
      </c>
      <c r="H5212" s="3" t="s">
        <v>26808</v>
      </c>
      <c r="I5212" s="3" t="s">
        <v>27452</v>
      </c>
      <c r="J5212" s="3" t="s">
        <v>27459</v>
      </c>
      <c r="K5212" s="3" t="s">
        <v>27460</v>
      </c>
      <c r="L5212" s="3"/>
      <c r="M5212" s="4" t="s">
        <v>27461</v>
      </c>
      <c r="N5212" s="3" t="s">
        <v>37</v>
      </c>
      <c r="O5212" s="3" t="s">
        <v>46</v>
      </c>
      <c r="P5212" s="5">
        <v>20</v>
      </c>
      <c r="Q5212" s="5">
        <v>377</v>
      </c>
      <c r="R5212" s="5">
        <v>20</v>
      </c>
      <c r="S5212" s="5">
        <v>386</v>
      </c>
    </row>
    <row r="5213" spans="1:19" ht="42" x14ac:dyDescent="0.15">
      <c r="A5213" s="2">
        <f>HYPERLINK("https://open-school.uspishnemisto.com.ua/school/260144/", 260144)</f>
        <v>260144</v>
      </c>
      <c r="B5213" s="3" t="s">
        <v>27462</v>
      </c>
      <c r="C5213" s="3" t="s">
        <v>188</v>
      </c>
      <c r="D5213" s="3" t="s">
        <v>32</v>
      </c>
      <c r="E5213" s="4" t="s">
        <v>22</v>
      </c>
      <c r="F5213" s="4" t="s">
        <v>27450</v>
      </c>
      <c r="G5213" s="4" t="s">
        <v>27451</v>
      </c>
      <c r="H5213" s="3" t="s">
        <v>26808</v>
      </c>
      <c r="I5213" s="3" t="s">
        <v>27452</v>
      </c>
      <c r="J5213" s="3" t="s">
        <v>27463</v>
      </c>
      <c r="K5213" s="3" t="s">
        <v>27464</v>
      </c>
      <c r="L5213" s="3"/>
      <c r="M5213" s="4"/>
      <c r="N5213" s="3" t="s">
        <v>37</v>
      </c>
      <c r="O5213" s="3" t="s">
        <v>52</v>
      </c>
      <c r="P5213" s="5">
        <v>4</v>
      </c>
      <c r="Q5213" s="5">
        <v>30</v>
      </c>
      <c r="R5213" s="5">
        <v>4</v>
      </c>
      <c r="S5213" s="5">
        <v>25</v>
      </c>
    </row>
    <row r="5214" spans="1:19" ht="42" x14ac:dyDescent="0.15">
      <c r="A5214" s="2">
        <f>HYPERLINK("https://open-school.uspishnemisto.com.ua/school/260145/", 260145)</f>
        <v>260145</v>
      </c>
      <c r="B5214" s="3" t="s">
        <v>27465</v>
      </c>
      <c r="C5214" s="3" t="s">
        <v>54</v>
      </c>
      <c r="D5214" s="3" t="s">
        <v>60</v>
      </c>
      <c r="E5214" s="4" t="s">
        <v>22</v>
      </c>
      <c r="F5214" s="4" t="s">
        <v>27450</v>
      </c>
      <c r="G5214" s="4" t="s">
        <v>27451</v>
      </c>
      <c r="H5214" s="3" t="s">
        <v>26808</v>
      </c>
      <c r="I5214" s="3" t="s">
        <v>27452</v>
      </c>
      <c r="J5214" s="3" t="s">
        <v>27428</v>
      </c>
      <c r="K5214" s="3" t="s">
        <v>27466</v>
      </c>
      <c r="L5214" s="3"/>
      <c r="M5214" s="4"/>
      <c r="N5214" s="3" t="s">
        <v>37</v>
      </c>
      <c r="O5214" s="3" t="s">
        <v>52</v>
      </c>
      <c r="P5214" s="5">
        <v>4</v>
      </c>
      <c r="Q5214" s="5">
        <v>60</v>
      </c>
      <c r="R5214" s="5">
        <v>4</v>
      </c>
      <c r="S5214" s="5">
        <v>56</v>
      </c>
    </row>
    <row r="5215" spans="1:19" ht="42" x14ac:dyDescent="0.15">
      <c r="A5215" s="2">
        <f>HYPERLINK("https://open-school.uspishnemisto.com.ua/school/260146/", 260146)</f>
        <v>260146</v>
      </c>
      <c r="B5215" s="3" t="s">
        <v>27467</v>
      </c>
      <c r="C5215" s="3" t="s">
        <v>31</v>
      </c>
      <c r="D5215" s="3" t="s">
        <v>60</v>
      </c>
      <c r="E5215" s="4" t="s">
        <v>22</v>
      </c>
      <c r="F5215" s="4" t="s">
        <v>27450</v>
      </c>
      <c r="G5215" s="4" t="s">
        <v>27451</v>
      </c>
      <c r="H5215" s="3" t="s">
        <v>26808</v>
      </c>
      <c r="I5215" s="3" t="s">
        <v>27452</v>
      </c>
      <c r="J5215" s="3" t="s">
        <v>27468</v>
      </c>
      <c r="K5215" s="3" t="s">
        <v>27469</v>
      </c>
      <c r="L5215" s="3"/>
      <c r="M5215" s="4"/>
      <c r="N5215" s="3" t="s">
        <v>37</v>
      </c>
      <c r="O5215" s="3" t="s">
        <v>52</v>
      </c>
      <c r="P5215" s="5">
        <v>0</v>
      </c>
      <c r="Q5215" s="5">
        <v>11</v>
      </c>
      <c r="R5215" s="5">
        <v>0</v>
      </c>
      <c r="S5215" s="5">
        <v>9</v>
      </c>
    </row>
    <row r="5216" spans="1:19" ht="56" x14ac:dyDescent="0.15">
      <c r="A5216" s="2">
        <f>HYPERLINK("https://open-school.uspishnemisto.com.ua/school/260147/", 260147)</f>
        <v>260147</v>
      </c>
      <c r="B5216" s="3" t="s">
        <v>27470</v>
      </c>
      <c r="C5216" s="3" t="s">
        <v>31</v>
      </c>
      <c r="D5216" s="3" t="s">
        <v>32</v>
      </c>
      <c r="E5216" s="4" t="s">
        <v>22</v>
      </c>
      <c r="F5216" s="4" t="s">
        <v>27471</v>
      </c>
      <c r="G5216" s="4" t="s">
        <v>27472</v>
      </c>
      <c r="H5216" s="3" t="s">
        <v>26808</v>
      </c>
      <c r="I5216" s="3" t="s">
        <v>27473</v>
      </c>
      <c r="J5216" s="3"/>
      <c r="K5216" s="3" t="s">
        <v>27474</v>
      </c>
      <c r="L5216" s="3"/>
      <c r="M5216" s="4"/>
      <c r="N5216" s="3" t="s">
        <v>37</v>
      </c>
      <c r="O5216" s="3" t="s">
        <v>46</v>
      </c>
      <c r="P5216" s="5">
        <v>11</v>
      </c>
      <c r="Q5216" s="5">
        <v>147</v>
      </c>
      <c r="R5216" s="5">
        <v>11</v>
      </c>
      <c r="S5216" s="5">
        <v>141</v>
      </c>
    </row>
    <row r="5217" spans="1:19" ht="42" x14ac:dyDescent="0.15">
      <c r="A5217" s="2">
        <f>HYPERLINK("https://open-school.uspishnemisto.com.ua/school/260148/", 260148)</f>
        <v>260148</v>
      </c>
      <c r="B5217" s="3" t="s">
        <v>27475</v>
      </c>
      <c r="C5217" s="3" t="s">
        <v>31</v>
      </c>
      <c r="D5217" s="3" t="s">
        <v>175</v>
      </c>
      <c r="E5217" s="4" t="s">
        <v>22</v>
      </c>
      <c r="F5217" s="4" t="s">
        <v>27476</v>
      </c>
      <c r="G5217" s="4" t="s">
        <v>27477</v>
      </c>
      <c r="H5217" s="3" t="s">
        <v>26808</v>
      </c>
      <c r="I5217" s="3" t="s">
        <v>27478</v>
      </c>
      <c r="J5217" s="3"/>
      <c r="K5217" s="3" t="s">
        <v>27479</v>
      </c>
      <c r="L5217" s="3"/>
      <c r="M5217" s="4"/>
      <c r="N5217" s="3" t="s">
        <v>37</v>
      </c>
      <c r="O5217" s="3" t="s">
        <v>46</v>
      </c>
      <c r="P5217" s="5">
        <v>6</v>
      </c>
      <c r="Q5217" s="5">
        <v>53</v>
      </c>
      <c r="R5217" s="5">
        <v>6</v>
      </c>
      <c r="S5217" s="5">
        <v>47</v>
      </c>
    </row>
    <row r="5218" spans="1:19" ht="42" x14ac:dyDescent="0.15">
      <c r="A5218" s="2">
        <f>HYPERLINK("https://open-school.uspishnemisto.com.ua/school/260149/", 260149)</f>
        <v>260149</v>
      </c>
      <c r="B5218" s="3" t="s">
        <v>27480</v>
      </c>
      <c r="C5218" s="3" t="s">
        <v>31</v>
      </c>
      <c r="D5218" s="3" t="s">
        <v>175</v>
      </c>
      <c r="E5218" s="4" t="s">
        <v>22</v>
      </c>
      <c r="F5218" s="4" t="s">
        <v>27481</v>
      </c>
      <c r="G5218" s="4" t="s">
        <v>27482</v>
      </c>
      <c r="H5218" s="3" t="s">
        <v>26808</v>
      </c>
      <c r="I5218" s="3" t="s">
        <v>21137</v>
      </c>
      <c r="J5218" s="3"/>
      <c r="K5218" s="3" t="s">
        <v>27483</v>
      </c>
      <c r="L5218" s="3"/>
      <c r="M5218" s="4"/>
      <c r="N5218" s="3" t="s">
        <v>37</v>
      </c>
      <c r="O5218" s="3" t="s">
        <v>46</v>
      </c>
      <c r="P5218" s="5">
        <v>8</v>
      </c>
      <c r="Q5218" s="5">
        <v>91</v>
      </c>
      <c r="R5218" s="5">
        <v>8</v>
      </c>
      <c r="S5218" s="5">
        <v>98</v>
      </c>
    </row>
    <row r="5219" spans="1:19" ht="42" x14ac:dyDescent="0.15">
      <c r="A5219" s="2">
        <f>HYPERLINK("https://open-school.uspishnemisto.com.ua/school/260150/", 260150)</f>
        <v>260150</v>
      </c>
      <c r="B5219" s="3" t="s">
        <v>27484</v>
      </c>
      <c r="C5219" s="3" t="s">
        <v>31</v>
      </c>
      <c r="D5219" s="3" t="s">
        <v>32</v>
      </c>
      <c r="E5219" s="4" t="s">
        <v>22</v>
      </c>
      <c r="F5219" s="4" t="s">
        <v>27485</v>
      </c>
      <c r="G5219" s="4" t="s">
        <v>27486</v>
      </c>
      <c r="H5219" s="3" t="s">
        <v>26808</v>
      </c>
      <c r="I5219" s="3" t="s">
        <v>27487</v>
      </c>
      <c r="J5219" s="3"/>
      <c r="K5219" s="3" t="s">
        <v>27488</v>
      </c>
      <c r="L5219" s="3"/>
      <c r="M5219" s="4"/>
      <c r="N5219" s="3" t="s">
        <v>37</v>
      </c>
      <c r="O5219" s="3" t="s">
        <v>52</v>
      </c>
      <c r="P5219" s="5">
        <v>15</v>
      </c>
      <c r="Q5219" s="5">
        <v>203</v>
      </c>
      <c r="R5219" s="5">
        <v>15</v>
      </c>
      <c r="S5219" s="5">
        <v>206</v>
      </c>
    </row>
    <row r="5220" spans="1:19" ht="42" x14ac:dyDescent="0.15">
      <c r="A5220" s="2">
        <f>HYPERLINK("https://open-school.uspishnemisto.com.ua/school/260151/", 260151)</f>
        <v>260151</v>
      </c>
      <c r="B5220" s="3" t="s">
        <v>27489</v>
      </c>
      <c r="C5220" s="3" t="s">
        <v>31</v>
      </c>
      <c r="D5220" s="3" t="s">
        <v>175</v>
      </c>
      <c r="E5220" s="4" t="s">
        <v>22</v>
      </c>
      <c r="F5220" s="4" t="s">
        <v>27490</v>
      </c>
      <c r="G5220" s="4" t="s">
        <v>27491</v>
      </c>
      <c r="H5220" s="3" t="s">
        <v>26808</v>
      </c>
      <c r="I5220" s="3" t="s">
        <v>27492</v>
      </c>
      <c r="J5220" s="3"/>
      <c r="K5220" s="3" t="s">
        <v>27493</v>
      </c>
      <c r="L5220" s="3"/>
      <c r="M5220" s="4"/>
      <c r="N5220" s="3" t="s">
        <v>37</v>
      </c>
      <c r="O5220" s="3" t="s">
        <v>52</v>
      </c>
      <c r="P5220" s="5">
        <v>11</v>
      </c>
      <c r="Q5220" s="5">
        <v>128</v>
      </c>
      <c r="R5220" s="5">
        <v>11</v>
      </c>
      <c r="S5220" s="5">
        <v>119</v>
      </c>
    </row>
    <row r="5221" spans="1:19" ht="42" x14ac:dyDescent="0.15">
      <c r="A5221" s="2">
        <f>HYPERLINK("https://open-school.uspishnemisto.com.ua/school/260152/", 260152)</f>
        <v>260152</v>
      </c>
      <c r="B5221" s="3" t="s">
        <v>27494</v>
      </c>
      <c r="C5221" s="3" t="s">
        <v>31</v>
      </c>
      <c r="D5221" s="3" t="s">
        <v>60</v>
      </c>
      <c r="E5221" s="4" t="s">
        <v>22</v>
      </c>
      <c r="F5221" s="4" t="s">
        <v>27495</v>
      </c>
      <c r="G5221" s="4" t="s">
        <v>27496</v>
      </c>
      <c r="H5221" s="3" t="s">
        <v>26808</v>
      </c>
      <c r="I5221" s="3" t="s">
        <v>27497</v>
      </c>
      <c r="J5221" s="3"/>
      <c r="K5221" s="3"/>
      <c r="L5221" s="3"/>
      <c r="M5221" s="4"/>
      <c r="N5221" s="3" t="s">
        <v>37</v>
      </c>
      <c r="O5221" s="3" t="s">
        <v>52</v>
      </c>
      <c r="P5221" s="5">
        <v>4</v>
      </c>
      <c r="Q5221" s="5">
        <v>26</v>
      </c>
      <c r="R5221" s="5">
        <v>3</v>
      </c>
      <c r="S5221" s="5">
        <v>20</v>
      </c>
    </row>
    <row r="5222" spans="1:19" ht="42" x14ac:dyDescent="0.15">
      <c r="A5222" s="2">
        <f>HYPERLINK("https://open-school.uspishnemisto.com.ua/school/260153/", 260153)</f>
        <v>260153</v>
      </c>
      <c r="B5222" s="3" t="s">
        <v>27498</v>
      </c>
      <c r="C5222" s="3" t="s">
        <v>31</v>
      </c>
      <c r="D5222" s="3" t="s">
        <v>60</v>
      </c>
      <c r="E5222" s="4" t="s">
        <v>22</v>
      </c>
      <c r="F5222" s="4" t="s">
        <v>27499</v>
      </c>
      <c r="G5222" s="4" t="s">
        <v>27500</v>
      </c>
      <c r="H5222" s="3" t="s">
        <v>26808</v>
      </c>
      <c r="I5222" s="3" t="s">
        <v>27501</v>
      </c>
      <c r="J5222" s="3" t="s">
        <v>27502</v>
      </c>
      <c r="K5222" s="3" t="s">
        <v>27503</v>
      </c>
      <c r="L5222" s="3"/>
      <c r="M5222" s="4"/>
      <c r="N5222" s="3" t="s">
        <v>37</v>
      </c>
      <c r="O5222" s="3" t="s">
        <v>52</v>
      </c>
      <c r="P5222" s="5">
        <v>2</v>
      </c>
      <c r="Q5222" s="5">
        <v>17</v>
      </c>
      <c r="R5222" s="5">
        <v>1</v>
      </c>
      <c r="S5222" s="5">
        <v>15</v>
      </c>
    </row>
    <row r="5223" spans="1:19" ht="42" x14ac:dyDescent="0.15">
      <c r="A5223" s="2">
        <f>HYPERLINK("https://open-school.uspishnemisto.com.ua/school/260154/", 260154)</f>
        <v>260154</v>
      </c>
      <c r="B5223" s="3" t="s">
        <v>27504</v>
      </c>
      <c r="C5223" s="3" t="s">
        <v>31</v>
      </c>
      <c r="D5223" s="3" t="s">
        <v>32</v>
      </c>
      <c r="E5223" s="4" t="s">
        <v>22</v>
      </c>
      <c r="F5223" s="4" t="s">
        <v>27505</v>
      </c>
      <c r="G5223" s="4" t="s">
        <v>27506</v>
      </c>
      <c r="H5223" s="3" t="s">
        <v>26808</v>
      </c>
      <c r="I5223" s="3" t="s">
        <v>27507</v>
      </c>
      <c r="J5223" s="3" t="s">
        <v>27508</v>
      </c>
      <c r="K5223" s="3" t="s">
        <v>27509</v>
      </c>
      <c r="L5223" s="3"/>
      <c r="M5223" s="4"/>
      <c r="N5223" s="3" t="s">
        <v>37</v>
      </c>
      <c r="O5223" s="3" t="s">
        <v>46</v>
      </c>
      <c r="P5223" s="5">
        <v>11</v>
      </c>
      <c r="Q5223" s="5">
        <v>169</v>
      </c>
      <c r="R5223" s="5">
        <v>11</v>
      </c>
      <c r="S5223" s="5">
        <v>167</v>
      </c>
    </row>
    <row r="5224" spans="1:19" ht="42" x14ac:dyDescent="0.15">
      <c r="A5224" s="2">
        <f>HYPERLINK("https://open-school.uspishnemisto.com.ua/school/260155/", 260155)</f>
        <v>260155</v>
      </c>
      <c r="B5224" s="3" t="s">
        <v>27510</v>
      </c>
      <c r="C5224" s="3" t="s">
        <v>31</v>
      </c>
      <c r="D5224" s="3" t="s">
        <v>60</v>
      </c>
      <c r="E5224" s="4" t="s">
        <v>22</v>
      </c>
      <c r="F5224" s="4" t="s">
        <v>27511</v>
      </c>
      <c r="G5224" s="4" t="s">
        <v>27512</v>
      </c>
      <c r="H5224" s="3" t="s">
        <v>26808</v>
      </c>
      <c r="I5224" s="3" t="s">
        <v>27513</v>
      </c>
      <c r="J5224" s="3"/>
      <c r="K5224" s="3" t="s">
        <v>27514</v>
      </c>
      <c r="L5224" s="3"/>
      <c r="M5224" s="4"/>
      <c r="N5224" s="3" t="s">
        <v>37</v>
      </c>
      <c r="O5224" s="3" t="s">
        <v>52</v>
      </c>
      <c r="P5224" s="5">
        <v>2</v>
      </c>
      <c r="Q5224" s="5">
        <v>17</v>
      </c>
      <c r="R5224" s="5">
        <v>0</v>
      </c>
      <c r="S5224" s="5">
        <v>14</v>
      </c>
    </row>
    <row r="5225" spans="1:19" ht="42" x14ac:dyDescent="0.15">
      <c r="A5225" s="2">
        <f>HYPERLINK("https://open-school.uspishnemisto.com.ua/school/260156/", 260156)</f>
        <v>260156</v>
      </c>
      <c r="B5225" s="3" t="s">
        <v>27515</v>
      </c>
      <c r="C5225" s="3" t="s">
        <v>31</v>
      </c>
      <c r="D5225" s="3" t="s">
        <v>32</v>
      </c>
      <c r="E5225" s="4" t="s">
        <v>22</v>
      </c>
      <c r="F5225" s="4" t="s">
        <v>27516</v>
      </c>
      <c r="G5225" s="4" t="s">
        <v>27517</v>
      </c>
      <c r="H5225" s="3" t="s">
        <v>26808</v>
      </c>
      <c r="I5225" s="3" t="s">
        <v>27518</v>
      </c>
      <c r="J5225" s="3" t="s">
        <v>1417</v>
      </c>
      <c r="K5225" s="3" t="s">
        <v>27519</v>
      </c>
      <c r="L5225" s="3"/>
      <c r="M5225" s="4"/>
      <c r="N5225" s="3" t="s">
        <v>37</v>
      </c>
      <c r="O5225" s="3" t="s">
        <v>46</v>
      </c>
      <c r="P5225" s="5">
        <v>11</v>
      </c>
      <c r="Q5225" s="5">
        <v>129</v>
      </c>
      <c r="R5225" s="5">
        <v>11</v>
      </c>
      <c r="S5225" s="5">
        <v>134</v>
      </c>
    </row>
    <row r="5226" spans="1:19" ht="42" x14ac:dyDescent="0.15">
      <c r="A5226" s="2">
        <f>HYPERLINK("https://open-school.uspishnemisto.com.ua/school/260157/", 260157)</f>
        <v>260157</v>
      </c>
      <c r="B5226" s="3" t="s">
        <v>27520</v>
      </c>
      <c r="C5226" s="3" t="s">
        <v>31</v>
      </c>
      <c r="D5226" s="3" t="s">
        <v>32</v>
      </c>
      <c r="E5226" s="4" t="s">
        <v>22</v>
      </c>
      <c r="F5226" s="4" t="s">
        <v>27521</v>
      </c>
      <c r="G5226" s="4" t="s">
        <v>27522</v>
      </c>
      <c r="H5226" s="3" t="s">
        <v>26808</v>
      </c>
      <c r="I5226" s="3" t="s">
        <v>27523</v>
      </c>
      <c r="J5226" s="3"/>
      <c r="K5226" s="3" t="s">
        <v>27524</v>
      </c>
      <c r="L5226" s="3"/>
      <c r="M5226" s="4"/>
      <c r="N5226" s="3" t="s">
        <v>37</v>
      </c>
      <c r="O5226" s="3" t="s">
        <v>52</v>
      </c>
      <c r="P5226" s="5">
        <v>11</v>
      </c>
      <c r="Q5226" s="5">
        <v>171</v>
      </c>
      <c r="R5226" s="5">
        <v>11</v>
      </c>
      <c r="S5226" s="5">
        <v>158</v>
      </c>
    </row>
    <row r="5227" spans="1:19" ht="42" x14ac:dyDescent="0.15">
      <c r="A5227" s="2">
        <f>HYPERLINK("https://open-school.uspishnemisto.com.ua/school/260158/", 260158)</f>
        <v>260158</v>
      </c>
      <c r="B5227" s="3" t="s">
        <v>27525</v>
      </c>
      <c r="C5227" s="3" t="s">
        <v>31</v>
      </c>
      <c r="D5227" s="3" t="s">
        <v>32</v>
      </c>
      <c r="E5227" s="4" t="s">
        <v>22</v>
      </c>
      <c r="F5227" s="4" t="s">
        <v>27526</v>
      </c>
      <c r="G5227" s="4" t="s">
        <v>27527</v>
      </c>
      <c r="H5227" s="3" t="s">
        <v>26808</v>
      </c>
      <c r="I5227" s="3" t="s">
        <v>5477</v>
      </c>
      <c r="J5227" s="3" t="s">
        <v>27528</v>
      </c>
      <c r="K5227" s="3"/>
      <c r="L5227" s="3"/>
      <c r="M5227" s="4"/>
      <c r="N5227" s="3" t="s">
        <v>37</v>
      </c>
      <c r="O5227" s="3" t="s">
        <v>52</v>
      </c>
      <c r="P5227" s="5">
        <v>11</v>
      </c>
      <c r="Q5227" s="5">
        <v>134</v>
      </c>
      <c r="R5227" s="5">
        <v>11</v>
      </c>
      <c r="S5227" s="5">
        <v>141</v>
      </c>
    </row>
    <row r="5228" spans="1:19" ht="42" x14ac:dyDescent="0.15">
      <c r="A5228" s="2">
        <f>HYPERLINK("https://open-school.uspishnemisto.com.ua/school/260159/", 260159)</f>
        <v>260159</v>
      </c>
      <c r="B5228" s="3" t="s">
        <v>27529</v>
      </c>
      <c r="C5228" s="3" t="s">
        <v>31</v>
      </c>
      <c r="D5228" s="3" t="s">
        <v>60</v>
      </c>
      <c r="E5228" s="4" t="s">
        <v>22</v>
      </c>
      <c r="F5228" s="4" t="s">
        <v>27530</v>
      </c>
      <c r="G5228" s="4" t="s">
        <v>27531</v>
      </c>
      <c r="H5228" s="3" t="s">
        <v>26808</v>
      </c>
      <c r="I5228" s="3" t="s">
        <v>27532</v>
      </c>
      <c r="J5228" s="3"/>
      <c r="K5228" s="3" t="s">
        <v>27533</v>
      </c>
      <c r="L5228" s="3"/>
      <c r="M5228" s="4"/>
      <c r="N5228" s="3" t="s">
        <v>37</v>
      </c>
      <c r="O5228" s="3" t="s">
        <v>52</v>
      </c>
      <c r="P5228" s="5">
        <v>2</v>
      </c>
      <c r="Q5228" s="5">
        <v>17</v>
      </c>
      <c r="R5228" s="5">
        <v>2</v>
      </c>
      <c r="S5228" s="5">
        <v>16</v>
      </c>
    </row>
    <row r="5229" spans="1:19" ht="42" x14ac:dyDescent="0.15">
      <c r="A5229" s="2">
        <f>HYPERLINK("https://open-school.uspishnemisto.com.ua/school/260160/", 260160)</f>
        <v>260160</v>
      </c>
      <c r="B5229" s="3" t="s">
        <v>27534</v>
      </c>
      <c r="C5229" s="3" t="s">
        <v>31</v>
      </c>
      <c r="D5229" s="3" t="s">
        <v>32</v>
      </c>
      <c r="E5229" s="4" t="s">
        <v>22</v>
      </c>
      <c r="F5229" s="4" t="s">
        <v>27535</v>
      </c>
      <c r="G5229" s="4" t="s">
        <v>27536</v>
      </c>
      <c r="H5229" s="3" t="s">
        <v>26808</v>
      </c>
      <c r="I5229" s="3" t="s">
        <v>27537</v>
      </c>
      <c r="J5229" s="3" t="s">
        <v>27538</v>
      </c>
      <c r="K5229" s="3" t="s">
        <v>27539</v>
      </c>
      <c r="L5229" s="3" t="s">
        <v>27540</v>
      </c>
      <c r="M5229" s="4"/>
      <c r="N5229" s="3" t="s">
        <v>37</v>
      </c>
      <c r="O5229" s="3" t="s">
        <v>46</v>
      </c>
      <c r="P5229" s="5">
        <v>11</v>
      </c>
      <c r="Q5229" s="5">
        <v>162</v>
      </c>
      <c r="R5229" s="5">
        <v>11</v>
      </c>
      <c r="S5229" s="5">
        <v>161</v>
      </c>
    </row>
    <row r="5230" spans="1:19" ht="42" x14ac:dyDescent="0.15">
      <c r="A5230" s="2">
        <f>HYPERLINK("https://open-school.uspishnemisto.com.ua/school/260161/", 260161)</f>
        <v>260161</v>
      </c>
      <c r="B5230" s="3" t="s">
        <v>27541</v>
      </c>
      <c r="C5230" s="3" t="s">
        <v>31</v>
      </c>
      <c r="D5230" s="3" t="s">
        <v>175</v>
      </c>
      <c r="E5230" s="4" t="s">
        <v>22</v>
      </c>
      <c r="F5230" s="4" t="s">
        <v>27535</v>
      </c>
      <c r="G5230" s="4" t="s">
        <v>27542</v>
      </c>
      <c r="H5230" s="3" t="s">
        <v>26808</v>
      </c>
      <c r="I5230" s="3" t="s">
        <v>27543</v>
      </c>
      <c r="J5230" s="3"/>
      <c r="K5230" s="3" t="s">
        <v>27544</v>
      </c>
      <c r="L5230" s="3" t="s">
        <v>27545</v>
      </c>
      <c r="M5230" s="4"/>
      <c r="N5230" s="3" t="s">
        <v>37</v>
      </c>
      <c r="O5230" s="3" t="s">
        <v>46</v>
      </c>
      <c r="P5230" s="5">
        <v>9</v>
      </c>
      <c r="Q5230" s="5">
        <v>73</v>
      </c>
      <c r="R5230" s="5">
        <v>9</v>
      </c>
      <c r="S5230" s="5">
        <v>68</v>
      </c>
    </row>
    <row r="5231" spans="1:19" ht="42" x14ac:dyDescent="0.15">
      <c r="A5231" s="2">
        <f>HYPERLINK("https://open-school.uspishnemisto.com.ua/school/260162/", 260162)</f>
        <v>260162</v>
      </c>
      <c r="B5231" s="3" t="s">
        <v>27546</v>
      </c>
      <c r="C5231" s="3" t="s">
        <v>31</v>
      </c>
      <c r="D5231" s="3" t="s">
        <v>175</v>
      </c>
      <c r="E5231" s="4" t="s">
        <v>22</v>
      </c>
      <c r="F5231" s="4" t="s">
        <v>27547</v>
      </c>
      <c r="G5231" s="4" t="s">
        <v>27548</v>
      </c>
      <c r="H5231" s="3" t="s">
        <v>26808</v>
      </c>
      <c r="I5231" s="3" t="s">
        <v>27549</v>
      </c>
      <c r="J5231" s="3" t="s">
        <v>27550</v>
      </c>
      <c r="K5231" s="3" t="s">
        <v>27551</v>
      </c>
      <c r="L5231" s="3" t="s">
        <v>27552</v>
      </c>
      <c r="M5231" s="4"/>
      <c r="N5231" s="3" t="s">
        <v>37</v>
      </c>
      <c r="O5231" s="3" t="s">
        <v>46</v>
      </c>
      <c r="P5231" s="5">
        <v>9</v>
      </c>
      <c r="Q5231" s="5">
        <v>114</v>
      </c>
      <c r="R5231" s="5">
        <v>9</v>
      </c>
      <c r="S5231" s="5">
        <v>106</v>
      </c>
    </row>
    <row r="5232" spans="1:19" ht="42" x14ac:dyDescent="0.15">
      <c r="A5232" s="2">
        <f>HYPERLINK("https://open-school.uspishnemisto.com.ua/school/260163/", 260163)</f>
        <v>260163</v>
      </c>
      <c r="B5232" s="3" t="s">
        <v>27553</v>
      </c>
      <c r="C5232" s="3" t="s">
        <v>31</v>
      </c>
      <c r="D5232" s="3" t="s">
        <v>32</v>
      </c>
      <c r="E5232" s="4" t="s">
        <v>22</v>
      </c>
      <c r="F5232" s="4" t="s">
        <v>27495</v>
      </c>
      <c r="G5232" s="4" t="s">
        <v>27554</v>
      </c>
      <c r="H5232" s="3" t="s">
        <v>26808</v>
      </c>
      <c r="I5232" s="3" t="s">
        <v>27555</v>
      </c>
      <c r="J5232" s="3" t="s">
        <v>27556</v>
      </c>
      <c r="K5232" s="3" t="s">
        <v>27557</v>
      </c>
      <c r="L5232" s="3" t="s">
        <v>27558</v>
      </c>
      <c r="M5232" s="4" t="s">
        <v>27559</v>
      </c>
      <c r="N5232" s="3" t="s">
        <v>37</v>
      </c>
      <c r="O5232" s="3" t="s">
        <v>52</v>
      </c>
      <c r="P5232" s="5">
        <v>18</v>
      </c>
      <c r="Q5232" s="5">
        <v>305</v>
      </c>
      <c r="R5232" s="5">
        <v>16</v>
      </c>
      <c r="S5232" s="5">
        <v>301</v>
      </c>
    </row>
    <row r="5233" spans="1:19" ht="42" x14ac:dyDescent="0.15">
      <c r="A5233" s="2">
        <f>HYPERLINK("https://open-school.uspishnemisto.com.ua/school/260164/", 260164)</f>
        <v>260164</v>
      </c>
      <c r="B5233" s="3" t="s">
        <v>27560</v>
      </c>
      <c r="C5233" s="3" t="s">
        <v>31</v>
      </c>
      <c r="D5233" s="3" t="s">
        <v>32</v>
      </c>
      <c r="E5233" s="4" t="s">
        <v>22</v>
      </c>
      <c r="F5233" s="4" t="s">
        <v>27561</v>
      </c>
      <c r="G5233" s="4" t="s">
        <v>27562</v>
      </c>
      <c r="H5233" s="3" t="s">
        <v>26808</v>
      </c>
      <c r="I5233" s="3" t="s">
        <v>27563</v>
      </c>
      <c r="J5233" s="3"/>
      <c r="K5233" s="3" t="s">
        <v>27564</v>
      </c>
      <c r="L5233" s="3"/>
      <c r="M5233" s="4"/>
      <c r="N5233" s="3" t="s">
        <v>37</v>
      </c>
      <c r="O5233" s="3" t="s">
        <v>46</v>
      </c>
      <c r="P5233" s="5">
        <v>11</v>
      </c>
      <c r="Q5233" s="5">
        <v>146</v>
      </c>
      <c r="R5233" s="5">
        <v>11</v>
      </c>
      <c r="S5233" s="5">
        <v>147</v>
      </c>
    </row>
    <row r="5234" spans="1:19" ht="42" x14ac:dyDescent="0.15">
      <c r="A5234" s="2">
        <f>HYPERLINK("https://open-school.uspishnemisto.com.ua/school/260165/", 260165)</f>
        <v>260165</v>
      </c>
      <c r="B5234" s="3" t="s">
        <v>27565</v>
      </c>
      <c r="C5234" s="3" t="s">
        <v>31</v>
      </c>
      <c r="D5234" s="3" t="s">
        <v>32</v>
      </c>
      <c r="E5234" s="4" t="s">
        <v>22</v>
      </c>
      <c r="F5234" s="4" t="s">
        <v>27566</v>
      </c>
      <c r="G5234" s="4" t="s">
        <v>27567</v>
      </c>
      <c r="H5234" s="3" t="s">
        <v>26808</v>
      </c>
      <c r="I5234" s="3" t="s">
        <v>27568</v>
      </c>
      <c r="J5234" s="3"/>
      <c r="K5234" s="3" t="s">
        <v>27569</v>
      </c>
      <c r="L5234" s="3"/>
      <c r="M5234" s="4"/>
      <c r="N5234" s="3" t="s">
        <v>37</v>
      </c>
      <c r="O5234" s="3" t="s">
        <v>46</v>
      </c>
      <c r="P5234" s="5">
        <v>12</v>
      </c>
      <c r="Q5234" s="5">
        <v>210</v>
      </c>
      <c r="R5234" s="5">
        <v>12</v>
      </c>
      <c r="S5234" s="5">
        <v>203</v>
      </c>
    </row>
    <row r="5235" spans="1:19" ht="42" x14ac:dyDescent="0.15">
      <c r="A5235" s="2">
        <f>HYPERLINK("https://open-school.uspishnemisto.com.ua/school/260742/", 260742)</f>
        <v>260742</v>
      </c>
      <c r="B5235" s="3" t="s">
        <v>27570</v>
      </c>
      <c r="C5235" s="3" t="s">
        <v>31</v>
      </c>
      <c r="D5235" s="3" t="s">
        <v>60</v>
      </c>
      <c r="E5235" s="4" t="s">
        <v>22</v>
      </c>
      <c r="F5235" s="4" t="s">
        <v>27566</v>
      </c>
      <c r="G5235" s="4" t="s">
        <v>27571</v>
      </c>
      <c r="H5235" s="3" t="s">
        <v>26808</v>
      </c>
      <c r="I5235" s="3" t="s">
        <v>7597</v>
      </c>
      <c r="J5235" s="3"/>
      <c r="K5235" s="3" t="s">
        <v>27572</v>
      </c>
      <c r="L5235" s="3"/>
      <c r="M5235" s="4"/>
      <c r="N5235" s="3" t="s">
        <v>37</v>
      </c>
      <c r="O5235" s="3" t="s">
        <v>52</v>
      </c>
      <c r="P5235" s="5">
        <v>0</v>
      </c>
      <c r="Q5235" s="5">
        <v>3</v>
      </c>
      <c r="R5235" s="5"/>
      <c r="S5235" s="5"/>
    </row>
    <row r="5236" spans="1:19" ht="42" x14ac:dyDescent="0.15">
      <c r="A5236" s="2">
        <f>HYPERLINK("https://open-school.uspishnemisto.com.ua/school/260166/", 260166)</f>
        <v>260166</v>
      </c>
      <c r="B5236" s="3" t="s">
        <v>27573</v>
      </c>
      <c r="C5236" s="3" t="s">
        <v>31</v>
      </c>
      <c r="D5236" s="3" t="s">
        <v>175</v>
      </c>
      <c r="E5236" s="4" t="s">
        <v>22</v>
      </c>
      <c r="F5236" s="4" t="s">
        <v>27495</v>
      </c>
      <c r="G5236" s="4" t="s">
        <v>27574</v>
      </c>
      <c r="H5236" s="3" t="s">
        <v>26808</v>
      </c>
      <c r="I5236" s="3" t="s">
        <v>27575</v>
      </c>
      <c r="J5236" s="3"/>
      <c r="K5236" s="3" t="s">
        <v>27576</v>
      </c>
      <c r="L5236" s="3"/>
      <c r="M5236" s="4"/>
      <c r="N5236" s="3" t="s">
        <v>37</v>
      </c>
      <c r="O5236" s="3" t="s">
        <v>52</v>
      </c>
      <c r="P5236" s="5">
        <v>9</v>
      </c>
      <c r="Q5236" s="5">
        <v>80</v>
      </c>
      <c r="R5236" s="5">
        <v>9</v>
      </c>
      <c r="S5236" s="5">
        <v>77</v>
      </c>
    </row>
    <row r="5237" spans="1:19" ht="42" x14ac:dyDescent="0.15">
      <c r="A5237" s="2">
        <f>HYPERLINK("https://open-school.uspishnemisto.com.ua/school/260167/", 260167)</f>
        <v>260167</v>
      </c>
      <c r="B5237" s="3" t="s">
        <v>27577</v>
      </c>
      <c r="C5237" s="3" t="s">
        <v>31</v>
      </c>
      <c r="D5237" s="3" t="s">
        <v>175</v>
      </c>
      <c r="E5237" s="4" t="s">
        <v>22</v>
      </c>
      <c r="F5237" s="4" t="s">
        <v>27578</v>
      </c>
      <c r="G5237" s="4" t="s">
        <v>27579</v>
      </c>
      <c r="H5237" s="3" t="s">
        <v>26808</v>
      </c>
      <c r="I5237" s="3" t="s">
        <v>27580</v>
      </c>
      <c r="J5237" s="3"/>
      <c r="K5237" s="3" t="s">
        <v>27581</v>
      </c>
      <c r="L5237" s="3"/>
      <c r="M5237" s="4"/>
      <c r="N5237" s="3" t="s">
        <v>37</v>
      </c>
      <c r="O5237" s="3" t="s">
        <v>618</v>
      </c>
      <c r="P5237" s="5">
        <v>8</v>
      </c>
      <c r="Q5237" s="5">
        <v>58</v>
      </c>
      <c r="R5237" s="5">
        <v>7</v>
      </c>
      <c r="S5237" s="5">
        <v>58</v>
      </c>
    </row>
    <row r="5238" spans="1:19" ht="42" x14ac:dyDescent="0.15">
      <c r="A5238" s="2">
        <f>HYPERLINK("https://open-school.uspishnemisto.com.ua/school/260168/", 260168)</f>
        <v>260168</v>
      </c>
      <c r="B5238" s="3" t="s">
        <v>27582</v>
      </c>
      <c r="C5238" s="3" t="s">
        <v>31</v>
      </c>
      <c r="D5238" s="3" t="s">
        <v>175</v>
      </c>
      <c r="E5238" s="4" t="s">
        <v>22</v>
      </c>
      <c r="F5238" s="4" t="s">
        <v>27583</v>
      </c>
      <c r="G5238" s="4" t="s">
        <v>27584</v>
      </c>
      <c r="H5238" s="3" t="s">
        <v>26808</v>
      </c>
      <c r="I5238" s="3" t="s">
        <v>27585</v>
      </c>
      <c r="J5238" s="3" t="s">
        <v>27586</v>
      </c>
      <c r="K5238" s="3" t="s">
        <v>27587</v>
      </c>
      <c r="L5238" s="3"/>
      <c r="M5238" s="4"/>
      <c r="N5238" s="3" t="s">
        <v>37</v>
      </c>
      <c r="O5238" s="3" t="s">
        <v>46</v>
      </c>
      <c r="P5238" s="5">
        <v>6</v>
      </c>
      <c r="Q5238" s="5">
        <v>46</v>
      </c>
      <c r="R5238" s="5">
        <v>5</v>
      </c>
      <c r="S5238" s="5">
        <v>43</v>
      </c>
    </row>
    <row r="5239" spans="1:19" ht="42" x14ac:dyDescent="0.15">
      <c r="A5239" s="2">
        <f>HYPERLINK("https://open-school.uspishnemisto.com.ua/school/260169/", 260169)</f>
        <v>260169</v>
      </c>
      <c r="B5239" s="3" t="s">
        <v>27588</v>
      </c>
      <c r="C5239" s="3" t="s">
        <v>31</v>
      </c>
      <c r="D5239" s="3" t="s">
        <v>175</v>
      </c>
      <c r="E5239" s="4" t="s">
        <v>22</v>
      </c>
      <c r="F5239" s="4" t="s">
        <v>27589</v>
      </c>
      <c r="G5239" s="4" t="s">
        <v>27590</v>
      </c>
      <c r="H5239" s="3" t="s">
        <v>26808</v>
      </c>
      <c r="I5239" s="3" t="s">
        <v>27591</v>
      </c>
      <c r="J5239" s="3"/>
      <c r="K5239" s="3" t="s">
        <v>27592</v>
      </c>
      <c r="L5239" s="3"/>
      <c r="M5239" s="4"/>
      <c r="N5239" s="3" t="s">
        <v>37</v>
      </c>
      <c r="O5239" s="3" t="s">
        <v>52</v>
      </c>
      <c r="P5239" s="5">
        <v>9</v>
      </c>
      <c r="Q5239" s="5">
        <v>55</v>
      </c>
      <c r="R5239" s="5">
        <v>7</v>
      </c>
      <c r="S5239" s="5">
        <v>52</v>
      </c>
    </row>
    <row r="5240" spans="1:19" ht="56" x14ac:dyDescent="0.15">
      <c r="A5240" s="2">
        <f>HYPERLINK("https://open-school.uspishnemisto.com.ua/school/260170/", 260170)</f>
        <v>260170</v>
      </c>
      <c r="B5240" s="3" t="s">
        <v>27593</v>
      </c>
      <c r="C5240" s="3" t="s">
        <v>31</v>
      </c>
      <c r="D5240" s="3" t="s">
        <v>175</v>
      </c>
      <c r="E5240" s="4" t="s">
        <v>22</v>
      </c>
      <c r="F5240" s="4" t="s">
        <v>27594</v>
      </c>
      <c r="G5240" s="4" t="s">
        <v>27595</v>
      </c>
      <c r="H5240" s="3" t="s">
        <v>26808</v>
      </c>
      <c r="I5240" s="3" t="s">
        <v>27596</v>
      </c>
      <c r="J5240" s="3"/>
      <c r="K5240" s="3" t="s">
        <v>27597</v>
      </c>
      <c r="L5240" s="3"/>
      <c r="M5240" s="4"/>
      <c r="N5240" s="3" t="s">
        <v>37</v>
      </c>
      <c r="O5240" s="3" t="s">
        <v>46</v>
      </c>
      <c r="P5240" s="5">
        <v>9</v>
      </c>
      <c r="Q5240" s="5">
        <v>81</v>
      </c>
      <c r="R5240" s="5">
        <v>9</v>
      </c>
      <c r="S5240" s="5">
        <v>81</v>
      </c>
    </row>
    <row r="5241" spans="1:19" ht="42" x14ac:dyDescent="0.15">
      <c r="A5241" s="2">
        <f>HYPERLINK("https://open-school.uspishnemisto.com.ua/school/260171/", 260171)</f>
        <v>260171</v>
      </c>
      <c r="B5241" s="3" t="s">
        <v>27598</v>
      </c>
      <c r="C5241" s="3" t="s">
        <v>54</v>
      </c>
      <c r="D5241" s="3" t="s">
        <v>60</v>
      </c>
      <c r="E5241" s="4" t="s">
        <v>22</v>
      </c>
      <c r="F5241" s="4" t="s">
        <v>27599</v>
      </c>
      <c r="G5241" s="4" t="s">
        <v>27600</v>
      </c>
      <c r="H5241" s="3" t="s">
        <v>26808</v>
      </c>
      <c r="I5241" s="3" t="s">
        <v>27601</v>
      </c>
      <c r="J5241" s="3"/>
      <c r="K5241" s="3"/>
      <c r="L5241" s="3"/>
      <c r="M5241" s="4"/>
      <c r="N5241" s="3" t="s">
        <v>37</v>
      </c>
      <c r="O5241" s="3" t="s">
        <v>52</v>
      </c>
      <c r="P5241" s="5">
        <v>2</v>
      </c>
      <c r="Q5241" s="5">
        <v>19</v>
      </c>
      <c r="R5241" s="5">
        <v>1</v>
      </c>
      <c r="S5241" s="5">
        <v>18</v>
      </c>
    </row>
    <row r="5242" spans="1:19" ht="56" x14ac:dyDescent="0.15">
      <c r="A5242" s="2">
        <f>HYPERLINK("https://open-school.uspishnemisto.com.ua/school/260172/", 260172)</f>
        <v>260172</v>
      </c>
      <c r="B5242" s="3" t="s">
        <v>27602</v>
      </c>
      <c r="C5242" s="3" t="s">
        <v>31</v>
      </c>
      <c r="D5242" s="3" t="s">
        <v>60</v>
      </c>
      <c r="E5242" s="4" t="s">
        <v>22</v>
      </c>
      <c r="F5242" s="4" t="s">
        <v>27471</v>
      </c>
      <c r="G5242" s="4" t="s">
        <v>27603</v>
      </c>
      <c r="H5242" s="3" t="s">
        <v>26808</v>
      </c>
      <c r="I5242" s="3" t="s">
        <v>27604</v>
      </c>
      <c r="J5242" s="3"/>
      <c r="K5242" s="3" t="s">
        <v>27605</v>
      </c>
      <c r="L5242" s="3"/>
      <c r="M5242" s="4"/>
      <c r="N5242" s="3" t="s">
        <v>37</v>
      </c>
      <c r="O5242" s="3" t="s">
        <v>52</v>
      </c>
      <c r="P5242" s="5">
        <v>1</v>
      </c>
      <c r="Q5242" s="5">
        <v>15</v>
      </c>
      <c r="R5242" s="5">
        <v>1</v>
      </c>
      <c r="S5242" s="5">
        <v>15</v>
      </c>
    </row>
    <row r="5243" spans="1:19" ht="42" x14ac:dyDescent="0.15">
      <c r="A5243" s="2">
        <f>HYPERLINK("https://open-school.uspishnemisto.com.ua/school/260173/", 260173)</f>
        <v>260173</v>
      </c>
      <c r="B5243" s="3" t="s">
        <v>27606</v>
      </c>
      <c r="C5243" s="3" t="s">
        <v>54</v>
      </c>
      <c r="D5243" s="3" t="s">
        <v>60</v>
      </c>
      <c r="E5243" s="4" t="s">
        <v>22</v>
      </c>
      <c r="F5243" s="4" t="s">
        <v>27511</v>
      </c>
      <c r="G5243" s="4" t="s">
        <v>27607</v>
      </c>
      <c r="H5243" s="3" t="s">
        <v>26808</v>
      </c>
      <c r="I5243" s="3" t="s">
        <v>27225</v>
      </c>
      <c r="J5243" s="3"/>
      <c r="K5243" s="3" t="s">
        <v>27608</v>
      </c>
      <c r="L5243" s="3"/>
      <c r="M5243" s="4"/>
      <c r="N5243" s="3" t="s">
        <v>37</v>
      </c>
      <c r="O5243" s="3" t="s">
        <v>52</v>
      </c>
      <c r="P5243" s="5">
        <v>4</v>
      </c>
      <c r="Q5243" s="5">
        <v>70</v>
      </c>
      <c r="R5243" s="5">
        <v>4</v>
      </c>
      <c r="S5243" s="5">
        <v>69</v>
      </c>
    </row>
    <row r="5244" spans="1:19" ht="42" x14ac:dyDescent="0.15">
      <c r="A5244" s="2">
        <f>HYPERLINK("https://open-school.uspishnemisto.com.ua/school/260174/", 260174)</f>
        <v>260174</v>
      </c>
      <c r="B5244" s="3" t="s">
        <v>27609</v>
      </c>
      <c r="C5244" s="3" t="s">
        <v>31</v>
      </c>
      <c r="D5244" s="3" t="s">
        <v>32</v>
      </c>
      <c r="E5244" s="4" t="s">
        <v>22</v>
      </c>
      <c r="F5244" s="4" t="s">
        <v>27610</v>
      </c>
      <c r="G5244" s="4" t="s">
        <v>27611</v>
      </c>
      <c r="H5244" s="3" t="s">
        <v>26808</v>
      </c>
      <c r="I5244" s="3" t="s">
        <v>27612</v>
      </c>
      <c r="J5244" s="3" t="s">
        <v>27613</v>
      </c>
      <c r="K5244" s="3" t="s">
        <v>27614</v>
      </c>
      <c r="L5244" s="3"/>
      <c r="M5244" s="4"/>
      <c r="N5244" s="3" t="s">
        <v>37</v>
      </c>
      <c r="O5244" s="3" t="s">
        <v>46</v>
      </c>
      <c r="P5244" s="5">
        <v>14</v>
      </c>
      <c r="Q5244" s="5">
        <v>202</v>
      </c>
      <c r="R5244" s="5">
        <v>14</v>
      </c>
      <c r="S5244" s="5">
        <v>208</v>
      </c>
    </row>
    <row r="5245" spans="1:19" ht="42" x14ac:dyDescent="0.15">
      <c r="A5245" s="2">
        <f>HYPERLINK("https://open-school.uspishnemisto.com.ua/school/260175/", 260175)</f>
        <v>260175</v>
      </c>
      <c r="B5245" s="3" t="s">
        <v>27615</v>
      </c>
      <c r="C5245" s="3" t="s">
        <v>40</v>
      </c>
      <c r="D5245" s="3" t="s">
        <v>32</v>
      </c>
      <c r="E5245" s="4" t="s">
        <v>22</v>
      </c>
      <c r="F5245" s="4" t="s">
        <v>27616</v>
      </c>
      <c r="G5245" s="4" t="s">
        <v>27617</v>
      </c>
      <c r="H5245" s="3" t="s">
        <v>26808</v>
      </c>
      <c r="I5245" s="3" t="s">
        <v>27618</v>
      </c>
      <c r="J5245" s="3" t="s">
        <v>27619</v>
      </c>
      <c r="K5245" s="3" t="s">
        <v>27620</v>
      </c>
      <c r="L5245" s="3"/>
      <c r="M5245" s="4"/>
      <c r="N5245" s="3" t="s">
        <v>37</v>
      </c>
      <c r="O5245" s="3" t="s">
        <v>46</v>
      </c>
      <c r="P5245" s="5">
        <v>8</v>
      </c>
      <c r="Q5245" s="5">
        <v>129</v>
      </c>
      <c r="R5245" s="5">
        <v>8</v>
      </c>
      <c r="S5245" s="5">
        <v>131</v>
      </c>
    </row>
    <row r="5246" spans="1:19" ht="42" x14ac:dyDescent="0.15">
      <c r="A5246" s="2">
        <f>HYPERLINK("https://open-school.uspishnemisto.com.ua/school/260176/", 260176)</f>
        <v>260176</v>
      </c>
      <c r="B5246" s="3" t="s">
        <v>27621</v>
      </c>
      <c r="C5246" s="3" t="s">
        <v>31</v>
      </c>
      <c r="D5246" s="3" t="s">
        <v>32</v>
      </c>
      <c r="E5246" s="4" t="s">
        <v>22</v>
      </c>
      <c r="F5246" s="4" t="s">
        <v>27616</v>
      </c>
      <c r="G5246" s="4" t="s">
        <v>27617</v>
      </c>
      <c r="H5246" s="3" t="s">
        <v>26808</v>
      </c>
      <c r="I5246" s="3" t="s">
        <v>27618</v>
      </c>
      <c r="J5246" s="3" t="s">
        <v>27622</v>
      </c>
      <c r="K5246" s="3" t="s">
        <v>27623</v>
      </c>
      <c r="L5246" s="3"/>
      <c r="M5246" s="4"/>
      <c r="N5246" s="3" t="s">
        <v>37</v>
      </c>
      <c r="O5246" s="3" t="s">
        <v>46</v>
      </c>
      <c r="P5246" s="5">
        <v>11</v>
      </c>
      <c r="Q5246" s="5">
        <v>127</v>
      </c>
      <c r="R5246" s="5">
        <v>11</v>
      </c>
      <c r="S5246" s="5">
        <v>129</v>
      </c>
    </row>
    <row r="5247" spans="1:19" ht="42" x14ac:dyDescent="0.15">
      <c r="A5247" s="2">
        <f>HYPERLINK("https://open-school.uspishnemisto.com.ua/school/260177/", 260177)</f>
        <v>260177</v>
      </c>
      <c r="B5247" s="3" t="s">
        <v>27624</v>
      </c>
      <c r="C5247" s="3" t="s">
        <v>31</v>
      </c>
      <c r="D5247" s="3" t="s">
        <v>32</v>
      </c>
      <c r="E5247" s="4" t="s">
        <v>22</v>
      </c>
      <c r="F5247" s="4" t="s">
        <v>27616</v>
      </c>
      <c r="G5247" s="4" t="s">
        <v>27617</v>
      </c>
      <c r="H5247" s="3" t="s">
        <v>26808</v>
      </c>
      <c r="I5247" s="3" t="s">
        <v>27618</v>
      </c>
      <c r="J5247" s="3" t="s">
        <v>5606</v>
      </c>
      <c r="K5247" s="3" t="s">
        <v>27625</v>
      </c>
      <c r="L5247" s="3"/>
      <c r="M5247" s="4"/>
      <c r="N5247" s="3" t="s">
        <v>37</v>
      </c>
      <c r="O5247" s="3" t="s">
        <v>46</v>
      </c>
      <c r="P5247" s="5">
        <v>27</v>
      </c>
      <c r="Q5247" s="5">
        <v>641</v>
      </c>
      <c r="R5247" s="5">
        <v>25</v>
      </c>
      <c r="S5247" s="5">
        <v>616</v>
      </c>
    </row>
    <row r="5248" spans="1:19" ht="42" x14ac:dyDescent="0.15">
      <c r="A5248" s="2">
        <f>HYPERLINK("https://open-school.uspishnemisto.com.ua/school/260178/", 260178)</f>
        <v>260178</v>
      </c>
      <c r="B5248" s="3" t="s">
        <v>27626</v>
      </c>
      <c r="C5248" s="3" t="s">
        <v>31</v>
      </c>
      <c r="D5248" s="3" t="s">
        <v>32</v>
      </c>
      <c r="E5248" s="4" t="s">
        <v>22</v>
      </c>
      <c r="F5248" s="4" t="s">
        <v>27627</v>
      </c>
      <c r="G5248" s="4" t="s">
        <v>27628</v>
      </c>
      <c r="H5248" s="3" t="s">
        <v>26808</v>
      </c>
      <c r="I5248" s="3" t="s">
        <v>27629</v>
      </c>
      <c r="J5248" s="3" t="s">
        <v>27630</v>
      </c>
      <c r="K5248" s="3" t="s">
        <v>27631</v>
      </c>
      <c r="L5248" s="3"/>
      <c r="M5248" s="4"/>
      <c r="N5248" s="3" t="s">
        <v>37</v>
      </c>
      <c r="O5248" s="3" t="s">
        <v>237</v>
      </c>
      <c r="P5248" s="5">
        <v>21</v>
      </c>
      <c r="Q5248" s="5">
        <v>371</v>
      </c>
      <c r="R5248" s="5">
        <v>20</v>
      </c>
      <c r="S5248" s="5">
        <v>365</v>
      </c>
    </row>
    <row r="5249" spans="1:19" ht="42" x14ac:dyDescent="0.15">
      <c r="A5249" s="2">
        <f>HYPERLINK("https://open-school.uspishnemisto.com.ua/school/260179/", 260179)</f>
        <v>260179</v>
      </c>
      <c r="B5249" s="3" t="s">
        <v>27632</v>
      </c>
      <c r="C5249" s="3" t="s">
        <v>31</v>
      </c>
      <c r="D5249" s="3" t="s">
        <v>32</v>
      </c>
      <c r="E5249" s="4" t="s">
        <v>22</v>
      </c>
      <c r="F5249" s="4" t="s">
        <v>27633</v>
      </c>
      <c r="G5249" s="4" t="s">
        <v>27634</v>
      </c>
      <c r="H5249" s="3" t="s">
        <v>26808</v>
      </c>
      <c r="I5249" s="3" t="s">
        <v>27635</v>
      </c>
      <c r="J5249" s="3" t="s">
        <v>27636</v>
      </c>
      <c r="K5249" s="3" t="s">
        <v>27637</v>
      </c>
      <c r="L5249" s="3"/>
      <c r="M5249" s="4"/>
      <c r="N5249" s="3" t="s">
        <v>37</v>
      </c>
      <c r="O5249" s="3" t="s">
        <v>46</v>
      </c>
      <c r="P5249" s="5">
        <v>11</v>
      </c>
      <c r="Q5249" s="5">
        <v>103</v>
      </c>
      <c r="R5249" s="5">
        <v>11</v>
      </c>
      <c r="S5249" s="5">
        <v>105</v>
      </c>
    </row>
    <row r="5250" spans="1:19" ht="42" x14ac:dyDescent="0.15">
      <c r="A5250" s="2">
        <f>HYPERLINK("https://open-school.uspishnemisto.com.ua/school/260180/", 260180)</f>
        <v>260180</v>
      </c>
      <c r="B5250" s="3" t="s">
        <v>27638</v>
      </c>
      <c r="C5250" s="3" t="s">
        <v>31</v>
      </c>
      <c r="D5250" s="3" t="s">
        <v>175</v>
      </c>
      <c r="E5250" s="4" t="s">
        <v>22</v>
      </c>
      <c r="F5250" s="4" t="s">
        <v>27639</v>
      </c>
      <c r="G5250" s="4" t="s">
        <v>27640</v>
      </c>
      <c r="H5250" s="3" t="s">
        <v>26808</v>
      </c>
      <c r="I5250" s="3" t="s">
        <v>27641</v>
      </c>
      <c r="J5250" s="3" t="s">
        <v>27642</v>
      </c>
      <c r="K5250" s="3" t="s">
        <v>27643</v>
      </c>
      <c r="L5250" s="3"/>
      <c r="M5250" s="4"/>
      <c r="N5250" s="3" t="s">
        <v>37</v>
      </c>
      <c r="O5250" s="3" t="s">
        <v>46</v>
      </c>
      <c r="P5250" s="5">
        <v>9</v>
      </c>
      <c r="Q5250" s="5">
        <v>110</v>
      </c>
      <c r="R5250" s="5">
        <v>9</v>
      </c>
      <c r="S5250" s="5">
        <v>106</v>
      </c>
    </row>
    <row r="5251" spans="1:19" ht="42" x14ac:dyDescent="0.15">
      <c r="A5251" s="2">
        <f>HYPERLINK("https://open-school.uspishnemisto.com.ua/school/260181/", 260181)</f>
        <v>260181</v>
      </c>
      <c r="B5251" s="3" t="s">
        <v>27644</v>
      </c>
      <c r="C5251" s="3" t="s">
        <v>31</v>
      </c>
      <c r="D5251" s="3" t="s">
        <v>175</v>
      </c>
      <c r="E5251" s="4" t="s">
        <v>22</v>
      </c>
      <c r="F5251" s="4" t="s">
        <v>27645</v>
      </c>
      <c r="G5251" s="4" t="s">
        <v>27646</v>
      </c>
      <c r="H5251" s="3" t="s">
        <v>26808</v>
      </c>
      <c r="I5251" s="3" t="s">
        <v>27647</v>
      </c>
      <c r="J5251" s="3" t="s">
        <v>27648</v>
      </c>
      <c r="K5251" s="3" t="s">
        <v>27649</v>
      </c>
      <c r="L5251" s="3"/>
      <c r="M5251" s="4"/>
      <c r="N5251" s="3" t="s">
        <v>37</v>
      </c>
      <c r="O5251" s="3" t="s">
        <v>46</v>
      </c>
      <c r="P5251" s="5">
        <v>9</v>
      </c>
      <c r="Q5251" s="5">
        <v>89</v>
      </c>
      <c r="R5251" s="5">
        <v>9</v>
      </c>
      <c r="S5251" s="5">
        <v>94</v>
      </c>
    </row>
    <row r="5252" spans="1:19" ht="42" x14ac:dyDescent="0.15">
      <c r="A5252" s="2">
        <f>HYPERLINK("https://open-school.uspishnemisto.com.ua/school/260182/", 260182)</f>
        <v>260182</v>
      </c>
      <c r="B5252" s="3" t="s">
        <v>27650</v>
      </c>
      <c r="C5252" s="3" t="s">
        <v>31</v>
      </c>
      <c r="D5252" s="3" t="s">
        <v>32</v>
      </c>
      <c r="E5252" s="4" t="s">
        <v>22</v>
      </c>
      <c r="F5252" s="4" t="s">
        <v>27651</v>
      </c>
      <c r="G5252" s="4" t="s">
        <v>27652</v>
      </c>
      <c r="H5252" s="3" t="s">
        <v>26808</v>
      </c>
      <c r="I5252" s="3" t="s">
        <v>27653</v>
      </c>
      <c r="J5252" s="3" t="s">
        <v>27654</v>
      </c>
      <c r="K5252" s="3" t="s">
        <v>27655</v>
      </c>
      <c r="L5252" s="3"/>
      <c r="M5252" s="4"/>
      <c r="N5252" s="3" t="s">
        <v>37</v>
      </c>
      <c r="O5252" s="3" t="s">
        <v>52</v>
      </c>
      <c r="P5252" s="5">
        <v>10</v>
      </c>
      <c r="Q5252" s="5">
        <v>96</v>
      </c>
      <c r="R5252" s="5">
        <v>9</v>
      </c>
      <c r="S5252" s="5">
        <v>97</v>
      </c>
    </row>
    <row r="5253" spans="1:19" ht="42" x14ac:dyDescent="0.15">
      <c r="A5253" s="2">
        <f>HYPERLINK("https://open-school.uspishnemisto.com.ua/school/260183/", 260183)</f>
        <v>260183</v>
      </c>
      <c r="B5253" s="3" t="s">
        <v>27656</v>
      </c>
      <c r="C5253" s="3" t="s">
        <v>31</v>
      </c>
      <c r="D5253" s="3" t="s">
        <v>175</v>
      </c>
      <c r="E5253" s="4" t="s">
        <v>22</v>
      </c>
      <c r="F5253" s="4" t="s">
        <v>27651</v>
      </c>
      <c r="G5253" s="4" t="s">
        <v>27652</v>
      </c>
      <c r="H5253" s="3" t="s">
        <v>26808</v>
      </c>
      <c r="I5253" s="3" t="s">
        <v>27653</v>
      </c>
      <c r="J5253" s="3" t="s">
        <v>27657</v>
      </c>
      <c r="K5253" s="3" t="s">
        <v>27658</v>
      </c>
      <c r="L5253" s="3"/>
      <c r="M5253" s="4"/>
      <c r="N5253" s="3" t="s">
        <v>37</v>
      </c>
      <c r="O5253" s="3" t="s">
        <v>52</v>
      </c>
      <c r="P5253" s="5">
        <v>9</v>
      </c>
      <c r="Q5253" s="5">
        <v>70</v>
      </c>
      <c r="R5253" s="5">
        <v>9</v>
      </c>
      <c r="S5253" s="5">
        <v>66</v>
      </c>
    </row>
    <row r="5254" spans="1:19" ht="42" x14ac:dyDescent="0.15">
      <c r="A5254" s="2">
        <f>HYPERLINK("https://open-school.uspishnemisto.com.ua/school/260184/", 260184)</f>
        <v>260184</v>
      </c>
      <c r="B5254" s="3" t="s">
        <v>27659</v>
      </c>
      <c r="C5254" s="3" t="s">
        <v>31</v>
      </c>
      <c r="D5254" s="3" t="s">
        <v>60</v>
      </c>
      <c r="E5254" s="4" t="s">
        <v>22</v>
      </c>
      <c r="F5254" s="4" t="s">
        <v>27651</v>
      </c>
      <c r="G5254" s="4" t="s">
        <v>27660</v>
      </c>
      <c r="H5254" s="3" t="s">
        <v>26808</v>
      </c>
      <c r="I5254" s="3" t="s">
        <v>27661</v>
      </c>
      <c r="J5254" s="3" t="s">
        <v>27662</v>
      </c>
      <c r="K5254" s="3" t="s">
        <v>27663</v>
      </c>
      <c r="L5254" s="3"/>
      <c r="M5254" s="4"/>
      <c r="N5254" s="3" t="s">
        <v>37</v>
      </c>
      <c r="O5254" s="3" t="s">
        <v>618</v>
      </c>
      <c r="P5254" s="5">
        <v>1</v>
      </c>
      <c r="Q5254" s="5">
        <v>11</v>
      </c>
      <c r="R5254" s="5">
        <v>1</v>
      </c>
      <c r="S5254" s="5">
        <v>10</v>
      </c>
    </row>
    <row r="5255" spans="1:19" ht="42" x14ac:dyDescent="0.15">
      <c r="A5255" s="2">
        <f>HYPERLINK("https://open-school.uspishnemisto.com.ua/school/260185/", 260185)</f>
        <v>260185</v>
      </c>
      <c r="B5255" s="3" t="s">
        <v>27664</v>
      </c>
      <c r="C5255" s="3" t="s">
        <v>31</v>
      </c>
      <c r="D5255" s="3" t="s">
        <v>32</v>
      </c>
      <c r="E5255" s="4" t="s">
        <v>22</v>
      </c>
      <c r="F5255" s="4" t="s">
        <v>27665</v>
      </c>
      <c r="G5255" s="4" t="s">
        <v>27666</v>
      </c>
      <c r="H5255" s="3" t="s">
        <v>26808</v>
      </c>
      <c r="I5255" s="3" t="s">
        <v>27667</v>
      </c>
      <c r="J5255" s="3" t="s">
        <v>2253</v>
      </c>
      <c r="K5255" s="3" t="s">
        <v>27668</v>
      </c>
      <c r="L5255" s="3"/>
      <c r="M5255" s="4"/>
      <c r="N5255" s="3" t="s">
        <v>37</v>
      </c>
      <c r="O5255" s="3" t="s">
        <v>46</v>
      </c>
      <c r="P5255" s="5">
        <v>6</v>
      </c>
      <c r="Q5255" s="5">
        <v>66</v>
      </c>
      <c r="R5255" s="5">
        <v>6</v>
      </c>
      <c r="S5255" s="5">
        <v>65</v>
      </c>
    </row>
    <row r="5256" spans="1:19" ht="42" x14ac:dyDescent="0.15">
      <c r="A5256" s="2">
        <f>HYPERLINK("https://open-school.uspishnemisto.com.ua/school/260187/", 260187)</f>
        <v>260187</v>
      </c>
      <c r="B5256" s="3" t="s">
        <v>27669</v>
      </c>
      <c r="C5256" s="3" t="s">
        <v>54</v>
      </c>
      <c r="D5256" s="3" t="s">
        <v>60</v>
      </c>
      <c r="E5256" s="4" t="s">
        <v>22</v>
      </c>
      <c r="F5256" s="4" t="s">
        <v>27670</v>
      </c>
      <c r="G5256" s="4" t="s">
        <v>27671</v>
      </c>
      <c r="H5256" s="3" t="s">
        <v>26808</v>
      </c>
      <c r="I5256" s="3" t="s">
        <v>27672</v>
      </c>
      <c r="J5256" s="3" t="s">
        <v>1576</v>
      </c>
      <c r="K5256" s="3" t="s">
        <v>27673</v>
      </c>
      <c r="L5256" s="3"/>
      <c r="M5256" s="4"/>
      <c r="N5256" s="3" t="s">
        <v>37</v>
      </c>
      <c r="O5256" s="3" t="s">
        <v>52</v>
      </c>
      <c r="P5256" s="5">
        <v>1</v>
      </c>
      <c r="Q5256" s="5">
        <v>14</v>
      </c>
      <c r="R5256" s="5">
        <v>2</v>
      </c>
      <c r="S5256" s="5">
        <v>16</v>
      </c>
    </row>
    <row r="5257" spans="1:19" ht="42" x14ac:dyDescent="0.15">
      <c r="A5257" s="2">
        <f>HYPERLINK("https://open-school.uspishnemisto.com.ua/school/260188/", 260188)</f>
        <v>260188</v>
      </c>
      <c r="B5257" s="3" t="s">
        <v>27674</v>
      </c>
      <c r="C5257" s="3" t="s">
        <v>31</v>
      </c>
      <c r="D5257" s="3" t="s">
        <v>175</v>
      </c>
      <c r="E5257" s="4" t="s">
        <v>22</v>
      </c>
      <c r="F5257" s="4" t="s">
        <v>27675</v>
      </c>
      <c r="G5257" s="4" t="s">
        <v>27676</v>
      </c>
      <c r="H5257" s="3" t="s">
        <v>26808</v>
      </c>
      <c r="I5257" s="3" t="s">
        <v>27677</v>
      </c>
      <c r="J5257" s="3" t="s">
        <v>27678</v>
      </c>
      <c r="K5257" s="3" t="s">
        <v>27679</v>
      </c>
      <c r="L5257" s="3" t="s">
        <v>27680</v>
      </c>
      <c r="M5257" s="4"/>
      <c r="N5257" s="3" t="s">
        <v>37</v>
      </c>
      <c r="O5257" s="3" t="s">
        <v>46</v>
      </c>
      <c r="P5257" s="5">
        <v>6</v>
      </c>
      <c r="Q5257" s="5">
        <v>53</v>
      </c>
      <c r="R5257" s="5">
        <v>6</v>
      </c>
      <c r="S5257" s="5">
        <v>55</v>
      </c>
    </row>
    <row r="5258" spans="1:19" ht="42" x14ac:dyDescent="0.15">
      <c r="A5258" s="2">
        <f>HYPERLINK("https://open-school.uspishnemisto.com.ua/school/260189/", 260189)</f>
        <v>260189</v>
      </c>
      <c r="B5258" s="3" t="s">
        <v>27681</v>
      </c>
      <c r="C5258" s="3" t="s">
        <v>31</v>
      </c>
      <c r="D5258" s="3" t="s">
        <v>175</v>
      </c>
      <c r="E5258" s="4" t="s">
        <v>22</v>
      </c>
      <c r="F5258" s="4" t="s">
        <v>27675</v>
      </c>
      <c r="G5258" s="4" t="s">
        <v>27682</v>
      </c>
      <c r="H5258" s="3" t="s">
        <v>26808</v>
      </c>
      <c r="I5258" s="3" t="s">
        <v>27683</v>
      </c>
      <c r="J5258" s="3" t="s">
        <v>466</v>
      </c>
      <c r="K5258" s="3" t="s">
        <v>27684</v>
      </c>
      <c r="L5258" s="3"/>
      <c r="M5258" s="4"/>
      <c r="N5258" s="3" t="s">
        <v>37</v>
      </c>
      <c r="O5258" s="3" t="s">
        <v>52</v>
      </c>
      <c r="P5258" s="5">
        <v>4</v>
      </c>
      <c r="Q5258" s="5">
        <v>31</v>
      </c>
      <c r="R5258" s="5">
        <v>3</v>
      </c>
      <c r="S5258" s="5">
        <v>30</v>
      </c>
    </row>
    <row r="5259" spans="1:19" ht="42" x14ac:dyDescent="0.15">
      <c r="A5259" s="2">
        <f>HYPERLINK("https://open-school.uspishnemisto.com.ua/school/260190/", 260190)</f>
        <v>260190</v>
      </c>
      <c r="B5259" s="3" t="s">
        <v>27685</v>
      </c>
      <c r="C5259" s="3" t="s">
        <v>31</v>
      </c>
      <c r="D5259" s="3" t="s">
        <v>175</v>
      </c>
      <c r="E5259" s="4" t="s">
        <v>22</v>
      </c>
      <c r="F5259" s="4" t="s">
        <v>27686</v>
      </c>
      <c r="G5259" s="4" t="s">
        <v>27687</v>
      </c>
      <c r="H5259" s="3" t="s">
        <v>26808</v>
      </c>
      <c r="I5259" s="3" t="s">
        <v>27688</v>
      </c>
      <c r="J5259" s="3" t="s">
        <v>27689</v>
      </c>
      <c r="K5259" s="3" t="s">
        <v>27690</v>
      </c>
      <c r="L5259" s="3"/>
      <c r="M5259" s="4"/>
      <c r="N5259" s="3" t="s">
        <v>37</v>
      </c>
      <c r="O5259" s="3" t="s">
        <v>46</v>
      </c>
      <c r="P5259" s="5">
        <v>9</v>
      </c>
      <c r="Q5259" s="5">
        <v>67</v>
      </c>
      <c r="R5259" s="5">
        <v>8</v>
      </c>
      <c r="S5259" s="5">
        <v>67</v>
      </c>
    </row>
    <row r="5260" spans="1:19" ht="42" x14ac:dyDescent="0.15">
      <c r="A5260" s="2">
        <f>HYPERLINK("https://open-school.uspishnemisto.com.ua/school/260191/", 260191)</f>
        <v>260191</v>
      </c>
      <c r="B5260" s="3" t="s">
        <v>27691</v>
      </c>
      <c r="C5260" s="3" t="s">
        <v>31</v>
      </c>
      <c r="D5260" s="3" t="s">
        <v>175</v>
      </c>
      <c r="E5260" s="4" t="s">
        <v>22</v>
      </c>
      <c r="F5260" s="4" t="s">
        <v>27692</v>
      </c>
      <c r="G5260" s="4" t="s">
        <v>27693</v>
      </c>
      <c r="H5260" s="3" t="s">
        <v>26808</v>
      </c>
      <c r="I5260" s="3" t="s">
        <v>27694</v>
      </c>
      <c r="J5260" s="3" t="s">
        <v>1192</v>
      </c>
      <c r="K5260" s="3" t="s">
        <v>27695</v>
      </c>
      <c r="L5260" s="3"/>
      <c r="M5260" s="4"/>
      <c r="N5260" s="3" t="s">
        <v>37</v>
      </c>
      <c r="O5260" s="3" t="s">
        <v>618</v>
      </c>
      <c r="P5260" s="5">
        <v>4</v>
      </c>
      <c r="Q5260" s="5">
        <v>33</v>
      </c>
      <c r="R5260" s="5">
        <v>5</v>
      </c>
      <c r="S5260" s="5">
        <v>35</v>
      </c>
    </row>
    <row r="5261" spans="1:19" ht="42" x14ac:dyDescent="0.15">
      <c r="A5261" s="2">
        <f>HYPERLINK("https://open-school.uspishnemisto.com.ua/school/260192/", 260192)</f>
        <v>260192</v>
      </c>
      <c r="B5261" s="3" t="s">
        <v>27696</v>
      </c>
      <c r="C5261" s="3" t="s">
        <v>31</v>
      </c>
      <c r="D5261" s="3" t="s">
        <v>32</v>
      </c>
      <c r="E5261" s="4" t="s">
        <v>22</v>
      </c>
      <c r="F5261" s="4" t="s">
        <v>27697</v>
      </c>
      <c r="G5261" s="4" t="s">
        <v>27698</v>
      </c>
      <c r="H5261" s="3" t="s">
        <v>26808</v>
      </c>
      <c r="I5261" s="3" t="s">
        <v>27699</v>
      </c>
      <c r="J5261" s="3" t="s">
        <v>27700</v>
      </c>
      <c r="K5261" s="3" t="s">
        <v>27701</v>
      </c>
      <c r="L5261" s="3"/>
      <c r="M5261" s="4"/>
      <c r="N5261" s="3" t="s">
        <v>37</v>
      </c>
      <c r="O5261" s="3" t="s">
        <v>46</v>
      </c>
      <c r="P5261" s="5">
        <v>11</v>
      </c>
      <c r="Q5261" s="5">
        <v>80</v>
      </c>
      <c r="R5261" s="5">
        <v>11</v>
      </c>
      <c r="S5261" s="5">
        <v>83</v>
      </c>
    </row>
    <row r="5262" spans="1:19" ht="42" x14ac:dyDescent="0.15">
      <c r="A5262" s="2">
        <f>HYPERLINK("https://open-school.uspishnemisto.com.ua/school/260193/", 260193)</f>
        <v>260193</v>
      </c>
      <c r="B5262" s="3" t="s">
        <v>27702</v>
      </c>
      <c r="C5262" s="3" t="s">
        <v>54</v>
      </c>
      <c r="D5262" s="3" t="s">
        <v>60</v>
      </c>
      <c r="E5262" s="4" t="s">
        <v>22</v>
      </c>
      <c r="F5262" s="4" t="s">
        <v>27703</v>
      </c>
      <c r="G5262" s="4" t="s">
        <v>27704</v>
      </c>
      <c r="H5262" s="3" t="s">
        <v>26808</v>
      </c>
      <c r="I5262" s="3" t="s">
        <v>27705</v>
      </c>
      <c r="J5262" s="3" t="s">
        <v>10830</v>
      </c>
      <c r="K5262" s="3" t="s">
        <v>27706</v>
      </c>
      <c r="L5262" s="3"/>
      <c r="M5262" s="4"/>
      <c r="N5262" s="3" t="s">
        <v>37</v>
      </c>
      <c r="O5262" s="3" t="s">
        <v>618</v>
      </c>
      <c r="P5262" s="5">
        <v>3</v>
      </c>
      <c r="Q5262" s="5">
        <v>21</v>
      </c>
      <c r="R5262" s="5">
        <v>3</v>
      </c>
      <c r="S5262" s="5">
        <v>21</v>
      </c>
    </row>
    <row r="5263" spans="1:19" ht="42" x14ac:dyDescent="0.15">
      <c r="A5263" s="2">
        <f>HYPERLINK("https://open-school.uspishnemisto.com.ua/school/260194/", 260194)</f>
        <v>260194</v>
      </c>
      <c r="B5263" s="3" t="s">
        <v>27707</v>
      </c>
      <c r="C5263" s="3" t="s">
        <v>31</v>
      </c>
      <c r="D5263" s="3" t="s">
        <v>32</v>
      </c>
      <c r="E5263" s="4" t="s">
        <v>22</v>
      </c>
      <c r="F5263" s="4" t="s">
        <v>27708</v>
      </c>
      <c r="G5263" s="4" t="s">
        <v>27709</v>
      </c>
      <c r="H5263" s="3" t="s">
        <v>26808</v>
      </c>
      <c r="I5263" s="3" t="s">
        <v>27710</v>
      </c>
      <c r="J5263" s="3" t="s">
        <v>27711</v>
      </c>
      <c r="K5263" s="3" t="s">
        <v>27712</v>
      </c>
      <c r="L5263" s="3" t="s">
        <v>27713</v>
      </c>
      <c r="M5263" s="4"/>
      <c r="N5263" s="3" t="s">
        <v>37</v>
      </c>
      <c r="O5263" s="3" t="s">
        <v>46</v>
      </c>
      <c r="P5263" s="5">
        <v>13</v>
      </c>
      <c r="Q5263" s="5">
        <v>308</v>
      </c>
      <c r="R5263" s="5">
        <v>11</v>
      </c>
      <c r="S5263" s="5">
        <v>246</v>
      </c>
    </row>
    <row r="5264" spans="1:19" ht="70" x14ac:dyDescent="0.15">
      <c r="A5264" s="2">
        <f>HYPERLINK("https://open-school.uspishnemisto.com.ua/school/260195/", 260195)</f>
        <v>260195</v>
      </c>
      <c r="B5264" s="3" t="s">
        <v>27714</v>
      </c>
      <c r="C5264" s="3" t="s">
        <v>54</v>
      </c>
      <c r="D5264" s="3" t="s">
        <v>175</v>
      </c>
      <c r="E5264" s="4" t="s">
        <v>22</v>
      </c>
      <c r="F5264" s="4" t="s">
        <v>27715</v>
      </c>
      <c r="G5264" s="4" t="s">
        <v>27716</v>
      </c>
      <c r="H5264" s="3" t="s">
        <v>26808</v>
      </c>
      <c r="I5264" s="3" t="s">
        <v>27717</v>
      </c>
      <c r="J5264" s="3" t="s">
        <v>27718</v>
      </c>
      <c r="K5264" s="3" t="s">
        <v>27719</v>
      </c>
      <c r="L5264" s="3"/>
      <c r="M5264" s="4"/>
      <c r="N5264" s="3" t="s">
        <v>37</v>
      </c>
      <c r="O5264" s="3" t="s">
        <v>46</v>
      </c>
      <c r="P5264" s="5">
        <v>8</v>
      </c>
      <c r="Q5264" s="5">
        <v>68</v>
      </c>
      <c r="R5264" s="5">
        <v>9</v>
      </c>
      <c r="S5264" s="5">
        <v>69</v>
      </c>
    </row>
    <row r="5265" spans="1:19" ht="42" x14ac:dyDescent="0.15">
      <c r="A5265" s="2">
        <f>HYPERLINK("https://open-school.uspishnemisto.com.ua/school/260196/", 260196)</f>
        <v>260196</v>
      </c>
      <c r="B5265" s="3" t="s">
        <v>27720</v>
      </c>
      <c r="C5265" s="3" t="s">
        <v>31</v>
      </c>
      <c r="D5265" s="3" t="s">
        <v>32</v>
      </c>
      <c r="E5265" s="4" t="s">
        <v>22</v>
      </c>
      <c r="F5265" s="4" t="s">
        <v>27721</v>
      </c>
      <c r="G5265" s="4" t="s">
        <v>27722</v>
      </c>
      <c r="H5265" s="3" t="s">
        <v>26808</v>
      </c>
      <c r="I5265" s="3" t="s">
        <v>27723</v>
      </c>
      <c r="J5265" s="3" t="s">
        <v>2745</v>
      </c>
      <c r="K5265" s="3" t="s">
        <v>27724</v>
      </c>
      <c r="L5265" s="3"/>
      <c r="M5265" s="4"/>
      <c r="N5265" s="3" t="s">
        <v>37</v>
      </c>
      <c r="O5265" s="3" t="s">
        <v>46</v>
      </c>
      <c r="P5265" s="5">
        <v>11</v>
      </c>
      <c r="Q5265" s="5">
        <v>154</v>
      </c>
      <c r="R5265" s="5">
        <v>11</v>
      </c>
      <c r="S5265" s="5">
        <v>147</v>
      </c>
    </row>
    <row r="5266" spans="1:19" ht="42" x14ac:dyDescent="0.15">
      <c r="A5266" s="2">
        <f>HYPERLINK("https://open-school.uspishnemisto.com.ua/school/260197/", 260197)</f>
        <v>260197</v>
      </c>
      <c r="B5266" s="3" t="s">
        <v>27725</v>
      </c>
      <c r="C5266" s="3" t="s">
        <v>31</v>
      </c>
      <c r="D5266" s="3" t="s">
        <v>32</v>
      </c>
      <c r="E5266" s="4" t="s">
        <v>22</v>
      </c>
      <c r="F5266" s="4" t="s">
        <v>27726</v>
      </c>
      <c r="G5266" s="4" t="s">
        <v>27727</v>
      </c>
      <c r="H5266" s="3" t="s">
        <v>26808</v>
      </c>
      <c r="I5266" s="3" t="s">
        <v>27728</v>
      </c>
      <c r="J5266" s="3" t="s">
        <v>566</v>
      </c>
      <c r="K5266" s="3" t="s">
        <v>27729</v>
      </c>
      <c r="L5266" s="3"/>
      <c r="M5266" s="4"/>
      <c r="N5266" s="3" t="s">
        <v>37</v>
      </c>
      <c r="O5266" s="3" t="s">
        <v>52</v>
      </c>
      <c r="P5266" s="5">
        <v>12</v>
      </c>
      <c r="Q5266" s="5">
        <v>242</v>
      </c>
      <c r="R5266" s="5">
        <v>13</v>
      </c>
      <c r="S5266" s="5">
        <v>252</v>
      </c>
    </row>
    <row r="5267" spans="1:19" ht="42" x14ac:dyDescent="0.15">
      <c r="A5267" s="2">
        <f>HYPERLINK("https://open-school.uspishnemisto.com.ua/school/260198/", 260198)</f>
        <v>260198</v>
      </c>
      <c r="B5267" s="3" t="s">
        <v>27730</v>
      </c>
      <c r="C5267" s="3" t="s">
        <v>31</v>
      </c>
      <c r="D5267" s="3" t="s">
        <v>32</v>
      </c>
      <c r="E5267" s="4" t="s">
        <v>22</v>
      </c>
      <c r="F5267" s="4" t="s">
        <v>27731</v>
      </c>
      <c r="G5267" s="4" t="s">
        <v>27732</v>
      </c>
      <c r="H5267" s="3" t="s">
        <v>26808</v>
      </c>
      <c r="I5267" s="3" t="s">
        <v>27733</v>
      </c>
      <c r="J5267" s="3" t="s">
        <v>27734</v>
      </c>
      <c r="K5267" s="3" t="s">
        <v>27735</v>
      </c>
      <c r="L5267" s="3"/>
      <c r="M5267" s="4"/>
      <c r="N5267" s="3" t="s">
        <v>37</v>
      </c>
      <c r="O5267" s="3" t="s">
        <v>46</v>
      </c>
      <c r="P5267" s="5">
        <v>9</v>
      </c>
      <c r="Q5267" s="5">
        <v>94</v>
      </c>
      <c r="R5267" s="5">
        <v>10</v>
      </c>
      <c r="S5267" s="5">
        <v>93</v>
      </c>
    </row>
    <row r="5268" spans="1:19" ht="42" x14ac:dyDescent="0.15">
      <c r="A5268" s="2">
        <f>HYPERLINK("https://open-school.uspishnemisto.com.ua/school/260200/", 260200)</f>
        <v>260200</v>
      </c>
      <c r="B5268" s="3" t="s">
        <v>27736</v>
      </c>
      <c r="C5268" s="3" t="s">
        <v>31</v>
      </c>
      <c r="D5268" s="3" t="s">
        <v>32</v>
      </c>
      <c r="E5268" s="4" t="s">
        <v>22</v>
      </c>
      <c r="F5268" s="4" t="s">
        <v>27737</v>
      </c>
      <c r="G5268" s="4" t="s">
        <v>27738</v>
      </c>
      <c r="H5268" s="3" t="s">
        <v>26808</v>
      </c>
      <c r="I5268" s="3" t="s">
        <v>895</v>
      </c>
      <c r="J5268" s="3" t="s">
        <v>27739</v>
      </c>
      <c r="K5268" s="3" t="s">
        <v>27740</v>
      </c>
      <c r="L5268" s="3"/>
      <c r="M5268" s="4"/>
      <c r="N5268" s="3" t="s">
        <v>37</v>
      </c>
      <c r="O5268" s="3" t="s">
        <v>46</v>
      </c>
      <c r="P5268" s="5">
        <v>11</v>
      </c>
      <c r="Q5268" s="5">
        <v>148</v>
      </c>
      <c r="R5268" s="5">
        <v>11</v>
      </c>
      <c r="S5268" s="5">
        <v>156</v>
      </c>
    </row>
    <row r="5269" spans="1:19" ht="42" x14ac:dyDescent="0.15">
      <c r="A5269" s="2">
        <f>HYPERLINK("https://open-school.uspishnemisto.com.ua/school/260201/", 260201)</f>
        <v>260201</v>
      </c>
      <c r="B5269" s="3" t="s">
        <v>27741</v>
      </c>
      <c r="C5269" s="3" t="s">
        <v>31</v>
      </c>
      <c r="D5269" s="3" t="s">
        <v>32</v>
      </c>
      <c r="E5269" s="4" t="s">
        <v>22</v>
      </c>
      <c r="F5269" s="4" t="s">
        <v>27742</v>
      </c>
      <c r="G5269" s="4" t="s">
        <v>27743</v>
      </c>
      <c r="H5269" s="3" t="s">
        <v>26808</v>
      </c>
      <c r="I5269" s="3" t="s">
        <v>27744</v>
      </c>
      <c r="J5269" s="3" t="s">
        <v>6800</v>
      </c>
      <c r="K5269" s="3" t="s">
        <v>27745</v>
      </c>
      <c r="L5269" s="3"/>
      <c r="M5269" s="4"/>
      <c r="N5269" s="3" t="s">
        <v>37</v>
      </c>
      <c r="O5269" s="3" t="s">
        <v>46</v>
      </c>
      <c r="P5269" s="5">
        <v>10</v>
      </c>
      <c r="Q5269" s="5">
        <v>141</v>
      </c>
      <c r="R5269" s="5">
        <v>11</v>
      </c>
      <c r="S5269" s="5">
        <v>139</v>
      </c>
    </row>
    <row r="5270" spans="1:19" ht="42" x14ac:dyDescent="0.15">
      <c r="A5270" s="2">
        <f>HYPERLINK("https://open-school.uspishnemisto.com.ua/school/260202/", 260202)</f>
        <v>260202</v>
      </c>
      <c r="B5270" s="3" t="s">
        <v>27746</v>
      </c>
      <c r="C5270" s="3" t="s">
        <v>31</v>
      </c>
      <c r="D5270" s="3" t="s">
        <v>175</v>
      </c>
      <c r="E5270" s="4" t="s">
        <v>22</v>
      </c>
      <c r="F5270" s="4" t="s">
        <v>27747</v>
      </c>
      <c r="G5270" s="4" t="s">
        <v>27748</v>
      </c>
      <c r="H5270" s="3" t="s">
        <v>26808</v>
      </c>
      <c r="I5270" s="3" t="s">
        <v>27749</v>
      </c>
      <c r="J5270" s="3"/>
      <c r="K5270" s="3" t="s">
        <v>27750</v>
      </c>
      <c r="L5270" s="3"/>
      <c r="M5270" s="4"/>
      <c r="N5270" s="3" t="s">
        <v>37</v>
      </c>
      <c r="O5270" s="3" t="s">
        <v>618</v>
      </c>
      <c r="P5270" s="5">
        <v>6</v>
      </c>
      <c r="Q5270" s="5">
        <v>46</v>
      </c>
      <c r="R5270" s="5">
        <v>6</v>
      </c>
      <c r="S5270" s="5">
        <v>47</v>
      </c>
    </row>
    <row r="5271" spans="1:19" ht="42" x14ac:dyDescent="0.15">
      <c r="A5271" s="2">
        <f>HYPERLINK("https://open-school.uspishnemisto.com.ua/school/260203/", 260203)</f>
        <v>260203</v>
      </c>
      <c r="B5271" s="3" t="s">
        <v>27751</v>
      </c>
      <c r="C5271" s="3" t="s">
        <v>31</v>
      </c>
      <c r="D5271" s="3" t="s">
        <v>32</v>
      </c>
      <c r="E5271" s="4" t="s">
        <v>22</v>
      </c>
      <c r="F5271" s="4" t="s">
        <v>27752</v>
      </c>
      <c r="G5271" s="4" t="s">
        <v>27753</v>
      </c>
      <c r="H5271" s="3" t="s">
        <v>26808</v>
      </c>
      <c r="I5271" s="3" t="s">
        <v>27754</v>
      </c>
      <c r="J5271" s="3" t="s">
        <v>27755</v>
      </c>
      <c r="K5271" s="3"/>
      <c r="L5271" s="3"/>
      <c r="M5271" s="4"/>
      <c r="N5271" s="3" t="s">
        <v>37</v>
      </c>
      <c r="O5271" s="3" t="s">
        <v>46</v>
      </c>
      <c r="P5271" s="5">
        <v>8</v>
      </c>
      <c r="Q5271" s="5">
        <v>63</v>
      </c>
      <c r="R5271" s="5">
        <v>7</v>
      </c>
      <c r="S5271" s="5">
        <v>56</v>
      </c>
    </row>
    <row r="5272" spans="1:19" ht="42" x14ac:dyDescent="0.15">
      <c r="A5272" s="2">
        <f>HYPERLINK("https://open-school.uspishnemisto.com.ua/school/260205/", 260205)</f>
        <v>260205</v>
      </c>
      <c r="B5272" s="3" t="s">
        <v>27756</v>
      </c>
      <c r="C5272" s="3" t="s">
        <v>31</v>
      </c>
      <c r="D5272" s="3" t="s">
        <v>175</v>
      </c>
      <c r="E5272" s="4" t="s">
        <v>22</v>
      </c>
      <c r="F5272" s="4" t="s">
        <v>27757</v>
      </c>
      <c r="G5272" s="4" t="s">
        <v>27758</v>
      </c>
      <c r="H5272" s="3" t="s">
        <v>26808</v>
      </c>
      <c r="I5272" s="3" t="s">
        <v>27759</v>
      </c>
      <c r="J5272" s="3" t="s">
        <v>27760</v>
      </c>
      <c r="K5272" s="3" t="s">
        <v>27761</v>
      </c>
      <c r="L5272" s="3"/>
      <c r="M5272" s="4"/>
      <c r="N5272" s="3" t="s">
        <v>37</v>
      </c>
      <c r="O5272" s="3" t="s">
        <v>618</v>
      </c>
      <c r="P5272" s="5">
        <v>2</v>
      </c>
      <c r="Q5272" s="5">
        <v>25</v>
      </c>
      <c r="R5272" s="5">
        <v>1</v>
      </c>
      <c r="S5272" s="5">
        <v>25</v>
      </c>
    </row>
    <row r="5273" spans="1:19" ht="56" x14ac:dyDescent="0.15">
      <c r="A5273" s="2">
        <f>HYPERLINK("https://open-school.uspishnemisto.com.ua/school/260206/", 260206)</f>
        <v>260206</v>
      </c>
      <c r="B5273" s="3" t="s">
        <v>27762</v>
      </c>
      <c r="C5273" s="3" t="s">
        <v>54</v>
      </c>
      <c r="D5273" s="3" t="s">
        <v>32</v>
      </c>
      <c r="E5273" s="4" t="s">
        <v>22</v>
      </c>
      <c r="F5273" s="4" t="s">
        <v>27763</v>
      </c>
      <c r="G5273" s="4" t="s">
        <v>27764</v>
      </c>
      <c r="H5273" s="3" t="s">
        <v>26808</v>
      </c>
      <c r="I5273" s="3" t="s">
        <v>27765</v>
      </c>
      <c r="J5273" s="3" t="s">
        <v>27766</v>
      </c>
      <c r="K5273" s="3"/>
      <c r="L5273" s="3"/>
      <c r="M5273" s="4"/>
      <c r="N5273" s="3" t="s">
        <v>37</v>
      </c>
      <c r="O5273" s="3" t="s">
        <v>46</v>
      </c>
      <c r="P5273" s="5">
        <v>11</v>
      </c>
      <c r="Q5273" s="5">
        <v>201</v>
      </c>
      <c r="R5273" s="5">
        <v>11</v>
      </c>
      <c r="S5273" s="5">
        <v>215</v>
      </c>
    </row>
    <row r="5274" spans="1:19" ht="42" x14ac:dyDescent="0.15">
      <c r="A5274" s="2">
        <f>HYPERLINK("https://open-school.uspishnemisto.com.ua/school/260207/", 260207)</f>
        <v>260207</v>
      </c>
      <c r="B5274" s="3" t="s">
        <v>27767</v>
      </c>
      <c r="C5274" s="3" t="s">
        <v>31</v>
      </c>
      <c r="D5274" s="3" t="s">
        <v>175</v>
      </c>
      <c r="E5274" s="4" t="s">
        <v>22</v>
      </c>
      <c r="F5274" s="4" t="s">
        <v>27768</v>
      </c>
      <c r="G5274" s="4" t="s">
        <v>27769</v>
      </c>
      <c r="H5274" s="3" t="s">
        <v>26808</v>
      </c>
      <c r="I5274" s="3" t="s">
        <v>27770</v>
      </c>
      <c r="J5274" s="3" t="s">
        <v>466</v>
      </c>
      <c r="K5274" s="3" t="s">
        <v>27771</v>
      </c>
      <c r="L5274" s="3"/>
      <c r="M5274" s="4"/>
      <c r="N5274" s="3" t="s">
        <v>37</v>
      </c>
      <c r="O5274" s="3" t="s">
        <v>46</v>
      </c>
      <c r="P5274" s="5">
        <v>6</v>
      </c>
      <c r="Q5274" s="5">
        <v>65</v>
      </c>
      <c r="R5274" s="5">
        <v>6</v>
      </c>
      <c r="S5274" s="5">
        <v>59</v>
      </c>
    </row>
    <row r="5275" spans="1:19" ht="42" x14ac:dyDescent="0.15">
      <c r="A5275" s="2">
        <f>HYPERLINK("https://open-school.uspishnemisto.com.ua/school/260208/", 260208)</f>
        <v>260208</v>
      </c>
      <c r="B5275" s="3" t="s">
        <v>27772</v>
      </c>
      <c r="C5275" s="3" t="s">
        <v>31</v>
      </c>
      <c r="D5275" s="3" t="s">
        <v>175</v>
      </c>
      <c r="E5275" s="4" t="s">
        <v>22</v>
      </c>
      <c r="F5275" s="4" t="s">
        <v>27773</v>
      </c>
      <c r="G5275" s="4" t="s">
        <v>27774</v>
      </c>
      <c r="H5275" s="3" t="s">
        <v>26808</v>
      </c>
      <c r="I5275" s="3" t="s">
        <v>27775</v>
      </c>
      <c r="J5275" s="3" t="s">
        <v>27776</v>
      </c>
      <c r="K5275" s="3"/>
      <c r="L5275" s="3"/>
      <c r="M5275" s="4"/>
      <c r="N5275" s="3" t="s">
        <v>37</v>
      </c>
      <c r="O5275" s="3" t="s">
        <v>46</v>
      </c>
      <c r="P5275" s="5">
        <v>3</v>
      </c>
      <c r="Q5275" s="5">
        <v>32</v>
      </c>
      <c r="R5275" s="5">
        <v>4</v>
      </c>
      <c r="S5275" s="5">
        <v>43</v>
      </c>
    </row>
    <row r="5276" spans="1:19" ht="56" x14ac:dyDescent="0.15">
      <c r="A5276" s="2">
        <f>HYPERLINK("https://open-school.uspishnemisto.com.ua/school/260209/", 260209)</f>
        <v>260209</v>
      </c>
      <c r="B5276" s="3" t="s">
        <v>27777</v>
      </c>
      <c r="C5276" s="3" t="s">
        <v>54</v>
      </c>
      <c r="D5276" s="3" t="s">
        <v>175</v>
      </c>
      <c r="E5276" s="4" t="s">
        <v>22</v>
      </c>
      <c r="F5276" s="4" t="s">
        <v>27778</v>
      </c>
      <c r="G5276" s="4" t="s">
        <v>27779</v>
      </c>
      <c r="H5276" s="3" t="s">
        <v>26808</v>
      </c>
      <c r="I5276" s="3" t="s">
        <v>19024</v>
      </c>
      <c r="J5276" s="3" t="s">
        <v>27780</v>
      </c>
      <c r="K5276" s="3" t="s">
        <v>27781</v>
      </c>
      <c r="L5276" s="3"/>
      <c r="M5276" s="4"/>
      <c r="N5276" s="3" t="s">
        <v>37</v>
      </c>
      <c r="O5276" s="3" t="s">
        <v>46</v>
      </c>
      <c r="P5276" s="5">
        <v>7</v>
      </c>
      <c r="Q5276" s="5">
        <v>51</v>
      </c>
      <c r="R5276" s="5">
        <v>8</v>
      </c>
      <c r="S5276" s="5">
        <v>50</v>
      </c>
    </row>
    <row r="5277" spans="1:19" ht="42" x14ac:dyDescent="0.15">
      <c r="A5277" s="2">
        <f>HYPERLINK("https://open-school.uspishnemisto.com.ua/school/260210/", 260210)</f>
        <v>260210</v>
      </c>
      <c r="B5277" s="3" t="s">
        <v>27782</v>
      </c>
      <c r="C5277" s="3" t="s">
        <v>31</v>
      </c>
      <c r="D5277" s="3" t="s">
        <v>175</v>
      </c>
      <c r="E5277" s="4" t="s">
        <v>22</v>
      </c>
      <c r="F5277" s="4" t="s">
        <v>27783</v>
      </c>
      <c r="G5277" s="4" t="s">
        <v>27784</v>
      </c>
      <c r="H5277" s="3" t="s">
        <v>26808</v>
      </c>
      <c r="I5277" s="3" t="s">
        <v>27785</v>
      </c>
      <c r="J5277" s="3" t="s">
        <v>27786</v>
      </c>
      <c r="K5277" s="3" t="s">
        <v>27787</v>
      </c>
      <c r="L5277" s="3"/>
      <c r="M5277" s="4"/>
      <c r="N5277" s="3" t="s">
        <v>37</v>
      </c>
      <c r="O5277" s="3" t="s">
        <v>46</v>
      </c>
      <c r="P5277" s="5">
        <v>6</v>
      </c>
      <c r="Q5277" s="5">
        <v>54</v>
      </c>
      <c r="R5277" s="5">
        <v>6</v>
      </c>
      <c r="S5277" s="5">
        <v>52</v>
      </c>
    </row>
    <row r="5278" spans="1:19" ht="42" x14ac:dyDescent="0.15">
      <c r="A5278" s="2">
        <f>HYPERLINK("https://open-school.uspishnemisto.com.ua/school/260211/", 260211)</f>
        <v>260211</v>
      </c>
      <c r="B5278" s="3" t="s">
        <v>27788</v>
      </c>
      <c r="C5278" s="3" t="s">
        <v>54</v>
      </c>
      <c r="D5278" s="3" t="s">
        <v>60</v>
      </c>
      <c r="E5278" s="4" t="s">
        <v>22</v>
      </c>
      <c r="F5278" s="4" t="s">
        <v>27645</v>
      </c>
      <c r="G5278" s="4" t="s">
        <v>27789</v>
      </c>
      <c r="H5278" s="3" t="s">
        <v>26808</v>
      </c>
      <c r="I5278" s="3" t="s">
        <v>27790</v>
      </c>
      <c r="J5278" s="3" t="s">
        <v>3266</v>
      </c>
      <c r="K5278" s="3" t="s">
        <v>27791</v>
      </c>
      <c r="L5278" s="3"/>
      <c r="M5278" s="4"/>
      <c r="N5278" s="3" t="s">
        <v>37</v>
      </c>
      <c r="O5278" s="3" t="s">
        <v>52</v>
      </c>
      <c r="P5278" s="5">
        <v>2</v>
      </c>
      <c r="Q5278" s="5">
        <v>19</v>
      </c>
      <c r="R5278" s="5">
        <v>1</v>
      </c>
      <c r="S5278" s="5">
        <v>17</v>
      </c>
    </row>
    <row r="5279" spans="1:19" ht="42" x14ac:dyDescent="0.15">
      <c r="A5279" s="2">
        <f>HYPERLINK("https://open-school.uspishnemisto.com.ua/school/260212/", 260212)</f>
        <v>260212</v>
      </c>
      <c r="B5279" s="3" t="s">
        <v>27792</v>
      </c>
      <c r="C5279" s="3" t="s">
        <v>31</v>
      </c>
      <c r="D5279" s="3" t="s">
        <v>175</v>
      </c>
      <c r="E5279" s="4" t="s">
        <v>22</v>
      </c>
      <c r="F5279" s="4" t="s">
        <v>27793</v>
      </c>
      <c r="G5279" s="4" t="s">
        <v>27794</v>
      </c>
      <c r="H5279" s="3" t="s">
        <v>26808</v>
      </c>
      <c r="I5279" s="3" t="s">
        <v>27795</v>
      </c>
      <c r="J5279" s="3" t="s">
        <v>27796</v>
      </c>
      <c r="K5279" s="3" t="s">
        <v>27797</v>
      </c>
      <c r="L5279" s="3"/>
      <c r="M5279" s="4"/>
      <c r="N5279" s="3" t="s">
        <v>37</v>
      </c>
      <c r="O5279" s="3" t="s">
        <v>46</v>
      </c>
      <c r="P5279" s="5">
        <v>3</v>
      </c>
      <c r="Q5279" s="5">
        <v>26</v>
      </c>
      <c r="R5279" s="5">
        <v>3</v>
      </c>
      <c r="S5279" s="5">
        <v>31</v>
      </c>
    </row>
    <row r="5280" spans="1:19" ht="56" x14ac:dyDescent="0.15">
      <c r="A5280" s="2">
        <f>HYPERLINK("https://open-school.uspishnemisto.com.ua/school/260213/", 260213)</f>
        <v>260213</v>
      </c>
      <c r="B5280" s="3" t="s">
        <v>27798</v>
      </c>
      <c r="C5280" s="3" t="s">
        <v>54</v>
      </c>
      <c r="D5280" s="3" t="s">
        <v>175</v>
      </c>
      <c r="E5280" s="4" t="s">
        <v>22</v>
      </c>
      <c r="F5280" s="4" t="s">
        <v>27799</v>
      </c>
      <c r="G5280" s="4" t="s">
        <v>27800</v>
      </c>
      <c r="H5280" s="3" t="s">
        <v>26808</v>
      </c>
      <c r="I5280" s="3" t="s">
        <v>27801</v>
      </c>
      <c r="J5280" s="3" t="s">
        <v>27802</v>
      </c>
      <c r="K5280" s="3"/>
      <c r="L5280" s="3"/>
      <c r="M5280" s="4"/>
      <c r="N5280" s="3" t="s">
        <v>37</v>
      </c>
      <c r="O5280" s="3" t="s">
        <v>46</v>
      </c>
      <c r="P5280" s="5">
        <v>7</v>
      </c>
      <c r="Q5280" s="5">
        <v>57</v>
      </c>
      <c r="R5280" s="5">
        <v>6</v>
      </c>
      <c r="S5280" s="5">
        <v>51</v>
      </c>
    </row>
    <row r="5281" spans="1:19" ht="42" x14ac:dyDescent="0.15">
      <c r="A5281" s="2">
        <f>HYPERLINK("https://open-school.uspishnemisto.com.ua/school/260214/", 260214)</f>
        <v>260214</v>
      </c>
      <c r="B5281" s="3" t="s">
        <v>27803</v>
      </c>
      <c r="C5281" s="3" t="s">
        <v>31</v>
      </c>
      <c r="D5281" s="3" t="s">
        <v>175</v>
      </c>
      <c r="E5281" s="4" t="s">
        <v>22</v>
      </c>
      <c r="F5281" s="4" t="s">
        <v>27804</v>
      </c>
      <c r="G5281" s="4" t="s">
        <v>27805</v>
      </c>
      <c r="H5281" s="3" t="s">
        <v>26808</v>
      </c>
      <c r="I5281" s="3" t="s">
        <v>27806</v>
      </c>
      <c r="J5281" s="3" t="s">
        <v>27807</v>
      </c>
      <c r="K5281" s="3" t="s">
        <v>27808</v>
      </c>
      <c r="L5281" s="3"/>
      <c r="M5281" s="4"/>
      <c r="N5281" s="3" t="s">
        <v>37</v>
      </c>
      <c r="O5281" s="3" t="s">
        <v>618</v>
      </c>
      <c r="P5281" s="5">
        <v>3</v>
      </c>
      <c r="Q5281" s="5">
        <v>36</v>
      </c>
      <c r="R5281" s="5">
        <v>3</v>
      </c>
      <c r="S5281" s="5">
        <v>37</v>
      </c>
    </row>
    <row r="5282" spans="1:19" ht="42" x14ac:dyDescent="0.15">
      <c r="A5282" s="2">
        <f>HYPERLINK("https://open-school.uspishnemisto.com.ua/school/260215/", 260215)</f>
        <v>260215</v>
      </c>
      <c r="B5282" s="3" t="s">
        <v>27809</v>
      </c>
      <c r="C5282" s="3" t="s">
        <v>31</v>
      </c>
      <c r="D5282" s="3" t="s">
        <v>32</v>
      </c>
      <c r="E5282" s="4" t="s">
        <v>22</v>
      </c>
      <c r="F5282" s="4" t="s">
        <v>27810</v>
      </c>
      <c r="G5282" s="4" t="s">
        <v>27811</v>
      </c>
      <c r="H5282" s="3" t="s">
        <v>26808</v>
      </c>
      <c r="I5282" s="3" t="s">
        <v>27812</v>
      </c>
      <c r="J5282" s="3" t="s">
        <v>3393</v>
      </c>
      <c r="K5282" s="3" t="s">
        <v>27813</v>
      </c>
      <c r="L5282" s="3"/>
      <c r="M5282" s="4"/>
      <c r="N5282" s="3" t="s">
        <v>37</v>
      </c>
      <c r="O5282" s="3" t="s">
        <v>46</v>
      </c>
      <c r="P5282" s="5">
        <v>11</v>
      </c>
      <c r="Q5282" s="5">
        <v>171</v>
      </c>
      <c r="R5282" s="5">
        <v>11</v>
      </c>
      <c r="S5282" s="5">
        <v>170</v>
      </c>
    </row>
    <row r="5283" spans="1:19" ht="42" x14ac:dyDescent="0.15">
      <c r="A5283" s="2">
        <f>HYPERLINK("https://open-school.uspishnemisto.com.ua/school/260216/", 260216)</f>
        <v>260216</v>
      </c>
      <c r="B5283" s="3" t="s">
        <v>27814</v>
      </c>
      <c r="C5283" s="3" t="s">
        <v>40</v>
      </c>
      <c r="D5283" s="3" t="s">
        <v>32</v>
      </c>
      <c r="E5283" s="4" t="s">
        <v>22</v>
      </c>
      <c r="F5283" s="4" t="s">
        <v>27815</v>
      </c>
      <c r="G5283" s="4" t="s">
        <v>27816</v>
      </c>
      <c r="H5283" s="3" t="s">
        <v>26808</v>
      </c>
      <c r="I5283" s="3" t="s">
        <v>27817</v>
      </c>
      <c r="J5283" s="3" t="s">
        <v>27818</v>
      </c>
      <c r="K5283" s="3" t="s">
        <v>27819</v>
      </c>
      <c r="L5283" s="3"/>
      <c r="M5283" s="4"/>
      <c r="N5283" s="3" t="s">
        <v>37</v>
      </c>
      <c r="O5283" s="3" t="s">
        <v>46</v>
      </c>
      <c r="P5283" s="5">
        <v>10</v>
      </c>
      <c r="Q5283" s="5">
        <v>195</v>
      </c>
      <c r="R5283" s="5">
        <v>10</v>
      </c>
      <c r="S5283" s="5">
        <v>182</v>
      </c>
    </row>
    <row r="5284" spans="1:19" ht="42" x14ac:dyDescent="0.15">
      <c r="A5284" s="2">
        <f>HYPERLINK("https://open-school.uspishnemisto.com.ua/school/260217/", 260217)</f>
        <v>260217</v>
      </c>
      <c r="B5284" s="3" t="s">
        <v>27820</v>
      </c>
      <c r="C5284" s="3" t="s">
        <v>31</v>
      </c>
      <c r="D5284" s="3" t="s">
        <v>32</v>
      </c>
      <c r="E5284" s="4" t="s">
        <v>22</v>
      </c>
      <c r="F5284" s="4" t="s">
        <v>27815</v>
      </c>
      <c r="G5284" s="4" t="s">
        <v>27816</v>
      </c>
      <c r="H5284" s="3" t="s">
        <v>26808</v>
      </c>
      <c r="I5284" s="3" t="s">
        <v>27817</v>
      </c>
      <c r="J5284" s="3" t="s">
        <v>27818</v>
      </c>
      <c r="K5284" s="3" t="s">
        <v>27821</v>
      </c>
      <c r="L5284" s="3" t="s">
        <v>27822</v>
      </c>
      <c r="M5284" s="4"/>
      <c r="N5284" s="3" t="s">
        <v>37</v>
      </c>
      <c r="O5284" s="3" t="s">
        <v>46</v>
      </c>
      <c r="P5284" s="5">
        <v>29</v>
      </c>
      <c r="Q5284" s="5">
        <v>697</v>
      </c>
      <c r="R5284" s="5">
        <v>29</v>
      </c>
      <c r="S5284" s="5">
        <v>694</v>
      </c>
    </row>
    <row r="5285" spans="1:19" ht="42" x14ac:dyDescent="0.15">
      <c r="A5285" s="2">
        <f>HYPERLINK("https://open-school.uspishnemisto.com.ua/school/260218/", 260218)</f>
        <v>260218</v>
      </c>
      <c r="B5285" s="3" t="s">
        <v>27823</v>
      </c>
      <c r="C5285" s="3" t="s">
        <v>31</v>
      </c>
      <c r="D5285" s="3" t="s">
        <v>32</v>
      </c>
      <c r="E5285" s="4" t="s">
        <v>22</v>
      </c>
      <c r="F5285" s="4" t="s">
        <v>27815</v>
      </c>
      <c r="G5285" s="4" t="s">
        <v>27816</v>
      </c>
      <c r="H5285" s="3" t="s">
        <v>26808</v>
      </c>
      <c r="I5285" s="3" t="s">
        <v>27817</v>
      </c>
      <c r="J5285" s="3" t="s">
        <v>27824</v>
      </c>
      <c r="K5285" s="3" t="s">
        <v>27825</v>
      </c>
      <c r="L5285" s="3"/>
      <c r="M5285" s="4"/>
      <c r="N5285" s="3" t="s">
        <v>37</v>
      </c>
      <c r="O5285" s="3" t="s">
        <v>46</v>
      </c>
      <c r="P5285" s="5">
        <v>22</v>
      </c>
      <c r="Q5285" s="5">
        <v>457</v>
      </c>
      <c r="R5285" s="5">
        <v>21</v>
      </c>
      <c r="S5285" s="5">
        <v>445</v>
      </c>
    </row>
    <row r="5286" spans="1:19" ht="42" x14ac:dyDescent="0.15">
      <c r="A5286" s="2">
        <f>HYPERLINK("https://open-school.uspishnemisto.com.ua/school/260219/", 260219)</f>
        <v>260219</v>
      </c>
      <c r="B5286" s="3" t="s">
        <v>27826</v>
      </c>
      <c r="C5286" s="3" t="s">
        <v>31</v>
      </c>
      <c r="D5286" s="3" t="s">
        <v>32</v>
      </c>
      <c r="E5286" s="4" t="s">
        <v>22</v>
      </c>
      <c r="F5286" s="4" t="s">
        <v>27827</v>
      </c>
      <c r="G5286" s="4" t="s">
        <v>27828</v>
      </c>
      <c r="H5286" s="3" t="s">
        <v>26808</v>
      </c>
      <c r="I5286" s="3" t="s">
        <v>27829</v>
      </c>
      <c r="J5286" s="3" t="s">
        <v>3319</v>
      </c>
      <c r="K5286" s="3" t="s">
        <v>27830</v>
      </c>
      <c r="L5286" s="3"/>
      <c r="M5286" s="4"/>
      <c r="N5286" s="3" t="s">
        <v>37</v>
      </c>
      <c r="O5286" s="3" t="s">
        <v>46</v>
      </c>
      <c r="P5286" s="5">
        <v>11</v>
      </c>
      <c r="Q5286" s="5">
        <v>149</v>
      </c>
      <c r="R5286" s="5">
        <v>11</v>
      </c>
      <c r="S5286" s="5">
        <v>169</v>
      </c>
    </row>
    <row r="5287" spans="1:19" ht="42" x14ac:dyDescent="0.15">
      <c r="A5287" s="2">
        <f>HYPERLINK("https://open-school.uspishnemisto.com.ua/school/260220/", 260220)</f>
        <v>260220</v>
      </c>
      <c r="B5287" s="3" t="s">
        <v>27831</v>
      </c>
      <c r="C5287" s="3" t="s">
        <v>54</v>
      </c>
      <c r="D5287" s="3" t="s">
        <v>175</v>
      </c>
      <c r="E5287" s="4" t="s">
        <v>22</v>
      </c>
      <c r="F5287" s="4" t="s">
        <v>27832</v>
      </c>
      <c r="G5287" s="4" t="s">
        <v>27833</v>
      </c>
      <c r="H5287" s="3" t="s">
        <v>26808</v>
      </c>
      <c r="I5287" s="3" t="s">
        <v>27834</v>
      </c>
      <c r="J5287" s="3" t="s">
        <v>27835</v>
      </c>
      <c r="K5287" s="3" t="s">
        <v>27836</v>
      </c>
      <c r="L5287" s="3"/>
      <c r="M5287" s="4"/>
      <c r="N5287" s="3" t="s">
        <v>37</v>
      </c>
      <c r="O5287" s="3" t="s">
        <v>46</v>
      </c>
      <c r="P5287" s="5">
        <v>7</v>
      </c>
      <c r="Q5287" s="5">
        <v>46</v>
      </c>
      <c r="R5287" s="5">
        <v>7</v>
      </c>
      <c r="S5287" s="5">
        <v>51</v>
      </c>
    </row>
    <row r="5288" spans="1:19" ht="42" x14ac:dyDescent="0.15">
      <c r="A5288" s="2">
        <f>HYPERLINK("https://open-school.uspishnemisto.com.ua/school/260221/", 260221)</f>
        <v>260221</v>
      </c>
      <c r="B5288" s="3" t="s">
        <v>27837</v>
      </c>
      <c r="C5288" s="3" t="s">
        <v>31</v>
      </c>
      <c r="D5288" s="3" t="s">
        <v>32</v>
      </c>
      <c r="E5288" s="4" t="s">
        <v>22</v>
      </c>
      <c r="F5288" s="4" t="s">
        <v>27838</v>
      </c>
      <c r="G5288" s="4" t="s">
        <v>27839</v>
      </c>
      <c r="H5288" s="3" t="s">
        <v>26808</v>
      </c>
      <c r="I5288" s="3" t="s">
        <v>27840</v>
      </c>
      <c r="J5288" s="3" t="s">
        <v>27841</v>
      </c>
      <c r="K5288" s="3" t="s">
        <v>27842</v>
      </c>
      <c r="L5288" s="3"/>
      <c r="M5288" s="4"/>
      <c r="N5288" s="3" t="s">
        <v>37</v>
      </c>
      <c r="O5288" s="3" t="s">
        <v>46</v>
      </c>
      <c r="P5288" s="5">
        <v>10</v>
      </c>
      <c r="Q5288" s="5">
        <v>107</v>
      </c>
      <c r="R5288" s="5">
        <v>11</v>
      </c>
      <c r="S5288" s="5">
        <v>114</v>
      </c>
    </row>
    <row r="5289" spans="1:19" ht="42" x14ac:dyDescent="0.15">
      <c r="A5289" s="2">
        <f>HYPERLINK("https://open-school.uspishnemisto.com.ua/school/260222/", 260222)</f>
        <v>260222</v>
      </c>
      <c r="B5289" s="3" t="s">
        <v>27843</v>
      </c>
      <c r="C5289" s="3" t="s">
        <v>54</v>
      </c>
      <c r="D5289" s="3" t="s">
        <v>175</v>
      </c>
      <c r="E5289" s="4" t="s">
        <v>22</v>
      </c>
      <c r="F5289" s="4" t="s">
        <v>27844</v>
      </c>
      <c r="G5289" s="4" t="s">
        <v>27845</v>
      </c>
      <c r="H5289" s="3" t="s">
        <v>26808</v>
      </c>
      <c r="I5289" s="3" t="s">
        <v>27846</v>
      </c>
      <c r="J5289" s="3" t="s">
        <v>1008</v>
      </c>
      <c r="K5289" s="3" t="s">
        <v>27847</v>
      </c>
      <c r="L5289" s="3"/>
      <c r="M5289" s="4"/>
      <c r="N5289" s="3" t="s">
        <v>37</v>
      </c>
      <c r="O5289" s="3" t="s">
        <v>2740</v>
      </c>
      <c r="P5289" s="5">
        <v>9</v>
      </c>
      <c r="Q5289" s="5">
        <v>94</v>
      </c>
      <c r="R5289" s="5">
        <v>9</v>
      </c>
      <c r="S5289" s="5">
        <v>90</v>
      </c>
    </row>
    <row r="5290" spans="1:19" ht="42" x14ac:dyDescent="0.15">
      <c r="A5290" s="2">
        <f>HYPERLINK("https://open-school.uspishnemisto.com.ua/school/260223/", 260223)</f>
        <v>260223</v>
      </c>
      <c r="B5290" s="3" t="s">
        <v>27848</v>
      </c>
      <c r="C5290" s="3" t="s">
        <v>31</v>
      </c>
      <c r="D5290" s="3" t="s">
        <v>175</v>
      </c>
      <c r="E5290" s="4" t="s">
        <v>22</v>
      </c>
      <c r="F5290" s="4" t="s">
        <v>27849</v>
      </c>
      <c r="G5290" s="4" t="s">
        <v>27850</v>
      </c>
      <c r="H5290" s="3" t="s">
        <v>26808</v>
      </c>
      <c r="I5290" s="3" t="s">
        <v>18593</v>
      </c>
      <c r="J5290" s="3" t="s">
        <v>27851</v>
      </c>
      <c r="K5290" s="3" t="s">
        <v>27852</v>
      </c>
      <c r="L5290" s="3"/>
      <c r="M5290" s="4"/>
      <c r="N5290" s="3" t="s">
        <v>37</v>
      </c>
      <c r="O5290" s="3" t="s">
        <v>46</v>
      </c>
      <c r="P5290" s="5">
        <v>9</v>
      </c>
      <c r="Q5290" s="5">
        <v>80</v>
      </c>
      <c r="R5290" s="5">
        <v>9</v>
      </c>
      <c r="S5290" s="5">
        <v>88</v>
      </c>
    </row>
    <row r="5291" spans="1:19" ht="42" x14ac:dyDescent="0.15">
      <c r="A5291" s="2">
        <f>HYPERLINK("https://open-school.uspishnemisto.com.ua/school/260224/", 260224)</f>
        <v>260224</v>
      </c>
      <c r="B5291" s="3" t="s">
        <v>27853</v>
      </c>
      <c r="C5291" s="3" t="s">
        <v>31</v>
      </c>
      <c r="D5291" s="3" t="s">
        <v>32</v>
      </c>
      <c r="E5291" s="4" t="s">
        <v>22</v>
      </c>
      <c r="F5291" s="4" t="s">
        <v>27854</v>
      </c>
      <c r="G5291" s="4" t="s">
        <v>27855</v>
      </c>
      <c r="H5291" s="3" t="s">
        <v>26808</v>
      </c>
      <c r="I5291" s="3" t="s">
        <v>27856</v>
      </c>
      <c r="J5291" s="3" t="s">
        <v>1780</v>
      </c>
      <c r="K5291" s="3" t="s">
        <v>27857</v>
      </c>
      <c r="L5291" s="3"/>
      <c r="M5291" s="4"/>
      <c r="N5291" s="3" t="s">
        <v>37</v>
      </c>
      <c r="O5291" s="3" t="s">
        <v>46</v>
      </c>
      <c r="P5291" s="5">
        <v>11</v>
      </c>
      <c r="Q5291" s="5">
        <v>93</v>
      </c>
      <c r="R5291" s="5">
        <v>11</v>
      </c>
      <c r="S5291" s="5">
        <v>104</v>
      </c>
    </row>
    <row r="5292" spans="1:19" ht="42" x14ac:dyDescent="0.15">
      <c r="A5292" s="2">
        <f>HYPERLINK("https://open-school.uspishnemisto.com.ua/school/260225/", 260225)</f>
        <v>260225</v>
      </c>
      <c r="B5292" s="3" t="s">
        <v>27858</v>
      </c>
      <c r="C5292" s="3" t="s">
        <v>31</v>
      </c>
      <c r="D5292" s="3" t="s">
        <v>175</v>
      </c>
      <c r="E5292" s="4" t="s">
        <v>22</v>
      </c>
      <c r="F5292" s="4" t="s">
        <v>27859</v>
      </c>
      <c r="G5292" s="4" t="s">
        <v>27860</v>
      </c>
      <c r="H5292" s="3" t="s">
        <v>26808</v>
      </c>
      <c r="I5292" s="3" t="s">
        <v>27861</v>
      </c>
      <c r="J5292" s="3" t="s">
        <v>27862</v>
      </c>
      <c r="K5292" s="3" t="s">
        <v>27863</v>
      </c>
      <c r="L5292" s="3"/>
      <c r="M5292" s="4"/>
      <c r="N5292" s="3" t="s">
        <v>37</v>
      </c>
      <c r="O5292" s="3" t="s">
        <v>46</v>
      </c>
      <c r="P5292" s="5">
        <v>9</v>
      </c>
      <c r="Q5292" s="5">
        <v>74</v>
      </c>
      <c r="R5292" s="5">
        <v>9</v>
      </c>
      <c r="S5292" s="5">
        <v>77</v>
      </c>
    </row>
    <row r="5293" spans="1:19" ht="56" x14ac:dyDescent="0.15">
      <c r="A5293" s="2">
        <f>HYPERLINK("https://open-school.uspishnemisto.com.ua/school/260226/", 260226)</f>
        <v>260226</v>
      </c>
      <c r="B5293" s="3" t="s">
        <v>27864</v>
      </c>
      <c r="C5293" s="3" t="s">
        <v>54</v>
      </c>
      <c r="D5293" s="3" t="s">
        <v>175</v>
      </c>
      <c r="E5293" s="4" t="s">
        <v>22</v>
      </c>
      <c r="F5293" s="4" t="s">
        <v>27865</v>
      </c>
      <c r="G5293" s="4" t="s">
        <v>27866</v>
      </c>
      <c r="H5293" s="3" t="s">
        <v>26808</v>
      </c>
      <c r="I5293" s="3" t="s">
        <v>27867</v>
      </c>
      <c r="J5293" s="3" t="s">
        <v>27868</v>
      </c>
      <c r="K5293" s="3" t="s">
        <v>27869</v>
      </c>
      <c r="L5293" s="3"/>
      <c r="M5293" s="4"/>
      <c r="N5293" s="3" t="s">
        <v>37</v>
      </c>
      <c r="O5293" s="3" t="s">
        <v>46</v>
      </c>
      <c r="P5293" s="5">
        <v>9</v>
      </c>
      <c r="Q5293" s="5">
        <v>73</v>
      </c>
      <c r="R5293" s="5">
        <v>9</v>
      </c>
      <c r="S5293" s="5">
        <v>80</v>
      </c>
    </row>
    <row r="5294" spans="1:19" ht="42" x14ac:dyDescent="0.15">
      <c r="A5294" s="2">
        <f>HYPERLINK("https://open-school.uspishnemisto.com.ua/school/260227/", 260227)</f>
        <v>260227</v>
      </c>
      <c r="B5294" s="3" t="s">
        <v>27870</v>
      </c>
      <c r="C5294" s="3" t="s">
        <v>54</v>
      </c>
      <c r="D5294" s="3" t="s">
        <v>175</v>
      </c>
      <c r="E5294" s="4" t="s">
        <v>22</v>
      </c>
      <c r="F5294" s="4" t="s">
        <v>27871</v>
      </c>
      <c r="G5294" s="4" t="s">
        <v>27872</v>
      </c>
      <c r="H5294" s="3" t="s">
        <v>26808</v>
      </c>
      <c r="I5294" s="3" t="s">
        <v>27873</v>
      </c>
      <c r="J5294" s="3" t="s">
        <v>2719</v>
      </c>
      <c r="K5294" s="3" t="s">
        <v>27874</v>
      </c>
      <c r="L5294" s="3"/>
      <c r="M5294" s="4"/>
      <c r="N5294" s="3" t="s">
        <v>37</v>
      </c>
      <c r="O5294" s="3" t="s">
        <v>618</v>
      </c>
      <c r="P5294" s="5">
        <v>5</v>
      </c>
      <c r="Q5294" s="5">
        <v>35</v>
      </c>
      <c r="R5294" s="5">
        <v>6</v>
      </c>
      <c r="S5294" s="5">
        <v>37</v>
      </c>
    </row>
    <row r="5295" spans="1:19" ht="42" x14ac:dyDescent="0.15">
      <c r="A5295" s="2">
        <f>HYPERLINK("https://open-school.uspishnemisto.com.ua/school/260228/", 260228)</f>
        <v>260228</v>
      </c>
      <c r="B5295" s="3" t="s">
        <v>27875</v>
      </c>
      <c r="C5295" s="3" t="s">
        <v>54</v>
      </c>
      <c r="D5295" s="3" t="s">
        <v>175</v>
      </c>
      <c r="E5295" s="4" t="s">
        <v>22</v>
      </c>
      <c r="F5295" s="4" t="s">
        <v>27876</v>
      </c>
      <c r="G5295" s="4" t="s">
        <v>27877</v>
      </c>
      <c r="H5295" s="3" t="s">
        <v>26808</v>
      </c>
      <c r="I5295" s="3" t="s">
        <v>27878</v>
      </c>
      <c r="J5295" s="3" t="s">
        <v>27879</v>
      </c>
      <c r="K5295" s="3" t="s">
        <v>27880</v>
      </c>
      <c r="L5295" s="3"/>
      <c r="M5295" s="4"/>
      <c r="N5295" s="3" t="s">
        <v>37</v>
      </c>
      <c r="O5295" s="3" t="s">
        <v>46</v>
      </c>
      <c r="P5295" s="5">
        <v>9</v>
      </c>
      <c r="Q5295" s="5">
        <v>66</v>
      </c>
      <c r="R5295" s="5">
        <v>9</v>
      </c>
      <c r="S5295" s="5">
        <v>67</v>
      </c>
    </row>
    <row r="5296" spans="1:19" ht="42" x14ac:dyDescent="0.15">
      <c r="A5296" s="2">
        <f>HYPERLINK("https://open-school.uspishnemisto.com.ua/school/260229/", 260229)</f>
        <v>260229</v>
      </c>
      <c r="B5296" s="3" t="s">
        <v>27881</v>
      </c>
      <c r="C5296" s="3" t="s">
        <v>54</v>
      </c>
      <c r="D5296" s="3" t="s">
        <v>175</v>
      </c>
      <c r="E5296" s="4" t="s">
        <v>22</v>
      </c>
      <c r="F5296" s="4" t="s">
        <v>27882</v>
      </c>
      <c r="G5296" s="4" t="s">
        <v>27883</v>
      </c>
      <c r="H5296" s="3" t="s">
        <v>26808</v>
      </c>
      <c r="I5296" s="3" t="s">
        <v>17777</v>
      </c>
      <c r="J5296" s="3" t="s">
        <v>6666</v>
      </c>
      <c r="K5296" s="3" t="s">
        <v>27884</v>
      </c>
      <c r="L5296" s="3"/>
      <c r="M5296" s="4"/>
      <c r="N5296" s="3" t="s">
        <v>37</v>
      </c>
      <c r="O5296" s="3" t="s">
        <v>46</v>
      </c>
      <c r="P5296" s="5">
        <v>9</v>
      </c>
      <c r="Q5296" s="5">
        <v>69</v>
      </c>
      <c r="R5296" s="5">
        <v>9</v>
      </c>
      <c r="S5296" s="5">
        <v>71</v>
      </c>
    </row>
    <row r="5297" spans="1:19" ht="42" x14ac:dyDescent="0.15">
      <c r="A5297" s="2">
        <f>HYPERLINK("https://open-school.uspishnemisto.com.ua/school/260230/", 260230)</f>
        <v>260230</v>
      </c>
      <c r="B5297" s="3" t="s">
        <v>27885</v>
      </c>
      <c r="C5297" s="3" t="s">
        <v>31</v>
      </c>
      <c r="D5297" s="3" t="s">
        <v>32</v>
      </c>
      <c r="E5297" s="4" t="s">
        <v>22</v>
      </c>
      <c r="F5297" s="4" t="s">
        <v>27886</v>
      </c>
      <c r="G5297" s="4" t="s">
        <v>27887</v>
      </c>
      <c r="H5297" s="3" t="s">
        <v>26808</v>
      </c>
      <c r="I5297" s="3" t="s">
        <v>27888</v>
      </c>
      <c r="J5297" s="3" t="s">
        <v>27889</v>
      </c>
      <c r="K5297" s="3" t="s">
        <v>27890</v>
      </c>
      <c r="L5297" s="3" t="s">
        <v>27891</v>
      </c>
      <c r="M5297" s="4"/>
      <c r="N5297" s="3" t="s">
        <v>37</v>
      </c>
      <c r="O5297" s="3" t="s">
        <v>2740</v>
      </c>
      <c r="P5297" s="5">
        <v>11</v>
      </c>
      <c r="Q5297" s="5">
        <v>215</v>
      </c>
      <c r="R5297" s="5">
        <v>12</v>
      </c>
      <c r="S5297" s="5">
        <v>239</v>
      </c>
    </row>
    <row r="5298" spans="1:19" ht="56" x14ac:dyDescent="0.15">
      <c r="A5298" s="2">
        <f>HYPERLINK("https://open-school.uspishnemisto.com.ua/school/260231/", 260231)</f>
        <v>260231</v>
      </c>
      <c r="B5298" s="3" t="s">
        <v>27892</v>
      </c>
      <c r="C5298" s="3" t="s">
        <v>54</v>
      </c>
      <c r="D5298" s="3" t="s">
        <v>175</v>
      </c>
      <c r="E5298" s="4" t="s">
        <v>22</v>
      </c>
      <c r="F5298" s="4" t="s">
        <v>27893</v>
      </c>
      <c r="G5298" s="4" t="s">
        <v>27894</v>
      </c>
      <c r="H5298" s="3" t="s">
        <v>26808</v>
      </c>
      <c r="I5298" s="3" t="s">
        <v>27895</v>
      </c>
      <c r="J5298" s="3" t="s">
        <v>27896</v>
      </c>
      <c r="K5298" s="3" t="s">
        <v>27897</v>
      </c>
      <c r="L5298" s="3"/>
      <c r="M5298" s="4"/>
      <c r="N5298" s="3" t="s">
        <v>37</v>
      </c>
      <c r="O5298" s="3" t="s">
        <v>46</v>
      </c>
      <c r="P5298" s="5">
        <v>3</v>
      </c>
      <c r="Q5298" s="5">
        <v>41</v>
      </c>
      <c r="R5298" s="5">
        <v>4</v>
      </c>
      <c r="S5298" s="5">
        <v>45</v>
      </c>
    </row>
    <row r="5299" spans="1:19" ht="42" x14ac:dyDescent="0.15">
      <c r="A5299" s="2">
        <f>HYPERLINK("https://open-school.uspishnemisto.com.ua/school/260232/", 260232)</f>
        <v>260232</v>
      </c>
      <c r="B5299" s="3" t="s">
        <v>27898</v>
      </c>
      <c r="C5299" s="3" t="s">
        <v>54</v>
      </c>
      <c r="D5299" s="3" t="s">
        <v>32</v>
      </c>
      <c r="E5299" s="4" t="s">
        <v>22</v>
      </c>
      <c r="F5299" s="4" t="s">
        <v>27899</v>
      </c>
      <c r="G5299" s="4" t="s">
        <v>27900</v>
      </c>
      <c r="H5299" s="3" t="s">
        <v>26808</v>
      </c>
      <c r="I5299" s="3" t="s">
        <v>27901</v>
      </c>
      <c r="J5299" s="3" t="s">
        <v>27902</v>
      </c>
      <c r="K5299" s="3" t="s">
        <v>27903</v>
      </c>
      <c r="L5299" s="3"/>
      <c r="M5299" s="4"/>
      <c r="N5299" s="3" t="s">
        <v>37</v>
      </c>
      <c r="O5299" s="3" t="s">
        <v>123</v>
      </c>
      <c r="P5299" s="5">
        <v>11</v>
      </c>
      <c r="Q5299" s="5">
        <v>109</v>
      </c>
      <c r="R5299" s="5">
        <v>11</v>
      </c>
      <c r="S5299" s="5">
        <v>117</v>
      </c>
    </row>
    <row r="5300" spans="1:19" ht="56" x14ac:dyDescent="0.15">
      <c r="A5300" s="2">
        <f>HYPERLINK("https://open-school.uspishnemisto.com.ua/school/260233/", 260233)</f>
        <v>260233</v>
      </c>
      <c r="B5300" s="3" t="s">
        <v>27904</v>
      </c>
      <c r="C5300" s="3" t="s">
        <v>54</v>
      </c>
      <c r="D5300" s="3" t="s">
        <v>175</v>
      </c>
      <c r="E5300" s="4" t="s">
        <v>22</v>
      </c>
      <c r="F5300" s="4" t="s">
        <v>27905</v>
      </c>
      <c r="G5300" s="4" t="s">
        <v>27906</v>
      </c>
      <c r="H5300" s="3" t="s">
        <v>26808</v>
      </c>
      <c r="I5300" s="3" t="s">
        <v>27907</v>
      </c>
      <c r="J5300" s="3" t="s">
        <v>26168</v>
      </c>
      <c r="K5300" s="3" t="s">
        <v>27908</v>
      </c>
      <c r="L5300" s="3"/>
      <c r="M5300" s="4"/>
      <c r="N5300" s="3" t="s">
        <v>37</v>
      </c>
      <c r="O5300" s="3" t="s">
        <v>46</v>
      </c>
      <c r="P5300" s="5">
        <v>8</v>
      </c>
      <c r="Q5300" s="5">
        <v>59</v>
      </c>
      <c r="R5300" s="5">
        <v>8</v>
      </c>
      <c r="S5300" s="5">
        <v>60</v>
      </c>
    </row>
    <row r="5301" spans="1:19" ht="42" x14ac:dyDescent="0.15">
      <c r="A5301" s="2">
        <f>HYPERLINK("https://open-school.uspishnemisto.com.ua/school/260234/", 260234)</f>
        <v>260234</v>
      </c>
      <c r="B5301" s="3" t="s">
        <v>27909</v>
      </c>
      <c r="C5301" s="3" t="s">
        <v>31</v>
      </c>
      <c r="D5301" s="3" t="s">
        <v>175</v>
      </c>
      <c r="E5301" s="4" t="s">
        <v>22</v>
      </c>
      <c r="F5301" s="4" t="s">
        <v>27910</v>
      </c>
      <c r="G5301" s="4" t="s">
        <v>27911</v>
      </c>
      <c r="H5301" s="3" t="s">
        <v>26808</v>
      </c>
      <c r="I5301" s="3" t="s">
        <v>27912</v>
      </c>
      <c r="J5301" s="3" t="s">
        <v>27913</v>
      </c>
      <c r="K5301" s="3" t="s">
        <v>27914</v>
      </c>
      <c r="L5301" s="3"/>
      <c r="M5301" s="4"/>
      <c r="N5301" s="3" t="s">
        <v>37</v>
      </c>
      <c r="O5301" s="3" t="s">
        <v>52</v>
      </c>
      <c r="P5301" s="5">
        <v>9</v>
      </c>
      <c r="Q5301" s="5">
        <v>146</v>
      </c>
      <c r="R5301" s="5">
        <v>9</v>
      </c>
      <c r="S5301" s="5">
        <v>155</v>
      </c>
    </row>
    <row r="5302" spans="1:19" ht="42" x14ac:dyDescent="0.15">
      <c r="A5302" s="2">
        <f>HYPERLINK("https://open-school.uspishnemisto.com.ua/school/260235/", 260235)</f>
        <v>260235</v>
      </c>
      <c r="B5302" s="3" t="s">
        <v>27915</v>
      </c>
      <c r="C5302" s="3" t="s">
        <v>54</v>
      </c>
      <c r="D5302" s="3" t="s">
        <v>175</v>
      </c>
      <c r="E5302" s="4" t="s">
        <v>22</v>
      </c>
      <c r="F5302" s="4" t="s">
        <v>27916</v>
      </c>
      <c r="G5302" s="4" t="s">
        <v>27917</v>
      </c>
      <c r="H5302" s="3" t="s">
        <v>26808</v>
      </c>
      <c r="I5302" s="3" t="s">
        <v>22906</v>
      </c>
      <c r="J5302" s="3" t="s">
        <v>5998</v>
      </c>
      <c r="K5302" s="3" t="s">
        <v>27918</v>
      </c>
      <c r="L5302" s="3"/>
      <c r="M5302" s="4"/>
      <c r="N5302" s="3" t="s">
        <v>37</v>
      </c>
      <c r="O5302" s="3" t="s">
        <v>46</v>
      </c>
      <c r="P5302" s="5">
        <v>6</v>
      </c>
      <c r="Q5302" s="5">
        <v>48</v>
      </c>
      <c r="R5302" s="5">
        <v>7</v>
      </c>
      <c r="S5302" s="5">
        <v>49</v>
      </c>
    </row>
    <row r="5303" spans="1:19" ht="42" x14ac:dyDescent="0.15">
      <c r="A5303" s="2">
        <f>HYPERLINK("https://open-school.uspishnemisto.com.ua/school/260236/", 260236)</f>
        <v>260236</v>
      </c>
      <c r="B5303" s="3" t="s">
        <v>27919</v>
      </c>
      <c r="C5303" s="3" t="s">
        <v>54</v>
      </c>
      <c r="D5303" s="3" t="s">
        <v>175</v>
      </c>
      <c r="E5303" s="4" t="s">
        <v>22</v>
      </c>
      <c r="F5303" s="4" t="s">
        <v>27920</v>
      </c>
      <c r="G5303" s="4" t="s">
        <v>27921</v>
      </c>
      <c r="H5303" s="3" t="s">
        <v>26808</v>
      </c>
      <c r="I5303" s="3" t="s">
        <v>27922</v>
      </c>
      <c r="J5303" s="3" t="s">
        <v>4933</v>
      </c>
      <c r="K5303" s="3" t="s">
        <v>27923</v>
      </c>
      <c r="L5303" s="3"/>
      <c r="M5303" s="4"/>
      <c r="N5303" s="3" t="s">
        <v>37</v>
      </c>
      <c r="O5303" s="3" t="s">
        <v>46</v>
      </c>
      <c r="P5303" s="5">
        <v>9</v>
      </c>
      <c r="Q5303" s="5">
        <v>69</v>
      </c>
      <c r="R5303" s="5">
        <v>9</v>
      </c>
      <c r="S5303" s="5">
        <v>68</v>
      </c>
    </row>
    <row r="5304" spans="1:19" ht="42" x14ac:dyDescent="0.15">
      <c r="A5304" s="2">
        <f>HYPERLINK("https://open-school.uspishnemisto.com.ua/school/260237/", 260237)</f>
        <v>260237</v>
      </c>
      <c r="B5304" s="3" t="s">
        <v>27924</v>
      </c>
      <c r="C5304" s="3" t="s">
        <v>54</v>
      </c>
      <c r="D5304" s="3" t="s">
        <v>60</v>
      </c>
      <c r="E5304" s="4" t="s">
        <v>22</v>
      </c>
      <c r="F5304" s="4" t="s">
        <v>27920</v>
      </c>
      <c r="G5304" s="4" t="s">
        <v>27925</v>
      </c>
      <c r="H5304" s="3" t="s">
        <v>26808</v>
      </c>
      <c r="I5304" s="3" t="s">
        <v>27926</v>
      </c>
      <c r="J5304" s="3" t="s">
        <v>27927</v>
      </c>
      <c r="K5304" s="3" t="s">
        <v>27928</v>
      </c>
      <c r="L5304" s="3"/>
      <c r="M5304" s="4"/>
      <c r="N5304" s="3" t="s">
        <v>37</v>
      </c>
      <c r="O5304" s="3" t="s">
        <v>618</v>
      </c>
      <c r="P5304" s="5">
        <v>1</v>
      </c>
      <c r="Q5304" s="5">
        <v>17</v>
      </c>
      <c r="R5304" s="5">
        <v>2</v>
      </c>
      <c r="S5304" s="5">
        <v>20</v>
      </c>
    </row>
    <row r="5305" spans="1:19" ht="42" x14ac:dyDescent="0.15">
      <c r="A5305" s="2">
        <f>HYPERLINK("https://open-school.uspishnemisto.com.ua/school/260238/", 260238)</f>
        <v>260238</v>
      </c>
      <c r="B5305" s="3" t="s">
        <v>27929</v>
      </c>
      <c r="C5305" s="3" t="s">
        <v>31</v>
      </c>
      <c r="D5305" s="3" t="s">
        <v>32</v>
      </c>
      <c r="E5305" s="4" t="s">
        <v>22</v>
      </c>
      <c r="F5305" s="4" t="s">
        <v>27930</v>
      </c>
      <c r="G5305" s="4" t="s">
        <v>27931</v>
      </c>
      <c r="H5305" s="3" t="s">
        <v>26808</v>
      </c>
      <c r="I5305" s="3" t="s">
        <v>27932</v>
      </c>
      <c r="J5305" s="3" t="s">
        <v>27933</v>
      </c>
      <c r="K5305" s="3" t="s">
        <v>27934</v>
      </c>
      <c r="L5305" s="3"/>
      <c r="M5305" s="4"/>
      <c r="N5305" s="3" t="s">
        <v>37</v>
      </c>
      <c r="O5305" s="3" t="s">
        <v>46</v>
      </c>
      <c r="P5305" s="5">
        <v>11</v>
      </c>
      <c r="Q5305" s="5">
        <v>138</v>
      </c>
      <c r="R5305" s="5">
        <v>11</v>
      </c>
      <c r="S5305" s="5">
        <v>135</v>
      </c>
    </row>
    <row r="5306" spans="1:19" ht="56" x14ac:dyDescent="0.15">
      <c r="A5306" s="2">
        <f>HYPERLINK("https://open-school.uspishnemisto.com.ua/school/260239/", 260239)</f>
        <v>260239</v>
      </c>
      <c r="B5306" s="3" t="s">
        <v>27935</v>
      </c>
      <c r="C5306" s="3" t="s">
        <v>54</v>
      </c>
      <c r="D5306" s="3" t="s">
        <v>32</v>
      </c>
      <c r="E5306" s="4" t="s">
        <v>22</v>
      </c>
      <c r="F5306" s="4" t="s">
        <v>27936</v>
      </c>
      <c r="G5306" s="4" t="s">
        <v>27937</v>
      </c>
      <c r="H5306" s="3" t="s">
        <v>26808</v>
      </c>
      <c r="I5306" s="3" t="s">
        <v>27404</v>
      </c>
      <c r="J5306" s="3" t="s">
        <v>27938</v>
      </c>
      <c r="K5306" s="3" t="s">
        <v>27939</v>
      </c>
      <c r="L5306" s="3"/>
      <c r="M5306" s="4"/>
      <c r="N5306" s="3" t="s">
        <v>37</v>
      </c>
      <c r="O5306" s="3" t="s">
        <v>618</v>
      </c>
      <c r="P5306" s="5">
        <v>10</v>
      </c>
      <c r="Q5306" s="5">
        <v>91</v>
      </c>
      <c r="R5306" s="5">
        <v>11</v>
      </c>
      <c r="S5306" s="5">
        <v>94</v>
      </c>
    </row>
    <row r="5307" spans="1:19" ht="56" x14ac:dyDescent="0.15">
      <c r="A5307" s="2">
        <f>HYPERLINK("https://open-school.uspishnemisto.com.ua/school/260240/", 260240)</f>
        <v>260240</v>
      </c>
      <c r="B5307" s="3" t="s">
        <v>27940</v>
      </c>
      <c r="C5307" s="3" t="s">
        <v>54</v>
      </c>
      <c r="D5307" s="3" t="s">
        <v>175</v>
      </c>
      <c r="E5307" s="4" t="s">
        <v>22</v>
      </c>
      <c r="F5307" s="4" t="s">
        <v>27941</v>
      </c>
      <c r="G5307" s="4" t="s">
        <v>27942</v>
      </c>
      <c r="H5307" s="3" t="s">
        <v>26808</v>
      </c>
      <c r="I5307" s="3" t="s">
        <v>11605</v>
      </c>
      <c r="J5307" s="3" t="s">
        <v>27943</v>
      </c>
      <c r="K5307" s="3" t="s">
        <v>27944</v>
      </c>
      <c r="L5307" s="3"/>
      <c r="M5307" s="4"/>
      <c r="N5307" s="3" t="s">
        <v>37</v>
      </c>
      <c r="O5307" s="3" t="s">
        <v>618</v>
      </c>
      <c r="P5307" s="5">
        <v>9</v>
      </c>
      <c r="Q5307" s="5">
        <v>72</v>
      </c>
      <c r="R5307" s="5">
        <v>9</v>
      </c>
      <c r="S5307" s="5">
        <v>71</v>
      </c>
    </row>
    <row r="5308" spans="1:19" ht="56" x14ac:dyDescent="0.15">
      <c r="A5308" s="2">
        <f>HYPERLINK("https://open-school.uspishnemisto.com.ua/school/260241/", 260241)</f>
        <v>260241</v>
      </c>
      <c r="B5308" s="3" t="s">
        <v>27945</v>
      </c>
      <c r="C5308" s="3" t="s">
        <v>54</v>
      </c>
      <c r="D5308" s="3" t="s">
        <v>175</v>
      </c>
      <c r="E5308" s="4" t="s">
        <v>22</v>
      </c>
      <c r="F5308" s="4" t="s">
        <v>27946</v>
      </c>
      <c r="G5308" s="4" t="s">
        <v>27947</v>
      </c>
      <c r="H5308" s="3" t="s">
        <v>26808</v>
      </c>
      <c r="I5308" s="3" t="s">
        <v>27948</v>
      </c>
      <c r="J5308" s="3" t="s">
        <v>27902</v>
      </c>
      <c r="K5308" s="3" t="s">
        <v>27949</v>
      </c>
      <c r="L5308" s="3"/>
      <c r="M5308" s="4"/>
      <c r="N5308" s="3" t="s">
        <v>37</v>
      </c>
      <c r="O5308" s="3" t="s">
        <v>46</v>
      </c>
      <c r="P5308" s="5">
        <v>9</v>
      </c>
      <c r="Q5308" s="5">
        <v>73</v>
      </c>
      <c r="R5308" s="5">
        <v>9</v>
      </c>
      <c r="S5308" s="5">
        <v>80</v>
      </c>
    </row>
    <row r="5309" spans="1:19" ht="42" x14ac:dyDescent="0.15">
      <c r="A5309" s="2">
        <f>HYPERLINK("https://open-school.uspishnemisto.com.ua/school/260242/", 260242)</f>
        <v>260242</v>
      </c>
      <c r="B5309" s="3" t="s">
        <v>27950</v>
      </c>
      <c r="C5309" s="3" t="s">
        <v>31</v>
      </c>
      <c r="D5309" s="3" t="s">
        <v>32</v>
      </c>
      <c r="E5309" s="4" t="s">
        <v>22</v>
      </c>
      <c r="F5309" s="4" t="s">
        <v>27951</v>
      </c>
      <c r="G5309" s="4" t="s">
        <v>27952</v>
      </c>
      <c r="H5309" s="3" t="s">
        <v>26808</v>
      </c>
      <c r="I5309" s="3" t="s">
        <v>27953</v>
      </c>
      <c r="J5309" s="3" t="s">
        <v>27954</v>
      </c>
      <c r="K5309" s="3"/>
      <c r="L5309" s="3"/>
      <c r="M5309" s="4"/>
      <c r="N5309" s="3" t="s">
        <v>37</v>
      </c>
      <c r="O5309" s="3" t="s">
        <v>46</v>
      </c>
      <c r="P5309" s="5">
        <v>11</v>
      </c>
      <c r="Q5309" s="5">
        <v>157</v>
      </c>
      <c r="R5309" s="5">
        <v>11</v>
      </c>
      <c r="S5309" s="5">
        <v>159</v>
      </c>
    </row>
    <row r="5310" spans="1:19" ht="42" x14ac:dyDescent="0.15">
      <c r="A5310" s="2">
        <f>HYPERLINK("https://open-school.uspishnemisto.com.ua/school/260243/", 260243)</f>
        <v>260243</v>
      </c>
      <c r="B5310" s="3" t="s">
        <v>27955</v>
      </c>
      <c r="C5310" s="3" t="s">
        <v>31</v>
      </c>
      <c r="D5310" s="3" t="s">
        <v>32</v>
      </c>
      <c r="E5310" s="4" t="s">
        <v>22</v>
      </c>
      <c r="F5310" s="4" t="s">
        <v>27956</v>
      </c>
      <c r="G5310" s="4" t="s">
        <v>27957</v>
      </c>
      <c r="H5310" s="3" t="s">
        <v>26808</v>
      </c>
      <c r="I5310" s="3" t="s">
        <v>27958</v>
      </c>
      <c r="J5310" s="3" t="s">
        <v>27959</v>
      </c>
      <c r="K5310" s="3" t="s">
        <v>27960</v>
      </c>
      <c r="L5310" s="3"/>
      <c r="M5310" s="4"/>
      <c r="N5310" s="3" t="s">
        <v>37</v>
      </c>
      <c r="O5310" s="3" t="s">
        <v>46</v>
      </c>
      <c r="P5310" s="5">
        <v>10</v>
      </c>
      <c r="Q5310" s="5">
        <v>88</v>
      </c>
      <c r="R5310" s="5">
        <v>11</v>
      </c>
      <c r="S5310" s="5">
        <v>100</v>
      </c>
    </row>
    <row r="5311" spans="1:19" ht="42" x14ac:dyDescent="0.15">
      <c r="A5311" s="2">
        <f>HYPERLINK("https://open-school.uspishnemisto.com.ua/school/260244/", 260244)</f>
        <v>260244</v>
      </c>
      <c r="B5311" s="3" t="s">
        <v>27961</v>
      </c>
      <c r="C5311" s="3" t="s">
        <v>31</v>
      </c>
      <c r="D5311" s="3" t="s">
        <v>32</v>
      </c>
      <c r="E5311" s="4" t="s">
        <v>22</v>
      </c>
      <c r="F5311" s="4" t="s">
        <v>27962</v>
      </c>
      <c r="G5311" s="4" t="s">
        <v>27963</v>
      </c>
      <c r="H5311" s="3" t="s">
        <v>26808</v>
      </c>
      <c r="I5311" s="3" t="s">
        <v>27964</v>
      </c>
      <c r="J5311" s="3" t="s">
        <v>27965</v>
      </c>
      <c r="K5311" s="3" t="s">
        <v>27966</v>
      </c>
      <c r="L5311" s="3"/>
      <c r="M5311" s="4"/>
      <c r="N5311" s="3" t="s">
        <v>37</v>
      </c>
      <c r="O5311" s="3" t="s">
        <v>46</v>
      </c>
      <c r="P5311" s="5">
        <v>10</v>
      </c>
      <c r="Q5311" s="5">
        <v>142</v>
      </c>
      <c r="R5311" s="5">
        <v>11</v>
      </c>
      <c r="S5311" s="5">
        <v>149</v>
      </c>
    </row>
    <row r="5312" spans="1:19" ht="56" x14ac:dyDescent="0.15">
      <c r="A5312" s="2">
        <f>HYPERLINK("https://open-school.uspishnemisto.com.ua/school/260245/", 260245)</f>
        <v>260245</v>
      </c>
      <c r="B5312" s="3" t="s">
        <v>27967</v>
      </c>
      <c r="C5312" s="3" t="s">
        <v>54</v>
      </c>
      <c r="D5312" s="3" t="s">
        <v>175</v>
      </c>
      <c r="E5312" s="4" t="s">
        <v>22</v>
      </c>
      <c r="F5312" s="4" t="s">
        <v>27968</v>
      </c>
      <c r="G5312" s="4" t="s">
        <v>27969</v>
      </c>
      <c r="H5312" s="3" t="s">
        <v>26808</v>
      </c>
      <c r="I5312" s="3" t="s">
        <v>1883</v>
      </c>
      <c r="J5312" s="3" t="s">
        <v>27970</v>
      </c>
      <c r="K5312" s="3" t="s">
        <v>27971</v>
      </c>
      <c r="L5312" s="3"/>
      <c r="M5312" s="4"/>
      <c r="N5312" s="3" t="s">
        <v>37</v>
      </c>
      <c r="O5312" s="3" t="s">
        <v>46</v>
      </c>
      <c r="P5312" s="5">
        <v>6</v>
      </c>
      <c r="Q5312" s="5">
        <v>49</v>
      </c>
      <c r="R5312" s="5">
        <v>6</v>
      </c>
      <c r="S5312" s="5">
        <v>50</v>
      </c>
    </row>
    <row r="5313" spans="1:19" ht="42" x14ac:dyDescent="0.15">
      <c r="A5313" s="2">
        <f>HYPERLINK("https://open-school.uspishnemisto.com.ua/school/260246/", 260246)</f>
        <v>260246</v>
      </c>
      <c r="B5313" s="3" t="s">
        <v>27972</v>
      </c>
      <c r="C5313" s="3" t="s">
        <v>31</v>
      </c>
      <c r="D5313" s="3" t="s">
        <v>32</v>
      </c>
      <c r="E5313" s="4" t="s">
        <v>22</v>
      </c>
      <c r="F5313" s="4" t="s">
        <v>27973</v>
      </c>
      <c r="G5313" s="4" t="s">
        <v>27974</v>
      </c>
      <c r="H5313" s="3" t="s">
        <v>26808</v>
      </c>
      <c r="I5313" s="3" t="s">
        <v>27975</v>
      </c>
      <c r="J5313" s="3" t="s">
        <v>7658</v>
      </c>
      <c r="K5313" s="3" t="s">
        <v>27976</v>
      </c>
      <c r="L5313" s="3"/>
      <c r="M5313" s="4"/>
      <c r="N5313" s="3" t="s">
        <v>37</v>
      </c>
      <c r="O5313" s="3" t="s">
        <v>46</v>
      </c>
      <c r="P5313" s="5">
        <v>9</v>
      </c>
      <c r="Q5313" s="5">
        <v>64</v>
      </c>
      <c r="R5313" s="5">
        <v>9</v>
      </c>
      <c r="S5313" s="5">
        <v>65</v>
      </c>
    </row>
    <row r="5314" spans="1:19" ht="42" x14ac:dyDescent="0.15">
      <c r="A5314" s="2">
        <f>HYPERLINK("https://open-school.uspishnemisto.com.ua/school/260247/", 260247)</f>
        <v>260247</v>
      </c>
      <c r="B5314" s="3" t="s">
        <v>27977</v>
      </c>
      <c r="C5314" s="3" t="s">
        <v>31</v>
      </c>
      <c r="D5314" s="3" t="s">
        <v>175</v>
      </c>
      <c r="E5314" s="4" t="s">
        <v>22</v>
      </c>
      <c r="F5314" s="4" t="s">
        <v>27978</v>
      </c>
      <c r="G5314" s="4" t="s">
        <v>27979</v>
      </c>
      <c r="H5314" s="3" t="s">
        <v>26808</v>
      </c>
      <c r="I5314" s="3" t="s">
        <v>5414</v>
      </c>
      <c r="J5314" s="3" t="s">
        <v>27980</v>
      </c>
      <c r="K5314" s="3" t="s">
        <v>27981</v>
      </c>
      <c r="L5314" s="3"/>
      <c r="M5314" s="4"/>
      <c r="N5314" s="3" t="s">
        <v>37</v>
      </c>
      <c r="O5314" s="3" t="s">
        <v>52</v>
      </c>
      <c r="P5314" s="5">
        <v>8</v>
      </c>
      <c r="Q5314" s="5">
        <v>100</v>
      </c>
      <c r="R5314" s="5">
        <v>8</v>
      </c>
      <c r="S5314" s="5">
        <v>95</v>
      </c>
    </row>
    <row r="5315" spans="1:19" ht="42" x14ac:dyDescent="0.15">
      <c r="A5315" s="2">
        <f>HYPERLINK("https://open-school.uspishnemisto.com.ua/school/260248/", 260248)</f>
        <v>260248</v>
      </c>
      <c r="B5315" s="3" t="s">
        <v>27982</v>
      </c>
      <c r="C5315" s="3" t="s">
        <v>31</v>
      </c>
      <c r="D5315" s="3" t="s">
        <v>32</v>
      </c>
      <c r="E5315" s="4" t="s">
        <v>22</v>
      </c>
      <c r="F5315" s="4" t="s">
        <v>27983</v>
      </c>
      <c r="G5315" s="4" t="s">
        <v>27984</v>
      </c>
      <c r="H5315" s="3" t="s">
        <v>26808</v>
      </c>
      <c r="I5315" s="3" t="s">
        <v>27985</v>
      </c>
      <c r="J5315" s="3" t="s">
        <v>2384</v>
      </c>
      <c r="K5315" s="3" t="s">
        <v>27986</v>
      </c>
      <c r="L5315" s="3"/>
      <c r="M5315" s="4"/>
      <c r="N5315" s="3" t="s">
        <v>37</v>
      </c>
      <c r="O5315" s="3" t="s">
        <v>46</v>
      </c>
      <c r="P5315" s="5">
        <v>13</v>
      </c>
      <c r="Q5315" s="5">
        <v>204</v>
      </c>
      <c r="R5315" s="5">
        <v>13</v>
      </c>
      <c r="S5315" s="5">
        <v>216</v>
      </c>
    </row>
    <row r="5316" spans="1:19" ht="56" x14ac:dyDescent="0.15">
      <c r="A5316" s="2">
        <f>HYPERLINK("https://open-school.uspishnemisto.com.ua/school/260249/", 260249)</f>
        <v>260249</v>
      </c>
      <c r="B5316" s="3" t="s">
        <v>27987</v>
      </c>
      <c r="C5316" s="3" t="s">
        <v>54</v>
      </c>
      <c r="D5316" s="3" t="s">
        <v>32</v>
      </c>
      <c r="E5316" s="4" t="s">
        <v>22</v>
      </c>
      <c r="F5316" s="4" t="s">
        <v>27988</v>
      </c>
      <c r="G5316" s="4" t="s">
        <v>27989</v>
      </c>
      <c r="H5316" s="3" t="s">
        <v>26808</v>
      </c>
      <c r="I5316" s="3" t="s">
        <v>27990</v>
      </c>
      <c r="J5316" s="3" t="s">
        <v>27991</v>
      </c>
      <c r="K5316" s="3" t="s">
        <v>27992</v>
      </c>
      <c r="L5316" s="3"/>
      <c r="M5316" s="4"/>
      <c r="N5316" s="3" t="s">
        <v>37</v>
      </c>
      <c r="O5316" s="3" t="s">
        <v>46</v>
      </c>
      <c r="P5316" s="5">
        <v>11</v>
      </c>
      <c r="Q5316" s="5">
        <v>107</v>
      </c>
      <c r="R5316" s="5">
        <v>11</v>
      </c>
      <c r="S5316" s="5">
        <v>112</v>
      </c>
    </row>
    <row r="5317" spans="1:19" ht="56" x14ac:dyDescent="0.15">
      <c r="A5317" s="2">
        <f>HYPERLINK("https://open-school.uspishnemisto.com.ua/school/260250/", 260250)</f>
        <v>260250</v>
      </c>
      <c r="B5317" s="3" t="s">
        <v>27993</v>
      </c>
      <c r="C5317" s="3" t="s">
        <v>54</v>
      </c>
      <c r="D5317" s="3" t="s">
        <v>32</v>
      </c>
      <c r="E5317" s="4" t="s">
        <v>22</v>
      </c>
      <c r="F5317" s="4" t="s">
        <v>27994</v>
      </c>
      <c r="G5317" s="4" t="s">
        <v>27995</v>
      </c>
      <c r="H5317" s="3" t="s">
        <v>26808</v>
      </c>
      <c r="I5317" s="3" t="s">
        <v>27996</v>
      </c>
      <c r="J5317" s="3" t="s">
        <v>3839</v>
      </c>
      <c r="K5317" s="3" t="s">
        <v>27997</v>
      </c>
      <c r="L5317" s="3"/>
      <c r="M5317" s="4"/>
      <c r="N5317" s="3" t="s">
        <v>37</v>
      </c>
      <c r="O5317" s="3" t="s">
        <v>52</v>
      </c>
      <c r="P5317" s="5">
        <v>11</v>
      </c>
      <c r="Q5317" s="5">
        <v>91</v>
      </c>
      <c r="R5317" s="5">
        <v>11</v>
      </c>
      <c r="S5317" s="5">
        <v>97</v>
      </c>
    </row>
    <row r="5318" spans="1:19" ht="42" x14ac:dyDescent="0.15">
      <c r="A5318" s="2">
        <f>HYPERLINK("https://open-school.uspishnemisto.com.ua/school/260251/", 260251)</f>
        <v>260251</v>
      </c>
      <c r="B5318" s="3" t="s">
        <v>27998</v>
      </c>
      <c r="C5318" s="3" t="s">
        <v>31</v>
      </c>
      <c r="D5318" s="3" t="s">
        <v>32</v>
      </c>
      <c r="E5318" s="4" t="s">
        <v>22</v>
      </c>
      <c r="F5318" s="4" t="s">
        <v>27999</v>
      </c>
      <c r="G5318" s="4" t="s">
        <v>28000</v>
      </c>
      <c r="H5318" s="3" t="s">
        <v>26808</v>
      </c>
      <c r="I5318" s="3" t="s">
        <v>1456</v>
      </c>
      <c r="J5318" s="3" t="s">
        <v>28001</v>
      </c>
      <c r="K5318" s="3" t="s">
        <v>28002</v>
      </c>
      <c r="L5318" s="3"/>
      <c r="M5318" s="4"/>
      <c r="N5318" s="3" t="s">
        <v>37</v>
      </c>
      <c r="O5318" s="3" t="s">
        <v>52</v>
      </c>
      <c r="P5318" s="5">
        <v>16</v>
      </c>
      <c r="Q5318" s="5">
        <v>296</v>
      </c>
      <c r="R5318" s="5">
        <v>16</v>
      </c>
      <c r="S5318" s="5">
        <v>290</v>
      </c>
    </row>
    <row r="5319" spans="1:19" ht="42" x14ac:dyDescent="0.15">
      <c r="A5319" s="2">
        <f>HYPERLINK("https://open-school.uspishnemisto.com.ua/school/260252/", 260252)</f>
        <v>260252</v>
      </c>
      <c r="B5319" s="3" t="s">
        <v>28003</v>
      </c>
      <c r="C5319" s="3" t="s">
        <v>31</v>
      </c>
      <c r="D5319" s="3" t="s">
        <v>32</v>
      </c>
      <c r="E5319" s="4" t="s">
        <v>22</v>
      </c>
      <c r="F5319" s="4" t="s">
        <v>28004</v>
      </c>
      <c r="G5319" s="4" t="s">
        <v>28005</v>
      </c>
      <c r="H5319" s="3" t="s">
        <v>26808</v>
      </c>
      <c r="I5319" s="3" t="s">
        <v>28006</v>
      </c>
      <c r="J5319" s="3" t="s">
        <v>28007</v>
      </c>
      <c r="K5319" s="3" t="s">
        <v>28008</v>
      </c>
      <c r="L5319" s="3"/>
      <c r="M5319" s="4"/>
      <c r="N5319" s="3" t="s">
        <v>37</v>
      </c>
      <c r="O5319" s="3" t="s">
        <v>46</v>
      </c>
      <c r="P5319" s="5">
        <v>15</v>
      </c>
      <c r="Q5319" s="5">
        <v>305</v>
      </c>
      <c r="R5319" s="5">
        <v>17</v>
      </c>
      <c r="S5319" s="5">
        <v>327</v>
      </c>
    </row>
    <row r="5320" spans="1:19" ht="42" x14ac:dyDescent="0.15">
      <c r="A5320" s="2">
        <f>HYPERLINK("https://open-school.uspishnemisto.com.ua/school/260253/", 260253)</f>
        <v>260253</v>
      </c>
      <c r="B5320" s="3" t="s">
        <v>28009</v>
      </c>
      <c r="C5320" s="3" t="s">
        <v>40</v>
      </c>
      <c r="D5320" s="3" t="s">
        <v>32</v>
      </c>
      <c r="E5320" s="4" t="s">
        <v>22</v>
      </c>
      <c r="F5320" s="4" t="s">
        <v>28010</v>
      </c>
      <c r="G5320" s="4" t="s">
        <v>28011</v>
      </c>
      <c r="H5320" s="3" t="s">
        <v>26808</v>
      </c>
      <c r="I5320" s="3" t="s">
        <v>16193</v>
      </c>
      <c r="J5320" s="3" t="s">
        <v>28012</v>
      </c>
      <c r="K5320" s="3" t="s">
        <v>28013</v>
      </c>
      <c r="L5320" s="3"/>
      <c r="M5320" s="4"/>
      <c r="N5320" s="3" t="s">
        <v>37</v>
      </c>
      <c r="O5320" s="3" t="s">
        <v>52</v>
      </c>
      <c r="P5320" s="5">
        <v>12</v>
      </c>
      <c r="Q5320" s="5">
        <v>237</v>
      </c>
      <c r="R5320" s="5">
        <v>12</v>
      </c>
      <c r="S5320" s="5">
        <v>257</v>
      </c>
    </row>
    <row r="5321" spans="1:19" ht="42" x14ac:dyDescent="0.15">
      <c r="A5321" s="2">
        <f>HYPERLINK("https://open-school.uspishnemisto.com.ua/school/260254/", 260254)</f>
        <v>260254</v>
      </c>
      <c r="B5321" s="3" t="s">
        <v>28014</v>
      </c>
      <c r="C5321" s="3" t="s">
        <v>20</v>
      </c>
      <c r="D5321" s="3" t="s">
        <v>21</v>
      </c>
      <c r="E5321" s="4" t="s">
        <v>22</v>
      </c>
      <c r="F5321" s="4" t="s">
        <v>28010</v>
      </c>
      <c r="G5321" s="4" t="s">
        <v>28011</v>
      </c>
      <c r="H5321" s="3" t="s">
        <v>26808</v>
      </c>
      <c r="I5321" s="3" t="s">
        <v>16193</v>
      </c>
      <c r="J5321" s="3" t="s">
        <v>28015</v>
      </c>
      <c r="K5321" s="3" t="s">
        <v>28016</v>
      </c>
      <c r="L5321" s="3"/>
      <c r="M5321" s="4"/>
      <c r="N5321" s="3"/>
      <c r="O5321" s="3"/>
      <c r="P5321" s="5">
        <v>0</v>
      </c>
      <c r="Q5321" s="5">
        <v>0</v>
      </c>
      <c r="R5321" s="5"/>
      <c r="S5321" s="5"/>
    </row>
    <row r="5322" spans="1:19" ht="42" x14ac:dyDescent="0.15">
      <c r="A5322" s="2">
        <f>HYPERLINK("https://open-school.uspishnemisto.com.ua/school/260255/", 260255)</f>
        <v>260255</v>
      </c>
      <c r="B5322" s="3" t="s">
        <v>28017</v>
      </c>
      <c r="C5322" s="3" t="s">
        <v>31</v>
      </c>
      <c r="D5322" s="3" t="s">
        <v>32</v>
      </c>
      <c r="E5322" s="4" t="s">
        <v>22</v>
      </c>
      <c r="F5322" s="4" t="s">
        <v>28010</v>
      </c>
      <c r="G5322" s="4" t="s">
        <v>28011</v>
      </c>
      <c r="H5322" s="3" t="s">
        <v>26808</v>
      </c>
      <c r="I5322" s="3" t="s">
        <v>16193</v>
      </c>
      <c r="J5322" s="3" t="s">
        <v>28018</v>
      </c>
      <c r="K5322" s="3" t="s">
        <v>28019</v>
      </c>
      <c r="L5322" s="3" t="s">
        <v>28020</v>
      </c>
      <c r="M5322" s="4"/>
      <c r="N5322" s="3" t="s">
        <v>37</v>
      </c>
      <c r="O5322" s="3" t="s">
        <v>46</v>
      </c>
      <c r="P5322" s="5">
        <v>22</v>
      </c>
      <c r="Q5322" s="5">
        <v>595</v>
      </c>
      <c r="R5322" s="5">
        <v>22</v>
      </c>
      <c r="S5322" s="5">
        <v>595</v>
      </c>
    </row>
    <row r="5323" spans="1:19" ht="42" x14ac:dyDescent="0.15">
      <c r="A5323" s="2">
        <f>HYPERLINK("https://open-school.uspishnemisto.com.ua/school/260256/", 260256)</f>
        <v>260256</v>
      </c>
      <c r="B5323" s="3" t="s">
        <v>28021</v>
      </c>
      <c r="C5323" s="3" t="s">
        <v>31</v>
      </c>
      <c r="D5323" s="3" t="s">
        <v>32</v>
      </c>
      <c r="E5323" s="4" t="s">
        <v>22</v>
      </c>
      <c r="F5323" s="4" t="s">
        <v>28010</v>
      </c>
      <c r="G5323" s="4" t="s">
        <v>28011</v>
      </c>
      <c r="H5323" s="3" t="s">
        <v>26808</v>
      </c>
      <c r="I5323" s="3" t="s">
        <v>16193</v>
      </c>
      <c r="J5323" s="3" t="s">
        <v>28022</v>
      </c>
      <c r="K5323" s="3" t="s">
        <v>28023</v>
      </c>
      <c r="L5323" s="3" t="s">
        <v>28024</v>
      </c>
      <c r="M5323" s="4"/>
      <c r="N5323" s="3" t="s">
        <v>37</v>
      </c>
      <c r="O5323" s="3" t="s">
        <v>52</v>
      </c>
      <c r="P5323" s="5">
        <v>11</v>
      </c>
      <c r="Q5323" s="5">
        <v>210</v>
      </c>
      <c r="R5323" s="5">
        <v>11</v>
      </c>
      <c r="S5323" s="5">
        <v>214</v>
      </c>
    </row>
    <row r="5324" spans="1:19" ht="42" x14ac:dyDescent="0.15">
      <c r="A5324" s="2">
        <f>HYPERLINK("https://open-school.uspishnemisto.com.ua/school/260257/", 260257)</f>
        <v>260257</v>
      </c>
      <c r="B5324" s="3" t="s">
        <v>28025</v>
      </c>
      <c r="C5324" s="3" t="s">
        <v>31</v>
      </c>
      <c r="D5324" s="3" t="s">
        <v>32</v>
      </c>
      <c r="E5324" s="4" t="s">
        <v>22</v>
      </c>
      <c r="F5324" s="4" t="s">
        <v>28026</v>
      </c>
      <c r="G5324" s="4" t="s">
        <v>28011</v>
      </c>
      <c r="H5324" s="3" t="s">
        <v>26808</v>
      </c>
      <c r="I5324" s="3" t="s">
        <v>16193</v>
      </c>
      <c r="J5324" s="3" t="s">
        <v>28027</v>
      </c>
      <c r="K5324" s="3" t="s">
        <v>28028</v>
      </c>
      <c r="L5324" s="3" t="s">
        <v>28029</v>
      </c>
      <c r="M5324" s="4"/>
      <c r="N5324" s="3" t="s">
        <v>37</v>
      </c>
      <c r="O5324" s="3" t="s">
        <v>237</v>
      </c>
      <c r="P5324" s="5">
        <v>21</v>
      </c>
      <c r="Q5324" s="5">
        <v>500</v>
      </c>
      <c r="R5324" s="5">
        <v>21</v>
      </c>
      <c r="S5324" s="5">
        <v>509</v>
      </c>
    </row>
    <row r="5325" spans="1:19" ht="42" x14ac:dyDescent="0.15">
      <c r="A5325" s="2">
        <f>HYPERLINK("https://open-school.uspishnemisto.com.ua/school/260258/", 260258)</f>
        <v>260258</v>
      </c>
      <c r="B5325" s="3" t="s">
        <v>28030</v>
      </c>
      <c r="C5325" s="3" t="s">
        <v>244</v>
      </c>
      <c r="D5325" s="3" t="s">
        <v>32</v>
      </c>
      <c r="E5325" s="4" t="s">
        <v>22</v>
      </c>
      <c r="F5325" s="4" t="s">
        <v>28026</v>
      </c>
      <c r="G5325" s="4" t="s">
        <v>28011</v>
      </c>
      <c r="H5325" s="3" t="s">
        <v>26808</v>
      </c>
      <c r="I5325" s="3" t="s">
        <v>16193</v>
      </c>
      <c r="J5325" s="3" t="s">
        <v>28031</v>
      </c>
      <c r="K5325" s="3" t="s">
        <v>28032</v>
      </c>
      <c r="L5325" s="3"/>
      <c r="M5325" s="4"/>
      <c r="N5325" s="3" t="s">
        <v>37</v>
      </c>
      <c r="O5325" s="3" t="s">
        <v>237</v>
      </c>
      <c r="P5325" s="5">
        <v>30</v>
      </c>
      <c r="Q5325" s="5">
        <v>783</v>
      </c>
      <c r="R5325" s="5">
        <v>29</v>
      </c>
      <c r="S5325" s="5">
        <v>730</v>
      </c>
    </row>
    <row r="5326" spans="1:19" ht="42" x14ac:dyDescent="0.15">
      <c r="A5326" s="2">
        <f>HYPERLINK("https://open-school.uspishnemisto.com.ua/school/260259/", 260259)</f>
        <v>260259</v>
      </c>
      <c r="B5326" s="3" t="s">
        <v>28033</v>
      </c>
      <c r="C5326" s="3" t="s">
        <v>4989</v>
      </c>
      <c r="D5326" s="3" t="s">
        <v>32</v>
      </c>
      <c r="E5326" s="4" t="s">
        <v>22</v>
      </c>
      <c r="F5326" s="4" t="s">
        <v>28010</v>
      </c>
      <c r="G5326" s="4" t="s">
        <v>28011</v>
      </c>
      <c r="H5326" s="3" t="s">
        <v>26808</v>
      </c>
      <c r="I5326" s="3" t="s">
        <v>16193</v>
      </c>
      <c r="J5326" s="3" t="s">
        <v>28034</v>
      </c>
      <c r="K5326" s="3" t="s">
        <v>28035</v>
      </c>
      <c r="L5326" s="3"/>
      <c r="M5326" s="4" t="s">
        <v>28036</v>
      </c>
      <c r="N5326" s="3" t="s">
        <v>37</v>
      </c>
      <c r="O5326" s="3" t="s">
        <v>237</v>
      </c>
      <c r="P5326" s="5">
        <v>26</v>
      </c>
      <c r="Q5326" s="5">
        <v>608</v>
      </c>
      <c r="R5326" s="5">
        <v>25</v>
      </c>
      <c r="S5326" s="5">
        <v>621</v>
      </c>
    </row>
    <row r="5327" spans="1:19" ht="42" x14ac:dyDescent="0.15">
      <c r="A5327" s="2">
        <f>HYPERLINK("https://open-school.uspishnemisto.com.ua/school/260260/", 260260)</f>
        <v>260260</v>
      </c>
      <c r="B5327" s="3" t="s">
        <v>28037</v>
      </c>
      <c r="C5327" s="3" t="s">
        <v>293</v>
      </c>
      <c r="D5327" s="3"/>
      <c r="E5327" s="4" t="s">
        <v>22</v>
      </c>
      <c r="F5327" s="4" t="s">
        <v>28010</v>
      </c>
      <c r="G5327" s="4" t="s">
        <v>28011</v>
      </c>
      <c r="H5327" s="3" t="s">
        <v>26808</v>
      </c>
      <c r="I5327" s="3" t="s">
        <v>16193</v>
      </c>
      <c r="J5327" s="3" t="s">
        <v>28038</v>
      </c>
      <c r="K5327" s="3" t="s">
        <v>28039</v>
      </c>
      <c r="L5327" s="3"/>
      <c r="M5327" s="4" t="s">
        <v>28040</v>
      </c>
      <c r="N5327" s="3"/>
      <c r="O5327" s="3"/>
      <c r="P5327" s="5">
        <v>0</v>
      </c>
      <c r="Q5327" s="5">
        <v>0</v>
      </c>
      <c r="R5327" s="5"/>
      <c r="S5327" s="5"/>
    </row>
    <row r="5328" spans="1:19" ht="42" x14ac:dyDescent="0.15">
      <c r="A5328" s="2">
        <f>HYPERLINK("https://open-school.uspishnemisto.com.ua/school/260261/", 260261)</f>
        <v>260261</v>
      </c>
      <c r="B5328" s="3" t="s">
        <v>28041</v>
      </c>
      <c r="C5328" s="3" t="s">
        <v>7651</v>
      </c>
      <c r="D5328" s="3" t="s">
        <v>32</v>
      </c>
      <c r="E5328" s="4" t="s">
        <v>22</v>
      </c>
      <c r="F5328" s="4" t="s">
        <v>28010</v>
      </c>
      <c r="G5328" s="4" t="s">
        <v>28011</v>
      </c>
      <c r="H5328" s="3" t="s">
        <v>26808</v>
      </c>
      <c r="I5328" s="3" t="s">
        <v>16193</v>
      </c>
      <c r="J5328" s="3" t="s">
        <v>28042</v>
      </c>
      <c r="K5328" s="3" t="s">
        <v>28043</v>
      </c>
      <c r="L5328" s="3"/>
      <c r="M5328" s="4" t="s">
        <v>28044</v>
      </c>
      <c r="N5328" s="3"/>
      <c r="O5328" s="3"/>
      <c r="P5328" s="5">
        <v>0</v>
      </c>
      <c r="Q5328" s="5">
        <v>0</v>
      </c>
      <c r="R5328" s="5"/>
      <c r="S5328" s="5"/>
    </row>
    <row r="5329" spans="1:19" ht="42" x14ac:dyDescent="0.15">
      <c r="A5329" s="2">
        <f>HYPERLINK("https://open-school.uspishnemisto.com.ua/school/260262/", 260262)</f>
        <v>260262</v>
      </c>
      <c r="B5329" s="3" t="s">
        <v>28045</v>
      </c>
      <c r="C5329" s="3" t="s">
        <v>54</v>
      </c>
      <c r="D5329" s="3" t="s">
        <v>60</v>
      </c>
      <c r="E5329" s="4" t="s">
        <v>22</v>
      </c>
      <c r="F5329" s="4" t="s">
        <v>28046</v>
      </c>
      <c r="G5329" s="4" t="s">
        <v>28011</v>
      </c>
      <c r="H5329" s="3" t="s">
        <v>26808</v>
      </c>
      <c r="I5329" s="3" t="s">
        <v>16193</v>
      </c>
      <c r="J5329" s="3" t="s">
        <v>28047</v>
      </c>
      <c r="K5329" s="3" t="s">
        <v>28048</v>
      </c>
      <c r="L5329" s="3" t="s">
        <v>28049</v>
      </c>
      <c r="M5329" s="4"/>
      <c r="N5329" s="3" t="s">
        <v>37</v>
      </c>
      <c r="O5329" s="3" t="s">
        <v>52</v>
      </c>
      <c r="P5329" s="5">
        <v>8</v>
      </c>
      <c r="Q5329" s="5">
        <v>144</v>
      </c>
      <c r="R5329" s="5">
        <v>8</v>
      </c>
      <c r="S5329" s="5">
        <v>150</v>
      </c>
    </row>
    <row r="5330" spans="1:19" ht="42" x14ac:dyDescent="0.15">
      <c r="A5330" s="2">
        <f>HYPERLINK("https://open-school.uspishnemisto.com.ua/school/260263/", 260263)</f>
        <v>260263</v>
      </c>
      <c r="B5330" s="3" t="s">
        <v>28050</v>
      </c>
      <c r="C5330" s="3" t="s">
        <v>188</v>
      </c>
      <c r="D5330" s="3" t="s">
        <v>32</v>
      </c>
      <c r="E5330" s="4" t="s">
        <v>22</v>
      </c>
      <c r="F5330" s="4" t="s">
        <v>28010</v>
      </c>
      <c r="G5330" s="4" t="s">
        <v>28011</v>
      </c>
      <c r="H5330" s="3" t="s">
        <v>26808</v>
      </c>
      <c r="I5330" s="3" t="s">
        <v>16193</v>
      </c>
      <c r="J5330" s="3" t="s">
        <v>28051</v>
      </c>
      <c r="K5330" s="3" t="s">
        <v>28052</v>
      </c>
      <c r="L5330" s="3"/>
      <c r="M5330" s="4"/>
      <c r="N5330" s="3" t="s">
        <v>37</v>
      </c>
      <c r="O5330" s="3" t="s">
        <v>237</v>
      </c>
      <c r="P5330" s="5">
        <v>12</v>
      </c>
      <c r="Q5330" s="5">
        <v>288</v>
      </c>
      <c r="R5330" s="5">
        <v>12</v>
      </c>
      <c r="S5330" s="5">
        <v>284</v>
      </c>
    </row>
    <row r="5331" spans="1:19" ht="42" x14ac:dyDescent="0.15">
      <c r="A5331" s="2">
        <f>HYPERLINK("https://open-school.uspishnemisto.com.ua/school/260264/", 260264)</f>
        <v>260264</v>
      </c>
      <c r="B5331" s="3" t="s">
        <v>28053</v>
      </c>
      <c r="C5331" s="3" t="s">
        <v>31</v>
      </c>
      <c r="D5331" s="3" t="s">
        <v>32</v>
      </c>
      <c r="E5331" s="4" t="s">
        <v>22</v>
      </c>
      <c r="F5331" s="4" t="s">
        <v>28054</v>
      </c>
      <c r="G5331" s="4" t="s">
        <v>28055</v>
      </c>
      <c r="H5331" s="3" t="s">
        <v>26808</v>
      </c>
      <c r="I5331" s="3" t="s">
        <v>28056</v>
      </c>
      <c r="J5331" s="3" t="s">
        <v>28057</v>
      </c>
      <c r="K5331" s="3" t="s">
        <v>28058</v>
      </c>
      <c r="L5331" s="3" t="s">
        <v>28059</v>
      </c>
      <c r="M5331" s="4"/>
      <c r="N5331" s="3" t="s">
        <v>37</v>
      </c>
      <c r="O5331" s="3" t="s">
        <v>139</v>
      </c>
      <c r="P5331" s="5">
        <v>23</v>
      </c>
      <c r="Q5331" s="5">
        <v>554</v>
      </c>
      <c r="R5331" s="5">
        <v>23</v>
      </c>
      <c r="S5331" s="5">
        <v>551</v>
      </c>
    </row>
    <row r="5332" spans="1:19" ht="42" x14ac:dyDescent="0.15">
      <c r="A5332" s="2">
        <f>HYPERLINK("https://open-school.uspishnemisto.com.ua/school/260265/", 260265)</f>
        <v>260265</v>
      </c>
      <c r="B5332" s="3" t="s">
        <v>28060</v>
      </c>
      <c r="C5332" s="3" t="s">
        <v>181</v>
      </c>
      <c r="D5332" s="3" t="s">
        <v>32</v>
      </c>
      <c r="E5332" s="4" t="s">
        <v>22</v>
      </c>
      <c r="F5332" s="4" t="s">
        <v>28054</v>
      </c>
      <c r="G5332" s="4" t="s">
        <v>28055</v>
      </c>
      <c r="H5332" s="3" t="s">
        <v>26808</v>
      </c>
      <c r="I5332" s="3" t="s">
        <v>28056</v>
      </c>
      <c r="J5332" s="3" t="s">
        <v>28061</v>
      </c>
      <c r="K5332" s="3" t="s">
        <v>28062</v>
      </c>
      <c r="L5332" s="3" t="s">
        <v>28063</v>
      </c>
      <c r="M5332" s="4" t="s">
        <v>28064</v>
      </c>
      <c r="N5332" s="3" t="s">
        <v>37</v>
      </c>
      <c r="O5332" s="3" t="s">
        <v>52</v>
      </c>
      <c r="P5332" s="5">
        <v>9</v>
      </c>
      <c r="Q5332" s="5">
        <v>94</v>
      </c>
      <c r="R5332" s="5">
        <v>10</v>
      </c>
      <c r="S5332" s="5">
        <v>85</v>
      </c>
    </row>
    <row r="5333" spans="1:19" ht="42" x14ac:dyDescent="0.15">
      <c r="A5333" s="2">
        <f>HYPERLINK("https://open-school.uspishnemisto.com.ua/school/260266/", 260266)</f>
        <v>260266</v>
      </c>
      <c r="B5333" s="3" t="s">
        <v>28065</v>
      </c>
      <c r="C5333" s="3" t="s">
        <v>31</v>
      </c>
      <c r="D5333" s="3" t="s">
        <v>175</v>
      </c>
      <c r="E5333" s="4" t="s">
        <v>22</v>
      </c>
      <c r="F5333" s="4" t="s">
        <v>28066</v>
      </c>
      <c r="G5333" s="4" t="s">
        <v>28067</v>
      </c>
      <c r="H5333" s="3" t="s">
        <v>26808</v>
      </c>
      <c r="I5333" s="3" t="s">
        <v>28068</v>
      </c>
      <c r="J5333" s="3" t="s">
        <v>25480</v>
      </c>
      <c r="K5333" s="3" t="s">
        <v>28069</v>
      </c>
      <c r="L5333" s="3" t="s">
        <v>28070</v>
      </c>
      <c r="M5333" s="4"/>
      <c r="N5333" s="3" t="s">
        <v>37</v>
      </c>
      <c r="O5333" s="3" t="s">
        <v>46</v>
      </c>
      <c r="P5333" s="5">
        <v>7</v>
      </c>
      <c r="Q5333" s="5">
        <v>44</v>
      </c>
      <c r="R5333" s="5">
        <v>8</v>
      </c>
      <c r="S5333" s="5">
        <v>54</v>
      </c>
    </row>
    <row r="5334" spans="1:19" ht="56" x14ac:dyDescent="0.15">
      <c r="A5334" s="2">
        <f>HYPERLINK("https://open-school.uspishnemisto.com.ua/school/260267/", 260267)</f>
        <v>260267</v>
      </c>
      <c r="B5334" s="3" t="s">
        <v>28071</v>
      </c>
      <c r="C5334" s="3" t="s">
        <v>54</v>
      </c>
      <c r="D5334" s="3" t="s">
        <v>32</v>
      </c>
      <c r="E5334" s="4" t="s">
        <v>22</v>
      </c>
      <c r="F5334" s="4" t="s">
        <v>28072</v>
      </c>
      <c r="G5334" s="4" t="s">
        <v>28073</v>
      </c>
      <c r="H5334" s="3" t="s">
        <v>26808</v>
      </c>
      <c r="I5334" s="3" t="s">
        <v>28074</v>
      </c>
      <c r="J5334" s="3" t="s">
        <v>28075</v>
      </c>
      <c r="K5334" s="3" t="s">
        <v>28076</v>
      </c>
      <c r="L5334" s="3" t="s">
        <v>28077</v>
      </c>
      <c r="M5334" s="4"/>
      <c r="N5334" s="3" t="s">
        <v>37</v>
      </c>
      <c r="O5334" s="3" t="s">
        <v>46</v>
      </c>
      <c r="P5334" s="5">
        <v>11</v>
      </c>
      <c r="Q5334" s="5">
        <v>277</v>
      </c>
      <c r="R5334" s="5">
        <v>11</v>
      </c>
      <c r="S5334" s="5">
        <v>263</v>
      </c>
    </row>
    <row r="5335" spans="1:19" ht="42" x14ac:dyDescent="0.15">
      <c r="A5335" s="2">
        <f>HYPERLINK("https://open-school.uspishnemisto.com.ua/school/260268/", 260268)</f>
        <v>260268</v>
      </c>
      <c r="B5335" s="3" t="s">
        <v>28078</v>
      </c>
      <c r="C5335" s="3" t="s">
        <v>31</v>
      </c>
      <c r="D5335" s="3" t="s">
        <v>32</v>
      </c>
      <c r="E5335" s="4" t="s">
        <v>22</v>
      </c>
      <c r="F5335" s="4" t="s">
        <v>28079</v>
      </c>
      <c r="G5335" s="4" t="s">
        <v>28080</v>
      </c>
      <c r="H5335" s="3" t="s">
        <v>26808</v>
      </c>
      <c r="I5335" s="3" t="s">
        <v>28081</v>
      </c>
      <c r="J5335" s="3" t="s">
        <v>28082</v>
      </c>
      <c r="K5335" s="3" t="s">
        <v>28083</v>
      </c>
      <c r="L5335" s="3"/>
      <c r="M5335" s="4"/>
      <c r="N5335" s="3" t="s">
        <v>37</v>
      </c>
      <c r="O5335" s="3" t="s">
        <v>46</v>
      </c>
      <c r="P5335" s="5">
        <v>11</v>
      </c>
      <c r="Q5335" s="5">
        <v>190</v>
      </c>
      <c r="R5335" s="5">
        <v>11</v>
      </c>
      <c r="S5335" s="5">
        <v>198</v>
      </c>
    </row>
    <row r="5336" spans="1:19" ht="42" x14ac:dyDescent="0.15">
      <c r="A5336" s="2">
        <f>HYPERLINK("https://open-school.uspishnemisto.com.ua/school/260269/", 260269)</f>
        <v>260269</v>
      </c>
      <c r="B5336" s="3" t="s">
        <v>28084</v>
      </c>
      <c r="C5336" s="3" t="s">
        <v>31</v>
      </c>
      <c r="D5336" s="3" t="s">
        <v>32</v>
      </c>
      <c r="E5336" s="4" t="s">
        <v>22</v>
      </c>
      <c r="F5336" s="4" t="s">
        <v>28085</v>
      </c>
      <c r="G5336" s="4" t="s">
        <v>28086</v>
      </c>
      <c r="H5336" s="3" t="s">
        <v>26808</v>
      </c>
      <c r="I5336" s="3" t="s">
        <v>28087</v>
      </c>
      <c r="J5336" s="3" t="s">
        <v>28088</v>
      </c>
      <c r="K5336" s="3" t="s">
        <v>28089</v>
      </c>
      <c r="L5336" s="3"/>
      <c r="M5336" s="4"/>
      <c r="N5336" s="3" t="s">
        <v>37</v>
      </c>
      <c r="O5336" s="3" t="s">
        <v>46</v>
      </c>
      <c r="P5336" s="5">
        <v>11</v>
      </c>
      <c r="Q5336" s="5">
        <v>111</v>
      </c>
      <c r="R5336" s="5">
        <v>11</v>
      </c>
      <c r="S5336" s="5">
        <v>113</v>
      </c>
    </row>
    <row r="5337" spans="1:19" ht="42" x14ac:dyDescent="0.15">
      <c r="A5337" s="2">
        <f>HYPERLINK("https://open-school.uspishnemisto.com.ua/school/260270/", 260270)</f>
        <v>260270</v>
      </c>
      <c r="B5337" s="3" t="s">
        <v>28090</v>
      </c>
      <c r="C5337" s="3" t="s">
        <v>31</v>
      </c>
      <c r="D5337" s="3" t="s">
        <v>32</v>
      </c>
      <c r="E5337" s="4" t="s">
        <v>22</v>
      </c>
      <c r="F5337" s="4" t="s">
        <v>28091</v>
      </c>
      <c r="G5337" s="4" t="s">
        <v>28092</v>
      </c>
      <c r="H5337" s="3" t="s">
        <v>26808</v>
      </c>
      <c r="I5337" s="3" t="s">
        <v>18944</v>
      </c>
      <c r="J5337" s="3" t="s">
        <v>28093</v>
      </c>
      <c r="K5337" s="3" t="s">
        <v>28094</v>
      </c>
      <c r="L5337" s="3"/>
      <c r="M5337" s="4"/>
      <c r="N5337" s="3" t="s">
        <v>37</v>
      </c>
      <c r="O5337" s="3" t="s">
        <v>46</v>
      </c>
      <c r="P5337" s="5">
        <v>11</v>
      </c>
      <c r="Q5337" s="5">
        <v>167</v>
      </c>
      <c r="R5337" s="5">
        <v>10</v>
      </c>
      <c r="S5337" s="5">
        <v>162</v>
      </c>
    </row>
    <row r="5338" spans="1:19" ht="42" x14ac:dyDescent="0.15">
      <c r="A5338" s="2">
        <f>HYPERLINK("https://open-school.uspishnemisto.com.ua/school/260271/", 260271)</f>
        <v>260271</v>
      </c>
      <c r="B5338" s="3" t="s">
        <v>28095</v>
      </c>
      <c r="C5338" s="3" t="s">
        <v>31</v>
      </c>
      <c r="D5338" s="3" t="s">
        <v>32</v>
      </c>
      <c r="E5338" s="4" t="s">
        <v>22</v>
      </c>
      <c r="F5338" s="4" t="s">
        <v>28096</v>
      </c>
      <c r="G5338" s="4" t="s">
        <v>28097</v>
      </c>
      <c r="H5338" s="3" t="s">
        <v>26808</v>
      </c>
      <c r="I5338" s="3" t="s">
        <v>28098</v>
      </c>
      <c r="J5338" s="3" t="s">
        <v>28099</v>
      </c>
      <c r="K5338" s="3" t="s">
        <v>28100</v>
      </c>
      <c r="L5338" s="3"/>
      <c r="M5338" s="4"/>
      <c r="N5338" s="3" t="s">
        <v>37</v>
      </c>
      <c r="O5338" s="3" t="s">
        <v>46</v>
      </c>
      <c r="P5338" s="5">
        <v>11</v>
      </c>
      <c r="Q5338" s="5">
        <v>100</v>
      </c>
      <c r="R5338" s="5">
        <v>11</v>
      </c>
      <c r="S5338" s="5">
        <v>102</v>
      </c>
    </row>
    <row r="5339" spans="1:19" ht="42" x14ac:dyDescent="0.15">
      <c r="A5339" s="2">
        <f>HYPERLINK("https://open-school.uspishnemisto.com.ua/school/260272/", 260272)</f>
        <v>260272</v>
      </c>
      <c r="B5339" s="3" t="s">
        <v>28101</v>
      </c>
      <c r="C5339" s="3" t="s">
        <v>31</v>
      </c>
      <c r="D5339" s="3" t="s">
        <v>32</v>
      </c>
      <c r="E5339" s="4" t="s">
        <v>22</v>
      </c>
      <c r="F5339" s="4" t="s">
        <v>28102</v>
      </c>
      <c r="G5339" s="4" t="s">
        <v>28103</v>
      </c>
      <c r="H5339" s="3" t="s">
        <v>26808</v>
      </c>
      <c r="I5339" s="3" t="s">
        <v>28104</v>
      </c>
      <c r="J5339" s="3" t="s">
        <v>27802</v>
      </c>
      <c r="K5339" s="3" t="s">
        <v>28105</v>
      </c>
      <c r="L5339" s="3"/>
      <c r="M5339" s="4"/>
      <c r="N5339" s="3" t="s">
        <v>37</v>
      </c>
      <c r="O5339" s="3" t="s">
        <v>46</v>
      </c>
      <c r="P5339" s="5">
        <v>17</v>
      </c>
      <c r="Q5339" s="5">
        <v>325</v>
      </c>
      <c r="R5339" s="5">
        <v>16</v>
      </c>
      <c r="S5339" s="5">
        <v>326</v>
      </c>
    </row>
    <row r="5340" spans="1:19" ht="56" x14ac:dyDescent="0.15">
      <c r="A5340" s="2">
        <f>HYPERLINK("https://open-school.uspishnemisto.com.ua/school/260273/", 260273)</f>
        <v>260273</v>
      </c>
      <c r="B5340" s="3" t="s">
        <v>28106</v>
      </c>
      <c r="C5340" s="3" t="s">
        <v>54</v>
      </c>
      <c r="D5340" s="3" t="s">
        <v>175</v>
      </c>
      <c r="E5340" s="4" t="s">
        <v>22</v>
      </c>
      <c r="F5340" s="4" t="s">
        <v>28107</v>
      </c>
      <c r="G5340" s="4" t="s">
        <v>28108</v>
      </c>
      <c r="H5340" s="3" t="s">
        <v>26808</v>
      </c>
      <c r="I5340" s="3" t="s">
        <v>28109</v>
      </c>
      <c r="J5340" s="3" t="s">
        <v>28110</v>
      </c>
      <c r="K5340" s="3" t="s">
        <v>28111</v>
      </c>
      <c r="L5340" s="3"/>
      <c r="M5340" s="4"/>
      <c r="N5340" s="3" t="s">
        <v>37</v>
      </c>
      <c r="O5340" s="3" t="s">
        <v>46</v>
      </c>
      <c r="P5340" s="5">
        <v>9</v>
      </c>
      <c r="Q5340" s="5">
        <v>182</v>
      </c>
      <c r="R5340" s="5">
        <v>9</v>
      </c>
      <c r="S5340" s="5">
        <v>178</v>
      </c>
    </row>
    <row r="5341" spans="1:19" ht="42" x14ac:dyDescent="0.15">
      <c r="A5341" s="2">
        <f>HYPERLINK("https://open-school.uspishnemisto.com.ua/school/260274/", 260274)</f>
        <v>260274</v>
      </c>
      <c r="B5341" s="3" t="s">
        <v>28112</v>
      </c>
      <c r="C5341" s="3" t="s">
        <v>31</v>
      </c>
      <c r="D5341" s="3" t="s">
        <v>175</v>
      </c>
      <c r="E5341" s="4" t="s">
        <v>22</v>
      </c>
      <c r="F5341" s="4" t="s">
        <v>28113</v>
      </c>
      <c r="G5341" s="4" t="s">
        <v>28114</v>
      </c>
      <c r="H5341" s="3" t="s">
        <v>26808</v>
      </c>
      <c r="I5341" s="3" t="s">
        <v>28115</v>
      </c>
      <c r="J5341" s="3" t="s">
        <v>28116</v>
      </c>
      <c r="K5341" s="3" t="s">
        <v>28117</v>
      </c>
      <c r="L5341" s="3"/>
      <c r="M5341" s="4"/>
      <c r="N5341" s="3" t="s">
        <v>37</v>
      </c>
      <c r="O5341" s="3" t="s">
        <v>52</v>
      </c>
      <c r="P5341" s="5">
        <v>13</v>
      </c>
      <c r="Q5341" s="5">
        <v>152</v>
      </c>
      <c r="R5341" s="5">
        <v>12</v>
      </c>
      <c r="S5341" s="5">
        <v>152</v>
      </c>
    </row>
    <row r="5342" spans="1:19" ht="42" x14ac:dyDescent="0.15">
      <c r="A5342" s="2">
        <f>HYPERLINK("https://open-school.uspishnemisto.com.ua/school/260275/", 260275)</f>
        <v>260275</v>
      </c>
      <c r="B5342" s="3" t="s">
        <v>28118</v>
      </c>
      <c r="C5342" s="3" t="s">
        <v>54</v>
      </c>
      <c r="D5342" s="3" t="s">
        <v>32</v>
      </c>
      <c r="E5342" s="4" t="s">
        <v>22</v>
      </c>
      <c r="F5342" s="4" t="s">
        <v>28119</v>
      </c>
      <c r="G5342" s="4" t="s">
        <v>28120</v>
      </c>
      <c r="H5342" s="3" t="s">
        <v>26808</v>
      </c>
      <c r="I5342" s="3" t="s">
        <v>28121</v>
      </c>
      <c r="J5342" s="3" t="s">
        <v>28122</v>
      </c>
      <c r="K5342" s="3" t="s">
        <v>28123</v>
      </c>
      <c r="L5342" s="3"/>
      <c r="M5342" s="4"/>
      <c r="N5342" s="3" t="s">
        <v>37</v>
      </c>
      <c r="O5342" s="3" t="s">
        <v>46</v>
      </c>
      <c r="P5342" s="5">
        <v>11</v>
      </c>
      <c r="Q5342" s="5">
        <v>105</v>
      </c>
      <c r="R5342" s="5">
        <v>11</v>
      </c>
      <c r="S5342" s="5">
        <v>110</v>
      </c>
    </row>
    <row r="5343" spans="1:19" ht="42" x14ac:dyDescent="0.15">
      <c r="A5343" s="2">
        <f>HYPERLINK("https://open-school.uspishnemisto.com.ua/school/260276/", 260276)</f>
        <v>260276</v>
      </c>
      <c r="B5343" s="3" t="s">
        <v>28124</v>
      </c>
      <c r="C5343" s="3" t="s">
        <v>31</v>
      </c>
      <c r="D5343" s="3" t="s">
        <v>32</v>
      </c>
      <c r="E5343" s="4" t="s">
        <v>22</v>
      </c>
      <c r="F5343" s="4" t="s">
        <v>28125</v>
      </c>
      <c r="G5343" s="4" t="s">
        <v>28126</v>
      </c>
      <c r="H5343" s="3" t="s">
        <v>26808</v>
      </c>
      <c r="I5343" s="3" t="s">
        <v>28127</v>
      </c>
      <c r="J5343" s="3" t="s">
        <v>28128</v>
      </c>
      <c r="K5343" s="3" t="s">
        <v>28129</v>
      </c>
      <c r="L5343" s="3"/>
      <c r="M5343" s="4"/>
      <c r="N5343" s="3" t="s">
        <v>37</v>
      </c>
      <c r="O5343" s="3" t="s">
        <v>46</v>
      </c>
      <c r="P5343" s="5">
        <v>11</v>
      </c>
      <c r="Q5343" s="5">
        <v>121</v>
      </c>
      <c r="R5343" s="5">
        <v>11</v>
      </c>
      <c r="S5343" s="5">
        <v>119</v>
      </c>
    </row>
    <row r="5344" spans="1:19" ht="42" x14ac:dyDescent="0.15">
      <c r="A5344" s="2">
        <f>HYPERLINK("https://open-school.uspishnemisto.com.ua/school/260277/", 260277)</f>
        <v>260277</v>
      </c>
      <c r="B5344" s="3" t="s">
        <v>28130</v>
      </c>
      <c r="C5344" s="3" t="s">
        <v>31</v>
      </c>
      <c r="D5344" s="3" t="s">
        <v>60</v>
      </c>
      <c r="E5344" s="4" t="s">
        <v>22</v>
      </c>
      <c r="F5344" s="4" t="s">
        <v>28131</v>
      </c>
      <c r="G5344" s="4" t="s">
        <v>28132</v>
      </c>
      <c r="H5344" s="3" t="s">
        <v>26808</v>
      </c>
      <c r="I5344" s="3" t="s">
        <v>2296</v>
      </c>
      <c r="J5344" s="3" t="s">
        <v>28133</v>
      </c>
      <c r="K5344" s="3" t="s">
        <v>28134</v>
      </c>
      <c r="L5344" s="3"/>
      <c r="M5344" s="4"/>
      <c r="N5344" s="3" t="s">
        <v>37</v>
      </c>
      <c r="O5344" s="3" t="s">
        <v>52</v>
      </c>
      <c r="P5344" s="5">
        <v>1</v>
      </c>
      <c r="Q5344" s="5">
        <v>10</v>
      </c>
      <c r="R5344" s="5">
        <v>1</v>
      </c>
      <c r="S5344" s="5">
        <v>9</v>
      </c>
    </row>
    <row r="5345" spans="1:19" ht="42" x14ac:dyDescent="0.15">
      <c r="A5345" s="2">
        <f>HYPERLINK("https://open-school.uspishnemisto.com.ua/school/260278/", 260278)</f>
        <v>260278</v>
      </c>
      <c r="B5345" s="3" t="s">
        <v>28135</v>
      </c>
      <c r="C5345" s="3" t="s">
        <v>31</v>
      </c>
      <c r="D5345" s="3" t="s">
        <v>175</v>
      </c>
      <c r="E5345" s="4" t="s">
        <v>22</v>
      </c>
      <c r="F5345" s="4" t="s">
        <v>28136</v>
      </c>
      <c r="G5345" s="4" t="s">
        <v>28137</v>
      </c>
      <c r="H5345" s="3" t="s">
        <v>26808</v>
      </c>
      <c r="I5345" s="3" t="s">
        <v>28138</v>
      </c>
      <c r="J5345" s="3" t="s">
        <v>28139</v>
      </c>
      <c r="K5345" s="3" t="s">
        <v>28140</v>
      </c>
      <c r="L5345" s="3"/>
      <c r="M5345" s="4"/>
      <c r="N5345" s="3" t="s">
        <v>37</v>
      </c>
      <c r="O5345" s="3" t="s">
        <v>52</v>
      </c>
      <c r="P5345" s="5">
        <v>9</v>
      </c>
      <c r="Q5345" s="5">
        <v>77</v>
      </c>
      <c r="R5345" s="5">
        <v>9</v>
      </c>
      <c r="S5345" s="5">
        <v>81</v>
      </c>
    </row>
    <row r="5346" spans="1:19" ht="42" x14ac:dyDescent="0.15">
      <c r="A5346" s="2">
        <f>HYPERLINK("https://open-school.uspishnemisto.com.ua/school/260279/", 260279)</f>
        <v>260279</v>
      </c>
      <c r="B5346" s="3" t="s">
        <v>28141</v>
      </c>
      <c r="C5346" s="3" t="s">
        <v>54</v>
      </c>
      <c r="D5346" s="3" t="s">
        <v>175</v>
      </c>
      <c r="E5346" s="4" t="s">
        <v>22</v>
      </c>
      <c r="F5346" s="4" t="s">
        <v>28142</v>
      </c>
      <c r="G5346" s="4" t="s">
        <v>28143</v>
      </c>
      <c r="H5346" s="3" t="s">
        <v>26808</v>
      </c>
      <c r="I5346" s="3" t="s">
        <v>28144</v>
      </c>
      <c r="J5346" s="3"/>
      <c r="K5346" s="3" t="s">
        <v>28145</v>
      </c>
      <c r="L5346" s="3"/>
      <c r="M5346" s="4"/>
      <c r="N5346" s="3" t="s">
        <v>37</v>
      </c>
      <c r="O5346" s="3" t="s">
        <v>52</v>
      </c>
      <c r="P5346" s="5">
        <v>9</v>
      </c>
      <c r="Q5346" s="5">
        <v>72</v>
      </c>
      <c r="R5346" s="5">
        <v>9</v>
      </c>
      <c r="S5346" s="5">
        <v>74</v>
      </c>
    </row>
    <row r="5347" spans="1:19" ht="42" x14ac:dyDescent="0.15">
      <c r="A5347" s="2">
        <f>HYPERLINK("https://open-school.uspishnemisto.com.ua/school/260280/", 260280)</f>
        <v>260280</v>
      </c>
      <c r="B5347" s="3" t="s">
        <v>28146</v>
      </c>
      <c r="C5347" s="3" t="s">
        <v>31</v>
      </c>
      <c r="D5347" s="3" t="s">
        <v>32</v>
      </c>
      <c r="E5347" s="4" t="s">
        <v>22</v>
      </c>
      <c r="F5347" s="4" t="s">
        <v>28147</v>
      </c>
      <c r="G5347" s="4" t="s">
        <v>28148</v>
      </c>
      <c r="H5347" s="3" t="s">
        <v>26808</v>
      </c>
      <c r="I5347" s="3" t="s">
        <v>28149</v>
      </c>
      <c r="J5347" s="3" t="s">
        <v>28150</v>
      </c>
      <c r="K5347" s="3" t="s">
        <v>28151</v>
      </c>
      <c r="L5347" s="3"/>
      <c r="M5347" s="4"/>
      <c r="N5347" s="3" t="s">
        <v>37</v>
      </c>
      <c r="O5347" s="3" t="s">
        <v>139</v>
      </c>
      <c r="P5347" s="5">
        <v>10</v>
      </c>
      <c r="Q5347" s="5">
        <v>127</v>
      </c>
      <c r="R5347" s="5">
        <v>11</v>
      </c>
      <c r="S5347" s="5">
        <v>142</v>
      </c>
    </row>
    <row r="5348" spans="1:19" ht="42" x14ac:dyDescent="0.15">
      <c r="A5348" s="2">
        <f>HYPERLINK("https://open-school.uspishnemisto.com.ua/school/260281/", 260281)</f>
        <v>260281</v>
      </c>
      <c r="B5348" s="3" t="s">
        <v>28152</v>
      </c>
      <c r="C5348" s="3" t="s">
        <v>54</v>
      </c>
      <c r="D5348" s="3" t="s">
        <v>60</v>
      </c>
      <c r="E5348" s="4" t="s">
        <v>22</v>
      </c>
      <c r="F5348" s="4" t="s">
        <v>28147</v>
      </c>
      <c r="G5348" s="4" t="s">
        <v>28148</v>
      </c>
      <c r="H5348" s="3" t="s">
        <v>26808</v>
      </c>
      <c r="I5348" s="3" t="s">
        <v>28149</v>
      </c>
      <c r="J5348" s="3" t="s">
        <v>16570</v>
      </c>
      <c r="K5348" s="3" t="s">
        <v>28153</v>
      </c>
      <c r="L5348" s="3"/>
      <c r="M5348" s="4"/>
      <c r="N5348" s="3" t="s">
        <v>37</v>
      </c>
      <c r="O5348" s="3" t="s">
        <v>52</v>
      </c>
      <c r="P5348" s="5">
        <v>4</v>
      </c>
      <c r="Q5348" s="5">
        <v>24</v>
      </c>
      <c r="R5348" s="5">
        <v>4</v>
      </c>
      <c r="S5348" s="5">
        <v>25</v>
      </c>
    </row>
    <row r="5349" spans="1:19" ht="42" x14ac:dyDescent="0.15">
      <c r="A5349" s="2">
        <f>HYPERLINK("https://open-school.uspishnemisto.com.ua/school/260282/", 260282)</f>
        <v>260282</v>
      </c>
      <c r="B5349" s="3" t="s">
        <v>28154</v>
      </c>
      <c r="C5349" s="3" t="s">
        <v>31</v>
      </c>
      <c r="D5349" s="3" t="s">
        <v>175</v>
      </c>
      <c r="E5349" s="4" t="s">
        <v>22</v>
      </c>
      <c r="F5349" s="4" t="s">
        <v>28155</v>
      </c>
      <c r="G5349" s="4" t="s">
        <v>28156</v>
      </c>
      <c r="H5349" s="3" t="s">
        <v>26808</v>
      </c>
      <c r="I5349" s="3" t="s">
        <v>28157</v>
      </c>
      <c r="J5349" s="3" t="s">
        <v>1360</v>
      </c>
      <c r="K5349" s="3" t="s">
        <v>28158</v>
      </c>
      <c r="L5349" s="3"/>
      <c r="M5349" s="4"/>
      <c r="N5349" s="3" t="s">
        <v>37</v>
      </c>
      <c r="O5349" s="3" t="s">
        <v>52</v>
      </c>
      <c r="P5349" s="5">
        <v>9</v>
      </c>
      <c r="Q5349" s="5">
        <v>105</v>
      </c>
      <c r="R5349" s="5">
        <v>9</v>
      </c>
      <c r="S5349" s="5">
        <v>109</v>
      </c>
    </row>
    <row r="5350" spans="1:19" ht="42" x14ac:dyDescent="0.15">
      <c r="A5350" s="2">
        <f>HYPERLINK("https://open-school.uspishnemisto.com.ua/school/260283/", 260283)</f>
        <v>260283</v>
      </c>
      <c r="B5350" s="3" t="s">
        <v>28159</v>
      </c>
      <c r="C5350" s="3" t="s">
        <v>31</v>
      </c>
      <c r="D5350" s="3" t="s">
        <v>32</v>
      </c>
      <c r="E5350" s="4" t="s">
        <v>22</v>
      </c>
      <c r="F5350" s="4" t="s">
        <v>28160</v>
      </c>
      <c r="G5350" s="4" t="s">
        <v>28161</v>
      </c>
      <c r="H5350" s="3" t="s">
        <v>26808</v>
      </c>
      <c r="I5350" s="3" t="s">
        <v>28162</v>
      </c>
      <c r="J5350" s="3" t="s">
        <v>466</v>
      </c>
      <c r="K5350" s="3" t="s">
        <v>28163</v>
      </c>
      <c r="L5350" s="3"/>
      <c r="M5350" s="4"/>
      <c r="N5350" s="3" t="s">
        <v>37</v>
      </c>
      <c r="O5350" s="3" t="s">
        <v>52</v>
      </c>
      <c r="P5350" s="5">
        <v>11</v>
      </c>
      <c r="Q5350" s="5">
        <v>140</v>
      </c>
      <c r="R5350" s="5">
        <v>11</v>
      </c>
      <c r="S5350" s="5">
        <v>135</v>
      </c>
    </row>
    <row r="5351" spans="1:19" ht="42" x14ac:dyDescent="0.15">
      <c r="A5351" s="2">
        <f>HYPERLINK("https://open-school.uspishnemisto.com.ua/school/260284/", 260284)</f>
        <v>260284</v>
      </c>
      <c r="B5351" s="3" t="s">
        <v>28164</v>
      </c>
      <c r="C5351" s="3" t="s">
        <v>54</v>
      </c>
      <c r="D5351" s="3" t="s">
        <v>175</v>
      </c>
      <c r="E5351" s="4" t="s">
        <v>22</v>
      </c>
      <c r="F5351" s="4" t="s">
        <v>28165</v>
      </c>
      <c r="G5351" s="4" t="s">
        <v>28166</v>
      </c>
      <c r="H5351" s="3" t="s">
        <v>26808</v>
      </c>
      <c r="I5351" s="3" t="s">
        <v>28167</v>
      </c>
      <c r="J5351" s="3" t="s">
        <v>6191</v>
      </c>
      <c r="K5351" s="3" t="s">
        <v>28168</v>
      </c>
      <c r="L5351" s="3"/>
      <c r="M5351" s="4"/>
      <c r="N5351" s="3" t="s">
        <v>37</v>
      </c>
      <c r="O5351" s="3" t="s">
        <v>46</v>
      </c>
      <c r="P5351" s="5">
        <v>8</v>
      </c>
      <c r="Q5351" s="5">
        <v>91</v>
      </c>
      <c r="R5351" s="5">
        <v>8</v>
      </c>
      <c r="S5351" s="5">
        <v>90</v>
      </c>
    </row>
    <row r="5352" spans="1:19" ht="42" x14ac:dyDescent="0.15">
      <c r="A5352" s="2">
        <f>HYPERLINK("https://open-school.uspishnemisto.com.ua/school/260285/", 260285)</f>
        <v>260285</v>
      </c>
      <c r="B5352" s="3" t="s">
        <v>28169</v>
      </c>
      <c r="C5352" s="3" t="s">
        <v>54</v>
      </c>
      <c r="D5352" s="3" t="s">
        <v>175</v>
      </c>
      <c r="E5352" s="4" t="s">
        <v>22</v>
      </c>
      <c r="F5352" s="4" t="s">
        <v>28170</v>
      </c>
      <c r="G5352" s="4" t="s">
        <v>28171</v>
      </c>
      <c r="H5352" s="3" t="s">
        <v>26808</v>
      </c>
      <c r="I5352" s="3" t="s">
        <v>28172</v>
      </c>
      <c r="J5352" s="3" t="s">
        <v>21364</v>
      </c>
      <c r="K5352" s="3" t="s">
        <v>28173</v>
      </c>
      <c r="L5352" s="3"/>
      <c r="M5352" s="4"/>
      <c r="N5352" s="3" t="s">
        <v>37</v>
      </c>
      <c r="O5352" s="3" t="s">
        <v>52</v>
      </c>
      <c r="P5352" s="5">
        <v>9</v>
      </c>
      <c r="Q5352" s="5">
        <v>94</v>
      </c>
      <c r="R5352" s="5">
        <v>9</v>
      </c>
      <c r="S5352" s="5">
        <v>87</v>
      </c>
    </row>
    <row r="5353" spans="1:19" ht="42" x14ac:dyDescent="0.15">
      <c r="A5353" s="2">
        <f>HYPERLINK("https://open-school.uspishnemisto.com.ua/school/260286/", 260286)</f>
        <v>260286</v>
      </c>
      <c r="B5353" s="3" t="s">
        <v>28174</v>
      </c>
      <c r="C5353" s="3" t="s">
        <v>31</v>
      </c>
      <c r="D5353" s="3" t="s">
        <v>175</v>
      </c>
      <c r="E5353" s="4" t="s">
        <v>22</v>
      </c>
      <c r="F5353" s="4" t="s">
        <v>28175</v>
      </c>
      <c r="G5353" s="4" t="s">
        <v>28176</v>
      </c>
      <c r="H5353" s="3" t="s">
        <v>26808</v>
      </c>
      <c r="I5353" s="3" t="s">
        <v>28177</v>
      </c>
      <c r="J5353" s="3" t="s">
        <v>28178</v>
      </c>
      <c r="K5353" s="3" t="s">
        <v>28179</v>
      </c>
      <c r="L5353" s="3"/>
      <c r="M5353" s="4"/>
      <c r="N5353" s="3" t="s">
        <v>37</v>
      </c>
      <c r="O5353" s="3" t="s">
        <v>52</v>
      </c>
      <c r="P5353" s="5">
        <v>9</v>
      </c>
      <c r="Q5353" s="5">
        <v>105</v>
      </c>
      <c r="R5353" s="5">
        <v>9</v>
      </c>
      <c r="S5353" s="5">
        <v>100</v>
      </c>
    </row>
    <row r="5354" spans="1:19" ht="70" x14ac:dyDescent="0.15">
      <c r="A5354" s="2">
        <f>HYPERLINK("https://open-school.uspishnemisto.com.ua/school/260287/", 260287)</f>
        <v>260287</v>
      </c>
      <c r="B5354" s="3" t="s">
        <v>28180</v>
      </c>
      <c r="C5354" s="3" t="s">
        <v>54</v>
      </c>
      <c r="D5354" s="3" t="s">
        <v>175</v>
      </c>
      <c r="E5354" s="4" t="s">
        <v>22</v>
      </c>
      <c r="F5354" s="4" t="s">
        <v>28181</v>
      </c>
      <c r="G5354" s="4" t="s">
        <v>28182</v>
      </c>
      <c r="H5354" s="3" t="s">
        <v>26808</v>
      </c>
      <c r="I5354" s="3" t="s">
        <v>28183</v>
      </c>
      <c r="J5354" s="3" t="s">
        <v>5256</v>
      </c>
      <c r="K5354" s="3" t="s">
        <v>28184</v>
      </c>
      <c r="L5354" s="3" t="s">
        <v>28185</v>
      </c>
      <c r="M5354" s="4"/>
      <c r="N5354" s="3" t="s">
        <v>37</v>
      </c>
      <c r="O5354" s="3" t="s">
        <v>46</v>
      </c>
      <c r="P5354" s="5">
        <v>8</v>
      </c>
      <c r="Q5354" s="5">
        <v>77</v>
      </c>
      <c r="R5354" s="5">
        <v>8</v>
      </c>
      <c r="S5354" s="5">
        <v>84</v>
      </c>
    </row>
    <row r="5355" spans="1:19" ht="42" x14ac:dyDescent="0.15">
      <c r="A5355" s="2">
        <f>HYPERLINK("https://open-school.uspishnemisto.com.ua/school/260288/", 260288)</f>
        <v>260288</v>
      </c>
      <c r="B5355" s="3" t="s">
        <v>28186</v>
      </c>
      <c r="C5355" s="3" t="s">
        <v>31</v>
      </c>
      <c r="D5355" s="3" t="s">
        <v>60</v>
      </c>
      <c r="E5355" s="4" t="s">
        <v>22</v>
      </c>
      <c r="F5355" s="4" t="s">
        <v>28181</v>
      </c>
      <c r="G5355" s="4" t="s">
        <v>28187</v>
      </c>
      <c r="H5355" s="3" t="s">
        <v>26808</v>
      </c>
      <c r="I5355" s="3" t="s">
        <v>28188</v>
      </c>
      <c r="J5355" s="3" t="s">
        <v>18837</v>
      </c>
      <c r="K5355" s="3" t="s">
        <v>28189</v>
      </c>
      <c r="L5355" s="3"/>
      <c r="M5355" s="4"/>
      <c r="N5355" s="3" t="s">
        <v>37</v>
      </c>
      <c r="O5355" s="3" t="s">
        <v>52</v>
      </c>
      <c r="P5355" s="5">
        <v>0</v>
      </c>
      <c r="Q5355" s="5">
        <v>7</v>
      </c>
      <c r="R5355" s="5">
        <v>0</v>
      </c>
      <c r="S5355" s="5">
        <v>7</v>
      </c>
    </row>
    <row r="5356" spans="1:19" ht="42" x14ac:dyDescent="0.15">
      <c r="A5356" s="2">
        <f>HYPERLINK("https://open-school.uspishnemisto.com.ua/school/260289/", 260289)</f>
        <v>260289</v>
      </c>
      <c r="B5356" s="3" t="s">
        <v>28190</v>
      </c>
      <c r="C5356" s="3" t="s">
        <v>31</v>
      </c>
      <c r="D5356" s="3" t="s">
        <v>60</v>
      </c>
      <c r="E5356" s="4" t="s">
        <v>22</v>
      </c>
      <c r="F5356" s="4" t="s">
        <v>28181</v>
      </c>
      <c r="G5356" s="4" t="s">
        <v>28191</v>
      </c>
      <c r="H5356" s="3" t="s">
        <v>26808</v>
      </c>
      <c r="I5356" s="3" t="s">
        <v>28192</v>
      </c>
      <c r="J5356" s="3" t="s">
        <v>28193</v>
      </c>
      <c r="K5356" s="3" t="s">
        <v>28194</v>
      </c>
      <c r="L5356" s="3"/>
      <c r="M5356" s="4"/>
      <c r="N5356" s="3" t="s">
        <v>37</v>
      </c>
      <c r="O5356" s="3" t="s">
        <v>618</v>
      </c>
      <c r="P5356" s="5">
        <v>0</v>
      </c>
      <c r="Q5356" s="5">
        <v>6</v>
      </c>
      <c r="R5356" s="5">
        <v>0</v>
      </c>
      <c r="S5356" s="5">
        <v>6</v>
      </c>
    </row>
    <row r="5357" spans="1:19" ht="42" x14ac:dyDescent="0.15">
      <c r="A5357" s="2">
        <f>HYPERLINK("https://open-school.uspishnemisto.com.ua/school/260290/", 260290)</f>
        <v>260290</v>
      </c>
      <c r="B5357" s="3" t="s">
        <v>28195</v>
      </c>
      <c r="C5357" s="3" t="s">
        <v>31</v>
      </c>
      <c r="D5357" s="3" t="s">
        <v>32</v>
      </c>
      <c r="E5357" s="4" t="s">
        <v>22</v>
      </c>
      <c r="F5357" s="4" t="s">
        <v>28196</v>
      </c>
      <c r="G5357" s="4" t="s">
        <v>28197</v>
      </c>
      <c r="H5357" s="3" t="s">
        <v>26808</v>
      </c>
      <c r="I5357" s="3" t="s">
        <v>28198</v>
      </c>
      <c r="J5357" s="3" t="s">
        <v>16914</v>
      </c>
      <c r="K5357" s="3" t="s">
        <v>28199</v>
      </c>
      <c r="L5357" s="3" t="s">
        <v>28200</v>
      </c>
      <c r="M5357" s="4"/>
      <c r="N5357" s="3" t="s">
        <v>37</v>
      </c>
      <c r="O5357" s="3" t="s">
        <v>46</v>
      </c>
      <c r="P5357" s="5">
        <v>11</v>
      </c>
      <c r="Q5357" s="5">
        <v>172</v>
      </c>
      <c r="R5357" s="5">
        <v>11</v>
      </c>
      <c r="S5357" s="5">
        <v>160</v>
      </c>
    </row>
    <row r="5358" spans="1:19" ht="42" x14ac:dyDescent="0.15">
      <c r="A5358" s="2">
        <f>HYPERLINK("https://open-school.uspishnemisto.com.ua/school/260291/", 260291)</f>
        <v>260291</v>
      </c>
      <c r="B5358" s="3" t="s">
        <v>28201</v>
      </c>
      <c r="C5358" s="3" t="s">
        <v>31</v>
      </c>
      <c r="D5358" s="3" t="s">
        <v>60</v>
      </c>
      <c r="E5358" s="4" t="s">
        <v>22</v>
      </c>
      <c r="F5358" s="4" t="s">
        <v>28170</v>
      </c>
      <c r="G5358" s="4" t="s">
        <v>28202</v>
      </c>
      <c r="H5358" s="3" t="s">
        <v>26808</v>
      </c>
      <c r="I5358" s="3" t="s">
        <v>28203</v>
      </c>
      <c r="J5358" s="3" t="s">
        <v>2757</v>
      </c>
      <c r="K5358" s="3" t="s">
        <v>28204</v>
      </c>
      <c r="L5358" s="3"/>
      <c r="M5358" s="4"/>
      <c r="N5358" s="3" t="s">
        <v>37</v>
      </c>
      <c r="O5358" s="3" t="s">
        <v>52</v>
      </c>
      <c r="P5358" s="5">
        <v>4</v>
      </c>
      <c r="Q5358" s="5">
        <v>35</v>
      </c>
      <c r="R5358" s="5">
        <v>4</v>
      </c>
      <c r="S5358" s="5">
        <v>34</v>
      </c>
    </row>
    <row r="5359" spans="1:19" ht="70" x14ac:dyDescent="0.15">
      <c r="A5359" s="2">
        <f>HYPERLINK("https://open-school.uspishnemisto.com.ua/school/260292/", 260292)</f>
        <v>260292</v>
      </c>
      <c r="B5359" s="3" t="s">
        <v>28205</v>
      </c>
      <c r="C5359" s="3" t="s">
        <v>31</v>
      </c>
      <c r="D5359" s="3" t="s">
        <v>60</v>
      </c>
      <c r="E5359" s="4" t="s">
        <v>22</v>
      </c>
      <c r="F5359" s="4" t="s">
        <v>28206</v>
      </c>
      <c r="G5359" s="4" t="s">
        <v>28207</v>
      </c>
      <c r="H5359" s="3" t="s">
        <v>26808</v>
      </c>
      <c r="I5359" s="3" t="s">
        <v>28208</v>
      </c>
      <c r="J5359" s="3" t="s">
        <v>28209</v>
      </c>
      <c r="K5359" s="3" t="s">
        <v>28210</v>
      </c>
      <c r="L5359" s="3"/>
      <c r="M5359" s="4"/>
      <c r="N5359" s="3" t="s">
        <v>37</v>
      </c>
      <c r="O5359" s="3" t="s">
        <v>52</v>
      </c>
      <c r="P5359" s="5">
        <v>4</v>
      </c>
      <c r="Q5359" s="5">
        <v>43</v>
      </c>
      <c r="R5359" s="5">
        <v>4</v>
      </c>
      <c r="S5359" s="5">
        <v>33</v>
      </c>
    </row>
    <row r="5360" spans="1:19" ht="42" x14ac:dyDescent="0.15">
      <c r="A5360" s="2">
        <f>HYPERLINK("https://open-school.uspishnemisto.com.ua/school/260293/", 260293)</f>
        <v>260293</v>
      </c>
      <c r="B5360" s="3" t="s">
        <v>28211</v>
      </c>
      <c r="C5360" s="3" t="s">
        <v>31</v>
      </c>
      <c r="D5360" s="3" t="s">
        <v>175</v>
      </c>
      <c r="E5360" s="4" t="s">
        <v>22</v>
      </c>
      <c r="F5360" s="4" t="s">
        <v>28206</v>
      </c>
      <c r="G5360" s="4" t="s">
        <v>28212</v>
      </c>
      <c r="H5360" s="3" t="s">
        <v>26808</v>
      </c>
      <c r="I5360" s="3" t="s">
        <v>28213</v>
      </c>
      <c r="J5360" s="3" t="s">
        <v>28214</v>
      </c>
      <c r="K5360" s="3" t="s">
        <v>28215</v>
      </c>
      <c r="L5360" s="3" t="s">
        <v>28216</v>
      </c>
      <c r="M5360" s="4"/>
      <c r="N5360" s="3" t="s">
        <v>37</v>
      </c>
      <c r="O5360" s="3" t="s">
        <v>46</v>
      </c>
      <c r="P5360" s="5">
        <v>9</v>
      </c>
      <c r="Q5360" s="5">
        <v>162</v>
      </c>
      <c r="R5360" s="5">
        <v>9</v>
      </c>
      <c r="S5360" s="5">
        <v>159</v>
      </c>
    </row>
    <row r="5361" spans="1:19" ht="42" x14ac:dyDescent="0.15">
      <c r="A5361" s="2">
        <f>HYPERLINK("https://open-school.uspishnemisto.com.ua/school/260294/", 260294)</f>
        <v>260294</v>
      </c>
      <c r="B5361" s="3" t="s">
        <v>28217</v>
      </c>
      <c r="C5361" s="3" t="s">
        <v>31</v>
      </c>
      <c r="D5361" s="3" t="s">
        <v>32</v>
      </c>
      <c r="E5361" s="4" t="s">
        <v>22</v>
      </c>
      <c r="F5361" s="4" t="s">
        <v>28218</v>
      </c>
      <c r="G5361" s="4" t="s">
        <v>28219</v>
      </c>
      <c r="H5361" s="3" t="s">
        <v>26808</v>
      </c>
      <c r="I5361" s="3" t="s">
        <v>28220</v>
      </c>
      <c r="J5361" s="3" t="s">
        <v>28221</v>
      </c>
      <c r="K5361" s="3" t="s">
        <v>28222</v>
      </c>
      <c r="L5361" s="3" t="s">
        <v>28223</v>
      </c>
      <c r="M5361" s="4"/>
      <c r="N5361" s="3" t="s">
        <v>37</v>
      </c>
      <c r="O5361" s="3" t="s">
        <v>52</v>
      </c>
      <c r="P5361" s="5">
        <v>17</v>
      </c>
      <c r="Q5361" s="5">
        <v>284</v>
      </c>
      <c r="R5361" s="5">
        <v>17</v>
      </c>
      <c r="S5361" s="5">
        <v>280</v>
      </c>
    </row>
    <row r="5362" spans="1:19" ht="42" x14ac:dyDescent="0.15">
      <c r="A5362" s="2">
        <f>HYPERLINK("https://open-school.uspishnemisto.com.ua/school/260295/", 260295)</f>
        <v>260295</v>
      </c>
      <c r="B5362" s="3" t="s">
        <v>28224</v>
      </c>
      <c r="C5362" s="3" t="s">
        <v>31</v>
      </c>
      <c r="D5362" s="3" t="s">
        <v>60</v>
      </c>
      <c r="E5362" s="4" t="s">
        <v>22</v>
      </c>
      <c r="F5362" s="4" t="s">
        <v>28218</v>
      </c>
      <c r="G5362" s="4" t="s">
        <v>28225</v>
      </c>
      <c r="H5362" s="3" t="s">
        <v>26808</v>
      </c>
      <c r="I5362" s="3" t="s">
        <v>28226</v>
      </c>
      <c r="J5362" s="3" t="s">
        <v>3440</v>
      </c>
      <c r="K5362" s="3" t="s">
        <v>28227</v>
      </c>
      <c r="L5362" s="3"/>
      <c r="M5362" s="4"/>
      <c r="N5362" s="3" t="s">
        <v>37</v>
      </c>
      <c r="O5362" s="3" t="s">
        <v>52</v>
      </c>
      <c r="P5362" s="5">
        <v>2</v>
      </c>
      <c r="Q5362" s="5">
        <v>12</v>
      </c>
      <c r="R5362" s="5">
        <v>1</v>
      </c>
      <c r="S5362" s="5">
        <v>10</v>
      </c>
    </row>
    <row r="5363" spans="1:19" ht="42" x14ac:dyDescent="0.15">
      <c r="A5363" s="2">
        <f>HYPERLINK("https://open-school.uspishnemisto.com.ua/school/260296/", 260296)</f>
        <v>260296</v>
      </c>
      <c r="B5363" s="3" t="s">
        <v>28228</v>
      </c>
      <c r="C5363" s="3" t="s">
        <v>31</v>
      </c>
      <c r="D5363" s="3" t="s">
        <v>32</v>
      </c>
      <c r="E5363" s="4" t="s">
        <v>22</v>
      </c>
      <c r="F5363" s="4" t="s">
        <v>28229</v>
      </c>
      <c r="G5363" s="4" t="s">
        <v>28230</v>
      </c>
      <c r="H5363" s="3" t="s">
        <v>26808</v>
      </c>
      <c r="I5363" s="3" t="s">
        <v>3581</v>
      </c>
      <c r="J5363" s="3" t="s">
        <v>28231</v>
      </c>
      <c r="K5363" s="3" t="s">
        <v>28232</v>
      </c>
      <c r="L5363" s="3" t="s">
        <v>28233</v>
      </c>
      <c r="M5363" s="4"/>
      <c r="N5363" s="3" t="s">
        <v>37</v>
      </c>
      <c r="O5363" s="3" t="s">
        <v>46</v>
      </c>
      <c r="P5363" s="5">
        <v>11</v>
      </c>
      <c r="Q5363" s="5">
        <v>126</v>
      </c>
      <c r="R5363" s="5">
        <v>11</v>
      </c>
      <c r="S5363" s="5">
        <v>130</v>
      </c>
    </row>
    <row r="5364" spans="1:19" ht="42" x14ac:dyDescent="0.15">
      <c r="A5364" s="2">
        <f>HYPERLINK("https://open-school.uspishnemisto.com.ua/school/260297/", 260297)</f>
        <v>260297</v>
      </c>
      <c r="B5364" s="3" t="s">
        <v>28234</v>
      </c>
      <c r="C5364" s="3" t="s">
        <v>31</v>
      </c>
      <c r="D5364" s="3" t="s">
        <v>175</v>
      </c>
      <c r="E5364" s="4" t="s">
        <v>22</v>
      </c>
      <c r="F5364" s="4" t="s">
        <v>28235</v>
      </c>
      <c r="G5364" s="4" t="s">
        <v>28236</v>
      </c>
      <c r="H5364" s="3" t="s">
        <v>26808</v>
      </c>
      <c r="I5364" s="3" t="s">
        <v>28237</v>
      </c>
      <c r="J5364" s="3" t="s">
        <v>28238</v>
      </c>
      <c r="K5364" s="3" t="s">
        <v>28239</v>
      </c>
      <c r="L5364" s="3"/>
      <c r="M5364" s="4"/>
      <c r="N5364" s="3" t="s">
        <v>37</v>
      </c>
      <c r="O5364" s="3" t="s">
        <v>46</v>
      </c>
      <c r="P5364" s="5">
        <v>7</v>
      </c>
      <c r="Q5364" s="5">
        <v>53</v>
      </c>
      <c r="R5364" s="5">
        <v>6</v>
      </c>
      <c r="S5364" s="5">
        <v>53</v>
      </c>
    </row>
    <row r="5365" spans="1:19" ht="42" x14ac:dyDescent="0.15">
      <c r="A5365" s="2">
        <f>HYPERLINK("https://open-school.uspishnemisto.com.ua/school/260298/", 260298)</f>
        <v>260298</v>
      </c>
      <c r="B5365" s="3" t="s">
        <v>28240</v>
      </c>
      <c r="C5365" s="3" t="s">
        <v>54</v>
      </c>
      <c r="D5365" s="3" t="s">
        <v>32</v>
      </c>
      <c r="E5365" s="4" t="s">
        <v>22</v>
      </c>
      <c r="F5365" s="4" t="s">
        <v>28241</v>
      </c>
      <c r="G5365" s="4" t="s">
        <v>28242</v>
      </c>
      <c r="H5365" s="3" t="s">
        <v>26808</v>
      </c>
      <c r="I5365" s="3" t="s">
        <v>28243</v>
      </c>
      <c r="J5365" s="3" t="s">
        <v>566</v>
      </c>
      <c r="K5365" s="3" t="s">
        <v>28244</v>
      </c>
      <c r="L5365" s="3" t="s">
        <v>28245</v>
      </c>
      <c r="M5365" s="4"/>
      <c r="N5365" s="3" t="s">
        <v>37</v>
      </c>
      <c r="O5365" s="3" t="s">
        <v>46</v>
      </c>
      <c r="P5365" s="5">
        <v>11</v>
      </c>
      <c r="Q5365" s="5">
        <v>157</v>
      </c>
      <c r="R5365" s="5">
        <v>11</v>
      </c>
      <c r="S5365" s="5">
        <v>159</v>
      </c>
    </row>
    <row r="5366" spans="1:19" ht="42" x14ac:dyDescent="0.15">
      <c r="A5366" s="2">
        <f>HYPERLINK("https://open-school.uspishnemisto.com.ua/school/260299/", 260299)</f>
        <v>260299</v>
      </c>
      <c r="B5366" s="3" t="s">
        <v>28246</v>
      </c>
      <c r="C5366" s="3" t="s">
        <v>31</v>
      </c>
      <c r="D5366" s="3" t="s">
        <v>32</v>
      </c>
      <c r="E5366" s="4" t="s">
        <v>22</v>
      </c>
      <c r="F5366" s="4" t="s">
        <v>28247</v>
      </c>
      <c r="G5366" s="4" t="s">
        <v>28248</v>
      </c>
      <c r="H5366" s="3" t="s">
        <v>26808</v>
      </c>
      <c r="I5366" s="3" t="s">
        <v>11064</v>
      </c>
      <c r="J5366" s="3" t="s">
        <v>5394</v>
      </c>
      <c r="K5366" s="3" t="s">
        <v>28249</v>
      </c>
      <c r="L5366" s="3" t="s">
        <v>28250</v>
      </c>
      <c r="M5366" s="4"/>
      <c r="N5366" s="3" t="s">
        <v>37</v>
      </c>
      <c r="O5366" s="3" t="s">
        <v>46</v>
      </c>
      <c r="P5366" s="5">
        <v>13</v>
      </c>
      <c r="Q5366" s="5">
        <v>239</v>
      </c>
      <c r="R5366" s="5">
        <v>13</v>
      </c>
      <c r="S5366" s="5">
        <v>230</v>
      </c>
    </row>
    <row r="5367" spans="1:19" ht="42" x14ac:dyDescent="0.15">
      <c r="A5367" s="2">
        <f>HYPERLINK("https://open-school.uspishnemisto.com.ua/school/260300/", 260300)</f>
        <v>260300</v>
      </c>
      <c r="B5367" s="3" t="s">
        <v>28251</v>
      </c>
      <c r="C5367" s="3" t="s">
        <v>54</v>
      </c>
      <c r="D5367" s="3" t="s">
        <v>60</v>
      </c>
      <c r="E5367" s="4" t="s">
        <v>22</v>
      </c>
      <c r="F5367" s="4" t="s">
        <v>28252</v>
      </c>
      <c r="G5367" s="4" t="s">
        <v>28253</v>
      </c>
      <c r="H5367" s="3" t="s">
        <v>26808</v>
      </c>
      <c r="I5367" s="3" t="s">
        <v>28254</v>
      </c>
      <c r="J5367" s="3" t="s">
        <v>28255</v>
      </c>
      <c r="K5367" s="3" t="s">
        <v>28256</v>
      </c>
      <c r="L5367" s="3"/>
      <c r="M5367" s="4"/>
      <c r="N5367" s="3" t="s">
        <v>37</v>
      </c>
      <c r="O5367" s="3" t="s">
        <v>52</v>
      </c>
      <c r="P5367" s="5">
        <v>1</v>
      </c>
      <c r="Q5367" s="5">
        <v>12</v>
      </c>
      <c r="R5367" s="5">
        <v>1</v>
      </c>
      <c r="S5367" s="5">
        <v>10</v>
      </c>
    </row>
    <row r="5368" spans="1:19" ht="42" x14ac:dyDescent="0.15">
      <c r="A5368" s="2">
        <f>HYPERLINK("https://open-school.uspishnemisto.com.ua/school/260301/", 260301)</f>
        <v>260301</v>
      </c>
      <c r="B5368" s="3" t="s">
        <v>28257</v>
      </c>
      <c r="C5368" s="3" t="s">
        <v>31</v>
      </c>
      <c r="D5368" s="3" t="s">
        <v>175</v>
      </c>
      <c r="E5368" s="4" t="s">
        <v>22</v>
      </c>
      <c r="F5368" s="4" t="s">
        <v>28258</v>
      </c>
      <c r="G5368" s="4" t="s">
        <v>28259</v>
      </c>
      <c r="H5368" s="3" t="s">
        <v>26808</v>
      </c>
      <c r="I5368" s="3" t="s">
        <v>28260</v>
      </c>
      <c r="J5368" s="3" t="s">
        <v>28261</v>
      </c>
      <c r="K5368" s="3" t="s">
        <v>28262</v>
      </c>
      <c r="L5368" s="3" t="s">
        <v>28263</v>
      </c>
      <c r="M5368" s="4"/>
      <c r="N5368" s="3" t="s">
        <v>37</v>
      </c>
      <c r="O5368" s="3" t="s">
        <v>46</v>
      </c>
      <c r="P5368" s="5">
        <v>9</v>
      </c>
      <c r="Q5368" s="5">
        <v>88</v>
      </c>
      <c r="R5368" s="5">
        <v>9</v>
      </c>
      <c r="S5368" s="5">
        <v>88</v>
      </c>
    </row>
    <row r="5369" spans="1:19" ht="42" x14ac:dyDescent="0.15">
      <c r="A5369" s="2">
        <f>HYPERLINK("https://open-school.uspishnemisto.com.ua/school/260302/", 260302)</f>
        <v>260302</v>
      </c>
      <c r="B5369" s="3" t="s">
        <v>28264</v>
      </c>
      <c r="C5369" s="3" t="s">
        <v>31</v>
      </c>
      <c r="D5369" s="3" t="s">
        <v>32</v>
      </c>
      <c r="E5369" s="4" t="s">
        <v>22</v>
      </c>
      <c r="F5369" s="4" t="s">
        <v>28265</v>
      </c>
      <c r="G5369" s="4" t="s">
        <v>28266</v>
      </c>
      <c r="H5369" s="3" t="s">
        <v>26808</v>
      </c>
      <c r="I5369" s="3" t="s">
        <v>28267</v>
      </c>
      <c r="J5369" s="3" t="s">
        <v>28268</v>
      </c>
      <c r="K5369" s="3" t="s">
        <v>28269</v>
      </c>
      <c r="L5369" s="3" t="s">
        <v>28270</v>
      </c>
      <c r="M5369" s="4"/>
      <c r="N5369" s="3" t="s">
        <v>37</v>
      </c>
      <c r="O5369" s="3" t="s">
        <v>123</v>
      </c>
      <c r="P5369" s="5">
        <v>20</v>
      </c>
      <c r="Q5369" s="5">
        <v>414</v>
      </c>
      <c r="R5369" s="5">
        <v>19</v>
      </c>
      <c r="S5369" s="5">
        <v>407</v>
      </c>
    </row>
    <row r="5370" spans="1:19" ht="42" x14ac:dyDescent="0.15">
      <c r="A5370" s="2">
        <f>HYPERLINK("https://open-school.uspishnemisto.com.ua/school/260303/", 260303)</f>
        <v>260303</v>
      </c>
      <c r="B5370" s="3" t="s">
        <v>28271</v>
      </c>
      <c r="C5370" s="3" t="s">
        <v>31</v>
      </c>
      <c r="D5370" s="3" t="s">
        <v>175</v>
      </c>
      <c r="E5370" s="4" t="s">
        <v>22</v>
      </c>
      <c r="F5370" s="4" t="s">
        <v>28272</v>
      </c>
      <c r="G5370" s="4" t="s">
        <v>28273</v>
      </c>
      <c r="H5370" s="3" t="s">
        <v>26808</v>
      </c>
      <c r="I5370" s="3" t="s">
        <v>28274</v>
      </c>
      <c r="J5370" s="3" t="s">
        <v>28275</v>
      </c>
      <c r="K5370" s="3" t="s">
        <v>28276</v>
      </c>
      <c r="L5370" s="3"/>
      <c r="M5370" s="4"/>
      <c r="N5370" s="3" t="s">
        <v>37</v>
      </c>
      <c r="O5370" s="3" t="s">
        <v>52</v>
      </c>
      <c r="P5370" s="5">
        <v>3</v>
      </c>
      <c r="Q5370" s="5">
        <v>34</v>
      </c>
      <c r="R5370" s="5">
        <v>4</v>
      </c>
      <c r="S5370" s="5">
        <v>38</v>
      </c>
    </row>
    <row r="5371" spans="1:19" ht="42" x14ac:dyDescent="0.15">
      <c r="A5371" s="2">
        <f>HYPERLINK("https://open-school.uspishnemisto.com.ua/school/260304/", 260304)</f>
        <v>260304</v>
      </c>
      <c r="B5371" s="3" t="s">
        <v>28277</v>
      </c>
      <c r="C5371" s="3" t="s">
        <v>31</v>
      </c>
      <c r="D5371" s="3" t="s">
        <v>60</v>
      </c>
      <c r="E5371" s="4" t="s">
        <v>22</v>
      </c>
      <c r="F5371" s="4" t="s">
        <v>28278</v>
      </c>
      <c r="G5371" s="4" t="s">
        <v>28279</v>
      </c>
      <c r="H5371" s="3" t="s">
        <v>26808</v>
      </c>
      <c r="I5371" s="3" t="s">
        <v>28280</v>
      </c>
      <c r="J5371" s="3" t="s">
        <v>28281</v>
      </c>
      <c r="K5371" s="3" t="s">
        <v>28282</v>
      </c>
      <c r="L5371" s="3"/>
      <c r="M5371" s="4"/>
      <c r="N5371" s="3" t="s">
        <v>37</v>
      </c>
      <c r="O5371" s="3" t="s">
        <v>52</v>
      </c>
      <c r="P5371" s="5">
        <v>2</v>
      </c>
      <c r="Q5371" s="5">
        <v>17</v>
      </c>
      <c r="R5371" s="5">
        <v>1</v>
      </c>
      <c r="S5371" s="5">
        <v>15</v>
      </c>
    </row>
    <row r="5372" spans="1:19" ht="42" x14ac:dyDescent="0.15">
      <c r="A5372" s="2">
        <f>HYPERLINK("https://open-school.uspishnemisto.com.ua/school/260305/", 260305)</f>
        <v>260305</v>
      </c>
      <c r="B5372" s="3" t="s">
        <v>28283</v>
      </c>
      <c r="C5372" s="3" t="s">
        <v>31</v>
      </c>
      <c r="D5372" s="3" t="s">
        <v>175</v>
      </c>
      <c r="E5372" s="4" t="s">
        <v>22</v>
      </c>
      <c r="F5372" s="4" t="s">
        <v>28284</v>
      </c>
      <c r="G5372" s="4" t="s">
        <v>28285</v>
      </c>
      <c r="H5372" s="3" t="s">
        <v>26808</v>
      </c>
      <c r="I5372" s="3" t="s">
        <v>28286</v>
      </c>
      <c r="J5372" s="3" t="s">
        <v>28287</v>
      </c>
      <c r="K5372" s="3" t="s">
        <v>28288</v>
      </c>
      <c r="L5372" s="3"/>
      <c r="M5372" s="4"/>
      <c r="N5372" s="3" t="s">
        <v>37</v>
      </c>
      <c r="O5372" s="3" t="s">
        <v>46</v>
      </c>
      <c r="P5372" s="5">
        <v>7</v>
      </c>
      <c r="Q5372" s="5">
        <v>50</v>
      </c>
      <c r="R5372" s="5">
        <v>6</v>
      </c>
      <c r="S5372" s="5">
        <v>45</v>
      </c>
    </row>
    <row r="5373" spans="1:19" ht="42" x14ac:dyDescent="0.15">
      <c r="A5373" s="2">
        <f>HYPERLINK("https://open-school.uspishnemisto.com.ua/school/260306/", 260306)</f>
        <v>260306</v>
      </c>
      <c r="B5373" s="3" t="s">
        <v>28289</v>
      </c>
      <c r="C5373" s="3" t="s">
        <v>31</v>
      </c>
      <c r="D5373" s="3" t="s">
        <v>32</v>
      </c>
      <c r="E5373" s="4" t="s">
        <v>22</v>
      </c>
      <c r="F5373" s="4" t="s">
        <v>28290</v>
      </c>
      <c r="G5373" s="4" t="s">
        <v>28291</v>
      </c>
      <c r="H5373" s="3" t="s">
        <v>26808</v>
      </c>
      <c r="I5373" s="3" t="s">
        <v>28292</v>
      </c>
      <c r="J5373" s="3" t="s">
        <v>6800</v>
      </c>
      <c r="K5373" s="3" t="s">
        <v>28293</v>
      </c>
      <c r="L5373" s="3"/>
      <c r="M5373" s="4"/>
      <c r="N5373" s="3" t="s">
        <v>37</v>
      </c>
      <c r="O5373" s="3" t="s">
        <v>46</v>
      </c>
      <c r="P5373" s="5">
        <v>15</v>
      </c>
      <c r="Q5373" s="5">
        <v>282</v>
      </c>
      <c r="R5373" s="5">
        <v>14</v>
      </c>
      <c r="S5373" s="5">
        <v>261</v>
      </c>
    </row>
    <row r="5374" spans="1:19" ht="42" x14ac:dyDescent="0.15">
      <c r="A5374" s="2">
        <f>HYPERLINK("https://open-school.uspishnemisto.com.ua/school/260307/", 260307)</f>
        <v>260307</v>
      </c>
      <c r="B5374" s="3" t="s">
        <v>28294</v>
      </c>
      <c r="C5374" s="3" t="s">
        <v>31</v>
      </c>
      <c r="D5374" s="3" t="s">
        <v>32</v>
      </c>
      <c r="E5374" s="4" t="s">
        <v>22</v>
      </c>
      <c r="F5374" s="4" t="s">
        <v>28295</v>
      </c>
      <c r="G5374" s="4" t="s">
        <v>28296</v>
      </c>
      <c r="H5374" s="3" t="s">
        <v>26808</v>
      </c>
      <c r="I5374" s="3" t="s">
        <v>28297</v>
      </c>
      <c r="J5374" s="3" t="s">
        <v>28298</v>
      </c>
      <c r="K5374" s="3" t="s">
        <v>28299</v>
      </c>
      <c r="L5374" s="3"/>
      <c r="M5374" s="4"/>
      <c r="N5374" s="3" t="s">
        <v>37</v>
      </c>
      <c r="O5374" s="3" t="s">
        <v>46</v>
      </c>
      <c r="P5374" s="5">
        <v>12</v>
      </c>
      <c r="Q5374" s="5">
        <v>238</v>
      </c>
      <c r="R5374" s="5">
        <v>12</v>
      </c>
      <c r="S5374" s="5">
        <v>248</v>
      </c>
    </row>
    <row r="5375" spans="1:19" ht="42" x14ac:dyDescent="0.15">
      <c r="A5375" s="2">
        <f>HYPERLINK("https://open-school.uspishnemisto.com.ua/school/260308/", 260308)</f>
        <v>260308</v>
      </c>
      <c r="B5375" s="3" t="s">
        <v>28300</v>
      </c>
      <c r="C5375" s="3" t="s">
        <v>54</v>
      </c>
      <c r="D5375" s="3" t="s">
        <v>175</v>
      </c>
      <c r="E5375" s="4" t="s">
        <v>22</v>
      </c>
      <c r="F5375" s="4" t="s">
        <v>28301</v>
      </c>
      <c r="G5375" s="4" t="s">
        <v>28302</v>
      </c>
      <c r="H5375" s="3" t="s">
        <v>26808</v>
      </c>
      <c r="I5375" s="3" t="s">
        <v>28303</v>
      </c>
      <c r="J5375" s="3" t="s">
        <v>28304</v>
      </c>
      <c r="K5375" s="3" t="s">
        <v>28305</v>
      </c>
      <c r="L5375" s="3"/>
      <c r="M5375" s="4"/>
      <c r="N5375" s="3" t="s">
        <v>37</v>
      </c>
      <c r="O5375" s="3" t="s">
        <v>46</v>
      </c>
      <c r="P5375" s="5">
        <v>10</v>
      </c>
      <c r="Q5375" s="5">
        <v>95</v>
      </c>
      <c r="R5375" s="5">
        <v>9</v>
      </c>
      <c r="S5375" s="5">
        <v>91</v>
      </c>
    </row>
    <row r="5376" spans="1:19" ht="42" x14ac:dyDescent="0.15">
      <c r="A5376" s="2">
        <f>HYPERLINK("https://open-school.uspishnemisto.com.ua/school/260309/", 260309)</f>
        <v>260309</v>
      </c>
      <c r="B5376" s="3" t="s">
        <v>28306</v>
      </c>
      <c r="C5376" s="3" t="s">
        <v>31</v>
      </c>
      <c r="D5376" s="3" t="s">
        <v>32</v>
      </c>
      <c r="E5376" s="4" t="s">
        <v>22</v>
      </c>
      <c r="F5376" s="4" t="s">
        <v>28307</v>
      </c>
      <c r="G5376" s="4" t="s">
        <v>28308</v>
      </c>
      <c r="H5376" s="3" t="s">
        <v>26808</v>
      </c>
      <c r="I5376" s="3" t="s">
        <v>28309</v>
      </c>
      <c r="J5376" s="3" t="s">
        <v>28310</v>
      </c>
      <c r="K5376" s="3" t="s">
        <v>28311</v>
      </c>
      <c r="L5376" s="3"/>
      <c r="M5376" s="4"/>
      <c r="N5376" s="3" t="s">
        <v>37</v>
      </c>
      <c r="O5376" s="3" t="s">
        <v>46</v>
      </c>
      <c r="P5376" s="5">
        <v>22</v>
      </c>
      <c r="Q5376" s="5">
        <v>522</v>
      </c>
      <c r="R5376" s="5">
        <v>23</v>
      </c>
      <c r="S5376" s="5">
        <v>523</v>
      </c>
    </row>
    <row r="5377" spans="1:19" ht="42" x14ac:dyDescent="0.15">
      <c r="A5377" s="2">
        <f>HYPERLINK("https://open-school.uspishnemisto.com.ua/school/260310/", 260310)</f>
        <v>260310</v>
      </c>
      <c r="B5377" s="3" t="s">
        <v>28312</v>
      </c>
      <c r="C5377" s="3" t="s">
        <v>54</v>
      </c>
      <c r="D5377" s="3" t="s">
        <v>32</v>
      </c>
      <c r="E5377" s="4" t="s">
        <v>22</v>
      </c>
      <c r="F5377" s="4" t="s">
        <v>28313</v>
      </c>
      <c r="G5377" s="4" t="s">
        <v>28314</v>
      </c>
      <c r="H5377" s="3" t="s">
        <v>26808</v>
      </c>
      <c r="I5377" s="3" t="s">
        <v>28315</v>
      </c>
      <c r="J5377" s="3" t="s">
        <v>28316</v>
      </c>
      <c r="K5377" s="3" t="s">
        <v>28317</v>
      </c>
      <c r="L5377" s="3" t="s">
        <v>28318</v>
      </c>
      <c r="M5377" s="4"/>
      <c r="N5377" s="3" t="s">
        <v>37</v>
      </c>
      <c r="O5377" s="3" t="s">
        <v>46</v>
      </c>
      <c r="P5377" s="5">
        <v>11</v>
      </c>
      <c r="Q5377" s="5">
        <v>126</v>
      </c>
      <c r="R5377" s="5">
        <v>11</v>
      </c>
      <c r="S5377" s="5">
        <v>118</v>
      </c>
    </row>
    <row r="5378" spans="1:19" ht="56" x14ac:dyDescent="0.15">
      <c r="A5378" s="2">
        <f>HYPERLINK("https://open-school.uspishnemisto.com.ua/school/260311/", 260311)</f>
        <v>260311</v>
      </c>
      <c r="B5378" s="3" t="s">
        <v>28319</v>
      </c>
      <c r="C5378" s="3" t="s">
        <v>54</v>
      </c>
      <c r="D5378" s="3" t="s">
        <v>32</v>
      </c>
      <c r="E5378" s="4" t="s">
        <v>22</v>
      </c>
      <c r="F5378" s="4" t="s">
        <v>28320</v>
      </c>
      <c r="G5378" s="4" t="s">
        <v>28321</v>
      </c>
      <c r="H5378" s="3" t="s">
        <v>26808</v>
      </c>
      <c r="I5378" s="3" t="s">
        <v>28322</v>
      </c>
      <c r="J5378" s="3" t="s">
        <v>5606</v>
      </c>
      <c r="K5378" s="3" t="s">
        <v>28323</v>
      </c>
      <c r="L5378" s="3" t="s">
        <v>28324</v>
      </c>
      <c r="M5378" s="4"/>
      <c r="N5378" s="3" t="s">
        <v>37</v>
      </c>
      <c r="O5378" s="3" t="s">
        <v>46</v>
      </c>
      <c r="P5378" s="5">
        <v>11</v>
      </c>
      <c r="Q5378" s="5">
        <v>135</v>
      </c>
      <c r="R5378" s="5">
        <v>11</v>
      </c>
      <c r="S5378" s="5">
        <v>146</v>
      </c>
    </row>
    <row r="5379" spans="1:19" ht="42" x14ac:dyDescent="0.15">
      <c r="A5379" s="2">
        <f>HYPERLINK("https://open-school.uspishnemisto.com.ua/school/260312/", 260312)</f>
        <v>260312</v>
      </c>
      <c r="B5379" s="3" t="s">
        <v>28325</v>
      </c>
      <c r="C5379" s="3" t="s">
        <v>31</v>
      </c>
      <c r="D5379" s="3" t="s">
        <v>175</v>
      </c>
      <c r="E5379" s="4" t="s">
        <v>22</v>
      </c>
      <c r="F5379" s="4" t="s">
        <v>28326</v>
      </c>
      <c r="G5379" s="4" t="s">
        <v>28327</v>
      </c>
      <c r="H5379" s="3" t="s">
        <v>26808</v>
      </c>
      <c r="I5379" s="3" t="s">
        <v>21149</v>
      </c>
      <c r="J5379" s="3" t="s">
        <v>28328</v>
      </c>
      <c r="K5379" s="3" t="s">
        <v>28329</v>
      </c>
      <c r="L5379" s="3" t="s">
        <v>28330</v>
      </c>
      <c r="M5379" s="4"/>
      <c r="N5379" s="3" t="s">
        <v>37</v>
      </c>
      <c r="O5379" s="3" t="s">
        <v>46</v>
      </c>
      <c r="P5379" s="5">
        <v>9</v>
      </c>
      <c r="Q5379" s="5">
        <v>175</v>
      </c>
      <c r="R5379" s="5">
        <v>9</v>
      </c>
      <c r="S5379" s="5">
        <v>175</v>
      </c>
    </row>
    <row r="5380" spans="1:19" ht="42" x14ac:dyDescent="0.15">
      <c r="A5380" s="2">
        <f>HYPERLINK("https://open-school.uspishnemisto.com.ua/school/260313/", 260313)</f>
        <v>260313</v>
      </c>
      <c r="B5380" s="3" t="s">
        <v>28331</v>
      </c>
      <c r="C5380" s="3" t="s">
        <v>54</v>
      </c>
      <c r="D5380" s="3" t="s">
        <v>60</v>
      </c>
      <c r="E5380" s="4" t="s">
        <v>22</v>
      </c>
      <c r="F5380" s="4" t="s">
        <v>28326</v>
      </c>
      <c r="G5380" s="4" t="s">
        <v>28332</v>
      </c>
      <c r="H5380" s="3" t="s">
        <v>26808</v>
      </c>
      <c r="I5380" s="3" t="s">
        <v>1033</v>
      </c>
      <c r="J5380" s="3" t="s">
        <v>28333</v>
      </c>
      <c r="K5380" s="3" t="s">
        <v>28334</v>
      </c>
      <c r="L5380" s="3" t="s">
        <v>28335</v>
      </c>
      <c r="M5380" s="4"/>
      <c r="N5380" s="3" t="s">
        <v>37</v>
      </c>
      <c r="O5380" s="3" t="s">
        <v>52</v>
      </c>
      <c r="P5380" s="5">
        <v>4</v>
      </c>
      <c r="Q5380" s="5">
        <v>20</v>
      </c>
      <c r="R5380" s="5">
        <v>4</v>
      </c>
      <c r="S5380" s="5">
        <v>24</v>
      </c>
    </row>
    <row r="5381" spans="1:19" ht="42" x14ac:dyDescent="0.15">
      <c r="A5381" s="2">
        <f>HYPERLINK("https://open-school.uspishnemisto.com.ua/school/260314/", 260314)</f>
        <v>260314</v>
      </c>
      <c r="B5381" s="3" t="s">
        <v>28336</v>
      </c>
      <c r="C5381" s="3" t="s">
        <v>31</v>
      </c>
      <c r="D5381" s="3" t="s">
        <v>175</v>
      </c>
      <c r="E5381" s="4" t="s">
        <v>22</v>
      </c>
      <c r="F5381" s="4" t="s">
        <v>28337</v>
      </c>
      <c r="G5381" s="4" t="s">
        <v>28338</v>
      </c>
      <c r="H5381" s="3" t="s">
        <v>26808</v>
      </c>
      <c r="I5381" s="3" t="s">
        <v>28339</v>
      </c>
      <c r="J5381" s="3" t="s">
        <v>28340</v>
      </c>
      <c r="K5381" s="3" t="s">
        <v>28341</v>
      </c>
      <c r="L5381" s="3"/>
      <c r="M5381" s="4"/>
      <c r="N5381" s="3" t="s">
        <v>37</v>
      </c>
      <c r="O5381" s="3" t="s">
        <v>46</v>
      </c>
      <c r="P5381" s="5">
        <v>9</v>
      </c>
      <c r="Q5381" s="5">
        <v>118</v>
      </c>
      <c r="R5381" s="5">
        <v>9</v>
      </c>
      <c r="S5381" s="5">
        <v>121</v>
      </c>
    </row>
    <row r="5382" spans="1:19" ht="42" x14ac:dyDescent="0.15">
      <c r="A5382" s="2">
        <f>HYPERLINK("https://open-school.uspishnemisto.com.ua/school/260315/", 260315)</f>
        <v>260315</v>
      </c>
      <c r="B5382" s="3" t="s">
        <v>28342</v>
      </c>
      <c r="C5382" s="3" t="s">
        <v>54</v>
      </c>
      <c r="D5382" s="3" t="s">
        <v>175</v>
      </c>
      <c r="E5382" s="4" t="s">
        <v>22</v>
      </c>
      <c r="F5382" s="4" t="s">
        <v>28343</v>
      </c>
      <c r="G5382" s="4" t="s">
        <v>28344</v>
      </c>
      <c r="H5382" s="3" t="s">
        <v>26808</v>
      </c>
      <c r="I5382" s="3" t="s">
        <v>28345</v>
      </c>
      <c r="J5382" s="3" t="s">
        <v>19472</v>
      </c>
      <c r="K5382" s="3" t="s">
        <v>28346</v>
      </c>
      <c r="L5382" s="3"/>
      <c r="M5382" s="4"/>
      <c r="N5382" s="3" t="s">
        <v>37</v>
      </c>
      <c r="O5382" s="3" t="s">
        <v>46</v>
      </c>
      <c r="P5382" s="5">
        <v>9</v>
      </c>
      <c r="Q5382" s="5">
        <v>82</v>
      </c>
      <c r="R5382" s="5">
        <v>9</v>
      </c>
      <c r="S5382" s="5">
        <v>79</v>
      </c>
    </row>
    <row r="5383" spans="1:19" ht="42" x14ac:dyDescent="0.15">
      <c r="A5383" s="2">
        <f>HYPERLINK("https://open-school.uspishnemisto.com.ua/school/260316/", 260316)</f>
        <v>260316</v>
      </c>
      <c r="B5383" s="3" t="s">
        <v>28347</v>
      </c>
      <c r="C5383" s="3" t="s">
        <v>54</v>
      </c>
      <c r="D5383" s="3" t="s">
        <v>175</v>
      </c>
      <c r="E5383" s="4" t="s">
        <v>22</v>
      </c>
      <c r="F5383" s="4" t="s">
        <v>28348</v>
      </c>
      <c r="G5383" s="4" t="s">
        <v>28349</v>
      </c>
      <c r="H5383" s="3" t="s">
        <v>26808</v>
      </c>
      <c r="I5383" s="3" t="s">
        <v>28350</v>
      </c>
      <c r="J5383" s="3" t="s">
        <v>2253</v>
      </c>
      <c r="K5383" s="3" t="s">
        <v>28351</v>
      </c>
      <c r="L5383" s="3"/>
      <c r="M5383" s="4"/>
      <c r="N5383" s="3" t="s">
        <v>37</v>
      </c>
      <c r="O5383" s="3" t="s">
        <v>46</v>
      </c>
      <c r="P5383" s="5">
        <v>9</v>
      </c>
      <c r="Q5383" s="5">
        <v>131</v>
      </c>
      <c r="R5383" s="5">
        <v>9</v>
      </c>
      <c r="S5383" s="5">
        <v>146</v>
      </c>
    </row>
    <row r="5384" spans="1:19" ht="42" x14ac:dyDescent="0.15">
      <c r="A5384" s="2">
        <f>HYPERLINK("https://open-school.uspishnemisto.com.ua/school/260317/", 260317)</f>
        <v>260317</v>
      </c>
      <c r="B5384" s="3" t="s">
        <v>28352</v>
      </c>
      <c r="C5384" s="3" t="s">
        <v>31</v>
      </c>
      <c r="D5384" s="3" t="s">
        <v>175</v>
      </c>
      <c r="E5384" s="4" t="s">
        <v>22</v>
      </c>
      <c r="F5384" s="4" t="s">
        <v>28353</v>
      </c>
      <c r="G5384" s="4" t="s">
        <v>28354</v>
      </c>
      <c r="H5384" s="3" t="s">
        <v>26808</v>
      </c>
      <c r="I5384" s="3" t="s">
        <v>28355</v>
      </c>
      <c r="J5384" s="3" t="s">
        <v>28356</v>
      </c>
      <c r="K5384" s="3" t="s">
        <v>28357</v>
      </c>
      <c r="L5384" s="3"/>
      <c r="M5384" s="4"/>
      <c r="N5384" s="3" t="s">
        <v>37</v>
      </c>
      <c r="O5384" s="3" t="s">
        <v>46</v>
      </c>
      <c r="P5384" s="5">
        <v>9</v>
      </c>
      <c r="Q5384" s="5">
        <v>101</v>
      </c>
      <c r="R5384" s="5">
        <v>9</v>
      </c>
      <c r="S5384" s="5">
        <v>102</v>
      </c>
    </row>
    <row r="5385" spans="1:19" ht="42" x14ac:dyDescent="0.15">
      <c r="A5385" s="2">
        <f>HYPERLINK("https://open-school.uspishnemisto.com.ua/school/260318/", 260318)</f>
        <v>260318</v>
      </c>
      <c r="B5385" s="3" t="s">
        <v>28358</v>
      </c>
      <c r="C5385" s="3" t="s">
        <v>31</v>
      </c>
      <c r="D5385" s="3" t="s">
        <v>175</v>
      </c>
      <c r="E5385" s="4" t="s">
        <v>22</v>
      </c>
      <c r="F5385" s="4" t="s">
        <v>28359</v>
      </c>
      <c r="G5385" s="4" t="s">
        <v>28360</v>
      </c>
      <c r="H5385" s="3" t="s">
        <v>26808</v>
      </c>
      <c r="I5385" s="3" t="s">
        <v>28361</v>
      </c>
      <c r="J5385" s="3" t="s">
        <v>28362</v>
      </c>
      <c r="K5385" s="3" t="s">
        <v>28363</v>
      </c>
      <c r="L5385" s="3"/>
      <c r="M5385" s="4"/>
      <c r="N5385" s="3" t="s">
        <v>37</v>
      </c>
      <c r="O5385" s="3" t="s">
        <v>46</v>
      </c>
      <c r="P5385" s="5">
        <v>9</v>
      </c>
      <c r="Q5385" s="5">
        <v>160</v>
      </c>
      <c r="R5385" s="5">
        <v>9</v>
      </c>
      <c r="S5385" s="5">
        <v>152</v>
      </c>
    </row>
    <row r="5386" spans="1:19" ht="42" x14ac:dyDescent="0.15">
      <c r="A5386" s="2">
        <f>HYPERLINK("https://open-school.uspishnemisto.com.ua/school/260319/", 260319)</f>
        <v>260319</v>
      </c>
      <c r="B5386" s="3" t="s">
        <v>28364</v>
      </c>
      <c r="C5386" s="3" t="s">
        <v>31</v>
      </c>
      <c r="D5386" s="3" t="s">
        <v>175</v>
      </c>
      <c r="E5386" s="4" t="s">
        <v>22</v>
      </c>
      <c r="F5386" s="4" t="s">
        <v>28365</v>
      </c>
      <c r="G5386" s="4" t="s">
        <v>28366</v>
      </c>
      <c r="H5386" s="3" t="s">
        <v>26808</v>
      </c>
      <c r="I5386" s="3" t="s">
        <v>28109</v>
      </c>
      <c r="J5386" s="3" t="s">
        <v>2384</v>
      </c>
      <c r="K5386" s="3" t="s">
        <v>28367</v>
      </c>
      <c r="L5386" s="3"/>
      <c r="M5386" s="4"/>
      <c r="N5386" s="3" t="s">
        <v>37</v>
      </c>
      <c r="O5386" s="3" t="s">
        <v>52</v>
      </c>
      <c r="P5386" s="5">
        <v>9</v>
      </c>
      <c r="Q5386" s="5">
        <v>158</v>
      </c>
      <c r="R5386" s="5">
        <v>9</v>
      </c>
      <c r="S5386" s="5">
        <v>162</v>
      </c>
    </row>
    <row r="5387" spans="1:19" ht="42" x14ac:dyDescent="0.15">
      <c r="A5387" s="2">
        <f>HYPERLINK("https://open-school.uspishnemisto.com.ua/school/260320/", 260320)</f>
        <v>260320</v>
      </c>
      <c r="B5387" s="3" t="s">
        <v>28368</v>
      </c>
      <c r="C5387" s="3" t="s">
        <v>31</v>
      </c>
      <c r="D5387" s="3" t="s">
        <v>175</v>
      </c>
      <c r="E5387" s="4" t="s">
        <v>22</v>
      </c>
      <c r="F5387" s="4" t="s">
        <v>28369</v>
      </c>
      <c r="G5387" s="4" t="s">
        <v>28370</v>
      </c>
      <c r="H5387" s="3" t="s">
        <v>26808</v>
      </c>
      <c r="I5387" s="3" t="s">
        <v>5912</v>
      </c>
      <c r="J5387" s="3" t="s">
        <v>28371</v>
      </c>
      <c r="K5387" s="3" t="s">
        <v>28372</v>
      </c>
      <c r="L5387" s="3" t="s">
        <v>28373</v>
      </c>
      <c r="M5387" s="4"/>
      <c r="N5387" s="3" t="s">
        <v>37</v>
      </c>
      <c r="O5387" s="3" t="s">
        <v>46</v>
      </c>
      <c r="P5387" s="5">
        <v>5</v>
      </c>
      <c r="Q5387" s="5">
        <v>32</v>
      </c>
      <c r="R5387" s="5">
        <v>4</v>
      </c>
      <c r="S5387" s="5">
        <v>30</v>
      </c>
    </row>
    <row r="5388" spans="1:19" ht="42" x14ac:dyDescent="0.15">
      <c r="A5388" s="2">
        <f>HYPERLINK("https://open-school.uspishnemisto.com.ua/school/260321/", 260321)</f>
        <v>260321</v>
      </c>
      <c r="B5388" s="3" t="s">
        <v>28374</v>
      </c>
      <c r="C5388" s="3" t="s">
        <v>54</v>
      </c>
      <c r="D5388" s="3" t="s">
        <v>175</v>
      </c>
      <c r="E5388" s="4" t="s">
        <v>22</v>
      </c>
      <c r="F5388" s="4" t="s">
        <v>28375</v>
      </c>
      <c r="G5388" s="4" t="s">
        <v>28376</v>
      </c>
      <c r="H5388" s="3" t="s">
        <v>26808</v>
      </c>
      <c r="I5388" s="3" t="s">
        <v>28377</v>
      </c>
      <c r="J5388" s="3" t="s">
        <v>28378</v>
      </c>
      <c r="K5388" s="3" t="s">
        <v>28379</v>
      </c>
      <c r="L5388" s="3"/>
      <c r="M5388" s="4"/>
      <c r="N5388" s="3" t="s">
        <v>37</v>
      </c>
      <c r="O5388" s="3" t="s">
        <v>46</v>
      </c>
      <c r="P5388" s="5">
        <v>9</v>
      </c>
      <c r="Q5388" s="5">
        <v>129</v>
      </c>
      <c r="R5388" s="5">
        <v>9</v>
      </c>
      <c r="S5388" s="5">
        <v>127</v>
      </c>
    </row>
    <row r="5389" spans="1:19" ht="42" x14ac:dyDescent="0.15">
      <c r="A5389" s="2">
        <f>HYPERLINK("https://open-school.uspishnemisto.com.ua/school/260322/", 260322)</f>
        <v>260322</v>
      </c>
      <c r="B5389" s="3" t="s">
        <v>28380</v>
      </c>
      <c r="C5389" s="3" t="s">
        <v>54</v>
      </c>
      <c r="D5389" s="3" t="s">
        <v>32</v>
      </c>
      <c r="E5389" s="4" t="s">
        <v>22</v>
      </c>
      <c r="F5389" s="4" t="s">
        <v>28381</v>
      </c>
      <c r="G5389" s="4" t="s">
        <v>28382</v>
      </c>
      <c r="H5389" s="3" t="s">
        <v>26808</v>
      </c>
      <c r="I5389" s="3" t="s">
        <v>28383</v>
      </c>
      <c r="J5389" s="3" t="s">
        <v>28384</v>
      </c>
      <c r="K5389" s="3" t="s">
        <v>28385</v>
      </c>
      <c r="L5389" s="3" t="s">
        <v>28386</v>
      </c>
      <c r="M5389" s="4" t="s">
        <v>28387</v>
      </c>
      <c r="N5389" s="3" t="s">
        <v>37</v>
      </c>
      <c r="O5389" s="3" t="s">
        <v>46</v>
      </c>
      <c r="P5389" s="5">
        <v>22</v>
      </c>
      <c r="Q5389" s="5">
        <v>434</v>
      </c>
      <c r="R5389" s="5">
        <v>22</v>
      </c>
      <c r="S5389" s="5">
        <v>434</v>
      </c>
    </row>
    <row r="5390" spans="1:19" ht="42" x14ac:dyDescent="0.15">
      <c r="A5390" s="2">
        <f>HYPERLINK("https://open-school.uspishnemisto.com.ua/school/260323/", 260323)</f>
        <v>260323</v>
      </c>
      <c r="B5390" s="3" t="s">
        <v>28388</v>
      </c>
      <c r="C5390" s="3" t="s">
        <v>31</v>
      </c>
      <c r="D5390" s="3" t="s">
        <v>175</v>
      </c>
      <c r="E5390" s="4" t="s">
        <v>22</v>
      </c>
      <c r="F5390" s="4" t="s">
        <v>28389</v>
      </c>
      <c r="G5390" s="4" t="s">
        <v>28390</v>
      </c>
      <c r="H5390" s="3" t="s">
        <v>26808</v>
      </c>
      <c r="I5390" s="3" t="s">
        <v>28391</v>
      </c>
      <c r="J5390" s="3" t="s">
        <v>466</v>
      </c>
      <c r="K5390" s="3" t="s">
        <v>28392</v>
      </c>
      <c r="L5390" s="3"/>
      <c r="M5390" s="4"/>
      <c r="N5390" s="3" t="s">
        <v>37</v>
      </c>
      <c r="O5390" s="3" t="s">
        <v>2740</v>
      </c>
      <c r="P5390" s="5">
        <v>9</v>
      </c>
      <c r="Q5390" s="5">
        <v>120</v>
      </c>
      <c r="R5390" s="5">
        <v>9</v>
      </c>
      <c r="S5390" s="5">
        <v>111</v>
      </c>
    </row>
    <row r="5391" spans="1:19" ht="42" x14ac:dyDescent="0.15">
      <c r="A5391" s="2">
        <f>HYPERLINK("https://open-school.uspishnemisto.com.ua/school/260324/", 260324)</f>
        <v>260324</v>
      </c>
      <c r="B5391" s="3" t="s">
        <v>28393</v>
      </c>
      <c r="C5391" s="3" t="s">
        <v>31</v>
      </c>
      <c r="D5391" s="3" t="s">
        <v>60</v>
      </c>
      <c r="E5391" s="4" t="s">
        <v>22</v>
      </c>
      <c r="F5391" s="4" t="s">
        <v>28389</v>
      </c>
      <c r="G5391" s="4" t="s">
        <v>28394</v>
      </c>
      <c r="H5391" s="3" t="s">
        <v>26808</v>
      </c>
      <c r="I5391" s="3" t="s">
        <v>28395</v>
      </c>
      <c r="J5391" s="3" t="s">
        <v>28396</v>
      </c>
      <c r="K5391" s="3" t="s">
        <v>28397</v>
      </c>
      <c r="L5391" s="3"/>
      <c r="M5391" s="4"/>
      <c r="N5391" s="3" t="s">
        <v>37</v>
      </c>
      <c r="O5391" s="3" t="s">
        <v>52</v>
      </c>
      <c r="P5391" s="5">
        <v>3</v>
      </c>
      <c r="Q5391" s="5">
        <v>24</v>
      </c>
      <c r="R5391" s="5">
        <v>4</v>
      </c>
      <c r="S5391" s="5">
        <v>26</v>
      </c>
    </row>
    <row r="5392" spans="1:19" ht="42" x14ac:dyDescent="0.15">
      <c r="A5392" s="2">
        <f>HYPERLINK("https://open-school.uspishnemisto.com.ua/school/260325/", 260325)</f>
        <v>260325</v>
      </c>
      <c r="B5392" s="3" t="s">
        <v>28398</v>
      </c>
      <c r="C5392" s="3" t="s">
        <v>31</v>
      </c>
      <c r="D5392" s="3" t="s">
        <v>32</v>
      </c>
      <c r="E5392" s="4" t="s">
        <v>22</v>
      </c>
      <c r="F5392" s="4" t="s">
        <v>28399</v>
      </c>
      <c r="G5392" s="4" t="s">
        <v>28400</v>
      </c>
      <c r="H5392" s="3" t="s">
        <v>26808</v>
      </c>
      <c r="I5392" s="3" t="s">
        <v>28401</v>
      </c>
      <c r="J5392" s="3" t="s">
        <v>28402</v>
      </c>
      <c r="K5392" s="3" t="s">
        <v>28403</v>
      </c>
      <c r="L5392" s="3"/>
      <c r="M5392" s="4"/>
      <c r="N5392" s="3" t="s">
        <v>37</v>
      </c>
      <c r="O5392" s="3" t="s">
        <v>46</v>
      </c>
      <c r="P5392" s="5">
        <v>15</v>
      </c>
      <c r="Q5392" s="5">
        <v>282</v>
      </c>
      <c r="R5392" s="5">
        <v>16</v>
      </c>
      <c r="S5392" s="5">
        <v>300</v>
      </c>
    </row>
    <row r="5393" spans="1:19" ht="42" x14ac:dyDescent="0.15">
      <c r="A5393" s="2">
        <f>HYPERLINK("https://open-school.uspishnemisto.com.ua/school/260326/", 260326)</f>
        <v>260326</v>
      </c>
      <c r="B5393" s="3" t="s">
        <v>28404</v>
      </c>
      <c r="C5393" s="3" t="s">
        <v>31</v>
      </c>
      <c r="D5393" s="3" t="s">
        <v>60</v>
      </c>
      <c r="E5393" s="4" t="s">
        <v>22</v>
      </c>
      <c r="F5393" s="4" t="s">
        <v>28405</v>
      </c>
      <c r="G5393" s="4" t="s">
        <v>28406</v>
      </c>
      <c r="H5393" s="3" t="s">
        <v>26808</v>
      </c>
      <c r="I5393" s="3" t="s">
        <v>28407</v>
      </c>
      <c r="J5393" s="3" t="s">
        <v>5786</v>
      </c>
      <c r="K5393" s="3" t="s">
        <v>28408</v>
      </c>
      <c r="L5393" s="3"/>
      <c r="M5393" s="4"/>
      <c r="N5393" s="3" t="s">
        <v>37</v>
      </c>
      <c r="O5393" s="3" t="s">
        <v>52</v>
      </c>
      <c r="P5393" s="5">
        <v>4</v>
      </c>
      <c r="Q5393" s="5">
        <v>27</v>
      </c>
      <c r="R5393" s="5">
        <v>4</v>
      </c>
      <c r="S5393" s="5">
        <v>27</v>
      </c>
    </row>
    <row r="5394" spans="1:19" ht="42" x14ac:dyDescent="0.15">
      <c r="A5394" s="2">
        <f>HYPERLINK("https://open-school.uspishnemisto.com.ua/school/260327/", 260327)</f>
        <v>260327</v>
      </c>
      <c r="B5394" s="3" t="s">
        <v>28409</v>
      </c>
      <c r="C5394" s="3" t="s">
        <v>54</v>
      </c>
      <c r="D5394" s="3" t="s">
        <v>32</v>
      </c>
      <c r="E5394" s="4" t="s">
        <v>22</v>
      </c>
      <c r="F5394" s="4" t="s">
        <v>28410</v>
      </c>
      <c r="G5394" s="4" t="s">
        <v>28411</v>
      </c>
      <c r="H5394" s="3" t="s">
        <v>26808</v>
      </c>
      <c r="I5394" s="3" t="s">
        <v>28412</v>
      </c>
      <c r="J5394" s="3" t="s">
        <v>28413</v>
      </c>
      <c r="K5394" s="3" t="s">
        <v>28414</v>
      </c>
      <c r="L5394" s="3"/>
      <c r="M5394" s="4"/>
      <c r="N5394" s="3" t="s">
        <v>37</v>
      </c>
      <c r="O5394" s="3" t="s">
        <v>46</v>
      </c>
      <c r="P5394" s="5">
        <v>11</v>
      </c>
      <c r="Q5394" s="5">
        <v>207</v>
      </c>
      <c r="R5394" s="5">
        <v>11</v>
      </c>
      <c r="S5394" s="5">
        <v>194</v>
      </c>
    </row>
    <row r="5395" spans="1:19" ht="42" x14ac:dyDescent="0.15">
      <c r="A5395" s="2">
        <f>HYPERLINK("https://open-school.uspishnemisto.com.ua/school/260328/", 260328)</f>
        <v>260328</v>
      </c>
      <c r="B5395" s="3" t="s">
        <v>28415</v>
      </c>
      <c r="C5395" s="3" t="s">
        <v>31</v>
      </c>
      <c r="D5395" s="3" t="s">
        <v>175</v>
      </c>
      <c r="E5395" s="4" t="s">
        <v>22</v>
      </c>
      <c r="F5395" s="4" t="s">
        <v>28416</v>
      </c>
      <c r="G5395" s="4" t="s">
        <v>28417</v>
      </c>
      <c r="H5395" s="3" t="s">
        <v>26808</v>
      </c>
      <c r="I5395" s="3" t="s">
        <v>7597</v>
      </c>
      <c r="J5395" s="3" t="s">
        <v>28034</v>
      </c>
      <c r="K5395" s="3" t="s">
        <v>28418</v>
      </c>
      <c r="L5395" s="3" t="s">
        <v>28419</v>
      </c>
      <c r="M5395" s="4"/>
      <c r="N5395" s="3" t="s">
        <v>37</v>
      </c>
      <c r="O5395" s="3" t="s">
        <v>46</v>
      </c>
      <c r="P5395" s="5">
        <v>8</v>
      </c>
      <c r="Q5395" s="5">
        <v>76</v>
      </c>
      <c r="R5395" s="5">
        <v>8</v>
      </c>
      <c r="S5395" s="5">
        <v>82</v>
      </c>
    </row>
    <row r="5396" spans="1:19" ht="42" x14ac:dyDescent="0.15">
      <c r="A5396" s="2">
        <f>HYPERLINK("https://open-school.uspishnemisto.com.ua/school/260329/", 260329)</f>
        <v>260329</v>
      </c>
      <c r="B5396" s="3" t="s">
        <v>28420</v>
      </c>
      <c r="C5396" s="3" t="s">
        <v>31</v>
      </c>
      <c r="D5396" s="3" t="s">
        <v>32</v>
      </c>
      <c r="E5396" s="4" t="s">
        <v>22</v>
      </c>
      <c r="F5396" s="4" t="s">
        <v>28421</v>
      </c>
      <c r="G5396" s="4" t="s">
        <v>28422</v>
      </c>
      <c r="H5396" s="3" t="s">
        <v>26808</v>
      </c>
      <c r="I5396" s="3" t="s">
        <v>28423</v>
      </c>
      <c r="J5396" s="3" t="s">
        <v>28424</v>
      </c>
      <c r="K5396" s="3" t="s">
        <v>28425</v>
      </c>
      <c r="L5396" s="3"/>
      <c r="M5396" s="4"/>
      <c r="N5396" s="3" t="s">
        <v>37</v>
      </c>
      <c r="O5396" s="3" t="s">
        <v>46</v>
      </c>
      <c r="P5396" s="5">
        <v>13</v>
      </c>
      <c r="Q5396" s="5">
        <v>188</v>
      </c>
      <c r="R5396" s="5">
        <v>13</v>
      </c>
      <c r="S5396" s="5">
        <v>196</v>
      </c>
    </row>
    <row r="5397" spans="1:19" ht="42" x14ac:dyDescent="0.15">
      <c r="A5397" s="2">
        <f>HYPERLINK("https://open-school.uspishnemisto.com.ua/school/260330/", 260330)</f>
        <v>260330</v>
      </c>
      <c r="B5397" s="3" t="s">
        <v>28426</v>
      </c>
      <c r="C5397" s="3" t="s">
        <v>54</v>
      </c>
      <c r="D5397" s="3" t="s">
        <v>32</v>
      </c>
      <c r="E5397" s="4" t="s">
        <v>22</v>
      </c>
      <c r="F5397" s="4" t="s">
        <v>28427</v>
      </c>
      <c r="G5397" s="4" t="s">
        <v>28428</v>
      </c>
      <c r="H5397" s="3" t="s">
        <v>26808</v>
      </c>
      <c r="I5397" s="3" t="s">
        <v>28429</v>
      </c>
      <c r="J5397" s="3" t="s">
        <v>1845</v>
      </c>
      <c r="K5397" s="3" t="s">
        <v>28430</v>
      </c>
      <c r="L5397" s="3"/>
      <c r="M5397" s="4"/>
      <c r="N5397" s="3" t="s">
        <v>37</v>
      </c>
      <c r="O5397" s="3" t="s">
        <v>46</v>
      </c>
      <c r="P5397" s="5">
        <v>11</v>
      </c>
      <c r="Q5397" s="5">
        <v>83</v>
      </c>
      <c r="R5397" s="5">
        <v>10</v>
      </c>
      <c r="S5397" s="5">
        <v>84</v>
      </c>
    </row>
    <row r="5398" spans="1:19" ht="42" x14ac:dyDescent="0.15">
      <c r="A5398" s="2">
        <f>HYPERLINK("https://open-school.uspishnemisto.com.ua/school/260331/", 260331)</f>
        <v>260331</v>
      </c>
      <c r="B5398" s="3" t="s">
        <v>28431</v>
      </c>
      <c r="C5398" s="3" t="s">
        <v>31</v>
      </c>
      <c r="D5398" s="3" t="s">
        <v>32</v>
      </c>
      <c r="E5398" s="4" t="s">
        <v>22</v>
      </c>
      <c r="F5398" s="4" t="s">
        <v>28432</v>
      </c>
      <c r="G5398" s="4" t="s">
        <v>28433</v>
      </c>
      <c r="H5398" s="3" t="s">
        <v>26808</v>
      </c>
      <c r="I5398" s="3" t="s">
        <v>28434</v>
      </c>
      <c r="J5398" s="3" t="s">
        <v>28435</v>
      </c>
      <c r="K5398" s="3" t="s">
        <v>28436</v>
      </c>
      <c r="L5398" s="3"/>
      <c r="M5398" s="4"/>
      <c r="N5398" s="3" t="s">
        <v>37</v>
      </c>
      <c r="O5398" s="3" t="s">
        <v>46</v>
      </c>
      <c r="P5398" s="5">
        <v>11</v>
      </c>
      <c r="Q5398" s="5">
        <v>147</v>
      </c>
      <c r="R5398" s="5">
        <v>11</v>
      </c>
      <c r="S5398" s="5">
        <v>159</v>
      </c>
    </row>
    <row r="5399" spans="1:19" ht="42" x14ac:dyDescent="0.15">
      <c r="A5399" s="2">
        <f>HYPERLINK("https://open-school.uspishnemisto.com.ua/school/260332/", 260332)</f>
        <v>260332</v>
      </c>
      <c r="B5399" s="3" t="s">
        <v>28437</v>
      </c>
      <c r="C5399" s="3" t="s">
        <v>31</v>
      </c>
      <c r="D5399" s="3" t="s">
        <v>175</v>
      </c>
      <c r="E5399" s="4" t="s">
        <v>22</v>
      </c>
      <c r="F5399" s="4" t="s">
        <v>28438</v>
      </c>
      <c r="G5399" s="4" t="s">
        <v>28439</v>
      </c>
      <c r="H5399" s="3" t="s">
        <v>26808</v>
      </c>
      <c r="I5399" s="3" t="s">
        <v>28440</v>
      </c>
      <c r="J5399" s="3" t="s">
        <v>28441</v>
      </c>
      <c r="K5399" s="3" t="s">
        <v>28442</v>
      </c>
      <c r="L5399" s="3"/>
      <c r="M5399" s="4"/>
      <c r="N5399" s="3" t="s">
        <v>37</v>
      </c>
      <c r="O5399" s="3" t="s">
        <v>46</v>
      </c>
      <c r="P5399" s="5">
        <v>9</v>
      </c>
      <c r="Q5399" s="5">
        <v>94</v>
      </c>
      <c r="R5399" s="5">
        <v>9</v>
      </c>
      <c r="S5399" s="5">
        <v>98</v>
      </c>
    </row>
    <row r="5400" spans="1:19" ht="42" x14ac:dyDescent="0.15">
      <c r="A5400" s="2">
        <f>HYPERLINK("https://open-school.uspishnemisto.com.ua/school/260333/", 260333)</f>
        <v>260333</v>
      </c>
      <c r="B5400" s="3" t="s">
        <v>28443</v>
      </c>
      <c r="C5400" s="3" t="s">
        <v>54</v>
      </c>
      <c r="D5400" s="3" t="s">
        <v>175</v>
      </c>
      <c r="E5400" s="4" t="s">
        <v>22</v>
      </c>
      <c r="F5400" s="4" t="s">
        <v>28444</v>
      </c>
      <c r="G5400" s="4" t="s">
        <v>28445</v>
      </c>
      <c r="H5400" s="3" t="s">
        <v>26808</v>
      </c>
      <c r="I5400" s="3" t="s">
        <v>28446</v>
      </c>
      <c r="J5400" s="3" t="s">
        <v>634</v>
      </c>
      <c r="K5400" s="3" t="s">
        <v>28447</v>
      </c>
      <c r="L5400" s="3"/>
      <c r="M5400" s="4" t="s">
        <v>28448</v>
      </c>
      <c r="N5400" s="3" t="s">
        <v>37</v>
      </c>
      <c r="O5400" s="3" t="s">
        <v>46</v>
      </c>
      <c r="P5400" s="5">
        <v>9</v>
      </c>
      <c r="Q5400" s="5">
        <v>137</v>
      </c>
      <c r="R5400" s="5">
        <v>9</v>
      </c>
      <c r="S5400" s="5">
        <v>132</v>
      </c>
    </row>
    <row r="5401" spans="1:19" ht="42" x14ac:dyDescent="0.15">
      <c r="A5401" s="2">
        <f>HYPERLINK("https://open-school.uspishnemisto.com.ua/school/260334/", 260334)</f>
        <v>260334</v>
      </c>
      <c r="B5401" s="3" t="s">
        <v>28449</v>
      </c>
      <c r="C5401" s="3" t="s">
        <v>31</v>
      </c>
      <c r="D5401" s="3" t="s">
        <v>175</v>
      </c>
      <c r="E5401" s="4" t="s">
        <v>22</v>
      </c>
      <c r="F5401" s="4" t="s">
        <v>28450</v>
      </c>
      <c r="G5401" s="4" t="s">
        <v>28451</v>
      </c>
      <c r="H5401" s="3" t="s">
        <v>26808</v>
      </c>
      <c r="I5401" s="3" t="s">
        <v>28452</v>
      </c>
      <c r="J5401" s="3" t="s">
        <v>20657</v>
      </c>
      <c r="K5401" s="3" t="s">
        <v>28453</v>
      </c>
      <c r="L5401" s="3"/>
      <c r="M5401" s="4"/>
      <c r="N5401" s="3" t="s">
        <v>37</v>
      </c>
      <c r="O5401" s="3" t="s">
        <v>46</v>
      </c>
      <c r="P5401" s="5">
        <v>11</v>
      </c>
      <c r="Q5401" s="5">
        <v>145</v>
      </c>
      <c r="R5401" s="5">
        <v>11</v>
      </c>
      <c r="S5401" s="5">
        <v>143</v>
      </c>
    </row>
    <row r="5402" spans="1:19" ht="42" x14ac:dyDescent="0.15">
      <c r="A5402" s="2">
        <f>HYPERLINK("https://open-school.uspishnemisto.com.ua/school/260335/", 260335)</f>
        <v>260335</v>
      </c>
      <c r="B5402" s="3" t="s">
        <v>28454</v>
      </c>
      <c r="C5402" s="3" t="s">
        <v>31</v>
      </c>
      <c r="D5402" s="3" t="s">
        <v>175</v>
      </c>
      <c r="E5402" s="4" t="s">
        <v>22</v>
      </c>
      <c r="F5402" s="4" t="s">
        <v>28455</v>
      </c>
      <c r="G5402" s="4" t="s">
        <v>28456</v>
      </c>
      <c r="H5402" s="3" t="s">
        <v>26808</v>
      </c>
      <c r="I5402" s="3" t="s">
        <v>28457</v>
      </c>
      <c r="J5402" s="3" t="s">
        <v>28458</v>
      </c>
      <c r="K5402" s="3" t="s">
        <v>28459</v>
      </c>
      <c r="L5402" s="3"/>
      <c r="M5402" s="4"/>
      <c r="N5402" s="3" t="s">
        <v>37</v>
      </c>
      <c r="O5402" s="3" t="s">
        <v>2740</v>
      </c>
      <c r="P5402" s="5">
        <v>9</v>
      </c>
      <c r="Q5402" s="5">
        <v>100</v>
      </c>
      <c r="R5402" s="5">
        <v>9</v>
      </c>
      <c r="S5402" s="5">
        <v>98</v>
      </c>
    </row>
    <row r="5403" spans="1:19" ht="42" x14ac:dyDescent="0.15">
      <c r="A5403" s="2">
        <f>HYPERLINK("https://open-school.uspishnemisto.com.ua/school/260336/", 260336)</f>
        <v>260336</v>
      </c>
      <c r="B5403" s="3" t="s">
        <v>28460</v>
      </c>
      <c r="C5403" s="3" t="s">
        <v>54</v>
      </c>
      <c r="D5403" s="3" t="s">
        <v>60</v>
      </c>
      <c r="E5403" s="4" t="s">
        <v>22</v>
      </c>
      <c r="F5403" s="4" t="s">
        <v>28461</v>
      </c>
      <c r="G5403" s="4" t="s">
        <v>28462</v>
      </c>
      <c r="H5403" s="3" t="s">
        <v>26808</v>
      </c>
      <c r="I5403" s="3" t="s">
        <v>28463</v>
      </c>
      <c r="J5403" s="3" t="s">
        <v>28464</v>
      </c>
      <c r="K5403" s="3"/>
      <c r="L5403" s="3"/>
      <c r="M5403" s="4"/>
      <c r="N5403" s="3" t="s">
        <v>37</v>
      </c>
      <c r="O5403" s="3" t="s">
        <v>52</v>
      </c>
      <c r="P5403" s="5">
        <v>3</v>
      </c>
      <c r="Q5403" s="5">
        <v>22</v>
      </c>
      <c r="R5403" s="5">
        <v>3</v>
      </c>
      <c r="S5403" s="5">
        <v>28</v>
      </c>
    </row>
    <row r="5404" spans="1:19" ht="42" x14ac:dyDescent="0.15">
      <c r="A5404" s="2">
        <f>HYPERLINK("https://open-school.uspishnemisto.com.ua/school/260337/", 260337)</f>
        <v>260337</v>
      </c>
      <c r="B5404" s="3" t="s">
        <v>28465</v>
      </c>
      <c r="C5404" s="3" t="s">
        <v>54</v>
      </c>
      <c r="D5404" s="3" t="s">
        <v>32</v>
      </c>
      <c r="E5404" s="4" t="s">
        <v>22</v>
      </c>
      <c r="F5404" s="4" t="s">
        <v>28466</v>
      </c>
      <c r="G5404" s="4" t="s">
        <v>28467</v>
      </c>
      <c r="H5404" s="3" t="s">
        <v>26808</v>
      </c>
      <c r="I5404" s="3" t="s">
        <v>28468</v>
      </c>
      <c r="J5404" s="3" t="s">
        <v>28469</v>
      </c>
      <c r="K5404" s="3" t="s">
        <v>28470</v>
      </c>
      <c r="L5404" s="3"/>
      <c r="M5404" s="4" t="s">
        <v>28471</v>
      </c>
      <c r="N5404" s="3" t="s">
        <v>37</v>
      </c>
      <c r="O5404" s="3" t="s">
        <v>46</v>
      </c>
      <c r="P5404" s="5">
        <v>11</v>
      </c>
      <c r="Q5404" s="5">
        <v>217</v>
      </c>
      <c r="R5404" s="5">
        <v>11</v>
      </c>
      <c r="S5404" s="5">
        <v>218</v>
      </c>
    </row>
    <row r="5405" spans="1:19" ht="42" x14ac:dyDescent="0.15">
      <c r="A5405" s="2">
        <f>HYPERLINK("https://open-school.uspishnemisto.com.ua/school/260338/", 260338)</f>
        <v>260338</v>
      </c>
      <c r="B5405" s="3" t="s">
        <v>28472</v>
      </c>
      <c r="C5405" s="3" t="s">
        <v>31</v>
      </c>
      <c r="D5405" s="3" t="s">
        <v>32</v>
      </c>
      <c r="E5405" s="4" t="s">
        <v>22</v>
      </c>
      <c r="F5405" s="4" t="s">
        <v>28473</v>
      </c>
      <c r="G5405" s="4" t="s">
        <v>28474</v>
      </c>
      <c r="H5405" s="3" t="s">
        <v>26808</v>
      </c>
      <c r="I5405" s="3" t="s">
        <v>28475</v>
      </c>
      <c r="J5405" s="3" t="s">
        <v>28476</v>
      </c>
      <c r="K5405" s="3" t="s">
        <v>28477</v>
      </c>
      <c r="L5405" s="3"/>
      <c r="M5405" s="4"/>
      <c r="N5405" s="3" t="s">
        <v>37</v>
      </c>
      <c r="O5405" s="3" t="s">
        <v>46</v>
      </c>
      <c r="P5405" s="5">
        <v>21</v>
      </c>
      <c r="Q5405" s="5">
        <v>485</v>
      </c>
      <c r="R5405" s="5">
        <v>21</v>
      </c>
      <c r="S5405" s="5">
        <v>486</v>
      </c>
    </row>
    <row r="5406" spans="1:19" ht="42" x14ac:dyDescent="0.15">
      <c r="A5406" s="2">
        <f>HYPERLINK("https://open-school.uspishnemisto.com.ua/school/260339/", 260339)</f>
        <v>260339</v>
      </c>
      <c r="B5406" s="3" t="s">
        <v>28478</v>
      </c>
      <c r="C5406" s="3" t="s">
        <v>181</v>
      </c>
      <c r="D5406" s="3" t="s">
        <v>32</v>
      </c>
      <c r="E5406" s="4" t="s">
        <v>22</v>
      </c>
      <c r="F5406" s="4" t="s">
        <v>28473</v>
      </c>
      <c r="G5406" s="4" t="s">
        <v>28474</v>
      </c>
      <c r="H5406" s="3" t="s">
        <v>26808</v>
      </c>
      <c r="I5406" s="3" t="s">
        <v>28475</v>
      </c>
      <c r="J5406" s="3" t="s">
        <v>28479</v>
      </c>
      <c r="K5406" s="3" t="s">
        <v>28480</v>
      </c>
      <c r="L5406" s="3"/>
      <c r="M5406" s="4" t="s">
        <v>28481</v>
      </c>
      <c r="N5406" s="3" t="s">
        <v>37</v>
      </c>
      <c r="O5406" s="3"/>
      <c r="P5406" s="5">
        <v>11</v>
      </c>
      <c r="Q5406" s="5">
        <v>99</v>
      </c>
      <c r="R5406" s="5">
        <v>11</v>
      </c>
      <c r="S5406" s="5">
        <v>103</v>
      </c>
    </row>
    <row r="5407" spans="1:19" ht="42" x14ac:dyDescent="0.15">
      <c r="A5407" s="2">
        <f>HYPERLINK("https://open-school.uspishnemisto.com.ua/school/260340/", 260340)</f>
        <v>260340</v>
      </c>
      <c r="B5407" s="3" t="s">
        <v>28482</v>
      </c>
      <c r="C5407" s="3" t="s">
        <v>31</v>
      </c>
      <c r="D5407" s="3" t="s">
        <v>32</v>
      </c>
      <c r="E5407" s="4" t="s">
        <v>22</v>
      </c>
      <c r="F5407" s="4" t="s">
        <v>28483</v>
      </c>
      <c r="G5407" s="4" t="s">
        <v>28484</v>
      </c>
      <c r="H5407" s="3" t="s">
        <v>26808</v>
      </c>
      <c r="I5407" s="3" t="s">
        <v>28485</v>
      </c>
      <c r="J5407" s="3" t="s">
        <v>28486</v>
      </c>
      <c r="K5407" s="3" t="s">
        <v>28487</v>
      </c>
      <c r="L5407" s="3"/>
      <c r="M5407" s="4"/>
      <c r="N5407" s="3" t="s">
        <v>37</v>
      </c>
      <c r="O5407" s="3" t="s">
        <v>123</v>
      </c>
      <c r="P5407" s="5">
        <v>33</v>
      </c>
      <c r="Q5407" s="5">
        <v>814</v>
      </c>
      <c r="R5407" s="5">
        <v>34</v>
      </c>
      <c r="S5407" s="5">
        <v>809</v>
      </c>
    </row>
    <row r="5408" spans="1:19" ht="42" x14ac:dyDescent="0.15">
      <c r="A5408" s="2">
        <f>HYPERLINK("https://open-school.uspishnemisto.com.ua/school/260341/", 260341)</f>
        <v>260341</v>
      </c>
      <c r="B5408" s="3" t="s">
        <v>28488</v>
      </c>
      <c r="C5408" s="3" t="s">
        <v>31</v>
      </c>
      <c r="D5408" s="3" t="s">
        <v>175</v>
      </c>
      <c r="E5408" s="4" t="s">
        <v>22</v>
      </c>
      <c r="F5408" s="4" t="s">
        <v>28489</v>
      </c>
      <c r="G5408" s="4" t="s">
        <v>28490</v>
      </c>
      <c r="H5408" s="3" t="s">
        <v>26808</v>
      </c>
      <c r="I5408" s="3" t="s">
        <v>28491</v>
      </c>
      <c r="J5408" s="3" t="s">
        <v>19322</v>
      </c>
      <c r="K5408" s="3" t="s">
        <v>28492</v>
      </c>
      <c r="L5408" s="3"/>
      <c r="M5408" s="4"/>
      <c r="N5408" s="3" t="s">
        <v>37</v>
      </c>
      <c r="O5408" s="3" t="s">
        <v>2740</v>
      </c>
      <c r="P5408" s="5">
        <v>9</v>
      </c>
      <c r="Q5408" s="5">
        <v>108</v>
      </c>
      <c r="R5408" s="5">
        <v>9</v>
      </c>
      <c r="S5408" s="5">
        <v>106</v>
      </c>
    </row>
    <row r="5409" spans="1:19" ht="42" x14ac:dyDescent="0.15">
      <c r="A5409" s="2">
        <f>HYPERLINK("https://open-school.uspishnemisto.com.ua/school/260342/", 260342)</f>
        <v>260342</v>
      </c>
      <c r="B5409" s="3" t="s">
        <v>28493</v>
      </c>
      <c r="C5409" s="3" t="s">
        <v>31</v>
      </c>
      <c r="D5409" s="3" t="s">
        <v>32</v>
      </c>
      <c r="E5409" s="4" t="s">
        <v>22</v>
      </c>
      <c r="F5409" s="4" t="s">
        <v>28494</v>
      </c>
      <c r="G5409" s="4" t="s">
        <v>28495</v>
      </c>
      <c r="H5409" s="3" t="s">
        <v>26808</v>
      </c>
      <c r="I5409" s="3" t="s">
        <v>28496</v>
      </c>
      <c r="J5409" s="3" t="s">
        <v>2745</v>
      </c>
      <c r="K5409" s="3" t="s">
        <v>28497</v>
      </c>
      <c r="L5409" s="3" t="s">
        <v>28498</v>
      </c>
      <c r="M5409" s="4"/>
      <c r="N5409" s="3" t="s">
        <v>37</v>
      </c>
      <c r="O5409" s="3" t="s">
        <v>46</v>
      </c>
      <c r="P5409" s="5">
        <v>23</v>
      </c>
      <c r="Q5409" s="5">
        <v>556</v>
      </c>
      <c r="R5409" s="5">
        <v>23</v>
      </c>
      <c r="S5409" s="5">
        <v>550</v>
      </c>
    </row>
    <row r="5410" spans="1:19" ht="42" x14ac:dyDescent="0.15">
      <c r="A5410" s="2">
        <f>HYPERLINK("https://open-school.uspishnemisto.com.ua/school/260343/", 260343)</f>
        <v>260343</v>
      </c>
      <c r="B5410" s="3" t="s">
        <v>28499</v>
      </c>
      <c r="C5410" s="3" t="s">
        <v>181</v>
      </c>
      <c r="D5410" s="3"/>
      <c r="E5410" s="4" t="s">
        <v>22</v>
      </c>
      <c r="F5410" s="4" t="s">
        <v>28494</v>
      </c>
      <c r="G5410" s="4" t="s">
        <v>28495</v>
      </c>
      <c r="H5410" s="3" t="s">
        <v>26808</v>
      </c>
      <c r="I5410" s="3" t="s">
        <v>28496</v>
      </c>
      <c r="J5410" s="3" t="s">
        <v>28500</v>
      </c>
      <c r="K5410" s="3" t="s">
        <v>28501</v>
      </c>
      <c r="L5410" s="3"/>
      <c r="M5410" s="4" t="s">
        <v>28502</v>
      </c>
      <c r="N5410" s="3" t="s">
        <v>37</v>
      </c>
      <c r="O5410" s="3"/>
      <c r="P5410" s="5">
        <v>10</v>
      </c>
      <c r="Q5410" s="5">
        <v>105</v>
      </c>
      <c r="R5410" s="5">
        <v>10</v>
      </c>
      <c r="S5410" s="5">
        <v>100</v>
      </c>
    </row>
    <row r="5411" spans="1:19" ht="56" x14ac:dyDescent="0.15">
      <c r="A5411" s="2">
        <f>HYPERLINK("https://open-school.uspishnemisto.com.ua/school/260344/", 260344)</f>
        <v>260344</v>
      </c>
      <c r="B5411" s="3" t="s">
        <v>28503</v>
      </c>
      <c r="C5411" s="3" t="s">
        <v>54</v>
      </c>
      <c r="D5411" s="3" t="s">
        <v>32</v>
      </c>
      <c r="E5411" s="4" t="s">
        <v>22</v>
      </c>
      <c r="F5411" s="4" t="s">
        <v>28504</v>
      </c>
      <c r="G5411" s="4" t="s">
        <v>28505</v>
      </c>
      <c r="H5411" s="3" t="s">
        <v>26808</v>
      </c>
      <c r="I5411" s="3" t="s">
        <v>28506</v>
      </c>
      <c r="J5411" s="3" t="s">
        <v>28507</v>
      </c>
      <c r="K5411" s="3" t="s">
        <v>28508</v>
      </c>
      <c r="L5411" s="3"/>
      <c r="M5411" s="4"/>
      <c r="N5411" s="3" t="s">
        <v>37</v>
      </c>
      <c r="O5411" s="3" t="s">
        <v>46</v>
      </c>
      <c r="P5411" s="5">
        <v>11</v>
      </c>
      <c r="Q5411" s="5">
        <v>211</v>
      </c>
      <c r="R5411" s="5">
        <v>12</v>
      </c>
      <c r="S5411" s="5">
        <v>224</v>
      </c>
    </row>
    <row r="5412" spans="1:19" ht="56" x14ac:dyDescent="0.15">
      <c r="A5412" s="2">
        <f>HYPERLINK("https://open-school.uspishnemisto.com.ua/school/260345/", 260345)</f>
        <v>260345</v>
      </c>
      <c r="B5412" s="3" t="s">
        <v>28509</v>
      </c>
      <c r="C5412" s="3" t="s">
        <v>31</v>
      </c>
      <c r="D5412" s="3" t="s">
        <v>32</v>
      </c>
      <c r="E5412" s="4" t="s">
        <v>22</v>
      </c>
      <c r="F5412" s="4" t="s">
        <v>28510</v>
      </c>
      <c r="G5412" s="4" t="s">
        <v>28511</v>
      </c>
      <c r="H5412" s="3" t="s">
        <v>26808</v>
      </c>
      <c r="I5412" s="3" t="s">
        <v>28512</v>
      </c>
      <c r="J5412" s="3" t="s">
        <v>28513</v>
      </c>
      <c r="K5412" s="3" t="s">
        <v>28514</v>
      </c>
      <c r="L5412" s="3"/>
      <c r="M5412" s="4"/>
      <c r="N5412" s="3" t="s">
        <v>37</v>
      </c>
      <c r="O5412" s="3" t="s">
        <v>46</v>
      </c>
      <c r="P5412" s="5">
        <v>18</v>
      </c>
      <c r="Q5412" s="5">
        <v>335</v>
      </c>
      <c r="R5412" s="5">
        <v>18</v>
      </c>
      <c r="S5412" s="5">
        <v>329</v>
      </c>
    </row>
    <row r="5413" spans="1:19" ht="42" x14ac:dyDescent="0.15">
      <c r="A5413" s="2">
        <f>HYPERLINK("https://open-school.uspishnemisto.com.ua/school/260346/", 260346)</f>
        <v>260346</v>
      </c>
      <c r="B5413" s="3" t="s">
        <v>28515</v>
      </c>
      <c r="C5413" s="3" t="s">
        <v>54</v>
      </c>
      <c r="D5413" s="3" t="s">
        <v>32</v>
      </c>
      <c r="E5413" s="4" t="s">
        <v>22</v>
      </c>
      <c r="F5413" s="4" t="s">
        <v>28516</v>
      </c>
      <c r="G5413" s="4" t="s">
        <v>28517</v>
      </c>
      <c r="H5413" s="3" t="s">
        <v>26808</v>
      </c>
      <c r="I5413" s="3" t="s">
        <v>27840</v>
      </c>
      <c r="J5413" s="3" t="s">
        <v>28518</v>
      </c>
      <c r="K5413" s="3" t="s">
        <v>28519</v>
      </c>
      <c r="L5413" s="3"/>
      <c r="M5413" s="4"/>
      <c r="N5413" s="3" t="s">
        <v>37</v>
      </c>
      <c r="O5413" s="3" t="s">
        <v>2740</v>
      </c>
      <c r="P5413" s="5">
        <v>11</v>
      </c>
      <c r="Q5413" s="5">
        <v>160</v>
      </c>
      <c r="R5413" s="5">
        <v>12</v>
      </c>
      <c r="S5413" s="5">
        <v>158</v>
      </c>
    </row>
    <row r="5414" spans="1:19" ht="42" x14ac:dyDescent="0.15">
      <c r="A5414" s="2">
        <f>HYPERLINK("https://open-school.uspishnemisto.com.ua/school/260347/", 260347)</f>
        <v>260347</v>
      </c>
      <c r="B5414" s="3" t="s">
        <v>28520</v>
      </c>
      <c r="C5414" s="3" t="s">
        <v>31</v>
      </c>
      <c r="D5414" s="3" t="s">
        <v>32</v>
      </c>
      <c r="E5414" s="4" t="s">
        <v>22</v>
      </c>
      <c r="F5414" s="4" t="s">
        <v>28521</v>
      </c>
      <c r="G5414" s="4" t="s">
        <v>28522</v>
      </c>
      <c r="H5414" s="3" t="s">
        <v>26808</v>
      </c>
      <c r="I5414" s="3" t="s">
        <v>6483</v>
      </c>
      <c r="J5414" s="3" t="s">
        <v>28523</v>
      </c>
      <c r="K5414" s="3" t="s">
        <v>28524</v>
      </c>
      <c r="L5414" s="3"/>
      <c r="M5414" s="4"/>
      <c r="N5414" s="3" t="s">
        <v>37</v>
      </c>
      <c r="O5414" s="3" t="s">
        <v>2740</v>
      </c>
      <c r="P5414" s="5">
        <v>10</v>
      </c>
      <c r="Q5414" s="5">
        <v>200</v>
      </c>
      <c r="R5414" s="5">
        <v>11</v>
      </c>
      <c r="S5414" s="5">
        <v>206</v>
      </c>
    </row>
    <row r="5415" spans="1:19" ht="42" x14ac:dyDescent="0.15">
      <c r="A5415" s="2">
        <f>HYPERLINK("https://open-school.uspishnemisto.com.ua/school/260348/", 260348)</f>
        <v>260348</v>
      </c>
      <c r="B5415" s="3" t="s">
        <v>28525</v>
      </c>
      <c r="C5415" s="3" t="s">
        <v>31</v>
      </c>
      <c r="D5415" s="3" t="s">
        <v>32</v>
      </c>
      <c r="E5415" s="4" t="s">
        <v>22</v>
      </c>
      <c r="F5415" s="4" t="s">
        <v>28526</v>
      </c>
      <c r="G5415" s="4" t="s">
        <v>28527</v>
      </c>
      <c r="H5415" s="3" t="s">
        <v>26808</v>
      </c>
      <c r="I5415" s="3" t="s">
        <v>28528</v>
      </c>
      <c r="J5415" s="3" t="s">
        <v>3399</v>
      </c>
      <c r="K5415" s="3" t="s">
        <v>28529</v>
      </c>
      <c r="L5415" s="3"/>
      <c r="M5415" s="4"/>
      <c r="N5415" s="3" t="s">
        <v>37</v>
      </c>
      <c r="O5415" s="3" t="s">
        <v>46</v>
      </c>
      <c r="P5415" s="5">
        <v>11</v>
      </c>
      <c r="Q5415" s="5">
        <v>159</v>
      </c>
      <c r="R5415" s="5">
        <v>11</v>
      </c>
      <c r="S5415" s="5">
        <v>179</v>
      </c>
    </row>
    <row r="5416" spans="1:19" ht="42" x14ac:dyDescent="0.15">
      <c r="A5416" s="2">
        <f>HYPERLINK("https://open-school.uspishnemisto.com.ua/school/260349/", 260349)</f>
        <v>260349</v>
      </c>
      <c r="B5416" s="3" t="s">
        <v>28530</v>
      </c>
      <c r="C5416" s="3" t="s">
        <v>31</v>
      </c>
      <c r="D5416" s="3" t="s">
        <v>175</v>
      </c>
      <c r="E5416" s="4" t="s">
        <v>22</v>
      </c>
      <c r="F5416" s="4" t="s">
        <v>28531</v>
      </c>
      <c r="G5416" s="4" t="s">
        <v>28532</v>
      </c>
      <c r="H5416" s="3" t="s">
        <v>26808</v>
      </c>
      <c r="I5416" s="3" t="s">
        <v>28533</v>
      </c>
      <c r="J5416" s="3" t="s">
        <v>28534</v>
      </c>
      <c r="K5416" s="3" t="s">
        <v>28535</v>
      </c>
      <c r="L5416" s="3"/>
      <c r="M5416" s="4"/>
      <c r="N5416" s="3" t="s">
        <v>37</v>
      </c>
      <c r="O5416" s="3" t="s">
        <v>46</v>
      </c>
      <c r="P5416" s="5">
        <v>9</v>
      </c>
      <c r="Q5416" s="5">
        <v>86</v>
      </c>
      <c r="R5416" s="5">
        <v>9</v>
      </c>
      <c r="S5416" s="5">
        <v>85</v>
      </c>
    </row>
    <row r="5417" spans="1:19" ht="42" x14ac:dyDescent="0.15">
      <c r="A5417" s="2">
        <f>HYPERLINK("https://open-school.uspishnemisto.com.ua/school/260350/", 260350)</f>
        <v>260350</v>
      </c>
      <c r="B5417" s="3" t="s">
        <v>28536</v>
      </c>
      <c r="C5417" s="3" t="s">
        <v>31</v>
      </c>
      <c r="D5417" s="3" t="s">
        <v>175</v>
      </c>
      <c r="E5417" s="4" t="s">
        <v>22</v>
      </c>
      <c r="F5417" s="4" t="s">
        <v>28537</v>
      </c>
      <c r="G5417" s="4" t="s">
        <v>28538</v>
      </c>
      <c r="H5417" s="3" t="s">
        <v>26808</v>
      </c>
      <c r="I5417" s="3" t="s">
        <v>28539</v>
      </c>
      <c r="J5417" s="3" t="s">
        <v>28540</v>
      </c>
      <c r="K5417" s="3" t="s">
        <v>28541</v>
      </c>
      <c r="L5417" s="3"/>
      <c r="M5417" s="4"/>
      <c r="N5417" s="3" t="s">
        <v>37</v>
      </c>
      <c r="O5417" s="3" t="s">
        <v>46</v>
      </c>
      <c r="P5417" s="5">
        <v>9</v>
      </c>
      <c r="Q5417" s="5">
        <v>139</v>
      </c>
      <c r="R5417" s="5">
        <v>9</v>
      </c>
      <c r="S5417" s="5">
        <v>140</v>
      </c>
    </row>
    <row r="5418" spans="1:19" ht="42" x14ac:dyDescent="0.15">
      <c r="A5418" s="2">
        <f>HYPERLINK("https://open-school.uspishnemisto.com.ua/school/260351/", 260351)</f>
        <v>260351</v>
      </c>
      <c r="B5418" s="3" t="s">
        <v>28542</v>
      </c>
      <c r="C5418" s="3" t="s">
        <v>31</v>
      </c>
      <c r="D5418" s="3" t="s">
        <v>175</v>
      </c>
      <c r="E5418" s="4" t="s">
        <v>22</v>
      </c>
      <c r="F5418" s="4" t="s">
        <v>28543</v>
      </c>
      <c r="G5418" s="4" t="s">
        <v>28544</v>
      </c>
      <c r="H5418" s="3" t="s">
        <v>26808</v>
      </c>
      <c r="I5418" s="3" t="s">
        <v>28545</v>
      </c>
      <c r="J5418" s="3" t="s">
        <v>3393</v>
      </c>
      <c r="K5418" s="3" t="s">
        <v>28546</v>
      </c>
      <c r="L5418" s="3"/>
      <c r="M5418" s="4"/>
      <c r="N5418" s="3" t="s">
        <v>37</v>
      </c>
      <c r="O5418" s="3" t="s">
        <v>46</v>
      </c>
      <c r="P5418" s="5">
        <v>11</v>
      </c>
      <c r="Q5418" s="5">
        <v>125</v>
      </c>
      <c r="R5418" s="5">
        <v>10</v>
      </c>
      <c r="S5418" s="5">
        <v>121</v>
      </c>
    </row>
    <row r="5419" spans="1:19" ht="42" x14ac:dyDescent="0.15">
      <c r="A5419" s="2">
        <f>HYPERLINK("https://open-school.uspishnemisto.com.ua/school/260352/", 260352)</f>
        <v>260352</v>
      </c>
      <c r="B5419" s="3" t="s">
        <v>28547</v>
      </c>
      <c r="C5419" s="3" t="s">
        <v>31</v>
      </c>
      <c r="D5419" s="3" t="s">
        <v>60</v>
      </c>
      <c r="E5419" s="4" t="s">
        <v>22</v>
      </c>
      <c r="F5419" s="4" t="s">
        <v>28548</v>
      </c>
      <c r="G5419" s="4" t="s">
        <v>28549</v>
      </c>
      <c r="H5419" s="3" t="s">
        <v>26808</v>
      </c>
      <c r="I5419" s="3" t="s">
        <v>28550</v>
      </c>
      <c r="J5419" s="3" t="s">
        <v>17309</v>
      </c>
      <c r="K5419" s="3"/>
      <c r="L5419" s="3"/>
      <c r="M5419" s="4"/>
      <c r="N5419" s="3" t="s">
        <v>37</v>
      </c>
      <c r="O5419" s="3" t="s">
        <v>618</v>
      </c>
      <c r="P5419" s="5">
        <v>1</v>
      </c>
      <c r="Q5419" s="5">
        <v>14</v>
      </c>
      <c r="R5419" s="5">
        <v>2</v>
      </c>
      <c r="S5419" s="5">
        <v>17</v>
      </c>
    </row>
    <row r="5420" spans="1:19" ht="42" x14ac:dyDescent="0.15">
      <c r="A5420" s="2">
        <f>HYPERLINK("https://open-school.uspishnemisto.com.ua/school/260353/", 260353)</f>
        <v>260353</v>
      </c>
      <c r="B5420" s="3" t="s">
        <v>28551</v>
      </c>
      <c r="C5420" s="3" t="s">
        <v>54</v>
      </c>
      <c r="D5420" s="3" t="s">
        <v>60</v>
      </c>
      <c r="E5420" s="4" t="s">
        <v>22</v>
      </c>
      <c r="F5420" s="4" t="s">
        <v>28552</v>
      </c>
      <c r="G5420" s="4" t="s">
        <v>28553</v>
      </c>
      <c r="H5420" s="3" t="s">
        <v>26808</v>
      </c>
      <c r="I5420" s="3" t="s">
        <v>28554</v>
      </c>
      <c r="J5420" s="3" t="s">
        <v>466</v>
      </c>
      <c r="K5420" s="3" t="s">
        <v>28555</v>
      </c>
      <c r="L5420" s="3"/>
      <c r="M5420" s="4"/>
      <c r="N5420" s="3" t="s">
        <v>37</v>
      </c>
      <c r="O5420" s="3" t="s">
        <v>52</v>
      </c>
      <c r="P5420" s="5">
        <v>4</v>
      </c>
      <c r="Q5420" s="5">
        <v>35</v>
      </c>
      <c r="R5420" s="5">
        <v>4</v>
      </c>
      <c r="S5420" s="5">
        <v>36</v>
      </c>
    </row>
    <row r="5421" spans="1:19" ht="42" x14ac:dyDescent="0.15">
      <c r="A5421" s="2">
        <f>HYPERLINK("https://open-school.uspishnemisto.com.ua/school/260354/", 260354)</f>
        <v>260354</v>
      </c>
      <c r="B5421" s="3" t="s">
        <v>28556</v>
      </c>
      <c r="C5421" s="3" t="s">
        <v>54</v>
      </c>
      <c r="D5421" s="3" t="s">
        <v>175</v>
      </c>
      <c r="E5421" s="4" t="s">
        <v>22</v>
      </c>
      <c r="F5421" s="4" t="s">
        <v>28557</v>
      </c>
      <c r="G5421" s="4" t="s">
        <v>28558</v>
      </c>
      <c r="H5421" s="3" t="s">
        <v>26808</v>
      </c>
      <c r="I5421" s="3" t="s">
        <v>28559</v>
      </c>
      <c r="J5421" s="3" t="s">
        <v>28560</v>
      </c>
      <c r="K5421" s="3" t="s">
        <v>28561</v>
      </c>
      <c r="L5421" s="3" t="s">
        <v>28562</v>
      </c>
      <c r="M5421" s="4"/>
      <c r="N5421" s="3" t="s">
        <v>37</v>
      </c>
      <c r="O5421" s="3" t="s">
        <v>46</v>
      </c>
      <c r="P5421" s="5">
        <v>9</v>
      </c>
      <c r="Q5421" s="5">
        <v>112</v>
      </c>
      <c r="R5421" s="5">
        <v>9</v>
      </c>
      <c r="S5421" s="5">
        <v>114</v>
      </c>
    </row>
    <row r="5422" spans="1:19" ht="42" x14ac:dyDescent="0.15">
      <c r="A5422" s="2">
        <f>HYPERLINK("https://open-school.uspishnemisto.com.ua/school/260355/", 260355)</f>
        <v>260355</v>
      </c>
      <c r="B5422" s="3" t="s">
        <v>28563</v>
      </c>
      <c r="C5422" s="3" t="s">
        <v>31</v>
      </c>
      <c r="D5422" s="3" t="s">
        <v>175</v>
      </c>
      <c r="E5422" s="4" t="s">
        <v>22</v>
      </c>
      <c r="F5422" s="4" t="s">
        <v>28564</v>
      </c>
      <c r="G5422" s="4" t="s">
        <v>28565</v>
      </c>
      <c r="H5422" s="3" t="s">
        <v>26808</v>
      </c>
      <c r="I5422" s="3" t="s">
        <v>28566</v>
      </c>
      <c r="J5422" s="3" t="s">
        <v>28567</v>
      </c>
      <c r="K5422" s="3" t="s">
        <v>28568</v>
      </c>
      <c r="L5422" s="3" t="s">
        <v>28569</v>
      </c>
      <c r="M5422" s="4"/>
      <c r="N5422" s="3" t="s">
        <v>37</v>
      </c>
      <c r="O5422" s="3" t="s">
        <v>46</v>
      </c>
      <c r="P5422" s="5">
        <v>8</v>
      </c>
      <c r="Q5422" s="5">
        <v>71</v>
      </c>
      <c r="R5422" s="5">
        <v>8</v>
      </c>
      <c r="S5422" s="5">
        <v>71</v>
      </c>
    </row>
    <row r="5423" spans="1:19" ht="42" x14ac:dyDescent="0.15">
      <c r="A5423" s="2">
        <f>HYPERLINK("https://open-school.uspishnemisto.com.ua/school/260356/", 260356)</f>
        <v>260356</v>
      </c>
      <c r="B5423" s="3" t="s">
        <v>28570</v>
      </c>
      <c r="C5423" s="3" t="s">
        <v>31</v>
      </c>
      <c r="D5423" s="3" t="s">
        <v>60</v>
      </c>
      <c r="E5423" s="4" t="s">
        <v>22</v>
      </c>
      <c r="F5423" s="4" t="s">
        <v>28571</v>
      </c>
      <c r="G5423" s="4" t="s">
        <v>28572</v>
      </c>
      <c r="H5423" s="3" t="s">
        <v>26808</v>
      </c>
      <c r="I5423" s="3" t="s">
        <v>28573</v>
      </c>
      <c r="J5423" s="3" t="s">
        <v>28574</v>
      </c>
      <c r="K5423" s="3" t="s">
        <v>28575</v>
      </c>
      <c r="L5423" s="3"/>
      <c r="M5423" s="4"/>
      <c r="N5423" s="3" t="s">
        <v>37</v>
      </c>
      <c r="O5423" s="3" t="s">
        <v>52</v>
      </c>
      <c r="P5423" s="5">
        <v>2</v>
      </c>
      <c r="Q5423" s="5">
        <v>13</v>
      </c>
      <c r="R5423" s="5">
        <v>1</v>
      </c>
      <c r="S5423" s="5">
        <v>11</v>
      </c>
    </row>
    <row r="5424" spans="1:19" ht="42" x14ac:dyDescent="0.15">
      <c r="A5424" s="2">
        <f>HYPERLINK("https://open-school.uspishnemisto.com.ua/school/260357/", 260357)</f>
        <v>260357</v>
      </c>
      <c r="B5424" s="3" t="s">
        <v>28576</v>
      </c>
      <c r="C5424" s="3" t="s">
        <v>31</v>
      </c>
      <c r="D5424" s="3" t="s">
        <v>32</v>
      </c>
      <c r="E5424" s="4" t="s">
        <v>22</v>
      </c>
      <c r="F5424" s="4" t="s">
        <v>28577</v>
      </c>
      <c r="G5424" s="4" t="s">
        <v>28578</v>
      </c>
      <c r="H5424" s="3" t="s">
        <v>26808</v>
      </c>
      <c r="I5424" s="3" t="s">
        <v>28579</v>
      </c>
      <c r="J5424" s="3" t="s">
        <v>28580</v>
      </c>
      <c r="K5424" s="3" t="s">
        <v>28581</v>
      </c>
      <c r="L5424" s="3"/>
      <c r="M5424" s="4"/>
      <c r="N5424" s="3" t="s">
        <v>37</v>
      </c>
      <c r="O5424" s="3" t="s">
        <v>46</v>
      </c>
      <c r="P5424" s="5">
        <v>8</v>
      </c>
      <c r="Q5424" s="5">
        <v>93</v>
      </c>
      <c r="R5424" s="5">
        <v>9</v>
      </c>
      <c r="S5424" s="5">
        <v>96</v>
      </c>
    </row>
    <row r="5425" spans="1:19" ht="42" x14ac:dyDescent="0.15">
      <c r="A5425" s="2">
        <f>HYPERLINK("https://open-school.uspishnemisto.com.ua/school/260358/", 260358)</f>
        <v>260358</v>
      </c>
      <c r="B5425" s="3" t="s">
        <v>28582</v>
      </c>
      <c r="C5425" s="3" t="s">
        <v>31</v>
      </c>
      <c r="D5425" s="3" t="s">
        <v>60</v>
      </c>
      <c r="E5425" s="4" t="s">
        <v>22</v>
      </c>
      <c r="F5425" s="4" t="s">
        <v>28577</v>
      </c>
      <c r="G5425" s="4" t="s">
        <v>28583</v>
      </c>
      <c r="H5425" s="3" t="s">
        <v>26808</v>
      </c>
      <c r="I5425" s="3" t="s">
        <v>28584</v>
      </c>
      <c r="J5425" s="3" t="s">
        <v>28585</v>
      </c>
      <c r="K5425" s="3" t="s">
        <v>28586</v>
      </c>
      <c r="L5425" s="3"/>
      <c r="M5425" s="4"/>
      <c r="N5425" s="3" t="s">
        <v>37</v>
      </c>
      <c r="O5425" s="3" t="s">
        <v>52</v>
      </c>
      <c r="P5425" s="5">
        <v>1</v>
      </c>
      <c r="Q5425" s="5">
        <v>11</v>
      </c>
      <c r="R5425" s="5">
        <v>1</v>
      </c>
      <c r="S5425" s="5">
        <v>10</v>
      </c>
    </row>
    <row r="5426" spans="1:19" ht="56" x14ac:dyDescent="0.15">
      <c r="A5426" s="2">
        <f>HYPERLINK("https://open-school.uspishnemisto.com.ua/school/260359/", 260359)</f>
        <v>260359</v>
      </c>
      <c r="B5426" s="3" t="s">
        <v>28587</v>
      </c>
      <c r="C5426" s="3" t="s">
        <v>54</v>
      </c>
      <c r="D5426" s="3" t="s">
        <v>32</v>
      </c>
      <c r="E5426" s="4" t="s">
        <v>22</v>
      </c>
      <c r="F5426" s="4" t="s">
        <v>28588</v>
      </c>
      <c r="G5426" s="4" t="s">
        <v>28589</v>
      </c>
      <c r="H5426" s="3" t="s">
        <v>26808</v>
      </c>
      <c r="I5426" s="3" t="s">
        <v>478</v>
      </c>
      <c r="J5426" s="3" t="s">
        <v>2465</v>
      </c>
      <c r="K5426" s="3" t="s">
        <v>28590</v>
      </c>
      <c r="L5426" s="3"/>
      <c r="M5426" s="4"/>
      <c r="N5426" s="3" t="s">
        <v>37</v>
      </c>
      <c r="O5426" s="3" t="s">
        <v>46</v>
      </c>
      <c r="P5426" s="5">
        <v>10</v>
      </c>
      <c r="Q5426" s="5">
        <v>149</v>
      </c>
      <c r="R5426" s="5">
        <v>11</v>
      </c>
      <c r="S5426" s="5">
        <v>149</v>
      </c>
    </row>
    <row r="5427" spans="1:19" ht="42" x14ac:dyDescent="0.15">
      <c r="A5427" s="2">
        <f>HYPERLINK("https://open-school.uspishnemisto.com.ua/school/260360/", 260360)</f>
        <v>260360</v>
      </c>
      <c r="B5427" s="3" t="s">
        <v>28591</v>
      </c>
      <c r="C5427" s="3" t="s">
        <v>31</v>
      </c>
      <c r="D5427" s="3" t="s">
        <v>32</v>
      </c>
      <c r="E5427" s="4" t="s">
        <v>22</v>
      </c>
      <c r="F5427" s="4" t="s">
        <v>28592</v>
      </c>
      <c r="G5427" s="4" t="s">
        <v>28593</v>
      </c>
      <c r="H5427" s="3" t="s">
        <v>26808</v>
      </c>
      <c r="I5427" s="3" t="s">
        <v>2857</v>
      </c>
      <c r="J5427" s="3" t="s">
        <v>14563</v>
      </c>
      <c r="K5427" s="3" t="s">
        <v>28594</v>
      </c>
      <c r="L5427" s="3"/>
      <c r="M5427" s="4"/>
      <c r="N5427" s="3" t="s">
        <v>37</v>
      </c>
      <c r="O5427" s="3" t="s">
        <v>46</v>
      </c>
      <c r="P5427" s="5">
        <v>11</v>
      </c>
      <c r="Q5427" s="5">
        <v>193</v>
      </c>
      <c r="R5427" s="5">
        <v>11</v>
      </c>
      <c r="S5427" s="5">
        <v>193</v>
      </c>
    </row>
    <row r="5428" spans="1:19" ht="42" x14ac:dyDescent="0.15">
      <c r="A5428" s="2">
        <f>HYPERLINK("https://open-school.uspishnemisto.com.ua/school/260361/", 260361)</f>
        <v>260361</v>
      </c>
      <c r="B5428" s="3" t="s">
        <v>28595</v>
      </c>
      <c r="C5428" s="3" t="s">
        <v>31</v>
      </c>
      <c r="D5428" s="3" t="s">
        <v>32</v>
      </c>
      <c r="E5428" s="4" t="s">
        <v>22</v>
      </c>
      <c r="F5428" s="4" t="s">
        <v>27114</v>
      </c>
      <c r="G5428" s="4" t="s">
        <v>28596</v>
      </c>
      <c r="H5428" s="3" t="s">
        <v>26808</v>
      </c>
      <c r="I5428" s="3" t="s">
        <v>28597</v>
      </c>
      <c r="J5428" s="3" t="s">
        <v>7905</v>
      </c>
      <c r="K5428" s="3" t="s">
        <v>28598</v>
      </c>
      <c r="L5428" s="3"/>
      <c r="M5428" s="4"/>
      <c r="N5428" s="3" t="s">
        <v>37</v>
      </c>
      <c r="O5428" s="3" t="s">
        <v>46</v>
      </c>
      <c r="P5428" s="5">
        <v>10</v>
      </c>
      <c r="Q5428" s="5">
        <v>191</v>
      </c>
      <c r="R5428" s="5">
        <v>10</v>
      </c>
      <c r="S5428" s="5">
        <v>187</v>
      </c>
    </row>
    <row r="5429" spans="1:19" ht="42" x14ac:dyDescent="0.15">
      <c r="A5429" s="2">
        <f>HYPERLINK("https://open-school.uspishnemisto.com.ua/school/260362/", 260362)</f>
        <v>260362</v>
      </c>
      <c r="B5429" s="3" t="s">
        <v>28599</v>
      </c>
      <c r="C5429" s="3" t="s">
        <v>31</v>
      </c>
      <c r="D5429" s="3" t="s">
        <v>32</v>
      </c>
      <c r="E5429" s="4" t="s">
        <v>22</v>
      </c>
      <c r="F5429" s="4" t="s">
        <v>28600</v>
      </c>
      <c r="G5429" s="4" t="s">
        <v>28601</v>
      </c>
      <c r="H5429" s="3" t="s">
        <v>26808</v>
      </c>
      <c r="I5429" s="3" t="s">
        <v>6853</v>
      </c>
      <c r="J5429" s="3" t="s">
        <v>28602</v>
      </c>
      <c r="K5429" s="3" t="s">
        <v>28603</v>
      </c>
      <c r="L5429" s="3" t="s">
        <v>28604</v>
      </c>
      <c r="M5429" s="4"/>
      <c r="N5429" s="3" t="s">
        <v>37</v>
      </c>
      <c r="O5429" s="3" t="s">
        <v>46</v>
      </c>
      <c r="P5429" s="5">
        <v>21</v>
      </c>
      <c r="Q5429" s="5">
        <v>432</v>
      </c>
      <c r="R5429" s="5">
        <v>21</v>
      </c>
      <c r="S5429" s="5">
        <v>419</v>
      </c>
    </row>
    <row r="5430" spans="1:19" ht="42" x14ac:dyDescent="0.15">
      <c r="A5430" s="2">
        <f>HYPERLINK("https://open-school.uspishnemisto.com.ua/school/260363/", 260363)</f>
        <v>260363</v>
      </c>
      <c r="B5430" s="3" t="s">
        <v>28605</v>
      </c>
      <c r="C5430" s="3" t="s">
        <v>54</v>
      </c>
      <c r="D5430" s="3" t="s">
        <v>175</v>
      </c>
      <c r="E5430" s="4" t="s">
        <v>22</v>
      </c>
      <c r="F5430" s="4" t="s">
        <v>28600</v>
      </c>
      <c r="G5430" s="4" t="s">
        <v>28606</v>
      </c>
      <c r="H5430" s="3" t="s">
        <v>26808</v>
      </c>
      <c r="I5430" s="3" t="s">
        <v>28607</v>
      </c>
      <c r="J5430" s="3" t="s">
        <v>28608</v>
      </c>
      <c r="K5430" s="3" t="s">
        <v>28609</v>
      </c>
      <c r="L5430" s="3"/>
      <c r="M5430" s="4"/>
      <c r="N5430" s="3" t="s">
        <v>37</v>
      </c>
      <c r="O5430" s="3" t="s">
        <v>46</v>
      </c>
      <c r="P5430" s="5">
        <v>8</v>
      </c>
      <c r="Q5430" s="5">
        <v>70</v>
      </c>
      <c r="R5430" s="5">
        <v>8</v>
      </c>
      <c r="S5430" s="5">
        <v>70</v>
      </c>
    </row>
    <row r="5431" spans="1:19" ht="42" x14ac:dyDescent="0.15">
      <c r="A5431" s="2">
        <f>HYPERLINK("https://open-school.uspishnemisto.com.ua/school/260364/", 260364)</f>
        <v>260364</v>
      </c>
      <c r="B5431" s="3" t="s">
        <v>28610</v>
      </c>
      <c r="C5431" s="3" t="s">
        <v>31</v>
      </c>
      <c r="D5431" s="3" t="s">
        <v>175</v>
      </c>
      <c r="E5431" s="4" t="s">
        <v>22</v>
      </c>
      <c r="F5431" s="4" t="s">
        <v>28611</v>
      </c>
      <c r="G5431" s="4" t="s">
        <v>28612</v>
      </c>
      <c r="H5431" s="3" t="s">
        <v>26808</v>
      </c>
      <c r="I5431" s="3" t="s">
        <v>28613</v>
      </c>
      <c r="J5431" s="3" t="s">
        <v>12559</v>
      </c>
      <c r="K5431" s="3" t="s">
        <v>28614</v>
      </c>
      <c r="L5431" s="3"/>
      <c r="M5431" s="4"/>
      <c r="N5431" s="3" t="s">
        <v>37</v>
      </c>
      <c r="O5431" s="3" t="s">
        <v>46</v>
      </c>
      <c r="P5431" s="5">
        <v>9</v>
      </c>
      <c r="Q5431" s="5">
        <v>158</v>
      </c>
      <c r="R5431" s="5">
        <v>9</v>
      </c>
      <c r="S5431" s="5">
        <v>149</v>
      </c>
    </row>
    <row r="5432" spans="1:19" ht="42" x14ac:dyDescent="0.15">
      <c r="A5432" s="2">
        <f>HYPERLINK("https://open-school.uspishnemisto.com.ua/school/260365/", 260365)</f>
        <v>260365</v>
      </c>
      <c r="B5432" s="3" t="s">
        <v>28615</v>
      </c>
      <c r="C5432" s="3" t="s">
        <v>31</v>
      </c>
      <c r="D5432" s="3" t="s">
        <v>32</v>
      </c>
      <c r="E5432" s="4" t="s">
        <v>22</v>
      </c>
      <c r="F5432" s="4" t="s">
        <v>28616</v>
      </c>
      <c r="G5432" s="4" t="s">
        <v>28617</v>
      </c>
      <c r="H5432" s="3" t="s">
        <v>26808</v>
      </c>
      <c r="I5432" s="3" t="s">
        <v>28618</v>
      </c>
      <c r="J5432" s="3" t="s">
        <v>28619</v>
      </c>
      <c r="K5432" s="3" t="s">
        <v>28620</v>
      </c>
      <c r="L5432" s="3"/>
      <c r="M5432" s="4"/>
      <c r="N5432" s="3" t="s">
        <v>37</v>
      </c>
      <c r="O5432" s="3" t="s">
        <v>46</v>
      </c>
      <c r="P5432" s="5">
        <v>18</v>
      </c>
      <c r="Q5432" s="5">
        <v>314</v>
      </c>
      <c r="R5432" s="5">
        <v>18</v>
      </c>
      <c r="S5432" s="5">
        <v>314</v>
      </c>
    </row>
    <row r="5433" spans="1:19" ht="42" x14ac:dyDescent="0.15">
      <c r="A5433" s="2">
        <f>HYPERLINK("https://open-school.uspishnemisto.com.ua/school/260366/", 260366)</f>
        <v>260366</v>
      </c>
      <c r="B5433" s="3" t="s">
        <v>28621</v>
      </c>
      <c r="C5433" s="3" t="s">
        <v>54</v>
      </c>
      <c r="D5433" s="3" t="s">
        <v>175</v>
      </c>
      <c r="E5433" s="4" t="s">
        <v>22</v>
      </c>
      <c r="F5433" s="4" t="s">
        <v>28622</v>
      </c>
      <c r="G5433" s="4" t="s">
        <v>28623</v>
      </c>
      <c r="H5433" s="3" t="s">
        <v>26808</v>
      </c>
      <c r="I5433" s="3" t="s">
        <v>28624</v>
      </c>
      <c r="J5433" s="3" t="s">
        <v>11565</v>
      </c>
      <c r="K5433" s="3" t="s">
        <v>28625</v>
      </c>
      <c r="L5433" s="3"/>
      <c r="M5433" s="4"/>
      <c r="N5433" s="3" t="s">
        <v>37</v>
      </c>
      <c r="O5433" s="3" t="s">
        <v>2740</v>
      </c>
      <c r="P5433" s="5">
        <v>9</v>
      </c>
      <c r="Q5433" s="5">
        <v>75</v>
      </c>
      <c r="R5433" s="5">
        <v>9</v>
      </c>
      <c r="S5433" s="5">
        <v>72</v>
      </c>
    </row>
    <row r="5434" spans="1:19" ht="42" x14ac:dyDescent="0.15">
      <c r="A5434" s="2">
        <f>HYPERLINK("https://open-school.uspishnemisto.com.ua/school/260367/", 260367)</f>
        <v>260367</v>
      </c>
      <c r="B5434" s="3" t="s">
        <v>28626</v>
      </c>
      <c r="C5434" s="3" t="s">
        <v>31</v>
      </c>
      <c r="D5434" s="3" t="s">
        <v>175</v>
      </c>
      <c r="E5434" s="4" t="s">
        <v>22</v>
      </c>
      <c r="F5434" s="4" t="s">
        <v>28627</v>
      </c>
      <c r="G5434" s="4" t="s">
        <v>28628</v>
      </c>
      <c r="H5434" s="3" t="s">
        <v>26808</v>
      </c>
      <c r="I5434" s="3" t="s">
        <v>28629</v>
      </c>
      <c r="J5434" s="3" t="s">
        <v>1360</v>
      </c>
      <c r="K5434" s="3" t="s">
        <v>28630</v>
      </c>
      <c r="L5434" s="3"/>
      <c r="M5434" s="4"/>
      <c r="N5434" s="3" t="s">
        <v>37</v>
      </c>
      <c r="O5434" s="3" t="s">
        <v>46</v>
      </c>
      <c r="P5434" s="5">
        <v>9</v>
      </c>
      <c r="Q5434" s="5">
        <v>133</v>
      </c>
      <c r="R5434" s="5">
        <v>9</v>
      </c>
      <c r="S5434" s="5">
        <v>124</v>
      </c>
    </row>
    <row r="5435" spans="1:19" ht="56" x14ac:dyDescent="0.15">
      <c r="A5435" s="2">
        <f>HYPERLINK("https://open-school.uspishnemisto.com.ua/school/260368/", 260368)</f>
        <v>260368</v>
      </c>
      <c r="B5435" s="3" t="s">
        <v>28631</v>
      </c>
      <c r="C5435" s="3" t="s">
        <v>31</v>
      </c>
      <c r="D5435" s="3" t="s">
        <v>175</v>
      </c>
      <c r="E5435" s="4" t="s">
        <v>22</v>
      </c>
      <c r="F5435" s="4" t="s">
        <v>28632</v>
      </c>
      <c r="G5435" s="4" t="s">
        <v>28633</v>
      </c>
      <c r="H5435" s="3" t="s">
        <v>26808</v>
      </c>
      <c r="I5435" s="3" t="s">
        <v>3537</v>
      </c>
      <c r="J5435" s="3" t="s">
        <v>28634</v>
      </c>
      <c r="K5435" s="3" t="s">
        <v>28635</v>
      </c>
      <c r="L5435" s="3"/>
      <c r="M5435" s="4"/>
      <c r="N5435" s="3" t="s">
        <v>37</v>
      </c>
      <c r="O5435" s="3" t="s">
        <v>46</v>
      </c>
      <c r="P5435" s="5">
        <v>9</v>
      </c>
      <c r="Q5435" s="5">
        <v>87</v>
      </c>
      <c r="R5435" s="5">
        <v>9</v>
      </c>
      <c r="S5435" s="5">
        <v>89</v>
      </c>
    </row>
    <row r="5436" spans="1:19" ht="42" x14ac:dyDescent="0.15">
      <c r="A5436" s="2">
        <f>HYPERLINK("https://open-school.uspishnemisto.com.ua/school/260369/", 260369)</f>
        <v>260369</v>
      </c>
      <c r="B5436" s="3" t="s">
        <v>28636</v>
      </c>
      <c r="C5436" s="3" t="s">
        <v>54</v>
      </c>
      <c r="D5436" s="3" t="s">
        <v>175</v>
      </c>
      <c r="E5436" s="4" t="s">
        <v>22</v>
      </c>
      <c r="F5436" s="4" t="s">
        <v>28637</v>
      </c>
      <c r="G5436" s="4" t="s">
        <v>28638</v>
      </c>
      <c r="H5436" s="3" t="s">
        <v>26808</v>
      </c>
      <c r="I5436" s="3" t="s">
        <v>28639</v>
      </c>
      <c r="J5436" s="3" t="s">
        <v>6341</v>
      </c>
      <c r="K5436" s="3" t="s">
        <v>28640</v>
      </c>
      <c r="L5436" s="3"/>
      <c r="M5436" s="4"/>
      <c r="N5436" s="3" t="s">
        <v>37</v>
      </c>
      <c r="O5436" s="3" t="s">
        <v>46</v>
      </c>
      <c r="P5436" s="5">
        <v>13</v>
      </c>
      <c r="Q5436" s="5">
        <v>156</v>
      </c>
      <c r="R5436" s="5">
        <v>11</v>
      </c>
      <c r="S5436" s="5">
        <v>145</v>
      </c>
    </row>
    <row r="5437" spans="1:19" ht="70" x14ac:dyDescent="0.15">
      <c r="A5437" s="2">
        <f>HYPERLINK("https://open-school.uspishnemisto.com.ua/school/260370/", 260370)</f>
        <v>260370</v>
      </c>
      <c r="B5437" s="3" t="s">
        <v>28641</v>
      </c>
      <c r="C5437" s="3" t="s">
        <v>54</v>
      </c>
      <c r="D5437" s="3" t="s">
        <v>175</v>
      </c>
      <c r="E5437" s="4" t="s">
        <v>22</v>
      </c>
      <c r="F5437" s="4" t="s">
        <v>28642</v>
      </c>
      <c r="G5437" s="4" t="s">
        <v>28643</v>
      </c>
      <c r="H5437" s="3" t="s">
        <v>26808</v>
      </c>
      <c r="I5437" s="3" t="s">
        <v>28644</v>
      </c>
      <c r="J5437" s="3" t="s">
        <v>28645</v>
      </c>
      <c r="K5437" s="3" t="s">
        <v>28646</v>
      </c>
      <c r="L5437" s="3"/>
      <c r="M5437" s="4"/>
      <c r="N5437" s="3" t="s">
        <v>37</v>
      </c>
      <c r="O5437" s="3" t="s">
        <v>2740</v>
      </c>
      <c r="P5437" s="5">
        <v>9</v>
      </c>
      <c r="Q5437" s="5">
        <v>166</v>
      </c>
      <c r="R5437" s="5">
        <v>9</v>
      </c>
      <c r="S5437" s="5">
        <v>158</v>
      </c>
    </row>
    <row r="5438" spans="1:19" ht="42" x14ac:dyDescent="0.15">
      <c r="A5438" s="2">
        <f>HYPERLINK("https://open-school.uspishnemisto.com.ua/school/260371/", 260371)</f>
        <v>260371</v>
      </c>
      <c r="B5438" s="3" t="s">
        <v>28647</v>
      </c>
      <c r="C5438" s="3" t="s">
        <v>31</v>
      </c>
      <c r="D5438" s="3" t="s">
        <v>175</v>
      </c>
      <c r="E5438" s="4" t="s">
        <v>22</v>
      </c>
      <c r="F5438" s="4" t="s">
        <v>28648</v>
      </c>
      <c r="G5438" s="4" t="s">
        <v>28649</v>
      </c>
      <c r="H5438" s="3" t="s">
        <v>26808</v>
      </c>
      <c r="I5438" s="3" t="s">
        <v>28650</v>
      </c>
      <c r="J5438" s="3" t="s">
        <v>28651</v>
      </c>
      <c r="K5438" s="3" t="s">
        <v>28652</v>
      </c>
      <c r="L5438" s="3"/>
      <c r="M5438" s="4"/>
      <c r="N5438" s="3" t="s">
        <v>37</v>
      </c>
      <c r="O5438" s="3" t="s">
        <v>46</v>
      </c>
      <c r="P5438" s="5">
        <v>12</v>
      </c>
      <c r="Q5438" s="5">
        <v>240</v>
      </c>
      <c r="R5438" s="5">
        <v>11</v>
      </c>
      <c r="S5438" s="5">
        <v>216</v>
      </c>
    </row>
    <row r="5439" spans="1:19" ht="56" x14ac:dyDescent="0.15">
      <c r="A5439" s="2">
        <f>HYPERLINK("https://open-school.uspishnemisto.com.ua/school/260372/", 260372)</f>
        <v>260372</v>
      </c>
      <c r="B5439" s="3" t="s">
        <v>28653</v>
      </c>
      <c r="C5439" s="3" t="s">
        <v>31</v>
      </c>
      <c r="D5439" s="3" t="s">
        <v>32</v>
      </c>
      <c r="E5439" s="4" t="s">
        <v>22</v>
      </c>
      <c r="F5439" s="4" t="s">
        <v>28654</v>
      </c>
      <c r="G5439" s="4" t="s">
        <v>28655</v>
      </c>
      <c r="H5439" s="3" t="s">
        <v>26808</v>
      </c>
      <c r="I5439" s="3" t="s">
        <v>28656</v>
      </c>
      <c r="J5439" s="3" t="s">
        <v>28657</v>
      </c>
      <c r="K5439" s="3" t="s">
        <v>28658</v>
      </c>
      <c r="L5439" s="3"/>
      <c r="M5439" s="4"/>
      <c r="N5439" s="3" t="s">
        <v>37</v>
      </c>
      <c r="O5439" s="3" t="s">
        <v>46</v>
      </c>
      <c r="P5439" s="5">
        <v>19</v>
      </c>
      <c r="Q5439" s="5">
        <v>367</v>
      </c>
      <c r="R5439" s="5">
        <v>18</v>
      </c>
      <c r="S5439" s="5">
        <v>352</v>
      </c>
    </row>
    <row r="5440" spans="1:19" ht="56" x14ac:dyDescent="0.15">
      <c r="A5440" s="2">
        <f>HYPERLINK("https://open-school.uspishnemisto.com.ua/school/260373/", 260373)</f>
        <v>260373</v>
      </c>
      <c r="B5440" s="3" t="s">
        <v>28659</v>
      </c>
      <c r="C5440" s="3" t="s">
        <v>54</v>
      </c>
      <c r="D5440" s="3" t="s">
        <v>32</v>
      </c>
      <c r="E5440" s="4" t="s">
        <v>22</v>
      </c>
      <c r="F5440" s="4" t="s">
        <v>28660</v>
      </c>
      <c r="G5440" s="4" t="s">
        <v>28661</v>
      </c>
      <c r="H5440" s="3" t="s">
        <v>26808</v>
      </c>
      <c r="I5440" s="3" t="s">
        <v>28662</v>
      </c>
      <c r="J5440" s="3" t="s">
        <v>26168</v>
      </c>
      <c r="K5440" s="3" t="s">
        <v>28663</v>
      </c>
      <c r="L5440" s="3"/>
      <c r="M5440" s="4"/>
      <c r="N5440" s="3" t="s">
        <v>37</v>
      </c>
      <c r="O5440" s="3" t="s">
        <v>46</v>
      </c>
      <c r="P5440" s="5">
        <v>10</v>
      </c>
      <c r="Q5440" s="5">
        <v>200</v>
      </c>
      <c r="R5440" s="5">
        <v>10</v>
      </c>
      <c r="S5440" s="5">
        <v>186</v>
      </c>
    </row>
    <row r="5441" spans="1:19" ht="42" x14ac:dyDescent="0.15">
      <c r="A5441" s="2">
        <f>HYPERLINK("https://open-school.uspishnemisto.com.ua/school/260374/", 260374)</f>
        <v>260374</v>
      </c>
      <c r="B5441" s="3" t="s">
        <v>28664</v>
      </c>
      <c r="C5441" s="3" t="s">
        <v>31</v>
      </c>
      <c r="D5441" s="3" t="s">
        <v>175</v>
      </c>
      <c r="E5441" s="4" t="s">
        <v>22</v>
      </c>
      <c r="F5441" s="4" t="s">
        <v>28665</v>
      </c>
      <c r="G5441" s="4" t="s">
        <v>28666</v>
      </c>
      <c r="H5441" s="3" t="s">
        <v>26808</v>
      </c>
      <c r="I5441" s="3" t="s">
        <v>28667</v>
      </c>
      <c r="J5441" s="3" t="s">
        <v>6800</v>
      </c>
      <c r="K5441" s="3" t="s">
        <v>28668</v>
      </c>
      <c r="L5441" s="3"/>
      <c r="M5441" s="4"/>
      <c r="N5441" s="3" t="s">
        <v>37</v>
      </c>
      <c r="O5441" s="3" t="s">
        <v>46</v>
      </c>
      <c r="P5441" s="5">
        <v>9</v>
      </c>
      <c r="Q5441" s="5">
        <v>103</v>
      </c>
      <c r="R5441" s="5">
        <v>9</v>
      </c>
      <c r="S5441" s="5">
        <v>102</v>
      </c>
    </row>
    <row r="5442" spans="1:19" ht="84" x14ac:dyDescent="0.15">
      <c r="A5442" s="2">
        <f>HYPERLINK("https://open-school.uspishnemisto.com.ua/school/260375/", 260375)</f>
        <v>260375</v>
      </c>
      <c r="B5442" s="3" t="s">
        <v>28669</v>
      </c>
      <c r="C5442" s="3" t="s">
        <v>54</v>
      </c>
      <c r="D5442" s="3" t="s">
        <v>32</v>
      </c>
      <c r="E5442" s="4" t="s">
        <v>22</v>
      </c>
      <c r="F5442" s="4" t="s">
        <v>28670</v>
      </c>
      <c r="G5442" s="4" t="s">
        <v>28671</v>
      </c>
      <c r="H5442" s="3" t="s">
        <v>26808</v>
      </c>
      <c r="I5442" s="3" t="s">
        <v>28672</v>
      </c>
      <c r="J5442" s="3" t="s">
        <v>28673</v>
      </c>
      <c r="K5442" s="3" t="s">
        <v>28674</v>
      </c>
      <c r="L5442" s="3"/>
      <c r="M5442" s="4"/>
      <c r="N5442" s="3" t="s">
        <v>37</v>
      </c>
      <c r="O5442" s="3" t="s">
        <v>46</v>
      </c>
      <c r="P5442" s="5">
        <v>15</v>
      </c>
      <c r="Q5442" s="5">
        <v>237</v>
      </c>
      <c r="R5442" s="5">
        <v>15</v>
      </c>
      <c r="S5442" s="5">
        <v>243</v>
      </c>
    </row>
    <row r="5443" spans="1:19" ht="42" x14ac:dyDescent="0.15">
      <c r="A5443" s="2">
        <f>HYPERLINK("https://open-school.uspishnemisto.com.ua/school/260376/", 260376)</f>
        <v>260376</v>
      </c>
      <c r="B5443" s="3" t="s">
        <v>28675</v>
      </c>
      <c r="C5443" s="3" t="s">
        <v>54</v>
      </c>
      <c r="D5443" s="3" t="s">
        <v>175</v>
      </c>
      <c r="E5443" s="4" t="s">
        <v>22</v>
      </c>
      <c r="F5443" s="4" t="s">
        <v>28676</v>
      </c>
      <c r="G5443" s="4" t="s">
        <v>28677</v>
      </c>
      <c r="H5443" s="3" t="s">
        <v>26808</v>
      </c>
      <c r="I5443" s="3" t="s">
        <v>28678</v>
      </c>
      <c r="J5443" s="3" t="s">
        <v>28679</v>
      </c>
      <c r="K5443" s="3" t="s">
        <v>28680</v>
      </c>
      <c r="L5443" s="3"/>
      <c r="M5443" s="4"/>
      <c r="N5443" s="3" t="s">
        <v>37</v>
      </c>
      <c r="O5443" s="3" t="s">
        <v>46</v>
      </c>
      <c r="P5443" s="5">
        <v>10</v>
      </c>
      <c r="Q5443" s="5">
        <v>132</v>
      </c>
      <c r="R5443" s="5">
        <v>11</v>
      </c>
      <c r="S5443" s="5">
        <v>132</v>
      </c>
    </row>
    <row r="5444" spans="1:19" ht="42" x14ac:dyDescent="0.15">
      <c r="A5444" s="2">
        <f>HYPERLINK("https://open-school.uspishnemisto.com.ua/school/260377/", 260377)</f>
        <v>260377</v>
      </c>
      <c r="B5444" s="3" t="s">
        <v>28681</v>
      </c>
      <c r="C5444" s="3" t="s">
        <v>31</v>
      </c>
      <c r="D5444" s="3" t="s">
        <v>60</v>
      </c>
      <c r="E5444" s="4" t="s">
        <v>22</v>
      </c>
      <c r="F5444" s="4" t="s">
        <v>28682</v>
      </c>
      <c r="G5444" s="4" t="s">
        <v>28683</v>
      </c>
      <c r="H5444" s="3" t="s">
        <v>26808</v>
      </c>
      <c r="I5444" s="3" t="s">
        <v>7955</v>
      </c>
      <c r="J5444" s="3" t="s">
        <v>28684</v>
      </c>
      <c r="K5444" s="3" t="s">
        <v>28685</v>
      </c>
      <c r="L5444" s="3"/>
      <c r="M5444" s="4"/>
      <c r="N5444" s="3" t="s">
        <v>37</v>
      </c>
      <c r="O5444" s="3" t="s">
        <v>52</v>
      </c>
      <c r="P5444" s="5">
        <v>4</v>
      </c>
      <c r="Q5444" s="5">
        <v>21</v>
      </c>
      <c r="R5444" s="5">
        <v>3</v>
      </c>
      <c r="S5444" s="5">
        <v>20</v>
      </c>
    </row>
    <row r="5445" spans="1:19" ht="42" x14ac:dyDescent="0.15">
      <c r="A5445" s="2">
        <f>HYPERLINK("https://open-school.uspishnemisto.com.ua/school/260378/", 260378)</f>
        <v>260378</v>
      </c>
      <c r="B5445" s="3" t="s">
        <v>28686</v>
      </c>
      <c r="C5445" s="3" t="s">
        <v>31</v>
      </c>
      <c r="D5445" s="3" t="s">
        <v>32</v>
      </c>
      <c r="E5445" s="4" t="s">
        <v>22</v>
      </c>
      <c r="F5445" s="4" t="s">
        <v>28687</v>
      </c>
      <c r="G5445" s="4" t="s">
        <v>28688</v>
      </c>
      <c r="H5445" s="3" t="s">
        <v>26808</v>
      </c>
      <c r="I5445" s="3" t="s">
        <v>28689</v>
      </c>
      <c r="J5445" s="3" t="s">
        <v>5394</v>
      </c>
      <c r="K5445" s="3" t="s">
        <v>28690</v>
      </c>
      <c r="L5445" s="3"/>
      <c r="M5445" s="4"/>
      <c r="N5445" s="3" t="s">
        <v>37</v>
      </c>
      <c r="O5445" s="3" t="s">
        <v>46</v>
      </c>
      <c r="P5445" s="5">
        <v>14</v>
      </c>
      <c r="Q5445" s="5">
        <v>255</v>
      </c>
      <c r="R5445" s="5">
        <v>15</v>
      </c>
      <c r="S5445" s="5">
        <v>264</v>
      </c>
    </row>
    <row r="5446" spans="1:19" ht="42" x14ac:dyDescent="0.15">
      <c r="A5446" s="2">
        <f>HYPERLINK("https://open-school.uspishnemisto.com.ua/school/260379/", 260379)</f>
        <v>260379</v>
      </c>
      <c r="B5446" s="3" t="s">
        <v>28691</v>
      </c>
      <c r="C5446" s="3" t="s">
        <v>31</v>
      </c>
      <c r="D5446" s="3" t="s">
        <v>32</v>
      </c>
      <c r="E5446" s="4" t="s">
        <v>22</v>
      </c>
      <c r="F5446" s="4" t="s">
        <v>28692</v>
      </c>
      <c r="G5446" s="4" t="s">
        <v>28693</v>
      </c>
      <c r="H5446" s="3" t="s">
        <v>26808</v>
      </c>
      <c r="I5446" s="3" t="s">
        <v>28694</v>
      </c>
      <c r="J5446" s="3" t="s">
        <v>28695</v>
      </c>
      <c r="K5446" s="3" t="s">
        <v>28696</v>
      </c>
      <c r="L5446" s="3"/>
      <c r="M5446" s="4"/>
      <c r="N5446" s="3" t="s">
        <v>37</v>
      </c>
      <c r="O5446" s="3" t="s">
        <v>46</v>
      </c>
      <c r="P5446" s="5">
        <v>19</v>
      </c>
      <c r="Q5446" s="5">
        <v>351</v>
      </c>
      <c r="R5446" s="5">
        <v>19</v>
      </c>
      <c r="S5446" s="5">
        <v>348</v>
      </c>
    </row>
    <row r="5447" spans="1:19" ht="42" x14ac:dyDescent="0.15">
      <c r="A5447" s="2">
        <f>HYPERLINK("https://open-school.uspishnemisto.com.ua/school/260380/", 260380)</f>
        <v>260380</v>
      </c>
      <c r="B5447" s="3" t="s">
        <v>28697</v>
      </c>
      <c r="C5447" s="3" t="s">
        <v>31</v>
      </c>
      <c r="D5447" s="3" t="s">
        <v>32</v>
      </c>
      <c r="E5447" s="4" t="s">
        <v>22</v>
      </c>
      <c r="F5447" s="4" t="s">
        <v>28698</v>
      </c>
      <c r="G5447" s="4" t="s">
        <v>28699</v>
      </c>
      <c r="H5447" s="3" t="s">
        <v>26808</v>
      </c>
      <c r="I5447" s="3" t="s">
        <v>28700</v>
      </c>
      <c r="J5447" s="3" t="s">
        <v>28701</v>
      </c>
      <c r="K5447" s="3" t="s">
        <v>28702</v>
      </c>
      <c r="L5447" s="3"/>
      <c r="M5447" s="4"/>
      <c r="N5447" s="3" t="s">
        <v>37</v>
      </c>
      <c r="O5447" s="3" t="s">
        <v>46</v>
      </c>
      <c r="P5447" s="5">
        <v>9</v>
      </c>
      <c r="Q5447" s="5">
        <v>96</v>
      </c>
      <c r="R5447" s="5">
        <v>9</v>
      </c>
      <c r="S5447" s="5">
        <v>99</v>
      </c>
    </row>
    <row r="5448" spans="1:19" ht="42" x14ac:dyDescent="0.15">
      <c r="A5448" s="2">
        <f>HYPERLINK("https://open-school.uspishnemisto.com.ua/school/260381/", 260381)</f>
        <v>260381</v>
      </c>
      <c r="B5448" s="3" t="s">
        <v>28703</v>
      </c>
      <c r="C5448" s="3" t="s">
        <v>31</v>
      </c>
      <c r="D5448" s="3" t="s">
        <v>175</v>
      </c>
      <c r="E5448" s="4" t="s">
        <v>22</v>
      </c>
      <c r="F5448" s="4" t="s">
        <v>28704</v>
      </c>
      <c r="G5448" s="4" t="s">
        <v>28705</v>
      </c>
      <c r="H5448" s="3" t="s">
        <v>26808</v>
      </c>
      <c r="I5448" s="3" t="s">
        <v>28706</v>
      </c>
      <c r="J5448" s="3" t="s">
        <v>28707</v>
      </c>
      <c r="K5448" s="3" t="s">
        <v>28708</v>
      </c>
      <c r="L5448" s="3"/>
      <c r="M5448" s="4"/>
      <c r="N5448" s="3" t="s">
        <v>37</v>
      </c>
      <c r="O5448" s="3" t="s">
        <v>46</v>
      </c>
      <c r="P5448" s="5">
        <v>8</v>
      </c>
      <c r="Q5448" s="5">
        <v>59</v>
      </c>
      <c r="R5448" s="5">
        <v>8</v>
      </c>
      <c r="S5448" s="5">
        <v>59</v>
      </c>
    </row>
    <row r="5449" spans="1:19" ht="42" x14ac:dyDescent="0.15">
      <c r="A5449" s="2">
        <f>HYPERLINK("https://open-school.uspishnemisto.com.ua/school/260382/", 260382)</f>
        <v>260382</v>
      </c>
      <c r="B5449" s="3" t="s">
        <v>28709</v>
      </c>
      <c r="C5449" s="3" t="s">
        <v>31</v>
      </c>
      <c r="D5449" s="3" t="s">
        <v>60</v>
      </c>
      <c r="E5449" s="4" t="s">
        <v>22</v>
      </c>
      <c r="F5449" s="4" t="s">
        <v>28710</v>
      </c>
      <c r="G5449" s="4" t="s">
        <v>28711</v>
      </c>
      <c r="H5449" s="3" t="s">
        <v>26808</v>
      </c>
      <c r="I5449" s="3" t="s">
        <v>28712</v>
      </c>
      <c r="J5449" s="3" t="s">
        <v>18464</v>
      </c>
      <c r="K5449" s="3" t="s">
        <v>28713</v>
      </c>
      <c r="L5449" s="3"/>
      <c r="M5449" s="4"/>
      <c r="N5449" s="3" t="s">
        <v>37</v>
      </c>
      <c r="O5449" s="3" t="s">
        <v>52</v>
      </c>
      <c r="P5449" s="5">
        <v>2</v>
      </c>
      <c r="Q5449" s="5">
        <v>15</v>
      </c>
      <c r="R5449" s="5">
        <v>2</v>
      </c>
      <c r="S5449" s="5">
        <v>15</v>
      </c>
    </row>
    <row r="5450" spans="1:19" ht="42" x14ac:dyDescent="0.15">
      <c r="A5450" s="2">
        <f>HYPERLINK("https://open-school.uspishnemisto.com.ua/school/260383/", 260383)</f>
        <v>260383</v>
      </c>
      <c r="B5450" s="3" t="s">
        <v>28714</v>
      </c>
      <c r="C5450" s="3" t="s">
        <v>54</v>
      </c>
      <c r="D5450" s="3" t="s">
        <v>32</v>
      </c>
      <c r="E5450" s="4" t="s">
        <v>22</v>
      </c>
      <c r="F5450" s="4" t="s">
        <v>28715</v>
      </c>
      <c r="G5450" s="4" t="s">
        <v>28716</v>
      </c>
      <c r="H5450" s="3" t="s">
        <v>26808</v>
      </c>
      <c r="I5450" s="3" t="s">
        <v>28717</v>
      </c>
      <c r="J5450" s="3" t="s">
        <v>13183</v>
      </c>
      <c r="K5450" s="3" t="s">
        <v>28718</v>
      </c>
      <c r="L5450" s="3"/>
      <c r="M5450" s="4"/>
      <c r="N5450" s="3" t="s">
        <v>37</v>
      </c>
      <c r="O5450" s="3" t="s">
        <v>46</v>
      </c>
      <c r="P5450" s="5">
        <v>16</v>
      </c>
      <c r="Q5450" s="5">
        <v>257</v>
      </c>
      <c r="R5450" s="5">
        <v>17</v>
      </c>
      <c r="S5450" s="5">
        <v>272</v>
      </c>
    </row>
    <row r="5451" spans="1:19" ht="70" x14ac:dyDescent="0.15">
      <c r="A5451" s="2">
        <f>HYPERLINK("https://open-school.uspishnemisto.com.ua/school/260384/", 260384)</f>
        <v>260384</v>
      </c>
      <c r="B5451" s="3" t="s">
        <v>28719</v>
      </c>
      <c r="C5451" s="3" t="s">
        <v>54</v>
      </c>
      <c r="D5451" s="3" t="s">
        <v>175</v>
      </c>
      <c r="E5451" s="4" t="s">
        <v>22</v>
      </c>
      <c r="F5451" s="4" t="s">
        <v>28720</v>
      </c>
      <c r="G5451" s="4" t="s">
        <v>28721</v>
      </c>
      <c r="H5451" s="3" t="s">
        <v>26808</v>
      </c>
      <c r="I5451" s="3" t="s">
        <v>19024</v>
      </c>
      <c r="J5451" s="3" t="s">
        <v>28722</v>
      </c>
      <c r="K5451" s="3" t="s">
        <v>28723</v>
      </c>
      <c r="L5451" s="3"/>
      <c r="M5451" s="4"/>
      <c r="N5451" s="3" t="s">
        <v>37</v>
      </c>
      <c r="O5451" s="3" t="s">
        <v>46</v>
      </c>
      <c r="P5451" s="5">
        <v>7</v>
      </c>
      <c r="Q5451" s="5">
        <v>68</v>
      </c>
      <c r="R5451" s="5">
        <v>8</v>
      </c>
      <c r="S5451" s="5">
        <v>67</v>
      </c>
    </row>
    <row r="5452" spans="1:19" ht="56" x14ac:dyDescent="0.15">
      <c r="A5452" s="2">
        <f>HYPERLINK("https://open-school.uspishnemisto.com.ua/school/260385/", 260385)</f>
        <v>260385</v>
      </c>
      <c r="B5452" s="3" t="s">
        <v>28724</v>
      </c>
      <c r="C5452" s="3" t="s">
        <v>54</v>
      </c>
      <c r="D5452" s="3" t="s">
        <v>175</v>
      </c>
      <c r="E5452" s="4" t="s">
        <v>22</v>
      </c>
      <c r="F5452" s="4" t="s">
        <v>28725</v>
      </c>
      <c r="G5452" s="4" t="s">
        <v>28726</v>
      </c>
      <c r="H5452" s="3" t="s">
        <v>26808</v>
      </c>
      <c r="I5452" s="3" t="s">
        <v>28727</v>
      </c>
      <c r="J5452" s="3" t="s">
        <v>28728</v>
      </c>
      <c r="K5452" s="3" t="s">
        <v>28729</v>
      </c>
      <c r="L5452" s="3"/>
      <c r="M5452" s="4"/>
      <c r="N5452" s="3" t="s">
        <v>37</v>
      </c>
      <c r="O5452" s="3" t="s">
        <v>46</v>
      </c>
      <c r="P5452" s="5">
        <v>9</v>
      </c>
      <c r="Q5452" s="5">
        <v>90</v>
      </c>
      <c r="R5452" s="5">
        <v>9</v>
      </c>
      <c r="S5452" s="5">
        <v>87</v>
      </c>
    </row>
    <row r="5453" spans="1:19" ht="42" x14ac:dyDescent="0.15">
      <c r="A5453" s="2">
        <f>HYPERLINK("https://open-school.uspishnemisto.com.ua/school/260386/", 260386)</f>
        <v>260386</v>
      </c>
      <c r="B5453" s="3" t="s">
        <v>28730</v>
      </c>
      <c r="C5453" s="3" t="s">
        <v>31</v>
      </c>
      <c r="D5453" s="3" t="s">
        <v>32</v>
      </c>
      <c r="E5453" s="4" t="s">
        <v>22</v>
      </c>
      <c r="F5453" s="4" t="s">
        <v>28731</v>
      </c>
      <c r="G5453" s="4" t="s">
        <v>28732</v>
      </c>
      <c r="H5453" s="3" t="s">
        <v>26808</v>
      </c>
      <c r="I5453" s="3" t="s">
        <v>28733</v>
      </c>
      <c r="J5453" s="3" t="s">
        <v>5671</v>
      </c>
      <c r="K5453" s="3" t="s">
        <v>28734</v>
      </c>
      <c r="L5453" s="3"/>
      <c r="M5453" s="4"/>
      <c r="N5453" s="3" t="s">
        <v>37</v>
      </c>
      <c r="O5453" s="3" t="s">
        <v>2740</v>
      </c>
      <c r="P5453" s="5">
        <v>11</v>
      </c>
      <c r="Q5453" s="5">
        <v>194</v>
      </c>
      <c r="R5453" s="5">
        <v>11</v>
      </c>
      <c r="S5453" s="5">
        <v>203</v>
      </c>
    </row>
    <row r="5454" spans="1:19" ht="42" x14ac:dyDescent="0.15">
      <c r="A5454" s="2">
        <f>HYPERLINK("https://open-school.uspishnemisto.com.ua/school/260387/", 260387)</f>
        <v>260387</v>
      </c>
      <c r="B5454" s="3" t="s">
        <v>28735</v>
      </c>
      <c r="C5454" s="3" t="s">
        <v>31</v>
      </c>
      <c r="D5454" s="3" t="s">
        <v>32</v>
      </c>
      <c r="E5454" s="4" t="s">
        <v>22</v>
      </c>
      <c r="F5454" s="4" t="s">
        <v>28736</v>
      </c>
      <c r="G5454" s="4" t="s">
        <v>28737</v>
      </c>
      <c r="H5454" s="3" t="s">
        <v>26808</v>
      </c>
      <c r="I5454" s="3" t="s">
        <v>28738</v>
      </c>
      <c r="J5454" s="3" t="s">
        <v>792</v>
      </c>
      <c r="K5454" s="3" t="s">
        <v>28739</v>
      </c>
      <c r="L5454" s="3"/>
      <c r="M5454" s="4"/>
      <c r="N5454" s="3" t="s">
        <v>37</v>
      </c>
      <c r="O5454" s="3" t="s">
        <v>2740</v>
      </c>
      <c r="P5454" s="5">
        <v>14</v>
      </c>
      <c r="Q5454" s="5">
        <v>256</v>
      </c>
      <c r="R5454" s="5">
        <v>14</v>
      </c>
      <c r="S5454" s="5">
        <v>242</v>
      </c>
    </row>
    <row r="5455" spans="1:19" ht="42" x14ac:dyDescent="0.15">
      <c r="A5455" s="2">
        <f>HYPERLINK("https://open-school.uspishnemisto.com.ua/school/260388/", 260388)</f>
        <v>260388</v>
      </c>
      <c r="B5455" s="3" t="s">
        <v>28740</v>
      </c>
      <c r="C5455" s="3" t="s">
        <v>31</v>
      </c>
      <c r="D5455" s="3" t="s">
        <v>175</v>
      </c>
      <c r="E5455" s="4" t="s">
        <v>22</v>
      </c>
      <c r="F5455" s="4" t="s">
        <v>28741</v>
      </c>
      <c r="G5455" s="4" t="s">
        <v>28742</v>
      </c>
      <c r="H5455" s="3" t="s">
        <v>26808</v>
      </c>
      <c r="I5455" s="3" t="s">
        <v>28743</v>
      </c>
      <c r="J5455" s="3" t="s">
        <v>28744</v>
      </c>
      <c r="K5455" s="3" t="s">
        <v>28745</v>
      </c>
      <c r="L5455" s="3"/>
      <c r="M5455" s="4"/>
      <c r="N5455" s="3" t="s">
        <v>37</v>
      </c>
      <c r="O5455" s="3" t="s">
        <v>2740</v>
      </c>
      <c r="P5455" s="5">
        <v>9</v>
      </c>
      <c r="Q5455" s="5">
        <v>145</v>
      </c>
      <c r="R5455" s="5">
        <v>9</v>
      </c>
      <c r="S5455" s="5">
        <v>148</v>
      </c>
    </row>
    <row r="5456" spans="1:19" ht="42" x14ac:dyDescent="0.15">
      <c r="A5456" s="2">
        <f>HYPERLINK("https://open-school.uspishnemisto.com.ua/school/260389/", 260389)</f>
        <v>260389</v>
      </c>
      <c r="B5456" s="3" t="s">
        <v>28746</v>
      </c>
      <c r="C5456" s="3" t="s">
        <v>54</v>
      </c>
      <c r="D5456" s="3"/>
      <c r="E5456" s="4" t="s">
        <v>22</v>
      </c>
      <c r="F5456" s="4" t="s">
        <v>28741</v>
      </c>
      <c r="G5456" s="4" t="s">
        <v>28742</v>
      </c>
      <c r="H5456" s="3" t="s">
        <v>26808</v>
      </c>
      <c r="I5456" s="3" t="s">
        <v>28743</v>
      </c>
      <c r="J5456" s="3" t="s">
        <v>28747</v>
      </c>
      <c r="K5456" s="3" t="s">
        <v>28748</v>
      </c>
      <c r="L5456" s="3"/>
      <c r="M5456" s="4"/>
      <c r="N5456" s="3" t="s">
        <v>37</v>
      </c>
      <c r="O5456" s="3" t="s">
        <v>2740</v>
      </c>
      <c r="P5456" s="5">
        <v>11</v>
      </c>
      <c r="Q5456" s="5">
        <v>196</v>
      </c>
      <c r="R5456" s="5">
        <v>11</v>
      </c>
      <c r="S5456" s="5">
        <v>197</v>
      </c>
    </row>
    <row r="5457" spans="1:19" ht="42" x14ac:dyDescent="0.15">
      <c r="A5457" s="2">
        <f>HYPERLINK("https://open-school.uspishnemisto.com.ua/school/260390/", 260390)</f>
        <v>260390</v>
      </c>
      <c r="B5457" s="3" t="s">
        <v>28749</v>
      </c>
      <c r="C5457" s="3" t="s">
        <v>20</v>
      </c>
      <c r="D5457" s="3" t="s">
        <v>21</v>
      </c>
      <c r="E5457" s="4" t="s">
        <v>22</v>
      </c>
      <c r="F5457" s="4" t="s">
        <v>28750</v>
      </c>
      <c r="G5457" s="4" t="s">
        <v>28751</v>
      </c>
      <c r="H5457" s="3" t="s">
        <v>26808</v>
      </c>
      <c r="I5457" s="3" t="s">
        <v>28752</v>
      </c>
      <c r="J5457" s="3" t="s">
        <v>28753</v>
      </c>
      <c r="K5457" s="3" t="s">
        <v>28754</v>
      </c>
      <c r="L5457" s="3"/>
      <c r="M5457" s="4"/>
      <c r="N5457" s="3"/>
      <c r="O5457" s="3"/>
      <c r="P5457" s="5">
        <v>0</v>
      </c>
      <c r="Q5457" s="5">
        <v>0</v>
      </c>
      <c r="R5457" s="5"/>
      <c r="S5457" s="5"/>
    </row>
    <row r="5458" spans="1:19" ht="42" x14ac:dyDescent="0.15">
      <c r="A5458" s="2">
        <f>HYPERLINK("https://open-school.uspishnemisto.com.ua/school/260391/", 260391)</f>
        <v>260391</v>
      </c>
      <c r="B5458" s="3" t="s">
        <v>28755</v>
      </c>
      <c r="C5458" s="3" t="s">
        <v>31</v>
      </c>
      <c r="D5458" s="3" t="s">
        <v>32</v>
      </c>
      <c r="E5458" s="4" t="s">
        <v>22</v>
      </c>
      <c r="F5458" s="4" t="s">
        <v>28750</v>
      </c>
      <c r="G5458" s="4" t="s">
        <v>28751</v>
      </c>
      <c r="H5458" s="3" t="s">
        <v>26808</v>
      </c>
      <c r="I5458" s="3" t="s">
        <v>28752</v>
      </c>
      <c r="J5458" s="3" t="s">
        <v>2785</v>
      </c>
      <c r="K5458" s="3" t="s">
        <v>28756</v>
      </c>
      <c r="L5458" s="3"/>
      <c r="M5458" s="4"/>
      <c r="N5458" s="3" t="s">
        <v>37</v>
      </c>
      <c r="O5458" s="3" t="s">
        <v>46</v>
      </c>
      <c r="P5458" s="5">
        <v>11</v>
      </c>
      <c r="Q5458" s="5">
        <v>168</v>
      </c>
      <c r="R5458" s="5">
        <v>11</v>
      </c>
      <c r="S5458" s="5">
        <v>163</v>
      </c>
    </row>
    <row r="5459" spans="1:19" ht="42" x14ac:dyDescent="0.15">
      <c r="A5459" s="2">
        <f>HYPERLINK("https://open-school.uspishnemisto.com.ua/school/260392/", 260392)</f>
        <v>260392</v>
      </c>
      <c r="B5459" s="3" t="s">
        <v>28757</v>
      </c>
      <c r="C5459" s="3" t="s">
        <v>31</v>
      </c>
      <c r="D5459" s="3" t="s">
        <v>32</v>
      </c>
      <c r="E5459" s="4" t="s">
        <v>22</v>
      </c>
      <c r="F5459" s="4" t="s">
        <v>28758</v>
      </c>
      <c r="G5459" s="4" t="s">
        <v>28759</v>
      </c>
      <c r="H5459" s="3" t="s">
        <v>26808</v>
      </c>
      <c r="I5459" s="3" t="s">
        <v>27990</v>
      </c>
      <c r="J5459" s="3" t="s">
        <v>28760</v>
      </c>
      <c r="K5459" s="3" t="s">
        <v>28761</v>
      </c>
      <c r="L5459" s="3"/>
      <c r="M5459" s="4"/>
      <c r="N5459" s="3" t="s">
        <v>37</v>
      </c>
      <c r="O5459" s="3" t="s">
        <v>2740</v>
      </c>
      <c r="P5459" s="5">
        <v>11</v>
      </c>
      <c r="Q5459" s="5">
        <v>187</v>
      </c>
      <c r="R5459" s="5">
        <v>11</v>
      </c>
      <c r="S5459" s="5">
        <v>186</v>
      </c>
    </row>
    <row r="5460" spans="1:19" ht="42" x14ac:dyDescent="0.15">
      <c r="A5460" s="2">
        <f>HYPERLINK("https://open-school.uspishnemisto.com.ua/school/260393/", 260393)</f>
        <v>260393</v>
      </c>
      <c r="B5460" s="3" t="s">
        <v>28762</v>
      </c>
      <c r="C5460" s="3" t="s">
        <v>31</v>
      </c>
      <c r="D5460" s="3" t="s">
        <v>60</v>
      </c>
      <c r="E5460" s="4" t="s">
        <v>22</v>
      </c>
      <c r="F5460" s="4" t="s">
        <v>28758</v>
      </c>
      <c r="G5460" s="4" t="s">
        <v>28763</v>
      </c>
      <c r="H5460" s="3" t="s">
        <v>26808</v>
      </c>
      <c r="I5460" s="3" t="s">
        <v>28764</v>
      </c>
      <c r="J5460" s="3" t="s">
        <v>5843</v>
      </c>
      <c r="K5460" s="3" t="s">
        <v>28765</v>
      </c>
      <c r="L5460" s="3"/>
      <c r="M5460" s="4"/>
      <c r="N5460" s="3" t="s">
        <v>37</v>
      </c>
      <c r="O5460" s="3" t="s">
        <v>52</v>
      </c>
      <c r="P5460" s="5">
        <v>4</v>
      </c>
      <c r="Q5460" s="5">
        <v>43</v>
      </c>
      <c r="R5460" s="5">
        <v>4</v>
      </c>
      <c r="S5460" s="5">
        <v>40</v>
      </c>
    </row>
    <row r="5461" spans="1:19" ht="42" x14ac:dyDescent="0.15">
      <c r="A5461" s="2">
        <f>HYPERLINK("https://open-school.uspishnemisto.com.ua/school/260394/", 260394)</f>
        <v>260394</v>
      </c>
      <c r="B5461" s="3" t="s">
        <v>28766</v>
      </c>
      <c r="C5461" s="3" t="s">
        <v>31</v>
      </c>
      <c r="D5461" s="3" t="s">
        <v>32</v>
      </c>
      <c r="E5461" s="4" t="s">
        <v>22</v>
      </c>
      <c r="F5461" s="4" t="s">
        <v>28767</v>
      </c>
      <c r="G5461" s="4" t="s">
        <v>28768</v>
      </c>
      <c r="H5461" s="3" t="s">
        <v>26808</v>
      </c>
      <c r="I5461" s="3" t="s">
        <v>28769</v>
      </c>
      <c r="J5461" s="3" t="s">
        <v>28770</v>
      </c>
      <c r="K5461" s="3" t="s">
        <v>28771</v>
      </c>
      <c r="L5461" s="3" t="s">
        <v>28772</v>
      </c>
      <c r="M5461" s="4"/>
      <c r="N5461" s="3" t="s">
        <v>37</v>
      </c>
      <c r="O5461" s="3" t="s">
        <v>46</v>
      </c>
      <c r="P5461" s="5">
        <v>13</v>
      </c>
      <c r="Q5461" s="5">
        <v>241</v>
      </c>
      <c r="R5461" s="5">
        <v>12</v>
      </c>
      <c r="S5461" s="5">
        <v>242</v>
      </c>
    </row>
    <row r="5462" spans="1:19" ht="42" x14ac:dyDescent="0.15">
      <c r="A5462" s="2">
        <f>HYPERLINK("https://open-school.uspishnemisto.com.ua/school/260395/", 260395)</f>
        <v>260395</v>
      </c>
      <c r="B5462" s="3" t="s">
        <v>28773</v>
      </c>
      <c r="C5462" s="3" t="s">
        <v>31</v>
      </c>
      <c r="D5462" s="3" t="s">
        <v>175</v>
      </c>
      <c r="E5462" s="4" t="s">
        <v>22</v>
      </c>
      <c r="F5462" s="4" t="s">
        <v>28774</v>
      </c>
      <c r="G5462" s="4" t="s">
        <v>28775</v>
      </c>
      <c r="H5462" s="3" t="s">
        <v>26808</v>
      </c>
      <c r="I5462" s="3" t="s">
        <v>26978</v>
      </c>
      <c r="J5462" s="3" t="s">
        <v>28776</v>
      </c>
      <c r="K5462" s="3" t="s">
        <v>28777</v>
      </c>
      <c r="L5462" s="3"/>
      <c r="M5462" s="4"/>
      <c r="N5462" s="3" t="s">
        <v>37</v>
      </c>
      <c r="O5462" s="3" t="s">
        <v>2740</v>
      </c>
      <c r="P5462" s="5">
        <v>9</v>
      </c>
      <c r="Q5462" s="5">
        <v>201</v>
      </c>
      <c r="R5462" s="5">
        <v>9</v>
      </c>
      <c r="S5462" s="5">
        <v>201</v>
      </c>
    </row>
    <row r="5463" spans="1:19" ht="42" x14ac:dyDescent="0.15">
      <c r="A5463" s="2">
        <f>HYPERLINK("https://open-school.uspishnemisto.com.ua/school/260396/", 260396)</f>
        <v>260396</v>
      </c>
      <c r="B5463" s="3" t="s">
        <v>28778</v>
      </c>
      <c r="C5463" s="3" t="s">
        <v>31</v>
      </c>
      <c r="D5463" s="3" t="s">
        <v>32</v>
      </c>
      <c r="E5463" s="4" t="s">
        <v>22</v>
      </c>
      <c r="F5463" s="4" t="s">
        <v>28779</v>
      </c>
      <c r="G5463" s="4" t="s">
        <v>28780</v>
      </c>
      <c r="H5463" s="3" t="s">
        <v>26808</v>
      </c>
      <c r="I5463" s="3" t="s">
        <v>28781</v>
      </c>
      <c r="J5463" s="3" t="s">
        <v>634</v>
      </c>
      <c r="K5463" s="3" t="s">
        <v>28782</v>
      </c>
      <c r="L5463" s="3"/>
      <c r="M5463" s="4"/>
      <c r="N5463" s="3" t="s">
        <v>37</v>
      </c>
      <c r="O5463" s="3" t="s">
        <v>46</v>
      </c>
      <c r="P5463" s="5">
        <v>9</v>
      </c>
      <c r="Q5463" s="5">
        <v>163</v>
      </c>
      <c r="R5463" s="5">
        <v>9</v>
      </c>
      <c r="S5463" s="5">
        <v>182</v>
      </c>
    </row>
    <row r="5464" spans="1:19" ht="42" x14ac:dyDescent="0.15">
      <c r="A5464" s="2">
        <f>HYPERLINK("https://open-school.uspishnemisto.com.ua/school/260397/", 260397)</f>
        <v>260397</v>
      </c>
      <c r="B5464" s="3" t="s">
        <v>28783</v>
      </c>
      <c r="C5464" s="3" t="s">
        <v>31</v>
      </c>
      <c r="D5464" s="3" t="s">
        <v>175</v>
      </c>
      <c r="E5464" s="4" t="s">
        <v>22</v>
      </c>
      <c r="F5464" s="4" t="s">
        <v>28784</v>
      </c>
      <c r="G5464" s="4" t="s">
        <v>28785</v>
      </c>
      <c r="H5464" s="3" t="s">
        <v>26808</v>
      </c>
      <c r="I5464" s="3" t="s">
        <v>28786</v>
      </c>
      <c r="J5464" s="3" t="s">
        <v>28787</v>
      </c>
      <c r="K5464" s="3" t="s">
        <v>28788</v>
      </c>
      <c r="L5464" s="3" t="s">
        <v>28789</v>
      </c>
      <c r="M5464" s="4"/>
      <c r="N5464" s="3" t="s">
        <v>37</v>
      </c>
      <c r="O5464" s="3" t="s">
        <v>46</v>
      </c>
      <c r="P5464" s="5">
        <v>9</v>
      </c>
      <c r="Q5464" s="5">
        <v>134</v>
      </c>
      <c r="R5464" s="5">
        <v>9</v>
      </c>
      <c r="S5464" s="5">
        <v>134</v>
      </c>
    </row>
    <row r="5465" spans="1:19" ht="42" x14ac:dyDescent="0.15">
      <c r="A5465" s="2">
        <f>HYPERLINK("https://open-school.uspishnemisto.com.ua/school/260398/", 260398)</f>
        <v>260398</v>
      </c>
      <c r="B5465" s="3" t="s">
        <v>28790</v>
      </c>
      <c r="C5465" s="3" t="s">
        <v>31</v>
      </c>
      <c r="D5465" s="3" t="s">
        <v>175</v>
      </c>
      <c r="E5465" s="4" t="s">
        <v>22</v>
      </c>
      <c r="F5465" s="4" t="s">
        <v>28791</v>
      </c>
      <c r="G5465" s="4" t="s">
        <v>28792</v>
      </c>
      <c r="H5465" s="3" t="s">
        <v>26808</v>
      </c>
      <c r="I5465" s="3" t="s">
        <v>28793</v>
      </c>
      <c r="J5465" s="3" t="s">
        <v>28794</v>
      </c>
      <c r="K5465" s="3" t="s">
        <v>28795</v>
      </c>
      <c r="L5465" s="3"/>
      <c r="M5465" s="4"/>
      <c r="N5465" s="3" t="s">
        <v>37</v>
      </c>
      <c r="O5465" s="3" t="s">
        <v>2740</v>
      </c>
      <c r="P5465" s="5">
        <v>9</v>
      </c>
      <c r="Q5465" s="5">
        <v>100</v>
      </c>
      <c r="R5465" s="5">
        <v>9</v>
      </c>
      <c r="S5465" s="5">
        <v>101</v>
      </c>
    </row>
    <row r="5466" spans="1:19" ht="42" x14ac:dyDescent="0.15">
      <c r="A5466" s="2">
        <f>HYPERLINK("https://open-school.uspishnemisto.com.ua/school/260399/", 260399)</f>
        <v>260399</v>
      </c>
      <c r="B5466" s="3" t="s">
        <v>28796</v>
      </c>
      <c r="C5466" s="3" t="s">
        <v>20</v>
      </c>
      <c r="D5466" s="3" t="s">
        <v>19078</v>
      </c>
      <c r="E5466" s="4" t="s">
        <v>22</v>
      </c>
      <c r="F5466" s="4" t="s">
        <v>28797</v>
      </c>
      <c r="G5466" s="4" t="s">
        <v>28798</v>
      </c>
      <c r="H5466" s="3" t="s">
        <v>26808</v>
      </c>
      <c r="I5466" s="3" t="s">
        <v>28799</v>
      </c>
      <c r="J5466" s="3" t="s">
        <v>16397</v>
      </c>
      <c r="K5466" s="3" t="s">
        <v>28800</v>
      </c>
      <c r="L5466" s="3"/>
      <c r="M5466" s="4"/>
      <c r="N5466" s="3"/>
      <c r="O5466" s="3"/>
      <c r="P5466" s="5">
        <v>0</v>
      </c>
      <c r="Q5466" s="5">
        <v>0</v>
      </c>
      <c r="R5466" s="5"/>
      <c r="S5466" s="5"/>
    </row>
    <row r="5467" spans="1:19" ht="42" x14ac:dyDescent="0.15">
      <c r="A5467" s="2">
        <f>HYPERLINK("https://open-school.uspishnemisto.com.ua/school/260400/", 260400)</f>
        <v>260400</v>
      </c>
      <c r="B5467" s="3" t="s">
        <v>28801</v>
      </c>
      <c r="C5467" s="3" t="s">
        <v>31</v>
      </c>
      <c r="D5467" s="3" t="s">
        <v>32</v>
      </c>
      <c r="E5467" s="4" t="s">
        <v>22</v>
      </c>
      <c r="F5467" s="4" t="s">
        <v>28797</v>
      </c>
      <c r="G5467" s="4" t="s">
        <v>28798</v>
      </c>
      <c r="H5467" s="3" t="s">
        <v>26808</v>
      </c>
      <c r="I5467" s="3" t="s">
        <v>28799</v>
      </c>
      <c r="J5467" s="3" t="s">
        <v>16397</v>
      </c>
      <c r="K5467" s="3" t="s">
        <v>28802</v>
      </c>
      <c r="L5467" s="3" t="s">
        <v>28803</v>
      </c>
      <c r="M5467" s="4"/>
      <c r="N5467" s="3" t="s">
        <v>37</v>
      </c>
      <c r="O5467" s="3" t="s">
        <v>46</v>
      </c>
      <c r="P5467" s="5">
        <v>20</v>
      </c>
      <c r="Q5467" s="5">
        <v>535</v>
      </c>
      <c r="R5467" s="5">
        <v>21</v>
      </c>
      <c r="S5467" s="5">
        <v>516</v>
      </c>
    </row>
    <row r="5468" spans="1:19" ht="42" x14ac:dyDescent="0.15">
      <c r="A5468" s="2">
        <f>HYPERLINK("https://open-school.uspishnemisto.com.ua/school/260401/", 260401)</f>
        <v>260401</v>
      </c>
      <c r="B5468" s="3" t="s">
        <v>28804</v>
      </c>
      <c r="C5468" s="3" t="s">
        <v>31</v>
      </c>
      <c r="D5468" s="3" t="s">
        <v>32</v>
      </c>
      <c r="E5468" s="4" t="s">
        <v>22</v>
      </c>
      <c r="F5468" s="4" t="s">
        <v>28797</v>
      </c>
      <c r="G5468" s="4" t="s">
        <v>28798</v>
      </c>
      <c r="H5468" s="3" t="s">
        <v>26808</v>
      </c>
      <c r="I5468" s="3" t="s">
        <v>28799</v>
      </c>
      <c r="J5468" s="3" t="s">
        <v>28805</v>
      </c>
      <c r="K5468" s="3" t="s">
        <v>28806</v>
      </c>
      <c r="L5468" s="3"/>
      <c r="M5468" s="4"/>
      <c r="N5468" s="3" t="s">
        <v>37</v>
      </c>
      <c r="O5468" s="3" t="s">
        <v>52</v>
      </c>
      <c r="P5468" s="5">
        <v>22</v>
      </c>
      <c r="Q5468" s="5">
        <v>487</v>
      </c>
      <c r="R5468" s="5">
        <v>20</v>
      </c>
      <c r="S5468" s="5">
        <v>440</v>
      </c>
    </row>
    <row r="5469" spans="1:19" ht="42" x14ac:dyDescent="0.15">
      <c r="A5469" s="2">
        <f>HYPERLINK("https://open-school.uspishnemisto.com.ua/school/260402/", 260402)</f>
        <v>260402</v>
      </c>
      <c r="B5469" s="3" t="s">
        <v>28807</v>
      </c>
      <c r="C5469" s="3" t="s">
        <v>54</v>
      </c>
      <c r="D5469" s="3" t="s">
        <v>32</v>
      </c>
      <c r="E5469" s="4" t="s">
        <v>22</v>
      </c>
      <c r="F5469" s="4" t="s">
        <v>28797</v>
      </c>
      <c r="G5469" s="4" t="s">
        <v>28798</v>
      </c>
      <c r="H5469" s="3" t="s">
        <v>26808</v>
      </c>
      <c r="I5469" s="3" t="s">
        <v>28799</v>
      </c>
      <c r="J5469" s="3" t="s">
        <v>21445</v>
      </c>
      <c r="K5469" s="3" t="s">
        <v>28808</v>
      </c>
      <c r="L5469" s="3" t="s">
        <v>28809</v>
      </c>
      <c r="M5469" s="4" t="s">
        <v>28810</v>
      </c>
      <c r="N5469" s="3" t="s">
        <v>37</v>
      </c>
      <c r="O5469" s="3" t="s">
        <v>46</v>
      </c>
      <c r="P5469" s="5">
        <v>11</v>
      </c>
      <c r="Q5469" s="5">
        <v>318</v>
      </c>
      <c r="R5469" s="5">
        <v>11</v>
      </c>
      <c r="S5469" s="5">
        <v>306</v>
      </c>
    </row>
    <row r="5470" spans="1:19" ht="42" x14ac:dyDescent="0.15">
      <c r="A5470" s="2">
        <f>HYPERLINK("https://open-school.uspishnemisto.com.ua/school/260403/", 260403)</f>
        <v>260403</v>
      </c>
      <c r="B5470" s="3" t="s">
        <v>28811</v>
      </c>
      <c r="C5470" s="3" t="s">
        <v>54</v>
      </c>
      <c r="D5470" s="3" t="s">
        <v>60</v>
      </c>
      <c r="E5470" s="4" t="s">
        <v>22</v>
      </c>
      <c r="F5470" s="4" t="s">
        <v>28797</v>
      </c>
      <c r="G5470" s="4" t="s">
        <v>28798</v>
      </c>
      <c r="H5470" s="3" t="s">
        <v>26808</v>
      </c>
      <c r="I5470" s="3" t="s">
        <v>28799</v>
      </c>
      <c r="J5470" s="3" t="s">
        <v>28812</v>
      </c>
      <c r="K5470" s="3" t="s">
        <v>28813</v>
      </c>
      <c r="L5470" s="3" t="s">
        <v>28814</v>
      </c>
      <c r="M5470" s="4" t="s">
        <v>28815</v>
      </c>
      <c r="N5470" s="3" t="s">
        <v>37</v>
      </c>
      <c r="O5470" s="3" t="s">
        <v>52</v>
      </c>
      <c r="P5470" s="5">
        <v>4</v>
      </c>
      <c r="Q5470" s="5">
        <v>76</v>
      </c>
      <c r="R5470" s="5">
        <v>4</v>
      </c>
      <c r="S5470" s="5">
        <v>74</v>
      </c>
    </row>
    <row r="5471" spans="1:19" ht="42" x14ac:dyDescent="0.15">
      <c r="A5471" s="2">
        <f>HYPERLINK("https://open-school.uspishnemisto.com.ua/school/260404/", 260404)</f>
        <v>260404</v>
      </c>
      <c r="B5471" s="3" t="s">
        <v>28816</v>
      </c>
      <c r="C5471" s="3" t="s">
        <v>31</v>
      </c>
      <c r="D5471" s="3" t="s">
        <v>32</v>
      </c>
      <c r="E5471" s="4" t="s">
        <v>22</v>
      </c>
      <c r="F5471" s="4" t="s">
        <v>28817</v>
      </c>
      <c r="G5471" s="4" t="s">
        <v>28818</v>
      </c>
      <c r="H5471" s="3" t="s">
        <v>26808</v>
      </c>
      <c r="I5471" s="3" t="s">
        <v>28819</v>
      </c>
      <c r="J5471" s="3" t="s">
        <v>1636</v>
      </c>
      <c r="K5471" s="3" t="s">
        <v>28820</v>
      </c>
      <c r="L5471" s="3"/>
      <c r="M5471" s="4"/>
      <c r="N5471" s="3" t="s">
        <v>37</v>
      </c>
      <c r="O5471" s="3" t="s">
        <v>52</v>
      </c>
      <c r="P5471" s="5">
        <v>20</v>
      </c>
      <c r="Q5471" s="5">
        <v>407</v>
      </c>
      <c r="R5471" s="5">
        <v>19</v>
      </c>
      <c r="S5471" s="5">
        <v>386</v>
      </c>
    </row>
    <row r="5472" spans="1:19" ht="42" x14ac:dyDescent="0.15">
      <c r="A5472" s="2">
        <f>HYPERLINK("https://open-school.uspishnemisto.com.ua/school/260405/", 260405)</f>
        <v>260405</v>
      </c>
      <c r="B5472" s="3" t="s">
        <v>28821</v>
      </c>
      <c r="C5472" s="3" t="s">
        <v>31</v>
      </c>
      <c r="D5472" s="3" t="s">
        <v>32</v>
      </c>
      <c r="E5472" s="4" t="s">
        <v>22</v>
      </c>
      <c r="F5472" s="4" t="s">
        <v>28822</v>
      </c>
      <c r="G5472" s="4" t="s">
        <v>28823</v>
      </c>
      <c r="H5472" s="3" t="s">
        <v>26808</v>
      </c>
      <c r="I5472" s="3" t="s">
        <v>22077</v>
      </c>
      <c r="J5472" s="3" t="s">
        <v>28824</v>
      </c>
      <c r="K5472" s="3" t="s">
        <v>28825</v>
      </c>
      <c r="L5472" s="3" t="s">
        <v>28826</v>
      </c>
      <c r="M5472" s="4"/>
      <c r="N5472" s="3" t="s">
        <v>37</v>
      </c>
      <c r="O5472" s="3" t="s">
        <v>52</v>
      </c>
      <c r="P5472" s="5">
        <v>17</v>
      </c>
      <c r="Q5472" s="5">
        <v>320</v>
      </c>
      <c r="R5472" s="5">
        <v>17</v>
      </c>
      <c r="S5472" s="5">
        <v>321</v>
      </c>
    </row>
    <row r="5473" spans="1:19" ht="42" x14ac:dyDescent="0.15">
      <c r="A5473" s="2">
        <f>HYPERLINK("https://open-school.uspishnemisto.com.ua/school/260406/", 260406)</f>
        <v>260406</v>
      </c>
      <c r="B5473" s="3" t="s">
        <v>28827</v>
      </c>
      <c r="C5473" s="3" t="s">
        <v>181</v>
      </c>
      <c r="D5473" s="3" t="s">
        <v>175</v>
      </c>
      <c r="E5473" s="4" t="s">
        <v>22</v>
      </c>
      <c r="F5473" s="4" t="s">
        <v>28822</v>
      </c>
      <c r="G5473" s="4" t="s">
        <v>28823</v>
      </c>
      <c r="H5473" s="3" t="s">
        <v>26808</v>
      </c>
      <c r="I5473" s="3" t="s">
        <v>22077</v>
      </c>
      <c r="J5473" s="3" t="s">
        <v>28828</v>
      </c>
      <c r="K5473" s="3" t="s">
        <v>28829</v>
      </c>
      <c r="L5473" s="3"/>
      <c r="M5473" s="4" t="s">
        <v>28830</v>
      </c>
      <c r="N5473" s="3" t="s">
        <v>37</v>
      </c>
      <c r="O5473" s="3"/>
      <c r="P5473" s="5">
        <v>10</v>
      </c>
      <c r="Q5473" s="5">
        <v>94</v>
      </c>
      <c r="R5473" s="5">
        <v>10</v>
      </c>
      <c r="S5473" s="5">
        <v>82</v>
      </c>
    </row>
    <row r="5474" spans="1:19" ht="42" x14ac:dyDescent="0.15">
      <c r="A5474" s="2">
        <f>HYPERLINK("https://open-school.uspishnemisto.com.ua/school/260407/", 260407)</f>
        <v>260407</v>
      </c>
      <c r="B5474" s="3" t="s">
        <v>28831</v>
      </c>
      <c r="C5474" s="3" t="s">
        <v>7651</v>
      </c>
      <c r="D5474" s="3" t="s">
        <v>19078</v>
      </c>
      <c r="E5474" s="4" t="s">
        <v>22</v>
      </c>
      <c r="F5474" s="4"/>
      <c r="G5474" s="4" t="s">
        <v>28823</v>
      </c>
      <c r="H5474" s="3" t="s">
        <v>26808</v>
      </c>
      <c r="I5474" s="3" t="s">
        <v>22077</v>
      </c>
      <c r="J5474" s="3" t="s">
        <v>28832</v>
      </c>
      <c r="K5474" s="3"/>
      <c r="L5474" s="3"/>
      <c r="M5474" s="4" t="s">
        <v>28833</v>
      </c>
      <c r="N5474" s="3"/>
      <c r="O5474" s="3"/>
      <c r="P5474" s="5">
        <v>0</v>
      </c>
      <c r="Q5474" s="5">
        <v>0</v>
      </c>
      <c r="R5474" s="5"/>
      <c r="S5474" s="5"/>
    </row>
    <row r="5475" spans="1:19" ht="42" x14ac:dyDescent="0.15">
      <c r="A5475" s="2">
        <f>HYPERLINK("https://open-school.uspishnemisto.com.ua/school/260408/", 260408)</f>
        <v>260408</v>
      </c>
      <c r="B5475" s="3" t="s">
        <v>28834</v>
      </c>
      <c r="C5475" s="3" t="s">
        <v>31</v>
      </c>
      <c r="D5475" s="3" t="s">
        <v>175</v>
      </c>
      <c r="E5475" s="4" t="s">
        <v>22</v>
      </c>
      <c r="F5475" s="4" t="s">
        <v>28835</v>
      </c>
      <c r="G5475" s="4" t="s">
        <v>28836</v>
      </c>
      <c r="H5475" s="3" t="s">
        <v>26808</v>
      </c>
      <c r="I5475" s="3" t="s">
        <v>28837</v>
      </c>
      <c r="J5475" s="3"/>
      <c r="K5475" s="3" t="s">
        <v>28838</v>
      </c>
      <c r="L5475" s="3"/>
      <c r="M5475" s="4"/>
      <c r="N5475" s="3" t="s">
        <v>37</v>
      </c>
      <c r="O5475" s="3" t="s">
        <v>46</v>
      </c>
      <c r="P5475" s="5">
        <v>9</v>
      </c>
      <c r="Q5475" s="5">
        <v>104</v>
      </c>
      <c r="R5475" s="5">
        <v>9</v>
      </c>
      <c r="S5475" s="5">
        <v>97</v>
      </c>
    </row>
    <row r="5476" spans="1:19" ht="42" x14ac:dyDescent="0.15">
      <c r="A5476" s="2">
        <f>HYPERLINK("https://open-school.uspishnemisto.com.ua/school/260409/", 260409)</f>
        <v>260409</v>
      </c>
      <c r="B5476" s="3" t="s">
        <v>28839</v>
      </c>
      <c r="C5476" s="3" t="s">
        <v>31</v>
      </c>
      <c r="D5476" s="3" t="s">
        <v>175</v>
      </c>
      <c r="E5476" s="4" t="s">
        <v>22</v>
      </c>
      <c r="F5476" s="4" t="s">
        <v>28840</v>
      </c>
      <c r="G5476" s="4" t="s">
        <v>28841</v>
      </c>
      <c r="H5476" s="3" t="s">
        <v>26808</v>
      </c>
      <c r="I5476" s="3" t="s">
        <v>1488</v>
      </c>
      <c r="J5476" s="3"/>
      <c r="K5476" s="3" t="s">
        <v>28842</v>
      </c>
      <c r="L5476" s="3"/>
      <c r="M5476" s="4"/>
      <c r="N5476" s="3" t="s">
        <v>37</v>
      </c>
      <c r="O5476" s="3" t="s">
        <v>52</v>
      </c>
      <c r="P5476" s="5">
        <v>9</v>
      </c>
      <c r="Q5476" s="5">
        <v>84</v>
      </c>
      <c r="R5476" s="5">
        <v>9</v>
      </c>
      <c r="S5476" s="5">
        <v>81</v>
      </c>
    </row>
    <row r="5477" spans="1:19" ht="42" x14ac:dyDescent="0.15">
      <c r="A5477" s="2">
        <f>HYPERLINK("https://open-school.uspishnemisto.com.ua/school/260410/", 260410)</f>
        <v>260410</v>
      </c>
      <c r="B5477" s="3" t="s">
        <v>28843</v>
      </c>
      <c r="C5477" s="3" t="s">
        <v>31</v>
      </c>
      <c r="D5477" s="3" t="s">
        <v>175</v>
      </c>
      <c r="E5477" s="4" t="s">
        <v>22</v>
      </c>
      <c r="F5477" s="4" t="s">
        <v>28844</v>
      </c>
      <c r="G5477" s="4" t="s">
        <v>28845</v>
      </c>
      <c r="H5477" s="3" t="s">
        <v>26808</v>
      </c>
      <c r="I5477" s="3" t="s">
        <v>28846</v>
      </c>
      <c r="J5477" s="3"/>
      <c r="K5477" s="3" t="s">
        <v>28847</v>
      </c>
      <c r="L5477" s="3"/>
      <c r="M5477" s="4"/>
      <c r="N5477" s="3" t="s">
        <v>37</v>
      </c>
      <c r="O5477" s="3" t="s">
        <v>52</v>
      </c>
      <c r="P5477" s="5">
        <v>9</v>
      </c>
      <c r="Q5477" s="5">
        <v>100</v>
      </c>
      <c r="R5477" s="5">
        <v>9</v>
      </c>
      <c r="S5477" s="5">
        <v>101</v>
      </c>
    </row>
    <row r="5478" spans="1:19" ht="42" x14ac:dyDescent="0.15">
      <c r="A5478" s="2">
        <f>HYPERLINK("https://open-school.uspishnemisto.com.ua/school/260411/", 260411)</f>
        <v>260411</v>
      </c>
      <c r="B5478" s="3" t="s">
        <v>28848</v>
      </c>
      <c r="C5478" s="3" t="s">
        <v>31</v>
      </c>
      <c r="D5478" s="3" t="s">
        <v>32</v>
      </c>
      <c r="E5478" s="4" t="s">
        <v>22</v>
      </c>
      <c r="F5478" s="4" t="s">
        <v>28849</v>
      </c>
      <c r="G5478" s="4" t="s">
        <v>28850</v>
      </c>
      <c r="H5478" s="3" t="s">
        <v>26808</v>
      </c>
      <c r="I5478" s="3" t="s">
        <v>28851</v>
      </c>
      <c r="J5478" s="3" t="s">
        <v>28852</v>
      </c>
      <c r="K5478" s="3" t="s">
        <v>28853</v>
      </c>
      <c r="L5478" s="3" t="s">
        <v>28854</v>
      </c>
      <c r="M5478" s="4"/>
      <c r="N5478" s="3" t="s">
        <v>37</v>
      </c>
      <c r="O5478" s="3" t="s">
        <v>46</v>
      </c>
      <c r="P5478" s="5">
        <v>11</v>
      </c>
      <c r="Q5478" s="5">
        <v>142</v>
      </c>
      <c r="R5478" s="5">
        <v>11</v>
      </c>
      <c r="S5478" s="5">
        <v>158</v>
      </c>
    </row>
    <row r="5479" spans="1:19" ht="42" x14ac:dyDescent="0.15">
      <c r="A5479" s="2">
        <f>HYPERLINK("https://open-school.uspishnemisto.com.ua/school/260412/", 260412)</f>
        <v>260412</v>
      </c>
      <c r="B5479" s="3" t="s">
        <v>28855</v>
      </c>
      <c r="C5479" s="3" t="s">
        <v>31</v>
      </c>
      <c r="D5479" s="3" t="s">
        <v>175</v>
      </c>
      <c r="E5479" s="4" t="s">
        <v>22</v>
      </c>
      <c r="F5479" s="4" t="s">
        <v>28856</v>
      </c>
      <c r="G5479" s="4" t="s">
        <v>28857</v>
      </c>
      <c r="H5479" s="3" t="s">
        <v>26808</v>
      </c>
      <c r="I5479" s="3" t="s">
        <v>28858</v>
      </c>
      <c r="J5479" s="3" t="s">
        <v>28396</v>
      </c>
      <c r="K5479" s="3" t="s">
        <v>28859</v>
      </c>
      <c r="L5479" s="3"/>
      <c r="M5479" s="4"/>
      <c r="N5479" s="3" t="s">
        <v>37</v>
      </c>
      <c r="O5479" s="3" t="s">
        <v>52</v>
      </c>
      <c r="P5479" s="5">
        <v>2</v>
      </c>
      <c r="Q5479" s="5">
        <v>26</v>
      </c>
      <c r="R5479" s="5">
        <v>2</v>
      </c>
      <c r="S5479" s="5">
        <v>25</v>
      </c>
    </row>
    <row r="5480" spans="1:19" ht="56" x14ac:dyDescent="0.15">
      <c r="A5480" s="2">
        <f>HYPERLINK("https://open-school.uspishnemisto.com.ua/school/260413/", 260413)</f>
        <v>260413</v>
      </c>
      <c r="B5480" s="3" t="s">
        <v>28860</v>
      </c>
      <c r="C5480" s="3" t="s">
        <v>54</v>
      </c>
      <c r="D5480" s="3" t="s">
        <v>32</v>
      </c>
      <c r="E5480" s="4" t="s">
        <v>22</v>
      </c>
      <c r="F5480" s="4" t="s">
        <v>28856</v>
      </c>
      <c r="G5480" s="4" t="s">
        <v>28857</v>
      </c>
      <c r="H5480" s="3" t="s">
        <v>26808</v>
      </c>
      <c r="I5480" s="3" t="s">
        <v>28858</v>
      </c>
      <c r="J5480" s="3" t="s">
        <v>28861</v>
      </c>
      <c r="K5480" s="3" t="s">
        <v>28862</v>
      </c>
      <c r="L5480" s="3"/>
      <c r="M5480" s="4"/>
      <c r="N5480" s="3" t="s">
        <v>37</v>
      </c>
      <c r="O5480" s="3" t="s">
        <v>52</v>
      </c>
      <c r="P5480" s="5">
        <v>11</v>
      </c>
      <c r="Q5480" s="5">
        <v>96</v>
      </c>
      <c r="R5480" s="5">
        <v>11</v>
      </c>
      <c r="S5480" s="5">
        <v>87</v>
      </c>
    </row>
    <row r="5481" spans="1:19" ht="42" x14ac:dyDescent="0.15">
      <c r="A5481" s="2">
        <f>HYPERLINK("https://open-school.uspishnemisto.com.ua/school/260414/", 260414)</f>
        <v>260414</v>
      </c>
      <c r="B5481" s="3" t="s">
        <v>28863</v>
      </c>
      <c r="C5481" s="3" t="s">
        <v>31</v>
      </c>
      <c r="D5481" s="3" t="s">
        <v>175</v>
      </c>
      <c r="E5481" s="4" t="s">
        <v>22</v>
      </c>
      <c r="F5481" s="4" t="s">
        <v>28864</v>
      </c>
      <c r="G5481" s="4" t="s">
        <v>28865</v>
      </c>
      <c r="H5481" s="3" t="s">
        <v>26808</v>
      </c>
      <c r="I5481" s="3" t="s">
        <v>2655</v>
      </c>
      <c r="J5481" s="3" t="s">
        <v>28866</v>
      </c>
      <c r="K5481" s="3" t="s">
        <v>28867</v>
      </c>
      <c r="L5481" s="3" t="s">
        <v>28868</v>
      </c>
      <c r="M5481" s="4"/>
      <c r="N5481" s="3" t="s">
        <v>37</v>
      </c>
      <c r="O5481" s="3" t="s">
        <v>52</v>
      </c>
      <c r="P5481" s="5">
        <v>11</v>
      </c>
      <c r="Q5481" s="5">
        <v>192</v>
      </c>
      <c r="R5481" s="5">
        <v>10</v>
      </c>
      <c r="S5481" s="5">
        <v>186</v>
      </c>
    </row>
    <row r="5482" spans="1:19" ht="42" x14ac:dyDescent="0.15">
      <c r="A5482" s="2">
        <f>HYPERLINK("https://open-school.uspishnemisto.com.ua/school/260415/", 260415)</f>
        <v>260415</v>
      </c>
      <c r="B5482" s="3" t="s">
        <v>28869</v>
      </c>
      <c r="C5482" s="3" t="s">
        <v>31</v>
      </c>
      <c r="D5482" s="3" t="s">
        <v>32</v>
      </c>
      <c r="E5482" s="4" t="s">
        <v>22</v>
      </c>
      <c r="F5482" s="4" t="s">
        <v>28870</v>
      </c>
      <c r="G5482" s="4" t="s">
        <v>28865</v>
      </c>
      <c r="H5482" s="3" t="s">
        <v>26808</v>
      </c>
      <c r="I5482" s="3" t="s">
        <v>2655</v>
      </c>
      <c r="J5482" s="3" t="s">
        <v>28871</v>
      </c>
      <c r="K5482" s="3" t="s">
        <v>28872</v>
      </c>
      <c r="L5482" s="3" t="s">
        <v>28873</v>
      </c>
      <c r="M5482" s="4"/>
      <c r="N5482" s="3" t="s">
        <v>37</v>
      </c>
      <c r="O5482" s="3" t="s">
        <v>52</v>
      </c>
      <c r="P5482" s="5">
        <v>13</v>
      </c>
      <c r="Q5482" s="5">
        <v>250</v>
      </c>
      <c r="R5482" s="5">
        <v>13</v>
      </c>
      <c r="S5482" s="5">
        <v>260</v>
      </c>
    </row>
    <row r="5483" spans="1:19" ht="42" x14ac:dyDescent="0.15">
      <c r="A5483" s="2">
        <f>HYPERLINK("https://open-school.uspishnemisto.com.ua/school/260416/", 260416)</f>
        <v>260416</v>
      </c>
      <c r="B5483" s="3" t="s">
        <v>28874</v>
      </c>
      <c r="C5483" s="3" t="s">
        <v>54</v>
      </c>
      <c r="D5483" s="3" t="s">
        <v>175</v>
      </c>
      <c r="E5483" s="4" t="s">
        <v>22</v>
      </c>
      <c r="F5483" s="4" t="s">
        <v>28875</v>
      </c>
      <c r="G5483" s="4" t="s">
        <v>28876</v>
      </c>
      <c r="H5483" s="3" t="s">
        <v>26808</v>
      </c>
      <c r="I5483" s="3" t="s">
        <v>28877</v>
      </c>
      <c r="J5483" s="3" t="s">
        <v>28878</v>
      </c>
      <c r="K5483" s="3" t="s">
        <v>28879</v>
      </c>
      <c r="L5483" s="3"/>
      <c r="M5483" s="4"/>
      <c r="N5483" s="3" t="s">
        <v>37</v>
      </c>
      <c r="O5483" s="3" t="s">
        <v>46</v>
      </c>
      <c r="P5483" s="5">
        <v>9</v>
      </c>
      <c r="Q5483" s="5">
        <v>112</v>
      </c>
      <c r="R5483" s="5">
        <v>9</v>
      </c>
      <c r="S5483" s="5">
        <v>109</v>
      </c>
    </row>
    <row r="5484" spans="1:19" ht="42" x14ac:dyDescent="0.15">
      <c r="A5484" s="2">
        <f>HYPERLINK("https://open-school.uspishnemisto.com.ua/school/260417/", 260417)</f>
        <v>260417</v>
      </c>
      <c r="B5484" s="3" t="s">
        <v>28880</v>
      </c>
      <c r="C5484" s="3" t="s">
        <v>31</v>
      </c>
      <c r="D5484" s="3" t="s">
        <v>175</v>
      </c>
      <c r="E5484" s="4" t="s">
        <v>22</v>
      </c>
      <c r="F5484" s="4" t="s">
        <v>28881</v>
      </c>
      <c r="G5484" s="4" t="s">
        <v>28882</v>
      </c>
      <c r="H5484" s="3" t="s">
        <v>26808</v>
      </c>
      <c r="I5484" s="3" t="s">
        <v>28883</v>
      </c>
      <c r="J5484" s="3" t="s">
        <v>28884</v>
      </c>
      <c r="K5484" s="3" t="s">
        <v>28885</v>
      </c>
      <c r="L5484" s="3" t="s">
        <v>28886</v>
      </c>
      <c r="M5484" s="4"/>
      <c r="N5484" s="3" t="s">
        <v>37</v>
      </c>
      <c r="O5484" s="3" t="s">
        <v>52</v>
      </c>
      <c r="P5484" s="5">
        <v>8</v>
      </c>
      <c r="Q5484" s="5">
        <v>61</v>
      </c>
      <c r="R5484" s="5">
        <v>8</v>
      </c>
      <c r="S5484" s="5">
        <v>66</v>
      </c>
    </row>
    <row r="5485" spans="1:19" ht="42" x14ac:dyDescent="0.15">
      <c r="A5485" s="2">
        <f>HYPERLINK("https://open-school.uspishnemisto.com.ua/school/260418/", 260418)</f>
        <v>260418</v>
      </c>
      <c r="B5485" s="3" t="s">
        <v>28887</v>
      </c>
      <c r="C5485" s="3" t="s">
        <v>31</v>
      </c>
      <c r="D5485" s="3" t="s">
        <v>32</v>
      </c>
      <c r="E5485" s="4" t="s">
        <v>22</v>
      </c>
      <c r="F5485" s="4" t="s">
        <v>28888</v>
      </c>
      <c r="G5485" s="4" t="s">
        <v>28889</v>
      </c>
      <c r="H5485" s="3" t="s">
        <v>26808</v>
      </c>
      <c r="I5485" s="3" t="s">
        <v>28890</v>
      </c>
      <c r="J5485" s="3" t="s">
        <v>28891</v>
      </c>
      <c r="K5485" s="3" t="s">
        <v>28892</v>
      </c>
      <c r="L5485" s="3"/>
      <c r="M5485" s="4"/>
      <c r="N5485" s="3" t="s">
        <v>37</v>
      </c>
      <c r="O5485" s="3" t="s">
        <v>52</v>
      </c>
      <c r="P5485" s="5">
        <v>16</v>
      </c>
      <c r="Q5485" s="5">
        <v>326</v>
      </c>
      <c r="R5485" s="5">
        <v>15</v>
      </c>
      <c r="S5485" s="5">
        <v>314</v>
      </c>
    </row>
    <row r="5486" spans="1:19" ht="42" x14ac:dyDescent="0.15">
      <c r="A5486" s="2">
        <f>HYPERLINK("https://open-school.uspishnemisto.com.ua/school/260419/", 260419)</f>
        <v>260419</v>
      </c>
      <c r="B5486" s="3" t="s">
        <v>28893</v>
      </c>
      <c r="C5486" s="3" t="s">
        <v>31</v>
      </c>
      <c r="D5486" s="3" t="s">
        <v>32</v>
      </c>
      <c r="E5486" s="4" t="s">
        <v>22</v>
      </c>
      <c r="F5486" s="4" t="s">
        <v>28894</v>
      </c>
      <c r="G5486" s="4" t="s">
        <v>28895</v>
      </c>
      <c r="H5486" s="3" t="s">
        <v>26808</v>
      </c>
      <c r="I5486" s="3" t="s">
        <v>27330</v>
      </c>
      <c r="J5486" s="3" t="s">
        <v>8185</v>
      </c>
      <c r="K5486" s="3" t="s">
        <v>28896</v>
      </c>
      <c r="L5486" s="3"/>
      <c r="M5486" s="4"/>
      <c r="N5486" s="3" t="s">
        <v>37</v>
      </c>
      <c r="O5486" s="3" t="s">
        <v>46</v>
      </c>
      <c r="P5486" s="5">
        <v>26</v>
      </c>
      <c r="Q5486" s="5">
        <v>592</v>
      </c>
      <c r="R5486" s="5">
        <v>24</v>
      </c>
      <c r="S5486" s="5">
        <v>563</v>
      </c>
    </row>
    <row r="5487" spans="1:19" ht="42" x14ac:dyDescent="0.15">
      <c r="A5487" s="2">
        <f>HYPERLINK("https://open-school.uspishnemisto.com.ua/school/260420/", 260420)</f>
        <v>260420</v>
      </c>
      <c r="B5487" s="3" t="s">
        <v>28897</v>
      </c>
      <c r="C5487" s="3" t="s">
        <v>31</v>
      </c>
      <c r="D5487" s="3" t="s">
        <v>175</v>
      </c>
      <c r="E5487" s="4" t="s">
        <v>22</v>
      </c>
      <c r="F5487" s="4" t="s">
        <v>28894</v>
      </c>
      <c r="G5487" s="4" t="s">
        <v>28895</v>
      </c>
      <c r="H5487" s="3" t="s">
        <v>26808</v>
      </c>
      <c r="I5487" s="3" t="s">
        <v>27330</v>
      </c>
      <c r="J5487" s="3" t="s">
        <v>28898</v>
      </c>
      <c r="K5487" s="3" t="s">
        <v>28899</v>
      </c>
      <c r="L5487" s="3"/>
      <c r="M5487" s="4"/>
      <c r="N5487" s="3" t="s">
        <v>37</v>
      </c>
      <c r="O5487" s="3" t="s">
        <v>46</v>
      </c>
      <c r="P5487" s="5">
        <v>8</v>
      </c>
      <c r="Q5487" s="5">
        <v>54</v>
      </c>
      <c r="R5487" s="5">
        <v>8</v>
      </c>
      <c r="S5487" s="5">
        <v>56</v>
      </c>
    </row>
    <row r="5488" spans="1:19" ht="42" x14ac:dyDescent="0.15">
      <c r="A5488" s="2">
        <f>HYPERLINK("https://open-school.uspishnemisto.com.ua/school/260421/", 260421)</f>
        <v>260421</v>
      </c>
      <c r="B5488" s="3" t="s">
        <v>28900</v>
      </c>
      <c r="C5488" s="3" t="s">
        <v>31</v>
      </c>
      <c r="D5488" s="3" t="s">
        <v>175</v>
      </c>
      <c r="E5488" s="4" t="s">
        <v>22</v>
      </c>
      <c r="F5488" s="4" t="s">
        <v>28894</v>
      </c>
      <c r="G5488" s="4" t="s">
        <v>28895</v>
      </c>
      <c r="H5488" s="3" t="s">
        <v>26808</v>
      </c>
      <c r="I5488" s="3" t="s">
        <v>27330</v>
      </c>
      <c r="J5488" s="3" t="s">
        <v>28901</v>
      </c>
      <c r="K5488" s="3" t="s">
        <v>28902</v>
      </c>
      <c r="L5488" s="3"/>
      <c r="M5488" s="4"/>
      <c r="N5488" s="3" t="s">
        <v>37</v>
      </c>
      <c r="O5488" s="3" t="s">
        <v>46</v>
      </c>
      <c r="P5488" s="5">
        <v>8</v>
      </c>
      <c r="Q5488" s="5">
        <v>65</v>
      </c>
      <c r="R5488" s="5">
        <v>8</v>
      </c>
      <c r="S5488" s="5">
        <v>65</v>
      </c>
    </row>
    <row r="5489" spans="1:19" ht="42" x14ac:dyDescent="0.15">
      <c r="A5489" s="2">
        <f>HYPERLINK("https://open-school.uspishnemisto.com.ua/school/260422/", 260422)</f>
        <v>260422</v>
      </c>
      <c r="B5489" s="3" t="s">
        <v>28903</v>
      </c>
      <c r="C5489" s="3" t="s">
        <v>31</v>
      </c>
      <c r="D5489" s="3" t="s">
        <v>60</v>
      </c>
      <c r="E5489" s="4" t="s">
        <v>22</v>
      </c>
      <c r="F5489" s="4" t="s">
        <v>28894</v>
      </c>
      <c r="G5489" s="4" t="s">
        <v>28895</v>
      </c>
      <c r="H5489" s="3" t="s">
        <v>26808</v>
      </c>
      <c r="I5489" s="3" t="s">
        <v>27330</v>
      </c>
      <c r="J5489" s="3" t="s">
        <v>28904</v>
      </c>
      <c r="K5489" s="3" t="s">
        <v>28905</v>
      </c>
      <c r="L5489" s="3"/>
      <c r="M5489" s="4"/>
      <c r="N5489" s="3" t="s">
        <v>37</v>
      </c>
      <c r="O5489" s="3" t="s">
        <v>52</v>
      </c>
      <c r="P5489" s="5">
        <v>2</v>
      </c>
      <c r="Q5489" s="5">
        <v>15</v>
      </c>
      <c r="R5489" s="5">
        <v>2</v>
      </c>
      <c r="S5489" s="5">
        <v>18</v>
      </c>
    </row>
    <row r="5490" spans="1:19" ht="42" x14ac:dyDescent="0.15">
      <c r="A5490" s="2">
        <f>HYPERLINK("https://open-school.uspishnemisto.com.ua/school/260423/", 260423)</f>
        <v>260423</v>
      </c>
      <c r="B5490" s="3" t="s">
        <v>28906</v>
      </c>
      <c r="C5490" s="3" t="s">
        <v>31</v>
      </c>
      <c r="D5490" s="3" t="s">
        <v>175</v>
      </c>
      <c r="E5490" s="4" t="s">
        <v>22</v>
      </c>
      <c r="F5490" s="4" t="s">
        <v>28894</v>
      </c>
      <c r="G5490" s="4" t="s">
        <v>28895</v>
      </c>
      <c r="H5490" s="3" t="s">
        <v>26808</v>
      </c>
      <c r="I5490" s="3" t="s">
        <v>27330</v>
      </c>
      <c r="J5490" s="3" t="s">
        <v>28907</v>
      </c>
      <c r="K5490" s="3" t="s">
        <v>28908</v>
      </c>
      <c r="L5490" s="3"/>
      <c r="M5490" s="4"/>
      <c r="N5490" s="3" t="s">
        <v>37</v>
      </c>
      <c r="O5490" s="3" t="s">
        <v>46</v>
      </c>
      <c r="P5490" s="5">
        <v>7</v>
      </c>
      <c r="Q5490" s="5">
        <v>46</v>
      </c>
      <c r="R5490" s="5">
        <v>6</v>
      </c>
      <c r="S5490" s="5">
        <v>47</v>
      </c>
    </row>
    <row r="5491" spans="1:19" ht="42" x14ac:dyDescent="0.15">
      <c r="A5491" s="2">
        <f>HYPERLINK("https://open-school.uspishnemisto.com.ua/school/260424/", 260424)</f>
        <v>260424</v>
      </c>
      <c r="B5491" s="3" t="s">
        <v>28909</v>
      </c>
      <c r="C5491" s="3" t="s">
        <v>31</v>
      </c>
      <c r="D5491" s="3" t="s">
        <v>175</v>
      </c>
      <c r="E5491" s="4" t="s">
        <v>22</v>
      </c>
      <c r="F5491" s="4" t="s">
        <v>28894</v>
      </c>
      <c r="G5491" s="4" t="s">
        <v>28895</v>
      </c>
      <c r="H5491" s="3" t="s">
        <v>26808</v>
      </c>
      <c r="I5491" s="3" t="s">
        <v>27330</v>
      </c>
      <c r="J5491" s="3" t="s">
        <v>28910</v>
      </c>
      <c r="K5491" s="3" t="s">
        <v>28911</v>
      </c>
      <c r="L5491" s="3"/>
      <c r="M5491" s="4"/>
      <c r="N5491" s="3" t="s">
        <v>37</v>
      </c>
      <c r="O5491" s="3" t="s">
        <v>618</v>
      </c>
      <c r="P5491" s="5">
        <v>9</v>
      </c>
      <c r="Q5491" s="5">
        <v>67</v>
      </c>
      <c r="R5491" s="5">
        <v>9</v>
      </c>
      <c r="S5491" s="5">
        <v>66</v>
      </c>
    </row>
    <row r="5492" spans="1:19" ht="42" x14ac:dyDescent="0.15">
      <c r="A5492" s="2">
        <f>HYPERLINK("https://open-school.uspishnemisto.com.ua/school/260425/", 260425)</f>
        <v>260425</v>
      </c>
      <c r="B5492" s="3" t="s">
        <v>28912</v>
      </c>
      <c r="C5492" s="3" t="s">
        <v>31</v>
      </c>
      <c r="D5492" s="3" t="s">
        <v>60</v>
      </c>
      <c r="E5492" s="4" t="s">
        <v>22</v>
      </c>
      <c r="F5492" s="4" t="s">
        <v>28894</v>
      </c>
      <c r="G5492" s="4" t="s">
        <v>28895</v>
      </c>
      <c r="H5492" s="3" t="s">
        <v>26808</v>
      </c>
      <c r="I5492" s="3" t="s">
        <v>27330</v>
      </c>
      <c r="J5492" s="3" t="s">
        <v>28913</v>
      </c>
      <c r="K5492" s="3" t="s">
        <v>28914</v>
      </c>
      <c r="L5492" s="3"/>
      <c r="M5492" s="4"/>
      <c r="N5492" s="3" t="s">
        <v>37</v>
      </c>
      <c r="O5492" s="3" t="s">
        <v>618</v>
      </c>
      <c r="P5492" s="5">
        <v>2</v>
      </c>
      <c r="Q5492" s="5">
        <v>15</v>
      </c>
      <c r="R5492" s="5">
        <v>2</v>
      </c>
      <c r="S5492" s="5">
        <v>15</v>
      </c>
    </row>
    <row r="5493" spans="1:19" ht="56" x14ac:dyDescent="0.15">
      <c r="A5493" s="2">
        <f>HYPERLINK("https://open-school.uspishnemisto.com.ua/school/260426/", 260426)</f>
        <v>260426</v>
      </c>
      <c r="B5493" s="3" t="s">
        <v>28915</v>
      </c>
      <c r="C5493" s="3" t="s">
        <v>54</v>
      </c>
      <c r="D5493" s="3" t="s">
        <v>175</v>
      </c>
      <c r="E5493" s="4" t="s">
        <v>22</v>
      </c>
      <c r="F5493" s="4" t="s">
        <v>28916</v>
      </c>
      <c r="G5493" s="4" t="s">
        <v>28917</v>
      </c>
      <c r="H5493" s="3" t="s">
        <v>26808</v>
      </c>
      <c r="I5493" s="3" t="s">
        <v>28918</v>
      </c>
      <c r="J5493" s="3" t="s">
        <v>28919</v>
      </c>
      <c r="K5493" s="3" t="s">
        <v>28920</v>
      </c>
      <c r="L5493" s="3"/>
      <c r="M5493" s="4"/>
      <c r="N5493" s="3" t="s">
        <v>37</v>
      </c>
      <c r="O5493" s="3" t="s">
        <v>52</v>
      </c>
      <c r="P5493" s="5">
        <v>9</v>
      </c>
      <c r="Q5493" s="5">
        <v>52</v>
      </c>
      <c r="R5493" s="5">
        <v>9</v>
      </c>
      <c r="S5493" s="5">
        <v>53</v>
      </c>
    </row>
    <row r="5494" spans="1:19" ht="42" x14ac:dyDescent="0.15">
      <c r="A5494" s="2">
        <f>HYPERLINK("https://open-school.uspishnemisto.com.ua/school/260427/", 260427)</f>
        <v>260427</v>
      </c>
      <c r="B5494" s="3" t="s">
        <v>28921</v>
      </c>
      <c r="C5494" s="3" t="s">
        <v>31</v>
      </c>
      <c r="D5494" s="3" t="s">
        <v>175</v>
      </c>
      <c r="E5494" s="4" t="s">
        <v>22</v>
      </c>
      <c r="F5494" s="4" t="s">
        <v>28922</v>
      </c>
      <c r="G5494" s="4" t="s">
        <v>28923</v>
      </c>
      <c r="H5494" s="3" t="s">
        <v>26808</v>
      </c>
      <c r="I5494" s="3" t="s">
        <v>28924</v>
      </c>
      <c r="J5494" s="3" t="s">
        <v>28925</v>
      </c>
      <c r="K5494" s="3" t="s">
        <v>28926</v>
      </c>
      <c r="L5494" s="3"/>
      <c r="M5494" s="4"/>
      <c r="N5494" s="3" t="s">
        <v>37</v>
      </c>
      <c r="O5494" s="3" t="s">
        <v>46</v>
      </c>
      <c r="P5494" s="5">
        <v>9</v>
      </c>
      <c r="Q5494" s="5">
        <v>100</v>
      </c>
      <c r="R5494" s="5">
        <v>9</v>
      </c>
      <c r="S5494" s="5">
        <v>100</v>
      </c>
    </row>
    <row r="5495" spans="1:19" ht="42" x14ac:dyDescent="0.15">
      <c r="A5495" s="2">
        <f>HYPERLINK("https://open-school.uspishnemisto.com.ua/school/260428/", 260428)</f>
        <v>260428</v>
      </c>
      <c r="B5495" s="3" t="s">
        <v>28927</v>
      </c>
      <c r="C5495" s="3" t="s">
        <v>31</v>
      </c>
      <c r="D5495" s="3" t="s">
        <v>175</v>
      </c>
      <c r="E5495" s="4" t="s">
        <v>22</v>
      </c>
      <c r="F5495" s="4" t="s">
        <v>28928</v>
      </c>
      <c r="G5495" s="4" t="s">
        <v>28929</v>
      </c>
      <c r="H5495" s="3" t="s">
        <v>26808</v>
      </c>
      <c r="I5495" s="3" t="s">
        <v>26967</v>
      </c>
      <c r="J5495" s="3" t="s">
        <v>933</v>
      </c>
      <c r="K5495" s="3" t="s">
        <v>28930</v>
      </c>
      <c r="L5495" s="3"/>
      <c r="M5495" s="4"/>
      <c r="N5495" s="3" t="s">
        <v>37</v>
      </c>
      <c r="O5495" s="3" t="s">
        <v>52</v>
      </c>
      <c r="P5495" s="5">
        <v>9</v>
      </c>
      <c r="Q5495" s="5">
        <v>94</v>
      </c>
      <c r="R5495" s="5">
        <v>9</v>
      </c>
      <c r="S5495" s="5">
        <v>93</v>
      </c>
    </row>
    <row r="5496" spans="1:19" ht="42" x14ac:dyDescent="0.15">
      <c r="A5496" s="2">
        <f>HYPERLINK("https://open-school.uspishnemisto.com.ua/school/260429/", 260429)</f>
        <v>260429</v>
      </c>
      <c r="B5496" s="3" t="s">
        <v>28931</v>
      </c>
      <c r="C5496" s="3" t="s">
        <v>31</v>
      </c>
      <c r="D5496" s="3" t="s">
        <v>32</v>
      </c>
      <c r="E5496" s="4" t="s">
        <v>22</v>
      </c>
      <c r="F5496" s="4" t="s">
        <v>28932</v>
      </c>
      <c r="G5496" s="4" t="s">
        <v>28933</v>
      </c>
      <c r="H5496" s="3" t="s">
        <v>26808</v>
      </c>
      <c r="I5496" s="3" t="s">
        <v>28934</v>
      </c>
      <c r="J5496" s="3" t="s">
        <v>28935</v>
      </c>
      <c r="K5496" s="3" t="s">
        <v>28936</v>
      </c>
      <c r="L5496" s="3"/>
      <c r="M5496" s="4"/>
      <c r="N5496" s="3" t="s">
        <v>37</v>
      </c>
      <c r="O5496" s="3" t="s">
        <v>2740</v>
      </c>
      <c r="P5496" s="5">
        <v>21</v>
      </c>
      <c r="Q5496" s="5">
        <v>493</v>
      </c>
      <c r="R5496" s="5">
        <v>20</v>
      </c>
      <c r="S5496" s="5">
        <v>473</v>
      </c>
    </row>
    <row r="5497" spans="1:19" ht="42" x14ac:dyDescent="0.15">
      <c r="A5497" s="2">
        <f>HYPERLINK("https://open-school.uspishnemisto.com.ua/school/260430/", 260430)</f>
        <v>260430</v>
      </c>
      <c r="B5497" s="3" t="s">
        <v>28937</v>
      </c>
      <c r="C5497" s="3" t="s">
        <v>31</v>
      </c>
      <c r="D5497" s="3" t="s">
        <v>175</v>
      </c>
      <c r="E5497" s="4" t="s">
        <v>22</v>
      </c>
      <c r="F5497" s="4" t="s">
        <v>28932</v>
      </c>
      <c r="G5497" s="4" t="s">
        <v>28933</v>
      </c>
      <c r="H5497" s="3" t="s">
        <v>26808</v>
      </c>
      <c r="I5497" s="3" t="s">
        <v>28934</v>
      </c>
      <c r="J5497" s="3" t="s">
        <v>28938</v>
      </c>
      <c r="K5497" s="3" t="s">
        <v>28939</v>
      </c>
      <c r="L5497" s="3"/>
      <c r="M5497" s="4"/>
      <c r="N5497" s="3" t="s">
        <v>37</v>
      </c>
      <c r="O5497" s="3" t="s">
        <v>52</v>
      </c>
      <c r="P5497" s="5">
        <v>3</v>
      </c>
      <c r="Q5497" s="5">
        <v>18</v>
      </c>
      <c r="R5497" s="5">
        <v>3</v>
      </c>
      <c r="S5497" s="5">
        <v>18</v>
      </c>
    </row>
    <row r="5498" spans="1:19" ht="56" x14ac:dyDescent="0.15">
      <c r="A5498" s="2">
        <f>HYPERLINK("https://open-school.uspishnemisto.com.ua/school/260431/", 260431)</f>
        <v>260431</v>
      </c>
      <c r="B5498" s="3" t="s">
        <v>28940</v>
      </c>
      <c r="C5498" s="3" t="s">
        <v>54</v>
      </c>
      <c r="D5498" s="3" t="s">
        <v>175</v>
      </c>
      <c r="E5498" s="4" t="s">
        <v>22</v>
      </c>
      <c r="F5498" s="4" t="s">
        <v>28941</v>
      </c>
      <c r="G5498" s="4" t="s">
        <v>28942</v>
      </c>
      <c r="H5498" s="3" t="s">
        <v>26808</v>
      </c>
      <c r="I5498" s="3" t="s">
        <v>28943</v>
      </c>
      <c r="J5498" s="3"/>
      <c r="K5498" s="3" t="s">
        <v>28944</v>
      </c>
      <c r="L5498" s="3"/>
      <c r="M5498" s="4"/>
      <c r="N5498" s="3" t="s">
        <v>37</v>
      </c>
      <c r="O5498" s="3" t="s">
        <v>52</v>
      </c>
      <c r="P5498" s="5">
        <v>9</v>
      </c>
      <c r="Q5498" s="5">
        <v>101</v>
      </c>
      <c r="R5498" s="5">
        <v>9</v>
      </c>
      <c r="S5498" s="5">
        <v>99</v>
      </c>
    </row>
    <row r="5499" spans="1:19" ht="42" x14ac:dyDescent="0.15">
      <c r="A5499" s="2">
        <f>HYPERLINK("https://open-school.uspishnemisto.com.ua/school/260432/", 260432)</f>
        <v>260432</v>
      </c>
      <c r="B5499" s="3" t="s">
        <v>28945</v>
      </c>
      <c r="C5499" s="3" t="s">
        <v>31</v>
      </c>
      <c r="D5499" s="3" t="s">
        <v>175</v>
      </c>
      <c r="E5499" s="4" t="s">
        <v>22</v>
      </c>
      <c r="F5499" s="4" t="s">
        <v>28946</v>
      </c>
      <c r="G5499" s="4" t="s">
        <v>28947</v>
      </c>
      <c r="H5499" s="3" t="s">
        <v>26808</v>
      </c>
      <c r="I5499" s="3" t="s">
        <v>28948</v>
      </c>
      <c r="J5499" s="3"/>
      <c r="K5499" s="3" t="s">
        <v>28949</v>
      </c>
      <c r="L5499" s="3"/>
      <c r="M5499" s="4"/>
      <c r="N5499" s="3" t="s">
        <v>37</v>
      </c>
      <c r="O5499" s="3" t="s">
        <v>52</v>
      </c>
      <c r="P5499" s="5">
        <v>9</v>
      </c>
      <c r="Q5499" s="5">
        <v>131</v>
      </c>
      <c r="R5499" s="5">
        <v>9</v>
      </c>
      <c r="S5499" s="5">
        <v>133</v>
      </c>
    </row>
    <row r="5500" spans="1:19" ht="42" x14ac:dyDescent="0.15">
      <c r="A5500" s="2">
        <f>HYPERLINK("https://open-school.uspishnemisto.com.ua/school/260433/", 260433)</f>
        <v>260433</v>
      </c>
      <c r="B5500" s="3" t="s">
        <v>28950</v>
      </c>
      <c r="C5500" s="3" t="s">
        <v>31</v>
      </c>
      <c r="D5500" s="3" t="s">
        <v>175</v>
      </c>
      <c r="E5500" s="4" t="s">
        <v>22</v>
      </c>
      <c r="F5500" s="4" t="s">
        <v>28951</v>
      </c>
      <c r="G5500" s="4" t="s">
        <v>28952</v>
      </c>
      <c r="H5500" s="3" t="s">
        <v>26808</v>
      </c>
      <c r="I5500" s="3" t="s">
        <v>28953</v>
      </c>
      <c r="J5500" s="3" t="s">
        <v>1417</v>
      </c>
      <c r="K5500" s="3" t="s">
        <v>28954</v>
      </c>
      <c r="L5500" s="3"/>
      <c r="M5500" s="4"/>
      <c r="N5500" s="3" t="s">
        <v>37</v>
      </c>
      <c r="O5500" s="3" t="s">
        <v>52</v>
      </c>
      <c r="P5500" s="5">
        <v>7</v>
      </c>
      <c r="Q5500" s="5">
        <v>49</v>
      </c>
      <c r="R5500" s="5">
        <v>7</v>
      </c>
      <c r="S5500" s="5">
        <v>52</v>
      </c>
    </row>
    <row r="5501" spans="1:19" ht="42" x14ac:dyDescent="0.15">
      <c r="A5501" s="2">
        <f>HYPERLINK("https://open-school.uspishnemisto.com.ua/school/260434/", 260434)</f>
        <v>260434</v>
      </c>
      <c r="B5501" s="3" t="s">
        <v>28955</v>
      </c>
      <c r="C5501" s="3" t="s">
        <v>54</v>
      </c>
      <c r="D5501" s="3" t="s">
        <v>32</v>
      </c>
      <c r="E5501" s="4" t="s">
        <v>22</v>
      </c>
      <c r="F5501" s="4" t="s">
        <v>28956</v>
      </c>
      <c r="G5501" s="4" t="s">
        <v>28957</v>
      </c>
      <c r="H5501" s="3" t="s">
        <v>26808</v>
      </c>
      <c r="I5501" s="3" t="s">
        <v>21676</v>
      </c>
      <c r="J5501" s="3"/>
      <c r="K5501" s="3" t="s">
        <v>28958</v>
      </c>
      <c r="L5501" s="3" t="s">
        <v>28959</v>
      </c>
      <c r="M5501" s="4"/>
      <c r="N5501" s="3" t="s">
        <v>37</v>
      </c>
      <c r="O5501" s="3" t="s">
        <v>52</v>
      </c>
      <c r="P5501" s="5">
        <v>12</v>
      </c>
      <c r="Q5501" s="5">
        <v>222</v>
      </c>
      <c r="R5501" s="5">
        <v>12</v>
      </c>
      <c r="S5501" s="5">
        <v>230</v>
      </c>
    </row>
    <row r="5502" spans="1:19" ht="42" x14ac:dyDescent="0.15">
      <c r="A5502" s="2">
        <f>HYPERLINK("https://open-school.uspishnemisto.com.ua/school/260435/", 260435)</f>
        <v>260435</v>
      </c>
      <c r="B5502" s="3" t="s">
        <v>28960</v>
      </c>
      <c r="C5502" s="3" t="s">
        <v>31</v>
      </c>
      <c r="D5502" s="3" t="s">
        <v>175</v>
      </c>
      <c r="E5502" s="4" t="s">
        <v>22</v>
      </c>
      <c r="F5502" s="4" t="s">
        <v>28961</v>
      </c>
      <c r="G5502" s="4" t="s">
        <v>28962</v>
      </c>
      <c r="H5502" s="3" t="s">
        <v>26808</v>
      </c>
      <c r="I5502" s="3" t="s">
        <v>28963</v>
      </c>
      <c r="J5502" s="3" t="s">
        <v>3440</v>
      </c>
      <c r="K5502" s="3" t="s">
        <v>28964</v>
      </c>
      <c r="L5502" s="3"/>
      <c r="M5502" s="4"/>
      <c r="N5502" s="3" t="s">
        <v>37</v>
      </c>
      <c r="O5502" s="3" t="s">
        <v>52</v>
      </c>
      <c r="P5502" s="5">
        <v>9</v>
      </c>
      <c r="Q5502" s="5">
        <v>116</v>
      </c>
      <c r="R5502" s="5">
        <v>9</v>
      </c>
      <c r="S5502" s="5">
        <v>112</v>
      </c>
    </row>
    <row r="5503" spans="1:19" ht="42" x14ac:dyDescent="0.15">
      <c r="A5503" s="2">
        <f>HYPERLINK("https://open-school.uspishnemisto.com.ua/school/260436/", 260436)</f>
        <v>260436</v>
      </c>
      <c r="B5503" s="3" t="s">
        <v>28965</v>
      </c>
      <c r="C5503" s="3" t="s">
        <v>31</v>
      </c>
      <c r="D5503" s="3" t="s">
        <v>32</v>
      </c>
      <c r="E5503" s="4" t="s">
        <v>22</v>
      </c>
      <c r="F5503" s="4" t="s">
        <v>28966</v>
      </c>
      <c r="G5503" s="4" t="s">
        <v>28967</v>
      </c>
      <c r="H5503" s="3" t="s">
        <v>26808</v>
      </c>
      <c r="I5503" s="3" t="s">
        <v>28968</v>
      </c>
      <c r="J5503" s="3" t="s">
        <v>28969</v>
      </c>
      <c r="K5503" s="3" t="s">
        <v>28970</v>
      </c>
      <c r="L5503" s="3" t="s">
        <v>28971</v>
      </c>
      <c r="M5503" s="4"/>
      <c r="N5503" s="3" t="s">
        <v>37</v>
      </c>
      <c r="O5503" s="3" t="s">
        <v>46</v>
      </c>
      <c r="P5503" s="5">
        <v>32</v>
      </c>
      <c r="Q5503" s="5">
        <v>668</v>
      </c>
      <c r="R5503" s="5">
        <v>29</v>
      </c>
      <c r="S5503" s="5">
        <v>587</v>
      </c>
    </row>
    <row r="5504" spans="1:19" ht="42" x14ac:dyDescent="0.15">
      <c r="A5504" s="2">
        <f>HYPERLINK("https://open-school.uspishnemisto.com.ua/school/260437/", 260437)</f>
        <v>260437</v>
      </c>
      <c r="B5504" s="3" t="s">
        <v>28972</v>
      </c>
      <c r="C5504" s="3" t="s">
        <v>31</v>
      </c>
      <c r="D5504" s="3" t="s">
        <v>32</v>
      </c>
      <c r="E5504" s="4" t="s">
        <v>22</v>
      </c>
      <c r="F5504" s="4" t="s">
        <v>28973</v>
      </c>
      <c r="G5504" s="4" t="s">
        <v>28974</v>
      </c>
      <c r="H5504" s="3" t="s">
        <v>26808</v>
      </c>
      <c r="I5504" s="3" t="s">
        <v>22423</v>
      </c>
      <c r="J5504" s="3" t="s">
        <v>28975</v>
      </c>
      <c r="K5504" s="3" t="s">
        <v>28976</v>
      </c>
      <c r="L5504" s="3" t="s">
        <v>28977</v>
      </c>
      <c r="M5504" s="4"/>
      <c r="N5504" s="3" t="s">
        <v>37</v>
      </c>
      <c r="O5504" s="3" t="s">
        <v>46</v>
      </c>
      <c r="P5504" s="5">
        <v>11</v>
      </c>
      <c r="Q5504" s="5">
        <v>174</v>
      </c>
      <c r="R5504" s="5">
        <v>11</v>
      </c>
      <c r="S5504" s="5">
        <v>174</v>
      </c>
    </row>
    <row r="5505" spans="1:19" ht="42" x14ac:dyDescent="0.15">
      <c r="A5505" s="2">
        <f>HYPERLINK("https://open-school.uspishnemisto.com.ua/school/260438/", 260438)</f>
        <v>260438</v>
      </c>
      <c r="B5505" s="3" t="s">
        <v>28978</v>
      </c>
      <c r="C5505" s="3" t="s">
        <v>31</v>
      </c>
      <c r="D5505" s="3" t="s">
        <v>60</v>
      </c>
      <c r="E5505" s="4" t="s">
        <v>22</v>
      </c>
      <c r="F5505" s="4" t="s">
        <v>28979</v>
      </c>
      <c r="G5505" s="4" t="s">
        <v>28980</v>
      </c>
      <c r="H5505" s="3" t="s">
        <v>26808</v>
      </c>
      <c r="I5505" s="3" t="s">
        <v>1883</v>
      </c>
      <c r="J5505" s="3" t="s">
        <v>28981</v>
      </c>
      <c r="K5505" s="3" t="s">
        <v>28982</v>
      </c>
      <c r="L5505" s="3"/>
      <c r="M5505" s="4"/>
      <c r="N5505" s="3" t="s">
        <v>37</v>
      </c>
      <c r="O5505" s="3" t="s">
        <v>52</v>
      </c>
      <c r="P5505" s="5">
        <v>4</v>
      </c>
      <c r="Q5505" s="5">
        <v>23</v>
      </c>
      <c r="R5505" s="5">
        <v>4</v>
      </c>
      <c r="S5505" s="5">
        <v>24</v>
      </c>
    </row>
    <row r="5506" spans="1:19" ht="42" x14ac:dyDescent="0.15">
      <c r="A5506" s="2">
        <f>HYPERLINK("https://open-school.uspishnemisto.com.ua/school/260439/", 260439)</f>
        <v>260439</v>
      </c>
      <c r="B5506" s="3" t="s">
        <v>28983</v>
      </c>
      <c r="C5506" s="3" t="s">
        <v>2634</v>
      </c>
      <c r="D5506" s="3" t="s">
        <v>175</v>
      </c>
      <c r="E5506" s="4" t="s">
        <v>22</v>
      </c>
      <c r="F5506" s="4" t="s">
        <v>28984</v>
      </c>
      <c r="G5506" s="4" t="s">
        <v>28985</v>
      </c>
      <c r="H5506" s="3" t="s">
        <v>26808</v>
      </c>
      <c r="I5506" s="3" t="s">
        <v>28986</v>
      </c>
      <c r="J5506" s="3" t="s">
        <v>28987</v>
      </c>
      <c r="K5506" s="3" t="s">
        <v>28988</v>
      </c>
      <c r="L5506" s="3"/>
      <c r="M5506" s="4" t="s">
        <v>28989</v>
      </c>
      <c r="N5506" s="3" t="s">
        <v>37</v>
      </c>
      <c r="O5506" s="3" t="s">
        <v>52</v>
      </c>
      <c r="P5506" s="5">
        <v>10</v>
      </c>
      <c r="Q5506" s="5">
        <v>181</v>
      </c>
      <c r="R5506" s="5">
        <v>10</v>
      </c>
      <c r="S5506" s="5">
        <v>187</v>
      </c>
    </row>
    <row r="5507" spans="1:19" ht="56" x14ac:dyDescent="0.15">
      <c r="A5507" s="2">
        <f>HYPERLINK("https://open-school.uspishnemisto.com.ua/school/260440/", 260440)</f>
        <v>260440</v>
      </c>
      <c r="B5507" s="3" t="s">
        <v>28990</v>
      </c>
      <c r="C5507" s="3" t="s">
        <v>54</v>
      </c>
      <c r="D5507" s="3" t="s">
        <v>60</v>
      </c>
      <c r="E5507" s="4" t="s">
        <v>22</v>
      </c>
      <c r="F5507" s="4" t="s">
        <v>28984</v>
      </c>
      <c r="G5507" s="4" t="s">
        <v>28985</v>
      </c>
      <c r="H5507" s="3" t="s">
        <v>26808</v>
      </c>
      <c r="I5507" s="3" t="s">
        <v>28986</v>
      </c>
      <c r="J5507" s="3" t="s">
        <v>28991</v>
      </c>
      <c r="K5507" s="3" t="s">
        <v>28992</v>
      </c>
      <c r="L5507" s="3"/>
      <c r="M5507" s="4" t="s">
        <v>28993</v>
      </c>
      <c r="N5507" s="3" t="s">
        <v>37</v>
      </c>
      <c r="O5507" s="3" t="s">
        <v>52</v>
      </c>
      <c r="P5507" s="5">
        <v>4</v>
      </c>
      <c r="Q5507" s="5">
        <v>54</v>
      </c>
      <c r="R5507" s="5">
        <v>4</v>
      </c>
      <c r="S5507" s="5">
        <v>53</v>
      </c>
    </row>
    <row r="5508" spans="1:19" ht="42" x14ac:dyDescent="0.15">
      <c r="A5508" s="2">
        <f>HYPERLINK("https://open-school.uspishnemisto.com.ua/school/260441/", 260441)</f>
        <v>260441</v>
      </c>
      <c r="B5508" s="3" t="s">
        <v>28994</v>
      </c>
      <c r="C5508" s="3" t="s">
        <v>31</v>
      </c>
      <c r="D5508" s="3" t="s">
        <v>175</v>
      </c>
      <c r="E5508" s="4" t="s">
        <v>22</v>
      </c>
      <c r="F5508" s="4" t="s">
        <v>28995</v>
      </c>
      <c r="G5508" s="4" t="s">
        <v>28996</v>
      </c>
      <c r="H5508" s="3" t="s">
        <v>26808</v>
      </c>
      <c r="I5508" s="3" t="s">
        <v>28997</v>
      </c>
      <c r="J5508" s="3"/>
      <c r="K5508" s="3" t="s">
        <v>28998</v>
      </c>
      <c r="L5508" s="3" t="s">
        <v>28999</v>
      </c>
      <c r="M5508" s="4"/>
      <c r="N5508" s="3" t="s">
        <v>37</v>
      </c>
      <c r="O5508" s="3" t="s">
        <v>46</v>
      </c>
      <c r="P5508" s="5">
        <v>7</v>
      </c>
      <c r="Q5508" s="5">
        <v>70</v>
      </c>
      <c r="R5508" s="5">
        <v>8</v>
      </c>
      <c r="S5508" s="5">
        <v>79</v>
      </c>
    </row>
    <row r="5509" spans="1:19" ht="42" x14ac:dyDescent="0.15">
      <c r="A5509" s="2">
        <f>HYPERLINK("https://open-school.uspishnemisto.com.ua/school/260442/", 260442)</f>
        <v>260442</v>
      </c>
      <c r="B5509" s="3" t="s">
        <v>29000</v>
      </c>
      <c r="C5509" s="3" t="s">
        <v>31</v>
      </c>
      <c r="D5509" s="3" t="s">
        <v>175</v>
      </c>
      <c r="E5509" s="4" t="s">
        <v>22</v>
      </c>
      <c r="F5509" s="4" t="s">
        <v>29001</v>
      </c>
      <c r="G5509" s="4" t="s">
        <v>29002</v>
      </c>
      <c r="H5509" s="3" t="s">
        <v>26808</v>
      </c>
      <c r="I5509" s="3" t="s">
        <v>2096</v>
      </c>
      <c r="J5509" s="3"/>
      <c r="K5509" s="3" t="s">
        <v>29003</v>
      </c>
      <c r="L5509" s="3" t="s">
        <v>29004</v>
      </c>
      <c r="M5509" s="4"/>
      <c r="N5509" s="3" t="s">
        <v>37</v>
      </c>
      <c r="O5509" s="3" t="s">
        <v>52</v>
      </c>
      <c r="P5509" s="5">
        <v>9</v>
      </c>
      <c r="Q5509" s="5">
        <v>158</v>
      </c>
      <c r="R5509" s="5">
        <v>9</v>
      </c>
      <c r="S5509" s="5">
        <v>134</v>
      </c>
    </row>
    <row r="5510" spans="1:19" ht="42" x14ac:dyDescent="0.15">
      <c r="A5510" s="2">
        <f>HYPERLINK("https://open-school.uspishnemisto.com.ua/school/260443/", 260443)</f>
        <v>260443</v>
      </c>
      <c r="B5510" s="3" t="s">
        <v>29005</v>
      </c>
      <c r="C5510" s="3" t="s">
        <v>31</v>
      </c>
      <c r="D5510" s="3" t="s">
        <v>32</v>
      </c>
      <c r="E5510" s="4" t="s">
        <v>22</v>
      </c>
      <c r="F5510" s="4" t="s">
        <v>29006</v>
      </c>
      <c r="G5510" s="4" t="s">
        <v>29007</v>
      </c>
      <c r="H5510" s="3" t="s">
        <v>26808</v>
      </c>
      <c r="I5510" s="3" t="s">
        <v>29008</v>
      </c>
      <c r="J5510" s="3" t="s">
        <v>29009</v>
      </c>
      <c r="K5510" s="3" t="s">
        <v>29010</v>
      </c>
      <c r="L5510" s="3"/>
      <c r="M5510" s="4"/>
      <c r="N5510" s="3" t="s">
        <v>37</v>
      </c>
      <c r="O5510" s="3" t="s">
        <v>52</v>
      </c>
      <c r="P5510" s="5">
        <v>11</v>
      </c>
      <c r="Q5510" s="5">
        <v>178</v>
      </c>
      <c r="R5510" s="5">
        <v>11</v>
      </c>
      <c r="S5510" s="5">
        <v>193</v>
      </c>
    </row>
    <row r="5511" spans="1:19" ht="42" x14ac:dyDescent="0.15">
      <c r="A5511" s="2">
        <f>HYPERLINK("https://open-school.uspishnemisto.com.ua/school/260444/", 260444)</f>
        <v>260444</v>
      </c>
      <c r="B5511" s="3" t="s">
        <v>29011</v>
      </c>
      <c r="C5511" s="3" t="s">
        <v>54</v>
      </c>
      <c r="D5511" s="3" t="s">
        <v>60</v>
      </c>
      <c r="E5511" s="4" t="s">
        <v>22</v>
      </c>
      <c r="F5511" s="4" t="s">
        <v>29012</v>
      </c>
      <c r="G5511" s="4" t="s">
        <v>29013</v>
      </c>
      <c r="H5511" s="3" t="s">
        <v>26808</v>
      </c>
      <c r="I5511" s="3" t="s">
        <v>29014</v>
      </c>
      <c r="J5511" s="3" t="s">
        <v>29015</v>
      </c>
      <c r="K5511" s="3" t="s">
        <v>29016</v>
      </c>
      <c r="L5511" s="3"/>
      <c r="M5511" s="4" t="s">
        <v>29017</v>
      </c>
      <c r="N5511" s="3" t="s">
        <v>37</v>
      </c>
      <c r="O5511" s="3" t="s">
        <v>52</v>
      </c>
      <c r="P5511" s="5">
        <v>4</v>
      </c>
      <c r="Q5511" s="5">
        <v>51</v>
      </c>
      <c r="R5511" s="5">
        <v>4</v>
      </c>
      <c r="S5511" s="5">
        <v>43</v>
      </c>
    </row>
    <row r="5512" spans="1:19" ht="42" x14ac:dyDescent="0.15">
      <c r="A5512" s="2">
        <f>HYPERLINK("https://open-school.uspishnemisto.com.ua/school/260445/", 260445)</f>
        <v>260445</v>
      </c>
      <c r="B5512" s="3" t="s">
        <v>29018</v>
      </c>
      <c r="C5512" s="3" t="s">
        <v>31</v>
      </c>
      <c r="D5512" s="3" t="s">
        <v>32</v>
      </c>
      <c r="E5512" s="4" t="s">
        <v>22</v>
      </c>
      <c r="F5512" s="4" t="s">
        <v>29012</v>
      </c>
      <c r="G5512" s="4" t="s">
        <v>29013</v>
      </c>
      <c r="H5512" s="3" t="s">
        <v>26808</v>
      </c>
      <c r="I5512" s="3" t="s">
        <v>29014</v>
      </c>
      <c r="J5512" s="3" t="s">
        <v>29019</v>
      </c>
      <c r="K5512" s="3" t="s">
        <v>29020</v>
      </c>
      <c r="L5512" s="3"/>
      <c r="M5512" s="4"/>
      <c r="N5512" s="3" t="s">
        <v>37</v>
      </c>
      <c r="O5512" s="3" t="s">
        <v>52</v>
      </c>
      <c r="P5512" s="5">
        <v>20</v>
      </c>
      <c r="Q5512" s="5">
        <v>470</v>
      </c>
      <c r="R5512" s="5">
        <v>20</v>
      </c>
      <c r="S5512" s="5">
        <v>471</v>
      </c>
    </row>
    <row r="5513" spans="1:19" ht="42" x14ac:dyDescent="0.15">
      <c r="A5513" s="2">
        <f>HYPERLINK("https://open-school.uspishnemisto.com.ua/school/260446/", 260446)</f>
        <v>260446</v>
      </c>
      <c r="B5513" s="3" t="s">
        <v>29021</v>
      </c>
      <c r="C5513" s="3" t="s">
        <v>31</v>
      </c>
      <c r="D5513" s="3" t="s">
        <v>32</v>
      </c>
      <c r="E5513" s="4" t="s">
        <v>22</v>
      </c>
      <c r="F5513" s="4" t="s">
        <v>29022</v>
      </c>
      <c r="G5513" s="4" t="s">
        <v>29023</v>
      </c>
      <c r="H5513" s="3" t="s">
        <v>26808</v>
      </c>
      <c r="I5513" s="3" t="s">
        <v>29024</v>
      </c>
      <c r="J5513" s="3" t="s">
        <v>501</v>
      </c>
      <c r="K5513" s="3" t="s">
        <v>29025</v>
      </c>
      <c r="L5513" s="3" t="s">
        <v>29026</v>
      </c>
      <c r="M5513" s="4"/>
      <c r="N5513" s="3" t="s">
        <v>37</v>
      </c>
      <c r="O5513" s="3" t="s">
        <v>52</v>
      </c>
      <c r="P5513" s="5">
        <v>13</v>
      </c>
      <c r="Q5513" s="5">
        <v>251</v>
      </c>
      <c r="R5513" s="5">
        <v>13</v>
      </c>
      <c r="S5513" s="5">
        <v>247</v>
      </c>
    </row>
    <row r="5514" spans="1:19" ht="42" x14ac:dyDescent="0.15">
      <c r="A5514" s="2">
        <f>HYPERLINK("https://open-school.uspishnemisto.com.ua/school/260447/", 260447)</f>
        <v>260447</v>
      </c>
      <c r="B5514" s="3" t="s">
        <v>29027</v>
      </c>
      <c r="C5514" s="3" t="s">
        <v>31</v>
      </c>
      <c r="D5514" s="3" t="s">
        <v>175</v>
      </c>
      <c r="E5514" s="4" t="s">
        <v>22</v>
      </c>
      <c r="F5514" s="4" t="s">
        <v>29028</v>
      </c>
      <c r="G5514" s="4" t="s">
        <v>29029</v>
      </c>
      <c r="H5514" s="3" t="s">
        <v>26808</v>
      </c>
      <c r="I5514" s="3" t="s">
        <v>29030</v>
      </c>
      <c r="J5514" s="3" t="s">
        <v>1417</v>
      </c>
      <c r="K5514" s="3" t="s">
        <v>29031</v>
      </c>
      <c r="L5514" s="3"/>
      <c r="M5514" s="4"/>
      <c r="N5514" s="3" t="s">
        <v>37</v>
      </c>
      <c r="O5514" s="3" t="s">
        <v>52</v>
      </c>
      <c r="P5514" s="5">
        <v>9</v>
      </c>
      <c r="Q5514" s="5">
        <v>135</v>
      </c>
      <c r="R5514" s="5">
        <v>9</v>
      </c>
      <c r="S5514" s="5">
        <v>139</v>
      </c>
    </row>
    <row r="5515" spans="1:19" ht="42" x14ac:dyDescent="0.15">
      <c r="A5515" s="2">
        <f>HYPERLINK("https://open-school.uspishnemisto.com.ua/school/260448/", 260448)</f>
        <v>260448</v>
      </c>
      <c r="B5515" s="3" t="s">
        <v>29032</v>
      </c>
      <c r="C5515" s="3" t="s">
        <v>31</v>
      </c>
      <c r="D5515" s="3" t="s">
        <v>32</v>
      </c>
      <c r="E5515" s="4" t="s">
        <v>22</v>
      </c>
      <c r="F5515" s="4" t="s">
        <v>29033</v>
      </c>
      <c r="G5515" s="4" t="s">
        <v>29034</v>
      </c>
      <c r="H5515" s="3" t="s">
        <v>26808</v>
      </c>
      <c r="I5515" s="3" t="s">
        <v>29035</v>
      </c>
      <c r="J5515" s="3" t="s">
        <v>29036</v>
      </c>
      <c r="K5515" s="3" t="s">
        <v>29037</v>
      </c>
      <c r="L5515" s="3"/>
      <c r="M5515" s="4"/>
      <c r="N5515" s="3" t="s">
        <v>37</v>
      </c>
      <c r="O5515" s="3" t="s">
        <v>46</v>
      </c>
      <c r="P5515" s="5">
        <v>11</v>
      </c>
      <c r="Q5515" s="5">
        <v>230</v>
      </c>
      <c r="R5515" s="5">
        <v>11</v>
      </c>
      <c r="S5515" s="5">
        <v>221</v>
      </c>
    </row>
    <row r="5516" spans="1:19" ht="42" x14ac:dyDescent="0.15">
      <c r="A5516" s="2">
        <f>HYPERLINK("https://open-school.uspishnemisto.com.ua/school/260449/", 260449)</f>
        <v>260449</v>
      </c>
      <c r="B5516" s="3" t="s">
        <v>29038</v>
      </c>
      <c r="C5516" s="3" t="s">
        <v>31</v>
      </c>
      <c r="D5516" s="3" t="s">
        <v>32</v>
      </c>
      <c r="E5516" s="4" t="s">
        <v>22</v>
      </c>
      <c r="F5516" s="4" t="s">
        <v>29039</v>
      </c>
      <c r="G5516" s="4" t="s">
        <v>29040</v>
      </c>
      <c r="H5516" s="3" t="s">
        <v>26808</v>
      </c>
      <c r="I5516" s="3" t="s">
        <v>29041</v>
      </c>
      <c r="J5516" s="3" t="s">
        <v>1636</v>
      </c>
      <c r="K5516" s="3" t="s">
        <v>29042</v>
      </c>
      <c r="L5516" s="3" t="s">
        <v>29043</v>
      </c>
      <c r="M5516" s="4"/>
      <c r="N5516" s="3" t="s">
        <v>37</v>
      </c>
      <c r="O5516" s="3" t="s">
        <v>52</v>
      </c>
      <c r="P5516" s="5">
        <v>12</v>
      </c>
      <c r="Q5516" s="5">
        <v>191</v>
      </c>
      <c r="R5516" s="5">
        <v>12</v>
      </c>
      <c r="S5516" s="5">
        <v>196</v>
      </c>
    </row>
    <row r="5517" spans="1:19" ht="42" x14ac:dyDescent="0.15">
      <c r="A5517" s="2">
        <f>HYPERLINK("https://open-school.uspishnemisto.com.ua/school/260450/", 260450)</f>
        <v>260450</v>
      </c>
      <c r="B5517" s="3" t="s">
        <v>29044</v>
      </c>
      <c r="C5517" s="3" t="s">
        <v>54</v>
      </c>
      <c r="D5517" s="3" t="s">
        <v>32</v>
      </c>
      <c r="E5517" s="4" t="s">
        <v>22</v>
      </c>
      <c r="F5517" s="4" t="s">
        <v>29045</v>
      </c>
      <c r="G5517" s="4" t="s">
        <v>29046</v>
      </c>
      <c r="H5517" s="3" t="s">
        <v>26808</v>
      </c>
      <c r="I5517" s="3" t="s">
        <v>29047</v>
      </c>
      <c r="J5517" s="3" t="s">
        <v>29048</v>
      </c>
      <c r="K5517" s="3" t="s">
        <v>29049</v>
      </c>
      <c r="L5517" s="3" t="s">
        <v>29050</v>
      </c>
      <c r="M5517" s="4"/>
      <c r="N5517" s="3" t="s">
        <v>37</v>
      </c>
      <c r="O5517" s="3" t="s">
        <v>46</v>
      </c>
      <c r="P5517" s="5">
        <v>13</v>
      </c>
      <c r="Q5517" s="5">
        <v>229</v>
      </c>
      <c r="R5517" s="5">
        <v>14</v>
      </c>
      <c r="S5517" s="5">
        <v>231</v>
      </c>
    </row>
    <row r="5518" spans="1:19" ht="42" x14ac:dyDescent="0.15">
      <c r="A5518" s="2">
        <f>HYPERLINK("https://open-school.uspishnemisto.com.ua/school/260451/", 260451)</f>
        <v>260451</v>
      </c>
      <c r="B5518" s="3" t="s">
        <v>29051</v>
      </c>
      <c r="C5518" s="3" t="s">
        <v>31</v>
      </c>
      <c r="D5518" s="3" t="s">
        <v>32</v>
      </c>
      <c r="E5518" s="4" t="s">
        <v>22</v>
      </c>
      <c r="F5518" s="4" t="s">
        <v>29052</v>
      </c>
      <c r="G5518" s="4" t="s">
        <v>29053</v>
      </c>
      <c r="H5518" s="3" t="s">
        <v>26808</v>
      </c>
      <c r="I5518" s="3" t="s">
        <v>29054</v>
      </c>
      <c r="J5518" s="3" t="s">
        <v>3393</v>
      </c>
      <c r="K5518" s="3" t="s">
        <v>29055</v>
      </c>
      <c r="L5518" s="3" t="s">
        <v>29056</v>
      </c>
      <c r="M5518" s="4"/>
      <c r="N5518" s="3" t="s">
        <v>37</v>
      </c>
      <c r="O5518" s="3" t="s">
        <v>46</v>
      </c>
      <c r="P5518" s="5">
        <v>18</v>
      </c>
      <c r="Q5518" s="5">
        <v>383</v>
      </c>
      <c r="R5518" s="5">
        <v>18</v>
      </c>
      <c r="S5518" s="5">
        <v>382</v>
      </c>
    </row>
    <row r="5519" spans="1:19" ht="42" x14ac:dyDescent="0.15">
      <c r="A5519" s="2">
        <f>HYPERLINK("https://open-school.uspishnemisto.com.ua/school/260452/", 260452)</f>
        <v>260452</v>
      </c>
      <c r="B5519" s="3" t="s">
        <v>29057</v>
      </c>
      <c r="C5519" s="3" t="s">
        <v>31</v>
      </c>
      <c r="D5519" s="3" t="s">
        <v>175</v>
      </c>
      <c r="E5519" s="4" t="s">
        <v>22</v>
      </c>
      <c r="F5519" s="4" t="s">
        <v>29058</v>
      </c>
      <c r="G5519" s="4" t="s">
        <v>29059</v>
      </c>
      <c r="H5519" s="3" t="s">
        <v>26808</v>
      </c>
      <c r="I5519" s="3" t="s">
        <v>29060</v>
      </c>
      <c r="J5519" s="3" t="s">
        <v>29061</v>
      </c>
      <c r="K5519" s="3" t="s">
        <v>29062</v>
      </c>
      <c r="L5519" s="3" t="s">
        <v>29063</v>
      </c>
      <c r="M5519" s="4"/>
      <c r="N5519" s="3" t="s">
        <v>37</v>
      </c>
      <c r="O5519" s="3" t="s">
        <v>52</v>
      </c>
      <c r="P5519" s="5">
        <v>9</v>
      </c>
      <c r="Q5519" s="5">
        <v>82</v>
      </c>
      <c r="R5519" s="5">
        <v>9</v>
      </c>
      <c r="S5519" s="5">
        <v>85</v>
      </c>
    </row>
    <row r="5520" spans="1:19" ht="42" x14ac:dyDescent="0.15">
      <c r="A5520" s="2">
        <f>HYPERLINK("https://open-school.uspishnemisto.com.ua/school/260453/", 260453)</f>
        <v>260453</v>
      </c>
      <c r="B5520" s="3" t="s">
        <v>29064</v>
      </c>
      <c r="C5520" s="3" t="s">
        <v>31</v>
      </c>
      <c r="D5520" s="3" t="s">
        <v>175</v>
      </c>
      <c r="E5520" s="4" t="s">
        <v>22</v>
      </c>
      <c r="F5520" s="4" t="s">
        <v>29065</v>
      </c>
      <c r="G5520" s="4" t="s">
        <v>29066</v>
      </c>
      <c r="H5520" s="3" t="s">
        <v>26808</v>
      </c>
      <c r="I5520" s="3" t="s">
        <v>29067</v>
      </c>
      <c r="J5520" s="3"/>
      <c r="K5520" s="3" t="s">
        <v>29068</v>
      </c>
      <c r="L5520" s="3"/>
      <c r="M5520" s="4"/>
      <c r="N5520" s="3" t="s">
        <v>37</v>
      </c>
      <c r="O5520" s="3" t="s">
        <v>52</v>
      </c>
      <c r="P5520" s="5">
        <v>9</v>
      </c>
      <c r="Q5520" s="5">
        <v>147</v>
      </c>
      <c r="R5520" s="5">
        <v>9</v>
      </c>
      <c r="S5520" s="5">
        <v>153</v>
      </c>
    </row>
    <row r="5521" spans="1:19" ht="42" x14ac:dyDescent="0.15">
      <c r="A5521" s="2">
        <f>HYPERLINK("https://open-school.uspishnemisto.com.ua/school/260454/", 260454)</f>
        <v>260454</v>
      </c>
      <c r="B5521" s="3" t="s">
        <v>29069</v>
      </c>
      <c r="C5521" s="3" t="s">
        <v>31</v>
      </c>
      <c r="D5521" s="3" t="s">
        <v>175</v>
      </c>
      <c r="E5521" s="4" t="s">
        <v>22</v>
      </c>
      <c r="F5521" s="4" t="s">
        <v>29070</v>
      </c>
      <c r="G5521" s="4" t="s">
        <v>29071</v>
      </c>
      <c r="H5521" s="3" t="s">
        <v>26808</v>
      </c>
      <c r="I5521" s="3" t="s">
        <v>29072</v>
      </c>
      <c r="J5521" s="3" t="s">
        <v>29073</v>
      </c>
      <c r="K5521" s="3" t="s">
        <v>29074</v>
      </c>
      <c r="L5521" s="3"/>
      <c r="M5521" s="4"/>
      <c r="N5521" s="3" t="s">
        <v>37</v>
      </c>
      <c r="O5521" s="3" t="s">
        <v>52</v>
      </c>
      <c r="P5521" s="5">
        <v>9</v>
      </c>
      <c r="Q5521" s="5">
        <v>174</v>
      </c>
      <c r="R5521" s="5">
        <v>9</v>
      </c>
      <c r="S5521" s="5">
        <v>163</v>
      </c>
    </row>
    <row r="5522" spans="1:19" ht="42" x14ac:dyDescent="0.15">
      <c r="A5522" s="2">
        <f>HYPERLINK("https://open-school.uspishnemisto.com.ua/school/260455/", 260455)</f>
        <v>260455</v>
      </c>
      <c r="B5522" s="3" t="s">
        <v>29075</v>
      </c>
      <c r="C5522" s="3" t="s">
        <v>54</v>
      </c>
      <c r="D5522" s="3" t="s">
        <v>60</v>
      </c>
      <c r="E5522" s="4" t="s">
        <v>22</v>
      </c>
      <c r="F5522" s="4" t="s">
        <v>29070</v>
      </c>
      <c r="G5522" s="4" t="s">
        <v>29071</v>
      </c>
      <c r="H5522" s="3" t="s">
        <v>26808</v>
      </c>
      <c r="I5522" s="3" t="s">
        <v>29072</v>
      </c>
      <c r="J5522" s="3" t="s">
        <v>29076</v>
      </c>
      <c r="K5522" s="3" t="s">
        <v>29077</v>
      </c>
      <c r="L5522" s="3"/>
      <c r="M5522" s="4" t="s">
        <v>29078</v>
      </c>
      <c r="N5522" s="3" t="s">
        <v>37</v>
      </c>
      <c r="O5522" s="3" t="s">
        <v>52</v>
      </c>
      <c r="P5522" s="5">
        <v>3</v>
      </c>
      <c r="Q5522" s="5">
        <v>19</v>
      </c>
      <c r="R5522" s="5">
        <v>4</v>
      </c>
      <c r="S5522" s="5">
        <v>27</v>
      </c>
    </row>
    <row r="5523" spans="1:19" ht="42" x14ac:dyDescent="0.15">
      <c r="A5523" s="2">
        <f>HYPERLINK("https://open-school.uspishnemisto.com.ua/school/260456/", 260456)</f>
        <v>260456</v>
      </c>
      <c r="B5523" s="3" t="s">
        <v>29079</v>
      </c>
      <c r="C5523" s="3" t="s">
        <v>31</v>
      </c>
      <c r="D5523" s="3" t="s">
        <v>175</v>
      </c>
      <c r="E5523" s="4" t="s">
        <v>22</v>
      </c>
      <c r="F5523" s="4" t="s">
        <v>29080</v>
      </c>
      <c r="G5523" s="4" t="s">
        <v>29081</v>
      </c>
      <c r="H5523" s="3" t="s">
        <v>26808</v>
      </c>
      <c r="I5523" s="3" t="s">
        <v>28260</v>
      </c>
      <c r="J5523" s="3" t="s">
        <v>29082</v>
      </c>
      <c r="K5523" s="3" t="s">
        <v>29083</v>
      </c>
      <c r="L5523" s="3"/>
      <c r="M5523" s="4"/>
      <c r="N5523" s="3" t="s">
        <v>37</v>
      </c>
      <c r="O5523" s="3" t="s">
        <v>52</v>
      </c>
      <c r="P5523" s="5">
        <v>8</v>
      </c>
      <c r="Q5523" s="5">
        <v>56</v>
      </c>
      <c r="R5523" s="5">
        <v>8</v>
      </c>
      <c r="S5523" s="5">
        <v>54</v>
      </c>
    </row>
    <row r="5524" spans="1:19" ht="42" x14ac:dyDescent="0.15">
      <c r="A5524" s="2">
        <f>HYPERLINK("https://open-school.uspishnemisto.com.ua/school/260457/", 260457)</f>
        <v>260457</v>
      </c>
      <c r="B5524" s="3" t="s">
        <v>29084</v>
      </c>
      <c r="C5524" s="3" t="s">
        <v>31</v>
      </c>
      <c r="D5524" s="3" t="s">
        <v>32</v>
      </c>
      <c r="E5524" s="4" t="s">
        <v>22</v>
      </c>
      <c r="F5524" s="4" t="s">
        <v>29080</v>
      </c>
      <c r="G5524" s="4" t="s">
        <v>29081</v>
      </c>
      <c r="H5524" s="3" t="s">
        <v>26808</v>
      </c>
      <c r="I5524" s="3" t="s">
        <v>28260</v>
      </c>
      <c r="J5524" s="3" t="s">
        <v>29085</v>
      </c>
      <c r="K5524" s="3" t="s">
        <v>29086</v>
      </c>
      <c r="L5524" s="3" t="s">
        <v>29087</v>
      </c>
      <c r="M5524" s="4"/>
      <c r="N5524" s="3" t="s">
        <v>37</v>
      </c>
      <c r="O5524" s="3" t="s">
        <v>52</v>
      </c>
      <c r="P5524" s="5">
        <v>11</v>
      </c>
      <c r="Q5524" s="5">
        <v>177</v>
      </c>
      <c r="R5524" s="5">
        <v>11</v>
      </c>
      <c r="S5524" s="5">
        <v>169</v>
      </c>
    </row>
    <row r="5525" spans="1:19" ht="42" x14ac:dyDescent="0.15">
      <c r="A5525" s="2">
        <f>HYPERLINK("https://open-school.uspishnemisto.com.ua/school/260458/", 260458)</f>
        <v>260458</v>
      </c>
      <c r="B5525" s="3" t="s">
        <v>29088</v>
      </c>
      <c r="C5525" s="3" t="s">
        <v>20</v>
      </c>
      <c r="D5525" s="3" t="s">
        <v>21</v>
      </c>
      <c r="E5525" s="4" t="s">
        <v>22</v>
      </c>
      <c r="F5525" s="4" t="s">
        <v>29089</v>
      </c>
      <c r="G5525" s="4" t="s">
        <v>29090</v>
      </c>
      <c r="H5525" s="3" t="s">
        <v>26808</v>
      </c>
      <c r="I5525" s="3" t="s">
        <v>29091</v>
      </c>
      <c r="J5525" s="3" t="s">
        <v>29092</v>
      </c>
      <c r="K5525" s="3" t="s">
        <v>29093</v>
      </c>
      <c r="L5525" s="3"/>
      <c r="M5525" s="4"/>
      <c r="N5525" s="3"/>
      <c r="O5525" s="3"/>
      <c r="P5525" s="5">
        <v>0</v>
      </c>
      <c r="Q5525" s="5">
        <v>0</v>
      </c>
      <c r="R5525" s="5"/>
      <c r="S5525" s="5"/>
    </row>
    <row r="5526" spans="1:19" ht="42" x14ac:dyDescent="0.15">
      <c r="A5526" s="2">
        <f>HYPERLINK("https://open-school.uspishnemisto.com.ua/school/260459/", 260459)</f>
        <v>260459</v>
      </c>
      <c r="B5526" s="3" t="s">
        <v>29094</v>
      </c>
      <c r="C5526" s="3" t="s">
        <v>31</v>
      </c>
      <c r="D5526" s="3" t="s">
        <v>32</v>
      </c>
      <c r="E5526" s="4" t="s">
        <v>22</v>
      </c>
      <c r="F5526" s="4" t="s">
        <v>29095</v>
      </c>
      <c r="G5526" s="4" t="s">
        <v>29090</v>
      </c>
      <c r="H5526" s="3" t="s">
        <v>26808</v>
      </c>
      <c r="I5526" s="3" t="s">
        <v>29091</v>
      </c>
      <c r="J5526" s="3" t="s">
        <v>29096</v>
      </c>
      <c r="K5526" s="3"/>
      <c r="L5526" s="3" t="s">
        <v>29097</v>
      </c>
      <c r="M5526" s="4"/>
      <c r="N5526" s="3" t="s">
        <v>37</v>
      </c>
      <c r="O5526" s="3" t="s">
        <v>123</v>
      </c>
      <c r="P5526" s="5">
        <v>30</v>
      </c>
      <c r="Q5526" s="5">
        <v>776</v>
      </c>
      <c r="R5526" s="5">
        <v>29</v>
      </c>
      <c r="S5526" s="5">
        <v>757</v>
      </c>
    </row>
    <row r="5527" spans="1:19" ht="42" x14ac:dyDescent="0.15">
      <c r="A5527" s="2">
        <f>HYPERLINK("https://open-school.uspishnemisto.com.ua/school/260460/", 260460)</f>
        <v>260460</v>
      </c>
      <c r="B5527" s="3" t="s">
        <v>29098</v>
      </c>
      <c r="C5527" s="3" t="s">
        <v>31</v>
      </c>
      <c r="D5527" s="3" t="s">
        <v>32</v>
      </c>
      <c r="E5527" s="4" t="s">
        <v>22</v>
      </c>
      <c r="F5527" s="4" t="s">
        <v>29095</v>
      </c>
      <c r="G5527" s="4" t="s">
        <v>29090</v>
      </c>
      <c r="H5527" s="3" t="s">
        <v>26808</v>
      </c>
      <c r="I5527" s="3" t="s">
        <v>29091</v>
      </c>
      <c r="J5527" s="3" t="s">
        <v>29099</v>
      </c>
      <c r="K5527" s="3" t="s">
        <v>29100</v>
      </c>
      <c r="L5527" s="3"/>
      <c r="M5527" s="4"/>
      <c r="N5527" s="3" t="s">
        <v>37</v>
      </c>
      <c r="O5527" s="3" t="s">
        <v>52</v>
      </c>
      <c r="P5527" s="5">
        <v>26</v>
      </c>
      <c r="Q5527" s="5">
        <v>612</v>
      </c>
      <c r="R5527" s="5">
        <v>24</v>
      </c>
      <c r="S5527" s="5">
        <v>571</v>
      </c>
    </row>
    <row r="5528" spans="1:19" ht="42" x14ac:dyDescent="0.15">
      <c r="A5528" s="2">
        <f>HYPERLINK("https://open-school.uspishnemisto.com.ua/school/260461/", 260461)</f>
        <v>260461</v>
      </c>
      <c r="B5528" s="3" t="s">
        <v>29101</v>
      </c>
      <c r="C5528" s="3" t="s">
        <v>31</v>
      </c>
      <c r="D5528" s="3" t="s">
        <v>32</v>
      </c>
      <c r="E5528" s="4" t="s">
        <v>22</v>
      </c>
      <c r="F5528" s="4" t="s">
        <v>29095</v>
      </c>
      <c r="G5528" s="4" t="s">
        <v>29090</v>
      </c>
      <c r="H5528" s="3" t="s">
        <v>26808</v>
      </c>
      <c r="I5528" s="3" t="s">
        <v>29091</v>
      </c>
      <c r="J5528" s="3" t="s">
        <v>29102</v>
      </c>
      <c r="K5528" s="3" t="s">
        <v>29103</v>
      </c>
      <c r="L5528" s="3" t="s">
        <v>29104</v>
      </c>
      <c r="M5528" s="4"/>
      <c r="N5528" s="3" t="s">
        <v>37</v>
      </c>
      <c r="O5528" s="3" t="s">
        <v>46</v>
      </c>
      <c r="P5528" s="5">
        <v>36</v>
      </c>
      <c r="Q5528" s="5">
        <v>903</v>
      </c>
      <c r="R5528" s="5">
        <v>35</v>
      </c>
      <c r="S5528" s="5">
        <v>888</v>
      </c>
    </row>
    <row r="5529" spans="1:19" ht="42" x14ac:dyDescent="0.15">
      <c r="A5529" s="2">
        <f>HYPERLINK("https://open-school.uspishnemisto.com.ua/school/260462/", 260462)</f>
        <v>260462</v>
      </c>
      <c r="B5529" s="3" t="s">
        <v>29105</v>
      </c>
      <c r="C5529" s="3" t="s">
        <v>31</v>
      </c>
      <c r="D5529" s="3" t="s">
        <v>32</v>
      </c>
      <c r="E5529" s="4" t="s">
        <v>22</v>
      </c>
      <c r="F5529" s="4" t="s">
        <v>29095</v>
      </c>
      <c r="G5529" s="4" t="s">
        <v>29090</v>
      </c>
      <c r="H5529" s="3" t="s">
        <v>26808</v>
      </c>
      <c r="I5529" s="3" t="s">
        <v>29091</v>
      </c>
      <c r="J5529" s="3" t="s">
        <v>29106</v>
      </c>
      <c r="K5529" s="3" t="s">
        <v>29107</v>
      </c>
      <c r="L5529" s="3" t="s">
        <v>29108</v>
      </c>
      <c r="M5529" s="4"/>
      <c r="N5529" s="3" t="s">
        <v>37</v>
      </c>
      <c r="O5529" s="3" t="s">
        <v>46</v>
      </c>
      <c r="P5529" s="5">
        <v>17</v>
      </c>
      <c r="Q5529" s="5">
        <v>283</v>
      </c>
      <c r="R5529" s="5">
        <v>16</v>
      </c>
      <c r="S5529" s="5">
        <v>283</v>
      </c>
    </row>
    <row r="5530" spans="1:19" ht="42" x14ac:dyDescent="0.15">
      <c r="A5530" s="2">
        <f>HYPERLINK("https://open-school.uspishnemisto.com.ua/school/260463/", 260463)</f>
        <v>260463</v>
      </c>
      <c r="B5530" s="3" t="s">
        <v>29109</v>
      </c>
      <c r="C5530" s="3" t="s">
        <v>293</v>
      </c>
      <c r="D5530" s="3" t="s">
        <v>32</v>
      </c>
      <c r="E5530" s="4" t="s">
        <v>22</v>
      </c>
      <c r="F5530" s="4" t="s">
        <v>29095</v>
      </c>
      <c r="G5530" s="4" t="s">
        <v>29090</v>
      </c>
      <c r="H5530" s="3" t="s">
        <v>26808</v>
      </c>
      <c r="I5530" s="3" t="s">
        <v>29091</v>
      </c>
      <c r="J5530" s="3" t="s">
        <v>29106</v>
      </c>
      <c r="K5530" s="3" t="s">
        <v>29110</v>
      </c>
      <c r="L5530" s="3"/>
      <c r="M5530" s="4" t="s">
        <v>29111</v>
      </c>
      <c r="N5530" s="3" t="s">
        <v>37</v>
      </c>
      <c r="O5530" s="3" t="s">
        <v>2740</v>
      </c>
      <c r="P5530" s="5">
        <v>11</v>
      </c>
      <c r="Q5530" s="5">
        <v>94</v>
      </c>
      <c r="R5530" s="5">
        <v>11</v>
      </c>
      <c r="S5530" s="5">
        <v>102</v>
      </c>
    </row>
    <row r="5531" spans="1:19" ht="42" x14ac:dyDescent="0.15">
      <c r="A5531" s="2">
        <f>HYPERLINK("https://open-school.uspishnemisto.com.ua/school/260464/", 260464)</f>
        <v>260464</v>
      </c>
      <c r="B5531" s="3" t="s">
        <v>29112</v>
      </c>
      <c r="C5531" s="3" t="s">
        <v>188</v>
      </c>
      <c r="D5531" s="3" t="s">
        <v>32</v>
      </c>
      <c r="E5531" s="4" t="s">
        <v>22</v>
      </c>
      <c r="F5531" s="4" t="s">
        <v>29113</v>
      </c>
      <c r="G5531" s="4" t="s">
        <v>29090</v>
      </c>
      <c r="H5531" s="3" t="s">
        <v>26808</v>
      </c>
      <c r="I5531" s="3" t="s">
        <v>29091</v>
      </c>
      <c r="J5531" s="3" t="s">
        <v>29114</v>
      </c>
      <c r="K5531" s="3" t="s">
        <v>29115</v>
      </c>
      <c r="L5531" s="3"/>
      <c r="M5531" s="4" t="s">
        <v>29116</v>
      </c>
      <c r="N5531" s="3" t="s">
        <v>37</v>
      </c>
      <c r="O5531" s="3" t="s">
        <v>46</v>
      </c>
      <c r="P5531" s="5">
        <v>8</v>
      </c>
      <c r="Q5531" s="5">
        <v>246</v>
      </c>
      <c r="R5531" s="5">
        <v>8</v>
      </c>
      <c r="S5531" s="5">
        <v>243</v>
      </c>
    </row>
    <row r="5532" spans="1:19" ht="42" x14ac:dyDescent="0.15">
      <c r="A5532" s="2">
        <f>HYPERLINK("https://open-school.uspishnemisto.com.ua/school/260465/", 260465)</f>
        <v>260465</v>
      </c>
      <c r="B5532" s="3" t="s">
        <v>29117</v>
      </c>
      <c r="C5532" s="3" t="s">
        <v>7651</v>
      </c>
      <c r="D5532" s="3"/>
      <c r="E5532" s="4" t="s">
        <v>22</v>
      </c>
      <c r="F5532" s="4" t="s">
        <v>29095</v>
      </c>
      <c r="G5532" s="4" t="s">
        <v>29090</v>
      </c>
      <c r="H5532" s="3" t="s">
        <v>26808</v>
      </c>
      <c r="I5532" s="3" t="s">
        <v>29091</v>
      </c>
      <c r="J5532" s="3" t="s">
        <v>29118</v>
      </c>
      <c r="K5532" s="3" t="s">
        <v>29119</v>
      </c>
      <c r="L5532" s="3"/>
      <c r="M5532" s="4"/>
      <c r="N5532" s="3"/>
      <c r="O5532" s="3"/>
      <c r="P5532" s="5">
        <v>0</v>
      </c>
      <c r="Q5532" s="5">
        <v>0</v>
      </c>
      <c r="R5532" s="5"/>
      <c r="S5532" s="5"/>
    </row>
    <row r="5533" spans="1:19" ht="42" x14ac:dyDescent="0.15">
      <c r="A5533" s="2">
        <f>HYPERLINK("https://open-school.uspishnemisto.com.ua/school/260466/", 260466)</f>
        <v>260466</v>
      </c>
      <c r="B5533" s="3" t="s">
        <v>29120</v>
      </c>
      <c r="C5533" s="3" t="s">
        <v>48</v>
      </c>
      <c r="D5533" s="3" t="s">
        <v>32</v>
      </c>
      <c r="E5533" s="4" t="s">
        <v>22</v>
      </c>
      <c r="F5533" s="4" t="s">
        <v>29113</v>
      </c>
      <c r="G5533" s="4" t="s">
        <v>29090</v>
      </c>
      <c r="H5533" s="3" t="s">
        <v>26808</v>
      </c>
      <c r="I5533" s="3" t="s">
        <v>29091</v>
      </c>
      <c r="J5533" s="3" t="s">
        <v>29121</v>
      </c>
      <c r="K5533" s="3" t="s">
        <v>29122</v>
      </c>
      <c r="L5533" s="3" t="s">
        <v>29123</v>
      </c>
      <c r="M5533" s="4" t="s">
        <v>29124</v>
      </c>
      <c r="N5533" s="3" t="s">
        <v>37</v>
      </c>
      <c r="O5533" s="3" t="s">
        <v>46</v>
      </c>
      <c r="P5533" s="5">
        <v>12</v>
      </c>
      <c r="Q5533" s="5">
        <v>320</v>
      </c>
      <c r="R5533" s="5">
        <v>12</v>
      </c>
      <c r="S5533" s="5">
        <v>323</v>
      </c>
    </row>
    <row r="5534" spans="1:19" ht="42" x14ac:dyDescent="0.15">
      <c r="A5534" s="2">
        <f>HYPERLINK("https://open-school.uspishnemisto.com.ua/school/260467/", 260467)</f>
        <v>260467</v>
      </c>
      <c r="B5534" s="3" t="s">
        <v>29125</v>
      </c>
      <c r="C5534" s="3" t="s">
        <v>31</v>
      </c>
      <c r="D5534" s="3" t="s">
        <v>60</v>
      </c>
      <c r="E5534" s="4" t="s">
        <v>22</v>
      </c>
      <c r="F5534" s="4" t="s">
        <v>29126</v>
      </c>
      <c r="G5534" s="4" t="s">
        <v>29127</v>
      </c>
      <c r="H5534" s="3" t="s">
        <v>26808</v>
      </c>
      <c r="I5534" s="3" t="s">
        <v>29128</v>
      </c>
      <c r="J5534" s="3" t="s">
        <v>29129</v>
      </c>
      <c r="K5534" s="3" t="s">
        <v>29130</v>
      </c>
      <c r="L5534" s="3"/>
      <c r="M5534" s="4"/>
      <c r="N5534" s="3" t="s">
        <v>37</v>
      </c>
      <c r="O5534" s="3" t="s">
        <v>52</v>
      </c>
      <c r="P5534" s="5">
        <v>2</v>
      </c>
      <c r="Q5534" s="5">
        <v>15</v>
      </c>
      <c r="R5534" s="5">
        <v>2</v>
      </c>
      <c r="S5534" s="5">
        <v>15</v>
      </c>
    </row>
    <row r="5535" spans="1:19" ht="42" x14ac:dyDescent="0.15">
      <c r="A5535" s="2">
        <f>HYPERLINK("https://open-school.uspishnemisto.com.ua/school/260468/", 260468)</f>
        <v>260468</v>
      </c>
      <c r="B5535" s="3" t="s">
        <v>29131</v>
      </c>
      <c r="C5535" s="3" t="s">
        <v>31</v>
      </c>
      <c r="D5535" s="3" t="s">
        <v>60</v>
      </c>
      <c r="E5535" s="4" t="s">
        <v>22</v>
      </c>
      <c r="F5535" s="4" t="s">
        <v>29126</v>
      </c>
      <c r="G5535" s="4" t="s">
        <v>29127</v>
      </c>
      <c r="H5535" s="3" t="s">
        <v>26808</v>
      </c>
      <c r="I5535" s="3" t="s">
        <v>29128</v>
      </c>
      <c r="J5535" s="3" t="s">
        <v>29132</v>
      </c>
      <c r="K5535" s="3" t="s">
        <v>29133</v>
      </c>
      <c r="L5535" s="3"/>
      <c r="M5535" s="4"/>
      <c r="N5535" s="3" t="s">
        <v>37</v>
      </c>
      <c r="O5535" s="3" t="s">
        <v>52</v>
      </c>
      <c r="P5535" s="5">
        <v>4</v>
      </c>
      <c r="Q5535" s="5">
        <v>66</v>
      </c>
      <c r="R5535" s="5">
        <v>4</v>
      </c>
      <c r="S5535" s="5">
        <v>57</v>
      </c>
    </row>
    <row r="5536" spans="1:19" ht="42" x14ac:dyDescent="0.15">
      <c r="A5536" s="2">
        <f>HYPERLINK("https://open-school.uspishnemisto.com.ua/school/260469/", 260469)</f>
        <v>260469</v>
      </c>
      <c r="B5536" s="3" t="s">
        <v>29134</v>
      </c>
      <c r="C5536" s="3" t="s">
        <v>31</v>
      </c>
      <c r="D5536" s="3" t="s">
        <v>32</v>
      </c>
      <c r="E5536" s="4" t="s">
        <v>22</v>
      </c>
      <c r="F5536" s="4" t="s">
        <v>29126</v>
      </c>
      <c r="G5536" s="4" t="s">
        <v>29127</v>
      </c>
      <c r="H5536" s="3" t="s">
        <v>26808</v>
      </c>
      <c r="I5536" s="3" t="s">
        <v>29128</v>
      </c>
      <c r="J5536" s="3" t="s">
        <v>29135</v>
      </c>
      <c r="K5536" s="3" t="s">
        <v>29136</v>
      </c>
      <c r="L5536" s="3"/>
      <c r="M5536" s="4"/>
      <c r="N5536" s="3" t="s">
        <v>37</v>
      </c>
      <c r="O5536" s="3" t="s">
        <v>52</v>
      </c>
      <c r="P5536" s="5">
        <v>19</v>
      </c>
      <c r="Q5536" s="5">
        <v>409</v>
      </c>
      <c r="R5536" s="5">
        <v>20</v>
      </c>
      <c r="S5536" s="5">
        <v>427</v>
      </c>
    </row>
    <row r="5537" spans="1:19" ht="42" x14ac:dyDescent="0.15">
      <c r="A5537" s="2">
        <f>HYPERLINK("https://open-school.uspishnemisto.com.ua/school/260470/", 260470)</f>
        <v>260470</v>
      </c>
      <c r="B5537" s="3" t="s">
        <v>29137</v>
      </c>
      <c r="C5537" s="3" t="s">
        <v>31</v>
      </c>
      <c r="D5537" s="3" t="s">
        <v>60</v>
      </c>
      <c r="E5537" s="4" t="s">
        <v>22</v>
      </c>
      <c r="F5537" s="4" t="s">
        <v>29138</v>
      </c>
      <c r="G5537" s="4" t="s">
        <v>29139</v>
      </c>
      <c r="H5537" s="3" t="s">
        <v>26808</v>
      </c>
      <c r="I5537" s="3" t="s">
        <v>29140</v>
      </c>
      <c r="J5537" s="3" t="s">
        <v>29141</v>
      </c>
      <c r="K5537" s="3" t="s">
        <v>29142</v>
      </c>
      <c r="L5537" s="3"/>
      <c r="M5537" s="4"/>
      <c r="N5537" s="3" t="s">
        <v>37</v>
      </c>
      <c r="O5537" s="3" t="s">
        <v>52</v>
      </c>
      <c r="P5537" s="5">
        <v>0</v>
      </c>
      <c r="Q5537" s="5">
        <v>10</v>
      </c>
      <c r="R5537" s="5">
        <v>1</v>
      </c>
      <c r="S5537" s="5">
        <v>14</v>
      </c>
    </row>
    <row r="5538" spans="1:19" ht="42" x14ac:dyDescent="0.15">
      <c r="A5538" s="2">
        <f>HYPERLINK("https://open-school.uspishnemisto.com.ua/school/260471/", 260471)</f>
        <v>260471</v>
      </c>
      <c r="B5538" s="3" t="s">
        <v>29143</v>
      </c>
      <c r="C5538" s="3" t="s">
        <v>31</v>
      </c>
      <c r="D5538" s="3" t="s">
        <v>175</v>
      </c>
      <c r="E5538" s="4" t="s">
        <v>22</v>
      </c>
      <c r="F5538" s="4" t="s">
        <v>29138</v>
      </c>
      <c r="G5538" s="4" t="s">
        <v>29139</v>
      </c>
      <c r="H5538" s="3" t="s">
        <v>26808</v>
      </c>
      <c r="I5538" s="3" t="s">
        <v>29140</v>
      </c>
      <c r="J5538" s="3" t="s">
        <v>29144</v>
      </c>
      <c r="K5538" s="3" t="s">
        <v>29145</v>
      </c>
      <c r="L5538" s="3"/>
      <c r="M5538" s="4"/>
      <c r="N5538" s="3" t="s">
        <v>37</v>
      </c>
      <c r="O5538" s="3" t="s">
        <v>52</v>
      </c>
      <c r="P5538" s="5">
        <v>9</v>
      </c>
      <c r="Q5538" s="5">
        <v>101</v>
      </c>
      <c r="R5538" s="5">
        <v>9</v>
      </c>
      <c r="S5538" s="5">
        <v>101</v>
      </c>
    </row>
    <row r="5539" spans="1:19" ht="42" x14ac:dyDescent="0.15">
      <c r="A5539" s="2">
        <f>HYPERLINK("https://open-school.uspishnemisto.com.ua/school/260472/", 260472)</f>
        <v>260472</v>
      </c>
      <c r="B5539" s="3" t="s">
        <v>29146</v>
      </c>
      <c r="C5539" s="3" t="s">
        <v>31</v>
      </c>
      <c r="D5539" s="3" t="s">
        <v>32</v>
      </c>
      <c r="E5539" s="4" t="s">
        <v>22</v>
      </c>
      <c r="F5539" s="4" t="s">
        <v>29138</v>
      </c>
      <c r="G5539" s="4" t="s">
        <v>29139</v>
      </c>
      <c r="H5539" s="3" t="s">
        <v>26808</v>
      </c>
      <c r="I5539" s="3" t="s">
        <v>29140</v>
      </c>
      <c r="J5539" s="3" t="s">
        <v>29147</v>
      </c>
      <c r="K5539" s="3" t="s">
        <v>29148</v>
      </c>
      <c r="L5539" s="3"/>
      <c r="M5539" s="4"/>
      <c r="N5539" s="3" t="s">
        <v>37</v>
      </c>
      <c r="O5539" s="3" t="s">
        <v>52</v>
      </c>
      <c r="P5539" s="5">
        <v>19</v>
      </c>
      <c r="Q5539" s="5">
        <v>348</v>
      </c>
      <c r="R5539" s="5">
        <v>18</v>
      </c>
      <c r="S5539" s="5">
        <v>342</v>
      </c>
    </row>
    <row r="5540" spans="1:19" ht="42" x14ac:dyDescent="0.15">
      <c r="A5540" s="2">
        <f>HYPERLINK("https://open-school.uspishnemisto.com.ua/school/260473/", 260473)</f>
        <v>260473</v>
      </c>
      <c r="B5540" s="3" t="s">
        <v>29149</v>
      </c>
      <c r="C5540" s="3" t="s">
        <v>31</v>
      </c>
      <c r="D5540" s="3" t="s">
        <v>32</v>
      </c>
      <c r="E5540" s="4" t="s">
        <v>22</v>
      </c>
      <c r="F5540" s="4" t="s">
        <v>29138</v>
      </c>
      <c r="G5540" s="4" t="s">
        <v>29139</v>
      </c>
      <c r="H5540" s="3" t="s">
        <v>26808</v>
      </c>
      <c r="I5540" s="3" t="s">
        <v>29140</v>
      </c>
      <c r="J5540" s="3" t="s">
        <v>29150</v>
      </c>
      <c r="K5540" s="3" t="s">
        <v>29151</v>
      </c>
      <c r="L5540" s="3"/>
      <c r="M5540" s="4"/>
      <c r="N5540" s="3" t="s">
        <v>37</v>
      </c>
      <c r="O5540" s="3" t="s">
        <v>52</v>
      </c>
      <c r="P5540" s="5">
        <v>11</v>
      </c>
      <c r="Q5540" s="5">
        <v>144</v>
      </c>
      <c r="R5540" s="5">
        <v>10</v>
      </c>
      <c r="S5540" s="5">
        <v>138</v>
      </c>
    </row>
    <row r="5541" spans="1:19" ht="42" x14ac:dyDescent="0.15">
      <c r="A5541" s="2">
        <f>HYPERLINK("https://open-school.uspishnemisto.com.ua/school/260475/", 260475)</f>
        <v>260475</v>
      </c>
      <c r="B5541" s="3" t="s">
        <v>29152</v>
      </c>
      <c r="C5541" s="3" t="s">
        <v>54</v>
      </c>
      <c r="D5541" s="3" t="s">
        <v>32</v>
      </c>
      <c r="E5541" s="4" t="s">
        <v>22</v>
      </c>
      <c r="F5541" s="4" t="s">
        <v>29138</v>
      </c>
      <c r="G5541" s="4" t="s">
        <v>29139</v>
      </c>
      <c r="H5541" s="3" t="s">
        <v>26808</v>
      </c>
      <c r="I5541" s="3" t="s">
        <v>29140</v>
      </c>
      <c r="J5541" s="3" t="s">
        <v>29153</v>
      </c>
      <c r="K5541" s="3" t="s">
        <v>29154</v>
      </c>
      <c r="L5541" s="3"/>
      <c r="M5541" s="4"/>
      <c r="N5541" s="3" t="s">
        <v>37</v>
      </c>
      <c r="O5541" s="3" t="s">
        <v>139</v>
      </c>
      <c r="P5541" s="5">
        <v>20</v>
      </c>
      <c r="Q5541" s="5">
        <v>355</v>
      </c>
      <c r="R5541" s="5">
        <v>19</v>
      </c>
      <c r="S5541" s="5">
        <v>345</v>
      </c>
    </row>
    <row r="5542" spans="1:19" ht="42" x14ac:dyDescent="0.15">
      <c r="A5542" s="2">
        <f>HYPERLINK("https://open-school.uspishnemisto.com.ua/school/260476/", 260476)</f>
        <v>260476</v>
      </c>
      <c r="B5542" s="3" t="s">
        <v>29155</v>
      </c>
      <c r="C5542" s="3" t="s">
        <v>31</v>
      </c>
      <c r="D5542" s="3" t="s">
        <v>175</v>
      </c>
      <c r="E5542" s="4" t="s">
        <v>22</v>
      </c>
      <c r="F5542" s="4" t="s">
        <v>29156</v>
      </c>
      <c r="G5542" s="4" t="s">
        <v>29157</v>
      </c>
      <c r="H5542" s="3" t="s">
        <v>26808</v>
      </c>
      <c r="I5542" s="3" t="s">
        <v>29158</v>
      </c>
      <c r="J5542" s="3" t="s">
        <v>29159</v>
      </c>
      <c r="K5542" s="3" t="s">
        <v>29160</v>
      </c>
      <c r="L5542" s="3"/>
      <c r="M5542" s="4"/>
      <c r="N5542" s="3" t="s">
        <v>37</v>
      </c>
      <c r="O5542" s="3" t="s">
        <v>52</v>
      </c>
      <c r="P5542" s="5">
        <v>18</v>
      </c>
      <c r="Q5542" s="5">
        <v>328</v>
      </c>
      <c r="R5542" s="5">
        <v>18</v>
      </c>
      <c r="S5542" s="5">
        <v>329</v>
      </c>
    </row>
    <row r="5543" spans="1:19" ht="42" x14ac:dyDescent="0.15">
      <c r="A5543" s="2">
        <f>HYPERLINK("https://open-school.uspishnemisto.com.ua/school/260477/", 260477)</f>
        <v>260477</v>
      </c>
      <c r="B5543" s="3" t="s">
        <v>29161</v>
      </c>
      <c r="C5543" s="3" t="s">
        <v>31</v>
      </c>
      <c r="D5543" s="3" t="s">
        <v>32</v>
      </c>
      <c r="E5543" s="4" t="s">
        <v>22</v>
      </c>
      <c r="F5543" s="4" t="s">
        <v>29156</v>
      </c>
      <c r="G5543" s="4" t="s">
        <v>29157</v>
      </c>
      <c r="H5543" s="3" t="s">
        <v>26808</v>
      </c>
      <c r="I5543" s="3" t="s">
        <v>29158</v>
      </c>
      <c r="J5543" s="3" t="s">
        <v>29162</v>
      </c>
      <c r="K5543" s="3" t="s">
        <v>29163</v>
      </c>
      <c r="L5543" s="3" t="s">
        <v>29164</v>
      </c>
      <c r="M5543" s="4"/>
      <c r="N5543" s="3" t="s">
        <v>37</v>
      </c>
      <c r="O5543" s="3" t="s">
        <v>237</v>
      </c>
      <c r="P5543" s="5">
        <v>26</v>
      </c>
      <c r="Q5543" s="5">
        <v>628</v>
      </c>
      <c r="R5543" s="5">
        <v>27</v>
      </c>
      <c r="S5543" s="5">
        <v>633</v>
      </c>
    </row>
    <row r="5544" spans="1:19" ht="42" x14ac:dyDescent="0.15">
      <c r="A5544" s="2">
        <f>HYPERLINK("https://open-school.uspishnemisto.com.ua/school/260478/", 260478)</f>
        <v>260478</v>
      </c>
      <c r="B5544" s="3" t="s">
        <v>29165</v>
      </c>
      <c r="C5544" s="3" t="s">
        <v>31</v>
      </c>
      <c r="D5544" s="3" t="s">
        <v>32</v>
      </c>
      <c r="E5544" s="4" t="s">
        <v>22</v>
      </c>
      <c r="F5544" s="4" t="s">
        <v>29166</v>
      </c>
      <c r="G5544" s="4" t="s">
        <v>29167</v>
      </c>
      <c r="H5544" s="3" t="s">
        <v>26808</v>
      </c>
      <c r="I5544" s="3" t="s">
        <v>29168</v>
      </c>
      <c r="J5544" s="3" t="s">
        <v>29169</v>
      </c>
      <c r="K5544" s="3" t="s">
        <v>29170</v>
      </c>
      <c r="L5544" s="3" t="s">
        <v>29171</v>
      </c>
      <c r="M5544" s="4"/>
      <c r="N5544" s="3" t="s">
        <v>37</v>
      </c>
      <c r="O5544" s="3" t="s">
        <v>52</v>
      </c>
      <c r="P5544" s="5">
        <v>28</v>
      </c>
      <c r="Q5544" s="5">
        <v>647</v>
      </c>
      <c r="R5544" s="5">
        <v>28</v>
      </c>
      <c r="S5544" s="5">
        <v>656</v>
      </c>
    </row>
    <row r="5545" spans="1:19" ht="42" x14ac:dyDescent="0.15">
      <c r="A5545" s="2">
        <f>HYPERLINK("https://open-school.uspishnemisto.com.ua/school/260479/", 260479)</f>
        <v>260479</v>
      </c>
      <c r="B5545" s="3" t="s">
        <v>29172</v>
      </c>
      <c r="C5545" s="3" t="s">
        <v>31</v>
      </c>
      <c r="D5545" s="3" t="s">
        <v>32</v>
      </c>
      <c r="E5545" s="4" t="s">
        <v>22</v>
      </c>
      <c r="F5545" s="4" t="s">
        <v>29173</v>
      </c>
      <c r="G5545" s="4" t="s">
        <v>29174</v>
      </c>
      <c r="H5545" s="3" t="s">
        <v>26808</v>
      </c>
      <c r="I5545" s="3" t="s">
        <v>21783</v>
      </c>
      <c r="J5545" s="3" t="s">
        <v>29175</v>
      </c>
      <c r="K5545" s="3" t="s">
        <v>29176</v>
      </c>
      <c r="L5545" s="3"/>
      <c r="M5545" s="4"/>
      <c r="N5545" s="3" t="s">
        <v>37</v>
      </c>
      <c r="O5545" s="3" t="s">
        <v>46</v>
      </c>
      <c r="P5545" s="5">
        <v>11</v>
      </c>
      <c r="Q5545" s="5">
        <v>186</v>
      </c>
      <c r="R5545" s="5">
        <v>11</v>
      </c>
      <c r="S5545" s="5">
        <v>174</v>
      </c>
    </row>
    <row r="5546" spans="1:19" ht="42" x14ac:dyDescent="0.15">
      <c r="A5546" s="2">
        <f>HYPERLINK("https://open-school.uspishnemisto.com.ua/school/260480/", 260480)</f>
        <v>260480</v>
      </c>
      <c r="B5546" s="3" t="s">
        <v>29177</v>
      </c>
      <c r="C5546" s="3" t="s">
        <v>31</v>
      </c>
      <c r="D5546" s="3" t="s">
        <v>175</v>
      </c>
      <c r="E5546" s="4" t="s">
        <v>22</v>
      </c>
      <c r="F5546" s="4" t="s">
        <v>29178</v>
      </c>
      <c r="G5546" s="4" t="s">
        <v>29179</v>
      </c>
      <c r="H5546" s="3" t="s">
        <v>26808</v>
      </c>
      <c r="I5546" s="3" t="s">
        <v>29180</v>
      </c>
      <c r="J5546" s="3" t="s">
        <v>29181</v>
      </c>
      <c r="K5546" s="3" t="s">
        <v>29182</v>
      </c>
      <c r="L5546" s="3"/>
      <c r="M5546" s="4"/>
      <c r="N5546" s="3" t="s">
        <v>37</v>
      </c>
      <c r="O5546" s="3" t="s">
        <v>52</v>
      </c>
      <c r="P5546" s="5">
        <v>9</v>
      </c>
      <c r="Q5546" s="5">
        <v>171</v>
      </c>
      <c r="R5546" s="5">
        <v>9</v>
      </c>
      <c r="S5546" s="5">
        <v>177</v>
      </c>
    </row>
    <row r="5547" spans="1:19" ht="42" x14ac:dyDescent="0.15">
      <c r="A5547" s="2">
        <f>HYPERLINK("https://open-school.uspishnemisto.com.ua/school/260481/", 260481)</f>
        <v>260481</v>
      </c>
      <c r="B5547" s="3" t="s">
        <v>29183</v>
      </c>
      <c r="C5547" s="3" t="s">
        <v>54</v>
      </c>
      <c r="D5547" s="3" t="s">
        <v>32</v>
      </c>
      <c r="E5547" s="4" t="s">
        <v>22</v>
      </c>
      <c r="F5547" s="4" t="s">
        <v>29184</v>
      </c>
      <c r="G5547" s="4" t="s">
        <v>29185</v>
      </c>
      <c r="H5547" s="3" t="s">
        <v>26808</v>
      </c>
      <c r="I5547" s="3" t="s">
        <v>29186</v>
      </c>
      <c r="J5547" s="3" t="s">
        <v>29187</v>
      </c>
      <c r="K5547" s="3" t="s">
        <v>29188</v>
      </c>
      <c r="L5547" s="3"/>
      <c r="M5547" s="4"/>
      <c r="N5547" s="3" t="s">
        <v>37</v>
      </c>
      <c r="O5547" s="3" t="s">
        <v>46</v>
      </c>
      <c r="P5547" s="5">
        <v>11</v>
      </c>
      <c r="Q5547" s="5">
        <v>192</v>
      </c>
      <c r="R5547" s="5">
        <v>11</v>
      </c>
      <c r="S5547" s="5">
        <v>186</v>
      </c>
    </row>
    <row r="5548" spans="1:19" ht="42" x14ac:dyDescent="0.15">
      <c r="A5548" s="2">
        <f>HYPERLINK("https://open-school.uspishnemisto.com.ua/school/260482/", 260482)</f>
        <v>260482</v>
      </c>
      <c r="B5548" s="3" t="s">
        <v>29189</v>
      </c>
      <c r="C5548" s="3" t="s">
        <v>31</v>
      </c>
      <c r="D5548" s="3" t="s">
        <v>32</v>
      </c>
      <c r="E5548" s="4" t="s">
        <v>22</v>
      </c>
      <c r="F5548" s="4" t="s">
        <v>29190</v>
      </c>
      <c r="G5548" s="4" t="s">
        <v>29191</v>
      </c>
      <c r="H5548" s="3" t="s">
        <v>26808</v>
      </c>
      <c r="I5548" s="3" t="s">
        <v>12585</v>
      </c>
      <c r="J5548" s="3" t="s">
        <v>29192</v>
      </c>
      <c r="K5548" s="3" t="s">
        <v>29193</v>
      </c>
      <c r="L5548" s="3" t="s">
        <v>29194</v>
      </c>
      <c r="M5548" s="4"/>
      <c r="N5548" s="3" t="s">
        <v>37</v>
      </c>
      <c r="O5548" s="3" t="s">
        <v>46</v>
      </c>
      <c r="P5548" s="5">
        <v>18</v>
      </c>
      <c r="Q5548" s="5">
        <v>321</v>
      </c>
      <c r="R5548" s="5">
        <v>17</v>
      </c>
      <c r="S5548" s="5">
        <v>316</v>
      </c>
    </row>
    <row r="5549" spans="1:19" ht="42" x14ac:dyDescent="0.15">
      <c r="A5549" s="2">
        <f>HYPERLINK("https://open-school.uspishnemisto.com.ua/school/260483/", 260483)</f>
        <v>260483</v>
      </c>
      <c r="B5549" s="3" t="s">
        <v>29195</v>
      </c>
      <c r="C5549" s="3" t="s">
        <v>31</v>
      </c>
      <c r="D5549" s="3" t="s">
        <v>32</v>
      </c>
      <c r="E5549" s="4" t="s">
        <v>22</v>
      </c>
      <c r="F5549" s="4" t="s">
        <v>29196</v>
      </c>
      <c r="G5549" s="4" t="s">
        <v>29197</v>
      </c>
      <c r="H5549" s="3" t="s">
        <v>26808</v>
      </c>
      <c r="I5549" s="3" t="s">
        <v>29198</v>
      </c>
      <c r="J5549" s="3" t="s">
        <v>29199</v>
      </c>
      <c r="K5549" s="3" t="s">
        <v>29200</v>
      </c>
      <c r="L5549" s="3" t="s">
        <v>29201</v>
      </c>
      <c r="M5549" s="4"/>
      <c r="N5549" s="3" t="s">
        <v>37</v>
      </c>
      <c r="O5549" s="3" t="s">
        <v>46</v>
      </c>
      <c r="P5549" s="5">
        <v>25</v>
      </c>
      <c r="Q5549" s="5">
        <v>557</v>
      </c>
      <c r="R5549" s="5">
        <v>24</v>
      </c>
      <c r="S5549" s="5">
        <v>540</v>
      </c>
    </row>
    <row r="5550" spans="1:19" ht="42" x14ac:dyDescent="0.15">
      <c r="A5550" s="2">
        <f>HYPERLINK("https://open-school.uspishnemisto.com.ua/school/260484/", 260484)</f>
        <v>260484</v>
      </c>
      <c r="B5550" s="3" t="s">
        <v>29202</v>
      </c>
      <c r="C5550" s="3" t="s">
        <v>54</v>
      </c>
      <c r="D5550" s="3" t="s">
        <v>175</v>
      </c>
      <c r="E5550" s="4" t="s">
        <v>22</v>
      </c>
      <c r="F5550" s="4" t="s">
        <v>29203</v>
      </c>
      <c r="G5550" s="4" t="s">
        <v>29204</v>
      </c>
      <c r="H5550" s="3" t="s">
        <v>26808</v>
      </c>
      <c r="I5550" s="3" t="s">
        <v>29205</v>
      </c>
      <c r="J5550" s="3" t="s">
        <v>25678</v>
      </c>
      <c r="K5550" s="3" t="s">
        <v>29206</v>
      </c>
      <c r="L5550" s="3"/>
      <c r="M5550" s="4"/>
      <c r="N5550" s="3" t="s">
        <v>37</v>
      </c>
      <c r="O5550" s="3" t="s">
        <v>52</v>
      </c>
      <c r="P5550" s="5">
        <v>13</v>
      </c>
      <c r="Q5550" s="5">
        <v>238</v>
      </c>
      <c r="R5550" s="5">
        <v>12</v>
      </c>
      <c r="S5550" s="5">
        <v>236</v>
      </c>
    </row>
    <row r="5551" spans="1:19" ht="42" x14ac:dyDescent="0.15">
      <c r="A5551" s="2">
        <f>HYPERLINK("https://open-school.uspishnemisto.com.ua/school/260485/", 260485)</f>
        <v>260485</v>
      </c>
      <c r="B5551" s="3" t="s">
        <v>29207</v>
      </c>
      <c r="C5551" s="3" t="s">
        <v>31</v>
      </c>
      <c r="D5551" s="3" t="s">
        <v>32</v>
      </c>
      <c r="E5551" s="4" t="s">
        <v>22</v>
      </c>
      <c r="F5551" s="4" t="s">
        <v>29208</v>
      </c>
      <c r="G5551" s="4" t="s">
        <v>29209</v>
      </c>
      <c r="H5551" s="3" t="s">
        <v>26808</v>
      </c>
      <c r="I5551" s="3" t="s">
        <v>7441</v>
      </c>
      <c r="J5551" s="3" t="s">
        <v>29210</v>
      </c>
      <c r="K5551" s="3" t="s">
        <v>29211</v>
      </c>
      <c r="L5551" s="3"/>
      <c r="M5551" s="4"/>
      <c r="N5551" s="3" t="s">
        <v>37</v>
      </c>
      <c r="O5551" s="3" t="s">
        <v>52</v>
      </c>
      <c r="P5551" s="5">
        <v>19</v>
      </c>
      <c r="Q5551" s="5">
        <v>390</v>
      </c>
      <c r="R5551" s="5">
        <v>19</v>
      </c>
      <c r="S5551" s="5">
        <v>392</v>
      </c>
    </row>
    <row r="5552" spans="1:19" ht="42" x14ac:dyDescent="0.15">
      <c r="A5552" s="2">
        <f>HYPERLINK("https://open-school.uspishnemisto.com.ua/school/260486/", 260486)</f>
        <v>260486</v>
      </c>
      <c r="B5552" s="3" t="s">
        <v>29212</v>
      </c>
      <c r="C5552" s="3" t="s">
        <v>31</v>
      </c>
      <c r="D5552" s="3" t="s">
        <v>60</v>
      </c>
      <c r="E5552" s="4" t="s">
        <v>22</v>
      </c>
      <c r="F5552" s="4" t="s">
        <v>29213</v>
      </c>
      <c r="G5552" s="4" t="s">
        <v>29214</v>
      </c>
      <c r="H5552" s="3" t="s">
        <v>26808</v>
      </c>
      <c r="I5552" s="3" t="s">
        <v>6431</v>
      </c>
      <c r="J5552" s="3" t="s">
        <v>29215</v>
      </c>
      <c r="K5552" s="3"/>
      <c r="L5552" s="3"/>
      <c r="M5552" s="4"/>
      <c r="N5552" s="3" t="s">
        <v>37</v>
      </c>
      <c r="O5552" s="3" t="s">
        <v>52</v>
      </c>
      <c r="P5552" s="5">
        <v>4</v>
      </c>
      <c r="Q5552" s="5">
        <v>39</v>
      </c>
      <c r="R5552" s="5">
        <v>4</v>
      </c>
      <c r="S5552" s="5">
        <v>37</v>
      </c>
    </row>
    <row r="5553" spans="1:19" ht="42" x14ac:dyDescent="0.15">
      <c r="A5553" s="2">
        <f>HYPERLINK("https://open-school.uspishnemisto.com.ua/school/260487/", 260487)</f>
        <v>260487</v>
      </c>
      <c r="B5553" s="3" t="s">
        <v>29216</v>
      </c>
      <c r="C5553" s="3" t="s">
        <v>31</v>
      </c>
      <c r="D5553" s="3" t="s">
        <v>32</v>
      </c>
      <c r="E5553" s="4" t="s">
        <v>22</v>
      </c>
      <c r="F5553" s="4" t="s">
        <v>29213</v>
      </c>
      <c r="G5553" s="4" t="s">
        <v>29214</v>
      </c>
      <c r="H5553" s="3" t="s">
        <v>26808</v>
      </c>
      <c r="I5553" s="3" t="s">
        <v>6431</v>
      </c>
      <c r="J5553" s="3" t="s">
        <v>29217</v>
      </c>
      <c r="K5553" s="3" t="s">
        <v>29218</v>
      </c>
      <c r="L5553" s="3"/>
      <c r="M5553" s="4"/>
      <c r="N5553" s="3" t="s">
        <v>37</v>
      </c>
      <c r="O5553" s="3" t="s">
        <v>46</v>
      </c>
      <c r="P5553" s="5">
        <v>17</v>
      </c>
      <c r="Q5553" s="5">
        <v>301</v>
      </c>
      <c r="R5553" s="5">
        <v>17</v>
      </c>
      <c r="S5553" s="5">
        <v>314</v>
      </c>
    </row>
    <row r="5554" spans="1:19" ht="42" x14ac:dyDescent="0.15">
      <c r="A5554" s="2">
        <f>HYPERLINK("https://open-school.uspishnemisto.com.ua/school/260488/", 260488)</f>
        <v>260488</v>
      </c>
      <c r="B5554" s="3" t="s">
        <v>29219</v>
      </c>
      <c r="C5554" s="3" t="s">
        <v>31</v>
      </c>
      <c r="D5554" s="3" t="s">
        <v>175</v>
      </c>
      <c r="E5554" s="4" t="s">
        <v>22</v>
      </c>
      <c r="F5554" s="4"/>
      <c r="G5554" s="4" t="s">
        <v>29220</v>
      </c>
      <c r="H5554" s="3" t="s">
        <v>26808</v>
      </c>
      <c r="I5554" s="3" t="s">
        <v>29221</v>
      </c>
      <c r="J5554" s="3"/>
      <c r="K5554" s="3" t="s">
        <v>29222</v>
      </c>
      <c r="L5554" s="3"/>
      <c r="M5554" s="4"/>
      <c r="N5554" s="3" t="s">
        <v>37</v>
      </c>
      <c r="O5554" s="3" t="s">
        <v>46</v>
      </c>
      <c r="P5554" s="5">
        <v>9</v>
      </c>
      <c r="Q5554" s="5">
        <v>85</v>
      </c>
      <c r="R5554" s="5">
        <v>9</v>
      </c>
      <c r="S5554" s="5">
        <v>86</v>
      </c>
    </row>
    <row r="5555" spans="1:19" ht="42" x14ac:dyDescent="0.15">
      <c r="A5555" s="2">
        <f>HYPERLINK("https://open-school.uspishnemisto.com.ua/school/260489/", 260489)</f>
        <v>260489</v>
      </c>
      <c r="B5555" s="3" t="s">
        <v>29223</v>
      </c>
      <c r="C5555" s="3" t="s">
        <v>31</v>
      </c>
      <c r="D5555" s="3" t="s">
        <v>175</v>
      </c>
      <c r="E5555" s="4" t="s">
        <v>22</v>
      </c>
      <c r="F5555" s="4" t="s">
        <v>29213</v>
      </c>
      <c r="G5555" s="4" t="s">
        <v>29224</v>
      </c>
      <c r="H5555" s="3" t="s">
        <v>26808</v>
      </c>
      <c r="I5555" s="3" t="s">
        <v>22583</v>
      </c>
      <c r="J5555" s="3" t="s">
        <v>29225</v>
      </c>
      <c r="K5555" s="3" t="s">
        <v>29226</v>
      </c>
      <c r="L5555" s="3"/>
      <c r="M5555" s="4"/>
      <c r="N5555" s="3" t="s">
        <v>37</v>
      </c>
      <c r="O5555" s="3" t="s">
        <v>46</v>
      </c>
      <c r="P5555" s="5">
        <v>9</v>
      </c>
      <c r="Q5555" s="5">
        <v>155</v>
      </c>
      <c r="R5555" s="5">
        <v>9</v>
      </c>
      <c r="S5555" s="5">
        <v>155</v>
      </c>
    </row>
    <row r="5556" spans="1:19" ht="42" x14ac:dyDescent="0.15">
      <c r="A5556" s="2">
        <f>HYPERLINK("https://open-school.uspishnemisto.com.ua/school/260490/", 260490)</f>
        <v>260490</v>
      </c>
      <c r="B5556" s="3" t="s">
        <v>29227</v>
      </c>
      <c r="C5556" s="3" t="s">
        <v>31</v>
      </c>
      <c r="D5556" s="3" t="s">
        <v>175</v>
      </c>
      <c r="E5556" s="4" t="s">
        <v>22</v>
      </c>
      <c r="F5556" s="4" t="s">
        <v>29228</v>
      </c>
      <c r="G5556" s="4" t="s">
        <v>29229</v>
      </c>
      <c r="H5556" s="3" t="s">
        <v>26808</v>
      </c>
      <c r="I5556" s="3" t="s">
        <v>29230</v>
      </c>
      <c r="J5556" s="3" t="s">
        <v>29231</v>
      </c>
      <c r="K5556" s="3"/>
      <c r="L5556" s="3"/>
      <c r="M5556" s="4"/>
      <c r="N5556" s="3" t="s">
        <v>37</v>
      </c>
      <c r="O5556" s="3" t="s">
        <v>46</v>
      </c>
      <c r="P5556" s="5">
        <v>9</v>
      </c>
      <c r="Q5556" s="5">
        <v>124</v>
      </c>
      <c r="R5556" s="5">
        <v>9</v>
      </c>
      <c r="S5556" s="5">
        <v>121</v>
      </c>
    </row>
    <row r="5557" spans="1:19" ht="42" x14ac:dyDescent="0.15">
      <c r="A5557" s="2">
        <f>HYPERLINK("https://open-school.uspishnemisto.com.ua/school/260491/", 260491)</f>
        <v>260491</v>
      </c>
      <c r="B5557" s="3" t="s">
        <v>29232</v>
      </c>
      <c r="C5557" s="3" t="s">
        <v>31</v>
      </c>
      <c r="D5557" s="3" t="s">
        <v>32</v>
      </c>
      <c r="E5557" s="4" t="s">
        <v>22</v>
      </c>
      <c r="F5557" s="4" t="s">
        <v>29233</v>
      </c>
      <c r="G5557" s="4" t="s">
        <v>29234</v>
      </c>
      <c r="H5557" s="3" t="s">
        <v>26808</v>
      </c>
      <c r="I5557" s="3" t="s">
        <v>22826</v>
      </c>
      <c r="J5557" s="3" t="s">
        <v>29235</v>
      </c>
      <c r="K5557" s="3" t="s">
        <v>29236</v>
      </c>
      <c r="L5557" s="3"/>
      <c r="M5557" s="4"/>
      <c r="N5557" s="3" t="s">
        <v>37</v>
      </c>
      <c r="O5557" s="3" t="s">
        <v>2740</v>
      </c>
      <c r="P5557" s="5">
        <v>18</v>
      </c>
      <c r="Q5557" s="5">
        <v>374</v>
      </c>
      <c r="R5557" s="5">
        <v>17</v>
      </c>
      <c r="S5557" s="5">
        <v>366</v>
      </c>
    </row>
    <row r="5558" spans="1:19" ht="42" x14ac:dyDescent="0.15">
      <c r="A5558" s="2">
        <f>HYPERLINK("https://open-school.uspishnemisto.com.ua/school/260492/", 260492)</f>
        <v>260492</v>
      </c>
      <c r="B5558" s="3" t="s">
        <v>29237</v>
      </c>
      <c r="C5558" s="3" t="s">
        <v>54</v>
      </c>
      <c r="D5558" s="3" t="s">
        <v>32</v>
      </c>
      <c r="E5558" s="4" t="s">
        <v>22</v>
      </c>
      <c r="F5558" s="4" t="s">
        <v>29238</v>
      </c>
      <c r="G5558" s="4" t="s">
        <v>29239</v>
      </c>
      <c r="H5558" s="3" t="s">
        <v>26808</v>
      </c>
      <c r="I5558" s="3" t="s">
        <v>29240</v>
      </c>
      <c r="J5558" s="3" t="s">
        <v>5068</v>
      </c>
      <c r="K5558" s="3" t="s">
        <v>29241</v>
      </c>
      <c r="L5558" s="3"/>
      <c r="M5558" s="4"/>
      <c r="N5558" s="3" t="s">
        <v>37</v>
      </c>
      <c r="O5558" s="3" t="s">
        <v>46</v>
      </c>
      <c r="P5558" s="5">
        <v>12</v>
      </c>
      <c r="Q5558" s="5">
        <v>266</v>
      </c>
      <c r="R5558" s="5">
        <v>12</v>
      </c>
      <c r="S5558" s="5">
        <v>255</v>
      </c>
    </row>
    <row r="5559" spans="1:19" ht="42" x14ac:dyDescent="0.15">
      <c r="A5559" s="2">
        <f>HYPERLINK("https://open-school.uspishnemisto.com.ua/school/260493/", 260493)</f>
        <v>260493</v>
      </c>
      <c r="B5559" s="3" t="s">
        <v>29242</v>
      </c>
      <c r="C5559" s="3" t="s">
        <v>31</v>
      </c>
      <c r="D5559" s="3" t="s">
        <v>32</v>
      </c>
      <c r="E5559" s="4" t="s">
        <v>22</v>
      </c>
      <c r="F5559" s="4" t="s">
        <v>29243</v>
      </c>
      <c r="G5559" s="4" t="s">
        <v>29244</v>
      </c>
      <c r="H5559" s="3" t="s">
        <v>26808</v>
      </c>
      <c r="I5559" s="3" t="s">
        <v>29245</v>
      </c>
      <c r="J5559" s="3" t="s">
        <v>29246</v>
      </c>
      <c r="K5559" s="3" t="s">
        <v>29247</v>
      </c>
      <c r="L5559" s="3"/>
      <c r="M5559" s="4"/>
      <c r="N5559" s="3" t="s">
        <v>37</v>
      </c>
      <c r="O5559" s="3" t="s">
        <v>52</v>
      </c>
      <c r="P5559" s="5">
        <v>11</v>
      </c>
      <c r="Q5559" s="5">
        <v>163</v>
      </c>
      <c r="R5559" s="5">
        <v>11</v>
      </c>
      <c r="S5559" s="5">
        <v>170</v>
      </c>
    </row>
    <row r="5560" spans="1:19" ht="42" x14ac:dyDescent="0.15">
      <c r="A5560" s="2">
        <f>HYPERLINK("https://open-school.uspishnemisto.com.ua/school/260494/", 260494)</f>
        <v>260494</v>
      </c>
      <c r="B5560" s="3" t="s">
        <v>29248</v>
      </c>
      <c r="C5560" s="3" t="s">
        <v>31</v>
      </c>
      <c r="D5560" s="3" t="s">
        <v>32</v>
      </c>
      <c r="E5560" s="4" t="s">
        <v>22</v>
      </c>
      <c r="F5560" s="4" t="s">
        <v>29249</v>
      </c>
      <c r="G5560" s="4" t="s">
        <v>29250</v>
      </c>
      <c r="H5560" s="3" t="s">
        <v>26808</v>
      </c>
      <c r="I5560" s="3" t="s">
        <v>29251</v>
      </c>
      <c r="J5560" s="3" t="s">
        <v>29252</v>
      </c>
      <c r="K5560" s="3" t="s">
        <v>29253</v>
      </c>
      <c r="L5560" s="3"/>
      <c r="M5560" s="4"/>
      <c r="N5560" s="3" t="s">
        <v>37</v>
      </c>
      <c r="O5560" s="3" t="s">
        <v>46</v>
      </c>
      <c r="P5560" s="5">
        <v>15</v>
      </c>
      <c r="Q5560" s="5">
        <v>329</v>
      </c>
      <c r="R5560" s="5">
        <v>15</v>
      </c>
      <c r="S5560" s="5">
        <v>320</v>
      </c>
    </row>
    <row r="5561" spans="1:19" ht="42" x14ac:dyDescent="0.15">
      <c r="A5561" s="2">
        <f>HYPERLINK("https://open-school.uspishnemisto.com.ua/school/260495/", 260495)</f>
        <v>260495</v>
      </c>
      <c r="B5561" s="3" t="s">
        <v>29254</v>
      </c>
      <c r="C5561" s="3" t="s">
        <v>31</v>
      </c>
      <c r="D5561" s="3" t="s">
        <v>32</v>
      </c>
      <c r="E5561" s="4" t="s">
        <v>22</v>
      </c>
      <c r="F5561" s="4" t="s">
        <v>29255</v>
      </c>
      <c r="G5561" s="4" t="s">
        <v>29256</v>
      </c>
      <c r="H5561" s="3" t="s">
        <v>26808</v>
      </c>
      <c r="I5561" s="3" t="s">
        <v>29257</v>
      </c>
      <c r="J5561" s="3" t="s">
        <v>29258</v>
      </c>
      <c r="K5561" s="3" t="s">
        <v>29259</v>
      </c>
      <c r="L5561" s="3"/>
      <c r="M5561" s="4"/>
      <c r="N5561" s="3" t="s">
        <v>37</v>
      </c>
      <c r="O5561" s="3" t="s">
        <v>2740</v>
      </c>
      <c r="P5561" s="5">
        <v>9</v>
      </c>
      <c r="Q5561" s="5">
        <v>156</v>
      </c>
      <c r="R5561" s="5">
        <v>10</v>
      </c>
      <c r="S5561" s="5">
        <v>161</v>
      </c>
    </row>
    <row r="5562" spans="1:19" ht="42" x14ac:dyDescent="0.15">
      <c r="A5562" s="2">
        <f>HYPERLINK("https://open-school.uspishnemisto.com.ua/school/260496/", 260496)</f>
        <v>260496</v>
      </c>
      <c r="B5562" s="3" t="s">
        <v>29260</v>
      </c>
      <c r="C5562" s="3" t="s">
        <v>31</v>
      </c>
      <c r="D5562" s="3" t="s">
        <v>60</v>
      </c>
      <c r="E5562" s="4" t="s">
        <v>22</v>
      </c>
      <c r="F5562" s="4" t="s">
        <v>29255</v>
      </c>
      <c r="G5562" s="4" t="s">
        <v>29261</v>
      </c>
      <c r="H5562" s="3" t="s">
        <v>26808</v>
      </c>
      <c r="I5562" s="3" t="s">
        <v>1889</v>
      </c>
      <c r="J5562" s="3" t="s">
        <v>29262</v>
      </c>
      <c r="K5562" s="3" t="s">
        <v>29263</v>
      </c>
      <c r="L5562" s="3"/>
      <c r="M5562" s="4"/>
      <c r="N5562" s="3" t="s">
        <v>37</v>
      </c>
      <c r="O5562" s="3" t="s">
        <v>52</v>
      </c>
      <c r="P5562" s="5">
        <v>3</v>
      </c>
      <c r="Q5562" s="5">
        <v>24</v>
      </c>
      <c r="R5562" s="5">
        <v>4</v>
      </c>
      <c r="S5562" s="5">
        <v>19</v>
      </c>
    </row>
    <row r="5563" spans="1:19" ht="42" x14ac:dyDescent="0.15">
      <c r="A5563" s="2">
        <f>HYPERLINK("https://open-school.uspishnemisto.com.ua/school/260497/", 260497)</f>
        <v>260497</v>
      </c>
      <c r="B5563" s="3" t="s">
        <v>29264</v>
      </c>
      <c r="C5563" s="3" t="s">
        <v>31</v>
      </c>
      <c r="D5563" s="3" t="s">
        <v>32</v>
      </c>
      <c r="E5563" s="4" t="s">
        <v>22</v>
      </c>
      <c r="F5563" s="4" t="s">
        <v>29265</v>
      </c>
      <c r="G5563" s="4" t="s">
        <v>29266</v>
      </c>
      <c r="H5563" s="3" t="s">
        <v>26808</v>
      </c>
      <c r="I5563" s="3" t="s">
        <v>29267</v>
      </c>
      <c r="J5563" s="3" t="s">
        <v>29268</v>
      </c>
      <c r="K5563" s="3" t="s">
        <v>29269</v>
      </c>
      <c r="L5563" s="3"/>
      <c r="M5563" s="4"/>
      <c r="N5563" s="3" t="s">
        <v>37</v>
      </c>
      <c r="O5563" s="3" t="s">
        <v>52</v>
      </c>
      <c r="P5563" s="5">
        <v>12</v>
      </c>
      <c r="Q5563" s="5">
        <v>206</v>
      </c>
      <c r="R5563" s="5">
        <v>12</v>
      </c>
      <c r="S5563" s="5">
        <v>208</v>
      </c>
    </row>
    <row r="5564" spans="1:19" ht="42" x14ac:dyDescent="0.15">
      <c r="A5564" s="2">
        <f>HYPERLINK("https://open-school.uspishnemisto.com.ua/school/260498/", 260498)</f>
        <v>260498</v>
      </c>
      <c r="B5564" s="3" t="s">
        <v>29270</v>
      </c>
      <c r="C5564" s="3" t="s">
        <v>31</v>
      </c>
      <c r="D5564" s="3" t="s">
        <v>60</v>
      </c>
      <c r="E5564" s="4" t="s">
        <v>22</v>
      </c>
      <c r="F5564" s="4" t="s">
        <v>29271</v>
      </c>
      <c r="G5564" s="4" t="s">
        <v>29272</v>
      </c>
      <c r="H5564" s="3" t="s">
        <v>26808</v>
      </c>
      <c r="I5564" s="3" t="s">
        <v>29273</v>
      </c>
      <c r="J5564" s="3" t="s">
        <v>29274</v>
      </c>
      <c r="K5564" s="3" t="s">
        <v>29275</v>
      </c>
      <c r="L5564" s="3"/>
      <c r="M5564" s="4"/>
      <c r="N5564" s="3" t="s">
        <v>37</v>
      </c>
      <c r="O5564" s="3" t="s">
        <v>52</v>
      </c>
      <c r="P5564" s="5">
        <v>1</v>
      </c>
      <c r="Q5564" s="5">
        <v>13</v>
      </c>
      <c r="R5564" s="5">
        <v>1</v>
      </c>
      <c r="S5564" s="5">
        <v>13</v>
      </c>
    </row>
    <row r="5565" spans="1:19" ht="42" x14ac:dyDescent="0.15">
      <c r="A5565" s="2">
        <f>HYPERLINK("https://open-school.uspishnemisto.com.ua/school/260499/", 260499)</f>
        <v>260499</v>
      </c>
      <c r="B5565" s="3" t="s">
        <v>29276</v>
      </c>
      <c r="C5565" s="3" t="s">
        <v>31</v>
      </c>
      <c r="D5565" s="3" t="s">
        <v>60</v>
      </c>
      <c r="E5565" s="4" t="s">
        <v>22</v>
      </c>
      <c r="F5565" s="4" t="s">
        <v>29113</v>
      </c>
      <c r="G5565" s="4" t="s">
        <v>29277</v>
      </c>
      <c r="H5565" s="3" t="s">
        <v>26808</v>
      </c>
      <c r="I5565" s="3" t="s">
        <v>29278</v>
      </c>
      <c r="J5565" s="3" t="s">
        <v>29279</v>
      </c>
      <c r="K5565" s="3" t="s">
        <v>29280</v>
      </c>
      <c r="L5565" s="3"/>
      <c r="M5565" s="4"/>
      <c r="N5565" s="3" t="s">
        <v>37</v>
      </c>
      <c r="O5565" s="3" t="s">
        <v>52</v>
      </c>
      <c r="P5565" s="5">
        <v>4</v>
      </c>
      <c r="Q5565" s="5">
        <v>35</v>
      </c>
      <c r="R5565" s="5">
        <v>4</v>
      </c>
      <c r="S5565" s="5">
        <v>36</v>
      </c>
    </row>
    <row r="5566" spans="1:19" ht="42" x14ac:dyDescent="0.15">
      <c r="A5566" s="2">
        <f>HYPERLINK("https://open-school.uspishnemisto.com.ua/school/260500/", 260500)</f>
        <v>260500</v>
      </c>
      <c r="B5566" s="3" t="s">
        <v>29281</v>
      </c>
      <c r="C5566" s="3" t="s">
        <v>31</v>
      </c>
      <c r="D5566" s="3" t="s">
        <v>60</v>
      </c>
      <c r="E5566" s="4" t="s">
        <v>22</v>
      </c>
      <c r="F5566" s="4" t="s">
        <v>29089</v>
      </c>
      <c r="G5566" s="4" t="s">
        <v>29277</v>
      </c>
      <c r="H5566" s="3" t="s">
        <v>26808</v>
      </c>
      <c r="I5566" s="3" t="s">
        <v>29278</v>
      </c>
      <c r="J5566" s="3" t="s">
        <v>29282</v>
      </c>
      <c r="K5566" s="3" t="s">
        <v>29283</v>
      </c>
      <c r="L5566" s="3"/>
      <c r="M5566" s="4"/>
      <c r="N5566" s="3" t="s">
        <v>37</v>
      </c>
      <c r="O5566" s="3" t="s">
        <v>52</v>
      </c>
      <c r="P5566" s="5">
        <v>3</v>
      </c>
      <c r="Q5566" s="5">
        <v>28</v>
      </c>
      <c r="R5566" s="5">
        <v>2</v>
      </c>
      <c r="S5566" s="5">
        <v>23</v>
      </c>
    </row>
    <row r="5567" spans="1:19" ht="42" x14ac:dyDescent="0.15">
      <c r="A5567" s="2">
        <f>HYPERLINK("https://open-school.uspishnemisto.com.ua/school/260501/", 260501)</f>
        <v>260501</v>
      </c>
      <c r="B5567" s="3" t="s">
        <v>29284</v>
      </c>
      <c r="C5567" s="3" t="s">
        <v>31</v>
      </c>
      <c r="D5567" s="3" t="s">
        <v>60</v>
      </c>
      <c r="E5567" s="4" t="s">
        <v>22</v>
      </c>
      <c r="F5567" s="4" t="s">
        <v>29089</v>
      </c>
      <c r="G5567" s="4" t="s">
        <v>29277</v>
      </c>
      <c r="H5567" s="3" t="s">
        <v>26808</v>
      </c>
      <c r="I5567" s="3" t="s">
        <v>29278</v>
      </c>
      <c r="J5567" s="3" t="s">
        <v>29285</v>
      </c>
      <c r="K5567" s="3" t="s">
        <v>29093</v>
      </c>
      <c r="L5567" s="3"/>
      <c r="M5567" s="4"/>
      <c r="N5567" s="3" t="s">
        <v>37</v>
      </c>
      <c r="O5567" s="3" t="s">
        <v>52</v>
      </c>
      <c r="P5567" s="5">
        <v>3</v>
      </c>
      <c r="Q5567" s="5">
        <v>21</v>
      </c>
      <c r="R5567" s="5">
        <v>3</v>
      </c>
      <c r="S5567" s="5">
        <v>21</v>
      </c>
    </row>
    <row r="5568" spans="1:19" ht="42" x14ac:dyDescent="0.15">
      <c r="A5568" s="2">
        <f>HYPERLINK("https://open-school.uspishnemisto.com.ua/school/260502/", 260502)</f>
        <v>260502</v>
      </c>
      <c r="B5568" s="3" t="s">
        <v>29286</v>
      </c>
      <c r="C5568" s="3" t="s">
        <v>31</v>
      </c>
      <c r="D5568" s="3" t="s">
        <v>32</v>
      </c>
      <c r="E5568" s="4" t="s">
        <v>22</v>
      </c>
      <c r="F5568" s="4" t="s">
        <v>29089</v>
      </c>
      <c r="G5568" s="4" t="s">
        <v>29277</v>
      </c>
      <c r="H5568" s="3" t="s">
        <v>26808</v>
      </c>
      <c r="I5568" s="3" t="s">
        <v>29278</v>
      </c>
      <c r="J5568" s="3" t="s">
        <v>29287</v>
      </c>
      <c r="K5568" s="3"/>
      <c r="L5568" s="3" t="s">
        <v>29288</v>
      </c>
      <c r="M5568" s="4"/>
      <c r="N5568" s="3" t="s">
        <v>37</v>
      </c>
      <c r="O5568" s="3" t="s">
        <v>2740</v>
      </c>
      <c r="P5568" s="5">
        <v>24</v>
      </c>
      <c r="Q5568" s="5">
        <v>594</v>
      </c>
      <c r="R5568" s="5">
        <v>24</v>
      </c>
      <c r="S5568" s="5">
        <v>608</v>
      </c>
    </row>
    <row r="5569" spans="1:19" ht="42" x14ac:dyDescent="0.15">
      <c r="A5569" s="2">
        <f>HYPERLINK("https://open-school.uspishnemisto.com.ua/school/260503/", 260503)</f>
        <v>260503</v>
      </c>
      <c r="B5569" s="3" t="s">
        <v>29289</v>
      </c>
      <c r="C5569" s="3" t="s">
        <v>31</v>
      </c>
      <c r="D5569" s="3" t="s">
        <v>60</v>
      </c>
      <c r="E5569" s="4" t="s">
        <v>22</v>
      </c>
      <c r="F5569" s="4" t="s">
        <v>29089</v>
      </c>
      <c r="G5569" s="4" t="s">
        <v>29290</v>
      </c>
      <c r="H5569" s="3" t="s">
        <v>26808</v>
      </c>
      <c r="I5569" s="3" t="s">
        <v>29291</v>
      </c>
      <c r="J5569" s="3" t="s">
        <v>29292</v>
      </c>
      <c r="K5569" s="3"/>
      <c r="L5569" s="3"/>
      <c r="M5569" s="4"/>
      <c r="N5569" s="3" t="s">
        <v>37</v>
      </c>
      <c r="O5569" s="3" t="s">
        <v>52</v>
      </c>
      <c r="P5569" s="5">
        <v>4</v>
      </c>
      <c r="Q5569" s="5">
        <v>52</v>
      </c>
      <c r="R5569" s="5">
        <v>4</v>
      </c>
      <c r="S5569" s="5">
        <v>52</v>
      </c>
    </row>
    <row r="5570" spans="1:19" ht="42" x14ac:dyDescent="0.15">
      <c r="A5570" s="2">
        <f>HYPERLINK("https://open-school.uspishnemisto.com.ua/school/260504/", 260504)</f>
        <v>260504</v>
      </c>
      <c r="B5570" s="3" t="s">
        <v>29293</v>
      </c>
      <c r="C5570" s="3" t="s">
        <v>31</v>
      </c>
      <c r="D5570" s="3" t="s">
        <v>32</v>
      </c>
      <c r="E5570" s="4" t="s">
        <v>22</v>
      </c>
      <c r="F5570" s="4" t="s">
        <v>29294</v>
      </c>
      <c r="G5570" s="4" t="s">
        <v>29295</v>
      </c>
      <c r="H5570" s="3" t="s">
        <v>26808</v>
      </c>
      <c r="I5570" s="3" t="s">
        <v>29296</v>
      </c>
      <c r="J5570" s="3" t="s">
        <v>29297</v>
      </c>
      <c r="K5570" s="3" t="s">
        <v>29298</v>
      </c>
      <c r="L5570" s="3"/>
      <c r="M5570" s="4"/>
      <c r="N5570" s="3" t="s">
        <v>37</v>
      </c>
      <c r="O5570" s="3" t="s">
        <v>123</v>
      </c>
      <c r="P5570" s="5">
        <v>17</v>
      </c>
      <c r="Q5570" s="5">
        <v>313</v>
      </c>
      <c r="R5570" s="5">
        <v>16</v>
      </c>
      <c r="S5570" s="5">
        <v>305</v>
      </c>
    </row>
    <row r="5571" spans="1:19" ht="42" x14ac:dyDescent="0.15">
      <c r="A5571" s="2">
        <f>HYPERLINK("https://open-school.uspishnemisto.com.ua/school/260505/", 260505)</f>
        <v>260505</v>
      </c>
      <c r="B5571" s="3" t="s">
        <v>29299</v>
      </c>
      <c r="C5571" s="3" t="s">
        <v>31</v>
      </c>
      <c r="D5571" s="3" t="s">
        <v>32</v>
      </c>
      <c r="E5571" s="4" t="s">
        <v>22</v>
      </c>
      <c r="F5571" s="4" t="s">
        <v>29300</v>
      </c>
      <c r="G5571" s="4" t="s">
        <v>29301</v>
      </c>
      <c r="H5571" s="3" t="s">
        <v>26808</v>
      </c>
      <c r="I5571" s="3" t="s">
        <v>29302</v>
      </c>
      <c r="J5571" s="3" t="s">
        <v>29303</v>
      </c>
      <c r="K5571" s="3" t="s">
        <v>29304</v>
      </c>
      <c r="L5571" s="3"/>
      <c r="M5571" s="4"/>
      <c r="N5571" s="3" t="s">
        <v>37</v>
      </c>
      <c r="O5571" s="3" t="s">
        <v>46</v>
      </c>
      <c r="P5571" s="5">
        <v>22</v>
      </c>
      <c r="Q5571" s="5">
        <v>487</v>
      </c>
      <c r="R5571" s="5">
        <v>22</v>
      </c>
      <c r="S5571" s="5">
        <v>488</v>
      </c>
    </row>
    <row r="5572" spans="1:19" ht="42" x14ac:dyDescent="0.15">
      <c r="A5572" s="2">
        <f>HYPERLINK("https://open-school.uspishnemisto.com.ua/school/260506/", 260506)</f>
        <v>260506</v>
      </c>
      <c r="B5572" s="3" t="s">
        <v>29305</v>
      </c>
      <c r="C5572" s="3" t="s">
        <v>31</v>
      </c>
      <c r="D5572" s="3" t="s">
        <v>175</v>
      </c>
      <c r="E5572" s="4" t="s">
        <v>22</v>
      </c>
      <c r="F5572" s="4" t="s">
        <v>29300</v>
      </c>
      <c r="G5572" s="4" t="s">
        <v>29306</v>
      </c>
      <c r="H5572" s="3" t="s">
        <v>26808</v>
      </c>
      <c r="I5572" s="3" t="s">
        <v>29307</v>
      </c>
      <c r="J5572" s="3" t="s">
        <v>29308</v>
      </c>
      <c r="K5572" s="3" t="s">
        <v>29309</v>
      </c>
      <c r="L5572" s="3"/>
      <c r="M5572" s="4"/>
      <c r="N5572" s="3" t="s">
        <v>37</v>
      </c>
      <c r="O5572" s="3" t="s">
        <v>46</v>
      </c>
      <c r="P5572" s="5">
        <v>9</v>
      </c>
      <c r="Q5572" s="5">
        <v>104</v>
      </c>
      <c r="R5572" s="5">
        <v>9</v>
      </c>
      <c r="S5572" s="5">
        <v>106</v>
      </c>
    </row>
    <row r="5573" spans="1:19" ht="42" x14ac:dyDescent="0.15">
      <c r="A5573" s="2">
        <f>HYPERLINK("https://open-school.uspishnemisto.com.ua/school/260507/", 260507)</f>
        <v>260507</v>
      </c>
      <c r="B5573" s="3" t="s">
        <v>29310</v>
      </c>
      <c r="C5573" s="3" t="s">
        <v>31</v>
      </c>
      <c r="D5573" s="3" t="s">
        <v>32</v>
      </c>
      <c r="E5573" s="4" t="s">
        <v>22</v>
      </c>
      <c r="F5573" s="4" t="s">
        <v>29311</v>
      </c>
      <c r="G5573" s="4" t="s">
        <v>29312</v>
      </c>
      <c r="H5573" s="3" t="s">
        <v>26808</v>
      </c>
      <c r="I5573" s="3" t="s">
        <v>29313</v>
      </c>
      <c r="J5573" s="3" t="s">
        <v>29314</v>
      </c>
      <c r="K5573" s="3" t="s">
        <v>29315</v>
      </c>
      <c r="L5573" s="3"/>
      <c r="M5573" s="4"/>
      <c r="N5573" s="3" t="s">
        <v>37</v>
      </c>
      <c r="O5573" s="3" t="s">
        <v>52</v>
      </c>
      <c r="P5573" s="5">
        <v>21</v>
      </c>
      <c r="Q5573" s="5">
        <v>435</v>
      </c>
      <c r="R5573" s="5">
        <v>21</v>
      </c>
      <c r="S5573" s="5">
        <v>431</v>
      </c>
    </row>
    <row r="5574" spans="1:19" ht="42" x14ac:dyDescent="0.15">
      <c r="A5574" s="2">
        <f>HYPERLINK("https://open-school.uspishnemisto.com.ua/school/260508/", 260508)</f>
        <v>260508</v>
      </c>
      <c r="B5574" s="3" t="s">
        <v>29316</v>
      </c>
      <c r="C5574" s="3" t="s">
        <v>31</v>
      </c>
      <c r="D5574" s="3" t="s">
        <v>32</v>
      </c>
      <c r="E5574" s="4" t="s">
        <v>22</v>
      </c>
      <c r="F5574" s="4" t="s">
        <v>29317</v>
      </c>
      <c r="G5574" s="4" t="s">
        <v>29318</v>
      </c>
      <c r="H5574" s="3" t="s">
        <v>26808</v>
      </c>
      <c r="I5574" s="3" t="s">
        <v>29319</v>
      </c>
      <c r="J5574" s="3" t="s">
        <v>29320</v>
      </c>
      <c r="K5574" s="3" t="s">
        <v>29321</v>
      </c>
      <c r="L5574" s="3"/>
      <c r="M5574" s="4"/>
      <c r="N5574" s="3" t="s">
        <v>37</v>
      </c>
      <c r="O5574" s="3" t="s">
        <v>52</v>
      </c>
      <c r="P5574" s="5">
        <v>10</v>
      </c>
      <c r="Q5574" s="5">
        <v>78</v>
      </c>
      <c r="R5574" s="5">
        <v>11</v>
      </c>
      <c r="S5574" s="5">
        <v>86</v>
      </c>
    </row>
    <row r="5575" spans="1:19" ht="42" x14ac:dyDescent="0.15">
      <c r="A5575" s="2">
        <f>HYPERLINK("https://open-school.uspishnemisto.com.ua/school/260509/", 260509)</f>
        <v>260509</v>
      </c>
      <c r="B5575" s="3" t="s">
        <v>29322</v>
      </c>
      <c r="C5575" s="3" t="s">
        <v>31</v>
      </c>
      <c r="D5575" s="3" t="s">
        <v>175</v>
      </c>
      <c r="E5575" s="4" t="s">
        <v>22</v>
      </c>
      <c r="F5575" s="4" t="s">
        <v>29323</v>
      </c>
      <c r="G5575" s="4" t="s">
        <v>29324</v>
      </c>
      <c r="H5575" s="3" t="s">
        <v>26808</v>
      </c>
      <c r="I5575" s="3" t="s">
        <v>22329</v>
      </c>
      <c r="J5575" s="3" t="s">
        <v>29325</v>
      </c>
      <c r="K5575" s="3" t="s">
        <v>29326</v>
      </c>
      <c r="L5575" s="3"/>
      <c r="M5575" s="4"/>
      <c r="N5575" s="3" t="s">
        <v>37</v>
      </c>
      <c r="O5575" s="3" t="s">
        <v>2740</v>
      </c>
      <c r="P5575" s="5">
        <v>9</v>
      </c>
      <c r="Q5575" s="5">
        <v>125</v>
      </c>
      <c r="R5575" s="5">
        <v>9</v>
      </c>
      <c r="S5575" s="5">
        <v>121</v>
      </c>
    </row>
    <row r="5576" spans="1:19" ht="42" x14ac:dyDescent="0.15">
      <c r="A5576" s="2">
        <f>HYPERLINK("https://open-school.uspishnemisto.com.ua/school/260510/", 260510)</f>
        <v>260510</v>
      </c>
      <c r="B5576" s="3" t="s">
        <v>29327</v>
      </c>
      <c r="C5576" s="3" t="s">
        <v>31</v>
      </c>
      <c r="D5576" s="3" t="s">
        <v>32</v>
      </c>
      <c r="E5576" s="4" t="s">
        <v>22</v>
      </c>
      <c r="F5576" s="4" t="s">
        <v>29328</v>
      </c>
      <c r="G5576" s="4" t="s">
        <v>29329</v>
      </c>
      <c r="H5576" s="3" t="s">
        <v>26808</v>
      </c>
      <c r="I5576" s="3" t="s">
        <v>29330</v>
      </c>
      <c r="J5576" s="3" t="s">
        <v>29258</v>
      </c>
      <c r="K5576" s="3" t="s">
        <v>29331</v>
      </c>
      <c r="L5576" s="3"/>
      <c r="M5576" s="4"/>
      <c r="N5576" s="3" t="s">
        <v>37</v>
      </c>
      <c r="O5576" s="3" t="s">
        <v>46</v>
      </c>
      <c r="P5576" s="5">
        <v>18</v>
      </c>
      <c r="Q5576" s="5">
        <v>363</v>
      </c>
      <c r="R5576" s="5">
        <v>18</v>
      </c>
      <c r="S5576" s="5">
        <v>369</v>
      </c>
    </row>
    <row r="5577" spans="1:19" ht="42" x14ac:dyDescent="0.15">
      <c r="A5577" s="2">
        <f>HYPERLINK("https://open-school.uspishnemisto.com.ua/school/260511/", 260511)</f>
        <v>260511</v>
      </c>
      <c r="B5577" s="3" t="s">
        <v>29332</v>
      </c>
      <c r="C5577" s="3" t="s">
        <v>31</v>
      </c>
      <c r="D5577" s="3" t="s">
        <v>32</v>
      </c>
      <c r="E5577" s="4" t="s">
        <v>22</v>
      </c>
      <c r="F5577" s="4" t="s">
        <v>29333</v>
      </c>
      <c r="G5577" s="4" t="s">
        <v>29334</v>
      </c>
      <c r="H5577" s="3" t="s">
        <v>26808</v>
      </c>
      <c r="I5577" s="3" t="s">
        <v>29335</v>
      </c>
      <c r="J5577" s="3" t="s">
        <v>29336</v>
      </c>
      <c r="K5577" s="3" t="s">
        <v>29337</v>
      </c>
      <c r="L5577" s="3"/>
      <c r="M5577" s="4"/>
      <c r="N5577" s="3" t="s">
        <v>37</v>
      </c>
      <c r="O5577" s="3" t="s">
        <v>52</v>
      </c>
      <c r="P5577" s="5">
        <v>11</v>
      </c>
      <c r="Q5577" s="5">
        <v>221</v>
      </c>
      <c r="R5577" s="5">
        <v>11</v>
      </c>
      <c r="S5577" s="5">
        <v>206</v>
      </c>
    </row>
    <row r="5578" spans="1:19" ht="42" x14ac:dyDescent="0.15">
      <c r="A5578" s="2">
        <f>HYPERLINK("https://open-school.uspishnemisto.com.ua/school/260512/", 260512)</f>
        <v>260512</v>
      </c>
      <c r="B5578" s="3" t="s">
        <v>29338</v>
      </c>
      <c r="C5578" s="3" t="s">
        <v>54</v>
      </c>
      <c r="D5578" s="3" t="s">
        <v>175</v>
      </c>
      <c r="E5578" s="4" t="s">
        <v>22</v>
      </c>
      <c r="F5578" s="4" t="s">
        <v>29339</v>
      </c>
      <c r="G5578" s="4" t="s">
        <v>29340</v>
      </c>
      <c r="H5578" s="3" t="s">
        <v>26808</v>
      </c>
      <c r="I5578" s="3" t="s">
        <v>29341</v>
      </c>
      <c r="J5578" s="3" t="s">
        <v>29342</v>
      </c>
      <c r="K5578" s="3" t="s">
        <v>29343</v>
      </c>
      <c r="L5578" s="3"/>
      <c r="M5578" s="4"/>
      <c r="N5578" s="3" t="s">
        <v>37</v>
      </c>
      <c r="O5578" s="3" t="s">
        <v>46</v>
      </c>
      <c r="P5578" s="5">
        <v>9</v>
      </c>
      <c r="Q5578" s="5">
        <v>120</v>
      </c>
      <c r="R5578" s="5">
        <v>9</v>
      </c>
      <c r="S5578" s="5">
        <v>108</v>
      </c>
    </row>
    <row r="5579" spans="1:19" ht="42" x14ac:dyDescent="0.15">
      <c r="A5579" s="2">
        <f>HYPERLINK("https://open-school.uspishnemisto.com.ua/school/260513/", 260513)</f>
        <v>260513</v>
      </c>
      <c r="B5579" s="3" t="s">
        <v>29344</v>
      </c>
      <c r="C5579" s="3" t="s">
        <v>31</v>
      </c>
      <c r="D5579" s="3" t="s">
        <v>32</v>
      </c>
      <c r="E5579" s="4" t="s">
        <v>22</v>
      </c>
      <c r="F5579" s="4" t="s">
        <v>29345</v>
      </c>
      <c r="G5579" s="4" t="s">
        <v>29346</v>
      </c>
      <c r="H5579" s="3" t="s">
        <v>26808</v>
      </c>
      <c r="I5579" s="3" t="s">
        <v>29347</v>
      </c>
      <c r="J5579" s="3" t="s">
        <v>27502</v>
      </c>
      <c r="K5579" s="3" t="s">
        <v>29348</v>
      </c>
      <c r="L5579" s="3"/>
      <c r="M5579" s="4"/>
      <c r="N5579" s="3" t="s">
        <v>37</v>
      </c>
      <c r="O5579" s="3" t="s">
        <v>52</v>
      </c>
      <c r="P5579" s="5">
        <v>12</v>
      </c>
      <c r="Q5579" s="5">
        <v>185</v>
      </c>
      <c r="R5579" s="5">
        <v>12</v>
      </c>
      <c r="S5579" s="5">
        <v>200</v>
      </c>
    </row>
    <row r="5580" spans="1:19" ht="42" x14ac:dyDescent="0.15">
      <c r="A5580" s="2">
        <f>HYPERLINK("https://open-school.uspishnemisto.com.ua/school/260514/", 260514)</f>
        <v>260514</v>
      </c>
      <c r="B5580" s="3" t="s">
        <v>29349</v>
      </c>
      <c r="C5580" s="3" t="s">
        <v>31</v>
      </c>
      <c r="D5580" s="3" t="s">
        <v>32</v>
      </c>
      <c r="E5580" s="4" t="s">
        <v>22</v>
      </c>
      <c r="F5580" s="4" t="s">
        <v>29350</v>
      </c>
      <c r="G5580" s="4" t="s">
        <v>29351</v>
      </c>
      <c r="H5580" s="3" t="s">
        <v>26808</v>
      </c>
      <c r="I5580" s="3" t="s">
        <v>21495</v>
      </c>
      <c r="J5580" s="3" t="s">
        <v>29352</v>
      </c>
      <c r="K5580" s="3" t="s">
        <v>29353</v>
      </c>
      <c r="L5580" s="3"/>
      <c r="M5580" s="4"/>
      <c r="N5580" s="3" t="s">
        <v>37</v>
      </c>
      <c r="O5580" s="3" t="s">
        <v>52</v>
      </c>
      <c r="P5580" s="5">
        <v>22</v>
      </c>
      <c r="Q5580" s="5">
        <v>430</v>
      </c>
      <c r="R5580" s="5">
        <v>22</v>
      </c>
      <c r="S5580" s="5">
        <v>419</v>
      </c>
    </row>
    <row r="5581" spans="1:19" ht="42" x14ac:dyDescent="0.15">
      <c r="A5581" s="2">
        <f>HYPERLINK("https://open-school.uspishnemisto.com.ua/school/260515/", 260515)</f>
        <v>260515</v>
      </c>
      <c r="B5581" s="3" t="s">
        <v>29354</v>
      </c>
      <c r="C5581" s="3" t="s">
        <v>40</v>
      </c>
      <c r="D5581" s="3" t="s">
        <v>32</v>
      </c>
      <c r="E5581" s="4" t="s">
        <v>22</v>
      </c>
      <c r="F5581" s="4" t="s">
        <v>29355</v>
      </c>
      <c r="G5581" s="4" t="s">
        <v>29356</v>
      </c>
      <c r="H5581" s="3" t="s">
        <v>26808</v>
      </c>
      <c r="I5581" s="3" t="s">
        <v>29357</v>
      </c>
      <c r="J5581" s="3" t="s">
        <v>2745</v>
      </c>
      <c r="K5581" s="3"/>
      <c r="L5581" s="3" t="s">
        <v>29358</v>
      </c>
      <c r="M5581" s="4"/>
      <c r="N5581" s="3" t="s">
        <v>37</v>
      </c>
      <c r="O5581" s="3" t="s">
        <v>46</v>
      </c>
      <c r="P5581" s="5">
        <v>11</v>
      </c>
      <c r="Q5581" s="5">
        <v>217</v>
      </c>
      <c r="R5581" s="5">
        <v>11</v>
      </c>
      <c r="S5581" s="5">
        <v>216</v>
      </c>
    </row>
    <row r="5582" spans="1:19" ht="42" x14ac:dyDescent="0.15">
      <c r="A5582" s="2">
        <f>HYPERLINK("https://open-school.uspishnemisto.com.ua/school/260516/", 260516)</f>
        <v>260516</v>
      </c>
      <c r="B5582" s="3" t="s">
        <v>29359</v>
      </c>
      <c r="C5582" s="3" t="s">
        <v>31</v>
      </c>
      <c r="D5582" s="3" t="s">
        <v>32</v>
      </c>
      <c r="E5582" s="4" t="s">
        <v>22</v>
      </c>
      <c r="F5582" s="4" t="s">
        <v>29355</v>
      </c>
      <c r="G5582" s="4" t="s">
        <v>29356</v>
      </c>
      <c r="H5582" s="3" t="s">
        <v>26808</v>
      </c>
      <c r="I5582" s="3" t="s">
        <v>29357</v>
      </c>
      <c r="J5582" s="3" t="s">
        <v>6191</v>
      </c>
      <c r="K5582" s="3" t="s">
        <v>29360</v>
      </c>
      <c r="L5582" s="3"/>
      <c r="M5582" s="4"/>
      <c r="N5582" s="3" t="s">
        <v>37</v>
      </c>
      <c r="O5582" s="3" t="s">
        <v>46</v>
      </c>
      <c r="P5582" s="5">
        <v>22</v>
      </c>
      <c r="Q5582" s="5">
        <v>477</v>
      </c>
      <c r="R5582" s="5">
        <v>22</v>
      </c>
      <c r="S5582" s="5">
        <v>492</v>
      </c>
    </row>
    <row r="5583" spans="1:19" ht="42" x14ac:dyDescent="0.15">
      <c r="A5583" s="2">
        <f>HYPERLINK("https://open-school.uspishnemisto.com.ua/school/260517/", 260517)</f>
        <v>260517</v>
      </c>
      <c r="B5583" s="3" t="s">
        <v>29361</v>
      </c>
      <c r="C5583" s="3" t="s">
        <v>244</v>
      </c>
      <c r="D5583" s="3" t="s">
        <v>32</v>
      </c>
      <c r="E5583" s="4" t="s">
        <v>22</v>
      </c>
      <c r="F5583" s="4" t="s">
        <v>29355</v>
      </c>
      <c r="G5583" s="4" t="s">
        <v>29356</v>
      </c>
      <c r="H5583" s="3" t="s">
        <v>26808</v>
      </c>
      <c r="I5583" s="3" t="s">
        <v>29357</v>
      </c>
      <c r="J5583" s="3" t="s">
        <v>29362</v>
      </c>
      <c r="K5583" s="3" t="s">
        <v>29363</v>
      </c>
      <c r="L5583" s="3" t="s">
        <v>29364</v>
      </c>
      <c r="M5583" s="4"/>
      <c r="N5583" s="3" t="s">
        <v>37</v>
      </c>
      <c r="O5583" s="3" t="s">
        <v>46</v>
      </c>
      <c r="P5583" s="5">
        <v>36</v>
      </c>
      <c r="Q5583" s="5">
        <v>664</v>
      </c>
      <c r="R5583" s="5">
        <v>35</v>
      </c>
      <c r="S5583" s="5">
        <v>647</v>
      </c>
    </row>
    <row r="5584" spans="1:19" ht="42" x14ac:dyDescent="0.15">
      <c r="A5584" s="2">
        <f>HYPERLINK("https://open-school.uspishnemisto.com.ua/school/260518/", 260518)</f>
        <v>260518</v>
      </c>
      <c r="B5584" s="3" t="s">
        <v>29365</v>
      </c>
      <c r="C5584" s="3" t="s">
        <v>181</v>
      </c>
      <c r="D5584" s="3" t="s">
        <v>175</v>
      </c>
      <c r="E5584" s="4" t="s">
        <v>22</v>
      </c>
      <c r="F5584" s="4" t="s">
        <v>29355</v>
      </c>
      <c r="G5584" s="4" t="s">
        <v>29356</v>
      </c>
      <c r="H5584" s="3" t="s">
        <v>26808</v>
      </c>
      <c r="I5584" s="3" t="s">
        <v>29357</v>
      </c>
      <c r="J5584" s="3" t="s">
        <v>29366</v>
      </c>
      <c r="K5584" s="3" t="s">
        <v>29367</v>
      </c>
      <c r="L5584" s="3"/>
      <c r="M5584" s="4" t="s">
        <v>29368</v>
      </c>
      <c r="N5584" s="3" t="s">
        <v>37</v>
      </c>
      <c r="O5584" s="3"/>
      <c r="P5584" s="5">
        <v>9</v>
      </c>
      <c r="Q5584" s="5">
        <v>94</v>
      </c>
      <c r="R5584" s="5">
        <v>9</v>
      </c>
      <c r="S5584" s="5">
        <v>93</v>
      </c>
    </row>
    <row r="5585" spans="1:19" ht="42" x14ac:dyDescent="0.15">
      <c r="A5585" s="2">
        <f>HYPERLINK("https://open-school.uspishnemisto.com.ua/school/260519/", 260519)</f>
        <v>260519</v>
      </c>
      <c r="B5585" s="3" t="s">
        <v>29369</v>
      </c>
      <c r="C5585" s="3" t="s">
        <v>31</v>
      </c>
      <c r="D5585" s="3" t="s">
        <v>32</v>
      </c>
      <c r="E5585" s="4" t="s">
        <v>22</v>
      </c>
      <c r="F5585" s="4" t="s">
        <v>29370</v>
      </c>
      <c r="G5585" s="4" t="s">
        <v>29371</v>
      </c>
      <c r="H5585" s="3" t="s">
        <v>26808</v>
      </c>
      <c r="I5585" s="3" t="s">
        <v>29372</v>
      </c>
      <c r="J5585" s="3" t="s">
        <v>29373</v>
      </c>
      <c r="K5585" s="3" t="s">
        <v>29374</v>
      </c>
      <c r="L5585" s="3"/>
      <c r="M5585" s="4"/>
      <c r="N5585" s="3" t="s">
        <v>37</v>
      </c>
      <c r="O5585" s="3" t="s">
        <v>46</v>
      </c>
      <c r="P5585" s="5">
        <v>11</v>
      </c>
      <c r="Q5585" s="5">
        <v>143</v>
      </c>
      <c r="R5585" s="5">
        <v>11</v>
      </c>
      <c r="S5585" s="5">
        <v>140</v>
      </c>
    </row>
    <row r="5586" spans="1:19" ht="42" x14ac:dyDescent="0.15">
      <c r="A5586" s="2">
        <f>HYPERLINK("https://open-school.uspishnemisto.com.ua/school/260520/", 260520)</f>
        <v>260520</v>
      </c>
      <c r="B5586" s="3" t="s">
        <v>29375</v>
      </c>
      <c r="C5586" s="3" t="s">
        <v>54</v>
      </c>
      <c r="D5586" s="3" t="s">
        <v>175</v>
      </c>
      <c r="E5586" s="4" t="s">
        <v>22</v>
      </c>
      <c r="F5586" s="4" t="s">
        <v>29376</v>
      </c>
      <c r="G5586" s="4" t="s">
        <v>29377</v>
      </c>
      <c r="H5586" s="3" t="s">
        <v>26808</v>
      </c>
      <c r="I5586" s="3" t="s">
        <v>29378</v>
      </c>
      <c r="J5586" s="3" t="s">
        <v>29379</v>
      </c>
      <c r="K5586" s="3" t="s">
        <v>29380</v>
      </c>
      <c r="L5586" s="3"/>
      <c r="M5586" s="4"/>
      <c r="N5586" s="3" t="s">
        <v>37</v>
      </c>
      <c r="O5586" s="3" t="s">
        <v>46</v>
      </c>
      <c r="P5586" s="5">
        <v>8</v>
      </c>
      <c r="Q5586" s="5">
        <v>73</v>
      </c>
      <c r="R5586" s="5">
        <v>7</v>
      </c>
      <c r="S5586" s="5">
        <v>71</v>
      </c>
    </row>
    <row r="5587" spans="1:19" ht="42" x14ac:dyDescent="0.15">
      <c r="A5587" s="2">
        <f>HYPERLINK("https://open-school.uspishnemisto.com.ua/school/260521/", 260521)</f>
        <v>260521</v>
      </c>
      <c r="B5587" s="3" t="s">
        <v>29381</v>
      </c>
      <c r="C5587" s="3" t="s">
        <v>31</v>
      </c>
      <c r="D5587" s="3" t="s">
        <v>32</v>
      </c>
      <c r="E5587" s="4" t="s">
        <v>22</v>
      </c>
      <c r="F5587" s="4" t="s">
        <v>29382</v>
      </c>
      <c r="G5587" s="4" t="s">
        <v>29383</v>
      </c>
      <c r="H5587" s="3" t="s">
        <v>26808</v>
      </c>
      <c r="I5587" s="3" t="s">
        <v>29384</v>
      </c>
      <c r="J5587" s="3" t="s">
        <v>29385</v>
      </c>
      <c r="K5587" s="3" t="s">
        <v>29386</v>
      </c>
      <c r="L5587" s="3"/>
      <c r="M5587" s="4"/>
      <c r="N5587" s="3" t="s">
        <v>37</v>
      </c>
      <c r="O5587" s="3" t="s">
        <v>46</v>
      </c>
      <c r="P5587" s="5">
        <v>6</v>
      </c>
      <c r="Q5587" s="5">
        <v>67</v>
      </c>
      <c r="R5587" s="5">
        <v>7</v>
      </c>
      <c r="S5587" s="5">
        <v>69</v>
      </c>
    </row>
    <row r="5588" spans="1:19" ht="42" x14ac:dyDescent="0.15">
      <c r="A5588" s="2">
        <f>HYPERLINK("https://open-school.uspishnemisto.com.ua/school/260522/", 260522)</f>
        <v>260522</v>
      </c>
      <c r="B5588" s="3" t="s">
        <v>29387</v>
      </c>
      <c r="C5588" s="3" t="s">
        <v>31</v>
      </c>
      <c r="D5588" s="3" t="s">
        <v>60</v>
      </c>
      <c r="E5588" s="4" t="s">
        <v>22</v>
      </c>
      <c r="F5588" s="4" t="s">
        <v>29388</v>
      </c>
      <c r="G5588" s="4" t="s">
        <v>29389</v>
      </c>
      <c r="H5588" s="3" t="s">
        <v>26808</v>
      </c>
      <c r="I5588" s="3" t="s">
        <v>29390</v>
      </c>
      <c r="J5588" s="3" t="s">
        <v>29391</v>
      </c>
      <c r="K5588" s="3" t="s">
        <v>29392</v>
      </c>
      <c r="L5588" s="3"/>
      <c r="M5588" s="4"/>
      <c r="N5588" s="3"/>
      <c r="O5588" s="3"/>
      <c r="P5588" s="5">
        <v>0</v>
      </c>
      <c r="Q5588" s="5">
        <v>0</v>
      </c>
      <c r="R5588" s="5"/>
      <c r="S5588" s="5"/>
    </row>
    <row r="5589" spans="1:19" ht="42" x14ac:dyDescent="0.15">
      <c r="A5589" s="2">
        <f>HYPERLINK("https://open-school.uspishnemisto.com.ua/school/260523/", 260523)</f>
        <v>260523</v>
      </c>
      <c r="B5589" s="3" t="s">
        <v>29393</v>
      </c>
      <c r="C5589" s="3" t="s">
        <v>31</v>
      </c>
      <c r="D5589" s="3" t="s">
        <v>60</v>
      </c>
      <c r="E5589" s="4" t="s">
        <v>22</v>
      </c>
      <c r="F5589" s="4" t="s">
        <v>29394</v>
      </c>
      <c r="G5589" s="4" t="s">
        <v>29389</v>
      </c>
      <c r="H5589" s="3" t="s">
        <v>26808</v>
      </c>
      <c r="I5589" s="3" t="s">
        <v>29390</v>
      </c>
      <c r="J5589" s="3" t="s">
        <v>2384</v>
      </c>
      <c r="K5589" s="3" t="s">
        <v>29395</v>
      </c>
      <c r="L5589" s="3"/>
      <c r="M5589" s="4"/>
      <c r="N5589" s="3" t="s">
        <v>37</v>
      </c>
      <c r="O5589" s="3" t="s">
        <v>52</v>
      </c>
      <c r="P5589" s="5">
        <v>0</v>
      </c>
      <c r="Q5589" s="5">
        <v>12</v>
      </c>
      <c r="R5589" s="5">
        <v>0</v>
      </c>
      <c r="S5589" s="5">
        <v>11</v>
      </c>
    </row>
    <row r="5590" spans="1:19" ht="42" x14ac:dyDescent="0.15">
      <c r="A5590" s="2">
        <f>HYPERLINK("https://open-school.uspishnemisto.com.ua/school/260524/", 260524)</f>
        <v>260524</v>
      </c>
      <c r="B5590" s="3" t="s">
        <v>29396</v>
      </c>
      <c r="C5590" s="3" t="s">
        <v>31</v>
      </c>
      <c r="D5590" s="3" t="s">
        <v>32</v>
      </c>
      <c r="E5590" s="4" t="s">
        <v>22</v>
      </c>
      <c r="F5590" s="4" t="s">
        <v>29397</v>
      </c>
      <c r="G5590" s="4" t="s">
        <v>29398</v>
      </c>
      <c r="H5590" s="3" t="s">
        <v>26808</v>
      </c>
      <c r="I5590" s="3" t="s">
        <v>29399</v>
      </c>
      <c r="J5590" s="3" t="s">
        <v>3146</v>
      </c>
      <c r="K5590" s="3" t="s">
        <v>29400</v>
      </c>
      <c r="L5590" s="3"/>
      <c r="M5590" s="4"/>
      <c r="N5590" s="3" t="s">
        <v>37</v>
      </c>
      <c r="O5590" s="3" t="s">
        <v>46</v>
      </c>
      <c r="P5590" s="5">
        <v>12</v>
      </c>
      <c r="Q5590" s="5">
        <v>187</v>
      </c>
      <c r="R5590" s="5">
        <v>11</v>
      </c>
      <c r="S5590" s="5">
        <v>149</v>
      </c>
    </row>
    <row r="5591" spans="1:19" ht="42" x14ac:dyDescent="0.15">
      <c r="A5591" s="2">
        <f>HYPERLINK("https://open-school.uspishnemisto.com.ua/school/260525/", 260525)</f>
        <v>260525</v>
      </c>
      <c r="B5591" s="3" t="s">
        <v>29401</v>
      </c>
      <c r="C5591" s="3" t="s">
        <v>31</v>
      </c>
      <c r="D5591" s="3" t="s">
        <v>60</v>
      </c>
      <c r="E5591" s="4" t="s">
        <v>22</v>
      </c>
      <c r="F5591" s="4" t="s">
        <v>29397</v>
      </c>
      <c r="G5591" s="4" t="s">
        <v>29402</v>
      </c>
      <c r="H5591" s="3" t="s">
        <v>26808</v>
      </c>
      <c r="I5591" s="3" t="s">
        <v>29403</v>
      </c>
      <c r="J5591" s="3" t="s">
        <v>2745</v>
      </c>
      <c r="K5591" s="3" t="s">
        <v>29404</v>
      </c>
      <c r="L5591" s="3"/>
      <c r="M5591" s="4"/>
      <c r="N5591" s="3" t="s">
        <v>37</v>
      </c>
      <c r="O5591" s="3" t="s">
        <v>52</v>
      </c>
      <c r="P5591" s="5">
        <v>0</v>
      </c>
      <c r="Q5591" s="5">
        <v>0</v>
      </c>
      <c r="R5591" s="5">
        <v>0</v>
      </c>
      <c r="S5591" s="5">
        <v>7</v>
      </c>
    </row>
    <row r="5592" spans="1:19" ht="42" x14ac:dyDescent="0.15">
      <c r="A5592" s="2">
        <f>HYPERLINK("https://open-school.uspishnemisto.com.ua/school/260526/", 260526)</f>
        <v>260526</v>
      </c>
      <c r="B5592" s="3" t="s">
        <v>29405</v>
      </c>
      <c r="C5592" s="3" t="s">
        <v>31</v>
      </c>
      <c r="D5592" s="3" t="s">
        <v>60</v>
      </c>
      <c r="E5592" s="4" t="s">
        <v>22</v>
      </c>
      <c r="F5592" s="4" t="s">
        <v>29406</v>
      </c>
      <c r="G5592" s="4" t="s">
        <v>29407</v>
      </c>
      <c r="H5592" s="3" t="s">
        <v>26808</v>
      </c>
      <c r="I5592" s="3" t="s">
        <v>29408</v>
      </c>
      <c r="J5592" s="3" t="s">
        <v>2417</v>
      </c>
      <c r="K5592" s="3" t="s">
        <v>29409</v>
      </c>
      <c r="L5592" s="3"/>
      <c r="M5592" s="4"/>
      <c r="N5592" s="3" t="s">
        <v>37</v>
      </c>
      <c r="O5592" s="3" t="s">
        <v>52</v>
      </c>
      <c r="P5592" s="5">
        <v>0</v>
      </c>
      <c r="Q5592" s="5">
        <v>0</v>
      </c>
      <c r="R5592" s="5">
        <v>0</v>
      </c>
      <c r="S5592" s="5">
        <v>3</v>
      </c>
    </row>
    <row r="5593" spans="1:19" ht="42" x14ac:dyDescent="0.15">
      <c r="A5593" s="2">
        <f>HYPERLINK("https://open-school.uspishnemisto.com.ua/school/260527/", 260527)</f>
        <v>260527</v>
      </c>
      <c r="B5593" s="3" t="s">
        <v>29410</v>
      </c>
      <c r="C5593" s="3" t="s">
        <v>31</v>
      </c>
      <c r="D5593" s="3" t="s">
        <v>60</v>
      </c>
      <c r="E5593" s="4" t="s">
        <v>22</v>
      </c>
      <c r="F5593" s="4" t="s">
        <v>29397</v>
      </c>
      <c r="G5593" s="4" t="s">
        <v>29411</v>
      </c>
      <c r="H5593" s="3" t="s">
        <v>26808</v>
      </c>
      <c r="I5593" s="3" t="s">
        <v>2359</v>
      </c>
      <c r="J5593" s="3" t="s">
        <v>2745</v>
      </c>
      <c r="K5593" s="3" t="s">
        <v>29412</v>
      </c>
      <c r="L5593" s="3"/>
      <c r="M5593" s="4"/>
      <c r="N5593" s="3" t="s">
        <v>37</v>
      </c>
      <c r="O5593" s="3" t="s">
        <v>52</v>
      </c>
      <c r="P5593" s="5">
        <v>0</v>
      </c>
      <c r="Q5593" s="5">
        <v>0</v>
      </c>
      <c r="R5593" s="5">
        <v>0</v>
      </c>
      <c r="S5593" s="5">
        <v>9</v>
      </c>
    </row>
    <row r="5594" spans="1:19" ht="42" x14ac:dyDescent="0.15">
      <c r="A5594" s="2">
        <f>HYPERLINK("https://open-school.uspishnemisto.com.ua/school/260528/", 260528)</f>
        <v>260528</v>
      </c>
      <c r="B5594" s="3" t="s">
        <v>29413</v>
      </c>
      <c r="C5594" s="3" t="s">
        <v>31</v>
      </c>
      <c r="D5594" s="3" t="s">
        <v>175</v>
      </c>
      <c r="E5594" s="4" t="s">
        <v>22</v>
      </c>
      <c r="F5594" s="4" t="s">
        <v>29414</v>
      </c>
      <c r="G5594" s="4" t="s">
        <v>29415</v>
      </c>
      <c r="H5594" s="3" t="s">
        <v>26808</v>
      </c>
      <c r="I5594" s="3" t="s">
        <v>3531</v>
      </c>
      <c r="J5594" s="3" t="s">
        <v>29416</v>
      </c>
      <c r="K5594" s="3" t="s">
        <v>29417</v>
      </c>
      <c r="L5594" s="3"/>
      <c r="M5594" s="4"/>
      <c r="N5594" s="3" t="s">
        <v>37</v>
      </c>
      <c r="O5594" s="3" t="s">
        <v>46</v>
      </c>
      <c r="P5594" s="5">
        <v>9</v>
      </c>
      <c r="Q5594" s="5">
        <v>85</v>
      </c>
      <c r="R5594" s="5">
        <v>9</v>
      </c>
      <c r="S5594" s="5">
        <v>83</v>
      </c>
    </row>
    <row r="5595" spans="1:19" ht="42" x14ac:dyDescent="0.15">
      <c r="A5595" s="2">
        <f>HYPERLINK("https://open-school.uspishnemisto.com.ua/school/260529/", 260529)</f>
        <v>260529</v>
      </c>
      <c r="B5595" s="3" t="s">
        <v>29418</v>
      </c>
      <c r="C5595" s="3" t="s">
        <v>31</v>
      </c>
      <c r="D5595" s="3" t="s">
        <v>175</v>
      </c>
      <c r="E5595" s="4" t="s">
        <v>22</v>
      </c>
      <c r="F5595" s="4" t="s">
        <v>29419</v>
      </c>
      <c r="G5595" s="4" t="s">
        <v>29420</v>
      </c>
      <c r="H5595" s="3" t="s">
        <v>26808</v>
      </c>
      <c r="I5595" s="3" t="s">
        <v>29421</v>
      </c>
      <c r="J5595" s="3" t="s">
        <v>29422</v>
      </c>
      <c r="K5595" s="3" t="s">
        <v>29423</v>
      </c>
      <c r="L5595" s="3"/>
      <c r="M5595" s="4"/>
      <c r="N5595" s="3" t="s">
        <v>37</v>
      </c>
      <c r="O5595" s="3" t="s">
        <v>2740</v>
      </c>
      <c r="P5595" s="5">
        <v>0</v>
      </c>
      <c r="Q5595" s="5">
        <v>0</v>
      </c>
      <c r="R5595" s="5">
        <v>0</v>
      </c>
      <c r="S5595" s="5">
        <v>25</v>
      </c>
    </row>
    <row r="5596" spans="1:19" ht="42" x14ac:dyDescent="0.15">
      <c r="A5596" s="2">
        <f>HYPERLINK("https://open-school.uspishnemisto.com.ua/school/260530/", 260530)</f>
        <v>260530</v>
      </c>
      <c r="B5596" s="3" t="s">
        <v>29424</v>
      </c>
      <c r="C5596" s="3" t="s">
        <v>31</v>
      </c>
      <c r="D5596" s="3" t="s">
        <v>32</v>
      </c>
      <c r="E5596" s="4" t="s">
        <v>22</v>
      </c>
      <c r="F5596" s="4" t="s">
        <v>29425</v>
      </c>
      <c r="G5596" s="4" t="s">
        <v>29426</v>
      </c>
      <c r="H5596" s="3" t="s">
        <v>26808</v>
      </c>
      <c r="I5596" s="3" t="s">
        <v>6100</v>
      </c>
      <c r="J5596" s="3" t="s">
        <v>29427</v>
      </c>
      <c r="K5596" s="3" t="s">
        <v>29428</v>
      </c>
      <c r="L5596" s="3"/>
      <c r="M5596" s="4"/>
      <c r="N5596" s="3" t="s">
        <v>37</v>
      </c>
      <c r="O5596" s="3" t="s">
        <v>46</v>
      </c>
      <c r="P5596" s="5">
        <v>4</v>
      </c>
      <c r="Q5596" s="5">
        <v>33</v>
      </c>
      <c r="R5596" s="5">
        <v>5</v>
      </c>
      <c r="S5596" s="5">
        <v>34</v>
      </c>
    </row>
    <row r="5597" spans="1:19" ht="42" x14ac:dyDescent="0.15">
      <c r="A5597" s="2">
        <f>HYPERLINK("https://open-school.uspishnemisto.com.ua/school/260531/", 260531)</f>
        <v>260531</v>
      </c>
      <c r="B5597" s="3" t="s">
        <v>29429</v>
      </c>
      <c r="C5597" s="3" t="s">
        <v>54</v>
      </c>
      <c r="D5597" s="3" t="s">
        <v>175</v>
      </c>
      <c r="E5597" s="4" t="s">
        <v>22</v>
      </c>
      <c r="F5597" s="4" t="s">
        <v>29430</v>
      </c>
      <c r="G5597" s="4" t="s">
        <v>29431</v>
      </c>
      <c r="H5597" s="3" t="s">
        <v>26808</v>
      </c>
      <c r="I5597" s="3" t="s">
        <v>28528</v>
      </c>
      <c r="J5597" s="3" t="s">
        <v>29432</v>
      </c>
      <c r="K5597" s="3" t="s">
        <v>29433</v>
      </c>
      <c r="L5597" s="3" t="s">
        <v>29434</v>
      </c>
      <c r="M5597" s="4"/>
      <c r="N5597" s="3" t="s">
        <v>37</v>
      </c>
      <c r="O5597" s="3" t="s">
        <v>46</v>
      </c>
      <c r="P5597" s="5">
        <v>8</v>
      </c>
      <c r="Q5597" s="5">
        <v>61</v>
      </c>
      <c r="R5597" s="5">
        <v>8</v>
      </c>
      <c r="S5597" s="5">
        <v>61</v>
      </c>
    </row>
    <row r="5598" spans="1:19" ht="42" x14ac:dyDescent="0.15">
      <c r="A5598" s="2">
        <f>HYPERLINK("https://open-school.uspishnemisto.com.ua/school/260532/", 260532)</f>
        <v>260532</v>
      </c>
      <c r="B5598" s="3" t="s">
        <v>29435</v>
      </c>
      <c r="C5598" s="3" t="s">
        <v>31</v>
      </c>
      <c r="D5598" s="3" t="s">
        <v>175</v>
      </c>
      <c r="E5598" s="4" t="s">
        <v>22</v>
      </c>
      <c r="F5598" s="4" t="s">
        <v>29436</v>
      </c>
      <c r="G5598" s="4" t="s">
        <v>29437</v>
      </c>
      <c r="H5598" s="3" t="s">
        <v>26808</v>
      </c>
      <c r="I5598" s="3" t="s">
        <v>29438</v>
      </c>
      <c r="J5598" s="3" t="s">
        <v>29439</v>
      </c>
      <c r="K5598" s="3" t="s">
        <v>29440</v>
      </c>
      <c r="L5598" s="3"/>
      <c r="M5598" s="4"/>
      <c r="N5598" s="3" t="s">
        <v>37</v>
      </c>
      <c r="O5598" s="3" t="s">
        <v>46</v>
      </c>
      <c r="P5598" s="5">
        <v>2</v>
      </c>
      <c r="Q5598" s="5">
        <v>32</v>
      </c>
      <c r="R5598" s="5">
        <v>2</v>
      </c>
      <c r="S5598" s="5">
        <v>33</v>
      </c>
    </row>
    <row r="5599" spans="1:19" ht="42" x14ac:dyDescent="0.15">
      <c r="A5599" s="2">
        <f>HYPERLINK("https://open-school.uspishnemisto.com.ua/school/260533/", 260533)</f>
        <v>260533</v>
      </c>
      <c r="B5599" s="3" t="s">
        <v>29441</v>
      </c>
      <c r="C5599" s="3" t="s">
        <v>31</v>
      </c>
      <c r="D5599" s="3" t="s">
        <v>175</v>
      </c>
      <c r="E5599" s="4" t="s">
        <v>22</v>
      </c>
      <c r="F5599" s="4" t="s">
        <v>29442</v>
      </c>
      <c r="G5599" s="4" t="s">
        <v>29443</v>
      </c>
      <c r="H5599" s="3" t="s">
        <v>26808</v>
      </c>
      <c r="I5599" s="3" t="s">
        <v>29444</v>
      </c>
      <c r="J5599" s="3" t="s">
        <v>29445</v>
      </c>
      <c r="K5599" s="3" t="s">
        <v>29446</v>
      </c>
      <c r="L5599" s="3"/>
      <c r="M5599" s="4"/>
      <c r="N5599" s="3"/>
      <c r="O5599" s="3"/>
      <c r="P5599" s="5">
        <v>0</v>
      </c>
      <c r="Q5599" s="5">
        <v>0</v>
      </c>
      <c r="R5599" s="5"/>
      <c r="S5599" s="5"/>
    </row>
    <row r="5600" spans="1:19" ht="42" x14ac:dyDescent="0.15">
      <c r="A5600" s="2">
        <f>HYPERLINK("https://open-school.uspishnemisto.com.ua/school/260535/", 260535)</f>
        <v>260535</v>
      </c>
      <c r="B5600" s="3" t="s">
        <v>29447</v>
      </c>
      <c r="C5600" s="3" t="s">
        <v>31</v>
      </c>
      <c r="D5600" s="3" t="s">
        <v>175</v>
      </c>
      <c r="E5600" s="4" t="s">
        <v>22</v>
      </c>
      <c r="F5600" s="4" t="s">
        <v>29448</v>
      </c>
      <c r="G5600" s="4" t="s">
        <v>29449</v>
      </c>
      <c r="H5600" s="3" t="s">
        <v>26808</v>
      </c>
      <c r="I5600" s="3" t="s">
        <v>29450</v>
      </c>
      <c r="J5600" s="3" t="s">
        <v>3370</v>
      </c>
      <c r="K5600" s="3" t="s">
        <v>29451</v>
      </c>
      <c r="L5600" s="3"/>
      <c r="M5600" s="4"/>
      <c r="N5600" s="3" t="s">
        <v>37</v>
      </c>
      <c r="O5600" s="3" t="s">
        <v>46</v>
      </c>
      <c r="P5600" s="5">
        <v>6</v>
      </c>
      <c r="Q5600" s="5">
        <v>38</v>
      </c>
      <c r="R5600" s="5">
        <v>5</v>
      </c>
      <c r="S5600" s="5">
        <v>36</v>
      </c>
    </row>
    <row r="5601" spans="1:19" ht="42" x14ac:dyDescent="0.15">
      <c r="A5601" s="2">
        <f>HYPERLINK("https://open-school.uspishnemisto.com.ua/school/260536/", 260536)</f>
        <v>260536</v>
      </c>
      <c r="B5601" s="3" t="s">
        <v>29452</v>
      </c>
      <c r="C5601" s="3" t="s">
        <v>31</v>
      </c>
      <c r="D5601" s="3" t="s">
        <v>32</v>
      </c>
      <c r="E5601" s="4" t="s">
        <v>22</v>
      </c>
      <c r="F5601" s="4" t="s">
        <v>29453</v>
      </c>
      <c r="G5601" s="4" t="s">
        <v>29454</v>
      </c>
      <c r="H5601" s="3" t="s">
        <v>26808</v>
      </c>
      <c r="I5601" s="3" t="s">
        <v>29455</v>
      </c>
      <c r="J5601" s="3" t="s">
        <v>29456</v>
      </c>
      <c r="K5601" s="3" t="s">
        <v>29457</v>
      </c>
      <c r="L5601" s="3"/>
      <c r="M5601" s="4"/>
      <c r="N5601" s="3" t="s">
        <v>37</v>
      </c>
      <c r="O5601" s="3" t="s">
        <v>46</v>
      </c>
      <c r="P5601" s="5">
        <v>4</v>
      </c>
      <c r="Q5601" s="5">
        <v>42</v>
      </c>
      <c r="R5601" s="5">
        <v>4</v>
      </c>
      <c r="S5601" s="5">
        <v>39</v>
      </c>
    </row>
    <row r="5602" spans="1:19" ht="42" x14ac:dyDescent="0.15">
      <c r="A5602" s="2">
        <f>HYPERLINK("https://open-school.uspishnemisto.com.ua/school/260537/", 260537)</f>
        <v>260537</v>
      </c>
      <c r="B5602" s="3" t="s">
        <v>29458</v>
      </c>
      <c r="C5602" s="3" t="s">
        <v>31</v>
      </c>
      <c r="D5602" s="3" t="s">
        <v>32</v>
      </c>
      <c r="E5602" s="4" t="s">
        <v>22</v>
      </c>
      <c r="F5602" s="4" t="s">
        <v>29459</v>
      </c>
      <c r="G5602" s="4" t="s">
        <v>29460</v>
      </c>
      <c r="H5602" s="3" t="s">
        <v>26808</v>
      </c>
      <c r="I5602" s="3" t="s">
        <v>29461</v>
      </c>
      <c r="J5602" s="3" t="s">
        <v>2555</v>
      </c>
      <c r="K5602" s="3" t="s">
        <v>29462</v>
      </c>
      <c r="L5602" s="3"/>
      <c r="M5602" s="4"/>
      <c r="N5602" s="3" t="s">
        <v>37</v>
      </c>
      <c r="O5602" s="3" t="s">
        <v>46</v>
      </c>
      <c r="P5602" s="5">
        <v>11</v>
      </c>
      <c r="Q5602" s="5">
        <v>83</v>
      </c>
      <c r="R5602" s="5">
        <v>11</v>
      </c>
      <c r="S5602" s="5">
        <v>82</v>
      </c>
    </row>
    <row r="5603" spans="1:19" ht="42" x14ac:dyDescent="0.15">
      <c r="A5603" s="2">
        <f>HYPERLINK("https://open-school.uspishnemisto.com.ua/school/260538/", 260538)</f>
        <v>260538</v>
      </c>
      <c r="B5603" s="3" t="s">
        <v>29463</v>
      </c>
      <c r="C5603" s="3" t="s">
        <v>31</v>
      </c>
      <c r="D5603" s="3" t="s">
        <v>175</v>
      </c>
      <c r="E5603" s="4" t="s">
        <v>22</v>
      </c>
      <c r="F5603" s="4" t="s">
        <v>29464</v>
      </c>
      <c r="G5603" s="4" t="s">
        <v>29465</v>
      </c>
      <c r="H5603" s="3" t="s">
        <v>26808</v>
      </c>
      <c r="I5603" s="3" t="s">
        <v>29466</v>
      </c>
      <c r="J5603" s="3" t="s">
        <v>29467</v>
      </c>
      <c r="K5603" s="3" t="s">
        <v>29468</v>
      </c>
      <c r="L5603" s="3"/>
      <c r="M5603" s="4"/>
      <c r="N5603" s="3" t="s">
        <v>37</v>
      </c>
      <c r="O5603" s="3" t="s">
        <v>46</v>
      </c>
      <c r="P5603" s="5">
        <v>9</v>
      </c>
      <c r="Q5603" s="5">
        <v>70</v>
      </c>
      <c r="R5603" s="5">
        <v>9</v>
      </c>
      <c r="S5603" s="5">
        <v>69</v>
      </c>
    </row>
    <row r="5604" spans="1:19" ht="42" x14ac:dyDescent="0.15">
      <c r="A5604" s="2">
        <f>HYPERLINK("https://open-school.uspishnemisto.com.ua/school/260539/", 260539)</f>
        <v>260539</v>
      </c>
      <c r="B5604" s="3" t="s">
        <v>29469</v>
      </c>
      <c r="C5604" s="3" t="s">
        <v>31</v>
      </c>
      <c r="D5604" s="3" t="s">
        <v>175</v>
      </c>
      <c r="E5604" s="4" t="s">
        <v>22</v>
      </c>
      <c r="F5604" s="4" t="s">
        <v>29470</v>
      </c>
      <c r="G5604" s="4" t="s">
        <v>29471</v>
      </c>
      <c r="H5604" s="3" t="s">
        <v>26808</v>
      </c>
      <c r="I5604" s="3" t="s">
        <v>29472</v>
      </c>
      <c r="J5604" s="3" t="s">
        <v>5492</v>
      </c>
      <c r="K5604" s="3" t="s">
        <v>29473</v>
      </c>
      <c r="L5604" s="3"/>
      <c r="M5604" s="4"/>
      <c r="N5604" s="3" t="s">
        <v>37</v>
      </c>
      <c r="O5604" s="3" t="s">
        <v>46</v>
      </c>
      <c r="P5604" s="5">
        <v>1</v>
      </c>
      <c r="Q5604" s="5">
        <v>26</v>
      </c>
      <c r="R5604" s="5">
        <v>1</v>
      </c>
      <c r="S5604" s="5">
        <v>25</v>
      </c>
    </row>
    <row r="5605" spans="1:19" ht="42" x14ac:dyDescent="0.15">
      <c r="A5605" s="2">
        <f>HYPERLINK("https://open-school.uspishnemisto.com.ua/school/260540/", 260540)</f>
        <v>260540</v>
      </c>
      <c r="B5605" s="3" t="s">
        <v>29474</v>
      </c>
      <c r="C5605" s="3" t="s">
        <v>54</v>
      </c>
      <c r="D5605" s="3" t="s">
        <v>175</v>
      </c>
      <c r="E5605" s="4" t="s">
        <v>22</v>
      </c>
      <c r="F5605" s="4" t="s">
        <v>29475</v>
      </c>
      <c r="G5605" s="4" t="s">
        <v>29476</v>
      </c>
      <c r="H5605" s="3" t="s">
        <v>26808</v>
      </c>
      <c r="I5605" s="3" t="s">
        <v>29477</v>
      </c>
      <c r="J5605" s="3" t="s">
        <v>29478</v>
      </c>
      <c r="K5605" s="3" t="s">
        <v>29479</v>
      </c>
      <c r="L5605" s="3"/>
      <c r="M5605" s="4"/>
      <c r="N5605" s="3" t="s">
        <v>37</v>
      </c>
      <c r="O5605" s="3" t="s">
        <v>46</v>
      </c>
      <c r="P5605" s="5">
        <v>9</v>
      </c>
      <c r="Q5605" s="5">
        <v>78</v>
      </c>
      <c r="R5605" s="5">
        <v>9</v>
      </c>
      <c r="S5605" s="5">
        <v>80</v>
      </c>
    </row>
    <row r="5606" spans="1:19" ht="42" x14ac:dyDescent="0.15">
      <c r="A5606" s="2">
        <f>HYPERLINK("https://open-school.uspishnemisto.com.ua/school/260541/", 260541)</f>
        <v>260541</v>
      </c>
      <c r="B5606" s="3" t="s">
        <v>29480</v>
      </c>
      <c r="C5606" s="3" t="s">
        <v>54</v>
      </c>
      <c r="D5606" s="3" t="s">
        <v>175</v>
      </c>
      <c r="E5606" s="4" t="s">
        <v>22</v>
      </c>
      <c r="F5606" s="4" t="s">
        <v>29481</v>
      </c>
      <c r="G5606" s="4" t="s">
        <v>29482</v>
      </c>
      <c r="H5606" s="3" t="s">
        <v>26808</v>
      </c>
      <c r="I5606" s="3" t="s">
        <v>29483</v>
      </c>
      <c r="J5606" s="3" t="s">
        <v>29484</v>
      </c>
      <c r="K5606" s="3" t="s">
        <v>29485</v>
      </c>
      <c r="L5606" s="3"/>
      <c r="M5606" s="4"/>
      <c r="N5606" s="3" t="s">
        <v>37</v>
      </c>
      <c r="O5606" s="3" t="s">
        <v>46</v>
      </c>
      <c r="P5606" s="5">
        <v>7</v>
      </c>
      <c r="Q5606" s="5">
        <v>61</v>
      </c>
      <c r="R5606" s="5">
        <v>7</v>
      </c>
      <c r="S5606" s="5">
        <v>62</v>
      </c>
    </row>
    <row r="5607" spans="1:19" ht="42" x14ac:dyDescent="0.15">
      <c r="A5607" s="2">
        <f>HYPERLINK("https://open-school.uspishnemisto.com.ua/school/260542/", 260542)</f>
        <v>260542</v>
      </c>
      <c r="B5607" s="3" t="s">
        <v>29486</v>
      </c>
      <c r="C5607" s="3" t="s">
        <v>31</v>
      </c>
      <c r="D5607" s="3" t="s">
        <v>175</v>
      </c>
      <c r="E5607" s="4" t="s">
        <v>22</v>
      </c>
      <c r="F5607" s="4" t="s">
        <v>29487</v>
      </c>
      <c r="G5607" s="4" t="s">
        <v>29488</v>
      </c>
      <c r="H5607" s="3" t="s">
        <v>26808</v>
      </c>
      <c r="I5607" s="3" t="s">
        <v>29489</v>
      </c>
      <c r="J5607" s="3" t="s">
        <v>21806</v>
      </c>
      <c r="K5607" s="3" t="s">
        <v>29490</v>
      </c>
      <c r="L5607" s="3"/>
      <c r="M5607" s="4"/>
      <c r="N5607" s="3"/>
      <c r="O5607" s="3"/>
      <c r="P5607" s="5">
        <v>0</v>
      </c>
      <c r="Q5607" s="5">
        <v>0</v>
      </c>
      <c r="R5607" s="5"/>
      <c r="S5607" s="5"/>
    </row>
    <row r="5608" spans="1:19" ht="42" x14ac:dyDescent="0.15">
      <c r="A5608" s="2">
        <f>HYPERLINK("https://open-school.uspishnemisto.com.ua/school/260543/", 260543)</f>
        <v>260543</v>
      </c>
      <c r="B5608" s="3" t="s">
        <v>29491</v>
      </c>
      <c r="C5608" s="3" t="s">
        <v>31</v>
      </c>
      <c r="D5608" s="3" t="s">
        <v>32</v>
      </c>
      <c r="E5608" s="4" t="s">
        <v>22</v>
      </c>
      <c r="F5608" s="4" t="s">
        <v>29492</v>
      </c>
      <c r="G5608" s="4" t="s">
        <v>29493</v>
      </c>
      <c r="H5608" s="3" t="s">
        <v>26808</v>
      </c>
      <c r="I5608" s="3" t="s">
        <v>29494</v>
      </c>
      <c r="J5608" s="3" t="s">
        <v>29495</v>
      </c>
      <c r="K5608" s="3" t="s">
        <v>29496</v>
      </c>
      <c r="L5608" s="3"/>
      <c r="M5608" s="4"/>
      <c r="N5608" s="3" t="s">
        <v>37</v>
      </c>
      <c r="O5608" s="3" t="s">
        <v>46</v>
      </c>
      <c r="P5608" s="5">
        <v>9</v>
      </c>
      <c r="Q5608" s="5">
        <v>98</v>
      </c>
      <c r="R5608" s="5">
        <v>9</v>
      </c>
      <c r="S5608" s="5">
        <v>94</v>
      </c>
    </row>
    <row r="5609" spans="1:19" ht="42" x14ac:dyDescent="0.15">
      <c r="A5609" s="2">
        <f>HYPERLINK("https://open-school.uspishnemisto.com.ua/school/260544/", 260544)</f>
        <v>260544</v>
      </c>
      <c r="B5609" s="3" t="s">
        <v>29497</v>
      </c>
      <c r="C5609" s="3" t="s">
        <v>31</v>
      </c>
      <c r="D5609" s="3" t="s">
        <v>175</v>
      </c>
      <c r="E5609" s="4" t="s">
        <v>22</v>
      </c>
      <c r="F5609" s="4" t="s">
        <v>29498</v>
      </c>
      <c r="G5609" s="4" t="s">
        <v>29499</v>
      </c>
      <c r="H5609" s="3" t="s">
        <v>26808</v>
      </c>
      <c r="I5609" s="3" t="s">
        <v>29500</v>
      </c>
      <c r="J5609" s="3" t="s">
        <v>5606</v>
      </c>
      <c r="K5609" s="3" t="s">
        <v>29501</v>
      </c>
      <c r="L5609" s="3"/>
      <c r="M5609" s="4"/>
      <c r="N5609" s="3" t="s">
        <v>37</v>
      </c>
      <c r="O5609" s="3" t="s">
        <v>46</v>
      </c>
      <c r="P5609" s="5">
        <v>1</v>
      </c>
      <c r="Q5609" s="5">
        <v>26</v>
      </c>
      <c r="R5609" s="5">
        <v>2</v>
      </c>
      <c r="S5609" s="5">
        <v>29</v>
      </c>
    </row>
    <row r="5610" spans="1:19" ht="42" x14ac:dyDescent="0.15">
      <c r="A5610" s="2">
        <f>HYPERLINK("https://open-school.uspishnemisto.com.ua/school/260545/", 260545)</f>
        <v>260545</v>
      </c>
      <c r="B5610" s="3" t="s">
        <v>29502</v>
      </c>
      <c r="C5610" s="3" t="s">
        <v>54</v>
      </c>
      <c r="D5610" s="3" t="s">
        <v>175</v>
      </c>
      <c r="E5610" s="4" t="s">
        <v>22</v>
      </c>
      <c r="F5610" s="4" t="s">
        <v>29503</v>
      </c>
      <c r="G5610" s="4" t="s">
        <v>29504</v>
      </c>
      <c r="H5610" s="3" t="s">
        <v>26808</v>
      </c>
      <c r="I5610" s="3" t="s">
        <v>29505</v>
      </c>
      <c r="J5610" s="3" t="s">
        <v>29506</v>
      </c>
      <c r="K5610" s="3" t="s">
        <v>29507</v>
      </c>
      <c r="L5610" s="3" t="s">
        <v>29508</v>
      </c>
      <c r="M5610" s="4"/>
      <c r="N5610" s="3" t="s">
        <v>37</v>
      </c>
      <c r="O5610" s="3" t="s">
        <v>46</v>
      </c>
      <c r="P5610" s="5">
        <v>9</v>
      </c>
      <c r="Q5610" s="5">
        <v>91</v>
      </c>
      <c r="R5610" s="5">
        <v>9</v>
      </c>
      <c r="S5610" s="5">
        <v>93</v>
      </c>
    </row>
    <row r="5611" spans="1:19" ht="42" x14ac:dyDescent="0.15">
      <c r="A5611" s="2">
        <f>HYPERLINK("https://open-school.uspishnemisto.com.ua/school/260546/", 260546)</f>
        <v>260546</v>
      </c>
      <c r="B5611" s="3" t="s">
        <v>29509</v>
      </c>
      <c r="C5611" s="3" t="s">
        <v>54</v>
      </c>
      <c r="D5611" s="3" t="s">
        <v>175</v>
      </c>
      <c r="E5611" s="4" t="s">
        <v>22</v>
      </c>
      <c r="F5611" s="4" t="s">
        <v>29510</v>
      </c>
      <c r="G5611" s="4" t="s">
        <v>29511</v>
      </c>
      <c r="H5611" s="3" t="s">
        <v>26808</v>
      </c>
      <c r="I5611" s="3" t="s">
        <v>29512</v>
      </c>
      <c r="J5611" s="3" t="s">
        <v>29513</v>
      </c>
      <c r="K5611" s="3" t="s">
        <v>29514</v>
      </c>
      <c r="L5611" s="3"/>
      <c r="M5611" s="4"/>
      <c r="N5611" s="3" t="s">
        <v>37</v>
      </c>
      <c r="O5611" s="3" t="s">
        <v>46</v>
      </c>
      <c r="P5611" s="5">
        <v>3</v>
      </c>
      <c r="Q5611" s="5">
        <v>34</v>
      </c>
      <c r="R5611" s="5">
        <v>4</v>
      </c>
      <c r="S5611" s="5">
        <v>31</v>
      </c>
    </row>
    <row r="5612" spans="1:19" ht="42" x14ac:dyDescent="0.15">
      <c r="A5612" s="2">
        <f>HYPERLINK("https://open-school.uspishnemisto.com.ua/school/260547/", 260547)</f>
        <v>260547</v>
      </c>
      <c r="B5612" s="3" t="s">
        <v>29515</v>
      </c>
      <c r="C5612" s="3" t="s">
        <v>31</v>
      </c>
      <c r="D5612" s="3" t="s">
        <v>60</v>
      </c>
      <c r="E5612" s="4" t="s">
        <v>22</v>
      </c>
      <c r="F5612" s="4"/>
      <c r="G5612" s="4" t="s">
        <v>29516</v>
      </c>
      <c r="H5612" s="3" t="s">
        <v>26808</v>
      </c>
      <c r="I5612" s="3" t="s">
        <v>29517</v>
      </c>
      <c r="J5612" s="3" t="s">
        <v>8185</v>
      </c>
      <c r="K5612" s="3" t="s">
        <v>29518</v>
      </c>
      <c r="L5612" s="3"/>
      <c r="M5612" s="4"/>
      <c r="N5612" s="3"/>
      <c r="O5612" s="3"/>
      <c r="P5612" s="5">
        <v>0</v>
      </c>
      <c r="Q5612" s="5">
        <v>0</v>
      </c>
      <c r="R5612" s="5"/>
      <c r="S5612" s="5"/>
    </row>
    <row r="5613" spans="1:19" ht="42" x14ac:dyDescent="0.15">
      <c r="A5613" s="2">
        <f>HYPERLINK("https://open-school.uspishnemisto.com.ua/school/260548/", 260548)</f>
        <v>260548</v>
      </c>
      <c r="B5613" s="3" t="s">
        <v>29519</v>
      </c>
      <c r="C5613" s="3" t="s">
        <v>31</v>
      </c>
      <c r="D5613" s="3" t="s">
        <v>175</v>
      </c>
      <c r="E5613" s="4" t="s">
        <v>22</v>
      </c>
      <c r="F5613" s="4" t="s">
        <v>29520</v>
      </c>
      <c r="G5613" s="4" t="s">
        <v>29521</v>
      </c>
      <c r="H5613" s="3" t="s">
        <v>26808</v>
      </c>
      <c r="I5613" s="3" t="s">
        <v>29522</v>
      </c>
      <c r="J5613" s="3" t="s">
        <v>29523</v>
      </c>
      <c r="K5613" s="3" t="s">
        <v>29524</v>
      </c>
      <c r="L5613" s="3"/>
      <c r="M5613" s="4"/>
      <c r="N5613" s="3" t="s">
        <v>37</v>
      </c>
      <c r="O5613" s="3" t="s">
        <v>46</v>
      </c>
      <c r="P5613" s="5">
        <v>8</v>
      </c>
      <c r="Q5613" s="5">
        <v>71</v>
      </c>
      <c r="R5613" s="5">
        <v>8</v>
      </c>
      <c r="S5613" s="5">
        <v>75</v>
      </c>
    </row>
    <row r="5614" spans="1:19" ht="42" x14ac:dyDescent="0.15">
      <c r="A5614" s="2">
        <f>HYPERLINK("https://open-school.uspishnemisto.com.ua/school/260549/", 260549)</f>
        <v>260549</v>
      </c>
      <c r="B5614" s="3" t="s">
        <v>29525</v>
      </c>
      <c r="C5614" s="3" t="s">
        <v>31</v>
      </c>
      <c r="D5614" s="3" t="s">
        <v>60</v>
      </c>
      <c r="E5614" s="4" t="s">
        <v>22</v>
      </c>
      <c r="F5614" s="4" t="s">
        <v>29526</v>
      </c>
      <c r="G5614" s="4" t="s">
        <v>29527</v>
      </c>
      <c r="H5614" s="3" t="s">
        <v>26808</v>
      </c>
      <c r="I5614" s="3" t="s">
        <v>7377</v>
      </c>
      <c r="J5614" s="3" t="s">
        <v>27550</v>
      </c>
      <c r="K5614" s="3" t="s">
        <v>29528</v>
      </c>
      <c r="L5614" s="3"/>
      <c r="M5614" s="4"/>
      <c r="N5614" s="3"/>
      <c r="O5614" s="3"/>
      <c r="P5614" s="5">
        <v>0</v>
      </c>
      <c r="Q5614" s="5">
        <v>0</v>
      </c>
      <c r="R5614" s="5"/>
      <c r="S5614" s="5"/>
    </row>
    <row r="5615" spans="1:19" ht="42" x14ac:dyDescent="0.15">
      <c r="A5615" s="2">
        <f>HYPERLINK("https://open-school.uspishnemisto.com.ua/school/260550/", 260550)</f>
        <v>260550</v>
      </c>
      <c r="B5615" s="3" t="s">
        <v>29529</v>
      </c>
      <c r="C5615" s="3" t="s">
        <v>31</v>
      </c>
      <c r="D5615" s="3" t="s">
        <v>60</v>
      </c>
      <c r="E5615" s="4" t="s">
        <v>22</v>
      </c>
      <c r="F5615" s="4" t="s">
        <v>29530</v>
      </c>
      <c r="G5615" s="4" t="s">
        <v>29531</v>
      </c>
      <c r="H5615" s="3" t="s">
        <v>26808</v>
      </c>
      <c r="I5615" s="3" t="s">
        <v>29532</v>
      </c>
      <c r="J5615" s="3" t="s">
        <v>29533</v>
      </c>
      <c r="K5615" s="3" t="s">
        <v>29534</v>
      </c>
      <c r="L5615" s="3"/>
      <c r="M5615" s="4"/>
      <c r="N5615" s="3" t="s">
        <v>37</v>
      </c>
      <c r="O5615" s="3" t="s">
        <v>52</v>
      </c>
      <c r="P5615" s="5">
        <v>2</v>
      </c>
      <c r="Q5615" s="5">
        <v>18</v>
      </c>
      <c r="R5615" s="5">
        <v>2</v>
      </c>
      <c r="S5615" s="5">
        <v>18</v>
      </c>
    </row>
    <row r="5616" spans="1:19" ht="42" x14ac:dyDescent="0.15">
      <c r="A5616" s="2">
        <f>HYPERLINK("https://open-school.uspishnemisto.com.ua/school/260551/", 260551)</f>
        <v>260551</v>
      </c>
      <c r="B5616" s="3" t="s">
        <v>29535</v>
      </c>
      <c r="C5616" s="3" t="s">
        <v>31</v>
      </c>
      <c r="D5616" s="3" t="s">
        <v>175</v>
      </c>
      <c r="E5616" s="4" t="s">
        <v>22</v>
      </c>
      <c r="F5616" s="4" t="s">
        <v>29536</v>
      </c>
      <c r="G5616" s="4" t="s">
        <v>29537</v>
      </c>
      <c r="H5616" s="3" t="s">
        <v>26808</v>
      </c>
      <c r="I5616" s="3" t="s">
        <v>29538</v>
      </c>
      <c r="J5616" s="3" t="s">
        <v>29539</v>
      </c>
      <c r="K5616" s="3" t="s">
        <v>29540</v>
      </c>
      <c r="L5616" s="3"/>
      <c r="M5616" s="4"/>
      <c r="N5616" s="3" t="s">
        <v>37</v>
      </c>
      <c r="O5616" s="3" t="s">
        <v>46</v>
      </c>
      <c r="P5616" s="5">
        <v>3</v>
      </c>
      <c r="Q5616" s="5">
        <v>26</v>
      </c>
      <c r="R5616" s="5">
        <v>3</v>
      </c>
      <c r="S5616" s="5">
        <v>29</v>
      </c>
    </row>
    <row r="5617" spans="1:19" ht="56" x14ac:dyDescent="0.15">
      <c r="A5617" s="2">
        <f>HYPERLINK("https://open-school.uspishnemisto.com.ua/school/260552/", 260552)</f>
        <v>260552</v>
      </c>
      <c r="B5617" s="3" t="s">
        <v>29541</v>
      </c>
      <c r="C5617" s="3" t="s">
        <v>31</v>
      </c>
      <c r="D5617" s="3" t="s">
        <v>175</v>
      </c>
      <c r="E5617" s="4" t="s">
        <v>22</v>
      </c>
      <c r="F5617" s="4" t="s">
        <v>29542</v>
      </c>
      <c r="G5617" s="4" t="s">
        <v>29543</v>
      </c>
      <c r="H5617" s="3" t="s">
        <v>26808</v>
      </c>
      <c r="I5617" s="3" t="s">
        <v>29544</v>
      </c>
      <c r="J5617" s="3" t="s">
        <v>29545</v>
      </c>
      <c r="K5617" s="3" t="s">
        <v>29546</v>
      </c>
      <c r="L5617" s="3"/>
      <c r="M5617" s="4"/>
      <c r="N5617" s="3"/>
      <c r="O5617" s="3"/>
      <c r="P5617" s="5">
        <v>0</v>
      </c>
      <c r="Q5617" s="5">
        <v>0</v>
      </c>
      <c r="R5617" s="5"/>
      <c r="S5617" s="5"/>
    </row>
    <row r="5618" spans="1:19" ht="42" x14ac:dyDescent="0.15">
      <c r="A5618" s="2">
        <f>HYPERLINK("https://open-school.uspishnemisto.com.ua/school/260553/", 260553)</f>
        <v>260553</v>
      </c>
      <c r="B5618" s="3" t="s">
        <v>29547</v>
      </c>
      <c r="C5618" s="3" t="s">
        <v>31</v>
      </c>
      <c r="D5618" s="3" t="s">
        <v>175</v>
      </c>
      <c r="E5618" s="4" t="s">
        <v>22</v>
      </c>
      <c r="F5618" s="4" t="s">
        <v>29548</v>
      </c>
      <c r="G5618" s="4" t="s">
        <v>29549</v>
      </c>
      <c r="H5618" s="3" t="s">
        <v>26808</v>
      </c>
      <c r="I5618" s="3" t="s">
        <v>29550</v>
      </c>
      <c r="J5618" s="3" t="s">
        <v>5759</v>
      </c>
      <c r="K5618" s="3" t="s">
        <v>29551</v>
      </c>
      <c r="L5618" s="3"/>
      <c r="M5618" s="4"/>
      <c r="N5618" s="3" t="s">
        <v>37</v>
      </c>
      <c r="O5618" s="3" t="s">
        <v>46</v>
      </c>
      <c r="P5618" s="5">
        <v>5</v>
      </c>
      <c r="Q5618" s="5">
        <v>44</v>
      </c>
      <c r="R5618" s="5">
        <v>4</v>
      </c>
      <c r="S5618" s="5">
        <v>37</v>
      </c>
    </row>
    <row r="5619" spans="1:19" ht="42" x14ac:dyDescent="0.15">
      <c r="A5619" s="2">
        <f>HYPERLINK("https://open-school.uspishnemisto.com.ua/school/260554/", 260554)</f>
        <v>260554</v>
      </c>
      <c r="B5619" s="3" t="s">
        <v>29552</v>
      </c>
      <c r="C5619" s="3" t="s">
        <v>31</v>
      </c>
      <c r="D5619" s="3" t="s">
        <v>175</v>
      </c>
      <c r="E5619" s="4" t="s">
        <v>22</v>
      </c>
      <c r="F5619" s="4" t="s">
        <v>29553</v>
      </c>
      <c r="G5619" s="4" t="s">
        <v>29554</v>
      </c>
      <c r="H5619" s="3" t="s">
        <v>26808</v>
      </c>
      <c r="I5619" s="3" t="s">
        <v>29555</v>
      </c>
      <c r="J5619" s="3" t="s">
        <v>29556</v>
      </c>
      <c r="K5619" s="3" t="s">
        <v>29557</v>
      </c>
      <c r="L5619" s="3"/>
      <c r="M5619" s="4"/>
      <c r="N5619" s="3" t="s">
        <v>37</v>
      </c>
      <c r="O5619" s="3" t="s">
        <v>46</v>
      </c>
      <c r="P5619" s="5">
        <v>3</v>
      </c>
      <c r="Q5619" s="5">
        <v>37</v>
      </c>
      <c r="R5619" s="5">
        <v>3</v>
      </c>
      <c r="S5619" s="5">
        <v>31</v>
      </c>
    </row>
    <row r="5620" spans="1:19" ht="42" x14ac:dyDescent="0.15">
      <c r="A5620" s="2">
        <f>HYPERLINK("https://open-school.uspishnemisto.com.ua/school/260555/", 260555)</f>
        <v>260555</v>
      </c>
      <c r="B5620" s="3" t="s">
        <v>29558</v>
      </c>
      <c r="C5620" s="3" t="s">
        <v>31</v>
      </c>
      <c r="D5620" s="3" t="s">
        <v>175</v>
      </c>
      <c r="E5620" s="4" t="s">
        <v>22</v>
      </c>
      <c r="F5620" s="4" t="s">
        <v>29559</v>
      </c>
      <c r="G5620" s="4" t="s">
        <v>29560</v>
      </c>
      <c r="H5620" s="3" t="s">
        <v>26808</v>
      </c>
      <c r="I5620" s="3" t="s">
        <v>29561</v>
      </c>
      <c r="J5620" s="3" t="s">
        <v>634</v>
      </c>
      <c r="K5620" s="3" t="s">
        <v>29562</v>
      </c>
      <c r="L5620" s="3"/>
      <c r="M5620" s="4"/>
      <c r="N5620" s="3" t="s">
        <v>37</v>
      </c>
      <c r="O5620" s="3" t="s">
        <v>46</v>
      </c>
      <c r="P5620" s="5">
        <v>4</v>
      </c>
      <c r="Q5620" s="5">
        <v>33</v>
      </c>
      <c r="R5620" s="5">
        <v>5</v>
      </c>
      <c r="S5620" s="5">
        <v>34</v>
      </c>
    </row>
    <row r="5621" spans="1:19" ht="42" x14ac:dyDescent="0.15">
      <c r="A5621" s="2">
        <f>HYPERLINK("https://open-school.uspishnemisto.com.ua/school/260556/", 260556)</f>
        <v>260556</v>
      </c>
      <c r="B5621" s="3" t="s">
        <v>29563</v>
      </c>
      <c r="C5621" s="3" t="s">
        <v>31</v>
      </c>
      <c r="D5621" s="3" t="s">
        <v>32</v>
      </c>
      <c r="E5621" s="4" t="s">
        <v>22</v>
      </c>
      <c r="F5621" s="4" t="s">
        <v>29564</v>
      </c>
      <c r="G5621" s="4" t="s">
        <v>29565</v>
      </c>
      <c r="H5621" s="3" t="s">
        <v>26808</v>
      </c>
      <c r="I5621" s="3" t="s">
        <v>29566</v>
      </c>
      <c r="J5621" s="3" t="s">
        <v>29567</v>
      </c>
      <c r="K5621" s="3" t="s">
        <v>29568</v>
      </c>
      <c r="L5621" s="3"/>
      <c r="M5621" s="4"/>
      <c r="N5621" s="3" t="s">
        <v>37</v>
      </c>
      <c r="O5621" s="3" t="s">
        <v>46</v>
      </c>
      <c r="P5621" s="5">
        <v>10</v>
      </c>
      <c r="Q5621" s="5">
        <v>72</v>
      </c>
      <c r="R5621" s="5">
        <v>9</v>
      </c>
      <c r="S5621" s="5">
        <v>67</v>
      </c>
    </row>
    <row r="5622" spans="1:19" ht="42" x14ac:dyDescent="0.15">
      <c r="A5622" s="2">
        <f>HYPERLINK("https://open-school.uspishnemisto.com.ua/school/260557/", 260557)</f>
        <v>260557</v>
      </c>
      <c r="B5622" s="3" t="s">
        <v>29569</v>
      </c>
      <c r="C5622" s="3" t="s">
        <v>31</v>
      </c>
      <c r="D5622" s="3" t="s">
        <v>175</v>
      </c>
      <c r="E5622" s="4" t="s">
        <v>22</v>
      </c>
      <c r="F5622" s="4" t="s">
        <v>29570</v>
      </c>
      <c r="G5622" s="4" t="s">
        <v>29571</v>
      </c>
      <c r="H5622" s="3" t="s">
        <v>26808</v>
      </c>
      <c r="I5622" s="3" t="s">
        <v>29572</v>
      </c>
      <c r="J5622" s="3" t="s">
        <v>5759</v>
      </c>
      <c r="K5622" s="3" t="s">
        <v>29573</v>
      </c>
      <c r="L5622" s="3"/>
      <c r="M5622" s="4"/>
      <c r="N5622" s="3" t="s">
        <v>37</v>
      </c>
      <c r="O5622" s="3" t="s">
        <v>46</v>
      </c>
      <c r="P5622" s="5">
        <v>8</v>
      </c>
      <c r="Q5622" s="5">
        <v>74</v>
      </c>
      <c r="R5622" s="5">
        <v>7</v>
      </c>
      <c r="S5622" s="5">
        <v>66</v>
      </c>
    </row>
    <row r="5623" spans="1:19" ht="42" x14ac:dyDescent="0.15">
      <c r="A5623" s="2">
        <f>HYPERLINK("https://open-school.uspishnemisto.com.ua/school/260558/", 260558)</f>
        <v>260558</v>
      </c>
      <c r="B5623" s="3" t="s">
        <v>29574</v>
      </c>
      <c r="C5623" s="3" t="s">
        <v>31</v>
      </c>
      <c r="D5623" s="3" t="s">
        <v>175</v>
      </c>
      <c r="E5623" s="4" t="s">
        <v>22</v>
      </c>
      <c r="F5623" s="4" t="s">
        <v>29575</v>
      </c>
      <c r="G5623" s="4" t="s">
        <v>29576</v>
      </c>
      <c r="H5623" s="3" t="s">
        <v>26808</v>
      </c>
      <c r="I5623" s="3" t="s">
        <v>29577</v>
      </c>
      <c r="J5623" s="3" t="s">
        <v>3839</v>
      </c>
      <c r="K5623" s="3" t="s">
        <v>29578</v>
      </c>
      <c r="L5623" s="3"/>
      <c r="M5623" s="4"/>
      <c r="N5623" s="3" t="s">
        <v>37</v>
      </c>
      <c r="O5623" s="3" t="s">
        <v>46</v>
      </c>
      <c r="P5623" s="5">
        <v>0</v>
      </c>
      <c r="Q5623" s="5">
        <v>0</v>
      </c>
      <c r="R5623" s="5">
        <v>2</v>
      </c>
      <c r="S5623" s="5">
        <v>27</v>
      </c>
    </row>
    <row r="5624" spans="1:19" ht="42" x14ac:dyDescent="0.15">
      <c r="A5624" s="2">
        <f>HYPERLINK("https://open-school.uspishnemisto.com.ua/school/260559/", 260559)</f>
        <v>260559</v>
      </c>
      <c r="B5624" s="3" t="s">
        <v>29579</v>
      </c>
      <c r="C5624" s="3" t="s">
        <v>31</v>
      </c>
      <c r="D5624" s="3" t="s">
        <v>32</v>
      </c>
      <c r="E5624" s="4" t="s">
        <v>22</v>
      </c>
      <c r="F5624" s="4" t="s">
        <v>29580</v>
      </c>
      <c r="G5624" s="4" t="s">
        <v>29581</v>
      </c>
      <c r="H5624" s="3" t="s">
        <v>26808</v>
      </c>
      <c r="I5624" s="3" t="s">
        <v>29582</v>
      </c>
      <c r="J5624" s="3"/>
      <c r="K5624" s="3" t="s">
        <v>29583</v>
      </c>
      <c r="L5624" s="3"/>
      <c r="M5624" s="4"/>
      <c r="N5624" s="3" t="s">
        <v>37</v>
      </c>
      <c r="O5624" s="3" t="s">
        <v>46</v>
      </c>
      <c r="P5624" s="5">
        <v>5</v>
      </c>
      <c r="Q5624" s="5">
        <v>41</v>
      </c>
      <c r="R5624" s="5">
        <v>5</v>
      </c>
      <c r="S5624" s="5">
        <v>44</v>
      </c>
    </row>
    <row r="5625" spans="1:19" ht="42" x14ac:dyDescent="0.15">
      <c r="A5625" s="2">
        <f>HYPERLINK("https://open-school.uspishnemisto.com.ua/school/260560/", 260560)</f>
        <v>260560</v>
      </c>
      <c r="B5625" s="3" t="s">
        <v>29584</v>
      </c>
      <c r="C5625" s="3" t="s">
        <v>31</v>
      </c>
      <c r="D5625" s="3" t="s">
        <v>175</v>
      </c>
      <c r="E5625" s="4" t="s">
        <v>22</v>
      </c>
      <c r="F5625" s="4" t="s">
        <v>29585</v>
      </c>
      <c r="G5625" s="4" t="s">
        <v>29586</v>
      </c>
      <c r="H5625" s="3" t="s">
        <v>26808</v>
      </c>
      <c r="I5625" s="3" t="s">
        <v>29587</v>
      </c>
      <c r="J5625" s="3" t="s">
        <v>2745</v>
      </c>
      <c r="K5625" s="3" t="s">
        <v>29588</v>
      </c>
      <c r="L5625" s="3"/>
      <c r="M5625" s="4"/>
      <c r="N5625" s="3" t="s">
        <v>37</v>
      </c>
      <c r="O5625" s="3" t="s">
        <v>46</v>
      </c>
      <c r="P5625" s="5">
        <v>4</v>
      </c>
      <c r="Q5625" s="5">
        <v>37</v>
      </c>
      <c r="R5625" s="5">
        <v>1</v>
      </c>
      <c r="S5625" s="5">
        <v>33</v>
      </c>
    </row>
    <row r="5626" spans="1:19" ht="42" x14ac:dyDescent="0.15">
      <c r="A5626" s="2">
        <f>HYPERLINK("https://open-school.uspishnemisto.com.ua/school/260561/", 260561)</f>
        <v>260561</v>
      </c>
      <c r="B5626" s="3" t="s">
        <v>29589</v>
      </c>
      <c r="C5626" s="3" t="s">
        <v>31</v>
      </c>
      <c r="D5626" s="3" t="s">
        <v>60</v>
      </c>
      <c r="E5626" s="4" t="s">
        <v>22</v>
      </c>
      <c r="F5626" s="4" t="s">
        <v>29459</v>
      </c>
      <c r="G5626" s="4" t="s">
        <v>29590</v>
      </c>
      <c r="H5626" s="3" t="s">
        <v>26808</v>
      </c>
      <c r="I5626" s="3" t="s">
        <v>29591</v>
      </c>
      <c r="J5626" s="3" t="s">
        <v>29592</v>
      </c>
      <c r="K5626" s="3" t="s">
        <v>29593</v>
      </c>
      <c r="L5626" s="3"/>
      <c r="M5626" s="4"/>
      <c r="N5626" s="3" t="s">
        <v>37</v>
      </c>
      <c r="O5626" s="3" t="s">
        <v>52</v>
      </c>
      <c r="P5626" s="5">
        <v>0</v>
      </c>
      <c r="Q5626" s="5">
        <v>0</v>
      </c>
      <c r="R5626" s="5">
        <v>0</v>
      </c>
      <c r="S5626" s="5">
        <v>11</v>
      </c>
    </row>
    <row r="5627" spans="1:19" ht="42" x14ac:dyDescent="0.15">
      <c r="A5627" s="2">
        <f>HYPERLINK("https://open-school.uspishnemisto.com.ua/school/260562/", 260562)</f>
        <v>260562</v>
      </c>
      <c r="B5627" s="3" t="s">
        <v>29594</v>
      </c>
      <c r="C5627" s="3" t="s">
        <v>31</v>
      </c>
      <c r="D5627" s="3" t="s">
        <v>175</v>
      </c>
      <c r="E5627" s="4" t="s">
        <v>22</v>
      </c>
      <c r="F5627" s="4" t="s">
        <v>29595</v>
      </c>
      <c r="G5627" s="4" t="s">
        <v>29596</v>
      </c>
      <c r="H5627" s="3" t="s">
        <v>26808</v>
      </c>
      <c r="I5627" s="3" t="s">
        <v>29597</v>
      </c>
      <c r="J5627" s="3" t="s">
        <v>29598</v>
      </c>
      <c r="K5627" s="3" t="s">
        <v>29599</v>
      </c>
      <c r="L5627" s="3"/>
      <c r="M5627" s="4"/>
      <c r="N5627" s="3" t="s">
        <v>37</v>
      </c>
      <c r="O5627" s="3" t="s">
        <v>2740</v>
      </c>
      <c r="P5627" s="5">
        <v>8</v>
      </c>
      <c r="Q5627" s="5">
        <v>62</v>
      </c>
      <c r="R5627" s="5">
        <v>8</v>
      </c>
      <c r="S5627" s="5">
        <v>56</v>
      </c>
    </row>
    <row r="5628" spans="1:19" ht="42" x14ac:dyDescent="0.15">
      <c r="A5628" s="2">
        <f>HYPERLINK("https://open-school.uspishnemisto.com.ua/school/260563/", 260563)</f>
        <v>260563</v>
      </c>
      <c r="B5628" s="3" t="s">
        <v>29600</v>
      </c>
      <c r="C5628" s="3" t="s">
        <v>31</v>
      </c>
      <c r="D5628" s="3" t="s">
        <v>60</v>
      </c>
      <c r="E5628" s="4" t="s">
        <v>22</v>
      </c>
      <c r="F5628" s="4" t="s">
        <v>29553</v>
      </c>
      <c r="G5628" s="4" t="s">
        <v>29601</v>
      </c>
      <c r="H5628" s="3" t="s">
        <v>26808</v>
      </c>
      <c r="I5628" s="3" t="s">
        <v>29602</v>
      </c>
      <c r="J5628" s="3" t="s">
        <v>29603</v>
      </c>
      <c r="K5628" s="3"/>
      <c r="L5628" s="3"/>
      <c r="M5628" s="4"/>
      <c r="N5628" s="3" t="s">
        <v>37</v>
      </c>
      <c r="O5628" s="3" t="s">
        <v>52</v>
      </c>
      <c r="P5628" s="5">
        <v>0</v>
      </c>
      <c r="Q5628" s="5">
        <v>7</v>
      </c>
      <c r="R5628" s="5">
        <v>0</v>
      </c>
      <c r="S5628" s="5">
        <v>10</v>
      </c>
    </row>
    <row r="5629" spans="1:19" ht="42" x14ac:dyDescent="0.15">
      <c r="A5629" s="2">
        <f>HYPERLINK("https://open-school.uspishnemisto.com.ua/school/260564/", 260564)</f>
        <v>260564</v>
      </c>
      <c r="B5629" s="3" t="s">
        <v>29604</v>
      </c>
      <c r="C5629" s="3" t="s">
        <v>54</v>
      </c>
      <c r="D5629" s="3" t="s">
        <v>32</v>
      </c>
      <c r="E5629" s="4" t="s">
        <v>22</v>
      </c>
      <c r="F5629" s="4" t="s">
        <v>29605</v>
      </c>
      <c r="G5629" s="4" t="s">
        <v>29606</v>
      </c>
      <c r="H5629" s="3" t="s">
        <v>26808</v>
      </c>
      <c r="I5629" s="3" t="s">
        <v>29607</v>
      </c>
      <c r="J5629" s="3" t="s">
        <v>29608</v>
      </c>
      <c r="K5629" s="3" t="s">
        <v>29609</v>
      </c>
      <c r="L5629" s="3"/>
      <c r="M5629" s="4"/>
      <c r="N5629" s="3" t="s">
        <v>37</v>
      </c>
      <c r="O5629" s="3" t="s">
        <v>46</v>
      </c>
      <c r="P5629" s="5">
        <v>3</v>
      </c>
      <c r="Q5629" s="5">
        <v>30</v>
      </c>
      <c r="R5629" s="5">
        <v>4</v>
      </c>
      <c r="S5629" s="5">
        <v>35</v>
      </c>
    </row>
    <row r="5630" spans="1:19" ht="42" x14ac:dyDescent="0.15">
      <c r="A5630" s="2">
        <f>HYPERLINK("https://open-school.uspishnemisto.com.ua/school/260565/", 260565)</f>
        <v>260565</v>
      </c>
      <c r="B5630" s="3" t="s">
        <v>29610</v>
      </c>
      <c r="C5630" s="3" t="s">
        <v>54</v>
      </c>
      <c r="D5630" s="3" t="s">
        <v>175</v>
      </c>
      <c r="E5630" s="4" t="s">
        <v>22</v>
      </c>
      <c r="F5630" s="4" t="s">
        <v>29611</v>
      </c>
      <c r="G5630" s="4" t="s">
        <v>29612</v>
      </c>
      <c r="H5630" s="3" t="s">
        <v>26808</v>
      </c>
      <c r="I5630" s="3" t="s">
        <v>29613</v>
      </c>
      <c r="J5630" s="3" t="s">
        <v>20560</v>
      </c>
      <c r="K5630" s="3" t="s">
        <v>29614</v>
      </c>
      <c r="L5630" s="3"/>
      <c r="M5630" s="4"/>
      <c r="N5630" s="3" t="s">
        <v>37</v>
      </c>
      <c r="O5630" s="3" t="s">
        <v>46</v>
      </c>
      <c r="P5630" s="5">
        <v>8</v>
      </c>
      <c r="Q5630" s="5">
        <v>67</v>
      </c>
      <c r="R5630" s="5">
        <v>7</v>
      </c>
      <c r="S5630" s="5">
        <v>60</v>
      </c>
    </row>
    <row r="5631" spans="1:19" ht="42" x14ac:dyDescent="0.15">
      <c r="A5631" s="2">
        <f>HYPERLINK("https://open-school.uspishnemisto.com.ua/school/260566/", 260566)</f>
        <v>260566</v>
      </c>
      <c r="B5631" s="3" t="s">
        <v>29615</v>
      </c>
      <c r="C5631" s="3" t="s">
        <v>31</v>
      </c>
      <c r="D5631" s="3" t="s">
        <v>32</v>
      </c>
      <c r="E5631" s="4" t="s">
        <v>22</v>
      </c>
      <c r="F5631" s="4" t="s">
        <v>29616</v>
      </c>
      <c r="G5631" s="4" t="s">
        <v>29617</v>
      </c>
      <c r="H5631" s="3" t="s">
        <v>26808</v>
      </c>
      <c r="I5631" s="3" t="s">
        <v>6026</v>
      </c>
      <c r="J5631" s="3" t="s">
        <v>5256</v>
      </c>
      <c r="K5631" s="3" t="s">
        <v>29618</v>
      </c>
      <c r="L5631" s="3"/>
      <c r="M5631" s="4"/>
      <c r="N5631" s="3" t="s">
        <v>37</v>
      </c>
      <c r="O5631" s="3" t="s">
        <v>2740</v>
      </c>
      <c r="P5631" s="5">
        <v>11</v>
      </c>
      <c r="Q5631" s="5">
        <v>123</v>
      </c>
      <c r="R5631" s="5">
        <v>11</v>
      </c>
      <c r="S5631" s="5">
        <v>114</v>
      </c>
    </row>
    <row r="5632" spans="1:19" ht="42" x14ac:dyDescent="0.15">
      <c r="A5632" s="2">
        <f>HYPERLINK("https://open-school.uspishnemisto.com.ua/school/260567/", 260567)</f>
        <v>260567</v>
      </c>
      <c r="B5632" s="3" t="s">
        <v>29619</v>
      </c>
      <c r="C5632" s="3" t="s">
        <v>181</v>
      </c>
      <c r="D5632" s="3" t="s">
        <v>32</v>
      </c>
      <c r="E5632" s="4" t="s">
        <v>22</v>
      </c>
      <c r="F5632" s="4" t="s">
        <v>29616</v>
      </c>
      <c r="G5632" s="4" t="s">
        <v>29617</v>
      </c>
      <c r="H5632" s="3" t="s">
        <v>26808</v>
      </c>
      <c r="I5632" s="3" t="s">
        <v>6026</v>
      </c>
      <c r="J5632" s="3" t="s">
        <v>29620</v>
      </c>
      <c r="K5632" s="3" t="s">
        <v>29621</v>
      </c>
      <c r="L5632" s="3"/>
      <c r="M5632" s="4" t="s">
        <v>29622</v>
      </c>
      <c r="N5632" s="3" t="s">
        <v>37</v>
      </c>
      <c r="O5632" s="3" t="s">
        <v>46</v>
      </c>
      <c r="P5632" s="5">
        <v>6</v>
      </c>
      <c r="Q5632" s="5">
        <v>36</v>
      </c>
      <c r="R5632" s="5">
        <v>6</v>
      </c>
      <c r="S5632" s="5">
        <v>40</v>
      </c>
    </row>
    <row r="5633" spans="1:19" ht="42" x14ac:dyDescent="0.15">
      <c r="A5633" s="2">
        <f>HYPERLINK("https://open-school.uspishnemisto.com.ua/school/260568/", 260568)</f>
        <v>260568</v>
      </c>
      <c r="B5633" s="3" t="s">
        <v>29623</v>
      </c>
      <c r="C5633" s="3" t="s">
        <v>54</v>
      </c>
      <c r="D5633" s="3" t="s">
        <v>175</v>
      </c>
      <c r="E5633" s="4" t="s">
        <v>22</v>
      </c>
      <c r="F5633" s="4" t="s">
        <v>29624</v>
      </c>
      <c r="G5633" s="4" t="s">
        <v>29625</v>
      </c>
      <c r="H5633" s="3" t="s">
        <v>26808</v>
      </c>
      <c r="I5633" s="3" t="s">
        <v>29626</v>
      </c>
      <c r="J5633" s="3" t="s">
        <v>29627</v>
      </c>
      <c r="K5633" s="3" t="s">
        <v>29628</v>
      </c>
      <c r="L5633" s="3"/>
      <c r="M5633" s="4"/>
      <c r="N5633" s="3" t="s">
        <v>37</v>
      </c>
      <c r="O5633" s="3" t="s">
        <v>46</v>
      </c>
      <c r="P5633" s="5">
        <v>6</v>
      </c>
      <c r="Q5633" s="5">
        <v>50</v>
      </c>
      <c r="R5633" s="5">
        <v>5</v>
      </c>
      <c r="S5633" s="5">
        <v>45</v>
      </c>
    </row>
    <row r="5634" spans="1:19" ht="42" x14ac:dyDescent="0.15">
      <c r="A5634" s="2">
        <f>HYPERLINK("https://open-school.uspishnemisto.com.ua/school/260569/", 260569)</f>
        <v>260569</v>
      </c>
      <c r="B5634" s="3" t="s">
        <v>29629</v>
      </c>
      <c r="C5634" s="3" t="s">
        <v>31</v>
      </c>
      <c r="D5634" s="3" t="s">
        <v>175</v>
      </c>
      <c r="E5634" s="4" t="s">
        <v>22</v>
      </c>
      <c r="F5634" s="4"/>
      <c r="G5634" s="4" t="s">
        <v>29630</v>
      </c>
      <c r="H5634" s="3" t="s">
        <v>26808</v>
      </c>
      <c r="I5634" s="3" t="s">
        <v>29631</v>
      </c>
      <c r="J5634" s="3" t="s">
        <v>29632</v>
      </c>
      <c r="K5634" s="3"/>
      <c r="L5634" s="3"/>
      <c r="M5634" s="4"/>
      <c r="N5634" s="3" t="s">
        <v>37</v>
      </c>
      <c r="O5634" s="3" t="s">
        <v>46</v>
      </c>
      <c r="P5634" s="5">
        <v>6</v>
      </c>
      <c r="Q5634" s="5">
        <v>56</v>
      </c>
      <c r="R5634" s="5">
        <v>6</v>
      </c>
      <c r="S5634" s="5">
        <v>54</v>
      </c>
    </row>
    <row r="5635" spans="1:19" ht="42" x14ac:dyDescent="0.15">
      <c r="A5635" s="2">
        <f>HYPERLINK("https://open-school.uspishnemisto.com.ua/school/260570/", 260570)</f>
        <v>260570</v>
      </c>
      <c r="B5635" s="3" t="s">
        <v>29633</v>
      </c>
      <c r="C5635" s="3" t="s">
        <v>31</v>
      </c>
      <c r="D5635" s="3" t="s">
        <v>32</v>
      </c>
      <c r="E5635" s="4" t="s">
        <v>22</v>
      </c>
      <c r="F5635" s="4" t="s">
        <v>29634</v>
      </c>
      <c r="G5635" s="4" t="s">
        <v>29635</v>
      </c>
      <c r="H5635" s="3" t="s">
        <v>26808</v>
      </c>
      <c r="I5635" s="3" t="s">
        <v>29636</v>
      </c>
      <c r="J5635" s="3" t="s">
        <v>29637</v>
      </c>
      <c r="K5635" s="3" t="s">
        <v>29638</v>
      </c>
      <c r="L5635" s="3"/>
      <c r="M5635" s="4"/>
      <c r="N5635" s="3" t="s">
        <v>37</v>
      </c>
      <c r="O5635" s="3" t="s">
        <v>46</v>
      </c>
      <c r="P5635" s="5">
        <v>2</v>
      </c>
      <c r="Q5635" s="5">
        <v>29</v>
      </c>
      <c r="R5635" s="5">
        <v>3</v>
      </c>
      <c r="S5635" s="5">
        <v>35</v>
      </c>
    </row>
    <row r="5636" spans="1:19" ht="42" x14ac:dyDescent="0.15">
      <c r="A5636" s="2">
        <f>HYPERLINK("https://open-school.uspishnemisto.com.ua/school/260571/", 260571)</f>
        <v>260571</v>
      </c>
      <c r="B5636" s="3" t="s">
        <v>29639</v>
      </c>
      <c r="C5636" s="3" t="s">
        <v>20</v>
      </c>
      <c r="D5636" s="3" t="s">
        <v>19078</v>
      </c>
      <c r="E5636" s="4" t="s">
        <v>22</v>
      </c>
      <c r="F5636" s="4" t="s">
        <v>29640</v>
      </c>
      <c r="G5636" s="4" t="s">
        <v>29641</v>
      </c>
      <c r="H5636" s="3" t="s">
        <v>26808</v>
      </c>
      <c r="I5636" s="3" t="s">
        <v>29642</v>
      </c>
      <c r="J5636" s="3" t="s">
        <v>792</v>
      </c>
      <c r="K5636" s="3" t="s">
        <v>29643</v>
      </c>
      <c r="L5636" s="3"/>
      <c r="M5636" s="4"/>
      <c r="N5636" s="3"/>
      <c r="O5636" s="3"/>
      <c r="P5636" s="5">
        <v>0</v>
      </c>
      <c r="Q5636" s="5">
        <v>0</v>
      </c>
      <c r="R5636" s="5"/>
      <c r="S5636" s="5"/>
    </row>
    <row r="5637" spans="1:19" ht="42" x14ac:dyDescent="0.15">
      <c r="A5637" s="2">
        <f>HYPERLINK("https://open-school.uspishnemisto.com.ua/school/260572/", 260572)</f>
        <v>260572</v>
      </c>
      <c r="B5637" s="3" t="s">
        <v>29644</v>
      </c>
      <c r="C5637" s="3" t="s">
        <v>31</v>
      </c>
      <c r="D5637" s="3" t="s">
        <v>32</v>
      </c>
      <c r="E5637" s="4" t="s">
        <v>22</v>
      </c>
      <c r="F5637" s="4" t="s">
        <v>29645</v>
      </c>
      <c r="G5637" s="4" t="s">
        <v>29641</v>
      </c>
      <c r="H5637" s="3" t="s">
        <v>26808</v>
      </c>
      <c r="I5637" s="3" t="s">
        <v>29642</v>
      </c>
      <c r="J5637" s="3" t="s">
        <v>792</v>
      </c>
      <c r="K5637" s="3" t="s">
        <v>29646</v>
      </c>
      <c r="L5637" s="3"/>
      <c r="M5637" s="4"/>
      <c r="N5637" s="3" t="s">
        <v>37</v>
      </c>
      <c r="O5637" s="3" t="s">
        <v>46</v>
      </c>
      <c r="P5637" s="5">
        <v>20</v>
      </c>
      <c r="Q5637" s="5">
        <v>432</v>
      </c>
      <c r="R5637" s="5">
        <v>20</v>
      </c>
      <c r="S5637" s="5">
        <v>425</v>
      </c>
    </row>
    <row r="5638" spans="1:19" ht="42" x14ac:dyDescent="0.15">
      <c r="A5638" s="2">
        <f>HYPERLINK("https://open-school.uspishnemisto.com.ua/school/260573/", 260573)</f>
        <v>260573</v>
      </c>
      <c r="B5638" s="3" t="s">
        <v>29647</v>
      </c>
      <c r="C5638" s="3" t="s">
        <v>31</v>
      </c>
      <c r="D5638" s="3" t="s">
        <v>32</v>
      </c>
      <c r="E5638" s="4" t="s">
        <v>22</v>
      </c>
      <c r="F5638" s="4" t="s">
        <v>29648</v>
      </c>
      <c r="G5638" s="4" t="s">
        <v>29649</v>
      </c>
      <c r="H5638" s="3" t="s">
        <v>26808</v>
      </c>
      <c r="I5638" s="3" t="s">
        <v>29650</v>
      </c>
      <c r="J5638" s="3" t="s">
        <v>29651</v>
      </c>
      <c r="K5638" s="3" t="s">
        <v>29652</v>
      </c>
      <c r="L5638" s="3"/>
      <c r="M5638" s="4"/>
      <c r="N5638" s="3" t="s">
        <v>37</v>
      </c>
      <c r="O5638" s="3" t="s">
        <v>237</v>
      </c>
      <c r="P5638" s="5">
        <v>31</v>
      </c>
      <c r="Q5638" s="5">
        <v>704</v>
      </c>
      <c r="R5638" s="5">
        <v>31</v>
      </c>
      <c r="S5638" s="5">
        <v>694</v>
      </c>
    </row>
    <row r="5639" spans="1:19" ht="42" x14ac:dyDescent="0.15">
      <c r="A5639" s="2">
        <f>HYPERLINK("https://open-school.uspishnemisto.com.ua/school/260574/", 260574)</f>
        <v>260574</v>
      </c>
      <c r="B5639" s="3" t="s">
        <v>29653</v>
      </c>
      <c r="C5639" s="3" t="s">
        <v>31</v>
      </c>
      <c r="D5639" s="3" t="s">
        <v>32</v>
      </c>
      <c r="E5639" s="4" t="s">
        <v>22</v>
      </c>
      <c r="F5639" s="4" t="s">
        <v>28979</v>
      </c>
      <c r="G5639" s="4" t="s">
        <v>29654</v>
      </c>
      <c r="H5639" s="3" t="s">
        <v>26808</v>
      </c>
      <c r="I5639" s="3" t="s">
        <v>29655</v>
      </c>
      <c r="J5639" s="3" t="s">
        <v>29656</v>
      </c>
      <c r="K5639" s="3" t="s">
        <v>29657</v>
      </c>
      <c r="L5639" s="3"/>
      <c r="M5639" s="4"/>
      <c r="N5639" s="3" t="s">
        <v>37</v>
      </c>
      <c r="O5639" s="3" t="s">
        <v>70</v>
      </c>
      <c r="P5639" s="5">
        <v>24</v>
      </c>
      <c r="Q5639" s="5">
        <v>553</v>
      </c>
      <c r="R5639" s="5">
        <v>24</v>
      </c>
      <c r="S5639" s="5">
        <v>553</v>
      </c>
    </row>
    <row r="5640" spans="1:19" ht="42" x14ac:dyDescent="0.15">
      <c r="A5640" s="2">
        <f>HYPERLINK("https://open-school.uspishnemisto.com.ua/school/260575/", 260575)</f>
        <v>260575</v>
      </c>
      <c r="B5640" s="3" t="s">
        <v>29658</v>
      </c>
      <c r="C5640" s="3" t="s">
        <v>31</v>
      </c>
      <c r="D5640" s="3" t="s">
        <v>32</v>
      </c>
      <c r="E5640" s="4" t="s">
        <v>22</v>
      </c>
      <c r="F5640" s="4" t="s">
        <v>28979</v>
      </c>
      <c r="G5640" s="4" t="s">
        <v>29654</v>
      </c>
      <c r="H5640" s="3" t="s">
        <v>26808</v>
      </c>
      <c r="I5640" s="3" t="s">
        <v>29655</v>
      </c>
      <c r="J5640" s="3" t="s">
        <v>21337</v>
      </c>
      <c r="K5640" s="3" t="s">
        <v>29659</v>
      </c>
      <c r="L5640" s="3" t="s">
        <v>29660</v>
      </c>
      <c r="M5640" s="4"/>
      <c r="N5640" s="3" t="s">
        <v>37</v>
      </c>
      <c r="O5640" s="3" t="s">
        <v>237</v>
      </c>
      <c r="P5640" s="5">
        <v>42</v>
      </c>
      <c r="Q5640" s="5">
        <v>1086</v>
      </c>
      <c r="R5640" s="5">
        <v>42</v>
      </c>
      <c r="S5640" s="5">
        <v>1118</v>
      </c>
    </row>
    <row r="5641" spans="1:19" ht="42" x14ac:dyDescent="0.15">
      <c r="A5641" s="2">
        <f>HYPERLINK("https://open-school.uspishnemisto.com.ua/school/260576/", 260576)</f>
        <v>260576</v>
      </c>
      <c r="B5641" s="3" t="s">
        <v>29661</v>
      </c>
      <c r="C5641" s="3" t="s">
        <v>181</v>
      </c>
      <c r="D5641" s="3" t="s">
        <v>175</v>
      </c>
      <c r="E5641" s="4" t="s">
        <v>22</v>
      </c>
      <c r="F5641" s="4" t="s">
        <v>28979</v>
      </c>
      <c r="G5641" s="4" t="s">
        <v>29654</v>
      </c>
      <c r="H5641" s="3" t="s">
        <v>26808</v>
      </c>
      <c r="I5641" s="3" t="s">
        <v>29655</v>
      </c>
      <c r="J5641" s="3" t="s">
        <v>29662</v>
      </c>
      <c r="K5641" s="3" t="s">
        <v>29663</v>
      </c>
      <c r="L5641" s="3"/>
      <c r="M5641" s="4" t="s">
        <v>29664</v>
      </c>
      <c r="N5641" s="3" t="s">
        <v>37</v>
      </c>
      <c r="O5641" s="3"/>
      <c r="P5641" s="5">
        <v>9</v>
      </c>
      <c r="Q5641" s="5">
        <v>71</v>
      </c>
      <c r="R5641" s="5">
        <v>9</v>
      </c>
      <c r="S5641" s="5">
        <v>67</v>
      </c>
    </row>
    <row r="5642" spans="1:19" ht="42" x14ac:dyDescent="0.15">
      <c r="A5642" s="2">
        <f>HYPERLINK("https://open-school.uspishnemisto.com.ua/school/260577/", 260577)</f>
        <v>260577</v>
      </c>
      <c r="B5642" s="3" t="s">
        <v>29665</v>
      </c>
      <c r="C5642" s="3" t="s">
        <v>7651</v>
      </c>
      <c r="D5642" s="3"/>
      <c r="E5642" s="4" t="s">
        <v>22</v>
      </c>
      <c r="F5642" s="4" t="s">
        <v>28979</v>
      </c>
      <c r="G5642" s="4" t="s">
        <v>29654</v>
      </c>
      <c r="H5642" s="3" t="s">
        <v>26808</v>
      </c>
      <c r="I5642" s="3" t="s">
        <v>29655</v>
      </c>
      <c r="J5642" s="3" t="s">
        <v>29666</v>
      </c>
      <c r="K5642" s="3" t="s">
        <v>29667</v>
      </c>
      <c r="L5642" s="3" t="s">
        <v>29668</v>
      </c>
      <c r="M5642" s="4"/>
      <c r="N5642" s="3"/>
      <c r="O5642" s="3"/>
      <c r="P5642" s="5">
        <v>0</v>
      </c>
      <c r="Q5642" s="5">
        <v>0</v>
      </c>
      <c r="R5642" s="5"/>
      <c r="S5642" s="5"/>
    </row>
    <row r="5643" spans="1:19" ht="42" x14ac:dyDescent="0.15">
      <c r="A5643" s="2">
        <f>HYPERLINK("https://open-school.uspishnemisto.com.ua/school/260578/", 260578)</f>
        <v>260578</v>
      </c>
      <c r="B5643" s="3" t="s">
        <v>29669</v>
      </c>
      <c r="C5643" s="3" t="s">
        <v>31</v>
      </c>
      <c r="D5643" s="3" t="s">
        <v>175</v>
      </c>
      <c r="E5643" s="4" t="s">
        <v>22</v>
      </c>
      <c r="F5643" s="4" t="s">
        <v>28979</v>
      </c>
      <c r="G5643" s="4" t="s">
        <v>29670</v>
      </c>
      <c r="H5643" s="3" t="s">
        <v>26808</v>
      </c>
      <c r="I5643" s="3" t="s">
        <v>29671</v>
      </c>
      <c r="J5643" s="3" t="s">
        <v>29672</v>
      </c>
      <c r="K5643" s="3" t="s">
        <v>29673</v>
      </c>
      <c r="L5643" s="3"/>
      <c r="M5643" s="4"/>
      <c r="N5643" s="3" t="s">
        <v>37</v>
      </c>
      <c r="O5643" s="3" t="s">
        <v>46</v>
      </c>
      <c r="P5643" s="5">
        <v>9</v>
      </c>
      <c r="Q5643" s="5">
        <v>117</v>
      </c>
      <c r="R5643" s="5">
        <v>9</v>
      </c>
      <c r="S5643" s="5">
        <v>123</v>
      </c>
    </row>
    <row r="5644" spans="1:19" ht="42" x14ac:dyDescent="0.15">
      <c r="A5644" s="2">
        <f>HYPERLINK("https://open-school.uspishnemisto.com.ua/school/260579/", 260579)</f>
        <v>260579</v>
      </c>
      <c r="B5644" s="3" t="s">
        <v>29674</v>
      </c>
      <c r="C5644" s="3" t="s">
        <v>31</v>
      </c>
      <c r="D5644" s="3" t="s">
        <v>175</v>
      </c>
      <c r="E5644" s="4" t="s">
        <v>22</v>
      </c>
      <c r="F5644" s="4" t="s">
        <v>29675</v>
      </c>
      <c r="G5644" s="4" t="s">
        <v>29676</v>
      </c>
      <c r="H5644" s="3" t="s">
        <v>26808</v>
      </c>
      <c r="I5644" s="3" t="s">
        <v>29677</v>
      </c>
      <c r="J5644" s="3" t="s">
        <v>29678</v>
      </c>
      <c r="K5644" s="3" t="s">
        <v>29679</v>
      </c>
      <c r="L5644" s="3" t="s">
        <v>29680</v>
      </c>
      <c r="M5644" s="4"/>
      <c r="N5644" s="3" t="s">
        <v>37</v>
      </c>
      <c r="O5644" s="3" t="s">
        <v>46</v>
      </c>
      <c r="P5644" s="5">
        <v>9</v>
      </c>
      <c r="Q5644" s="5">
        <v>100</v>
      </c>
      <c r="R5644" s="5">
        <v>9</v>
      </c>
      <c r="S5644" s="5">
        <v>105</v>
      </c>
    </row>
    <row r="5645" spans="1:19" ht="42" x14ac:dyDescent="0.15">
      <c r="A5645" s="2">
        <f>HYPERLINK("https://open-school.uspishnemisto.com.ua/school/260580/", 260580)</f>
        <v>260580</v>
      </c>
      <c r="B5645" s="3" t="s">
        <v>29681</v>
      </c>
      <c r="C5645" s="3" t="s">
        <v>31</v>
      </c>
      <c r="D5645" s="3" t="s">
        <v>175</v>
      </c>
      <c r="E5645" s="4" t="s">
        <v>22</v>
      </c>
      <c r="F5645" s="4" t="s">
        <v>29682</v>
      </c>
      <c r="G5645" s="4" t="s">
        <v>29683</v>
      </c>
      <c r="H5645" s="3" t="s">
        <v>26808</v>
      </c>
      <c r="I5645" s="3" t="s">
        <v>29684</v>
      </c>
      <c r="J5645" s="3" t="s">
        <v>6379</v>
      </c>
      <c r="K5645" s="3" t="s">
        <v>29685</v>
      </c>
      <c r="L5645" s="3"/>
      <c r="M5645" s="4"/>
      <c r="N5645" s="3" t="s">
        <v>37</v>
      </c>
      <c r="O5645" s="3" t="s">
        <v>46</v>
      </c>
      <c r="P5645" s="5">
        <v>8</v>
      </c>
      <c r="Q5645" s="5">
        <v>95</v>
      </c>
      <c r="R5645" s="5">
        <v>8</v>
      </c>
      <c r="S5645" s="5">
        <v>96</v>
      </c>
    </row>
    <row r="5646" spans="1:19" ht="42" x14ac:dyDescent="0.15">
      <c r="A5646" s="2">
        <f>HYPERLINK("https://open-school.uspishnemisto.com.ua/school/260581/", 260581)</f>
        <v>260581</v>
      </c>
      <c r="B5646" s="3" t="s">
        <v>29686</v>
      </c>
      <c r="C5646" s="3" t="s">
        <v>31</v>
      </c>
      <c r="D5646" s="3" t="s">
        <v>175</v>
      </c>
      <c r="E5646" s="4" t="s">
        <v>22</v>
      </c>
      <c r="F5646" s="4" t="s">
        <v>29687</v>
      </c>
      <c r="G5646" s="4" t="s">
        <v>29688</v>
      </c>
      <c r="H5646" s="3" t="s">
        <v>26808</v>
      </c>
      <c r="I5646" s="3" t="s">
        <v>3046</v>
      </c>
      <c r="J5646" s="3" t="s">
        <v>29689</v>
      </c>
      <c r="K5646" s="3" t="s">
        <v>29690</v>
      </c>
      <c r="L5646" s="3"/>
      <c r="M5646" s="4"/>
      <c r="N5646" s="3" t="s">
        <v>37</v>
      </c>
      <c r="O5646" s="3" t="s">
        <v>46</v>
      </c>
      <c r="P5646" s="5">
        <v>9</v>
      </c>
      <c r="Q5646" s="5">
        <v>116</v>
      </c>
      <c r="R5646" s="5">
        <v>9</v>
      </c>
      <c r="S5646" s="5">
        <v>112</v>
      </c>
    </row>
    <row r="5647" spans="1:19" ht="42" x14ac:dyDescent="0.15">
      <c r="A5647" s="2">
        <f>HYPERLINK("https://open-school.uspishnemisto.com.ua/school/260582/", 260582)</f>
        <v>260582</v>
      </c>
      <c r="B5647" s="3" t="s">
        <v>29691</v>
      </c>
      <c r="C5647" s="3" t="s">
        <v>31</v>
      </c>
      <c r="D5647" s="3" t="s">
        <v>60</v>
      </c>
      <c r="E5647" s="4" t="s">
        <v>22</v>
      </c>
      <c r="F5647" s="4" t="s">
        <v>29692</v>
      </c>
      <c r="G5647" s="4" t="s">
        <v>29693</v>
      </c>
      <c r="H5647" s="3" t="s">
        <v>26808</v>
      </c>
      <c r="I5647" s="3" t="s">
        <v>29694</v>
      </c>
      <c r="J5647" s="3" t="s">
        <v>29695</v>
      </c>
      <c r="K5647" s="3" t="s">
        <v>29696</v>
      </c>
      <c r="L5647" s="3"/>
      <c r="M5647" s="4"/>
      <c r="N5647" s="3" t="s">
        <v>37</v>
      </c>
      <c r="O5647" s="3" t="s">
        <v>618</v>
      </c>
      <c r="P5647" s="5">
        <v>4</v>
      </c>
      <c r="Q5647" s="5">
        <v>21</v>
      </c>
      <c r="R5647" s="5">
        <v>4</v>
      </c>
      <c r="S5647" s="5">
        <v>23</v>
      </c>
    </row>
    <row r="5648" spans="1:19" ht="42" x14ac:dyDescent="0.15">
      <c r="A5648" s="2">
        <f>HYPERLINK("https://open-school.uspishnemisto.com.ua/school/260583/", 260583)</f>
        <v>260583</v>
      </c>
      <c r="B5648" s="3" t="s">
        <v>29697</v>
      </c>
      <c r="C5648" s="3" t="s">
        <v>31</v>
      </c>
      <c r="D5648" s="3" t="s">
        <v>175</v>
      </c>
      <c r="E5648" s="4" t="s">
        <v>22</v>
      </c>
      <c r="F5648" s="4" t="s">
        <v>29698</v>
      </c>
      <c r="G5648" s="4" t="s">
        <v>29699</v>
      </c>
      <c r="H5648" s="3" t="s">
        <v>26808</v>
      </c>
      <c r="I5648" s="3" t="s">
        <v>29700</v>
      </c>
      <c r="J5648" s="3" t="s">
        <v>29701</v>
      </c>
      <c r="K5648" s="3"/>
      <c r="L5648" s="3"/>
      <c r="M5648" s="4"/>
      <c r="N5648" s="3" t="s">
        <v>37</v>
      </c>
      <c r="O5648" s="3" t="s">
        <v>46</v>
      </c>
      <c r="P5648" s="5">
        <v>11</v>
      </c>
      <c r="Q5648" s="5">
        <v>177</v>
      </c>
      <c r="R5648" s="5">
        <v>11</v>
      </c>
      <c r="S5648" s="5">
        <v>176</v>
      </c>
    </row>
    <row r="5649" spans="1:19" ht="42" x14ac:dyDescent="0.15">
      <c r="A5649" s="2">
        <f>HYPERLINK("https://open-school.uspishnemisto.com.ua/school/260584/", 260584)</f>
        <v>260584</v>
      </c>
      <c r="B5649" s="3" t="s">
        <v>29702</v>
      </c>
      <c r="C5649" s="3" t="s">
        <v>31</v>
      </c>
      <c r="D5649" s="3" t="s">
        <v>175</v>
      </c>
      <c r="E5649" s="4" t="s">
        <v>22</v>
      </c>
      <c r="F5649" s="4" t="s">
        <v>29703</v>
      </c>
      <c r="G5649" s="4" t="s">
        <v>29704</v>
      </c>
      <c r="H5649" s="3" t="s">
        <v>26808</v>
      </c>
      <c r="I5649" s="3" t="s">
        <v>29705</v>
      </c>
      <c r="J5649" s="3" t="s">
        <v>29706</v>
      </c>
      <c r="K5649" s="3"/>
      <c r="L5649" s="3"/>
      <c r="M5649" s="4"/>
      <c r="N5649" s="3" t="s">
        <v>37</v>
      </c>
      <c r="O5649" s="3" t="s">
        <v>46</v>
      </c>
      <c r="P5649" s="5">
        <v>10</v>
      </c>
      <c r="Q5649" s="5">
        <v>220</v>
      </c>
      <c r="R5649" s="5">
        <v>10</v>
      </c>
      <c r="S5649" s="5">
        <v>225</v>
      </c>
    </row>
    <row r="5650" spans="1:19" ht="42" x14ac:dyDescent="0.15">
      <c r="A5650" s="2">
        <f>HYPERLINK("https://open-school.uspishnemisto.com.ua/school/260585/", 260585)</f>
        <v>260585</v>
      </c>
      <c r="B5650" s="3" t="s">
        <v>29707</v>
      </c>
      <c r="C5650" s="3" t="s">
        <v>31</v>
      </c>
      <c r="D5650" s="3" t="s">
        <v>32</v>
      </c>
      <c r="E5650" s="4" t="s">
        <v>22</v>
      </c>
      <c r="F5650" s="4" t="s">
        <v>29708</v>
      </c>
      <c r="G5650" s="4" t="s">
        <v>29709</v>
      </c>
      <c r="H5650" s="3" t="s">
        <v>26808</v>
      </c>
      <c r="I5650" s="3" t="s">
        <v>29710</v>
      </c>
      <c r="J5650" s="3" t="s">
        <v>29711</v>
      </c>
      <c r="K5650" s="3" t="s">
        <v>29712</v>
      </c>
      <c r="L5650" s="3"/>
      <c r="M5650" s="4"/>
      <c r="N5650" s="3" t="s">
        <v>37</v>
      </c>
      <c r="O5650" s="3" t="s">
        <v>46</v>
      </c>
      <c r="P5650" s="5">
        <v>13</v>
      </c>
      <c r="Q5650" s="5">
        <v>229</v>
      </c>
      <c r="R5650" s="5">
        <v>13</v>
      </c>
      <c r="S5650" s="5">
        <v>225</v>
      </c>
    </row>
    <row r="5651" spans="1:19" ht="42" x14ac:dyDescent="0.15">
      <c r="A5651" s="2">
        <f>HYPERLINK("https://open-school.uspishnemisto.com.ua/school/260586/", 260586)</f>
        <v>260586</v>
      </c>
      <c r="B5651" s="3" t="s">
        <v>29713</v>
      </c>
      <c r="C5651" s="3" t="s">
        <v>31</v>
      </c>
      <c r="D5651" s="3" t="s">
        <v>32</v>
      </c>
      <c r="E5651" s="4" t="s">
        <v>22</v>
      </c>
      <c r="F5651" s="4" t="s">
        <v>29714</v>
      </c>
      <c r="G5651" s="4" t="s">
        <v>29715</v>
      </c>
      <c r="H5651" s="3" t="s">
        <v>26808</v>
      </c>
      <c r="I5651" s="3" t="s">
        <v>29716</v>
      </c>
      <c r="J5651" s="3" t="s">
        <v>29717</v>
      </c>
      <c r="K5651" s="3"/>
      <c r="L5651" s="3"/>
      <c r="M5651" s="4"/>
      <c r="N5651" s="3" t="s">
        <v>37</v>
      </c>
      <c r="O5651" s="3" t="s">
        <v>46</v>
      </c>
      <c r="P5651" s="5">
        <v>11</v>
      </c>
      <c r="Q5651" s="5">
        <v>157</v>
      </c>
      <c r="R5651" s="5">
        <v>11</v>
      </c>
      <c r="S5651" s="5">
        <v>165</v>
      </c>
    </row>
    <row r="5652" spans="1:19" ht="42" x14ac:dyDescent="0.15">
      <c r="A5652" s="2">
        <f>HYPERLINK("https://open-school.uspishnemisto.com.ua/school/260587/", 260587)</f>
        <v>260587</v>
      </c>
      <c r="B5652" s="3" t="s">
        <v>29718</v>
      </c>
      <c r="C5652" s="3" t="s">
        <v>31</v>
      </c>
      <c r="D5652" s="3" t="s">
        <v>175</v>
      </c>
      <c r="E5652" s="4" t="s">
        <v>22</v>
      </c>
      <c r="F5652" s="4" t="s">
        <v>29719</v>
      </c>
      <c r="G5652" s="4" t="s">
        <v>29720</v>
      </c>
      <c r="H5652" s="3" t="s">
        <v>26808</v>
      </c>
      <c r="I5652" s="3" t="s">
        <v>4430</v>
      </c>
      <c r="J5652" s="3" t="s">
        <v>10399</v>
      </c>
      <c r="K5652" s="3" t="s">
        <v>29721</v>
      </c>
      <c r="L5652" s="3"/>
      <c r="M5652" s="4"/>
      <c r="N5652" s="3" t="s">
        <v>37</v>
      </c>
      <c r="O5652" s="3" t="s">
        <v>46</v>
      </c>
      <c r="P5652" s="5">
        <v>9</v>
      </c>
      <c r="Q5652" s="5">
        <v>104</v>
      </c>
      <c r="R5652" s="5">
        <v>9</v>
      </c>
      <c r="S5652" s="5">
        <v>100</v>
      </c>
    </row>
    <row r="5653" spans="1:19" ht="42" x14ac:dyDescent="0.15">
      <c r="A5653" s="2">
        <f>HYPERLINK("https://open-school.uspishnemisto.com.ua/school/260588/", 260588)</f>
        <v>260588</v>
      </c>
      <c r="B5653" s="3" t="s">
        <v>29722</v>
      </c>
      <c r="C5653" s="3" t="s">
        <v>31</v>
      </c>
      <c r="D5653" s="3" t="s">
        <v>175</v>
      </c>
      <c r="E5653" s="4" t="s">
        <v>22</v>
      </c>
      <c r="F5653" s="4" t="s">
        <v>29723</v>
      </c>
      <c r="G5653" s="4" t="s">
        <v>29724</v>
      </c>
      <c r="H5653" s="3" t="s">
        <v>26808</v>
      </c>
      <c r="I5653" s="3" t="s">
        <v>17369</v>
      </c>
      <c r="J5653" s="3" t="s">
        <v>29725</v>
      </c>
      <c r="K5653" s="3"/>
      <c r="L5653" s="3"/>
      <c r="M5653" s="4"/>
      <c r="N5653" s="3" t="s">
        <v>37</v>
      </c>
      <c r="O5653" s="3" t="s">
        <v>46</v>
      </c>
      <c r="P5653" s="5">
        <v>9</v>
      </c>
      <c r="Q5653" s="5">
        <v>71</v>
      </c>
      <c r="R5653" s="5">
        <v>9</v>
      </c>
      <c r="S5653" s="5">
        <v>68</v>
      </c>
    </row>
    <row r="5654" spans="1:19" ht="42" x14ac:dyDescent="0.15">
      <c r="A5654" s="2">
        <f>HYPERLINK("https://open-school.uspishnemisto.com.ua/school/260589/", 260589)</f>
        <v>260589</v>
      </c>
      <c r="B5654" s="3" t="s">
        <v>29726</v>
      </c>
      <c r="C5654" s="3" t="s">
        <v>31</v>
      </c>
      <c r="D5654" s="3" t="s">
        <v>175</v>
      </c>
      <c r="E5654" s="4" t="s">
        <v>22</v>
      </c>
      <c r="F5654" s="4" t="s">
        <v>29727</v>
      </c>
      <c r="G5654" s="4" t="s">
        <v>29728</v>
      </c>
      <c r="H5654" s="3" t="s">
        <v>26808</v>
      </c>
      <c r="I5654" s="3" t="s">
        <v>29729</v>
      </c>
      <c r="J5654" s="3" t="s">
        <v>7480</v>
      </c>
      <c r="K5654" s="3" t="s">
        <v>29730</v>
      </c>
      <c r="L5654" s="3"/>
      <c r="M5654" s="4"/>
      <c r="N5654" s="3" t="s">
        <v>37</v>
      </c>
      <c r="O5654" s="3" t="s">
        <v>46</v>
      </c>
      <c r="P5654" s="5">
        <v>9</v>
      </c>
      <c r="Q5654" s="5">
        <v>99</v>
      </c>
      <c r="R5654" s="5">
        <v>9</v>
      </c>
      <c r="S5654" s="5">
        <v>95</v>
      </c>
    </row>
    <row r="5655" spans="1:19" ht="42" x14ac:dyDescent="0.15">
      <c r="A5655" s="2">
        <f>HYPERLINK("https://open-school.uspishnemisto.com.ua/school/260590/", 260590)</f>
        <v>260590</v>
      </c>
      <c r="B5655" s="3" t="s">
        <v>29731</v>
      </c>
      <c r="C5655" s="3" t="s">
        <v>31</v>
      </c>
      <c r="D5655" s="3" t="s">
        <v>32</v>
      </c>
      <c r="E5655" s="4" t="s">
        <v>22</v>
      </c>
      <c r="F5655" s="4" t="s">
        <v>29732</v>
      </c>
      <c r="G5655" s="4" t="s">
        <v>29733</v>
      </c>
      <c r="H5655" s="3" t="s">
        <v>26808</v>
      </c>
      <c r="I5655" s="3" t="s">
        <v>4005</v>
      </c>
      <c r="J5655" s="3" t="s">
        <v>29734</v>
      </c>
      <c r="K5655" s="3" t="s">
        <v>29735</v>
      </c>
      <c r="L5655" s="3"/>
      <c r="M5655" s="4"/>
      <c r="N5655" s="3" t="s">
        <v>37</v>
      </c>
      <c r="O5655" s="3" t="s">
        <v>46</v>
      </c>
      <c r="P5655" s="5">
        <v>11</v>
      </c>
      <c r="Q5655" s="5">
        <v>131</v>
      </c>
      <c r="R5655" s="5">
        <v>11</v>
      </c>
      <c r="S5655" s="5">
        <v>135</v>
      </c>
    </row>
    <row r="5656" spans="1:19" ht="42" x14ac:dyDescent="0.15">
      <c r="A5656" s="2">
        <f>HYPERLINK("https://open-school.uspishnemisto.com.ua/school/260591/", 260591)</f>
        <v>260591</v>
      </c>
      <c r="B5656" s="3" t="s">
        <v>29736</v>
      </c>
      <c r="C5656" s="3" t="s">
        <v>31</v>
      </c>
      <c r="D5656" s="3" t="s">
        <v>175</v>
      </c>
      <c r="E5656" s="4" t="s">
        <v>22</v>
      </c>
      <c r="F5656" s="4" t="s">
        <v>29737</v>
      </c>
      <c r="G5656" s="4" t="s">
        <v>29738</v>
      </c>
      <c r="H5656" s="3" t="s">
        <v>26808</v>
      </c>
      <c r="I5656" s="3" t="s">
        <v>29739</v>
      </c>
      <c r="J5656" s="3" t="s">
        <v>4734</v>
      </c>
      <c r="K5656" s="3" t="s">
        <v>29740</v>
      </c>
      <c r="L5656" s="3"/>
      <c r="M5656" s="4"/>
      <c r="N5656" s="3" t="s">
        <v>37</v>
      </c>
      <c r="O5656" s="3" t="s">
        <v>46</v>
      </c>
      <c r="P5656" s="5">
        <v>9</v>
      </c>
      <c r="Q5656" s="5">
        <v>163</v>
      </c>
      <c r="R5656" s="5">
        <v>9</v>
      </c>
      <c r="S5656" s="5">
        <v>153</v>
      </c>
    </row>
    <row r="5657" spans="1:19" ht="42" x14ac:dyDescent="0.15">
      <c r="A5657" s="2">
        <f>HYPERLINK("https://open-school.uspishnemisto.com.ua/school/260592/", 260592)</f>
        <v>260592</v>
      </c>
      <c r="B5657" s="3" t="s">
        <v>29741</v>
      </c>
      <c r="C5657" s="3" t="s">
        <v>31</v>
      </c>
      <c r="D5657" s="3" t="s">
        <v>32</v>
      </c>
      <c r="E5657" s="4" t="s">
        <v>22</v>
      </c>
      <c r="F5657" s="4" t="s">
        <v>29742</v>
      </c>
      <c r="G5657" s="4" t="s">
        <v>29743</v>
      </c>
      <c r="H5657" s="3" t="s">
        <v>26808</v>
      </c>
      <c r="I5657" s="3" t="s">
        <v>29744</v>
      </c>
      <c r="J5657" s="3" t="s">
        <v>466</v>
      </c>
      <c r="K5657" s="3"/>
      <c r="L5657" s="3"/>
      <c r="M5657" s="4"/>
      <c r="N5657" s="3" t="s">
        <v>37</v>
      </c>
      <c r="O5657" s="3" t="s">
        <v>46</v>
      </c>
      <c r="P5657" s="5">
        <v>11</v>
      </c>
      <c r="Q5657" s="5">
        <v>178</v>
      </c>
      <c r="R5657" s="5">
        <v>11</v>
      </c>
      <c r="S5657" s="5">
        <v>195</v>
      </c>
    </row>
    <row r="5658" spans="1:19" ht="42" x14ac:dyDescent="0.15">
      <c r="A5658" s="2">
        <f>HYPERLINK("https://open-school.uspishnemisto.com.ua/school/260593/", 260593)</f>
        <v>260593</v>
      </c>
      <c r="B5658" s="3" t="s">
        <v>29745</v>
      </c>
      <c r="C5658" s="3" t="s">
        <v>31</v>
      </c>
      <c r="D5658" s="3" t="s">
        <v>32</v>
      </c>
      <c r="E5658" s="4" t="s">
        <v>22</v>
      </c>
      <c r="F5658" s="4" t="s">
        <v>29746</v>
      </c>
      <c r="G5658" s="4" t="s">
        <v>29747</v>
      </c>
      <c r="H5658" s="3" t="s">
        <v>26808</v>
      </c>
      <c r="I5658" s="3" t="s">
        <v>29748</v>
      </c>
      <c r="J5658" s="3" t="s">
        <v>29749</v>
      </c>
      <c r="K5658" s="3" t="s">
        <v>29750</v>
      </c>
      <c r="L5658" s="3" t="s">
        <v>29751</v>
      </c>
      <c r="M5658" s="4"/>
      <c r="N5658" s="3" t="s">
        <v>37</v>
      </c>
      <c r="O5658" s="3" t="s">
        <v>46</v>
      </c>
      <c r="P5658" s="5">
        <v>14</v>
      </c>
      <c r="Q5658" s="5">
        <v>271</v>
      </c>
      <c r="R5658" s="5">
        <v>14</v>
      </c>
      <c r="S5658" s="5">
        <v>279</v>
      </c>
    </row>
    <row r="5659" spans="1:19" ht="42" x14ac:dyDescent="0.15">
      <c r="A5659" s="2">
        <f>HYPERLINK("https://open-school.uspishnemisto.com.ua/school/260594/", 260594)</f>
        <v>260594</v>
      </c>
      <c r="B5659" s="3" t="s">
        <v>29752</v>
      </c>
      <c r="C5659" s="3" t="s">
        <v>31</v>
      </c>
      <c r="D5659" s="3" t="s">
        <v>32</v>
      </c>
      <c r="E5659" s="4" t="s">
        <v>22</v>
      </c>
      <c r="F5659" s="4" t="s">
        <v>29753</v>
      </c>
      <c r="G5659" s="4" t="s">
        <v>29754</v>
      </c>
      <c r="H5659" s="3" t="s">
        <v>26808</v>
      </c>
      <c r="I5659" s="3" t="s">
        <v>29755</v>
      </c>
      <c r="J5659" s="3" t="s">
        <v>29756</v>
      </c>
      <c r="K5659" s="3" t="s">
        <v>29757</v>
      </c>
      <c r="L5659" s="3"/>
      <c r="M5659" s="4"/>
      <c r="N5659" s="3" t="s">
        <v>37</v>
      </c>
      <c r="O5659" s="3" t="s">
        <v>46</v>
      </c>
      <c r="P5659" s="5">
        <v>21</v>
      </c>
      <c r="Q5659" s="5">
        <v>482</v>
      </c>
      <c r="R5659" s="5">
        <v>21</v>
      </c>
      <c r="S5659" s="5">
        <v>464</v>
      </c>
    </row>
    <row r="5660" spans="1:19" ht="42" x14ac:dyDescent="0.15">
      <c r="A5660" s="2">
        <f>HYPERLINK("https://open-school.uspishnemisto.com.ua/school/260595/", 260595)</f>
        <v>260595</v>
      </c>
      <c r="B5660" s="3" t="s">
        <v>29758</v>
      </c>
      <c r="C5660" s="3" t="s">
        <v>31</v>
      </c>
      <c r="D5660" s="3" t="s">
        <v>60</v>
      </c>
      <c r="E5660" s="4" t="s">
        <v>22</v>
      </c>
      <c r="F5660" s="4" t="s">
        <v>29753</v>
      </c>
      <c r="G5660" s="4" t="s">
        <v>29759</v>
      </c>
      <c r="H5660" s="3" t="s">
        <v>26808</v>
      </c>
      <c r="I5660" s="3" t="s">
        <v>29760</v>
      </c>
      <c r="J5660" s="3" t="s">
        <v>1001</v>
      </c>
      <c r="K5660" s="3"/>
      <c r="L5660" s="3"/>
      <c r="M5660" s="4"/>
      <c r="N5660" s="3" t="s">
        <v>37</v>
      </c>
      <c r="O5660" s="3" t="s">
        <v>52</v>
      </c>
      <c r="P5660" s="5">
        <v>4</v>
      </c>
      <c r="Q5660" s="5">
        <v>23</v>
      </c>
      <c r="R5660" s="5">
        <v>4</v>
      </c>
      <c r="S5660" s="5">
        <v>28</v>
      </c>
    </row>
    <row r="5661" spans="1:19" ht="42" x14ac:dyDescent="0.15">
      <c r="A5661" s="2">
        <f>HYPERLINK("https://open-school.uspishnemisto.com.ua/school/260596/", 260596)</f>
        <v>260596</v>
      </c>
      <c r="B5661" s="3" t="s">
        <v>29761</v>
      </c>
      <c r="C5661" s="3" t="s">
        <v>31</v>
      </c>
      <c r="D5661" s="3" t="s">
        <v>32</v>
      </c>
      <c r="E5661" s="4" t="s">
        <v>22</v>
      </c>
      <c r="F5661" s="4" t="s">
        <v>29762</v>
      </c>
      <c r="G5661" s="4" t="s">
        <v>29763</v>
      </c>
      <c r="H5661" s="3" t="s">
        <v>26808</v>
      </c>
      <c r="I5661" s="3" t="s">
        <v>29764</v>
      </c>
      <c r="J5661" s="3" t="s">
        <v>29765</v>
      </c>
      <c r="K5661" s="3" t="s">
        <v>29766</v>
      </c>
      <c r="L5661" s="3"/>
      <c r="M5661" s="4"/>
      <c r="N5661" s="3" t="s">
        <v>37</v>
      </c>
      <c r="O5661" s="3" t="s">
        <v>46</v>
      </c>
      <c r="P5661" s="5">
        <v>13</v>
      </c>
      <c r="Q5661" s="5">
        <v>285</v>
      </c>
      <c r="R5661" s="5">
        <v>14</v>
      </c>
      <c r="S5661" s="5">
        <v>285</v>
      </c>
    </row>
    <row r="5662" spans="1:19" ht="42" x14ac:dyDescent="0.15">
      <c r="A5662" s="2">
        <f>HYPERLINK("https://open-school.uspishnemisto.com.ua/school/260597/", 260597)</f>
        <v>260597</v>
      </c>
      <c r="B5662" s="3" t="s">
        <v>29767</v>
      </c>
      <c r="C5662" s="3" t="s">
        <v>31</v>
      </c>
      <c r="D5662" s="3" t="s">
        <v>175</v>
      </c>
      <c r="E5662" s="4" t="s">
        <v>22</v>
      </c>
      <c r="F5662" s="4" t="s">
        <v>29768</v>
      </c>
      <c r="G5662" s="4" t="s">
        <v>29769</v>
      </c>
      <c r="H5662" s="3" t="s">
        <v>26808</v>
      </c>
      <c r="I5662" s="3" t="s">
        <v>5393</v>
      </c>
      <c r="J5662" s="3" t="s">
        <v>466</v>
      </c>
      <c r="K5662" s="3" t="s">
        <v>29770</v>
      </c>
      <c r="L5662" s="3"/>
      <c r="M5662" s="4"/>
      <c r="N5662" s="3" t="s">
        <v>37</v>
      </c>
      <c r="O5662" s="3" t="s">
        <v>46</v>
      </c>
      <c r="P5662" s="5">
        <v>8</v>
      </c>
      <c r="Q5662" s="5">
        <v>93</v>
      </c>
      <c r="R5662" s="5">
        <v>9</v>
      </c>
      <c r="S5662" s="5">
        <v>94</v>
      </c>
    </row>
    <row r="5663" spans="1:19" ht="42" x14ac:dyDescent="0.15">
      <c r="A5663" s="2">
        <f>HYPERLINK("https://open-school.uspishnemisto.com.ua/school/260598/", 260598)</f>
        <v>260598</v>
      </c>
      <c r="B5663" s="3" t="s">
        <v>29771</v>
      </c>
      <c r="C5663" s="3" t="s">
        <v>31</v>
      </c>
      <c r="D5663" s="3" t="s">
        <v>60</v>
      </c>
      <c r="E5663" s="4" t="s">
        <v>22</v>
      </c>
      <c r="F5663" s="4" t="s">
        <v>29772</v>
      </c>
      <c r="G5663" s="4" t="s">
        <v>29773</v>
      </c>
      <c r="H5663" s="3" t="s">
        <v>26808</v>
      </c>
      <c r="I5663" s="3" t="s">
        <v>29774</v>
      </c>
      <c r="J5663" s="3" t="s">
        <v>29775</v>
      </c>
      <c r="K5663" s="3" t="s">
        <v>29776</v>
      </c>
      <c r="L5663" s="3"/>
      <c r="M5663" s="4"/>
      <c r="N5663" s="3" t="s">
        <v>37</v>
      </c>
      <c r="O5663" s="3" t="s">
        <v>52</v>
      </c>
      <c r="P5663" s="5">
        <v>4</v>
      </c>
      <c r="Q5663" s="5">
        <v>40</v>
      </c>
      <c r="R5663" s="5">
        <v>4</v>
      </c>
      <c r="S5663" s="5">
        <v>42</v>
      </c>
    </row>
    <row r="5664" spans="1:19" ht="42" x14ac:dyDescent="0.15">
      <c r="A5664" s="2">
        <f>HYPERLINK("https://open-school.uspishnemisto.com.ua/school/260599/", 260599)</f>
        <v>260599</v>
      </c>
      <c r="B5664" s="3" t="s">
        <v>29777</v>
      </c>
      <c r="C5664" s="3" t="s">
        <v>31</v>
      </c>
      <c r="D5664" s="3" t="s">
        <v>175</v>
      </c>
      <c r="E5664" s="4" t="s">
        <v>22</v>
      </c>
      <c r="F5664" s="4" t="s">
        <v>29778</v>
      </c>
      <c r="G5664" s="4" t="s">
        <v>29779</v>
      </c>
      <c r="H5664" s="3" t="s">
        <v>26808</v>
      </c>
      <c r="I5664" s="3" t="s">
        <v>29780</v>
      </c>
      <c r="J5664" s="3" t="s">
        <v>26366</v>
      </c>
      <c r="K5664" s="3" t="s">
        <v>29781</v>
      </c>
      <c r="L5664" s="3"/>
      <c r="M5664" s="4"/>
      <c r="N5664" s="3" t="s">
        <v>37</v>
      </c>
      <c r="O5664" s="3" t="s">
        <v>46</v>
      </c>
      <c r="P5664" s="5">
        <v>9</v>
      </c>
      <c r="Q5664" s="5">
        <v>147</v>
      </c>
      <c r="R5664" s="5">
        <v>9</v>
      </c>
      <c r="S5664" s="5">
        <v>149</v>
      </c>
    </row>
    <row r="5665" spans="1:19" ht="42" x14ac:dyDescent="0.15">
      <c r="A5665" s="2">
        <f>HYPERLINK("https://open-school.uspishnemisto.com.ua/school/260600/", 260600)</f>
        <v>260600</v>
      </c>
      <c r="B5665" s="3" t="s">
        <v>29782</v>
      </c>
      <c r="C5665" s="3" t="s">
        <v>31</v>
      </c>
      <c r="D5665" s="3" t="s">
        <v>32</v>
      </c>
      <c r="E5665" s="4" t="s">
        <v>22</v>
      </c>
      <c r="F5665" s="4" t="s">
        <v>29778</v>
      </c>
      <c r="G5665" s="4" t="s">
        <v>29779</v>
      </c>
      <c r="H5665" s="3" t="s">
        <v>26808</v>
      </c>
      <c r="I5665" s="3" t="s">
        <v>29780</v>
      </c>
      <c r="J5665" s="3" t="s">
        <v>27242</v>
      </c>
      <c r="K5665" s="3" t="s">
        <v>29783</v>
      </c>
      <c r="L5665" s="3" t="s">
        <v>29784</v>
      </c>
      <c r="M5665" s="4"/>
      <c r="N5665" s="3" t="s">
        <v>37</v>
      </c>
      <c r="O5665" s="3" t="s">
        <v>46</v>
      </c>
      <c r="P5665" s="5">
        <v>11</v>
      </c>
      <c r="Q5665" s="5">
        <v>217</v>
      </c>
      <c r="R5665" s="5">
        <v>11</v>
      </c>
      <c r="S5665" s="5">
        <v>208</v>
      </c>
    </row>
    <row r="5666" spans="1:19" ht="42" x14ac:dyDescent="0.15">
      <c r="A5666" s="2">
        <f>HYPERLINK("https://open-school.uspishnemisto.com.ua/school/260601/", 260601)</f>
        <v>260601</v>
      </c>
      <c r="B5666" s="3" t="s">
        <v>29785</v>
      </c>
      <c r="C5666" s="3" t="s">
        <v>31</v>
      </c>
      <c r="D5666" s="3" t="s">
        <v>32</v>
      </c>
      <c r="E5666" s="4" t="s">
        <v>22</v>
      </c>
      <c r="F5666" s="4" t="s">
        <v>29786</v>
      </c>
      <c r="G5666" s="4" t="s">
        <v>29787</v>
      </c>
      <c r="H5666" s="3" t="s">
        <v>26808</v>
      </c>
      <c r="I5666" s="3" t="s">
        <v>29788</v>
      </c>
      <c r="J5666" s="3" t="s">
        <v>17309</v>
      </c>
      <c r="K5666" s="3" t="s">
        <v>29789</v>
      </c>
      <c r="L5666" s="3" t="s">
        <v>29790</v>
      </c>
      <c r="M5666" s="4"/>
      <c r="N5666" s="3" t="s">
        <v>37</v>
      </c>
      <c r="O5666" s="3" t="s">
        <v>70</v>
      </c>
      <c r="P5666" s="5">
        <v>11</v>
      </c>
      <c r="Q5666" s="5">
        <v>75</v>
      </c>
      <c r="R5666" s="5">
        <v>11</v>
      </c>
      <c r="S5666" s="5">
        <v>75</v>
      </c>
    </row>
    <row r="5667" spans="1:19" ht="42" x14ac:dyDescent="0.15">
      <c r="A5667" s="2">
        <f>HYPERLINK("https://open-school.uspishnemisto.com.ua/school/260602/", 260602)</f>
        <v>260602</v>
      </c>
      <c r="B5667" s="3" t="s">
        <v>29791</v>
      </c>
      <c r="C5667" s="3" t="s">
        <v>31</v>
      </c>
      <c r="D5667" s="3" t="s">
        <v>32</v>
      </c>
      <c r="E5667" s="4" t="s">
        <v>22</v>
      </c>
      <c r="F5667" s="4" t="s">
        <v>29692</v>
      </c>
      <c r="G5667" s="4" t="s">
        <v>29792</v>
      </c>
      <c r="H5667" s="3" t="s">
        <v>26808</v>
      </c>
      <c r="I5667" s="3" t="s">
        <v>29793</v>
      </c>
      <c r="J5667" s="3" t="s">
        <v>29794</v>
      </c>
      <c r="K5667" s="3" t="s">
        <v>29795</v>
      </c>
      <c r="L5667" s="3" t="s">
        <v>29796</v>
      </c>
      <c r="M5667" s="4"/>
      <c r="N5667" s="3" t="s">
        <v>37</v>
      </c>
      <c r="O5667" s="3" t="s">
        <v>46</v>
      </c>
      <c r="P5667" s="5">
        <v>14</v>
      </c>
      <c r="Q5667" s="5">
        <v>239</v>
      </c>
      <c r="R5667" s="5">
        <v>15</v>
      </c>
      <c r="S5667" s="5">
        <v>249</v>
      </c>
    </row>
    <row r="5668" spans="1:19" ht="42" x14ac:dyDescent="0.15">
      <c r="A5668" s="2">
        <f>HYPERLINK("https://open-school.uspishnemisto.com.ua/school/260603/", 260603)</f>
        <v>260603</v>
      </c>
      <c r="B5668" s="3" t="s">
        <v>29797</v>
      </c>
      <c r="C5668" s="3" t="s">
        <v>31</v>
      </c>
      <c r="D5668" s="3" t="s">
        <v>32</v>
      </c>
      <c r="E5668" s="4" t="s">
        <v>22</v>
      </c>
      <c r="F5668" s="4" t="s">
        <v>29798</v>
      </c>
      <c r="G5668" s="4" t="s">
        <v>29799</v>
      </c>
      <c r="H5668" s="3" t="s">
        <v>26808</v>
      </c>
      <c r="I5668" s="3" t="s">
        <v>29800</v>
      </c>
      <c r="J5668" s="3" t="s">
        <v>29801</v>
      </c>
      <c r="K5668" s="3" t="s">
        <v>29802</v>
      </c>
      <c r="L5668" s="3"/>
      <c r="M5668" s="4"/>
      <c r="N5668" s="3" t="s">
        <v>37</v>
      </c>
      <c r="O5668" s="3" t="s">
        <v>46</v>
      </c>
      <c r="P5668" s="5">
        <v>22</v>
      </c>
      <c r="Q5668" s="5">
        <v>546</v>
      </c>
      <c r="R5668" s="5">
        <v>23</v>
      </c>
      <c r="S5668" s="5">
        <v>552</v>
      </c>
    </row>
    <row r="5669" spans="1:19" ht="42" x14ac:dyDescent="0.15">
      <c r="A5669" s="2">
        <f>HYPERLINK("https://open-school.uspishnemisto.com.ua/school/260604/", 260604)</f>
        <v>260604</v>
      </c>
      <c r="B5669" s="3" t="s">
        <v>29803</v>
      </c>
      <c r="C5669" s="3" t="s">
        <v>31</v>
      </c>
      <c r="D5669" s="3" t="s">
        <v>175</v>
      </c>
      <c r="E5669" s="4" t="s">
        <v>22</v>
      </c>
      <c r="F5669" s="4" t="s">
        <v>29804</v>
      </c>
      <c r="G5669" s="4" t="s">
        <v>29805</v>
      </c>
      <c r="H5669" s="3" t="s">
        <v>26808</v>
      </c>
      <c r="I5669" s="3" t="s">
        <v>29806</v>
      </c>
      <c r="J5669" s="3" t="s">
        <v>29807</v>
      </c>
      <c r="K5669" s="3" t="s">
        <v>29808</v>
      </c>
      <c r="L5669" s="3"/>
      <c r="M5669" s="4"/>
      <c r="N5669" s="3" t="s">
        <v>37</v>
      </c>
      <c r="O5669" s="3" t="s">
        <v>70</v>
      </c>
      <c r="P5669" s="5">
        <v>9</v>
      </c>
      <c r="Q5669" s="5">
        <v>142</v>
      </c>
      <c r="R5669" s="5">
        <v>9</v>
      </c>
      <c r="S5669" s="5">
        <v>148</v>
      </c>
    </row>
    <row r="5670" spans="1:19" ht="42" x14ac:dyDescent="0.15">
      <c r="A5670" s="2">
        <f>HYPERLINK("https://open-school.uspishnemisto.com.ua/school/260605/", 260605)</f>
        <v>260605</v>
      </c>
      <c r="B5670" s="3" t="s">
        <v>29809</v>
      </c>
      <c r="C5670" s="3" t="s">
        <v>31</v>
      </c>
      <c r="D5670" s="3" t="s">
        <v>32</v>
      </c>
      <c r="E5670" s="4" t="s">
        <v>22</v>
      </c>
      <c r="F5670" s="4" t="s">
        <v>29810</v>
      </c>
      <c r="G5670" s="4" t="s">
        <v>29811</v>
      </c>
      <c r="H5670" s="3" t="s">
        <v>26808</v>
      </c>
      <c r="I5670" s="3" t="s">
        <v>28743</v>
      </c>
      <c r="J5670" s="3" t="s">
        <v>29812</v>
      </c>
      <c r="K5670" s="3" t="s">
        <v>29813</v>
      </c>
      <c r="L5670" s="3" t="s">
        <v>29814</v>
      </c>
      <c r="M5670" s="4"/>
      <c r="N5670" s="3" t="s">
        <v>37</v>
      </c>
      <c r="O5670" s="3" t="s">
        <v>197</v>
      </c>
      <c r="P5670" s="5">
        <v>20</v>
      </c>
      <c r="Q5670" s="5">
        <v>258</v>
      </c>
      <c r="R5670" s="5">
        <v>21</v>
      </c>
      <c r="S5670" s="5">
        <v>260</v>
      </c>
    </row>
    <row r="5671" spans="1:19" ht="42" x14ac:dyDescent="0.15">
      <c r="A5671" s="2">
        <f>HYPERLINK("https://open-school.uspishnemisto.com.ua/school/260606/", 260606)</f>
        <v>260606</v>
      </c>
      <c r="B5671" s="3" t="s">
        <v>29815</v>
      </c>
      <c r="C5671" s="3" t="s">
        <v>31</v>
      </c>
      <c r="D5671" s="3" t="s">
        <v>60</v>
      </c>
      <c r="E5671" s="4" t="s">
        <v>22</v>
      </c>
      <c r="F5671" s="4" t="s">
        <v>29810</v>
      </c>
      <c r="G5671" s="4" t="s">
        <v>29816</v>
      </c>
      <c r="H5671" s="3" t="s">
        <v>26808</v>
      </c>
      <c r="I5671" s="3" t="s">
        <v>29817</v>
      </c>
      <c r="J5671" s="3" t="s">
        <v>26223</v>
      </c>
      <c r="K5671" s="3"/>
      <c r="L5671" s="3"/>
      <c r="M5671" s="4"/>
      <c r="N5671" s="3" t="s">
        <v>37</v>
      </c>
      <c r="O5671" s="3" t="s">
        <v>618</v>
      </c>
      <c r="P5671" s="5">
        <v>4</v>
      </c>
      <c r="Q5671" s="5">
        <v>28</v>
      </c>
      <c r="R5671" s="5">
        <v>4</v>
      </c>
      <c r="S5671" s="5">
        <v>29</v>
      </c>
    </row>
    <row r="5672" spans="1:19" ht="42" x14ac:dyDescent="0.15">
      <c r="A5672" s="2">
        <f>HYPERLINK("https://open-school.uspishnemisto.com.ua/school/260607/", 260607)</f>
        <v>260607</v>
      </c>
      <c r="B5672" s="3" t="s">
        <v>29818</v>
      </c>
      <c r="C5672" s="3" t="s">
        <v>31</v>
      </c>
      <c r="D5672" s="3" t="s">
        <v>175</v>
      </c>
      <c r="E5672" s="4" t="s">
        <v>22</v>
      </c>
      <c r="F5672" s="4" t="s">
        <v>29819</v>
      </c>
      <c r="G5672" s="4" t="s">
        <v>29820</v>
      </c>
      <c r="H5672" s="3" t="s">
        <v>26808</v>
      </c>
      <c r="I5672" s="3" t="s">
        <v>29821</v>
      </c>
      <c r="J5672" s="3" t="s">
        <v>29822</v>
      </c>
      <c r="K5672" s="3" t="s">
        <v>29823</v>
      </c>
      <c r="L5672" s="3"/>
      <c r="M5672" s="4"/>
      <c r="N5672" s="3" t="s">
        <v>37</v>
      </c>
      <c r="O5672" s="3" t="s">
        <v>46</v>
      </c>
      <c r="P5672" s="5">
        <v>9</v>
      </c>
      <c r="Q5672" s="5">
        <v>108</v>
      </c>
      <c r="R5672" s="5">
        <v>9</v>
      </c>
      <c r="S5672" s="5">
        <v>115</v>
      </c>
    </row>
    <row r="5673" spans="1:19" ht="42" x14ac:dyDescent="0.15">
      <c r="A5673" s="2">
        <f>HYPERLINK("https://open-school.uspishnemisto.com.ua/school/260608/", 260608)</f>
        <v>260608</v>
      </c>
      <c r="B5673" s="3" t="s">
        <v>29824</v>
      </c>
      <c r="C5673" s="3" t="s">
        <v>31</v>
      </c>
      <c r="D5673" s="3" t="s">
        <v>32</v>
      </c>
      <c r="E5673" s="4" t="s">
        <v>22</v>
      </c>
      <c r="F5673" s="4" t="s">
        <v>29825</v>
      </c>
      <c r="G5673" s="4" t="s">
        <v>29826</v>
      </c>
      <c r="H5673" s="3" t="s">
        <v>26808</v>
      </c>
      <c r="I5673" s="3" t="s">
        <v>29827</v>
      </c>
      <c r="J5673" s="3" t="s">
        <v>29828</v>
      </c>
      <c r="K5673" s="3" t="s">
        <v>29829</v>
      </c>
      <c r="L5673" s="3"/>
      <c r="M5673" s="4"/>
      <c r="N5673" s="3" t="s">
        <v>37</v>
      </c>
      <c r="O5673" s="3" t="s">
        <v>46</v>
      </c>
      <c r="P5673" s="5">
        <v>11</v>
      </c>
      <c r="Q5673" s="5">
        <v>163</v>
      </c>
      <c r="R5673" s="5">
        <v>11</v>
      </c>
      <c r="S5673" s="5">
        <v>156</v>
      </c>
    </row>
    <row r="5674" spans="1:19" ht="42" x14ac:dyDescent="0.15">
      <c r="A5674" s="2">
        <f>HYPERLINK("https://open-school.uspishnemisto.com.ua/school/260609/", 260609)</f>
        <v>260609</v>
      </c>
      <c r="B5674" s="3" t="s">
        <v>29830</v>
      </c>
      <c r="C5674" s="3" t="s">
        <v>31</v>
      </c>
      <c r="D5674" s="3" t="s">
        <v>175</v>
      </c>
      <c r="E5674" s="4" t="s">
        <v>22</v>
      </c>
      <c r="F5674" s="4" t="s">
        <v>29831</v>
      </c>
      <c r="G5674" s="4" t="s">
        <v>29832</v>
      </c>
      <c r="H5674" s="3" t="s">
        <v>26808</v>
      </c>
      <c r="I5674" s="3" t="s">
        <v>29833</v>
      </c>
      <c r="J5674" s="3" t="s">
        <v>29834</v>
      </c>
      <c r="K5674" s="3" t="s">
        <v>29835</v>
      </c>
      <c r="L5674" s="3"/>
      <c r="M5674" s="4"/>
      <c r="N5674" s="3" t="s">
        <v>37</v>
      </c>
      <c r="O5674" s="3" t="s">
        <v>46</v>
      </c>
      <c r="P5674" s="5">
        <v>10</v>
      </c>
      <c r="Q5674" s="5">
        <v>100</v>
      </c>
      <c r="R5674" s="5">
        <v>9</v>
      </c>
      <c r="S5674" s="5">
        <v>94</v>
      </c>
    </row>
    <row r="5675" spans="1:19" ht="42" x14ac:dyDescent="0.15">
      <c r="A5675" s="2">
        <f>HYPERLINK("https://open-school.uspishnemisto.com.ua/school/260610/", 260610)</f>
        <v>260610</v>
      </c>
      <c r="B5675" s="3" t="s">
        <v>29836</v>
      </c>
      <c r="C5675" s="3" t="s">
        <v>31</v>
      </c>
      <c r="D5675" s="3" t="s">
        <v>60</v>
      </c>
      <c r="E5675" s="4" t="s">
        <v>22</v>
      </c>
      <c r="F5675" s="4" t="s">
        <v>29837</v>
      </c>
      <c r="G5675" s="4" t="s">
        <v>29838</v>
      </c>
      <c r="H5675" s="3" t="s">
        <v>26808</v>
      </c>
      <c r="I5675" s="3" t="s">
        <v>29839</v>
      </c>
      <c r="J5675" s="3" t="s">
        <v>29840</v>
      </c>
      <c r="K5675" s="3" t="s">
        <v>29841</v>
      </c>
      <c r="L5675" s="3"/>
      <c r="M5675" s="4"/>
      <c r="N5675" s="3" t="s">
        <v>37</v>
      </c>
      <c r="O5675" s="3" t="s">
        <v>52</v>
      </c>
      <c r="P5675" s="5">
        <v>4</v>
      </c>
      <c r="Q5675" s="5">
        <v>47</v>
      </c>
      <c r="R5675" s="5">
        <v>4</v>
      </c>
      <c r="S5675" s="5">
        <v>47</v>
      </c>
    </row>
    <row r="5676" spans="1:19" ht="42" x14ac:dyDescent="0.15">
      <c r="A5676" s="2">
        <f>HYPERLINK("https://open-school.uspishnemisto.com.ua/school/260611/", 260611)</f>
        <v>260611</v>
      </c>
      <c r="B5676" s="3" t="s">
        <v>29842</v>
      </c>
      <c r="C5676" s="3" t="s">
        <v>31</v>
      </c>
      <c r="D5676" s="3" t="s">
        <v>60</v>
      </c>
      <c r="E5676" s="4" t="s">
        <v>22</v>
      </c>
      <c r="F5676" s="4" t="s">
        <v>29837</v>
      </c>
      <c r="G5676" s="4" t="s">
        <v>29838</v>
      </c>
      <c r="H5676" s="3" t="s">
        <v>26808</v>
      </c>
      <c r="I5676" s="3" t="s">
        <v>29839</v>
      </c>
      <c r="J5676" s="3" t="s">
        <v>29843</v>
      </c>
      <c r="K5676" s="3" t="s">
        <v>29844</v>
      </c>
      <c r="L5676" s="3"/>
      <c r="M5676" s="4"/>
      <c r="N5676" s="3" t="s">
        <v>37</v>
      </c>
      <c r="O5676" s="3" t="s">
        <v>52</v>
      </c>
      <c r="P5676" s="5">
        <v>4</v>
      </c>
      <c r="Q5676" s="5">
        <v>49</v>
      </c>
      <c r="R5676" s="5">
        <v>4</v>
      </c>
      <c r="S5676" s="5">
        <v>47</v>
      </c>
    </row>
    <row r="5677" spans="1:19" ht="42" x14ac:dyDescent="0.15">
      <c r="A5677" s="2">
        <f>HYPERLINK("https://open-school.uspishnemisto.com.ua/school/260612/", 260612)</f>
        <v>260612</v>
      </c>
      <c r="B5677" s="3" t="s">
        <v>29845</v>
      </c>
      <c r="C5677" s="3" t="s">
        <v>31</v>
      </c>
      <c r="D5677" s="3" t="s">
        <v>32</v>
      </c>
      <c r="E5677" s="4" t="s">
        <v>22</v>
      </c>
      <c r="F5677" s="4" t="s">
        <v>29837</v>
      </c>
      <c r="G5677" s="4" t="s">
        <v>29838</v>
      </c>
      <c r="H5677" s="3" t="s">
        <v>26808</v>
      </c>
      <c r="I5677" s="3" t="s">
        <v>29839</v>
      </c>
      <c r="J5677" s="3" t="s">
        <v>29846</v>
      </c>
      <c r="K5677" s="3" t="s">
        <v>29847</v>
      </c>
      <c r="L5677" s="3"/>
      <c r="M5677" s="4"/>
      <c r="N5677" s="3" t="s">
        <v>37</v>
      </c>
      <c r="O5677" s="3" t="s">
        <v>46</v>
      </c>
      <c r="P5677" s="5">
        <v>19</v>
      </c>
      <c r="Q5677" s="5">
        <v>415</v>
      </c>
      <c r="R5677" s="5">
        <v>19</v>
      </c>
      <c r="S5677" s="5">
        <v>413</v>
      </c>
    </row>
    <row r="5678" spans="1:19" ht="42" x14ac:dyDescent="0.15">
      <c r="A5678" s="2">
        <f>HYPERLINK("https://open-school.uspishnemisto.com.ua/school/260613/", 260613)</f>
        <v>260613</v>
      </c>
      <c r="B5678" s="3" t="s">
        <v>29848</v>
      </c>
      <c r="C5678" s="3" t="s">
        <v>54</v>
      </c>
      <c r="D5678" s="3" t="s">
        <v>32</v>
      </c>
      <c r="E5678" s="4" t="s">
        <v>22</v>
      </c>
      <c r="F5678" s="4" t="s">
        <v>29849</v>
      </c>
      <c r="G5678" s="4" t="s">
        <v>29850</v>
      </c>
      <c r="H5678" s="3" t="s">
        <v>26808</v>
      </c>
      <c r="I5678" s="3" t="s">
        <v>29851</v>
      </c>
      <c r="J5678" s="3" t="s">
        <v>29852</v>
      </c>
      <c r="K5678" s="3" t="s">
        <v>29853</v>
      </c>
      <c r="L5678" s="3"/>
      <c r="M5678" s="4" t="s">
        <v>29854</v>
      </c>
      <c r="N5678" s="3" t="s">
        <v>37</v>
      </c>
      <c r="O5678" s="3" t="s">
        <v>46</v>
      </c>
      <c r="P5678" s="5">
        <v>21</v>
      </c>
      <c r="Q5678" s="5">
        <v>414</v>
      </c>
      <c r="R5678" s="5">
        <v>20</v>
      </c>
      <c r="S5678" s="5">
        <v>388</v>
      </c>
    </row>
    <row r="5679" spans="1:19" ht="42" x14ac:dyDescent="0.15">
      <c r="A5679" s="2">
        <f>HYPERLINK("https://open-school.uspishnemisto.com.ua/school/260614/", 260614)</f>
        <v>260614</v>
      </c>
      <c r="B5679" s="3" t="s">
        <v>29855</v>
      </c>
      <c r="C5679" s="3" t="s">
        <v>20</v>
      </c>
      <c r="D5679" s="3" t="s">
        <v>19078</v>
      </c>
      <c r="E5679" s="4" t="s">
        <v>22</v>
      </c>
      <c r="F5679" s="4" t="s">
        <v>29849</v>
      </c>
      <c r="G5679" s="4" t="s">
        <v>29850</v>
      </c>
      <c r="H5679" s="3" t="s">
        <v>26808</v>
      </c>
      <c r="I5679" s="3" t="s">
        <v>29851</v>
      </c>
      <c r="J5679" s="3" t="s">
        <v>29856</v>
      </c>
      <c r="K5679" s="3" t="s">
        <v>29857</v>
      </c>
      <c r="L5679" s="3"/>
      <c r="M5679" s="4"/>
      <c r="N5679" s="3"/>
      <c r="O5679" s="3"/>
      <c r="P5679" s="5">
        <v>0</v>
      </c>
      <c r="Q5679" s="5">
        <v>0</v>
      </c>
      <c r="R5679" s="5"/>
      <c r="S5679" s="5"/>
    </row>
    <row r="5680" spans="1:19" ht="42" x14ac:dyDescent="0.15">
      <c r="A5680" s="2">
        <f>HYPERLINK("https://open-school.uspishnemisto.com.ua/school/260615/", 260615)</f>
        <v>260615</v>
      </c>
      <c r="B5680" s="3" t="s">
        <v>29858</v>
      </c>
      <c r="C5680" s="3" t="s">
        <v>40</v>
      </c>
      <c r="D5680" s="3" t="s">
        <v>32</v>
      </c>
      <c r="E5680" s="4" t="s">
        <v>22</v>
      </c>
      <c r="F5680" s="4" t="s">
        <v>29849</v>
      </c>
      <c r="G5680" s="4" t="s">
        <v>29850</v>
      </c>
      <c r="H5680" s="3" t="s">
        <v>26808</v>
      </c>
      <c r="I5680" s="3" t="s">
        <v>29851</v>
      </c>
      <c r="J5680" s="3" t="s">
        <v>29859</v>
      </c>
      <c r="K5680" s="3" t="s">
        <v>29860</v>
      </c>
      <c r="L5680" s="3"/>
      <c r="M5680" s="4"/>
      <c r="N5680" s="3" t="s">
        <v>37</v>
      </c>
      <c r="O5680" s="3" t="s">
        <v>2740</v>
      </c>
      <c r="P5680" s="5">
        <v>7</v>
      </c>
      <c r="Q5680" s="5">
        <v>119</v>
      </c>
      <c r="R5680" s="5">
        <v>7</v>
      </c>
      <c r="S5680" s="5">
        <v>114</v>
      </c>
    </row>
    <row r="5681" spans="1:19" ht="42" x14ac:dyDescent="0.15">
      <c r="A5681" s="2">
        <f>HYPERLINK("https://open-school.uspishnemisto.com.ua/school/260616/", 260616)</f>
        <v>260616</v>
      </c>
      <c r="B5681" s="3" t="s">
        <v>29861</v>
      </c>
      <c r="C5681" s="3" t="s">
        <v>31</v>
      </c>
      <c r="D5681" s="3" t="s">
        <v>32</v>
      </c>
      <c r="E5681" s="4" t="s">
        <v>22</v>
      </c>
      <c r="F5681" s="4" t="s">
        <v>29849</v>
      </c>
      <c r="G5681" s="4" t="s">
        <v>29850</v>
      </c>
      <c r="H5681" s="3" t="s">
        <v>26808</v>
      </c>
      <c r="I5681" s="3" t="s">
        <v>29851</v>
      </c>
      <c r="J5681" s="3" t="s">
        <v>29862</v>
      </c>
      <c r="K5681" s="3" t="s">
        <v>29863</v>
      </c>
      <c r="L5681" s="3"/>
      <c r="M5681" s="4"/>
      <c r="N5681" s="3" t="s">
        <v>37</v>
      </c>
      <c r="O5681" s="3" t="s">
        <v>46</v>
      </c>
      <c r="P5681" s="5">
        <v>14</v>
      </c>
      <c r="Q5681" s="5">
        <v>257</v>
      </c>
      <c r="R5681" s="5">
        <v>16</v>
      </c>
      <c r="S5681" s="5">
        <v>276</v>
      </c>
    </row>
    <row r="5682" spans="1:19" ht="42" x14ac:dyDescent="0.15">
      <c r="A5682" s="2">
        <f>HYPERLINK("https://open-school.uspishnemisto.com.ua/school/260617/", 260617)</f>
        <v>260617</v>
      </c>
      <c r="B5682" s="3" t="s">
        <v>29864</v>
      </c>
      <c r="C5682" s="3" t="s">
        <v>31</v>
      </c>
      <c r="D5682" s="3" t="s">
        <v>32</v>
      </c>
      <c r="E5682" s="4" t="s">
        <v>22</v>
      </c>
      <c r="F5682" s="4" t="s">
        <v>29849</v>
      </c>
      <c r="G5682" s="4" t="s">
        <v>29850</v>
      </c>
      <c r="H5682" s="3" t="s">
        <v>26808</v>
      </c>
      <c r="I5682" s="3" t="s">
        <v>29851</v>
      </c>
      <c r="J5682" s="3" t="s">
        <v>29856</v>
      </c>
      <c r="K5682" s="3" t="s">
        <v>29865</v>
      </c>
      <c r="L5682" s="3"/>
      <c r="M5682" s="4"/>
      <c r="N5682" s="3" t="s">
        <v>37</v>
      </c>
      <c r="O5682" s="3" t="s">
        <v>2740</v>
      </c>
      <c r="P5682" s="5">
        <v>20</v>
      </c>
      <c r="Q5682" s="5">
        <v>467</v>
      </c>
      <c r="R5682" s="5">
        <v>22</v>
      </c>
      <c r="S5682" s="5">
        <v>493</v>
      </c>
    </row>
    <row r="5683" spans="1:19" ht="42" x14ac:dyDescent="0.15">
      <c r="A5683" s="2">
        <f>HYPERLINK("https://open-school.uspishnemisto.com.ua/school/260618/", 260618)</f>
        <v>260618</v>
      </c>
      <c r="B5683" s="3" t="s">
        <v>29866</v>
      </c>
      <c r="C5683" s="3" t="s">
        <v>31</v>
      </c>
      <c r="D5683" s="3" t="s">
        <v>32</v>
      </c>
      <c r="E5683" s="4" t="s">
        <v>22</v>
      </c>
      <c r="F5683" s="4" t="s">
        <v>29867</v>
      </c>
      <c r="G5683" s="4" t="s">
        <v>29868</v>
      </c>
      <c r="H5683" s="3" t="s">
        <v>26808</v>
      </c>
      <c r="I5683" s="3" t="s">
        <v>29869</v>
      </c>
      <c r="J5683" s="3" t="s">
        <v>29870</v>
      </c>
      <c r="K5683" s="3" t="s">
        <v>29871</v>
      </c>
      <c r="L5683" s="3"/>
      <c r="M5683" s="4"/>
      <c r="N5683" s="3" t="s">
        <v>37</v>
      </c>
      <c r="O5683" s="3" t="s">
        <v>46</v>
      </c>
      <c r="P5683" s="5">
        <v>20</v>
      </c>
      <c r="Q5683" s="5">
        <v>389</v>
      </c>
      <c r="R5683" s="5">
        <v>20</v>
      </c>
      <c r="S5683" s="5">
        <v>401</v>
      </c>
    </row>
    <row r="5684" spans="1:19" ht="42" x14ac:dyDescent="0.15">
      <c r="A5684" s="2">
        <f>HYPERLINK("https://open-school.uspishnemisto.com.ua/school/260619/", 260619)</f>
        <v>260619</v>
      </c>
      <c r="B5684" s="3" t="s">
        <v>29872</v>
      </c>
      <c r="C5684" s="3" t="s">
        <v>7651</v>
      </c>
      <c r="D5684" s="3"/>
      <c r="E5684" s="4" t="s">
        <v>22</v>
      </c>
      <c r="F5684" s="4"/>
      <c r="G5684" s="4" t="s">
        <v>29868</v>
      </c>
      <c r="H5684" s="3" t="s">
        <v>26808</v>
      </c>
      <c r="I5684" s="3" t="s">
        <v>29869</v>
      </c>
      <c r="J5684" s="3"/>
      <c r="K5684" s="3"/>
      <c r="L5684" s="3"/>
      <c r="M5684" s="4"/>
      <c r="N5684" s="3"/>
      <c r="O5684" s="3"/>
      <c r="P5684" s="5">
        <v>0</v>
      </c>
      <c r="Q5684" s="5">
        <v>0</v>
      </c>
      <c r="R5684" s="5"/>
      <c r="S5684" s="5"/>
    </row>
    <row r="5685" spans="1:19" ht="42" x14ac:dyDescent="0.15">
      <c r="A5685" s="2">
        <f>HYPERLINK("https://open-school.uspishnemisto.com.ua/school/260620/", 260620)</f>
        <v>260620</v>
      </c>
      <c r="B5685" s="3" t="s">
        <v>29873</v>
      </c>
      <c r="C5685" s="3" t="s">
        <v>31</v>
      </c>
      <c r="D5685" s="3" t="s">
        <v>175</v>
      </c>
      <c r="E5685" s="4" t="s">
        <v>22</v>
      </c>
      <c r="F5685" s="4" t="s">
        <v>29874</v>
      </c>
      <c r="G5685" s="4" t="s">
        <v>29875</v>
      </c>
      <c r="H5685" s="3" t="s">
        <v>26808</v>
      </c>
      <c r="I5685" s="3" t="s">
        <v>29876</v>
      </c>
      <c r="J5685" s="3" t="s">
        <v>29877</v>
      </c>
      <c r="K5685" s="3" t="s">
        <v>29878</v>
      </c>
      <c r="L5685" s="3" t="s">
        <v>29879</v>
      </c>
      <c r="M5685" s="4"/>
      <c r="N5685" s="3" t="s">
        <v>37</v>
      </c>
      <c r="O5685" s="3" t="s">
        <v>46</v>
      </c>
      <c r="P5685" s="5">
        <v>9</v>
      </c>
      <c r="Q5685" s="5">
        <v>135</v>
      </c>
      <c r="R5685" s="5">
        <v>9</v>
      </c>
      <c r="S5685" s="5">
        <v>130</v>
      </c>
    </row>
    <row r="5686" spans="1:19" ht="42" x14ac:dyDescent="0.15">
      <c r="A5686" s="2">
        <f>HYPERLINK("https://open-school.uspishnemisto.com.ua/school/260621/", 260621)</f>
        <v>260621</v>
      </c>
      <c r="B5686" s="3" t="s">
        <v>29880</v>
      </c>
      <c r="C5686" s="3" t="s">
        <v>31</v>
      </c>
      <c r="D5686" s="3" t="s">
        <v>32</v>
      </c>
      <c r="E5686" s="4" t="s">
        <v>22</v>
      </c>
      <c r="F5686" s="4" t="s">
        <v>29881</v>
      </c>
      <c r="G5686" s="4" t="s">
        <v>29882</v>
      </c>
      <c r="H5686" s="3" t="s">
        <v>26808</v>
      </c>
      <c r="I5686" s="3" t="s">
        <v>29883</v>
      </c>
      <c r="J5686" s="3" t="s">
        <v>29884</v>
      </c>
      <c r="K5686" s="3" t="s">
        <v>29885</v>
      </c>
      <c r="L5686" s="3"/>
      <c r="M5686" s="4"/>
      <c r="N5686" s="3" t="s">
        <v>37</v>
      </c>
      <c r="O5686" s="3" t="s">
        <v>46</v>
      </c>
      <c r="P5686" s="5">
        <v>17</v>
      </c>
      <c r="Q5686" s="5">
        <v>303</v>
      </c>
      <c r="R5686" s="5">
        <v>17</v>
      </c>
      <c r="S5686" s="5">
        <v>312</v>
      </c>
    </row>
    <row r="5687" spans="1:19" ht="42" x14ac:dyDescent="0.15">
      <c r="A5687" s="2">
        <f>HYPERLINK("https://open-school.uspishnemisto.com.ua/school/260622/", 260622)</f>
        <v>260622</v>
      </c>
      <c r="B5687" s="3" t="s">
        <v>29886</v>
      </c>
      <c r="C5687" s="3" t="s">
        <v>31</v>
      </c>
      <c r="D5687" s="3" t="s">
        <v>175</v>
      </c>
      <c r="E5687" s="4" t="s">
        <v>22</v>
      </c>
      <c r="F5687" s="4" t="s">
        <v>29887</v>
      </c>
      <c r="G5687" s="4" t="s">
        <v>29888</v>
      </c>
      <c r="H5687" s="3" t="s">
        <v>26808</v>
      </c>
      <c r="I5687" s="3" t="s">
        <v>29889</v>
      </c>
      <c r="J5687" s="3" t="s">
        <v>29890</v>
      </c>
      <c r="K5687" s="3" t="s">
        <v>29891</v>
      </c>
      <c r="L5687" s="3"/>
      <c r="M5687" s="4"/>
      <c r="N5687" s="3" t="s">
        <v>37</v>
      </c>
      <c r="O5687" s="3" t="s">
        <v>46</v>
      </c>
      <c r="P5687" s="5">
        <v>9</v>
      </c>
      <c r="Q5687" s="5">
        <v>124</v>
      </c>
      <c r="R5687" s="5">
        <v>9</v>
      </c>
      <c r="S5687" s="5">
        <v>121</v>
      </c>
    </row>
    <row r="5688" spans="1:19" ht="42" x14ac:dyDescent="0.15">
      <c r="A5688" s="2">
        <f>HYPERLINK("https://open-school.uspishnemisto.com.ua/school/260623/", 260623)</f>
        <v>260623</v>
      </c>
      <c r="B5688" s="3" t="s">
        <v>29892</v>
      </c>
      <c r="C5688" s="3" t="s">
        <v>31</v>
      </c>
      <c r="D5688" s="3" t="s">
        <v>60</v>
      </c>
      <c r="E5688" s="4" t="s">
        <v>22</v>
      </c>
      <c r="F5688" s="4"/>
      <c r="G5688" s="4" t="s">
        <v>29893</v>
      </c>
      <c r="H5688" s="3" t="s">
        <v>26808</v>
      </c>
      <c r="I5688" s="3" t="s">
        <v>19459</v>
      </c>
      <c r="J5688" s="3" t="s">
        <v>19472</v>
      </c>
      <c r="K5688" s="3"/>
      <c r="L5688" s="3"/>
      <c r="M5688" s="4"/>
      <c r="N5688" s="3" t="s">
        <v>37</v>
      </c>
      <c r="O5688" s="3" t="s">
        <v>52</v>
      </c>
      <c r="P5688" s="5">
        <v>4</v>
      </c>
      <c r="Q5688" s="5">
        <v>39</v>
      </c>
      <c r="R5688" s="5">
        <v>4</v>
      </c>
      <c r="S5688" s="5">
        <v>40</v>
      </c>
    </row>
    <row r="5689" spans="1:19" ht="42" x14ac:dyDescent="0.15">
      <c r="A5689" s="2">
        <f>HYPERLINK("https://open-school.uspishnemisto.com.ua/school/260624/", 260624)</f>
        <v>260624</v>
      </c>
      <c r="B5689" s="3" t="s">
        <v>29894</v>
      </c>
      <c r="C5689" s="3" t="s">
        <v>31</v>
      </c>
      <c r="D5689" s="3" t="s">
        <v>175</v>
      </c>
      <c r="E5689" s="4" t="s">
        <v>22</v>
      </c>
      <c r="F5689" s="4" t="s">
        <v>29895</v>
      </c>
      <c r="G5689" s="4" t="s">
        <v>29896</v>
      </c>
      <c r="H5689" s="3" t="s">
        <v>26808</v>
      </c>
      <c r="I5689" s="3" t="s">
        <v>29897</v>
      </c>
      <c r="J5689" s="3" t="s">
        <v>952</v>
      </c>
      <c r="K5689" s="3" t="s">
        <v>29898</v>
      </c>
      <c r="L5689" s="3"/>
      <c r="M5689" s="4"/>
      <c r="N5689" s="3" t="s">
        <v>37</v>
      </c>
      <c r="O5689" s="3" t="s">
        <v>46</v>
      </c>
      <c r="P5689" s="5">
        <v>10</v>
      </c>
      <c r="Q5689" s="5">
        <v>113</v>
      </c>
      <c r="R5689" s="5">
        <v>10</v>
      </c>
      <c r="S5689" s="5">
        <v>105</v>
      </c>
    </row>
    <row r="5690" spans="1:19" ht="42" x14ac:dyDescent="0.15">
      <c r="A5690" s="2">
        <f>HYPERLINK("https://open-school.uspishnemisto.com.ua/school/260625/", 260625)</f>
        <v>260625</v>
      </c>
      <c r="B5690" s="3" t="s">
        <v>29899</v>
      </c>
      <c r="C5690" s="3" t="s">
        <v>31</v>
      </c>
      <c r="D5690" s="3" t="s">
        <v>175</v>
      </c>
      <c r="E5690" s="4" t="s">
        <v>22</v>
      </c>
      <c r="F5690" s="4" t="s">
        <v>29900</v>
      </c>
      <c r="G5690" s="4" t="s">
        <v>29901</v>
      </c>
      <c r="H5690" s="3" t="s">
        <v>26808</v>
      </c>
      <c r="I5690" s="3" t="s">
        <v>29902</v>
      </c>
      <c r="J5690" s="3" t="s">
        <v>1636</v>
      </c>
      <c r="K5690" s="3" t="s">
        <v>29903</v>
      </c>
      <c r="L5690" s="3"/>
      <c r="M5690" s="4"/>
      <c r="N5690" s="3" t="s">
        <v>37</v>
      </c>
      <c r="O5690" s="3" t="s">
        <v>2740</v>
      </c>
      <c r="P5690" s="5">
        <v>8</v>
      </c>
      <c r="Q5690" s="5">
        <v>56</v>
      </c>
      <c r="R5690" s="5">
        <v>9</v>
      </c>
      <c r="S5690" s="5">
        <v>62</v>
      </c>
    </row>
    <row r="5691" spans="1:19" ht="42" x14ac:dyDescent="0.15">
      <c r="A5691" s="2">
        <f>HYPERLINK("https://open-school.uspishnemisto.com.ua/school/260626/", 260626)</f>
        <v>260626</v>
      </c>
      <c r="B5691" s="3" t="s">
        <v>29904</v>
      </c>
      <c r="C5691" s="3" t="s">
        <v>31</v>
      </c>
      <c r="D5691" s="3" t="s">
        <v>32</v>
      </c>
      <c r="E5691" s="4" t="s">
        <v>22</v>
      </c>
      <c r="F5691" s="4" t="s">
        <v>29905</v>
      </c>
      <c r="G5691" s="4" t="s">
        <v>29906</v>
      </c>
      <c r="H5691" s="3" t="s">
        <v>26808</v>
      </c>
      <c r="I5691" s="3" t="s">
        <v>29907</v>
      </c>
      <c r="J5691" s="3" t="s">
        <v>22278</v>
      </c>
      <c r="K5691" s="3" t="s">
        <v>29908</v>
      </c>
      <c r="L5691" s="3"/>
      <c r="M5691" s="4"/>
      <c r="N5691" s="3" t="s">
        <v>37</v>
      </c>
      <c r="O5691" s="3" t="s">
        <v>46</v>
      </c>
      <c r="P5691" s="5">
        <v>13</v>
      </c>
      <c r="Q5691" s="5">
        <v>234</v>
      </c>
      <c r="R5691" s="5">
        <v>13</v>
      </c>
      <c r="S5691" s="5">
        <v>234</v>
      </c>
    </row>
    <row r="5692" spans="1:19" ht="42" x14ac:dyDescent="0.15">
      <c r="A5692" s="2">
        <f>HYPERLINK("https://open-school.uspishnemisto.com.ua/school/260627/", 260627)</f>
        <v>260627</v>
      </c>
      <c r="B5692" s="3" t="s">
        <v>29909</v>
      </c>
      <c r="C5692" s="3" t="s">
        <v>31</v>
      </c>
      <c r="D5692" s="3" t="s">
        <v>32</v>
      </c>
      <c r="E5692" s="4" t="s">
        <v>22</v>
      </c>
      <c r="F5692" s="4" t="s">
        <v>29910</v>
      </c>
      <c r="G5692" s="4" t="s">
        <v>29911</v>
      </c>
      <c r="H5692" s="3" t="s">
        <v>26808</v>
      </c>
      <c r="I5692" s="3" t="s">
        <v>29912</v>
      </c>
      <c r="J5692" s="3" t="s">
        <v>5971</v>
      </c>
      <c r="K5692" s="3"/>
      <c r="L5692" s="3"/>
      <c r="M5692" s="4"/>
      <c r="N5692" s="3" t="s">
        <v>37</v>
      </c>
      <c r="O5692" s="3" t="s">
        <v>52</v>
      </c>
      <c r="P5692" s="5">
        <v>11</v>
      </c>
      <c r="Q5692" s="5">
        <v>174</v>
      </c>
      <c r="R5692" s="5">
        <v>11</v>
      </c>
      <c r="S5692" s="5">
        <v>172</v>
      </c>
    </row>
    <row r="5693" spans="1:19" ht="42" x14ac:dyDescent="0.15">
      <c r="A5693" s="2">
        <f>HYPERLINK("https://open-school.uspishnemisto.com.ua/school/260628/", 260628)</f>
        <v>260628</v>
      </c>
      <c r="B5693" s="3" t="s">
        <v>29913</v>
      </c>
      <c r="C5693" s="3" t="s">
        <v>31</v>
      </c>
      <c r="D5693" s="3" t="s">
        <v>175</v>
      </c>
      <c r="E5693" s="4" t="s">
        <v>22</v>
      </c>
      <c r="F5693" s="4" t="s">
        <v>29914</v>
      </c>
      <c r="G5693" s="4" t="s">
        <v>29915</v>
      </c>
      <c r="H5693" s="3" t="s">
        <v>26808</v>
      </c>
      <c r="I5693" s="3" t="s">
        <v>29916</v>
      </c>
      <c r="J5693" s="3" t="s">
        <v>29917</v>
      </c>
      <c r="K5693" s="3" t="s">
        <v>29918</v>
      </c>
      <c r="L5693" s="3"/>
      <c r="M5693" s="4"/>
      <c r="N5693" s="3" t="s">
        <v>37</v>
      </c>
      <c r="O5693" s="3" t="s">
        <v>2740</v>
      </c>
      <c r="P5693" s="5">
        <v>8</v>
      </c>
      <c r="Q5693" s="5">
        <v>87</v>
      </c>
      <c r="R5693" s="5">
        <v>8</v>
      </c>
      <c r="S5693" s="5">
        <v>90</v>
      </c>
    </row>
    <row r="5694" spans="1:19" ht="42" x14ac:dyDescent="0.15">
      <c r="A5694" s="2">
        <f>HYPERLINK("https://open-school.uspishnemisto.com.ua/school/260629/", 260629)</f>
        <v>260629</v>
      </c>
      <c r="B5694" s="3" t="s">
        <v>29919</v>
      </c>
      <c r="C5694" s="3" t="s">
        <v>31</v>
      </c>
      <c r="D5694" s="3" t="s">
        <v>32</v>
      </c>
      <c r="E5694" s="4" t="s">
        <v>22</v>
      </c>
      <c r="F5694" s="4" t="s">
        <v>29920</v>
      </c>
      <c r="G5694" s="4" t="s">
        <v>29921</v>
      </c>
      <c r="H5694" s="3" t="s">
        <v>26808</v>
      </c>
      <c r="I5694" s="3" t="s">
        <v>29922</v>
      </c>
      <c r="J5694" s="3" t="s">
        <v>29923</v>
      </c>
      <c r="K5694" s="3" t="s">
        <v>29924</v>
      </c>
      <c r="L5694" s="3"/>
      <c r="M5694" s="4"/>
      <c r="N5694" s="3" t="s">
        <v>37</v>
      </c>
      <c r="O5694" s="3" t="s">
        <v>2740</v>
      </c>
      <c r="P5694" s="5">
        <v>11</v>
      </c>
      <c r="Q5694" s="5">
        <v>167</v>
      </c>
      <c r="R5694" s="5">
        <v>11</v>
      </c>
      <c r="S5694" s="5">
        <v>160</v>
      </c>
    </row>
    <row r="5695" spans="1:19" ht="42" x14ac:dyDescent="0.15">
      <c r="A5695" s="2">
        <f>HYPERLINK("https://open-school.uspishnemisto.com.ua/school/260630/", 260630)</f>
        <v>260630</v>
      </c>
      <c r="B5695" s="3" t="s">
        <v>29925</v>
      </c>
      <c r="C5695" s="3" t="s">
        <v>31</v>
      </c>
      <c r="D5695" s="3" t="s">
        <v>32</v>
      </c>
      <c r="E5695" s="4" t="s">
        <v>22</v>
      </c>
      <c r="F5695" s="4" t="s">
        <v>29926</v>
      </c>
      <c r="G5695" s="4" t="s">
        <v>29927</v>
      </c>
      <c r="H5695" s="3" t="s">
        <v>26808</v>
      </c>
      <c r="I5695" s="3" t="s">
        <v>29928</v>
      </c>
      <c r="J5695" s="3" t="s">
        <v>29929</v>
      </c>
      <c r="K5695" s="3" t="s">
        <v>29930</v>
      </c>
      <c r="L5695" s="3" t="s">
        <v>29931</v>
      </c>
      <c r="M5695" s="4"/>
      <c r="N5695" s="3" t="s">
        <v>37</v>
      </c>
      <c r="O5695" s="3" t="s">
        <v>52</v>
      </c>
      <c r="P5695" s="5">
        <v>11</v>
      </c>
      <c r="Q5695" s="5">
        <v>230</v>
      </c>
      <c r="R5695" s="5">
        <v>11</v>
      </c>
      <c r="S5695" s="5">
        <v>233</v>
      </c>
    </row>
    <row r="5696" spans="1:19" ht="42" x14ac:dyDescent="0.15">
      <c r="A5696" s="2">
        <f>HYPERLINK("https://open-school.uspishnemisto.com.ua/school/260631/", 260631)</f>
        <v>260631</v>
      </c>
      <c r="B5696" s="3" t="s">
        <v>29932</v>
      </c>
      <c r="C5696" s="3" t="s">
        <v>31</v>
      </c>
      <c r="D5696" s="3" t="s">
        <v>175</v>
      </c>
      <c r="E5696" s="4" t="s">
        <v>22</v>
      </c>
      <c r="F5696" s="4" t="s">
        <v>29933</v>
      </c>
      <c r="G5696" s="4" t="s">
        <v>29934</v>
      </c>
      <c r="H5696" s="3" t="s">
        <v>26808</v>
      </c>
      <c r="I5696" s="3" t="s">
        <v>29935</v>
      </c>
      <c r="J5696" s="3" t="s">
        <v>29936</v>
      </c>
      <c r="K5696" s="3" t="s">
        <v>29937</v>
      </c>
      <c r="L5696" s="3"/>
      <c r="M5696" s="4"/>
      <c r="N5696" s="3" t="s">
        <v>37</v>
      </c>
      <c r="O5696" s="3" t="s">
        <v>46</v>
      </c>
      <c r="P5696" s="5">
        <v>9</v>
      </c>
      <c r="Q5696" s="5">
        <v>102</v>
      </c>
      <c r="R5696" s="5">
        <v>9</v>
      </c>
      <c r="S5696" s="5">
        <v>98</v>
      </c>
    </row>
    <row r="5697" spans="1:19" ht="42" x14ac:dyDescent="0.15">
      <c r="A5697" s="2">
        <f>HYPERLINK("https://open-school.uspishnemisto.com.ua/school/260632/", 260632)</f>
        <v>260632</v>
      </c>
      <c r="B5697" s="3" t="s">
        <v>29938</v>
      </c>
      <c r="C5697" s="3" t="s">
        <v>31</v>
      </c>
      <c r="D5697" s="3" t="s">
        <v>32</v>
      </c>
      <c r="E5697" s="4" t="s">
        <v>22</v>
      </c>
      <c r="F5697" s="4" t="s">
        <v>29939</v>
      </c>
      <c r="G5697" s="4" t="s">
        <v>29940</v>
      </c>
      <c r="H5697" s="3" t="s">
        <v>26808</v>
      </c>
      <c r="I5697" s="3" t="s">
        <v>29941</v>
      </c>
      <c r="J5697" s="3" t="s">
        <v>29942</v>
      </c>
      <c r="K5697" s="3" t="s">
        <v>29943</v>
      </c>
      <c r="L5697" s="3"/>
      <c r="M5697" s="4"/>
      <c r="N5697" s="3" t="s">
        <v>37</v>
      </c>
      <c r="O5697" s="3" t="s">
        <v>2740</v>
      </c>
      <c r="P5697" s="5">
        <v>11</v>
      </c>
      <c r="Q5697" s="5">
        <v>207</v>
      </c>
      <c r="R5697" s="5">
        <v>11</v>
      </c>
      <c r="S5697" s="5">
        <v>204</v>
      </c>
    </row>
    <row r="5698" spans="1:19" ht="42" x14ac:dyDescent="0.15">
      <c r="A5698" s="2">
        <f>HYPERLINK("https://open-school.uspishnemisto.com.ua/school/260633/", 260633)</f>
        <v>260633</v>
      </c>
      <c r="B5698" s="3" t="s">
        <v>29944</v>
      </c>
      <c r="C5698" s="3" t="s">
        <v>31</v>
      </c>
      <c r="D5698" s="3" t="s">
        <v>32</v>
      </c>
      <c r="E5698" s="4" t="s">
        <v>22</v>
      </c>
      <c r="F5698" s="4" t="s">
        <v>29945</v>
      </c>
      <c r="G5698" s="4" t="s">
        <v>29946</v>
      </c>
      <c r="H5698" s="3" t="s">
        <v>26808</v>
      </c>
      <c r="I5698" s="3" t="s">
        <v>1462</v>
      </c>
      <c r="J5698" s="3" t="s">
        <v>466</v>
      </c>
      <c r="K5698" s="3" t="s">
        <v>29947</v>
      </c>
      <c r="L5698" s="3"/>
      <c r="M5698" s="4"/>
      <c r="N5698" s="3" t="s">
        <v>37</v>
      </c>
      <c r="O5698" s="3" t="s">
        <v>52</v>
      </c>
      <c r="P5698" s="5">
        <v>11</v>
      </c>
      <c r="Q5698" s="5">
        <v>210</v>
      </c>
      <c r="R5698" s="5">
        <v>11</v>
      </c>
      <c r="S5698" s="5">
        <v>220</v>
      </c>
    </row>
    <row r="5699" spans="1:19" ht="42" x14ac:dyDescent="0.15">
      <c r="A5699" s="2">
        <f>HYPERLINK("https://open-school.uspishnemisto.com.ua/school/260634/", 260634)</f>
        <v>260634</v>
      </c>
      <c r="B5699" s="3" t="s">
        <v>29948</v>
      </c>
      <c r="C5699" s="3" t="s">
        <v>31</v>
      </c>
      <c r="D5699" s="3" t="s">
        <v>32</v>
      </c>
      <c r="E5699" s="4" t="s">
        <v>22</v>
      </c>
      <c r="F5699" s="4" t="s">
        <v>29949</v>
      </c>
      <c r="G5699" s="4" t="s">
        <v>29950</v>
      </c>
      <c r="H5699" s="3" t="s">
        <v>26808</v>
      </c>
      <c r="I5699" s="3" t="s">
        <v>29951</v>
      </c>
      <c r="J5699" s="3" t="s">
        <v>29952</v>
      </c>
      <c r="K5699" s="3" t="s">
        <v>29953</v>
      </c>
      <c r="L5699" s="3"/>
      <c r="M5699" s="4"/>
      <c r="N5699" s="3" t="s">
        <v>37</v>
      </c>
      <c r="O5699" s="3" t="s">
        <v>52</v>
      </c>
      <c r="P5699" s="5">
        <v>11</v>
      </c>
      <c r="Q5699" s="5">
        <v>173</v>
      </c>
      <c r="R5699" s="5">
        <v>11</v>
      </c>
      <c r="S5699" s="5">
        <v>167</v>
      </c>
    </row>
    <row r="5700" spans="1:19" ht="42" x14ac:dyDescent="0.15">
      <c r="A5700" s="2">
        <f>HYPERLINK("https://open-school.uspishnemisto.com.ua/school/260635/", 260635)</f>
        <v>260635</v>
      </c>
      <c r="B5700" s="3" t="s">
        <v>29954</v>
      </c>
      <c r="C5700" s="3" t="s">
        <v>54</v>
      </c>
      <c r="D5700" s="3" t="s">
        <v>60</v>
      </c>
      <c r="E5700" s="4" t="s">
        <v>22</v>
      </c>
      <c r="F5700" s="4" t="s">
        <v>29949</v>
      </c>
      <c r="G5700" s="4" t="s">
        <v>29955</v>
      </c>
      <c r="H5700" s="3" t="s">
        <v>26808</v>
      </c>
      <c r="I5700" s="3" t="s">
        <v>29956</v>
      </c>
      <c r="J5700" s="3" t="s">
        <v>29957</v>
      </c>
      <c r="K5700" s="3" t="s">
        <v>29958</v>
      </c>
      <c r="L5700" s="3"/>
      <c r="M5700" s="4"/>
      <c r="N5700" s="3" t="s">
        <v>37</v>
      </c>
      <c r="O5700" s="3" t="s">
        <v>52</v>
      </c>
      <c r="P5700" s="5">
        <v>3</v>
      </c>
      <c r="Q5700" s="5">
        <v>27</v>
      </c>
      <c r="R5700" s="5">
        <v>3</v>
      </c>
      <c r="S5700" s="5">
        <v>24</v>
      </c>
    </row>
    <row r="5701" spans="1:19" ht="42" x14ac:dyDescent="0.15">
      <c r="A5701" s="2">
        <f>HYPERLINK("https://open-school.uspishnemisto.com.ua/school/260636/", 260636)</f>
        <v>260636</v>
      </c>
      <c r="B5701" s="3" t="s">
        <v>29959</v>
      </c>
      <c r="C5701" s="3" t="s">
        <v>31</v>
      </c>
      <c r="D5701" s="3" t="s">
        <v>175</v>
      </c>
      <c r="E5701" s="4" t="s">
        <v>22</v>
      </c>
      <c r="F5701" s="4" t="s">
        <v>29960</v>
      </c>
      <c r="G5701" s="4" t="s">
        <v>29961</v>
      </c>
      <c r="H5701" s="3" t="s">
        <v>26808</v>
      </c>
      <c r="I5701" s="3" t="s">
        <v>29962</v>
      </c>
      <c r="J5701" s="3" t="s">
        <v>14642</v>
      </c>
      <c r="K5701" s="3" t="s">
        <v>29963</v>
      </c>
      <c r="L5701" s="3"/>
      <c r="M5701" s="4"/>
      <c r="N5701" s="3" t="s">
        <v>37</v>
      </c>
      <c r="O5701" s="3" t="s">
        <v>2740</v>
      </c>
      <c r="P5701" s="5">
        <v>8</v>
      </c>
      <c r="Q5701" s="5">
        <v>70</v>
      </c>
      <c r="R5701" s="5">
        <v>8</v>
      </c>
      <c r="S5701" s="5">
        <v>68</v>
      </c>
    </row>
    <row r="5702" spans="1:19" ht="42" x14ac:dyDescent="0.15">
      <c r="A5702" s="2">
        <f>HYPERLINK("https://open-school.uspishnemisto.com.ua/school/260637/", 260637)</f>
        <v>260637</v>
      </c>
      <c r="B5702" s="3" t="s">
        <v>29964</v>
      </c>
      <c r="C5702" s="3" t="s">
        <v>31</v>
      </c>
      <c r="D5702" s="3" t="s">
        <v>175</v>
      </c>
      <c r="E5702" s="4" t="s">
        <v>22</v>
      </c>
      <c r="F5702" s="4" t="s">
        <v>29965</v>
      </c>
      <c r="G5702" s="4" t="s">
        <v>29966</v>
      </c>
      <c r="H5702" s="3" t="s">
        <v>26808</v>
      </c>
      <c r="I5702" s="3" t="s">
        <v>29967</v>
      </c>
      <c r="J5702" s="3" t="s">
        <v>29968</v>
      </c>
      <c r="K5702" s="3" t="s">
        <v>29969</v>
      </c>
      <c r="L5702" s="3"/>
      <c r="M5702" s="4"/>
      <c r="N5702" s="3" t="s">
        <v>37</v>
      </c>
      <c r="O5702" s="3" t="s">
        <v>46</v>
      </c>
      <c r="P5702" s="5">
        <v>9</v>
      </c>
      <c r="Q5702" s="5">
        <v>116</v>
      </c>
      <c r="R5702" s="5">
        <v>9</v>
      </c>
      <c r="S5702" s="5">
        <v>113</v>
      </c>
    </row>
    <row r="5703" spans="1:19" ht="42" x14ac:dyDescent="0.15">
      <c r="A5703" s="2">
        <f>HYPERLINK("https://open-school.uspishnemisto.com.ua/school/260638/", 260638)</f>
        <v>260638</v>
      </c>
      <c r="B5703" s="3" t="s">
        <v>29970</v>
      </c>
      <c r="C5703" s="3" t="s">
        <v>31</v>
      </c>
      <c r="D5703" s="3" t="s">
        <v>60</v>
      </c>
      <c r="E5703" s="4" t="s">
        <v>22</v>
      </c>
      <c r="F5703" s="4" t="s">
        <v>29971</v>
      </c>
      <c r="G5703" s="4" t="s">
        <v>29972</v>
      </c>
      <c r="H5703" s="3" t="s">
        <v>26808</v>
      </c>
      <c r="I5703" s="3" t="s">
        <v>29973</v>
      </c>
      <c r="J5703" s="3" t="s">
        <v>29974</v>
      </c>
      <c r="K5703" s="3" t="s">
        <v>29975</v>
      </c>
      <c r="L5703" s="3"/>
      <c r="M5703" s="4"/>
      <c r="N5703" s="3" t="s">
        <v>37</v>
      </c>
      <c r="O5703" s="3" t="s">
        <v>52</v>
      </c>
      <c r="P5703" s="5">
        <v>4</v>
      </c>
      <c r="Q5703" s="5">
        <v>24</v>
      </c>
      <c r="R5703" s="5">
        <v>3</v>
      </c>
      <c r="S5703" s="5">
        <v>25</v>
      </c>
    </row>
    <row r="5704" spans="1:19" ht="42" x14ac:dyDescent="0.15">
      <c r="A5704" s="2">
        <f>HYPERLINK("https://open-school.uspishnemisto.com.ua/school/260639/", 260639)</f>
        <v>260639</v>
      </c>
      <c r="B5704" s="3" t="s">
        <v>29976</v>
      </c>
      <c r="C5704" s="3" t="s">
        <v>31</v>
      </c>
      <c r="D5704" s="3" t="s">
        <v>175</v>
      </c>
      <c r="E5704" s="4" t="s">
        <v>22</v>
      </c>
      <c r="F5704" s="4" t="s">
        <v>29977</v>
      </c>
      <c r="G5704" s="4" t="s">
        <v>29978</v>
      </c>
      <c r="H5704" s="3" t="s">
        <v>26808</v>
      </c>
      <c r="I5704" s="3" t="s">
        <v>2296</v>
      </c>
      <c r="J5704" s="3" t="s">
        <v>29979</v>
      </c>
      <c r="K5704" s="3" t="s">
        <v>29980</v>
      </c>
      <c r="L5704" s="3"/>
      <c r="M5704" s="4"/>
      <c r="N5704" s="3" t="s">
        <v>37</v>
      </c>
      <c r="O5704" s="3" t="s">
        <v>52</v>
      </c>
      <c r="P5704" s="5">
        <v>9</v>
      </c>
      <c r="Q5704" s="5">
        <v>76</v>
      </c>
      <c r="R5704" s="5">
        <v>9</v>
      </c>
      <c r="S5704" s="5">
        <v>72</v>
      </c>
    </row>
    <row r="5705" spans="1:19" ht="42" x14ac:dyDescent="0.15">
      <c r="A5705" s="2">
        <f>HYPERLINK("https://open-school.uspishnemisto.com.ua/school/260640/", 260640)</f>
        <v>260640</v>
      </c>
      <c r="B5705" s="3" t="s">
        <v>29981</v>
      </c>
      <c r="C5705" s="3" t="s">
        <v>31</v>
      </c>
      <c r="D5705" s="3" t="s">
        <v>175</v>
      </c>
      <c r="E5705" s="4" t="s">
        <v>22</v>
      </c>
      <c r="F5705" s="4" t="s">
        <v>29982</v>
      </c>
      <c r="G5705" s="4" t="s">
        <v>29983</v>
      </c>
      <c r="H5705" s="3" t="s">
        <v>26808</v>
      </c>
      <c r="I5705" s="3" t="s">
        <v>29984</v>
      </c>
      <c r="J5705" s="3" t="s">
        <v>29985</v>
      </c>
      <c r="K5705" s="3" t="s">
        <v>29986</v>
      </c>
      <c r="L5705" s="3"/>
      <c r="M5705" s="4"/>
      <c r="N5705" s="3" t="s">
        <v>37</v>
      </c>
      <c r="O5705" s="3" t="s">
        <v>46</v>
      </c>
      <c r="P5705" s="5">
        <v>6</v>
      </c>
      <c r="Q5705" s="5">
        <v>63</v>
      </c>
      <c r="R5705" s="5">
        <v>8</v>
      </c>
      <c r="S5705" s="5">
        <v>70</v>
      </c>
    </row>
    <row r="5706" spans="1:19" ht="56" x14ac:dyDescent="0.15">
      <c r="A5706" s="2">
        <f>HYPERLINK("https://open-school.uspishnemisto.com.ua/school/260641/", 260641)</f>
        <v>260641</v>
      </c>
      <c r="B5706" s="3" t="s">
        <v>29987</v>
      </c>
      <c r="C5706" s="3" t="s">
        <v>54</v>
      </c>
      <c r="D5706" s="3" t="s">
        <v>60</v>
      </c>
      <c r="E5706" s="4" t="s">
        <v>22</v>
      </c>
      <c r="F5706" s="4" t="s">
        <v>29988</v>
      </c>
      <c r="G5706" s="4" t="s">
        <v>29989</v>
      </c>
      <c r="H5706" s="3" t="s">
        <v>26808</v>
      </c>
      <c r="I5706" s="3" t="s">
        <v>29990</v>
      </c>
      <c r="J5706" s="3" t="s">
        <v>6379</v>
      </c>
      <c r="K5706" s="3" t="s">
        <v>29991</v>
      </c>
      <c r="L5706" s="3"/>
      <c r="M5706" s="4"/>
      <c r="N5706" s="3" t="s">
        <v>37</v>
      </c>
      <c r="O5706" s="3" t="s">
        <v>52</v>
      </c>
      <c r="P5706" s="5">
        <v>2</v>
      </c>
      <c r="Q5706" s="5">
        <v>23</v>
      </c>
      <c r="R5706" s="5">
        <v>2</v>
      </c>
      <c r="S5706" s="5">
        <v>24</v>
      </c>
    </row>
    <row r="5707" spans="1:19" ht="42" x14ac:dyDescent="0.15">
      <c r="A5707" s="2">
        <f>HYPERLINK("https://open-school.uspishnemisto.com.ua/school/260642/", 260642)</f>
        <v>260642</v>
      </c>
      <c r="B5707" s="3" t="s">
        <v>29992</v>
      </c>
      <c r="C5707" s="3" t="s">
        <v>31</v>
      </c>
      <c r="D5707" s="3" t="s">
        <v>32</v>
      </c>
      <c r="E5707" s="4" t="s">
        <v>22</v>
      </c>
      <c r="F5707" s="4" t="s">
        <v>29993</v>
      </c>
      <c r="G5707" s="4" t="s">
        <v>29994</v>
      </c>
      <c r="H5707" s="3" t="s">
        <v>26808</v>
      </c>
      <c r="I5707" s="3" t="s">
        <v>29995</v>
      </c>
      <c r="J5707" s="3" t="s">
        <v>29996</v>
      </c>
      <c r="K5707" s="3" t="s">
        <v>29997</v>
      </c>
      <c r="L5707" s="3"/>
      <c r="M5707" s="4"/>
      <c r="N5707" s="3" t="s">
        <v>37</v>
      </c>
      <c r="O5707" s="3" t="s">
        <v>52</v>
      </c>
      <c r="P5707" s="5">
        <v>19</v>
      </c>
      <c r="Q5707" s="5">
        <v>315</v>
      </c>
      <c r="R5707" s="5">
        <v>19</v>
      </c>
      <c r="S5707" s="5">
        <v>329</v>
      </c>
    </row>
    <row r="5708" spans="1:19" ht="42" x14ac:dyDescent="0.15">
      <c r="A5708" s="2">
        <f>HYPERLINK("https://open-school.uspishnemisto.com.ua/school/260643/", 260643)</f>
        <v>260643</v>
      </c>
      <c r="B5708" s="3" t="s">
        <v>29998</v>
      </c>
      <c r="C5708" s="3" t="s">
        <v>31</v>
      </c>
      <c r="D5708" s="3" t="s">
        <v>32</v>
      </c>
      <c r="E5708" s="4" t="s">
        <v>22</v>
      </c>
      <c r="F5708" s="4" t="s">
        <v>29999</v>
      </c>
      <c r="G5708" s="4" t="s">
        <v>30000</v>
      </c>
      <c r="H5708" s="3" t="s">
        <v>26808</v>
      </c>
      <c r="I5708" s="3" t="s">
        <v>30001</v>
      </c>
      <c r="J5708" s="3" t="s">
        <v>30002</v>
      </c>
      <c r="K5708" s="3" t="s">
        <v>30003</v>
      </c>
      <c r="L5708" s="3"/>
      <c r="M5708" s="4"/>
      <c r="N5708" s="3" t="s">
        <v>37</v>
      </c>
      <c r="O5708" s="3" t="s">
        <v>46</v>
      </c>
      <c r="P5708" s="5">
        <v>11</v>
      </c>
      <c r="Q5708" s="5">
        <v>208</v>
      </c>
      <c r="R5708" s="5">
        <v>11</v>
      </c>
      <c r="S5708" s="5">
        <v>209</v>
      </c>
    </row>
    <row r="5709" spans="1:19" ht="42" x14ac:dyDescent="0.15">
      <c r="A5709" s="2">
        <f>HYPERLINK("https://open-school.uspishnemisto.com.ua/school/260644/", 260644)</f>
        <v>260644</v>
      </c>
      <c r="B5709" s="3" t="s">
        <v>30004</v>
      </c>
      <c r="C5709" s="3" t="s">
        <v>54</v>
      </c>
      <c r="D5709" s="3" t="s">
        <v>175</v>
      </c>
      <c r="E5709" s="4" t="s">
        <v>22</v>
      </c>
      <c r="F5709" s="4" t="s">
        <v>30005</v>
      </c>
      <c r="G5709" s="4" t="s">
        <v>30006</v>
      </c>
      <c r="H5709" s="3" t="s">
        <v>26808</v>
      </c>
      <c r="I5709" s="3" t="s">
        <v>30007</v>
      </c>
      <c r="J5709" s="3" t="s">
        <v>30008</v>
      </c>
      <c r="K5709" s="3" t="s">
        <v>30009</v>
      </c>
      <c r="L5709" s="3"/>
      <c r="M5709" s="4"/>
      <c r="N5709" s="3" t="s">
        <v>37</v>
      </c>
      <c r="O5709" s="3" t="s">
        <v>46</v>
      </c>
      <c r="P5709" s="5">
        <v>8</v>
      </c>
      <c r="Q5709" s="5">
        <v>54</v>
      </c>
      <c r="R5709" s="5">
        <v>8</v>
      </c>
      <c r="S5709" s="5">
        <v>57</v>
      </c>
    </row>
    <row r="5710" spans="1:19" ht="42" x14ac:dyDescent="0.15">
      <c r="A5710" s="2">
        <f>HYPERLINK("https://open-school.uspishnemisto.com.ua/school/260645/", 260645)</f>
        <v>260645</v>
      </c>
      <c r="B5710" s="3" t="s">
        <v>30010</v>
      </c>
      <c r="C5710" s="3" t="s">
        <v>31</v>
      </c>
      <c r="D5710" s="3" t="s">
        <v>32</v>
      </c>
      <c r="E5710" s="4" t="s">
        <v>22</v>
      </c>
      <c r="F5710" s="4" t="s">
        <v>30011</v>
      </c>
      <c r="G5710" s="4" t="s">
        <v>30012</v>
      </c>
      <c r="H5710" s="3" t="s">
        <v>26808</v>
      </c>
      <c r="I5710" s="3" t="s">
        <v>30013</v>
      </c>
      <c r="J5710" s="3" t="s">
        <v>30014</v>
      </c>
      <c r="K5710" s="3" t="s">
        <v>30015</v>
      </c>
      <c r="L5710" s="3"/>
      <c r="M5710" s="4"/>
      <c r="N5710" s="3" t="s">
        <v>37</v>
      </c>
      <c r="O5710" s="3" t="s">
        <v>52</v>
      </c>
      <c r="P5710" s="5">
        <v>11</v>
      </c>
      <c r="Q5710" s="5">
        <v>184</v>
      </c>
      <c r="R5710" s="5">
        <v>10</v>
      </c>
      <c r="S5710" s="5">
        <v>179</v>
      </c>
    </row>
    <row r="5711" spans="1:19" ht="42" x14ac:dyDescent="0.15">
      <c r="A5711" s="2">
        <f>HYPERLINK("https://open-school.uspishnemisto.com.ua/school/260646/", 260646)</f>
        <v>260646</v>
      </c>
      <c r="B5711" s="3" t="s">
        <v>30016</v>
      </c>
      <c r="C5711" s="3" t="s">
        <v>31</v>
      </c>
      <c r="D5711" s="3" t="s">
        <v>32</v>
      </c>
      <c r="E5711" s="4" t="s">
        <v>22</v>
      </c>
      <c r="F5711" s="4" t="s">
        <v>30017</v>
      </c>
      <c r="G5711" s="4" t="s">
        <v>30018</v>
      </c>
      <c r="H5711" s="3" t="s">
        <v>26808</v>
      </c>
      <c r="I5711" s="3" t="s">
        <v>7559</v>
      </c>
      <c r="J5711" s="3" t="s">
        <v>2745</v>
      </c>
      <c r="K5711" s="3" t="s">
        <v>30019</v>
      </c>
      <c r="L5711" s="3"/>
      <c r="M5711" s="4"/>
      <c r="N5711" s="3" t="s">
        <v>37</v>
      </c>
      <c r="O5711" s="3" t="s">
        <v>2740</v>
      </c>
      <c r="P5711" s="5">
        <v>10</v>
      </c>
      <c r="Q5711" s="5">
        <v>132</v>
      </c>
      <c r="R5711" s="5">
        <v>10</v>
      </c>
      <c r="S5711" s="5">
        <v>127</v>
      </c>
    </row>
    <row r="5712" spans="1:19" ht="42" x14ac:dyDescent="0.15">
      <c r="A5712" s="2">
        <f>HYPERLINK("https://open-school.uspishnemisto.com.ua/school/260647/", 260647)</f>
        <v>260647</v>
      </c>
      <c r="B5712" s="3" t="s">
        <v>30020</v>
      </c>
      <c r="C5712" s="3" t="s">
        <v>54</v>
      </c>
      <c r="D5712" s="3" t="s">
        <v>175</v>
      </c>
      <c r="E5712" s="4" t="s">
        <v>22</v>
      </c>
      <c r="F5712" s="4" t="s">
        <v>30021</v>
      </c>
      <c r="G5712" s="4" t="s">
        <v>30022</v>
      </c>
      <c r="H5712" s="3" t="s">
        <v>26808</v>
      </c>
      <c r="I5712" s="3" t="s">
        <v>30023</v>
      </c>
      <c r="J5712" s="3" t="s">
        <v>2745</v>
      </c>
      <c r="K5712" s="3" t="s">
        <v>30024</v>
      </c>
      <c r="L5712" s="3"/>
      <c r="M5712" s="4"/>
      <c r="N5712" s="3" t="s">
        <v>37</v>
      </c>
      <c r="O5712" s="3" t="s">
        <v>46</v>
      </c>
      <c r="P5712" s="5">
        <v>9</v>
      </c>
      <c r="Q5712" s="5">
        <v>74</v>
      </c>
      <c r="R5712" s="5">
        <v>9</v>
      </c>
      <c r="S5712" s="5">
        <v>80</v>
      </c>
    </row>
    <row r="5713" spans="1:19" ht="42" x14ac:dyDescent="0.15">
      <c r="A5713" s="2">
        <f>HYPERLINK("https://open-school.uspishnemisto.com.ua/school/260648/", 260648)</f>
        <v>260648</v>
      </c>
      <c r="B5713" s="3" t="s">
        <v>30025</v>
      </c>
      <c r="C5713" s="3" t="s">
        <v>31</v>
      </c>
      <c r="D5713" s="3" t="s">
        <v>32</v>
      </c>
      <c r="E5713" s="4" t="s">
        <v>22</v>
      </c>
      <c r="F5713" s="4" t="s">
        <v>30026</v>
      </c>
      <c r="G5713" s="4" t="s">
        <v>30027</v>
      </c>
      <c r="H5713" s="3" t="s">
        <v>26808</v>
      </c>
      <c r="I5713" s="3" t="s">
        <v>30028</v>
      </c>
      <c r="J5713" s="3" t="s">
        <v>7340</v>
      </c>
      <c r="K5713" s="3" t="s">
        <v>30029</v>
      </c>
      <c r="L5713" s="3"/>
      <c r="M5713" s="4"/>
      <c r="N5713" s="3" t="s">
        <v>37</v>
      </c>
      <c r="O5713" s="3" t="s">
        <v>46</v>
      </c>
      <c r="P5713" s="5">
        <v>20</v>
      </c>
      <c r="Q5713" s="5">
        <v>353</v>
      </c>
      <c r="R5713" s="5">
        <v>19</v>
      </c>
      <c r="S5713" s="5">
        <v>349</v>
      </c>
    </row>
    <row r="5714" spans="1:19" ht="42" x14ac:dyDescent="0.15">
      <c r="A5714" s="2">
        <f>HYPERLINK("https://open-school.uspishnemisto.com.ua/school/260649/", 260649)</f>
        <v>260649</v>
      </c>
      <c r="B5714" s="3" t="s">
        <v>30030</v>
      </c>
      <c r="C5714" s="3" t="s">
        <v>7651</v>
      </c>
      <c r="D5714" s="3"/>
      <c r="E5714" s="4" t="s">
        <v>22</v>
      </c>
      <c r="F5714" s="4"/>
      <c r="G5714" s="4" t="s">
        <v>30027</v>
      </c>
      <c r="H5714" s="3" t="s">
        <v>26808</v>
      </c>
      <c r="I5714" s="3" t="s">
        <v>30028</v>
      </c>
      <c r="J5714" s="3"/>
      <c r="K5714" s="3"/>
      <c r="L5714" s="3"/>
      <c r="M5714" s="4"/>
      <c r="N5714" s="3"/>
      <c r="O5714" s="3"/>
      <c r="P5714" s="5">
        <v>0</v>
      </c>
      <c r="Q5714" s="5">
        <v>0</v>
      </c>
      <c r="R5714" s="5"/>
      <c r="S5714" s="5"/>
    </row>
    <row r="5715" spans="1:19" ht="42" x14ac:dyDescent="0.15">
      <c r="A5715" s="2">
        <f>HYPERLINK("https://open-school.uspishnemisto.com.ua/school/260650/", 260650)</f>
        <v>260650</v>
      </c>
      <c r="B5715" s="3" t="s">
        <v>30031</v>
      </c>
      <c r="C5715" s="3" t="s">
        <v>31</v>
      </c>
      <c r="D5715" s="3" t="s">
        <v>32</v>
      </c>
      <c r="E5715" s="4" t="s">
        <v>22</v>
      </c>
      <c r="F5715" s="4" t="s">
        <v>30032</v>
      </c>
      <c r="G5715" s="4" t="s">
        <v>30033</v>
      </c>
      <c r="H5715" s="3" t="s">
        <v>26808</v>
      </c>
      <c r="I5715" s="3" t="s">
        <v>30034</v>
      </c>
      <c r="J5715" s="3" t="s">
        <v>30035</v>
      </c>
      <c r="K5715" s="3" t="s">
        <v>30036</v>
      </c>
      <c r="L5715" s="3"/>
      <c r="M5715" s="4"/>
      <c r="N5715" s="3" t="s">
        <v>37</v>
      </c>
      <c r="O5715" s="3" t="s">
        <v>46</v>
      </c>
      <c r="P5715" s="5">
        <v>11</v>
      </c>
      <c r="Q5715" s="5">
        <v>232</v>
      </c>
      <c r="R5715" s="5">
        <v>11</v>
      </c>
      <c r="S5715" s="5">
        <v>230</v>
      </c>
    </row>
    <row r="5716" spans="1:19" ht="42" x14ac:dyDescent="0.15">
      <c r="A5716" s="2">
        <f>HYPERLINK("https://open-school.uspishnemisto.com.ua/school/260651/", 260651)</f>
        <v>260651</v>
      </c>
      <c r="B5716" s="3" t="s">
        <v>30037</v>
      </c>
      <c r="C5716" s="3" t="s">
        <v>31</v>
      </c>
      <c r="D5716" s="3" t="s">
        <v>175</v>
      </c>
      <c r="E5716" s="4" t="s">
        <v>22</v>
      </c>
      <c r="F5716" s="4" t="s">
        <v>30038</v>
      </c>
      <c r="G5716" s="4" t="s">
        <v>30039</v>
      </c>
      <c r="H5716" s="3" t="s">
        <v>26808</v>
      </c>
      <c r="I5716" s="3" t="s">
        <v>3581</v>
      </c>
      <c r="J5716" s="3" t="s">
        <v>2209</v>
      </c>
      <c r="K5716" s="3" t="s">
        <v>30040</v>
      </c>
      <c r="L5716" s="3"/>
      <c r="M5716" s="4"/>
      <c r="N5716" s="3" t="s">
        <v>37</v>
      </c>
      <c r="O5716" s="3" t="s">
        <v>46</v>
      </c>
      <c r="P5716" s="5">
        <v>9</v>
      </c>
      <c r="Q5716" s="5">
        <v>138</v>
      </c>
      <c r="R5716" s="5">
        <v>9</v>
      </c>
      <c r="S5716" s="5">
        <v>130</v>
      </c>
    </row>
    <row r="5717" spans="1:19" ht="42" x14ac:dyDescent="0.15">
      <c r="A5717" s="2">
        <f>HYPERLINK("https://open-school.uspishnemisto.com.ua/school/260652/", 260652)</f>
        <v>260652</v>
      </c>
      <c r="B5717" s="3" t="s">
        <v>30041</v>
      </c>
      <c r="C5717" s="3" t="s">
        <v>31</v>
      </c>
      <c r="D5717" s="3" t="s">
        <v>175</v>
      </c>
      <c r="E5717" s="4" t="s">
        <v>22</v>
      </c>
      <c r="F5717" s="4" t="s">
        <v>30042</v>
      </c>
      <c r="G5717" s="4" t="s">
        <v>30043</v>
      </c>
      <c r="H5717" s="3" t="s">
        <v>26808</v>
      </c>
      <c r="I5717" s="3" t="s">
        <v>30044</v>
      </c>
      <c r="J5717" s="3" t="s">
        <v>30045</v>
      </c>
      <c r="K5717" s="3" t="s">
        <v>30046</v>
      </c>
      <c r="L5717" s="3" t="s">
        <v>30047</v>
      </c>
      <c r="M5717" s="4"/>
      <c r="N5717" s="3" t="s">
        <v>37</v>
      </c>
      <c r="O5717" s="3" t="s">
        <v>2740</v>
      </c>
      <c r="P5717" s="5">
        <v>9</v>
      </c>
      <c r="Q5717" s="5">
        <v>115</v>
      </c>
      <c r="R5717" s="5">
        <v>8</v>
      </c>
      <c r="S5717" s="5">
        <v>103</v>
      </c>
    </row>
    <row r="5718" spans="1:19" ht="42" x14ac:dyDescent="0.15">
      <c r="A5718" s="2">
        <f>HYPERLINK("https://open-school.uspishnemisto.com.ua/school/260653/", 260653)</f>
        <v>260653</v>
      </c>
      <c r="B5718" s="3" t="s">
        <v>30048</v>
      </c>
      <c r="C5718" s="3" t="s">
        <v>31</v>
      </c>
      <c r="D5718" s="3" t="s">
        <v>60</v>
      </c>
      <c r="E5718" s="4" t="s">
        <v>22</v>
      </c>
      <c r="F5718" s="4" t="s">
        <v>30049</v>
      </c>
      <c r="G5718" s="4" t="s">
        <v>30050</v>
      </c>
      <c r="H5718" s="3" t="s">
        <v>26808</v>
      </c>
      <c r="I5718" s="3" t="s">
        <v>30051</v>
      </c>
      <c r="J5718" s="3" t="s">
        <v>30052</v>
      </c>
      <c r="K5718" s="3" t="s">
        <v>30053</v>
      </c>
      <c r="L5718" s="3"/>
      <c r="M5718" s="4"/>
      <c r="N5718" s="3" t="s">
        <v>37</v>
      </c>
      <c r="O5718" s="3" t="s">
        <v>52</v>
      </c>
      <c r="P5718" s="5">
        <v>0</v>
      </c>
      <c r="Q5718" s="5">
        <v>9</v>
      </c>
      <c r="R5718" s="5">
        <v>0</v>
      </c>
      <c r="S5718" s="5">
        <v>10</v>
      </c>
    </row>
    <row r="5719" spans="1:19" ht="42" x14ac:dyDescent="0.15">
      <c r="A5719" s="2">
        <f>HYPERLINK("https://open-school.uspishnemisto.com.ua/school/260654/", 260654)</f>
        <v>260654</v>
      </c>
      <c r="B5719" s="3" t="s">
        <v>30054</v>
      </c>
      <c r="C5719" s="3" t="s">
        <v>31</v>
      </c>
      <c r="D5719" s="3" t="s">
        <v>60</v>
      </c>
      <c r="E5719" s="4" t="s">
        <v>22</v>
      </c>
      <c r="F5719" s="4" t="s">
        <v>30055</v>
      </c>
      <c r="G5719" s="4" t="s">
        <v>30056</v>
      </c>
      <c r="H5719" s="3" t="s">
        <v>26808</v>
      </c>
      <c r="I5719" s="3" t="s">
        <v>30057</v>
      </c>
      <c r="J5719" s="3" t="s">
        <v>30058</v>
      </c>
      <c r="K5719" s="3" t="s">
        <v>30059</v>
      </c>
      <c r="L5719" s="3"/>
      <c r="M5719" s="4"/>
      <c r="N5719" s="3" t="s">
        <v>37</v>
      </c>
      <c r="O5719" s="3" t="s">
        <v>52</v>
      </c>
      <c r="P5719" s="5">
        <v>3</v>
      </c>
      <c r="Q5719" s="5">
        <v>22</v>
      </c>
      <c r="R5719" s="5">
        <v>2</v>
      </c>
      <c r="S5719" s="5">
        <v>21</v>
      </c>
    </row>
    <row r="5720" spans="1:19" ht="42" x14ac:dyDescent="0.15">
      <c r="A5720" s="2">
        <f>HYPERLINK("https://open-school.uspishnemisto.com.ua/school/260655/", 260655)</f>
        <v>260655</v>
      </c>
      <c r="B5720" s="3" t="s">
        <v>30060</v>
      </c>
      <c r="C5720" s="3" t="s">
        <v>31</v>
      </c>
      <c r="D5720" s="3" t="s">
        <v>32</v>
      </c>
      <c r="E5720" s="4" t="s">
        <v>22</v>
      </c>
      <c r="F5720" s="4" t="s">
        <v>30061</v>
      </c>
      <c r="G5720" s="4" t="s">
        <v>30062</v>
      </c>
      <c r="H5720" s="3" t="s">
        <v>26808</v>
      </c>
      <c r="I5720" s="3" t="s">
        <v>766</v>
      </c>
      <c r="J5720" s="3" t="s">
        <v>2745</v>
      </c>
      <c r="K5720" s="3" t="s">
        <v>30063</v>
      </c>
      <c r="L5720" s="3"/>
      <c r="M5720" s="4"/>
      <c r="N5720" s="3" t="s">
        <v>37</v>
      </c>
      <c r="O5720" s="3" t="s">
        <v>46</v>
      </c>
      <c r="P5720" s="5">
        <v>11</v>
      </c>
      <c r="Q5720" s="5">
        <v>141</v>
      </c>
      <c r="R5720" s="5">
        <v>11</v>
      </c>
      <c r="S5720" s="5">
        <v>126</v>
      </c>
    </row>
    <row r="5721" spans="1:19" ht="42" x14ac:dyDescent="0.15">
      <c r="A5721" s="2">
        <f>HYPERLINK("https://open-school.uspishnemisto.com.ua/school/260656/", 260656)</f>
        <v>260656</v>
      </c>
      <c r="B5721" s="3" t="s">
        <v>30064</v>
      </c>
      <c r="C5721" s="3" t="s">
        <v>31</v>
      </c>
      <c r="D5721" s="3" t="s">
        <v>175</v>
      </c>
      <c r="E5721" s="4" t="s">
        <v>22</v>
      </c>
      <c r="F5721" s="4" t="s">
        <v>30065</v>
      </c>
      <c r="G5721" s="4" t="s">
        <v>30066</v>
      </c>
      <c r="H5721" s="3" t="s">
        <v>26808</v>
      </c>
      <c r="I5721" s="3" t="s">
        <v>30067</v>
      </c>
      <c r="J5721" s="3" t="s">
        <v>21337</v>
      </c>
      <c r="K5721" s="3" t="s">
        <v>30068</v>
      </c>
      <c r="L5721" s="3"/>
      <c r="M5721" s="4"/>
      <c r="N5721" s="3" t="s">
        <v>37</v>
      </c>
      <c r="O5721" s="3" t="s">
        <v>52</v>
      </c>
      <c r="P5721" s="5">
        <v>9</v>
      </c>
      <c r="Q5721" s="5">
        <v>83</v>
      </c>
      <c r="R5721" s="5">
        <v>9</v>
      </c>
      <c r="S5721" s="5">
        <v>88</v>
      </c>
    </row>
    <row r="5722" spans="1:19" ht="42" x14ac:dyDescent="0.15">
      <c r="A5722" s="2">
        <f>HYPERLINK("https://open-school.uspishnemisto.com.ua/school/260657/", 260657)</f>
        <v>260657</v>
      </c>
      <c r="B5722" s="3" t="s">
        <v>30069</v>
      </c>
      <c r="C5722" s="3" t="s">
        <v>31</v>
      </c>
      <c r="D5722" s="3" t="s">
        <v>60</v>
      </c>
      <c r="E5722" s="4" t="s">
        <v>22</v>
      </c>
      <c r="F5722" s="4" t="s">
        <v>30070</v>
      </c>
      <c r="G5722" s="4" t="s">
        <v>30071</v>
      </c>
      <c r="H5722" s="3" t="s">
        <v>26808</v>
      </c>
      <c r="I5722" s="3" t="s">
        <v>30072</v>
      </c>
      <c r="J5722" s="3" t="s">
        <v>30073</v>
      </c>
      <c r="K5722" s="3" t="s">
        <v>30074</v>
      </c>
      <c r="L5722" s="3"/>
      <c r="M5722" s="4"/>
      <c r="N5722" s="3" t="s">
        <v>37</v>
      </c>
      <c r="O5722" s="3" t="s">
        <v>52</v>
      </c>
      <c r="P5722" s="5">
        <v>3</v>
      </c>
      <c r="Q5722" s="5">
        <v>31</v>
      </c>
      <c r="R5722" s="5">
        <v>3</v>
      </c>
      <c r="S5722" s="5">
        <v>29</v>
      </c>
    </row>
    <row r="5723" spans="1:19" ht="42" x14ac:dyDescent="0.15">
      <c r="A5723" s="2">
        <f>HYPERLINK("https://open-school.uspishnemisto.com.ua/school/260658/", 260658)</f>
        <v>260658</v>
      </c>
      <c r="B5723" s="3" t="s">
        <v>30075</v>
      </c>
      <c r="C5723" s="3" t="s">
        <v>31</v>
      </c>
      <c r="D5723" s="3" t="s">
        <v>175</v>
      </c>
      <c r="E5723" s="4" t="s">
        <v>22</v>
      </c>
      <c r="F5723" s="4" t="s">
        <v>30076</v>
      </c>
      <c r="G5723" s="4" t="s">
        <v>30077</v>
      </c>
      <c r="H5723" s="3" t="s">
        <v>26808</v>
      </c>
      <c r="I5723" s="3" t="s">
        <v>30078</v>
      </c>
      <c r="J5723" s="3" t="s">
        <v>30079</v>
      </c>
      <c r="K5723" s="3"/>
      <c r="L5723" s="3"/>
      <c r="M5723" s="4"/>
      <c r="N5723" s="3" t="s">
        <v>37</v>
      </c>
      <c r="O5723" s="3" t="s">
        <v>52</v>
      </c>
      <c r="P5723" s="5">
        <v>8</v>
      </c>
      <c r="Q5723" s="5">
        <v>75</v>
      </c>
      <c r="R5723" s="5">
        <v>8</v>
      </c>
      <c r="S5723" s="5">
        <v>80</v>
      </c>
    </row>
    <row r="5724" spans="1:19" ht="42" x14ac:dyDescent="0.15">
      <c r="A5724" s="2">
        <f>HYPERLINK("https://open-school.uspishnemisto.com.ua/school/260659/", 260659)</f>
        <v>260659</v>
      </c>
      <c r="B5724" s="3" t="s">
        <v>30080</v>
      </c>
      <c r="C5724" s="3" t="s">
        <v>54</v>
      </c>
      <c r="D5724" s="3" t="s">
        <v>60</v>
      </c>
      <c r="E5724" s="4" t="s">
        <v>22</v>
      </c>
      <c r="F5724" s="4" t="s">
        <v>29910</v>
      </c>
      <c r="G5724" s="4" t="s">
        <v>30081</v>
      </c>
      <c r="H5724" s="3" t="s">
        <v>26808</v>
      </c>
      <c r="I5724" s="3" t="s">
        <v>11064</v>
      </c>
      <c r="J5724" s="3" t="s">
        <v>27802</v>
      </c>
      <c r="K5724" s="3" t="s">
        <v>30082</v>
      </c>
      <c r="L5724" s="3"/>
      <c r="M5724" s="4"/>
      <c r="N5724" s="3" t="s">
        <v>37</v>
      </c>
      <c r="O5724" s="3" t="s">
        <v>52</v>
      </c>
      <c r="P5724" s="5">
        <v>3</v>
      </c>
      <c r="Q5724" s="5">
        <v>22</v>
      </c>
      <c r="R5724" s="5">
        <v>3</v>
      </c>
      <c r="S5724" s="5">
        <v>20</v>
      </c>
    </row>
    <row r="5725" spans="1:19" ht="42" x14ac:dyDescent="0.15">
      <c r="A5725" s="2">
        <f>HYPERLINK("https://open-school.uspishnemisto.com.ua/school/260660/", 260660)</f>
        <v>260660</v>
      </c>
      <c r="B5725" s="3" t="s">
        <v>30083</v>
      </c>
      <c r="C5725" s="3" t="s">
        <v>31</v>
      </c>
      <c r="D5725" s="3" t="s">
        <v>175</v>
      </c>
      <c r="E5725" s="4" t="s">
        <v>22</v>
      </c>
      <c r="F5725" s="4" t="s">
        <v>30084</v>
      </c>
      <c r="G5725" s="4" t="s">
        <v>30085</v>
      </c>
      <c r="H5725" s="3" t="s">
        <v>26808</v>
      </c>
      <c r="I5725" s="3" t="s">
        <v>30086</v>
      </c>
      <c r="J5725" s="3" t="s">
        <v>30087</v>
      </c>
      <c r="K5725" s="3" t="s">
        <v>30088</v>
      </c>
      <c r="L5725" s="3"/>
      <c r="M5725" s="4"/>
      <c r="N5725" s="3" t="s">
        <v>37</v>
      </c>
      <c r="O5725" s="3" t="s">
        <v>46</v>
      </c>
      <c r="P5725" s="5">
        <v>9</v>
      </c>
      <c r="Q5725" s="5">
        <v>112</v>
      </c>
      <c r="R5725" s="5">
        <v>9</v>
      </c>
      <c r="S5725" s="5">
        <v>106</v>
      </c>
    </row>
    <row r="5726" spans="1:19" ht="42" x14ac:dyDescent="0.15">
      <c r="A5726" s="2">
        <f>HYPERLINK("https://open-school.uspishnemisto.com.ua/school/260661/", 260661)</f>
        <v>260661</v>
      </c>
      <c r="B5726" s="3" t="s">
        <v>30089</v>
      </c>
      <c r="C5726" s="3" t="s">
        <v>31</v>
      </c>
      <c r="D5726" s="3" t="s">
        <v>60</v>
      </c>
      <c r="E5726" s="4" t="s">
        <v>22</v>
      </c>
      <c r="F5726" s="4" t="s">
        <v>30084</v>
      </c>
      <c r="G5726" s="4" t="s">
        <v>30090</v>
      </c>
      <c r="H5726" s="3" t="s">
        <v>26808</v>
      </c>
      <c r="I5726" s="3" t="s">
        <v>30091</v>
      </c>
      <c r="J5726" s="3" t="s">
        <v>3599</v>
      </c>
      <c r="K5726" s="3" t="s">
        <v>30092</v>
      </c>
      <c r="L5726" s="3"/>
      <c r="M5726" s="4"/>
      <c r="N5726" s="3" t="s">
        <v>37</v>
      </c>
      <c r="O5726" s="3" t="s">
        <v>52</v>
      </c>
      <c r="P5726" s="5">
        <v>1</v>
      </c>
      <c r="Q5726" s="5">
        <v>12</v>
      </c>
      <c r="R5726" s="5">
        <v>1</v>
      </c>
      <c r="S5726" s="5">
        <v>16</v>
      </c>
    </row>
    <row r="5727" spans="1:19" ht="42" x14ac:dyDescent="0.15">
      <c r="A5727" s="2">
        <f>HYPERLINK("https://open-school.uspishnemisto.com.ua/school/260662/", 260662)</f>
        <v>260662</v>
      </c>
      <c r="B5727" s="3" t="s">
        <v>30093</v>
      </c>
      <c r="C5727" s="3" t="s">
        <v>40</v>
      </c>
      <c r="D5727" s="3" t="s">
        <v>32</v>
      </c>
      <c r="E5727" s="4" t="s">
        <v>22</v>
      </c>
      <c r="F5727" s="4" t="s">
        <v>30094</v>
      </c>
      <c r="G5727" s="4" t="s">
        <v>30095</v>
      </c>
      <c r="H5727" s="3" t="s">
        <v>26808</v>
      </c>
      <c r="I5727" s="3" t="s">
        <v>30096</v>
      </c>
      <c r="J5727" s="3" t="s">
        <v>1780</v>
      </c>
      <c r="K5727" s="3" t="s">
        <v>30097</v>
      </c>
      <c r="L5727" s="3"/>
      <c r="M5727" s="4" t="s">
        <v>30098</v>
      </c>
      <c r="N5727" s="3" t="s">
        <v>37</v>
      </c>
      <c r="O5727" s="3" t="s">
        <v>123</v>
      </c>
      <c r="P5727" s="5">
        <v>12</v>
      </c>
      <c r="Q5727" s="5">
        <v>239</v>
      </c>
      <c r="R5727" s="5">
        <v>12</v>
      </c>
      <c r="S5727" s="5">
        <v>234</v>
      </c>
    </row>
    <row r="5728" spans="1:19" ht="42" x14ac:dyDescent="0.15">
      <c r="A5728" s="2">
        <f>HYPERLINK("https://open-school.uspishnemisto.com.ua/school/260663/", 260663)</f>
        <v>260663</v>
      </c>
      <c r="B5728" s="3" t="s">
        <v>30099</v>
      </c>
      <c r="C5728" s="3" t="s">
        <v>31</v>
      </c>
      <c r="D5728" s="3" t="s">
        <v>32</v>
      </c>
      <c r="E5728" s="4" t="s">
        <v>22</v>
      </c>
      <c r="F5728" s="4" t="s">
        <v>30094</v>
      </c>
      <c r="G5728" s="4" t="s">
        <v>30095</v>
      </c>
      <c r="H5728" s="3" t="s">
        <v>26808</v>
      </c>
      <c r="I5728" s="3" t="s">
        <v>30096</v>
      </c>
      <c r="J5728" s="3" t="s">
        <v>30100</v>
      </c>
      <c r="K5728" s="3" t="s">
        <v>30101</v>
      </c>
      <c r="L5728" s="3"/>
      <c r="M5728" s="4"/>
      <c r="N5728" s="3" t="s">
        <v>37</v>
      </c>
      <c r="O5728" s="3" t="s">
        <v>197</v>
      </c>
      <c r="P5728" s="5">
        <v>33</v>
      </c>
      <c r="Q5728" s="5">
        <v>797</v>
      </c>
      <c r="R5728" s="5">
        <v>31</v>
      </c>
      <c r="S5728" s="5">
        <v>782</v>
      </c>
    </row>
    <row r="5729" spans="1:19" ht="42" x14ac:dyDescent="0.15">
      <c r="A5729" s="2">
        <f>HYPERLINK("https://open-school.uspishnemisto.com.ua/school/260664/", 260664)</f>
        <v>260664</v>
      </c>
      <c r="B5729" s="3" t="s">
        <v>30102</v>
      </c>
      <c r="C5729" s="3" t="s">
        <v>181</v>
      </c>
      <c r="D5729" s="3" t="s">
        <v>175</v>
      </c>
      <c r="E5729" s="4" t="s">
        <v>22</v>
      </c>
      <c r="F5729" s="4" t="s">
        <v>30094</v>
      </c>
      <c r="G5729" s="4" t="s">
        <v>30095</v>
      </c>
      <c r="H5729" s="3" t="s">
        <v>26808</v>
      </c>
      <c r="I5729" s="3" t="s">
        <v>30096</v>
      </c>
      <c r="J5729" s="3" t="s">
        <v>27242</v>
      </c>
      <c r="K5729" s="3" t="s">
        <v>30103</v>
      </c>
      <c r="L5729" s="3" t="s">
        <v>30104</v>
      </c>
      <c r="M5729" s="4" t="s">
        <v>30105</v>
      </c>
      <c r="N5729" s="3" t="s">
        <v>37</v>
      </c>
      <c r="O5729" s="3" t="s">
        <v>2740</v>
      </c>
      <c r="P5729" s="5">
        <v>11</v>
      </c>
      <c r="Q5729" s="5">
        <v>110</v>
      </c>
      <c r="R5729" s="5">
        <v>11</v>
      </c>
      <c r="S5729" s="5">
        <v>112</v>
      </c>
    </row>
    <row r="5730" spans="1:19" ht="42" x14ac:dyDescent="0.15">
      <c r="A5730" s="2">
        <f>HYPERLINK("https://open-school.uspishnemisto.com.ua/school/260665/", 260665)</f>
        <v>260665</v>
      </c>
      <c r="B5730" s="3" t="s">
        <v>30106</v>
      </c>
      <c r="C5730" s="3" t="s">
        <v>31</v>
      </c>
      <c r="D5730" s="3" t="s">
        <v>32</v>
      </c>
      <c r="E5730" s="4" t="s">
        <v>22</v>
      </c>
      <c r="F5730" s="4" t="s">
        <v>30107</v>
      </c>
      <c r="G5730" s="4" t="s">
        <v>30108</v>
      </c>
      <c r="H5730" s="3" t="s">
        <v>26808</v>
      </c>
      <c r="I5730" s="3" t="s">
        <v>30109</v>
      </c>
      <c r="J5730" s="3" t="s">
        <v>30110</v>
      </c>
      <c r="K5730" s="3" t="s">
        <v>30111</v>
      </c>
      <c r="L5730" s="3" t="s">
        <v>30112</v>
      </c>
      <c r="M5730" s="4"/>
      <c r="N5730" s="3" t="s">
        <v>37</v>
      </c>
      <c r="O5730" s="3" t="s">
        <v>2740</v>
      </c>
      <c r="P5730" s="5">
        <v>18</v>
      </c>
      <c r="Q5730" s="5">
        <v>326</v>
      </c>
      <c r="R5730" s="5">
        <v>17</v>
      </c>
      <c r="S5730" s="5">
        <v>336</v>
      </c>
    </row>
    <row r="5731" spans="1:19" ht="56" x14ac:dyDescent="0.15">
      <c r="A5731" s="2">
        <f>HYPERLINK("https://open-school.uspishnemisto.com.ua/school/260666/", 260666)</f>
        <v>260666</v>
      </c>
      <c r="B5731" s="3" t="s">
        <v>30113</v>
      </c>
      <c r="C5731" s="3" t="s">
        <v>54</v>
      </c>
      <c r="D5731" s="3" t="s">
        <v>175</v>
      </c>
      <c r="E5731" s="4" t="s">
        <v>22</v>
      </c>
      <c r="F5731" s="4" t="s">
        <v>30114</v>
      </c>
      <c r="G5731" s="4" t="s">
        <v>30115</v>
      </c>
      <c r="H5731" s="3" t="s">
        <v>26808</v>
      </c>
      <c r="I5731" s="3" t="s">
        <v>30116</v>
      </c>
      <c r="J5731" s="3" t="s">
        <v>30117</v>
      </c>
      <c r="K5731" s="3" t="s">
        <v>30118</v>
      </c>
      <c r="L5731" s="3"/>
      <c r="M5731" s="4"/>
      <c r="N5731" s="3" t="s">
        <v>37</v>
      </c>
      <c r="O5731" s="3" t="s">
        <v>2740</v>
      </c>
      <c r="P5731" s="5">
        <v>5</v>
      </c>
      <c r="Q5731" s="5">
        <v>45</v>
      </c>
      <c r="R5731" s="5">
        <v>5</v>
      </c>
      <c r="S5731" s="5">
        <v>45</v>
      </c>
    </row>
    <row r="5732" spans="1:19" ht="70" x14ac:dyDescent="0.15">
      <c r="A5732" s="2">
        <f>HYPERLINK("https://open-school.uspishnemisto.com.ua/school/260667/", 260667)</f>
        <v>260667</v>
      </c>
      <c r="B5732" s="3" t="s">
        <v>30119</v>
      </c>
      <c r="C5732" s="3" t="s">
        <v>54</v>
      </c>
      <c r="D5732" s="3" t="s">
        <v>32</v>
      </c>
      <c r="E5732" s="4" t="s">
        <v>22</v>
      </c>
      <c r="F5732" s="4" t="s">
        <v>30120</v>
      </c>
      <c r="G5732" s="4" t="s">
        <v>30121</v>
      </c>
      <c r="H5732" s="3" t="s">
        <v>26808</v>
      </c>
      <c r="I5732" s="3" t="s">
        <v>3751</v>
      </c>
      <c r="J5732" s="3" t="s">
        <v>23179</v>
      </c>
      <c r="K5732" s="3" t="s">
        <v>30122</v>
      </c>
      <c r="L5732" s="3"/>
      <c r="M5732" s="4"/>
      <c r="N5732" s="3" t="s">
        <v>37</v>
      </c>
      <c r="O5732" s="3" t="s">
        <v>46</v>
      </c>
      <c r="P5732" s="5">
        <v>11</v>
      </c>
      <c r="Q5732" s="5">
        <v>107</v>
      </c>
      <c r="R5732" s="5">
        <v>11</v>
      </c>
      <c r="S5732" s="5">
        <v>119</v>
      </c>
    </row>
    <row r="5733" spans="1:19" ht="70" x14ac:dyDescent="0.15">
      <c r="A5733" s="2">
        <f>HYPERLINK("https://open-school.uspishnemisto.com.ua/school/260668/", 260668)</f>
        <v>260668</v>
      </c>
      <c r="B5733" s="3" t="s">
        <v>30123</v>
      </c>
      <c r="C5733" s="3" t="s">
        <v>54</v>
      </c>
      <c r="D5733" s="3" t="s">
        <v>175</v>
      </c>
      <c r="E5733" s="4" t="s">
        <v>22</v>
      </c>
      <c r="F5733" s="4" t="s">
        <v>30124</v>
      </c>
      <c r="G5733" s="4" t="s">
        <v>30125</v>
      </c>
      <c r="H5733" s="3" t="s">
        <v>26808</v>
      </c>
      <c r="I5733" s="3" t="s">
        <v>30126</v>
      </c>
      <c r="J5733" s="3" t="s">
        <v>30127</v>
      </c>
      <c r="K5733" s="3" t="s">
        <v>30128</v>
      </c>
      <c r="L5733" s="3"/>
      <c r="M5733" s="4"/>
      <c r="N5733" s="3" t="s">
        <v>37</v>
      </c>
      <c r="O5733" s="3" t="s">
        <v>46</v>
      </c>
      <c r="P5733" s="5">
        <v>8</v>
      </c>
      <c r="Q5733" s="5">
        <v>60</v>
      </c>
      <c r="R5733" s="5">
        <v>8</v>
      </c>
      <c r="S5733" s="5">
        <v>58</v>
      </c>
    </row>
    <row r="5734" spans="1:19" ht="42" x14ac:dyDescent="0.15">
      <c r="A5734" s="2">
        <f>HYPERLINK("https://open-school.uspishnemisto.com.ua/school/260669/", 260669)</f>
        <v>260669</v>
      </c>
      <c r="B5734" s="3" t="s">
        <v>30129</v>
      </c>
      <c r="C5734" s="3" t="s">
        <v>31</v>
      </c>
      <c r="D5734" s="3" t="s">
        <v>175</v>
      </c>
      <c r="E5734" s="4" t="s">
        <v>22</v>
      </c>
      <c r="F5734" s="4" t="s">
        <v>30130</v>
      </c>
      <c r="G5734" s="4" t="s">
        <v>30131</v>
      </c>
      <c r="H5734" s="3" t="s">
        <v>26808</v>
      </c>
      <c r="I5734" s="3" t="s">
        <v>30132</v>
      </c>
      <c r="J5734" s="3" t="s">
        <v>30133</v>
      </c>
      <c r="K5734" s="3" t="s">
        <v>30134</v>
      </c>
      <c r="L5734" s="3"/>
      <c r="M5734" s="4"/>
      <c r="N5734" s="3" t="s">
        <v>37</v>
      </c>
      <c r="O5734" s="3" t="s">
        <v>52</v>
      </c>
      <c r="P5734" s="5">
        <v>9</v>
      </c>
      <c r="Q5734" s="5">
        <v>182</v>
      </c>
      <c r="R5734" s="5">
        <v>9</v>
      </c>
      <c r="S5734" s="5">
        <v>178</v>
      </c>
    </row>
    <row r="5735" spans="1:19" ht="70" x14ac:dyDescent="0.15">
      <c r="A5735" s="2">
        <f>HYPERLINK("https://open-school.uspishnemisto.com.ua/school/260670/", 260670)</f>
        <v>260670</v>
      </c>
      <c r="B5735" s="3" t="s">
        <v>30135</v>
      </c>
      <c r="C5735" s="3" t="s">
        <v>54</v>
      </c>
      <c r="D5735" s="3" t="s">
        <v>175</v>
      </c>
      <c r="E5735" s="4" t="s">
        <v>22</v>
      </c>
      <c r="F5735" s="4" t="s">
        <v>30136</v>
      </c>
      <c r="G5735" s="4" t="s">
        <v>30137</v>
      </c>
      <c r="H5735" s="3" t="s">
        <v>26808</v>
      </c>
      <c r="I5735" s="3" t="s">
        <v>30138</v>
      </c>
      <c r="J5735" s="3" t="s">
        <v>30139</v>
      </c>
      <c r="K5735" s="3" t="s">
        <v>30140</v>
      </c>
      <c r="L5735" s="3"/>
      <c r="M5735" s="4"/>
      <c r="N5735" s="3" t="s">
        <v>37</v>
      </c>
      <c r="O5735" s="3" t="s">
        <v>46</v>
      </c>
      <c r="P5735" s="5">
        <v>8</v>
      </c>
      <c r="Q5735" s="5">
        <v>58</v>
      </c>
      <c r="R5735" s="5">
        <v>8</v>
      </c>
      <c r="S5735" s="5">
        <v>60</v>
      </c>
    </row>
    <row r="5736" spans="1:19" ht="42" x14ac:dyDescent="0.15">
      <c r="A5736" s="2">
        <f>HYPERLINK("https://open-school.uspishnemisto.com.ua/school/260671/", 260671)</f>
        <v>260671</v>
      </c>
      <c r="B5736" s="3" t="s">
        <v>30141</v>
      </c>
      <c r="C5736" s="3" t="s">
        <v>31</v>
      </c>
      <c r="D5736" s="3" t="s">
        <v>175</v>
      </c>
      <c r="E5736" s="4" t="s">
        <v>22</v>
      </c>
      <c r="F5736" s="4" t="s">
        <v>30142</v>
      </c>
      <c r="G5736" s="4" t="s">
        <v>30143</v>
      </c>
      <c r="H5736" s="3" t="s">
        <v>26808</v>
      </c>
      <c r="I5736" s="3" t="s">
        <v>30144</v>
      </c>
      <c r="J5736" s="3" t="s">
        <v>30145</v>
      </c>
      <c r="K5736" s="3" t="s">
        <v>30146</v>
      </c>
      <c r="L5736" s="3"/>
      <c r="M5736" s="4"/>
      <c r="N5736" s="3" t="s">
        <v>37</v>
      </c>
      <c r="O5736" s="3" t="s">
        <v>2740</v>
      </c>
      <c r="P5736" s="5">
        <v>8</v>
      </c>
      <c r="Q5736" s="5">
        <v>61</v>
      </c>
      <c r="R5736" s="5">
        <v>7</v>
      </c>
      <c r="S5736" s="5">
        <v>56</v>
      </c>
    </row>
    <row r="5737" spans="1:19" ht="42" x14ac:dyDescent="0.15">
      <c r="A5737" s="2">
        <f>HYPERLINK("https://open-school.uspishnemisto.com.ua/school/260672/", 260672)</f>
        <v>260672</v>
      </c>
      <c r="B5737" s="3" t="s">
        <v>30147</v>
      </c>
      <c r="C5737" s="3" t="s">
        <v>31</v>
      </c>
      <c r="D5737" s="3" t="s">
        <v>32</v>
      </c>
      <c r="E5737" s="4" t="s">
        <v>22</v>
      </c>
      <c r="F5737" s="4" t="s">
        <v>30148</v>
      </c>
      <c r="G5737" s="4" t="s">
        <v>30149</v>
      </c>
      <c r="H5737" s="3" t="s">
        <v>26808</v>
      </c>
      <c r="I5737" s="3" t="s">
        <v>30150</v>
      </c>
      <c r="J5737" s="3" t="s">
        <v>30151</v>
      </c>
      <c r="K5737" s="3" t="s">
        <v>30152</v>
      </c>
      <c r="L5737" s="3" t="s">
        <v>30153</v>
      </c>
      <c r="M5737" s="4"/>
      <c r="N5737" s="3" t="s">
        <v>37</v>
      </c>
      <c r="O5737" s="3" t="s">
        <v>2740</v>
      </c>
      <c r="P5737" s="5">
        <v>11</v>
      </c>
      <c r="Q5737" s="5">
        <v>106</v>
      </c>
      <c r="R5737" s="5">
        <v>11</v>
      </c>
      <c r="S5737" s="5">
        <v>114</v>
      </c>
    </row>
    <row r="5738" spans="1:19" ht="42" x14ac:dyDescent="0.15">
      <c r="A5738" s="2">
        <f>HYPERLINK("https://open-school.uspishnemisto.com.ua/school/260673/", 260673)</f>
        <v>260673</v>
      </c>
      <c r="B5738" s="3" t="s">
        <v>30154</v>
      </c>
      <c r="C5738" s="3" t="s">
        <v>31</v>
      </c>
      <c r="D5738" s="3" t="s">
        <v>32</v>
      </c>
      <c r="E5738" s="4" t="s">
        <v>22</v>
      </c>
      <c r="F5738" s="4" t="s">
        <v>30155</v>
      </c>
      <c r="G5738" s="4" t="s">
        <v>30156</v>
      </c>
      <c r="H5738" s="3" t="s">
        <v>26808</v>
      </c>
      <c r="I5738" s="3" t="s">
        <v>30157</v>
      </c>
      <c r="J5738" s="3" t="s">
        <v>30158</v>
      </c>
      <c r="K5738" s="3"/>
      <c r="L5738" s="3" t="s">
        <v>30159</v>
      </c>
      <c r="M5738" s="4"/>
      <c r="N5738" s="3" t="s">
        <v>37</v>
      </c>
      <c r="O5738" s="3" t="s">
        <v>46</v>
      </c>
      <c r="P5738" s="5">
        <v>11</v>
      </c>
      <c r="Q5738" s="5">
        <v>105</v>
      </c>
      <c r="R5738" s="5">
        <v>11</v>
      </c>
      <c r="S5738" s="5">
        <v>105</v>
      </c>
    </row>
    <row r="5739" spans="1:19" ht="42" x14ac:dyDescent="0.15">
      <c r="A5739" s="2">
        <f>HYPERLINK("https://open-school.uspishnemisto.com.ua/school/260674/", 260674)</f>
        <v>260674</v>
      </c>
      <c r="B5739" s="3" t="s">
        <v>30160</v>
      </c>
      <c r="C5739" s="3" t="s">
        <v>31</v>
      </c>
      <c r="D5739" s="3" t="s">
        <v>175</v>
      </c>
      <c r="E5739" s="4" t="s">
        <v>22</v>
      </c>
      <c r="F5739" s="4" t="s">
        <v>30161</v>
      </c>
      <c r="G5739" s="4" t="s">
        <v>30162</v>
      </c>
      <c r="H5739" s="3" t="s">
        <v>26808</v>
      </c>
      <c r="I5739" s="3" t="s">
        <v>18353</v>
      </c>
      <c r="J5739" s="3" t="s">
        <v>30163</v>
      </c>
      <c r="K5739" s="3" t="s">
        <v>30164</v>
      </c>
      <c r="L5739" s="3"/>
      <c r="M5739" s="4"/>
      <c r="N5739" s="3" t="s">
        <v>37</v>
      </c>
      <c r="O5739" s="3" t="s">
        <v>2740</v>
      </c>
      <c r="P5739" s="5">
        <v>8</v>
      </c>
      <c r="Q5739" s="5">
        <v>70</v>
      </c>
      <c r="R5739" s="5">
        <v>8</v>
      </c>
      <c r="S5739" s="5">
        <v>69</v>
      </c>
    </row>
    <row r="5740" spans="1:19" ht="56" x14ac:dyDescent="0.15">
      <c r="A5740" s="2">
        <f>HYPERLINK("https://open-school.uspishnemisto.com.ua/school/260675/", 260675)</f>
        <v>260675</v>
      </c>
      <c r="B5740" s="3" t="s">
        <v>30165</v>
      </c>
      <c r="C5740" s="3" t="s">
        <v>54</v>
      </c>
      <c r="D5740" s="3" t="s">
        <v>32</v>
      </c>
      <c r="E5740" s="4" t="s">
        <v>22</v>
      </c>
      <c r="F5740" s="4" t="s">
        <v>30166</v>
      </c>
      <c r="G5740" s="4" t="s">
        <v>30167</v>
      </c>
      <c r="H5740" s="3" t="s">
        <v>26808</v>
      </c>
      <c r="I5740" s="3" t="s">
        <v>30168</v>
      </c>
      <c r="J5740" s="3" t="s">
        <v>30169</v>
      </c>
      <c r="K5740" s="3" t="s">
        <v>30170</v>
      </c>
      <c r="L5740" s="3"/>
      <c r="M5740" s="4"/>
      <c r="N5740" s="3" t="s">
        <v>37</v>
      </c>
      <c r="O5740" s="3" t="s">
        <v>46</v>
      </c>
      <c r="P5740" s="5">
        <v>11</v>
      </c>
      <c r="Q5740" s="5">
        <v>95</v>
      </c>
      <c r="R5740" s="5">
        <v>11</v>
      </c>
      <c r="S5740" s="5">
        <v>101</v>
      </c>
    </row>
    <row r="5741" spans="1:19" ht="42" x14ac:dyDescent="0.15">
      <c r="A5741" s="2">
        <f>HYPERLINK("https://open-school.uspishnemisto.com.ua/school/260676/", 260676)</f>
        <v>260676</v>
      </c>
      <c r="B5741" s="3" t="s">
        <v>30171</v>
      </c>
      <c r="C5741" s="3" t="s">
        <v>31</v>
      </c>
      <c r="D5741" s="3" t="s">
        <v>32</v>
      </c>
      <c r="E5741" s="4" t="s">
        <v>22</v>
      </c>
      <c r="F5741" s="4" t="s">
        <v>30172</v>
      </c>
      <c r="G5741" s="4" t="s">
        <v>30173</v>
      </c>
      <c r="H5741" s="3" t="s">
        <v>26808</v>
      </c>
      <c r="I5741" s="3" t="s">
        <v>30174</v>
      </c>
      <c r="J5741" s="3" t="s">
        <v>5029</v>
      </c>
      <c r="K5741" s="3" t="s">
        <v>30175</v>
      </c>
      <c r="L5741" s="3" t="s">
        <v>30176</v>
      </c>
      <c r="M5741" s="4"/>
      <c r="N5741" s="3" t="s">
        <v>37</v>
      </c>
      <c r="O5741" s="3" t="s">
        <v>46</v>
      </c>
      <c r="P5741" s="5">
        <v>20</v>
      </c>
      <c r="Q5741" s="5">
        <v>341</v>
      </c>
      <c r="R5741" s="5">
        <v>19</v>
      </c>
      <c r="S5741" s="5">
        <v>338</v>
      </c>
    </row>
    <row r="5742" spans="1:19" ht="56" x14ac:dyDescent="0.15">
      <c r="A5742" s="2">
        <f>HYPERLINK("https://open-school.uspishnemisto.com.ua/school/260677/", 260677)</f>
        <v>260677</v>
      </c>
      <c r="B5742" s="3" t="s">
        <v>30177</v>
      </c>
      <c r="C5742" s="3" t="s">
        <v>54</v>
      </c>
      <c r="D5742" s="3" t="s">
        <v>175</v>
      </c>
      <c r="E5742" s="4" t="s">
        <v>22</v>
      </c>
      <c r="F5742" s="4" t="s">
        <v>30178</v>
      </c>
      <c r="G5742" s="4" t="s">
        <v>30179</v>
      </c>
      <c r="H5742" s="3" t="s">
        <v>26808</v>
      </c>
      <c r="I5742" s="3" t="s">
        <v>16193</v>
      </c>
      <c r="J5742" s="3" t="s">
        <v>3173</v>
      </c>
      <c r="K5742" s="3" t="s">
        <v>30180</v>
      </c>
      <c r="L5742" s="3"/>
      <c r="M5742" s="4"/>
      <c r="N5742" s="3" t="s">
        <v>37</v>
      </c>
      <c r="O5742" s="3" t="s">
        <v>46</v>
      </c>
      <c r="P5742" s="5">
        <v>3</v>
      </c>
      <c r="Q5742" s="5">
        <v>31</v>
      </c>
      <c r="R5742" s="5">
        <v>4</v>
      </c>
      <c r="S5742" s="5">
        <v>37</v>
      </c>
    </row>
    <row r="5743" spans="1:19" ht="56" x14ac:dyDescent="0.15">
      <c r="A5743" s="2">
        <f>HYPERLINK("https://open-school.uspishnemisto.com.ua/school/260678/", 260678)</f>
        <v>260678</v>
      </c>
      <c r="B5743" s="3" t="s">
        <v>30181</v>
      </c>
      <c r="C5743" s="3" t="s">
        <v>54</v>
      </c>
      <c r="D5743" s="3" t="s">
        <v>175</v>
      </c>
      <c r="E5743" s="4" t="s">
        <v>22</v>
      </c>
      <c r="F5743" s="4" t="s">
        <v>30182</v>
      </c>
      <c r="G5743" s="4" t="s">
        <v>30183</v>
      </c>
      <c r="H5743" s="3" t="s">
        <v>26808</v>
      </c>
      <c r="I5743" s="3" t="s">
        <v>30184</v>
      </c>
      <c r="J5743" s="3" t="s">
        <v>30185</v>
      </c>
      <c r="K5743" s="3" t="s">
        <v>30186</v>
      </c>
      <c r="L5743" s="3"/>
      <c r="M5743" s="4"/>
      <c r="N5743" s="3" t="s">
        <v>37</v>
      </c>
      <c r="O5743" s="3" t="s">
        <v>46</v>
      </c>
      <c r="P5743" s="5">
        <v>9</v>
      </c>
      <c r="Q5743" s="5">
        <v>89</v>
      </c>
      <c r="R5743" s="5">
        <v>9</v>
      </c>
      <c r="S5743" s="5">
        <v>90</v>
      </c>
    </row>
    <row r="5744" spans="1:19" ht="42" x14ac:dyDescent="0.15">
      <c r="A5744" s="2">
        <f>HYPERLINK("https://open-school.uspishnemisto.com.ua/school/260679/", 260679)</f>
        <v>260679</v>
      </c>
      <c r="B5744" s="3" t="s">
        <v>30187</v>
      </c>
      <c r="C5744" s="3" t="s">
        <v>31</v>
      </c>
      <c r="D5744" s="3" t="s">
        <v>175</v>
      </c>
      <c r="E5744" s="4" t="s">
        <v>22</v>
      </c>
      <c r="F5744" s="4" t="s">
        <v>30188</v>
      </c>
      <c r="G5744" s="4" t="s">
        <v>30189</v>
      </c>
      <c r="H5744" s="3" t="s">
        <v>26808</v>
      </c>
      <c r="I5744" s="3" t="s">
        <v>30190</v>
      </c>
      <c r="J5744" s="3" t="s">
        <v>25678</v>
      </c>
      <c r="K5744" s="3" t="s">
        <v>30191</v>
      </c>
      <c r="L5744" s="3"/>
      <c r="M5744" s="4"/>
      <c r="N5744" s="3" t="s">
        <v>37</v>
      </c>
      <c r="O5744" s="3" t="s">
        <v>2740</v>
      </c>
      <c r="P5744" s="5">
        <v>10</v>
      </c>
      <c r="Q5744" s="5">
        <v>124</v>
      </c>
      <c r="R5744" s="5">
        <v>10</v>
      </c>
      <c r="S5744" s="5">
        <v>136</v>
      </c>
    </row>
    <row r="5745" spans="1:19" ht="42" x14ac:dyDescent="0.15">
      <c r="A5745" s="2">
        <f>HYPERLINK("https://open-school.uspishnemisto.com.ua/school/260680/", 260680)</f>
        <v>260680</v>
      </c>
      <c r="B5745" s="3" t="s">
        <v>30192</v>
      </c>
      <c r="C5745" s="3" t="s">
        <v>54</v>
      </c>
      <c r="D5745" s="3" t="s">
        <v>175</v>
      </c>
      <c r="E5745" s="4" t="s">
        <v>22</v>
      </c>
      <c r="F5745" s="4" t="s">
        <v>30193</v>
      </c>
      <c r="G5745" s="4" t="s">
        <v>30194</v>
      </c>
      <c r="H5745" s="3" t="s">
        <v>26808</v>
      </c>
      <c r="I5745" s="3" t="s">
        <v>30195</v>
      </c>
      <c r="J5745" s="3" t="s">
        <v>30196</v>
      </c>
      <c r="K5745" s="3" t="s">
        <v>30197</v>
      </c>
      <c r="L5745" s="3"/>
      <c r="M5745" s="4"/>
      <c r="N5745" s="3" t="s">
        <v>37</v>
      </c>
      <c r="O5745" s="3" t="s">
        <v>46</v>
      </c>
      <c r="P5745" s="5">
        <v>9</v>
      </c>
      <c r="Q5745" s="5">
        <v>70</v>
      </c>
      <c r="R5745" s="5">
        <v>9</v>
      </c>
      <c r="S5745" s="5">
        <v>67</v>
      </c>
    </row>
    <row r="5746" spans="1:19" ht="56" x14ac:dyDescent="0.15">
      <c r="A5746" s="2">
        <f>HYPERLINK("https://open-school.uspishnemisto.com.ua/school/260681/", 260681)</f>
        <v>260681</v>
      </c>
      <c r="B5746" s="3" t="s">
        <v>30198</v>
      </c>
      <c r="C5746" s="3" t="s">
        <v>54</v>
      </c>
      <c r="D5746" s="3" t="s">
        <v>175</v>
      </c>
      <c r="E5746" s="4" t="s">
        <v>22</v>
      </c>
      <c r="F5746" s="4" t="s">
        <v>30199</v>
      </c>
      <c r="G5746" s="4" t="s">
        <v>30200</v>
      </c>
      <c r="H5746" s="3" t="s">
        <v>26808</v>
      </c>
      <c r="I5746" s="3" t="s">
        <v>30201</v>
      </c>
      <c r="J5746" s="3" t="s">
        <v>30202</v>
      </c>
      <c r="K5746" s="3" t="s">
        <v>30203</v>
      </c>
      <c r="L5746" s="3" t="s">
        <v>30204</v>
      </c>
      <c r="M5746" s="4"/>
      <c r="N5746" s="3" t="s">
        <v>37</v>
      </c>
      <c r="O5746" s="3" t="s">
        <v>2740</v>
      </c>
      <c r="P5746" s="5">
        <v>9</v>
      </c>
      <c r="Q5746" s="5">
        <v>80</v>
      </c>
      <c r="R5746" s="5">
        <v>9</v>
      </c>
      <c r="S5746" s="5">
        <v>80</v>
      </c>
    </row>
    <row r="5747" spans="1:19" ht="42" x14ac:dyDescent="0.15">
      <c r="A5747" s="2">
        <f>HYPERLINK("https://open-school.uspishnemisto.com.ua/school/260682/", 260682)</f>
        <v>260682</v>
      </c>
      <c r="B5747" s="3" t="s">
        <v>30205</v>
      </c>
      <c r="C5747" s="3" t="s">
        <v>31</v>
      </c>
      <c r="D5747" s="3" t="s">
        <v>32</v>
      </c>
      <c r="E5747" s="4" t="s">
        <v>22</v>
      </c>
      <c r="F5747" s="4" t="s">
        <v>30206</v>
      </c>
      <c r="G5747" s="4" t="s">
        <v>30207</v>
      </c>
      <c r="H5747" s="3" t="s">
        <v>26808</v>
      </c>
      <c r="I5747" s="3" t="s">
        <v>12202</v>
      </c>
      <c r="J5747" s="3" t="s">
        <v>30208</v>
      </c>
      <c r="K5747" s="3" t="s">
        <v>30209</v>
      </c>
      <c r="L5747" s="3"/>
      <c r="M5747" s="4"/>
      <c r="N5747" s="3" t="s">
        <v>37</v>
      </c>
      <c r="O5747" s="3" t="s">
        <v>46</v>
      </c>
      <c r="P5747" s="5">
        <v>11</v>
      </c>
      <c r="Q5747" s="5">
        <v>146</v>
      </c>
      <c r="R5747" s="5">
        <v>11</v>
      </c>
      <c r="S5747" s="5">
        <v>148</v>
      </c>
    </row>
    <row r="5748" spans="1:19" ht="56" x14ac:dyDescent="0.15">
      <c r="A5748" s="2">
        <f>HYPERLINK("https://open-school.uspishnemisto.com.ua/school/260683/", 260683)</f>
        <v>260683</v>
      </c>
      <c r="B5748" s="3" t="s">
        <v>30210</v>
      </c>
      <c r="C5748" s="3" t="s">
        <v>54</v>
      </c>
      <c r="D5748" s="3" t="s">
        <v>32</v>
      </c>
      <c r="E5748" s="4" t="s">
        <v>22</v>
      </c>
      <c r="F5748" s="4" t="s">
        <v>30211</v>
      </c>
      <c r="G5748" s="4" t="s">
        <v>30212</v>
      </c>
      <c r="H5748" s="3" t="s">
        <v>26808</v>
      </c>
      <c r="I5748" s="3" t="s">
        <v>30213</v>
      </c>
      <c r="J5748" s="3" t="s">
        <v>30214</v>
      </c>
      <c r="K5748" s="3" t="s">
        <v>30215</v>
      </c>
      <c r="L5748" s="3" t="s">
        <v>30216</v>
      </c>
      <c r="M5748" s="4"/>
      <c r="N5748" s="3" t="s">
        <v>37</v>
      </c>
      <c r="O5748" s="3" t="s">
        <v>46</v>
      </c>
      <c r="P5748" s="5">
        <v>11</v>
      </c>
      <c r="Q5748" s="5">
        <v>119</v>
      </c>
      <c r="R5748" s="5">
        <v>11</v>
      </c>
      <c r="S5748" s="5">
        <v>127</v>
      </c>
    </row>
    <row r="5749" spans="1:19" ht="70" x14ac:dyDescent="0.15">
      <c r="A5749" s="2">
        <f>HYPERLINK("https://open-school.uspishnemisto.com.ua/school/260684/", 260684)</f>
        <v>260684</v>
      </c>
      <c r="B5749" s="3" t="s">
        <v>30217</v>
      </c>
      <c r="C5749" s="3" t="s">
        <v>54</v>
      </c>
      <c r="D5749" s="3" t="s">
        <v>175</v>
      </c>
      <c r="E5749" s="4" t="s">
        <v>22</v>
      </c>
      <c r="F5749" s="4" t="s">
        <v>30218</v>
      </c>
      <c r="G5749" s="4" t="s">
        <v>30219</v>
      </c>
      <c r="H5749" s="3" t="s">
        <v>26808</v>
      </c>
      <c r="I5749" s="3" t="s">
        <v>30220</v>
      </c>
      <c r="J5749" s="3" t="s">
        <v>30221</v>
      </c>
      <c r="K5749" s="3" t="s">
        <v>30222</v>
      </c>
      <c r="L5749" s="3" t="s">
        <v>30223</v>
      </c>
      <c r="M5749" s="4"/>
      <c r="N5749" s="3" t="s">
        <v>37</v>
      </c>
      <c r="O5749" s="3" t="s">
        <v>52</v>
      </c>
      <c r="P5749" s="5">
        <v>9</v>
      </c>
      <c r="Q5749" s="5">
        <v>86</v>
      </c>
      <c r="R5749" s="5">
        <v>9</v>
      </c>
      <c r="S5749" s="5">
        <v>81</v>
      </c>
    </row>
    <row r="5750" spans="1:19" ht="56" x14ac:dyDescent="0.15">
      <c r="A5750" s="2">
        <f>HYPERLINK("https://open-school.uspishnemisto.com.ua/school/260685/", 260685)</f>
        <v>260685</v>
      </c>
      <c r="B5750" s="3" t="s">
        <v>30224</v>
      </c>
      <c r="C5750" s="3" t="s">
        <v>54</v>
      </c>
      <c r="D5750" s="3" t="s">
        <v>32</v>
      </c>
      <c r="E5750" s="4" t="s">
        <v>22</v>
      </c>
      <c r="F5750" s="4" t="s">
        <v>30225</v>
      </c>
      <c r="G5750" s="4" t="s">
        <v>30226</v>
      </c>
      <c r="H5750" s="3" t="s">
        <v>26808</v>
      </c>
      <c r="I5750" s="3" t="s">
        <v>30227</v>
      </c>
      <c r="J5750" s="3" t="s">
        <v>30228</v>
      </c>
      <c r="K5750" s="3" t="s">
        <v>30229</v>
      </c>
      <c r="L5750" s="3"/>
      <c r="M5750" s="4"/>
      <c r="N5750" s="3" t="s">
        <v>37</v>
      </c>
      <c r="O5750" s="3" t="s">
        <v>46</v>
      </c>
      <c r="P5750" s="5">
        <v>11</v>
      </c>
      <c r="Q5750" s="5">
        <v>223</v>
      </c>
      <c r="R5750" s="5">
        <v>11</v>
      </c>
      <c r="S5750" s="5">
        <v>216</v>
      </c>
    </row>
    <row r="5751" spans="1:19" ht="56" x14ac:dyDescent="0.15">
      <c r="A5751" s="2">
        <f>HYPERLINK("https://open-school.uspishnemisto.com.ua/school/260686/", 260686)</f>
        <v>260686</v>
      </c>
      <c r="B5751" s="3" t="s">
        <v>30230</v>
      </c>
      <c r="C5751" s="3" t="s">
        <v>54</v>
      </c>
      <c r="D5751" s="3" t="s">
        <v>175</v>
      </c>
      <c r="E5751" s="4" t="s">
        <v>22</v>
      </c>
      <c r="F5751" s="4" t="s">
        <v>30231</v>
      </c>
      <c r="G5751" s="4" t="s">
        <v>30232</v>
      </c>
      <c r="H5751" s="3" t="s">
        <v>26808</v>
      </c>
      <c r="I5751" s="3" t="s">
        <v>8368</v>
      </c>
      <c r="J5751" s="3" t="s">
        <v>2820</v>
      </c>
      <c r="K5751" s="3" t="s">
        <v>30233</v>
      </c>
      <c r="L5751" s="3"/>
      <c r="M5751" s="4"/>
      <c r="N5751" s="3" t="s">
        <v>37</v>
      </c>
      <c r="O5751" s="3" t="s">
        <v>46</v>
      </c>
      <c r="P5751" s="5">
        <v>2</v>
      </c>
      <c r="Q5751" s="5">
        <v>35</v>
      </c>
      <c r="R5751" s="5">
        <v>3</v>
      </c>
      <c r="S5751" s="5">
        <v>38</v>
      </c>
    </row>
    <row r="5752" spans="1:19" ht="42" x14ac:dyDescent="0.15">
      <c r="A5752" s="2">
        <f>HYPERLINK("https://open-school.uspishnemisto.com.ua/school/260687/", 260687)</f>
        <v>260687</v>
      </c>
      <c r="B5752" s="3" t="s">
        <v>30234</v>
      </c>
      <c r="C5752" s="3" t="s">
        <v>31</v>
      </c>
      <c r="D5752" s="3" t="s">
        <v>32</v>
      </c>
      <c r="E5752" s="4" t="s">
        <v>22</v>
      </c>
      <c r="F5752" s="4" t="s">
        <v>30235</v>
      </c>
      <c r="G5752" s="4" t="s">
        <v>30236</v>
      </c>
      <c r="H5752" s="3" t="s">
        <v>26808</v>
      </c>
      <c r="I5752" s="3" t="s">
        <v>30237</v>
      </c>
      <c r="J5752" s="3" t="s">
        <v>30238</v>
      </c>
      <c r="K5752" s="3" t="s">
        <v>30239</v>
      </c>
      <c r="L5752" s="3" t="s">
        <v>30240</v>
      </c>
      <c r="M5752" s="4"/>
      <c r="N5752" s="3" t="s">
        <v>37</v>
      </c>
      <c r="O5752" s="3" t="s">
        <v>46</v>
      </c>
      <c r="P5752" s="5">
        <v>11</v>
      </c>
      <c r="Q5752" s="5">
        <v>182</v>
      </c>
      <c r="R5752" s="5">
        <v>11</v>
      </c>
      <c r="S5752" s="5">
        <v>186</v>
      </c>
    </row>
    <row r="5753" spans="1:19" ht="56" x14ac:dyDescent="0.15">
      <c r="A5753" s="2">
        <f>HYPERLINK("https://open-school.uspishnemisto.com.ua/school/260688/", 260688)</f>
        <v>260688</v>
      </c>
      <c r="B5753" s="3" t="s">
        <v>30241</v>
      </c>
      <c r="C5753" s="3" t="s">
        <v>54</v>
      </c>
      <c r="D5753" s="3" t="s">
        <v>175</v>
      </c>
      <c r="E5753" s="4" t="s">
        <v>22</v>
      </c>
      <c r="F5753" s="4" t="s">
        <v>30242</v>
      </c>
      <c r="G5753" s="4" t="s">
        <v>30243</v>
      </c>
      <c r="H5753" s="3" t="s">
        <v>26808</v>
      </c>
      <c r="I5753" s="3" t="s">
        <v>30244</v>
      </c>
      <c r="J5753" s="3" t="s">
        <v>30245</v>
      </c>
      <c r="K5753" s="3" t="s">
        <v>30246</v>
      </c>
      <c r="L5753" s="3"/>
      <c r="M5753" s="4"/>
      <c r="N5753" s="3" t="s">
        <v>37</v>
      </c>
      <c r="O5753" s="3" t="s">
        <v>46</v>
      </c>
      <c r="P5753" s="5">
        <v>8</v>
      </c>
      <c r="Q5753" s="5">
        <v>80</v>
      </c>
      <c r="R5753" s="5">
        <v>8</v>
      </c>
      <c r="S5753" s="5">
        <v>77</v>
      </c>
    </row>
    <row r="5754" spans="1:19" ht="42" x14ac:dyDescent="0.15">
      <c r="A5754" s="2">
        <f>HYPERLINK("https://open-school.uspishnemisto.com.ua/school/260689/", 260689)</f>
        <v>260689</v>
      </c>
      <c r="B5754" s="3" t="s">
        <v>30247</v>
      </c>
      <c r="C5754" s="3" t="s">
        <v>31</v>
      </c>
      <c r="D5754" s="3" t="s">
        <v>175</v>
      </c>
      <c r="E5754" s="4" t="s">
        <v>22</v>
      </c>
      <c r="F5754" s="4" t="s">
        <v>30248</v>
      </c>
      <c r="G5754" s="4" t="s">
        <v>30249</v>
      </c>
      <c r="H5754" s="3" t="s">
        <v>26808</v>
      </c>
      <c r="I5754" s="3" t="s">
        <v>30250</v>
      </c>
      <c r="J5754" s="3" t="s">
        <v>30251</v>
      </c>
      <c r="K5754" s="3" t="s">
        <v>30252</v>
      </c>
      <c r="L5754" s="3" t="s">
        <v>30253</v>
      </c>
      <c r="M5754" s="4"/>
      <c r="N5754" s="3" t="s">
        <v>37</v>
      </c>
      <c r="O5754" s="3" t="s">
        <v>52</v>
      </c>
      <c r="P5754" s="5">
        <v>8</v>
      </c>
      <c r="Q5754" s="5">
        <v>58</v>
      </c>
      <c r="R5754" s="5">
        <v>8</v>
      </c>
      <c r="S5754" s="5">
        <v>59</v>
      </c>
    </row>
    <row r="5755" spans="1:19" ht="56" x14ac:dyDescent="0.15">
      <c r="A5755" s="2">
        <f>HYPERLINK("https://open-school.uspishnemisto.com.ua/school/260690/", 260690)</f>
        <v>260690</v>
      </c>
      <c r="B5755" s="3" t="s">
        <v>30254</v>
      </c>
      <c r="C5755" s="3" t="s">
        <v>54</v>
      </c>
      <c r="D5755" s="3" t="s">
        <v>175</v>
      </c>
      <c r="E5755" s="4" t="s">
        <v>22</v>
      </c>
      <c r="F5755" s="4" t="s">
        <v>30255</v>
      </c>
      <c r="G5755" s="4" t="s">
        <v>30256</v>
      </c>
      <c r="H5755" s="3" t="s">
        <v>26808</v>
      </c>
      <c r="I5755" s="3" t="s">
        <v>30257</v>
      </c>
      <c r="J5755" s="3" t="s">
        <v>30258</v>
      </c>
      <c r="K5755" s="3" t="s">
        <v>30259</v>
      </c>
      <c r="L5755" s="3" t="s">
        <v>30260</v>
      </c>
      <c r="M5755" s="4"/>
      <c r="N5755" s="3" t="s">
        <v>37</v>
      </c>
      <c r="O5755" s="3" t="s">
        <v>46</v>
      </c>
      <c r="P5755" s="5">
        <v>8</v>
      </c>
      <c r="Q5755" s="5">
        <v>91</v>
      </c>
      <c r="R5755" s="5">
        <v>9</v>
      </c>
      <c r="S5755" s="5">
        <v>88</v>
      </c>
    </row>
    <row r="5756" spans="1:19" ht="56" x14ac:dyDescent="0.15">
      <c r="A5756" s="2">
        <f>HYPERLINK("https://open-school.uspishnemisto.com.ua/school/260691/", 260691)</f>
        <v>260691</v>
      </c>
      <c r="B5756" s="3" t="s">
        <v>30261</v>
      </c>
      <c r="C5756" s="3" t="s">
        <v>54</v>
      </c>
      <c r="D5756" s="3" t="s">
        <v>175</v>
      </c>
      <c r="E5756" s="4" t="s">
        <v>22</v>
      </c>
      <c r="F5756" s="4" t="s">
        <v>30262</v>
      </c>
      <c r="G5756" s="4" t="s">
        <v>30263</v>
      </c>
      <c r="H5756" s="3" t="s">
        <v>26808</v>
      </c>
      <c r="I5756" s="3" t="s">
        <v>30264</v>
      </c>
      <c r="J5756" s="3" t="s">
        <v>30265</v>
      </c>
      <c r="K5756" s="3"/>
      <c r="L5756" s="3" t="s">
        <v>30266</v>
      </c>
      <c r="M5756" s="4"/>
      <c r="N5756" s="3" t="s">
        <v>37</v>
      </c>
      <c r="O5756" s="3" t="s">
        <v>46</v>
      </c>
      <c r="P5756" s="5">
        <v>4</v>
      </c>
      <c r="Q5756" s="5">
        <v>35</v>
      </c>
      <c r="R5756" s="5">
        <v>2</v>
      </c>
      <c r="S5756" s="5">
        <v>27</v>
      </c>
    </row>
    <row r="5757" spans="1:19" ht="42" x14ac:dyDescent="0.15">
      <c r="A5757" s="2">
        <f>HYPERLINK("https://open-school.uspishnemisto.com.ua/school/260692/", 260692)</f>
        <v>260692</v>
      </c>
      <c r="B5757" s="3" t="s">
        <v>30267</v>
      </c>
      <c r="C5757" s="3" t="s">
        <v>31</v>
      </c>
      <c r="D5757" s="3" t="s">
        <v>32</v>
      </c>
      <c r="E5757" s="4" t="s">
        <v>22</v>
      </c>
      <c r="F5757" s="4" t="s">
        <v>30268</v>
      </c>
      <c r="G5757" s="4" t="s">
        <v>30269</v>
      </c>
      <c r="H5757" s="3" t="s">
        <v>26808</v>
      </c>
      <c r="I5757" s="3" t="s">
        <v>30270</v>
      </c>
      <c r="J5757" s="3" t="s">
        <v>30271</v>
      </c>
      <c r="K5757" s="3" t="s">
        <v>30272</v>
      </c>
      <c r="L5757" s="3" t="s">
        <v>30273</v>
      </c>
      <c r="M5757" s="4"/>
      <c r="N5757" s="3" t="s">
        <v>37</v>
      </c>
      <c r="O5757" s="3" t="s">
        <v>46</v>
      </c>
      <c r="P5757" s="5">
        <v>13</v>
      </c>
      <c r="Q5757" s="5">
        <v>162</v>
      </c>
      <c r="R5757" s="5">
        <v>14</v>
      </c>
      <c r="S5757" s="5">
        <v>167</v>
      </c>
    </row>
    <row r="5758" spans="1:19" ht="42" x14ac:dyDescent="0.15">
      <c r="A5758" s="2">
        <f>HYPERLINK("https://open-school.uspishnemisto.com.ua/school/260693/", 260693)</f>
        <v>260693</v>
      </c>
      <c r="B5758" s="3" t="s">
        <v>30274</v>
      </c>
      <c r="C5758" s="3" t="s">
        <v>54</v>
      </c>
      <c r="D5758" s="3" t="s">
        <v>175</v>
      </c>
      <c r="E5758" s="4" t="s">
        <v>22</v>
      </c>
      <c r="F5758" s="4" t="s">
        <v>30275</v>
      </c>
      <c r="G5758" s="4" t="s">
        <v>30276</v>
      </c>
      <c r="H5758" s="3" t="s">
        <v>26808</v>
      </c>
      <c r="I5758" s="3" t="s">
        <v>30277</v>
      </c>
      <c r="J5758" s="3" t="s">
        <v>30278</v>
      </c>
      <c r="K5758" s="3" t="s">
        <v>30279</v>
      </c>
      <c r="L5758" s="3"/>
      <c r="M5758" s="4"/>
      <c r="N5758" s="3" t="s">
        <v>37</v>
      </c>
      <c r="O5758" s="3" t="s">
        <v>46</v>
      </c>
      <c r="P5758" s="5">
        <v>9</v>
      </c>
      <c r="Q5758" s="5">
        <v>84</v>
      </c>
      <c r="R5758" s="5">
        <v>9</v>
      </c>
      <c r="S5758" s="5">
        <v>88</v>
      </c>
    </row>
    <row r="5759" spans="1:19" ht="56" x14ac:dyDescent="0.15">
      <c r="A5759" s="2">
        <f>HYPERLINK("https://open-school.uspishnemisto.com.ua/school/260694/", 260694)</f>
        <v>260694</v>
      </c>
      <c r="B5759" s="3" t="s">
        <v>30280</v>
      </c>
      <c r="C5759" s="3" t="s">
        <v>54</v>
      </c>
      <c r="D5759" s="3" t="s">
        <v>175</v>
      </c>
      <c r="E5759" s="4" t="s">
        <v>22</v>
      </c>
      <c r="F5759" s="4" t="s">
        <v>30281</v>
      </c>
      <c r="G5759" s="4" t="s">
        <v>30282</v>
      </c>
      <c r="H5759" s="3" t="s">
        <v>26808</v>
      </c>
      <c r="I5759" s="3" t="s">
        <v>30283</v>
      </c>
      <c r="J5759" s="3" t="s">
        <v>27456</v>
      </c>
      <c r="K5759" s="3"/>
      <c r="L5759" s="3"/>
      <c r="M5759" s="4"/>
      <c r="N5759" s="3" t="s">
        <v>37</v>
      </c>
      <c r="O5759" s="3" t="s">
        <v>46</v>
      </c>
      <c r="P5759" s="5">
        <v>9</v>
      </c>
      <c r="Q5759" s="5">
        <v>99</v>
      </c>
      <c r="R5759" s="5">
        <v>9</v>
      </c>
      <c r="S5759" s="5">
        <v>105</v>
      </c>
    </row>
    <row r="5760" spans="1:19" ht="70" x14ac:dyDescent="0.15">
      <c r="A5760" s="2">
        <f>HYPERLINK("https://open-school.uspishnemisto.com.ua/school/260695/", 260695)</f>
        <v>260695</v>
      </c>
      <c r="B5760" s="3" t="s">
        <v>30284</v>
      </c>
      <c r="C5760" s="3" t="s">
        <v>54</v>
      </c>
      <c r="D5760" s="3" t="s">
        <v>175</v>
      </c>
      <c r="E5760" s="4" t="s">
        <v>22</v>
      </c>
      <c r="F5760" s="4" t="s">
        <v>30285</v>
      </c>
      <c r="G5760" s="4" t="s">
        <v>30286</v>
      </c>
      <c r="H5760" s="3" t="s">
        <v>26808</v>
      </c>
      <c r="I5760" s="3" t="s">
        <v>30287</v>
      </c>
      <c r="J5760" s="3" t="s">
        <v>15380</v>
      </c>
      <c r="K5760" s="3" t="s">
        <v>30288</v>
      </c>
      <c r="L5760" s="3" t="s">
        <v>30289</v>
      </c>
      <c r="M5760" s="4"/>
      <c r="N5760" s="3" t="s">
        <v>37</v>
      </c>
      <c r="O5760" s="3" t="s">
        <v>46</v>
      </c>
      <c r="P5760" s="5">
        <v>7</v>
      </c>
      <c r="Q5760" s="5">
        <v>51</v>
      </c>
      <c r="R5760" s="5">
        <v>6</v>
      </c>
      <c r="S5760" s="5">
        <v>56</v>
      </c>
    </row>
    <row r="5761" spans="1:19" ht="56" x14ac:dyDescent="0.15">
      <c r="A5761" s="2">
        <f>HYPERLINK("https://open-school.uspishnemisto.com.ua/school/260696/", 260696)</f>
        <v>260696</v>
      </c>
      <c r="B5761" s="3" t="s">
        <v>30290</v>
      </c>
      <c r="C5761" s="3" t="s">
        <v>54</v>
      </c>
      <c r="D5761" s="3" t="s">
        <v>175</v>
      </c>
      <c r="E5761" s="4" t="s">
        <v>22</v>
      </c>
      <c r="F5761" s="4" t="s">
        <v>30291</v>
      </c>
      <c r="G5761" s="4" t="s">
        <v>30292</v>
      </c>
      <c r="H5761" s="3" t="s">
        <v>26808</v>
      </c>
      <c r="I5761" s="3" t="s">
        <v>30293</v>
      </c>
      <c r="J5761" s="3" t="s">
        <v>30294</v>
      </c>
      <c r="K5761" s="3" t="s">
        <v>30295</v>
      </c>
      <c r="L5761" s="3"/>
      <c r="M5761" s="4"/>
      <c r="N5761" s="3" t="s">
        <v>37</v>
      </c>
      <c r="O5761" s="3" t="s">
        <v>46</v>
      </c>
      <c r="P5761" s="5">
        <v>4</v>
      </c>
      <c r="Q5761" s="5">
        <v>34</v>
      </c>
      <c r="R5761" s="5">
        <v>4</v>
      </c>
      <c r="S5761" s="5">
        <v>39</v>
      </c>
    </row>
    <row r="5762" spans="1:19" ht="42" x14ac:dyDescent="0.15">
      <c r="A5762" s="2">
        <f>HYPERLINK("https://open-school.uspishnemisto.com.ua/school/260697/", 260697)</f>
        <v>260697</v>
      </c>
      <c r="B5762" s="3" t="s">
        <v>30296</v>
      </c>
      <c r="C5762" s="3" t="s">
        <v>31</v>
      </c>
      <c r="D5762" s="3" t="s">
        <v>175</v>
      </c>
      <c r="E5762" s="4" t="s">
        <v>22</v>
      </c>
      <c r="F5762" s="4" t="s">
        <v>30297</v>
      </c>
      <c r="G5762" s="4" t="s">
        <v>30298</v>
      </c>
      <c r="H5762" s="3" t="s">
        <v>26808</v>
      </c>
      <c r="I5762" s="3" t="s">
        <v>30299</v>
      </c>
      <c r="J5762" s="3" t="s">
        <v>11336</v>
      </c>
      <c r="K5762" s="3" t="s">
        <v>30300</v>
      </c>
      <c r="L5762" s="3" t="s">
        <v>30301</v>
      </c>
      <c r="M5762" s="4"/>
      <c r="N5762" s="3" t="s">
        <v>37</v>
      </c>
      <c r="O5762" s="3" t="s">
        <v>52</v>
      </c>
      <c r="P5762" s="5">
        <v>9</v>
      </c>
      <c r="Q5762" s="5">
        <v>168</v>
      </c>
      <c r="R5762" s="5">
        <v>9</v>
      </c>
      <c r="S5762" s="5">
        <v>160</v>
      </c>
    </row>
    <row r="5763" spans="1:19" ht="42" x14ac:dyDescent="0.15">
      <c r="A5763" s="2">
        <f>HYPERLINK("https://open-school.uspishnemisto.com.ua/school/260698/", 260698)</f>
        <v>260698</v>
      </c>
      <c r="B5763" s="3" t="s">
        <v>30302</v>
      </c>
      <c r="C5763" s="3" t="s">
        <v>244</v>
      </c>
      <c r="D5763" s="3" t="s">
        <v>32</v>
      </c>
      <c r="E5763" s="4" t="s">
        <v>22</v>
      </c>
      <c r="F5763" s="4" t="s">
        <v>30303</v>
      </c>
      <c r="G5763" s="4" t="s">
        <v>30304</v>
      </c>
      <c r="H5763" s="3" t="s">
        <v>26808</v>
      </c>
      <c r="I5763" s="3" t="s">
        <v>30305</v>
      </c>
      <c r="J5763" s="3" t="s">
        <v>30306</v>
      </c>
      <c r="K5763" s="3" t="s">
        <v>30307</v>
      </c>
      <c r="L5763" s="3"/>
      <c r="M5763" s="4"/>
      <c r="N5763" s="3" t="s">
        <v>37</v>
      </c>
      <c r="O5763" s="3" t="s">
        <v>237</v>
      </c>
      <c r="P5763" s="5">
        <v>39</v>
      </c>
      <c r="Q5763" s="5">
        <v>959</v>
      </c>
      <c r="R5763" s="5">
        <v>38</v>
      </c>
      <c r="S5763" s="5">
        <v>944</v>
      </c>
    </row>
    <row r="5764" spans="1:19" ht="56" x14ac:dyDescent="0.15">
      <c r="A5764" s="2">
        <f>HYPERLINK("https://open-school.uspishnemisto.com.ua/school/260699/", 260699)</f>
        <v>260699</v>
      </c>
      <c r="B5764" s="3" t="s">
        <v>30308</v>
      </c>
      <c r="C5764" s="3" t="s">
        <v>54</v>
      </c>
      <c r="D5764" s="3" t="s">
        <v>32</v>
      </c>
      <c r="E5764" s="4" t="s">
        <v>22</v>
      </c>
      <c r="F5764" s="4" t="s">
        <v>30309</v>
      </c>
      <c r="G5764" s="4" t="s">
        <v>30310</v>
      </c>
      <c r="H5764" s="3" t="s">
        <v>26808</v>
      </c>
      <c r="I5764" s="3" t="s">
        <v>30311</v>
      </c>
      <c r="J5764" s="3" t="s">
        <v>30312</v>
      </c>
      <c r="K5764" s="3" t="s">
        <v>30313</v>
      </c>
      <c r="L5764" s="3"/>
      <c r="M5764" s="4"/>
      <c r="N5764" s="3" t="s">
        <v>37</v>
      </c>
      <c r="O5764" s="3" t="s">
        <v>46</v>
      </c>
      <c r="P5764" s="5">
        <v>15</v>
      </c>
      <c r="Q5764" s="5">
        <v>278</v>
      </c>
      <c r="R5764" s="5">
        <v>15</v>
      </c>
      <c r="S5764" s="5">
        <v>287</v>
      </c>
    </row>
    <row r="5765" spans="1:19" ht="42" x14ac:dyDescent="0.15">
      <c r="A5765" s="2">
        <f>HYPERLINK("https://open-school.uspishnemisto.com.ua/school/260700/", 260700)</f>
        <v>260700</v>
      </c>
      <c r="B5765" s="3" t="s">
        <v>30314</v>
      </c>
      <c r="C5765" s="3" t="s">
        <v>54</v>
      </c>
      <c r="D5765" s="3" t="s">
        <v>32</v>
      </c>
      <c r="E5765" s="4" t="s">
        <v>22</v>
      </c>
      <c r="F5765" s="4" t="s">
        <v>30315</v>
      </c>
      <c r="G5765" s="4" t="s">
        <v>30316</v>
      </c>
      <c r="H5765" s="3" t="s">
        <v>26808</v>
      </c>
      <c r="I5765" s="3" t="s">
        <v>30317</v>
      </c>
      <c r="J5765" s="3" t="s">
        <v>30318</v>
      </c>
      <c r="K5765" s="3" t="s">
        <v>30319</v>
      </c>
      <c r="L5765" s="3"/>
      <c r="M5765" s="4"/>
      <c r="N5765" s="3" t="s">
        <v>37</v>
      </c>
      <c r="O5765" s="3" t="s">
        <v>139</v>
      </c>
      <c r="P5765" s="5">
        <v>19</v>
      </c>
      <c r="Q5765" s="5">
        <v>357</v>
      </c>
      <c r="R5765" s="5">
        <v>18</v>
      </c>
      <c r="S5765" s="5">
        <v>337</v>
      </c>
    </row>
    <row r="5766" spans="1:19" ht="42" x14ac:dyDescent="0.15">
      <c r="A5766" s="2">
        <f>HYPERLINK("https://open-school.uspishnemisto.com.ua/school/260701/", 260701)</f>
        <v>260701</v>
      </c>
      <c r="B5766" s="3" t="s">
        <v>30320</v>
      </c>
      <c r="C5766" s="3" t="s">
        <v>31</v>
      </c>
      <c r="D5766" s="3" t="s">
        <v>32</v>
      </c>
      <c r="E5766" s="4" t="s">
        <v>22</v>
      </c>
      <c r="F5766" s="4" t="s">
        <v>30321</v>
      </c>
      <c r="G5766" s="4" t="s">
        <v>30322</v>
      </c>
      <c r="H5766" s="3" t="s">
        <v>26808</v>
      </c>
      <c r="I5766" s="3" t="s">
        <v>725</v>
      </c>
      <c r="J5766" s="3" t="s">
        <v>610</v>
      </c>
      <c r="K5766" s="3" t="s">
        <v>30323</v>
      </c>
      <c r="L5766" s="3"/>
      <c r="M5766" s="4"/>
      <c r="N5766" s="3" t="s">
        <v>37</v>
      </c>
      <c r="O5766" s="3" t="s">
        <v>2740</v>
      </c>
      <c r="P5766" s="5">
        <v>12</v>
      </c>
      <c r="Q5766" s="5">
        <v>172</v>
      </c>
      <c r="R5766" s="5">
        <v>12</v>
      </c>
      <c r="S5766" s="5">
        <v>160</v>
      </c>
    </row>
    <row r="5767" spans="1:19" ht="42" x14ac:dyDescent="0.15">
      <c r="A5767" s="2">
        <f>HYPERLINK("https://open-school.uspishnemisto.com.ua/school/260702/", 260702)</f>
        <v>260702</v>
      </c>
      <c r="B5767" s="3" t="s">
        <v>30324</v>
      </c>
      <c r="C5767" s="3" t="s">
        <v>31</v>
      </c>
      <c r="D5767" s="3" t="s">
        <v>32</v>
      </c>
      <c r="E5767" s="4" t="s">
        <v>22</v>
      </c>
      <c r="F5767" s="4" t="s">
        <v>30325</v>
      </c>
      <c r="G5767" s="4" t="s">
        <v>30326</v>
      </c>
      <c r="H5767" s="3" t="s">
        <v>26808</v>
      </c>
      <c r="I5767" s="3" t="s">
        <v>30327</v>
      </c>
      <c r="J5767" s="3" t="s">
        <v>6181</v>
      </c>
      <c r="K5767" s="3" t="s">
        <v>30328</v>
      </c>
      <c r="L5767" s="3"/>
      <c r="M5767" s="4"/>
      <c r="N5767" s="3" t="s">
        <v>37</v>
      </c>
      <c r="O5767" s="3" t="s">
        <v>46</v>
      </c>
      <c r="P5767" s="5">
        <v>13</v>
      </c>
      <c r="Q5767" s="5">
        <v>247</v>
      </c>
      <c r="R5767" s="5">
        <v>13</v>
      </c>
      <c r="S5767" s="5">
        <v>250</v>
      </c>
    </row>
    <row r="5768" spans="1:19" ht="42" x14ac:dyDescent="0.15">
      <c r="A5768" s="2">
        <f>HYPERLINK("https://open-school.uspishnemisto.com.ua/school/260703/", 260703)</f>
        <v>260703</v>
      </c>
      <c r="B5768" s="3" t="s">
        <v>30329</v>
      </c>
      <c r="C5768" s="3" t="s">
        <v>31</v>
      </c>
      <c r="D5768" s="3" t="s">
        <v>175</v>
      </c>
      <c r="E5768" s="4" t="s">
        <v>22</v>
      </c>
      <c r="F5768" s="4" t="s">
        <v>30330</v>
      </c>
      <c r="G5768" s="4" t="s">
        <v>30331</v>
      </c>
      <c r="H5768" s="3" t="s">
        <v>26808</v>
      </c>
      <c r="I5768" s="3" t="s">
        <v>30332</v>
      </c>
      <c r="J5768" s="3" t="s">
        <v>718</v>
      </c>
      <c r="K5768" s="3" t="s">
        <v>30333</v>
      </c>
      <c r="L5768" s="3"/>
      <c r="M5768" s="4"/>
      <c r="N5768" s="3" t="s">
        <v>37</v>
      </c>
      <c r="O5768" s="3" t="s">
        <v>2740</v>
      </c>
      <c r="P5768" s="5">
        <v>9</v>
      </c>
      <c r="Q5768" s="5">
        <v>168</v>
      </c>
      <c r="R5768" s="5">
        <v>9</v>
      </c>
      <c r="S5768" s="5">
        <v>156</v>
      </c>
    </row>
    <row r="5769" spans="1:19" ht="56" x14ac:dyDescent="0.15">
      <c r="A5769" s="2">
        <f>HYPERLINK("https://open-school.uspishnemisto.com.ua/school/260704/", 260704)</f>
        <v>260704</v>
      </c>
      <c r="B5769" s="3" t="s">
        <v>30334</v>
      </c>
      <c r="C5769" s="3" t="s">
        <v>54</v>
      </c>
      <c r="D5769" s="3" t="s">
        <v>175</v>
      </c>
      <c r="E5769" s="4" t="s">
        <v>22</v>
      </c>
      <c r="F5769" s="4" t="s">
        <v>30335</v>
      </c>
      <c r="G5769" s="4" t="s">
        <v>30336</v>
      </c>
      <c r="H5769" s="3" t="s">
        <v>26808</v>
      </c>
      <c r="I5769" s="3" t="s">
        <v>21333</v>
      </c>
      <c r="J5769" s="3" t="s">
        <v>28396</v>
      </c>
      <c r="K5769" s="3" t="s">
        <v>30337</v>
      </c>
      <c r="L5769" s="3"/>
      <c r="M5769" s="4"/>
      <c r="N5769" s="3" t="s">
        <v>37</v>
      </c>
      <c r="O5769" s="3" t="s">
        <v>46</v>
      </c>
      <c r="P5769" s="5">
        <v>6</v>
      </c>
      <c r="Q5769" s="5">
        <v>39</v>
      </c>
      <c r="R5769" s="5">
        <v>6</v>
      </c>
      <c r="S5769" s="5">
        <v>39</v>
      </c>
    </row>
    <row r="5770" spans="1:19" ht="42" x14ac:dyDescent="0.15">
      <c r="A5770" s="2">
        <f>HYPERLINK("https://open-school.uspishnemisto.com.ua/school/260705/", 260705)</f>
        <v>260705</v>
      </c>
      <c r="B5770" s="3" t="s">
        <v>30338</v>
      </c>
      <c r="C5770" s="3" t="s">
        <v>31</v>
      </c>
      <c r="D5770" s="3" t="s">
        <v>32</v>
      </c>
      <c r="E5770" s="4" t="s">
        <v>22</v>
      </c>
      <c r="F5770" s="4" t="s">
        <v>30339</v>
      </c>
      <c r="G5770" s="4" t="s">
        <v>30340</v>
      </c>
      <c r="H5770" s="3" t="s">
        <v>26808</v>
      </c>
      <c r="I5770" s="3" t="s">
        <v>30341</v>
      </c>
      <c r="J5770" s="3" t="s">
        <v>30342</v>
      </c>
      <c r="K5770" s="3" t="s">
        <v>30343</v>
      </c>
      <c r="L5770" s="3"/>
      <c r="M5770" s="4"/>
      <c r="N5770" s="3" t="s">
        <v>37</v>
      </c>
      <c r="O5770" s="3" t="s">
        <v>46</v>
      </c>
      <c r="P5770" s="5">
        <v>20</v>
      </c>
      <c r="Q5770" s="5">
        <v>420</v>
      </c>
      <c r="R5770" s="5">
        <v>19</v>
      </c>
      <c r="S5770" s="5">
        <v>406</v>
      </c>
    </row>
    <row r="5771" spans="1:19" ht="42" x14ac:dyDescent="0.15">
      <c r="A5771" s="2">
        <f>HYPERLINK("https://open-school.uspishnemisto.com.ua/school/260706/", 260706)</f>
        <v>260706</v>
      </c>
      <c r="B5771" s="3" t="s">
        <v>30344</v>
      </c>
      <c r="C5771" s="3" t="s">
        <v>31</v>
      </c>
      <c r="D5771" s="3" t="s">
        <v>32</v>
      </c>
      <c r="E5771" s="4" t="s">
        <v>22</v>
      </c>
      <c r="F5771" s="4" t="s">
        <v>30345</v>
      </c>
      <c r="G5771" s="4" t="s">
        <v>30346</v>
      </c>
      <c r="H5771" s="3" t="s">
        <v>26808</v>
      </c>
      <c r="I5771" s="3" t="s">
        <v>30347</v>
      </c>
      <c r="J5771" s="3" t="s">
        <v>30348</v>
      </c>
      <c r="K5771" s="3" t="s">
        <v>30349</v>
      </c>
      <c r="L5771" s="3" t="s">
        <v>30350</v>
      </c>
      <c r="M5771" s="4"/>
      <c r="N5771" s="3" t="s">
        <v>37</v>
      </c>
      <c r="O5771" s="3" t="s">
        <v>46</v>
      </c>
      <c r="P5771" s="5">
        <v>11</v>
      </c>
      <c r="Q5771" s="5">
        <v>156</v>
      </c>
      <c r="R5771" s="5">
        <v>11</v>
      </c>
      <c r="S5771" s="5">
        <v>154</v>
      </c>
    </row>
    <row r="5772" spans="1:19" ht="42" x14ac:dyDescent="0.15">
      <c r="A5772" s="2">
        <f>HYPERLINK("https://open-school.uspishnemisto.com.ua/school/260707/", 260707)</f>
        <v>260707</v>
      </c>
      <c r="B5772" s="3" t="s">
        <v>30351</v>
      </c>
      <c r="C5772" s="3" t="s">
        <v>31</v>
      </c>
      <c r="D5772" s="3" t="s">
        <v>175</v>
      </c>
      <c r="E5772" s="4" t="s">
        <v>22</v>
      </c>
      <c r="F5772" s="4" t="s">
        <v>30352</v>
      </c>
      <c r="G5772" s="4" t="s">
        <v>30353</v>
      </c>
      <c r="H5772" s="3" t="s">
        <v>26808</v>
      </c>
      <c r="I5772" s="3" t="s">
        <v>30354</v>
      </c>
      <c r="J5772" s="3" t="s">
        <v>5998</v>
      </c>
      <c r="K5772" s="3" t="s">
        <v>30355</v>
      </c>
      <c r="L5772" s="3"/>
      <c r="M5772" s="4"/>
      <c r="N5772" s="3" t="s">
        <v>37</v>
      </c>
      <c r="O5772" s="3" t="s">
        <v>52</v>
      </c>
      <c r="P5772" s="5">
        <v>7</v>
      </c>
      <c r="Q5772" s="5">
        <v>46</v>
      </c>
      <c r="R5772" s="5">
        <v>6</v>
      </c>
      <c r="S5772" s="5">
        <v>38</v>
      </c>
    </row>
    <row r="5773" spans="1:19" ht="42" x14ac:dyDescent="0.15">
      <c r="A5773" s="2">
        <f>HYPERLINK("https://open-school.uspishnemisto.com.ua/school/260708/", 260708)</f>
        <v>260708</v>
      </c>
      <c r="B5773" s="3" t="s">
        <v>30356</v>
      </c>
      <c r="C5773" s="3" t="s">
        <v>31</v>
      </c>
      <c r="D5773" s="3" t="s">
        <v>175</v>
      </c>
      <c r="E5773" s="4" t="s">
        <v>22</v>
      </c>
      <c r="F5773" s="4" t="s">
        <v>30357</v>
      </c>
      <c r="G5773" s="4" t="s">
        <v>30358</v>
      </c>
      <c r="H5773" s="3" t="s">
        <v>26808</v>
      </c>
      <c r="I5773" s="3" t="s">
        <v>30359</v>
      </c>
      <c r="J5773" s="3" t="s">
        <v>30360</v>
      </c>
      <c r="K5773" s="3" t="s">
        <v>30361</v>
      </c>
      <c r="L5773" s="3"/>
      <c r="M5773" s="4"/>
      <c r="N5773" s="3" t="s">
        <v>37</v>
      </c>
      <c r="O5773" s="3" t="s">
        <v>52</v>
      </c>
      <c r="P5773" s="5">
        <v>4</v>
      </c>
      <c r="Q5773" s="5">
        <v>46</v>
      </c>
      <c r="R5773" s="5">
        <v>4</v>
      </c>
      <c r="S5773" s="5">
        <v>41</v>
      </c>
    </row>
    <row r="5774" spans="1:19" ht="42" x14ac:dyDescent="0.15">
      <c r="A5774" s="2">
        <f>HYPERLINK("https://open-school.uspishnemisto.com.ua/school/260709/", 260709)</f>
        <v>260709</v>
      </c>
      <c r="B5774" s="3" t="s">
        <v>30362</v>
      </c>
      <c r="C5774" s="3" t="s">
        <v>31</v>
      </c>
      <c r="D5774" s="3" t="s">
        <v>32</v>
      </c>
      <c r="E5774" s="4" t="s">
        <v>22</v>
      </c>
      <c r="F5774" s="4" t="s">
        <v>30363</v>
      </c>
      <c r="G5774" s="4" t="s">
        <v>30364</v>
      </c>
      <c r="H5774" s="3" t="s">
        <v>26808</v>
      </c>
      <c r="I5774" s="3" t="s">
        <v>3531</v>
      </c>
      <c r="J5774" s="3" t="s">
        <v>2745</v>
      </c>
      <c r="K5774" s="3" t="s">
        <v>30365</v>
      </c>
      <c r="L5774" s="3" t="s">
        <v>30366</v>
      </c>
      <c r="M5774" s="4"/>
      <c r="N5774" s="3" t="s">
        <v>37</v>
      </c>
      <c r="O5774" s="3" t="s">
        <v>46</v>
      </c>
      <c r="P5774" s="5">
        <v>12</v>
      </c>
      <c r="Q5774" s="5">
        <v>239</v>
      </c>
      <c r="R5774" s="5">
        <v>12</v>
      </c>
      <c r="S5774" s="5">
        <v>241</v>
      </c>
    </row>
    <row r="5775" spans="1:19" ht="56" x14ac:dyDescent="0.15">
      <c r="A5775" s="2">
        <f>HYPERLINK("https://open-school.uspishnemisto.com.ua/school/260710/", 260710)</f>
        <v>260710</v>
      </c>
      <c r="B5775" s="3" t="s">
        <v>30367</v>
      </c>
      <c r="C5775" s="3" t="s">
        <v>54</v>
      </c>
      <c r="D5775" s="3" t="s">
        <v>175</v>
      </c>
      <c r="E5775" s="4" t="s">
        <v>22</v>
      </c>
      <c r="F5775" s="4" t="s">
        <v>30368</v>
      </c>
      <c r="G5775" s="4" t="s">
        <v>30369</v>
      </c>
      <c r="H5775" s="3" t="s">
        <v>26808</v>
      </c>
      <c r="I5775" s="3" t="s">
        <v>6494</v>
      </c>
      <c r="J5775" s="3" t="s">
        <v>30370</v>
      </c>
      <c r="K5775" s="3" t="s">
        <v>30371</v>
      </c>
      <c r="L5775" s="3"/>
      <c r="M5775" s="4"/>
      <c r="N5775" s="3" t="s">
        <v>37</v>
      </c>
      <c r="O5775" s="3" t="s">
        <v>46</v>
      </c>
      <c r="P5775" s="5">
        <v>9</v>
      </c>
      <c r="Q5775" s="5">
        <v>87</v>
      </c>
      <c r="R5775" s="5">
        <v>9</v>
      </c>
      <c r="S5775" s="5">
        <v>84</v>
      </c>
    </row>
    <row r="5776" spans="1:19" ht="42" x14ac:dyDescent="0.15">
      <c r="A5776" s="2">
        <f>HYPERLINK("https://open-school.uspishnemisto.com.ua/school/260711/", 260711)</f>
        <v>260711</v>
      </c>
      <c r="B5776" s="3" t="s">
        <v>30372</v>
      </c>
      <c r="C5776" s="3" t="s">
        <v>54</v>
      </c>
      <c r="D5776" s="3" t="s">
        <v>32</v>
      </c>
      <c r="E5776" s="4" t="s">
        <v>22</v>
      </c>
      <c r="F5776" s="4" t="s">
        <v>30373</v>
      </c>
      <c r="G5776" s="4" t="s">
        <v>30374</v>
      </c>
      <c r="H5776" s="3" t="s">
        <v>26808</v>
      </c>
      <c r="I5776" s="3" t="s">
        <v>30375</v>
      </c>
      <c r="J5776" s="3" t="s">
        <v>466</v>
      </c>
      <c r="K5776" s="3" t="s">
        <v>30376</v>
      </c>
      <c r="L5776" s="3"/>
      <c r="M5776" s="4"/>
      <c r="N5776" s="3" t="s">
        <v>37</v>
      </c>
      <c r="O5776" s="3" t="s">
        <v>46</v>
      </c>
      <c r="P5776" s="5">
        <v>11</v>
      </c>
      <c r="Q5776" s="5">
        <v>141</v>
      </c>
      <c r="R5776" s="5">
        <v>11</v>
      </c>
      <c r="S5776" s="5">
        <v>144</v>
      </c>
    </row>
    <row r="5777" spans="1:19" ht="42" x14ac:dyDescent="0.15">
      <c r="A5777" s="2">
        <f>HYPERLINK("https://open-school.uspishnemisto.com.ua/school/260712/", 260712)</f>
        <v>260712</v>
      </c>
      <c r="B5777" s="3" t="s">
        <v>30377</v>
      </c>
      <c r="C5777" s="3" t="s">
        <v>31</v>
      </c>
      <c r="D5777" s="3" t="s">
        <v>175</v>
      </c>
      <c r="E5777" s="4" t="s">
        <v>22</v>
      </c>
      <c r="F5777" s="4" t="s">
        <v>30373</v>
      </c>
      <c r="G5777" s="4" t="s">
        <v>30378</v>
      </c>
      <c r="H5777" s="3" t="s">
        <v>26808</v>
      </c>
      <c r="I5777" s="3" t="s">
        <v>3763</v>
      </c>
      <c r="J5777" s="3" t="s">
        <v>10957</v>
      </c>
      <c r="K5777" s="3" t="s">
        <v>30379</v>
      </c>
      <c r="L5777" s="3"/>
      <c r="M5777" s="4"/>
      <c r="N5777" s="3" t="s">
        <v>37</v>
      </c>
      <c r="O5777" s="3" t="s">
        <v>237</v>
      </c>
      <c r="P5777" s="5">
        <v>8</v>
      </c>
      <c r="Q5777" s="5">
        <v>62</v>
      </c>
      <c r="R5777" s="5">
        <v>8</v>
      </c>
      <c r="S5777" s="5">
        <v>62</v>
      </c>
    </row>
    <row r="5778" spans="1:19" ht="56" x14ac:dyDescent="0.15">
      <c r="A5778" s="2">
        <f>HYPERLINK("https://open-school.uspishnemisto.com.ua/school/260713/", 260713)</f>
        <v>260713</v>
      </c>
      <c r="B5778" s="3" t="s">
        <v>30380</v>
      </c>
      <c r="C5778" s="3" t="s">
        <v>54</v>
      </c>
      <c r="D5778" s="3" t="s">
        <v>175</v>
      </c>
      <c r="E5778" s="4" t="s">
        <v>22</v>
      </c>
      <c r="F5778" s="4" t="s">
        <v>30381</v>
      </c>
      <c r="G5778" s="4" t="s">
        <v>30382</v>
      </c>
      <c r="H5778" s="3" t="s">
        <v>26808</v>
      </c>
      <c r="I5778" s="3" t="s">
        <v>30383</v>
      </c>
      <c r="J5778" s="3" t="s">
        <v>30384</v>
      </c>
      <c r="K5778" s="3" t="s">
        <v>30385</v>
      </c>
      <c r="L5778" s="3"/>
      <c r="M5778" s="4"/>
      <c r="N5778" s="3" t="s">
        <v>37</v>
      </c>
      <c r="O5778" s="3" t="s">
        <v>46</v>
      </c>
      <c r="P5778" s="5">
        <v>9</v>
      </c>
      <c r="Q5778" s="5">
        <v>67</v>
      </c>
      <c r="R5778" s="5">
        <v>9</v>
      </c>
      <c r="S5778" s="5">
        <v>69</v>
      </c>
    </row>
    <row r="5779" spans="1:19" ht="42" x14ac:dyDescent="0.15">
      <c r="A5779" s="2">
        <f>HYPERLINK("https://open-school.uspishnemisto.com.ua/school/260714/", 260714)</f>
        <v>260714</v>
      </c>
      <c r="B5779" s="3" t="s">
        <v>30386</v>
      </c>
      <c r="C5779" s="3" t="s">
        <v>31</v>
      </c>
      <c r="D5779" s="3" t="s">
        <v>175</v>
      </c>
      <c r="E5779" s="4" t="s">
        <v>22</v>
      </c>
      <c r="F5779" s="4" t="s">
        <v>30387</v>
      </c>
      <c r="G5779" s="4" t="s">
        <v>30388</v>
      </c>
      <c r="H5779" s="3" t="s">
        <v>26808</v>
      </c>
      <c r="I5779" s="3" t="s">
        <v>30389</v>
      </c>
      <c r="J5779" s="3" t="s">
        <v>30390</v>
      </c>
      <c r="K5779" s="3" t="s">
        <v>30391</v>
      </c>
      <c r="L5779" s="3"/>
      <c r="M5779" s="4"/>
      <c r="N5779" s="3" t="s">
        <v>37</v>
      </c>
      <c r="O5779" s="3" t="s">
        <v>46</v>
      </c>
      <c r="P5779" s="5">
        <v>9</v>
      </c>
      <c r="Q5779" s="5">
        <v>103</v>
      </c>
      <c r="R5779" s="5">
        <v>9</v>
      </c>
      <c r="S5779" s="5">
        <v>109</v>
      </c>
    </row>
    <row r="5780" spans="1:19" ht="42" x14ac:dyDescent="0.15">
      <c r="A5780" s="2">
        <f>HYPERLINK("https://open-school.uspishnemisto.com.ua/school/260715/", 260715)</f>
        <v>260715</v>
      </c>
      <c r="B5780" s="3" t="s">
        <v>30392</v>
      </c>
      <c r="C5780" s="3" t="s">
        <v>54</v>
      </c>
      <c r="D5780" s="3" t="s">
        <v>60</v>
      </c>
      <c r="E5780" s="4" t="s">
        <v>22</v>
      </c>
      <c r="F5780" s="4" t="s">
        <v>30387</v>
      </c>
      <c r="G5780" s="4" t="s">
        <v>30393</v>
      </c>
      <c r="H5780" s="3" t="s">
        <v>26808</v>
      </c>
      <c r="I5780" s="3" t="s">
        <v>30394</v>
      </c>
      <c r="J5780" s="3" t="s">
        <v>30395</v>
      </c>
      <c r="K5780" s="3" t="s">
        <v>30396</v>
      </c>
      <c r="L5780" s="3"/>
      <c r="M5780" s="4"/>
      <c r="N5780" s="3" t="s">
        <v>37</v>
      </c>
      <c r="O5780" s="3" t="s">
        <v>618</v>
      </c>
      <c r="P5780" s="5">
        <v>1</v>
      </c>
      <c r="Q5780" s="5">
        <v>14</v>
      </c>
      <c r="R5780" s="5">
        <v>0</v>
      </c>
      <c r="S5780" s="5">
        <v>11</v>
      </c>
    </row>
    <row r="5781" spans="1:19" ht="42" x14ac:dyDescent="0.15">
      <c r="A5781" s="2">
        <f>HYPERLINK("https://open-school.uspishnemisto.com.ua/school/260716/", 260716)</f>
        <v>260716</v>
      </c>
      <c r="B5781" s="3" t="s">
        <v>30397</v>
      </c>
      <c r="C5781" s="3" t="s">
        <v>31</v>
      </c>
      <c r="D5781" s="3" t="s">
        <v>32</v>
      </c>
      <c r="E5781" s="4" t="s">
        <v>22</v>
      </c>
      <c r="F5781" s="4" t="s">
        <v>30303</v>
      </c>
      <c r="G5781" s="4" t="s">
        <v>30398</v>
      </c>
      <c r="H5781" s="3" t="s">
        <v>26808</v>
      </c>
      <c r="I5781" s="3" t="s">
        <v>30399</v>
      </c>
      <c r="J5781" s="3" t="s">
        <v>30400</v>
      </c>
      <c r="K5781" s="3" t="s">
        <v>30401</v>
      </c>
      <c r="L5781" s="3"/>
      <c r="M5781" s="4"/>
      <c r="N5781" s="3" t="s">
        <v>37</v>
      </c>
      <c r="O5781" s="3" t="s">
        <v>46</v>
      </c>
      <c r="P5781" s="5">
        <v>10</v>
      </c>
      <c r="Q5781" s="5">
        <v>160</v>
      </c>
      <c r="R5781" s="5">
        <v>11</v>
      </c>
      <c r="S5781" s="5">
        <v>172</v>
      </c>
    </row>
    <row r="5782" spans="1:19" ht="56" x14ac:dyDescent="0.15">
      <c r="A5782" s="2">
        <f>HYPERLINK("https://open-school.uspishnemisto.com.ua/school/260717/", 260717)</f>
        <v>260717</v>
      </c>
      <c r="B5782" s="3" t="s">
        <v>30402</v>
      </c>
      <c r="C5782" s="3" t="s">
        <v>54</v>
      </c>
      <c r="D5782" s="3" t="s">
        <v>32</v>
      </c>
      <c r="E5782" s="4" t="s">
        <v>22</v>
      </c>
      <c r="F5782" s="4" t="s">
        <v>30403</v>
      </c>
      <c r="G5782" s="4" t="s">
        <v>30404</v>
      </c>
      <c r="H5782" s="3" t="s">
        <v>26808</v>
      </c>
      <c r="I5782" s="3" t="s">
        <v>1587</v>
      </c>
      <c r="J5782" s="3" t="s">
        <v>30405</v>
      </c>
      <c r="K5782" s="3" t="s">
        <v>30406</v>
      </c>
      <c r="L5782" s="3"/>
      <c r="M5782" s="4"/>
      <c r="N5782" s="3" t="s">
        <v>37</v>
      </c>
      <c r="O5782" s="3" t="s">
        <v>46</v>
      </c>
      <c r="P5782" s="5">
        <v>12</v>
      </c>
      <c r="Q5782" s="5">
        <v>199</v>
      </c>
      <c r="R5782" s="5">
        <v>12</v>
      </c>
      <c r="S5782" s="5">
        <v>201</v>
      </c>
    </row>
    <row r="5783" spans="1:19" ht="56" x14ac:dyDescent="0.15">
      <c r="A5783" s="2">
        <f>HYPERLINK("https://open-school.uspishnemisto.com.ua/school/260718/", 260718)</f>
        <v>260718</v>
      </c>
      <c r="B5783" s="3" t="s">
        <v>30407</v>
      </c>
      <c r="C5783" s="3" t="s">
        <v>54</v>
      </c>
      <c r="D5783" s="3" t="s">
        <v>32</v>
      </c>
      <c r="E5783" s="4" t="s">
        <v>22</v>
      </c>
      <c r="F5783" s="4" t="s">
        <v>30408</v>
      </c>
      <c r="G5783" s="4" t="s">
        <v>30409</v>
      </c>
      <c r="H5783" s="3" t="s">
        <v>26808</v>
      </c>
      <c r="I5783" s="3" t="s">
        <v>30410</v>
      </c>
      <c r="J5783" s="3" t="s">
        <v>30411</v>
      </c>
      <c r="K5783" s="3" t="s">
        <v>30412</v>
      </c>
      <c r="L5783" s="3"/>
      <c r="M5783" s="4"/>
      <c r="N5783" s="3" t="s">
        <v>37</v>
      </c>
      <c r="O5783" s="3" t="s">
        <v>46</v>
      </c>
      <c r="P5783" s="5">
        <v>18</v>
      </c>
      <c r="Q5783" s="5">
        <v>281</v>
      </c>
      <c r="R5783" s="5">
        <v>16</v>
      </c>
      <c r="S5783" s="5">
        <v>279</v>
      </c>
    </row>
    <row r="5784" spans="1:19" ht="42" x14ac:dyDescent="0.15">
      <c r="A5784" s="2">
        <f>HYPERLINK("https://open-school.uspishnemisto.com.ua/school/260719/", 260719)</f>
        <v>260719</v>
      </c>
      <c r="B5784" s="3" t="s">
        <v>30413</v>
      </c>
      <c r="C5784" s="3" t="s">
        <v>31</v>
      </c>
      <c r="D5784" s="3" t="s">
        <v>175</v>
      </c>
      <c r="E5784" s="4" t="s">
        <v>22</v>
      </c>
      <c r="F5784" s="4" t="s">
        <v>30414</v>
      </c>
      <c r="G5784" s="4" t="s">
        <v>30415</v>
      </c>
      <c r="H5784" s="3" t="s">
        <v>26808</v>
      </c>
      <c r="I5784" s="3" t="s">
        <v>30416</v>
      </c>
      <c r="J5784" s="3" t="s">
        <v>30417</v>
      </c>
      <c r="K5784" s="3" t="s">
        <v>30418</v>
      </c>
      <c r="L5784" s="3"/>
      <c r="M5784" s="4"/>
      <c r="N5784" s="3" t="s">
        <v>37</v>
      </c>
      <c r="O5784" s="3" t="s">
        <v>46</v>
      </c>
      <c r="P5784" s="5">
        <v>9</v>
      </c>
      <c r="Q5784" s="5">
        <v>174</v>
      </c>
      <c r="R5784" s="5">
        <v>9</v>
      </c>
      <c r="S5784" s="5">
        <v>170</v>
      </c>
    </row>
    <row r="5785" spans="1:19" ht="42" x14ac:dyDescent="0.15">
      <c r="A5785" s="2">
        <f>HYPERLINK("https://open-school.uspishnemisto.com.ua/school/260720/", 260720)</f>
        <v>260720</v>
      </c>
      <c r="B5785" s="3" t="s">
        <v>30419</v>
      </c>
      <c r="C5785" s="3" t="s">
        <v>31</v>
      </c>
      <c r="D5785" s="3" t="s">
        <v>32</v>
      </c>
      <c r="E5785" s="4" t="s">
        <v>22</v>
      </c>
      <c r="F5785" s="4" t="s">
        <v>30420</v>
      </c>
      <c r="G5785" s="4" t="s">
        <v>30421</v>
      </c>
      <c r="H5785" s="3" t="s">
        <v>26808</v>
      </c>
      <c r="I5785" s="3" t="s">
        <v>30422</v>
      </c>
      <c r="J5785" s="3" t="s">
        <v>30423</v>
      </c>
      <c r="K5785" s="3" t="s">
        <v>30424</v>
      </c>
      <c r="L5785" s="3" t="s">
        <v>30425</v>
      </c>
      <c r="M5785" s="4"/>
      <c r="N5785" s="3" t="s">
        <v>37</v>
      </c>
      <c r="O5785" s="3" t="s">
        <v>52</v>
      </c>
      <c r="P5785" s="5">
        <v>12</v>
      </c>
      <c r="Q5785" s="5">
        <v>212</v>
      </c>
      <c r="R5785" s="5">
        <v>12</v>
      </c>
      <c r="S5785" s="5">
        <v>220</v>
      </c>
    </row>
    <row r="5786" spans="1:19" ht="42" x14ac:dyDescent="0.15">
      <c r="A5786" s="2">
        <f>HYPERLINK("https://open-school.uspishnemisto.com.ua/school/260721/", 260721)</f>
        <v>260721</v>
      </c>
      <c r="B5786" s="3" t="s">
        <v>30426</v>
      </c>
      <c r="C5786" s="3" t="s">
        <v>31</v>
      </c>
      <c r="D5786" s="3" t="s">
        <v>32</v>
      </c>
      <c r="E5786" s="4" t="s">
        <v>22</v>
      </c>
      <c r="F5786" s="4" t="s">
        <v>30427</v>
      </c>
      <c r="G5786" s="4" t="s">
        <v>30428</v>
      </c>
      <c r="H5786" s="3" t="s">
        <v>26808</v>
      </c>
      <c r="I5786" s="3" t="s">
        <v>30429</v>
      </c>
      <c r="J5786" s="3" t="s">
        <v>30430</v>
      </c>
      <c r="K5786" s="3" t="s">
        <v>30431</v>
      </c>
      <c r="L5786" s="3"/>
      <c r="M5786" s="4"/>
      <c r="N5786" s="3" t="s">
        <v>37</v>
      </c>
      <c r="O5786" s="3" t="s">
        <v>46</v>
      </c>
      <c r="P5786" s="5">
        <v>15</v>
      </c>
      <c r="Q5786" s="5">
        <v>267</v>
      </c>
      <c r="R5786" s="5">
        <v>15</v>
      </c>
      <c r="S5786" s="5">
        <v>265</v>
      </c>
    </row>
    <row r="5787" spans="1:19" ht="56" x14ac:dyDescent="0.15">
      <c r="A5787" s="2">
        <f>HYPERLINK("https://open-school.uspishnemisto.com.ua/school/260722/", 260722)</f>
        <v>260722</v>
      </c>
      <c r="B5787" s="3" t="s">
        <v>30432</v>
      </c>
      <c r="C5787" s="3" t="s">
        <v>54</v>
      </c>
      <c r="D5787" s="3" t="s">
        <v>175</v>
      </c>
      <c r="E5787" s="4" t="s">
        <v>22</v>
      </c>
      <c r="F5787" s="4" t="s">
        <v>30433</v>
      </c>
      <c r="G5787" s="4" t="s">
        <v>30434</v>
      </c>
      <c r="H5787" s="3" t="s">
        <v>26808</v>
      </c>
      <c r="I5787" s="3" t="s">
        <v>28144</v>
      </c>
      <c r="J5787" s="3" t="s">
        <v>30435</v>
      </c>
      <c r="K5787" s="3" t="s">
        <v>30436</v>
      </c>
      <c r="L5787" s="3"/>
      <c r="M5787" s="4"/>
      <c r="N5787" s="3" t="s">
        <v>37</v>
      </c>
      <c r="O5787" s="3" t="s">
        <v>46</v>
      </c>
      <c r="P5787" s="5">
        <v>9</v>
      </c>
      <c r="Q5787" s="5">
        <v>104</v>
      </c>
      <c r="R5787" s="5">
        <v>9</v>
      </c>
      <c r="S5787" s="5">
        <v>104</v>
      </c>
    </row>
    <row r="5788" spans="1:19" ht="42" x14ac:dyDescent="0.15">
      <c r="A5788" s="2">
        <f>HYPERLINK("https://open-school.uspishnemisto.com.ua/school/260723/", 260723)</f>
        <v>260723</v>
      </c>
      <c r="B5788" s="3" t="s">
        <v>30437</v>
      </c>
      <c r="C5788" s="3" t="s">
        <v>31</v>
      </c>
      <c r="D5788" s="3" t="s">
        <v>32</v>
      </c>
      <c r="E5788" s="4" t="s">
        <v>22</v>
      </c>
      <c r="F5788" s="4" t="s">
        <v>30438</v>
      </c>
      <c r="G5788" s="4" t="s">
        <v>30439</v>
      </c>
      <c r="H5788" s="3" t="s">
        <v>26808</v>
      </c>
      <c r="I5788" s="3" t="s">
        <v>30440</v>
      </c>
      <c r="J5788" s="3" t="s">
        <v>30058</v>
      </c>
      <c r="K5788" s="3" t="s">
        <v>30441</v>
      </c>
      <c r="L5788" s="3" t="s">
        <v>30442</v>
      </c>
      <c r="M5788" s="4"/>
      <c r="N5788" s="3" t="s">
        <v>37</v>
      </c>
      <c r="O5788" s="3" t="s">
        <v>2740</v>
      </c>
      <c r="P5788" s="5">
        <v>20</v>
      </c>
      <c r="Q5788" s="5">
        <v>410</v>
      </c>
      <c r="R5788" s="5">
        <v>21</v>
      </c>
      <c r="S5788" s="5">
        <v>400</v>
      </c>
    </row>
    <row r="5789" spans="1:19" ht="56" x14ac:dyDescent="0.15">
      <c r="A5789" s="2">
        <f>HYPERLINK("https://open-school.uspishnemisto.com.ua/school/260724/", 260724)</f>
        <v>260724</v>
      </c>
      <c r="B5789" s="3" t="s">
        <v>30443</v>
      </c>
      <c r="C5789" s="3" t="s">
        <v>54</v>
      </c>
      <c r="D5789" s="3" t="s">
        <v>32</v>
      </c>
      <c r="E5789" s="4" t="s">
        <v>22</v>
      </c>
      <c r="F5789" s="4" t="s">
        <v>30444</v>
      </c>
      <c r="G5789" s="4" t="s">
        <v>30445</v>
      </c>
      <c r="H5789" s="3" t="s">
        <v>26808</v>
      </c>
      <c r="I5789" s="3" t="s">
        <v>30446</v>
      </c>
      <c r="J5789" s="3" t="s">
        <v>30447</v>
      </c>
      <c r="K5789" s="3" t="s">
        <v>30448</v>
      </c>
      <c r="L5789" s="3"/>
      <c r="M5789" s="4"/>
      <c r="N5789" s="3" t="s">
        <v>37</v>
      </c>
      <c r="O5789" s="3" t="s">
        <v>52</v>
      </c>
      <c r="P5789" s="5">
        <v>10</v>
      </c>
      <c r="Q5789" s="5">
        <v>76</v>
      </c>
      <c r="R5789" s="5">
        <v>10</v>
      </c>
      <c r="S5789" s="5">
        <v>82</v>
      </c>
    </row>
    <row r="5790" spans="1:19" ht="42" x14ac:dyDescent="0.15">
      <c r="A5790" s="2">
        <f>HYPERLINK("https://open-school.uspishnemisto.com.ua/school/260725/", 260725)</f>
        <v>260725</v>
      </c>
      <c r="B5790" s="3" t="s">
        <v>30449</v>
      </c>
      <c r="C5790" s="3" t="s">
        <v>54</v>
      </c>
      <c r="D5790" s="3" t="s">
        <v>175</v>
      </c>
      <c r="E5790" s="4" t="s">
        <v>22</v>
      </c>
      <c r="F5790" s="4" t="s">
        <v>30450</v>
      </c>
      <c r="G5790" s="4" t="s">
        <v>30451</v>
      </c>
      <c r="H5790" s="3" t="s">
        <v>26808</v>
      </c>
      <c r="I5790" s="3" t="s">
        <v>30452</v>
      </c>
      <c r="J5790" s="3" t="s">
        <v>30453</v>
      </c>
      <c r="K5790" s="3" t="s">
        <v>30454</v>
      </c>
      <c r="L5790" s="3"/>
      <c r="M5790" s="4"/>
      <c r="N5790" s="3" t="s">
        <v>37</v>
      </c>
      <c r="O5790" s="3" t="s">
        <v>46</v>
      </c>
      <c r="P5790" s="5">
        <v>9</v>
      </c>
      <c r="Q5790" s="5">
        <v>86</v>
      </c>
      <c r="R5790" s="5">
        <v>9</v>
      </c>
      <c r="S5790" s="5">
        <v>87</v>
      </c>
    </row>
    <row r="5791" spans="1:19" ht="42" x14ac:dyDescent="0.15">
      <c r="A5791" s="2">
        <f>HYPERLINK("https://open-school.uspishnemisto.com.ua/school/260726/", 260726)</f>
        <v>260726</v>
      </c>
      <c r="B5791" s="3" t="s">
        <v>30455</v>
      </c>
      <c r="C5791" s="3" t="s">
        <v>31</v>
      </c>
      <c r="D5791" s="3" t="s">
        <v>175</v>
      </c>
      <c r="E5791" s="4" t="s">
        <v>22</v>
      </c>
      <c r="F5791" s="4" t="s">
        <v>30456</v>
      </c>
      <c r="G5791" s="4" t="s">
        <v>30457</v>
      </c>
      <c r="H5791" s="3" t="s">
        <v>26808</v>
      </c>
      <c r="I5791" s="3" t="s">
        <v>1883</v>
      </c>
      <c r="J5791" s="3" t="s">
        <v>30458</v>
      </c>
      <c r="K5791" s="3" t="s">
        <v>30459</v>
      </c>
      <c r="L5791" s="3"/>
      <c r="M5791" s="4"/>
      <c r="N5791" s="3" t="s">
        <v>37</v>
      </c>
      <c r="O5791" s="3" t="s">
        <v>46</v>
      </c>
      <c r="P5791" s="5">
        <v>9</v>
      </c>
      <c r="Q5791" s="5">
        <v>138</v>
      </c>
      <c r="R5791" s="5">
        <v>9</v>
      </c>
      <c r="S5791" s="5">
        <v>138</v>
      </c>
    </row>
    <row r="5792" spans="1:19" ht="42" x14ac:dyDescent="0.15">
      <c r="A5792" s="2">
        <f>HYPERLINK("https://open-school.uspishnemisto.com.ua/school/260727/", 260727)</f>
        <v>260727</v>
      </c>
      <c r="B5792" s="3" t="s">
        <v>30460</v>
      </c>
      <c r="C5792" s="3" t="s">
        <v>31</v>
      </c>
      <c r="D5792" s="3" t="s">
        <v>32</v>
      </c>
      <c r="E5792" s="4" t="s">
        <v>22</v>
      </c>
      <c r="F5792" s="4" t="s">
        <v>30461</v>
      </c>
      <c r="G5792" s="4" t="s">
        <v>30462</v>
      </c>
      <c r="H5792" s="3" t="s">
        <v>26808</v>
      </c>
      <c r="I5792" s="3" t="s">
        <v>30463</v>
      </c>
      <c r="J5792" s="3" t="s">
        <v>30464</v>
      </c>
      <c r="K5792" s="3" t="s">
        <v>30465</v>
      </c>
      <c r="L5792" s="3"/>
      <c r="M5792" s="4"/>
      <c r="N5792" s="3" t="s">
        <v>37</v>
      </c>
      <c r="O5792" s="3" t="s">
        <v>2740</v>
      </c>
      <c r="P5792" s="5">
        <v>16</v>
      </c>
      <c r="Q5792" s="5">
        <v>315</v>
      </c>
      <c r="R5792" s="5">
        <v>16</v>
      </c>
      <c r="S5792" s="5">
        <v>308</v>
      </c>
    </row>
    <row r="5793" spans="1:19" ht="42" x14ac:dyDescent="0.15">
      <c r="A5793" s="2">
        <f>HYPERLINK("https://open-school.uspishnemisto.com.ua/school/260728/", 260728)</f>
        <v>260728</v>
      </c>
      <c r="B5793" s="3" t="s">
        <v>30466</v>
      </c>
      <c r="C5793" s="3" t="s">
        <v>31</v>
      </c>
      <c r="D5793" s="3" t="s">
        <v>60</v>
      </c>
      <c r="E5793" s="4" t="s">
        <v>22</v>
      </c>
      <c r="F5793" s="4" t="s">
        <v>30467</v>
      </c>
      <c r="G5793" s="4" t="s">
        <v>30468</v>
      </c>
      <c r="H5793" s="3" t="s">
        <v>26808</v>
      </c>
      <c r="I5793" s="3" t="s">
        <v>18694</v>
      </c>
      <c r="J5793" s="3" t="s">
        <v>30469</v>
      </c>
      <c r="K5793" s="3" t="s">
        <v>30470</v>
      </c>
      <c r="L5793" s="3"/>
      <c r="M5793" s="4"/>
      <c r="N5793" s="3" t="s">
        <v>37</v>
      </c>
      <c r="O5793" s="3" t="s">
        <v>11684</v>
      </c>
      <c r="P5793" s="5">
        <v>2</v>
      </c>
      <c r="Q5793" s="5">
        <v>26</v>
      </c>
      <c r="R5793" s="5">
        <v>2</v>
      </c>
      <c r="S5793" s="5">
        <v>28</v>
      </c>
    </row>
    <row r="5794" spans="1:19" ht="42" x14ac:dyDescent="0.15">
      <c r="A5794" s="2">
        <f>HYPERLINK("https://open-school.uspishnemisto.com.ua/school/260729/", 260729)</f>
        <v>260729</v>
      </c>
      <c r="B5794" s="3" t="s">
        <v>30471</v>
      </c>
      <c r="C5794" s="3" t="s">
        <v>31</v>
      </c>
      <c r="D5794" s="3" t="s">
        <v>32</v>
      </c>
      <c r="E5794" s="4" t="s">
        <v>22</v>
      </c>
      <c r="F5794" s="4" t="s">
        <v>30472</v>
      </c>
      <c r="G5794" s="4" t="s">
        <v>30473</v>
      </c>
      <c r="H5794" s="3" t="s">
        <v>26808</v>
      </c>
      <c r="I5794" s="3" t="s">
        <v>30474</v>
      </c>
      <c r="J5794" s="3" t="s">
        <v>7969</v>
      </c>
      <c r="K5794" s="3" t="s">
        <v>30475</v>
      </c>
      <c r="L5794" s="3"/>
      <c r="M5794" s="4"/>
      <c r="N5794" s="3" t="s">
        <v>37</v>
      </c>
      <c r="O5794" s="3" t="s">
        <v>2740</v>
      </c>
      <c r="P5794" s="5">
        <v>18</v>
      </c>
      <c r="Q5794" s="5">
        <v>392</v>
      </c>
      <c r="R5794" s="5">
        <v>19</v>
      </c>
      <c r="S5794" s="5">
        <v>402</v>
      </c>
    </row>
    <row r="5795" spans="1:19" ht="42" x14ac:dyDescent="0.15">
      <c r="A5795" s="2">
        <f>HYPERLINK("https://open-school.uspishnemisto.com.ua/school/260730/", 260730)</f>
        <v>260730</v>
      </c>
      <c r="B5795" s="3" t="s">
        <v>30476</v>
      </c>
      <c r="C5795" s="3" t="s">
        <v>31</v>
      </c>
      <c r="D5795" s="3" t="s">
        <v>175</v>
      </c>
      <c r="E5795" s="4" t="s">
        <v>22</v>
      </c>
      <c r="F5795" s="4" t="s">
        <v>30477</v>
      </c>
      <c r="G5795" s="4" t="s">
        <v>30478</v>
      </c>
      <c r="H5795" s="3" t="s">
        <v>26808</v>
      </c>
      <c r="I5795" s="3" t="s">
        <v>30479</v>
      </c>
      <c r="J5795" s="3" t="s">
        <v>447</v>
      </c>
      <c r="K5795" s="3"/>
      <c r="L5795" s="3"/>
      <c r="M5795" s="4"/>
      <c r="N5795" s="3" t="s">
        <v>37</v>
      </c>
      <c r="O5795" s="3" t="s">
        <v>2740</v>
      </c>
      <c r="P5795" s="5">
        <v>9</v>
      </c>
      <c r="Q5795" s="5">
        <v>80</v>
      </c>
      <c r="R5795" s="5">
        <v>9</v>
      </c>
      <c r="S5795" s="5">
        <v>81</v>
      </c>
    </row>
    <row r="5796" spans="1:19" ht="56" x14ac:dyDescent="0.15">
      <c r="A5796" s="2">
        <f>HYPERLINK("https://open-school.uspishnemisto.com.ua/school/260731/", 260731)</f>
        <v>260731</v>
      </c>
      <c r="B5796" s="3" t="s">
        <v>30480</v>
      </c>
      <c r="C5796" s="3" t="s">
        <v>54</v>
      </c>
      <c r="D5796" s="3" t="s">
        <v>175</v>
      </c>
      <c r="E5796" s="4" t="s">
        <v>22</v>
      </c>
      <c r="F5796" s="4" t="s">
        <v>30481</v>
      </c>
      <c r="G5796" s="4" t="s">
        <v>30482</v>
      </c>
      <c r="H5796" s="3" t="s">
        <v>26808</v>
      </c>
      <c r="I5796" s="3" t="s">
        <v>30483</v>
      </c>
      <c r="J5796" s="3" t="s">
        <v>4728</v>
      </c>
      <c r="K5796" s="3" t="s">
        <v>30484</v>
      </c>
      <c r="L5796" s="3" t="s">
        <v>30485</v>
      </c>
      <c r="M5796" s="4"/>
      <c r="N5796" s="3" t="s">
        <v>37</v>
      </c>
      <c r="O5796" s="3" t="s">
        <v>46</v>
      </c>
      <c r="P5796" s="5">
        <v>7</v>
      </c>
      <c r="Q5796" s="5">
        <v>58</v>
      </c>
      <c r="R5796" s="5">
        <v>7</v>
      </c>
      <c r="S5796" s="5">
        <v>55</v>
      </c>
    </row>
    <row r="5797" spans="1:19" ht="42" x14ac:dyDescent="0.15">
      <c r="A5797" s="2">
        <f>HYPERLINK("https://open-school.uspishnemisto.com.ua/school/260732/", 260732)</f>
        <v>260732</v>
      </c>
      <c r="B5797" s="3" t="s">
        <v>30486</v>
      </c>
      <c r="C5797" s="3" t="s">
        <v>31</v>
      </c>
      <c r="D5797" s="3" t="s">
        <v>175</v>
      </c>
      <c r="E5797" s="4" t="s">
        <v>22</v>
      </c>
      <c r="F5797" s="4" t="s">
        <v>30487</v>
      </c>
      <c r="G5797" s="4" t="s">
        <v>30488</v>
      </c>
      <c r="H5797" s="3" t="s">
        <v>26808</v>
      </c>
      <c r="I5797" s="3" t="s">
        <v>30489</v>
      </c>
      <c r="J5797" s="3" t="s">
        <v>30490</v>
      </c>
      <c r="K5797" s="3" t="s">
        <v>30491</v>
      </c>
      <c r="L5797" s="3"/>
      <c r="M5797" s="4"/>
      <c r="N5797" s="3" t="s">
        <v>37</v>
      </c>
      <c r="O5797" s="3" t="s">
        <v>46</v>
      </c>
      <c r="P5797" s="5">
        <v>9</v>
      </c>
      <c r="Q5797" s="5">
        <v>100</v>
      </c>
      <c r="R5797" s="5">
        <v>9</v>
      </c>
      <c r="S5797" s="5">
        <v>106</v>
      </c>
    </row>
    <row r="5798" spans="1:19" ht="42" x14ac:dyDescent="0.15">
      <c r="A5798" s="2">
        <f>HYPERLINK("https://open-school.uspishnemisto.com.ua/school/260733/", 260733)</f>
        <v>260733</v>
      </c>
      <c r="B5798" s="3" t="s">
        <v>30492</v>
      </c>
      <c r="C5798" s="3" t="s">
        <v>31</v>
      </c>
      <c r="D5798" s="3" t="s">
        <v>175</v>
      </c>
      <c r="E5798" s="4" t="s">
        <v>22</v>
      </c>
      <c r="F5798" s="4" t="s">
        <v>30493</v>
      </c>
      <c r="G5798" s="4" t="s">
        <v>30494</v>
      </c>
      <c r="H5798" s="3" t="s">
        <v>26808</v>
      </c>
      <c r="I5798" s="3" t="s">
        <v>5491</v>
      </c>
      <c r="J5798" s="3" t="s">
        <v>30495</v>
      </c>
      <c r="K5798" s="3" t="s">
        <v>30496</v>
      </c>
      <c r="L5798" s="3"/>
      <c r="M5798" s="4"/>
      <c r="N5798" s="3" t="s">
        <v>37</v>
      </c>
      <c r="O5798" s="3" t="s">
        <v>46</v>
      </c>
      <c r="P5798" s="5">
        <v>8</v>
      </c>
      <c r="Q5798" s="5">
        <v>86</v>
      </c>
      <c r="R5798" s="5">
        <v>7</v>
      </c>
      <c r="S5798" s="5">
        <v>75</v>
      </c>
    </row>
    <row r="5799" spans="1:19" ht="56" x14ac:dyDescent="0.15">
      <c r="A5799" s="2">
        <f>HYPERLINK("https://open-school.uspishnemisto.com.ua/school/260734/", 260734)</f>
        <v>260734</v>
      </c>
      <c r="B5799" s="3" t="s">
        <v>30497</v>
      </c>
      <c r="C5799" s="3" t="s">
        <v>54</v>
      </c>
      <c r="D5799" s="3" t="s">
        <v>32</v>
      </c>
      <c r="E5799" s="4" t="s">
        <v>22</v>
      </c>
      <c r="F5799" s="4" t="s">
        <v>30493</v>
      </c>
      <c r="G5799" s="4" t="s">
        <v>30494</v>
      </c>
      <c r="H5799" s="3" t="s">
        <v>26808</v>
      </c>
      <c r="I5799" s="3" t="s">
        <v>5491</v>
      </c>
      <c r="J5799" s="3" t="s">
        <v>28770</v>
      </c>
      <c r="K5799" s="3" t="s">
        <v>30498</v>
      </c>
      <c r="L5799" s="3" t="s">
        <v>30499</v>
      </c>
      <c r="M5799" s="4"/>
      <c r="N5799" s="3" t="s">
        <v>37</v>
      </c>
      <c r="O5799" s="3" t="s">
        <v>46</v>
      </c>
      <c r="P5799" s="5">
        <v>18</v>
      </c>
      <c r="Q5799" s="5">
        <v>365</v>
      </c>
      <c r="R5799" s="5">
        <v>17</v>
      </c>
      <c r="S5799" s="5">
        <v>329</v>
      </c>
    </row>
    <row r="5800" spans="1:19" ht="42" x14ac:dyDescent="0.15">
      <c r="A5800" s="2">
        <f>HYPERLINK("https://open-school.uspishnemisto.com.ua/school/260735/", 260735)</f>
        <v>260735</v>
      </c>
      <c r="B5800" s="3" t="s">
        <v>30500</v>
      </c>
      <c r="C5800" s="3" t="s">
        <v>31</v>
      </c>
      <c r="D5800" s="3" t="s">
        <v>175</v>
      </c>
      <c r="E5800" s="4" t="s">
        <v>22</v>
      </c>
      <c r="F5800" s="4" t="s">
        <v>30501</v>
      </c>
      <c r="G5800" s="4" t="s">
        <v>30502</v>
      </c>
      <c r="H5800" s="3" t="s">
        <v>26808</v>
      </c>
      <c r="I5800" s="3" t="s">
        <v>30503</v>
      </c>
      <c r="J5800" s="3" t="s">
        <v>30504</v>
      </c>
      <c r="K5800" s="3" t="s">
        <v>30505</v>
      </c>
      <c r="L5800" s="3"/>
      <c r="M5800" s="4"/>
      <c r="N5800" s="3" t="s">
        <v>37</v>
      </c>
      <c r="O5800" s="3" t="s">
        <v>46</v>
      </c>
      <c r="P5800" s="5">
        <v>9</v>
      </c>
      <c r="Q5800" s="5">
        <v>83</v>
      </c>
      <c r="R5800" s="5">
        <v>9</v>
      </c>
      <c r="S5800" s="5">
        <v>87</v>
      </c>
    </row>
    <row r="5801" spans="1:19" ht="42" x14ac:dyDescent="0.15">
      <c r="A5801" s="2">
        <f>HYPERLINK("https://open-school.uspishnemisto.com.ua/school/260736/", 260736)</f>
        <v>260736</v>
      </c>
      <c r="B5801" s="3" t="s">
        <v>30506</v>
      </c>
      <c r="C5801" s="3" t="s">
        <v>31</v>
      </c>
      <c r="D5801" s="3" t="s">
        <v>60</v>
      </c>
      <c r="E5801" s="4" t="s">
        <v>22</v>
      </c>
      <c r="F5801" s="4" t="s">
        <v>30507</v>
      </c>
      <c r="G5801" s="4" t="s">
        <v>30508</v>
      </c>
      <c r="H5801" s="3" t="s">
        <v>26808</v>
      </c>
      <c r="I5801" s="3" t="s">
        <v>29973</v>
      </c>
      <c r="J5801" s="3" t="s">
        <v>5394</v>
      </c>
      <c r="K5801" s="3" t="s">
        <v>30509</v>
      </c>
      <c r="L5801" s="3"/>
      <c r="M5801" s="4"/>
      <c r="N5801" s="3" t="s">
        <v>37</v>
      </c>
      <c r="O5801" s="3" t="s">
        <v>618</v>
      </c>
      <c r="P5801" s="5">
        <v>4</v>
      </c>
      <c r="Q5801" s="5">
        <v>32</v>
      </c>
      <c r="R5801" s="5">
        <v>4</v>
      </c>
      <c r="S5801" s="5">
        <v>37</v>
      </c>
    </row>
    <row r="5802" spans="1:19" ht="42" x14ac:dyDescent="0.15">
      <c r="A5802" s="2">
        <f>HYPERLINK("https://open-school.uspishnemisto.com.ua/school/260737/", 260737)</f>
        <v>260737</v>
      </c>
      <c r="B5802" s="3" t="s">
        <v>30510</v>
      </c>
      <c r="C5802" s="3" t="s">
        <v>31</v>
      </c>
      <c r="D5802" s="3" t="s">
        <v>32</v>
      </c>
      <c r="E5802" s="4" t="s">
        <v>22</v>
      </c>
      <c r="F5802" s="4" t="s">
        <v>30511</v>
      </c>
      <c r="G5802" s="4" t="s">
        <v>30512</v>
      </c>
      <c r="H5802" s="3" t="s">
        <v>26808</v>
      </c>
      <c r="I5802" s="3" t="s">
        <v>30513</v>
      </c>
      <c r="J5802" s="3" t="s">
        <v>27213</v>
      </c>
      <c r="K5802" s="3" t="s">
        <v>30514</v>
      </c>
      <c r="L5802" s="3"/>
      <c r="M5802" s="4"/>
      <c r="N5802" s="3" t="s">
        <v>37</v>
      </c>
      <c r="O5802" s="3" t="s">
        <v>52</v>
      </c>
      <c r="P5802" s="5">
        <v>16</v>
      </c>
      <c r="Q5802" s="5">
        <v>323</v>
      </c>
      <c r="R5802" s="5">
        <v>16</v>
      </c>
      <c r="S5802" s="5">
        <v>308</v>
      </c>
    </row>
    <row r="5803" spans="1:19" ht="42" x14ac:dyDescent="0.15">
      <c r="A5803" s="2">
        <f>HYPERLINK("https://open-school.uspishnemisto.com.ua/school/260738/", 260738)</f>
        <v>260738</v>
      </c>
      <c r="B5803" s="3" t="s">
        <v>30515</v>
      </c>
      <c r="C5803" s="3" t="s">
        <v>31</v>
      </c>
      <c r="D5803" s="3" t="s">
        <v>32</v>
      </c>
      <c r="E5803" s="4" t="s">
        <v>22</v>
      </c>
      <c r="F5803" s="4" t="s">
        <v>30516</v>
      </c>
      <c r="G5803" s="4" t="s">
        <v>30517</v>
      </c>
      <c r="H5803" s="3" t="s">
        <v>26808</v>
      </c>
      <c r="I5803" s="3" t="s">
        <v>30518</v>
      </c>
      <c r="J5803" s="3" t="s">
        <v>785</v>
      </c>
      <c r="K5803" s="3" t="s">
        <v>30519</v>
      </c>
      <c r="L5803" s="3"/>
      <c r="M5803" s="4"/>
      <c r="N5803" s="3" t="s">
        <v>37</v>
      </c>
      <c r="O5803" s="3" t="s">
        <v>46</v>
      </c>
      <c r="P5803" s="5">
        <v>18</v>
      </c>
      <c r="Q5803" s="5">
        <v>355</v>
      </c>
      <c r="R5803" s="5">
        <v>18</v>
      </c>
      <c r="S5803" s="5">
        <v>352</v>
      </c>
    </row>
    <row r="5804" spans="1:19" ht="42" x14ac:dyDescent="0.15">
      <c r="A5804" s="2">
        <f>HYPERLINK("https://open-school.uspishnemisto.com.ua/school/260739/", 260739)</f>
        <v>260739</v>
      </c>
      <c r="B5804" s="3" t="s">
        <v>30520</v>
      </c>
      <c r="C5804" s="3" t="s">
        <v>31</v>
      </c>
      <c r="D5804" s="3" t="s">
        <v>60</v>
      </c>
      <c r="E5804" s="4" t="s">
        <v>22</v>
      </c>
      <c r="F5804" s="4" t="s">
        <v>30521</v>
      </c>
      <c r="G5804" s="4" t="s">
        <v>30522</v>
      </c>
      <c r="H5804" s="3" t="s">
        <v>26808</v>
      </c>
      <c r="I5804" s="3" t="s">
        <v>30523</v>
      </c>
      <c r="J5804" s="3" t="s">
        <v>30524</v>
      </c>
      <c r="K5804" s="3"/>
      <c r="L5804" s="3"/>
      <c r="M5804" s="4"/>
      <c r="N5804" s="3" t="s">
        <v>37</v>
      </c>
      <c r="O5804" s="3" t="s">
        <v>52</v>
      </c>
      <c r="P5804" s="5">
        <v>3</v>
      </c>
      <c r="Q5804" s="5">
        <v>41</v>
      </c>
      <c r="R5804" s="5">
        <v>3</v>
      </c>
      <c r="S5804" s="5">
        <v>43</v>
      </c>
    </row>
    <row r="5805" spans="1:19" ht="56" x14ac:dyDescent="0.15">
      <c r="A5805" s="2">
        <f>HYPERLINK("https://open-school.uspishnemisto.com.ua/school/260740/", 260740)</f>
        <v>260740</v>
      </c>
      <c r="B5805" s="3" t="s">
        <v>30525</v>
      </c>
      <c r="C5805" s="3" t="s">
        <v>54</v>
      </c>
      <c r="D5805" s="3" t="s">
        <v>32</v>
      </c>
      <c r="E5805" s="4" t="s">
        <v>22</v>
      </c>
      <c r="F5805" s="4" t="s">
        <v>30526</v>
      </c>
      <c r="G5805" s="4" t="s">
        <v>30527</v>
      </c>
      <c r="H5805" s="3" t="s">
        <v>26808</v>
      </c>
      <c r="I5805" s="3" t="s">
        <v>30528</v>
      </c>
      <c r="J5805" s="3" t="s">
        <v>30529</v>
      </c>
      <c r="K5805" s="3" t="s">
        <v>30530</v>
      </c>
      <c r="L5805" s="3"/>
      <c r="M5805" s="4"/>
      <c r="N5805" s="3" t="s">
        <v>37</v>
      </c>
      <c r="O5805" s="3" t="s">
        <v>52</v>
      </c>
      <c r="P5805" s="5">
        <v>17</v>
      </c>
      <c r="Q5805" s="5">
        <v>294</v>
      </c>
      <c r="R5805" s="5">
        <v>17</v>
      </c>
      <c r="S5805" s="5">
        <v>281</v>
      </c>
    </row>
    <row r="5806" spans="1:19" ht="28" x14ac:dyDescent="0.15">
      <c r="A5806" s="2">
        <f>HYPERLINK("https://open-school.uspishnemisto.com.ua/school/320001/", 320001)</f>
        <v>320001</v>
      </c>
      <c r="B5806" s="3" t="s">
        <v>30531</v>
      </c>
      <c r="C5806" s="3" t="s">
        <v>20</v>
      </c>
      <c r="D5806" s="3" t="s">
        <v>32</v>
      </c>
      <c r="E5806" s="4" t="s">
        <v>22</v>
      </c>
      <c r="F5806" s="4" t="s">
        <v>30532</v>
      </c>
      <c r="G5806" s="4" t="s">
        <v>30533</v>
      </c>
      <c r="H5806" s="3" t="s">
        <v>30534</v>
      </c>
      <c r="I5806" s="3" t="s">
        <v>22301</v>
      </c>
      <c r="J5806" s="3" t="s">
        <v>30535</v>
      </c>
      <c r="K5806" s="3" t="s">
        <v>30536</v>
      </c>
      <c r="L5806" s="3"/>
      <c r="M5806" s="4"/>
      <c r="N5806" s="3"/>
      <c r="O5806" s="3"/>
      <c r="P5806" s="5">
        <v>0</v>
      </c>
      <c r="Q5806" s="5">
        <v>0</v>
      </c>
      <c r="R5806" s="5"/>
      <c r="S5806" s="5"/>
    </row>
    <row r="5807" spans="1:19" ht="28" x14ac:dyDescent="0.15">
      <c r="A5807" s="2">
        <f>HYPERLINK("https://open-school.uspishnemisto.com.ua/school/320002/", 320002)</f>
        <v>320002</v>
      </c>
      <c r="B5807" s="3" t="s">
        <v>30537</v>
      </c>
      <c r="C5807" s="3" t="s">
        <v>20</v>
      </c>
      <c r="D5807" s="3" t="s">
        <v>21</v>
      </c>
      <c r="E5807" s="4" t="s">
        <v>22</v>
      </c>
      <c r="F5807" s="4" t="s">
        <v>30532</v>
      </c>
      <c r="G5807" s="4" t="s">
        <v>30533</v>
      </c>
      <c r="H5807" s="3" t="s">
        <v>30534</v>
      </c>
      <c r="I5807" s="3" t="s">
        <v>22301</v>
      </c>
      <c r="J5807" s="3" t="s">
        <v>30538</v>
      </c>
      <c r="K5807" s="3" t="s">
        <v>30539</v>
      </c>
      <c r="L5807" s="3" t="s">
        <v>30540</v>
      </c>
      <c r="M5807" s="4"/>
      <c r="N5807" s="3"/>
      <c r="O5807" s="3"/>
      <c r="P5807" s="5">
        <v>0</v>
      </c>
      <c r="Q5807" s="5">
        <v>0</v>
      </c>
      <c r="R5807" s="5"/>
      <c r="S5807" s="5"/>
    </row>
    <row r="5808" spans="1:19" ht="28" x14ac:dyDescent="0.15">
      <c r="A5808" s="2">
        <f>HYPERLINK("https://open-school.uspishnemisto.com.ua/school/320003/", 320003)</f>
        <v>320003</v>
      </c>
      <c r="B5808" s="3" t="s">
        <v>30541</v>
      </c>
      <c r="C5808" s="3" t="s">
        <v>40</v>
      </c>
      <c r="D5808" s="3" t="s">
        <v>32</v>
      </c>
      <c r="E5808" s="4" t="s">
        <v>22</v>
      </c>
      <c r="F5808" s="4" t="s">
        <v>30542</v>
      </c>
      <c r="G5808" s="4" t="s">
        <v>30533</v>
      </c>
      <c r="H5808" s="3" t="s">
        <v>30534</v>
      </c>
      <c r="I5808" s="3" t="s">
        <v>22301</v>
      </c>
      <c r="J5808" s="3" t="s">
        <v>30543</v>
      </c>
      <c r="K5808" s="3" t="s">
        <v>30544</v>
      </c>
      <c r="L5808" s="3" t="s">
        <v>30545</v>
      </c>
      <c r="M5808" s="4" t="s">
        <v>30546</v>
      </c>
      <c r="N5808" s="3" t="s">
        <v>37</v>
      </c>
      <c r="O5808" s="3" t="s">
        <v>70</v>
      </c>
      <c r="P5808" s="5">
        <v>15</v>
      </c>
      <c r="Q5808" s="5">
        <v>426</v>
      </c>
      <c r="R5808" s="5">
        <v>15</v>
      </c>
      <c r="S5808" s="5">
        <v>425</v>
      </c>
    </row>
    <row r="5809" spans="1:19" ht="28" x14ac:dyDescent="0.15">
      <c r="A5809" s="2">
        <f>HYPERLINK("https://open-school.uspishnemisto.com.ua/school/320004/", 320004)</f>
        <v>320004</v>
      </c>
      <c r="B5809" s="3" t="s">
        <v>30547</v>
      </c>
      <c r="C5809" s="3" t="s">
        <v>31</v>
      </c>
      <c r="D5809" s="3" t="s">
        <v>32</v>
      </c>
      <c r="E5809" s="4" t="s">
        <v>22</v>
      </c>
      <c r="F5809" s="4" t="s">
        <v>30548</v>
      </c>
      <c r="G5809" s="4" t="s">
        <v>30533</v>
      </c>
      <c r="H5809" s="3" t="s">
        <v>30534</v>
      </c>
      <c r="I5809" s="3" t="s">
        <v>22301</v>
      </c>
      <c r="J5809" s="3" t="s">
        <v>30549</v>
      </c>
      <c r="K5809" s="3" t="s">
        <v>30550</v>
      </c>
      <c r="L5809" s="3" t="s">
        <v>30551</v>
      </c>
      <c r="M5809" s="4"/>
      <c r="N5809" s="3" t="s">
        <v>37</v>
      </c>
      <c r="O5809" s="3" t="s">
        <v>721</v>
      </c>
      <c r="P5809" s="5">
        <v>33</v>
      </c>
      <c r="Q5809" s="5">
        <v>932</v>
      </c>
      <c r="R5809" s="5">
        <v>31</v>
      </c>
      <c r="S5809" s="5">
        <v>861</v>
      </c>
    </row>
    <row r="5810" spans="1:19" ht="28" x14ac:dyDescent="0.15">
      <c r="A5810" s="2">
        <f>HYPERLINK("https://open-school.uspishnemisto.com.ua/school/320005/", 320005)</f>
        <v>320005</v>
      </c>
      <c r="B5810" s="3" t="s">
        <v>30552</v>
      </c>
      <c r="C5810" s="3" t="s">
        <v>31</v>
      </c>
      <c r="D5810" s="3" t="s">
        <v>60</v>
      </c>
      <c r="E5810" s="4" t="s">
        <v>22</v>
      </c>
      <c r="F5810" s="4" t="s">
        <v>30553</v>
      </c>
      <c r="G5810" s="4" t="s">
        <v>30533</v>
      </c>
      <c r="H5810" s="3" t="s">
        <v>30534</v>
      </c>
      <c r="I5810" s="3" t="s">
        <v>22301</v>
      </c>
      <c r="J5810" s="3" t="s">
        <v>30554</v>
      </c>
      <c r="K5810" s="3" t="s">
        <v>30555</v>
      </c>
      <c r="L5810" s="3" t="s">
        <v>30556</v>
      </c>
      <c r="M5810" s="4"/>
      <c r="N5810" s="3" t="s">
        <v>37</v>
      </c>
      <c r="O5810" s="3" t="s">
        <v>52</v>
      </c>
      <c r="P5810" s="5">
        <v>8</v>
      </c>
      <c r="Q5810" s="5">
        <v>216</v>
      </c>
      <c r="R5810" s="5">
        <v>8</v>
      </c>
      <c r="S5810" s="5">
        <v>220</v>
      </c>
    </row>
    <row r="5811" spans="1:19" ht="28" x14ac:dyDescent="0.15">
      <c r="A5811" s="2">
        <f>HYPERLINK("https://open-school.uspishnemisto.com.ua/school/320006/", 320006)</f>
        <v>320006</v>
      </c>
      <c r="B5811" s="3" t="s">
        <v>30557</v>
      </c>
      <c r="C5811" s="3" t="s">
        <v>31</v>
      </c>
      <c r="D5811" s="3" t="s">
        <v>32</v>
      </c>
      <c r="E5811" s="4" t="s">
        <v>22</v>
      </c>
      <c r="F5811" s="4" t="s">
        <v>30548</v>
      </c>
      <c r="G5811" s="4" t="s">
        <v>30533</v>
      </c>
      <c r="H5811" s="3" t="s">
        <v>30534</v>
      </c>
      <c r="I5811" s="3" t="s">
        <v>22301</v>
      </c>
      <c r="J5811" s="3" t="s">
        <v>18170</v>
      </c>
      <c r="K5811" s="3" t="s">
        <v>30558</v>
      </c>
      <c r="L5811" s="3" t="s">
        <v>30559</v>
      </c>
      <c r="M5811" s="4" t="s">
        <v>30560</v>
      </c>
      <c r="N5811" s="3" t="s">
        <v>37</v>
      </c>
      <c r="O5811" s="3" t="s">
        <v>70</v>
      </c>
      <c r="P5811" s="5">
        <v>34</v>
      </c>
      <c r="Q5811" s="5">
        <v>981</v>
      </c>
      <c r="R5811" s="5">
        <v>34</v>
      </c>
      <c r="S5811" s="5">
        <v>970</v>
      </c>
    </row>
    <row r="5812" spans="1:19" ht="28" x14ac:dyDescent="0.15">
      <c r="A5812" s="2">
        <f>HYPERLINK("https://open-school.uspishnemisto.com.ua/school/320007/", 320007)</f>
        <v>320007</v>
      </c>
      <c r="B5812" s="3" t="s">
        <v>30561</v>
      </c>
      <c r="C5812" s="3" t="s">
        <v>31</v>
      </c>
      <c r="D5812" s="3" t="s">
        <v>32</v>
      </c>
      <c r="E5812" s="4" t="s">
        <v>22</v>
      </c>
      <c r="F5812" s="4" t="s">
        <v>30562</v>
      </c>
      <c r="G5812" s="4" t="s">
        <v>30533</v>
      </c>
      <c r="H5812" s="3" t="s">
        <v>30534</v>
      </c>
      <c r="I5812" s="3" t="s">
        <v>22301</v>
      </c>
      <c r="J5812" s="3" t="s">
        <v>30563</v>
      </c>
      <c r="K5812" s="3"/>
      <c r="L5812" s="3" t="s">
        <v>30564</v>
      </c>
      <c r="M5812" s="4" t="s">
        <v>30565</v>
      </c>
      <c r="N5812" s="3" t="s">
        <v>37</v>
      </c>
      <c r="O5812" s="3" t="s">
        <v>197</v>
      </c>
      <c r="P5812" s="5">
        <v>30</v>
      </c>
      <c r="Q5812" s="5">
        <v>860</v>
      </c>
      <c r="R5812" s="5">
        <v>30</v>
      </c>
      <c r="S5812" s="5">
        <v>873</v>
      </c>
    </row>
    <row r="5813" spans="1:19" ht="28" x14ac:dyDescent="0.15">
      <c r="A5813" s="2">
        <f>HYPERLINK("https://open-school.uspishnemisto.com.ua/school/320008/", 320008)</f>
        <v>320008</v>
      </c>
      <c r="B5813" s="3" t="s">
        <v>30566</v>
      </c>
      <c r="C5813" s="3" t="s">
        <v>31</v>
      </c>
      <c r="D5813" s="3" t="s">
        <v>32</v>
      </c>
      <c r="E5813" s="4" t="s">
        <v>22</v>
      </c>
      <c r="F5813" s="4" t="s">
        <v>30567</v>
      </c>
      <c r="G5813" s="4" t="s">
        <v>30533</v>
      </c>
      <c r="H5813" s="3" t="s">
        <v>30534</v>
      </c>
      <c r="I5813" s="3" t="s">
        <v>22301</v>
      </c>
      <c r="J5813" s="3" t="s">
        <v>30568</v>
      </c>
      <c r="K5813" s="3" t="s">
        <v>30569</v>
      </c>
      <c r="L5813" s="3" t="s">
        <v>30570</v>
      </c>
      <c r="M5813" s="4" t="s">
        <v>30571</v>
      </c>
      <c r="N5813" s="3" t="s">
        <v>37</v>
      </c>
      <c r="O5813" s="3" t="s">
        <v>70</v>
      </c>
      <c r="P5813" s="5">
        <v>30</v>
      </c>
      <c r="Q5813" s="5">
        <v>827</v>
      </c>
      <c r="R5813" s="5">
        <v>28</v>
      </c>
      <c r="S5813" s="5">
        <v>776</v>
      </c>
    </row>
    <row r="5814" spans="1:19" ht="42" x14ac:dyDescent="0.15">
      <c r="A5814" s="2">
        <f>HYPERLINK("https://open-school.uspishnemisto.com.ua/school/320009/", 320009)</f>
        <v>320009</v>
      </c>
      <c r="B5814" s="3" t="s">
        <v>30572</v>
      </c>
      <c r="C5814" s="3" t="s">
        <v>31</v>
      </c>
      <c r="D5814" s="3" t="s">
        <v>32</v>
      </c>
      <c r="E5814" s="4" t="s">
        <v>22</v>
      </c>
      <c r="F5814" s="4" t="s">
        <v>30548</v>
      </c>
      <c r="G5814" s="4" t="s">
        <v>30533</v>
      </c>
      <c r="H5814" s="3" t="s">
        <v>30534</v>
      </c>
      <c r="I5814" s="3" t="s">
        <v>22301</v>
      </c>
      <c r="J5814" s="3" t="s">
        <v>30573</v>
      </c>
      <c r="K5814" s="3" t="s">
        <v>30574</v>
      </c>
      <c r="L5814" s="3" t="s">
        <v>30575</v>
      </c>
      <c r="M5814" s="4" t="s">
        <v>30576</v>
      </c>
      <c r="N5814" s="3" t="s">
        <v>128</v>
      </c>
      <c r="O5814" s="3" t="s">
        <v>38</v>
      </c>
      <c r="P5814" s="5">
        <v>42</v>
      </c>
      <c r="Q5814" s="5">
        <v>1043</v>
      </c>
      <c r="R5814" s="5">
        <v>40</v>
      </c>
      <c r="S5814" s="5">
        <v>1018</v>
      </c>
    </row>
    <row r="5815" spans="1:19" ht="28" x14ac:dyDescent="0.15">
      <c r="A5815" s="2">
        <f>HYPERLINK("https://open-school.uspishnemisto.com.ua/school/320010/", 320010)</f>
        <v>320010</v>
      </c>
      <c r="B5815" s="3" t="s">
        <v>30577</v>
      </c>
      <c r="C5815" s="3" t="s">
        <v>31</v>
      </c>
      <c r="D5815" s="3" t="s">
        <v>32</v>
      </c>
      <c r="E5815" s="4" t="s">
        <v>22</v>
      </c>
      <c r="F5815" s="4" t="s">
        <v>30578</v>
      </c>
      <c r="G5815" s="4" t="s">
        <v>30533</v>
      </c>
      <c r="H5815" s="3" t="s">
        <v>30534</v>
      </c>
      <c r="I5815" s="3" t="s">
        <v>22301</v>
      </c>
      <c r="J5815" s="3" t="s">
        <v>30579</v>
      </c>
      <c r="K5815" s="3" t="s">
        <v>30580</v>
      </c>
      <c r="L5815" s="3" t="s">
        <v>30581</v>
      </c>
      <c r="M5815" s="4"/>
      <c r="N5815" s="3" t="s">
        <v>37</v>
      </c>
      <c r="O5815" s="3" t="s">
        <v>70</v>
      </c>
      <c r="P5815" s="5">
        <v>43</v>
      </c>
      <c r="Q5815" s="5">
        <v>1217</v>
      </c>
      <c r="R5815" s="5">
        <v>42</v>
      </c>
      <c r="S5815" s="5">
        <v>1190</v>
      </c>
    </row>
    <row r="5816" spans="1:19" ht="56" x14ac:dyDescent="0.15">
      <c r="A5816" s="2">
        <f>HYPERLINK("https://open-school.uspishnemisto.com.ua/school/320011/", 320011)</f>
        <v>320011</v>
      </c>
      <c r="B5816" s="3" t="s">
        <v>30582</v>
      </c>
      <c r="C5816" s="3" t="s">
        <v>54</v>
      </c>
      <c r="D5816" s="3" t="s">
        <v>32</v>
      </c>
      <c r="E5816" s="4" t="s">
        <v>22</v>
      </c>
      <c r="F5816" s="4" t="s">
        <v>30532</v>
      </c>
      <c r="G5816" s="4" t="s">
        <v>30533</v>
      </c>
      <c r="H5816" s="3" t="s">
        <v>30534</v>
      </c>
      <c r="I5816" s="3" t="s">
        <v>22301</v>
      </c>
      <c r="J5816" s="3" t="s">
        <v>30583</v>
      </c>
      <c r="K5816" s="3" t="s">
        <v>30584</v>
      </c>
      <c r="L5816" s="3" t="s">
        <v>30585</v>
      </c>
      <c r="M5816" s="4" t="s">
        <v>30586</v>
      </c>
      <c r="N5816" s="3" t="s">
        <v>37</v>
      </c>
      <c r="O5816" s="3" t="s">
        <v>197</v>
      </c>
      <c r="P5816" s="5">
        <v>31</v>
      </c>
      <c r="Q5816" s="5">
        <v>864</v>
      </c>
      <c r="R5816" s="5">
        <v>29</v>
      </c>
      <c r="S5816" s="5">
        <v>843</v>
      </c>
    </row>
    <row r="5817" spans="1:19" ht="28" x14ac:dyDescent="0.15">
      <c r="A5817" s="2">
        <f>HYPERLINK("https://open-school.uspishnemisto.com.ua/school/320012/", 320012)</f>
        <v>320012</v>
      </c>
      <c r="B5817" s="3" t="s">
        <v>30587</v>
      </c>
      <c r="C5817" s="3" t="s">
        <v>31</v>
      </c>
      <c r="D5817" s="3" t="s">
        <v>32</v>
      </c>
      <c r="E5817" s="4" t="s">
        <v>22</v>
      </c>
      <c r="F5817" s="4" t="s">
        <v>30588</v>
      </c>
      <c r="G5817" s="4" t="s">
        <v>30533</v>
      </c>
      <c r="H5817" s="3" t="s">
        <v>30534</v>
      </c>
      <c r="I5817" s="3" t="s">
        <v>22301</v>
      </c>
      <c r="J5817" s="3" t="s">
        <v>30589</v>
      </c>
      <c r="K5817" s="3" t="s">
        <v>30590</v>
      </c>
      <c r="L5817" s="3" t="s">
        <v>30591</v>
      </c>
      <c r="M5817" s="4"/>
      <c r="N5817" s="3" t="s">
        <v>37</v>
      </c>
      <c r="O5817" s="3" t="s">
        <v>721</v>
      </c>
      <c r="P5817" s="5">
        <v>37</v>
      </c>
      <c r="Q5817" s="5">
        <v>1052</v>
      </c>
      <c r="R5817" s="5">
        <v>35</v>
      </c>
      <c r="S5817" s="5">
        <v>1026</v>
      </c>
    </row>
    <row r="5818" spans="1:19" ht="28" x14ac:dyDescent="0.15">
      <c r="A5818" s="2">
        <f>HYPERLINK("https://open-school.uspishnemisto.com.ua/school/320013/", 320013)</f>
        <v>320013</v>
      </c>
      <c r="B5818" s="3" t="s">
        <v>30592</v>
      </c>
      <c r="C5818" s="3" t="s">
        <v>31</v>
      </c>
      <c r="D5818" s="3" t="s">
        <v>32</v>
      </c>
      <c r="E5818" s="4" t="s">
        <v>22</v>
      </c>
      <c r="F5818" s="4" t="s">
        <v>30578</v>
      </c>
      <c r="G5818" s="4" t="s">
        <v>30533</v>
      </c>
      <c r="H5818" s="3" t="s">
        <v>30534</v>
      </c>
      <c r="I5818" s="3" t="s">
        <v>22301</v>
      </c>
      <c r="J5818" s="3" t="s">
        <v>30593</v>
      </c>
      <c r="K5818" s="3" t="s">
        <v>30594</v>
      </c>
      <c r="L5818" s="3" t="s">
        <v>30595</v>
      </c>
      <c r="M5818" s="4"/>
      <c r="N5818" s="3" t="s">
        <v>37</v>
      </c>
      <c r="O5818" s="3" t="s">
        <v>46</v>
      </c>
      <c r="P5818" s="5">
        <v>32</v>
      </c>
      <c r="Q5818" s="5">
        <v>892</v>
      </c>
      <c r="R5818" s="5">
        <v>31</v>
      </c>
      <c r="S5818" s="5">
        <v>870</v>
      </c>
    </row>
    <row r="5819" spans="1:19" ht="42" x14ac:dyDescent="0.15">
      <c r="A5819" s="2">
        <f>HYPERLINK("https://open-school.uspishnemisto.com.ua/school/320014/", 320014)</f>
        <v>320014</v>
      </c>
      <c r="B5819" s="3" t="s">
        <v>30596</v>
      </c>
      <c r="C5819" s="3" t="s">
        <v>31</v>
      </c>
      <c r="D5819" s="3" t="s">
        <v>32</v>
      </c>
      <c r="E5819" s="4" t="s">
        <v>22</v>
      </c>
      <c r="F5819" s="4" t="s">
        <v>30597</v>
      </c>
      <c r="G5819" s="4" t="s">
        <v>30533</v>
      </c>
      <c r="H5819" s="3" t="s">
        <v>30534</v>
      </c>
      <c r="I5819" s="3" t="s">
        <v>22301</v>
      </c>
      <c r="J5819" s="3" t="s">
        <v>30598</v>
      </c>
      <c r="K5819" s="3" t="s">
        <v>30599</v>
      </c>
      <c r="L5819" s="3" t="s">
        <v>30600</v>
      </c>
      <c r="M5819" s="4" t="s">
        <v>30601</v>
      </c>
      <c r="N5819" s="3" t="s">
        <v>37</v>
      </c>
      <c r="O5819" s="3" t="s">
        <v>721</v>
      </c>
      <c r="P5819" s="5">
        <v>34</v>
      </c>
      <c r="Q5819" s="5">
        <v>966</v>
      </c>
      <c r="R5819" s="5">
        <v>33</v>
      </c>
      <c r="S5819" s="5">
        <v>973</v>
      </c>
    </row>
    <row r="5820" spans="1:19" ht="42" x14ac:dyDescent="0.15">
      <c r="A5820" s="2">
        <f>HYPERLINK("https://open-school.uspishnemisto.com.ua/school/320015/", 320015)</f>
        <v>320015</v>
      </c>
      <c r="B5820" s="3" t="s">
        <v>30602</v>
      </c>
      <c r="C5820" s="3" t="s">
        <v>31</v>
      </c>
      <c r="D5820" s="3" t="s">
        <v>32</v>
      </c>
      <c r="E5820" s="4" t="s">
        <v>22</v>
      </c>
      <c r="F5820" s="4" t="s">
        <v>30578</v>
      </c>
      <c r="G5820" s="4" t="s">
        <v>30533</v>
      </c>
      <c r="H5820" s="3" t="s">
        <v>30534</v>
      </c>
      <c r="I5820" s="3" t="s">
        <v>22301</v>
      </c>
      <c r="J5820" s="3" t="s">
        <v>30603</v>
      </c>
      <c r="K5820" s="3" t="s">
        <v>30604</v>
      </c>
      <c r="L5820" s="3" t="s">
        <v>30605</v>
      </c>
      <c r="M5820" s="4" t="s">
        <v>30606</v>
      </c>
      <c r="N5820" s="3" t="s">
        <v>37</v>
      </c>
      <c r="O5820" s="3" t="s">
        <v>721</v>
      </c>
      <c r="P5820" s="5">
        <v>34</v>
      </c>
      <c r="Q5820" s="5">
        <v>952</v>
      </c>
      <c r="R5820" s="5">
        <v>33</v>
      </c>
      <c r="S5820" s="5">
        <v>987</v>
      </c>
    </row>
    <row r="5821" spans="1:19" ht="42" x14ac:dyDescent="0.15">
      <c r="A5821" s="2">
        <f>HYPERLINK("https://open-school.uspishnemisto.com.ua/school/320016/", 320016)</f>
        <v>320016</v>
      </c>
      <c r="B5821" s="3" t="s">
        <v>30607</v>
      </c>
      <c r="C5821" s="3" t="s">
        <v>31</v>
      </c>
      <c r="D5821" s="3" t="s">
        <v>32</v>
      </c>
      <c r="E5821" s="4" t="s">
        <v>22</v>
      </c>
      <c r="F5821" s="4" t="s">
        <v>30567</v>
      </c>
      <c r="G5821" s="4" t="s">
        <v>30533</v>
      </c>
      <c r="H5821" s="3" t="s">
        <v>30534</v>
      </c>
      <c r="I5821" s="3" t="s">
        <v>22301</v>
      </c>
      <c r="J5821" s="3" t="s">
        <v>30608</v>
      </c>
      <c r="K5821" s="3" t="s">
        <v>30609</v>
      </c>
      <c r="L5821" s="3" t="s">
        <v>30610</v>
      </c>
      <c r="M5821" s="4"/>
      <c r="N5821" s="3" t="s">
        <v>37</v>
      </c>
      <c r="O5821" s="3" t="s">
        <v>721</v>
      </c>
      <c r="P5821" s="5">
        <v>37</v>
      </c>
      <c r="Q5821" s="5">
        <v>1097</v>
      </c>
      <c r="R5821" s="5">
        <v>38</v>
      </c>
      <c r="S5821" s="5">
        <v>1121</v>
      </c>
    </row>
    <row r="5822" spans="1:19" ht="42" x14ac:dyDescent="0.15">
      <c r="A5822" s="2">
        <f>HYPERLINK("https://open-school.uspishnemisto.com.ua/school/320017/", 320017)</f>
        <v>320017</v>
      </c>
      <c r="B5822" s="3" t="s">
        <v>30611</v>
      </c>
      <c r="C5822" s="3" t="s">
        <v>244</v>
      </c>
      <c r="D5822" s="3" t="s">
        <v>32</v>
      </c>
      <c r="E5822" s="4" t="s">
        <v>22</v>
      </c>
      <c r="F5822" s="4" t="s">
        <v>30612</v>
      </c>
      <c r="G5822" s="4" t="s">
        <v>30533</v>
      </c>
      <c r="H5822" s="3" t="s">
        <v>30534</v>
      </c>
      <c r="I5822" s="3" t="s">
        <v>22301</v>
      </c>
      <c r="J5822" s="3" t="s">
        <v>30613</v>
      </c>
      <c r="K5822" s="3" t="s">
        <v>30614</v>
      </c>
      <c r="L5822" s="3" t="s">
        <v>30615</v>
      </c>
      <c r="M5822" s="4" t="s">
        <v>30616</v>
      </c>
      <c r="N5822" s="3" t="s">
        <v>37</v>
      </c>
      <c r="O5822" s="3" t="s">
        <v>70</v>
      </c>
      <c r="P5822" s="5">
        <v>50</v>
      </c>
      <c r="Q5822" s="5">
        <v>1507</v>
      </c>
      <c r="R5822" s="5">
        <v>51</v>
      </c>
      <c r="S5822" s="5">
        <v>1491</v>
      </c>
    </row>
    <row r="5823" spans="1:19" ht="42" x14ac:dyDescent="0.15">
      <c r="A5823" s="2">
        <f>HYPERLINK("https://open-school.uspishnemisto.com.ua/school/320018/", 320018)</f>
        <v>320018</v>
      </c>
      <c r="B5823" s="3" t="s">
        <v>30617</v>
      </c>
      <c r="C5823" s="3" t="s">
        <v>244</v>
      </c>
      <c r="D5823" s="3" t="s">
        <v>32</v>
      </c>
      <c r="E5823" s="4" t="s">
        <v>22</v>
      </c>
      <c r="F5823" s="4" t="s">
        <v>30542</v>
      </c>
      <c r="G5823" s="4" t="s">
        <v>30533</v>
      </c>
      <c r="H5823" s="3" t="s">
        <v>30534</v>
      </c>
      <c r="I5823" s="3" t="s">
        <v>22301</v>
      </c>
      <c r="J5823" s="3" t="s">
        <v>30618</v>
      </c>
      <c r="K5823" s="3" t="s">
        <v>30619</v>
      </c>
      <c r="L5823" s="3" t="s">
        <v>30620</v>
      </c>
      <c r="M5823" s="4"/>
      <c r="N5823" s="3" t="s">
        <v>37</v>
      </c>
      <c r="O5823" s="3" t="s">
        <v>30621</v>
      </c>
      <c r="P5823" s="5">
        <v>35</v>
      </c>
      <c r="Q5823" s="5">
        <v>1026</v>
      </c>
      <c r="R5823" s="5">
        <v>35</v>
      </c>
      <c r="S5823" s="5">
        <v>1031</v>
      </c>
    </row>
    <row r="5824" spans="1:19" ht="42" x14ac:dyDescent="0.15">
      <c r="A5824" s="2">
        <f>HYPERLINK("https://open-school.uspishnemisto.com.ua/school/320019/", 320019)</f>
        <v>320019</v>
      </c>
      <c r="B5824" s="3" t="s">
        <v>30622</v>
      </c>
      <c r="C5824" s="3" t="s">
        <v>244</v>
      </c>
      <c r="D5824" s="3" t="s">
        <v>32</v>
      </c>
      <c r="E5824" s="4" t="s">
        <v>22</v>
      </c>
      <c r="F5824" s="4" t="s">
        <v>30578</v>
      </c>
      <c r="G5824" s="4" t="s">
        <v>30533</v>
      </c>
      <c r="H5824" s="3" t="s">
        <v>30534</v>
      </c>
      <c r="I5824" s="3" t="s">
        <v>22301</v>
      </c>
      <c r="J5824" s="3" t="s">
        <v>30623</v>
      </c>
      <c r="K5824" s="3" t="s">
        <v>30624</v>
      </c>
      <c r="L5824" s="3" t="s">
        <v>30625</v>
      </c>
      <c r="M5824" s="4" t="s">
        <v>30626</v>
      </c>
      <c r="N5824" s="3" t="s">
        <v>37</v>
      </c>
      <c r="O5824" s="3" t="s">
        <v>52</v>
      </c>
      <c r="P5824" s="5">
        <v>41</v>
      </c>
      <c r="Q5824" s="5">
        <v>1210</v>
      </c>
      <c r="R5824" s="5">
        <v>41</v>
      </c>
      <c r="S5824" s="5">
        <v>1208</v>
      </c>
    </row>
    <row r="5825" spans="1:19" ht="42" x14ac:dyDescent="0.15">
      <c r="A5825" s="2">
        <f>HYPERLINK("https://open-school.uspishnemisto.com.ua/school/320020/", 320020)</f>
        <v>320020</v>
      </c>
      <c r="B5825" s="3" t="s">
        <v>30627</v>
      </c>
      <c r="C5825" s="3" t="s">
        <v>244</v>
      </c>
      <c r="D5825" s="3" t="s">
        <v>32</v>
      </c>
      <c r="E5825" s="4" t="s">
        <v>22</v>
      </c>
      <c r="F5825" s="4" t="s">
        <v>30612</v>
      </c>
      <c r="G5825" s="4" t="s">
        <v>30533</v>
      </c>
      <c r="H5825" s="3" t="s">
        <v>30534</v>
      </c>
      <c r="I5825" s="3" t="s">
        <v>22301</v>
      </c>
      <c r="J5825" s="3" t="s">
        <v>30628</v>
      </c>
      <c r="K5825" s="3" t="s">
        <v>30629</v>
      </c>
      <c r="L5825" s="3" t="s">
        <v>30630</v>
      </c>
      <c r="M5825" s="4" t="s">
        <v>30631</v>
      </c>
      <c r="N5825" s="3" t="s">
        <v>37</v>
      </c>
      <c r="O5825" s="3" t="s">
        <v>123</v>
      </c>
      <c r="P5825" s="5">
        <v>37</v>
      </c>
      <c r="Q5825" s="5">
        <v>1074</v>
      </c>
      <c r="R5825" s="5">
        <v>37</v>
      </c>
      <c r="S5825" s="5">
        <v>1038</v>
      </c>
    </row>
    <row r="5826" spans="1:19" ht="28" x14ac:dyDescent="0.15">
      <c r="A5826" s="2">
        <f>HYPERLINK("https://open-school.uspishnemisto.com.ua/school/320021/", 320021)</f>
        <v>320021</v>
      </c>
      <c r="B5826" s="3" t="s">
        <v>30632</v>
      </c>
      <c r="C5826" s="3" t="s">
        <v>174</v>
      </c>
      <c r="D5826" s="3" t="s">
        <v>175</v>
      </c>
      <c r="E5826" s="4" t="s">
        <v>22</v>
      </c>
      <c r="F5826" s="4" t="s">
        <v>30542</v>
      </c>
      <c r="G5826" s="4" t="s">
        <v>30533</v>
      </c>
      <c r="H5826" s="3" t="s">
        <v>30534</v>
      </c>
      <c r="I5826" s="3" t="s">
        <v>22301</v>
      </c>
      <c r="J5826" s="3" t="s">
        <v>30633</v>
      </c>
      <c r="K5826" s="3" t="s">
        <v>30634</v>
      </c>
      <c r="L5826" s="3" t="s">
        <v>30635</v>
      </c>
      <c r="M5826" s="4"/>
      <c r="N5826" s="3" t="s">
        <v>37</v>
      </c>
      <c r="O5826" s="3"/>
      <c r="P5826" s="5">
        <v>12</v>
      </c>
      <c r="Q5826" s="5">
        <v>119</v>
      </c>
      <c r="R5826" s="5">
        <v>12</v>
      </c>
      <c r="S5826" s="5">
        <v>107</v>
      </c>
    </row>
    <row r="5827" spans="1:19" ht="28" x14ac:dyDescent="0.15">
      <c r="A5827" s="2">
        <f>HYPERLINK("https://open-school.uspishnemisto.com.ua/school/320022/", 320022)</f>
        <v>320022</v>
      </c>
      <c r="B5827" s="3" t="s">
        <v>30636</v>
      </c>
      <c r="C5827" s="3" t="s">
        <v>54</v>
      </c>
      <c r="D5827" s="3" t="s">
        <v>32</v>
      </c>
      <c r="E5827" s="4" t="s">
        <v>22</v>
      </c>
      <c r="F5827" s="4" t="s">
        <v>30637</v>
      </c>
      <c r="G5827" s="4" t="s">
        <v>30533</v>
      </c>
      <c r="H5827" s="3" t="s">
        <v>30534</v>
      </c>
      <c r="I5827" s="3" t="s">
        <v>22301</v>
      </c>
      <c r="J5827" s="3" t="s">
        <v>30638</v>
      </c>
      <c r="K5827" s="3" t="s">
        <v>30639</v>
      </c>
      <c r="L5827" s="3" t="s">
        <v>30640</v>
      </c>
      <c r="M5827" s="4"/>
      <c r="N5827" s="3" t="s">
        <v>37</v>
      </c>
      <c r="O5827" s="3" t="s">
        <v>52</v>
      </c>
      <c r="P5827" s="5">
        <v>16</v>
      </c>
      <c r="Q5827" s="5">
        <v>404</v>
      </c>
      <c r="R5827" s="5">
        <v>16</v>
      </c>
      <c r="S5827" s="5">
        <v>392</v>
      </c>
    </row>
    <row r="5828" spans="1:19" ht="42" x14ac:dyDescent="0.15">
      <c r="A5828" s="2">
        <f>HYPERLINK("https://open-school.uspishnemisto.com.ua/school/320023/", 320023)</f>
        <v>320023</v>
      </c>
      <c r="B5828" s="3" t="s">
        <v>30641</v>
      </c>
      <c r="C5828" s="3" t="s">
        <v>54</v>
      </c>
      <c r="D5828" s="3" t="s">
        <v>21</v>
      </c>
      <c r="E5828" s="4" t="s">
        <v>22</v>
      </c>
      <c r="F5828" s="4" t="s">
        <v>30562</v>
      </c>
      <c r="G5828" s="4" t="s">
        <v>30533</v>
      </c>
      <c r="H5828" s="3" t="s">
        <v>30534</v>
      </c>
      <c r="I5828" s="3" t="s">
        <v>22301</v>
      </c>
      <c r="J5828" s="3" t="s">
        <v>30642</v>
      </c>
      <c r="K5828" s="3" t="s">
        <v>30643</v>
      </c>
      <c r="L5828" s="3" t="s">
        <v>30644</v>
      </c>
      <c r="M5828" s="4"/>
      <c r="N5828" s="3" t="s">
        <v>37</v>
      </c>
      <c r="O5828" s="3" t="s">
        <v>52</v>
      </c>
      <c r="P5828" s="5">
        <v>6</v>
      </c>
      <c r="Q5828" s="5">
        <v>169</v>
      </c>
      <c r="R5828" s="5">
        <v>6</v>
      </c>
      <c r="S5828" s="5">
        <v>170</v>
      </c>
    </row>
    <row r="5829" spans="1:19" ht="42" x14ac:dyDescent="0.15">
      <c r="A5829" s="2">
        <f>HYPERLINK("https://open-school.uspishnemisto.com.ua/school/320024/", 320024)</f>
        <v>320024</v>
      </c>
      <c r="B5829" s="3" t="s">
        <v>30645</v>
      </c>
      <c r="C5829" s="3" t="s">
        <v>54</v>
      </c>
      <c r="D5829" s="3" t="s">
        <v>32</v>
      </c>
      <c r="E5829" s="4" t="s">
        <v>22</v>
      </c>
      <c r="F5829" s="4" t="s">
        <v>30597</v>
      </c>
      <c r="G5829" s="4" t="s">
        <v>30533</v>
      </c>
      <c r="H5829" s="3" t="s">
        <v>30534</v>
      </c>
      <c r="I5829" s="3" t="s">
        <v>22301</v>
      </c>
      <c r="J5829" s="3" t="s">
        <v>30646</v>
      </c>
      <c r="K5829" s="3" t="s">
        <v>30647</v>
      </c>
      <c r="L5829" s="3" t="s">
        <v>30648</v>
      </c>
      <c r="M5829" s="4" t="s">
        <v>30649</v>
      </c>
      <c r="N5829" s="3" t="s">
        <v>37</v>
      </c>
      <c r="O5829" s="3" t="s">
        <v>123</v>
      </c>
      <c r="P5829" s="5">
        <v>33</v>
      </c>
      <c r="Q5829" s="5">
        <v>984</v>
      </c>
      <c r="R5829" s="5">
        <v>31</v>
      </c>
      <c r="S5829" s="5">
        <v>962</v>
      </c>
    </row>
    <row r="5830" spans="1:19" ht="28" x14ac:dyDescent="0.15">
      <c r="A5830" s="2">
        <f>HYPERLINK("https://open-school.uspishnemisto.com.ua/school/320025/", 320025)</f>
        <v>320025</v>
      </c>
      <c r="B5830" s="3" t="s">
        <v>30650</v>
      </c>
      <c r="C5830" s="3" t="s">
        <v>2128</v>
      </c>
      <c r="D5830" s="3" t="s">
        <v>32</v>
      </c>
      <c r="E5830" s="4" t="s">
        <v>22</v>
      </c>
      <c r="F5830" s="4" t="s">
        <v>30567</v>
      </c>
      <c r="G5830" s="4" t="s">
        <v>30533</v>
      </c>
      <c r="H5830" s="3" t="s">
        <v>30534</v>
      </c>
      <c r="I5830" s="3" t="s">
        <v>22301</v>
      </c>
      <c r="J5830" s="3" t="s">
        <v>30651</v>
      </c>
      <c r="K5830" s="3" t="s">
        <v>30652</v>
      </c>
      <c r="L5830" s="3" t="s">
        <v>30653</v>
      </c>
      <c r="M5830" s="4"/>
      <c r="N5830" s="3" t="s">
        <v>37</v>
      </c>
      <c r="O5830" s="3" t="s">
        <v>4858</v>
      </c>
      <c r="P5830" s="5">
        <v>15</v>
      </c>
      <c r="Q5830" s="5">
        <v>481</v>
      </c>
      <c r="R5830" s="5">
        <v>14</v>
      </c>
      <c r="S5830" s="5">
        <v>423</v>
      </c>
    </row>
    <row r="5831" spans="1:19" ht="56" x14ac:dyDescent="0.15">
      <c r="A5831" s="2">
        <f>HYPERLINK("https://open-school.uspishnemisto.com.ua/school/320026/", 320026)</f>
        <v>320026</v>
      </c>
      <c r="B5831" s="3" t="s">
        <v>30654</v>
      </c>
      <c r="C5831" s="3" t="s">
        <v>54</v>
      </c>
      <c r="D5831" s="3" t="s">
        <v>32</v>
      </c>
      <c r="E5831" s="4" t="s">
        <v>22</v>
      </c>
      <c r="F5831" s="4" t="s">
        <v>30588</v>
      </c>
      <c r="G5831" s="4" t="s">
        <v>30533</v>
      </c>
      <c r="H5831" s="3" t="s">
        <v>30534</v>
      </c>
      <c r="I5831" s="3" t="s">
        <v>22301</v>
      </c>
      <c r="J5831" s="3" t="s">
        <v>30655</v>
      </c>
      <c r="K5831" s="3" t="s">
        <v>30656</v>
      </c>
      <c r="L5831" s="3" t="s">
        <v>30657</v>
      </c>
      <c r="M5831" s="4"/>
      <c r="N5831" s="3" t="s">
        <v>37</v>
      </c>
      <c r="O5831" s="3" t="s">
        <v>2740</v>
      </c>
      <c r="P5831" s="5">
        <v>13</v>
      </c>
      <c r="Q5831" s="5">
        <v>341</v>
      </c>
      <c r="R5831" s="5">
        <v>13</v>
      </c>
      <c r="S5831" s="5">
        <v>337</v>
      </c>
    </row>
    <row r="5832" spans="1:19" ht="42" x14ac:dyDescent="0.15">
      <c r="A5832" s="2">
        <f>HYPERLINK("https://open-school.uspishnemisto.com.ua/school/320027/", 320027)</f>
        <v>320027</v>
      </c>
      <c r="B5832" s="3" t="s">
        <v>30658</v>
      </c>
      <c r="C5832" s="3" t="s">
        <v>181</v>
      </c>
      <c r="D5832" s="3"/>
      <c r="E5832" s="4" t="s">
        <v>22</v>
      </c>
      <c r="F5832" s="4" t="s">
        <v>30567</v>
      </c>
      <c r="G5832" s="4" t="s">
        <v>30533</v>
      </c>
      <c r="H5832" s="3" t="s">
        <v>30534</v>
      </c>
      <c r="I5832" s="3" t="s">
        <v>22301</v>
      </c>
      <c r="J5832" s="3" t="s">
        <v>30659</v>
      </c>
      <c r="K5832" s="3" t="s">
        <v>30660</v>
      </c>
      <c r="L5832" s="3"/>
      <c r="M5832" s="4" t="s">
        <v>30661</v>
      </c>
      <c r="N5832" s="3" t="s">
        <v>37</v>
      </c>
      <c r="O5832" s="3" t="s">
        <v>967</v>
      </c>
      <c r="P5832" s="5">
        <v>12</v>
      </c>
      <c r="Q5832" s="5">
        <v>62</v>
      </c>
      <c r="R5832" s="5">
        <v>12</v>
      </c>
      <c r="S5832" s="5">
        <v>64</v>
      </c>
    </row>
    <row r="5833" spans="1:19" ht="42" x14ac:dyDescent="0.15">
      <c r="A5833" s="2">
        <f>HYPERLINK("https://open-school.uspishnemisto.com.ua/school/320028/", 320028)</f>
        <v>320028</v>
      </c>
      <c r="B5833" s="3" t="s">
        <v>30662</v>
      </c>
      <c r="C5833" s="3" t="s">
        <v>48</v>
      </c>
      <c r="D5833" s="3" t="s">
        <v>32</v>
      </c>
      <c r="E5833" s="4" t="s">
        <v>22</v>
      </c>
      <c r="F5833" s="4" t="s">
        <v>30548</v>
      </c>
      <c r="G5833" s="4" t="s">
        <v>30533</v>
      </c>
      <c r="H5833" s="3" t="s">
        <v>30534</v>
      </c>
      <c r="I5833" s="3" t="s">
        <v>22301</v>
      </c>
      <c r="J5833" s="3" t="s">
        <v>30663</v>
      </c>
      <c r="K5833" s="3" t="s">
        <v>30664</v>
      </c>
      <c r="L5833" s="3" t="s">
        <v>30665</v>
      </c>
      <c r="M5833" s="4" t="s">
        <v>30666</v>
      </c>
      <c r="N5833" s="3" t="s">
        <v>37</v>
      </c>
      <c r="O5833" s="3" t="s">
        <v>52</v>
      </c>
      <c r="P5833" s="5">
        <v>9</v>
      </c>
      <c r="Q5833" s="5">
        <v>207</v>
      </c>
      <c r="R5833" s="5">
        <v>9</v>
      </c>
      <c r="S5833" s="5">
        <v>213</v>
      </c>
    </row>
    <row r="5834" spans="1:19" ht="42" x14ac:dyDescent="0.15">
      <c r="A5834" s="2">
        <f>HYPERLINK("https://open-school.uspishnemisto.com.ua/school/320737/", 320737)</f>
        <v>320737</v>
      </c>
      <c r="B5834" s="3" t="s">
        <v>30667</v>
      </c>
      <c r="C5834" s="3" t="s">
        <v>54</v>
      </c>
      <c r="D5834" s="3" t="s">
        <v>32</v>
      </c>
      <c r="E5834" s="4" t="s">
        <v>41</v>
      </c>
      <c r="F5834" s="4" t="s">
        <v>30597</v>
      </c>
      <c r="G5834" s="4" t="s">
        <v>30533</v>
      </c>
      <c r="H5834" s="3" t="s">
        <v>30534</v>
      </c>
      <c r="I5834" s="3" t="s">
        <v>22301</v>
      </c>
      <c r="J5834" s="3" t="s">
        <v>18291</v>
      </c>
      <c r="K5834" s="3"/>
      <c r="L5834" s="3" t="s">
        <v>30668</v>
      </c>
      <c r="M5834" s="4"/>
      <c r="N5834" s="3" t="s">
        <v>37</v>
      </c>
      <c r="O5834" s="3" t="s">
        <v>30669</v>
      </c>
      <c r="P5834" s="5">
        <v>12</v>
      </c>
      <c r="Q5834" s="5">
        <v>129</v>
      </c>
      <c r="R5834" s="5"/>
      <c r="S5834" s="5"/>
    </row>
    <row r="5835" spans="1:19" ht="42" x14ac:dyDescent="0.15">
      <c r="A5835" s="2">
        <f>HYPERLINK("https://open-school.uspishnemisto.com.ua/school/320738/", 320738)</f>
        <v>320738</v>
      </c>
      <c r="B5835" s="3" t="s">
        <v>30670</v>
      </c>
      <c r="C5835" s="3" t="s">
        <v>7651</v>
      </c>
      <c r="D5835" s="3" t="s">
        <v>32</v>
      </c>
      <c r="E5835" s="4" t="s">
        <v>22</v>
      </c>
      <c r="F5835" s="4" t="s">
        <v>30578</v>
      </c>
      <c r="G5835" s="4" t="s">
        <v>30533</v>
      </c>
      <c r="H5835" s="3" t="s">
        <v>30534</v>
      </c>
      <c r="I5835" s="3" t="s">
        <v>22301</v>
      </c>
      <c r="J5835" s="3" t="s">
        <v>30671</v>
      </c>
      <c r="K5835" s="3" t="s">
        <v>30672</v>
      </c>
      <c r="L5835" s="3" t="s">
        <v>30673</v>
      </c>
      <c r="M5835" s="4" t="s">
        <v>30674</v>
      </c>
      <c r="N5835" s="3"/>
      <c r="O5835" s="3"/>
      <c r="P5835" s="5">
        <v>0</v>
      </c>
      <c r="Q5835" s="5">
        <v>0</v>
      </c>
      <c r="R5835" s="5"/>
      <c r="S5835" s="5"/>
    </row>
    <row r="5836" spans="1:19" ht="28" x14ac:dyDescent="0.15">
      <c r="A5836" s="2">
        <f>HYPERLINK("https://open-school.uspishnemisto.com.ua/school/320739/", 320739)</f>
        <v>320739</v>
      </c>
      <c r="B5836" s="3" t="s">
        <v>30675</v>
      </c>
      <c r="C5836" s="3" t="s">
        <v>54</v>
      </c>
      <c r="D5836" s="3" t="s">
        <v>60</v>
      </c>
      <c r="E5836" s="4" t="s">
        <v>22</v>
      </c>
      <c r="F5836" s="4" t="s">
        <v>30548</v>
      </c>
      <c r="G5836" s="4" t="s">
        <v>30533</v>
      </c>
      <c r="H5836" s="3" t="s">
        <v>30534</v>
      </c>
      <c r="I5836" s="3" t="s">
        <v>22301</v>
      </c>
      <c r="J5836" s="3" t="s">
        <v>30676</v>
      </c>
      <c r="K5836" s="3"/>
      <c r="L5836" s="3"/>
      <c r="M5836" s="4"/>
      <c r="N5836" s="3" t="s">
        <v>37</v>
      </c>
      <c r="O5836" s="3"/>
      <c r="P5836" s="5">
        <v>1</v>
      </c>
      <c r="Q5836" s="5">
        <v>31</v>
      </c>
      <c r="R5836" s="5"/>
      <c r="S5836" s="5"/>
    </row>
    <row r="5837" spans="1:19" ht="28" x14ac:dyDescent="0.15">
      <c r="A5837" s="2">
        <f>HYPERLINK("https://open-school.uspishnemisto.com.ua/school/320029/", 320029)</f>
        <v>320029</v>
      </c>
      <c r="B5837" s="3" t="s">
        <v>30677</v>
      </c>
      <c r="C5837" s="3" t="s">
        <v>31</v>
      </c>
      <c r="D5837" s="3" t="s">
        <v>32</v>
      </c>
      <c r="E5837" s="4" t="s">
        <v>22</v>
      </c>
      <c r="F5837" s="4" t="s">
        <v>30678</v>
      </c>
      <c r="G5837" s="4" t="s">
        <v>30679</v>
      </c>
      <c r="H5837" s="3" t="s">
        <v>30534</v>
      </c>
      <c r="I5837" s="3" t="s">
        <v>30680</v>
      </c>
      <c r="J5837" s="3" t="s">
        <v>30681</v>
      </c>
      <c r="K5837" s="3" t="s">
        <v>30682</v>
      </c>
      <c r="L5837" s="3"/>
      <c r="M5837" s="4"/>
      <c r="N5837" s="3" t="s">
        <v>37</v>
      </c>
      <c r="O5837" s="3" t="s">
        <v>721</v>
      </c>
      <c r="P5837" s="5">
        <v>18</v>
      </c>
      <c r="Q5837" s="5">
        <v>454</v>
      </c>
      <c r="R5837" s="5">
        <v>18</v>
      </c>
      <c r="S5837" s="5">
        <v>433</v>
      </c>
    </row>
    <row r="5838" spans="1:19" ht="28" x14ac:dyDescent="0.15">
      <c r="A5838" s="2">
        <f>HYPERLINK("https://open-school.uspishnemisto.com.ua/school/320030/", 320030)</f>
        <v>320030</v>
      </c>
      <c r="B5838" s="3" t="s">
        <v>30683</v>
      </c>
      <c r="C5838" s="3" t="s">
        <v>31</v>
      </c>
      <c r="D5838" s="3" t="s">
        <v>32</v>
      </c>
      <c r="E5838" s="4" t="s">
        <v>22</v>
      </c>
      <c r="F5838" s="4" t="s">
        <v>30678</v>
      </c>
      <c r="G5838" s="4" t="s">
        <v>30679</v>
      </c>
      <c r="H5838" s="3" t="s">
        <v>30534</v>
      </c>
      <c r="I5838" s="3" t="s">
        <v>30680</v>
      </c>
      <c r="J5838" s="3" t="s">
        <v>30684</v>
      </c>
      <c r="K5838" s="3" t="s">
        <v>30685</v>
      </c>
      <c r="L5838" s="3"/>
      <c r="M5838" s="4"/>
      <c r="N5838" s="3" t="s">
        <v>37</v>
      </c>
      <c r="O5838" s="3" t="s">
        <v>38</v>
      </c>
      <c r="P5838" s="5">
        <v>15</v>
      </c>
      <c r="Q5838" s="5">
        <v>336</v>
      </c>
      <c r="R5838" s="5">
        <v>15</v>
      </c>
      <c r="S5838" s="5">
        <v>332</v>
      </c>
    </row>
    <row r="5839" spans="1:19" ht="28" x14ac:dyDescent="0.15">
      <c r="A5839" s="2">
        <f>HYPERLINK("https://open-school.uspishnemisto.com.ua/school/320031/", 320031)</f>
        <v>320031</v>
      </c>
      <c r="B5839" s="3" t="s">
        <v>30686</v>
      </c>
      <c r="C5839" s="3" t="s">
        <v>31</v>
      </c>
      <c r="D5839" s="3" t="s">
        <v>32</v>
      </c>
      <c r="E5839" s="4" t="s">
        <v>22</v>
      </c>
      <c r="F5839" s="4" t="s">
        <v>30678</v>
      </c>
      <c r="G5839" s="4" t="s">
        <v>30679</v>
      </c>
      <c r="H5839" s="3" t="s">
        <v>30534</v>
      </c>
      <c r="I5839" s="3" t="s">
        <v>30680</v>
      </c>
      <c r="J5839" s="3" t="s">
        <v>30687</v>
      </c>
      <c r="K5839" s="3"/>
      <c r="L5839" s="3" t="s">
        <v>30688</v>
      </c>
      <c r="M5839" s="4"/>
      <c r="N5839" s="3" t="s">
        <v>37</v>
      </c>
      <c r="O5839" s="3" t="s">
        <v>38</v>
      </c>
      <c r="P5839" s="5">
        <v>20</v>
      </c>
      <c r="Q5839" s="5">
        <v>479</v>
      </c>
      <c r="R5839" s="5">
        <v>20</v>
      </c>
      <c r="S5839" s="5">
        <v>460</v>
      </c>
    </row>
    <row r="5840" spans="1:19" ht="28" x14ac:dyDescent="0.15">
      <c r="A5840" s="2">
        <f>HYPERLINK("https://open-school.uspishnemisto.com.ua/school/320032/", 320032)</f>
        <v>320032</v>
      </c>
      <c r="B5840" s="3" t="s">
        <v>30689</v>
      </c>
      <c r="C5840" s="3" t="s">
        <v>54</v>
      </c>
      <c r="D5840" s="3" t="s">
        <v>32</v>
      </c>
      <c r="E5840" s="4" t="s">
        <v>22</v>
      </c>
      <c r="F5840" s="4" t="s">
        <v>30690</v>
      </c>
      <c r="G5840" s="4" t="s">
        <v>30679</v>
      </c>
      <c r="H5840" s="3" t="s">
        <v>30534</v>
      </c>
      <c r="I5840" s="3" t="s">
        <v>30680</v>
      </c>
      <c r="J5840" s="3" t="s">
        <v>30691</v>
      </c>
      <c r="K5840" s="3" t="s">
        <v>30692</v>
      </c>
      <c r="L5840" s="3"/>
      <c r="M5840" s="4"/>
      <c r="N5840" s="3" t="s">
        <v>37</v>
      </c>
      <c r="O5840" s="3" t="s">
        <v>70</v>
      </c>
      <c r="P5840" s="5">
        <v>21</v>
      </c>
      <c r="Q5840" s="5">
        <v>505</v>
      </c>
      <c r="R5840" s="5">
        <v>20</v>
      </c>
      <c r="S5840" s="5">
        <v>485</v>
      </c>
    </row>
    <row r="5841" spans="1:19" ht="28" x14ac:dyDescent="0.15">
      <c r="A5841" s="2">
        <f>HYPERLINK("https://open-school.uspishnemisto.com.ua/school/320033/", 320033)</f>
        <v>320033</v>
      </c>
      <c r="B5841" s="3" t="s">
        <v>30693</v>
      </c>
      <c r="C5841" s="3" t="s">
        <v>31</v>
      </c>
      <c r="D5841" s="3" t="s">
        <v>32</v>
      </c>
      <c r="E5841" s="4" t="s">
        <v>22</v>
      </c>
      <c r="F5841" s="4" t="s">
        <v>30694</v>
      </c>
      <c r="G5841" s="4" t="s">
        <v>30695</v>
      </c>
      <c r="H5841" s="3" t="s">
        <v>30534</v>
      </c>
      <c r="I5841" s="3" t="s">
        <v>30696</v>
      </c>
      <c r="J5841" s="3" t="s">
        <v>30697</v>
      </c>
      <c r="K5841" s="3" t="s">
        <v>30698</v>
      </c>
      <c r="L5841" s="3"/>
      <c r="M5841" s="4"/>
      <c r="N5841" s="3" t="s">
        <v>37</v>
      </c>
      <c r="O5841" s="3" t="s">
        <v>52</v>
      </c>
      <c r="P5841" s="5">
        <v>25</v>
      </c>
      <c r="Q5841" s="5">
        <v>735</v>
      </c>
      <c r="R5841" s="5">
        <v>24</v>
      </c>
      <c r="S5841" s="5">
        <v>680</v>
      </c>
    </row>
    <row r="5842" spans="1:19" ht="28" x14ac:dyDescent="0.15">
      <c r="A5842" s="2">
        <f>HYPERLINK("https://open-school.uspishnemisto.com.ua/school/320035/", 320035)</f>
        <v>320035</v>
      </c>
      <c r="B5842" s="3" t="s">
        <v>30699</v>
      </c>
      <c r="C5842" s="3" t="s">
        <v>31</v>
      </c>
      <c r="D5842" s="3" t="s">
        <v>32</v>
      </c>
      <c r="E5842" s="4" t="s">
        <v>22</v>
      </c>
      <c r="F5842" s="4" t="s">
        <v>30700</v>
      </c>
      <c r="G5842" s="4" t="s">
        <v>30695</v>
      </c>
      <c r="H5842" s="3" t="s">
        <v>30534</v>
      </c>
      <c r="I5842" s="3" t="s">
        <v>30696</v>
      </c>
      <c r="J5842" s="3" t="s">
        <v>2858</v>
      </c>
      <c r="K5842" s="3" t="s">
        <v>30701</v>
      </c>
      <c r="L5842" s="3" t="s">
        <v>30702</v>
      </c>
      <c r="M5842" s="4"/>
      <c r="N5842" s="3" t="s">
        <v>128</v>
      </c>
      <c r="O5842" s="3" t="s">
        <v>46</v>
      </c>
      <c r="P5842" s="5">
        <v>39</v>
      </c>
      <c r="Q5842" s="5">
        <v>971</v>
      </c>
      <c r="R5842" s="5">
        <v>38</v>
      </c>
      <c r="S5842" s="5">
        <v>907</v>
      </c>
    </row>
    <row r="5843" spans="1:19" ht="42" x14ac:dyDescent="0.15">
      <c r="A5843" s="2">
        <f>HYPERLINK("https://open-school.uspishnemisto.com.ua/school/320036/", 320036)</f>
        <v>320036</v>
      </c>
      <c r="B5843" s="3" t="s">
        <v>30703</v>
      </c>
      <c r="C5843" s="3" t="s">
        <v>31</v>
      </c>
      <c r="D5843" s="3" t="s">
        <v>32</v>
      </c>
      <c r="E5843" s="4" t="s">
        <v>22</v>
      </c>
      <c r="F5843" s="4" t="s">
        <v>30694</v>
      </c>
      <c r="G5843" s="4" t="s">
        <v>30695</v>
      </c>
      <c r="H5843" s="3" t="s">
        <v>30534</v>
      </c>
      <c r="I5843" s="3" t="s">
        <v>30696</v>
      </c>
      <c r="J5843" s="3" t="s">
        <v>30704</v>
      </c>
      <c r="K5843" s="3" t="s">
        <v>30705</v>
      </c>
      <c r="L5843" s="3" t="s">
        <v>30706</v>
      </c>
      <c r="M5843" s="4"/>
      <c r="N5843" s="3" t="s">
        <v>37</v>
      </c>
      <c r="O5843" s="3" t="s">
        <v>52</v>
      </c>
      <c r="P5843" s="5">
        <v>34</v>
      </c>
      <c r="Q5843" s="5">
        <v>1074</v>
      </c>
      <c r="R5843" s="5">
        <v>33</v>
      </c>
      <c r="S5843" s="5">
        <v>1039</v>
      </c>
    </row>
    <row r="5844" spans="1:19" ht="28" x14ac:dyDescent="0.15">
      <c r="A5844" s="2">
        <f>HYPERLINK("https://open-school.uspishnemisto.com.ua/school/320037/", 320037)</f>
        <v>320037</v>
      </c>
      <c r="B5844" s="3" t="s">
        <v>30707</v>
      </c>
      <c r="C5844" s="3" t="s">
        <v>31</v>
      </c>
      <c r="D5844" s="3" t="s">
        <v>32</v>
      </c>
      <c r="E5844" s="4" t="s">
        <v>22</v>
      </c>
      <c r="F5844" s="4" t="s">
        <v>30694</v>
      </c>
      <c r="G5844" s="4" t="s">
        <v>30695</v>
      </c>
      <c r="H5844" s="3" t="s">
        <v>30534</v>
      </c>
      <c r="I5844" s="3" t="s">
        <v>30696</v>
      </c>
      <c r="J5844" s="3" t="s">
        <v>30708</v>
      </c>
      <c r="K5844" s="3" t="s">
        <v>30709</v>
      </c>
      <c r="L5844" s="3" t="s">
        <v>30710</v>
      </c>
      <c r="M5844" s="4"/>
      <c r="N5844" s="3" t="s">
        <v>37</v>
      </c>
      <c r="O5844" s="3" t="s">
        <v>197</v>
      </c>
      <c r="P5844" s="5">
        <v>54</v>
      </c>
      <c r="Q5844" s="5">
        <v>1697</v>
      </c>
      <c r="R5844" s="5">
        <v>51</v>
      </c>
      <c r="S5844" s="5">
        <v>1577</v>
      </c>
    </row>
    <row r="5845" spans="1:19" ht="42" x14ac:dyDescent="0.15">
      <c r="A5845" s="2">
        <f>HYPERLINK("https://open-school.uspishnemisto.com.ua/school/320038/", 320038)</f>
        <v>320038</v>
      </c>
      <c r="B5845" s="3" t="s">
        <v>30711</v>
      </c>
      <c r="C5845" s="3" t="s">
        <v>31</v>
      </c>
      <c r="D5845" s="3" t="s">
        <v>32</v>
      </c>
      <c r="E5845" s="4" t="s">
        <v>22</v>
      </c>
      <c r="F5845" s="4" t="s">
        <v>30712</v>
      </c>
      <c r="G5845" s="4" t="s">
        <v>30695</v>
      </c>
      <c r="H5845" s="3" t="s">
        <v>30534</v>
      </c>
      <c r="I5845" s="3" t="s">
        <v>30696</v>
      </c>
      <c r="J5845" s="3" t="s">
        <v>30713</v>
      </c>
      <c r="K5845" s="3" t="s">
        <v>30714</v>
      </c>
      <c r="L5845" s="3"/>
      <c r="M5845" s="4"/>
      <c r="N5845" s="3" t="s">
        <v>37</v>
      </c>
      <c r="O5845" s="3" t="s">
        <v>46</v>
      </c>
      <c r="P5845" s="5">
        <v>17</v>
      </c>
      <c r="Q5845" s="5">
        <v>438</v>
      </c>
      <c r="R5845" s="5">
        <v>15</v>
      </c>
      <c r="S5845" s="5">
        <v>407</v>
      </c>
    </row>
    <row r="5846" spans="1:19" ht="56" x14ac:dyDescent="0.15">
      <c r="A5846" s="2">
        <f>HYPERLINK("https://open-school.uspishnemisto.com.ua/school/320039/", 320039)</f>
        <v>320039</v>
      </c>
      <c r="B5846" s="3" t="s">
        <v>30715</v>
      </c>
      <c r="C5846" s="3" t="s">
        <v>54</v>
      </c>
      <c r="D5846" s="3" t="s">
        <v>32</v>
      </c>
      <c r="E5846" s="4" t="s">
        <v>22</v>
      </c>
      <c r="F5846" s="4" t="s">
        <v>30694</v>
      </c>
      <c r="G5846" s="4" t="s">
        <v>30695</v>
      </c>
      <c r="H5846" s="3" t="s">
        <v>30534</v>
      </c>
      <c r="I5846" s="3" t="s">
        <v>30696</v>
      </c>
      <c r="J5846" s="3" t="s">
        <v>30716</v>
      </c>
      <c r="K5846" s="3" t="s">
        <v>30717</v>
      </c>
      <c r="L5846" s="3"/>
      <c r="M5846" s="4"/>
      <c r="N5846" s="3" t="s">
        <v>37</v>
      </c>
      <c r="O5846" s="3" t="s">
        <v>123</v>
      </c>
      <c r="P5846" s="5">
        <v>52</v>
      </c>
      <c r="Q5846" s="5">
        <v>1650</v>
      </c>
      <c r="R5846" s="5">
        <v>50</v>
      </c>
      <c r="S5846" s="5">
        <v>1561</v>
      </c>
    </row>
    <row r="5847" spans="1:19" ht="56" x14ac:dyDescent="0.15">
      <c r="A5847" s="2">
        <f>HYPERLINK("https://open-school.uspishnemisto.com.ua/school/320040/", 320040)</f>
        <v>320040</v>
      </c>
      <c r="B5847" s="3" t="s">
        <v>30718</v>
      </c>
      <c r="C5847" s="3" t="s">
        <v>54</v>
      </c>
      <c r="D5847" s="3" t="s">
        <v>32</v>
      </c>
      <c r="E5847" s="4" t="s">
        <v>22</v>
      </c>
      <c r="F5847" s="4" t="s">
        <v>30719</v>
      </c>
      <c r="G5847" s="4" t="s">
        <v>30695</v>
      </c>
      <c r="H5847" s="3" t="s">
        <v>30534</v>
      </c>
      <c r="I5847" s="3" t="s">
        <v>30696</v>
      </c>
      <c r="J5847" s="3" t="s">
        <v>30720</v>
      </c>
      <c r="K5847" s="3" t="s">
        <v>30721</v>
      </c>
      <c r="L5847" s="3" t="s">
        <v>30722</v>
      </c>
      <c r="M5847" s="4" t="s">
        <v>30723</v>
      </c>
      <c r="N5847" s="3" t="s">
        <v>37</v>
      </c>
      <c r="O5847" s="3" t="s">
        <v>46</v>
      </c>
      <c r="P5847" s="5">
        <v>17</v>
      </c>
      <c r="Q5847" s="5">
        <v>508</v>
      </c>
      <c r="R5847" s="5">
        <v>16</v>
      </c>
      <c r="S5847" s="5">
        <v>473</v>
      </c>
    </row>
    <row r="5848" spans="1:19" ht="56" x14ac:dyDescent="0.15">
      <c r="A5848" s="2">
        <f>HYPERLINK("https://open-school.uspishnemisto.com.ua/school/320041/", 320041)</f>
        <v>320041</v>
      </c>
      <c r="B5848" s="3" t="s">
        <v>30724</v>
      </c>
      <c r="C5848" s="3" t="s">
        <v>54</v>
      </c>
      <c r="D5848" s="3" t="s">
        <v>32</v>
      </c>
      <c r="E5848" s="4" t="s">
        <v>22</v>
      </c>
      <c r="F5848" s="4" t="s">
        <v>30719</v>
      </c>
      <c r="G5848" s="4" t="s">
        <v>30695</v>
      </c>
      <c r="H5848" s="3" t="s">
        <v>30534</v>
      </c>
      <c r="I5848" s="3" t="s">
        <v>30696</v>
      </c>
      <c r="J5848" s="3" t="s">
        <v>30725</v>
      </c>
      <c r="K5848" s="3"/>
      <c r="L5848" s="3" t="s">
        <v>30726</v>
      </c>
      <c r="M5848" s="4" t="s">
        <v>30727</v>
      </c>
      <c r="N5848" s="3" t="s">
        <v>37</v>
      </c>
      <c r="O5848" s="3" t="s">
        <v>123</v>
      </c>
      <c r="P5848" s="5">
        <v>25</v>
      </c>
      <c r="Q5848" s="5">
        <v>724</v>
      </c>
      <c r="R5848" s="5">
        <v>24</v>
      </c>
      <c r="S5848" s="5">
        <v>686</v>
      </c>
    </row>
    <row r="5849" spans="1:19" ht="28" x14ac:dyDescent="0.15">
      <c r="A5849" s="2">
        <f>HYPERLINK("https://open-school.uspishnemisto.com.ua/school/320042/", 320042)</f>
        <v>320042</v>
      </c>
      <c r="B5849" s="3" t="s">
        <v>30728</v>
      </c>
      <c r="C5849" s="3" t="s">
        <v>40</v>
      </c>
      <c r="D5849" s="3" t="s">
        <v>32</v>
      </c>
      <c r="E5849" s="4" t="s">
        <v>22</v>
      </c>
      <c r="F5849" s="4" t="s">
        <v>30729</v>
      </c>
      <c r="G5849" s="4" t="s">
        <v>30730</v>
      </c>
      <c r="H5849" s="3" t="s">
        <v>30534</v>
      </c>
      <c r="I5849" s="3" t="s">
        <v>30731</v>
      </c>
      <c r="J5849" s="3" t="s">
        <v>30732</v>
      </c>
      <c r="K5849" s="3" t="s">
        <v>30733</v>
      </c>
      <c r="L5849" s="3" t="s">
        <v>30734</v>
      </c>
      <c r="M5849" s="4"/>
      <c r="N5849" s="3" t="s">
        <v>37</v>
      </c>
      <c r="O5849" s="3" t="s">
        <v>10493</v>
      </c>
      <c r="P5849" s="5">
        <v>28</v>
      </c>
      <c r="Q5849" s="5">
        <v>899</v>
      </c>
      <c r="R5849" s="5">
        <v>26</v>
      </c>
      <c r="S5849" s="5">
        <v>852</v>
      </c>
    </row>
    <row r="5850" spans="1:19" ht="28" x14ac:dyDescent="0.15">
      <c r="A5850" s="2">
        <f>HYPERLINK("https://open-school.uspishnemisto.com.ua/school/320043/", 320043)</f>
        <v>320043</v>
      </c>
      <c r="B5850" s="3" t="s">
        <v>30735</v>
      </c>
      <c r="C5850" s="3" t="s">
        <v>31</v>
      </c>
      <c r="D5850" s="3" t="s">
        <v>32</v>
      </c>
      <c r="E5850" s="4" t="s">
        <v>22</v>
      </c>
      <c r="F5850" s="4" t="s">
        <v>30736</v>
      </c>
      <c r="G5850" s="4" t="s">
        <v>30730</v>
      </c>
      <c r="H5850" s="3" t="s">
        <v>30534</v>
      </c>
      <c r="I5850" s="3" t="s">
        <v>30731</v>
      </c>
      <c r="J5850" s="3" t="s">
        <v>14408</v>
      </c>
      <c r="K5850" s="3" t="s">
        <v>30737</v>
      </c>
      <c r="L5850" s="3" t="s">
        <v>30738</v>
      </c>
      <c r="M5850" s="4"/>
      <c r="N5850" s="3" t="s">
        <v>37</v>
      </c>
      <c r="O5850" s="3" t="s">
        <v>197</v>
      </c>
      <c r="P5850" s="5">
        <v>26</v>
      </c>
      <c r="Q5850" s="5">
        <v>686</v>
      </c>
      <c r="R5850" s="5">
        <v>25</v>
      </c>
      <c r="S5850" s="5">
        <v>644</v>
      </c>
    </row>
    <row r="5851" spans="1:19" ht="28" x14ac:dyDescent="0.15">
      <c r="A5851" s="2">
        <f>HYPERLINK("https://open-school.uspishnemisto.com.ua/school/320044/", 320044)</f>
        <v>320044</v>
      </c>
      <c r="B5851" s="3" t="s">
        <v>30739</v>
      </c>
      <c r="C5851" s="3" t="s">
        <v>31</v>
      </c>
      <c r="D5851" s="3" t="s">
        <v>32</v>
      </c>
      <c r="E5851" s="4" t="s">
        <v>22</v>
      </c>
      <c r="F5851" s="4" t="s">
        <v>30736</v>
      </c>
      <c r="G5851" s="4" t="s">
        <v>30730</v>
      </c>
      <c r="H5851" s="3" t="s">
        <v>30534</v>
      </c>
      <c r="I5851" s="3" t="s">
        <v>30731</v>
      </c>
      <c r="J5851" s="3" t="s">
        <v>30740</v>
      </c>
      <c r="K5851" s="3" t="s">
        <v>30741</v>
      </c>
      <c r="L5851" s="3" t="s">
        <v>30742</v>
      </c>
      <c r="M5851" s="4"/>
      <c r="N5851" s="3" t="s">
        <v>37</v>
      </c>
      <c r="O5851" s="3" t="s">
        <v>70</v>
      </c>
      <c r="P5851" s="5">
        <v>25</v>
      </c>
      <c r="Q5851" s="5">
        <v>656</v>
      </c>
      <c r="R5851" s="5">
        <v>22</v>
      </c>
      <c r="S5851" s="5">
        <v>568</v>
      </c>
    </row>
    <row r="5852" spans="1:19" ht="28" x14ac:dyDescent="0.15">
      <c r="A5852" s="2">
        <f>HYPERLINK("https://open-school.uspishnemisto.com.ua/school/320045/", 320045)</f>
        <v>320045</v>
      </c>
      <c r="B5852" s="3" t="s">
        <v>30743</v>
      </c>
      <c r="C5852" s="3" t="s">
        <v>31</v>
      </c>
      <c r="D5852" s="3" t="s">
        <v>32</v>
      </c>
      <c r="E5852" s="4" t="s">
        <v>22</v>
      </c>
      <c r="F5852" s="4" t="s">
        <v>30736</v>
      </c>
      <c r="G5852" s="4" t="s">
        <v>30730</v>
      </c>
      <c r="H5852" s="3" t="s">
        <v>30534</v>
      </c>
      <c r="I5852" s="3" t="s">
        <v>30731</v>
      </c>
      <c r="J5852" s="3" t="s">
        <v>30744</v>
      </c>
      <c r="K5852" s="3" t="s">
        <v>30745</v>
      </c>
      <c r="L5852" s="3" t="s">
        <v>30746</v>
      </c>
      <c r="M5852" s="4"/>
      <c r="N5852" s="3" t="s">
        <v>37</v>
      </c>
      <c r="O5852" s="3" t="s">
        <v>197</v>
      </c>
      <c r="P5852" s="5">
        <v>61</v>
      </c>
      <c r="Q5852" s="5">
        <v>1743</v>
      </c>
      <c r="R5852" s="5">
        <v>58</v>
      </c>
      <c r="S5852" s="5">
        <v>1638</v>
      </c>
    </row>
    <row r="5853" spans="1:19" ht="28" x14ac:dyDescent="0.15">
      <c r="A5853" s="2">
        <f>HYPERLINK("https://open-school.uspishnemisto.com.ua/school/320046/", 320046)</f>
        <v>320046</v>
      </c>
      <c r="B5853" s="3" t="s">
        <v>30747</v>
      </c>
      <c r="C5853" s="3" t="s">
        <v>31</v>
      </c>
      <c r="D5853" s="3" t="s">
        <v>32</v>
      </c>
      <c r="E5853" s="4" t="s">
        <v>22</v>
      </c>
      <c r="F5853" s="4" t="s">
        <v>30736</v>
      </c>
      <c r="G5853" s="4" t="s">
        <v>30730</v>
      </c>
      <c r="H5853" s="3" t="s">
        <v>30534</v>
      </c>
      <c r="I5853" s="3" t="s">
        <v>30731</v>
      </c>
      <c r="J5853" s="3" t="s">
        <v>30748</v>
      </c>
      <c r="K5853" s="3" t="s">
        <v>30749</v>
      </c>
      <c r="L5853" s="3" t="s">
        <v>30750</v>
      </c>
      <c r="M5853" s="4"/>
      <c r="N5853" s="3" t="s">
        <v>37</v>
      </c>
      <c r="O5853" s="3" t="s">
        <v>2740</v>
      </c>
      <c r="P5853" s="5">
        <v>29</v>
      </c>
      <c r="Q5853" s="5">
        <v>828</v>
      </c>
      <c r="R5853" s="5">
        <v>27</v>
      </c>
      <c r="S5853" s="5">
        <v>756</v>
      </c>
    </row>
    <row r="5854" spans="1:19" ht="28" x14ac:dyDescent="0.15">
      <c r="A5854" s="2">
        <f>HYPERLINK("https://open-school.uspishnemisto.com.ua/school/320047/", 320047)</f>
        <v>320047</v>
      </c>
      <c r="B5854" s="3" t="s">
        <v>30751</v>
      </c>
      <c r="C5854" s="3" t="s">
        <v>31</v>
      </c>
      <c r="D5854" s="3" t="s">
        <v>32</v>
      </c>
      <c r="E5854" s="4" t="s">
        <v>22</v>
      </c>
      <c r="F5854" s="4" t="s">
        <v>30729</v>
      </c>
      <c r="G5854" s="4" t="s">
        <v>30730</v>
      </c>
      <c r="H5854" s="3" t="s">
        <v>30534</v>
      </c>
      <c r="I5854" s="3" t="s">
        <v>30731</v>
      </c>
      <c r="J5854" s="3" t="s">
        <v>30752</v>
      </c>
      <c r="K5854" s="3" t="s">
        <v>30753</v>
      </c>
      <c r="L5854" s="3" t="s">
        <v>30754</v>
      </c>
      <c r="M5854" s="4" t="s">
        <v>30755</v>
      </c>
      <c r="N5854" s="3" t="s">
        <v>37</v>
      </c>
      <c r="O5854" s="3" t="s">
        <v>70</v>
      </c>
      <c r="P5854" s="5">
        <v>50</v>
      </c>
      <c r="Q5854" s="5">
        <v>1517</v>
      </c>
      <c r="R5854" s="5">
        <v>47</v>
      </c>
      <c r="S5854" s="5">
        <v>1394</v>
      </c>
    </row>
    <row r="5855" spans="1:19" ht="28" x14ac:dyDescent="0.15">
      <c r="A5855" s="2">
        <f>HYPERLINK("https://open-school.uspishnemisto.com.ua/school/320048/", 320048)</f>
        <v>320048</v>
      </c>
      <c r="B5855" s="3" t="s">
        <v>30756</v>
      </c>
      <c r="C5855" s="3" t="s">
        <v>31</v>
      </c>
      <c r="D5855" s="3" t="s">
        <v>32</v>
      </c>
      <c r="E5855" s="4" t="s">
        <v>22</v>
      </c>
      <c r="F5855" s="4" t="s">
        <v>30736</v>
      </c>
      <c r="G5855" s="4" t="s">
        <v>30730</v>
      </c>
      <c r="H5855" s="3" t="s">
        <v>30534</v>
      </c>
      <c r="I5855" s="3" t="s">
        <v>30731</v>
      </c>
      <c r="J5855" s="3" t="s">
        <v>30757</v>
      </c>
      <c r="K5855" s="3" t="s">
        <v>30758</v>
      </c>
      <c r="L5855" s="3" t="s">
        <v>30759</v>
      </c>
      <c r="M5855" s="4"/>
      <c r="N5855" s="3" t="s">
        <v>128</v>
      </c>
      <c r="O5855" s="3" t="s">
        <v>70</v>
      </c>
      <c r="P5855" s="5">
        <v>68</v>
      </c>
      <c r="Q5855" s="5">
        <v>1774</v>
      </c>
      <c r="R5855" s="5">
        <v>64</v>
      </c>
      <c r="S5855" s="5">
        <v>1700</v>
      </c>
    </row>
    <row r="5856" spans="1:19" ht="28" x14ac:dyDescent="0.15">
      <c r="A5856" s="2">
        <f>HYPERLINK("https://open-school.uspishnemisto.com.ua/school/320049/", 320049)</f>
        <v>320049</v>
      </c>
      <c r="B5856" s="3" t="s">
        <v>30760</v>
      </c>
      <c r="C5856" s="3" t="s">
        <v>244</v>
      </c>
      <c r="D5856" s="3" t="s">
        <v>32</v>
      </c>
      <c r="E5856" s="4" t="s">
        <v>22</v>
      </c>
      <c r="F5856" s="4" t="s">
        <v>30736</v>
      </c>
      <c r="G5856" s="4" t="s">
        <v>30730</v>
      </c>
      <c r="H5856" s="3" t="s">
        <v>30534</v>
      </c>
      <c r="I5856" s="3" t="s">
        <v>30731</v>
      </c>
      <c r="J5856" s="3" t="s">
        <v>30761</v>
      </c>
      <c r="K5856" s="3" t="s">
        <v>30762</v>
      </c>
      <c r="L5856" s="3" t="s">
        <v>30763</v>
      </c>
      <c r="M5856" s="4"/>
      <c r="N5856" s="3" t="s">
        <v>37</v>
      </c>
      <c r="O5856" s="3" t="s">
        <v>4858</v>
      </c>
      <c r="P5856" s="5">
        <v>41</v>
      </c>
      <c r="Q5856" s="5">
        <v>1367</v>
      </c>
      <c r="R5856" s="5">
        <v>40</v>
      </c>
      <c r="S5856" s="5">
        <v>1310</v>
      </c>
    </row>
    <row r="5857" spans="1:19" ht="28" x14ac:dyDescent="0.15">
      <c r="A5857" s="2">
        <f>HYPERLINK("https://open-school.uspishnemisto.com.ua/school/320050/", 320050)</f>
        <v>320050</v>
      </c>
      <c r="B5857" s="3" t="s">
        <v>30764</v>
      </c>
      <c r="C5857" s="3" t="s">
        <v>244</v>
      </c>
      <c r="D5857" s="3" t="s">
        <v>32</v>
      </c>
      <c r="E5857" s="4" t="s">
        <v>22</v>
      </c>
      <c r="F5857" s="4" t="s">
        <v>30736</v>
      </c>
      <c r="G5857" s="4" t="s">
        <v>30730</v>
      </c>
      <c r="H5857" s="3" t="s">
        <v>30534</v>
      </c>
      <c r="I5857" s="3" t="s">
        <v>30731</v>
      </c>
      <c r="J5857" s="3" t="s">
        <v>30765</v>
      </c>
      <c r="K5857" s="3" t="s">
        <v>30766</v>
      </c>
      <c r="L5857" s="3" t="s">
        <v>30767</v>
      </c>
      <c r="M5857" s="4" t="s">
        <v>30768</v>
      </c>
      <c r="N5857" s="3" t="s">
        <v>37</v>
      </c>
      <c r="O5857" s="3" t="s">
        <v>70</v>
      </c>
      <c r="P5857" s="5">
        <v>64</v>
      </c>
      <c r="Q5857" s="5">
        <v>1926</v>
      </c>
      <c r="R5857" s="5">
        <v>61</v>
      </c>
      <c r="S5857" s="5">
        <v>1801</v>
      </c>
    </row>
    <row r="5858" spans="1:19" ht="28" x14ac:dyDescent="0.15">
      <c r="A5858" s="2">
        <f>HYPERLINK("https://open-school.uspishnemisto.com.ua/school/320051/", 320051)</f>
        <v>320051</v>
      </c>
      <c r="B5858" s="3" t="s">
        <v>30769</v>
      </c>
      <c r="C5858" s="3" t="s">
        <v>54</v>
      </c>
      <c r="D5858" s="3" t="s">
        <v>32</v>
      </c>
      <c r="E5858" s="4" t="s">
        <v>22</v>
      </c>
      <c r="F5858" s="4" t="s">
        <v>30736</v>
      </c>
      <c r="G5858" s="4" t="s">
        <v>30730</v>
      </c>
      <c r="H5858" s="3" t="s">
        <v>30534</v>
      </c>
      <c r="I5858" s="3" t="s">
        <v>30731</v>
      </c>
      <c r="J5858" s="3" t="s">
        <v>30770</v>
      </c>
      <c r="K5858" s="3" t="s">
        <v>30771</v>
      </c>
      <c r="L5858" s="3" t="s">
        <v>30772</v>
      </c>
      <c r="M5858" s="4" t="s">
        <v>30773</v>
      </c>
      <c r="N5858" s="3" t="s">
        <v>37</v>
      </c>
      <c r="O5858" s="3" t="s">
        <v>52</v>
      </c>
      <c r="P5858" s="5">
        <v>5</v>
      </c>
      <c r="Q5858" s="5">
        <v>107</v>
      </c>
      <c r="R5858" s="5">
        <v>4</v>
      </c>
      <c r="S5858" s="5">
        <v>83</v>
      </c>
    </row>
    <row r="5859" spans="1:19" ht="28" x14ac:dyDescent="0.15">
      <c r="A5859" s="2">
        <f>HYPERLINK("https://open-school.uspishnemisto.com.ua/school/320052/", 320052)</f>
        <v>320052</v>
      </c>
      <c r="B5859" s="3" t="s">
        <v>30774</v>
      </c>
      <c r="C5859" s="3" t="s">
        <v>54</v>
      </c>
      <c r="D5859" s="3" t="s">
        <v>32</v>
      </c>
      <c r="E5859" s="4" t="s">
        <v>22</v>
      </c>
      <c r="F5859" s="4" t="s">
        <v>30736</v>
      </c>
      <c r="G5859" s="4" t="s">
        <v>30730</v>
      </c>
      <c r="H5859" s="3" t="s">
        <v>30534</v>
      </c>
      <c r="I5859" s="3" t="s">
        <v>30731</v>
      </c>
      <c r="J5859" s="3" t="s">
        <v>30775</v>
      </c>
      <c r="K5859" s="3" t="s">
        <v>30776</v>
      </c>
      <c r="L5859" s="3" t="s">
        <v>30777</v>
      </c>
      <c r="M5859" s="4"/>
      <c r="N5859" s="3" t="s">
        <v>37</v>
      </c>
      <c r="O5859" s="3" t="s">
        <v>70</v>
      </c>
      <c r="P5859" s="5">
        <v>51</v>
      </c>
      <c r="Q5859" s="5">
        <v>1475</v>
      </c>
      <c r="R5859" s="5">
        <v>51</v>
      </c>
      <c r="S5859" s="5">
        <v>1411</v>
      </c>
    </row>
    <row r="5860" spans="1:19" ht="42" x14ac:dyDescent="0.15">
      <c r="A5860" s="2">
        <f>HYPERLINK("https://open-school.uspishnemisto.com.ua/school/320054/", 320054)</f>
        <v>320054</v>
      </c>
      <c r="B5860" s="3" t="s">
        <v>30778</v>
      </c>
      <c r="C5860" s="3" t="s">
        <v>31</v>
      </c>
      <c r="D5860" s="3" t="s">
        <v>175</v>
      </c>
      <c r="E5860" s="4" t="s">
        <v>22</v>
      </c>
      <c r="F5860" s="4" t="s">
        <v>30736</v>
      </c>
      <c r="G5860" s="4" t="s">
        <v>30730</v>
      </c>
      <c r="H5860" s="3" t="s">
        <v>30534</v>
      </c>
      <c r="I5860" s="3" t="s">
        <v>30731</v>
      </c>
      <c r="J5860" s="3" t="s">
        <v>30770</v>
      </c>
      <c r="K5860" s="3" t="s">
        <v>30771</v>
      </c>
      <c r="L5860" s="3" t="s">
        <v>30772</v>
      </c>
      <c r="M5860" s="4"/>
      <c r="N5860" s="3"/>
      <c r="O5860" s="3"/>
      <c r="P5860" s="5">
        <v>0</v>
      </c>
      <c r="Q5860" s="5">
        <v>0</v>
      </c>
      <c r="R5860" s="5"/>
      <c r="S5860" s="5"/>
    </row>
    <row r="5861" spans="1:19" ht="28" x14ac:dyDescent="0.15">
      <c r="A5861" s="2">
        <f>HYPERLINK("https://open-school.uspishnemisto.com.ua/school/320055/", 320055)</f>
        <v>320055</v>
      </c>
      <c r="B5861" s="3" t="s">
        <v>30779</v>
      </c>
      <c r="C5861" s="3" t="s">
        <v>31</v>
      </c>
      <c r="D5861" s="3" t="s">
        <v>32</v>
      </c>
      <c r="E5861" s="4" t="s">
        <v>41</v>
      </c>
      <c r="F5861" s="4" t="s">
        <v>30729</v>
      </c>
      <c r="G5861" s="4" t="s">
        <v>30730</v>
      </c>
      <c r="H5861" s="3" t="s">
        <v>30534</v>
      </c>
      <c r="I5861" s="3" t="s">
        <v>30731</v>
      </c>
      <c r="J5861" s="3" t="s">
        <v>30780</v>
      </c>
      <c r="K5861" s="3" t="s">
        <v>30781</v>
      </c>
      <c r="L5861" s="3"/>
      <c r="M5861" s="4"/>
      <c r="N5861" s="3" t="s">
        <v>37</v>
      </c>
      <c r="O5861" s="3" t="s">
        <v>46</v>
      </c>
      <c r="P5861" s="5">
        <v>16</v>
      </c>
      <c r="Q5861" s="5">
        <v>181</v>
      </c>
      <c r="R5861" s="5">
        <v>19</v>
      </c>
      <c r="S5861" s="5">
        <v>242</v>
      </c>
    </row>
    <row r="5862" spans="1:19" ht="42" x14ac:dyDescent="0.15">
      <c r="A5862" s="2">
        <f>HYPERLINK("https://open-school.uspishnemisto.com.ua/school/320056/", 320056)</f>
        <v>320056</v>
      </c>
      <c r="B5862" s="3" t="s">
        <v>30782</v>
      </c>
      <c r="C5862" s="3" t="s">
        <v>54</v>
      </c>
      <c r="D5862" s="3" t="s">
        <v>21</v>
      </c>
      <c r="E5862" s="4" t="s">
        <v>22</v>
      </c>
      <c r="F5862" s="4" t="s">
        <v>30736</v>
      </c>
      <c r="G5862" s="4" t="s">
        <v>30730</v>
      </c>
      <c r="H5862" s="3" t="s">
        <v>30534</v>
      </c>
      <c r="I5862" s="3" t="s">
        <v>30731</v>
      </c>
      <c r="J5862" s="3" t="s">
        <v>1001</v>
      </c>
      <c r="K5862" s="3"/>
      <c r="L5862" s="3" t="s">
        <v>30783</v>
      </c>
      <c r="M5862" s="4" t="s">
        <v>30784</v>
      </c>
      <c r="N5862" s="3" t="s">
        <v>37</v>
      </c>
      <c r="O5862" s="3" t="s">
        <v>52</v>
      </c>
      <c r="P5862" s="5">
        <v>12</v>
      </c>
      <c r="Q5862" s="5">
        <v>304</v>
      </c>
      <c r="R5862" s="5">
        <v>12</v>
      </c>
      <c r="S5862" s="5">
        <v>304</v>
      </c>
    </row>
    <row r="5863" spans="1:19" ht="28" x14ac:dyDescent="0.15">
      <c r="A5863" s="2">
        <f>HYPERLINK("https://open-school.uspishnemisto.com.ua/school/320057/", 320057)</f>
        <v>320057</v>
      </c>
      <c r="B5863" s="3" t="s">
        <v>30785</v>
      </c>
      <c r="C5863" s="3" t="s">
        <v>54</v>
      </c>
      <c r="D5863" s="3" t="s">
        <v>32</v>
      </c>
      <c r="E5863" s="4" t="s">
        <v>22</v>
      </c>
      <c r="F5863" s="4" t="s">
        <v>30736</v>
      </c>
      <c r="G5863" s="4" t="s">
        <v>30730</v>
      </c>
      <c r="H5863" s="3" t="s">
        <v>30534</v>
      </c>
      <c r="I5863" s="3" t="s">
        <v>30731</v>
      </c>
      <c r="J5863" s="3" t="s">
        <v>30775</v>
      </c>
      <c r="K5863" s="3" t="s">
        <v>30776</v>
      </c>
      <c r="L5863" s="3" t="s">
        <v>30777</v>
      </c>
      <c r="M5863" s="4"/>
      <c r="N5863" s="3"/>
      <c r="O5863" s="3"/>
      <c r="P5863" s="5">
        <v>0</v>
      </c>
      <c r="Q5863" s="5">
        <v>0</v>
      </c>
      <c r="R5863" s="5"/>
      <c r="S5863" s="5"/>
    </row>
    <row r="5864" spans="1:19" ht="28" x14ac:dyDescent="0.15">
      <c r="A5864" s="2">
        <f>HYPERLINK("https://open-school.uspishnemisto.com.ua/school/320058/", 320058)</f>
        <v>320058</v>
      </c>
      <c r="B5864" s="3" t="s">
        <v>30785</v>
      </c>
      <c r="C5864" s="3" t="s">
        <v>54</v>
      </c>
      <c r="D5864" s="3" t="s">
        <v>32</v>
      </c>
      <c r="E5864" s="4" t="s">
        <v>22</v>
      </c>
      <c r="F5864" s="4" t="s">
        <v>30736</v>
      </c>
      <c r="G5864" s="4" t="s">
        <v>30730</v>
      </c>
      <c r="H5864" s="3" t="s">
        <v>30534</v>
      </c>
      <c r="I5864" s="3" t="s">
        <v>30731</v>
      </c>
      <c r="J5864" s="3" t="s">
        <v>30775</v>
      </c>
      <c r="K5864" s="3" t="s">
        <v>30776</v>
      </c>
      <c r="L5864" s="3" t="s">
        <v>30777</v>
      </c>
      <c r="M5864" s="4"/>
      <c r="N5864" s="3"/>
      <c r="O5864" s="3"/>
      <c r="P5864" s="5">
        <v>0</v>
      </c>
      <c r="Q5864" s="5">
        <v>0</v>
      </c>
      <c r="R5864" s="5"/>
      <c r="S5864" s="5"/>
    </row>
    <row r="5865" spans="1:19" ht="42" x14ac:dyDescent="0.15">
      <c r="A5865" s="2">
        <f>HYPERLINK("https://open-school.uspishnemisto.com.ua/school/320059/", 320059)</f>
        <v>320059</v>
      </c>
      <c r="B5865" s="3" t="s">
        <v>30786</v>
      </c>
      <c r="C5865" s="3" t="s">
        <v>188</v>
      </c>
      <c r="D5865" s="3" t="s">
        <v>32</v>
      </c>
      <c r="E5865" s="4" t="s">
        <v>22</v>
      </c>
      <c r="F5865" s="4" t="s">
        <v>30736</v>
      </c>
      <c r="G5865" s="4" t="s">
        <v>30730</v>
      </c>
      <c r="H5865" s="3" t="s">
        <v>30534</v>
      </c>
      <c r="I5865" s="3" t="s">
        <v>30731</v>
      </c>
      <c r="J5865" s="3" t="s">
        <v>30770</v>
      </c>
      <c r="K5865" s="3"/>
      <c r="L5865" s="3" t="s">
        <v>30772</v>
      </c>
      <c r="M5865" s="4"/>
      <c r="N5865" s="3"/>
      <c r="O5865" s="3"/>
      <c r="P5865" s="5">
        <v>0</v>
      </c>
      <c r="Q5865" s="5">
        <v>0</v>
      </c>
      <c r="R5865" s="5"/>
      <c r="S5865" s="5"/>
    </row>
    <row r="5866" spans="1:19" ht="42" x14ac:dyDescent="0.15">
      <c r="A5866" s="2">
        <f>HYPERLINK("https://open-school.uspishnemisto.com.ua/school/320060/", 320060)</f>
        <v>320060</v>
      </c>
      <c r="B5866" s="3" t="s">
        <v>30787</v>
      </c>
      <c r="C5866" s="3" t="s">
        <v>54</v>
      </c>
      <c r="D5866" s="3" t="s">
        <v>32</v>
      </c>
      <c r="E5866" s="4" t="s">
        <v>22</v>
      </c>
      <c r="F5866" s="4" t="s">
        <v>30736</v>
      </c>
      <c r="G5866" s="4" t="s">
        <v>30730</v>
      </c>
      <c r="H5866" s="3" t="s">
        <v>30534</v>
      </c>
      <c r="I5866" s="3" t="s">
        <v>30731</v>
      </c>
      <c r="J5866" s="3" t="s">
        <v>30775</v>
      </c>
      <c r="K5866" s="3" t="s">
        <v>30776</v>
      </c>
      <c r="L5866" s="3" t="s">
        <v>30777</v>
      </c>
      <c r="M5866" s="4"/>
      <c r="N5866" s="3"/>
      <c r="O5866" s="3"/>
      <c r="P5866" s="5">
        <v>0</v>
      </c>
      <c r="Q5866" s="5">
        <v>0</v>
      </c>
      <c r="R5866" s="5"/>
      <c r="S5866" s="5"/>
    </row>
    <row r="5867" spans="1:19" ht="28" x14ac:dyDescent="0.15">
      <c r="A5867" s="2">
        <f>HYPERLINK("https://open-school.uspishnemisto.com.ua/school/320061/", 320061)</f>
        <v>320061</v>
      </c>
      <c r="B5867" s="3" t="s">
        <v>30788</v>
      </c>
      <c r="C5867" s="3" t="s">
        <v>174</v>
      </c>
      <c r="D5867" s="3" t="s">
        <v>32</v>
      </c>
      <c r="E5867" s="4" t="s">
        <v>41</v>
      </c>
      <c r="F5867" s="4" t="s">
        <v>30736</v>
      </c>
      <c r="G5867" s="4" t="s">
        <v>30730</v>
      </c>
      <c r="H5867" s="3" t="s">
        <v>30534</v>
      </c>
      <c r="I5867" s="3" t="s">
        <v>30731</v>
      </c>
      <c r="J5867" s="3" t="s">
        <v>14408</v>
      </c>
      <c r="K5867" s="3" t="s">
        <v>30789</v>
      </c>
      <c r="L5867" s="3"/>
      <c r="M5867" s="4"/>
      <c r="N5867" s="3" t="s">
        <v>37</v>
      </c>
      <c r="O5867" s="3" t="s">
        <v>52</v>
      </c>
      <c r="P5867" s="5">
        <v>3</v>
      </c>
      <c r="Q5867" s="5">
        <v>35</v>
      </c>
      <c r="R5867" s="5"/>
      <c r="S5867" s="5"/>
    </row>
    <row r="5868" spans="1:19" ht="28" x14ac:dyDescent="0.15">
      <c r="A5868" s="2">
        <f>HYPERLINK("https://open-school.uspishnemisto.com.ua/school/320062/", 320062)</f>
        <v>320062</v>
      </c>
      <c r="B5868" s="3" t="s">
        <v>30790</v>
      </c>
      <c r="C5868" s="3" t="s">
        <v>31</v>
      </c>
      <c r="D5868" s="3" t="s">
        <v>21</v>
      </c>
      <c r="E5868" s="4" t="s">
        <v>22</v>
      </c>
      <c r="F5868" s="4" t="s">
        <v>30736</v>
      </c>
      <c r="G5868" s="4" t="s">
        <v>30730</v>
      </c>
      <c r="H5868" s="3" t="s">
        <v>30534</v>
      </c>
      <c r="I5868" s="3" t="s">
        <v>30731</v>
      </c>
      <c r="J5868" s="3" t="s">
        <v>30770</v>
      </c>
      <c r="K5868" s="3"/>
      <c r="L5868" s="3"/>
      <c r="M5868" s="4"/>
      <c r="N5868" s="3"/>
      <c r="O5868" s="3"/>
      <c r="P5868" s="5">
        <v>0</v>
      </c>
      <c r="Q5868" s="5">
        <v>0</v>
      </c>
      <c r="R5868" s="5"/>
      <c r="S5868" s="5"/>
    </row>
    <row r="5869" spans="1:19" ht="28" x14ac:dyDescent="0.15">
      <c r="A5869" s="2">
        <f>HYPERLINK("https://open-school.uspishnemisto.com.ua/school/320740/", 320740)</f>
        <v>320740</v>
      </c>
      <c r="B5869" s="3" t="s">
        <v>30791</v>
      </c>
      <c r="C5869" s="3" t="s">
        <v>174</v>
      </c>
      <c r="D5869" s="3" t="s">
        <v>60</v>
      </c>
      <c r="E5869" s="4" t="s">
        <v>41</v>
      </c>
      <c r="F5869" s="4" t="s">
        <v>30736</v>
      </c>
      <c r="G5869" s="4" t="s">
        <v>30730</v>
      </c>
      <c r="H5869" s="3" t="s">
        <v>30534</v>
      </c>
      <c r="I5869" s="3" t="s">
        <v>30731</v>
      </c>
      <c r="J5869" s="3" t="s">
        <v>4792</v>
      </c>
      <c r="K5869" s="3" t="s">
        <v>30792</v>
      </c>
      <c r="L5869" s="3"/>
      <c r="M5869" s="4"/>
      <c r="N5869" s="3" t="s">
        <v>37</v>
      </c>
      <c r="O5869" s="3"/>
      <c r="P5869" s="5">
        <v>3</v>
      </c>
      <c r="Q5869" s="5">
        <v>16</v>
      </c>
      <c r="R5869" s="5"/>
      <c r="S5869" s="5"/>
    </row>
    <row r="5870" spans="1:19" ht="28" x14ac:dyDescent="0.15">
      <c r="A5870" s="2">
        <f>HYPERLINK("https://open-school.uspishnemisto.com.ua/school/320063/", 320063)</f>
        <v>320063</v>
      </c>
      <c r="B5870" s="3" t="s">
        <v>30793</v>
      </c>
      <c r="C5870" s="3" t="s">
        <v>31</v>
      </c>
      <c r="D5870" s="3" t="s">
        <v>32</v>
      </c>
      <c r="E5870" s="4" t="s">
        <v>22</v>
      </c>
      <c r="F5870" s="4" t="s">
        <v>30794</v>
      </c>
      <c r="G5870" s="4" t="s">
        <v>30795</v>
      </c>
      <c r="H5870" s="3" t="s">
        <v>30534</v>
      </c>
      <c r="I5870" s="3" t="s">
        <v>30796</v>
      </c>
      <c r="J5870" s="3" t="s">
        <v>30797</v>
      </c>
      <c r="K5870" s="3" t="s">
        <v>30798</v>
      </c>
      <c r="L5870" s="3"/>
      <c r="M5870" s="4"/>
      <c r="N5870" s="3" t="s">
        <v>37</v>
      </c>
      <c r="O5870" s="3" t="s">
        <v>38</v>
      </c>
      <c r="P5870" s="5">
        <v>26</v>
      </c>
      <c r="Q5870" s="5">
        <v>653</v>
      </c>
      <c r="R5870" s="5">
        <v>25</v>
      </c>
      <c r="S5870" s="5">
        <v>618</v>
      </c>
    </row>
    <row r="5871" spans="1:19" ht="28" x14ac:dyDescent="0.15">
      <c r="A5871" s="2">
        <f>HYPERLINK("https://open-school.uspishnemisto.com.ua/school/320064/", 320064)</f>
        <v>320064</v>
      </c>
      <c r="B5871" s="3" t="s">
        <v>30799</v>
      </c>
      <c r="C5871" s="3" t="s">
        <v>31</v>
      </c>
      <c r="D5871" s="3" t="s">
        <v>32</v>
      </c>
      <c r="E5871" s="4" t="s">
        <v>22</v>
      </c>
      <c r="F5871" s="4" t="s">
        <v>30794</v>
      </c>
      <c r="G5871" s="4" t="s">
        <v>30795</v>
      </c>
      <c r="H5871" s="3" t="s">
        <v>30534</v>
      </c>
      <c r="I5871" s="3" t="s">
        <v>30796</v>
      </c>
      <c r="J5871" s="3" t="s">
        <v>30800</v>
      </c>
      <c r="K5871" s="3" t="s">
        <v>30801</v>
      </c>
      <c r="L5871" s="3" t="s">
        <v>30802</v>
      </c>
      <c r="M5871" s="4"/>
      <c r="N5871" s="3" t="s">
        <v>37</v>
      </c>
      <c r="O5871" s="3" t="s">
        <v>38</v>
      </c>
      <c r="P5871" s="5">
        <v>25</v>
      </c>
      <c r="Q5871" s="5">
        <v>642</v>
      </c>
      <c r="R5871" s="5">
        <v>24</v>
      </c>
      <c r="S5871" s="5">
        <v>603</v>
      </c>
    </row>
    <row r="5872" spans="1:19" ht="28" x14ac:dyDescent="0.15">
      <c r="A5872" s="2">
        <f>HYPERLINK("https://open-school.uspishnemisto.com.ua/school/320065/", 320065)</f>
        <v>320065</v>
      </c>
      <c r="B5872" s="3" t="s">
        <v>30803</v>
      </c>
      <c r="C5872" s="3" t="s">
        <v>54</v>
      </c>
      <c r="D5872" s="3" t="s">
        <v>32</v>
      </c>
      <c r="E5872" s="4" t="s">
        <v>22</v>
      </c>
      <c r="F5872" s="4" t="s">
        <v>30804</v>
      </c>
      <c r="G5872" s="4" t="s">
        <v>30795</v>
      </c>
      <c r="H5872" s="3" t="s">
        <v>30534</v>
      </c>
      <c r="I5872" s="3" t="s">
        <v>30796</v>
      </c>
      <c r="J5872" s="3" t="s">
        <v>30805</v>
      </c>
      <c r="K5872" s="3" t="s">
        <v>30806</v>
      </c>
      <c r="L5872" s="3"/>
      <c r="M5872" s="4"/>
      <c r="N5872" s="3" t="s">
        <v>128</v>
      </c>
      <c r="O5872" s="3" t="s">
        <v>197</v>
      </c>
      <c r="P5872" s="5">
        <v>22</v>
      </c>
      <c r="Q5872" s="5">
        <v>508</v>
      </c>
      <c r="R5872" s="5">
        <v>22</v>
      </c>
      <c r="S5872" s="5">
        <v>487</v>
      </c>
    </row>
    <row r="5873" spans="1:19" ht="28" x14ac:dyDescent="0.15">
      <c r="A5873" s="2">
        <f>HYPERLINK("https://open-school.uspishnemisto.com.ua/school/320066/", 320066)</f>
        <v>320066</v>
      </c>
      <c r="B5873" s="3" t="s">
        <v>30807</v>
      </c>
      <c r="C5873" s="3" t="s">
        <v>31</v>
      </c>
      <c r="D5873" s="3" t="s">
        <v>32</v>
      </c>
      <c r="E5873" s="4" t="s">
        <v>22</v>
      </c>
      <c r="F5873" s="4" t="s">
        <v>30804</v>
      </c>
      <c r="G5873" s="4" t="s">
        <v>30795</v>
      </c>
      <c r="H5873" s="3" t="s">
        <v>30534</v>
      </c>
      <c r="I5873" s="3" t="s">
        <v>30796</v>
      </c>
      <c r="J5873" s="3" t="s">
        <v>30808</v>
      </c>
      <c r="K5873" s="3" t="s">
        <v>30809</v>
      </c>
      <c r="L5873" s="3"/>
      <c r="M5873" s="4"/>
      <c r="N5873" s="3" t="s">
        <v>37</v>
      </c>
      <c r="O5873" s="3" t="s">
        <v>38</v>
      </c>
      <c r="P5873" s="5">
        <v>37</v>
      </c>
      <c r="Q5873" s="5">
        <v>915</v>
      </c>
      <c r="R5873" s="5">
        <v>35</v>
      </c>
      <c r="S5873" s="5">
        <v>883</v>
      </c>
    </row>
    <row r="5874" spans="1:19" ht="28" x14ac:dyDescent="0.15">
      <c r="A5874" s="2">
        <f>HYPERLINK("https://open-school.uspishnemisto.com.ua/school/320067/", 320067)</f>
        <v>320067</v>
      </c>
      <c r="B5874" s="3" t="s">
        <v>30810</v>
      </c>
      <c r="C5874" s="3" t="s">
        <v>31</v>
      </c>
      <c r="D5874" s="3" t="s">
        <v>32</v>
      </c>
      <c r="E5874" s="4" t="s">
        <v>22</v>
      </c>
      <c r="F5874" s="4" t="s">
        <v>30794</v>
      </c>
      <c r="G5874" s="4" t="s">
        <v>30795</v>
      </c>
      <c r="H5874" s="3" t="s">
        <v>30534</v>
      </c>
      <c r="I5874" s="3" t="s">
        <v>30796</v>
      </c>
      <c r="J5874" s="3" t="s">
        <v>30811</v>
      </c>
      <c r="K5874" s="3" t="s">
        <v>30812</v>
      </c>
      <c r="L5874" s="3"/>
      <c r="M5874" s="4"/>
      <c r="N5874" s="3" t="s">
        <v>37</v>
      </c>
      <c r="O5874" s="3" t="s">
        <v>70</v>
      </c>
      <c r="P5874" s="5">
        <v>39</v>
      </c>
      <c r="Q5874" s="5">
        <v>1112</v>
      </c>
      <c r="R5874" s="5">
        <v>39</v>
      </c>
      <c r="S5874" s="5">
        <v>1046</v>
      </c>
    </row>
    <row r="5875" spans="1:19" ht="28" x14ac:dyDescent="0.15">
      <c r="A5875" s="2">
        <f>HYPERLINK("https://open-school.uspishnemisto.com.ua/school/320068/", 320068)</f>
        <v>320068</v>
      </c>
      <c r="B5875" s="3" t="s">
        <v>30813</v>
      </c>
      <c r="C5875" s="3" t="s">
        <v>31</v>
      </c>
      <c r="D5875" s="3" t="s">
        <v>32</v>
      </c>
      <c r="E5875" s="4" t="s">
        <v>22</v>
      </c>
      <c r="F5875" s="4" t="s">
        <v>30814</v>
      </c>
      <c r="G5875" s="4" t="s">
        <v>30795</v>
      </c>
      <c r="H5875" s="3" t="s">
        <v>30534</v>
      </c>
      <c r="I5875" s="3" t="s">
        <v>30796</v>
      </c>
      <c r="J5875" s="3" t="s">
        <v>30815</v>
      </c>
      <c r="K5875" s="3" t="s">
        <v>30816</v>
      </c>
      <c r="L5875" s="3"/>
      <c r="M5875" s="4"/>
      <c r="N5875" s="3" t="s">
        <v>37</v>
      </c>
      <c r="O5875" s="3" t="s">
        <v>38</v>
      </c>
      <c r="P5875" s="5">
        <v>23</v>
      </c>
      <c r="Q5875" s="5">
        <v>506</v>
      </c>
      <c r="R5875" s="5">
        <v>27</v>
      </c>
      <c r="S5875" s="5">
        <v>659</v>
      </c>
    </row>
    <row r="5876" spans="1:19" ht="28" x14ac:dyDescent="0.15">
      <c r="A5876" s="2">
        <f>HYPERLINK("https://open-school.uspishnemisto.com.ua/school/320069/", 320069)</f>
        <v>320069</v>
      </c>
      <c r="B5876" s="3" t="s">
        <v>30817</v>
      </c>
      <c r="C5876" s="3" t="s">
        <v>31</v>
      </c>
      <c r="D5876" s="3" t="s">
        <v>32</v>
      </c>
      <c r="E5876" s="4" t="s">
        <v>22</v>
      </c>
      <c r="F5876" s="4" t="s">
        <v>30794</v>
      </c>
      <c r="G5876" s="4" t="s">
        <v>30795</v>
      </c>
      <c r="H5876" s="3" t="s">
        <v>30534</v>
      </c>
      <c r="I5876" s="3" t="s">
        <v>30796</v>
      </c>
      <c r="J5876" s="3" t="s">
        <v>30818</v>
      </c>
      <c r="K5876" s="3" t="s">
        <v>30819</v>
      </c>
      <c r="L5876" s="3"/>
      <c r="M5876" s="4"/>
      <c r="N5876" s="3" t="s">
        <v>37</v>
      </c>
      <c r="O5876" s="3" t="s">
        <v>38</v>
      </c>
      <c r="P5876" s="5">
        <v>15</v>
      </c>
      <c r="Q5876" s="5">
        <v>366</v>
      </c>
      <c r="R5876" s="5">
        <v>15</v>
      </c>
      <c r="S5876" s="5">
        <v>363</v>
      </c>
    </row>
    <row r="5877" spans="1:19" ht="56" x14ac:dyDescent="0.15">
      <c r="A5877" s="2">
        <f>HYPERLINK("https://open-school.uspishnemisto.com.ua/school/320070/", 320070)</f>
        <v>320070</v>
      </c>
      <c r="B5877" s="3" t="s">
        <v>30820</v>
      </c>
      <c r="C5877" s="3" t="s">
        <v>54</v>
      </c>
      <c r="D5877" s="3" t="s">
        <v>32</v>
      </c>
      <c r="E5877" s="4" t="s">
        <v>22</v>
      </c>
      <c r="F5877" s="4" t="s">
        <v>30794</v>
      </c>
      <c r="G5877" s="4" t="s">
        <v>30795</v>
      </c>
      <c r="H5877" s="3" t="s">
        <v>30534</v>
      </c>
      <c r="I5877" s="3" t="s">
        <v>30796</v>
      </c>
      <c r="J5877" s="3" t="s">
        <v>30821</v>
      </c>
      <c r="K5877" s="3" t="s">
        <v>30822</v>
      </c>
      <c r="L5877" s="3" t="s">
        <v>30823</v>
      </c>
      <c r="M5877" s="4" t="s">
        <v>30824</v>
      </c>
      <c r="N5877" s="3" t="s">
        <v>37</v>
      </c>
      <c r="O5877" s="3" t="s">
        <v>38</v>
      </c>
      <c r="P5877" s="5">
        <v>13</v>
      </c>
      <c r="Q5877" s="5">
        <v>238</v>
      </c>
      <c r="R5877" s="5">
        <v>13</v>
      </c>
      <c r="S5877" s="5">
        <v>231</v>
      </c>
    </row>
    <row r="5878" spans="1:19" ht="28" x14ac:dyDescent="0.15">
      <c r="A5878" s="2">
        <f>HYPERLINK("https://open-school.uspishnemisto.com.ua/school/320071/", 320071)</f>
        <v>320071</v>
      </c>
      <c r="B5878" s="3" t="s">
        <v>30825</v>
      </c>
      <c r="C5878" s="3" t="s">
        <v>181</v>
      </c>
      <c r="D5878" s="3" t="s">
        <v>175</v>
      </c>
      <c r="E5878" s="4" t="s">
        <v>22</v>
      </c>
      <c r="F5878" s="4" t="s">
        <v>30794</v>
      </c>
      <c r="G5878" s="4" t="s">
        <v>30795</v>
      </c>
      <c r="H5878" s="3" t="s">
        <v>30534</v>
      </c>
      <c r="I5878" s="3" t="s">
        <v>30796</v>
      </c>
      <c r="J5878" s="3" t="s">
        <v>30826</v>
      </c>
      <c r="K5878" s="3" t="s">
        <v>30827</v>
      </c>
      <c r="L5878" s="3" t="s">
        <v>30828</v>
      </c>
      <c r="M5878" s="4" t="s">
        <v>30829</v>
      </c>
      <c r="N5878" s="3" t="s">
        <v>37</v>
      </c>
      <c r="O5878" s="3" t="s">
        <v>52</v>
      </c>
      <c r="P5878" s="5">
        <v>14</v>
      </c>
      <c r="Q5878" s="5">
        <v>126</v>
      </c>
      <c r="R5878" s="5">
        <v>14</v>
      </c>
      <c r="S5878" s="5">
        <v>140</v>
      </c>
    </row>
    <row r="5879" spans="1:19" ht="28" x14ac:dyDescent="0.15">
      <c r="A5879" s="2">
        <f>HYPERLINK("https://open-school.uspishnemisto.com.ua/school/320072/", 320072)</f>
        <v>320072</v>
      </c>
      <c r="B5879" s="3" t="s">
        <v>30830</v>
      </c>
      <c r="C5879" s="3" t="s">
        <v>54</v>
      </c>
      <c r="D5879" s="3" t="s">
        <v>32</v>
      </c>
      <c r="E5879" s="4" t="s">
        <v>22</v>
      </c>
      <c r="F5879" s="4" t="s">
        <v>30831</v>
      </c>
      <c r="G5879" s="4" t="s">
        <v>30832</v>
      </c>
      <c r="H5879" s="3" t="s">
        <v>30534</v>
      </c>
      <c r="I5879" s="3" t="s">
        <v>30833</v>
      </c>
      <c r="J5879" s="3" t="s">
        <v>30834</v>
      </c>
      <c r="K5879" s="3" t="s">
        <v>30835</v>
      </c>
      <c r="L5879" s="3" t="s">
        <v>30836</v>
      </c>
      <c r="M5879" s="4"/>
      <c r="N5879" s="3" t="s">
        <v>37</v>
      </c>
      <c r="O5879" s="3" t="s">
        <v>129</v>
      </c>
      <c r="P5879" s="5">
        <v>61</v>
      </c>
      <c r="Q5879" s="5">
        <v>1884</v>
      </c>
      <c r="R5879" s="5">
        <v>56</v>
      </c>
      <c r="S5879" s="5">
        <v>1721</v>
      </c>
    </row>
    <row r="5880" spans="1:19" ht="28" x14ac:dyDescent="0.15">
      <c r="A5880" s="2">
        <f>HYPERLINK("https://open-school.uspishnemisto.com.ua/school/320073/", 320073)</f>
        <v>320073</v>
      </c>
      <c r="B5880" s="3" t="s">
        <v>30837</v>
      </c>
      <c r="C5880" s="3" t="s">
        <v>31</v>
      </c>
      <c r="D5880" s="3" t="s">
        <v>32</v>
      </c>
      <c r="E5880" s="4" t="s">
        <v>22</v>
      </c>
      <c r="F5880" s="4" t="s">
        <v>30831</v>
      </c>
      <c r="G5880" s="4" t="s">
        <v>30832</v>
      </c>
      <c r="H5880" s="3" t="s">
        <v>30534</v>
      </c>
      <c r="I5880" s="3" t="s">
        <v>30833</v>
      </c>
      <c r="J5880" s="3" t="s">
        <v>30838</v>
      </c>
      <c r="K5880" s="3" t="s">
        <v>30839</v>
      </c>
      <c r="L5880" s="3"/>
      <c r="M5880" s="4"/>
      <c r="N5880" s="3" t="s">
        <v>37</v>
      </c>
      <c r="O5880" s="3" t="s">
        <v>10453</v>
      </c>
      <c r="P5880" s="5">
        <v>18</v>
      </c>
      <c r="Q5880" s="5">
        <v>421</v>
      </c>
      <c r="R5880" s="5">
        <v>16</v>
      </c>
      <c r="S5880" s="5">
        <v>383</v>
      </c>
    </row>
    <row r="5881" spans="1:19" ht="56" x14ac:dyDescent="0.15">
      <c r="A5881" s="2">
        <f>HYPERLINK("https://open-school.uspishnemisto.com.ua/school/320074/", 320074)</f>
        <v>320074</v>
      </c>
      <c r="B5881" s="3" t="s">
        <v>30840</v>
      </c>
      <c r="C5881" s="3" t="s">
        <v>54</v>
      </c>
      <c r="D5881" s="3" t="s">
        <v>32</v>
      </c>
      <c r="E5881" s="4" t="s">
        <v>22</v>
      </c>
      <c r="F5881" s="4" t="s">
        <v>30831</v>
      </c>
      <c r="G5881" s="4" t="s">
        <v>30832</v>
      </c>
      <c r="H5881" s="3" t="s">
        <v>30534</v>
      </c>
      <c r="I5881" s="3" t="s">
        <v>30833</v>
      </c>
      <c r="J5881" s="3" t="s">
        <v>25678</v>
      </c>
      <c r="K5881" s="3" t="s">
        <v>30841</v>
      </c>
      <c r="L5881" s="3" t="s">
        <v>30842</v>
      </c>
      <c r="M5881" s="4"/>
      <c r="N5881" s="3" t="s">
        <v>37</v>
      </c>
      <c r="O5881" s="3" t="s">
        <v>721</v>
      </c>
      <c r="P5881" s="5">
        <v>11</v>
      </c>
      <c r="Q5881" s="5">
        <v>288</v>
      </c>
      <c r="R5881" s="5">
        <v>11</v>
      </c>
      <c r="S5881" s="5">
        <v>278</v>
      </c>
    </row>
    <row r="5882" spans="1:19" ht="56" x14ac:dyDescent="0.15">
      <c r="A5882" s="2">
        <f>HYPERLINK("https://open-school.uspishnemisto.com.ua/school/320075/", 320075)</f>
        <v>320075</v>
      </c>
      <c r="B5882" s="3" t="s">
        <v>30843</v>
      </c>
      <c r="C5882" s="3" t="s">
        <v>54</v>
      </c>
      <c r="D5882" s="3" t="s">
        <v>32</v>
      </c>
      <c r="E5882" s="4" t="s">
        <v>22</v>
      </c>
      <c r="F5882" s="4" t="s">
        <v>30831</v>
      </c>
      <c r="G5882" s="4" t="s">
        <v>30832</v>
      </c>
      <c r="H5882" s="3" t="s">
        <v>30534</v>
      </c>
      <c r="I5882" s="3" t="s">
        <v>30833</v>
      </c>
      <c r="J5882" s="3" t="s">
        <v>30844</v>
      </c>
      <c r="K5882" s="3" t="s">
        <v>30845</v>
      </c>
      <c r="L5882" s="3" t="s">
        <v>30846</v>
      </c>
      <c r="M5882" s="4"/>
      <c r="N5882" s="3" t="s">
        <v>37</v>
      </c>
      <c r="O5882" s="3" t="s">
        <v>129</v>
      </c>
      <c r="P5882" s="5">
        <v>48</v>
      </c>
      <c r="Q5882" s="5">
        <v>1177</v>
      </c>
      <c r="R5882" s="5">
        <v>43</v>
      </c>
      <c r="S5882" s="5">
        <v>1118</v>
      </c>
    </row>
    <row r="5883" spans="1:19" ht="28" x14ac:dyDescent="0.15">
      <c r="A5883" s="2">
        <f>HYPERLINK("https://open-school.uspishnemisto.com.ua/school/320076/", 320076)</f>
        <v>320076</v>
      </c>
      <c r="B5883" s="3" t="s">
        <v>30847</v>
      </c>
      <c r="C5883" s="3" t="s">
        <v>244</v>
      </c>
      <c r="D5883" s="3" t="s">
        <v>32</v>
      </c>
      <c r="E5883" s="4" t="s">
        <v>22</v>
      </c>
      <c r="F5883" s="4" t="s">
        <v>30831</v>
      </c>
      <c r="G5883" s="4" t="s">
        <v>30832</v>
      </c>
      <c r="H5883" s="3" t="s">
        <v>30534</v>
      </c>
      <c r="I5883" s="3" t="s">
        <v>30833</v>
      </c>
      <c r="J5883" s="3" t="s">
        <v>30848</v>
      </c>
      <c r="K5883" s="3" t="s">
        <v>30849</v>
      </c>
      <c r="L5883" s="3"/>
      <c r="M5883" s="4" t="s">
        <v>30850</v>
      </c>
      <c r="N5883" s="3" t="s">
        <v>37</v>
      </c>
      <c r="O5883" s="3" t="s">
        <v>2776</v>
      </c>
      <c r="P5883" s="5">
        <v>36</v>
      </c>
      <c r="Q5883" s="5">
        <v>1141</v>
      </c>
      <c r="R5883" s="5">
        <v>33</v>
      </c>
      <c r="S5883" s="5">
        <v>1028</v>
      </c>
    </row>
    <row r="5884" spans="1:19" ht="42" x14ac:dyDescent="0.15">
      <c r="A5884" s="2">
        <f>HYPERLINK("https://open-school.uspishnemisto.com.ua/school/320077/", 320077)</f>
        <v>320077</v>
      </c>
      <c r="B5884" s="3" t="s">
        <v>30851</v>
      </c>
      <c r="C5884" s="3" t="s">
        <v>40</v>
      </c>
      <c r="D5884" s="3" t="s">
        <v>32</v>
      </c>
      <c r="E5884" s="4" t="s">
        <v>22</v>
      </c>
      <c r="F5884" s="4" t="s">
        <v>30852</v>
      </c>
      <c r="G5884" s="4" t="s">
        <v>30832</v>
      </c>
      <c r="H5884" s="3" t="s">
        <v>30534</v>
      </c>
      <c r="I5884" s="3" t="s">
        <v>30833</v>
      </c>
      <c r="J5884" s="3" t="s">
        <v>30834</v>
      </c>
      <c r="K5884" s="3" t="s">
        <v>30853</v>
      </c>
      <c r="L5884" s="3"/>
      <c r="M5884" s="4"/>
      <c r="N5884" s="3" t="s">
        <v>37</v>
      </c>
      <c r="O5884" s="3" t="s">
        <v>30854</v>
      </c>
      <c r="P5884" s="5">
        <v>11</v>
      </c>
      <c r="Q5884" s="5">
        <v>292</v>
      </c>
      <c r="R5884" s="5">
        <v>10</v>
      </c>
      <c r="S5884" s="5">
        <v>271</v>
      </c>
    </row>
    <row r="5885" spans="1:19" ht="42" x14ac:dyDescent="0.15">
      <c r="A5885" s="2">
        <f>HYPERLINK("https://open-school.uspishnemisto.com.ua/school/320078/", 320078)</f>
        <v>320078</v>
      </c>
      <c r="B5885" s="3" t="s">
        <v>30855</v>
      </c>
      <c r="C5885" s="3" t="s">
        <v>54</v>
      </c>
      <c r="D5885" s="3" t="s">
        <v>60</v>
      </c>
      <c r="E5885" s="4" t="s">
        <v>22</v>
      </c>
      <c r="F5885" s="4" t="s">
        <v>30856</v>
      </c>
      <c r="G5885" s="4" t="s">
        <v>30832</v>
      </c>
      <c r="H5885" s="3" t="s">
        <v>30534</v>
      </c>
      <c r="I5885" s="3" t="s">
        <v>30833</v>
      </c>
      <c r="J5885" s="3" t="s">
        <v>30857</v>
      </c>
      <c r="K5885" s="3" t="s">
        <v>30858</v>
      </c>
      <c r="L5885" s="3"/>
      <c r="M5885" s="4"/>
      <c r="N5885" s="3" t="s">
        <v>37</v>
      </c>
      <c r="O5885" s="3" t="s">
        <v>52</v>
      </c>
      <c r="P5885" s="5">
        <v>8</v>
      </c>
      <c r="Q5885" s="5">
        <v>154</v>
      </c>
      <c r="R5885" s="5">
        <v>8</v>
      </c>
      <c r="S5885" s="5">
        <v>169</v>
      </c>
    </row>
    <row r="5886" spans="1:19" ht="42" x14ac:dyDescent="0.15">
      <c r="A5886" s="2">
        <f>HYPERLINK("https://open-school.uspishnemisto.com.ua/school/320741/", 320741)</f>
        <v>320741</v>
      </c>
      <c r="B5886" s="3" t="s">
        <v>30859</v>
      </c>
      <c r="C5886" s="3" t="s">
        <v>7651</v>
      </c>
      <c r="D5886" s="3" t="s">
        <v>32</v>
      </c>
      <c r="E5886" s="4" t="s">
        <v>22</v>
      </c>
      <c r="F5886" s="4" t="s">
        <v>30831</v>
      </c>
      <c r="G5886" s="4" t="s">
        <v>30832</v>
      </c>
      <c r="H5886" s="3" t="s">
        <v>30534</v>
      </c>
      <c r="I5886" s="3" t="s">
        <v>30833</v>
      </c>
      <c r="J5886" s="3" t="s">
        <v>30860</v>
      </c>
      <c r="K5886" s="3" t="s">
        <v>30861</v>
      </c>
      <c r="L5886" s="3"/>
      <c r="M5886" s="4"/>
      <c r="N5886" s="3"/>
      <c r="O5886" s="3"/>
      <c r="P5886" s="5">
        <v>0</v>
      </c>
      <c r="Q5886" s="5">
        <v>0</v>
      </c>
      <c r="R5886" s="5"/>
      <c r="S5886" s="5"/>
    </row>
    <row r="5887" spans="1:19" ht="42" x14ac:dyDescent="0.15">
      <c r="A5887" s="2">
        <f>HYPERLINK("https://open-school.uspishnemisto.com.ua/school/320742/", 320742)</f>
        <v>320742</v>
      </c>
      <c r="B5887" s="3" t="s">
        <v>30862</v>
      </c>
      <c r="C5887" s="3" t="s">
        <v>54</v>
      </c>
      <c r="D5887" s="3" t="s">
        <v>32</v>
      </c>
      <c r="E5887" s="4" t="s">
        <v>41</v>
      </c>
      <c r="F5887" s="4"/>
      <c r="G5887" s="4" t="s">
        <v>30832</v>
      </c>
      <c r="H5887" s="3" t="s">
        <v>30534</v>
      </c>
      <c r="I5887" s="3" t="s">
        <v>30833</v>
      </c>
      <c r="J5887" s="3" t="s">
        <v>30863</v>
      </c>
      <c r="K5887" s="3" t="s">
        <v>30864</v>
      </c>
      <c r="L5887" s="3"/>
      <c r="M5887" s="4"/>
      <c r="N5887" s="3" t="s">
        <v>37</v>
      </c>
      <c r="O5887" s="3" t="s">
        <v>52</v>
      </c>
      <c r="P5887" s="5">
        <v>5</v>
      </c>
      <c r="Q5887" s="5">
        <v>66</v>
      </c>
      <c r="R5887" s="5"/>
      <c r="S5887" s="5"/>
    </row>
    <row r="5888" spans="1:19" ht="42" x14ac:dyDescent="0.15">
      <c r="A5888" s="2">
        <f>HYPERLINK("https://open-school.uspishnemisto.com.ua/school/320079/", 320079)</f>
        <v>320079</v>
      </c>
      <c r="B5888" s="3" t="s">
        <v>30865</v>
      </c>
      <c r="C5888" s="3" t="s">
        <v>20</v>
      </c>
      <c r="D5888" s="3" t="s">
        <v>21</v>
      </c>
      <c r="E5888" s="4" t="s">
        <v>22</v>
      </c>
      <c r="F5888" s="4" t="s">
        <v>30866</v>
      </c>
      <c r="G5888" s="4" t="s">
        <v>30867</v>
      </c>
      <c r="H5888" s="3" t="s">
        <v>30534</v>
      </c>
      <c r="I5888" s="3" t="s">
        <v>30868</v>
      </c>
      <c r="J5888" s="3" t="s">
        <v>30869</v>
      </c>
      <c r="K5888" s="3" t="s">
        <v>30870</v>
      </c>
      <c r="L5888" s="3" t="s">
        <v>30871</v>
      </c>
      <c r="M5888" s="4"/>
      <c r="N5888" s="3"/>
      <c r="O5888" s="3"/>
      <c r="P5888" s="5">
        <v>0</v>
      </c>
      <c r="Q5888" s="5">
        <v>0</v>
      </c>
      <c r="R5888" s="5"/>
      <c r="S5888" s="5"/>
    </row>
    <row r="5889" spans="1:19" ht="28" x14ac:dyDescent="0.15">
      <c r="A5889" s="2">
        <f>HYPERLINK("https://open-school.uspishnemisto.com.ua/school/320080/", 320080)</f>
        <v>320080</v>
      </c>
      <c r="B5889" s="3" t="s">
        <v>30872</v>
      </c>
      <c r="C5889" s="3" t="s">
        <v>31</v>
      </c>
      <c r="D5889" s="3" t="s">
        <v>32</v>
      </c>
      <c r="E5889" s="4" t="s">
        <v>22</v>
      </c>
      <c r="F5889" s="4" t="s">
        <v>30873</v>
      </c>
      <c r="G5889" s="4" t="s">
        <v>30867</v>
      </c>
      <c r="H5889" s="3" t="s">
        <v>30534</v>
      </c>
      <c r="I5889" s="3" t="s">
        <v>30868</v>
      </c>
      <c r="J5889" s="3" t="s">
        <v>30874</v>
      </c>
      <c r="K5889" s="3" t="s">
        <v>30875</v>
      </c>
      <c r="L5889" s="3"/>
      <c r="M5889" s="4"/>
      <c r="N5889" s="3" t="s">
        <v>37</v>
      </c>
      <c r="O5889" s="3" t="s">
        <v>46</v>
      </c>
      <c r="P5889" s="5">
        <v>43</v>
      </c>
      <c r="Q5889" s="5">
        <v>1249</v>
      </c>
      <c r="R5889" s="5">
        <v>38</v>
      </c>
      <c r="S5889" s="5">
        <v>1147</v>
      </c>
    </row>
    <row r="5890" spans="1:19" ht="28" x14ac:dyDescent="0.15">
      <c r="A5890" s="2">
        <f>HYPERLINK("https://open-school.uspishnemisto.com.ua/school/320081/", 320081)</f>
        <v>320081</v>
      </c>
      <c r="B5890" s="3" t="s">
        <v>30876</v>
      </c>
      <c r="C5890" s="3" t="s">
        <v>31</v>
      </c>
      <c r="D5890" s="3" t="s">
        <v>32</v>
      </c>
      <c r="E5890" s="4" t="s">
        <v>22</v>
      </c>
      <c r="F5890" s="4" t="s">
        <v>30866</v>
      </c>
      <c r="G5890" s="4" t="s">
        <v>30867</v>
      </c>
      <c r="H5890" s="3" t="s">
        <v>30534</v>
      </c>
      <c r="I5890" s="3" t="s">
        <v>30868</v>
      </c>
      <c r="J5890" s="3" t="s">
        <v>30877</v>
      </c>
      <c r="K5890" s="3" t="s">
        <v>30878</v>
      </c>
      <c r="L5890" s="3" t="s">
        <v>30879</v>
      </c>
      <c r="M5890" s="4"/>
      <c r="N5890" s="3" t="s">
        <v>37</v>
      </c>
      <c r="O5890" s="3" t="s">
        <v>38</v>
      </c>
      <c r="P5890" s="5">
        <v>42</v>
      </c>
      <c r="Q5890" s="5">
        <v>1232</v>
      </c>
      <c r="R5890" s="5">
        <v>36</v>
      </c>
      <c r="S5890" s="5">
        <v>1106</v>
      </c>
    </row>
    <row r="5891" spans="1:19" ht="42" x14ac:dyDescent="0.15">
      <c r="A5891" s="2">
        <f>HYPERLINK("https://open-school.uspishnemisto.com.ua/school/320082/", 320082)</f>
        <v>320082</v>
      </c>
      <c r="B5891" s="3" t="s">
        <v>30880</v>
      </c>
      <c r="C5891" s="3" t="s">
        <v>244</v>
      </c>
      <c r="D5891" s="3" t="s">
        <v>32</v>
      </c>
      <c r="E5891" s="4" t="s">
        <v>22</v>
      </c>
      <c r="F5891" s="4" t="s">
        <v>30866</v>
      </c>
      <c r="G5891" s="4" t="s">
        <v>30867</v>
      </c>
      <c r="H5891" s="3" t="s">
        <v>30534</v>
      </c>
      <c r="I5891" s="3" t="s">
        <v>30868</v>
      </c>
      <c r="J5891" s="3" t="s">
        <v>30881</v>
      </c>
      <c r="K5891" s="3" t="s">
        <v>30882</v>
      </c>
      <c r="L5891" s="3" t="s">
        <v>30883</v>
      </c>
      <c r="M5891" s="4"/>
      <c r="N5891" s="3" t="s">
        <v>37</v>
      </c>
      <c r="O5891" s="3" t="s">
        <v>52</v>
      </c>
      <c r="P5891" s="5">
        <v>18</v>
      </c>
      <c r="Q5891" s="5">
        <v>442</v>
      </c>
      <c r="R5891" s="5">
        <v>15</v>
      </c>
      <c r="S5891" s="5">
        <v>402</v>
      </c>
    </row>
    <row r="5892" spans="1:19" ht="56" x14ac:dyDescent="0.15">
      <c r="A5892" s="2">
        <f>HYPERLINK("https://open-school.uspishnemisto.com.ua/school/320083/", 320083)</f>
        <v>320083</v>
      </c>
      <c r="B5892" s="3" t="s">
        <v>30884</v>
      </c>
      <c r="C5892" s="3" t="s">
        <v>244</v>
      </c>
      <c r="D5892" s="3" t="s">
        <v>32</v>
      </c>
      <c r="E5892" s="4" t="s">
        <v>22</v>
      </c>
      <c r="F5892" s="4" t="s">
        <v>30866</v>
      </c>
      <c r="G5892" s="4" t="s">
        <v>30867</v>
      </c>
      <c r="H5892" s="3" t="s">
        <v>30534</v>
      </c>
      <c r="I5892" s="3" t="s">
        <v>30868</v>
      </c>
      <c r="J5892" s="3" t="s">
        <v>30885</v>
      </c>
      <c r="K5892" s="3" t="s">
        <v>30886</v>
      </c>
      <c r="L5892" s="3"/>
      <c r="M5892" s="4"/>
      <c r="N5892" s="3" t="s">
        <v>37</v>
      </c>
      <c r="O5892" s="3" t="s">
        <v>30887</v>
      </c>
      <c r="P5892" s="5">
        <v>58</v>
      </c>
      <c r="Q5892" s="5">
        <v>1918</v>
      </c>
      <c r="R5892" s="5">
        <v>53</v>
      </c>
      <c r="S5892" s="5">
        <v>1708</v>
      </c>
    </row>
    <row r="5893" spans="1:19" ht="42" x14ac:dyDescent="0.15">
      <c r="A5893" s="2">
        <f>HYPERLINK("https://open-school.uspishnemisto.com.ua/school/320084/", 320084)</f>
        <v>320084</v>
      </c>
      <c r="B5893" s="3" t="s">
        <v>30888</v>
      </c>
      <c r="C5893" s="3" t="s">
        <v>244</v>
      </c>
      <c r="D5893" s="3" t="s">
        <v>32</v>
      </c>
      <c r="E5893" s="4" t="s">
        <v>22</v>
      </c>
      <c r="F5893" s="4" t="s">
        <v>30866</v>
      </c>
      <c r="G5893" s="4" t="s">
        <v>30867</v>
      </c>
      <c r="H5893" s="3" t="s">
        <v>30534</v>
      </c>
      <c r="I5893" s="3" t="s">
        <v>30868</v>
      </c>
      <c r="J5893" s="3" t="s">
        <v>30889</v>
      </c>
      <c r="K5893" s="3" t="s">
        <v>30890</v>
      </c>
      <c r="L5893" s="3"/>
      <c r="M5893" s="4"/>
      <c r="N5893" s="3" t="s">
        <v>37</v>
      </c>
      <c r="O5893" s="3" t="s">
        <v>721</v>
      </c>
      <c r="P5893" s="5">
        <v>40</v>
      </c>
      <c r="Q5893" s="5">
        <v>1287</v>
      </c>
      <c r="R5893" s="5">
        <v>34</v>
      </c>
      <c r="S5893" s="5">
        <v>1074</v>
      </c>
    </row>
    <row r="5894" spans="1:19" ht="28" x14ac:dyDescent="0.15">
      <c r="A5894" s="2">
        <f>HYPERLINK("https://open-school.uspishnemisto.com.ua/school/320085/", 320085)</f>
        <v>320085</v>
      </c>
      <c r="B5894" s="3" t="s">
        <v>30891</v>
      </c>
      <c r="C5894" s="3" t="s">
        <v>54</v>
      </c>
      <c r="D5894" s="3" t="s">
        <v>32</v>
      </c>
      <c r="E5894" s="4" t="s">
        <v>22</v>
      </c>
      <c r="F5894" s="4" t="s">
        <v>30866</v>
      </c>
      <c r="G5894" s="4" t="s">
        <v>30867</v>
      </c>
      <c r="H5894" s="3" t="s">
        <v>30534</v>
      </c>
      <c r="I5894" s="3" t="s">
        <v>30868</v>
      </c>
      <c r="J5894" s="3" t="s">
        <v>30892</v>
      </c>
      <c r="K5894" s="3" t="s">
        <v>30893</v>
      </c>
      <c r="L5894" s="3" t="s">
        <v>30894</v>
      </c>
      <c r="M5894" s="4"/>
      <c r="N5894" s="3" t="s">
        <v>37</v>
      </c>
      <c r="O5894" s="3" t="s">
        <v>38</v>
      </c>
      <c r="P5894" s="5">
        <v>16</v>
      </c>
      <c r="Q5894" s="5">
        <v>331</v>
      </c>
      <c r="R5894" s="5">
        <v>16</v>
      </c>
      <c r="S5894" s="5">
        <v>341</v>
      </c>
    </row>
    <row r="5895" spans="1:19" ht="42" x14ac:dyDescent="0.15">
      <c r="A5895" s="2">
        <f>HYPERLINK("https://open-school.uspishnemisto.com.ua/school/320743/", 320743)</f>
        <v>320743</v>
      </c>
      <c r="B5895" s="3" t="s">
        <v>30895</v>
      </c>
      <c r="C5895" s="3" t="s">
        <v>54</v>
      </c>
      <c r="D5895" s="3" t="s">
        <v>32</v>
      </c>
      <c r="E5895" s="4" t="s">
        <v>22</v>
      </c>
      <c r="F5895" s="4" t="s">
        <v>30866</v>
      </c>
      <c r="G5895" s="4" t="s">
        <v>30867</v>
      </c>
      <c r="H5895" s="3" t="s">
        <v>30534</v>
      </c>
      <c r="I5895" s="3" t="s">
        <v>30868</v>
      </c>
      <c r="J5895" s="3" t="s">
        <v>30896</v>
      </c>
      <c r="K5895" s="3" t="s">
        <v>30897</v>
      </c>
      <c r="L5895" s="3"/>
      <c r="M5895" s="4"/>
      <c r="N5895" s="3" t="s">
        <v>37</v>
      </c>
      <c r="O5895" s="3" t="s">
        <v>52</v>
      </c>
      <c r="P5895" s="5">
        <v>5</v>
      </c>
      <c r="Q5895" s="5">
        <v>76</v>
      </c>
      <c r="R5895" s="5"/>
      <c r="S5895" s="5"/>
    </row>
    <row r="5896" spans="1:19" ht="28" x14ac:dyDescent="0.15">
      <c r="A5896" s="2">
        <f>HYPERLINK("https://open-school.uspishnemisto.com.ua/school/320744/", 320744)</f>
        <v>320744</v>
      </c>
      <c r="B5896" s="3" t="s">
        <v>30898</v>
      </c>
      <c r="C5896" s="3" t="s">
        <v>54</v>
      </c>
      <c r="D5896" s="3" t="s">
        <v>60</v>
      </c>
      <c r="E5896" s="4" t="s">
        <v>41</v>
      </c>
      <c r="F5896" s="4" t="s">
        <v>30866</v>
      </c>
      <c r="G5896" s="4" t="s">
        <v>30867</v>
      </c>
      <c r="H5896" s="3" t="s">
        <v>30534</v>
      </c>
      <c r="I5896" s="3" t="s">
        <v>30868</v>
      </c>
      <c r="J5896" s="3" t="s">
        <v>30899</v>
      </c>
      <c r="K5896" s="3" t="s">
        <v>30900</v>
      </c>
      <c r="L5896" s="3"/>
      <c r="M5896" s="4"/>
      <c r="N5896" s="3" t="s">
        <v>37</v>
      </c>
      <c r="O5896" s="3" t="s">
        <v>52</v>
      </c>
      <c r="P5896" s="5">
        <v>3</v>
      </c>
      <c r="Q5896" s="5">
        <v>41</v>
      </c>
      <c r="R5896" s="5"/>
      <c r="S5896" s="5"/>
    </row>
    <row r="5897" spans="1:19" ht="42" x14ac:dyDescent="0.15">
      <c r="A5897" s="2">
        <f>HYPERLINK("https://open-school.uspishnemisto.com.ua/school/320745/", 320745)</f>
        <v>320745</v>
      </c>
      <c r="B5897" s="3" t="s">
        <v>30901</v>
      </c>
      <c r="C5897" s="3" t="s">
        <v>54</v>
      </c>
      <c r="D5897" s="3" t="s">
        <v>32</v>
      </c>
      <c r="E5897" s="4" t="s">
        <v>41</v>
      </c>
      <c r="F5897" s="4" t="s">
        <v>30866</v>
      </c>
      <c r="G5897" s="4" t="s">
        <v>30867</v>
      </c>
      <c r="H5897" s="3" t="s">
        <v>30534</v>
      </c>
      <c r="I5897" s="3" t="s">
        <v>30868</v>
      </c>
      <c r="J5897" s="3" t="s">
        <v>30902</v>
      </c>
      <c r="K5897" s="3" t="s">
        <v>30903</v>
      </c>
      <c r="L5897" s="3"/>
      <c r="M5897" s="4"/>
      <c r="N5897" s="3" t="s">
        <v>37</v>
      </c>
      <c r="O5897" s="3" t="s">
        <v>52</v>
      </c>
      <c r="P5897" s="5">
        <v>6</v>
      </c>
      <c r="Q5897" s="5">
        <v>70</v>
      </c>
      <c r="R5897" s="5"/>
      <c r="S5897" s="5"/>
    </row>
    <row r="5898" spans="1:19" ht="28" x14ac:dyDescent="0.15">
      <c r="A5898" s="2">
        <f>HYPERLINK("https://open-school.uspishnemisto.com.ua/school/320086/", 320086)</f>
        <v>320086</v>
      </c>
      <c r="B5898" s="3" t="s">
        <v>30904</v>
      </c>
      <c r="C5898" s="3" t="s">
        <v>31</v>
      </c>
      <c r="D5898" s="3" t="s">
        <v>60</v>
      </c>
      <c r="E5898" s="4" t="s">
        <v>22</v>
      </c>
      <c r="F5898" s="4" t="s">
        <v>30905</v>
      </c>
      <c r="G5898" s="4" t="s">
        <v>30906</v>
      </c>
      <c r="H5898" s="3" t="s">
        <v>30534</v>
      </c>
      <c r="I5898" s="3" t="s">
        <v>30907</v>
      </c>
      <c r="J5898" s="3" t="s">
        <v>30908</v>
      </c>
      <c r="K5898" s="3" t="s">
        <v>30909</v>
      </c>
      <c r="L5898" s="3"/>
      <c r="M5898" s="4"/>
      <c r="N5898" s="3" t="s">
        <v>37</v>
      </c>
      <c r="O5898" s="3" t="s">
        <v>52</v>
      </c>
      <c r="P5898" s="5">
        <v>4</v>
      </c>
      <c r="Q5898" s="5">
        <v>69</v>
      </c>
      <c r="R5898" s="5">
        <v>4</v>
      </c>
      <c r="S5898" s="5">
        <v>71</v>
      </c>
    </row>
    <row r="5899" spans="1:19" ht="28" x14ac:dyDescent="0.15">
      <c r="A5899" s="2">
        <f>HYPERLINK("https://open-school.uspishnemisto.com.ua/school/320087/", 320087)</f>
        <v>320087</v>
      </c>
      <c r="B5899" s="3" t="s">
        <v>30910</v>
      </c>
      <c r="C5899" s="3" t="s">
        <v>31</v>
      </c>
      <c r="D5899" s="3" t="s">
        <v>32</v>
      </c>
      <c r="E5899" s="4" t="s">
        <v>22</v>
      </c>
      <c r="F5899" s="4" t="s">
        <v>30905</v>
      </c>
      <c r="G5899" s="4" t="s">
        <v>30906</v>
      </c>
      <c r="H5899" s="3" t="s">
        <v>30534</v>
      </c>
      <c r="I5899" s="3" t="s">
        <v>30907</v>
      </c>
      <c r="J5899" s="3" t="s">
        <v>30911</v>
      </c>
      <c r="K5899" s="3" t="s">
        <v>30912</v>
      </c>
      <c r="L5899" s="3"/>
      <c r="M5899" s="4"/>
      <c r="N5899" s="3" t="s">
        <v>37</v>
      </c>
      <c r="O5899" s="3" t="s">
        <v>70</v>
      </c>
      <c r="P5899" s="5">
        <v>20</v>
      </c>
      <c r="Q5899" s="5">
        <v>515</v>
      </c>
      <c r="R5899" s="5">
        <v>18</v>
      </c>
      <c r="S5899" s="5">
        <v>463</v>
      </c>
    </row>
    <row r="5900" spans="1:19" ht="42" x14ac:dyDescent="0.15">
      <c r="A5900" s="2">
        <f>HYPERLINK("https://open-school.uspishnemisto.com.ua/school/320746/", 320746)</f>
        <v>320746</v>
      </c>
      <c r="B5900" s="3" t="s">
        <v>30913</v>
      </c>
      <c r="C5900" s="3" t="s">
        <v>31</v>
      </c>
      <c r="D5900" s="3" t="s">
        <v>32</v>
      </c>
      <c r="E5900" s="4" t="s">
        <v>41</v>
      </c>
      <c r="F5900" s="4" t="s">
        <v>30905</v>
      </c>
      <c r="G5900" s="4" t="s">
        <v>30906</v>
      </c>
      <c r="H5900" s="3" t="s">
        <v>30534</v>
      </c>
      <c r="I5900" s="3" t="s">
        <v>30907</v>
      </c>
      <c r="J5900" s="3" t="s">
        <v>30914</v>
      </c>
      <c r="K5900" s="3" t="s">
        <v>30915</v>
      </c>
      <c r="L5900" s="3"/>
      <c r="M5900" s="4"/>
      <c r="N5900" s="3" t="s">
        <v>37</v>
      </c>
      <c r="O5900" s="3" t="s">
        <v>46</v>
      </c>
      <c r="P5900" s="5">
        <v>10</v>
      </c>
      <c r="Q5900" s="5">
        <v>42</v>
      </c>
      <c r="R5900" s="5"/>
      <c r="S5900" s="5"/>
    </row>
    <row r="5901" spans="1:19" ht="28" x14ac:dyDescent="0.15">
      <c r="A5901" s="2">
        <f>HYPERLINK("https://open-school.uspishnemisto.com.ua/school/320088/", 320088)</f>
        <v>320088</v>
      </c>
      <c r="B5901" s="3" t="s">
        <v>30916</v>
      </c>
      <c r="C5901" s="3" t="s">
        <v>31</v>
      </c>
      <c r="D5901" s="3" t="s">
        <v>60</v>
      </c>
      <c r="E5901" s="4" t="s">
        <v>22</v>
      </c>
      <c r="F5901" s="4" t="s">
        <v>30917</v>
      </c>
      <c r="G5901" s="4" t="s">
        <v>30918</v>
      </c>
      <c r="H5901" s="3" t="s">
        <v>30534</v>
      </c>
      <c r="I5901" s="3" t="s">
        <v>30919</v>
      </c>
      <c r="J5901" s="3" t="s">
        <v>30920</v>
      </c>
      <c r="K5901" s="3" t="s">
        <v>30921</v>
      </c>
      <c r="L5901" s="3"/>
      <c r="M5901" s="4"/>
      <c r="N5901" s="3" t="s">
        <v>37</v>
      </c>
      <c r="O5901" s="3" t="s">
        <v>52</v>
      </c>
      <c r="P5901" s="5">
        <v>4</v>
      </c>
      <c r="Q5901" s="5">
        <v>53</v>
      </c>
      <c r="R5901" s="5">
        <v>4</v>
      </c>
      <c r="S5901" s="5">
        <v>50</v>
      </c>
    </row>
    <row r="5902" spans="1:19" ht="28" x14ac:dyDescent="0.15">
      <c r="A5902" s="2">
        <f>HYPERLINK("https://open-school.uspishnemisto.com.ua/school/320089/", 320089)</f>
        <v>320089</v>
      </c>
      <c r="B5902" s="3" t="s">
        <v>30922</v>
      </c>
      <c r="C5902" s="3" t="s">
        <v>31</v>
      </c>
      <c r="D5902" s="3" t="s">
        <v>32</v>
      </c>
      <c r="E5902" s="4" t="s">
        <v>22</v>
      </c>
      <c r="F5902" s="4" t="s">
        <v>30917</v>
      </c>
      <c r="G5902" s="4" t="s">
        <v>30918</v>
      </c>
      <c r="H5902" s="3" t="s">
        <v>30534</v>
      </c>
      <c r="I5902" s="3" t="s">
        <v>30919</v>
      </c>
      <c r="J5902" s="3" t="s">
        <v>2253</v>
      </c>
      <c r="K5902" s="3" t="s">
        <v>30923</v>
      </c>
      <c r="L5902" s="3"/>
      <c r="M5902" s="4"/>
      <c r="N5902" s="3" t="s">
        <v>37</v>
      </c>
      <c r="O5902" s="3" t="s">
        <v>52</v>
      </c>
      <c r="P5902" s="5">
        <v>4</v>
      </c>
      <c r="Q5902" s="5">
        <v>51</v>
      </c>
      <c r="R5902" s="5">
        <v>4</v>
      </c>
      <c r="S5902" s="5">
        <v>58</v>
      </c>
    </row>
    <row r="5903" spans="1:19" ht="28" x14ac:dyDescent="0.15">
      <c r="A5903" s="2">
        <f>HYPERLINK("https://open-school.uspishnemisto.com.ua/school/320090/", 320090)</f>
        <v>320090</v>
      </c>
      <c r="B5903" s="3" t="s">
        <v>30924</v>
      </c>
      <c r="C5903" s="3" t="s">
        <v>31</v>
      </c>
      <c r="D5903" s="3" t="s">
        <v>32</v>
      </c>
      <c r="E5903" s="4" t="s">
        <v>22</v>
      </c>
      <c r="F5903" s="4" t="s">
        <v>30917</v>
      </c>
      <c r="G5903" s="4" t="s">
        <v>30918</v>
      </c>
      <c r="H5903" s="3" t="s">
        <v>30534</v>
      </c>
      <c r="I5903" s="3" t="s">
        <v>30919</v>
      </c>
      <c r="J5903" s="3" t="s">
        <v>30925</v>
      </c>
      <c r="K5903" s="3" t="s">
        <v>30926</v>
      </c>
      <c r="L5903" s="3"/>
      <c r="M5903" s="4" t="s">
        <v>30927</v>
      </c>
      <c r="N5903" s="3" t="s">
        <v>37</v>
      </c>
      <c r="O5903" s="3" t="s">
        <v>197</v>
      </c>
      <c r="P5903" s="5">
        <v>39</v>
      </c>
      <c r="Q5903" s="5">
        <v>1090</v>
      </c>
      <c r="R5903" s="5">
        <v>34</v>
      </c>
      <c r="S5903" s="5">
        <v>941</v>
      </c>
    </row>
    <row r="5904" spans="1:19" ht="28" x14ac:dyDescent="0.15">
      <c r="A5904" s="2">
        <f>HYPERLINK("https://open-school.uspishnemisto.com.ua/school/320091/", 320091)</f>
        <v>320091</v>
      </c>
      <c r="B5904" s="3" t="s">
        <v>30928</v>
      </c>
      <c r="C5904" s="3" t="s">
        <v>31</v>
      </c>
      <c r="D5904" s="3" t="s">
        <v>32</v>
      </c>
      <c r="E5904" s="4" t="s">
        <v>22</v>
      </c>
      <c r="F5904" s="4" t="s">
        <v>30929</v>
      </c>
      <c r="G5904" s="4" t="s">
        <v>30918</v>
      </c>
      <c r="H5904" s="3" t="s">
        <v>30534</v>
      </c>
      <c r="I5904" s="3" t="s">
        <v>30919</v>
      </c>
      <c r="J5904" s="3" t="s">
        <v>30930</v>
      </c>
      <c r="K5904" s="3" t="s">
        <v>30931</v>
      </c>
      <c r="L5904" s="3"/>
      <c r="M5904" s="4"/>
      <c r="N5904" s="3" t="s">
        <v>37</v>
      </c>
      <c r="O5904" s="3" t="s">
        <v>46</v>
      </c>
      <c r="P5904" s="5">
        <v>17</v>
      </c>
      <c r="Q5904" s="5">
        <v>419</v>
      </c>
      <c r="R5904" s="5">
        <v>16</v>
      </c>
      <c r="S5904" s="5">
        <v>377</v>
      </c>
    </row>
    <row r="5905" spans="1:19" ht="42" x14ac:dyDescent="0.15">
      <c r="A5905" s="2">
        <f>HYPERLINK("https://open-school.uspishnemisto.com.ua/school/320092/", 320092)</f>
        <v>320092</v>
      </c>
      <c r="B5905" s="3" t="s">
        <v>30932</v>
      </c>
      <c r="C5905" s="3" t="s">
        <v>31</v>
      </c>
      <c r="D5905" s="3" t="s">
        <v>32</v>
      </c>
      <c r="E5905" s="4" t="s">
        <v>22</v>
      </c>
      <c r="F5905" s="4" t="s">
        <v>30933</v>
      </c>
      <c r="G5905" s="4" t="s">
        <v>30934</v>
      </c>
      <c r="H5905" s="3" t="s">
        <v>30534</v>
      </c>
      <c r="I5905" s="3" t="s">
        <v>30935</v>
      </c>
      <c r="J5905" s="3" t="s">
        <v>30936</v>
      </c>
      <c r="K5905" s="3" t="s">
        <v>30937</v>
      </c>
      <c r="L5905" s="3"/>
      <c r="M5905" s="4"/>
      <c r="N5905" s="3" t="s">
        <v>37</v>
      </c>
      <c r="O5905" s="3" t="s">
        <v>30854</v>
      </c>
      <c r="P5905" s="5">
        <v>38</v>
      </c>
      <c r="Q5905" s="5">
        <v>1047</v>
      </c>
      <c r="R5905" s="5">
        <v>37</v>
      </c>
      <c r="S5905" s="5">
        <v>975</v>
      </c>
    </row>
    <row r="5906" spans="1:19" ht="42" x14ac:dyDescent="0.15">
      <c r="A5906" s="2">
        <f>HYPERLINK("https://open-school.uspishnemisto.com.ua/school/320093/", 320093)</f>
        <v>320093</v>
      </c>
      <c r="B5906" s="3" t="s">
        <v>30938</v>
      </c>
      <c r="C5906" s="3" t="s">
        <v>54</v>
      </c>
      <c r="D5906" s="3" t="s">
        <v>32</v>
      </c>
      <c r="E5906" s="4" t="s">
        <v>22</v>
      </c>
      <c r="F5906" s="4" t="s">
        <v>30933</v>
      </c>
      <c r="G5906" s="4" t="s">
        <v>30934</v>
      </c>
      <c r="H5906" s="3" t="s">
        <v>30534</v>
      </c>
      <c r="I5906" s="3" t="s">
        <v>30935</v>
      </c>
      <c r="J5906" s="3" t="s">
        <v>30939</v>
      </c>
      <c r="K5906" s="3" t="s">
        <v>30940</v>
      </c>
      <c r="L5906" s="3"/>
      <c r="M5906" s="4"/>
      <c r="N5906" s="3" t="s">
        <v>37</v>
      </c>
      <c r="O5906" s="3" t="s">
        <v>38</v>
      </c>
      <c r="P5906" s="5">
        <v>13</v>
      </c>
      <c r="Q5906" s="5">
        <v>330</v>
      </c>
      <c r="R5906" s="5">
        <v>13</v>
      </c>
      <c r="S5906" s="5">
        <v>310</v>
      </c>
    </row>
    <row r="5907" spans="1:19" ht="28" x14ac:dyDescent="0.15">
      <c r="A5907" s="2">
        <f>HYPERLINK("https://open-school.uspishnemisto.com.ua/school/320094/", 320094)</f>
        <v>320094</v>
      </c>
      <c r="B5907" s="3" t="s">
        <v>30941</v>
      </c>
      <c r="C5907" s="3" t="s">
        <v>48</v>
      </c>
      <c r="D5907" s="3" t="s">
        <v>32</v>
      </c>
      <c r="E5907" s="4" t="s">
        <v>22</v>
      </c>
      <c r="F5907" s="4" t="s">
        <v>30942</v>
      </c>
      <c r="G5907" s="4" t="s">
        <v>30943</v>
      </c>
      <c r="H5907" s="3" t="s">
        <v>30534</v>
      </c>
      <c r="I5907" s="3" t="s">
        <v>30944</v>
      </c>
      <c r="J5907" s="3" t="s">
        <v>30945</v>
      </c>
      <c r="K5907" s="3" t="s">
        <v>30946</v>
      </c>
      <c r="L5907" s="3" t="s">
        <v>30947</v>
      </c>
      <c r="M5907" s="4" t="s">
        <v>30948</v>
      </c>
      <c r="N5907" s="3" t="s">
        <v>37</v>
      </c>
      <c r="O5907" s="3" t="s">
        <v>52</v>
      </c>
      <c r="P5907" s="5">
        <v>7</v>
      </c>
      <c r="Q5907" s="5">
        <v>165</v>
      </c>
      <c r="R5907" s="5">
        <v>11</v>
      </c>
      <c r="S5907" s="5">
        <v>204</v>
      </c>
    </row>
    <row r="5908" spans="1:19" ht="28" x14ac:dyDescent="0.15">
      <c r="A5908" s="2">
        <f>HYPERLINK("https://open-school.uspishnemisto.com.ua/school/320095/", 320095)</f>
        <v>320095</v>
      </c>
      <c r="B5908" s="3" t="s">
        <v>30949</v>
      </c>
      <c r="C5908" s="3" t="s">
        <v>31</v>
      </c>
      <c r="D5908" s="3" t="s">
        <v>32</v>
      </c>
      <c r="E5908" s="4" t="s">
        <v>22</v>
      </c>
      <c r="F5908" s="4" t="s">
        <v>30950</v>
      </c>
      <c r="G5908" s="4" t="s">
        <v>30943</v>
      </c>
      <c r="H5908" s="3" t="s">
        <v>30534</v>
      </c>
      <c r="I5908" s="3" t="s">
        <v>30944</v>
      </c>
      <c r="J5908" s="3" t="s">
        <v>30951</v>
      </c>
      <c r="K5908" s="3" t="s">
        <v>30952</v>
      </c>
      <c r="L5908" s="3" t="s">
        <v>30953</v>
      </c>
      <c r="M5908" s="4"/>
      <c r="N5908" s="3" t="s">
        <v>37</v>
      </c>
      <c r="O5908" s="3" t="s">
        <v>197</v>
      </c>
      <c r="P5908" s="5">
        <v>21</v>
      </c>
      <c r="Q5908" s="5">
        <v>606</v>
      </c>
      <c r="R5908" s="5">
        <v>20</v>
      </c>
      <c r="S5908" s="5">
        <v>566</v>
      </c>
    </row>
    <row r="5909" spans="1:19" ht="28" x14ac:dyDescent="0.15">
      <c r="A5909" s="2">
        <f>HYPERLINK("https://open-school.uspishnemisto.com.ua/school/320096/", 320096)</f>
        <v>320096</v>
      </c>
      <c r="B5909" s="3" t="s">
        <v>30954</v>
      </c>
      <c r="C5909" s="3" t="s">
        <v>40</v>
      </c>
      <c r="D5909" s="3" t="s">
        <v>32</v>
      </c>
      <c r="E5909" s="4" t="s">
        <v>22</v>
      </c>
      <c r="F5909" s="4" t="s">
        <v>30950</v>
      </c>
      <c r="G5909" s="4" t="s">
        <v>30943</v>
      </c>
      <c r="H5909" s="3" t="s">
        <v>30534</v>
      </c>
      <c r="I5909" s="3" t="s">
        <v>30944</v>
      </c>
      <c r="J5909" s="3" t="s">
        <v>5029</v>
      </c>
      <c r="K5909" s="3" t="s">
        <v>30955</v>
      </c>
      <c r="L5909" s="3" t="s">
        <v>30956</v>
      </c>
      <c r="M5909" s="4" t="s">
        <v>30957</v>
      </c>
      <c r="N5909" s="3" t="s">
        <v>37</v>
      </c>
      <c r="O5909" s="3" t="s">
        <v>70</v>
      </c>
      <c r="P5909" s="5">
        <v>12</v>
      </c>
      <c r="Q5909" s="5">
        <v>297</v>
      </c>
      <c r="R5909" s="5">
        <v>11</v>
      </c>
      <c r="S5909" s="5">
        <v>278</v>
      </c>
    </row>
    <row r="5910" spans="1:19" ht="42" x14ac:dyDescent="0.15">
      <c r="A5910" s="2">
        <f>HYPERLINK("https://open-school.uspishnemisto.com.ua/school/320097/", 320097)</f>
        <v>320097</v>
      </c>
      <c r="B5910" s="3" t="s">
        <v>30958</v>
      </c>
      <c r="C5910" s="3" t="s">
        <v>31</v>
      </c>
      <c r="D5910" s="3" t="s">
        <v>60</v>
      </c>
      <c r="E5910" s="4" t="s">
        <v>22</v>
      </c>
      <c r="F5910" s="4" t="s">
        <v>30950</v>
      </c>
      <c r="G5910" s="4" t="s">
        <v>30943</v>
      </c>
      <c r="H5910" s="3" t="s">
        <v>30534</v>
      </c>
      <c r="I5910" s="3" t="s">
        <v>30944</v>
      </c>
      <c r="J5910" s="3" t="s">
        <v>5029</v>
      </c>
      <c r="K5910" s="3"/>
      <c r="L5910" s="3"/>
      <c r="M5910" s="4"/>
      <c r="N5910" s="3" t="s">
        <v>37</v>
      </c>
      <c r="O5910" s="3" t="s">
        <v>38</v>
      </c>
      <c r="P5910" s="5">
        <v>8</v>
      </c>
      <c r="Q5910" s="5">
        <v>235</v>
      </c>
      <c r="R5910" s="5">
        <v>8</v>
      </c>
      <c r="S5910" s="5">
        <v>221</v>
      </c>
    </row>
    <row r="5911" spans="1:19" ht="42" x14ac:dyDescent="0.15">
      <c r="A5911" s="2">
        <f>HYPERLINK("https://open-school.uspishnemisto.com.ua/school/320098/", 320098)</f>
        <v>320098</v>
      </c>
      <c r="B5911" s="3" t="s">
        <v>30959</v>
      </c>
      <c r="C5911" s="3" t="s">
        <v>31</v>
      </c>
      <c r="D5911" s="3" t="s">
        <v>32</v>
      </c>
      <c r="E5911" s="4" t="s">
        <v>22</v>
      </c>
      <c r="F5911" s="4" t="s">
        <v>30950</v>
      </c>
      <c r="G5911" s="4" t="s">
        <v>30943</v>
      </c>
      <c r="H5911" s="3" t="s">
        <v>30534</v>
      </c>
      <c r="I5911" s="3" t="s">
        <v>30944</v>
      </c>
      <c r="J5911" s="3" t="s">
        <v>30960</v>
      </c>
      <c r="K5911" s="3" t="s">
        <v>30961</v>
      </c>
      <c r="L5911" s="3" t="s">
        <v>30962</v>
      </c>
      <c r="M5911" s="4"/>
      <c r="N5911" s="3" t="s">
        <v>37</v>
      </c>
      <c r="O5911" s="3" t="s">
        <v>38</v>
      </c>
      <c r="P5911" s="5">
        <v>15</v>
      </c>
      <c r="Q5911" s="5">
        <v>394</v>
      </c>
      <c r="R5911" s="5">
        <v>15</v>
      </c>
      <c r="S5911" s="5">
        <v>398</v>
      </c>
    </row>
    <row r="5912" spans="1:19" ht="42" x14ac:dyDescent="0.15">
      <c r="A5912" s="2">
        <f>HYPERLINK("https://open-school.uspishnemisto.com.ua/school/320099/", 320099)</f>
        <v>320099</v>
      </c>
      <c r="B5912" s="3" t="s">
        <v>30963</v>
      </c>
      <c r="C5912" s="3" t="s">
        <v>31</v>
      </c>
      <c r="D5912" s="3" t="s">
        <v>32</v>
      </c>
      <c r="E5912" s="4" t="s">
        <v>22</v>
      </c>
      <c r="F5912" s="4" t="s">
        <v>30950</v>
      </c>
      <c r="G5912" s="4" t="s">
        <v>30943</v>
      </c>
      <c r="H5912" s="3" t="s">
        <v>30534</v>
      </c>
      <c r="I5912" s="3" t="s">
        <v>30944</v>
      </c>
      <c r="J5912" s="3" t="s">
        <v>30964</v>
      </c>
      <c r="K5912" s="3" t="s">
        <v>30965</v>
      </c>
      <c r="L5912" s="3"/>
      <c r="M5912" s="4"/>
      <c r="N5912" s="3" t="s">
        <v>37</v>
      </c>
      <c r="O5912" s="3" t="s">
        <v>70</v>
      </c>
      <c r="P5912" s="5">
        <v>12</v>
      </c>
      <c r="Q5912" s="5">
        <v>297</v>
      </c>
      <c r="R5912" s="5">
        <v>12</v>
      </c>
      <c r="S5912" s="5">
        <v>288</v>
      </c>
    </row>
    <row r="5913" spans="1:19" ht="28" x14ac:dyDescent="0.15">
      <c r="A5913" s="2">
        <f>HYPERLINK("https://open-school.uspishnemisto.com.ua/school/320100/", 320100)</f>
        <v>320100</v>
      </c>
      <c r="B5913" s="3" t="s">
        <v>30966</v>
      </c>
      <c r="C5913" s="3" t="s">
        <v>31</v>
      </c>
      <c r="D5913" s="3" t="s">
        <v>32</v>
      </c>
      <c r="E5913" s="4" t="s">
        <v>22</v>
      </c>
      <c r="F5913" s="4" t="s">
        <v>30967</v>
      </c>
      <c r="G5913" s="4" t="s">
        <v>30943</v>
      </c>
      <c r="H5913" s="3" t="s">
        <v>30534</v>
      </c>
      <c r="I5913" s="3" t="s">
        <v>30944</v>
      </c>
      <c r="J5913" s="3" t="s">
        <v>30968</v>
      </c>
      <c r="K5913" s="3" t="s">
        <v>30969</v>
      </c>
      <c r="L5913" s="3"/>
      <c r="M5913" s="4"/>
      <c r="N5913" s="3" t="s">
        <v>37</v>
      </c>
      <c r="O5913" s="3" t="s">
        <v>70</v>
      </c>
      <c r="P5913" s="5">
        <v>16</v>
      </c>
      <c r="Q5913" s="5">
        <v>385</v>
      </c>
      <c r="R5913" s="5">
        <v>15</v>
      </c>
      <c r="S5913" s="5">
        <v>367</v>
      </c>
    </row>
    <row r="5914" spans="1:19" ht="42" x14ac:dyDescent="0.15">
      <c r="A5914" s="2">
        <f>HYPERLINK("https://open-school.uspishnemisto.com.ua/school/320101/", 320101)</f>
        <v>320101</v>
      </c>
      <c r="B5914" s="3" t="s">
        <v>30970</v>
      </c>
      <c r="C5914" s="3" t="s">
        <v>31</v>
      </c>
      <c r="D5914" s="3" t="s">
        <v>32</v>
      </c>
      <c r="E5914" s="4" t="s">
        <v>22</v>
      </c>
      <c r="F5914" s="4" t="s">
        <v>30950</v>
      </c>
      <c r="G5914" s="4" t="s">
        <v>30943</v>
      </c>
      <c r="H5914" s="3" t="s">
        <v>30534</v>
      </c>
      <c r="I5914" s="3" t="s">
        <v>30944</v>
      </c>
      <c r="J5914" s="3" t="s">
        <v>30971</v>
      </c>
      <c r="K5914" s="3"/>
      <c r="L5914" s="3"/>
      <c r="M5914" s="4"/>
      <c r="N5914" s="3" t="s">
        <v>37</v>
      </c>
      <c r="O5914" s="3" t="s">
        <v>70</v>
      </c>
      <c r="P5914" s="5">
        <v>32</v>
      </c>
      <c r="Q5914" s="5">
        <v>873</v>
      </c>
      <c r="R5914" s="5">
        <v>31</v>
      </c>
      <c r="S5914" s="5">
        <v>808</v>
      </c>
    </row>
    <row r="5915" spans="1:19" ht="28" x14ac:dyDescent="0.15">
      <c r="A5915" s="2">
        <f>HYPERLINK("https://open-school.uspishnemisto.com.ua/school/320102/", 320102)</f>
        <v>320102</v>
      </c>
      <c r="B5915" s="3" t="s">
        <v>30972</v>
      </c>
      <c r="C5915" s="3" t="s">
        <v>31</v>
      </c>
      <c r="D5915" s="3" t="s">
        <v>32</v>
      </c>
      <c r="E5915" s="4" t="s">
        <v>22</v>
      </c>
      <c r="F5915" s="4" t="s">
        <v>30950</v>
      </c>
      <c r="G5915" s="4" t="s">
        <v>30943</v>
      </c>
      <c r="H5915" s="3" t="s">
        <v>30534</v>
      </c>
      <c r="I5915" s="3" t="s">
        <v>30944</v>
      </c>
      <c r="J5915" s="3" t="s">
        <v>30973</v>
      </c>
      <c r="K5915" s="3" t="s">
        <v>30974</v>
      </c>
      <c r="L5915" s="3" t="s">
        <v>30975</v>
      </c>
      <c r="M5915" s="4"/>
      <c r="N5915" s="3" t="s">
        <v>37</v>
      </c>
      <c r="O5915" s="3" t="s">
        <v>46</v>
      </c>
      <c r="P5915" s="5">
        <v>11</v>
      </c>
      <c r="Q5915" s="5">
        <v>234</v>
      </c>
      <c r="R5915" s="5">
        <v>11</v>
      </c>
      <c r="S5915" s="5">
        <v>230</v>
      </c>
    </row>
    <row r="5916" spans="1:19" ht="28" x14ac:dyDescent="0.15">
      <c r="A5916" s="2">
        <f>HYPERLINK("https://open-school.uspishnemisto.com.ua/school/320104/", 320104)</f>
        <v>320104</v>
      </c>
      <c r="B5916" s="3" t="s">
        <v>30976</v>
      </c>
      <c r="C5916" s="3" t="s">
        <v>48</v>
      </c>
      <c r="D5916" s="3" t="s">
        <v>32</v>
      </c>
      <c r="E5916" s="4" t="s">
        <v>22</v>
      </c>
      <c r="F5916" s="4" t="s">
        <v>30977</v>
      </c>
      <c r="G5916" s="4" t="s">
        <v>30978</v>
      </c>
      <c r="H5916" s="3" t="s">
        <v>30534</v>
      </c>
      <c r="I5916" s="3" t="s">
        <v>30979</v>
      </c>
      <c r="J5916" s="3" t="s">
        <v>30980</v>
      </c>
      <c r="K5916" s="3" t="s">
        <v>30981</v>
      </c>
      <c r="L5916" s="3"/>
      <c r="M5916" s="4" t="s">
        <v>30982</v>
      </c>
      <c r="N5916" s="3" t="s">
        <v>37</v>
      </c>
      <c r="O5916" s="3" t="s">
        <v>52</v>
      </c>
      <c r="P5916" s="5">
        <v>14</v>
      </c>
      <c r="Q5916" s="5">
        <v>343</v>
      </c>
      <c r="R5916" s="5">
        <v>14</v>
      </c>
      <c r="S5916" s="5">
        <v>308</v>
      </c>
    </row>
    <row r="5917" spans="1:19" ht="56" x14ac:dyDescent="0.15">
      <c r="A5917" s="2">
        <f>HYPERLINK("https://open-school.uspishnemisto.com.ua/school/320105/", 320105)</f>
        <v>320105</v>
      </c>
      <c r="B5917" s="3" t="s">
        <v>30983</v>
      </c>
      <c r="C5917" s="3" t="s">
        <v>54</v>
      </c>
      <c r="D5917" s="3" t="s">
        <v>175</v>
      </c>
      <c r="E5917" s="4" t="s">
        <v>22</v>
      </c>
      <c r="F5917" s="4" t="s">
        <v>30984</v>
      </c>
      <c r="G5917" s="4" t="s">
        <v>30978</v>
      </c>
      <c r="H5917" s="3" t="s">
        <v>30534</v>
      </c>
      <c r="I5917" s="3" t="s">
        <v>30979</v>
      </c>
      <c r="J5917" s="3" t="s">
        <v>30985</v>
      </c>
      <c r="K5917" s="3" t="s">
        <v>30986</v>
      </c>
      <c r="L5917" s="3" t="s">
        <v>30987</v>
      </c>
      <c r="M5917" s="4"/>
      <c r="N5917" s="3" t="s">
        <v>37</v>
      </c>
      <c r="O5917" s="3" t="s">
        <v>52</v>
      </c>
      <c r="P5917" s="5">
        <v>9</v>
      </c>
      <c r="Q5917" s="5">
        <v>118</v>
      </c>
      <c r="R5917" s="5">
        <v>9</v>
      </c>
      <c r="S5917" s="5">
        <v>129</v>
      </c>
    </row>
    <row r="5918" spans="1:19" ht="28" x14ac:dyDescent="0.15">
      <c r="A5918" s="2">
        <f>HYPERLINK("https://open-school.uspishnemisto.com.ua/school/320106/", 320106)</f>
        <v>320106</v>
      </c>
      <c r="B5918" s="3" t="s">
        <v>30988</v>
      </c>
      <c r="C5918" s="3" t="s">
        <v>31</v>
      </c>
      <c r="D5918" s="3" t="s">
        <v>21</v>
      </c>
      <c r="E5918" s="4" t="s">
        <v>22</v>
      </c>
      <c r="F5918" s="4" t="s">
        <v>30984</v>
      </c>
      <c r="G5918" s="4" t="s">
        <v>30978</v>
      </c>
      <c r="H5918" s="3" t="s">
        <v>30534</v>
      </c>
      <c r="I5918" s="3" t="s">
        <v>30979</v>
      </c>
      <c r="J5918" s="3" t="s">
        <v>30989</v>
      </c>
      <c r="K5918" s="3"/>
      <c r="L5918" s="3"/>
      <c r="M5918" s="4"/>
      <c r="N5918" s="3"/>
      <c r="O5918" s="3"/>
      <c r="P5918" s="5">
        <v>0</v>
      </c>
      <c r="Q5918" s="5">
        <v>0</v>
      </c>
      <c r="R5918" s="5"/>
      <c r="S5918" s="5"/>
    </row>
    <row r="5919" spans="1:19" ht="28" x14ac:dyDescent="0.15">
      <c r="A5919" s="2">
        <f>HYPERLINK("https://open-school.uspishnemisto.com.ua/school/320107/", 320107)</f>
        <v>320107</v>
      </c>
      <c r="B5919" s="3" t="s">
        <v>30990</v>
      </c>
      <c r="C5919" s="3" t="s">
        <v>31</v>
      </c>
      <c r="D5919" s="3" t="s">
        <v>32</v>
      </c>
      <c r="E5919" s="4" t="s">
        <v>22</v>
      </c>
      <c r="F5919" s="4" t="s">
        <v>30984</v>
      </c>
      <c r="G5919" s="4" t="s">
        <v>30978</v>
      </c>
      <c r="H5919" s="3" t="s">
        <v>30534</v>
      </c>
      <c r="I5919" s="3" t="s">
        <v>30979</v>
      </c>
      <c r="J5919" s="3" t="s">
        <v>30991</v>
      </c>
      <c r="K5919" s="3" t="s">
        <v>30992</v>
      </c>
      <c r="L5919" s="3" t="s">
        <v>30993</v>
      </c>
      <c r="M5919" s="4"/>
      <c r="N5919" s="3" t="s">
        <v>37</v>
      </c>
      <c r="O5919" s="3" t="s">
        <v>46</v>
      </c>
      <c r="P5919" s="5">
        <v>19</v>
      </c>
      <c r="Q5919" s="5">
        <v>401</v>
      </c>
      <c r="R5919" s="5">
        <v>18</v>
      </c>
      <c r="S5919" s="5">
        <v>419</v>
      </c>
    </row>
    <row r="5920" spans="1:19" ht="28" x14ac:dyDescent="0.15">
      <c r="A5920" s="2">
        <f>HYPERLINK("https://open-school.uspishnemisto.com.ua/school/320108/", 320108)</f>
        <v>320108</v>
      </c>
      <c r="B5920" s="3" t="s">
        <v>30994</v>
      </c>
      <c r="C5920" s="3" t="s">
        <v>31</v>
      </c>
      <c r="D5920" s="3" t="s">
        <v>32</v>
      </c>
      <c r="E5920" s="4" t="s">
        <v>22</v>
      </c>
      <c r="F5920" s="4" t="s">
        <v>30984</v>
      </c>
      <c r="G5920" s="4" t="s">
        <v>30978</v>
      </c>
      <c r="H5920" s="3" t="s">
        <v>30534</v>
      </c>
      <c r="I5920" s="3" t="s">
        <v>30979</v>
      </c>
      <c r="J5920" s="3" t="s">
        <v>30995</v>
      </c>
      <c r="K5920" s="3" t="s">
        <v>30996</v>
      </c>
      <c r="L5920" s="3" t="s">
        <v>30997</v>
      </c>
      <c r="M5920" s="4"/>
      <c r="N5920" s="3" t="s">
        <v>37</v>
      </c>
      <c r="O5920" s="3" t="s">
        <v>52</v>
      </c>
      <c r="P5920" s="5">
        <v>37</v>
      </c>
      <c r="Q5920" s="5">
        <v>1037</v>
      </c>
      <c r="R5920" s="5">
        <v>36</v>
      </c>
      <c r="S5920" s="5">
        <v>1024</v>
      </c>
    </row>
    <row r="5921" spans="1:19" ht="28" x14ac:dyDescent="0.15">
      <c r="A5921" s="2">
        <f>HYPERLINK("https://open-school.uspishnemisto.com.ua/school/320109/", 320109)</f>
        <v>320109</v>
      </c>
      <c r="B5921" s="3" t="s">
        <v>30998</v>
      </c>
      <c r="C5921" s="3" t="s">
        <v>31</v>
      </c>
      <c r="D5921" s="3" t="s">
        <v>32</v>
      </c>
      <c r="E5921" s="4" t="s">
        <v>22</v>
      </c>
      <c r="F5921" s="4" t="s">
        <v>30984</v>
      </c>
      <c r="G5921" s="4" t="s">
        <v>30978</v>
      </c>
      <c r="H5921" s="3" t="s">
        <v>30534</v>
      </c>
      <c r="I5921" s="3" t="s">
        <v>30979</v>
      </c>
      <c r="J5921" s="3" t="s">
        <v>30999</v>
      </c>
      <c r="K5921" s="3" t="s">
        <v>31000</v>
      </c>
      <c r="L5921" s="3"/>
      <c r="M5921" s="4"/>
      <c r="N5921" s="3" t="s">
        <v>37</v>
      </c>
      <c r="O5921" s="3" t="s">
        <v>38</v>
      </c>
      <c r="P5921" s="5">
        <v>24</v>
      </c>
      <c r="Q5921" s="5">
        <v>598</v>
      </c>
      <c r="R5921" s="5">
        <v>22</v>
      </c>
      <c r="S5921" s="5">
        <v>543</v>
      </c>
    </row>
    <row r="5922" spans="1:19" ht="28" x14ac:dyDescent="0.15">
      <c r="A5922" s="2">
        <f>HYPERLINK("https://open-school.uspishnemisto.com.ua/school/320110/", 320110)</f>
        <v>320110</v>
      </c>
      <c r="B5922" s="3" t="s">
        <v>31001</v>
      </c>
      <c r="C5922" s="3" t="s">
        <v>31</v>
      </c>
      <c r="D5922" s="3" t="s">
        <v>32</v>
      </c>
      <c r="E5922" s="4" t="s">
        <v>22</v>
      </c>
      <c r="F5922" s="4" t="s">
        <v>30984</v>
      </c>
      <c r="G5922" s="4" t="s">
        <v>30978</v>
      </c>
      <c r="H5922" s="3" t="s">
        <v>30534</v>
      </c>
      <c r="I5922" s="3" t="s">
        <v>30979</v>
      </c>
      <c r="J5922" s="3" t="s">
        <v>31002</v>
      </c>
      <c r="K5922" s="3"/>
      <c r="L5922" s="3"/>
      <c r="M5922" s="4"/>
      <c r="N5922" s="3" t="s">
        <v>37</v>
      </c>
      <c r="O5922" s="3" t="s">
        <v>52</v>
      </c>
      <c r="P5922" s="5">
        <v>32</v>
      </c>
      <c r="Q5922" s="5">
        <v>788</v>
      </c>
      <c r="R5922" s="5">
        <v>31</v>
      </c>
      <c r="S5922" s="5">
        <v>782</v>
      </c>
    </row>
    <row r="5923" spans="1:19" ht="28" x14ac:dyDescent="0.15">
      <c r="A5923" s="2">
        <f>HYPERLINK("https://open-school.uspishnemisto.com.ua/school/320111/", 320111)</f>
        <v>320111</v>
      </c>
      <c r="B5923" s="3" t="s">
        <v>31003</v>
      </c>
      <c r="C5923" s="3" t="s">
        <v>31</v>
      </c>
      <c r="D5923" s="3" t="s">
        <v>32</v>
      </c>
      <c r="E5923" s="4" t="s">
        <v>22</v>
      </c>
      <c r="F5923" s="4" t="s">
        <v>30984</v>
      </c>
      <c r="G5923" s="4" t="s">
        <v>30978</v>
      </c>
      <c r="H5923" s="3" t="s">
        <v>30534</v>
      </c>
      <c r="I5923" s="3" t="s">
        <v>30979</v>
      </c>
      <c r="J5923" s="3" t="s">
        <v>31004</v>
      </c>
      <c r="K5923" s="3" t="s">
        <v>31005</v>
      </c>
      <c r="L5923" s="3"/>
      <c r="M5923" s="4"/>
      <c r="N5923" s="3" t="s">
        <v>37</v>
      </c>
      <c r="O5923" s="3" t="s">
        <v>52</v>
      </c>
      <c r="P5923" s="5">
        <v>20</v>
      </c>
      <c r="Q5923" s="5">
        <v>456</v>
      </c>
      <c r="R5923" s="5">
        <v>19</v>
      </c>
      <c r="S5923" s="5">
        <v>438</v>
      </c>
    </row>
    <row r="5924" spans="1:19" ht="42" x14ac:dyDescent="0.15">
      <c r="A5924" s="2">
        <f>HYPERLINK("https://open-school.uspishnemisto.com.ua/school/320112/", 320112)</f>
        <v>320112</v>
      </c>
      <c r="B5924" s="3" t="s">
        <v>31006</v>
      </c>
      <c r="C5924" s="3" t="s">
        <v>54</v>
      </c>
      <c r="D5924" s="3" t="s">
        <v>32</v>
      </c>
      <c r="E5924" s="4" t="s">
        <v>22</v>
      </c>
      <c r="F5924" s="4" t="s">
        <v>30984</v>
      </c>
      <c r="G5924" s="4" t="s">
        <v>30978</v>
      </c>
      <c r="H5924" s="3" t="s">
        <v>30534</v>
      </c>
      <c r="I5924" s="3" t="s">
        <v>30979</v>
      </c>
      <c r="J5924" s="3" t="s">
        <v>31007</v>
      </c>
      <c r="K5924" s="3" t="s">
        <v>31008</v>
      </c>
      <c r="L5924" s="3" t="s">
        <v>31009</v>
      </c>
      <c r="M5924" s="4"/>
      <c r="N5924" s="3" t="s">
        <v>37</v>
      </c>
      <c r="O5924" s="3" t="s">
        <v>46</v>
      </c>
      <c r="P5924" s="5">
        <v>20</v>
      </c>
      <c r="Q5924" s="5">
        <v>390</v>
      </c>
      <c r="R5924" s="5">
        <v>19</v>
      </c>
      <c r="S5924" s="5">
        <v>381</v>
      </c>
    </row>
    <row r="5925" spans="1:19" ht="42" x14ac:dyDescent="0.15">
      <c r="A5925" s="2">
        <f>HYPERLINK("https://open-school.uspishnemisto.com.ua/school/320113/", 320113)</f>
        <v>320113</v>
      </c>
      <c r="B5925" s="3" t="s">
        <v>31010</v>
      </c>
      <c r="C5925" s="3" t="s">
        <v>244</v>
      </c>
      <c r="D5925" s="3" t="s">
        <v>32</v>
      </c>
      <c r="E5925" s="4" t="s">
        <v>22</v>
      </c>
      <c r="F5925" s="4" t="s">
        <v>30984</v>
      </c>
      <c r="G5925" s="4" t="s">
        <v>30978</v>
      </c>
      <c r="H5925" s="3" t="s">
        <v>30534</v>
      </c>
      <c r="I5925" s="3" t="s">
        <v>30979</v>
      </c>
      <c r="J5925" s="3" t="s">
        <v>7392</v>
      </c>
      <c r="K5925" s="3" t="s">
        <v>31011</v>
      </c>
      <c r="L5925" s="3" t="s">
        <v>31012</v>
      </c>
      <c r="M5925" s="4"/>
      <c r="N5925" s="3" t="s">
        <v>37</v>
      </c>
      <c r="O5925" s="3" t="s">
        <v>123</v>
      </c>
      <c r="P5925" s="5">
        <v>21</v>
      </c>
      <c r="Q5925" s="5">
        <v>507</v>
      </c>
      <c r="R5925" s="5">
        <v>20</v>
      </c>
      <c r="S5925" s="5">
        <v>480</v>
      </c>
    </row>
    <row r="5926" spans="1:19" ht="42" x14ac:dyDescent="0.15">
      <c r="A5926" s="2">
        <f>HYPERLINK("https://open-school.uspishnemisto.com.ua/school/320114/", 320114)</f>
        <v>320114</v>
      </c>
      <c r="B5926" s="3" t="s">
        <v>31013</v>
      </c>
      <c r="C5926" s="3" t="s">
        <v>54</v>
      </c>
      <c r="D5926" s="3" t="s">
        <v>60</v>
      </c>
      <c r="E5926" s="4" t="s">
        <v>22</v>
      </c>
      <c r="F5926" s="4" t="s">
        <v>30984</v>
      </c>
      <c r="G5926" s="4" t="s">
        <v>30978</v>
      </c>
      <c r="H5926" s="3" t="s">
        <v>30534</v>
      </c>
      <c r="I5926" s="3" t="s">
        <v>30979</v>
      </c>
      <c r="J5926" s="3" t="s">
        <v>31014</v>
      </c>
      <c r="K5926" s="3" t="s">
        <v>31015</v>
      </c>
      <c r="L5926" s="3"/>
      <c r="M5926" s="4"/>
      <c r="N5926" s="3" t="s">
        <v>37</v>
      </c>
      <c r="O5926" s="3" t="s">
        <v>52</v>
      </c>
      <c r="P5926" s="5">
        <v>4</v>
      </c>
      <c r="Q5926" s="5">
        <v>73</v>
      </c>
      <c r="R5926" s="5">
        <v>4</v>
      </c>
      <c r="S5926" s="5">
        <v>62</v>
      </c>
    </row>
    <row r="5927" spans="1:19" ht="56" x14ac:dyDescent="0.15">
      <c r="A5927" s="2">
        <f>HYPERLINK("https://open-school.uspishnemisto.com.ua/school/320115/", 320115)</f>
        <v>320115</v>
      </c>
      <c r="B5927" s="3" t="s">
        <v>31016</v>
      </c>
      <c r="C5927" s="3" t="s">
        <v>54</v>
      </c>
      <c r="D5927" s="3" t="s">
        <v>32</v>
      </c>
      <c r="E5927" s="4" t="s">
        <v>22</v>
      </c>
      <c r="F5927" s="4" t="s">
        <v>30984</v>
      </c>
      <c r="G5927" s="4" t="s">
        <v>30978</v>
      </c>
      <c r="H5927" s="3" t="s">
        <v>30534</v>
      </c>
      <c r="I5927" s="3" t="s">
        <v>30979</v>
      </c>
      <c r="J5927" s="3" t="s">
        <v>31017</v>
      </c>
      <c r="K5927" s="3" t="s">
        <v>31018</v>
      </c>
      <c r="L5927" s="3"/>
      <c r="M5927" s="4"/>
      <c r="N5927" s="3" t="s">
        <v>37</v>
      </c>
      <c r="O5927" s="3" t="s">
        <v>52</v>
      </c>
      <c r="P5927" s="5">
        <v>44</v>
      </c>
      <c r="Q5927" s="5">
        <v>1169</v>
      </c>
      <c r="R5927" s="5">
        <v>44</v>
      </c>
      <c r="S5927" s="5">
        <v>1181</v>
      </c>
    </row>
    <row r="5928" spans="1:19" ht="28" x14ac:dyDescent="0.15">
      <c r="A5928" s="2">
        <f>HYPERLINK("https://open-school.uspishnemisto.com.ua/school/320116/", 320116)</f>
        <v>320116</v>
      </c>
      <c r="B5928" s="3" t="s">
        <v>31019</v>
      </c>
      <c r="C5928" s="3" t="s">
        <v>31</v>
      </c>
      <c r="D5928" s="3" t="s">
        <v>175</v>
      </c>
      <c r="E5928" s="4" t="s">
        <v>22</v>
      </c>
      <c r="F5928" s="4" t="s">
        <v>31020</v>
      </c>
      <c r="G5928" s="4" t="s">
        <v>31021</v>
      </c>
      <c r="H5928" s="3" t="s">
        <v>30534</v>
      </c>
      <c r="I5928" s="3" t="s">
        <v>5287</v>
      </c>
      <c r="J5928" s="3" t="s">
        <v>31022</v>
      </c>
      <c r="K5928" s="3" t="s">
        <v>31023</v>
      </c>
      <c r="L5928" s="3"/>
      <c r="M5928" s="4"/>
      <c r="N5928" s="3" t="s">
        <v>37</v>
      </c>
      <c r="O5928" s="3" t="s">
        <v>38</v>
      </c>
      <c r="P5928" s="5">
        <v>9</v>
      </c>
      <c r="Q5928" s="5">
        <v>219</v>
      </c>
      <c r="R5928" s="5">
        <v>9</v>
      </c>
      <c r="S5928" s="5">
        <v>220</v>
      </c>
    </row>
    <row r="5929" spans="1:19" ht="42" x14ac:dyDescent="0.15">
      <c r="A5929" s="2">
        <f>HYPERLINK("https://open-school.uspishnemisto.com.ua/school/320117/", 320117)</f>
        <v>320117</v>
      </c>
      <c r="B5929" s="3" t="s">
        <v>31024</v>
      </c>
      <c r="C5929" s="3" t="s">
        <v>31</v>
      </c>
      <c r="D5929" s="3" t="s">
        <v>32</v>
      </c>
      <c r="E5929" s="4" t="s">
        <v>22</v>
      </c>
      <c r="F5929" s="4" t="s">
        <v>31020</v>
      </c>
      <c r="G5929" s="4" t="s">
        <v>31021</v>
      </c>
      <c r="H5929" s="3" t="s">
        <v>30534</v>
      </c>
      <c r="I5929" s="3" t="s">
        <v>5287</v>
      </c>
      <c r="J5929" s="3" t="s">
        <v>31025</v>
      </c>
      <c r="K5929" s="3" t="s">
        <v>31026</v>
      </c>
      <c r="L5929" s="3" t="s">
        <v>31027</v>
      </c>
      <c r="M5929" s="4"/>
      <c r="N5929" s="3" t="s">
        <v>37</v>
      </c>
      <c r="O5929" s="3" t="s">
        <v>38</v>
      </c>
      <c r="P5929" s="5">
        <v>20</v>
      </c>
      <c r="Q5929" s="5">
        <v>475</v>
      </c>
      <c r="R5929" s="5">
        <v>20</v>
      </c>
      <c r="S5929" s="5">
        <v>469</v>
      </c>
    </row>
    <row r="5930" spans="1:19" ht="28" x14ac:dyDescent="0.15">
      <c r="A5930" s="2">
        <f>HYPERLINK("https://open-school.uspishnemisto.com.ua/school/320118/", 320118)</f>
        <v>320118</v>
      </c>
      <c r="B5930" s="3" t="s">
        <v>31028</v>
      </c>
      <c r="C5930" s="3" t="s">
        <v>31</v>
      </c>
      <c r="D5930" s="3" t="s">
        <v>32</v>
      </c>
      <c r="E5930" s="4" t="s">
        <v>22</v>
      </c>
      <c r="F5930" s="4" t="s">
        <v>31029</v>
      </c>
      <c r="G5930" s="4" t="s">
        <v>31030</v>
      </c>
      <c r="H5930" s="3" t="s">
        <v>30534</v>
      </c>
      <c r="I5930" s="3" t="s">
        <v>31031</v>
      </c>
      <c r="J5930" s="3" t="s">
        <v>31032</v>
      </c>
      <c r="K5930" s="3" t="s">
        <v>31033</v>
      </c>
      <c r="L5930" s="3" t="s">
        <v>31034</v>
      </c>
      <c r="M5930" s="4"/>
      <c r="N5930" s="3" t="s">
        <v>37</v>
      </c>
      <c r="O5930" s="3" t="s">
        <v>52</v>
      </c>
      <c r="P5930" s="5">
        <v>10</v>
      </c>
      <c r="Q5930" s="5">
        <v>209</v>
      </c>
      <c r="R5930" s="5">
        <v>11</v>
      </c>
      <c r="S5930" s="5">
        <v>235</v>
      </c>
    </row>
    <row r="5931" spans="1:19" ht="28" x14ac:dyDescent="0.15">
      <c r="A5931" s="2">
        <f>HYPERLINK("https://open-school.uspishnemisto.com.ua/school/320119/", 320119)</f>
        <v>320119</v>
      </c>
      <c r="B5931" s="3" t="s">
        <v>31035</v>
      </c>
      <c r="C5931" s="3" t="s">
        <v>31</v>
      </c>
      <c r="D5931" s="3" t="s">
        <v>32</v>
      </c>
      <c r="E5931" s="4" t="s">
        <v>22</v>
      </c>
      <c r="F5931" s="4" t="s">
        <v>31029</v>
      </c>
      <c r="G5931" s="4" t="s">
        <v>31030</v>
      </c>
      <c r="H5931" s="3" t="s">
        <v>30534</v>
      </c>
      <c r="I5931" s="3" t="s">
        <v>31031</v>
      </c>
      <c r="J5931" s="3" t="s">
        <v>31036</v>
      </c>
      <c r="K5931" s="3" t="s">
        <v>31037</v>
      </c>
      <c r="L5931" s="3" t="s">
        <v>31038</v>
      </c>
      <c r="M5931" s="4"/>
      <c r="N5931" s="3" t="s">
        <v>37</v>
      </c>
      <c r="O5931" s="3" t="s">
        <v>52</v>
      </c>
      <c r="P5931" s="5">
        <v>20</v>
      </c>
      <c r="Q5931" s="5">
        <v>529</v>
      </c>
      <c r="R5931" s="5">
        <v>20</v>
      </c>
      <c r="S5931" s="5">
        <v>516</v>
      </c>
    </row>
    <row r="5932" spans="1:19" ht="28" x14ac:dyDescent="0.15">
      <c r="A5932" s="2">
        <f>HYPERLINK("https://open-school.uspishnemisto.com.ua/school/320120/", 320120)</f>
        <v>320120</v>
      </c>
      <c r="B5932" s="3" t="s">
        <v>31039</v>
      </c>
      <c r="C5932" s="3" t="s">
        <v>31</v>
      </c>
      <c r="D5932" s="3" t="s">
        <v>32</v>
      </c>
      <c r="E5932" s="4" t="s">
        <v>22</v>
      </c>
      <c r="F5932" s="4" t="s">
        <v>31040</v>
      </c>
      <c r="G5932" s="4" t="s">
        <v>31030</v>
      </c>
      <c r="H5932" s="3" t="s">
        <v>30534</v>
      </c>
      <c r="I5932" s="3" t="s">
        <v>31031</v>
      </c>
      <c r="J5932" s="3" t="s">
        <v>31041</v>
      </c>
      <c r="K5932" s="3" t="s">
        <v>31042</v>
      </c>
      <c r="L5932" s="3" t="s">
        <v>31043</v>
      </c>
      <c r="M5932" s="4"/>
      <c r="N5932" s="3" t="s">
        <v>128</v>
      </c>
      <c r="O5932" s="3" t="s">
        <v>38</v>
      </c>
      <c r="P5932" s="5">
        <v>29</v>
      </c>
      <c r="Q5932" s="5">
        <v>651</v>
      </c>
      <c r="R5932" s="5">
        <v>31</v>
      </c>
      <c r="S5932" s="5">
        <v>659</v>
      </c>
    </row>
    <row r="5933" spans="1:19" ht="28" x14ac:dyDescent="0.15">
      <c r="A5933" s="2">
        <f>HYPERLINK("https://open-school.uspishnemisto.com.ua/school/320121/", 320121)</f>
        <v>320121</v>
      </c>
      <c r="B5933" s="3" t="s">
        <v>31044</v>
      </c>
      <c r="C5933" s="3" t="s">
        <v>31</v>
      </c>
      <c r="D5933" s="3" t="s">
        <v>32</v>
      </c>
      <c r="E5933" s="4" t="s">
        <v>22</v>
      </c>
      <c r="F5933" s="4" t="s">
        <v>31029</v>
      </c>
      <c r="G5933" s="4" t="s">
        <v>31030</v>
      </c>
      <c r="H5933" s="3" t="s">
        <v>30534</v>
      </c>
      <c r="I5933" s="3" t="s">
        <v>31031</v>
      </c>
      <c r="J5933" s="3" t="s">
        <v>31045</v>
      </c>
      <c r="K5933" s="3" t="s">
        <v>31046</v>
      </c>
      <c r="L5933" s="3" t="s">
        <v>31047</v>
      </c>
      <c r="M5933" s="4"/>
      <c r="N5933" s="3" t="s">
        <v>37</v>
      </c>
      <c r="O5933" s="3" t="s">
        <v>52</v>
      </c>
      <c r="P5933" s="5">
        <v>18</v>
      </c>
      <c r="Q5933" s="5">
        <v>465</v>
      </c>
      <c r="R5933" s="5">
        <v>18</v>
      </c>
      <c r="S5933" s="5">
        <v>441</v>
      </c>
    </row>
    <row r="5934" spans="1:19" ht="28" x14ac:dyDescent="0.15">
      <c r="A5934" s="2">
        <f>HYPERLINK("https://open-school.uspishnemisto.com.ua/school/320122/", 320122)</f>
        <v>320122</v>
      </c>
      <c r="B5934" s="3" t="s">
        <v>31048</v>
      </c>
      <c r="C5934" s="3" t="s">
        <v>188</v>
      </c>
      <c r="D5934" s="3" t="s">
        <v>32</v>
      </c>
      <c r="E5934" s="4" t="s">
        <v>22</v>
      </c>
      <c r="F5934" s="4" t="s">
        <v>31029</v>
      </c>
      <c r="G5934" s="4" t="s">
        <v>31030</v>
      </c>
      <c r="H5934" s="3" t="s">
        <v>30534</v>
      </c>
      <c r="I5934" s="3" t="s">
        <v>31031</v>
      </c>
      <c r="J5934" s="3" t="s">
        <v>31049</v>
      </c>
      <c r="K5934" s="3" t="s">
        <v>31050</v>
      </c>
      <c r="L5934" s="3" t="s">
        <v>31051</v>
      </c>
      <c r="M5934" s="4"/>
      <c r="N5934" s="3" t="s">
        <v>37</v>
      </c>
      <c r="O5934" s="3" t="s">
        <v>46</v>
      </c>
      <c r="P5934" s="5">
        <v>13</v>
      </c>
      <c r="Q5934" s="5">
        <v>246</v>
      </c>
      <c r="R5934" s="5">
        <v>12</v>
      </c>
      <c r="S5934" s="5">
        <v>227</v>
      </c>
    </row>
    <row r="5935" spans="1:19" ht="28" x14ac:dyDescent="0.15">
      <c r="A5935" s="2">
        <f>HYPERLINK("https://open-school.uspishnemisto.com.ua/school/320123/", 320123)</f>
        <v>320123</v>
      </c>
      <c r="B5935" s="3" t="s">
        <v>31052</v>
      </c>
      <c r="C5935" s="3" t="s">
        <v>31</v>
      </c>
      <c r="D5935" s="3" t="s">
        <v>32</v>
      </c>
      <c r="E5935" s="4" t="s">
        <v>22</v>
      </c>
      <c r="F5935" s="4" t="s">
        <v>31053</v>
      </c>
      <c r="G5935" s="4" t="s">
        <v>31054</v>
      </c>
      <c r="H5935" s="3" t="s">
        <v>30534</v>
      </c>
      <c r="I5935" s="3" t="s">
        <v>2736</v>
      </c>
      <c r="J5935" s="3" t="s">
        <v>31055</v>
      </c>
      <c r="K5935" s="3"/>
      <c r="L5935" s="3" t="s">
        <v>31056</v>
      </c>
      <c r="M5935" s="4"/>
      <c r="N5935" s="3" t="s">
        <v>37</v>
      </c>
      <c r="O5935" s="3" t="s">
        <v>721</v>
      </c>
      <c r="P5935" s="5">
        <v>13</v>
      </c>
      <c r="Q5935" s="5">
        <v>328</v>
      </c>
      <c r="R5935" s="5">
        <v>13</v>
      </c>
      <c r="S5935" s="5">
        <v>309</v>
      </c>
    </row>
    <row r="5936" spans="1:19" ht="56" x14ac:dyDescent="0.15">
      <c r="A5936" s="2">
        <f>HYPERLINK("https://open-school.uspishnemisto.com.ua/school/320124/", 320124)</f>
        <v>320124</v>
      </c>
      <c r="B5936" s="3" t="s">
        <v>31057</v>
      </c>
      <c r="C5936" s="3" t="s">
        <v>54</v>
      </c>
      <c r="D5936" s="3" t="s">
        <v>32</v>
      </c>
      <c r="E5936" s="4" t="s">
        <v>22</v>
      </c>
      <c r="F5936" s="4" t="s">
        <v>31058</v>
      </c>
      <c r="G5936" s="4" t="s">
        <v>31054</v>
      </c>
      <c r="H5936" s="3" t="s">
        <v>30534</v>
      </c>
      <c r="I5936" s="3" t="s">
        <v>2736</v>
      </c>
      <c r="J5936" s="3" t="s">
        <v>31059</v>
      </c>
      <c r="K5936" s="3" t="s">
        <v>31060</v>
      </c>
      <c r="L5936" s="3" t="s">
        <v>31061</v>
      </c>
      <c r="M5936" s="4"/>
      <c r="N5936" s="3" t="s">
        <v>37</v>
      </c>
      <c r="O5936" s="3" t="s">
        <v>70</v>
      </c>
      <c r="P5936" s="5">
        <v>13</v>
      </c>
      <c r="Q5936" s="5">
        <v>275</v>
      </c>
      <c r="R5936" s="5">
        <v>13</v>
      </c>
      <c r="S5936" s="5">
        <v>277</v>
      </c>
    </row>
    <row r="5937" spans="1:19" ht="42" x14ac:dyDescent="0.15">
      <c r="A5937" s="2">
        <f>HYPERLINK("https://open-school.uspishnemisto.com.ua/school/320125/", 320125)</f>
        <v>320125</v>
      </c>
      <c r="B5937" s="3" t="s">
        <v>31062</v>
      </c>
      <c r="C5937" s="3" t="s">
        <v>40</v>
      </c>
      <c r="D5937" s="3" t="s">
        <v>32</v>
      </c>
      <c r="E5937" s="4" t="s">
        <v>22</v>
      </c>
      <c r="F5937" s="4" t="s">
        <v>31053</v>
      </c>
      <c r="G5937" s="4" t="s">
        <v>31054</v>
      </c>
      <c r="H5937" s="3" t="s">
        <v>30534</v>
      </c>
      <c r="I5937" s="3" t="s">
        <v>2736</v>
      </c>
      <c r="J5937" s="3" t="s">
        <v>31063</v>
      </c>
      <c r="K5937" s="3" t="s">
        <v>31064</v>
      </c>
      <c r="L5937" s="3"/>
      <c r="M5937" s="4"/>
      <c r="N5937" s="3" t="s">
        <v>37</v>
      </c>
      <c r="O5937" s="3" t="s">
        <v>70</v>
      </c>
      <c r="P5937" s="5">
        <v>17</v>
      </c>
      <c r="Q5937" s="5">
        <v>439</v>
      </c>
      <c r="R5937" s="5">
        <v>16</v>
      </c>
      <c r="S5937" s="5">
        <v>396</v>
      </c>
    </row>
    <row r="5938" spans="1:19" ht="42" x14ac:dyDescent="0.15">
      <c r="A5938" s="2">
        <f>HYPERLINK("https://open-school.uspishnemisto.com.ua/school/320126/", 320126)</f>
        <v>320126</v>
      </c>
      <c r="B5938" s="3" t="s">
        <v>31065</v>
      </c>
      <c r="C5938" s="3" t="s">
        <v>54</v>
      </c>
      <c r="D5938" s="3" t="s">
        <v>32</v>
      </c>
      <c r="E5938" s="4" t="s">
        <v>22</v>
      </c>
      <c r="F5938" s="4" t="s">
        <v>31066</v>
      </c>
      <c r="G5938" s="4" t="s">
        <v>31054</v>
      </c>
      <c r="H5938" s="3" t="s">
        <v>30534</v>
      </c>
      <c r="I5938" s="3" t="s">
        <v>2736</v>
      </c>
      <c r="J5938" s="3" t="s">
        <v>2085</v>
      </c>
      <c r="K5938" s="3" t="s">
        <v>31067</v>
      </c>
      <c r="L5938" s="3" t="s">
        <v>31068</v>
      </c>
      <c r="M5938" s="4"/>
      <c r="N5938" s="3" t="s">
        <v>37</v>
      </c>
      <c r="O5938" s="3" t="s">
        <v>38</v>
      </c>
      <c r="P5938" s="5">
        <v>55</v>
      </c>
      <c r="Q5938" s="5">
        <v>1560</v>
      </c>
      <c r="R5938" s="5">
        <v>51</v>
      </c>
      <c r="S5938" s="5">
        <v>1463</v>
      </c>
    </row>
    <row r="5939" spans="1:19" ht="56" x14ac:dyDescent="0.15">
      <c r="A5939" s="2">
        <f>HYPERLINK("https://open-school.uspishnemisto.com.ua/school/320127/", 320127)</f>
        <v>320127</v>
      </c>
      <c r="B5939" s="3" t="s">
        <v>31069</v>
      </c>
      <c r="C5939" s="3" t="s">
        <v>54</v>
      </c>
      <c r="D5939" s="3" t="s">
        <v>32</v>
      </c>
      <c r="E5939" s="4" t="s">
        <v>22</v>
      </c>
      <c r="F5939" s="4" t="s">
        <v>31070</v>
      </c>
      <c r="G5939" s="4" t="s">
        <v>31054</v>
      </c>
      <c r="H5939" s="3" t="s">
        <v>30534</v>
      </c>
      <c r="I5939" s="3" t="s">
        <v>2736</v>
      </c>
      <c r="J5939" s="3" t="s">
        <v>31071</v>
      </c>
      <c r="K5939" s="3" t="s">
        <v>31072</v>
      </c>
      <c r="L5939" s="3" t="s">
        <v>31073</v>
      </c>
      <c r="M5939" s="4"/>
      <c r="N5939" s="3" t="s">
        <v>37</v>
      </c>
      <c r="O5939" s="3" t="s">
        <v>167</v>
      </c>
      <c r="P5939" s="5">
        <v>58</v>
      </c>
      <c r="Q5939" s="5">
        <v>1591</v>
      </c>
      <c r="R5939" s="5">
        <v>56</v>
      </c>
      <c r="S5939" s="5">
        <v>1524</v>
      </c>
    </row>
    <row r="5940" spans="1:19" ht="70" x14ac:dyDescent="0.15">
      <c r="A5940" s="2">
        <f>HYPERLINK("https://open-school.uspishnemisto.com.ua/school/320128/", 320128)</f>
        <v>320128</v>
      </c>
      <c r="B5940" s="3" t="s">
        <v>31074</v>
      </c>
      <c r="C5940" s="3" t="s">
        <v>54</v>
      </c>
      <c r="D5940" s="3" t="s">
        <v>32</v>
      </c>
      <c r="E5940" s="4" t="s">
        <v>22</v>
      </c>
      <c r="F5940" s="4" t="s">
        <v>31053</v>
      </c>
      <c r="G5940" s="4" t="s">
        <v>31054</v>
      </c>
      <c r="H5940" s="3" t="s">
        <v>30534</v>
      </c>
      <c r="I5940" s="3" t="s">
        <v>2736</v>
      </c>
      <c r="J5940" s="3" t="s">
        <v>19031</v>
      </c>
      <c r="K5940" s="3" t="s">
        <v>31075</v>
      </c>
      <c r="L5940" s="3" t="s">
        <v>31076</v>
      </c>
      <c r="M5940" s="4"/>
      <c r="N5940" s="3" t="s">
        <v>37</v>
      </c>
      <c r="O5940" s="3" t="s">
        <v>46</v>
      </c>
      <c r="P5940" s="5">
        <v>21</v>
      </c>
      <c r="Q5940" s="5">
        <v>583</v>
      </c>
      <c r="R5940" s="5">
        <v>21</v>
      </c>
      <c r="S5940" s="5">
        <v>573</v>
      </c>
    </row>
    <row r="5941" spans="1:19" ht="42" x14ac:dyDescent="0.15">
      <c r="A5941" s="2">
        <f>HYPERLINK("https://open-school.uspishnemisto.com.ua/school/320129/", 320129)</f>
        <v>320129</v>
      </c>
      <c r="B5941" s="3" t="s">
        <v>31077</v>
      </c>
      <c r="C5941" s="3" t="s">
        <v>31</v>
      </c>
      <c r="D5941" s="3" t="s">
        <v>32</v>
      </c>
      <c r="E5941" s="4" t="s">
        <v>22</v>
      </c>
      <c r="F5941" s="4" t="s">
        <v>31078</v>
      </c>
      <c r="G5941" s="4" t="s">
        <v>31079</v>
      </c>
      <c r="H5941" s="3" t="s">
        <v>30534</v>
      </c>
      <c r="I5941" s="3" t="s">
        <v>31080</v>
      </c>
      <c r="J5941" s="3" t="s">
        <v>3244</v>
      </c>
      <c r="K5941" s="3" t="s">
        <v>31081</v>
      </c>
      <c r="L5941" s="3" t="s">
        <v>31082</v>
      </c>
      <c r="M5941" s="4"/>
      <c r="N5941" s="3" t="s">
        <v>37</v>
      </c>
      <c r="O5941" s="3" t="s">
        <v>70</v>
      </c>
      <c r="P5941" s="5">
        <v>30</v>
      </c>
      <c r="Q5941" s="5">
        <v>776</v>
      </c>
      <c r="R5941" s="5">
        <v>29</v>
      </c>
      <c r="S5941" s="5">
        <v>754</v>
      </c>
    </row>
    <row r="5942" spans="1:19" ht="28" x14ac:dyDescent="0.15">
      <c r="A5942" s="2">
        <f>HYPERLINK("https://open-school.uspishnemisto.com.ua/school/320130/", 320130)</f>
        <v>320130</v>
      </c>
      <c r="B5942" s="3" t="s">
        <v>31083</v>
      </c>
      <c r="C5942" s="3" t="s">
        <v>54</v>
      </c>
      <c r="D5942" s="3" t="s">
        <v>32</v>
      </c>
      <c r="E5942" s="4" t="s">
        <v>22</v>
      </c>
      <c r="F5942" s="4" t="s">
        <v>31078</v>
      </c>
      <c r="G5942" s="4" t="s">
        <v>31079</v>
      </c>
      <c r="H5942" s="3" t="s">
        <v>30534</v>
      </c>
      <c r="I5942" s="3" t="s">
        <v>31080</v>
      </c>
      <c r="J5942" s="3" t="s">
        <v>31084</v>
      </c>
      <c r="K5942" s="3"/>
      <c r="L5942" s="3" t="s">
        <v>31085</v>
      </c>
      <c r="M5942" s="4"/>
      <c r="N5942" s="3" t="s">
        <v>37</v>
      </c>
      <c r="O5942" s="3" t="s">
        <v>46</v>
      </c>
      <c r="P5942" s="5">
        <v>28</v>
      </c>
      <c r="Q5942" s="5">
        <v>704</v>
      </c>
      <c r="R5942" s="5">
        <v>27</v>
      </c>
      <c r="S5942" s="5">
        <v>648</v>
      </c>
    </row>
    <row r="5943" spans="1:19" ht="42" x14ac:dyDescent="0.15">
      <c r="A5943" s="2">
        <f>HYPERLINK("https://open-school.uspishnemisto.com.ua/school/320131/", 320131)</f>
        <v>320131</v>
      </c>
      <c r="B5943" s="3" t="s">
        <v>31086</v>
      </c>
      <c r="C5943" s="3" t="s">
        <v>54</v>
      </c>
      <c r="D5943" s="3" t="s">
        <v>175</v>
      </c>
      <c r="E5943" s="4" t="s">
        <v>22</v>
      </c>
      <c r="F5943" s="4" t="s">
        <v>31087</v>
      </c>
      <c r="G5943" s="4" t="s">
        <v>31088</v>
      </c>
      <c r="H5943" s="3" t="s">
        <v>30534</v>
      </c>
      <c r="I5943" s="3" t="s">
        <v>31089</v>
      </c>
      <c r="J5943" s="3" t="s">
        <v>31090</v>
      </c>
      <c r="K5943" s="3" t="s">
        <v>31091</v>
      </c>
      <c r="L5943" s="3"/>
      <c r="M5943" s="4"/>
      <c r="N5943" s="3" t="s">
        <v>37</v>
      </c>
      <c r="O5943" s="3" t="s">
        <v>52</v>
      </c>
      <c r="P5943" s="5">
        <v>9</v>
      </c>
      <c r="Q5943" s="5">
        <v>76</v>
      </c>
      <c r="R5943" s="5">
        <v>8</v>
      </c>
      <c r="S5943" s="5">
        <v>68</v>
      </c>
    </row>
    <row r="5944" spans="1:19" ht="42" x14ac:dyDescent="0.15">
      <c r="A5944" s="2">
        <f>HYPERLINK("https://open-school.uspishnemisto.com.ua/school/320132/", 320132)</f>
        <v>320132</v>
      </c>
      <c r="B5944" s="3" t="s">
        <v>31092</v>
      </c>
      <c r="C5944" s="3" t="s">
        <v>54</v>
      </c>
      <c r="D5944" s="3" t="s">
        <v>175</v>
      </c>
      <c r="E5944" s="4" t="s">
        <v>22</v>
      </c>
      <c r="F5944" s="4" t="s">
        <v>31093</v>
      </c>
      <c r="G5944" s="4" t="s">
        <v>31094</v>
      </c>
      <c r="H5944" s="3" t="s">
        <v>30534</v>
      </c>
      <c r="I5944" s="3" t="s">
        <v>31095</v>
      </c>
      <c r="J5944" s="3" t="s">
        <v>31096</v>
      </c>
      <c r="K5944" s="3" t="s">
        <v>31097</v>
      </c>
      <c r="L5944" s="3"/>
      <c r="M5944" s="4"/>
      <c r="N5944" s="3" t="s">
        <v>37</v>
      </c>
      <c r="O5944" s="3" t="s">
        <v>52</v>
      </c>
      <c r="P5944" s="5">
        <v>9</v>
      </c>
      <c r="Q5944" s="5">
        <v>67</v>
      </c>
      <c r="R5944" s="5">
        <v>9</v>
      </c>
      <c r="S5944" s="5">
        <v>66</v>
      </c>
    </row>
    <row r="5945" spans="1:19" ht="42" x14ac:dyDescent="0.15">
      <c r="A5945" s="2">
        <f>HYPERLINK("https://open-school.uspishnemisto.com.ua/school/320133/", 320133)</f>
        <v>320133</v>
      </c>
      <c r="B5945" s="3" t="s">
        <v>31098</v>
      </c>
      <c r="C5945" s="3" t="s">
        <v>54</v>
      </c>
      <c r="D5945" s="3" t="s">
        <v>32</v>
      </c>
      <c r="E5945" s="4" t="s">
        <v>22</v>
      </c>
      <c r="F5945" s="4" t="s">
        <v>31099</v>
      </c>
      <c r="G5945" s="4" t="s">
        <v>31100</v>
      </c>
      <c r="H5945" s="3" t="s">
        <v>30534</v>
      </c>
      <c r="I5945" s="3" t="s">
        <v>31101</v>
      </c>
      <c r="J5945" s="3" t="s">
        <v>3370</v>
      </c>
      <c r="K5945" s="3" t="s">
        <v>31102</v>
      </c>
      <c r="L5945" s="3" t="s">
        <v>31103</v>
      </c>
      <c r="M5945" s="4"/>
      <c r="N5945" s="3" t="s">
        <v>37</v>
      </c>
      <c r="O5945" s="3" t="s">
        <v>52</v>
      </c>
      <c r="P5945" s="5">
        <v>17</v>
      </c>
      <c r="Q5945" s="5">
        <v>240</v>
      </c>
      <c r="R5945" s="5">
        <v>11</v>
      </c>
      <c r="S5945" s="5">
        <v>185</v>
      </c>
    </row>
    <row r="5946" spans="1:19" ht="28" x14ac:dyDescent="0.15">
      <c r="A5946" s="2">
        <f>HYPERLINK("https://open-school.uspishnemisto.com.ua/school/320134/", 320134)</f>
        <v>320134</v>
      </c>
      <c r="B5946" s="3" t="s">
        <v>31104</v>
      </c>
      <c r="C5946" s="3" t="s">
        <v>31</v>
      </c>
      <c r="D5946" s="3" t="s">
        <v>32</v>
      </c>
      <c r="E5946" s="4" t="s">
        <v>22</v>
      </c>
      <c r="F5946" s="4" t="s">
        <v>31105</v>
      </c>
      <c r="G5946" s="4" t="s">
        <v>31106</v>
      </c>
      <c r="H5946" s="3" t="s">
        <v>30534</v>
      </c>
      <c r="I5946" s="3" t="s">
        <v>31107</v>
      </c>
      <c r="J5946" s="3" t="s">
        <v>31108</v>
      </c>
      <c r="K5946" s="3" t="s">
        <v>31109</v>
      </c>
      <c r="L5946" s="3" t="s">
        <v>31110</v>
      </c>
      <c r="M5946" s="4"/>
      <c r="N5946" s="3" t="s">
        <v>37</v>
      </c>
      <c r="O5946" s="3" t="s">
        <v>38</v>
      </c>
      <c r="P5946" s="5">
        <v>11</v>
      </c>
      <c r="Q5946" s="5">
        <v>168</v>
      </c>
      <c r="R5946" s="5">
        <v>10</v>
      </c>
      <c r="S5946" s="5">
        <v>162</v>
      </c>
    </row>
    <row r="5947" spans="1:19" ht="28" x14ac:dyDescent="0.15">
      <c r="A5947" s="2">
        <f>HYPERLINK("https://open-school.uspishnemisto.com.ua/school/320135/", 320135)</f>
        <v>320135</v>
      </c>
      <c r="B5947" s="3" t="s">
        <v>31111</v>
      </c>
      <c r="C5947" s="3" t="s">
        <v>31</v>
      </c>
      <c r="D5947" s="3" t="s">
        <v>32</v>
      </c>
      <c r="E5947" s="4" t="s">
        <v>22</v>
      </c>
      <c r="F5947" s="4" t="s">
        <v>31112</v>
      </c>
      <c r="G5947" s="4" t="s">
        <v>31113</v>
      </c>
      <c r="H5947" s="3" t="s">
        <v>30534</v>
      </c>
      <c r="I5947" s="3" t="s">
        <v>31114</v>
      </c>
      <c r="J5947" s="3" t="s">
        <v>31115</v>
      </c>
      <c r="K5947" s="3"/>
      <c r="L5947" s="3"/>
      <c r="M5947" s="4"/>
      <c r="N5947" s="3" t="s">
        <v>37</v>
      </c>
      <c r="O5947" s="3" t="s">
        <v>46</v>
      </c>
      <c r="P5947" s="5">
        <v>11</v>
      </c>
      <c r="Q5947" s="5">
        <v>114</v>
      </c>
      <c r="R5947" s="5">
        <v>11</v>
      </c>
      <c r="S5947" s="5">
        <v>118</v>
      </c>
    </row>
    <row r="5948" spans="1:19" ht="28" x14ac:dyDescent="0.15">
      <c r="A5948" s="2">
        <f>HYPERLINK("https://open-school.uspishnemisto.com.ua/school/320136/", 320136)</f>
        <v>320136</v>
      </c>
      <c r="B5948" s="3" t="s">
        <v>31116</v>
      </c>
      <c r="C5948" s="3" t="s">
        <v>54</v>
      </c>
      <c r="D5948" s="3" t="s">
        <v>32</v>
      </c>
      <c r="E5948" s="4" t="s">
        <v>22</v>
      </c>
      <c r="F5948" s="4" t="s">
        <v>31117</v>
      </c>
      <c r="G5948" s="4" t="s">
        <v>31118</v>
      </c>
      <c r="H5948" s="3" t="s">
        <v>30534</v>
      </c>
      <c r="I5948" s="3" t="s">
        <v>31119</v>
      </c>
      <c r="J5948" s="3" t="s">
        <v>447</v>
      </c>
      <c r="K5948" s="3" t="s">
        <v>31120</v>
      </c>
      <c r="L5948" s="3" t="s">
        <v>31121</v>
      </c>
      <c r="M5948" s="4"/>
      <c r="N5948" s="3" t="s">
        <v>37</v>
      </c>
      <c r="O5948" s="3" t="s">
        <v>46</v>
      </c>
      <c r="P5948" s="5">
        <v>11</v>
      </c>
      <c r="Q5948" s="5">
        <v>139</v>
      </c>
      <c r="R5948" s="5">
        <v>11</v>
      </c>
      <c r="S5948" s="5">
        <v>138</v>
      </c>
    </row>
    <row r="5949" spans="1:19" ht="70" x14ac:dyDescent="0.15">
      <c r="A5949" s="2">
        <f>HYPERLINK("https://open-school.uspishnemisto.com.ua/school/320137/", 320137)</f>
        <v>320137</v>
      </c>
      <c r="B5949" s="3" t="s">
        <v>31122</v>
      </c>
      <c r="C5949" s="3" t="s">
        <v>54</v>
      </c>
      <c r="D5949" s="3" t="s">
        <v>32</v>
      </c>
      <c r="E5949" s="4" t="s">
        <v>22</v>
      </c>
      <c r="F5949" s="4" t="s">
        <v>31123</v>
      </c>
      <c r="G5949" s="4" t="s">
        <v>31124</v>
      </c>
      <c r="H5949" s="3" t="s">
        <v>30534</v>
      </c>
      <c r="I5949" s="3" t="s">
        <v>2718</v>
      </c>
      <c r="J5949" s="3" t="s">
        <v>31125</v>
      </c>
      <c r="K5949" s="3"/>
      <c r="L5949" s="3" t="s">
        <v>31126</v>
      </c>
      <c r="M5949" s="4"/>
      <c r="N5949" s="3" t="s">
        <v>37</v>
      </c>
      <c r="O5949" s="3" t="s">
        <v>52</v>
      </c>
      <c r="P5949" s="5">
        <v>15</v>
      </c>
      <c r="Q5949" s="5">
        <v>288</v>
      </c>
      <c r="R5949" s="5">
        <v>14</v>
      </c>
      <c r="S5949" s="5">
        <v>284</v>
      </c>
    </row>
    <row r="5950" spans="1:19" ht="42" x14ac:dyDescent="0.15">
      <c r="A5950" s="2">
        <f>HYPERLINK("https://open-school.uspishnemisto.com.ua/school/320138/", 320138)</f>
        <v>320138</v>
      </c>
      <c r="B5950" s="3" t="s">
        <v>31127</v>
      </c>
      <c r="C5950" s="3" t="s">
        <v>54</v>
      </c>
      <c r="D5950" s="3" t="s">
        <v>32</v>
      </c>
      <c r="E5950" s="4" t="s">
        <v>22</v>
      </c>
      <c r="F5950" s="4" t="s">
        <v>31128</v>
      </c>
      <c r="G5950" s="4" t="s">
        <v>31129</v>
      </c>
      <c r="H5950" s="3" t="s">
        <v>30534</v>
      </c>
      <c r="I5950" s="3" t="s">
        <v>31130</v>
      </c>
      <c r="J5950" s="3" t="s">
        <v>31131</v>
      </c>
      <c r="K5950" s="3" t="s">
        <v>31132</v>
      </c>
      <c r="L5950" s="3"/>
      <c r="M5950" s="4"/>
      <c r="N5950" s="3" t="s">
        <v>37</v>
      </c>
      <c r="O5950" s="3" t="s">
        <v>46</v>
      </c>
      <c r="P5950" s="5">
        <v>9</v>
      </c>
      <c r="Q5950" s="5">
        <v>105</v>
      </c>
      <c r="R5950" s="5">
        <v>10</v>
      </c>
      <c r="S5950" s="5">
        <v>102</v>
      </c>
    </row>
    <row r="5951" spans="1:19" ht="42" x14ac:dyDescent="0.15">
      <c r="A5951" s="2">
        <f>HYPERLINK("https://open-school.uspishnemisto.com.ua/school/320139/", 320139)</f>
        <v>320139</v>
      </c>
      <c r="B5951" s="3" t="s">
        <v>31133</v>
      </c>
      <c r="C5951" s="3" t="s">
        <v>54</v>
      </c>
      <c r="D5951" s="3" t="s">
        <v>32</v>
      </c>
      <c r="E5951" s="4" t="s">
        <v>22</v>
      </c>
      <c r="F5951" s="4" t="s">
        <v>31134</v>
      </c>
      <c r="G5951" s="4" t="s">
        <v>31135</v>
      </c>
      <c r="H5951" s="3" t="s">
        <v>30534</v>
      </c>
      <c r="I5951" s="3" t="s">
        <v>31136</v>
      </c>
      <c r="J5951" s="3" t="s">
        <v>31137</v>
      </c>
      <c r="K5951" s="3" t="s">
        <v>31138</v>
      </c>
      <c r="L5951" s="3"/>
      <c r="M5951" s="4"/>
      <c r="N5951" s="3" t="s">
        <v>37</v>
      </c>
      <c r="O5951" s="3" t="s">
        <v>52</v>
      </c>
      <c r="P5951" s="5">
        <v>7</v>
      </c>
      <c r="Q5951" s="5">
        <v>51</v>
      </c>
      <c r="R5951" s="5">
        <v>6</v>
      </c>
      <c r="S5951" s="5">
        <v>48</v>
      </c>
    </row>
    <row r="5952" spans="1:19" ht="42" x14ac:dyDescent="0.15">
      <c r="A5952" s="2">
        <f>HYPERLINK("https://open-school.uspishnemisto.com.ua/school/320140/", 320140)</f>
        <v>320140</v>
      </c>
      <c r="B5952" s="3" t="s">
        <v>31139</v>
      </c>
      <c r="C5952" s="3" t="s">
        <v>54</v>
      </c>
      <c r="D5952" s="3" t="s">
        <v>175</v>
      </c>
      <c r="E5952" s="4" t="s">
        <v>22</v>
      </c>
      <c r="F5952" s="4" t="s">
        <v>31140</v>
      </c>
      <c r="G5952" s="4" t="s">
        <v>31141</v>
      </c>
      <c r="H5952" s="3" t="s">
        <v>30534</v>
      </c>
      <c r="I5952" s="3" t="s">
        <v>31142</v>
      </c>
      <c r="J5952" s="3" t="s">
        <v>10957</v>
      </c>
      <c r="K5952" s="3" t="s">
        <v>31143</v>
      </c>
      <c r="L5952" s="3" t="s">
        <v>31144</v>
      </c>
      <c r="M5952" s="4"/>
      <c r="N5952" s="3" t="s">
        <v>37</v>
      </c>
      <c r="O5952" s="3" t="s">
        <v>46</v>
      </c>
      <c r="P5952" s="5">
        <v>9</v>
      </c>
      <c r="Q5952" s="5">
        <v>74</v>
      </c>
      <c r="R5952" s="5">
        <v>9</v>
      </c>
      <c r="S5952" s="5">
        <v>75</v>
      </c>
    </row>
    <row r="5953" spans="1:19" ht="42" x14ac:dyDescent="0.15">
      <c r="A5953" s="2">
        <f>HYPERLINK("https://open-school.uspishnemisto.com.ua/school/320141/", 320141)</f>
        <v>320141</v>
      </c>
      <c r="B5953" s="3" t="s">
        <v>31145</v>
      </c>
      <c r="C5953" s="3" t="s">
        <v>54</v>
      </c>
      <c r="D5953" s="3" t="s">
        <v>32</v>
      </c>
      <c r="E5953" s="4" t="s">
        <v>22</v>
      </c>
      <c r="F5953" s="4" t="s">
        <v>31146</v>
      </c>
      <c r="G5953" s="4" t="s">
        <v>31147</v>
      </c>
      <c r="H5953" s="3" t="s">
        <v>30534</v>
      </c>
      <c r="I5953" s="3" t="s">
        <v>1752</v>
      </c>
      <c r="J5953" s="3" t="s">
        <v>31148</v>
      </c>
      <c r="K5953" s="3" t="s">
        <v>31149</v>
      </c>
      <c r="L5953" s="3"/>
      <c r="M5953" s="4"/>
      <c r="N5953" s="3" t="s">
        <v>37</v>
      </c>
      <c r="O5953" s="3" t="s">
        <v>38</v>
      </c>
      <c r="P5953" s="5">
        <v>10</v>
      </c>
      <c r="Q5953" s="5">
        <v>94</v>
      </c>
      <c r="R5953" s="5">
        <v>11</v>
      </c>
      <c r="S5953" s="5">
        <v>99</v>
      </c>
    </row>
    <row r="5954" spans="1:19" ht="42" x14ac:dyDescent="0.15">
      <c r="A5954" s="2">
        <f>HYPERLINK("https://open-school.uspishnemisto.com.ua/school/320142/", 320142)</f>
        <v>320142</v>
      </c>
      <c r="B5954" s="3" t="s">
        <v>31150</v>
      </c>
      <c r="C5954" s="3" t="s">
        <v>54</v>
      </c>
      <c r="D5954" s="3" t="s">
        <v>175</v>
      </c>
      <c r="E5954" s="4" t="s">
        <v>22</v>
      </c>
      <c r="F5954" s="4" t="s">
        <v>31151</v>
      </c>
      <c r="G5954" s="4" t="s">
        <v>31152</v>
      </c>
      <c r="H5954" s="3" t="s">
        <v>30534</v>
      </c>
      <c r="I5954" s="3" t="s">
        <v>31153</v>
      </c>
      <c r="J5954" s="3" t="s">
        <v>31154</v>
      </c>
      <c r="K5954" s="3" t="s">
        <v>31155</v>
      </c>
      <c r="L5954" s="3" t="s">
        <v>31156</v>
      </c>
      <c r="M5954" s="4"/>
      <c r="N5954" s="3" t="s">
        <v>37</v>
      </c>
      <c r="O5954" s="3" t="s">
        <v>46</v>
      </c>
      <c r="P5954" s="5">
        <v>8</v>
      </c>
      <c r="Q5954" s="5">
        <v>35</v>
      </c>
      <c r="R5954" s="5">
        <v>7</v>
      </c>
      <c r="S5954" s="5">
        <v>32</v>
      </c>
    </row>
    <row r="5955" spans="1:19" ht="28" x14ac:dyDescent="0.15">
      <c r="A5955" s="2">
        <f>HYPERLINK("https://open-school.uspishnemisto.com.ua/school/320143/", 320143)</f>
        <v>320143</v>
      </c>
      <c r="B5955" s="3" t="s">
        <v>31157</v>
      </c>
      <c r="C5955" s="3" t="s">
        <v>54</v>
      </c>
      <c r="D5955" s="3" t="s">
        <v>175</v>
      </c>
      <c r="E5955" s="4" t="s">
        <v>22</v>
      </c>
      <c r="F5955" s="4" t="s">
        <v>31158</v>
      </c>
      <c r="G5955" s="4" t="s">
        <v>31159</v>
      </c>
      <c r="H5955" s="3" t="s">
        <v>30534</v>
      </c>
      <c r="I5955" s="3" t="s">
        <v>31160</v>
      </c>
      <c r="J5955" s="3" t="s">
        <v>946</v>
      </c>
      <c r="K5955" s="3" t="s">
        <v>4043</v>
      </c>
      <c r="L5955" s="3"/>
      <c r="M5955" s="4"/>
      <c r="N5955" s="3" t="s">
        <v>37</v>
      </c>
      <c r="O5955" s="3" t="s">
        <v>52</v>
      </c>
      <c r="P5955" s="5">
        <v>0</v>
      </c>
      <c r="Q5955" s="5">
        <v>0</v>
      </c>
      <c r="R5955" s="5">
        <v>5</v>
      </c>
      <c r="S5955" s="5">
        <v>36</v>
      </c>
    </row>
    <row r="5956" spans="1:19" ht="42" x14ac:dyDescent="0.15">
      <c r="A5956" s="2">
        <f>HYPERLINK("https://open-school.uspishnemisto.com.ua/school/320144/", 320144)</f>
        <v>320144</v>
      </c>
      <c r="B5956" s="3" t="s">
        <v>31161</v>
      </c>
      <c r="C5956" s="3" t="s">
        <v>54</v>
      </c>
      <c r="D5956" s="3" t="s">
        <v>32</v>
      </c>
      <c r="E5956" s="4" t="s">
        <v>22</v>
      </c>
      <c r="F5956" s="4" t="s">
        <v>31162</v>
      </c>
      <c r="G5956" s="4" t="s">
        <v>31163</v>
      </c>
      <c r="H5956" s="3" t="s">
        <v>30534</v>
      </c>
      <c r="I5956" s="3" t="s">
        <v>3151</v>
      </c>
      <c r="J5956" s="3" t="s">
        <v>31164</v>
      </c>
      <c r="K5956" s="3"/>
      <c r="L5956" s="3"/>
      <c r="M5956" s="4"/>
      <c r="N5956" s="3" t="s">
        <v>37</v>
      </c>
      <c r="O5956" s="3" t="s">
        <v>52</v>
      </c>
      <c r="P5956" s="5">
        <v>11</v>
      </c>
      <c r="Q5956" s="5">
        <v>115</v>
      </c>
      <c r="R5956" s="5">
        <v>11</v>
      </c>
      <c r="S5956" s="5">
        <v>108</v>
      </c>
    </row>
    <row r="5957" spans="1:19" ht="28" x14ac:dyDescent="0.15">
      <c r="A5957" s="2">
        <f>HYPERLINK("https://open-school.uspishnemisto.com.ua/school/320145/", 320145)</f>
        <v>320145</v>
      </c>
      <c r="B5957" s="3" t="s">
        <v>31165</v>
      </c>
      <c r="C5957" s="3" t="s">
        <v>31</v>
      </c>
      <c r="D5957" s="3" t="s">
        <v>32</v>
      </c>
      <c r="E5957" s="4" t="s">
        <v>22</v>
      </c>
      <c r="F5957" s="4" t="s">
        <v>31166</v>
      </c>
      <c r="G5957" s="4" t="s">
        <v>31167</v>
      </c>
      <c r="H5957" s="3" t="s">
        <v>30534</v>
      </c>
      <c r="I5957" s="3" t="s">
        <v>18131</v>
      </c>
      <c r="J5957" s="3" t="s">
        <v>817</v>
      </c>
      <c r="K5957" s="3" t="s">
        <v>31168</v>
      </c>
      <c r="L5957" s="3" t="s">
        <v>31169</v>
      </c>
      <c r="M5957" s="4"/>
      <c r="N5957" s="3" t="s">
        <v>37</v>
      </c>
      <c r="O5957" s="3" t="s">
        <v>38</v>
      </c>
      <c r="P5957" s="5">
        <v>11</v>
      </c>
      <c r="Q5957" s="5">
        <v>173</v>
      </c>
      <c r="R5957" s="5">
        <v>11</v>
      </c>
      <c r="S5957" s="5">
        <v>170</v>
      </c>
    </row>
    <row r="5958" spans="1:19" ht="28" x14ac:dyDescent="0.15">
      <c r="A5958" s="2">
        <f>HYPERLINK("https://open-school.uspishnemisto.com.ua/school/320146/", 320146)</f>
        <v>320146</v>
      </c>
      <c r="B5958" s="3" t="s">
        <v>31170</v>
      </c>
      <c r="C5958" s="3" t="s">
        <v>54</v>
      </c>
      <c r="D5958" s="3" t="s">
        <v>175</v>
      </c>
      <c r="E5958" s="4" t="s">
        <v>22</v>
      </c>
      <c r="F5958" s="4" t="s">
        <v>31171</v>
      </c>
      <c r="G5958" s="4" t="s">
        <v>31172</v>
      </c>
      <c r="H5958" s="3" t="s">
        <v>30534</v>
      </c>
      <c r="I5958" s="3" t="s">
        <v>31173</v>
      </c>
      <c r="J5958" s="3" t="s">
        <v>7277</v>
      </c>
      <c r="K5958" s="3" t="s">
        <v>31174</v>
      </c>
      <c r="L5958" s="3"/>
      <c r="M5958" s="4"/>
      <c r="N5958" s="3" t="s">
        <v>37</v>
      </c>
      <c r="O5958" s="3" t="s">
        <v>52</v>
      </c>
      <c r="P5958" s="5">
        <v>9</v>
      </c>
      <c r="Q5958" s="5">
        <v>64</v>
      </c>
      <c r="R5958" s="5">
        <v>9</v>
      </c>
      <c r="S5958" s="5">
        <v>54</v>
      </c>
    </row>
    <row r="5959" spans="1:19" ht="42" x14ac:dyDescent="0.15">
      <c r="A5959" s="2">
        <f>HYPERLINK("https://open-school.uspishnemisto.com.ua/school/320147/", 320147)</f>
        <v>320147</v>
      </c>
      <c r="B5959" s="3" t="s">
        <v>31175</v>
      </c>
      <c r="C5959" s="3" t="s">
        <v>54</v>
      </c>
      <c r="D5959" s="3" t="s">
        <v>32</v>
      </c>
      <c r="E5959" s="4" t="s">
        <v>22</v>
      </c>
      <c r="F5959" s="4" t="s">
        <v>31176</v>
      </c>
      <c r="G5959" s="4" t="s">
        <v>31177</v>
      </c>
      <c r="H5959" s="3" t="s">
        <v>30534</v>
      </c>
      <c r="I5959" s="3" t="s">
        <v>2410</v>
      </c>
      <c r="J5959" s="3" t="s">
        <v>31178</v>
      </c>
      <c r="K5959" s="3" t="s">
        <v>31179</v>
      </c>
      <c r="L5959" s="3" t="s">
        <v>31180</v>
      </c>
      <c r="M5959" s="4"/>
      <c r="N5959" s="3" t="s">
        <v>37</v>
      </c>
      <c r="O5959" s="3" t="s">
        <v>46</v>
      </c>
      <c r="P5959" s="5">
        <v>10</v>
      </c>
      <c r="Q5959" s="5">
        <v>104</v>
      </c>
      <c r="R5959" s="5">
        <v>10</v>
      </c>
      <c r="S5959" s="5">
        <v>104</v>
      </c>
    </row>
    <row r="5960" spans="1:19" ht="42" x14ac:dyDescent="0.15">
      <c r="A5960" s="2">
        <f>HYPERLINK("https://open-school.uspishnemisto.com.ua/school/320148/", 320148)</f>
        <v>320148</v>
      </c>
      <c r="B5960" s="3" t="s">
        <v>31181</v>
      </c>
      <c r="C5960" s="3" t="s">
        <v>54</v>
      </c>
      <c r="D5960" s="3" t="s">
        <v>175</v>
      </c>
      <c r="E5960" s="4" t="s">
        <v>22</v>
      </c>
      <c r="F5960" s="4" t="s">
        <v>31182</v>
      </c>
      <c r="G5960" s="4" t="s">
        <v>31183</v>
      </c>
      <c r="H5960" s="3" t="s">
        <v>30534</v>
      </c>
      <c r="I5960" s="3" t="s">
        <v>31184</v>
      </c>
      <c r="J5960" s="3" t="s">
        <v>31185</v>
      </c>
      <c r="K5960" s="3"/>
      <c r="L5960" s="3"/>
      <c r="M5960" s="4"/>
      <c r="N5960" s="3" t="s">
        <v>37</v>
      </c>
      <c r="O5960" s="3" t="s">
        <v>46</v>
      </c>
      <c r="P5960" s="5">
        <v>8</v>
      </c>
      <c r="Q5960" s="5">
        <v>73</v>
      </c>
      <c r="R5960" s="5">
        <v>8</v>
      </c>
      <c r="S5960" s="5">
        <v>76</v>
      </c>
    </row>
    <row r="5961" spans="1:19" ht="28" x14ac:dyDescent="0.15">
      <c r="A5961" s="2">
        <f>HYPERLINK("https://open-school.uspishnemisto.com.ua/school/320149/", 320149)</f>
        <v>320149</v>
      </c>
      <c r="B5961" s="3" t="s">
        <v>31186</v>
      </c>
      <c r="C5961" s="3" t="s">
        <v>31</v>
      </c>
      <c r="D5961" s="3" t="s">
        <v>32</v>
      </c>
      <c r="E5961" s="4" t="s">
        <v>22</v>
      </c>
      <c r="F5961" s="4" t="s">
        <v>31187</v>
      </c>
      <c r="G5961" s="4" t="s">
        <v>31188</v>
      </c>
      <c r="H5961" s="3" t="s">
        <v>30534</v>
      </c>
      <c r="I5961" s="3" t="s">
        <v>11605</v>
      </c>
      <c r="J5961" s="3" t="s">
        <v>1348</v>
      </c>
      <c r="K5961" s="3" t="s">
        <v>31189</v>
      </c>
      <c r="L5961" s="3" t="s">
        <v>31190</v>
      </c>
      <c r="M5961" s="4"/>
      <c r="N5961" s="3" t="s">
        <v>37</v>
      </c>
      <c r="O5961" s="3" t="s">
        <v>2740</v>
      </c>
      <c r="P5961" s="5">
        <v>11</v>
      </c>
      <c r="Q5961" s="5">
        <v>132</v>
      </c>
      <c r="R5961" s="5">
        <v>11</v>
      </c>
      <c r="S5961" s="5">
        <v>132</v>
      </c>
    </row>
    <row r="5962" spans="1:19" ht="28" x14ac:dyDescent="0.15">
      <c r="A5962" s="2">
        <f>HYPERLINK("https://open-school.uspishnemisto.com.ua/school/320150/", 320150)</f>
        <v>320150</v>
      </c>
      <c r="B5962" s="3" t="s">
        <v>31191</v>
      </c>
      <c r="C5962" s="3" t="s">
        <v>31</v>
      </c>
      <c r="D5962" s="3" t="s">
        <v>32</v>
      </c>
      <c r="E5962" s="4" t="s">
        <v>22</v>
      </c>
      <c r="F5962" s="4" t="s">
        <v>31192</v>
      </c>
      <c r="G5962" s="4" t="s">
        <v>31193</v>
      </c>
      <c r="H5962" s="3" t="s">
        <v>30534</v>
      </c>
      <c r="I5962" s="3" t="s">
        <v>31194</v>
      </c>
      <c r="J5962" s="3" t="s">
        <v>31195</v>
      </c>
      <c r="K5962" s="3" t="s">
        <v>31196</v>
      </c>
      <c r="L5962" s="3" t="s">
        <v>31197</v>
      </c>
      <c r="M5962" s="4"/>
      <c r="N5962" s="3" t="s">
        <v>37</v>
      </c>
      <c r="O5962" s="3" t="s">
        <v>38</v>
      </c>
      <c r="P5962" s="5">
        <v>10</v>
      </c>
      <c r="Q5962" s="5">
        <v>134</v>
      </c>
      <c r="R5962" s="5">
        <v>10</v>
      </c>
      <c r="S5962" s="5">
        <v>134</v>
      </c>
    </row>
    <row r="5963" spans="1:19" ht="42" x14ac:dyDescent="0.15">
      <c r="A5963" s="2">
        <f>HYPERLINK("https://open-school.uspishnemisto.com.ua/school/320151/", 320151)</f>
        <v>320151</v>
      </c>
      <c r="B5963" s="3" t="s">
        <v>31198</v>
      </c>
      <c r="C5963" s="3" t="s">
        <v>54</v>
      </c>
      <c r="D5963" s="3" t="s">
        <v>175</v>
      </c>
      <c r="E5963" s="4" t="s">
        <v>22</v>
      </c>
      <c r="F5963" s="4" t="s">
        <v>31199</v>
      </c>
      <c r="G5963" s="4" t="s">
        <v>31200</v>
      </c>
      <c r="H5963" s="3" t="s">
        <v>30534</v>
      </c>
      <c r="I5963" s="3" t="s">
        <v>31201</v>
      </c>
      <c r="J5963" s="3" t="s">
        <v>31202</v>
      </c>
      <c r="K5963" s="3" t="s">
        <v>31203</v>
      </c>
      <c r="L5963" s="3"/>
      <c r="M5963" s="4"/>
      <c r="N5963" s="3" t="s">
        <v>37</v>
      </c>
      <c r="O5963" s="3" t="s">
        <v>46</v>
      </c>
      <c r="P5963" s="5">
        <v>8</v>
      </c>
      <c r="Q5963" s="5">
        <v>64</v>
      </c>
      <c r="R5963" s="5">
        <v>8</v>
      </c>
      <c r="S5963" s="5">
        <v>64</v>
      </c>
    </row>
    <row r="5964" spans="1:19" ht="28" x14ac:dyDescent="0.15">
      <c r="A5964" s="2">
        <f>HYPERLINK("https://open-school.uspishnemisto.com.ua/school/320152/", 320152)</f>
        <v>320152</v>
      </c>
      <c r="B5964" s="3" t="s">
        <v>31204</v>
      </c>
      <c r="C5964" s="3" t="s">
        <v>54</v>
      </c>
      <c r="D5964" s="3" t="s">
        <v>32</v>
      </c>
      <c r="E5964" s="4" t="s">
        <v>22</v>
      </c>
      <c r="F5964" s="4" t="s">
        <v>31205</v>
      </c>
      <c r="G5964" s="4" t="s">
        <v>31206</v>
      </c>
      <c r="H5964" s="3" t="s">
        <v>30534</v>
      </c>
      <c r="I5964" s="3" t="s">
        <v>30503</v>
      </c>
      <c r="J5964" s="3" t="s">
        <v>13824</v>
      </c>
      <c r="K5964" s="3" t="s">
        <v>31207</v>
      </c>
      <c r="L5964" s="3" t="s">
        <v>31208</v>
      </c>
      <c r="M5964" s="4"/>
      <c r="N5964" s="3" t="s">
        <v>37</v>
      </c>
      <c r="O5964" s="3" t="s">
        <v>46</v>
      </c>
      <c r="P5964" s="5">
        <v>16</v>
      </c>
      <c r="Q5964" s="5">
        <v>287</v>
      </c>
      <c r="R5964" s="5">
        <v>15</v>
      </c>
      <c r="S5964" s="5">
        <v>271</v>
      </c>
    </row>
    <row r="5965" spans="1:19" ht="28" x14ac:dyDescent="0.15">
      <c r="A5965" s="2">
        <f>HYPERLINK("https://open-school.uspishnemisto.com.ua/school/320153/", 320153)</f>
        <v>320153</v>
      </c>
      <c r="B5965" s="3" t="s">
        <v>31209</v>
      </c>
      <c r="C5965" s="3" t="s">
        <v>31</v>
      </c>
      <c r="D5965" s="3" t="s">
        <v>32</v>
      </c>
      <c r="E5965" s="4" t="s">
        <v>22</v>
      </c>
      <c r="F5965" s="4" t="s">
        <v>31205</v>
      </c>
      <c r="G5965" s="4" t="s">
        <v>31206</v>
      </c>
      <c r="H5965" s="3" t="s">
        <v>30534</v>
      </c>
      <c r="I5965" s="3" t="s">
        <v>30503</v>
      </c>
      <c r="J5965" s="3" t="s">
        <v>31210</v>
      </c>
      <c r="K5965" s="3" t="s">
        <v>31211</v>
      </c>
      <c r="L5965" s="3"/>
      <c r="M5965" s="4"/>
      <c r="N5965" s="3" t="s">
        <v>37</v>
      </c>
      <c r="O5965" s="3" t="s">
        <v>38</v>
      </c>
      <c r="P5965" s="5">
        <v>22</v>
      </c>
      <c r="Q5965" s="5">
        <v>506</v>
      </c>
      <c r="R5965" s="5">
        <v>22</v>
      </c>
      <c r="S5965" s="5">
        <v>523</v>
      </c>
    </row>
    <row r="5966" spans="1:19" ht="28" x14ac:dyDescent="0.15">
      <c r="A5966" s="2">
        <f>HYPERLINK("https://open-school.uspishnemisto.com.ua/school/320154/", 320154)</f>
        <v>320154</v>
      </c>
      <c r="B5966" s="3" t="s">
        <v>31212</v>
      </c>
      <c r="C5966" s="3" t="s">
        <v>31</v>
      </c>
      <c r="D5966" s="3" t="s">
        <v>175</v>
      </c>
      <c r="E5966" s="4" t="s">
        <v>22</v>
      </c>
      <c r="F5966" s="4" t="s">
        <v>31205</v>
      </c>
      <c r="G5966" s="4" t="s">
        <v>31206</v>
      </c>
      <c r="H5966" s="3" t="s">
        <v>30534</v>
      </c>
      <c r="I5966" s="3" t="s">
        <v>30503</v>
      </c>
      <c r="J5966" s="3" t="s">
        <v>31213</v>
      </c>
      <c r="K5966" s="3" t="s">
        <v>31214</v>
      </c>
      <c r="L5966" s="3" t="s">
        <v>31215</v>
      </c>
      <c r="M5966" s="4"/>
      <c r="N5966" s="3" t="s">
        <v>37</v>
      </c>
      <c r="O5966" s="3" t="s">
        <v>52</v>
      </c>
      <c r="P5966" s="5">
        <v>8</v>
      </c>
      <c r="Q5966" s="5">
        <v>67</v>
      </c>
      <c r="R5966" s="5">
        <v>9</v>
      </c>
      <c r="S5966" s="5">
        <v>66</v>
      </c>
    </row>
    <row r="5967" spans="1:19" ht="28" x14ac:dyDescent="0.15">
      <c r="A5967" s="2">
        <f>HYPERLINK("https://open-school.uspishnemisto.com.ua/school/320155/", 320155)</f>
        <v>320155</v>
      </c>
      <c r="B5967" s="3" t="s">
        <v>31216</v>
      </c>
      <c r="C5967" s="3" t="s">
        <v>31</v>
      </c>
      <c r="D5967" s="3" t="s">
        <v>32</v>
      </c>
      <c r="E5967" s="4" t="s">
        <v>22</v>
      </c>
      <c r="F5967" s="4" t="s">
        <v>31205</v>
      </c>
      <c r="G5967" s="4" t="s">
        <v>31206</v>
      </c>
      <c r="H5967" s="3" t="s">
        <v>30534</v>
      </c>
      <c r="I5967" s="3" t="s">
        <v>30503</v>
      </c>
      <c r="J5967" s="3" t="s">
        <v>31217</v>
      </c>
      <c r="K5967" s="3" t="s">
        <v>31218</v>
      </c>
      <c r="L5967" s="3" t="s">
        <v>31219</v>
      </c>
      <c r="M5967" s="4"/>
      <c r="N5967" s="3" t="s">
        <v>37</v>
      </c>
      <c r="O5967" s="3" t="s">
        <v>38</v>
      </c>
      <c r="P5967" s="5">
        <v>19</v>
      </c>
      <c r="Q5967" s="5">
        <v>433</v>
      </c>
      <c r="R5967" s="5">
        <v>19</v>
      </c>
      <c r="S5967" s="5">
        <v>407</v>
      </c>
    </row>
    <row r="5968" spans="1:19" ht="28" x14ac:dyDescent="0.15">
      <c r="A5968" s="2">
        <f>HYPERLINK("https://open-school.uspishnemisto.com.ua/school/320156/", 320156)</f>
        <v>320156</v>
      </c>
      <c r="B5968" s="3" t="s">
        <v>31220</v>
      </c>
      <c r="C5968" s="3" t="s">
        <v>54</v>
      </c>
      <c r="D5968" s="3" t="s">
        <v>32</v>
      </c>
      <c r="E5968" s="4" t="s">
        <v>22</v>
      </c>
      <c r="F5968" s="4" t="s">
        <v>31221</v>
      </c>
      <c r="G5968" s="4" t="s">
        <v>31222</v>
      </c>
      <c r="H5968" s="3" t="s">
        <v>30534</v>
      </c>
      <c r="I5968" s="3" t="s">
        <v>31223</v>
      </c>
      <c r="J5968" s="3" t="s">
        <v>2901</v>
      </c>
      <c r="K5968" s="3" t="s">
        <v>31224</v>
      </c>
      <c r="L5968" s="3" t="s">
        <v>31225</v>
      </c>
      <c r="M5968" s="4"/>
      <c r="N5968" s="3" t="s">
        <v>37</v>
      </c>
      <c r="O5968" s="3" t="s">
        <v>38</v>
      </c>
      <c r="P5968" s="5">
        <v>10</v>
      </c>
      <c r="Q5968" s="5">
        <v>102</v>
      </c>
      <c r="R5968" s="5">
        <v>10</v>
      </c>
      <c r="S5968" s="5">
        <v>100</v>
      </c>
    </row>
    <row r="5969" spans="1:19" ht="42" x14ac:dyDescent="0.15">
      <c r="A5969" s="2">
        <f>HYPERLINK("https://open-school.uspishnemisto.com.ua/school/320157/", 320157)</f>
        <v>320157</v>
      </c>
      <c r="B5969" s="3" t="s">
        <v>31226</v>
      </c>
      <c r="C5969" s="3" t="s">
        <v>54</v>
      </c>
      <c r="D5969" s="3" t="s">
        <v>60</v>
      </c>
      <c r="E5969" s="4" t="s">
        <v>22</v>
      </c>
      <c r="F5969" s="4" t="s">
        <v>31227</v>
      </c>
      <c r="G5969" s="4" t="s">
        <v>31228</v>
      </c>
      <c r="H5969" s="3" t="s">
        <v>30534</v>
      </c>
      <c r="I5969" s="3" t="s">
        <v>31229</v>
      </c>
      <c r="J5969" s="3" t="s">
        <v>31230</v>
      </c>
      <c r="K5969" s="3" t="s">
        <v>31231</v>
      </c>
      <c r="L5969" s="3"/>
      <c r="M5969" s="4"/>
      <c r="N5969" s="3" t="s">
        <v>37</v>
      </c>
      <c r="O5969" s="3" t="s">
        <v>52</v>
      </c>
      <c r="P5969" s="5">
        <v>1</v>
      </c>
      <c r="Q5969" s="5">
        <v>5</v>
      </c>
      <c r="R5969" s="5">
        <v>2</v>
      </c>
      <c r="S5969" s="5">
        <v>13</v>
      </c>
    </row>
    <row r="5970" spans="1:19" ht="28" x14ac:dyDescent="0.15">
      <c r="A5970" s="2">
        <f>HYPERLINK("https://open-school.uspishnemisto.com.ua/school/320158/", 320158)</f>
        <v>320158</v>
      </c>
      <c r="B5970" s="3" t="s">
        <v>31232</v>
      </c>
      <c r="C5970" s="3" t="s">
        <v>54</v>
      </c>
      <c r="D5970" s="3" t="s">
        <v>175</v>
      </c>
      <c r="E5970" s="4" t="s">
        <v>22</v>
      </c>
      <c r="F5970" s="4" t="s">
        <v>31233</v>
      </c>
      <c r="G5970" s="4" t="s">
        <v>31234</v>
      </c>
      <c r="H5970" s="3" t="s">
        <v>30534</v>
      </c>
      <c r="I5970" s="3" t="s">
        <v>31235</v>
      </c>
      <c r="J5970" s="3" t="s">
        <v>700</v>
      </c>
      <c r="K5970" s="3" t="s">
        <v>31236</v>
      </c>
      <c r="L5970" s="3" t="s">
        <v>31237</v>
      </c>
      <c r="M5970" s="4"/>
      <c r="N5970" s="3" t="s">
        <v>37</v>
      </c>
      <c r="O5970" s="3" t="s">
        <v>52</v>
      </c>
      <c r="P5970" s="5">
        <v>7</v>
      </c>
      <c r="Q5970" s="5">
        <v>43</v>
      </c>
      <c r="R5970" s="5">
        <v>5</v>
      </c>
      <c r="S5970" s="5">
        <v>44</v>
      </c>
    </row>
    <row r="5971" spans="1:19" ht="42" x14ac:dyDescent="0.15">
      <c r="A5971" s="2">
        <f>HYPERLINK("https://open-school.uspishnemisto.com.ua/school/320159/", 320159)</f>
        <v>320159</v>
      </c>
      <c r="B5971" s="3" t="s">
        <v>31238</v>
      </c>
      <c r="C5971" s="3" t="s">
        <v>31</v>
      </c>
      <c r="D5971" s="3" t="s">
        <v>32</v>
      </c>
      <c r="E5971" s="4" t="s">
        <v>22</v>
      </c>
      <c r="F5971" s="4" t="s">
        <v>31239</v>
      </c>
      <c r="G5971" s="4" t="s">
        <v>31240</v>
      </c>
      <c r="H5971" s="3" t="s">
        <v>30534</v>
      </c>
      <c r="I5971" s="3" t="s">
        <v>31241</v>
      </c>
      <c r="J5971" s="3" t="s">
        <v>878</v>
      </c>
      <c r="K5971" s="3"/>
      <c r="L5971" s="3"/>
      <c r="M5971" s="4"/>
      <c r="N5971" s="3" t="s">
        <v>37</v>
      </c>
      <c r="O5971" s="3" t="s">
        <v>52</v>
      </c>
      <c r="P5971" s="5">
        <v>10</v>
      </c>
      <c r="Q5971" s="5">
        <v>193</v>
      </c>
      <c r="R5971" s="5">
        <v>11</v>
      </c>
      <c r="S5971" s="5">
        <v>190</v>
      </c>
    </row>
    <row r="5972" spans="1:19" ht="28" x14ac:dyDescent="0.15">
      <c r="A5972" s="2">
        <f>HYPERLINK("https://open-school.uspishnemisto.com.ua/school/320160/", 320160)</f>
        <v>320160</v>
      </c>
      <c r="B5972" s="3" t="s">
        <v>31242</v>
      </c>
      <c r="C5972" s="3" t="s">
        <v>54</v>
      </c>
      <c r="D5972" s="3" t="s">
        <v>32</v>
      </c>
      <c r="E5972" s="4" t="s">
        <v>22</v>
      </c>
      <c r="F5972" s="4" t="s">
        <v>31243</v>
      </c>
      <c r="G5972" s="4" t="s">
        <v>31244</v>
      </c>
      <c r="H5972" s="3" t="s">
        <v>30534</v>
      </c>
      <c r="I5972" s="3" t="s">
        <v>883</v>
      </c>
      <c r="J5972" s="3" t="s">
        <v>1845</v>
      </c>
      <c r="K5972" s="3" t="s">
        <v>31245</v>
      </c>
      <c r="L5972" s="3"/>
      <c r="M5972" s="4"/>
      <c r="N5972" s="3" t="s">
        <v>37</v>
      </c>
      <c r="O5972" s="3" t="s">
        <v>52</v>
      </c>
      <c r="P5972" s="5">
        <v>10</v>
      </c>
      <c r="Q5972" s="5">
        <v>68</v>
      </c>
      <c r="R5972" s="5">
        <v>11</v>
      </c>
      <c r="S5972" s="5">
        <v>70</v>
      </c>
    </row>
    <row r="5973" spans="1:19" ht="28" x14ac:dyDescent="0.15">
      <c r="A5973" s="2">
        <f>HYPERLINK("https://open-school.uspishnemisto.com.ua/school/320161/", 320161)</f>
        <v>320161</v>
      </c>
      <c r="B5973" s="3" t="s">
        <v>31246</v>
      </c>
      <c r="C5973" s="3" t="s">
        <v>54</v>
      </c>
      <c r="D5973" s="3" t="s">
        <v>32</v>
      </c>
      <c r="E5973" s="4" t="s">
        <v>22</v>
      </c>
      <c r="F5973" s="4" t="s">
        <v>31247</v>
      </c>
      <c r="G5973" s="4" t="s">
        <v>31248</v>
      </c>
      <c r="H5973" s="3" t="s">
        <v>30534</v>
      </c>
      <c r="I5973" s="3" t="s">
        <v>31249</v>
      </c>
      <c r="J5973" s="3" t="s">
        <v>1348</v>
      </c>
      <c r="K5973" s="3" t="s">
        <v>31250</v>
      </c>
      <c r="L5973" s="3" t="s">
        <v>31251</v>
      </c>
      <c r="M5973" s="4"/>
      <c r="N5973" s="3" t="s">
        <v>37</v>
      </c>
      <c r="O5973" s="3" t="s">
        <v>52</v>
      </c>
      <c r="P5973" s="5">
        <v>9</v>
      </c>
      <c r="Q5973" s="5">
        <v>84</v>
      </c>
      <c r="R5973" s="5">
        <v>11</v>
      </c>
      <c r="S5973" s="5">
        <v>86</v>
      </c>
    </row>
    <row r="5974" spans="1:19" ht="28" x14ac:dyDescent="0.15">
      <c r="A5974" s="2">
        <f>HYPERLINK("https://open-school.uspishnemisto.com.ua/school/320162/", 320162)</f>
        <v>320162</v>
      </c>
      <c r="B5974" s="3" t="s">
        <v>31252</v>
      </c>
      <c r="C5974" s="3" t="s">
        <v>54</v>
      </c>
      <c r="D5974" s="3" t="s">
        <v>32</v>
      </c>
      <c r="E5974" s="4" t="s">
        <v>22</v>
      </c>
      <c r="F5974" s="4" t="s">
        <v>31253</v>
      </c>
      <c r="G5974" s="4" t="s">
        <v>31254</v>
      </c>
      <c r="H5974" s="3" t="s">
        <v>30534</v>
      </c>
      <c r="I5974" s="3" t="s">
        <v>31255</v>
      </c>
      <c r="J5974" s="3" t="s">
        <v>31256</v>
      </c>
      <c r="K5974" s="3" t="s">
        <v>31257</v>
      </c>
      <c r="L5974" s="3"/>
      <c r="M5974" s="4"/>
      <c r="N5974" s="3" t="s">
        <v>37</v>
      </c>
      <c r="O5974" s="3" t="s">
        <v>52</v>
      </c>
      <c r="P5974" s="5">
        <v>7</v>
      </c>
      <c r="Q5974" s="5">
        <v>42</v>
      </c>
      <c r="R5974" s="5">
        <v>9</v>
      </c>
      <c r="S5974" s="5">
        <v>42</v>
      </c>
    </row>
    <row r="5975" spans="1:19" ht="28" x14ac:dyDescent="0.15">
      <c r="A5975" s="2">
        <f>HYPERLINK("https://open-school.uspishnemisto.com.ua/school/320163/", 320163)</f>
        <v>320163</v>
      </c>
      <c r="B5975" s="3" t="s">
        <v>31258</v>
      </c>
      <c r="C5975" s="3" t="s">
        <v>31</v>
      </c>
      <c r="D5975" s="3" t="s">
        <v>32</v>
      </c>
      <c r="E5975" s="4" t="s">
        <v>22</v>
      </c>
      <c r="F5975" s="4" t="s">
        <v>31259</v>
      </c>
      <c r="G5975" s="4" t="s">
        <v>31260</v>
      </c>
      <c r="H5975" s="3" t="s">
        <v>30534</v>
      </c>
      <c r="I5975" s="3" t="s">
        <v>31261</v>
      </c>
      <c r="J5975" s="3" t="s">
        <v>31262</v>
      </c>
      <c r="K5975" s="3" t="s">
        <v>31263</v>
      </c>
      <c r="L5975" s="3" t="s">
        <v>31264</v>
      </c>
      <c r="M5975" s="4"/>
      <c r="N5975" s="3" t="s">
        <v>37</v>
      </c>
      <c r="O5975" s="3" t="s">
        <v>52</v>
      </c>
      <c r="P5975" s="5">
        <v>11</v>
      </c>
      <c r="Q5975" s="5">
        <v>72</v>
      </c>
      <c r="R5975" s="5">
        <v>11</v>
      </c>
      <c r="S5975" s="5">
        <v>69</v>
      </c>
    </row>
    <row r="5976" spans="1:19" ht="28" x14ac:dyDescent="0.15">
      <c r="A5976" s="2">
        <f>HYPERLINK("https://open-school.uspishnemisto.com.ua/school/320164/", 320164)</f>
        <v>320164</v>
      </c>
      <c r="B5976" s="3" t="s">
        <v>31265</v>
      </c>
      <c r="C5976" s="3" t="s">
        <v>54</v>
      </c>
      <c r="D5976" s="3" t="s">
        <v>32</v>
      </c>
      <c r="E5976" s="4" t="s">
        <v>22</v>
      </c>
      <c r="F5976" s="4" t="s">
        <v>31259</v>
      </c>
      <c r="G5976" s="4" t="s">
        <v>31260</v>
      </c>
      <c r="H5976" s="3" t="s">
        <v>30534</v>
      </c>
      <c r="I5976" s="3" t="s">
        <v>31261</v>
      </c>
      <c r="J5976" s="3" t="s">
        <v>466</v>
      </c>
      <c r="K5976" s="3" t="s">
        <v>31266</v>
      </c>
      <c r="L5976" s="3" t="s">
        <v>31267</v>
      </c>
      <c r="M5976" s="4"/>
      <c r="N5976" s="3" t="s">
        <v>37</v>
      </c>
      <c r="O5976" s="3" t="s">
        <v>52</v>
      </c>
      <c r="P5976" s="5">
        <v>9</v>
      </c>
      <c r="Q5976" s="5">
        <v>79</v>
      </c>
      <c r="R5976" s="5">
        <v>10</v>
      </c>
      <c r="S5976" s="5">
        <v>88</v>
      </c>
    </row>
    <row r="5977" spans="1:19" ht="28" x14ac:dyDescent="0.15">
      <c r="A5977" s="2">
        <f>HYPERLINK("https://open-school.uspishnemisto.com.ua/school/320165/", 320165)</f>
        <v>320165</v>
      </c>
      <c r="B5977" s="3" t="s">
        <v>31268</v>
      </c>
      <c r="C5977" s="3" t="s">
        <v>31</v>
      </c>
      <c r="D5977" s="3" t="s">
        <v>175</v>
      </c>
      <c r="E5977" s="4" t="s">
        <v>22</v>
      </c>
      <c r="F5977" s="4" t="s">
        <v>31269</v>
      </c>
      <c r="G5977" s="4" t="s">
        <v>31270</v>
      </c>
      <c r="H5977" s="3" t="s">
        <v>30534</v>
      </c>
      <c r="I5977" s="3" t="s">
        <v>31271</v>
      </c>
      <c r="J5977" s="3" t="s">
        <v>1606</v>
      </c>
      <c r="K5977" s="3" t="s">
        <v>31272</v>
      </c>
      <c r="L5977" s="3" t="s">
        <v>31273</v>
      </c>
      <c r="M5977" s="4"/>
      <c r="N5977" s="3" t="s">
        <v>37</v>
      </c>
      <c r="O5977" s="3" t="s">
        <v>52</v>
      </c>
      <c r="P5977" s="5">
        <v>9</v>
      </c>
      <c r="Q5977" s="5">
        <v>56</v>
      </c>
      <c r="R5977" s="5">
        <v>9</v>
      </c>
      <c r="S5977" s="5">
        <v>67</v>
      </c>
    </row>
    <row r="5978" spans="1:19" ht="28" x14ac:dyDescent="0.15">
      <c r="A5978" s="2">
        <f>HYPERLINK("https://open-school.uspishnemisto.com.ua/school/320166/", 320166)</f>
        <v>320166</v>
      </c>
      <c r="B5978" s="3" t="s">
        <v>31274</v>
      </c>
      <c r="C5978" s="3" t="s">
        <v>31</v>
      </c>
      <c r="D5978" s="3" t="s">
        <v>175</v>
      </c>
      <c r="E5978" s="4" t="s">
        <v>22</v>
      </c>
      <c r="F5978" s="4" t="s">
        <v>31275</v>
      </c>
      <c r="G5978" s="4" t="s">
        <v>31276</v>
      </c>
      <c r="H5978" s="3" t="s">
        <v>30534</v>
      </c>
      <c r="I5978" s="3" t="s">
        <v>31277</v>
      </c>
      <c r="J5978" s="3" t="s">
        <v>31278</v>
      </c>
      <c r="K5978" s="3" t="s">
        <v>31279</v>
      </c>
      <c r="L5978" s="3" t="s">
        <v>31280</v>
      </c>
      <c r="M5978" s="4"/>
      <c r="N5978" s="3" t="s">
        <v>37</v>
      </c>
      <c r="O5978" s="3" t="s">
        <v>52</v>
      </c>
      <c r="P5978" s="5">
        <v>8</v>
      </c>
      <c r="Q5978" s="5">
        <v>67</v>
      </c>
      <c r="R5978" s="5">
        <v>9</v>
      </c>
      <c r="S5978" s="5">
        <v>68</v>
      </c>
    </row>
    <row r="5979" spans="1:19" ht="28" x14ac:dyDescent="0.15">
      <c r="A5979" s="2">
        <f>HYPERLINK("https://open-school.uspishnemisto.com.ua/school/320167/", 320167)</f>
        <v>320167</v>
      </c>
      <c r="B5979" s="3" t="s">
        <v>31281</v>
      </c>
      <c r="C5979" s="3" t="s">
        <v>31</v>
      </c>
      <c r="D5979" s="3" t="s">
        <v>32</v>
      </c>
      <c r="E5979" s="4" t="s">
        <v>22</v>
      </c>
      <c r="F5979" s="4" t="s">
        <v>31282</v>
      </c>
      <c r="G5979" s="4" t="s">
        <v>31276</v>
      </c>
      <c r="H5979" s="3" t="s">
        <v>30534</v>
      </c>
      <c r="I5979" s="3" t="s">
        <v>31277</v>
      </c>
      <c r="J5979" s="3" t="s">
        <v>2476</v>
      </c>
      <c r="K5979" s="3" t="s">
        <v>31283</v>
      </c>
      <c r="L5979" s="3"/>
      <c r="M5979" s="4"/>
      <c r="N5979" s="3" t="s">
        <v>37</v>
      </c>
      <c r="O5979" s="3" t="s">
        <v>52</v>
      </c>
      <c r="P5979" s="5">
        <v>11</v>
      </c>
      <c r="Q5979" s="5">
        <v>145</v>
      </c>
      <c r="R5979" s="5">
        <v>11</v>
      </c>
      <c r="S5979" s="5">
        <v>153</v>
      </c>
    </row>
    <row r="5980" spans="1:19" ht="28" x14ac:dyDescent="0.15">
      <c r="A5980" s="2">
        <f>HYPERLINK("https://open-school.uspishnemisto.com.ua/school/320168/", 320168)</f>
        <v>320168</v>
      </c>
      <c r="B5980" s="3" t="s">
        <v>31284</v>
      </c>
      <c r="C5980" s="3" t="s">
        <v>31</v>
      </c>
      <c r="D5980" s="3" t="s">
        <v>32</v>
      </c>
      <c r="E5980" s="4" t="s">
        <v>22</v>
      </c>
      <c r="F5980" s="4" t="s">
        <v>31285</v>
      </c>
      <c r="G5980" s="4" t="s">
        <v>31286</v>
      </c>
      <c r="H5980" s="3" t="s">
        <v>30534</v>
      </c>
      <c r="I5980" s="3" t="s">
        <v>31287</v>
      </c>
      <c r="J5980" s="3" t="s">
        <v>4336</v>
      </c>
      <c r="K5980" s="3" t="s">
        <v>31288</v>
      </c>
      <c r="L5980" s="3" t="s">
        <v>31289</v>
      </c>
      <c r="M5980" s="4"/>
      <c r="N5980" s="3" t="s">
        <v>37</v>
      </c>
      <c r="O5980" s="3" t="s">
        <v>46</v>
      </c>
      <c r="P5980" s="5">
        <v>11</v>
      </c>
      <c r="Q5980" s="5">
        <v>160</v>
      </c>
      <c r="R5980" s="5">
        <v>11</v>
      </c>
      <c r="S5980" s="5">
        <v>146</v>
      </c>
    </row>
    <row r="5981" spans="1:19" ht="56" x14ac:dyDescent="0.15">
      <c r="A5981" s="2">
        <f>HYPERLINK("https://open-school.uspishnemisto.com.ua/school/320169/", 320169)</f>
        <v>320169</v>
      </c>
      <c r="B5981" s="3" t="s">
        <v>31290</v>
      </c>
      <c r="C5981" s="3" t="s">
        <v>54</v>
      </c>
      <c r="D5981" s="3" t="s">
        <v>32</v>
      </c>
      <c r="E5981" s="4" t="s">
        <v>22</v>
      </c>
      <c r="F5981" s="4" t="s">
        <v>31291</v>
      </c>
      <c r="G5981" s="4" t="s">
        <v>31292</v>
      </c>
      <c r="H5981" s="3" t="s">
        <v>30534</v>
      </c>
      <c r="I5981" s="3" t="s">
        <v>31293</v>
      </c>
      <c r="J5981" s="3" t="s">
        <v>31294</v>
      </c>
      <c r="K5981" s="3" t="s">
        <v>31295</v>
      </c>
      <c r="L5981" s="3" t="s">
        <v>31296</v>
      </c>
      <c r="M5981" s="4"/>
      <c r="N5981" s="3" t="s">
        <v>37</v>
      </c>
      <c r="O5981" s="3" t="s">
        <v>38</v>
      </c>
      <c r="P5981" s="5">
        <v>11</v>
      </c>
      <c r="Q5981" s="5">
        <v>83</v>
      </c>
      <c r="R5981" s="5">
        <v>11</v>
      </c>
      <c r="S5981" s="5">
        <v>84</v>
      </c>
    </row>
    <row r="5982" spans="1:19" ht="42" x14ac:dyDescent="0.15">
      <c r="A5982" s="2">
        <f>HYPERLINK("https://open-school.uspishnemisto.com.ua/school/320170/", 320170)</f>
        <v>320170</v>
      </c>
      <c r="B5982" s="3" t="s">
        <v>31297</v>
      </c>
      <c r="C5982" s="3" t="s">
        <v>54</v>
      </c>
      <c r="D5982" s="3" t="s">
        <v>32</v>
      </c>
      <c r="E5982" s="4" t="s">
        <v>22</v>
      </c>
      <c r="F5982" s="4" t="s">
        <v>31298</v>
      </c>
      <c r="G5982" s="4" t="s">
        <v>31299</v>
      </c>
      <c r="H5982" s="3" t="s">
        <v>30534</v>
      </c>
      <c r="I5982" s="3" t="s">
        <v>31300</v>
      </c>
      <c r="J5982" s="3" t="s">
        <v>903</v>
      </c>
      <c r="K5982" s="3" t="s">
        <v>31301</v>
      </c>
      <c r="L5982" s="3" t="s">
        <v>31302</v>
      </c>
      <c r="M5982" s="4"/>
      <c r="N5982" s="3" t="s">
        <v>37</v>
      </c>
      <c r="O5982" s="3" t="s">
        <v>52</v>
      </c>
      <c r="P5982" s="5">
        <v>11</v>
      </c>
      <c r="Q5982" s="5">
        <v>87</v>
      </c>
      <c r="R5982" s="5">
        <v>11</v>
      </c>
      <c r="S5982" s="5">
        <v>91</v>
      </c>
    </row>
    <row r="5983" spans="1:19" ht="42" x14ac:dyDescent="0.15">
      <c r="A5983" s="2">
        <f>HYPERLINK("https://open-school.uspishnemisto.com.ua/school/320171/", 320171)</f>
        <v>320171</v>
      </c>
      <c r="B5983" s="3" t="s">
        <v>31303</v>
      </c>
      <c r="C5983" s="3" t="s">
        <v>54</v>
      </c>
      <c r="D5983" s="3" t="s">
        <v>32</v>
      </c>
      <c r="E5983" s="4" t="s">
        <v>22</v>
      </c>
      <c r="F5983" s="4" t="s">
        <v>31304</v>
      </c>
      <c r="G5983" s="4" t="s">
        <v>31305</v>
      </c>
      <c r="H5983" s="3" t="s">
        <v>30534</v>
      </c>
      <c r="I5983" s="3" t="s">
        <v>31306</v>
      </c>
      <c r="J5983" s="3" t="s">
        <v>31307</v>
      </c>
      <c r="K5983" s="3" t="s">
        <v>31308</v>
      </c>
      <c r="L5983" s="3"/>
      <c r="M5983" s="4"/>
      <c r="N5983" s="3" t="s">
        <v>37</v>
      </c>
      <c r="O5983" s="3" t="s">
        <v>46</v>
      </c>
      <c r="P5983" s="5">
        <v>9</v>
      </c>
      <c r="Q5983" s="5">
        <v>80</v>
      </c>
      <c r="R5983" s="5">
        <v>9</v>
      </c>
      <c r="S5983" s="5">
        <v>85</v>
      </c>
    </row>
    <row r="5984" spans="1:19" ht="28" x14ac:dyDescent="0.15">
      <c r="A5984" s="2">
        <f>HYPERLINK("https://open-school.uspishnemisto.com.ua/school/320172/", 320172)</f>
        <v>320172</v>
      </c>
      <c r="B5984" s="3" t="s">
        <v>31309</v>
      </c>
      <c r="C5984" s="3" t="s">
        <v>54</v>
      </c>
      <c r="D5984" s="3" t="s">
        <v>32</v>
      </c>
      <c r="E5984" s="4" t="s">
        <v>22</v>
      </c>
      <c r="F5984" s="4" t="s">
        <v>31310</v>
      </c>
      <c r="G5984" s="4" t="s">
        <v>31311</v>
      </c>
      <c r="H5984" s="3" t="s">
        <v>30534</v>
      </c>
      <c r="I5984" s="3" t="s">
        <v>19562</v>
      </c>
      <c r="J5984" s="3" t="s">
        <v>726</v>
      </c>
      <c r="K5984" s="3" t="s">
        <v>31312</v>
      </c>
      <c r="L5984" s="3" t="s">
        <v>31313</v>
      </c>
      <c r="M5984" s="4"/>
      <c r="N5984" s="3" t="s">
        <v>37</v>
      </c>
      <c r="O5984" s="3" t="s">
        <v>38</v>
      </c>
      <c r="P5984" s="5">
        <v>9</v>
      </c>
      <c r="Q5984" s="5">
        <v>72</v>
      </c>
      <c r="R5984" s="5">
        <v>10</v>
      </c>
      <c r="S5984" s="5">
        <v>67</v>
      </c>
    </row>
    <row r="5985" spans="1:19" ht="28" x14ac:dyDescent="0.15">
      <c r="A5985" s="2">
        <f>HYPERLINK("https://open-school.uspishnemisto.com.ua/school/320173/", 320173)</f>
        <v>320173</v>
      </c>
      <c r="B5985" s="3" t="s">
        <v>31314</v>
      </c>
      <c r="C5985" s="3" t="s">
        <v>54</v>
      </c>
      <c r="D5985" s="3" t="s">
        <v>32</v>
      </c>
      <c r="E5985" s="4" t="s">
        <v>22</v>
      </c>
      <c r="F5985" s="4" t="s">
        <v>31315</v>
      </c>
      <c r="G5985" s="4" t="s">
        <v>31316</v>
      </c>
      <c r="H5985" s="3" t="s">
        <v>30534</v>
      </c>
      <c r="I5985" s="3" t="s">
        <v>31317</v>
      </c>
      <c r="J5985" s="3" t="s">
        <v>31318</v>
      </c>
      <c r="K5985" s="3" t="s">
        <v>31319</v>
      </c>
      <c r="L5985" s="3"/>
      <c r="M5985" s="4"/>
      <c r="N5985" s="3" t="s">
        <v>37</v>
      </c>
      <c r="O5985" s="3" t="s">
        <v>52</v>
      </c>
      <c r="P5985" s="5">
        <v>11</v>
      </c>
      <c r="Q5985" s="5">
        <v>113</v>
      </c>
      <c r="R5985" s="5">
        <v>11</v>
      </c>
      <c r="S5985" s="5">
        <v>109</v>
      </c>
    </row>
    <row r="5986" spans="1:19" ht="28" x14ac:dyDescent="0.15">
      <c r="A5986" s="2">
        <f>HYPERLINK("https://open-school.uspishnemisto.com.ua/school/320174/", 320174)</f>
        <v>320174</v>
      </c>
      <c r="B5986" s="3" t="s">
        <v>31320</v>
      </c>
      <c r="C5986" s="3" t="s">
        <v>54</v>
      </c>
      <c r="D5986" s="3" t="s">
        <v>175</v>
      </c>
      <c r="E5986" s="4" t="s">
        <v>22</v>
      </c>
      <c r="F5986" s="4" t="s">
        <v>31321</v>
      </c>
      <c r="G5986" s="4" t="s">
        <v>31322</v>
      </c>
      <c r="H5986" s="3" t="s">
        <v>30534</v>
      </c>
      <c r="I5986" s="3" t="s">
        <v>31323</v>
      </c>
      <c r="J5986" s="3" t="s">
        <v>11336</v>
      </c>
      <c r="K5986" s="3" t="s">
        <v>31324</v>
      </c>
      <c r="L5986" s="3" t="s">
        <v>31325</v>
      </c>
      <c r="M5986" s="4"/>
      <c r="N5986" s="3" t="s">
        <v>37</v>
      </c>
      <c r="O5986" s="3" t="s">
        <v>52</v>
      </c>
      <c r="P5986" s="5">
        <v>6</v>
      </c>
      <c r="Q5986" s="5">
        <v>37</v>
      </c>
      <c r="R5986" s="5">
        <v>7</v>
      </c>
      <c r="S5986" s="5">
        <v>37</v>
      </c>
    </row>
    <row r="5987" spans="1:19" ht="42" x14ac:dyDescent="0.15">
      <c r="A5987" s="2">
        <f>HYPERLINK("https://open-school.uspishnemisto.com.ua/school/320175/", 320175)</f>
        <v>320175</v>
      </c>
      <c r="B5987" s="3" t="s">
        <v>31326</v>
      </c>
      <c r="C5987" s="3" t="s">
        <v>54</v>
      </c>
      <c r="D5987" s="3" t="s">
        <v>32</v>
      </c>
      <c r="E5987" s="4" t="s">
        <v>22</v>
      </c>
      <c r="F5987" s="4" t="s">
        <v>31327</v>
      </c>
      <c r="G5987" s="4" t="s">
        <v>31328</v>
      </c>
      <c r="H5987" s="3" t="s">
        <v>30534</v>
      </c>
      <c r="I5987" s="3" t="s">
        <v>31329</v>
      </c>
      <c r="J5987" s="3" t="s">
        <v>15139</v>
      </c>
      <c r="K5987" s="3" t="s">
        <v>31330</v>
      </c>
      <c r="L5987" s="3"/>
      <c r="M5987" s="4"/>
      <c r="N5987" s="3" t="s">
        <v>37</v>
      </c>
      <c r="O5987" s="3" t="s">
        <v>52</v>
      </c>
      <c r="P5987" s="5">
        <v>9</v>
      </c>
      <c r="Q5987" s="5">
        <v>64</v>
      </c>
      <c r="R5987" s="5">
        <v>9</v>
      </c>
      <c r="S5987" s="5">
        <v>63</v>
      </c>
    </row>
    <row r="5988" spans="1:19" ht="28" x14ac:dyDescent="0.15">
      <c r="A5988" s="2">
        <f>HYPERLINK("https://open-school.uspishnemisto.com.ua/school/320176/", 320176)</f>
        <v>320176</v>
      </c>
      <c r="B5988" s="3" t="s">
        <v>31331</v>
      </c>
      <c r="C5988" s="3" t="s">
        <v>54</v>
      </c>
      <c r="D5988" s="3" t="s">
        <v>32</v>
      </c>
      <c r="E5988" s="4" t="s">
        <v>22</v>
      </c>
      <c r="F5988" s="4" t="s">
        <v>31332</v>
      </c>
      <c r="G5988" s="4" t="s">
        <v>31333</v>
      </c>
      <c r="H5988" s="3" t="s">
        <v>30534</v>
      </c>
      <c r="I5988" s="3" t="s">
        <v>31334</v>
      </c>
      <c r="J5988" s="3" t="s">
        <v>13183</v>
      </c>
      <c r="K5988" s="3" t="s">
        <v>31335</v>
      </c>
      <c r="L5988" s="3" t="s">
        <v>31336</v>
      </c>
      <c r="M5988" s="4"/>
      <c r="N5988" s="3" t="s">
        <v>37</v>
      </c>
      <c r="O5988" s="3" t="s">
        <v>52</v>
      </c>
      <c r="P5988" s="5">
        <v>10</v>
      </c>
      <c r="Q5988" s="5">
        <v>113</v>
      </c>
      <c r="R5988" s="5">
        <v>11</v>
      </c>
      <c r="S5988" s="5">
        <v>115</v>
      </c>
    </row>
    <row r="5989" spans="1:19" ht="28" x14ac:dyDescent="0.15">
      <c r="A5989" s="2">
        <f>HYPERLINK("https://open-school.uspishnemisto.com.ua/school/320177/", 320177)</f>
        <v>320177</v>
      </c>
      <c r="B5989" s="3" t="s">
        <v>31337</v>
      </c>
      <c r="C5989" s="3" t="s">
        <v>54</v>
      </c>
      <c r="D5989" s="3" t="s">
        <v>32</v>
      </c>
      <c r="E5989" s="4" t="s">
        <v>22</v>
      </c>
      <c r="F5989" s="4" t="s">
        <v>31338</v>
      </c>
      <c r="G5989" s="4" t="s">
        <v>31339</v>
      </c>
      <c r="H5989" s="3" t="s">
        <v>30534</v>
      </c>
      <c r="I5989" s="3" t="s">
        <v>1439</v>
      </c>
      <c r="J5989" s="3" t="s">
        <v>466</v>
      </c>
      <c r="K5989" s="3" t="s">
        <v>31340</v>
      </c>
      <c r="L5989" s="3"/>
      <c r="M5989" s="4"/>
      <c r="N5989" s="3" t="s">
        <v>37</v>
      </c>
      <c r="O5989" s="3" t="s">
        <v>52</v>
      </c>
      <c r="P5989" s="5">
        <v>10</v>
      </c>
      <c r="Q5989" s="5">
        <v>79</v>
      </c>
      <c r="R5989" s="5">
        <v>10</v>
      </c>
      <c r="S5989" s="5">
        <v>84</v>
      </c>
    </row>
    <row r="5990" spans="1:19" ht="28" x14ac:dyDescent="0.15">
      <c r="A5990" s="2">
        <f>HYPERLINK("https://open-school.uspishnemisto.com.ua/school/320178/", 320178)</f>
        <v>320178</v>
      </c>
      <c r="B5990" s="3" t="s">
        <v>31341</v>
      </c>
      <c r="C5990" s="3" t="s">
        <v>54</v>
      </c>
      <c r="D5990" s="3" t="s">
        <v>32</v>
      </c>
      <c r="E5990" s="4" t="s">
        <v>22</v>
      </c>
      <c r="F5990" s="4" t="s">
        <v>31342</v>
      </c>
      <c r="G5990" s="4" t="s">
        <v>31343</v>
      </c>
      <c r="H5990" s="3" t="s">
        <v>30534</v>
      </c>
      <c r="I5990" s="3" t="s">
        <v>31344</v>
      </c>
      <c r="J5990" s="3" t="s">
        <v>31345</v>
      </c>
      <c r="K5990" s="3" t="s">
        <v>31346</v>
      </c>
      <c r="L5990" s="3"/>
      <c r="M5990" s="4"/>
      <c r="N5990" s="3" t="s">
        <v>37</v>
      </c>
      <c r="O5990" s="3" t="s">
        <v>52</v>
      </c>
      <c r="P5990" s="5">
        <v>10</v>
      </c>
      <c r="Q5990" s="5">
        <v>95</v>
      </c>
      <c r="R5990" s="5">
        <v>10</v>
      </c>
      <c r="S5990" s="5">
        <v>94</v>
      </c>
    </row>
    <row r="5991" spans="1:19" ht="28" x14ac:dyDescent="0.15">
      <c r="A5991" s="2">
        <f>HYPERLINK("https://open-school.uspishnemisto.com.ua/school/320179/", 320179)</f>
        <v>320179</v>
      </c>
      <c r="B5991" s="3" t="s">
        <v>31347</v>
      </c>
      <c r="C5991" s="3" t="s">
        <v>31</v>
      </c>
      <c r="D5991" s="3" t="s">
        <v>32</v>
      </c>
      <c r="E5991" s="4" t="s">
        <v>22</v>
      </c>
      <c r="F5991" s="4" t="s">
        <v>31348</v>
      </c>
      <c r="G5991" s="4" t="s">
        <v>31349</v>
      </c>
      <c r="H5991" s="3" t="s">
        <v>30534</v>
      </c>
      <c r="I5991" s="3" t="s">
        <v>31350</v>
      </c>
      <c r="J5991" s="3" t="s">
        <v>31351</v>
      </c>
      <c r="K5991" s="3" t="s">
        <v>31352</v>
      </c>
      <c r="L5991" s="3" t="s">
        <v>31353</v>
      </c>
      <c r="M5991" s="4"/>
      <c r="N5991" s="3" t="s">
        <v>37</v>
      </c>
      <c r="O5991" s="3" t="s">
        <v>52</v>
      </c>
      <c r="P5991" s="5">
        <v>11</v>
      </c>
      <c r="Q5991" s="5">
        <v>222</v>
      </c>
      <c r="R5991" s="5">
        <v>11</v>
      </c>
      <c r="S5991" s="5">
        <v>225</v>
      </c>
    </row>
    <row r="5992" spans="1:19" ht="28" x14ac:dyDescent="0.15">
      <c r="A5992" s="2">
        <f>HYPERLINK("https://open-school.uspishnemisto.com.ua/school/320180/", 320180)</f>
        <v>320180</v>
      </c>
      <c r="B5992" s="3" t="s">
        <v>31354</v>
      </c>
      <c r="C5992" s="3" t="s">
        <v>54</v>
      </c>
      <c r="D5992" s="3" t="s">
        <v>175</v>
      </c>
      <c r="E5992" s="4" t="s">
        <v>22</v>
      </c>
      <c r="F5992" s="4" t="s">
        <v>31355</v>
      </c>
      <c r="G5992" s="4" t="s">
        <v>31356</v>
      </c>
      <c r="H5992" s="3" t="s">
        <v>30534</v>
      </c>
      <c r="I5992" s="3" t="s">
        <v>31357</v>
      </c>
      <c r="J5992" s="3" t="s">
        <v>1348</v>
      </c>
      <c r="K5992" s="3" t="s">
        <v>31358</v>
      </c>
      <c r="L5992" s="3"/>
      <c r="M5992" s="4"/>
      <c r="N5992" s="3" t="s">
        <v>37</v>
      </c>
      <c r="O5992" s="3" t="s">
        <v>52</v>
      </c>
      <c r="P5992" s="5">
        <v>7</v>
      </c>
      <c r="Q5992" s="5">
        <v>47</v>
      </c>
      <c r="R5992" s="5">
        <v>7</v>
      </c>
      <c r="S5992" s="5">
        <v>44</v>
      </c>
    </row>
    <row r="5993" spans="1:19" ht="42" x14ac:dyDescent="0.15">
      <c r="A5993" s="2">
        <f>HYPERLINK("https://open-school.uspishnemisto.com.ua/school/320181/", 320181)</f>
        <v>320181</v>
      </c>
      <c r="B5993" s="3" t="s">
        <v>31359</v>
      </c>
      <c r="C5993" s="3" t="s">
        <v>31</v>
      </c>
      <c r="D5993" s="3" t="s">
        <v>32</v>
      </c>
      <c r="E5993" s="4" t="s">
        <v>22</v>
      </c>
      <c r="F5993" s="4" t="s">
        <v>31360</v>
      </c>
      <c r="G5993" s="4" t="s">
        <v>31361</v>
      </c>
      <c r="H5993" s="3" t="s">
        <v>30534</v>
      </c>
      <c r="I5993" s="3" t="s">
        <v>31362</v>
      </c>
      <c r="J5993" s="3" t="s">
        <v>3538</v>
      </c>
      <c r="K5993" s="3" t="s">
        <v>31363</v>
      </c>
      <c r="L5993" s="3"/>
      <c r="M5993" s="4"/>
      <c r="N5993" s="3" t="s">
        <v>37</v>
      </c>
      <c r="O5993" s="3" t="s">
        <v>2740</v>
      </c>
      <c r="P5993" s="5">
        <v>14</v>
      </c>
      <c r="Q5993" s="5">
        <v>290</v>
      </c>
      <c r="R5993" s="5">
        <v>13</v>
      </c>
      <c r="S5993" s="5">
        <v>259</v>
      </c>
    </row>
    <row r="5994" spans="1:19" ht="42" x14ac:dyDescent="0.15">
      <c r="A5994" s="2">
        <f>HYPERLINK("https://open-school.uspishnemisto.com.ua/school/320182/", 320182)</f>
        <v>320182</v>
      </c>
      <c r="B5994" s="3" t="s">
        <v>31364</v>
      </c>
      <c r="C5994" s="3" t="s">
        <v>54</v>
      </c>
      <c r="D5994" s="3" t="s">
        <v>175</v>
      </c>
      <c r="E5994" s="4" t="s">
        <v>22</v>
      </c>
      <c r="F5994" s="4" t="s">
        <v>31365</v>
      </c>
      <c r="G5994" s="4" t="s">
        <v>31366</v>
      </c>
      <c r="H5994" s="3" t="s">
        <v>30534</v>
      </c>
      <c r="I5994" s="3" t="s">
        <v>31367</v>
      </c>
      <c r="J5994" s="3" t="s">
        <v>466</v>
      </c>
      <c r="K5994" s="3" t="s">
        <v>31368</v>
      </c>
      <c r="L5994" s="3" t="s">
        <v>31369</v>
      </c>
      <c r="M5994" s="4"/>
      <c r="N5994" s="3" t="s">
        <v>37</v>
      </c>
      <c r="O5994" s="3" t="s">
        <v>52</v>
      </c>
      <c r="P5994" s="5">
        <v>8</v>
      </c>
      <c r="Q5994" s="5">
        <v>50</v>
      </c>
      <c r="R5994" s="5">
        <v>9</v>
      </c>
      <c r="S5994" s="5">
        <v>60</v>
      </c>
    </row>
    <row r="5995" spans="1:19" ht="28" x14ac:dyDescent="0.15">
      <c r="A5995" s="2">
        <f>HYPERLINK("https://open-school.uspishnemisto.com.ua/school/320183/", 320183)</f>
        <v>320183</v>
      </c>
      <c r="B5995" s="3" t="s">
        <v>31370</v>
      </c>
      <c r="C5995" s="3" t="s">
        <v>54</v>
      </c>
      <c r="D5995" s="3" t="s">
        <v>175</v>
      </c>
      <c r="E5995" s="4" t="s">
        <v>22</v>
      </c>
      <c r="F5995" s="4" t="s">
        <v>31371</v>
      </c>
      <c r="G5995" s="4" t="s">
        <v>31372</v>
      </c>
      <c r="H5995" s="3" t="s">
        <v>30534</v>
      </c>
      <c r="I5995" s="3" t="s">
        <v>31373</v>
      </c>
      <c r="J5995" s="3" t="s">
        <v>2656</v>
      </c>
      <c r="K5995" s="3" t="s">
        <v>31374</v>
      </c>
      <c r="L5995" s="3" t="s">
        <v>31375</v>
      </c>
      <c r="M5995" s="4"/>
      <c r="N5995" s="3" t="s">
        <v>37</v>
      </c>
      <c r="O5995" s="3" t="s">
        <v>2740</v>
      </c>
      <c r="P5995" s="5">
        <v>9</v>
      </c>
      <c r="Q5995" s="5">
        <v>70</v>
      </c>
      <c r="R5995" s="5">
        <v>9</v>
      </c>
      <c r="S5995" s="5">
        <v>73</v>
      </c>
    </row>
    <row r="5996" spans="1:19" ht="28" x14ac:dyDescent="0.15">
      <c r="A5996" s="2">
        <f>HYPERLINK("https://open-school.uspishnemisto.com.ua/school/320184/", 320184)</f>
        <v>320184</v>
      </c>
      <c r="B5996" s="3" t="s">
        <v>31376</v>
      </c>
      <c r="C5996" s="3" t="s">
        <v>31</v>
      </c>
      <c r="D5996" s="3" t="s">
        <v>32</v>
      </c>
      <c r="E5996" s="4" t="s">
        <v>22</v>
      </c>
      <c r="F5996" s="4" t="s">
        <v>31377</v>
      </c>
      <c r="G5996" s="4" t="s">
        <v>31378</v>
      </c>
      <c r="H5996" s="3" t="s">
        <v>30534</v>
      </c>
      <c r="I5996" s="3" t="s">
        <v>31379</v>
      </c>
      <c r="J5996" s="3" t="s">
        <v>3047</v>
      </c>
      <c r="K5996" s="3" t="s">
        <v>31380</v>
      </c>
      <c r="L5996" s="3" t="s">
        <v>31381</v>
      </c>
      <c r="M5996" s="4"/>
      <c r="N5996" s="3" t="s">
        <v>37</v>
      </c>
      <c r="O5996" s="3" t="s">
        <v>52</v>
      </c>
      <c r="P5996" s="5">
        <v>21</v>
      </c>
      <c r="Q5996" s="5">
        <v>301</v>
      </c>
      <c r="R5996" s="5">
        <v>19</v>
      </c>
      <c r="S5996" s="5">
        <v>269</v>
      </c>
    </row>
    <row r="5997" spans="1:19" ht="28" x14ac:dyDescent="0.15">
      <c r="A5997" s="2">
        <f>HYPERLINK("https://open-school.uspishnemisto.com.ua/school/320185/", 320185)</f>
        <v>320185</v>
      </c>
      <c r="B5997" s="3" t="s">
        <v>31382</v>
      </c>
      <c r="C5997" s="3" t="s">
        <v>54</v>
      </c>
      <c r="D5997" s="3" t="s">
        <v>32</v>
      </c>
      <c r="E5997" s="4" t="s">
        <v>22</v>
      </c>
      <c r="F5997" s="4" t="s">
        <v>31383</v>
      </c>
      <c r="G5997" s="4" t="s">
        <v>31384</v>
      </c>
      <c r="H5997" s="3" t="s">
        <v>30534</v>
      </c>
      <c r="I5997" s="3" t="s">
        <v>17601</v>
      </c>
      <c r="J5997" s="3" t="s">
        <v>31385</v>
      </c>
      <c r="K5997" s="3" t="s">
        <v>31386</v>
      </c>
      <c r="L5997" s="3"/>
      <c r="M5997" s="4"/>
      <c r="N5997" s="3" t="s">
        <v>37</v>
      </c>
      <c r="O5997" s="3" t="s">
        <v>38</v>
      </c>
      <c r="P5997" s="5">
        <v>10</v>
      </c>
      <c r="Q5997" s="5">
        <v>71</v>
      </c>
      <c r="R5997" s="5">
        <v>11</v>
      </c>
      <c r="S5997" s="5">
        <v>77</v>
      </c>
    </row>
    <row r="5998" spans="1:19" ht="28" x14ac:dyDescent="0.15">
      <c r="A5998" s="2">
        <f>HYPERLINK("https://open-school.uspishnemisto.com.ua/school/320186/", 320186)</f>
        <v>320186</v>
      </c>
      <c r="B5998" s="3" t="s">
        <v>31387</v>
      </c>
      <c r="C5998" s="3" t="s">
        <v>31</v>
      </c>
      <c r="D5998" s="3" t="s">
        <v>32</v>
      </c>
      <c r="E5998" s="4" t="s">
        <v>22</v>
      </c>
      <c r="F5998" s="4" t="s">
        <v>31388</v>
      </c>
      <c r="G5998" s="4" t="s">
        <v>31389</v>
      </c>
      <c r="H5998" s="3" t="s">
        <v>30534</v>
      </c>
      <c r="I5998" s="3" t="s">
        <v>12286</v>
      </c>
      <c r="J5998" s="3" t="s">
        <v>31390</v>
      </c>
      <c r="K5998" s="3" t="s">
        <v>31391</v>
      </c>
      <c r="L5998" s="3"/>
      <c r="M5998" s="4"/>
      <c r="N5998" s="3" t="s">
        <v>37</v>
      </c>
      <c r="O5998" s="3" t="s">
        <v>46</v>
      </c>
      <c r="P5998" s="5">
        <v>20</v>
      </c>
      <c r="Q5998" s="5">
        <v>482</v>
      </c>
      <c r="R5998" s="5">
        <v>19</v>
      </c>
      <c r="S5998" s="5">
        <v>474</v>
      </c>
    </row>
    <row r="5999" spans="1:19" ht="42" x14ac:dyDescent="0.15">
      <c r="A5999" s="2">
        <f>HYPERLINK("https://open-school.uspishnemisto.com.ua/school/320187/", 320187)</f>
        <v>320187</v>
      </c>
      <c r="B5999" s="3" t="s">
        <v>31392</v>
      </c>
      <c r="C5999" s="3" t="s">
        <v>54</v>
      </c>
      <c r="D5999" s="3" t="s">
        <v>32</v>
      </c>
      <c r="E5999" s="4" t="s">
        <v>22</v>
      </c>
      <c r="F5999" s="4" t="s">
        <v>31388</v>
      </c>
      <c r="G5999" s="4" t="s">
        <v>31389</v>
      </c>
      <c r="H5999" s="3" t="s">
        <v>30534</v>
      </c>
      <c r="I5999" s="3" t="s">
        <v>12286</v>
      </c>
      <c r="J5999" s="3" t="s">
        <v>31393</v>
      </c>
      <c r="K5999" s="3" t="s">
        <v>31394</v>
      </c>
      <c r="L5999" s="3" t="s">
        <v>31395</v>
      </c>
      <c r="M5999" s="4"/>
      <c r="N5999" s="3" t="s">
        <v>37</v>
      </c>
      <c r="O5999" s="3" t="s">
        <v>52</v>
      </c>
      <c r="P5999" s="5">
        <v>16</v>
      </c>
      <c r="Q5999" s="5">
        <v>323</v>
      </c>
      <c r="R5999" s="5">
        <v>16</v>
      </c>
      <c r="S5999" s="5">
        <v>303</v>
      </c>
    </row>
    <row r="6000" spans="1:19" ht="56" x14ac:dyDescent="0.15">
      <c r="A6000" s="2">
        <f>HYPERLINK("https://open-school.uspishnemisto.com.ua/school/320188/", 320188)</f>
        <v>320188</v>
      </c>
      <c r="B6000" s="3" t="s">
        <v>31396</v>
      </c>
      <c r="C6000" s="3" t="s">
        <v>244</v>
      </c>
      <c r="D6000" s="3" t="s">
        <v>32</v>
      </c>
      <c r="E6000" s="4" t="s">
        <v>22</v>
      </c>
      <c r="F6000" s="4" t="s">
        <v>31397</v>
      </c>
      <c r="G6000" s="4" t="s">
        <v>31389</v>
      </c>
      <c r="H6000" s="3" t="s">
        <v>30534</v>
      </c>
      <c r="I6000" s="3" t="s">
        <v>12286</v>
      </c>
      <c r="J6000" s="3" t="s">
        <v>31398</v>
      </c>
      <c r="K6000" s="3" t="s">
        <v>31399</v>
      </c>
      <c r="L6000" s="3" t="s">
        <v>31400</v>
      </c>
      <c r="M6000" s="4" t="s">
        <v>31401</v>
      </c>
      <c r="N6000" s="3" t="s">
        <v>37</v>
      </c>
      <c r="O6000" s="3" t="s">
        <v>46</v>
      </c>
      <c r="P6000" s="5">
        <v>45</v>
      </c>
      <c r="Q6000" s="5">
        <v>1047</v>
      </c>
      <c r="R6000" s="5">
        <v>43</v>
      </c>
      <c r="S6000" s="5">
        <v>1002</v>
      </c>
    </row>
    <row r="6001" spans="1:19" ht="42" x14ac:dyDescent="0.15">
      <c r="A6001" s="2">
        <f>HYPERLINK("https://open-school.uspishnemisto.com.ua/school/320190/", 320190)</f>
        <v>320190</v>
      </c>
      <c r="B6001" s="3" t="s">
        <v>31402</v>
      </c>
      <c r="C6001" s="3" t="s">
        <v>54</v>
      </c>
      <c r="D6001" s="3" t="s">
        <v>175</v>
      </c>
      <c r="E6001" s="4" t="s">
        <v>22</v>
      </c>
      <c r="F6001" s="4" t="s">
        <v>31403</v>
      </c>
      <c r="G6001" s="4" t="s">
        <v>31404</v>
      </c>
      <c r="H6001" s="3" t="s">
        <v>30534</v>
      </c>
      <c r="I6001" s="3" t="s">
        <v>31405</v>
      </c>
      <c r="J6001" s="3" t="s">
        <v>31406</v>
      </c>
      <c r="K6001" s="3" t="s">
        <v>31407</v>
      </c>
      <c r="L6001" s="3" t="s">
        <v>31408</v>
      </c>
      <c r="M6001" s="4"/>
      <c r="N6001" s="3" t="s">
        <v>37</v>
      </c>
      <c r="O6001" s="3" t="s">
        <v>52</v>
      </c>
      <c r="P6001" s="5">
        <v>8</v>
      </c>
      <c r="Q6001" s="5">
        <v>50</v>
      </c>
      <c r="R6001" s="5">
        <v>6</v>
      </c>
      <c r="S6001" s="5">
        <v>46</v>
      </c>
    </row>
    <row r="6002" spans="1:19" ht="42" x14ac:dyDescent="0.15">
      <c r="A6002" s="2">
        <f>HYPERLINK("https://open-school.uspishnemisto.com.ua/school/320191/", 320191)</f>
        <v>320191</v>
      </c>
      <c r="B6002" s="3" t="s">
        <v>31409</v>
      </c>
      <c r="C6002" s="3" t="s">
        <v>54</v>
      </c>
      <c r="D6002" s="3" t="s">
        <v>32</v>
      </c>
      <c r="E6002" s="4" t="s">
        <v>22</v>
      </c>
      <c r="F6002" s="4" t="s">
        <v>31410</v>
      </c>
      <c r="G6002" s="4" t="s">
        <v>31411</v>
      </c>
      <c r="H6002" s="3" t="s">
        <v>30534</v>
      </c>
      <c r="I6002" s="3" t="s">
        <v>31412</v>
      </c>
      <c r="J6002" s="3" t="s">
        <v>14794</v>
      </c>
      <c r="K6002" s="3" t="s">
        <v>31413</v>
      </c>
      <c r="L6002" s="3"/>
      <c r="M6002" s="4"/>
      <c r="N6002" s="3" t="s">
        <v>37</v>
      </c>
      <c r="O6002" s="3" t="s">
        <v>52</v>
      </c>
      <c r="P6002" s="5">
        <v>10</v>
      </c>
      <c r="Q6002" s="5">
        <v>126</v>
      </c>
      <c r="R6002" s="5">
        <v>10</v>
      </c>
      <c r="S6002" s="5">
        <v>127</v>
      </c>
    </row>
    <row r="6003" spans="1:19" ht="42" x14ac:dyDescent="0.15">
      <c r="A6003" s="2">
        <f>HYPERLINK("https://open-school.uspishnemisto.com.ua/school/320192/", 320192)</f>
        <v>320192</v>
      </c>
      <c r="B6003" s="3" t="s">
        <v>31414</v>
      </c>
      <c r="C6003" s="3" t="s">
        <v>54</v>
      </c>
      <c r="D6003" s="3" t="s">
        <v>32</v>
      </c>
      <c r="E6003" s="4" t="s">
        <v>22</v>
      </c>
      <c r="F6003" s="4" t="s">
        <v>31415</v>
      </c>
      <c r="G6003" s="4" t="s">
        <v>31416</v>
      </c>
      <c r="H6003" s="3" t="s">
        <v>30534</v>
      </c>
      <c r="I6003" s="3" t="s">
        <v>883</v>
      </c>
      <c r="J6003" s="3" t="s">
        <v>31417</v>
      </c>
      <c r="K6003" s="3" t="s">
        <v>31418</v>
      </c>
      <c r="L6003" s="3"/>
      <c r="M6003" s="4"/>
      <c r="N6003" s="3" t="s">
        <v>37</v>
      </c>
      <c r="O6003" s="3" t="s">
        <v>46</v>
      </c>
      <c r="P6003" s="5">
        <v>18</v>
      </c>
      <c r="Q6003" s="5">
        <v>251</v>
      </c>
      <c r="R6003" s="5">
        <v>19</v>
      </c>
      <c r="S6003" s="5">
        <v>241</v>
      </c>
    </row>
    <row r="6004" spans="1:19" ht="42" x14ac:dyDescent="0.15">
      <c r="A6004" s="2">
        <f>HYPERLINK("https://open-school.uspishnemisto.com.ua/school/320193/", 320193)</f>
        <v>320193</v>
      </c>
      <c r="B6004" s="3" t="s">
        <v>31419</v>
      </c>
      <c r="C6004" s="3" t="s">
        <v>54</v>
      </c>
      <c r="D6004" s="3" t="s">
        <v>32</v>
      </c>
      <c r="E6004" s="4" t="s">
        <v>22</v>
      </c>
      <c r="F6004" s="4" t="s">
        <v>31420</v>
      </c>
      <c r="G6004" s="4" t="s">
        <v>31421</v>
      </c>
      <c r="H6004" s="3" t="s">
        <v>30534</v>
      </c>
      <c r="I6004" s="3" t="s">
        <v>31422</v>
      </c>
      <c r="J6004" s="3" t="s">
        <v>2978</v>
      </c>
      <c r="K6004" s="3" t="s">
        <v>31423</v>
      </c>
      <c r="L6004" s="3"/>
      <c r="M6004" s="4"/>
      <c r="N6004" s="3" t="s">
        <v>37</v>
      </c>
      <c r="O6004" s="3" t="s">
        <v>52</v>
      </c>
      <c r="P6004" s="5">
        <v>9</v>
      </c>
      <c r="Q6004" s="5">
        <v>91</v>
      </c>
      <c r="R6004" s="5">
        <v>9</v>
      </c>
      <c r="S6004" s="5">
        <v>91</v>
      </c>
    </row>
    <row r="6005" spans="1:19" ht="42" x14ac:dyDescent="0.15">
      <c r="A6005" s="2">
        <f>HYPERLINK("https://open-school.uspishnemisto.com.ua/school/320194/", 320194)</f>
        <v>320194</v>
      </c>
      <c r="B6005" s="3" t="s">
        <v>31424</v>
      </c>
      <c r="C6005" s="3" t="s">
        <v>54</v>
      </c>
      <c r="D6005" s="3" t="s">
        <v>175</v>
      </c>
      <c r="E6005" s="4" t="s">
        <v>22</v>
      </c>
      <c r="F6005" s="4" t="s">
        <v>31425</v>
      </c>
      <c r="G6005" s="4" t="s">
        <v>31426</v>
      </c>
      <c r="H6005" s="3" t="s">
        <v>30534</v>
      </c>
      <c r="I6005" s="3" t="s">
        <v>31427</v>
      </c>
      <c r="J6005" s="3" t="s">
        <v>31428</v>
      </c>
      <c r="K6005" s="3" t="s">
        <v>31429</v>
      </c>
      <c r="L6005" s="3"/>
      <c r="M6005" s="4"/>
      <c r="N6005" s="3" t="s">
        <v>37</v>
      </c>
      <c r="O6005" s="3" t="s">
        <v>52</v>
      </c>
      <c r="P6005" s="5">
        <v>6</v>
      </c>
      <c r="Q6005" s="5">
        <v>40</v>
      </c>
      <c r="R6005" s="5">
        <v>5</v>
      </c>
      <c r="S6005" s="5">
        <v>39</v>
      </c>
    </row>
    <row r="6006" spans="1:19" ht="28" x14ac:dyDescent="0.15">
      <c r="A6006" s="2">
        <f>HYPERLINK("https://open-school.uspishnemisto.com.ua/school/320195/", 320195)</f>
        <v>320195</v>
      </c>
      <c r="B6006" s="3" t="s">
        <v>31430</v>
      </c>
      <c r="C6006" s="3" t="s">
        <v>31</v>
      </c>
      <c r="D6006" s="3" t="s">
        <v>32</v>
      </c>
      <c r="E6006" s="4" t="s">
        <v>22</v>
      </c>
      <c r="F6006" s="4" t="s">
        <v>31431</v>
      </c>
      <c r="G6006" s="4" t="s">
        <v>31432</v>
      </c>
      <c r="H6006" s="3" t="s">
        <v>30534</v>
      </c>
      <c r="I6006" s="3" t="s">
        <v>31433</v>
      </c>
      <c r="J6006" s="3" t="s">
        <v>31434</v>
      </c>
      <c r="K6006" s="3" t="s">
        <v>31435</v>
      </c>
      <c r="L6006" s="3" t="s">
        <v>31436</v>
      </c>
      <c r="M6006" s="4"/>
      <c r="N6006" s="3" t="s">
        <v>37</v>
      </c>
      <c r="O6006" s="3" t="s">
        <v>52</v>
      </c>
      <c r="P6006" s="5">
        <v>11</v>
      </c>
      <c r="Q6006" s="5">
        <v>182</v>
      </c>
      <c r="R6006" s="5">
        <v>11</v>
      </c>
      <c r="S6006" s="5">
        <v>176</v>
      </c>
    </row>
    <row r="6007" spans="1:19" ht="42" x14ac:dyDescent="0.15">
      <c r="A6007" s="2">
        <f>HYPERLINK("https://open-school.uspishnemisto.com.ua/school/320196/", 320196)</f>
        <v>320196</v>
      </c>
      <c r="B6007" s="3" t="s">
        <v>31437</v>
      </c>
      <c r="C6007" s="3" t="s">
        <v>54</v>
      </c>
      <c r="D6007" s="3" t="s">
        <v>175</v>
      </c>
      <c r="E6007" s="4" t="s">
        <v>22</v>
      </c>
      <c r="F6007" s="4" t="s">
        <v>31438</v>
      </c>
      <c r="G6007" s="4" t="s">
        <v>31439</v>
      </c>
      <c r="H6007" s="3" t="s">
        <v>30534</v>
      </c>
      <c r="I6007" s="3" t="s">
        <v>31440</v>
      </c>
      <c r="J6007" s="3" t="s">
        <v>31441</v>
      </c>
      <c r="K6007" s="3" t="s">
        <v>31442</v>
      </c>
      <c r="L6007" s="3" t="s">
        <v>31443</v>
      </c>
      <c r="M6007" s="4"/>
      <c r="N6007" s="3" t="s">
        <v>37</v>
      </c>
      <c r="O6007" s="3" t="s">
        <v>52</v>
      </c>
      <c r="P6007" s="5">
        <v>9</v>
      </c>
      <c r="Q6007" s="5">
        <v>120</v>
      </c>
      <c r="R6007" s="5">
        <v>9</v>
      </c>
      <c r="S6007" s="5">
        <v>123</v>
      </c>
    </row>
    <row r="6008" spans="1:19" ht="42" x14ac:dyDescent="0.15">
      <c r="A6008" s="2">
        <f>HYPERLINK("https://open-school.uspishnemisto.com.ua/school/320198/", 320198)</f>
        <v>320198</v>
      </c>
      <c r="B6008" s="3" t="s">
        <v>31444</v>
      </c>
      <c r="C6008" s="3" t="s">
        <v>54</v>
      </c>
      <c r="D6008" s="3" t="s">
        <v>32</v>
      </c>
      <c r="E6008" s="4" t="s">
        <v>22</v>
      </c>
      <c r="F6008" s="4" t="s">
        <v>31445</v>
      </c>
      <c r="G6008" s="4" t="s">
        <v>31446</v>
      </c>
      <c r="H6008" s="3" t="s">
        <v>30534</v>
      </c>
      <c r="I6008" s="3" t="s">
        <v>31447</v>
      </c>
      <c r="J6008" s="3" t="s">
        <v>31448</v>
      </c>
      <c r="K6008" s="3" t="s">
        <v>31449</v>
      </c>
      <c r="L6008" s="3"/>
      <c r="M6008" s="4"/>
      <c r="N6008" s="3" t="s">
        <v>37</v>
      </c>
      <c r="O6008" s="3" t="s">
        <v>52</v>
      </c>
      <c r="P6008" s="5">
        <v>9</v>
      </c>
      <c r="Q6008" s="5">
        <v>97</v>
      </c>
      <c r="R6008" s="5">
        <v>9</v>
      </c>
      <c r="S6008" s="5">
        <v>93</v>
      </c>
    </row>
    <row r="6009" spans="1:19" ht="28" x14ac:dyDescent="0.15">
      <c r="A6009" s="2">
        <f>HYPERLINK("https://open-school.uspishnemisto.com.ua/school/320199/", 320199)</f>
        <v>320199</v>
      </c>
      <c r="B6009" s="3" t="s">
        <v>31450</v>
      </c>
      <c r="C6009" s="3" t="s">
        <v>31</v>
      </c>
      <c r="D6009" s="3" t="s">
        <v>175</v>
      </c>
      <c r="E6009" s="4" t="s">
        <v>22</v>
      </c>
      <c r="F6009" s="4" t="s">
        <v>31451</v>
      </c>
      <c r="G6009" s="4" t="s">
        <v>31452</v>
      </c>
      <c r="H6009" s="3" t="s">
        <v>30534</v>
      </c>
      <c r="I6009" s="3" t="s">
        <v>31453</v>
      </c>
      <c r="J6009" s="3"/>
      <c r="K6009" s="3" t="s">
        <v>31454</v>
      </c>
      <c r="L6009" s="3" t="s">
        <v>31455</v>
      </c>
      <c r="M6009" s="4"/>
      <c r="N6009" s="3" t="s">
        <v>37</v>
      </c>
      <c r="O6009" s="3" t="s">
        <v>52</v>
      </c>
      <c r="P6009" s="5">
        <v>5</v>
      </c>
      <c r="Q6009" s="5">
        <v>44</v>
      </c>
      <c r="R6009" s="5">
        <v>5</v>
      </c>
      <c r="S6009" s="5">
        <v>49</v>
      </c>
    </row>
    <row r="6010" spans="1:19" ht="56" x14ac:dyDescent="0.15">
      <c r="A6010" s="2">
        <f>HYPERLINK("https://open-school.uspishnemisto.com.ua/school/320200/", 320200)</f>
        <v>320200</v>
      </c>
      <c r="B6010" s="3" t="s">
        <v>31456</v>
      </c>
      <c r="C6010" s="3" t="s">
        <v>54</v>
      </c>
      <c r="D6010" s="3" t="s">
        <v>32</v>
      </c>
      <c r="E6010" s="4" t="s">
        <v>22</v>
      </c>
      <c r="F6010" s="4" t="s">
        <v>31457</v>
      </c>
      <c r="G6010" s="4" t="s">
        <v>31458</v>
      </c>
      <c r="H6010" s="3" t="s">
        <v>30534</v>
      </c>
      <c r="I6010" s="3" t="s">
        <v>31459</v>
      </c>
      <c r="J6010" s="3" t="s">
        <v>22568</v>
      </c>
      <c r="K6010" s="3" t="s">
        <v>31460</v>
      </c>
      <c r="L6010" s="3"/>
      <c r="M6010" s="4"/>
      <c r="N6010" s="3" t="s">
        <v>37</v>
      </c>
      <c r="O6010" s="3" t="s">
        <v>2740</v>
      </c>
      <c r="P6010" s="5">
        <v>11</v>
      </c>
      <c r="Q6010" s="5">
        <v>93</v>
      </c>
      <c r="R6010" s="5">
        <v>11</v>
      </c>
      <c r="S6010" s="5">
        <v>93</v>
      </c>
    </row>
    <row r="6011" spans="1:19" ht="42" x14ac:dyDescent="0.15">
      <c r="A6011" s="2">
        <f>HYPERLINK("https://open-school.uspishnemisto.com.ua/school/320201/", 320201)</f>
        <v>320201</v>
      </c>
      <c r="B6011" s="3" t="s">
        <v>31461</v>
      </c>
      <c r="C6011" s="3" t="s">
        <v>54</v>
      </c>
      <c r="D6011" s="3" t="s">
        <v>175</v>
      </c>
      <c r="E6011" s="4" t="s">
        <v>22</v>
      </c>
      <c r="F6011" s="4" t="s">
        <v>31462</v>
      </c>
      <c r="G6011" s="4" t="s">
        <v>31463</v>
      </c>
      <c r="H6011" s="3" t="s">
        <v>30534</v>
      </c>
      <c r="I6011" s="3" t="s">
        <v>31464</v>
      </c>
      <c r="J6011" s="3" t="s">
        <v>31465</v>
      </c>
      <c r="K6011" s="3" t="s">
        <v>31466</v>
      </c>
      <c r="L6011" s="3" t="s">
        <v>31467</v>
      </c>
      <c r="M6011" s="4"/>
      <c r="N6011" s="3" t="s">
        <v>37</v>
      </c>
      <c r="O6011" s="3" t="s">
        <v>52</v>
      </c>
      <c r="P6011" s="5">
        <v>6</v>
      </c>
      <c r="Q6011" s="5">
        <v>43</v>
      </c>
      <c r="R6011" s="5">
        <v>7</v>
      </c>
      <c r="S6011" s="5">
        <v>45</v>
      </c>
    </row>
    <row r="6012" spans="1:19" ht="42" x14ac:dyDescent="0.15">
      <c r="A6012" s="2">
        <f>HYPERLINK("https://open-school.uspishnemisto.com.ua/school/320202/", 320202)</f>
        <v>320202</v>
      </c>
      <c r="B6012" s="3" t="s">
        <v>31468</v>
      </c>
      <c r="C6012" s="3" t="s">
        <v>54</v>
      </c>
      <c r="D6012" s="3" t="s">
        <v>175</v>
      </c>
      <c r="E6012" s="4" t="s">
        <v>22</v>
      </c>
      <c r="F6012" s="4" t="s">
        <v>31469</v>
      </c>
      <c r="G6012" s="4" t="s">
        <v>31470</v>
      </c>
      <c r="H6012" s="3" t="s">
        <v>30534</v>
      </c>
      <c r="I6012" s="3" t="s">
        <v>31471</v>
      </c>
      <c r="J6012" s="3" t="s">
        <v>6191</v>
      </c>
      <c r="K6012" s="3"/>
      <c r="L6012" s="3" t="s">
        <v>31472</v>
      </c>
      <c r="M6012" s="4"/>
      <c r="N6012" s="3" t="s">
        <v>37</v>
      </c>
      <c r="O6012" s="3" t="s">
        <v>52</v>
      </c>
      <c r="P6012" s="5">
        <v>8</v>
      </c>
      <c r="Q6012" s="5">
        <v>79</v>
      </c>
      <c r="R6012" s="5">
        <v>8</v>
      </c>
      <c r="S6012" s="5">
        <v>71</v>
      </c>
    </row>
    <row r="6013" spans="1:19" ht="42" x14ac:dyDescent="0.15">
      <c r="A6013" s="2">
        <f>HYPERLINK("https://open-school.uspishnemisto.com.ua/school/320203/", 320203)</f>
        <v>320203</v>
      </c>
      <c r="B6013" s="3" t="s">
        <v>31473</v>
      </c>
      <c r="C6013" s="3" t="s">
        <v>54</v>
      </c>
      <c r="D6013" s="3" t="s">
        <v>175</v>
      </c>
      <c r="E6013" s="4" t="s">
        <v>22</v>
      </c>
      <c r="F6013" s="4" t="s">
        <v>31474</v>
      </c>
      <c r="G6013" s="4" t="s">
        <v>31475</v>
      </c>
      <c r="H6013" s="3" t="s">
        <v>30534</v>
      </c>
      <c r="I6013" s="3" t="s">
        <v>31476</v>
      </c>
      <c r="J6013" s="3" t="s">
        <v>31477</v>
      </c>
      <c r="K6013" s="3" t="s">
        <v>31478</v>
      </c>
      <c r="L6013" s="3" t="s">
        <v>31479</v>
      </c>
      <c r="M6013" s="4"/>
      <c r="N6013" s="3" t="s">
        <v>37</v>
      </c>
      <c r="O6013" s="3" t="s">
        <v>52</v>
      </c>
      <c r="P6013" s="5">
        <v>6</v>
      </c>
      <c r="Q6013" s="5">
        <v>42</v>
      </c>
      <c r="R6013" s="5">
        <v>6</v>
      </c>
      <c r="S6013" s="5">
        <v>47</v>
      </c>
    </row>
    <row r="6014" spans="1:19" ht="28" x14ac:dyDescent="0.15">
      <c r="A6014" s="2">
        <f>HYPERLINK("https://open-school.uspishnemisto.com.ua/school/320204/", 320204)</f>
        <v>320204</v>
      </c>
      <c r="B6014" s="3" t="s">
        <v>31480</v>
      </c>
      <c r="C6014" s="3" t="s">
        <v>31</v>
      </c>
      <c r="D6014" s="3" t="s">
        <v>32</v>
      </c>
      <c r="E6014" s="4" t="s">
        <v>22</v>
      </c>
      <c r="F6014" s="4" t="s">
        <v>31481</v>
      </c>
      <c r="G6014" s="4" t="s">
        <v>31482</v>
      </c>
      <c r="H6014" s="3" t="s">
        <v>30534</v>
      </c>
      <c r="I6014" s="3" t="s">
        <v>31483</v>
      </c>
      <c r="J6014" s="3" t="s">
        <v>16258</v>
      </c>
      <c r="K6014" s="3"/>
      <c r="L6014" s="3"/>
      <c r="M6014" s="4" t="s">
        <v>31484</v>
      </c>
      <c r="N6014" s="3" t="s">
        <v>37</v>
      </c>
      <c r="O6014" s="3" t="s">
        <v>2740</v>
      </c>
      <c r="P6014" s="5">
        <v>21</v>
      </c>
      <c r="Q6014" s="5">
        <v>489</v>
      </c>
      <c r="R6014" s="5">
        <v>19</v>
      </c>
      <c r="S6014" s="5">
        <v>462</v>
      </c>
    </row>
    <row r="6015" spans="1:19" ht="28" x14ac:dyDescent="0.15">
      <c r="A6015" s="2">
        <f>HYPERLINK("https://open-school.uspishnemisto.com.ua/school/320205/", 320205)</f>
        <v>320205</v>
      </c>
      <c r="B6015" s="3" t="s">
        <v>31485</v>
      </c>
      <c r="C6015" s="3" t="s">
        <v>31</v>
      </c>
      <c r="D6015" s="3" t="s">
        <v>32</v>
      </c>
      <c r="E6015" s="4" t="s">
        <v>22</v>
      </c>
      <c r="F6015" s="4" t="s">
        <v>31486</v>
      </c>
      <c r="G6015" s="4" t="s">
        <v>31487</v>
      </c>
      <c r="H6015" s="3" t="s">
        <v>30534</v>
      </c>
      <c r="I6015" s="3" t="s">
        <v>31488</v>
      </c>
      <c r="J6015" s="3" t="s">
        <v>31489</v>
      </c>
      <c r="K6015" s="3" t="s">
        <v>31490</v>
      </c>
      <c r="L6015" s="3"/>
      <c r="M6015" s="4" t="s">
        <v>31491</v>
      </c>
      <c r="N6015" s="3" t="s">
        <v>37</v>
      </c>
      <c r="O6015" s="3" t="s">
        <v>52</v>
      </c>
      <c r="P6015" s="5">
        <v>20</v>
      </c>
      <c r="Q6015" s="5">
        <v>467</v>
      </c>
      <c r="R6015" s="5">
        <v>20</v>
      </c>
      <c r="S6015" s="5">
        <v>434</v>
      </c>
    </row>
    <row r="6016" spans="1:19" ht="42" x14ac:dyDescent="0.15">
      <c r="A6016" s="2">
        <f>HYPERLINK("https://open-school.uspishnemisto.com.ua/school/320206/", 320206)</f>
        <v>320206</v>
      </c>
      <c r="B6016" s="3" t="s">
        <v>31492</v>
      </c>
      <c r="C6016" s="3" t="s">
        <v>54</v>
      </c>
      <c r="D6016" s="3" t="s">
        <v>175</v>
      </c>
      <c r="E6016" s="4" t="s">
        <v>41</v>
      </c>
      <c r="F6016" s="4" t="s">
        <v>31486</v>
      </c>
      <c r="G6016" s="4" t="s">
        <v>31487</v>
      </c>
      <c r="H6016" s="3" t="s">
        <v>30534</v>
      </c>
      <c r="I6016" s="3" t="s">
        <v>31488</v>
      </c>
      <c r="J6016" s="3" t="s">
        <v>31493</v>
      </c>
      <c r="K6016" s="3" t="s">
        <v>31494</v>
      </c>
      <c r="L6016" s="3"/>
      <c r="M6016" s="4"/>
      <c r="N6016" s="3" t="s">
        <v>37</v>
      </c>
      <c r="O6016" s="3" t="s">
        <v>52</v>
      </c>
      <c r="P6016" s="5">
        <v>6</v>
      </c>
      <c r="Q6016" s="5">
        <v>56</v>
      </c>
      <c r="R6016" s="5">
        <v>6</v>
      </c>
      <c r="S6016" s="5">
        <v>56</v>
      </c>
    </row>
    <row r="6017" spans="1:19" ht="42" x14ac:dyDescent="0.15">
      <c r="A6017" s="2">
        <f>HYPERLINK("https://open-school.uspishnemisto.com.ua/school/320207/", 320207)</f>
        <v>320207</v>
      </c>
      <c r="B6017" s="3" t="s">
        <v>31495</v>
      </c>
      <c r="C6017" s="3" t="s">
        <v>31</v>
      </c>
      <c r="D6017" s="3" t="s">
        <v>32</v>
      </c>
      <c r="E6017" s="4" t="s">
        <v>22</v>
      </c>
      <c r="F6017" s="4" t="s">
        <v>31496</v>
      </c>
      <c r="G6017" s="4" t="s">
        <v>31497</v>
      </c>
      <c r="H6017" s="3" t="s">
        <v>30534</v>
      </c>
      <c r="I6017" s="3" t="s">
        <v>31498</v>
      </c>
      <c r="J6017" s="3" t="s">
        <v>31499</v>
      </c>
      <c r="K6017" s="3" t="s">
        <v>31500</v>
      </c>
      <c r="L6017" s="3" t="s">
        <v>31501</v>
      </c>
      <c r="M6017" s="4" t="s">
        <v>31502</v>
      </c>
      <c r="N6017" s="3" t="s">
        <v>37</v>
      </c>
      <c r="O6017" s="3" t="s">
        <v>38</v>
      </c>
      <c r="P6017" s="5">
        <v>26</v>
      </c>
      <c r="Q6017" s="5">
        <v>489</v>
      </c>
      <c r="R6017" s="5">
        <v>27</v>
      </c>
      <c r="S6017" s="5">
        <v>449</v>
      </c>
    </row>
    <row r="6018" spans="1:19" ht="28" x14ac:dyDescent="0.15">
      <c r="A6018" s="2">
        <f>HYPERLINK("https://open-school.uspishnemisto.com.ua/school/320208/", 320208)</f>
        <v>320208</v>
      </c>
      <c r="B6018" s="3" t="s">
        <v>31503</v>
      </c>
      <c r="C6018" s="3" t="s">
        <v>31</v>
      </c>
      <c r="D6018" s="3" t="s">
        <v>32</v>
      </c>
      <c r="E6018" s="4" t="s">
        <v>22</v>
      </c>
      <c r="F6018" s="4" t="s">
        <v>31504</v>
      </c>
      <c r="G6018" s="4" t="s">
        <v>31505</v>
      </c>
      <c r="H6018" s="3" t="s">
        <v>30534</v>
      </c>
      <c r="I6018" s="3" t="s">
        <v>23117</v>
      </c>
      <c r="J6018" s="3" t="s">
        <v>11675</v>
      </c>
      <c r="K6018" s="3" t="s">
        <v>31506</v>
      </c>
      <c r="L6018" s="3"/>
      <c r="M6018" s="4" t="s">
        <v>31507</v>
      </c>
      <c r="N6018" s="3" t="s">
        <v>37</v>
      </c>
      <c r="O6018" s="3" t="s">
        <v>2740</v>
      </c>
      <c r="P6018" s="5">
        <v>13</v>
      </c>
      <c r="Q6018" s="5">
        <v>277</v>
      </c>
      <c r="R6018" s="5">
        <v>12</v>
      </c>
      <c r="S6018" s="5">
        <v>277</v>
      </c>
    </row>
    <row r="6019" spans="1:19" ht="28" x14ac:dyDescent="0.15">
      <c r="A6019" s="2">
        <f>HYPERLINK("https://open-school.uspishnemisto.com.ua/school/320209/", 320209)</f>
        <v>320209</v>
      </c>
      <c r="B6019" s="3" t="s">
        <v>31508</v>
      </c>
      <c r="C6019" s="3" t="s">
        <v>31</v>
      </c>
      <c r="D6019" s="3" t="s">
        <v>32</v>
      </c>
      <c r="E6019" s="4" t="s">
        <v>22</v>
      </c>
      <c r="F6019" s="4" t="s">
        <v>31509</v>
      </c>
      <c r="G6019" s="4" t="s">
        <v>31510</v>
      </c>
      <c r="H6019" s="3" t="s">
        <v>30534</v>
      </c>
      <c r="I6019" s="3" t="s">
        <v>31511</v>
      </c>
      <c r="J6019" s="3" t="s">
        <v>31512</v>
      </c>
      <c r="K6019" s="3" t="s">
        <v>31513</v>
      </c>
      <c r="L6019" s="3"/>
      <c r="M6019" s="4" t="s">
        <v>31514</v>
      </c>
      <c r="N6019" s="3" t="s">
        <v>37</v>
      </c>
      <c r="O6019" s="3" t="s">
        <v>52</v>
      </c>
      <c r="P6019" s="5">
        <v>18</v>
      </c>
      <c r="Q6019" s="5">
        <v>366</v>
      </c>
      <c r="R6019" s="5">
        <v>17</v>
      </c>
      <c r="S6019" s="5">
        <v>337</v>
      </c>
    </row>
    <row r="6020" spans="1:19" ht="28" x14ac:dyDescent="0.15">
      <c r="A6020" s="2">
        <f>HYPERLINK("https://open-school.uspishnemisto.com.ua/school/320210/", 320210)</f>
        <v>320210</v>
      </c>
      <c r="B6020" s="3" t="s">
        <v>31515</v>
      </c>
      <c r="C6020" s="3" t="s">
        <v>31</v>
      </c>
      <c r="D6020" s="3" t="s">
        <v>32</v>
      </c>
      <c r="E6020" s="4" t="s">
        <v>22</v>
      </c>
      <c r="F6020" s="4" t="s">
        <v>31516</v>
      </c>
      <c r="G6020" s="4" t="s">
        <v>31517</v>
      </c>
      <c r="H6020" s="3" t="s">
        <v>30534</v>
      </c>
      <c r="I6020" s="3" t="s">
        <v>31518</v>
      </c>
      <c r="J6020" s="3" t="s">
        <v>31519</v>
      </c>
      <c r="K6020" s="3" t="s">
        <v>31520</v>
      </c>
      <c r="L6020" s="3" t="s">
        <v>31521</v>
      </c>
      <c r="M6020" s="4" t="s">
        <v>31522</v>
      </c>
      <c r="N6020" s="3" t="s">
        <v>37</v>
      </c>
      <c r="O6020" s="3" t="s">
        <v>52</v>
      </c>
      <c r="P6020" s="5">
        <v>9</v>
      </c>
      <c r="Q6020" s="5">
        <v>132</v>
      </c>
      <c r="R6020" s="5">
        <v>10</v>
      </c>
      <c r="S6020" s="5">
        <v>132</v>
      </c>
    </row>
    <row r="6021" spans="1:19" ht="42" x14ac:dyDescent="0.15">
      <c r="A6021" s="2">
        <f>HYPERLINK("https://open-school.uspishnemisto.com.ua/school/320211/", 320211)</f>
        <v>320211</v>
      </c>
      <c r="B6021" s="3" t="s">
        <v>31523</v>
      </c>
      <c r="C6021" s="3" t="s">
        <v>54</v>
      </c>
      <c r="D6021" s="3" t="s">
        <v>175</v>
      </c>
      <c r="E6021" s="4" t="s">
        <v>22</v>
      </c>
      <c r="F6021" s="4" t="s">
        <v>31524</v>
      </c>
      <c r="G6021" s="4" t="s">
        <v>31525</v>
      </c>
      <c r="H6021" s="3" t="s">
        <v>30534</v>
      </c>
      <c r="I6021" s="3" t="s">
        <v>31526</v>
      </c>
      <c r="J6021" s="3" t="s">
        <v>31527</v>
      </c>
      <c r="K6021" s="3" t="s">
        <v>31528</v>
      </c>
      <c r="L6021" s="3"/>
      <c r="M6021" s="4"/>
      <c r="N6021" s="3"/>
      <c r="O6021" s="3"/>
      <c r="P6021" s="5">
        <v>0</v>
      </c>
      <c r="Q6021" s="5">
        <v>0</v>
      </c>
      <c r="R6021" s="5"/>
      <c r="S6021" s="5"/>
    </row>
    <row r="6022" spans="1:19" ht="28" x14ac:dyDescent="0.15">
      <c r="A6022" s="2">
        <f>HYPERLINK("https://open-school.uspishnemisto.com.ua/school/320212/", 320212)</f>
        <v>320212</v>
      </c>
      <c r="B6022" s="3" t="s">
        <v>31529</v>
      </c>
      <c r="C6022" s="3" t="s">
        <v>31</v>
      </c>
      <c r="D6022" s="3" t="s">
        <v>32</v>
      </c>
      <c r="E6022" s="4" t="s">
        <v>22</v>
      </c>
      <c r="F6022" s="4" t="s">
        <v>31530</v>
      </c>
      <c r="G6022" s="4" t="s">
        <v>31531</v>
      </c>
      <c r="H6022" s="3" t="s">
        <v>30534</v>
      </c>
      <c r="I6022" s="3" t="s">
        <v>31532</v>
      </c>
      <c r="J6022" s="3" t="s">
        <v>2978</v>
      </c>
      <c r="K6022" s="3" t="s">
        <v>31533</v>
      </c>
      <c r="L6022" s="3"/>
      <c r="M6022" s="4" t="s">
        <v>31534</v>
      </c>
      <c r="N6022" s="3" t="s">
        <v>37</v>
      </c>
      <c r="O6022" s="3" t="s">
        <v>52</v>
      </c>
      <c r="P6022" s="5">
        <v>17</v>
      </c>
      <c r="Q6022" s="5">
        <v>424</v>
      </c>
      <c r="R6022" s="5">
        <v>17</v>
      </c>
      <c r="S6022" s="5">
        <v>407</v>
      </c>
    </row>
    <row r="6023" spans="1:19" ht="28" x14ac:dyDescent="0.15">
      <c r="A6023" s="2">
        <f>HYPERLINK("https://open-school.uspishnemisto.com.ua/school/320213/", 320213)</f>
        <v>320213</v>
      </c>
      <c r="B6023" s="3" t="s">
        <v>31535</v>
      </c>
      <c r="C6023" s="3" t="s">
        <v>31</v>
      </c>
      <c r="D6023" s="3" t="s">
        <v>32</v>
      </c>
      <c r="E6023" s="4" t="s">
        <v>22</v>
      </c>
      <c r="F6023" s="4" t="s">
        <v>31536</v>
      </c>
      <c r="G6023" s="4" t="s">
        <v>31537</v>
      </c>
      <c r="H6023" s="3" t="s">
        <v>30534</v>
      </c>
      <c r="I6023" s="3" t="s">
        <v>31538</v>
      </c>
      <c r="J6023" s="3" t="s">
        <v>31539</v>
      </c>
      <c r="K6023" s="3" t="s">
        <v>31540</v>
      </c>
      <c r="L6023" s="3" t="s">
        <v>31541</v>
      </c>
      <c r="M6023" s="4" t="s">
        <v>31542</v>
      </c>
      <c r="N6023" s="3" t="s">
        <v>37</v>
      </c>
      <c r="O6023" s="3" t="s">
        <v>38</v>
      </c>
      <c r="P6023" s="5">
        <v>14</v>
      </c>
      <c r="Q6023" s="5">
        <v>262</v>
      </c>
      <c r="R6023" s="5">
        <v>13</v>
      </c>
      <c r="S6023" s="5">
        <v>250</v>
      </c>
    </row>
    <row r="6024" spans="1:19" ht="28" x14ac:dyDescent="0.15">
      <c r="A6024" s="2">
        <f>HYPERLINK("https://open-school.uspishnemisto.com.ua/school/320214/", 320214)</f>
        <v>320214</v>
      </c>
      <c r="B6024" s="3" t="s">
        <v>31543</v>
      </c>
      <c r="C6024" s="3" t="s">
        <v>31</v>
      </c>
      <c r="D6024" s="3" t="s">
        <v>32</v>
      </c>
      <c r="E6024" s="4" t="s">
        <v>22</v>
      </c>
      <c r="F6024" s="4" t="s">
        <v>31544</v>
      </c>
      <c r="G6024" s="4" t="s">
        <v>31545</v>
      </c>
      <c r="H6024" s="3" t="s">
        <v>30534</v>
      </c>
      <c r="I6024" s="3" t="s">
        <v>16734</v>
      </c>
      <c r="J6024" s="3" t="s">
        <v>297</v>
      </c>
      <c r="K6024" s="3" t="s">
        <v>31546</v>
      </c>
      <c r="L6024" s="3"/>
      <c r="M6024" s="4" t="s">
        <v>31547</v>
      </c>
      <c r="N6024" s="3" t="s">
        <v>37</v>
      </c>
      <c r="O6024" s="3" t="s">
        <v>52</v>
      </c>
      <c r="P6024" s="5">
        <v>19</v>
      </c>
      <c r="Q6024" s="5">
        <v>369</v>
      </c>
      <c r="R6024" s="5">
        <v>18</v>
      </c>
      <c r="S6024" s="5">
        <v>376</v>
      </c>
    </row>
    <row r="6025" spans="1:19" ht="42" x14ac:dyDescent="0.15">
      <c r="A6025" s="2">
        <f>HYPERLINK("https://open-school.uspishnemisto.com.ua/school/320215/", 320215)</f>
        <v>320215</v>
      </c>
      <c r="B6025" s="3" t="s">
        <v>31548</v>
      </c>
      <c r="C6025" s="3" t="s">
        <v>31</v>
      </c>
      <c r="D6025" s="3" t="s">
        <v>32</v>
      </c>
      <c r="E6025" s="4" t="s">
        <v>22</v>
      </c>
      <c r="F6025" s="4" t="s">
        <v>31549</v>
      </c>
      <c r="G6025" s="4" t="s">
        <v>31550</v>
      </c>
      <c r="H6025" s="3" t="s">
        <v>30534</v>
      </c>
      <c r="I6025" s="3" t="s">
        <v>31551</v>
      </c>
      <c r="J6025" s="3" t="s">
        <v>31552</v>
      </c>
      <c r="K6025" s="3" t="s">
        <v>31553</v>
      </c>
      <c r="L6025" s="3" t="s">
        <v>31554</v>
      </c>
      <c r="M6025" s="4" t="s">
        <v>31555</v>
      </c>
      <c r="N6025" s="3" t="s">
        <v>37</v>
      </c>
      <c r="O6025" s="3" t="s">
        <v>52</v>
      </c>
      <c r="P6025" s="5">
        <v>18</v>
      </c>
      <c r="Q6025" s="5">
        <v>355</v>
      </c>
      <c r="R6025" s="5">
        <v>18</v>
      </c>
      <c r="S6025" s="5">
        <v>355</v>
      </c>
    </row>
    <row r="6026" spans="1:19" ht="28" x14ac:dyDescent="0.15">
      <c r="A6026" s="2">
        <f>HYPERLINK("https://open-school.uspishnemisto.com.ua/school/320216/", 320216)</f>
        <v>320216</v>
      </c>
      <c r="B6026" s="3" t="s">
        <v>31556</v>
      </c>
      <c r="C6026" s="3" t="s">
        <v>31</v>
      </c>
      <c r="D6026" s="3" t="s">
        <v>32</v>
      </c>
      <c r="E6026" s="4" t="s">
        <v>22</v>
      </c>
      <c r="F6026" s="4" t="s">
        <v>31557</v>
      </c>
      <c r="G6026" s="4" t="s">
        <v>31558</v>
      </c>
      <c r="H6026" s="3" t="s">
        <v>30534</v>
      </c>
      <c r="I6026" s="3" t="s">
        <v>31559</v>
      </c>
      <c r="J6026" s="3" t="s">
        <v>1140</v>
      </c>
      <c r="K6026" s="3" t="s">
        <v>31560</v>
      </c>
      <c r="L6026" s="3"/>
      <c r="M6026" s="4" t="s">
        <v>31561</v>
      </c>
      <c r="N6026" s="3" t="s">
        <v>37</v>
      </c>
      <c r="O6026" s="3" t="s">
        <v>46</v>
      </c>
      <c r="P6026" s="5">
        <v>10</v>
      </c>
      <c r="Q6026" s="5">
        <v>167</v>
      </c>
      <c r="R6026" s="5">
        <v>10</v>
      </c>
      <c r="S6026" s="5">
        <v>158</v>
      </c>
    </row>
    <row r="6027" spans="1:19" ht="56" x14ac:dyDescent="0.15">
      <c r="A6027" s="2">
        <f>HYPERLINK("https://open-school.uspishnemisto.com.ua/school/320217/", 320217)</f>
        <v>320217</v>
      </c>
      <c r="B6027" s="3" t="s">
        <v>31562</v>
      </c>
      <c r="C6027" s="3" t="s">
        <v>54</v>
      </c>
      <c r="D6027" s="3" t="s">
        <v>60</v>
      </c>
      <c r="E6027" s="4" t="s">
        <v>22</v>
      </c>
      <c r="F6027" s="4" t="s">
        <v>31563</v>
      </c>
      <c r="G6027" s="4" t="s">
        <v>31564</v>
      </c>
      <c r="H6027" s="3" t="s">
        <v>30534</v>
      </c>
      <c r="I6027" s="3" t="s">
        <v>31565</v>
      </c>
      <c r="J6027" s="3" t="s">
        <v>31566</v>
      </c>
      <c r="K6027" s="3" t="s">
        <v>31567</v>
      </c>
      <c r="L6027" s="3"/>
      <c r="M6027" s="4"/>
      <c r="N6027" s="3" t="s">
        <v>37</v>
      </c>
      <c r="O6027" s="3" t="s">
        <v>52</v>
      </c>
      <c r="P6027" s="5">
        <v>4</v>
      </c>
      <c r="Q6027" s="5">
        <v>56</v>
      </c>
      <c r="R6027" s="5">
        <v>4</v>
      </c>
      <c r="S6027" s="5">
        <v>58</v>
      </c>
    </row>
    <row r="6028" spans="1:19" ht="28" x14ac:dyDescent="0.15">
      <c r="A6028" s="2">
        <f>HYPERLINK("https://open-school.uspishnemisto.com.ua/school/320218/", 320218)</f>
        <v>320218</v>
      </c>
      <c r="B6028" s="3" t="s">
        <v>31568</v>
      </c>
      <c r="C6028" s="3" t="s">
        <v>31</v>
      </c>
      <c r="D6028" s="3" t="s">
        <v>32</v>
      </c>
      <c r="E6028" s="4" t="s">
        <v>22</v>
      </c>
      <c r="F6028" s="4" t="s">
        <v>31569</v>
      </c>
      <c r="G6028" s="4" t="s">
        <v>31570</v>
      </c>
      <c r="H6028" s="3" t="s">
        <v>30534</v>
      </c>
      <c r="I6028" s="3" t="s">
        <v>1889</v>
      </c>
      <c r="J6028" s="3" t="s">
        <v>31571</v>
      </c>
      <c r="K6028" s="3" t="s">
        <v>31572</v>
      </c>
      <c r="L6028" s="3" t="s">
        <v>31573</v>
      </c>
      <c r="M6028" s="4" t="s">
        <v>31574</v>
      </c>
      <c r="N6028" s="3" t="s">
        <v>37</v>
      </c>
      <c r="O6028" s="3" t="s">
        <v>52</v>
      </c>
      <c r="P6028" s="5">
        <v>14</v>
      </c>
      <c r="Q6028" s="5">
        <v>259</v>
      </c>
      <c r="R6028" s="5">
        <v>13</v>
      </c>
      <c r="S6028" s="5">
        <v>251</v>
      </c>
    </row>
    <row r="6029" spans="1:19" ht="28" x14ac:dyDescent="0.15">
      <c r="A6029" s="2">
        <f>HYPERLINK("https://open-school.uspishnemisto.com.ua/school/320219/", 320219)</f>
        <v>320219</v>
      </c>
      <c r="B6029" s="3" t="s">
        <v>31575</v>
      </c>
      <c r="C6029" s="3" t="s">
        <v>31</v>
      </c>
      <c r="D6029" s="3" t="s">
        <v>60</v>
      </c>
      <c r="E6029" s="4" t="s">
        <v>22</v>
      </c>
      <c r="F6029" s="4" t="s">
        <v>31576</v>
      </c>
      <c r="G6029" s="4" t="s">
        <v>31577</v>
      </c>
      <c r="H6029" s="3" t="s">
        <v>30534</v>
      </c>
      <c r="I6029" s="3" t="s">
        <v>31578</v>
      </c>
      <c r="J6029" s="3" t="s">
        <v>31579</v>
      </c>
      <c r="K6029" s="3" t="s">
        <v>31580</v>
      </c>
      <c r="L6029" s="3" t="s">
        <v>31581</v>
      </c>
      <c r="M6029" s="4"/>
      <c r="N6029" s="3" t="s">
        <v>37</v>
      </c>
      <c r="O6029" s="3" t="s">
        <v>52</v>
      </c>
      <c r="P6029" s="5">
        <v>5</v>
      </c>
      <c r="Q6029" s="5">
        <v>84</v>
      </c>
      <c r="R6029" s="5">
        <v>4</v>
      </c>
      <c r="S6029" s="5">
        <v>65</v>
      </c>
    </row>
    <row r="6030" spans="1:19" ht="28" x14ac:dyDescent="0.15">
      <c r="A6030" s="2">
        <f>HYPERLINK("https://open-school.uspishnemisto.com.ua/school/320220/", 320220)</f>
        <v>320220</v>
      </c>
      <c r="B6030" s="3" t="s">
        <v>31582</v>
      </c>
      <c r="C6030" s="3" t="s">
        <v>31</v>
      </c>
      <c r="D6030" s="3" t="s">
        <v>32</v>
      </c>
      <c r="E6030" s="4" t="s">
        <v>22</v>
      </c>
      <c r="F6030" s="4" t="s">
        <v>31583</v>
      </c>
      <c r="G6030" s="4" t="s">
        <v>31584</v>
      </c>
      <c r="H6030" s="3" t="s">
        <v>30534</v>
      </c>
      <c r="I6030" s="3" t="s">
        <v>31585</v>
      </c>
      <c r="J6030" s="3" t="s">
        <v>5145</v>
      </c>
      <c r="K6030" s="3" t="s">
        <v>31586</v>
      </c>
      <c r="L6030" s="3"/>
      <c r="M6030" s="4" t="s">
        <v>31587</v>
      </c>
      <c r="N6030" s="3" t="s">
        <v>37</v>
      </c>
      <c r="O6030" s="3" t="s">
        <v>46</v>
      </c>
      <c r="P6030" s="5">
        <v>16</v>
      </c>
      <c r="Q6030" s="5">
        <v>313</v>
      </c>
      <c r="R6030" s="5">
        <v>15</v>
      </c>
      <c r="S6030" s="5">
        <v>287</v>
      </c>
    </row>
    <row r="6031" spans="1:19" ht="28" x14ac:dyDescent="0.15">
      <c r="A6031" s="2">
        <f>HYPERLINK("https://open-school.uspishnemisto.com.ua/school/320221/", 320221)</f>
        <v>320221</v>
      </c>
      <c r="B6031" s="3" t="s">
        <v>31588</v>
      </c>
      <c r="C6031" s="3" t="s">
        <v>31</v>
      </c>
      <c r="D6031" s="3" t="s">
        <v>32</v>
      </c>
      <c r="E6031" s="4" t="s">
        <v>22</v>
      </c>
      <c r="F6031" s="4" t="s">
        <v>31589</v>
      </c>
      <c r="G6031" s="4" t="s">
        <v>31590</v>
      </c>
      <c r="H6031" s="3" t="s">
        <v>30534</v>
      </c>
      <c r="I6031" s="3" t="s">
        <v>31591</v>
      </c>
      <c r="J6031" s="3" t="s">
        <v>23136</v>
      </c>
      <c r="K6031" s="3" t="s">
        <v>31592</v>
      </c>
      <c r="L6031" s="3" t="s">
        <v>31593</v>
      </c>
      <c r="M6031" s="4" t="s">
        <v>31594</v>
      </c>
      <c r="N6031" s="3" t="s">
        <v>37</v>
      </c>
      <c r="O6031" s="3" t="s">
        <v>38</v>
      </c>
      <c r="P6031" s="5">
        <v>13</v>
      </c>
      <c r="Q6031" s="5">
        <v>295</v>
      </c>
      <c r="R6031" s="5">
        <v>12</v>
      </c>
      <c r="S6031" s="5">
        <v>284</v>
      </c>
    </row>
    <row r="6032" spans="1:19" ht="28" x14ac:dyDescent="0.15">
      <c r="A6032" s="2">
        <f>HYPERLINK("https://open-school.uspishnemisto.com.ua/school/320222/", 320222)</f>
        <v>320222</v>
      </c>
      <c r="B6032" s="3" t="s">
        <v>31595</v>
      </c>
      <c r="C6032" s="3" t="s">
        <v>31</v>
      </c>
      <c r="D6032" s="3" t="s">
        <v>32</v>
      </c>
      <c r="E6032" s="4" t="s">
        <v>22</v>
      </c>
      <c r="F6032" s="4" t="s">
        <v>31596</v>
      </c>
      <c r="G6032" s="4" t="s">
        <v>31597</v>
      </c>
      <c r="H6032" s="3" t="s">
        <v>30534</v>
      </c>
      <c r="I6032" s="3" t="s">
        <v>31598</v>
      </c>
      <c r="J6032" s="3" t="s">
        <v>31599</v>
      </c>
      <c r="K6032" s="3" t="s">
        <v>31600</v>
      </c>
      <c r="L6032" s="3"/>
      <c r="M6032" s="4" t="s">
        <v>31601</v>
      </c>
      <c r="N6032" s="3" t="s">
        <v>37</v>
      </c>
      <c r="O6032" s="3" t="s">
        <v>52</v>
      </c>
      <c r="P6032" s="5">
        <v>11</v>
      </c>
      <c r="Q6032" s="5">
        <v>232</v>
      </c>
      <c r="R6032" s="5">
        <v>11</v>
      </c>
      <c r="S6032" s="5">
        <v>221</v>
      </c>
    </row>
    <row r="6033" spans="1:19" ht="28" x14ac:dyDescent="0.15">
      <c r="A6033" s="2">
        <f>HYPERLINK("https://open-school.uspishnemisto.com.ua/school/320223/", 320223)</f>
        <v>320223</v>
      </c>
      <c r="B6033" s="3" t="s">
        <v>31602</v>
      </c>
      <c r="C6033" s="3" t="s">
        <v>31</v>
      </c>
      <c r="D6033" s="3" t="s">
        <v>32</v>
      </c>
      <c r="E6033" s="4" t="s">
        <v>22</v>
      </c>
      <c r="F6033" s="4" t="s">
        <v>31603</v>
      </c>
      <c r="G6033" s="4" t="s">
        <v>31604</v>
      </c>
      <c r="H6033" s="3" t="s">
        <v>30534</v>
      </c>
      <c r="I6033" s="3" t="s">
        <v>31605</v>
      </c>
      <c r="J6033" s="3" t="s">
        <v>31606</v>
      </c>
      <c r="K6033" s="3"/>
      <c r="L6033" s="3"/>
      <c r="M6033" s="4" t="s">
        <v>31607</v>
      </c>
      <c r="N6033" s="3" t="s">
        <v>37</v>
      </c>
      <c r="O6033" s="3" t="s">
        <v>52</v>
      </c>
      <c r="P6033" s="5">
        <v>11</v>
      </c>
      <c r="Q6033" s="5">
        <v>152</v>
      </c>
      <c r="R6033" s="5">
        <v>11</v>
      </c>
      <c r="S6033" s="5">
        <v>149</v>
      </c>
    </row>
    <row r="6034" spans="1:19" ht="28" x14ac:dyDescent="0.15">
      <c r="A6034" s="2">
        <f>HYPERLINK("https://open-school.uspishnemisto.com.ua/school/320224/", 320224)</f>
        <v>320224</v>
      </c>
      <c r="B6034" s="3" t="s">
        <v>31608</v>
      </c>
      <c r="C6034" s="3" t="s">
        <v>31</v>
      </c>
      <c r="D6034" s="3" t="s">
        <v>32</v>
      </c>
      <c r="E6034" s="4" t="s">
        <v>22</v>
      </c>
      <c r="F6034" s="4" t="s">
        <v>31609</v>
      </c>
      <c r="G6034" s="4" t="s">
        <v>31610</v>
      </c>
      <c r="H6034" s="3" t="s">
        <v>30534</v>
      </c>
      <c r="I6034" s="3" t="s">
        <v>31611</v>
      </c>
      <c r="J6034" s="3" t="s">
        <v>3415</v>
      </c>
      <c r="K6034" s="3" t="s">
        <v>31612</v>
      </c>
      <c r="L6034" s="3"/>
      <c r="M6034" s="4" t="s">
        <v>31613</v>
      </c>
      <c r="N6034" s="3" t="s">
        <v>37</v>
      </c>
      <c r="O6034" s="3" t="s">
        <v>52</v>
      </c>
      <c r="P6034" s="5">
        <v>13</v>
      </c>
      <c r="Q6034" s="5">
        <v>247</v>
      </c>
      <c r="R6034" s="5">
        <v>13</v>
      </c>
      <c r="S6034" s="5">
        <v>246</v>
      </c>
    </row>
    <row r="6035" spans="1:19" ht="42" x14ac:dyDescent="0.15">
      <c r="A6035" s="2">
        <f>HYPERLINK("https://open-school.uspishnemisto.com.ua/school/320225/", 320225)</f>
        <v>320225</v>
      </c>
      <c r="B6035" s="3" t="s">
        <v>31614</v>
      </c>
      <c r="C6035" s="3" t="s">
        <v>54</v>
      </c>
      <c r="D6035" s="3" t="s">
        <v>32</v>
      </c>
      <c r="E6035" s="4" t="s">
        <v>22</v>
      </c>
      <c r="F6035" s="4" t="s">
        <v>31615</v>
      </c>
      <c r="G6035" s="4" t="s">
        <v>31616</v>
      </c>
      <c r="H6035" s="3" t="s">
        <v>30534</v>
      </c>
      <c r="I6035" s="3" t="s">
        <v>21936</v>
      </c>
      <c r="J6035" s="3" t="s">
        <v>13866</v>
      </c>
      <c r="K6035" s="3" t="s">
        <v>31617</v>
      </c>
      <c r="L6035" s="3" t="s">
        <v>31618</v>
      </c>
      <c r="M6035" s="4" t="s">
        <v>31619</v>
      </c>
      <c r="N6035" s="3" t="s">
        <v>37</v>
      </c>
      <c r="O6035" s="3" t="s">
        <v>46</v>
      </c>
      <c r="P6035" s="5">
        <v>47</v>
      </c>
      <c r="Q6035" s="5">
        <v>1197</v>
      </c>
      <c r="R6035" s="5">
        <v>38</v>
      </c>
      <c r="S6035" s="5">
        <v>1020</v>
      </c>
    </row>
    <row r="6036" spans="1:19" ht="42" x14ac:dyDescent="0.15">
      <c r="A6036" s="2">
        <f>HYPERLINK("https://open-school.uspishnemisto.com.ua/school/320226/", 320226)</f>
        <v>320226</v>
      </c>
      <c r="B6036" s="3" t="s">
        <v>31620</v>
      </c>
      <c r="C6036" s="3" t="s">
        <v>54</v>
      </c>
      <c r="D6036" s="3" t="s">
        <v>60</v>
      </c>
      <c r="E6036" s="4" t="s">
        <v>22</v>
      </c>
      <c r="F6036" s="4" t="s">
        <v>31621</v>
      </c>
      <c r="G6036" s="4" t="s">
        <v>31622</v>
      </c>
      <c r="H6036" s="3" t="s">
        <v>30534</v>
      </c>
      <c r="I6036" s="3" t="s">
        <v>31623</v>
      </c>
      <c r="J6036" s="3" t="s">
        <v>31624</v>
      </c>
      <c r="K6036" s="3" t="s">
        <v>31625</v>
      </c>
      <c r="L6036" s="3"/>
      <c r="M6036" s="4"/>
      <c r="N6036" s="3" t="s">
        <v>37</v>
      </c>
      <c r="O6036" s="3" t="s">
        <v>52</v>
      </c>
      <c r="P6036" s="5">
        <v>0</v>
      </c>
      <c r="Q6036" s="5">
        <v>0</v>
      </c>
      <c r="R6036" s="5">
        <v>4</v>
      </c>
      <c r="S6036" s="5">
        <v>70</v>
      </c>
    </row>
    <row r="6037" spans="1:19" ht="28" x14ac:dyDescent="0.15">
      <c r="A6037" s="2">
        <f>HYPERLINK("https://open-school.uspishnemisto.com.ua/school/320227/", 320227)</f>
        <v>320227</v>
      </c>
      <c r="B6037" s="3" t="s">
        <v>31626</v>
      </c>
      <c r="C6037" s="3" t="s">
        <v>31</v>
      </c>
      <c r="D6037" s="3" t="s">
        <v>175</v>
      </c>
      <c r="E6037" s="4" t="s">
        <v>22</v>
      </c>
      <c r="F6037" s="4" t="s">
        <v>31627</v>
      </c>
      <c r="G6037" s="4" t="s">
        <v>31628</v>
      </c>
      <c r="H6037" s="3" t="s">
        <v>30534</v>
      </c>
      <c r="I6037" s="3" t="s">
        <v>31629</v>
      </c>
      <c r="J6037" s="3" t="s">
        <v>31630</v>
      </c>
      <c r="K6037" s="3" t="s">
        <v>31631</v>
      </c>
      <c r="L6037" s="3" t="s">
        <v>31632</v>
      </c>
      <c r="M6037" s="4"/>
      <c r="N6037" s="3" t="s">
        <v>37</v>
      </c>
      <c r="O6037" s="3" t="s">
        <v>52</v>
      </c>
      <c r="P6037" s="5">
        <v>9</v>
      </c>
      <c r="Q6037" s="5">
        <v>195</v>
      </c>
      <c r="R6037" s="5">
        <v>9</v>
      </c>
      <c r="S6037" s="5">
        <v>191</v>
      </c>
    </row>
    <row r="6038" spans="1:19" ht="42" x14ac:dyDescent="0.15">
      <c r="A6038" s="2">
        <f>HYPERLINK("https://open-school.uspishnemisto.com.ua/school/320228/", 320228)</f>
        <v>320228</v>
      </c>
      <c r="B6038" s="3" t="s">
        <v>31633</v>
      </c>
      <c r="C6038" s="3" t="s">
        <v>244</v>
      </c>
      <c r="D6038" s="3" t="s">
        <v>32</v>
      </c>
      <c r="E6038" s="4" t="s">
        <v>22</v>
      </c>
      <c r="F6038" s="4" t="s">
        <v>31634</v>
      </c>
      <c r="G6038" s="4" t="s">
        <v>31628</v>
      </c>
      <c r="H6038" s="3" t="s">
        <v>30534</v>
      </c>
      <c r="I6038" s="3" t="s">
        <v>31629</v>
      </c>
      <c r="J6038" s="3" t="s">
        <v>31635</v>
      </c>
      <c r="K6038" s="3" t="s">
        <v>31636</v>
      </c>
      <c r="L6038" s="3"/>
      <c r="M6038" s="4"/>
      <c r="N6038" s="3" t="s">
        <v>37</v>
      </c>
      <c r="O6038" s="3" t="s">
        <v>70</v>
      </c>
      <c r="P6038" s="5">
        <v>36</v>
      </c>
      <c r="Q6038" s="5">
        <v>907</v>
      </c>
      <c r="R6038" s="5">
        <v>35</v>
      </c>
      <c r="S6038" s="5">
        <v>914</v>
      </c>
    </row>
    <row r="6039" spans="1:19" ht="42" x14ac:dyDescent="0.15">
      <c r="A6039" s="2">
        <f>HYPERLINK("https://open-school.uspishnemisto.com.ua/school/320229/", 320229)</f>
        <v>320229</v>
      </c>
      <c r="B6039" s="3" t="s">
        <v>31637</v>
      </c>
      <c r="C6039" s="3" t="s">
        <v>244</v>
      </c>
      <c r="D6039" s="3" t="s">
        <v>32</v>
      </c>
      <c r="E6039" s="4" t="s">
        <v>22</v>
      </c>
      <c r="F6039" s="4" t="s">
        <v>31634</v>
      </c>
      <c r="G6039" s="4" t="s">
        <v>31628</v>
      </c>
      <c r="H6039" s="3" t="s">
        <v>30534</v>
      </c>
      <c r="I6039" s="3" t="s">
        <v>31629</v>
      </c>
      <c r="J6039" s="3" t="s">
        <v>31638</v>
      </c>
      <c r="K6039" s="3" t="s">
        <v>31639</v>
      </c>
      <c r="L6039" s="3" t="s">
        <v>31640</v>
      </c>
      <c r="M6039" s="4"/>
      <c r="N6039" s="3" t="s">
        <v>37</v>
      </c>
      <c r="O6039" s="3" t="s">
        <v>38</v>
      </c>
      <c r="P6039" s="5">
        <v>23</v>
      </c>
      <c r="Q6039" s="5">
        <v>535</v>
      </c>
      <c r="R6039" s="5">
        <v>22</v>
      </c>
      <c r="S6039" s="5">
        <v>502</v>
      </c>
    </row>
    <row r="6040" spans="1:19" ht="28" x14ac:dyDescent="0.15">
      <c r="A6040" s="2">
        <f>HYPERLINK("https://open-school.uspishnemisto.com.ua/school/320230/", 320230)</f>
        <v>320230</v>
      </c>
      <c r="B6040" s="3" t="s">
        <v>31641</v>
      </c>
      <c r="C6040" s="3" t="s">
        <v>31</v>
      </c>
      <c r="D6040" s="3" t="s">
        <v>32</v>
      </c>
      <c r="E6040" s="4" t="s">
        <v>22</v>
      </c>
      <c r="F6040" s="4" t="s">
        <v>31642</v>
      </c>
      <c r="G6040" s="4" t="s">
        <v>31643</v>
      </c>
      <c r="H6040" s="3" t="s">
        <v>30534</v>
      </c>
      <c r="I6040" s="3" t="s">
        <v>31644</v>
      </c>
      <c r="J6040" s="3" t="s">
        <v>31645</v>
      </c>
      <c r="K6040" s="3" t="s">
        <v>31646</v>
      </c>
      <c r="L6040" s="3" t="s">
        <v>31647</v>
      </c>
      <c r="M6040" s="4"/>
      <c r="N6040" s="3" t="s">
        <v>37</v>
      </c>
      <c r="O6040" s="3" t="s">
        <v>38</v>
      </c>
      <c r="P6040" s="5">
        <v>17</v>
      </c>
      <c r="Q6040" s="5">
        <v>325</v>
      </c>
      <c r="R6040" s="5">
        <v>16</v>
      </c>
      <c r="S6040" s="5">
        <v>320</v>
      </c>
    </row>
    <row r="6041" spans="1:19" ht="28" x14ac:dyDescent="0.15">
      <c r="A6041" s="2">
        <f>HYPERLINK("https://open-school.uspishnemisto.com.ua/school/320231/", 320231)</f>
        <v>320231</v>
      </c>
      <c r="B6041" s="3" t="s">
        <v>31648</v>
      </c>
      <c r="C6041" s="3" t="s">
        <v>31</v>
      </c>
      <c r="D6041" s="3" t="s">
        <v>32</v>
      </c>
      <c r="E6041" s="4" t="s">
        <v>22</v>
      </c>
      <c r="F6041" s="4" t="s">
        <v>31649</v>
      </c>
      <c r="G6041" s="4" t="s">
        <v>31650</v>
      </c>
      <c r="H6041" s="3" t="s">
        <v>30534</v>
      </c>
      <c r="I6041" s="3" t="s">
        <v>31651</v>
      </c>
      <c r="J6041" s="3" t="s">
        <v>31652</v>
      </c>
      <c r="K6041" s="3" t="s">
        <v>31653</v>
      </c>
      <c r="L6041" s="3"/>
      <c r="M6041" s="4"/>
      <c r="N6041" s="3" t="s">
        <v>37</v>
      </c>
      <c r="O6041" s="3" t="s">
        <v>70</v>
      </c>
      <c r="P6041" s="5">
        <v>25</v>
      </c>
      <c r="Q6041" s="5">
        <v>604</v>
      </c>
      <c r="R6041" s="5">
        <v>24</v>
      </c>
      <c r="S6041" s="5">
        <v>587</v>
      </c>
    </row>
    <row r="6042" spans="1:19" ht="28" x14ac:dyDescent="0.15">
      <c r="A6042" s="2">
        <f>HYPERLINK("https://open-school.uspishnemisto.com.ua/school/320232/", 320232)</f>
        <v>320232</v>
      </c>
      <c r="B6042" s="3" t="s">
        <v>31654</v>
      </c>
      <c r="C6042" s="3" t="s">
        <v>40</v>
      </c>
      <c r="D6042" s="3" t="s">
        <v>32</v>
      </c>
      <c r="E6042" s="4" t="s">
        <v>22</v>
      </c>
      <c r="F6042" s="4" t="s">
        <v>31655</v>
      </c>
      <c r="G6042" s="4" t="s">
        <v>31656</v>
      </c>
      <c r="H6042" s="3" t="s">
        <v>30534</v>
      </c>
      <c r="I6042" s="3" t="s">
        <v>31657</v>
      </c>
      <c r="J6042" s="3" t="s">
        <v>31658</v>
      </c>
      <c r="K6042" s="3" t="s">
        <v>31659</v>
      </c>
      <c r="L6042" s="3"/>
      <c r="M6042" s="4"/>
      <c r="N6042" s="3" t="s">
        <v>37</v>
      </c>
      <c r="O6042" s="3" t="s">
        <v>237</v>
      </c>
      <c r="P6042" s="5">
        <v>7</v>
      </c>
      <c r="Q6042" s="5">
        <v>142</v>
      </c>
      <c r="R6042" s="5">
        <v>8</v>
      </c>
      <c r="S6042" s="5">
        <v>161</v>
      </c>
    </row>
    <row r="6043" spans="1:19" ht="42" x14ac:dyDescent="0.15">
      <c r="A6043" s="2">
        <f>HYPERLINK("https://open-school.uspishnemisto.com.ua/school/320233/", 320233)</f>
        <v>320233</v>
      </c>
      <c r="B6043" s="3" t="s">
        <v>31660</v>
      </c>
      <c r="C6043" s="3" t="s">
        <v>54</v>
      </c>
      <c r="D6043" s="3" t="s">
        <v>32</v>
      </c>
      <c r="E6043" s="4" t="s">
        <v>22</v>
      </c>
      <c r="F6043" s="4" t="s">
        <v>31655</v>
      </c>
      <c r="G6043" s="4" t="s">
        <v>31656</v>
      </c>
      <c r="H6043" s="3" t="s">
        <v>30534</v>
      </c>
      <c r="I6043" s="3" t="s">
        <v>31657</v>
      </c>
      <c r="J6043" s="3" t="s">
        <v>20657</v>
      </c>
      <c r="K6043" s="3" t="s">
        <v>31661</v>
      </c>
      <c r="L6043" s="3" t="s">
        <v>31662</v>
      </c>
      <c r="M6043" s="4"/>
      <c r="N6043" s="3" t="s">
        <v>37</v>
      </c>
      <c r="O6043" s="3" t="s">
        <v>38</v>
      </c>
      <c r="P6043" s="5">
        <v>18</v>
      </c>
      <c r="Q6043" s="5">
        <v>349</v>
      </c>
      <c r="R6043" s="5">
        <v>13</v>
      </c>
      <c r="S6043" s="5">
        <v>296</v>
      </c>
    </row>
    <row r="6044" spans="1:19" ht="28" x14ac:dyDescent="0.15">
      <c r="A6044" s="2">
        <f>HYPERLINK("https://open-school.uspishnemisto.com.ua/school/320234/", 320234)</f>
        <v>320234</v>
      </c>
      <c r="B6044" s="3" t="s">
        <v>31663</v>
      </c>
      <c r="C6044" s="3" t="s">
        <v>31</v>
      </c>
      <c r="D6044" s="3" t="s">
        <v>32</v>
      </c>
      <c r="E6044" s="4" t="s">
        <v>22</v>
      </c>
      <c r="F6044" s="4" t="s">
        <v>31655</v>
      </c>
      <c r="G6044" s="4" t="s">
        <v>31656</v>
      </c>
      <c r="H6044" s="3" t="s">
        <v>30534</v>
      </c>
      <c r="I6044" s="3" t="s">
        <v>31657</v>
      </c>
      <c r="J6044" s="3" t="s">
        <v>31664</v>
      </c>
      <c r="K6044" s="3" t="s">
        <v>31665</v>
      </c>
      <c r="L6044" s="3" t="s">
        <v>31666</v>
      </c>
      <c r="M6044" s="4"/>
      <c r="N6044" s="3" t="s">
        <v>37</v>
      </c>
      <c r="O6044" s="3" t="s">
        <v>52</v>
      </c>
      <c r="P6044" s="5">
        <v>16</v>
      </c>
      <c r="Q6044" s="5">
        <v>377</v>
      </c>
      <c r="R6044" s="5">
        <v>16</v>
      </c>
      <c r="S6044" s="5">
        <v>351</v>
      </c>
    </row>
    <row r="6045" spans="1:19" ht="42" x14ac:dyDescent="0.15">
      <c r="A6045" s="2">
        <f>HYPERLINK("https://open-school.uspishnemisto.com.ua/school/320235/", 320235)</f>
        <v>320235</v>
      </c>
      <c r="B6045" s="3" t="s">
        <v>31667</v>
      </c>
      <c r="C6045" s="3" t="s">
        <v>54</v>
      </c>
      <c r="D6045" s="3" t="s">
        <v>32</v>
      </c>
      <c r="E6045" s="4" t="s">
        <v>22</v>
      </c>
      <c r="F6045" s="4" t="s">
        <v>31668</v>
      </c>
      <c r="G6045" s="4" t="s">
        <v>31669</v>
      </c>
      <c r="H6045" s="3" t="s">
        <v>30534</v>
      </c>
      <c r="I6045" s="3" t="s">
        <v>31670</v>
      </c>
      <c r="J6045" s="3" t="s">
        <v>466</v>
      </c>
      <c r="K6045" s="3"/>
      <c r="L6045" s="3" t="s">
        <v>31671</v>
      </c>
      <c r="M6045" s="4"/>
      <c r="N6045" s="3" t="s">
        <v>37</v>
      </c>
      <c r="O6045" s="3" t="s">
        <v>2740</v>
      </c>
      <c r="P6045" s="5">
        <v>22</v>
      </c>
      <c r="Q6045" s="5">
        <v>529</v>
      </c>
      <c r="R6045" s="5">
        <v>21</v>
      </c>
      <c r="S6045" s="5">
        <v>520</v>
      </c>
    </row>
    <row r="6046" spans="1:19" ht="28" x14ac:dyDescent="0.15">
      <c r="A6046" s="2">
        <f>HYPERLINK("https://open-school.uspishnemisto.com.ua/school/320236/", 320236)</f>
        <v>320236</v>
      </c>
      <c r="B6046" s="3" t="s">
        <v>31672</v>
      </c>
      <c r="C6046" s="3" t="s">
        <v>31</v>
      </c>
      <c r="D6046" s="3" t="s">
        <v>32</v>
      </c>
      <c r="E6046" s="4" t="s">
        <v>22</v>
      </c>
      <c r="F6046" s="4" t="s">
        <v>31668</v>
      </c>
      <c r="G6046" s="4" t="s">
        <v>31669</v>
      </c>
      <c r="H6046" s="3" t="s">
        <v>30534</v>
      </c>
      <c r="I6046" s="3" t="s">
        <v>31670</v>
      </c>
      <c r="J6046" s="3" t="s">
        <v>31673</v>
      </c>
      <c r="K6046" s="3" t="s">
        <v>31674</v>
      </c>
      <c r="L6046" s="3" t="s">
        <v>31675</v>
      </c>
      <c r="M6046" s="4"/>
      <c r="N6046" s="3" t="s">
        <v>37</v>
      </c>
      <c r="O6046" s="3" t="s">
        <v>46</v>
      </c>
      <c r="P6046" s="5">
        <v>21</v>
      </c>
      <c r="Q6046" s="5">
        <v>574</v>
      </c>
      <c r="R6046" s="5">
        <v>21</v>
      </c>
      <c r="S6046" s="5">
        <v>553</v>
      </c>
    </row>
    <row r="6047" spans="1:19" ht="28" x14ac:dyDescent="0.15">
      <c r="A6047" s="2">
        <f>HYPERLINK("https://open-school.uspishnemisto.com.ua/school/320237/", 320237)</f>
        <v>320237</v>
      </c>
      <c r="B6047" s="3" t="s">
        <v>31676</v>
      </c>
      <c r="C6047" s="3" t="s">
        <v>31</v>
      </c>
      <c r="D6047" s="3" t="s">
        <v>32</v>
      </c>
      <c r="E6047" s="4" t="s">
        <v>22</v>
      </c>
      <c r="F6047" s="4" t="s">
        <v>31677</v>
      </c>
      <c r="G6047" s="4" t="s">
        <v>31678</v>
      </c>
      <c r="H6047" s="3" t="s">
        <v>30534</v>
      </c>
      <c r="I6047" s="3" t="s">
        <v>31679</v>
      </c>
      <c r="J6047" s="3" t="s">
        <v>31680</v>
      </c>
      <c r="K6047" s="3" t="s">
        <v>31681</v>
      </c>
      <c r="L6047" s="3" t="s">
        <v>31682</v>
      </c>
      <c r="M6047" s="4"/>
      <c r="N6047" s="3" t="s">
        <v>37</v>
      </c>
      <c r="O6047" s="3" t="s">
        <v>38</v>
      </c>
      <c r="P6047" s="5">
        <v>11</v>
      </c>
      <c r="Q6047" s="5">
        <v>151</v>
      </c>
      <c r="R6047" s="5">
        <v>11</v>
      </c>
      <c r="S6047" s="5">
        <v>145</v>
      </c>
    </row>
    <row r="6048" spans="1:19" ht="28" x14ac:dyDescent="0.15">
      <c r="A6048" s="2">
        <f>HYPERLINK("https://open-school.uspishnemisto.com.ua/school/320238/", 320238)</f>
        <v>320238</v>
      </c>
      <c r="B6048" s="3" t="s">
        <v>31683</v>
      </c>
      <c r="C6048" s="3" t="s">
        <v>31</v>
      </c>
      <c r="D6048" s="3" t="s">
        <v>175</v>
      </c>
      <c r="E6048" s="4" t="s">
        <v>22</v>
      </c>
      <c r="F6048" s="4" t="s">
        <v>31684</v>
      </c>
      <c r="G6048" s="4" t="s">
        <v>31685</v>
      </c>
      <c r="H6048" s="3" t="s">
        <v>30534</v>
      </c>
      <c r="I6048" s="3" t="s">
        <v>31686</v>
      </c>
      <c r="J6048" s="3" t="s">
        <v>31687</v>
      </c>
      <c r="K6048" s="3" t="s">
        <v>31688</v>
      </c>
      <c r="L6048" s="3"/>
      <c r="M6048" s="4"/>
      <c r="N6048" s="3" t="s">
        <v>37</v>
      </c>
      <c r="O6048" s="3" t="s">
        <v>52</v>
      </c>
      <c r="P6048" s="5">
        <v>8</v>
      </c>
      <c r="Q6048" s="5">
        <v>103</v>
      </c>
      <c r="R6048" s="5">
        <v>9</v>
      </c>
      <c r="S6048" s="5">
        <v>104</v>
      </c>
    </row>
    <row r="6049" spans="1:19" ht="56" x14ac:dyDescent="0.15">
      <c r="A6049" s="2">
        <f>HYPERLINK("https://open-school.uspishnemisto.com.ua/school/320239/", 320239)</f>
        <v>320239</v>
      </c>
      <c r="B6049" s="3" t="s">
        <v>31689</v>
      </c>
      <c r="C6049" s="3" t="s">
        <v>54</v>
      </c>
      <c r="D6049" s="3" t="s">
        <v>32</v>
      </c>
      <c r="E6049" s="4" t="s">
        <v>22</v>
      </c>
      <c r="F6049" s="4" t="s">
        <v>31690</v>
      </c>
      <c r="G6049" s="4" t="s">
        <v>31691</v>
      </c>
      <c r="H6049" s="3" t="s">
        <v>30534</v>
      </c>
      <c r="I6049" s="3" t="s">
        <v>31692</v>
      </c>
      <c r="J6049" s="3" t="s">
        <v>31693</v>
      </c>
      <c r="K6049" s="3" t="s">
        <v>31694</v>
      </c>
      <c r="L6049" s="3"/>
      <c r="M6049" s="4"/>
      <c r="N6049" s="3" t="s">
        <v>37</v>
      </c>
      <c r="O6049" s="3" t="s">
        <v>52</v>
      </c>
      <c r="P6049" s="5">
        <v>23</v>
      </c>
      <c r="Q6049" s="5">
        <v>334</v>
      </c>
      <c r="R6049" s="5">
        <v>20</v>
      </c>
      <c r="S6049" s="5">
        <v>320</v>
      </c>
    </row>
    <row r="6050" spans="1:19" ht="28" x14ac:dyDescent="0.15">
      <c r="A6050" s="2">
        <f>HYPERLINK("https://open-school.uspishnemisto.com.ua/school/320240/", 320240)</f>
        <v>320240</v>
      </c>
      <c r="B6050" s="3" t="s">
        <v>31695</v>
      </c>
      <c r="C6050" s="3" t="s">
        <v>31</v>
      </c>
      <c r="D6050" s="3" t="s">
        <v>60</v>
      </c>
      <c r="E6050" s="4" t="s">
        <v>22</v>
      </c>
      <c r="F6050" s="4" t="s">
        <v>31690</v>
      </c>
      <c r="G6050" s="4" t="s">
        <v>31696</v>
      </c>
      <c r="H6050" s="3" t="s">
        <v>30534</v>
      </c>
      <c r="I6050" s="3" t="s">
        <v>31697</v>
      </c>
      <c r="J6050" s="3" t="s">
        <v>31698</v>
      </c>
      <c r="K6050" s="3" t="s">
        <v>31699</v>
      </c>
      <c r="L6050" s="3"/>
      <c r="M6050" s="4"/>
      <c r="N6050" s="3"/>
      <c r="O6050" s="3"/>
      <c r="P6050" s="5">
        <v>0</v>
      </c>
      <c r="Q6050" s="5">
        <v>0</v>
      </c>
      <c r="R6050" s="5"/>
      <c r="S6050" s="5"/>
    </row>
    <row r="6051" spans="1:19" ht="70" x14ac:dyDescent="0.15">
      <c r="A6051" s="2">
        <f>HYPERLINK("https://open-school.uspishnemisto.com.ua/school/320241/", 320241)</f>
        <v>320241</v>
      </c>
      <c r="B6051" s="3" t="s">
        <v>31700</v>
      </c>
      <c r="C6051" s="3" t="s">
        <v>54</v>
      </c>
      <c r="D6051" s="3" t="s">
        <v>32</v>
      </c>
      <c r="E6051" s="4" t="s">
        <v>22</v>
      </c>
      <c r="F6051" s="4" t="s">
        <v>31701</v>
      </c>
      <c r="G6051" s="4" t="s">
        <v>31702</v>
      </c>
      <c r="H6051" s="3" t="s">
        <v>30534</v>
      </c>
      <c r="I6051" s="3" t="s">
        <v>31703</v>
      </c>
      <c r="J6051" s="3" t="s">
        <v>31704</v>
      </c>
      <c r="K6051" s="3" t="s">
        <v>31705</v>
      </c>
      <c r="L6051" s="3"/>
      <c r="M6051" s="4"/>
      <c r="N6051" s="3" t="s">
        <v>37</v>
      </c>
      <c r="O6051" s="3" t="s">
        <v>52</v>
      </c>
      <c r="P6051" s="5">
        <v>19</v>
      </c>
      <c r="Q6051" s="5">
        <v>228</v>
      </c>
      <c r="R6051" s="5">
        <v>19</v>
      </c>
      <c r="S6051" s="5">
        <v>243</v>
      </c>
    </row>
    <row r="6052" spans="1:19" ht="42" x14ac:dyDescent="0.15">
      <c r="A6052" s="2">
        <f>HYPERLINK("https://open-school.uspishnemisto.com.ua/school/320242/", 320242)</f>
        <v>320242</v>
      </c>
      <c r="B6052" s="3" t="s">
        <v>31706</v>
      </c>
      <c r="C6052" s="3" t="s">
        <v>54</v>
      </c>
      <c r="D6052" s="3" t="s">
        <v>175</v>
      </c>
      <c r="E6052" s="4" t="s">
        <v>22</v>
      </c>
      <c r="F6052" s="4" t="s">
        <v>31707</v>
      </c>
      <c r="G6052" s="4" t="s">
        <v>31708</v>
      </c>
      <c r="H6052" s="3" t="s">
        <v>30534</v>
      </c>
      <c r="I6052" s="3" t="s">
        <v>31709</v>
      </c>
      <c r="J6052" s="3" t="s">
        <v>21182</v>
      </c>
      <c r="K6052" s="3" t="s">
        <v>31710</v>
      </c>
      <c r="L6052" s="3" t="s">
        <v>31711</v>
      </c>
      <c r="M6052" s="4"/>
      <c r="N6052" s="3" t="s">
        <v>37</v>
      </c>
      <c r="O6052" s="3" t="s">
        <v>52</v>
      </c>
      <c r="P6052" s="5">
        <v>8</v>
      </c>
      <c r="Q6052" s="5">
        <v>90</v>
      </c>
      <c r="R6052" s="5">
        <v>8</v>
      </c>
      <c r="S6052" s="5">
        <v>90</v>
      </c>
    </row>
    <row r="6053" spans="1:19" ht="28" x14ac:dyDescent="0.15">
      <c r="A6053" s="2">
        <f>HYPERLINK("https://open-school.uspishnemisto.com.ua/school/320747/", 320747)</f>
        <v>320747</v>
      </c>
      <c r="B6053" s="3" t="s">
        <v>31712</v>
      </c>
      <c r="C6053" s="3" t="s">
        <v>31</v>
      </c>
      <c r="D6053" s="3" t="s">
        <v>175</v>
      </c>
      <c r="E6053" s="4" t="s">
        <v>22</v>
      </c>
      <c r="F6053" s="4" t="s">
        <v>31713</v>
      </c>
      <c r="G6053" s="4" t="s">
        <v>31714</v>
      </c>
      <c r="H6053" s="3" t="s">
        <v>30534</v>
      </c>
      <c r="I6053" s="3" t="s">
        <v>31715</v>
      </c>
      <c r="J6053" s="3" t="s">
        <v>466</v>
      </c>
      <c r="K6053" s="3" t="s">
        <v>31716</v>
      </c>
      <c r="L6053" s="3"/>
      <c r="M6053" s="4"/>
      <c r="N6053" s="3"/>
      <c r="O6053" s="3"/>
      <c r="P6053" s="5">
        <v>0</v>
      </c>
      <c r="Q6053" s="5">
        <v>0</v>
      </c>
      <c r="R6053" s="5"/>
      <c r="S6053" s="5"/>
    </row>
    <row r="6054" spans="1:19" ht="28" x14ac:dyDescent="0.15">
      <c r="A6054" s="2">
        <f>HYPERLINK("https://open-school.uspishnemisto.com.ua/school/320243/", 320243)</f>
        <v>320243</v>
      </c>
      <c r="B6054" s="3" t="s">
        <v>31717</v>
      </c>
      <c r="C6054" s="3" t="s">
        <v>31</v>
      </c>
      <c r="D6054" s="3" t="s">
        <v>175</v>
      </c>
      <c r="E6054" s="4" t="s">
        <v>22</v>
      </c>
      <c r="F6054" s="4"/>
      <c r="G6054" s="4" t="s">
        <v>31718</v>
      </c>
      <c r="H6054" s="3" t="s">
        <v>30534</v>
      </c>
      <c r="I6054" s="3" t="s">
        <v>2174</v>
      </c>
      <c r="J6054" s="3" t="s">
        <v>31719</v>
      </c>
      <c r="K6054" s="3"/>
      <c r="L6054" s="3"/>
      <c r="M6054" s="4"/>
      <c r="N6054" s="3" t="s">
        <v>37</v>
      </c>
      <c r="O6054" s="3" t="s">
        <v>52</v>
      </c>
      <c r="P6054" s="5">
        <v>5</v>
      </c>
      <c r="Q6054" s="5">
        <v>32</v>
      </c>
      <c r="R6054" s="5">
        <v>5</v>
      </c>
      <c r="S6054" s="5">
        <v>32</v>
      </c>
    </row>
    <row r="6055" spans="1:19" ht="28" x14ac:dyDescent="0.15">
      <c r="A6055" s="2">
        <f>HYPERLINK("https://open-school.uspishnemisto.com.ua/school/320244/", 320244)</f>
        <v>320244</v>
      </c>
      <c r="B6055" s="3" t="s">
        <v>31720</v>
      </c>
      <c r="C6055" s="3" t="s">
        <v>54</v>
      </c>
      <c r="D6055" s="3" t="s">
        <v>175</v>
      </c>
      <c r="E6055" s="4" t="s">
        <v>22</v>
      </c>
      <c r="F6055" s="4" t="s">
        <v>31721</v>
      </c>
      <c r="G6055" s="4" t="s">
        <v>31722</v>
      </c>
      <c r="H6055" s="3" t="s">
        <v>30534</v>
      </c>
      <c r="I6055" s="3" t="s">
        <v>31723</v>
      </c>
      <c r="J6055" s="3" t="s">
        <v>31724</v>
      </c>
      <c r="K6055" s="3" t="s">
        <v>31725</v>
      </c>
      <c r="L6055" s="3" t="s">
        <v>31726</v>
      </c>
      <c r="M6055" s="4"/>
      <c r="N6055" s="3" t="s">
        <v>37</v>
      </c>
      <c r="O6055" s="3" t="s">
        <v>46</v>
      </c>
      <c r="P6055" s="5">
        <v>7</v>
      </c>
      <c r="Q6055" s="5">
        <v>53</v>
      </c>
      <c r="R6055" s="5">
        <v>9</v>
      </c>
      <c r="S6055" s="5">
        <v>65</v>
      </c>
    </row>
    <row r="6056" spans="1:19" ht="28" x14ac:dyDescent="0.15">
      <c r="A6056" s="2">
        <f>HYPERLINK("https://open-school.uspishnemisto.com.ua/school/320245/", 320245)</f>
        <v>320245</v>
      </c>
      <c r="B6056" s="3" t="s">
        <v>31727</v>
      </c>
      <c r="C6056" s="3" t="s">
        <v>31</v>
      </c>
      <c r="D6056" s="3" t="s">
        <v>175</v>
      </c>
      <c r="E6056" s="4" t="s">
        <v>22</v>
      </c>
      <c r="F6056" s="4" t="s">
        <v>31728</v>
      </c>
      <c r="G6056" s="4" t="s">
        <v>31729</v>
      </c>
      <c r="H6056" s="3" t="s">
        <v>30534</v>
      </c>
      <c r="I6056" s="3" t="s">
        <v>12862</v>
      </c>
      <c r="J6056" s="3" t="s">
        <v>18837</v>
      </c>
      <c r="K6056" s="3" t="s">
        <v>31730</v>
      </c>
      <c r="L6056" s="3" t="s">
        <v>31731</v>
      </c>
      <c r="M6056" s="4"/>
      <c r="N6056" s="3" t="s">
        <v>37</v>
      </c>
      <c r="O6056" s="3" t="s">
        <v>38</v>
      </c>
      <c r="P6056" s="5">
        <v>9</v>
      </c>
      <c r="Q6056" s="5">
        <v>124</v>
      </c>
      <c r="R6056" s="5">
        <v>9</v>
      </c>
      <c r="S6056" s="5">
        <v>115</v>
      </c>
    </row>
    <row r="6057" spans="1:19" ht="28" x14ac:dyDescent="0.15">
      <c r="A6057" s="2">
        <f>HYPERLINK("https://open-school.uspishnemisto.com.ua/school/320246/", 320246)</f>
        <v>320246</v>
      </c>
      <c r="B6057" s="3" t="s">
        <v>31732</v>
      </c>
      <c r="C6057" s="3" t="s">
        <v>31</v>
      </c>
      <c r="D6057" s="3" t="s">
        <v>175</v>
      </c>
      <c r="E6057" s="4" t="s">
        <v>22</v>
      </c>
      <c r="F6057" s="4" t="s">
        <v>31733</v>
      </c>
      <c r="G6057" s="4" t="s">
        <v>31734</v>
      </c>
      <c r="H6057" s="3" t="s">
        <v>30534</v>
      </c>
      <c r="I6057" s="3" t="s">
        <v>31735</v>
      </c>
      <c r="J6057" s="3" t="s">
        <v>1719</v>
      </c>
      <c r="K6057" s="3" t="s">
        <v>31736</v>
      </c>
      <c r="L6057" s="3" t="s">
        <v>31737</v>
      </c>
      <c r="M6057" s="4"/>
      <c r="N6057" s="3" t="s">
        <v>37</v>
      </c>
      <c r="O6057" s="3" t="s">
        <v>52</v>
      </c>
      <c r="P6057" s="5">
        <v>8</v>
      </c>
      <c r="Q6057" s="5">
        <v>64</v>
      </c>
      <c r="R6057" s="5">
        <v>8</v>
      </c>
      <c r="S6057" s="5">
        <v>68</v>
      </c>
    </row>
    <row r="6058" spans="1:19" ht="28" x14ac:dyDescent="0.15">
      <c r="A6058" s="2">
        <f>HYPERLINK("https://open-school.uspishnemisto.com.ua/school/320247/", 320247)</f>
        <v>320247</v>
      </c>
      <c r="B6058" s="3" t="s">
        <v>31738</v>
      </c>
      <c r="C6058" s="3" t="s">
        <v>54</v>
      </c>
      <c r="D6058" s="3" t="s">
        <v>32</v>
      </c>
      <c r="E6058" s="4" t="s">
        <v>22</v>
      </c>
      <c r="F6058" s="4"/>
      <c r="G6058" s="4" t="s">
        <v>31739</v>
      </c>
      <c r="H6058" s="3" t="s">
        <v>30534</v>
      </c>
      <c r="I6058" s="3" t="s">
        <v>31740</v>
      </c>
      <c r="J6058" s="3" t="s">
        <v>31741</v>
      </c>
      <c r="K6058" s="3" t="s">
        <v>31742</v>
      </c>
      <c r="L6058" s="3"/>
      <c r="M6058" s="4"/>
      <c r="N6058" s="3" t="s">
        <v>37</v>
      </c>
      <c r="O6058" s="3" t="s">
        <v>46</v>
      </c>
      <c r="P6058" s="5">
        <v>10</v>
      </c>
      <c r="Q6058" s="5">
        <v>156</v>
      </c>
      <c r="R6058" s="5">
        <v>10</v>
      </c>
      <c r="S6058" s="5">
        <v>143</v>
      </c>
    </row>
    <row r="6059" spans="1:19" ht="28" x14ac:dyDescent="0.15">
      <c r="A6059" s="2">
        <f>HYPERLINK("https://open-school.uspishnemisto.com.ua/school/320248/", 320248)</f>
        <v>320248</v>
      </c>
      <c r="B6059" s="3" t="s">
        <v>31743</v>
      </c>
      <c r="C6059" s="3" t="s">
        <v>31</v>
      </c>
      <c r="D6059" s="3" t="s">
        <v>32</v>
      </c>
      <c r="E6059" s="4" t="s">
        <v>22</v>
      </c>
      <c r="F6059" s="4" t="s">
        <v>31744</v>
      </c>
      <c r="G6059" s="4" t="s">
        <v>31745</v>
      </c>
      <c r="H6059" s="3" t="s">
        <v>30534</v>
      </c>
      <c r="I6059" s="3" t="s">
        <v>5218</v>
      </c>
      <c r="J6059" s="3" t="s">
        <v>31746</v>
      </c>
      <c r="K6059" s="3" t="s">
        <v>31747</v>
      </c>
      <c r="L6059" s="3"/>
      <c r="M6059" s="4"/>
      <c r="N6059" s="3" t="s">
        <v>37</v>
      </c>
      <c r="O6059" s="3" t="s">
        <v>52</v>
      </c>
      <c r="P6059" s="5">
        <v>9</v>
      </c>
      <c r="Q6059" s="5">
        <v>195</v>
      </c>
      <c r="R6059" s="5">
        <v>10</v>
      </c>
      <c r="S6059" s="5">
        <v>192</v>
      </c>
    </row>
    <row r="6060" spans="1:19" ht="28" x14ac:dyDescent="0.15">
      <c r="A6060" s="2">
        <f>HYPERLINK("https://open-school.uspishnemisto.com.ua/school/320249/", 320249)</f>
        <v>320249</v>
      </c>
      <c r="B6060" s="3" t="s">
        <v>31748</v>
      </c>
      <c r="C6060" s="3" t="s">
        <v>54</v>
      </c>
      <c r="D6060" s="3" t="s">
        <v>175</v>
      </c>
      <c r="E6060" s="4" t="s">
        <v>22</v>
      </c>
      <c r="F6060" s="4" t="s">
        <v>31749</v>
      </c>
      <c r="G6060" s="4" t="s">
        <v>31750</v>
      </c>
      <c r="H6060" s="3" t="s">
        <v>30534</v>
      </c>
      <c r="I6060" s="3" t="s">
        <v>20741</v>
      </c>
      <c r="J6060" s="3" t="s">
        <v>2532</v>
      </c>
      <c r="K6060" s="3" t="s">
        <v>31751</v>
      </c>
      <c r="L6060" s="3"/>
      <c r="M6060" s="4"/>
      <c r="N6060" s="3" t="s">
        <v>37</v>
      </c>
      <c r="O6060" s="3" t="s">
        <v>52</v>
      </c>
      <c r="P6060" s="5">
        <v>8</v>
      </c>
      <c r="Q6060" s="5">
        <v>80</v>
      </c>
      <c r="R6060" s="5">
        <v>10</v>
      </c>
      <c r="S6060" s="5">
        <v>88</v>
      </c>
    </row>
    <row r="6061" spans="1:19" ht="42" x14ac:dyDescent="0.15">
      <c r="A6061" s="2">
        <f>HYPERLINK("https://open-school.uspishnemisto.com.ua/school/320250/", 320250)</f>
        <v>320250</v>
      </c>
      <c r="B6061" s="3" t="s">
        <v>31752</v>
      </c>
      <c r="C6061" s="3" t="s">
        <v>54</v>
      </c>
      <c r="D6061" s="3" t="s">
        <v>175</v>
      </c>
      <c r="E6061" s="4" t="s">
        <v>22</v>
      </c>
      <c r="F6061" s="4" t="s">
        <v>31753</v>
      </c>
      <c r="G6061" s="4" t="s">
        <v>31754</v>
      </c>
      <c r="H6061" s="3" t="s">
        <v>30534</v>
      </c>
      <c r="I6061" s="3" t="s">
        <v>1945</v>
      </c>
      <c r="J6061" s="3" t="s">
        <v>17949</v>
      </c>
      <c r="K6061" s="3" t="s">
        <v>31755</v>
      </c>
      <c r="L6061" s="3"/>
      <c r="M6061" s="4"/>
      <c r="N6061" s="3" t="s">
        <v>37</v>
      </c>
      <c r="O6061" s="3" t="s">
        <v>38</v>
      </c>
      <c r="P6061" s="5">
        <v>9</v>
      </c>
      <c r="Q6061" s="5">
        <v>75</v>
      </c>
      <c r="R6061" s="5">
        <v>9</v>
      </c>
      <c r="S6061" s="5">
        <v>72</v>
      </c>
    </row>
    <row r="6062" spans="1:19" ht="28" x14ac:dyDescent="0.15">
      <c r="A6062" s="2">
        <f>HYPERLINK("https://open-school.uspishnemisto.com.ua/school/320251/", 320251)</f>
        <v>320251</v>
      </c>
      <c r="B6062" s="3" t="s">
        <v>31756</v>
      </c>
      <c r="C6062" s="3" t="s">
        <v>54</v>
      </c>
      <c r="D6062" s="3" t="s">
        <v>175</v>
      </c>
      <c r="E6062" s="4" t="s">
        <v>22</v>
      </c>
      <c r="F6062" s="4" t="s">
        <v>30049</v>
      </c>
      <c r="G6062" s="4" t="s">
        <v>31757</v>
      </c>
      <c r="H6062" s="3" t="s">
        <v>30534</v>
      </c>
      <c r="I6062" s="3" t="s">
        <v>31758</v>
      </c>
      <c r="J6062" s="3" t="s">
        <v>7647</v>
      </c>
      <c r="K6062" s="3" t="s">
        <v>31759</v>
      </c>
      <c r="L6062" s="3" t="s">
        <v>31760</v>
      </c>
      <c r="M6062" s="4"/>
      <c r="N6062" s="3" t="s">
        <v>37</v>
      </c>
      <c r="O6062" s="3" t="s">
        <v>46</v>
      </c>
      <c r="P6062" s="5">
        <v>9</v>
      </c>
      <c r="Q6062" s="5">
        <v>77</v>
      </c>
      <c r="R6062" s="5">
        <v>9</v>
      </c>
      <c r="S6062" s="5">
        <v>87</v>
      </c>
    </row>
    <row r="6063" spans="1:19" ht="28" x14ac:dyDescent="0.15">
      <c r="A6063" s="2">
        <f>HYPERLINK("https://open-school.uspishnemisto.com.ua/school/320252/", 320252)</f>
        <v>320252</v>
      </c>
      <c r="B6063" s="3" t="s">
        <v>31761</v>
      </c>
      <c r="C6063" s="3" t="s">
        <v>31</v>
      </c>
      <c r="D6063" s="3" t="s">
        <v>175</v>
      </c>
      <c r="E6063" s="4" t="s">
        <v>22</v>
      </c>
      <c r="F6063" s="4" t="s">
        <v>31762</v>
      </c>
      <c r="G6063" s="4" t="s">
        <v>31763</v>
      </c>
      <c r="H6063" s="3" t="s">
        <v>30534</v>
      </c>
      <c r="I6063" s="3" t="s">
        <v>18778</v>
      </c>
      <c r="J6063" s="3" t="s">
        <v>31764</v>
      </c>
      <c r="K6063" s="3" t="s">
        <v>31765</v>
      </c>
      <c r="L6063" s="3"/>
      <c r="M6063" s="4"/>
      <c r="N6063" s="3" t="s">
        <v>37</v>
      </c>
      <c r="O6063" s="3" t="s">
        <v>52</v>
      </c>
      <c r="P6063" s="5">
        <v>9</v>
      </c>
      <c r="Q6063" s="5">
        <v>188</v>
      </c>
      <c r="R6063" s="5">
        <v>9</v>
      </c>
      <c r="S6063" s="5">
        <v>183</v>
      </c>
    </row>
    <row r="6064" spans="1:19" ht="42" x14ac:dyDescent="0.15">
      <c r="A6064" s="2">
        <f>HYPERLINK("https://open-school.uspishnemisto.com.ua/school/320748/", 320748)</f>
        <v>320748</v>
      </c>
      <c r="B6064" s="3" t="s">
        <v>31766</v>
      </c>
      <c r="C6064" s="3" t="s">
        <v>54</v>
      </c>
      <c r="D6064" s="3" t="s">
        <v>175</v>
      </c>
      <c r="E6064" s="4" t="s">
        <v>22</v>
      </c>
      <c r="F6064" s="4" t="s">
        <v>31767</v>
      </c>
      <c r="G6064" s="4" t="s">
        <v>31768</v>
      </c>
      <c r="H6064" s="3" t="s">
        <v>30534</v>
      </c>
      <c r="I6064" s="3" t="s">
        <v>31769</v>
      </c>
      <c r="J6064" s="3" t="s">
        <v>31770</v>
      </c>
      <c r="K6064" s="3" t="s">
        <v>31771</v>
      </c>
      <c r="L6064" s="3"/>
      <c r="M6064" s="4"/>
      <c r="N6064" s="3"/>
      <c r="O6064" s="3"/>
      <c r="P6064" s="5">
        <v>0</v>
      </c>
      <c r="Q6064" s="5">
        <v>0</v>
      </c>
      <c r="R6064" s="5"/>
      <c r="S6064" s="5"/>
    </row>
    <row r="6065" spans="1:19" ht="28" x14ac:dyDescent="0.15">
      <c r="A6065" s="2">
        <f>HYPERLINK("https://open-school.uspishnemisto.com.ua/school/320253/", 320253)</f>
        <v>320253</v>
      </c>
      <c r="B6065" s="3" t="s">
        <v>31772</v>
      </c>
      <c r="C6065" s="3" t="s">
        <v>54</v>
      </c>
      <c r="D6065" s="3"/>
      <c r="E6065" s="4" t="s">
        <v>22</v>
      </c>
      <c r="F6065" s="4" t="s">
        <v>31773</v>
      </c>
      <c r="G6065" s="4" t="s">
        <v>31774</v>
      </c>
      <c r="H6065" s="3" t="s">
        <v>30534</v>
      </c>
      <c r="I6065" s="3" t="s">
        <v>31775</v>
      </c>
      <c r="J6065" s="3" t="s">
        <v>31776</v>
      </c>
      <c r="K6065" s="3" t="s">
        <v>31777</v>
      </c>
      <c r="L6065" s="3" t="s">
        <v>31778</v>
      </c>
      <c r="M6065" s="4" t="s">
        <v>31779</v>
      </c>
      <c r="N6065" s="3" t="s">
        <v>37</v>
      </c>
      <c r="O6065" s="3" t="s">
        <v>46</v>
      </c>
      <c r="P6065" s="5">
        <v>48</v>
      </c>
      <c r="Q6065" s="5">
        <v>1319</v>
      </c>
      <c r="R6065" s="5">
        <v>46</v>
      </c>
      <c r="S6065" s="5">
        <v>1254</v>
      </c>
    </row>
    <row r="6066" spans="1:19" ht="28" x14ac:dyDescent="0.15">
      <c r="A6066" s="2">
        <f>HYPERLINK("https://open-school.uspishnemisto.com.ua/school/320254/", 320254)</f>
        <v>320254</v>
      </c>
      <c r="B6066" s="3" t="s">
        <v>31780</v>
      </c>
      <c r="C6066" s="3" t="s">
        <v>188</v>
      </c>
      <c r="D6066" s="3" t="s">
        <v>32</v>
      </c>
      <c r="E6066" s="4" t="s">
        <v>22</v>
      </c>
      <c r="F6066" s="4" t="s">
        <v>31773</v>
      </c>
      <c r="G6066" s="4" t="s">
        <v>31774</v>
      </c>
      <c r="H6066" s="3" t="s">
        <v>30534</v>
      </c>
      <c r="I6066" s="3" t="s">
        <v>31775</v>
      </c>
      <c r="J6066" s="3" t="s">
        <v>31776</v>
      </c>
      <c r="K6066" s="3" t="s">
        <v>31781</v>
      </c>
      <c r="L6066" s="3"/>
      <c r="M6066" s="4"/>
      <c r="N6066" s="3"/>
      <c r="O6066" s="3"/>
      <c r="P6066" s="5">
        <v>0</v>
      </c>
      <c r="Q6066" s="5">
        <v>0</v>
      </c>
      <c r="R6066" s="5"/>
      <c r="S6066" s="5"/>
    </row>
    <row r="6067" spans="1:19" ht="28" x14ac:dyDescent="0.15">
      <c r="A6067" s="2">
        <f>HYPERLINK("https://open-school.uspishnemisto.com.ua/school/320255/", 320255)</f>
        <v>320255</v>
      </c>
      <c r="B6067" s="3" t="s">
        <v>31782</v>
      </c>
      <c r="C6067" s="3" t="s">
        <v>31</v>
      </c>
      <c r="D6067" s="3" t="s">
        <v>32</v>
      </c>
      <c r="E6067" s="4" t="s">
        <v>22</v>
      </c>
      <c r="F6067" s="4" t="s">
        <v>31783</v>
      </c>
      <c r="G6067" s="4" t="s">
        <v>31784</v>
      </c>
      <c r="H6067" s="3" t="s">
        <v>30534</v>
      </c>
      <c r="I6067" s="3" t="s">
        <v>31785</v>
      </c>
      <c r="J6067" s="3" t="s">
        <v>31786</v>
      </c>
      <c r="K6067" s="3" t="s">
        <v>31787</v>
      </c>
      <c r="L6067" s="3" t="s">
        <v>31788</v>
      </c>
      <c r="M6067" s="4" t="s">
        <v>31789</v>
      </c>
      <c r="N6067" s="3" t="s">
        <v>37</v>
      </c>
      <c r="O6067" s="3" t="s">
        <v>38</v>
      </c>
      <c r="P6067" s="5">
        <v>22</v>
      </c>
      <c r="Q6067" s="5">
        <v>503</v>
      </c>
      <c r="R6067" s="5">
        <v>22</v>
      </c>
      <c r="S6067" s="5">
        <v>509</v>
      </c>
    </row>
    <row r="6068" spans="1:19" ht="28" x14ac:dyDescent="0.15">
      <c r="A6068" s="2">
        <f>HYPERLINK("https://open-school.uspishnemisto.com.ua/school/320256/", 320256)</f>
        <v>320256</v>
      </c>
      <c r="B6068" s="3" t="s">
        <v>31790</v>
      </c>
      <c r="C6068" s="3" t="s">
        <v>31</v>
      </c>
      <c r="D6068" s="3" t="s">
        <v>32</v>
      </c>
      <c r="E6068" s="4" t="s">
        <v>22</v>
      </c>
      <c r="F6068" s="4" t="s">
        <v>31791</v>
      </c>
      <c r="G6068" s="4" t="s">
        <v>31792</v>
      </c>
      <c r="H6068" s="3" t="s">
        <v>30534</v>
      </c>
      <c r="I6068" s="3" t="s">
        <v>1803</v>
      </c>
      <c r="J6068" s="3" t="s">
        <v>31793</v>
      </c>
      <c r="K6068" s="3" t="s">
        <v>31794</v>
      </c>
      <c r="L6068" s="3"/>
      <c r="M6068" s="4"/>
      <c r="N6068" s="3" t="s">
        <v>37</v>
      </c>
      <c r="O6068" s="3" t="s">
        <v>46</v>
      </c>
      <c r="P6068" s="5">
        <v>27</v>
      </c>
      <c r="Q6068" s="5">
        <v>630</v>
      </c>
      <c r="R6068" s="5">
        <v>26</v>
      </c>
      <c r="S6068" s="5">
        <v>600</v>
      </c>
    </row>
    <row r="6069" spans="1:19" ht="42" x14ac:dyDescent="0.15">
      <c r="A6069" s="2">
        <f>HYPERLINK("https://open-school.uspishnemisto.com.ua/school/320257/", 320257)</f>
        <v>320257</v>
      </c>
      <c r="B6069" s="3" t="s">
        <v>31795</v>
      </c>
      <c r="C6069" s="3" t="s">
        <v>20</v>
      </c>
      <c r="D6069" s="3" t="s">
        <v>21</v>
      </c>
      <c r="E6069" s="4" t="s">
        <v>22</v>
      </c>
      <c r="F6069" s="4" t="s">
        <v>31791</v>
      </c>
      <c r="G6069" s="4" t="s">
        <v>31792</v>
      </c>
      <c r="H6069" s="3" t="s">
        <v>30534</v>
      </c>
      <c r="I6069" s="3" t="s">
        <v>1803</v>
      </c>
      <c r="J6069" s="3" t="s">
        <v>31796</v>
      </c>
      <c r="K6069" s="3" t="s">
        <v>31797</v>
      </c>
      <c r="L6069" s="3" t="s">
        <v>31798</v>
      </c>
      <c r="M6069" s="4"/>
      <c r="N6069" s="3"/>
      <c r="O6069" s="3"/>
      <c r="P6069" s="5">
        <v>0</v>
      </c>
      <c r="Q6069" s="5">
        <v>0</v>
      </c>
      <c r="R6069" s="5"/>
      <c r="S6069" s="5"/>
    </row>
    <row r="6070" spans="1:19" ht="28" x14ac:dyDescent="0.15">
      <c r="A6070" s="2">
        <f>HYPERLINK("https://open-school.uspishnemisto.com.ua/school/320258/", 320258)</f>
        <v>320258</v>
      </c>
      <c r="B6070" s="3" t="s">
        <v>31799</v>
      </c>
      <c r="C6070" s="3" t="s">
        <v>31</v>
      </c>
      <c r="D6070" s="3" t="s">
        <v>32</v>
      </c>
      <c r="E6070" s="4" t="s">
        <v>22</v>
      </c>
      <c r="F6070" s="4" t="s">
        <v>31800</v>
      </c>
      <c r="G6070" s="4" t="s">
        <v>31801</v>
      </c>
      <c r="H6070" s="3" t="s">
        <v>30534</v>
      </c>
      <c r="I6070" s="3" t="s">
        <v>31802</v>
      </c>
      <c r="J6070" s="3" t="s">
        <v>31803</v>
      </c>
      <c r="K6070" s="3" t="s">
        <v>31804</v>
      </c>
      <c r="L6070" s="3" t="s">
        <v>31805</v>
      </c>
      <c r="M6070" s="4"/>
      <c r="N6070" s="3" t="s">
        <v>37</v>
      </c>
      <c r="O6070" s="3" t="s">
        <v>38</v>
      </c>
      <c r="P6070" s="5">
        <v>11</v>
      </c>
      <c r="Q6070" s="5">
        <v>227</v>
      </c>
      <c r="R6070" s="5">
        <v>11</v>
      </c>
      <c r="S6070" s="5">
        <v>228</v>
      </c>
    </row>
    <row r="6071" spans="1:19" ht="28" x14ac:dyDescent="0.15">
      <c r="A6071" s="2">
        <f>HYPERLINK("https://open-school.uspishnemisto.com.ua/school/320259/", 320259)</f>
        <v>320259</v>
      </c>
      <c r="B6071" s="3" t="s">
        <v>31806</v>
      </c>
      <c r="C6071" s="3" t="s">
        <v>31</v>
      </c>
      <c r="D6071" s="3" t="s">
        <v>32</v>
      </c>
      <c r="E6071" s="4" t="s">
        <v>22</v>
      </c>
      <c r="F6071" s="4" t="s">
        <v>31807</v>
      </c>
      <c r="G6071" s="4" t="s">
        <v>31808</v>
      </c>
      <c r="H6071" s="3" t="s">
        <v>30534</v>
      </c>
      <c r="I6071" s="3" t="s">
        <v>3790</v>
      </c>
      <c r="J6071" s="3" t="s">
        <v>31809</v>
      </c>
      <c r="K6071" s="3" t="s">
        <v>31810</v>
      </c>
      <c r="L6071" s="3" t="s">
        <v>31811</v>
      </c>
      <c r="M6071" s="4" t="s">
        <v>31812</v>
      </c>
      <c r="N6071" s="3" t="s">
        <v>37</v>
      </c>
      <c r="O6071" s="3" t="s">
        <v>46</v>
      </c>
      <c r="P6071" s="5">
        <v>18</v>
      </c>
      <c r="Q6071" s="5">
        <v>339</v>
      </c>
      <c r="R6071" s="5">
        <v>16</v>
      </c>
      <c r="S6071" s="5">
        <v>319</v>
      </c>
    </row>
    <row r="6072" spans="1:19" ht="28" x14ac:dyDescent="0.15">
      <c r="A6072" s="2">
        <f>HYPERLINK("https://open-school.uspishnemisto.com.ua/school/320260/", 320260)</f>
        <v>320260</v>
      </c>
      <c r="B6072" s="3" t="s">
        <v>31813</v>
      </c>
      <c r="C6072" s="3" t="s">
        <v>31</v>
      </c>
      <c r="D6072" s="3" t="s">
        <v>175</v>
      </c>
      <c r="E6072" s="4" t="s">
        <v>22</v>
      </c>
      <c r="F6072" s="4" t="s">
        <v>31814</v>
      </c>
      <c r="G6072" s="4" t="s">
        <v>31815</v>
      </c>
      <c r="H6072" s="3" t="s">
        <v>30534</v>
      </c>
      <c r="I6072" s="3" t="s">
        <v>31816</v>
      </c>
      <c r="J6072" s="3" t="s">
        <v>6042</v>
      </c>
      <c r="K6072" s="3" t="s">
        <v>31817</v>
      </c>
      <c r="L6072" s="3" t="s">
        <v>31818</v>
      </c>
      <c r="M6072" s="4"/>
      <c r="N6072" s="3"/>
      <c r="O6072" s="3"/>
      <c r="P6072" s="5">
        <v>0</v>
      </c>
      <c r="Q6072" s="5">
        <v>0</v>
      </c>
      <c r="R6072" s="5"/>
      <c r="S6072" s="5"/>
    </row>
    <row r="6073" spans="1:19" ht="28" x14ac:dyDescent="0.15">
      <c r="A6073" s="2">
        <f>HYPERLINK("https://open-school.uspishnemisto.com.ua/school/320261/", 320261)</f>
        <v>320261</v>
      </c>
      <c r="B6073" s="3" t="s">
        <v>31819</v>
      </c>
      <c r="C6073" s="3" t="s">
        <v>31</v>
      </c>
      <c r="D6073" s="3" t="s">
        <v>32</v>
      </c>
      <c r="E6073" s="4" t="s">
        <v>22</v>
      </c>
      <c r="F6073" s="4" t="s">
        <v>31814</v>
      </c>
      <c r="G6073" s="4" t="s">
        <v>31815</v>
      </c>
      <c r="H6073" s="3" t="s">
        <v>30534</v>
      </c>
      <c r="I6073" s="3" t="s">
        <v>31816</v>
      </c>
      <c r="J6073" s="3" t="s">
        <v>31820</v>
      </c>
      <c r="K6073" s="3" t="s">
        <v>31821</v>
      </c>
      <c r="L6073" s="3" t="s">
        <v>31822</v>
      </c>
      <c r="M6073" s="4"/>
      <c r="N6073" s="3" t="s">
        <v>37</v>
      </c>
      <c r="O6073" s="3" t="s">
        <v>8857</v>
      </c>
      <c r="P6073" s="5">
        <v>29</v>
      </c>
      <c r="Q6073" s="5">
        <v>529</v>
      </c>
      <c r="R6073" s="5">
        <v>29</v>
      </c>
      <c r="S6073" s="5">
        <v>523</v>
      </c>
    </row>
    <row r="6074" spans="1:19" ht="56" x14ac:dyDescent="0.15">
      <c r="A6074" s="2">
        <f>HYPERLINK("https://open-school.uspishnemisto.com.ua/school/320262/", 320262)</f>
        <v>320262</v>
      </c>
      <c r="B6074" s="3" t="s">
        <v>31823</v>
      </c>
      <c r="C6074" s="3" t="s">
        <v>54</v>
      </c>
      <c r="D6074" s="3" t="s">
        <v>32</v>
      </c>
      <c r="E6074" s="4" t="s">
        <v>22</v>
      </c>
      <c r="F6074" s="4" t="s">
        <v>31824</v>
      </c>
      <c r="G6074" s="4" t="s">
        <v>31825</v>
      </c>
      <c r="H6074" s="3" t="s">
        <v>30534</v>
      </c>
      <c r="I6074" s="3" t="s">
        <v>1439</v>
      </c>
      <c r="J6074" s="3" t="s">
        <v>31826</v>
      </c>
      <c r="K6074" s="3" t="s">
        <v>31827</v>
      </c>
      <c r="L6074" s="3" t="s">
        <v>31828</v>
      </c>
      <c r="M6074" s="4" t="s">
        <v>31829</v>
      </c>
      <c r="N6074" s="3" t="s">
        <v>37</v>
      </c>
      <c r="O6074" s="3" t="s">
        <v>46</v>
      </c>
      <c r="P6074" s="5">
        <v>17</v>
      </c>
      <c r="Q6074" s="5">
        <v>349</v>
      </c>
      <c r="R6074" s="5">
        <v>15</v>
      </c>
      <c r="S6074" s="5">
        <v>325</v>
      </c>
    </row>
    <row r="6075" spans="1:19" ht="56" x14ac:dyDescent="0.15">
      <c r="A6075" s="2">
        <f>HYPERLINK("https://open-school.uspishnemisto.com.ua/school/320263/", 320263)</f>
        <v>320263</v>
      </c>
      <c r="B6075" s="3" t="s">
        <v>31830</v>
      </c>
      <c r="C6075" s="3" t="s">
        <v>54</v>
      </c>
      <c r="D6075" s="3" t="s">
        <v>32</v>
      </c>
      <c r="E6075" s="4" t="s">
        <v>22</v>
      </c>
      <c r="F6075" s="4" t="s">
        <v>31831</v>
      </c>
      <c r="G6075" s="4" t="s">
        <v>31832</v>
      </c>
      <c r="H6075" s="3" t="s">
        <v>30534</v>
      </c>
      <c r="I6075" s="3" t="s">
        <v>31833</v>
      </c>
      <c r="J6075" s="3" t="s">
        <v>31834</v>
      </c>
      <c r="K6075" s="3" t="s">
        <v>31835</v>
      </c>
      <c r="L6075" s="3" t="s">
        <v>31836</v>
      </c>
      <c r="M6075" s="4" t="s">
        <v>31837</v>
      </c>
      <c r="N6075" s="3" t="s">
        <v>37</v>
      </c>
      <c r="O6075" s="3" t="s">
        <v>52</v>
      </c>
      <c r="P6075" s="5">
        <v>10</v>
      </c>
      <c r="Q6075" s="5">
        <v>146</v>
      </c>
      <c r="R6075" s="5">
        <v>10</v>
      </c>
      <c r="S6075" s="5">
        <v>148</v>
      </c>
    </row>
    <row r="6076" spans="1:19" ht="56" x14ac:dyDescent="0.15">
      <c r="A6076" s="2">
        <f>HYPERLINK("https://open-school.uspishnemisto.com.ua/school/320264/", 320264)</f>
        <v>320264</v>
      </c>
      <c r="B6076" s="3" t="s">
        <v>31838</v>
      </c>
      <c r="C6076" s="3" t="s">
        <v>54</v>
      </c>
      <c r="D6076" s="3" t="s">
        <v>32</v>
      </c>
      <c r="E6076" s="4" t="s">
        <v>22</v>
      </c>
      <c r="F6076" s="4" t="s">
        <v>31839</v>
      </c>
      <c r="G6076" s="4" t="s">
        <v>31840</v>
      </c>
      <c r="H6076" s="3" t="s">
        <v>30534</v>
      </c>
      <c r="I6076" s="3" t="s">
        <v>31841</v>
      </c>
      <c r="J6076" s="3" t="s">
        <v>31842</v>
      </c>
      <c r="K6076" s="3" t="s">
        <v>31843</v>
      </c>
      <c r="L6076" s="3" t="s">
        <v>31844</v>
      </c>
      <c r="M6076" s="4" t="s">
        <v>31845</v>
      </c>
      <c r="N6076" s="3" t="s">
        <v>37</v>
      </c>
      <c r="O6076" s="3" t="s">
        <v>46</v>
      </c>
      <c r="P6076" s="5">
        <v>15</v>
      </c>
      <c r="Q6076" s="5">
        <v>293</v>
      </c>
      <c r="R6076" s="5">
        <v>13</v>
      </c>
      <c r="S6076" s="5">
        <v>254</v>
      </c>
    </row>
    <row r="6077" spans="1:19" ht="28" x14ac:dyDescent="0.15">
      <c r="A6077" s="2">
        <f>HYPERLINK("https://open-school.uspishnemisto.com.ua/school/320265/", 320265)</f>
        <v>320265</v>
      </c>
      <c r="B6077" s="3" t="s">
        <v>31846</v>
      </c>
      <c r="C6077" s="3" t="s">
        <v>31</v>
      </c>
      <c r="D6077" s="3" t="s">
        <v>32</v>
      </c>
      <c r="E6077" s="4" t="s">
        <v>22</v>
      </c>
      <c r="F6077" s="4" t="s">
        <v>31847</v>
      </c>
      <c r="G6077" s="4" t="s">
        <v>31848</v>
      </c>
      <c r="H6077" s="3" t="s">
        <v>30534</v>
      </c>
      <c r="I6077" s="3" t="s">
        <v>31849</v>
      </c>
      <c r="J6077" s="3" t="s">
        <v>1360</v>
      </c>
      <c r="K6077" s="3" t="s">
        <v>31850</v>
      </c>
      <c r="L6077" s="3"/>
      <c r="M6077" s="4"/>
      <c r="N6077" s="3" t="s">
        <v>37</v>
      </c>
      <c r="O6077" s="3" t="s">
        <v>52</v>
      </c>
      <c r="P6077" s="5">
        <v>27</v>
      </c>
      <c r="Q6077" s="5">
        <v>678</v>
      </c>
      <c r="R6077" s="5">
        <v>25</v>
      </c>
      <c r="S6077" s="5">
        <v>637</v>
      </c>
    </row>
    <row r="6078" spans="1:19" ht="28" x14ac:dyDescent="0.15">
      <c r="A6078" s="2">
        <f>HYPERLINK("https://open-school.uspishnemisto.com.ua/school/320266/", 320266)</f>
        <v>320266</v>
      </c>
      <c r="B6078" s="3" t="s">
        <v>31851</v>
      </c>
      <c r="C6078" s="3" t="s">
        <v>31</v>
      </c>
      <c r="D6078" s="3" t="s">
        <v>32</v>
      </c>
      <c r="E6078" s="4" t="s">
        <v>22</v>
      </c>
      <c r="F6078" s="4" t="s">
        <v>31852</v>
      </c>
      <c r="G6078" s="4" t="s">
        <v>31853</v>
      </c>
      <c r="H6078" s="3" t="s">
        <v>30534</v>
      </c>
      <c r="I6078" s="3" t="s">
        <v>18694</v>
      </c>
      <c r="J6078" s="3" t="s">
        <v>6474</v>
      </c>
      <c r="K6078" s="3" t="s">
        <v>31854</v>
      </c>
      <c r="L6078" s="3"/>
      <c r="M6078" s="4"/>
      <c r="N6078" s="3" t="s">
        <v>37</v>
      </c>
      <c r="O6078" s="3" t="s">
        <v>38</v>
      </c>
      <c r="P6078" s="5">
        <v>19</v>
      </c>
      <c r="Q6078" s="5">
        <v>407</v>
      </c>
      <c r="R6078" s="5">
        <v>19</v>
      </c>
      <c r="S6078" s="5">
        <v>404</v>
      </c>
    </row>
    <row r="6079" spans="1:19" ht="28" x14ac:dyDescent="0.15">
      <c r="A6079" s="2">
        <f>HYPERLINK("https://open-school.uspishnemisto.com.ua/school/320267/", 320267)</f>
        <v>320267</v>
      </c>
      <c r="B6079" s="3" t="s">
        <v>31855</v>
      </c>
      <c r="C6079" s="3" t="s">
        <v>31</v>
      </c>
      <c r="D6079" s="3" t="s">
        <v>32</v>
      </c>
      <c r="E6079" s="4" t="s">
        <v>22</v>
      </c>
      <c r="F6079" s="4" t="s">
        <v>31856</v>
      </c>
      <c r="G6079" s="4" t="s">
        <v>31857</v>
      </c>
      <c r="H6079" s="3" t="s">
        <v>30534</v>
      </c>
      <c r="I6079" s="3" t="s">
        <v>18222</v>
      </c>
      <c r="J6079" s="3" t="s">
        <v>31858</v>
      </c>
      <c r="K6079" s="3" t="s">
        <v>31859</v>
      </c>
      <c r="L6079" s="3" t="s">
        <v>31860</v>
      </c>
      <c r="M6079" s="4"/>
      <c r="N6079" s="3" t="s">
        <v>37</v>
      </c>
      <c r="O6079" s="3" t="s">
        <v>38</v>
      </c>
      <c r="P6079" s="5">
        <v>15</v>
      </c>
      <c r="Q6079" s="5">
        <v>288</v>
      </c>
      <c r="R6079" s="5">
        <v>15</v>
      </c>
      <c r="S6079" s="5">
        <v>278</v>
      </c>
    </row>
    <row r="6080" spans="1:19" ht="42" x14ac:dyDescent="0.15">
      <c r="A6080" s="2">
        <f>HYPERLINK("https://open-school.uspishnemisto.com.ua/school/320268/", 320268)</f>
        <v>320268</v>
      </c>
      <c r="B6080" s="3" t="s">
        <v>31861</v>
      </c>
      <c r="C6080" s="3" t="s">
        <v>54</v>
      </c>
      <c r="D6080" s="3" t="s">
        <v>32</v>
      </c>
      <c r="E6080" s="4" t="s">
        <v>22</v>
      </c>
      <c r="F6080" s="4" t="s">
        <v>31862</v>
      </c>
      <c r="G6080" s="4" t="s">
        <v>31863</v>
      </c>
      <c r="H6080" s="3" t="s">
        <v>30534</v>
      </c>
      <c r="I6080" s="3" t="s">
        <v>8330</v>
      </c>
      <c r="J6080" s="3" t="s">
        <v>31864</v>
      </c>
      <c r="K6080" s="3" t="s">
        <v>31865</v>
      </c>
      <c r="L6080" s="3"/>
      <c r="M6080" s="4" t="s">
        <v>31866</v>
      </c>
      <c r="N6080" s="3" t="s">
        <v>37</v>
      </c>
      <c r="O6080" s="3" t="s">
        <v>52</v>
      </c>
      <c r="P6080" s="5">
        <v>9</v>
      </c>
      <c r="Q6080" s="5">
        <v>115</v>
      </c>
      <c r="R6080" s="5">
        <v>10</v>
      </c>
      <c r="S6080" s="5">
        <v>123</v>
      </c>
    </row>
    <row r="6081" spans="1:19" ht="42" x14ac:dyDescent="0.15">
      <c r="A6081" s="2">
        <f>HYPERLINK("https://open-school.uspishnemisto.com.ua/school/320269/", 320269)</f>
        <v>320269</v>
      </c>
      <c r="B6081" s="3" t="s">
        <v>31867</v>
      </c>
      <c r="C6081" s="3" t="s">
        <v>54</v>
      </c>
      <c r="D6081" s="3" t="s">
        <v>32</v>
      </c>
      <c r="E6081" s="4" t="s">
        <v>22</v>
      </c>
      <c r="F6081" s="4" t="s">
        <v>31868</v>
      </c>
      <c r="G6081" s="4" t="s">
        <v>31869</v>
      </c>
      <c r="H6081" s="3" t="s">
        <v>30534</v>
      </c>
      <c r="I6081" s="3" t="s">
        <v>22540</v>
      </c>
      <c r="J6081" s="3" t="s">
        <v>7451</v>
      </c>
      <c r="K6081" s="3" t="s">
        <v>31870</v>
      </c>
      <c r="L6081" s="3" t="s">
        <v>31871</v>
      </c>
      <c r="M6081" s="4"/>
      <c r="N6081" s="3" t="s">
        <v>37</v>
      </c>
      <c r="O6081" s="3" t="s">
        <v>52</v>
      </c>
      <c r="P6081" s="5">
        <v>12</v>
      </c>
      <c r="Q6081" s="5">
        <v>210</v>
      </c>
      <c r="R6081" s="5">
        <v>12</v>
      </c>
      <c r="S6081" s="5">
        <v>201</v>
      </c>
    </row>
    <row r="6082" spans="1:19" ht="28" x14ac:dyDescent="0.15">
      <c r="A6082" s="2">
        <f>HYPERLINK("https://open-school.uspishnemisto.com.ua/school/320270/", 320270)</f>
        <v>320270</v>
      </c>
      <c r="B6082" s="3" t="s">
        <v>31872</v>
      </c>
      <c r="C6082" s="3" t="s">
        <v>31</v>
      </c>
      <c r="D6082" s="3" t="s">
        <v>32</v>
      </c>
      <c r="E6082" s="4" t="s">
        <v>22</v>
      </c>
      <c r="F6082" s="4" t="s">
        <v>31873</v>
      </c>
      <c r="G6082" s="4" t="s">
        <v>31874</v>
      </c>
      <c r="H6082" s="3" t="s">
        <v>30534</v>
      </c>
      <c r="I6082" s="3" t="s">
        <v>31875</v>
      </c>
      <c r="J6082" s="3" t="s">
        <v>25567</v>
      </c>
      <c r="K6082" s="3" t="s">
        <v>31876</v>
      </c>
      <c r="L6082" s="3" t="s">
        <v>31877</v>
      </c>
      <c r="M6082" s="4"/>
      <c r="N6082" s="3" t="s">
        <v>37</v>
      </c>
      <c r="O6082" s="3" t="s">
        <v>38</v>
      </c>
      <c r="P6082" s="5">
        <v>12</v>
      </c>
      <c r="Q6082" s="5">
        <v>231</v>
      </c>
      <c r="R6082" s="5">
        <v>13</v>
      </c>
      <c r="S6082" s="5">
        <v>245</v>
      </c>
    </row>
    <row r="6083" spans="1:19" ht="28" x14ac:dyDescent="0.15">
      <c r="A6083" s="2">
        <f>HYPERLINK("https://open-school.uspishnemisto.com.ua/school/320271/", 320271)</f>
        <v>320271</v>
      </c>
      <c r="B6083" s="3" t="s">
        <v>31878</v>
      </c>
      <c r="C6083" s="3" t="s">
        <v>31</v>
      </c>
      <c r="D6083" s="3" t="s">
        <v>32</v>
      </c>
      <c r="E6083" s="4" t="s">
        <v>22</v>
      </c>
      <c r="F6083" s="4" t="s">
        <v>31879</v>
      </c>
      <c r="G6083" s="4" t="s">
        <v>31880</v>
      </c>
      <c r="H6083" s="3" t="s">
        <v>30534</v>
      </c>
      <c r="I6083" s="3" t="s">
        <v>31881</v>
      </c>
      <c r="J6083" s="3" t="s">
        <v>31882</v>
      </c>
      <c r="K6083" s="3" t="s">
        <v>31883</v>
      </c>
      <c r="L6083" s="3"/>
      <c r="M6083" s="4"/>
      <c r="N6083" s="3" t="s">
        <v>37</v>
      </c>
      <c r="O6083" s="3" t="s">
        <v>46</v>
      </c>
      <c r="P6083" s="5">
        <v>10</v>
      </c>
      <c r="Q6083" s="5">
        <v>159</v>
      </c>
      <c r="R6083" s="5">
        <v>11</v>
      </c>
      <c r="S6083" s="5">
        <v>166</v>
      </c>
    </row>
    <row r="6084" spans="1:19" ht="42" x14ac:dyDescent="0.15">
      <c r="A6084" s="2">
        <f>HYPERLINK("https://open-school.uspishnemisto.com.ua/school/320272/", 320272)</f>
        <v>320272</v>
      </c>
      <c r="B6084" s="3" t="s">
        <v>31884</v>
      </c>
      <c r="C6084" s="3" t="s">
        <v>54</v>
      </c>
      <c r="D6084" s="3" t="s">
        <v>175</v>
      </c>
      <c r="E6084" s="4" t="s">
        <v>22</v>
      </c>
      <c r="F6084" s="4" t="s">
        <v>31885</v>
      </c>
      <c r="G6084" s="4" t="s">
        <v>31886</v>
      </c>
      <c r="H6084" s="3" t="s">
        <v>30534</v>
      </c>
      <c r="I6084" s="3" t="s">
        <v>31887</v>
      </c>
      <c r="J6084" s="3" t="s">
        <v>31888</v>
      </c>
      <c r="K6084" s="3" t="s">
        <v>31889</v>
      </c>
      <c r="L6084" s="3"/>
      <c r="M6084" s="4"/>
      <c r="N6084" s="3" t="s">
        <v>37</v>
      </c>
      <c r="O6084" s="3" t="s">
        <v>46</v>
      </c>
      <c r="P6084" s="5">
        <v>9</v>
      </c>
      <c r="Q6084" s="5">
        <v>90</v>
      </c>
      <c r="R6084" s="5">
        <v>9</v>
      </c>
      <c r="S6084" s="5">
        <v>85</v>
      </c>
    </row>
    <row r="6085" spans="1:19" ht="28" x14ac:dyDescent="0.15">
      <c r="A6085" s="2">
        <f>HYPERLINK("https://open-school.uspishnemisto.com.ua/school/320273/", 320273)</f>
        <v>320273</v>
      </c>
      <c r="B6085" s="3" t="s">
        <v>31890</v>
      </c>
      <c r="C6085" s="3" t="s">
        <v>31</v>
      </c>
      <c r="D6085" s="3" t="s">
        <v>32</v>
      </c>
      <c r="E6085" s="4" t="s">
        <v>22</v>
      </c>
      <c r="F6085" s="4" t="s">
        <v>31891</v>
      </c>
      <c r="G6085" s="4" t="s">
        <v>31892</v>
      </c>
      <c r="H6085" s="3" t="s">
        <v>30534</v>
      </c>
      <c r="I6085" s="3" t="s">
        <v>31893</v>
      </c>
      <c r="J6085" s="3" t="s">
        <v>3370</v>
      </c>
      <c r="K6085" s="3"/>
      <c r="L6085" s="3"/>
      <c r="M6085" s="4"/>
      <c r="N6085" s="3" t="s">
        <v>37</v>
      </c>
      <c r="O6085" s="3" t="s">
        <v>38</v>
      </c>
      <c r="P6085" s="5">
        <v>11</v>
      </c>
      <c r="Q6085" s="5">
        <v>221</v>
      </c>
      <c r="R6085" s="5">
        <v>11</v>
      </c>
      <c r="S6085" s="5">
        <v>229</v>
      </c>
    </row>
    <row r="6086" spans="1:19" ht="42" x14ac:dyDescent="0.15">
      <c r="A6086" s="2">
        <f>HYPERLINK("https://open-school.uspishnemisto.com.ua/school/320274/", 320274)</f>
        <v>320274</v>
      </c>
      <c r="B6086" s="3" t="s">
        <v>31894</v>
      </c>
      <c r="C6086" s="3" t="s">
        <v>54</v>
      </c>
      <c r="D6086" s="3" t="s">
        <v>32</v>
      </c>
      <c r="E6086" s="4" t="s">
        <v>22</v>
      </c>
      <c r="F6086" s="4" t="s">
        <v>31895</v>
      </c>
      <c r="G6086" s="4" t="s">
        <v>31896</v>
      </c>
      <c r="H6086" s="3" t="s">
        <v>30534</v>
      </c>
      <c r="I6086" s="3" t="s">
        <v>31897</v>
      </c>
      <c r="J6086" s="3" t="s">
        <v>31898</v>
      </c>
      <c r="K6086" s="3" t="s">
        <v>31899</v>
      </c>
      <c r="L6086" s="3" t="s">
        <v>31900</v>
      </c>
      <c r="M6086" s="4"/>
      <c r="N6086" s="3" t="s">
        <v>37</v>
      </c>
      <c r="O6086" s="3" t="s">
        <v>38</v>
      </c>
      <c r="P6086" s="5">
        <v>11</v>
      </c>
      <c r="Q6086" s="5">
        <v>156</v>
      </c>
      <c r="R6086" s="5">
        <v>11</v>
      </c>
      <c r="S6086" s="5">
        <v>150</v>
      </c>
    </row>
    <row r="6087" spans="1:19" ht="42" x14ac:dyDescent="0.15">
      <c r="A6087" s="2">
        <f>HYPERLINK("https://open-school.uspishnemisto.com.ua/school/320275/", 320275)</f>
        <v>320275</v>
      </c>
      <c r="B6087" s="3" t="s">
        <v>31901</v>
      </c>
      <c r="C6087" s="3" t="s">
        <v>54</v>
      </c>
      <c r="D6087" s="3" t="s">
        <v>32</v>
      </c>
      <c r="E6087" s="4" t="s">
        <v>22</v>
      </c>
      <c r="F6087" s="4" t="s">
        <v>31902</v>
      </c>
      <c r="G6087" s="4" t="s">
        <v>31903</v>
      </c>
      <c r="H6087" s="3" t="s">
        <v>30534</v>
      </c>
      <c r="I6087" s="3" t="s">
        <v>31904</v>
      </c>
      <c r="J6087" s="3" t="s">
        <v>31905</v>
      </c>
      <c r="K6087" s="3" t="s">
        <v>31906</v>
      </c>
      <c r="L6087" s="3" t="s">
        <v>31907</v>
      </c>
      <c r="M6087" s="4"/>
      <c r="N6087" s="3" t="s">
        <v>37</v>
      </c>
      <c r="O6087" s="3" t="s">
        <v>38</v>
      </c>
      <c r="P6087" s="5">
        <v>11</v>
      </c>
      <c r="Q6087" s="5">
        <v>98</v>
      </c>
      <c r="R6087" s="5">
        <v>11</v>
      </c>
      <c r="S6087" s="5">
        <v>95</v>
      </c>
    </row>
    <row r="6088" spans="1:19" ht="56" x14ac:dyDescent="0.15">
      <c r="A6088" s="2">
        <f>HYPERLINK("https://open-school.uspishnemisto.com.ua/school/320276/", 320276)</f>
        <v>320276</v>
      </c>
      <c r="B6088" s="3" t="s">
        <v>31908</v>
      </c>
      <c r="C6088" s="3" t="s">
        <v>54</v>
      </c>
      <c r="D6088" s="3" t="s">
        <v>32</v>
      </c>
      <c r="E6088" s="4" t="s">
        <v>22</v>
      </c>
      <c r="F6088" s="4" t="s">
        <v>31909</v>
      </c>
      <c r="G6088" s="4" t="s">
        <v>31910</v>
      </c>
      <c r="H6088" s="3" t="s">
        <v>30534</v>
      </c>
      <c r="I6088" s="3" t="s">
        <v>31911</v>
      </c>
      <c r="J6088" s="3" t="s">
        <v>24611</v>
      </c>
      <c r="K6088" s="3" t="s">
        <v>31912</v>
      </c>
      <c r="L6088" s="3" t="s">
        <v>31913</v>
      </c>
      <c r="M6088" s="4" t="s">
        <v>31914</v>
      </c>
      <c r="N6088" s="3" t="s">
        <v>37</v>
      </c>
      <c r="O6088" s="3" t="s">
        <v>52</v>
      </c>
      <c r="P6088" s="5">
        <v>21</v>
      </c>
      <c r="Q6088" s="5">
        <v>356</v>
      </c>
      <c r="R6088" s="5">
        <v>20</v>
      </c>
      <c r="S6088" s="5">
        <v>347</v>
      </c>
    </row>
    <row r="6089" spans="1:19" ht="28" x14ac:dyDescent="0.15">
      <c r="A6089" s="2">
        <f>HYPERLINK("https://open-school.uspishnemisto.com.ua/school/320277/", 320277)</f>
        <v>320277</v>
      </c>
      <c r="B6089" s="3" t="s">
        <v>31915</v>
      </c>
      <c r="C6089" s="3" t="s">
        <v>31</v>
      </c>
      <c r="D6089" s="3" t="s">
        <v>32</v>
      </c>
      <c r="E6089" s="4" t="s">
        <v>22</v>
      </c>
      <c r="F6089" s="4" t="s">
        <v>31916</v>
      </c>
      <c r="G6089" s="4" t="s">
        <v>31917</v>
      </c>
      <c r="H6089" s="3" t="s">
        <v>30534</v>
      </c>
      <c r="I6089" s="3" t="s">
        <v>31918</v>
      </c>
      <c r="J6089" s="3" t="s">
        <v>31919</v>
      </c>
      <c r="K6089" s="3" t="s">
        <v>31920</v>
      </c>
      <c r="L6089" s="3" t="s">
        <v>31921</v>
      </c>
      <c r="M6089" s="4" t="s">
        <v>31922</v>
      </c>
      <c r="N6089" s="3" t="s">
        <v>37</v>
      </c>
      <c r="O6089" s="3" t="s">
        <v>38</v>
      </c>
      <c r="P6089" s="5">
        <v>30</v>
      </c>
      <c r="Q6089" s="5">
        <v>723</v>
      </c>
      <c r="R6089" s="5">
        <v>29</v>
      </c>
      <c r="S6089" s="5">
        <v>695</v>
      </c>
    </row>
    <row r="6090" spans="1:19" ht="28" x14ac:dyDescent="0.15">
      <c r="A6090" s="2">
        <f>HYPERLINK("https://open-school.uspishnemisto.com.ua/school/320278/", 320278)</f>
        <v>320278</v>
      </c>
      <c r="B6090" s="3" t="s">
        <v>31923</v>
      </c>
      <c r="C6090" s="3" t="s">
        <v>31</v>
      </c>
      <c r="D6090" s="3" t="s">
        <v>32</v>
      </c>
      <c r="E6090" s="4" t="s">
        <v>22</v>
      </c>
      <c r="F6090" s="4" t="s">
        <v>31924</v>
      </c>
      <c r="G6090" s="4" t="s">
        <v>31925</v>
      </c>
      <c r="H6090" s="3" t="s">
        <v>30534</v>
      </c>
      <c r="I6090" s="3" t="s">
        <v>11064</v>
      </c>
      <c r="J6090" s="3" t="s">
        <v>479</v>
      </c>
      <c r="K6090" s="3"/>
      <c r="L6090" s="3" t="s">
        <v>31926</v>
      </c>
      <c r="M6090" s="4"/>
      <c r="N6090" s="3" t="s">
        <v>37</v>
      </c>
      <c r="O6090" s="3" t="s">
        <v>38</v>
      </c>
      <c r="P6090" s="5">
        <v>19</v>
      </c>
      <c r="Q6090" s="5">
        <v>348</v>
      </c>
      <c r="R6090" s="5">
        <v>18</v>
      </c>
      <c r="S6090" s="5">
        <v>336</v>
      </c>
    </row>
    <row r="6091" spans="1:19" ht="28" x14ac:dyDescent="0.15">
      <c r="A6091" s="2">
        <f>HYPERLINK("https://open-school.uspishnemisto.com.ua/school/320279/", 320279)</f>
        <v>320279</v>
      </c>
      <c r="B6091" s="3" t="s">
        <v>31927</v>
      </c>
      <c r="C6091" s="3" t="s">
        <v>31</v>
      </c>
      <c r="D6091" s="3" t="s">
        <v>32</v>
      </c>
      <c r="E6091" s="4" t="s">
        <v>22</v>
      </c>
      <c r="F6091" s="4" t="s">
        <v>31928</v>
      </c>
      <c r="G6091" s="4" t="s">
        <v>31929</v>
      </c>
      <c r="H6091" s="3" t="s">
        <v>30534</v>
      </c>
      <c r="I6091" s="3" t="s">
        <v>31930</v>
      </c>
      <c r="J6091" s="3" t="s">
        <v>31931</v>
      </c>
      <c r="K6091" s="3" t="s">
        <v>31932</v>
      </c>
      <c r="L6091" s="3" t="s">
        <v>31933</v>
      </c>
      <c r="M6091" s="4"/>
      <c r="N6091" s="3" t="s">
        <v>37</v>
      </c>
      <c r="O6091" s="3" t="s">
        <v>70</v>
      </c>
      <c r="P6091" s="5">
        <v>41</v>
      </c>
      <c r="Q6091" s="5">
        <v>1093</v>
      </c>
      <c r="R6091" s="5">
        <v>38</v>
      </c>
      <c r="S6091" s="5">
        <v>1024</v>
      </c>
    </row>
    <row r="6092" spans="1:19" ht="28" x14ac:dyDescent="0.15">
      <c r="A6092" s="2">
        <f>HYPERLINK("https://open-school.uspishnemisto.com.ua/school/320280/", 320280)</f>
        <v>320280</v>
      </c>
      <c r="B6092" s="3" t="s">
        <v>31934</v>
      </c>
      <c r="C6092" s="3" t="s">
        <v>40</v>
      </c>
      <c r="D6092" s="3" t="s">
        <v>32</v>
      </c>
      <c r="E6092" s="4" t="s">
        <v>22</v>
      </c>
      <c r="F6092" s="4" t="s">
        <v>31935</v>
      </c>
      <c r="G6092" s="4" t="s">
        <v>31936</v>
      </c>
      <c r="H6092" s="3" t="s">
        <v>30534</v>
      </c>
      <c r="I6092" s="3" t="s">
        <v>31937</v>
      </c>
      <c r="J6092" s="3" t="s">
        <v>31938</v>
      </c>
      <c r="K6092" s="3" t="s">
        <v>31939</v>
      </c>
      <c r="L6092" s="3"/>
      <c r="M6092" s="4"/>
      <c r="N6092" s="3" t="s">
        <v>37</v>
      </c>
      <c r="O6092" s="3" t="s">
        <v>70</v>
      </c>
      <c r="P6092" s="5">
        <v>8</v>
      </c>
      <c r="Q6092" s="5">
        <v>133</v>
      </c>
      <c r="R6092" s="5">
        <v>8</v>
      </c>
      <c r="S6092" s="5">
        <v>151</v>
      </c>
    </row>
    <row r="6093" spans="1:19" ht="42" x14ac:dyDescent="0.15">
      <c r="A6093" s="2">
        <f>HYPERLINK("https://open-school.uspishnemisto.com.ua/school/320281/", 320281)</f>
        <v>320281</v>
      </c>
      <c r="B6093" s="3" t="s">
        <v>31940</v>
      </c>
      <c r="C6093" s="3" t="s">
        <v>54</v>
      </c>
      <c r="D6093" s="3" t="s">
        <v>32</v>
      </c>
      <c r="E6093" s="4" t="s">
        <v>22</v>
      </c>
      <c r="F6093" s="4" t="s">
        <v>31935</v>
      </c>
      <c r="G6093" s="4" t="s">
        <v>31936</v>
      </c>
      <c r="H6093" s="3" t="s">
        <v>30534</v>
      </c>
      <c r="I6093" s="3" t="s">
        <v>31937</v>
      </c>
      <c r="J6093" s="3" t="s">
        <v>31941</v>
      </c>
      <c r="K6093" s="3" t="s">
        <v>31942</v>
      </c>
      <c r="L6093" s="3"/>
      <c r="M6093" s="4"/>
      <c r="N6093" s="3" t="s">
        <v>37</v>
      </c>
      <c r="O6093" s="3" t="s">
        <v>38</v>
      </c>
      <c r="P6093" s="5">
        <v>30</v>
      </c>
      <c r="Q6093" s="5">
        <v>729</v>
      </c>
      <c r="R6093" s="5">
        <v>29</v>
      </c>
      <c r="S6093" s="5">
        <v>700</v>
      </c>
    </row>
    <row r="6094" spans="1:19" ht="28" x14ac:dyDescent="0.15">
      <c r="A6094" s="2">
        <f>HYPERLINK("https://open-school.uspishnemisto.com.ua/school/320282/", 320282)</f>
        <v>320282</v>
      </c>
      <c r="B6094" s="3" t="s">
        <v>31943</v>
      </c>
      <c r="C6094" s="3" t="s">
        <v>31</v>
      </c>
      <c r="D6094" s="3" t="s">
        <v>32</v>
      </c>
      <c r="E6094" s="4" t="s">
        <v>22</v>
      </c>
      <c r="F6094" s="4" t="s">
        <v>31944</v>
      </c>
      <c r="G6094" s="4" t="s">
        <v>31945</v>
      </c>
      <c r="H6094" s="3" t="s">
        <v>30534</v>
      </c>
      <c r="I6094" s="3" t="s">
        <v>31946</v>
      </c>
      <c r="J6094" s="3" t="s">
        <v>31947</v>
      </c>
      <c r="K6094" s="3" t="s">
        <v>31948</v>
      </c>
      <c r="L6094" s="3"/>
      <c r="M6094" s="4"/>
      <c r="N6094" s="3" t="s">
        <v>37</v>
      </c>
      <c r="O6094" s="3" t="s">
        <v>721</v>
      </c>
      <c r="P6094" s="5">
        <v>12</v>
      </c>
      <c r="Q6094" s="5">
        <v>164</v>
      </c>
      <c r="R6094" s="5">
        <v>12</v>
      </c>
      <c r="S6094" s="5">
        <v>164</v>
      </c>
    </row>
    <row r="6095" spans="1:19" ht="28" x14ac:dyDescent="0.15">
      <c r="A6095" s="2">
        <f>HYPERLINK("https://open-school.uspishnemisto.com.ua/school/320283/", 320283)</f>
        <v>320283</v>
      </c>
      <c r="B6095" s="3" t="s">
        <v>31949</v>
      </c>
      <c r="C6095" s="3" t="s">
        <v>31</v>
      </c>
      <c r="D6095" s="3" t="s">
        <v>32</v>
      </c>
      <c r="E6095" s="4" t="s">
        <v>22</v>
      </c>
      <c r="F6095" s="4" t="s">
        <v>31950</v>
      </c>
      <c r="G6095" s="4" t="s">
        <v>31951</v>
      </c>
      <c r="H6095" s="3" t="s">
        <v>30534</v>
      </c>
      <c r="I6095" s="3" t="s">
        <v>1803</v>
      </c>
      <c r="J6095" s="3" t="s">
        <v>4747</v>
      </c>
      <c r="K6095" s="3" t="s">
        <v>31952</v>
      </c>
      <c r="L6095" s="3"/>
      <c r="M6095" s="4"/>
      <c r="N6095" s="3" t="s">
        <v>37</v>
      </c>
      <c r="O6095" s="3" t="s">
        <v>70</v>
      </c>
      <c r="P6095" s="5">
        <v>29</v>
      </c>
      <c r="Q6095" s="5">
        <v>668</v>
      </c>
      <c r="R6095" s="5">
        <v>27</v>
      </c>
      <c r="S6095" s="5">
        <v>602</v>
      </c>
    </row>
    <row r="6096" spans="1:19" ht="28" x14ac:dyDescent="0.15">
      <c r="A6096" s="2">
        <f>HYPERLINK("https://open-school.uspishnemisto.com.ua/school/320284/", 320284)</f>
        <v>320284</v>
      </c>
      <c r="B6096" s="3" t="s">
        <v>31953</v>
      </c>
      <c r="C6096" s="3" t="s">
        <v>31</v>
      </c>
      <c r="D6096" s="3" t="s">
        <v>32</v>
      </c>
      <c r="E6096" s="4" t="s">
        <v>22</v>
      </c>
      <c r="F6096" s="4" t="s">
        <v>31950</v>
      </c>
      <c r="G6096" s="4" t="s">
        <v>31951</v>
      </c>
      <c r="H6096" s="3" t="s">
        <v>30534</v>
      </c>
      <c r="I6096" s="3" t="s">
        <v>1803</v>
      </c>
      <c r="J6096" s="3" t="s">
        <v>20296</v>
      </c>
      <c r="K6096" s="3" t="s">
        <v>31954</v>
      </c>
      <c r="L6096" s="3" t="s">
        <v>31955</v>
      </c>
      <c r="M6096" s="4"/>
      <c r="N6096" s="3" t="s">
        <v>37</v>
      </c>
      <c r="O6096" s="3" t="s">
        <v>46</v>
      </c>
      <c r="P6096" s="5">
        <v>16</v>
      </c>
      <c r="Q6096" s="5">
        <v>314</v>
      </c>
      <c r="R6096" s="5">
        <v>15</v>
      </c>
      <c r="S6096" s="5">
        <v>296</v>
      </c>
    </row>
    <row r="6097" spans="1:19" ht="56" x14ac:dyDescent="0.15">
      <c r="A6097" s="2">
        <f>HYPERLINK("https://open-school.uspishnemisto.com.ua/school/320285/", 320285)</f>
        <v>320285</v>
      </c>
      <c r="B6097" s="3" t="s">
        <v>31956</v>
      </c>
      <c r="C6097" s="3" t="s">
        <v>54</v>
      </c>
      <c r="D6097" s="3" t="s">
        <v>32</v>
      </c>
      <c r="E6097" s="4" t="s">
        <v>22</v>
      </c>
      <c r="F6097" s="4" t="s">
        <v>31957</v>
      </c>
      <c r="G6097" s="4" t="s">
        <v>31958</v>
      </c>
      <c r="H6097" s="3" t="s">
        <v>30534</v>
      </c>
      <c r="I6097" s="3" t="s">
        <v>31959</v>
      </c>
      <c r="J6097" s="3" t="s">
        <v>31960</v>
      </c>
      <c r="K6097" s="3" t="s">
        <v>31961</v>
      </c>
      <c r="L6097" s="3" t="s">
        <v>31962</v>
      </c>
      <c r="M6097" s="4"/>
      <c r="N6097" s="3" t="s">
        <v>37</v>
      </c>
      <c r="O6097" s="3" t="s">
        <v>46</v>
      </c>
      <c r="P6097" s="5">
        <v>10</v>
      </c>
      <c r="Q6097" s="5">
        <v>89</v>
      </c>
      <c r="R6097" s="5">
        <v>10</v>
      </c>
      <c r="S6097" s="5">
        <v>91</v>
      </c>
    </row>
    <row r="6098" spans="1:19" ht="42" x14ac:dyDescent="0.15">
      <c r="A6098" s="2">
        <f>HYPERLINK("https://open-school.uspishnemisto.com.ua/school/320286/", 320286)</f>
        <v>320286</v>
      </c>
      <c r="B6098" s="3" t="s">
        <v>31963</v>
      </c>
      <c r="C6098" s="3" t="s">
        <v>54</v>
      </c>
      <c r="D6098" s="3" t="s">
        <v>175</v>
      </c>
      <c r="E6098" s="4" t="s">
        <v>22</v>
      </c>
      <c r="F6098" s="4" t="s">
        <v>31964</v>
      </c>
      <c r="G6098" s="4" t="s">
        <v>31965</v>
      </c>
      <c r="H6098" s="3" t="s">
        <v>30534</v>
      </c>
      <c r="I6098" s="3" t="s">
        <v>31966</v>
      </c>
      <c r="J6098" s="3" t="s">
        <v>17319</v>
      </c>
      <c r="K6098" s="3" t="s">
        <v>31967</v>
      </c>
      <c r="L6098" s="3"/>
      <c r="M6098" s="4"/>
      <c r="N6098" s="3" t="s">
        <v>37</v>
      </c>
      <c r="O6098" s="3" t="s">
        <v>38</v>
      </c>
      <c r="P6098" s="5">
        <v>7</v>
      </c>
      <c r="Q6098" s="5">
        <v>47</v>
      </c>
      <c r="R6098" s="5">
        <v>6</v>
      </c>
      <c r="S6098" s="5">
        <v>43</v>
      </c>
    </row>
    <row r="6099" spans="1:19" ht="56" x14ac:dyDescent="0.15">
      <c r="A6099" s="2">
        <f>HYPERLINK("https://open-school.uspishnemisto.com.ua/school/320287/", 320287)</f>
        <v>320287</v>
      </c>
      <c r="B6099" s="3" t="s">
        <v>31968</v>
      </c>
      <c r="C6099" s="3" t="s">
        <v>54</v>
      </c>
      <c r="D6099" s="3" t="s">
        <v>32</v>
      </c>
      <c r="E6099" s="4" t="s">
        <v>22</v>
      </c>
      <c r="F6099" s="4" t="s">
        <v>31969</v>
      </c>
      <c r="G6099" s="4" t="s">
        <v>31970</v>
      </c>
      <c r="H6099" s="3" t="s">
        <v>30534</v>
      </c>
      <c r="I6099" s="3" t="s">
        <v>31971</v>
      </c>
      <c r="J6099" s="3" t="s">
        <v>1192</v>
      </c>
      <c r="K6099" s="3" t="s">
        <v>31972</v>
      </c>
      <c r="L6099" s="3"/>
      <c r="M6099" s="4"/>
      <c r="N6099" s="3" t="s">
        <v>37</v>
      </c>
      <c r="O6099" s="3" t="s">
        <v>52</v>
      </c>
      <c r="P6099" s="5">
        <v>8</v>
      </c>
      <c r="Q6099" s="5">
        <v>44</v>
      </c>
      <c r="R6099" s="5">
        <v>7</v>
      </c>
      <c r="S6099" s="5">
        <v>49</v>
      </c>
    </row>
    <row r="6100" spans="1:19" ht="28" x14ac:dyDescent="0.15">
      <c r="A6100" s="2">
        <f>HYPERLINK("https://open-school.uspishnemisto.com.ua/school/320288/", 320288)</f>
        <v>320288</v>
      </c>
      <c r="B6100" s="3" t="s">
        <v>31973</v>
      </c>
      <c r="C6100" s="3" t="s">
        <v>31</v>
      </c>
      <c r="D6100" s="3" t="s">
        <v>175</v>
      </c>
      <c r="E6100" s="4" t="s">
        <v>22</v>
      </c>
      <c r="F6100" s="4" t="s">
        <v>31974</v>
      </c>
      <c r="G6100" s="4" t="s">
        <v>31975</v>
      </c>
      <c r="H6100" s="3" t="s">
        <v>30534</v>
      </c>
      <c r="I6100" s="3" t="s">
        <v>31976</v>
      </c>
      <c r="J6100" s="3" t="s">
        <v>31977</v>
      </c>
      <c r="K6100" s="3" t="s">
        <v>31978</v>
      </c>
      <c r="L6100" s="3"/>
      <c r="M6100" s="4"/>
      <c r="N6100" s="3" t="s">
        <v>37</v>
      </c>
      <c r="O6100" s="3" t="s">
        <v>38</v>
      </c>
      <c r="P6100" s="5">
        <v>9</v>
      </c>
      <c r="Q6100" s="5">
        <v>79</v>
      </c>
      <c r="R6100" s="5">
        <v>9</v>
      </c>
      <c r="S6100" s="5">
        <v>77</v>
      </c>
    </row>
    <row r="6101" spans="1:19" ht="56" x14ac:dyDescent="0.15">
      <c r="A6101" s="2">
        <f>HYPERLINK("https://open-school.uspishnemisto.com.ua/school/320289/", 320289)</f>
        <v>320289</v>
      </c>
      <c r="B6101" s="3" t="s">
        <v>31979</v>
      </c>
      <c r="C6101" s="3" t="s">
        <v>54</v>
      </c>
      <c r="D6101" s="3" t="s">
        <v>175</v>
      </c>
      <c r="E6101" s="4" t="s">
        <v>22</v>
      </c>
      <c r="F6101" s="4" t="s">
        <v>31980</v>
      </c>
      <c r="G6101" s="4" t="s">
        <v>31981</v>
      </c>
      <c r="H6101" s="3" t="s">
        <v>30534</v>
      </c>
      <c r="I6101" s="3" t="s">
        <v>31982</v>
      </c>
      <c r="J6101" s="3" t="s">
        <v>4537</v>
      </c>
      <c r="K6101" s="3" t="s">
        <v>31983</v>
      </c>
      <c r="L6101" s="3"/>
      <c r="M6101" s="4"/>
      <c r="N6101" s="3" t="s">
        <v>37</v>
      </c>
      <c r="O6101" s="3" t="s">
        <v>52</v>
      </c>
      <c r="P6101" s="5">
        <v>4</v>
      </c>
      <c r="Q6101" s="5">
        <v>34</v>
      </c>
      <c r="R6101" s="5">
        <v>5</v>
      </c>
      <c r="S6101" s="5">
        <v>40</v>
      </c>
    </row>
    <row r="6102" spans="1:19" ht="56" x14ac:dyDescent="0.15">
      <c r="A6102" s="2">
        <f>HYPERLINK("https://open-school.uspishnemisto.com.ua/school/320290/", 320290)</f>
        <v>320290</v>
      </c>
      <c r="B6102" s="3" t="s">
        <v>31984</v>
      </c>
      <c r="C6102" s="3" t="s">
        <v>54</v>
      </c>
      <c r="D6102" s="3" t="s">
        <v>175</v>
      </c>
      <c r="E6102" s="4" t="s">
        <v>22</v>
      </c>
      <c r="F6102" s="4" t="s">
        <v>31985</v>
      </c>
      <c r="G6102" s="4" t="s">
        <v>31986</v>
      </c>
      <c r="H6102" s="3" t="s">
        <v>30534</v>
      </c>
      <c r="I6102" s="3" t="s">
        <v>31987</v>
      </c>
      <c r="J6102" s="3" t="s">
        <v>31988</v>
      </c>
      <c r="K6102" s="3" t="s">
        <v>31989</v>
      </c>
      <c r="L6102" s="3"/>
      <c r="M6102" s="4"/>
      <c r="N6102" s="3" t="s">
        <v>37</v>
      </c>
      <c r="O6102" s="3" t="s">
        <v>46</v>
      </c>
      <c r="P6102" s="5">
        <v>6</v>
      </c>
      <c r="Q6102" s="5">
        <v>32</v>
      </c>
      <c r="R6102" s="5">
        <v>7</v>
      </c>
      <c r="S6102" s="5">
        <v>33</v>
      </c>
    </row>
    <row r="6103" spans="1:19" ht="28" x14ac:dyDescent="0.15">
      <c r="A6103" s="2">
        <f>HYPERLINK("https://open-school.uspishnemisto.com.ua/school/320291/", 320291)</f>
        <v>320291</v>
      </c>
      <c r="B6103" s="3" t="s">
        <v>31990</v>
      </c>
      <c r="C6103" s="3" t="s">
        <v>31</v>
      </c>
      <c r="D6103" s="3" t="s">
        <v>32</v>
      </c>
      <c r="E6103" s="4" t="s">
        <v>22</v>
      </c>
      <c r="F6103" s="4" t="s">
        <v>31991</v>
      </c>
      <c r="G6103" s="4" t="s">
        <v>31992</v>
      </c>
      <c r="H6103" s="3" t="s">
        <v>30534</v>
      </c>
      <c r="I6103" s="3" t="s">
        <v>11397</v>
      </c>
      <c r="J6103" s="3" t="s">
        <v>31993</v>
      </c>
      <c r="K6103" s="3" t="s">
        <v>31994</v>
      </c>
      <c r="L6103" s="3"/>
      <c r="M6103" s="4"/>
      <c r="N6103" s="3" t="s">
        <v>37</v>
      </c>
      <c r="O6103" s="3" t="s">
        <v>70</v>
      </c>
      <c r="P6103" s="5">
        <v>16</v>
      </c>
      <c r="Q6103" s="5">
        <v>340</v>
      </c>
      <c r="R6103" s="5">
        <v>17</v>
      </c>
      <c r="S6103" s="5">
        <v>321</v>
      </c>
    </row>
    <row r="6104" spans="1:19" ht="28" x14ac:dyDescent="0.15">
      <c r="A6104" s="2">
        <f>HYPERLINK("https://open-school.uspishnemisto.com.ua/school/320292/", 320292)</f>
        <v>320292</v>
      </c>
      <c r="B6104" s="3" t="s">
        <v>31995</v>
      </c>
      <c r="C6104" s="3" t="s">
        <v>31</v>
      </c>
      <c r="D6104" s="3" t="s">
        <v>175</v>
      </c>
      <c r="E6104" s="4" t="s">
        <v>22</v>
      </c>
      <c r="F6104" s="4" t="s">
        <v>31991</v>
      </c>
      <c r="G6104" s="4" t="s">
        <v>31996</v>
      </c>
      <c r="H6104" s="3" t="s">
        <v>30534</v>
      </c>
      <c r="I6104" s="3" t="s">
        <v>17899</v>
      </c>
      <c r="J6104" s="3" t="s">
        <v>11622</v>
      </c>
      <c r="K6104" s="3" t="s">
        <v>31997</v>
      </c>
      <c r="L6104" s="3"/>
      <c r="M6104" s="4"/>
      <c r="N6104" s="3" t="s">
        <v>37</v>
      </c>
      <c r="O6104" s="3" t="s">
        <v>38</v>
      </c>
      <c r="P6104" s="5">
        <v>9</v>
      </c>
      <c r="Q6104" s="5">
        <v>117</v>
      </c>
      <c r="R6104" s="5">
        <v>9</v>
      </c>
      <c r="S6104" s="5">
        <v>120</v>
      </c>
    </row>
    <row r="6105" spans="1:19" ht="56" x14ac:dyDescent="0.15">
      <c r="A6105" s="2">
        <f>HYPERLINK("https://open-school.uspishnemisto.com.ua/school/320293/", 320293)</f>
        <v>320293</v>
      </c>
      <c r="B6105" s="3" t="s">
        <v>31998</v>
      </c>
      <c r="C6105" s="3" t="s">
        <v>54</v>
      </c>
      <c r="D6105" s="3" t="s">
        <v>175</v>
      </c>
      <c r="E6105" s="4" t="s">
        <v>22</v>
      </c>
      <c r="F6105" s="4" t="s">
        <v>31999</v>
      </c>
      <c r="G6105" s="4" t="s">
        <v>32000</v>
      </c>
      <c r="H6105" s="3" t="s">
        <v>30534</v>
      </c>
      <c r="I6105" s="3" t="s">
        <v>32001</v>
      </c>
      <c r="J6105" s="3" t="s">
        <v>32002</v>
      </c>
      <c r="K6105" s="3" t="s">
        <v>32003</v>
      </c>
      <c r="L6105" s="3"/>
      <c r="M6105" s="4"/>
      <c r="N6105" s="3" t="s">
        <v>37</v>
      </c>
      <c r="O6105" s="3" t="s">
        <v>70</v>
      </c>
      <c r="P6105" s="5">
        <v>7</v>
      </c>
      <c r="Q6105" s="5">
        <v>37</v>
      </c>
      <c r="R6105" s="5">
        <v>7</v>
      </c>
      <c r="S6105" s="5">
        <v>36</v>
      </c>
    </row>
    <row r="6106" spans="1:19" ht="28" x14ac:dyDescent="0.15">
      <c r="A6106" s="2">
        <f>HYPERLINK("https://open-school.uspishnemisto.com.ua/school/320294/", 320294)</f>
        <v>320294</v>
      </c>
      <c r="B6106" s="3" t="s">
        <v>32004</v>
      </c>
      <c r="C6106" s="3" t="s">
        <v>31</v>
      </c>
      <c r="D6106" s="3" t="s">
        <v>32</v>
      </c>
      <c r="E6106" s="4" t="s">
        <v>22</v>
      </c>
      <c r="F6106" s="4" t="s">
        <v>32005</v>
      </c>
      <c r="G6106" s="4" t="s">
        <v>32006</v>
      </c>
      <c r="H6106" s="3" t="s">
        <v>30534</v>
      </c>
      <c r="I6106" s="3" t="s">
        <v>11464</v>
      </c>
      <c r="J6106" s="3" t="s">
        <v>32007</v>
      </c>
      <c r="K6106" s="3" t="s">
        <v>32008</v>
      </c>
      <c r="L6106" s="3"/>
      <c r="M6106" s="4"/>
      <c r="N6106" s="3" t="s">
        <v>37</v>
      </c>
      <c r="O6106" s="3" t="s">
        <v>38</v>
      </c>
      <c r="P6106" s="5">
        <v>10</v>
      </c>
      <c r="Q6106" s="5">
        <v>151</v>
      </c>
      <c r="R6106" s="5">
        <v>11</v>
      </c>
      <c r="S6106" s="5">
        <v>157</v>
      </c>
    </row>
    <row r="6107" spans="1:19" ht="56" x14ac:dyDescent="0.15">
      <c r="A6107" s="2">
        <f>HYPERLINK("https://open-school.uspishnemisto.com.ua/school/320295/", 320295)</f>
        <v>320295</v>
      </c>
      <c r="B6107" s="3" t="s">
        <v>32009</v>
      </c>
      <c r="C6107" s="3" t="s">
        <v>54</v>
      </c>
      <c r="D6107" s="3" t="s">
        <v>32</v>
      </c>
      <c r="E6107" s="4" t="s">
        <v>22</v>
      </c>
      <c r="F6107" s="4" t="s">
        <v>32010</v>
      </c>
      <c r="G6107" s="4" t="s">
        <v>32011</v>
      </c>
      <c r="H6107" s="3" t="s">
        <v>30534</v>
      </c>
      <c r="I6107" s="3" t="s">
        <v>32012</v>
      </c>
      <c r="J6107" s="3" t="s">
        <v>32013</v>
      </c>
      <c r="K6107" s="3" t="s">
        <v>32014</v>
      </c>
      <c r="L6107" s="3"/>
      <c r="M6107" s="4"/>
      <c r="N6107" s="3" t="s">
        <v>37</v>
      </c>
      <c r="O6107" s="3" t="s">
        <v>38</v>
      </c>
      <c r="P6107" s="5">
        <v>11</v>
      </c>
      <c r="Q6107" s="5">
        <v>105</v>
      </c>
      <c r="R6107" s="5">
        <v>11</v>
      </c>
      <c r="S6107" s="5">
        <v>103</v>
      </c>
    </row>
    <row r="6108" spans="1:19" ht="28" x14ac:dyDescent="0.15">
      <c r="A6108" s="2">
        <f>HYPERLINK("https://open-school.uspishnemisto.com.ua/school/320296/", 320296)</f>
        <v>320296</v>
      </c>
      <c r="B6108" s="3" t="s">
        <v>32015</v>
      </c>
      <c r="C6108" s="3" t="s">
        <v>54</v>
      </c>
      <c r="D6108" s="3" t="s">
        <v>32</v>
      </c>
      <c r="E6108" s="4" t="s">
        <v>22</v>
      </c>
      <c r="F6108" s="4" t="s">
        <v>32016</v>
      </c>
      <c r="G6108" s="4" t="s">
        <v>32017</v>
      </c>
      <c r="H6108" s="3" t="s">
        <v>30534</v>
      </c>
      <c r="I6108" s="3" t="s">
        <v>32018</v>
      </c>
      <c r="J6108" s="3" t="s">
        <v>466</v>
      </c>
      <c r="K6108" s="3" t="s">
        <v>32019</v>
      </c>
      <c r="L6108" s="3"/>
      <c r="M6108" s="4"/>
      <c r="N6108" s="3" t="s">
        <v>37</v>
      </c>
      <c r="O6108" s="3" t="s">
        <v>38</v>
      </c>
      <c r="P6108" s="5">
        <v>11</v>
      </c>
      <c r="Q6108" s="5">
        <v>140</v>
      </c>
      <c r="R6108" s="5">
        <v>10</v>
      </c>
      <c r="S6108" s="5">
        <v>126</v>
      </c>
    </row>
    <row r="6109" spans="1:19" ht="28" x14ac:dyDescent="0.15">
      <c r="A6109" s="2">
        <f>HYPERLINK("https://open-school.uspishnemisto.com.ua/school/320297/", 320297)</f>
        <v>320297</v>
      </c>
      <c r="B6109" s="3" t="s">
        <v>32020</v>
      </c>
      <c r="C6109" s="3" t="s">
        <v>54</v>
      </c>
      <c r="D6109" s="3" t="s">
        <v>32</v>
      </c>
      <c r="E6109" s="4" t="s">
        <v>22</v>
      </c>
      <c r="F6109" s="4" t="s">
        <v>32021</v>
      </c>
      <c r="G6109" s="4" t="s">
        <v>32022</v>
      </c>
      <c r="H6109" s="3" t="s">
        <v>30534</v>
      </c>
      <c r="I6109" s="3" t="s">
        <v>2857</v>
      </c>
      <c r="J6109" s="3" t="s">
        <v>32023</v>
      </c>
      <c r="K6109" s="3" t="s">
        <v>32024</v>
      </c>
      <c r="L6109" s="3"/>
      <c r="M6109" s="4"/>
      <c r="N6109" s="3" t="s">
        <v>37</v>
      </c>
      <c r="O6109" s="3" t="s">
        <v>70</v>
      </c>
      <c r="P6109" s="5">
        <v>12</v>
      </c>
      <c r="Q6109" s="5">
        <v>228</v>
      </c>
      <c r="R6109" s="5">
        <v>12</v>
      </c>
      <c r="S6109" s="5">
        <v>241</v>
      </c>
    </row>
    <row r="6110" spans="1:19" ht="28" x14ac:dyDescent="0.15">
      <c r="A6110" s="2">
        <f>HYPERLINK("https://open-school.uspishnemisto.com.ua/school/320298/", 320298)</f>
        <v>320298</v>
      </c>
      <c r="B6110" s="3" t="s">
        <v>32025</v>
      </c>
      <c r="C6110" s="3" t="s">
        <v>31</v>
      </c>
      <c r="D6110" s="3" t="s">
        <v>32</v>
      </c>
      <c r="E6110" s="4" t="s">
        <v>22</v>
      </c>
      <c r="F6110" s="4" t="s">
        <v>32026</v>
      </c>
      <c r="G6110" s="4" t="s">
        <v>32027</v>
      </c>
      <c r="H6110" s="3" t="s">
        <v>30534</v>
      </c>
      <c r="I6110" s="3" t="s">
        <v>32028</v>
      </c>
      <c r="J6110" s="3" t="s">
        <v>32029</v>
      </c>
      <c r="K6110" s="3" t="s">
        <v>32030</v>
      </c>
      <c r="L6110" s="3"/>
      <c r="M6110" s="4"/>
      <c r="N6110" s="3" t="s">
        <v>37</v>
      </c>
      <c r="O6110" s="3" t="s">
        <v>38</v>
      </c>
      <c r="P6110" s="5">
        <v>11</v>
      </c>
      <c r="Q6110" s="5">
        <v>123</v>
      </c>
      <c r="R6110" s="5">
        <v>11</v>
      </c>
      <c r="S6110" s="5">
        <v>122</v>
      </c>
    </row>
    <row r="6111" spans="1:19" ht="28" x14ac:dyDescent="0.15">
      <c r="A6111" s="2">
        <f>HYPERLINK("https://open-school.uspishnemisto.com.ua/school/320299/", 320299)</f>
        <v>320299</v>
      </c>
      <c r="B6111" s="3" t="s">
        <v>32031</v>
      </c>
      <c r="C6111" s="3" t="s">
        <v>31</v>
      </c>
      <c r="D6111" s="3" t="s">
        <v>32</v>
      </c>
      <c r="E6111" s="4" t="s">
        <v>22</v>
      </c>
      <c r="F6111" s="4" t="s">
        <v>32032</v>
      </c>
      <c r="G6111" s="4" t="s">
        <v>32033</v>
      </c>
      <c r="H6111" s="3" t="s">
        <v>30534</v>
      </c>
      <c r="I6111" s="3" t="s">
        <v>32034</v>
      </c>
      <c r="J6111" s="3" t="s">
        <v>32035</v>
      </c>
      <c r="K6111" s="3" t="s">
        <v>32036</v>
      </c>
      <c r="L6111" s="3"/>
      <c r="M6111" s="4"/>
      <c r="N6111" s="3" t="s">
        <v>37</v>
      </c>
      <c r="O6111" s="3" t="s">
        <v>46</v>
      </c>
      <c r="P6111" s="5">
        <v>9</v>
      </c>
      <c r="Q6111" s="5">
        <v>104</v>
      </c>
      <c r="R6111" s="5">
        <v>9</v>
      </c>
      <c r="S6111" s="5">
        <v>103</v>
      </c>
    </row>
    <row r="6112" spans="1:19" ht="42" x14ac:dyDescent="0.15">
      <c r="A6112" s="2">
        <f>HYPERLINK("https://open-school.uspishnemisto.com.ua/school/320300/", 320300)</f>
        <v>320300</v>
      </c>
      <c r="B6112" s="3" t="s">
        <v>32037</v>
      </c>
      <c r="C6112" s="3" t="s">
        <v>31</v>
      </c>
      <c r="D6112" s="3" t="s">
        <v>32</v>
      </c>
      <c r="E6112" s="4" t="s">
        <v>22</v>
      </c>
      <c r="F6112" s="4" t="s">
        <v>32038</v>
      </c>
      <c r="G6112" s="4" t="s">
        <v>32039</v>
      </c>
      <c r="H6112" s="3" t="s">
        <v>30534</v>
      </c>
      <c r="I6112" s="3" t="s">
        <v>902</v>
      </c>
      <c r="J6112" s="3" t="s">
        <v>32040</v>
      </c>
      <c r="K6112" s="3" t="s">
        <v>32041</v>
      </c>
      <c r="L6112" s="3"/>
      <c r="M6112" s="4"/>
      <c r="N6112" s="3" t="s">
        <v>37</v>
      </c>
      <c r="O6112" s="3" t="s">
        <v>38</v>
      </c>
      <c r="P6112" s="5">
        <v>11</v>
      </c>
      <c r="Q6112" s="5">
        <v>147</v>
      </c>
      <c r="R6112" s="5">
        <v>11</v>
      </c>
      <c r="S6112" s="5">
        <v>160</v>
      </c>
    </row>
    <row r="6113" spans="1:19" ht="28" x14ac:dyDescent="0.15">
      <c r="A6113" s="2">
        <f>HYPERLINK("https://open-school.uspishnemisto.com.ua/school/320301/", 320301)</f>
        <v>320301</v>
      </c>
      <c r="B6113" s="3" t="s">
        <v>32042</v>
      </c>
      <c r="C6113" s="3" t="s">
        <v>31</v>
      </c>
      <c r="D6113" s="3" t="s">
        <v>32</v>
      </c>
      <c r="E6113" s="4" t="s">
        <v>22</v>
      </c>
      <c r="F6113" s="4" t="s">
        <v>32043</v>
      </c>
      <c r="G6113" s="4" t="s">
        <v>32044</v>
      </c>
      <c r="H6113" s="3" t="s">
        <v>30534</v>
      </c>
      <c r="I6113" s="3" t="s">
        <v>32045</v>
      </c>
      <c r="J6113" s="3" t="s">
        <v>32046</v>
      </c>
      <c r="K6113" s="3" t="s">
        <v>32047</v>
      </c>
      <c r="L6113" s="3" t="s">
        <v>32048</v>
      </c>
      <c r="M6113" s="4"/>
      <c r="N6113" s="3" t="s">
        <v>37</v>
      </c>
      <c r="O6113" s="3" t="s">
        <v>38</v>
      </c>
      <c r="P6113" s="5">
        <v>11</v>
      </c>
      <c r="Q6113" s="5">
        <v>93</v>
      </c>
      <c r="R6113" s="5">
        <v>11</v>
      </c>
      <c r="S6113" s="5">
        <v>93</v>
      </c>
    </row>
    <row r="6114" spans="1:19" ht="28" x14ac:dyDescent="0.15">
      <c r="A6114" s="2">
        <f>HYPERLINK("https://open-school.uspishnemisto.com.ua/school/320302/", 320302)</f>
        <v>320302</v>
      </c>
      <c r="B6114" s="3" t="s">
        <v>32049</v>
      </c>
      <c r="C6114" s="3" t="s">
        <v>31</v>
      </c>
      <c r="D6114" s="3" t="s">
        <v>32</v>
      </c>
      <c r="E6114" s="4" t="s">
        <v>22</v>
      </c>
      <c r="F6114" s="4" t="s">
        <v>32050</v>
      </c>
      <c r="G6114" s="4" t="s">
        <v>32051</v>
      </c>
      <c r="H6114" s="3" t="s">
        <v>30534</v>
      </c>
      <c r="I6114" s="3" t="s">
        <v>32052</v>
      </c>
      <c r="J6114" s="3" t="s">
        <v>10285</v>
      </c>
      <c r="K6114" s="3" t="s">
        <v>32053</v>
      </c>
      <c r="L6114" s="3" t="s">
        <v>32054</v>
      </c>
      <c r="M6114" s="4"/>
      <c r="N6114" s="3" t="s">
        <v>37</v>
      </c>
      <c r="O6114" s="3" t="s">
        <v>38</v>
      </c>
      <c r="P6114" s="5">
        <v>10</v>
      </c>
      <c r="Q6114" s="5">
        <v>137</v>
      </c>
      <c r="R6114" s="5">
        <v>11</v>
      </c>
      <c r="S6114" s="5">
        <v>142</v>
      </c>
    </row>
    <row r="6115" spans="1:19" ht="56" x14ac:dyDescent="0.15">
      <c r="A6115" s="2">
        <f>HYPERLINK("https://open-school.uspishnemisto.com.ua/school/320303/", 320303)</f>
        <v>320303</v>
      </c>
      <c r="B6115" s="3" t="s">
        <v>32055</v>
      </c>
      <c r="C6115" s="3" t="s">
        <v>54</v>
      </c>
      <c r="D6115" s="3" t="s">
        <v>32</v>
      </c>
      <c r="E6115" s="4" t="s">
        <v>22</v>
      </c>
      <c r="F6115" s="4" t="s">
        <v>32056</v>
      </c>
      <c r="G6115" s="4" t="s">
        <v>32057</v>
      </c>
      <c r="H6115" s="3" t="s">
        <v>30534</v>
      </c>
      <c r="I6115" s="3" t="s">
        <v>440</v>
      </c>
      <c r="J6115" s="3" t="s">
        <v>466</v>
      </c>
      <c r="K6115" s="3" t="s">
        <v>32058</v>
      </c>
      <c r="L6115" s="3"/>
      <c r="M6115" s="4"/>
      <c r="N6115" s="3" t="s">
        <v>37</v>
      </c>
      <c r="O6115" s="3" t="s">
        <v>38</v>
      </c>
      <c r="P6115" s="5">
        <v>11</v>
      </c>
      <c r="Q6115" s="5">
        <v>107</v>
      </c>
      <c r="R6115" s="5">
        <v>11</v>
      </c>
      <c r="S6115" s="5">
        <v>101</v>
      </c>
    </row>
    <row r="6116" spans="1:19" ht="56" x14ac:dyDescent="0.15">
      <c r="A6116" s="2">
        <f>HYPERLINK("https://open-school.uspishnemisto.com.ua/school/320304/", 320304)</f>
        <v>320304</v>
      </c>
      <c r="B6116" s="3" t="s">
        <v>32059</v>
      </c>
      <c r="C6116" s="3" t="s">
        <v>54</v>
      </c>
      <c r="D6116" s="3" t="s">
        <v>32</v>
      </c>
      <c r="E6116" s="4" t="s">
        <v>22</v>
      </c>
      <c r="F6116" s="4" t="s">
        <v>32060</v>
      </c>
      <c r="G6116" s="4" t="s">
        <v>32061</v>
      </c>
      <c r="H6116" s="3" t="s">
        <v>30534</v>
      </c>
      <c r="I6116" s="3" t="s">
        <v>32062</v>
      </c>
      <c r="J6116" s="3" t="s">
        <v>946</v>
      </c>
      <c r="K6116" s="3" t="s">
        <v>32063</v>
      </c>
      <c r="L6116" s="3"/>
      <c r="M6116" s="4"/>
      <c r="N6116" s="3" t="s">
        <v>37</v>
      </c>
      <c r="O6116" s="3" t="s">
        <v>52</v>
      </c>
      <c r="P6116" s="5">
        <v>9</v>
      </c>
      <c r="Q6116" s="5">
        <v>89</v>
      </c>
      <c r="R6116" s="5">
        <v>9</v>
      </c>
      <c r="S6116" s="5">
        <v>84</v>
      </c>
    </row>
    <row r="6117" spans="1:19" ht="56" x14ac:dyDescent="0.15">
      <c r="A6117" s="2">
        <f>HYPERLINK("https://open-school.uspishnemisto.com.ua/school/320305/", 320305)</f>
        <v>320305</v>
      </c>
      <c r="B6117" s="3" t="s">
        <v>32064</v>
      </c>
      <c r="C6117" s="3" t="s">
        <v>54</v>
      </c>
      <c r="D6117" s="3" t="s">
        <v>32</v>
      </c>
      <c r="E6117" s="4" t="s">
        <v>22</v>
      </c>
      <c r="F6117" s="4" t="s">
        <v>32065</v>
      </c>
      <c r="G6117" s="4" t="s">
        <v>32066</v>
      </c>
      <c r="H6117" s="3" t="s">
        <v>30534</v>
      </c>
      <c r="I6117" s="3" t="s">
        <v>32067</v>
      </c>
      <c r="J6117" s="3" t="s">
        <v>32068</v>
      </c>
      <c r="K6117" s="3" t="s">
        <v>32069</v>
      </c>
      <c r="L6117" s="3"/>
      <c r="M6117" s="4"/>
      <c r="N6117" s="3" t="s">
        <v>37</v>
      </c>
      <c r="O6117" s="3" t="s">
        <v>38</v>
      </c>
      <c r="P6117" s="5">
        <v>9</v>
      </c>
      <c r="Q6117" s="5">
        <v>71</v>
      </c>
      <c r="R6117" s="5">
        <v>10</v>
      </c>
      <c r="S6117" s="5">
        <v>80</v>
      </c>
    </row>
    <row r="6118" spans="1:19" ht="28" x14ac:dyDescent="0.15">
      <c r="A6118" s="2">
        <f>HYPERLINK("https://open-school.uspishnemisto.com.ua/school/320307/", 320307)</f>
        <v>320307</v>
      </c>
      <c r="B6118" s="3" t="s">
        <v>32070</v>
      </c>
      <c r="C6118" s="3" t="s">
        <v>31</v>
      </c>
      <c r="D6118" s="3" t="s">
        <v>32</v>
      </c>
      <c r="E6118" s="4" t="s">
        <v>22</v>
      </c>
      <c r="F6118" s="4" t="s">
        <v>31985</v>
      </c>
      <c r="G6118" s="4" t="s">
        <v>32071</v>
      </c>
      <c r="H6118" s="3" t="s">
        <v>30534</v>
      </c>
      <c r="I6118" s="3" t="s">
        <v>32072</v>
      </c>
      <c r="J6118" s="3" t="s">
        <v>11675</v>
      </c>
      <c r="K6118" s="3" t="s">
        <v>32073</v>
      </c>
      <c r="L6118" s="3"/>
      <c r="M6118" s="4"/>
      <c r="N6118" s="3" t="s">
        <v>37</v>
      </c>
      <c r="O6118" s="3" t="s">
        <v>38</v>
      </c>
      <c r="P6118" s="5">
        <v>18</v>
      </c>
      <c r="Q6118" s="5">
        <v>347</v>
      </c>
      <c r="R6118" s="5">
        <v>17</v>
      </c>
      <c r="S6118" s="5">
        <v>357</v>
      </c>
    </row>
    <row r="6119" spans="1:19" ht="42" x14ac:dyDescent="0.15">
      <c r="A6119" s="2">
        <f>HYPERLINK("https://open-school.uspishnemisto.com.ua/school/320308/", 320308)</f>
        <v>320308</v>
      </c>
      <c r="B6119" s="3" t="s">
        <v>32074</v>
      </c>
      <c r="C6119" s="3" t="s">
        <v>54</v>
      </c>
      <c r="D6119" s="3" t="s">
        <v>32</v>
      </c>
      <c r="E6119" s="4" t="s">
        <v>22</v>
      </c>
      <c r="F6119" s="4" t="s">
        <v>32075</v>
      </c>
      <c r="G6119" s="4" t="s">
        <v>32076</v>
      </c>
      <c r="H6119" s="3" t="s">
        <v>30534</v>
      </c>
      <c r="I6119" s="3" t="s">
        <v>31875</v>
      </c>
      <c r="J6119" s="3" t="s">
        <v>2372</v>
      </c>
      <c r="K6119" s="3" t="s">
        <v>32077</v>
      </c>
      <c r="L6119" s="3" t="s">
        <v>32078</v>
      </c>
      <c r="M6119" s="4"/>
      <c r="N6119" s="3" t="s">
        <v>37</v>
      </c>
      <c r="O6119" s="3" t="s">
        <v>52</v>
      </c>
      <c r="P6119" s="5">
        <v>0</v>
      </c>
      <c r="Q6119" s="5">
        <v>0</v>
      </c>
      <c r="R6119" s="5">
        <v>9</v>
      </c>
      <c r="S6119" s="5">
        <v>72</v>
      </c>
    </row>
    <row r="6120" spans="1:19" ht="56" x14ac:dyDescent="0.15">
      <c r="A6120" s="2">
        <f>HYPERLINK("https://open-school.uspishnemisto.com.ua/school/320309/", 320309)</f>
        <v>320309</v>
      </c>
      <c r="B6120" s="3" t="s">
        <v>32079</v>
      </c>
      <c r="C6120" s="3" t="s">
        <v>54</v>
      </c>
      <c r="D6120" s="3" t="s">
        <v>32</v>
      </c>
      <c r="E6120" s="4" t="s">
        <v>22</v>
      </c>
      <c r="F6120" s="4" t="s">
        <v>32080</v>
      </c>
      <c r="G6120" s="4" t="s">
        <v>32081</v>
      </c>
      <c r="H6120" s="3" t="s">
        <v>30534</v>
      </c>
      <c r="I6120" s="3" t="s">
        <v>3409</v>
      </c>
      <c r="J6120" s="3" t="s">
        <v>32082</v>
      </c>
      <c r="K6120" s="3" t="s">
        <v>32083</v>
      </c>
      <c r="L6120" s="3" t="s">
        <v>32084</v>
      </c>
      <c r="M6120" s="4"/>
      <c r="N6120" s="3" t="s">
        <v>37</v>
      </c>
      <c r="O6120" s="3" t="s">
        <v>38</v>
      </c>
      <c r="P6120" s="5">
        <v>10</v>
      </c>
      <c r="Q6120" s="5">
        <v>81</v>
      </c>
      <c r="R6120" s="5">
        <v>10</v>
      </c>
      <c r="S6120" s="5">
        <v>79</v>
      </c>
    </row>
    <row r="6121" spans="1:19" ht="28" x14ac:dyDescent="0.15">
      <c r="A6121" s="2">
        <f>HYPERLINK("https://open-school.uspishnemisto.com.ua/school/320310/", 320310)</f>
        <v>320310</v>
      </c>
      <c r="B6121" s="3" t="s">
        <v>32085</v>
      </c>
      <c r="C6121" s="3" t="s">
        <v>31</v>
      </c>
      <c r="D6121" s="3" t="s">
        <v>175</v>
      </c>
      <c r="E6121" s="4" t="s">
        <v>22</v>
      </c>
      <c r="F6121" s="4" t="s">
        <v>32086</v>
      </c>
      <c r="G6121" s="4" t="s">
        <v>32087</v>
      </c>
      <c r="H6121" s="3" t="s">
        <v>30534</v>
      </c>
      <c r="I6121" s="3" t="s">
        <v>32088</v>
      </c>
      <c r="J6121" s="3" t="s">
        <v>2384</v>
      </c>
      <c r="K6121" s="3" t="s">
        <v>32089</v>
      </c>
      <c r="L6121" s="3"/>
      <c r="M6121" s="4"/>
      <c r="N6121" s="3" t="s">
        <v>37</v>
      </c>
      <c r="O6121" s="3" t="s">
        <v>38</v>
      </c>
      <c r="P6121" s="5">
        <v>5</v>
      </c>
      <c r="Q6121" s="5">
        <v>28</v>
      </c>
      <c r="R6121" s="5">
        <v>5</v>
      </c>
      <c r="S6121" s="5">
        <v>28</v>
      </c>
    </row>
    <row r="6122" spans="1:19" ht="56" x14ac:dyDescent="0.15">
      <c r="A6122" s="2">
        <f>HYPERLINK("https://open-school.uspishnemisto.com.ua/school/320311/", 320311)</f>
        <v>320311</v>
      </c>
      <c r="B6122" s="3" t="s">
        <v>32090</v>
      </c>
      <c r="C6122" s="3" t="s">
        <v>54</v>
      </c>
      <c r="D6122" s="3" t="s">
        <v>32</v>
      </c>
      <c r="E6122" s="4" t="s">
        <v>22</v>
      </c>
      <c r="F6122" s="4" t="s">
        <v>32091</v>
      </c>
      <c r="G6122" s="4" t="s">
        <v>32092</v>
      </c>
      <c r="H6122" s="3" t="s">
        <v>30534</v>
      </c>
      <c r="I6122" s="3" t="s">
        <v>32093</v>
      </c>
      <c r="J6122" s="3" t="s">
        <v>32094</v>
      </c>
      <c r="K6122" s="3" t="s">
        <v>32095</v>
      </c>
      <c r="L6122" s="3"/>
      <c r="M6122" s="4"/>
      <c r="N6122" s="3" t="s">
        <v>37</v>
      </c>
      <c r="O6122" s="3" t="s">
        <v>721</v>
      </c>
      <c r="P6122" s="5">
        <v>31</v>
      </c>
      <c r="Q6122" s="5">
        <v>581</v>
      </c>
      <c r="R6122" s="5">
        <v>15</v>
      </c>
      <c r="S6122" s="5">
        <v>331</v>
      </c>
    </row>
    <row r="6123" spans="1:19" ht="28" x14ac:dyDescent="0.15">
      <c r="A6123" s="2">
        <f>HYPERLINK("https://open-school.uspishnemisto.com.ua/school/320312/", 320312)</f>
        <v>320312</v>
      </c>
      <c r="B6123" s="3" t="s">
        <v>32096</v>
      </c>
      <c r="C6123" s="3" t="s">
        <v>31</v>
      </c>
      <c r="D6123" s="3" t="s">
        <v>32</v>
      </c>
      <c r="E6123" s="4" t="s">
        <v>22</v>
      </c>
      <c r="F6123" s="4" t="s">
        <v>32056</v>
      </c>
      <c r="G6123" s="4" t="s">
        <v>32097</v>
      </c>
      <c r="H6123" s="3" t="s">
        <v>30534</v>
      </c>
      <c r="I6123" s="3" t="s">
        <v>32098</v>
      </c>
      <c r="J6123" s="3" t="s">
        <v>7658</v>
      </c>
      <c r="K6123" s="3" t="s">
        <v>32099</v>
      </c>
      <c r="L6123" s="3"/>
      <c r="M6123" s="4"/>
      <c r="N6123" s="3" t="s">
        <v>37</v>
      </c>
      <c r="O6123" s="3" t="s">
        <v>46</v>
      </c>
      <c r="P6123" s="5">
        <v>10</v>
      </c>
      <c r="Q6123" s="5">
        <v>134</v>
      </c>
      <c r="R6123" s="5">
        <v>10</v>
      </c>
      <c r="S6123" s="5">
        <v>131</v>
      </c>
    </row>
    <row r="6124" spans="1:19" ht="56" x14ac:dyDescent="0.15">
      <c r="A6124" s="2">
        <f>HYPERLINK("https://open-school.uspishnemisto.com.ua/school/320313/", 320313)</f>
        <v>320313</v>
      </c>
      <c r="B6124" s="3" t="s">
        <v>32100</v>
      </c>
      <c r="C6124" s="3" t="s">
        <v>54</v>
      </c>
      <c r="D6124" s="3" t="s">
        <v>32</v>
      </c>
      <c r="E6124" s="4" t="s">
        <v>22</v>
      </c>
      <c r="F6124" s="4" t="s">
        <v>32101</v>
      </c>
      <c r="G6124" s="4" t="s">
        <v>32102</v>
      </c>
      <c r="H6124" s="3" t="s">
        <v>30534</v>
      </c>
      <c r="I6124" s="3" t="s">
        <v>32103</v>
      </c>
      <c r="J6124" s="3" t="s">
        <v>2185</v>
      </c>
      <c r="K6124" s="3" t="s">
        <v>32104</v>
      </c>
      <c r="L6124" s="3" t="s">
        <v>32105</v>
      </c>
      <c r="M6124" s="4"/>
      <c r="N6124" s="3" t="s">
        <v>37</v>
      </c>
      <c r="O6124" s="3" t="s">
        <v>38</v>
      </c>
      <c r="P6124" s="5">
        <v>8</v>
      </c>
      <c r="Q6124" s="5">
        <v>49</v>
      </c>
      <c r="R6124" s="5">
        <v>8</v>
      </c>
      <c r="S6124" s="5">
        <v>48</v>
      </c>
    </row>
    <row r="6125" spans="1:19" ht="56" x14ac:dyDescent="0.15">
      <c r="A6125" s="2">
        <f>HYPERLINK("https://open-school.uspishnemisto.com.ua/school/320314/", 320314)</f>
        <v>320314</v>
      </c>
      <c r="B6125" s="3" t="s">
        <v>32106</v>
      </c>
      <c r="C6125" s="3" t="s">
        <v>54</v>
      </c>
      <c r="D6125" s="3" t="s">
        <v>32</v>
      </c>
      <c r="E6125" s="4" t="s">
        <v>22</v>
      </c>
      <c r="F6125" s="4" t="s">
        <v>32107</v>
      </c>
      <c r="G6125" s="4" t="s">
        <v>32108</v>
      </c>
      <c r="H6125" s="3" t="s">
        <v>30534</v>
      </c>
      <c r="I6125" s="3" t="s">
        <v>32109</v>
      </c>
      <c r="J6125" s="3" t="s">
        <v>2826</v>
      </c>
      <c r="K6125" s="3" t="s">
        <v>31972</v>
      </c>
      <c r="L6125" s="3"/>
      <c r="M6125" s="4"/>
      <c r="N6125" s="3" t="s">
        <v>37</v>
      </c>
      <c r="O6125" s="3" t="s">
        <v>46</v>
      </c>
      <c r="P6125" s="5">
        <v>9</v>
      </c>
      <c r="Q6125" s="5">
        <v>66</v>
      </c>
      <c r="R6125" s="5">
        <v>8</v>
      </c>
      <c r="S6125" s="5">
        <v>59</v>
      </c>
    </row>
    <row r="6126" spans="1:19" ht="28" x14ac:dyDescent="0.15">
      <c r="A6126" s="2">
        <f>HYPERLINK("https://open-school.uspishnemisto.com.ua/school/320315/", 320315)</f>
        <v>320315</v>
      </c>
      <c r="B6126" s="3" t="s">
        <v>32110</v>
      </c>
      <c r="C6126" s="3" t="s">
        <v>31</v>
      </c>
      <c r="D6126" s="3" t="s">
        <v>32</v>
      </c>
      <c r="E6126" s="4" t="s">
        <v>22</v>
      </c>
      <c r="F6126" s="4" t="s">
        <v>32111</v>
      </c>
      <c r="G6126" s="4" t="s">
        <v>32112</v>
      </c>
      <c r="H6126" s="3" t="s">
        <v>30534</v>
      </c>
      <c r="I6126" s="3" t="s">
        <v>32113</v>
      </c>
      <c r="J6126" s="3" t="s">
        <v>32114</v>
      </c>
      <c r="K6126" s="3" t="s">
        <v>32115</v>
      </c>
      <c r="L6126" s="3" t="s">
        <v>32116</v>
      </c>
      <c r="M6126" s="4"/>
      <c r="N6126" s="3" t="s">
        <v>37</v>
      </c>
      <c r="O6126" s="3" t="s">
        <v>38</v>
      </c>
      <c r="P6126" s="5">
        <v>9</v>
      </c>
      <c r="Q6126" s="5">
        <v>123</v>
      </c>
      <c r="R6126" s="5">
        <v>10</v>
      </c>
      <c r="S6126" s="5">
        <v>130</v>
      </c>
    </row>
    <row r="6127" spans="1:19" ht="42" x14ac:dyDescent="0.15">
      <c r="A6127" s="2">
        <f>HYPERLINK("https://open-school.uspishnemisto.com.ua/school/320316/", 320316)</f>
        <v>320316</v>
      </c>
      <c r="B6127" s="3" t="s">
        <v>32117</v>
      </c>
      <c r="C6127" s="3" t="s">
        <v>54</v>
      </c>
      <c r="D6127" s="3" t="s">
        <v>32</v>
      </c>
      <c r="E6127" s="4" t="s">
        <v>22</v>
      </c>
      <c r="F6127" s="4" t="s">
        <v>32118</v>
      </c>
      <c r="G6127" s="4" t="s">
        <v>32119</v>
      </c>
      <c r="H6127" s="3" t="s">
        <v>30534</v>
      </c>
      <c r="I6127" s="3" t="s">
        <v>32120</v>
      </c>
      <c r="J6127" s="3" t="s">
        <v>32121</v>
      </c>
      <c r="K6127" s="3" t="s">
        <v>32122</v>
      </c>
      <c r="L6127" s="3"/>
      <c r="M6127" s="4"/>
      <c r="N6127" s="3" t="s">
        <v>37</v>
      </c>
      <c r="O6127" s="3" t="s">
        <v>38</v>
      </c>
      <c r="P6127" s="5">
        <v>8</v>
      </c>
      <c r="Q6127" s="5">
        <v>54</v>
      </c>
      <c r="R6127" s="5">
        <v>8</v>
      </c>
      <c r="S6127" s="5">
        <v>58</v>
      </c>
    </row>
    <row r="6128" spans="1:19" ht="42" x14ac:dyDescent="0.15">
      <c r="A6128" s="2">
        <f>HYPERLINK("https://open-school.uspishnemisto.com.ua/school/320317/", 320317)</f>
        <v>320317</v>
      </c>
      <c r="B6128" s="3" t="s">
        <v>32123</v>
      </c>
      <c r="C6128" s="3" t="s">
        <v>31</v>
      </c>
      <c r="D6128" s="3" t="s">
        <v>32</v>
      </c>
      <c r="E6128" s="4" t="s">
        <v>22</v>
      </c>
      <c r="F6128" s="4" t="s">
        <v>32124</v>
      </c>
      <c r="G6128" s="4" t="s">
        <v>32125</v>
      </c>
      <c r="H6128" s="3" t="s">
        <v>30534</v>
      </c>
      <c r="I6128" s="3" t="s">
        <v>32126</v>
      </c>
      <c r="J6128" s="3" t="s">
        <v>32127</v>
      </c>
      <c r="K6128" s="3" t="s">
        <v>32128</v>
      </c>
      <c r="L6128" s="3" t="s">
        <v>32129</v>
      </c>
      <c r="M6128" s="4"/>
      <c r="N6128" s="3" t="s">
        <v>37</v>
      </c>
      <c r="O6128" s="3" t="s">
        <v>52</v>
      </c>
      <c r="P6128" s="5">
        <v>19</v>
      </c>
      <c r="Q6128" s="5">
        <v>471</v>
      </c>
      <c r="R6128" s="5">
        <v>19</v>
      </c>
      <c r="S6128" s="5">
        <v>462</v>
      </c>
    </row>
    <row r="6129" spans="1:19" ht="42" x14ac:dyDescent="0.15">
      <c r="A6129" s="2">
        <f>HYPERLINK("https://open-school.uspishnemisto.com.ua/school/320318/", 320318)</f>
        <v>320318</v>
      </c>
      <c r="B6129" s="3" t="s">
        <v>32130</v>
      </c>
      <c r="C6129" s="3" t="s">
        <v>31</v>
      </c>
      <c r="D6129" s="3" t="s">
        <v>32</v>
      </c>
      <c r="E6129" s="4" t="s">
        <v>22</v>
      </c>
      <c r="F6129" s="4" t="s">
        <v>32124</v>
      </c>
      <c r="G6129" s="4" t="s">
        <v>32125</v>
      </c>
      <c r="H6129" s="3" t="s">
        <v>30534</v>
      </c>
      <c r="I6129" s="3" t="s">
        <v>32126</v>
      </c>
      <c r="J6129" s="3" t="s">
        <v>32131</v>
      </c>
      <c r="K6129" s="3" t="s">
        <v>32132</v>
      </c>
      <c r="L6129" s="3" t="s">
        <v>32133</v>
      </c>
      <c r="M6129" s="4"/>
      <c r="N6129" s="3" t="s">
        <v>37</v>
      </c>
      <c r="O6129" s="3" t="s">
        <v>52</v>
      </c>
      <c r="P6129" s="5">
        <v>21</v>
      </c>
      <c r="Q6129" s="5">
        <v>452</v>
      </c>
      <c r="R6129" s="5">
        <v>22</v>
      </c>
      <c r="S6129" s="5">
        <v>447</v>
      </c>
    </row>
    <row r="6130" spans="1:19" ht="56" x14ac:dyDescent="0.15">
      <c r="A6130" s="2">
        <f>HYPERLINK("https://open-school.uspishnemisto.com.ua/school/320319/", 320319)</f>
        <v>320319</v>
      </c>
      <c r="B6130" s="3" t="s">
        <v>32134</v>
      </c>
      <c r="C6130" s="3" t="s">
        <v>4989</v>
      </c>
      <c r="D6130" s="3" t="s">
        <v>21</v>
      </c>
      <c r="E6130" s="4" t="s">
        <v>22</v>
      </c>
      <c r="F6130" s="4" t="s">
        <v>32135</v>
      </c>
      <c r="G6130" s="4" t="s">
        <v>32125</v>
      </c>
      <c r="H6130" s="3" t="s">
        <v>30534</v>
      </c>
      <c r="I6130" s="3" t="s">
        <v>32126</v>
      </c>
      <c r="J6130" s="3" t="s">
        <v>32136</v>
      </c>
      <c r="K6130" s="3" t="s">
        <v>32137</v>
      </c>
      <c r="L6130" s="3" t="s">
        <v>32138</v>
      </c>
      <c r="M6130" s="4" t="s">
        <v>32139</v>
      </c>
      <c r="N6130" s="3" t="s">
        <v>37</v>
      </c>
      <c r="O6130" s="3" t="s">
        <v>32140</v>
      </c>
      <c r="P6130" s="5">
        <v>10</v>
      </c>
      <c r="Q6130" s="5">
        <v>145</v>
      </c>
      <c r="R6130" s="5">
        <v>11</v>
      </c>
      <c r="S6130" s="5">
        <v>137</v>
      </c>
    </row>
    <row r="6131" spans="1:19" ht="42" x14ac:dyDescent="0.15">
      <c r="A6131" s="2">
        <f>HYPERLINK("https://open-school.uspishnemisto.com.ua/school/320320/", 320320)</f>
        <v>320320</v>
      </c>
      <c r="B6131" s="3" t="s">
        <v>32141</v>
      </c>
      <c r="C6131" s="3" t="s">
        <v>54</v>
      </c>
      <c r="D6131" s="3" t="s">
        <v>175</v>
      </c>
      <c r="E6131" s="4" t="s">
        <v>22</v>
      </c>
      <c r="F6131" s="4" t="s">
        <v>32142</v>
      </c>
      <c r="G6131" s="4" t="s">
        <v>32143</v>
      </c>
      <c r="H6131" s="3" t="s">
        <v>30534</v>
      </c>
      <c r="I6131" s="3" t="s">
        <v>4071</v>
      </c>
      <c r="J6131" s="3" t="s">
        <v>32144</v>
      </c>
      <c r="K6131" s="3" t="s">
        <v>32145</v>
      </c>
      <c r="L6131" s="3" t="s">
        <v>32146</v>
      </c>
      <c r="M6131" s="4"/>
      <c r="N6131" s="3" t="s">
        <v>37</v>
      </c>
      <c r="O6131" s="3" t="s">
        <v>52</v>
      </c>
      <c r="P6131" s="5">
        <v>5</v>
      </c>
      <c r="Q6131" s="5">
        <v>38</v>
      </c>
      <c r="R6131" s="5">
        <v>5</v>
      </c>
      <c r="S6131" s="5">
        <v>37</v>
      </c>
    </row>
    <row r="6132" spans="1:19" ht="56" x14ac:dyDescent="0.15">
      <c r="A6132" s="2">
        <f>HYPERLINK("https://open-school.uspishnemisto.com.ua/school/320321/", 320321)</f>
        <v>320321</v>
      </c>
      <c r="B6132" s="3" t="s">
        <v>32147</v>
      </c>
      <c r="C6132" s="3" t="s">
        <v>31</v>
      </c>
      <c r="D6132" s="3" t="s">
        <v>175</v>
      </c>
      <c r="E6132" s="4" t="s">
        <v>22</v>
      </c>
      <c r="F6132" s="4" t="s">
        <v>32148</v>
      </c>
      <c r="G6132" s="4" t="s">
        <v>32149</v>
      </c>
      <c r="H6132" s="3" t="s">
        <v>30534</v>
      </c>
      <c r="I6132" s="3" t="s">
        <v>32150</v>
      </c>
      <c r="J6132" s="3" t="s">
        <v>466</v>
      </c>
      <c r="K6132" s="3" t="s">
        <v>32151</v>
      </c>
      <c r="L6132" s="3"/>
      <c r="M6132" s="4"/>
      <c r="N6132" s="3" t="s">
        <v>37</v>
      </c>
      <c r="O6132" s="3" t="s">
        <v>52</v>
      </c>
      <c r="P6132" s="5">
        <v>6</v>
      </c>
      <c r="Q6132" s="5">
        <v>35</v>
      </c>
      <c r="R6132" s="5">
        <v>5</v>
      </c>
      <c r="S6132" s="5">
        <v>39</v>
      </c>
    </row>
    <row r="6133" spans="1:19" ht="42" x14ac:dyDescent="0.15">
      <c r="A6133" s="2">
        <f>HYPERLINK("https://open-school.uspishnemisto.com.ua/school/320322/", 320322)</f>
        <v>320322</v>
      </c>
      <c r="B6133" s="3" t="s">
        <v>32152</v>
      </c>
      <c r="C6133" s="3" t="s">
        <v>31</v>
      </c>
      <c r="D6133" s="3" t="s">
        <v>32</v>
      </c>
      <c r="E6133" s="4" t="s">
        <v>22</v>
      </c>
      <c r="F6133" s="4" t="s">
        <v>32153</v>
      </c>
      <c r="G6133" s="4" t="s">
        <v>32154</v>
      </c>
      <c r="H6133" s="3" t="s">
        <v>30534</v>
      </c>
      <c r="I6133" s="3" t="s">
        <v>32155</v>
      </c>
      <c r="J6133" s="3" t="s">
        <v>32156</v>
      </c>
      <c r="K6133" s="3" t="s">
        <v>32157</v>
      </c>
      <c r="L6133" s="3" t="s">
        <v>32158</v>
      </c>
      <c r="M6133" s="4"/>
      <c r="N6133" s="3" t="s">
        <v>37</v>
      </c>
      <c r="O6133" s="3" t="s">
        <v>52</v>
      </c>
      <c r="P6133" s="5">
        <v>10</v>
      </c>
      <c r="Q6133" s="5">
        <v>101</v>
      </c>
      <c r="R6133" s="5">
        <v>10</v>
      </c>
      <c r="S6133" s="5">
        <v>102</v>
      </c>
    </row>
    <row r="6134" spans="1:19" ht="56" x14ac:dyDescent="0.15">
      <c r="A6134" s="2">
        <f>HYPERLINK("https://open-school.uspishnemisto.com.ua/school/320323/", 320323)</f>
        <v>320323</v>
      </c>
      <c r="B6134" s="3" t="s">
        <v>32159</v>
      </c>
      <c r="C6134" s="3" t="s">
        <v>54</v>
      </c>
      <c r="D6134" s="3" t="s">
        <v>32</v>
      </c>
      <c r="E6134" s="4" t="s">
        <v>22</v>
      </c>
      <c r="F6134" s="4" t="s">
        <v>32160</v>
      </c>
      <c r="G6134" s="4" t="s">
        <v>32161</v>
      </c>
      <c r="H6134" s="3" t="s">
        <v>30534</v>
      </c>
      <c r="I6134" s="3" t="s">
        <v>3351</v>
      </c>
      <c r="J6134" s="3" t="s">
        <v>584</v>
      </c>
      <c r="K6134" s="3" t="s">
        <v>32162</v>
      </c>
      <c r="L6134" s="3" t="s">
        <v>32163</v>
      </c>
      <c r="M6134" s="4"/>
      <c r="N6134" s="3" t="s">
        <v>37</v>
      </c>
      <c r="O6134" s="3" t="s">
        <v>52</v>
      </c>
      <c r="P6134" s="5">
        <v>8</v>
      </c>
      <c r="Q6134" s="5">
        <v>42</v>
      </c>
      <c r="R6134" s="5">
        <v>6</v>
      </c>
      <c r="S6134" s="5">
        <v>47</v>
      </c>
    </row>
    <row r="6135" spans="1:19" ht="56" x14ac:dyDescent="0.15">
      <c r="A6135" s="2">
        <f>HYPERLINK("https://open-school.uspishnemisto.com.ua/school/320324/", 320324)</f>
        <v>320324</v>
      </c>
      <c r="B6135" s="3" t="s">
        <v>32164</v>
      </c>
      <c r="C6135" s="3" t="s">
        <v>54</v>
      </c>
      <c r="D6135" s="3" t="s">
        <v>175</v>
      </c>
      <c r="E6135" s="4" t="s">
        <v>22</v>
      </c>
      <c r="F6135" s="4" t="s">
        <v>32165</v>
      </c>
      <c r="G6135" s="4" t="s">
        <v>32166</v>
      </c>
      <c r="H6135" s="3" t="s">
        <v>30534</v>
      </c>
      <c r="I6135" s="3" t="s">
        <v>32167</v>
      </c>
      <c r="J6135" s="3" t="s">
        <v>32168</v>
      </c>
      <c r="K6135" s="3" t="s">
        <v>32169</v>
      </c>
      <c r="L6135" s="3"/>
      <c r="M6135" s="4"/>
      <c r="N6135" s="3" t="s">
        <v>37</v>
      </c>
      <c r="O6135" s="3" t="s">
        <v>52</v>
      </c>
      <c r="P6135" s="5">
        <v>7</v>
      </c>
      <c r="Q6135" s="5">
        <v>38</v>
      </c>
      <c r="R6135" s="5">
        <v>6</v>
      </c>
      <c r="S6135" s="5">
        <v>40</v>
      </c>
    </row>
    <row r="6136" spans="1:19" ht="56" x14ac:dyDescent="0.15">
      <c r="A6136" s="2">
        <f>HYPERLINK("https://open-school.uspishnemisto.com.ua/school/320325/", 320325)</f>
        <v>320325</v>
      </c>
      <c r="B6136" s="3" t="s">
        <v>32170</v>
      </c>
      <c r="C6136" s="3" t="s">
        <v>54</v>
      </c>
      <c r="D6136" s="3" t="s">
        <v>32</v>
      </c>
      <c r="E6136" s="4" t="s">
        <v>22</v>
      </c>
      <c r="F6136" s="4" t="s">
        <v>32171</v>
      </c>
      <c r="G6136" s="4" t="s">
        <v>32172</v>
      </c>
      <c r="H6136" s="3" t="s">
        <v>30534</v>
      </c>
      <c r="I6136" s="3" t="s">
        <v>32173</v>
      </c>
      <c r="J6136" s="3" t="s">
        <v>17555</v>
      </c>
      <c r="K6136" s="3" t="s">
        <v>32174</v>
      </c>
      <c r="L6136" s="3" t="s">
        <v>32175</v>
      </c>
      <c r="M6136" s="4"/>
      <c r="N6136" s="3" t="s">
        <v>37</v>
      </c>
      <c r="O6136" s="3" t="s">
        <v>52</v>
      </c>
      <c r="P6136" s="5">
        <v>8</v>
      </c>
      <c r="Q6136" s="5">
        <v>52</v>
      </c>
      <c r="R6136" s="5">
        <v>8</v>
      </c>
      <c r="S6136" s="5">
        <v>52</v>
      </c>
    </row>
    <row r="6137" spans="1:19" ht="56" x14ac:dyDescent="0.15">
      <c r="A6137" s="2">
        <f>HYPERLINK("https://open-school.uspishnemisto.com.ua/school/320326/", 320326)</f>
        <v>320326</v>
      </c>
      <c r="B6137" s="3" t="s">
        <v>32176</v>
      </c>
      <c r="C6137" s="3" t="s">
        <v>54</v>
      </c>
      <c r="D6137" s="3" t="s">
        <v>175</v>
      </c>
      <c r="E6137" s="4" t="s">
        <v>22</v>
      </c>
      <c r="F6137" s="4" t="s">
        <v>32177</v>
      </c>
      <c r="G6137" s="4" t="s">
        <v>32178</v>
      </c>
      <c r="H6137" s="3" t="s">
        <v>30534</v>
      </c>
      <c r="I6137" s="3" t="s">
        <v>32179</v>
      </c>
      <c r="J6137" s="3" t="s">
        <v>32180</v>
      </c>
      <c r="K6137" s="3" t="s">
        <v>32181</v>
      </c>
      <c r="L6137" s="3"/>
      <c r="M6137" s="4"/>
      <c r="N6137" s="3" t="s">
        <v>37</v>
      </c>
      <c r="O6137" s="3" t="s">
        <v>52</v>
      </c>
      <c r="P6137" s="5">
        <v>4</v>
      </c>
      <c r="Q6137" s="5">
        <v>26</v>
      </c>
      <c r="R6137" s="5">
        <v>6</v>
      </c>
      <c r="S6137" s="5">
        <v>50</v>
      </c>
    </row>
    <row r="6138" spans="1:19" ht="56" x14ac:dyDescent="0.15">
      <c r="A6138" s="2">
        <f>HYPERLINK("https://open-school.uspishnemisto.com.ua/school/320327/", 320327)</f>
        <v>320327</v>
      </c>
      <c r="B6138" s="3" t="s">
        <v>32182</v>
      </c>
      <c r="C6138" s="3" t="s">
        <v>54</v>
      </c>
      <c r="D6138" s="3" t="s">
        <v>175</v>
      </c>
      <c r="E6138" s="4" t="s">
        <v>22</v>
      </c>
      <c r="F6138" s="4" t="s">
        <v>32183</v>
      </c>
      <c r="G6138" s="4" t="s">
        <v>32184</v>
      </c>
      <c r="H6138" s="3" t="s">
        <v>30534</v>
      </c>
      <c r="I6138" s="3" t="s">
        <v>32185</v>
      </c>
      <c r="J6138" s="3" t="s">
        <v>7340</v>
      </c>
      <c r="K6138" s="3" t="s">
        <v>32186</v>
      </c>
      <c r="L6138" s="3"/>
      <c r="M6138" s="4"/>
      <c r="N6138" s="3" t="s">
        <v>37</v>
      </c>
      <c r="O6138" s="3" t="s">
        <v>52</v>
      </c>
      <c r="P6138" s="5">
        <v>7</v>
      </c>
      <c r="Q6138" s="5">
        <v>51</v>
      </c>
      <c r="R6138" s="5">
        <v>8</v>
      </c>
      <c r="S6138" s="5">
        <v>57</v>
      </c>
    </row>
    <row r="6139" spans="1:19" ht="28" x14ac:dyDescent="0.15">
      <c r="A6139" s="2">
        <f>HYPERLINK("https://open-school.uspishnemisto.com.ua/school/320328/", 320328)</f>
        <v>320328</v>
      </c>
      <c r="B6139" s="3" t="s">
        <v>32187</v>
      </c>
      <c r="C6139" s="3" t="s">
        <v>54</v>
      </c>
      <c r="D6139" s="3" t="s">
        <v>32</v>
      </c>
      <c r="E6139" s="4" t="s">
        <v>22</v>
      </c>
      <c r="F6139" s="4"/>
      <c r="G6139" s="4" t="s">
        <v>32188</v>
      </c>
      <c r="H6139" s="3" t="s">
        <v>30534</v>
      </c>
      <c r="I6139" s="3" t="s">
        <v>32189</v>
      </c>
      <c r="J6139" s="3"/>
      <c r="K6139" s="3"/>
      <c r="L6139" s="3"/>
      <c r="M6139" s="4"/>
      <c r="N6139" s="3"/>
      <c r="O6139" s="3"/>
      <c r="P6139" s="5">
        <v>0</v>
      </c>
      <c r="Q6139" s="5">
        <v>0</v>
      </c>
      <c r="R6139" s="5"/>
      <c r="S6139" s="5"/>
    </row>
    <row r="6140" spans="1:19" ht="42" x14ac:dyDescent="0.15">
      <c r="A6140" s="2">
        <f>HYPERLINK("https://open-school.uspishnemisto.com.ua/school/320329/", 320329)</f>
        <v>320329</v>
      </c>
      <c r="B6140" s="3" t="s">
        <v>32190</v>
      </c>
      <c r="C6140" s="3" t="s">
        <v>54</v>
      </c>
      <c r="D6140" s="3" t="s">
        <v>32</v>
      </c>
      <c r="E6140" s="4" t="s">
        <v>22</v>
      </c>
      <c r="F6140" s="4" t="s">
        <v>32191</v>
      </c>
      <c r="G6140" s="4" t="s">
        <v>32192</v>
      </c>
      <c r="H6140" s="3" t="s">
        <v>30534</v>
      </c>
      <c r="I6140" s="3" t="s">
        <v>32193</v>
      </c>
      <c r="J6140" s="3" t="s">
        <v>32194</v>
      </c>
      <c r="K6140" s="3" t="s">
        <v>32195</v>
      </c>
      <c r="L6140" s="3" t="s">
        <v>32196</v>
      </c>
      <c r="M6140" s="4"/>
      <c r="N6140" s="3" t="s">
        <v>37</v>
      </c>
      <c r="O6140" s="3" t="s">
        <v>52</v>
      </c>
      <c r="P6140" s="5">
        <v>19</v>
      </c>
      <c r="Q6140" s="5">
        <v>135</v>
      </c>
      <c r="R6140" s="5">
        <v>20</v>
      </c>
      <c r="S6140" s="5">
        <v>142</v>
      </c>
    </row>
    <row r="6141" spans="1:19" ht="42" x14ac:dyDescent="0.15">
      <c r="A6141" s="2">
        <f>HYPERLINK("https://open-school.uspishnemisto.com.ua/school/320330/", 320330)</f>
        <v>320330</v>
      </c>
      <c r="B6141" s="3" t="s">
        <v>32197</v>
      </c>
      <c r="C6141" s="3" t="s">
        <v>54</v>
      </c>
      <c r="D6141" s="3" t="s">
        <v>175</v>
      </c>
      <c r="E6141" s="4" t="s">
        <v>22</v>
      </c>
      <c r="F6141" s="4" t="s">
        <v>32198</v>
      </c>
      <c r="G6141" s="4" t="s">
        <v>32199</v>
      </c>
      <c r="H6141" s="3" t="s">
        <v>30534</v>
      </c>
      <c r="I6141" s="3" t="s">
        <v>3999</v>
      </c>
      <c r="J6141" s="3" t="s">
        <v>32200</v>
      </c>
      <c r="K6141" s="3" t="s">
        <v>32201</v>
      </c>
      <c r="L6141" s="3"/>
      <c r="M6141" s="4"/>
      <c r="N6141" s="3" t="s">
        <v>37</v>
      </c>
      <c r="O6141" s="3" t="s">
        <v>52</v>
      </c>
      <c r="P6141" s="5">
        <v>5</v>
      </c>
      <c r="Q6141" s="5">
        <v>27</v>
      </c>
      <c r="R6141" s="5">
        <v>5</v>
      </c>
      <c r="S6141" s="5">
        <v>36</v>
      </c>
    </row>
    <row r="6142" spans="1:19" ht="42" x14ac:dyDescent="0.15">
      <c r="A6142" s="2">
        <f>HYPERLINK("https://open-school.uspishnemisto.com.ua/school/320331/", 320331)</f>
        <v>320331</v>
      </c>
      <c r="B6142" s="3" t="s">
        <v>32202</v>
      </c>
      <c r="C6142" s="3" t="s">
        <v>54</v>
      </c>
      <c r="D6142" s="3" t="s">
        <v>175</v>
      </c>
      <c r="E6142" s="4" t="s">
        <v>22</v>
      </c>
      <c r="F6142" s="4" t="s">
        <v>32203</v>
      </c>
      <c r="G6142" s="4" t="s">
        <v>32204</v>
      </c>
      <c r="H6142" s="3" t="s">
        <v>30534</v>
      </c>
      <c r="I6142" s="3" t="s">
        <v>32205</v>
      </c>
      <c r="J6142" s="3" t="s">
        <v>32206</v>
      </c>
      <c r="K6142" s="3" t="s">
        <v>32207</v>
      </c>
      <c r="L6142" s="3"/>
      <c r="M6142" s="4"/>
      <c r="N6142" s="3" t="s">
        <v>37</v>
      </c>
      <c r="O6142" s="3" t="s">
        <v>52</v>
      </c>
      <c r="P6142" s="5">
        <v>9</v>
      </c>
      <c r="Q6142" s="5">
        <v>40</v>
      </c>
      <c r="R6142" s="5">
        <v>6</v>
      </c>
      <c r="S6142" s="5">
        <v>39</v>
      </c>
    </row>
    <row r="6143" spans="1:19" ht="42" x14ac:dyDescent="0.15">
      <c r="A6143" s="2">
        <f>HYPERLINK("https://open-school.uspishnemisto.com.ua/school/320332/", 320332)</f>
        <v>320332</v>
      </c>
      <c r="B6143" s="3" t="s">
        <v>32208</v>
      </c>
      <c r="C6143" s="3" t="s">
        <v>54</v>
      </c>
      <c r="D6143" s="3" t="s">
        <v>32</v>
      </c>
      <c r="E6143" s="4" t="s">
        <v>22</v>
      </c>
      <c r="F6143" s="4" t="s">
        <v>32209</v>
      </c>
      <c r="G6143" s="4" t="s">
        <v>32210</v>
      </c>
      <c r="H6143" s="3" t="s">
        <v>30534</v>
      </c>
      <c r="I6143" s="3" t="s">
        <v>32211</v>
      </c>
      <c r="J6143" s="3" t="s">
        <v>32212</v>
      </c>
      <c r="K6143" s="3" t="s">
        <v>32213</v>
      </c>
      <c r="L6143" s="3"/>
      <c r="M6143" s="4"/>
      <c r="N6143" s="3" t="s">
        <v>37</v>
      </c>
      <c r="O6143" s="3" t="s">
        <v>52</v>
      </c>
      <c r="P6143" s="5">
        <v>8</v>
      </c>
      <c r="Q6143" s="5">
        <v>60</v>
      </c>
      <c r="R6143" s="5">
        <v>8</v>
      </c>
      <c r="S6143" s="5">
        <v>61</v>
      </c>
    </row>
    <row r="6144" spans="1:19" ht="42" x14ac:dyDescent="0.15">
      <c r="A6144" s="2">
        <f>HYPERLINK("https://open-school.uspishnemisto.com.ua/school/320333/", 320333)</f>
        <v>320333</v>
      </c>
      <c r="B6144" s="3" t="s">
        <v>32214</v>
      </c>
      <c r="C6144" s="3" t="s">
        <v>54</v>
      </c>
      <c r="D6144" s="3" t="s">
        <v>175</v>
      </c>
      <c r="E6144" s="4" t="s">
        <v>22</v>
      </c>
      <c r="F6144" s="4" t="s">
        <v>32215</v>
      </c>
      <c r="G6144" s="4" t="s">
        <v>32216</v>
      </c>
      <c r="H6144" s="3" t="s">
        <v>30534</v>
      </c>
      <c r="I6144" s="3" t="s">
        <v>32217</v>
      </c>
      <c r="J6144" s="3" t="s">
        <v>27389</v>
      </c>
      <c r="K6144" s="3" t="s">
        <v>32218</v>
      </c>
      <c r="L6144" s="3" t="s">
        <v>32219</v>
      </c>
      <c r="M6144" s="4"/>
      <c r="N6144" s="3" t="s">
        <v>37</v>
      </c>
      <c r="O6144" s="3" t="s">
        <v>52</v>
      </c>
      <c r="P6144" s="5">
        <v>9</v>
      </c>
      <c r="Q6144" s="5">
        <v>49</v>
      </c>
      <c r="R6144" s="5">
        <v>6</v>
      </c>
      <c r="S6144" s="5">
        <v>44</v>
      </c>
    </row>
    <row r="6145" spans="1:19" ht="42" x14ac:dyDescent="0.15">
      <c r="A6145" s="2">
        <f>HYPERLINK("https://open-school.uspishnemisto.com.ua/school/320334/", 320334)</f>
        <v>320334</v>
      </c>
      <c r="B6145" s="3" t="s">
        <v>32220</v>
      </c>
      <c r="C6145" s="3" t="s">
        <v>54</v>
      </c>
      <c r="D6145" s="3" t="s">
        <v>175</v>
      </c>
      <c r="E6145" s="4" t="s">
        <v>22</v>
      </c>
      <c r="F6145" s="4" t="s">
        <v>32221</v>
      </c>
      <c r="G6145" s="4" t="s">
        <v>32222</v>
      </c>
      <c r="H6145" s="3" t="s">
        <v>30534</v>
      </c>
      <c r="I6145" s="3" t="s">
        <v>32223</v>
      </c>
      <c r="J6145" s="3" t="s">
        <v>17826</v>
      </c>
      <c r="K6145" s="3" t="s">
        <v>32224</v>
      </c>
      <c r="L6145" s="3" t="s">
        <v>32225</v>
      </c>
      <c r="M6145" s="4"/>
      <c r="N6145" s="3"/>
      <c r="O6145" s="3"/>
      <c r="P6145" s="5">
        <v>0</v>
      </c>
      <c r="Q6145" s="5">
        <v>0</v>
      </c>
      <c r="R6145" s="5"/>
      <c r="S6145" s="5"/>
    </row>
    <row r="6146" spans="1:19" ht="28" x14ac:dyDescent="0.15">
      <c r="A6146" s="2">
        <f>HYPERLINK("https://open-school.uspishnemisto.com.ua/school/320335/", 320335)</f>
        <v>320335</v>
      </c>
      <c r="B6146" s="3" t="s">
        <v>32226</v>
      </c>
      <c r="C6146" s="3" t="s">
        <v>31</v>
      </c>
      <c r="D6146" s="3" t="s">
        <v>32</v>
      </c>
      <c r="E6146" s="4" t="s">
        <v>22</v>
      </c>
      <c r="F6146" s="4" t="s">
        <v>32227</v>
      </c>
      <c r="G6146" s="4" t="s">
        <v>32228</v>
      </c>
      <c r="H6146" s="3" t="s">
        <v>30534</v>
      </c>
      <c r="I6146" s="3" t="s">
        <v>32229</v>
      </c>
      <c r="J6146" s="3" t="s">
        <v>32230</v>
      </c>
      <c r="K6146" s="3" t="s">
        <v>32231</v>
      </c>
      <c r="L6146" s="3"/>
      <c r="M6146" s="4" t="s">
        <v>32232</v>
      </c>
      <c r="N6146" s="3" t="s">
        <v>37</v>
      </c>
      <c r="O6146" s="3" t="s">
        <v>52</v>
      </c>
      <c r="P6146" s="5">
        <v>33</v>
      </c>
      <c r="Q6146" s="5">
        <v>937</v>
      </c>
      <c r="R6146" s="5">
        <v>31</v>
      </c>
      <c r="S6146" s="5">
        <v>869</v>
      </c>
    </row>
    <row r="6147" spans="1:19" ht="28" x14ac:dyDescent="0.15">
      <c r="A6147" s="2">
        <f>HYPERLINK("https://open-school.uspishnemisto.com.ua/school/320336/", 320336)</f>
        <v>320336</v>
      </c>
      <c r="B6147" s="3" t="s">
        <v>32233</v>
      </c>
      <c r="C6147" s="3" t="s">
        <v>174</v>
      </c>
      <c r="D6147" s="3" t="s">
        <v>32</v>
      </c>
      <c r="E6147" s="4" t="s">
        <v>22</v>
      </c>
      <c r="F6147" s="4" t="s">
        <v>32227</v>
      </c>
      <c r="G6147" s="4" t="s">
        <v>32228</v>
      </c>
      <c r="H6147" s="3" t="s">
        <v>30534</v>
      </c>
      <c r="I6147" s="3" t="s">
        <v>32229</v>
      </c>
      <c r="J6147" s="3" t="s">
        <v>32234</v>
      </c>
      <c r="K6147" s="3" t="s">
        <v>32235</v>
      </c>
      <c r="L6147" s="3"/>
      <c r="M6147" s="4"/>
      <c r="N6147" s="3" t="s">
        <v>37</v>
      </c>
      <c r="O6147" s="3" t="s">
        <v>52</v>
      </c>
      <c r="P6147" s="5">
        <v>4</v>
      </c>
      <c r="Q6147" s="5">
        <v>31</v>
      </c>
      <c r="R6147" s="5">
        <v>3</v>
      </c>
      <c r="S6147" s="5">
        <v>30</v>
      </c>
    </row>
    <row r="6148" spans="1:19" ht="28" x14ac:dyDescent="0.15">
      <c r="A6148" s="2">
        <f>HYPERLINK("https://open-school.uspishnemisto.com.ua/school/320337/", 320337)</f>
        <v>320337</v>
      </c>
      <c r="B6148" s="3" t="s">
        <v>32236</v>
      </c>
      <c r="C6148" s="3" t="s">
        <v>244</v>
      </c>
      <c r="D6148" s="3" t="s">
        <v>32</v>
      </c>
      <c r="E6148" s="4" t="s">
        <v>22</v>
      </c>
      <c r="F6148" s="4" t="s">
        <v>32227</v>
      </c>
      <c r="G6148" s="4" t="s">
        <v>32228</v>
      </c>
      <c r="H6148" s="3" t="s">
        <v>30534</v>
      </c>
      <c r="I6148" s="3" t="s">
        <v>32229</v>
      </c>
      <c r="J6148" s="3" t="s">
        <v>32237</v>
      </c>
      <c r="K6148" s="3" t="s">
        <v>32238</v>
      </c>
      <c r="L6148" s="3" t="s">
        <v>32239</v>
      </c>
      <c r="M6148" s="4" t="s">
        <v>32240</v>
      </c>
      <c r="N6148" s="3" t="s">
        <v>37</v>
      </c>
      <c r="O6148" s="3" t="s">
        <v>237</v>
      </c>
      <c r="P6148" s="5">
        <v>46</v>
      </c>
      <c r="Q6148" s="5">
        <v>1291</v>
      </c>
      <c r="R6148" s="5">
        <v>42</v>
      </c>
      <c r="S6148" s="5">
        <v>1171</v>
      </c>
    </row>
    <row r="6149" spans="1:19" ht="42" x14ac:dyDescent="0.15">
      <c r="A6149" s="2">
        <f>HYPERLINK("https://open-school.uspishnemisto.com.ua/school/320338/", 320338)</f>
        <v>320338</v>
      </c>
      <c r="B6149" s="3" t="s">
        <v>32241</v>
      </c>
      <c r="C6149" s="3" t="s">
        <v>54</v>
      </c>
      <c r="D6149" s="3" t="s">
        <v>32</v>
      </c>
      <c r="E6149" s="4" t="s">
        <v>22</v>
      </c>
      <c r="F6149" s="4" t="s">
        <v>32227</v>
      </c>
      <c r="G6149" s="4" t="s">
        <v>32228</v>
      </c>
      <c r="H6149" s="3" t="s">
        <v>30534</v>
      </c>
      <c r="I6149" s="3" t="s">
        <v>32229</v>
      </c>
      <c r="J6149" s="3" t="s">
        <v>718</v>
      </c>
      <c r="K6149" s="3" t="s">
        <v>32242</v>
      </c>
      <c r="L6149" s="3" t="s">
        <v>32243</v>
      </c>
      <c r="M6149" s="4" t="s">
        <v>32244</v>
      </c>
      <c r="N6149" s="3" t="s">
        <v>128</v>
      </c>
      <c r="O6149" s="3" t="s">
        <v>70</v>
      </c>
      <c r="P6149" s="5">
        <v>43</v>
      </c>
      <c r="Q6149" s="5">
        <v>1243</v>
      </c>
      <c r="R6149" s="5">
        <v>43</v>
      </c>
      <c r="S6149" s="5">
        <v>1214</v>
      </c>
    </row>
    <row r="6150" spans="1:19" ht="28" x14ac:dyDescent="0.15">
      <c r="A6150" s="2">
        <f>HYPERLINK("https://open-school.uspishnemisto.com.ua/school/320339/", 320339)</f>
        <v>320339</v>
      </c>
      <c r="B6150" s="3" t="s">
        <v>32245</v>
      </c>
      <c r="C6150" s="3" t="s">
        <v>188</v>
      </c>
      <c r="D6150" s="3" t="s">
        <v>32</v>
      </c>
      <c r="E6150" s="4" t="s">
        <v>22</v>
      </c>
      <c r="F6150" s="4" t="s">
        <v>32227</v>
      </c>
      <c r="G6150" s="4" t="s">
        <v>32228</v>
      </c>
      <c r="H6150" s="3" t="s">
        <v>30534</v>
      </c>
      <c r="I6150" s="3" t="s">
        <v>32229</v>
      </c>
      <c r="J6150" s="3" t="s">
        <v>32246</v>
      </c>
      <c r="K6150" s="3" t="s">
        <v>32247</v>
      </c>
      <c r="L6150" s="3" t="s">
        <v>32248</v>
      </c>
      <c r="M6150" s="4" t="s">
        <v>32249</v>
      </c>
      <c r="N6150" s="3" t="s">
        <v>37</v>
      </c>
      <c r="O6150" s="3" t="s">
        <v>52</v>
      </c>
      <c r="P6150" s="5">
        <v>6</v>
      </c>
      <c r="Q6150" s="5">
        <v>124</v>
      </c>
      <c r="R6150" s="5">
        <v>4</v>
      </c>
      <c r="S6150" s="5">
        <v>76</v>
      </c>
    </row>
    <row r="6151" spans="1:19" ht="28" x14ac:dyDescent="0.15">
      <c r="A6151" s="2">
        <f>HYPERLINK("https://open-school.uspishnemisto.com.ua/school/320340/", 320340)</f>
        <v>320340</v>
      </c>
      <c r="B6151" s="3" t="s">
        <v>32250</v>
      </c>
      <c r="C6151" s="3" t="s">
        <v>31</v>
      </c>
      <c r="D6151" s="3" t="s">
        <v>32</v>
      </c>
      <c r="E6151" s="4" t="s">
        <v>22</v>
      </c>
      <c r="F6151" s="4" t="s">
        <v>32251</v>
      </c>
      <c r="G6151" s="4" t="s">
        <v>32252</v>
      </c>
      <c r="H6151" s="3" t="s">
        <v>30534</v>
      </c>
      <c r="I6151" s="3" t="s">
        <v>32253</v>
      </c>
      <c r="J6151" s="3" t="s">
        <v>32254</v>
      </c>
      <c r="K6151" s="3" t="s">
        <v>32255</v>
      </c>
      <c r="L6151" s="3"/>
      <c r="M6151" s="4"/>
      <c r="N6151" s="3" t="s">
        <v>37</v>
      </c>
      <c r="O6151" s="3" t="s">
        <v>46</v>
      </c>
      <c r="P6151" s="5">
        <v>19</v>
      </c>
      <c r="Q6151" s="5">
        <v>378</v>
      </c>
      <c r="R6151" s="5">
        <v>18</v>
      </c>
      <c r="S6151" s="5">
        <v>376</v>
      </c>
    </row>
    <row r="6152" spans="1:19" ht="42" x14ac:dyDescent="0.15">
      <c r="A6152" s="2">
        <f>HYPERLINK("https://open-school.uspishnemisto.com.ua/school/320341/", 320341)</f>
        <v>320341</v>
      </c>
      <c r="B6152" s="3" t="s">
        <v>32256</v>
      </c>
      <c r="C6152" s="3" t="s">
        <v>54</v>
      </c>
      <c r="D6152" s="3" t="s">
        <v>32</v>
      </c>
      <c r="E6152" s="4" t="s">
        <v>22</v>
      </c>
      <c r="F6152" s="4" t="s">
        <v>32251</v>
      </c>
      <c r="G6152" s="4" t="s">
        <v>32252</v>
      </c>
      <c r="H6152" s="3" t="s">
        <v>30534</v>
      </c>
      <c r="I6152" s="3" t="s">
        <v>32253</v>
      </c>
      <c r="J6152" s="3" t="s">
        <v>32257</v>
      </c>
      <c r="K6152" s="3" t="s">
        <v>32258</v>
      </c>
      <c r="L6152" s="3"/>
      <c r="M6152" s="4" t="s">
        <v>32259</v>
      </c>
      <c r="N6152" s="3" t="s">
        <v>37</v>
      </c>
      <c r="O6152" s="3" t="s">
        <v>46</v>
      </c>
      <c r="P6152" s="5">
        <v>16</v>
      </c>
      <c r="Q6152" s="5">
        <v>357</v>
      </c>
      <c r="R6152" s="5">
        <v>16</v>
      </c>
      <c r="S6152" s="5">
        <v>361</v>
      </c>
    </row>
    <row r="6153" spans="1:19" ht="28" x14ac:dyDescent="0.15">
      <c r="A6153" s="2">
        <f>HYPERLINK("https://open-school.uspishnemisto.com.ua/school/320342/", 320342)</f>
        <v>320342</v>
      </c>
      <c r="B6153" s="3" t="s">
        <v>32260</v>
      </c>
      <c r="C6153" s="3" t="s">
        <v>31</v>
      </c>
      <c r="D6153" s="3" t="s">
        <v>32</v>
      </c>
      <c r="E6153" s="4" t="s">
        <v>22</v>
      </c>
      <c r="F6153" s="4" t="s">
        <v>32261</v>
      </c>
      <c r="G6153" s="4" t="s">
        <v>32262</v>
      </c>
      <c r="H6153" s="3" t="s">
        <v>30534</v>
      </c>
      <c r="I6153" s="3" t="s">
        <v>12585</v>
      </c>
      <c r="J6153" s="3" t="s">
        <v>32263</v>
      </c>
      <c r="K6153" s="3" t="s">
        <v>32264</v>
      </c>
      <c r="L6153" s="3"/>
      <c r="M6153" s="4" t="s">
        <v>32265</v>
      </c>
      <c r="N6153" s="3" t="s">
        <v>37</v>
      </c>
      <c r="O6153" s="3" t="s">
        <v>52</v>
      </c>
      <c r="P6153" s="5">
        <v>18</v>
      </c>
      <c r="Q6153" s="5">
        <v>409</v>
      </c>
      <c r="R6153" s="5">
        <v>17</v>
      </c>
      <c r="S6153" s="5">
        <v>399</v>
      </c>
    </row>
    <row r="6154" spans="1:19" ht="28" x14ac:dyDescent="0.15">
      <c r="A6154" s="2">
        <f>HYPERLINK("https://open-school.uspishnemisto.com.ua/school/320343/", 320343)</f>
        <v>320343</v>
      </c>
      <c r="B6154" s="3" t="s">
        <v>32266</v>
      </c>
      <c r="C6154" s="3" t="s">
        <v>31</v>
      </c>
      <c r="D6154" s="3" t="s">
        <v>175</v>
      </c>
      <c r="E6154" s="4" t="s">
        <v>22</v>
      </c>
      <c r="F6154" s="4" t="s">
        <v>32267</v>
      </c>
      <c r="G6154" s="4" t="s">
        <v>32268</v>
      </c>
      <c r="H6154" s="3" t="s">
        <v>30534</v>
      </c>
      <c r="I6154" s="3" t="s">
        <v>32269</v>
      </c>
      <c r="J6154" s="3" t="s">
        <v>4118</v>
      </c>
      <c r="K6154" s="3" t="s">
        <v>32270</v>
      </c>
      <c r="L6154" s="3"/>
      <c r="M6154" s="4"/>
      <c r="N6154" s="3" t="s">
        <v>37</v>
      </c>
      <c r="O6154" s="3" t="s">
        <v>52</v>
      </c>
      <c r="P6154" s="5">
        <v>8</v>
      </c>
      <c r="Q6154" s="5">
        <v>71</v>
      </c>
      <c r="R6154" s="5">
        <v>8</v>
      </c>
      <c r="S6154" s="5">
        <v>65</v>
      </c>
    </row>
    <row r="6155" spans="1:19" ht="28" x14ac:dyDescent="0.15">
      <c r="A6155" s="2">
        <f>HYPERLINK("https://open-school.uspishnemisto.com.ua/school/320344/", 320344)</f>
        <v>320344</v>
      </c>
      <c r="B6155" s="3" t="s">
        <v>32271</v>
      </c>
      <c r="C6155" s="3" t="s">
        <v>31</v>
      </c>
      <c r="D6155" s="3" t="s">
        <v>32</v>
      </c>
      <c r="E6155" s="4" t="s">
        <v>22</v>
      </c>
      <c r="F6155" s="4" t="s">
        <v>32272</v>
      </c>
      <c r="G6155" s="4" t="s">
        <v>32273</v>
      </c>
      <c r="H6155" s="3" t="s">
        <v>30534</v>
      </c>
      <c r="I6155" s="3" t="s">
        <v>32274</v>
      </c>
      <c r="J6155" s="3" t="s">
        <v>32275</v>
      </c>
      <c r="K6155" s="3" t="s">
        <v>32276</v>
      </c>
      <c r="L6155" s="3" t="s">
        <v>32277</v>
      </c>
      <c r="M6155" s="4"/>
      <c r="N6155" s="3" t="s">
        <v>37</v>
      </c>
      <c r="O6155" s="3" t="s">
        <v>46</v>
      </c>
      <c r="P6155" s="5">
        <v>20</v>
      </c>
      <c r="Q6155" s="5">
        <v>408</v>
      </c>
      <c r="R6155" s="5">
        <v>20</v>
      </c>
      <c r="S6155" s="5">
        <v>404</v>
      </c>
    </row>
    <row r="6156" spans="1:19" ht="28" x14ac:dyDescent="0.15">
      <c r="A6156" s="2">
        <f>HYPERLINK("https://open-school.uspishnemisto.com.ua/school/320345/", 320345)</f>
        <v>320345</v>
      </c>
      <c r="B6156" s="3" t="s">
        <v>32278</v>
      </c>
      <c r="C6156" s="3" t="s">
        <v>31</v>
      </c>
      <c r="D6156" s="3" t="s">
        <v>32</v>
      </c>
      <c r="E6156" s="4" t="s">
        <v>22</v>
      </c>
      <c r="F6156" s="4" t="s">
        <v>32279</v>
      </c>
      <c r="G6156" s="4" t="s">
        <v>32280</v>
      </c>
      <c r="H6156" s="3" t="s">
        <v>30534</v>
      </c>
      <c r="I6156" s="3" t="s">
        <v>32281</v>
      </c>
      <c r="J6156" s="3" t="s">
        <v>32282</v>
      </c>
      <c r="K6156" s="3" t="s">
        <v>32283</v>
      </c>
      <c r="L6156" s="3"/>
      <c r="M6156" s="4"/>
      <c r="N6156" s="3" t="s">
        <v>37</v>
      </c>
      <c r="O6156" s="3" t="s">
        <v>52</v>
      </c>
      <c r="P6156" s="5">
        <v>17</v>
      </c>
      <c r="Q6156" s="5">
        <v>155</v>
      </c>
      <c r="R6156" s="5">
        <v>17</v>
      </c>
      <c r="S6156" s="5">
        <v>155</v>
      </c>
    </row>
    <row r="6157" spans="1:19" ht="28" x14ac:dyDescent="0.15">
      <c r="A6157" s="2">
        <f>HYPERLINK("https://open-school.uspishnemisto.com.ua/school/320346/", 320346)</f>
        <v>320346</v>
      </c>
      <c r="B6157" s="3" t="s">
        <v>32284</v>
      </c>
      <c r="C6157" s="3" t="s">
        <v>31</v>
      </c>
      <c r="D6157" s="3" t="s">
        <v>32</v>
      </c>
      <c r="E6157" s="4" t="s">
        <v>22</v>
      </c>
      <c r="F6157" s="4" t="s">
        <v>32285</v>
      </c>
      <c r="G6157" s="4" t="s">
        <v>32286</v>
      </c>
      <c r="H6157" s="3" t="s">
        <v>30534</v>
      </c>
      <c r="I6157" s="3" t="s">
        <v>32287</v>
      </c>
      <c r="J6157" s="3" t="s">
        <v>32288</v>
      </c>
      <c r="K6157" s="3" t="s">
        <v>32289</v>
      </c>
      <c r="L6157" s="3"/>
      <c r="M6157" s="4" t="s">
        <v>32290</v>
      </c>
      <c r="N6157" s="3" t="s">
        <v>37</v>
      </c>
      <c r="O6157" s="3" t="s">
        <v>38</v>
      </c>
      <c r="P6157" s="5">
        <v>27</v>
      </c>
      <c r="Q6157" s="5">
        <v>514</v>
      </c>
      <c r="R6157" s="5">
        <v>22</v>
      </c>
      <c r="S6157" s="5">
        <v>461</v>
      </c>
    </row>
    <row r="6158" spans="1:19" ht="42" x14ac:dyDescent="0.15">
      <c r="A6158" s="2">
        <f>HYPERLINK("https://open-school.uspishnemisto.com.ua/school/320347/", 320347)</f>
        <v>320347</v>
      </c>
      <c r="B6158" s="3" t="s">
        <v>32291</v>
      </c>
      <c r="C6158" s="3" t="s">
        <v>31</v>
      </c>
      <c r="D6158" s="3" t="s">
        <v>32</v>
      </c>
      <c r="E6158" s="4" t="s">
        <v>22</v>
      </c>
      <c r="F6158" s="4" t="s">
        <v>32292</v>
      </c>
      <c r="G6158" s="4" t="s">
        <v>32293</v>
      </c>
      <c r="H6158" s="3" t="s">
        <v>30534</v>
      </c>
      <c r="I6158" s="3" t="s">
        <v>32294</v>
      </c>
      <c r="J6158" s="3" t="s">
        <v>32295</v>
      </c>
      <c r="K6158" s="3"/>
      <c r="L6158" s="3"/>
      <c r="M6158" s="4"/>
      <c r="N6158" s="3" t="s">
        <v>37</v>
      </c>
      <c r="O6158" s="3" t="s">
        <v>38</v>
      </c>
      <c r="P6158" s="5">
        <v>11</v>
      </c>
      <c r="Q6158" s="5">
        <v>139</v>
      </c>
      <c r="R6158" s="5">
        <v>11</v>
      </c>
      <c r="S6158" s="5">
        <v>137</v>
      </c>
    </row>
    <row r="6159" spans="1:19" ht="28" x14ac:dyDescent="0.15">
      <c r="A6159" s="2">
        <f>HYPERLINK("https://open-school.uspishnemisto.com.ua/school/320348/", 320348)</f>
        <v>320348</v>
      </c>
      <c r="B6159" s="3" t="s">
        <v>32296</v>
      </c>
      <c r="C6159" s="3" t="s">
        <v>31</v>
      </c>
      <c r="D6159" s="3" t="s">
        <v>32</v>
      </c>
      <c r="E6159" s="4" t="s">
        <v>22</v>
      </c>
      <c r="F6159" s="4" t="s">
        <v>32297</v>
      </c>
      <c r="G6159" s="4" t="s">
        <v>32298</v>
      </c>
      <c r="H6159" s="3" t="s">
        <v>30534</v>
      </c>
      <c r="I6159" s="3" t="s">
        <v>32299</v>
      </c>
      <c r="J6159" s="3" t="s">
        <v>32300</v>
      </c>
      <c r="K6159" s="3" t="s">
        <v>32301</v>
      </c>
      <c r="L6159" s="3" t="s">
        <v>32302</v>
      </c>
      <c r="M6159" s="4"/>
      <c r="N6159" s="3" t="s">
        <v>37</v>
      </c>
      <c r="O6159" s="3" t="s">
        <v>52</v>
      </c>
      <c r="P6159" s="5">
        <v>10</v>
      </c>
      <c r="Q6159" s="5">
        <v>119</v>
      </c>
      <c r="R6159" s="5">
        <v>9</v>
      </c>
      <c r="S6159" s="5">
        <v>120</v>
      </c>
    </row>
    <row r="6160" spans="1:19" ht="28" x14ac:dyDescent="0.15">
      <c r="A6160" s="2">
        <f>HYPERLINK("https://open-school.uspishnemisto.com.ua/school/320349/", 320349)</f>
        <v>320349</v>
      </c>
      <c r="B6160" s="3" t="s">
        <v>32303</v>
      </c>
      <c r="C6160" s="3" t="s">
        <v>31</v>
      </c>
      <c r="D6160" s="3" t="s">
        <v>32</v>
      </c>
      <c r="E6160" s="4" t="s">
        <v>22</v>
      </c>
      <c r="F6160" s="4" t="s">
        <v>32304</v>
      </c>
      <c r="G6160" s="4" t="s">
        <v>32305</v>
      </c>
      <c r="H6160" s="3" t="s">
        <v>30534</v>
      </c>
      <c r="I6160" s="3" t="s">
        <v>32306</v>
      </c>
      <c r="J6160" s="3" t="s">
        <v>32307</v>
      </c>
      <c r="K6160" s="3" t="s">
        <v>32308</v>
      </c>
      <c r="L6160" s="3" t="s">
        <v>32309</v>
      </c>
      <c r="M6160" s="4"/>
      <c r="N6160" s="3" t="s">
        <v>37</v>
      </c>
      <c r="O6160" s="3" t="s">
        <v>52</v>
      </c>
      <c r="P6160" s="5">
        <v>11</v>
      </c>
      <c r="Q6160" s="5">
        <v>222</v>
      </c>
      <c r="R6160" s="5">
        <v>12</v>
      </c>
      <c r="S6160" s="5">
        <v>221</v>
      </c>
    </row>
    <row r="6161" spans="1:19" ht="28" x14ac:dyDescent="0.15">
      <c r="A6161" s="2">
        <f>HYPERLINK("https://open-school.uspishnemisto.com.ua/school/320350/", 320350)</f>
        <v>320350</v>
      </c>
      <c r="B6161" s="3" t="s">
        <v>32310</v>
      </c>
      <c r="C6161" s="3" t="s">
        <v>31</v>
      </c>
      <c r="D6161" s="3" t="s">
        <v>32</v>
      </c>
      <c r="E6161" s="4" t="s">
        <v>22</v>
      </c>
      <c r="F6161" s="4"/>
      <c r="G6161" s="4" t="s">
        <v>32311</v>
      </c>
      <c r="H6161" s="3" t="s">
        <v>30534</v>
      </c>
      <c r="I6161" s="3" t="s">
        <v>11256</v>
      </c>
      <c r="J6161" s="3" t="s">
        <v>2955</v>
      </c>
      <c r="K6161" s="3" t="s">
        <v>32312</v>
      </c>
      <c r="L6161" s="3"/>
      <c r="M6161" s="4"/>
      <c r="N6161" s="3" t="s">
        <v>37</v>
      </c>
      <c r="O6161" s="3" t="s">
        <v>52</v>
      </c>
      <c r="P6161" s="5">
        <v>5</v>
      </c>
      <c r="Q6161" s="5">
        <v>38</v>
      </c>
      <c r="R6161" s="5">
        <v>5</v>
      </c>
      <c r="S6161" s="5">
        <v>46</v>
      </c>
    </row>
    <row r="6162" spans="1:19" ht="28" x14ac:dyDescent="0.15">
      <c r="A6162" s="2">
        <f>HYPERLINK("https://open-school.uspishnemisto.com.ua/school/320351/", 320351)</f>
        <v>320351</v>
      </c>
      <c r="B6162" s="3" t="s">
        <v>32313</v>
      </c>
      <c r="C6162" s="3" t="s">
        <v>31</v>
      </c>
      <c r="D6162" s="3" t="s">
        <v>32</v>
      </c>
      <c r="E6162" s="4" t="s">
        <v>22</v>
      </c>
      <c r="F6162" s="4" t="s">
        <v>32314</v>
      </c>
      <c r="G6162" s="4" t="s">
        <v>32315</v>
      </c>
      <c r="H6162" s="3" t="s">
        <v>30534</v>
      </c>
      <c r="I6162" s="3" t="s">
        <v>32316</v>
      </c>
      <c r="J6162" s="3" t="s">
        <v>32317</v>
      </c>
      <c r="K6162" s="3"/>
      <c r="L6162" s="3" t="s">
        <v>32318</v>
      </c>
      <c r="M6162" s="4"/>
      <c r="N6162" s="3" t="s">
        <v>37</v>
      </c>
      <c r="O6162" s="3" t="s">
        <v>38</v>
      </c>
      <c r="P6162" s="5">
        <v>18</v>
      </c>
      <c r="Q6162" s="5">
        <v>401</v>
      </c>
      <c r="R6162" s="5">
        <v>17</v>
      </c>
      <c r="S6162" s="5">
        <v>370</v>
      </c>
    </row>
    <row r="6163" spans="1:19" ht="28" x14ac:dyDescent="0.15">
      <c r="A6163" s="2">
        <f>HYPERLINK("https://open-school.uspishnemisto.com.ua/school/320352/", 320352)</f>
        <v>320352</v>
      </c>
      <c r="B6163" s="3" t="s">
        <v>32319</v>
      </c>
      <c r="C6163" s="3" t="s">
        <v>31</v>
      </c>
      <c r="D6163" s="3" t="s">
        <v>32</v>
      </c>
      <c r="E6163" s="4" t="s">
        <v>22</v>
      </c>
      <c r="F6163" s="4" t="s">
        <v>32320</v>
      </c>
      <c r="G6163" s="4" t="s">
        <v>32321</v>
      </c>
      <c r="H6163" s="3" t="s">
        <v>30534</v>
      </c>
      <c r="I6163" s="3" t="s">
        <v>32322</v>
      </c>
      <c r="J6163" s="3" t="s">
        <v>7474</v>
      </c>
      <c r="K6163" s="3" t="s">
        <v>32323</v>
      </c>
      <c r="L6163" s="3" t="s">
        <v>32324</v>
      </c>
      <c r="M6163" s="4"/>
      <c r="N6163" s="3" t="s">
        <v>37</v>
      </c>
      <c r="O6163" s="3" t="s">
        <v>52</v>
      </c>
      <c r="P6163" s="5">
        <v>11</v>
      </c>
      <c r="Q6163" s="5">
        <v>155</v>
      </c>
      <c r="R6163" s="5">
        <v>10</v>
      </c>
      <c r="S6163" s="5">
        <v>147</v>
      </c>
    </row>
    <row r="6164" spans="1:19" ht="28" x14ac:dyDescent="0.15">
      <c r="A6164" s="2">
        <f>HYPERLINK("https://open-school.uspishnemisto.com.ua/school/320353/", 320353)</f>
        <v>320353</v>
      </c>
      <c r="B6164" s="3" t="s">
        <v>32325</v>
      </c>
      <c r="C6164" s="3" t="s">
        <v>31</v>
      </c>
      <c r="D6164" s="3" t="s">
        <v>175</v>
      </c>
      <c r="E6164" s="4" t="s">
        <v>22</v>
      </c>
      <c r="F6164" s="4" t="s">
        <v>32326</v>
      </c>
      <c r="G6164" s="4" t="s">
        <v>32327</v>
      </c>
      <c r="H6164" s="3" t="s">
        <v>30534</v>
      </c>
      <c r="I6164" s="3" t="s">
        <v>32328</v>
      </c>
      <c r="J6164" s="3" t="s">
        <v>32329</v>
      </c>
      <c r="K6164" s="3" t="s">
        <v>32330</v>
      </c>
      <c r="L6164" s="3"/>
      <c r="M6164" s="4"/>
      <c r="N6164" s="3" t="s">
        <v>37</v>
      </c>
      <c r="O6164" s="3" t="s">
        <v>38</v>
      </c>
      <c r="P6164" s="5">
        <v>9</v>
      </c>
      <c r="Q6164" s="5">
        <v>218</v>
      </c>
      <c r="R6164" s="5">
        <v>9</v>
      </c>
      <c r="S6164" s="5">
        <v>208</v>
      </c>
    </row>
    <row r="6165" spans="1:19" ht="28" x14ac:dyDescent="0.15">
      <c r="A6165" s="2">
        <f>HYPERLINK("https://open-school.uspishnemisto.com.ua/school/320354/", 320354)</f>
        <v>320354</v>
      </c>
      <c r="B6165" s="3" t="s">
        <v>32331</v>
      </c>
      <c r="C6165" s="3" t="s">
        <v>31</v>
      </c>
      <c r="D6165" s="3" t="s">
        <v>175</v>
      </c>
      <c r="E6165" s="4" t="s">
        <v>22</v>
      </c>
      <c r="F6165" s="4" t="s">
        <v>32326</v>
      </c>
      <c r="G6165" s="4" t="s">
        <v>32327</v>
      </c>
      <c r="H6165" s="3" t="s">
        <v>30534</v>
      </c>
      <c r="I6165" s="3" t="s">
        <v>32328</v>
      </c>
      <c r="J6165" s="3" t="s">
        <v>32332</v>
      </c>
      <c r="K6165" s="3" t="s">
        <v>32333</v>
      </c>
      <c r="L6165" s="3"/>
      <c r="M6165" s="4"/>
      <c r="N6165" s="3" t="s">
        <v>37</v>
      </c>
      <c r="O6165" s="3" t="s">
        <v>38</v>
      </c>
      <c r="P6165" s="5">
        <v>9</v>
      </c>
      <c r="Q6165" s="5">
        <v>208</v>
      </c>
      <c r="R6165" s="5">
        <v>9</v>
      </c>
      <c r="S6165" s="5">
        <v>198</v>
      </c>
    </row>
    <row r="6166" spans="1:19" ht="28" x14ac:dyDescent="0.15">
      <c r="A6166" s="2">
        <f>HYPERLINK("https://open-school.uspishnemisto.com.ua/school/320355/", 320355)</f>
        <v>320355</v>
      </c>
      <c r="B6166" s="3" t="s">
        <v>32334</v>
      </c>
      <c r="C6166" s="3" t="s">
        <v>31</v>
      </c>
      <c r="D6166" s="3" t="s">
        <v>32</v>
      </c>
      <c r="E6166" s="4" t="s">
        <v>22</v>
      </c>
      <c r="F6166" s="4" t="s">
        <v>32326</v>
      </c>
      <c r="G6166" s="4" t="s">
        <v>32327</v>
      </c>
      <c r="H6166" s="3" t="s">
        <v>30534</v>
      </c>
      <c r="I6166" s="3" t="s">
        <v>32328</v>
      </c>
      <c r="J6166" s="3" t="s">
        <v>27245</v>
      </c>
      <c r="K6166" s="3" t="s">
        <v>32335</v>
      </c>
      <c r="L6166" s="3"/>
      <c r="M6166" s="4" t="s">
        <v>32336</v>
      </c>
      <c r="N6166" s="3" t="s">
        <v>37</v>
      </c>
      <c r="O6166" s="3" t="s">
        <v>38</v>
      </c>
      <c r="P6166" s="5">
        <v>16</v>
      </c>
      <c r="Q6166" s="5">
        <v>359</v>
      </c>
      <c r="R6166" s="5">
        <v>15</v>
      </c>
      <c r="S6166" s="5">
        <v>311</v>
      </c>
    </row>
    <row r="6167" spans="1:19" ht="28" x14ac:dyDescent="0.15">
      <c r="A6167" s="2">
        <f>HYPERLINK("https://open-school.uspishnemisto.com.ua/school/320356/", 320356)</f>
        <v>320356</v>
      </c>
      <c r="B6167" s="3" t="s">
        <v>32337</v>
      </c>
      <c r="C6167" s="3" t="s">
        <v>31</v>
      </c>
      <c r="D6167" s="3" t="s">
        <v>175</v>
      </c>
      <c r="E6167" s="4" t="s">
        <v>22</v>
      </c>
      <c r="F6167" s="4" t="s">
        <v>32338</v>
      </c>
      <c r="G6167" s="4" t="s">
        <v>32339</v>
      </c>
      <c r="H6167" s="3" t="s">
        <v>30534</v>
      </c>
      <c r="I6167" s="3" t="s">
        <v>5383</v>
      </c>
      <c r="J6167" s="3" t="s">
        <v>32340</v>
      </c>
      <c r="K6167" s="3" t="s">
        <v>32341</v>
      </c>
      <c r="L6167" s="3"/>
      <c r="M6167" s="4"/>
      <c r="N6167" s="3" t="s">
        <v>37</v>
      </c>
      <c r="O6167" s="3" t="s">
        <v>52</v>
      </c>
      <c r="P6167" s="5">
        <v>8</v>
      </c>
      <c r="Q6167" s="5">
        <v>83</v>
      </c>
      <c r="R6167" s="5">
        <v>8</v>
      </c>
      <c r="S6167" s="5">
        <v>80</v>
      </c>
    </row>
    <row r="6168" spans="1:19" ht="28" x14ac:dyDescent="0.15">
      <c r="A6168" s="2">
        <f>HYPERLINK("https://open-school.uspishnemisto.com.ua/school/320357/", 320357)</f>
        <v>320357</v>
      </c>
      <c r="B6168" s="3" t="s">
        <v>32342</v>
      </c>
      <c r="C6168" s="3" t="s">
        <v>31</v>
      </c>
      <c r="D6168" s="3" t="s">
        <v>32</v>
      </c>
      <c r="E6168" s="4" t="s">
        <v>22</v>
      </c>
      <c r="F6168" s="4" t="s">
        <v>32343</v>
      </c>
      <c r="G6168" s="4" t="s">
        <v>32344</v>
      </c>
      <c r="H6168" s="3" t="s">
        <v>30534</v>
      </c>
      <c r="I6168" s="3" t="s">
        <v>32345</v>
      </c>
      <c r="J6168" s="3" t="s">
        <v>32346</v>
      </c>
      <c r="K6168" s="3" t="s">
        <v>32347</v>
      </c>
      <c r="L6168" s="3"/>
      <c r="M6168" s="4"/>
      <c r="N6168" s="3" t="s">
        <v>37</v>
      </c>
      <c r="O6168" s="3" t="s">
        <v>52</v>
      </c>
      <c r="P6168" s="5">
        <v>11</v>
      </c>
      <c r="Q6168" s="5">
        <v>102</v>
      </c>
      <c r="R6168" s="5">
        <v>10</v>
      </c>
      <c r="S6168" s="5">
        <v>103</v>
      </c>
    </row>
    <row r="6169" spans="1:19" ht="28" x14ac:dyDescent="0.15">
      <c r="A6169" s="2">
        <f>HYPERLINK("https://open-school.uspishnemisto.com.ua/school/320358/", 320358)</f>
        <v>320358</v>
      </c>
      <c r="B6169" s="3" t="s">
        <v>32348</v>
      </c>
      <c r="C6169" s="3" t="s">
        <v>31</v>
      </c>
      <c r="D6169" s="3" t="s">
        <v>175</v>
      </c>
      <c r="E6169" s="4" t="s">
        <v>22</v>
      </c>
      <c r="F6169" s="4" t="s">
        <v>32349</v>
      </c>
      <c r="G6169" s="4" t="s">
        <v>32350</v>
      </c>
      <c r="H6169" s="3" t="s">
        <v>30534</v>
      </c>
      <c r="I6169" s="3" t="s">
        <v>32351</v>
      </c>
      <c r="J6169" s="3" t="s">
        <v>2757</v>
      </c>
      <c r="K6169" s="3" t="s">
        <v>32352</v>
      </c>
      <c r="L6169" s="3"/>
      <c r="M6169" s="4"/>
      <c r="N6169" s="3" t="s">
        <v>37</v>
      </c>
      <c r="O6169" s="3" t="s">
        <v>52</v>
      </c>
      <c r="P6169" s="5">
        <v>4</v>
      </c>
      <c r="Q6169" s="5">
        <v>33</v>
      </c>
      <c r="R6169" s="5">
        <v>5</v>
      </c>
      <c r="S6169" s="5">
        <v>38</v>
      </c>
    </row>
    <row r="6170" spans="1:19" ht="28" x14ac:dyDescent="0.15">
      <c r="A6170" s="2">
        <f>HYPERLINK("https://open-school.uspishnemisto.com.ua/school/320360/", 320360)</f>
        <v>320360</v>
      </c>
      <c r="B6170" s="3" t="s">
        <v>32353</v>
      </c>
      <c r="C6170" s="3" t="s">
        <v>31</v>
      </c>
      <c r="D6170" s="3" t="s">
        <v>175</v>
      </c>
      <c r="E6170" s="4" t="s">
        <v>22</v>
      </c>
      <c r="F6170" s="4" t="s">
        <v>32354</v>
      </c>
      <c r="G6170" s="4" t="s">
        <v>32355</v>
      </c>
      <c r="H6170" s="3" t="s">
        <v>30534</v>
      </c>
      <c r="I6170" s="3" t="s">
        <v>32356</v>
      </c>
      <c r="J6170" s="3" t="s">
        <v>32357</v>
      </c>
      <c r="K6170" s="3" t="s">
        <v>32358</v>
      </c>
      <c r="L6170" s="3" t="s">
        <v>32359</v>
      </c>
      <c r="M6170" s="4"/>
      <c r="N6170" s="3" t="s">
        <v>37</v>
      </c>
      <c r="O6170" s="3" t="s">
        <v>46</v>
      </c>
      <c r="P6170" s="5">
        <v>10</v>
      </c>
      <c r="Q6170" s="5">
        <v>163</v>
      </c>
      <c r="R6170" s="5">
        <v>10</v>
      </c>
      <c r="S6170" s="5">
        <v>154</v>
      </c>
    </row>
    <row r="6171" spans="1:19" ht="28" x14ac:dyDescent="0.15">
      <c r="A6171" s="2">
        <f>HYPERLINK("https://open-school.uspishnemisto.com.ua/school/320361/", 320361)</f>
        <v>320361</v>
      </c>
      <c r="B6171" s="3" t="s">
        <v>32360</v>
      </c>
      <c r="C6171" s="3" t="s">
        <v>31</v>
      </c>
      <c r="D6171" s="3" t="s">
        <v>32</v>
      </c>
      <c r="E6171" s="4" t="s">
        <v>22</v>
      </c>
      <c r="F6171" s="4" t="s">
        <v>32361</v>
      </c>
      <c r="G6171" s="4" t="s">
        <v>32362</v>
      </c>
      <c r="H6171" s="3" t="s">
        <v>30534</v>
      </c>
      <c r="I6171" s="3" t="s">
        <v>32363</v>
      </c>
      <c r="J6171" s="3" t="s">
        <v>32364</v>
      </c>
      <c r="K6171" s="3" t="s">
        <v>32365</v>
      </c>
      <c r="L6171" s="3"/>
      <c r="M6171" s="4" t="s">
        <v>32366</v>
      </c>
      <c r="N6171" s="3" t="s">
        <v>37</v>
      </c>
      <c r="O6171" s="3" t="s">
        <v>38</v>
      </c>
      <c r="P6171" s="5">
        <v>21</v>
      </c>
      <c r="Q6171" s="5">
        <v>443</v>
      </c>
      <c r="R6171" s="5">
        <v>21</v>
      </c>
      <c r="S6171" s="5">
        <v>445</v>
      </c>
    </row>
    <row r="6172" spans="1:19" ht="28" x14ac:dyDescent="0.15">
      <c r="A6172" s="2">
        <f>HYPERLINK("https://open-school.uspishnemisto.com.ua/school/320362/", 320362)</f>
        <v>320362</v>
      </c>
      <c r="B6172" s="3" t="s">
        <v>32367</v>
      </c>
      <c r="C6172" s="3" t="s">
        <v>31</v>
      </c>
      <c r="D6172" s="3" t="s">
        <v>175</v>
      </c>
      <c r="E6172" s="4" t="s">
        <v>22</v>
      </c>
      <c r="F6172" s="4" t="s">
        <v>32368</v>
      </c>
      <c r="G6172" s="4" t="s">
        <v>32369</v>
      </c>
      <c r="H6172" s="3" t="s">
        <v>30534</v>
      </c>
      <c r="I6172" s="3" t="s">
        <v>32370</v>
      </c>
      <c r="J6172" s="3" t="s">
        <v>32371</v>
      </c>
      <c r="K6172" s="3" t="s">
        <v>32372</v>
      </c>
      <c r="L6172" s="3"/>
      <c r="M6172" s="4"/>
      <c r="N6172" s="3" t="s">
        <v>37</v>
      </c>
      <c r="O6172" s="3" t="s">
        <v>38</v>
      </c>
      <c r="P6172" s="5">
        <v>7</v>
      </c>
      <c r="Q6172" s="5">
        <v>69</v>
      </c>
      <c r="R6172" s="5">
        <v>7</v>
      </c>
      <c r="S6172" s="5">
        <v>64</v>
      </c>
    </row>
    <row r="6173" spans="1:19" ht="28" x14ac:dyDescent="0.15">
      <c r="A6173" s="2">
        <f>HYPERLINK("https://open-school.uspishnemisto.com.ua/school/320363/", 320363)</f>
        <v>320363</v>
      </c>
      <c r="B6173" s="3" t="s">
        <v>32373</v>
      </c>
      <c r="C6173" s="3" t="s">
        <v>31</v>
      </c>
      <c r="D6173" s="3" t="s">
        <v>32</v>
      </c>
      <c r="E6173" s="4" t="s">
        <v>22</v>
      </c>
      <c r="F6173" s="4" t="s">
        <v>32374</v>
      </c>
      <c r="G6173" s="4" t="s">
        <v>32375</v>
      </c>
      <c r="H6173" s="3" t="s">
        <v>30534</v>
      </c>
      <c r="I6173" s="3" t="s">
        <v>32376</v>
      </c>
      <c r="J6173" s="3" t="s">
        <v>32377</v>
      </c>
      <c r="K6173" s="3" t="s">
        <v>32378</v>
      </c>
      <c r="L6173" s="3"/>
      <c r="M6173" s="4"/>
      <c r="N6173" s="3" t="s">
        <v>37</v>
      </c>
      <c r="O6173" s="3" t="s">
        <v>38</v>
      </c>
      <c r="P6173" s="5">
        <v>9</v>
      </c>
      <c r="Q6173" s="5">
        <v>80</v>
      </c>
      <c r="R6173" s="5">
        <v>9</v>
      </c>
      <c r="S6173" s="5">
        <v>77</v>
      </c>
    </row>
    <row r="6174" spans="1:19" ht="28" x14ac:dyDescent="0.15">
      <c r="A6174" s="2">
        <f>HYPERLINK("https://open-school.uspishnemisto.com.ua/school/320364/", 320364)</f>
        <v>320364</v>
      </c>
      <c r="B6174" s="3" t="s">
        <v>32379</v>
      </c>
      <c r="C6174" s="3" t="s">
        <v>31</v>
      </c>
      <c r="D6174" s="3" t="s">
        <v>32</v>
      </c>
      <c r="E6174" s="4" t="s">
        <v>22</v>
      </c>
      <c r="F6174" s="4" t="s">
        <v>32380</v>
      </c>
      <c r="G6174" s="4" t="s">
        <v>32381</v>
      </c>
      <c r="H6174" s="3" t="s">
        <v>30534</v>
      </c>
      <c r="I6174" s="3" t="s">
        <v>32382</v>
      </c>
      <c r="J6174" s="3" t="s">
        <v>1712</v>
      </c>
      <c r="K6174" s="3" t="s">
        <v>32383</v>
      </c>
      <c r="L6174" s="3"/>
      <c r="M6174" s="4"/>
      <c r="N6174" s="3" t="s">
        <v>37</v>
      </c>
      <c r="O6174" s="3" t="s">
        <v>2740</v>
      </c>
      <c r="P6174" s="5">
        <v>20</v>
      </c>
      <c r="Q6174" s="5">
        <v>470</v>
      </c>
      <c r="R6174" s="5">
        <v>21</v>
      </c>
      <c r="S6174" s="5">
        <v>497</v>
      </c>
    </row>
    <row r="6175" spans="1:19" ht="42" x14ac:dyDescent="0.15">
      <c r="A6175" s="2">
        <f>HYPERLINK("https://open-school.uspishnemisto.com.ua/school/320365/", 320365)</f>
        <v>320365</v>
      </c>
      <c r="B6175" s="3" t="s">
        <v>32384</v>
      </c>
      <c r="C6175" s="3" t="s">
        <v>54</v>
      </c>
      <c r="D6175" s="3" t="s">
        <v>32</v>
      </c>
      <c r="E6175" s="4" t="s">
        <v>22</v>
      </c>
      <c r="F6175" s="4" t="s">
        <v>32380</v>
      </c>
      <c r="G6175" s="4" t="s">
        <v>32381</v>
      </c>
      <c r="H6175" s="3" t="s">
        <v>30534</v>
      </c>
      <c r="I6175" s="3" t="s">
        <v>32382</v>
      </c>
      <c r="J6175" s="3" t="s">
        <v>32385</v>
      </c>
      <c r="K6175" s="3" t="s">
        <v>32386</v>
      </c>
      <c r="L6175" s="3" t="s">
        <v>32387</v>
      </c>
      <c r="M6175" s="4"/>
      <c r="N6175" s="3" t="s">
        <v>37</v>
      </c>
      <c r="O6175" s="3" t="s">
        <v>46</v>
      </c>
      <c r="P6175" s="5">
        <v>11</v>
      </c>
      <c r="Q6175" s="5">
        <v>229</v>
      </c>
      <c r="R6175" s="5">
        <v>11</v>
      </c>
      <c r="S6175" s="5">
        <v>221</v>
      </c>
    </row>
    <row r="6176" spans="1:19" ht="42" x14ac:dyDescent="0.15">
      <c r="A6176" s="2">
        <f>HYPERLINK("https://open-school.uspishnemisto.com.ua/school/320366/", 320366)</f>
        <v>320366</v>
      </c>
      <c r="B6176" s="3" t="s">
        <v>32388</v>
      </c>
      <c r="C6176" s="3" t="s">
        <v>54</v>
      </c>
      <c r="D6176" s="3" t="s">
        <v>32</v>
      </c>
      <c r="E6176" s="4" t="s">
        <v>22</v>
      </c>
      <c r="F6176" s="4" t="s">
        <v>32389</v>
      </c>
      <c r="G6176" s="4" t="s">
        <v>32390</v>
      </c>
      <c r="H6176" s="3" t="s">
        <v>30534</v>
      </c>
      <c r="I6176" s="3" t="s">
        <v>32391</v>
      </c>
      <c r="J6176" s="3" t="s">
        <v>2052</v>
      </c>
      <c r="K6176" s="3" t="s">
        <v>32392</v>
      </c>
      <c r="L6176" s="3" t="s">
        <v>32393</v>
      </c>
      <c r="M6176" s="4"/>
      <c r="N6176" s="3" t="s">
        <v>37</v>
      </c>
      <c r="O6176" s="3" t="s">
        <v>52</v>
      </c>
      <c r="P6176" s="5">
        <v>10</v>
      </c>
      <c r="Q6176" s="5">
        <v>59</v>
      </c>
      <c r="R6176" s="5">
        <v>10</v>
      </c>
      <c r="S6176" s="5">
        <v>61</v>
      </c>
    </row>
    <row r="6177" spans="1:19" ht="28" x14ac:dyDescent="0.15">
      <c r="A6177" s="2">
        <f>HYPERLINK("https://open-school.uspishnemisto.com.ua/school/320367/", 320367)</f>
        <v>320367</v>
      </c>
      <c r="B6177" s="3" t="s">
        <v>32394</v>
      </c>
      <c r="C6177" s="3" t="s">
        <v>31</v>
      </c>
      <c r="D6177" s="3" t="s">
        <v>175</v>
      </c>
      <c r="E6177" s="4" t="s">
        <v>22</v>
      </c>
      <c r="F6177" s="4" t="s">
        <v>32395</v>
      </c>
      <c r="G6177" s="4" t="s">
        <v>32396</v>
      </c>
      <c r="H6177" s="3" t="s">
        <v>30534</v>
      </c>
      <c r="I6177" s="3" t="s">
        <v>32397</v>
      </c>
      <c r="J6177" s="3" t="s">
        <v>32398</v>
      </c>
      <c r="K6177" s="3" t="s">
        <v>32399</v>
      </c>
      <c r="L6177" s="3" t="s">
        <v>32400</v>
      </c>
      <c r="M6177" s="4"/>
      <c r="N6177" s="3" t="s">
        <v>37</v>
      </c>
      <c r="O6177" s="3" t="s">
        <v>46</v>
      </c>
      <c r="P6177" s="5">
        <v>6</v>
      </c>
      <c r="Q6177" s="5">
        <v>28</v>
      </c>
      <c r="R6177" s="5">
        <v>7</v>
      </c>
      <c r="S6177" s="5">
        <v>32</v>
      </c>
    </row>
    <row r="6178" spans="1:19" ht="42" x14ac:dyDescent="0.15">
      <c r="A6178" s="2">
        <f>HYPERLINK("https://open-school.uspishnemisto.com.ua/school/320368/", 320368)</f>
        <v>320368</v>
      </c>
      <c r="B6178" s="3" t="s">
        <v>32401</v>
      </c>
      <c r="C6178" s="3" t="s">
        <v>54</v>
      </c>
      <c r="D6178" s="3" t="s">
        <v>175</v>
      </c>
      <c r="E6178" s="4" t="s">
        <v>22</v>
      </c>
      <c r="F6178" s="4" t="s">
        <v>32402</v>
      </c>
      <c r="G6178" s="4" t="s">
        <v>32403</v>
      </c>
      <c r="H6178" s="3" t="s">
        <v>30534</v>
      </c>
      <c r="I6178" s="3" t="s">
        <v>32404</v>
      </c>
      <c r="J6178" s="3" t="s">
        <v>634</v>
      </c>
      <c r="K6178" s="3" t="s">
        <v>32405</v>
      </c>
      <c r="L6178" s="3" t="s">
        <v>32406</v>
      </c>
      <c r="M6178" s="4"/>
      <c r="N6178" s="3" t="s">
        <v>37</v>
      </c>
      <c r="O6178" s="3" t="s">
        <v>46</v>
      </c>
      <c r="P6178" s="5">
        <v>8</v>
      </c>
      <c r="Q6178" s="5">
        <v>67</v>
      </c>
      <c r="R6178" s="5">
        <v>7</v>
      </c>
      <c r="S6178" s="5">
        <v>59</v>
      </c>
    </row>
    <row r="6179" spans="1:19" ht="42" x14ac:dyDescent="0.15">
      <c r="A6179" s="2">
        <f>HYPERLINK("https://open-school.uspishnemisto.com.ua/school/320369/", 320369)</f>
        <v>320369</v>
      </c>
      <c r="B6179" s="3" t="s">
        <v>32407</v>
      </c>
      <c r="C6179" s="3" t="s">
        <v>54</v>
      </c>
      <c r="D6179" s="3" t="s">
        <v>32</v>
      </c>
      <c r="E6179" s="4" t="s">
        <v>22</v>
      </c>
      <c r="F6179" s="4" t="s">
        <v>32408</v>
      </c>
      <c r="G6179" s="4" t="s">
        <v>32409</v>
      </c>
      <c r="H6179" s="3" t="s">
        <v>30534</v>
      </c>
      <c r="I6179" s="3" t="s">
        <v>32410</v>
      </c>
      <c r="J6179" s="3" t="s">
        <v>32411</v>
      </c>
      <c r="K6179" s="3" t="s">
        <v>32412</v>
      </c>
      <c r="L6179" s="3" t="s">
        <v>32413</v>
      </c>
      <c r="M6179" s="4"/>
      <c r="N6179" s="3" t="s">
        <v>37</v>
      </c>
      <c r="O6179" s="3" t="s">
        <v>46</v>
      </c>
      <c r="P6179" s="5">
        <v>11</v>
      </c>
      <c r="Q6179" s="5">
        <v>93</v>
      </c>
      <c r="R6179" s="5">
        <v>11</v>
      </c>
      <c r="S6179" s="5">
        <v>90</v>
      </c>
    </row>
    <row r="6180" spans="1:19" ht="42" x14ac:dyDescent="0.15">
      <c r="A6180" s="2">
        <f>HYPERLINK("https://open-school.uspishnemisto.com.ua/school/320370/", 320370)</f>
        <v>320370</v>
      </c>
      <c r="B6180" s="3" t="s">
        <v>32414</v>
      </c>
      <c r="C6180" s="3" t="s">
        <v>54</v>
      </c>
      <c r="D6180" s="3" t="s">
        <v>60</v>
      </c>
      <c r="E6180" s="4" t="s">
        <v>22</v>
      </c>
      <c r="F6180" s="4"/>
      <c r="G6180" s="4" t="s">
        <v>32415</v>
      </c>
      <c r="H6180" s="3" t="s">
        <v>30534</v>
      </c>
      <c r="I6180" s="3" t="s">
        <v>32416</v>
      </c>
      <c r="J6180" s="3" t="s">
        <v>21711</v>
      </c>
      <c r="K6180" s="3" t="s">
        <v>32417</v>
      </c>
      <c r="L6180" s="3" t="s">
        <v>32418</v>
      </c>
      <c r="M6180" s="4"/>
      <c r="N6180" s="3" t="s">
        <v>37</v>
      </c>
      <c r="O6180" s="3" t="s">
        <v>52</v>
      </c>
      <c r="P6180" s="5">
        <v>4</v>
      </c>
      <c r="Q6180" s="5">
        <v>10</v>
      </c>
      <c r="R6180" s="5">
        <v>4</v>
      </c>
      <c r="S6180" s="5">
        <v>10</v>
      </c>
    </row>
    <row r="6181" spans="1:19" ht="42" x14ac:dyDescent="0.15">
      <c r="A6181" s="2">
        <f>HYPERLINK("https://open-school.uspishnemisto.com.ua/school/320371/", 320371)</f>
        <v>320371</v>
      </c>
      <c r="B6181" s="3" t="s">
        <v>32419</v>
      </c>
      <c r="C6181" s="3" t="s">
        <v>54</v>
      </c>
      <c r="D6181" s="3" t="s">
        <v>32</v>
      </c>
      <c r="E6181" s="4" t="s">
        <v>22</v>
      </c>
      <c r="F6181" s="4" t="s">
        <v>32420</v>
      </c>
      <c r="G6181" s="4" t="s">
        <v>32421</v>
      </c>
      <c r="H6181" s="3" t="s">
        <v>30534</v>
      </c>
      <c r="I6181" s="3" t="s">
        <v>32422</v>
      </c>
      <c r="J6181" s="3" t="s">
        <v>14952</v>
      </c>
      <c r="K6181" s="3" t="s">
        <v>32423</v>
      </c>
      <c r="L6181" s="3" t="s">
        <v>32424</v>
      </c>
      <c r="M6181" s="4"/>
      <c r="N6181" s="3" t="s">
        <v>37</v>
      </c>
      <c r="O6181" s="3" t="s">
        <v>46</v>
      </c>
      <c r="P6181" s="5">
        <v>11</v>
      </c>
      <c r="Q6181" s="5">
        <v>97</v>
      </c>
      <c r="R6181" s="5">
        <v>11</v>
      </c>
      <c r="S6181" s="5">
        <v>103</v>
      </c>
    </row>
    <row r="6182" spans="1:19" ht="42" x14ac:dyDescent="0.15">
      <c r="A6182" s="2">
        <f>HYPERLINK("https://open-school.uspishnemisto.com.ua/school/320372/", 320372)</f>
        <v>320372</v>
      </c>
      <c r="B6182" s="3" t="s">
        <v>32425</v>
      </c>
      <c r="C6182" s="3" t="s">
        <v>54</v>
      </c>
      <c r="D6182" s="3" t="s">
        <v>175</v>
      </c>
      <c r="E6182" s="4" t="s">
        <v>22</v>
      </c>
      <c r="F6182" s="4" t="s">
        <v>32426</v>
      </c>
      <c r="G6182" s="4" t="s">
        <v>32427</v>
      </c>
      <c r="H6182" s="3" t="s">
        <v>30534</v>
      </c>
      <c r="I6182" s="3" t="s">
        <v>32428</v>
      </c>
      <c r="J6182" s="3" t="s">
        <v>2745</v>
      </c>
      <c r="K6182" s="3" t="s">
        <v>32429</v>
      </c>
      <c r="L6182" s="3" t="s">
        <v>32430</v>
      </c>
      <c r="M6182" s="4"/>
      <c r="N6182" s="3" t="s">
        <v>37</v>
      </c>
      <c r="O6182" s="3" t="s">
        <v>52</v>
      </c>
      <c r="P6182" s="5">
        <v>8</v>
      </c>
      <c r="Q6182" s="5">
        <v>59</v>
      </c>
      <c r="R6182" s="5">
        <v>9</v>
      </c>
      <c r="S6182" s="5">
        <v>59</v>
      </c>
    </row>
    <row r="6183" spans="1:19" ht="42" x14ac:dyDescent="0.15">
      <c r="A6183" s="2">
        <f>HYPERLINK("https://open-school.uspishnemisto.com.ua/school/320373/", 320373)</f>
        <v>320373</v>
      </c>
      <c r="B6183" s="3" t="s">
        <v>32431</v>
      </c>
      <c r="C6183" s="3" t="s">
        <v>54</v>
      </c>
      <c r="D6183" s="3" t="s">
        <v>32</v>
      </c>
      <c r="E6183" s="4" t="s">
        <v>22</v>
      </c>
      <c r="F6183" s="4" t="s">
        <v>32432</v>
      </c>
      <c r="G6183" s="4" t="s">
        <v>32433</v>
      </c>
      <c r="H6183" s="3" t="s">
        <v>30534</v>
      </c>
      <c r="I6183" s="3" t="s">
        <v>32434</v>
      </c>
      <c r="J6183" s="3" t="s">
        <v>11681</v>
      </c>
      <c r="K6183" s="3" t="s">
        <v>32435</v>
      </c>
      <c r="L6183" s="3" t="s">
        <v>32436</v>
      </c>
      <c r="M6183" s="4"/>
      <c r="N6183" s="3" t="s">
        <v>37</v>
      </c>
      <c r="O6183" s="3" t="s">
        <v>52</v>
      </c>
      <c r="P6183" s="5">
        <v>11</v>
      </c>
      <c r="Q6183" s="5">
        <v>136</v>
      </c>
      <c r="R6183" s="5">
        <v>11</v>
      </c>
      <c r="S6183" s="5">
        <v>139</v>
      </c>
    </row>
    <row r="6184" spans="1:19" ht="70" x14ac:dyDescent="0.15">
      <c r="A6184" s="2">
        <f>HYPERLINK("https://open-school.uspishnemisto.com.ua/school/320375/", 320375)</f>
        <v>320375</v>
      </c>
      <c r="B6184" s="3" t="s">
        <v>32437</v>
      </c>
      <c r="C6184" s="3" t="s">
        <v>54</v>
      </c>
      <c r="D6184" s="3" t="s">
        <v>32</v>
      </c>
      <c r="E6184" s="4" t="s">
        <v>22</v>
      </c>
      <c r="F6184" s="4" t="s">
        <v>32438</v>
      </c>
      <c r="G6184" s="4" t="s">
        <v>32439</v>
      </c>
      <c r="H6184" s="3" t="s">
        <v>30534</v>
      </c>
      <c r="I6184" s="3" t="s">
        <v>32440</v>
      </c>
      <c r="J6184" s="3" t="s">
        <v>664</v>
      </c>
      <c r="K6184" s="3" t="s">
        <v>32441</v>
      </c>
      <c r="L6184" s="3" t="s">
        <v>32442</v>
      </c>
      <c r="M6184" s="4"/>
      <c r="N6184" s="3" t="s">
        <v>37</v>
      </c>
      <c r="O6184" s="3" t="s">
        <v>46</v>
      </c>
      <c r="P6184" s="5">
        <v>15</v>
      </c>
      <c r="Q6184" s="5">
        <v>163</v>
      </c>
      <c r="R6184" s="5">
        <v>14</v>
      </c>
      <c r="S6184" s="5">
        <v>164</v>
      </c>
    </row>
    <row r="6185" spans="1:19" ht="42" x14ac:dyDescent="0.15">
      <c r="A6185" s="2">
        <f>HYPERLINK("https://open-school.uspishnemisto.com.ua/school/320376/", 320376)</f>
        <v>320376</v>
      </c>
      <c r="B6185" s="3" t="s">
        <v>32443</v>
      </c>
      <c r="C6185" s="3" t="s">
        <v>54</v>
      </c>
      <c r="D6185" s="3" t="s">
        <v>175</v>
      </c>
      <c r="E6185" s="4" t="s">
        <v>22</v>
      </c>
      <c r="F6185" s="4" t="s">
        <v>32444</v>
      </c>
      <c r="G6185" s="4" t="s">
        <v>32445</v>
      </c>
      <c r="H6185" s="3" t="s">
        <v>30534</v>
      </c>
      <c r="I6185" s="3" t="s">
        <v>32446</v>
      </c>
      <c r="J6185" s="3" t="s">
        <v>32447</v>
      </c>
      <c r="K6185" s="3" t="s">
        <v>32448</v>
      </c>
      <c r="L6185" s="3" t="s">
        <v>32449</v>
      </c>
      <c r="M6185" s="4"/>
      <c r="N6185" s="3" t="s">
        <v>37</v>
      </c>
      <c r="O6185" s="3" t="s">
        <v>52</v>
      </c>
      <c r="P6185" s="5">
        <v>7</v>
      </c>
      <c r="Q6185" s="5">
        <v>39</v>
      </c>
      <c r="R6185" s="5">
        <v>8</v>
      </c>
      <c r="S6185" s="5">
        <v>43</v>
      </c>
    </row>
    <row r="6186" spans="1:19" ht="56" x14ac:dyDescent="0.15">
      <c r="A6186" s="2">
        <f>HYPERLINK("https://open-school.uspishnemisto.com.ua/school/320377/", 320377)</f>
        <v>320377</v>
      </c>
      <c r="B6186" s="3" t="s">
        <v>32450</v>
      </c>
      <c r="C6186" s="3" t="s">
        <v>54</v>
      </c>
      <c r="D6186" s="3" t="s">
        <v>175</v>
      </c>
      <c r="E6186" s="4" t="s">
        <v>22</v>
      </c>
      <c r="F6186" s="4" t="s">
        <v>32451</v>
      </c>
      <c r="G6186" s="4" t="s">
        <v>32452</v>
      </c>
      <c r="H6186" s="3" t="s">
        <v>30534</v>
      </c>
      <c r="I6186" s="3" t="s">
        <v>32453</v>
      </c>
      <c r="J6186" s="3" t="s">
        <v>4833</v>
      </c>
      <c r="K6186" s="3" t="s">
        <v>32454</v>
      </c>
      <c r="L6186" s="3" t="s">
        <v>32455</v>
      </c>
      <c r="M6186" s="4"/>
      <c r="N6186" s="3" t="s">
        <v>37</v>
      </c>
      <c r="O6186" s="3" t="s">
        <v>52</v>
      </c>
      <c r="P6186" s="5">
        <v>7</v>
      </c>
      <c r="Q6186" s="5">
        <v>44</v>
      </c>
      <c r="R6186" s="5">
        <v>7</v>
      </c>
      <c r="S6186" s="5">
        <v>45</v>
      </c>
    </row>
    <row r="6187" spans="1:19" ht="42" x14ac:dyDescent="0.15">
      <c r="A6187" s="2">
        <f>HYPERLINK("https://open-school.uspishnemisto.com.ua/school/320378/", 320378)</f>
        <v>320378</v>
      </c>
      <c r="B6187" s="3" t="s">
        <v>32456</v>
      </c>
      <c r="C6187" s="3" t="s">
        <v>54</v>
      </c>
      <c r="D6187" s="3" t="s">
        <v>175</v>
      </c>
      <c r="E6187" s="4" t="s">
        <v>22</v>
      </c>
      <c r="F6187" s="4" t="s">
        <v>32457</v>
      </c>
      <c r="G6187" s="4" t="s">
        <v>32458</v>
      </c>
      <c r="H6187" s="3" t="s">
        <v>30534</v>
      </c>
      <c r="I6187" s="3" t="s">
        <v>32459</v>
      </c>
      <c r="J6187" s="3" t="s">
        <v>32460</v>
      </c>
      <c r="K6187" s="3" t="s">
        <v>32461</v>
      </c>
      <c r="L6187" s="3" t="s">
        <v>32462</v>
      </c>
      <c r="M6187" s="4"/>
      <c r="N6187" s="3" t="s">
        <v>37</v>
      </c>
      <c r="O6187" s="3" t="s">
        <v>52</v>
      </c>
      <c r="P6187" s="5">
        <v>9</v>
      </c>
      <c r="Q6187" s="5">
        <v>65</v>
      </c>
      <c r="R6187" s="5">
        <v>9</v>
      </c>
      <c r="S6187" s="5">
        <v>67</v>
      </c>
    </row>
    <row r="6188" spans="1:19" ht="42" x14ac:dyDescent="0.15">
      <c r="A6188" s="2">
        <f>HYPERLINK("https://open-school.uspishnemisto.com.ua/school/320379/", 320379)</f>
        <v>320379</v>
      </c>
      <c r="B6188" s="3" t="s">
        <v>32463</v>
      </c>
      <c r="C6188" s="3" t="s">
        <v>54</v>
      </c>
      <c r="D6188" s="3" t="s">
        <v>32</v>
      </c>
      <c r="E6188" s="4" t="s">
        <v>22</v>
      </c>
      <c r="F6188" s="4" t="s">
        <v>32464</v>
      </c>
      <c r="G6188" s="4" t="s">
        <v>32465</v>
      </c>
      <c r="H6188" s="3" t="s">
        <v>30534</v>
      </c>
      <c r="I6188" s="3" t="s">
        <v>32466</v>
      </c>
      <c r="J6188" s="3" t="s">
        <v>10830</v>
      </c>
      <c r="K6188" s="3" t="s">
        <v>32467</v>
      </c>
      <c r="L6188" s="3" t="s">
        <v>32468</v>
      </c>
      <c r="M6188" s="4"/>
      <c r="N6188" s="3" t="s">
        <v>37</v>
      </c>
      <c r="O6188" s="3" t="s">
        <v>46</v>
      </c>
      <c r="P6188" s="5">
        <v>11</v>
      </c>
      <c r="Q6188" s="5">
        <v>117</v>
      </c>
      <c r="R6188" s="5">
        <v>10</v>
      </c>
      <c r="S6188" s="5">
        <v>100</v>
      </c>
    </row>
    <row r="6189" spans="1:19" ht="42" x14ac:dyDescent="0.15">
      <c r="A6189" s="2">
        <f>HYPERLINK("https://open-school.uspishnemisto.com.ua/school/320380/", 320380)</f>
        <v>320380</v>
      </c>
      <c r="B6189" s="3" t="s">
        <v>32469</v>
      </c>
      <c r="C6189" s="3" t="s">
        <v>31</v>
      </c>
      <c r="D6189" s="3" t="s">
        <v>32</v>
      </c>
      <c r="E6189" s="4" t="s">
        <v>22</v>
      </c>
      <c r="F6189" s="4" t="s">
        <v>32470</v>
      </c>
      <c r="G6189" s="4" t="s">
        <v>32471</v>
      </c>
      <c r="H6189" s="3" t="s">
        <v>30534</v>
      </c>
      <c r="I6189" s="3" t="s">
        <v>16734</v>
      </c>
      <c r="J6189" s="3" t="s">
        <v>32472</v>
      </c>
      <c r="K6189" s="3" t="s">
        <v>32473</v>
      </c>
      <c r="L6189" s="3" t="s">
        <v>32474</v>
      </c>
      <c r="M6189" s="4"/>
      <c r="N6189" s="3" t="s">
        <v>37</v>
      </c>
      <c r="O6189" s="3" t="s">
        <v>70</v>
      </c>
      <c r="P6189" s="5">
        <v>28</v>
      </c>
      <c r="Q6189" s="5">
        <v>577</v>
      </c>
      <c r="R6189" s="5">
        <v>27</v>
      </c>
      <c r="S6189" s="5">
        <v>579</v>
      </c>
    </row>
    <row r="6190" spans="1:19" ht="28" x14ac:dyDescent="0.15">
      <c r="A6190" s="2">
        <f>HYPERLINK("https://open-school.uspishnemisto.com.ua/school/320381/", 320381)</f>
        <v>320381</v>
      </c>
      <c r="B6190" s="3" t="s">
        <v>32475</v>
      </c>
      <c r="C6190" s="3" t="s">
        <v>31</v>
      </c>
      <c r="D6190" s="3" t="s">
        <v>32</v>
      </c>
      <c r="E6190" s="4" t="s">
        <v>22</v>
      </c>
      <c r="F6190" s="4" t="s">
        <v>32470</v>
      </c>
      <c r="G6190" s="4" t="s">
        <v>32471</v>
      </c>
      <c r="H6190" s="3" t="s">
        <v>30534</v>
      </c>
      <c r="I6190" s="3" t="s">
        <v>16734</v>
      </c>
      <c r="J6190" s="3" t="s">
        <v>32476</v>
      </c>
      <c r="K6190" s="3" t="s">
        <v>32477</v>
      </c>
      <c r="L6190" s="3" t="s">
        <v>32478</v>
      </c>
      <c r="M6190" s="4"/>
      <c r="N6190" s="3" t="s">
        <v>37</v>
      </c>
      <c r="O6190" s="3" t="s">
        <v>38</v>
      </c>
      <c r="P6190" s="5">
        <v>29</v>
      </c>
      <c r="Q6190" s="5">
        <v>660</v>
      </c>
      <c r="R6190" s="5">
        <v>28</v>
      </c>
      <c r="S6190" s="5">
        <v>649</v>
      </c>
    </row>
    <row r="6191" spans="1:19" ht="28" x14ac:dyDescent="0.15">
      <c r="A6191" s="2">
        <f>HYPERLINK("https://open-school.uspishnemisto.com.ua/school/320382/", 320382)</f>
        <v>320382</v>
      </c>
      <c r="B6191" s="3" t="s">
        <v>32479</v>
      </c>
      <c r="C6191" s="3" t="s">
        <v>188</v>
      </c>
      <c r="D6191" s="3" t="s">
        <v>32</v>
      </c>
      <c r="E6191" s="4" t="s">
        <v>22</v>
      </c>
      <c r="F6191" s="4" t="s">
        <v>32470</v>
      </c>
      <c r="G6191" s="4" t="s">
        <v>32471</v>
      </c>
      <c r="H6191" s="3" t="s">
        <v>30534</v>
      </c>
      <c r="I6191" s="3" t="s">
        <v>16734</v>
      </c>
      <c r="J6191" s="3" t="s">
        <v>32476</v>
      </c>
      <c r="K6191" s="3" t="s">
        <v>32480</v>
      </c>
      <c r="L6191" s="3" t="s">
        <v>32481</v>
      </c>
      <c r="M6191" s="4"/>
      <c r="N6191" s="3" t="s">
        <v>37</v>
      </c>
      <c r="O6191" s="3" t="s">
        <v>8542</v>
      </c>
      <c r="P6191" s="5">
        <v>4</v>
      </c>
      <c r="Q6191" s="5">
        <v>74</v>
      </c>
      <c r="R6191" s="5">
        <v>5</v>
      </c>
      <c r="S6191" s="5">
        <v>88</v>
      </c>
    </row>
    <row r="6192" spans="1:19" ht="28" x14ac:dyDescent="0.15">
      <c r="A6192" s="2">
        <f>HYPERLINK("https://open-school.uspishnemisto.com.ua/school/320383/", 320383)</f>
        <v>320383</v>
      </c>
      <c r="B6192" s="3" t="s">
        <v>32482</v>
      </c>
      <c r="C6192" s="3" t="s">
        <v>54</v>
      </c>
      <c r="D6192" s="3" t="s">
        <v>175</v>
      </c>
      <c r="E6192" s="4" t="s">
        <v>22</v>
      </c>
      <c r="F6192" s="4" t="s">
        <v>32483</v>
      </c>
      <c r="G6192" s="4" t="s">
        <v>32484</v>
      </c>
      <c r="H6192" s="3" t="s">
        <v>30534</v>
      </c>
      <c r="I6192" s="3" t="s">
        <v>32485</v>
      </c>
      <c r="J6192" s="3" t="s">
        <v>13569</v>
      </c>
      <c r="K6192" s="3" t="s">
        <v>32486</v>
      </c>
      <c r="L6192" s="3" t="s">
        <v>32487</v>
      </c>
      <c r="M6192" s="4"/>
      <c r="N6192" s="3" t="s">
        <v>37</v>
      </c>
      <c r="O6192" s="3" t="s">
        <v>46</v>
      </c>
      <c r="P6192" s="5">
        <v>8</v>
      </c>
      <c r="Q6192" s="5">
        <v>63</v>
      </c>
      <c r="R6192" s="5">
        <v>8</v>
      </c>
      <c r="S6192" s="5">
        <v>69</v>
      </c>
    </row>
    <row r="6193" spans="1:19" ht="28" x14ac:dyDescent="0.15">
      <c r="A6193" s="2">
        <f>HYPERLINK("https://open-school.uspishnemisto.com.ua/school/320384/", 320384)</f>
        <v>320384</v>
      </c>
      <c r="B6193" s="3" t="s">
        <v>32488</v>
      </c>
      <c r="C6193" s="3" t="s">
        <v>54</v>
      </c>
      <c r="D6193" s="3" t="s">
        <v>175</v>
      </c>
      <c r="E6193" s="4" t="s">
        <v>22</v>
      </c>
      <c r="F6193" s="4" t="s">
        <v>32489</v>
      </c>
      <c r="G6193" s="4" t="s">
        <v>32490</v>
      </c>
      <c r="H6193" s="3" t="s">
        <v>30534</v>
      </c>
      <c r="I6193" s="3" t="s">
        <v>32491</v>
      </c>
      <c r="J6193" s="3" t="s">
        <v>32492</v>
      </c>
      <c r="K6193" s="3" t="s">
        <v>32493</v>
      </c>
      <c r="L6193" s="3" t="s">
        <v>32494</v>
      </c>
      <c r="M6193" s="4"/>
      <c r="N6193" s="3" t="s">
        <v>37</v>
      </c>
      <c r="O6193" s="3" t="s">
        <v>46</v>
      </c>
      <c r="P6193" s="5">
        <v>7</v>
      </c>
      <c r="Q6193" s="5">
        <v>52</v>
      </c>
      <c r="R6193" s="5">
        <v>6</v>
      </c>
      <c r="S6193" s="5">
        <v>44</v>
      </c>
    </row>
    <row r="6194" spans="1:19" ht="28" x14ac:dyDescent="0.15">
      <c r="A6194" s="2">
        <f>HYPERLINK("https://open-school.uspishnemisto.com.ua/school/320385/", 320385)</f>
        <v>320385</v>
      </c>
      <c r="B6194" s="3" t="s">
        <v>32495</v>
      </c>
      <c r="C6194" s="3" t="s">
        <v>31</v>
      </c>
      <c r="D6194" s="3" t="s">
        <v>175</v>
      </c>
      <c r="E6194" s="4" t="s">
        <v>22</v>
      </c>
      <c r="F6194" s="4" t="s">
        <v>32496</v>
      </c>
      <c r="G6194" s="4" t="s">
        <v>32497</v>
      </c>
      <c r="H6194" s="3" t="s">
        <v>30534</v>
      </c>
      <c r="I6194" s="3" t="s">
        <v>32498</v>
      </c>
      <c r="J6194" s="3" t="s">
        <v>466</v>
      </c>
      <c r="K6194" s="3" t="s">
        <v>32499</v>
      </c>
      <c r="L6194" s="3"/>
      <c r="M6194" s="4"/>
      <c r="N6194" s="3" t="s">
        <v>37</v>
      </c>
      <c r="O6194" s="3" t="s">
        <v>46</v>
      </c>
      <c r="P6194" s="5">
        <v>5</v>
      </c>
      <c r="Q6194" s="5">
        <v>32</v>
      </c>
      <c r="R6194" s="5">
        <v>4</v>
      </c>
      <c r="S6194" s="5">
        <v>33</v>
      </c>
    </row>
    <row r="6195" spans="1:19" ht="28" x14ac:dyDescent="0.15">
      <c r="A6195" s="2">
        <f>HYPERLINK("https://open-school.uspishnemisto.com.ua/school/320386/", 320386)</f>
        <v>320386</v>
      </c>
      <c r="B6195" s="3" t="s">
        <v>32500</v>
      </c>
      <c r="C6195" s="3" t="s">
        <v>54</v>
      </c>
      <c r="D6195" s="3" t="s">
        <v>32</v>
      </c>
      <c r="E6195" s="4" t="s">
        <v>22</v>
      </c>
      <c r="F6195" s="4" t="s">
        <v>32501</v>
      </c>
      <c r="G6195" s="4" t="s">
        <v>32502</v>
      </c>
      <c r="H6195" s="3" t="s">
        <v>30534</v>
      </c>
      <c r="I6195" s="3" t="s">
        <v>32503</v>
      </c>
      <c r="J6195" s="3" t="s">
        <v>32504</v>
      </c>
      <c r="K6195" s="3" t="s">
        <v>32505</v>
      </c>
      <c r="L6195" s="3" t="s">
        <v>32506</v>
      </c>
      <c r="M6195" s="4"/>
      <c r="N6195" s="3" t="s">
        <v>37</v>
      </c>
      <c r="O6195" s="3" t="s">
        <v>38</v>
      </c>
      <c r="P6195" s="5">
        <v>10</v>
      </c>
      <c r="Q6195" s="5">
        <v>184</v>
      </c>
      <c r="R6195" s="5">
        <v>10</v>
      </c>
      <c r="S6195" s="5">
        <v>169</v>
      </c>
    </row>
    <row r="6196" spans="1:19" ht="28" x14ac:dyDescent="0.15">
      <c r="A6196" s="2">
        <f>HYPERLINK("https://open-school.uspishnemisto.com.ua/school/320387/", 320387)</f>
        <v>320387</v>
      </c>
      <c r="B6196" s="3" t="s">
        <v>32507</v>
      </c>
      <c r="C6196" s="3" t="s">
        <v>31</v>
      </c>
      <c r="D6196" s="3" t="s">
        <v>175</v>
      </c>
      <c r="E6196" s="4" t="s">
        <v>22</v>
      </c>
      <c r="F6196" s="4" t="s">
        <v>32508</v>
      </c>
      <c r="G6196" s="4" t="s">
        <v>32509</v>
      </c>
      <c r="H6196" s="3" t="s">
        <v>30534</v>
      </c>
      <c r="I6196" s="3" t="s">
        <v>32510</v>
      </c>
      <c r="J6196" s="3" t="s">
        <v>32511</v>
      </c>
      <c r="K6196" s="3" t="s">
        <v>32512</v>
      </c>
      <c r="L6196" s="3"/>
      <c r="M6196" s="4"/>
      <c r="N6196" s="3" t="s">
        <v>37</v>
      </c>
      <c r="O6196" s="3" t="s">
        <v>46</v>
      </c>
      <c r="P6196" s="5">
        <v>8</v>
      </c>
      <c r="Q6196" s="5">
        <v>48</v>
      </c>
      <c r="R6196" s="5">
        <v>7</v>
      </c>
      <c r="S6196" s="5">
        <v>47</v>
      </c>
    </row>
    <row r="6197" spans="1:19" ht="28" x14ac:dyDescent="0.15">
      <c r="A6197" s="2">
        <f>HYPERLINK("https://open-school.uspishnemisto.com.ua/school/320388/", 320388)</f>
        <v>320388</v>
      </c>
      <c r="B6197" s="3" t="s">
        <v>32513</v>
      </c>
      <c r="C6197" s="3" t="s">
        <v>54</v>
      </c>
      <c r="D6197" s="3" t="s">
        <v>60</v>
      </c>
      <c r="E6197" s="4" t="s">
        <v>22</v>
      </c>
      <c r="F6197" s="4" t="s">
        <v>32514</v>
      </c>
      <c r="G6197" s="4" t="s">
        <v>32515</v>
      </c>
      <c r="H6197" s="3" t="s">
        <v>30534</v>
      </c>
      <c r="I6197" s="3" t="s">
        <v>32516</v>
      </c>
      <c r="J6197" s="3" t="s">
        <v>32517</v>
      </c>
      <c r="K6197" s="3" t="s">
        <v>32518</v>
      </c>
      <c r="L6197" s="3"/>
      <c r="M6197" s="4"/>
      <c r="N6197" s="3" t="s">
        <v>37</v>
      </c>
      <c r="O6197" s="3" t="s">
        <v>52</v>
      </c>
      <c r="P6197" s="5">
        <v>4</v>
      </c>
      <c r="Q6197" s="5">
        <v>9</v>
      </c>
      <c r="R6197" s="5">
        <v>4</v>
      </c>
      <c r="S6197" s="5">
        <v>19</v>
      </c>
    </row>
    <row r="6198" spans="1:19" ht="28" x14ac:dyDescent="0.15">
      <c r="A6198" s="2">
        <f>HYPERLINK("https://open-school.uspishnemisto.com.ua/school/320389/", 320389)</f>
        <v>320389</v>
      </c>
      <c r="B6198" s="3" t="s">
        <v>32519</v>
      </c>
      <c r="C6198" s="3" t="s">
        <v>31</v>
      </c>
      <c r="D6198" s="3" t="s">
        <v>175</v>
      </c>
      <c r="E6198" s="4" t="s">
        <v>22</v>
      </c>
      <c r="F6198" s="4" t="s">
        <v>32520</v>
      </c>
      <c r="G6198" s="4" t="s">
        <v>32521</v>
      </c>
      <c r="H6198" s="3" t="s">
        <v>30534</v>
      </c>
      <c r="I6198" s="3" t="s">
        <v>17255</v>
      </c>
      <c r="J6198" s="3" t="s">
        <v>32522</v>
      </c>
      <c r="K6198" s="3" t="s">
        <v>32523</v>
      </c>
      <c r="L6198" s="3" t="s">
        <v>32524</v>
      </c>
      <c r="M6198" s="4"/>
      <c r="N6198" s="3" t="s">
        <v>37</v>
      </c>
      <c r="O6198" s="3" t="s">
        <v>38</v>
      </c>
      <c r="P6198" s="5">
        <v>4</v>
      </c>
      <c r="Q6198" s="5">
        <v>26</v>
      </c>
      <c r="R6198" s="5">
        <v>4</v>
      </c>
      <c r="S6198" s="5">
        <v>26</v>
      </c>
    </row>
    <row r="6199" spans="1:19" ht="28" x14ac:dyDescent="0.15">
      <c r="A6199" s="2">
        <f>HYPERLINK("https://open-school.uspishnemisto.com.ua/school/320390/", 320390)</f>
        <v>320390</v>
      </c>
      <c r="B6199" s="3" t="s">
        <v>32525</v>
      </c>
      <c r="C6199" s="3" t="s">
        <v>54</v>
      </c>
      <c r="D6199" s="3" t="s">
        <v>32</v>
      </c>
      <c r="E6199" s="4" t="s">
        <v>22</v>
      </c>
      <c r="F6199" s="4" t="s">
        <v>32526</v>
      </c>
      <c r="G6199" s="4" t="s">
        <v>32527</v>
      </c>
      <c r="H6199" s="3" t="s">
        <v>30534</v>
      </c>
      <c r="I6199" s="3" t="s">
        <v>32528</v>
      </c>
      <c r="J6199" s="3" t="s">
        <v>4550</v>
      </c>
      <c r="K6199" s="3" t="s">
        <v>32529</v>
      </c>
      <c r="L6199" s="3" t="s">
        <v>32530</v>
      </c>
      <c r="M6199" s="4"/>
      <c r="N6199" s="3" t="s">
        <v>37</v>
      </c>
      <c r="O6199" s="3" t="s">
        <v>38</v>
      </c>
      <c r="P6199" s="5">
        <v>10</v>
      </c>
      <c r="Q6199" s="5">
        <v>57</v>
      </c>
      <c r="R6199" s="5">
        <v>11</v>
      </c>
      <c r="S6199" s="5">
        <v>64</v>
      </c>
    </row>
    <row r="6200" spans="1:19" ht="28" x14ac:dyDescent="0.15">
      <c r="A6200" s="2">
        <f>HYPERLINK("https://open-school.uspishnemisto.com.ua/school/320391/", 320391)</f>
        <v>320391</v>
      </c>
      <c r="B6200" s="3" t="s">
        <v>32531</v>
      </c>
      <c r="C6200" s="3" t="s">
        <v>54</v>
      </c>
      <c r="D6200" s="3" t="s">
        <v>32</v>
      </c>
      <c r="E6200" s="4" t="s">
        <v>22</v>
      </c>
      <c r="F6200" s="4" t="s">
        <v>32532</v>
      </c>
      <c r="G6200" s="4" t="s">
        <v>32533</v>
      </c>
      <c r="H6200" s="3" t="s">
        <v>30534</v>
      </c>
      <c r="I6200" s="3" t="s">
        <v>8239</v>
      </c>
      <c r="J6200" s="3" t="s">
        <v>32534</v>
      </c>
      <c r="K6200" s="3" t="s">
        <v>32535</v>
      </c>
      <c r="L6200" s="3" t="s">
        <v>32536</v>
      </c>
      <c r="M6200" s="4"/>
      <c r="N6200" s="3" t="s">
        <v>37</v>
      </c>
      <c r="O6200" s="3" t="s">
        <v>46</v>
      </c>
      <c r="P6200" s="5">
        <v>10</v>
      </c>
      <c r="Q6200" s="5">
        <v>155</v>
      </c>
      <c r="R6200" s="5">
        <v>10</v>
      </c>
      <c r="S6200" s="5">
        <v>164</v>
      </c>
    </row>
    <row r="6201" spans="1:19" ht="28" x14ac:dyDescent="0.15">
      <c r="A6201" s="2">
        <f>HYPERLINK("https://open-school.uspishnemisto.com.ua/school/320392/", 320392)</f>
        <v>320392</v>
      </c>
      <c r="B6201" s="3" t="s">
        <v>32537</v>
      </c>
      <c r="C6201" s="3" t="s">
        <v>54</v>
      </c>
      <c r="D6201" s="3" t="s">
        <v>175</v>
      </c>
      <c r="E6201" s="4" t="s">
        <v>22</v>
      </c>
      <c r="F6201" s="4" t="s">
        <v>32538</v>
      </c>
      <c r="G6201" s="4" t="s">
        <v>32539</v>
      </c>
      <c r="H6201" s="3" t="s">
        <v>30534</v>
      </c>
      <c r="I6201" s="3" t="s">
        <v>19348</v>
      </c>
      <c r="J6201" s="3" t="s">
        <v>32540</v>
      </c>
      <c r="K6201" s="3" t="s">
        <v>32541</v>
      </c>
      <c r="L6201" s="3" t="s">
        <v>32542</v>
      </c>
      <c r="M6201" s="4"/>
      <c r="N6201" s="3" t="s">
        <v>37</v>
      </c>
      <c r="O6201" s="3" t="s">
        <v>52</v>
      </c>
      <c r="P6201" s="5">
        <v>5</v>
      </c>
      <c r="Q6201" s="5">
        <v>26</v>
      </c>
      <c r="R6201" s="5">
        <v>4</v>
      </c>
      <c r="S6201" s="5">
        <v>18</v>
      </c>
    </row>
    <row r="6202" spans="1:19" ht="42" x14ac:dyDescent="0.15">
      <c r="A6202" s="2">
        <f>HYPERLINK("https://open-school.uspishnemisto.com.ua/school/320393/", 320393)</f>
        <v>320393</v>
      </c>
      <c r="B6202" s="3" t="s">
        <v>32543</v>
      </c>
      <c r="C6202" s="3" t="s">
        <v>54</v>
      </c>
      <c r="D6202" s="3" t="s">
        <v>175</v>
      </c>
      <c r="E6202" s="4" t="s">
        <v>22</v>
      </c>
      <c r="F6202" s="4" t="s">
        <v>32544</v>
      </c>
      <c r="G6202" s="4" t="s">
        <v>32545</v>
      </c>
      <c r="H6202" s="3" t="s">
        <v>30534</v>
      </c>
      <c r="I6202" s="3" t="s">
        <v>32546</v>
      </c>
      <c r="J6202" s="3" t="s">
        <v>32504</v>
      </c>
      <c r="K6202" s="3" t="s">
        <v>32547</v>
      </c>
      <c r="L6202" s="3" t="s">
        <v>32548</v>
      </c>
      <c r="M6202" s="4"/>
      <c r="N6202" s="3"/>
      <c r="O6202" s="3"/>
      <c r="P6202" s="5">
        <v>0</v>
      </c>
      <c r="Q6202" s="5">
        <v>0</v>
      </c>
      <c r="R6202" s="5"/>
      <c r="S6202" s="5"/>
    </row>
    <row r="6203" spans="1:19" ht="28" x14ac:dyDescent="0.15">
      <c r="A6203" s="2">
        <f>HYPERLINK("https://open-school.uspishnemisto.com.ua/school/320394/", 320394)</f>
        <v>320394</v>
      </c>
      <c r="B6203" s="3" t="s">
        <v>32549</v>
      </c>
      <c r="C6203" s="3" t="s">
        <v>31</v>
      </c>
      <c r="D6203" s="3" t="s">
        <v>32</v>
      </c>
      <c r="E6203" s="4" t="s">
        <v>22</v>
      </c>
      <c r="F6203" s="4" t="s">
        <v>32550</v>
      </c>
      <c r="G6203" s="4" t="s">
        <v>32551</v>
      </c>
      <c r="H6203" s="3" t="s">
        <v>30534</v>
      </c>
      <c r="I6203" s="3" t="s">
        <v>32552</v>
      </c>
      <c r="J6203" s="3" t="s">
        <v>1360</v>
      </c>
      <c r="K6203" s="3" t="s">
        <v>32553</v>
      </c>
      <c r="L6203" s="3"/>
      <c r="M6203" s="4"/>
      <c r="N6203" s="3" t="s">
        <v>37</v>
      </c>
      <c r="O6203" s="3" t="s">
        <v>2740</v>
      </c>
      <c r="P6203" s="5">
        <v>11</v>
      </c>
      <c r="Q6203" s="5">
        <v>91</v>
      </c>
      <c r="R6203" s="5">
        <v>11</v>
      </c>
      <c r="S6203" s="5">
        <v>100</v>
      </c>
    </row>
    <row r="6204" spans="1:19" ht="56" x14ac:dyDescent="0.15">
      <c r="A6204" s="2">
        <f>HYPERLINK("https://open-school.uspishnemisto.com.ua/school/320395/", 320395)</f>
        <v>320395</v>
      </c>
      <c r="B6204" s="3" t="s">
        <v>32554</v>
      </c>
      <c r="C6204" s="3" t="s">
        <v>54</v>
      </c>
      <c r="D6204" s="3" t="s">
        <v>32</v>
      </c>
      <c r="E6204" s="4" t="s">
        <v>22</v>
      </c>
      <c r="F6204" s="4" t="s">
        <v>32555</v>
      </c>
      <c r="G6204" s="4" t="s">
        <v>32556</v>
      </c>
      <c r="H6204" s="3" t="s">
        <v>30534</v>
      </c>
      <c r="I6204" s="3" t="s">
        <v>32557</v>
      </c>
      <c r="J6204" s="3" t="s">
        <v>32558</v>
      </c>
      <c r="K6204" s="3" t="s">
        <v>32559</v>
      </c>
      <c r="L6204" s="3" t="s">
        <v>32560</v>
      </c>
      <c r="M6204" s="4"/>
      <c r="N6204" s="3" t="s">
        <v>37</v>
      </c>
      <c r="O6204" s="3" t="s">
        <v>38</v>
      </c>
      <c r="P6204" s="5">
        <v>11</v>
      </c>
      <c r="Q6204" s="5">
        <v>112</v>
      </c>
      <c r="R6204" s="5">
        <v>10</v>
      </c>
      <c r="S6204" s="5">
        <v>113</v>
      </c>
    </row>
    <row r="6205" spans="1:19" ht="42" x14ac:dyDescent="0.15">
      <c r="A6205" s="2">
        <f>HYPERLINK("https://open-school.uspishnemisto.com.ua/school/320396/", 320396)</f>
        <v>320396</v>
      </c>
      <c r="B6205" s="3" t="s">
        <v>32561</v>
      </c>
      <c r="C6205" s="3" t="s">
        <v>54</v>
      </c>
      <c r="D6205" s="3" t="s">
        <v>175</v>
      </c>
      <c r="E6205" s="4" t="s">
        <v>22</v>
      </c>
      <c r="F6205" s="4" t="s">
        <v>32562</v>
      </c>
      <c r="G6205" s="4" t="s">
        <v>32563</v>
      </c>
      <c r="H6205" s="3" t="s">
        <v>30534</v>
      </c>
      <c r="I6205" s="3" t="s">
        <v>32564</v>
      </c>
      <c r="J6205" s="3" t="s">
        <v>13617</v>
      </c>
      <c r="K6205" s="3" t="s">
        <v>32565</v>
      </c>
      <c r="L6205" s="3" t="s">
        <v>32566</v>
      </c>
      <c r="M6205" s="4"/>
      <c r="N6205" s="3" t="s">
        <v>37</v>
      </c>
      <c r="O6205" s="3" t="s">
        <v>38</v>
      </c>
      <c r="P6205" s="5">
        <v>6</v>
      </c>
      <c r="Q6205" s="5">
        <v>35</v>
      </c>
      <c r="R6205" s="5">
        <v>5</v>
      </c>
      <c r="S6205" s="5">
        <v>32</v>
      </c>
    </row>
    <row r="6206" spans="1:19" ht="28" x14ac:dyDescent="0.15">
      <c r="A6206" s="2">
        <f>HYPERLINK("https://open-school.uspishnemisto.com.ua/school/320397/", 320397)</f>
        <v>320397</v>
      </c>
      <c r="B6206" s="3" t="s">
        <v>32567</v>
      </c>
      <c r="C6206" s="3" t="s">
        <v>31</v>
      </c>
      <c r="D6206" s="3" t="s">
        <v>32</v>
      </c>
      <c r="E6206" s="4" t="s">
        <v>22</v>
      </c>
      <c r="F6206" s="4" t="s">
        <v>32568</v>
      </c>
      <c r="G6206" s="4" t="s">
        <v>32569</v>
      </c>
      <c r="H6206" s="3" t="s">
        <v>30534</v>
      </c>
      <c r="I6206" s="3" t="s">
        <v>32570</v>
      </c>
      <c r="J6206" s="3" t="s">
        <v>32571</v>
      </c>
      <c r="K6206" s="3" t="s">
        <v>32572</v>
      </c>
      <c r="L6206" s="3" t="s">
        <v>32573</v>
      </c>
      <c r="M6206" s="4"/>
      <c r="N6206" s="3" t="s">
        <v>37</v>
      </c>
      <c r="O6206" s="3" t="s">
        <v>46</v>
      </c>
      <c r="P6206" s="5">
        <v>10</v>
      </c>
      <c r="Q6206" s="5">
        <v>80</v>
      </c>
      <c r="R6206" s="5">
        <v>10</v>
      </c>
      <c r="S6206" s="5">
        <v>73</v>
      </c>
    </row>
    <row r="6207" spans="1:19" ht="42" x14ac:dyDescent="0.15">
      <c r="A6207" s="2">
        <f>HYPERLINK("https://open-school.uspishnemisto.com.ua/school/320398/", 320398)</f>
        <v>320398</v>
      </c>
      <c r="B6207" s="3" t="s">
        <v>32574</v>
      </c>
      <c r="C6207" s="3" t="s">
        <v>31</v>
      </c>
      <c r="D6207" s="3" t="s">
        <v>175</v>
      </c>
      <c r="E6207" s="4" t="s">
        <v>22</v>
      </c>
      <c r="F6207" s="4" t="s">
        <v>32575</v>
      </c>
      <c r="G6207" s="4" t="s">
        <v>32576</v>
      </c>
      <c r="H6207" s="3" t="s">
        <v>30534</v>
      </c>
      <c r="I6207" s="3" t="s">
        <v>32577</v>
      </c>
      <c r="J6207" s="3" t="s">
        <v>32578</v>
      </c>
      <c r="K6207" s="3" t="s">
        <v>32579</v>
      </c>
      <c r="L6207" s="3" t="s">
        <v>32580</v>
      </c>
      <c r="M6207" s="4"/>
      <c r="N6207" s="3"/>
      <c r="O6207" s="3"/>
      <c r="P6207" s="5">
        <v>0</v>
      </c>
      <c r="Q6207" s="5">
        <v>0</v>
      </c>
      <c r="R6207" s="5"/>
      <c r="S6207" s="5"/>
    </row>
    <row r="6208" spans="1:19" ht="42" x14ac:dyDescent="0.15">
      <c r="A6208" s="2">
        <f>HYPERLINK("https://open-school.uspishnemisto.com.ua/school/320399/", 320399)</f>
        <v>320399</v>
      </c>
      <c r="B6208" s="3" t="s">
        <v>32581</v>
      </c>
      <c r="C6208" s="3" t="s">
        <v>54</v>
      </c>
      <c r="D6208" s="3" t="s">
        <v>32</v>
      </c>
      <c r="E6208" s="4" t="s">
        <v>22</v>
      </c>
      <c r="F6208" s="4" t="s">
        <v>32582</v>
      </c>
      <c r="G6208" s="4" t="s">
        <v>32583</v>
      </c>
      <c r="H6208" s="3" t="s">
        <v>30534</v>
      </c>
      <c r="I6208" s="3" t="s">
        <v>32584</v>
      </c>
      <c r="J6208" s="3" t="s">
        <v>1495</v>
      </c>
      <c r="K6208" s="3" t="s">
        <v>32585</v>
      </c>
      <c r="L6208" s="3" t="s">
        <v>32586</v>
      </c>
      <c r="M6208" s="4"/>
      <c r="N6208" s="3" t="s">
        <v>37</v>
      </c>
      <c r="O6208" s="3" t="s">
        <v>70</v>
      </c>
      <c r="P6208" s="5">
        <v>20</v>
      </c>
      <c r="Q6208" s="5">
        <v>159</v>
      </c>
      <c r="R6208" s="5">
        <v>23</v>
      </c>
      <c r="S6208" s="5">
        <v>169</v>
      </c>
    </row>
    <row r="6209" spans="1:19" ht="42" x14ac:dyDescent="0.15">
      <c r="A6209" s="2">
        <f>HYPERLINK("https://open-school.uspishnemisto.com.ua/school/320400/", 320400)</f>
        <v>320400</v>
      </c>
      <c r="B6209" s="3" t="s">
        <v>32587</v>
      </c>
      <c r="C6209" s="3" t="s">
        <v>31</v>
      </c>
      <c r="D6209" s="3" t="s">
        <v>32</v>
      </c>
      <c r="E6209" s="4" t="s">
        <v>22</v>
      </c>
      <c r="F6209" s="4" t="s">
        <v>32588</v>
      </c>
      <c r="G6209" s="4" t="s">
        <v>32589</v>
      </c>
      <c r="H6209" s="3" t="s">
        <v>30534</v>
      </c>
      <c r="I6209" s="3" t="s">
        <v>32590</v>
      </c>
      <c r="J6209" s="3" t="s">
        <v>3370</v>
      </c>
      <c r="K6209" s="3" t="s">
        <v>32591</v>
      </c>
      <c r="L6209" s="3" t="s">
        <v>32592</v>
      </c>
      <c r="M6209" s="4"/>
      <c r="N6209" s="3" t="s">
        <v>37</v>
      </c>
      <c r="O6209" s="3" t="s">
        <v>38</v>
      </c>
      <c r="P6209" s="5">
        <v>10</v>
      </c>
      <c r="Q6209" s="5">
        <v>116</v>
      </c>
      <c r="R6209" s="5">
        <v>10</v>
      </c>
      <c r="S6209" s="5">
        <v>119</v>
      </c>
    </row>
    <row r="6210" spans="1:19" ht="28" x14ac:dyDescent="0.15">
      <c r="A6210" s="2">
        <f>HYPERLINK("https://open-school.uspishnemisto.com.ua/school/320401/", 320401)</f>
        <v>320401</v>
      </c>
      <c r="B6210" s="3" t="s">
        <v>32593</v>
      </c>
      <c r="C6210" s="3" t="s">
        <v>31</v>
      </c>
      <c r="D6210" s="3" t="s">
        <v>175</v>
      </c>
      <c r="E6210" s="4" t="s">
        <v>22</v>
      </c>
      <c r="F6210" s="4" t="s">
        <v>32594</v>
      </c>
      <c r="G6210" s="4" t="s">
        <v>32595</v>
      </c>
      <c r="H6210" s="3" t="s">
        <v>30534</v>
      </c>
      <c r="I6210" s="3" t="s">
        <v>32596</v>
      </c>
      <c r="J6210" s="3" t="s">
        <v>32597</v>
      </c>
      <c r="K6210" s="3" t="s">
        <v>32598</v>
      </c>
      <c r="L6210" s="3" t="s">
        <v>32599</v>
      </c>
      <c r="M6210" s="4"/>
      <c r="N6210" s="3" t="s">
        <v>37</v>
      </c>
      <c r="O6210" s="3" t="s">
        <v>38</v>
      </c>
      <c r="P6210" s="5">
        <v>5</v>
      </c>
      <c r="Q6210" s="5">
        <v>31</v>
      </c>
      <c r="R6210" s="5">
        <v>5</v>
      </c>
      <c r="S6210" s="5">
        <v>34</v>
      </c>
    </row>
    <row r="6211" spans="1:19" ht="28" x14ac:dyDescent="0.15">
      <c r="A6211" s="2">
        <f>HYPERLINK("https://open-school.uspishnemisto.com.ua/school/320402/", 320402)</f>
        <v>320402</v>
      </c>
      <c r="B6211" s="3" t="s">
        <v>32600</v>
      </c>
      <c r="C6211" s="3" t="s">
        <v>54</v>
      </c>
      <c r="D6211" s="3" t="s">
        <v>32</v>
      </c>
      <c r="E6211" s="4" t="s">
        <v>22</v>
      </c>
      <c r="F6211" s="4" t="s">
        <v>32601</v>
      </c>
      <c r="G6211" s="4" t="s">
        <v>32602</v>
      </c>
      <c r="H6211" s="3" t="s">
        <v>30534</v>
      </c>
      <c r="I6211" s="3" t="s">
        <v>32603</v>
      </c>
      <c r="J6211" s="3" t="s">
        <v>16821</v>
      </c>
      <c r="K6211" s="3" t="s">
        <v>32604</v>
      </c>
      <c r="L6211" s="3" t="s">
        <v>32605</v>
      </c>
      <c r="M6211" s="4"/>
      <c r="N6211" s="3" t="s">
        <v>37</v>
      </c>
      <c r="O6211" s="3" t="s">
        <v>38</v>
      </c>
      <c r="P6211" s="5">
        <v>11</v>
      </c>
      <c r="Q6211" s="5">
        <v>154</v>
      </c>
      <c r="R6211" s="5">
        <v>11</v>
      </c>
      <c r="S6211" s="5">
        <v>157</v>
      </c>
    </row>
    <row r="6212" spans="1:19" ht="28" x14ac:dyDescent="0.15">
      <c r="A6212" s="2">
        <f>HYPERLINK("https://open-school.uspishnemisto.com.ua/school/320403/", 320403)</f>
        <v>320403</v>
      </c>
      <c r="B6212" s="3" t="s">
        <v>32606</v>
      </c>
      <c r="C6212" s="3" t="s">
        <v>31</v>
      </c>
      <c r="D6212" s="3" t="s">
        <v>175</v>
      </c>
      <c r="E6212" s="4" t="s">
        <v>22</v>
      </c>
      <c r="F6212" s="4" t="s">
        <v>32601</v>
      </c>
      <c r="G6212" s="4" t="s">
        <v>32607</v>
      </c>
      <c r="H6212" s="3" t="s">
        <v>30534</v>
      </c>
      <c r="I6212" s="3" t="s">
        <v>32608</v>
      </c>
      <c r="J6212" s="3" t="s">
        <v>14844</v>
      </c>
      <c r="K6212" s="3" t="s">
        <v>32609</v>
      </c>
      <c r="L6212" s="3"/>
      <c r="M6212" s="4"/>
      <c r="N6212" s="3" t="s">
        <v>37</v>
      </c>
      <c r="O6212" s="3" t="s">
        <v>70</v>
      </c>
      <c r="P6212" s="5">
        <v>5</v>
      </c>
      <c r="Q6212" s="5">
        <v>26</v>
      </c>
      <c r="R6212" s="5">
        <v>2</v>
      </c>
      <c r="S6212" s="5">
        <v>26</v>
      </c>
    </row>
    <row r="6213" spans="1:19" ht="28" x14ac:dyDescent="0.15">
      <c r="A6213" s="2">
        <f>HYPERLINK("https://open-school.uspishnemisto.com.ua/school/320404/", 320404)</f>
        <v>320404</v>
      </c>
      <c r="B6213" s="3" t="s">
        <v>32610</v>
      </c>
      <c r="C6213" s="3" t="s">
        <v>31</v>
      </c>
      <c r="D6213" s="3" t="s">
        <v>32</v>
      </c>
      <c r="E6213" s="4" t="s">
        <v>22</v>
      </c>
      <c r="F6213" s="4" t="s">
        <v>32611</v>
      </c>
      <c r="G6213" s="4" t="s">
        <v>32612</v>
      </c>
      <c r="H6213" s="3" t="s">
        <v>30534</v>
      </c>
      <c r="I6213" s="3" t="s">
        <v>32613</v>
      </c>
      <c r="J6213" s="3" t="s">
        <v>1216</v>
      </c>
      <c r="K6213" s="3" t="s">
        <v>32614</v>
      </c>
      <c r="L6213" s="3" t="s">
        <v>32615</v>
      </c>
      <c r="M6213" s="4"/>
      <c r="N6213" s="3" t="s">
        <v>37</v>
      </c>
      <c r="O6213" s="3" t="s">
        <v>38</v>
      </c>
      <c r="P6213" s="5">
        <v>9</v>
      </c>
      <c r="Q6213" s="5">
        <v>78</v>
      </c>
      <c r="R6213" s="5">
        <v>10</v>
      </c>
      <c r="S6213" s="5">
        <v>82</v>
      </c>
    </row>
    <row r="6214" spans="1:19" ht="28" x14ac:dyDescent="0.15">
      <c r="A6214" s="2">
        <f>HYPERLINK("https://open-school.uspishnemisto.com.ua/school/320405/", 320405)</f>
        <v>320405</v>
      </c>
      <c r="B6214" s="3" t="s">
        <v>32616</v>
      </c>
      <c r="C6214" s="3" t="s">
        <v>31</v>
      </c>
      <c r="D6214" s="3" t="s">
        <v>32</v>
      </c>
      <c r="E6214" s="4" t="s">
        <v>22</v>
      </c>
      <c r="F6214" s="4" t="s">
        <v>32617</v>
      </c>
      <c r="G6214" s="4" t="s">
        <v>32618</v>
      </c>
      <c r="H6214" s="3" t="s">
        <v>30534</v>
      </c>
      <c r="I6214" s="3" t="s">
        <v>32619</v>
      </c>
      <c r="J6214" s="3" t="s">
        <v>32620</v>
      </c>
      <c r="K6214" s="3" t="s">
        <v>32621</v>
      </c>
      <c r="L6214" s="3"/>
      <c r="M6214" s="4"/>
      <c r="N6214" s="3" t="s">
        <v>37</v>
      </c>
      <c r="O6214" s="3" t="s">
        <v>46</v>
      </c>
      <c r="P6214" s="5">
        <v>12</v>
      </c>
      <c r="Q6214" s="5">
        <v>260</v>
      </c>
      <c r="R6214" s="5">
        <v>11</v>
      </c>
      <c r="S6214" s="5">
        <v>241</v>
      </c>
    </row>
    <row r="6215" spans="1:19" ht="28" x14ac:dyDescent="0.15">
      <c r="A6215" s="2">
        <f>HYPERLINK("https://open-school.uspishnemisto.com.ua/school/320406/", 320406)</f>
        <v>320406</v>
      </c>
      <c r="B6215" s="3" t="s">
        <v>32622</v>
      </c>
      <c r="C6215" s="3" t="s">
        <v>31</v>
      </c>
      <c r="D6215" s="3" t="s">
        <v>32</v>
      </c>
      <c r="E6215" s="4" t="s">
        <v>22</v>
      </c>
      <c r="F6215" s="4" t="s">
        <v>32617</v>
      </c>
      <c r="G6215" s="4" t="s">
        <v>32618</v>
      </c>
      <c r="H6215" s="3" t="s">
        <v>30534</v>
      </c>
      <c r="I6215" s="3" t="s">
        <v>32619</v>
      </c>
      <c r="J6215" s="3" t="s">
        <v>32623</v>
      </c>
      <c r="K6215" s="3" t="s">
        <v>32624</v>
      </c>
      <c r="L6215" s="3"/>
      <c r="M6215" s="4"/>
      <c r="N6215" s="3" t="s">
        <v>37</v>
      </c>
      <c r="O6215" s="3" t="s">
        <v>52</v>
      </c>
      <c r="P6215" s="5">
        <v>17</v>
      </c>
      <c r="Q6215" s="5">
        <v>393</v>
      </c>
      <c r="R6215" s="5">
        <v>16</v>
      </c>
      <c r="S6215" s="5">
        <v>389</v>
      </c>
    </row>
    <row r="6216" spans="1:19" ht="28" x14ac:dyDescent="0.15">
      <c r="A6216" s="2">
        <f>HYPERLINK("https://open-school.uspishnemisto.com.ua/school/320407/", 320407)</f>
        <v>320407</v>
      </c>
      <c r="B6216" s="3" t="s">
        <v>32625</v>
      </c>
      <c r="C6216" s="3" t="s">
        <v>31</v>
      </c>
      <c r="D6216" s="3" t="s">
        <v>32</v>
      </c>
      <c r="E6216" s="4" t="s">
        <v>22</v>
      </c>
      <c r="F6216" s="4" t="s">
        <v>32617</v>
      </c>
      <c r="G6216" s="4" t="s">
        <v>32618</v>
      </c>
      <c r="H6216" s="3" t="s">
        <v>30534</v>
      </c>
      <c r="I6216" s="3" t="s">
        <v>32619</v>
      </c>
      <c r="J6216" s="3" t="s">
        <v>32626</v>
      </c>
      <c r="K6216" s="3" t="s">
        <v>32627</v>
      </c>
      <c r="L6216" s="3"/>
      <c r="M6216" s="4"/>
      <c r="N6216" s="3" t="s">
        <v>37</v>
      </c>
      <c r="O6216" s="3" t="s">
        <v>46</v>
      </c>
      <c r="P6216" s="5">
        <v>31</v>
      </c>
      <c r="Q6216" s="5">
        <v>724</v>
      </c>
      <c r="R6216" s="5">
        <v>26</v>
      </c>
      <c r="S6216" s="5">
        <v>692</v>
      </c>
    </row>
    <row r="6217" spans="1:19" ht="28" x14ac:dyDescent="0.15">
      <c r="A6217" s="2">
        <f>HYPERLINK("https://open-school.uspishnemisto.com.ua/school/320408/", 320408)</f>
        <v>320408</v>
      </c>
      <c r="B6217" s="3" t="s">
        <v>32628</v>
      </c>
      <c r="C6217" s="3" t="s">
        <v>54</v>
      </c>
      <c r="D6217" s="3" t="s">
        <v>175</v>
      </c>
      <c r="E6217" s="4" t="s">
        <v>22</v>
      </c>
      <c r="F6217" s="4" t="s">
        <v>32617</v>
      </c>
      <c r="G6217" s="4" t="s">
        <v>32618</v>
      </c>
      <c r="H6217" s="3" t="s">
        <v>30534</v>
      </c>
      <c r="I6217" s="3" t="s">
        <v>32619</v>
      </c>
      <c r="J6217" s="3" t="s">
        <v>32629</v>
      </c>
      <c r="K6217" s="3" t="s">
        <v>32630</v>
      </c>
      <c r="L6217" s="3" t="s">
        <v>32631</v>
      </c>
      <c r="M6217" s="4"/>
      <c r="N6217" s="3" t="s">
        <v>37</v>
      </c>
      <c r="O6217" s="3" t="s">
        <v>46</v>
      </c>
      <c r="P6217" s="5">
        <v>11</v>
      </c>
      <c r="Q6217" s="5">
        <v>300</v>
      </c>
      <c r="R6217" s="5">
        <v>11</v>
      </c>
      <c r="S6217" s="5">
        <v>300</v>
      </c>
    </row>
    <row r="6218" spans="1:19" ht="42" x14ac:dyDescent="0.15">
      <c r="A6218" s="2">
        <f>HYPERLINK("https://open-school.uspishnemisto.com.ua/school/320409/", 320409)</f>
        <v>320409</v>
      </c>
      <c r="B6218" s="3" t="s">
        <v>32632</v>
      </c>
      <c r="C6218" s="3" t="s">
        <v>31</v>
      </c>
      <c r="D6218" s="3" t="s">
        <v>175</v>
      </c>
      <c r="E6218" s="4" t="s">
        <v>22</v>
      </c>
      <c r="F6218" s="4" t="s">
        <v>32633</v>
      </c>
      <c r="G6218" s="4" t="s">
        <v>32634</v>
      </c>
      <c r="H6218" s="3" t="s">
        <v>30534</v>
      </c>
      <c r="I6218" s="3" t="s">
        <v>32635</v>
      </c>
      <c r="J6218" s="3" t="s">
        <v>32636</v>
      </c>
      <c r="K6218" s="3" t="s">
        <v>32637</v>
      </c>
      <c r="L6218" s="3" t="s">
        <v>32638</v>
      </c>
      <c r="M6218" s="4"/>
      <c r="N6218" s="3" t="s">
        <v>37</v>
      </c>
      <c r="O6218" s="3" t="s">
        <v>52</v>
      </c>
      <c r="P6218" s="5">
        <v>9</v>
      </c>
      <c r="Q6218" s="5">
        <v>61</v>
      </c>
      <c r="R6218" s="5">
        <v>9</v>
      </c>
      <c r="S6218" s="5">
        <v>60</v>
      </c>
    </row>
    <row r="6219" spans="1:19" ht="28" x14ac:dyDescent="0.15">
      <c r="A6219" s="2">
        <f>HYPERLINK("https://open-school.uspishnemisto.com.ua/school/320410/", 320410)</f>
        <v>320410</v>
      </c>
      <c r="B6219" s="3" t="s">
        <v>32639</v>
      </c>
      <c r="C6219" s="3" t="s">
        <v>31</v>
      </c>
      <c r="D6219" s="3" t="s">
        <v>32</v>
      </c>
      <c r="E6219" s="4" t="s">
        <v>22</v>
      </c>
      <c r="F6219" s="4" t="s">
        <v>32640</v>
      </c>
      <c r="G6219" s="4" t="s">
        <v>32641</v>
      </c>
      <c r="H6219" s="3" t="s">
        <v>30534</v>
      </c>
      <c r="I6219" s="3" t="s">
        <v>32642</v>
      </c>
      <c r="J6219" s="3" t="s">
        <v>2185</v>
      </c>
      <c r="K6219" s="3" t="s">
        <v>32643</v>
      </c>
      <c r="L6219" s="3"/>
      <c r="M6219" s="4"/>
      <c r="N6219" s="3" t="s">
        <v>37</v>
      </c>
      <c r="O6219" s="3" t="s">
        <v>52</v>
      </c>
      <c r="P6219" s="5">
        <v>10</v>
      </c>
      <c r="Q6219" s="5">
        <v>85</v>
      </c>
      <c r="R6219" s="5">
        <v>11</v>
      </c>
      <c r="S6219" s="5">
        <v>95</v>
      </c>
    </row>
    <row r="6220" spans="1:19" ht="28" x14ac:dyDescent="0.15">
      <c r="A6220" s="2">
        <f>HYPERLINK("https://open-school.uspishnemisto.com.ua/school/320411/", 320411)</f>
        <v>320411</v>
      </c>
      <c r="B6220" s="3" t="s">
        <v>32644</v>
      </c>
      <c r="C6220" s="3" t="s">
        <v>31</v>
      </c>
      <c r="D6220" s="3" t="s">
        <v>175</v>
      </c>
      <c r="E6220" s="4" t="s">
        <v>22</v>
      </c>
      <c r="F6220" s="4" t="s">
        <v>32645</v>
      </c>
      <c r="G6220" s="4" t="s">
        <v>32646</v>
      </c>
      <c r="H6220" s="3" t="s">
        <v>30534</v>
      </c>
      <c r="I6220" s="3" t="s">
        <v>32647</v>
      </c>
      <c r="J6220" s="3" t="s">
        <v>6899</v>
      </c>
      <c r="K6220" s="3" t="s">
        <v>32648</v>
      </c>
      <c r="L6220" s="3"/>
      <c r="M6220" s="4"/>
      <c r="N6220" s="3" t="s">
        <v>37</v>
      </c>
      <c r="O6220" s="3" t="s">
        <v>52</v>
      </c>
      <c r="P6220" s="5">
        <v>6</v>
      </c>
      <c r="Q6220" s="5">
        <v>43</v>
      </c>
      <c r="R6220" s="5">
        <v>7</v>
      </c>
      <c r="S6220" s="5">
        <v>46</v>
      </c>
    </row>
    <row r="6221" spans="1:19" ht="28" x14ac:dyDescent="0.15">
      <c r="A6221" s="2">
        <f>HYPERLINK("https://open-school.uspishnemisto.com.ua/school/320412/", 320412)</f>
        <v>320412</v>
      </c>
      <c r="B6221" s="3" t="s">
        <v>32649</v>
      </c>
      <c r="C6221" s="3" t="s">
        <v>31</v>
      </c>
      <c r="D6221" s="3" t="s">
        <v>175</v>
      </c>
      <c r="E6221" s="4" t="s">
        <v>22</v>
      </c>
      <c r="F6221" s="4" t="s">
        <v>32650</v>
      </c>
      <c r="G6221" s="4" t="s">
        <v>32651</v>
      </c>
      <c r="H6221" s="3" t="s">
        <v>30534</v>
      </c>
      <c r="I6221" s="3" t="s">
        <v>883</v>
      </c>
      <c r="J6221" s="3" t="s">
        <v>32652</v>
      </c>
      <c r="K6221" s="3" t="s">
        <v>32653</v>
      </c>
      <c r="L6221" s="3"/>
      <c r="M6221" s="4"/>
      <c r="N6221" s="3" t="s">
        <v>37</v>
      </c>
      <c r="O6221" s="3" t="s">
        <v>52</v>
      </c>
      <c r="P6221" s="5">
        <v>7</v>
      </c>
      <c r="Q6221" s="5">
        <v>47</v>
      </c>
      <c r="R6221" s="5">
        <v>8</v>
      </c>
      <c r="S6221" s="5">
        <v>52</v>
      </c>
    </row>
    <row r="6222" spans="1:19" ht="28" x14ac:dyDescent="0.15">
      <c r="A6222" s="2">
        <f>HYPERLINK("https://open-school.uspishnemisto.com.ua/school/320413/", 320413)</f>
        <v>320413</v>
      </c>
      <c r="B6222" s="3" t="s">
        <v>32654</v>
      </c>
      <c r="C6222" s="3" t="s">
        <v>54</v>
      </c>
      <c r="D6222" s="3" t="s">
        <v>60</v>
      </c>
      <c r="E6222" s="4" t="s">
        <v>22</v>
      </c>
      <c r="F6222" s="4" t="s">
        <v>32655</v>
      </c>
      <c r="G6222" s="4" t="s">
        <v>32656</v>
      </c>
      <c r="H6222" s="3" t="s">
        <v>30534</v>
      </c>
      <c r="I6222" s="3" t="s">
        <v>32657</v>
      </c>
      <c r="J6222" s="3" t="s">
        <v>32658</v>
      </c>
      <c r="K6222" s="3" t="s">
        <v>32659</v>
      </c>
      <c r="L6222" s="3"/>
      <c r="M6222" s="4"/>
      <c r="N6222" s="3" t="s">
        <v>37</v>
      </c>
      <c r="O6222" s="3" t="s">
        <v>52</v>
      </c>
      <c r="P6222" s="5">
        <v>3</v>
      </c>
      <c r="Q6222" s="5">
        <v>18</v>
      </c>
      <c r="R6222" s="5">
        <v>2</v>
      </c>
      <c r="S6222" s="5">
        <v>13</v>
      </c>
    </row>
    <row r="6223" spans="1:19" ht="28" x14ac:dyDescent="0.15">
      <c r="A6223" s="2">
        <f>HYPERLINK("https://open-school.uspishnemisto.com.ua/school/320414/", 320414)</f>
        <v>320414</v>
      </c>
      <c r="B6223" s="3" t="s">
        <v>32660</v>
      </c>
      <c r="C6223" s="3" t="s">
        <v>54</v>
      </c>
      <c r="D6223" s="3" t="s">
        <v>60</v>
      </c>
      <c r="E6223" s="4" t="s">
        <v>22</v>
      </c>
      <c r="F6223" s="4" t="s">
        <v>32661</v>
      </c>
      <c r="G6223" s="4" t="s">
        <v>32662</v>
      </c>
      <c r="H6223" s="3" t="s">
        <v>30534</v>
      </c>
      <c r="I6223" s="3" t="s">
        <v>32663</v>
      </c>
      <c r="J6223" s="3" t="s">
        <v>32664</v>
      </c>
      <c r="K6223" s="3" t="s">
        <v>32665</v>
      </c>
      <c r="L6223" s="3" t="s">
        <v>32666</v>
      </c>
      <c r="M6223" s="4"/>
      <c r="N6223" s="3" t="s">
        <v>37</v>
      </c>
      <c r="O6223" s="3" t="s">
        <v>52</v>
      </c>
      <c r="P6223" s="5">
        <v>3</v>
      </c>
      <c r="Q6223" s="5">
        <v>22</v>
      </c>
      <c r="R6223" s="5">
        <v>2</v>
      </c>
      <c r="S6223" s="5">
        <v>15</v>
      </c>
    </row>
    <row r="6224" spans="1:19" ht="28" x14ac:dyDescent="0.15">
      <c r="A6224" s="2">
        <f>HYPERLINK("https://open-school.uspishnemisto.com.ua/school/320415/", 320415)</f>
        <v>320415</v>
      </c>
      <c r="B6224" s="3" t="s">
        <v>32667</v>
      </c>
      <c r="C6224" s="3" t="s">
        <v>31</v>
      </c>
      <c r="D6224" s="3" t="s">
        <v>175</v>
      </c>
      <c r="E6224" s="4" t="s">
        <v>22</v>
      </c>
      <c r="F6224" s="4" t="s">
        <v>32668</v>
      </c>
      <c r="G6224" s="4" t="s">
        <v>32669</v>
      </c>
      <c r="H6224" s="3" t="s">
        <v>30534</v>
      </c>
      <c r="I6224" s="3" t="s">
        <v>32670</v>
      </c>
      <c r="J6224" s="3" t="s">
        <v>32671</v>
      </c>
      <c r="K6224" s="3" t="s">
        <v>32672</v>
      </c>
      <c r="L6224" s="3"/>
      <c r="M6224" s="4"/>
      <c r="N6224" s="3" t="s">
        <v>37</v>
      </c>
      <c r="O6224" s="3" t="s">
        <v>52</v>
      </c>
      <c r="P6224" s="5">
        <v>7</v>
      </c>
      <c r="Q6224" s="5">
        <v>62</v>
      </c>
      <c r="R6224" s="5">
        <v>6</v>
      </c>
      <c r="S6224" s="5">
        <v>54</v>
      </c>
    </row>
    <row r="6225" spans="1:19" ht="28" x14ac:dyDescent="0.15">
      <c r="A6225" s="2">
        <f>HYPERLINK("https://open-school.uspishnemisto.com.ua/school/320416/", 320416)</f>
        <v>320416</v>
      </c>
      <c r="B6225" s="3" t="s">
        <v>32673</v>
      </c>
      <c r="C6225" s="3" t="s">
        <v>31</v>
      </c>
      <c r="D6225" s="3" t="s">
        <v>175</v>
      </c>
      <c r="E6225" s="4" t="s">
        <v>22</v>
      </c>
      <c r="F6225" s="4" t="s">
        <v>32674</v>
      </c>
      <c r="G6225" s="4" t="s">
        <v>32675</v>
      </c>
      <c r="H6225" s="3" t="s">
        <v>30534</v>
      </c>
      <c r="I6225" s="3" t="s">
        <v>496</v>
      </c>
      <c r="J6225" s="3" t="s">
        <v>32676</v>
      </c>
      <c r="K6225" s="3" t="s">
        <v>32677</v>
      </c>
      <c r="L6225" s="3" t="s">
        <v>32678</v>
      </c>
      <c r="M6225" s="4"/>
      <c r="N6225" s="3" t="s">
        <v>37</v>
      </c>
      <c r="O6225" s="3" t="s">
        <v>52</v>
      </c>
      <c r="P6225" s="5">
        <v>9</v>
      </c>
      <c r="Q6225" s="5">
        <v>62</v>
      </c>
      <c r="R6225" s="5">
        <v>9</v>
      </c>
      <c r="S6225" s="5">
        <v>65</v>
      </c>
    </row>
    <row r="6226" spans="1:19" ht="28" x14ac:dyDescent="0.15">
      <c r="A6226" s="2">
        <f>HYPERLINK("https://open-school.uspishnemisto.com.ua/school/320417/", 320417)</f>
        <v>320417</v>
      </c>
      <c r="B6226" s="3" t="s">
        <v>32679</v>
      </c>
      <c r="C6226" s="3" t="s">
        <v>31</v>
      </c>
      <c r="D6226" s="3" t="s">
        <v>32</v>
      </c>
      <c r="E6226" s="4" t="s">
        <v>22</v>
      </c>
      <c r="F6226" s="4" t="s">
        <v>32680</v>
      </c>
      <c r="G6226" s="4" t="s">
        <v>32681</v>
      </c>
      <c r="H6226" s="3" t="s">
        <v>30534</v>
      </c>
      <c r="I6226" s="3" t="s">
        <v>32682</v>
      </c>
      <c r="J6226" s="3" t="s">
        <v>32683</v>
      </c>
      <c r="K6226" s="3" t="s">
        <v>32684</v>
      </c>
      <c r="L6226" s="3" t="s">
        <v>32685</v>
      </c>
      <c r="M6226" s="4"/>
      <c r="N6226" s="3" t="s">
        <v>37</v>
      </c>
      <c r="O6226" s="3" t="s">
        <v>52</v>
      </c>
      <c r="P6226" s="5">
        <v>15</v>
      </c>
      <c r="Q6226" s="5">
        <v>170</v>
      </c>
      <c r="R6226" s="5">
        <v>11</v>
      </c>
      <c r="S6226" s="5">
        <v>160</v>
      </c>
    </row>
    <row r="6227" spans="1:19" ht="28" x14ac:dyDescent="0.15">
      <c r="A6227" s="2">
        <f>HYPERLINK("https://open-school.uspishnemisto.com.ua/school/320418/", 320418)</f>
        <v>320418</v>
      </c>
      <c r="B6227" s="3" t="s">
        <v>32686</v>
      </c>
      <c r="C6227" s="3" t="s">
        <v>31</v>
      </c>
      <c r="D6227" s="3" t="s">
        <v>32</v>
      </c>
      <c r="E6227" s="4" t="s">
        <v>22</v>
      </c>
      <c r="F6227" s="4" t="s">
        <v>32687</v>
      </c>
      <c r="G6227" s="4" t="s">
        <v>32688</v>
      </c>
      <c r="H6227" s="3" t="s">
        <v>30534</v>
      </c>
      <c r="I6227" s="3" t="s">
        <v>32689</v>
      </c>
      <c r="J6227" s="3" t="s">
        <v>2185</v>
      </c>
      <c r="K6227" s="3"/>
      <c r="L6227" s="3"/>
      <c r="M6227" s="4"/>
      <c r="N6227" s="3" t="s">
        <v>37</v>
      </c>
      <c r="O6227" s="3" t="s">
        <v>52</v>
      </c>
      <c r="P6227" s="5">
        <v>10</v>
      </c>
      <c r="Q6227" s="5">
        <v>76</v>
      </c>
      <c r="R6227" s="5">
        <v>10</v>
      </c>
      <c r="S6227" s="5">
        <v>79</v>
      </c>
    </row>
    <row r="6228" spans="1:19" ht="28" x14ac:dyDescent="0.15">
      <c r="A6228" s="2">
        <f>HYPERLINK("https://open-school.uspishnemisto.com.ua/school/320419/", 320419)</f>
        <v>320419</v>
      </c>
      <c r="B6228" s="3" t="s">
        <v>32690</v>
      </c>
      <c r="C6228" s="3" t="s">
        <v>31</v>
      </c>
      <c r="D6228" s="3" t="s">
        <v>175</v>
      </c>
      <c r="E6228" s="4" t="s">
        <v>22</v>
      </c>
      <c r="F6228" s="4" t="s">
        <v>32691</v>
      </c>
      <c r="G6228" s="4" t="s">
        <v>32692</v>
      </c>
      <c r="H6228" s="3" t="s">
        <v>30534</v>
      </c>
      <c r="I6228" s="3" t="s">
        <v>32693</v>
      </c>
      <c r="J6228" s="3" t="s">
        <v>32694</v>
      </c>
      <c r="K6228" s="3" t="s">
        <v>32695</v>
      </c>
      <c r="L6228" s="3"/>
      <c r="M6228" s="4"/>
      <c r="N6228" s="3" t="s">
        <v>37</v>
      </c>
      <c r="O6228" s="3" t="s">
        <v>52</v>
      </c>
      <c r="P6228" s="5">
        <v>7</v>
      </c>
      <c r="Q6228" s="5">
        <v>48</v>
      </c>
      <c r="R6228" s="5">
        <v>7</v>
      </c>
      <c r="S6228" s="5">
        <v>44</v>
      </c>
    </row>
    <row r="6229" spans="1:19" ht="28" x14ac:dyDescent="0.15">
      <c r="A6229" s="2">
        <f>HYPERLINK("https://open-school.uspishnemisto.com.ua/school/320420/", 320420)</f>
        <v>320420</v>
      </c>
      <c r="B6229" s="3" t="s">
        <v>32696</v>
      </c>
      <c r="C6229" s="3" t="s">
        <v>31</v>
      </c>
      <c r="D6229" s="3" t="s">
        <v>32</v>
      </c>
      <c r="E6229" s="4" t="s">
        <v>22</v>
      </c>
      <c r="F6229" s="4" t="s">
        <v>32697</v>
      </c>
      <c r="G6229" s="4" t="s">
        <v>32698</v>
      </c>
      <c r="H6229" s="3" t="s">
        <v>30534</v>
      </c>
      <c r="I6229" s="3" t="s">
        <v>19024</v>
      </c>
      <c r="J6229" s="3" t="s">
        <v>32699</v>
      </c>
      <c r="K6229" s="3" t="s">
        <v>32700</v>
      </c>
      <c r="L6229" s="3" t="s">
        <v>32701</v>
      </c>
      <c r="M6229" s="4"/>
      <c r="N6229" s="3" t="s">
        <v>37</v>
      </c>
      <c r="O6229" s="3" t="s">
        <v>52</v>
      </c>
      <c r="P6229" s="5">
        <v>10</v>
      </c>
      <c r="Q6229" s="5">
        <v>113</v>
      </c>
      <c r="R6229" s="5">
        <v>10</v>
      </c>
      <c r="S6229" s="5">
        <v>101</v>
      </c>
    </row>
    <row r="6230" spans="1:19" ht="28" x14ac:dyDescent="0.15">
      <c r="A6230" s="2">
        <f>HYPERLINK("https://open-school.uspishnemisto.com.ua/school/320421/", 320421)</f>
        <v>320421</v>
      </c>
      <c r="B6230" s="3" t="s">
        <v>32702</v>
      </c>
      <c r="C6230" s="3" t="s">
        <v>31</v>
      </c>
      <c r="D6230" s="3" t="s">
        <v>32</v>
      </c>
      <c r="E6230" s="4" t="s">
        <v>22</v>
      </c>
      <c r="F6230" s="4" t="s">
        <v>32703</v>
      </c>
      <c r="G6230" s="4" t="s">
        <v>32704</v>
      </c>
      <c r="H6230" s="3" t="s">
        <v>30534</v>
      </c>
      <c r="I6230" s="3" t="s">
        <v>32705</v>
      </c>
      <c r="J6230" s="3" t="s">
        <v>16914</v>
      </c>
      <c r="K6230" s="3" t="s">
        <v>32706</v>
      </c>
      <c r="L6230" s="3" t="s">
        <v>32707</v>
      </c>
      <c r="M6230" s="4"/>
      <c r="N6230" s="3" t="s">
        <v>37</v>
      </c>
      <c r="O6230" s="3" t="s">
        <v>52</v>
      </c>
      <c r="P6230" s="5">
        <v>10</v>
      </c>
      <c r="Q6230" s="5">
        <v>162</v>
      </c>
      <c r="R6230" s="5">
        <v>10</v>
      </c>
      <c r="S6230" s="5">
        <v>162</v>
      </c>
    </row>
    <row r="6231" spans="1:19" ht="42" x14ac:dyDescent="0.15">
      <c r="A6231" s="2">
        <f>HYPERLINK("https://open-school.uspishnemisto.com.ua/school/320422/", 320422)</f>
        <v>320422</v>
      </c>
      <c r="B6231" s="3" t="s">
        <v>32708</v>
      </c>
      <c r="C6231" s="3" t="s">
        <v>31</v>
      </c>
      <c r="D6231" s="3" t="s">
        <v>32</v>
      </c>
      <c r="E6231" s="4" t="s">
        <v>22</v>
      </c>
      <c r="F6231" s="4" t="s">
        <v>32709</v>
      </c>
      <c r="G6231" s="4" t="s">
        <v>32710</v>
      </c>
      <c r="H6231" s="3" t="s">
        <v>30534</v>
      </c>
      <c r="I6231" s="3" t="s">
        <v>32711</v>
      </c>
      <c r="J6231" s="3" t="s">
        <v>466</v>
      </c>
      <c r="K6231" s="3" t="s">
        <v>32712</v>
      </c>
      <c r="L6231" s="3"/>
      <c r="M6231" s="4"/>
      <c r="N6231" s="3" t="s">
        <v>37</v>
      </c>
      <c r="O6231" s="3" t="s">
        <v>52</v>
      </c>
      <c r="P6231" s="5">
        <v>11</v>
      </c>
      <c r="Q6231" s="5">
        <v>168</v>
      </c>
      <c r="R6231" s="5">
        <v>11</v>
      </c>
      <c r="S6231" s="5">
        <v>180</v>
      </c>
    </row>
    <row r="6232" spans="1:19" ht="28" x14ac:dyDescent="0.15">
      <c r="A6232" s="2">
        <f>HYPERLINK("https://open-school.uspishnemisto.com.ua/school/320423/", 320423)</f>
        <v>320423</v>
      </c>
      <c r="B6232" s="3" t="s">
        <v>32713</v>
      </c>
      <c r="C6232" s="3" t="s">
        <v>31</v>
      </c>
      <c r="D6232" s="3" t="s">
        <v>175</v>
      </c>
      <c r="E6232" s="4" t="s">
        <v>22</v>
      </c>
      <c r="F6232" s="4" t="s">
        <v>32714</v>
      </c>
      <c r="G6232" s="4" t="s">
        <v>32715</v>
      </c>
      <c r="H6232" s="3" t="s">
        <v>30534</v>
      </c>
      <c r="I6232" s="3" t="s">
        <v>32716</v>
      </c>
      <c r="J6232" s="3" t="s">
        <v>32717</v>
      </c>
      <c r="K6232" s="3" t="s">
        <v>32718</v>
      </c>
      <c r="L6232" s="3" t="s">
        <v>32719</v>
      </c>
      <c r="M6232" s="4"/>
      <c r="N6232" s="3" t="s">
        <v>37</v>
      </c>
      <c r="O6232" s="3" t="s">
        <v>52</v>
      </c>
      <c r="P6232" s="5">
        <v>4</v>
      </c>
      <c r="Q6232" s="5">
        <v>40</v>
      </c>
      <c r="R6232" s="5">
        <v>3</v>
      </c>
      <c r="S6232" s="5">
        <v>37</v>
      </c>
    </row>
    <row r="6233" spans="1:19" ht="28" x14ac:dyDescent="0.15">
      <c r="A6233" s="2">
        <f>HYPERLINK("https://open-school.uspishnemisto.com.ua/school/320424/", 320424)</f>
        <v>320424</v>
      </c>
      <c r="B6233" s="3" t="s">
        <v>19235</v>
      </c>
      <c r="C6233" s="3" t="s">
        <v>31</v>
      </c>
      <c r="D6233" s="3" t="s">
        <v>175</v>
      </c>
      <c r="E6233" s="4" t="s">
        <v>22</v>
      </c>
      <c r="F6233" s="4" t="s">
        <v>32720</v>
      </c>
      <c r="G6233" s="4" t="s">
        <v>32721</v>
      </c>
      <c r="H6233" s="3" t="s">
        <v>30534</v>
      </c>
      <c r="I6233" s="3" t="s">
        <v>19238</v>
      </c>
      <c r="J6233" s="3" t="s">
        <v>466</v>
      </c>
      <c r="K6233" s="3"/>
      <c r="L6233" s="3"/>
      <c r="M6233" s="4"/>
      <c r="N6233" s="3"/>
      <c r="O6233" s="3"/>
      <c r="P6233" s="5">
        <v>0</v>
      </c>
      <c r="Q6233" s="5">
        <v>0</v>
      </c>
      <c r="R6233" s="5"/>
      <c r="S6233" s="5"/>
    </row>
    <row r="6234" spans="1:19" ht="28" x14ac:dyDescent="0.15">
      <c r="A6234" s="2">
        <f>HYPERLINK("https://open-school.uspishnemisto.com.ua/school/320425/", 320425)</f>
        <v>320425</v>
      </c>
      <c r="B6234" s="3" t="s">
        <v>32722</v>
      </c>
      <c r="C6234" s="3" t="s">
        <v>31</v>
      </c>
      <c r="D6234" s="3" t="s">
        <v>175</v>
      </c>
      <c r="E6234" s="4" t="s">
        <v>22</v>
      </c>
      <c r="F6234" s="4" t="s">
        <v>32723</v>
      </c>
      <c r="G6234" s="4" t="s">
        <v>32724</v>
      </c>
      <c r="H6234" s="3" t="s">
        <v>30534</v>
      </c>
      <c r="I6234" s="3" t="s">
        <v>32725</v>
      </c>
      <c r="J6234" s="3" t="s">
        <v>513</v>
      </c>
      <c r="K6234" s="3" t="s">
        <v>32726</v>
      </c>
      <c r="L6234" s="3"/>
      <c r="M6234" s="4"/>
      <c r="N6234" s="3"/>
      <c r="O6234" s="3"/>
      <c r="P6234" s="5">
        <v>0</v>
      </c>
      <c r="Q6234" s="5">
        <v>0</v>
      </c>
      <c r="R6234" s="5"/>
      <c r="S6234" s="5"/>
    </row>
    <row r="6235" spans="1:19" ht="28" x14ac:dyDescent="0.15">
      <c r="A6235" s="2">
        <f>HYPERLINK("https://open-school.uspishnemisto.com.ua/school/320426/", 320426)</f>
        <v>320426</v>
      </c>
      <c r="B6235" s="3" t="s">
        <v>32727</v>
      </c>
      <c r="C6235" s="3" t="s">
        <v>31</v>
      </c>
      <c r="D6235" s="3" t="s">
        <v>32</v>
      </c>
      <c r="E6235" s="4" t="s">
        <v>22</v>
      </c>
      <c r="F6235" s="4" t="s">
        <v>32728</v>
      </c>
      <c r="G6235" s="4" t="s">
        <v>32729</v>
      </c>
      <c r="H6235" s="3" t="s">
        <v>30534</v>
      </c>
      <c r="I6235" s="3" t="s">
        <v>19819</v>
      </c>
      <c r="J6235" s="3" t="s">
        <v>32730</v>
      </c>
      <c r="K6235" s="3" t="s">
        <v>32731</v>
      </c>
      <c r="L6235" s="3"/>
      <c r="M6235" s="4"/>
      <c r="N6235" s="3" t="s">
        <v>37</v>
      </c>
      <c r="O6235" s="3" t="s">
        <v>52</v>
      </c>
      <c r="P6235" s="5">
        <v>11</v>
      </c>
      <c r="Q6235" s="5">
        <v>129</v>
      </c>
      <c r="R6235" s="5">
        <v>11</v>
      </c>
      <c r="S6235" s="5">
        <v>139</v>
      </c>
    </row>
    <row r="6236" spans="1:19" ht="28" x14ac:dyDescent="0.15">
      <c r="A6236" s="2">
        <f>HYPERLINK("https://open-school.uspishnemisto.com.ua/school/320427/", 320427)</f>
        <v>320427</v>
      </c>
      <c r="B6236" s="3" t="s">
        <v>32732</v>
      </c>
      <c r="C6236" s="3" t="s">
        <v>31</v>
      </c>
      <c r="D6236" s="3" t="s">
        <v>32</v>
      </c>
      <c r="E6236" s="4" t="s">
        <v>22</v>
      </c>
      <c r="F6236" s="4" t="s">
        <v>32733</v>
      </c>
      <c r="G6236" s="4" t="s">
        <v>32734</v>
      </c>
      <c r="H6236" s="3" t="s">
        <v>30534</v>
      </c>
      <c r="I6236" s="3" t="s">
        <v>32735</v>
      </c>
      <c r="J6236" s="3" t="s">
        <v>32736</v>
      </c>
      <c r="K6236" s="3" t="s">
        <v>32737</v>
      </c>
      <c r="L6236" s="3"/>
      <c r="M6236" s="4"/>
      <c r="N6236" s="3" t="s">
        <v>37</v>
      </c>
      <c r="O6236" s="3" t="s">
        <v>52</v>
      </c>
      <c r="P6236" s="5">
        <v>9</v>
      </c>
      <c r="Q6236" s="5">
        <v>63</v>
      </c>
      <c r="R6236" s="5">
        <v>9</v>
      </c>
      <c r="S6236" s="5">
        <v>67</v>
      </c>
    </row>
    <row r="6237" spans="1:19" ht="28" x14ac:dyDescent="0.15">
      <c r="A6237" s="2">
        <f>HYPERLINK("https://open-school.uspishnemisto.com.ua/school/320430/", 320430)</f>
        <v>320430</v>
      </c>
      <c r="B6237" s="3" t="s">
        <v>32738</v>
      </c>
      <c r="C6237" s="3" t="s">
        <v>31</v>
      </c>
      <c r="D6237" s="3" t="s">
        <v>175</v>
      </c>
      <c r="E6237" s="4" t="s">
        <v>41</v>
      </c>
      <c r="F6237" s="4" t="s">
        <v>32739</v>
      </c>
      <c r="G6237" s="4" t="s">
        <v>32740</v>
      </c>
      <c r="H6237" s="3" t="s">
        <v>30534</v>
      </c>
      <c r="I6237" s="3" t="s">
        <v>32741</v>
      </c>
      <c r="J6237" s="3" t="s">
        <v>32742</v>
      </c>
      <c r="K6237" s="3" t="s">
        <v>32743</v>
      </c>
      <c r="L6237" s="3"/>
      <c r="M6237" s="4"/>
      <c r="N6237" s="3" t="s">
        <v>37</v>
      </c>
      <c r="O6237" s="3" t="s">
        <v>52</v>
      </c>
      <c r="P6237" s="5">
        <v>9</v>
      </c>
      <c r="Q6237" s="5">
        <v>76</v>
      </c>
      <c r="R6237" s="5"/>
      <c r="S6237" s="5"/>
    </row>
    <row r="6238" spans="1:19" ht="42" x14ac:dyDescent="0.15">
      <c r="A6238" s="2">
        <f>HYPERLINK("https://open-school.uspishnemisto.com.ua/school/320431/", 320431)</f>
        <v>320431</v>
      </c>
      <c r="B6238" s="3" t="s">
        <v>32744</v>
      </c>
      <c r="C6238" s="3" t="s">
        <v>188</v>
      </c>
      <c r="D6238" s="3" t="s">
        <v>32</v>
      </c>
      <c r="E6238" s="4" t="s">
        <v>41</v>
      </c>
      <c r="F6238" s="4" t="s">
        <v>32745</v>
      </c>
      <c r="G6238" s="4" t="s">
        <v>32740</v>
      </c>
      <c r="H6238" s="3" t="s">
        <v>30534</v>
      </c>
      <c r="I6238" s="3" t="s">
        <v>32741</v>
      </c>
      <c r="J6238" s="3" t="s">
        <v>32746</v>
      </c>
      <c r="K6238" s="3" t="s">
        <v>32747</v>
      </c>
      <c r="L6238" s="3"/>
      <c r="M6238" s="4"/>
      <c r="N6238" s="3" t="s">
        <v>37</v>
      </c>
      <c r="O6238" s="3" t="s">
        <v>52</v>
      </c>
      <c r="P6238" s="5">
        <v>2</v>
      </c>
      <c r="Q6238" s="5">
        <v>24</v>
      </c>
      <c r="R6238" s="5"/>
      <c r="S6238" s="5"/>
    </row>
    <row r="6239" spans="1:19" ht="42" x14ac:dyDescent="0.15">
      <c r="A6239" s="2">
        <f>HYPERLINK("https://open-school.uspishnemisto.com.ua/school/320432/", 320432)</f>
        <v>320432</v>
      </c>
      <c r="B6239" s="3" t="s">
        <v>32748</v>
      </c>
      <c r="C6239" s="3" t="s">
        <v>20</v>
      </c>
      <c r="D6239" s="3" t="s">
        <v>21</v>
      </c>
      <c r="E6239" s="4" t="s">
        <v>22</v>
      </c>
      <c r="F6239" s="4" t="s">
        <v>32749</v>
      </c>
      <c r="G6239" s="4" t="s">
        <v>32740</v>
      </c>
      <c r="H6239" s="3" t="s">
        <v>30534</v>
      </c>
      <c r="I6239" s="3" t="s">
        <v>32741</v>
      </c>
      <c r="J6239" s="3" t="s">
        <v>4728</v>
      </c>
      <c r="K6239" s="3" t="s">
        <v>32750</v>
      </c>
      <c r="L6239" s="3"/>
      <c r="M6239" s="4"/>
      <c r="N6239" s="3"/>
      <c r="O6239" s="3"/>
      <c r="P6239" s="5">
        <v>0</v>
      </c>
      <c r="Q6239" s="5">
        <v>0</v>
      </c>
      <c r="R6239" s="5"/>
      <c r="S6239" s="5"/>
    </row>
    <row r="6240" spans="1:19" ht="42" x14ac:dyDescent="0.15">
      <c r="A6240" s="2">
        <f>HYPERLINK("https://open-school.uspishnemisto.com.ua/school/320433/", 320433)</f>
        <v>320433</v>
      </c>
      <c r="B6240" s="3" t="s">
        <v>32751</v>
      </c>
      <c r="C6240" s="3" t="s">
        <v>31</v>
      </c>
      <c r="D6240" s="3" t="s">
        <v>32</v>
      </c>
      <c r="E6240" s="4" t="s">
        <v>22</v>
      </c>
      <c r="F6240" s="4" t="s">
        <v>32745</v>
      </c>
      <c r="G6240" s="4" t="s">
        <v>32740</v>
      </c>
      <c r="H6240" s="3" t="s">
        <v>30534</v>
      </c>
      <c r="I6240" s="3" t="s">
        <v>32741</v>
      </c>
      <c r="J6240" s="3" t="s">
        <v>32752</v>
      </c>
      <c r="K6240" s="3" t="s">
        <v>32753</v>
      </c>
      <c r="L6240" s="3"/>
      <c r="M6240" s="4"/>
      <c r="N6240" s="3" t="s">
        <v>37</v>
      </c>
      <c r="O6240" s="3" t="s">
        <v>38</v>
      </c>
      <c r="P6240" s="5">
        <v>26</v>
      </c>
      <c r="Q6240" s="5">
        <v>611</v>
      </c>
      <c r="R6240" s="5">
        <v>25</v>
      </c>
      <c r="S6240" s="5">
        <v>543</v>
      </c>
    </row>
    <row r="6241" spans="1:19" ht="42" x14ac:dyDescent="0.15">
      <c r="A6241" s="2">
        <f>HYPERLINK("https://open-school.uspishnemisto.com.ua/school/320434/", 320434)</f>
        <v>320434</v>
      </c>
      <c r="B6241" s="3" t="s">
        <v>32754</v>
      </c>
      <c r="C6241" s="3" t="s">
        <v>31</v>
      </c>
      <c r="D6241" s="3" t="s">
        <v>32</v>
      </c>
      <c r="E6241" s="4" t="s">
        <v>22</v>
      </c>
      <c r="F6241" s="4" t="s">
        <v>32749</v>
      </c>
      <c r="G6241" s="4" t="s">
        <v>32740</v>
      </c>
      <c r="H6241" s="3" t="s">
        <v>30534</v>
      </c>
      <c r="I6241" s="3" t="s">
        <v>32741</v>
      </c>
      <c r="J6241" s="3" t="s">
        <v>4728</v>
      </c>
      <c r="K6241" s="3" t="s">
        <v>32755</v>
      </c>
      <c r="L6241" s="3" t="s">
        <v>32756</v>
      </c>
      <c r="M6241" s="4"/>
      <c r="N6241" s="3" t="s">
        <v>128</v>
      </c>
      <c r="O6241" s="3" t="s">
        <v>46</v>
      </c>
      <c r="P6241" s="5">
        <v>26</v>
      </c>
      <c r="Q6241" s="5">
        <v>630</v>
      </c>
      <c r="R6241" s="5">
        <v>26</v>
      </c>
      <c r="S6241" s="5">
        <v>644</v>
      </c>
    </row>
    <row r="6242" spans="1:19" ht="42" x14ac:dyDescent="0.15">
      <c r="A6242" s="2">
        <f>HYPERLINK("https://open-school.uspishnemisto.com.ua/school/320435/", 320435)</f>
        <v>320435</v>
      </c>
      <c r="B6242" s="3" t="s">
        <v>32757</v>
      </c>
      <c r="C6242" s="3" t="s">
        <v>31</v>
      </c>
      <c r="D6242" s="3" t="s">
        <v>32</v>
      </c>
      <c r="E6242" s="4" t="s">
        <v>22</v>
      </c>
      <c r="F6242" s="4" t="s">
        <v>32745</v>
      </c>
      <c r="G6242" s="4" t="s">
        <v>32740</v>
      </c>
      <c r="H6242" s="3" t="s">
        <v>30534</v>
      </c>
      <c r="I6242" s="3" t="s">
        <v>32741</v>
      </c>
      <c r="J6242" s="3" t="s">
        <v>32758</v>
      </c>
      <c r="K6242" s="3" t="s">
        <v>32759</v>
      </c>
      <c r="L6242" s="3" t="s">
        <v>32760</v>
      </c>
      <c r="M6242" s="4"/>
      <c r="N6242" s="3" t="s">
        <v>37</v>
      </c>
      <c r="O6242" s="3" t="s">
        <v>721</v>
      </c>
      <c r="P6242" s="5">
        <v>33</v>
      </c>
      <c r="Q6242" s="5">
        <v>874</v>
      </c>
      <c r="R6242" s="5">
        <v>30</v>
      </c>
      <c r="S6242" s="5">
        <v>791</v>
      </c>
    </row>
    <row r="6243" spans="1:19" ht="42" x14ac:dyDescent="0.15">
      <c r="A6243" s="2">
        <f>HYPERLINK("https://open-school.uspishnemisto.com.ua/school/320436/", 320436)</f>
        <v>320436</v>
      </c>
      <c r="B6243" s="3" t="s">
        <v>32761</v>
      </c>
      <c r="C6243" s="3" t="s">
        <v>31</v>
      </c>
      <c r="D6243" s="3" t="s">
        <v>32</v>
      </c>
      <c r="E6243" s="4" t="s">
        <v>22</v>
      </c>
      <c r="F6243" s="4" t="s">
        <v>32739</v>
      </c>
      <c r="G6243" s="4" t="s">
        <v>32740</v>
      </c>
      <c r="H6243" s="3" t="s">
        <v>30534</v>
      </c>
      <c r="I6243" s="3" t="s">
        <v>32741</v>
      </c>
      <c r="J6243" s="3" t="s">
        <v>30945</v>
      </c>
      <c r="K6243" s="3"/>
      <c r="L6243" s="3" t="s">
        <v>32762</v>
      </c>
      <c r="M6243" s="4"/>
      <c r="N6243" s="3" t="s">
        <v>37</v>
      </c>
      <c r="O6243" s="3" t="s">
        <v>70</v>
      </c>
      <c r="P6243" s="5">
        <v>21</v>
      </c>
      <c r="Q6243" s="5">
        <v>383</v>
      </c>
      <c r="R6243" s="5">
        <v>19</v>
      </c>
      <c r="S6243" s="5">
        <v>374</v>
      </c>
    </row>
    <row r="6244" spans="1:19" ht="28" x14ac:dyDescent="0.15">
      <c r="A6244" s="2">
        <f>HYPERLINK("https://open-school.uspishnemisto.com.ua/school/320437/", 320437)</f>
        <v>320437</v>
      </c>
      <c r="B6244" s="3" t="s">
        <v>32763</v>
      </c>
      <c r="C6244" s="3" t="s">
        <v>54</v>
      </c>
      <c r="D6244" s="3" t="s">
        <v>60</v>
      </c>
      <c r="E6244" s="4" t="s">
        <v>22</v>
      </c>
      <c r="F6244" s="4" t="s">
        <v>32764</v>
      </c>
      <c r="G6244" s="4" t="s">
        <v>32740</v>
      </c>
      <c r="H6244" s="3" t="s">
        <v>30534</v>
      </c>
      <c r="I6244" s="3" t="s">
        <v>32741</v>
      </c>
      <c r="J6244" s="3" t="s">
        <v>32765</v>
      </c>
      <c r="K6244" s="3"/>
      <c r="L6244" s="3"/>
      <c r="M6244" s="4" t="s">
        <v>32766</v>
      </c>
      <c r="N6244" s="3" t="s">
        <v>37</v>
      </c>
      <c r="O6244" s="3" t="s">
        <v>52</v>
      </c>
      <c r="P6244" s="5">
        <v>4</v>
      </c>
      <c r="Q6244" s="5">
        <v>35</v>
      </c>
      <c r="R6244" s="5">
        <v>4</v>
      </c>
      <c r="S6244" s="5">
        <v>42</v>
      </c>
    </row>
    <row r="6245" spans="1:19" ht="28" x14ac:dyDescent="0.15">
      <c r="A6245" s="2">
        <f>HYPERLINK("https://open-school.uspishnemisto.com.ua/school/320438/", 320438)</f>
        <v>320438</v>
      </c>
      <c r="B6245" s="3" t="s">
        <v>32767</v>
      </c>
      <c r="C6245" s="3" t="s">
        <v>54</v>
      </c>
      <c r="D6245" s="3" t="s">
        <v>32</v>
      </c>
      <c r="E6245" s="4" t="s">
        <v>22</v>
      </c>
      <c r="F6245" s="4" t="s">
        <v>32745</v>
      </c>
      <c r="G6245" s="4" t="s">
        <v>32740</v>
      </c>
      <c r="H6245" s="3" t="s">
        <v>30534</v>
      </c>
      <c r="I6245" s="3" t="s">
        <v>32741</v>
      </c>
      <c r="J6245" s="3" t="s">
        <v>32768</v>
      </c>
      <c r="K6245" s="3" t="s">
        <v>32769</v>
      </c>
      <c r="L6245" s="3" t="s">
        <v>32770</v>
      </c>
      <c r="M6245" s="4"/>
      <c r="N6245" s="3" t="s">
        <v>37</v>
      </c>
      <c r="O6245" s="3" t="s">
        <v>2776</v>
      </c>
      <c r="P6245" s="5">
        <v>54</v>
      </c>
      <c r="Q6245" s="5">
        <v>1559</v>
      </c>
      <c r="R6245" s="5">
        <v>50</v>
      </c>
      <c r="S6245" s="5">
        <v>1439</v>
      </c>
    </row>
    <row r="6246" spans="1:19" ht="56" x14ac:dyDescent="0.15">
      <c r="A6246" s="2">
        <f>HYPERLINK("https://open-school.uspishnemisto.com.ua/school/320439/", 320439)</f>
        <v>320439</v>
      </c>
      <c r="B6246" s="3" t="s">
        <v>32771</v>
      </c>
      <c r="C6246" s="3" t="s">
        <v>54</v>
      </c>
      <c r="D6246" s="3" t="s">
        <v>32</v>
      </c>
      <c r="E6246" s="4" t="s">
        <v>22</v>
      </c>
      <c r="F6246" s="4" t="s">
        <v>32745</v>
      </c>
      <c r="G6246" s="4" t="s">
        <v>32740</v>
      </c>
      <c r="H6246" s="3" t="s">
        <v>30534</v>
      </c>
      <c r="I6246" s="3" t="s">
        <v>32741</v>
      </c>
      <c r="J6246" s="3" t="s">
        <v>32772</v>
      </c>
      <c r="K6246" s="3" t="s">
        <v>32773</v>
      </c>
      <c r="L6246" s="3" t="s">
        <v>32774</v>
      </c>
      <c r="M6246" s="4"/>
      <c r="N6246" s="3" t="s">
        <v>37</v>
      </c>
      <c r="O6246" s="3" t="s">
        <v>46</v>
      </c>
      <c r="P6246" s="5">
        <v>43</v>
      </c>
      <c r="Q6246" s="5">
        <v>1198</v>
      </c>
      <c r="R6246" s="5">
        <v>44</v>
      </c>
      <c r="S6246" s="5">
        <v>1224</v>
      </c>
    </row>
    <row r="6247" spans="1:19" ht="28" x14ac:dyDescent="0.15">
      <c r="A6247" s="2">
        <f>HYPERLINK("https://open-school.uspishnemisto.com.ua/school/320440/", 320440)</f>
        <v>320440</v>
      </c>
      <c r="B6247" s="3" t="s">
        <v>32775</v>
      </c>
      <c r="C6247" s="3" t="s">
        <v>181</v>
      </c>
      <c r="D6247" s="3" t="s">
        <v>175</v>
      </c>
      <c r="E6247" s="4" t="s">
        <v>22</v>
      </c>
      <c r="F6247" s="4" t="s">
        <v>32739</v>
      </c>
      <c r="G6247" s="4" t="s">
        <v>32740</v>
      </c>
      <c r="H6247" s="3" t="s">
        <v>30534</v>
      </c>
      <c r="I6247" s="3" t="s">
        <v>32741</v>
      </c>
      <c r="J6247" s="3" t="s">
        <v>32776</v>
      </c>
      <c r="K6247" s="3"/>
      <c r="L6247" s="3"/>
      <c r="M6247" s="4" t="s">
        <v>32777</v>
      </c>
      <c r="N6247" s="3" t="s">
        <v>37</v>
      </c>
      <c r="O6247" s="3" t="s">
        <v>52</v>
      </c>
      <c r="P6247" s="5">
        <v>12</v>
      </c>
      <c r="Q6247" s="5">
        <v>80</v>
      </c>
      <c r="R6247" s="5">
        <v>12</v>
      </c>
      <c r="S6247" s="5">
        <v>80</v>
      </c>
    </row>
    <row r="6248" spans="1:19" ht="28" x14ac:dyDescent="0.15">
      <c r="A6248" s="2">
        <f>HYPERLINK("https://open-school.uspishnemisto.com.ua/school/320441/", 320441)</f>
        <v>320441</v>
      </c>
      <c r="B6248" s="3" t="s">
        <v>32778</v>
      </c>
      <c r="C6248" s="3" t="s">
        <v>31</v>
      </c>
      <c r="D6248" s="3" t="s">
        <v>32</v>
      </c>
      <c r="E6248" s="4" t="s">
        <v>41</v>
      </c>
      <c r="F6248" s="4" t="s">
        <v>32749</v>
      </c>
      <c r="G6248" s="4" t="s">
        <v>32740</v>
      </c>
      <c r="H6248" s="3" t="s">
        <v>30534</v>
      </c>
      <c r="I6248" s="3" t="s">
        <v>32741</v>
      </c>
      <c r="J6248" s="3" t="s">
        <v>32779</v>
      </c>
      <c r="K6248" s="3" t="s">
        <v>32780</v>
      </c>
      <c r="L6248" s="3"/>
      <c r="M6248" s="4"/>
      <c r="N6248" s="3" t="s">
        <v>37</v>
      </c>
      <c r="O6248" s="3" t="s">
        <v>139</v>
      </c>
      <c r="P6248" s="5">
        <v>9</v>
      </c>
      <c r="Q6248" s="5">
        <v>131</v>
      </c>
      <c r="R6248" s="5"/>
      <c r="S6248" s="5"/>
    </row>
    <row r="6249" spans="1:19" ht="56" x14ac:dyDescent="0.15">
      <c r="A6249" s="2">
        <f>HYPERLINK("https://open-school.uspishnemisto.com.ua/school/320442/", 320442)</f>
        <v>320442</v>
      </c>
      <c r="B6249" s="3" t="s">
        <v>32781</v>
      </c>
      <c r="C6249" s="3" t="s">
        <v>244</v>
      </c>
      <c r="D6249" s="3" t="s">
        <v>32</v>
      </c>
      <c r="E6249" s="4" t="s">
        <v>41</v>
      </c>
      <c r="F6249" s="4" t="s">
        <v>32745</v>
      </c>
      <c r="G6249" s="4" t="s">
        <v>32740</v>
      </c>
      <c r="H6249" s="3" t="s">
        <v>30534</v>
      </c>
      <c r="I6249" s="3" t="s">
        <v>32741</v>
      </c>
      <c r="J6249" s="3" t="s">
        <v>32746</v>
      </c>
      <c r="K6249" s="3" t="s">
        <v>32782</v>
      </c>
      <c r="L6249" s="3"/>
      <c r="M6249" s="4"/>
      <c r="N6249" s="3" t="s">
        <v>37</v>
      </c>
      <c r="O6249" s="3" t="s">
        <v>2740</v>
      </c>
      <c r="P6249" s="5">
        <v>8</v>
      </c>
      <c r="Q6249" s="5">
        <v>73</v>
      </c>
      <c r="R6249" s="5">
        <v>9</v>
      </c>
      <c r="S6249" s="5">
        <v>85</v>
      </c>
    </row>
    <row r="6250" spans="1:19" ht="42" x14ac:dyDescent="0.15">
      <c r="A6250" s="2">
        <f>HYPERLINK("https://open-school.uspishnemisto.com.ua/school/320443/", 320443)</f>
        <v>320443</v>
      </c>
      <c r="B6250" s="3" t="s">
        <v>32783</v>
      </c>
      <c r="C6250" s="3" t="s">
        <v>31</v>
      </c>
      <c r="D6250" s="3" t="s">
        <v>32</v>
      </c>
      <c r="E6250" s="4" t="s">
        <v>22</v>
      </c>
      <c r="F6250" s="4" t="s">
        <v>32784</v>
      </c>
      <c r="G6250" s="4" t="s">
        <v>32785</v>
      </c>
      <c r="H6250" s="3" t="s">
        <v>30534</v>
      </c>
      <c r="I6250" s="3" t="s">
        <v>12579</v>
      </c>
      <c r="J6250" s="3" t="s">
        <v>32786</v>
      </c>
      <c r="K6250" s="3" t="s">
        <v>32787</v>
      </c>
      <c r="L6250" s="3"/>
      <c r="M6250" s="4"/>
      <c r="N6250" s="3" t="s">
        <v>37</v>
      </c>
      <c r="O6250" s="3" t="s">
        <v>123</v>
      </c>
      <c r="P6250" s="5">
        <v>44</v>
      </c>
      <c r="Q6250" s="5">
        <v>1267</v>
      </c>
      <c r="R6250" s="5">
        <v>40</v>
      </c>
      <c r="S6250" s="5">
        <v>1121</v>
      </c>
    </row>
    <row r="6251" spans="1:19" ht="42" x14ac:dyDescent="0.15">
      <c r="A6251" s="2">
        <f>HYPERLINK("https://open-school.uspishnemisto.com.ua/school/320444/", 320444)</f>
        <v>320444</v>
      </c>
      <c r="B6251" s="3" t="s">
        <v>32788</v>
      </c>
      <c r="C6251" s="3" t="s">
        <v>31</v>
      </c>
      <c r="D6251" s="3" t="s">
        <v>32</v>
      </c>
      <c r="E6251" s="4" t="s">
        <v>22</v>
      </c>
      <c r="F6251" s="4" t="s">
        <v>32789</v>
      </c>
      <c r="G6251" s="4" t="s">
        <v>32785</v>
      </c>
      <c r="H6251" s="3" t="s">
        <v>30534</v>
      </c>
      <c r="I6251" s="3" t="s">
        <v>12579</v>
      </c>
      <c r="J6251" s="3" t="s">
        <v>32790</v>
      </c>
      <c r="K6251" s="3" t="s">
        <v>32791</v>
      </c>
      <c r="L6251" s="3" t="s">
        <v>32792</v>
      </c>
      <c r="M6251" s="4"/>
      <c r="N6251" s="3" t="s">
        <v>37</v>
      </c>
      <c r="O6251" s="3" t="s">
        <v>70</v>
      </c>
      <c r="P6251" s="5">
        <v>48</v>
      </c>
      <c r="Q6251" s="5">
        <v>1416</v>
      </c>
      <c r="R6251" s="5">
        <v>46</v>
      </c>
      <c r="S6251" s="5">
        <v>1304</v>
      </c>
    </row>
    <row r="6252" spans="1:19" ht="42" x14ac:dyDescent="0.15">
      <c r="A6252" s="2">
        <f>HYPERLINK("https://open-school.uspishnemisto.com.ua/school/320445/", 320445)</f>
        <v>320445</v>
      </c>
      <c r="B6252" s="3" t="s">
        <v>32793</v>
      </c>
      <c r="C6252" s="3" t="s">
        <v>31</v>
      </c>
      <c r="D6252" s="3" t="s">
        <v>32</v>
      </c>
      <c r="E6252" s="4" t="s">
        <v>22</v>
      </c>
      <c r="F6252" s="4" t="s">
        <v>32789</v>
      </c>
      <c r="G6252" s="4" t="s">
        <v>32785</v>
      </c>
      <c r="H6252" s="3" t="s">
        <v>30534</v>
      </c>
      <c r="I6252" s="3" t="s">
        <v>12579</v>
      </c>
      <c r="J6252" s="3" t="s">
        <v>32794</v>
      </c>
      <c r="K6252" s="3" t="s">
        <v>32795</v>
      </c>
      <c r="L6252" s="3" t="s">
        <v>32796</v>
      </c>
      <c r="M6252" s="4"/>
      <c r="N6252" s="3" t="s">
        <v>37</v>
      </c>
      <c r="O6252" s="3" t="s">
        <v>38</v>
      </c>
      <c r="P6252" s="5">
        <v>39</v>
      </c>
      <c r="Q6252" s="5">
        <v>1071</v>
      </c>
      <c r="R6252" s="5">
        <v>37</v>
      </c>
      <c r="S6252" s="5">
        <v>1014</v>
      </c>
    </row>
    <row r="6253" spans="1:19" ht="42" x14ac:dyDescent="0.15">
      <c r="A6253" s="2">
        <f>HYPERLINK("https://open-school.uspishnemisto.com.ua/school/320446/", 320446)</f>
        <v>320446</v>
      </c>
      <c r="B6253" s="3" t="s">
        <v>32797</v>
      </c>
      <c r="C6253" s="3" t="s">
        <v>31</v>
      </c>
      <c r="D6253" s="3" t="s">
        <v>32</v>
      </c>
      <c r="E6253" s="4" t="s">
        <v>22</v>
      </c>
      <c r="F6253" s="4" t="s">
        <v>32789</v>
      </c>
      <c r="G6253" s="4" t="s">
        <v>32785</v>
      </c>
      <c r="H6253" s="3" t="s">
        <v>30534</v>
      </c>
      <c r="I6253" s="3" t="s">
        <v>12579</v>
      </c>
      <c r="J6253" s="3" t="s">
        <v>32798</v>
      </c>
      <c r="K6253" s="3" t="s">
        <v>32799</v>
      </c>
      <c r="L6253" s="3"/>
      <c r="M6253" s="4"/>
      <c r="N6253" s="3" t="s">
        <v>37</v>
      </c>
      <c r="O6253" s="3" t="s">
        <v>23638</v>
      </c>
      <c r="P6253" s="5">
        <v>48</v>
      </c>
      <c r="Q6253" s="5">
        <v>1404</v>
      </c>
      <c r="R6253" s="5">
        <v>42</v>
      </c>
      <c r="S6253" s="5">
        <v>1301</v>
      </c>
    </row>
    <row r="6254" spans="1:19" ht="42" x14ac:dyDescent="0.15">
      <c r="A6254" s="2">
        <f>HYPERLINK("https://open-school.uspishnemisto.com.ua/school/320447/", 320447)</f>
        <v>320447</v>
      </c>
      <c r="B6254" s="3" t="s">
        <v>32800</v>
      </c>
      <c r="C6254" s="3" t="s">
        <v>31</v>
      </c>
      <c r="D6254" s="3" t="s">
        <v>32</v>
      </c>
      <c r="E6254" s="4" t="s">
        <v>22</v>
      </c>
      <c r="F6254" s="4" t="s">
        <v>32801</v>
      </c>
      <c r="G6254" s="4" t="s">
        <v>32802</v>
      </c>
      <c r="H6254" s="3" t="s">
        <v>30534</v>
      </c>
      <c r="I6254" s="3" t="s">
        <v>5383</v>
      </c>
      <c r="J6254" s="3" t="s">
        <v>6666</v>
      </c>
      <c r="K6254" s="3" t="s">
        <v>32803</v>
      </c>
      <c r="L6254" s="3"/>
      <c r="M6254" s="4"/>
      <c r="N6254" s="3" t="s">
        <v>37</v>
      </c>
      <c r="O6254" s="3" t="s">
        <v>266</v>
      </c>
      <c r="P6254" s="5">
        <v>28</v>
      </c>
      <c r="Q6254" s="5">
        <v>642</v>
      </c>
      <c r="R6254" s="5">
        <v>25</v>
      </c>
      <c r="S6254" s="5">
        <v>575</v>
      </c>
    </row>
    <row r="6255" spans="1:19" ht="42" x14ac:dyDescent="0.15">
      <c r="A6255" s="2">
        <f>HYPERLINK("https://open-school.uspishnemisto.com.ua/school/320448/", 320448)</f>
        <v>320448</v>
      </c>
      <c r="B6255" s="3" t="s">
        <v>32804</v>
      </c>
      <c r="C6255" s="3" t="s">
        <v>31</v>
      </c>
      <c r="D6255" s="3" t="s">
        <v>32</v>
      </c>
      <c r="E6255" s="4" t="s">
        <v>22</v>
      </c>
      <c r="F6255" s="4" t="s">
        <v>32805</v>
      </c>
      <c r="G6255" s="4" t="s">
        <v>32806</v>
      </c>
      <c r="H6255" s="3" t="s">
        <v>30534</v>
      </c>
      <c r="I6255" s="3" t="s">
        <v>32807</v>
      </c>
      <c r="J6255" s="3" t="s">
        <v>32808</v>
      </c>
      <c r="K6255" s="3" t="s">
        <v>32809</v>
      </c>
      <c r="L6255" s="3" t="s">
        <v>32810</v>
      </c>
      <c r="M6255" s="4"/>
      <c r="N6255" s="3" t="s">
        <v>37</v>
      </c>
      <c r="O6255" s="3" t="s">
        <v>70</v>
      </c>
      <c r="P6255" s="5">
        <v>21</v>
      </c>
      <c r="Q6255" s="5">
        <v>507</v>
      </c>
      <c r="R6255" s="5">
        <v>20</v>
      </c>
      <c r="S6255" s="5">
        <v>465</v>
      </c>
    </row>
    <row r="6256" spans="1:19" ht="42" x14ac:dyDescent="0.15">
      <c r="A6256" s="2">
        <f>HYPERLINK("https://open-school.uspishnemisto.com.ua/school/320449/", 320449)</f>
        <v>320449</v>
      </c>
      <c r="B6256" s="3" t="s">
        <v>32811</v>
      </c>
      <c r="C6256" s="3" t="s">
        <v>31</v>
      </c>
      <c r="D6256" s="3" t="s">
        <v>32</v>
      </c>
      <c r="E6256" s="4" t="s">
        <v>22</v>
      </c>
      <c r="F6256" s="4" t="s">
        <v>32805</v>
      </c>
      <c r="G6256" s="4" t="s">
        <v>32806</v>
      </c>
      <c r="H6256" s="3" t="s">
        <v>30534</v>
      </c>
      <c r="I6256" s="3" t="s">
        <v>32807</v>
      </c>
      <c r="J6256" s="3" t="s">
        <v>32812</v>
      </c>
      <c r="K6256" s="3" t="s">
        <v>32813</v>
      </c>
      <c r="L6256" s="3"/>
      <c r="M6256" s="4"/>
      <c r="N6256" s="3" t="s">
        <v>37</v>
      </c>
      <c r="O6256" s="3" t="s">
        <v>721</v>
      </c>
      <c r="P6256" s="5">
        <v>25</v>
      </c>
      <c r="Q6256" s="5">
        <v>677</v>
      </c>
      <c r="R6256" s="5">
        <v>24</v>
      </c>
      <c r="S6256" s="5">
        <v>644</v>
      </c>
    </row>
    <row r="6257" spans="1:19" ht="42" x14ac:dyDescent="0.15">
      <c r="A6257" s="2">
        <f>HYPERLINK("https://open-school.uspishnemisto.com.ua/school/320450/", 320450)</f>
        <v>320450</v>
      </c>
      <c r="B6257" s="3" t="s">
        <v>32814</v>
      </c>
      <c r="C6257" s="3" t="s">
        <v>31</v>
      </c>
      <c r="D6257" s="3" t="s">
        <v>60</v>
      </c>
      <c r="E6257" s="4" t="s">
        <v>22</v>
      </c>
      <c r="F6257" s="4" t="s">
        <v>32815</v>
      </c>
      <c r="G6257" s="4" t="s">
        <v>32816</v>
      </c>
      <c r="H6257" s="3" t="s">
        <v>30534</v>
      </c>
      <c r="I6257" s="3" t="s">
        <v>32817</v>
      </c>
      <c r="J6257" s="3" t="s">
        <v>3393</v>
      </c>
      <c r="K6257" s="3" t="s">
        <v>32818</v>
      </c>
      <c r="L6257" s="3"/>
      <c r="M6257" s="4"/>
      <c r="N6257" s="3" t="s">
        <v>37</v>
      </c>
      <c r="O6257" s="3" t="s">
        <v>618</v>
      </c>
      <c r="P6257" s="5">
        <v>2</v>
      </c>
      <c r="Q6257" s="5">
        <v>18</v>
      </c>
      <c r="R6257" s="5">
        <v>2</v>
      </c>
      <c r="S6257" s="5">
        <v>18</v>
      </c>
    </row>
    <row r="6258" spans="1:19" ht="42" x14ac:dyDescent="0.15">
      <c r="A6258" s="2">
        <f>HYPERLINK("https://open-school.uspishnemisto.com.ua/school/320451/", 320451)</f>
        <v>320451</v>
      </c>
      <c r="B6258" s="3" t="s">
        <v>32819</v>
      </c>
      <c r="C6258" s="3" t="s">
        <v>31</v>
      </c>
      <c r="D6258" s="3" t="s">
        <v>32</v>
      </c>
      <c r="E6258" s="4" t="s">
        <v>22</v>
      </c>
      <c r="F6258" s="4" t="s">
        <v>32820</v>
      </c>
      <c r="G6258" s="4" t="s">
        <v>32821</v>
      </c>
      <c r="H6258" s="3" t="s">
        <v>30534</v>
      </c>
      <c r="I6258" s="3" t="s">
        <v>32822</v>
      </c>
      <c r="J6258" s="3" t="s">
        <v>7495</v>
      </c>
      <c r="K6258" s="3" t="s">
        <v>32823</v>
      </c>
      <c r="L6258" s="3"/>
      <c r="M6258" s="4"/>
      <c r="N6258" s="3" t="s">
        <v>37</v>
      </c>
      <c r="O6258" s="3" t="s">
        <v>52</v>
      </c>
      <c r="P6258" s="5">
        <v>20</v>
      </c>
      <c r="Q6258" s="5">
        <v>382</v>
      </c>
      <c r="R6258" s="5">
        <v>19</v>
      </c>
      <c r="S6258" s="5">
        <v>381</v>
      </c>
    </row>
    <row r="6259" spans="1:19" ht="42" x14ac:dyDescent="0.15">
      <c r="A6259" s="2">
        <f>HYPERLINK("https://open-school.uspishnemisto.com.ua/school/320452/", 320452)</f>
        <v>320452</v>
      </c>
      <c r="B6259" s="3" t="s">
        <v>32824</v>
      </c>
      <c r="C6259" s="3" t="s">
        <v>244</v>
      </c>
      <c r="D6259" s="3" t="s">
        <v>175</v>
      </c>
      <c r="E6259" s="4" t="s">
        <v>41</v>
      </c>
      <c r="F6259" s="4" t="s">
        <v>32825</v>
      </c>
      <c r="G6259" s="4" t="s">
        <v>32826</v>
      </c>
      <c r="H6259" s="3" t="s">
        <v>30534</v>
      </c>
      <c r="I6259" s="3" t="s">
        <v>32827</v>
      </c>
      <c r="J6259" s="3" t="s">
        <v>32828</v>
      </c>
      <c r="K6259" s="3" t="s">
        <v>32829</v>
      </c>
      <c r="L6259" s="3"/>
      <c r="M6259" s="4"/>
      <c r="N6259" s="3" t="s">
        <v>37</v>
      </c>
      <c r="O6259" s="3" t="s">
        <v>2740</v>
      </c>
      <c r="P6259" s="5">
        <v>8</v>
      </c>
      <c r="Q6259" s="5">
        <v>113</v>
      </c>
      <c r="R6259" s="5"/>
      <c r="S6259" s="5"/>
    </row>
    <row r="6260" spans="1:19" ht="42" x14ac:dyDescent="0.15">
      <c r="A6260" s="2">
        <f>HYPERLINK("https://open-school.uspishnemisto.com.ua/school/320453/", 320453)</f>
        <v>320453</v>
      </c>
      <c r="B6260" s="3" t="s">
        <v>32830</v>
      </c>
      <c r="C6260" s="3" t="s">
        <v>31</v>
      </c>
      <c r="D6260" s="3" t="s">
        <v>32</v>
      </c>
      <c r="E6260" s="4" t="s">
        <v>22</v>
      </c>
      <c r="F6260" s="4" t="s">
        <v>32825</v>
      </c>
      <c r="G6260" s="4" t="s">
        <v>32831</v>
      </c>
      <c r="H6260" s="3" t="s">
        <v>30534</v>
      </c>
      <c r="I6260" s="3" t="s">
        <v>1797</v>
      </c>
      <c r="J6260" s="3" t="s">
        <v>1576</v>
      </c>
      <c r="K6260" s="3" t="s">
        <v>32832</v>
      </c>
      <c r="L6260" s="3"/>
      <c r="M6260" s="4"/>
      <c r="N6260" s="3" t="s">
        <v>37</v>
      </c>
      <c r="O6260" s="3" t="s">
        <v>38</v>
      </c>
      <c r="P6260" s="5">
        <v>12</v>
      </c>
      <c r="Q6260" s="5">
        <v>254</v>
      </c>
      <c r="R6260" s="5">
        <v>12</v>
      </c>
      <c r="S6260" s="5">
        <v>233</v>
      </c>
    </row>
    <row r="6261" spans="1:19" ht="42" x14ac:dyDescent="0.15">
      <c r="A6261" s="2">
        <f>HYPERLINK("https://open-school.uspishnemisto.com.ua/school/320454/", 320454)</f>
        <v>320454</v>
      </c>
      <c r="B6261" s="3" t="s">
        <v>32833</v>
      </c>
      <c r="C6261" s="3" t="s">
        <v>31</v>
      </c>
      <c r="D6261" s="3" t="s">
        <v>32</v>
      </c>
      <c r="E6261" s="4" t="s">
        <v>22</v>
      </c>
      <c r="F6261" s="4" t="s">
        <v>32834</v>
      </c>
      <c r="G6261" s="4" t="s">
        <v>32835</v>
      </c>
      <c r="H6261" s="3" t="s">
        <v>30534</v>
      </c>
      <c r="I6261" s="3" t="s">
        <v>32836</v>
      </c>
      <c r="J6261" s="3" t="s">
        <v>32837</v>
      </c>
      <c r="K6261" s="3" t="s">
        <v>32838</v>
      </c>
      <c r="L6261" s="3" t="s">
        <v>32839</v>
      </c>
      <c r="M6261" s="4"/>
      <c r="N6261" s="3" t="s">
        <v>37</v>
      </c>
      <c r="O6261" s="3" t="s">
        <v>38</v>
      </c>
      <c r="P6261" s="5">
        <v>20</v>
      </c>
      <c r="Q6261" s="5">
        <v>415</v>
      </c>
      <c r="R6261" s="5">
        <v>18</v>
      </c>
      <c r="S6261" s="5">
        <v>368</v>
      </c>
    </row>
    <row r="6262" spans="1:19" ht="42" x14ac:dyDescent="0.15">
      <c r="A6262" s="2">
        <f>HYPERLINK("https://open-school.uspishnemisto.com.ua/school/320455/", 320455)</f>
        <v>320455</v>
      </c>
      <c r="B6262" s="3" t="s">
        <v>32840</v>
      </c>
      <c r="C6262" s="3" t="s">
        <v>31</v>
      </c>
      <c r="D6262" s="3" t="s">
        <v>32</v>
      </c>
      <c r="E6262" s="4" t="s">
        <v>22</v>
      </c>
      <c r="F6262" s="4" t="s">
        <v>32841</v>
      </c>
      <c r="G6262" s="4" t="s">
        <v>32842</v>
      </c>
      <c r="H6262" s="3" t="s">
        <v>30534</v>
      </c>
      <c r="I6262" s="3" t="s">
        <v>32843</v>
      </c>
      <c r="J6262" s="3" t="s">
        <v>32844</v>
      </c>
      <c r="K6262" s="3" t="s">
        <v>32845</v>
      </c>
      <c r="L6262" s="3" t="s">
        <v>32846</v>
      </c>
      <c r="M6262" s="4"/>
      <c r="N6262" s="3" t="s">
        <v>37</v>
      </c>
      <c r="O6262" s="3" t="s">
        <v>46</v>
      </c>
      <c r="P6262" s="5">
        <v>21</v>
      </c>
      <c r="Q6262" s="5">
        <v>457</v>
      </c>
      <c r="R6262" s="5">
        <v>19</v>
      </c>
      <c r="S6262" s="5">
        <v>403</v>
      </c>
    </row>
    <row r="6263" spans="1:19" ht="42" x14ac:dyDescent="0.15">
      <c r="A6263" s="2">
        <f>HYPERLINK("https://open-school.uspishnemisto.com.ua/school/320735/", 320735)</f>
        <v>320735</v>
      </c>
      <c r="B6263" s="3" t="s">
        <v>32847</v>
      </c>
      <c r="C6263" s="3" t="s">
        <v>54</v>
      </c>
      <c r="D6263" s="3" t="s">
        <v>32</v>
      </c>
      <c r="E6263" s="4" t="s">
        <v>41</v>
      </c>
      <c r="F6263" s="4" t="s">
        <v>32841</v>
      </c>
      <c r="G6263" s="4" t="s">
        <v>32848</v>
      </c>
      <c r="H6263" s="3" t="s">
        <v>30534</v>
      </c>
      <c r="I6263" s="3" t="s">
        <v>12216</v>
      </c>
      <c r="J6263" s="3" t="s">
        <v>32849</v>
      </c>
      <c r="K6263" s="3" t="s">
        <v>32850</v>
      </c>
      <c r="L6263" s="3"/>
      <c r="M6263" s="4"/>
      <c r="N6263" s="3" t="s">
        <v>37</v>
      </c>
      <c r="O6263" s="3" t="s">
        <v>8629</v>
      </c>
      <c r="P6263" s="5">
        <v>10</v>
      </c>
      <c r="Q6263" s="5">
        <v>91</v>
      </c>
      <c r="R6263" s="5">
        <v>8</v>
      </c>
      <c r="S6263" s="5">
        <v>65</v>
      </c>
    </row>
    <row r="6264" spans="1:19" ht="42" x14ac:dyDescent="0.15">
      <c r="A6264" s="2">
        <f>HYPERLINK("https://open-school.uspishnemisto.com.ua/school/320456/", 320456)</f>
        <v>320456</v>
      </c>
      <c r="B6264" s="3" t="s">
        <v>32851</v>
      </c>
      <c r="C6264" s="3" t="s">
        <v>31</v>
      </c>
      <c r="D6264" s="3" t="s">
        <v>32</v>
      </c>
      <c r="E6264" s="4" t="s">
        <v>22</v>
      </c>
      <c r="F6264" s="4" t="s">
        <v>32852</v>
      </c>
      <c r="G6264" s="4" t="s">
        <v>32853</v>
      </c>
      <c r="H6264" s="3" t="s">
        <v>30534</v>
      </c>
      <c r="I6264" s="3" t="s">
        <v>32854</v>
      </c>
      <c r="J6264" s="3" t="s">
        <v>32855</v>
      </c>
      <c r="K6264" s="3"/>
      <c r="L6264" s="3"/>
      <c r="M6264" s="4"/>
      <c r="N6264" s="3" t="s">
        <v>37</v>
      </c>
      <c r="O6264" s="3" t="s">
        <v>38</v>
      </c>
      <c r="P6264" s="5">
        <v>10</v>
      </c>
      <c r="Q6264" s="5">
        <v>141</v>
      </c>
      <c r="R6264" s="5">
        <v>10</v>
      </c>
      <c r="S6264" s="5">
        <v>134</v>
      </c>
    </row>
    <row r="6265" spans="1:19" ht="42" x14ac:dyDescent="0.15">
      <c r="A6265" s="2">
        <f>HYPERLINK("https://open-school.uspishnemisto.com.ua/school/320457/", 320457)</f>
        <v>320457</v>
      </c>
      <c r="B6265" s="3" t="s">
        <v>32856</v>
      </c>
      <c r="C6265" s="3" t="s">
        <v>31</v>
      </c>
      <c r="D6265" s="3" t="s">
        <v>175</v>
      </c>
      <c r="E6265" s="4" t="s">
        <v>22</v>
      </c>
      <c r="F6265" s="4" t="s">
        <v>32857</v>
      </c>
      <c r="G6265" s="4" t="s">
        <v>32858</v>
      </c>
      <c r="H6265" s="3" t="s">
        <v>30534</v>
      </c>
      <c r="I6265" s="3" t="s">
        <v>32859</v>
      </c>
      <c r="J6265" s="3" t="s">
        <v>17711</v>
      </c>
      <c r="K6265" s="3" t="s">
        <v>32860</v>
      </c>
      <c r="L6265" s="3"/>
      <c r="M6265" s="4"/>
      <c r="N6265" s="3" t="s">
        <v>37</v>
      </c>
      <c r="O6265" s="3" t="s">
        <v>52</v>
      </c>
      <c r="P6265" s="5">
        <v>0</v>
      </c>
      <c r="Q6265" s="5">
        <v>26</v>
      </c>
      <c r="R6265" s="5">
        <v>2</v>
      </c>
      <c r="S6265" s="5">
        <v>28</v>
      </c>
    </row>
    <row r="6266" spans="1:19" ht="28" x14ac:dyDescent="0.15">
      <c r="A6266" s="2">
        <f>HYPERLINK("https://open-school.uspishnemisto.com.ua/school/320458/", 320458)</f>
        <v>320458</v>
      </c>
      <c r="B6266" s="3" t="s">
        <v>32861</v>
      </c>
      <c r="C6266" s="3" t="s">
        <v>31</v>
      </c>
      <c r="D6266" s="3" t="s">
        <v>32</v>
      </c>
      <c r="E6266" s="4" t="s">
        <v>22</v>
      </c>
      <c r="F6266" s="4" t="s">
        <v>32862</v>
      </c>
      <c r="G6266" s="4" t="s">
        <v>32863</v>
      </c>
      <c r="H6266" s="3" t="s">
        <v>30534</v>
      </c>
      <c r="I6266" s="3" t="s">
        <v>32864</v>
      </c>
      <c r="J6266" s="3" t="s">
        <v>32865</v>
      </c>
      <c r="K6266" s="3" t="s">
        <v>32866</v>
      </c>
      <c r="L6266" s="3"/>
      <c r="M6266" s="4"/>
      <c r="N6266" s="3" t="s">
        <v>37</v>
      </c>
      <c r="O6266" s="3" t="s">
        <v>38</v>
      </c>
      <c r="P6266" s="5">
        <v>11</v>
      </c>
      <c r="Q6266" s="5">
        <v>257</v>
      </c>
      <c r="R6266" s="5">
        <v>12</v>
      </c>
      <c r="S6266" s="5">
        <v>257</v>
      </c>
    </row>
    <row r="6267" spans="1:19" ht="42" x14ac:dyDescent="0.15">
      <c r="A6267" s="2">
        <f>HYPERLINK("https://open-school.uspishnemisto.com.ua/school/320459/", 320459)</f>
        <v>320459</v>
      </c>
      <c r="B6267" s="3" t="s">
        <v>32867</v>
      </c>
      <c r="C6267" s="3" t="s">
        <v>31</v>
      </c>
      <c r="D6267" s="3" t="s">
        <v>175</v>
      </c>
      <c r="E6267" s="4" t="s">
        <v>22</v>
      </c>
      <c r="F6267" s="4" t="s">
        <v>32868</v>
      </c>
      <c r="G6267" s="4" t="s">
        <v>32869</v>
      </c>
      <c r="H6267" s="3" t="s">
        <v>30534</v>
      </c>
      <c r="I6267" s="3" t="s">
        <v>31849</v>
      </c>
      <c r="J6267" s="3" t="s">
        <v>32870</v>
      </c>
      <c r="K6267" s="3" t="s">
        <v>32871</v>
      </c>
      <c r="L6267" s="3" t="s">
        <v>32872</v>
      </c>
      <c r="M6267" s="4"/>
      <c r="N6267" s="3" t="s">
        <v>37</v>
      </c>
      <c r="O6267" s="3" t="s">
        <v>52</v>
      </c>
      <c r="P6267" s="5">
        <v>9</v>
      </c>
      <c r="Q6267" s="5">
        <v>114</v>
      </c>
      <c r="R6267" s="5">
        <v>9</v>
      </c>
      <c r="S6267" s="5">
        <v>118</v>
      </c>
    </row>
    <row r="6268" spans="1:19" ht="42" x14ac:dyDescent="0.15">
      <c r="A6268" s="2">
        <f>HYPERLINK("https://open-school.uspishnemisto.com.ua/school/320460/", 320460)</f>
        <v>320460</v>
      </c>
      <c r="B6268" s="3" t="s">
        <v>32873</v>
      </c>
      <c r="C6268" s="3" t="s">
        <v>31</v>
      </c>
      <c r="D6268" s="3" t="s">
        <v>32</v>
      </c>
      <c r="E6268" s="4" t="s">
        <v>22</v>
      </c>
      <c r="F6268" s="4" t="s">
        <v>32874</v>
      </c>
      <c r="G6268" s="4" t="s">
        <v>32875</v>
      </c>
      <c r="H6268" s="3" t="s">
        <v>30534</v>
      </c>
      <c r="I6268" s="3" t="s">
        <v>32876</v>
      </c>
      <c r="J6268" s="3" t="s">
        <v>32877</v>
      </c>
      <c r="K6268" s="3" t="s">
        <v>32878</v>
      </c>
      <c r="L6268" s="3"/>
      <c r="M6268" s="4"/>
      <c r="N6268" s="3" t="s">
        <v>37</v>
      </c>
      <c r="O6268" s="3" t="s">
        <v>52</v>
      </c>
      <c r="P6268" s="5">
        <v>43</v>
      </c>
      <c r="Q6268" s="5">
        <v>1222</v>
      </c>
      <c r="R6268" s="5">
        <v>39</v>
      </c>
      <c r="S6268" s="5">
        <v>1114</v>
      </c>
    </row>
    <row r="6269" spans="1:19" ht="28" x14ac:dyDescent="0.15">
      <c r="A6269" s="2">
        <f>HYPERLINK("https://open-school.uspishnemisto.com.ua/school/320749/", 320749)</f>
        <v>320749</v>
      </c>
      <c r="B6269" s="3" t="s">
        <v>32879</v>
      </c>
      <c r="C6269" s="3" t="s">
        <v>54</v>
      </c>
      <c r="D6269" s="3" t="s">
        <v>32</v>
      </c>
      <c r="E6269" s="4" t="s">
        <v>41</v>
      </c>
      <c r="F6269" s="4" t="s">
        <v>32874</v>
      </c>
      <c r="G6269" s="4" t="s">
        <v>32875</v>
      </c>
      <c r="H6269" s="3" t="s">
        <v>30534</v>
      </c>
      <c r="I6269" s="3" t="s">
        <v>32876</v>
      </c>
      <c r="J6269" s="3" t="s">
        <v>32880</v>
      </c>
      <c r="K6269" s="3" t="s">
        <v>32881</v>
      </c>
      <c r="L6269" s="3"/>
      <c r="M6269" s="4"/>
      <c r="N6269" s="3" t="s">
        <v>37</v>
      </c>
      <c r="O6269" s="3" t="s">
        <v>52</v>
      </c>
      <c r="P6269" s="5">
        <v>2</v>
      </c>
      <c r="Q6269" s="5">
        <v>29</v>
      </c>
      <c r="R6269" s="5"/>
      <c r="S6269" s="5"/>
    </row>
    <row r="6270" spans="1:19" ht="42" x14ac:dyDescent="0.15">
      <c r="A6270" s="2">
        <f>HYPERLINK("https://open-school.uspishnemisto.com.ua/school/320461/", 320461)</f>
        <v>320461</v>
      </c>
      <c r="B6270" s="3" t="s">
        <v>32882</v>
      </c>
      <c r="C6270" s="3" t="s">
        <v>31</v>
      </c>
      <c r="D6270" s="3" t="s">
        <v>175</v>
      </c>
      <c r="E6270" s="4" t="s">
        <v>22</v>
      </c>
      <c r="F6270" s="4" t="s">
        <v>32883</v>
      </c>
      <c r="G6270" s="4" t="s">
        <v>32884</v>
      </c>
      <c r="H6270" s="3" t="s">
        <v>30534</v>
      </c>
      <c r="I6270" s="3" t="s">
        <v>32885</v>
      </c>
      <c r="J6270" s="3" t="s">
        <v>32886</v>
      </c>
      <c r="K6270" s="3" t="s">
        <v>32887</v>
      </c>
      <c r="L6270" s="3"/>
      <c r="M6270" s="4"/>
      <c r="N6270" s="3" t="s">
        <v>37</v>
      </c>
      <c r="O6270" s="3" t="s">
        <v>2740</v>
      </c>
      <c r="P6270" s="5">
        <v>9</v>
      </c>
      <c r="Q6270" s="5">
        <v>128</v>
      </c>
      <c r="R6270" s="5">
        <v>9</v>
      </c>
      <c r="S6270" s="5">
        <v>127</v>
      </c>
    </row>
    <row r="6271" spans="1:19" ht="28" x14ac:dyDescent="0.15">
      <c r="A6271" s="2">
        <f>HYPERLINK("https://open-school.uspishnemisto.com.ua/school/320462/", 320462)</f>
        <v>320462</v>
      </c>
      <c r="B6271" s="3" t="s">
        <v>32888</v>
      </c>
      <c r="C6271" s="3" t="s">
        <v>31</v>
      </c>
      <c r="D6271" s="3" t="s">
        <v>32</v>
      </c>
      <c r="E6271" s="4" t="s">
        <v>22</v>
      </c>
      <c r="F6271" s="4" t="s">
        <v>32889</v>
      </c>
      <c r="G6271" s="4" t="s">
        <v>32890</v>
      </c>
      <c r="H6271" s="3" t="s">
        <v>30534</v>
      </c>
      <c r="I6271" s="3" t="s">
        <v>11923</v>
      </c>
      <c r="J6271" s="3" t="s">
        <v>32891</v>
      </c>
      <c r="K6271" s="3" t="s">
        <v>32892</v>
      </c>
      <c r="L6271" s="3" t="s">
        <v>32893</v>
      </c>
      <c r="M6271" s="4"/>
      <c r="N6271" s="3" t="s">
        <v>37</v>
      </c>
      <c r="O6271" s="3" t="s">
        <v>38</v>
      </c>
      <c r="P6271" s="5">
        <v>21</v>
      </c>
      <c r="Q6271" s="5">
        <v>484</v>
      </c>
      <c r="R6271" s="5">
        <v>21</v>
      </c>
      <c r="S6271" s="5">
        <v>449</v>
      </c>
    </row>
    <row r="6272" spans="1:19" ht="42" x14ac:dyDescent="0.15">
      <c r="A6272" s="2">
        <f>HYPERLINK("https://open-school.uspishnemisto.com.ua/school/320463/", 320463)</f>
        <v>320463</v>
      </c>
      <c r="B6272" s="3" t="s">
        <v>32894</v>
      </c>
      <c r="C6272" s="3" t="s">
        <v>31</v>
      </c>
      <c r="D6272" s="3" t="s">
        <v>32</v>
      </c>
      <c r="E6272" s="4" t="s">
        <v>22</v>
      </c>
      <c r="F6272" s="4" t="s">
        <v>32895</v>
      </c>
      <c r="G6272" s="4" t="s">
        <v>32896</v>
      </c>
      <c r="H6272" s="3" t="s">
        <v>30534</v>
      </c>
      <c r="I6272" s="3" t="s">
        <v>32897</v>
      </c>
      <c r="J6272" s="3" t="s">
        <v>32898</v>
      </c>
      <c r="K6272" s="3" t="s">
        <v>32899</v>
      </c>
      <c r="L6272" s="3" t="s">
        <v>32900</v>
      </c>
      <c r="M6272" s="4"/>
      <c r="N6272" s="3" t="s">
        <v>37</v>
      </c>
      <c r="O6272" s="3" t="s">
        <v>52</v>
      </c>
      <c r="P6272" s="5">
        <v>11</v>
      </c>
      <c r="Q6272" s="5">
        <v>140</v>
      </c>
      <c r="R6272" s="5">
        <v>11</v>
      </c>
      <c r="S6272" s="5">
        <v>137</v>
      </c>
    </row>
    <row r="6273" spans="1:19" ht="42" x14ac:dyDescent="0.15">
      <c r="A6273" s="2">
        <f>HYPERLINK("https://open-school.uspishnemisto.com.ua/school/320464/", 320464)</f>
        <v>320464</v>
      </c>
      <c r="B6273" s="3" t="s">
        <v>32901</v>
      </c>
      <c r="C6273" s="3" t="s">
        <v>31</v>
      </c>
      <c r="D6273" s="3" t="s">
        <v>175</v>
      </c>
      <c r="E6273" s="4" t="s">
        <v>22</v>
      </c>
      <c r="F6273" s="4" t="s">
        <v>32902</v>
      </c>
      <c r="G6273" s="4" t="s">
        <v>32903</v>
      </c>
      <c r="H6273" s="3" t="s">
        <v>30534</v>
      </c>
      <c r="I6273" s="3" t="s">
        <v>32904</v>
      </c>
      <c r="J6273" s="3" t="s">
        <v>32905</v>
      </c>
      <c r="K6273" s="3" t="s">
        <v>32906</v>
      </c>
      <c r="L6273" s="3" t="s">
        <v>32907</v>
      </c>
      <c r="M6273" s="4"/>
      <c r="N6273" s="3" t="s">
        <v>37</v>
      </c>
      <c r="O6273" s="3" t="s">
        <v>38</v>
      </c>
      <c r="P6273" s="5">
        <v>9</v>
      </c>
      <c r="Q6273" s="5">
        <v>106</v>
      </c>
      <c r="R6273" s="5">
        <v>9</v>
      </c>
      <c r="S6273" s="5">
        <v>96</v>
      </c>
    </row>
    <row r="6274" spans="1:19" ht="42" x14ac:dyDescent="0.15">
      <c r="A6274" s="2">
        <f>HYPERLINK("https://open-school.uspishnemisto.com.ua/school/320465/", 320465)</f>
        <v>320465</v>
      </c>
      <c r="B6274" s="3" t="s">
        <v>32908</v>
      </c>
      <c r="C6274" s="3" t="s">
        <v>31</v>
      </c>
      <c r="D6274" s="3" t="s">
        <v>32</v>
      </c>
      <c r="E6274" s="4" t="s">
        <v>22</v>
      </c>
      <c r="F6274" s="4" t="s">
        <v>32909</v>
      </c>
      <c r="G6274" s="4" t="s">
        <v>32910</v>
      </c>
      <c r="H6274" s="3" t="s">
        <v>30534</v>
      </c>
      <c r="I6274" s="3" t="s">
        <v>32911</v>
      </c>
      <c r="J6274" s="3" t="s">
        <v>32912</v>
      </c>
      <c r="K6274" s="3"/>
      <c r="L6274" s="3" t="s">
        <v>32913</v>
      </c>
      <c r="M6274" s="4"/>
      <c r="N6274" s="3" t="s">
        <v>37</v>
      </c>
      <c r="O6274" s="3" t="s">
        <v>38</v>
      </c>
      <c r="P6274" s="5">
        <v>19</v>
      </c>
      <c r="Q6274" s="5">
        <v>350</v>
      </c>
      <c r="R6274" s="5">
        <v>19</v>
      </c>
      <c r="S6274" s="5">
        <v>320</v>
      </c>
    </row>
    <row r="6275" spans="1:19" ht="42" x14ac:dyDescent="0.15">
      <c r="A6275" s="2">
        <f>HYPERLINK("https://open-school.uspishnemisto.com.ua/school/320466/", 320466)</f>
        <v>320466</v>
      </c>
      <c r="B6275" s="3" t="s">
        <v>32914</v>
      </c>
      <c r="C6275" s="3" t="s">
        <v>31</v>
      </c>
      <c r="D6275" s="3" t="s">
        <v>32</v>
      </c>
      <c r="E6275" s="4" t="s">
        <v>22</v>
      </c>
      <c r="F6275" s="4" t="s">
        <v>32915</v>
      </c>
      <c r="G6275" s="4" t="s">
        <v>32916</v>
      </c>
      <c r="H6275" s="3" t="s">
        <v>30534</v>
      </c>
      <c r="I6275" s="3" t="s">
        <v>32917</v>
      </c>
      <c r="J6275" s="3" t="s">
        <v>23670</v>
      </c>
      <c r="K6275" s="3" t="s">
        <v>32918</v>
      </c>
      <c r="L6275" s="3" t="s">
        <v>32919</v>
      </c>
      <c r="M6275" s="4"/>
      <c r="N6275" s="3" t="s">
        <v>37</v>
      </c>
      <c r="O6275" s="3" t="s">
        <v>38</v>
      </c>
      <c r="P6275" s="5">
        <v>16</v>
      </c>
      <c r="Q6275" s="5">
        <v>306</v>
      </c>
      <c r="R6275" s="5">
        <v>16</v>
      </c>
      <c r="S6275" s="5">
        <v>311</v>
      </c>
    </row>
    <row r="6276" spans="1:19" ht="28" x14ac:dyDescent="0.15">
      <c r="A6276" s="2">
        <f>HYPERLINK("https://open-school.uspishnemisto.com.ua/school/320428/", 320428)</f>
        <v>320428</v>
      </c>
      <c r="B6276" s="3" t="s">
        <v>32920</v>
      </c>
      <c r="C6276" s="3" t="s">
        <v>54</v>
      </c>
      <c r="D6276" s="3" t="s">
        <v>32</v>
      </c>
      <c r="E6276" s="4" t="s">
        <v>41</v>
      </c>
      <c r="F6276" s="4" t="s">
        <v>32921</v>
      </c>
      <c r="G6276" s="4" t="s">
        <v>32922</v>
      </c>
      <c r="H6276" s="3" t="s">
        <v>30534</v>
      </c>
      <c r="I6276" s="3" t="s">
        <v>32923</v>
      </c>
      <c r="J6276" s="3" t="s">
        <v>32924</v>
      </c>
      <c r="K6276" s="3" t="s">
        <v>32925</v>
      </c>
      <c r="L6276" s="3"/>
      <c r="M6276" s="4"/>
      <c r="N6276" s="3" t="s">
        <v>37</v>
      </c>
      <c r="O6276" s="3" t="s">
        <v>52</v>
      </c>
      <c r="P6276" s="5">
        <v>6</v>
      </c>
      <c r="Q6276" s="5">
        <v>39</v>
      </c>
      <c r="R6276" s="5"/>
      <c r="S6276" s="5"/>
    </row>
    <row r="6277" spans="1:19" ht="42" x14ac:dyDescent="0.15">
      <c r="A6277" s="2">
        <f>HYPERLINK("https://open-school.uspishnemisto.com.ua/school/320467/", 320467)</f>
        <v>320467</v>
      </c>
      <c r="B6277" s="3" t="s">
        <v>32926</v>
      </c>
      <c r="C6277" s="3" t="s">
        <v>31</v>
      </c>
      <c r="D6277" s="3" t="s">
        <v>32</v>
      </c>
      <c r="E6277" s="4" t="s">
        <v>22</v>
      </c>
      <c r="F6277" s="4" t="s">
        <v>32921</v>
      </c>
      <c r="G6277" s="4" t="s">
        <v>32922</v>
      </c>
      <c r="H6277" s="3" t="s">
        <v>30534</v>
      </c>
      <c r="I6277" s="3" t="s">
        <v>32923</v>
      </c>
      <c r="J6277" s="3" t="s">
        <v>32927</v>
      </c>
      <c r="K6277" s="3" t="s">
        <v>32928</v>
      </c>
      <c r="L6277" s="3" t="s">
        <v>32929</v>
      </c>
      <c r="M6277" s="4"/>
      <c r="N6277" s="3" t="s">
        <v>37</v>
      </c>
      <c r="O6277" s="3" t="s">
        <v>721</v>
      </c>
      <c r="P6277" s="5">
        <v>28</v>
      </c>
      <c r="Q6277" s="5">
        <v>657</v>
      </c>
      <c r="R6277" s="5">
        <v>24</v>
      </c>
      <c r="S6277" s="5">
        <v>527</v>
      </c>
    </row>
    <row r="6278" spans="1:19" ht="28" x14ac:dyDescent="0.15">
      <c r="A6278" s="2">
        <f>HYPERLINK("https://open-school.uspishnemisto.com.ua/school/320468/", 320468)</f>
        <v>320468</v>
      </c>
      <c r="B6278" s="3" t="s">
        <v>32930</v>
      </c>
      <c r="C6278" s="3" t="s">
        <v>31</v>
      </c>
      <c r="D6278" s="3" t="s">
        <v>32</v>
      </c>
      <c r="E6278" s="4" t="s">
        <v>22</v>
      </c>
      <c r="F6278" s="4" t="s">
        <v>32931</v>
      </c>
      <c r="G6278" s="4" t="s">
        <v>32932</v>
      </c>
      <c r="H6278" s="3" t="s">
        <v>30534</v>
      </c>
      <c r="I6278" s="3" t="s">
        <v>32933</v>
      </c>
      <c r="J6278" s="3" t="s">
        <v>32934</v>
      </c>
      <c r="K6278" s="3"/>
      <c r="L6278" s="3" t="s">
        <v>32935</v>
      </c>
      <c r="M6278" s="4"/>
      <c r="N6278" s="3" t="s">
        <v>37</v>
      </c>
      <c r="O6278" s="3" t="s">
        <v>38</v>
      </c>
      <c r="P6278" s="5">
        <v>42</v>
      </c>
      <c r="Q6278" s="5">
        <v>1138</v>
      </c>
      <c r="R6278" s="5">
        <v>37</v>
      </c>
      <c r="S6278" s="5">
        <v>1005</v>
      </c>
    </row>
    <row r="6279" spans="1:19" ht="28" x14ac:dyDescent="0.15">
      <c r="A6279" s="2">
        <f>HYPERLINK("https://open-school.uspishnemisto.com.ua/school/320469/", 320469)</f>
        <v>320469</v>
      </c>
      <c r="B6279" s="3" t="s">
        <v>32936</v>
      </c>
      <c r="C6279" s="3" t="s">
        <v>31</v>
      </c>
      <c r="D6279" s="3" t="s">
        <v>60</v>
      </c>
      <c r="E6279" s="4" t="s">
        <v>22</v>
      </c>
      <c r="F6279" s="4" t="s">
        <v>32937</v>
      </c>
      <c r="G6279" s="4" t="s">
        <v>32938</v>
      </c>
      <c r="H6279" s="3" t="s">
        <v>30534</v>
      </c>
      <c r="I6279" s="3" t="s">
        <v>32939</v>
      </c>
      <c r="J6279" s="3" t="s">
        <v>32940</v>
      </c>
      <c r="K6279" s="3" t="s">
        <v>32941</v>
      </c>
      <c r="L6279" s="3"/>
      <c r="M6279" s="4"/>
      <c r="N6279" s="3" t="s">
        <v>37</v>
      </c>
      <c r="O6279" s="3" t="s">
        <v>52</v>
      </c>
      <c r="P6279" s="5">
        <v>8</v>
      </c>
      <c r="Q6279" s="5">
        <v>200</v>
      </c>
      <c r="R6279" s="5">
        <v>7</v>
      </c>
      <c r="S6279" s="5">
        <v>158</v>
      </c>
    </row>
    <row r="6280" spans="1:19" ht="42" x14ac:dyDescent="0.15">
      <c r="A6280" s="2">
        <f>HYPERLINK("https://open-school.uspishnemisto.com.ua/school/320736/", 320736)</f>
        <v>320736</v>
      </c>
      <c r="B6280" s="3" t="s">
        <v>32942</v>
      </c>
      <c r="C6280" s="3" t="s">
        <v>54</v>
      </c>
      <c r="D6280" s="3" t="s">
        <v>32</v>
      </c>
      <c r="E6280" s="4" t="s">
        <v>41</v>
      </c>
      <c r="F6280" s="4" t="s">
        <v>32937</v>
      </c>
      <c r="G6280" s="4" t="s">
        <v>32938</v>
      </c>
      <c r="H6280" s="3" t="s">
        <v>30534</v>
      </c>
      <c r="I6280" s="3" t="s">
        <v>32939</v>
      </c>
      <c r="J6280" s="3" t="s">
        <v>32943</v>
      </c>
      <c r="K6280" s="3" t="s">
        <v>32944</v>
      </c>
      <c r="L6280" s="3"/>
      <c r="M6280" s="4"/>
      <c r="N6280" s="3" t="s">
        <v>37</v>
      </c>
      <c r="O6280" s="3" t="s">
        <v>46</v>
      </c>
      <c r="P6280" s="5">
        <v>16</v>
      </c>
      <c r="Q6280" s="5">
        <v>185</v>
      </c>
      <c r="R6280" s="5">
        <v>0</v>
      </c>
      <c r="S6280" s="5">
        <v>0</v>
      </c>
    </row>
    <row r="6281" spans="1:19" ht="56" x14ac:dyDescent="0.15">
      <c r="A6281" s="2">
        <f>HYPERLINK("https://open-school.uspishnemisto.com.ua/school/320429/", 320429)</f>
        <v>320429</v>
      </c>
      <c r="B6281" s="3" t="s">
        <v>32945</v>
      </c>
      <c r="C6281" s="3" t="s">
        <v>54</v>
      </c>
      <c r="D6281" s="3" t="s">
        <v>32</v>
      </c>
      <c r="E6281" s="4" t="s">
        <v>41</v>
      </c>
      <c r="F6281" s="4" t="s">
        <v>32946</v>
      </c>
      <c r="G6281" s="4" t="s">
        <v>32947</v>
      </c>
      <c r="H6281" s="3" t="s">
        <v>30534</v>
      </c>
      <c r="I6281" s="3" t="s">
        <v>32948</v>
      </c>
      <c r="J6281" s="3" t="s">
        <v>32949</v>
      </c>
      <c r="K6281" s="3" t="s">
        <v>32950</v>
      </c>
      <c r="L6281" s="3"/>
      <c r="M6281" s="4"/>
      <c r="N6281" s="3" t="s">
        <v>37</v>
      </c>
      <c r="O6281" s="3" t="s">
        <v>46</v>
      </c>
      <c r="P6281" s="5">
        <v>7</v>
      </c>
      <c r="Q6281" s="5">
        <v>71</v>
      </c>
      <c r="R6281" s="5"/>
      <c r="S6281" s="5"/>
    </row>
    <row r="6282" spans="1:19" ht="42" x14ac:dyDescent="0.15">
      <c r="A6282" s="2">
        <f>HYPERLINK("https://open-school.uspishnemisto.com.ua/school/320470/", 320470)</f>
        <v>320470</v>
      </c>
      <c r="B6282" s="3" t="s">
        <v>32951</v>
      </c>
      <c r="C6282" s="3" t="s">
        <v>54</v>
      </c>
      <c r="D6282" s="3" t="s">
        <v>32</v>
      </c>
      <c r="E6282" s="4" t="s">
        <v>22</v>
      </c>
      <c r="F6282" s="4" t="s">
        <v>32946</v>
      </c>
      <c r="G6282" s="4" t="s">
        <v>32947</v>
      </c>
      <c r="H6282" s="3" t="s">
        <v>30534</v>
      </c>
      <c r="I6282" s="3" t="s">
        <v>32948</v>
      </c>
      <c r="J6282" s="3" t="s">
        <v>32952</v>
      </c>
      <c r="K6282" s="3" t="s">
        <v>32953</v>
      </c>
      <c r="L6282" s="3"/>
      <c r="M6282" s="4"/>
      <c r="N6282" s="3" t="s">
        <v>37</v>
      </c>
      <c r="O6282" s="3" t="s">
        <v>30854</v>
      </c>
      <c r="P6282" s="5">
        <v>34</v>
      </c>
      <c r="Q6282" s="5">
        <v>988</v>
      </c>
      <c r="R6282" s="5">
        <v>28</v>
      </c>
      <c r="S6282" s="5">
        <v>762</v>
      </c>
    </row>
    <row r="6283" spans="1:19" ht="56" x14ac:dyDescent="0.15">
      <c r="A6283" s="2">
        <f>HYPERLINK("https://open-school.uspishnemisto.com.ua/school/320471/", 320471)</f>
        <v>320471</v>
      </c>
      <c r="B6283" s="3" t="s">
        <v>32954</v>
      </c>
      <c r="C6283" s="3" t="s">
        <v>54</v>
      </c>
      <c r="D6283" s="3" t="s">
        <v>32</v>
      </c>
      <c r="E6283" s="4" t="s">
        <v>41</v>
      </c>
      <c r="F6283" s="4" t="s">
        <v>32946</v>
      </c>
      <c r="G6283" s="4" t="s">
        <v>32947</v>
      </c>
      <c r="H6283" s="3" t="s">
        <v>30534</v>
      </c>
      <c r="I6283" s="3" t="s">
        <v>32948</v>
      </c>
      <c r="J6283" s="3" t="s">
        <v>9933</v>
      </c>
      <c r="K6283" s="3" t="s">
        <v>32955</v>
      </c>
      <c r="L6283" s="3"/>
      <c r="M6283" s="4"/>
      <c r="N6283" s="3" t="s">
        <v>37</v>
      </c>
      <c r="O6283" s="3" t="s">
        <v>46</v>
      </c>
      <c r="P6283" s="5">
        <v>14</v>
      </c>
      <c r="Q6283" s="5">
        <v>233</v>
      </c>
      <c r="R6283" s="5"/>
      <c r="S6283" s="5"/>
    </row>
    <row r="6284" spans="1:19" ht="28" x14ac:dyDescent="0.15">
      <c r="A6284" s="2">
        <f>HYPERLINK("https://open-school.uspishnemisto.com.ua/school/320750/", 320750)</f>
        <v>320750</v>
      </c>
      <c r="B6284" s="3" t="s">
        <v>32956</v>
      </c>
      <c r="C6284" s="3" t="s">
        <v>31</v>
      </c>
      <c r="D6284" s="3" t="s">
        <v>32</v>
      </c>
      <c r="E6284" s="4" t="s">
        <v>41</v>
      </c>
      <c r="F6284" s="4" t="s">
        <v>32946</v>
      </c>
      <c r="G6284" s="4" t="s">
        <v>32947</v>
      </c>
      <c r="H6284" s="3" t="s">
        <v>30534</v>
      </c>
      <c r="I6284" s="3" t="s">
        <v>32948</v>
      </c>
      <c r="J6284" s="3" t="s">
        <v>32957</v>
      </c>
      <c r="K6284" s="3" t="s">
        <v>32958</v>
      </c>
      <c r="L6284" s="3"/>
      <c r="M6284" s="4"/>
      <c r="N6284" s="3" t="s">
        <v>37</v>
      </c>
      <c r="O6284" s="3" t="s">
        <v>52</v>
      </c>
      <c r="P6284" s="5">
        <v>4</v>
      </c>
      <c r="Q6284" s="5">
        <v>26</v>
      </c>
      <c r="R6284" s="5"/>
      <c r="S6284" s="5"/>
    </row>
    <row r="6285" spans="1:19" ht="42" x14ac:dyDescent="0.15">
      <c r="A6285" s="2">
        <f>HYPERLINK("https://open-school.uspishnemisto.com.ua/school/320472/", 320472)</f>
        <v>320472</v>
      </c>
      <c r="B6285" s="3" t="s">
        <v>32959</v>
      </c>
      <c r="C6285" s="3" t="s">
        <v>31</v>
      </c>
      <c r="D6285" s="3" t="s">
        <v>32</v>
      </c>
      <c r="E6285" s="4" t="s">
        <v>22</v>
      </c>
      <c r="F6285" s="4" t="s">
        <v>32960</v>
      </c>
      <c r="G6285" s="4" t="s">
        <v>32961</v>
      </c>
      <c r="H6285" s="3" t="s">
        <v>30534</v>
      </c>
      <c r="I6285" s="3" t="s">
        <v>1439</v>
      </c>
      <c r="J6285" s="3" t="s">
        <v>634</v>
      </c>
      <c r="K6285" s="3" t="s">
        <v>32962</v>
      </c>
      <c r="L6285" s="3" t="s">
        <v>32963</v>
      </c>
      <c r="M6285" s="4"/>
      <c r="N6285" s="3" t="s">
        <v>37</v>
      </c>
      <c r="O6285" s="3" t="s">
        <v>6354</v>
      </c>
      <c r="P6285" s="5">
        <v>24</v>
      </c>
      <c r="Q6285" s="5">
        <v>650</v>
      </c>
      <c r="R6285" s="5">
        <v>23</v>
      </c>
      <c r="S6285" s="5">
        <v>633</v>
      </c>
    </row>
    <row r="6286" spans="1:19" ht="42" x14ac:dyDescent="0.15">
      <c r="A6286" s="2">
        <f>HYPERLINK("https://open-school.uspishnemisto.com.ua/school/320473/", 320473)</f>
        <v>320473</v>
      </c>
      <c r="B6286" s="3" t="s">
        <v>32964</v>
      </c>
      <c r="C6286" s="3" t="s">
        <v>31</v>
      </c>
      <c r="D6286" s="3" t="s">
        <v>32</v>
      </c>
      <c r="E6286" s="4" t="s">
        <v>22</v>
      </c>
      <c r="F6286" s="4" t="s">
        <v>32965</v>
      </c>
      <c r="G6286" s="4" t="s">
        <v>32966</v>
      </c>
      <c r="H6286" s="3" t="s">
        <v>30534</v>
      </c>
      <c r="I6286" s="3" t="s">
        <v>32967</v>
      </c>
      <c r="J6286" s="3" t="s">
        <v>32968</v>
      </c>
      <c r="K6286" s="3" t="s">
        <v>32969</v>
      </c>
      <c r="L6286" s="3" t="s">
        <v>32970</v>
      </c>
      <c r="M6286" s="4"/>
      <c r="N6286" s="3" t="s">
        <v>37</v>
      </c>
      <c r="O6286" s="3" t="s">
        <v>52</v>
      </c>
      <c r="P6286" s="5">
        <v>10</v>
      </c>
      <c r="Q6286" s="5">
        <v>170</v>
      </c>
      <c r="R6286" s="5">
        <v>10</v>
      </c>
      <c r="S6286" s="5">
        <v>148</v>
      </c>
    </row>
    <row r="6287" spans="1:19" ht="42" x14ac:dyDescent="0.15">
      <c r="A6287" s="2">
        <f>HYPERLINK("https://open-school.uspishnemisto.com.ua/school/320474/", 320474)</f>
        <v>320474</v>
      </c>
      <c r="B6287" s="3" t="s">
        <v>32971</v>
      </c>
      <c r="C6287" s="3" t="s">
        <v>54</v>
      </c>
      <c r="D6287" s="3" t="s">
        <v>32</v>
      </c>
      <c r="E6287" s="4" t="s">
        <v>22</v>
      </c>
      <c r="F6287" s="4" t="s">
        <v>32972</v>
      </c>
      <c r="G6287" s="4" t="s">
        <v>32973</v>
      </c>
      <c r="H6287" s="3" t="s">
        <v>30534</v>
      </c>
      <c r="I6287" s="3" t="s">
        <v>32974</v>
      </c>
      <c r="J6287" s="3" t="s">
        <v>32975</v>
      </c>
      <c r="K6287" s="3"/>
      <c r="L6287" s="3" t="s">
        <v>32976</v>
      </c>
      <c r="M6287" s="4"/>
      <c r="N6287" s="3" t="s">
        <v>37</v>
      </c>
      <c r="O6287" s="3" t="s">
        <v>70</v>
      </c>
      <c r="P6287" s="5">
        <v>38</v>
      </c>
      <c r="Q6287" s="5">
        <v>1051</v>
      </c>
      <c r="R6287" s="5">
        <v>35</v>
      </c>
      <c r="S6287" s="5">
        <v>980</v>
      </c>
    </row>
    <row r="6288" spans="1:19" ht="42" x14ac:dyDescent="0.15">
      <c r="A6288" s="2">
        <f>HYPERLINK("https://open-school.uspishnemisto.com.ua/school/320475/", 320475)</f>
        <v>320475</v>
      </c>
      <c r="B6288" s="3" t="s">
        <v>32977</v>
      </c>
      <c r="C6288" s="3" t="s">
        <v>31</v>
      </c>
      <c r="D6288" s="3" t="s">
        <v>32</v>
      </c>
      <c r="E6288" s="4" t="s">
        <v>22</v>
      </c>
      <c r="F6288" s="4" t="s">
        <v>32978</v>
      </c>
      <c r="G6288" s="4" t="s">
        <v>32979</v>
      </c>
      <c r="H6288" s="3" t="s">
        <v>30534</v>
      </c>
      <c r="I6288" s="3" t="s">
        <v>32980</v>
      </c>
      <c r="J6288" s="3" t="s">
        <v>32981</v>
      </c>
      <c r="K6288" s="3"/>
      <c r="L6288" s="3" t="s">
        <v>32982</v>
      </c>
      <c r="M6288" s="4"/>
      <c r="N6288" s="3" t="s">
        <v>37</v>
      </c>
      <c r="O6288" s="3" t="s">
        <v>46</v>
      </c>
      <c r="P6288" s="5">
        <v>26</v>
      </c>
      <c r="Q6288" s="5">
        <v>623</v>
      </c>
      <c r="R6288" s="5">
        <v>24</v>
      </c>
      <c r="S6288" s="5">
        <v>590</v>
      </c>
    </row>
    <row r="6289" spans="1:19" ht="56" x14ac:dyDescent="0.15">
      <c r="A6289" s="2">
        <f>HYPERLINK("https://open-school.uspishnemisto.com.ua/school/320476/", 320476)</f>
        <v>320476</v>
      </c>
      <c r="B6289" s="3" t="s">
        <v>32983</v>
      </c>
      <c r="C6289" s="3" t="s">
        <v>54</v>
      </c>
      <c r="D6289" s="3" t="s">
        <v>32</v>
      </c>
      <c r="E6289" s="4" t="s">
        <v>22</v>
      </c>
      <c r="F6289" s="4" t="s">
        <v>32984</v>
      </c>
      <c r="G6289" s="4" t="s">
        <v>32985</v>
      </c>
      <c r="H6289" s="3" t="s">
        <v>30534</v>
      </c>
      <c r="I6289" s="3" t="s">
        <v>32986</v>
      </c>
      <c r="J6289" s="3" t="s">
        <v>32987</v>
      </c>
      <c r="K6289" s="3" t="s">
        <v>32988</v>
      </c>
      <c r="L6289" s="3"/>
      <c r="M6289" s="4"/>
      <c r="N6289" s="3" t="s">
        <v>37</v>
      </c>
      <c r="O6289" s="3" t="s">
        <v>123</v>
      </c>
      <c r="P6289" s="5">
        <v>39</v>
      </c>
      <c r="Q6289" s="5">
        <v>953</v>
      </c>
      <c r="R6289" s="5">
        <v>36</v>
      </c>
      <c r="S6289" s="5">
        <v>889</v>
      </c>
    </row>
    <row r="6290" spans="1:19" ht="42" x14ac:dyDescent="0.15">
      <c r="A6290" s="2">
        <f>HYPERLINK("https://open-school.uspishnemisto.com.ua/school/320477/", 320477)</f>
        <v>320477</v>
      </c>
      <c r="B6290" s="3" t="s">
        <v>32989</v>
      </c>
      <c r="C6290" s="3" t="s">
        <v>54</v>
      </c>
      <c r="D6290" s="3" t="s">
        <v>32</v>
      </c>
      <c r="E6290" s="4" t="s">
        <v>22</v>
      </c>
      <c r="F6290" s="4" t="s">
        <v>32990</v>
      </c>
      <c r="G6290" s="4" t="s">
        <v>32985</v>
      </c>
      <c r="H6290" s="3" t="s">
        <v>30534</v>
      </c>
      <c r="I6290" s="3" t="s">
        <v>32986</v>
      </c>
      <c r="J6290" s="3" t="s">
        <v>32991</v>
      </c>
      <c r="K6290" s="3" t="s">
        <v>32992</v>
      </c>
      <c r="L6290" s="3" t="s">
        <v>32993</v>
      </c>
      <c r="M6290" s="4"/>
      <c r="N6290" s="3" t="s">
        <v>37</v>
      </c>
      <c r="O6290" s="3" t="s">
        <v>721</v>
      </c>
      <c r="P6290" s="5">
        <v>24</v>
      </c>
      <c r="Q6290" s="5">
        <v>527</v>
      </c>
      <c r="R6290" s="5">
        <v>22</v>
      </c>
      <c r="S6290" s="5">
        <v>515</v>
      </c>
    </row>
    <row r="6291" spans="1:19" ht="42" x14ac:dyDescent="0.15">
      <c r="A6291" s="2">
        <f>HYPERLINK("https://open-school.uspishnemisto.com.ua/school/320478/", 320478)</f>
        <v>320478</v>
      </c>
      <c r="B6291" s="3" t="s">
        <v>32994</v>
      </c>
      <c r="C6291" s="3" t="s">
        <v>54</v>
      </c>
      <c r="D6291" s="3" t="s">
        <v>32</v>
      </c>
      <c r="E6291" s="4" t="s">
        <v>22</v>
      </c>
      <c r="F6291" s="4" t="s">
        <v>32995</v>
      </c>
      <c r="G6291" s="4" t="s">
        <v>32996</v>
      </c>
      <c r="H6291" s="3" t="s">
        <v>30534</v>
      </c>
      <c r="I6291" s="3" t="s">
        <v>32997</v>
      </c>
      <c r="J6291" s="3" t="s">
        <v>32998</v>
      </c>
      <c r="K6291" s="3" t="s">
        <v>32999</v>
      </c>
      <c r="L6291" s="3" t="s">
        <v>33000</v>
      </c>
      <c r="M6291" s="4"/>
      <c r="N6291" s="3" t="s">
        <v>37</v>
      </c>
      <c r="O6291" s="3" t="s">
        <v>52</v>
      </c>
      <c r="P6291" s="5">
        <v>11</v>
      </c>
      <c r="Q6291" s="5">
        <v>110</v>
      </c>
      <c r="R6291" s="5">
        <v>11</v>
      </c>
      <c r="S6291" s="5">
        <v>109</v>
      </c>
    </row>
    <row r="6292" spans="1:19" ht="42" x14ac:dyDescent="0.15">
      <c r="A6292" s="2">
        <f>HYPERLINK("https://open-school.uspishnemisto.com.ua/school/320479/", 320479)</f>
        <v>320479</v>
      </c>
      <c r="B6292" s="3" t="s">
        <v>33001</v>
      </c>
      <c r="C6292" s="3" t="s">
        <v>54</v>
      </c>
      <c r="D6292" s="3" t="s">
        <v>175</v>
      </c>
      <c r="E6292" s="4" t="s">
        <v>22</v>
      </c>
      <c r="F6292" s="4" t="s">
        <v>33002</v>
      </c>
      <c r="G6292" s="4" t="s">
        <v>33003</v>
      </c>
      <c r="H6292" s="3" t="s">
        <v>30534</v>
      </c>
      <c r="I6292" s="3" t="s">
        <v>4594</v>
      </c>
      <c r="J6292" s="3" t="s">
        <v>2745</v>
      </c>
      <c r="K6292" s="3" t="s">
        <v>33004</v>
      </c>
      <c r="L6292" s="3"/>
      <c r="M6292" s="4"/>
      <c r="N6292" s="3" t="s">
        <v>37</v>
      </c>
      <c r="O6292" s="3" t="s">
        <v>52</v>
      </c>
      <c r="P6292" s="5">
        <v>9</v>
      </c>
      <c r="Q6292" s="5">
        <v>78</v>
      </c>
      <c r="R6292" s="5">
        <v>9</v>
      </c>
      <c r="S6292" s="5">
        <v>74</v>
      </c>
    </row>
    <row r="6293" spans="1:19" ht="42" x14ac:dyDescent="0.15">
      <c r="A6293" s="2">
        <f>HYPERLINK("https://open-school.uspishnemisto.com.ua/school/320480/", 320480)</f>
        <v>320480</v>
      </c>
      <c r="B6293" s="3" t="s">
        <v>33005</v>
      </c>
      <c r="C6293" s="3" t="s">
        <v>54</v>
      </c>
      <c r="D6293" s="3" t="s">
        <v>175</v>
      </c>
      <c r="E6293" s="4" t="s">
        <v>22</v>
      </c>
      <c r="F6293" s="4" t="s">
        <v>33006</v>
      </c>
      <c r="G6293" s="4" t="s">
        <v>33007</v>
      </c>
      <c r="H6293" s="3" t="s">
        <v>30534</v>
      </c>
      <c r="I6293" s="3" t="s">
        <v>4314</v>
      </c>
      <c r="J6293" s="3" t="s">
        <v>33008</v>
      </c>
      <c r="K6293" s="3" t="s">
        <v>33009</v>
      </c>
      <c r="L6293" s="3" t="s">
        <v>33010</v>
      </c>
      <c r="M6293" s="4"/>
      <c r="N6293" s="3" t="s">
        <v>37</v>
      </c>
      <c r="O6293" s="3" t="s">
        <v>46</v>
      </c>
      <c r="P6293" s="5">
        <v>9</v>
      </c>
      <c r="Q6293" s="5">
        <v>55</v>
      </c>
      <c r="R6293" s="5">
        <v>9</v>
      </c>
      <c r="S6293" s="5">
        <v>58</v>
      </c>
    </row>
    <row r="6294" spans="1:19" ht="42" x14ac:dyDescent="0.15">
      <c r="A6294" s="2">
        <f>HYPERLINK("https://open-school.uspishnemisto.com.ua/school/320481/", 320481)</f>
        <v>320481</v>
      </c>
      <c r="B6294" s="3" t="s">
        <v>33011</v>
      </c>
      <c r="C6294" s="3" t="s">
        <v>31</v>
      </c>
      <c r="D6294" s="3" t="s">
        <v>32</v>
      </c>
      <c r="E6294" s="4" t="s">
        <v>22</v>
      </c>
      <c r="F6294" s="4" t="s">
        <v>33012</v>
      </c>
      <c r="G6294" s="4" t="s">
        <v>33013</v>
      </c>
      <c r="H6294" s="3" t="s">
        <v>30534</v>
      </c>
      <c r="I6294" s="3" t="s">
        <v>33014</v>
      </c>
      <c r="J6294" s="3" t="s">
        <v>33015</v>
      </c>
      <c r="K6294" s="3" t="s">
        <v>33016</v>
      </c>
      <c r="L6294" s="3"/>
      <c r="M6294" s="4"/>
      <c r="N6294" s="3" t="s">
        <v>37</v>
      </c>
      <c r="O6294" s="3" t="s">
        <v>237</v>
      </c>
      <c r="P6294" s="5">
        <v>26</v>
      </c>
      <c r="Q6294" s="5">
        <v>424</v>
      </c>
      <c r="R6294" s="5">
        <v>24</v>
      </c>
      <c r="S6294" s="5">
        <v>401</v>
      </c>
    </row>
    <row r="6295" spans="1:19" ht="28" x14ac:dyDescent="0.15">
      <c r="A6295" s="2">
        <f>HYPERLINK("https://open-school.uspishnemisto.com.ua/school/320482/", 320482)</f>
        <v>320482</v>
      </c>
      <c r="B6295" s="3" t="s">
        <v>33017</v>
      </c>
      <c r="C6295" s="3" t="s">
        <v>31</v>
      </c>
      <c r="D6295" s="3" t="s">
        <v>32</v>
      </c>
      <c r="E6295" s="4" t="s">
        <v>22</v>
      </c>
      <c r="F6295" s="4" t="s">
        <v>33018</v>
      </c>
      <c r="G6295" s="4" t="s">
        <v>33019</v>
      </c>
      <c r="H6295" s="3" t="s">
        <v>30534</v>
      </c>
      <c r="I6295" s="3" t="s">
        <v>33020</v>
      </c>
      <c r="J6295" s="3" t="s">
        <v>664</v>
      </c>
      <c r="K6295" s="3" t="s">
        <v>33021</v>
      </c>
      <c r="L6295" s="3"/>
      <c r="M6295" s="4"/>
      <c r="N6295" s="3" t="s">
        <v>37</v>
      </c>
      <c r="O6295" s="3" t="s">
        <v>52</v>
      </c>
      <c r="P6295" s="5">
        <v>11</v>
      </c>
      <c r="Q6295" s="5">
        <v>101</v>
      </c>
      <c r="R6295" s="5">
        <v>11</v>
      </c>
      <c r="S6295" s="5">
        <v>97</v>
      </c>
    </row>
    <row r="6296" spans="1:19" ht="28" x14ac:dyDescent="0.15">
      <c r="A6296" s="2">
        <f>HYPERLINK("https://open-school.uspishnemisto.com.ua/school/320483/", 320483)</f>
        <v>320483</v>
      </c>
      <c r="B6296" s="3" t="s">
        <v>33022</v>
      </c>
      <c r="C6296" s="3" t="s">
        <v>31</v>
      </c>
      <c r="D6296" s="3" t="s">
        <v>175</v>
      </c>
      <c r="E6296" s="4" t="s">
        <v>22</v>
      </c>
      <c r="F6296" s="4" t="s">
        <v>33023</v>
      </c>
      <c r="G6296" s="4" t="s">
        <v>33024</v>
      </c>
      <c r="H6296" s="3" t="s">
        <v>30534</v>
      </c>
      <c r="I6296" s="3" t="s">
        <v>10822</v>
      </c>
      <c r="J6296" s="3" t="s">
        <v>33025</v>
      </c>
      <c r="K6296" s="3" t="s">
        <v>33026</v>
      </c>
      <c r="L6296" s="3" t="s">
        <v>33027</v>
      </c>
      <c r="M6296" s="4"/>
      <c r="N6296" s="3" t="s">
        <v>37</v>
      </c>
      <c r="O6296" s="3" t="s">
        <v>46</v>
      </c>
      <c r="P6296" s="5">
        <v>8</v>
      </c>
      <c r="Q6296" s="5">
        <v>53</v>
      </c>
      <c r="R6296" s="5">
        <v>7</v>
      </c>
      <c r="S6296" s="5">
        <v>42</v>
      </c>
    </row>
    <row r="6297" spans="1:19" ht="28" x14ac:dyDescent="0.15">
      <c r="A6297" s="2">
        <f>HYPERLINK("https://open-school.uspishnemisto.com.ua/school/320484/", 320484)</f>
        <v>320484</v>
      </c>
      <c r="B6297" s="3" t="s">
        <v>33028</v>
      </c>
      <c r="C6297" s="3" t="s">
        <v>31</v>
      </c>
      <c r="D6297" s="3" t="s">
        <v>60</v>
      </c>
      <c r="E6297" s="4" t="s">
        <v>22</v>
      </c>
      <c r="F6297" s="4" t="s">
        <v>33029</v>
      </c>
      <c r="G6297" s="4" t="s">
        <v>33030</v>
      </c>
      <c r="H6297" s="3" t="s">
        <v>30534</v>
      </c>
      <c r="I6297" s="3" t="s">
        <v>33031</v>
      </c>
      <c r="J6297" s="3" t="s">
        <v>33032</v>
      </c>
      <c r="K6297" s="3" t="s">
        <v>33033</v>
      </c>
      <c r="L6297" s="3"/>
      <c r="M6297" s="4"/>
      <c r="N6297" s="3" t="s">
        <v>37</v>
      </c>
      <c r="O6297" s="3" t="s">
        <v>52</v>
      </c>
      <c r="P6297" s="5">
        <v>4</v>
      </c>
      <c r="Q6297" s="5">
        <v>20</v>
      </c>
      <c r="R6297" s="5">
        <v>4</v>
      </c>
      <c r="S6297" s="5">
        <v>18</v>
      </c>
    </row>
    <row r="6298" spans="1:19" ht="42" x14ac:dyDescent="0.15">
      <c r="A6298" s="2">
        <f>HYPERLINK("https://open-school.uspishnemisto.com.ua/school/320485/", 320485)</f>
        <v>320485</v>
      </c>
      <c r="B6298" s="3" t="s">
        <v>33034</v>
      </c>
      <c r="C6298" s="3" t="s">
        <v>54</v>
      </c>
      <c r="D6298" s="3" t="s">
        <v>32</v>
      </c>
      <c r="E6298" s="4" t="s">
        <v>22</v>
      </c>
      <c r="F6298" s="4" t="s">
        <v>33035</v>
      </c>
      <c r="G6298" s="4" t="s">
        <v>33036</v>
      </c>
      <c r="H6298" s="3" t="s">
        <v>30534</v>
      </c>
      <c r="I6298" s="3" t="s">
        <v>1109</v>
      </c>
      <c r="J6298" s="3" t="s">
        <v>33037</v>
      </c>
      <c r="K6298" s="3" t="s">
        <v>33038</v>
      </c>
      <c r="L6298" s="3" t="s">
        <v>33039</v>
      </c>
      <c r="M6298" s="4"/>
      <c r="N6298" s="3" t="s">
        <v>37</v>
      </c>
      <c r="O6298" s="3" t="s">
        <v>46</v>
      </c>
      <c r="P6298" s="5">
        <v>11</v>
      </c>
      <c r="Q6298" s="5">
        <v>76</v>
      </c>
      <c r="R6298" s="5">
        <v>11</v>
      </c>
      <c r="S6298" s="5">
        <v>86</v>
      </c>
    </row>
    <row r="6299" spans="1:19" ht="28" x14ac:dyDescent="0.15">
      <c r="A6299" s="2">
        <f>HYPERLINK("https://open-school.uspishnemisto.com.ua/school/320486/", 320486)</f>
        <v>320486</v>
      </c>
      <c r="B6299" s="3" t="s">
        <v>33040</v>
      </c>
      <c r="C6299" s="3" t="s">
        <v>31</v>
      </c>
      <c r="D6299" s="3" t="s">
        <v>32</v>
      </c>
      <c r="E6299" s="4" t="s">
        <v>22</v>
      </c>
      <c r="F6299" s="4" t="s">
        <v>33041</v>
      </c>
      <c r="G6299" s="4" t="s">
        <v>33042</v>
      </c>
      <c r="H6299" s="3" t="s">
        <v>30534</v>
      </c>
      <c r="I6299" s="3" t="s">
        <v>33043</v>
      </c>
      <c r="J6299" s="3" t="s">
        <v>33044</v>
      </c>
      <c r="K6299" s="3" t="s">
        <v>33045</v>
      </c>
      <c r="L6299" s="3" t="s">
        <v>33046</v>
      </c>
      <c r="M6299" s="4"/>
      <c r="N6299" s="3" t="s">
        <v>37</v>
      </c>
      <c r="O6299" s="3" t="s">
        <v>52</v>
      </c>
      <c r="P6299" s="5">
        <v>10</v>
      </c>
      <c r="Q6299" s="5">
        <v>104</v>
      </c>
      <c r="R6299" s="5">
        <v>11</v>
      </c>
      <c r="S6299" s="5">
        <v>105</v>
      </c>
    </row>
    <row r="6300" spans="1:19" ht="42" x14ac:dyDescent="0.15">
      <c r="A6300" s="2">
        <f>HYPERLINK("https://open-school.uspishnemisto.com.ua/school/320487/", 320487)</f>
        <v>320487</v>
      </c>
      <c r="B6300" s="3" t="s">
        <v>33047</v>
      </c>
      <c r="C6300" s="3" t="s">
        <v>54</v>
      </c>
      <c r="D6300" s="3" t="s">
        <v>175</v>
      </c>
      <c r="E6300" s="4" t="s">
        <v>22</v>
      </c>
      <c r="F6300" s="4" t="s">
        <v>33048</v>
      </c>
      <c r="G6300" s="4" t="s">
        <v>33049</v>
      </c>
      <c r="H6300" s="3" t="s">
        <v>30534</v>
      </c>
      <c r="I6300" s="3" t="s">
        <v>33050</v>
      </c>
      <c r="J6300" s="3" t="s">
        <v>33051</v>
      </c>
      <c r="K6300" s="3" t="s">
        <v>33052</v>
      </c>
      <c r="L6300" s="3"/>
      <c r="M6300" s="4"/>
      <c r="N6300" s="3" t="s">
        <v>37</v>
      </c>
      <c r="O6300" s="3" t="s">
        <v>46</v>
      </c>
      <c r="P6300" s="5">
        <v>9</v>
      </c>
      <c r="Q6300" s="5">
        <v>54</v>
      </c>
      <c r="R6300" s="5">
        <v>9</v>
      </c>
      <c r="S6300" s="5">
        <v>51</v>
      </c>
    </row>
    <row r="6301" spans="1:19" ht="28" x14ac:dyDescent="0.15">
      <c r="A6301" s="2">
        <f>HYPERLINK("https://open-school.uspishnemisto.com.ua/school/320488/", 320488)</f>
        <v>320488</v>
      </c>
      <c r="B6301" s="3" t="s">
        <v>33053</v>
      </c>
      <c r="C6301" s="3" t="s">
        <v>31</v>
      </c>
      <c r="D6301" s="3" t="s">
        <v>32</v>
      </c>
      <c r="E6301" s="4" t="s">
        <v>22</v>
      </c>
      <c r="F6301" s="4" t="s">
        <v>33054</v>
      </c>
      <c r="G6301" s="4" t="s">
        <v>33055</v>
      </c>
      <c r="H6301" s="3" t="s">
        <v>30534</v>
      </c>
      <c r="I6301" s="3" t="s">
        <v>33056</v>
      </c>
      <c r="J6301" s="3" t="s">
        <v>2063</v>
      </c>
      <c r="K6301" s="3" t="s">
        <v>33057</v>
      </c>
      <c r="L6301" s="3"/>
      <c r="M6301" s="4"/>
      <c r="N6301" s="3" t="s">
        <v>37</v>
      </c>
      <c r="O6301" s="3" t="s">
        <v>52</v>
      </c>
      <c r="P6301" s="5">
        <v>11</v>
      </c>
      <c r="Q6301" s="5">
        <v>154</v>
      </c>
      <c r="R6301" s="5">
        <v>11</v>
      </c>
      <c r="S6301" s="5">
        <v>148</v>
      </c>
    </row>
    <row r="6302" spans="1:19" ht="28" x14ac:dyDescent="0.15">
      <c r="A6302" s="2">
        <f>HYPERLINK("https://open-school.uspishnemisto.com.ua/school/320489/", 320489)</f>
        <v>320489</v>
      </c>
      <c r="B6302" s="3" t="s">
        <v>33058</v>
      </c>
      <c r="C6302" s="3" t="s">
        <v>54</v>
      </c>
      <c r="D6302" s="3" t="s">
        <v>32</v>
      </c>
      <c r="E6302" s="4" t="s">
        <v>22</v>
      </c>
      <c r="F6302" s="4" t="s">
        <v>33059</v>
      </c>
      <c r="G6302" s="4" t="s">
        <v>33060</v>
      </c>
      <c r="H6302" s="3" t="s">
        <v>30534</v>
      </c>
      <c r="I6302" s="3" t="s">
        <v>3369</v>
      </c>
      <c r="J6302" s="3" t="s">
        <v>33061</v>
      </c>
      <c r="K6302" s="3"/>
      <c r="L6302" s="3"/>
      <c r="M6302" s="4"/>
      <c r="N6302" s="3" t="s">
        <v>37</v>
      </c>
      <c r="O6302" s="3" t="s">
        <v>52</v>
      </c>
      <c r="P6302" s="5">
        <v>11</v>
      </c>
      <c r="Q6302" s="5">
        <v>66</v>
      </c>
      <c r="R6302" s="5">
        <v>11</v>
      </c>
      <c r="S6302" s="5">
        <v>61</v>
      </c>
    </row>
    <row r="6303" spans="1:19" ht="28" x14ac:dyDescent="0.15">
      <c r="A6303" s="2">
        <f>HYPERLINK("https://open-school.uspishnemisto.com.ua/school/320490/", 320490)</f>
        <v>320490</v>
      </c>
      <c r="B6303" s="3" t="s">
        <v>33062</v>
      </c>
      <c r="C6303" s="3" t="s">
        <v>31</v>
      </c>
      <c r="D6303" s="3" t="s">
        <v>32</v>
      </c>
      <c r="E6303" s="4" t="s">
        <v>22</v>
      </c>
      <c r="F6303" s="4" t="s">
        <v>33063</v>
      </c>
      <c r="G6303" s="4" t="s">
        <v>33064</v>
      </c>
      <c r="H6303" s="3" t="s">
        <v>30534</v>
      </c>
      <c r="I6303" s="3" t="s">
        <v>33065</v>
      </c>
      <c r="J6303" s="3" t="s">
        <v>33066</v>
      </c>
      <c r="K6303" s="3" t="s">
        <v>33067</v>
      </c>
      <c r="L6303" s="3" t="s">
        <v>33068</v>
      </c>
      <c r="M6303" s="4"/>
      <c r="N6303" s="3" t="s">
        <v>37</v>
      </c>
      <c r="O6303" s="3" t="s">
        <v>52</v>
      </c>
      <c r="P6303" s="5">
        <v>11</v>
      </c>
      <c r="Q6303" s="5">
        <v>128</v>
      </c>
      <c r="R6303" s="5">
        <v>11</v>
      </c>
      <c r="S6303" s="5">
        <v>137</v>
      </c>
    </row>
    <row r="6304" spans="1:19" ht="28" x14ac:dyDescent="0.15">
      <c r="A6304" s="2">
        <f>HYPERLINK("https://open-school.uspishnemisto.com.ua/school/320491/", 320491)</f>
        <v>320491</v>
      </c>
      <c r="B6304" s="3" t="s">
        <v>33069</v>
      </c>
      <c r="C6304" s="3" t="s">
        <v>31</v>
      </c>
      <c r="D6304" s="3" t="s">
        <v>32</v>
      </c>
      <c r="E6304" s="4" t="s">
        <v>22</v>
      </c>
      <c r="F6304" s="4" t="s">
        <v>33070</v>
      </c>
      <c r="G6304" s="4" t="s">
        <v>33071</v>
      </c>
      <c r="H6304" s="3" t="s">
        <v>30534</v>
      </c>
      <c r="I6304" s="3" t="s">
        <v>12202</v>
      </c>
      <c r="J6304" s="3" t="s">
        <v>33072</v>
      </c>
      <c r="K6304" s="3" t="s">
        <v>33073</v>
      </c>
      <c r="L6304" s="3"/>
      <c r="M6304" s="4"/>
      <c r="N6304" s="3" t="s">
        <v>37</v>
      </c>
      <c r="O6304" s="3" t="s">
        <v>52</v>
      </c>
      <c r="P6304" s="5">
        <v>11</v>
      </c>
      <c r="Q6304" s="5">
        <v>121</v>
      </c>
      <c r="R6304" s="5">
        <v>11</v>
      </c>
      <c r="S6304" s="5">
        <v>113</v>
      </c>
    </row>
    <row r="6305" spans="1:19" ht="42" x14ac:dyDescent="0.15">
      <c r="A6305" s="2">
        <f>HYPERLINK("https://open-school.uspishnemisto.com.ua/school/320492/", 320492)</f>
        <v>320492</v>
      </c>
      <c r="B6305" s="3" t="s">
        <v>33074</v>
      </c>
      <c r="C6305" s="3" t="s">
        <v>54</v>
      </c>
      <c r="D6305" s="3" t="s">
        <v>32</v>
      </c>
      <c r="E6305" s="4" t="s">
        <v>22</v>
      </c>
      <c r="F6305" s="4" t="s">
        <v>33075</v>
      </c>
      <c r="G6305" s="4" t="s">
        <v>33076</v>
      </c>
      <c r="H6305" s="3" t="s">
        <v>30534</v>
      </c>
      <c r="I6305" s="3" t="s">
        <v>3531</v>
      </c>
      <c r="J6305" s="3" t="s">
        <v>20560</v>
      </c>
      <c r="K6305" s="3" t="s">
        <v>33077</v>
      </c>
      <c r="L6305" s="3" t="s">
        <v>33078</v>
      </c>
      <c r="M6305" s="4"/>
      <c r="N6305" s="3" t="s">
        <v>37</v>
      </c>
      <c r="O6305" s="3" t="s">
        <v>46</v>
      </c>
      <c r="P6305" s="5">
        <v>10</v>
      </c>
      <c r="Q6305" s="5">
        <v>99</v>
      </c>
      <c r="R6305" s="5">
        <v>10</v>
      </c>
      <c r="S6305" s="5">
        <v>98</v>
      </c>
    </row>
    <row r="6306" spans="1:19" ht="28" x14ac:dyDescent="0.15">
      <c r="A6306" s="2">
        <f>HYPERLINK("https://open-school.uspishnemisto.com.ua/school/320493/", 320493)</f>
        <v>320493</v>
      </c>
      <c r="B6306" s="3" t="s">
        <v>33079</v>
      </c>
      <c r="C6306" s="3" t="s">
        <v>54</v>
      </c>
      <c r="D6306" s="3" t="s">
        <v>32</v>
      </c>
      <c r="E6306" s="4" t="s">
        <v>22</v>
      </c>
      <c r="F6306" s="4" t="s">
        <v>33080</v>
      </c>
      <c r="G6306" s="4" t="s">
        <v>33081</v>
      </c>
      <c r="H6306" s="3" t="s">
        <v>30534</v>
      </c>
      <c r="I6306" s="3" t="s">
        <v>33082</v>
      </c>
      <c r="J6306" s="3" t="s">
        <v>33083</v>
      </c>
      <c r="K6306" s="3" t="s">
        <v>33084</v>
      </c>
      <c r="L6306" s="3"/>
      <c r="M6306" s="4"/>
      <c r="N6306" s="3" t="s">
        <v>37</v>
      </c>
      <c r="O6306" s="3" t="s">
        <v>38</v>
      </c>
      <c r="P6306" s="5">
        <v>11</v>
      </c>
      <c r="Q6306" s="5">
        <v>86</v>
      </c>
      <c r="R6306" s="5">
        <v>11</v>
      </c>
      <c r="S6306" s="5">
        <v>80</v>
      </c>
    </row>
    <row r="6307" spans="1:19" ht="42" x14ac:dyDescent="0.15">
      <c r="A6307" s="2">
        <f>HYPERLINK("https://open-school.uspishnemisto.com.ua/school/320494/", 320494)</f>
        <v>320494</v>
      </c>
      <c r="B6307" s="3" t="s">
        <v>33085</v>
      </c>
      <c r="C6307" s="3" t="s">
        <v>54</v>
      </c>
      <c r="D6307" s="3" t="s">
        <v>175</v>
      </c>
      <c r="E6307" s="4" t="s">
        <v>22</v>
      </c>
      <c r="F6307" s="4" t="s">
        <v>33086</v>
      </c>
      <c r="G6307" s="4" t="s">
        <v>33087</v>
      </c>
      <c r="H6307" s="3" t="s">
        <v>30534</v>
      </c>
      <c r="I6307" s="3" t="s">
        <v>440</v>
      </c>
      <c r="J6307" s="3" t="s">
        <v>7930</v>
      </c>
      <c r="K6307" s="3" t="s">
        <v>33088</v>
      </c>
      <c r="L6307" s="3" t="s">
        <v>33089</v>
      </c>
      <c r="M6307" s="4"/>
      <c r="N6307" s="3" t="s">
        <v>37</v>
      </c>
      <c r="O6307" s="3" t="s">
        <v>46</v>
      </c>
      <c r="P6307" s="5">
        <v>8</v>
      </c>
      <c r="Q6307" s="5">
        <v>58</v>
      </c>
      <c r="R6307" s="5">
        <v>9</v>
      </c>
      <c r="S6307" s="5">
        <v>62</v>
      </c>
    </row>
    <row r="6308" spans="1:19" ht="28" x14ac:dyDescent="0.15">
      <c r="A6308" s="2">
        <f>HYPERLINK("https://open-school.uspishnemisto.com.ua/school/320495/", 320495)</f>
        <v>320495</v>
      </c>
      <c r="B6308" s="3" t="s">
        <v>33090</v>
      </c>
      <c r="C6308" s="3" t="s">
        <v>54</v>
      </c>
      <c r="D6308" s="3" t="s">
        <v>60</v>
      </c>
      <c r="E6308" s="4" t="s">
        <v>22</v>
      </c>
      <c r="F6308" s="4" t="s">
        <v>33091</v>
      </c>
      <c r="G6308" s="4" t="s">
        <v>33092</v>
      </c>
      <c r="H6308" s="3" t="s">
        <v>30534</v>
      </c>
      <c r="I6308" s="3" t="s">
        <v>33093</v>
      </c>
      <c r="J6308" s="3" t="s">
        <v>3106</v>
      </c>
      <c r="K6308" s="3" t="s">
        <v>33094</v>
      </c>
      <c r="L6308" s="3" t="s">
        <v>33095</v>
      </c>
      <c r="M6308" s="4"/>
      <c r="N6308" s="3" t="s">
        <v>37</v>
      </c>
      <c r="O6308" s="3" t="s">
        <v>52</v>
      </c>
      <c r="P6308" s="5">
        <v>4</v>
      </c>
      <c r="Q6308" s="5">
        <v>16</v>
      </c>
      <c r="R6308" s="5">
        <v>4</v>
      </c>
      <c r="S6308" s="5">
        <v>16</v>
      </c>
    </row>
    <row r="6309" spans="1:19" ht="42" x14ac:dyDescent="0.15">
      <c r="A6309" s="2">
        <f>HYPERLINK("https://open-school.uspishnemisto.com.ua/school/320496/", 320496)</f>
        <v>320496</v>
      </c>
      <c r="B6309" s="3" t="s">
        <v>33096</v>
      </c>
      <c r="C6309" s="3" t="s">
        <v>181</v>
      </c>
      <c r="D6309" s="3" t="s">
        <v>175</v>
      </c>
      <c r="E6309" s="4" t="s">
        <v>22</v>
      </c>
      <c r="F6309" s="4" t="s">
        <v>33097</v>
      </c>
      <c r="G6309" s="4" t="s">
        <v>33098</v>
      </c>
      <c r="H6309" s="3" t="s">
        <v>30534</v>
      </c>
      <c r="I6309" s="3" t="s">
        <v>5912</v>
      </c>
      <c r="J6309" s="3" t="s">
        <v>33099</v>
      </c>
      <c r="K6309" s="3"/>
      <c r="L6309" s="3" t="s">
        <v>33100</v>
      </c>
      <c r="M6309" s="4" t="s">
        <v>33101</v>
      </c>
      <c r="N6309" s="3" t="s">
        <v>37</v>
      </c>
      <c r="O6309" s="3"/>
      <c r="P6309" s="5">
        <v>8</v>
      </c>
      <c r="Q6309" s="5">
        <v>63</v>
      </c>
      <c r="R6309" s="5">
        <v>9</v>
      </c>
      <c r="S6309" s="5">
        <v>55</v>
      </c>
    </row>
    <row r="6310" spans="1:19" ht="28" x14ac:dyDescent="0.15">
      <c r="A6310" s="2">
        <f>HYPERLINK("https://open-school.uspishnemisto.com.ua/school/320497/", 320497)</f>
        <v>320497</v>
      </c>
      <c r="B6310" s="3" t="s">
        <v>33102</v>
      </c>
      <c r="C6310" s="3" t="s">
        <v>31</v>
      </c>
      <c r="D6310" s="3" t="s">
        <v>32</v>
      </c>
      <c r="E6310" s="4" t="s">
        <v>22</v>
      </c>
      <c r="F6310" s="4" t="s">
        <v>33103</v>
      </c>
      <c r="G6310" s="4" t="s">
        <v>33104</v>
      </c>
      <c r="H6310" s="3" t="s">
        <v>30534</v>
      </c>
      <c r="I6310" s="3" t="s">
        <v>33105</v>
      </c>
      <c r="J6310" s="3" t="s">
        <v>33106</v>
      </c>
      <c r="K6310" s="3" t="s">
        <v>33107</v>
      </c>
      <c r="L6310" s="3" t="s">
        <v>33108</v>
      </c>
      <c r="M6310" s="4" t="s">
        <v>33109</v>
      </c>
      <c r="N6310" s="3" t="s">
        <v>37</v>
      </c>
      <c r="O6310" s="3" t="s">
        <v>52</v>
      </c>
      <c r="P6310" s="5">
        <v>10</v>
      </c>
      <c r="Q6310" s="5">
        <v>92</v>
      </c>
      <c r="R6310" s="5">
        <v>10</v>
      </c>
      <c r="S6310" s="5">
        <v>91</v>
      </c>
    </row>
    <row r="6311" spans="1:19" ht="42" x14ac:dyDescent="0.15">
      <c r="A6311" s="2">
        <f>HYPERLINK("https://open-school.uspishnemisto.com.ua/school/320498/", 320498)</f>
        <v>320498</v>
      </c>
      <c r="B6311" s="3" t="s">
        <v>33110</v>
      </c>
      <c r="C6311" s="3" t="s">
        <v>54</v>
      </c>
      <c r="D6311" s="3" t="s">
        <v>175</v>
      </c>
      <c r="E6311" s="4" t="s">
        <v>22</v>
      </c>
      <c r="F6311" s="4" t="s">
        <v>33111</v>
      </c>
      <c r="G6311" s="4" t="s">
        <v>33112</v>
      </c>
      <c r="H6311" s="3" t="s">
        <v>30534</v>
      </c>
      <c r="I6311" s="3" t="s">
        <v>33113</v>
      </c>
      <c r="J6311" s="3" t="s">
        <v>33114</v>
      </c>
      <c r="K6311" s="3"/>
      <c r="L6311" s="3" t="s">
        <v>33115</v>
      </c>
      <c r="M6311" s="4"/>
      <c r="N6311" s="3" t="s">
        <v>37</v>
      </c>
      <c r="O6311" s="3" t="s">
        <v>52</v>
      </c>
      <c r="P6311" s="5">
        <v>9</v>
      </c>
      <c r="Q6311" s="5">
        <v>65</v>
      </c>
      <c r="R6311" s="5">
        <v>9</v>
      </c>
      <c r="S6311" s="5">
        <v>67</v>
      </c>
    </row>
    <row r="6312" spans="1:19" ht="28" x14ac:dyDescent="0.15">
      <c r="A6312" s="2">
        <f>HYPERLINK("https://open-school.uspishnemisto.com.ua/school/320499/", 320499)</f>
        <v>320499</v>
      </c>
      <c r="B6312" s="3" t="s">
        <v>33116</v>
      </c>
      <c r="C6312" s="3" t="s">
        <v>54</v>
      </c>
      <c r="D6312" s="3" t="s">
        <v>60</v>
      </c>
      <c r="E6312" s="4" t="s">
        <v>22</v>
      </c>
      <c r="F6312" s="4" t="s">
        <v>33117</v>
      </c>
      <c r="G6312" s="4" t="s">
        <v>33118</v>
      </c>
      <c r="H6312" s="3" t="s">
        <v>30534</v>
      </c>
      <c r="I6312" s="3" t="s">
        <v>33119</v>
      </c>
      <c r="J6312" s="3" t="s">
        <v>33120</v>
      </c>
      <c r="K6312" s="3"/>
      <c r="L6312" s="3"/>
      <c r="M6312" s="4"/>
      <c r="N6312" s="3" t="s">
        <v>37</v>
      </c>
      <c r="O6312" s="3" t="s">
        <v>52</v>
      </c>
      <c r="P6312" s="5">
        <v>0</v>
      </c>
      <c r="Q6312" s="5">
        <v>0</v>
      </c>
      <c r="R6312" s="5">
        <v>4</v>
      </c>
      <c r="S6312" s="5">
        <v>11</v>
      </c>
    </row>
    <row r="6313" spans="1:19" ht="42" x14ac:dyDescent="0.15">
      <c r="A6313" s="2">
        <f>HYPERLINK("https://open-school.uspishnemisto.com.ua/school/320500/", 320500)</f>
        <v>320500</v>
      </c>
      <c r="B6313" s="3" t="s">
        <v>33121</v>
      </c>
      <c r="C6313" s="3" t="s">
        <v>54</v>
      </c>
      <c r="D6313" s="3" t="s">
        <v>32</v>
      </c>
      <c r="E6313" s="4" t="s">
        <v>22</v>
      </c>
      <c r="F6313" s="4" t="s">
        <v>33122</v>
      </c>
      <c r="G6313" s="4" t="s">
        <v>33123</v>
      </c>
      <c r="H6313" s="3" t="s">
        <v>30534</v>
      </c>
      <c r="I6313" s="3" t="s">
        <v>33124</v>
      </c>
      <c r="J6313" s="3" t="s">
        <v>1354</v>
      </c>
      <c r="K6313" s="3" t="s">
        <v>33125</v>
      </c>
      <c r="L6313" s="3" t="s">
        <v>33126</v>
      </c>
      <c r="M6313" s="4"/>
      <c r="N6313" s="3" t="s">
        <v>37</v>
      </c>
      <c r="O6313" s="3" t="s">
        <v>52</v>
      </c>
      <c r="P6313" s="5">
        <v>11</v>
      </c>
      <c r="Q6313" s="5">
        <v>66</v>
      </c>
      <c r="R6313" s="5">
        <v>11</v>
      </c>
      <c r="S6313" s="5">
        <v>61</v>
      </c>
    </row>
    <row r="6314" spans="1:19" ht="28" x14ac:dyDescent="0.15">
      <c r="A6314" s="2">
        <f>HYPERLINK("https://open-school.uspishnemisto.com.ua/school/320501/", 320501)</f>
        <v>320501</v>
      </c>
      <c r="B6314" s="3" t="s">
        <v>33127</v>
      </c>
      <c r="C6314" s="3" t="s">
        <v>31</v>
      </c>
      <c r="D6314" s="3" t="s">
        <v>32</v>
      </c>
      <c r="E6314" s="4" t="s">
        <v>22</v>
      </c>
      <c r="F6314" s="4" t="s">
        <v>33128</v>
      </c>
      <c r="G6314" s="4" t="s">
        <v>33129</v>
      </c>
      <c r="H6314" s="3" t="s">
        <v>30534</v>
      </c>
      <c r="I6314" s="3" t="s">
        <v>5383</v>
      </c>
      <c r="J6314" s="3" t="s">
        <v>297</v>
      </c>
      <c r="K6314" s="3" t="s">
        <v>33130</v>
      </c>
      <c r="L6314" s="3" t="s">
        <v>33131</v>
      </c>
      <c r="M6314" s="4"/>
      <c r="N6314" s="3" t="s">
        <v>37</v>
      </c>
      <c r="O6314" s="3" t="s">
        <v>52</v>
      </c>
      <c r="P6314" s="5">
        <v>11</v>
      </c>
      <c r="Q6314" s="5">
        <v>142</v>
      </c>
      <c r="R6314" s="5">
        <v>11</v>
      </c>
      <c r="S6314" s="5">
        <v>138</v>
      </c>
    </row>
    <row r="6315" spans="1:19" ht="28" x14ac:dyDescent="0.15">
      <c r="A6315" s="2">
        <f>HYPERLINK("https://open-school.uspishnemisto.com.ua/school/320502/", 320502)</f>
        <v>320502</v>
      </c>
      <c r="B6315" s="3" t="s">
        <v>33132</v>
      </c>
      <c r="C6315" s="3" t="s">
        <v>31</v>
      </c>
      <c r="D6315" s="3" t="s">
        <v>32</v>
      </c>
      <c r="E6315" s="4" t="s">
        <v>22</v>
      </c>
      <c r="F6315" s="4" t="s">
        <v>33133</v>
      </c>
      <c r="G6315" s="4" t="s">
        <v>33134</v>
      </c>
      <c r="H6315" s="3" t="s">
        <v>30534</v>
      </c>
      <c r="I6315" s="3" t="s">
        <v>33135</v>
      </c>
      <c r="J6315" s="3" t="s">
        <v>12850</v>
      </c>
      <c r="K6315" s="3" t="s">
        <v>33136</v>
      </c>
      <c r="L6315" s="3"/>
      <c r="M6315" s="4"/>
      <c r="N6315" s="3" t="s">
        <v>37</v>
      </c>
      <c r="O6315" s="3" t="s">
        <v>38</v>
      </c>
      <c r="P6315" s="5">
        <v>11</v>
      </c>
      <c r="Q6315" s="5">
        <v>108</v>
      </c>
      <c r="R6315" s="5">
        <v>11</v>
      </c>
      <c r="S6315" s="5">
        <v>103</v>
      </c>
    </row>
    <row r="6316" spans="1:19" ht="42" x14ac:dyDescent="0.15">
      <c r="A6316" s="2">
        <f>HYPERLINK("https://open-school.uspishnemisto.com.ua/school/320503/", 320503)</f>
        <v>320503</v>
      </c>
      <c r="B6316" s="3" t="s">
        <v>33137</v>
      </c>
      <c r="C6316" s="3" t="s">
        <v>54</v>
      </c>
      <c r="D6316" s="3" t="s">
        <v>175</v>
      </c>
      <c r="E6316" s="4" t="s">
        <v>22</v>
      </c>
      <c r="F6316" s="4" t="s">
        <v>33138</v>
      </c>
      <c r="G6316" s="4" t="s">
        <v>33139</v>
      </c>
      <c r="H6316" s="3" t="s">
        <v>30534</v>
      </c>
      <c r="I6316" s="3" t="s">
        <v>33140</v>
      </c>
      <c r="J6316" s="3" t="s">
        <v>33141</v>
      </c>
      <c r="K6316" s="3" t="s">
        <v>33142</v>
      </c>
      <c r="L6316" s="3"/>
      <c r="M6316" s="4"/>
      <c r="N6316" s="3" t="s">
        <v>37</v>
      </c>
      <c r="O6316" s="3" t="s">
        <v>52</v>
      </c>
      <c r="P6316" s="5">
        <v>9</v>
      </c>
      <c r="Q6316" s="5">
        <v>62</v>
      </c>
      <c r="R6316" s="5">
        <v>9</v>
      </c>
      <c r="S6316" s="5">
        <v>57</v>
      </c>
    </row>
    <row r="6317" spans="1:19" ht="42" x14ac:dyDescent="0.15">
      <c r="A6317" s="2">
        <f>HYPERLINK("https://open-school.uspishnemisto.com.ua/school/320504/", 320504)</f>
        <v>320504</v>
      </c>
      <c r="B6317" s="3" t="s">
        <v>33143</v>
      </c>
      <c r="C6317" s="3" t="s">
        <v>54</v>
      </c>
      <c r="D6317" s="3" t="s">
        <v>32</v>
      </c>
      <c r="E6317" s="4" t="s">
        <v>22</v>
      </c>
      <c r="F6317" s="4" t="s">
        <v>33144</v>
      </c>
      <c r="G6317" s="4" t="s">
        <v>33145</v>
      </c>
      <c r="H6317" s="3" t="s">
        <v>30534</v>
      </c>
      <c r="I6317" s="3" t="s">
        <v>33146</v>
      </c>
      <c r="J6317" s="3" t="s">
        <v>634</v>
      </c>
      <c r="K6317" s="3" t="s">
        <v>33147</v>
      </c>
      <c r="L6317" s="3" t="s">
        <v>33148</v>
      </c>
      <c r="M6317" s="4"/>
      <c r="N6317" s="3" t="s">
        <v>37</v>
      </c>
      <c r="O6317" s="3" t="s">
        <v>52</v>
      </c>
      <c r="P6317" s="5">
        <v>11</v>
      </c>
      <c r="Q6317" s="5">
        <v>84</v>
      </c>
      <c r="R6317" s="5">
        <v>11</v>
      </c>
      <c r="S6317" s="5">
        <v>84</v>
      </c>
    </row>
    <row r="6318" spans="1:19" ht="28" x14ac:dyDescent="0.15">
      <c r="A6318" s="2">
        <f>HYPERLINK("https://open-school.uspishnemisto.com.ua/school/320505/", 320505)</f>
        <v>320505</v>
      </c>
      <c r="B6318" s="3" t="s">
        <v>33149</v>
      </c>
      <c r="C6318" s="3" t="s">
        <v>31</v>
      </c>
      <c r="D6318" s="3" t="s">
        <v>175</v>
      </c>
      <c r="E6318" s="4" t="s">
        <v>22</v>
      </c>
      <c r="F6318" s="4" t="s">
        <v>33150</v>
      </c>
      <c r="G6318" s="4" t="s">
        <v>33151</v>
      </c>
      <c r="H6318" s="3" t="s">
        <v>30534</v>
      </c>
      <c r="I6318" s="3" t="s">
        <v>5965</v>
      </c>
      <c r="J6318" s="3" t="s">
        <v>33152</v>
      </c>
      <c r="K6318" s="3" t="s">
        <v>33153</v>
      </c>
      <c r="L6318" s="3"/>
      <c r="M6318" s="4"/>
      <c r="N6318" s="3" t="s">
        <v>37</v>
      </c>
      <c r="O6318" s="3" t="s">
        <v>38</v>
      </c>
      <c r="P6318" s="5">
        <v>9</v>
      </c>
      <c r="Q6318" s="5">
        <v>38</v>
      </c>
      <c r="R6318" s="5">
        <v>9</v>
      </c>
      <c r="S6318" s="5">
        <v>44</v>
      </c>
    </row>
    <row r="6319" spans="1:19" ht="28" x14ac:dyDescent="0.15">
      <c r="A6319" s="2">
        <f>HYPERLINK("https://open-school.uspishnemisto.com.ua/school/320506/", 320506)</f>
        <v>320506</v>
      </c>
      <c r="B6319" s="3" t="s">
        <v>33154</v>
      </c>
      <c r="C6319" s="3" t="s">
        <v>31</v>
      </c>
      <c r="D6319" s="3" t="s">
        <v>175</v>
      </c>
      <c r="E6319" s="4" t="s">
        <v>22</v>
      </c>
      <c r="F6319" s="4" t="s">
        <v>33155</v>
      </c>
      <c r="G6319" s="4" t="s">
        <v>33156</v>
      </c>
      <c r="H6319" s="3" t="s">
        <v>30534</v>
      </c>
      <c r="I6319" s="3" t="s">
        <v>17308</v>
      </c>
      <c r="J6319" s="3" t="s">
        <v>1576</v>
      </c>
      <c r="K6319" s="3" t="s">
        <v>33157</v>
      </c>
      <c r="L6319" s="3" t="s">
        <v>33158</v>
      </c>
      <c r="M6319" s="4"/>
      <c r="N6319" s="3" t="s">
        <v>37</v>
      </c>
      <c r="O6319" s="3" t="s">
        <v>52</v>
      </c>
      <c r="P6319" s="5">
        <v>9</v>
      </c>
      <c r="Q6319" s="5">
        <v>80</v>
      </c>
      <c r="R6319" s="5">
        <v>9</v>
      </c>
      <c r="S6319" s="5">
        <v>87</v>
      </c>
    </row>
    <row r="6320" spans="1:19" ht="42" x14ac:dyDescent="0.15">
      <c r="A6320" s="2">
        <f>HYPERLINK("https://open-school.uspishnemisto.com.ua/school/320507/", 320507)</f>
        <v>320507</v>
      </c>
      <c r="B6320" s="3" t="s">
        <v>33159</v>
      </c>
      <c r="C6320" s="3" t="s">
        <v>31</v>
      </c>
      <c r="D6320" s="3" t="s">
        <v>32</v>
      </c>
      <c r="E6320" s="4" t="s">
        <v>22</v>
      </c>
      <c r="F6320" s="4" t="s">
        <v>33160</v>
      </c>
      <c r="G6320" s="4" t="s">
        <v>33161</v>
      </c>
      <c r="H6320" s="3" t="s">
        <v>30534</v>
      </c>
      <c r="I6320" s="3" t="s">
        <v>33162</v>
      </c>
      <c r="J6320" s="3" t="s">
        <v>33163</v>
      </c>
      <c r="K6320" s="3" t="s">
        <v>33164</v>
      </c>
      <c r="L6320" s="3"/>
      <c r="M6320" s="4"/>
      <c r="N6320" s="3" t="s">
        <v>37</v>
      </c>
      <c r="O6320" s="3" t="s">
        <v>46</v>
      </c>
      <c r="P6320" s="5">
        <v>15</v>
      </c>
      <c r="Q6320" s="5">
        <v>193</v>
      </c>
      <c r="R6320" s="5">
        <v>11</v>
      </c>
      <c r="S6320" s="5">
        <v>167</v>
      </c>
    </row>
    <row r="6321" spans="1:19" ht="42" x14ac:dyDescent="0.15">
      <c r="A6321" s="2">
        <f>HYPERLINK("https://open-school.uspishnemisto.com.ua/school/320751/", 320751)</f>
        <v>320751</v>
      </c>
      <c r="B6321" s="3" t="s">
        <v>33165</v>
      </c>
      <c r="C6321" s="3" t="s">
        <v>31</v>
      </c>
      <c r="D6321" s="3" t="s">
        <v>175</v>
      </c>
      <c r="E6321" s="4" t="s">
        <v>22</v>
      </c>
      <c r="F6321" s="4" t="s">
        <v>33166</v>
      </c>
      <c r="G6321" s="4" t="s">
        <v>33167</v>
      </c>
      <c r="H6321" s="3" t="s">
        <v>30534</v>
      </c>
      <c r="I6321" s="3" t="s">
        <v>33168</v>
      </c>
      <c r="J6321" s="3" t="s">
        <v>33169</v>
      </c>
      <c r="K6321" s="3" t="s">
        <v>33170</v>
      </c>
      <c r="L6321" s="3" t="s">
        <v>33171</v>
      </c>
      <c r="M6321" s="4"/>
      <c r="N6321" s="3"/>
      <c r="O6321" s="3"/>
      <c r="P6321" s="5">
        <v>0</v>
      </c>
      <c r="Q6321" s="5">
        <v>0</v>
      </c>
      <c r="R6321" s="5"/>
      <c r="S6321" s="5"/>
    </row>
    <row r="6322" spans="1:19" ht="28" x14ac:dyDescent="0.15">
      <c r="A6322" s="2">
        <f>HYPERLINK("https://open-school.uspishnemisto.com.ua/school/320508/", 320508)</f>
        <v>320508</v>
      </c>
      <c r="B6322" s="3" t="s">
        <v>33172</v>
      </c>
      <c r="C6322" s="3" t="s">
        <v>54</v>
      </c>
      <c r="D6322" s="3" t="s">
        <v>175</v>
      </c>
      <c r="E6322" s="4" t="s">
        <v>22</v>
      </c>
      <c r="F6322" s="4" t="s">
        <v>33173</v>
      </c>
      <c r="G6322" s="4" t="s">
        <v>33174</v>
      </c>
      <c r="H6322" s="3" t="s">
        <v>30534</v>
      </c>
      <c r="I6322" s="3" t="s">
        <v>17601</v>
      </c>
      <c r="J6322" s="3" t="s">
        <v>33175</v>
      </c>
      <c r="K6322" s="3" t="s">
        <v>33176</v>
      </c>
      <c r="L6322" s="3" t="s">
        <v>33177</v>
      </c>
      <c r="M6322" s="4"/>
      <c r="N6322" s="3" t="s">
        <v>37</v>
      </c>
      <c r="O6322" s="3" t="s">
        <v>46</v>
      </c>
      <c r="P6322" s="5">
        <v>7</v>
      </c>
      <c r="Q6322" s="5">
        <v>57</v>
      </c>
      <c r="R6322" s="5">
        <v>7</v>
      </c>
      <c r="S6322" s="5">
        <v>47</v>
      </c>
    </row>
    <row r="6323" spans="1:19" ht="42" x14ac:dyDescent="0.15">
      <c r="A6323" s="2">
        <f>HYPERLINK("https://open-school.uspishnemisto.com.ua/school/320509/", 320509)</f>
        <v>320509</v>
      </c>
      <c r="B6323" s="3" t="s">
        <v>33178</v>
      </c>
      <c r="C6323" s="3" t="s">
        <v>54</v>
      </c>
      <c r="D6323" s="3" t="s">
        <v>175</v>
      </c>
      <c r="E6323" s="4" t="s">
        <v>22</v>
      </c>
      <c r="F6323" s="4" t="s">
        <v>33179</v>
      </c>
      <c r="G6323" s="4" t="s">
        <v>33180</v>
      </c>
      <c r="H6323" s="3" t="s">
        <v>30534</v>
      </c>
      <c r="I6323" s="3" t="s">
        <v>32376</v>
      </c>
      <c r="J6323" s="3" t="s">
        <v>7451</v>
      </c>
      <c r="K6323" s="3"/>
      <c r="L6323" s="3"/>
      <c r="M6323" s="4"/>
      <c r="N6323" s="3" t="s">
        <v>37</v>
      </c>
      <c r="O6323" s="3" t="s">
        <v>38</v>
      </c>
      <c r="P6323" s="5">
        <v>9</v>
      </c>
      <c r="Q6323" s="5">
        <v>98</v>
      </c>
      <c r="R6323" s="5">
        <v>9</v>
      </c>
      <c r="S6323" s="5">
        <v>88</v>
      </c>
    </row>
    <row r="6324" spans="1:19" ht="42" x14ac:dyDescent="0.15">
      <c r="A6324" s="2">
        <f>HYPERLINK("https://open-school.uspishnemisto.com.ua/school/320510/", 320510)</f>
        <v>320510</v>
      </c>
      <c r="B6324" s="3" t="s">
        <v>33181</v>
      </c>
      <c r="C6324" s="3" t="s">
        <v>31</v>
      </c>
      <c r="D6324" s="3" t="s">
        <v>32</v>
      </c>
      <c r="E6324" s="4" t="s">
        <v>22</v>
      </c>
      <c r="F6324" s="4" t="s">
        <v>33182</v>
      </c>
      <c r="G6324" s="4" t="s">
        <v>33183</v>
      </c>
      <c r="H6324" s="3" t="s">
        <v>30534</v>
      </c>
      <c r="I6324" s="3" t="s">
        <v>4774</v>
      </c>
      <c r="J6324" s="3" t="s">
        <v>33184</v>
      </c>
      <c r="K6324" s="3" t="s">
        <v>33185</v>
      </c>
      <c r="L6324" s="3" t="s">
        <v>33186</v>
      </c>
      <c r="M6324" s="4"/>
      <c r="N6324" s="3" t="s">
        <v>37</v>
      </c>
      <c r="O6324" s="3" t="s">
        <v>46</v>
      </c>
      <c r="P6324" s="5">
        <v>20</v>
      </c>
      <c r="Q6324" s="5">
        <v>371</v>
      </c>
      <c r="R6324" s="5">
        <v>20</v>
      </c>
      <c r="S6324" s="5">
        <v>371</v>
      </c>
    </row>
    <row r="6325" spans="1:19" ht="42" x14ac:dyDescent="0.15">
      <c r="A6325" s="2">
        <f>HYPERLINK("https://open-school.uspishnemisto.com.ua/school/320511/", 320511)</f>
        <v>320511</v>
      </c>
      <c r="B6325" s="3" t="s">
        <v>33187</v>
      </c>
      <c r="C6325" s="3" t="s">
        <v>31</v>
      </c>
      <c r="D6325" s="3" t="s">
        <v>32</v>
      </c>
      <c r="E6325" s="4" t="s">
        <v>22</v>
      </c>
      <c r="F6325" s="4" t="s">
        <v>33182</v>
      </c>
      <c r="G6325" s="4" t="s">
        <v>33183</v>
      </c>
      <c r="H6325" s="3" t="s">
        <v>30534</v>
      </c>
      <c r="I6325" s="3" t="s">
        <v>4774</v>
      </c>
      <c r="J6325" s="3" t="s">
        <v>33188</v>
      </c>
      <c r="K6325" s="3" t="s">
        <v>33189</v>
      </c>
      <c r="L6325" s="3" t="s">
        <v>33190</v>
      </c>
      <c r="M6325" s="4"/>
      <c r="N6325" s="3" t="s">
        <v>37</v>
      </c>
      <c r="O6325" s="3" t="s">
        <v>52</v>
      </c>
      <c r="P6325" s="5">
        <v>29</v>
      </c>
      <c r="Q6325" s="5">
        <v>685</v>
      </c>
      <c r="R6325" s="5">
        <v>27</v>
      </c>
      <c r="S6325" s="5">
        <v>641</v>
      </c>
    </row>
    <row r="6326" spans="1:19" ht="42" x14ac:dyDescent="0.15">
      <c r="A6326" s="2">
        <f>HYPERLINK("https://open-school.uspishnemisto.com.ua/school/320512/", 320512)</f>
        <v>320512</v>
      </c>
      <c r="B6326" s="3" t="s">
        <v>33191</v>
      </c>
      <c r="C6326" s="3" t="s">
        <v>54</v>
      </c>
      <c r="D6326" s="3" t="s">
        <v>32</v>
      </c>
      <c r="E6326" s="4" t="s">
        <v>22</v>
      </c>
      <c r="F6326" s="4" t="s">
        <v>33192</v>
      </c>
      <c r="G6326" s="4" t="s">
        <v>33183</v>
      </c>
      <c r="H6326" s="3" t="s">
        <v>30534</v>
      </c>
      <c r="I6326" s="3" t="s">
        <v>4774</v>
      </c>
      <c r="J6326" s="3" t="s">
        <v>33193</v>
      </c>
      <c r="K6326" s="3" t="s">
        <v>33194</v>
      </c>
      <c r="L6326" s="3" t="s">
        <v>33195</v>
      </c>
      <c r="M6326" s="4"/>
      <c r="N6326" s="3" t="s">
        <v>37</v>
      </c>
      <c r="O6326" s="3" t="s">
        <v>52</v>
      </c>
      <c r="P6326" s="5">
        <v>21</v>
      </c>
      <c r="Q6326" s="5">
        <v>466</v>
      </c>
      <c r="R6326" s="5">
        <v>21</v>
      </c>
      <c r="S6326" s="5">
        <v>463</v>
      </c>
    </row>
    <row r="6327" spans="1:19" ht="56" x14ac:dyDescent="0.15">
      <c r="A6327" s="2">
        <f>HYPERLINK("https://open-school.uspishnemisto.com.ua/school/320513/", 320513)</f>
        <v>320513</v>
      </c>
      <c r="B6327" s="3" t="s">
        <v>33196</v>
      </c>
      <c r="C6327" s="3" t="s">
        <v>54</v>
      </c>
      <c r="D6327" s="3" t="s">
        <v>175</v>
      </c>
      <c r="E6327" s="4" t="s">
        <v>22</v>
      </c>
      <c r="F6327" s="4" t="s">
        <v>33197</v>
      </c>
      <c r="G6327" s="4" t="s">
        <v>33198</v>
      </c>
      <c r="H6327" s="3" t="s">
        <v>30534</v>
      </c>
      <c r="I6327" s="3" t="s">
        <v>33199</v>
      </c>
      <c r="J6327" s="3" t="s">
        <v>17309</v>
      </c>
      <c r="K6327" s="3" t="s">
        <v>33200</v>
      </c>
      <c r="L6327" s="3" t="s">
        <v>33201</v>
      </c>
      <c r="M6327" s="4"/>
      <c r="N6327" s="3" t="s">
        <v>37</v>
      </c>
      <c r="O6327" s="3" t="s">
        <v>52</v>
      </c>
      <c r="P6327" s="5">
        <v>3</v>
      </c>
      <c r="Q6327" s="5">
        <v>29</v>
      </c>
      <c r="R6327" s="5">
        <v>4</v>
      </c>
      <c r="S6327" s="5">
        <v>35</v>
      </c>
    </row>
    <row r="6328" spans="1:19" ht="42" x14ac:dyDescent="0.15">
      <c r="A6328" s="2">
        <f>HYPERLINK("https://open-school.uspishnemisto.com.ua/school/320514/", 320514)</f>
        <v>320514</v>
      </c>
      <c r="B6328" s="3" t="s">
        <v>33202</v>
      </c>
      <c r="C6328" s="3" t="s">
        <v>31</v>
      </c>
      <c r="D6328" s="3" t="s">
        <v>175</v>
      </c>
      <c r="E6328" s="4" t="s">
        <v>22</v>
      </c>
      <c r="F6328" s="4" t="s">
        <v>33203</v>
      </c>
      <c r="G6328" s="4" t="s">
        <v>33204</v>
      </c>
      <c r="H6328" s="3" t="s">
        <v>30534</v>
      </c>
      <c r="I6328" s="3" t="s">
        <v>33205</v>
      </c>
      <c r="J6328" s="3" t="s">
        <v>33206</v>
      </c>
      <c r="K6328" s="3"/>
      <c r="L6328" s="3" t="s">
        <v>33207</v>
      </c>
      <c r="M6328" s="4"/>
      <c r="N6328" s="3" t="s">
        <v>37</v>
      </c>
      <c r="O6328" s="3" t="s">
        <v>52</v>
      </c>
      <c r="P6328" s="5">
        <v>9</v>
      </c>
      <c r="Q6328" s="5">
        <v>126</v>
      </c>
      <c r="R6328" s="5">
        <v>9</v>
      </c>
      <c r="S6328" s="5">
        <v>121</v>
      </c>
    </row>
    <row r="6329" spans="1:19" ht="56" x14ac:dyDescent="0.15">
      <c r="A6329" s="2">
        <f>HYPERLINK("https://open-school.uspishnemisto.com.ua/school/320515/", 320515)</f>
        <v>320515</v>
      </c>
      <c r="B6329" s="3" t="s">
        <v>33208</v>
      </c>
      <c r="C6329" s="3" t="s">
        <v>54</v>
      </c>
      <c r="D6329" s="3" t="s">
        <v>175</v>
      </c>
      <c r="E6329" s="4" t="s">
        <v>22</v>
      </c>
      <c r="F6329" s="4" t="s">
        <v>33209</v>
      </c>
      <c r="G6329" s="4" t="s">
        <v>33210</v>
      </c>
      <c r="H6329" s="3" t="s">
        <v>30534</v>
      </c>
      <c r="I6329" s="3" t="s">
        <v>5631</v>
      </c>
      <c r="J6329" s="3" t="s">
        <v>11226</v>
      </c>
      <c r="K6329" s="3" t="s">
        <v>33211</v>
      </c>
      <c r="L6329" s="3"/>
      <c r="M6329" s="4"/>
      <c r="N6329" s="3" t="s">
        <v>37</v>
      </c>
      <c r="O6329" s="3" t="s">
        <v>52</v>
      </c>
      <c r="P6329" s="5">
        <v>8</v>
      </c>
      <c r="Q6329" s="5">
        <v>64</v>
      </c>
      <c r="R6329" s="5">
        <v>6</v>
      </c>
      <c r="S6329" s="5">
        <v>58</v>
      </c>
    </row>
    <row r="6330" spans="1:19" ht="42" x14ac:dyDescent="0.15">
      <c r="A6330" s="2">
        <f>HYPERLINK("https://open-school.uspishnemisto.com.ua/school/320516/", 320516)</f>
        <v>320516</v>
      </c>
      <c r="B6330" s="3" t="s">
        <v>33212</v>
      </c>
      <c r="C6330" s="3" t="s">
        <v>31</v>
      </c>
      <c r="D6330" s="3" t="s">
        <v>175</v>
      </c>
      <c r="E6330" s="4" t="s">
        <v>22</v>
      </c>
      <c r="F6330" s="4" t="s">
        <v>33213</v>
      </c>
      <c r="G6330" s="4" t="s">
        <v>33214</v>
      </c>
      <c r="H6330" s="3" t="s">
        <v>30534</v>
      </c>
      <c r="I6330" s="3" t="s">
        <v>33215</v>
      </c>
      <c r="J6330" s="3" t="s">
        <v>7340</v>
      </c>
      <c r="K6330" s="3" t="s">
        <v>33216</v>
      </c>
      <c r="L6330" s="3" t="s">
        <v>33217</v>
      </c>
      <c r="M6330" s="4"/>
      <c r="N6330" s="3" t="s">
        <v>37</v>
      </c>
      <c r="O6330" s="3" t="s">
        <v>52</v>
      </c>
      <c r="P6330" s="5">
        <v>5</v>
      </c>
      <c r="Q6330" s="5">
        <v>31</v>
      </c>
      <c r="R6330" s="5">
        <v>4</v>
      </c>
      <c r="S6330" s="5">
        <v>28</v>
      </c>
    </row>
    <row r="6331" spans="1:19" ht="42" x14ac:dyDescent="0.15">
      <c r="A6331" s="2">
        <f>HYPERLINK("https://open-school.uspishnemisto.com.ua/school/320517/", 320517)</f>
        <v>320517</v>
      </c>
      <c r="B6331" s="3" t="s">
        <v>33218</v>
      </c>
      <c r="C6331" s="3" t="s">
        <v>31</v>
      </c>
      <c r="D6331" s="3" t="s">
        <v>32</v>
      </c>
      <c r="E6331" s="4" t="s">
        <v>22</v>
      </c>
      <c r="F6331" s="4" t="s">
        <v>33219</v>
      </c>
      <c r="G6331" s="4" t="s">
        <v>33220</v>
      </c>
      <c r="H6331" s="3" t="s">
        <v>30534</v>
      </c>
      <c r="I6331" s="3" t="s">
        <v>33221</v>
      </c>
      <c r="J6331" s="3" t="s">
        <v>4425</v>
      </c>
      <c r="K6331" s="3" t="s">
        <v>33222</v>
      </c>
      <c r="L6331" s="3" t="s">
        <v>33223</v>
      </c>
      <c r="M6331" s="4"/>
      <c r="N6331" s="3" t="s">
        <v>37</v>
      </c>
      <c r="O6331" s="3" t="s">
        <v>52</v>
      </c>
      <c r="P6331" s="5">
        <v>11</v>
      </c>
      <c r="Q6331" s="5">
        <v>156</v>
      </c>
      <c r="R6331" s="5">
        <v>11</v>
      </c>
      <c r="S6331" s="5">
        <v>155</v>
      </c>
    </row>
    <row r="6332" spans="1:19" ht="42" x14ac:dyDescent="0.15">
      <c r="A6332" s="2">
        <f>HYPERLINK("https://open-school.uspishnemisto.com.ua/school/320518/", 320518)</f>
        <v>320518</v>
      </c>
      <c r="B6332" s="3" t="s">
        <v>33224</v>
      </c>
      <c r="C6332" s="3" t="s">
        <v>31</v>
      </c>
      <c r="D6332" s="3" t="s">
        <v>32</v>
      </c>
      <c r="E6332" s="4" t="s">
        <v>22</v>
      </c>
      <c r="F6332" s="4" t="s">
        <v>33225</v>
      </c>
      <c r="G6332" s="4" t="s">
        <v>33226</v>
      </c>
      <c r="H6332" s="3" t="s">
        <v>30534</v>
      </c>
      <c r="I6332" s="3" t="s">
        <v>33227</v>
      </c>
      <c r="J6332" s="3" t="s">
        <v>6364</v>
      </c>
      <c r="K6332" s="3" t="s">
        <v>33228</v>
      </c>
      <c r="L6332" s="3" t="s">
        <v>33229</v>
      </c>
      <c r="M6332" s="4"/>
      <c r="N6332" s="3" t="s">
        <v>37</v>
      </c>
      <c r="O6332" s="3" t="s">
        <v>46</v>
      </c>
      <c r="P6332" s="5">
        <v>12</v>
      </c>
      <c r="Q6332" s="5">
        <v>257</v>
      </c>
      <c r="R6332" s="5">
        <v>12</v>
      </c>
      <c r="S6332" s="5">
        <v>246</v>
      </c>
    </row>
    <row r="6333" spans="1:19" ht="28" x14ac:dyDescent="0.15">
      <c r="A6333" s="2">
        <f>HYPERLINK("https://open-school.uspishnemisto.com.ua/school/320520/", 320520)</f>
        <v>320520</v>
      </c>
      <c r="B6333" s="3" t="s">
        <v>33230</v>
      </c>
      <c r="C6333" s="3" t="s">
        <v>31</v>
      </c>
      <c r="D6333" s="3" t="s">
        <v>32</v>
      </c>
      <c r="E6333" s="4" t="s">
        <v>22</v>
      </c>
      <c r="F6333" s="4" t="s">
        <v>33231</v>
      </c>
      <c r="G6333" s="4" t="s">
        <v>33232</v>
      </c>
      <c r="H6333" s="3" t="s">
        <v>30534</v>
      </c>
      <c r="I6333" s="3" t="s">
        <v>33233</v>
      </c>
      <c r="J6333" s="3" t="s">
        <v>33234</v>
      </c>
      <c r="K6333" s="3" t="s">
        <v>33235</v>
      </c>
      <c r="L6333" s="3" t="s">
        <v>33236</v>
      </c>
      <c r="M6333" s="4"/>
      <c r="N6333" s="3" t="s">
        <v>37</v>
      </c>
      <c r="O6333" s="3" t="s">
        <v>52</v>
      </c>
      <c r="P6333" s="5">
        <v>9</v>
      </c>
      <c r="Q6333" s="5">
        <v>140</v>
      </c>
      <c r="R6333" s="5">
        <v>10</v>
      </c>
      <c r="S6333" s="5">
        <v>132</v>
      </c>
    </row>
    <row r="6334" spans="1:19" ht="42" x14ac:dyDescent="0.15">
      <c r="A6334" s="2">
        <f>HYPERLINK("https://open-school.uspishnemisto.com.ua/school/320521/", 320521)</f>
        <v>320521</v>
      </c>
      <c r="B6334" s="3" t="s">
        <v>33237</v>
      </c>
      <c r="C6334" s="3" t="s">
        <v>54</v>
      </c>
      <c r="D6334" s="3" t="s">
        <v>175</v>
      </c>
      <c r="E6334" s="4" t="s">
        <v>22</v>
      </c>
      <c r="F6334" s="4" t="s">
        <v>33238</v>
      </c>
      <c r="G6334" s="4" t="s">
        <v>33239</v>
      </c>
      <c r="H6334" s="3" t="s">
        <v>30534</v>
      </c>
      <c r="I6334" s="3" t="s">
        <v>33240</v>
      </c>
      <c r="J6334" s="3" t="s">
        <v>17722</v>
      </c>
      <c r="K6334" s="3" t="s">
        <v>33241</v>
      </c>
      <c r="L6334" s="3" t="s">
        <v>33242</v>
      </c>
      <c r="M6334" s="4"/>
      <c r="N6334" s="3" t="s">
        <v>37</v>
      </c>
      <c r="O6334" s="3" t="s">
        <v>52</v>
      </c>
      <c r="P6334" s="5">
        <v>8</v>
      </c>
      <c r="Q6334" s="5">
        <v>60</v>
      </c>
      <c r="R6334" s="5">
        <v>8</v>
      </c>
      <c r="S6334" s="5">
        <v>63</v>
      </c>
    </row>
    <row r="6335" spans="1:19" ht="28" x14ac:dyDescent="0.15">
      <c r="A6335" s="2">
        <f>HYPERLINK("https://open-school.uspishnemisto.com.ua/school/320522/", 320522)</f>
        <v>320522</v>
      </c>
      <c r="B6335" s="3" t="s">
        <v>33243</v>
      </c>
      <c r="C6335" s="3" t="s">
        <v>31</v>
      </c>
      <c r="D6335" s="3" t="s">
        <v>32</v>
      </c>
      <c r="E6335" s="4" t="s">
        <v>22</v>
      </c>
      <c r="F6335" s="4" t="s">
        <v>33244</v>
      </c>
      <c r="G6335" s="4" t="s">
        <v>33245</v>
      </c>
      <c r="H6335" s="3" t="s">
        <v>30534</v>
      </c>
      <c r="I6335" s="3" t="s">
        <v>33246</v>
      </c>
      <c r="J6335" s="3" t="s">
        <v>33247</v>
      </c>
      <c r="K6335" s="3" t="s">
        <v>33248</v>
      </c>
      <c r="L6335" s="3" t="s">
        <v>33249</v>
      </c>
      <c r="M6335" s="4"/>
      <c r="N6335" s="3" t="s">
        <v>37</v>
      </c>
      <c r="O6335" s="3" t="s">
        <v>52</v>
      </c>
      <c r="P6335" s="5">
        <v>9</v>
      </c>
      <c r="Q6335" s="5">
        <v>151</v>
      </c>
      <c r="R6335" s="5">
        <v>10</v>
      </c>
      <c r="S6335" s="5">
        <v>139</v>
      </c>
    </row>
    <row r="6336" spans="1:19" ht="28" x14ac:dyDescent="0.15">
      <c r="A6336" s="2">
        <f>HYPERLINK("https://open-school.uspishnemisto.com.ua/school/320523/", 320523)</f>
        <v>320523</v>
      </c>
      <c r="B6336" s="3" t="s">
        <v>33250</v>
      </c>
      <c r="C6336" s="3" t="s">
        <v>31</v>
      </c>
      <c r="D6336" s="3" t="s">
        <v>32</v>
      </c>
      <c r="E6336" s="4" t="s">
        <v>22</v>
      </c>
      <c r="F6336" s="4" t="s">
        <v>33251</v>
      </c>
      <c r="G6336" s="4" t="s">
        <v>33252</v>
      </c>
      <c r="H6336" s="3" t="s">
        <v>30534</v>
      </c>
      <c r="I6336" s="3" t="s">
        <v>33253</v>
      </c>
      <c r="J6336" s="3" t="s">
        <v>33254</v>
      </c>
      <c r="K6336" s="3" t="s">
        <v>33255</v>
      </c>
      <c r="L6336" s="3" t="s">
        <v>33256</v>
      </c>
      <c r="M6336" s="4"/>
      <c r="N6336" s="3" t="s">
        <v>37</v>
      </c>
      <c r="O6336" s="3" t="s">
        <v>52</v>
      </c>
      <c r="P6336" s="5">
        <v>11</v>
      </c>
      <c r="Q6336" s="5">
        <v>113</v>
      </c>
      <c r="R6336" s="5">
        <v>11</v>
      </c>
      <c r="S6336" s="5">
        <v>110</v>
      </c>
    </row>
    <row r="6337" spans="1:19" ht="42" x14ac:dyDescent="0.15">
      <c r="A6337" s="2">
        <f>HYPERLINK("https://open-school.uspishnemisto.com.ua/school/320524/", 320524)</f>
        <v>320524</v>
      </c>
      <c r="B6337" s="3" t="s">
        <v>33257</v>
      </c>
      <c r="C6337" s="3" t="s">
        <v>31</v>
      </c>
      <c r="D6337" s="3" t="s">
        <v>32</v>
      </c>
      <c r="E6337" s="4" t="s">
        <v>22</v>
      </c>
      <c r="F6337" s="4" t="s">
        <v>33258</v>
      </c>
      <c r="G6337" s="4" t="s">
        <v>33259</v>
      </c>
      <c r="H6337" s="3" t="s">
        <v>30534</v>
      </c>
      <c r="I6337" s="3" t="s">
        <v>29532</v>
      </c>
      <c r="J6337" s="3" t="s">
        <v>33260</v>
      </c>
      <c r="K6337" s="3" t="s">
        <v>33261</v>
      </c>
      <c r="L6337" s="3" t="s">
        <v>33262</v>
      </c>
      <c r="M6337" s="4"/>
      <c r="N6337" s="3" t="s">
        <v>37</v>
      </c>
      <c r="O6337" s="3" t="s">
        <v>52</v>
      </c>
      <c r="P6337" s="5">
        <v>21</v>
      </c>
      <c r="Q6337" s="5">
        <v>249</v>
      </c>
      <c r="R6337" s="5">
        <v>19</v>
      </c>
      <c r="S6337" s="5">
        <v>229</v>
      </c>
    </row>
    <row r="6338" spans="1:19" ht="28" x14ac:dyDescent="0.15">
      <c r="A6338" s="2">
        <f>HYPERLINK("https://open-school.uspishnemisto.com.ua/school/320525/", 320525)</f>
        <v>320525</v>
      </c>
      <c r="B6338" s="3" t="s">
        <v>33263</v>
      </c>
      <c r="C6338" s="3" t="s">
        <v>31</v>
      </c>
      <c r="D6338" s="3" t="s">
        <v>32</v>
      </c>
      <c r="E6338" s="4" t="s">
        <v>22</v>
      </c>
      <c r="F6338" s="4" t="s">
        <v>33264</v>
      </c>
      <c r="G6338" s="4" t="s">
        <v>33265</v>
      </c>
      <c r="H6338" s="3" t="s">
        <v>30534</v>
      </c>
      <c r="I6338" s="3" t="s">
        <v>33266</v>
      </c>
      <c r="J6338" s="3" t="s">
        <v>33267</v>
      </c>
      <c r="K6338" s="3" t="s">
        <v>33268</v>
      </c>
      <c r="L6338" s="3" t="s">
        <v>33269</v>
      </c>
      <c r="M6338" s="4"/>
      <c r="N6338" s="3" t="s">
        <v>37</v>
      </c>
      <c r="O6338" s="3" t="s">
        <v>52</v>
      </c>
      <c r="P6338" s="5">
        <v>10</v>
      </c>
      <c r="Q6338" s="5">
        <v>78</v>
      </c>
      <c r="R6338" s="5">
        <v>11</v>
      </c>
      <c r="S6338" s="5">
        <v>79</v>
      </c>
    </row>
    <row r="6339" spans="1:19" ht="28" x14ac:dyDescent="0.15">
      <c r="A6339" s="2">
        <f>HYPERLINK("https://open-school.uspishnemisto.com.ua/school/320526/", 320526)</f>
        <v>320526</v>
      </c>
      <c r="B6339" s="3" t="s">
        <v>33270</v>
      </c>
      <c r="C6339" s="3" t="s">
        <v>31</v>
      </c>
      <c r="D6339" s="3" t="s">
        <v>32</v>
      </c>
      <c r="E6339" s="4" t="s">
        <v>22</v>
      </c>
      <c r="F6339" s="4" t="s">
        <v>33271</v>
      </c>
      <c r="G6339" s="4" t="s">
        <v>33272</v>
      </c>
      <c r="H6339" s="3" t="s">
        <v>30534</v>
      </c>
      <c r="I6339" s="3" t="s">
        <v>33273</v>
      </c>
      <c r="J6339" s="3" t="s">
        <v>33274</v>
      </c>
      <c r="K6339" s="3" t="s">
        <v>33275</v>
      </c>
      <c r="L6339" s="3" t="s">
        <v>33276</v>
      </c>
      <c r="M6339" s="4"/>
      <c r="N6339" s="3" t="s">
        <v>37</v>
      </c>
      <c r="O6339" s="3" t="s">
        <v>52</v>
      </c>
      <c r="P6339" s="5">
        <v>11</v>
      </c>
      <c r="Q6339" s="5">
        <v>159</v>
      </c>
      <c r="R6339" s="5">
        <v>10</v>
      </c>
      <c r="S6339" s="5">
        <v>143</v>
      </c>
    </row>
    <row r="6340" spans="1:19" ht="42" x14ac:dyDescent="0.15">
      <c r="A6340" s="2">
        <f>HYPERLINK("https://open-school.uspishnemisto.com.ua/school/320528/", 320528)</f>
        <v>320528</v>
      </c>
      <c r="B6340" s="3" t="s">
        <v>33277</v>
      </c>
      <c r="C6340" s="3" t="s">
        <v>31</v>
      </c>
      <c r="D6340" s="3" t="s">
        <v>32</v>
      </c>
      <c r="E6340" s="4" t="s">
        <v>22</v>
      </c>
      <c r="F6340" s="4" t="s">
        <v>33278</v>
      </c>
      <c r="G6340" s="4" t="s">
        <v>33279</v>
      </c>
      <c r="H6340" s="3" t="s">
        <v>30534</v>
      </c>
      <c r="I6340" s="3" t="s">
        <v>33280</v>
      </c>
      <c r="J6340" s="3" t="s">
        <v>501</v>
      </c>
      <c r="K6340" s="3" t="s">
        <v>33281</v>
      </c>
      <c r="L6340" s="3" t="s">
        <v>33282</v>
      </c>
      <c r="M6340" s="4"/>
      <c r="N6340" s="3" t="s">
        <v>37</v>
      </c>
      <c r="O6340" s="3" t="s">
        <v>52</v>
      </c>
      <c r="P6340" s="5">
        <v>11</v>
      </c>
      <c r="Q6340" s="5">
        <v>124</v>
      </c>
      <c r="R6340" s="5">
        <v>11</v>
      </c>
      <c r="S6340" s="5">
        <v>130</v>
      </c>
    </row>
    <row r="6341" spans="1:19" ht="28" x14ac:dyDescent="0.15">
      <c r="A6341" s="2">
        <f>HYPERLINK("https://open-school.uspishnemisto.com.ua/school/320529/", 320529)</f>
        <v>320529</v>
      </c>
      <c r="B6341" s="3" t="s">
        <v>33283</v>
      </c>
      <c r="C6341" s="3" t="s">
        <v>31</v>
      </c>
      <c r="D6341" s="3" t="s">
        <v>32</v>
      </c>
      <c r="E6341" s="4" t="s">
        <v>22</v>
      </c>
      <c r="F6341" s="4" t="s">
        <v>33284</v>
      </c>
      <c r="G6341" s="4" t="s">
        <v>33285</v>
      </c>
      <c r="H6341" s="3" t="s">
        <v>30534</v>
      </c>
      <c r="I6341" s="3" t="s">
        <v>33286</v>
      </c>
      <c r="J6341" s="3" t="s">
        <v>33287</v>
      </c>
      <c r="K6341" s="3" t="s">
        <v>33288</v>
      </c>
      <c r="L6341" s="3" t="s">
        <v>33289</v>
      </c>
      <c r="M6341" s="4"/>
      <c r="N6341" s="3" t="s">
        <v>37</v>
      </c>
      <c r="O6341" s="3" t="s">
        <v>52</v>
      </c>
      <c r="P6341" s="5">
        <v>10</v>
      </c>
      <c r="Q6341" s="5">
        <v>74</v>
      </c>
      <c r="R6341" s="5">
        <v>10</v>
      </c>
      <c r="S6341" s="5">
        <v>83</v>
      </c>
    </row>
    <row r="6342" spans="1:19" ht="56" x14ac:dyDescent="0.15">
      <c r="A6342" s="2">
        <f>HYPERLINK("https://open-school.uspishnemisto.com.ua/school/320530/", 320530)</f>
        <v>320530</v>
      </c>
      <c r="B6342" s="3" t="s">
        <v>33290</v>
      </c>
      <c r="C6342" s="3" t="s">
        <v>54</v>
      </c>
      <c r="D6342" s="3" t="s">
        <v>175</v>
      </c>
      <c r="E6342" s="4" t="s">
        <v>22</v>
      </c>
      <c r="F6342" s="4" t="s">
        <v>33291</v>
      </c>
      <c r="G6342" s="4" t="s">
        <v>33292</v>
      </c>
      <c r="H6342" s="3" t="s">
        <v>30534</v>
      </c>
      <c r="I6342" s="3" t="s">
        <v>33293</v>
      </c>
      <c r="J6342" s="3" t="s">
        <v>33294</v>
      </c>
      <c r="K6342" s="3" t="s">
        <v>33295</v>
      </c>
      <c r="L6342" s="3" t="s">
        <v>33296</v>
      </c>
      <c r="M6342" s="4"/>
      <c r="N6342" s="3" t="s">
        <v>37</v>
      </c>
      <c r="O6342" s="3" t="s">
        <v>52</v>
      </c>
      <c r="P6342" s="5">
        <v>1</v>
      </c>
      <c r="Q6342" s="5">
        <v>27</v>
      </c>
      <c r="R6342" s="5">
        <v>3</v>
      </c>
      <c r="S6342" s="5">
        <v>35</v>
      </c>
    </row>
    <row r="6343" spans="1:19" ht="28" x14ac:dyDescent="0.15">
      <c r="A6343" s="2">
        <f>HYPERLINK("https://open-school.uspishnemisto.com.ua/school/320531/", 320531)</f>
        <v>320531</v>
      </c>
      <c r="B6343" s="3" t="s">
        <v>33297</v>
      </c>
      <c r="C6343" s="3" t="s">
        <v>31</v>
      </c>
      <c r="D6343" s="3" t="s">
        <v>175</v>
      </c>
      <c r="E6343" s="4" t="s">
        <v>22</v>
      </c>
      <c r="F6343" s="4" t="s">
        <v>33298</v>
      </c>
      <c r="G6343" s="4" t="s">
        <v>33299</v>
      </c>
      <c r="H6343" s="3" t="s">
        <v>30534</v>
      </c>
      <c r="I6343" s="3" t="s">
        <v>33300</v>
      </c>
      <c r="J6343" s="3" t="s">
        <v>33301</v>
      </c>
      <c r="K6343" s="3" t="s">
        <v>33302</v>
      </c>
      <c r="L6343" s="3" t="s">
        <v>33303</v>
      </c>
      <c r="M6343" s="4"/>
      <c r="N6343" s="3" t="s">
        <v>37</v>
      </c>
      <c r="O6343" s="3" t="s">
        <v>52</v>
      </c>
      <c r="P6343" s="5">
        <v>9</v>
      </c>
      <c r="Q6343" s="5">
        <v>65</v>
      </c>
      <c r="R6343" s="5">
        <v>9</v>
      </c>
      <c r="S6343" s="5">
        <v>70</v>
      </c>
    </row>
    <row r="6344" spans="1:19" ht="42" x14ac:dyDescent="0.15">
      <c r="A6344" s="2">
        <f>HYPERLINK("https://open-school.uspishnemisto.com.ua/school/320532/", 320532)</f>
        <v>320532</v>
      </c>
      <c r="B6344" s="3" t="s">
        <v>33304</v>
      </c>
      <c r="C6344" s="3" t="s">
        <v>244</v>
      </c>
      <c r="D6344" s="3" t="s">
        <v>32</v>
      </c>
      <c r="E6344" s="4" t="s">
        <v>22</v>
      </c>
      <c r="F6344" s="4" t="s">
        <v>33305</v>
      </c>
      <c r="G6344" s="4" t="s">
        <v>33306</v>
      </c>
      <c r="H6344" s="3" t="s">
        <v>30534</v>
      </c>
      <c r="I6344" s="3" t="s">
        <v>10789</v>
      </c>
      <c r="J6344" s="3" t="s">
        <v>33307</v>
      </c>
      <c r="K6344" s="3" t="s">
        <v>33308</v>
      </c>
      <c r="L6344" s="3"/>
      <c r="M6344" s="4"/>
      <c r="N6344" s="3" t="s">
        <v>37</v>
      </c>
      <c r="O6344" s="3" t="s">
        <v>197</v>
      </c>
      <c r="P6344" s="5">
        <v>40</v>
      </c>
      <c r="Q6344" s="5">
        <v>1095</v>
      </c>
      <c r="R6344" s="5">
        <v>40</v>
      </c>
      <c r="S6344" s="5">
        <v>1109</v>
      </c>
    </row>
    <row r="6345" spans="1:19" ht="28" x14ac:dyDescent="0.15">
      <c r="A6345" s="2">
        <f>HYPERLINK("https://open-school.uspishnemisto.com.ua/school/320533/", 320533)</f>
        <v>320533</v>
      </c>
      <c r="B6345" s="3" t="s">
        <v>33309</v>
      </c>
      <c r="C6345" s="3" t="s">
        <v>31</v>
      </c>
      <c r="D6345" s="3" t="s">
        <v>32</v>
      </c>
      <c r="E6345" s="4" t="s">
        <v>22</v>
      </c>
      <c r="F6345" s="4" t="s">
        <v>33305</v>
      </c>
      <c r="G6345" s="4" t="s">
        <v>33306</v>
      </c>
      <c r="H6345" s="3" t="s">
        <v>30534</v>
      </c>
      <c r="I6345" s="3" t="s">
        <v>10789</v>
      </c>
      <c r="J6345" s="3" t="s">
        <v>33310</v>
      </c>
      <c r="K6345" s="3" t="s">
        <v>33311</v>
      </c>
      <c r="L6345" s="3"/>
      <c r="M6345" s="4"/>
      <c r="N6345" s="3" t="s">
        <v>37</v>
      </c>
      <c r="O6345" s="3" t="s">
        <v>8542</v>
      </c>
      <c r="P6345" s="5">
        <v>29</v>
      </c>
      <c r="Q6345" s="5">
        <v>776</v>
      </c>
      <c r="R6345" s="5">
        <v>26</v>
      </c>
      <c r="S6345" s="5">
        <v>704</v>
      </c>
    </row>
    <row r="6346" spans="1:19" ht="28" x14ac:dyDescent="0.15">
      <c r="A6346" s="2">
        <f>HYPERLINK("https://open-school.uspishnemisto.com.ua/school/320534/", 320534)</f>
        <v>320534</v>
      </c>
      <c r="B6346" s="3" t="s">
        <v>33312</v>
      </c>
      <c r="C6346" s="3" t="s">
        <v>31</v>
      </c>
      <c r="D6346" s="3" t="s">
        <v>32</v>
      </c>
      <c r="E6346" s="4" t="s">
        <v>22</v>
      </c>
      <c r="F6346" s="4" t="s">
        <v>33313</v>
      </c>
      <c r="G6346" s="4" t="s">
        <v>33314</v>
      </c>
      <c r="H6346" s="3" t="s">
        <v>30534</v>
      </c>
      <c r="I6346" s="3" t="s">
        <v>33233</v>
      </c>
      <c r="J6346" s="3" t="s">
        <v>33315</v>
      </c>
      <c r="K6346" s="3" t="s">
        <v>33316</v>
      </c>
      <c r="L6346" s="3" t="s">
        <v>33317</v>
      </c>
      <c r="M6346" s="4"/>
      <c r="N6346" s="3" t="s">
        <v>37</v>
      </c>
      <c r="O6346" s="3" t="s">
        <v>38</v>
      </c>
      <c r="P6346" s="5">
        <v>18</v>
      </c>
      <c r="Q6346" s="5">
        <v>404</v>
      </c>
      <c r="R6346" s="5">
        <v>17</v>
      </c>
      <c r="S6346" s="5">
        <v>388</v>
      </c>
    </row>
    <row r="6347" spans="1:19" ht="28" x14ac:dyDescent="0.15">
      <c r="A6347" s="2">
        <f>HYPERLINK("https://open-school.uspishnemisto.com.ua/school/320752/", 320752)</f>
        <v>320752</v>
      </c>
      <c r="B6347" s="3" t="s">
        <v>33318</v>
      </c>
      <c r="C6347" s="3" t="s">
        <v>54</v>
      </c>
      <c r="D6347" s="3" t="s">
        <v>60</v>
      </c>
      <c r="E6347" s="4" t="s">
        <v>41</v>
      </c>
      <c r="F6347" s="4" t="s">
        <v>33313</v>
      </c>
      <c r="G6347" s="4" t="s">
        <v>33314</v>
      </c>
      <c r="H6347" s="3" t="s">
        <v>30534</v>
      </c>
      <c r="I6347" s="3" t="s">
        <v>33233</v>
      </c>
      <c r="J6347" s="3" t="s">
        <v>33319</v>
      </c>
      <c r="K6347" s="3" t="s">
        <v>33320</v>
      </c>
      <c r="L6347" s="3"/>
      <c r="M6347" s="4"/>
      <c r="N6347" s="3" t="s">
        <v>37</v>
      </c>
      <c r="O6347" s="3" t="s">
        <v>52</v>
      </c>
      <c r="P6347" s="5">
        <v>4</v>
      </c>
      <c r="Q6347" s="5">
        <v>44</v>
      </c>
      <c r="R6347" s="5"/>
      <c r="S6347" s="5"/>
    </row>
    <row r="6348" spans="1:19" ht="28" x14ac:dyDescent="0.15">
      <c r="A6348" s="2">
        <f>HYPERLINK("https://open-school.uspishnemisto.com.ua/school/320753/", 320753)</f>
        <v>320753</v>
      </c>
      <c r="B6348" s="3" t="s">
        <v>33321</v>
      </c>
      <c r="C6348" s="3" t="s">
        <v>31</v>
      </c>
      <c r="D6348" s="3" t="s">
        <v>60</v>
      </c>
      <c r="E6348" s="4" t="s">
        <v>41</v>
      </c>
      <c r="F6348" s="4" t="s">
        <v>33313</v>
      </c>
      <c r="G6348" s="4" t="s">
        <v>33314</v>
      </c>
      <c r="H6348" s="3" t="s">
        <v>30534</v>
      </c>
      <c r="I6348" s="3" t="s">
        <v>33233</v>
      </c>
      <c r="J6348" s="3" t="s">
        <v>33322</v>
      </c>
      <c r="K6348" s="3"/>
      <c r="L6348" s="3"/>
      <c r="M6348" s="4"/>
      <c r="N6348" s="3" t="s">
        <v>37</v>
      </c>
      <c r="O6348" s="3" t="s">
        <v>38</v>
      </c>
      <c r="P6348" s="5">
        <v>4</v>
      </c>
      <c r="Q6348" s="5">
        <v>25</v>
      </c>
      <c r="R6348" s="5"/>
      <c r="S6348" s="5"/>
    </row>
    <row r="6349" spans="1:19" ht="28" x14ac:dyDescent="0.15">
      <c r="A6349" s="2">
        <f>HYPERLINK("https://open-school.uspishnemisto.com.ua/school/320535/", 320535)</f>
        <v>320535</v>
      </c>
      <c r="B6349" s="3" t="s">
        <v>33323</v>
      </c>
      <c r="C6349" s="3" t="s">
        <v>31</v>
      </c>
      <c r="D6349" s="3" t="s">
        <v>32</v>
      </c>
      <c r="E6349" s="4" t="s">
        <v>22</v>
      </c>
      <c r="F6349" s="4" t="s">
        <v>33324</v>
      </c>
      <c r="G6349" s="4" t="s">
        <v>33325</v>
      </c>
      <c r="H6349" s="3" t="s">
        <v>30534</v>
      </c>
      <c r="I6349" s="3" t="s">
        <v>33326</v>
      </c>
      <c r="J6349" s="3" t="s">
        <v>2384</v>
      </c>
      <c r="K6349" s="3"/>
      <c r="L6349" s="3"/>
      <c r="M6349" s="4"/>
      <c r="N6349" s="3" t="s">
        <v>37</v>
      </c>
      <c r="O6349" s="3" t="s">
        <v>38</v>
      </c>
      <c r="P6349" s="5">
        <v>10</v>
      </c>
      <c r="Q6349" s="5">
        <v>106</v>
      </c>
      <c r="R6349" s="5">
        <v>11</v>
      </c>
      <c r="S6349" s="5">
        <v>95</v>
      </c>
    </row>
    <row r="6350" spans="1:19" ht="28" x14ac:dyDescent="0.15">
      <c r="A6350" s="2">
        <f>HYPERLINK("https://open-school.uspishnemisto.com.ua/school/320536/", 320536)</f>
        <v>320536</v>
      </c>
      <c r="B6350" s="3" t="s">
        <v>33327</v>
      </c>
      <c r="C6350" s="3" t="s">
        <v>31</v>
      </c>
      <c r="D6350" s="3" t="s">
        <v>175</v>
      </c>
      <c r="E6350" s="4" t="s">
        <v>22</v>
      </c>
      <c r="F6350" s="4" t="s">
        <v>33328</v>
      </c>
      <c r="G6350" s="4" t="s">
        <v>33329</v>
      </c>
      <c r="H6350" s="3" t="s">
        <v>30534</v>
      </c>
      <c r="I6350" s="3" t="s">
        <v>33330</v>
      </c>
      <c r="J6350" s="3" t="s">
        <v>33331</v>
      </c>
      <c r="K6350" s="3"/>
      <c r="L6350" s="3" t="s">
        <v>33332</v>
      </c>
      <c r="M6350" s="4"/>
      <c r="N6350" s="3" t="s">
        <v>37</v>
      </c>
      <c r="O6350" s="3" t="s">
        <v>38</v>
      </c>
      <c r="P6350" s="5">
        <v>5</v>
      </c>
      <c r="Q6350" s="5">
        <v>39</v>
      </c>
      <c r="R6350" s="5">
        <v>7</v>
      </c>
      <c r="S6350" s="5">
        <v>47</v>
      </c>
    </row>
    <row r="6351" spans="1:19" ht="42" x14ac:dyDescent="0.15">
      <c r="A6351" s="2">
        <f>HYPERLINK("https://open-school.uspishnemisto.com.ua/school/320537/", 320537)</f>
        <v>320537</v>
      </c>
      <c r="B6351" s="3" t="s">
        <v>33333</v>
      </c>
      <c r="C6351" s="3" t="s">
        <v>31</v>
      </c>
      <c r="D6351" s="3" t="s">
        <v>32</v>
      </c>
      <c r="E6351" s="4" t="s">
        <v>22</v>
      </c>
      <c r="F6351" s="4" t="s">
        <v>33334</v>
      </c>
      <c r="G6351" s="4" t="s">
        <v>33335</v>
      </c>
      <c r="H6351" s="3" t="s">
        <v>30534</v>
      </c>
      <c r="I6351" s="3" t="s">
        <v>2475</v>
      </c>
      <c r="J6351" s="3" t="s">
        <v>33336</v>
      </c>
      <c r="K6351" s="3" t="s">
        <v>33337</v>
      </c>
      <c r="L6351" s="3" t="s">
        <v>33338</v>
      </c>
      <c r="M6351" s="4"/>
      <c r="N6351" s="3" t="s">
        <v>37</v>
      </c>
      <c r="O6351" s="3" t="s">
        <v>266</v>
      </c>
      <c r="P6351" s="5">
        <v>13</v>
      </c>
      <c r="Q6351" s="5">
        <v>262</v>
      </c>
      <c r="R6351" s="5">
        <v>11</v>
      </c>
      <c r="S6351" s="5">
        <v>218</v>
      </c>
    </row>
    <row r="6352" spans="1:19" ht="28" x14ac:dyDescent="0.15">
      <c r="A6352" s="2">
        <f>HYPERLINK("https://open-school.uspishnemisto.com.ua/school/320539/", 320539)</f>
        <v>320539</v>
      </c>
      <c r="B6352" s="3" t="s">
        <v>33339</v>
      </c>
      <c r="C6352" s="3" t="s">
        <v>31</v>
      </c>
      <c r="D6352" s="3" t="s">
        <v>175</v>
      </c>
      <c r="E6352" s="4" t="s">
        <v>22</v>
      </c>
      <c r="F6352" s="4" t="s">
        <v>33340</v>
      </c>
      <c r="G6352" s="4" t="s">
        <v>33341</v>
      </c>
      <c r="H6352" s="3" t="s">
        <v>30534</v>
      </c>
      <c r="I6352" s="3" t="s">
        <v>33342</v>
      </c>
      <c r="J6352" s="3" t="s">
        <v>2476</v>
      </c>
      <c r="K6352" s="3" t="s">
        <v>33343</v>
      </c>
      <c r="L6352" s="3" t="s">
        <v>33344</v>
      </c>
      <c r="M6352" s="4"/>
      <c r="N6352" s="3" t="s">
        <v>37</v>
      </c>
      <c r="O6352" s="3" t="s">
        <v>38</v>
      </c>
      <c r="P6352" s="5">
        <v>9</v>
      </c>
      <c r="Q6352" s="5">
        <v>90</v>
      </c>
      <c r="R6352" s="5">
        <v>9</v>
      </c>
      <c r="S6352" s="5">
        <v>81</v>
      </c>
    </row>
    <row r="6353" spans="1:19" ht="28" x14ac:dyDescent="0.15">
      <c r="A6353" s="2">
        <f>HYPERLINK("https://open-school.uspishnemisto.com.ua/school/320540/", 320540)</f>
        <v>320540</v>
      </c>
      <c r="B6353" s="3" t="s">
        <v>33345</v>
      </c>
      <c r="C6353" s="3" t="s">
        <v>31</v>
      </c>
      <c r="D6353" s="3" t="s">
        <v>175</v>
      </c>
      <c r="E6353" s="4" t="s">
        <v>22</v>
      </c>
      <c r="F6353" s="4" t="s">
        <v>33346</v>
      </c>
      <c r="G6353" s="4" t="s">
        <v>33347</v>
      </c>
      <c r="H6353" s="3" t="s">
        <v>30534</v>
      </c>
      <c r="I6353" s="3" t="s">
        <v>16193</v>
      </c>
      <c r="J6353" s="3" t="s">
        <v>33348</v>
      </c>
      <c r="K6353" s="3" t="s">
        <v>33349</v>
      </c>
      <c r="L6353" s="3" t="s">
        <v>33350</v>
      </c>
      <c r="M6353" s="4"/>
      <c r="N6353" s="3" t="s">
        <v>37</v>
      </c>
      <c r="O6353" s="3" t="s">
        <v>52</v>
      </c>
      <c r="P6353" s="5">
        <v>8</v>
      </c>
      <c r="Q6353" s="5">
        <v>56</v>
      </c>
      <c r="R6353" s="5">
        <v>8</v>
      </c>
      <c r="S6353" s="5">
        <v>54</v>
      </c>
    </row>
    <row r="6354" spans="1:19" ht="28" x14ac:dyDescent="0.15">
      <c r="A6354" s="2">
        <f>HYPERLINK("https://open-school.uspishnemisto.com.ua/school/320541/", 320541)</f>
        <v>320541</v>
      </c>
      <c r="B6354" s="3" t="s">
        <v>33351</v>
      </c>
      <c r="C6354" s="3" t="s">
        <v>31</v>
      </c>
      <c r="D6354" s="3" t="s">
        <v>175</v>
      </c>
      <c r="E6354" s="4" t="s">
        <v>22</v>
      </c>
      <c r="F6354" s="4" t="s">
        <v>33352</v>
      </c>
      <c r="G6354" s="4" t="s">
        <v>33353</v>
      </c>
      <c r="H6354" s="3" t="s">
        <v>30534</v>
      </c>
      <c r="I6354" s="3" t="s">
        <v>1332</v>
      </c>
      <c r="J6354" s="3" t="s">
        <v>15139</v>
      </c>
      <c r="K6354" s="3" t="s">
        <v>33354</v>
      </c>
      <c r="L6354" s="3" t="s">
        <v>33355</v>
      </c>
      <c r="M6354" s="4"/>
      <c r="N6354" s="3" t="s">
        <v>37</v>
      </c>
      <c r="O6354" s="3" t="s">
        <v>38</v>
      </c>
      <c r="P6354" s="5">
        <v>9</v>
      </c>
      <c r="Q6354" s="5">
        <v>89</v>
      </c>
      <c r="R6354" s="5">
        <v>9</v>
      </c>
      <c r="S6354" s="5">
        <v>85</v>
      </c>
    </row>
    <row r="6355" spans="1:19" ht="28" x14ac:dyDescent="0.15">
      <c r="A6355" s="2">
        <f>HYPERLINK("https://open-school.uspishnemisto.com.ua/school/320542/", 320542)</f>
        <v>320542</v>
      </c>
      <c r="B6355" s="3" t="s">
        <v>33356</v>
      </c>
      <c r="C6355" s="3" t="s">
        <v>31</v>
      </c>
      <c r="D6355" s="3" t="s">
        <v>175</v>
      </c>
      <c r="E6355" s="4" t="s">
        <v>22</v>
      </c>
      <c r="F6355" s="4" t="s">
        <v>33357</v>
      </c>
      <c r="G6355" s="4" t="s">
        <v>33358</v>
      </c>
      <c r="H6355" s="3" t="s">
        <v>30534</v>
      </c>
      <c r="I6355" s="3" t="s">
        <v>33359</v>
      </c>
      <c r="J6355" s="3" t="s">
        <v>11725</v>
      </c>
      <c r="K6355" s="3" t="s">
        <v>33360</v>
      </c>
      <c r="L6355" s="3" t="s">
        <v>33361</v>
      </c>
      <c r="M6355" s="4"/>
      <c r="N6355" s="3" t="s">
        <v>37</v>
      </c>
      <c r="O6355" s="3" t="s">
        <v>38</v>
      </c>
      <c r="P6355" s="5">
        <v>8</v>
      </c>
      <c r="Q6355" s="5">
        <v>49</v>
      </c>
      <c r="R6355" s="5">
        <v>7</v>
      </c>
      <c r="S6355" s="5">
        <v>47</v>
      </c>
    </row>
    <row r="6356" spans="1:19" ht="28" x14ac:dyDescent="0.15">
      <c r="A6356" s="2">
        <f>HYPERLINK("https://open-school.uspishnemisto.com.ua/school/320543/", 320543)</f>
        <v>320543</v>
      </c>
      <c r="B6356" s="3" t="s">
        <v>33362</v>
      </c>
      <c r="C6356" s="3" t="s">
        <v>40</v>
      </c>
      <c r="D6356" s="3" t="s">
        <v>32</v>
      </c>
      <c r="E6356" s="4" t="s">
        <v>22</v>
      </c>
      <c r="F6356" s="4" t="s">
        <v>33363</v>
      </c>
      <c r="G6356" s="4" t="s">
        <v>33364</v>
      </c>
      <c r="H6356" s="3" t="s">
        <v>30534</v>
      </c>
      <c r="I6356" s="3" t="s">
        <v>33365</v>
      </c>
      <c r="J6356" s="3" t="s">
        <v>33366</v>
      </c>
      <c r="K6356" s="3" t="s">
        <v>33367</v>
      </c>
      <c r="L6356" s="3" t="s">
        <v>33368</v>
      </c>
      <c r="M6356" s="4"/>
      <c r="N6356" s="3" t="s">
        <v>37</v>
      </c>
      <c r="O6356" s="3" t="s">
        <v>46</v>
      </c>
      <c r="P6356" s="5">
        <v>7</v>
      </c>
      <c r="Q6356" s="5">
        <v>86</v>
      </c>
      <c r="R6356" s="5">
        <v>7</v>
      </c>
      <c r="S6356" s="5">
        <v>84</v>
      </c>
    </row>
    <row r="6357" spans="1:19" ht="42" x14ac:dyDescent="0.15">
      <c r="A6357" s="2">
        <f>HYPERLINK("https://open-school.uspishnemisto.com.ua/school/320544/", 320544)</f>
        <v>320544</v>
      </c>
      <c r="B6357" s="3" t="s">
        <v>33369</v>
      </c>
      <c r="C6357" s="3" t="s">
        <v>31</v>
      </c>
      <c r="D6357" s="3" t="s">
        <v>32</v>
      </c>
      <c r="E6357" s="4" t="s">
        <v>22</v>
      </c>
      <c r="F6357" s="4" t="s">
        <v>33363</v>
      </c>
      <c r="G6357" s="4" t="s">
        <v>33364</v>
      </c>
      <c r="H6357" s="3" t="s">
        <v>30534</v>
      </c>
      <c r="I6357" s="3" t="s">
        <v>33365</v>
      </c>
      <c r="J6357" s="3" t="s">
        <v>33370</v>
      </c>
      <c r="K6357" s="3"/>
      <c r="L6357" s="3" t="s">
        <v>33371</v>
      </c>
      <c r="M6357" s="4"/>
      <c r="N6357" s="3" t="s">
        <v>37</v>
      </c>
      <c r="O6357" s="3" t="s">
        <v>38</v>
      </c>
      <c r="P6357" s="5">
        <v>11</v>
      </c>
      <c r="Q6357" s="5">
        <v>138</v>
      </c>
      <c r="R6357" s="5">
        <v>11</v>
      </c>
      <c r="S6357" s="5">
        <v>149</v>
      </c>
    </row>
    <row r="6358" spans="1:19" ht="28" x14ac:dyDescent="0.15">
      <c r="A6358" s="2">
        <f>HYPERLINK("https://open-school.uspishnemisto.com.ua/school/320546/", 320546)</f>
        <v>320546</v>
      </c>
      <c r="B6358" s="3" t="s">
        <v>33372</v>
      </c>
      <c r="C6358" s="3" t="s">
        <v>31</v>
      </c>
      <c r="D6358" s="3" t="s">
        <v>32</v>
      </c>
      <c r="E6358" s="4" t="s">
        <v>22</v>
      </c>
      <c r="F6358" s="4" t="s">
        <v>33373</v>
      </c>
      <c r="G6358" s="4" t="s">
        <v>33374</v>
      </c>
      <c r="H6358" s="3" t="s">
        <v>30534</v>
      </c>
      <c r="I6358" s="3" t="s">
        <v>33375</v>
      </c>
      <c r="J6358" s="3" t="s">
        <v>33376</v>
      </c>
      <c r="K6358" s="3" t="s">
        <v>33377</v>
      </c>
      <c r="L6358" s="3"/>
      <c r="M6358" s="4"/>
      <c r="N6358" s="3" t="s">
        <v>37</v>
      </c>
      <c r="O6358" s="3" t="s">
        <v>38</v>
      </c>
      <c r="P6358" s="5">
        <v>11</v>
      </c>
      <c r="Q6358" s="5">
        <v>137</v>
      </c>
      <c r="R6358" s="5">
        <v>11</v>
      </c>
      <c r="S6358" s="5">
        <v>123</v>
      </c>
    </row>
    <row r="6359" spans="1:19" ht="28" x14ac:dyDescent="0.15">
      <c r="A6359" s="2">
        <f>HYPERLINK("https://open-school.uspishnemisto.com.ua/school/320547/", 320547)</f>
        <v>320547</v>
      </c>
      <c r="B6359" s="3" t="s">
        <v>33378</v>
      </c>
      <c r="C6359" s="3" t="s">
        <v>31</v>
      </c>
      <c r="D6359" s="3" t="s">
        <v>175</v>
      </c>
      <c r="E6359" s="4" t="s">
        <v>22</v>
      </c>
      <c r="F6359" s="4" t="s">
        <v>33379</v>
      </c>
      <c r="G6359" s="4" t="s">
        <v>33380</v>
      </c>
      <c r="H6359" s="3" t="s">
        <v>30534</v>
      </c>
      <c r="I6359" s="3" t="s">
        <v>31261</v>
      </c>
      <c r="J6359" s="3" t="s">
        <v>33381</v>
      </c>
      <c r="K6359" s="3" t="s">
        <v>33382</v>
      </c>
      <c r="L6359" s="3" t="s">
        <v>33383</v>
      </c>
      <c r="M6359" s="4"/>
      <c r="N6359" s="3" t="s">
        <v>37</v>
      </c>
      <c r="O6359" s="3" t="s">
        <v>52</v>
      </c>
      <c r="P6359" s="5">
        <v>7</v>
      </c>
      <c r="Q6359" s="5">
        <v>59</v>
      </c>
      <c r="R6359" s="5">
        <v>7</v>
      </c>
      <c r="S6359" s="5">
        <v>58</v>
      </c>
    </row>
    <row r="6360" spans="1:19" ht="28" x14ac:dyDescent="0.15">
      <c r="A6360" s="2">
        <f>HYPERLINK("https://open-school.uspishnemisto.com.ua/school/320549/", 320549)</f>
        <v>320549</v>
      </c>
      <c r="B6360" s="3" t="s">
        <v>33384</v>
      </c>
      <c r="C6360" s="3" t="s">
        <v>31</v>
      </c>
      <c r="D6360" s="3" t="s">
        <v>32</v>
      </c>
      <c r="E6360" s="4" t="s">
        <v>22</v>
      </c>
      <c r="F6360" s="4" t="s">
        <v>33385</v>
      </c>
      <c r="G6360" s="4" t="s">
        <v>33386</v>
      </c>
      <c r="H6360" s="3" t="s">
        <v>30534</v>
      </c>
      <c r="I6360" s="3" t="s">
        <v>33387</v>
      </c>
      <c r="J6360" s="3" t="s">
        <v>33388</v>
      </c>
      <c r="K6360" s="3" t="s">
        <v>33389</v>
      </c>
      <c r="L6360" s="3" t="s">
        <v>33390</v>
      </c>
      <c r="M6360" s="4"/>
      <c r="N6360" s="3" t="s">
        <v>37</v>
      </c>
      <c r="O6360" s="3" t="s">
        <v>38</v>
      </c>
      <c r="P6360" s="5">
        <v>12</v>
      </c>
      <c r="Q6360" s="5">
        <v>174</v>
      </c>
      <c r="R6360" s="5">
        <v>12</v>
      </c>
      <c r="S6360" s="5">
        <v>162</v>
      </c>
    </row>
    <row r="6361" spans="1:19" ht="28" x14ac:dyDescent="0.15">
      <c r="A6361" s="2">
        <f>HYPERLINK("https://open-school.uspishnemisto.com.ua/school/320550/", 320550)</f>
        <v>320550</v>
      </c>
      <c r="B6361" s="3" t="s">
        <v>33391</v>
      </c>
      <c r="C6361" s="3" t="s">
        <v>31</v>
      </c>
      <c r="D6361" s="3" t="s">
        <v>32</v>
      </c>
      <c r="E6361" s="4" t="s">
        <v>22</v>
      </c>
      <c r="F6361" s="4" t="s">
        <v>33392</v>
      </c>
      <c r="G6361" s="4" t="s">
        <v>33393</v>
      </c>
      <c r="H6361" s="3" t="s">
        <v>30534</v>
      </c>
      <c r="I6361" s="3" t="s">
        <v>11605</v>
      </c>
      <c r="J6361" s="3" t="s">
        <v>1636</v>
      </c>
      <c r="K6361" s="3"/>
      <c r="L6361" s="3" t="s">
        <v>33394</v>
      </c>
      <c r="M6361" s="4"/>
      <c r="N6361" s="3" t="s">
        <v>37</v>
      </c>
      <c r="O6361" s="3" t="s">
        <v>52</v>
      </c>
      <c r="P6361" s="5">
        <v>11</v>
      </c>
      <c r="Q6361" s="5">
        <v>117</v>
      </c>
      <c r="R6361" s="5">
        <v>11</v>
      </c>
      <c r="S6361" s="5">
        <v>124</v>
      </c>
    </row>
    <row r="6362" spans="1:19" ht="28" x14ac:dyDescent="0.15">
      <c r="A6362" s="2">
        <f>HYPERLINK("https://open-school.uspishnemisto.com.ua/school/320551/", 320551)</f>
        <v>320551</v>
      </c>
      <c r="B6362" s="3" t="s">
        <v>33395</v>
      </c>
      <c r="C6362" s="3" t="s">
        <v>31</v>
      </c>
      <c r="D6362" s="3" t="s">
        <v>32</v>
      </c>
      <c r="E6362" s="4" t="s">
        <v>22</v>
      </c>
      <c r="F6362" s="4" t="s">
        <v>33396</v>
      </c>
      <c r="G6362" s="4" t="s">
        <v>33397</v>
      </c>
      <c r="H6362" s="3" t="s">
        <v>30534</v>
      </c>
      <c r="I6362" s="3" t="s">
        <v>33398</v>
      </c>
      <c r="J6362" s="3" t="s">
        <v>33399</v>
      </c>
      <c r="K6362" s="3" t="s">
        <v>33400</v>
      </c>
      <c r="L6362" s="3" t="s">
        <v>33401</v>
      </c>
      <c r="M6362" s="4"/>
      <c r="N6362" s="3" t="s">
        <v>37</v>
      </c>
      <c r="O6362" s="3" t="s">
        <v>266</v>
      </c>
      <c r="P6362" s="5">
        <v>19</v>
      </c>
      <c r="Q6362" s="5">
        <v>225</v>
      </c>
      <c r="R6362" s="5">
        <v>12</v>
      </c>
      <c r="S6362" s="5">
        <v>176</v>
      </c>
    </row>
    <row r="6363" spans="1:19" ht="42" x14ac:dyDescent="0.15">
      <c r="A6363" s="2">
        <f>HYPERLINK("https://open-school.uspishnemisto.com.ua/school/320552/", 320552)</f>
        <v>320552</v>
      </c>
      <c r="B6363" s="3" t="s">
        <v>33402</v>
      </c>
      <c r="C6363" s="3" t="s">
        <v>181</v>
      </c>
      <c r="D6363" s="3" t="s">
        <v>175</v>
      </c>
      <c r="E6363" s="4" t="s">
        <v>22</v>
      </c>
      <c r="F6363" s="4" t="s">
        <v>33403</v>
      </c>
      <c r="G6363" s="4" t="s">
        <v>33404</v>
      </c>
      <c r="H6363" s="3" t="s">
        <v>30534</v>
      </c>
      <c r="I6363" s="3" t="s">
        <v>33405</v>
      </c>
      <c r="J6363" s="3" t="s">
        <v>33406</v>
      </c>
      <c r="K6363" s="3" t="s">
        <v>33407</v>
      </c>
      <c r="L6363" s="3" t="s">
        <v>33408</v>
      </c>
      <c r="M6363" s="4" t="s">
        <v>33409</v>
      </c>
      <c r="N6363" s="3" t="s">
        <v>37</v>
      </c>
      <c r="O6363" s="3" t="s">
        <v>52</v>
      </c>
      <c r="P6363" s="5">
        <v>13</v>
      </c>
      <c r="Q6363" s="5">
        <v>95</v>
      </c>
      <c r="R6363" s="5">
        <v>13</v>
      </c>
      <c r="S6363" s="5">
        <v>95</v>
      </c>
    </row>
    <row r="6364" spans="1:19" ht="28" x14ac:dyDescent="0.15">
      <c r="A6364" s="2">
        <f>HYPERLINK("https://open-school.uspishnemisto.com.ua/school/320553/", 320553)</f>
        <v>320553</v>
      </c>
      <c r="B6364" s="3" t="s">
        <v>33410</v>
      </c>
      <c r="C6364" s="3" t="s">
        <v>31</v>
      </c>
      <c r="D6364" s="3" t="s">
        <v>32</v>
      </c>
      <c r="E6364" s="4" t="s">
        <v>22</v>
      </c>
      <c r="F6364" s="4" t="s">
        <v>33403</v>
      </c>
      <c r="G6364" s="4" t="s">
        <v>33404</v>
      </c>
      <c r="H6364" s="3" t="s">
        <v>30534</v>
      </c>
      <c r="I6364" s="3" t="s">
        <v>33405</v>
      </c>
      <c r="J6364" s="3" t="s">
        <v>28298</v>
      </c>
      <c r="K6364" s="3" t="s">
        <v>33411</v>
      </c>
      <c r="L6364" s="3" t="s">
        <v>33412</v>
      </c>
      <c r="M6364" s="4"/>
      <c r="N6364" s="3" t="s">
        <v>37</v>
      </c>
      <c r="O6364" s="3" t="s">
        <v>70</v>
      </c>
      <c r="P6364" s="5">
        <v>19</v>
      </c>
      <c r="Q6364" s="5">
        <v>280</v>
      </c>
      <c r="R6364" s="5">
        <v>19</v>
      </c>
      <c r="S6364" s="5">
        <v>289</v>
      </c>
    </row>
    <row r="6365" spans="1:19" ht="28" x14ac:dyDescent="0.15">
      <c r="A6365" s="2">
        <f>HYPERLINK("https://open-school.uspishnemisto.com.ua/school/320554/", 320554)</f>
        <v>320554</v>
      </c>
      <c r="B6365" s="3" t="s">
        <v>33413</v>
      </c>
      <c r="C6365" s="3" t="s">
        <v>31</v>
      </c>
      <c r="D6365" s="3" t="s">
        <v>32</v>
      </c>
      <c r="E6365" s="4" t="s">
        <v>22</v>
      </c>
      <c r="F6365" s="4" t="s">
        <v>33414</v>
      </c>
      <c r="G6365" s="4" t="s">
        <v>33415</v>
      </c>
      <c r="H6365" s="3" t="s">
        <v>30534</v>
      </c>
      <c r="I6365" s="3" t="s">
        <v>33416</v>
      </c>
      <c r="J6365" s="3" t="s">
        <v>33417</v>
      </c>
      <c r="K6365" s="3" t="s">
        <v>33418</v>
      </c>
      <c r="L6365" s="3" t="s">
        <v>33419</v>
      </c>
      <c r="M6365" s="4"/>
      <c r="N6365" s="3" t="s">
        <v>37</v>
      </c>
      <c r="O6365" s="3" t="s">
        <v>38</v>
      </c>
      <c r="P6365" s="5">
        <v>11</v>
      </c>
      <c r="Q6365" s="5">
        <v>155</v>
      </c>
      <c r="R6365" s="5">
        <v>11</v>
      </c>
      <c r="S6365" s="5">
        <v>145</v>
      </c>
    </row>
    <row r="6366" spans="1:19" ht="42" x14ac:dyDescent="0.15">
      <c r="A6366" s="2">
        <f>HYPERLINK("https://open-school.uspishnemisto.com.ua/school/320555/", 320555)</f>
        <v>320555</v>
      </c>
      <c r="B6366" s="3" t="s">
        <v>33420</v>
      </c>
      <c r="C6366" s="3" t="s">
        <v>54</v>
      </c>
      <c r="D6366" s="3" t="s">
        <v>175</v>
      </c>
      <c r="E6366" s="4" t="s">
        <v>22</v>
      </c>
      <c r="F6366" s="4" t="s">
        <v>33421</v>
      </c>
      <c r="G6366" s="4" t="s">
        <v>33422</v>
      </c>
      <c r="H6366" s="3" t="s">
        <v>30534</v>
      </c>
      <c r="I6366" s="3" t="s">
        <v>33423</v>
      </c>
      <c r="J6366" s="3" t="s">
        <v>33424</v>
      </c>
      <c r="K6366" s="3" t="s">
        <v>33425</v>
      </c>
      <c r="L6366" s="3"/>
      <c r="M6366" s="4"/>
      <c r="N6366" s="3" t="s">
        <v>37</v>
      </c>
      <c r="O6366" s="3" t="s">
        <v>46</v>
      </c>
      <c r="P6366" s="5">
        <v>6</v>
      </c>
      <c r="Q6366" s="5">
        <v>38</v>
      </c>
      <c r="R6366" s="5">
        <v>7</v>
      </c>
      <c r="S6366" s="5">
        <v>41</v>
      </c>
    </row>
    <row r="6367" spans="1:19" ht="56" x14ac:dyDescent="0.15">
      <c r="A6367" s="2">
        <f>HYPERLINK("https://open-school.uspishnemisto.com.ua/school/320556/", 320556)</f>
        <v>320556</v>
      </c>
      <c r="B6367" s="3" t="s">
        <v>33426</v>
      </c>
      <c r="C6367" s="3" t="s">
        <v>54</v>
      </c>
      <c r="D6367" s="3" t="s">
        <v>175</v>
      </c>
      <c r="E6367" s="4" t="s">
        <v>22</v>
      </c>
      <c r="F6367" s="4" t="s">
        <v>33427</v>
      </c>
      <c r="G6367" s="4" t="s">
        <v>33428</v>
      </c>
      <c r="H6367" s="3" t="s">
        <v>30534</v>
      </c>
      <c r="I6367" s="3" t="s">
        <v>33429</v>
      </c>
      <c r="J6367" s="3" t="s">
        <v>33430</v>
      </c>
      <c r="K6367" s="3" t="s">
        <v>33431</v>
      </c>
      <c r="L6367" s="3"/>
      <c r="M6367" s="4"/>
      <c r="N6367" s="3" t="s">
        <v>37</v>
      </c>
      <c r="O6367" s="3" t="s">
        <v>52</v>
      </c>
      <c r="P6367" s="5">
        <v>8</v>
      </c>
      <c r="Q6367" s="5">
        <v>47</v>
      </c>
      <c r="R6367" s="5">
        <v>7</v>
      </c>
      <c r="S6367" s="5">
        <v>45</v>
      </c>
    </row>
    <row r="6368" spans="1:19" ht="42" x14ac:dyDescent="0.15">
      <c r="A6368" s="2">
        <f>HYPERLINK("https://open-school.uspishnemisto.com.ua/school/320557/", 320557)</f>
        <v>320557</v>
      </c>
      <c r="B6368" s="3" t="s">
        <v>33432</v>
      </c>
      <c r="C6368" s="3" t="s">
        <v>54</v>
      </c>
      <c r="D6368" s="3" t="s">
        <v>175</v>
      </c>
      <c r="E6368" s="4" t="s">
        <v>22</v>
      </c>
      <c r="F6368" s="4" t="s">
        <v>33433</v>
      </c>
      <c r="G6368" s="4" t="s">
        <v>33434</v>
      </c>
      <c r="H6368" s="3" t="s">
        <v>30534</v>
      </c>
      <c r="I6368" s="3" t="s">
        <v>33435</v>
      </c>
      <c r="J6368" s="3" t="s">
        <v>3304</v>
      </c>
      <c r="K6368" s="3" t="s">
        <v>33436</v>
      </c>
      <c r="L6368" s="3"/>
      <c r="M6368" s="4"/>
      <c r="N6368" s="3" t="s">
        <v>37</v>
      </c>
      <c r="O6368" s="3" t="s">
        <v>70</v>
      </c>
      <c r="P6368" s="5">
        <v>9</v>
      </c>
      <c r="Q6368" s="5">
        <v>91</v>
      </c>
      <c r="R6368" s="5">
        <v>9</v>
      </c>
      <c r="S6368" s="5">
        <v>75</v>
      </c>
    </row>
    <row r="6369" spans="1:19" ht="56" x14ac:dyDescent="0.15">
      <c r="A6369" s="2">
        <f>HYPERLINK("https://open-school.uspishnemisto.com.ua/school/320558/", 320558)</f>
        <v>320558</v>
      </c>
      <c r="B6369" s="3" t="s">
        <v>33437</v>
      </c>
      <c r="C6369" s="3" t="s">
        <v>54</v>
      </c>
      <c r="D6369" s="3" t="s">
        <v>175</v>
      </c>
      <c r="E6369" s="4" t="s">
        <v>22</v>
      </c>
      <c r="F6369" s="4" t="s">
        <v>33438</v>
      </c>
      <c r="G6369" s="4" t="s">
        <v>33439</v>
      </c>
      <c r="H6369" s="3" t="s">
        <v>30534</v>
      </c>
      <c r="I6369" s="3" t="s">
        <v>33440</v>
      </c>
      <c r="J6369" s="3" t="s">
        <v>33441</v>
      </c>
      <c r="K6369" s="3" t="s">
        <v>33442</v>
      </c>
      <c r="L6369" s="3"/>
      <c r="M6369" s="4"/>
      <c r="N6369" s="3" t="s">
        <v>37</v>
      </c>
      <c r="O6369" s="3" t="s">
        <v>52</v>
      </c>
      <c r="P6369" s="5">
        <v>4</v>
      </c>
      <c r="Q6369" s="5">
        <v>27</v>
      </c>
      <c r="R6369" s="5">
        <v>4</v>
      </c>
      <c r="S6369" s="5">
        <v>31</v>
      </c>
    </row>
    <row r="6370" spans="1:19" ht="28" x14ac:dyDescent="0.15">
      <c r="A6370" s="2">
        <f>HYPERLINK("https://open-school.uspishnemisto.com.ua/school/320559/", 320559)</f>
        <v>320559</v>
      </c>
      <c r="B6370" s="3" t="s">
        <v>33443</v>
      </c>
      <c r="C6370" s="3" t="s">
        <v>54</v>
      </c>
      <c r="D6370" s="3" t="s">
        <v>175</v>
      </c>
      <c r="E6370" s="4" t="s">
        <v>22</v>
      </c>
      <c r="F6370" s="4" t="s">
        <v>33444</v>
      </c>
      <c r="G6370" s="4" t="s">
        <v>33445</v>
      </c>
      <c r="H6370" s="3" t="s">
        <v>30534</v>
      </c>
      <c r="I6370" s="3" t="s">
        <v>33446</v>
      </c>
      <c r="J6370" s="3" t="s">
        <v>5644</v>
      </c>
      <c r="K6370" s="3" t="s">
        <v>33447</v>
      </c>
      <c r="L6370" s="3"/>
      <c r="M6370" s="4"/>
      <c r="N6370" s="3" t="s">
        <v>37</v>
      </c>
      <c r="O6370" s="3" t="s">
        <v>46</v>
      </c>
      <c r="P6370" s="5">
        <v>5</v>
      </c>
      <c r="Q6370" s="5">
        <v>26</v>
      </c>
      <c r="R6370" s="5">
        <v>8</v>
      </c>
      <c r="S6370" s="5">
        <v>38</v>
      </c>
    </row>
    <row r="6371" spans="1:19" ht="56" x14ac:dyDescent="0.15">
      <c r="A6371" s="2">
        <f>HYPERLINK("https://open-school.uspishnemisto.com.ua/school/320560/", 320560)</f>
        <v>320560</v>
      </c>
      <c r="B6371" s="3" t="s">
        <v>33448</v>
      </c>
      <c r="C6371" s="3" t="s">
        <v>54</v>
      </c>
      <c r="D6371" s="3" t="s">
        <v>32</v>
      </c>
      <c r="E6371" s="4" t="s">
        <v>22</v>
      </c>
      <c r="F6371" s="4" t="s">
        <v>33449</v>
      </c>
      <c r="G6371" s="4" t="s">
        <v>33450</v>
      </c>
      <c r="H6371" s="3" t="s">
        <v>30534</v>
      </c>
      <c r="I6371" s="3" t="s">
        <v>33451</v>
      </c>
      <c r="J6371" s="3" t="s">
        <v>33452</v>
      </c>
      <c r="K6371" s="3" t="s">
        <v>33453</v>
      </c>
      <c r="L6371" s="3" t="s">
        <v>33454</v>
      </c>
      <c r="M6371" s="4"/>
      <c r="N6371" s="3" t="s">
        <v>37</v>
      </c>
      <c r="O6371" s="3" t="s">
        <v>46</v>
      </c>
      <c r="P6371" s="5">
        <v>11</v>
      </c>
      <c r="Q6371" s="5">
        <v>175</v>
      </c>
      <c r="R6371" s="5">
        <v>11</v>
      </c>
      <c r="S6371" s="5">
        <v>187</v>
      </c>
    </row>
    <row r="6372" spans="1:19" ht="28" x14ac:dyDescent="0.15">
      <c r="A6372" s="2">
        <f>HYPERLINK("https://open-school.uspishnemisto.com.ua/school/320561/", 320561)</f>
        <v>320561</v>
      </c>
      <c r="B6372" s="3" t="s">
        <v>33455</v>
      </c>
      <c r="C6372" s="3" t="s">
        <v>31</v>
      </c>
      <c r="D6372" s="3" t="s">
        <v>32</v>
      </c>
      <c r="E6372" s="4" t="s">
        <v>22</v>
      </c>
      <c r="F6372" s="4" t="s">
        <v>33456</v>
      </c>
      <c r="G6372" s="4" t="s">
        <v>33457</v>
      </c>
      <c r="H6372" s="3" t="s">
        <v>30534</v>
      </c>
      <c r="I6372" s="3" t="s">
        <v>33458</v>
      </c>
      <c r="J6372" s="3" t="s">
        <v>1668</v>
      </c>
      <c r="K6372" s="3" t="s">
        <v>33459</v>
      </c>
      <c r="L6372" s="3"/>
      <c r="M6372" s="4"/>
      <c r="N6372" s="3" t="s">
        <v>37</v>
      </c>
      <c r="O6372" s="3" t="s">
        <v>70</v>
      </c>
      <c r="P6372" s="5">
        <v>11</v>
      </c>
      <c r="Q6372" s="5">
        <v>130</v>
      </c>
      <c r="R6372" s="5">
        <v>11</v>
      </c>
      <c r="S6372" s="5">
        <v>132</v>
      </c>
    </row>
    <row r="6373" spans="1:19" ht="42" x14ac:dyDescent="0.15">
      <c r="A6373" s="2">
        <f>HYPERLINK("https://open-school.uspishnemisto.com.ua/school/320562/", 320562)</f>
        <v>320562</v>
      </c>
      <c r="B6373" s="3" t="s">
        <v>33460</v>
      </c>
      <c r="C6373" s="3" t="s">
        <v>54</v>
      </c>
      <c r="D6373" s="3" t="s">
        <v>32</v>
      </c>
      <c r="E6373" s="4" t="s">
        <v>22</v>
      </c>
      <c r="F6373" s="4"/>
      <c r="G6373" s="4" t="s">
        <v>33461</v>
      </c>
      <c r="H6373" s="3" t="s">
        <v>30534</v>
      </c>
      <c r="I6373" s="3" t="s">
        <v>33462</v>
      </c>
      <c r="J6373" s="3"/>
      <c r="K6373" s="3" t="s">
        <v>33463</v>
      </c>
      <c r="L6373" s="3"/>
      <c r="M6373" s="4"/>
      <c r="N6373" s="3" t="s">
        <v>37</v>
      </c>
      <c r="O6373" s="3" t="s">
        <v>38</v>
      </c>
      <c r="P6373" s="5">
        <v>11</v>
      </c>
      <c r="Q6373" s="5">
        <v>74</v>
      </c>
      <c r="R6373" s="5">
        <v>7</v>
      </c>
      <c r="S6373" s="5">
        <v>64</v>
      </c>
    </row>
    <row r="6374" spans="1:19" ht="42" x14ac:dyDescent="0.15">
      <c r="A6374" s="2">
        <f>HYPERLINK("https://open-school.uspishnemisto.com.ua/school/320563/", 320563)</f>
        <v>320563</v>
      </c>
      <c r="B6374" s="3" t="s">
        <v>33464</v>
      </c>
      <c r="C6374" s="3" t="s">
        <v>54</v>
      </c>
      <c r="D6374" s="3" t="s">
        <v>32</v>
      </c>
      <c r="E6374" s="4" t="s">
        <v>22</v>
      </c>
      <c r="F6374" s="4" t="s">
        <v>33465</v>
      </c>
      <c r="G6374" s="4" t="s">
        <v>33466</v>
      </c>
      <c r="H6374" s="3" t="s">
        <v>30534</v>
      </c>
      <c r="I6374" s="3" t="s">
        <v>33467</v>
      </c>
      <c r="J6374" s="3" t="s">
        <v>1216</v>
      </c>
      <c r="K6374" s="3" t="s">
        <v>33468</v>
      </c>
      <c r="L6374" s="3" t="s">
        <v>33469</v>
      </c>
      <c r="M6374" s="4"/>
      <c r="N6374" s="3" t="s">
        <v>37</v>
      </c>
      <c r="O6374" s="3" t="s">
        <v>70</v>
      </c>
      <c r="P6374" s="5">
        <v>13</v>
      </c>
      <c r="Q6374" s="5">
        <v>212</v>
      </c>
      <c r="R6374" s="5">
        <v>13</v>
      </c>
      <c r="S6374" s="5">
        <v>218</v>
      </c>
    </row>
    <row r="6375" spans="1:19" ht="56" x14ac:dyDescent="0.15">
      <c r="A6375" s="2">
        <f>HYPERLINK("https://open-school.uspishnemisto.com.ua/school/320564/", 320564)</f>
        <v>320564</v>
      </c>
      <c r="B6375" s="3" t="s">
        <v>33470</v>
      </c>
      <c r="C6375" s="3" t="s">
        <v>54</v>
      </c>
      <c r="D6375" s="3" t="s">
        <v>175</v>
      </c>
      <c r="E6375" s="4" t="s">
        <v>22</v>
      </c>
      <c r="F6375" s="4" t="s">
        <v>33471</v>
      </c>
      <c r="G6375" s="4" t="s">
        <v>33472</v>
      </c>
      <c r="H6375" s="3" t="s">
        <v>30534</v>
      </c>
      <c r="I6375" s="3" t="s">
        <v>33473</v>
      </c>
      <c r="J6375" s="3" t="s">
        <v>634</v>
      </c>
      <c r="K6375" s="3" t="s">
        <v>33474</v>
      </c>
      <c r="L6375" s="3"/>
      <c r="M6375" s="4"/>
      <c r="N6375" s="3" t="s">
        <v>37</v>
      </c>
      <c r="O6375" s="3" t="s">
        <v>38</v>
      </c>
      <c r="P6375" s="5">
        <v>8</v>
      </c>
      <c r="Q6375" s="5">
        <v>61</v>
      </c>
      <c r="R6375" s="5">
        <v>8</v>
      </c>
      <c r="S6375" s="5">
        <v>64</v>
      </c>
    </row>
    <row r="6376" spans="1:19" ht="42" x14ac:dyDescent="0.15">
      <c r="A6376" s="2">
        <f>HYPERLINK("https://open-school.uspishnemisto.com.ua/school/320565/", 320565)</f>
        <v>320565</v>
      </c>
      <c r="B6376" s="3" t="s">
        <v>33475</v>
      </c>
      <c r="C6376" s="3" t="s">
        <v>54</v>
      </c>
      <c r="D6376" s="3" t="s">
        <v>32</v>
      </c>
      <c r="E6376" s="4" t="s">
        <v>22</v>
      </c>
      <c r="F6376" s="4" t="s">
        <v>33476</v>
      </c>
      <c r="G6376" s="4" t="s">
        <v>33477</v>
      </c>
      <c r="H6376" s="3" t="s">
        <v>30534</v>
      </c>
      <c r="I6376" s="3" t="s">
        <v>33478</v>
      </c>
      <c r="J6376" s="3" t="s">
        <v>33479</v>
      </c>
      <c r="K6376" s="3" t="s">
        <v>33480</v>
      </c>
      <c r="L6376" s="3"/>
      <c r="M6376" s="4"/>
      <c r="N6376" s="3" t="s">
        <v>37</v>
      </c>
      <c r="O6376" s="3" t="s">
        <v>38</v>
      </c>
      <c r="P6376" s="5">
        <v>11</v>
      </c>
      <c r="Q6376" s="5">
        <v>87</v>
      </c>
      <c r="R6376" s="5">
        <v>11</v>
      </c>
      <c r="S6376" s="5">
        <v>97</v>
      </c>
    </row>
    <row r="6377" spans="1:19" ht="42" x14ac:dyDescent="0.15">
      <c r="A6377" s="2">
        <f>HYPERLINK("https://open-school.uspishnemisto.com.ua/school/320566/", 320566)</f>
        <v>320566</v>
      </c>
      <c r="B6377" s="3" t="s">
        <v>33481</v>
      </c>
      <c r="C6377" s="3" t="s">
        <v>54</v>
      </c>
      <c r="D6377" s="3" t="s">
        <v>175</v>
      </c>
      <c r="E6377" s="4" t="s">
        <v>22</v>
      </c>
      <c r="F6377" s="4" t="s">
        <v>33482</v>
      </c>
      <c r="G6377" s="4" t="s">
        <v>33483</v>
      </c>
      <c r="H6377" s="3" t="s">
        <v>30534</v>
      </c>
      <c r="I6377" s="3" t="s">
        <v>33484</v>
      </c>
      <c r="J6377" s="3"/>
      <c r="K6377" s="3"/>
      <c r="L6377" s="3"/>
      <c r="M6377" s="4"/>
      <c r="N6377" s="3" t="s">
        <v>37</v>
      </c>
      <c r="O6377" s="3" t="s">
        <v>46</v>
      </c>
      <c r="P6377" s="5">
        <v>9</v>
      </c>
      <c r="Q6377" s="5">
        <v>55</v>
      </c>
      <c r="R6377" s="5">
        <v>9</v>
      </c>
      <c r="S6377" s="5">
        <v>50</v>
      </c>
    </row>
    <row r="6378" spans="1:19" ht="42" x14ac:dyDescent="0.15">
      <c r="A6378" s="2">
        <f>HYPERLINK("https://open-school.uspishnemisto.com.ua/school/320567/", 320567)</f>
        <v>320567</v>
      </c>
      <c r="B6378" s="3" t="s">
        <v>33485</v>
      </c>
      <c r="C6378" s="3" t="s">
        <v>54</v>
      </c>
      <c r="D6378" s="3" t="s">
        <v>175</v>
      </c>
      <c r="E6378" s="4" t="s">
        <v>22</v>
      </c>
      <c r="F6378" s="4" t="s">
        <v>33486</v>
      </c>
      <c r="G6378" s="4" t="s">
        <v>33487</v>
      </c>
      <c r="H6378" s="3" t="s">
        <v>30534</v>
      </c>
      <c r="I6378" s="3" t="s">
        <v>33488</v>
      </c>
      <c r="J6378" s="3" t="s">
        <v>33489</v>
      </c>
      <c r="K6378" s="3" t="s">
        <v>33490</v>
      </c>
      <c r="L6378" s="3"/>
      <c r="M6378" s="4"/>
      <c r="N6378" s="3" t="s">
        <v>37</v>
      </c>
      <c r="O6378" s="3" t="s">
        <v>38</v>
      </c>
      <c r="P6378" s="5">
        <v>9</v>
      </c>
      <c r="Q6378" s="5">
        <v>95</v>
      </c>
      <c r="R6378" s="5">
        <v>9</v>
      </c>
      <c r="S6378" s="5">
        <v>96</v>
      </c>
    </row>
    <row r="6379" spans="1:19" ht="42" x14ac:dyDescent="0.15">
      <c r="A6379" s="2">
        <f>HYPERLINK("https://open-school.uspishnemisto.com.ua/school/320568/", 320568)</f>
        <v>320568</v>
      </c>
      <c r="B6379" s="3" t="s">
        <v>33491</v>
      </c>
      <c r="C6379" s="3" t="s">
        <v>54</v>
      </c>
      <c r="D6379" s="3" t="s">
        <v>32</v>
      </c>
      <c r="E6379" s="4" t="s">
        <v>22</v>
      </c>
      <c r="F6379" s="4" t="s">
        <v>33492</v>
      </c>
      <c r="G6379" s="4" t="s">
        <v>33493</v>
      </c>
      <c r="H6379" s="3" t="s">
        <v>30534</v>
      </c>
      <c r="I6379" s="3" t="s">
        <v>33494</v>
      </c>
      <c r="J6379" s="3" t="s">
        <v>33495</v>
      </c>
      <c r="K6379" s="3" t="s">
        <v>33496</v>
      </c>
      <c r="L6379" s="3" t="s">
        <v>33497</v>
      </c>
      <c r="M6379" s="4"/>
      <c r="N6379" s="3" t="s">
        <v>37</v>
      </c>
      <c r="O6379" s="3" t="s">
        <v>52</v>
      </c>
      <c r="P6379" s="5">
        <v>11</v>
      </c>
      <c r="Q6379" s="5">
        <v>81</v>
      </c>
      <c r="R6379" s="5">
        <v>11</v>
      </c>
      <c r="S6379" s="5">
        <v>93</v>
      </c>
    </row>
    <row r="6380" spans="1:19" ht="28" x14ac:dyDescent="0.15">
      <c r="A6380" s="2">
        <f>HYPERLINK("https://open-school.uspishnemisto.com.ua/school/320569/", 320569)</f>
        <v>320569</v>
      </c>
      <c r="B6380" s="3" t="s">
        <v>33498</v>
      </c>
      <c r="C6380" s="3" t="s">
        <v>31</v>
      </c>
      <c r="D6380" s="3" t="s">
        <v>32</v>
      </c>
      <c r="E6380" s="4" t="s">
        <v>22</v>
      </c>
      <c r="F6380" s="4" t="s">
        <v>33499</v>
      </c>
      <c r="G6380" s="4" t="s">
        <v>33500</v>
      </c>
      <c r="H6380" s="3" t="s">
        <v>30534</v>
      </c>
      <c r="I6380" s="3" t="s">
        <v>33501</v>
      </c>
      <c r="J6380" s="3" t="s">
        <v>33502</v>
      </c>
      <c r="K6380" s="3" t="s">
        <v>33503</v>
      </c>
      <c r="L6380" s="3"/>
      <c r="M6380" s="4"/>
      <c r="N6380" s="3" t="s">
        <v>37</v>
      </c>
      <c r="O6380" s="3" t="s">
        <v>46</v>
      </c>
      <c r="P6380" s="5">
        <v>11</v>
      </c>
      <c r="Q6380" s="5">
        <v>133</v>
      </c>
      <c r="R6380" s="5">
        <v>10</v>
      </c>
      <c r="S6380" s="5">
        <v>118</v>
      </c>
    </row>
    <row r="6381" spans="1:19" ht="42" x14ac:dyDescent="0.15">
      <c r="A6381" s="2">
        <f>HYPERLINK("https://open-school.uspishnemisto.com.ua/school/320570/", 320570)</f>
        <v>320570</v>
      </c>
      <c r="B6381" s="3" t="s">
        <v>33504</v>
      </c>
      <c r="C6381" s="3" t="s">
        <v>54</v>
      </c>
      <c r="D6381" s="3" t="s">
        <v>175</v>
      </c>
      <c r="E6381" s="4" t="s">
        <v>22</v>
      </c>
      <c r="F6381" s="4" t="s">
        <v>33505</v>
      </c>
      <c r="G6381" s="4" t="s">
        <v>33506</v>
      </c>
      <c r="H6381" s="3" t="s">
        <v>30534</v>
      </c>
      <c r="I6381" s="3" t="s">
        <v>29582</v>
      </c>
      <c r="J6381" s="3" t="s">
        <v>33507</v>
      </c>
      <c r="K6381" s="3" t="s">
        <v>33508</v>
      </c>
      <c r="L6381" s="3"/>
      <c r="M6381" s="4"/>
      <c r="N6381" s="3" t="s">
        <v>37</v>
      </c>
      <c r="O6381" s="3" t="s">
        <v>46</v>
      </c>
      <c r="P6381" s="5">
        <v>8</v>
      </c>
      <c r="Q6381" s="5">
        <v>43</v>
      </c>
      <c r="R6381" s="5">
        <v>8</v>
      </c>
      <c r="S6381" s="5">
        <v>45</v>
      </c>
    </row>
    <row r="6382" spans="1:19" ht="42" x14ac:dyDescent="0.15">
      <c r="A6382" s="2">
        <f>HYPERLINK("https://open-school.uspishnemisto.com.ua/school/320571/", 320571)</f>
        <v>320571</v>
      </c>
      <c r="B6382" s="3" t="s">
        <v>33509</v>
      </c>
      <c r="C6382" s="3" t="s">
        <v>54</v>
      </c>
      <c r="D6382" s="3" t="s">
        <v>32</v>
      </c>
      <c r="E6382" s="4" t="s">
        <v>22</v>
      </c>
      <c r="F6382" s="4" t="s">
        <v>33510</v>
      </c>
      <c r="G6382" s="4" t="s">
        <v>33511</v>
      </c>
      <c r="H6382" s="3" t="s">
        <v>30534</v>
      </c>
      <c r="I6382" s="3" t="s">
        <v>33512</v>
      </c>
      <c r="J6382" s="3" t="s">
        <v>4298</v>
      </c>
      <c r="K6382" s="3" t="s">
        <v>33513</v>
      </c>
      <c r="L6382" s="3" t="s">
        <v>33514</v>
      </c>
      <c r="M6382" s="4"/>
      <c r="N6382" s="3" t="s">
        <v>37</v>
      </c>
      <c r="O6382" s="3" t="s">
        <v>52</v>
      </c>
      <c r="P6382" s="5">
        <v>10</v>
      </c>
      <c r="Q6382" s="5">
        <v>73</v>
      </c>
      <c r="R6382" s="5">
        <v>10</v>
      </c>
      <c r="S6382" s="5">
        <v>83</v>
      </c>
    </row>
    <row r="6383" spans="1:19" ht="56" x14ac:dyDescent="0.15">
      <c r="A6383" s="2">
        <f>HYPERLINK("https://open-school.uspishnemisto.com.ua/school/320572/", 320572)</f>
        <v>320572</v>
      </c>
      <c r="B6383" s="3" t="s">
        <v>33515</v>
      </c>
      <c r="C6383" s="3" t="s">
        <v>54</v>
      </c>
      <c r="D6383" s="3" t="s">
        <v>32</v>
      </c>
      <c r="E6383" s="4" t="s">
        <v>22</v>
      </c>
      <c r="F6383" s="4" t="s">
        <v>33516</v>
      </c>
      <c r="G6383" s="4" t="s">
        <v>33517</v>
      </c>
      <c r="H6383" s="3" t="s">
        <v>30534</v>
      </c>
      <c r="I6383" s="3" t="s">
        <v>33518</v>
      </c>
      <c r="J6383" s="3" t="s">
        <v>33519</v>
      </c>
      <c r="K6383" s="3" t="s">
        <v>33520</v>
      </c>
      <c r="L6383" s="3"/>
      <c r="M6383" s="4"/>
      <c r="N6383" s="3" t="s">
        <v>37</v>
      </c>
      <c r="O6383" s="3" t="s">
        <v>38</v>
      </c>
      <c r="P6383" s="5">
        <v>11</v>
      </c>
      <c r="Q6383" s="5">
        <v>116</v>
      </c>
      <c r="R6383" s="5">
        <v>10</v>
      </c>
      <c r="S6383" s="5">
        <v>102</v>
      </c>
    </row>
    <row r="6384" spans="1:19" ht="28" x14ac:dyDescent="0.15">
      <c r="A6384" s="2">
        <f>HYPERLINK("https://open-school.uspishnemisto.com.ua/school/320573/", 320573)</f>
        <v>320573</v>
      </c>
      <c r="B6384" s="3" t="s">
        <v>33521</v>
      </c>
      <c r="C6384" s="3" t="s">
        <v>54</v>
      </c>
      <c r="D6384" s="3" t="s">
        <v>32</v>
      </c>
      <c r="E6384" s="4" t="s">
        <v>22</v>
      </c>
      <c r="F6384" s="4" t="s">
        <v>33522</v>
      </c>
      <c r="G6384" s="4" t="s">
        <v>33523</v>
      </c>
      <c r="H6384" s="3" t="s">
        <v>30534</v>
      </c>
      <c r="I6384" s="3" t="s">
        <v>33524</v>
      </c>
      <c r="J6384" s="3" t="s">
        <v>33525</v>
      </c>
      <c r="K6384" s="3" t="s">
        <v>33526</v>
      </c>
      <c r="L6384" s="3" t="s">
        <v>33527</v>
      </c>
      <c r="M6384" s="4"/>
      <c r="N6384" s="3" t="s">
        <v>37</v>
      </c>
      <c r="O6384" s="3" t="s">
        <v>52</v>
      </c>
      <c r="P6384" s="5">
        <v>10</v>
      </c>
      <c r="Q6384" s="5">
        <v>64</v>
      </c>
      <c r="R6384" s="5">
        <v>10</v>
      </c>
      <c r="S6384" s="5">
        <v>72</v>
      </c>
    </row>
    <row r="6385" spans="1:19" ht="56" x14ac:dyDescent="0.15">
      <c r="A6385" s="2">
        <f>HYPERLINK("https://open-school.uspishnemisto.com.ua/school/320574/", 320574)</f>
        <v>320574</v>
      </c>
      <c r="B6385" s="3" t="s">
        <v>33528</v>
      </c>
      <c r="C6385" s="3" t="s">
        <v>54</v>
      </c>
      <c r="D6385" s="3" t="s">
        <v>32</v>
      </c>
      <c r="E6385" s="4" t="s">
        <v>22</v>
      </c>
      <c r="F6385" s="4" t="s">
        <v>33529</v>
      </c>
      <c r="G6385" s="4" t="s">
        <v>33530</v>
      </c>
      <c r="H6385" s="3" t="s">
        <v>30534</v>
      </c>
      <c r="I6385" s="3" t="s">
        <v>33531</v>
      </c>
      <c r="J6385" s="3" t="s">
        <v>33532</v>
      </c>
      <c r="K6385" s="3" t="s">
        <v>33533</v>
      </c>
      <c r="L6385" s="3"/>
      <c r="M6385" s="4"/>
      <c r="N6385" s="3" t="s">
        <v>37</v>
      </c>
      <c r="O6385" s="3" t="s">
        <v>38</v>
      </c>
      <c r="P6385" s="5">
        <v>11</v>
      </c>
      <c r="Q6385" s="5">
        <v>87</v>
      </c>
      <c r="R6385" s="5">
        <v>11</v>
      </c>
      <c r="S6385" s="5">
        <v>93</v>
      </c>
    </row>
    <row r="6386" spans="1:19" ht="42" x14ac:dyDescent="0.15">
      <c r="A6386" s="2">
        <f>HYPERLINK("https://open-school.uspishnemisto.com.ua/school/320575/", 320575)</f>
        <v>320575</v>
      </c>
      <c r="B6386" s="3" t="s">
        <v>33534</v>
      </c>
      <c r="C6386" s="3" t="s">
        <v>31</v>
      </c>
      <c r="D6386" s="3" t="s">
        <v>32</v>
      </c>
      <c r="E6386" s="4" t="s">
        <v>22</v>
      </c>
      <c r="F6386" s="4" t="s">
        <v>33535</v>
      </c>
      <c r="G6386" s="4" t="s">
        <v>33536</v>
      </c>
      <c r="H6386" s="3" t="s">
        <v>30534</v>
      </c>
      <c r="I6386" s="3" t="s">
        <v>33537</v>
      </c>
      <c r="J6386" s="3" t="s">
        <v>33538</v>
      </c>
      <c r="K6386" s="3" t="s">
        <v>33539</v>
      </c>
      <c r="L6386" s="3"/>
      <c r="M6386" s="4"/>
      <c r="N6386" s="3" t="s">
        <v>37</v>
      </c>
      <c r="O6386" s="3" t="s">
        <v>46</v>
      </c>
      <c r="P6386" s="5">
        <v>11</v>
      </c>
      <c r="Q6386" s="5">
        <v>103</v>
      </c>
      <c r="R6386" s="5">
        <v>11</v>
      </c>
      <c r="S6386" s="5">
        <v>111</v>
      </c>
    </row>
    <row r="6387" spans="1:19" ht="28" x14ac:dyDescent="0.15">
      <c r="A6387" s="2">
        <f>HYPERLINK("https://open-school.uspishnemisto.com.ua/school/320576/", 320576)</f>
        <v>320576</v>
      </c>
      <c r="B6387" s="3" t="s">
        <v>33540</v>
      </c>
      <c r="C6387" s="3" t="s">
        <v>31</v>
      </c>
      <c r="D6387" s="3" t="s">
        <v>32</v>
      </c>
      <c r="E6387" s="4" t="s">
        <v>22</v>
      </c>
      <c r="F6387" s="4" t="s">
        <v>33541</v>
      </c>
      <c r="G6387" s="4" t="s">
        <v>33542</v>
      </c>
      <c r="H6387" s="3" t="s">
        <v>30534</v>
      </c>
      <c r="I6387" s="3" t="s">
        <v>33543</v>
      </c>
      <c r="J6387" s="3"/>
      <c r="K6387" s="3" t="s">
        <v>33544</v>
      </c>
      <c r="L6387" s="3"/>
      <c r="M6387" s="4"/>
      <c r="N6387" s="3" t="s">
        <v>37</v>
      </c>
      <c r="O6387" s="3" t="s">
        <v>52</v>
      </c>
      <c r="P6387" s="5">
        <v>11</v>
      </c>
      <c r="Q6387" s="5">
        <v>220</v>
      </c>
      <c r="R6387" s="5">
        <v>11</v>
      </c>
      <c r="S6387" s="5">
        <v>203</v>
      </c>
    </row>
    <row r="6388" spans="1:19" ht="42" x14ac:dyDescent="0.15">
      <c r="A6388" s="2">
        <f>HYPERLINK("https://open-school.uspishnemisto.com.ua/school/320577/", 320577)</f>
        <v>320577</v>
      </c>
      <c r="B6388" s="3" t="s">
        <v>33545</v>
      </c>
      <c r="C6388" s="3" t="s">
        <v>54</v>
      </c>
      <c r="D6388" s="3" t="s">
        <v>32</v>
      </c>
      <c r="E6388" s="4" t="s">
        <v>22</v>
      </c>
      <c r="F6388" s="4" t="s">
        <v>33546</v>
      </c>
      <c r="G6388" s="4" t="s">
        <v>33547</v>
      </c>
      <c r="H6388" s="3" t="s">
        <v>30534</v>
      </c>
      <c r="I6388" s="3" t="s">
        <v>33548</v>
      </c>
      <c r="J6388" s="3" t="s">
        <v>33549</v>
      </c>
      <c r="K6388" s="3" t="s">
        <v>33550</v>
      </c>
      <c r="L6388" s="3"/>
      <c r="M6388" s="4"/>
      <c r="N6388" s="3" t="s">
        <v>37</v>
      </c>
      <c r="O6388" s="3" t="s">
        <v>46</v>
      </c>
      <c r="P6388" s="5">
        <v>19</v>
      </c>
      <c r="Q6388" s="5">
        <v>120</v>
      </c>
      <c r="R6388" s="5">
        <v>11</v>
      </c>
      <c r="S6388" s="5">
        <v>94</v>
      </c>
    </row>
    <row r="6389" spans="1:19" ht="42" x14ac:dyDescent="0.15">
      <c r="A6389" s="2">
        <f>HYPERLINK("https://open-school.uspishnemisto.com.ua/school/320578/", 320578)</f>
        <v>320578</v>
      </c>
      <c r="B6389" s="3" t="s">
        <v>33551</v>
      </c>
      <c r="C6389" s="3" t="s">
        <v>54</v>
      </c>
      <c r="D6389" s="3" t="s">
        <v>175</v>
      </c>
      <c r="E6389" s="4" t="s">
        <v>22</v>
      </c>
      <c r="F6389" s="4" t="s">
        <v>33552</v>
      </c>
      <c r="G6389" s="4" t="s">
        <v>33553</v>
      </c>
      <c r="H6389" s="3" t="s">
        <v>30534</v>
      </c>
      <c r="I6389" s="3" t="s">
        <v>18960</v>
      </c>
      <c r="J6389" s="3" t="s">
        <v>33554</v>
      </c>
      <c r="K6389" s="3" t="s">
        <v>33555</v>
      </c>
      <c r="L6389" s="3"/>
      <c r="M6389" s="4"/>
      <c r="N6389" s="3" t="s">
        <v>37</v>
      </c>
      <c r="O6389" s="3" t="s">
        <v>46</v>
      </c>
      <c r="P6389" s="5">
        <v>8</v>
      </c>
      <c r="Q6389" s="5">
        <v>31</v>
      </c>
      <c r="R6389" s="5">
        <v>8</v>
      </c>
      <c r="S6389" s="5">
        <v>30</v>
      </c>
    </row>
    <row r="6390" spans="1:19" ht="28" x14ac:dyDescent="0.15">
      <c r="A6390" s="2">
        <f>HYPERLINK("https://open-school.uspishnemisto.com.ua/school/320579/", 320579)</f>
        <v>320579</v>
      </c>
      <c r="B6390" s="3" t="s">
        <v>33556</v>
      </c>
      <c r="C6390" s="3" t="s">
        <v>31</v>
      </c>
      <c r="D6390" s="3" t="s">
        <v>32</v>
      </c>
      <c r="E6390" s="4" t="s">
        <v>22</v>
      </c>
      <c r="F6390" s="4" t="s">
        <v>33557</v>
      </c>
      <c r="G6390" s="4" t="s">
        <v>33558</v>
      </c>
      <c r="H6390" s="3" t="s">
        <v>30534</v>
      </c>
      <c r="I6390" s="3" t="s">
        <v>33423</v>
      </c>
      <c r="J6390" s="3" t="s">
        <v>33559</v>
      </c>
      <c r="K6390" s="3" t="s">
        <v>33560</v>
      </c>
      <c r="L6390" s="3"/>
      <c r="M6390" s="4"/>
      <c r="N6390" s="3" t="s">
        <v>37</v>
      </c>
      <c r="O6390" s="3" t="s">
        <v>46</v>
      </c>
      <c r="P6390" s="5">
        <v>11</v>
      </c>
      <c r="Q6390" s="5">
        <v>77</v>
      </c>
      <c r="R6390" s="5">
        <v>11</v>
      </c>
      <c r="S6390" s="5">
        <v>70</v>
      </c>
    </row>
    <row r="6391" spans="1:19" ht="42" x14ac:dyDescent="0.15">
      <c r="A6391" s="2">
        <f>HYPERLINK("https://open-school.uspishnemisto.com.ua/school/320581/", 320581)</f>
        <v>320581</v>
      </c>
      <c r="B6391" s="3" t="s">
        <v>33561</v>
      </c>
      <c r="C6391" s="3" t="s">
        <v>54</v>
      </c>
      <c r="D6391" s="3" t="s">
        <v>32</v>
      </c>
      <c r="E6391" s="4" t="s">
        <v>22</v>
      </c>
      <c r="F6391" s="4" t="s">
        <v>33562</v>
      </c>
      <c r="G6391" s="4" t="s">
        <v>33563</v>
      </c>
      <c r="H6391" s="3" t="s">
        <v>30534</v>
      </c>
      <c r="I6391" s="3" t="s">
        <v>33564</v>
      </c>
      <c r="J6391" s="3" t="s">
        <v>3458</v>
      </c>
      <c r="K6391" s="3"/>
      <c r="L6391" s="3"/>
      <c r="M6391" s="4"/>
      <c r="N6391" s="3" t="s">
        <v>37</v>
      </c>
      <c r="O6391" s="3" t="s">
        <v>52</v>
      </c>
      <c r="P6391" s="5">
        <v>10</v>
      </c>
      <c r="Q6391" s="5">
        <v>64</v>
      </c>
      <c r="R6391" s="5">
        <v>10</v>
      </c>
      <c r="S6391" s="5">
        <v>71</v>
      </c>
    </row>
    <row r="6392" spans="1:19" ht="28" x14ac:dyDescent="0.15">
      <c r="A6392" s="2">
        <f>HYPERLINK("https://open-school.uspishnemisto.com.ua/school/320582/", 320582)</f>
        <v>320582</v>
      </c>
      <c r="B6392" s="3" t="s">
        <v>33565</v>
      </c>
      <c r="C6392" s="3" t="s">
        <v>54</v>
      </c>
      <c r="D6392" s="3" t="s">
        <v>175</v>
      </c>
      <c r="E6392" s="4" t="s">
        <v>22</v>
      </c>
      <c r="F6392" s="4" t="s">
        <v>33566</v>
      </c>
      <c r="G6392" s="4" t="s">
        <v>33567</v>
      </c>
      <c r="H6392" s="3" t="s">
        <v>30534</v>
      </c>
      <c r="I6392" s="3" t="s">
        <v>33568</v>
      </c>
      <c r="J6392" s="3" t="s">
        <v>33569</v>
      </c>
      <c r="K6392" s="3" t="s">
        <v>33570</v>
      </c>
      <c r="L6392" s="3"/>
      <c r="M6392" s="4"/>
      <c r="N6392" s="3" t="s">
        <v>37</v>
      </c>
      <c r="O6392" s="3" t="s">
        <v>46</v>
      </c>
      <c r="P6392" s="5">
        <v>8</v>
      </c>
      <c r="Q6392" s="5">
        <v>60</v>
      </c>
      <c r="R6392" s="5">
        <v>8</v>
      </c>
      <c r="S6392" s="5">
        <v>63</v>
      </c>
    </row>
    <row r="6393" spans="1:19" ht="42" x14ac:dyDescent="0.15">
      <c r="A6393" s="2">
        <f>HYPERLINK("https://open-school.uspishnemisto.com.ua/school/320583/", 320583)</f>
        <v>320583</v>
      </c>
      <c r="B6393" s="3" t="s">
        <v>33571</v>
      </c>
      <c r="C6393" s="3" t="s">
        <v>54</v>
      </c>
      <c r="D6393" s="3" t="s">
        <v>32</v>
      </c>
      <c r="E6393" s="4" t="s">
        <v>22</v>
      </c>
      <c r="F6393" s="4" t="s">
        <v>33572</v>
      </c>
      <c r="G6393" s="4" t="s">
        <v>33573</v>
      </c>
      <c r="H6393" s="3" t="s">
        <v>30534</v>
      </c>
      <c r="I6393" s="3" t="s">
        <v>440</v>
      </c>
      <c r="J6393" s="3"/>
      <c r="K6393" s="3" t="s">
        <v>33574</v>
      </c>
      <c r="L6393" s="3"/>
      <c r="M6393" s="4"/>
      <c r="N6393" s="3" t="s">
        <v>37</v>
      </c>
      <c r="O6393" s="3" t="s">
        <v>46</v>
      </c>
      <c r="P6393" s="5">
        <v>20</v>
      </c>
      <c r="Q6393" s="5">
        <v>174</v>
      </c>
      <c r="R6393" s="5">
        <v>11</v>
      </c>
      <c r="S6393" s="5">
        <v>129</v>
      </c>
    </row>
    <row r="6394" spans="1:19" ht="42" x14ac:dyDescent="0.15">
      <c r="A6394" s="2">
        <f>HYPERLINK("https://open-school.uspishnemisto.com.ua/school/320585/", 320585)</f>
        <v>320585</v>
      </c>
      <c r="B6394" s="3" t="s">
        <v>33575</v>
      </c>
      <c r="C6394" s="3" t="s">
        <v>54</v>
      </c>
      <c r="D6394" s="3" t="s">
        <v>32</v>
      </c>
      <c r="E6394" s="4" t="s">
        <v>22</v>
      </c>
      <c r="F6394" s="4" t="s">
        <v>33576</v>
      </c>
      <c r="G6394" s="4" t="s">
        <v>33577</v>
      </c>
      <c r="H6394" s="3" t="s">
        <v>30534</v>
      </c>
      <c r="I6394" s="3" t="s">
        <v>33578</v>
      </c>
      <c r="J6394" s="3" t="s">
        <v>33579</v>
      </c>
      <c r="K6394" s="3" t="s">
        <v>33580</v>
      </c>
      <c r="L6394" s="3" t="s">
        <v>33581</v>
      </c>
      <c r="M6394" s="4"/>
      <c r="N6394" s="3" t="s">
        <v>37</v>
      </c>
      <c r="O6394" s="3" t="s">
        <v>46</v>
      </c>
      <c r="P6394" s="5">
        <v>11</v>
      </c>
      <c r="Q6394" s="5">
        <v>111</v>
      </c>
      <c r="R6394" s="5">
        <v>11</v>
      </c>
      <c r="S6394" s="5">
        <v>111</v>
      </c>
    </row>
    <row r="6395" spans="1:19" ht="42" x14ac:dyDescent="0.15">
      <c r="A6395" s="2">
        <f>HYPERLINK("https://open-school.uspishnemisto.com.ua/school/320586/", 320586)</f>
        <v>320586</v>
      </c>
      <c r="B6395" s="3" t="s">
        <v>33582</v>
      </c>
      <c r="C6395" s="3" t="s">
        <v>31</v>
      </c>
      <c r="D6395" s="3" t="s">
        <v>175</v>
      </c>
      <c r="E6395" s="4" t="s">
        <v>22</v>
      </c>
      <c r="F6395" s="4" t="s">
        <v>33583</v>
      </c>
      <c r="G6395" s="4" t="s">
        <v>33584</v>
      </c>
      <c r="H6395" s="3" t="s">
        <v>30534</v>
      </c>
      <c r="I6395" s="3" t="s">
        <v>33585</v>
      </c>
      <c r="J6395" s="3" t="s">
        <v>33586</v>
      </c>
      <c r="K6395" s="3" t="s">
        <v>33587</v>
      </c>
      <c r="L6395" s="3" t="s">
        <v>33588</v>
      </c>
      <c r="M6395" s="4"/>
      <c r="N6395" s="3" t="s">
        <v>37</v>
      </c>
      <c r="O6395" s="3" t="s">
        <v>70</v>
      </c>
      <c r="P6395" s="5">
        <v>9</v>
      </c>
      <c r="Q6395" s="5">
        <v>110</v>
      </c>
      <c r="R6395" s="5">
        <v>9</v>
      </c>
      <c r="S6395" s="5">
        <v>115</v>
      </c>
    </row>
    <row r="6396" spans="1:19" ht="42" x14ac:dyDescent="0.15">
      <c r="A6396" s="2">
        <f>HYPERLINK("https://open-school.uspishnemisto.com.ua/school/320587/", 320587)</f>
        <v>320587</v>
      </c>
      <c r="B6396" s="3" t="s">
        <v>33589</v>
      </c>
      <c r="C6396" s="3" t="s">
        <v>31</v>
      </c>
      <c r="D6396" s="3" t="s">
        <v>175</v>
      </c>
      <c r="E6396" s="4" t="s">
        <v>22</v>
      </c>
      <c r="F6396" s="4" t="s">
        <v>33590</v>
      </c>
      <c r="G6396" s="4" t="s">
        <v>33584</v>
      </c>
      <c r="H6396" s="3" t="s">
        <v>30534</v>
      </c>
      <c r="I6396" s="3" t="s">
        <v>33585</v>
      </c>
      <c r="J6396" s="3" t="s">
        <v>33591</v>
      </c>
      <c r="K6396" s="3" t="s">
        <v>33592</v>
      </c>
      <c r="L6396" s="3" t="s">
        <v>33593</v>
      </c>
      <c r="M6396" s="4"/>
      <c r="N6396" s="3" t="s">
        <v>37</v>
      </c>
      <c r="O6396" s="3" t="s">
        <v>46</v>
      </c>
      <c r="P6396" s="5">
        <v>9</v>
      </c>
      <c r="Q6396" s="5">
        <v>125</v>
      </c>
      <c r="R6396" s="5">
        <v>9</v>
      </c>
      <c r="S6396" s="5">
        <v>128</v>
      </c>
    </row>
    <row r="6397" spans="1:19" ht="28" x14ac:dyDescent="0.15">
      <c r="A6397" s="2">
        <f>HYPERLINK("https://open-school.uspishnemisto.com.ua/school/320588/", 320588)</f>
        <v>320588</v>
      </c>
      <c r="B6397" s="3" t="s">
        <v>33594</v>
      </c>
      <c r="C6397" s="3" t="s">
        <v>31</v>
      </c>
      <c r="D6397" s="3" t="s">
        <v>32</v>
      </c>
      <c r="E6397" s="4" t="s">
        <v>22</v>
      </c>
      <c r="F6397" s="4" t="s">
        <v>33583</v>
      </c>
      <c r="G6397" s="4" t="s">
        <v>33584</v>
      </c>
      <c r="H6397" s="3" t="s">
        <v>30534</v>
      </c>
      <c r="I6397" s="3" t="s">
        <v>33585</v>
      </c>
      <c r="J6397" s="3" t="s">
        <v>33595</v>
      </c>
      <c r="K6397" s="3" t="s">
        <v>33596</v>
      </c>
      <c r="L6397" s="3"/>
      <c r="M6397" s="4"/>
      <c r="N6397" s="3" t="s">
        <v>37</v>
      </c>
      <c r="O6397" s="3" t="s">
        <v>46</v>
      </c>
      <c r="P6397" s="5">
        <v>11</v>
      </c>
      <c r="Q6397" s="5">
        <v>219</v>
      </c>
      <c r="R6397" s="5">
        <v>11</v>
      </c>
      <c r="S6397" s="5">
        <v>223</v>
      </c>
    </row>
    <row r="6398" spans="1:19" ht="42" x14ac:dyDescent="0.15">
      <c r="A6398" s="2">
        <f>HYPERLINK("https://open-school.uspishnemisto.com.ua/school/320589/", 320589)</f>
        <v>320589</v>
      </c>
      <c r="B6398" s="3" t="s">
        <v>33597</v>
      </c>
      <c r="C6398" s="3" t="s">
        <v>31</v>
      </c>
      <c r="D6398" s="3" t="s">
        <v>32</v>
      </c>
      <c r="E6398" s="4" t="s">
        <v>22</v>
      </c>
      <c r="F6398" s="4" t="s">
        <v>33583</v>
      </c>
      <c r="G6398" s="4" t="s">
        <v>33584</v>
      </c>
      <c r="H6398" s="3" t="s">
        <v>30534</v>
      </c>
      <c r="I6398" s="3" t="s">
        <v>33585</v>
      </c>
      <c r="J6398" s="3" t="s">
        <v>33598</v>
      </c>
      <c r="K6398" s="3" t="s">
        <v>33599</v>
      </c>
      <c r="L6398" s="3"/>
      <c r="M6398" s="4"/>
      <c r="N6398" s="3" t="s">
        <v>37</v>
      </c>
      <c r="O6398" s="3" t="s">
        <v>46</v>
      </c>
      <c r="P6398" s="5">
        <v>19</v>
      </c>
      <c r="Q6398" s="5">
        <v>402</v>
      </c>
      <c r="R6398" s="5">
        <v>19</v>
      </c>
      <c r="S6398" s="5">
        <v>381</v>
      </c>
    </row>
    <row r="6399" spans="1:19" ht="42" x14ac:dyDescent="0.15">
      <c r="A6399" s="2">
        <f>HYPERLINK("https://open-school.uspishnemisto.com.ua/school/320590/", 320590)</f>
        <v>320590</v>
      </c>
      <c r="B6399" s="3" t="s">
        <v>33600</v>
      </c>
      <c r="C6399" s="3" t="s">
        <v>31</v>
      </c>
      <c r="D6399" s="3" t="s">
        <v>32</v>
      </c>
      <c r="E6399" s="4" t="s">
        <v>22</v>
      </c>
      <c r="F6399" s="4" t="s">
        <v>33583</v>
      </c>
      <c r="G6399" s="4" t="s">
        <v>33584</v>
      </c>
      <c r="H6399" s="3" t="s">
        <v>30534</v>
      </c>
      <c r="I6399" s="3" t="s">
        <v>33585</v>
      </c>
      <c r="J6399" s="3" t="s">
        <v>33601</v>
      </c>
      <c r="K6399" s="3" t="s">
        <v>33602</v>
      </c>
      <c r="L6399" s="3"/>
      <c r="M6399" s="4"/>
      <c r="N6399" s="3" t="s">
        <v>37</v>
      </c>
      <c r="O6399" s="3" t="s">
        <v>38</v>
      </c>
      <c r="P6399" s="5">
        <v>20</v>
      </c>
      <c r="Q6399" s="5">
        <v>455</v>
      </c>
      <c r="R6399" s="5">
        <v>19</v>
      </c>
      <c r="S6399" s="5">
        <v>432</v>
      </c>
    </row>
    <row r="6400" spans="1:19" ht="28" x14ac:dyDescent="0.15">
      <c r="A6400" s="2">
        <f>HYPERLINK("https://open-school.uspishnemisto.com.ua/school/320591/", 320591)</f>
        <v>320591</v>
      </c>
      <c r="B6400" s="3" t="s">
        <v>33603</v>
      </c>
      <c r="C6400" s="3" t="s">
        <v>188</v>
      </c>
      <c r="D6400" s="3" t="s">
        <v>32</v>
      </c>
      <c r="E6400" s="4" t="s">
        <v>22</v>
      </c>
      <c r="F6400" s="4" t="s">
        <v>33583</v>
      </c>
      <c r="G6400" s="4" t="s">
        <v>33584</v>
      </c>
      <c r="H6400" s="3" t="s">
        <v>30534</v>
      </c>
      <c r="I6400" s="3" t="s">
        <v>33585</v>
      </c>
      <c r="J6400" s="3" t="s">
        <v>33598</v>
      </c>
      <c r="K6400" s="3" t="s">
        <v>33604</v>
      </c>
      <c r="L6400" s="3"/>
      <c r="M6400" s="4"/>
      <c r="N6400" s="3" t="s">
        <v>37</v>
      </c>
      <c r="O6400" s="3" t="s">
        <v>46</v>
      </c>
      <c r="P6400" s="5">
        <v>4</v>
      </c>
      <c r="Q6400" s="5">
        <v>79</v>
      </c>
      <c r="R6400" s="5">
        <v>4</v>
      </c>
      <c r="S6400" s="5">
        <v>79</v>
      </c>
    </row>
    <row r="6401" spans="1:19" ht="42" x14ac:dyDescent="0.15">
      <c r="A6401" s="2">
        <f>HYPERLINK("https://open-school.uspishnemisto.com.ua/school/320592/", 320592)</f>
        <v>320592</v>
      </c>
      <c r="B6401" s="3" t="s">
        <v>33605</v>
      </c>
      <c r="C6401" s="3" t="s">
        <v>31</v>
      </c>
      <c r="D6401" s="3" t="s">
        <v>32</v>
      </c>
      <c r="E6401" s="4" t="s">
        <v>22</v>
      </c>
      <c r="F6401" s="4" t="s">
        <v>33606</v>
      </c>
      <c r="G6401" s="4" t="s">
        <v>33607</v>
      </c>
      <c r="H6401" s="3" t="s">
        <v>30534</v>
      </c>
      <c r="I6401" s="3" t="s">
        <v>33608</v>
      </c>
      <c r="J6401" s="3" t="s">
        <v>2465</v>
      </c>
      <c r="K6401" s="3" t="s">
        <v>33609</v>
      </c>
      <c r="L6401" s="3" t="s">
        <v>33610</v>
      </c>
      <c r="M6401" s="4"/>
      <c r="N6401" s="3" t="s">
        <v>37</v>
      </c>
      <c r="O6401" s="3" t="s">
        <v>38</v>
      </c>
      <c r="P6401" s="5">
        <v>10</v>
      </c>
      <c r="Q6401" s="5">
        <v>168</v>
      </c>
      <c r="R6401" s="5">
        <v>11</v>
      </c>
      <c r="S6401" s="5">
        <v>181</v>
      </c>
    </row>
    <row r="6402" spans="1:19" ht="28" x14ac:dyDescent="0.15">
      <c r="A6402" s="2">
        <f>HYPERLINK("https://open-school.uspishnemisto.com.ua/school/320593/", 320593)</f>
        <v>320593</v>
      </c>
      <c r="B6402" s="3" t="s">
        <v>33611</v>
      </c>
      <c r="C6402" s="3" t="s">
        <v>54</v>
      </c>
      <c r="D6402" s="3" t="s">
        <v>32</v>
      </c>
      <c r="E6402" s="4" t="s">
        <v>22</v>
      </c>
      <c r="F6402" s="4" t="s">
        <v>33612</v>
      </c>
      <c r="G6402" s="4" t="s">
        <v>33613</v>
      </c>
      <c r="H6402" s="3" t="s">
        <v>30534</v>
      </c>
      <c r="I6402" s="3" t="s">
        <v>33614</v>
      </c>
      <c r="J6402" s="3" t="s">
        <v>2757</v>
      </c>
      <c r="K6402" s="3" t="s">
        <v>33615</v>
      </c>
      <c r="L6402" s="3" t="s">
        <v>33616</v>
      </c>
      <c r="M6402" s="4"/>
      <c r="N6402" s="3" t="s">
        <v>37</v>
      </c>
      <c r="O6402" s="3" t="s">
        <v>38</v>
      </c>
      <c r="P6402" s="5">
        <v>11</v>
      </c>
      <c r="Q6402" s="5">
        <v>76</v>
      </c>
      <c r="R6402" s="5">
        <v>11</v>
      </c>
      <c r="S6402" s="5">
        <v>77</v>
      </c>
    </row>
    <row r="6403" spans="1:19" ht="28" x14ac:dyDescent="0.15">
      <c r="A6403" s="2">
        <f>HYPERLINK("https://open-school.uspishnemisto.com.ua/school/320594/", 320594)</f>
        <v>320594</v>
      </c>
      <c r="B6403" s="3" t="s">
        <v>33617</v>
      </c>
      <c r="C6403" s="3" t="s">
        <v>54</v>
      </c>
      <c r="D6403" s="3" t="s">
        <v>175</v>
      </c>
      <c r="E6403" s="4" t="s">
        <v>22</v>
      </c>
      <c r="F6403" s="4" t="s">
        <v>33618</v>
      </c>
      <c r="G6403" s="4" t="s">
        <v>33619</v>
      </c>
      <c r="H6403" s="3" t="s">
        <v>30534</v>
      </c>
      <c r="I6403" s="3" t="s">
        <v>33620</v>
      </c>
      <c r="J6403" s="3" t="s">
        <v>33621</v>
      </c>
      <c r="K6403" s="3" t="s">
        <v>33622</v>
      </c>
      <c r="L6403" s="3" t="s">
        <v>33623</v>
      </c>
      <c r="M6403" s="4"/>
      <c r="N6403" s="3" t="s">
        <v>37</v>
      </c>
      <c r="O6403" s="3" t="s">
        <v>38</v>
      </c>
      <c r="P6403" s="5">
        <v>7</v>
      </c>
      <c r="Q6403" s="5">
        <v>44</v>
      </c>
      <c r="R6403" s="5">
        <v>8</v>
      </c>
      <c r="S6403" s="5">
        <v>60</v>
      </c>
    </row>
    <row r="6404" spans="1:19" ht="42" x14ac:dyDescent="0.15">
      <c r="A6404" s="2">
        <f>HYPERLINK("https://open-school.uspishnemisto.com.ua/school/320595/", 320595)</f>
        <v>320595</v>
      </c>
      <c r="B6404" s="3" t="s">
        <v>33624</v>
      </c>
      <c r="C6404" s="3" t="s">
        <v>31</v>
      </c>
      <c r="D6404" s="3" t="s">
        <v>32</v>
      </c>
      <c r="E6404" s="4" t="s">
        <v>22</v>
      </c>
      <c r="F6404" s="4" t="s">
        <v>33625</v>
      </c>
      <c r="G6404" s="4" t="s">
        <v>33626</v>
      </c>
      <c r="H6404" s="3" t="s">
        <v>30534</v>
      </c>
      <c r="I6404" s="3" t="s">
        <v>33627</v>
      </c>
      <c r="J6404" s="3" t="s">
        <v>1417</v>
      </c>
      <c r="K6404" s="3" t="s">
        <v>33628</v>
      </c>
      <c r="L6404" s="3" t="s">
        <v>33629</v>
      </c>
      <c r="M6404" s="4"/>
      <c r="N6404" s="3" t="s">
        <v>37</v>
      </c>
      <c r="O6404" s="3" t="s">
        <v>70</v>
      </c>
      <c r="P6404" s="5">
        <v>11</v>
      </c>
      <c r="Q6404" s="5">
        <v>164</v>
      </c>
      <c r="R6404" s="5">
        <v>11</v>
      </c>
      <c r="S6404" s="5">
        <v>167</v>
      </c>
    </row>
    <row r="6405" spans="1:19" ht="42" x14ac:dyDescent="0.15">
      <c r="A6405" s="2">
        <f>HYPERLINK("https://open-school.uspishnemisto.com.ua/school/320596/", 320596)</f>
        <v>320596</v>
      </c>
      <c r="B6405" s="3" t="s">
        <v>33630</v>
      </c>
      <c r="C6405" s="3" t="s">
        <v>31</v>
      </c>
      <c r="D6405" s="3" t="s">
        <v>32</v>
      </c>
      <c r="E6405" s="4" t="s">
        <v>22</v>
      </c>
      <c r="F6405" s="4" t="s">
        <v>33631</v>
      </c>
      <c r="G6405" s="4" t="s">
        <v>33632</v>
      </c>
      <c r="H6405" s="3" t="s">
        <v>30534</v>
      </c>
      <c r="I6405" s="3" t="s">
        <v>33633</v>
      </c>
      <c r="J6405" s="3" t="s">
        <v>13496</v>
      </c>
      <c r="K6405" s="3" t="s">
        <v>33634</v>
      </c>
      <c r="L6405" s="3" t="s">
        <v>33635</v>
      </c>
      <c r="M6405" s="4"/>
      <c r="N6405" s="3" t="s">
        <v>37</v>
      </c>
      <c r="O6405" s="3" t="s">
        <v>52</v>
      </c>
      <c r="P6405" s="5">
        <v>14</v>
      </c>
      <c r="Q6405" s="5">
        <v>252</v>
      </c>
      <c r="R6405" s="5">
        <v>15</v>
      </c>
      <c r="S6405" s="5">
        <v>268</v>
      </c>
    </row>
    <row r="6406" spans="1:19" ht="42" x14ac:dyDescent="0.15">
      <c r="A6406" s="2">
        <f>HYPERLINK("https://open-school.uspishnemisto.com.ua/school/320597/", 320597)</f>
        <v>320597</v>
      </c>
      <c r="B6406" s="3" t="s">
        <v>33636</v>
      </c>
      <c r="C6406" s="3" t="s">
        <v>31</v>
      </c>
      <c r="D6406" s="3" t="s">
        <v>32</v>
      </c>
      <c r="E6406" s="4" t="s">
        <v>22</v>
      </c>
      <c r="F6406" s="4" t="s">
        <v>33637</v>
      </c>
      <c r="G6406" s="4" t="s">
        <v>33638</v>
      </c>
      <c r="H6406" s="3" t="s">
        <v>30534</v>
      </c>
      <c r="I6406" s="3" t="s">
        <v>33639</v>
      </c>
      <c r="J6406" s="3" t="s">
        <v>33640</v>
      </c>
      <c r="K6406" s="3" t="s">
        <v>33641</v>
      </c>
      <c r="L6406" s="3" t="s">
        <v>33642</v>
      </c>
      <c r="M6406" s="4"/>
      <c r="N6406" s="3" t="s">
        <v>37</v>
      </c>
      <c r="O6406" s="3" t="s">
        <v>46</v>
      </c>
      <c r="P6406" s="5">
        <v>11</v>
      </c>
      <c r="Q6406" s="5">
        <v>167</v>
      </c>
      <c r="R6406" s="5">
        <v>11</v>
      </c>
      <c r="S6406" s="5">
        <v>167</v>
      </c>
    </row>
    <row r="6407" spans="1:19" ht="42" x14ac:dyDescent="0.15">
      <c r="A6407" s="2">
        <f>HYPERLINK("https://open-school.uspishnemisto.com.ua/school/320598/", 320598)</f>
        <v>320598</v>
      </c>
      <c r="B6407" s="3" t="s">
        <v>33643</v>
      </c>
      <c r="C6407" s="3" t="s">
        <v>31</v>
      </c>
      <c r="D6407" s="3" t="s">
        <v>32</v>
      </c>
      <c r="E6407" s="4" t="s">
        <v>22</v>
      </c>
      <c r="F6407" s="4" t="s">
        <v>33644</v>
      </c>
      <c r="G6407" s="4" t="s">
        <v>33645</v>
      </c>
      <c r="H6407" s="3" t="s">
        <v>30534</v>
      </c>
      <c r="I6407" s="3" t="s">
        <v>33646</v>
      </c>
      <c r="J6407" s="3" t="s">
        <v>466</v>
      </c>
      <c r="K6407" s="3" t="s">
        <v>33647</v>
      </c>
      <c r="L6407" s="3" t="s">
        <v>33648</v>
      </c>
      <c r="M6407" s="4"/>
      <c r="N6407" s="3" t="s">
        <v>37</v>
      </c>
      <c r="O6407" s="3" t="s">
        <v>52</v>
      </c>
      <c r="P6407" s="5">
        <v>11</v>
      </c>
      <c r="Q6407" s="5">
        <v>177</v>
      </c>
      <c r="R6407" s="5">
        <v>11</v>
      </c>
      <c r="S6407" s="5">
        <v>188</v>
      </c>
    </row>
    <row r="6408" spans="1:19" ht="28" x14ac:dyDescent="0.15">
      <c r="A6408" s="2">
        <f>HYPERLINK("https://open-school.uspishnemisto.com.ua/school/320599/", 320599)</f>
        <v>320599</v>
      </c>
      <c r="B6408" s="3" t="s">
        <v>33649</v>
      </c>
      <c r="C6408" s="3" t="s">
        <v>54</v>
      </c>
      <c r="D6408" s="3" t="s">
        <v>175</v>
      </c>
      <c r="E6408" s="4" t="s">
        <v>253</v>
      </c>
      <c r="F6408" s="4" t="s">
        <v>33650</v>
      </c>
      <c r="G6408" s="4" t="s">
        <v>33651</v>
      </c>
      <c r="H6408" s="3" t="s">
        <v>30534</v>
      </c>
      <c r="I6408" s="3" t="s">
        <v>3676</v>
      </c>
      <c r="J6408" s="3" t="s">
        <v>12112</v>
      </c>
      <c r="K6408" s="3" t="s">
        <v>33652</v>
      </c>
      <c r="L6408" s="3" t="s">
        <v>33653</v>
      </c>
      <c r="M6408" s="4"/>
      <c r="N6408" s="3" t="s">
        <v>37</v>
      </c>
      <c r="O6408" s="3" t="s">
        <v>38</v>
      </c>
      <c r="P6408" s="5">
        <v>8</v>
      </c>
      <c r="Q6408" s="5">
        <v>73</v>
      </c>
      <c r="R6408" s="5">
        <v>8</v>
      </c>
      <c r="S6408" s="5">
        <v>63</v>
      </c>
    </row>
    <row r="6409" spans="1:19" ht="56" x14ac:dyDescent="0.15">
      <c r="A6409" s="2">
        <f>HYPERLINK("https://open-school.uspishnemisto.com.ua/school/320600/", 320600)</f>
        <v>320600</v>
      </c>
      <c r="B6409" s="3" t="s">
        <v>33654</v>
      </c>
      <c r="C6409" s="3" t="s">
        <v>54</v>
      </c>
      <c r="D6409" s="3" t="s">
        <v>32</v>
      </c>
      <c r="E6409" s="4" t="s">
        <v>22</v>
      </c>
      <c r="F6409" s="4" t="s">
        <v>33655</v>
      </c>
      <c r="G6409" s="4" t="s">
        <v>33656</v>
      </c>
      <c r="H6409" s="3" t="s">
        <v>30534</v>
      </c>
      <c r="I6409" s="3" t="s">
        <v>33657</v>
      </c>
      <c r="J6409" s="3" t="s">
        <v>33658</v>
      </c>
      <c r="K6409" s="3" t="s">
        <v>33659</v>
      </c>
      <c r="L6409" s="3"/>
      <c r="M6409" s="4"/>
      <c r="N6409" s="3" t="s">
        <v>37</v>
      </c>
      <c r="O6409" s="3" t="s">
        <v>52</v>
      </c>
      <c r="P6409" s="5">
        <v>20</v>
      </c>
      <c r="Q6409" s="5">
        <v>307</v>
      </c>
      <c r="R6409" s="5">
        <v>19</v>
      </c>
      <c r="S6409" s="5">
        <v>300</v>
      </c>
    </row>
    <row r="6410" spans="1:19" ht="28" x14ac:dyDescent="0.15">
      <c r="A6410" s="2">
        <f>HYPERLINK("https://open-school.uspishnemisto.com.ua/school/320601/", 320601)</f>
        <v>320601</v>
      </c>
      <c r="B6410" s="3" t="s">
        <v>33660</v>
      </c>
      <c r="C6410" s="3" t="s">
        <v>54</v>
      </c>
      <c r="D6410" s="3" t="s">
        <v>32</v>
      </c>
      <c r="E6410" s="4" t="s">
        <v>22</v>
      </c>
      <c r="F6410" s="4" t="s">
        <v>33661</v>
      </c>
      <c r="G6410" s="4" t="s">
        <v>33662</v>
      </c>
      <c r="H6410" s="3" t="s">
        <v>30534</v>
      </c>
      <c r="I6410" s="3" t="s">
        <v>33663</v>
      </c>
      <c r="J6410" s="3" t="s">
        <v>12674</v>
      </c>
      <c r="K6410" s="3" t="s">
        <v>33664</v>
      </c>
      <c r="L6410" s="3" t="s">
        <v>33665</v>
      </c>
      <c r="M6410" s="4"/>
      <c r="N6410" s="3" t="s">
        <v>37</v>
      </c>
      <c r="O6410" s="3" t="s">
        <v>52</v>
      </c>
      <c r="P6410" s="5">
        <v>11</v>
      </c>
      <c r="Q6410" s="5">
        <v>79</v>
      </c>
      <c r="R6410" s="5">
        <v>10</v>
      </c>
      <c r="S6410" s="5">
        <v>71</v>
      </c>
    </row>
    <row r="6411" spans="1:19" ht="56" x14ac:dyDescent="0.15">
      <c r="A6411" s="2">
        <f>HYPERLINK("https://open-school.uspishnemisto.com.ua/school/320602/", 320602)</f>
        <v>320602</v>
      </c>
      <c r="B6411" s="3" t="s">
        <v>33666</v>
      </c>
      <c r="C6411" s="3" t="s">
        <v>54</v>
      </c>
      <c r="D6411" s="3" t="s">
        <v>175</v>
      </c>
      <c r="E6411" s="4" t="s">
        <v>22</v>
      </c>
      <c r="F6411" s="4" t="s">
        <v>33667</v>
      </c>
      <c r="G6411" s="4" t="s">
        <v>33668</v>
      </c>
      <c r="H6411" s="3" t="s">
        <v>30534</v>
      </c>
      <c r="I6411" s="3" t="s">
        <v>33669</v>
      </c>
      <c r="J6411" s="3" t="s">
        <v>7905</v>
      </c>
      <c r="K6411" s="3" t="s">
        <v>33670</v>
      </c>
      <c r="L6411" s="3" t="s">
        <v>33671</v>
      </c>
      <c r="M6411" s="4"/>
      <c r="N6411" s="3" t="s">
        <v>37</v>
      </c>
      <c r="O6411" s="3" t="s">
        <v>46</v>
      </c>
      <c r="P6411" s="5">
        <v>9</v>
      </c>
      <c r="Q6411" s="5">
        <v>139</v>
      </c>
      <c r="R6411" s="5">
        <v>9</v>
      </c>
      <c r="S6411" s="5">
        <v>134</v>
      </c>
    </row>
    <row r="6412" spans="1:19" ht="42" x14ac:dyDescent="0.15">
      <c r="A6412" s="2">
        <f>HYPERLINK("https://open-school.uspishnemisto.com.ua/school/320603/", 320603)</f>
        <v>320603</v>
      </c>
      <c r="B6412" s="3" t="s">
        <v>33672</v>
      </c>
      <c r="C6412" s="3" t="s">
        <v>54</v>
      </c>
      <c r="D6412" s="3" t="s">
        <v>32</v>
      </c>
      <c r="E6412" s="4" t="s">
        <v>22</v>
      </c>
      <c r="F6412" s="4" t="s">
        <v>33673</v>
      </c>
      <c r="G6412" s="4" t="s">
        <v>33674</v>
      </c>
      <c r="H6412" s="3" t="s">
        <v>30534</v>
      </c>
      <c r="I6412" s="3" t="s">
        <v>33675</v>
      </c>
      <c r="J6412" s="3" t="s">
        <v>33676</v>
      </c>
      <c r="K6412" s="3" t="s">
        <v>33677</v>
      </c>
      <c r="L6412" s="3" t="s">
        <v>33678</v>
      </c>
      <c r="M6412" s="4"/>
      <c r="N6412" s="3" t="s">
        <v>37</v>
      </c>
      <c r="O6412" s="3" t="s">
        <v>52</v>
      </c>
      <c r="P6412" s="5">
        <v>15</v>
      </c>
      <c r="Q6412" s="5">
        <v>323</v>
      </c>
      <c r="R6412" s="5">
        <v>14</v>
      </c>
      <c r="S6412" s="5">
        <v>286</v>
      </c>
    </row>
    <row r="6413" spans="1:19" ht="28" x14ac:dyDescent="0.15">
      <c r="A6413" s="2">
        <f>HYPERLINK("https://open-school.uspishnemisto.com.ua/school/320604/", 320604)</f>
        <v>320604</v>
      </c>
      <c r="B6413" s="3" t="s">
        <v>33679</v>
      </c>
      <c r="C6413" s="3" t="s">
        <v>31</v>
      </c>
      <c r="D6413" s="3" t="s">
        <v>32</v>
      </c>
      <c r="E6413" s="4" t="s">
        <v>22</v>
      </c>
      <c r="F6413" s="4" t="s">
        <v>33673</v>
      </c>
      <c r="G6413" s="4" t="s">
        <v>33674</v>
      </c>
      <c r="H6413" s="3" t="s">
        <v>30534</v>
      </c>
      <c r="I6413" s="3" t="s">
        <v>33675</v>
      </c>
      <c r="J6413" s="3" t="s">
        <v>33680</v>
      </c>
      <c r="K6413" s="3" t="s">
        <v>33681</v>
      </c>
      <c r="L6413" s="3" t="s">
        <v>33682</v>
      </c>
      <c r="M6413" s="4"/>
      <c r="N6413" s="3" t="s">
        <v>37</v>
      </c>
      <c r="O6413" s="3" t="s">
        <v>52</v>
      </c>
      <c r="P6413" s="5">
        <v>28</v>
      </c>
      <c r="Q6413" s="5">
        <v>590</v>
      </c>
      <c r="R6413" s="5">
        <v>28</v>
      </c>
      <c r="S6413" s="5">
        <v>601</v>
      </c>
    </row>
    <row r="6414" spans="1:19" ht="42" x14ac:dyDescent="0.15">
      <c r="A6414" s="2">
        <f>HYPERLINK("https://open-school.uspishnemisto.com.ua/school/320605/", 320605)</f>
        <v>320605</v>
      </c>
      <c r="B6414" s="3" t="s">
        <v>33683</v>
      </c>
      <c r="C6414" s="3" t="s">
        <v>54</v>
      </c>
      <c r="D6414" s="3" t="s">
        <v>32</v>
      </c>
      <c r="E6414" s="4" t="s">
        <v>22</v>
      </c>
      <c r="F6414" s="4" t="s">
        <v>33673</v>
      </c>
      <c r="G6414" s="4" t="s">
        <v>33674</v>
      </c>
      <c r="H6414" s="3" t="s">
        <v>30534</v>
      </c>
      <c r="I6414" s="3" t="s">
        <v>33675</v>
      </c>
      <c r="J6414" s="3" t="s">
        <v>33684</v>
      </c>
      <c r="K6414" s="3" t="s">
        <v>33685</v>
      </c>
      <c r="L6414" s="3"/>
      <c r="M6414" s="4"/>
      <c r="N6414" s="3" t="s">
        <v>37</v>
      </c>
      <c r="O6414" s="3" t="s">
        <v>46</v>
      </c>
      <c r="P6414" s="5">
        <v>9</v>
      </c>
      <c r="Q6414" s="5">
        <v>96</v>
      </c>
      <c r="R6414" s="5">
        <v>10</v>
      </c>
      <c r="S6414" s="5">
        <v>96</v>
      </c>
    </row>
    <row r="6415" spans="1:19" ht="28" x14ac:dyDescent="0.15">
      <c r="A6415" s="2">
        <f>HYPERLINK("https://open-school.uspishnemisto.com.ua/school/320606/", 320606)</f>
        <v>320606</v>
      </c>
      <c r="B6415" s="3" t="s">
        <v>33686</v>
      </c>
      <c r="C6415" s="3" t="s">
        <v>31</v>
      </c>
      <c r="D6415" s="3" t="s">
        <v>32</v>
      </c>
      <c r="E6415" s="4" t="s">
        <v>22</v>
      </c>
      <c r="F6415" s="4" t="s">
        <v>33673</v>
      </c>
      <c r="G6415" s="4" t="s">
        <v>33674</v>
      </c>
      <c r="H6415" s="3" t="s">
        <v>30534</v>
      </c>
      <c r="I6415" s="3" t="s">
        <v>33675</v>
      </c>
      <c r="J6415" s="3" t="s">
        <v>33687</v>
      </c>
      <c r="K6415" s="3" t="s">
        <v>33688</v>
      </c>
      <c r="L6415" s="3" t="s">
        <v>33689</v>
      </c>
      <c r="M6415" s="4"/>
      <c r="N6415" s="3" t="s">
        <v>37</v>
      </c>
      <c r="O6415" s="3" t="s">
        <v>38</v>
      </c>
      <c r="P6415" s="5">
        <v>12</v>
      </c>
      <c r="Q6415" s="5">
        <v>220</v>
      </c>
      <c r="R6415" s="5">
        <v>13</v>
      </c>
      <c r="S6415" s="5">
        <v>246</v>
      </c>
    </row>
    <row r="6416" spans="1:19" ht="42" x14ac:dyDescent="0.15">
      <c r="A6416" s="2">
        <f>HYPERLINK("https://open-school.uspishnemisto.com.ua/school/320607/", 320607)</f>
        <v>320607</v>
      </c>
      <c r="B6416" s="3" t="s">
        <v>33690</v>
      </c>
      <c r="C6416" s="3" t="s">
        <v>31</v>
      </c>
      <c r="D6416" s="3" t="s">
        <v>32</v>
      </c>
      <c r="E6416" s="4" t="s">
        <v>22</v>
      </c>
      <c r="F6416" s="4" t="s">
        <v>33673</v>
      </c>
      <c r="G6416" s="4" t="s">
        <v>33674</v>
      </c>
      <c r="H6416" s="3" t="s">
        <v>30534</v>
      </c>
      <c r="I6416" s="3" t="s">
        <v>33675</v>
      </c>
      <c r="J6416" s="3" t="s">
        <v>21445</v>
      </c>
      <c r="K6416" s="3" t="s">
        <v>33691</v>
      </c>
      <c r="L6416" s="3" t="s">
        <v>33692</v>
      </c>
      <c r="M6416" s="4"/>
      <c r="N6416" s="3" t="s">
        <v>37</v>
      </c>
      <c r="O6416" s="3" t="s">
        <v>52</v>
      </c>
      <c r="P6416" s="5">
        <v>21</v>
      </c>
      <c r="Q6416" s="5">
        <v>430</v>
      </c>
      <c r="R6416" s="5">
        <v>20</v>
      </c>
      <c r="S6416" s="5">
        <v>440</v>
      </c>
    </row>
    <row r="6417" spans="1:19" ht="42" x14ac:dyDescent="0.15">
      <c r="A6417" s="2">
        <f>HYPERLINK("https://open-school.uspishnemisto.com.ua/school/320608/", 320608)</f>
        <v>320608</v>
      </c>
      <c r="B6417" s="3" t="s">
        <v>33693</v>
      </c>
      <c r="C6417" s="3" t="s">
        <v>54</v>
      </c>
      <c r="D6417" s="3" t="s">
        <v>32</v>
      </c>
      <c r="E6417" s="4" t="s">
        <v>22</v>
      </c>
      <c r="F6417" s="4" t="s">
        <v>33673</v>
      </c>
      <c r="G6417" s="4" t="s">
        <v>33674</v>
      </c>
      <c r="H6417" s="3" t="s">
        <v>30534</v>
      </c>
      <c r="I6417" s="3" t="s">
        <v>33675</v>
      </c>
      <c r="J6417" s="3" t="s">
        <v>33694</v>
      </c>
      <c r="K6417" s="3" t="s">
        <v>33695</v>
      </c>
      <c r="L6417" s="3"/>
      <c r="M6417" s="4"/>
      <c r="N6417" s="3" t="s">
        <v>37</v>
      </c>
      <c r="O6417" s="3" t="s">
        <v>70</v>
      </c>
      <c r="P6417" s="5">
        <v>11</v>
      </c>
      <c r="Q6417" s="5">
        <v>218</v>
      </c>
      <c r="R6417" s="5">
        <v>11</v>
      </c>
      <c r="S6417" s="5">
        <v>205</v>
      </c>
    </row>
    <row r="6418" spans="1:19" ht="42" x14ac:dyDescent="0.15">
      <c r="A6418" s="2">
        <f>HYPERLINK("https://open-school.uspishnemisto.com.ua/school/320609/", 320609)</f>
        <v>320609</v>
      </c>
      <c r="B6418" s="3" t="s">
        <v>33696</v>
      </c>
      <c r="C6418" s="3" t="s">
        <v>54</v>
      </c>
      <c r="D6418" s="3" t="s">
        <v>32</v>
      </c>
      <c r="E6418" s="4" t="s">
        <v>22</v>
      </c>
      <c r="F6418" s="4" t="s">
        <v>33697</v>
      </c>
      <c r="G6418" s="4" t="s">
        <v>33698</v>
      </c>
      <c r="H6418" s="3" t="s">
        <v>30534</v>
      </c>
      <c r="I6418" s="3" t="s">
        <v>33699</v>
      </c>
      <c r="J6418" s="3" t="s">
        <v>13277</v>
      </c>
      <c r="K6418" s="3" t="s">
        <v>33700</v>
      </c>
      <c r="L6418" s="3"/>
      <c r="M6418" s="4"/>
      <c r="N6418" s="3" t="s">
        <v>37</v>
      </c>
      <c r="O6418" s="3" t="s">
        <v>38</v>
      </c>
      <c r="P6418" s="5">
        <v>9</v>
      </c>
      <c r="Q6418" s="5">
        <v>51</v>
      </c>
      <c r="R6418" s="5">
        <v>9</v>
      </c>
      <c r="S6418" s="5">
        <v>58</v>
      </c>
    </row>
    <row r="6419" spans="1:19" ht="42" x14ac:dyDescent="0.15">
      <c r="A6419" s="2">
        <f>HYPERLINK("https://open-school.uspishnemisto.com.ua/school/320610/", 320610)</f>
        <v>320610</v>
      </c>
      <c r="B6419" s="3" t="s">
        <v>33701</v>
      </c>
      <c r="C6419" s="3" t="s">
        <v>54</v>
      </c>
      <c r="D6419" s="3" t="s">
        <v>32</v>
      </c>
      <c r="E6419" s="4" t="s">
        <v>22</v>
      </c>
      <c r="F6419" s="4" t="s">
        <v>33702</v>
      </c>
      <c r="G6419" s="4" t="s">
        <v>33703</v>
      </c>
      <c r="H6419" s="3" t="s">
        <v>30534</v>
      </c>
      <c r="I6419" s="3" t="s">
        <v>33704</v>
      </c>
      <c r="J6419" s="3" t="s">
        <v>18291</v>
      </c>
      <c r="K6419" s="3" t="s">
        <v>33705</v>
      </c>
      <c r="L6419" s="3" t="s">
        <v>33706</v>
      </c>
      <c r="M6419" s="4"/>
      <c r="N6419" s="3" t="s">
        <v>37</v>
      </c>
      <c r="O6419" s="3" t="s">
        <v>38</v>
      </c>
      <c r="P6419" s="5">
        <v>11</v>
      </c>
      <c r="Q6419" s="5">
        <v>87</v>
      </c>
      <c r="R6419" s="5">
        <v>11</v>
      </c>
      <c r="S6419" s="5">
        <v>90</v>
      </c>
    </row>
    <row r="6420" spans="1:19" ht="28" x14ac:dyDescent="0.15">
      <c r="A6420" s="2">
        <f>HYPERLINK("https://open-school.uspishnemisto.com.ua/school/320611/", 320611)</f>
        <v>320611</v>
      </c>
      <c r="B6420" s="3" t="s">
        <v>33707</v>
      </c>
      <c r="C6420" s="3" t="s">
        <v>54</v>
      </c>
      <c r="D6420" s="3" t="s">
        <v>32</v>
      </c>
      <c r="E6420" s="4" t="s">
        <v>22</v>
      </c>
      <c r="F6420" s="4" t="s">
        <v>33708</v>
      </c>
      <c r="G6420" s="4" t="s">
        <v>33709</v>
      </c>
      <c r="H6420" s="3" t="s">
        <v>30534</v>
      </c>
      <c r="I6420" s="3" t="s">
        <v>33710</v>
      </c>
      <c r="J6420" s="3" t="s">
        <v>3620</v>
      </c>
      <c r="K6420" s="3" t="s">
        <v>33711</v>
      </c>
      <c r="L6420" s="3"/>
      <c r="M6420" s="4"/>
      <c r="N6420" s="3" t="s">
        <v>37</v>
      </c>
      <c r="O6420" s="3" t="s">
        <v>38</v>
      </c>
      <c r="P6420" s="5">
        <v>11</v>
      </c>
      <c r="Q6420" s="5">
        <v>145</v>
      </c>
      <c r="R6420" s="5">
        <v>11</v>
      </c>
      <c r="S6420" s="5">
        <v>148</v>
      </c>
    </row>
    <row r="6421" spans="1:19" ht="42" x14ac:dyDescent="0.15">
      <c r="A6421" s="2">
        <f>HYPERLINK("https://open-school.uspishnemisto.com.ua/school/320612/", 320612)</f>
        <v>320612</v>
      </c>
      <c r="B6421" s="3" t="s">
        <v>33712</v>
      </c>
      <c r="C6421" s="3" t="s">
        <v>181</v>
      </c>
      <c r="D6421" s="3" t="s">
        <v>175</v>
      </c>
      <c r="E6421" s="4" t="s">
        <v>22</v>
      </c>
      <c r="F6421" s="4" t="s">
        <v>33708</v>
      </c>
      <c r="G6421" s="4" t="s">
        <v>33709</v>
      </c>
      <c r="H6421" s="3" t="s">
        <v>30534</v>
      </c>
      <c r="I6421" s="3" t="s">
        <v>33710</v>
      </c>
      <c r="J6421" s="3" t="s">
        <v>3620</v>
      </c>
      <c r="K6421" s="3"/>
      <c r="L6421" s="3"/>
      <c r="M6421" s="4" t="s">
        <v>33713</v>
      </c>
      <c r="N6421" s="3" t="s">
        <v>37</v>
      </c>
      <c r="O6421" s="3" t="s">
        <v>52</v>
      </c>
      <c r="P6421" s="5">
        <v>9</v>
      </c>
      <c r="Q6421" s="5">
        <v>70</v>
      </c>
      <c r="R6421" s="5">
        <v>10</v>
      </c>
      <c r="S6421" s="5">
        <v>66</v>
      </c>
    </row>
    <row r="6422" spans="1:19" ht="42" x14ac:dyDescent="0.15">
      <c r="A6422" s="2">
        <f>HYPERLINK("https://open-school.uspishnemisto.com.ua/school/320613/", 320613)</f>
        <v>320613</v>
      </c>
      <c r="B6422" s="3" t="s">
        <v>33714</v>
      </c>
      <c r="C6422" s="3" t="s">
        <v>54</v>
      </c>
      <c r="D6422" s="3" t="s">
        <v>32</v>
      </c>
      <c r="E6422" s="4" t="s">
        <v>22</v>
      </c>
      <c r="F6422" s="4" t="s">
        <v>33715</v>
      </c>
      <c r="G6422" s="4" t="s">
        <v>33716</v>
      </c>
      <c r="H6422" s="3" t="s">
        <v>30534</v>
      </c>
      <c r="I6422" s="3" t="s">
        <v>33717</v>
      </c>
      <c r="J6422" s="3" t="s">
        <v>2561</v>
      </c>
      <c r="K6422" s="3" t="s">
        <v>33718</v>
      </c>
      <c r="L6422" s="3"/>
      <c r="M6422" s="4"/>
      <c r="N6422" s="3" t="s">
        <v>37</v>
      </c>
      <c r="O6422" s="3" t="s">
        <v>38</v>
      </c>
      <c r="P6422" s="5">
        <v>11</v>
      </c>
      <c r="Q6422" s="5">
        <v>116</v>
      </c>
      <c r="R6422" s="5">
        <v>11</v>
      </c>
      <c r="S6422" s="5">
        <v>108</v>
      </c>
    </row>
    <row r="6423" spans="1:19" ht="42" x14ac:dyDescent="0.15">
      <c r="A6423" s="2">
        <f>HYPERLINK("https://open-school.uspishnemisto.com.ua/school/320614/", 320614)</f>
        <v>320614</v>
      </c>
      <c r="B6423" s="3" t="s">
        <v>33719</v>
      </c>
      <c r="C6423" s="3" t="s">
        <v>54</v>
      </c>
      <c r="D6423" s="3" t="s">
        <v>32</v>
      </c>
      <c r="E6423" s="4" t="s">
        <v>22</v>
      </c>
      <c r="F6423" s="4" t="s">
        <v>33720</v>
      </c>
      <c r="G6423" s="4" t="s">
        <v>33721</v>
      </c>
      <c r="H6423" s="3" t="s">
        <v>30534</v>
      </c>
      <c r="I6423" s="3" t="s">
        <v>33722</v>
      </c>
      <c r="J6423" s="3" t="s">
        <v>466</v>
      </c>
      <c r="K6423" s="3" t="s">
        <v>33723</v>
      </c>
      <c r="L6423" s="3"/>
      <c r="M6423" s="4"/>
      <c r="N6423" s="3" t="s">
        <v>37</v>
      </c>
      <c r="O6423" s="3" t="s">
        <v>70</v>
      </c>
      <c r="P6423" s="5">
        <v>11</v>
      </c>
      <c r="Q6423" s="5">
        <v>100</v>
      </c>
      <c r="R6423" s="5">
        <v>11</v>
      </c>
      <c r="S6423" s="5">
        <v>105</v>
      </c>
    </row>
    <row r="6424" spans="1:19" ht="28" x14ac:dyDescent="0.15">
      <c r="A6424" s="2">
        <f>HYPERLINK("https://open-school.uspishnemisto.com.ua/school/320615/", 320615)</f>
        <v>320615</v>
      </c>
      <c r="B6424" s="3" t="s">
        <v>33724</v>
      </c>
      <c r="C6424" s="3" t="s">
        <v>54</v>
      </c>
      <c r="D6424" s="3" t="s">
        <v>175</v>
      </c>
      <c r="E6424" s="4" t="s">
        <v>22</v>
      </c>
      <c r="F6424" s="4" t="s">
        <v>33725</v>
      </c>
      <c r="G6424" s="4" t="s">
        <v>33726</v>
      </c>
      <c r="H6424" s="3" t="s">
        <v>30534</v>
      </c>
      <c r="I6424" s="3" t="s">
        <v>33727</v>
      </c>
      <c r="J6424" s="3" t="s">
        <v>6042</v>
      </c>
      <c r="K6424" s="3" t="s">
        <v>33728</v>
      </c>
      <c r="L6424" s="3" t="s">
        <v>33729</v>
      </c>
      <c r="M6424" s="4"/>
      <c r="N6424" s="3" t="s">
        <v>37</v>
      </c>
      <c r="O6424" s="3" t="s">
        <v>52</v>
      </c>
      <c r="P6424" s="5">
        <v>6</v>
      </c>
      <c r="Q6424" s="5">
        <v>34</v>
      </c>
      <c r="R6424" s="5">
        <v>6</v>
      </c>
      <c r="S6424" s="5">
        <v>34</v>
      </c>
    </row>
    <row r="6425" spans="1:19" ht="56" x14ac:dyDescent="0.15">
      <c r="A6425" s="2">
        <f>HYPERLINK("https://open-school.uspishnemisto.com.ua/school/320616/", 320616)</f>
        <v>320616</v>
      </c>
      <c r="B6425" s="3" t="s">
        <v>33730</v>
      </c>
      <c r="C6425" s="3" t="s">
        <v>54</v>
      </c>
      <c r="D6425" s="3" t="s">
        <v>32</v>
      </c>
      <c r="E6425" s="4" t="s">
        <v>22</v>
      </c>
      <c r="F6425" s="4" t="s">
        <v>33731</v>
      </c>
      <c r="G6425" s="4" t="s">
        <v>33732</v>
      </c>
      <c r="H6425" s="3" t="s">
        <v>30534</v>
      </c>
      <c r="I6425" s="3" t="s">
        <v>33733</v>
      </c>
      <c r="J6425" s="3" t="s">
        <v>466</v>
      </c>
      <c r="K6425" s="3" t="s">
        <v>33734</v>
      </c>
      <c r="L6425" s="3"/>
      <c r="M6425" s="4"/>
      <c r="N6425" s="3" t="s">
        <v>37</v>
      </c>
      <c r="O6425" s="3" t="s">
        <v>38</v>
      </c>
      <c r="P6425" s="5">
        <v>11</v>
      </c>
      <c r="Q6425" s="5">
        <v>96</v>
      </c>
      <c r="R6425" s="5">
        <v>11</v>
      </c>
      <c r="S6425" s="5">
        <v>90</v>
      </c>
    </row>
    <row r="6426" spans="1:19" ht="42" x14ac:dyDescent="0.15">
      <c r="A6426" s="2">
        <f>HYPERLINK("https://open-school.uspishnemisto.com.ua/school/320617/", 320617)</f>
        <v>320617</v>
      </c>
      <c r="B6426" s="3" t="s">
        <v>33735</v>
      </c>
      <c r="C6426" s="3" t="s">
        <v>54</v>
      </c>
      <c r="D6426" s="3" t="s">
        <v>175</v>
      </c>
      <c r="E6426" s="4" t="s">
        <v>22</v>
      </c>
      <c r="F6426" s="4" t="s">
        <v>33736</v>
      </c>
      <c r="G6426" s="4" t="s">
        <v>33737</v>
      </c>
      <c r="H6426" s="3" t="s">
        <v>30534</v>
      </c>
      <c r="I6426" s="3" t="s">
        <v>33738</v>
      </c>
      <c r="J6426" s="3" t="s">
        <v>2417</v>
      </c>
      <c r="K6426" s="3" t="s">
        <v>33739</v>
      </c>
      <c r="L6426" s="3" t="s">
        <v>33740</v>
      </c>
      <c r="M6426" s="4"/>
      <c r="N6426" s="3" t="s">
        <v>37</v>
      </c>
      <c r="O6426" s="3" t="s">
        <v>52</v>
      </c>
      <c r="P6426" s="5">
        <v>8</v>
      </c>
      <c r="Q6426" s="5">
        <v>63</v>
      </c>
      <c r="R6426" s="5">
        <v>7</v>
      </c>
      <c r="S6426" s="5">
        <v>53</v>
      </c>
    </row>
    <row r="6427" spans="1:19" ht="42" x14ac:dyDescent="0.15">
      <c r="A6427" s="2">
        <f>HYPERLINK("https://open-school.uspishnemisto.com.ua/school/320618/", 320618)</f>
        <v>320618</v>
      </c>
      <c r="B6427" s="3" t="s">
        <v>33741</v>
      </c>
      <c r="C6427" s="3" t="s">
        <v>54</v>
      </c>
      <c r="D6427" s="3" t="s">
        <v>32</v>
      </c>
      <c r="E6427" s="4" t="s">
        <v>22</v>
      </c>
      <c r="F6427" s="4" t="s">
        <v>33742</v>
      </c>
      <c r="G6427" s="4" t="s">
        <v>33743</v>
      </c>
      <c r="H6427" s="3" t="s">
        <v>30534</v>
      </c>
      <c r="I6427" s="3" t="s">
        <v>33744</v>
      </c>
      <c r="J6427" s="3" t="s">
        <v>2372</v>
      </c>
      <c r="K6427" s="3" t="s">
        <v>33745</v>
      </c>
      <c r="L6427" s="3"/>
      <c r="M6427" s="4"/>
      <c r="N6427" s="3" t="s">
        <v>37</v>
      </c>
      <c r="O6427" s="3" t="s">
        <v>38</v>
      </c>
      <c r="P6427" s="5">
        <v>9</v>
      </c>
      <c r="Q6427" s="5">
        <v>71</v>
      </c>
      <c r="R6427" s="5">
        <v>9</v>
      </c>
      <c r="S6427" s="5">
        <v>70</v>
      </c>
    </row>
    <row r="6428" spans="1:19" ht="28" x14ac:dyDescent="0.15">
      <c r="A6428" s="2">
        <f>HYPERLINK("https://open-school.uspishnemisto.com.ua/school/320619/", 320619)</f>
        <v>320619</v>
      </c>
      <c r="B6428" s="3" t="s">
        <v>33746</v>
      </c>
      <c r="C6428" s="3" t="s">
        <v>31</v>
      </c>
      <c r="D6428" s="3" t="s">
        <v>32</v>
      </c>
      <c r="E6428" s="4" t="s">
        <v>22</v>
      </c>
      <c r="F6428" s="4" t="s">
        <v>33747</v>
      </c>
      <c r="G6428" s="4" t="s">
        <v>33748</v>
      </c>
      <c r="H6428" s="3" t="s">
        <v>30534</v>
      </c>
      <c r="I6428" s="3" t="s">
        <v>33749</v>
      </c>
      <c r="J6428" s="3" t="s">
        <v>33750</v>
      </c>
      <c r="K6428" s="3" t="s">
        <v>33751</v>
      </c>
      <c r="L6428" s="3" t="s">
        <v>33752</v>
      </c>
      <c r="M6428" s="4"/>
      <c r="N6428" s="3" t="s">
        <v>37</v>
      </c>
      <c r="O6428" s="3" t="s">
        <v>38</v>
      </c>
      <c r="P6428" s="5">
        <v>10</v>
      </c>
      <c r="Q6428" s="5">
        <v>136</v>
      </c>
      <c r="R6428" s="5">
        <v>10</v>
      </c>
      <c r="S6428" s="5">
        <v>126</v>
      </c>
    </row>
    <row r="6429" spans="1:19" ht="42" x14ac:dyDescent="0.15">
      <c r="A6429" s="2">
        <f>HYPERLINK("https://open-school.uspishnemisto.com.ua/school/320620/", 320620)</f>
        <v>320620</v>
      </c>
      <c r="B6429" s="3" t="s">
        <v>33753</v>
      </c>
      <c r="C6429" s="3" t="s">
        <v>54</v>
      </c>
      <c r="D6429" s="3" t="s">
        <v>32</v>
      </c>
      <c r="E6429" s="4" t="s">
        <v>22</v>
      </c>
      <c r="F6429" s="4" t="s">
        <v>33754</v>
      </c>
      <c r="G6429" s="4" t="s">
        <v>33755</v>
      </c>
      <c r="H6429" s="3" t="s">
        <v>30534</v>
      </c>
      <c r="I6429" s="3" t="s">
        <v>33756</v>
      </c>
      <c r="J6429" s="3" t="s">
        <v>817</v>
      </c>
      <c r="K6429" s="3" t="s">
        <v>33757</v>
      </c>
      <c r="L6429" s="3" t="s">
        <v>33758</v>
      </c>
      <c r="M6429" s="4"/>
      <c r="N6429" s="3" t="s">
        <v>37</v>
      </c>
      <c r="O6429" s="3" t="s">
        <v>2740</v>
      </c>
      <c r="P6429" s="5">
        <v>10</v>
      </c>
      <c r="Q6429" s="5">
        <v>90</v>
      </c>
      <c r="R6429" s="5">
        <v>10</v>
      </c>
      <c r="S6429" s="5">
        <v>97</v>
      </c>
    </row>
    <row r="6430" spans="1:19" ht="28" x14ac:dyDescent="0.15">
      <c r="A6430" s="2">
        <f>HYPERLINK("https://open-school.uspishnemisto.com.ua/school/320621/", 320621)</f>
        <v>320621</v>
      </c>
      <c r="B6430" s="3" t="s">
        <v>33759</v>
      </c>
      <c r="C6430" s="3" t="s">
        <v>54</v>
      </c>
      <c r="D6430" s="3" t="s">
        <v>175</v>
      </c>
      <c r="E6430" s="4" t="s">
        <v>22</v>
      </c>
      <c r="F6430" s="4" t="s">
        <v>33760</v>
      </c>
      <c r="G6430" s="4" t="s">
        <v>33761</v>
      </c>
      <c r="H6430" s="3" t="s">
        <v>30534</v>
      </c>
      <c r="I6430" s="3" t="s">
        <v>3999</v>
      </c>
      <c r="J6430" s="3" t="s">
        <v>10830</v>
      </c>
      <c r="K6430" s="3" t="s">
        <v>33762</v>
      </c>
      <c r="L6430" s="3"/>
      <c r="M6430" s="4"/>
      <c r="N6430" s="3" t="s">
        <v>37</v>
      </c>
      <c r="O6430" s="3" t="s">
        <v>38</v>
      </c>
      <c r="P6430" s="5">
        <v>4</v>
      </c>
      <c r="Q6430" s="5">
        <v>35</v>
      </c>
      <c r="R6430" s="5">
        <v>5</v>
      </c>
      <c r="S6430" s="5">
        <v>35</v>
      </c>
    </row>
    <row r="6431" spans="1:19" ht="28" x14ac:dyDescent="0.15">
      <c r="A6431" s="2">
        <f>HYPERLINK("https://open-school.uspishnemisto.com.ua/school/320622/", 320622)</f>
        <v>320622</v>
      </c>
      <c r="B6431" s="3" t="s">
        <v>33763</v>
      </c>
      <c r="C6431" s="3" t="s">
        <v>31</v>
      </c>
      <c r="D6431" s="3" t="s">
        <v>32</v>
      </c>
      <c r="E6431" s="4" t="s">
        <v>22</v>
      </c>
      <c r="F6431" s="4" t="s">
        <v>33764</v>
      </c>
      <c r="G6431" s="4" t="s">
        <v>33765</v>
      </c>
      <c r="H6431" s="3" t="s">
        <v>30534</v>
      </c>
      <c r="I6431" s="3" t="s">
        <v>1769</v>
      </c>
      <c r="J6431" s="3" t="s">
        <v>726</v>
      </c>
      <c r="K6431" s="3" t="s">
        <v>33766</v>
      </c>
      <c r="L6431" s="3"/>
      <c r="M6431" s="4"/>
      <c r="N6431" s="3" t="s">
        <v>37</v>
      </c>
      <c r="O6431" s="3" t="s">
        <v>38</v>
      </c>
      <c r="P6431" s="5">
        <v>11</v>
      </c>
      <c r="Q6431" s="5">
        <v>143</v>
      </c>
      <c r="R6431" s="5">
        <v>11</v>
      </c>
      <c r="S6431" s="5">
        <v>156</v>
      </c>
    </row>
    <row r="6432" spans="1:19" ht="42" x14ac:dyDescent="0.15">
      <c r="A6432" s="2">
        <f>HYPERLINK("https://open-school.uspishnemisto.com.ua/school/320623/", 320623)</f>
        <v>320623</v>
      </c>
      <c r="B6432" s="3" t="s">
        <v>33767</v>
      </c>
      <c r="C6432" s="3" t="s">
        <v>54</v>
      </c>
      <c r="D6432" s="3" t="s">
        <v>175</v>
      </c>
      <c r="E6432" s="4" t="s">
        <v>22</v>
      </c>
      <c r="F6432" s="4" t="s">
        <v>33768</v>
      </c>
      <c r="G6432" s="4" t="s">
        <v>33769</v>
      </c>
      <c r="H6432" s="3" t="s">
        <v>30534</v>
      </c>
      <c r="I6432" s="3" t="s">
        <v>33770</v>
      </c>
      <c r="J6432" s="3" t="s">
        <v>466</v>
      </c>
      <c r="K6432" s="3" t="s">
        <v>33771</v>
      </c>
      <c r="L6432" s="3" t="s">
        <v>33772</v>
      </c>
      <c r="M6432" s="4"/>
      <c r="N6432" s="3" t="s">
        <v>37</v>
      </c>
      <c r="O6432" s="3" t="s">
        <v>52</v>
      </c>
      <c r="P6432" s="5">
        <v>7</v>
      </c>
      <c r="Q6432" s="5">
        <v>44</v>
      </c>
      <c r="R6432" s="5">
        <v>8</v>
      </c>
      <c r="S6432" s="5">
        <v>49</v>
      </c>
    </row>
    <row r="6433" spans="1:19" ht="42" x14ac:dyDescent="0.15">
      <c r="A6433" s="2">
        <f>HYPERLINK("https://open-school.uspishnemisto.com.ua/school/320624/", 320624)</f>
        <v>320624</v>
      </c>
      <c r="B6433" s="3" t="s">
        <v>33773</v>
      </c>
      <c r="C6433" s="3" t="s">
        <v>54</v>
      </c>
      <c r="D6433" s="3" t="s">
        <v>175</v>
      </c>
      <c r="E6433" s="4" t="s">
        <v>22</v>
      </c>
      <c r="F6433" s="4" t="s">
        <v>33774</v>
      </c>
      <c r="G6433" s="4" t="s">
        <v>33775</v>
      </c>
      <c r="H6433" s="3" t="s">
        <v>30534</v>
      </c>
      <c r="I6433" s="3" t="s">
        <v>33776</v>
      </c>
      <c r="J6433" s="3" t="s">
        <v>2745</v>
      </c>
      <c r="K6433" s="3" t="s">
        <v>33777</v>
      </c>
      <c r="L6433" s="3" t="s">
        <v>33778</v>
      </c>
      <c r="M6433" s="4"/>
      <c r="N6433" s="3" t="s">
        <v>37</v>
      </c>
      <c r="O6433" s="3" t="s">
        <v>38</v>
      </c>
      <c r="P6433" s="5">
        <v>6</v>
      </c>
      <c r="Q6433" s="5">
        <v>45</v>
      </c>
      <c r="R6433" s="5">
        <v>6</v>
      </c>
      <c r="S6433" s="5">
        <v>42</v>
      </c>
    </row>
    <row r="6434" spans="1:19" ht="56" x14ac:dyDescent="0.15">
      <c r="A6434" s="2">
        <f>HYPERLINK("https://open-school.uspishnemisto.com.ua/school/320625/", 320625)</f>
        <v>320625</v>
      </c>
      <c r="B6434" s="3" t="s">
        <v>33779</v>
      </c>
      <c r="C6434" s="3" t="s">
        <v>54</v>
      </c>
      <c r="D6434" s="3" t="s">
        <v>32</v>
      </c>
      <c r="E6434" s="4" t="s">
        <v>22</v>
      </c>
      <c r="F6434" s="4" t="s">
        <v>33780</v>
      </c>
      <c r="G6434" s="4" t="s">
        <v>33781</v>
      </c>
      <c r="H6434" s="3" t="s">
        <v>30534</v>
      </c>
      <c r="I6434" s="3" t="s">
        <v>33782</v>
      </c>
      <c r="J6434" s="3" t="s">
        <v>946</v>
      </c>
      <c r="K6434" s="3" t="s">
        <v>33783</v>
      </c>
      <c r="L6434" s="3"/>
      <c r="M6434" s="4"/>
      <c r="N6434" s="3" t="s">
        <v>37</v>
      </c>
      <c r="O6434" s="3" t="s">
        <v>38</v>
      </c>
      <c r="P6434" s="5">
        <v>21</v>
      </c>
      <c r="Q6434" s="5">
        <v>300</v>
      </c>
      <c r="R6434" s="5">
        <v>21</v>
      </c>
      <c r="S6434" s="5">
        <v>304</v>
      </c>
    </row>
    <row r="6435" spans="1:19" ht="42" x14ac:dyDescent="0.15">
      <c r="A6435" s="2">
        <f>HYPERLINK("https://open-school.uspishnemisto.com.ua/school/320626/", 320626)</f>
        <v>320626</v>
      </c>
      <c r="B6435" s="3" t="s">
        <v>33784</v>
      </c>
      <c r="C6435" s="3" t="s">
        <v>54</v>
      </c>
      <c r="D6435" s="3" t="s">
        <v>175</v>
      </c>
      <c r="E6435" s="4" t="s">
        <v>22</v>
      </c>
      <c r="F6435" s="4" t="s">
        <v>33785</v>
      </c>
      <c r="G6435" s="4" t="s">
        <v>33786</v>
      </c>
      <c r="H6435" s="3" t="s">
        <v>30534</v>
      </c>
      <c r="I6435" s="3" t="s">
        <v>33787</v>
      </c>
      <c r="J6435" s="3" t="s">
        <v>13277</v>
      </c>
      <c r="K6435" s="3" t="s">
        <v>33788</v>
      </c>
      <c r="L6435" s="3"/>
      <c r="M6435" s="4"/>
      <c r="N6435" s="3" t="s">
        <v>37</v>
      </c>
      <c r="O6435" s="3" t="s">
        <v>112</v>
      </c>
      <c r="P6435" s="5">
        <v>5</v>
      </c>
      <c r="Q6435" s="5">
        <v>30</v>
      </c>
      <c r="R6435" s="5">
        <v>2</v>
      </c>
      <c r="S6435" s="5">
        <v>26</v>
      </c>
    </row>
    <row r="6436" spans="1:19" ht="56" x14ac:dyDescent="0.15">
      <c r="A6436" s="2">
        <f>HYPERLINK("https://open-school.uspishnemisto.com.ua/school/320627/", 320627)</f>
        <v>320627</v>
      </c>
      <c r="B6436" s="3" t="s">
        <v>33789</v>
      </c>
      <c r="C6436" s="3" t="s">
        <v>54</v>
      </c>
      <c r="D6436" s="3" t="s">
        <v>32</v>
      </c>
      <c r="E6436" s="4" t="s">
        <v>22</v>
      </c>
      <c r="F6436" s="4" t="s">
        <v>33790</v>
      </c>
      <c r="G6436" s="4" t="s">
        <v>33791</v>
      </c>
      <c r="H6436" s="3" t="s">
        <v>30534</v>
      </c>
      <c r="I6436" s="3" t="s">
        <v>17169</v>
      </c>
      <c r="J6436" s="3" t="s">
        <v>33792</v>
      </c>
      <c r="K6436" s="3" t="s">
        <v>33793</v>
      </c>
      <c r="L6436" s="3" t="s">
        <v>33794</v>
      </c>
      <c r="M6436" s="4"/>
      <c r="N6436" s="3" t="s">
        <v>37</v>
      </c>
      <c r="O6436" s="3" t="s">
        <v>46</v>
      </c>
      <c r="P6436" s="5">
        <v>23</v>
      </c>
      <c r="Q6436" s="5">
        <v>462</v>
      </c>
      <c r="R6436" s="5">
        <v>22</v>
      </c>
      <c r="S6436" s="5">
        <v>479</v>
      </c>
    </row>
    <row r="6437" spans="1:19" ht="42" x14ac:dyDescent="0.15">
      <c r="A6437" s="2">
        <f>HYPERLINK("https://open-school.uspishnemisto.com.ua/school/320628/", 320628)</f>
        <v>320628</v>
      </c>
      <c r="B6437" s="3" t="s">
        <v>33795</v>
      </c>
      <c r="C6437" s="3" t="s">
        <v>54</v>
      </c>
      <c r="D6437" s="3" t="s">
        <v>32</v>
      </c>
      <c r="E6437" s="4" t="s">
        <v>22</v>
      </c>
      <c r="F6437" s="4" t="s">
        <v>33790</v>
      </c>
      <c r="G6437" s="4" t="s">
        <v>33791</v>
      </c>
      <c r="H6437" s="3" t="s">
        <v>30534</v>
      </c>
      <c r="I6437" s="3" t="s">
        <v>17169</v>
      </c>
      <c r="J6437" s="3" t="s">
        <v>33796</v>
      </c>
      <c r="K6437" s="3" t="s">
        <v>33797</v>
      </c>
      <c r="L6437" s="3" t="s">
        <v>33798</v>
      </c>
      <c r="M6437" s="4"/>
      <c r="N6437" s="3" t="s">
        <v>37</v>
      </c>
      <c r="O6437" s="3" t="s">
        <v>46</v>
      </c>
      <c r="P6437" s="5">
        <v>22</v>
      </c>
      <c r="Q6437" s="5">
        <v>452</v>
      </c>
      <c r="R6437" s="5">
        <v>22</v>
      </c>
      <c r="S6437" s="5">
        <v>442</v>
      </c>
    </row>
    <row r="6438" spans="1:19" ht="42" x14ac:dyDescent="0.15">
      <c r="A6438" s="2">
        <f>HYPERLINK("https://open-school.uspishnemisto.com.ua/school/320629/", 320629)</f>
        <v>320629</v>
      </c>
      <c r="B6438" s="3" t="s">
        <v>33799</v>
      </c>
      <c r="C6438" s="3" t="s">
        <v>54</v>
      </c>
      <c r="D6438" s="3" t="s">
        <v>60</v>
      </c>
      <c r="E6438" s="4" t="s">
        <v>22</v>
      </c>
      <c r="F6438" s="4" t="s">
        <v>33800</v>
      </c>
      <c r="G6438" s="4" t="s">
        <v>33801</v>
      </c>
      <c r="H6438" s="3" t="s">
        <v>30534</v>
      </c>
      <c r="I6438" s="3" t="s">
        <v>3481</v>
      </c>
      <c r="J6438" s="3" t="s">
        <v>1857</v>
      </c>
      <c r="K6438" s="3" t="s">
        <v>33802</v>
      </c>
      <c r="L6438" s="3"/>
      <c r="M6438" s="4"/>
      <c r="N6438" s="3" t="s">
        <v>37</v>
      </c>
      <c r="O6438" s="3" t="s">
        <v>52</v>
      </c>
      <c r="P6438" s="5">
        <v>1</v>
      </c>
      <c r="Q6438" s="5">
        <v>10</v>
      </c>
      <c r="R6438" s="5">
        <v>1</v>
      </c>
      <c r="S6438" s="5">
        <v>11</v>
      </c>
    </row>
    <row r="6439" spans="1:19" ht="42" x14ac:dyDescent="0.15">
      <c r="A6439" s="2">
        <f>HYPERLINK("https://open-school.uspishnemisto.com.ua/school/320630/", 320630)</f>
        <v>320630</v>
      </c>
      <c r="B6439" s="3" t="s">
        <v>33803</v>
      </c>
      <c r="C6439" s="3" t="s">
        <v>54</v>
      </c>
      <c r="D6439" s="3" t="s">
        <v>32</v>
      </c>
      <c r="E6439" s="4" t="s">
        <v>22</v>
      </c>
      <c r="F6439" s="4" t="s">
        <v>33804</v>
      </c>
      <c r="G6439" s="4" t="s">
        <v>33805</v>
      </c>
      <c r="H6439" s="3" t="s">
        <v>30534</v>
      </c>
      <c r="I6439" s="3" t="s">
        <v>33806</v>
      </c>
      <c r="J6439" s="3" t="s">
        <v>17440</v>
      </c>
      <c r="K6439" s="3" t="s">
        <v>33807</v>
      </c>
      <c r="L6439" s="3"/>
      <c r="M6439" s="4"/>
      <c r="N6439" s="3" t="s">
        <v>37</v>
      </c>
      <c r="O6439" s="3" t="s">
        <v>52</v>
      </c>
      <c r="P6439" s="5">
        <v>11</v>
      </c>
      <c r="Q6439" s="5">
        <v>85</v>
      </c>
      <c r="R6439" s="5">
        <v>11</v>
      </c>
      <c r="S6439" s="5">
        <v>91</v>
      </c>
    </row>
    <row r="6440" spans="1:19" ht="42" x14ac:dyDescent="0.15">
      <c r="A6440" s="2">
        <f>HYPERLINK("https://open-school.uspishnemisto.com.ua/school/320631/", 320631)</f>
        <v>320631</v>
      </c>
      <c r="B6440" s="3" t="s">
        <v>33808</v>
      </c>
      <c r="C6440" s="3" t="s">
        <v>54</v>
      </c>
      <c r="D6440" s="3" t="s">
        <v>175</v>
      </c>
      <c r="E6440" s="4" t="s">
        <v>22</v>
      </c>
      <c r="F6440" s="4" t="s">
        <v>33809</v>
      </c>
      <c r="G6440" s="4" t="s">
        <v>33810</v>
      </c>
      <c r="H6440" s="3" t="s">
        <v>30534</v>
      </c>
      <c r="I6440" s="3" t="s">
        <v>33811</v>
      </c>
      <c r="J6440" s="3" t="s">
        <v>5108</v>
      </c>
      <c r="K6440" s="3" t="s">
        <v>33812</v>
      </c>
      <c r="L6440" s="3"/>
      <c r="M6440" s="4"/>
      <c r="N6440" s="3" t="s">
        <v>37</v>
      </c>
      <c r="O6440" s="3" t="s">
        <v>52</v>
      </c>
      <c r="P6440" s="5">
        <v>6</v>
      </c>
      <c r="Q6440" s="5">
        <v>35</v>
      </c>
      <c r="R6440" s="5">
        <v>4</v>
      </c>
      <c r="S6440" s="5">
        <v>35</v>
      </c>
    </row>
    <row r="6441" spans="1:19" ht="28" x14ac:dyDescent="0.15">
      <c r="A6441" s="2">
        <f>HYPERLINK("https://open-school.uspishnemisto.com.ua/school/320632/", 320632)</f>
        <v>320632</v>
      </c>
      <c r="B6441" s="3" t="s">
        <v>33813</v>
      </c>
      <c r="C6441" s="3" t="s">
        <v>31</v>
      </c>
      <c r="D6441" s="3" t="s">
        <v>175</v>
      </c>
      <c r="E6441" s="4" t="s">
        <v>22</v>
      </c>
      <c r="F6441" s="4" t="s">
        <v>33814</v>
      </c>
      <c r="G6441" s="4" t="s">
        <v>33815</v>
      </c>
      <c r="H6441" s="3" t="s">
        <v>30534</v>
      </c>
      <c r="I6441" s="3" t="s">
        <v>33816</v>
      </c>
      <c r="J6441" s="3" t="s">
        <v>33817</v>
      </c>
      <c r="K6441" s="3" t="s">
        <v>33818</v>
      </c>
      <c r="L6441" s="3" t="s">
        <v>33819</v>
      </c>
      <c r="M6441" s="4"/>
      <c r="N6441" s="3" t="s">
        <v>37</v>
      </c>
      <c r="O6441" s="3" t="s">
        <v>52</v>
      </c>
      <c r="P6441" s="5">
        <v>5</v>
      </c>
      <c r="Q6441" s="5">
        <v>37</v>
      </c>
      <c r="R6441" s="5">
        <v>5</v>
      </c>
      <c r="S6441" s="5">
        <v>39</v>
      </c>
    </row>
    <row r="6442" spans="1:19" ht="42" x14ac:dyDescent="0.15">
      <c r="A6442" s="2">
        <f>HYPERLINK("https://open-school.uspishnemisto.com.ua/school/320633/", 320633)</f>
        <v>320633</v>
      </c>
      <c r="B6442" s="3" t="s">
        <v>33820</v>
      </c>
      <c r="C6442" s="3" t="s">
        <v>54</v>
      </c>
      <c r="D6442" s="3" t="s">
        <v>175</v>
      </c>
      <c r="E6442" s="4" t="s">
        <v>22</v>
      </c>
      <c r="F6442" s="4" t="s">
        <v>33821</v>
      </c>
      <c r="G6442" s="4" t="s">
        <v>33822</v>
      </c>
      <c r="H6442" s="3" t="s">
        <v>30534</v>
      </c>
      <c r="I6442" s="3" t="s">
        <v>33823</v>
      </c>
      <c r="J6442" s="3" t="s">
        <v>532</v>
      </c>
      <c r="K6442" s="3" t="s">
        <v>33824</v>
      </c>
      <c r="L6442" s="3" t="s">
        <v>33825</v>
      </c>
      <c r="M6442" s="4"/>
      <c r="N6442" s="3" t="s">
        <v>37</v>
      </c>
      <c r="O6442" s="3" t="s">
        <v>52</v>
      </c>
      <c r="P6442" s="5">
        <v>9</v>
      </c>
      <c r="Q6442" s="5">
        <v>77</v>
      </c>
      <c r="R6442" s="5">
        <v>9</v>
      </c>
      <c r="S6442" s="5">
        <v>69</v>
      </c>
    </row>
    <row r="6443" spans="1:19" ht="28" x14ac:dyDescent="0.15">
      <c r="A6443" s="2">
        <f>HYPERLINK("https://open-school.uspishnemisto.com.ua/school/320634/", 320634)</f>
        <v>320634</v>
      </c>
      <c r="B6443" s="3" t="s">
        <v>33826</v>
      </c>
      <c r="C6443" s="3" t="s">
        <v>31</v>
      </c>
      <c r="D6443" s="3" t="s">
        <v>32</v>
      </c>
      <c r="E6443" s="4" t="s">
        <v>22</v>
      </c>
      <c r="F6443" s="4" t="s">
        <v>33827</v>
      </c>
      <c r="G6443" s="4" t="s">
        <v>33828</v>
      </c>
      <c r="H6443" s="3" t="s">
        <v>30534</v>
      </c>
      <c r="I6443" s="3" t="s">
        <v>33829</v>
      </c>
      <c r="J6443" s="3" t="s">
        <v>12389</v>
      </c>
      <c r="K6443" s="3" t="s">
        <v>33830</v>
      </c>
      <c r="L6443" s="3" t="s">
        <v>33831</v>
      </c>
      <c r="M6443" s="4"/>
      <c r="N6443" s="3" t="s">
        <v>37</v>
      </c>
      <c r="O6443" s="3" t="s">
        <v>52</v>
      </c>
      <c r="P6443" s="5">
        <v>11</v>
      </c>
      <c r="Q6443" s="5">
        <v>104</v>
      </c>
      <c r="R6443" s="5">
        <v>11</v>
      </c>
      <c r="S6443" s="5">
        <v>119</v>
      </c>
    </row>
    <row r="6444" spans="1:19" ht="28" x14ac:dyDescent="0.15">
      <c r="A6444" s="2">
        <f>HYPERLINK("https://open-school.uspishnemisto.com.ua/school/320635/", 320635)</f>
        <v>320635</v>
      </c>
      <c r="B6444" s="3" t="s">
        <v>33832</v>
      </c>
      <c r="C6444" s="3" t="s">
        <v>31</v>
      </c>
      <c r="D6444" s="3" t="s">
        <v>32</v>
      </c>
      <c r="E6444" s="4" t="s">
        <v>22</v>
      </c>
      <c r="F6444" s="4" t="s">
        <v>33833</v>
      </c>
      <c r="G6444" s="4" t="s">
        <v>33834</v>
      </c>
      <c r="H6444" s="3" t="s">
        <v>30534</v>
      </c>
      <c r="I6444" s="3" t="s">
        <v>33835</v>
      </c>
      <c r="J6444" s="3" t="s">
        <v>33836</v>
      </c>
      <c r="K6444" s="3" t="s">
        <v>33837</v>
      </c>
      <c r="L6444" s="3" t="s">
        <v>33838</v>
      </c>
      <c r="M6444" s="4"/>
      <c r="N6444" s="3" t="s">
        <v>37</v>
      </c>
      <c r="O6444" s="3" t="s">
        <v>52</v>
      </c>
      <c r="P6444" s="5">
        <v>11</v>
      </c>
      <c r="Q6444" s="5">
        <v>91</v>
      </c>
      <c r="R6444" s="5">
        <v>11</v>
      </c>
      <c r="S6444" s="5">
        <v>93</v>
      </c>
    </row>
    <row r="6445" spans="1:19" ht="56" x14ac:dyDescent="0.15">
      <c r="A6445" s="2">
        <f>HYPERLINK("https://open-school.uspishnemisto.com.ua/school/320636/", 320636)</f>
        <v>320636</v>
      </c>
      <c r="B6445" s="3" t="s">
        <v>33839</v>
      </c>
      <c r="C6445" s="3" t="s">
        <v>54</v>
      </c>
      <c r="D6445" s="3" t="s">
        <v>32</v>
      </c>
      <c r="E6445" s="4" t="s">
        <v>22</v>
      </c>
      <c r="F6445" s="4" t="s">
        <v>33840</v>
      </c>
      <c r="G6445" s="4" t="s">
        <v>33841</v>
      </c>
      <c r="H6445" s="3" t="s">
        <v>30534</v>
      </c>
      <c r="I6445" s="3" t="s">
        <v>883</v>
      </c>
      <c r="J6445" s="3" t="s">
        <v>33842</v>
      </c>
      <c r="K6445" s="3" t="s">
        <v>33843</v>
      </c>
      <c r="L6445" s="3" t="s">
        <v>33844</v>
      </c>
      <c r="M6445" s="4"/>
      <c r="N6445" s="3" t="s">
        <v>37</v>
      </c>
      <c r="O6445" s="3" t="s">
        <v>123</v>
      </c>
      <c r="P6445" s="5">
        <v>11</v>
      </c>
      <c r="Q6445" s="5">
        <v>206</v>
      </c>
      <c r="R6445" s="5">
        <v>11</v>
      </c>
      <c r="S6445" s="5">
        <v>187</v>
      </c>
    </row>
    <row r="6446" spans="1:19" ht="56" x14ac:dyDescent="0.15">
      <c r="A6446" s="2">
        <f>HYPERLINK("https://open-school.uspishnemisto.com.ua/school/320637/", 320637)</f>
        <v>320637</v>
      </c>
      <c r="B6446" s="3" t="s">
        <v>33845</v>
      </c>
      <c r="C6446" s="3" t="s">
        <v>54</v>
      </c>
      <c r="D6446" s="3" t="s">
        <v>32</v>
      </c>
      <c r="E6446" s="4" t="s">
        <v>22</v>
      </c>
      <c r="F6446" s="4" t="s">
        <v>33846</v>
      </c>
      <c r="G6446" s="4" t="s">
        <v>33847</v>
      </c>
      <c r="H6446" s="3" t="s">
        <v>30534</v>
      </c>
      <c r="I6446" s="3" t="s">
        <v>18694</v>
      </c>
      <c r="J6446" s="3" t="s">
        <v>33848</v>
      </c>
      <c r="K6446" s="3"/>
      <c r="L6446" s="3" t="s">
        <v>33849</v>
      </c>
      <c r="M6446" s="4"/>
      <c r="N6446" s="3" t="s">
        <v>37</v>
      </c>
      <c r="O6446" s="3" t="s">
        <v>52</v>
      </c>
      <c r="P6446" s="5">
        <v>11</v>
      </c>
      <c r="Q6446" s="5">
        <v>98</v>
      </c>
      <c r="R6446" s="5">
        <v>11</v>
      </c>
      <c r="S6446" s="5">
        <v>110</v>
      </c>
    </row>
    <row r="6447" spans="1:19" ht="28" x14ac:dyDescent="0.15">
      <c r="A6447" s="2">
        <f>HYPERLINK("https://open-school.uspishnemisto.com.ua/school/320638/", 320638)</f>
        <v>320638</v>
      </c>
      <c r="B6447" s="3" t="s">
        <v>33850</v>
      </c>
      <c r="C6447" s="3" t="s">
        <v>31</v>
      </c>
      <c r="D6447" s="3" t="s">
        <v>175</v>
      </c>
      <c r="E6447" s="4" t="s">
        <v>22</v>
      </c>
      <c r="F6447" s="4" t="s">
        <v>33851</v>
      </c>
      <c r="G6447" s="4" t="s">
        <v>33852</v>
      </c>
      <c r="H6447" s="3" t="s">
        <v>30534</v>
      </c>
      <c r="I6447" s="3" t="s">
        <v>27335</v>
      </c>
      <c r="J6447" s="3" t="s">
        <v>33853</v>
      </c>
      <c r="K6447" s="3" t="s">
        <v>33854</v>
      </c>
      <c r="L6447" s="3" t="s">
        <v>33855</v>
      </c>
      <c r="M6447" s="4"/>
      <c r="N6447" s="3" t="s">
        <v>37</v>
      </c>
      <c r="O6447" s="3" t="s">
        <v>52</v>
      </c>
      <c r="P6447" s="5">
        <v>9</v>
      </c>
      <c r="Q6447" s="5">
        <v>47</v>
      </c>
      <c r="R6447" s="5">
        <v>8</v>
      </c>
      <c r="S6447" s="5">
        <v>51</v>
      </c>
    </row>
    <row r="6448" spans="1:19" ht="42" x14ac:dyDescent="0.15">
      <c r="A6448" s="2">
        <f>HYPERLINK("https://open-school.uspishnemisto.com.ua/school/320639/", 320639)</f>
        <v>320639</v>
      </c>
      <c r="B6448" s="3" t="s">
        <v>33856</v>
      </c>
      <c r="C6448" s="3" t="s">
        <v>54</v>
      </c>
      <c r="D6448" s="3" t="s">
        <v>32</v>
      </c>
      <c r="E6448" s="4" t="s">
        <v>22</v>
      </c>
      <c r="F6448" s="4" t="s">
        <v>33857</v>
      </c>
      <c r="G6448" s="4" t="s">
        <v>33858</v>
      </c>
      <c r="H6448" s="3" t="s">
        <v>30534</v>
      </c>
      <c r="I6448" s="3" t="s">
        <v>33859</v>
      </c>
      <c r="J6448" s="3" t="s">
        <v>16879</v>
      </c>
      <c r="K6448" s="3" t="s">
        <v>33860</v>
      </c>
      <c r="L6448" s="3"/>
      <c r="M6448" s="4"/>
      <c r="N6448" s="3" t="s">
        <v>37</v>
      </c>
      <c r="O6448" s="3" t="s">
        <v>52</v>
      </c>
      <c r="P6448" s="5">
        <v>11</v>
      </c>
      <c r="Q6448" s="5">
        <v>114</v>
      </c>
      <c r="R6448" s="5">
        <v>11</v>
      </c>
      <c r="S6448" s="5">
        <v>121</v>
      </c>
    </row>
    <row r="6449" spans="1:19" ht="42" x14ac:dyDescent="0.15">
      <c r="A6449" s="2">
        <f>HYPERLINK("https://open-school.uspishnemisto.com.ua/school/320640/", 320640)</f>
        <v>320640</v>
      </c>
      <c r="B6449" s="3" t="s">
        <v>33861</v>
      </c>
      <c r="C6449" s="3" t="s">
        <v>54</v>
      </c>
      <c r="D6449" s="3" t="s">
        <v>60</v>
      </c>
      <c r="E6449" s="4" t="s">
        <v>22</v>
      </c>
      <c r="F6449" s="4" t="s">
        <v>33862</v>
      </c>
      <c r="G6449" s="4" t="s">
        <v>33863</v>
      </c>
      <c r="H6449" s="3" t="s">
        <v>30534</v>
      </c>
      <c r="I6449" s="3" t="s">
        <v>33864</v>
      </c>
      <c r="J6449" s="3" t="s">
        <v>356</v>
      </c>
      <c r="K6449" s="3" t="s">
        <v>33865</v>
      </c>
      <c r="L6449" s="3" t="s">
        <v>33866</v>
      </c>
      <c r="M6449" s="4"/>
      <c r="N6449" s="3" t="s">
        <v>37</v>
      </c>
      <c r="O6449" s="3" t="s">
        <v>52</v>
      </c>
      <c r="P6449" s="5">
        <v>1</v>
      </c>
      <c r="Q6449" s="5">
        <v>7</v>
      </c>
      <c r="R6449" s="5">
        <v>1</v>
      </c>
      <c r="S6449" s="5">
        <v>2</v>
      </c>
    </row>
    <row r="6450" spans="1:19" ht="42" x14ac:dyDescent="0.15">
      <c r="A6450" s="2">
        <f>HYPERLINK("https://open-school.uspishnemisto.com.ua/school/320641/", 320641)</f>
        <v>320641</v>
      </c>
      <c r="B6450" s="3" t="s">
        <v>33867</v>
      </c>
      <c r="C6450" s="3" t="s">
        <v>54</v>
      </c>
      <c r="D6450" s="3" t="s">
        <v>60</v>
      </c>
      <c r="E6450" s="4" t="s">
        <v>22</v>
      </c>
      <c r="F6450" s="4" t="s">
        <v>33868</v>
      </c>
      <c r="G6450" s="4" t="s">
        <v>33869</v>
      </c>
      <c r="H6450" s="3" t="s">
        <v>30534</v>
      </c>
      <c r="I6450" s="3" t="s">
        <v>33870</v>
      </c>
      <c r="J6450" s="3" t="s">
        <v>3047</v>
      </c>
      <c r="K6450" s="3" t="s">
        <v>33871</v>
      </c>
      <c r="L6450" s="3"/>
      <c r="M6450" s="4"/>
      <c r="N6450" s="3" t="s">
        <v>37</v>
      </c>
      <c r="O6450" s="3" t="s">
        <v>52</v>
      </c>
      <c r="P6450" s="5">
        <v>0</v>
      </c>
      <c r="Q6450" s="5">
        <v>7</v>
      </c>
      <c r="R6450" s="5">
        <v>0</v>
      </c>
      <c r="S6450" s="5">
        <v>7</v>
      </c>
    </row>
    <row r="6451" spans="1:19" ht="42" x14ac:dyDescent="0.15">
      <c r="A6451" s="2">
        <f>HYPERLINK("https://open-school.uspishnemisto.com.ua/school/320642/", 320642)</f>
        <v>320642</v>
      </c>
      <c r="B6451" s="3" t="s">
        <v>33872</v>
      </c>
      <c r="C6451" s="3" t="s">
        <v>54</v>
      </c>
      <c r="D6451" s="3" t="s">
        <v>32</v>
      </c>
      <c r="E6451" s="4" t="s">
        <v>22</v>
      </c>
      <c r="F6451" s="4" t="s">
        <v>33873</v>
      </c>
      <c r="G6451" s="4" t="s">
        <v>33874</v>
      </c>
      <c r="H6451" s="3" t="s">
        <v>30534</v>
      </c>
      <c r="I6451" s="3" t="s">
        <v>33875</v>
      </c>
      <c r="J6451" s="3" t="s">
        <v>33876</v>
      </c>
      <c r="K6451" s="3" t="s">
        <v>33877</v>
      </c>
      <c r="L6451" s="3"/>
      <c r="M6451" s="4"/>
      <c r="N6451" s="3" t="s">
        <v>37</v>
      </c>
      <c r="O6451" s="3" t="s">
        <v>52</v>
      </c>
      <c r="P6451" s="5">
        <v>12</v>
      </c>
      <c r="Q6451" s="5">
        <v>235</v>
      </c>
      <c r="R6451" s="5">
        <v>11</v>
      </c>
      <c r="S6451" s="5">
        <v>214</v>
      </c>
    </row>
    <row r="6452" spans="1:19" ht="42" x14ac:dyDescent="0.15">
      <c r="A6452" s="2">
        <f>HYPERLINK("https://open-school.uspishnemisto.com.ua/school/320643/", 320643)</f>
        <v>320643</v>
      </c>
      <c r="B6452" s="3" t="s">
        <v>33878</v>
      </c>
      <c r="C6452" s="3" t="s">
        <v>54</v>
      </c>
      <c r="D6452" s="3" t="s">
        <v>60</v>
      </c>
      <c r="E6452" s="4" t="s">
        <v>22</v>
      </c>
      <c r="F6452" s="4" t="s">
        <v>33879</v>
      </c>
      <c r="G6452" s="4" t="s">
        <v>33880</v>
      </c>
      <c r="H6452" s="3" t="s">
        <v>30534</v>
      </c>
      <c r="I6452" s="3" t="s">
        <v>33881</v>
      </c>
      <c r="J6452" s="3" t="s">
        <v>1393</v>
      </c>
      <c r="K6452" s="3" t="s">
        <v>33882</v>
      </c>
      <c r="L6452" s="3"/>
      <c r="M6452" s="4"/>
      <c r="N6452" s="3" t="s">
        <v>37</v>
      </c>
      <c r="O6452" s="3" t="s">
        <v>52</v>
      </c>
      <c r="P6452" s="5">
        <v>1</v>
      </c>
      <c r="Q6452" s="5">
        <v>10</v>
      </c>
      <c r="R6452" s="5">
        <v>2</v>
      </c>
      <c r="S6452" s="5">
        <v>14</v>
      </c>
    </row>
    <row r="6453" spans="1:19" ht="42" x14ac:dyDescent="0.15">
      <c r="A6453" s="2">
        <f>HYPERLINK("https://open-school.uspishnemisto.com.ua/school/320644/", 320644)</f>
        <v>320644</v>
      </c>
      <c r="B6453" s="3" t="s">
        <v>33883</v>
      </c>
      <c r="C6453" s="3" t="s">
        <v>54</v>
      </c>
      <c r="D6453" s="3" t="s">
        <v>175</v>
      </c>
      <c r="E6453" s="4" t="s">
        <v>22</v>
      </c>
      <c r="F6453" s="4" t="s">
        <v>33884</v>
      </c>
      <c r="G6453" s="4" t="s">
        <v>33885</v>
      </c>
      <c r="H6453" s="3" t="s">
        <v>30534</v>
      </c>
      <c r="I6453" s="3" t="s">
        <v>1427</v>
      </c>
      <c r="J6453" s="3" t="s">
        <v>33886</v>
      </c>
      <c r="K6453" s="3" t="s">
        <v>33887</v>
      </c>
      <c r="L6453" s="3" t="s">
        <v>33888</v>
      </c>
      <c r="M6453" s="4"/>
      <c r="N6453" s="3" t="s">
        <v>37</v>
      </c>
      <c r="O6453" s="3" t="s">
        <v>52</v>
      </c>
      <c r="P6453" s="5">
        <v>5</v>
      </c>
      <c r="Q6453" s="5">
        <v>26</v>
      </c>
      <c r="R6453" s="5">
        <v>7</v>
      </c>
      <c r="S6453" s="5">
        <v>32</v>
      </c>
    </row>
    <row r="6454" spans="1:19" ht="28" x14ac:dyDescent="0.15">
      <c r="A6454" s="2">
        <f>HYPERLINK("https://open-school.uspishnemisto.com.ua/school/320645/", 320645)</f>
        <v>320645</v>
      </c>
      <c r="B6454" s="3" t="s">
        <v>33889</v>
      </c>
      <c r="C6454" s="3" t="s">
        <v>31</v>
      </c>
      <c r="D6454" s="3" t="s">
        <v>32</v>
      </c>
      <c r="E6454" s="4" t="s">
        <v>22</v>
      </c>
      <c r="F6454" s="4" t="s">
        <v>33890</v>
      </c>
      <c r="G6454" s="4" t="s">
        <v>33891</v>
      </c>
      <c r="H6454" s="3" t="s">
        <v>30534</v>
      </c>
      <c r="I6454" s="3" t="s">
        <v>830</v>
      </c>
      <c r="J6454" s="3" t="s">
        <v>466</v>
      </c>
      <c r="K6454" s="3" t="s">
        <v>33892</v>
      </c>
      <c r="L6454" s="3" t="s">
        <v>33893</v>
      </c>
      <c r="M6454" s="4"/>
      <c r="N6454" s="3" t="s">
        <v>37</v>
      </c>
      <c r="O6454" s="3" t="s">
        <v>52</v>
      </c>
      <c r="P6454" s="5">
        <v>11</v>
      </c>
      <c r="Q6454" s="5">
        <v>95</v>
      </c>
      <c r="R6454" s="5">
        <v>11</v>
      </c>
      <c r="S6454" s="5">
        <v>89</v>
      </c>
    </row>
    <row r="6455" spans="1:19" ht="42" x14ac:dyDescent="0.15">
      <c r="A6455" s="2">
        <f>HYPERLINK("https://open-school.uspishnemisto.com.ua/school/320646/", 320646)</f>
        <v>320646</v>
      </c>
      <c r="B6455" s="3" t="s">
        <v>33894</v>
      </c>
      <c r="C6455" s="3" t="s">
        <v>54</v>
      </c>
      <c r="D6455" s="3" t="s">
        <v>175</v>
      </c>
      <c r="E6455" s="4" t="s">
        <v>22</v>
      </c>
      <c r="F6455" s="4" t="s">
        <v>33895</v>
      </c>
      <c r="G6455" s="4" t="s">
        <v>33896</v>
      </c>
      <c r="H6455" s="3" t="s">
        <v>30534</v>
      </c>
      <c r="I6455" s="3" t="s">
        <v>33897</v>
      </c>
      <c r="J6455" s="3" t="s">
        <v>946</v>
      </c>
      <c r="K6455" s="3" t="s">
        <v>33898</v>
      </c>
      <c r="L6455" s="3"/>
      <c r="M6455" s="4"/>
      <c r="N6455" s="3" t="s">
        <v>37</v>
      </c>
      <c r="O6455" s="3" t="s">
        <v>52</v>
      </c>
      <c r="P6455" s="5">
        <v>8</v>
      </c>
      <c r="Q6455" s="5">
        <v>43</v>
      </c>
      <c r="R6455" s="5">
        <v>7</v>
      </c>
      <c r="S6455" s="5">
        <v>44</v>
      </c>
    </row>
    <row r="6456" spans="1:19" ht="42" x14ac:dyDescent="0.15">
      <c r="A6456" s="2">
        <f>HYPERLINK("https://open-school.uspishnemisto.com.ua/school/320647/", 320647)</f>
        <v>320647</v>
      </c>
      <c r="B6456" s="3" t="s">
        <v>33899</v>
      </c>
      <c r="C6456" s="3" t="s">
        <v>54</v>
      </c>
      <c r="D6456" s="3" t="s">
        <v>60</v>
      </c>
      <c r="E6456" s="4" t="s">
        <v>22</v>
      </c>
      <c r="F6456" s="4" t="s">
        <v>33900</v>
      </c>
      <c r="G6456" s="4" t="s">
        <v>33901</v>
      </c>
      <c r="H6456" s="3" t="s">
        <v>30534</v>
      </c>
      <c r="I6456" s="3" t="s">
        <v>3895</v>
      </c>
      <c r="J6456" s="3" t="s">
        <v>33902</v>
      </c>
      <c r="K6456" s="3" t="s">
        <v>33903</v>
      </c>
      <c r="L6456" s="3"/>
      <c r="M6456" s="4"/>
      <c r="N6456" s="3" t="s">
        <v>37</v>
      </c>
      <c r="O6456" s="3" t="s">
        <v>52</v>
      </c>
      <c r="P6456" s="5">
        <v>2</v>
      </c>
      <c r="Q6456" s="5">
        <v>8</v>
      </c>
      <c r="R6456" s="5">
        <v>1</v>
      </c>
      <c r="S6456" s="5">
        <v>8</v>
      </c>
    </row>
    <row r="6457" spans="1:19" ht="28" x14ac:dyDescent="0.15">
      <c r="A6457" s="2">
        <f>HYPERLINK("https://open-school.uspishnemisto.com.ua/school/320648/", 320648)</f>
        <v>320648</v>
      </c>
      <c r="B6457" s="3" t="s">
        <v>33904</v>
      </c>
      <c r="C6457" s="3" t="s">
        <v>31</v>
      </c>
      <c r="D6457" s="3" t="s">
        <v>175</v>
      </c>
      <c r="E6457" s="4" t="s">
        <v>22</v>
      </c>
      <c r="F6457" s="4" t="s">
        <v>33905</v>
      </c>
      <c r="G6457" s="4" t="s">
        <v>33906</v>
      </c>
      <c r="H6457" s="3" t="s">
        <v>30534</v>
      </c>
      <c r="I6457" s="3" t="s">
        <v>8077</v>
      </c>
      <c r="J6457" s="3" t="s">
        <v>33907</v>
      </c>
      <c r="K6457" s="3" t="s">
        <v>33908</v>
      </c>
      <c r="L6457" s="3"/>
      <c r="M6457" s="4"/>
      <c r="N6457" s="3" t="s">
        <v>37</v>
      </c>
      <c r="O6457" s="3" t="s">
        <v>46</v>
      </c>
      <c r="P6457" s="5">
        <v>6</v>
      </c>
      <c r="Q6457" s="5">
        <v>44</v>
      </c>
      <c r="R6457" s="5">
        <v>7</v>
      </c>
      <c r="S6457" s="5">
        <v>44</v>
      </c>
    </row>
    <row r="6458" spans="1:19" ht="28" x14ac:dyDescent="0.15">
      <c r="A6458" s="2">
        <f>HYPERLINK("https://open-school.uspishnemisto.com.ua/school/320649/", 320649)</f>
        <v>320649</v>
      </c>
      <c r="B6458" s="3" t="s">
        <v>33909</v>
      </c>
      <c r="C6458" s="3" t="s">
        <v>181</v>
      </c>
      <c r="D6458" s="3" t="s">
        <v>175</v>
      </c>
      <c r="E6458" s="4" t="s">
        <v>22</v>
      </c>
      <c r="F6458" s="4" t="s">
        <v>33910</v>
      </c>
      <c r="G6458" s="4" t="s">
        <v>33911</v>
      </c>
      <c r="H6458" s="3" t="s">
        <v>30534</v>
      </c>
      <c r="I6458" s="3" t="s">
        <v>33912</v>
      </c>
      <c r="J6458" s="3" t="s">
        <v>33913</v>
      </c>
      <c r="K6458" s="3" t="s">
        <v>33914</v>
      </c>
      <c r="L6458" s="3"/>
      <c r="M6458" s="4" t="s">
        <v>33915</v>
      </c>
      <c r="N6458" s="3" t="s">
        <v>37</v>
      </c>
      <c r="O6458" s="3"/>
      <c r="P6458" s="5">
        <v>13</v>
      </c>
      <c r="Q6458" s="5">
        <v>94</v>
      </c>
      <c r="R6458" s="5">
        <v>16</v>
      </c>
      <c r="S6458" s="5">
        <v>112</v>
      </c>
    </row>
    <row r="6459" spans="1:19" ht="28" x14ac:dyDescent="0.15">
      <c r="A6459" s="2">
        <f>HYPERLINK("https://open-school.uspishnemisto.com.ua/school/320650/", 320650)</f>
        <v>320650</v>
      </c>
      <c r="B6459" s="3" t="s">
        <v>33916</v>
      </c>
      <c r="C6459" s="3" t="s">
        <v>31</v>
      </c>
      <c r="D6459" s="3" t="s">
        <v>175</v>
      </c>
      <c r="E6459" s="4" t="s">
        <v>22</v>
      </c>
      <c r="F6459" s="4" t="s">
        <v>33910</v>
      </c>
      <c r="G6459" s="4" t="s">
        <v>33911</v>
      </c>
      <c r="H6459" s="3" t="s">
        <v>30534</v>
      </c>
      <c r="I6459" s="3" t="s">
        <v>33912</v>
      </c>
      <c r="J6459" s="3" t="s">
        <v>33917</v>
      </c>
      <c r="K6459" s="3" t="s">
        <v>33918</v>
      </c>
      <c r="L6459" s="3" t="s">
        <v>33919</v>
      </c>
      <c r="M6459" s="4"/>
      <c r="N6459" s="3" t="s">
        <v>37</v>
      </c>
      <c r="O6459" s="3" t="s">
        <v>38</v>
      </c>
      <c r="P6459" s="5">
        <v>9</v>
      </c>
      <c r="Q6459" s="5">
        <v>132</v>
      </c>
      <c r="R6459" s="5">
        <v>9</v>
      </c>
      <c r="S6459" s="5">
        <v>131</v>
      </c>
    </row>
    <row r="6460" spans="1:19" ht="28" x14ac:dyDescent="0.15">
      <c r="A6460" s="2">
        <f>HYPERLINK("https://open-school.uspishnemisto.com.ua/school/320651/", 320651)</f>
        <v>320651</v>
      </c>
      <c r="B6460" s="3" t="s">
        <v>33920</v>
      </c>
      <c r="C6460" s="3" t="s">
        <v>31</v>
      </c>
      <c r="D6460" s="3" t="s">
        <v>32</v>
      </c>
      <c r="E6460" s="4" t="s">
        <v>22</v>
      </c>
      <c r="F6460" s="4" t="s">
        <v>33910</v>
      </c>
      <c r="G6460" s="4" t="s">
        <v>33911</v>
      </c>
      <c r="H6460" s="3" t="s">
        <v>30534</v>
      </c>
      <c r="I6460" s="3" t="s">
        <v>33912</v>
      </c>
      <c r="J6460" s="3" t="s">
        <v>10070</v>
      </c>
      <c r="K6460" s="3" t="s">
        <v>33921</v>
      </c>
      <c r="L6460" s="3"/>
      <c r="M6460" s="4"/>
      <c r="N6460" s="3" t="s">
        <v>37</v>
      </c>
      <c r="O6460" s="3" t="s">
        <v>70</v>
      </c>
      <c r="P6460" s="5">
        <v>25</v>
      </c>
      <c r="Q6460" s="5">
        <v>566</v>
      </c>
      <c r="R6460" s="5">
        <v>27</v>
      </c>
      <c r="S6460" s="5">
        <v>569</v>
      </c>
    </row>
    <row r="6461" spans="1:19" ht="42" x14ac:dyDescent="0.15">
      <c r="A6461" s="2">
        <f>HYPERLINK("https://open-school.uspishnemisto.com.ua/school/320652/", 320652)</f>
        <v>320652</v>
      </c>
      <c r="B6461" s="3" t="s">
        <v>33922</v>
      </c>
      <c r="C6461" s="3" t="s">
        <v>54</v>
      </c>
      <c r="D6461" s="3" t="s">
        <v>32</v>
      </c>
      <c r="E6461" s="4" t="s">
        <v>22</v>
      </c>
      <c r="F6461" s="4" t="s">
        <v>33910</v>
      </c>
      <c r="G6461" s="4" t="s">
        <v>33911</v>
      </c>
      <c r="H6461" s="3" t="s">
        <v>30534</v>
      </c>
      <c r="I6461" s="3" t="s">
        <v>33912</v>
      </c>
      <c r="J6461" s="3" t="s">
        <v>17440</v>
      </c>
      <c r="K6461" s="3" t="s">
        <v>33923</v>
      </c>
      <c r="L6461" s="3" t="s">
        <v>33924</v>
      </c>
      <c r="M6461" s="4" t="s">
        <v>33925</v>
      </c>
      <c r="N6461" s="3" t="s">
        <v>37</v>
      </c>
      <c r="O6461" s="3" t="s">
        <v>8857</v>
      </c>
      <c r="P6461" s="5">
        <v>25</v>
      </c>
      <c r="Q6461" s="5">
        <v>519</v>
      </c>
      <c r="R6461" s="5">
        <v>23</v>
      </c>
      <c r="S6461" s="5">
        <v>481</v>
      </c>
    </row>
    <row r="6462" spans="1:19" ht="28" x14ac:dyDescent="0.15">
      <c r="A6462" s="2">
        <f>HYPERLINK("https://open-school.uspishnemisto.com.ua/school/320653/", 320653)</f>
        <v>320653</v>
      </c>
      <c r="B6462" s="3" t="s">
        <v>33926</v>
      </c>
      <c r="C6462" s="3" t="s">
        <v>31</v>
      </c>
      <c r="D6462" s="3" t="s">
        <v>32</v>
      </c>
      <c r="E6462" s="4" t="s">
        <v>22</v>
      </c>
      <c r="F6462" s="4" t="s">
        <v>33927</v>
      </c>
      <c r="G6462" s="4" t="s">
        <v>33928</v>
      </c>
      <c r="H6462" s="3" t="s">
        <v>30534</v>
      </c>
      <c r="I6462" s="3" t="s">
        <v>33929</v>
      </c>
      <c r="J6462" s="3" t="s">
        <v>33930</v>
      </c>
      <c r="K6462" s="3" t="s">
        <v>33931</v>
      </c>
      <c r="L6462" s="3" t="s">
        <v>33932</v>
      </c>
      <c r="M6462" s="4"/>
      <c r="N6462" s="3" t="s">
        <v>37</v>
      </c>
      <c r="O6462" s="3" t="s">
        <v>46</v>
      </c>
      <c r="P6462" s="5">
        <v>10</v>
      </c>
      <c r="Q6462" s="5">
        <v>100</v>
      </c>
      <c r="R6462" s="5">
        <v>11</v>
      </c>
      <c r="S6462" s="5">
        <v>99</v>
      </c>
    </row>
    <row r="6463" spans="1:19" ht="56" x14ac:dyDescent="0.15">
      <c r="A6463" s="2">
        <f>HYPERLINK("https://open-school.uspishnemisto.com.ua/school/320654/", 320654)</f>
        <v>320654</v>
      </c>
      <c r="B6463" s="3" t="s">
        <v>33933</v>
      </c>
      <c r="C6463" s="3" t="s">
        <v>54</v>
      </c>
      <c r="D6463" s="3" t="s">
        <v>175</v>
      </c>
      <c r="E6463" s="4" t="s">
        <v>22</v>
      </c>
      <c r="F6463" s="4" t="s">
        <v>33934</v>
      </c>
      <c r="G6463" s="4" t="s">
        <v>33935</v>
      </c>
      <c r="H6463" s="3" t="s">
        <v>30534</v>
      </c>
      <c r="I6463" s="3" t="s">
        <v>33936</v>
      </c>
      <c r="J6463" s="3" t="s">
        <v>4188</v>
      </c>
      <c r="K6463" s="3" t="s">
        <v>33937</v>
      </c>
      <c r="L6463" s="3" t="s">
        <v>33938</v>
      </c>
      <c r="M6463" s="4"/>
      <c r="N6463" s="3" t="s">
        <v>37</v>
      </c>
      <c r="O6463" s="3" t="s">
        <v>38</v>
      </c>
      <c r="P6463" s="5">
        <v>6</v>
      </c>
      <c r="Q6463" s="5">
        <v>34</v>
      </c>
      <c r="R6463" s="5">
        <v>7</v>
      </c>
      <c r="S6463" s="5">
        <v>38</v>
      </c>
    </row>
    <row r="6464" spans="1:19" ht="28" x14ac:dyDescent="0.15">
      <c r="A6464" s="2">
        <f>HYPERLINK("https://open-school.uspishnemisto.com.ua/school/320655/", 320655)</f>
        <v>320655</v>
      </c>
      <c r="B6464" s="3" t="s">
        <v>33939</v>
      </c>
      <c r="C6464" s="3" t="s">
        <v>31</v>
      </c>
      <c r="D6464" s="3" t="s">
        <v>32</v>
      </c>
      <c r="E6464" s="4" t="s">
        <v>22</v>
      </c>
      <c r="F6464" s="4" t="s">
        <v>33940</v>
      </c>
      <c r="G6464" s="4" t="s">
        <v>33941</v>
      </c>
      <c r="H6464" s="3" t="s">
        <v>30534</v>
      </c>
      <c r="I6464" s="3" t="s">
        <v>10816</v>
      </c>
      <c r="J6464" s="3" t="s">
        <v>466</v>
      </c>
      <c r="K6464" s="3" t="s">
        <v>33942</v>
      </c>
      <c r="L6464" s="3" t="s">
        <v>33943</v>
      </c>
      <c r="M6464" s="4"/>
      <c r="N6464" s="3" t="s">
        <v>37</v>
      </c>
      <c r="O6464" s="3" t="s">
        <v>52</v>
      </c>
      <c r="P6464" s="5">
        <v>10</v>
      </c>
      <c r="Q6464" s="5">
        <v>80</v>
      </c>
      <c r="R6464" s="5">
        <v>9</v>
      </c>
      <c r="S6464" s="5">
        <v>82</v>
      </c>
    </row>
    <row r="6465" spans="1:19" ht="56" x14ac:dyDescent="0.15">
      <c r="A6465" s="2">
        <f>HYPERLINK("https://open-school.uspishnemisto.com.ua/school/320656/", 320656)</f>
        <v>320656</v>
      </c>
      <c r="B6465" s="3" t="s">
        <v>33944</v>
      </c>
      <c r="C6465" s="3" t="s">
        <v>54</v>
      </c>
      <c r="D6465" s="3" t="s">
        <v>175</v>
      </c>
      <c r="E6465" s="4" t="s">
        <v>22</v>
      </c>
      <c r="F6465" s="4" t="s">
        <v>33945</v>
      </c>
      <c r="G6465" s="4" t="s">
        <v>33946</v>
      </c>
      <c r="H6465" s="3" t="s">
        <v>30534</v>
      </c>
      <c r="I6465" s="3" t="s">
        <v>33947</v>
      </c>
      <c r="J6465" s="3" t="s">
        <v>33948</v>
      </c>
      <c r="K6465" s="3" t="s">
        <v>33949</v>
      </c>
      <c r="L6465" s="3" t="s">
        <v>33950</v>
      </c>
      <c r="M6465" s="4"/>
      <c r="N6465" s="3" t="s">
        <v>37</v>
      </c>
      <c r="O6465" s="3" t="s">
        <v>38</v>
      </c>
      <c r="P6465" s="5">
        <v>5</v>
      </c>
      <c r="Q6465" s="5">
        <v>30</v>
      </c>
      <c r="R6465" s="5">
        <v>5</v>
      </c>
      <c r="S6465" s="5">
        <v>28</v>
      </c>
    </row>
    <row r="6466" spans="1:19" ht="42" x14ac:dyDescent="0.15">
      <c r="A6466" s="2">
        <f>HYPERLINK("https://open-school.uspishnemisto.com.ua/school/320657/", 320657)</f>
        <v>320657</v>
      </c>
      <c r="B6466" s="3" t="s">
        <v>33951</v>
      </c>
      <c r="C6466" s="3" t="s">
        <v>54</v>
      </c>
      <c r="D6466" s="3" t="s">
        <v>175</v>
      </c>
      <c r="E6466" s="4" t="s">
        <v>22</v>
      </c>
      <c r="F6466" s="4" t="s">
        <v>33952</v>
      </c>
      <c r="G6466" s="4" t="s">
        <v>33953</v>
      </c>
      <c r="H6466" s="3" t="s">
        <v>30534</v>
      </c>
      <c r="I6466" s="3" t="s">
        <v>33954</v>
      </c>
      <c r="J6466" s="3" t="s">
        <v>8007</v>
      </c>
      <c r="K6466" s="3"/>
      <c r="L6466" s="3"/>
      <c r="M6466" s="4"/>
      <c r="N6466" s="3" t="s">
        <v>37</v>
      </c>
      <c r="O6466" s="3" t="s">
        <v>38</v>
      </c>
      <c r="P6466" s="5">
        <v>9</v>
      </c>
      <c r="Q6466" s="5">
        <v>54</v>
      </c>
      <c r="R6466" s="5">
        <v>9</v>
      </c>
      <c r="S6466" s="5">
        <v>52</v>
      </c>
    </row>
    <row r="6467" spans="1:19" ht="28" x14ac:dyDescent="0.15">
      <c r="A6467" s="2">
        <f>HYPERLINK("https://open-school.uspishnemisto.com.ua/school/320658/", 320658)</f>
        <v>320658</v>
      </c>
      <c r="B6467" s="3" t="s">
        <v>33955</v>
      </c>
      <c r="C6467" s="3" t="s">
        <v>31</v>
      </c>
      <c r="D6467" s="3" t="s">
        <v>175</v>
      </c>
      <c r="E6467" s="4" t="s">
        <v>22</v>
      </c>
      <c r="F6467" s="4" t="s">
        <v>33956</v>
      </c>
      <c r="G6467" s="4" t="s">
        <v>33957</v>
      </c>
      <c r="H6467" s="3" t="s">
        <v>30534</v>
      </c>
      <c r="I6467" s="3" t="s">
        <v>18954</v>
      </c>
      <c r="J6467" s="3" t="s">
        <v>7686</v>
      </c>
      <c r="K6467" s="3" t="s">
        <v>33958</v>
      </c>
      <c r="L6467" s="3" t="s">
        <v>33959</v>
      </c>
      <c r="M6467" s="4"/>
      <c r="N6467" s="3" t="s">
        <v>37</v>
      </c>
      <c r="O6467" s="3" t="s">
        <v>38</v>
      </c>
      <c r="P6467" s="5">
        <v>9</v>
      </c>
      <c r="Q6467" s="5">
        <v>84</v>
      </c>
      <c r="R6467" s="5">
        <v>9</v>
      </c>
      <c r="S6467" s="5">
        <v>86</v>
      </c>
    </row>
    <row r="6468" spans="1:19" ht="56" x14ac:dyDescent="0.15">
      <c r="A6468" s="2">
        <f>HYPERLINK("https://open-school.uspishnemisto.com.ua/school/320659/", 320659)</f>
        <v>320659</v>
      </c>
      <c r="B6468" s="3" t="s">
        <v>33960</v>
      </c>
      <c r="C6468" s="3" t="s">
        <v>54</v>
      </c>
      <c r="D6468" s="3" t="s">
        <v>175</v>
      </c>
      <c r="E6468" s="4" t="s">
        <v>22</v>
      </c>
      <c r="F6468" s="4" t="s">
        <v>33961</v>
      </c>
      <c r="G6468" s="4" t="s">
        <v>33962</v>
      </c>
      <c r="H6468" s="3" t="s">
        <v>30534</v>
      </c>
      <c r="I6468" s="3" t="s">
        <v>33963</v>
      </c>
      <c r="J6468" s="3" t="s">
        <v>6191</v>
      </c>
      <c r="K6468" s="3" t="s">
        <v>33964</v>
      </c>
      <c r="L6468" s="3" t="s">
        <v>33965</v>
      </c>
      <c r="M6468" s="4"/>
      <c r="N6468" s="3" t="s">
        <v>37</v>
      </c>
      <c r="O6468" s="3" t="s">
        <v>46</v>
      </c>
      <c r="P6468" s="5">
        <v>5</v>
      </c>
      <c r="Q6468" s="5">
        <v>26</v>
      </c>
      <c r="R6468" s="5">
        <v>6</v>
      </c>
      <c r="S6468" s="5">
        <v>31</v>
      </c>
    </row>
    <row r="6469" spans="1:19" ht="70" x14ac:dyDescent="0.15">
      <c r="A6469" s="2">
        <f>HYPERLINK("https://open-school.uspishnemisto.com.ua/school/320660/", 320660)</f>
        <v>320660</v>
      </c>
      <c r="B6469" s="3" t="s">
        <v>33966</v>
      </c>
      <c r="C6469" s="3" t="s">
        <v>54</v>
      </c>
      <c r="D6469" s="3" t="s">
        <v>32</v>
      </c>
      <c r="E6469" s="4" t="s">
        <v>22</v>
      </c>
      <c r="F6469" s="4" t="s">
        <v>33967</v>
      </c>
      <c r="G6469" s="4" t="s">
        <v>33968</v>
      </c>
      <c r="H6469" s="3" t="s">
        <v>30534</v>
      </c>
      <c r="I6469" s="3" t="s">
        <v>33969</v>
      </c>
      <c r="J6469" s="3" t="s">
        <v>33970</v>
      </c>
      <c r="K6469" s="3" t="s">
        <v>33971</v>
      </c>
      <c r="L6469" s="3" t="s">
        <v>33972</v>
      </c>
      <c r="M6469" s="4"/>
      <c r="N6469" s="3" t="s">
        <v>37</v>
      </c>
      <c r="O6469" s="3" t="s">
        <v>70</v>
      </c>
      <c r="P6469" s="5">
        <v>15</v>
      </c>
      <c r="Q6469" s="5">
        <v>251</v>
      </c>
      <c r="R6469" s="5">
        <v>13</v>
      </c>
      <c r="S6469" s="5">
        <v>240</v>
      </c>
    </row>
    <row r="6470" spans="1:19" ht="28" x14ac:dyDescent="0.15">
      <c r="A6470" s="2">
        <f>HYPERLINK("https://open-school.uspishnemisto.com.ua/school/320661/", 320661)</f>
        <v>320661</v>
      </c>
      <c r="B6470" s="3" t="s">
        <v>33973</v>
      </c>
      <c r="C6470" s="3" t="s">
        <v>31</v>
      </c>
      <c r="D6470" s="3" t="s">
        <v>32</v>
      </c>
      <c r="E6470" s="4" t="s">
        <v>22</v>
      </c>
      <c r="F6470" s="4" t="s">
        <v>33974</v>
      </c>
      <c r="G6470" s="4" t="s">
        <v>33975</v>
      </c>
      <c r="H6470" s="3" t="s">
        <v>30534</v>
      </c>
      <c r="I6470" s="3" t="s">
        <v>33976</v>
      </c>
      <c r="J6470" s="3" t="s">
        <v>33977</v>
      </c>
      <c r="K6470" s="3" t="s">
        <v>33978</v>
      </c>
      <c r="L6470" s="3" t="s">
        <v>33979</v>
      </c>
      <c r="M6470" s="4"/>
      <c r="N6470" s="3" t="s">
        <v>37</v>
      </c>
      <c r="O6470" s="3" t="s">
        <v>46</v>
      </c>
      <c r="P6470" s="5">
        <v>7</v>
      </c>
      <c r="Q6470" s="5">
        <v>53</v>
      </c>
      <c r="R6470" s="5">
        <v>9</v>
      </c>
      <c r="S6470" s="5">
        <v>66</v>
      </c>
    </row>
    <row r="6471" spans="1:19" ht="28" x14ac:dyDescent="0.15">
      <c r="A6471" s="2">
        <f>HYPERLINK("https://open-school.uspishnemisto.com.ua/school/320662/", 320662)</f>
        <v>320662</v>
      </c>
      <c r="B6471" s="3" t="s">
        <v>33980</v>
      </c>
      <c r="C6471" s="3" t="s">
        <v>31</v>
      </c>
      <c r="D6471" s="3" t="s">
        <v>32</v>
      </c>
      <c r="E6471" s="4" t="s">
        <v>22</v>
      </c>
      <c r="F6471" s="4" t="s">
        <v>33981</v>
      </c>
      <c r="G6471" s="4" t="s">
        <v>33982</v>
      </c>
      <c r="H6471" s="3" t="s">
        <v>30534</v>
      </c>
      <c r="I6471" s="3" t="s">
        <v>33983</v>
      </c>
      <c r="J6471" s="3" t="s">
        <v>5145</v>
      </c>
      <c r="K6471" s="3" t="s">
        <v>33984</v>
      </c>
      <c r="L6471" s="3" t="s">
        <v>33985</v>
      </c>
      <c r="M6471" s="4"/>
      <c r="N6471" s="3" t="s">
        <v>37</v>
      </c>
      <c r="O6471" s="3" t="s">
        <v>46</v>
      </c>
      <c r="P6471" s="5">
        <v>11</v>
      </c>
      <c r="Q6471" s="5">
        <v>91</v>
      </c>
      <c r="R6471" s="5">
        <v>11</v>
      </c>
      <c r="S6471" s="5">
        <v>89</v>
      </c>
    </row>
    <row r="6472" spans="1:19" ht="56" x14ac:dyDescent="0.15">
      <c r="A6472" s="2">
        <f>HYPERLINK("https://open-school.uspishnemisto.com.ua/school/320663/", 320663)</f>
        <v>320663</v>
      </c>
      <c r="B6472" s="3" t="s">
        <v>33986</v>
      </c>
      <c r="C6472" s="3" t="s">
        <v>54</v>
      </c>
      <c r="D6472" s="3" t="s">
        <v>175</v>
      </c>
      <c r="E6472" s="4" t="s">
        <v>22</v>
      </c>
      <c r="F6472" s="4" t="s">
        <v>33987</v>
      </c>
      <c r="G6472" s="4" t="s">
        <v>33988</v>
      </c>
      <c r="H6472" s="3" t="s">
        <v>30534</v>
      </c>
      <c r="I6472" s="3" t="s">
        <v>33989</v>
      </c>
      <c r="J6472" s="3" t="s">
        <v>33990</v>
      </c>
      <c r="K6472" s="3" t="s">
        <v>33991</v>
      </c>
      <c r="L6472" s="3"/>
      <c r="M6472" s="4"/>
      <c r="N6472" s="3" t="s">
        <v>37</v>
      </c>
      <c r="O6472" s="3" t="s">
        <v>38</v>
      </c>
      <c r="P6472" s="5">
        <v>5</v>
      </c>
      <c r="Q6472" s="5">
        <v>37</v>
      </c>
      <c r="R6472" s="5">
        <v>5</v>
      </c>
      <c r="S6472" s="5">
        <v>40</v>
      </c>
    </row>
    <row r="6473" spans="1:19" ht="28" x14ac:dyDescent="0.15">
      <c r="A6473" s="2">
        <f>HYPERLINK("https://open-school.uspishnemisto.com.ua/school/320664/", 320664)</f>
        <v>320664</v>
      </c>
      <c r="B6473" s="3" t="s">
        <v>33992</v>
      </c>
      <c r="C6473" s="3" t="s">
        <v>31</v>
      </c>
      <c r="D6473" s="3" t="s">
        <v>32</v>
      </c>
      <c r="E6473" s="4" t="s">
        <v>22</v>
      </c>
      <c r="F6473" s="4" t="s">
        <v>33993</v>
      </c>
      <c r="G6473" s="4" t="s">
        <v>33994</v>
      </c>
      <c r="H6473" s="3" t="s">
        <v>30534</v>
      </c>
      <c r="I6473" s="3" t="s">
        <v>17777</v>
      </c>
      <c r="J6473" s="3" t="s">
        <v>33995</v>
      </c>
      <c r="K6473" s="3" t="s">
        <v>33996</v>
      </c>
      <c r="L6473" s="3" t="s">
        <v>33997</v>
      </c>
      <c r="M6473" s="4"/>
      <c r="N6473" s="3" t="s">
        <v>37</v>
      </c>
      <c r="O6473" s="3" t="s">
        <v>38</v>
      </c>
      <c r="P6473" s="5">
        <v>11</v>
      </c>
      <c r="Q6473" s="5">
        <v>179</v>
      </c>
      <c r="R6473" s="5">
        <v>11</v>
      </c>
      <c r="S6473" s="5">
        <v>175</v>
      </c>
    </row>
    <row r="6474" spans="1:19" ht="28" x14ac:dyDescent="0.15">
      <c r="A6474" s="2">
        <f>HYPERLINK("https://open-school.uspishnemisto.com.ua/school/320665/", 320665)</f>
        <v>320665</v>
      </c>
      <c r="B6474" s="3" t="s">
        <v>33998</v>
      </c>
      <c r="C6474" s="3" t="s">
        <v>31</v>
      </c>
      <c r="D6474" s="3" t="s">
        <v>32</v>
      </c>
      <c r="E6474" s="4" t="s">
        <v>22</v>
      </c>
      <c r="F6474" s="4" t="s">
        <v>33999</v>
      </c>
      <c r="G6474" s="4" t="s">
        <v>34000</v>
      </c>
      <c r="H6474" s="3" t="s">
        <v>30534</v>
      </c>
      <c r="I6474" s="3" t="s">
        <v>34001</v>
      </c>
      <c r="J6474" s="3" t="s">
        <v>34002</v>
      </c>
      <c r="K6474" s="3" t="s">
        <v>34003</v>
      </c>
      <c r="L6474" s="3" t="s">
        <v>34004</v>
      </c>
      <c r="M6474" s="4"/>
      <c r="N6474" s="3" t="s">
        <v>37</v>
      </c>
      <c r="O6474" s="3" t="s">
        <v>46</v>
      </c>
      <c r="P6474" s="5">
        <v>9</v>
      </c>
      <c r="Q6474" s="5">
        <v>54</v>
      </c>
      <c r="R6474" s="5">
        <v>8</v>
      </c>
      <c r="S6474" s="5">
        <v>53</v>
      </c>
    </row>
    <row r="6475" spans="1:19" ht="56" x14ac:dyDescent="0.15">
      <c r="A6475" s="2">
        <f>HYPERLINK("https://open-school.uspishnemisto.com.ua/school/320666/", 320666)</f>
        <v>320666</v>
      </c>
      <c r="B6475" s="3" t="s">
        <v>34005</v>
      </c>
      <c r="C6475" s="3" t="s">
        <v>54</v>
      </c>
      <c r="D6475" s="3" t="s">
        <v>175</v>
      </c>
      <c r="E6475" s="4" t="s">
        <v>22</v>
      </c>
      <c r="F6475" s="4" t="s">
        <v>34006</v>
      </c>
      <c r="G6475" s="4" t="s">
        <v>34007</v>
      </c>
      <c r="H6475" s="3" t="s">
        <v>30534</v>
      </c>
      <c r="I6475" s="3" t="s">
        <v>22540</v>
      </c>
      <c r="J6475" s="3" t="s">
        <v>34008</v>
      </c>
      <c r="K6475" s="3" t="s">
        <v>34009</v>
      </c>
      <c r="L6475" s="3" t="s">
        <v>34010</v>
      </c>
      <c r="M6475" s="4"/>
      <c r="N6475" s="3" t="s">
        <v>37</v>
      </c>
      <c r="O6475" s="3" t="s">
        <v>38</v>
      </c>
      <c r="P6475" s="5">
        <v>6</v>
      </c>
      <c r="Q6475" s="5">
        <v>39</v>
      </c>
      <c r="R6475" s="5">
        <v>6</v>
      </c>
      <c r="S6475" s="5">
        <v>33</v>
      </c>
    </row>
    <row r="6476" spans="1:19" ht="56" x14ac:dyDescent="0.15">
      <c r="A6476" s="2">
        <f>HYPERLINK("https://open-school.uspishnemisto.com.ua/school/320667/", 320667)</f>
        <v>320667</v>
      </c>
      <c r="B6476" s="3" t="s">
        <v>34011</v>
      </c>
      <c r="C6476" s="3" t="s">
        <v>54</v>
      </c>
      <c r="D6476" s="3" t="s">
        <v>175</v>
      </c>
      <c r="E6476" s="4" t="s">
        <v>22</v>
      </c>
      <c r="F6476" s="4" t="s">
        <v>34012</v>
      </c>
      <c r="G6476" s="4" t="s">
        <v>34013</v>
      </c>
      <c r="H6476" s="3" t="s">
        <v>30534</v>
      </c>
      <c r="I6476" s="3" t="s">
        <v>34014</v>
      </c>
      <c r="J6476" s="3" t="s">
        <v>1668</v>
      </c>
      <c r="K6476" s="3" t="s">
        <v>34015</v>
      </c>
      <c r="L6476" s="3"/>
      <c r="M6476" s="4"/>
      <c r="N6476" s="3" t="s">
        <v>37</v>
      </c>
      <c r="O6476" s="3" t="s">
        <v>38</v>
      </c>
      <c r="P6476" s="5">
        <v>8</v>
      </c>
      <c r="Q6476" s="5">
        <v>53</v>
      </c>
      <c r="R6476" s="5">
        <v>7</v>
      </c>
      <c r="S6476" s="5">
        <v>49</v>
      </c>
    </row>
    <row r="6477" spans="1:19" ht="28" x14ac:dyDescent="0.15">
      <c r="A6477" s="2">
        <f>HYPERLINK("https://open-school.uspishnemisto.com.ua/school/320668/", 320668)</f>
        <v>320668</v>
      </c>
      <c r="B6477" s="3" t="s">
        <v>34016</v>
      </c>
      <c r="C6477" s="3" t="s">
        <v>31</v>
      </c>
      <c r="D6477" s="3" t="s">
        <v>32</v>
      </c>
      <c r="E6477" s="4" t="s">
        <v>22</v>
      </c>
      <c r="F6477" s="4" t="s">
        <v>34017</v>
      </c>
      <c r="G6477" s="4" t="s">
        <v>34018</v>
      </c>
      <c r="H6477" s="3" t="s">
        <v>30534</v>
      </c>
      <c r="I6477" s="3" t="s">
        <v>34019</v>
      </c>
      <c r="J6477" s="3" t="s">
        <v>34020</v>
      </c>
      <c r="K6477" s="3" t="s">
        <v>34021</v>
      </c>
      <c r="L6477" s="3"/>
      <c r="M6477" s="4"/>
      <c r="N6477" s="3" t="s">
        <v>37</v>
      </c>
      <c r="O6477" s="3" t="s">
        <v>38</v>
      </c>
      <c r="P6477" s="5">
        <v>10</v>
      </c>
      <c r="Q6477" s="5">
        <v>119</v>
      </c>
      <c r="R6477" s="5">
        <v>10</v>
      </c>
      <c r="S6477" s="5">
        <v>119</v>
      </c>
    </row>
    <row r="6478" spans="1:19" ht="56" x14ac:dyDescent="0.15">
      <c r="A6478" s="2">
        <f>HYPERLINK("https://open-school.uspishnemisto.com.ua/school/320669/", 320669)</f>
        <v>320669</v>
      </c>
      <c r="B6478" s="3" t="s">
        <v>34022</v>
      </c>
      <c r="C6478" s="3" t="s">
        <v>54</v>
      </c>
      <c r="D6478" s="3" t="s">
        <v>32</v>
      </c>
      <c r="E6478" s="4" t="s">
        <v>22</v>
      </c>
      <c r="F6478" s="4" t="s">
        <v>34023</v>
      </c>
      <c r="G6478" s="4" t="s">
        <v>34024</v>
      </c>
      <c r="H6478" s="3" t="s">
        <v>30534</v>
      </c>
      <c r="I6478" s="3" t="s">
        <v>1409</v>
      </c>
      <c r="J6478" s="3" t="s">
        <v>8185</v>
      </c>
      <c r="K6478" s="3" t="s">
        <v>34025</v>
      </c>
      <c r="L6478" s="3" t="s">
        <v>34026</v>
      </c>
      <c r="M6478" s="4"/>
      <c r="N6478" s="3" t="s">
        <v>37</v>
      </c>
      <c r="O6478" s="3" t="s">
        <v>38</v>
      </c>
      <c r="P6478" s="5">
        <v>11</v>
      </c>
      <c r="Q6478" s="5">
        <v>86</v>
      </c>
      <c r="R6478" s="5">
        <v>11</v>
      </c>
      <c r="S6478" s="5">
        <v>97</v>
      </c>
    </row>
    <row r="6479" spans="1:19" ht="56" x14ac:dyDescent="0.15">
      <c r="A6479" s="2">
        <f>HYPERLINK("https://open-school.uspishnemisto.com.ua/school/320670/", 320670)</f>
        <v>320670</v>
      </c>
      <c r="B6479" s="3" t="s">
        <v>34027</v>
      </c>
      <c r="C6479" s="3" t="s">
        <v>54</v>
      </c>
      <c r="D6479" s="3" t="s">
        <v>175</v>
      </c>
      <c r="E6479" s="4" t="s">
        <v>22</v>
      </c>
      <c r="F6479" s="4" t="s">
        <v>34028</v>
      </c>
      <c r="G6479" s="4" t="s">
        <v>34029</v>
      </c>
      <c r="H6479" s="3" t="s">
        <v>30534</v>
      </c>
      <c r="I6479" s="3" t="s">
        <v>17825</v>
      </c>
      <c r="J6479" s="3" t="s">
        <v>23179</v>
      </c>
      <c r="K6479" s="3" t="s">
        <v>34030</v>
      </c>
      <c r="L6479" s="3"/>
      <c r="M6479" s="4"/>
      <c r="N6479" s="3" t="s">
        <v>37</v>
      </c>
      <c r="O6479" s="3" t="s">
        <v>38</v>
      </c>
      <c r="P6479" s="5">
        <v>5</v>
      </c>
      <c r="Q6479" s="5">
        <v>34</v>
      </c>
      <c r="R6479" s="5">
        <v>4</v>
      </c>
      <c r="S6479" s="5">
        <v>32</v>
      </c>
    </row>
    <row r="6480" spans="1:19" ht="56" x14ac:dyDescent="0.15">
      <c r="A6480" s="2">
        <f>HYPERLINK("https://open-school.uspishnemisto.com.ua/school/320671/", 320671)</f>
        <v>320671</v>
      </c>
      <c r="B6480" s="3" t="s">
        <v>34031</v>
      </c>
      <c r="C6480" s="3" t="s">
        <v>54</v>
      </c>
      <c r="D6480" s="3" t="s">
        <v>175</v>
      </c>
      <c r="E6480" s="4" t="s">
        <v>22</v>
      </c>
      <c r="F6480" s="4" t="s">
        <v>34032</v>
      </c>
      <c r="G6480" s="4" t="s">
        <v>34033</v>
      </c>
      <c r="H6480" s="3" t="s">
        <v>30534</v>
      </c>
      <c r="I6480" s="3" t="s">
        <v>16795</v>
      </c>
      <c r="J6480" s="3" t="s">
        <v>2191</v>
      </c>
      <c r="K6480" s="3" t="s">
        <v>34034</v>
      </c>
      <c r="L6480" s="3"/>
      <c r="M6480" s="4"/>
      <c r="N6480" s="3" t="s">
        <v>37</v>
      </c>
      <c r="O6480" s="3" t="s">
        <v>46</v>
      </c>
      <c r="P6480" s="5">
        <v>6</v>
      </c>
      <c r="Q6480" s="5">
        <v>36</v>
      </c>
      <c r="R6480" s="5">
        <v>5</v>
      </c>
      <c r="S6480" s="5">
        <v>38</v>
      </c>
    </row>
    <row r="6481" spans="1:19" ht="28" x14ac:dyDescent="0.15">
      <c r="A6481" s="2">
        <f>HYPERLINK("https://open-school.uspishnemisto.com.ua/school/320672/", 320672)</f>
        <v>320672</v>
      </c>
      <c r="B6481" s="3" t="s">
        <v>34035</v>
      </c>
      <c r="C6481" s="3" t="s">
        <v>31</v>
      </c>
      <c r="D6481" s="3" t="s">
        <v>32</v>
      </c>
      <c r="E6481" s="4" t="s">
        <v>22</v>
      </c>
      <c r="F6481" s="4" t="s">
        <v>34036</v>
      </c>
      <c r="G6481" s="4" t="s">
        <v>34037</v>
      </c>
      <c r="H6481" s="3" t="s">
        <v>30534</v>
      </c>
      <c r="I6481" s="3" t="s">
        <v>34038</v>
      </c>
      <c r="J6481" s="3" t="s">
        <v>3501</v>
      </c>
      <c r="K6481" s="3" t="s">
        <v>34039</v>
      </c>
      <c r="L6481" s="3" t="s">
        <v>34040</v>
      </c>
      <c r="M6481" s="4"/>
      <c r="N6481" s="3" t="s">
        <v>37</v>
      </c>
      <c r="O6481" s="3" t="s">
        <v>46</v>
      </c>
      <c r="P6481" s="5">
        <v>10</v>
      </c>
      <c r="Q6481" s="5">
        <v>118</v>
      </c>
      <c r="R6481" s="5">
        <v>11</v>
      </c>
      <c r="S6481" s="5">
        <v>120</v>
      </c>
    </row>
    <row r="6482" spans="1:19" ht="28" x14ac:dyDescent="0.15">
      <c r="A6482" s="2">
        <f>HYPERLINK("https://open-school.uspishnemisto.com.ua/school/320673/", 320673)</f>
        <v>320673</v>
      </c>
      <c r="B6482" s="3" t="s">
        <v>34041</v>
      </c>
      <c r="C6482" s="3" t="s">
        <v>20</v>
      </c>
      <c r="D6482" s="3" t="s">
        <v>21</v>
      </c>
      <c r="E6482" s="4" t="s">
        <v>22</v>
      </c>
      <c r="F6482" s="4" t="s">
        <v>34042</v>
      </c>
      <c r="G6482" s="4" t="s">
        <v>34043</v>
      </c>
      <c r="H6482" s="3" t="s">
        <v>30534</v>
      </c>
      <c r="I6482" s="3" t="s">
        <v>34044</v>
      </c>
      <c r="J6482" s="3" t="s">
        <v>33694</v>
      </c>
      <c r="K6482" s="3" t="s">
        <v>34045</v>
      </c>
      <c r="L6482" s="3"/>
      <c r="M6482" s="4"/>
      <c r="N6482" s="3"/>
      <c r="O6482" s="3"/>
      <c r="P6482" s="5">
        <v>0</v>
      </c>
      <c r="Q6482" s="5">
        <v>0</v>
      </c>
      <c r="R6482" s="5"/>
      <c r="S6482" s="5"/>
    </row>
    <row r="6483" spans="1:19" ht="28" x14ac:dyDescent="0.15">
      <c r="A6483" s="2">
        <f>HYPERLINK("https://open-school.uspishnemisto.com.ua/school/320674/", 320674)</f>
        <v>320674</v>
      </c>
      <c r="B6483" s="3" t="s">
        <v>34046</v>
      </c>
      <c r="C6483" s="3" t="s">
        <v>31</v>
      </c>
      <c r="D6483" s="3" t="s">
        <v>32</v>
      </c>
      <c r="E6483" s="4" t="s">
        <v>22</v>
      </c>
      <c r="F6483" s="4" t="s">
        <v>34047</v>
      </c>
      <c r="G6483" s="4" t="s">
        <v>34043</v>
      </c>
      <c r="H6483" s="3" t="s">
        <v>30534</v>
      </c>
      <c r="I6483" s="3" t="s">
        <v>34044</v>
      </c>
      <c r="J6483" s="3" t="s">
        <v>34048</v>
      </c>
      <c r="K6483" s="3" t="s">
        <v>34049</v>
      </c>
      <c r="L6483" s="3" t="s">
        <v>34050</v>
      </c>
      <c r="M6483" s="4"/>
      <c r="N6483" s="3" t="s">
        <v>37</v>
      </c>
      <c r="O6483" s="3" t="s">
        <v>52</v>
      </c>
      <c r="P6483" s="5">
        <v>13</v>
      </c>
      <c r="Q6483" s="5">
        <v>225</v>
      </c>
      <c r="R6483" s="5">
        <v>13</v>
      </c>
      <c r="S6483" s="5">
        <v>228</v>
      </c>
    </row>
    <row r="6484" spans="1:19" ht="28" x14ac:dyDescent="0.15">
      <c r="A6484" s="2">
        <f>HYPERLINK("https://open-school.uspishnemisto.com.ua/school/320675/", 320675)</f>
        <v>320675</v>
      </c>
      <c r="B6484" s="3" t="s">
        <v>34051</v>
      </c>
      <c r="C6484" s="3" t="s">
        <v>31</v>
      </c>
      <c r="D6484" s="3" t="s">
        <v>32</v>
      </c>
      <c r="E6484" s="4" t="s">
        <v>22</v>
      </c>
      <c r="F6484" s="4" t="s">
        <v>34042</v>
      </c>
      <c r="G6484" s="4" t="s">
        <v>34043</v>
      </c>
      <c r="H6484" s="3" t="s">
        <v>30534</v>
      </c>
      <c r="I6484" s="3" t="s">
        <v>34044</v>
      </c>
      <c r="J6484" s="3" t="s">
        <v>34052</v>
      </c>
      <c r="K6484" s="3" t="s">
        <v>34053</v>
      </c>
      <c r="L6484" s="3" t="s">
        <v>34054</v>
      </c>
      <c r="M6484" s="4"/>
      <c r="N6484" s="3" t="s">
        <v>37</v>
      </c>
      <c r="O6484" s="3" t="s">
        <v>123</v>
      </c>
      <c r="P6484" s="5">
        <v>17</v>
      </c>
      <c r="Q6484" s="5">
        <v>350</v>
      </c>
      <c r="R6484" s="5">
        <v>18</v>
      </c>
      <c r="S6484" s="5">
        <v>368</v>
      </c>
    </row>
    <row r="6485" spans="1:19" ht="42" x14ac:dyDescent="0.15">
      <c r="A6485" s="2">
        <f>HYPERLINK("https://open-school.uspishnemisto.com.ua/school/320676/", 320676)</f>
        <v>320676</v>
      </c>
      <c r="B6485" s="3" t="s">
        <v>34055</v>
      </c>
      <c r="C6485" s="3" t="s">
        <v>54</v>
      </c>
      <c r="D6485" s="3" t="s">
        <v>32</v>
      </c>
      <c r="E6485" s="4" t="s">
        <v>22</v>
      </c>
      <c r="F6485" s="4" t="s">
        <v>34042</v>
      </c>
      <c r="G6485" s="4" t="s">
        <v>34043</v>
      </c>
      <c r="H6485" s="3" t="s">
        <v>30534</v>
      </c>
      <c r="I6485" s="3" t="s">
        <v>34044</v>
      </c>
      <c r="J6485" s="3" t="s">
        <v>34056</v>
      </c>
      <c r="K6485" s="3" t="s">
        <v>34057</v>
      </c>
      <c r="L6485" s="3" t="s">
        <v>34058</v>
      </c>
      <c r="M6485" s="4"/>
      <c r="N6485" s="3" t="s">
        <v>37</v>
      </c>
      <c r="O6485" s="3" t="s">
        <v>38</v>
      </c>
      <c r="P6485" s="5">
        <v>16</v>
      </c>
      <c r="Q6485" s="5">
        <v>309</v>
      </c>
      <c r="R6485" s="5">
        <v>16</v>
      </c>
      <c r="S6485" s="5">
        <v>302</v>
      </c>
    </row>
    <row r="6486" spans="1:19" ht="56" x14ac:dyDescent="0.15">
      <c r="A6486" s="2">
        <f>HYPERLINK("https://open-school.uspishnemisto.com.ua/school/320677/", 320677)</f>
        <v>320677</v>
      </c>
      <c r="B6486" s="3" t="s">
        <v>34059</v>
      </c>
      <c r="C6486" s="3" t="s">
        <v>54</v>
      </c>
      <c r="D6486" s="3" t="s">
        <v>32</v>
      </c>
      <c r="E6486" s="4" t="s">
        <v>22</v>
      </c>
      <c r="F6486" s="4" t="s">
        <v>34042</v>
      </c>
      <c r="G6486" s="4" t="s">
        <v>34043</v>
      </c>
      <c r="H6486" s="3" t="s">
        <v>30534</v>
      </c>
      <c r="I6486" s="3" t="s">
        <v>34044</v>
      </c>
      <c r="J6486" s="3" t="s">
        <v>34060</v>
      </c>
      <c r="K6486" s="3" t="s">
        <v>34061</v>
      </c>
      <c r="L6486" s="3" t="s">
        <v>34062</v>
      </c>
      <c r="M6486" s="4"/>
      <c r="N6486" s="3" t="s">
        <v>37</v>
      </c>
      <c r="O6486" s="3" t="s">
        <v>38</v>
      </c>
      <c r="P6486" s="5">
        <v>29</v>
      </c>
      <c r="Q6486" s="5">
        <v>644</v>
      </c>
      <c r="R6486" s="5">
        <v>28</v>
      </c>
      <c r="S6486" s="5">
        <v>637</v>
      </c>
    </row>
    <row r="6487" spans="1:19" ht="42" x14ac:dyDescent="0.15">
      <c r="A6487" s="2">
        <f>HYPERLINK("https://open-school.uspishnemisto.com.ua/school/320678/", 320678)</f>
        <v>320678</v>
      </c>
      <c r="B6487" s="3" t="s">
        <v>34063</v>
      </c>
      <c r="C6487" s="3" t="s">
        <v>54</v>
      </c>
      <c r="D6487" s="3" t="s">
        <v>175</v>
      </c>
      <c r="E6487" s="4" t="s">
        <v>22</v>
      </c>
      <c r="F6487" s="4" t="s">
        <v>34064</v>
      </c>
      <c r="G6487" s="4" t="s">
        <v>34065</v>
      </c>
      <c r="H6487" s="3" t="s">
        <v>30534</v>
      </c>
      <c r="I6487" s="3" t="s">
        <v>34066</v>
      </c>
      <c r="J6487" s="3" t="s">
        <v>34067</v>
      </c>
      <c r="K6487" s="3" t="s">
        <v>607</v>
      </c>
      <c r="L6487" s="3"/>
      <c r="M6487" s="4"/>
      <c r="N6487" s="3" t="s">
        <v>37</v>
      </c>
      <c r="O6487" s="3" t="s">
        <v>52</v>
      </c>
      <c r="P6487" s="5">
        <v>7</v>
      </c>
      <c r="Q6487" s="5">
        <v>44</v>
      </c>
      <c r="R6487" s="5">
        <v>7</v>
      </c>
      <c r="S6487" s="5">
        <v>51</v>
      </c>
    </row>
    <row r="6488" spans="1:19" ht="42" x14ac:dyDescent="0.15">
      <c r="A6488" s="2">
        <f>HYPERLINK("https://open-school.uspishnemisto.com.ua/school/320679/", 320679)</f>
        <v>320679</v>
      </c>
      <c r="B6488" s="3" t="s">
        <v>34068</v>
      </c>
      <c r="C6488" s="3" t="s">
        <v>54</v>
      </c>
      <c r="D6488" s="3" t="s">
        <v>32</v>
      </c>
      <c r="E6488" s="4" t="s">
        <v>22</v>
      </c>
      <c r="F6488" s="4" t="s">
        <v>34069</v>
      </c>
      <c r="G6488" s="4" t="s">
        <v>34070</v>
      </c>
      <c r="H6488" s="3" t="s">
        <v>30534</v>
      </c>
      <c r="I6488" s="3" t="s">
        <v>3512</v>
      </c>
      <c r="J6488" s="3" t="s">
        <v>34071</v>
      </c>
      <c r="K6488" s="3" t="s">
        <v>34072</v>
      </c>
      <c r="L6488" s="3" t="s">
        <v>34073</v>
      </c>
      <c r="M6488" s="4"/>
      <c r="N6488" s="3" t="s">
        <v>37</v>
      </c>
      <c r="O6488" s="3" t="s">
        <v>52</v>
      </c>
      <c r="P6488" s="5">
        <v>11</v>
      </c>
      <c r="Q6488" s="5">
        <v>74</v>
      </c>
      <c r="R6488" s="5">
        <v>11</v>
      </c>
      <c r="S6488" s="5">
        <v>83</v>
      </c>
    </row>
    <row r="6489" spans="1:19" ht="42" x14ac:dyDescent="0.15">
      <c r="A6489" s="2">
        <f>HYPERLINK("https://open-school.uspishnemisto.com.ua/school/320680/", 320680)</f>
        <v>320680</v>
      </c>
      <c r="B6489" s="3" t="s">
        <v>34074</v>
      </c>
      <c r="C6489" s="3" t="s">
        <v>54</v>
      </c>
      <c r="D6489" s="3" t="s">
        <v>175</v>
      </c>
      <c r="E6489" s="4" t="s">
        <v>22</v>
      </c>
      <c r="F6489" s="4" t="s">
        <v>34075</v>
      </c>
      <c r="G6489" s="4" t="s">
        <v>34076</v>
      </c>
      <c r="H6489" s="3" t="s">
        <v>30534</v>
      </c>
      <c r="I6489" s="3" t="s">
        <v>34077</v>
      </c>
      <c r="J6489" s="3" t="s">
        <v>2584</v>
      </c>
      <c r="K6489" s="3"/>
      <c r="L6489" s="3"/>
      <c r="M6489" s="4"/>
      <c r="N6489" s="3" t="s">
        <v>37</v>
      </c>
      <c r="O6489" s="3" t="s">
        <v>52</v>
      </c>
      <c r="P6489" s="5">
        <v>9</v>
      </c>
      <c r="Q6489" s="5">
        <v>54</v>
      </c>
      <c r="R6489" s="5">
        <v>9</v>
      </c>
      <c r="S6489" s="5">
        <v>57</v>
      </c>
    </row>
    <row r="6490" spans="1:19" ht="28" x14ac:dyDescent="0.15">
      <c r="A6490" s="2">
        <f>HYPERLINK("https://open-school.uspishnemisto.com.ua/school/320681/", 320681)</f>
        <v>320681</v>
      </c>
      <c r="B6490" s="3" t="s">
        <v>34078</v>
      </c>
      <c r="C6490" s="3" t="s">
        <v>31</v>
      </c>
      <c r="D6490" s="3" t="s">
        <v>32</v>
      </c>
      <c r="E6490" s="4" t="s">
        <v>22</v>
      </c>
      <c r="F6490" s="4" t="s">
        <v>34079</v>
      </c>
      <c r="G6490" s="4" t="s">
        <v>34080</v>
      </c>
      <c r="H6490" s="3" t="s">
        <v>30534</v>
      </c>
      <c r="I6490" s="3" t="s">
        <v>4104</v>
      </c>
      <c r="J6490" s="3" t="s">
        <v>946</v>
      </c>
      <c r="K6490" s="3" t="s">
        <v>34081</v>
      </c>
      <c r="L6490" s="3"/>
      <c r="M6490" s="4"/>
      <c r="N6490" s="3" t="s">
        <v>37</v>
      </c>
      <c r="O6490" s="3" t="s">
        <v>38</v>
      </c>
      <c r="P6490" s="5">
        <v>10</v>
      </c>
      <c r="Q6490" s="5">
        <v>76</v>
      </c>
      <c r="R6490" s="5">
        <v>9</v>
      </c>
      <c r="S6490" s="5">
        <v>70</v>
      </c>
    </row>
    <row r="6491" spans="1:19" ht="42" x14ac:dyDescent="0.15">
      <c r="A6491" s="2">
        <f>HYPERLINK("https://open-school.uspishnemisto.com.ua/school/320682/", 320682)</f>
        <v>320682</v>
      </c>
      <c r="B6491" s="3" t="s">
        <v>34082</v>
      </c>
      <c r="C6491" s="3" t="s">
        <v>54</v>
      </c>
      <c r="D6491" s="3" t="s">
        <v>32</v>
      </c>
      <c r="E6491" s="4" t="s">
        <v>22</v>
      </c>
      <c r="F6491" s="4" t="s">
        <v>34083</v>
      </c>
      <c r="G6491" s="4" t="s">
        <v>34084</v>
      </c>
      <c r="H6491" s="3" t="s">
        <v>30534</v>
      </c>
      <c r="I6491" s="3" t="s">
        <v>34085</v>
      </c>
      <c r="J6491" s="3" t="s">
        <v>2313</v>
      </c>
      <c r="K6491" s="3" t="s">
        <v>34086</v>
      </c>
      <c r="L6491" s="3"/>
      <c r="M6491" s="4"/>
      <c r="N6491" s="3" t="s">
        <v>37</v>
      </c>
      <c r="O6491" s="3" t="s">
        <v>46</v>
      </c>
      <c r="P6491" s="5">
        <v>10</v>
      </c>
      <c r="Q6491" s="5">
        <v>69</v>
      </c>
      <c r="R6491" s="5">
        <v>10</v>
      </c>
      <c r="S6491" s="5">
        <v>78</v>
      </c>
    </row>
    <row r="6492" spans="1:19" ht="28" x14ac:dyDescent="0.15">
      <c r="A6492" s="2">
        <f>HYPERLINK("https://open-school.uspishnemisto.com.ua/school/320683/", 320683)</f>
        <v>320683</v>
      </c>
      <c r="B6492" s="3" t="s">
        <v>34087</v>
      </c>
      <c r="C6492" s="3" t="s">
        <v>31</v>
      </c>
      <c r="D6492" s="3" t="s">
        <v>32</v>
      </c>
      <c r="E6492" s="4" t="s">
        <v>22</v>
      </c>
      <c r="F6492" s="4" t="s">
        <v>34088</v>
      </c>
      <c r="G6492" s="4" t="s">
        <v>34089</v>
      </c>
      <c r="H6492" s="3" t="s">
        <v>30534</v>
      </c>
      <c r="I6492" s="3" t="s">
        <v>34090</v>
      </c>
      <c r="J6492" s="3" t="s">
        <v>28424</v>
      </c>
      <c r="K6492" s="3" t="s">
        <v>34091</v>
      </c>
      <c r="L6492" s="3"/>
      <c r="M6492" s="4"/>
      <c r="N6492" s="3" t="s">
        <v>37</v>
      </c>
      <c r="O6492" s="3" t="s">
        <v>38</v>
      </c>
      <c r="P6492" s="5">
        <v>11</v>
      </c>
      <c r="Q6492" s="5">
        <v>228</v>
      </c>
      <c r="R6492" s="5">
        <v>11</v>
      </c>
      <c r="S6492" s="5">
        <v>229</v>
      </c>
    </row>
    <row r="6493" spans="1:19" ht="42" x14ac:dyDescent="0.15">
      <c r="A6493" s="2">
        <f>HYPERLINK("https://open-school.uspishnemisto.com.ua/school/320684/", 320684)</f>
        <v>320684</v>
      </c>
      <c r="B6493" s="3" t="s">
        <v>34092</v>
      </c>
      <c r="C6493" s="3" t="s">
        <v>54</v>
      </c>
      <c r="D6493" s="3" t="s">
        <v>175</v>
      </c>
      <c r="E6493" s="4" t="s">
        <v>22</v>
      </c>
      <c r="F6493" s="4" t="s">
        <v>34093</v>
      </c>
      <c r="G6493" s="4" t="s">
        <v>34094</v>
      </c>
      <c r="H6493" s="3" t="s">
        <v>30534</v>
      </c>
      <c r="I6493" s="3" t="s">
        <v>34095</v>
      </c>
      <c r="J6493" s="3" t="s">
        <v>2841</v>
      </c>
      <c r="K6493" s="3" t="s">
        <v>34096</v>
      </c>
      <c r="L6493" s="3" t="s">
        <v>34097</v>
      </c>
      <c r="M6493" s="4"/>
      <c r="N6493" s="3" t="s">
        <v>37</v>
      </c>
      <c r="O6493" s="3" t="s">
        <v>52</v>
      </c>
      <c r="P6493" s="5">
        <v>9</v>
      </c>
      <c r="Q6493" s="5">
        <v>44</v>
      </c>
      <c r="R6493" s="5">
        <v>9</v>
      </c>
      <c r="S6493" s="5">
        <v>43</v>
      </c>
    </row>
    <row r="6494" spans="1:19" ht="28" x14ac:dyDescent="0.15">
      <c r="A6494" s="2">
        <f>HYPERLINK("https://open-school.uspishnemisto.com.ua/school/320685/", 320685)</f>
        <v>320685</v>
      </c>
      <c r="B6494" s="3" t="s">
        <v>34098</v>
      </c>
      <c r="C6494" s="3" t="s">
        <v>54</v>
      </c>
      <c r="D6494" s="3" t="s">
        <v>32</v>
      </c>
      <c r="E6494" s="4" t="s">
        <v>22</v>
      </c>
      <c r="F6494" s="4" t="s">
        <v>34099</v>
      </c>
      <c r="G6494" s="4" t="s">
        <v>34100</v>
      </c>
      <c r="H6494" s="3" t="s">
        <v>30534</v>
      </c>
      <c r="I6494" s="3" t="s">
        <v>34101</v>
      </c>
      <c r="J6494" s="3" t="s">
        <v>34102</v>
      </c>
      <c r="K6494" s="3"/>
      <c r="L6494" s="3"/>
      <c r="M6494" s="4"/>
      <c r="N6494" s="3" t="s">
        <v>37</v>
      </c>
      <c r="O6494" s="3" t="s">
        <v>52</v>
      </c>
      <c r="P6494" s="5">
        <v>9</v>
      </c>
      <c r="Q6494" s="5">
        <v>78</v>
      </c>
      <c r="R6494" s="5">
        <v>9</v>
      </c>
      <c r="S6494" s="5">
        <v>79</v>
      </c>
    </row>
    <row r="6495" spans="1:19" ht="42" x14ac:dyDescent="0.15">
      <c r="A6495" s="2">
        <f>HYPERLINK("https://open-school.uspishnemisto.com.ua/school/320686/", 320686)</f>
        <v>320686</v>
      </c>
      <c r="B6495" s="3" t="s">
        <v>34103</v>
      </c>
      <c r="C6495" s="3" t="s">
        <v>54</v>
      </c>
      <c r="D6495" s="3" t="s">
        <v>32</v>
      </c>
      <c r="E6495" s="4" t="s">
        <v>22</v>
      </c>
      <c r="F6495" s="4" t="s">
        <v>34104</v>
      </c>
      <c r="G6495" s="4" t="s">
        <v>34105</v>
      </c>
      <c r="H6495" s="3" t="s">
        <v>30534</v>
      </c>
      <c r="I6495" s="3" t="s">
        <v>1699</v>
      </c>
      <c r="J6495" s="3" t="s">
        <v>34106</v>
      </c>
      <c r="K6495" s="3" t="s">
        <v>34107</v>
      </c>
      <c r="L6495" s="3" t="s">
        <v>34108</v>
      </c>
      <c r="M6495" s="4"/>
      <c r="N6495" s="3" t="s">
        <v>37</v>
      </c>
      <c r="O6495" s="3" t="s">
        <v>38</v>
      </c>
      <c r="P6495" s="5">
        <v>23</v>
      </c>
      <c r="Q6495" s="5">
        <v>377</v>
      </c>
      <c r="R6495" s="5">
        <v>16</v>
      </c>
      <c r="S6495" s="5">
        <v>314</v>
      </c>
    </row>
    <row r="6496" spans="1:19" ht="42" x14ac:dyDescent="0.15">
      <c r="A6496" s="2">
        <f>HYPERLINK("https://open-school.uspishnemisto.com.ua/school/320687/", 320687)</f>
        <v>320687</v>
      </c>
      <c r="B6496" s="3" t="s">
        <v>34109</v>
      </c>
      <c r="C6496" s="3" t="s">
        <v>54</v>
      </c>
      <c r="D6496" s="3" t="s">
        <v>175</v>
      </c>
      <c r="E6496" s="4" t="s">
        <v>22</v>
      </c>
      <c r="F6496" s="4" t="s">
        <v>34110</v>
      </c>
      <c r="G6496" s="4" t="s">
        <v>34111</v>
      </c>
      <c r="H6496" s="3" t="s">
        <v>30534</v>
      </c>
      <c r="I6496" s="3" t="s">
        <v>34112</v>
      </c>
      <c r="J6496" s="3" t="s">
        <v>34113</v>
      </c>
      <c r="K6496" s="3"/>
      <c r="L6496" s="3" t="s">
        <v>34114</v>
      </c>
      <c r="M6496" s="4"/>
      <c r="N6496" s="3" t="s">
        <v>37</v>
      </c>
      <c r="O6496" s="3" t="s">
        <v>38</v>
      </c>
      <c r="P6496" s="5">
        <v>9</v>
      </c>
      <c r="Q6496" s="5">
        <v>77</v>
      </c>
      <c r="R6496" s="5">
        <v>9</v>
      </c>
      <c r="S6496" s="5">
        <v>73</v>
      </c>
    </row>
    <row r="6497" spans="1:19" ht="28" x14ac:dyDescent="0.15">
      <c r="A6497" s="2">
        <f>HYPERLINK("https://open-school.uspishnemisto.com.ua/school/320688/", 320688)</f>
        <v>320688</v>
      </c>
      <c r="B6497" s="3" t="s">
        <v>34115</v>
      </c>
      <c r="C6497" s="3" t="s">
        <v>31</v>
      </c>
      <c r="D6497" s="3" t="s">
        <v>175</v>
      </c>
      <c r="E6497" s="4" t="s">
        <v>22</v>
      </c>
      <c r="F6497" s="4" t="s">
        <v>34116</v>
      </c>
      <c r="G6497" s="4" t="s">
        <v>34117</v>
      </c>
      <c r="H6497" s="3" t="s">
        <v>30534</v>
      </c>
      <c r="I6497" s="3" t="s">
        <v>34118</v>
      </c>
      <c r="J6497" s="3" t="s">
        <v>466</v>
      </c>
      <c r="K6497" s="3" t="s">
        <v>34119</v>
      </c>
      <c r="L6497" s="3"/>
      <c r="M6497" s="4"/>
      <c r="N6497" s="3" t="s">
        <v>37</v>
      </c>
      <c r="O6497" s="3" t="s">
        <v>38</v>
      </c>
      <c r="P6497" s="5">
        <v>9</v>
      </c>
      <c r="Q6497" s="5">
        <v>59</v>
      </c>
      <c r="R6497" s="5">
        <v>9</v>
      </c>
      <c r="S6497" s="5">
        <v>55</v>
      </c>
    </row>
    <row r="6498" spans="1:19" ht="42" x14ac:dyDescent="0.15">
      <c r="A6498" s="2">
        <f>HYPERLINK("https://open-school.uspishnemisto.com.ua/school/320689/", 320689)</f>
        <v>320689</v>
      </c>
      <c r="B6498" s="3" t="s">
        <v>34120</v>
      </c>
      <c r="C6498" s="3" t="s">
        <v>54</v>
      </c>
      <c r="D6498" s="3" t="s">
        <v>175</v>
      </c>
      <c r="E6498" s="4" t="s">
        <v>22</v>
      </c>
      <c r="F6498" s="4" t="s">
        <v>34121</v>
      </c>
      <c r="G6498" s="4" t="s">
        <v>34122</v>
      </c>
      <c r="H6498" s="3" t="s">
        <v>30534</v>
      </c>
      <c r="I6498" s="3" t="s">
        <v>34123</v>
      </c>
      <c r="J6498" s="3" t="s">
        <v>34124</v>
      </c>
      <c r="K6498" s="3" t="s">
        <v>34125</v>
      </c>
      <c r="L6498" s="3"/>
      <c r="M6498" s="4"/>
      <c r="N6498" s="3" t="s">
        <v>37</v>
      </c>
      <c r="O6498" s="3" t="s">
        <v>52</v>
      </c>
      <c r="P6498" s="5">
        <v>8</v>
      </c>
      <c r="Q6498" s="5">
        <v>49</v>
      </c>
      <c r="R6498" s="5">
        <v>8</v>
      </c>
      <c r="S6498" s="5">
        <v>52</v>
      </c>
    </row>
    <row r="6499" spans="1:19" ht="28" x14ac:dyDescent="0.15">
      <c r="A6499" s="2">
        <f>HYPERLINK("https://open-school.uspishnemisto.com.ua/school/320690/", 320690)</f>
        <v>320690</v>
      </c>
      <c r="B6499" s="3" t="s">
        <v>34126</v>
      </c>
      <c r="C6499" s="3" t="s">
        <v>31</v>
      </c>
      <c r="D6499" s="3" t="s">
        <v>32</v>
      </c>
      <c r="E6499" s="4" t="s">
        <v>22</v>
      </c>
      <c r="F6499" s="4" t="s">
        <v>34127</v>
      </c>
      <c r="G6499" s="4" t="s">
        <v>34128</v>
      </c>
      <c r="H6499" s="3" t="s">
        <v>30534</v>
      </c>
      <c r="I6499" s="3" t="s">
        <v>34129</v>
      </c>
      <c r="J6499" s="3" t="s">
        <v>34130</v>
      </c>
      <c r="K6499" s="3" t="s">
        <v>34131</v>
      </c>
      <c r="L6499" s="3" t="s">
        <v>34132</v>
      </c>
      <c r="M6499" s="4"/>
      <c r="N6499" s="3" t="s">
        <v>37</v>
      </c>
      <c r="O6499" s="3" t="s">
        <v>52</v>
      </c>
      <c r="P6499" s="5">
        <v>11</v>
      </c>
      <c r="Q6499" s="5">
        <v>188</v>
      </c>
      <c r="R6499" s="5">
        <v>11</v>
      </c>
      <c r="S6499" s="5">
        <v>187</v>
      </c>
    </row>
    <row r="6500" spans="1:19" ht="28" x14ac:dyDescent="0.15">
      <c r="A6500" s="2">
        <f>HYPERLINK("https://open-school.uspishnemisto.com.ua/school/320691/", 320691)</f>
        <v>320691</v>
      </c>
      <c r="B6500" s="3" t="s">
        <v>34133</v>
      </c>
      <c r="C6500" s="3" t="s">
        <v>31</v>
      </c>
      <c r="D6500" s="3" t="s">
        <v>175</v>
      </c>
      <c r="E6500" s="4" t="s">
        <v>22</v>
      </c>
      <c r="F6500" s="4" t="s">
        <v>34134</v>
      </c>
      <c r="G6500" s="4" t="s">
        <v>34135</v>
      </c>
      <c r="H6500" s="3" t="s">
        <v>30534</v>
      </c>
      <c r="I6500" s="3" t="s">
        <v>34136</v>
      </c>
      <c r="J6500" s="3" t="s">
        <v>3064</v>
      </c>
      <c r="K6500" s="3" t="s">
        <v>34137</v>
      </c>
      <c r="L6500" s="3"/>
      <c r="M6500" s="4"/>
      <c r="N6500" s="3" t="s">
        <v>37</v>
      </c>
      <c r="O6500" s="3" t="s">
        <v>38</v>
      </c>
      <c r="P6500" s="5">
        <v>9</v>
      </c>
      <c r="Q6500" s="5">
        <v>48</v>
      </c>
      <c r="R6500" s="5">
        <v>9</v>
      </c>
      <c r="S6500" s="5">
        <v>49</v>
      </c>
    </row>
    <row r="6501" spans="1:19" ht="42" x14ac:dyDescent="0.15">
      <c r="A6501" s="2">
        <f>HYPERLINK("https://open-school.uspishnemisto.com.ua/school/320693/", 320693)</f>
        <v>320693</v>
      </c>
      <c r="B6501" s="3" t="s">
        <v>34138</v>
      </c>
      <c r="C6501" s="3" t="s">
        <v>54</v>
      </c>
      <c r="D6501" s="3" t="s">
        <v>32</v>
      </c>
      <c r="E6501" s="4" t="s">
        <v>22</v>
      </c>
      <c r="F6501" s="4" t="s">
        <v>34139</v>
      </c>
      <c r="G6501" s="4" t="s">
        <v>34140</v>
      </c>
      <c r="H6501" s="3" t="s">
        <v>30534</v>
      </c>
      <c r="I6501" s="3" t="s">
        <v>1028</v>
      </c>
      <c r="J6501" s="3" t="s">
        <v>466</v>
      </c>
      <c r="K6501" s="3" t="s">
        <v>34141</v>
      </c>
      <c r="L6501" s="3"/>
      <c r="M6501" s="4"/>
      <c r="N6501" s="3" t="s">
        <v>37</v>
      </c>
      <c r="O6501" s="3" t="s">
        <v>38</v>
      </c>
      <c r="P6501" s="5">
        <v>10</v>
      </c>
      <c r="Q6501" s="5">
        <v>69</v>
      </c>
      <c r="R6501" s="5">
        <v>10</v>
      </c>
      <c r="S6501" s="5">
        <v>68</v>
      </c>
    </row>
    <row r="6502" spans="1:19" ht="42" x14ac:dyDescent="0.15">
      <c r="A6502" s="2">
        <f>HYPERLINK("https://open-school.uspishnemisto.com.ua/school/320694/", 320694)</f>
        <v>320694</v>
      </c>
      <c r="B6502" s="3" t="s">
        <v>34142</v>
      </c>
      <c r="C6502" s="3" t="s">
        <v>54</v>
      </c>
      <c r="D6502" s="3" t="s">
        <v>175</v>
      </c>
      <c r="E6502" s="4" t="s">
        <v>22</v>
      </c>
      <c r="F6502" s="4" t="s">
        <v>34143</v>
      </c>
      <c r="G6502" s="4" t="s">
        <v>34144</v>
      </c>
      <c r="H6502" s="3" t="s">
        <v>30534</v>
      </c>
      <c r="I6502" s="3" t="s">
        <v>11305</v>
      </c>
      <c r="J6502" s="3" t="s">
        <v>34145</v>
      </c>
      <c r="K6502" s="3" t="s">
        <v>34146</v>
      </c>
      <c r="L6502" s="3"/>
      <c r="M6502" s="4"/>
      <c r="N6502" s="3" t="s">
        <v>37</v>
      </c>
      <c r="O6502" s="3" t="s">
        <v>38</v>
      </c>
      <c r="P6502" s="5">
        <v>9</v>
      </c>
      <c r="Q6502" s="5">
        <v>61</v>
      </c>
      <c r="R6502" s="5">
        <v>9</v>
      </c>
      <c r="S6502" s="5">
        <v>62</v>
      </c>
    </row>
    <row r="6503" spans="1:19" ht="42" x14ac:dyDescent="0.15">
      <c r="A6503" s="2">
        <f>HYPERLINK("https://open-school.uspishnemisto.com.ua/school/320695/", 320695)</f>
        <v>320695</v>
      </c>
      <c r="B6503" s="3" t="s">
        <v>34147</v>
      </c>
      <c r="C6503" s="3" t="s">
        <v>54</v>
      </c>
      <c r="D6503" s="3" t="s">
        <v>32</v>
      </c>
      <c r="E6503" s="4" t="s">
        <v>22</v>
      </c>
      <c r="F6503" s="4" t="s">
        <v>34148</v>
      </c>
      <c r="G6503" s="4" t="s">
        <v>34149</v>
      </c>
      <c r="H6503" s="3" t="s">
        <v>30534</v>
      </c>
      <c r="I6503" s="3" t="s">
        <v>34150</v>
      </c>
      <c r="J6503" s="3" t="s">
        <v>4947</v>
      </c>
      <c r="K6503" s="3" t="s">
        <v>34151</v>
      </c>
      <c r="L6503" s="3"/>
      <c r="M6503" s="4"/>
      <c r="N6503" s="3" t="s">
        <v>37</v>
      </c>
      <c r="O6503" s="3" t="s">
        <v>46</v>
      </c>
      <c r="P6503" s="5">
        <v>10</v>
      </c>
      <c r="Q6503" s="5">
        <v>90</v>
      </c>
      <c r="R6503" s="5">
        <v>10</v>
      </c>
      <c r="S6503" s="5">
        <v>82</v>
      </c>
    </row>
    <row r="6504" spans="1:19" ht="56" x14ac:dyDescent="0.15">
      <c r="A6504" s="2">
        <f>HYPERLINK("https://open-school.uspishnemisto.com.ua/school/320696/", 320696)</f>
        <v>320696</v>
      </c>
      <c r="B6504" s="3" t="s">
        <v>34152</v>
      </c>
      <c r="C6504" s="3" t="s">
        <v>54</v>
      </c>
      <c r="D6504" s="3" t="s">
        <v>32</v>
      </c>
      <c r="E6504" s="4" t="s">
        <v>22</v>
      </c>
      <c r="F6504" s="4" t="s">
        <v>34153</v>
      </c>
      <c r="G6504" s="4" t="s">
        <v>34154</v>
      </c>
      <c r="H6504" s="3" t="s">
        <v>30534</v>
      </c>
      <c r="I6504" s="3" t="s">
        <v>19056</v>
      </c>
      <c r="J6504" s="3" t="s">
        <v>34155</v>
      </c>
      <c r="K6504" s="3" t="s">
        <v>34156</v>
      </c>
      <c r="L6504" s="3" t="s">
        <v>34157</v>
      </c>
      <c r="M6504" s="4"/>
      <c r="N6504" s="3" t="s">
        <v>37</v>
      </c>
      <c r="O6504" s="3" t="s">
        <v>38</v>
      </c>
      <c r="P6504" s="5">
        <v>10</v>
      </c>
      <c r="Q6504" s="5">
        <v>65</v>
      </c>
      <c r="R6504" s="5">
        <v>10</v>
      </c>
      <c r="S6504" s="5">
        <v>71</v>
      </c>
    </row>
    <row r="6505" spans="1:19" ht="28" x14ac:dyDescent="0.15">
      <c r="A6505" s="2">
        <f>HYPERLINK("https://open-school.uspishnemisto.com.ua/school/320697/", 320697)</f>
        <v>320697</v>
      </c>
      <c r="B6505" s="3" t="s">
        <v>4318</v>
      </c>
      <c r="C6505" s="3" t="s">
        <v>31</v>
      </c>
      <c r="D6505" s="3" t="s">
        <v>175</v>
      </c>
      <c r="E6505" s="4" t="s">
        <v>22</v>
      </c>
      <c r="F6505" s="4" t="s">
        <v>34158</v>
      </c>
      <c r="G6505" s="4" t="s">
        <v>34159</v>
      </c>
      <c r="H6505" s="3" t="s">
        <v>30534</v>
      </c>
      <c r="I6505" s="3" t="s">
        <v>34160</v>
      </c>
      <c r="J6505" s="3" t="s">
        <v>34161</v>
      </c>
      <c r="K6505" s="3" t="s">
        <v>34162</v>
      </c>
      <c r="L6505" s="3"/>
      <c r="M6505" s="4"/>
      <c r="N6505" s="3" t="s">
        <v>37</v>
      </c>
      <c r="O6505" s="3" t="s">
        <v>38</v>
      </c>
      <c r="P6505" s="5">
        <v>9</v>
      </c>
      <c r="Q6505" s="5">
        <v>172</v>
      </c>
      <c r="R6505" s="5">
        <v>9</v>
      </c>
      <c r="S6505" s="5">
        <v>168</v>
      </c>
    </row>
    <row r="6506" spans="1:19" ht="28" x14ac:dyDescent="0.15">
      <c r="A6506" s="2">
        <f>HYPERLINK("https://open-school.uspishnemisto.com.ua/school/320698/", 320698)</f>
        <v>320698</v>
      </c>
      <c r="B6506" s="3" t="s">
        <v>34163</v>
      </c>
      <c r="C6506" s="3" t="s">
        <v>31</v>
      </c>
      <c r="D6506" s="3" t="s">
        <v>32</v>
      </c>
      <c r="E6506" s="4" t="s">
        <v>22</v>
      </c>
      <c r="F6506" s="4" t="s">
        <v>34158</v>
      </c>
      <c r="G6506" s="4" t="s">
        <v>34159</v>
      </c>
      <c r="H6506" s="3" t="s">
        <v>30534</v>
      </c>
      <c r="I6506" s="3" t="s">
        <v>34160</v>
      </c>
      <c r="J6506" s="3" t="s">
        <v>8298</v>
      </c>
      <c r="K6506" s="3" t="s">
        <v>34164</v>
      </c>
      <c r="L6506" s="3"/>
      <c r="M6506" s="4"/>
      <c r="N6506" s="3" t="s">
        <v>37</v>
      </c>
      <c r="O6506" s="3" t="s">
        <v>70</v>
      </c>
      <c r="P6506" s="5">
        <v>36</v>
      </c>
      <c r="Q6506" s="5">
        <v>861</v>
      </c>
      <c r="R6506" s="5">
        <v>34</v>
      </c>
      <c r="S6506" s="5">
        <v>818</v>
      </c>
    </row>
    <row r="6507" spans="1:19" ht="28" x14ac:dyDescent="0.15">
      <c r="A6507" s="2">
        <f>HYPERLINK("https://open-school.uspishnemisto.com.ua/school/320699/", 320699)</f>
        <v>320699</v>
      </c>
      <c r="B6507" s="3" t="s">
        <v>34165</v>
      </c>
      <c r="C6507" s="3" t="s">
        <v>31</v>
      </c>
      <c r="D6507" s="3" t="s">
        <v>32</v>
      </c>
      <c r="E6507" s="4" t="s">
        <v>22</v>
      </c>
      <c r="F6507" s="4" t="s">
        <v>34166</v>
      </c>
      <c r="G6507" s="4" t="s">
        <v>34167</v>
      </c>
      <c r="H6507" s="3" t="s">
        <v>30534</v>
      </c>
      <c r="I6507" s="3" t="s">
        <v>2983</v>
      </c>
      <c r="J6507" s="3" t="s">
        <v>34168</v>
      </c>
      <c r="K6507" s="3" t="s">
        <v>34169</v>
      </c>
      <c r="L6507" s="3"/>
      <c r="M6507" s="4"/>
      <c r="N6507" s="3" t="s">
        <v>37</v>
      </c>
      <c r="O6507" s="3" t="s">
        <v>38</v>
      </c>
      <c r="P6507" s="5">
        <v>11</v>
      </c>
      <c r="Q6507" s="5">
        <v>146</v>
      </c>
      <c r="R6507" s="5">
        <v>11</v>
      </c>
      <c r="S6507" s="5">
        <v>153</v>
      </c>
    </row>
    <row r="6508" spans="1:19" ht="28" x14ac:dyDescent="0.15">
      <c r="A6508" s="2">
        <f>HYPERLINK("https://open-school.uspishnemisto.com.ua/school/320700/", 320700)</f>
        <v>320700</v>
      </c>
      <c r="B6508" s="3" t="s">
        <v>34170</v>
      </c>
      <c r="C6508" s="3" t="s">
        <v>31</v>
      </c>
      <c r="D6508" s="3" t="s">
        <v>175</v>
      </c>
      <c r="E6508" s="4" t="s">
        <v>22</v>
      </c>
      <c r="F6508" s="4" t="s">
        <v>34166</v>
      </c>
      <c r="G6508" s="4" t="s">
        <v>34167</v>
      </c>
      <c r="H6508" s="3" t="s">
        <v>30534</v>
      </c>
      <c r="I6508" s="3" t="s">
        <v>2983</v>
      </c>
      <c r="J6508" s="3" t="s">
        <v>466</v>
      </c>
      <c r="K6508" s="3" t="s">
        <v>34171</v>
      </c>
      <c r="L6508" s="3"/>
      <c r="M6508" s="4"/>
      <c r="N6508" s="3" t="s">
        <v>37</v>
      </c>
      <c r="O6508" s="3" t="s">
        <v>52</v>
      </c>
      <c r="P6508" s="5">
        <v>9</v>
      </c>
      <c r="Q6508" s="5">
        <v>85</v>
      </c>
      <c r="R6508" s="5">
        <v>8</v>
      </c>
      <c r="S6508" s="5">
        <v>74</v>
      </c>
    </row>
    <row r="6509" spans="1:19" ht="28" x14ac:dyDescent="0.15">
      <c r="A6509" s="2">
        <f>HYPERLINK("https://open-school.uspishnemisto.com.ua/school/320701/", 320701)</f>
        <v>320701</v>
      </c>
      <c r="B6509" s="3" t="s">
        <v>34172</v>
      </c>
      <c r="C6509" s="3" t="s">
        <v>31</v>
      </c>
      <c r="D6509" s="3" t="s">
        <v>32</v>
      </c>
      <c r="E6509" s="4" t="s">
        <v>22</v>
      </c>
      <c r="F6509" s="4" t="s">
        <v>34173</v>
      </c>
      <c r="G6509" s="4" t="s">
        <v>34174</v>
      </c>
      <c r="H6509" s="3" t="s">
        <v>30534</v>
      </c>
      <c r="I6509" s="3" t="s">
        <v>34175</v>
      </c>
      <c r="J6509" s="3" t="s">
        <v>17298</v>
      </c>
      <c r="K6509" s="3" t="s">
        <v>34176</v>
      </c>
      <c r="L6509" s="3"/>
      <c r="M6509" s="4"/>
      <c r="N6509" s="3" t="s">
        <v>37</v>
      </c>
      <c r="O6509" s="3" t="s">
        <v>38</v>
      </c>
      <c r="P6509" s="5">
        <v>16</v>
      </c>
      <c r="Q6509" s="5">
        <v>282</v>
      </c>
      <c r="R6509" s="5">
        <v>16</v>
      </c>
      <c r="S6509" s="5">
        <v>287</v>
      </c>
    </row>
    <row r="6510" spans="1:19" ht="42" x14ac:dyDescent="0.15">
      <c r="A6510" s="2">
        <f>HYPERLINK("https://open-school.uspishnemisto.com.ua/school/320702/", 320702)</f>
        <v>320702</v>
      </c>
      <c r="B6510" s="3" t="s">
        <v>34177</v>
      </c>
      <c r="C6510" s="3" t="s">
        <v>31</v>
      </c>
      <c r="D6510" s="3" t="s">
        <v>32</v>
      </c>
      <c r="E6510" s="4" t="s">
        <v>22</v>
      </c>
      <c r="F6510" s="4" t="s">
        <v>34178</v>
      </c>
      <c r="G6510" s="4" t="s">
        <v>34179</v>
      </c>
      <c r="H6510" s="3" t="s">
        <v>30534</v>
      </c>
      <c r="I6510" s="3" t="s">
        <v>34180</v>
      </c>
      <c r="J6510" s="3" t="s">
        <v>34181</v>
      </c>
      <c r="K6510" s="3" t="s">
        <v>34182</v>
      </c>
      <c r="L6510" s="3"/>
      <c r="M6510" s="4"/>
      <c r="N6510" s="3" t="s">
        <v>37</v>
      </c>
      <c r="O6510" s="3" t="s">
        <v>38</v>
      </c>
      <c r="P6510" s="5">
        <v>19</v>
      </c>
      <c r="Q6510" s="5">
        <v>178</v>
      </c>
      <c r="R6510" s="5">
        <v>11</v>
      </c>
      <c r="S6510" s="5">
        <v>124</v>
      </c>
    </row>
    <row r="6511" spans="1:19" ht="28" x14ac:dyDescent="0.15">
      <c r="A6511" s="2">
        <f>HYPERLINK("https://open-school.uspishnemisto.com.ua/school/320703/", 320703)</f>
        <v>320703</v>
      </c>
      <c r="B6511" s="3" t="s">
        <v>34183</v>
      </c>
      <c r="C6511" s="3" t="s">
        <v>54</v>
      </c>
      <c r="D6511" s="3" t="s">
        <v>32</v>
      </c>
      <c r="E6511" s="4" t="s">
        <v>22</v>
      </c>
      <c r="F6511" s="4" t="s">
        <v>34184</v>
      </c>
      <c r="G6511" s="4" t="s">
        <v>34185</v>
      </c>
      <c r="H6511" s="3" t="s">
        <v>30534</v>
      </c>
      <c r="I6511" s="3" t="s">
        <v>34186</v>
      </c>
      <c r="J6511" s="3" t="s">
        <v>356</v>
      </c>
      <c r="K6511" s="3" t="s">
        <v>34187</v>
      </c>
      <c r="L6511" s="3"/>
      <c r="M6511" s="4"/>
      <c r="N6511" s="3" t="s">
        <v>37</v>
      </c>
      <c r="O6511" s="3" t="s">
        <v>38</v>
      </c>
      <c r="P6511" s="5">
        <v>11</v>
      </c>
      <c r="Q6511" s="5">
        <v>155</v>
      </c>
      <c r="R6511" s="5">
        <v>11</v>
      </c>
      <c r="S6511" s="5">
        <v>166</v>
      </c>
    </row>
    <row r="6512" spans="1:19" ht="28" x14ac:dyDescent="0.15">
      <c r="A6512" s="2">
        <f>HYPERLINK("https://open-school.uspishnemisto.com.ua/school/320704/", 320704)</f>
        <v>320704</v>
      </c>
      <c r="B6512" s="3" t="s">
        <v>34188</v>
      </c>
      <c r="C6512" s="3" t="s">
        <v>31</v>
      </c>
      <c r="D6512" s="3" t="s">
        <v>32</v>
      </c>
      <c r="E6512" s="4" t="s">
        <v>22</v>
      </c>
      <c r="F6512" s="4" t="s">
        <v>34189</v>
      </c>
      <c r="G6512" s="4" t="s">
        <v>34190</v>
      </c>
      <c r="H6512" s="3" t="s">
        <v>30534</v>
      </c>
      <c r="I6512" s="3" t="s">
        <v>11923</v>
      </c>
      <c r="J6512" s="3" t="s">
        <v>34191</v>
      </c>
      <c r="K6512" s="3" t="s">
        <v>34192</v>
      </c>
      <c r="L6512" s="3" t="s">
        <v>34193</v>
      </c>
      <c r="M6512" s="4"/>
      <c r="N6512" s="3" t="s">
        <v>37</v>
      </c>
      <c r="O6512" s="3" t="s">
        <v>38</v>
      </c>
      <c r="P6512" s="5">
        <v>10</v>
      </c>
      <c r="Q6512" s="5">
        <v>123</v>
      </c>
      <c r="R6512" s="5">
        <v>10</v>
      </c>
      <c r="S6512" s="5">
        <v>122</v>
      </c>
    </row>
    <row r="6513" spans="1:19" ht="42" x14ac:dyDescent="0.15">
      <c r="A6513" s="2">
        <f>HYPERLINK("https://open-school.uspishnemisto.com.ua/school/320705/", 320705)</f>
        <v>320705</v>
      </c>
      <c r="B6513" s="3" t="s">
        <v>34194</v>
      </c>
      <c r="C6513" s="3" t="s">
        <v>31</v>
      </c>
      <c r="D6513" s="3" t="s">
        <v>32</v>
      </c>
      <c r="E6513" s="4" t="s">
        <v>22</v>
      </c>
      <c r="F6513" s="4" t="s">
        <v>34195</v>
      </c>
      <c r="G6513" s="4" t="s">
        <v>34196</v>
      </c>
      <c r="H6513" s="3" t="s">
        <v>30534</v>
      </c>
      <c r="I6513" s="3" t="s">
        <v>34197</v>
      </c>
      <c r="J6513" s="3" t="s">
        <v>6598</v>
      </c>
      <c r="K6513" s="3" t="s">
        <v>34198</v>
      </c>
      <c r="L6513" s="3"/>
      <c r="M6513" s="4"/>
      <c r="N6513" s="3" t="s">
        <v>37</v>
      </c>
      <c r="O6513" s="3" t="s">
        <v>52</v>
      </c>
      <c r="P6513" s="5">
        <v>10</v>
      </c>
      <c r="Q6513" s="5">
        <v>73</v>
      </c>
      <c r="R6513" s="5">
        <v>11</v>
      </c>
      <c r="S6513" s="5">
        <v>83</v>
      </c>
    </row>
    <row r="6514" spans="1:19" ht="42" x14ac:dyDescent="0.15">
      <c r="A6514" s="2">
        <f>HYPERLINK("https://open-school.uspishnemisto.com.ua/school/320706/", 320706)</f>
        <v>320706</v>
      </c>
      <c r="B6514" s="3" t="s">
        <v>34199</v>
      </c>
      <c r="C6514" s="3" t="s">
        <v>31</v>
      </c>
      <c r="D6514" s="3" t="s">
        <v>32</v>
      </c>
      <c r="E6514" s="4" t="s">
        <v>22</v>
      </c>
      <c r="F6514" s="4" t="s">
        <v>34200</v>
      </c>
      <c r="G6514" s="4" t="s">
        <v>34201</v>
      </c>
      <c r="H6514" s="3" t="s">
        <v>30534</v>
      </c>
      <c r="I6514" s="3" t="s">
        <v>34202</v>
      </c>
      <c r="J6514" s="3" t="s">
        <v>466</v>
      </c>
      <c r="K6514" s="3" t="s">
        <v>34203</v>
      </c>
      <c r="L6514" s="3" t="s">
        <v>34204</v>
      </c>
      <c r="M6514" s="4"/>
      <c r="N6514" s="3" t="s">
        <v>37</v>
      </c>
      <c r="O6514" s="3" t="s">
        <v>721</v>
      </c>
      <c r="P6514" s="5">
        <v>6</v>
      </c>
      <c r="Q6514" s="5">
        <v>43</v>
      </c>
      <c r="R6514" s="5">
        <v>7</v>
      </c>
      <c r="S6514" s="5">
        <v>54</v>
      </c>
    </row>
    <row r="6515" spans="1:19" ht="28" x14ac:dyDescent="0.15">
      <c r="A6515" s="2">
        <f>HYPERLINK("https://open-school.uspishnemisto.com.ua/school/320707/", 320707)</f>
        <v>320707</v>
      </c>
      <c r="B6515" s="3" t="s">
        <v>34205</v>
      </c>
      <c r="C6515" s="3" t="s">
        <v>31</v>
      </c>
      <c r="D6515" s="3" t="s">
        <v>32</v>
      </c>
      <c r="E6515" s="4" t="s">
        <v>22</v>
      </c>
      <c r="F6515" s="4" t="s">
        <v>34206</v>
      </c>
      <c r="G6515" s="4" t="s">
        <v>34207</v>
      </c>
      <c r="H6515" s="3" t="s">
        <v>30534</v>
      </c>
      <c r="I6515" s="3" t="s">
        <v>34208</v>
      </c>
      <c r="J6515" s="3" t="s">
        <v>34209</v>
      </c>
      <c r="K6515" s="3" t="s">
        <v>34210</v>
      </c>
      <c r="L6515" s="3"/>
      <c r="M6515" s="4"/>
      <c r="N6515" s="3" t="s">
        <v>37</v>
      </c>
      <c r="O6515" s="3" t="s">
        <v>38</v>
      </c>
      <c r="P6515" s="5">
        <v>12</v>
      </c>
      <c r="Q6515" s="5">
        <v>199</v>
      </c>
      <c r="R6515" s="5">
        <v>12</v>
      </c>
      <c r="S6515" s="5">
        <v>211</v>
      </c>
    </row>
    <row r="6516" spans="1:19" ht="42" x14ac:dyDescent="0.15">
      <c r="A6516" s="2">
        <f>HYPERLINK("https://open-school.uspishnemisto.com.ua/school/320708/", 320708)</f>
        <v>320708</v>
      </c>
      <c r="B6516" s="3" t="s">
        <v>34211</v>
      </c>
      <c r="C6516" s="3" t="s">
        <v>31</v>
      </c>
      <c r="D6516" s="3" t="s">
        <v>175</v>
      </c>
      <c r="E6516" s="4" t="s">
        <v>22</v>
      </c>
      <c r="F6516" s="4" t="s">
        <v>34212</v>
      </c>
      <c r="G6516" s="4" t="s">
        <v>34213</v>
      </c>
      <c r="H6516" s="3" t="s">
        <v>30534</v>
      </c>
      <c r="I6516" s="3" t="s">
        <v>34214</v>
      </c>
      <c r="J6516" s="3" t="s">
        <v>3244</v>
      </c>
      <c r="K6516" s="3" t="s">
        <v>34215</v>
      </c>
      <c r="L6516" s="3" t="s">
        <v>34216</v>
      </c>
      <c r="M6516" s="4"/>
      <c r="N6516" s="3" t="s">
        <v>37</v>
      </c>
      <c r="O6516" s="3" t="s">
        <v>38</v>
      </c>
      <c r="P6516" s="5">
        <v>8</v>
      </c>
      <c r="Q6516" s="5">
        <v>64</v>
      </c>
      <c r="R6516" s="5">
        <v>8</v>
      </c>
      <c r="S6516" s="5">
        <v>59</v>
      </c>
    </row>
    <row r="6517" spans="1:19" ht="28" x14ac:dyDescent="0.15">
      <c r="A6517" s="2">
        <f>HYPERLINK("https://open-school.uspishnemisto.com.ua/school/320709/", 320709)</f>
        <v>320709</v>
      </c>
      <c r="B6517" s="3" t="s">
        <v>34217</v>
      </c>
      <c r="C6517" s="3" t="s">
        <v>54</v>
      </c>
      <c r="D6517" s="3" t="s">
        <v>175</v>
      </c>
      <c r="E6517" s="4" t="s">
        <v>22</v>
      </c>
      <c r="F6517" s="4" t="s">
        <v>34218</v>
      </c>
      <c r="G6517" s="4" t="s">
        <v>34219</v>
      </c>
      <c r="H6517" s="3" t="s">
        <v>30534</v>
      </c>
      <c r="I6517" s="3" t="s">
        <v>971</v>
      </c>
      <c r="J6517" s="3" t="s">
        <v>34220</v>
      </c>
      <c r="K6517" s="3" t="s">
        <v>34221</v>
      </c>
      <c r="L6517" s="3"/>
      <c r="M6517" s="4"/>
      <c r="N6517" s="3" t="s">
        <v>37</v>
      </c>
      <c r="O6517" s="3" t="s">
        <v>38</v>
      </c>
      <c r="P6517" s="5">
        <v>8</v>
      </c>
      <c r="Q6517" s="5">
        <v>67</v>
      </c>
      <c r="R6517" s="5">
        <v>8</v>
      </c>
      <c r="S6517" s="5">
        <v>61</v>
      </c>
    </row>
    <row r="6518" spans="1:19" ht="28" x14ac:dyDescent="0.15">
      <c r="A6518" s="2">
        <f>HYPERLINK("https://open-school.uspishnemisto.com.ua/school/320710/", 320710)</f>
        <v>320710</v>
      </c>
      <c r="B6518" s="3" t="s">
        <v>34222</v>
      </c>
      <c r="C6518" s="3" t="s">
        <v>54</v>
      </c>
      <c r="D6518" s="3" t="s">
        <v>32</v>
      </c>
      <c r="E6518" s="4" t="s">
        <v>22</v>
      </c>
      <c r="F6518" s="4" t="s">
        <v>34223</v>
      </c>
      <c r="G6518" s="4" t="s">
        <v>34224</v>
      </c>
      <c r="H6518" s="3" t="s">
        <v>30534</v>
      </c>
      <c r="I6518" s="3" t="s">
        <v>34225</v>
      </c>
      <c r="J6518" s="3" t="s">
        <v>34226</v>
      </c>
      <c r="K6518" s="3" t="s">
        <v>34227</v>
      </c>
      <c r="L6518" s="3" t="s">
        <v>34228</v>
      </c>
      <c r="M6518" s="4"/>
      <c r="N6518" s="3" t="s">
        <v>37</v>
      </c>
      <c r="O6518" s="3" t="s">
        <v>38</v>
      </c>
      <c r="P6518" s="5">
        <v>20</v>
      </c>
      <c r="Q6518" s="5">
        <v>155</v>
      </c>
      <c r="R6518" s="5">
        <v>10</v>
      </c>
      <c r="S6518" s="5">
        <v>88</v>
      </c>
    </row>
    <row r="6519" spans="1:19" ht="42" x14ac:dyDescent="0.15">
      <c r="A6519" s="2">
        <f>HYPERLINK("https://open-school.uspishnemisto.com.ua/school/320754/", 320754)</f>
        <v>320754</v>
      </c>
      <c r="B6519" s="3" t="s">
        <v>34229</v>
      </c>
      <c r="C6519" s="3" t="s">
        <v>31</v>
      </c>
      <c r="D6519" s="3" t="s">
        <v>175</v>
      </c>
      <c r="E6519" s="4" t="s">
        <v>22</v>
      </c>
      <c r="F6519" s="4" t="s">
        <v>34230</v>
      </c>
      <c r="G6519" s="4" t="s">
        <v>34231</v>
      </c>
      <c r="H6519" s="3" t="s">
        <v>30534</v>
      </c>
      <c r="I6519" s="3" t="s">
        <v>34232</v>
      </c>
      <c r="J6519" s="3" t="s">
        <v>634</v>
      </c>
      <c r="K6519" s="3" t="s">
        <v>34233</v>
      </c>
      <c r="L6519" s="3"/>
      <c r="M6519" s="4"/>
      <c r="N6519" s="3"/>
      <c r="O6519" s="3"/>
      <c r="P6519" s="5">
        <v>0</v>
      </c>
      <c r="Q6519" s="5">
        <v>0</v>
      </c>
      <c r="R6519" s="5"/>
      <c r="S6519" s="5"/>
    </row>
    <row r="6520" spans="1:19" ht="56" x14ac:dyDescent="0.15">
      <c r="A6520" s="2">
        <f>HYPERLINK("https://open-school.uspishnemisto.com.ua/school/320711/", 320711)</f>
        <v>320711</v>
      </c>
      <c r="B6520" s="3" t="s">
        <v>34234</v>
      </c>
      <c r="C6520" s="3" t="s">
        <v>54</v>
      </c>
      <c r="D6520" s="3" t="s">
        <v>32</v>
      </c>
      <c r="E6520" s="4" t="s">
        <v>22</v>
      </c>
      <c r="F6520" s="4" t="s">
        <v>34235</v>
      </c>
      <c r="G6520" s="4" t="s">
        <v>34236</v>
      </c>
      <c r="H6520" s="3" t="s">
        <v>30534</v>
      </c>
      <c r="I6520" s="3" t="s">
        <v>34237</v>
      </c>
      <c r="J6520" s="3" t="s">
        <v>34238</v>
      </c>
      <c r="K6520" s="3" t="s">
        <v>34239</v>
      </c>
      <c r="L6520" s="3" t="s">
        <v>34240</v>
      </c>
      <c r="M6520" s="4"/>
      <c r="N6520" s="3" t="s">
        <v>37</v>
      </c>
      <c r="O6520" s="3" t="s">
        <v>52</v>
      </c>
      <c r="P6520" s="5">
        <v>6</v>
      </c>
      <c r="Q6520" s="5">
        <v>43</v>
      </c>
      <c r="R6520" s="5">
        <v>6</v>
      </c>
      <c r="S6520" s="5">
        <v>43</v>
      </c>
    </row>
    <row r="6521" spans="1:19" ht="42" x14ac:dyDescent="0.15">
      <c r="A6521" s="2">
        <f>HYPERLINK("https://open-school.uspishnemisto.com.ua/school/320712/", 320712)</f>
        <v>320712</v>
      </c>
      <c r="B6521" s="3" t="s">
        <v>34241</v>
      </c>
      <c r="C6521" s="3" t="s">
        <v>31</v>
      </c>
      <c r="D6521" s="3" t="s">
        <v>32</v>
      </c>
      <c r="E6521" s="4" t="s">
        <v>22</v>
      </c>
      <c r="F6521" s="4" t="s">
        <v>34242</v>
      </c>
      <c r="G6521" s="4" t="s">
        <v>34243</v>
      </c>
      <c r="H6521" s="3" t="s">
        <v>30534</v>
      </c>
      <c r="I6521" s="3" t="s">
        <v>34244</v>
      </c>
      <c r="J6521" s="3" t="s">
        <v>19090</v>
      </c>
      <c r="K6521" s="3" t="s">
        <v>34245</v>
      </c>
      <c r="L6521" s="3"/>
      <c r="M6521" s="4"/>
      <c r="N6521" s="3" t="s">
        <v>37</v>
      </c>
      <c r="O6521" s="3" t="s">
        <v>46</v>
      </c>
      <c r="P6521" s="5">
        <v>10</v>
      </c>
      <c r="Q6521" s="5">
        <v>115</v>
      </c>
      <c r="R6521" s="5">
        <v>10</v>
      </c>
      <c r="S6521" s="5">
        <v>121</v>
      </c>
    </row>
    <row r="6522" spans="1:19" ht="42" x14ac:dyDescent="0.15">
      <c r="A6522" s="2">
        <f>HYPERLINK("https://open-school.uspishnemisto.com.ua/school/320713/", 320713)</f>
        <v>320713</v>
      </c>
      <c r="B6522" s="3" t="s">
        <v>34246</v>
      </c>
      <c r="C6522" s="3" t="s">
        <v>31</v>
      </c>
      <c r="D6522" s="3" t="s">
        <v>32</v>
      </c>
      <c r="E6522" s="4" t="s">
        <v>22</v>
      </c>
      <c r="F6522" s="4" t="s">
        <v>34247</v>
      </c>
      <c r="G6522" s="4" t="s">
        <v>34248</v>
      </c>
      <c r="H6522" s="3" t="s">
        <v>30534</v>
      </c>
      <c r="I6522" s="3" t="s">
        <v>34249</v>
      </c>
      <c r="J6522" s="3" t="s">
        <v>34250</v>
      </c>
      <c r="K6522" s="3" t="s">
        <v>34251</v>
      </c>
      <c r="L6522" s="3" t="s">
        <v>34252</v>
      </c>
      <c r="M6522" s="4"/>
      <c r="N6522" s="3" t="s">
        <v>37</v>
      </c>
      <c r="O6522" s="3" t="s">
        <v>38</v>
      </c>
      <c r="P6522" s="5">
        <v>11</v>
      </c>
      <c r="Q6522" s="5">
        <v>218</v>
      </c>
      <c r="R6522" s="5">
        <v>11</v>
      </c>
      <c r="S6522" s="5">
        <v>212</v>
      </c>
    </row>
    <row r="6523" spans="1:19" ht="42" x14ac:dyDescent="0.15">
      <c r="A6523" s="2">
        <f>HYPERLINK("https://open-school.uspishnemisto.com.ua/school/320714/", 320714)</f>
        <v>320714</v>
      </c>
      <c r="B6523" s="3" t="s">
        <v>34253</v>
      </c>
      <c r="C6523" s="3" t="s">
        <v>54</v>
      </c>
      <c r="D6523" s="3" t="s">
        <v>175</v>
      </c>
      <c r="E6523" s="4" t="s">
        <v>22</v>
      </c>
      <c r="F6523" s="4" t="s">
        <v>34254</v>
      </c>
      <c r="G6523" s="4" t="s">
        <v>34255</v>
      </c>
      <c r="H6523" s="3" t="s">
        <v>30534</v>
      </c>
      <c r="I6523" s="3" t="s">
        <v>11464</v>
      </c>
      <c r="J6523" s="3" t="s">
        <v>2745</v>
      </c>
      <c r="K6523" s="3" t="s">
        <v>34256</v>
      </c>
      <c r="L6523" s="3" t="s">
        <v>34257</v>
      </c>
      <c r="M6523" s="4"/>
      <c r="N6523" s="3" t="s">
        <v>37</v>
      </c>
      <c r="O6523" s="3" t="s">
        <v>52</v>
      </c>
      <c r="P6523" s="5">
        <v>0</v>
      </c>
      <c r="Q6523" s="5">
        <v>0</v>
      </c>
      <c r="R6523" s="5">
        <v>8</v>
      </c>
      <c r="S6523" s="5">
        <v>52</v>
      </c>
    </row>
    <row r="6524" spans="1:19" ht="42" x14ac:dyDescent="0.15">
      <c r="A6524" s="2">
        <f>HYPERLINK("https://open-school.uspishnemisto.com.ua/school/320715/", 320715)</f>
        <v>320715</v>
      </c>
      <c r="B6524" s="3" t="s">
        <v>34258</v>
      </c>
      <c r="C6524" s="3" t="s">
        <v>31</v>
      </c>
      <c r="D6524" s="3" t="s">
        <v>175</v>
      </c>
      <c r="E6524" s="4" t="s">
        <v>22</v>
      </c>
      <c r="F6524" s="4" t="s">
        <v>34259</v>
      </c>
      <c r="G6524" s="4" t="s">
        <v>34260</v>
      </c>
      <c r="H6524" s="3" t="s">
        <v>30534</v>
      </c>
      <c r="I6524" s="3" t="s">
        <v>18364</v>
      </c>
      <c r="J6524" s="3" t="s">
        <v>2745</v>
      </c>
      <c r="K6524" s="3" t="s">
        <v>34261</v>
      </c>
      <c r="L6524" s="3"/>
      <c r="M6524" s="4"/>
      <c r="N6524" s="3" t="s">
        <v>37</v>
      </c>
      <c r="O6524" s="3" t="s">
        <v>52</v>
      </c>
      <c r="P6524" s="5">
        <v>9</v>
      </c>
      <c r="Q6524" s="5">
        <v>218</v>
      </c>
      <c r="R6524" s="5">
        <v>9</v>
      </c>
      <c r="S6524" s="5">
        <v>208</v>
      </c>
    </row>
    <row r="6525" spans="1:19" ht="56" x14ac:dyDescent="0.15">
      <c r="A6525" s="2">
        <f>HYPERLINK("https://open-school.uspishnemisto.com.ua/school/320716/", 320716)</f>
        <v>320716</v>
      </c>
      <c r="B6525" s="3" t="s">
        <v>34262</v>
      </c>
      <c r="C6525" s="3" t="s">
        <v>54</v>
      </c>
      <c r="D6525" s="3" t="s">
        <v>32</v>
      </c>
      <c r="E6525" s="4" t="s">
        <v>22</v>
      </c>
      <c r="F6525" s="4" t="s">
        <v>34259</v>
      </c>
      <c r="G6525" s="4" t="s">
        <v>34263</v>
      </c>
      <c r="H6525" s="3" t="s">
        <v>30534</v>
      </c>
      <c r="I6525" s="3" t="s">
        <v>34264</v>
      </c>
      <c r="J6525" s="3" t="s">
        <v>466</v>
      </c>
      <c r="K6525" s="3" t="s">
        <v>34265</v>
      </c>
      <c r="L6525" s="3" t="s">
        <v>34266</v>
      </c>
      <c r="M6525" s="4"/>
      <c r="N6525" s="3" t="s">
        <v>37</v>
      </c>
      <c r="O6525" s="3" t="s">
        <v>38</v>
      </c>
      <c r="P6525" s="5">
        <v>11</v>
      </c>
      <c r="Q6525" s="5">
        <v>157</v>
      </c>
      <c r="R6525" s="5">
        <v>11</v>
      </c>
      <c r="S6525" s="5">
        <v>171</v>
      </c>
    </row>
    <row r="6526" spans="1:19" ht="42" x14ac:dyDescent="0.15">
      <c r="A6526" s="2">
        <f>HYPERLINK("https://open-school.uspishnemisto.com.ua/school/320717/", 320717)</f>
        <v>320717</v>
      </c>
      <c r="B6526" s="3" t="s">
        <v>34267</v>
      </c>
      <c r="C6526" s="3" t="s">
        <v>54</v>
      </c>
      <c r="D6526" s="3" t="s">
        <v>175</v>
      </c>
      <c r="E6526" s="4" t="s">
        <v>22</v>
      </c>
      <c r="F6526" s="4" t="s">
        <v>34268</v>
      </c>
      <c r="G6526" s="4" t="s">
        <v>34269</v>
      </c>
      <c r="H6526" s="3" t="s">
        <v>30534</v>
      </c>
      <c r="I6526" s="3" t="s">
        <v>33300</v>
      </c>
      <c r="J6526" s="3" t="s">
        <v>1078</v>
      </c>
      <c r="K6526" s="3" t="s">
        <v>34270</v>
      </c>
      <c r="L6526" s="3" t="s">
        <v>34271</v>
      </c>
      <c r="M6526" s="4"/>
      <c r="N6526" s="3" t="s">
        <v>37</v>
      </c>
      <c r="O6526" s="3" t="s">
        <v>52</v>
      </c>
      <c r="P6526" s="5">
        <v>5</v>
      </c>
      <c r="Q6526" s="5">
        <v>33</v>
      </c>
      <c r="R6526" s="5">
        <v>4</v>
      </c>
      <c r="S6526" s="5">
        <v>32</v>
      </c>
    </row>
    <row r="6527" spans="1:19" ht="28" x14ac:dyDescent="0.15">
      <c r="A6527" s="2">
        <f>HYPERLINK("https://open-school.uspishnemisto.com.ua/school/320718/", 320718)</f>
        <v>320718</v>
      </c>
      <c r="B6527" s="3" t="s">
        <v>34272</v>
      </c>
      <c r="C6527" s="3" t="s">
        <v>31</v>
      </c>
      <c r="D6527" s="3" t="s">
        <v>32</v>
      </c>
      <c r="E6527" s="4" t="s">
        <v>22</v>
      </c>
      <c r="F6527" s="4" t="s">
        <v>34273</v>
      </c>
      <c r="G6527" s="4" t="s">
        <v>34274</v>
      </c>
      <c r="H6527" s="3" t="s">
        <v>30534</v>
      </c>
      <c r="I6527" s="3" t="s">
        <v>34275</v>
      </c>
      <c r="J6527" s="3" t="s">
        <v>34276</v>
      </c>
      <c r="K6527" s="3" t="s">
        <v>34277</v>
      </c>
      <c r="L6527" s="3"/>
      <c r="M6527" s="4"/>
      <c r="N6527" s="3" t="s">
        <v>37</v>
      </c>
      <c r="O6527" s="3" t="s">
        <v>46</v>
      </c>
      <c r="P6527" s="5">
        <v>20</v>
      </c>
      <c r="Q6527" s="5">
        <v>491</v>
      </c>
      <c r="R6527" s="5">
        <v>19</v>
      </c>
      <c r="S6527" s="5">
        <v>493</v>
      </c>
    </row>
    <row r="6528" spans="1:19" ht="42" x14ac:dyDescent="0.15">
      <c r="A6528" s="2">
        <f>HYPERLINK("https://open-school.uspishnemisto.com.ua/school/320719/", 320719)</f>
        <v>320719</v>
      </c>
      <c r="B6528" s="3" t="s">
        <v>34278</v>
      </c>
      <c r="C6528" s="3" t="s">
        <v>54</v>
      </c>
      <c r="D6528" s="3" t="s">
        <v>32</v>
      </c>
      <c r="E6528" s="4" t="s">
        <v>22</v>
      </c>
      <c r="F6528" s="4" t="s">
        <v>34273</v>
      </c>
      <c r="G6528" s="4" t="s">
        <v>34274</v>
      </c>
      <c r="H6528" s="3" t="s">
        <v>30534</v>
      </c>
      <c r="I6528" s="3" t="s">
        <v>34275</v>
      </c>
      <c r="J6528" s="3" t="s">
        <v>34279</v>
      </c>
      <c r="K6528" s="3" t="s">
        <v>34280</v>
      </c>
      <c r="L6528" s="3"/>
      <c r="M6528" s="4"/>
      <c r="N6528" s="3" t="s">
        <v>37</v>
      </c>
      <c r="O6528" s="3" t="s">
        <v>123</v>
      </c>
      <c r="P6528" s="5">
        <v>39</v>
      </c>
      <c r="Q6528" s="5">
        <v>1004</v>
      </c>
      <c r="R6528" s="5">
        <v>38</v>
      </c>
      <c r="S6528" s="5">
        <v>1002</v>
      </c>
    </row>
    <row r="6529" spans="1:19" ht="56" x14ac:dyDescent="0.15">
      <c r="A6529" s="2">
        <f>HYPERLINK("https://open-school.uspishnemisto.com.ua/school/320720/", 320720)</f>
        <v>320720</v>
      </c>
      <c r="B6529" s="3" t="s">
        <v>34281</v>
      </c>
      <c r="C6529" s="3" t="s">
        <v>54</v>
      </c>
      <c r="D6529" s="3" t="s">
        <v>32</v>
      </c>
      <c r="E6529" s="4" t="s">
        <v>22</v>
      </c>
      <c r="F6529" s="4" t="s">
        <v>34273</v>
      </c>
      <c r="G6529" s="4" t="s">
        <v>34274</v>
      </c>
      <c r="H6529" s="3" t="s">
        <v>30534</v>
      </c>
      <c r="I6529" s="3" t="s">
        <v>34275</v>
      </c>
      <c r="J6529" s="3" t="s">
        <v>34282</v>
      </c>
      <c r="K6529" s="3" t="s">
        <v>34283</v>
      </c>
      <c r="L6529" s="3"/>
      <c r="M6529" s="4" t="s">
        <v>34284</v>
      </c>
      <c r="N6529" s="3" t="s">
        <v>37</v>
      </c>
      <c r="O6529" s="3" t="s">
        <v>70</v>
      </c>
      <c r="P6529" s="5">
        <v>35</v>
      </c>
      <c r="Q6529" s="5">
        <v>881</v>
      </c>
      <c r="R6529" s="5">
        <v>35</v>
      </c>
      <c r="S6529" s="5">
        <v>854</v>
      </c>
    </row>
    <row r="6530" spans="1:19" ht="42" x14ac:dyDescent="0.15">
      <c r="A6530" s="2">
        <f>HYPERLINK("https://open-school.uspishnemisto.com.ua/school/320721/", 320721)</f>
        <v>320721</v>
      </c>
      <c r="B6530" s="3" t="s">
        <v>34285</v>
      </c>
      <c r="C6530" s="3" t="s">
        <v>54</v>
      </c>
      <c r="D6530" s="3" t="s">
        <v>32</v>
      </c>
      <c r="E6530" s="4" t="s">
        <v>22</v>
      </c>
      <c r="F6530" s="4" t="s">
        <v>34286</v>
      </c>
      <c r="G6530" s="4" t="s">
        <v>34287</v>
      </c>
      <c r="H6530" s="3" t="s">
        <v>30534</v>
      </c>
      <c r="I6530" s="3" t="s">
        <v>3790</v>
      </c>
      <c r="J6530" s="3" t="s">
        <v>34288</v>
      </c>
      <c r="K6530" s="3" t="s">
        <v>34289</v>
      </c>
      <c r="L6530" s="3"/>
      <c r="M6530" s="4"/>
      <c r="N6530" s="3" t="s">
        <v>37</v>
      </c>
      <c r="O6530" s="3" t="s">
        <v>38</v>
      </c>
      <c r="P6530" s="5">
        <v>10</v>
      </c>
      <c r="Q6530" s="5">
        <v>110</v>
      </c>
      <c r="R6530" s="5">
        <v>10</v>
      </c>
      <c r="S6530" s="5">
        <v>104</v>
      </c>
    </row>
    <row r="6531" spans="1:19" ht="56" x14ac:dyDescent="0.15">
      <c r="A6531" s="2">
        <f>HYPERLINK("https://open-school.uspishnemisto.com.ua/school/320722/", 320722)</f>
        <v>320722</v>
      </c>
      <c r="B6531" s="3" t="s">
        <v>34290</v>
      </c>
      <c r="C6531" s="3" t="s">
        <v>54</v>
      </c>
      <c r="D6531" s="3" t="s">
        <v>32</v>
      </c>
      <c r="E6531" s="4" t="s">
        <v>22</v>
      </c>
      <c r="F6531" s="4" t="s">
        <v>34291</v>
      </c>
      <c r="G6531" s="4" t="s">
        <v>34292</v>
      </c>
      <c r="H6531" s="3" t="s">
        <v>30534</v>
      </c>
      <c r="I6531" s="3" t="s">
        <v>34293</v>
      </c>
      <c r="J6531" s="3" t="s">
        <v>726</v>
      </c>
      <c r="K6531" s="3" t="s">
        <v>34294</v>
      </c>
      <c r="L6531" s="3"/>
      <c r="M6531" s="4"/>
      <c r="N6531" s="3" t="s">
        <v>37</v>
      </c>
      <c r="O6531" s="3" t="s">
        <v>52</v>
      </c>
      <c r="P6531" s="5">
        <v>9</v>
      </c>
      <c r="Q6531" s="5">
        <v>67</v>
      </c>
      <c r="R6531" s="5">
        <v>9</v>
      </c>
      <c r="S6531" s="5">
        <v>63</v>
      </c>
    </row>
    <row r="6532" spans="1:19" ht="42" x14ac:dyDescent="0.15">
      <c r="A6532" s="2">
        <f>HYPERLINK("https://open-school.uspishnemisto.com.ua/school/320723/", 320723)</f>
        <v>320723</v>
      </c>
      <c r="B6532" s="3" t="s">
        <v>34295</v>
      </c>
      <c r="C6532" s="3" t="s">
        <v>31</v>
      </c>
      <c r="D6532" s="3" t="s">
        <v>32</v>
      </c>
      <c r="E6532" s="4" t="s">
        <v>22</v>
      </c>
      <c r="F6532" s="4" t="s">
        <v>34296</v>
      </c>
      <c r="G6532" s="4" t="s">
        <v>34297</v>
      </c>
      <c r="H6532" s="3" t="s">
        <v>30534</v>
      </c>
      <c r="I6532" s="3" t="s">
        <v>34298</v>
      </c>
      <c r="J6532" s="3" t="s">
        <v>792</v>
      </c>
      <c r="K6532" s="3" t="s">
        <v>34299</v>
      </c>
      <c r="L6532" s="3"/>
      <c r="M6532" s="4"/>
      <c r="N6532" s="3" t="s">
        <v>37</v>
      </c>
      <c r="O6532" s="3" t="s">
        <v>52</v>
      </c>
      <c r="P6532" s="5">
        <v>15</v>
      </c>
      <c r="Q6532" s="5">
        <v>122</v>
      </c>
      <c r="R6532" s="5">
        <v>14</v>
      </c>
      <c r="S6532" s="5">
        <v>119</v>
      </c>
    </row>
    <row r="6533" spans="1:19" ht="42" x14ac:dyDescent="0.15">
      <c r="A6533" s="2">
        <f>HYPERLINK("https://open-school.uspishnemisto.com.ua/school/320724/", 320724)</f>
        <v>320724</v>
      </c>
      <c r="B6533" s="3" t="s">
        <v>34300</v>
      </c>
      <c r="C6533" s="3" t="s">
        <v>54</v>
      </c>
      <c r="D6533" s="3" t="s">
        <v>175</v>
      </c>
      <c r="E6533" s="4" t="s">
        <v>22</v>
      </c>
      <c r="F6533" s="4" t="s">
        <v>34301</v>
      </c>
      <c r="G6533" s="4" t="s">
        <v>34302</v>
      </c>
      <c r="H6533" s="3" t="s">
        <v>30534</v>
      </c>
      <c r="I6533" s="3" t="s">
        <v>34303</v>
      </c>
      <c r="J6533" s="3" t="s">
        <v>8429</v>
      </c>
      <c r="K6533" s="3" t="s">
        <v>34304</v>
      </c>
      <c r="L6533" s="3"/>
      <c r="M6533" s="4"/>
      <c r="N6533" s="3" t="s">
        <v>37</v>
      </c>
      <c r="O6533" s="3" t="s">
        <v>38</v>
      </c>
      <c r="P6533" s="5">
        <v>8</v>
      </c>
      <c r="Q6533" s="5">
        <v>76</v>
      </c>
      <c r="R6533" s="5">
        <v>8</v>
      </c>
      <c r="S6533" s="5">
        <v>75</v>
      </c>
    </row>
    <row r="6534" spans="1:19" ht="56" x14ac:dyDescent="0.15">
      <c r="A6534" s="2">
        <f>HYPERLINK("https://open-school.uspishnemisto.com.ua/school/320725/", 320725)</f>
        <v>320725</v>
      </c>
      <c r="B6534" s="3" t="s">
        <v>34305</v>
      </c>
      <c r="C6534" s="3" t="s">
        <v>54</v>
      </c>
      <c r="D6534" s="3" t="s">
        <v>32</v>
      </c>
      <c r="E6534" s="4" t="s">
        <v>22</v>
      </c>
      <c r="F6534" s="4" t="s">
        <v>34306</v>
      </c>
      <c r="G6534" s="4" t="s">
        <v>34307</v>
      </c>
      <c r="H6534" s="3" t="s">
        <v>30534</v>
      </c>
      <c r="I6534" s="3" t="s">
        <v>34308</v>
      </c>
      <c r="J6534" s="3" t="s">
        <v>34309</v>
      </c>
      <c r="K6534" s="3" t="s">
        <v>34310</v>
      </c>
      <c r="L6534" s="3"/>
      <c r="M6534" s="4"/>
      <c r="N6534" s="3" t="s">
        <v>37</v>
      </c>
      <c r="O6534" s="3" t="s">
        <v>70</v>
      </c>
      <c r="P6534" s="5">
        <v>10</v>
      </c>
      <c r="Q6534" s="5">
        <v>74</v>
      </c>
      <c r="R6534" s="5">
        <v>10</v>
      </c>
      <c r="S6534" s="5">
        <v>73</v>
      </c>
    </row>
    <row r="6535" spans="1:19" ht="28" x14ac:dyDescent="0.15">
      <c r="A6535" s="2">
        <f>HYPERLINK("https://open-school.uspishnemisto.com.ua/school/320726/", 320726)</f>
        <v>320726</v>
      </c>
      <c r="B6535" s="3" t="s">
        <v>34311</v>
      </c>
      <c r="C6535" s="3" t="s">
        <v>31</v>
      </c>
      <c r="D6535" s="3" t="s">
        <v>32</v>
      </c>
      <c r="E6535" s="4" t="s">
        <v>22</v>
      </c>
      <c r="F6535" s="4" t="s">
        <v>34312</v>
      </c>
      <c r="G6535" s="4" t="s">
        <v>34313</v>
      </c>
      <c r="H6535" s="3" t="s">
        <v>30534</v>
      </c>
      <c r="I6535" s="3" t="s">
        <v>1918</v>
      </c>
      <c r="J6535" s="3" t="s">
        <v>34314</v>
      </c>
      <c r="K6535" s="3" t="s">
        <v>34315</v>
      </c>
      <c r="L6535" s="3"/>
      <c r="M6535" s="4"/>
      <c r="N6535" s="3" t="s">
        <v>37</v>
      </c>
      <c r="O6535" s="3" t="s">
        <v>38</v>
      </c>
      <c r="P6535" s="5">
        <v>11</v>
      </c>
      <c r="Q6535" s="5">
        <v>113</v>
      </c>
      <c r="R6535" s="5">
        <v>11</v>
      </c>
      <c r="S6535" s="5">
        <v>117</v>
      </c>
    </row>
    <row r="6536" spans="1:19" ht="56" x14ac:dyDescent="0.15">
      <c r="A6536" s="2">
        <f>HYPERLINK("https://open-school.uspishnemisto.com.ua/school/320727/", 320727)</f>
        <v>320727</v>
      </c>
      <c r="B6536" s="3" t="s">
        <v>34316</v>
      </c>
      <c r="C6536" s="3" t="s">
        <v>54</v>
      </c>
      <c r="D6536" s="3" t="s">
        <v>32</v>
      </c>
      <c r="E6536" s="4" t="s">
        <v>22</v>
      </c>
      <c r="F6536" s="4" t="s">
        <v>34317</v>
      </c>
      <c r="G6536" s="4" t="s">
        <v>34318</v>
      </c>
      <c r="H6536" s="3" t="s">
        <v>30534</v>
      </c>
      <c r="I6536" s="3" t="s">
        <v>34319</v>
      </c>
      <c r="J6536" s="3" t="s">
        <v>1857</v>
      </c>
      <c r="K6536" s="3"/>
      <c r="L6536" s="3"/>
      <c r="M6536" s="4"/>
      <c r="N6536" s="3" t="s">
        <v>37</v>
      </c>
      <c r="O6536" s="3" t="s">
        <v>38</v>
      </c>
      <c r="P6536" s="5">
        <v>9</v>
      </c>
      <c r="Q6536" s="5">
        <v>68</v>
      </c>
      <c r="R6536" s="5">
        <v>9</v>
      </c>
      <c r="S6536" s="5">
        <v>74</v>
      </c>
    </row>
    <row r="6537" spans="1:19" ht="56" x14ac:dyDescent="0.15">
      <c r="A6537" s="2">
        <f>HYPERLINK("https://open-school.uspishnemisto.com.ua/school/320728/", 320728)</f>
        <v>320728</v>
      </c>
      <c r="B6537" s="3" t="s">
        <v>34320</v>
      </c>
      <c r="C6537" s="3" t="s">
        <v>54</v>
      </c>
      <c r="D6537" s="3" t="s">
        <v>32</v>
      </c>
      <c r="E6537" s="4" t="s">
        <v>22</v>
      </c>
      <c r="F6537" s="4" t="s">
        <v>34321</v>
      </c>
      <c r="G6537" s="4" t="s">
        <v>34322</v>
      </c>
      <c r="H6537" s="3" t="s">
        <v>30534</v>
      </c>
      <c r="I6537" s="3" t="s">
        <v>34323</v>
      </c>
      <c r="J6537" s="3" t="s">
        <v>34324</v>
      </c>
      <c r="K6537" s="3" t="s">
        <v>34325</v>
      </c>
      <c r="L6537" s="3"/>
      <c r="M6537" s="4"/>
      <c r="N6537" s="3" t="s">
        <v>37</v>
      </c>
      <c r="O6537" s="3" t="s">
        <v>38</v>
      </c>
      <c r="P6537" s="5">
        <v>11</v>
      </c>
      <c r="Q6537" s="5">
        <v>78</v>
      </c>
      <c r="R6537" s="5">
        <v>11</v>
      </c>
      <c r="S6537" s="5">
        <v>79</v>
      </c>
    </row>
    <row r="6538" spans="1:19" ht="28" x14ac:dyDescent="0.15">
      <c r="A6538" s="2">
        <f>HYPERLINK("https://open-school.uspishnemisto.com.ua/school/320729/", 320729)</f>
        <v>320729</v>
      </c>
      <c r="B6538" s="3" t="s">
        <v>34326</v>
      </c>
      <c r="C6538" s="3" t="s">
        <v>54</v>
      </c>
      <c r="D6538" s="3" t="s">
        <v>175</v>
      </c>
      <c r="E6538" s="4" t="s">
        <v>22</v>
      </c>
      <c r="F6538" s="4" t="s">
        <v>34327</v>
      </c>
      <c r="G6538" s="4" t="s">
        <v>34328</v>
      </c>
      <c r="H6538" s="3" t="s">
        <v>30534</v>
      </c>
      <c r="I6538" s="3" t="s">
        <v>34329</v>
      </c>
      <c r="J6538" s="3" t="s">
        <v>34330</v>
      </c>
      <c r="K6538" s="3" t="s">
        <v>34331</v>
      </c>
      <c r="L6538" s="3"/>
      <c r="M6538" s="4"/>
      <c r="N6538" s="3" t="s">
        <v>37</v>
      </c>
      <c r="O6538" s="3" t="s">
        <v>52</v>
      </c>
      <c r="P6538" s="5">
        <v>7</v>
      </c>
      <c r="Q6538" s="5">
        <v>48</v>
      </c>
      <c r="R6538" s="5">
        <v>6</v>
      </c>
      <c r="S6538" s="5">
        <v>41</v>
      </c>
    </row>
    <row r="6539" spans="1:19" ht="56" x14ac:dyDescent="0.15">
      <c r="A6539" s="2">
        <f>HYPERLINK("https://open-school.uspishnemisto.com.ua/school/320730/", 320730)</f>
        <v>320730</v>
      </c>
      <c r="B6539" s="3" t="s">
        <v>34332</v>
      </c>
      <c r="C6539" s="3" t="s">
        <v>54</v>
      </c>
      <c r="D6539" s="3" t="s">
        <v>32</v>
      </c>
      <c r="E6539" s="4" t="s">
        <v>22</v>
      </c>
      <c r="F6539" s="4" t="s">
        <v>34333</v>
      </c>
      <c r="G6539" s="4" t="s">
        <v>34334</v>
      </c>
      <c r="H6539" s="3" t="s">
        <v>30534</v>
      </c>
      <c r="I6539" s="3" t="s">
        <v>34335</v>
      </c>
      <c r="J6539" s="3" t="s">
        <v>34336</v>
      </c>
      <c r="K6539" s="3" t="s">
        <v>34337</v>
      </c>
      <c r="L6539" s="3"/>
      <c r="M6539" s="4"/>
      <c r="N6539" s="3" t="s">
        <v>37</v>
      </c>
      <c r="O6539" s="3" t="s">
        <v>52</v>
      </c>
      <c r="P6539" s="5">
        <v>6</v>
      </c>
      <c r="Q6539" s="5">
        <v>55</v>
      </c>
      <c r="R6539" s="5">
        <v>5</v>
      </c>
      <c r="S6539" s="5">
        <v>52</v>
      </c>
    </row>
    <row r="6540" spans="1:19" ht="42" x14ac:dyDescent="0.15">
      <c r="A6540" s="2">
        <f>HYPERLINK("https://open-school.uspishnemisto.com.ua/school/320731/", 320731)</f>
        <v>320731</v>
      </c>
      <c r="B6540" s="3" t="s">
        <v>34338</v>
      </c>
      <c r="C6540" s="3" t="s">
        <v>54</v>
      </c>
      <c r="D6540" s="3" t="s">
        <v>32</v>
      </c>
      <c r="E6540" s="4" t="s">
        <v>22</v>
      </c>
      <c r="F6540" s="4" t="s">
        <v>34339</v>
      </c>
      <c r="G6540" s="4" t="s">
        <v>34340</v>
      </c>
      <c r="H6540" s="3" t="s">
        <v>30534</v>
      </c>
      <c r="I6540" s="3" t="s">
        <v>34341</v>
      </c>
      <c r="J6540" s="3" t="s">
        <v>34342</v>
      </c>
      <c r="K6540" s="3" t="s">
        <v>34343</v>
      </c>
      <c r="L6540" s="3"/>
      <c r="M6540" s="4"/>
      <c r="N6540" s="3" t="s">
        <v>37</v>
      </c>
      <c r="O6540" s="3" t="s">
        <v>38</v>
      </c>
      <c r="P6540" s="5">
        <v>11</v>
      </c>
      <c r="Q6540" s="5">
        <v>88</v>
      </c>
      <c r="R6540" s="5">
        <v>10</v>
      </c>
      <c r="S6540" s="5">
        <v>80</v>
      </c>
    </row>
    <row r="6541" spans="1:19" ht="28" x14ac:dyDescent="0.15">
      <c r="A6541" s="2">
        <f>HYPERLINK("https://open-school.uspishnemisto.com.ua/school/320732/", 320732)</f>
        <v>320732</v>
      </c>
      <c r="B6541" s="3" t="s">
        <v>34344</v>
      </c>
      <c r="C6541" s="3" t="s">
        <v>54</v>
      </c>
      <c r="D6541" s="3" t="s">
        <v>32</v>
      </c>
      <c r="E6541" s="4" t="s">
        <v>22</v>
      </c>
      <c r="F6541" s="4"/>
      <c r="G6541" s="4" t="s">
        <v>34345</v>
      </c>
      <c r="H6541" s="3" t="s">
        <v>30534</v>
      </c>
      <c r="I6541" s="3" t="s">
        <v>34346</v>
      </c>
      <c r="J6541" s="3" t="s">
        <v>34347</v>
      </c>
      <c r="K6541" s="3" t="s">
        <v>34348</v>
      </c>
      <c r="L6541" s="3"/>
      <c r="M6541" s="4"/>
      <c r="N6541" s="3" t="s">
        <v>37</v>
      </c>
      <c r="O6541" s="3" t="s">
        <v>38</v>
      </c>
      <c r="P6541" s="5">
        <v>10</v>
      </c>
      <c r="Q6541" s="5">
        <v>84</v>
      </c>
      <c r="R6541" s="5">
        <v>10</v>
      </c>
      <c r="S6541" s="5">
        <v>86</v>
      </c>
    </row>
    <row r="6542" spans="1:19" ht="42" x14ac:dyDescent="0.15">
      <c r="A6542" s="2">
        <f>HYPERLINK("https://open-school.uspishnemisto.com.ua/school/320733/", 320733)</f>
        <v>320733</v>
      </c>
      <c r="B6542" s="3" t="s">
        <v>34349</v>
      </c>
      <c r="C6542" s="3" t="s">
        <v>54</v>
      </c>
      <c r="D6542" s="3" t="s">
        <v>32</v>
      </c>
      <c r="E6542" s="4" t="s">
        <v>22</v>
      </c>
      <c r="F6542" s="4" t="s">
        <v>34350</v>
      </c>
      <c r="G6542" s="4" t="s">
        <v>34351</v>
      </c>
      <c r="H6542" s="3" t="s">
        <v>30534</v>
      </c>
      <c r="I6542" s="3" t="s">
        <v>34352</v>
      </c>
      <c r="J6542" s="3" t="s">
        <v>34353</v>
      </c>
      <c r="K6542" s="3" t="s">
        <v>34354</v>
      </c>
      <c r="L6542" s="3"/>
      <c r="M6542" s="4"/>
      <c r="N6542" s="3" t="s">
        <v>37</v>
      </c>
      <c r="O6542" s="3" t="s">
        <v>52</v>
      </c>
      <c r="P6542" s="5">
        <v>7</v>
      </c>
      <c r="Q6542" s="5">
        <v>56</v>
      </c>
      <c r="R6542" s="5">
        <v>6</v>
      </c>
      <c r="S6542" s="5">
        <v>51</v>
      </c>
    </row>
    <row r="6543" spans="1:19" ht="42" x14ac:dyDescent="0.15">
      <c r="A6543" s="2">
        <f>HYPERLINK("https://open-school.uspishnemisto.com.ua/school/320734/", 320734)</f>
        <v>320734</v>
      </c>
      <c r="B6543" s="3" t="s">
        <v>34355</v>
      </c>
      <c r="C6543" s="3" t="s">
        <v>54</v>
      </c>
      <c r="D6543" s="3" t="s">
        <v>32</v>
      </c>
      <c r="E6543" s="4" t="s">
        <v>22</v>
      </c>
      <c r="F6543" s="4" t="s">
        <v>34356</v>
      </c>
      <c r="G6543" s="4" t="s">
        <v>34357</v>
      </c>
      <c r="H6543" s="3" t="s">
        <v>30534</v>
      </c>
      <c r="I6543" s="3" t="s">
        <v>34358</v>
      </c>
      <c r="J6543" s="3" t="s">
        <v>946</v>
      </c>
      <c r="K6543" s="3" t="s">
        <v>34359</v>
      </c>
      <c r="L6543" s="3"/>
      <c r="M6543" s="4"/>
      <c r="N6543" s="3" t="s">
        <v>37</v>
      </c>
      <c r="O6543" s="3" t="s">
        <v>38</v>
      </c>
      <c r="P6543" s="5">
        <v>10</v>
      </c>
      <c r="Q6543" s="5">
        <v>66</v>
      </c>
      <c r="R6543" s="5">
        <v>11</v>
      </c>
      <c r="S6543" s="5">
        <v>74</v>
      </c>
    </row>
    <row r="6544" spans="1:19" ht="42" x14ac:dyDescent="0.15">
      <c r="A6544" s="2">
        <f>HYPERLINK("https://open-school.uspishnemisto.com.ua/school/350001/", 350001)</f>
        <v>350001</v>
      </c>
      <c r="B6544" s="3" t="s">
        <v>34360</v>
      </c>
      <c r="C6544" s="3" t="s">
        <v>54</v>
      </c>
      <c r="D6544" s="3" t="s">
        <v>32</v>
      </c>
      <c r="E6544" s="4" t="s">
        <v>22</v>
      </c>
      <c r="F6544" s="4" t="s">
        <v>34361</v>
      </c>
      <c r="G6544" s="4" t="s">
        <v>34362</v>
      </c>
      <c r="H6544" s="3" t="s">
        <v>34363</v>
      </c>
      <c r="I6544" s="3" t="s">
        <v>34364</v>
      </c>
      <c r="J6544" s="3" t="s">
        <v>34365</v>
      </c>
      <c r="K6544" s="3" t="s">
        <v>34366</v>
      </c>
      <c r="L6544" s="3" t="s">
        <v>34367</v>
      </c>
      <c r="M6544" s="4"/>
      <c r="N6544" s="3" t="s">
        <v>128</v>
      </c>
      <c r="O6544" s="3" t="s">
        <v>70</v>
      </c>
      <c r="P6544" s="5">
        <v>33</v>
      </c>
      <c r="Q6544" s="5">
        <v>979</v>
      </c>
      <c r="R6544" s="5">
        <v>17</v>
      </c>
      <c r="S6544" s="5">
        <v>541</v>
      </c>
    </row>
    <row r="6545" spans="1:19" ht="28" x14ac:dyDescent="0.15">
      <c r="A6545" s="2">
        <f>HYPERLINK("https://open-school.uspishnemisto.com.ua/school/350002/", 350002)</f>
        <v>350002</v>
      </c>
      <c r="B6545" s="3" t="s">
        <v>34368</v>
      </c>
      <c r="C6545" s="3" t="s">
        <v>31</v>
      </c>
      <c r="D6545" s="3" t="s">
        <v>175</v>
      </c>
      <c r="E6545" s="4" t="s">
        <v>22</v>
      </c>
      <c r="F6545" s="4" t="s">
        <v>34369</v>
      </c>
      <c r="G6545" s="4" t="s">
        <v>34362</v>
      </c>
      <c r="H6545" s="3" t="s">
        <v>34363</v>
      </c>
      <c r="I6545" s="3" t="s">
        <v>34364</v>
      </c>
      <c r="J6545" s="3" t="s">
        <v>34370</v>
      </c>
      <c r="K6545" s="3" t="s">
        <v>34371</v>
      </c>
      <c r="L6545" s="3" t="s">
        <v>34372</v>
      </c>
      <c r="M6545" s="4"/>
      <c r="N6545" s="3" t="s">
        <v>37</v>
      </c>
      <c r="O6545" s="3" t="s">
        <v>38</v>
      </c>
      <c r="P6545" s="5">
        <v>9</v>
      </c>
      <c r="Q6545" s="5">
        <v>115</v>
      </c>
      <c r="R6545" s="5">
        <v>9</v>
      </c>
      <c r="S6545" s="5">
        <v>112</v>
      </c>
    </row>
    <row r="6546" spans="1:19" ht="28" x14ac:dyDescent="0.15">
      <c r="A6546" s="2">
        <f>HYPERLINK("https://open-school.uspishnemisto.com.ua/school/350003/", 350003)</f>
        <v>350003</v>
      </c>
      <c r="B6546" s="3" t="s">
        <v>34373</v>
      </c>
      <c r="C6546" s="3" t="s">
        <v>31</v>
      </c>
      <c r="D6546" s="3" t="s">
        <v>32</v>
      </c>
      <c r="E6546" s="4" t="s">
        <v>22</v>
      </c>
      <c r="F6546" s="4" t="s">
        <v>34374</v>
      </c>
      <c r="G6546" s="4" t="s">
        <v>34362</v>
      </c>
      <c r="H6546" s="3" t="s">
        <v>34363</v>
      </c>
      <c r="I6546" s="3" t="s">
        <v>34364</v>
      </c>
      <c r="J6546" s="3" t="s">
        <v>34375</v>
      </c>
      <c r="K6546" s="3" t="s">
        <v>34376</v>
      </c>
      <c r="L6546" s="3" t="s">
        <v>34377</v>
      </c>
      <c r="M6546" s="4"/>
      <c r="N6546" s="3" t="s">
        <v>37</v>
      </c>
      <c r="O6546" s="3" t="s">
        <v>70</v>
      </c>
      <c r="P6546" s="5">
        <v>24</v>
      </c>
      <c r="Q6546" s="5">
        <v>703</v>
      </c>
      <c r="R6546" s="5">
        <v>24</v>
      </c>
      <c r="S6546" s="5">
        <v>686</v>
      </c>
    </row>
    <row r="6547" spans="1:19" ht="28" x14ac:dyDescent="0.15">
      <c r="A6547" s="2">
        <f>HYPERLINK("https://open-school.uspishnemisto.com.ua/school/350004/", 350004)</f>
        <v>350004</v>
      </c>
      <c r="B6547" s="3" t="s">
        <v>34378</v>
      </c>
      <c r="C6547" s="3" t="s">
        <v>31</v>
      </c>
      <c r="D6547" s="3" t="s">
        <v>32</v>
      </c>
      <c r="E6547" s="4" t="s">
        <v>22</v>
      </c>
      <c r="F6547" s="4" t="s">
        <v>34379</v>
      </c>
      <c r="G6547" s="4" t="s">
        <v>34362</v>
      </c>
      <c r="H6547" s="3" t="s">
        <v>34363</v>
      </c>
      <c r="I6547" s="3" t="s">
        <v>34364</v>
      </c>
      <c r="J6547" s="3" t="s">
        <v>34380</v>
      </c>
      <c r="K6547" s="3" t="s">
        <v>34381</v>
      </c>
      <c r="L6547" s="3" t="s">
        <v>34382</v>
      </c>
      <c r="M6547" s="4"/>
      <c r="N6547" s="3" t="s">
        <v>37</v>
      </c>
      <c r="O6547" s="3" t="s">
        <v>70</v>
      </c>
      <c r="P6547" s="5">
        <v>9</v>
      </c>
      <c r="Q6547" s="5">
        <v>211</v>
      </c>
      <c r="R6547" s="5">
        <v>11</v>
      </c>
      <c r="S6547" s="5">
        <v>248</v>
      </c>
    </row>
    <row r="6548" spans="1:19" ht="28" x14ac:dyDescent="0.15">
      <c r="A6548" s="2">
        <f>HYPERLINK("https://open-school.uspishnemisto.com.ua/school/350005/", 350005)</f>
        <v>350005</v>
      </c>
      <c r="B6548" s="3" t="s">
        <v>34383</v>
      </c>
      <c r="C6548" s="3" t="s">
        <v>31</v>
      </c>
      <c r="D6548" s="3" t="s">
        <v>32</v>
      </c>
      <c r="E6548" s="4" t="s">
        <v>22</v>
      </c>
      <c r="F6548" s="4" t="s">
        <v>34384</v>
      </c>
      <c r="G6548" s="4" t="s">
        <v>34362</v>
      </c>
      <c r="H6548" s="3" t="s">
        <v>34363</v>
      </c>
      <c r="I6548" s="3" t="s">
        <v>34364</v>
      </c>
      <c r="J6548" s="3" t="s">
        <v>34385</v>
      </c>
      <c r="K6548" s="3" t="s">
        <v>34386</v>
      </c>
      <c r="L6548" s="3" t="s">
        <v>34387</v>
      </c>
      <c r="M6548" s="4"/>
      <c r="N6548" s="3" t="s">
        <v>37</v>
      </c>
      <c r="O6548" s="3" t="s">
        <v>70</v>
      </c>
      <c r="P6548" s="5">
        <v>9</v>
      </c>
      <c r="Q6548" s="5">
        <v>202</v>
      </c>
      <c r="R6548" s="5">
        <v>10</v>
      </c>
      <c r="S6548" s="5">
        <v>214</v>
      </c>
    </row>
    <row r="6549" spans="1:19" ht="28" x14ac:dyDescent="0.15">
      <c r="A6549" s="2">
        <f>HYPERLINK("https://open-school.uspishnemisto.com.ua/school/350006/", 350006)</f>
        <v>350006</v>
      </c>
      <c r="B6549" s="3" t="s">
        <v>34388</v>
      </c>
      <c r="C6549" s="3" t="s">
        <v>31</v>
      </c>
      <c r="D6549" s="3" t="s">
        <v>21</v>
      </c>
      <c r="E6549" s="4" t="s">
        <v>22</v>
      </c>
      <c r="F6549" s="4" t="s">
        <v>34389</v>
      </c>
      <c r="G6549" s="4" t="s">
        <v>34362</v>
      </c>
      <c r="H6549" s="3" t="s">
        <v>34363</v>
      </c>
      <c r="I6549" s="3" t="s">
        <v>34364</v>
      </c>
      <c r="J6549" s="3" t="s">
        <v>34390</v>
      </c>
      <c r="K6549" s="3" t="s">
        <v>34391</v>
      </c>
      <c r="L6549" s="3" t="s">
        <v>34392</v>
      </c>
      <c r="M6549" s="4"/>
      <c r="N6549" s="3" t="s">
        <v>37</v>
      </c>
      <c r="O6549" s="3" t="s">
        <v>70</v>
      </c>
      <c r="P6549" s="5">
        <v>14</v>
      </c>
      <c r="Q6549" s="5">
        <v>359</v>
      </c>
      <c r="R6549" s="5">
        <v>14</v>
      </c>
      <c r="S6549" s="5">
        <v>348</v>
      </c>
    </row>
    <row r="6550" spans="1:19" ht="56" x14ac:dyDescent="0.15">
      <c r="A6550" s="2">
        <f>HYPERLINK("https://open-school.uspishnemisto.com.ua/school/350007/", 350007)</f>
        <v>350007</v>
      </c>
      <c r="B6550" s="3" t="s">
        <v>34393</v>
      </c>
      <c r="C6550" s="3" t="s">
        <v>54</v>
      </c>
      <c r="D6550" s="3" t="s">
        <v>32</v>
      </c>
      <c r="E6550" s="4" t="s">
        <v>22</v>
      </c>
      <c r="F6550" s="4" t="s">
        <v>34394</v>
      </c>
      <c r="G6550" s="4" t="s">
        <v>34362</v>
      </c>
      <c r="H6550" s="3" t="s">
        <v>34363</v>
      </c>
      <c r="I6550" s="3" t="s">
        <v>34364</v>
      </c>
      <c r="J6550" s="3" t="s">
        <v>34395</v>
      </c>
      <c r="K6550" s="3" t="s">
        <v>34396</v>
      </c>
      <c r="L6550" s="3" t="s">
        <v>34397</v>
      </c>
      <c r="M6550" s="4"/>
      <c r="N6550" s="3" t="s">
        <v>37</v>
      </c>
      <c r="O6550" s="3" t="s">
        <v>70</v>
      </c>
      <c r="P6550" s="5">
        <v>28</v>
      </c>
      <c r="Q6550" s="5">
        <v>778</v>
      </c>
      <c r="R6550" s="5">
        <v>27</v>
      </c>
      <c r="S6550" s="5">
        <v>749</v>
      </c>
    </row>
    <row r="6551" spans="1:19" ht="56" x14ac:dyDescent="0.15">
      <c r="A6551" s="2">
        <f>HYPERLINK("https://open-school.uspishnemisto.com.ua/school/350008/", 350008)</f>
        <v>350008</v>
      </c>
      <c r="B6551" s="3" t="s">
        <v>34398</v>
      </c>
      <c r="C6551" s="3" t="s">
        <v>54</v>
      </c>
      <c r="D6551" s="3" t="s">
        <v>32</v>
      </c>
      <c r="E6551" s="4" t="s">
        <v>22</v>
      </c>
      <c r="F6551" s="4" t="s">
        <v>34399</v>
      </c>
      <c r="G6551" s="4" t="s">
        <v>34362</v>
      </c>
      <c r="H6551" s="3" t="s">
        <v>34363</v>
      </c>
      <c r="I6551" s="3" t="s">
        <v>34364</v>
      </c>
      <c r="J6551" s="3" t="s">
        <v>34400</v>
      </c>
      <c r="K6551" s="3" t="s">
        <v>34401</v>
      </c>
      <c r="L6551" s="3" t="s">
        <v>34402</v>
      </c>
      <c r="M6551" s="4" t="s">
        <v>34403</v>
      </c>
      <c r="N6551" s="3" t="s">
        <v>37</v>
      </c>
      <c r="O6551" s="3" t="s">
        <v>38</v>
      </c>
      <c r="P6551" s="5">
        <v>21</v>
      </c>
      <c r="Q6551" s="5">
        <v>609</v>
      </c>
      <c r="R6551" s="5">
        <v>21</v>
      </c>
      <c r="S6551" s="5">
        <v>580</v>
      </c>
    </row>
    <row r="6552" spans="1:19" ht="56" x14ac:dyDescent="0.15">
      <c r="A6552" s="2">
        <f>HYPERLINK("https://open-school.uspishnemisto.com.ua/school/350009/", 350009)</f>
        <v>350009</v>
      </c>
      <c r="B6552" s="3" t="s">
        <v>34404</v>
      </c>
      <c r="C6552" s="3" t="s">
        <v>174</v>
      </c>
      <c r="D6552" s="3" t="s">
        <v>175</v>
      </c>
      <c r="E6552" s="4" t="s">
        <v>22</v>
      </c>
      <c r="F6552" s="4" t="s">
        <v>34394</v>
      </c>
      <c r="G6552" s="4" t="s">
        <v>34362</v>
      </c>
      <c r="H6552" s="3" t="s">
        <v>34363</v>
      </c>
      <c r="I6552" s="3" t="s">
        <v>34364</v>
      </c>
      <c r="J6552" s="3" t="s">
        <v>34405</v>
      </c>
      <c r="K6552" s="3" t="s">
        <v>34406</v>
      </c>
      <c r="L6552" s="3" t="s">
        <v>34407</v>
      </c>
      <c r="M6552" s="4"/>
      <c r="N6552" s="3" t="s">
        <v>37</v>
      </c>
      <c r="O6552" s="3"/>
      <c r="P6552" s="5">
        <v>15</v>
      </c>
      <c r="Q6552" s="5">
        <v>180</v>
      </c>
      <c r="R6552" s="5">
        <v>14</v>
      </c>
      <c r="S6552" s="5">
        <v>172</v>
      </c>
    </row>
    <row r="6553" spans="1:19" ht="56" x14ac:dyDescent="0.15">
      <c r="A6553" s="2">
        <f>HYPERLINK("https://open-school.uspishnemisto.com.ua/school/350010/", 350010)</f>
        <v>350010</v>
      </c>
      <c r="B6553" s="3" t="s">
        <v>34408</v>
      </c>
      <c r="C6553" s="3" t="s">
        <v>54</v>
      </c>
      <c r="D6553" s="3" t="s">
        <v>32</v>
      </c>
      <c r="E6553" s="4" t="s">
        <v>22</v>
      </c>
      <c r="F6553" s="4" t="s">
        <v>34361</v>
      </c>
      <c r="G6553" s="4" t="s">
        <v>34362</v>
      </c>
      <c r="H6553" s="3" t="s">
        <v>34363</v>
      </c>
      <c r="I6553" s="3" t="s">
        <v>34364</v>
      </c>
      <c r="J6553" s="3" t="s">
        <v>34409</v>
      </c>
      <c r="K6553" s="3" t="s">
        <v>34410</v>
      </c>
      <c r="L6553" s="3" t="s">
        <v>34411</v>
      </c>
      <c r="M6553" s="4"/>
      <c r="N6553" s="3" t="s">
        <v>37</v>
      </c>
      <c r="O6553" s="3" t="s">
        <v>70</v>
      </c>
      <c r="P6553" s="5">
        <v>36</v>
      </c>
      <c r="Q6553" s="5">
        <v>1011</v>
      </c>
      <c r="R6553" s="5">
        <v>36</v>
      </c>
      <c r="S6553" s="5">
        <v>968</v>
      </c>
    </row>
    <row r="6554" spans="1:19" ht="70" x14ac:dyDescent="0.15">
      <c r="A6554" s="2">
        <f>HYPERLINK("https://open-school.uspishnemisto.com.ua/school/350011/", 350011)</f>
        <v>350011</v>
      </c>
      <c r="B6554" s="3" t="s">
        <v>34412</v>
      </c>
      <c r="C6554" s="3" t="s">
        <v>54</v>
      </c>
      <c r="D6554" s="3" t="s">
        <v>32</v>
      </c>
      <c r="E6554" s="4" t="s">
        <v>22</v>
      </c>
      <c r="F6554" s="4" t="s">
        <v>34399</v>
      </c>
      <c r="G6554" s="4" t="s">
        <v>34362</v>
      </c>
      <c r="H6554" s="3" t="s">
        <v>34363</v>
      </c>
      <c r="I6554" s="3" t="s">
        <v>34364</v>
      </c>
      <c r="J6554" s="3" t="s">
        <v>34413</v>
      </c>
      <c r="K6554" s="3" t="s">
        <v>34414</v>
      </c>
      <c r="L6554" s="3" t="s">
        <v>34415</v>
      </c>
      <c r="M6554" s="4" t="s">
        <v>34416</v>
      </c>
      <c r="N6554" s="3" t="s">
        <v>37</v>
      </c>
      <c r="O6554" s="3" t="s">
        <v>70</v>
      </c>
      <c r="P6554" s="5">
        <v>38</v>
      </c>
      <c r="Q6554" s="5">
        <v>1169</v>
      </c>
      <c r="R6554" s="5">
        <v>37</v>
      </c>
      <c r="S6554" s="5">
        <v>1145</v>
      </c>
    </row>
    <row r="6555" spans="1:19" ht="56" x14ac:dyDescent="0.15">
      <c r="A6555" s="2">
        <f>HYPERLINK("https://open-school.uspishnemisto.com.ua/school/350012/", 350012)</f>
        <v>350012</v>
      </c>
      <c r="B6555" s="3" t="s">
        <v>34417</v>
      </c>
      <c r="C6555" s="3" t="s">
        <v>54</v>
      </c>
      <c r="D6555" s="3" t="s">
        <v>32</v>
      </c>
      <c r="E6555" s="4" t="s">
        <v>22</v>
      </c>
      <c r="F6555" s="4" t="s">
        <v>34361</v>
      </c>
      <c r="G6555" s="4" t="s">
        <v>34362</v>
      </c>
      <c r="H6555" s="3" t="s">
        <v>34363</v>
      </c>
      <c r="I6555" s="3" t="s">
        <v>34364</v>
      </c>
      <c r="J6555" s="3" t="s">
        <v>34418</v>
      </c>
      <c r="K6555" s="3" t="s">
        <v>34419</v>
      </c>
      <c r="L6555" s="3" t="s">
        <v>34420</v>
      </c>
      <c r="M6555" s="4"/>
      <c r="N6555" s="3" t="s">
        <v>37</v>
      </c>
      <c r="O6555" s="3" t="s">
        <v>46</v>
      </c>
      <c r="P6555" s="5">
        <v>36</v>
      </c>
      <c r="Q6555" s="5">
        <v>1086</v>
      </c>
      <c r="R6555" s="5">
        <v>36</v>
      </c>
      <c r="S6555" s="5">
        <v>1066</v>
      </c>
    </row>
    <row r="6556" spans="1:19" ht="70" x14ac:dyDescent="0.15">
      <c r="A6556" s="2">
        <f>HYPERLINK("https://open-school.uspishnemisto.com.ua/school/350013/", 350013)</f>
        <v>350013</v>
      </c>
      <c r="B6556" s="3" t="s">
        <v>34421</v>
      </c>
      <c r="C6556" s="3" t="s">
        <v>54</v>
      </c>
      <c r="D6556" s="3" t="s">
        <v>32</v>
      </c>
      <c r="E6556" s="4" t="s">
        <v>22</v>
      </c>
      <c r="F6556" s="4" t="s">
        <v>34422</v>
      </c>
      <c r="G6556" s="4" t="s">
        <v>34362</v>
      </c>
      <c r="H6556" s="3" t="s">
        <v>34363</v>
      </c>
      <c r="I6556" s="3" t="s">
        <v>34364</v>
      </c>
      <c r="J6556" s="3" t="s">
        <v>34423</v>
      </c>
      <c r="K6556" s="3" t="s">
        <v>34424</v>
      </c>
      <c r="L6556" s="3" t="s">
        <v>34425</v>
      </c>
      <c r="M6556" s="4"/>
      <c r="N6556" s="3" t="s">
        <v>37</v>
      </c>
      <c r="O6556" s="3" t="s">
        <v>70</v>
      </c>
      <c r="P6556" s="5">
        <v>36</v>
      </c>
      <c r="Q6556" s="5">
        <v>1006</v>
      </c>
      <c r="R6556" s="5">
        <v>35</v>
      </c>
      <c r="S6556" s="5">
        <v>996</v>
      </c>
    </row>
    <row r="6557" spans="1:19" ht="28" x14ac:dyDescent="0.15">
      <c r="A6557" s="2">
        <f>HYPERLINK("https://open-school.uspishnemisto.com.ua/school/350014/", 350014)</f>
        <v>350014</v>
      </c>
      <c r="B6557" s="3" t="s">
        <v>34426</v>
      </c>
      <c r="C6557" s="3" t="s">
        <v>188</v>
      </c>
      <c r="D6557" s="3" t="s">
        <v>32</v>
      </c>
      <c r="E6557" s="4" t="s">
        <v>22</v>
      </c>
      <c r="F6557" s="4" t="s">
        <v>34374</v>
      </c>
      <c r="G6557" s="4" t="s">
        <v>34362</v>
      </c>
      <c r="H6557" s="3" t="s">
        <v>34363</v>
      </c>
      <c r="I6557" s="3" t="s">
        <v>34364</v>
      </c>
      <c r="J6557" s="3" t="s">
        <v>2745</v>
      </c>
      <c r="K6557" s="3" t="s">
        <v>34427</v>
      </c>
      <c r="L6557" s="3" t="s">
        <v>34428</v>
      </c>
      <c r="M6557" s="4"/>
      <c r="N6557" s="3" t="s">
        <v>37</v>
      </c>
      <c r="O6557" s="3" t="s">
        <v>129</v>
      </c>
      <c r="P6557" s="5">
        <v>13</v>
      </c>
      <c r="Q6557" s="5">
        <v>400</v>
      </c>
      <c r="R6557" s="5">
        <v>12</v>
      </c>
      <c r="S6557" s="5">
        <v>361</v>
      </c>
    </row>
    <row r="6558" spans="1:19" ht="70" x14ac:dyDescent="0.15">
      <c r="A6558" s="2">
        <f>HYPERLINK("https://open-school.uspishnemisto.com.ua/school/350015/", 350015)</f>
        <v>350015</v>
      </c>
      <c r="B6558" s="3" t="s">
        <v>34429</v>
      </c>
      <c r="C6558" s="3" t="s">
        <v>54</v>
      </c>
      <c r="D6558" s="3" t="s">
        <v>32</v>
      </c>
      <c r="E6558" s="4" t="s">
        <v>22</v>
      </c>
      <c r="F6558" s="4" t="s">
        <v>34374</v>
      </c>
      <c r="G6558" s="4" t="s">
        <v>34362</v>
      </c>
      <c r="H6558" s="3" t="s">
        <v>34363</v>
      </c>
      <c r="I6558" s="3" t="s">
        <v>34364</v>
      </c>
      <c r="J6558" s="3" t="s">
        <v>34430</v>
      </c>
      <c r="K6558" s="3" t="s">
        <v>34431</v>
      </c>
      <c r="L6558" s="3" t="s">
        <v>34432</v>
      </c>
      <c r="M6558" s="4" t="s">
        <v>34433</v>
      </c>
      <c r="N6558" s="3" t="s">
        <v>37</v>
      </c>
      <c r="O6558" s="3" t="s">
        <v>70</v>
      </c>
      <c r="P6558" s="5">
        <v>33</v>
      </c>
      <c r="Q6558" s="5">
        <v>887</v>
      </c>
      <c r="R6558" s="5">
        <v>32</v>
      </c>
      <c r="S6558" s="5">
        <v>844</v>
      </c>
    </row>
    <row r="6559" spans="1:19" ht="70" x14ac:dyDescent="0.15">
      <c r="A6559" s="2">
        <f>HYPERLINK("https://open-school.uspishnemisto.com.ua/school/350016/", 350016)</f>
        <v>350016</v>
      </c>
      <c r="B6559" s="3" t="s">
        <v>34434</v>
      </c>
      <c r="C6559" s="3" t="s">
        <v>54</v>
      </c>
      <c r="D6559" s="3" t="s">
        <v>32</v>
      </c>
      <c r="E6559" s="4" t="s">
        <v>22</v>
      </c>
      <c r="F6559" s="4" t="s">
        <v>34374</v>
      </c>
      <c r="G6559" s="4" t="s">
        <v>34362</v>
      </c>
      <c r="H6559" s="3" t="s">
        <v>34363</v>
      </c>
      <c r="I6559" s="3" t="s">
        <v>34364</v>
      </c>
      <c r="J6559" s="3" t="s">
        <v>34435</v>
      </c>
      <c r="K6559" s="3" t="s">
        <v>34436</v>
      </c>
      <c r="L6559" s="3" t="s">
        <v>34437</v>
      </c>
      <c r="M6559" s="4"/>
      <c r="N6559" s="3" t="s">
        <v>37</v>
      </c>
      <c r="O6559" s="3" t="s">
        <v>70</v>
      </c>
      <c r="P6559" s="5">
        <v>37</v>
      </c>
      <c r="Q6559" s="5">
        <v>1010</v>
      </c>
      <c r="R6559" s="5">
        <v>37</v>
      </c>
      <c r="S6559" s="5">
        <v>970</v>
      </c>
    </row>
    <row r="6560" spans="1:19" ht="42" x14ac:dyDescent="0.15">
      <c r="A6560" s="2">
        <f>HYPERLINK("https://open-school.uspishnemisto.com.ua/school/350017/", 350017)</f>
        <v>350017</v>
      </c>
      <c r="B6560" s="3" t="s">
        <v>34438</v>
      </c>
      <c r="C6560" s="3" t="s">
        <v>54</v>
      </c>
      <c r="D6560" s="3" t="s">
        <v>175</v>
      </c>
      <c r="E6560" s="4" t="s">
        <v>41</v>
      </c>
      <c r="F6560" s="4" t="s">
        <v>34361</v>
      </c>
      <c r="G6560" s="4" t="s">
        <v>34362</v>
      </c>
      <c r="H6560" s="3" t="s">
        <v>34363</v>
      </c>
      <c r="I6560" s="3" t="s">
        <v>34364</v>
      </c>
      <c r="J6560" s="3" t="s">
        <v>34439</v>
      </c>
      <c r="K6560" s="3" t="s">
        <v>34440</v>
      </c>
      <c r="L6560" s="3"/>
      <c r="M6560" s="4"/>
      <c r="N6560" s="3" t="s">
        <v>37</v>
      </c>
      <c r="O6560" s="3" t="s">
        <v>52</v>
      </c>
      <c r="P6560" s="5">
        <v>4</v>
      </c>
      <c r="Q6560" s="5">
        <v>28</v>
      </c>
      <c r="R6560" s="5">
        <v>4</v>
      </c>
      <c r="S6560" s="5">
        <v>29</v>
      </c>
    </row>
    <row r="6561" spans="1:19" ht="28" x14ac:dyDescent="0.15">
      <c r="A6561" s="2">
        <f>HYPERLINK("https://open-school.uspishnemisto.com.ua/school/350018/", 350018)</f>
        <v>350018</v>
      </c>
      <c r="B6561" s="3" t="s">
        <v>34441</v>
      </c>
      <c r="C6561" s="3" t="s">
        <v>244</v>
      </c>
      <c r="D6561" s="3" t="s">
        <v>32</v>
      </c>
      <c r="E6561" s="4" t="s">
        <v>22</v>
      </c>
      <c r="F6561" s="4" t="s">
        <v>34374</v>
      </c>
      <c r="G6561" s="4" t="s">
        <v>34362</v>
      </c>
      <c r="H6561" s="3" t="s">
        <v>34363</v>
      </c>
      <c r="I6561" s="3" t="s">
        <v>34364</v>
      </c>
      <c r="J6561" s="3" t="s">
        <v>34442</v>
      </c>
      <c r="K6561" s="3" t="s">
        <v>34443</v>
      </c>
      <c r="L6561" s="3" t="s">
        <v>34444</v>
      </c>
      <c r="M6561" s="4"/>
      <c r="N6561" s="3" t="s">
        <v>37</v>
      </c>
      <c r="O6561" s="3" t="s">
        <v>46</v>
      </c>
      <c r="P6561" s="5">
        <v>25</v>
      </c>
      <c r="Q6561" s="5">
        <v>705</v>
      </c>
      <c r="R6561" s="5">
        <v>25</v>
      </c>
      <c r="S6561" s="5">
        <v>683</v>
      </c>
    </row>
    <row r="6562" spans="1:19" ht="28" x14ac:dyDescent="0.15">
      <c r="A6562" s="2">
        <f>HYPERLINK("https://open-school.uspishnemisto.com.ua/school/350019/", 350019)</f>
        <v>350019</v>
      </c>
      <c r="B6562" s="3" t="s">
        <v>34445</v>
      </c>
      <c r="C6562" s="3" t="s">
        <v>174</v>
      </c>
      <c r="D6562" s="3" t="s">
        <v>175</v>
      </c>
      <c r="E6562" s="4" t="s">
        <v>22</v>
      </c>
      <c r="F6562" s="4" t="s">
        <v>34446</v>
      </c>
      <c r="G6562" s="4" t="s">
        <v>34362</v>
      </c>
      <c r="H6562" s="3" t="s">
        <v>34363</v>
      </c>
      <c r="I6562" s="3" t="s">
        <v>34364</v>
      </c>
      <c r="J6562" s="3" t="s">
        <v>34447</v>
      </c>
      <c r="K6562" s="3" t="s">
        <v>34448</v>
      </c>
      <c r="L6562" s="3"/>
      <c r="M6562" s="4"/>
      <c r="N6562" s="3"/>
      <c r="O6562" s="3"/>
      <c r="P6562" s="5">
        <v>0</v>
      </c>
      <c r="Q6562" s="5">
        <v>0</v>
      </c>
      <c r="R6562" s="5"/>
      <c r="S6562" s="5"/>
    </row>
    <row r="6563" spans="1:19" ht="28" x14ac:dyDescent="0.15">
      <c r="A6563" s="2">
        <f>HYPERLINK("https://open-school.uspishnemisto.com.ua/school/350020/", 350020)</f>
        <v>350020</v>
      </c>
      <c r="B6563" s="3" t="s">
        <v>34449</v>
      </c>
      <c r="C6563" s="3" t="s">
        <v>40</v>
      </c>
      <c r="D6563" s="3" t="s">
        <v>32</v>
      </c>
      <c r="E6563" s="4" t="s">
        <v>22</v>
      </c>
      <c r="F6563" s="4" t="s">
        <v>34361</v>
      </c>
      <c r="G6563" s="4" t="s">
        <v>34450</v>
      </c>
      <c r="H6563" s="3" t="s">
        <v>34363</v>
      </c>
      <c r="I6563" s="3" t="s">
        <v>34451</v>
      </c>
      <c r="J6563" s="3" t="s">
        <v>34452</v>
      </c>
      <c r="K6563" s="3" t="s">
        <v>34453</v>
      </c>
      <c r="L6563" s="3" t="s">
        <v>34454</v>
      </c>
      <c r="M6563" s="4"/>
      <c r="N6563" s="3" t="s">
        <v>37</v>
      </c>
      <c r="O6563" s="3" t="s">
        <v>197</v>
      </c>
      <c r="P6563" s="5">
        <v>20</v>
      </c>
      <c r="Q6563" s="5">
        <v>516</v>
      </c>
      <c r="R6563" s="5">
        <v>21</v>
      </c>
      <c r="S6563" s="5">
        <v>557</v>
      </c>
    </row>
    <row r="6564" spans="1:19" ht="28" x14ac:dyDescent="0.15">
      <c r="A6564" s="2">
        <f>HYPERLINK("https://open-school.uspishnemisto.com.ua/school/350022/", 350022)</f>
        <v>350022</v>
      </c>
      <c r="B6564" s="3" t="s">
        <v>34455</v>
      </c>
      <c r="C6564" s="3" t="s">
        <v>31</v>
      </c>
      <c r="D6564" s="3" t="s">
        <v>32</v>
      </c>
      <c r="E6564" s="4" t="s">
        <v>22</v>
      </c>
      <c r="F6564" s="4" t="s">
        <v>34446</v>
      </c>
      <c r="G6564" s="4" t="s">
        <v>34450</v>
      </c>
      <c r="H6564" s="3" t="s">
        <v>34363</v>
      </c>
      <c r="I6564" s="3" t="s">
        <v>34451</v>
      </c>
      <c r="J6564" s="3" t="s">
        <v>34456</v>
      </c>
      <c r="K6564" s="3" t="s">
        <v>34457</v>
      </c>
      <c r="L6564" s="3" t="s">
        <v>34458</v>
      </c>
      <c r="M6564" s="4"/>
      <c r="N6564" s="3" t="s">
        <v>37</v>
      </c>
      <c r="O6564" s="3" t="s">
        <v>70</v>
      </c>
      <c r="P6564" s="5">
        <v>11</v>
      </c>
      <c r="Q6564" s="5">
        <v>282</v>
      </c>
      <c r="R6564" s="5">
        <v>12</v>
      </c>
      <c r="S6564" s="5">
        <v>295</v>
      </c>
    </row>
    <row r="6565" spans="1:19" ht="28" x14ac:dyDescent="0.15">
      <c r="A6565" s="2">
        <f>HYPERLINK("https://open-school.uspishnemisto.com.ua/school/350023/", 350023)</f>
        <v>350023</v>
      </c>
      <c r="B6565" s="3" t="s">
        <v>34459</v>
      </c>
      <c r="C6565" s="3" t="s">
        <v>40</v>
      </c>
      <c r="D6565" s="3" t="s">
        <v>32</v>
      </c>
      <c r="E6565" s="4" t="s">
        <v>22</v>
      </c>
      <c r="F6565" s="4" t="s">
        <v>34361</v>
      </c>
      <c r="G6565" s="4" t="s">
        <v>34450</v>
      </c>
      <c r="H6565" s="3" t="s">
        <v>34363</v>
      </c>
      <c r="I6565" s="3" t="s">
        <v>34451</v>
      </c>
      <c r="J6565" s="3" t="s">
        <v>34418</v>
      </c>
      <c r="K6565" s="3" t="s">
        <v>34460</v>
      </c>
      <c r="L6565" s="3" t="s">
        <v>34461</v>
      </c>
      <c r="M6565" s="4"/>
      <c r="N6565" s="3" t="s">
        <v>37</v>
      </c>
      <c r="O6565" s="3" t="s">
        <v>38</v>
      </c>
      <c r="P6565" s="5">
        <v>8</v>
      </c>
      <c r="Q6565" s="5">
        <v>249</v>
      </c>
      <c r="R6565" s="5">
        <v>8</v>
      </c>
      <c r="S6565" s="5">
        <v>239</v>
      </c>
    </row>
    <row r="6566" spans="1:19" ht="42" x14ac:dyDescent="0.15">
      <c r="A6566" s="2">
        <f>HYPERLINK("https://open-school.uspishnemisto.com.ua/school/350024/", 350024)</f>
        <v>350024</v>
      </c>
      <c r="B6566" s="3" t="s">
        <v>34462</v>
      </c>
      <c r="C6566" s="3" t="s">
        <v>31</v>
      </c>
      <c r="D6566" s="3" t="s">
        <v>32</v>
      </c>
      <c r="E6566" s="4" t="s">
        <v>22</v>
      </c>
      <c r="F6566" s="4" t="s">
        <v>34399</v>
      </c>
      <c r="G6566" s="4" t="s">
        <v>34450</v>
      </c>
      <c r="H6566" s="3" t="s">
        <v>34363</v>
      </c>
      <c r="I6566" s="3" t="s">
        <v>34451</v>
      </c>
      <c r="J6566" s="3" t="s">
        <v>34463</v>
      </c>
      <c r="K6566" s="3" t="s">
        <v>34464</v>
      </c>
      <c r="L6566" s="3" t="s">
        <v>34465</v>
      </c>
      <c r="M6566" s="4"/>
      <c r="N6566" s="3" t="s">
        <v>37</v>
      </c>
      <c r="O6566" s="3" t="s">
        <v>46</v>
      </c>
      <c r="P6566" s="5">
        <v>9</v>
      </c>
      <c r="Q6566" s="5">
        <v>239</v>
      </c>
      <c r="R6566" s="5">
        <v>10</v>
      </c>
      <c r="S6566" s="5">
        <v>251</v>
      </c>
    </row>
    <row r="6567" spans="1:19" ht="70" x14ac:dyDescent="0.15">
      <c r="A6567" s="2">
        <f>HYPERLINK("https://open-school.uspishnemisto.com.ua/school/350025/", 350025)</f>
        <v>350025</v>
      </c>
      <c r="B6567" s="3" t="s">
        <v>34466</v>
      </c>
      <c r="C6567" s="3" t="s">
        <v>54</v>
      </c>
      <c r="D6567" s="3" t="s">
        <v>32</v>
      </c>
      <c r="E6567" s="4" t="s">
        <v>22</v>
      </c>
      <c r="F6567" s="4" t="s">
        <v>34394</v>
      </c>
      <c r="G6567" s="4" t="s">
        <v>34450</v>
      </c>
      <c r="H6567" s="3" t="s">
        <v>34363</v>
      </c>
      <c r="I6567" s="3" t="s">
        <v>34451</v>
      </c>
      <c r="J6567" s="3" t="s">
        <v>34467</v>
      </c>
      <c r="K6567" s="3" t="s">
        <v>34468</v>
      </c>
      <c r="L6567" s="3" t="s">
        <v>34469</v>
      </c>
      <c r="M6567" s="4"/>
      <c r="N6567" s="3" t="s">
        <v>37</v>
      </c>
      <c r="O6567" s="3" t="s">
        <v>38</v>
      </c>
      <c r="P6567" s="5">
        <v>49</v>
      </c>
      <c r="Q6567" s="5">
        <v>1466</v>
      </c>
      <c r="R6567" s="5">
        <v>48</v>
      </c>
      <c r="S6567" s="5">
        <v>1460</v>
      </c>
    </row>
    <row r="6568" spans="1:19" ht="56" x14ac:dyDescent="0.15">
      <c r="A6568" s="2">
        <f>HYPERLINK("https://open-school.uspishnemisto.com.ua/school/350026/", 350026)</f>
        <v>350026</v>
      </c>
      <c r="B6568" s="3" t="s">
        <v>34470</v>
      </c>
      <c r="C6568" s="3" t="s">
        <v>54</v>
      </c>
      <c r="D6568" s="3" t="s">
        <v>32</v>
      </c>
      <c r="E6568" s="4" t="s">
        <v>22</v>
      </c>
      <c r="F6568" s="4" t="s">
        <v>34394</v>
      </c>
      <c r="G6568" s="4" t="s">
        <v>34450</v>
      </c>
      <c r="H6568" s="3" t="s">
        <v>34363</v>
      </c>
      <c r="I6568" s="3" t="s">
        <v>34451</v>
      </c>
      <c r="J6568" s="3" t="s">
        <v>34471</v>
      </c>
      <c r="K6568" s="3" t="s">
        <v>34472</v>
      </c>
      <c r="L6568" s="3" t="s">
        <v>34473</v>
      </c>
      <c r="M6568" s="4"/>
      <c r="N6568" s="3" t="s">
        <v>37</v>
      </c>
      <c r="O6568" s="3" t="s">
        <v>38</v>
      </c>
      <c r="P6568" s="5">
        <v>32</v>
      </c>
      <c r="Q6568" s="5">
        <v>814</v>
      </c>
      <c r="R6568" s="5">
        <v>30</v>
      </c>
      <c r="S6568" s="5">
        <v>790</v>
      </c>
    </row>
    <row r="6569" spans="1:19" ht="56" x14ac:dyDescent="0.15">
      <c r="A6569" s="2">
        <f>HYPERLINK("https://open-school.uspishnemisto.com.ua/school/350027/", 350027)</f>
        <v>350027</v>
      </c>
      <c r="B6569" s="3" t="s">
        <v>34474</v>
      </c>
      <c r="C6569" s="3" t="s">
        <v>54</v>
      </c>
      <c r="D6569" s="3" t="s">
        <v>32</v>
      </c>
      <c r="E6569" s="4" t="s">
        <v>22</v>
      </c>
      <c r="F6569" s="4" t="s">
        <v>34384</v>
      </c>
      <c r="G6569" s="4" t="s">
        <v>34450</v>
      </c>
      <c r="H6569" s="3" t="s">
        <v>34363</v>
      </c>
      <c r="I6569" s="3" t="s">
        <v>34451</v>
      </c>
      <c r="J6569" s="3" t="s">
        <v>13669</v>
      </c>
      <c r="K6569" s="3" t="s">
        <v>34475</v>
      </c>
      <c r="L6569" s="3" t="s">
        <v>34476</v>
      </c>
      <c r="M6569" s="4" t="s">
        <v>34477</v>
      </c>
      <c r="N6569" s="3" t="s">
        <v>37</v>
      </c>
      <c r="O6569" s="3" t="s">
        <v>46</v>
      </c>
      <c r="P6569" s="5">
        <v>27</v>
      </c>
      <c r="Q6569" s="5">
        <v>765</v>
      </c>
      <c r="R6569" s="5">
        <v>26</v>
      </c>
      <c r="S6569" s="5">
        <v>727</v>
      </c>
    </row>
    <row r="6570" spans="1:19" ht="42" x14ac:dyDescent="0.15">
      <c r="A6570" s="2">
        <f>HYPERLINK("https://open-school.uspishnemisto.com.ua/school/350028/", 350028)</f>
        <v>350028</v>
      </c>
      <c r="B6570" s="3" t="s">
        <v>34478</v>
      </c>
      <c r="C6570" s="3" t="s">
        <v>54</v>
      </c>
      <c r="D6570" s="3" t="s">
        <v>32</v>
      </c>
      <c r="E6570" s="4" t="s">
        <v>22</v>
      </c>
      <c r="F6570" s="4" t="s">
        <v>34361</v>
      </c>
      <c r="G6570" s="4" t="s">
        <v>34450</v>
      </c>
      <c r="H6570" s="3" t="s">
        <v>34363</v>
      </c>
      <c r="I6570" s="3" t="s">
        <v>34451</v>
      </c>
      <c r="J6570" s="3" t="s">
        <v>34479</v>
      </c>
      <c r="K6570" s="3" t="s">
        <v>34480</v>
      </c>
      <c r="L6570" s="3" t="s">
        <v>34481</v>
      </c>
      <c r="M6570" s="4" t="s">
        <v>34482</v>
      </c>
      <c r="N6570" s="3" t="s">
        <v>37</v>
      </c>
      <c r="O6570" s="3" t="s">
        <v>52</v>
      </c>
      <c r="P6570" s="5">
        <v>25</v>
      </c>
      <c r="Q6570" s="5">
        <v>624</v>
      </c>
      <c r="R6570" s="5">
        <v>20</v>
      </c>
      <c r="S6570" s="5">
        <v>556</v>
      </c>
    </row>
    <row r="6571" spans="1:19" ht="70" x14ac:dyDescent="0.15">
      <c r="A6571" s="2">
        <f>HYPERLINK("https://open-school.uspishnemisto.com.ua/school/350029/", 350029)</f>
        <v>350029</v>
      </c>
      <c r="B6571" s="3" t="s">
        <v>34483</v>
      </c>
      <c r="C6571" s="3" t="s">
        <v>54</v>
      </c>
      <c r="D6571" s="3" t="s">
        <v>32</v>
      </c>
      <c r="E6571" s="4" t="s">
        <v>22</v>
      </c>
      <c r="F6571" s="4" t="s">
        <v>34379</v>
      </c>
      <c r="G6571" s="4" t="s">
        <v>34450</v>
      </c>
      <c r="H6571" s="3" t="s">
        <v>34363</v>
      </c>
      <c r="I6571" s="3" t="s">
        <v>34451</v>
      </c>
      <c r="J6571" s="3" t="s">
        <v>34484</v>
      </c>
      <c r="K6571" s="3" t="s">
        <v>34485</v>
      </c>
      <c r="L6571" s="3" t="s">
        <v>34486</v>
      </c>
      <c r="M6571" s="4"/>
      <c r="N6571" s="3" t="s">
        <v>37</v>
      </c>
      <c r="O6571" s="3" t="s">
        <v>70</v>
      </c>
      <c r="P6571" s="5">
        <v>11</v>
      </c>
      <c r="Q6571" s="5">
        <v>244</v>
      </c>
      <c r="R6571" s="5">
        <v>12</v>
      </c>
      <c r="S6571" s="5">
        <v>257</v>
      </c>
    </row>
    <row r="6572" spans="1:19" ht="56" x14ac:dyDescent="0.15">
      <c r="A6572" s="2">
        <f>HYPERLINK("https://open-school.uspishnemisto.com.ua/school/350030/", 350030)</f>
        <v>350030</v>
      </c>
      <c r="B6572" s="3" t="s">
        <v>34487</v>
      </c>
      <c r="C6572" s="3" t="s">
        <v>54</v>
      </c>
      <c r="D6572" s="3" t="s">
        <v>32</v>
      </c>
      <c r="E6572" s="4" t="s">
        <v>22</v>
      </c>
      <c r="F6572" s="4" t="s">
        <v>34488</v>
      </c>
      <c r="G6572" s="4" t="s">
        <v>34450</v>
      </c>
      <c r="H6572" s="3" t="s">
        <v>34363</v>
      </c>
      <c r="I6572" s="3" t="s">
        <v>34451</v>
      </c>
      <c r="J6572" s="3" t="s">
        <v>34489</v>
      </c>
      <c r="K6572" s="3" t="s">
        <v>34490</v>
      </c>
      <c r="L6572" s="3" t="s">
        <v>34491</v>
      </c>
      <c r="M6572" s="4"/>
      <c r="N6572" s="3" t="s">
        <v>37</v>
      </c>
      <c r="O6572" s="3" t="s">
        <v>38</v>
      </c>
      <c r="P6572" s="5">
        <v>34</v>
      </c>
      <c r="Q6572" s="5">
        <v>885</v>
      </c>
      <c r="R6572" s="5">
        <v>33</v>
      </c>
      <c r="S6572" s="5">
        <v>840</v>
      </c>
    </row>
    <row r="6573" spans="1:19" ht="56" x14ac:dyDescent="0.15">
      <c r="A6573" s="2">
        <f>HYPERLINK("https://open-school.uspishnemisto.com.ua/school/350031/", 350031)</f>
        <v>350031</v>
      </c>
      <c r="B6573" s="3" t="s">
        <v>34492</v>
      </c>
      <c r="C6573" s="3" t="s">
        <v>54</v>
      </c>
      <c r="D6573" s="3" t="s">
        <v>32</v>
      </c>
      <c r="E6573" s="4" t="s">
        <v>22</v>
      </c>
      <c r="F6573" s="4" t="s">
        <v>34384</v>
      </c>
      <c r="G6573" s="4" t="s">
        <v>34450</v>
      </c>
      <c r="H6573" s="3" t="s">
        <v>34363</v>
      </c>
      <c r="I6573" s="3" t="s">
        <v>34451</v>
      </c>
      <c r="J6573" s="3" t="s">
        <v>34493</v>
      </c>
      <c r="K6573" s="3" t="s">
        <v>34494</v>
      </c>
      <c r="L6573" s="3" t="s">
        <v>34495</v>
      </c>
      <c r="M6573" s="4" t="s">
        <v>34496</v>
      </c>
      <c r="N6573" s="3" t="s">
        <v>37</v>
      </c>
      <c r="O6573" s="3" t="s">
        <v>52</v>
      </c>
      <c r="P6573" s="5">
        <v>21</v>
      </c>
      <c r="Q6573" s="5">
        <v>579</v>
      </c>
      <c r="R6573" s="5">
        <v>20</v>
      </c>
      <c r="S6573" s="5">
        <v>548</v>
      </c>
    </row>
    <row r="6574" spans="1:19" ht="70" x14ac:dyDescent="0.15">
      <c r="A6574" s="2">
        <f>HYPERLINK("https://open-school.uspishnemisto.com.ua/school/350032/", 350032)</f>
        <v>350032</v>
      </c>
      <c r="B6574" s="3" t="s">
        <v>34497</v>
      </c>
      <c r="C6574" s="3" t="s">
        <v>54</v>
      </c>
      <c r="D6574" s="3" t="s">
        <v>32</v>
      </c>
      <c r="E6574" s="4" t="s">
        <v>22</v>
      </c>
      <c r="F6574" s="4" t="s">
        <v>34498</v>
      </c>
      <c r="G6574" s="4" t="s">
        <v>34450</v>
      </c>
      <c r="H6574" s="3" t="s">
        <v>34363</v>
      </c>
      <c r="I6574" s="3" t="s">
        <v>34451</v>
      </c>
      <c r="J6574" s="3" t="s">
        <v>34499</v>
      </c>
      <c r="K6574" s="3" t="s">
        <v>34500</v>
      </c>
      <c r="L6574" s="3" t="s">
        <v>34501</v>
      </c>
      <c r="M6574" s="4"/>
      <c r="N6574" s="3" t="s">
        <v>37</v>
      </c>
      <c r="O6574" s="3" t="s">
        <v>38</v>
      </c>
      <c r="P6574" s="5">
        <v>9</v>
      </c>
      <c r="Q6574" s="5">
        <v>203</v>
      </c>
      <c r="R6574" s="5">
        <v>10</v>
      </c>
      <c r="S6574" s="5">
        <v>218</v>
      </c>
    </row>
    <row r="6575" spans="1:19" ht="28" x14ac:dyDescent="0.15">
      <c r="A6575" s="2">
        <f>HYPERLINK("https://open-school.uspishnemisto.com.ua/school/350033/", 350033)</f>
        <v>350033</v>
      </c>
      <c r="B6575" s="3" t="s">
        <v>34502</v>
      </c>
      <c r="C6575" s="3" t="s">
        <v>20</v>
      </c>
      <c r="D6575" s="3" t="s">
        <v>21</v>
      </c>
      <c r="E6575" s="4" t="s">
        <v>22</v>
      </c>
      <c r="F6575" s="4" t="s">
        <v>34503</v>
      </c>
      <c r="G6575" s="4" t="s">
        <v>34504</v>
      </c>
      <c r="H6575" s="3" t="s">
        <v>34363</v>
      </c>
      <c r="I6575" s="3" t="s">
        <v>34505</v>
      </c>
      <c r="J6575" s="3" t="s">
        <v>34506</v>
      </c>
      <c r="K6575" s="3" t="s">
        <v>34507</v>
      </c>
      <c r="L6575" s="3"/>
      <c r="M6575" s="4"/>
      <c r="N6575" s="3"/>
      <c r="O6575" s="3"/>
      <c r="P6575" s="5">
        <v>0</v>
      </c>
      <c r="Q6575" s="5">
        <v>0</v>
      </c>
      <c r="R6575" s="5"/>
      <c r="S6575" s="5"/>
    </row>
    <row r="6576" spans="1:19" ht="28" x14ac:dyDescent="0.15">
      <c r="A6576" s="2">
        <f>HYPERLINK("https://open-school.uspishnemisto.com.ua/school/350034/", 350034)</f>
        <v>350034</v>
      </c>
      <c r="B6576" s="3" t="s">
        <v>34508</v>
      </c>
      <c r="C6576" s="3" t="s">
        <v>31</v>
      </c>
      <c r="D6576" s="3" t="s">
        <v>32</v>
      </c>
      <c r="E6576" s="4" t="s">
        <v>22</v>
      </c>
      <c r="F6576" s="4" t="s">
        <v>34369</v>
      </c>
      <c r="G6576" s="4" t="s">
        <v>34504</v>
      </c>
      <c r="H6576" s="3" t="s">
        <v>34363</v>
      </c>
      <c r="I6576" s="3" t="s">
        <v>34505</v>
      </c>
      <c r="J6576" s="3" t="s">
        <v>34509</v>
      </c>
      <c r="K6576" s="3" t="s">
        <v>34510</v>
      </c>
      <c r="L6576" s="3" t="s">
        <v>34511</v>
      </c>
      <c r="M6576" s="4"/>
      <c r="N6576" s="3" t="s">
        <v>37</v>
      </c>
      <c r="O6576" s="3" t="s">
        <v>70</v>
      </c>
      <c r="P6576" s="5">
        <v>9</v>
      </c>
      <c r="Q6576" s="5">
        <v>223</v>
      </c>
      <c r="R6576" s="5">
        <v>10</v>
      </c>
      <c r="S6576" s="5">
        <v>236</v>
      </c>
    </row>
    <row r="6577" spans="1:19" ht="28" x14ac:dyDescent="0.15">
      <c r="A6577" s="2">
        <f>HYPERLINK("https://open-school.uspishnemisto.com.ua/school/350035/", 350035)</f>
        <v>350035</v>
      </c>
      <c r="B6577" s="3" t="s">
        <v>34512</v>
      </c>
      <c r="C6577" s="3" t="s">
        <v>31</v>
      </c>
      <c r="D6577" s="3" t="s">
        <v>32</v>
      </c>
      <c r="E6577" s="4" t="s">
        <v>22</v>
      </c>
      <c r="F6577" s="4" t="s">
        <v>34513</v>
      </c>
      <c r="G6577" s="4" t="s">
        <v>34504</v>
      </c>
      <c r="H6577" s="3" t="s">
        <v>34363</v>
      </c>
      <c r="I6577" s="3" t="s">
        <v>34505</v>
      </c>
      <c r="J6577" s="3" t="s">
        <v>34514</v>
      </c>
      <c r="K6577" s="3" t="s">
        <v>34515</v>
      </c>
      <c r="L6577" s="3" t="s">
        <v>34516</v>
      </c>
      <c r="M6577" s="4"/>
      <c r="N6577" s="3" t="s">
        <v>37</v>
      </c>
      <c r="O6577" s="3" t="s">
        <v>2740</v>
      </c>
      <c r="P6577" s="5">
        <v>11</v>
      </c>
      <c r="Q6577" s="5">
        <v>308</v>
      </c>
      <c r="R6577" s="5">
        <v>11</v>
      </c>
      <c r="S6577" s="5">
        <v>307</v>
      </c>
    </row>
    <row r="6578" spans="1:19" ht="28" x14ac:dyDescent="0.15">
      <c r="A6578" s="2">
        <f>HYPERLINK("https://open-school.uspishnemisto.com.ua/school/350036/", 350036)</f>
        <v>350036</v>
      </c>
      <c r="B6578" s="3" t="s">
        <v>34517</v>
      </c>
      <c r="C6578" s="3" t="s">
        <v>31</v>
      </c>
      <c r="D6578" s="3" t="s">
        <v>32</v>
      </c>
      <c r="E6578" s="4" t="s">
        <v>22</v>
      </c>
      <c r="F6578" s="4" t="s">
        <v>34518</v>
      </c>
      <c r="G6578" s="4" t="s">
        <v>34504</v>
      </c>
      <c r="H6578" s="3" t="s">
        <v>34363</v>
      </c>
      <c r="I6578" s="3" t="s">
        <v>34505</v>
      </c>
      <c r="J6578" s="3" t="s">
        <v>34519</v>
      </c>
      <c r="K6578" s="3" t="s">
        <v>34520</v>
      </c>
      <c r="L6578" s="3" t="s">
        <v>34521</v>
      </c>
      <c r="M6578" s="4"/>
      <c r="N6578" s="3" t="s">
        <v>37</v>
      </c>
      <c r="O6578" s="3" t="s">
        <v>38</v>
      </c>
      <c r="P6578" s="5">
        <v>20</v>
      </c>
      <c r="Q6578" s="5">
        <v>458</v>
      </c>
      <c r="R6578" s="5">
        <v>21</v>
      </c>
      <c r="S6578" s="5">
        <v>478</v>
      </c>
    </row>
    <row r="6579" spans="1:19" ht="28" x14ac:dyDescent="0.15">
      <c r="A6579" s="2">
        <f>HYPERLINK("https://open-school.uspishnemisto.com.ua/school/350037/", 350037)</f>
        <v>350037</v>
      </c>
      <c r="B6579" s="3" t="s">
        <v>34522</v>
      </c>
      <c r="C6579" s="3" t="s">
        <v>54</v>
      </c>
      <c r="D6579" s="3" t="s">
        <v>21</v>
      </c>
      <c r="E6579" s="4" t="s">
        <v>22</v>
      </c>
      <c r="F6579" s="4" t="s">
        <v>34374</v>
      </c>
      <c r="G6579" s="4" t="s">
        <v>34504</v>
      </c>
      <c r="H6579" s="3" t="s">
        <v>34363</v>
      </c>
      <c r="I6579" s="3" t="s">
        <v>34505</v>
      </c>
      <c r="J6579" s="3" t="s">
        <v>34523</v>
      </c>
      <c r="K6579" s="3" t="s">
        <v>34524</v>
      </c>
      <c r="L6579" s="3"/>
      <c r="M6579" s="4" t="s">
        <v>34525</v>
      </c>
      <c r="N6579" s="3" t="s">
        <v>37</v>
      </c>
      <c r="O6579" s="3" t="s">
        <v>46</v>
      </c>
      <c r="P6579" s="5">
        <v>20</v>
      </c>
      <c r="Q6579" s="5">
        <v>629</v>
      </c>
      <c r="R6579" s="5">
        <v>20</v>
      </c>
      <c r="S6579" s="5">
        <v>617</v>
      </c>
    </row>
    <row r="6580" spans="1:19" ht="56" x14ac:dyDescent="0.15">
      <c r="A6580" s="2">
        <f>HYPERLINK("https://open-school.uspishnemisto.com.ua/school/350038/", 350038)</f>
        <v>350038</v>
      </c>
      <c r="B6580" s="3" t="s">
        <v>34526</v>
      </c>
      <c r="C6580" s="3" t="s">
        <v>54</v>
      </c>
      <c r="D6580" s="3" t="s">
        <v>32</v>
      </c>
      <c r="E6580" s="4" t="s">
        <v>22</v>
      </c>
      <c r="F6580" s="4" t="s">
        <v>34369</v>
      </c>
      <c r="G6580" s="4" t="s">
        <v>34504</v>
      </c>
      <c r="H6580" s="3" t="s">
        <v>34363</v>
      </c>
      <c r="I6580" s="3" t="s">
        <v>34505</v>
      </c>
      <c r="J6580" s="3" t="s">
        <v>34527</v>
      </c>
      <c r="K6580" s="3" t="s">
        <v>34528</v>
      </c>
      <c r="L6580" s="3" t="s">
        <v>34529</v>
      </c>
      <c r="M6580" s="4"/>
      <c r="N6580" s="3" t="s">
        <v>37</v>
      </c>
      <c r="O6580" s="3" t="s">
        <v>52</v>
      </c>
      <c r="P6580" s="5">
        <v>27</v>
      </c>
      <c r="Q6580" s="5">
        <v>719</v>
      </c>
      <c r="R6580" s="5">
        <v>26</v>
      </c>
      <c r="S6580" s="5">
        <v>707</v>
      </c>
    </row>
    <row r="6581" spans="1:19" ht="56" x14ac:dyDescent="0.15">
      <c r="A6581" s="2">
        <f>HYPERLINK("https://open-school.uspishnemisto.com.ua/school/350039/", 350039)</f>
        <v>350039</v>
      </c>
      <c r="B6581" s="3" t="s">
        <v>34530</v>
      </c>
      <c r="C6581" s="3" t="s">
        <v>54</v>
      </c>
      <c r="D6581" s="3" t="s">
        <v>32</v>
      </c>
      <c r="E6581" s="4" t="s">
        <v>22</v>
      </c>
      <c r="F6581" s="4" t="s">
        <v>34374</v>
      </c>
      <c r="G6581" s="4" t="s">
        <v>34504</v>
      </c>
      <c r="H6581" s="3" t="s">
        <v>34363</v>
      </c>
      <c r="I6581" s="3" t="s">
        <v>34505</v>
      </c>
      <c r="J6581" s="3" t="s">
        <v>34531</v>
      </c>
      <c r="K6581" s="3" t="s">
        <v>34532</v>
      </c>
      <c r="L6581" s="3" t="s">
        <v>34533</v>
      </c>
      <c r="M6581" s="4"/>
      <c r="N6581" s="3" t="s">
        <v>37</v>
      </c>
      <c r="O6581" s="3" t="s">
        <v>46</v>
      </c>
      <c r="P6581" s="5">
        <v>20</v>
      </c>
      <c r="Q6581" s="5">
        <v>511</v>
      </c>
      <c r="R6581" s="5">
        <v>19</v>
      </c>
      <c r="S6581" s="5">
        <v>489</v>
      </c>
    </row>
    <row r="6582" spans="1:19" ht="56" x14ac:dyDescent="0.15">
      <c r="A6582" s="2">
        <f>HYPERLINK("https://open-school.uspishnemisto.com.ua/school/350040/", 350040)</f>
        <v>350040</v>
      </c>
      <c r="B6582" s="3" t="s">
        <v>34534</v>
      </c>
      <c r="C6582" s="3" t="s">
        <v>54</v>
      </c>
      <c r="D6582" s="3" t="s">
        <v>32</v>
      </c>
      <c r="E6582" s="4" t="s">
        <v>22</v>
      </c>
      <c r="F6582" s="4" t="s">
        <v>34518</v>
      </c>
      <c r="G6582" s="4" t="s">
        <v>34504</v>
      </c>
      <c r="H6582" s="3" t="s">
        <v>34363</v>
      </c>
      <c r="I6582" s="3" t="s">
        <v>34505</v>
      </c>
      <c r="J6582" s="3" t="s">
        <v>34535</v>
      </c>
      <c r="K6582" s="3" t="s">
        <v>34536</v>
      </c>
      <c r="L6582" s="3" t="s">
        <v>34537</v>
      </c>
      <c r="M6582" s="4"/>
      <c r="N6582" s="3" t="s">
        <v>37</v>
      </c>
      <c r="O6582" s="3" t="s">
        <v>70</v>
      </c>
      <c r="P6582" s="5">
        <v>10</v>
      </c>
      <c r="Q6582" s="5">
        <v>227</v>
      </c>
      <c r="R6582" s="5">
        <v>11</v>
      </c>
      <c r="S6582" s="5">
        <v>238</v>
      </c>
    </row>
    <row r="6583" spans="1:19" ht="56" x14ac:dyDescent="0.15">
      <c r="A6583" s="2">
        <f>HYPERLINK("https://open-school.uspishnemisto.com.ua/school/350041/", 350041)</f>
        <v>350041</v>
      </c>
      <c r="B6583" s="3" t="s">
        <v>34538</v>
      </c>
      <c r="C6583" s="3" t="s">
        <v>54</v>
      </c>
      <c r="D6583" s="3" t="s">
        <v>32</v>
      </c>
      <c r="E6583" s="4" t="s">
        <v>22</v>
      </c>
      <c r="F6583" s="4" t="s">
        <v>34374</v>
      </c>
      <c r="G6583" s="4" t="s">
        <v>34504</v>
      </c>
      <c r="H6583" s="3" t="s">
        <v>34363</v>
      </c>
      <c r="I6583" s="3" t="s">
        <v>34505</v>
      </c>
      <c r="J6583" s="3" t="s">
        <v>34539</v>
      </c>
      <c r="K6583" s="3" t="s">
        <v>34540</v>
      </c>
      <c r="L6583" s="3" t="s">
        <v>34541</v>
      </c>
      <c r="M6583" s="4"/>
      <c r="N6583" s="3" t="s">
        <v>128</v>
      </c>
      <c r="O6583" s="3" t="s">
        <v>197</v>
      </c>
      <c r="P6583" s="5">
        <v>34</v>
      </c>
      <c r="Q6583" s="5">
        <v>894</v>
      </c>
      <c r="R6583" s="5">
        <v>34</v>
      </c>
      <c r="S6583" s="5">
        <v>895</v>
      </c>
    </row>
    <row r="6584" spans="1:19" ht="56" x14ac:dyDescent="0.15">
      <c r="A6584" s="2">
        <f>HYPERLINK("https://open-school.uspishnemisto.com.ua/school/350042/", 350042)</f>
        <v>350042</v>
      </c>
      <c r="B6584" s="3" t="s">
        <v>34542</v>
      </c>
      <c r="C6584" s="3" t="s">
        <v>174</v>
      </c>
      <c r="D6584" s="3" t="s">
        <v>32</v>
      </c>
      <c r="E6584" s="4" t="s">
        <v>22</v>
      </c>
      <c r="F6584" s="4" t="s">
        <v>34374</v>
      </c>
      <c r="G6584" s="4" t="s">
        <v>34504</v>
      </c>
      <c r="H6584" s="3" t="s">
        <v>34363</v>
      </c>
      <c r="I6584" s="3" t="s">
        <v>34505</v>
      </c>
      <c r="J6584" s="3" t="s">
        <v>34543</v>
      </c>
      <c r="K6584" s="3" t="s">
        <v>34544</v>
      </c>
      <c r="L6584" s="3" t="s">
        <v>34545</v>
      </c>
      <c r="M6584" s="4"/>
      <c r="N6584" s="3" t="s">
        <v>37</v>
      </c>
      <c r="O6584" s="3" t="s">
        <v>52</v>
      </c>
      <c r="P6584" s="5">
        <v>7</v>
      </c>
      <c r="Q6584" s="5">
        <v>25</v>
      </c>
      <c r="R6584" s="5">
        <v>7</v>
      </c>
      <c r="S6584" s="5">
        <v>28</v>
      </c>
    </row>
    <row r="6585" spans="1:19" ht="56" x14ac:dyDescent="0.15">
      <c r="A6585" s="2">
        <f>HYPERLINK("https://open-school.uspishnemisto.com.ua/school/350043/", 350043)</f>
        <v>350043</v>
      </c>
      <c r="B6585" s="3" t="s">
        <v>34546</v>
      </c>
      <c r="C6585" s="3" t="s">
        <v>54</v>
      </c>
      <c r="D6585" s="3" t="s">
        <v>32</v>
      </c>
      <c r="E6585" s="4" t="s">
        <v>22</v>
      </c>
      <c r="F6585" s="4" t="s">
        <v>34374</v>
      </c>
      <c r="G6585" s="4" t="s">
        <v>34504</v>
      </c>
      <c r="H6585" s="3" t="s">
        <v>34363</v>
      </c>
      <c r="I6585" s="3" t="s">
        <v>34505</v>
      </c>
      <c r="J6585" s="3" t="s">
        <v>34547</v>
      </c>
      <c r="K6585" s="3" t="s">
        <v>34548</v>
      </c>
      <c r="L6585" s="3" t="s">
        <v>34549</v>
      </c>
      <c r="M6585" s="4"/>
      <c r="N6585" s="3" t="s">
        <v>37</v>
      </c>
      <c r="O6585" s="3" t="s">
        <v>38</v>
      </c>
      <c r="P6585" s="5">
        <v>38</v>
      </c>
      <c r="Q6585" s="5">
        <v>1109</v>
      </c>
      <c r="R6585" s="5">
        <v>36</v>
      </c>
      <c r="S6585" s="5">
        <v>1045</v>
      </c>
    </row>
    <row r="6586" spans="1:19" ht="56" x14ac:dyDescent="0.15">
      <c r="A6586" s="2">
        <f>HYPERLINK("https://open-school.uspishnemisto.com.ua/school/350044/", 350044)</f>
        <v>350044</v>
      </c>
      <c r="B6586" s="3" t="s">
        <v>34550</v>
      </c>
      <c r="C6586" s="3" t="s">
        <v>54</v>
      </c>
      <c r="D6586" s="3" t="s">
        <v>32</v>
      </c>
      <c r="E6586" s="4" t="s">
        <v>22</v>
      </c>
      <c r="F6586" s="4" t="s">
        <v>34422</v>
      </c>
      <c r="G6586" s="4" t="s">
        <v>34504</v>
      </c>
      <c r="H6586" s="3" t="s">
        <v>34363</v>
      </c>
      <c r="I6586" s="3" t="s">
        <v>34505</v>
      </c>
      <c r="J6586" s="3" t="s">
        <v>34551</v>
      </c>
      <c r="K6586" s="3" t="s">
        <v>34552</v>
      </c>
      <c r="L6586" s="3" t="s">
        <v>34553</v>
      </c>
      <c r="M6586" s="4"/>
      <c r="N6586" s="3" t="s">
        <v>37</v>
      </c>
      <c r="O6586" s="3" t="s">
        <v>70</v>
      </c>
      <c r="P6586" s="5">
        <v>31</v>
      </c>
      <c r="Q6586" s="5">
        <v>901</v>
      </c>
      <c r="R6586" s="5">
        <v>31</v>
      </c>
      <c r="S6586" s="5">
        <v>903</v>
      </c>
    </row>
    <row r="6587" spans="1:19" ht="28" x14ac:dyDescent="0.15">
      <c r="A6587" s="2">
        <f>HYPERLINK("https://open-school.uspishnemisto.com.ua/school/350045/", 350045)</f>
        <v>350045</v>
      </c>
      <c r="B6587" s="3" t="s">
        <v>34554</v>
      </c>
      <c r="C6587" s="3" t="s">
        <v>31</v>
      </c>
      <c r="D6587" s="3" t="s">
        <v>60</v>
      </c>
      <c r="E6587" s="4" t="s">
        <v>22</v>
      </c>
      <c r="F6587" s="4" t="s">
        <v>34389</v>
      </c>
      <c r="G6587" s="4" t="s">
        <v>34555</v>
      </c>
      <c r="H6587" s="3" t="s">
        <v>34363</v>
      </c>
      <c r="I6587" s="3" t="s">
        <v>15896</v>
      </c>
      <c r="J6587" s="3" t="s">
        <v>34556</v>
      </c>
      <c r="K6587" s="3" t="s">
        <v>34557</v>
      </c>
      <c r="L6587" s="3" t="s">
        <v>34558</v>
      </c>
      <c r="M6587" s="4"/>
      <c r="N6587" s="3" t="s">
        <v>37</v>
      </c>
      <c r="O6587" s="3" t="s">
        <v>52</v>
      </c>
      <c r="P6587" s="5">
        <v>12</v>
      </c>
      <c r="Q6587" s="5">
        <v>350</v>
      </c>
      <c r="R6587" s="5">
        <v>12</v>
      </c>
      <c r="S6587" s="5">
        <v>357</v>
      </c>
    </row>
    <row r="6588" spans="1:19" ht="28" x14ac:dyDescent="0.15">
      <c r="A6588" s="2">
        <f>HYPERLINK("https://open-school.uspishnemisto.com.ua/school/350046/", 350046)</f>
        <v>350046</v>
      </c>
      <c r="B6588" s="3" t="s">
        <v>34559</v>
      </c>
      <c r="C6588" s="3" t="s">
        <v>31</v>
      </c>
      <c r="D6588" s="3" t="s">
        <v>175</v>
      </c>
      <c r="E6588" s="4" t="s">
        <v>22</v>
      </c>
      <c r="F6588" s="4" t="s">
        <v>34560</v>
      </c>
      <c r="G6588" s="4" t="s">
        <v>34561</v>
      </c>
      <c r="H6588" s="3" t="s">
        <v>34363</v>
      </c>
      <c r="I6588" s="3" t="s">
        <v>34562</v>
      </c>
      <c r="J6588" s="3" t="s">
        <v>34563</v>
      </c>
      <c r="K6588" s="3" t="s">
        <v>34564</v>
      </c>
      <c r="L6588" s="3" t="s">
        <v>34565</v>
      </c>
      <c r="M6588" s="4" t="s">
        <v>34566</v>
      </c>
      <c r="N6588" s="3" t="s">
        <v>37</v>
      </c>
      <c r="O6588" s="3" t="s">
        <v>52</v>
      </c>
      <c r="P6588" s="5">
        <v>9</v>
      </c>
      <c r="Q6588" s="5">
        <v>200</v>
      </c>
      <c r="R6588" s="5">
        <v>9</v>
      </c>
      <c r="S6588" s="5">
        <v>216</v>
      </c>
    </row>
    <row r="6589" spans="1:19" ht="28" x14ac:dyDescent="0.15">
      <c r="A6589" s="2">
        <f>HYPERLINK("https://open-school.uspishnemisto.com.ua/school/350047/", 350047)</f>
        <v>350047</v>
      </c>
      <c r="B6589" s="3" t="s">
        <v>34567</v>
      </c>
      <c r="C6589" s="3" t="s">
        <v>31</v>
      </c>
      <c r="D6589" s="3" t="s">
        <v>32</v>
      </c>
      <c r="E6589" s="4" t="s">
        <v>22</v>
      </c>
      <c r="F6589" s="4" t="s">
        <v>34568</v>
      </c>
      <c r="G6589" s="4" t="s">
        <v>34561</v>
      </c>
      <c r="H6589" s="3" t="s">
        <v>34363</v>
      </c>
      <c r="I6589" s="3" t="s">
        <v>34562</v>
      </c>
      <c r="J6589" s="3" t="s">
        <v>34569</v>
      </c>
      <c r="K6589" s="3" t="s">
        <v>34570</v>
      </c>
      <c r="L6589" s="3"/>
      <c r="M6589" s="4" t="s">
        <v>34571</v>
      </c>
      <c r="N6589" s="3" t="s">
        <v>37</v>
      </c>
      <c r="O6589" s="3" t="s">
        <v>52</v>
      </c>
      <c r="P6589" s="5">
        <v>24</v>
      </c>
      <c r="Q6589" s="5">
        <v>626</v>
      </c>
      <c r="R6589" s="5">
        <v>25</v>
      </c>
      <c r="S6589" s="5">
        <v>621</v>
      </c>
    </row>
    <row r="6590" spans="1:19" ht="28" x14ac:dyDescent="0.15">
      <c r="A6590" s="2">
        <f>HYPERLINK("https://open-school.uspishnemisto.com.ua/school/350048/", 350048)</f>
        <v>350048</v>
      </c>
      <c r="B6590" s="3" t="s">
        <v>34572</v>
      </c>
      <c r="C6590" s="3" t="s">
        <v>31</v>
      </c>
      <c r="D6590" s="3" t="s">
        <v>175</v>
      </c>
      <c r="E6590" s="4" t="s">
        <v>22</v>
      </c>
      <c r="F6590" s="4" t="s">
        <v>34568</v>
      </c>
      <c r="G6590" s="4" t="s">
        <v>34561</v>
      </c>
      <c r="H6590" s="3" t="s">
        <v>34363</v>
      </c>
      <c r="I6590" s="3" t="s">
        <v>34562</v>
      </c>
      <c r="J6590" s="3" t="s">
        <v>34573</v>
      </c>
      <c r="K6590" s="3" t="s">
        <v>34574</v>
      </c>
      <c r="L6590" s="3"/>
      <c r="M6590" s="4" t="s">
        <v>34575</v>
      </c>
      <c r="N6590" s="3" t="s">
        <v>37</v>
      </c>
      <c r="O6590" s="3" t="s">
        <v>52</v>
      </c>
      <c r="P6590" s="5">
        <v>9</v>
      </c>
      <c r="Q6590" s="5">
        <v>81</v>
      </c>
      <c r="R6590" s="5">
        <v>9</v>
      </c>
      <c r="S6590" s="5">
        <v>90</v>
      </c>
    </row>
    <row r="6591" spans="1:19" ht="28" x14ac:dyDescent="0.15">
      <c r="A6591" s="2">
        <f>HYPERLINK("https://open-school.uspishnemisto.com.ua/school/350049/", 350049)</f>
        <v>350049</v>
      </c>
      <c r="B6591" s="3" t="s">
        <v>34576</v>
      </c>
      <c r="C6591" s="3" t="s">
        <v>31</v>
      </c>
      <c r="D6591" s="3" t="s">
        <v>32</v>
      </c>
      <c r="E6591" s="4" t="s">
        <v>22</v>
      </c>
      <c r="F6591" s="4" t="s">
        <v>34577</v>
      </c>
      <c r="G6591" s="4" t="s">
        <v>34561</v>
      </c>
      <c r="H6591" s="3" t="s">
        <v>34363</v>
      </c>
      <c r="I6591" s="3" t="s">
        <v>34562</v>
      </c>
      <c r="J6591" s="3" t="s">
        <v>34578</v>
      </c>
      <c r="K6591" s="3" t="s">
        <v>34579</v>
      </c>
      <c r="L6591" s="3" t="s">
        <v>34580</v>
      </c>
      <c r="M6591" s="4" t="s">
        <v>34581</v>
      </c>
      <c r="N6591" s="3" t="s">
        <v>37</v>
      </c>
      <c r="O6591" s="3" t="s">
        <v>38</v>
      </c>
      <c r="P6591" s="5">
        <v>22</v>
      </c>
      <c r="Q6591" s="5">
        <v>556</v>
      </c>
      <c r="R6591" s="5">
        <v>21</v>
      </c>
      <c r="S6591" s="5">
        <v>532</v>
      </c>
    </row>
    <row r="6592" spans="1:19" ht="28" x14ac:dyDescent="0.15">
      <c r="A6592" s="2">
        <f>HYPERLINK("https://open-school.uspishnemisto.com.ua/school/350050/", 350050)</f>
        <v>350050</v>
      </c>
      <c r="B6592" s="3" t="s">
        <v>34582</v>
      </c>
      <c r="C6592" s="3" t="s">
        <v>31</v>
      </c>
      <c r="D6592" s="3" t="s">
        <v>32</v>
      </c>
      <c r="E6592" s="4" t="s">
        <v>22</v>
      </c>
      <c r="F6592" s="4" t="s">
        <v>34577</v>
      </c>
      <c r="G6592" s="4" t="s">
        <v>34561</v>
      </c>
      <c r="H6592" s="3" t="s">
        <v>34363</v>
      </c>
      <c r="I6592" s="3" t="s">
        <v>34562</v>
      </c>
      <c r="J6592" s="3" t="s">
        <v>34583</v>
      </c>
      <c r="K6592" s="3" t="s">
        <v>34584</v>
      </c>
      <c r="L6592" s="3"/>
      <c r="M6592" s="4" t="s">
        <v>34585</v>
      </c>
      <c r="N6592" s="3" t="s">
        <v>37</v>
      </c>
      <c r="O6592" s="3" t="s">
        <v>52</v>
      </c>
      <c r="P6592" s="5">
        <v>18</v>
      </c>
      <c r="Q6592" s="5">
        <v>353</v>
      </c>
      <c r="R6592" s="5">
        <v>17</v>
      </c>
      <c r="S6592" s="5">
        <v>334</v>
      </c>
    </row>
    <row r="6593" spans="1:19" ht="42" x14ac:dyDescent="0.15">
      <c r="A6593" s="2">
        <f>HYPERLINK("https://open-school.uspishnemisto.com.ua/school/350051/", 350051)</f>
        <v>350051</v>
      </c>
      <c r="B6593" s="3" t="s">
        <v>34586</v>
      </c>
      <c r="C6593" s="3" t="s">
        <v>31</v>
      </c>
      <c r="D6593" s="3" t="s">
        <v>32</v>
      </c>
      <c r="E6593" s="4" t="s">
        <v>22</v>
      </c>
      <c r="F6593" s="4" t="s">
        <v>34577</v>
      </c>
      <c r="G6593" s="4" t="s">
        <v>34561</v>
      </c>
      <c r="H6593" s="3" t="s">
        <v>34363</v>
      </c>
      <c r="I6593" s="3" t="s">
        <v>34562</v>
      </c>
      <c r="J6593" s="3" t="s">
        <v>34587</v>
      </c>
      <c r="K6593" s="3" t="s">
        <v>34588</v>
      </c>
      <c r="L6593" s="3"/>
      <c r="M6593" s="4" t="s">
        <v>34589</v>
      </c>
      <c r="N6593" s="3" t="s">
        <v>37</v>
      </c>
      <c r="O6593" s="3" t="s">
        <v>46</v>
      </c>
      <c r="P6593" s="5">
        <v>18</v>
      </c>
      <c r="Q6593" s="5">
        <v>416</v>
      </c>
      <c r="R6593" s="5">
        <v>17</v>
      </c>
      <c r="S6593" s="5">
        <v>407</v>
      </c>
    </row>
    <row r="6594" spans="1:19" ht="42" x14ac:dyDescent="0.15">
      <c r="A6594" s="2">
        <f>HYPERLINK("https://open-school.uspishnemisto.com.ua/school/350052/", 350052)</f>
        <v>350052</v>
      </c>
      <c r="B6594" s="3" t="s">
        <v>34590</v>
      </c>
      <c r="C6594" s="3" t="s">
        <v>54</v>
      </c>
      <c r="D6594" s="3" t="s">
        <v>21</v>
      </c>
      <c r="E6594" s="4" t="s">
        <v>22</v>
      </c>
      <c r="F6594" s="4" t="s">
        <v>34577</v>
      </c>
      <c r="G6594" s="4" t="s">
        <v>34561</v>
      </c>
      <c r="H6594" s="3" t="s">
        <v>34363</v>
      </c>
      <c r="I6594" s="3" t="s">
        <v>34562</v>
      </c>
      <c r="J6594" s="3" t="s">
        <v>34591</v>
      </c>
      <c r="K6594" s="3" t="s">
        <v>34592</v>
      </c>
      <c r="L6594" s="3" t="s">
        <v>34593</v>
      </c>
      <c r="M6594" s="4" t="s">
        <v>34594</v>
      </c>
      <c r="N6594" s="3" t="s">
        <v>37</v>
      </c>
      <c r="O6594" s="3" t="s">
        <v>52</v>
      </c>
      <c r="P6594" s="5">
        <v>20</v>
      </c>
      <c r="Q6594" s="5">
        <v>457</v>
      </c>
      <c r="R6594" s="5">
        <v>17</v>
      </c>
      <c r="S6594" s="5">
        <v>381</v>
      </c>
    </row>
    <row r="6595" spans="1:19" ht="56" x14ac:dyDescent="0.15">
      <c r="A6595" s="2">
        <f>HYPERLINK("https://open-school.uspishnemisto.com.ua/school/350055/", 350055)</f>
        <v>350055</v>
      </c>
      <c r="B6595" s="3" t="s">
        <v>34595</v>
      </c>
      <c r="C6595" s="3" t="s">
        <v>54</v>
      </c>
      <c r="D6595" s="3" t="s">
        <v>32</v>
      </c>
      <c r="E6595" s="4" t="s">
        <v>22</v>
      </c>
      <c r="F6595" s="4" t="s">
        <v>34577</v>
      </c>
      <c r="G6595" s="4" t="s">
        <v>34561</v>
      </c>
      <c r="H6595" s="3" t="s">
        <v>34363</v>
      </c>
      <c r="I6595" s="3" t="s">
        <v>34562</v>
      </c>
      <c r="J6595" s="3" t="s">
        <v>34596</v>
      </c>
      <c r="K6595" s="3" t="s">
        <v>34597</v>
      </c>
      <c r="L6595" s="3"/>
      <c r="M6595" s="4" t="s">
        <v>34598</v>
      </c>
      <c r="N6595" s="3" t="s">
        <v>37</v>
      </c>
      <c r="O6595" s="3" t="s">
        <v>38</v>
      </c>
      <c r="P6595" s="5">
        <v>21</v>
      </c>
      <c r="Q6595" s="5">
        <v>478</v>
      </c>
      <c r="R6595" s="5">
        <v>19</v>
      </c>
      <c r="S6595" s="5">
        <v>451</v>
      </c>
    </row>
    <row r="6596" spans="1:19" ht="42" x14ac:dyDescent="0.15">
      <c r="A6596" s="2">
        <f>HYPERLINK("https://open-school.uspishnemisto.com.ua/school/350056/", 350056)</f>
        <v>350056</v>
      </c>
      <c r="B6596" s="3" t="s">
        <v>34599</v>
      </c>
      <c r="C6596" s="3" t="s">
        <v>54</v>
      </c>
      <c r="D6596" s="3" t="s">
        <v>32</v>
      </c>
      <c r="E6596" s="4" t="s">
        <v>22</v>
      </c>
      <c r="F6596" s="4" t="s">
        <v>34577</v>
      </c>
      <c r="G6596" s="4" t="s">
        <v>34561</v>
      </c>
      <c r="H6596" s="3" t="s">
        <v>34363</v>
      </c>
      <c r="I6596" s="3" t="s">
        <v>34562</v>
      </c>
      <c r="J6596" s="3" t="s">
        <v>34600</v>
      </c>
      <c r="K6596" s="3" t="s">
        <v>34601</v>
      </c>
      <c r="L6596" s="3" t="s">
        <v>34602</v>
      </c>
      <c r="M6596" s="4" t="s">
        <v>34603</v>
      </c>
      <c r="N6596" s="3" t="s">
        <v>967</v>
      </c>
      <c r="O6596" s="3" t="s">
        <v>123</v>
      </c>
      <c r="P6596" s="5">
        <v>28</v>
      </c>
      <c r="Q6596" s="5">
        <v>683</v>
      </c>
      <c r="R6596" s="5">
        <v>26</v>
      </c>
      <c r="S6596" s="5">
        <v>662</v>
      </c>
    </row>
    <row r="6597" spans="1:19" ht="28" x14ac:dyDescent="0.15">
      <c r="A6597" s="2">
        <f>HYPERLINK("https://open-school.uspishnemisto.com.ua/school/350057/", 350057)</f>
        <v>350057</v>
      </c>
      <c r="B6597" s="3" t="s">
        <v>34604</v>
      </c>
      <c r="C6597" s="3" t="s">
        <v>54</v>
      </c>
      <c r="D6597" s="3" t="s">
        <v>32</v>
      </c>
      <c r="E6597" s="4" t="s">
        <v>22</v>
      </c>
      <c r="F6597" s="4" t="s">
        <v>34577</v>
      </c>
      <c r="G6597" s="4" t="s">
        <v>34561</v>
      </c>
      <c r="H6597" s="3" t="s">
        <v>34363</v>
      </c>
      <c r="I6597" s="3" t="s">
        <v>34562</v>
      </c>
      <c r="J6597" s="3" t="s">
        <v>34605</v>
      </c>
      <c r="K6597" s="3" t="s">
        <v>34606</v>
      </c>
      <c r="L6597" s="3" t="s">
        <v>34607</v>
      </c>
      <c r="M6597" s="4" t="s">
        <v>34608</v>
      </c>
      <c r="N6597" s="3" t="s">
        <v>37</v>
      </c>
      <c r="O6597" s="3" t="s">
        <v>70</v>
      </c>
      <c r="P6597" s="5">
        <v>49</v>
      </c>
      <c r="Q6597" s="5">
        <v>1338</v>
      </c>
      <c r="R6597" s="5">
        <v>47</v>
      </c>
      <c r="S6597" s="5">
        <v>1286</v>
      </c>
    </row>
    <row r="6598" spans="1:19" ht="28" x14ac:dyDescent="0.15">
      <c r="A6598" s="2">
        <f>HYPERLINK("https://open-school.uspishnemisto.com.ua/school/350058/", 350058)</f>
        <v>350058</v>
      </c>
      <c r="B6598" s="3" t="s">
        <v>34609</v>
      </c>
      <c r="C6598" s="3" t="s">
        <v>31</v>
      </c>
      <c r="D6598" s="3" t="s">
        <v>175</v>
      </c>
      <c r="E6598" s="4" t="s">
        <v>22</v>
      </c>
      <c r="F6598" s="4" t="s">
        <v>34610</v>
      </c>
      <c r="G6598" s="4" t="s">
        <v>34561</v>
      </c>
      <c r="H6598" s="3" t="s">
        <v>34363</v>
      </c>
      <c r="I6598" s="3" t="s">
        <v>34562</v>
      </c>
      <c r="J6598" s="3" t="s">
        <v>34611</v>
      </c>
      <c r="K6598" s="3" t="s">
        <v>34612</v>
      </c>
      <c r="L6598" s="3"/>
      <c r="M6598" s="4"/>
      <c r="N6598" s="3" t="s">
        <v>37</v>
      </c>
      <c r="O6598" s="3" t="s">
        <v>52</v>
      </c>
      <c r="P6598" s="5">
        <v>9</v>
      </c>
      <c r="Q6598" s="5">
        <v>59</v>
      </c>
      <c r="R6598" s="5">
        <v>8</v>
      </c>
      <c r="S6598" s="5">
        <v>59</v>
      </c>
    </row>
    <row r="6599" spans="1:19" ht="28" x14ac:dyDescent="0.15">
      <c r="A6599" s="2">
        <f>HYPERLINK("https://open-school.uspishnemisto.com.ua/school/350059/", 350059)</f>
        <v>350059</v>
      </c>
      <c r="B6599" s="3" t="s">
        <v>34613</v>
      </c>
      <c r="C6599" s="3" t="s">
        <v>293</v>
      </c>
      <c r="D6599" s="3" t="s">
        <v>32</v>
      </c>
      <c r="E6599" s="4" t="s">
        <v>22</v>
      </c>
      <c r="F6599" s="4" t="s">
        <v>34614</v>
      </c>
      <c r="G6599" s="4" t="s">
        <v>34561</v>
      </c>
      <c r="H6599" s="3" t="s">
        <v>34363</v>
      </c>
      <c r="I6599" s="3" t="s">
        <v>34562</v>
      </c>
      <c r="J6599" s="3" t="s">
        <v>466</v>
      </c>
      <c r="K6599" s="3" t="s">
        <v>34615</v>
      </c>
      <c r="L6599" s="3"/>
      <c r="M6599" s="4" t="s">
        <v>34616</v>
      </c>
      <c r="N6599" s="3" t="s">
        <v>37</v>
      </c>
      <c r="O6599" s="3" t="s">
        <v>38</v>
      </c>
      <c r="P6599" s="5">
        <v>10</v>
      </c>
      <c r="Q6599" s="5">
        <v>217</v>
      </c>
      <c r="R6599" s="5">
        <v>11</v>
      </c>
      <c r="S6599" s="5">
        <v>155</v>
      </c>
    </row>
    <row r="6600" spans="1:19" ht="28" x14ac:dyDescent="0.15">
      <c r="A6600" s="2">
        <f>HYPERLINK("https://open-school.uspishnemisto.com.ua/school/350060/", 350060)</f>
        <v>350060</v>
      </c>
      <c r="B6600" s="3" t="s">
        <v>34617</v>
      </c>
      <c r="C6600" s="3" t="s">
        <v>54</v>
      </c>
      <c r="D6600" s="3" t="s">
        <v>32</v>
      </c>
      <c r="E6600" s="4" t="s">
        <v>22</v>
      </c>
      <c r="F6600" s="4" t="s">
        <v>34577</v>
      </c>
      <c r="G6600" s="4" t="s">
        <v>34561</v>
      </c>
      <c r="H6600" s="3" t="s">
        <v>34363</v>
      </c>
      <c r="I6600" s="3" t="s">
        <v>34562</v>
      </c>
      <c r="J6600" s="3" t="s">
        <v>34618</v>
      </c>
      <c r="K6600" s="3" t="s">
        <v>34619</v>
      </c>
      <c r="L6600" s="3"/>
      <c r="M6600" s="4" t="s">
        <v>34620</v>
      </c>
      <c r="N6600" s="3" t="s">
        <v>37</v>
      </c>
      <c r="O6600" s="3" t="s">
        <v>46</v>
      </c>
      <c r="P6600" s="5">
        <v>45</v>
      </c>
      <c r="Q6600" s="5">
        <v>1296</v>
      </c>
      <c r="R6600" s="5">
        <v>44</v>
      </c>
      <c r="S6600" s="5">
        <v>1246</v>
      </c>
    </row>
    <row r="6601" spans="1:19" ht="28" x14ac:dyDescent="0.15">
      <c r="A6601" s="2">
        <f>HYPERLINK("https://open-school.uspishnemisto.com.ua/school/350061/", 350061)</f>
        <v>350061</v>
      </c>
      <c r="B6601" s="3" t="s">
        <v>34621</v>
      </c>
      <c r="C6601" s="3" t="s">
        <v>174</v>
      </c>
      <c r="D6601" s="3" t="s">
        <v>175</v>
      </c>
      <c r="E6601" s="4" t="s">
        <v>22</v>
      </c>
      <c r="F6601" s="4" t="s">
        <v>34577</v>
      </c>
      <c r="G6601" s="4" t="s">
        <v>34561</v>
      </c>
      <c r="H6601" s="3" t="s">
        <v>34363</v>
      </c>
      <c r="I6601" s="3" t="s">
        <v>34562</v>
      </c>
      <c r="J6601" s="3" t="s">
        <v>34622</v>
      </c>
      <c r="K6601" s="3" t="s">
        <v>34623</v>
      </c>
      <c r="L6601" s="3" t="s">
        <v>34624</v>
      </c>
      <c r="M6601" s="4" t="s">
        <v>34625</v>
      </c>
      <c r="N6601" s="3" t="s">
        <v>37</v>
      </c>
      <c r="O6601" s="3" t="s">
        <v>52</v>
      </c>
      <c r="P6601" s="5">
        <v>8</v>
      </c>
      <c r="Q6601" s="5">
        <v>104</v>
      </c>
      <c r="R6601" s="5">
        <v>9</v>
      </c>
      <c r="S6601" s="5">
        <v>105</v>
      </c>
    </row>
    <row r="6602" spans="1:19" ht="28" x14ac:dyDescent="0.15">
      <c r="A6602" s="2">
        <f>HYPERLINK("https://open-school.uspishnemisto.com.ua/school/350522/", 350522)</f>
        <v>350522</v>
      </c>
      <c r="B6602" s="3" t="s">
        <v>34626</v>
      </c>
      <c r="C6602" s="3" t="s">
        <v>54</v>
      </c>
      <c r="D6602" s="3" t="s">
        <v>32</v>
      </c>
      <c r="E6602" s="4" t="s">
        <v>22</v>
      </c>
      <c r="F6602" s="4" t="s">
        <v>34577</v>
      </c>
      <c r="G6602" s="4" t="s">
        <v>34561</v>
      </c>
      <c r="H6602" s="3" t="s">
        <v>34363</v>
      </c>
      <c r="I6602" s="3" t="s">
        <v>34562</v>
      </c>
      <c r="J6602" s="3" t="s">
        <v>34627</v>
      </c>
      <c r="K6602" s="3" t="s">
        <v>34628</v>
      </c>
      <c r="L6602" s="3"/>
      <c r="M6602" s="4" t="s">
        <v>34629</v>
      </c>
      <c r="N6602" s="3" t="s">
        <v>37</v>
      </c>
      <c r="O6602" s="3" t="s">
        <v>46</v>
      </c>
      <c r="P6602" s="5">
        <v>36</v>
      </c>
      <c r="Q6602" s="5">
        <v>870</v>
      </c>
      <c r="R6602" s="5"/>
      <c r="S6602" s="5"/>
    </row>
    <row r="6603" spans="1:19" ht="56" x14ac:dyDescent="0.15">
      <c r="A6603" s="2">
        <f>HYPERLINK("https://open-school.uspishnemisto.com.ua/school/350062/", 350062)</f>
        <v>350062</v>
      </c>
      <c r="B6603" s="3" t="s">
        <v>34630</v>
      </c>
      <c r="C6603" s="3" t="s">
        <v>54</v>
      </c>
      <c r="D6603" s="3" t="s">
        <v>32</v>
      </c>
      <c r="E6603" s="4" t="s">
        <v>22</v>
      </c>
      <c r="F6603" s="4" t="s">
        <v>34631</v>
      </c>
      <c r="G6603" s="4" t="s">
        <v>34632</v>
      </c>
      <c r="H6603" s="3" t="s">
        <v>34363</v>
      </c>
      <c r="I6603" s="3" t="s">
        <v>34633</v>
      </c>
      <c r="J6603" s="3" t="s">
        <v>34634</v>
      </c>
      <c r="K6603" s="3"/>
      <c r="L6603" s="3"/>
      <c r="M6603" s="4" t="s">
        <v>34635</v>
      </c>
      <c r="N6603" s="3" t="s">
        <v>37</v>
      </c>
      <c r="O6603" s="3" t="s">
        <v>52</v>
      </c>
      <c r="P6603" s="5">
        <v>21</v>
      </c>
      <c r="Q6603" s="5">
        <v>425</v>
      </c>
      <c r="R6603" s="5">
        <v>20</v>
      </c>
      <c r="S6603" s="5">
        <v>398</v>
      </c>
    </row>
    <row r="6604" spans="1:19" ht="28" x14ac:dyDescent="0.15">
      <c r="A6604" s="2">
        <f>HYPERLINK("https://open-school.uspishnemisto.com.ua/school/350063/", 350063)</f>
        <v>350063</v>
      </c>
      <c r="B6604" s="3" t="s">
        <v>34636</v>
      </c>
      <c r="C6604" s="3" t="s">
        <v>31</v>
      </c>
      <c r="D6604" s="3" t="s">
        <v>32</v>
      </c>
      <c r="E6604" s="4" t="s">
        <v>22</v>
      </c>
      <c r="F6604" s="4" t="s">
        <v>34614</v>
      </c>
      <c r="G6604" s="4" t="s">
        <v>34637</v>
      </c>
      <c r="H6604" s="3" t="s">
        <v>34363</v>
      </c>
      <c r="I6604" s="3" t="s">
        <v>34638</v>
      </c>
      <c r="J6604" s="3" t="s">
        <v>17231</v>
      </c>
      <c r="K6604" s="3"/>
      <c r="L6604" s="3"/>
      <c r="M6604" s="4" t="s">
        <v>34639</v>
      </c>
      <c r="N6604" s="3" t="s">
        <v>37</v>
      </c>
      <c r="O6604" s="3" t="s">
        <v>52</v>
      </c>
      <c r="P6604" s="5">
        <v>11</v>
      </c>
      <c r="Q6604" s="5">
        <v>152</v>
      </c>
      <c r="R6604" s="5">
        <v>11</v>
      </c>
      <c r="S6604" s="5">
        <v>163</v>
      </c>
    </row>
    <row r="6605" spans="1:19" ht="28" x14ac:dyDescent="0.15">
      <c r="A6605" s="2">
        <f>HYPERLINK("https://open-school.uspishnemisto.com.ua/school/350054/", 350054)</f>
        <v>350054</v>
      </c>
      <c r="B6605" s="3" t="s">
        <v>34640</v>
      </c>
      <c r="C6605" s="3" t="s">
        <v>54</v>
      </c>
      <c r="D6605" s="3" t="s">
        <v>32</v>
      </c>
      <c r="E6605" s="4" t="s">
        <v>22</v>
      </c>
      <c r="F6605" s="4" t="s">
        <v>34641</v>
      </c>
      <c r="G6605" s="4" t="s">
        <v>34642</v>
      </c>
      <c r="H6605" s="3" t="s">
        <v>34363</v>
      </c>
      <c r="I6605" s="3" t="s">
        <v>34643</v>
      </c>
      <c r="J6605" s="3" t="s">
        <v>34644</v>
      </c>
      <c r="K6605" s="3" t="s">
        <v>34645</v>
      </c>
      <c r="L6605" s="3"/>
      <c r="M6605" s="4" t="s">
        <v>34646</v>
      </c>
      <c r="N6605" s="3" t="s">
        <v>37</v>
      </c>
      <c r="O6605" s="3" t="s">
        <v>52</v>
      </c>
      <c r="P6605" s="5">
        <v>10</v>
      </c>
      <c r="Q6605" s="5">
        <v>95</v>
      </c>
      <c r="R6605" s="5">
        <v>11</v>
      </c>
      <c r="S6605" s="5">
        <v>97</v>
      </c>
    </row>
    <row r="6606" spans="1:19" ht="42" x14ac:dyDescent="0.15">
      <c r="A6606" s="2">
        <f>HYPERLINK("https://open-school.uspishnemisto.com.ua/school/350053/", 350053)</f>
        <v>350053</v>
      </c>
      <c r="B6606" s="3" t="s">
        <v>34647</v>
      </c>
      <c r="C6606" s="3" t="s">
        <v>54</v>
      </c>
      <c r="D6606" s="3" t="s">
        <v>175</v>
      </c>
      <c r="E6606" s="4" t="s">
        <v>22</v>
      </c>
      <c r="F6606" s="4" t="s">
        <v>34648</v>
      </c>
      <c r="G6606" s="4" t="s">
        <v>34649</v>
      </c>
      <c r="H6606" s="3" t="s">
        <v>34363</v>
      </c>
      <c r="I6606" s="3" t="s">
        <v>34650</v>
      </c>
      <c r="J6606" s="3" t="s">
        <v>34651</v>
      </c>
      <c r="K6606" s="3" t="s">
        <v>34652</v>
      </c>
      <c r="L6606" s="3"/>
      <c r="M6606" s="4" t="s">
        <v>34653</v>
      </c>
      <c r="N6606" s="3" t="s">
        <v>37</v>
      </c>
      <c r="O6606" s="3" t="s">
        <v>52</v>
      </c>
      <c r="P6606" s="5">
        <v>9</v>
      </c>
      <c r="Q6606" s="5">
        <v>104</v>
      </c>
      <c r="R6606" s="5">
        <v>9</v>
      </c>
      <c r="S6606" s="5">
        <v>98</v>
      </c>
    </row>
    <row r="6607" spans="1:19" ht="28" x14ac:dyDescent="0.15">
      <c r="A6607" s="2">
        <f>HYPERLINK("https://open-school.uspishnemisto.com.ua/school/350064/", 350064)</f>
        <v>350064</v>
      </c>
      <c r="B6607" s="3" t="s">
        <v>34654</v>
      </c>
      <c r="C6607" s="3" t="s">
        <v>31</v>
      </c>
      <c r="D6607" s="3" t="s">
        <v>32</v>
      </c>
      <c r="E6607" s="4" t="s">
        <v>22</v>
      </c>
      <c r="F6607" s="4" t="s">
        <v>34655</v>
      </c>
      <c r="G6607" s="4" t="s">
        <v>34656</v>
      </c>
      <c r="H6607" s="3" t="s">
        <v>34363</v>
      </c>
      <c r="I6607" s="3" t="s">
        <v>34657</v>
      </c>
      <c r="J6607" s="3" t="s">
        <v>34658</v>
      </c>
      <c r="K6607" s="3" t="s">
        <v>34659</v>
      </c>
      <c r="L6607" s="3"/>
      <c r="M6607" s="4"/>
      <c r="N6607" s="3" t="s">
        <v>37</v>
      </c>
      <c r="O6607" s="3" t="s">
        <v>70</v>
      </c>
      <c r="P6607" s="5">
        <v>20</v>
      </c>
      <c r="Q6607" s="5">
        <v>401</v>
      </c>
      <c r="R6607" s="5">
        <v>20</v>
      </c>
      <c r="S6607" s="5">
        <v>400</v>
      </c>
    </row>
    <row r="6608" spans="1:19" ht="28" x14ac:dyDescent="0.15">
      <c r="A6608" s="2">
        <f>HYPERLINK("https://open-school.uspishnemisto.com.ua/school/350065/", 350065)</f>
        <v>350065</v>
      </c>
      <c r="B6608" s="3" t="s">
        <v>34660</v>
      </c>
      <c r="C6608" s="3" t="s">
        <v>31</v>
      </c>
      <c r="D6608" s="3" t="s">
        <v>32</v>
      </c>
      <c r="E6608" s="4" t="s">
        <v>22</v>
      </c>
      <c r="F6608" s="4" t="s">
        <v>34661</v>
      </c>
      <c r="G6608" s="4" t="s">
        <v>34656</v>
      </c>
      <c r="H6608" s="3" t="s">
        <v>34363</v>
      </c>
      <c r="I6608" s="3" t="s">
        <v>34657</v>
      </c>
      <c r="J6608" s="3" t="s">
        <v>34662</v>
      </c>
      <c r="K6608" s="3" t="s">
        <v>34663</v>
      </c>
      <c r="L6608" s="3"/>
      <c r="M6608" s="4"/>
      <c r="N6608" s="3" t="s">
        <v>37</v>
      </c>
      <c r="O6608" s="3" t="s">
        <v>52</v>
      </c>
      <c r="P6608" s="5">
        <v>17</v>
      </c>
      <c r="Q6608" s="5">
        <v>328</v>
      </c>
      <c r="R6608" s="5">
        <v>17</v>
      </c>
      <c r="S6608" s="5">
        <v>331</v>
      </c>
    </row>
    <row r="6609" spans="1:19" ht="28" x14ac:dyDescent="0.15">
      <c r="A6609" s="2">
        <f>HYPERLINK("https://open-school.uspishnemisto.com.ua/school/350066/", 350066)</f>
        <v>350066</v>
      </c>
      <c r="B6609" s="3" t="s">
        <v>34664</v>
      </c>
      <c r="C6609" s="3" t="s">
        <v>181</v>
      </c>
      <c r="D6609" s="3" t="s">
        <v>32</v>
      </c>
      <c r="E6609" s="4" t="s">
        <v>22</v>
      </c>
      <c r="F6609" s="4" t="s">
        <v>34665</v>
      </c>
      <c r="G6609" s="4" t="s">
        <v>34656</v>
      </c>
      <c r="H6609" s="3" t="s">
        <v>34363</v>
      </c>
      <c r="I6609" s="3" t="s">
        <v>34657</v>
      </c>
      <c r="J6609" s="3" t="s">
        <v>34666</v>
      </c>
      <c r="K6609" s="3" t="s">
        <v>34667</v>
      </c>
      <c r="L6609" s="3"/>
      <c r="M6609" s="4" t="s">
        <v>34668</v>
      </c>
      <c r="N6609" s="3" t="s">
        <v>37</v>
      </c>
      <c r="O6609" s="3" t="s">
        <v>52</v>
      </c>
      <c r="P6609" s="5">
        <v>23</v>
      </c>
      <c r="Q6609" s="5">
        <v>164</v>
      </c>
      <c r="R6609" s="5">
        <v>24</v>
      </c>
      <c r="S6609" s="5">
        <v>173</v>
      </c>
    </row>
    <row r="6610" spans="1:19" ht="28" x14ac:dyDescent="0.15">
      <c r="A6610" s="2">
        <f>HYPERLINK("https://open-school.uspishnemisto.com.ua/school/350067/", 350067)</f>
        <v>350067</v>
      </c>
      <c r="B6610" s="3" t="s">
        <v>34669</v>
      </c>
      <c r="C6610" s="3" t="s">
        <v>54</v>
      </c>
      <c r="D6610" s="3" t="s">
        <v>32</v>
      </c>
      <c r="E6610" s="4" t="s">
        <v>22</v>
      </c>
      <c r="F6610" s="4" t="s">
        <v>34670</v>
      </c>
      <c r="G6610" s="4" t="s">
        <v>34656</v>
      </c>
      <c r="H6610" s="3" t="s">
        <v>34363</v>
      </c>
      <c r="I6610" s="3" t="s">
        <v>34657</v>
      </c>
      <c r="J6610" s="3" t="s">
        <v>34671</v>
      </c>
      <c r="K6610" s="3" t="s">
        <v>34672</v>
      </c>
      <c r="L6610" s="3"/>
      <c r="M6610" s="4"/>
      <c r="N6610" s="3" t="s">
        <v>37</v>
      </c>
      <c r="O6610" s="3" t="s">
        <v>38</v>
      </c>
      <c r="P6610" s="5">
        <v>33</v>
      </c>
      <c r="Q6610" s="5">
        <v>798</v>
      </c>
      <c r="R6610" s="5">
        <v>32</v>
      </c>
      <c r="S6610" s="5">
        <v>764</v>
      </c>
    </row>
    <row r="6611" spans="1:19" ht="28" x14ac:dyDescent="0.15">
      <c r="A6611" s="2">
        <f>HYPERLINK("https://open-school.uspishnemisto.com.ua/school/350068/", 350068)</f>
        <v>350068</v>
      </c>
      <c r="B6611" s="3" t="s">
        <v>34673</v>
      </c>
      <c r="C6611" s="3" t="s">
        <v>54</v>
      </c>
      <c r="D6611" s="3" t="s">
        <v>32</v>
      </c>
      <c r="E6611" s="4" t="s">
        <v>22</v>
      </c>
      <c r="F6611" s="4" t="s">
        <v>34665</v>
      </c>
      <c r="G6611" s="4" t="s">
        <v>34656</v>
      </c>
      <c r="H6611" s="3" t="s">
        <v>34363</v>
      </c>
      <c r="I6611" s="3" t="s">
        <v>34657</v>
      </c>
      <c r="J6611" s="3" t="s">
        <v>34674</v>
      </c>
      <c r="K6611" s="3" t="s">
        <v>34675</v>
      </c>
      <c r="L6611" s="3"/>
      <c r="M6611" s="4"/>
      <c r="N6611" s="3" t="s">
        <v>37</v>
      </c>
      <c r="O6611" s="3" t="s">
        <v>721</v>
      </c>
      <c r="P6611" s="5">
        <v>36</v>
      </c>
      <c r="Q6611" s="5">
        <v>930</v>
      </c>
      <c r="R6611" s="5">
        <v>36</v>
      </c>
      <c r="S6611" s="5">
        <v>895</v>
      </c>
    </row>
    <row r="6612" spans="1:19" ht="28" x14ac:dyDescent="0.15">
      <c r="A6612" s="2">
        <f>HYPERLINK("https://open-school.uspishnemisto.com.ua/school/350070/", 350070)</f>
        <v>350070</v>
      </c>
      <c r="B6612" s="3" t="s">
        <v>34676</v>
      </c>
      <c r="C6612" s="3" t="s">
        <v>31</v>
      </c>
      <c r="D6612" s="3" t="s">
        <v>32</v>
      </c>
      <c r="E6612" s="4" t="s">
        <v>22</v>
      </c>
      <c r="F6612" s="4" t="s">
        <v>34677</v>
      </c>
      <c r="G6612" s="4" t="s">
        <v>34656</v>
      </c>
      <c r="H6612" s="3" t="s">
        <v>34363</v>
      </c>
      <c r="I6612" s="3" t="s">
        <v>34657</v>
      </c>
      <c r="J6612" s="3" t="s">
        <v>34678</v>
      </c>
      <c r="K6612" s="3" t="s">
        <v>34679</v>
      </c>
      <c r="L6612" s="3"/>
      <c r="M6612" s="4"/>
      <c r="N6612" s="3" t="s">
        <v>37</v>
      </c>
      <c r="O6612" s="3" t="s">
        <v>52</v>
      </c>
      <c r="P6612" s="5">
        <v>11</v>
      </c>
      <c r="Q6612" s="5">
        <v>159</v>
      </c>
      <c r="R6612" s="5">
        <v>11</v>
      </c>
      <c r="S6612" s="5">
        <v>166</v>
      </c>
    </row>
    <row r="6613" spans="1:19" ht="28" x14ac:dyDescent="0.15">
      <c r="A6613" s="2">
        <f>HYPERLINK("https://open-school.uspishnemisto.com.ua/school/350069/", 350069)</f>
        <v>350069</v>
      </c>
      <c r="B6613" s="3" t="s">
        <v>34680</v>
      </c>
      <c r="C6613" s="3" t="s">
        <v>31</v>
      </c>
      <c r="D6613" s="3" t="s">
        <v>32</v>
      </c>
      <c r="E6613" s="4" t="s">
        <v>22</v>
      </c>
      <c r="F6613" s="4" t="s">
        <v>34677</v>
      </c>
      <c r="G6613" s="4" t="s">
        <v>34681</v>
      </c>
      <c r="H6613" s="3" t="s">
        <v>34363</v>
      </c>
      <c r="I6613" s="3" t="s">
        <v>34682</v>
      </c>
      <c r="J6613" s="3" t="s">
        <v>3112</v>
      </c>
      <c r="K6613" s="3" t="s">
        <v>34683</v>
      </c>
      <c r="L6613" s="3" t="s">
        <v>34684</v>
      </c>
      <c r="M6613" s="4"/>
      <c r="N6613" s="3" t="s">
        <v>37</v>
      </c>
      <c r="O6613" s="3" t="s">
        <v>38</v>
      </c>
      <c r="P6613" s="5">
        <v>18</v>
      </c>
      <c r="Q6613" s="5">
        <v>365</v>
      </c>
      <c r="R6613" s="5">
        <v>17</v>
      </c>
      <c r="S6613" s="5">
        <v>346</v>
      </c>
    </row>
    <row r="6614" spans="1:19" ht="28" x14ac:dyDescent="0.15">
      <c r="A6614" s="2">
        <f>HYPERLINK("https://open-school.uspishnemisto.com.ua/school/350071/", 350071)</f>
        <v>350071</v>
      </c>
      <c r="B6614" s="3" t="s">
        <v>34685</v>
      </c>
      <c r="C6614" s="3" t="s">
        <v>20</v>
      </c>
      <c r="D6614" s="3" t="s">
        <v>21</v>
      </c>
      <c r="E6614" s="4" t="s">
        <v>22</v>
      </c>
      <c r="F6614" s="4"/>
      <c r="G6614" s="4" t="s">
        <v>34686</v>
      </c>
      <c r="H6614" s="3" t="s">
        <v>34363</v>
      </c>
      <c r="I6614" s="3" t="s">
        <v>34687</v>
      </c>
      <c r="J6614" s="3" t="s">
        <v>34688</v>
      </c>
      <c r="K6614" s="3" t="s">
        <v>34689</v>
      </c>
      <c r="L6614" s="3"/>
      <c r="M6614" s="4"/>
      <c r="N6614" s="3"/>
      <c r="O6614" s="3"/>
      <c r="P6614" s="5">
        <v>0</v>
      </c>
      <c r="Q6614" s="5">
        <v>0</v>
      </c>
      <c r="R6614" s="5"/>
      <c r="S6614" s="5"/>
    </row>
    <row r="6615" spans="1:19" ht="28" x14ac:dyDescent="0.15">
      <c r="A6615" s="2">
        <f>HYPERLINK("https://open-school.uspishnemisto.com.ua/school/350072/", 350072)</f>
        <v>350072</v>
      </c>
      <c r="B6615" s="3" t="s">
        <v>34690</v>
      </c>
      <c r="C6615" s="3" t="s">
        <v>31</v>
      </c>
      <c r="D6615" s="3" t="s">
        <v>32</v>
      </c>
      <c r="E6615" s="4" t="s">
        <v>22</v>
      </c>
      <c r="F6615" s="4" t="s">
        <v>34691</v>
      </c>
      <c r="G6615" s="4" t="s">
        <v>34686</v>
      </c>
      <c r="H6615" s="3" t="s">
        <v>34363</v>
      </c>
      <c r="I6615" s="3" t="s">
        <v>34687</v>
      </c>
      <c r="J6615" s="3" t="s">
        <v>34688</v>
      </c>
      <c r="K6615" s="3" t="s">
        <v>34692</v>
      </c>
      <c r="L6615" s="3" t="s">
        <v>34693</v>
      </c>
      <c r="M6615" s="4"/>
      <c r="N6615" s="3" t="s">
        <v>37</v>
      </c>
      <c r="O6615" s="3" t="s">
        <v>38</v>
      </c>
      <c r="P6615" s="5">
        <v>21</v>
      </c>
      <c r="Q6615" s="5">
        <v>509</v>
      </c>
      <c r="R6615" s="5">
        <v>21</v>
      </c>
      <c r="S6615" s="5">
        <v>509</v>
      </c>
    </row>
    <row r="6616" spans="1:19" ht="42" x14ac:dyDescent="0.15">
      <c r="A6616" s="2">
        <f>HYPERLINK("https://open-school.uspishnemisto.com.ua/school/350073/", 350073)</f>
        <v>350073</v>
      </c>
      <c r="B6616" s="3" t="s">
        <v>34694</v>
      </c>
      <c r="C6616" s="3" t="s">
        <v>54</v>
      </c>
      <c r="D6616" s="3" t="s">
        <v>32</v>
      </c>
      <c r="E6616" s="4" t="s">
        <v>22</v>
      </c>
      <c r="F6616" s="4" t="s">
        <v>34691</v>
      </c>
      <c r="G6616" s="4" t="s">
        <v>34686</v>
      </c>
      <c r="H6616" s="3" t="s">
        <v>34363</v>
      </c>
      <c r="I6616" s="3" t="s">
        <v>34687</v>
      </c>
      <c r="J6616" s="3" t="s">
        <v>34695</v>
      </c>
      <c r="K6616" s="3" t="s">
        <v>34696</v>
      </c>
      <c r="L6616" s="3"/>
      <c r="M6616" s="4"/>
      <c r="N6616" s="3" t="s">
        <v>37</v>
      </c>
      <c r="O6616" s="3" t="s">
        <v>46</v>
      </c>
      <c r="P6616" s="5">
        <v>22</v>
      </c>
      <c r="Q6616" s="5">
        <v>541</v>
      </c>
      <c r="R6616" s="5">
        <v>22</v>
      </c>
      <c r="S6616" s="5">
        <v>540</v>
      </c>
    </row>
    <row r="6617" spans="1:19" ht="42" x14ac:dyDescent="0.15">
      <c r="A6617" s="2">
        <f>HYPERLINK("https://open-school.uspishnemisto.com.ua/school/350074/", 350074)</f>
        <v>350074</v>
      </c>
      <c r="B6617" s="3" t="s">
        <v>34697</v>
      </c>
      <c r="C6617" s="3" t="s">
        <v>2634</v>
      </c>
      <c r="D6617" s="3" t="s">
        <v>175</v>
      </c>
      <c r="E6617" s="4" t="s">
        <v>22</v>
      </c>
      <c r="F6617" s="4" t="s">
        <v>34691</v>
      </c>
      <c r="G6617" s="4" t="s">
        <v>34686</v>
      </c>
      <c r="H6617" s="3" t="s">
        <v>34363</v>
      </c>
      <c r="I6617" s="3" t="s">
        <v>34687</v>
      </c>
      <c r="J6617" s="3" t="s">
        <v>34698</v>
      </c>
      <c r="K6617" s="3" t="s">
        <v>34699</v>
      </c>
      <c r="L6617" s="3"/>
      <c r="M6617" s="4" t="s">
        <v>34700</v>
      </c>
      <c r="N6617" s="3" t="s">
        <v>37</v>
      </c>
      <c r="O6617" s="3" t="s">
        <v>52</v>
      </c>
      <c r="P6617" s="5">
        <v>10</v>
      </c>
      <c r="Q6617" s="5">
        <v>137</v>
      </c>
      <c r="R6617" s="5">
        <v>9</v>
      </c>
      <c r="S6617" s="5">
        <v>121</v>
      </c>
    </row>
    <row r="6618" spans="1:19" ht="28" x14ac:dyDescent="0.15">
      <c r="A6618" s="2">
        <f>HYPERLINK("https://open-school.uspishnemisto.com.ua/school/350075/", 350075)</f>
        <v>350075</v>
      </c>
      <c r="B6618" s="3" t="s">
        <v>34701</v>
      </c>
      <c r="C6618" s="3" t="s">
        <v>31</v>
      </c>
      <c r="D6618" s="3" t="s">
        <v>32</v>
      </c>
      <c r="E6618" s="4" t="s">
        <v>22</v>
      </c>
      <c r="F6618" s="4" t="s">
        <v>34702</v>
      </c>
      <c r="G6618" s="4" t="s">
        <v>34686</v>
      </c>
      <c r="H6618" s="3" t="s">
        <v>34363</v>
      </c>
      <c r="I6618" s="3" t="s">
        <v>34687</v>
      </c>
      <c r="J6618" s="3" t="s">
        <v>34703</v>
      </c>
      <c r="K6618" s="3" t="s">
        <v>34704</v>
      </c>
      <c r="L6618" s="3"/>
      <c r="M6618" s="4"/>
      <c r="N6618" s="3" t="s">
        <v>128</v>
      </c>
      <c r="O6618" s="3" t="s">
        <v>38</v>
      </c>
      <c r="P6618" s="5">
        <v>21</v>
      </c>
      <c r="Q6618" s="5">
        <v>474</v>
      </c>
      <c r="R6618" s="5">
        <v>21</v>
      </c>
      <c r="S6618" s="5">
        <v>480</v>
      </c>
    </row>
    <row r="6619" spans="1:19" ht="28" x14ac:dyDescent="0.15">
      <c r="A6619" s="2">
        <f>HYPERLINK("https://open-school.uspishnemisto.com.ua/school/350076/", 350076)</f>
        <v>350076</v>
      </c>
      <c r="B6619" s="3" t="s">
        <v>34705</v>
      </c>
      <c r="C6619" s="3" t="s">
        <v>31</v>
      </c>
      <c r="D6619" s="3" t="s">
        <v>32</v>
      </c>
      <c r="E6619" s="4" t="s">
        <v>22</v>
      </c>
      <c r="F6619" s="4" t="s">
        <v>34706</v>
      </c>
      <c r="G6619" s="4" t="s">
        <v>34686</v>
      </c>
      <c r="H6619" s="3" t="s">
        <v>34363</v>
      </c>
      <c r="I6619" s="3" t="s">
        <v>34687</v>
      </c>
      <c r="J6619" s="3" t="s">
        <v>17954</v>
      </c>
      <c r="K6619" s="3" t="s">
        <v>34707</v>
      </c>
      <c r="L6619" s="3"/>
      <c r="M6619" s="4"/>
      <c r="N6619" s="3" t="s">
        <v>37</v>
      </c>
      <c r="O6619" s="3" t="s">
        <v>38</v>
      </c>
      <c r="P6619" s="5">
        <v>21</v>
      </c>
      <c r="Q6619" s="5">
        <v>558</v>
      </c>
      <c r="R6619" s="5">
        <v>21</v>
      </c>
      <c r="S6619" s="5">
        <v>537</v>
      </c>
    </row>
    <row r="6620" spans="1:19" ht="28" x14ac:dyDescent="0.15">
      <c r="A6620" s="2">
        <f>HYPERLINK("https://open-school.uspishnemisto.com.ua/school/350077/", 350077)</f>
        <v>350077</v>
      </c>
      <c r="B6620" s="3" t="s">
        <v>34708</v>
      </c>
      <c r="C6620" s="3" t="s">
        <v>31</v>
      </c>
      <c r="D6620" s="3" t="s">
        <v>32</v>
      </c>
      <c r="E6620" s="4" t="s">
        <v>22</v>
      </c>
      <c r="F6620" s="4" t="s">
        <v>34709</v>
      </c>
      <c r="G6620" s="4" t="s">
        <v>34686</v>
      </c>
      <c r="H6620" s="3" t="s">
        <v>34363</v>
      </c>
      <c r="I6620" s="3" t="s">
        <v>34687</v>
      </c>
      <c r="J6620" s="3" t="s">
        <v>34710</v>
      </c>
      <c r="K6620" s="3" t="s">
        <v>34711</v>
      </c>
      <c r="L6620" s="3" t="s">
        <v>34712</v>
      </c>
      <c r="M6620" s="4"/>
      <c r="N6620" s="3" t="s">
        <v>37</v>
      </c>
      <c r="O6620" s="3" t="s">
        <v>52</v>
      </c>
      <c r="P6620" s="5">
        <v>10</v>
      </c>
      <c r="Q6620" s="5">
        <v>179</v>
      </c>
      <c r="R6620" s="5">
        <v>11</v>
      </c>
      <c r="S6620" s="5">
        <v>179</v>
      </c>
    </row>
    <row r="6621" spans="1:19" ht="28" x14ac:dyDescent="0.15">
      <c r="A6621" s="2">
        <f>HYPERLINK("https://open-school.uspishnemisto.com.ua/school/350078/", 350078)</f>
        <v>350078</v>
      </c>
      <c r="B6621" s="3" t="s">
        <v>34713</v>
      </c>
      <c r="C6621" s="3" t="s">
        <v>181</v>
      </c>
      <c r="D6621" s="3" t="s">
        <v>32</v>
      </c>
      <c r="E6621" s="4" t="s">
        <v>22</v>
      </c>
      <c r="F6621" s="4" t="s">
        <v>34691</v>
      </c>
      <c r="G6621" s="4" t="s">
        <v>34686</v>
      </c>
      <c r="H6621" s="3" t="s">
        <v>34363</v>
      </c>
      <c r="I6621" s="3" t="s">
        <v>34687</v>
      </c>
      <c r="J6621" s="3" t="s">
        <v>34703</v>
      </c>
      <c r="K6621" s="3" t="s">
        <v>34714</v>
      </c>
      <c r="L6621" s="3"/>
      <c r="M6621" s="4" t="s">
        <v>34715</v>
      </c>
      <c r="N6621" s="3" t="s">
        <v>37</v>
      </c>
      <c r="O6621" s="3" t="s">
        <v>52</v>
      </c>
      <c r="P6621" s="5">
        <v>14</v>
      </c>
      <c r="Q6621" s="5">
        <v>149</v>
      </c>
      <c r="R6621" s="5">
        <v>15</v>
      </c>
      <c r="S6621" s="5">
        <v>138</v>
      </c>
    </row>
    <row r="6622" spans="1:19" ht="28" x14ac:dyDescent="0.15">
      <c r="A6622" s="2">
        <f>HYPERLINK("https://open-school.uspishnemisto.com.ua/school/350079/", 350079)</f>
        <v>350079</v>
      </c>
      <c r="B6622" s="3" t="s">
        <v>34716</v>
      </c>
      <c r="C6622" s="3" t="s">
        <v>244</v>
      </c>
      <c r="D6622" s="3" t="s">
        <v>32</v>
      </c>
      <c r="E6622" s="4" t="s">
        <v>22</v>
      </c>
      <c r="F6622" s="4" t="s">
        <v>34702</v>
      </c>
      <c r="G6622" s="4" t="s">
        <v>34686</v>
      </c>
      <c r="H6622" s="3" t="s">
        <v>34363</v>
      </c>
      <c r="I6622" s="3" t="s">
        <v>34687</v>
      </c>
      <c r="J6622" s="3" t="s">
        <v>34717</v>
      </c>
      <c r="K6622" s="3" t="s">
        <v>34718</v>
      </c>
      <c r="L6622" s="3"/>
      <c r="M6622" s="4"/>
      <c r="N6622" s="3" t="s">
        <v>37</v>
      </c>
      <c r="O6622" s="3" t="s">
        <v>46</v>
      </c>
      <c r="P6622" s="5">
        <v>19</v>
      </c>
      <c r="Q6622" s="5">
        <v>470</v>
      </c>
      <c r="R6622" s="5">
        <v>19</v>
      </c>
      <c r="S6622" s="5">
        <v>443</v>
      </c>
    </row>
    <row r="6623" spans="1:19" ht="28" x14ac:dyDescent="0.15">
      <c r="A6623" s="2">
        <f>HYPERLINK("https://open-school.uspishnemisto.com.ua/school/350080/", 350080)</f>
        <v>350080</v>
      </c>
      <c r="B6623" s="3" t="s">
        <v>34719</v>
      </c>
      <c r="C6623" s="3" t="s">
        <v>244</v>
      </c>
      <c r="D6623" s="3" t="s">
        <v>32</v>
      </c>
      <c r="E6623" s="4" t="s">
        <v>22</v>
      </c>
      <c r="F6623" s="4" t="s">
        <v>34706</v>
      </c>
      <c r="G6623" s="4" t="s">
        <v>34686</v>
      </c>
      <c r="H6623" s="3" t="s">
        <v>34363</v>
      </c>
      <c r="I6623" s="3" t="s">
        <v>34687</v>
      </c>
      <c r="J6623" s="3" t="s">
        <v>34720</v>
      </c>
      <c r="K6623" s="3" t="s">
        <v>34721</v>
      </c>
      <c r="L6623" s="3"/>
      <c r="M6623" s="4"/>
      <c r="N6623" s="3" t="s">
        <v>37</v>
      </c>
      <c r="O6623" s="3" t="s">
        <v>38</v>
      </c>
      <c r="P6623" s="5">
        <v>28</v>
      </c>
      <c r="Q6623" s="5">
        <v>668</v>
      </c>
      <c r="R6623" s="5">
        <v>27</v>
      </c>
      <c r="S6623" s="5">
        <v>647</v>
      </c>
    </row>
    <row r="6624" spans="1:19" ht="42" x14ac:dyDescent="0.15">
      <c r="A6624" s="2">
        <f>HYPERLINK("https://open-school.uspishnemisto.com.ua/school/350081/", 350081)</f>
        <v>350081</v>
      </c>
      <c r="B6624" s="3" t="s">
        <v>34722</v>
      </c>
      <c r="C6624" s="3" t="s">
        <v>31</v>
      </c>
      <c r="D6624" s="3" t="s">
        <v>32</v>
      </c>
      <c r="E6624" s="4" t="s">
        <v>22</v>
      </c>
      <c r="F6624" s="4" t="s">
        <v>34691</v>
      </c>
      <c r="G6624" s="4" t="s">
        <v>34686</v>
      </c>
      <c r="H6624" s="3" t="s">
        <v>34363</v>
      </c>
      <c r="I6624" s="3" t="s">
        <v>34687</v>
      </c>
      <c r="J6624" s="3" t="s">
        <v>34723</v>
      </c>
      <c r="K6624" s="3" t="s">
        <v>34724</v>
      </c>
      <c r="L6624" s="3"/>
      <c r="M6624" s="4"/>
      <c r="N6624" s="3" t="s">
        <v>37</v>
      </c>
      <c r="O6624" s="3" t="s">
        <v>52</v>
      </c>
      <c r="P6624" s="5">
        <v>10</v>
      </c>
      <c r="Q6624" s="5">
        <v>257</v>
      </c>
      <c r="R6624" s="5">
        <v>11</v>
      </c>
      <c r="S6624" s="5">
        <v>266</v>
      </c>
    </row>
    <row r="6625" spans="1:19" ht="28" x14ac:dyDescent="0.15">
      <c r="A6625" s="2">
        <f>HYPERLINK("https://open-school.uspishnemisto.com.ua/school/350082/", 350082)</f>
        <v>350082</v>
      </c>
      <c r="B6625" s="3" t="s">
        <v>34725</v>
      </c>
      <c r="C6625" s="3" t="s">
        <v>31</v>
      </c>
      <c r="D6625" s="3" t="s">
        <v>32</v>
      </c>
      <c r="E6625" s="4" t="s">
        <v>22</v>
      </c>
      <c r="F6625" s="4" t="s">
        <v>34691</v>
      </c>
      <c r="G6625" s="4" t="s">
        <v>34726</v>
      </c>
      <c r="H6625" s="3" t="s">
        <v>34363</v>
      </c>
      <c r="I6625" s="3" t="s">
        <v>34727</v>
      </c>
      <c r="J6625" s="3" t="s">
        <v>34728</v>
      </c>
      <c r="K6625" s="3" t="s">
        <v>34729</v>
      </c>
      <c r="L6625" s="3"/>
      <c r="M6625" s="4"/>
      <c r="N6625" s="3" t="s">
        <v>37</v>
      </c>
      <c r="O6625" s="3" t="s">
        <v>38</v>
      </c>
      <c r="P6625" s="5">
        <v>24</v>
      </c>
      <c r="Q6625" s="5">
        <v>527</v>
      </c>
      <c r="R6625" s="5">
        <v>23</v>
      </c>
      <c r="S6625" s="5">
        <v>516</v>
      </c>
    </row>
    <row r="6626" spans="1:19" ht="56" x14ac:dyDescent="0.15">
      <c r="A6626" s="2">
        <f>HYPERLINK("https://open-school.uspishnemisto.com.ua/school/350083/", 350083)</f>
        <v>350083</v>
      </c>
      <c r="B6626" s="3" t="s">
        <v>34730</v>
      </c>
      <c r="C6626" s="3" t="s">
        <v>54</v>
      </c>
      <c r="D6626" s="3" t="s">
        <v>32</v>
      </c>
      <c r="E6626" s="4" t="s">
        <v>22</v>
      </c>
      <c r="F6626" s="4" t="s">
        <v>34610</v>
      </c>
      <c r="G6626" s="4" t="s">
        <v>34731</v>
      </c>
      <c r="H6626" s="3" t="s">
        <v>34363</v>
      </c>
      <c r="I6626" s="3" t="s">
        <v>34732</v>
      </c>
      <c r="J6626" s="3" t="s">
        <v>34733</v>
      </c>
      <c r="K6626" s="3" t="s">
        <v>34734</v>
      </c>
      <c r="L6626" s="3"/>
      <c r="M6626" s="4"/>
      <c r="N6626" s="3" t="s">
        <v>37</v>
      </c>
      <c r="O6626" s="3" t="s">
        <v>46</v>
      </c>
      <c r="P6626" s="5">
        <v>11</v>
      </c>
      <c r="Q6626" s="5">
        <v>125</v>
      </c>
      <c r="R6626" s="5">
        <v>11</v>
      </c>
      <c r="S6626" s="5">
        <v>120</v>
      </c>
    </row>
    <row r="6627" spans="1:19" ht="28" x14ac:dyDescent="0.15">
      <c r="A6627" s="2">
        <f>HYPERLINK("https://open-school.uspishnemisto.com.ua/school/350084/", 350084)</f>
        <v>350084</v>
      </c>
      <c r="B6627" s="3" t="s">
        <v>34735</v>
      </c>
      <c r="C6627" s="3" t="s">
        <v>181</v>
      </c>
      <c r="D6627" s="3" t="s">
        <v>175</v>
      </c>
      <c r="E6627" s="4" t="s">
        <v>22</v>
      </c>
      <c r="F6627" s="4" t="s">
        <v>34610</v>
      </c>
      <c r="G6627" s="4" t="s">
        <v>34731</v>
      </c>
      <c r="H6627" s="3" t="s">
        <v>34363</v>
      </c>
      <c r="I6627" s="3" t="s">
        <v>34732</v>
      </c>
      <c r="J6627" s="3" t="s">
        <v>34736</v>
      </c>
      <c r="K6627" s="3" t="s">
        <v>34737</v>
      </c>
      <c r="L6627" s="3"/>
      <c r="M6627" s="4" t="s">
        <v>34738</v>
      </c>
      <c r="N6627" s="3" t="s">
        <v>37</v>
      </c>
      <c r="O6627" s="3"/>
      <c r="P6627" s="5">
        <v>12</v>
      </c>
      <c r="Q6627" s="5">
        <v>138</v>
      </c>
      <c r="R6627" s="5">
        <v>14</v>
      </c>
      <c r="S6627" s="5">
        <v>147</v>
      </c>
    </row>
    <row r="6628" spans="1:19" ht="28" x14ac:dyDescent="0.15">
      <c r="A6628" s="2">
        <f>HYPERLINK("https://open-school.uspishnemisto.com.ua/school/350085/", 350085)</f>
        <v>350085</v>
      </c>
      <c r="B6628" s="3" t="s">
        <v>34739</v>
      </c>
      <c r="C6628" s="3" t="s">
        <v>54</v>
      </c>
      <c r="D6628" s="3" t="s">
        <v>32</v>
      </c>
      <c r="E6628" s="4" t="s">
        <v>22</v>
      </c>
      <c r="F6628" s="4" t="s">
        <v>34610</v>
      </c>
      <c r="G6628" s="4" t="s">
        <v>34731</v>
      </c>
      <c r="H6628" s="3" t="s">
        <v>34363</v>
      </c>
      <c r="I6628" s="3" t="s">
        <v>34732</v>
      </c>
      <c r="J6628" s="3" t="s">
        <v>22090</v>
      </c>
      <c r="K6628" s="3" t="s">
        <v>34740</v>
      </c>
      <c r="L6628" s="3"/>
      <c r="M6628" s="4"/>
      <c r="N6628" s="3" t="s">
        <v>37</v>
      </c>
      <c r="O6628" s="3" t="s">
        <v>52</v>
      </c>
      <c r="P6628" s="5">
        <v>17</v>
      </c>
      <c r="Q6628" s="5">
        <v>334</v>
      </c>
      <c r="R6628" s="5">
        <v>17</v>
      </c>
      <c r="S6628" s="5">
        <v>338</v>
      </c>
    </row>
    <row r="6629" spans="1:19" ht="28" x14ac:dyDescent="0.15">
      <c r="A6629" s="2">
        <f>HYPERLINK("https://open-school.uspishnemisto.com.ua/school/350086/", 350086)</f>
        <v>350086</v>
      </c>
      <c r="B6629" s="3" t="s">
        <v>34741</v>
      </c>
      <c r="C6629" s="3" t="s">
        <v>31</v>
      </c>
      <c r="D6629" s="3" t="s">
        <v>32</v>
      </c>
      <c r="E6629" s="4" t="s">
        <v>22</v>
      </c>
      <c r="F6629" s="4" t="s">
        <v>34742</v>
      </c>
      <c r="G6629" s="4" t="s">
        <v>34743</v>
      </c>
      <c r="H6629" s="3" t="s">
        <v>34363</v>
      </c>
      <c r="I6629" s="3" t="s">
        <v>34744</v>
      </c>
      <c r="J6629" s="3" t="s">
        <v>634</v>
      </c>
      <c r="K6629" s="3" t="s">
        <v>34745</v>
      </c>
      <c r="L6629" s="3"/>
      <c r="M6629" s="4"/>
      <c r="N6629" s="3" t="s">
        <v>37</v>
      </c>
      <c r="O6629" s="3" t="s">
        <v>52</v>
      </c>
      <c r="P6629" s="5">
        <v>11</v>
      </c>
      <c r="Q6629" s="5">
        <v>215</v>
      </c>
      <c r="R6629" s="5">
        <v>11</v>
      </c>
      <c r="S6629" s="5">
        <v>215</v>
      </c>
    </row>
    <row r="6630" spans="1:19" ht="56" x14ac:dyDescent="0.15">
      <c r="A6630" s="2">
        <f>HYPERLINK("https://open-school.uspishnemisto.com.ua/school/350087/", 350087)</f>
        <v>350087</v>
      </c>
      <c r="B6630" s="3" t="s">
        <v>34746</v>
      </c>
      <c r="C6630" s="3" t="s">
        <v>54</v>
      </c>
      <c r="D6630" s="3" t="s">
        <v>32</v>
      </c>
      <c r="E6630" s="4" t="s">
        <v>22</v>
      </c>
      <c r="F6630" s="4" t="s">
        <v>34747</v>
      </c>
      <c r="G6630" s="4" t="s">
        <v>34743</v>
      </c>
      <c r="H6630" s="3" t="s">
        <v>34363</v>
      </c>
      <c r="I6630" s="3" t="s">
        <v>34744</v>
      </c>
      <c r="J6630" s="3" t="s">
        <v>447</v>
      </c>
      <c r="K6630" s="3" t="s">
        <v>34748</v>
      </c>
      <c r="L6630" s="3" t="s">
        <v>34749</v>
      </c>
      <c r="M6630" s="4"/>
      <c r="N6630" s="3" t="s">
        <v>37</v>
      </c>
      <c r="O6630" s="3" t="s">
        <v>52</v>
      </c>
      <c r="P6630" s="5">
        <v>11</v>
      </c>
      <c r="Q6630" s="5">
        <v>154</v>
      </c>
      <c r="R6630" s="5">
        <v>11</v>
      </c>
      <c r="S6630" s="5">
        <v>150</v>
      </c>
    </row>
    <row r="6631" spans="1:19" ht="42" x14ac:dyDescent="0.15">
      <c r="A6631" s="2">
        <f>HYPERLINK("https://open-school.uspishnemisto.com.ua/school/350088/", 350088)</f>
        <v>350088</v>
      </c>
      <c r="B6631" s="3" t="s">
        <v>34750</v>
      </c>
      <c r="C6631" s="3" t="s">
        <v>31</v>
      </c>
      <c r="D6631" s="3" t="s">
        <v>32</v>
      </c>
      <c r="E6631" s="4" t="s">
        <v>22</v>
      </c>
      <c r="F6631" s="4" t="s">
        <v>34751</v>
      </c>
      <c r="G6631" s="4" t="s">
        <v>34752</v>
      </c>
      <c r="H6631" s="3" t="s">
        <v>34363</v>
      </c>
      <c r="I6631" s="3" t="s">
        <v>1291</v>
      </c>
      <c r="J6631" s="3" t="s">
        <v>34753</v>
      </c>
      <c r="K6631" s="3" t="s">
        <v>34754</v>
      </c>
      <c r="L6631" s="3"/>
      <c r="M6631" s="4"/>
      <c r="N6631" s="3" t="s">
        <v>37</v>
      </c>
      <c r="O6631" s="3" t="s">
        <v>52</v>
      </c>
      <c r="P6631" s="5">
        <v>11</v>
      </c>
      <c r="Q6631" s="5">
        <v>131</v>
      </c>
      <c r="R6631" s="5">
        <v>11</v>
      </c>
      <c r="S6631" s="5">
        <v>131</v>
      </c>
    </row>
    <row r="6632" spans="1:19" ht="28" x14ac:dyDescent="0.15">
      <c r="A6632" s="2">
        <f>HYPERLINK("https://open-school.uspishnemisto.com.ua/school/350089/", 350089)</f>
        <v>350089</v>
      </c>
      <c r="B6632" s="3" t="s">
        <v>34755</v>
      </c>
      <c r="C6632" s="3" t="s">
        <v>31</v>
      </c>
      <c r="D6632" s="3" t="s">
        <v>175</v>
      </c>
      <c r="E6632" s="4" t="s">
        <v>22</v>
      </c>
      <c r="F6632" s="4" t="s">
        <v>34756</v>
      </c>
      <c r="G6632" s="4" t="s">
        <v>34757</v>
      </c>
      <c r="H6632" s="3" t="s">
        <v>34363</v>
      </c>
      <c r="I6632" s="3" t="s">
        <v>4594</v>
      </c>
      <c r="J6632" s="3" t="s">
        <v>34758</v>
      </c>
      <c r="K6632" s="3" t="s">
        <v>34759</v>
      </c>
      <c r="L6632" s="3"/>
      <c r="M6632" s="4"/>
      <c r="N6632" s="3" t="s">
        <v>37</v>
      </c>
      <c r="O6632" s="3" t="s">
        <v>52</v>
      </c>
      <c r="P6632" s="5">
        <v>9</v>
      </c>
      <c r="Q6632" s="5">
        <v>62</v>
      </c>
      <c r="R6632" s="5">
        <v>9</v>
      </c>
      <c r="S6632" s="5">
        <v>65</v>
      </c>
    </row>
    <row r="6633" spans="1:19" ht="28" x14ac:dyDescent="0.15">
      <c r="A6633" s="2">
        <f>HYPERLINK("https://open-school.uspishnemisto.com.ua/school/350090/", 350090)</f>
        <v>350090</v>
      </c>
      <c r="B6633" s="3" t="s">
        <v>34760</v>
      </c>
      <c r="C6633" s="3" t="s">
        <v>31</v>
      </c>
      <c r="D6633" s="3" t="s">
        <v>175</v>
      </c>
      <c r="E6633" s="4" t="s">
        <v>22</v>
      </c>
      <c r="F6633" s="4" t="s">
        <v>34761</v>
      </c>
      <c r="G6633" s="4" t="s">
        <v>34762</v>
      </c>
      <c r="H6633" s="3" t="s">
        <v>34363</v>
      </c>
      <c r="I6633" s="3" t="s">
        <v>34763</v>
      </c>
      <c r="J6633" s="3" t="s">
        <v>34764</v>
      </c>
      <c r="K6633" s="3" t="s">
        <v>34765</v>
      </c>
      <c r="L6633" s="3"/>
      <c r="M6633" s="4"/>
      <c r="N6633" s="3" t="s">
        <v>37</v>
      </c>
      <c r="O6633" s="3" t="s">
        <v>52</v>
      </c>
      <c r="P6633" s="5">
        <v>7</v>
      </c>
      <c r="Q6633" s="5">
        <v>43</v>
      </c>
      <c r="R6633" s="5">
        <v>7</v>
      </c>
      <c r="S6633" s="5">
        <v>45</v>
      </c>
    </row>
    <row r="6634" spans="1:19" ht="28" x14ac:dyDescent="0.15">
      <c r="A6634" s="2">
        <f>HYPERLINK("https://open-school.uspishnemisto.com.ua/school/350091/", 350091)</f>
        <v>350091</v>
      </c>
      <c r="B6634" s="3" t="s">
        <v>34766</v>
      </c>
      <c r="C6634" s="3" t="s">
        <v>31</v>
      </c>
      <c r="D6634" s="3" t="s">
        <v>32</v>
      </c>
      <c r="E6634" s="4" t="s">
        <v>22</v>
      </c>
      <c r="F6634" s="4" t="s">
        <v>34767</v>
      </c>
      <c r="G6634" s="4" t="s">
        <v>34768</v>
      </c>
      <c r="H6634" s="3" t="s">
        <v>34363</v>
      </c>
      <c r="I6634" s="3" t="s">
        <v>34769</v>
      </c>
      <c r="J6634" s="3" t="s">
        <v>34770</v>
      </c>
      <c r="K6634" s="3" t="s">
        <v>34771</v>
      </c>
      <c r="L6634" s="3"/>
      <c r="M6634" s="4"/>
      <c r="N6634" s="3" t="s">
        <v>37</v>
      </c>
      <c r="O6634" s="3" t="s">
        <v>52</v>
      </c>
      <c r="P6634" s="5">
        <v>11</v>
      </c>
      <c r="Q6634" s="5">
        <v>204</v>
      </c>
      <c r="R6634" s="5">
        <v>12</v>
      </c>
      <c r="S6634" s="5">
        <v>194</v>
      </c>
    </row>
    <row r="6635" spans="1:19" ht="42" x14ac:dyDescent="0.15">
      <c r="A6635" s="2">
        <f>HYPERLINK("https://open-school.uspishnemisto.com.ua/school/350092/", 350092)</f>
        <v>350092</v>
      </c>
      <c r="B6635" s="3" t="s">
        <v>34772</v>
      </c>
      <c r="C6635" s="3" t="s">
        <v>54</v>
      </c>
      <c r="D6635" s="3" t="s">
        <v>32</v>
      </c>
      <c r="E6635" s="4" t="s">
        <v>22</v>
      </c>
      <c r="F6635" s="4" t="s">
        <v>34773</v>
      </c>
      <c r="G6635" s="4" t="s">
        <v>34774</v>
      </c>
      <c r="H6635" s="3" t="s">
        <v>34363</v>
      </c>
      <c r="I6635" s="3" t="s">
        <v>34775</v>
      </c>
      <c r="J6635" s="3" t="s">
        <v>34776</v>
      </c>
      <c r="K6635" s="3" t="s">
        <v>34777</v>
      </c>
      <c r="L6635" s="3"/>
      <c r="M6635" s="4"/>
      <c r="N6635" s="3" t="s">
        <v>37</v>
      </c>
      <c r="O6635" s="3" t="s">
        <v>46</v>
      </c>
      <c r="P6635" s="5">
        <v>12</v>
      </c>
      <c r="Q6635" s="5">
        <v>185</v>
      </c>
      <c r="R6635" s="5">
        <v>12</v>
      </c>
      <c r="S6635" s="5">
        <v>184</v>
      </c>
    </row>
    <row r="6636" spans="1:19" ht="28" x14ac:dyDescent="0.15">
      <c r="A6636" s="2">
        <f>HYPERLINK("https://open-school.uspishnemisto.com.ua/school/350093/", 350093)</f>
        <v>350093</v>
      </c>
      <c r="B6636" s="3" t="s">
        <v>34778</v>
      </c>
      <c r="C6636" s="3" t="s">
        <v>31</v>
      </c>
      <c r="D6636" s="3" t="s">
        <v>32</v>
      </c>
      <c r="E6636" s="4" t="s">
        <v>22</v>
      </c>
      <c r="F6636" s="4" t="s">
        <v>34779</v>
      </c>
      <c r="G6636" s="4" t="s">
        <v>34780</v>
      </c>
      <c r="H6636" s="3" t="s">
        <v>34363</v>
      </c>
      <c r="I6636" s="3" t="s">
        <v>34781</v>
      </c>
      <c r="J6636" s="3" t="s">
        <v>2434</v>
      </c>
      <c r="K6636" s="3" t="s">
        <v>34782</v>
      </c>
      <c r="L6636" s="3"/>
      <c r="M6636" s="4"/>
      <c r="N6636" s="3" t="s">
        <v>37</v>
      </c>
      <c r="O6636" s="3" t="s">
        <v>52</v>
      </c>
      <c r="P6636" s="5">
        <v>10</v>
      </c>
      <c r="Q6636" s="5">
        <v>84</v>
      </c>
      <c r="R6636" s="5">
        <v>10</v>
      </c>
      <c r="S6636" s="5">
        <v>90</v>
      </c>
    </row>
    <row r="6637" spans="1:19" ht="28" x14ac:dyDescent="0.15">
      <c r="A6637" s="2">
        <f>HYPERLINK("https://open-school.uspishnemisto.com.ua/school/350094/", 350094)</f>
        <v>350094</v>
      </c>
      <c r="B6637" s="3" t="s">
        <v>34783</v>
      </c>
      <c r="C6637" s="3" t="s">
        <v>31</v>
      </c>
      <c r="D6637" s="3" t="s">
        <v>32</v>
      </c>
      <c r="E6637" s="4" t="s">
        <v>22</v>
      </c>
      <c r="F6637" s="4" t="s">
        <v>34784</v>
      </c>
      <c r="G6637" s="4" t="s">
        <v>34785</v>
      </c>
      <c r="H6637" s="3" t="s">
        <v>34363</v>
      </c>
      <c r="I6637" s="3" t="s">
        <v>34786</v>
      </c>
      <c r="J6637" s="3" t="s">
        <v>1417</v>
      </c>
      <c r="K6637" s="3" t="s">
        <v>34787</v>
      </c>
      <c r="L6637" s="3" t="s">
        <v>34788</v>
      </c>
      <c r="M6637" s="4"/>
      <c r="N6637" s="3" t="s">
        <v>37</v>
      </c>
      <c r="O6637" s="3" t="s">
        <v>52</v>
      </c>
      <c r="P6637" s="5">
        <v>10</v>
      </c>
      <c r="Q6637" s="5">
        <v>95</v>
      </c>
      <c r="R6637" s="5">
        <v>11</v>
      </c>
      <c r="S6637" s="5">
        <v>101</v>
      </c>
    </row>
    <row r="6638" spans="1:19" ht="42" x14ac:dyDescent="0.15">
      <c r="A6638" s="2">
        <f>HYPERLINK("https://open-school.uspishnemisto.com.ua/school/350095/", 350095)</f>
        <v>350095</v>
      </c>
      <c r="B6638" s="3" t="s">
        <v>34789</v>
      </c>
      <c r="C6638" s="3" t="s">
        <v>54</v>
      </c>
      <c r="D6638" s="3" t="s">
        <v>32</v>
      </c>
      <c r="E6638" s="4" t="s">
        <v>22</v>
      </c>
      <c r="F6638" s="4" t="s">
        <v>34790</v>
      </c>
      <c r="G6638" s="4" t="s">
        <v>34791</v>
      </c>
      <c r="H6638" s="3" t="s">
        <v>34363</v>
      </c>
      <c r="I6638" s="3" t="s">
        <v>2900</v>
      </c>
      <c r="J6638" s="3" t="s">
        <v>34792</v>
      </c>
      <c r="K6638" s="3" t="s">
        <v>34793</v>
      </c>
      <c r="L6638" s="3"/>
      <c r="M6638" s="4"/>
      <c r="N6638" s="3" t="s">
        <v>37</v>
      </c>
      <c r="O6638" s="3" t="s">
        <v>52</v>
      </c>
      <c r="P6638" s="5">
        <v>9</v>
      </c>
      <c r="Q6638" s="5">
        <v>58</v>
      </c>
      <c r="R6638" s="5">
        <v>10</v>
      </c>
      <c r="S6638" s="5">
        <v>71</v>
      </c>
    </row>
    <row r="6639" spans="1:19" ht="42" x14ac:dyDescent="0.15">
      <c r="A6639" s="2">
        <f>HYPERLINK("https://open-school.uspishnemisto.com.ua/school/350096/", 350096)</f>
        <v>350096</v>
      </c>
      <c r="B6639" s="3" t="s">
        <v>34794</v>
      </c>
      <c r="C6639" s="3" t="s">
        <v>54</v>
      </c>
      <c r="D6639" s="3" t="s">
        <v>175</v>
      </c>
      <c r="E6639" s="4" t="s">
        <v>22</v>
      </c>
      <c r="F6639" s="4" t="s">
        <v>34795</v>
      </c>
      <c r="G6639" s="4" t="s">
        <v>34796</v>
      </c>
      <c r="H6639" s="3" t="s">
        <v>34363</v>
      </c>
      <c r="I6639" s="3" t="s">
        <v>34797</v>
      </c>
      <c r="J6639" s="3" t="s">
        <v>28919</v>
      </c>
      <c r="K6639" s="3" t="s">
        <v>34798</v>
      </c>
      <c r="L6639" s="3"/>
      <c r="M6639" s="4"/>
      <c r="N6639" s="3" t="s">
        <v>37</v>
      </c>
      <c r="O6639" s="3" t="s">
        <v>52</v>
      </c>
      <c r="P6639" s="5">
        <v>8</v>
      </c>
      <c r="Q6639" s="5">
        <v>50</v>
      </c>
      <c r="R6639" s="5">
        <v>9</v>
      </c>
      <c r="S6639" s="5">
        <v>51</v>
      </c>
    </row>
    <row r="6640" spans="1:19" ht="28" x14ac:dyDescent="0.15">
      <c r="A6640" s="2">
        <f>HYPERLINK("https://open-school.uspishnemisto.com.ua/school/350097/", 350097)</f>
        <v>350097</v>
      </c>
      <c r="B6640" s="3" t="s">
        <v>34799</v>
      </c>
      <c r="C6640" s="3" t="s">
        <v>54</v>
      </c>
      <c r="D6640" s="3" t="s">
        <v>32</v>
      </c>
      <c r="E6640" s="4" t="s">
        <v>22</v>
      </c>
      <c r="F6640" s="4" t="s">
        <v>34747</v>
      </c>
      <c r="G6640" s="4" t="s">
        <v>34800</v>
      </c>
      <c r="H6640" s="3" t="s">
        <v>34363</v>
      </c>
      <c r="I6640" s="3" t="s">
        <v>32167</v>
      </c>
      <c r="J6640" s="3" t="s">
        <v>34801</v>
      </c>
      <c r="K6640" s="3" t="s">
        <v>34802</v>
      </c>
      <c r="L6640" s="3" t="s">
        <v>34803</v>
      </c>
      <c r="M6640" s="4"/>
      <c r="N6640" s="3" t="s">
        <v>37</v>
      </c>
      <c r="O6640" s="3" t="s">
        <v>52</v>
      </c>
      <c r="P6640" s="5">
        <v>11</v>
      </c>
      <c r="Q6640" s="5">
        <v>142</v>
      </c>
      <c r="R6640" s="5">
        <v>11</v>
      </c>
      <c r="S6640" s="5">
        <v>141</v>
      </c>
    </row>
    <row r="6641" spans="1:19" ht="56" x14ac:dyDescent="0.15">
      <c r="A6641" s="2">
        <f>HYPERLINK("https://open-school.uspishnemisto.com.ua/school/350098/", 350098)</f>
        <v>350098</v>
      </c>
      <c r="B6641" s="3" t="s">
        <v>34804</v>
      </c>
      <c r="C6641" s="3" t="s">
        <v>54</v>
      </c>
      <c r="D6641" s="3" t="s">
        <v>32</v>
      </c>
      <c r="E6641" s="4" t="s">
        <v>22</v>
      </c>
      <c r="F6641" s="4" t="s">
        <v>34805</v>
      </c>
      <c r="G6641" s="4" t="s">
        <v>34806</v>
      </c>
      <c r="H6641" s="3" t="s">
        <v>34363</v>
      </c>
      <c r="I6641" s="3" t="s">
        <v>34807</v>
      </c>
      <c r="J6641" s="3" t="s">
        <v>34808</v>
      </c>
      <c r="K6641" s="3"/>
      <c r="L6641" s="3" t="s">
        <v>34809</v>
      </c>
      <c r="M6641" s="4"/>
      <c r="N6641" s="3" t="s">
        <v>37</v>
      </c>
      <c r="O6641" s="3" t="s">
        <v>52</v>
      </c>
      <c r="P6641" s="5">
        <v>9</v>
      </c>
      <c r="Q6641" s="5">
        <v>77</v>
      </c>
      <c r="R6641" s="5">
        <v>9</v>
      </c>
      <c r="S6641" s="5">
        <v>68</v>
      </c>
    </row>
    <row r="6642" spans="1:19" ht="42" x14ac:dyDescent="0.15">
      <c r="A6642" s="2">
        <f>HYPERLINK("https://open-school.uspishnemisto.com.ua/school/350099/", 350099)</f>
        <v>350099</v>
      </c>
      <c r="B6642" s="3" t="s">
        <v>34810</v>
      </c>
      <c r="C6642" s="3" t="s">
        <v>54</v>
      </c>
      <c r="D6642" s="3"/>
      <c r="E6642" s="4" t="s">
        <v>22</v>
      </c>
      <c r="F6642" s="4" t="s">
        <v>34811</v>
      </c>
      <c r="G6642" s="4" t="s">
        <v>34812</v>
      </c>
      <c r="H6642" s="3" t="s">
        <v>34363</v>
      </c>
      <c r="I6642" s="3" t="s">
        <v>34813</v>
      </c>
      <c r="J6642" s="3" t="s">
        <v>34814</v>
      </c>
      <c r="K6642" s="3" t="s">
        <v>34815</v>
      </c>
      <c r="L6642" s="3"/>
      <c r="M6642" s="4"/>
      <c r="N6642" s="3" t="s">
        <v>37</v>
      </c>
      <c r="O6642" s="3" t="s">
        <v>52</v>
      </c>
      <c r="P6642" s="5">
        <v>8</v>
      </c>
      <c r="Q6642" s="5">
        <v>63</v>
      </c>
      <c r="R6642" s="5">
        <v>8</v>
      </c>
      <c r="S6642" s="5">
        <v>66</v>
      </c>
    </row>
    <row r="6643" spans="1:19" ht="28" x14ac:dyDescent="0.15">
      <c r="A6643" s="2">
        <f>HYPERLINK("https://open-school.uspishnemisto.com.ua/school/350100/", 350100)</f>
        <v>350100</v>
      </c>
      <c r="B6643" s="3" t="s">
        <v>34816</v>
      </c>
      <c r="C6643" s="3" t="s">
        <v>54</v>
      </c>
      <c r="D6643" s="3" t="s">
        <v>32</v>
      </c>
      <c r="E6643" s="4" t="s">
        <v>22</v>
      </c>
      <c r="F6643" s="4" t="s">
        <v>34817</v>
      </c>
      <c r="G6643" s="4" t="s">
        <v>34818</v>
      </c>
      <c r="H6643" s="3" t="s">
        <v>34363</v>
      </c>
      <c r="I6643" s="3" t="s">
        <v>34819</v>
      </c>
      <c r="J6643" s="3" t="s">
        <v>3146</v>
      </c>
      <c r="K6643" s="3" t="s">
        <v>34820</v>
      </c>
      <c r="L6643" s="3" t="s">
        <v>34821</v>
      </c>
      <c r="M6643" s="4"/>
      <c r="N6643" s="3" t="s">
        <v>37</v>
      </c>
      <c r="O6643" s="3" t="s">
        <v>46</v>
      </c>
      <c r="P6643" s="5">
        <v>10</v>
      </c>
      <c r="Q6643" s="5">
        <v>75</v>
      </c>
      <c r="R6643" s="5">
        <v>10</v>
      </c>
      <c r="S6643" s="5">
        <v>71</v>
      </c>
    </row>
    <row r="6644" spans="1:19" ht="28" x14ac:dyDescent="0.15">
      <c r="A6644" s="2">
        <f>HYPERLINK("https://open-school.uspishnemisto.com.ua/school/350101/", 350101)</f>
        <v>350101</v>
      </c>
      <c r="B6644" s="3" t="s">
        <v>34822</v>
      </c>
      <c r="C6644" s="3" t="s">
        <v>31</v>
      </c>
      <c r="D6644" s="3" t="s">
        <v>32</v>
      </c>
      <c r="E6644" s="4" t="s">
        <v>22</v>
      </c>
      <c r="F6644" s="4" t="s">
        <v>34823</v>
      </c>
      <c r="G6644" s="4" t="s">
        <v>34824</v>
      </c>
      <c r="H6644" s="3" t="s">
        <v>34363</v>
      </c>
      <c r="I6644" s="3" t="s">
        <v>34825</v>
      </c>
      <c r="J6644" s="3" t="s">
        <v>2745</v>
      </c>
      <c r="K6644" s="3" t="s">
        <v>34826</v>
      </c>
      <c r="L6644" s="3"/>
      <c r="M6644" s="4"/>
      <c r="N6644" s="3" t="s">
        <v>37</v>
      </c>
      <c r="O6644" s="3" t="s">
        <v>52</v>
      </c>
      <c r="P6644" s="5">
        <v>9</v>
      </c>
      <c r="Q6644" s="5">
        <v>77</v>
      </c>
      <c r="R6644" s="5">
        <v>10</v>
      </c>
      <c r="S6644" s="5">
        <v>76</v>
      </c>
    </row>
    <row r="6645" spans="1:19" ht="28" x14ac:dyDescent="0.15">
      <c r="A6645" s="2">
        <f>HYPERLINK("https://open-school.uspishnemisto.com.ua/school/350102/", 350102)</f>
        <v>350102</v>
      </c>
      <c r="B6645" s="3" t="s">
        <v>34827</v>
      </c>
      <c r="C6645" s="3" t="s">
        <v>31</v>
      </c>
      <c r="D6645" s="3" t="s">
        <v>32</v>
      </c>
      <c r="E6645" s="4" t="s">
        <v>22</v>
      </c>
      <c r="F6645" s="4" t="s">
        <v>34742</v>
      </c>
      <c r="G6645" s="4" t="s">
        <v>34828</v>
      </c>
      <c r="H6645" s="3" t="s">
        <v>34363</v>
      </c>
      <c r="I6645" s="3" t="s">
        <v>34829</v>
      </c>
      <c r="J6645" s="3" t="s">
        <v>34830</v>
      </c>
      <c r="K6645" s="3" t="s">
        <v>34831</v>
      </c>
      <c r="L6645" s="3"/>
      <c r="M6645" s="4"/>
      <c r="N6645" s="3" t="s">
        <v>37</v>
      </c>
      <c r="O6645" s="3" t="s">
        <v>52</v>
      </c>
      <c r="P6645" s="5">
        <v>11</v>
      </c>
      <c r="Q6645" s="5">
        <v>163</v>
      </c>
      <c r="R6645" s="5">
        <v>11</v>
      </c>
      <c r="S6645" s="5">
        <v>181</v>
      </c>
    </row>
    <row r="6646" spans="1:19" ht="28" x14ac:dyDescent="0.15">
      <c r="A6646" s="2">
        <f>HYPERLINK("https://open-school.uspishnemisto.com.ua/school/350103/", 350103)</f>
        <v>350103</v>
      </c>
      <c r="B6646" s="3" t="s">
        <v>34832</v>
      </c>
      <c r="C6646" s="3" t="s">
        <v>31</v>
      </c>
      <c r="D6646" s="3" t="s">
        <v>175</v>
      </c>
      <c r="E6646" s="4" t="s">
        <v>22</v>
      </c>
      <c r="F6646" s="4" t="s">
        <v>34833</v>
      </c>
      <c r="G6646" s="4" t="s">
        <v>34834</v>
      </c>
      <c r="H6646" s="3" t="s">
        <v>34363</v>
      </c>
      <c r="I6646" s="3" t="s">
        <v>21936</v>
      </c>
      <c r="J6646" s="3" t="s">
        <v>7304</v>
      </c>
      <c r="K6646" s="3" t="s">
        <v>34835</v>
      </c>
      <c r="L6646" s="3"/>
      <c r="M6646" s="4"/>
      <c r="N6646" s="3" t="s">
        <v>37</v>
      </c>
      <c r="O6646" s="3" t="s">
        <v>46</v>
      </c>
      <c r="P6646" s="5">
        <v>8</v>
      </c>
      <c r="Q6646" s="5">
        <v>49</v>
      </c>
      <c r="R6646" s="5">
        <v>8</v>
      </c>
      <c r="S6646" s="5">
        <v>48</v>
      </c>
    </row>
    <row r="6647" spans="1:19" ht="28" x14ac:dyDescent="0.15">
      <c r="A6647" s="2">
        <f>HYPERLINK("https://open-school.uspishnemisto.com.ua/school/350104/", 350104)</f>
        <v>350104</v>
      </c>
      <c r="B6647" s="3" t="s">
        <v>34836</v>
      </c>
      <c r="C6647" s="3" t="s">
        <v>31</v>
      </c>
      <c r="D6647" s="3" t="s">
        <v>32</v>
      </c>
      <c r="E6647" s="4" t="s">
        <v>22</v>
      </c>
      <c r="F6647" s="4" t="s">
        <v>34837</v>
      </c>
      <c r="G6647" s="4" t="s">
        <v>34838</v>
      </c>
      <c r="H6647" s="3" t="s">
        <v>34363</v>
      </c>
      <c r="I6647" s="3" t="s">
        <v>33531</v>
      </c>
      <c r="J6647" s="3" t="s">
        <v>34839</v>
      </c>
      <c r="K6647" s="3" t="s">
        <v>34840</v>
      </c>
      <c r="L6647" s="3"/>
      <c r="M6647" s="4"/>
      <c r="N6647" s="3" t="s">
        <v>37</v>
      </c>
      <c r="O6647" s="3" t="s">
        <v>52</v>
      </c>
      <c r="P6647" s="5">
        <v>10</v>
      </c>
      <c r="Q6647" s="5">
        <v>115</v>
      </c>
      <c r="R6647" s="5">
        <v>10</v>
      </c>
      <c r="S6647" s="5">
        <v>120</v>
      </c>
    </row>
    <row r="6648" spans="1:19" ht="56" x14ac:dyDescent="0.15">
      <c r="A6648" s="2">
        <f>HYPERLINK("https://open-school.uspishnemisto.com.ua/school/350105/", 350105)</f>
        <v>350105</v>
      </c>
      <c r="B6648" s="3" t="s">
        <v>34841</v>
      </c>
      <c r="C6648" s="3" t="s">
        <v>54</v>
      </c>
      <c r="D6648" s="3" t="s">
        <v>32</v>
      </c>
      <c r="E6648" s="4" t="s">
        <v>22</v>
      </c>
      <c r="F6648" s="4" t="s">
        <v>34837</v>
      </c>
      <c r="G6648" s="4" t="s">
        <v>34842</v>
      </c>
      <c r="H6648" s="3" t="s">
        <v>34363</v>
      </c>
      <c r="I6648" s="3" t="s">
        <v>34843</v>
      </c>
      <c r="J6648" s="3" t="s">
        <v>34844</v>
      </c>
      <c r="K6648" s="3" t="s">
        <v>34845</v>
      </c>
      <c r="L6648" s="3"/>
      <c r="M6648" s="4"/>
      <c r="N6648" s="3" t="s">
        <v>37</v>
      </c>
      <c r="O6648" s="3" t="s">
        <v>52</v>
      </c>
      <c r="P6648" s="5">
        <v>17</v>
      </c>
      <c r="Q6648" s="5">
        <v>230</v>
      </c>
      <c r="R6648" s="5">
        <v>15</v>
      </c>
      <c r="S6648" s="5">
        <v>243</v>
      </c>
    </row>
    <row r="6649" spans="1:19" ht="42" x14ac:dyDescent="0.15">
      <c r="A6649" s="2">
        <f>HYPERLINK("https://open-school.uspishnemisto.com.ua/school/350106/", 350106)</f>
        <v>350106</v>
      </c>
      <c r="B6649" s="3" t="s">
        <v>34846</v>
      </c>
      <c r="C6649" s="3" t="s">
        <v>54</v>
      </c>
      <c r="D6649" s="3" t="s">
        <v>32</v>
      </c>
      <c r="E6649" s="4" t="s">
        <v>22</v>
      </c>
      <c r="F6649" s="4" t="s">
        <v>34847</v>
      </c>
      <c r="G6649" s="4" t="s">
        <v>34848</v>
      </c>
      <c r="H6649" s="3" t="s">
        <v>34363</v>
      </c>
      <c r="I6649" s="3" t="s">
        <v>34849</v>
      </c>
      <c r="J6649" s="3" t="s">
        <v>13165</v>
      </c>
      <c r="K6649" s="3" t="s">
        <v>34850</v>
      </c>
      <c r="L6649" s="3" t="s">
        <v>34851</v>
      </c>
      <c r="M6649" s="4"/>
      <c r="N6649" s="3" t="s">
        <v>37</v>
      </c>
      <c r="O6649" s="3" t="s">
        <v>52</v>
      </c>
      <c r="P6649" s="5">
        <v>10</v>
      </c>
      <c r="Q6649" s="5">
        <v>101</v>
      </c>
      <c r="R6649" s="5">
        <v>10</v>
      </c>
      <c r="S6649" s="5">
        <v>117</v>
      </c>
    </row>
    <row r="6650" spans="1:19" ht="42" x14ac:dyDescent="0.15">
      <c r="A6650" s="2">
        <f>HYPERLINK("https://open-school.uspishnemisto.com.ua/school/350107/", 350107)</f>
        <v>350107</v>
      </c>
      <c r="B6650" s="3" t="s">
        <v>34852</v>
      </c>
      <c r="C6650" s="3" t="s">
        <v>54</v>
      </c>
      <c r="D6650" s="3" t="s">
        <v>32</v>
      </c>
      <c r="E6650" s="4" t="s">
        <v>22</v>
      </c>
      <c r="F6650" s="4" t="s">
        <v>34853</v>
      </c>
      <c r="G6650" s="4" t="s">
        <v>34854</v>
      </c>
      <c r="H6650" s="3" t="s">
        <v>34363</v>
      </c>
      <c r="I6650" s="3" t="s">
        <v>1291</v>
      </c>
      <c r="J6650" s="3" t="s">
        <v>34855</v>
      </c>
      <c r="K6650" s="3" t="s">
        <v>34856</v>
      </c>
      <c r="L6650" s="3" t="s">
        <v>34857</v>
      </c>
      <c r="M6650" s="4"/>
      <c r="N6650" s="3" t="s">
        <v>37</v>
      </c>
      <c r="O6650" s="3" t="s">
        <v>46</v>
      </c>
      <c r="P6650" s="5">
        <v>53</v>
      </c>
      <c r="Q6650" s="5">
        <v>855</v>
      </c>
      <c r="R6650" s="5">
        <v>50</v>
      </c>
      <c r="S6650" s="5">
        <v>831</v>
      </c>
    </row>
    <row r="6651" spans="1:19" ht="42" x14ac:dyDescent="0.15">
      <c r="A6651" s="2">
        <f>HYPERLINK("https://open-school.uspishnemisto.com.ua/school/350108/", 350108)</f>
        <v>350108</v>
      </c>
      <c r="B6651" s="3" t="s">
        <v>34858</v>
      </c>
      <c r="C6651" s="3" t="s">
        <v>54</v>
      </c>
      <c r="D6651" s="3" t="s">
        <v>32</v>
      </c>
      <c r="E6651" s="4" t="s">
        <v>22</v>
      </c>
      <c r="F6651" s="4" t="s">
        <v>34853</v>
      </c>
      <c r="G6651" s="4" t="s">
        <v>34854</v>
      </c>
      <c r="H6651" s="3" t="s">
        <v>34363</v>
      </c>
      <c r="I6651" s="3" t="s">
        <v>1291</v>
      </c>
      <c r="J6651" s="3" t="s">
        <v>2719</v>
      </c>
      <c r="K6651" s="3" t="s">
        <v>34859</v>
      </c>
      <c r="L6651" s="3" t="s">
        <v>34860</v>
      </c>
      <c r="M6651" s="4"/>
      <c r="N6651" s="3"/>
      <c r="O6651" s="3"/>
      <c r="P6651" s="5">
        <v>0</v>
      </c>
      <c r="Q6651" s="5">
        <v>0</v>
      </c>
      <c r="R6651" s="5"/>
      <c r="S6651" s="5"/>
    </row>
    <row r="6652" spans="1:19" ht="42" x14ac:dyDescent="0.15">
      <c r="A6652" s="2">
        <f>HYPERLINK("https://open-school.uspishnemisto.com.ua/school/350109/", 350109)</f>
        <v>350109</v>
      </c>
      <c r="B6652" s="3" t="s">
        <v>34861</v>
      </c>
      <c r="C6652" s="3" t="s">
        <v>54</v>
      </c>
      <c r="D6652" s="3" t="s">
        <v>32</v>
      </c>
      <c r="E6652" s="4" t="s">
        <v>22</v>
      </c>
      <c r="F6652" s="4" t="s">
        <v>34853</v>
      </c>
      <c r="G6652" s="4" t="s">
        <v>34854</v>
      </c>
      <c r="H6652" s="3" t="s">
        <v>34363</v>
      </c>
      <c r="I6652" s="3" t="s">
        <v>1291</v>
      </c>
      <c r="J6652" s="3" t="s">
        <v>34862</v>
      </c>
      <c r="K6652" s="3" t="s">
        <v>34863</v>
      </c>
      <c r="L6652" s="3" t="s">
        <v>34864</v>
      </c>
      <c r="M6652" s="4"/>
      <c r="N6652" s="3" t="s">
        <v>37</v>
      </c>
      <c r="O6652" s="3" t="s">
        <v>123</v>
      </c>
      <c r="P6652" s="5">
        <v>65</v>
      </c>
      <c r="Q6652" s="5">
        <v>894</v>
      </c>
      <c r="R6652" s="5">
        <v>74</v>
      </c>
      <c r="S6652" s="5">
        <v>895</v>
      </c>
    </row>
    <row r="6653" spans="1:19" ht="42" x14ac:dyDescent="0.15">
      <c r="A6653" s="2">
        <f>HYPERLINK("https://open-school.uspishnemisto.com.ua/school/350110/", 350110)</f>
        <v>350110</v>
      </c>
      <c r="B6653" s="3" t="s">
        <v>34865</v>
      </c>
      <c r="C6653" s="3" t="s">
        <v>31</v>
      </c>
      <c r="D6653" s="3" t="s">
        <v>32</v>
      </c>
      <c r="E6653" s="4" t="s">
        <v>22</v>
      </c>
      <c r="F6653" s="4" t="s">
        <v>34866</v>
      </c>
      <c r="G6653" s="4" t="s">
        <v>34867</v>
      </c>
      <c r="H6653" s="3" t="s">
        <v>34363</v>
      </c>
      <c r="I6653" s="3" t="s">
        <v>34868</v>
      </c>
      <c r="J6653" s="3" t="s">
        <v>2279</v>
      </c>
      <c r="K6653" s="3" t="s">
        <v>34869</v>
      </c>
      <c r="L6653" s="3" t="s">
        <v>34870</v>
      </c>
      <c r="M6653" s="4"/>
      <c r="N6653" s="3"/>
      <c r="O6653" s="3"/>
      <c r="P6653" s="5">
        <v>0</v>
      </c>
      <c r="Q6653" s="5">
        <v>0</v>
      </c>
      <c r="R6653" s="5"/>
      <c r="S6653" s="5"/>
    </row>
    <row r="6654" spans="1:19" ht="42" x14ac:dyDescent="0.15">
      <c r="A6654" s="2">
        <f>HYPERLINK("https://open-school.uspishnemisto.com.ua/school/350111/", 350111)</f>
        <v>350111</v>
      </c>
      <c r="B6654" s="3" t="s">
        <v>34871</v>
      </c>
      <c r="C6654" s="3" t="s">
        <v>54</v>
      </c>
      <c r="D6654" s="3" t="s">
        <v>32</v>
      </c>
      <c r="E6654" s="4" t="s">
        <v>22</v>
      </c>
      <c r="F6654" s="4" t="s">
        <v>34872</v>
      </c>
      <c r="G6654" s="4" t="s">
        <v>34873</v>
      </c>
      <c r="H6654" s="3" t="s">
        <v>34363</v>
      </c>
      <c r="I6654" s="3" t="s">
        <v>500</v>
      </c>
      <c r="J6654" s="3" t="s">
        <v>34874</v>
      </c>
      <c r="K6654" s="3"/>
      <c r="L6654" s="3"/>
      <c r="M6654" s="4"/>
      <c r="N6654" s="3"/>
      <c r="O6654" s="3"/>
      <c r="P6654" s="5">
        <v>0</v>
      </c>
      <c r="Q6654" s="5">
        <v>0</v>
      </c>
      <c r="R6654" s="5"/>
      <c r="S6654" s="5"/>
    </row>
    <row r="6655" spans="1:19" ht="42" x14ac:dyDescent="0.15">
      <c r="A6655" s="2">
        <f>HYPERLINK("https://open-school.uspishnemisto.com.ua/school/350112/", 350112)</f>
        <v>350112</v>
      </c>
      <c r="B6655" s="3" t="s">
        <v>34875</v>
      </c>
      <c r="C6655" s="3" t="s">
        <v>54</v>
      </c>
      <c r="D6655" s="3"/>
      <c r="E6655" s="4" t="s">
        <v>22</v>
      </c>
      <c r="F6655" s="4" t="s">
        <v>34876</v>
      </c>
      <c r="G6655" s="4" t="s">
        <v>34877</v>
      </c>
      <c r="H6655" s="3" t="s">
        <v>34363</v>
      </c>
      <c r="I6655" s="3" t="s">
        <v>7007</v>
      </c>
      <c r="J6655" s="3" t="s">
        <v>2384</v>
      </c>
      <c r="K6655" s="3" t="s">
        <v>34878</v>
      </c>
      <c r="L6655" s="3" t="s">
        <v>34879</v>
      </c>
      <c r="M6655" s="4"/>
      <c r="N6655" s="3"/>
      <c r="O6655" s="3"/>
      <c r="P6655" s="5">
        <v>0</v>
      </c>
      <c r="Q6655" s="5">
        <v>0</v>
      </c>
      <c r="R6655" s="5"/>
      <c r="S6655" s="5"/>
    </row>
    <row r="6656" spans="1:19" ht="42" x14ac:dyDescent="0.15">
      <c r="A6656" s="2">
        <f>HYPERLINK("https://open-school.uspishnemisto.com.ua/school/350113/", 350113)</f>
        <v>350113</v>
      </c>
      <c r="B6656" s="3" t="s">
        <v>34880</v>
      </c>
      <c r="C6656" s="3" t="s">
        <v>54</v>
      </c>
      <c r="D6656" s="3"/>
      <c r="E6656" s="4" t="s">
        <v>22</v>
      </c>
      <c r="F6656" s="4" t="s">
        <v>34881</v>
      </c>
      <c r="G6656" s="4" t="s">
        <v>34882</v>
      </c>
      <c r="H6656" s="3" t="s">
        <v>34363</v>
      </c>
      <c r="I6656" s="3" t="s">
        <v>34883</v>
      </c>
      <c r="J6656" s="3" t="s">
        <v>34884</v>
      </c>
      <c r="K6656" s="3" t="s">
        <v>34885</v>
      </c>
      <c r="L6656" s="3"/>
      <c r="M6656" s="4"/>
      <c r="N6656" s="3"/>
      <c r="O6656" s="3"/>
      <c r="P6656" s="5">
        <v>0</v>
      </c>
      <c r="Q6656" s="5">
        <v>0</v>
      </c>
      <c r="R6656" s="5"/>
      <c r="S6656" s="5"/>
    </row>
    <row r="6657" spans="1:19" ht="42" x14ac:dyDescent="0.15">
      <c r="A6657" s="2">
        <f>HYPERLINK("https://open-school.uspishnemisto.com.ua/school/350114/", 350114)</f>
        <v>350114</v>
      </c>
      <c r="B6657" s="3" t="s">
        <v>34886</v>
      </c>
      <c r="C6657" s="3" t="s">
        <v>54</v>
      </c>
      <c r="D6657" s="3" t="s">
        <v>32</v>
      </c>
      <c r="E6657" s="4" t="s">
        <v>22</v>
      </c>
      <c r="F6657" s="4" t="s">
        <v>34887</v>
      </c>
      <c r="G6657" s="4" t="s">
        <v>34888</v>
      </c>
      <c r="H6657" s="3" t="s">
        <v>34363</v>
      </c>
      <c r="I6657" s="3" t="s">
        <v>34889</v>
      </c>
      <c r="J6657" s="3" t="s">
        <v>466</v>
      </c>
      <c r="K6657" s="3" t="s">
        <v>34890</v>
      </c>
      <c r="L6657" s="3" t="s">
        <v>34891</v>
      </c>
      <c r="M6657" s="4"/>
      <c r="N6657" s="3"/>
      <c r="O6657" s="3"/>
      <c r="P6657" s="5">
        <v>0</v>
      </c>
      <c r="Q6657" s="5">
        <v>0</v>
      </c>
      <c r="R6657" s="5"/>
      <c r="S6657" s="5"/>
    </row>
    <row r="6658" spans="1:19" ht="56" x14ac:dyDescent="0.15">
      <c r="A6658" s="2">
        <f>HYPERLINK("https://open-school.uspishnemisto.com.ua/school/350115/", 350115)</f>
        <v>350115</v>
      </c>
      <c r="B6658" s="3" t="s">
        <v>34892</v>
      </c>
      <c r="C6658" s="3" t="s">
        <v>54</v>
      </c>
      <c r="D6658" s="3" t="s">
        <v>32</v>
      </c>
      <c r="E6658" s="4" t="s">
        <v>22</v>
      </c>
      <c r="F6658" s="4" t="s">
        <v>34893</v>
      </c>
      <c r="G6658" s="4" t="s">
        <v>34894</v>
      </c>
      <c r="H6658" s="3" t="s">
        <v>34363</v>
      </c>
      <c r="I6658" s="3" t="s">
        <v>34895</v>
      </c>
      <c r="J6658" s="3" t="s">
        <v>34896</v>
      </c>
      <c r="K6658" s="3" t="s">
        <v>34897</v>
      </c>
      <c r="L6658" s="3"/>
      <c r="M6658" s="4"/>
      <c r="N6658" s="3"/>
      <c r="O6658" s="3"/>
      <c r="P6658" s="5">
        <v>0</v>
      </c>
      <c r="Q6658" s="5">
        <v>0</v>
      </c>
      <c r="R6658" s="5"/>
      <c r="S6658" s="5"/>
    </row>
    <row r="6659" spans="1:19" ht="56" x14ac:dyDescent="0.15">
      <c r="A6659" s="2">
        <f>HYPERLINK("https://open-school.uspishnemisto.com.ua/school/350116/", 350116)</f>
        <v>350116</v>
      </c>
      <c r="B6659" s="3" t="s">
        <v>34898</v>
      </c>
      <c r="C6659" s="3" t="s">
        <v>31</v>
      </c>
      <c r="D6659" s="3" t="s">
        <v>32</v>
      </c>
      <c r="E6659" s="4" t="s">
        <v>22</v>
      </c>
      <c r="F6659" s="4" t="s">
        <v>34899</v>
      </c>
      <c r="G6659" s="4" t="s">
        <v>34900</v>
      </c>
      <c r="H6659" s="3" t="s">
        <v>34363</v>
      </c>
      <c r="I6659" s="3" t="s">
        <v>34901</v>
      </c>
      <c r="J6659" s="3" t="s">
        <v>4118</v>
      </c>
      <c r="K6659" s="3" t="s">
        <v>17955</v>
      </c>
      <c r="L6659" s="3"/>
      <c r="M6659" s="4"/>
      <c r="N6659" s="3"/>
      <c r="O6659" s="3"/>
      <c r="P6659" s="5">
        <v>0</v>
      </c>
      <c r="Q6659" s="5">
        <v>0</v>
      </c>
      <c r="R6659" s="5"/>
      <c r="S6659" s="5"/>
    </row>
    <row r="6660" spans="1:19" ht="28" x14ac:dyDescent="0.15">
      <c r="A6660" s="2">
        <f>HYPERLINK("https://open-school.uspishnemisto.com.ua/school/350117/", 350117)</f>
        <v>350117</v>
      </c>
      <c r="B6660" s="3" t="s">
        <v>34902</v>
      </c>
      <c r="C6660" s="3" t="s">
        <v>31</v>
      </c>
      <c r="D6660" s="3" t="s">
        <v>32</v>
      </c>
      <c r="E6660" s="4" t="s">
        <v>22</v>
      </c>
      <c r="F6660" s="4" t="s">
        <v>34903</v>
      </c>
      <c r="G6660" s="4" t="s">
        <v>34904</v>
      </c>
      <c r="H6660" s="3" t="s">
        <v>34363</v>
      </c>
      <c r="I6660" s="3" t="s">
        <v>34905</v>
      </c>
      <c r="J6660" s="3" t="s">
        <v>466</v>
      </c>
      <c r="K6660" s="3" t="s">
        <v>34906</v>
      </c>
      <c r="L6660" s="3" t="s">
        <v>34907</v>
      </c>
      <c r="M6660" s="4"/>
      <c r="N6660" s="3"/>
      <c r="O6660" s="3"/>
      <c r="P6660" s="5">
        <v>0</v>
      </c>
      <c r="Q6660" s="5">
        <v>0</v>
      </c>
      <c r="R6660" s="5"/>
      <c r="S6660" s="5"/>
    </row>
    <row r="6661" spans="1:19" ht="70" x14ac:dyDescent="0.15">
      <c r="A6661" s="2">
        <f>HYPERLINK("https://open-school.uspishnemisto.com.ua/school/350118/", 350118)</f>
        <v>350118</v>
      </c>
      <c r="B6661" s="3" t="s">
        <v>34908</v>
      </c>
      <c r="C6661" s="3" t="s">
        <v>54</v>
      </c>
      <c r="D6661" s="3" t="s">
        <v>32</v>
      </c>
      <c r="E6661" s="4" t="s">
        <v>22</v>
      </c>
      <c r="F6661" s="4" t="s">
        <v>34909</v>
      </c>
      <c r="G6661" s="4" t="s">
        <v>34910</v>
      </c>
      <c r="H6661" s="3" t="s">
        <v>34363</v>
      </c>
      <c r="I6661" s="3" t="s">
        <v>656</v>
      </c>
      <c r="J6661" s="3" t="s">
        <v>34911</v>
      </c>
      <c r="K6661" s="3" t="s">
        <v>34912</v>
      </c>
      <c r="L6661" s="3" t="s">
        <v>34913</v>
      </c>
      <c r="M6661" s="4"/>
      <c r="N6661" s="3" t="s">
        <v>37</v>
      </c>
      <c r="O6661" s="3" t="s">
        <v>46</v>
      </c>
      <c r="P6661" s="5">
        <v>28</v>
      </c>
      <c r="Q6661" s="5">
        <v>253</v>
      </c>
      <c r="R6661" s="5">
        <v>33</v>
      </c>
      <c r="S6661" s="5">
        <v>256</v>
      </c>
    </row>
    <row r="6662" spans="1:19" ht="42" x14ac:dyDescent="0.15">
      <c r="A6662" s="2">
        <f>HYPERLINK("https://open-school.uspishnemisto.com.ua/school/350119/", 350119)</f>
        <v>350119</v>
      </c>
      <c r="B6662" s="3" t="s">
        <v>34914</v>
      </c>
      <c r="C6662" s="3" t="s">
        <v>54</v>
      </c>
      <c r="D6662" s="3" t="s">
        <v>32</v>
      </c>
      <c r="E6662" s="4" t="s">
        <v>22</v>
      </c>
      <c r="F6662" s="4" t="s">
        <v>34915</v>
      </c>
      <c r="G6662" s="4" t="s">
        <v>34916</v>
      </c>
      <c r="H6662" s="3" t="s">
        <v>34363</v>
      </c>
      <c r="I6662" s="3" t="s">
        <v>34917</v>
      </c>
      <c r="J6662" s="3" t="s">
        <v>5837</v>
      </c>
      <c r="K6662" s="3" t="s">
        <v>34918</v>
      </c>
      <c r="L6662" s="3" t="s">
        <v>34919</v>
      </c>
      <c r="M6662" s="4"/>
      <c r="N6662" s="3" t="s">
        <v>37</v>
      </c>
      <c r="O6662" s="3" t="s">
        <v>46</v>
      </c>
      <c r="P6662" s="5">
        <v>33</v>
      </c>
      <c r="Q6662" s="5">
        <v>270</v>
      </c>
      <c r="R6662" s="5">
        <v>35</v>
      </c>
      <c r="S6662" s="5">
        <v>280</v>
      </c>
    </row>
    <row r="6663" spans="1:19" ht="56" x14ac:dyDescent="0.15">
      <c r="A6663" s="2">
        <f>HYPERLINK("https://open-school.uspishnemisto.com.ua/school/350120/", 350120)</f>
        <v>350120</v>
      </c>
      <c r="B6663" s="3" t="s">
        <v>34920</v>
      </c>
      <c r="C6663" s="3" t="s">
        <v>54</v>
      </c>
      <c r="D6663" s="3" t="s">
        <v>32</v>
      </c>
      <c r="E6663" s="4" t="s">
        <v>22</v>
      </c>
      <c r="F6663" s="4" t="s">
        <v>34921</v>
      </c>
      <c r="G6663" s="4" t="s">
        <v>34922</v>
      </c>
      <c r="H6663" s="3" t="s">
        <v>34363</v>
      </c>
      <c r="I6663" s="3" t="s">
        <v>688</v>
      </c>
      <c r="J6663" s="3" t="s">
        <v>11664</v>
      </c>
      <c r="K6663" s="3" t="s">
        <v>34923</v>
      </c>
      <c r="L6663" s="3"/>
      <c r="M6663" s="4"/>
      <c r="N6663" s="3" t="s">
        <v>37</v>
      </c>
      <c r="O6663" s="3" t="s">
        <v>52</v>
      </c>
      <c r="P6663" s="5">
        <v>33</v>
      </c>
      <c r="Q6663" s="5">
        <v>474</v>
      </c>
      <c r="R6663" s="5">
        <v>33</v>
      </c>
      <c r="S6663" s="5">
        <v>461</v>
      </c>
    </row>
    <row r="6664" spans="1:19" ht="42" x14ac:dyDescent="0.15">
      <c r="A6664" s="2">
        <f>HYPERLINK("https://open-school.uspishnemisto.com.ua/school/350121/", 350121)</f>
        <v>350121</v>
      </c>
      <c r="B6664" s="3" t="s">
        <v>34924</v>
      </c>
      <c r="C6664" s="3" t="s">
        <v>54</v>
      </c>
      <c r="D6664" s="3" t="s">
        <v>32</v>
      </c>
      <c r="E6664" s="4" t="s">
        <v>22</v>
      </c>
      <c r="F6664" s="4" t="s">
        <v>34925</v>
      </c>
      <c r="G6664" s="4" t="s">
        <v>34926</v>
      </c>
      <c r="H6664" s="3" t="s">
        <v>34363</v>
      </c>
      <c r="I6664" s="3" t="s">
        <v>34927</v>
      </c>
      <c r="J6664" s="3" t="s">
        <v>34928</v>
      </c>
      <c r="K6664" s="3" t="s">
        <v>34929</v>
      </c>
      <c r="L6664" s="3"/>
      <c r="M6664" s="4"/>
      <c r="N6664" s="3"/>
      <c r="O6664" s="3"/>
      <c r="P6664" s="5">
        <v>0</v>
      </c>
      <c r="Q6664" s="5">
        <v>0</v>
      </c>
      <c r="R6664" s="5"/>
      <c r="S6664" s="5"/>
    </row>
    <row r="6665" spans="1:19" ht="42" x14ac:dyDescent="0.15">
      <c r="A6665" s="2">
        <f>HYPERLINK("https://open-school.uspishnemisto.com.ua/school/350122/", 350122)</f>
        <v>350122</v>
      </c>
      <c r="B6665" s="3" t="s">
        <v>34930</v>
      </c>
      <c r="C6665" s="3" t="s">
        <v>54</v>
      </c>
      <c r="D6665" s="3"/>
      <c r="E6665" s="4" t="s">
        <v>22</v>
      </c>
      <c r="F6665" s="4" t="s">
        <v>34931</v>
      </c>
      <c r="G6665" s="4" t="s">
        <v>34932</v>
      </c>
      <c r="H6665" s="3" t="s">
        <v>34363</v>
      </c>
      <c r="I6665" s="3" t="s">
        <v>2404</v>
      </c>
      <c r="J6665" s="3" t="s">
        <v>34933</v>
      </c>
      <c r="K6665" s="3" t="s">
        <v>34934</v>
      </c>
      <c r="L6665" s="3"/>
      <c r="M6665" s="4"/>
      <c r="N6665" s="3"/>
      <c r="O6665" s="3"/>
      <c r="P6665" s="5">
        <v>0</v>
      </c>
      <c r="Q6665" s="5">
        <v>0</v>
      </c>
      <c r="R6665" s="5"/>
      <c r="S6665" s="5"/>
    </row>
    <row r="6666" spans="1:19" ht="42" x14ac:dyDescent="0.15">
      <c r="A6666" s="2">
        <f>HYPERLINK("https://open-school.uspishnemisto.com.ua/school/350123/", 350123)</f>
        <v>350123</v>
      </c>
      <c r="B6666" s="3" t="s">
        <v>34935</v>
      </c>
      <c r="C6666" s="3" t="s">
        <v>54</v>
      </c>
      <c r="D6666" s="3"/>
      <c r="E6666" s="4" t="s">
        <v>22</v>
      </c>
      <c r="F6666" s="4" t="s">
        <v>34936</v>
      </c>
      <c r="G6666" s="4" t="s">
        <v>34937</v>
      </c>
      <c r="H6666" s="3" t="s">
        <v>34363</v>
      </c>
      <c r="I6666" s="3" t="s">
        <v>25508</v>
      </c>
      <c r="J6666" s="3" t="s">
        <v>3173</v>
      </c>
      <c r="K6666" s="3" t="s">
        <v>34938</v>
      </c>
      <c r="L6666" s="3"/>
      <c r="M6666" s="4"/>
      <c r="N6666" s="3"/>
      <c r="O6666" s="3"/>
      <c r="P6666" s="5">
        <v>0</v>
      </c>
      <c r="Q6666" s="5">
        <v>0</v>
      </c>
      <c r="R6666" s="5"/>
      <c r="S6666" s="5"/>
    </row>
    <row r="6667" spans="1:19" ht="42" x14ac:dyDescent="0.15">
      <c r="A6667" s="2">
        <f>HYPERLINK("https://open-school.uspishnemisto.com.ua/school/350124/", 350124)</f>
        <v>350124</v>
      </c>
      <c r="B6667" s="3" t="s">
        <v>34939</v>
      </c>
      <c r="C6667" s="3" t="s">
        <v>31</v>
      </c>
      <c r="D6667" s="3" t="s">
        <v>32</v>
      </c>
      <c r="E6667" s="4" t="s">
        <v>22</v>
      </c>
      <c r="F6667" s="4" t="s">
        <v>34940</v>
      </c>
      <c r="G6667" s="4" t="s">
        <v>34941</v>
      </c>
      <c r="H6667" s="3" t="s">
        <v>34363</v>
      </c>
      <c r="I6667" s="3" t="s">
        <v>22564</v>
      </c>
      <c r="J6667" s="3" t="s">
        <v>34942</v>
      </c>
      <c r="K6667" s="3" t="s">
        <v>34943</v>
      </c>
      <c r="L6667" s="3"/>
      <c r="M6667" s="4"/>
      <c r="N6667" s="3"/>
      <c r="O6667" s="3"/>
      <c r="P6667" s="5">
        <v>0</v>
      </c>
      <c r="Q6667" s="5">
        <v>0</v>
      </c>
      <c r="R6667" s="5"/>
      <c r="S6667" s="5"/>
    </row>
    <row r="6668" spans="1:19" ht="28" x14ac:dyDescent="0.15">
      <c r="A6668" s="2">
        <f>HYPERLINK("https://open-school.uspishnemisto.com.ua/school/350125/", 350125)</f>
        <v>350125</v>
      </c>
      <c r="B6668" s="3" t="s">
        <v>34944</v>
      </c>
      <c r="C6668" s="3" t="s">
        <v>54</v>
      </c>
      <c r="D6668" s="3" t="s">
        <v>32</v>
      </c>
      <c r="E6668" s="4" t="s">
        <v>22</v>
      </c>
      <c r="F6668" s="4" t="s">
        <v>34945</v>
      </c>
      <c r="G6668" s="4" t="s">
        <v>34946</v>
      </c>
      <c r="H6668" s="3" t="s">
        <v>34363</v>
      </c>
      <c r="I6668" s="3" t="s">
        <v>5965</v>
      </c>
      <c r="J6668" s="3" t="s">
        <v>466</v>
      </c>
      <c r="K6668" s="3" t="s">
        <v>34947</v>
      </c>
      <c r="L6668" s="3"/>
      <c r="M6668" s="4"/>
      <c r="N6668" s="3"/>
      <c r="O6668" s="3"/>
      <c r="P6668" s="5">
        <v>0</v>
      </c>
      <c r="Q6668" s="5">
        <v>0</v>
      </c>
      <c r="R6668" s="5"/>
      <c r="S6668" s="5"/>
    </row>
    <row r="6669" spans="1:19" ht="28" x14ac:dyDescent="0.15">
      <c r="A6669" s="2">
        <f>HYPERLINK("https://open-school.uspishnemisto.com.ua/school/350126/", 350126)</f>
        <v>350126</v>
      </c>
      <c r="B6669" s="3" t="s">
        <v>34948</v>
      </c>
      <c r="C6669" s="3" t="s">
        <v>54</v>
      </c>
      <c r="D6669" s="3" t="s">
        <v>175</v>
      </c>
      <c r="E6669" s="4" t="s">
        <v>22</v>
      </c>
      <c r="F6669" s="4" t="s">
        <v>34949</v>
      </c>
      <c r="G6669" s="4" t="s">
        <v>34950</v>
      </c>
      <c r="H6669" s="3" t="s">
        <v>34363</v>
      </c>
      <c r="I6669" s="3" t="s">
        <v>34951</v>
      </c>
      <c r="J6669" s="3" t="s">
        <v>3173</v>
      </c>
      <c r="K6669" s="3" t="s">
        <v>34952</v>
      </c>
      <c r="L6669" s="3"/>
      <c r="M6669" s="4"/>
      <c r="N6669" s="3"/>
      <c r="O6669" s="3"/>
      <c r="P6669" s="5">
        <v>0</v>
      </c>
      <c r="Q6669" s="5">
        <v>0</v>
      </c>
      <c r="R6669" s="5"/>
      <c r="S6669" s="5"/>
    </row>
    <row r="6670" spans="1:19" ht="42" x14ac:dyDescent="0.15">
      <c r="A6670" s="2">
        <f>HYPERLINK("https://open-school.uspishnemisto.com.ua/school/350127/", 350127)</f>
        <v>350127</v>
      </c>
      <c r="B6670" s="3" t="s">
        <v>34953</v>
      </c>
      <c r="C6670" s="3" t="s">
        <v>31</v>
      </c>
      <c r="D6670" s="3" t="s">
        <v>32</v>
      </c>
      <c r="E6670" s="4" t="s">
        <v>22</v>
      </c>
      <c r="F6670" s="4" t="s">
        <v>34954</v>
      </c>
      <c r="G6670" s="4" t="s">
        <v>34955</v>
      </c>
      <c r="H6670" s="3" t="s">
        <v>34363</v>
      </c>
      <c r="I6670" s="3" t="s">
        <v>34956</v>
      </c>
      <c r="J6670" s="3" t="s">
        <v>34957</v>
      </c>
      <c r="K6670" s="3" t="s">
        <v>34958</v>
      </c>
      <c r="L6670" s="3"/>
      <c r="M6670" s="4"/>
      <c r="N6670" s="3"/>
      <c r="O6670" s="3"/>
      <c r="P6670" s="5">
        <v>0</v>
      </c>
      <c r="Q6670" s="5">
        <v>0</v>
      </c>
      <c r="R6670" s="5"/>
      <c r="S6670" s="5"/>
    </row>
    <row r="6671" spans="1:19" ht="42" x14ac:dyDescent="0.15">
      <c r="A6671" s="2">
        <f>HYPERLINK("https://open-school.uspishnemisto.com.ua/school/350128/", 350128)</f>
        <v>350128</v>
      </c>
      <c r="B6671" s="3" t="s">
        <v>34959</v>
      </c>
      <c r="C6671" s="3" t="s">
        <v>54</v>
      </c>
      <c r="D6671" s="3"/>
      <c r="E6671" s="4" t="s">
        <v>22</v>
      </c>
      <c r="F6671" s="4" t="s">
        <v>34960</v>
      </c>
      <c r="G6671" s="4" t="s">
        <v>34961</v>
      </c>
      <c r="H6671" s="3" t="s">
        <v>34363</v>
      </c>
      <c r="I6671" s="3" t="s">
        <v>34962</v>
      </c>
      <c r="J6671" s="3" t="s">
        <v>3146</v>
      </c>
      <c r="K6671" s="3" t="s">
        <v>34963</v>
      </c>
      <c r="L6671" s="3"/>
      <c r="M6671" s="4"/>
      <c r="N6671" s="3"/>
      <c r="O6671" s="3"/>
      <c r="P6671" s="5">
        <v>0</v>
      </c>
      <c r="Q6671" s="5">
        <v>0</v>
      </c>
      <c r="R6671" s="5"/>
      <c r="S6671" s="5"/>
    </row>
    <row r="6672" spans="1:19" ht="56" x14ac:dyDescent="0.15">
      <c r="A6672" s="2">
        <f>HYPERLINK("https://open-school.uspishnemisto.com.ua/school/350129/", 350129)</f>
        <v>350129</v>
      </c>
      <c r="B6672" s="3" t="s">
        <v>34964</v>
      </c>
      <c r="C6672" s="3" t="s">
        <v>54</v>
      </c>
      <c r="D6672" s="3" t="s">
        <v>175</v>
      </c>
      <c r="E6672" s="4" t="s">
        <v>22</v>
      </c>
      <c r="F6672" s="4" t="s">
        <v>34965</v>
      </c>
      <c r="G6672" s="4" t="s">
        <v>34966</v>
      </c>
      <c r="H6672" s="3" t="s">
        <v>34363</v>
      </c>
      <c r="I6672" s="3" t="s">
        <v>34244</v>
      </c>
      <c r="J6672" s="3" t="s">
        <v>7905</v>
      </c>
      <c r="K6672" s="3" t="s">
        <v>34967</v>
      </c>
      <c r="L6672" s="3" t="s">
        <v>34968</v>
      </c>
      <c r="M6672" s="4"/>
      <c r="N6672" s="3"/>
      <c r="O6672" s="3"/>
      <c r="P6672" s="5">
        <v>0</v>
      </c>
      <c r="Q6672" s="5">
        <v>0</v>
      </c>
      <c r="R6672" s="5"/>
      <c r="S6672" s="5"/>
    </row>
    <row r="6673" spans="1:19" ht="28" x14ac:dyDescent="0.15">
      <c r="A6673" s="2">
        <f>HYPERLINK("https://open-school.uspishnemisto.com.ua/school/350130/", 350130)</f>
        <v>350130</v>
      </c>
      <c r="B6673" s="3" t="s">
        <v>34969</v>
      </c>
      <c r="C6673" s="3" t="s">
        <v>54</v>
      </c>
      <c r="D6673" s="3" t="s">
        <v>32</v>
      </c>
      <c r="E6673" s="4" t="s">
        <v>22</v>
      </c>
      <c r="F6673" s="4" t="s">
        <v>34970</v>
      </c>
      <c r="G6673" s="4" t="s">
        <v>34971</v>
      </c>
      <c r="H6673" s="3" t="s">
        <v>34363</v>
      </c>
      <c r="I6673" s="3" t="s">
        <v>34972</v>
      </c>
      <c r="J6673" s="3" t="s">
        <v>466</v>
      </c>
      <c r="K6673" s="3" t="s">
        <v>34973</v>
      </c>
      <c r="L6673" s="3" t="s">
        <v>34974</v>
      </c>
      <c r="M6673" s="4"/>
      <c r="N6673" s="3"/>
      <c r="O6673" s="3"/>
      <c r="P6673" s="5">
        <v>0</v>
      </c>
      <c r="Q6673" s="5">
        <v>0</v>
      </c>
      <c r="R6673" s="5"/>
      <c r="S6673" s="5"/>
    </row>
    <row r="6674" spans="1:19" ht="28" x14ac:dyDescent="0.15">
      <c r="A6674" s="2">
        <f>HYPERLINK("https://open-school.uspishnemisto.com.ua/school/350131/", 350131)</f>
        <v>350131</v>
      </c>
      <c r="B6674" s="3" t="s">
        <v>34975</v>
      </c>
      <c r="C6674" s="3" t="s">
        <v>181</v>
      </c>
      <c r="D6674" s="3" t="s">
        <v>175</v>
      </c>
      <c r="E6674" s="4" t="s">
        <v>22</v>
      </c>
      <c r="F6674" s="4" t="s">
        <v>34976</v>
      </c>
      <c r="G6674" s="4" t="s">
        <v>34977</v>
      </c>
      <c r="H6674" s="3" t="s">
        <v>34363</v>
      </c>
      <c r="I6674" s="3" t="s">
        <v>34978</v>
      </c>
      <c r="J6674" s="3" t="s">
        <v>34979</v>
      </c>
      <c r="K6674" s="3" t="s">
        <v>34980</v>
      </c>
      <c r="L6674" s="3"/>
      <c r="M6674" s="4" t="s">
        <v>34981</v>
      </c>
      <c r="N6674" s="3" t="s">
        <v>37</v>
      </c>
      <c r="O6674" s="3"/>
      <c r="P6674" s="5">
        <v>13</v>
      </c>
      <c r="Q6674" s="5">
        <v>129</v>
      </c>
      <c r="R6674" s="5">
        <v>13</v>
      </c>
      <c r="S6674" s="5">
        <v>128</v>
      </c>
    </row>
    <row r="6675" spans="1:19" ht="70" x14ac:dyDescent="0.15">
      <c r="A6675" s="2">
        <f>HYPERLINK("https://open-school.uspishnemisto.com.ua/school/350132/", 350132)</f>
        <v>350132</v>
      </c>
      <c r="B6675" s="3" t="s">
        <v>34982</v>
      </c>
      <c r="C6675" s="3" t="s">
        <v>31</v>
      </c>
      <c r="D6675" s="3" t="s">
        <v>175</v>
      </c>
      <c r="E6675" s="4" t="s">
        <v>22</v>
      </c>
      <c r="F6675" s="4" t="s">
        <v>34976</v>
      </c>
      <c r="G6675" s="4" t="s">
        <v>34977</v>
      </c>
      <c r="H6675" s="3" t="s">
        <v>34363</v>
      </c>
      <c r="I6675" s="3" t="s">
        <v>34978</v>
      </c>
      <c r="J6675" s="3" t="s">
        <v>34983</v>
      </c>
      <c r="K6675" s="3" t="s">
        <v>34984</v>
      </c>
      <c r="L6675" s="3"/>
      <c r="M6675" s="4"/>
      <c r="N6675" s="3" t="s">
        <v>37</v>
      </c>
      <c r="O6675" s="3" t="s">
        <v>52</v>
      </c>
      <c r="P6675" s="5">
        <v>0</v>
      </c>
      <c r="Q6675" s="5">
        <v>0</v>
      </c>
      <c r="R6675" s="5">
        <v>9</v>
      </c>
      <c r="S6675" s="5">
        <v>77</v>
      </c>
    </row>
    <row r="6676" spans="1:19" ht="70" x14ac:dyDescent="0.15">
      <c r="A6676" s="2">
        <f>HYPERLINK("https://open-school.uspishnemisto.com.ua/school/350133/", 350133)</f>
        <v>350133</v>
      </c>
      <c r="B6676" s="3" t="s">
        <v>34985</v>
      </c>
      <c r="C6676" s="3" t="s">
        <v>31</v>
      </c>
      <c r="D6676" s="3" t="s">
        <v>175</v>
      </c>
      <c r="E6676" s="4" t="s">
        <v>22</v>
      </c>
      <c r="F6676" s="4" t="s">
        <v>34976</v>
      </c>
      <c r="G6676" s="4" t="s">
        <v>34977</v>
      </c>
      <c r="H6676" s="3" t="s">
        <v>34363</v>
      </c>
      <c r="I6676" s="3" t="s">
        <v>34978</v>
      </c>
      <c r="J6676" s="3" t="s">
        <v>34986</v>
      </c>
      <c r="K6676" s="3" t="s">
        <v>34987</v>
      </c>
      <c r="L6676" s="3"/>
      <c r="M6676" s="4"/>
      <c r="N6676" s="3" t="s">
        <v>37</v>
      </c>
      <c r="O6676" s="3" t="s">
        <v>52</v>
      </c>
      <c r="P6676" s="5">
        <v>0</v>
      </c>
      <c r="Q6676" s="5">
        <v>0</v>
      </c>
      <c r="R6676" s="5">
        <v>8</v>
      </c>
      <c r="S6676" s="5">
        <v>82</v>
      </c>
    </row>
    <row r="6677" spans="1:19" ht="28" x14ac:dyDescent="0.15">
      <c r="A6677" s="2">
        <f>HYPERLINK("https://open-school.uspishnemisto.com.ua/school/350134/", 350134)</f>
        <v>350134</v>
      </c>
      <c r="B6677" s="3" t="s">
        <v>34988</v>
      </c>
      <c r="C6677" s="3" t="s">
        <v>31</v>
      </c>
      <c r="D6677" s="3" t="s">
        <v>32</v>
      </c>
      <c r="E6677" s="4" t="s">
        <v>22</v>
      </c>
      <c r="F6677" s="4" t="s">
        <v>34976</v>
      </c>
      <c r="G6677" s="4" t="s">
        <v>34977</v>
      </c>
      <c r="H6677" s="3" t="s">
        <v>34363</v>
      </c>
      <c r="I6677" s="3" t="s">
        <v>34978</v>
      </c>
      <c r="J6677" s="3" t="s">
        <v>31398</v>
      </c>
      <c r="K6677" s="3" t="s">
        <v>34989</v>
      </c>
      <c r="L6677" s="3" t="s">
        <v>34990</v>
      </c>
      <c r="M6677" s="4"/>
      <c r="N6677" s="3" t="s">
        <v>37</v>
      </c>
      <c r="O6677" s="3" t="s">
        <v>70</v>
      </c>
      <c r="P6677" s="5">
        <v>21</v>
      </c>
      <c r="Q6677" s="5">
        <v>451</v>
      </c>
      <c r="R6677" s="5">
        <v>21</v>
      </c>
      <c r="S6677" s="5">
        <v>445</v>
      </c>
    </row>
    <row r="6678" spans="1:19" ht="56" x14ac:dyDescent="0.15">
      <c r="A6678" s="2">
        <f>HYPERLINK("https://open-school.uspishnemisto.com.ua/school/350135/", 350135)</f>
        <v>350135</v>
      </c>
      <c r="B6678" s="3" t="s">
        <v>34991</v>
      </c>
      <c r="C6678" s="3" t="s">
        <v>54</v>
      </c>
      <c r="D6678" s="3" t="s">
        <v>32</v>
      </c>
      <c r="E6678" s="4" t="s">
        <v>22</v>
      </c>
      <c r="F6678" s="4" t="s">
        <v>34976</v>
      </c>
      <c r="G6678" s="4" t="s">
        <v>34977</v>
      </c>
      <c r="H6678" s="3" t="s">
        <v>34363</v>
      </c>
      <c r="I6678" s="3" t="s">
        <v>34978</v>
      </c>
      <c r="J6678" s="3" t="s">
        <v>34992</v>
      </c>
      <c r="K6678" s="3" t="s">
        <v>34993</v>
      </c>
      <c r="L6678" s="3" t="s">
        <v>34994</v>
      </c>
      <c r="M6678" s="4"/>
      <c r="N6678" s="3" t="s">
        <v>37</v>
      </c>
      <c r="O6678" s="3" t="s">
        <v>38</v>
      </c>
      <c r="P6678" s="5">
        <v>45</v>
      </c>
      <c r="Q6678" s="5">
        <v>794</v>
      </c>
      <c r="R6678" s="5">
        <v>28</v>
      </c>
      <c r="S6678" s="5">
        <v>602</v>
      </c>
    </row>
    <row r="6679" spans="1:19" ht="28" x14ac:dyDescent="0.15">
      <c r="A6679" s="2">
        <f>HYPERLINK("https://open-school.uspishnemisto.com.ua/school/350136/", 350136)</f>
        <v>350136</v>
      </c>
      <c r="B6679" s="3" t="s">
        <v>34995</v>
      </c>
      <c r="C6679" s="3" t="s">
        <v>31</v>
      </c>
      <c r="D6679" s="3" t="s">
        <v>32</v>
      </c>
      <c r="E6679" s="4" t="s">
        <v>22</v>
      </c>
      <c r="F6679" s="4" t="s">
        <v>34996</v>
      </c>
      <c r="G6679" s="4" t="s">
        <v>34997</v>
      </c>
      <c r="H6679" s="3" t="s">
        <v>34363</v>
      </c>
      <c r="I6679" s="3" t="s">
        <v>11964</v>
      </c>
      <c r="J6679" s="3" t="s">
        <v>34998</v>
      </c>
      <c r="K6679" s="3" t="s">
        <v>34999</v>
      </c>
      <c r="L6679" s="3"/>
      <c r="M6679" s="4"/>
      <c r="N6679" s="3" t="s">
        <v>37</v>
      </c>
      <c r="O6679" s="3" t="s">
        <v>52</v>
      </c>
      <c r="P6679" s="5">
        <v>8</v>
      </c>
      <c r="Q6679" s="5">
        <v>54</v>
      </c>
      <c r="R6679" s="5">
        <v>8</v>
      </c>
      <c r="S6679" s="5">
        <v>52</v>
      </c>
    </row>
    <row r="6680" spans="1:19" ht="28" x14ac:dyDescent="0.15">
      <c r="A6680" s="2">
        <f>HYPERLINK("https://open-school.uspishnemisto.com.ua/school/350137/", 350137)</f>
        <v>350137</v>
      </c>
      <c r="B6680" s="3" t="s">
        <v>35000</v>
      </c>
      <c r="C6680" s="3" t="s">
        <v>31</v>
      </c>
      <c r="D6680" s="3" t="s">
        <v>175</v>
      </c>
      <c r="E6680" s="4" t="s">
        <v>22</v>
      </c>
      <c r="F6680" s="4" t="s">
        <v>35001</v>
      </c>
      <c r="G6680" s="4" t="s">
        <v>35002</v>
      </c>
      <c r="H6680" s="3" t="s">
        <v>34363</v>
      </c>
      <c r="I6680" s="3" t="s">
        <v>35003</v>
      </c>
      <c r="J6680" s="3" t="s">
        <v>466</v>
      </c>
      <c r="K6680" s="3" t="s">
        <v>35004</v>
      </c>
      <c r="L6680" s="3"/>
      <c r="M6680" s="4"/>
      <c r="N6680" s="3" t="s">
        <v>37</v>
      </c>
      <c r="O6680" s="3" t="s">
        <v>618</v>
      </c>
      <c r="P6680" s="5">
        <v>2</v>
      </c>
      <c r="Q6680" s="5">
        <v>25</v>
      </c>
      <c r="R6680" s="5">
        <v>1</v>
      </c>
      <c r="S6680" s="5">
        <v>20</v>
      </c>
    </row>
    <row r="6681" spans="1:19" ht="28" x14ac:dyDescent="0.15">
      <c r="A6681" s="2">
        <f>HYPERLINK("https://open-school.uspishnemisto.com.ua/school/350138/", 350138)</f>
        <v>350138</v>
      </c>
      <c r="B6681" s="3" t="s">
        <v>35005</v>
      </c>
      <c r="C6681" s="3" t="s">
        <v>31</v>
      </c>
      <c r="D6681" s="3" t="s">
        <v>32</v>
      </c>
      <c r="E6681" s="4" t="s">
        <v>22</v>
      </c>
      <c r="F6681" s="4" t="s">
        <v>35006</v>
      </c>
      <c r="G6681" s="4" t="s">
        <v>35007</v>
      </c>
      <c r="H6681" s="3" t="s">
        <v>34363</v>
      </c>
      <c r="I6681" s="3" t="s">
        <v>35008</v>
      </c>
      <c r="J6681" s="3" t="s">
        <v>35009</v>
      </c>
      <c r="K6681" s="3" t="s">
        <v>35010</v>
      </c>
      <c r="L6681" s="3"/>
      <c r="M6681" s="4"/>
      <c r="N6681" s="3" t="s">
        <v>37</v>
      </c>
      <c r="O6681" s="3" t="s">
        <v>618</v>
      </c>
      <c r="P6681" s="5">
        <v>6</v>
      </c>
      <c r="Q6681" s="5">
        <v>42</v>
      </c>
      <c r="R6681" s="5">
        <v>6</v>
      </c>
      <c r="S6681" s="5">
        <v>48</v>
      </c>
    </row>
    <row r="6682" spans="1:19" ht="28" x14ac:dyDescent="0.15">
      <c r="A6682" s="2">
        <f>HYPERLINK("https://open-school.uspishnemisto.com.ua/school/350139/", 350139)</f>
        <v>350139</v>
      </c>
      <c r="B6682" s="3" t="s">
        <v>35011</v>
      </c>
      <c r="C6682" s="3" t="s">
        <v>31</v>
      </c>
      <c r="D6682" s="3" t="s">
        <v>32</v>
      </c>
      <c r="E6682" s="4" t="s">
        <v>22</v>
      </c>
      <c r="F6682" s="4" t="s">
        <v>35012</v>
      </c>
      <c r="G6682" s="4" t="s">
        <v>35013</v>
      </c>
      <c r="H6682" s="3" t="s">
        <v>34363</v>
      </c>
      <c r="I6682" s="3" t="s">
        <v>1500</v>
      </c>
      <c r="J6682" s="3" t="s">
        <v>35014</v>
      </c>
      <c r="K6682" s="3" t="s">
        <v>35015</v>
      </c>
      <c r="L6682" s="3"/>
      <c r="M6682" s="4"/>
      <c r="N6682" s="3" t="s">
        <v>37</v>
      </c>
      <c r="O6682" s="3" t="s">
        <v>618</v>
      </c>
      <c r="P6682" s="5">
        <v>7</v>
      </c>
      <c r="Q6682" s="5">
        <v>49</v>
      </c>
      <c r="R6682" s="5">
        <v>7</v>
      </c>
      <c r="S6682" s="5">
        <v>52</v>
      </c>
    </row>
    <row r="6683" spans="1:19" ht="28" x14ac:dyDescent="0.15">
      <c r="A6683" s="2">
        <f>HYPERLINK("https://open-school.uspishnemisto.com.ua/school/350140/", 350140)</f>
        <v>350140</v>
      </c>
      <c r="B6683" s="3" t="s">
        <v>35016</v>
      </c>
      <c r="C6683" s="3" t="s">
        <v>31</v>
      </c>
      <c r="D6683" s="3" t="s">
        <v>32</v>
      </c>
      <c r="E6683" s="4" t="s">
        <v>22</v>
      </c>
      <c r="F6683" s="4" t="s">
        <v>35017</v>
      </c>
      <c r="G6683" s="4" t="s">
        <v>35018</v>
      </c>
      <c r="H6683" s="3" t="s">
        <v>34363</v>
      </c>
      <c r="I6683" s="3" t="s">
        <v>35019</v>
      </c>
      <c r="J6683" s="3" t="s">
        <v>1078</v>
      </c>
      <c r="K6683" s="3" t="s">
        <v>35020</v>
      </c>
      <c r="L6683" s="3"/>
      <c r="M6683" s="4"/>
      <c r="N6683" s="3" t="s">
        <v>37</v>
      </c>
      <c r="O6683" s="3" t="s">
        <v>52</v>
      </c>
      <c r="P6683" s="5">
        <v>11</v>
      </c>
      <c r="Q6683" s="5">
        <v>95</v>
      </c>
      <c r="R6683" s="5">
        <v>11</v>
      </c>
      <c r="S6683" s="5">
        <v>99</v>
      </c>
    </row>
    <row r="6684" spans="1:19" ht="28" x14ac:dyDescent="0.15">
      <c r="A6684" s="2">
        <f>HYPERLINK("https://open-school.uspishnemisto.com.ua/school/350142/", 350142)</f>
        <v>350142</v>
      </c>
      <c r="B6684" s="3" t="s">
        <v>35021</v>
      </c>
      <c r="C6684" s="3" t="s">
        <v>31</v>
      </c>
      <c r="D6684" s="3" t="s">
        <v>32</v>
      </c>
      <c r="E6684" s="4" t="s">
        <v>22</v>
      </c>
      <c r="F6684" s="4" t="s">
        <v>35022</v>
      </c>
      <c r="G6684" s="4" t="s">
        <v>35023</v>
      </c>
      <c r="H6684" s="3" t="s">
        <v>34363</v>
      </c>
      <c r="I6684" s="3" t="s">
        <v>3346</v>
      </c>
      <c r="J6684" s="3" t="s">
        <v>12674</v>
      </c>
      <c r="K6684" s="3" t="s">
        <v>35024</v>
      </c>
      <c r="L6684" s="3"/>
      <c r="M6684" s="4"/>
      <c r="N6684" s="3" t="s">
        <v>37</v>
      </c>
      <c r="O6684" s="3" t="s">
        <v>52</v>
      </c>
      <c r="P6684" s="5">
        <v>9</v>
      </c>
      <c r="Q6684" s="5">
        <v>63</v>
      </c>
      <c r="R6684" s="5">
        <v>8</v>
      </c>
      <c r="S6684" s="5">
        <v>57</v>
      </c>
    </row>
    <row r="6685" spans="1:19" ht="28" x14ac:dyDescent="0.15">
      <c r="A6685" s="2">
        <f>HYPERLINK("https://open-school.uspishnemisto.com.ua/school/350143/", 350143)</f>
        <v>350143</v>
      </c>
      <c r="B6685" s="3" t="s">
        <v>35025</v>
      </c>
      <c r="C6685" s="3" t="s">
        <v>31</v>
      </c>
      <c r="D6685" s="3" t="s">
        <v>32</v>
      </c>
      <c r="E6685" s="4" t="s">
        <v>22</v>
      </c>
      <c r="F6685" s="4" t="s">
        <v>35026</v>
      </c>
      <c r="G6685" s="4" t="s">
        <v>35027</v>
      </c>
      <c r="H6685" s="3" t="s">
        <v>34363</v>
      </c>
      <c r="I6685" s="3" t="s">
        <v>35028</v>
      </c>
      <c r="J6685" s="3" t="s">
        <v>35029</v>
      </c>
      <c r="K6685" s="3" t="s">
        <v>35030</v>
      </c>
      <c r="L6685" s="3"/>
      <c r="M6685" s="4"/>
      <c r="N6685" s="3" t="s">
        <v>37</v>
      </c>
      <c r="O6685" s="3" t="s">
        <v>52</v>
      </c>
      <c r="P6685" s="5">
        <v>11</v>
      </c>
      <c r="Q6685" s="5">
        <v>144</v>
      </c>
      <c r="R6685" s="5">
        <v>11</v>
      </c>
      <c r="S6685" s="5">
        <v>142</v>
      </c>
    </row>
    <row r="6686" spans="1:19" ht="28" x14ac:dyDescent="0.15">
      <c r="A6686" s="2">
        <f>HYPERLINK("https://open-school.uspishnemisto.com.ua/school/350144/", 350144)</f>
        <v>350144</v>
      </c>
      <c r="B6686" s="3" t="s">
        <v>35031</v>
      </c>
      <c r="C6686" s="3" t="s">
        <v>31</v>
      </c>
      <c r="D6686" s="3" t="s">
        <v>175</v>
      </c>
      <c r="E6686" s="4" t="s">
        <v>22</v>
      </c>
      <c r="F6686" s="4" t="s">
        <v>35032</v>
      </c>
      <c r="G6686" s="4" t="s">
        <v>35033</v>
      </c>
      <c r="H6686" s="3" t="s">
        <v>34363</v>
      </c>
      <c r="I6686" s="3" t="s">
        <v>35034</v>
      </c>
      <c r="J6686" s="3" t="s">
        <v>35035</v>
      </c>
      <c r="K6686" s="3" t="s">
        <v>35036</v>
      </c>
      <c r="L6686" s="3"/>
      <c r="M6686" s="4"/>
      <c r="N6686" s="3" t="s">
        <v>37</v>
      </c>
      <c r="O6686" s="3" t="s">
        <v>46</v>
      </c>
      <c r="P6686" s="5">
        <v>2</v>
      </c>
      <c r="Q6686" s="5">
        <v>31</v>
      </c>
      <c r="R6686" s="5">
        <v>3</v>
      </c>
      <c r="S6686" s="5">
        <v>27</v>
      </c>
    </row>
    <row r="6687" spans="1:19" ht="28" x14ac:dyDescent="0.15">
      <c r="A6687" s="2">
        <f>HYPERLINK("https://open-school.uspishnemisto.com.ua/school/350145/", 350145)</f>
        <v>350145</v>
      </c>
      <c r="B6687" s="3" t="s">
        <v>35037</v>
      </c>
      <c r="C6687" s="3" t="s">
        <v>31</v>
      </c>
      <c r="D6687" s="3" t="s">
        <v>32</v>
      </c>
      <c r="E6687" s="4" t="s">
        <v>22</v>
      </c>
      <c r="F6687" s="4" t="s">
        <v>35038</v>
      </c>
      <c r="G6687" s="4" t="s">
        <v>35039</v>
      </c>
      <c r="H6687" s="3" t="s">
        <v>34363</v>
      </c>
      <c r="I6687" s="3" t="s">
        <v>35040</v>
      </c>
      <c r="J6687" s="3" t="s">
        <v>878</v>
      </c>
      <c r="K6687" s="3" t="s">
        <v>35041</v>
      </c>
      <c r="L6687" s="3" t="s">
        <v>35042</v>
      </c>
      <c r="M6687" s="4"/>
      <c r="N6687" s="3" t="s">
        <v>37</v>
      </c>
      <c r="O6687" s="3" t="s">
        <v>52</v>
      </c>
      <c r="P6687" s="5">
        <v>10</v>
      </c>
      <c r="Q6687" s="5">
        <v>141</v>
      </c>
      <c r="R6687" s="5">
        <v>10</v>
      </c>
      <c r="S6687" s="5">
        <v>153</v>
      </c>
    </row>
    <row r="6688" spans="1:19" ht="28" x14ac:dyDescent="0.15">
      <c r="A6688" s="2">
        <f>HYPERLINK("https://open-school.uspishnemisto.com.ua/school/350146/", 350146)</f>
        <v>350146</v>
      </c>
      <c r="B6688" s="3" t="s">
        <v>35043</v>
      </c>
      <c r="C6688" s="3" t="s">
        <v>31</v>
      </c>
      <c r="D6688" s="3" t="s">
        <v>32</v>
      </c>
      <c r="E6688" s="4" t="s">
        <v>22</v>
      </c>
      <c r="F6688" s="4" t="s">
        <v>35044</v>
      </c>
      <c r="G6688" s="4" t="s">
        <v>35045</v>
      </c>
      <c r="H6688" s="3" t="s">
        <v>34363</v>
      </c>
      <c r="I6688" s="3" t="s">
        <v>35046</v>
      </c>
      <c r="J6688" s="3" t="s">
        <v>35047</v>
      </c>
      <c r="K6688" s="3" t="s">
        <v>35048</v>
      </c>
      <c r="L6688" s="3" t="s">
        <v>35049</v>
      </c>
      <c r="M6688" s="4"/>
      <c r="N6688" s="3" t="s">
        <v>37</v>
      </c>
      <c r="O6688" s="3" t="s">
        <v>52</v>
      </c>
      <c r="P6688" s="5">
        <v>9</v>
      </c>
      <c r="Q6688" s="5">
        <v>71</v>
      </c>
      <c r="R6688" s="5">
        <v>8</v>
      </c>
      <c r="S6688" s="5">
        <v>67</v>
      </c>
    </row>
    <row r="6689" spans="1:19" ht="28" x14ac:dyDescent="0.15">
      <c r="A6689" s="2">
        <f>HYPERLINK("https://open-school.uspishnemisto.com.ua/school/350141/", 350141)</f>
        <v>350141</v>
      </c>
      <c r="B6689" s="3" t="s">
        <v>35050</v>
      </c>
      <c r="C6689" s="3" t="s">
        <v>31</v>
      </c>
      <c r="D6689" s="3" t="s">
        <v>32</v>
      </c>
      <c r="E6689" s="4" t="s">
        <v>22</v>
      </c>
      <c r="F6689" s="4" t="s">
        <v>35051</v>
      </c>
      <c r="G6689" s="4" t="s">
        <v>35052</v>
      </c>
      <c r="H6689" s="3" t="s">
        <v>34363</v>
      </c>
      <c r="I6689" s="3" t="s">
        <v>5088</v>
      </c>
      <c r="J6689" s="3" t="s">
        <v>15750</v>
      </c>
      <c r="K6689" s="3" t="s">
        <v>35053</v>
      </c>
      <c r="L6689" s="3"/>
      <c r="M6689" s="4"/>
      <c r="N6689" s="3" t="s">
        <v>37</v>
      </c>
      <c r="O6689" s="3" t="s">
        <v>52</v>
      </c>
      <c r="P6689" s="5">
        <v>4</v>
      </c>
      <c r="Q6689" s="5">
        <v>40</v>
      </c>
      <c r="R6689" s="5">
        <v>4</v>
      </c>
      <c r="S6689" s="5">
        <v>38</v>
      </c>
    </row>
    <row r="6690" spans="1:19" ht="28" x14ac:dyDescent="0.15">
      <c r="A6690" s="2">
        <f>HYPERLINK("https://open-school.uspishnemisto.com.ua/school/350147/", 350147)</f>
        <v>350147</v>
      </c>
      <c r="B6690" s="3" t="s">
        <v>35054</v>
      </c>
      <c r="C6690" s="3" t="s">
        <v>31</v>
      </c>
      <c r="D6690" s="3" t="s">
        <v>60</v>
      </c>
      <c r="E6690" s="4" t="s">
        <v>22</v>
      </c>
      <c r="F6690" s="4" t="s">
        <v>35055</v>
      </c>
      <c r="G6690" s="4" t="s">
        <v>35056</v>
      </c>
      <c r="H6690" s="3" t="s">
        <v>34363</v>
      </c>
      <c r="I6690" s="3" t="s">
        <v>1109</v>
      </c>
      <c r="J6690" s="3" t="s">
        <v>5955</v>
      </c>
      <c r="K6690" s="3" t="s">
        <v>35057</v>
      </c>
      <c r="L6690" s="3"/>
      <c r="M6690" s="4"/>
      <c r="N6690" s="3" t="s">
        <v>37</v>
      </c>
      <c r="O6690" s="3" t="s">
        <v>52</v>
      </c>
      <c r="P6690" s="5">
        <v>0</v>
      </c>
      <c r="Q6690" s="5">
        <v>2</v>
      </c>
      <c r="R6690" s="5">
        <v>0</v>
      </c>
      <c r="S6690" s="5">
        <v>6</v>
      </c>
    </row>
    <row r="6691" spans="1:19" ht="28" x14ac:dyDescent="0.15">
      <c r="A6691" s="2">
        <f>HYPERLINK("https://open-school.uspishnemisto.com.ua/school/350148/", 350148)</f>
        <v>350148</v>
      </c>
      <c r="B6691" s="3" t="s">
        <v>35058</v>
      </c>
      <c r="C6691" s="3" t="s">
        <v>31</v>
      </c>
      <c r="D6691" s="3" t="s">
        <v>60</v>
      </c>
      <c r="E6691" s="4" t="s">
        <v>22</v>
      </c>
      <c r="F6691" s="4" t="s">
        <v>35059</v>
      </c>
      <c r="G6691" s="4" t="s">
        <v>35060</v>
      </c>
      <c r="H6691" s="3" t="s">
        <v>34363</v>
      </c>
      <c r="I6691" s="3" t="s">
        <v>440</v>
      </c>
      <c r="J6691" s="3" t="s">
        <v>2820</v>
      </c>
      <c r="K6691" s="3" t="s">
        <v>35061</v>
      </c>
      <c r="L6691" s="3"/>
      <c r="M6691" s="4"/>
      <c r="N6691" s="3" t="s">
        <v>37</v>
      </c>
      <c r="O6691" s="3" t="s">
        <v>52</v>
      </c>
      <c r="P6691" s="5">
        <v>0</v>
      </c>
      <c r="Q6691" s="5">
        <v>7</v>
      </c>
      <c r="R6691" s="5">
        <v>0</v>
      </c>
      <c r="S6691" s="5">
        <v>7</v>
      </c>
    </row>
    <row r="6692" spans="1:19" ht="28" x14ac:dyDescent="0.15">
      <c r="A6692" s="2">
        <f>HYPERLINK("https://open-school.uspishnemisto.com.ua/school/350149/", 350149)</f>
        <v>350149</v>
      </c>
      <c r="B6692" s="3" t="s">
        <v>35062</v>
      </c>
      <c r="C6692" s="3" t="s">
        <v>31</v>
      </c>
      <c r="D6692" s="3" t="s">
        <v>175</v>
      </c>
      <c r="E6692" s="4" t="s">
        <v>22</v>
      </c>
      <c r="F6692" s="4" t="s">
        <v>35063</v>
      </c>
      <c r="G6692" s="4" t="s">
        <v>35064</v>
      </c>
      <c r="H6692" s="3" t="s">
        <v>34363</v>
      </c>
      <c r="I6692" s="3" t="s">
        <v>35065</v>
      </c>
      <c r="J6692" s="3" t="s">
        <v>35066</v>
      </c>
      <c r="K6692" s="3" t="s">
        <v>35067</v>
      </c>
      <c r="L6692" s="3"/>
      <c r="M6692" s="4"/>
      <c r="N6692" s="3" t="s">
        <v>37</v>
      </c>
      <c r="O6692" s="3" t="s">
        <v>618</v>
      </c>
      <c r="P6692" s="5">
        <v>7</v>
      </c>
      <c r="Q6692" s="5">
        <v>46</v>
      </c>
      <c r="R6692" s="5">
        <v>6</v>
      </c>
      <c r="S6692" s="5">
        <v>43</v>
      </c>
    </row>
    <row r="6693" spans="1:19" ht="28" x14ac:dyDescent="0.15">
      <c r="A6693" s="2">
        <f>HYPERLINK("https://open-school.uspishnemisto.com.ua/school/350150/", 350150)</f>
        <v>350150</v>
      </c>
      <c r="B6693" s="3" t="s">
        <v>35068</v>
      </c>
      <c r="C6693" s="3" t="s">
        <v>31</v>
      </c>
      <c r="D6693" s="3" t="s">
        <v>32</v>
      </c>
      <c r="E6693" s="4" t="s">
        <v>22</v>
      </c>
      <c r="F6693" s="4" t="s">
        <v>35069</v>
      </c>
      <c r="G6693" s="4" t="s">
        <v>35070</v>
      </c>
      <c r="H6693" s="3" t="s">
        <v>34363</v>
      </c>
      <c r="I6693" s="3" t="s">
        <v>35071</v>
      </c>
      <c r="J6693" s="3" t="s">
        <v>35072</v>
      </c>
      <c r="K6693" s="3" t="s">
        <v>35073</v>
      </c>
      <c r="L6693" s="3" t="s">
        <v>35074</v>
      </c>
      <c r="M6693" s="4"/>
      <c r="N6693" s="3" t="s">
        <v>37</v>
      </c>
      <c r="O6693" s="3" t="s">
        <v>52</v>
      </c>
      <c r="P6693" s="5">
        <v>6</v>
      </c>
      <c r="Q6693" s="5">
        <v>48</v>
      </c>
      <c r="R6693" s="5">
        <v>6</v>
      </c>
      <c r="S6693" s="5">
        <v>48</v>
      </c>
    </row>
    <row r="6694" spans="1:19" ht="28" x14ac:dyDescent="0.15">
      <c r="A6694" s="2">
        <f>HYPERLINK("https://open-school.uspishnemisto.com.ua/school/350151/", 350151)</f>
        <v>350151</v>
      </c>
      <c r="B6694" s="3" t="s">
        <v>35075</v>
      </c>
      <c r="C6694" s="3" t="s">
        <v>31</v>
      </c>
      <c r="D6694" s="3" t="s">
        <v>60</v>
      </c>
      <c r="E6694" s="4" t="s">
        <v>22</v>
      </c>
      <c r="F6694" s="4" t="s">
        <v>35076</v>
      </c>
      <c r="G6694" s="4" t="s">
        <v>35077</v>
      </c>
      <c r="H6694" s="3" t="s">
        <v>34363</v>
      </c>
      <c r="I6694" s="3" t="s">
        <v>11119</v>
      </c>
      <c r="J6694" s="3"/>
      <c r="K6694" s="3" t="s">
        <v>35078</v>
      </c>
      <c r="L6694" s="3"/>
      <c r="M6694" s="4"/>
      <c r="N6694" s="3" t="s">
        <v>37</v>
      </c>
      <c r="O6694" s="3" t="s">
        <v>52</v>
      </c>
      <c r="P6694" s="5">
        <v>0</v>
      </c>
      <c r="Q6694" s="5">
        <v>5</v>
      </c>
      <c r="R6694" s="5">
        <v>0</v>
      </c>
      <c r="S6694" s="5">
        <v>4</v>
      </c>
    </row>
    <row r="6695" spans="1:19" ht="28" x14ac:dyDescent="0.15">
      <c r="A6695" s="2">
        <f>HYPERLINK("https://open-school.uspishnemisto.com.ua/school/350152/", 350152)</f>
        <v>350152</v>
      </c>
      <c r="B6695" s="3" t="s">
        <v>35079</v>
      </c>
      <c r="C6695" s="3" t="s">
        <v>31</v>
      </c>
      <c r="D6695" s="3" t="s">
        <v>175</v>
      </c>
      <c r="E6695" s="4" t="s">
        <v>22</v>
      </c>
      <c r="F6695" s="4" t="s">
        <v>35080</v>
      </c>
      <c r="G6695" s="4" t="s">
        <v>35081</v>
      </c>
      <c r="H6695" s="3" t="s">
        <v>34363</v>
      </c>
      <c r="I6695" s="3" t="s">
        <v>35082</v>
      </c>
      <c r="J6695" s="3" t="s">
        <v>35083</v>
      </c>
      <c r="K6695" s="3"/>
      <c r="L6695" s="3"/>
      <c r="M6695" s="4"/>
      <c r="N6695" s="3" t="s">
        <v>37</v>
      </c>
      <c r="O6695" s="3" t="s">
        <v>618</v>
      </c>
      <c r="P6695" s="5">
        <v>3</v>
      </c>
      <c r="Q6695" s="5">
        <v>34</v>
      </c>
      <c r="R6695" s="5">
        <v>2</v>
      </c>
      <c r="S6695" s="5">
        <v>31</v>
      </c>
    </row>
    <row r="6696" spans="1:19" ht="28" x14ac:dyDescent="0.15">
      <c r="A6696" s="2">
        <f>HYPERLINK("https://open-school.uspishnemisto.com.ua/school/350153/", 350153)</f>
        <v>350153</v>
      </c>
      <c r="B6696" s="3" t="s">
        <v>35084</v>
      </c>
      <c r="C6696" s="3" t="s">
        <v>31</v>
      </c>
      <c r="D6696" s="3" t="s">
        <v>32</v>
      </c>
      <c r="E6696" s="4" t="s">
        <v>22</v>
      </c>
      <c r="F6696" s="4" t="s">
        <v>35085</v>
      </c>
      <c r="G6696" s="4" t="s">
        <v>35086</v>
      </c>
      <c r="H6696" s="3" t="s">
        <v>34363</v>
      </c>
      <c r="I6696" s="3" t="s">
        <v>35087</v>
      </c>
      <c r="J6696" s="3" t="s">
        <v>2253</v>
      </c>
      <c r="K6696" s="3" t="s">
        <v>35088</v>
      </c>
      <c r="L6696" s="3"/>
      <c r="M6696" s="4"/>
      <c r="N6696" s="3" t="s">
        <v>37</v>
      </c>
      <c r="O6696" s="3" t="s">
        <v>46</v>
      </c>
      <c r="P6696" s="5">
        <v>3</v>
      </c>
      <c r="Q6696" s="5">
        <v>36</v>
      </c>
      <c r="R6696" s="5">
        <v>2</v>
      </c>
      <c r="S6696" s="5">
        <v>34</v>
      </c>
    </row>
    <row r="6697" spans="1:19" ht="28" x14ac:dyDescent="0.15">
      <c r="A6697" s="2">
        <f>HYPERLINK("https://open-school.uspishnemisto.com.ua/school/350154/", 350154)</f>
        <v>350154</v>
      </c>
      <c r="B6697" s="3" t="s">
        <v>35089</v>
      </c>
      <c r="C6697" s="3" t="s">
        <v>31</v>
      </c>
      <c r="D6697" s="3" t="s">
        <v>175</v>
      </c>
      <c r="E6697" s="4" t="s">
        <v>22</v>
      </c>
      <c r="F6697" s="4" t="s">
        <v>35090</v>
      </c>
      <c r="G6697" s="4" t="s">
        <v>35091</v>
      </c>
      <c r="H6697" s="3" t="s">
        <v>34363</v>
      </c>
      <c r="I6697" s="3" t="s">
        <v>35092</v>
      </c>
      <c r="J6697" s="3" t="s">
        <v>7085</v>
      </c>
      <c r="K6697" s="3" t="s">
        <v>35093</v>
      </c>
      <c r="L6697" s="3"/>
      <c r="M6697" s="4"/>
      <c r="N6697" s="3" t="s">
        <v>37</v>
      </c>
      <c r="O6697" s="3" t="s">
        <v>618</v>
      </c>
      <c r="P6697" s="5">
        <v>9</v>
      </c>
      <c r="Q6697" s="5">
        <v>71</v>
      </c>
      <c r="R6697" s="5">
        <v>9</v>
      </c>
      <c r="S6697" s="5">
        <v>66</v>
      </c>
    </row>
    <row r="6698" spans="1:19" ht="28" x14ac:dyDescent="0.15">
      <c r="A6698" s="2">
        <f>HYPERLINK("https://open-school.uspishnemisto.com.ua/school/350155/", 350155)</f>
        <v>350155</v>
      </c>
      <c r="B6698" s="3" t="s">
        <v>35094</v>
      </c>
      <c r="C6698" s="3" t="s">
        <v>31</v>
      </c>
      <c r="D6698" s="3" t="s">
        <v>175</v>
      </c>
      <c r="E6698" s="4" t="s">
        <v>22</v>
      </c>
      <c r="F6698" s="4" t="s">
        <v>35095</v>
      </c>
      <c r="G6698" s="4" t="s">
        <v>35096</v>
      </c>
      <c r="H6698" s="3" t="s">
        <v>34363</v>
      </c>
      <c r="I6698" s="3" t="s">
        <v>35097</v>
      </c>
      <c r="J6698" s="3" t="s">
        <v>35098</v>
      </c>
      <c r="K6698" s="3"/>
      <c r="L6698" s="3"/>
      <c r="M6698" s="4"/>
      <c r="N6698" s="3" t="s">
        <v>37</v>
      </c>
      <c r="O6698" s="3" t="s">
        <v>52</v>
      </c>
      <c r="P6698" s="5">
        <v>2</v>
      </c>
      <c r="Q6698" s="5">
        <v>25</v>
      </c>
      <c r="R6698" s="5">
        <v>2</v>
      </c>
      <c r="S6698" s="5">
        <v>25</v>
      </c>
    </row>
    <row r="6699" spans="1:19" ht="42" x14ac:dyDescent="0.15">
      <c r="A6699" s="2">
        <f>HYPERLINK("https://open-school.uspishnemisto.com.ua/school/350156/", 350156)</f>
        <v>350156</v>
      </c>
      <c r="B6699" s="3" t="s">
        <v>35099</v>
      </c>
      <c r="C6699" s="3" t="s">
        <v>31</v>
      </c>
      <c r="D6699" s="3" t="s">
        <v>32</v>
      </c>
      <c r="E6699" s="4" t="s">
        <v>22</v>
      </c>
      <c r="F6699" s="4" t="s">
        <v>35100</v>
      </c>
      <c r="G6699" s="4" t="s">
        <v>35101</v>
      </c>
      <c r="H6699" s="3" t="s">
        <v>34363</v>
      </c>
      <c r="I6699" s="3" t="s">
        <v>1439</v>
      </c>
      <c r="J6699" s="3" t="s">
        <v>297</v>
      </c>
      <c r="K6699" s="3" t="s">
        <v>35102</v>
      </c>
      <c r="L6699" s="3" t="s">
        <v>35103</v>
      </c>
      <c r="M6699" s="4"/>
      <c r="N6699" s="3" t="s">
        <v>37</v>
      </c>
      <c r="O6699" s="3" t="s">
        <v>46</v>
      </c>
      <c r="P6699" s="5">
        <v>8</v>
      </c>
      <c r="Q6699" s="5">
        <v>68</v>
      </c>
      <c r="R6699" s="5">
        <v>8</v>
      </c>
      <c r="S6699" s="5">
        <v>64</v>
      </c>
    </row>
    <row r="6700" spans="1:19" ht="28" x14ac:dyDescent="0.15">
      <c r="A6700" s="2">
        <f>HYPERLINK("https://open-school.uspishnemisto.com.ua/school/350157/", 350157)</f>
        <v>350157</v>
      </c>
      <c r="B6700" s="3" t="s">
        <v>35104</v>
      </c>
      <c r="C6700" s="3" t="s">
        <v>31</v>
      </c>
      <c r="D6700" s="3" t="s">
        <v>175</v>
      </c>
      <c r="E6700" s="4" t="s">
        <v>22</v>
      </c>
      <c r="F6700" s="4" t="s">
        <v>35105</v>
      </c>
      <c r="G6700" s="4" t="s">
        <v>35106</v>
      </c>
      <c r="H6700" s="3" t="s">
        <v>34363</v>
      </c>
      <c r="I6700" s="3" t="s">
        <v>35107</v>
      </c>
      <c r="J6700" s="3" t="s">
        <v>35108</v>
      </c>
      <c r="K6700" s="3" t="s">
        <v>35109</v>
      </c>
      <c r="L6700" s="3"/>
      <c r="M6700" s="4"/>
      <c r="N6700" s="3" t="s">
        <v>37</v>
      </c>
      <c r="O6700" s="3" t="s">
        <v>52</v>
      </c>
      <c r="P6700" s="5">
        <v>2</v>
      </c>
      <c r="Q6700" s="5">
        <v>30</v>
      </c>
      <c r="R6700" s="5">
        <v>2</v>
      </c>
      <c r="S6700" s="5">
        <v>30</v>
      </c>
    </row>
    <row r="6701" spans="1:19" ht="28" x14ac:dyDescent="0.15">
      <c r="A6701" s="2">
        <f>HYPERLINK("https://open-school.uspishnemisto.com.ua/school/350158/", 350158)</f>
        <v>350158</v>
      </c>
      <c r="B6701" s="3" t="s">
        <v>35110</v>
      </c>
      <c r="C6701" s="3" t="s">
        <v>31</v>
      </c>
      <c r="D6701" s="3" t="s">
        <v>32</v>
      </c>
      <c r="E6701" s="4" t="s">
        <v>22</v>
      </c>
      <c r="F6701" s="4" t="s">
        <v>35111</v>
      </c>
      <c r="G6701" s="4" t="s">
        <v>35112</v>
      </c>
      <c r="H6701" s="3" t="s">
        <v>34363</v>
      </c>
      <c r="I6701" s="3" t="s">
        <v>35113</v>
      </c>
      <c r="J6701" s="3" t="s">
        <v>35114</v>
      </c>
      <c r="K6701" s="3" t="s">
        <v>35115</v>
      </c>
      <c r="L6701" s="3"/>
      <c r="M6701" s="4"/>
      <c r="N6701" s="3" t="s">
        <v>37</v>
      </c>
      <c r="O6701" s="3" t="s">
        <v>618</v>
      </c>
      <c r="P6701" s="5">
        <v>9</v>
      </c>
      <c r="Q6701" s="5">
        <v>60</v>
      </c>
      <c r="R6701" s="5">
        <v>8</v>
      </c>
      <c r="S6701" s="5">
        <v>58</v>
      </c>
    </row>
    <row r="6702" spans="1:19" ht="28" x14ac:dyDescent="0.15">
      <c r="A6702" s="2">
        <f>HYPERLINK("https://open-school.uspishnemisto.com.ua/school/350159/", 350159)</f>
        <v>350159</v>
      </c>
      <c r="B6702" s="3" t="s">
        <v>35116</v>
      </c>
      <c r="C6702" s="3" t="s">
        <v>31</v>
      </c>
      <c r="D6702" s="3" t="s">
        <v>32</v>
      </c>
      <c r="E6702" s="4" t="s">
        <v>22</v>
      </c>
      <c r="F6702" s="4" t="s">
        <v>35117</v>
      </c>
      <c r="G6702" s="4" t="s">
        <v>35118</v>
      </c>
      <c r="H6702" s="3" t="s">
        <v>34363</v>
      </c>
      <c r="I6702" s="3" t="s">
        <v>35119</v>
      </c>
      <c r="J6702" s="3" t="s">
        <v>2446</v>
      </c>
      <c r="K6702" s="3" t="s">
        <v>35120</v>
      </c>
      <c r="L6702" s="3"/>
      <c r="M6702" s="4"/>
      <c r="N6702" s="3" t="s">
        <v>37</v>
      </c>
      <c r="O6702" s="3" t="s">
        <v>52</v>
      </c>
      <c r="P6702" s="5">
        <v>10</v>
      </c>
      <c r="Q6702" s="5">
        <v>93</v>
      </c>
      <c r="R6702" s="5">
        <v>10</v>
      </c>
      <c r="S6702" s="5">
        <v>93</v>
      </c>
    </row>
    <row r="6703" spans="1:19" ht="28" x14ac:dyDescent="0.15">
      <c r="A6703" s="2">
        <f>HYPERLINK("https://open-school.uspishnemisto.com.ua/school/350160/", 350160)</f>
        <v>350160</v>
      </c>
      <c r="B6703" s="3" t="s">
        <v>35121</v>
      </c>
      <c r="C6703" s="3" t="s">
        <v>31</v>
      </c>
      <c r="D6703" s="3" t="s">
        <v>175</v>
      </c>
      <c r="E6703" s="4" t="s">
        <v>22</v>
      </c>
      <c r="F6703" s="4" t="s">
        <v>35122</v>
      </c>
      <c r="G6703" s="4" t="s">
        <v>35123</v>
      </c>
      <c r="H6703" s="3" t="s">
        <v>34363</v>
      </c>
      <c r="I6703" s="3" t="s">
        <v>1889</v>
      </c>
      <c r="J6703" s="3" t="s">
        <v>35124</v>
      </c>
      <c r="K6703" s="3"/>
      <c r="L6703" s="3"/>
      <c r="M6703" s="4"/>
      <c r="N6703" s="3" t="s">
        <v>37</v>
      </c>
      <c r="O6703" s="3" t="s">
        <v>52</v>
      </c>
      <c r="P6703" s="5">
        <v>4</v>
      </c>
      <c r="Q6703" s="5">
        <v>34</v>
      </c>
      <c r="R6703" s="5">
        <v>2</v>
      </c>
      <c r="S6703" s="5">
        <v>26</v>
      </c>
    </row>
    <row r="6704" spans="1:19" ht="28" x14ac:dyDescent="0.15">
      <c r="A6704" s="2">
        <f>HYPERLINK("https://open-school.uspishnemisto.com.ua/school/350161/", 350161)</f>
        <v>350161</v>
      </c>
      <c r="B6704" s="3" t="s">
        <v>35125</v>
      </c>
      <c r="C6704" s="3" t="s">
        <v>31</v>
      </c>
      <c r="D6704" s="3" t="s">
        <v>175</v>
      </c>
      <c r="E6704" s="4" t="s">
        <v>22</v>
      </c>
      <c r="F6704" s="4" t="s">
        <v>35126</v>
      </c>
      <c r="G6704" s="4" t="s">
        <v>35127</v>
      </c>
      <c r="H6704" s="3" t="s">
        <v>34363</v>
      </c>
      <c r="I6704" s="3" t="s">
        <v>35128</v>
      </c>
      <c r="J6704" s="3" t="s">
        <v>35129</v>
      </c>
      <c r="K6704" s="3" t="s">
        <v>35130</v>
      </c>
      <c r="L6704" s="3"/>
      <c r="M6704" s="4"/>
      <c r="N6704" s="3" t="s">
        <v>37</v>
      </c>
      <c r="O6704" s="3" t="s">
        <v>52</v>
      </c>
      <c r="P6704" s="5">
        <v>4</v>
      </c>
      <c r="Q6704" s="5">
        <v>45</v>
      </c>
      <c r="R6704" s="5">
        <v>3</v>
      </c>
      <c r="S6704" s="5">
        <v>43</v>
      </c>
    </row>
    <row r="6705" spans="1:19" ht="28" x14ac:dyDescent="0.15">
      <c r="A6705" s="2">
        <f>HYPERLINK("https://open-school.uspishnemisto.com.ua/school/350162/", 350162)</f>
        <v>350162</v>
      </c>
      <c r="B6705" s="3" t="s">
        <v>35131</v>
      </c>
      <c r="C6705" s="3" t="s">
        <v>31</v>
      </c>
      <c r="D6705" s="3" t="s">
        <v>32</v>
      </c>
      <c r="E6705" s="4" t="s">
        <v>22</v>
      </c>
      <c r="F6705" s="4" t="s">
        <v>35132</v>
      </c>
      <c r="G6705" s="4" t="s">
        <v>35133</v>
      </c>
      <c r="H6705" s="3" t="s">
        <v>34363</v>
      </c>
      <c r="I6705" s="3" t="s">
        <v>32150</v>
      </c>
      <c r="J6705" s="3" t="s">
        <v>3363</v>
      </c>
      <c r="K6705" s="3" t="s">
        <v>35134</v>
      </c>
      <c r="L6705" s="3"/>
      <c r="M6705" s="4"/>
      <c r="N6705" s="3" t="s">
        <v>37</v>
      </c>
      <c r="O6705" s="3" t="s">
        <v>52</v>
      </c>
      <c r="P6705" s="5">
        <v>0</v>
      </c>
      <c r="Q6705" s="5">
        <v>0</v>
      </c>
      <c r="R6705" s="5">
        <v>10</v>
      </c>
      <c r="S6705" s="5">
        <v>126</v>
      </c>
    </row>
    <row r="6706" spans="1:19" ht="28" x14ac:dyDescent="0.15">
      <c r="A6706" s="2">
        <f>HYPERLINK("https://open-school.uspishnemisto.com.ua/school/350163/", 350163)</f>
        <v>350163</v>
      </c>
      <c r="B6706" s="3" t="s">
        <v>35135</v>
      </c>
      <c r="C6706" s="3" t="s">
        <v>54</v>
      </c>
      <c r="D6706" s="3" t="s">
        <v>32</v>
      </c>
      <c r="E6706" s="4" t="s">
        <v>22</v>
      </c>
      <c r="F6706" s="4" t="s">
        <v>35132</v>
      </c>
      <c r="G6706" s="4" t="s">
        <v>35133</v>
      </c>
      <c r="H6706" s="3" t="s">
        <v>34363</v>
      </c>
      <c r="I6706" s="3" t="s">
        <v>32150</v>
      </c>
      <c r="J6706" s="3" t="s">
        <v>22146</v>
      </c>
      <c r="K6706" s="3" t="s">
        <v>35136</v>
      </c>
      <c r="L6706" s="3"/>
      <c r="M6706" s="4"/>
      <c r="N6706" s="3" t="s">
        <v>37</v>
      </c>
      <c r="O6706" s="3" t="s">
        <v>52</v>
      </c>
      <c r="P6706" s="5">
        <v>44</v>
      </c>
      <c r="Q6706" s="5">
        <v>585</v>
      </c>
      <c r="R6706" s="5">
        <v>21</v>
      </c>
      <c r="S6706" s="5">
        <v>419</v>
      </c>
    </row>
    <row r="6707" spans="1:19" ht="56" x14ac:dyDescent="0.15">
      <c r="A6707" s="2">
        <f>HYPERLINK("https://open-school.uspishnemisto.com.ua/school/350164/", 350164)</f>
        <v>350164</v>
      </c>
      <c r="B6707" s="3" t="s">
        <v>35137</v>
      </c>
      <c r="C6707" s="3" t="s">
        <v>31</v>
      </c>
      <c r="D6707" s="3" t="s">
        <v>32</v>
      </c>
      <c r="E6707" s="4" t="s">
        <v>22</v>
      </c>
      <c r="F6707" s="4" t="s">
        <v>35138</v>
      </c>
      <c r="G6707" s="4" t="s">
        <v>35133</v>
      </c>
      <c r="H6707" s="3" t="s">
        <v>34363</v>
      </c>
      <c r="I6707" s="3" t="s">
        <v>32150</v>
      </c>
      <c r="J6707" s="3" t="s">
        <v>35139</v>
      </c>
      <c r="K6707" s="3" t="s">
        <v>35140</v>
      </c>
      <c r="L6707" s="3"/>
      <c r="M6707" s="4"/>
      <c r="N6707" s="3" t="s">
        <v>37</v>
      </c>
      <c r="O6707" s="3" t="s">
        <v>52</v>
      </c>
      <c r="P6707" s="5">
        <v>0</v>
      </c>
      <c r="Q6707" s="5">
        <v>0</v>
      </c>
      <c r="R6707" s="5">
        <v>17</v>
      </c>
      <c r="S6707" s="5">
        <v>303</v>
      </c>
    </row>
    <row r="6708" spans="1:19" ht="56" x14ac:dyDescent="0.15">
      <c r="A6708" s="2">
        <f>HYPERLINK("https://open-school.uspishnemisto.com.ua/school/350165/", 350165)</f>
        <v>350165</v>
      </c>
      <c r="B6708" s="3" t="s">
        <v>35141</v>
      </c>
      <c r="C6708" s="3" t="s">
        <v>54</v>
      </c>
      <c r="D6708" s="3" t="s">
        <v>32</v>
      </c>
      <c r="E6708" s="4" t="s">
        <v>22</v>
      </c>
      <c r="F6708" s="4" t="s">
        <v>35132</v>
      </c>
      <c r="G6708" s="4" t="s">
        <v>35133</v>
      </c>
      <c r="H6708" s="3" t="s">
        <v>34363</v>
      </c>
      <c r="I6708" s="3" t="s">
        <v>32150</v>
      </c>
      <c r="J6708" s="3" t="s">
        <v>35142</v>
      </c>
      <c r="K6708" s="3" t="s">
        <v>35143</v>
      </c>
      <c r="L6708" s="3"/>
      <c r="M6708" s="4"/>
      <c r="N6708" s="3" t="s">
        <v>37</v>
      </c>
      <c r="O6708" s="3" t="s">
        <v>38</v>
      </c>
      <c r="P6708" s="5">
        <v>48</v>
      </c>
      <c r="Q6708" s="5">
        <v>904</v>
      </c>
      <c r="R6708" s="5">
        <v>23</v>
      </c>
      <c r="S6708" s="5">
        <v>474</v>
      </c>
    </row>
    <row r="6709" spans="1:19" ht="28" x14ac:dyDescent="0.15">
      <c r="A6709" s="2">
        <f>HYPERLINK("https://open-school.uspishnemisto.com.ua/school/350166/", 350166)</f>
        <v>350166</v>
      </c>
      <c r="B6709" s="3" t="s">
        <v>35144</v>
      </c>
      <c r="C6709" s="3" t="s">
        <v>54</v>
      </c>
      <c r="D6709" s="3" t="s">
        <v>32</v>
      </c>
      <c r="E6709" s="4" t="s">
        <v>22</v>
      </c>
      <c r="F6709" s="4" t="s">
        <v>35145</v>
      </c>
      <c r="G6709" s="4" t="s">
        <v>35146</v>
      </c>
      <c r="H6709" s="3" t="s">
        <v>34363</v>
      </c>
      <c r="I6709" s="3" t="s">
        <v>29935</v>
      </c>
      <c r="J6709" s="3" t="s">
        <v>35147</v>
      </c>
      <c r="K6709" s="3" t="s">
        <v>35148</v>
      </c>
      <c r="L6709" s="3"/>
      <c r="M6709" s="4" t="s">
        <v>35149</v>
      </c>
      <c r="N6709" s="3" t="s">
        <v>37</v>
      </c>
      <c r="O6709" s="3" t="s">
        <v>52</v>
      </c>
      <c r="P6709" s="5">
        <v>0</v>
      </c>
      <c r="Q6709" s="5">
        <v>0</v>
      </c>
      <c r="R6709" s="5">
        <v>11</v>
      </c>
      <c r="S6709" s="5">
        <v>167</v>
      </c>
    </row>
    <row r="6710" spans="1:19" ht="42" x14ac:dyDescent="0.15">
      <c r="A6710" s="2">
        <f>HYPERLINK("https://open-school.uspishnemisto.com.ua/school/350167/", 350167)</f>
        <v>350167</v>
      </c>
      <c r="B6710" s="3" t="s">
        <v>35150</v>
      </c>
      <c r="C6710" s="3" t="s">
        <v>54</v>
      </c>
      <c r="D6710" s="3" t="s">
        <v>32</v>
      </c>
      <c r="E6710" s="4" t="s">
        <v>22</v>
      </c>
      <c r="F6710" s="4" t="s">
        <v>35145</v>
      </c>
      <c r="G6710" s="4" t="s">
        <v>35146</v>
      </c>
      <c r="H6710" s="3" t="s">
        <v>34363</v>
      </c>
      <c r="I6710" s="3" t="s">
        <v>29935</v>
      </c>
      <c r="J6710" s="3" t="s">
        <v>35151</v>
      </c>
      <c r="K6710" s="3" t="s">
        <v>35152</v>
      </c>
      <c r="L6710" s="3"/>
      <c r="M6710" s="4"/>
      <c r="N6710" s="3" t="s">
        <v>37</v>
      </c>
      <c r="O6710" s="3" t="s">
        <v>70</v>
      </c>
      <c r="P6710" s="5">
        <v>40</v>
      </c>
      <c r="Q6710" s="5">
        <v>548</v>
      </c>
      <c r="R6710" s="5">
        <v>17</v>
      </c>
      <c r="S6710" s="5">
        <v>290</v>
      </c>
    </row>
    <row r="6711" spans="1:19" ht="42" x14ac:dyDescent="0.15">
      <c r="A6711" s="2">
        <f>HYPERLINK("https://open-school.uspishnemisto.com.ua/school/350168/", 350168)</f>
        <v>350168</v>
      </c>
      <c r="B6711" s="3" t="s">
        <v>35153</v>
      </c>
      <c r="C6711" s="3" t="s">
        <v>31</v>
      </c>
      <c r="D6711" s="3" t="s">
        <v>32</v>
      </c>
      <c r="E6711" s="4" t="s">
        <v>22</v>
      </c>
      <c r="F6711" s="4" t="s">
        <v>35154</v>
      </c>
      <c r="G6711" s="4" t="s">
        <v>35155</v>
      </c>
      <c r="H6711" s="3" t="s">
        <v>34363</v>
      </c>
      <c r="I6711" s="3" t="s">
        <v>35156</v>
      </c>
      <c r="J6711" s="3" t="s">
        <v>11664</v>
      </c>
      <c r="K6711" s="3" t="s">
        <v>35157</v>
      </c>
      <c r="L6711" s="3"/>
      <c r="M6711" s="4"/>
      <c r="N6711" s="3" t="s">
        <v>37</v>
      </c>
      <c r="O6711" s="3" t="s">
        <v>52</v>
      </c>
      <c r="P6711" s="5">
        <v>0</v>
      </c>
      <c r="Q6711" s="5">
        <v>0</v>
      </c>
      <c r="R6711" s="5">
        <v>10</v>
      </c>
      <c r="S6711" s="5">
        <v>98</v>
      </c>
    </row>
    <row r="6712" spans="1:19" ht="28" x14ac:dyDescent="0.15">
      <c r="A6712" s="2">
        <f>HYPERLINK("https://open-school.uspishnemisto.com.ua/school/350169/", 350169)</f>
        <v>350169</v>
      </c>
      <c r="B6712" s="3" t="s">
        <v>35158</v>
      </c>
      <c r="C6712" s="3" t="s">
        <v>31</v>
      </c>
      <c r="D6712" s="3" t="s">
        <v>32</v>
      </c>
      <c r="E6712" s="4" t="s">
        <v>22</v>
      </c>
      <c r="F6712" s="4" t="s">
        <v>35159</v>
      </c>
      <c r="G6712" s="4" t="s">
        <v>35160</v>
      </c>
      <c r="H6712" s="3" t="s">
        <v>34363</v>
      </c>
      <c r="I6712" s="3" t="s">
        <v>35161</v>
      </c>
      <c r="J6712" s="3" t="s">
        <v>16715</v>
      </c>
      <c r="K6712" s="3" t="s">
        <v>35162</v>
      </c>
      <c r="L6712" s="3"/>
      <c r="M6712" s="4"/>
      <c r="N6712" s="3" t="s">
        <v>37</v>
      </c>
      <c r="O6712" s="3" t="s">
        <v>52</v>
      </c>
      <c r="P6712" s="5">
        <v>11</v>
      </c>
      <c r="Q6712" s="5">
        <v>131</v>
      </c>
      <c r="R6712" s="5">
        <v>10</v>
      </c>
      <c r="S6712" s="5">
        <v>112</v>
      </c>
    </row>
    <row r="6713" spans="1:19" ht="56" x14ac:dyDescent="0.15">
      <c r="A6713" s="2">
        <f>HYPERLINK("https://open-school.uspishnemisto.com.ua/school/350170/", 350170)</f>
        <v>350170</v>
      </c>
      <c r="B6713" s="3" t="s">
        <v>35163</v>
      </c>
      <c r="C6713" s="3" t="s">
        <v>54</v>
      </c>
      <c r="D6713" s="3" t="s">
        <v>175</v>
      </c>
      <c r="E6713" s="4" t="s">
        <v>22</v>
      </c>
      <c r="F6713" s="4" t="s">
        <v>35164</v>
      </c>
      <c r="G6713" s="4" t="s">
        <v>35165</v>
      </c>
      <c r="H6713" s="3" t="s">
        <v>34363</v>
      </c>
      <c r="I6713" s="3" t="s">
        <v>35166</v>
      </c>
      <c r="J6713" s="3" t="s">
        <v>35167</v>
      </c>
      <c r="K6713" s="3" t="s">
        <v>35168</v>
      </c>
      <c r="L6713" s="3"/>
      <c r="M6713" s="4"/>
      <c r="N6713" s="3" t="s">
        <v>37</v>
      </c>
      <c r="O6713" s="3" t="s">
        <v>52</v>
      </c>
      <c r="P6713" s="5">
        <v>2</v>
      </c>
      <c r="Q6713" s="5">
        <v>20</v>
      </c>
      <c r="R6713" s="5">
        <v>3</v>
      </c>
      <c r="S6713" s="5">
        <v>26</v>
      </c>
    </row>
    <row r="6714" spans="1:19" ht="56" x14ac:dyDescent="0.15">
      <c r="A6714" s="2">
        <f>HYPERLINK("https://open-school.uspishnemisto.com.ua/school/350171/", 350171)</f>
        <v>350171</v>
      </c>
      <c r="B6714" s="3" t="s">
        <v>35169</v>
      </c>
      <c r="C6714" s="3" t="s">
        <v>31</v>
      </c>
      <c r="D6714" s="3" t="s">
        <v>32</v>
      </c>
      <c r="E6714" s="4" t="s">
        <v>22</v>
      </c>
      <c r="F6714" s="4" t="s">
        <v>35170</v>
      </c>
      <c r="G6714" s="4" t="s">
        <v>35171</v>
      </c>
      <c r="H6714" s="3" t="s">
        <v>34363</v>
      </c>
      <c r="I6714" s="3" t="s">
        <v>35172</v>
      </c>
      <c r="J6714" s="3" t="s">
        <v>4425</v>
      </c>
      <c r="K6714" s="3" t="s">
        <v>35173</v>
      </c>
      <c r="L6714" s="3"/>
      <c r="M6714" s="4"/>
      <c r="N6714" s="3" t="s">
        <v>37</v>
      </c>
      <c r="O6714" s="3" t="s">
        <v>52</v>
      </c>
      <c r="P6714" s="5">
        <v>0</v>
      </c>
      <c r="Q6714" s="5">
        <v>0</v>
      </c>
      <c r="R6714" s="5">
        <v>11</v>
      </c>
      <c r="S6714" s="5">
        <v>70</v>
      </c>
    </row>
    <row r="6715" spans="1:19" ht="28" x14ac:dyDescent="0.15">
      <c r="A6715" s="2">
        <f>HYPERLINK("https://open-school.uspishnemisto.com.ua/school/350172/", 350172)</f>
        <v>350172</v>
      </c>
      <c r="B6715" s="3" t="s">
        <v>35174</v>
      </c>
      <c r="C6715" s="3" t="s">
        <v>31</v>
      </c>
      <c r="D6715" s="3" t="s">
        <v>32</v>
      </c>
      <c r="E6715" s="4" t="s">
        <v>22</v>
      </c>
      <c r="F6715" s="4" t="s">
        <v>35175</v>
      </c>
      <c r="G6715" s="4" t="s">
        <v>35176</v>
      </c>
      <c r="H6715" s="3" t="s">
        <v>34363</v>
      </c>
      <c r="I6715" s="3" t="s">
        <v>35177</v>
      </c>
      <c r="J6715" s="3" t="s">
        <v>2719</v>
      </c>
      <c r="K6715" s="3" t="s">
        <v>35178</v>
      </c>
      <c r="L6715" s="3" t="s">
        <v>35179</v>
      </c>
      <c r="M6715" s="4"/>
      <c r="N6715" s="3" t="s">
        <v>37</v>
      </c>
      <c r="O6715" s="3" t="s">
        <v>52</v>
      </c>
      <c r="P6715" s="5">
        <v>9</v>
      </c>
      <c r="Q6715" s="5">
        <v>58</v>
      </c>
      <c r="R6715" s="5">
        <v>9</v>
      </c>
      <c r="S6715" s="5">
        <v>57</v>
      </c>
    </row>
    <row r="6716" spans="1:19" ht="28" x14ac:dyDescent="0.15">
      <c r="A6716" s="2">
        <f>HYPERLINK("https://open-school.uspishnemisto.com.ua/school/350173/", 350173)</f>
        <v>350173</v>
      </c>
      <c r="B6716" s="3" t="s">
        <v>35180</v>
      </c>
      <c r="C6716" s="3" t="s">
        <v>54</v>
      </c>
      <c r="D6716" s="3" t="s">
        <v>175</v>
      </c>
      <c r="E6716" s="4" t="s">
        <v>22</v>
      </c>
      <c r="F6716" s="4" t="s">
        <v>35181</v>
      </c>
      <c r="G6716" s="4" t="s">
        <v>35182</v>
      </c>
      <c r="H6716" s="3" t="s">
        <v>34363</v>
      </c>
      <c r="I6716" s="3" t="s">
        <v>12001</v>
      </c>
      <c r="J6716" s="3" t="s">
        <v>35183</v>
      </c>
      <c r="K6716" s="3" t="s">
        <v>35184</v>
      </c>
      <c r="L6716" s="3"/>
      <c r="M6716" s="4"/>
      <c r="N6716" s="3" t="s">
        <v>37</v>
      </c>
      <c r="O6716" s="3" t="s">
        <v>52</v>
      </c>
      <c r="P6716" s="5">
        <v>0</v>
      </c>
      <c r="Q6716" s="5">
        <v>0</v>
      </c>
      <c r="R6716" s="5">
        <v>9</v>
      </c>
      <c r="S6716" s="5">
        <v>45</v>
      </c>
    </row>
    <row r="6717" spans="1:19" ht="28" x14ac:dyDescent="0.15">
      <c r="A6717" s="2">
        <f>HYPERLINK("https://open-school.uspishnemisto.com.ua/school/350174/", 350174)</f>
        <v>350174</v>
      </c>
      <c r="B6717" s="3" t="s">
        <v>35185</v>
      </c>
      <c r="C6717" s="3" t="s">
        <v>31</v>
      </c>
      <c r="D6717" s="3" t="s">
        <v>32</v>
      </c>
      <c r="E6717" s="4" t="s">
        <v>22</v>
      </c>
      <c r="F6717" s="4" t="s">
        <v>35186</v>
      </c>
      <c r="G6717" s="4" t="s">
        <v>35187</v>
      </c>
      <c r="H6717" s="3" t="s">
        <v>34363</v>
      </c>
      <c r="I6717" s="3" t="s">
        <v>35188</v>
      </c>
      <c r="J6717" s="3" t="s">
        <v>35189</v>
      </c>
      <c r="K6717" s="3" t="s">
        <v>35190</v>
      </c>
      <c r="L6717" s="3"/>
      <c r="M6717" s="4"/>
      <c r="N6717" s="3" t="s">
        <v>37</v>
      </c>
      <c r="O6717" s="3" t="s">
        <v>52</v>
      </c>
      <c r="P6717" s="5">
        <v>11</v>
      </c>
      <c r="Q6717" s="5">
        <v>140</v>
      </c>
      <c r="R6717" s="5">
        <v>11</v>
      </c>
      <c r="S6717" s="5">
        <v>141</v>
      </c>
    </row>
    <row r="6718" spans="1:19" ht="56" x14ac:dyDescent="0.15">
      <c r="A6718" s="2">
        <f>HYPERLINK("https://open-school.uspishnemisto.com.ua/school/350175/", 350175)</f>
        <v>350175</v>
      </c>
      <c r="B6718" s="3" t="s">
        <v>35191</v>
      </c>
      <c r="C6718" s="3" t="s">
        <v>54</v>
      </c>
      <c r="D6718" s="3" t="s">
        <v>175</v>
      </c>
      <c r="E6718" s="4" t="s">
        <v>22</v>
      </c>
      <c r="F6718" s="4" t="s">
        <v>4817</v>
      </c>
      <c r="G6718" s="4" t="s">
        <v>35192</v>
      </c>
      <c r="H6718" s="3" t="s">
        <v>34363</v>
      </c>
      <c r="I6718" s="3" t="s">
        <v>35193</v>
      </c>
      <c r="J6718" s="3" t="s">
        <v>14377</v>
      </c>
      <c r="K6718" s="3" t="s">
        <v>35194</v>
      </c>
      <c r="L6718" s="3"/>
      <c r="M6718" s="4"/>
      <c r="N6718" s="3" t="s">
        <v>37</v>
      </c>
      <c r="O6718" s="3" t="s">
        <v>52</v>
      </c>
      <c r="P6718" s="5">
        <v>8</v>
      </c>
      <c r="Q6718" s="5">
        <v>45</v>
      </c>
      <c r="R6718" s="5">
        <v>8</v>
      </c>
      <c r="S6718" s="5">
        <v>50</v>
      </c>
    </row>
    <row r="6719" spans="1:19" ht="28" x14ac:dyDescent="0.15">
      <c r="A6719" s="2">
        <f>HYPERLINK("https://open-school.uspishnemisto.com.ua/school/350176/", 350176)</f>
        <v>350176</v>
      </c>
      <c r="B6719" s="3" t="s">
        <v>35195</v>
      </c>
      <c r="C6719" s="3" t="s">
        <v>31</v>
      </c>
      <c r="D6719" s="3" t="s">
        <v>32</v>
      </c>
      <c r="E6719" s="4" t="s">
        <v>22</v>
      </c>
      <c r="F6719" s="4" t="s">
        <v>35196</v>
      </c>
      <c r="G6719" s="4" t="s">
        <v>35197</v>
      </c>
      <c r="H6719" s="3" t="s">
        <v>34363</v>
      </c>
      <c r="I6719" s="3" t="s">
        <v>35198</v>
      </c>
      <c r="J6719" s="3" t="s">
        <v>634</v>
      </c>
      <c r="K6719" s="3" t="s">
        <v>35199</v>
      </c>
      <c r="L6719" s="3"/>
      <c r="M6719" s="4"/>
      <c r="N6719" s="3" t="s">
        <v>37</v>
      </c>
      <c r="O6719" s="3" t="s">
        <v>52</v>
      </c>
      <c r="P6719" s="5">
        <v>8</v>
      </c>
      <c r="Q6719" s="5">
        <v>54</v>
      </c>
      <c r="R6719" s="5">
        <v>8</v>
      </c>
      <c r="S6719" s="5">
        <v>58</v>
      </c>
    </row>
    <row r="6720" spans="1:19" ht="28" x14ac:dyDescent="0.15">
      <c r="A6720" s="2">
        <f>HYPERLINK("https://open-school.uspishnemisto.com.ua/school/350177/", 350177)</f>
        <v>350177</v>
      </c>
      <c r="B6720" s="3" t="s">
        <v>35200</v>
      </c>
      <c r="C6720" s="3" t="s">
        <v>31</v>
      </c>
      <c r="D6720" s="3" t="s">
        <v>32</v>
      </c>
      <c r="E6720" s="4" t="s">
        <v>22</v>
      </c>
      <c r="F6720" s="4" t="s">
        <v>35201</v>
      </c>
      <c r="G6720" s="4" t="s">
        <v>35202</v>
      </c>
      <c r="H6720" s="3" t="s">
        <v>34363</v>
      </c>
      <c r="I6720" s="3" t="s">
        <v>35203</v>
      </c>
      <c r="J6720" s="3" t="s">
        <v>726</v>
      </c>
      <c r="K6720" s="3" t="s">
        <v>35204</v>
      </c>
      <c r="L6720" s="3"/>
      <c r="M6720" s="4"/>
      <c r="N6720" s="3" t="s">
        <v>37</v>
      </c>
      <c r="O6720" s="3" t="s">
        <v>52</v>
      </c>
      <c r="P6720" s="5">
        <v>11</v>
      </c>
      <c r="Q6720" s="5">
        <v>128</v>
      </c>
      <c r="R6720" s="5">
        <v>11</v>
      </c>
      <c r="S6720" s="5">
        <v>131</v>
      </c>
    </row>
    <row r="6721" spans="1:19" ht="28" x14ac:dyDescent="0.15">
      <c r="A6721" s="2">
        <f>HYPERLINK("https://open-school.uspishnemisto.com.ua/school/350178/", 350178)</f>
        <v>350178</v>
      </c>
      <c r="B6721" s="3" t="s">
        <v>35205</v>
      </c>
      <c r="C6721" s="3" t="s">
        <v>31</v>
      </c>
      <c r="D6721" s="3" t="s">
        <v>175</v>
      </c>
      <c r="E6721" s="4" t="s">
        <v>22</v>
      </c>
      <c r="F6721" s="4" t="s">
        <v>35206</v>
      </c>
      <c r="G6721" s="4" t="s">
        <v>35207</v>
      </c>
      <c r="H6721" s="3" t="s">
        <v>34363</v>
      </c>
      <c r="I6721" s="3" t="s">
        <v>35208</v>
      </c>
      <c r="J6721" s="3" t="s">
        <v>466</v>
      </c>
      <c r="K6721" s="3" t="s">
        <v>35209</v>
      </c>
      <c r="L6721" s="3"/>
      <c r="M6721" s="4"/>
      <c r="N6721" s="3" t="s">
        <v>37</v>
      </c>
      <c r="O6721" s="3" t="s">
        <v>52</v>
      </c>
      <c r="P6721" s="5">
        <v>0</v>
      </c>
      <c r="Q6721" s="5">
        <v>0</v>
      </c>
      <c r="R6721" s="5">
        <v>5</v>
      </c>
      <c r="S6721" s="5">
        <v>31</v>
      </c>
    </row>
    <row r="6722" spans="1:19" ht="28" x14ac:dyDescent="0.15">
      <c r="A6722" s="2">
        <f>HYPERLINK("https://open-school.uspishnemisto.com.ua/school/350179/", 350179)</f>
        <v>350179</v>
      </c>
      <c r="B6722" s="3" t="s">
        <v>35210</v>
      </c>
      <c r="C6722" s="3" t="s">
        <v>31</v>
      </c>
      <c r="D6722" s="3" t="s">
        <v>32</v>
      </c>
      <c r="E6722" s="4" t="s">
        <v>22</v>
      </c>
      <c r="F6722" s="4" t="s">
        <v>35138</v>
      </c>
      <c r="G6722" s="4" t="s">
        <v>35211</v>
      </c>
      <c r="H6722" s="3" t="s">
        <v>34363</v>
      </c>
      <c r="I6722" s="3" t="s">
        <v>35212</v>
      </c>
      <c r="J6722" s="3" t="s">
        <v>2745</v>
      </c>
      <c r="K6722" s="3" t="s">
        <v>35213</v>
      </c>
      <c r="L6722" s="3"/>
      <c r="M6722" s="4"/>
      <c r="N6722" s="3" t="s">
        <v>37</v>
      </c>
      <c r="O6722" s="3" t="s">
        <v>52</v>
      </c>
      <c r="P6722" s="5">
        <v>11</v>
      </c>
      <c r="Q6722" s="5">
        <v>135</v>
      </c>
      <c r="R6722" s="5">
        <v>11</v>
      </c>
      <c r="S6722" s="5">
        <v>134</v>
      </c>
    </row>
    <row r="6723" spans="1:19" ht="56" x14ac:dyDescent="0.15">
      <c r="A6723" s="2">
        <f>HYPERLINK("https://open-school.uspishnemisto.com.ua/school/350180/", 350180)</f>
        <v>350180</v>
      </c>
      <c r="B6723" s="3" t="s">
        <v>35214</v>
      </c>
      <c r="C6723" s="3" t="s">
        <v>54</v>
      </c>
      <c r="D6723" s="3" t="s">
        <v>175</v>
      </c>
      <c r="E6723" s="4" t="s">
        <v>22</v>
      </c>
      <c r="F6723" s="4" t="s">
        <v>35215</v>
      </c>
      <c r="G6723" s="4" t="s">
        <v>35216</v>
      </c>
      <c r="H6723" s="3" t="s">
        <v>34363</v>
      </c>
      <c r="I6723" s="3" t="s">
        <v>35217</v>
      </c>
      <c r="J6723" s="3" t="s">
        <v>2446</v>
      </c>
      <c r="K6723" s="3" t="s">
        <v>35218</v>
      </c>
      <c r="L6723" s="3"/>
      <c r="M6723" s="4"/>
      <c r="N6723" s="3" t="s">
        <v>37</v>
      </c>
      <c r="O6723" s="3" t="s">
        <v>52</v>
      </c>
      <c r="P6723" s="5">
        <v>3</v>
      </c>
      <c r="Q6723" s="5">
        <v>21</v>
      </c>
      <c r="R6723" s="5">
        <v>5</v>
      </c>
      <c r="S6723" s="5">
        <v>31</v>
      </c>
    </row>
    <row r="6724" spans="1:19" ht="28" x14ac:dyDescent="0.15">
      <c r="A6724" s="2">
        <f>HYPERLINK("https://open-school.uspishnemisto.com.ua/school/350181/", 350181)</f>
        <v>350181</v>
      </c>
      <c r="B6724" s="3" t="s">
        <v>35219</v>
      </c>
      <c r="C6724" s="3" t="s">
        <v>31</v>
      </c>
      <c r="D6724" s="3" t="s">
        <v>32</v>
      </c>
      <c r="E6724" s="4" t="s">
        <v>22</v>
      </c>
      <c r="F6724" s="4" t="s">
        <v>35220</v>
      </c>
      <c r="G6724" s="4" t="s">
        <v>35221</v>
      </c>
      <c r="H6724" s="3" t="s">
        <v>34363</v>
      </c>
      <c r="I6724" s="3" t="s">
        <v>35222</v>
      </c>
      <c r="J6724" s="3" t="s">
        <v>35223</v>
      </c>
      <c r="K6724" s="3" t="s">
        <v>35224</v>
      </c>
      <c r="L6724" s="3" t="s">
        <v>35225</v>
      </c>
      <c r="M6724" s="4"/>
      <c r="N6724" s="3" t="s">
        <v>37</v>
      </c>
      <c r="O6724" s="3" t="s">
        <v>52</v>
      </c>
      <c r="P6724" s="5">
        <v>12</v>
      </c>
      <c r="Q6724" s="5">
        <v>183</v>
      </c>
      <c r="R6724" s="5">
        <v>12</v>
      </c>
      <c r="S6724" s="5">
        <v>184</v>
      </c>
    </row>
    <row r="6725" spans="1:19" ht="28" x14ac:dyDescent="0.15">
      <c r="A6725" s="2">
        <f>HYPERLINK("https://open-school.uspishnemisto.com.ua/school/350182/", 350182)</f>
        <v>350182</v>
      </c>
      <c r="B6725" s="3" t="s">
        <v>35226</v>
      </c>
      <c r="C6725" s="3" t="s">
        <v>31</v>
      </c>
      <c r="D6725" s="3" t="s">
        <v>32</v>
      </c>
      <c r="E6725" s="4" t="s">
        <v>22</v>
      </c>
      <c r="F6725" s="4" t="s">
        <v>35227</v>
      </c>
      <c r="G6725" s="4" t="s">
        <v>35228</v>
      </c>
      <c r="H6725" s="3" t="s">
        <v>34363</v>
      </c>
      <c r="I6725" s="3" t="s">
        <v>35229</v>
      </c>
      <c r="J6725" s="3" t="s">
        <v>297</v>
      </c>
      <c r="K6725" s="3" t="s">
        <v>35230</v>
      </c>
      <c r="L6725" s="3"/>
      <c r="M6725" s="4"/>
      <c r="N6725" s="3" t="s">
        <v>37</v>
      </c>
      <c r="O6725" s="3" t="s">
        <v>52</v>
      </c>
      <c r="P6725" s="5">
        <v>10</v>
      </c>
      <c r="Q6725" s="5">
        <v>120</v>
      </c>
      <c r="R6725" s="5">
        <v>11</v>
      </c>
      <c r="S6725" s="5">
        <v>112</v>
      </c>
    </row>
    <row r="6726" spans="1:19" ht="28" x14ac:dyDescent="0.15">
      <c r="A6726" s="2">
        <f>HYPERLINK("https://open-school.uspishnemisto.com.ua/school/350183/", 350183)</f>
        <v>350183</v>
      </c>
      <c r="B6726" s="3" t="s">
        <v>35231</v>
      </c>
      <c r="C6726" s="3" t="s">
        <v>31</v>
      </c>
      <c r="D6726" s="3" t="s">
        <v>32</v>
      </c>
      <c r="E6726" s="4" t="s">
        <v>22</v>
      </c>
      <c r="F6726" s="4" t="s">
        <v>35232</v>
      </c>
      <c r="G6726" s="4" t="s">
        <v>35233</v>
      </c>
      <c r="H6726" s="3" t="s">
        <v>34363</v>
      </c>
      <c r="I6726" s="3" t="s">
        <v>11464</v>
      </c>
      <c r="J6726" s="3" t="s">
        <v>2820</v>
      </c>
      <c r="K6726" s="3" t="s">
        <v>35234</v>
      </c>
      <c r="L6726" s="3" t="s">
        <v>35235</v>
      </c>
      <c r="M6726" s="4"/>
      <c r="N6726" s="3" t="s">
        <v>37</v>
      </c>
      <c r="O6726" s="3" t="s">
        <v>52</v>
      </c>
      <c r="P6726" s="5">
        <v>9</v>
      </c>
      <c r="Q6726" s="5">
        <v>80</v>
      </c>
      <c r="R6726" s="5">
        <v>10</v>
      </c>
      <c r="S6726" s="5">
        <v>85</v>
      </c>
    </row>
    <row r="6727" spans="1:19" ht="56" x14ac:dyDescent="0.15">
      <c r="A6727" s="2">
        <f>HYPERLINK("https://open-school.uspishnemisto.com.ua/school/350184/", 350184)</f>
        <v>350184</v>
      </c>
      <c r="B6727" s="3" t="s">
        <v>35236</v>
      </c>
      <c r="C6727" s="3" t="s">
        <v>54</v>
      </c>
      <c r="D6727" s="3" t="s">
        <v>32</v>
      </c>
      <c r="E6727" s="4" t="s">
        <v>22</v>
      </c>
      <c r="F6727" s="4" t="s">
        <v>35237</v>
      </c>
      <c r="G6727" s="4" t="s">
        <v>35238</v>
      </c>
      <c r="H6727" s="3" t="s">
        <v>34363</v>
      </c>
      <c r="I6727" s="3" t="s">
        <v>35239</v>
      </c>
      <c r="J6727" s="3" t="s">
        <v>18354</v>
      </c>
      <c r="K6727" s="3" t="s">
        <v>35240</v>
      </c>
      <c r="L6727" s="3"/>
      <c r="M6727" s="4"/>
      <c r="N6727" s="3" t="s">
        <v>37</v>
      </c>
      <c r="O6727" s="3" t="s">
        <v>46</v>
      </c>
      <c r="P6727" s="5">
        <v>105</v>
      </c>
      <c r="Q6727" s="5">
        <v>1333</v>
      </c>
      <c r="R6727" s="5">
        <v>121</v>
      </c>
      <c r="S6727" s="5">
        <v>1306</v>
      </c>
    </row>
    <row r="6728" spans="1:19" ht="56" x14ac:dyDescent="0.15">
      <c r="A6728" s="2">
        <f>HYPERLINK("https://open-school.uspishnemisto.com.ua/school/350185/", 350185)</f>
        <v>350185</v>
      </c>
      <c r="B6728" s="3" t="s">
        <v>35241</v>
      </c>
      <c r="C6728" s="3" t="s">
        <v>31</v>
      </c>
      <c r="D6728" s="3" t="s">
        <v>32</v>
      </c>
      <c r="E6728" s="4" t="s">
        <v>22</v>
      </c>
      <c r="F6728" s="4" t="s">
        <v>35242</v>
      </c>
      <c r="G6728" s="4" t="s">
        <v>35243</v>
      </c>
      <c r="H6728" s="3" t="s">
        <v>34363</v>
      </c>
      <c r="I6728" s="3" t="s">
        <v>35239</v>
      </c>
      <c r="J6728" s="3" t="s">
        <v>35244</v>
      </c>
      <c r="K6728" s="3" t="s">
        <v>35245</v>
      </c>
      <c r="L6728" s="3"/>
      <c r="M6728" s="4"/>
      <c r="N6728" s="3"/>
      <c r="O6728" s="3"/>
      <c r="P6728" s="5">
        <v>0</v>
      </c>
      <c r="Q6728" s="5">
        <v>0</v>
      </c>
      <c r="R6728" s="5"/>
      <c r="S6728" s="5"/>
    </row>
    <row r="6729" spans="1:19" ht="28" x14ac:dyDescent="0.15">
      <c r="A6729" s="2">
        <f>HYPERLINK("https://open-school.uspishnemisto.com.ua/school/350186/", 350186)</f>
        <v>350186</v>
      </c>
      <c r="B6729" s="3" t="s">
        <v>35246</v>
      </c>
      <c r="C6729" s="3" t="s">
        <v>31</v>
      </c>
      <c r="D6729" s="3" t="s">
        <v>32</v>
      </c>
      <c r="E6729" s="4" t="s">
        <v>22</v>
      </c>
      <c r="F6729" s="4" t="s">
        <v>35247</v>
      </c>
      <c r="G6729" s="4" t="s">
        <v>35248</v>
      </c>
      <c r="H6729" s="3" t="s">
        <v>34363</v>
      </c>
      <c r="I6729" s="3" t="s">
        <v>35249</v>
      </c>
      <c r="J6729" s="3" t="s">
        <v>1360</v>
      </c>
      <c r="K6729" s="3" t="s">
        <v>35250</v>
      </c>
      <c r="L6729" s="3"/>
      <c r="M6729" s="4" t="s">
        <v>35251</v>
      </c>
      <c r="N6729" s="3" t="s">
        <v>37</v>
      </c>
      <c r="O6729" s="3" t="s">
        <v>38</v>
      </c>
      <c r="P6729" s="5">
        <v>61</v>
      </c>
      <c r="Q6729" s="5">
        <v>912</v>
      </c>
      <c r="R6729" s="5">
        <v>65</v>
      </c>
      <c r="S6729" s="5">
        <v>913</v>
      </c>
    </row>
    <row r="6730" spans="1:19" ht="56" x14ac:dyDescent="0.15">
      <c r="A6730" s="2">
        <f>HYPERLINK("https://open-school.uspishnemisto.com.ua/school/350187/", 350187)</f>
        <v>350187</v>
      </c>
      <c r="B6730" s="3" t="s">
        <v>35252</v>
      </c>
      <c r="C6730" s="3" t="s">
        <v>54</v>
      </c>
      <c r="D6730" s="3"/>
      <c r="E6730" s="4" t="s">
        <v>22</v>
      </c>
      <c r="F6730" s="4" t="s">
        <v>35253</v>
      </c>
      <c r="G6730" s="4" t="s">
        <v>35254</v>
      </c>
      <c r="H6730" s="3" t="s">
        <v>34363</v>
      </c>
      <c r="I6730" s="3" t="s">
        <v>26217</v>
      </c>
      <c r="J6730" s="3" t="s">
        <v>6800</v>
      </c>
      <c r="K6730" s="3" t="s">
        <v>35255</v>
      </c>
      <c r="L6730" s="3"/>
      <c r="M6730" s="4"/>
      <c r="N6730" s="3"/>
      <c r="O6730" s="3"/>
      <c r="P6730" s="5">
        <v>0</v>
      </c>
      <c r="Q6730" s="5">
        <v>0</v>
      </c>
      <c r="R6730" s="5"/>
      <c r="S6730" s="5"/>
    </row>
    <row r="6731" spans="1:19" ht="42" x14ac:dyDescent="0.15">
      <c r="A6731" s="2">
        <f>HYPERLINK("https://open-school.uspishnemisto.com.ua/school/350188/", 350188)</f>
        <v>350188</v>
      </c>
      <c r="B6731" s="3" t="s">
        <v>35256</v>
      </c>
      <c r="C6731" s="3" t="s">
        <v>31</v>
      </c>
      <c r="D6731" s="3" t="s">
        <v>32</v>
      </c>
      <c r="E6731" s="4" t="s">
        <v>22</v>
      </c>
      <c r="F6731" s="4" t="s">
        <v>35257</v>
      </c>
      <c r="G6731" s="4" t="s">
        <v>35258</v>
      </c>
      <c r="H6731" s="3" t="s">
        <v>34363</v>
      </c>
      <c r="I6731" s="3" t="s">
        <v>1109</v>
      </c>
      <c r="J6731" s="3" t="s">
        <v>1348</v>
      </c>
      <c r="K6731" s="3" t="s">
        <v>35259</v>
      </c>
      <c r="L6731" s="3"/>
      <c r="M6731" s="4"/>
      <c r="N6731" s="3"/>
      <c r="O6731" s="3"/>
      <c r="P6731" s="5">
        <v>0</v>
      </c>
      <c r="Q6731" s="5">
        <v>0</v>
      </c>
      <c r="R6731" s="5"/>
      <c r="S6731" s="5"/>
    </row>
    <row r="6732" spans="1:19" ht="56" x14ac:dyDescent="0.15">
      <c r="A6732" s="2">
        <f>HYPERLINK("https://open-school.uspishnemisto.com.ua/school/350189/", 350189)</f>
        <v>350189</v>
      </c>
      <c r="B6732" s="3" t="s">
        <v>35260</v>
      </c>
      <c r="C6732" s="3" t="s">
        <v>54</v>
      </c>
      <c r="D6732" s="3"/>
      <c r="E6732" s="4" t="s">
        <v>253</v>
      </c>
      <c r="F6732" s="4" t="s">
        <v>35261</v>
      </c>
      <c r="G6732" s="4" t="s">
        <v>35262</v>
      </c>
      <c r="H6732" s="3" t="s">
        <v>34363</v>
      </c>
      <c r="I6732" s="3" t="s">
        <v>35263</v>
      </c>
      <c r="J6732" s="3" t="s">
        <v>35264</v>
      </c>
      <c r="K6732" s="3" t="s">
        <v>35265</v>
      </c>
      <c r="L6732" s="3"/>
      <c r="M6732" s="4"/>
      <c r="N6732" s="3"/>
      <c r="O6732" s="3"/>
      <c r="P6732" s="5">
        <v>0</v>
      </c>
      <c r="Q6732" s="5">
        <v>0</v>
      </c>
      <c r="R6732" s="5"/>
      <c r="S6732" s="5"/>
    </row>
    <row r="6733" spans="1:19" ht="56" x14ac:dyDescent="0.15">
      <c r="A6733" s="2">
        <f>HYPERLINK("https://open-school.uspishnemisto.com.ua/school/350190/", 350190)</f>
        <v>350190</v>
      </c>
      <c r="B6733" s="3" t="s">
        <v>35266</v>
      </c>
      <c r="C6733" s="3" t="s">
        <v>54</v>
      </c>
      <c r="D6733" s="3"/>
      <c r="E6733" s="4" t="s">
        <v>253</v>
      </c>
      <c r="F6733" s="4" t="s">
        <v>35267</v>
      </c>
      <c r="G6733" s="4" t="s">
        <v>35268</v>
      </c>
      <c r="H6733" s="3" t="s">
        <v>34363</v>
      </c>
      <c r="I6733" s="3" t="s">
        <v>35263</v>
      </c>
      <c r="J6733" s="3" t="s">
        <v>466</v>
      </c>
      <c r="K6733" s="3" t="s">
        <v>35269</v>
      </c>
      <c r="L6733" s="3"/>
      <c r="M6733" s="4"/>
      <c r="N6733" s="3"/>
      <c r="O6733" s="3"/>
      <c r="P6733" s="5">
        <v>0</v>
      </c>
      <c r="Q6733" s="5">
        <v>0</v>
      </c>
      <c r="R6733" s="5"/>
      <c r="S6733" s="5"/>
    </row>
    <row r="6734" spans="1:19" ht="56" x14ac:dyDescent="0.15">
      <c r="A6734" s="2">
        <f>HYPERLINK("https://open-school.uspishnemisto.com.ua/school/350191/", 350191)</f>
        <v>350191</v>
      </c>
      <c r="B6734" s="3" t="s">
        <v>35270</v>
      </c>
      <c r="C6734" s="3" t="s">
        <v>54</v>
      </c>
      <c r="D6734" s="3" t="s">
        <v>175</v>
      </c>
      <c r="E6734" s="4" t="s">
        <v>22</v>
      </c>
      <c r="F6734" s="4" t="s">
        <v>35271</v>
      </c>
      <c r="G6734" s="4" t="s">
        <v>35272</v>
      </c>
      <c r="H6734" s="3" t="s">
        <v>34363</v>
      </c>
      <c r="I6734" s="3" t="s">
        <v>35273</v>
      </c>
      <c r="J6734" s="3" t="s">
        <v>35274</v>
      </c>
      <c r="K6734" s="3" t="s">
        <v>35275</v>
      </c>
      <c r="L6734" s="3"/>
      <c r="M6734" s="4" t="s">
        <v>35276</v>
      </c>
      <c r="N6734" s="3"/>
      <c r="O6734" s="3"/>
      <c r="P6734" s="5">
        <v>0</v>
      </c>
      <c r="Q6734" s="5">
        <v>0</v>
      </c>
      <c r="R6734" s="5"/>
      <c r="S6734" s="5"/>
    </row>
    <row r="6735" spans="1:19" ht="42" x14ac:dyDescent="0.15">
      <c r="A6735" s="2">
        <f>HYPERLINK("https://open-school.uspishnemisto.com.ua/school/350192/", 350192)</f>
        <v>350192</v>
      </c>
      <c r="B6735" s="3" t="s">
        <v>35277</v>
      </c>
      <c r="C6735" s="3" t="s">
        <v>54</v>
      </c>
      <c r="D6735" s="3"/>
      <c r="E6735" s="4" t="s">
        <v>22</v>
      </c>
      <c r="F6735" s="4" t="s">
        <v>35278</v>
      </c>
      <c r="G6735" s="4" t="s">
        <v>35279</v>
      </c>
      <c r="H6735" s="3" t="s">
        <v>34363</v>
      </c>
      <c r="I6735" s="3" t="s">
        <v>35280</v>
      </c>
      <c r="J6735" s="3" t="s">
        <v>466</v>
      </c>
      <c r="K6735" s="3" t="s">
        <v>35281</v>
      </c>
      <c r="L6735" s="3"/>
      <c r="M6735" s="4"/>
      <c r="N6735" s="3"/>
      <c r="O6735" s="3"/>
      <c r="P6735" s="5">
        <v>0</v>
      </c>
      <c r="Q6735" s="5">
        <v>0</v>
      </c>
      <c r="R6735" s="5"/>
      <c r="S6735" s="5"/>
    </row>
    <row r="6736" spans="1:19" ht="42" x14ac:dyDescent="0.15">
      <c r="A6736" s="2">
        <f>HYPERLINK("https://open-school.uspishnemisto.com.ua/school/350193/", 350193)</f>
        <v>350193</v>
      </c>
      <c r="B6736" s="3" t="s">
        <v>35282</v>
      </c>
      <c r="C6736" s="3" t="s">
        <v>31</v>
      </c>
      <c r="D6736" s="3" t="s">
        <v>32</v>
      </c>
      <c r="E6736" s="4" t="s">
        <v>22</v>
      </c>
      <c r="F6736" s="4" t="s">
        <v>35283</v>
      </c>
      <c r="G6736" s="4" t="s">
        <v>35284</v>
      </c>
      <c r="H6736" s="3" t="s">
        <v>34363</v>
      </c>
      <c r="I6736" s="3" t="s">
        <v>15025</v>
      </c>
      <c r="J6736" s="3" t="s">
        <v>35285</v>
      </c>
      <c r="K6736" s="3" t="s">
        <v>35286</v>
      </c>
      <c r="L6736" s="3"/>
      <c r="M6736" s="4"/>
      <c r="N6736" s="3"/>
      <c r="O6736" s="3"/>
      <c r="P6736" s="5">
        <v>0</v>
      </c>
      <c r="Q6736" s="5">
        <v>0</v>
      </c>
      <c r="R6736" s="5"/>
      <c r="S6736" s="5"/>
    </row>
    <row r="6737" spans="1:19" ht="42" x14ac:dyDescent="0.15">
      <c r="A6737" s="2">
        <f>HYPERLINK("https://open-school.uspishnemisto.com.ua/school/350194/", 350194)</f>
        <v>350194</v>
      </c>
      <c r="B6737" s="3" t="s">
        <v>35287</v>
      </c>
      <c r="C6737" s="3" t="s">
        <v>31</v>
      </c>
      <c r="D6737" s="3" t="s">
        <v>175</v>
      </c>
      <c r="E6737" s="4" t="s">
        <v>22</v>
      </c>
      <c r="F6737" s="4" t="s">
        <v>35288</v>
      </c>
      <c r="G6737" s="4" t="s">
        <v>35289</v>
      </c>
      <c r="H6737" s="3" t="s">
        <v>34363</v>
      </c>
      <c r="I6737" s="3" t="s">
        <v>19327</v>
      </c>
      <c r="J6737" s="3" t="s">
        <v>3173</v>
      </c>
      <c r="K6737" s="3" t="s">
        <v>35290</v>
      </c>
      <c r="L6737" s="3"/>
      <c r="M6737" s="4"/>
      <c r="N6737" s="3"/>
      <c r="O6737" s="3"/>
      <c r="P6737" s="5">
        <v>0</v>
      </c>
      <c r="Q6737" s="5">
        <v>0</v>
      </c>
      <c r="R6737" s="5"/>
      <c r="S6737" s="5"/>
    </row>
    <row r="6738" spans="1:19" ht="56" x14ac:dyDescent="0.15">
      <c r="A6738" s="2">
        <f>HYPERLINK("https://open-school.uspishnemisto.com.ua/school/350195/", 350195)</f>
        <v>350195</v>
      </c>
      <c r="B6738" s="3" t="s">
        <v>35291</v>
      </c>
      <c r="C6738" s="3" t="s">
        <v>31</v>
      </c>
      <c r="D6738" s="3" t="s">
        <v>175</v>
      </c>
      <c r="E6738" s="4" t="s">
        <v>22</v>
      </c>
      <c r="F6738" s="4" t="s">
        <v>35292</v>
      </c>
      <c r="G6738" s="4" t="s">
        <v>35293</v>
      </c>
      <c r="H6738" s="3" t="s">
        <v>34363</v>
      </c>
      <c r="I6738" s="3" t="s">
        <v>35294</v>
      </c>
      <c r="J6738" s="3" t="s">
        <v>10823</v>
      </c>
      <c r="K6738" s="3"/>
      <c r="L6738" s="3"/>
      <c r="M6738" s="4"/>
      <c r="N6738" s="3"/>
      <c r="O6738" s="3"/>
      <c r="P6738" s="5">
        <v>0</v>
      </c>
      <c r="Q6738" s="5">
        <v>0</v>
      </c>
      <c r="R6738" s="5"/>
      <c r="S6738" s="5"/>
    </row>
    <row r="6739" spans="1:19" ht="56" x14ac:dyDescent="0.15">
      <c r="A6739" s="2">
        <f>HYPERLINK("https://open-school.uspishnemisto.com.ua/school/350196/", 350196)</f>
        <v>350196</v>
      </c>
      <c r="B6739" s="3" t="s">
        <v>35295</v>
      </c>
      <c r="C6739" s="3" t="s">
        <v>31</v>
      </c>
      <c r="D6739" s="3"/>
      <c r="E6739" s="4" t="s">
        <v>22</v>
      </c>
      <c r="F6739" s="4" t="s">
        <v>35296</v>
      </c>
      <c r="G6739" s="4" t="s">
        <v>35297</v>
      </c>
      <c r="H6739" s="3" t="s">
        <v>34363</v>
      </c>
      <c r="I6739" s="3" t="s">
        <v>35298</v>
      </c>
      <c r="J6739" s="3" t="s">
        <v>878</v>
      </c>
      <c r="K6739" s="3" t="s">
        <v>35299</v>
      </c>
      <c r="L6739" s="3"/>
      <c r="M6739" s="4"/>
      <c r="N6739" s="3"/>
      <c r="O6739" s="3"/>
      <c r="P6739" s="5">
        <v>0</v>
      </c>
      <c r="Q6739" s="5">
        <v>0</v>
      </c>
      <c r="R6739" s="5"/>
      <c r="S6739" s="5"/>
    </row>
    <row r="6740" spans="1:19" ht="42" x14ac:dyDescent="0.15">
      <c r="A6740" s="2">
        <f>HYPERLINK("https://open-school.uspishnemisto.com.ua/school/350197/", 350197)</f>
        <v>350197</v>
      </c>
      <c r="B6740" s="3" t="s">
        <v>35300</v>
      </c>
      <c r="C6740" s="3" t="s">
        <v>54</v>
      </c>
      <c r="D6740" s="3"/>
      <c r="E6740" s="4" t="s">
        <v>22</v>
      </c>
      <c r="F6740" s="4" t="s">
        <v>35301</v>
      </c>
      <c r="G6740" s="4" t="s">
        <v>35302</v>
      </c>
      <c r="H6740" s="3" t="s">
        <v>34363</v>
      </c>
      <c r="I6740" s="3" t="s">
        <v>35303</v>
      </c>
      <c r="J6740" s="3" t="s">
        <v>35304</v>
      </c>
      <c r="K6740" s="3" t="s">
        <v>35305</v>
      </c>
      <c r="L6740" s="3"/>
      <c r="M6740" s="4"/>
      <c r="N6740" s="3"/>
      <c r="O6740" s="3"/>
      <c r="P6740" s="5">
        <v>0</v>
      </c>
      <c r="Q6740" s="5">
        <v>0</v>
      </c>
      <c r="R6740" s="5"/>
      <c r="S6740" s="5"/>
    </row>
    <row r="6741" spans="1:19" ht="42" x14ac:dyDescent="0.15">
      <c r="A6741" s="2">
        <f>HYPERLINK("https://open-school.uspishnemisto.com.ua/school/350198/", 350198)</f>
        <v>350198</v>
      </c>
      <c r="B6741" s="3" t="s">
        <v>35306</v>
      </c>
      <c r="C6741" s="3" t="s">
        <v>54</v>
      </c>
      <c r="D6741" s="3"/>
      <c r="E6741" s="4" t="s">
        <v>22</v>
      </c>
      <c r="F6741" s="4" t="s">
        <v>35307</v>
      </c>
      <c r="G6741" s="4" t="s">
        <v>35308</v>
      </c>
      <c r="H6741" s="3" t="s">
        <v>34363</v>
      </c>
      <c r="I6741" s="3" t="s">
        <v>35309</v>
      </c>
      <c r="J6741" s="3" t="s">
        <v>1946</v>
      </c>
      <c r="K6741" s="3" t="s">
        <v>35310</v>
      </c>
      <c r="L6741" s="3"/>
      <c r="M6741" s="4"/>
      <c r="N6741" s="3"/>
      <c r="O6741" s="3"/>
      <c r="P6741" s="5">
        <v>0</v>
      </c>
      <c r="Q6741" s="5">
        <v>0</v>
      </c>
      <c r="R6741" s="5"/>
      <c r="S6741" s="5"/>
    </row>
    <row r="6742" spans="1:19" ht="42" x14ac:dyDescent="0.15">
      <c r="A6742" s="2">
        <f>HYPERLINK("https://open-school.uspishnemisto.com.ua/school/350199/", 350199)</f>
        <v>350199</v>
      </c>
      <c r="B6742" s="3" t="s">
        <v>35311</v>
      </c>
      <c r="C6742" s="3" t="s">
        <v>31</v>
      </c>
      <c r="D6742" s="3" t="s">
        <v>32</v>
      </c>
      <c r="E6742" s="4" t="s">
        <v>22</v>
      </c>
      <c r="F6742" s="4" t="s">
        <v>35312</v>
      </c>
      <c r="G6742" s="4" t="s">
        <v>35313</v>
      </c>
      <c r="H6742" s="3" t="s">
        <v>34363</v>
      </c>
      <c r="I6742" s="3" t="s">
        <v>19541</v>
      </c>
      <c r="J6742" s="3" t="s">
        <v>35314</v>
      </c>
      <c r="K6742" s="3" t="s">
        <v>35315</v>
      </c>
      <c r="L6742" s="3"/>
      <c r="M6742" s="4"/>
      <c r="N6742" s="3"/>
      <c r="O6742" s="3"/>
      <c r="P6742" s="5">
        <v>0</v>
      </c>
      <c r="Q6742" s="5">
        <v>0</v>
      </c>
      <c r="R6742" s="5"/>
      <c r="S6742" s="5"/>
    </row>
    <row r="6743" spans="1:19" ht="42" x14ac:dyDescent="0.15">
      <c r="A6743" s="2">
        <f>HYPERLINK("https://open-school.uspishnemisto.com.ua/school/350200/", 350200)</f>
        <v>350200</v>
      </c>
      <c r="B6743" s="3" t="s">
        <v>35316</v>
      </c>
      <c r="C6743" s="3" t="s">
        <v>31</v>
      </c>
      <c r="D6743" s="3"/>
      <c r="E6743" s="4" t="s">
        <v>22</v>
      </c>
      <c r="F6743" s="4" t="s">
        <v>35317</v>
      </c>
      <c r="G6743" s="4" t="s">
        <v>35318</v>
      </c>
      <c r="H6743" s="3" t="s">
        <v>34363</v>
      </c>
      <c r="I6743" s="3" t="s">
        <v>35319</v>
      </c>
      <c r="J6743" s="3" t="s">
        <v>35320</v>
      </c>
      <c r="K6743" s="3" t="s">
        <v>35321</v>
      </c>
      <c r="L6743" s="3"/>
      <c r="M6743" s="4"/>
      <c r="N6743" s="3"/>
      <c r="O6743" s="3"/>
      <c r="P6743" s="5">
        <v>0</v>
      </c>
      <c r="Q6743" s="5">
        <v>0</v>
      </c>
      <c r="R6743" s="5"/>
      <c r="S6743" s="5"/>
    </row>
    <row r="6744" spans="1:19" ht="42" x14ac:dyDescent="0.15">
      <c r="A6744" s="2">
        <f>HYPERLINK("https://open-school.uspishnemisto.com.ua/school/350201/", 350201)</f>
        <v>350201</v>
      </c>
      <c r="B6744" s="3" t="s">
        <v>35322</v>
      </c>
      <c r="C6744" s="3" t="s">
        <v>31</v>
      </c>
      <c r="D6744" s="3" t="s">
        <v>175</v>
      </c>
      <c r="E6744" s="4" t="s">
        <v>22</v>
      </c>
      <c r="F6744" s="4" t="s">
        <v>35323</v>
      </c>
      <c r="G6744" s="4" t="s">
        <v>35324</v>
      </c>
      <c r="H6744" s="3" t="s">
        <v>34363</v>
      </c>
      <c r="I6744" s="3" t="s">
        <v>35325</v>
      </c>
      <c r="J6744" s="3" t="s">
        <v>1348</v>
      </c>
      <c r="K6744" s="3" t="s">
        <v>35326</v>
      </c>
      <c r="L6744" s="3"/>
      <c r="M6744" s="4"/>
      <c r="N6744" s="3"/>
      <c r="O6744" s="3"/>
      <c r="P6744" s="5">
        <v>0</v>
      </c>
      <c r="Q6744" s="5">
        <v>0</v>
      </c>
      <c r="R6744" s="5"/>
      <c r="S6744" s="5"/>
    </row>
    <row r="6745" spans="1:19" ht="56" x14ac:dyDescent="0.15">
      <c r="A6745" s="2">
        <f>HYPERLINK("https://open-school.uspishnemisto.com.ua/school/350202/", 350202)</f>
        <v>350202</v>
      </c>
      <c r="B6745" s="3" t="s">
        <v>35327</v>
      </c>
      <c r="C6745" s="3" t="s">
        <v>54</v>
      </c>
      <c r="D6745" s="3" t="s">
        <v>32</v>
      </c>
      <c r="E6745" s="4" t="s">
        <v>22</v>
      </c>
      <c r="F6745" s="4" t="s">
        <v>35328</v>
      </c>
      <c r="G6745" s="4" t="s">
        <v>35329</v>
      </c>
      <c r="H6745" s="3" t="s">
        <v>34363</v>
      </c>
      <c r="I6745" s="3" t="s">
        <v>35330</v>
      </c>
      <c r="J6745" s="3" t="s">
        <v>15190</v>
      </c>
      <c r="K6745" s="3" t="s">
        <v>35331</v>
      </c>
      <c r="L6745" s="3" t="s">
        <v>35332</v>
      </c>
      <c r="M6745" s="4" t="s">
        <v>35333</v>
      </c>
      <c r="N6745" s="3" t="s">
        <v>37</v>
      </c>
      <c r="O6745" s="3" t="s">
        <v>46</v>
      </c>
      <c r="P6745" s="5">
        <v>21</v>
      </c>
      <c r="Q6745" s="5">
        <v>306</v>
      </c>
      <c r="R6745" s="5">
        <v>25</v>
      </c>
      <c r="S6745" s="5">
        <v>326</v>
      </c>
    </row>
    <row r="6746" spans="1:19" ht="42" x14ac:dyDescent="0.15">
      <c r="A6746" s="2">
        <f>HYPERLINK("https://open-school.uspishnemisto.com.ua/school/350203/", 350203)</f>
        <v>350203</v>
      </c>
      <c r="B6746" s="3" t="s">
        <v>35334</v>
      </c>
      <c r="C6746" s="3" t="s">
        <v>54</v>
      </c>
      <c r="D6746" s="3" t="s">
        <v>32</v>
      </c>
      <c r="E6746" s="4" t="s">
        <v>22</v>
      </c>
      <c r="F6746" s="4" t="s">
        <v>35335</v>
      </c>
      <c r="G6746" s="4" t="s">
        <v>35336</v>
      </c>
      <c r="H6746" s="3" t="s">
        <v>34363</v>
      </c>
      <c r="I6746" s="3" t="s">
        <v>35337</v>
      </c>
      <c r="J6746" s="3" t="s">
        <v>35338</v>
      </c>
      <c r="K6746" s="3" t="s">
        <v>35339</v>
      </c>
      <c r="L6746" s="3"/>
      <c r="M6746" s="4"/>
      <c r="N6746" s="3"/>
      <c r="O6746" s="3"/>
      <c r="P6746" s="5">
        <v>0</v>
      </c>
      <c r="Q6746" s="5">
        <v>0</v>
      </c>
      <c r="R6746" s="5"/>
      <c r="S6746" s="5"/>
    </row>
    <row r="6747" spans="1:19" ht="42" x14ac:dyDescent="0.15">
      <c r="A6747" s="2">
        <f>HYPERLINK("https://open-school.uspishnemisto.com.ua/school/350204/", 350204)</f>
        <v>350204</v>
      </c>
      <c r="B6747" s="3" t="s">
        <v>35340</v>
      </c>
      <c r="C6747" s="3" t="s">
        <v>54</v>
      </c>
      <c r="D6747" s="3"/>
      <c r="E6747" s="4" t="s">
        <v>22</v>
      </c>
      <c r="F6747" s="4" t="s">
        <v>35341</v>
      </c>
      <c r="G6747" s="4" t="s">
        <v>35342</v>
      </c>
      <c r="H6747" s="3" t="s">
        <v>34363</v>
      </c>
      <c r="I6747" s="3" t="s">
        <v>25993</v>
      </c>
      <c r="J6747" s="3" t="s">
        <v>15190</v>
      </c>
      <c r="K6747" s="3" t="s">
        <v>35343</v>
      </c>
      <c r="L6747" s="3"/>
      <c r="M6747" s="4"/>
      <c r="N6747" s="3"/>
      <c r="O6747" s="3"/>
      <c r="P6747" s="5">
        <v>0</v>
      </c>
      <c r="Q6747" s="5">
        <v>0</v>
      </c>
      <c r="R6747" s="5"/>
      <c r="S6747" s="5"/>
    </row>
    <row r="6748" spans="1:19" ht="56" x14ac:dyDescent="0.15">
      <c r="A6748" s="2">
        <f>HYPERLINK("https://open-school.uspishnemisto.com.ua/school/350205/", 350205)</f>
        <v>350205</v>
      </c>
      <c r="B6748" s="3" t="s">
        <v>35344</v>
      </c>
      <c r="C6748" s="3" t="s">
        <v>54</v>
      </c>
      <c r="D6748" s="3" t="s">
        <v>32</v>
      </c>
      <c r="E6748" s="4" t="s">
        <v>22</v>
      </c>
      <c r="F6748" s="4" t="s">
        <v>35345</v>
      </c>
      <c r="G6748" s="4" t="s">
        <v>35346</v>
      </c>
      <c r="H6748" s="3" t="s">
        <v>34363</v>
      </c>
      <c r="I6748" s="3" t="s">
        <v>35347</v>
      </c>
      <c r="J6748" s="3" t="s">
        <v>35348</v>
      </c>
      <c r="K6748" s="3" t="s">
        <v>35349</v>
      </c>
      <c r="L6748" s="3"/>
      <c r="M6748" s="4"/>
      <c r="N6748" s="3"/>
      <c r="O6748" s="3"/>
      <c r="P6748" s="5">
        <v>0</v>
      </c>
      <c r="Q6748" s="5">
        <v>0</v>
      </c>
      <c r="R6748" s="5"/>
      <c r="S6748" s="5"/>
    </row>
    <row r="6749" spans="1:19" ht="56" x14ac:dyDescent="0.15">
      <c r="A6749" s="2">
        <f>HYPERLINK("https://open-school.uspishnemisto.com.ua/school/350206/", 350206)</f>
        <v>350206</v>
      </c>
      <c r="B6749" s="3" t="s">
        <v>35350</v>
      </c>
      <c r="C6749" s="3" t="s">
        <v>54</v>
      </c>
      <c r="D6749" s="3" t="s">
        <v>32</v>
      </c>
      <c r="E6749" s="4" t="s">
        <v>22</v>
      </c>
      <c r="F6749" s="4" t="s">
        <v>35351</v>
      </c>
      <c r="G6749" s="4" t="s">
        <v>35352</v>
      </c>
      <c r="H6749" s="3" t="s">
        <v>34363</v>
      </c>
      <c r="I6749" s="3" t="s">
        <v>35353</v>
      </c>
      <c r="J6749" s="3" t="s">
        <v>1719</v>
      </c>
      <c r="K6749" s="3" t="s">
        <v>35354</v>
      </c>
      <c r="L6749" s="3"/>
      <c r="M6749" s="4"/>
      <c r="N6749" s="3"/>
      <c r="O6749" s="3"/>
      <c r="P6749" s="5">
        <v>0</v>
      </c>
      <c r="Q6749" s="5">
        <v>0</v>
      </c>
      <c r="R6749" s="5"/>
      <c r="S6749" s="5"/>
    </row>
    <row r="6750" spans="1:19" ht="56" x14ac:dyDescent="0.15">
      <c r="A6750" s="2">
        <f>HYPERLINK("https://open-school.uspishnemisto.com.ua/school/350207/", 350207)</f>
        <v>350207</v>
      </c>
      <c r="B6750" s="3" t="s">
        <v>35355</v>
      </c>
      <c r="C6750" s="3" t="s">
        <v>54</v>
      </c>
      <c r="D6750" s="3"/>
      <c r="E6750" s="4" t="s">
        <v>22</v>
      </c>
      <c r="F6750" s="4" t="s">
        <v>35356</v>
      </c>
      <c r="G6750" s="4" t="s">
        <v>35357</v>
      </c>
      <c r="H6750" s="3" t="s">
        <v>34363</v>
      </c>
      <c r="I6750" s="3" t="s">
        <v>35358</v>
      </c>
      <c r="J6750" s="3" t="s">
        <v>18843</v>
      </c>
      <c r="K6750" s="3" t="s">
        <v>35359</v>
      </c>
      <c r="L6750" s="3"/>
      <c r="M6750" s="4"/>
      <c r="N6750" s="3"/>
      <c r="O6750" s="3"/>
      <c r="P6750" s="5">
        <v>0</v>
      </c>
      <c r="Q6750" s="5">
        <v>0</v>
      </c>
      <c r="R6750" s="5"/>
      <c r="S6750" s="5"/>
    </row>
    <row r="6751" spans="1:19" ht="56" x14ac:dyDescent="0.15">
      <c r="A6751" s="2">
        <f>HYPERLINK("https://open-school.uspishnemisto.com.ua/school/350208/", 350208)</f>
        <v>350208</v>
      </c>
      <c r="B6751" s="3" t="s">
        <v>35360</v>
      </c>
      <c r="C6751" s="3" t="s">
        <v>31</v>
      </c>
      <c r="D6751" s="3" t="s">
        <v>175</v>
      </c>
      <c r="E6751" s="4" t="s">
        <v>22</v>
      </c>
      <c r="F6751" s="4" t="s">
        <v>35361</v>
      </c>
      <c r="G6751" s="4" t="s">
        <v>35362</v>
      </c>
      <c r="H6751" s="3" t="s">
        <v>34363</v>
      </c>
      <c r="I6751" s="3" t="s">
        <v>35363</v>
      </c>
      <c r="J6751" s="3" t="s">
        <v>35364</v>
      </c>
      <c r="K6751" s="3"/>
      <c r="L6751" s="3"/>
      <c r="M6751" s="4"/>
      <c r="N6751" s="3"/>
      <c r="O6751" s="3"/>
      <c r="P6751" s="5">
        <v>0</v>
      </c>
      <c r="Q6751" s="5">
        <v>0</v>
      </c>
      <c r="R6751" s="5"/>
      <c r="S6751" s="5"/>
    </row>
    <row r="6752" spans="1:19" ht="42" x14ac:dyDescent="0.15">
      <c r="A6752" s="2">
        <f>HYPERLINK("https://open-school.uspishnemisto.com.ua/school/350209/", 350209)</f>
        <v>350209</v>
      </c>
      <c r="B6752" s="3" t="s">
        <v>35365</v>
      </c>
      <c r="C6752" s="3" t="s">
        <v>31</v>
      </c>
      <c r="D6752" s="3" t="s">
        <v>32</v>
      </c>
      <c r="E6752" s="4" t="s">
        <v>22</v>
      </c>
      <c r="F6752" s="4" t="s">
        <v>35366</v>
      </c>
      <c r="G6752" s="4" t="s">
        <v>35367</v>
      </c>
      <c r="H6752" s="3" t="s">
        <v>34363</v>
      </c>
      <c r="I6752" s="3" t="s">
        <v>35368</v>
      </c>
      <c r="J6752" s="3" t="s">
        <v>634</v>
      </c>
      <c r="K6752" s="3" t="s">
        <v>35369</v>
      </c>
      <c r="L6752" s="3"/>
      <c r="M6752" s="4"/>
      <c r="N6752" s="3"/>
      <c r="O6752" s="3"/>
      <c r="P6752" s="5">
        <v>0</v>
      </c>
      <c r="Q6752" s="5">
        <v>0</v>
      </c>
      <c r="R6752" s="5"/>
      <c r="S6752" s="5"/>
    </row>
    <row r="6753" spans="1:19" ht="56" x14ac:dyDescent="0.15">
      <c r="A6753" s="2">
        <f>HYPERLINK("https://open-school.uspishnemisto.com.ua/school/350210/", 350210)</f>
        <v>350210</v>
      </c>
      <c r="B6753" s="3" t="s">
        <v>35370</v>
      </c>
      <c r="C6753" s="3" t="s">
        <v>54</v>
      </c>
      <c r="D6753" s="3" t="s">
        <v>175</v>
      </c>
      <c r="E6753" s="4" t="s">
        <v>22</v>
      </c>
      <c r="F6753" s="4" t="s">
        <v>35371</v>
      </c>
      <c r="G6753" s="4" t="s">
        <v>35372</v>
      </c>
      <c r="H6753" s="3" t="s">
        <v>34363</v>
      </c>
      <c r="I6753" s="3" t="s">
        <v>35373</v>
      </c>
      <c r="J6753" s="3" t="s">
        <v>28925</v>
      </c>
      <c r="K6753" s="3" t="s">
        <v>35374</v>
      </c>
      <c r="L6753" s="3"/>
      <c r="M6753" s="4"/>
      <c r="N6753" s="3"/>
      <c r="O6753" s="3"/>
      <c r="P6753" s="5">
        <v>0</v>
      </c>
      <c r="Q6753" s="5">
        <v>0</v>
      </c>
      <c r="R6753" s="5"/>
      <c r="S6753" s="5"/>
    </row>
    <row r="6754" spans="1:19" ht="56" x14ac:dyDescent="0.15">
      <c r="A6754" s="2">
        <f>HYPERLINK("https://open-school.uspishnemisto.com.ua/school/350211/", 350211)</f>
        <v>350211</v>
      </c>
      <c r="B6754" s="3" t="s">
        <v>35375</v>
      </c>
      <c r="C6754" s="3" t="s">
        <v>31</v>
      </c>
      <c r="D6754" s="3" t="s">
        <v>32</v>
      </c>
      <c r="E6754" s="4" t="s">
        <v>22</v>
      </c>
      <c r="F6754" s="4" t="s">
        <v>35376</v>
      </c>
      <c r="G6754" s="4" t="s">
        <v>35377</v>
      </c>
      <c r="H6754" s="3" t="s">
        <v>34363</v>
      </c>
      <c r="I6754" s="3" t="s">
        <v>35378</v>
      </c>
      <c r="J6754" s="3" t="s">
        <v>35379</v>
      </c>
      <c r="K6754" s="3" t="s">
        <v>35380</v>
      </c>
      <c r="L6754" s="3"/>
      <c r="M6754" s="4"/>
      <c r="N6754" s="3" t="s">
        <v>37</v>
      </c>
      <c r="O6754" s="3" t="s">
        <v>52</v>
      </c>
      <c r="P6754" s="5">
        <v>21</v>
      </c>
      <c r="Q6754" s="5">
        <v>467</v>
      </c>
      <c r="R6754" s="5">
        <v>21</v>
      </c>
      <c r="S6754" s="5">
        <v>450</v>
      </c>
    </row>
    <row r="6755" spans="1:19" ht="42" x14ac:dyDescent="0.15">
      <c r="A6755" s="2">
        <f>HYPERLINK("https://open-school.uspishnemisto.com.ua/school/350212/", 350212)</f>
        <v>350212</v>
      </c>
      <c r="B6755" s="3" t="s">
        <v>35381</v>
      </c>
      <c r="C6755" s="3" t="s">
        <v>31</v>
      </c>
      <c r="D6755" s="3" t="s">
        <v>32</v>
      </c>
      <c r="E6755" s="4" t="s">
        <v>22</v>
      </c>
      <c r="F6755" s="4" t="s">
        <v>35376</v>
      </c>
      <c r="G6755" s="4" t="s">
        <v>35377</v>
      </c>
      <c r="H6755" s="3" t="s">
        <v>34363</v>
      </c>
      <c r="I6755" s="3" t="s">
        <v>35378</v>
      </c>
      <c r="J6755" s="3" t="s">
        <v>35382</v>
      </c>
      <c r="K6755" s="3" t="s">
        <v>35383</v>
      </c>
      <c r="L6755" s="3"/>
      <c r="M6755" s="4"/>
      <c r="N6755" s="3" t="s">
        <v>37</v>
      </c>
      <c r="O6755" s="3" t="s">
        <v>52</v>
      </c>
      <c r="P6755" s="5">
        <v>13</v>
      </c>
      <c r="Q6755" s="5">
        <v>240</v>
      </c>
      <c r="R6755" s="5">
        <v>13</v>
      </c>
      <c r="S6755" s="5">
        <v>244</v>
      </c>
    </row>
    <row r="6756" spans="1:19" ht="42" x14ac:dyDescent="0.15">
      <c r="A6756" s="2">
        <f>HYPERLINK("https://open-school.uspishnemisto.com.ua/school/350213/", 350213)</f>
        <v>350213</v>
      </c>
      <c r="B6756" s="3" t="s">
        <v>35384</v>
      </c>
      <c r="C6756" s="3" t="s">
        <v>31</v>
      </c>
      <c r="D6756" s="3" t="s">
        <v>32</v>
      </c>
      <c r="E6756" s="4" t="s">
        <v>22</v>
      </c>
      <c r="F6756" s="4" t="s">
        <v>35376</v>
      </c>
      <c r="G6756" s="4" t="s">
        <v>35377</v>
      </c>
      <c r="H6756" s="3" t="s">
        <v>34363</v>
      </c>
      <c r="I6756" s="3" t="s">
        <v>35378</v>
      </c>
      <c r="J6756" s="3" t="s">
        <v>35385</v>
      </c>
      <c r="K6756" s="3" t="s">
        <v>35386</v>
      </c>
      <c r="L6756" s="3"/>
      <c r="M6756" s="4"/>
      <c r="N6756" s="3" t="s">
        <v>37</v>
      </c>
      <c r="O6756" s="3" t="s">
        <v>38</v>
      </c>
      <c r="P6756" s="5">
        <v>22</v>
      </c>
      <c r="Q6756" s="5">
        <v>401</v>
      </c>
      <c r="R6756" s="5">
        <v>21</v>
      </c>
      <c r="S6756" s="5">
        <v>404</v>
      </c>
    </row>
    <row r="6757" spans="1:19" ht="42" x14ac:dyDescent="0.15">
      <c r="A6757" s="2">
        <f>HYPERLINK("https://open-school.uspishnemisto.com.ua/school/350214/", 350214)</f>
        <v>350214</v>
      </c>
      <c r="B6757" s="3" t="s">
        <v>35387</v>
      </c>
      <c r="C6757" s="3" t="s">
        <v>31</v>
      </c>
      <c r="D6757" s="3" t="s">
        <v>32</v>
      </c>
      <c r="E6757" s="4" t="s">
        <v>22</v>
      </c>
      <c r="F6757" s="4" t="s">
        <v>35388</v>
      </c>
      <c r="G6757" s="4" t="s">
        <v>35389</v>
      </c>
      <c r="H6757" s="3" t="s">
        <v>34363</v>
      </c>
      <c r="I6757" s="3" t="s">
        <v>35390</v>
      </c>
      <c r="J6757" s="3" t="s">
        <v>35391</v>
      </c>
      <c r="K6757" s="3" t="s">
        <v>35392</v>
      </c>
      <c r="L6757" s="3" t="s">
        <v>35393</v>
      </c>
      <c r="M6757" s="4"/>
      <c r="N6757" s="3" t="s">
        <v>37</v>
      </c>
      <c r="O6757" s="3" t="s">
        <v>52</v>
      </c>
      <c r="P6757" s="5">
        <v>14</v>
      </c>
      <c r="Q6757" s="5">
        <v>254</v>
      </c>
      <c r="R6757" s="5">
        <v>16</v>
      </c>
      <c r="S6757" s="5">
        <v>302</v>
      </c>
    </row>
    <row r="6758" spans="1:19" ht="56" x14ac:dyDescent="0.15">
      <c r="A6758" s="2">
        <f>HYPERLINK("https://open-school.uspishnemisto.com.ua/school/350215/", 350215)</f>
        <v>350215</v>
      </c>
      <c r="B6758" s="3" t="s">
        <v>35394</v>
      </c>
      <c r="C6758" s="3" t="s">
        <v>54</v>
      </c>
      <c r="D6758" s="3" t="s">
        <v>32</v>
      </c>
      <c r="E6758" s="4" t="s">
        <v>22</v>
      </c>
      <c r="F6758" s="4" t="s">
        <v>35388</v>
      </c>
      <c r="G6758" s="4" t="s">
        <v>35389</v>
      </c>
      <c r="H6758" s="3" t="s">
        <v>34363</v>
      </c>
      <c r="I6758" s="3" t="s">
        <v>35390</v>
      </c>
      <c r="J6758" s="3" t="s">
        <v>19472</v>
      </c>
      <c r="K6758" s="3" t="s">
        <v>35395</v>
      </c>
      <c r="L6758" s="3" t="s">
        <v>35396</v>
      </c>
      <c r="M6758" s="4" t="s">
        <v>35397</v>
      </c>
      <c r="N6758" s="3" t="s">
        <v>37</v>
      </c>
      <c r="O6758" s="3" t="s">
        <v>52</v>
      </c>
      <c r="P6758" s="5">
        <v>41</v>
      </c>
      <c r="Q6758" s="5">
        <v>491</v>
      </c>
      <c r="R6758" s="5">
        <v>11</v>
      </c>
      <c r="S6758" s="5">
        <v>206</v>
      </c>
    </row>
    <row r="6759" spans="1:19" ht="56" x14ac:dyDescent="0.15">
      <c r="A6759" s="2">
        <f>HYPERLINK("https://open-school.uspishnemisto.com.ua/school/350216/", 350216)</f>
        <v>350216</v>
      </c>
      <c r="B6759" s="3" t="s">
        <v>35398</v>
      </c>
      <c r="C6759" s="3" t="s">
        <v>54</v>
      </c>
      <c r="D6759" s="3" t="s">
        <v>32</v>
      </c>
      <c r="E6759" s="4" t="s">
        <v>22</v>
      </c>
      <c r="F6759" s="4" t="s">
        <v>35388</v>
      </c>
      <c r="G6759" s="4" t="s">
        <v>35389</v>
      </c>
      <c r="H6759" s="3" t="s">
        <v>34363</v>
      </c>
      <c r="I6759" s="3" t="s">
        <v>35390</v>
      </c>
      <c r="J6759" s="3" t="s">
        <v>35399</v>
      </c>
      <c r="K6759" s="3"/>
      <c r="L6759" s="3"/>
      <c r="M6759" s="4"/>
      <c r="N6759" s="3" t="s">
        <v>37</v>
      </c>
      <c r="O6759" s="3" t="s">
        <v>46</v>
      </c>
      <c r="P6759" s="5">
        <v>12</v>
      </c>
      <c r="Q6759" s="5">
        <v>222</v>
      </c>
      <c r="R6759" s="5">
        <v>14</v>
      </c>
      <c r="S6759" s="5">
        <v>262</v>
      </c>
    </row>
    <row r="6760" spans="1:19" ht="42" x14ac:dyDescent="0.15">
      <c r="A6760" s="2">
        <f>HYPERLINK("https://open-school.uspishnemisto.com.ua/school/350217/", 350217)</f>
        <v>350217</v>
      </c>
      <c r="B6760" s="3" t="s">
        <v>35400</v>
      </c>
      <c r="C6760" s="3" t="s">
        <v>31</v>
      </c>
      <c r="D6760" s="3" t="s">
        <v>32</v>
      </c>
      <c r="E6760" s="4" t="s">
        <v>22</v>
      </c>
      <c r="F6760" s="4" t="s">
        <v>35401</v>
      </c>
      <c r="G6760" s="4" t="s">
        <v>35402</v>
      </c>
      <c r="H6760" s="3" t="s">
        <v>34363</v>
      </c>
      <c r="I6760" s="3" t="s">
        <v>1291</v>
      </c>
      <c r="J6760" s="3" t="s">
        <v>15190</v>
      </c>
      <c r="K6760" s="3" t="s">
        <v>35403</v>
      </c>
      <c r="L6760" s="3"/>
      <c r="M6760" s="4"/>
      <c r="N6760" s="3"/>
      <c r="O6760" s="3"/>
      <c r="P6760" s="5">
        <v>0</v>
      </c>
      <c r="Q6760" s="5">
        <v>0</v>
      </c>
      <c r="R6760" s="5">
        <v>10</v>
      </c>
      <c r="S6760" s="5">
        <v>77</v>
      </c>
    </row>
    <row r="6761" spans="1:19" ht="42" x14ac:dyDescent="0.15">
      <c r="A6761" s="2">
        <f>HYPERLINK("https://open-school.uspishnemisto.com.ua/school/350218/", 350218)</f>
        <v>350218</v>
      </c>
      <c r="B6761" s="3" t="s">
        <v>35404</v>
      </c>
      <c r="C6761" s="3" t="s">
        <v>31</v>
      </c>
      <c r="D6761" s="3" t="s">
        <v>32</v>
      </c>
      <c r="E6761" s="4" t="s">
        <v>22</v>
      </c>
      <c r="F6761" s="4" t="s">
        <v>35405</v>
      </c>
      <c r="G6761" s="4" t="s">
        <v>35406</v>
      </c>
      <c r="H6761" s="3" t="s">
        <v>34363</v>
      </c>
      <c r="I6761" s="3" t="s">
        <v>11964</v>
      </c>
      <c r="J6761" s="3" t="s">
        <v>35407</v>
      </c>
      <c r="K6761" s="3" t="s">
        <v>35408</v>
      </c>
      <c r="L6761" s="3" t="s">
        <v>35409</v>
      </c>
      <c r="M6761" s="4"/>
      <c r="N6761" s="3" t="s">
        <v>37</v>
      </c>
      <c r="O6761" s="3" t="s">
        <v>52</v>
      </c>
      <c r="P6761" s="5">
        <v>10</v>
      </c>
      <c r="Q6761" s="5">
        <v>120</v>
      </c>
      <c r="R6761" s="5">
        <v>9</v>
      </c>
      <c r="S6761" s="5">
        <v>108</v>
      </c>
    </row>
    <row r="6762" spans="1:19" ht="28" x14ac:dyDescent="0.15">
      <c r="A6762" s="2">
        <f>HYPERLINK("https://open-school.uspishnemisto.com.ua/school/350219/", 350219)</f>
        <v>350219</v>
      </c>
      <c r="B6762" s="3" t="s">
        <v>35410</v>
      </c>
      <c r="C6762" s="3" t="s">
        <v>54</v>
      </c>
      <c r="D6762" s="3" t="s">
        <v>32</v>
      </c>
      <c r="E6762" s="4" t="s">
        <v>22</v>
      </c>
      <c r="F6762" s="4" t="s">
        <v>35411</v>
      </c>
      <c r="G6762" s="4" t="s">
        <v>35412</v>
      </c>
      <c r="H6762" s="3" t="s">
        <v>34363</v>
      </c>
      <c r="I6762" s="3" t="s">
        <v>35413</v>
      </c>
      <c r="J6762" s="3" t="s">
        <v>35414</v>
      </c>
      <c r="K6762" s="3" t="s">
        <v>35415</v>
      </c>
      <c r="L6762" s="3"/>
      <c r="M6762" s="4"/>
      <c r="N6762" s="3" t="s">
        <v>37</v>
      </c>
      <c r="O6762" s="3" t="s">
        <v>52</v>
      </c>
      <c r="P6762" s="5">
        <v>6</v>
      </c>
      <c r="Q6762" s="5">
        <v>51</v>
      </c>
      <c r="R6762" s="5">
        <v>8</v>
      </c>
      <c r="S6762" s="5">
        <v>49</v>
      </c>
    </row>
    <row r="6763" spans="1:19" ht="56" x14ac:dyDescent="0.15">
      <c r="A6763" s="2">
        <f>HYPERLINK("https://open-school.uspishnemisto.com.ua/school/350220/", 350220)</f>
        <v>350220</v>
      </c>
      <c r="B6763" s="3" t="s">
        <v>35416</v>
      </c>
      <c r="C6763" s="3" t="s">
        <v>54</v>
      </c>
      <c r="D6763" s="3" t="s">
        <v>175</v>
      </c>
      <c r="E6763" s="4" t="s">
        <v>22</v>
      </c>
      <c r="F6763" s="4" t="s">
        <v>35417</v>
      </c>
      <c r="G6763" s="4" t="s">
        <v>35418</v>
      </c>
      <c r="H6763" s="3" t="s">
        <v>34363</v>
      </c>
      <c r="I6763" s="3" t="s">
        <v>35419</v>
      </c>
      <c r="J6763" s="3" t="s">
        <v>466</v>
      </c>
      <c r="K6763" s="3" t="s">
        <v>35420</v>
      </c>
      <c r="L6763" s="3"/>
      <c r="M6763" s="4"/>
      <c r="N6763" s="3" t="s">
        <v>37</v>
      </c>
      <c r="O6763" s="3" t="s">
        <v>52</v>
      </c>
      <c r="P6763" s="5">
        <v>6</v>
      </c>
      <c r="Q6763" s="5">
        <v>44</v>
      </c>
      <c r="R6763" s="5">
        <v>7</v>
      </c>
      <c r="S6763" s="5">
        <v>44</v>
      </c>
    </row>
    <row r="6764" spans="1:19" ht="42" x14ac:dyDescent="0.15">
      <c r="A6764" s="2">
        <f>HYPERLINK("https://open-school.uspishnemisto.com.ua/school/350221/", 350221)</f>
        <v>350221</v>
      </c>
      <c r="B6764" s="3" t="s">
        <v>35421</v>
      </c>
      <c r="C6764" s="3" t="s">
        <v>54</v>
      </c>
      <c r="D6764" s="3" t="s">
        <v>32</v>
      </c>
      <c r="E6764" s="4" t="s">
        <v>22</v>
      </c>
      <c r="F6764" s="4" t="s">
        <v>35422</v>
      </c>
      <c r="G6764" s="4" t="s">
        <v>35423</v>
      </c>
      <c r="H6764" s="3" t="s">
        <v>34363</v>
      </c>
      <c r="I6764" s="3" t="s">
        <v>12216</v>
      </c>
      <c r="J6764" s="3" t="s">
        <v>15190</v>
      </c>
      <c r="K6764" s="3" t="s">
        <v>35424</v>
      </c>
      <c r="L6764" s="3"/>
      <c r="M6764" s="4"/>
      <c r="N6764" s="3" t="s">
        <v>37</v>
      </c>
      <c r="O6764" s="3" t="s">
        <v>52</v>
      </c>
      <c r="P6764" s="5">
        <v>11</v>
      </c>
      <c r="Q6764" s="5">
        <v>139</v>
      </c>
      <c r="R6764" s="5">
        <v>11</v>
      </c>
      <c r="S6764" s="5">
        <v>131</v>
      </c>
    </row>
    <row r="6765" spans="1:19" ht="42" x14ac:dyDescent="0.15">
      <c r="A6765" s="2">
        <f>HYPERLINK("https://open-school.uspishnemisto.com.ua/school/350222/", 350222)</f>
        <v>350222</v>
      </c>
      <c r="B6765" s="3" t="s">
        <v>35425</v>
      </c>
      <c r="C6765" s="3" t="s">
        <v>54</v>
      </c>
      <c r="D6765" s="3" t="s">
        <v>32</v>
      </c>
      <c r="E6765" s="4" t="s">
        <v>22</v>
      </c>
      <c r="F6765" s="4" t="s">
        <v>35426</v>
      </c>
      <c r="G6765" s="4" t="s">
        <v>35427</v>
      </c>
      <c r="H6765" s="3" t="s">
        <v>34363</v>
      </c>
      <c r="I6765" s="3" t="s">
        <v>1844</v>
      </c>
      <c r="J6765" s="3" t="s">
        <v>35428</v>
      </c>
      <c r="K6765" s="3" t="s">
        <v>35429</v>
      </c>
      <c r="L6765" s="3"/>
      <c r="M6765" s="4"/>
      <c r="N6765" s="3" t="s">
        <v>37</v>
      </c>
      <c r="O6765" s="3" t="s">
        <v>52</v>
      </c>
      <c r="P6765" s="5">
        <v>0</v>
      </c>
      <c r="Q6765" s="5">
        <v>0</v>
      </c>
      <c r="R6765" s="5">
        <v>7</v>
      </c>
      <c r="S6765" s="5">
        <v>49</v>
      </c>
    </row>
    <row r="6766" spans="1:19" ht="42" x14ac:dyDescent="0.15">
      <c r="A6766" s="2">
        <f>HYPERLINK("https://open-school.uspishnemisto.com.ua/school/350223/", 350223)</f>
        <v>350223</v>
      </c>
      <c r="B6766" s="3" t="s">
        <v>35430</v>
      </c>
      <c r="C6766" s="3" t="s">
        <v>31</v>
      </c>
      <c r="D6766" s="3" t="s">
        <v>175</v>
      </c>
      <c r="E6766" s="4" t="s">
        <v>22</v>
      </c>
      <c r="F6766" s="4" t="s">
        <v>35431</v>
      </c>
      <c r="G6766" s="4" t="s">
        <v>35432</v>
      </c>
      <c r="H6766" s="3" t="s">
        <v>34363</v>
      </c>
      <c r="I6766" s="3" t="s">
        <v>1139</v>
      </c>
      <c r="J6766" s="3" t="s">
        <v>35433</v>
      </c>
      <c r="K6766" s="3" t="s">
        <v>35434</v>
      </c>
      <c r="L6766" s="3" t="s">
        <v>35435</v>
      </c>
      <c r="M6766" s="4"/>
      <c r="N6766" s="3" t="s">
        <v>37</v>
      </c>
      <c r="O6766" s="3" t="s">
        <v>52</v>
      </c>
      <c r="P6766" s="5">
        <v>0</v>
      </c>
      <c r="Q6766" s="5">
        <v>0</v>
      </c>
      <c r="R6766" s="5">
        <v>7</v>
      </c>
      <c r="S6766" s="5">
        <v>44</v>
      </c>
    </row>
    <row r="6767" spans="1:19" ht="28" x14ac:dyDescent="0.15">
      <c r="A6767" s="2">
        <f>HYPERLINK("https://open-school.uspishnemisto.com.ua/school/350225/", 350225)</f>
        <v>350225</v>
      </c>
      <c r="B6767" s="3" t="s">
        <v>35436</v>
      </c>
      <c r="C6767" s="3" t="s">
        <v>31</v>
      </c>
      <c r="D6767" s="3" t="s">
        <v>32</v>
      </c>
      <c r="E6767" s="4" t="s">
        <v>22</v>
      </c>
      <c r="F6767" s="4" t="s">
        <v>35437</v>
      </c>
      <c r="G6767" s="4" t="s">
        <v>35438</v>
      </c>
      <c r="H6767" s="3" t="s">
        <v>34363</v>
      </c>
      <c r="I6767" s="3" t="s">
        <v>35439</v>
      </c>
      <c r="J6767" s="3" t="s">
        <v>35440</v>
      </c>
      <c r="K6767" s="3" t="s">
        <v>35441</v>
      </c>
      <c r="L6767" s="3" t="s">
        <v>35442</v>
      </c>
      <c r="M6767" s="4"/>
      <c r="N6767" s="3" t="s">
        <v>37</v>
      </c>
      <c r="O6767" s="3" t="s">
        <v>52</v>
      </c>
      <c r="P6767" s="5">
        <v>11</v>
      </c>
      <c r="Q6767" s="5">
        <v>210</v>
      </c>
      <c r="R6767" s="5">
        <v>11</v>
      </c>
      <c r="S6767" s="5">
        <v>186</v>
      </c>
    </row>
    <row r="6768" spans="1:19" ht="42" x14ac:dyDescent="0.15">
      <c r="A6768" s="2">
        <f>HYPERLINK("https://open-school.uspishnemisto.com.ua/school/350226/", 350226)</f>
        <v>350226</v>
      </c>
      <c r="B6768" s="3" t="s">
        <v>35443</v>
      </c>
      <c r="C6768" s="3" t="s">
        <v>54</v>
      </c>
      <c r="D6768" s="3" t="s">
        <v>60</v>
      </c>
      <c r="E6768" s="4" t="s">
        <v>22</v>
      </c>
      <c r="F6768" s="4" t="s">
        <v>35444</v>
      </c>
      <c r="G6768" s="4" t="s">
        <v>35445</v>
      </c>
      <c r="H6768" s="3" t="s">
        <v>34363</v>
      </c>
      <c r="I6768" s="3" t="s">
        <v>4435</v>
      </c>
      <c r="J6768" s="3"/>
      <c r="K6768" s="3" t="s">
        <v>35446</v>
      </c>
      <c r="L6768" s="3"/>
      <c r="M6768" s="4"/>
      <c r="N6768" s="3" t="s">
        <v>37</v>
      </c>
      <c r="O6768" s="3" t="s">
        <v>52</v>
      </c>
      <c r="P6768" s="5">
        <v>1</v>
      </c>
      <c r="Q6768" s="5">
        <v>10</v>
      </c>
      <c r="R6768" s="5">
        <v>0</v>
      </c>
      <c r="S6768" s="5">
        <v>10</v>
      </c>
    </row>
    <row r="6769" spans="1:19" ht="56" x14ac:dyDescent="0.15">
      <c r="A6769" s="2">
        <f>HYPERLINK("https://open-school.uspishnemisto.com.ua/school/350227/", 350227)</f>
        <v>350227</v>
      </c>
      <c r="B6769" s="3" t="s">
        <v>35447</v>
      </c>
      <c r="C6769" s="3" t="s">
        <v>54</v>
      </c>
      <c r="D6769" s="3" t="s">
        <v>175</v>
      </c>
      <c r="E6769" s="4" t="s">
        <v>22</v>
      </c>
      <c r="F6769" s="4" t="s">
        <v>35448</v>
      </c>
      <c r="G6769" s="4" t="s">
        <v>35449</v>
      </c>
      <c r="H6769" s="3" t="s">
        <v>34363</v>
      </c>
      <c r="I6769" s="3" t="s">
        <v>15679</v>
      </c>
      <c r="J6769" s="3" t="s">
        <v>4537</v>
      </c>
      <c r="K6769" s="3" t="s">
        <v>35450</v>
      </c>
      <c r="L6769" s="3"/>
      <c r="M6769" s="4"/>
      <c r="N6769" s="3" t="s">
        <v>37</v>
      </c>
      <c r="O6769" s="3" t="s">
        <v>52</v>
      </c>
      <c r="P6769" s="5">
        <v>0</v>
      </c>
      <c r="Q6769" s="5">
        <v>0</v>
      </c>
      <c r="R6769" s="5">
        <v>5</v>
      </c>
      <c r="S6769" s="5">
        <v>31</v>
      </c>
    </row>
    <row r="6770" spans="1:19" ht="42" x14ac:dyDescent="0.15">
      <c r="A6770" s="2">
        <f>HYPERLINK("https://open-school.uspishnemisto.com.ua/school/350228/", 350228)</f>
        <v>350228</v>
      </c>
      <c r="B6770" s="3" t="s">
        <v>35451</v>
      </c>
      <c r="C6770" s="3" t="s">
        <v>54</v>
      </c>
      <c r="D6770" s="3" t="s">
        <v>175</v>
      </c>
      <c r="E6770" s="4" t="s">
        <v>22</v>
      </c>
      <c r="F6770" s="4" t="s">
        <v>35452</v>
      </c>
      <c r="G6770" s="4" t="s">
        <v>35453</v>
      </c>
      <c r="H6770" s="3" t="s">
        <v>34363</v>
      </c>
      <c r="I6770" s="3" t="s">
        <v>1740</v>
      </c>
      <c r="J6770" s="3" t="s">
        <v>466</v>
      </c>
      <c r="K6770" s="3" t="s">
        <v>35454</v>
      </c>
      <c r="L6770" s="3"/>
      <c r="M6770" s="4"/>
      <c r="N6770" s="3" t="s">
        <v>37</v>
      </c>
      <c r="O6770" s="3" t="s">
        <v>52</v>
      </c>
      <c r="P6770" s="5">
        <v>5</v>
      </c>
      <c r="Q6770" s="5">
        <v>42</v>
      </c>
      <c r="R6770" s="5">
        <v>6</v>
      </c>
      <c r="S6770" s="5">
        <v>32</v>
      </c>
    </row>
    <row r="6771" spans="1:19" ht="56" x14ac:dyDescent="0.15">
      <c r="A6771" s="2">
        <f>HYPERLINK("https://open-school.uspishnemisto.com.ua/school/350229/", 350229)</f>
        <v>350229</v>
      </c>
      <c r="B6771" s="3" t="s">
        <v>35455</v>
      </c>
      <c r="C6771" s="3" t="s">
        <v>31</v>
      </c>
      <c r="D6771" s="3" t="s">
        <v>60</v>
      </c>
      <c r="E6771" s="4" t="s">
        <v>22</v>
      </c>
      <c r="F6771" s="4" t="s">
        <v>35456</v>
      </c>
      <c r="G6771" s="4" t="s">
        <v>35457</v>
      </c>
      <c r="H6771" s="3" t="s">
        <v>34363</v>
      </c>
      <c r="I6771" s="3" t="s">
        <v>35458</v>
      </c>
      <c r="J6771" s="3" t="s">
        <v>4425</v>
      </c>
      <c r="K6771" s="3" t="s">
        <v>35459</v>
      </c>
      <c r="L6771" s="3"/>
      <c r="M6771" s="4"/>
      <c r="N6771" s="3" t="s">
        <v>37</v>
      </c>
      <c r="O6771" s="3" t="s">
        <v>52</v>
      </c>
      <c r="P6771" s="5">
        <v>0</v>
      </c>
      <c r="Q6771" s="5">
        <v>0</v>
      </c>
      <c r="R6771" s="5">
        <v>0</v>
      </c>
      <c r="S6771" s="5">
        <v>5</v>
      </c>
    </row>
    <row r="6772" spans="1:19" ht="28" x14ac:dyDescent="0.15">
      <c r="A6772" s="2">
        <f>HYPERLINK("https://open-school.uspishnemisto.com.ua/school/350230/", 350230)</f>
        <v>350230</v>
      </c>
      <c r="B6772" s="3" t="s">
        <v>35460</v>
      </c>
      <c r="C6772" s="3" t="s">
        <v>31</v>
      </c>
      <c r="D6772" s="3" t="s">
        <v>32</v>
      </c>
      <c r="E6772" s="4" t="s">
        <v>22</v>
      </c>
      <c r="F6772" s="4" t="s">
        <v>35452</v>
      </c>
      <c r="G6772" s="4" t="s">
        <v>35461</v>
      </c>
      <c r="H6772" s="3" t="s">
        <v>34363</v>
      </c>
      <c r="I6772" s="3" t="s">
        <v>35462</v>
      </c>
      <c r="J6772" s="3" t="s">
        <v>584</v>
      </c>
      <c r="K6772" s="3" t="s">
        <v>35463</v>
      </c>
      <c r="L6772" s="3" t="s">
        <v>35464</v>
      </c>
      <c r="M6772" s="4"/>
      <c r="N6772" s="3" t="s">
        <v>37</v>
      </c>
      <c r="O6772" s="3" t="s">
        <v>52</v>
      </c>
      <c r="P6772" s="5">
        <v>11</v>
      </c>
      <c r="Q6772" s="5">
        <v>85</v>
      </c>
      <c r="R6772" s="5">
        <v>11</v>
      </c>
      <c r="S6772" s="5">
        <v>84</v>
      </c>
    </row>
    <row r="6773" spans="1:19" ht="28" x14ac:dyDescent="0.15">
      <c r="A6773" s="2">
        <f>HYPERLINK("https://open-school.uspishnemisto.com.ua/school/350231/", 350231)</f>
        <v>350231</v>
      </c>
      <c r="B6773" s="3" t="s">
        <v>35465</v>
      </c>
      <c r="C6773" s="3" t="s">
        <v>54</v>
      </c>
      <c r="D6773" s="3" t="s">
        <v>32</v>
      </c>
      <c r="E6773" s="4" t="s">
        <v>22</v>
      </c>
      <c r="F6773" s="4" t="s">
        <v>35466</v>
      </c>
      <c r="G6773" s="4" t="s">
        <v>35467</v>
      </c>
      <c r="H6773" s="3" t="s">
        <v>34363</v>
      </c>
      <c r="I6773" s="3" t="s">
        <v>35468</v>
      </c>
      <c r="J6773" s="3" t="s">
        <v>35469</v>
      </c>
      <c r="K6773" s="3"/>
      <c r="L6773" s="3"/>
      <c r="M6773" s="4"/>
      <c r="N6773" s="3" t="s">
        <v>37</v>
      </c>
      <c r="O6773" s="3" t="s">
        <v>52</v>
      </c>
      <c r="P6773" s="5">
        <v>11</v>
      </c>
      <c r="Q6773" s="5">
        <v>200</v>
      </c>
      <c r="R6773" s="5">
        <v>11</v>
      </c>
      <c r="S6773" s="5">
        <v>186</v>
      </c>
    </row>
    <row r="6774" spans="1:19" ht="28" x14ac:dyDescent="0.15">
      <c r="A6774" s="2">
        <f>HYPERLINK("https://open-school.uspishnemisto.com.ua/school/350232/", 350232)</f>
        <v>350232</v>
      </c>
      <c r="B6774" s="3" t="s">
        <v>35470</v>
      </c>
      <c r="C6774" s="3" t="s">
        <v>181</v>
      </c>
      <c r="D6774" s="3" t="s">
        <v>175</v>
      </c>
      <c r="E6774" s="4" t="s">
        <v>22</v>
      </c>
      <c r="F6774" s="4" t="s">
        <v>35466</v>
      </c>
      <c r="G6774" s="4" t="s">
        <v>35467</v>
      </c>
      <c r="H6774" s="3" t="s">
        <v>34363</v>
      </c>
      <c r="I6774" s="3" t="s">
        <v>35468</v>
      </c>
      <c r="J6774" s="3" t="s">
        <v>12886</v>
      </c>
      <c r="K6774" s="3" t="s">
        <v>35471</v>
      </c>
      <c r="L6774" s="3"/>
      <c r="M6774" s="4" t="s">
        <v>35472</v>
      </c>
      <c r="N6774" s="3" t="s">
        <v>37</v>
      </c>
      <c r="O6774" s="3"/>
      <c r="P6774" s="5">
        <v>10</v>
      </c>
      <c r="Q6774" s="5">
        <v>120</v>
      </c>
      <c r="R6774" s="5">
        <v>10</v>
      </c>
      <c r="S6774" s="5">
        <v>121</v>
      </c>
    </row>
    <row r="6775" spans="1:19" ht="56" x14ac:dyDescent="0.15">
      <c r="A6775" s="2">
        <f>HYPERLINK("https://open-school.uspishnemisto.com.ua/school/350233/", 350233)</f>
        <v>350233</v>
      </c>
      <c r="B6775" s="3" t="s">
        <v>35473</v>
      </c>
      <c r="C6775" s="3" t="s">
        <v>54</v>
      </c>
      <c r="D6775" s="3" t="s">
        <v>175</v>
      </c>
      <c r="E6775" s="4" t="s">
        <v>22</v>
      </c>
      <c r="F6775" s="4" t="s">
        <v>35466</v>
      </c>
      <c r="G6775" s="4" t="s">
        <v>35467</v>
      </c>
      <c r="H6775" s="3" t="s">
        <v>34363</v>
      </c>
      <c r="I6775" s="3" t="s">
        <v>35468</v>
      </c>
      <c r="J6775" s="3" t="s">
        <v>35474</v>
      </c>
      <c r="K6775" s="3" t="s">
        <v>35475</v>
      </c>
      <c r="L6775" s="3"/>
      <c r="M6775" s="4"/>
      <c r="N6775" s="3" t="s">
        <v>37</v>
      </c>
      <c r="O6775" s="3" t="s">
        <v>52</v>
      </c>
      <c r="P6775" s="5">
        <v>4</v>
      </c>
      <c r="Q6775" s="5">
        <v>35</v>
      </c>
      <c r="R6775" s="5">
        <v>4</v>
      </c>
      <c r="S6775" s="5">
        <v>40</v>
      </c>
    </row>
    <row r="6776" spans="1:19" ht="56" x14ac:dyDescent="0.15">
      <c r="A6776" s="2">
        <f>HYPERLINK("https://open-school.uspishnemisto.com.ua/school/350234/", 350234)</f>
        <v>350234</v>
      </c>
      <c r="B6776" s="3" t="s">
        <v>35476</v>
      </c>
      <c r="C6776" s="3" t="s">
        <v>54</v>
      </c>
      <c r="D6776" s="3" t="s">
        <v>32</v>
      </c>
      <c r="E6776" s="4" t="s">
        <v>22</v>
      </c>
      <c r="F6776" s="4" t="s">
        <v>35477</v>
      </c>
      <c r="G6776" s="4" t="s">
        <v>35478</v>
      </c>
      <c r="H6776" s="3" t="s">
        <v>34363</v>
      </c>
      <c r="I6776" s="3" t="s">
        <v>35479</v>
      </c>
      <c r="J6776" s="3" t="s">
        <v>6621</v>
      </c>
      <c r="K6776" s="3" t="s">
        <v>35480</v>
      </c>
      <c r="L6776" s="3"/>
      <c r="M6776" s="4"/>
      <c r="N6776" s="3" t="s">
        <v>37</v>
      </c>
      <c r="O6776" s="3" t="s">
        <v>46</v>
      </c>
      <c r="P6776" s="5">
        <v>4</v>
      </c>
      <c r="Q6776" s="5">
        <v>37</v>
      </c>
      <c r="R6776" s="5">
        <v>5</v>
      </c>
      <c r="S6776" s="5">
        <v>41</v>
      </c>
    </row>
    <row r="6777" spans="1:19" ht="42" x14ac:dyDescent="0.15">
      <c r="A6777" s="2">
        <f>HYPERLINK("https://open-school.uspishnemisto.com.ua/school/350235/", 350235)</f>
        <v>350235</v>
      </c>
      <c r="B6777" s="3" t="s">
        <v>35481</v>
      </c>
      <c r="C6777" s="3" t="s">
        <v>31</v>
      </c>
      <c r="D6777" s="3" t="s">
        <v>32</v>
      </c>
      <c r="E6777" s="4" t="s">
        <v>22</v>
      </c>
      <c r="F6777" s="4" t="s">
        <v>35482</v>
      </c>
      <c r="G6777" s="4" t="s">
        <v>35483</v>
      </c>
      <c r="H6777" s="3" t="s">
        <v>34363</v>
      </c>
      <c r="I6777" s="3" t="s">
        <v>35484</v>
      </c>
      <c r="J6777" s="3" t="s">
        <v>35485</v>
      </c>
      <c r="K6777" s="3" t="s">
        <v>35486</v>
      </c>
      <c r="L6777" s="3"/>
      <c r="M6777" s="4"/>
      <c r="N6777" s="3" t="s">
        <v>37</v>
      </c>
      <c r="O6777" s="3" t="s">
        <v>52</v>
      </c>
      <c r="P6777" s="5">
        <v>11</v>
      </c>
      <c r="Q6777" s="5">
        <v>152</v>
      </c>
      <c r="R6777" s="5">
        <v>11</v>
      </c>
      <c r="S6777" s="5">
        <v>145</v>
      </c>
    </row>
    <row r="6778" spans="1:19" ht="28" x14ac:dyDescent="0.15">
      <c r="A6778" s="2">
        <f>HYPERLINK("https://open-school.uspishnemisto.com.ua/school/350236/", 350236)</f>
        <v>350236</v>
      </c>
      <c r="B6778" s="3" t="s">
        <v>35487</v>
      </c>
      <c r="C6778" s="3" t="s">
        <v>31</v>
      </c>
      <c r="D6778" s="3" t="s">
        <v>32</v>
      </c>
      <c r="E6778" s="4" t="s">
        <v>22</v>
      </c>
      <c r="F6778" s="4" t="s">
        <v>35482</v>
      </c>
      <c r="G6778" s="4" t="s">
        <v>35483</v>
      </c>
      <c r="H6778" s="3" t="s">
        <v>34363</v>
      </c>
      <c r="I6778" s="3" t="s">
        <v>35484</v>
      </c>
      <c r="J6778" s="3" t="s">
        <v>6598</v>
      </c>
      <c r="K6778" s="3" t="s">
        <v>35488</v>
      </c>
      <c r="L6778" s="3"/>
      <c r="M6778" s="4"/>
      <c r="N6778" s="3" t="s">
        <v>37</v>
      </c>
      <c r="O6778" s="3" t="s">
        <v>52</v>
      </c>
      <c r="P6778" s="5">
        <v>11</v>
      </c>
      <c r="Q6778" s="5">
        <v>164</v>
      </c>
      <c r="R6778" s="5">
        <v>11</v>
      </c>
      <c r="S6778" s="5">
        <v>166</v>
      </c>
    </row>
    <row r="6779" spans="1:19" ht="56" x14ac:dyDescent="0.15">
      <c r="A6779" s="2">
        <f>HYPERLINK("https://open-school.uspishnemisto.com.ua/school/350237/", 350237)</f>
        <v>350237</v>
      </c>
      <c r="B6779" s="3" t="s">
        <v>35489</v>
      </c>
      <c r="C6779" s="3" t="s">
        <v>54</v>
      </c>
      <c r="D6779" s="3" t="s">
        <v>60</v>
      </c>
      <c r="E6779" s="4" t="s">
        <v>22</v>
      </c>
      <c r="F6779" s="4" t="s">
        <v>35490</v>
      </c>
      <c r="G6779" s="4" t="s">
        <v>35491</v>
      </c>
      <c r="H6779" s="3" t="s">
        <v>34363</v>
      </c>
      <c r="I6779" s="3" t="s">
        <v>4594</v>
      </c>
      <c r="J6779" s="3"/>
      <c r="K6779" s="3" t="s">
        <v>35459</v>
      </c>
      <c r="L6779" s="3"/>
      <c r="M6779" s="4"/>
      <c r="N6779" s="3" t="s">
        <v>37</v>
      </c>
      <c r="O6779" s="3" t="s">
        <v>52</v>
      </c>
      <c r="P6779" s="5">
        <v>2</v>
      </c>
      <c r="Q6779" s="5">
        <v>10</v>
      </c>
      <c r="R6779" s="5">
        <v>2</v>
      </c>
      <c r="S6779" s="5">
        <v>12</v>
      </c>
    </row>
    <row r="6780" spans="1:19" ht="56" x14ac:dyDescent="0.15">
      <c r="A6780" s="2">
        <f>HYPERLINK("https://open-school.uspishnemisto.com.ua/school/350238/", 350238)</f>
        <v>350238</v>
      </c>
      <c r="B6780" s="3" t="s">
        <v>35492</v>
      </c>
      <c r="C6780" s="3" t="s">
        <v>54</v>
      </c>
      <c r="D6780" s="3" t="s">
        <v>175</v>
      </c>
      <c r="E6780" s="4" t="s">
        <v>22</v>
      </c>
      <c r="F6780" s="4" t="s">
        <v>35493</v>
      </c>
      <c r="G6780" s="4" t="s">
        <v>35494</v>
      </c>
      <c r="H6780" s="3" t="s">
        <v>34363</v>
      </c>
      <c r="I6780" s="3" t="s">
        <v>4683</v>
      </c>
      <c r="J6780" s="3" t="s">
        <v>35495</v>
      </c>
      <c r="K6780" s="3" t="s">
        <v>35496</v>
      </c>
      <c r="L6780" s="3"/>
      <c r="M6780" s="4"/>
      <c r="N6780" s="3" t="s">
        <v>37</v>
      </c>
      <c r="O6780" s="3" t="s">
        <v>618</v>
      </c>
      <c r="P6780" s="5">
        <v>3</v>
      </c>
      <c r="Q6780" s="5">
        <v>29</v>
      </c>
      <c r="R6780" s="5">
        <v>6</v>
      </c>
      <c r="S6780" s="5">
        <v>32</v>
      </c>
    </row>
    <row r="6781" spans="1:19" ht="70" x14ac:dyDescent="0.15">
      <c r="A6781" s="2">
        <f>HYPERLINK("https://open-school.uspishnemisto.com.ua/school/350239/", 350239)</f>
        <v>350239</v>
      </c>
      <c r="B6781" s="3" t="s">
        <v>35497</v>
      </c>
      <c r="C6781" s="3" t="s">
        <v>54</v>
      </c>
      <c r="D6781" s="3" t="s">
        <v>32</v>
      </c>
      <c r="E6781" s="4" t="s">
        <v>22</v>
      </c>
      <c r="F6781" s="4" t="s">
        <v>35498</v>
      </c>
      <c r="G6781" s="4" t="s">
        <v>35499</v>
      </c>
      <c r="H6781" s="3" t="s">
        <v>34363</v>
      </c>
      <c r="I6781" s="3" t="s">
        <v>35500</v>
      </c>
      <c r="J6781" s="3" t="s">
        <v>11444</v>
      </c>
      <c r="K6781" s="3"/>
      <c r="L6781" s="3"/>
      <c r="M6781" s="4"/>
      <c r="N6781" s="3" t="s">
        <v>37</v>
      </c>
      <c r="O6781" s="3" t="s">
        <v>52</v>
      </c>
      <c r="P6781" s="5">
        <v>7</v>
      </c>
      <c r="Q6781" s="5">
        <v>47</v>
      </c>
      <c r="R6781" s="5">
        <v>6</v>
      </c>
      <c r="S6781" s="5">
        <v>41</v>
      </c>
    </row>
    <row r="6782" spans="1:19" ht="28" x14ac:dyDescent="0.15">
      <c r="A6782" s="2">
        <f>HYPERLINK("https://open-school.uspishnemisto.com.ua/school/350240/", 350240)</f>
        <v>350240</v>
      </c>
      <c r="B6782" s="3" t="s">
        <v>35501</v>
      </c>
      <c r="C6782" s="3" t="s">
        <v>31</v>
      </c>
      <c r="D6782" s="3" t="s">
        <v>32</v>
      </c>
      <c r="E6782" s="4" t="s">
        <v>22</v>
      </c>
      <c r="F6782" s="4" t="s">
        <v>35502</v>
      </c>
      <c r="G6782" s="4" t="s">
        <v>35503</v>
      </c>
      <c r="H6782" s="3" t="s">
        <v>34363</v>
      </c>
      <c r="I6782" s="3" t="s">
        <v>35504</v>
      </c>
      <c r="J6782" s="3" t="s">
        <v>35505</v>
      </c>
      <c r="K6782" s="3" t="s">
        <v>35506</v>
      </c>
      <c r="L6782" s="3"/>
      <c r="M6782" s="4"/>
      <c r="N6782" s="3" t="s">
        <v>37</v>
      </c>
      <c r="O6782" s="3" t="s">
        <v>70</v>
      </c>
      <c r="P6782" s="5">
        <v>15</v>
      </c>
      <c r="Q6782" s="5">
        <v>302</v>
      </c>
      <c r="R6782" s="5">
        <v>17</v>
      </c>
      <c r="S6782" s="5">
        <v>326</v>
      </c>
    </row>
    <row r="6783" spans="1:19" ht="42" x14ac:dyDescent="0.15">
      <c r="A6783" s="2">
        <f>HYPERLINK("https://open-school.uspishnemisto.com.ua/school/350241/", 350241)</f>
        <v>350241</v>
      </c>
      <c r="B6783" s="3" t="s">
        <v>35507</v>
      </c>
      <c r="C6783" s="3" t="s">
        <v>31</v>
      </c>
      <c r="D6783" s="3" t="s">
        <v>32</v>
      </c>
      <c r="E6783" s="4" t="s">
        <v>22</v>
      </c>
      <c r="F6783" s="4" t="s">
        <v>35502</v>
      </c>
      <c r="G6783" s="4" t="s">
        <v>35503</v>
      </c>
      <c r="H6783" s="3" t="s">
        <v>34363</v>
      </c>
      <c r="I6783" s="3" t="s">
        <v>35504</v>
      </c>
      <c r="J6783" s="3" t="s">
        <v>5492</v>
      </c>
      <c r="K6783" s="3" t="s">
        <v>35508</v>
      </c>
      <c r="L6783" s="3"/>
      <c r="M6783" s="4"/>
      <c r="N6783" s="3" t="s">
        <v>37</v>
      </c>
      <c r="O6783" s="3" t="s">
        <v>38</v>
      </c>
      <c r="P6783" s="5">
        <v>19</v>
      </c>
      <c r="Q6783" s="5">
        <v>380</v>
      </c>
      <c r="R6783" s="5">
        <v>17</v>
      </c>
      <c r="S6783" s="5">
        <v>362</v>
      </c>
    </row>
    <row r="6784" spans="1:19" ht="28" x14ac:dyDescent="0.15">
      <c r="A6784" s="2">
        <f>HYPERLINK("https://open-school.uspishnemisto.com.ua/school/350242/", 350242)</f>
        <v>350242</v>
      </c>
      <c r="B6784" s="3" t="s">
        <v>35509</v>
      </c>
      <c r="C6784" s="3" t="s">
        <v>31</v>
      </c>
      <c r="D6784" s="3" t="s">
        <v>32</v>
      </c>
      <c r="E6784" s="4" t="s">
        <v>22</v>
      </c>
      <c r="F6784" s="4" t="s">
        <v>35502</v>
      </c>
      <c r="G6784" s="4" t="s">
        <v>35503</v>
      </c>
      <c r="H6784" s="3" t="s">
        <v>34363</v>
      </c>
      <c r="I6784" s="3" t="s">
        <v>35504</v>
      </c>
      <c r="J6784" s="3" t="s">
        <v>35510</v>
      </c>
      <c r="K6784" s="3" t="s">
        <v>35511</v>
      </c>
      <c r="L6784" s="3"/>
      <c r="M6784" s="4"/>
      <c r="N6784" s="3" t="s">
        <v>37</v>
      </c>
      <c r="O6784" s="3" t="s">
        <v>70</v>
      </c>
      <c r="P6784" s="5">
        <v>52</v>
      </c>
      <c r="Q6784" s="5">
        <v>834</v>
      </c>
      <c r="R6784" s="5">
        <v>30</v>
      </c>
      <c r="S6784" s="5">
        <v>675</v>
      </c>
    </row>
    <row r="6785" spans="1:19" ht="42" x14ac:dyDescent="0.15">
      <c r="A6785" s="2">
        <f>HYPERLINK("https://open-school.uspishnemisto.com.ua/school/350243/", 350243)</f>
        <v>350243</v>
      </c>
      <c r="B6785" s="3" t="s">
        <v>35512</v>
      </c>
      <c r="C6785" s="3" t="s">
        <v>54</v>
      </c>
      <c r="D6785" s="3" t="s">
        <v>32</v>
      </c>
      <c r="E6785" s="4" t="s">
        <v>22</v>
      </c>
      <c r="F6785" s="4" t="s">
        <v>35502</v>
      </c>
      <c r="G6785" s="4" t="s">
        <v>35503</v>
      </c>
      <c r="H6785" s="3" t="s">
        <v>34363</v>
      </c>
      <c r="I6785" s="3" t="s">
        <v>35504</v>
      </c>
      <c r="J6785" s="3" t="s">
        <v>35513</v>
      </c>
      <c r="K6785" s="3" t="s">
        <v>35514</v>
      </c>
      <c r="L6785" s="3" t="s">
        <v>35515</v>
      </c>
      <c r="M6785" s="4"/>
      <c r="N6785" s="3" t="s">
        <v>37</v>
      </c>
      <c r="O6785" s="3" t="s">
        <v>70</v>
      </c>
      <c r="P6785" s="5">
        <v>48</v>
      </c>
      <c r="Q6785" s="5">
        <v>862</v>
      </c>
      <c r="R6785" s="5">
        <v>32</v>
      </c>
      <c r="S6785" s="5">
        <v>702</v>
      </c>
    </row>
    <row r="6786" spans="1:19" ht="28" x14ac:dyDescent="0.15">
      <c r="A6786" s="2">
        <f>HYPERLINK("https://open-school.uspishnemisto.com.ua/school/350244/", 350244)</f>
        <v>350244</v>
      </c>
      <c r="B6786" s="3" t="s">
        <v>35516</v>
      </c>
      <c r="C6786" s="3" t="s">
        <v>31</v>
      </c>
      <c r="D6786" s="3" t="s">
        <v>32</v>
      </c>
      <c r="E6786" s="4" t="s">
        <v>22</v>
      </c>
      <c r="F6786" s="4" t="s">
        <v>35517</v>
      </c>
      <c r="G6786" s="4" t="s">
        <v>35518</v>
      </c>
      <c r="H6786" s="3" t="s">
        <v>34363</v>
      </c>
      <c r="I6786" s="3" t="s">
        <v>13387</v>
      </c>
      <c r="J6786" s="3" t="s">
        <v>35519</v>
      </c>
      <c r="K6786" s="3"/>
      <c r="L6786" s="3"/>
      <c r="M6786" s="4"/>
      <c r="N6786" s="3" t="s">
        <v>37</v>
      </c>
      <c r="O6786" s="3" t="s">
        <v>38</v>
      </c>
      <c r="P6786" s="5">
        <v>11</v>
      </c>
      <c r="Q6786" s="5">
        <v>115</v>
      </c>
      <c r="R6786" s="5">
        <v>11</v>
      </c>
      <c r="S6786" s="5">
        <v>128</v>
      </c>
    </row>
    <row r="6787" spans="1:19" ht="28" x14ac:dyDescent="0.15">
      <c r="A6787" s="2">
        <f>HYPERLINK("https://open-school.uspishnemisto.com.ua/school/350245/", 350245)</f>
        <v>350245</v>
      </c>
      <c r="B6787" s="3" t="s">
        <v>35520</v>
      </c>
      <c r="C6787" s="3" t="s">
        <v>31</v>
      </c>
      <c r="D6787" s="3" t="s">
        <v>32</v>
      </c>
      <c r="E6787" s="4" t="s">
        <v>22</v>
      </c>
      <c r="F6787" s="4" t="s">
        <v>35521</v>
      </c>
      <c r="G6787" s="4" t="s">
        <v>35522</v>
      </c>
      <c r="H6787" s="3" t="s">
        <v>34363</v>
      </c>
      <c r="I6787" s="3" t="s">
        <v>1291</v>
      </c>
      <c r="J6787" s="3" t="s">
        <v>32683</v>
      </c>
      <c r="K6787" s="3" t="s">
        <v>35523</v>
      </c>
      <c r="L6787" s="3"/>
      <c r="M6787" s="4"/>
      <c r="N6787" s="3" t="s">
        <v>37</v>
      </c>
      <c r="O6787" s="3" t="s">
        <v>38</v>
      </c>
      <c r="P6787" s="5">
        <v>10</v>
      </c>
      <c r="Q6787" s="5">
        <v>86</v>
      </c>
      <c r="R6787" s="5">
        <v>10</v>
      </c>
      <c r="S6787" s="5">
        <v>93</v>
      </c>
    </row>
    <row r="6788" spans="1:19" ht="28" x14ac:dyDescent="0.15">
      <c r="A6788" s="2">
        <f>HYPERLINK("https://open-school.uspishnemisto.com.ua/school/350248/", 350248)</f>
        <v>350248</v>
      </c>
      <c r="B6788" s="3" t="s">
        <v>35524</v>
      </c>
      <c r="C6788" s="3" t="s">
        <v>31</v>
      </c>
      <c r="D6788" s="3" t="s">
        <v>32</v>
      </c>
      <c r="E6788" s="4" t="s">
        <v>22</v>
      </c>
      <c r="F6788" s="4" t="s">
        <v>35525</v>
      </c>
      <c r="G6788" s="4" t="s">
        <v>35526</v>
      </c>
      <c r="H6788" s="3" t="s">
        <v>34363</v>
      </c>
      <c r="I6788" s="3" t="s">
        <v>35527</v>
      </c>
      <c r="J6788" s="3" t="s">
        <v>2052</v>
      </c>
      <c r="K6788" s="3" t="s">
        <v>35528</v>
      </c>
      <c r="L6788" s="3"/>
      <c r="M6788" s="4"/>
      <c r="N6788" s="3" t="s">
        <v>37</v>
      </c>
      <c r="O6788" s="3" t="s">
        <v>38</v>
      </c>
      <c r="P6788" s="5">
        <v>7</v>
      </c>
      <c r="Q6788" s="5">
        <v>50</v>
      </c>
      <c r="R6788" s="5">
        <v>8</v>
      </c>
      <c r="S6788" s="5">
        <v>61</v>
      </c>
    </row>
    <row r="6789" spans="1:19" ht="28" x14ac:dyDescent="0.15">
      <c r="A6789" s="2">
        <f>HYPERLINK("https://open-school.uspishnemisto.com.ua/school/350251/", 350251)</f>
        <v>350251</v>
      </c>
      <c r="B6789" s="3" t="s">
        <v>35529</v>
      </c>
      <c r="C6789" s="3" t="s">
        <v>31</v>
      </c>
      <c r="D6789" s="3" t="s">
        <v>32</v>
      </c>
      <c r="E6789" s="4" t="s">
        <v>22</v>
      </c>
      <c r="F6789" s="4" t="s">
        <v>35530</v>
      </c>
      <c r="G6789" s="4" t="s">
        <v>35531</v>
      </c>
      <c r="H6789" s="3" t="s">
        <v>34363</v>
      </c>
      <c r="I6789" s="3" t="s">
        <v>35532</v>
      </c>
      <c r="J6789" s="3" t="s">
        <v>35533</v>
      </c>
      <c r="K6789" s="3" t="s">
        <v>35534</v>
      </c>
      <c r="L6789" s="3"/>
      <c r="M6789" s="4" t="s">
        <v>35535</v>
      </c>
      <c r="N6789" s="3" t="s">
        <v>37</v>
      </c>
      <c r="O6789" s="3" t="s">
        <v>38</v>
      </c>
      <c r="P6789" s="5">
        <v>11</v>
      </c>
      <c r="Q6789" s="5">
        <v>168</v>
      </c>
      <c r="R6789" s="5">
        <v>11</v>
      </c>
      <c r="S6789" s="5">
        <v>171</v>
      </c>
    </row>
    <row r="6790" spans="1:19" ht="28" x14ac:dyDescent="0.15">
      <c r="A6790" s="2">
        <f>HYPERLINK("https://open-school.uspishnemisto.com.ua/school/350253/", 350253)</f>
        <v>350253</v>
      </c>
      <c r="B6790" s="3" t="s">
        <v>35536</v>
      </c>
      <c r="C6790" s="3" t="s">
        <v>31</v>
      </c>
      <c r="D6790" s="3" t="s">
        <v>32</v>
      </c>
      <c r="E6790" s="4" t="s">
        <v>22</v>
      </c>
      <c r="F6790" s="4" t="s">
        <v>35537</v>
      </c>
      <c r="G6790" s="4" t="s">
        <v>35538</v>
      </c>
      <c r="H6790" s="3" t="s">
        <v>34363</v>
      </c>
      <c r="I6790" s="3" t="s">
        <v>35539</v>
      </c>
      <c r="J6790" s="3" t="s">
        <v>2719</v>
      </c>
      <c r="K6790" s="3" t="s">
        <v>35540</v>
      </c>
      <c r="L6790" s="3"/>
      <c r="M6790" s="4"/>
      <c r="N6790" s="3" t="s">
        <v>37</v>
      </c>
      <c r="O6790" s="3" t="s">
        <v>52</v>
      </c>
      <c r="P6790" s="5">
        <v>11</v>
      </c>
      <c r="Q6790" s="5">
        <v>101</v>
      </c>
      <c r="R6790" s="5">
        <v>11</v>
      </c>
      <c r="S6790" s="5">
        <v>104</v>
      </c>
    </row>
    <row r="6791" spans="1:19" ht="42" x14ac:dyDescent="0.15">
      <c r="A6791" s="2">
        <f>HYPERLINK("https://open-school.uspishnemisto.com.ua/school/350254/", 350254)</f>
        <v>350254</v>
      </c>
      <c r="B6791" s="3" t="s">
        <v>35541</v>
      </c>
      <c r="C6791" s="3" t="s">
        <v>54</v>
      </c>
      <c r="D6791" s="3" t="s">
        <v>175</v>
      </c>
      <c r="E6791" s="4" t="s">
        <v>22</v>
      </c>
      <c r="F6791" s="4" t="s">
        <v>35537</v>
      </c>
      <c r="G6791" s="4" t="s">
        <v>35542</v>
      </c>
      <c r="H6791" s="3" t="s">
        <v>34363</v>
      </c>
      <c r="I6791" s="3" t="s">
        <v>11128</v>
      </c>
      <c r="J6791" s="3" t="s">
        <v>35543</v>
      </c>
      <c r="K6791" s="3" t="s">
        <v>35544</v>
      </c>
      <c r="L6791" s="3"/>
      <c r="M6791" s="4"/>
      <c r="N6791" s="3" t="s">
        <v>37</v>
      </c>
      <c r="O6791" s="3" t="s">
        <v>52</v>
      </c>
      <c r="P6791" s="5">
        <v>9</v>
      </c>
      <c r="Q6791" s="5">
        <v>71</v>
      </c>
      <c r="R6791" s="5">
        <v>9</v>
      </c>
      <c r="S6791" s="5">
        <v>75</v>
      </c>
    </row>
    <row r="6792" spans="1:19" ht="28" x14ac:dyDescent="0.15">
      <c r="A6792" s="2">
        <f>HYPERLINK("https://open-school.uspishnemisto.com.ua/school/350255/", 350255)</f>
        <v>350255</v>
      </c>
      <c r="B6792" s="3" t="s">
        <v>35545</v>
      </c>
      <c r="C6792" s="3" t="s">
        <v>31</v>
      </c>
      <c r="D6792" s="3" t="s">
        <v>32</v>
      </c>
      <c r="E6792" s="4" t="s">
        <v>22</v>
      </c>
      <c r="F6792" s="4" t="s">
        <v>35546</v>
      </c>
      <c r="G6792" s="4" t="s">
        <v>35547</v>
      </c>
      <c r="H6792" s="3" t="s">
        <v>34363</v>
      </c>
      <c r="I6792" s="3" t="s">
        <v>35548</v>
      </c>
      <c r="J6792" s="3" t="s">
        <v>35549</v>
      </c>
      <c r="K6792" s="3" t="s">
        <v>35550</v>
      </c>
      <c r="L6792" s="3"/>
      <c r="M6792" s="4"/>
      <c r="N6792" s="3" t="s">
        <v>37</v>
      </c>
      <c r="O6792" s="3" t="s">
        <v>38</v>
      </c>
      <c r="P6792" s="5">
        <v>11</v>
      </c>
      <c r="Q6792" s="5">
        <v>108</v>
      </c>
      <c r="R6792" s="5">
        <v>11</v>
      </c>
      <c r="S6792" s="5">
        <v>121</v>
      </c>
    </row>
    <row r="6793" spans="1:19" ht="28" x14ac:dyDescent="0.15">
      <c r="A6793" s="2">
        <f>HYPERLINK("https://open-school.uspishnemisto.com.ua/school/350256/", 350256)</f>
        <v>350256</v>
      </c>
      <c r="B6793" s="3" t="s">
        <v>35551</v>
      </c>
      <c r="C6793" s="3" t="s">
        <v>31</v>
      </c>
      <c r="D6793" s="3" t="s">
        <v>175</v>
      </c>
      <c r="E6793" s="4" t="s">
        <v>22</v>
      </c>
      <c r="F6793" s="4" t="s">
        <v>35546</v>
      </c>
      <c r="G6793" s="4" t="s">
        <v>35552</v>
      </c>
      <c r="H6793" s="3" t="s">
        <v>34363</v>
      </c>
      <c r="I6793" s="3" t="s">
        <v>35553</v>
      </c>
      <c r="J6793" s="3" t="s">
        <v>1636</v>
      </c>
      <c r="K6793" s="3"/>
      <c r="L6793" s="3"/>
      <c r="M6793" s="4"/>
      <c r="N6793" s="3" t="s">
        <v>37</v>
      </c>
      <c r="O6793" s="3" t="s">
        <v>38</v>
      </c>
      <c r="P6793" s="5">
        <v>5</v>
      </c>
      <c r="Q6793" s="5">
        <v>35</v>
      </c>
      <c r="R6793" s="5">
        <v>3</v>
      </c>
      <c r="S6793" s="5">
        <v>34</v>
      </c>
    </row>
    <row r="6794" spans="1:19" ht="42" x14ac:dyDescent="0.15">
      <c r="A6794" s="2">
        <f>HYPERLINK("https://open-school.uspishnemisto.com.ua/school/350257/", 350257)</f>
        <v>350257</v>
      </c>
      <c r="B6794" s="3" t="s">
        <v>35554</v>
      </c>
      <c r="C6794" s="3" t="s">
        <v>31</v>
      </c>
      <c r="D6794" s="3" t="s">
        <v>175</v>
      </c>
      <c r="E6794" s="4" t="s">
        <v>22</v>
      </c>
      <c r="F6794" s="4" t="s">
        <v>35555</v>
      </c>
      <c r="G6794" s="4" t="s">
        <v>35556</v>
      </c>
      <c r="H6794" s="3" t="s">
        <v>34363</v>
      </c>
      <c r="I6794" s="3" t="s">
        <v>35557</v>
      </c>
      <c r="J6794" s="3" t="s">
        <v>2745</v>
      </c>
      <c r="K6794" s="3"/>
      <c r="L6794" s="3"/>
      <c r="M6794" s="4"/>
      <c r="N6794" s="3" t="s">
        <v>37</v>
      </c>
      <c r="O6794" s="3" t="s">
        <v>38</v>
      </c>
      <c r="P6794" s="5">
        <v>5</v>
      </c>
      <c r="Q6794" s="5">
        <v>41</v>
      </c>
      <c r="R6794" s="5">
        <v>3</v>
      </c>
      <c r="S6794" s="5">
        <v>36</v>
      </c>
    </row>
    <row r="6795" spans="1:19" ht="42" x14ac:dyDescent="0.15">
      <c r="A6795" s="2">
        <f>HYPERLINK("https://open-school.uspishnemisto.com.ua/school/350258/", 350258)</f>
        <v>350258</v>
      </c>
      <c r="B6795" s="3" t="s">
        <v>35558</v>
      </c>
      <c r="C6795" s="3" t="s">
        <v>31</v>
      </c>
      <c r="D6795" s="3" t="s">
        <v>32</v>
      </c>
      <c r="E6795" s="4" t="s">
        <v>22</v>
      </c>
      <c r="F6795" s="4" t="s">
        <v>35559</v>
      </c>
      <c r="G6795" s="4" t="s">
        <v>35560</v>
      </c>
      <c r="H6795" s="3" t="s">
        <v>34363</v>
      </c>
      <c r="I6795" s="3" t="s">
        <v>35561</v>
      </c>
      <c r="J6795" s="3" t="s">
        <v>35562</v>
      </c>
      <c r="K6795" s="3" t="s">
        <v>35563</v>
      </c>
      <c r="L6795" s="3"/>
      <c r="M6795" s="4"/>
      <c r="N6795" s="3" t="s">
        <v>37</v>
      </c>
      <c r="O6795" s="3" t="s">
        <v>38</v>
      </c>
      <c r="P6795" s="5">
        <v>11</v>
      </c>
      <c r="Q6795" s="5">
        <v>87</v>
      </c>
      <c r="R6795" s="5">
        <v>11</v>
      </c>
      <c r="S6795" s="5">
        <v>95</v>
      </c>
    </row>
    <row r="6796" spans="1:19" ht="28" x14ac:dyDescent="0.15">
      <c r="A6796" s="2">
        <f>HYPERLINK("https://open-school.uspishnemisto.com.ua/school/350260/", 350260)</f>
        <v>350260</v>
      </c>
      <c r="B6796" s="3" t="s">
        <v>35564</v>
      </c>
      <c r="C6796" s="3" t="s">
        <v>31</v>
      </c>
      <c r="D6796" s="3" t="s">
        <v>175</v>
      </c>
      <c r="E6796" s="4" t="s">
        <v>22</v>
      </c>
      <c r="F6796" s="4" t="s">
        <v>35565</v>
      </c>
      <c r="G6796" s="4" t="s">
        <v>35566</v>
      </c>
      <c r="H6796" s="3" t="s">
        <v>34363</v>
      </c>
      <c r="I6796" s="3" t="s">
        <v>35567</v>
      </c>
      <c r="J6796" s="3" t="s">
        <v>35568</v>
      </c>
      <c r="K6796" s="3" t="s">
        <v>35569</v>
      </c>
      <c r="L6796" s="3"/>
      <c r="M6796" s="4"/>
      <c r="N6796" s="3" t="s">
        <v>37</v>
      </c>
      <c r="O6796" s="3" t="s">
        <v>38</v>
      </c>
      <c r="P6796" s="5">
        <v>3</v>
      </c>
      <c r="Q6796" s="5">
        <v>34</v>
      </c>
      <c r="R6796" s="5">
        <v>2</v>
      </c>
      <c r="S6796" s="5">
        <v>28</v>
      </c>
    </row>
    <row r="6797" spans="1:19" ht="42" x14ac:dyDescent="0.15">
      <c r="A6797" s="2">
        <f>HYPERLINK("https://open-school.uspishnemisto.com.ua/school/350261/", 350261)</f>
        <v>350261</v>
      </c>
      <c r="B6797" s="3" t="s">
        <v>35570</v>
      </c>
      <c r="C6797" s="3" t="s">
        <v>31</v>
      </c>
      <c r="D6797" s="3" t="s">
        <v>32</v>
      </c>
      <c r="E6797" s="4" t="s">
        <v>22</v>
      </c>
      <c r="F6797" s="4" t="s">
        <v>34137</v>
      </c>
      <c r="G6797" s="4" t="s">
        <v>35571</v>
      </c>
      <c r="H6797" s="3" t="s">
        <v>34363</v>
      </c>
      <c r="I6797" s="3" t="s">
        <v>3790</v>
      </c>
      <c r="J6797" s="3" t="s">
        <v>35572</v>
      </c>
      <c r="K6797" s="3" t="s">
        <v>35573</v>
      </c>
      <c r="L6797" s="3"/>
      <c r="M6797" s="4"/>
      <c r="N6797" s="3" t="s">
        <v>37</v>
      </c>
      <c r="O6797" s="3" t="s">
        <v>38</v>
      </c>
      <c r="P6797" s="5">
        <v>38</v>
      </c>
      <c r="Q6797" s="5">
        <v>586</v>
      </c>
      <c r="R6797" s="5">
        <v>16</v>
      </c>
      <c r="S6797" s="5">
        <v>284</v>
      </c>
    </row>
    <row r="6798" spans="1:19" ht="42" x14ac:dyDescent="0.15">
      <c r="A6798" s="2">
        <f>HYPERLINK("https://open-school.uspishnemisto.com.ua/school/350267/", 350267)</f>
        <v>350267</v>
      </c>
      <c r="B6798" s="3" t="s">
        <v>35574</v>
      </c>
      <c r="C6798" s="3" t="s">
        <v>31</v>
      </c>
      <c r="D6798" s="3" t="s">
        <v>32</v>
      </c>
      <c r="E6798" s="4" t="s">
        <v>22</v>
      </c>
      <c r="F6798" s="4" t="s">
        <v>35575</v>
      </c>
      <c r="G6798" s="4" t="s">
        <v>35576</v>
      </c>
      <c r="H6798" s="3" t="s">
        <v>34363</v>
      </c>
      <c r="I6798" s="3" t="s">
        <v>11923</v>
      </c>
      <c r="J6798" s="3" t="s">
        <v>35577</v>
      </c>
      <c r="K6798" s="3" t="s">
        <v>35578</v>
      </c>
      <c r="L6798" s="3"/>
      <c r="M6798" s="4"/>
      <c r="N6798" s="3" t="s">
        <v>37</v>
      </c>
      <c r="O6798" s="3" t="s">
        <v>38</v>
      </c>
      <c r="P6798" s="5">
        <v>46</v>
      </c>
      <c r="Q6798" s="5">
        <v>638</v>
      </c>
      <c r="R6798" s="5">
        <v>11</v>
      </c>
      <c r="S6798" s="5">
        <v>213</v>
      </c>
    </row>
    <row r="6799" spans="1:19" ht="42" x14ac:dyDescent="0.15">
      <c r="A6799" s="2">
        <f>HYPERLINK("https://open-school.uspishnemisto.com.ua/school/350271/", 350271)</f>
        <v>350271</v>
      </c>
      <c r="B6799" s="3" t="s">
        <v>35579</v>
      </c>
      <c r="C6799" s="3" t="s">
        <v>31</v>
      </c>
      <c r="D6799" s="3" t="s">
        <v>32</v>
      </c>
      <c r="E6799" s="4" t="s">
        <v>22</v>
      </c>
      <c r="F6799" s="4" t="s">
        <v>35580</v>
      </c>
      <c r="G6799" s="4" t="s">
        <v>35581</v>
      </c>
      <c r="H6799" s="3" t="s">
        <v>34363</v>
      </c>
      <c r="I6799" s="3" t="s">
        <v>35582</v>
      </c>
      <c r="J6799" s="3" t="s">
        <v>11336</v>
      </c>
      <c r="K6799" s="3" t="s">
        <v>35583</v>
      </c>
      <c r="L6799" s="3"/>
      <c r="M6799" s="4"/>
      <c r="N6799" s="3" t="s">
        <v>37</v>
      </c>
      <c r="O6799" s="3" t="s">
        <v>70</v>
      </c>
      <c r="P6799" s="5">
        <v>22</v>
      </c>
      <c r="Q6799" s="5">
        <v>344</v>
      </c>
      <c r="R6799" s="5">
        <v>11</v>
      </c>
      <c r="S6799" s="5">
        <v>172</v>
      </c>
    </row>
    <row r="6800" spans="1:19" ht="56" x14ac:dyDescent="0.15">
      <c r="A6800" s="2">
        <f>HYPERLINK("https://open-school.uspishnemisto.com.ua/school/350273/", 350273)</f>
        <v>350273</v>
      </c>
      <c r="B6800" s="3" t="s">
        <v>35584</v>
      </c>
      <c r="C6800" s="3" t="s">
        <v>54</v>
      </c>
      <c r="D6800" s="3" t="s">
        <v>32</v>
      </c>
      <c r="E6800" s="4" t="s">
        <v>22</v>
      </c>
      <c r="F6800" s="4" t="s">
        <v>35585</v>
      </c>
      <c r="G6800" s="4" t="s">
        <v>35586</v>
      </c>
      <c r="H6800" s="3" t="s">
        <v>34363</v>
      </c>
      <c r="I6800" s="3" t="s">
        <v>35587</v>
      </c>
      <c r="J6800" s="3" t="s">
        <v>35588</v>
      </c>
      <c r="K6800" s="3" t="s">
        <v>35589</v>
      </c>
      <c r="L6800" s="3"/>
      <c r="M6800" s="4"/>
      <c r="N6800" s="3" t="s">
        <v>37</v>
      </c>
      <c r="O6800" s="3" t="s">
        <v>52</v>
      </c>
      <c r="P6800" s="5">
        <v>16</v>
      </c>
      <c r="Q6800" s="5">
        <v>246</v>
      </c>
      <c r="R6800" s="5">
        <v>11</v>
      </c>
      <c r="S6800" s="5">
        <v>201</v>
      </c>
    </row>
    <row r="6801" spans="1:19" ht="42" x14ac:dyDescent="0.15">
      <c r="A6801" s="2">
        <f>HYPERLINK("https://open-school.uspishnemisto.com.ua/school/350274/", 350274)</f>
        <v>350274</v>
      </c>
      <c r="B6801" s="3" t="s">
        <v>35590</v>
      </c>
      <c r="C6801" s="3" t="s">
        <v>31</v>
      </c>
      <c r="D6801" s="3" t="s">
        <v>32</v>
      </c>
      <c r="E6801" s="4" t="s">
        <v>22</v>
      </c>
      <c r="F6801" s="4" t="s">
        <v>35591</v>
      </c>
      <c r="G6801" s="4" t="s">
        <v>35592</v>
      </c>
      <c r="H6801" s="3" t="s">
        <v>34363</v>
      </c>
      <c r="I6801" s="3" t="s">
        <v>35593</v>
      </c>
      <c r="J6801" s="3" t="s">
        <v>1393</v>
      </c>
      <c r="K6801" s="3" t="s">
        <v>35594</v>
      </c>
      <c r="L6801" s="3" t="s">
        <v>35595</v>
      </c>
      <c r="M6801" s="4"/>
      <c r="N6801" s="3" t="s">
        <v>37</v>
      </c>
      <c r="O6801" s="3" t="s">
        <v>38</v>
      </c>
      <c r="P6801" s="5">
        <v>22</v>
      </c>
      <c r="Q6801" s="5">
        <v>312</v>
      </c>
      <c r="R6801" s="5">
        <v>15</v>
      </c>
      <c r="S6801" s="5">
        <v>283</v>
      </c>
    </row>
    <row r="6802" spans="1:19" ht="42" x14ac:dyDescent="0.15">
      <c r="A6802" s="2">
        <f>HYPERLINK("https://open-school.uspishnemisto.com.ua/school/350275/", 350275)</f>
        <v>350275</v>
      </c>
      <c r="B6802" s="3" t="s">
        <v>35596</v>
      </c>
      <c r="C6802" s="3" t="s">
        <v>31</v>
      </c>
      <c r="D6802" s="3" t="s">
        <v>32</v>
      </c>
      <c r="E6802" s="4" t="s">
        <v>22</v>
      </c>
      <c r="F6802" s="4" t="s">
        <v>35597</v>
      </c>
      <c r="G6802" s="4" t="s">
        <v>35598</v>
      </c>
      <c r="H6802" s="3" t="s">
        <v>34363</v>
      </c>
      <c r="I6802" s="3" t="s">
        <v>35599</v>
      </c>
      <c r="J6802" s="3" t="s">
        <v>6723</v>
      </c>
      <c r="K6802" s="3" t="s">
        <v>35600</v>
      </c>
      <c r="L6802" s="3" t="s">
        <v>35601</v>
      </c>
      <c r="M6802" s="4"/>
      <c r="N6802" s="3" t="s">
        <v>37</v>
      </c>
      <c r="O6802" s="3" t="s">
        <v>70</v>
      </c>
      <c r="P6802" s="5">
        <v>26</v>
      </c>
      <c r="Q6802" s="5">
        <v>254</v>
      </c>
      <c r="R6802" s="5">
        <v>11</v>
      </c>
      <c r="S6802" s="5">
        <v>155</v>
      </c>
    </row>
    <row r="6803" spans="1:19" ht="28" x14ac:dyDescent="0.15">
      <c r="A6803" s="2">
        <f>HYPERLINK("https://open-school.uspishnemisto.com.ua/school/350278/", 350278)</f>
        <v>350278</v>
      </c>
      <c r="B6803" s="3" t="s">
        <v>35602</v>
      </c>
      <c r="C6803" s="3" t="s">
        <v>31</v>
      </c>
      <c r="D6803" s="3" t="s">
        <v>32</v>
      </c>
      <c r="E6803" s="4" t="s">
        <v>22</v>
      </c>
      <c r="F6803" s="4" t="s">
        <v>35603</v>
      </c>
      <c r="G6803" s="4" t="s">
        <v>35604</v>
      </c>
      <c r="H6803" s="3" t="s">
        <v>34363</v>
      </c>
      <c r="I6803" s="3" t="s">
        <v>35605</v>
      </c>
      <c r="J6803" s="3" t="s">
        <v>35606</v>
      </c>
      <c r="K6803" s="3" t="s">
        <v>35607</v>
      </c>
      <c r="L6803" s="3"/>
      <c r="M6803" s="4"/>
      <c r="N6803" s="3" t="s">
        <v>37</v>
      </c>
      <c r="O6803" s="3" t="s">
        <v>38</v>
      </c>
      <c r="P6803" s="5">
        <v>18</v>
      </c>
      <c r="Q6803" s="5">
        <v>368</v>
      </c>
      <c r="R6803" s="5">
        <v>18</v>
      </c>
      <c r="S6803" s="5">
        <v>364</v>
      </c>
    </row>
    <row r="6804" spans="1:19" ht="42" x14ac:dyDescent="0.15">
      <c r="A6804" s="2">
        <f>HYPERLINK("https://open-school.uspishnemisto.com.ua/school/350279/", 350279)</f>
        <v>350279</v>
      </c>
      <c r="B6804" s="3" t="s">
        <v>35608</v>
      </c>
      <c r="C6804" s="3" t="s">
        <v>31</v>
      </c>
      <c r="D6804" s="3" t="s">
        <v>32</v>
      </c>
      <c r="E6804" s="4" t="s">
        <v>22</v>
      </c>
      <c r="F6804" s="4" t="s">
        <v>35609</v>
      </c>
      <c r="G6804" s="4" t="s">
        <v>35610</v>
      </c>
      <c r="H6804" s="3" t="s">
        <v>34363</v>
      </c>
      <c r="I6804" s="3" t="s">
        <v>11964</v>
      </c>
      <c r="J6804" s="3" t="s">
        <v>35611</v>
      </c>
      <c r="K6804" s="3" t="s">
        <v>35612</v>
      </c>
      <c r="L6804" s="3"/>
      <c r="M6804" s="4"/>
      <c r="N6804" s="3" t="s">
        <v>37</v>
      </c>
      <c r="O6804" s="3" t="s">
        <v>52</v>
      </c>
      <c r="P6804" s="5">
        <v>8</v>
      </c>
      <c r="Q6804" s="5">
        <v>58</v>
      </c>
      <c r="R6804" s="5">
        <v>8</v>
      </c>
      <c r="S6804" s="5">
        <v>62</v>
      </c>
    </row>
    <row r="6805" spans="1:19" ht="42" x14ac:dyDescent="0.15">
      <c r="A6805" s="2">
        <f>HYPERLINK("https://open-school.uspishnemisto.com.ua/school/350280/", 350280)</f>
        <v>350280</v>
      </c>
      <c r="B6805" s="3" t="s">
        <v>35613</v>
      </c>
      <c r="C6805" s="3" t="s">
        <v>31</v>
      </c>
      <c r="D6805" s="3" t="s">
        <v>32</v>
      </c>
      <c r="E6805" s="4" t="s">
        <v>22</v>
      </c>
      <c r="F6805" s="4" t="s">
        <v>35614</v>
      </c>
      <c r="G6805" s="4" t="s">
        <v>35615</v>
      </c>
      <c r="H6805" s="3" t="s">
        <v>34363</v>
      </c>
      <c r="I6805" s="3" t="s">
        <v>35616</v>
      </c>
      <c r="J6805" s="3" t="s">
        <v>5775</v>
      </c>
      <c r="K6805" s="3" t="s">
        <v>35617</v>
      </c>
      <c r="L6805" s="3" t="s">
        <v>35618</v>
      </c>
      <c r="M6805" s="4"/>
      <c r="N6805" s="3" t="s">
        <v>37</v>
      </c>
      <c r="O6805" s="3" t="s">
        <v>70</v>
      </c>
      <c r="P6805" s="5">
        <v>36</v>
      </c>
      <c r="Q6805" s="5">
        <v>395</v>
      </c>
      <c r="R6805" s="5">
        <v>11</v>
      </c>
      <c r="S6805" s="5">
        <v>156</v>
      </c>
    </row>
    <row r="6806" spans="1:19" ht="42" x14ac:dyDescent="0.15">
      <c r="A6806" s="2">
        <f>HYPERLINK("https://open-school.uspishnemisto.com.ua/school/350281/", 350281)</f>
        <v>350281</v>
      </c>
      <c r="B6806" s="3" t="s">
        <v>35619</v>
      </c>
      <c r="C6806" s="3" t="s">
        <v>31</v>
      </c>
      <c r="D6806" s="3" t="s">
        <v>32</v>
      </c>
      <c r="E6806" s="4" t="s">
        <v>22</v>
      </c>
      <c r="F6806" s="4" t="s">
        <v>35620</v>
      </c>
      <c r="G6806" s="4" t="s">
        <v>35621</v>
      </c>
      <c r="H6806" s="3" t="s">
        <v>34363</v>
      </c>
      <c r="I6806" s="3" t="s">
        <v>35622</v>
      </c>
      <c r="J6806" s="3" t="s">
        <v>21913</v>
      </c>
      <c r="K6806" s="3" t="s">
        <v>35623</v>
      </c>
      <c r="L6806" s="3"/>
      <c r="M6806" s="4"/>
      <c r="N6806" s="3" t="s">
        <v>37</v>
      </c>
      <c r="O6806" s="3" t="s">
        <v>38</v>
      </c>
      <c r="P6806" s="5">
        <v>20</v>
      </c>
      <c r="Q6806" s="5">
        <v>255</v>
      </c>
      <c r="R6806" s="5">
        <v>10</v>
      </c>
      <c r="S6806" s="5">
        <v>139</v>
      </c>
    </row>
    <row r="6807" spans="1:19" ht="42" x14ac:dyDescent="0.15">
      <c r="A6807" s="2">
        <f>HYPERLINK("https://open-school.uspishnemisto.com.ua/school/350282/", 350282)</f>
        <v>350282</v>
      </c>
      <c r="B6807" s="3" t="s">
        <v>35624</v>
      </c>
      <c r="C6807" s="3" t="s">
        <v>54</v>
      </c>
      <c r="D6807" s="3" t="s">
        <v>32</v>
      </c>
      <c r="E6807" s="4" t="s">
        <v>22</v>
      </c>
      <c r="F6807" s="4" t="s">
        <v>35625</v>
      </c>
      <c r="G6807" s="4" t="s">
        <v>35626</v>
      </c>
      <c r="H6807" s="3" t="s">
        <v>34363</v>
      </c>
      <c r="I6807" s="3" t="s">
        <v>3346</v>
      </c>
      <c r="J6807" s="3" t="s">
        <v>4822</v>
      </c>
      <c r="K6807" s="3" t="s">
        <v>35627</v>
      </c>
      <c r="L6807" s="3" t="s">
        <v>35628</v>
      </c>
      <c r="M6807" s="4"/>
      <c r="N6807" s="3" t="s">
        <v>37</v>
      </c>
      <c r="O6807" s="3" t="s">
        <v>52</v>
      </c>
      <c r="P6807" s="5">
        <v>9</v>
      </c>
      <c r="Q6807" s="5">
        <v>80</v>
      </c>
      <c r="R6807" s="5">
        <v>11</v>
      </c>
      <c r="S6807" s="5">
        <v>89</v>
      </c>
    </row>
    <row r="6808" spans="1:19" ht="56" x14ac:dyDescent="0.15">
      <c r="A6808" s="2">
        <f>HYPERLINK("https://open-school.uspishnemisto.com.ua/school/350283/", 350283)</f>
        <v>350283</v>
      </c>
      <c r="B6808" s="3" t="s">
        <v>35629</v>
      </c>
      <c r="C6808" s="3" t="s">
        <v>31</v>
      </c>
      <c r="D6808" s="3" t="s">
        <v>32</v>
      </c>
      <c r="E6808" s="4" t="s">
        <v>22</v>
      </c>
      <c r="F6808" s="4" t="s">
        <v>35630</v>
      </c>
      <c r="G6808" s="4" t="s">
        <v>35631</v>
      </c>
      <c r="H6808" s="3" t="s">
        <v>34363</v>
      </c>
      <c r="I6808" s="3" t="s">
        <v>35632</v>
      </c>
      <c r="J6808" s="3" t="s">
        <v>25980</v>
      </c>
      <c r="K6808" s="3" t="s">
        <v>35633</v>
      </c>
      <c r="L6808" s="3"/>
      <c r="M6808" s="4"/>
      <c r="N6808" s="3" t="s">
        <v>37</v>
      </c>
      <c r="O6808" s="3" t="s">
        <v>46</v>
      </c>
      <c r="P6808" s="5">
        <v>0</v>
      </c>
      <c r="Q6808" s="5">
        <v>0</v>
      </c>
      <c r="R6808" s="5">
        <v>6</v>
      </c>
      <c r="S6808" s="5">
        <v>48</v>
      </c>
    </row>
    <row r="6809" spans="1:19" ht="42" x14ac:dyDescent="0.15">
      <c r="A6809" s="2">
        <f>HYPERLINK("https://open-school.uspishnemisto.com.ua/school/350284/", 350284)</f>
        <v>350284</v>
      </c>
      <c r="B6809" s="3" t="s">
        <v>35634</v>
      </c>
      <c r="C6809" s="3" t="s">
        <v>31</v>
      </c>
      <c r="D6809" s="3" t="s">
        <v>32</v>
      </c>
      <c r="E6809" s="4" t="s">
        <v>22</v>
      </c>
      <c r="F6809" s="4" t="s">
        <v>35635</v>
      </c>
      <c r="G6809" s="4" t="s">
        <v>35636</v>
      </c>
      <c r="H6809" s="3" t="s">
        <v>34363</v>
      </c>
      <c r="I6809" s="3" t="s">
        <v>10816</v>
      </c>
      <c r="J6809" s="3" t="s">
        <v>3636</v>
      </c>
      <c r="K6809" s="3" t="s">
        <v>35637</v>
      </c>
      <c r="L6809" s="3" t="s">
        <v>35638</v>
      </c>
      <c r="M6809" s="4"/>
      <c r="N6809" s="3" t="s">
        <v>37</v>
      </c>
      <c r="O6809" s="3" t="s">
        <v>70</v>
      </c>
      <c r="P6809" s="5">
        <v>10</v>
      </c>
      <c r="Q6809" s="5">
        <v>68</v>
      </c>
      <c r="R6809" s="5">
        <v>10</v>
      </c>
      <c r="S6809" s="5">
        <v>67</v>
      </c>
    </row>
    <row r="6810" spans="1:19" ht="42" x14ac:dyDescent="0.15">
      <c r="A6810" s="2">
        <f>HYPERLINK("https://open-school.uspishnemisto.com.ua/school/350285/", 350285)</f>
        <v>350285</v>
      </c>
      <c r="B6810" s="3" t="s">
        <v>35639</v>
      </c>
      <c r="C6810" s="3" t="s">
        <v>31</v>
      </c>
      <c r="D6810" s="3" t="s">
        <v>32</v>
      </c>
      <c r="E6810" s="4" t="s">
        <v>22</v>
      </c>
      <c r="F6810" s="4" t="s">
        <v>35640</v>
      </c>
      <c r="G6810" s="4" t="s">
        <v>35641</v>
      </c>
      <c r="H6810" s="3" t="s">
        <v>34363</v>
      </c>
      <c r="I6810" s="3" t="s">
        <v>10822</v>
      </c>
      <c r="J6810" s="3" t="s">
        <v>694</v>
      </c>
      <c r="K6810" s="3" t="s">
        <v>35642</v>
      </c>
      <c r="L6810" s="3"/>
      <c r="M6810" s="4"/>
      <c r="N6810" s="3" t="s">
        <v>37</v>
      </c>
      <c r="O6810" s="3" t="s">
        <v>38</v>
      </c>
      <c r="P6810" s="5">
        <v>10</v>
      </c>
      <c r="Q6810" s="5">
        <v>98</v>
      </c>
      <c r="R6810" s="5">
        <v>10</v>
      </c>
      <c r="S6810" s="5">
        <v>108</v>
      </c>
    </row>
    <row r="6811" spans="1:19" ht="56" x14ac:dyDescent="0.15">
      <c r="A6811" s="2">
        <f>HYPERLINK("https://open-school.uspishnemisto.com.ua/school/350286/", 350286)</f>
        <v>350286</v>
      </c>
      <c r="B6811" s="3" t="s">
        <v>35643</v>
      </c>
      <c r="C6811" s="3" t="s">
        <v>54</v>
      </c>
      <c r="D6811" s="3" t="s">
        <v>32</v>
      </c>
      <c r="E6811" s="4" t="s">
        <v>22</v>
      </c>
      <c r="F6811" s="4" t="s">
        <v>35644</v>
      </c>
      <c r="G6811" s="4" t="s">
        <v>35645</v>
      </c>
      <c r="H6811" s="3" t="s">
        <v>34363</v>
      </c>
      <c r="I6811" s="3" t="s">
        <v>35646</v>
      </c>
      <c r="J6811" s="3" t="s">
        <v>5955</v>
      </c>
      <c r="K6811" s="3" t="s">
        <v>35647</v>
      </c>
      <c r="L6811" s="3" t="s">
        <v>35648</v>
      </c>
      <c r="M6811" s="4"/>
      <c r="N6811" s="3" t="s">
        <v>37</v>
      </c>
      <c r="O6811" s="3" t="s">
        <v>52</v>
      </c>
      <c r="P6811" s="5">
        <v>10</v>
      </c>
      <c r="Q6811" s="5">
        <v>82</v>
      </c>
      <c r="R6811" s="5">
        <v>9</v>
      </c>
      <c r="S6811" s="5">
        <v>80</v>
      </c>
    </row>
    <row r="6812" spans="1:19" ht="42" x14ac:dyDescent="0.15">
      <c r="A6812" s="2">
        <f>HYPERLINK("https://open-school.uspishnemisto.com.ua/school/350287/", 350287)</f>
        <v>350287</v>
      </c>
      <c r="B6812" s="3" t="s">
        <v>35649</v>
      </c>
      <c r="C6812" s="3" t="s">
        <v>31</v>
      </c>
      <c r="D6812" s="3" t="s">
        <v>175</v>
      </c>
      <c r="E6812" s="4" t="s">
        <v>22</v>
      </c>
      <c r="F6812" s="4" t="s">
        <v>35650</v>
      </c>
      <c r="G6812" s="4" t="s">
        <v>35651</v>
      </c>
      <c r="H6812" s="3" t="s">
        <v>34363</v>
      </c>
      <c r="I6812" s="3" t="s">
        <v>35413</v>
      </c>
      <c r="J6812" s="3" t="s">
        <v>35652</v>
      </c>
      <c r="K6812" s="3"/>
      <c r="L6812" s="3"/>
      <c r="M6812" s="4"/>
      <c r="N6812" s="3" t="s">
        <v>37</v>
      </c>
      <c r="O6812" s="3" t="s">
        <v>46</v>
      </c>
      <c r="P6812" s="5">
        <v>0</v>
      </c>
      <c r="Q6812" s="5">
        <v>0</v>
      </c>
      <c r="R6812" s="5">
        <v>6</v>
      </c>
      <c r="S6812" s="5">
        <v>48</v>
      </c>
    </row>
    <row r="6813" spans="1:19" ht="56" x14ac:dyDescent="0.15">
      <c r="A6813" s="2">
        <f>HYPERLINK("https://open-school.uspishnemisto.com.ua/school/350288/", 350288)</f>
        <v>350288</v>
      </c>
      <c r="B6813" s="3" t="s">
        <v>35653</v>
      </c>
      <c r="C6813" s="3" t="s">
        <v>54</v>
      </c>
      <c r="D6813" s="3" t="s">
        <v>32</v>
      </c>
      <c r="E6813" s="4" t="s">
        <v>22</v>
      </c>
      <c r="F6813" s="4" t="s">
        <v>35654</v>
      </c>
      <c r="G6813" s="4" t="s">
        <v>35655</v>
      </c>
      <c r="H6813" s="3" t="s">
        <v>34363</v>
      </c>
      <c r="I6813" s="3" t="s">
        <v>1109</v>
      </c>
      <c r="J6813" s="3" t="s">
        <v>35656</v>
      </c>
      <c r="K6813" s="3"/>
      <c r="L6813" s="3"/>
      <c r="M6813" s="4"/>
      <c r="N6813" s="3" t="s">
        <v>37</v>
      </c>
      <c r="O6813" s="3" t="s">
        <v>46</v>
      </c>
      <c r="P6813" s="5">
        <v>9</v>
      </c>
      <c r="Q6813" s="5">
        <v>117</v>
      </c>
      <c r="R6813" s="5">
        <v>9</v>
      </c>
      <c r="S6813" s="5">
        <v>110</v>
      </c>
    </row>
    <row r="6814" spans="1:19" ht="56" x14ac:dyDescent="0.15">
      <c r="A6814" s="2">
        <f>HYPERLINK("https://open-school.uspishnemisto.com.ua/school/350289/", 350289)</f>
        <v>350289</v>
      </c>
      <c r="B6814" s="3" t="s">
        <v>35657</v>
      </c>
      <c r="C6814" s="3" t="s">
        <v>54</v>
      </c>
      <c r="D6814" s="3" t="s">
        <v>32</v>
      </c>
      <c r="E6814" s="4" t="s">
        <v>22</v>
      </c>
      <c r="F6814" s="4" t="s">
        <v>35658</v>
      </c>
      <c r="G6814" s="4" t="s">
        <v>35659</v>
      </c>
      <c r="H6814" s="3" t="s">
        <v>34363</v>
      </c>
      <c r="I6814" s="3" t="s">
        <v>883</v>
      </c>
      <c r="J6814" s="3" t="s">
        <v>35660</v>
      </c>
      <c r="K6814" s="3" t="s">
        <v>35661</v>
      </c>
      <c r="L6814" s="3" t="s">
        <v>35662</v>
      </c>
      <c r="M6814" s="4"/>
      <c r="N6814" s="3" t="s">
        <v>37</v>
      </c>
      <c r="O6814" s="3" t="s">
        <v>46</v>
      </c>
      <c r="P6814" s="5">
        <v>0</v>
      </c>
      <c r="Q6814" s="5">
        <v>0</v>
      </c>
      <c r="R6814" s="5">
        <v>6</v>
      </c>
      <c r="S6814" s="5">
        <v>43</v>
      </c>
    </row>
    <row r="6815" spans="1:19" ht="56" x14ac:dyDescent="0.15">
      <c r="A6815" s="2">
        <f>HYPERLINK("https://open-school.uspishnemisto.com.ua/school/350290/", 350290)</f>
        <v>350290</v>
      </c>
      <c r="B6815" s="3" t="s">
        <v>35663</v>
      </c>
      <c r="C6815" s="3" t="s">
        <v>54</v>
      </c>
      <c r="D6815" s="3" t="s">
        <v>32</v>
      </c>
      <c r="E6815" s="4" t="s">
        <v>22</v>
      </c>
      <c r="F6815" s="4" t="s">
        <v>35664</v>
      </c>
      <c r="G6815" s="4" t="s">
        <v>35665</v>
      </c>
      <c r="H6815" s="3" t="s">
        <v>34363</v>
      </c>
      <c r="I6815" s="3" t="s">
        <v>35666</v>
      </c>
      <c r="J6815" s="3" t="s">
        <v>35667</v>
      </c>
      <c r="K6815" s="3"/>
      <c r="L6815" s="3" t="s">
        <v>35668</v>
      </c>
      <c r="M6815" s="4"/>
      <c r="N6815" s="3" t="s">
        <v>37</v>
      </c>
      <c r="O6815" s="3" t="s">
        <v>52</v>
      </c>
      <c r="P6815" s="5">
        <v>10</v>
      </c>
      <c r="Q6815" s="5">
        <v>116</v>
      </c>
      <c r="R6815" s="5">
        <v>10</v>
      </c>
      <c r="S6815" s="5">
        <v>108</v>
      </c>
    </row>
    <row r="6816" spans="1:19" ht="28" x14ac:dyDescent="0.15">
      <c r="A6816" s="2">
        <f>HYPERLINK("https://open-school.uspishnemisto.com.ua/school/350291/", 350291)</f>
        <v>350291</v>
      </c>
      <c r="B6816" s="3" t="s">
        <v>35669</v>
      </c>
      <c r="C6816" s="3" t="s">
        <v>31</v>
      </c>
      <c r="D6816" s="3" t="s">
        <v>32</v>
      </c>
      <c r="E6816" s="4" t="s">
        <v>22</v>
      </c>
      <c r="F6816" s="4" t="s">
        <v>35670</v>
      </c>
      <c r="G6816" s="4" t="s">
        <v>35671</v>
      </c>
      <c r="H6816" s="3" t="s">
        <v>34363</v>
      </c>
      <c r="I6816" s="3" t="s">
        <v>1803</v>
      </c>
      <c r="J6816" s="3" t="s">
        <v>35672</v>
      </c>
      <c r="K6816" s="3" t="s">
        <v>35673</v>
      </c>
      <c r="L6816" s="3"/>
      <c r="M6816" s="4"/>
      <c r="N6816" s="3" t="s">
        <v>37</v>
      </c>
      <c r="O6816" s="3" t="s">
        <v>52</v>
      </c>
      <c r="P6816" s="5">
        <v>0</v>
      </c>
      <c r="Q6816" s="5">
        <v>0</v>
      </c>
      <c r="R6816" s="5">
        <v>10</v>
      </c>
      <c r="S6816" s="5">
        <v>108</v>
      </c>
    </row>
    <row r="6817" spans="1:19" ht="42" x14ac:dyDescent="0.15">
      <c r="A6817" s="2">
        <f>HYPERLINK("https://open-school.uspishnemisto.com.ua/school/350292/", 350292)</f>
        <v>350292</v>
      </c>
      <c r="B6817" s="3" t="s">
        <v>35674</v>
      </c>
      <c r="C6817" s="3" t="s">
        <v>31</v>
      </c>
      <c r="D6817" s="3" t="s">
        <v>32</v>
      </c>
      <c r="E6817" s="4" t="s">
        <v>22</v>
      </c>
      <c r="F6817" s="4" t="s">
        <v>35675</v>
      </c>
      <c r="G6817" s="4" t="s">
        <v>35676</v>
      </c>
      <c r="H6817" s="3" t="s">
        <v>34363</v>
      </c>
      <c r="I6817" s="3" t="s">
        <v>35677</v>
      </c>
      <c r="J6817" s="3" t="s">
        <v>3173</v>
      </c>
      <c r="K6817" s="3" t="s">
        <v>35678</v>
      </c>
      <c r="L6817" s="3"/>
      <c r="M6817" s="4"/>
      <c r="N6817" s="3" t="s">
        <v>37</v>
      </c>
      <c r="O6817" s="3" t="s">
        <v>52</v>
      </c>
      <c r="P6817" s="5">
        <v>0</v>
      </c>
      <c r="Q6817" s="5">
        <v>0</v>
      </c>
      <c r="R6817" s="5">
        <v>9</v>
      </c>
      <c r="S6817" s="5">
        <v>91</v>
      </c>
    </row>
    <row r="6818" spans="1:19" ht="56" x14ac:dyDescent="0.15">
      <c r="A6818" s="2">
        <f>HYPERLINK("https://open-school.uspishnemisto.com.ua/school/350293/", 350293)</f>
        <v>350293</v>
      </c>
      <c r="B6818" s="3" t="s">
        <v>35679</v>
      </c>
      <c r="C6818" s="3" t="s">
        <v>54</v>
      </c>
      <c r="D6818" s="3" t="s">
        <v>32</v>
      </c>
      <c r="E6818" s="4" t="s">
        <v>22</v>
      </c>
      <c r="F6818" s="4" t="s">
        <v>35680</v>
      </c>
      <c r="G6818" s="4" t="s">
        <v>35681</v>
      </c>
      <c r="H6818" s="3" t="s">
        <v>34363</v>
      </c>
      <c r="I6818" s="3" t="s">
        <v>35682</v>
      </c>
      <c r="J6818" s="3" t="s">
        <v>35683</v>
      </c>
      <c r="K6818" s="3" t="s">
        <v>35684</v>
      </c>
      <c r="L6818" s="3"/>
      <c r="M6818" s="4"/>
      <c r="N6818" s="3" t="s">
        <v>37</v>
      </c>
      <c r="O6818" s="3" t="s">
        <v>70</v>
      </c>
      <c r="P6818" s="5">
        <v>28</v>
      </c>
      <c r="Q6818" s="5">
        <v>187</v>
      </c>
      <c r="R6818" s="5">
        <v>11</v>
      </c>
      <c r="S6818" s="5">
        <v>84</v>
      </c>
    </row>
    <row r="6819" spans="1:19" ht="56" x14ac:dyDescent="0.15">
      <c r="A6819" s="2">
        <f>HYPERLINK("https://open-school.uspishnemisto.com.ua/school/350294/", 350294)</f>
        <v>350294</v>
      </c>
      <c r="B6819" s="3" t="s">
        <v>35685</v>
      </c>
      <c r="C6819" s="3" t="s">
        <v>54</v>
      </c>
      <c r="D6819" s="3" t="s">
        <v>32</v>
      </c>
      <c r="E6819" s="4" t="s">
        <v>22</v>
      </c>
      <c r="F6819" s="4" t="s">
        <v>35686</v>
      </c>
      <c r="G6819" s="4" t="s">
        <v>35687</v>
      </c>
      <c r="H6819" s="3" t="s">
        <v>34363</v>
      </c>
      <c r="I6819" s="3" t="s">
        <v>35688</v>
      </c>
      <c r="J6819" s="3" t="s">
        <v>466</v>
      </c>
      <c r="K6819" s="3" t="s">
        <v>35689</v>
      </c>
      <c r="L6819" s="3"/>
      <c r="M6819" s="4"/>
      <c r="N6819" s="3" t="s">
        <v>37</v>
      </c>
      <c r="O6819" s="3" t="s">
        <v>46</v>
      </c>
      <c r="P6819" s="5">
        <v>10</v>
      </c>
      <c r="Q6819" s="5">
        <v>81</v>
      </c>
      <c r="R6819" s="5">
        <v>10</v>
      </c>
      <c r="S6819" s="5">
        <v>80</v>
      </c>
    </row>
    <row r="6820" spans="1:19" ht="56" x14ac:dyDescent="0.15">
      <c r="A6820" s="2">
        <f>HYPERLINK("https://open-school.uspishnemisto.com.ua/school/350295/", 350295)</f>
        <v>350295</v>
      </c>
      <c r="B6820" s="3" t="s">
        <v>35690</v>
      </c>
      <c r="C6820" s="3" t="s">
        <v>54</v>
      </c>
      <c r="D6820" s="3" t="s">
        <v>32</v>
      </c>
      <c r="E6820" s="4" t="s">
        <v>22</v>
      </c>
      <c r="F6820" s="4" t="s">
        <v>35691</v>
      </c>
      <c r="G6820" s="4" t="s">
        <v>35692</v>
      </c>
      <c r="H6820" s="3" t="s">
        <v>34363</v>
      </c>
      <c r="I6820" s="3" t="s">
        <v>35693</v>
      </c>
      <c r="J6820" s="3" t="s">
        <v>35694</v>
      </c>
      <c r="K6820" s="3" t="s">
        <v>35695</v>
      </c>
      <c r="L6820" s="3"/>
      <c r="M6820" s="4"/>
      <c r="N6820" s="3" t="s">
        <v>37</v>
      </c>
      <c r="O6820" s="3" t="s">
        <v>52</v>
      </c>
      <c r="P6820" s="5">
        <v>0</v>
      </c>
      <c r="Q6820" s="5">
        <v>0</v>
      </c>
      <c r="R6820" s="5">
        <v>7</v>
      </c>
      <c r="S6820" s="5">
        <v>49</v>
      </c>
    </row>
    <row r="6821" spans="1:19" ht="56" x14ac:dyDescent="0.15">
      <c r="A6821" s="2">
        <f>HYPERLINK("https://open-school.uspishnemisto.com.ua/school/350296/", 350296)</f>
        <v>350296</v>
      </c>
      <c r="B6821" s="3" t="s">
        <v>35696</v>
      </c>
      <c r="C6821" s="3" t="s">
        <v>31</v>
      </c>
      <c r="D6821" s="3" t="s">
        <v>32</v>
      </c>
      <c r="E6821" s="4" t="s">
        <v>22</v>
      </c>
      <c r="F6821" s="4" t="s">
        <v>35697</v>
      </c>
      <c r="G6821" s="4" t="s">
        <v>35698</v>
      </c>
      <c r="H6821" s="3" t="s">
        <v>34363</v>
      </c>
      <c r="I6821" s="3" t="s">
        <v>1740</v>
      </c>
      <c r="J6821" s="3" t="s">
        <v>35699</v>
      </c>
      <c r="K6821" s="3"/>
      <c r="L6821" s="3" t="s">
        <v>35700</v>
      </c>
      <c r="M6821" s="4"/>
      <c r="N6821" s="3" t="s">
        <v>37</v>
      </c>
      <c r="O6821" s="3" t="s">
        <v>38</v>
      </c>
      <c r="P6821" s="5">
        <v>12</v>
      </c>
      <c r="Q6821" s="5">
        <v>131</v>
      </c>
      <c r="R6821" s="5">
        <v>9</v>
      </c>
      <c r="S6821" s="5">
        <v>86</v>
      </c>
    </row>
    <row r="6822" spans="1:19" ht="70" x14ac:dyDescent="0.15">
      <c r="A6822" s="2">
        <f>HYPERLINK("https://open-school.uspishnemisto.com.ua/school/350297/", 350297)</f>
        <v>350297</v>
      </c>
      <c r="B6822" s="3" t="s">
        <v>35701</v>
      </c>
      <c r="C6822" s="3" t="s">
        <v>54</v>
      </c>
      <c r="D6822" s="3" t="s">
        <v>32</v>
      </c>
      <c r="E6822" s="4" t="s">
        <v>22</v>
      </c>
      <c r="F6822" s="4" t="s">
        <v>35702</v>
      </c>
      <c r="G6822" s="4" t="s">
        <v>35703</v>
      </c>
      <c r="H6822" s="3" t="s">
        <v>34363</v>
      </c>
      <c r="I6822" s="3" t="s">
        <v>35704</v>
      </c>
      <c r="J6822" s="3" t="s">
        <v>35705</v>
      </c>
      <c r="K6822" s="3" t="s">
        <v>35706</v>
      </c>
      <c r="L6822" s="3" t="s">
        <v>35707</v>
      </c>
      <c r="M6822" s="4"/>
      <c r="N6822" s="3" t="s">
        <v>37</v>
      </c>
      <c r="O6822" s="3" t="s">
        <v>52</v>
      </c>
      <c r="P6822" s="5">
        <v>0</v>
      </c>
      <c r="Q6822" s="5">
        <v>0</v>
      </c>
      <c r="R6822" s="5">
        <v>5</v>
      </c>
      <c r="S6822" s="5">
        <v>41</v>
      </c>
    </row>
    <row r="6823" spans="1:19" ht="42" x14ac:dyDescent="0.15">
      <c r="A6823" s="2">
        <f>HYPERLINK("https://open-school.uspishnemisto.com.ua/school/350298/", 350298)</f>
        <v>350298</v>
      </c>
      <c r="B6823" s="3" t="s">
        <v>35708</v>
      </c>
      <c r="C6823" s="3" t="s">
        <v>31</v>
      </c>
      <c r="D6823" s="3" t="s">
        <v>32</v>
      </c>
      <c r="E6823" s="4" t="s">
        <v>22</v>
      </c>
      <c r="F6823" s="4" t="s">
        <v>35709</v>
      </c>
      <c r="G6823" s="4" t="s">
        <v>35710</v>
      </c>
      <c r="H6823" s="3" t="s">
        <v>34363</v>
      </c>
      <c r="I6823" s="3" t="s">
        <v>12592</v>
      </c>
      <c r="J6823" s="3" t="s">
        <v>566</v>
      </c>
      <c r="K6823" s="3" t="s">
        <v>35711</v>
      </c>
      <c r="L6823" s="3"/>
      <c r="M6823" s="4"/>
      <c r="N6823" s="3" t="s">
        <v>37</v>
      </c>
      <c r="O6823" s="3" t="s">
        <v>38</v>
      </c>
      <c r="P6823" s="5">
        <v>10</v>
      </c>
      <c r="Q6823" s="5">
        <v>139</v>
      </c>
      <c r="R6823" s="5">
        <v>9</v>
      </c>
      <c r="S6823" s="5">
        <v>134</v>
      </c>
    </row>
    <row r="6824" spans="1:19" ht="42" x14ac:dyDescent="0.15">
      <c r="A6824" s="2">
        <f>HYPERLINK("https://open-school.uspishnemisto.com.ua/school/350300/", 350300)</f>
        <v>350300</v>
      </c>
      <c r="B6824" s="3" t="s">
        <v>35712</v>
      </c>
      <c r="C6824" s="3" t="s">
        <v>31</v>
      </c>
      <c r="D6824" s="3" t="s">
        <v>32</v>
      </c>
      <c r="E6824" s="4" t="s">
        <v>22</v>
      </c>
      <c r="F6824" s="4" t="s">
        <v>35713</v>
      </c>
      <c r="G6824" s="4" t="s">
        <v>35714</v>
      </c>
      <c r="H6824" s="3" t="s">
        <v>34363</v>
      </c>
      <c r="I6824" s="3" t="s">
        <v>35715</v>
      </c>
      <c r="J6824" s="3" t="s">
        <v>3852</v>
      </c>
      <c r="K6824" s="3" t="s">
        <v>35716</v>
      </c>
      <c r="L6824" s="3" t="s">
        <v>35717</v>
      </c>
      <c r="M6824" s="4"/>
      <c r="N6824" s="3" t="s">
        <v>37</v>
      </c>
      <c r="O6824" s="3" t="s">
        <v>52</v>
      </c>
      <c r="P6824" s="5">
        <v>0</v>
      </c>
      <c r="Q6824" s="5">
        <v>0</v>
      </c>
      <c r="R6824" s="5">
        <v>9</v>
      </c>
      <c r="S6824" s="5">
        <v>86</v>
      </c>
    </row>
    <row r="6825" spans="1:19" ht="70" x14ac:dyDescent="0.15">
      <c r="A6825" s="2">
        <f>HYPERLINK("https://open-school.uspishnemisto.com.ua/school/350301/", 350301)</f>
        <v>350301</v>
      </c>
      <c r="B6825" s="3" t="s">
        <v>35718</v>
      </c>
      <c r="C6825" s="3" t="s">
        <v>54</v>
      </c>
      <c r="D6825" s="3" t="s">
        <v>32</v>
      </c>
      <c r="E6825" s="4" t="s">
        <v>22</v>
      </c>
      <c r="F6825" s="4" t="s">
        <v>35719</v>
      </c>
      <c r="G6825" s="4" t="s">
        <v>35720</v>
      </c>
      <c r="H6825" s="3" t="s">
        <v>34363</v>
      </c>
      <c r="I6825" s="3" t="s">
        <v>35721</v>
      </c>
      <c r="J6825" s="3" t="s">
        <v>35722</v>
      </c>
      <c r="K6825" s="3"/>
      <c r="L6825" s="3" t="s">
        <v>35723</v>
      </c>
      <c r="M6825" s="4"/>
      <c r="N6825" s="3" t="s">
        <v>37</v>
      </c>
      <c r="O6825" s="3" t="s">
        <v>70</v>
      </c>
      <c r="P6825" s="5">
        <v>35</v>
      </c>
      <c r="Q6825" s="5">
        <v>363</v>
      </c>
      <c r="R6825" s="5">
        <v>11</v>
      </c>
      <c r="S6825" s="5">
        <v>136</v>
      </c>
    </row>
    <row r="6826" spans="1:19" ht="42" x14ac:dyDescent="0.15">
      <c r="A6826" s="2">
        <f>HYPERLINK("https://open-school.uspishnemisto.com.ua/school/350302/", 350302)</f>
        <v>350302</v>
      </c>
      <c r="B6826" s="3" t="s">
        <v>35724</v>
      </c>
      <c r="C6826" s="3" t="s">
        <v>31</v>
      </c>
      <c r="D6826" s="3" t="s">
        <v>32</v>
      </c>
      <c r="E6826" s="4" t="s">
        <v>22</v>
      </c>
      <c r="F6826" s="4" t="s">
        <v>35725</v>
      </c>
      <c r="G6826" s="4" t="s">
        <v>35726</v>
      </c>
      <c r="H6826" s="3" t="s">
        <v>34363</v>
      </c>
      <c r="I6826" s="3" t="s">
        <v>12001</v>
      </c>
      <c r="J6826" s="3" t="s">
        <v>35727</v>
      </c>
      <c r="K6826" s="3" t="s">
        <v>35728</v>
      </c>
      <c r="L6826" s="3"/>
      <c r="M6826" s="4"/>
      <c r="N6826" s="3" t="s">
        <v>37</v>
      </c>
      <c r="O6826" s="3" t="s">
        <v>52</v>
      </c>
      <c r="P6826" s="5">
        <v>0</v>
      </c>
      <c r="Q6826" s="5">
        <v>0</v>
      </c>
      <c r="R6826" s="5">
        <v>11</v>
      </c>
      <c r="S6826" s="5">
        <v>117</v>
      </c>
    </row>
    <row r="6827" spans="1:19" ht="56" x14ac:dyDescent="0.15">
      <c r="A6827" s="2">
        <f>HYPERLINK("https://open-school.uspishnemisto.com.ua/school/350303/", 350303)</f>
        <v>350303</v>
      </c>
      <c r="B6827" s="3" t="s">
        <v>35729</v>
      </c>
      <c r="C6827" s="3" t="s">
        <v>54</v>
      </c>
      <c r="D6827" s="3" t="s">
        <v>32</v>
      </c>
      <c r="E6827" s="4" t="s">
        <v>22</v>
      </c>
      <c r="F6827" s="4" t="s">
        <v>35730</v>
      </c>
      <c r="G6827" s="4" t="s">
        <v>35731</v>
      </c>
      <c r="H6827" s="3" t="s">
        <v>34363</v>
      </c>
      <c r="I6827" s="3" t="s">
        <v>35732</v>
      </c>
      <c r="J6827" s="3" t="s">
        <v>35733</v>
      </c>
      <c r="K6827" s="3" t="s">
        <v>35734</v>
      </c>
      <c r="L6827" s="3"/>
      <c r="M6827" s="4"/>
      <c r="N6827" s="3" t="s">
        <v>37</v>
      </c>
      <c r="O6827" s="3" t="s">
        <v>38</v>
      </c>
      <c r="P6827" s="5">
        <v>10</v>
      </c>
      <c r="Q6827" s="5">
        <v>169</v>
      </c>
      <c r="R6827" s="5">
        <v>10</v>
      </c>
      <c r="S6827" s="5">
        <v>159</v>
      </c>
    </row>
    <row r="6828" spans="1:19" ht="56" x14ac:dyDescent="0.15">
      <c r="A6828" s="2">
        <f>HYPERLINK("https://open-school.uspishnemisto.com.ua/school/350304/", 350304)</f>
        <v>350304</v>
      </c>
      <c r="B6828" s="3" t="s">
        <v>35735</v>
      </c>
      <c r="C6828" s="3" t="s">
        <v>54</v>
      </c>
      <c r="D6828" s="3" t="s">
        <v>32</v>
      </c>
      <c r="E6828" s="4" t="s">
        <v>22</v>
      </c>
      <c r="F6828" s="4" t="s">
        <v>35736</v>
      </c>
      <c r="G6828" s="4" t="s">
        <v>35737</v>
      </c>
      <c r="H6828" s="3" t="s">
        <v>34363</v>
      </c>
      <c r="I6828" s="3" t="s">
        <v>35738</v>
      </c>
      <c r="J6828" s="3" t="s">
        <v>35739</v>
      </c>
      <c r="K6828" s="3" t="s">
        <v>35740</v>
      </c>
      <c r="L6828" s="3"/>
      <c r="M6828" s="4"/>
      <c r="N6828" s="3" t="s">
        <v>37</v>
      </c>
      <c r="O6828" s="3" t="s">
        <v>70</v>
      </c>
      <c r="P6828" s="5">
        <v>20</v>
      </c>
      <c r="Q6828" s="5">
        <v>258</v>
      </c>
      <c r="R6828" s="5">
        <v>12</v>
      </c>
      <c r="S6828" s="5">
        <v>216</v>
      </c>
    </row>
    <row r="6829" spans="1:19" ht="56" x14ac:dyDescent="0.15">
      <c r="A6829" s="2">
        <f>HYPERLINK("https://open-school.uspishnemisto.com.ua/school/350305/", 350305)</f>
        <v>350305</v>
      </c>
      <c r="B6829" s="3" t="s">
        <v>35741</v>
      </c>
      <c r="C6829" s="3" t="s">
        <v>54</v>
      </c>
      <c r="D6829" s="3" t="s">
        <v>32</v>
      </c>
      <c r="E6829" s="4" t="s">
        <v>22</v>
      </c>
      <c r="F6829" s="4" t="s">
        <v>35742</v>
      </c>
      <c r="G6829" s="4" t="s">
        <v>35743</v>
      </c>
      <c r="H6829" s="3" t="s">
        <v>34363</v>
      </c>
      <c r="I6829" s="3" t="s">
        <v>11305</v>
      </c>
      <c r="J6829" s="3" t="s">
        <v>2417</v>
      </c>
      <c r="K6829" s="3" t="s">
        <v>35744</v>
      </c>
      <c r="L6829" s="3" t="s">
        <v>35745</v>
      </c>
      <c r="M6829" s="4"/>
      <c r="N6829" s="3" t="s">
        <v>37</v>
      </c>
      <c r="O6829" s="3" t="s">
        <v>52</v>
      </c>
      <c r="P6829" s="5">
        <v>0</v>
      </c>
      <c r="Q6829" s="5">
        <v>0</v>
      </c>
      <c r="R6829" s="5">
        <v>9</v>
      </c>
      <c r="S6829" s="5">
        <v>69</v>
      </c>
    </row>
    <row r="6830" spans="1:19" ht="56" x14ac:dyDescent="0.15">
      <c r="A6830" s="2">
        <f>HYPERLINK("https://open-school.uspishnemisto.com.ua/school/350306/", 350306)</f>
        <v>350306</v>
      </c>
      <c r="B6830" s="3" t="s">
        <v>35746</v>
      </c>
      <c r="C6830" s="3" t="s">
        <v>54</v>
      </c>
      <c r="D6830" s="3" t="s">
        <v>32</v>
      </c>
      <c r="E6830" s="4" t="s">
        <v>22</v>
      </c>
      <c r="F6830" s="4" t="s">
        <v>35747</v>
      </c>
      <c r="G6830" s="4" t="s">
        <v>35748</v>
      </c>
      <c r="H6830" s="3" t="s">
        <v>34363</v>
      </c>
      <c r="I6830" s="3" t="s">
        <v>4683</v>
      </c>
      <c r="J6830" s="3" t="s">
        <v>35749</v>
      </c>
      <c r="K6830" s="3" t="s">
        <v>35750</v>
      </c>
      <c r="L6830" s="3"/>
      <c r="M6830" s="4"/>
      <c r="N6830" s="3" t="s">
        <v>37</v>
      </c>
      <c r="O6830" s="3" t="s">
        <v>46</v>
      </c>
      <c r="P6830" s="5">
        <v>0</v>
      </c>
      <c r="Q6830" s="5">
        <v>0</v>
      </c>
      <c r="R6830" s="5">
        <v>3</v>
      </c>
      <c r="S6830" s="5">
        <v>41</v>
      </c>
    </row>
    <row r="6831" spans="1:19" ht="56" x14ac:dyDescent="0.15">
      <c r="A6831" s="2">
        <f>HYPERLINK("https://open-school.uspishnemisto.com.ua/school/350307/", 350307)</f>
        <v>350307</v>
      </c>
      <c r="B6831" s="3" t="s">
        <v>35751</v>
      </c>
      <c r="C6831" s="3" t="s">
        <v>54</v>
      </c>
      <c r="D6831" s="3" t="s">
        <v>32</v>
      </c>
      <c r="E6831" s="4" t="s">
        <v>22</v>
      </c>
      <c r="F6831" s="4" t="s">
        <v>35752</v>
      </c>
      <c r="G6831" s="4" t="s">
        <v>35753</v>
      </c>
      <c r="H6831" s="3" t="s">
        <v>34363</v>
      </c>
      <c r="I6831" s="3" t="s">
        <v>35754</v>
      </c>
      <c r="J6831" s="3" t="s">
        <v>297</v>
      </c>
      <c r="K6831" s="3" t="s">
        <v>35755</v>
      </c>
      <c r="L6831" s="3" t="s">
        <v>35756</v>
      </c>
      <c r="M6831" s="4"/>
      <c r="N6831" s="3" t="s">
        <v>37</v>
      </c>
      <c r="O6831" s="3" t="s">
        <v>38</v>
      </c>
      <c r="P6831" s="5">
        <v>6</v>
      </c>
      <c r="Q6831" s="5">
        <v>53</v>
      </c>
      <c r="R6831" s="5">
        <v>6</v>
      </c>
      <c r="S6831" s="5">
        <v>50</v>
      </c>
    </row>
    <row r="6832" spans="1:19" ht="42" x14ac:dyDescent="0.15">
      <c r="A6832" s="2">
        <f>HYPERLINK("https://open-school.uspishnemisto.com.ua/school/350308/", 350308)</f>
        <v>350308</v>
      </c>
      <c r="B6832" s="3" t="s">
        <v>35757</v>
      </c>
      <c r="C6832" s="3" t="s">
        <v>31</v>
      </c>
      <c r="D6832" s="3" t="s">
        <v>32</v>
      </c>
      <c r="E6832" s="4" t="s">
        <v>22</v>
      </c>
      <c r="F6832" s="4" t="s">
        <v>35758</v>
      </c>
      <c r="G6832" s="4" t="s">
        <v>35759</v>
      </c>
      <c r="H6832" s="3" t="s">
        <v>34363</v>
      </c>
      <c r="I6832" s="3" t="s">
        <v>35760</v>
      </c>
      <c r="J6832" s="3" t="s">
        <v>3173</v>
      </c>
      <c r="K6832" s="3"/>
      <c r="L6832" s="3"/>
      <c r="M6832" s="4"/>
      <c r="N6832" s="3"/>
      <c r="O6832" s="3"/>
      <c r="P6832" s="5">
        <v>0</v>
      </c>
      <c r="Q6832" s="5">
        <v>0</v>
      </c>
      <c r="R6832" s="5"/>
      <c r="S6832" s="5"/>
    </row>
    <row r="6833" spans="1:19" ht="28" x14ac:dyDescent="0.15">
      <c r="A6833" s="2">
        <f>HYPERLINK("https://open-school.uspishnemisto.com.ua/school/350309/", 350309)</f>
        <v>350309</v>
      </c>
      <c r="B6833" s="3" t="s">
        <v>35761</v>
      </c>
      <c r="C6833" s="3" t="s">
        <v>31</v>
      </c>
      <c r="D6833" s="3" t="s">
        <v>175</v>
      </c>
      <c r="E6833" s="4" t="s">
        <v>22</v>
      </c>
      <c r="F6833" s="4" t="s">
        <v>35762</v>
      </c>
      <c r="G6833" s="4" t="s">
        <v>35759</v>
      </c>
      <c r="H6833" s="3" t="s">
        <v>34363</v>
      </c>
      <c r="I6833" s="3" t="s">
        <v>35760</v>
      </c>
      <c r="J6833" s="3" t="s">
        <v>35763</v>
      </c>
      <c r="K6833" s="3" t="s">
        <v>35764</v>
      </c>
      <c r="L6833" s="3"/>
      <c r="M6833" s="4"/>
      <c r="N6833" s="3" t="s">
        <v>37</v>
      </c>
      <c r="O6833" s="3" t="s">
        <v>52</v>
      </c>
      <c r="P6833" s="5">
        <v>9</v>
      </c>
      <c r="Q6833" s="5">
        <v>135</v>
      </c>
      <c r="R6833" s="5">
        <v>9</v>
      </c>
      <c r="S6833" s="5">
        <v>130</v>
      </c>
    </row>
    <row r="6834" spans="1:19" ht="42" x14ac:dyDescent="0.15">
      <c r="A6834" s="2">
        <f>HYPERLINK("https://open-school.uspishnemisto.com.ua/school/350310/", 350310)</f>
        <v>350310</v>
      </c>
      <c r="B6834" s="3" t="s">
        <v>35765</v>
      </c>
      <c r="C6834" s="3" t="s">
        <v>54</v>
      </c>
      <c r="D6834" s="3" t="s">
        <v>32</v>
      </c>
      <c r="E6834" s="4" t="s">
        <v>22</v>
      </c>
      <c r="F6834" s="4" t="s">
        <v>35762</v>
      </c>
      <c r="G6834" s="4" t="s">
        <v>35766</v>
      </c>
      <c r="H6834" s="3" t="s">
        <v>34363</v>
      </c>
      <c r="I6834" s="3" t="s">
        <v>35767</v>
      </c>
      <c r="J6834" s="3" t="s">
        <v>3173</v>
      </c>
      <c r="K6834" s="3" t="s">
        <v>35768</v>
      </c>
      <c r="L6834" s="3"/>
      <c r="M6834" s="4" t="s">
        <v>35769</v>
      </c>
      <c r="N6834" s="3" t="s">
        <v>37</v>
      </c>
      <c r="O6834" s="3" t="s">
        <v>70</v>
      </c>
      <c r="P6834" s="5">
        <v>27</v>
      </c>
      <c r="Q6834" s="5">
        <v>421</v>
      </c>
      <c r="R6834" s="5">
        <v>29</v>
      </c>
      <c r="S6834" s="5">
        <v>427</v>
      </c>
    </row>
    <row r="6835" spans="1:19" ht="42" x14ac:dyDescent="0.15">
      <c r="A6835" s="2">
        <f>HYPERLINK("https://open-school.uspishnemisto.com.ua/school/350311/", 350311)</f>
        <v>350311</v>
      </c>
      <c r="B6835" s="3" t="s">
        <v>35770</v>
      </c>
      <c r="C6835" s="3" t="s">
        <v>54</v>
      </c>
      <c r="D6835" s="3" t="s">
        <v>32</v>
      </c>
      <c r="E6835" s="4" t="s">
        <v>22</v>
      </c>
      <c r="F6835" s="4" t="s">
        <v>35771</v>
      </c>
      <c r="G6835" s="4" t="s">
        <v>35772</v>
      </c>
      <c r="H6835" s="3" t="s">
        <v>34363</v>
      </c>
      <c r="I6835" s="3" t="s">
        <v>12777</v>
      </c>
      <c r="J6835" s="3" t="s">
        <v>2253</v>
      </c>
      <c r="K6835" s="3"/>
      <c r="L6835" s="3"/>
      <c r="M6835" s="4"/>
      <c r="N6835" s="3" t="s">
        <v>37</v>
      </c>
      <c r="O6835" s="3" t="s">
        <v>38</v>
      </c>
      <c r="P6835" s="5">
        <v>6</v>
      </c>
      <c r="Q6835" s="5">
        <v>37</v>
      </c>
      <c r="R6835" s="5">
        <v>4</v>
      </c>
      <c r="S6835" s="5">
        <v>36</v>
      </c>
    </row>
    <row r="6836" spans="1:19" ht="28" x14ac:dyDescent="0.15">
      <c r="A6836" s="2">
        <f>HYPERLINK("https://open-school.uspishnemisto.com.ua/school/350312/", 350312)</f>
        <v>350312</v>
      </c>
      <c r="B6836" s="3" t="s">
        <v>35773</v>
      </c>
      <c r="C6836" s="3" t="s">
        <v>31</v>
      </c>
      <c r="D6836" s="3" t="s">
        <v>175</v>
      </c>
      <c r="E6836" s="4" t="s">
        <v>22</v>
      </c>
      <c r="F6836" s="4" t="s">
        <v>35774</v>
      </c>
      <c r="G6836" s="4" t="s">
        <v>35775</v>
      </c>
      <c r="H6836" s="3" t="s">
        <v>34363</v>
      </c>
      <c r="I6836" s="3" t="s">
        <v>11147</v>
      </c>
      <c r="J6836" s="3" t="s">
        <v>35776</v>
      </c>
      <c r="K6836" s="3"/>
      <c r="L6836" s="3"/>
      <c r="M6836" s="4" t="s">
        <v>35777</v>
      </c>
      <c r="N6836" s="3" t="s">
        <v>37</v>
      </c>
      <c r="O6836" s="3" t="s">
        <v>38</v>
      </c>
      <c r="P6836" s="5">
        <v>8</v>
      </c>
      <c r="Q6836" s="5">
        <v>42</v>
      </c>
      <c r="R6836" s="5">
        <v>7</v>
      </c>
      <c r="S6836" s="5">
        <v>40</v>
      </c>
    </row>
    <row r="6837" spans="1:19" ht="28" x14ac:dyDescent="0.15">
      <c r="A6837" s="2">
        <f>HYPERLINK("https://open-school.uspishnemisto.com.ua/school/350313/", 350313)</f>
        <v>350313</v>
      </c>
      <c r="B6837" s="3" t="s">
        <v>35778</v>
      </c>
      <c r="C6837" s="3" t="s">
        <v>31</v>
      </c>
      <c r="D6837" s="3" t="s">
        <v>175</v>
      </c>
      <c r="E6837" s="4" t="s">
        <v>22</v>
      </c>
      <c r="F6837" s="4" t="s">
        <v>35779</v>
      </c>
      <c r="G6837" s="4" t="s">
        <v>35780</v>
      </c>
      <c r="H6837" s="3" t="s">
        <v>34363</v>
      </c>
      <c r="I6837" s="3" t="s">
        <v>35781</v>
      </c>
      <c r="J6837" s="3" t="s">
        <v>1747</v>
      </c>
      <c r="K6837" s="3" t="s">
        <v>35782</v>
      </c>
      <c r="L6837" s="3"/>
      <c r="M6837" s="4"/>
      <c r="N6837" s="3" t="s">
        <v>37</v>
      </c>
      <c r="O6837" s="3" t="s">
        <v>38</v>
      </c>
      <c r="P6837" s="5">
        <v>7</v>
      </c>
      <c r="Q6837" s="5">
        <v>48</v>
      </c>
      <c r="R6837" s="5">
        <v>6</v>
      </c>
      <c r="S6837" s="5">
        <v>45</v>
      </c>
    </row>
    <row r="6838" spans="1:19" ht="28" x14ac:dyDescent="0.15">
      <c r="A6838" s="2">
        <f>HYPERLINK("https://open-school.uspishnemisto.com.ua/school/350314/", 350314)</f>
        <v>350314</v>
      </c>
      <c r="B6838" s="3" t="s">
        <v>35783</v>
      </c>
      <c r="C6838" s="3" t="s">
        <v>31</v>
      </c>
      <c r="D6838" s="3" t="s">
        <v>32</v>
      </c>
      <c r="E6838" s="4" t="s">
        <v>22</v>
      </c>
      <c r="F6838" s="4" t="s">
        <v>35784</v>
      </c>
      <c r="G6838" s="4" t="s">
        <v>35785</v>
      </c>
      <c r="H6838" s="3" t="s">
        <v>34363</v>
      </c>
      <c r="I6838" s="3" t="s">
        <v>35786</v>
      </c>
      <c r="J6838" s="3" t="s">
        <v>7166</v>
      </c>
      <c r="K6838" s="3" t="s">
        <v>35787</v>
      </c>
      <c r="L6838" s="3"/>
      <c r="M6838" s="4"/>
      <c r="N6838" s="3" t="s">
        <v>37</v>
      </c>
      <c r="O6838" s="3" t="s">
        <v>38</v>
      </c>
      <c r="P6838" s="5">
        <v>11</v>
      </c>
      <c r="Q6838" s="5">
        <v>85</v>
      </c>
      <c r="R6838" s="5">
        <v>11</v>
      </c>
      <c r="S6838" s="5">
        <v>85</v>
      </c>
    </row>
    <row r="6839" spans="1:19" ht="42" x14ac:dyDescent="0.15">
      <c r="A6839" s="2">
        <f>HYPERLINK("https://open-school.uspishnemisto.com.ua/school/350315/", 350315)</f>
        <v>350315</v>
      </c>
      <c r="B6839" s="3" t="s">
        <v>35788</v>
      </c>
      <c r="C6839" s="3" t="s">
        <v>31</v>
      </c>
      <c r="D6839" s="3" t="s">
        <v>32</v>
      </c>
      <c r="E6839" s="4" t="s">
        <v>22</v>
      </c>
      <c r="F6839" s="4" t="s">
        <v>35789</v>
      </c>
      <c r="G6839" s="4" t="s">
        <v>35790</v>
      </c>
      <c r="H6839" s="3" t="s">
        <v>34363</v>
      </c>
      <c r="I6839" s="3" t="s">
        <v>35791</v>
      </c>
      <c r="J6839" s="3" t="s">
        <v>1668</v>
      </c>
      <c r="K6839" s="3" t="s">
        <v>35792</v>
      </c>
      <c r="L6839" s="3"/>
      <c r="M6839" s="4"/>
      <c r="N6839" s="3" t="s">
        <v>37</v>
      </c>
      <c r="O6839" s="3" t="s">
        <v>618</v>
      </c>
      <c r="P6839" s="5">
        <v>10</v>
      </c>
      <c r="Q6839" s="5">
        <v>62</v>
      </c>
      <c r="R6839" s="5">
        <v>10</v>
      </c>
      <c r="S6839" s="5">
        <v>65</v>
      </c>
    </row>
    <row r="6840" spans="1:19" ht="28" x14ac:dyDescent="0.15">
      <c r="A6840" s="2">
        <f>HYPERLINK("https://open-school.uspishnemisto.com.ua/school/350316/", 350316)</f>
        <v>350316</v>
      </c>
      <c r="B6840" s="3" t="s">
        <v>35793</v>
      </c>
      <c r="C6840" s="3" t="s">
        <v>31</v>
      </c>
      <c r="D6840" s="3" t="s">
        <v>32</v>
      </c>
      <c r="E6840" s="4" t="s">
        <v>22</v>
      </c>
      <c r="F6840" s="4" t="s">
        <v>35794</v>
      </c>
      <c r="G6840" s="4" t="s">
        <v>35795</v>
      </c>
      <c r="H6840" s="3" t="s">
        <v>34363</v>
      </c>
      <c r="I6840" s="3" t="s">
        <v>11416</v>
      </c>
      <c r="J6840" s="3" t="s">
        <v>946</v>
      </c>
      <c r="K6840" s="3" t="s">
        <v>35796</v>
      </c>
      <c r="L6840" s="3"/>
      <c r="M6840" s="4"/>
      <c r="N6840" s="3" t="s">
        <v>37</v>
      </c>
      <c r="O6840" s="3" t="s">
        <v>52</v>
      </c>
      <c r="P6840" s="5">
        <v>11</v>
      </c>
      <c r="Q6840" s="5">
        <v>100</v>
      </c>
      <c r="R6840" s="5">
        <v>11</v>
      </c>
      <c r="S6840" s="5">
        <v>97</v>
      </c>
    </row>
    <row r="6841" spans="1:19" ht="28" x14ac:dyDescent="0.15">
      <c r="A6841" s="2">
        <f>HYPERLINK("https://open-school.uspishnemisto.com.ua/school/350317/", 350317)</f>
        <v>350317</v>
      </c>
      <c r="B6841" s="3" t="s">
        <v>35797</v>
      </c>
      <c r="C6841" s="3" t="s">
        <v>31</v>
      </c>
      <c r="D6841" s="3" t="s">
        <v>32</v>
      </c>
      <c r="E6841" s="4" t="s">
        <v>22</v>
      </c>
      <c r="F6841" s="4" t="s">
        <v>35798</v>
      </c>
      <c r="G6841" s="4" t="s">
        <v>35799</v>
      </c>
      <c r="H6841" s="3" t="s">
        <v>34363</v>
      </c>
      <c r="I6841" s="3" t="s">
        <v>11718</v>
      </c>
      <c r="J6841" s="3" t="s">
        <v>35800</v>
      </c>
      <c r="K6841" s="3" t="s">
        <v>35801</v>
      </c>
      <c r="L6841" s="3"/>
      <c r="M6841" s="4"/>
      <c r="N6841" s="3" t="s">
        <v>37</v>
      </c>
      <c r="O6841" s="3" t="s">
        <v>38</v>
      </c>
      <c r="P6841" s="5">
        <v>11</v>
      </c>
      <c r="Q6841" s="5">
        <v>88</v>
      </c>
      <c r="R6841" s="5">
        <v>11</v>
      </c>
      <c r="S6841" s="5">
        <v>91</v>
      </c>
    </row>
    <row r="6842" spans="1:19" ht="28" x14ac:dyDescent="0.15">
      <c r="A6842" s="2">
        <f>HYPERLINK("https://open-school.uspishnemisto.com.ua/school/350318/", 350318)</f>
        <v>350318</v>
      </c>
      <c r="B6842" s="3" t="s">
        <v>35802</v>
      </c>
      <c r="C6842" s="3" t="s">
        <v>31</v>
      </c>
      <c r="D6842" s="3" t="s">
        <v>175</v>
      </c>
      <c r="E6842" s="4" t="s">
        <v>22</v>
      </c>
      <c r="F6842" s="4" t="s">
        <v>35803</v>
      </c>
      <c r="G6842" s="4" t="s">
        <v>35804</v>
      </c>
      <c r="H6842" s="3" t="s">
        <v>34363</v>
      </c>
      <c r="I6842" s="3" t="s">
        <v>5477</v>
      </c>
      <c r="J6842" s="3" t="s">
        <v>35805</v>
      </c>
      <c r="K6842" s="3"/>
      <c r="L6842" s="3"/>
      <c r="M6842" s="4"/>
      <c r="N6842" s="3" t="s">
        <v>37</v>
      </c>
      <c r="O6842" s="3" t="s">
        <v>52</v>
      </c>
      <c r="P6842" s="5">
        <v>7</v>
      </c>
      <c r="Q6842" s="5">
        <v>34</v>
      </c>
      <c r="R6842" s="5">
        <v>5</v>
      </c>
      <c r="S6842" s="5">
        <v>33</v>
      </c>
    </row>
    <row r="6843" spans="1:19" ht="42" x14ac:dyDescent="0.15">
      <c r="A6843" s="2">
        <f>HYPERLINK("https://open-school.uspishnemisto.com.ua/school/350319/", 350319)</f>
        <v>350319</v>
      </c>
      <c r="B6843" s="3" t="s">
        <v>35806</v>
      </c>
      <c r="C6843" s="3" t="s">
        <v>31</v>
      </c>
      <c r="D6843" s="3" t="s">
        <v>32</v>
      </c>
      <c r="E6843" s="4" t="s">
        <v>22</v>
      </c>
      <c r="F6843" s="4" t="s">
        <v>35807</v>
      </c>
      <c r="G6843" s="4" t="s">
        <v>35808</v>
      </c>
      <c r="H6843" s="3" t="s">
        <v>34363</v>
      </c>
      <c r="I6843" s="3" t="s">
        <v>35809</v>
      </c>
      <c r="J6843" s="3" t="s">
        <v>35810</v>
      </c>
      <c r="K6843" s="3" t="s">
        <v>35811</v>
      </c>
      <c r="L6843" s="3"/>
      <c r="M6843" s="4"/>
      <c r="N6843" s="3" t="s">
        <v>37</v>
      </c>
      <c r="O6843" s="3" t="s">
        <v>2740</v>
      </c>
      <c r="P6843" s="5">
        <v>11</v>
      </c>
      <c r="Q6843" s="5">
        <v>60</v>
      </c>
      <c r="R6843" s="5">
        <v>11</v>
      </c>
      <c r="S6843" s="5">
        <v>63</v>
      </c>
    </row>
    <row r="6844" spans="1:19" ht="28" x14ac:dyDescent="0.15">
      <c r="A6844" s="2">
        <f>HYPERLINK("https://open-school.uspishnemisto.com.ua/school/350320/", 350320)</f>
        <v>350320</v>
      </c>
      <c r="B6844" s="3" t="s">
        <v>35812</v>
      </c>
      <c r="C6844" s="3" t="s">
        <v>31</v>
      </c>
      <c r="D6844" s="3" t="s">
        <v>32</v>
      </c>
      <c r="E6844" s="4" t="s">
        <v>22</v>
      </c>
      <c r="F6844" s="4" t="s">
        <v>35813</v>
      </c>
      <c r="G6844" s="4" t="s">
        <v>35814</v>
      </c>
      <c r="H6844" s="3" t="s">
        <v>34363</v>
      </c>
      <c r="I6844" s="3" t="s">
        <v>11745</v>
      </c>
      <c r="J6844" s="3" t="s">
        <v>1078</v>
      </c>
      <c r="K6844" s="3" t="s">
        <v>35815</v>
      </c>
      <c r="L6844" s="3"/>
      <c r="M6844" s="4"/>
      <c r="N6844" s="3" t="s">
        <v>37</v>
      </c>
      <c r="O6844" s="3" t="s">
        <v>618</v>
      </c>
      <c r="P6844" s="5">
        <v>10</v>
      </c>
      <c r="Q6844" s="5">
        <v>78</v>
      </c>
      <c r="R6844" s="5">
        <v>9</v>
      </c>
      <c r="S6844" s="5">
        <v>76</v>
      </c>
    </row>
    <row r="6845" spans="1:19" ht="28" x14ac:dyDescent="0.15">
      <c r="A6845" s="2">
        <f>HYPERLINK("https://open-school.uspishnemisto.com.ua/school/350321/", 350321)</f>
        <v>350321</v>
      </c>
      <c r="B6845" s="3" t="s">
        <v>35816</v>
      </c>
      <c r="C6845" s="3" t="s">
        <v>31</v>
      </c>
      <c r="D6845" s="3" t="s">
        <v>32</v>
      </c>
      <c r="E6845" s="4" t="s">
        <v>22</v>
      </c>
      <c r="F6845" s="4" t="s">
        <v>35817</v>
      </c>
      <c r="G6845" s="4" t="s">
        <v>35818</v>
      </c>
      <c r="H6845" s="3" t="s">
        <v>34363</v>
      </c>
      <c r="I6845" s="3" t="s">
        <v>12478</v>
      </c>
      <c r="J6845" s="3" t="s">
        <v>35819</v>
      </c>
      <c r="K6845" s="3" t="s">
        <v>35820</v>
      </c>
      <c r="L6845" s="3"/>
      <c r="M6845" s="4"/>
      <c r="N6845" s="3" t="s">
        <v>37</v>
      </c>
      <c r="O6845" s="3" t="s">
        <v>618</v>
      </c>
      <c r="P6845" s="5">
        <v>1</v>
      </c>
      <c r="Q6845" s="5">
        <v>6</v>
      </c>
      <c r="R6845" s="5">
        <v>1</v>
      </c>
      <c r="S6845" s="5">
        <v>7</v>
      </c>
    </row>
    <row r="6846" spans="1:19" ht="28" x14ac:dyDescent="0.15">
      <c r="A6846" s="2">
        <f>HYPERLINK("https://open-school.uspishnemisto.com.ua/school/350322/", 350322)</f>
        <v>350322</v>
      </c>
      <c r="B6846" s="3" t="s">
        <v>35821</v>
      </c>
      <c r="C6846" s="3" t="s">
        <v>31</v>
      </c>
      <c r="D6846" s="3" t="s">
        <v>32</v>
      </c>
      <c r="E6846" s="4" t="s">
        <v>22</v>
      </c>
      <c r="F6846" s="4" t="s">
        <v>35822</v>
      </c>
      <c r="G6846" s="4" t="s">
        <v>35823</v>
      </c>
      <c r="H6846" s="3" t="s">
        <v>34363</v>
      </c>
      <c r="I6846" s="3" t="s">
        <v>25323</v>
      </c>
      <c r="J6846" s="3" t="s">
        <v>35824</v>
      </c>
      <c r="K6846" s="3" t="s">
        <v>35825</v>
      </c>
      <c r="L6846" s="3"/>
      <c r="M6846" s="4"/>
      <c r="N6846" s="3" t="s">
        <v>37</v>
      </c>
      <c r="O6846" s="3" t="s">
        <v>38</v>
      </c>
      <c r="P6846" s="5">
        <v>11</v>
      </c>
      <c r="Q6846" s="5">
        <v>84</v>
      </c>
      <c r="R6846" s="5">
        <v>11</v>
      </c>
      <c r="S6846" s="5">
        <v>86</v>
      </c>
    </row>
    <row r="6847" spans="1:19" ht="28" x14ac:dyDescent="0.15">
      <c r="A6847" s="2">
        <f>HYPERLINK("https://open-school.uspishnemisto.com.ua/school/350323/", 350323)</f>
        <v>350323</v>
      </c>
      <c r="B6847" s="3" t="s">
        <v>35826</v>
      </c>
      <c r="C6847" s="3" t="s">
        <v>54</v>
      </c>
      <c r="D6847" s="3" t="s">
        <v>32</v>
      </c>
      <c r="E6847" s="4" t="s">
        <v>22</v>
      </c>
      <c r="F6847" s="4" t="s">
        <v>35827</v>
      </c>
      <c r="G6847" s="4" t="s">
        <v>35828</v>
      </c>
      <c r="H6847" s="3" t="s">
        <v>34363</v>
      </c>
      <c r="I6847" s="3" t="s">
        <v>22534</v>
      </c>
      <c r="J6847" s="3" t="s">
        <v>13277</v>
      </c>
      <c r="K6847" s="3" t="s">
        <v>35829</v>
      </c>
      <c r="L6847" s="3"/>
      <c r="M6847" s="4"/>
      <c r="N6847" s="3" t="s">
        <v>37</v>
      </c>
      <c r="O6847" s="3" t="s">
        <v>38</v>
      </c>
      <c r="P6847" s="5">
        <v>9</v>
      </c>
      <c r="Q6847" s="5">
        <v>53</v>
      </c>
      <c r="R6847" s="5">
        <v>8</v>
      </c>
      <c r="S6847" s="5">
        <v>43</v>
      </c>
    </row>
    <row r="6848" spans="1:19" ht="28" x14ac:dyDescent="0.15">
      <c r="A6848" s="2">
        <f>HYPERLINK("https://open-school.uspishnemisto.com.ua/school/350324/", 350324)</f>
        <v>350324</v>
      </c>
      <c r="B6848" s="3" t="s">
        <v>35830</v>
      </c>
      <c r="C6848" s="3" t="s">
        <v>31</v>
      </c>
      <c r="D6848" s="3" t="s">
        <v>175</v>
      </c>
      <c r="E6848" s="4" t="s">
        <v>22</v>
      </c>
      <c r="F6848" s="4" t="s">
        <v>35831</v>
      </c>
      <c r="G6848" s="4" t="s">
        <v>35832</v>
      </c>
      <c r="H6848" s="3" t="s">
        <v>34363</v>
      </c>
      <c r="I6848" s="3" t="s">
        <v>11355</v>
      </c>
      <c r="J6848" s="3" t="s">
        <v>25980</v>
      </c>
      <c r="K6848" s="3" t="s">
        <v>35833</v>
      </c>
      <c r="L6848" s="3"/>
      <c r="M6848" s="4"/>
      <c r="N6848" s="3" t="s">
        <v>37</v>
      </c>
      <c r="O6848" s="3" t="s">
        <v>38</v>
      </c>
      <c r="P6848" s="5">
        <v>8</v>
      </c>
      <c r="Q6848" s="5">
        <v>40</v>
      </c>
      <c r="R6848" s="5">
        <v>8</v>
      </c>
      <c r="S6848" s="5">
        <v>46</v>
      </c>
    </row>
    <row r="6849" spans="1:19" ht="28" x14ac:dyDescent="0.15">
      <c r="A6849" s="2">
        <f>HYPERLINK("https://open-school.uspishnemisto.com.ua/school/350325/", 350325)</f>
        <v>350325</v>
      </c>
      <c r="B6849" s="3" t="s">
        <v>35834</v>
      </c>
      <c r="C6849" s="3" t="s">
        <v>31</v>
      </c>
      <c r="D6849" s="3" t="s">
        <v>175</v>
      </c>
      <c r="E6849" s="4" t="s">
        <v>22</v>
      </c>
      <c r="F6849" s="4" t="s">
        <v>35835</v>
      </c>
      <c r="G6849" s="4" t="s">
        <v>35836</v>
      </c>
      <c r="H6849" s="3" t="s">
        <v>34363</v>
      </c>
      <c r="I6849" s="3" t="s">
        <v>33162</v>
      </c>
      <c r="J6849" s="3" t="s">
        <v>35837</v>
      </c>
      <c r="K6849" s="3" t="s">
        <v>35838</v>
      </c>
      <c r="L6849" s="3"/>
      <c r="M6849" s="4"/>
      <c r="N6849" s="3" t="s">
        <v>37</v>
      </c>
      <c r="O6849" s="3" t="s">
        <v>70</v>
      </c>
      <c r="P6849" s="5">
        <v>4</v>
      </c>
      <c r="Q6849" s="5">
        <v>26</v>
      </c>
      <c r="R6849" s="5">
        <v>2</v>
      </c>
      <c r="S6849" s="5">
        <v>27</v>
      </c>
    </row>
    <row r="6850" spans="1:19" ht="28" x14ac:dyDescent="0.15">
      <c r="A6850" s="2">
        <f>HYPERLINK("https://open-school.uspishnemisto.com.ua/school/350326/", 350326)</f>
        <v>350326</v>
      </c>
      <c r="B6850" s="3" t="s">
        <v>35839</v>
      </c>
      <c r="C6850" s="3" t="s">
        <v>31</v>
      </c>
      <c r="D6850" s="3" t="s">
        <v>32</v>
      </c>
      <c r="E6850" s="4" t="s">
        <v>22</v>
      </c>
      <c r="F6850" s="4" t="s">
        <v>35840</v>
      </c>
      <c r="G6850" s="4" t="s">
        <v>35841</v>
      </c>
      <c r="H6850" s="3" t="s">
        <v>34363</v>
      </c>
      <c r="I6850" s="3" t="s">
        <v>35842</v>
      </c>
      <c r="J6850" s="3" t="s">
        <v>35843</v>
      </c>
      <c r="K6850" s="3" t="s">
        <v>35844</v>
      </c>
      <c r="L6850" s="3"/>
      <c r="M6850" s="4"/>
      <c r="N6850" s="3" t="s">
        <v>37</v>
      </c>
      <c r="O6850" s="3" t="s">
        <v>38</v>
      </c>
      <c r="P6850" s="5">
        <v>11</v>
      </c>
      <c r="Q6850" s="5">
        <v>129</v>
      </c>
      <c r="R6850" s="5">
        <v>11</v>
      </c>
      <c r="S6850" s="5">
        <v>131</v>
      </c>
    </row>
    <row r="6851" spans="1:19" ht="28" x14ac:dyDescent="0.15">
      <c r="A6851" s="2">
        <f>HYPERLINK("https://open-school.uspishnemisto.com.ua/school/350327/", 350327)</f>
        <v>350327</v>
      </c>
      <c r="B6851" s="3" t="s">
        <v>35845</v>
      </c>
      <c r="C6851" s="3" t="s">
        <v>40</v>
      </c>
      <c r="D6851" s="3" t="s">
        <v>32</v>
      </c>
      <c r="E6851" s="4" t="s">
        <v>22</v>
      </c>
      <c r="F6851" s="4" t="s">
        <v>35846</v>
      </c>
      <c r="G6851" s="4" t="s">
        <v>35847</v>
      </c>
      <c r="H6851" s="3" t="s">
        <v>34363</v>
      </c>
      <c r="I6851" s="3" t="s">
        <v>35848</v>
      </c>
      <c r="J6851" s="3" t="s">
        <v>35849</v>
      </c>
      <c r="K6851" s="3" t="s">
        <v>35850</v>
      </c>
      <c r="L6851" s="3" t="s">
        <v>35851</v>
      </c>
      <c r="M6851" s="4"/>
      <c r="N6851" s="3" t="s">
        <v>37</v>
      </c>
      <c r="O6851" s="3" t="s">
        <v>70</v>
      </c>
      <c r="P6851" s="5">
        <v>9</v>
      </c>
      <c r="Q6851" s="5">
        <v>177</v>
      </c>
      <c r="R6851" s="5">
        <v>10</v>
      </c>
      <c r="S6851" s="5">
        <v>195</v>
      </c>
    </row>
    <row r="6852" spans="1:19" ht="28" x14ac:dyDescent="0.15">
      <c r="A6852" s="2">
        <f>HYPERLINK("https://open-school.uspishnemisto.com.ua/school/350328/", 350328)</f>
        <v>350328</v>
      </c>
      <c r="B6852" s="3" t="s">
        <v>35852</v>
      </c>
      <c r="C6852" s="3" t="s">
        <v>31</v>
      </c>
      <c r="D6852" s="3" t="s">
        <v>32</v>
      </c>
      <c r="E6852" s="4" t="s">
        <v>22</v>
      </c>
      <c r="F6852" s="4" t="s">
        <v>35846</v>
      </c>
      <c r="G6852" s="4" t="s">
        <v>35847</v>
      </c>
      <c r="H6852" s="3" t="s">
        <v>34363</v>
      </c>
      <c r="I6852" s="3" t="s">
        <v>35848</v>
      </c>
      <c r="J6852" s="3" t="s">
        <v>946</v>
      </c>
      <c r="K6852" s="3" t="s">
        <v>35853</v>
      </c>
      <c r="L6852" s="3"/>
      <c r="M6852" s="4"/>
      <c r="N6852" s="3" t="s">
        <v>37</v>
      </c>
      <c r="O6852" s="3" t="s">
        <v>70</v>
      </c>
      <c r="P6852" s="5">
        <v>27</v>
      </c>
      <c r="Q6852" s="5">
        <v>638</v>
      </c>
      <c r="R6852" s="5">
        <v>26</v>
      </c>
      <c r="S6852" s="5">
        <v>609</v>
      </c>
    </row>
    <row r="6853" spans="1:19" ht="28" x14ac:dyDescent="0.15">
      <c r="A6853" s="2">
        <f>HYPERLINK("https://open-school.uspishnemisto.com.ua/school/350329/", 350329)</f>
        <v>350329</v>
      </c>
      <c r="B6853" s="3" t="s">
        <v>35854</v>
      </c>
      <c r="C6853" s="3" t="s">
        <v>31</v>
      </c>
      <c r="D6853" s="3" t="s">
        <v>32</v>
      </c>
      <c r="E6853" s="4" t="s">
        <v>22</v>
      </c>
      <c r="F6853" s="4" t="s">
        <v>35846</v>
      </c>
      <c r="G6853" s="4" t="s">
        <v>35847</v>
      </c>
      <c r="H6853" s="3" t="s">
        <v>34363</v>
      </c>
      <c r="I6853" s="3" t="s">
        <v>35848</v>
      </c>
      <c r="J6853" s="3" t="s">
        <v>35855</v>
      </c>
      <c r="K6853" s="3" t="s">
        <v>35856</v>
      </c>
      <c r="L6853" s="3"/>
      <c r="M6853" s="4"/>
      <c r="N6853" s="3" t="s">
        <v>37</v>
      </c>
      <c r="O6853" s="3" t="s">
        <v>38</v>
      </c>
      <c r="P6853" s="5">
        <v>16</v>
      </c>
      <c r="Q6853" s="5">
        <v>304</v>
      </c>
      <c r="R6853" s="5">
        <v>15</v>
      </c>
      <c r="S6853" s="5">
        <v>294</v>
      </c>
    </row>
    <row r="6854" spans="1:19" ht="28" x14ac:dyDescent="0.15">
      <c r="A6854" s="2">
        <f>HYPERLINK("https://open-school.uspishnemisto.com.ua/school/350330/", 350330)</f>
        <v>350330</v>
      </c>
      <c r="B6854" s="3" t="s">
        <v>35857</v>
      </c>
      <c r="C6854" s="3" t="s">
        <v>293</v>
      </c>
      <c r="D6854" s="3" t="s">
        <v>32</v>
      </c>
      <c r="E6854" s="4" t="s">
        <v>22</v>
      </c>
      <c r="F6854" s="4" t="s">
        <v>35846</v>
      </c>
      <c r="G6854" s="4" t="s">
        <v>35847</v>
      </c>
      <c r="H6854" s="3" t="s">
        <v>34363</v>
      </c>
      <c r="I6854" s="3" t="s">
        <v>35848</v>
      </c>
      <c r="J6854" s="3" t="s">
        <v>35858</v>
      </c>
      <c r="K6854" s="3" t="s">
        <v>35859</v>
      </c>
      <c r="L6854" s="3"/>
      <c r="M6854" s="4" t="s">
        <v>35860</v>
      </c>
      <c r="N6854" s="3" t="s">
        <v>37</v>
      </c>
      <c r="O6854" s="3" t="s">
        <v>52</v>
      </c>
      <c r="P6854" s="5">
        <v>11</v>
      </c>
      <c r="Q6854" s="5">
        <v>128</v>
      </c>
      <c r="R6854" s="5">
        <v>11</v>
      </c>
      <c r="S6854" s="5">
        <v>141</v>
      </c>
    </row>
    <row r="6855" spans="1:19" ht="28" x14ac:dyDescent="0.15">
      <c r="A6855" s="2">
        <f>HYPERLINK("https://open-school.uspishnemisto.com.ua/school/350331/", 350331)</f>
        <v>350331</v>
      </c>
      <c r="B6855" s="3" t="s">
        <v>35861</v>
      </c>
      <c r="C6855" s="3" t="s">
        <v>31</v>
      </c>
      <c r="D6855" s="3" t="s">
        <v>32</v>
      </c>
      <c r="E6855" s="4" t="s">
        <v>22</v>
      </c>
      <c r="F6855" s="4" t="s">
        <v>35862</v>
      </c>
      <c r="G6855" s="4" t="s">
        <v>35863</v>
      </c>
      <c r="H6855" s="3" t="s">
        <v>34363</v>
      </c>
      <c r="I6855" s="3" t="s">
        <v>35864</v>
      </c>
      <c r="J6855" s="3" t="s">
        <v>11226</v>
      </c>
      <c r="K6855" s="3" t="s">
        <v>35865</v>
      </c>
      <c r="L6855" s="3"/>
      <c r="M6855" s="4"/>
      <c r="N6855" s="3" t="s">
        <v>37</v>
      </c>
      <c r="O6855" s="3" t="s">
        <v>38</v>
      </c>
      <c r="P6855" s="5">
        <v>11</v>
      </c>
      <c r="Q6855" s="5">
        <v>214</v>
      </c>
      <c r="R6855" s="5">
        <v>11</v>
      </c>
      <c r="S6855" s="5">
        <v>208</v>
      </c>
    </row>
    <row r="6856" spans="1:19" ht="42" x14ac:dyDescent="0.15">
      <c r="A6856" s="2">
        <f>HYPERLINK("https://open-school.uspishnemisto.com.ua/school/350332/", 350332)</f>
        <v>350332</v>
      </c>
      <c r="B6856" s="3" t="s">
        <v>35866</v>
      </c>
      <c r="C6856" s="3" t="s">
        <v>54</v>
      </c>
      <c r="D6856" s="3" t="s">
        <v>32</v>
      </c>
      <c r="E6856" s="4" t="s">
        <v>22</v>
      </c>
      <c r="F6856" s="4" t="s">
        <v>35867</v>
      </c>
      <c r="G6856" s="4" t="s">
        <v>35863</v>
      </c>
      <c r="H6856" s="3" t="s">
        <v>34363</v>
      </c>
      <c r="I6856" s="3" t="s">
        <v>35864</v>
      </c>
      <c r="J6856" s="3" t="s">
        <v>35868</v>
      </c>
      <c r="K6856" s="3" t="s">
        <v>35869</v>
      </c>
      <c r="L6856" s="3"/>
      <c r="M6856" s="4"/>
      <c r="N6856" s="3" t="s">
        <v>37</v>
      </c>
      <c r="O6856" s="3" t="s">
        <v>70</v>
      </c>
      <c r="P6856" s="5">
        <v>32</v>
      </c>
      <c r="Q6856" s="5">
        <v>698</v>
      </c>
      <c r="R6856" s="5">
        <v>28</v>
      </c>
      <c r="S6856" s="5">
        <v>652</v>
      </c>
    </row>
    <row r="6857" spans="1:19" ht="56" x14ac:dyDescent="0.15">
      <c r="A6857" s="2">
        <f>HYPERLINK("https://open-school.uspishnemisto.com.ua/school/350333/", 350333)</f>
        <v>350333</v>
      </c>
      <c r="B6857" s="3" t="s">
        <v>35870</v>
      </c>
      <c r="C6857" s="3" t="s">
        <v>54</v>
      </c>
      <c r="D6857" s="3" t="s">
        <v>32</v>
      </c>
      <c r="E6857" s="4" t="s">
        <v>22</v>
      </c>
      <c r="F6857" s="4" t="s">
        <v>35871</v>
      </c>
      <c r="G6857" s="4" t="s">
        <v>35872</v>
      </c>
      <c r="H6857" s="3" t="s">
        <v>34363</v>
      </c>
      <c r="I6857" s="3" t="s">
        <v>2954</v>
      </c>
      <c r="J6857" s="3" t="s">
        <v>35873</v>
      </c>
      <c r="K6857" s="3" t="s">
        <v>35874</v>
      </c>
      <c r="L6857" s="3"/>
      <c r="M6857" s="4"/>
      <c r="N6857" s="3" t="s">
        <v>37</v>
      </c>
      <c r="O6857" s="3" t="s">
        <v>38</v>
      </c>
      <c r="P6857" s="5">
        <v>9</v>
      </c>
      <c r="Q6857" s="5">
        <v>80</v>
      </c>
      <c r="R6857" s="5">
        <v>10</v>
      </c>
      <c r="S6857" s="5">
        <v>85</v>
      </c>
    </row>
    <row r="6858" spans="1:19" ht="56" x14ac:dyDescent="0.15">
      <c r="A6858" s="2">
        <f>HYPERLINK("https://open-school.uspishnemisto.com.ua/school/350334/", 350334)</f>
        <v>350334</v>
      </c>
      <c r="B6858" s="3" t="s">
        <v>35875</v>
      </c>
      <c r="C6858" s="3" t="s">
        <v>54</v>
      </c>
      <c r="D6858" s="3" t="s">
        <v>175</v>
      </c>
      <c r="E6858" s="4" t="s">
        <v>22</v>
      </c>
      <c r="F6858" s="4" t="s">
        <v>35876</v>
      </c>
      <c r="G6858" s="4" t="s">
        <v>35877</v>
      </c>
      <c r="H6858" s="3" t="s">
        <v>34363</v>
      </c>
      <c r="I6858" s="3" t="s">
        <v>1291</v>
      </c>
      <c r="J6858" s="3" t="s">
        <v>2978</v>
      </c>
      <c r="K6858" s="3"/>
      <c r="L6858" s="3"/>
      <c r="M6858" s="4"/>
      <c r="N6858" s="3" t="s">
        <v>37</v>
      </c>
      <c r="O6858" s="3" t="s">
        <v>52</v>
      </c>
      <c r="P6858" s="5">
        <v>6</v>
      </c>
      <c r="Q6858" s="5">
        <v>49</v>
      </c>
      <c r="R6858" s="5">
        <v>7</v>
      </c>
      <c r="S6858" s="5">
        <v>55</v>
      </c>
    </row>
    <row r="6859" spans="1:19" ht="28" x14ac:dyDescent="0.15">
      <c r="A6859" s="2">
        <f>HYPERLINK("https://open-school.uspishnemisto.com.ua/school/350335/", 350335)</f>
        <v>350335</v>
      </c>
      <c r="B6859" s="3" t="s">
        <v>35878</v>
      </c>
      <c r="C6859" s="3" t="s">
        <v>31</v>
      </c>
      <c r="D6859" s="3" t="s">
        <v>32</v>
      </c>
      <c r="E6859" s="4" t="s">
        <v>22</v>
      </c>
      <c r="F6859" s="4" t="s">
        <v>35879</v>
      </c>
      <c r="G6859" s="4" t="s">
        <v>35880</v>
      </c>
      <c r="H6859" s="3" t="s">
        <v>34363</v>
      </c>
      <c r="I6859" s="3" t="s">
        <v>35881</v>
      </c>
      <c r="J6859" s="3" t="s">
        <v>3173</v>
      </c>
      <c r="K6859" s="3" t="s">
        <v>35882</v>
      </c>
      <c r="L6859" s="3"/>
      <c r="M6859" s="4"/>
      <c r="N6859" s="3" t="s">
        <v>37</v>
      </c>
      <c r="O6859" s="3" t="s">
        <v>38</v>
      </c>
      <c r="P6859" s="5">
        <v>12</v>
      </c>
      <c r="Q6859" s="5">
        <v>230</v>
      </c>
      <c r="R6859" s="5">
        <v>13</v>
      </c>
      <c r="S6859" s="5">
        <v>228</v>
      </c>
    </row>
    <row r="6860" spans="1:19" ht="42" x14ac:dyDescent="0.15">
      <c r="A6860" s="2">
        <f>HYPERLINK("https://open-school.uspishnemisto.com.ua/school/350336/", 350336)</f>
        <v>350336</v>
      </c>
      <c r="B6860" s="3" t="s">
        <v>35883</v>
      </c>
      <c r="C6860" s="3" t="s">
        <v>54</v>
      </c>
      <c r="D6860" s="3" t="s">
        <v>32</v>
      </c>
      <c r="E6860" s="4" t="s">
        <v>22</v>
      </c>
      <c r="F6860" s="4" t="s">
        <v>35884</v>
      </c>
      <c r="G6860" s="4" t="s">
        <v>35885</v>
      </c>
      <c r="H6860" s="3" t="s">
        <v>34363</v>
      </c>
      <c r="I6860" s="3" t="s">
        <v>35886</v>
      </c>
      <c r="J6860" s="3" t="s">
        <v>35887</v>
      </c>
      <c r="K6860" s="3" t="s">
        <v>35888</v>
      </c>
      <c r="L6860" s="3"/>
      <c r="M6860" s="4"/>
      <c r="N6860" s="3" t="s">
        <v>37</v>
      </c>
      <c r="O6860" s="3" t="s">
        <v>38</v>
      </c>
      <c r="P6860" s="5">
        <v>11</v>
      </c>
      <c r="Q6860" s="5">
        <v>111</v>
      </c>
      <c r="R6860" s="5">
        <v>11</v>
      </c>
      <c r="S6860" s="5">
        <v>106</v>
      </c>
    </row>
    <row r="6861" spans="1:19" ht="28" x14ac:dyDescent="0.15">
      <c r="A6861" s="2">
        <f>HYPERLINK("https://open-school.uspishnemisto.com.ua/school/350337/", 350337)</f>
        <v>350337</v>
      </c>
      <c r="B6861" s="3" t="s">
        <v>35889</v>
      </c>
      <c r="C6861" s="3" t="s">
        <v>31</v>
      </c>
      <c r="D6861" s="3" t="s">
        <v>32</v>
      </c>
      <c r="E6861" s="4" t="s">
        <v>22</v>
      </c>
      <c r="F6861" s="4" t="s">
        <v>35884</v>
      </c>
      <c r="G6861" s="4" t="s">
        <v>35885</v>
      </c>
      <c r="H6861" s="3" t="s">
        <v>34363</v>
      </c>
      <c r="I6861" s="3" t="s">
        <v>35886</v>
      </c>
      <c r="J6861" s="3" t="s">
        <v>466</v>
      </c>
      <c r="K6861" s="3"/>
      <c r="L6861" s="3"/>
      <c r="M6861" s="4"/>
      <c r="N6861" s="3" t="s">
        <v>128</v>
      </c>
      <c r="O6861" s="3" t="s">
        <v>38</v>
      </c>
      <c r="P6861" s="5">
        <v>18</v>
      </c>
      <c r="Q6861" s="5">
        <v>229</v>
      </c>
      <c r="R6861" s="5">
        <v>19</v>
      </c>
      <c r="S6861" s="5">
        <v>241</v>
      </c>
    </row>
    <row r="6862" spans="1:19" ht="28" x14ac:dyDescent="0.15">
      <c r="A6862" s="2">
        <f>HYPERLINK("https://open-school.uspishnemisto.com.ua/school/350338/", 350338)</f>
        <v>350338</v>
      </c>
      <c r="B6862" s="3" t="s">
        <v>35890</v>
      </c>
      <c r="C6862" s="3" t="s">
        <v>31</v>
      </c>
      <c r="D6862" s="3" t="s">
        <v>175</v>
      </c>
      <c r="E6862" s="4" t="s">
        <v>22</v>
      </c>
      <c r="F6862" s="4" t="s">
        <v>35891</v>
      </c>
      <c r="G6862" s="4" t="s">
        <v>35892</v>
      </c>
      <c r="H6862" s="3" t="s">
        <v>34363</v>
      </c>
      <c r="I6862" s="3" t="s">
        <v>3145</v>
      </c>
      <c r="J6862" s="3" t="s">
        <v>35893</v>
      </c>
      <c r="K6862" s="3" t="s">
        <v>35894</v>
      </c>
      <c r="L6862" s="3"/>
      <c r="M6862" s="4"/>
      <c r="N6862" s="3" t="s">
        <v>37</v>
      </c>
      <c r="O6862" s="3" t="s">
        <v>52</v>
      </c>
      <c r="P6862" s="5">
        <v>0</v>
      </c>
      <c r="Q6862" s="5">
        <v>0</v>
      </c>
      <c r="R6862" s="5">
        <v>7</v>
      </c>
      <c r="S6862" s="5">
        <v>58</v>
      </c>
    </row>
    <row r="6863" spans="1:19" ht="28" x14ac:dyDescent="0.15">
      <c r="A6863" s="2">
        <f>HYPERLINK("https://open-school.uspishnemisto.com.ua/school/350339/", 350339)</f>
        <v>350339</v>
      </c>
      <c r="B6863" s="3" t="s">
        <v>35895</v>
      </c>
      <c r="C6863" s="3" t="s">
        <v>31</v>
      </c>
      <c r="D6863" s="3" t="s">
        <v>32</v>
      </c>
      <c r="E6863" s="4" t="s">
        <v>22</v>
      </c>
      <c r="F6863" s="4" t="s">
        <v>35896</v>
      </c>
      <c r="G6863" s="4" t="s">
        <v>35897</v>
      </c>
      <c r="H6863" s="3" t="s">
        <v>34363</v>
      </c>
      <c r="I6863" s="3" t="s">
        <v>28361</v>
      </c>
      <c r="J6863" s="3" t="s">
        <v>2434</v>
      </c>
      <c r="K6863" s="3" t="s">
        <v>35898</v>
      </c>
      <c r="L6863" s="3" t="s">
        <v>35899</v>
      </c>
      <c r="M6863" s="4"/>
      <c r="N6863" s="3" t="s">
        <v>37</v>
      </c>
      <c r="O6863" s="3" t="s">
        <v>52</v>
      </c>
      <c r="P6863" s="5">
        <v>0</v>
      </c>
      <c r="Q6863" s="5">
        <v>0</v>
      </c>
      <c r="R6863" s="5">
        <v>1</v>
      </c>
      <c r="S6863" s="5">
        <v>34</v>
      </c>
    </row>
    <row r="6864" spans="1:19" ht="28" x14ac:dyDescent="0.15">
      <c r="A6864" s="2">
        <f>HYPERLINK("https://open-school.uspishnemisto.com.ua/school/350340/", 350340)</f>
        <v>350340</v>
      </c>
      <c r="B6864" s="3" t="s">
        <v>35900</v>
      </c>
      <c r="C6864" s="3" t="s">
        <v>31</v>
      </c>
      <c r="D6864" s="3" t="s">
        <v>175</v>
      </c>
      <c r="E6864" s="4" t="s">
        <v>22</v>
      </c>
      <c r="F6864" s="4" t="s">
        <v>35901</v>
      </c>
      <c r="G6864" s="4" t="s">
        <v>35902</v>
      </c>
      <c r="H6864" s="3" t="s">
        <v>34363</v>
      </c>
      <c r="I6864" s="3" t="s">
        <v>11416</v>
      </c>
      <c r="J6864" s="3" t="s">
        <v>35903</v>
      </c>
      <c r="K6864" s="3"/>
      <c r="L6864" s="3"/>
      <c r="M6864" s="4"/>
      <c r="N6864" s="3" t="s">
        <v>37</v>
      </c>
      <c r="O6864" s="3" t="s">
        <v>70</v>
      </c>
      <c r="P6864" s="5">
        <v>8</v>
      </c>
      <c r="Q6864" s="5">
        <v>65</v>
      </c>
      <c r="R6864" s="5">
        <v>8</v>
      </c>
      <c r="S6864" s="5">
        <v>63</v>
      </c>
    </row>
    <row r="6865" spans="1:19" ht="42" x14ac:dyDescent="0.15">
      <c r="A6865" s="2">
        <f>HYPERLINK("https://open-school.uspishnemisto.com.ua/school/350341/", 350341)</f>
        <v>350341</v>
      </c>
      <c r="B6865" s="3" t="s">
        <v>35904</v>
      </c>
      <c r="C6865" s="3" t="s">
        <v>54</v>
      </c>
      <c r="D6865" s="3" t="s">
        <v>32</v>
      </c>
      <c r="E6865" s="4" t="s">
        <v>22</v>
      </c>
      <c r="F6865" s="4" t="s">
        <v>35905</v>
      </c>
      <c r="G6865" s="4" t="s">
        <v>35906</v>
      </c>
      <c r="H6865" s="3" t="s">
        <v>34363</v>
      </c>
      <c r="I6865" s="3" t="s">
        <v>26514</v>
      </c>
      <c r="J6865" s="3" t="s">
        <v>35907</v>
      </c>
      <c r="K6865" s="3" t="s">
        <v>35908</v>
      </c>
      <c r="L6865" s="3"/>
      <c r="M6865" s="4"/>
      <c r="N6865" s="3" t="s">
        <v>37</v>
      </c>
      <c r="O6865" s="3" t="s">
        <v>38</v>
      </c>
      <c r="P6865" s="5">
        <v>11</v>
      </c>
      <c r="Q6865" s="5">
        <v>98</v>
      </c>
      <c r="R6865" s="5">
        <v>10</v>
      </c>
      <c r="S6865" s="5">
        <v>94</v>
      </c>
    </row>
    <row r="6866" spans="1:19" ht="28" x14ac:dyDescent="0.15">
      <c r="A6866" s="2">
        <f>HYPERLINK("https://open-school.uspishnemisto.com.ua/school/350342/", 350342)</f>
        <v>350342</v>
      </c>
      <c r="B6866" s="3" t="s">
        <v>35909</v>
      </c>
      <c r="C6866" s="3" t="s">
        <v>31</v>
      </c>
      <c r="D6866" s="3" t="s">
        <v>32</v>
      </c>
      <c r="E6866" s="4" t="s">
        <v>22</v>
      </c>
      <c r="F6866" s="4" t="s">
        <v>35910</v>
      </c>
      <c r="G6866" s="4" t="s">
        <v>35911</v>
      </c>
      <c r="H6866" s="3" t="s">
        <v>34363</v>
      </c>
      <c r="I6866" s="3" t="s">
        <v>440</v>
      </c>
      <c r="J6866" s="3" t="s">
        <v>35912</v>
      </c>
      <c r="K6866" s="3"/>
      <c r="L6866" s="3"/>
      <c r="M6866" s="4"/>
      <c r="N6866" s="3" t="s">
        <v>37</v>
      </c>
      <c r="O6866" s="3" t="s">
        <v>38</v>
      </c>
      <c r="P6866" s="5">
        <v>11</v>
      </c>
      <c r="Q6866" s="5">
        <v>186</v>
      </c>
      <c r="R6866" s="5">
        <v>11</v>
      </c>
      <c r="S6866" s="5">
        <v>183</v>
      </c>
    </row>
    <row r="6867" spans="1:19" ht="28" x14ac:dyDescent="0.15">
      <c r="A6867" s="2">
        <f>HYPERLINK("https://open-school.uspishnemisto.com.ua/school/350343/", 350343)</f>
        <v>350343</v>
      </c>
      <c r="B6867" s="3" t="s">
        <v>35913</v>
      </c>
      <c r="C6867" s="3" t="s">
        <v>31</v>
      </c>
      <c r="D6867" s="3" t="s">
        <v>32</v>
      </c>
      <c r="E6867" s="4" t="s">
        <v>22</v>
      </c>
      <c r="F6867" s="4" t="s">
        <v>35914</v>
      </c>
      <c r="G6867" s="4" t="s">
        <v>35915</v>
      </c>
      <c r="H6867" s="3" t="s">
        <v>34363</v>
      </c>
      <c r="I6867" s="3" t="s">
        <v>35916</v>
      </c>
      <c r="J6867" s="3" t="s">
        <v>1792</v>
      </c>
      <c r="K6867" s="3" t="s">
        <v>35917</v>
      </c>
      <c r="L6867" s="3"/>
      <c r="M6867" s="4"/>
      <c r="N6867" s="3" t="s">
        <v>37</v>
      </c>
      <c r="O6867" s="3" t="s">
        <v>38</v>
      </c>
      <c r="P6867" s="5">
        <v>11</v>
      </c>
      <c r="Q6867" s="5">
        <v>202</v>
      </c>
      <c r="R6867" s="5">
        <v>11</v>
      </c>
      <c r="S6867" s="5">
        <v>201</v>
      </c>
    </row>
    <row r="6868" spans="1:19" ht="42" x14ac:dyDescent="0.15">
      <c r="A6868" s="2">
        <f>HYPERLINK("https://open-school.uspishnemisto.com.ua/school/350344/", 350344)</f>
        <v>350344</v>
      </c>
      <c r="B6868" s="3" t="s">
        <v>35918</v>
      </c>
      <c r="C6868" s="3" t="s">
        <v>54</v>
      </c>
      <c r="D6868" s="3" t="s">
        <v>175</v>
      </c>
      <c r="E6868" s="4" t="s">
        <v>22</v>
      </c>
      <c r="F6868" s="4" t="s">
        <v>35919</v>
      </c>
      <c r="G6868" s="4" t="s">
        <v>35920</v>
      </c>
      <c r="H6868" s="3" t="s">
        <v>34363</v>
      </c>
      <c r="I6868" s="3" t="s">
        <v>35921</v>
      </c>
      <c r="J6868" s="3" t="s">
        <v>466</v>
      </c>
      <c r="K6868" s="3" t="s">
        <v>35922</v>
      </c>
      <c r="L6868" s="3"/>
      <c r="M6868" s="4"/>
      <c r="N6868" s="3" t="s">
        <v>37</v>
      </c>
      <c r="O6868" s="3" t="s">
        <v>38</v>
      </c>
      <c r="P6868" s="5">
        <v>9</v>
      </c>
      <c r="Q6868" s="5">
        <v>69</v>
      </c>
      <c r="R6868" s="5">
        <v>9</v>
      </c>
      <c r="S6868" s="5">
        <v>67</v>
      </c>
    </row>
    <row r="6869" spans="1:19" ht="28" x14ac:dyDescent="0.15">
      <c r="A6869" s="2">
        <f>HYPERLINK("https://open-school.uspishnemisto.com.ua/school/350345/", 350345)</f>
        <v>350345</v>
      </c>
      <c r="B6869" s="3" t="s">
        <v>35923</v>
      </c>
      <c r="C6869" s="3" t="s">
        <v>31</v>
      </c>
      <c r="D6869" s="3" t="s">
        <v>32</v>
      </c>
      <c r="E6869" s="4" t="s">
        <v>22</v>
      </c>
      <c r="F6869" s="4" t="s">
        <v>35924</v>
      </c>
      <c r="G6869" s="4" t="s">
        <v>35925</v>
      </c>
      <c r="H6869" s="3" t="s">
        <v>34363</v>
      </c>
      <c r="I6869" s="3" t="s">
        <v>35926</v>
      </c>
      <c r="J6869" s="3" t="s">
        <v>297</v>
      </c>
      <c r="K6869" s="3" t="s">
        <v>35927</v>
      </c>
      <c r="L6869" s="3"/>
      <c r="M6869" s="4"/>
      <c r="N6869" s="3" t="s">
        <v>37</v>
      </c>
      <c r="O6869" s="3" t="s">
        <v>38</v>
      </c>
      <c r="P6869" s="5">
        <v>11</v>
      </c>
      <c r="Q6869" s="5">
        <v>159</v>
      </c>
      <c r="R6869" s="5">
        <v>11</v>
      </c>
      <c r="S6869" s="5">
        <v>145</v>
      </c>
    </row>
    <row r="6870" spans="1:19" ht="28" x14ac:dyDescent="0.15">
      <c r="A6870" s="2">
        <f>HYPERLINK("https://open-school.uspishnemisto.com.ua/school/350346/", 350346)</f>
        <v>350346</v>
      </c>
      <c r="B6870" s="3" t="s">
        <v>35928</v>
      </c>
      <c r="C6870" s="3" t="s">
        <v>31</v>
      </c>
      <c r="D6870" s="3" t="s">
        <v>175</v>
      </c>
      <c r="E6870" s="4" t="s">
        <v>22</v>
      </c>
      <c r="F6870" s="4" t="s">
        <v>35929</v>
      </c>
      <c r="G6870" s="4" t="s">
        <v>35930</v>
      </c>
      <c r="H6870" s="3" t="s">
        <v>34363</v>
      </c>
      <c r="I6870" s="3" t="s">
        <v>35931</v>
      </c>
      <c r="J6870" s="3" t="s">
        <v>20772</v>
      </c>
      <c r="K6870" s="3" t="s">
        <v>35932</v>
      </c>
      <c r="L6870" s="3"/>
      <c r="M6870" s="4"/>
      <c r="N6870" s="3" t="s">
        <v>37</v>
      </c>
      <c r="O6870" s="3" t="s">
        <v>52</v>
      </c>
      <c r="P6870" s="5">
        <v>0</v>
      </c>
      <c r="Q6870" s="5">
        <v>0</v>
      </c>
      <c r="R6870" s="5">
        <v>6</v>
      </c>
      <c r="S6870" s="5">
        <v>33</v>
      </c>
    </row>
    <row r="6871" spans="1:19" ht="28" x14ac:dyDescent="0.15">
      <c r="A6871" s="2">
        <f>HYPERLINK("https://open-school.uspishnemisto.com.ua/school/350347/", 350347)</f>
        <v>350347</v>
      </c>
      <c r="B6871" s="3" t="s">
        <v>35933</v>
      </c>
      <c r="C6871" s="3" t="s">
        <v>54</v>
      </c>
      <c r="D6871" s="3" t="s">
        <v>32</v>
      </c>
      <c r="E6871" s="4" t="s">
        <v>22</v>
      </c>
      <c r="F6871" s="4" t="s">
        <v>35934</v>
      </c>
      <c r="G6871" s="4" t="s">
        <v>35935</v>
      </c>
      <c r="H6871" s="3" t="s">
        <v>34363</v>
      </c>
      <c r="I6871" s="3" t="s">
        <v>35936</v>
      </c>
      <c r="J6871" s="3" t="s">
        <v>1557</v>
      </c>
      <c r="K6871" s="3" t="s">
        <v>35937</v>
      </c>
      <c r="L6871" s="3"/>
      <c r="M6871" s="4"/>
      <c r="N6871" s="3" t="s">
        <v>37</v>
      </c>
      <c r="O6871" s="3" t="s">
        <v>70</v>
      </c>
      <c r="P6871" s="5">
        <v>27</v>
      </c>
      <c r="Q6871" s="5">
        <v>373</v>
      </c>
      <c r="R6871" s="5">
        <v>12</v>
      </c>
      <c r="S6871" s="5">
        <v>257</v>
      </c>
    </row>
    <row r="6872" spans="1:19" ht="28" x14ac:dyDescent="0.15">
      <c r="A6872" s="2">
        <f>HYPERLINK("https://open-school.uspishnemisto.com.ua/school/350348/", 350348)</f>
        <v>350348</v>
      </c>
      <c r="B6872" s="3" t="s">
        <v>35938</v>
      </c>
      <c r="C6872" s="3" t="s">
        <v>31</v>
      </c>
      <c r="D6872" s="3" t="s">
        <v>175</v>
      </c>
      <c r="E6872" s="4" t="s">
        <v>22</v>
      </c>
      <c r="F6872" s="4" t="s">
        <v>35939</v>
      </c>
      <c r="G6872" s="4" t="s">
        <v>35940</v>
      </c>
      <c r="H6872" s="3" t="s">
        <v>34363</v>
      </c>
      <c r="I6872" s="3" t="s">
        <v>11880</v>
      </c>
      <c r="J6872" s="3" t="s">
        <v>35941</v>
      </c>
      <c r="K6872" s="3" t="s">
        <v>35942</v>
      </c>
      <c r="L6872" s="3"/>
      <c r="M6872" s="4"/>
      <c r="N6872" s="3" t="s">
        <v>37</v>
      </c>
      <c r="O6872" s="3" t="s">
        <v>618</v>
      </c>
      <c r="P6872" s="5">
        <v>0</v>
      </c>
      <c r="Q6872" s="5">
        <v>0</v>
      </c>
      <c r="R6872" s="5">
        <v>3</v>
      </c>
      <c r="S6872" s="5">
        <v>29</v>
      </c>
    </row>
    <row r="6873" spans="1:19" ht="56" x14ac:dyDescent="0.15">
      <c r="A6873" s="2">
        <f>HYPERLINK("https://open-school.uspishnemisto.com.ua/school/350349/", 350349)</f>
        <v>350349</v>
      </c>
      <c r="B6873" s="3" t="s">
        <v>35943</v>
      </c>
      <c r="C6873" s="3" t="s">
        <v>54</v>
      </c>
      <c r="D6873" s="3" t="s">
        <v>32</v>
      </c>
      <c r="E6873" s="4" t="s">
        <v>22</v>
      </c>
      <c r="F6873" s="4" t="s">
        <v>35944</v>
      </c>
      <c r="G6873" s="4" t="s">
        <v>35945</v>
      </c>
      <c r="H6873" s="3" t="s">
        <v>34363</v>
      </c>
      <c r="I6873" s="3" t="s">
        <v>35946</v>
      </c>
      <c r="J6873" s="3" t="s">
        <v>35947</v>
      </c>
      <c r="K6873" s="3" t="s">
        <v>35948</v>
      </c>
      <c r="L6873" s="3"/>
      <c r="M6873" s="4"/>
      <c r="N6873" s="3" t="s">
        <v>37</v>
      </c>
      <c r="O6873" s="3" t="s">
        <v>70</v>
      </c>
      <c r="P6873" s="5">
        <v>68</v>
      </c>
      <c r="Q6873" s="5">
        <v>864</v>
      </c>
      <c r="R6873" s="5">
        <v>22</v>
      </c>
      <c r="S6873" s="5">
        <v>450</v>
      </c>
    </row>
    <row r="6874" spans="1:19" ht="56" x14ac:dyDescent="0.15">
      <c r="A6874" s="2">
        <f>HYPERLINK("https://open-school.uspishnemisto.com.ua/school/350350/", 350350)</f>
        <v>350350</v>
      </c>
      <c r="B6874" s="3" t="s">
        <v>35949</v>
      </c>
      <c r="C6874" s="3" t="s">
        <v>54</v>
      </c>
      <c r="D6874" s="3" t="s">
        <v>32</v>
      </c>
      <c r="E6874" s="4" t="s">
        <v>22</v>
      </c>
      <c r="F6874" s="4" t="s">
        <v>35944</v>
      </c>
      <c r="G6874" s="4" t="s">
        <v>35945</v>
      </c>
      <c r="H6874" s="3" t="s">
        <v>34363</v>
      </c>
      <c r="I6874" s="3" t="s">
        <v>35946</v>
      </c>
      <c r="J6874" s="3" t="s">
        <v>35950</v>
      </c>
      <c r="K6874" s="3" t="s">
        <v>35951</v>
      </c>
      <c r="L6874" s="3"/>
      <c r="M6874" s="4"/>
      <c r="N6874" s="3" t="s">
        <v>37</v>
      </c>
      <c r="O6874" s="3" t="s">
        <v>70</v>
      </c>
      <c r="P6874" s="5">
        <v>37</v>
      </c>
      <c r="Q6874" s="5">
        <v>280</v>
      </c>
      <c r="R6874" s="5">
        <v>11</v>
      </c>
      <c r="S6874" s="5">
        <v>110</v>
      </c>
    </row>
    <row r="6875" spans="1:19" ht="70" x14ac:dyDescent="0.15">
      <c r="A6875" s="2">
        <f>HYPERLINK("https://open-school.uspishnemisto.com.ua/school/350351/", 350351)</f>
        <v>350351</v>
      </c>
      <c r="B6875" s="3" t="s">
        <v>35952</v>
      </c>
      <c r="C6875" s="3" t="s">
        <v>54</v>
      </c>
      <c r="D6875" s="3" t="s">
        <v>175</v>
      </c>
      <c r="E6875" s="4" t="s">
        <v>22</v>
      </c>
      <c r="F6875" s="4" t="s">
        <v>35944</v>
      </c>
      <c r="G6875" s="4" t="s">
        <v>35945</v>
      </c>
      <c r="H6875" s="3" t="s">
        <v>34363</v>
      </c>
      <c r="I6875" s="3" t="s">
        <v>35946</v>
      </c>
      <c r="J6875" s="3" t="s">
        <v>35953</v>
      </c>
      <c r="K6875" s="3" t="s">
        <v>35954</v>
      </c>
      <c r="L6875" s="3"/>
      <c r="M6875" s="4"/>
      <c r="N6875" s="3" t="s">
        <v>37</v>
      </c>
      <c r="O6875" s="3" t="s">
        <v>52</v>
      </c>
      <c r="P6875" s="5">
        <v>0</v>
      </c>
      <c r="Q6875" s="5">
        <v>0</v>
      </c>
      <c r="R6875" s="5">
        <v>9</v>
      </c>
      <c r="S6875" s="5">
        <v>93</v>
      </c>
    </row>
    <row r="6876" spans="1:19" ht="70" x14ac:dyDescent="0.15">
      <c r="A6876" s="2">
        <f>HYPERLINK("https://open-school.uspishnemisto.com.ua/school/350352/", 350352)</f>
        <v>350352</v>
      </c>
      <c r="B6876" s="3" t="s">
        <v>35955</v>
      </c>
      <c r="C6876" s="3" t="s">
        <v>31</v>
      </c>
      <c r="D6876" s="3" t="s">
        <v>32</v>
      </c>
      <c r="E6876" s="4" t="s">
        <v>22</v>
      </c>
      <c r="F6876" s="4" t="s">
        <v>35956</v>
      </c>
      <c r="G6876" s="4" t="s">
        <v>35957</v>
      </c>
      <c r="H6876" s="3" t="s">
        <v>34363</v>
      </c>
      <c r="I6876" s="3" t="s">
        <v>35958</v>
      </c>
      <c r="J6876" s="3" t="s">
        <v>35959</v>
      </c>
      <c r="K6876" s="3" t="s">
        <v>35960</v>
      </c>
      <c r="L6876" s="3" t="s">
        <v>35961</v>
      </c>
      <c r="M6876" s="4"/>
      <c r="N6876" s="3" t="s">
        <v>37</v>
      </c>
      <c r="O6876" s="3" t="s">
        <v>52</v>
      </c>
      <c r="P6876" s="5">
        <v>0</v>
      </c>
      <c r="Q6876" s="5">
        <v>0</v>
      </c>
      <c r="R6876" s="5">
        <v>9</v>
      </c>
      <c r="S6876" s="5">
        <v>56</v>
      </c>
    </row>
    <row r="6877" spans="1:19" ht="56" x14ac:dyDescent="0.15">
      <c r="A6877" s="2">
        <f>HYPERLINK("https://open-school.uspishnemisto.com.ua/school/350353/", 350353)</f>
        <v>350353</v>
      </c>
      <c r="B6877" s="3" t="s">
        <v>35962</v>
      </c>
      <c r="C6877" s="3" t="s">
        <v>54</v>
      </c>
      <c r="D6877" s="3" t="s">
        <v>32</v>
      </c>
      <c r="E6877" s="4" t="s">
        <v>22</v>
      </c>
      <c r="F6877" s="4" t="s">
        <v>35963</v>
      </c>
      <c r="G6877" s="4" t="s">
        <v>35964</v>
      </c>
      <c r="H6877" s="3" t="s">
        <v>34363</v>
      </c>
      <c r="I6877" s="3" t="s">
        <v>35965</v>
      </c>
      <c r="J6877" s="3" t="s">
        <v>35966</v>
      </c>
      <c r="K6877" s="3" t="s">
        <v>35967</v>
      </c>
      <c r="L6877" s="3" t="s">
        <v>35968</v>
      </c>
      <c r="M6877" s="4"/>
      <c r="N6877" s="3" t="s">
        <v>37</v>
      </c>
      <c r="O6877" s="3" t="s">
        <v>38</v>
      </c>
      <c r="P6877" s="5">
        <v>17</v>
      </c>
      <c r="Q6877" s="5">
        <v>299</v>
      </c>
      <c r="R6877" s="5">
        <v>11</v>
      </c>
      <c r="S6877" s="5">
        <v>211</v>
      </c>
    </row>
    <row r="6878" spans="1:19" ht="70" x14ac:dyDescent="0.15">
      <c r="A6878" s="2">
        <f>HYPERLINK("https://open-school.uspishnemisto.com.ua/school/350354/", 350354)</f>
        <v>350354</v>
      </c>
      <c r="B6878" s="3" t="s">
        <v>35969</v>
      </c>
      <c r="C6878" s="3" t="s">
        <v>54</v>
      </c>
      <c r="D6878" s="3" t="s">
        <v>32</v>
      </c>
      <c r="E6878" s="4" t="s">
        <v>22</v>
      </c>
      <c r="F6878" s="4" t="s">
        <v>35970</v>
      </c>
      <c r="G6878" s="4" t="s">
        <v>35971</v>
      </c>
      <c r="H6878" s="3" t="s">
        <v>34363</v>
      </c>
      <c r="I6878" s="3" t="s">
        <v>35972</v>
      </c>
      <c r="J6878" s="3" t="s">
        <v>2372</v>
      </c>
      <c r="K6878" s="3" t="s">
        <v>35973</v>
      </c>
      <c r="L6878" s="3"/>
      <c r="M6878" s="4"/>
      <c r="N6878" s="3" t="s">
        <v>37</v>
      </c>
      <c r="O6878" s="3" t="s">
        <v>52</v>
      </c>
      <c r="P6878" s="5">
        <v>0</v>
      </c>
      <c r="Q6878" s="5">
        <v>0</v>
      </c>
      <c r="R6878" s="5">
        <v>11</v>
      </c>
      <c r="S6878" s="5">
        <v>84</v>
      </c>
    </row>
    <row r="6879" spans="1:19" ht="84" x14ac:dyDescent="0.15">
      <c r="A6879" s="2">
        <f>HYPERLINK("https://open-school.uspishnemisto.com.ua/school/350355/", 350355)</f>
        <v>350355</v>
      </c>
      <c r="B6879" s="3" t="s">
        <v>35974</v>
      </c>
      <c r="C6879" s="3" t="s">
        <v>54</v>
      </c>
      <c r="D6879" s="3" t="s">
        <v>32</v>
      </c>
      <c r="E6879" s="4" t="s">
        <v>22</v>
      </c>
      <c r="F6879" s="4" t="s">
        <v>35975</v>
      </c>
      <c r="G6879" s="4" t="s">
        <v>35976</v>
      </c>
      <c r="H6879" s="3" t="s">
        <v>34363</v>
      </c>
      <c r="I6879" s="3" t="s">
        <v>35977</v>
      </c>
      <c r="J6879" s="3" t="s">
        <v>1198</v>
      </c>
      <c r="K6879" s="3"/>
      <c r="L6879" s="3"/>
      <c r="M6879" s="4"/>
      <c r="N6879" s="3" t="s">
        <v>37</v>
      </c>
      <c r="O6879" s="3" t="s">
        <v>46</v>
      </c>
      <c r="P6879" s="5">
        <v>0</v>
      </c>
      <c r="Q6879" s="5">
        <v>0</v>
      </c>
      <c r="R6879" s="5">
        <v>6</v>
      </c>
      <c r="S6879" s="5">
        <v>45</v>
      </c>
    </row>
    <row r="6880" spans="1:19" ht="70" x14ac:dyDescent="0.15">
      <c r="A6880" s="2">
        <f>HYPERLINK("https://open-school.uspishnemisto.com.ua/school/350356/", 350356)</f>
        <v>350356</v>
      </c>
      <c r="B6880" s="3" t="s">
        <v>35978</v>
      </c>
      <c r="C6880" s="3" t="s">
        <v>54</v>
      </c>
      <c r="D6880" s="3" t="s">
        <v>32</v>
      </c>
      <c r="E6880" s="4" t="s">
        <v>22</v>
      </c>
      <c r="F6880" s="4" t="s">
        <v>35979</v>
      </c>
      <c r="G6880" s="4" t="s">
        <v>35980</v>
      </c>
      <c r="H6880" s="3" t="s">
        <v>34363</v>
      </c>
      <c r="I6880" s="3" t="s">
        <v>35981</v>
      </c>
      <c r="J6880" s="3" t="s">
        <v>19322</v>
      </c>
      <c r="K6880" s="3" t="s">
        <v>35982</v>
      </c>
      <c r="L6880" s="3" t="s">
        <v>35983</v>
      </c>
      <c r="M6880" s="4"/>
      <c r="N6880" s="3" t="s">
        <v>37</v>
      </c>
      <c r="O6880" s="3" t="s">
        <v>52</v>
      </c>
      <c r="P6880" s="5">
        <v>0</v>
      </c>
      <c r="Q6880" s="5">
        <v>0</v>
      </c>
      <c r="R6880" s="5">
        <v>11</v>
      </c>
      <c r="S6880" s="5">
        <v>123</v>
      </c>
    </row>
    <row r="6881" spans="1:19" ht="70" x14ac:dyDescent="0.15">
      <c r="A6881" s="2">
        <f>HYPERLINK("https://open-school.uspishnemisto.com.ua/school/350357/", 350357)</f>
        <v>350357</v>
      </c>
      <c r="B6881" s="3" t="s">
        <v>35984</v>
      </c>
      <c r="C6881" s="3" t="s">
        <v>54</v>
      </c>
      <c r="D6881" s="3" t="s">
        <v>32</v>
      </c>
      <c r="E6881" s="4" t="s">
        <v>22</v>
      </c>
      <c r="F6881" s="4" t="s">
        <v>35985</v>
      </c>
      <c r="G6881" s="4" t="s">
        <v>35986</v>
      </c>
      <c r="H6881" s="3" t="s">
        <v>34363</v>
      </c>
      <c r="I6881" s="3" t="s">
        <v>35987</v>
      </c>
      <c r="J6881" s="3" t="s">
        <v>1348</v>
      </c>
      <c r="K6881" s="3" t="s">
        <v>35988</v>
      </c>
      <c r="L6881" s="3"/>
      <c r="M6881" s="4"/>
      <c r="N6881" s="3" t="s">
        <v>37</v>
      </c>
      <c r="O6881" s="3" t="s">
        <v>52</v>
      </c>
      <c r="P6881" s="5">
        <v>0</v>
      </c>
      <c r="Q6881" s="5">
        <v>0</v>
      </c>
      <c r="R6881" s="5">
        <v>8</v>
      </c>
      <c r="S6881" s="5">
        <v>61</v>
      </c>
    </row>
    <row r="6882" spans="1:19" ht="70" x14ac:dyDescent="0.15">
      <c r="A6882" s="2">
        <f>HYPERLINK("https://open-school.uspishnemisto.com.ua/school/350358/", 350358)</f>
        <v>350358</v>
      </c>
      <c r="B6882" s="3" t="s">
        <v>35989</v>
      </c>
      <c r="C6882" s="3" t="s">
        <v>54</v>
      </c>
      <c r="D6882" s="3" t="s">
        <v>32</v>
      </c>
      <c r="E6882" s="4" t="s">
        <v>22</v>
      </c>
      <c r="F6882" s="4" t="s">
        <v>35990</v>
      </c>
      <c r="G6882" s="4" t="s">
        <v>35991</v>
      </c>
      <c r="H6882" s="3" t="s">
        <v>34363</v>
      </c>
      <c r="I6882" s="3" t="s">
        <v>15367</v>
      </c>
      <c r="J6882" s="3" t="s">
        <v>35992</v>
      </c>
      <c r="K6882" s="3" t="s">
        <v>35993</v>
      </c>
      <c r="L6882" s="3" t="s">
        <v>35994</v>
      </c>
      <c r="M6882" s="4"/>
      <c r="N6882" s="3" t="s">
        <v>37</v>
      </c>
      <c r="O6882" s="3" t="s">
        <v>52</v>
      </c>
      <c r="P6882" s="5">
        <v>0</v>
      </c>
      <c r="Q6882" s="5">
        <v>0</v>
      </c>
      <c r="R6882" s="5">
        <v>8</v>
      </c>
      <c r="S6882" s="5">
        <v>69</v>
      </c>
    </row>
    <row r="6883" spans="1:19" ht="56" x14ac:dyDescent="0.15">
      <c r="A6883" s="2">
        <f>HYPERLINK("https://open-school.uspishnemisto.com.ua/school/350359/", 350359)</f>
        <v>350359</v>
      </c>
      <c r="B6883" s="3" t="s">
        <v>35995</v>
      </c>
      <c r="C6883" s="3" t="s">
        <v>54</v>
      </c>
      <c r="D6883" s="3" t="s">
        <v>32</v>
      </c>
      <c r="E6883" s="4" t="s">
        <v>22</v>
      </c>
      <c r="F6883" s="4" t="s">
        <v>35996</v>
      </c>
      <c r="G6883" s="4" t="s">
        <v>35997</v>
      </c>
      <c r="H6883" s="3" t="s">
        <v>34363</v>
      </c>
      <c r="I6883" s="3" t="s">
        <v>35998</v>
      </c>
      <c r="J6883" s="3" t="s">
        <v>15380</v>
      </c>
      <c r="K6883" s="3" t="s">
        <v>35999</v>
      </c>
      <c r="L6883" s="3"/>
      <c r="M6883" s="4"/>
      <c r="N6883" s="3" t="s">
        <v>37</v>
      </c>
      <c r="O6883" s="3" t="s">
        <v>46</v>
      </c>
      <c r="P6883" s="5">
        <v>0</v>
      </c>
      <c r="Q6883" s="5">
        <v>0</v>
      </c>
      <c r="R6883" s="5">
        <v>9</v>
      </c>
      <c r="S6883" s="5">
        <v>60</v>
      </c>
    </row>
    <row r="6884" spans="1:19" ht="70" x14ac:dyDescent="0.15">
      <c r="A6884" s="2">
        <f>HYPERLINK("https://open-school.uspishnemisto.com.ua/school/350361/", 350361)</f>
        <v>350361</v>
      </c>
      <c r="B6884" s="3" t="s">
        <v>36000</v>
      </c>
      <c r="C6884" s="3" t="s">
        <v>54</v>
      </c>
      <c r="D6884" s="3" t="s">
        <v>32</v>
      </c>
      <c r="E6884" s="4" t="s">
        <v>22</v>
      </c>
      <c r="F6884" s="4" t="s">
        <v>36001</v>
      </c>
      <c r="G6884" s="4" t="s">
        <v>36002</v>
      </c>
      <c r="H6884" s="3" t="s">
        <v>34363</v>
      </c>
      <c r="I6884" s="3" t="s">
        <v>1439</v>
      </c>
      <c r="J6884" s="3" t="s">
        <v>36003</v>
      </c>
      <c r="K6884" s="3" t="s">
        <v>36004</v>
      </c>
      <c r="L6884" s="3" t="s">
        <v>36005</v>
      </c>
      <c r="M6884" s="4"/>
      <c r="N6884" s="3" t="s">
        <v>37</v>
      </c>
      <c r="O6884" s="3" t="s">
        <v>46</v>
      </c>
      <c r="P6884" s="5">
        <v>0</v>
      </c>
      <c r="Q6884" s="5">
        <v>0</v>
      </c>
      <c r="R6884" s="5">
        <v>10</v>
      </c>
      <c r="S6884" s="5">
        <v>77</v>
      </c>
    </row>
    <row r="6885" spans="1:19" ht="56" x14ac:dyDescent="0.15">
      <c r="A6885" s="2">
        <f>HYPERLINK("https://open-school.uspishnemisto.com.ua/school/350362/", 350362)</f>
        <v>350362</v>
      </c>
      <c r="B6885" s="3" t="s">
        <v>36006</v>
      </c>
      <c r="C6885" s="3" t="s">
        <v>54</v>
      </c>
      <c r="D6885" s="3" t="s">
        <v>32</v>
      </c>
      <c r="E6885" s="4" t="s">
        <v>22</v>
      </c>
      <c r="F6885" s="4" t="s">
        <v>36007</v>
      </c>
      <c r="G6885" s="4" t="s">
        <v>36008</v>
      </c>
      <c r="H6885" s="3" t="s">
        <v>34363</v>
      </c>
      <c r="I6885" s="3" t="s">
        <v>36009</v>
      </c>
      <c r="J6885" s="3" t="s">
        <v>36010</v>
      </c>
      <c r="K6885" s="3" t="s">
        <v>36011</v>
      </c>
      <c r="L6885" s="3"/>
      <c r="M6885" s="4" t="s">
        <v>36012</v>
      </c>
      <c r="N6885" s="3" t="s">
        <v>37</v>
      </c>
      <c r="O6885" s="3" t="s">
        <v>52</v>
      </c>
      <c r="P6885" s="5">
        <v>30</v>
      </c>
      <c r="Q6885" s="5">
        <v>342</v>
      </c>
      <c r="R6885" s="5">
        <v>30</v>
      </c>
      <c r="S6885" s="5">
        <v>354</v>
      </c>
    </row>
    <row r="6886" spans="1:19" ht="70" x14ac:dyDescent="0.15">
      <c r="A6886" s="2">
        <f>HYPERLINK("https://open-school.uspishnemisto.com.ua/school/350363/", 350363)</f>
        <v>350363</v>
      </c>
      <c r="B6886" s="3" t="s">
        <v>36013</v>
      </c>
      <c r="C6886" s="3" t="s">
        <v>54</v>
      </c>
      <c r="D6886" s="3" t="s">
        <v>32</v>
      </c>
      <c r="E6886" s="4" t="s">
        <v>22</v>
      </c>
      <c r="F6886" s="4" t="s">
        <v>36007</v>
      </c>
      <c r="G6886" s="4" t="s">
        <v>36008</v>
      </c>
      <c r="H6886" s="3" t="s">
        <v>34363</v>
      </c>
      <c r="I6886" s="3" t="s">
        <v>36009</v>
      </c>
      <c r="J6886" s="3" t="s">
        <v>19579</v>
      </c>
      <c r="K6886" s="3" t="s">
        <v>36014</v>
      </c>
      <c r="L6886" s="3"/>
      <c r="M6886" s="4" t="s">
        <v>36015</v>
      </c>
      <c r="N6886" s="3" t="s">
        <v>37</v>
      </c>
      <c r="O6886" s="3" t="s">
        <v>52</v>
      </c>
      <c r="P6886" s="5">
        <v>46</v>
      </c>
      <c r="Q6886" s="5">
        <v>621</v>
      </c>
      <c r="R6886" s="5">
        <v>45</v>
      </c>
      <c r="S6886" s="5">
        <v>600</v>
      </c>
    </row>
    <row r="6887" spans="1:19" ht="70" x14ac:dyDescent="0.15">
      <c r="A6887" s="2">
        <f>HYPERLINK("https://open-school.uspishnemisto.com.ua/school/350364/", 350364)</f>
        <v>350364</v>
      </c>
      <c r="B6887" s="3" t="s">
        <v>36016</v>
      </c>
      <c r="C6887" s="3" t="s">
        <v>54</v>
      </c>
      <c r="D6887" s="3" t="s">
        <v>175</v>
      </c>
      <c r="E6887" s="4" t="s">
        <v>22</v>
      </c>
      <c r="F6887" s="4" t="s">
        <v>36017</v>
      </c>
      <c r="G6887" s="4" t="s">
        <v>36018</v>
      </c>
      <c r="H6887" s="3" t="s">
        <v>34363</v>
      </c>
      <c r="I6887" s="3" t="s">
        <v>36019</v>
      </c>
      <c r="J6887" s="3" t="s">
        <v>4448</v>
      </c>
      <c r="K6887" s="3" t="s">
        <v>36020</v>
      </c>
      <c r="L6887" s="3"/>
      <c r="M6887" s="4"/>
      <c r="N6887" s="3"/>
      <c r="O6887" s="3"/>
      <c r="P6887" s="5">
        <v>0</v>
      </c>
      <c r="Q6887" s="5">
        <v>0</v>
      </c>
      <c r="R6887" s="5"/>
      <c r="S6887" s="5"/>
    </row>
    <row r="6888" spans="1:19" ht="56" x14ac:dyDescent="0.15">
      <c r="A6888" s="2">
        <f>HYPERLINK("https://open-school.uspishnemisto.com.ua/school/350365/", 350365)</f>
        <v>350365</v>
      </c>
      <c r="B6888" s="3" t="s">
        <v>36021</v>
      </c>
      <c r="C6888" s="3" t="s">
        <v>31</v>
      </c>
      <c r="D6888" s="3" t="s">
        <v>175</v>
      </c>
      <c r="E6888" s="4" t="s">
        <v>22</v>
      </c>
      <c r="F6888" s="4" t="s">
        <v>36022</v>
      </c>
      <c r="G6888" s="4" t="s">
        <v>36023</v>
      </c>
      <c r="H6888" s="3" t="s">
        <v>34363</v>
      </c>
      <c r="I6888" s="3" t="s">
        <v>11128</v>
      </c>
      <c r="J6888" s="3" t="s">
        <v>447</v>
      </c>
      <c r="K6888" s="3" t="s">
        <v>36024</v>
      </c>
      <c r="L6888" s="3" t="s">
        <v>36025</v>
      </c>
      <c r="M6888" s="4"/>
      <c r="N6888" s="3"/>
      <c r="O6888" s="3"/>
      <c r="P6888" s="5">
        <v>0</v>
      </c>
      <c r="Q6888" s="5">
        <v>0</v>
      </c>
      <c r="R6888" s="5"/>
      <c r="S6888" s="5"/>
    </row>
    <row r="6889" spans="1:19" ht="70" x14ac:dyDescent="0.15">
      <c r="A6889" s="2">
        <f>HYPERLINK("https://open-school.uspishnemisto.com.ua/school/350366/", 350366)</f>
        <v>350366</v>
      </c>
      <c r="B6889" s="3" t="s">
        <v>36026</v>
      </c>
      <c r="C6889" s="3" t="s">
        <v>31</v>
      </c>
      <c r="D6889" s="3" t="s">
        <v>175</v>
      </c>
      <c r="E6889" s="4" t="s">
        <v>22</v>
      </c>
      <c r="F6889" s="4" t="s">
        <v>36027</v>
      </c>
      <c r="G6889" s="4" t="s">
        <v>36028</v>
      </c>
      <c r="H6889" s="3" t="s">
        <v>34363</v>
      </c>
      <c r="I6889" s="3" t="s">
        <v>883</v>
      </c>
      <c r="J6889" s="3" t="s">
        <v>792</v>
      </c>
      <c r="K6889" s="3" t="s">
        <v>36029</v>
      </c>
      <c r="L6889" s="3"/>
      <c r="M6889" s="4"/>
      <c r="N6889" s="3"/>
      <c r="O6889" s="3"/>
      <c r="P6889" s="5">
        <v>0</v>
      </c>
      <c r="Q6889" s="5">
        <v>0</v>
      </c>
      <c r="R6889" s="5"/>
      <c r="S6889" s="5"/>
    </row>
    <row r="6890" spans="1:19" ht="56" x14ac:dyDescent="0.15">
      <c r="A6890" s="2">
        <f>HYPERLINK("https://open-school.uspishnemisto.com.ua/school/350367/", 350367)</f>
        <v>350367</v>
      </c>
      <c r="B6890" s="3" t="s">
        <v>36030</v>
      </c>
      <c r="C6890" s="3" t="s">
        <v>31</v>
      </c>
      <c r="D6890" s="3" t="s">
        <v>32</v>
      </c>
      <c r="E6890" s="4" t="s">
        <v>22</v>
      </c>
      <c r="F6890" s="4" t="s">
        <v>36031</v>
      </c>
      <c r="G6890" s="4" t="s">
        <v>36032</v>
      </c>
      <c r="H6890" s="3" t="s">
        <v>34363</v>
      </c>
      <c r="I6890" s="3" t="s">
        <v>36033</v>
      </c>
      <c r="J6890" s="3" t="s">
        <v>11022</v>
      </c>
      <c r="K6890" s="3" t="s">
        <v>36034</v>
      </c>
      <c r="L6890" s="3"/>
      <c r="M6890" s="4" t="s">
        <v>36035</v>
      </c>
      <c r="N6890" s="3"/>
      <c r="O6890" s="3"/>
      <c r="P6890" s="5">
        <v>0</v>
      </c>
      <c r="Q6890" s="5">
        <v>0</v>
      </c>
      <c r="R6890" s="5"/>
      <c r="S6890" s="5"/>
    </row>
    <row r="6891" spans="1:19" ht="56" x14ac:dyDescent="0.15">
      <c r="A6891" s="2">
        <f>HYPERLINK("https://open-school.uspishnemisto.com.ua/school/350368/", 350368)</f>
        <v>350368</v>
      </c>
      <c r="B6891" s="3" t="s">
        <v>36036</v>
      </c>
      <c r="C6891" s="3" t="s">
        <v>31</v>
      </c>
      <c r="D6891" s="3" t="s">
        <v>32</v>
      </c>
      <c r="E6891" s="4" t="s">
        <v>22</v>
      </c>
      <c r="F6891" s="4" t="s">
        <v>36037</v>
      </c>
      <c r="G6891" s="4" t="s">
        <v>36038</v>
      </c>
      <c r="H6891" s="3" t="s">
        <v>34363</v>
      </c>
      <c r="I6891" s="3" t="s">
        <v>36039</v>
      </c>
      <c r="J6891" s="3" t="s">
        <v>36040</v>
      </c>
      <c r="K6891" s="3" t="s">
        <v>36041</v>
      </c>
      <c r="L6891" s="3"/>
      <c r="M6891" s="4"/>
      <c r="N6891" s="3"/>
      <c r="O6891" s="3"/>
      <c r="P6891" s="5">
        <v>0</v>
      </c>
      <c r="Q6891" s="5">
        <v>0</v>
      </c>
      <c r="R6891" s="5"/>
      <c r="S6891" s="5"/>
    </row>
    <row r="6892" spans="1:19" ht="28" x14ac:dyDescent="0.15">
      <c r="A6892" s="2">
        <f>HYPERLINK("https://open-school.uspishnemisto.com.ua/school/350369/", 350369)</f>
        <v>350369</v>
      </c>
      <c r="B6892" s="3" t="s">
        <v>36042</v>
      </c>
      <c r="C6892" s="3" t="s">
        <v>31</v>
      </c>
      <c r="D6892" s="3" t="s">
        <v>32</v>
      </c>
      <c r="E6892" s="4" t="s">
        <v>22</v>
      </c>
      <c r="F6892" s="4" t="s">
        <v>36043</v>
      </c>
      <c r="G6892" s="4" t="s">
        <v>36044</v>
      </c>
      <c r="H6892" s="3" t="s">
        <v>34363</v>
      </c>
      <c r="I6892" s="3" t="s">
        <v>36045</v>
      </c>
      <c r="J6892" s="3" t="s">
        <v>466</v>
      </c>
      <c r="K6892" s="3" t="s">
        <v>36046</v>
      </c>
      <c r="L6892" s="3"/>
      <c r="M6892" s="4"/>
      <c r="N6892" s="3"/>
      <c r="O6892" s="3"/>
      <c r="P6892" s="5">
        <v>0</v>
      </c>
      <c r="Q6892" s="5">
        <v>0</v>
      </c>
      <c r="R6892" s="5"/>
      <c r="S6892" s="5"/>
    </row>
    <row r="6893" spans="1:19" ht="42" x14ac:dyDescent="0.15">
      <c r="A6893" s="2">
        <f>HYPERLINK("https://open-school.uspishnemisto.com.ua/school/350370/", 350370)</f>
        <v>350370</v>
      </c>
      <c r="B6893" s="3" t="s">
        <v>36047</v>
      </c>
      <c r="C6893" s="3" t="s">
        <v>31</v>
      </c>
      <c r="D6893" s="3" t="s">
        <v>175</v>
      </c>
      <c r="E6893" s="4" t="s">
        <v>22</v>
      </c>
      <c r="F6893" s="4" t="s">
        <v>36048</v>
      </c>
      <c r="G6893" s="4" t="s">
        <v>36049</v>
      </c>
      <c r="H6893" s="3" t="s">
        <v>34363</v>
      </c>
      <c r="I6893" s="3" t="s">
        <v>440</v>
      </c>
      <c r="J6893" s="3" t="s">
        <v>7686</v>
      </c>
      <c r="K6893" s="3"/>
      <c r="L6893" s="3" t="s">
        <v>36050</v>
      </c>
      <c r="M6893" s="4"/>
      <c r="N6893" s="3"/>
      <c r="O6893" s="3"/>
      <c r="P6893" s="5">
        <v>0</v>
      </c>
      <c r="Q6893" s="5">
        <v>0</v>
      </c>
      <c r="R6893" s="5"/>
      <c r="S6893" s="5"/>
    </row>
    <row r="6894" spans="1:19" ht="56" x14ac:dyDescent="0.15">
      <c r="A6894" s="2">
        <f>HYPERLINK("https://open-school.uspishnemisto.com.ua/school/350371/", 350371)</f>
        <v>350371</v>
      </c>
      <c r="B6894" s="3" t="s">
        <v>36051</v>
      </c>
      <c r="C6894" s="3" t="s">
        <v>54</v>
      </c>
      <c r="D6894" s="3" t="s">
        <v>32</v>
      </c>
      <c r="E6894" s="4" t="s">
        <v>22</v>
      </c>
      <c r="F6894" s="4" t="s">
        <v>36052</v>
      </c>
      <c r="G6894" s="4" t="s">
        <v>36053</v>
      </c>
      <c r="H6894" s="3" t="s">
        <v>34363</v>
      </c>
      <c r="I6894" s="3" t="s">
        <v>36054</v>
      </c>
      <c r="J6894" s="3" t="s">
        <v>634</v>
      </c>
      <c r="K6894" s="3" t="s">
        <v>36055</v>
      </c>
      <c r="L6894" s="3"/>
      <c r="M6894" s="4" t="s">
        <v>36056</v>
      </c>
      <c r="N6894" s="3" t="s">
        <v>37</v>
      </c>
      <c r="O6894" s="3" t="s">
        <v>52</v>
      </c>
      <c r="P6894" s="5">
        <v>25</v>
      </c>
      <c r="Q6894" s="5">
        <v>327</v>
      </c>
      <c r="R6894" s="5">
        <v>23</v>
      </c>
      <c r="S6894" s="5">
        <v>336</v>
      </c>
    </row>
    <row r="6895" spans="1:19" ht="42" x14ac:dyDescent="0.15">
      <c r="A6895" s="2">
        <f>HYPERLINK("https://open-school.uspishnemisto.com.ua/school/350372/", 350372)</f>
        <v>350372</v>
      </c>
      <c r="B6895" s="3" t="s">
        <v>36057</v>
      </c>
      <c r="C6895" s="3" t="s">
        <v>54</v>
      </c>
      <c r="D6895" s="3" t="s">
        <v>60</v>
      </c>
      <c r="E6895" s="4" t="s">
        <v>22</v>
      </c>
      <c r="F6895" s="4" t="s">
        <v>36058</v>
      </c>
      <c r="G6895" s="4" t="s">
        <v>36059</v>
      </c>
      <c r="H6895" s="3" t="s">
        <v>34363</v>
      </c>
      <c r="I6895" s="3" t="s">
        <v>36060</v>
      </c>
      <c r="J6895" s="3" t="s">
        <v>36061</v>
      </c>
      <c r="K6895" s="3" t="s">
        <v>36062</v>
      </c>
      <c r="L6895" s="3"/>
      <c r="M6895" s="4"/>
      <c r="N6895" s="3"/>
      <c r="O6895" s="3"/>
      <c r="P6895" s="5">
        <v>0</v>
      </c>
      <c r="Q6895" s="5">
        <v>0</v>
      </c>
      <c r="R6895" s="5"/>
      <c r="S6895" s="5"/>
    </row>
    <row r="6896" spans="1:19" ht="56" x14ac:dyDescent="0.15">
      <c r="A6896" s="2">
        <f>HYPERLINK("https://open-school.uspishnemisto.com.ua/school/350373/", 350373)</f>
        <v>350373</v>
      </c>
      <c r="B6896" s="3" t="s">
        <v>36063</v>
      </c>
      <c r="C6896" s="3" t="s">
        <v>31</v>
      </c>
      <c r="D6896" s="3" t="s">
        <v>175</v>
      </c>
      <c r="E6896" s="4" t="s">
        <v>22</v>
      </c>
      <c r="F6896" s="4" t="s">
        <v>17144</v>
      </c>
      <c r="G6896" s="4" t="s">
        <v>36064</v>
      </c>
      <c r="H6896" s="3" t="s">
        <v>34363</v>
      </c>
      <c r="I6896" s="3" t="s">
        <v>36065</v>
      </c>
      <c r="J6896" s="3" t="s">
        <v>2185</v>
      </c>
      <c r="K6896" s="3" t="s">
        <v>36066</v>
      </c>
      <c r="L6896" s="3"/>
      <c r="M6896" s="4"/>
      <c r="N6896" s="3"/>
      <c r="O6896" s="3"/>
      <c r="P6896" s="5">
        <v>0</v>
      </c>
      <c r="Q6896" s="5">
        <v>0</v>
      </c>
      <c r="R6896" s="5"/>
      <c r="S6896" s="5"/>
    </row>
    <row r="6897" spans="1:19" ht="56" x14ac:dyDescent="0.15">
      <c r="A6897" s="2">
        <f>HYPERLINK("https://open-school.uspishnemisto.com.ua/school/350374/", 350374)</f>
        <v>350374</v>
      </c>
      <c r="B6897" s="3" t="s">
        <v>36067</v>
      </c>
      <c r="C6897" s="3" t="s">
        <v>31</v>
      </c>
      <c r="D6897" s="3" t="s">
        <v>32</v>
      </c>
      <c r="E6897" s="4" t="s">
        <v>22</v>
      </c>
      <c r="F6897" s="4" t="s">
        <v>36068</v>
      </c>
      <c r="G6897" s="4" t="s">
        <v>36069</v>
      </c>
      <c r="H6897" s="3" t="s">
        <v>34363</v>
      </c>
      <c r="I6897" s="3" t="s">
        <v>36070</v>
      </c>
      <c r="J6897" s="3" t="s">
        <v>554</v>
      </c>
      <c r="K6897" s="3" t="s">
        <v>36071</v>
      </c>
      <c r="L6897" s="3"/>
      <c r="M6897" s="4"/>
      <c r="N6897" s="3"/>
      <c r="O6897" s="3"/>
      <c r="P6897" s="5">
        <v>0</v>
      </c>
      <c r="Q6897" s="5">
        <v>0</v>
      </c>
      <c r="R6897" s="5"/>
      <c r="S6897" s="5"/>
    </row>
    <row r="6898" spans="1:19" ht="56" x14ac:dyDescent="0.15">
      <c r="A6898" s="2">
        <f>HYPERLINK("https://open-school.uspishnemisto.com.ua/school/350375/", 350375)</f>
        <v>350375</v>
      </c>
      <c r="B6898" s="3" t="s">
        <v>36072</v>
      </c>
      <c r="C6898" s="3" t="s">
        <v>31</v>
      </c>
      <c r="D6898" s="3" t="s">
        <v>175</v>
      </c>
      <c r="E6898" s="4" t="s">
        <v>22</v>
      </c>
      <c r="F6898" s="4" t="s">
        <v>36073</v>
      </c>
      <c r="G6898" s="4" t="s">
        <v>36074</v>
      </c>
      <c r="H6898" s="3" t="s">
        <v>34363</v>
      </c>
      <c r="I6898" s="3" t="s">
        <v>2079</v>
      </c>
      <c r="J6898" s="3" t="s">
        <v>36075</v>
      </c>
      <c r="K6898" s="3" t="s">
        <v>36076</v>
      </c>
      <c r="L6898" s="3"/>
      <c r="M6898" s="4"/>
      <c r="N6898" s="3"/>
      <c r="O6898" s="3"/>
      <c r="P6898" s="5">
        <v>0</v>
      </c>
      <c r="Q6898" s="5">
        <v>0</v>
      </c>
      <c r="R6898" s="5"/>
      <c r="S6898" s="5"/>
    </row>
    <row r="6899" spans="1:19" ht="56" x14ac:dyDescent="0.15">
      <c r="A6899" s="2">
        <f>HYPERLINK("https://open-school.uspishnemisto.com.ua/school/350376/", 350376)</f>
        <v>350376</v>
      </c>
      <c r="B6899" s="3" t="s">
        <v>36077</v>
      </c>
      <c r="C6899" s="3" t="s">
        <v>54</v>
      </c>
      <c r="D6899" s="3" t="s">
        <v>32</v>
      </c>
      <c r="E6899" s="4" t="s">
        <v>22</v>
      </c>
      <c r="F6899" s="4" t="s">
        <v>36078</v>
      </c>
      <c r="G6899" s="4" t="s">
        <v>36079</v>
      </c>
      <c r="H6899" s="3" t="s">
        <v>34363</v>
      </c>
      <c r="I6899" s="3" t="s">
        <v>29995</v>
      </c>
      <c r="J6899" s="3" t="s">
        <v>33601</v>
      </c>
      <c r="K6899" s="3"/>
      <c r="L6899" s="3"/>
      <c r="M6899" s="4" t="s">
        <v>36080</v>
      </c>
      <c r="N6899" s="3" t="s">
        <v>37</v>
      </c>
      <c r="O6899" s="3" t="s">
        <v>46</v>
      </c>
      <c r="P6899" s="5">
        <v>33</v>
      </c>
      <c r="Q6899" s="5">
        <v>377</v>
      </c>
      <c r="R6899" s="5">
        <v>34</v>
      </c>
      <c r="S6899" s="5">
        <v>399</v>
      </c>
    </row>
    <row r="6900" spans="1:19" ht="56" x14ac:dyDescent="0.15">
      <c r="A6900" s="2">
        <f>HYPERLINK("https://open-school.uspishnemisto.com.ua/school/350377/", 350377)</f>
        <v>350377</v>
      </c>
      <c r="B6900" s="3" t="s">
        <v>36081</v>
      </c>
      <c r="C6900" s="3" t="s">
        <v>31</v>
      </c>
      <c r="D6900" s="3" t="s">
        <v>175</v>
      </c>
      <c r="E6900" s="4" t="s">
        <v>22</v>
      </c>
      <c r="F6900" s="4" t="s">
        <v>36082</v>
      </c>
      <c r="G6900" s="4" t="s">
        <v>36083</v>
      </c>
      <c r="H6900" s="3" t="s">
        <v>34363</v>
      </c>
      <c r="I6900" s="3" t="s">
        <v>36084</v>
      </c>
      <c r="J6900" s="3" t="s">
        <v>36085</v>
      </c>
      <c r="K6900" s="3" t="s">
        <v>36086</v>
      </c>
      <c r="L6900" s="3"/>
      <c r="M6900" s="4"/>
      <c r="N6900" s="3"/>
      <c r="O6900" s="3"/>
      <c r="P6900" s="5">
        <v>0</v>
      </c>
      <c r="Q6900" s="5">
        <v>0</v>
      </c>
      <c r="R6900" s="5"/>
      <c r="S6900" s="5"/>
    </row>
    <row r="6901" spans="1:19" ht="70" x14ac:dyDescent="0.15">
      <c r="A6901" s="2">
        <f>HYPERLINK("https://open-school.uspishnemisto.com.ua/school/350378/", 350378)</f>
        <v>350378</v>
      </c>
      <c r="B6901" s="3" t="s">
        <v>36087</v>
      </c>
      <c r="C6901" s="3" t="s">
        <v>54</v>
      </c>
      <c r="D6901" s="3" t="s">
        <v>60</v>
      </c>
      <c r="E6901" s="4" t="s">
        <v>22</v>
      </c>
      <c r="F6901" s="4"/>
      <c r="G6901" s="4" t="s">
        <v>36088</v>
      </c>
      <c r="H6901" s="3" t="s">
        <v>34363</v>
      </c>
      <c r="I6901" s="3" t="s">
        <v>36089</v>
      </c>
      <c r="J6901" s="3" t="s">
        <v>36090</v>
      </c>
      <c r="K6901" s="3"/>
      <c r="L6901" s="3"/>
      <c r="M6901" s="4"/>
      <c r="N6901" s="3"/>
      <c r="O6901" s="3"/>
      <c r="P6901" s="5">
        <v>0</v>
      </c>
      <c r="Q6901" s="5">
        <v>0</v>
      </c>
      <c r="R6901" s="5"/>
      <c r="S6901" s="5"/>
    </row>
    <row r="6902" spans="1:19" ht="56" x14ac:dyDescent="0.15">
      <c r="A6902" s="2">
        <f>HYPERLINK("https://open-school.uspishnemisto.com.ua/school/350379/", 350379)</f>
        <v>350379</v>
      </c>
      <c r="B6902" s="3" t="s">
        <v>36091</v>
      </c>
      <c r="C6902" s="3" t="s">
        <v>31</v>
      </c>
      <c r="D6902" s="3" t="s">
        <v>175</v>
      </c>
      <c r="E6902" s="4" t="s">
        <v>22</v>
      </c>
      <c r="F6902" s="4" t="s">
        <v>36092</v>
      </c>
      <c r="G6902" s="4" t="s">
        <v>36093</v>
      </c>
      <c r="H6902" s="3" t="s">
        <v>34363</v>
      </c>
      <c r="I6902" s="3" t="s">
        <v>36094</v>
      </c>
      <c r="J6902" s="3" t="s">
        <v>36095</v>
      </c>
      <c r="K6902" s="3" t="s">
        <v>36096</v>
      </c>
      <c r="L6902" s="3" t="s">
        <v>36097</v>
      </c>
      <c r="M6902" s="4"/>
      <c r="N6902" s="3"/>
      <c r="O6902" s="3"/>
      <c r="P6902" s="5">
        <v>0</v>
      </c>
      <c r="Q6902" s="5">
        <v>0</v>
      </c>
      <c r="R6902" s="5"/>
      <c r="S6902" s="5"/>
    </row>
    <row r="6903" spans="1:19" ht="70" x14ac:dyDescent="0.15">
      <c r="A6903" s="2">
        <f>HYPERLINK("https://open-school.uspishnemisto.com.ua/school/350380/", 350380)</f>
        <v>350380</v>
      </c>
      <c r="B6903" s="3" t="s">
        <v>36098</v>
      </c>
      <c r="C6903" s="3" t="s">
        <v>54</v>
      </c>
      <c r="D6903" s="3" t="s">
        <v>175</v>
      </c>
      <c r="E6903" s="4" t="s">
        <v>22</v>
      </c>
      <c r="F6903" s="4" t="s">
        <v>36099</v>
      </c>
      <c r="G6903" s="4" t="s">
        <v>36100</v>
      </c>
      <c r="H6903" s="3" t="s">
        <v>34363</v>
      </c>
      <c r="I6903" s="3" t="s">
        <v>36101</v>
      </c>
      <c r="J6903" s="3" t="s">
        <v>36102</v>
      </c>
      <c r="K6903" s="3" t="s">
        <v>36103</v>
      </c>
      <c r="L6903" s="3"/>
      <c r="M6903" s="4"/>
      <c r="N6903" s="3"/>
      <c r="O6903" s="3"/>
      <c r="P6903" s="5">
        <v>0</v>
      </c>
      <c r="Q6903" s="5">
        <v>0</v>
      </c>
      <c r="R6903" s="5"/>
      <c r="S6903" s="5"/>
    </row>
    <row r="6904" spans="1:19" ht="42" x14ac:dyDescent="0.15">
      <c r="A6904" s="2">
        <f>HYPERLINK("https://open-school.uspishnemisto.com.ua/school/350381/", 350381)</f>
        <v>350381</v>
      </c>
      <c r="B6904" s="3" t="s">
        <v>36104</v>
      </c>
      <c r="C6904" s="3" t="s">
        <v>31</v>
      </c>
      <c r="D6904" s="3" t="s">
        <v>175</v>
      </c>
      <c r="E6904" s="4" t="s">
        <v>22</v>
      </c>
      <c r="F6904" s="4" t="s">
        <v>36105</v>
      </c>
      <c r="G6904" s="4" t="s">
        <v>36106</v>
      </c>
      <c r="H6904" s="3" t="s">
        <v>34363</v>
      </c>
      <c r="I6904" s="3" t="s">
        <v>36107</v>
      </c>
      <c r="J6904" s="3" t="s">
        <v>466</v>
      </c>
      <c r="K6904" s="3" t="s">
        <v>36108</v>
      </c>
      <c r="L6904" s="3" t="s">
        <v>36109</v>
      </c>
      <c r="M6904" s="4"/>
      <c r="N6904" s="3"/>
      <c r="O6904" s="3"/>
      <c r="P6904" s="5">
        <v>0</v>
      </c>
      <c r="Q6904" s="5">
        <v>0</v>
      </c>
      <c r="R6904" s="5"/>
      <c r="S6904" s="5"/>
    </row>
    <row r="6905" spans="1:19" ht="28" x14ac:dyDescent="0.15">
      <c r="A6905" s="2">
        <f>HYPERLINK("https://open-school.uspishnemisto.com.ua/school/350382/", 350382)</f>
        <v>350382</v>
      </c>
      <c r="B6905" s="3" t="s">
        <v>36110</v>
      </c>
      <c r="C6905" s="3" t="s">
        <v>31</v>
      </c>
      <c r="D6905" s="3" t="s">
        <v>175</v>
      </c>
      <c r="E6905" s="4" t="s">
        <v>22</v>
      </c>
      <c r="F6905" s="4" t="s">
        <v>36111</v>
      </c>
      <c r="G6905" s="4" t="s">
        <v>36112</v>
      </c>
      <c r="H6905" s="3" t="s">
        <v>34363</v>
      </c>
      <c r="I6905" s="3" t="s">
        <v>753</v>
      </c>
      <c r="J6905" s="3" t="s">
        <v>36113</v>
      </c>
      <c r="K6905" s="3"/>
      <c r="L6905" s="3"/>
      <c r="M6905" s="4"/>
      <c r="N6905" s="3"/>
      <c r="O6905" s="3"/>
      <c r="P6905" s="5">
        <v>0</v>
      </c>
      <c r="Q6905" s="5">
        <v>0</v>
      </c>
      <c r="R6905" s="5"/>
      <c r="S6905" s="5"/>
    </row>
    <row r="6906" spans="1:19" ht="56" x14ac:dyDescent="0.15">
      <c r="A6906" s="2">
        <f>HYPERLINK("https://open-school.uspishnemisto.com.ua/school/350383/", 350383)</f>
        <v>350383</v>
      </c>
      <c r="B6906" s="3" t="s">
        <v>36114</v>
      </c>
      <c r="C6906" s="3" t="s">
        <v>54</v>
      </c>
      <c r="D6906" s="3" t="s">
        <v>32</v>
      </c>
      <c r="E6906" s="4" t="s">
        <v>22</v>
      </c>
      <c r="F6906" s="4" t="s">
        <v>36115</v>
      </c>
      <c r="G6906" s="4" t="s">
        <v>36116</v>
      </c>
      <c r="H6906" s="3" t="s">
        <v>34363</v>
      </c>
      <c r="I6906" s="3" t="s">
        <v>27990</v>
      </c>
      <c r="J6906" s="3" t="s">
        <v>36117</v>
      </c>
      <c r="K6906" s="3" t="s">
        <v>36118</v>
      </c>
      <c r="L6906" s="3"/>
      <c r="M6906" s="4" t="s">
        <v>36119</v>
      </c>
      <c r="N6906" s="3" t="s">
        <v>37</v>
      </c>
      <c r="O6906" s="3" t="s">
        <v>38</v>
      </c>
      <c r="P6906" s="5">
        <v>46</v>
      </c>
      <c r="Q6906" s="5">
        <v>537</v>
      </c>
      <c r="R6906" s="5">
        <v>48</v>
      </c>
      <c r="S6906" s="5">
        <v>536</v>
      </c>
    </row>
    <row r="6907" spans="1:19" ht="42" x14ac:dyDescent="0.15">
      <c r="A6907" s="2">
        <f>HYPERLINK("https://open-school.uspishnemisto.com.ua/school/350384/", 350384)</f>
        <v>350384</v>
      </c>
      <c r="B6907" s="3" t="s">
        <v>36120</v>
      </c>
      <c r="C6907" s="3" t="s">
        <v>54</v>
      </c>
      <c r="D6907" s="3" t="s">
        <v>175</v>
      </c>
      <c r="E6907" s="4" t="s">
        <v>22</v>
      </c>
      <c r="F6907" s="4" t="s">
        <v>36121</v>
      </c>
      <c r="G6907" s="4" t="s">
        <v>36122</v>
      </c>
      <c r="H6907" s="3" t="s">
        <v>34363</v>
      </c>
      <c r="I6907" s="3" t="s">
        <v>36123</v>
      </c>
      <c r="J6907" s="3" t="s">
        <v>36124</v>
      </c>
      <c r="K6907" s="3" t="s">
        <v>7066</v>
      </c>
      <c r="L6907" s="3"/>
      <c r="M6907" s="4"/>
      <c r="N6907" s="3"/>
      <c r="O6907" s="3"/>
      <c r="P6907" s="5">
        <v>0</v>
      </c>
      <c r="Q6907" s="5">
        <v>0</v>
      </c>
      <c r="R6907" s="5"/>
      <c r="S6907" s="5"/>
    </row>
    <row r="6908" spans="1:19" ht="28" x14ac:dyDescent="0.15">
      <c r="A6908" s="2">
        <f>HYPERLINK("https://open-school.uspishnemisto.com.ua/school/350385/", 350385)</f>
        <v>350385</v>
      </c>
      <c r="B6908" s="3" t="s">
        <v>36125</v>
      </c>
      <c r="C6908" s="3" t="s">
        <v>40</v>
      </c>
      <c r="D6908" s="3" t="s">
        <v>32</v>
      </c>
      <c r="E6908" s="4" t="s">
        <v>22</v>
      </c>
      <c r="F6908" s="4" t="s">
        <v>36126</v>
      </c>
      <c r="G6908" s="4" t="s">
        <v>36127</v>
      </c>
      <c r="H6908" s="3" t="s">
        <v>34363</v>
      </c>
      <c r="I6908" s="3" t="s">
        <v>36128</v>
      </c>
      <c r="J6908" s="3" t="s">
        <v>36129</v>
      </c>
      <c r="K6908" s="3" t="s">
        <v>36130</v>
      </c>
      <c r="L6908" s="3"/>
      <c r="M6908" s="4"/>
      <c r="N6908" s="3" t="s">
        <v>37</v>
      </c>
      <c r="O6908" s="3" t="s">
        <v>52</v>
      </c>
      <c r="P6908" s="5">
        <v>9</v>
      </c>
      <c r="Q6908" s="5">
        <v>162</v>
      </c>
      <c r="R6908" s="5">
        <v>9</v>
      </c>
      <c r="S6908" s="5">
        <v>155</v>
      </c>
    </row>
    <row r="6909" spans="1:19" ht="56" x14ac:dyDescent="0.15">
      <c r="A6909" s="2">
        <f>HYPERLINK("https://open-school.uspishnemisto.com.ua/school/350386/", 350386)</f>
        <v>350386</v>
      </c>
      <c r="B6909" s="3" t="s">
        <v>36131</v>
      </c>
      <c r="C6909" s="3" t="s">
        <v>54</v>
      </c>
      <c r="D6909" s="3" t="s">
        <v>32</v>
      </c>
      <c r="E6909" s="4" t="s">
        <v>22</v>
      </c>
      <c r="F6909" s="4" t="s">
        <v>36132</v>
      </c>
      <c r="G6909" s="4" t="s">
        <v>36127</v>
      </c>
      <c r="H6909" s="3" t="s">
        <v>34363</v>
      </c>
      <c r="I6909" s="3" t="s">
        <v>36128</v>
      </c>
      <c r="J6909" s="3" t="s">
        <v>36133</v>
      </c>
      <c r="K6909" s="3" t="s">
        <v>36134</v>
      </c>
      <c r="L6909" s="3" t="s">
        <v>36135</v>
      </c>
      <c r="M6909" s="4"/>
      <c r="N6909" s="3" t="s">
        <v>37</v>
      </c>
      <c r="O6909" s="3" t="s">
        <v>46</v>
      </c>
      <c r="P6909" s="5">
        <v>28</v>
      </c>
      <c r="Q6909" s="5">
        <v>481</v>
      </c>
      <c r="R6909" s="5">
        <v>20</v>
      </c>
      <c r="S6909" s="5">
        <v>374</v>
      </c>
    </row>
    <row r="6910" spans="1:19" ht="42" x14ac:dyDescent="0.15">
      <c r="A6910" s="2">
        <f>HYPERLINK("https://open-school.uspishnemisto.com.ua/school/350387/", 350387)</f>
        <v>350387</v>
      </c>
      <c r="B6910" s="3" t="s">
        <v>36136</v>
      </c>
      <c r="C6910" s="3" t="s">
        <v>31</v>
      </c>
      <c r="D6910" s="3" t="s">
        <v>32</v>
      </c>
      <c r="E6910" s="4" t="s">
        <v>22</v>
      </c>
      <c r="F6910" s="4" t="s">
        <v>36126</v>
      </c>
      <c r="G6910" s="4" t="s">
        <v>36127</v>
      </c>
      <c r="H6910" s="3" t="s">
        <v>34363</v>
      </c>
      <c r="I6910" s="3" t="s">
        <v>36128</v>
      </c>
      <c r="J6910" s="3" t="s">
        <v>36137</v>
      </c>
      <c r="K6910" s="3" t="s">
        <v>36138</v>
      </c>
      <c r="L6910" s="3" t="s">
        <v>36139</v>
      </c>
      <c r="M6910" s="4"/>
      <c r="N6910" s="3" t="s">
        <v>37</v>
      </c>
      <c r="O6910" s="3" t="s">
        <v>52</v>
      </c>
      <c r="P6910" s="5">
        <v>14</v>
      </c>
      <c r="Q6910" s="5">
        <v>249</v>
      </c>
      <c r="R6910" s="5">
        <v>14</v>
      </c>
      <c r="S6910" s="5">
        <v>227</v>
      </c>
    </row>
    <row r="6911" spans="1:19" ht="42" x14ac:dyDescent="0.15">
      <c r="A6911" s="2">
        <f>HYPERLINK("https://open-school.uspishnemisto.com.ua/school/350388/", 350388)</f>
        <v>350388</v>
      </c>
      <c r="B6911" s="3" t="s">
        <v>36140</v>
      </c>
      <c r="C6911" s="3" t="s">
        <v>31</v>
      </c>
      <c r="D6911" s="3" t="s">
        <v>32</v>
      </c>
      <c r="E6911" s="4" t="s">
        <v>22</v>
      </c>
      <c r="F6911" s="4" t="s">
        <v>36132</v>
      </c>
      <c r="G6911" s="4" t="s">
        <v>36127</v>
      </c>
      <c r="H6911" s="3" t="s">
        <v>34363</v>
      </c>
      <c r="I6911" s="3" t="s">
        <v>36128</v>
      </c>
      <c r="J6911" s="3" t="s">
        <v>36141</v>
      </c>
      <c r="K6911" s="3" t="s">
        <v>36142</v>
      </c>
      <c r="L6911" s="3" t="s">
        <v>36143</v>
      </c>
      <c r="M6911" s="4"/>
      <c r="N6911" s="3" t="s">
        <v>37</v>
      </c>
      <c r="O6911" s="3" t="s">
        <v>36144</v>
      </c>
      <c r="P6911" s="5">
        <v>27</v>
      </c>
      <c r="Q6911" s="5">
        <v>466</v>
      </c>
      <c r="R6911" s="5">
        <v>20</v>
      </c>
      <c r="S6911" s="5">
        <v>398</v>
      </c>
    </row>
    <row r="6912" spans="1:19" ht="28" x14ac:dyDescent="0.15">
      <c r="A6912" s="2">
        <f>HYPERLINK("https://open-school.uspishnemisto.com.ua/school/350389/", 350389)</f>
        <v>350389</v>
      </c>
      <c r="B6912" s="3" t="s">
        <v>36145</v>
      </c>
      <c r="C6912" s="3" t="s">
        <v>181</v>
      </c>
      <c r="D6912" s="3" t="s">
        <v>175</v>
      </c>
      <c r="E6912" s="4" t="s">
        <v>22</v>
      </c>
      <c r="F6912" s="4" t="s">
        <v>36132</v>
      </c>
      <c r="G6912" s="4" t="s">
        <v>36127</v>
      </c>
      <c r="H6912" s="3" t="s">
        <v>34363</v>
      </c>
      <c r="I6912" s="3" t="s">
        <v>36128</v>
      </c>
      <c r="J6912" s="3" t="s">
        <v>36146</v>
      </c>
      <c r="K6912" s="3" t="s">
        <v>36147</v>
      </c>
      <c r="L6912" s="3"/>
      <c r="M6912" s="4" t="s">
        <v>36148</v>
      </c>
      <c r="N6912" s="3" t="s">
        <v>37</v>
      </c>
      <c r="O6912" s="3"/>
      <c r="P6912" s="5">
        <v>8</v>
      </c>
      <c r="Q6912" s="5">
        <v>72</v>
      </c>
      <c r="R6912" s="5">
        <v>13</v>
      </c>
      <c r="S6912" s="5">
        <v>123</v>
      </c>
    </row>
    <row r="6913" spans="1:19" ht="28" x14ac:dyDescent="0.15">
      <c r="A6913" s="2">
        <f>HYPERLINK("https://open-school.uspishnemisto.com.ua/school/350390/", 350390)</f>
        <v>350390</v>
      </c>
      <c r="B6913" s="3" t="s">
        <v>36149</v>
      </c>
      <c r="C6913" s="3" t="s">
        <v>181</v>
      </c>
      <c r="D6913" s="3" t="s">
        <v>32</v>
      </c>
      <c r="E6913" s="4" t="s">
        <v>22</v>
      </c>
      <c r="F6913" s="4" t="s">
        <v>36132</v>
      </c>
      <c r="G6913" s="4" t="s">
        <v>36127</v>
      </c>
      <c r="H6913" s="3" t="s">
        <v>34363</v>
      </c>
      <c r="I6913" s="3" t="s">
        <v>36128</v>
      </c>
      <c r="J6913" s="3" t="s">
        <v>36150</v>
      </c>
      <c r="K6913" s="3" t="s">
        <v>36151</v>
      </c>
      <c r="L6913" s="3"/>
      <c r="M6913" s="4" t="s">
        <v>36152</v>
      </c>
      <c r="N6913" s="3" t="s">
        <v>37</v>
      </c>
      <c r="O6913" s="3" t="s">
        <v>52</v>
      </c>
      <c r="P6913" s="5">
        <v>16</v>
      </c>
      <c r="Q6913" s="5">
        <v>112</v>
      </c>
      <c r="R6913" s="5">
        <v>17</v>
      </c>
      <c r="S6913" s="5">
        <v>111</v>
      </c>
    </row>
    <row r="6914" spans="1:19" ht="42" x14ac:dyDescent="0.15">
      <c r="A6914" s="2">
        <f>HYPERLINK("https://open-school.uspishnemisto.com.ua/school/350391/", 350391)</f>
        <v>350391</v>
      </c>
      <c r="B6914" s="3" t="s">
        <v>36153</v>
      </c>
      <c r="C6914" s="3" t="s">
        <v>31</v>
      </c>
      <c r="D6914" s="3" t="s">
        <v>32</v>
      </c>
      <c r="E6914" s="4" t="s">
        <v>22</v>
      </c>
      <c r="F6914" s="4" t="s">
        <v>36154</v>
      </c>
      <c r="G6914" s="4" t="s">
        <v>36155</v>
      </c>
      <c r="H6914" s="3" t="s">
        <v>34363</v>
      </c>
      <c r="I6914" s="3" t="s">
        <v>36156</v>
      </c>
      <c r="J6914" s="3" t="s">
        <v>36157</v>
      </c>
      <c r="K6914" s="3" t="s">
        <v>36158</v>
      </c>
      <c r="L6914" s="3" t="s">
        <v>36159</v>
      </c>
      <c r="M6914" s="4"/>
      <c r="N6914" s="3" t="s">
        <v>37</v>
      </c>
      <c r="O6914" s="3" t="s">
        <v>38</v>
      </c>
      <c r="P6914" s="5">
        <v>16</v>
      </c>
      <c r="Q6914" s="5">
        <v>314</v>
      </c>
      <c r="R6914" s="5">
        <v>17</v>
      </c>
      <c r="S6914" s="5">
        <v>317</v>
      </c>
    </row>
    <row r="6915" spans="1:19" ht="42" x14ac:dyDescent="0.15">
      <c r="A6915" s="2">
        <f>HYPERLINK("https://open-school.uspishnemisto.com.ua/school/350392/", 350392)</f>
        <v>350392</v>
      </c>
      <c r="B6915" s="3" t="s">
        <v>36160</v>
      </c>
      <c r="C6915" s="3" t="s">
        <v>31</v>
      </c>
      <c r="D6915" s="3" t="s">
        <v>175</v>
      </c>
      <c r="E6915" s="4" t="s">
        <v>22</v>
      </c>
      <c r="F6915" s="4" t="s">
        <v>36161</v>
      </c>
      <c r="G6915" s="4" t="s">
        <v>36162</v>
      </c>
      <c r="H6915" s="3" t="s">
        <v>34363</v>
      </c>
      <c r="I6915" s="3" t="s">
        <v>36163</v>
      </c>
      <c r="J6915" s="3" t="s">
        <v>1001</v>
      </c>
      <c r="K6915" s="3" t="s">
        <v>36164</v>
      </c>
      <c r="L6915" s="3"/>
      <c r="M6915" s="4"/>
      <c r="N6915" s="3" t="s">
        <v>37</v>
      </c>
      <c r="O6915" s="3" t="s">
        <v>52</v>
      </c>
      <c r="P6915" s="5">
        <v>0</v>
      </c>
      <c r="Q6915" s="5">
        <v>0</v>
      </c>
      <c r="R6915" s="5">
        <v>0</v>
      </c>
      <c r="S6915" s="5">
        <v>14</v>
      </c>
    </row>
    <row r="6916" spans="1:19" ht="56" x14ac:dyDescent="0.15">
      <c r="A6916" s="2">
        <f>HYPERLINK("https://open-school.uspishnemisto.com.ua/school/350393/", 350393)</f>
        <v>350393</v>
      </c>
      <c r="B6916" s="3" t="s">
        <v>36165</v>
      </c>
      <c r="C6916" s="3" t="s">
        <v>54</v>
      </c>
      <c r="D6916" s="3" t="s">
        <v>175</v>
      </c>
      <c r="E6916" s="4" t="s">
        <v>22</v>
      </c>
      <c r="F6916" s="4" t="s">
        <v>36166</v>
      </c>
      <c r="G6916" s="4" t="s">
        <v>36167</v>
      </c>
      <c r="H6916" s="3" t="s">
        <v>34363</v>
      </c>
      <c r="I6916" s="3" t="s">
        <v>34101</v>
      </c>
      <c r="J6916" s="3" t="s">
        <v>2966</v>
      </c>
      <c r="K6916" s="3" t="s">
        <v>36168</v>
      </c>
      <c r="L6916" s="3"/>
      <c r="M6916" s="4"/>
      <c r="N6916" s="3" t="s">
        <v>37</v>
      </c>
      <c r="O6916" s="3" t="s">
        <v>52</v>
      </c>
      <c r="P6916" s="5">
        <v>6</v>
      </c>
      <c r="Q6916" s="5">
        <v>35</v>
      </c>
      <c r="R6916" s="5">
        <v>8</v>
      </c>
      <c r="S6916" s="5">
        <v>33</v>
      </c>
    </row>
    <row r="6917" spans="1:19" ht="42" x14ac:dyDescent="0.15">
      <c r="A6917" s="2">
        <f>HYPERLINK("https://open-school.uspishnemisto.com.ua/school/350394/", 350394)</f>
        <v>350394</v>
      </c>
      <c r="B6917" s="3" t="s">
        <v>36169</v>
      </c>
      <c r="C6917" s="3" t="s">
        <v>31</v>
      </c>
      <c r="D6917" s="3" t="s">
        <v>175</v>
      </c>
      <c r="E6917" s="4" t="s">
        <v>22</v>
      </c>
      <c r="F6917" s="4" t="s">
        <v>36170</v>
      </c>
      <c r="G6917" s="4" t="s">
        <v>36171</v>
      </c>
      <c r="H6917" s="3" t="s">
        <v>34363</v>
      </c>
      <c r="I6917" s="3" t="s">
        <v>3145</v>
      </c>
      <c r="J6917" s="3" t="s">
        <v>36172</v>
      </c>
      <c r="K6917" s="3" t="s">
        <v>36173</v>
      </c>
      <c r="L6917" s="3"/>
      <c r="M6917" s="4"/>
      <c r="N6917" s="3" t="s">
        <v>37</v>
      </c>
      <c r="O6917" s="3" t="s">
        <v>618</v>
      </c>
      <c r="P6917" s="5">
        <v>0</v>
      </c>
      <c r="Q6917" s="5">
        <v>0</v>
      </c>
      <c r="R6917" s="5">
        <v>1</v>
      </c>
      <c r="S6917" s="5">
        <v>25</v>
      </c>
    </row>
    <row r="6918" spans="1:19" ht="56" x14ac:dyDescent="0.15">
      <c r="A6918" s="2">
        <f>HYPERLINK("https://open-school.uspishnemisto.com.ua/school/350395/", 350395)</f>
        <v>350395</v>
      </c>
      <c r="B6918" s="3" t="s">
        <v>36174</v>
      </c>
      <c r="C6918" s="3" t="s">
        <v>54</v>
      </c>
      <c r="D6918" s="3" t="s">
        <v>32</v>
      </c>
      <c r="E6918" s="4" t="s">
        <v>22</v>
      </c>
      <c r="F6918" s="4" t="s">
        <v>36175</v>
      </c>
      <c r="G6918" s="4" t="s">
        <v>36176</v>
      </c>
      <c r="H6918" s="3" t="s">
        <v>34363</v>
      </c>
      <c r="I6918" s="3" t="s">
        <v>1684</v>
      </c>
      <c r="J6918" s="3" t="s">
        <v>18514</v>
      </c>
      <c r="K6918" s="3" t="s">
        <v>36177</v>
      </c>
      <c r="L6918" s="3" t="s">
        <v>36178</v>
      </c>
      <c r="M6918" s="4"/>
      <c r="N6918" s="3" t="s">
        <v>37</v>
      </c>
      <c r="O6918" s="3" t="s">
        <v>52</v>
      </c>
      <c r="P6918" s="5">
        <v>11</v>
      </c>
      <c r="Q6918" s="5">
        <v>83</v>
      </c>
      <c r="R6918" s="5">
        <v>11</v>
      </c>
      <c r="S6918" s="5">
        <v>87</v>
      </c>
    </row>
    <row r="6919" spans="1:19" ht="42" x14ac:dyDescent="0.15">
      <c r="A6919" s="2">
        <f>HYPERLINK("https://open-school.uspishnemisto.com.ua/school/350396/", 350396)</f>
        <v>350396</v>
      </c>
      <c r="B6919" s="3" t="s">
        <v>36179</v>
      </c>
      <c r="C6919" s="3" t="s">
        <v>31</v>
      </c>
      <c r="D6919" s="3" t="s">
        <v>175</v>
      </c>
      <c r="E6919" s="4" t="s">
        <v>22</v>
      </c>
      <c r="F6919" s="4" t="s">
        <v>36180</v>
      </c>
      <c r="G6919" s="4" t="s">
        <v>36181</v>
      </c>
      <c r="H6919" s="3" t="s">
        <v>34363</v>
      </c>
      <c r="I6919" s="3" t="s">
        <v>10829</v>
      </c>
      <c r="J6919" s="3" t="s">
        <v>1417</v>
      </c>
      <c r="K6919" s="3" t="s">
        <v>36182</v>
      </c>
      <c r="L6919" s="3" t="s">
        <v>36183</v>
      </c>
      <c r="M6919" s="4"/>
      <c r="N6919" s="3" t="s">
        <v>37</v>
      </c>
      <c r="O6919" s="3" t="s">
        <v>52</v>
      </c>
      <c r="P6919" s="5">
        <v>0</v>
      </c>
      <c r="Q6919" s="5">
        <v>0</v>
      </c>
      <c r="R6919" s="5">
        <v>7</v>
      </c>
      <c r="S6919" s="5">
        <v>46</v>
      </c>
    </row>
    <row r="6920" spans="1:19" ht="28" x14ac:dyDescent="0.15">
      <c r="A6920" s="2">
        <f>HYPERLINK("https://open-school.uspishnemisto.com.ua/school/350397/", 350397)</f>
        <v>350397</v>
      </c>
      <c r="B6920" s="3" t="s">
        <v>36184</v>
      </c>
      <c r="C6920" s="3" t="s">
        <v>31</v>
      </c>
      <c r="D6920" s="3" t="s">
        <v>32</v>
      </c>
      <c r="E6920" s="4" t="s">
        <v>22</v>
      </c>
      <c r="F6920" s="4" t="s">
        <v>36185</v>
      </c>
      <c r="G6920" s="4" t="s">
        <v>36186</v>
      </c>
      <c r="H6920" s="3" t="s">
        <v>34363</v>
      </c>
      <c r="I6920" s="3" t="s">
        <v>36187</v>
      </c>
      <c r="J6920" s="3" t="s">
        <v>19218</v>
      </c>
      <c r="K6920" s="3" t="s">
        <v>36188</v>
      </c>
      <c r="L6920" s="3"/>
      <c r="M6920" s="4"/>
      <c r="N6920" s="3" t="s">
        <v>37</v>
      </c>
      <c r="O6920" s="3" t="s">
        <v>618</v>
      </c>
      <c r="P6920" s="5">
        <v>9</v>
      </c>
      <c r="Q6920" s="5">
        <v>67</v>
      </c>
      <c r="R6920" s="5">
        <v>8</v>
      </c>
      <c r="S6920" s="5">
        <v>66</v>
      </c>
    </row>
    <row r="6921" spans="1:19" ht="42" x14ac:dyDescent="0.15">
      <c r="A6921" s="2">
        <f>HYPERLINK("https://open-school.uspishnemisto.com.ua/school/350398/", 350398)</f>
        <v>350398</v>
      </c>
      <c r="B6921" s="3" t="s">
        <v>36189</v>
      </c>
      <c r="C6921" s="3" t="s">
        <v>31</v>
      </c>
      <c r="D6921" s="3" t="s">
        <v>32</v>
      </c>
      <c r="E6921" s="4" t="s">
        <v>22</v>
      </c>
      <c r="F6921" s="4" t="s">
        <v>36190</v>
      </c>
      <c r="G6921" s="4" t="s">
        <v>36191</v>
      </c>
      <c r="H6921" s="3" t="s">
        <v>34363</v>
      </c>
      <c r="I6921" s="3" t="s">
        <v>36192</v>
      </c>
      <c r="J6921" s="3" t="s">
        <v>946</v>
      </c>
      <c r="K6921" s="3"/>
      <c r="L6921" s="3"/>
      <c r="M6921" s="4"/>
      <c r="N6921" s="3" t="s">
        <v>37</v>
      </c>
      <c r="O6921" s="3" t="s">
        <v>52</v>
      </c>
      <c r="P6921" s="5">
        <v>11</v>
      </c>
      <c r="Q6921" s="5">
        <v>104</v>
      </c>
      <c r="R6921" s="5">
        <v>11</v>
      </c>
      <c r="S6921" s="5">
        <v>110</v>
      </c>
    </row>
    <row r="6922" spans="1:19" ht="42" x14ac:dyDescent="0.15">
      <c r="A6922" s="2">
        <f>HYPERLINK("https://open-school.uspishnemisto.com.ua/school/350399/", 350399)</f>
        <v>350399</v>
      </c>
      <c r="B6922" s="3" t="s">
        <v>36193</v>
      </c>
      <c r="C6922" s="3" t="s">
        <v>31</v>
      </c>
      <c r="D6922" s="3" t="s">
        <v>175</v>
      </c>
      <c r="E6922" s="4" t="s">
        <v>22</v>
      </c>
      <c r="F6922" s="4" t="s">
        <v>36194</v>
      </c>
      <c r="G6922" s="4" t="s">
        <v>36195</v>
      </c>
      <c r="H6922" s="3" t="s">
        <v>34363</v>
      </c>
      <c r="I6922" s="3" t="s">
        <v>36196</v>
      </c>
      <c r="J6922" s="3" t="s">
        <v>36197</v>
      </c>
      <c r="K6922" s="3" t="s">
        <v>36198</v>
      </c>
      <c r="L6922" s="3"/>
      <c r="M6922" s="4"/>
      <c r="N6922" s="3" t="s">
        <v>37</v>
      </c>
      <c r="O6922" s="3" t="s">
        <v>52</v>
      </c>
      <c r="P6922" s="5">
        <v>8</v>
      </c>
      <c r="Q6922" s="5">
        <v>68</v>
      </c>
      <c r="R6922" s="5">
        <v>6</v>
      </c>
      <c r="S6922" s="5">
        <v>58</v>
      </c>
    </row>
    <row r="6923" spans="1:19" ht="42" x14ac:dyDescent="0.15">
      <c r="A6923" s="2">
        <f>HYPERLINK("https://open-school.uspishnemisto.com.ua/school/350400/", 350400)</f>
        <v>350400</v>
      </c>
      <c r="B6923" s="3" t="s">
        <v>36199</v>
      </c>
      <c r="C6923" s="3" t="s">
        <v>31</v>
      </c>
      <c r="D6923" s="3" t="s">
        <v>32</v>
      </c>
      <c r="E6923" s="4" t="s">
        <v>22</v>
      </c>
      <c r="F6923" s="4" t="s">
        <v>36200</v>
      </c>
      <c r="G6923" s="4" t="s">
        <v>36201</v>
      </c>
      <c r="H6923" s="3" t="s">
        <v>34363</v>
      </c>
      <c r="I6923" s="3" t="s">
        <v>36202</v>
      </c>
      <c r="J6923" s="3" t="s">
        <v>36203</v>
      </c>
      <c r="K6923" s="3"/>
      <c r="L6923" s="3"/>
      <c r="M6923" s="4"/>
      <c r="N6923" s="3" t="s">
        <v>37</v>
      </c>
      <c r="O6923" s="3" t="s">
        <v>52</v>
      </c>
      <c r="P6923" s="5">
        <v>10</v>
      </c>
      <c r="Q6923" s="5">
        <v>127</v>
      </c>
      <c r="R6923" s="5">
        <v>10</v>
      </c>
      <c r="S6923" s="5">
        <v>129</v>
      </c>
    </row>
    <row r="6924" spans="1:19" ht="42" x14ac:dyDescent="0.15">
      <c r="A6924" s="2">
        <f>HYPERLINK("https://open-school.uspishnemisto.com.ua/school/350401/", 350401)</f>
        <v>350401</v>
      </c>
      <c r="B6924" s="3" t="s">
        <v>36204</v>
      </c>
      <c r="C6924" s="3" t="s">
        <v>54</v>
      </c>
      <c r="D6924" s="3" t="s">
        <v>175</v>
      </c>
      <c r="E6924" s="4" t="s">
        <v>22</v>
      </c>
      <c r="F6924" s="4" t="s">
        <v>36205</v>
      </c>
      <c r="G6924" s="4" t="s">
        <v>36206</v>
      </c>
      <c r="H6924" s="3" t="s">
        <v>34363</v>
      </c>
      <c r="I6924" s="3" t="s">
        <v>35715</v>
      </c>
      <c r="J6924" s="3" t="s">
        <v>12146</v>
      </c>
      <c r="K6924" s="3" t="s">
        <v>15595</v>
      </c>
      <c r="L6924" s="3" t="s">
        <v>36207</v>
      </c>
      <c r="M6924" s="4"/>
      <c r="N6924" s="3" t="s">
        <v>37</v>
      </c>
      <c r="O6924" s="3" t="s">
        <v>46</v>
      </c>
      <c r="P6924" s="5">
        <v>6</v>
      </c>
      <c r="Q6924" s="5">
        <v>48</v>
      </c>
      <c r="R6924" s="5">
        <v>7</v>
      </c>
      <c r="S6924" s="5">
        <v>50</v>
      </c>
    </row>
    <row r="6925" spans="1:19" ht="28" x14ac:dyDescent="0.15">
      <c r="A6925" s="2">
        <f>HYPERLINK("https://open-school.uspishnemisto.com.ua/school/350402/", 350402)</f>
        <v>350402</v>
      </c>
      <c r="B6925" s="3" t="s">
        <v>36208</v>
      </c>
      <c r="C6925" s="3" t="s">
        <v>31</v>
      </c>
      <c r="D6925" s="3" t="s">
        <v>32</v>
      </c>
      <c r="E6925" s="4" t="s">
        <v>22</v>
      </c>
      <c r="F6925" s="4" t="s">
        <v>36209</v>
      </c>
      <c r="G6925" s="4" t="s">
        <v>36210</v>
      </c>
      <c r="H6925" s="3" t="s">
        <v>34363</v>
      </c>
      <c r="I6925" s="3" t="s">
        <v>36211</v>
      </c>
      <c r="J6925" s="3" t="s">
        <v>36212</v>
      </c>
      <c r="K6925" s="3" t="s">
        <v>36213</v>
      </c>
      <c r="L6925" s="3"/>
      <c r="M6925" s="4"/>
      <c r="N6925" s="3" t="s">
        <v>37</v>
      </c>
      <c r="O6925" s="3" t="s">
        <v>618</v>
      </c>
      <c r="P6925" s="5">
        <v>0</v>
      </c>
      <c r="Q6925" s="5">
        <v>0</v>
      </c>
      <c r="R6925" s="5">
        <v>2</v>
      </c>
      <c r="S6925" s="5">
        <v>30</v>
      </c>
    </row>
    <row r="6926" spans="1:19" ht="42" x14ac:dyDescent="0.15">
      <c r="A6926" s="2">
        <f>HYPERLINK("https://open-school.uspishnemisto.com.ua/school/350403/", 350403)</f>
        <v>350403</v>
      </c>
      <c r="B6926" s="3" t="s">
        <v>36214</v>
      </c>
      <c r="C6926" s="3" t="s">
        <v>31</v>
      </c>
      <c r="D6926" s="3" t="s">
        <v>32</v>
      </c>
      <c r="E6926" s="4" t="s">
        <v>22</v>
      </c>
      <c r="F6926" s="4" t="s">
        <v>36215</v>
      </c>
      <c r="G6926" s="4" t="s">
        <v>36216</v>
      </c>
      <c r="H6926" s="3" t="s">
        <v>34363</v>
      </c>
      <c r="I6926" s="3" t="s">
        <v>36217</v>
      </c>
      <c r="J6926" s="3" t="s">
        <v>3399</v>
      </c>
      <c r="K6926" s="3" t="s">
        <v>36218</v>
      </c>
      <c r="L6926" s="3"/>
      <c r="M6926" s="4"/>
      <c r="N6926" s="3" t="s">
        <v>37</v>
      </c>
      <c r="O6926" s="3" t="s">
        <v>52</v>
      </c>
      <c r="P6926" s="5">
        <v>11</v>
      </c>
      <c r="Q6926" s="5">
        <v>143</v>
      </c>
      <c r="R6926" s="5">
        <v>11</v>
      </c>
      <c r="S6926" s="5">
        <v>148</v>
      </c>
    </row>
    <row r="6927" spans="1:19" ht="56" x14ac:dyDescent="0.15">
      <c r="A6927" s="2">
        <f>HYPERLINK("https://open-school.uspishnemisto.com.ua/school/350404/", 350404)</f>
        <v>350404</v>
      </c>
      <c r="B6927" s="3" t="s">
        <v>36219</v>
      </c>
      <c r="C6927" s="3" t="s">
        <v>31</v>
      </c>
      <c r="D6927" s="3" t="s">
        <v>175</v>
      </c>
      <c r="E6927" s="4" t="s">
        <v>22</v>
      </c>
      <c r="F6927" s="4" t="s">
        <v>36220</v>
      </c>
      <c r="G6927" s="4" t="s">
        <v>36221</v>
      </c>
      <c r="H6927" s="3" t="s">
        <v>34363</v>
      </c>
      <c r="I6927" s="3" t="s">
        <v>36222</v>
      </c>
      <c r="J6927" s="3" t="s">
        <v>501</v>
      </c>
      <c r="K6927" s="3" t="s">
        <v>36223</v>
      </c>
      <c r="L6927" s="3"/>
      <c r="M6927" s="4"/>
      <c r="N6927" s="3" t="s">
        <v>37</v>
      </c>
      <c r="O6927" s="3" t="s">
        <v>618</v>
      </c>
      <c r="P6927" s="5">
        <v>0</v>
      </c>
      <c r="Q6927" s="5">
        <v>0</v>
      </c>
      <c r="R6927" s="5">
        <v>6</v>
      </c>
      <c r="S6927" s="5">
        <v>25</v>
      </c>
    </row>
    <row r="6928" spans="1:19" ht="56" x14ac:dyDescent="0.15">
      <c r="A6928" s="2">
        <f>HYPERLINK("https://open-school.uspishnemisto.com.ua/school/350405/", 350405)</f>
        <v>350405</v>
      </c>
      <c r="B6928" s="3" t="s">
        <v>36224</v>
      </c>
      <c r="C6928" s="3" t="s">
        <v>31</v>
      </c>
      <c r="D6928" s="3" t="s">
        <v>60</v>
      </c>
      <c r="E6928" s="4" t="s">
        <v>22</v>
      </c>
      <c r="F6928" s="4" t="s">
        <v>36225</v>
      </c>
      <c r="G6928" s="4" t="s">
        <v>36226</v>
      </c>
      <c r="H6928" s="3" t="s">
        <v>34363</v>
      </c>
      <c r="I6928" s="3" t="s">
        <v>36227</v>
      </c>
      <c r="J6928" s="3" t="s">
        <v>1078</v>
      </c>
      <c r="K6928" s="3"/>
      <c r="L6928" s="3"/>
      <c r="M6928" s="4"/>
      <c r="N6928" s="3" t="s">
        <v>37</v>
      </c>
      <c r="O6928" s="3" t="s">
        <v>618</v>
      </c>
      <c r="P6928" s="5">
        <v>0</v>
      </c>
      <c r="Q6928" s="5">
        <v>0</v>
      </c>
      <c r="R6928" s="5">
        <v>3</v>
      </c>
      <c r="S6928" s="5">
        <v>16</v>
      </c>
    </row>
    <row r="6929" spans="1:19" ht="56" x14ac:dyDescent="0.15">
      <c r="A6929" s="2">
        <f>HYPERLINK("https://open-school.uspishnemisto.com.ua/school/350406/", 350406)</f>
        <v>350406</v>
      </c>
      <c r="B6929" s="3" t="s">
        <v>36228</v>
      </c>
      <c r="C6929" s="3" t="s">
        <v>54</v>
      </c>
      <c r="D6929" s="3" t="s">
        <v>32</v>
      </c>
      <c r="E6929" s="4" t="s">
        <v>22</v>
      </c>
      <c r="F6929" s="4" t="s">
        <v>36154</v>
      </c>
      <c r="G6929" s="4" t="s">
        <v>36229</v>
      </c>
      <c r="H6929" s="3" t="s">
        <v>34363</v>
      </c>
      <c r="I6929" s="3" t="s">
        <v>35484</v>
      </c>
      <c r="J6929" s="3" t="s">
        <v>36230</v>
      </c>
      <c r="K6929" s="3" t="s">
        <v>36231</v>
      </c>
      <c r="L6929" s="3" t="s">
        <v>36232</v>
      </c>
      <c r="M6929" s="4"/>
      <c r="N6929" s="3" t="s">
        <v>37</v>
      </c>
      <c r="O6929" s="3" t="s">
        <v>52</v>
      </c>
      <c r="P6929" s="5">
        <v>10</v>
      </c>
      <c r="Q6929" s="5">
        <v>84</v>
      </c>
      <c r="R6929" s="5">
        <v>10</v>
      </c>
      <c r="S6929" s="5">
        <v>80</v>
      </c>
    </row>
    <row r="6930" spans="1:19" ht="42" x14ac:dyDescent="0.15">
      <c r="A6930" s="2">
        <f>HYPERLINK("https://open-school.uspishnemisto.com.ua/school/350407/", 350407)</f>
        <v>350407</v>
      </c>
      <c r="B6930" s="3" t="s">
        <v>36233</v>
      </c>
      <c r="C6930" s="3" t="s">
        <v>31</v>
      </c>
      <c r="D6930" s="3" t="s">
        <v>32</v>
      </c>
      <c r="E6930" s="4" t="s">
        <v>22</v>
      </c>
      <c r="F6930" s="4" t="s">
        <v>36234</v>
      </c>
      <c r="G6930" s="4" t="s">
        <v>36235</v>
      </c>
      <c r="H6930" s="3" t="s">
        <v>34363</v>
      </c>
      <c r="I6930" s="3" t="s">
        <v>36236</v>
      </c>
      <c r="J6930" s="3" t="s">
        <v>15190</v>
      </c>
      <c r="K6930" s="3"/>
      <c r="L6930" s="3" t="s">
        <v>36237</v>
      </c>
      <c r="M6930" s="4"/>
      <c r="N6930" s="3" t="s">
        <v>37</v>
      </c>
      <c r="O6930" s="3" t="s">
        <v>52</v>
      </c>
      <c r="P6930" s="5">
        <v>11</v>
      </c>
      <c r="Q6930" s="5">
        <v>101</v>
      </c>
      <c r="R6930" s="5">
        <v>11</v>
      </c>
      <c r="S6930" s="5">
        <v>101</v>
      </c>
    </row>
    <row r="6931" spans="1:19" ht="42" x14ac:dyDescent="0.15">
      <c r="A6931" s="2">
        <f>HYPERLINK("https://open-school.uspishnemisto.com.ua/school/350408/", 350408)</f>
        <v>350408</v>
      </c>
      <c r="B6931" s="3" t="s">
        <v>36238</v>
      </c>
      <c r="C6931" s="3" t="s">
        <v>31</v>
      </c>
      <c r="D6931" s="3" t="s">
        <v>32</v>
      </c>
      <c r="E6931" s="4" t="s">
        <v>22</v>
      </c>
      <c r="F6931" s="4" t="s">
        <v>36239</v>
      </c>
      <c r="G6931" s="4" t="s">
        <v>36240</v>
      </c>
      <c r="H6931" s="3" t="s">
        <v>34363</v>
      </c>
      <c r="I6931" s="3" t="s">
        <v>7563</v>
      </c>
      <c r="J6931" s="3" t="s">
        <v>36241</v>
      </c>
      <c r="K6931" s="3" t="s">
        <v>36242</v>
      </c>
      <c r="L6931" s="3" t="s">
        <v>36243</v>
      </c>
      <c r="M6931" s="4"/>
      <c r="N6931" s="3" t="s">
        <v>37</v>
      </c>
      <c r="O6931" s="3" t="s">
        <v>52</v>
      </c>
      <c r="P6931" s="5">
        <v>0</v>
      </c>
      <c r="Q6931" s="5">
        <v>0</v>
      </c>
      <c r="R6931" s="5">
        <v>11</v>
      </c>
      <c r="S6931" s="5">
        <v>173</v>
      </c>
    </row>
    <row r="6932" spans="1:19" ht="28" x14ac:dyDescent="0.15">
      <c r="A6932" s="2">
        <f>HYPERLINK("https://open-school.uspishnemisto.com.ua/school/350409/", 350409)</f>
        <v>350409</v>
      </c>
      <c r="B6932" s="3" t="s">
        <v>36244</v>
      </c>
      <c r="C6932" s="3" t="s">
        <v>31</v>
      </c>
      <c r="D6932" s="3" t="s">
        <v>32</v>
      </c>
      <c r="E6932" s="4" t="s">
        <v>22</v>
      </c>
      <c r="F6932" s="4" t="s">
        <v>36245</v>
      </c>
      <c r="G6932" s="4" t="s">
        <v>36240</v>
      </c>
      <c r="H6932" s="3" t="s">
        <v>34363</v>
      </c>
      <c r="I6932" s="3" t="s">
        <v>7563</v>
      </c>
      <c r="J6932" s="3" t="s">
        <v>36246</v>
      </c>
      <c r="K6932" s="3" t="s">
        <v>36247</v>
      </c>
      <c r="L6932" s="3" t="s">
        <v>36248</v>
      </c>
      <c r="M6932" s="4"/>
      <c r="N6932" s="3" t="s">
        <v>37</v>
      </c>
      <c r="O6932" s="3" t="s">
        <v>52</v>
      </c>
      <c r="P6932" s="5">
        <v>15</v>
      </c>
      <c r="Q6932" s="5">
        <v>285</v>
      </c>
      <c r="R6932" s="5">
        <v>14</v>
      </c>
      <c r="S6932" s="5">
        <v>274</v>
      </c>
    </row>
    <row r="6933" spans="1:19" ht="28" x14ac:dyDescent="0.15">
      <c r="A6933" s="2">
        <f>HYPERLINK("https://open-school.uspishnemisto.com.ua/school/350410/", 350410)</f>
        <v>350410</v>
      </c>
      <c r="B6933" s="3" t="s">
        <v>36249</v>
      </c>
      <c r="C6933" s="3" t="s">
        <v>31</v>
      </c>
      <c r="D6933" s="3" t="s">
        <v>32</v>
      </c>
      <c r="E6933" s="4" t="s">
        <v>22</v>
      </c>
      <c r="F6933" s="4" t="s">
        <v>36239</v>
      </c>
      <c r="G6933" s="4" t="s">
        <v>36240</v>
      </c>
      <c r="H6933" s="3" t="s">
        <v>34363</v>
      </c>
      <c r="I6933" s="3" t="s">
        <v>7563</v>
      </c>
      <c r="J6933" s="3" t="s">
        <v>36250</v>
      </c>
      <c r="K6933" s="3" t="s">
        <v>36251</v>
      </c>
      <c r="L6933" s="3" t="s">
        <v>36252</v>
      </c>
      <c r="M6933" s="4"/>
      <c r="N6933" s="3" t="s">
        <v>37</v>
      </c>
      <c r="O6933" s="3" t="s">
        <v>52</v>
      </c>
      <c r="P6933" s="5">
        <v>48</v>
      </c>
      <c r="Q6933" s="5">
        <v>887</v>
      </c>
      <c r="R6933" s="5">
        <v>28</v>
      </c>
      <c r="S6933" s="5">
        <v>638</v>
      </c>
    </row>
    <row r="6934" spans="1:19" ht="56" x14ac:dyDescent="0.15">
      <c r="A6934" s="2">
        <f>HYPERLINK("https://open-school.uspishnemisto.com.ua/school/350411/", 350411)</f>
        <v>350411</v>
      </c>
      <c r="B6934" s="3" t="s">
        <v>36253</v>
      </c>
      <c r="C6934" s="3" t="s">
        <v>54</v>
      </c>
      <c r="D6934" s="3" t="s">
        <v>32</v>
      </c>
      <c r="E6934" s="4" t="s">
        <v>22</v>
      </c>
      <c r="F6934" s="4" t="s">
        <v>36239</v>
      </c>
      <c r="G6934" s="4" t="s">
        <v>36240</v>
      </c>
      <c r="H6934" s="3" t="s">
        <v>34363</v>
      </c>
      <c r="I6934" s="3" t="s">
        <v>7563</v>
      </c>
      <c r="J6934" s="3" t="s">
        <v>36254</v>
      </c>
      <c r="K6934" s="3" t="s">
        <v>36255</v>
      </c>
      <c r="L6934" s="3" t="s">
        <v>36256</v>
      </c>
      <c r="M6934" s="4"/>
      <c r="N6934" s="3" t="s">
        <v>37</v>
      </c>
      <c r="O6934" s="3" t="s">
        <v>46</v>
      </c>
      <c r="P6934" s="5">
        <v>33</v>
      </c>
      <c r="Q6934" s="5">
        <v>445</v>
      </c>
      <c r="R6934" s="5">
        <v>18</v>
      </c>
      <c r="S6934" s="5">
        <v>336</v>
      </c>
    </row>
    <row r="6935" spans="1:19" ht="42" x14ac:dyDescent="0.15">
      <c r="A6935" s="2">
        <f>HYPERLINK("https://open-school.uspishnemisto.com.ua/school/350412/", 350412)</f>
        <v>350412</v>
      </c>
      <c r="B6935" s="3" t="s">
        <v>36257</v>
      </c>
      <c r="C6935" s="3" t="s">
        <v>31</v>
      </c>
      <c r="D6935" s="3" t="s">
        <v>32</v>
      </c>
      <c r="E6935" s="4" t="s">
        <v>22</v>
      </c>
      <c r="F6935" s="4" t="s">
        <v>36239</v>
      </c>
      <c r="G6935" s="4" t="s">
        <v>36240</v>
      </c>
      <c r="H6935" s="3" t="s">
        <v>34363</v>
      </c>
      <c r="I6935" s="3" t="s">
        <v>7563</v>
      </c>
      <c r="J6935" s="3" t="s">
        <v>36258</v>
      </c>
      <c r="K6935" s="3" t="s">
        <v>36259</v>
      </c>
      <c r="L6935" s="3" t="s">
        <v>36260</v>
      </c>
      <c r="M6935" s="4"/>
      <c r="N6935" s="3" t="s">
        <v>37</v>
      </c>
      <c r="O6935" s="3" t="s">
        <v>52</v>
      </c>
      <c r="P6935" s="5">
        <v>0</v>
      </c>
      <c r="Q6935" s="5">
        <v>0</v>
      </c>
      <c r="R6935" s="5">
        <v>11</v>
      </c>
      <c r="S6935" s="5">
        <v>133</v>
      </c>
    </row>
    <row r="6936" spans="1:19" ht="56" x14ac:dyDescent="0.15">
      <c r="A6936" s="2">
        <f>HYPERLINK("https://open-school.uspishnemisto.com.ua/school/350413/", 350413)</f>
        <v>350413</v>
      </c>
      <c r="B6936" s="3" t="s">
        <v>36261</v>
      </c>
      <c r="C6936" s="3" t="s">
        <v>54</v>
      </c>
      <c r="D6936" s="3" t="s">
        <v>32</v>
      </c>
      <c r="E6936" s="4" t="s">
        <v>22</v>
      </c>
      <c r="F6936" s="4" t="s">
        <v>36239</v>
      </c>
      <c r="G6936" s="4" t="s">
        <v>36240</v>
      </c>
      <c r="H6936" s="3" t="s">
        <v>34363</v>
      </c>
      <c r="I6936" s="3" t="s">
        <v>7563</v>
      </c>
      <c r="J6936" s="3" t="s">
        <v>25224</v>
      </c>
      <c r="K6936" s="3" t="s">
        <v>36262</v>
      </c>
      <c r="L6936" s="3"/>
      <c r="M6936" s="4"/>
      <c r="N6936" s="3" t="s">
        <v>37</v>
      </c>
      <c r="O6936" s="3" t="s">
        <v>70</v>
      </c>
      <c r="P6936" s="5">
        <v>16</v>
      </c>
      <c r="Q6936" s="5">
        <v>317</v>
      </c>
      <c r="R6936" s="5">
        <v>16</v>
      </c>
      <c r="S6936" s="5">
        <v>313</v>
      </c>
    </row>
    <row r="6937" spans="1:19" ht="28" x14ac:dyDescent="0.15">
      <c r="A6937" s="2">
        <f>HYPERLINK("https://open-school.uspishnemisto.com.ua/school/350414/", 350414)</f>
        <v>350414</v>
      </c>
      <c r="B6937" s="3" t="s">
        <v>36263</v>
      </c>
      <c r="C6937" s="3" t="s">
        <v>31</v>
      </c>
      <c r="D6937" s="3" t="s">
        <v>32</v>
      </c>
      <c r="E6937" s="4" t="s">
        <v>22</v>
      </c>
      <c r="F6937" s="4" t="s">
        <v>36264</v>
      </c>
      <c r="G6937" s="4" t="s">
        <v>36265</v>
      </c>
      <c r="H6937" s="3" t="s">
        <v>34363</v>
      </c>
      <c r="I6937" s="3" t="s">
        <v>11128</v>
      </c>
      <c r="J6937" s="3" t="s">
        <v>466</v>
      </c>
      <c r="K6937" s="3" t="s">
        <v>36266</v>
      </c>
      <c r="L6937" s="3"/>
      <c r="M6937" s="4"/>
      <c r="N6937" s="3" t="s">
        <v>37</v>
      </c>
      <c r="O6937" s="3" t="s">
        <v>46</v>
      </c>
      <c r="P6937" s="5">
        <v>23</v>
      </c>
      <c r="Q6937" s="5">
        <v>157</v>
      </c>
      <c r="R6937" s="5">
        <v>8</v>
      </c>
      <c r="S6937" s="5">
        <v>59</v>
      </c>
    </row>
    <row r="6938" spans="1:19" ht="28" x14ac:dyDescent="0.15">
      <c r="A6938" s="2">
        <f>HYPERLINK("https://open-school.uspishnemisto.com.ua/school/350415/", 350415)</f>
        <v>350415</v>
      </c>
      <c r="B6938" s="3" t="s">
        <v>36267</v>
      </c>
      <c r="C6938" s="3" t="s">
        <v>31</v>
      </c>
      <c r="D6938" s="3" t="s">
        <v>32</v>
      </c>
      <c r="E6938" s="4" t="s">
        <v>22</v>
      </c>
      <c r="F6938" s="4" t="s">
        <v>36268</v>
      </c>
      <c r="G6938" s="4" t="s">
        <v>36269</v>
      </c>
      <c r="H6938" s="3" t="s">
        <v>34363</v>
      </c>
      <c r="I6938" s="3" t="s">
        <v>36270</v>
      </c>
      <c r="J6938" s="3" t="s">
        <v>4570</v>
      </c>
      <c r="K6938" s="3" t="s">
        <v>36271</v>
      </c>
      <c r="L6938" s="3"/>
      <c r="M6938" s="4"/>
      <c r="N6938" s="3" t="s">
        <v>37</v>
      </c>
      <c r="O6938" s="3" t="s">
        <v>52</v>
      </c>
      <c r="P6938" s="5">
        <v>26</v>
      </c>
      <c r="Q6938" s="5">
        <v>386</v>
      </c>
      <c r="R6938" s="5">
        <v>12</v>
      </c>
      <c r="S6938" s="5">
        <v>239</v>
      </c>
    </row>
    <row r="6939" spans="1:19" ht="42" x14ac:dyDescent="0.15">
      <c r="A6939" s="2">
        <f>HYPERLINK("https://open-school.uspishnemisto.com.ua/school/350419/", 350419)</f>
        <v>350419</v>
      </c>
      <c r="B6939" s="3" t="s">
        <v>36272</v>
      </c>
      <c r="C6939" s="3" t="s">
        <v>54</v>
      </c>
      <c r="D6939" s="3" t="s">
        <v>32</v>
      </c>
      <c r="E6939" s="4" t="s">
        <v>22</v>
      </c>
      <c r="F6939" s="4" t="s">
        <v>36273</v>
      </c>
      <c r="G6939" s="4" t="s">
        <v>36274</v>
      </c>
      <c r="H6939" s="3" t="s">
        <v>34363</v>
      </c>
      <c r="I6939" s="3" t="s">
        <v>883</v>
      </c>
      <c r="J6939" s="3" t="s">
        <v>792</v>
      </c>
      <c r="K6939" s="3" t="s">
        <v>36275</v>
      </c>
      <c r="L6939" s="3"/>
      <c r="M6939" s="4"/>
      <c r="N6939" s="3" t="s">
        <v>37</v>
      </c>
      <c r="O6939" s="3" t="s">
        <v>52</v>
      </c>
      <c r="P6939" s="5">
        <v>26</v>
      </c>
      <c r="Q6939" s="5">
        <v>256</v>
      </c>
      <c r="R6939" s="5">
        <v>11</v>
      </c>
      <c r="S6939" s="5">
        <v>148</v>
      </c>
    </row>
    <row r="6940" spans="1:19" ht="28" x14ac:dyDescent="0.15">
      <c r="A6940" s="2">
        <f>HYPERLINK("https://open-school.uspishnemisto.com.ua/school/350420/", 350420)</f>
        <v>350420</v>
      </c>
      <c r="B6940" s="3" t="s">
        <v>36276</v>
      </c>
      <c r="C6940" s="3" t="s">
        <v>31</v>
      </c>
      <c r="D6940" s="3" t="s">
        <v>32</v>
      </c>
      <c r="E6940" s="4" t="s">
        <v>22</v>
      </c>
      <c r="F6940" s="4" t="s">
        <v>36277</v>
      </c>
      <c r="G6940" s="4" t="s">
        <v>36278</v>
      </c>
      <c r="H6940" s="3" t="s">
        <v>34363</v>
      </c>
      <c r="I6940" s="3" t="s">
        <v>16092</v>
      </c>
      <c r="J6940" s="3" t="s">
        <v>36279</v>
      </c>
      <c r="K6940" s="3"/>
      <c r="L6940" s="3"/>
      <c r="M6940" s="4"/>
      <c r="N6940" s="3" t="s">
        <v>37</v>
      </c>
      <c r="O6940" s="3" t="s">
        <v>52</v>
      </c>
      <c r="P6940" s="5">
        <v>35</v>
      </c>
      <c r="Q6940" s="5">
        <v>286</v>
      </c>
      <c r="R6940" s="5">
        <v>11</v>
      </c>
      <c r="S6940" s="5">
        <v>106</v>
      </c>
    </row>
    <row r="6941" spans="1:19" ht="56" x14ac:dyDescent="0.15">
      <c r="A6941" s="2">
        <f>HYPERLINK("https://open-school.uspishnemisto.com.ua/school/350423/", 350423)</f>
        <v>350423</v>
      </c>
      <c r="B6941" s="3" t="s">
        <v>36280</v>
      </c>
      <c r="C6941" s="3" t="s">
        <v>54</v>
      </c>
      <c r="D6941" s="3" t="s">
        <v>175</v>
      </c>
      <c r="E6941" s="4" t="s">
        <v>22</v>
      </c>
      <c r="F6941" s="4" t="s">
        <v>36281</v>
      </c>
      <c r="G6941" s="4" t="s">
        <v>36282</v>
      </c>
      <c r="H6941" s="3" t="s">
        <v>34363</v>
      </c>
      <c r="I6941" s="3" t="s">
        <v>36283</v>
      </c>
      <c r="J6941" s="3" t="s">
        <v>17503</v>
      </c>
      <c r="K6941" s="3"/>
      <c r="L6941" s="3"/>
      <c r="M6941" s="4"/>
      <c r="N6941" s="3" t="s">
        <v>37</v>
      </c>
      <c r="O6941" s="3" t="s">
        <v>52</v>
      </c>
      <c r="P6941" s="5">
        <v>0</v>
      </c>
      <c r="Q6941" s="5">
        <v>0</v>
      </c>
      <c r="R6941" s="5">
        <v>8</v>
      </c>
      <c r="S6941" s="5">
        <v>49</v>
      </c>
    </row>
    <row r="6942" spans="1:19" ht="28" x14ac:dyDescent="0.15">
      <c r="A6942" s="2">
        <f>HYPERLINK("https://open-school.uspishnemisto.com.ua/school/350430/", 350430)</f>
        <v>350430</v>
      </c>
      <c r="B6942" s="3" t="s">
        <v>36284</v>
      </c>
      <c r="C6942" s="3" t="s">
        <v>31</v>
      </c>
      <c r="D6942" s="3" t="s">
        <v>32</v>
      </c>
      <c r="E6942" s="4" t="s">
        <v>22</v>
      </c>
      <c r="F6942" s="4" t="s">
        <v>36285</v>
      </c>
      <c r="G6942" s="4" t="s">
        <v>36286</v>
      </c>
      <c r="H6942" s="3" t="s">
        <v>34363</v>
      </c>
      <c r="I6942" s="3" t="s">
        <v>2744</v>
      </c>
      <c r="J6942" s="3" t="s">
        <v>36287</v>
      </c>
      <c r="K6942" s="3" t="s">
        <v>36288</v>
      </c>
      <c r="L6942" s="3"/>
      <c r="M6942" s="4"/>
      <c r="N6942" s="3" t="s">
        <v>37</v>
      </c>
      <c r="O6942" s="3" t="s">
        <v>52</v>
      </c>
      <c r="P6942" s="5">
        <v>29</v>
      </c>
      <c r="Q6942" s="5">
        <v>368</v>
      </c>
      <c r="R6942" s="5">
        <v>11</v>
      </c>
      <c r="S6942" s="5">
        <v>197</v>
      </c>
    </row>
    <row r="6943" spans="1:19" ht="28" x14ac:dyDescent="0.15">
      <c r="A6943" s="2">
        <f>HYPERLINK("https://open-school.uspishnemisto.com.ua/school/350431/", 350431)</f>
        <v>350431</v>
      </c>
      <c r="B6943" s="3" t="s">
        <v>36289</v>
      </c>
      <c r="C6943" s="3" t="s">
        <v>31</v>
      </c>
      <c r="D6943" s="3" t="s">
        <v>32</v>
      </c>
      <c r="E6943" s="4" t="s">
        <v>22</v>
      </c>
      <c r="F6943" s="4" t="s">
        <v>36285</v>
      </c>
      <c r="G6943" s="4" t="s">
        <v>36286</v>
      </c>
      <c r="H6943" s="3" t="s">
        <v>34363</v>
      </c>
      <c r="I6943" s="3" t="s">
        <v>2744</v>
      </c>
      <c r="J6943" s="3" t="s">
        <v>634</v>
      </c>
      <c r="K6943" s="3" t="s">
        <v>36290</v>
      </c>
      <c r="L6943" s="3"/>
      <c r="M6943" s="4"/>
      <c r="N6943" s="3" t="s">
        <v>37</v>
      </c>
      <c r="O6943" s="3" t="s">
        <v>52</v>
      </c>
      <c r="P6943" s="5">
        <v>31</v>
      </c>
      <c r="Q6943" s="5">
        <v>378</v>
      </c>
      <c r="R6943" s="5">
        <v>11</v>
      </c>
      <c r="S6943" s="5">
        <v>223</v>
      </c>
    </row>
    <row r="6944" spans="1:19" ht="28" x14ac:dyDescent="0.15">
      <c r="A6944" s="2">
        <f>HYPERLINK("https://open-school.uspishnemisto.com.ua/school/350432/", 350432)</f>
        <v>350432</v>
      </c>
      <c r="B6944" s="3" t="s">
        <v>36291</v>
      </c>
      <c r="C6944" s="3" t="s">
        <v>181</v>
      </c>
      <c r="D6944" s="3" t="s">
        <v>175</v>
      </c>
      <c r="E6944" s="4" t="s">
        <v>22</v>
      </c>
      <c r="F6944" s="4" t="s">
        <v>36285</v>
      </c>
      <c r="G6944" s="4" t="s">
        <v>36286</v>
      </c>
      <c r="H6944" s="3" t="s">
        <v>34363</v>
      </c>
      <c r="I6944" s="3" t="s">
        <v>2744</v>
      </c>
      <c r="J6944" s="3" t="s">
        <v>36292</v>
      </c>
      <c r="K6944" s="3" t="s">
        <v>36293</v>
      </c>
      <c r="L6944" s="3"/>
      <c r="M6944" s="4" t="s">
        <v>36294</v>
      </c>
      <c r="N6944" s="3" t="s">
        <v>37</v>
      </c>
      <c r="O6944" s="3"/>
      <c r="P6944" s="5">
        <v>11</v>
      </c>
      <c r="Q6944" s="5">
        <v>117</v>
      </c>
      <c r="R6944" s="5">
        <v>11</v>
      </c>
      <c r="S6944" s="5">
        <v>118</v>
      </c>
    </row>
    <row r="6945" spans="1:19" ht="56" x14ac:dyDescent="0.15">
      <c r="A6945" s="2">
        <f>HYPERLINK("https://open-school.uspishnemisto.com.ua/school/350434/", 350434)</f>
        <v>350434</v>
      </c>
      <c r="B6945" s="3" t="s">
        <v>36295</v>
      </c>
      <c r="C6945" s="3" t="s">
        <v>31</v>
      </c>
      <c r="D6945" s="3" t="s">
        <v>175</v>
      </c>
      <c r="E6945" s="4" t="s">
        <v>22</v>
      </c>
      <c r="F6945" s="4" t="s">
        <v>36296</v>
      </c>
      <c r="G6945" s="4" t="s">
        <v>36297</v>
      </c>
      <c r="H6945" s="3" t="s">
        <v>34363</v>
      </c>
      <c r="I6945" s="3" t="s">
        <v>36298</v>
      </c>
      <c r="J6945" s="3" t="s">
        <v>36299</v>
      </c>
      <c r="K6945" s="3" t="s">
        <v>36300</v>
      </c>
      <c r="L6945" s="3"/>
      <c r="M6945" s="4"/>
      <c r="N6945" s="3" t="s">
        <v>37</v>
      </c>
      <c r="O6945" s="3" t="s">
        <v>618</v>
      </c>
      <c r="P6945" s="5">
        <v>0</v>
      </c>
      <c r="Q6945" s="5">
        <v>0</v>
      </c>
      <c r="R6945" s="5">
        <v>8</v>
      </c>
      <c r="S6945" s="5">
        <v>43</v>
      </c>
    </row>
    <row r="6946" spans="1:19" ht="42" x14ac:dyDescent="0.15">
      <c r="A6946" s="2">
        <f>HYPERLINK("https://open-school.uspishnemisto.com.ua/school/350437/", 350437)</f>
        <v>350437</v>
      </c>
      <c r="B6946" s="3" t="s">
        <v>36301</v>
      </c>
      <c r="C6946" s="3" t="s">
        <v>31</v>
      </c>
      <c r="D6946" s="3" t="s">
        <v>32</v>
      </c>
      <c r="E6946" s="4" t="s">
        <v>22</v>
      </c>
      <c r="F6946" s="4" t="s">
        <v>36302</v>
      </c>
      <c r="G6946" s="4" t="s">
        <v>36303</v>
      </c>
      <c r="H6946" s="3" t="s">
        <v>34363</v>
      </c>
      <c r="I6946" s="3" t="s">
        <v>2079</v>
      </c>
      <c r="J6946" s="3" t="s">
        <v>23336</v>
      </c>
      <c r="K6946" s="3" t="s">
        <v>36304</v>
      </c>
      <c r="L6946" s="3" t="s">
        <v>36305</v>
      </c>
      <c r="M6946" s="4"/>
      <c r="N6946" s="3" t="s">
        <v>37</v>
      </c>
      <c r="O6946" s="3" t="s">
        <v>52</v>
      </c>
      <c r="P6946" s="5">
        <v>31</v>
      </c>
      <c r="Q6946" s="5">
        <v>598</v>
      </c>
      <c r="R6946" s="5">
        <v>23</v>
      </c>
      <c r="S6946" s="5">
        <v>540</v>
      </c>
    </row>
    <row r="6947" spans="1:19" ht="28" x14ac:dyDescent="0.15">
      <c r="A6947" s="2">
        <f>HYPERLINK("https://open-school.uspishnemisto.com.ua/school/350440/", 350440)</f>
        <v>350440</v>
      </c>
      <c r="B6947" s="3" t="s">
        <v>36306</v>
      </c>
      <c r="C6947" s="3" t="s">
        <v>31</v>
      </c>
      <c r="D6947" s="3" t="s">
        <v>32</v>
      </c>
      <c r="E6947" s="4" t="s">
        <v>22</v>
      </c>
      <c r="F6947" s="4" t="s">
        <v>36307</v>
      </c>
      <c r="G6947" s="4" t="s">
        <v>36308</v>
      </c>
      <c r="H6947" s="3" t="s">
        <v>34363</v>
      </c>
      <c r="I6947" s="3" t="s">
        <v>4791</v>
      </c>
      <c r="J6947" s="3" t="s">
        <v>36309</v>
      </c>
      <c r="K6947" s="3"/>
      <c r="L6947" s="3"/>
      <c r="M6947" s="4"/>
      <c r="N6947" s="3" t="s">
        <v>37</v>
      </c>
      <c r="O6947" s="3" t="s">
        <v>46</v>
      </c>
      <c r="P6947" s="5">
        <v>13</v>
      </c>
      <c r="Q6947" s="5">
        <v>116</v>
      </c>
      <c r="R6947" s="5">
        <v>10</v>
      </c>
      <c r="S6947" s="5">
        <v>85</v>
      </c>
    </row>
    <row r="6948" spans="1:19" ht="42" x14ac:dyDescent="0.15">
      <c r="A6948" s="2">
        <f>HYPERLINK("https://open-school.uspishnemisto.com.ua/school/350442/", 350442)</f>
        <v>350442</v>
      </c>
      <c r="B6948" s="3" t="s">
        <v>36310</v>
      </c>
      <c r="C6948" s="3" t="s">
        <v>31</v>
      </c>
      <c r="D6948" s="3" t="s">
        <v>32</v>
      </c>
      <c r="E6948" s="4" t="s">
        <v>22</v>
      </c>
      <c r="F6948" s="4" t="s">
        <v>36311</v>
      </c>
      <c r="G6948" s="4" t="s">
        <v>36312</v>
      </c>
      <c r="H6948" s="3" t="s">
        <v>34363</v>
      </c>
      <c r="I6948" s="3" t="s">
        <v>36313</v>
      </c>
      <c r="J6948" s="3" t="s">
        <v>36314</v>
      </c>
      <c r="K6948" s="3" t="s">
        <v>36315</v>
      </c>
      <c r="L6948" s="3"/>
      <c r="M6948" s="4"/>
      <c r="N6948" s="3" t="s">
        <v>37</v>
      </c>
      <c r="O6948" s="3" t="s">
        <v>46</v>
      </c>
      <c r="P6948" s="5">
        <v>23</v>
      </c>
      <c r="Q6948" s="5">
        <v>263</v>
      </c>
      <c r="R6948" s="5">
        <v>8</v>
      </c>
      <c r="S6948" s="5">
        <v>83</v>
      </c>
    </row>
    <row r="6949" spans="1:19" ht="56" x14ac:dyDescent="0.15">
      <c r="A6949" s="2">
        <f>HYPERLINK("https://open-school.uspishnemisto.com.ua/school/350449/", 350449)</f>
        <v>350449</v>
      </c>
      <c r="B6949" s="3" t="s">
        <v>36316</v>
      </c>
      <c r="C6949" s="3" t="s">
        <v>54</v>
      </c>
      <c r="D6949" s="3" t="s">
        <v>32</v>
      </c>
      <c r="E6949" s="4" t="s">
        <v>22</v>
      </c>
      <c r="F6949" s="4" t="s">
        <v>36317</v>
      </c>
      <c r="G6949" s="4" t="s">
        <v>36318</v>
      </c>
      <c r="H6949" s="3" t="s">
        <v>34363</v>
      </c>
      <c r="I6949" s="3" t="s">
        <v>36319</v>
      </c>
      <c r="J6949" s="3" t="s">
        <v>36320</v>
      </c>
      <c r="K6949" s="3" t="s">
        <v>36321</v>
      </c>
      <c r="L6949" s="3"/>
      <c r="M6949" s="4"/>
      <c r="N6949" s="3" t="s">
        <v>37</v>
      </c>
      <c r="O6949" s="3" t="s">
        <v>46</v>
      </c>
      <c r="P6949" s="5">
        <v>10</v>
      </c>
      <c r="Q6949" s="5">
        <v>91</v>
      </c>
      <c r="R6949" s="5">
        <v>10</v>
      </c>
      <c r="S6949" s="5">
        <v>90</v>
      </c>
    </row>
    <row r="6950" spans="1:19" ht="42" x14ac:dyDescent="0.15">
      <c r="A6950" s="2">
        <f>HYPERLINK("https://open-school.uspishnemisto.com.ua/school/350451/", 350451)</f>
        <v>350451</v>
      </c>
      <c r="B6950" s="3" t="s">
        <v>36322</v>
      </c>
      <c r="C6950" s="3" t="s">
        <v>31</v>
      </c>
      <c r="D6950" s="3" t="s">
        <v>32</v>
      </c>
      <c r="E6950" s="4" t="s">
        <v>22</v>
      </c>
      <c r="F6950" s="4" t="s">
        <v>36323</v>
      </c>
      <c r="G6950" s="4" t="s">
        <v>36324</v>
      </c>
      <c r="H6950" s="3" t="s">
        <v>34363</v>
      </c>
      <c r="I6950" s="3" t="s">
        <v>36325</v>
      </c>
      <c r="J6950" s="3" t="s">
        <v>2226</v>
      </c>
      <c r="K6950" s="3" t="s">
        <v>36326</v>
      </c>
      <c r="L6950" s="3" t="s">
        <v>36327</v>
      </c>
      <c r="M6950" s="4"/>
      <c r="N6950" s="3" t="s">
        <v>37</v>
      </c>
      <c r="O6950" s="3" t="s">
        <v>38</v>
      </c>
      <c r="P6950" s="5">
        <v>22</v>
      </c>
      <c r="Q6950" s="5">
        <v>454</v>
      </c>
      <c r="R6950" s="5">
        <v>22</v>
      </c>
      <c r="S6950" s="5">
        <v>436</v>
      </c>
    </row>
    <row r="6951" spans="1:19" ht="42" x14ac:dyDescent="0.15">
      <c r="A6951" s="2">
        <f>HYPERLINK("https://open-school.uspishnemisto.com.ua/school/350452/", 350452)</f>
        <v>350452</v>
      </c>
      <c r="B6951" s="3" t="s">
        <v>36328</v>
      </c>
      <c r="C6951" s="3" t="s">
        <v>54</v>
      </c>
      <c r="D6951" s="3" t="s">
        <v>175</v>
      </c>
      <c r="E6951" s="4" t="s">
        <v>22</v>
      </c>
      <c r="F6951" s="4" t="s">
        <v>36329</v>
      </c>
      <c r="G6951" s="4" t="s">
        <v>36330</v>
      </c>
      <c r="H6951" s="3" t="s">
        <v>34363</v>
      </c>
      <c r="I6951" s="3" t="s">
        <v>36331</v>
      </c>
      <c r="J6951" s="3" t="s">
        <v>36332</v>
      </c>
      <c r="K6951" s="3" t="s">
        <v>36333</v>
      </c>
      <c r="L6951" s="3"/>
      <c r="M6951" s="4"/>
      <c r="N6951" s="3" t="s">
        <v>37</v>
      </c>
      <c r="O6951" s="3" t="s">
        <v>721</v>
      </c>
      <c r="P6951" s="5">
        <v>8</v>
      </c>
      <c r="Q6951" s="5">
        <v>54</v>
      </c>
      <c r="R6951" s="5">
        <v>5</v>
      </c>
      <c r="S6951" s="5">
        <v>44</v>
      </c>
    </row>
    <row r="6952" spans="1:19" ht="42" x14ac:dyDescent="0.15">
      <c r="A6952" s="2">
        <f>HYPERLINK("https://open-school.uspishnemisto.com.ua/school/350453/", 350453)</f>
        <v>350453</v>
      </c>
      <c r="B6952" s="3" t="s">
        <v>36334</v>
      </c>
      <c r="C6952" s="3" t="s">
        <v>54</v>
      </c>
      <c r="D6952" s="3" t="s">
        <v>32</v>
      </c>
      <c r="E6952" s="4" t="s">
        <v>22</v>
      </c>
      <c r="F6952" s="4" t="s">
        <v>36329</v>
      </c>
      <c r="G6952" s="4" t="s">
        <v>36330</v>
      </c>
      <c r="H6952" s="3" t="s">
        <v>34363</v>
      </c>
      <c r="I6952" s="3" t="s">
        <v>36331</v>
      </c>
      <c r="J6952" s="3" t="s">
        <v>36335</v>
      </c>
      <c r="K6952" s="3" t="s">
        <v>36336</v>
      </c>
      <c r="L6952" s="3"/>
      <c r="M6952" s="4"/>
      <c r="N6952" s="3" t="s">
        <v>37</v>
      </c>
      <c r="O6952" s="3" t="s">
        <v>70</v>
      </c>
      <c r="P6952" s="5">
        <v>24</v>
      </c>
      <c r="Q6952" s="5">
        <v>466</v>
      </c>
      <c r="R6952" s="5">
        <v>26</v>
      </c>
      <c r="S6952" s="5">
        <v>471</v>
      </c>
    </row>
    <row r="6953" spans="1:19" ht="28" x14ac:dyDescent="0.15">
      <c r="A6953" s="2">
        <f>HYPERLINK("https://open-school.uspishnemisto.com.ua/school/350454/", 350454)</f>
        <v>350454</v>
      </c>
      <c r="B6953" s="3" t="s">
        <v>36337</v>
      </c>
      <c r="C6953" s="3" t="s">
        <v>31</v>
      </c>
      <c r="D6953" s="3" t="s">
        <v>32</v>
      </c>
      <c r="E6953" s="4" t="s">
        <v>22</v>
      </c>
      <c r="F6953" s="4" t="s">
        <v>36338</v>
      </c>
      <c r="G6953" s="4" t="s">
        <v>36339</v>
      </c>
      <c r="H6953" s="3" t="s">
        <v>34363</v>
      </c>
      <c r="I6953" s="3" t="s">
        <v>1500</v>
      </c>
      <c r="J6953" s="3" t="s">
        <v>1348</v>
      </c>
      <c r="K6953" s="3" t="s">
        <v>36340</v>
      </c>
      <c r="L6953" s="3"/>
      <c r="M6953" s="4"/>
      <c r="N6953" s="3" t="s">
        <v>37</v>
      </c>
      <c r="O6953" s="3" t="s">
        <v>38</v>
      </c>
      <c r="P6953" s="5">
        <v>5</v>
      </c>
      <c r="Q6953" s="5">
        <v>42</v>
      </c>
      <c r="R6953" s="5">
        <v>7</v>
      </c>
      <c r="S6953" s="5">
        <v>45</v>
      </c>
    </row>
    <row r="6954" spans="1:19" ht="28" x14ac:dyDescent="0.15">
      <c r="A6954" s="2">
        <f>HYPERLINK("https://open-school.uspishnemisto.com.ua/school/350455/", 350455)</f>
        <v>350455</v>
      </c>
      <c r="B6954" s="3" t="s">
        <v>36341</v>
      </c>
      <c r="C6954" s="3" t="s">
        <v>31</v>
      </c>
      <c r="D6954" s="3" t="s">
        <v>175</v>
      </c>
      <c r="E6954" s="4" t="s">
        <v>22</v>
      </c>
      <c r="F6954" s="4" t="s">
        <v>36342</v>
      </c>
      <c r="G6954" s="4" t="s">
        <v>36343</v>
      </c>
      <c r="H6954" s="3" t="s">
        <v>34363</v>
      </c>
      <c r="I6954" s="3" t="s">
        <v>36344</v>
      </c>
      <c r="J6954" s="3" t="s">
        <v>466</v>
      </c>
      <c r="K6954" s="3"/>
      <c r="L6954" s="3"/>
      <c r="M6954" s="4"/>
      <c r="N6954" s="3" t="s">
        <v>37</v>
      </c>
      <c r="O6954" s="3" t="s">
        <v>70</v>
      </c>
      <c r="P6954" s="5">
        <v>7</v>
      </c>
      <c r="Q6954" s="5">
        <v>48</v>
      </c>
      <c r="R6954" s="5">
        <v>7</v>
      </c>
      <c r="S6954" s="5">
        <v>45</v>
      </c>
    </row>
    <row r="6955" spans="1:19" ht="42" x14ac:dyDescent="0.15">
      <c r="A6955" s="2">
        <f>HYPERLINK("https://open-school.uspishnemisto.com.ua/school/350456/", 350456)</f>
        <v>350456</v>
      </c>
      <c r="B6955" s="3" t="s">
        <v>36345</v>
      </c>
      <c r="C6955" s="3" t="s">
        <v>54</v>
      </c>
      <c r="D6955" s="3" t="s">
        <v>32</v>
      </c>
      <c r="E6955" s="4" t="s">
        <v>22</v>
      </c>
      <c r="F6955" s="4" t="s">
        <v>36346</v>
      </c>
      <c r="G6955" s="4" t="s">
        <v>36347</v>
      </c>
      <c r="H6955" s="3" t="s">
        <v>34363</v>
      </c>
      <c r="I6955" s="3" t="s">
        <v>36348</v>
      </c>
      <c r="J6955" s="3" t="s">
        <v>36349</v>
      </c>
      <c r="K6955" s="3" t="s">
        <v>36350</v>
      </c>
      <c r="L6955" s="3" t="s">
        <v>36351</v>
      </c>
      <c r="M6955" s="4"/>
      <c r="N6955" s="3" t="s">
        <v>37</v>
      </c>
      <c r="O6955" s="3" t="s">
        <v>38</v>
      </c>
      <c r="P6955" s="5">
        <v>9</v>
      </c>
      <c r="Q6955" s="5">
        <v>57</v>
      </c>
      <c r="R6955" s="5">
        <v>10</v>
      </c>
      <c r="S6955" s="5">
        <v>60</v>
      </c>
    </row>
    <row r="6956" spans="1:19" ht="28" x14ac:dyDescent="0.15">
      <c r="A6956" s="2">
        <f>HYPERLINK("https://open-school.uspishnemisto.com.ua/school/350457/", 350457)</f>
        <v>350457</v>
      </c>
      <c r="B6956" s="3" t="s">
        <v>36352</v>
      </c>
      <c r="C6956" s="3" t="s">
        <v>31</v>
      </c>
      <c r="D6956" s="3" t="s">
        <v>32</v>
      </c>
      <c r="E6956" s="4" t="s">
        <v>22</v>
      </c>
      <c r="F6956" s="4" t="s">
        <v>36353</v>
      </c>
      <c r="G6956" s="4" t="s">
        <v>36354</v>
      </c>
      <c r="H6956" s="3" t="s">
        <v>34363</v>
      </c>
      <c r="I6956" s="3" t="s">
        <v>36355</v>
      </c>
      <c r="J6956" s="3" t="s">
        <v>36356</v>
      </c>
      <c r="K6956" s="3" t="s">
        <v>36357</v>
      </c>
      <c r="L6956" s="3"/>
      <c r="M6956" s="4"/>
      <c r="N6956" s="3" t="s">
        <v>967</v>
      </c>
      <c r="O6956" s="3" t="s">
        <v>52</v>
      </c>
      <c r="P6956" s="5">
        <v>11</v>
      </c>
      <c r="Q6956" s="5">
        <v>92</v>
      </c>
      <c r="R6956" s="5">
        <v>11</v>
      </c>
      <c r="S6956" s="5">
        <v>85</v>
      </c>
    </row>
    <row r="6957" spans="1:19" ht="28" x14ac:dyDescent="0.15">
      <c r="A6957" s="2">
        <f>HYPERLINK("https://open-school.uspishnemisto.com.ua/school/350458/", 350458)</f>
        <v>350458</v>
      </c>
      <c r="B6957" s="3" t="s">
        <v>36358</v>
      </c>
      <c r="C6957" s="3" t="s">
        <v>31</v>
      </c>
      <c r="D6957" s="3" t="s">
        <v>32</v>
      </c>
      <c r="E6957" s="4" t="s">
        <v>22</v>
      </c>
      <c r="F6957" s="4" t="s">
        <v>36359</v>
      </c>
      <c r="G6957" s="4" t="s">
        <v>36360</v>
      </c>
      <c r="H6957" s="3" t="s">
        <v>34363</v>
      </c>
      <c r="I6957" s="3" t="s">
        <v>36361</v>
      </c>
      <c r="J6957" s="3" t="s">
        <v>3636</v>
      </c>
      <c r="K6957" s="3" t="s">
        <v>36362</v>
      </c>
      <c r="L6957" s="3" t="s">
        <v>36363</v>
      </c>
      <c r="M6957" s="4"/>
      <c r="N6957" s="3" t="s">
        <v>967</v>
      </c>
      <c r="O6957" s="3" t="s">
        <v>52</v>
      </c>
      <c r="P6957" s="5">
        <v>11</v>
      </c>
      <c r="Q6957" s="5">
        <v>84</v>
      </c>
      <c r="R6957" s="5">
        <v>11</v>
      </c>
      <c r="S6957" s="5">
        <v>87</v>
      </c>
    </row>
    <row r="6958" spans="1:19" ht="42" x14ac:dyDescent="0.15">
      <c r="A6958" s="2">
        <f>HYPERLINK("https://open-school.uspishnemisto.com.ua/school/350459/", 350459)</f>
        <v>350459</v>
      </c>
      <c r="B6958" s="3" t="s">
        <v>36364</v>
      </c>
      <c r="C6958" s="3" t="s">
        <v>54</v>
      </c>
      <c r="D6958" s="3" t="s">
        <v>32</v>
      </c>
      <c r="E6958" s="4" t="s">
        <v>22</v>
      </c>
      <c r="F6958" s="4" t="s">
        <v>36365</v>
      </c>
      <c r="G6958" s="4" t="s">
        <v>36366</v>
      </c>
      <c r="H6958" s="3" t="s">
        <v>34363</v>
      </c>
      <c r="I6958" s="3" t="s">
        <v>36367</v>
      </c>
      <c r="J6958" s="3" t="s">
        <v>36368</v>
      </c>
      <c r="K6958" s="3" t="s">
        <v>36369</v>
      </c>
      <c r="L6958" s="3"/>
      <c r="M6958" s="4"/>
      <c r="N6958" s="3" t="s">
        <v>37</v>
      </c>
      <c r="O6958" s="3" t="s">
        <v>38</v>
      </c>
      <c r="P6958" s="5">
        <v>11</v>
      </c>
      <c r="Q6958" s="5">
        <v>113</v>
      </c>
      <c r="R6958" s="5">
        <v>11</v>
      </c>
      <c r="S6958" s="5">
        <v>117</v>
      </c>
    </row>
    <row r="6959" spans="1:19" ht="28" x14ac:dyDescent="0.15">
      <c r="A6959" s="2">
        <f>HYPERLINK("https://open-school.uspishnemisto.com.ua/school/350460/", 350460)</f>
        <v>350460</v>
      </c>
      <c r="B6959" s="3" t="s">
        <v>36370</v>
      </c>
      <c r="C6959" s="3" t="s">
        <v>31</v>
      </c>
      <c r="D6959" s="3" t="s">
        <v>32</v>
      </c>
      <c r="E6959" s="4" t="s">
        <v>22</v>
      </c>
      <c r="F6959" s="4" t="s">
        <v>36371</v>
      </c>
      <c r="G6959" s="4" t="s">
        <v>36372</v>
      </c>
      <c r="H6959" s="3" t="s">
        <v>34363</v>
      </c>
      <c r="I6959" s="3" t="s">
        <v>36373</v>
      </c>
      <c r="J6959" s="3" t="s">
        <v>36374</v>
      </c>
      <c r="K6959" s="3" t="s">
        <v>36375</v>
      </c>
      <c r="L6959" s="3" t="s">
        <v>36376</v>
      </c>
      <c r="M6959" s="4"/>
      <c r="N6959" s="3" t="s">
        <v>37</v>
      </c>
      <c r="O6959" s="3" t="s">
        <v>70</v>
      </c>
      <c r="P6959" s="5">
        <v>9</v>
      </c>
      <c r="Q6959" s="5">
        <v>71</v>
      </c>
      <c r="R6959" s="5">
        <v>10</v>
      </c>
      <c r="S6959" s="5">
        <v>74</v>
      </c>
    </row>
    <row r="6960" spans="1:19" ht="56" x14ac:dyDescent="0.15">
      <c r="A6960" s="2">
        <f>HYPERLINK("https://open-school.uspishnemisto.com.ua/school/350461/", 350461)</f>
        <v>350461</v>
      </c>
      <c r="B6960" s="3" t="s">
        <v>36377</v>
      </c>
      <c r="C6960" s="3" t="s">
        <v>54</v>
      </c>
      <c r="D6960" s="3" t="s">
        <v>32</v>
      </c>
      <c r="E6960" s="4" t="s">
        <v>22</v>
      </c>
      <c r="F6960" s="4" t="s">
        <v>36378</v>
      </c>
      <c r="G6960" s="4" t="s">
        <v>36379</v>
      </c>
      <c r="H6960" s="3" t="s">
        <v>34363</v>
      </c>
      <c r="I6960" s="3" t="s">
        <v>36380</v>
      </c>
      <c r="J6960" s="3" t="s">
        <v>36381</v>
      </c>
      <c r="K6960" s="3"/>
      <c r="L6960" s="3" t="s">
        <v>36382</v>
      </c>
      <c r="M6960" s="4"/>
      <c r="N6960" s="3" t="s">
        <v>37</v>
      </c>
      <c r="O6960" s="3" t="s">
        <v>38</v>
      </c>
      <c r="P6960" s="5">
        <v>6</v>
      </c>
      <c r="Q6960" s="5">
        <v>41</v>
      </c>
      <c r="R6960" s="5">
        <v>7</v>
      </c>
      <c r="S6960" s="5">
        <v>47</v>
      </c>
    </row>
    <row r="6961" spans="1:19" ht="42" x14ac:dyDescent="0.15">
      <c r="A6961" s="2">
        <f>HYPERLINK("https://open-school.uspishnemisto.com.ua/school/350462/", 350462)</f>
        <v>350462</v>
      </c>
      <c r="B6961" s="3" t="s">
        <v>36383</v>
      </c>
      <c r="C6961" s="3" t="s">
        <v>54</v>
      </c>
      <c r="D6961" s="3" t="s">
        <v>175</v>
      </c>
      <c r="E6961" s="4" t="s">
        <v>22</v>
      </c>
      <c r="F6961" s="4" t="s">
        <v>36384</v>
      </c>
      <c r="G6961" s="4" t="s">
        <v>36385</v>
      </c>
      <c r="H6961" s="3" t="s">
        <v>34363</v>
      </c>
      <c r="I6961" s="3" t="s">
        <v>2202</v>
      </c>
      <c r="J6961" s="3" t="s">
        <v>36386</v>
      </c>
      <c r="K6961" s="3" t="s">
        <v>36387</v>
      </c>
      <c r="L6961" s="3"/>
      <c r="M6961" s="4"/>
      <c r="N6961" s="3" t="s">
        <v>37</v>
      </c>
      <c r="O6961" s="3" t="s">
        <v>38</v>
      </c>
      <c r="P6961" s="5">
        <v>7</v>
      </c>
      <c r="Q6961" s="5">
        <v>44</v>
      </c>
      <c r="R6961" s="5">
        <v>6</v>
      </c>
      <c r="S6961" s="5">
        <v>40</v>
      </c>
    </row>
    <row r="6962" spans="1:19" ht="28" x14ac:dyDescent="0.15">
      <c r="A6962" s="2">
        <f>HYPERLINK("https://open-school.uspishnemisto.com.ua/school/350463/", 350463)</f>
        <v>350463</v>
      </c>
      <c r="B6962" s="3" t="s">
        <v>36388</v>
      </c>
      <c r="C6962" s="3" t="s">
        <v>31</v>
      </c>
      <c r="D6962" s="3" t="s">
        <v>32</v>
      </c>
      <c r="E6962" s="4" t="s">
        <v>22</v>
      </c>
      <c r="F6962" s="4" t="s">
        <v>36389</v>
      </c>
      <c r="G6962" s="4" t="s">
        <v>36390</v>
      </c>
      <c r="H6962" s="3" t="s">
        <v>34363</v>
      </c>
      <c r="I6962" s="3" t="s">
        <v>36391</v>
      </c>
      <c r="J6962" s="3" t="s">
        <v>466</v>
      </c>
      <c r="K6962" s="3" t="s">
        <v>36392</v>
      </c>
      <c r="L6962" s="3"/>
      <c r="M6962" s="4"/>
      <c r="N6962" s="3" t="s">
        <v>37</v>
      </c>
      <c r="O6962" s="3" t="s">
        <v>112</v>
      </c>
      <c r="P6962" s="5">
        <v>11</v>
      </c>
      <c r="Q6962" s="5">
        <v>95</v>
      </c>
      <c r="R6962" s="5">
        <v>11</v>
      </c>
      <c r="S6962" s="5">
        <v>96</v>
      </c>
    </row>
    <row r="6963" spans="1:19" ht="42" x14ac:dyDescent="0.15">
      <c r="A6963" s="2">
        <f>HYPERLINK("https://open-school.uspishnemisto.com.ua/school/350464/", 350464)</f>
        <v>350464</v>
      </c>
      <c r="B6963" s="3" t="s">
        <v>36393</v>
      </c>
      <c r="C6963" s="3" t="s">
        <v>54</v>
      </c>
      <c r="D6963" s="3" t="s">
        <v>32</v>
      </c>
      <c r="E6963" s="4" t="s">
        <v>22</v>
      </c>
      <c r="F6963" s="4" t="s">
        <v>36394</v>
      </c>
      <c r="G6963" s="4" t="s">
        <v>36395</v>
      </c>
      <c r="H6963" s="3" t="s">
        <v>34363</v>
      </c>
      <c r="I6963" s="3" t="s">
        <v>35587</v>
      </c>
      <c r="J6963" s="3" t="s">
        <v>36396</v>
      </c>
      <c r="K6963" s="3" t="s">
        <v>36397</v>
      </c>
      <c r="L6963" s="3"/>
      <c r="M6963" s="4"/>
      <c r="N6963" s="3" t="s">
        <v>37</v>
      </c>
      <c r="O6963" s="3" t="s">
        <v>38</v>
      </c>
      <c r="P6963" s="5">
        <v>32</v>
      </c>
      <c r="Q6963" s="5">
        <v>804</v>
      </c>
      <c r="R6963" s="5">
        <v>33</v>
      </c>
      <c r="S6963" s="5">
        <v>821</v>
      </c>
    </row>
    <row r="6964" spans="1:19" ht="56" x14ac:dyDescent="0.15">
      <c r="A6964" s="2">
        <f>HYPERLINK("https://open-school.uspishnemisto.com.ua/school/350465/", 350465)</f>
        <v>350465</v>
      </c>
      <c r="B6964" s="3" t="s">
        <v>36398</v>
      </c>
      <c r="C6964" s="3" t="s">
        <v>31</v>
      </c>
      <c r="D6964" s="3" t="s">
        <v>60</v>
      </c>
      <c r="E6964" s="4" t="s">
        <v>22</v>
      </c>
      <c r="F6964" s="4" t="s">
        <v>36394</v>
      </c>
      <c r="G6964" s="4" t="s">
        <v>36395</v>
      </c>
      <c r="H6964" s="3" t="s">
        <v>34363</v>
      </c>
      <c r="I6964" s="3" t="s">
        <v>35587</v>
      </c>
      <c r="J6964" s="3" t="s">
        <v>36399</v>
      </c>
      <c r="K6964" s="3" t="s">
        <v>36400</v>
      </c>
      <c r="L6964" s="3" t="s">
        <v>36401</v>
      </c>
      <c r="M6964" s="4"/>
      <c r="N6964" s="3"/>
      <c r="O6964" s="3"/>
      <c r="P6964" s="5">
        <v>0</v>
      </c>
      <c r="Q6964" s="5">
        <v>0</v>
      </c>
      <c r="R6964" s="5"/>
      <c r="S6964" s="5"/>
    </row>
    <row r="6965" spans="1:19" ht="42" x14ac:dyDescent="0.15">
      <c r="A6965" s="2">
        <f>HYPERLINK("https://open-school.uspishnemisto.com.ua/school/350466/", 350466)</f>
        <v>350466</v>
      </c>
      <c r="B6965" s="3" t="s">
        <v>36402</v>
      </c>
      <c r="C6965" s="3" t="s">
        <v>31</v>
      </c>
      <c r="D6965" s="3" t="s">
        <v>32</v>
      </c>
      <c r="E6965" s="4" t="s">
        <v>22</v>
      </c>
      <c r="F6965" s="4" t="s">
        <v>36403</v>
      </c>
      <c r="G6965" s="4" t="s">
        <v>36404</v>
      </c>
      <c r="H6965" s="3" t="s">
        <v>34363</v>
      </c>
      <c r="I6965" s="3" t="s">
        <v>36405</v>
      </c>
      <c r="J6965" s="3" t="s">
        <v>1636</v>
      </c>
      <c r="K6965" s="3" t="s">
        <v>36406</v>
      </c>
      <c r="L6965" s="3" t="s">
        <v>36407</v>
      </c>
      <c r="M6965" s="4"/>
      <c r="N6965" s="3" t="s">
        <v>37</v>
      </c>
      <c r="O6965" s="3" t="s">
        <v>52</v>
      </c>
      <c r="P6965" s="5">
        <v>0</v>
      </c>
      <c r="Q6965" s="5">
        <v>0</v>
      </c>
      <c r="R6965" s="5">
        <v>11</v>
      </c>
      <c r="S6965" s="5">
        <v>96</v>
      </c>
    </row>
    <row r="6966" spans="1:19" ht="28" x14ac:dyDescent="0.15">
      <c r="A6966" s="2">
        <f>HYPERLINK("https://open-school.uspishnemisto.com.ua/school/350467/", 350467)</f>
        <v>350467</v>
      </c>
      <c r="B6966" s="3" t="s">
        <v>36408</v>
      </c>
      <c r="C6966" s="3" t="s">
        <v>31</v>
      </c>
      <c r="D6966" s="3" t="s">
        <v>32</v>
      </c>
      <c r="E6966" s="4" t="s">
        <v>22</v>
      </c>
      <c r="F6966" s="4"/>
      <c r="G6966" s="4" t="s">
        <v>36409</v>
      </c>
      <c r="H6966" s="3" t="s">
        <v>34363</v>
      </c>
      <c r="I6966" s="3" t="s">
        <v>11128</v>
      </c>
      <c r="J6966" s="3" t="s">
        <v>36410</v>
      </c>
      <c r="K6966" s="3"/>
      <c r="L6966" s="3"/>
      <c r="M6966" s="4"/>
      <c r="N6966" s="3" t="s">
        <v>37</v>
      </c>
      <c r="O6966" s="3" t="s">
        <v>38</v>
      </c>
      <c r="P6966" s="5">
        <v>27</v>
      </c>
      <c r="Q6966" s="5">
        <v>300</v>
      </c>
      <c r="R6966" s="5">
        <v>10</v>
      </c>
      <c r="S6966" s="5">
        <v>130</v>
      </c>
    </row>
    <row r="6967" spans="1:19" ht="42" x14ac:dyDescent="0.15">
      <c r="A6967" s="2">
        <f>HYPERLINK("https://open-school.uspishnemisto.com.ua/school/350468/", 350468)</f>
        <v>350468</v>
      </c>
      <c r="B6967" s="3" t="s">
        <v>36411</v>
      </c>
      <c r="C6967" s="3" t="s">
        <v>31</v>
      </c>
      <c r="D6967" s="3" t="s">
        <v>32</v>
      </c>
      <c r="E6967" s="4" t="s">
        <v>22</v>
      </c>
      <c r="F6967" s="4" t="s">
        <v>36412</v>
      </c>
      <c r="G6967" s="4" t="s">
        <v>36413</v>
      </c>
      <c r="H6967" s="3" t="s">
        <v>34363</v>
      </c>
      <c r="I6967" s="3" t="s">
        <v>10816</v>
      </c>
      <c r="J6967" s="3" t="s">
        <v>9314</v>
      </c>
      <c r="K6967" s="3" t="s">
        <v>36414</v>
      </c>
      <c r="L6967" s="3" t="s">
        <v>36415</v>
      </c>
      <c r="M6967" s="4"/>
      <c r="N6967" s="3" t="s">
        <v>37</v>
      </c>
      <c r="O6967" s="3" t="s">
        <v>52</v>
      </c>
      <c r="P6967" s="5">
        <v>0</v>
      </c>
      <c r="Q6967" s="5">
        <v>0</v>
      </c>
      <c r="R6967" s="5">
        <v>9</v>
      </c>
      <c r="S6967" s="5">
        <v>114</v>
      </c>
    </row>
    <row r="6968" spans="1:19" ht="70" x14ac:dyDescent="0.15">
      <c r="A6968" s="2">
        <f>HYPERLINK("https://open-school.uspishnemisto.com.ua/school/350469/", 350469)</f>
        <v>350469</v>
      </c>
      <c r="B6968" s="3" t="s">
        <v>36416</v>
      </c>
      <c r="C6968" s="3" t="s">
        <v>31</v>
      </c>
      <c r="D6968" s="3" t="s">
        <v>175</v>
      </c>
      <c r="E6968" s="4" t="s">
        <v>22</v>
      </c>
      <c r="F6968" s="4" t="s">
        <v>36417</v>
      </c>
      <c r="G6968" s="4" t="s">
        <v>36418</v>
      </c>
      <c r="H6968" s="3" t="s">
        <v>34363</v>
      </c>
      <c r="I6968" s="3" t="s">
        <v>3790</v>
      </c>
      <c r="J6968" s="3" t="s">
        <v>554</v>
      </c>
      <c r="K6968" s="3" t="s">
        <v>36419</v>
      </c>
      <c r="L6968" s="3" t="s">
        <v>36420</v>
      </c>
      <c r="M6968" s="4"/>
      <c r="N6968" s="3"/>
      <c r="O6968" s="3"/>
      <c r="P6968" s="5">
        <v>0</v>
      </c>
      <c r="Q6968" s="5">
        <v>0</v>
      </c>
      <c r="R6968" s="5"/>
      <c r="S6968" s="5"/>
    </row>
    <row r="6969" spans="1:19" ht="42" x14ac:dyDescent="0.15">
      <c r="A6969" s="2">
        <f>HYPERLINK("https://open-school.uspishnemisto.com.ua/school/350470/", 350470)</f>
        <v>350470</v>
      </c>
      <c r="B6969" s="3" t="s">
        <v>36421</v>
      </c>
      <c r="C6969" s="3" t="s">
        <v>54</v>
      </c>
      <c r="D6969" s="3" t="s">
        <v>60</v>
      </c>
      <c r="E6969" s="4" t="s">
        <v>22</v>
      </c>
      <c r="F6969" s="4" t="s">
        <v>36422</v>
      </c>
      <c r="G6969" s="4" t="s">
        <v>36423</v>
      </c>
      <c r="H6969" s="3" t="s">
        <v>34363</v>
      </c>
      <c r="I6969" s="3" t="s">
        <v>11147</v>
      </c>
      <c r="J6969" s="3" t="s">
        <v>36424</v>
      </c>
      <c r="K6969" s="3" t="s">
        <v>36425</v>
      </c>
      <c r="L6969" s="3"/>
      <c r="M6969" s="4"/>
      <c r="N6969" s="3" t="s">
        <v>37</v>
      </c>
      <c r="O6969" s="3" t="s">
        <v>52</v>
      </c>
      <c r="P6969" s="5">
        <v>0</v>
      </c>
      <c r="Q6969" s="5">
        <v>0</v>
      </c>
      <c r="R6969" s="5">
        <v>0</v>
      </c>
      <c r="S6969" s="5">
        <v>12</v>
      </c>
    </row>
    <row r="6970" spans="1:19" ht="42" x14ac:dyDescent="0.15">
      <c r="A6970" s="2">
        <f>HYPERLINK("https://open-school.uspishnemisto.com.ua/school/350471/", 350471)</f>
        <v>350471</v>
      </c>
      <c r="B6970" s="3" t="s">
        <v>36426</v>
      </c>
      <c r="C6970" s="3" t="s">
        <v>31</v>
      </c>
      <c r="D6970" s="3" t="s">
        <v>175</v>
      </c>
      <c r="E6970" s="4" t="s">
        <v>22</v>
      </c>
      <c r="F6970" s="4" t="s">
        <v>36427</v>
      </c>
      <c r="G6970" s="4" t="s">
        <v>36428</v>
      </c>
      <c r="H6970" s="3" t="s">
        <v>34363</v>
      </c>
      <c r="I6970" s="3" t="s">
        <v>5477</v>
      </c>
      <c r="J6970" s="3" t="s">
        <v>4425</v>
      </c>
      <c r="K6970" s="3"/>
      <c r="L6970" s="3" t="s">
        <v>36429</v>
      </c>
      <c r="M6970" s="4"/>
      <c r="N6970" s="3" t="s">
        <v>37</v>
      </c>
      <c r="O6970" s="3" t="s">
        <v>46</v>
      </c>
      <c r="P6970" s="5">
        <v>0</v>
      </c>
      <c r="Q6970" s="5">
        <v>0</v>
      </c>
      <c r="R6970" s="5">
        <v>5</v>
      </c>
      <c r="S6970" s="5">
        <v>45</v>
      </c>
    </row>
    <row r="6971" spans="1:19" ht="42" x14ac:dyDescent="0.15">
      <c r="A6971" s="2">
        <f>HYPERLINK("https://open-school.uspishnemisto.com.ua/school/350472/", 350472)</f>
        <v>350472</v>
      </c>
      <c r="B6971" s="3" t="s">
        <v>36430</v>
      </c>
      <c r="C6971" s="3" t="s">
        <v>31</v>
      </c>
      <c r="D6971" s="3" t="s">
        <v>32</v>
      </c>
      <c r="E6971" s="4" t="s">
        <v>22</v>
      </c>
      <c r="F6971" s="4" t="s">
        <v>36431</v>
      </c>
      <c r="G6971" s="4" t="s">
        <v>36432</v>
      </c>
      <c r="H6971" s="3" t="s">
        <v>34363</v>
      </c>
      <c r="I6971" s="3" t="s">
        <v>36433</v>
      </c>
      <c r="J6971" s="3" t="s">
        <v>36434</v>
      </c>
      <c r="K6971" s="3" t="s">
        <v>36435</v>
      </c>
      <c r="L6971" s="3"/>
      <c r="M6971" s="4"/>
      <c r="N6971" s="3" t="s">
        <v>37</v>
      </c>
      <c r="O6971" s="3" t="s">
        <v>52</v>
      </c>
      <c r="P6971" s="5">
        <v>0</v>
      </c>
      <c r="Q6971" s="5">
        <v>0</v>
      </c>
      <c r="R6971" s="5">
        <v>10</v>
      </c>
      <c r="S6971" s="5">
        <v>72</v>
      </c>
    </row>
    <row r="6972" spans="1:19" ht="28" x14ac:dyDescent="0.15">
      <c r="A6972" s="2">
        <f>HYPERLINK("https://open-school.uspishnemisto.com.ua/school/350473/", 350473)</f>
        <v>350473</v>
      </c>
      <c r="B6972" s="3" t="s">
        <v>36436</v>
      </c>
      <c r="C6972" s="3" t="s">
        <v>31</v>
      </c>
      <c r="D6972" s="3" t="s">
        <v>32</v>
      </c>
      <c r="E6972" s="4" t="s">
        <v>22</v>
      </c>
      <c r="F6972" s="4" t="s">
        <v>36437</v>
      </c>
      <c r="G6972" s="4" t="s">
        <v>36438</v>
      </c>
      <c r="H6972" s="3" t="s">
        <v>34363</v>
      </c>
      <c r="I6972" s="3" t="s">
        <v>36439</v>
      </c>
      <c r="J6972" s="3" t="s">
        <v>6432</v>
      </c>
      <c r="K6972" s="3" t="s">
        <v>36440</v>
      </c>
      <c r="L6972" s="3" t="s">
        <v>36441</v>
      </c>
      <c r="M6972" s="4"/>
      <c r="N6972" s="3" t="s">
        <v>37</v>
      </c>
      <c r="O6972" s="3" t="s">
        <v>38</v>
      </c>
      <c r="P6972" s="5">
        <v>11</v>
      </c>
      <c r="Q6972" s="5">
        <v>128</v>
      </c>
      <c r="R6972" s="5">
        <v>11</v>
      </c>
      <c r="S6972" s="5">
        <v>123</v>
      </c>
    </row>
    <row r="6973" spans="1:19" ht="28" x14ac:dyDescent="0.15">
      <c r="A6973" s="2">
        <f>HYPERLINK("https://open-school.uspishnemisto.com.ua/school/350474/", 350474)</f>
        <v>350474</v>
      </c>
      <c r="B6973" s="3" t="s">
        <v>36442</v>
      </c>
      <c r="C6973" s="3" t="s">
        <v>31</v>
      </c>
      <c r="D6973" s="3" t="s">
        <v>32</v>
      </c>
      <c r="E6973" s="4" t="s">
        <v>22</v>
      </c>
      <c r="F6973" s="4" t="s">
        <v>36443</v>
      </c>
      <c r="G6973" s="4" t="s">
        <v>36444</v>
      </c>
      <c r="H6973" s="3" t="s">
        <v>34363</v>
      </c>
      <c r="I6973" s="3" t="s">
        <v>36445</v>
      </c>
      <c r="J6973" s="3" t="s">
        <v>36446</v>
      </c>
      <c r="K6973" s="3" t="s">
        <v>36447</v>
      </c>
      <c r="L6973" s="3" t="s">
        <v>36448</v>
      </c>
      <c r="M6973" s="4"/>
      <c r="N6973" s="3" t="s">
        <v>37</v>
      </c>
      <c r="O6973" s="3" t="s">
        <v>70</v>
      </c>
      <c r="P6973" s="5">
        <v>37</v>
      </c>
      <c r="Q6973" s="5">
        <v>478</v>
      </c>
      <c r="R6973" s="5">
        <v>17</v>
      </c>
      <c r="S6973" s="5">
        <v>287</v>
      </c>
    </row>
    <row r="6974" spans="1:19" ht="28" x14ac:dyDescent="0.15">
      <c r="A6974" s="2">
        <f>HYPERLINK("https://open-school.uspishnemisto.com.ua/school/350475/", 350475)</f>
        <v>350475</v>
      </c>
      <c r="B6974" s="3" t="s">
        <v>36449</v>
      </c>
      <c r="C6974" s="3" t="s">
        <v>31</v>
      </c>
      <c r="D6974" s="3" t="s">
        <v>32</v>
      </c>
      <c r="E6974" s="4" t="s">
        <v>22</v>
      </c>
      <c r="F6974" s="4" t="s">
        <v>36450</v>
      </c>
      <c r="G6974" s="4" t="s">
        <v>36451</v>
      </c>
      <c r="H6974" s="3" t="s">
        <v>34363</v>
      </c>
      <c r="I6974" s="3" t="s">
        <v>36452</v>
      </c>
      <c r="J6974" s="3" t="s">
        <v>36453</v>
      </c>
      <c r="K6974" s="3" t="s">
        <v>36454</v>
      </c>
      <c r="L6974" s="3" t="s">
        <v>36455</v>
      </c>
      <c r="M6974" s="4"/>
      <c r="N6974" s="3" t="s">
        <v>37</v>
      </c>
      <c r="O6974" s="3" t="s">
        <v>70</v>
      </c>
      <c r="P6974" s="5">
        <v>15</v>
      </c>
      <c r="Q6974" s="5">
        <v>140</v>
      </c>
      <c r="R6974" s="5">
        <v>11</v>
      </c>
      <c r="S6974" s="5">
        <v>96</v>
      </c>
    </row>
    <row r="6975" spans="1:19" ht="42" x14ac:dyDescent="0.15">
      <c r="A6975" s="2">
        <f>HYPERLINK("https://open-school.uspishnemisto.com.ua/school/350476/", 350476)</f>
        <v>350476</v>
      </c>
      <c r="B6975" s="3" t="s">
        <v>36456</v>
      </c>
      <c r="C6975" s="3" t="s">
        <v>31</v>
      </c>
      <c r="D6975" s="3" t="s">
        <v>32</v>
      </c>
      <c r="E6975" s="4" t="s">
        <v>22</v>
      </c>
      <c r="F6975" s="4" t="s">
        <v>36457</v>
      </c>
      <c r="G6975" s="4" t="s">
        <v>36458</v>
      </c>
      <c r="H6975" s="3" t="s">
        <v>34363</v>
      </c>
      <c r="I6975" s="3" t="s">
        <v>36459</v>
      </c>
      <c r="J6975" s="3" t="s">
        <v>23179</v>
      </c>
      <c r="K6975" s="3" t="s">
        <v>36460</v>
      </c>
      <c r="L6975" s="3"/>
      <c r="M6975" s="4"/>
      <c r="N6975" s="3" t="s">
        <v>37</v>
      </c>
      <c r="O6975" s="3" t="s">
        <v>38</v>
      </c>
      <c r="P6975" s="5">
        <v>11</v>
      </c>
      <c r="Q6975" s="5">
        <v>119</v>
      </c>
      <c r="R6975" s="5">
        <v>11</v>
      </c>
      <c r="S6975" s="5">
        <v>126</v>
      </c>
    </row>
    <row r="6976" spans="1:19" ht="42" x14ac:dyDescent="0.15">
      <c r="A6976" s="2">
        <f>HYPERLINK("https://open-school.uspishnemisto.com.ua/school/350477/", 350477)</f>
        <v>350477</v>
      </c>
      <c r="B6976" s="3" t="s">
        <v>36461</v>
      </c>
      <c r="C6976" s="3" t="s">
        <v>31</v>
      </c>
      <c r="D6976" s="3" t="s">
        <v>32</v>
      </c>
      <c r="E6976" s="4" t="s">
        <v>22</v>
      </c>
      <c r="F6976" s="4" t="s">
        <v>36462</v>
      </c>
      <c r="G6976" s="4" t="s">
        <v>36463</v>
      </c>
      <c r="H6976" s="3" t="s">
        <v>34363</v>
      </c>
      <c r="I6976" s="3" t="s">
        <v>36464</v>
      </c>
      <c r="J6976" s="3" t="s">
        <v>634</v>
      </c>
      <c r="K6976" s="3" t="s">
        <v>36465</v>
      </c>
      <c r="L6976" s="3" t="s">
        <v>36466</v>
      </c>
      <c r="M6976" s="4"/>
      <c r="N6976" s="3" t="s">
        <v>37</v>
      </c>
      <c r="O6976" s="3" t="s">
        <v>52</v>
      </c>
      <c r="P6976" s="5">
        <v>0</v>
      </c>
      <c r="Q6976" s="5">
        <v>0</v>
      </c>
      <c r="R6976" s="5">
        <v>11</v>
      </c>
      <c r="S6976" s="5">
        <v>101</v>
      </c>
    </row>
    <row r="6977" spans="1:19" ht="56" x14ac:dyDescent="0.15">
      <c r="A6977" s="2">
        <f>HYPERLINK("https://open-school.uspishnemisto.com.ua/school/350478/", 350478)</f>
        <v>350478</v>
      </c>
      <c r="B6977" s="3" t="s">
        <v>36467</v>
      </c>
      <c r="C6977" s="3" t="s">
        <v>54</v>
      </c>
      <c r="D6977" s="3" t="s">
        <v>32</v>
      </c>
      <c r="E6977" s="4" t="s">
        <v>22</v>
      </c>
      <c r="F6977" s="4" t="s">
        <v>36468</v>
      </c>
      <c r="G6977" s="4" t="s">
        <v>36469</v>
      </c>
      <c r="H6977" s="3" t="s">
        <v>34363</v>
      </c>
      <c r="I6977" s="3" t="s">
        <v>36470</v>
      </c>
      <c r="J6977" s="3" t="s">
        <v>10823</v>
      </c>
      <c r="K6977" s="3"/>
      <c r="L6977" s="3"/>
      <c r="M6977" s="4"/>
      <c r="N6977" s="3" t="s">
        <v>37</v>
      </c>
      <c r="O6977" s="3" t="s">
        <v>70</v>
      </c>
      <c r="P6977" s="5">
        <v>10</v>
      </c>
      <c r="Q6977" s="5">
        <v>114</v>
      </c>
      <c r="R6977" s="5">
        <v>11</v>
      </c>
      <c r="S6977" s="5">
        <v>133</v>
      </c>
    </row>
    <row r="6978" spans="1:19" ht="70" x14ac:dyDescent="0.15">
      <c r="A6978" s="2">
        <f>HYPERLINK("https://open-school.uspishnemisto.com.ua/school/350479/", 350479)</f>
        <v>350479</v>
      </c>
      <c r="B6978" s="3" t="s">
        <v>36471</v>
      </c>
      <c r="C6978" s="3" t="s">
        <v>31</v>
      </c>
      <c r="D6978" s="3" t="s">
        <v>175</v>
      </c>
      <c r="E6978" s="4" t="s">
        <v>22</v>
      </c>
      <c r="F6978" s="4" t="s">
        <v>36472</v>
      </c>
      <c r="G6978" s="4" t="s">
        <v>36473</v>
      </c>
      <c r="H6978" s="3" t="s">
        <v>34363</v>
      </c>
      <c r="I6978" s="3" t="s">
        <v>36474</v>
      </c>
      <c r="J6978" s="3" t="s">
        <v>18354</v>
      </c>
      <c r="K6978" s="3" t="s">
        <v>36475</v>
      </c>
      <c r="L6978" s="3"/>
      <c r="M6978" s="4"/>
      <c r="N6978" s="3" t="s">
        <v>37</v>
      </c>
      <c r="O6978" s="3" t="s">
        <v>46</v>
      </c>
      <c r="P6978" s="5">
        <v>0</v>
      </c>
      <c r="Q6978" s="5">
        <v>0</v>
      </c>
      <c r="R6978" s="5">
        <v>9</v>
      </c>
      <c r="S6978" s="5">
        <v>49</v>
      </c>
    </row>
    <row r="6979" spans="1:19" ht="56" x14ac:dyDescent="0.15">
      <c r="A6979" s="2">
        <f>HYPERLINK("https://open-school.uspishnemisto.com.ua/school/350480/", 350480)</f>
        <v>350480</v>
      </c>
      <c r="B6979" s="3" t="s">
        <v>36476</v>
      </c>
      <c r="C6979" s="3" t="s">
        <v>54</v>
      </c>
      <c r="D6979" s="3" t="s">
        <v>32</v>
      </c>
      <c r="E6979" s="4" t="s">
        <v>22</v>
      </c>
      <c r="F6979" s="4" t="s">
        <v>36477</v>
      </c>
      <c r="G6979" s="4" t="s">
        <v>36478</v>
      </c>
      <c r="H6979" s="3" t="s">
        <v>34363</v>
      </c>
      <c r="I6979" s="3" t="s">
        <v>1826</v>
      </c>
      <c r="J6979" s="3" t="s">
        <v>634</v>
      </c>
      <c r="K6979" s="3"/>
      <c r="L6979" s="3"/>
      <c r="M6979" s="4"/>
      <c r="N6979" s="3" t="s">
        <v>37</v>
      </c>
      <c r="O6979" s="3" t="s">
        <v>38</v>
      </c>
      <c r="P6979" s="5">
        <v>39</v>
      </c>
      <c r="Q6979" s="5">
        <v>277</v>
      </c>
      <c r="R6979" s="5">
        <v>11</v>
      </c>
      <c r="S6979" s="5">
        <v>118</v>
      </c>
    </row>
    <row r="6980" spans="1:19" ht="42" x14ac:dyDescent="0.15">
      <c r="A6980" s="2">
        <f>HYPERLINK("https://open-school.uspishnemisto.com.ua/school/350481/", 350481)</f>
        <v>350481</v>
      </c>
      <c r="B6980" s="3" t="s">
        <v>36479</v>
      </c>
      <c r="C6980" s="3" t="s">
        <v>31</v>
      </c>
      <c r="D6980" s="3" t="s">
        <v>32</v>
      </c>
      <c r="E6980" s="4" t="s">
        <v>22</v>
      </c>
      <c r="F6980" s="4" t="s">
        <v>36480</v>
      </c>
      <c r="G6980" s="4" t="s">
        <v>36481</v>
      </c>
      <c r="H6980" s="3" t="s">
        <v>34363</v>
      </c>
      <c r="I6980" s="3" t="s">
        <v>2475</v>
      </c>
      <c r="J6980" s="3" t="s">
        <v>11675</v>
      </c>
      <c r="K6980" s="3" t="s">
        <v>36482</v>
      </c>
      <c r="L6980" s="3" t="s">
        <v>36483</v>
      </c>
      <c r="M6980" s="4"/>
      <c r="N6980" s="3" t="s">
        <v>37</v>
      </c>
      <c r="O6980" s="3" t="s">
        <v>52</v>
      </c>
      <c r="P6980" s="5">
        <v>11</v>
      </c>
      <c r="Q6980" s="5">
        <v>106</v>
      </c>
      <c r="R6980" s="5">
        <v>11</v>
      </c>
      <c r="S6980" s="5">
        <v>109</v>
      </c>
    </row>
    <row r="6981" spans="1:19" ht="84" x14ac:dyDescent="0.15">
      <c r="A6981" s="2">
        <f>HYPERLINK("https://open-school.uspishnemisto.com.ua/school/350482/", 350482)</f>
        <v>350482</v>
      </c>
      <c r="B6981" s="3" t="s">
        <v>36484</v>
      </c>
      <c r="C6981" s="3" t="s">
        <v>31</v>
      </c>
      <c r="D6981" s="3" t="s">
        <v>32</v>
      </c>
      <c r="E6981" s="4" t="s">
        <v>22</v>
      </c>
      <c r="F6981" s="4" t="s">
        <v>36485</v>
      </c>
      <c r="G6981" s="4" t="s">
        <v>36486</v>
      </c>
      <c r="H6981" s="3" t="s">
        <v>34363</v>
      </c>
      <c r="I6981" s="3" t="s">
        <v>36487</v>
      </c>
      <c r="J6981" s="3" t="s">
        <v>4702</v>
      </c>
      <c r="K6981" s="3" t="s">
        <v>36488</v>
      </c>
      <c r="L6981" s="3" t="s">
        <v>36489</v>
      </c>
      <c r="M6981" s="4"/>
      <c r="N6981" s="3" t="s">
        <v>37</v>
      </c>
      <c r="O6981" s="3" t="s">
        <v>52</v>
      </c>
      <c r="P6981" s="5">
        <v>0</v>
      </c>
      <c r="Q6981" s="5">
        <v>0</v>
      </c>
      <c r="R6981" s="5">
        <v>10</v>
      </c>
      <c r="S6981" s="5">
        <v>79</v>
      </c>
    </row>
    <row r="6982" spans="1:19" ht="28" x14ac:dyDescent="0.15">
      <c r="A6982" s="2">
        <f>HYPERLINK("https://open-school.uspishnemisto.com.ua/school/350483/", 350483)</f>
        <v>350483</v>
      </c>
      <c r="B6982" s="3" t="s">
        <v>36490</v>
      </c>
      <c r="C6982" s="3" t="s">
        <v>31</v>
      </c>
      <c r="D6982" s="3" t="s">
        <v>175</v>
      </c>
      <c r="E6982" s="4" t="s">
        <v>22</v>
      </c>
      <c r="F6982" s="4" t="s">
        <v>36491</v>
      </c>
      <c r="G6982" s="4" t="s">
        <v>36492</v>
      </c>
      <c r="H6982" s="3" t="s">
        <v>34363</v>
      </c>
      <c r="I6982" s="3" t="s">
        <v>883</v>
      </c>
      <c r="J6982" s="3" t="s">
        <v>36493</v>
      </c>
      <c r="K6982" s="3"/>
      <c r="L6982" s="3"/>
      <c r="M6982" s="4"/>
      <c r="N6982" s="3" t="s">
        <v>37</v>
      </c>
      <c r="O6982" s="3" t="s">
        <v>52</v>
      </c>
      <c r="P6982" s="5">
        <v>0</v>
      </c>
      <c r="Q6982" s="5">
        <v>0</v>
      </c>
      <c r="R6982" s="5">
        <v>9</v>
      </c>
      <c r="S6982" s="5">
        <v>46</v>
      </c>
    </row>
    <row r="6983" spans="1:19" ht="42" x14ac:dyDescent="0.15">
      <c r="A6983" s="2">
        <f>HYPERLINK("https://open-school.uspishnemisto.com.ua/school/350484/", 350484)</f>
        <v>350484</v>
      </c>
      <c r="B6983" s="3" t="s">
        <v>36494</v>
      </c>
      <c r="C6983" s="3" t="s">
        <v>31</v>
      </c>
      <c r="D6983" s="3" t="s">
        <v>175</v>
      </c>
      <c r="E6983" s="4" t="s">
        <v>22</v>
      </c>
      <c r="F6983" s="4" t="s">
        <v>36495</v>
      </c>
      <c r="G6983" s="4" t="s">
        <v>36496</v>
      </c>
      <c r="H6983" s="3" t="s">
        <v>34363</v>
      </c>
      <c r="I6983" s="3" t="s">
        <v>4774</v>
      </c>
      <c r="J6983" s="3" t="s">
        <v>36497</v>
      </c>
      <c r="K6983" s="3" t="s">
        <v>36498</v>
      </c>
      <c r="L6983" s="3" t="s">
        <v>36499</v>
      </c>
      <c r="M6983" s="4"/>
      <c r="N6983" s="3" t="s">
        <v>37</v>
      </c>
      <c r="O6983" s="3" t="s">
        <v>46</v>
      </c>
      <c r="P6983" s="5">
        <v>9</v>
      </c>
      <c r="Q6983" s="5">
        <v>51</v>
      </c>
      <c r="R6983" s="5">
        <v>9</v>
      </c>
      <c r="S6983" s="5">
        <v>49</v>
      </c>
    </row>
    <row r="6984" spans="1:19" ht="42" x14ac:dyDescent="0.15">
      <c r="A6984" s="2">
        <f>HYPERLINK("https://open-school.uspishnemisto.com.ua/school/350485/", 350485)</f>
        <v>350485</v>
      </c>
      <c r="B6984" s="3" t="s">
        <v>36500</v>
      </c>
      <c r="C6984" s="3" t="s">
        <v>31</v>
      </c>
      <c r="D6984" s="3" t="s">
        <v>32</v>
      </c>
      <c r="E6984" s="4" t="s">
        <v>22</v>
      </c>
      <c r="F6984" s="4" t="s">
        <v>36501</v>
      </c>
      <c r="G6984" s="4" t="s">
        <v>36502</v>
      </c>
      <c r="H6984" s="3" t="s">
        <v>34363</v>
      </c>
      <c r="I6984" s="3" t="s">
        <v>15354</v>
      </c>
      <c r="J6984" s="3" t="s">
        <v>36503</v>
      </c>
      <c r="K6984" s="3" t="s">
        <v>36504</v>
      </c>
      <c r="L6984" s="3"/>
      <c r="M6984" s="4"/>
      <c r="N6984" s="3" t="s">
        <v>967</v>
      </c>
      <c r="O6984" s="3" t="s">
        <v>52</v>
      </c>
      <c r="P6984" s="5">
        <v>11</v>
      </c>
      <c r="Q6984" s="5">
        <v>101</v>
      </c>
      <c r="R6984" s="5">
        <v>11</v>
      </c>
      <c r="S6984" s="5">
        <v>101</v>
      </c>
    </row>
    <row r="6985" spans="1:19" ht="56" x14ac:dyDescent="0.15">
      <c r="A6985" s="2">
        <f>HYPERLINK("https://open-school.uspishnemisto.com.ua/school/350486/", 350486)</f>
        <v>350486</v>
      </c>
      <c r="B6985" s="3" t="s">
        <v>36505</v>
      </c>
      <c r="C6985" s="3" t="s">
        <v>54</v>
      </c>
      <c r="D6985" s="3" t="s">
        <v>32</v>
      </c>
      <c r="E6985" s="4" t="s">
        <v>22</v>
      </c>
      <c r="F6985" s="4" t="s">
        <v>36506</v>
      </c>
      <c r="G6985" s="4" t="s">
        <v>36507</v>
      </c>
      <c r="H6985" s="3" t="s">
        <v>34363</v>
      </c>
      <c r="I6985" s="3" t="s">
        <v>31758</v>
      </c>
      <c r="J6985" s="3" t="s">
        <v>11509</v>
      </c>
      <c r="K6985" s="3" t="s">
        <v>36508</v>
      </c>
      <c r="L6985" s="3"/>
      <c r="M6985" s="4"/>
      <c r="N6985" s="3" t="s">
        <v>37</v>
      </c>
      <c r="O6985" s="3" t="s">
        <v>52</v>
      </c>
      <c r="P6985" s="5">
        <v>10</v>
      </c>
      <c r="Q6985" s="5">
        <v>62</v>
      </c>
      <c r="R6985" s="5">
        <v>10</v>
      </c>
      <c r="S6985" s="5">
        <v>61</v>
      </c>
    </row>
    <row r="6986" spans="1:19" ht="56" x14ac:dyDescent="0.15">
      <c r="A6986" s="2">
        <f>HYPERLINK("https://open-school.uspishnemisto.com.ua/school/350487/", 350487)</f>
        <v>350487</v>
      </c>
      <c r="B6986" s="3" t="s">
        <v>36509</v>
      </c>
      <c r="C6986" s="3" t="s">
        <v>54</v>
      </c>
      <c r="D6986" s="3" t="s">
        <v>32</v>
      </c>
      <c r="E6986" s="4" t="s">
        <v>22</v>
      </c>
      <c r="F6986" s="4" t="s">
        <v>36510</v>
      </c>
      <c r="G6986" s="4" t="s">
        <v>36511</v>
      </c>
      <c r="H6986" s="3" t="s">
        <v>34363</v>
      </c>
      <c r="I6986" s="3" t="s">
        <v>1587</v>
      </c>
      <c r="J6986" s="3" t="s">
        <v>36512</v>
      </c>
      <c r="K6986" s="3" t="s">
        <v>36513</v>
      </c>
      <c r="L6986" s="3"/>
      <c r="M6986" s="4"/>
      <c r="N6986" s="3" t="s">
        <v>37</v>
      </c>
      <c r="O6986" s="3" t="s">
        <v>70</v>
      </c>
      <c r="P6986" s="5">
        <v>21</v>
      </c>
      <c r="Q6986" s="5">
        <v>263</v>
      </c>
      <c r="R6986" s="5">
        <v>11</v>
      </c>
      <c r="S6986" s="5">
        <v>185</v>
      </c>
    </row>
    <row r="6987" spans="1:19" ht="70" x14ac:dyDescent="0.15">
      <c r="A6987" s="2">
        <f>HYPERLINK("https://open-school.uspishnemisto.com.ua/school/350488/", 350488)</f>
        <v>350488</v>
      </c>
      <c r="B6987" s="3" t="s">
        <v>36514</v>
      </c>
      <c r="C6987" s="3" t="s">
        <v>31</v>
      </c>
      <c r="D6987" s="3" t="s">
        <v>60</v>
      </c>
      <c r="E6987" s="4" t="s">
        <v>22</v>
      </c>
      <c r="F6987" s="4" t="s">
        <v>36510</v>
      </c>
      <c r="G6987" s="4" t="s">
        <v>36515</v>
      </c>
      <c r="H6987" s="3" t="s">
        <v>34363</v>
      </c>
      <c r="I6987" s="3" t="s">
        <v>10822</v>
      </c>
      <c r="J6987" s="3" t="s">
        <v>36516</v>
      </c>
      <c r="K6987" s="3" t="s">
        <v>36517</v>
      </c>
      <c r="L6987" s="3"/>
      <c r="M6987" s="4"/>
      <c r="N6987" s="3" t="s">
        <v>37</v>
      </c>
      <c r="O6987" s="3" t="s">
        <v>52</v>
      </c>
      <c r="P6987" s="5">
        <v>0</v>
      </c>
      <c r="Q6987" s="5">
        <v>0</v>
      </c>
      <c r="R6987" s="5">
        <v>2</v>
      </c>
      <c r="S6987" s="5">
        <v>11</v>
      </c>
    </row>
    <row r="6988" spans="1:19" ht="42" x14ac:dyDescent="0.15">
      <c r="A6988" s="2">
        <f>HYPERLINK("https://open-school.uspishnemisto.com.ua/school/350489/", 350489)</f>
        <v>350489</v>
      </c>
      <c r="B6988" s="3" t="s">
        <v>36518</v>
      </c>
      <c r="C6988" s="3" t="s">
        <v>54</v>
      </c>
      <c r="D6988" s="3" t="s">
        <v>32</v>
      </c>
      <c r="E6988" s="4" t="s">
        <v>22</v>
      </c>
      <c r="F6988" s="4" t="s">
        <v>36519</v>
      </c>
      <c r="G6988" s="4" t="s">
        <v>36520</v>
      </c>
      <c r="H6988" s="3" t="s">
        <v>34363</v>
      </c>
      <c r="I6988" s="3" t="s">
        <v>36521</v>
      </c>
      <c r="J6988" s="3" t="s">
        <v>1999</v>
      </c>
      <c r="K6988" s="3" t="s">
        <v>36522</v>
      </c>
      <c r="L6988" s="3"/>
      <c r="M6988" s="4"/>
      <c r="N6988" s="3" t="s">
        <v>37</v>
      </c>
      <c r="O6988" s="3" t="s">
        <v>38</v>
      </c>
      <c r="P6988" s="5">
        <v>10</v>
      </c>
      <c r="Q6988" s="5">
        <v>118</v>
      </c>
      <c r="R6988" s="5">
        <v>11</v>
      </c>
      <c r="S6988" s="5">
        <v>109</v>
      </c>
    </row>
    <row r="6989" spans="1:19" ht="56" x14ac:dyDescent="0.15">
      <c r="A6989" s="2">
        <f>HYPERLINK("https://open-school.uspishnemisto.com.ua/school/350490/", 350490)</f>
        <v>350490</v>
      </c>
      <c r="B6989" s="3" t="s">
        <v>36523</v>
      </c>
      <c r="C6989" s="3" t="s">
        <v>54</v>
      </c>
      <c r="D6989" s="3" t="s">
        <v>175</v>
      </c>
      <c r="E6989" s="4" t="s">
        <v>22</v>
      </c>
      <c r="F6989" s="4" t="s">
        <v>36524</v>
      </c>
      <c r="G6989" s="4" t="s">
        <v>36525</v>
      </c>
      <c r="H6989" s="3" t="s">
        <v>34363</v>
      </c>
      <c r="I6989" s="3" t="s">
        <v>36526</v>
      </c>
      <c r="J6989" s="3" t="s">
        <v>4425</v>
      </c>
      <c r="K6989" s="3" t="s">
        <v>36527</v>
      </c>
      <c r="L6989" s="3" t="s">
        <v>36528</v>
      </c>
      <c r="M6989" s="4"/>
      <c r="N6989" s="3" t="s">
        <v>37</v>
      </c>
      <c r="O6989" s="3" t="s">
        <v>52</v>
      </c>
      <c r="P6989" s="5">
        <v>0</v>
      </c>
      <c r="Q6989" s="5">
        <v>0</v>
      </c>
      <c r="R6989" s="5">
        <v>9</v>
      </c>
      <c r="S6989" s="5">
        <v>45</v>
      </c>
    </row>
    <row r="6990" spans="1:19" ht="56" x14ac:dyDescent="0.15">
      <c r="A6990" s="2">
        <f>HYPERLINK("https://open-school.uspishnemisto.com.ua/school/350491/", 350491)</f>
        <v>350491</v>
      </c>
      <c r="B6990" s="3" t="s">
        <v>36529</v>
      </c>
      <c r="C6990" s="3" t="s">
        <v>54</v>
      </c>
      <c r="D6990" s="3" t="s">
        <v>32</v>
      </c>
      <c r="E6990" s="4" t="s">
        <v>22</v>
      </c>
      <c r="F6990" s="4" t="s">
        <v>36530</v>
      </c>
      <c r="G6990" s="4" t="s">
        <v>36531</v>
      </c>
      <c r="H6990" s="3" t="s">
        <v>34363</v>
      </c>
      <c r="I6990" s="3" t="s">
        <v>36532</v>
      </c>
      <c r="J6990" s="3" t="s">
        <v>31512</v>
      </c>
      <c r="K6990" s="3" t="s">
        <v>36533</v>
      </c>
      <c r="L6990" s="3"/>
      <c r="M6990" s="4" t="s">
        <v>36534</v>
      </c>
      <c r="N6990" s="3" t="s">
        <v>37</v>
      </c>
      <c r="O6990" s="3" t="s">
        <v>52</v>
      </c>
      <c r="P6990" s="5">
        <v>26</v>
      </c>
      <c r="Q6990" s="5">
        <v>472</v>
      </c>
      <c r="R6990" s="5">
        <v>21</v>
      </c>
      <c r="S6990" s="5">
        <v>438</v>
      </c>
    </row>
    <row r="6991" spans="1:19" ht="56" x14ac:dyDescent="0.15">
      <c r="A6991" s="2">
        <f>HYPERLINK("https://open-school.uspishnemisto.com.ua/school/350492/", 350492)</f>
        <v>350492</v>
      </c>
      <c r="B6991" s="3" t="s">
        <v>36535</v>
      </c>
      <c r="C6991" s="3" t="s">
        <v>54</v>
      </c>
      <c r="D6991" s="3" t="s">
        <v>32</v>
      </c>
      <c r="E6991" s="4" t="s">
        <v>22</v>
      </c>
      <c r="F6991" s="4" t="s">
        <v>36530</v>
      </c>
      <c r="G6991" s="4" t="s">
        <v>36531</v>
      </c>
      <c r="H6991" s="3" t="s">
        <v>34363</v>
      </c>
      <c r="I6991" s="3" t="s">
        <v>36532</v>
      </c>
      <c r="J6991" s="3" t="s">
        <v>36536</v>
      </c>
      <c r="K6991" s="3" t="s">
        <v>36537</v>
      </c>
      <c r="L6991" s="3"/>
      <c r="M6991" s="4" t="s">
        <v>36538</v>
      </c>
      <c r="N6991" s="3" t="s">
        <v>37</v>
      </c>
      <c r="O6991" s="3" t="s">
        <v>52</v>
      </c>
      <c r="P6991" s="5">
        <v>16</v>
      </c>
      <c r="Q6991" s="5">
        <v>309</v>
      </c>
      <c r="R6991" s="5">
        <v>14</v>
      </c>
      <c r="S6991" s="5">
        <v>282</v>
      </c>
    </row>
    <row r="6992" spans="1:19" ht="28" x14ac:dyDescent="0.15">
      <c r="A6992" s="2">
        <f>HYPERLINK("https://open-school.uspishnemisto.com.ua/school/350494/", 350494)</f>
        <v>350494</v>
      </c>
      <c r="B6992" s="3" t="s">
        <v>36539</v>
      </c>
      <c r="C6992" s="3" t="s">
        <v>31</v>
      </c>
      <c r="D6992" s="3" t="s">
        <v>32</v>
      </c>
      <c r="E6992" s="4" t="s">
        <v>22</v>
      </c>
      <c r="F6992" s="4" t="s">
        <v>36540</v>
      </c>
      <c r="G6992" s="4" t="s">
        <v>36541</v>
      </c>
      <c r="H6992" s="3" t="s">
        <v>34363</v>
      </c>
      <c r="I6992" s="3" t="s">
        <v>36542</v>
      </c>
      <c r="J6992" s="3" t="s">
        <v>36543</v>
      </c>
      <c r="K6992" s="3" t="s">
        <v>36544</v>
      </c>
      <c r="L6992" s="3"/>
      <c r="M6992" s="4" t="s">
        <v>36545</v>
      </c>
      <c r="N6992" s="3" t="s">
        <v>37</v>
      </c>
      <c r="O6992" s="3" t="s">
        <v>52</v>
      </c>
      <c r="P6992" s="5">
        <v>11</v>
      </c>
      <c r="Q6992" s="5">
        <v>118</v>
      </c>
      <c r="R6992" s="5">
        <v>11</v>
      </c>
      <c r="S6992" s="5">
        <v>110</v>
      </c>
    </row>
    <row r="6993" spans="1:19" ht="42" x14ac:dyDescent="0.15">
      <c r="A6993" s="2">
        <f>HYPERLINK("https://open-school.uspishnemisto.com.ua/school/350495/", 350495)</f>
        <v>350495</v>
      </c>
      <c r="B6993" s="3" t="s">
        <v>36546</v>
      </c>
      <c r="C6993" s="3" t="s">
        <v>54</v>
      </c>
      <c r="D6993" s="3" t="s">
        <v>32</v>
      </c>
      <c r="E6993" s="4" t="s">
        <v>22</v>
      </c>
      <c r="F6993" s="4" t="s">
        <v>36547</v>
      </c>
      <c r="G6993" s="4" t="s">
        <v>36548</v>
      </c>
      <c r="H6993" s="3" t="s">
        <v>34363</v>
      </c>
      <c r="I6993" s="3" t="s">
        <v>30168</v>
      </c>
      <c r="J6993" s="3" t="s">
        <v>1636</v>
      </c>
      <c r="K6993" s="3" t="s">
        <v>36549</v>
      </c>
      <c r="L6993" s="3"/>
      <c r="M6993" s="4" t="s">
        <v>36550</v>
      </c>
      <c r="N6993" s="3" t="s">
        <v>37</v>
      </c>
      <c r="O6993" s="3" t="s">
        <v>52</v>
      </c>
      <c r="P6993" s="5">
        <v>11</v>
      </c>
      <c r="Q6993" s="5">
        <v>133</v>
      </c>
      <c r="R6993" s="5">
        <v>11</v>
      </c>
      <c r="S6993" s="5">
        <v>130</v>
      </c>
    </row>
    <row r="6994" spans="1:19" ht="56" x14ac:dyDescent="0.15">
      <c r="A6994" s="2">
        <f>HYPERLINK("https://open-school.uspishnemisto.com.ua/school/350496/", 350496)</f>
        <v>350496</v>
      </c>
      <c r="B6994" s="3" t="s">
        <v>36551</v>
      </c>
      <c r="C6994" s="3" t="s">
        <v>54</v>
      </c>
      <c r="D6994" s="3" t="s">
        <v>32</v>
      </c>
      <c r="E6994" s="4" t="s">
        <v>22</v>
      </c>
      <c r="F6994" s="4" t="s">
        <v>36552</v>
      </c>
      <c r="G6994" s="4" t="s">
        <v>36553</v>
      </c>
      <c r="H6994" s="3" t="s">
        <v>34363</v>
      </c>
      <c r="I6994" s="3" t="s">
        <v>36554</v>
      </c>
      <c r="J6994" s="3" t="s">
        <v>297</v>
      </c>
      <c r="K6994" s="3" t="s">
        <v>36555</v>
      </c>
      <c r="L6994" s="3"/>
      <c r="M6994" s="4" t="s">
        <v>36556</v>
      </c>
      <c r="N6994" s="3" t="s">
        <v>37</v>
      </c>
      <c r="O6994" s="3" t="s">
        <v>52</v>
      </c>
      <c r="P6994" s="5">
        <v>10</v>
      </c>
      <c r="Q6994" s="5">
        <v>85</v>
      </c>
      <c r="R6994" s="5">
        <v>10</v>
      </c>
      <c r="S6994" s="5">
        <v>85</v>
      </c>
    </row>
    <row r="6995" spans="1:19" ht="28" x14ac:dyDescent="0.15">
      <c r="A6995" s="2">
        <f>HYPERLINK("https://open-school.uspishnemisto.com.ua/school/350497/", 350497)</f>
        <v>350497</v>
      </c>
      <c r="B6995" s="3" t="s">
        <v>36557</v>
      </c>
      <c r="C6995" s="3" t="s">
        <v>31</v>
      </c>
      <c r="D6995" s="3" t="s">
        <v>32</v>
      </c>
      <c r="E6995" s="4" t="s">
        <v>22</v>
      </c>
      <c r="F6995" s="4" t="s">
        <v>36558</v>
      </c>
      <c r="G6995" s="4" t="s">
        <v>36559</v>
      </c>
      <c r="H6995" s="3" t="s">
        <v>34363</v>
      </c>
      <c r="I6995" s="3" t="s">
        <v>1684</v>
      </c>
      <c r="J6995" s="3" t="s">
        <v>2417</v>
      </c>
      <c r="K6995" s="3" t="s">
        <v>36560</v>
      </c>
      <c r="L6995" s="3"/>
      <c r="M6995" s="4" t="s">
        <v>36561</v>
      </c>
      <c r="N6995" s="3" t="s">
        <v>37</v>
      </c>
      <c r="O6995" s="3" t="s">
        <v>46</v>
      </c>
      <c r="P6995" s="5">
        <v>11</v>
      </c>
      <c r="Q6995" s="5">
        <v>126</v>
      </c>
      <c r="R6995" s="5">
        <v>11</v>
      </c>
      <c r="S6995" s="5">
        <v>127</v>
      </c>
    </row>
    <row r="6996" spans="1:19" ht="28" x14ac:dyDescent="0.15">
      <c r="A6996" s="2">
        <f>HYPERLINK("https://open-school.uspishnemisto.com.ua/school/350498/", 350498)</f>
        <v>350498</v>
      </c>
      <c r="B6996" s="3" t="s">
        <v>36562</v>
      </c>
      <c r="C6996" s="3" t="s">
        <v>31</v>
      </c>
      <c r="D6996" s="3" t="s">
        <v>175</v>
      </c>
      <c r="E6996" s="4" t="s">
        <v>22</v>
      </c>
      <c r="F6996" s="4" t="s">
        <v>36563</v>
      </c>
      <c r="G6996" s="4" t="s">
        <v>36564</v>
      </c>
      <c r="H6996" s="3" t="s">
        <v>34363</v>
      </c>
      <c r="I6996" s="3" t="s">
        <v>16826</v>
      </c>
      <c r="J6996" s="3" t="s">
        <v>36565</v>
      </c>
      <c r="K6996" s="3" t="s">
        <v>36566</v>
      </c>
      <c r="L6996" s="3"/>
      <c r="M6996" s="4" t="s">
        <v>36567</v>
      </c>
      <c r="N6996" s="3" t="s">
        <v>37</v>
      </c>
      <c r="O6996" s="3" t="s">
        <v>52</v>
      </c>
      <c r="P6996" s="5">
        <v>9</v>
      </c>
      <c r="Q6996" s="5">
        <v>71</v>
      </c>
      <c r="R6996" s="5">
        <v>10</v>
      </c>
      <c r="S6996" s="5">
        <v>75</v>
      </c>
    </row>
    <row r="6997" spans="1:19" ht="28" x14ac:dyDescent="0.15">
      <c r="A6997" s="2">
        <f>HYPERLINK("https://open-school.uspishnemisto.com.ua/school/350499/", 350499)</f>
        <v>350499</v>
      </c>
      <c r="B6997" s="3" t="s">
        <v>36568</v>
      </c>
      <c r="C6997" s="3" t="s">
        <v>31</v>
      </c>
      <c r="D6997" s="3" t="s">
        <v>32</v>
      </c>
      <c r="E6997" s="4" t="s">
        <v>22</v>
      </c>
      <c r="F6997" s="4" t="s">
        <v>36569</v>
      </c>
      <c r="G6997" s="4" t="s">
        <v>36570</v>
      </c>
      <c r="H6997" s="3" t="s">
        <v>34363</v>
      </c>
      <c r="I6997" s="3" t="s">
        <v>36571</v>
      </c>
      <c r="J6997" s="3" t="s">
        <v>36572</v>
      </c>
      <c r="K6997" s="3" t="s">
        <v>36573</v>
      </c>
      <c r="L6997" s="3"/>
      <c r="M6997" s="4" t="s">
        <v>36574</v>
      </c>
      <c r="N6997" s="3" t="s">
        <v>37</v>
      </c>
      <c r="O6997" s="3" t="s">
        <v>52</v>
      </c>
      <c r="P6997" s="5">
        <v>11</v>
      </c>
      <c r="Q6997" s="5">
        <v>79</v>
      </c>
      <c r="R6997" s="5">
        <v>11</v>
      </c>
      <c r="S6997" s="5">
        <v>84</v>
      </c>
    </row>
    <row r="6998" spans="1:19" ht="28" x14ac:dyDescent="0.15">
      <c r="A6998" s="2">
        <f>HYPERLINK("https://open-school.uspishnemisto.com.ua/school/350500/", 350500)</f>
        <v>350500</v>
      </c>
      <c r="B6998" s="3" t="s">
        <v>36575</v>
      </c>
      <c r="C6998" s="3" t="s">
        <v>31</v>
      </c>
      <c r="D6998" s="3" t="s">
        <v>32</v>
      </c>
      <c r="E6998" s="4" t="s">
        <v>22</v>
      </c>
      <c r="F6998" s="4" t="s">
        <v>36576</v>
      </c>
      <c r="G6998" s="4" t="s">
        <v>36577</v>
      </c>
      <c r="H6998" s="3" t="s">
        <v>34363</v>
      </c>
      <c r="I6998" s="3" t="s">
        <v>36578</v>
      </c>
      <c r="J6998" s="3" t="s">
        <v>36579</v>
      </c>
      <c r="K6998" s="3" t="s">
        <v>36580</v>
      </c>
      <c r="L6998" s="3" t="s">
        <v>36581</v>
      </c>
      <c r="M6998" s="4" t="s">
        <v>36582</v>
      </c>
      <c r="N6998" s="3" t="s">
        <v>37</v>
      </c>
      <c r="O6998" s="3" t="s">
        <v>52</v>
      </c>
      <c r="P6998" s="5">
        <v>19</v>
      </c>
      <c r="Q6998" s="5">
        <v>153</v>
      </c>
      <c r="R6998" s="5">
        <v>11</v>
      </c>
      <c r="S6998" s="5">
        <v>116</v>
      </c>
    </row>
    <row r="6999" spans="1:19" ht="28" x14ac:dyDescent="0.15">
      <c r="A6999" s="2">
        <f>HYPERLINK("https://open-school.uspishnemisto.com.ua/school/350501/", 350501)</f>
        <v>350501</v>
      </c>
      <c r="B6999" s="3" t="s">
        <v>36583</v>
      </c>
      <c r="C6999" s="3" t="s">
        <v>31</v>
      </c>
      <c r="D6999" s="3" t="s">
        <v>32</v>
      </c>
      <c r="E6999" s="4" t="s">
        <v>22</v>
      </c>
      <c r="F6999" s="4" t="s">
        <v>36584</v>
      </c>
      <c r="G6999" s="4" t="s">
        <v>36585</v>
      </c>
      <c r="H6999" s="3" t="s">
        <v>34363</v>
      </c>
      <c r="I6999" s="3" t="s">
        <v>36586</v>
      </c>
      <c r="J6999" s="3" t="s">
        <v>36587</v>
      </c>
      <c r="K6999" s="3" t="s">
        <v>36588</v>
      </c>
      <c r="L6999" s="3"/>
      <c r="M6999" s="4" t="s">
        <v>36589</v>
      </c>
      <c r="N6999" s="3" t="s">
        <v>37</v>
      </c>
      <c r="O6999" s="3" t="s">
        <v>52</v>
      </c>
      <c r="P6999" s="5">
        <v>9</v>
      </c>
      <c r="Q6999" s="5">
        <v>67</v>
      </c>
      <c r="R6999" s="5">
        <v>11</v>
      </c>
      <c r="S6999" s="5">
        <v>79</v>
      </c>
    </row>
    <row r="7000" spans="1:19" ht="56" x14ac:dyDescent="0.15">
      <c r="A7000" s="2">
        <f>HYPERLINK("https://open-school.uspishnemisto.com.ua/school/350502/", 350502)</f>
        <v>350502</v>
      </c>
      <c r="B7000" s="3" t="s">
        <v>36590</v>
      </c>
      <c r="C7000" s="3" t="s">
        <v>54</v>
      </c>
      <c r="D7000" s="3" t="s">
        <v>175</v>
      </c>
      <c r="E7000" s="4" t="s">
        <v>22</v>
      </c>
      <c r="F7000" s="4" t="s">
        <v>36591</v>
      </c>
      <c r="G7000" s="4" t="s">
        <v>36592</v>
      </c>
      <c r="H7000" s="3" t="s">
        <v>34363</v>
      </c>
      <c r="I7000" s="3" t="s">
        <v>36593</v>
      </c>
      <c r="J7000" s="3" t="s">
        <v>36594</v>
      </c>
      <c r="K7000" s="3" t="s">
        <v>36595</v>
      </c>
      <c r="L7000" s="3"/>
      <c r="M7000" s="4"/>
      <c r="N7000" s="3" t="s">
        <v>37</v>
      </c>
      <c r="O7000" s="3" t="s">
        <v>52</v>
      </c>
      <c r="P7000" s="5">
        <v>5</v>
      </c>
      <c r="Q7000" s="5">
        <v>45</v>
      </c>
      <c r="R7000" s="5">
        <v>5</v>
      </c>
      <c r="S7000" s="5">
        <v>40</v>
      </c>
    </row>
    <row r="7001" spans="1:19" ht="28" x14ac:dyDescent="0.15">
      <c r="A7001" s="2">
        <f>HYPERLINK("https://open-school.uspishnemisto.com.ua/school/350503/", 350503)</f>
        <v>350503</v>
      </c>
      <c r="B7001" s="3" t="s">
        <v>36596</v>
      </c>
      <c r="C7001" s="3" t="s">
        <v>31</v>
      </c>
      <c r="D7001" s="3" t="s">
        <v>32</v>
      </c>
      <c r="E7001" s="4" t="s">
        <v>22</v>
      </c>
      <c r="F7001" s="4" t="s">
        <v>36597</v>
      </c>
      <c r="G7001" s="4" t="s">
        <v>36598</v>
      </c>
      <c r="H7001" s="3" t="s">
        <v>34363</v>
      </c>
      <c r="I7001" s="3" t="s">
        <v>2296</v>
      </c>
      <c r="J7001" s="3" t="s">
        <v>12466</v>
      </c>
      <c r="K7001" s="3" t="s">
        <v>36599</v>
      </c>
      <c r="L7001" s="3"/>
      <c r="M7001" s="4" t="s">
        <v>36600</v>
      </c>
      <c r="N7001" s="3" t="s">
        <v>37</v>
      </c>
      <c r="O7001" s="3" t="s">
        <v>52</v>
      </c>
      <c r="P7001" s="5">
        <v>11</v>
      </c>
      <c r="Q7001" s="5">
        <v>119</v>
      </c>
      <c r="R7001" s="5">
        <v>11</v>
      </c>
      <c r="S7001" s="5">
        <v>108</v>
      </c>
    </row>
    <row r="7002" spans="1:19" ht="42" x14ac:dyDescent="0.15">
      <c r="A7002" s="2">
        <f>HYPERLINK("https://open-school.uspishnemisto.com.ua/school/350504/", 350504)</f>
        <v>350504</v>
      </c>
      <c r="B7002" s="3" t="s">
        <v>36601</v>
      </c>
      <c r="C7002" s="3" t="s">
        <v>31</v>
      </c>
      <c r="D7002" s="3" t="s">
        <v>32</v>
      </c>
      <c r="E7002" s="4" t="s">
        <v>22</v>
      </c>
      <c r="F7002" s="4" t="s">
        <v>36602</v>
      </c>
      <c r="G7002" s="4" t="s">
        <v>36603</v>
      </c>
      <c r="H7002" s="3" t="s">
        <v>34363</v>
      </c>
      <c r="I7002" s="3" t="s">
        <v>36604</v>
      </c>
      <c r="J7002" s="3" t="s">
        <v>4702</v>
      </c>
      <c r="K7002" s="3" t="s">
        <v>36605</v>
      </c>
      <c r="L7002" s="3"/>
      <c r="M7002" s="4" t="s">
        <v>36606</v>
      </c>
      <c r="N7002" s="3" t="s">
        <v>37</v>
      </c>
      <c r="O7002" s="3" t="s">
        <v>52</v>
      </c>
      <c r="P7002" s="5">
        <v>11</v>
      </c>
      <c r="Q7002" s="5">
        <v>105</v>
      </c>
      <c r="R7002" s="5">
        <v>11</v>
      </c>
      <c r="S7002" s="5">
        <v>104</v>
      </c>
    </row>
    <row r="7003" spans="1:19" ht="28" x14ac:dyDescent="0.15">
      <c r="A7003" s="2">
        <f>HYPERLINK("https://open-school.uspishnemisto.com.ua/school/350505/", 350505)</f>
        <v>350505</v>
      </c>
      <c r="B7003" s="3" t="s">
        <v>36607</v>
      </c>
      <c r="C7003" s="3" t="s">
        <v>31</v>
      </c>
      <c r="D7003" s="3" t="s">
        <v>175</v>
      </c>
      <c r="E7003" s="4" t="s">
        <v>22</v>
      </c>
      <c r="F7003" s="4" t="s">
        <v>36608</v>
      </c>
      <c r="G7003" s="4" t="s">
        <v>36609</v>
      </c>
      <c r="H7003" s="3" t="s">
        <v>34363</v>
      </c>
      <c r="I7003" s="3" t="s">
        <v>36610</v>
      </c>
      <c r="J7003" s="3" t="s">
        <v>36611</v>
      </c>
      <c r="K7003" s="3" t="s">
        <v>36612</v>
      </c>
      <c r="L7003" s="3"/>
      <c r="M7003" s="4" t="s">
        <v>36613</v>
      </c>
      <c r="N7003" s="3" t="s">
        <v>37</v>
      </c>
      <c r="O7003" s="3" t="s">
        <v>52</v>
      </c>
      <c r="P7003" s="5">
        <v>9</v>
      </c>
      <c r="Q7003" s="5">
        <v>62</v>
      </c>
      <c r="R7003" s="5">
        <v>9</v>
      </c>
      <c r="S7003" s="5">
        <v>68</v>
      </c>
    </row>
    <row r="7004" spans="1:19" ht="28" x14ac:dyDescent="0.15">
      <c r="A7004" s="2">
        <f>HYPERLINK("https://open-school.uspishnemisto.com.ua/school/350506/", 350506)</f>
        <v>350506</v>
      </c>
      <c r="B7004" s="3" t="s">
        <v>36614</v>
      </c>
      <c r="C7004" s="3" t="s">
        <v>31</v>
      </c>
      <c r="D7004" s="3" t="s">
        <v>32</v>
      </c>
      <c r="E7004" s="4" t="s">
        <v>22</v>
      </c>
      <c r="F7004" s="4" t="s">
        <v>36615</v>
      </c>
      <c r="G7004" s="4" t="s">
        <v>36616</v>
      </c>
      <c r="H7004" s="3" t="s">
        <v>34363</v>
      </c>
      <c r="I7004" s="3" t="s">
        <v>36617</v>
      </c>
      <c r="J7004" s="3" t="s">
        <v>36618</v>
      </c>
      <c r="K7004" s="3" t="s">
        <v>36619</v>
      </c>
      <c r="L7004" s="3"/>
      <c r="M7004" s="4" t="s">
        <v>36620</v>
      </c>
      <c r="N7004" s="3" t="s">
        <v>37</v>
      </c>
      <c r="O7004" s="3" t="s">
        <v>52</v>
      </c>
      <c r="P7004" s="5">
        <v>11</v>
      </c>
      <c r="Q7004" s="5">
        <v>99</v>
      </c>
      <c r="R7004" s="5">
        <v>11</v>
      </c>
      <c r="S7004" s="5">
        <v>90</v>
      </c>
    </row>
    <row r="7005" spans="1:19" ht="28" x14ac:dyDescent="0.15">
      <c r="A7005" s="2">
        <f>HYPERLINK("https://open-school.uspishnemisto.com.ua/school/350508/", 350508)</f>
        <v>350508</v>
      </c>
      <c r="B7005" s="3" t="s">
        <v>36621</v>
      </c>
      <c r="C7005" s="3" t="s">
        <v>31</v>
      </c>
      <c r="D7005" s="3" t="s">
        <v>32</v>
      </c>
      <c r="E7005" s="4" t="s">
        <v>22</v>
      </c>
      <c r="F7005" s="4" t="s">
        <v>36622</v>
      </c>
      <c r="G7005" s="4" t="s">
        <v>36623</v>
      </c>
      <c r="H7005" s="3" t="s">
        <v>34363</v>
      </c>
      <c r="I7005" s="3" t="s">
        <v>36624</v>
      </c>
      <c r="J7005" s="3" t="s">
        <v>36625</v>
      </c>
      <c r="K7005" s="3" t="s">
        <v>36626</v>
      </c>
      <c r="L7005" s="3"/>
      <c r="M7005" s="4" t="s">
        <v>36627</v>
      </c>
      <c r="N7005" s="3" t="s">
        <v>37</v>
      </c>
      <c r="O7005" s="3" t="s">
        <v>52</v>
      </c>
      <c r="P7005" s="5">
        <v>10</v>
      </c>
      <c r="Q7005" s="5">
        <v>159</v>
      </c>
      <c r="R7005" s="5">
        <v>11</v>
      </c>
      <c r="S7005" s="5">
        <v>159</v>
      </c>
    </row>
    <row r="7006" spans="1:19" ht="28" x14ac:dyDescent="0.15">
      <c r="A7006" s="2">
        <f>HYPERLINK("https://open-school.uspishnemisto.com.ua/school/350509/", 350509)</f>
        <v>350509</v>
      </c>
      <c r="B7006" s="3" t="s">
        <v>36628</v>
      </c>
      <c r="C7006" s="3" t="s">
        <v>31</v>
      </c>
      <c r="D7006" s="3" t="s">
        <v>175</v>
      </c>
      <c r="E7006" s="4" t="s">
        <v>22</v>
      </c>
      <c r="F7006" s="4" t="s">
        <v>36629</v>
      </c>
      <c r="G7006" s="4" t="s">
        <v>36630</v>
      </c>
      <c r="H7006" s="3" t="s">
        <v>34363</v>
      </c>
      <c r="I7006" s="3" t="s">
        <v>36631</v>
      </c>
      <c r="J7006" s="3" t="s">
        <v>36632</v>
      </c>
      <c r="K7006" s="3" t="s">
        <v>36633</v>
      </c>
      <c r="L7006" s="3" t="s">
        <v>36634</v>
      </c>
      <c r="M7006" s="4" t="s">
        <v>36635</v>
      </c>
      <c r="N7006" s="3" t="s">
        <v>37</v>
      </c>
      <c r="O7006" s="3" t="s">
        <v>52</v>
      </c>
      <c r="P7006" s="5">
        <v>9</v>
      </c>
      <c r="Q7006" s="5">
        <v>61</v>
      </c>
      <c r="R7006" s="5">
        <v>10</v>
      </c>
      <c r="S7006" s="5">
        <v>64</v>
      </c>
    </row>
    <row r="7007" spans="1:19" ht="56" x14ac:dyDescent="0.15">
      <c r="A7007" s="2">
        <f>HYPERLINK("https://open-school.uspishnemisto.com.ua/school/350510/", 350510)</f>
        <v>350510</v>
      </c>
      <c r="B7007" s="3" t="s">
        <v>36636</v>
      </c>
      <c r="C7007" s="3" t="s">
        <v>31</v>
      </c>
      <c r="D7007" s="3" t="s">
        <v>175</v>
      </c>
      <c r="E7007" s="4" t="s">
        <v>22</v>
      </c>
      <c r="F7007" s="4" t="s">
        <v>36637</v>
      </c>
      <c r="G7007" s="4" t="s">
        <v>36638</v>
      </c>
      <c r="H7007" s="3" t="s">
        <v>34363</v>
      </c>
      <c r="I7007" s="3" t="s">
        <v>36639</v>
      </c>
      <c r="J7007" s="3" t="s">
        <v>36640</v>
      </c>
      <c r="K7007" s="3" t="s">
        <v>36641</v>
      </c>
      <c r="L7007" s="3"/>
      <c r="M7007" s="4"/>
      <c r="N7007" s="3" t="s">
        <v>37</v>
      </c>
      <c r="O7007" s="3" t="s">
        <v>52</v>
      </c>
      <c r="P7007" s="5">
        <v>0</v>
      </c>
      <c r="Q7007" s="5">
        <v>0</v>
      </c>
      <c r="R7007" s="5">
        <v>9</v>
      </c>
      <c r="S7007" s="5">
        <v>58</v>
      </c>
    </row>
    <row r="7008" spans="1:19" ht="42" x14ac:dyDescent="0.15">
      <c r="A7008" s="2">
        <f>HYPERLINK("https://open-school.uspishnemisto.com.ua/school/350511/", 350511)</f>
        <v>350511</v>
      </c>
      <c r="B7008" s="3" t="s">
        <v>36642</v>
      </c>
      <c r="C7008" s="3" t="s">
        <v>54</v>
      </c>
      <c r="D7008" s="3" t="s">
        <v>32</v>
      </c>
      <c r="E7008" s="4" t="s">
        <v>22</v>
      </c>
      <c r="F7008" s="4" t="s">
        <v>36637</v>
      </c>
      <c r="G7008" s="4" t="s">
        <v>36638</v>
      </c>
      <c r="H7008" s="3" t="s">
        <v>34363</v>
      </c>
      <c r="I7008" s="3" t="s">
        <v>36639</v>
      </c>
      <c r="J7008" s="3" t="s">
        <v>36643</v>
      </c>
      <c r="K7008" s="3"/>
      <c r="L7008" s="3"/>
      <c r="M7008" s="4"/>
      <c r="N7008" s="3" t="s">
        <v>37</v>
      </c>
      <c r="O7008" s="3" t="s">
        <v>46</v>
      </c>
      <c r="P7008" s="5">
        <v>32</v>
      </c>
      <c r="Q7008" s="5">
        <v>434</v>
      </c>
      <c r="R7008" s="5">
        <v>16</v>
      </c>
      <c r="S7008" s="5">
        <v>303</v>
      </c>
    </row>
    <row r="7009" spans="1:19" ht="42" x14ac:dyDescent="0.15">
      <c r="A7009" s="2">
        <f>HYPERLINK("https://open-school.uspishnemisto.com.ua/school/350512/", 350512)</f>
        <v>350512</v>
      </c>
      <c r="B7009" s="3" t="s">
        <v>36644</v>
      </c>
      <c r="C7009" s="3" t="s">
        <v>31</v>
      </c>
      <c r="D7009" s="3" t="s">
        <v>175</v>
      </c>
      <c r="E7009" s="4" t="s">
        <v>22</v>
      </c>
      <c r="F7009" s="4" t="s">
        <v>36645</v>
      </c>
      <c r="G7009" s="4" t="s">
        <v>36646</v>
      </c>
      <c r="H7009" s="3" t="s">
        <v>34363</v>
      </c>
      <c r="I7009" s="3" t="s">
        <v>1291</v>
      </c>
      <c r="J7009" s="3" t="s">
        <v>36647</v>
      </c>
      <c r="K7009" s="3"/>
      <c r="L7009" s="3"/>
      <c r="M7009" s="4"/>
      <c r="N7009" s="3" t="s">
        <v>37</v>
      </c>
      <c r="O7009" s="3" t="s">
        <v>618</v>
      </c>
      <c r="P7009" s="5">
        <v>4</v>
      </c>
      <c r="Q7009" s="5">
        <v>34</v>
      </c>
      <c r="R7009" s="5">
        <v>3</v>
      </c>
      <c r="S7009" s="5">
        <v>32</v>
      </c>
    </row>
    <row r="7010" spans="1:19" ht="84" x14ac:dyDescent="0.15">
      <c r="A7010" s="2">
        <f>HYPERLINK("https://open-school.uspishnemisto.com.ua/school/350513/", 350513)</f>
        <v>350513</v>
      </c>
      <c r="B7010" s="3" t="s">
        <v>36648</v>
      </c>
      <c r="C7010" s="3" t="s">
        <v>31</v>
      </c>
      <c r="D7010" s="3" t="s">
        <v>32</v>
      </c>
      <c r="E7010" s="4" t="s">
        <v>22</v>
      </c>
      <c r="F7010" s="4" t="s">
        <v>36649</v>
      </c>
      <c r="G7010" s="4" t="s">
        <v>36650</v>
      </c>
      <c r="H7010" s="3" t="s">
        <v>34363</v>
      </c>
      <c r="I7010" s="3" t="s">
        <v>725</v>
      </c>
      <c r="J7010" s="3" t="s">
        <v>12836</v>
      </c>
      <c r="K7010" s="3" t="s">
        <v>36651</v>
      </c>
      <c r="L7010" s="3"/>
      <c r="M7010" s="4"/>
      <c r="N7010" s="3" t="s">
        <v>37</v>
      </c>
      <c r="O7010" s="3" t="s">
        <v>618</v>
      </c>
      <c r="P7010" s="5">
        <v>0</v>
      </c>
      <c r="Q7010" s="5">
        <v>0</v>
      </c>
      <c r="R7010" s="5">
        <v>3</v>
      </c>
      <c r="S7010" s="5">
        <v>29</v>
      </c>
    </row>
    <row r="7011" spans="1:19" ht="42" x14ac:dyDescent="0.15">
      <c r="A7011" s="2">
        <f>HYPERLINK("https://open-school.uspishnemisto.com.ua/school/350514/", 350514)</f>
        <v>350514</v>
      </c>
      <c r="B7011" s="3" t="s">
        <v>36652</v>
      </c>
      <c r="C7011" s="3" t="s">
        <v>54</v>
      </c>
      <c r="D7011" s="3" t="s">
        <v>32</v>
      </c>
      <c r="E7011" s="4" t="s">
        <v>22</v>
      </c>
      <c r="F7011" s="4" t="s">
        <v>3027</v>
      </c>
      <c r="G7011" s="4" t="s">
        <v>36653</v>
      </c>
      <c r="H7011" s="3" t="s">
        <v>34363</v>
      </c>
      <c r="I7011" s="3" t="s">
        <v>36654</v>
      </c>
      <c r="J7011" s="3" t="s">
        <v>466</v>
      </c>
      <c r="K7011" s="3"/>
      <c r="L7011" s="3"/>
      <c r="M7011" s="4"/>
      <c r="N7011" s="3" t="s">
        <v>37</v>
      </c>
      <c r="O7011" s="3" t="s">
        <v>46</v>
      </c>
      <c r="P7011" s="5">
        <v>18</v>
      </c>
      <c r="Q7011" s="5">
        <v>157</v>
      </c>
      <c r="R7011" s="5">
        <v>11</v>
      </c>
      <c r="S7011" s="5">
        <v>128</v>
      </c>
    </row>
    <row r="7012" spans="1:19" ht="28" x14ac:dyDescent="0.15">
      <c r="A7012" s="2">
        <f>HYPERLINK("https://open-school.uspishnemisto.com.ua/school/350515/", 350515)</f>
        <v>350515</v>
      </c>
      <c r="B7012" s="3" t="s">
        <v>36655</v>
      </c>
      <c r="C7012" s="3" t="s">
        <v>31</v>
      </c>
      <c r="D7012" s="3" t="s">
        <v>32</v>
      </c>
      <c r="E7012" s="4" t="s">
        <v>22</v>
      </c>
      <c r="F7012" s="4" t="s">
        <v>36656</v>
      </c>
      <c r="G7012" s="4" t="s">
        <v>36657</v>
      </c>
      <c r="H7012" s="3" t="s">
        <v>34363</v>
      </c>
      <c r="I7012" s="3" t="s">
        <v>36658</v>
      </c>
      <c r="J7012" s="3" t="s">
        <v>36659</v>
      </c>
      <c r="K7012" s="3" t="s">
        <v>36660</v>
      </c>
      <c r="L7012" s="3"/>
      <c r="M7012" s="4"/>
      <c r="N7012" s="3" t="s">
        <v>37</v>
      </c>
      <c r="O7012" s="3" t="s">
        <v>618</v>
      </c>
      <c r="P7012" s="5">
        <v>10</v>
      </c>
      <c r="Q7012" s="5">
        <v>78</v>
      </c>
      <c r="R7012" s="5">
        <v>9</v>
      </c>
      <c r="S7012" s="5">
        <v>86</v>
      </c>
    </row>
    <row r="7013" spans="1:19" ht="56" x14ac:dyDescent="0.15">
      <c r="A7013" s="2">
        <f>HYPERLINK("https://open-school.uspishnemisto.com.ua/school/350516/", 350516)</f>
        <v>350516</v>
      </c>
      <c r="B7013" s="3" t="s">
        <v>36661</v>
      </c>
      <c r="C7013" s="3" t="s">
        <v>31</v>
      </c>
      <c r="D7013" s="3" t="s">
        <v>175</v>
      </c>
      <c r="E7013" s="4" t="s">
        <v>22</v>
      </c>
      <c r="F7013" s="4" t="s">
        <v>36662</v>
      </c>
      <c r="G7013" s="4" t="s">
        <v>36663</v>
      </c>
      <c r="H7013" s="3" t="s">
        <v>34363</v>
      </c>
      <c r="I7013" s="3" t="s">
        <v>36664</v>
      </c>
      <c r="J7013" s="3" t="s">
        <v>466</v>
      </c>
      <c r="K7013" s="3" t="s">
        <v>36665</v>
      </c>
      <c r="L7013" s="3"/>
      <c r="M7013" s="4"/>
      <c r="N7013" s="3" t="s">
        <v>37</v>
      </c>
      <c r="O7013" s="3" t="s">
        <v>618</v>
      </c>
      <c r="P7013" s="5">
        <v>0</v>
      </c>
      <c r="Q7013" s="5">
        <v>0</v>
      </c>
      <c r="R7013" s="5">
        <v>4</v>
      </c>
      <c r="S7013" s="5">
        <v>32</v>
      </c>
    </row>
    <row r="7014" spans="1:19" ht="42" x14ac:dyDescent="0.15">
      <c r="A7014" s="2">
        <f>HYPERLINK("https://open-school.uspishnemisto.com.ua/school/350517/", 350517)</f>
        <v>350517</v>
      </c>
      <c r="B7014" s="3" t="s">
        <v>36666</v>
      </c>
      <c r="C7014" s="3" t="s">
        <v>54</v>
      </c>
      <c r="D7014" s="3" t="s">
        <v>32</v>
      </c>
      <c r="E7014" s="4" t="s">
        <v>22</v>
      </c>
      <c r="F7014" s="4" t="s">
        <v>36667</v>
      </c>
      <c r="G7014" s="4" t="s">
        <v>36668</v>
      </c>
      <c r="H7014" s="3" t="s">
        <v>34363</v>
      </c>
      <c r="I7014" s="3" t="s">
        <v>36669</v>
      </c>
      <c r="J7014" s="3" t="s">
        <v>8254</v>
      </c>
      <c r="K7014" s="3"/>
      <c r="L7014" s="3"/>
      <c r="M7014" s="4"/>
      <c r="N7014" s="3" t="s">
        <v>37</v>
      </c>
      <c r="O7014" s="3" t="s">
        <v>46</v>
      </c>
      <c r="P7014" s="5">
        <v>17</v>
      </c>
      <c r="Q7014" s="5">
        <v>125</v>
      </c>
      <c r="R7014" s="5">
        <v>11</v>
      </c>
      <c r="S7014" s="5">
        <v>103</v>
      </c>
    </row>
    <row r="7015" spans="1:19" ht="56" x14ac:dyDescent="0.15">
      <c r="A7015" s="2">
        <f>HYPERLINK("https://open-school.uspishnemisto.com.ua/school/350518/", 350518)</f>
        <v>350518</v>
      </c>
      <c r="B7015" s="3" t="s">
        <v>36670</v>
      </c>
      <c r="C7015" s="3" t="s">
        <v>54</v>
      </c>
      <c r="D7015" s="3" t="s">
        <v>32</v>
      </c>
      <c r="E7015" s="4" t="s">
        <v>22</v>
      </c>
      <c r="F7015" s="4" t="s">
        <v>36671</v>
      </c>
      <c r="G7015" s="4" t="s">
        <v>36672</v>
      </c>
      <c r="H7015" s="3" t="s">
        <v>34363</v>
      </c>
      <c r="I7015" s="3" t="s">
        <v>36673</v>
      </c>
      <c r="J7015" s="3" t="s">
        <v>5632</v>
      </c>
      <c r="K7015" s="3"/>
      <c r="L7015" s="3"/>
      <c r="M7015" s="4"/>
      <c r="N7015" s="3" t="s">
        <v>37</v>
      </c>
      <c r="O7015" s="3" t="s">
        <v>52</v>
      </c>
      <c r="P7015" s="5">
        <v>11</v>
      </c>
      <c r="Q7015" s="5">
        <v>79</v>
      </c>
      <c r="R7015" s="5">
        <v>11</v>
      </c>
      <c r="S7015" s="5">
        <v>76</v>
      </c>
    </row>
    <row r="7016" spans="1:19" ht="42" x14ac:dyDescent="0.15">
      <c r="A7016" s="2">
        <f>HYPERLINK("https://open-school.uspishnemisto.com.ua/school/350519/", 350519)</f>
        <v>350519</v>
      </c>
      <c r="B7016" s="3" t="s">
        <v>36674</v>
      </c>
      <c r="C7016" s="3" t="s">
        <v>31</v>
      </c>
      <c r="D7016" s="3" t="s">
        <v>32</v>
      </c>
      <c r="E7016" s="4" t="s">
        <v>22</v>
      </c>
      <c r="F7016" s="4" t="s">
        <v>36675</v>
      </c>
      <c r="G7016" s="4" t="s">
        <v>36676</v>
      </c>
      <c r="H7016" s="3" t="s">
        <v>34363</v>
      </c>
      <c r="I7016" s="3" t="s">
        <v>7640</v>
      </c>
      <c r="J7016" s="3" t="s">
        <v>1636</v>
      </c>
      <c r="K7016" s="3"/>
      <c r="L7016" s="3"/>
      <c r="M7016" s="4"/>
      <c r="N7016" s="3" t="s">
        <v>37</v>
      </c>
      <c r="O7016" s="3" t="s">
        <v>618</v>
      </c>
      <c r="P7016" s="5">
        <v>11</v>
      </c>
      <c r="Q7016" s="5">
        <v>101</v>
      </c>
      <c r="R7016" s="5">
        <v>10</v>
      </c>
      <c r="S7016" s="5">
        <v>110</v>
      </c>
    </row>
    <row r="7017" spans="1:19" ht="42" x14ac:dyDescent="0.15">
      <c r="A7017" s="2">
        <f>HYPERLINK("https://open-school.uspishnemisto.com.ua/school/350520/", 350520)</f>
        <v>350520</v>
      </c>
      <c r="B7017" s="3" t="s">
        <v>36677</v>
      </c>
      <c r="C7017" s="3" t="s">
        <v>54</v>
      </c>
      <c r="D7017" s="3" t="s">
        <v>32</v>
      </c>
      <c r="E7017" s="4" t="s">
        <v>22</v>
      </c>
      <c r="F7017" s="4" t="s">
        <v>36678</v>
      </c>
      <c r="G7017" s="4" t="s">
        <v>36679</v>
      </c>
      <c r="H7017" s="3" t="s">
        <v>34363</v>
      </c>
      <c r="I7017" s="3" t="s">
        <v>36680</v>
      </c>
      <c r="J7017" s="3" t="s">
        <v>1636</v>
      </c>
      <c r="K7017" s="3"/>
      <c r="L7017" s="3" t="s">
        <v>36681</v>
      </c>
      <c r="M7017" s="4"/>
      <c r="N7017" s="3" t="s">
        <v>37</v>
      </c>
      <c r="O7017" s="3" t="s">
        <v>618</v>
      </c>
      <c r="P7017" s="5">
        <v>11</v>
      </c>
      <c r="Q7017" s="5">
        <v>109</v>
      </c>
      <c r="R7017" s="5">
        <v>11</v>
      </c>
      <c r="S7017" s="5">
        <v>110</v>
      </c>
    </row>
    <row r="7018" spans="1:19" ht="56" x14ac:dyDescent="0.15">
      <c r="A7018" s="2">
        <f>HYPERLINK("https://open-school.uspishnemisto.com.ua/school/350521/", 350521)</f>
        <v>350521</v>
      </c>
      <c r="B7018" s="3" t="s">
        <v>36682</v>
      </c>
      <c r="C7018" s="3" t="s">
        <v>31</v>
      </c>
      <c r="D7018" s="3" t="s">
        <v>175</v>
      </c>
      <c r="E7018" s="4" t="s">
        <v>22</v>
      </c>
      <c r="F7018" s="4" t="s">
        <v>36683</v>
      </c>
      <c r="G7018" s="4" t="s">
        <v>36684</v>
      </c>
      <c r="H7018" s="3" t="s">
        <v>34363</v>
      </c>
      <c r="I7018" s="3" t="s">
        <v>1033</v>
      </c>
      <c r="J7018" s="3" t="s">
        <v>36685</v>
      </c>
      <c r="K7018" s="3" t="s">
        <v>36686</v>
      </c>
      <c r="L7018" s="3" t="s">
        <v>36687</v>
      </c>
      <c r="M7018" s="4"/>
      <c r="N7018" s="3" t="s">
        <v>37</v>
      </c>
      <c r="O7018" s="3" t="s">
        <v>618</v>
      </c>
      <c r="P7018" s="5">
        <v>0</v>
      </c>
      <c r="Q7018" s="5">
        <v>0</v>
      </c>
      <c r="R7018" s="5">
        <v>7</v>
      </c>
      <c r="S7018" s="5">
        <v>53</v>
      </c>
    </row>
    <row r="7019" spans="1:19" ht="42" x14ac:dyDescent="0.15">
      <c r="A7019" s="2">
        <f>HYPERLINK("https://open-school.uspishnemisto.com.ua/school/440001/", 440001)</f>
        <v>440001</v>
      </c>
      <c r="B7019" s="3" t="s">
        <v>36688</v>
      </c>
      <c r="C7019" s="3" t="s">
        <v>244</v>
      </c>
      <c r="D7019" s="3" t="s">
        <v>32</v>
      </c>
      <c r="E7019" s="4" t="s">
        <v>22</v>
      </c>
      <c r="F7019" s="4" t="s">
        <v>36689</v>
      </c>
      <c r="G7019" s="4" t="s">
        <v>36690</v>
      </c>
      <c r="H7019" s="3" t="s">
        <v>36691</v>
      </c>
      <c r="I7019" s="3" t="s">
        <v>36692</v>
      </c>
      <c r="J7019" s="3" t="s">
        <v>792</v>
      </c>
      <c r="K7019" s="3" t="s">
        <v>36693</v>
      </c>
      <c r="L7019" s="3" t="s">
        <v>36694</v>
      </c>
      <c r="M7019" s="4"/>
      <c r="N7019" s="3" t="s">
        <v>128</v>
      </c>
      <c r="O7019" s="3" t="s">
        <v>197</v>
      </c>
      <c r="P7019" s="5">
        <v>43</v>
      </c>
      <c r="Q7019" s="5">
        <v>1035</v>
      </c>
      <c r="R7019" s="5">
        <v>42</v>
      </c>
      <c r="S7019" s="5">
        <v>1024</v>
      </c>
    </row>
    <row r="7020" spans="1:19" ht="42" x14ac:dyDescent="0.15">
      <c r="A7020" s="2">
        <f>HYPERLINK("https://open-school.uspishnemisto.com.ua/school/440002/", 440002)</f>
        <v>440002</v>
      </c>
      <c r="B7020" s="3" t="s">
        <v>36695</v>
      </c>
      <c r="C7020" s="3" t="s">
        <v>31</v>
      </c>
      <c r="D7020" s="3" t="s">
        <v>32</v>
      </c>
      <c r="E7020" s="4" t="s">
        <v>22</v>
      </c>
      <c r="F7020" s="4" t="s">
        <v>36696</v>
      </c>
      <c r="G7020" s="4" t="s">
        <v>36690</v>
      </c>
      <c r="H7020" s="3" t="s">
        <v>36691</v>
      </c>
      <c r="I7020" s="3" t="s">
        <v>36692</v>
      </c>
      <c r="J7020" s="3" t="s">
        <v>36697</v>
      </c>
      <c r="K7020" s="3"/>
      <c r="L7020" s="3"/>
      <c r="M7020" s="4"/>
      <c r="N7020" s="3" t="s">
        <v>128</v>
      </c>
      <c r="O7020" s="3" t="s">
        <v>70</v>
      </c>
      <c r="P7020" s="5">
        <v>18</v>
      </c>
      <c r="Q7020" s="5">
        <v>315</v>
      </c>
      <c r="R7020" s="5">
        <v>18</v>
      </c>
      <c r="S7020" s="5">
        <v>315</v>
      </c>
    </row>
    <row r="7021" spans="1:19" ht="42" x14ac:dyDescent="0.15">
      <c r="A7021" s="2">
        <f>HYPERLINK("https://open-school.uspishnemisto.com.ua/school/440003/", 440003)</f>
        <v>440003</v>
      </c>
      <c r="B7021" s="3" t="s">
        <v>36698</v>
      </c>
      <c r="C7021" s="3" t="s">
        <v>31</v>
      </c>
      <c r="D7021" s="3" t="s">
        <v>175</v>
      </c>
      <c r="E7021" s="4" t="s">
        <v>22</v>
      </c>
      <c r="F7021" s="4" t="s">
        <v>36699</v>
      </c>
      <c r="G7021" s="4" t="s">
        <v>36690</v>
      </c>
      <c r="H7021" s="3" t="s">
        <v>36691</v>
      </c>
      <c r="I7021" s="3" t="s">
        <v>36692</v>
      </c>
      <c r="J7021" s="3" t="s">
        <v>36700</v>
      </c>
      <c r="K7021" s="3"/>
      <c r="L7021" s="3"/>
      <c r="M7021" s="4"/>
      <c r="N7021" s="3" t="s">
        <v>128</v>
      </c>
      <c r="O7021" s="3" t="s">
        <v>70</v>
      </c>
      <c r="P7021" s="5">
        <v>11</v>
      </c>
      <c r="Q7021" s="5">
        <v>253</v>
      </c>
      <c r="R7021" s="5">
        <v>11</v>
      </c>
      <c r="S7021" s="5">
        <v>230</v>
      </c>
    </row>
    <row r="7022" spans="1:19" ht="42" x14ac:dyDescent="0.15">
      <c r="A7022" s="2">
        <f>HYPERLINK("https://open-school.uspishnemisto.com.ua/school/440004/", 440004)</f>
        <v>440004</v>
      </c>
      <c r="B7022" s="3" t="s">
        <v>36701</v>
      </c>
      <c r="C7022" s="3" t="s">
        <v>31</v>
      </c>
      <c r="D7022" s="3" t="s">
        <v>32</v>
      </c>
      <c r="E7022" s="4" t="s">
        <v>22</v>
      </c>
      <c r="F7022" s="4" t="s">
        <v>36702</v>
      </c>
      <c r="G7022" s="4" t="s">
        <v>36690</v>
      </c>
      <c r="H7022" s="3" t="s">
        <v>36691</v>
      </c>
      <c r="I7022" s="3" t="s">
        <v>36692</v>
      </c>
      <c r="J7022" s="3" t="s">
        <v>36703</v>
      </c>
      <c r="K7022" s="3" t="s">
        <v>36704</v>
      </c>
      <c r="L7022" s="3"/>
      <c r="M7022" s="4"/>
      <c r="N7022" s="3" t="s">
        <v>128</v>
      </c>
      <c r="O7022" s="3" t="s">
        <v>721</v>
      </c>
      <c r="P7022" s="5">
        <v>17</v>
      </c>
      <c r="Q7022" s="5">
        <v>372</v>
      </c>
      <c r="R7022" s="5">
        <v>19</v>
      </c>
      <c r="S7022" s="5">
        <v>396</v>
      </c>
    </row>
    <row r="7023" spans="1:19" ht="42" x14ac:dyDescent="0.15">
      <c r="A7023" s="2">
        <f>HYPERLINK("https://open-school.uspishnemisto.com.ua/school/440005/", 440005)</f>
        <v>440005</v>
      </c>
      <c r="B7023" s="3" t="s">
        <v>36705</v>
      </c>
      <c r="C7023" s="3" t="s">
        <v>244</v>
      </c>
      <c r="D7023" s="3" t="s">
        <v>32</v>
      </c>
      <c r="E7023" s="4" t="s">
        <v>22</v>
      </c>
      <c r="F7023" s="4" t="s">
        <v>36706</v>
      </c>
      <c r="G7023" s="4" t="s">
        <v>36690</v>
      </c>
      <c r="H7023" s="3" t="s">
        <v>36691</v>
      </c>
      <c r="I7023" s="3" t="s">
        <v>36692</v>
      </c>
      <c r="J7023" s="3" t="s">
        <v>36707</v>
      </c>
      <c r="K7023" s="3" t="s">
        <v>36708</v>
      </c>
      <c r="L7023" s="3"/>
      <c r="M7023" s="4"/>
      <c r="N7023" s="3" t="s">
        <v>128</v>
      </c>
      <c r="O7023" s="3" t="s">
        <v>70</v>
      </c>
      <c r="P7023" s="5">
        <v>29</v>
      </c>
      <c r="Q7023" s="5">
        <v>613</v>
      </c>
      <c r="R7023" s="5">
        <v>28</v>
      </c>
      <c r="S7023" s="5">
        <v>610</v>
      </c>
    </row>
    <row r="7024" spans="1:19" ht="42" x14ac:dyDescent="0.15">
      <c r="A7024" s="2">
        <f>HYPERLINK("https://open-school.uspishnemisto.com.ua/school/440006/", 440006)</f>
        <v>440006</v>
      </c>
      <c r="B7024" s="3" t="s">
        <v>36709</v>
      </c>
      <c r="C7024" s="3" t="s">
        <v>54</v>
      </c>
      <c r="D7024" s="3" t="s">
        <v>32</v>
      </c>
      <c r="E7024" s="4" t="s">
        <v>22</v>
      </c>
      <c r="F7024" s="4" t="s">
        <v>36710</v>
      </c>
      <c r="G7024" s="4" t="s">
        <v>36690</v>
      </c>
      <c r="H7024" s="3" t="s">
        <v>36691</v>
      </c>
      <c r="I7024" s="3" t="s">
        <v>36692</v>
      </c>
      <c r="J7024" s="3" t="s">
        <v>36711</v>
      </c>
      <c r="K7024" s="3"/>
      <c r="L7024" s="3" t="s">
        <v>36712</v>
      </c>
      <c r="M7024" s="4"/>
      <c r="N7024" s="3" t="s">
        <v>128</v>
      </c>
      <c r="O7024" s="3" t="s">
        <v>721</v>
      </c>
      <c r="P7024" s="5">
        <v>30</v>
      </c>
      <c r="Q7024" s="5">
        <v>691</v>
      </c>
      <c r="R7024" s="5">
        <v>30</v>
      </c>
      <c r="S7024" s="5">
        <v>709</v>
      </c>
    </row>
    <row r="7025" spans="1:19" ht="28" x14ac:dyDescent="0.15">
      <c r="A7025" s="2">
        <f>HYPERLINK("https://open-school.uspishnemisto.com.ua/school/440007/", 440007)</f>
        <v>440007</v>
      </c>
      <c r="B7025" s="3" t="s">
        <v>36713</v>
      </c>
      <c r="C7025" s="3" t="s">
        <v>40</v>
      </c>
      <c r="D7025" s="3" t="s">
        <v>32</v>
      </c>
      <c r="E7025" s="4" t="s">
        <v>22</v>
      </c>
      <c r="F7025" s="4" t="s">
        <v>36699</v>
      </c>
      <c r="G7025" s="4" t="s">
        <v>36690</v>
      </c>
      <c r="H7025" s="3" t="s">
        <v>36691</v>
      </c>
      <c r="I7025" s="3" t="s">
        <v>36692</v>
      </c>
      <c r="J7025" s="3" t="s">
        <v>36714</v>
      </c>
      <c r="K7025" s="3" t="s">
        <v>36715</v>
      </c>
      <c r="L7025" s="3" t="s">
        <v>36716</v>
      </c>
      <c r="M7025" s="4"/>
      <c r="N7025" s="3" t="s">
        <v>967</v>
      </c>
      <c r="O7025" s="3" t="s">
        <v>36717</v>
      </c>
      <c r="P7025" s="5">
        <v>16</v>
      </c>
      <c r="Q7025" s="5">
        <v>459</v>
      </c>
      <c r="R7025" s="5">
        <v>16</v>
      </c>
      <c r="S7025" s="5">
        <v>463</v>
      </c>
    </row>
    <row r="7026" spans="1:19" ht="28" x14ac:dyDescent="0.15">
      <c r="A7026" s="2">
        <f>HYPERLINK("https://open-school.uspishnemisto.com.ua/school/440008/", 440008)</f>
        <v>440008</v>
      </c>
      <c r="B7026" s="3" t="s">
        <v>36718</v>
      </c>
      <c r="C7026" s="3" t="s">
        <v>31</v>
      </c>
      <c r="D7026" s="3" t="s">
        <v>32</v>
      </c>
      <c r="E7026" s="4" t="s">
        <v>22</v>
      </c>
      <c r="F7026" s="4" t="s">
        <v>36689</v>
      </c>
      <c r="G7026" s="4" t="s">
        <v>36690</v>
      </c>
      <c r="H7026" s="3" t="s">
        <v>36691</v>
      </c>
      <c r="I7026" s="3" t="s">
        <v>36692</v>
      </c>
      <c r="J7026" s="3" t="s">
        <v>36719</v>
      </c>
      <c r="K7026" s="3" t="s">
        <v>36720</v>
      </c>
      <c r="L7026" s="3"/>
      <c r="M7026" s="4"/>
      <c r="N7026" s="3" t="s">
        <v>128</v>
      </c>
      <c r="O7026" s="3" t="s">
        <v>197</v>
      </c>
      <c r="P7026" s="5">
        <v>32</v>
      </c>
      <c r="Q7026" s="5">
        <v>758</v>
      </c>
      <c r="R7026" s="5">
        <v>33</v>
      </c>
      <c r="S7026" s="5">
        <v>718</v>
      </c>
    </row>
    <row r="7027" spans="1:19" ht="28" x14ac:dyDescent="0.15">
      <c r="A7027" s="2">
        <f>HYPERLINK("https://open-school.uspishnemisto.com.ua/school/440009/", 440009)</f>
        <v>440009</v>
      </c>
      <c r="B7027" s="3" t="s">
        <v>36721</v>
      </c>
      <c r="C7027" s="3" t="s">
        <v>31</v>
      </c>
      <c r="D7027" s="3" t="s">
        <v>175</v>
      </c>
      <c r="E7027" s="4" t="s">
        <v>22</v>
      </c>
      <c r="F7027" s="4" t="s">
        <v>36722</v>
      </c>
      <c r="G7027" s="4" t="s">
        <v>36690</v>
      </c>
      <c r="H7027" s="3" t="s">
        <v>36691</v>
      </c>
      <c r="I7027" s="3" t="s">
        <v>36692</v>
      </c>
      <c r="J7027" s="3" t="s">
        <v>36723</v>
      </c>
      <c r="K7027" s="3"/>
      <c r="L7027" s="3"/>
      <c r="M7027" s="4"/>
      <c r="N7027" s="3" t="s">
        <v>37</v>
      </c>
      <c r="O7027" s="3" t="s">
        <v>38</v>
      </c>
      <c r="P7027" s="5">
        <v>12</v>
      </c>
      <c r="Q7027" s="5">
        <v>245</v>
      </c>
      <c r="R7027" s="5">
        <v>11</v>
      </c>
      <c r="S7027" s="5">
        <v>215</v>
      </c>
    </row>
    <row r="7028" spans="1:19" ht="28" x14ac:dyDescent="0.15">
      <c r="A7028" s="2">
        <f>HYPERLINK("https://open-school.uspishnemisto.com.ua/school/440010/", 440010)</f>
        <v>440010</v>
      </c>
      <c r="B7028" s="3" t="s">
        <v>36724</v>
      </c>
      <c r="C7028" s="3" t="s">
        <v>31</v>
      </c>
      <c r="D7028" s="3" t="s">
        <v>175</v>
      </c>
      <c r="E7028" s="4" t="s">
        <v>22</v>
      </c>
      <c r="F7028" s="4" t="s">
        <v>36689</v>
      </c>
      <c r="G7028" s="4" t="s">
        <v>36690</v>
      </c>
      <c r="H7028" s="3" t="s">
        <v>36691</v>
      </c>
      <c r="I7028" s="3" t="s">
        <v>36692</v>
      </c>
      <c r="J7028" s="3" t="s">
        <v>36725</v>
      </c>
      <c r="K7028" s="3" t="s">
        <v>36726</v>
      </c>
      <c r="L7028" s="3" t="s">
        <v>36727</v>
      </c>
      <c r="M7028" s="4"/>
      <c r="N7028" s="3" t="s">
        <v>37</v>
      </c>
      <c r="O7028" s="3" t="s">
        <v>38</v>
      </c>
      <c r="P7028" s="5">
        <v>10</v>
      </c>
      <c r="Q7028" s="5">
        <v>194</v>
      </c>
      <c r="R7028" s="5">
        <v>10</v>
      </c>
      <c r="S7028" s="5">
        <v>193</v>
      </c>
    </row>
    <row r="7029" spans="1:19" ht="28" x14ac:dyDescent="0.15">
      <c r="A7029" s="2">
        <f>HYPERLINK("https://open-school.uspishnemisto.com.ua/school/440011/", 440011)</f>
        <v>440011</v>
      </c>
      <c r="B7029" s="3" t="s">
        <v>36728</v>
      </c>
      <c r="C7029" s="3" t="s">
        <v>31</v>
      </c>
      <c r="D7029" s="3" t="s">
        <v>32</v>
      </c>
      <c r="E7029" s="4" t="s">
        <v>22</v>
      </c>
      <c r="F7029" s="4" t="s">
        <v>36702</v>
      </c>
      <c r="G7029" s="4" t="s">
        <v>36690</v>
      </c>
      <c r="H7029" s="3" t="s">
        <v>36691</v>
      </c>
      <c r="I7029" s="3" t="s">
        <v>36692</v>
      </c>
      <c r="J7029" s="3" t="s">
        <v>36729</v>
      </c>
      <c r="K7029" s="3" t="s">
        <v>36730</v>
      </c>
      <c r="L7029" s="3" t="s">
        <v>36731</v>
      </c>
      <c r="M7029" s="4"/>
      <c r="N7029" s="3" t="s">
        <v>128</v>
      </c>
      <c r="O7029" s="3" t="s">
        <v>70</v>
      </c>
      <c r="P7029" s="5">
        <v>22</v>
      </c>
      <c r="Q7029" s="5">
        <v>409</v>
      </c>
      <c r="R7029" s="5">
        <v>22</v>
      </c>
      <c r="S7029" s="5">
        <v>405</v>
      </c>
    </row>
    <row r="7030" spans="1:19" ht="28" x14ac:dyDescent="0.15">
      <c r="A7030" s="2">
        <f>HYPERLINK("https://open-school.uspishnemisto.com.ua/school/440012/", 440012)</f>
        <v>440012</v>
      </c>
      <c r="B7030" s="3" t="s">
        <v>36732</v>
      </c>
      <c r="C7030" s="3" t="s">
        <v>31</v>
      </c>
      <c r="D7030" s="3" t="s">
        <v>32</v>
      </c>
      <c r="E7030" s="4" t="s">
        <v>22</v>
      </c>
      <c r="F7030" s="4" t="s">
        <v>36733</v>
      </c>
      <c r="G7030" s="4" t="s">
        <v>36690</v>
      </c>
      <c r="H7030" s="3" t="s">
        <v>36691</v>
      </c>
      <c r="I7030" s="3" t="s">
        <v>36692</v>
      </c>
      <c r="J7030" s="3" t="s">
        <v>36734</v>
      </c>
      <c r="K7030" s="3" t="s">
        <v>36735</v>
      </c>
      <c r="L7030" s="3" t="s">
        <v>36736</v>
      </c>
      <c r="M7030" s="4"/>
      <c r="N7030" s="3" t="s">
        <v>128</v>
      </c>
      <c r="O7030" s="3" t="s">
        <v>70</v>
      </c>
      <c r="P7030" s="5">
        <v>19</v>
      </c>
      <c r="Q7030" s="5">
        <v>422</v>
      </c>
      <c r="R7030" s="5">
        <v>20</v>
      </c>
      <c r="S7030" s="5">
        <v>412</v>
      </c>
    </row>
    <row r="7031" spans="1:19" ht="28" x14ac:dyDescent="0.15">
      <c r="A7031" s="2">
        <f>HYPERLINK("https://open-school.uspishnemisto.com.ua/school/440013/", 440013)</f>
        <v>440013</v>
      </c>
      <c r="B7031" s="3" t="s">
        <v>36737</v>
      </c>
      <c r="C7031" s="3" t="s">
        <v>31</v>
      </c>
      <c r="D7031" s="3" t="s">
        <v>32</v>
      </c>
      <c r="E7031" s="4" t="s">
        <v>22</v>
      </c>
      <c r="F7031" s="4" t="s">
        <v>36738</v>
      </c>
      <c r="G7031" s="4" t="s">
        <v>36690</v>
      </c>
      <c r="H7031" s="3" t="s">
        <v>36691</v>
      </c>
      <c r="I7031" s="3" t="s">
        <v>36692</v>
      </c>
      <c r="J7031" s="3" t="s">
        <v>36739</v>
      </c>
      <c r="K7031" s="3" t="s">
        <v>36740</v>
      </c>
      <c r="L7031" s="3"/>
      <c r="M7031" s="4"/>
      <c r="N7031" s="3" t="s">
        <v>128</v>
      </c>
      <c r="O7031" s="3" t="s">
        <v>70</v>
      </c>
      <c r="P7031" s="5">
        <v>14</v>
      </c>
      <c r="Q7031" s="5">
        <v>291</v>
      </c>
      <c r="R7031" s="5">
        <v>13</v>
      </c>
      <c r="S7031" s="5">
        <v>274</v>
      </c>
    </row>
    <row r="7032" spans="1:19" ht="28" x14ac:dyDescent="0.15">
      <c r="A7032" s="2">
        <f>HYPERLINK("https://open-school.uspishnemisto.com.ua/school/440014/", 440014)</f>
        <v>440014</v>
      </c>
      <c r="B7032" s="3" t="s">
        <v>36741</v>
      </c>
      <c r="C7032" s="3" t="s">
        <v>31</v>
      </c>
      <c r="D7032" s="3" t="s">
        <v>32</v>
      </c>
      <c r="E7032" s="4" t="s">
        <v>22</v>
      </c>
      <c r="F7032" s="4" t="s">
        <v>36699</v>
      </c>
      <c r="G7032" s="4" t="s">
        <v>36690</v>
      </c>
      <c r="H7032" s="3" t="s">
        <v>36691</v>
      </c>
      <c r="I7032" s="3" t="s">
        <v>36692</v>
      </c>
      <c r="J7032" s="3" t="s">
        <v>36742</v>
      </c>
      <c r="K7032" s="3" t="s">
        <v>36743</v>
      </c>
      <c r="L7032" s="3" t="s">
        <v>36744</v>
      </c>
      <c r="M7032" s="4"/>
      <c r="N7032" s="3" t="s">
        <v>128</v>
      </c>
      <c r="O7032" s="3" t="s">
        <v>721</v>
      </c>
      <c r="P7032" s="5">
        <v>16</v>
      </c>
      <c r="Q7032" s="5">
        <v>314</v>
      </c>
      <c r="R7032" s="5">
        <v>16</v>
      </c>
      <c r="S7032" s="5">
        <v>300</v>
      </c>
    </row>
    <row r="7033" spans="1:19" ht="56" x14ac:dyDescent="0.15">
      <c r="A7033" s="2">
        <f>HYPERLINK("https://open-school.uspishnemisto.com.ua/school/440015/", 440015)</f>
        <v>440015</v>
      </c>
      <c r="B7033" s="3" t="s">
        <v>36745</v>
      </c>
      <c r="C7033" s="3" t="s">
        <v>54</v>
      </c>
      <c r="D7033" s="3" t="s">
        <v>32</v>
      </c>
      <c r="E7033" s="4" t="s">
        <v>22</v>
      </c>
      <c r="F7033" s="4" t="s">
        <v>36738</v>
      </c>
      <c r="G7033" s="4" t="s">
        <v>36690</v>
      </c>
      <c r="H7033" s="3" t="s">
        <v>36691</v>
      </c>
      <c r="I7033" s="3" t="s">
        <v>36692</v>
      </c>
      <c r="J7033" s="3" t="s">
        <v>36746</v>
      </c>
      <c r="K7033" s="3" t="s">
        <v>36747</v>
      </c>
      <c r="L7033" s="3"/>
      <c r="M7033" s="4"/>
      <c r="N7033" s="3" t="s">
        <v>37</v>
      </c>
      <c r="O7033" s="3" t="s">
        <v>38</v>
      </c>
      <c r="P7033" s="5">
        <v>9</v>
      </c>
      <c r="Q7033" s="5">
        <v>163</v>
      </c>
      <c r="R7033" s="5">
        <v>9</v>
      </c>
      <c r="S7033" s="5">
        <v>162</v>
      </c>
    </row>
    <row r="7034" spans="1:19" ht="42" x14ac:dyDescent="0.15">
      <c r="A7034" s="2">
        <f>HYPERLINK("https://open-school.uspishnemisto.com.ua/school/440016/", 440016)</f>
        <v>440016</v>
      </c>
      <c r="B7034" s="3" t="s">
        <v>36748</v>
      </c>
      <c r="C7034" s="3" t="s">
        <v>31</v>
      </c>
      <c r="D7034" s="3" t="s">
        <v>32</v>
      </c>
      <c r="E7034" s="4" t="s">
        <v>22</v>
      </c>
      <c r="F7034" s="4" t="s">
        <v>36702</v>
      </c>
      <c r="G7034" s="4" t="s">
        <v>36690</v>
      </c>
      <c r="H7034" s="3" t="s">
        <v>36691</v>
      </c>
      <c r="I7034" s="3" t="s">
        <v>36692</v>
      </c>
      <c r="J7034" s="3" t="s">
        <v>36749</v>
      </c>
      <c r="K7034" s="3" t="s">
        <v>36750</v>
      </c>
      <c r="L7034" s="3" t="s">
        <v>36751</v>
      </c>
      <c r="M7034" s="4"/>
      <c r="N7034" s="3" t="s">
        <v>128</v>
      </c>
      <c r="O7034" s="3" t="s">
        <v>721</v>
      </c>
      <c r="P7034" s="5">
        <v>19</v>
      </c>
      <c r="Q7034" s="5">
        <v>431</v>
      </c>
      <c r="R7034" s="5">
        <v>19</v>
      </c>
      <c r="S7034" s="5">
        <v>434</v>
      </c>
    </row>
    <row r="7035" spans="1:19" ht="28" x14ac:dyDescent="0.15">
      <c r="A7035" s="2">
        <f>HYPERLINK("https://open-school.uspishnemisto.com.ua/school/440017/", 440017)</f>
        <v>440017</v>
      </c>
      <c r="B7035" s="3" t="s">
        <v>36752</v>
      </c>
      <c r="C7035" s="3" t="s">
        <v>188</v>
      </c>
      <c r="D7035" s="3" t="s">
        <v>32</v>
      </c>
      <c r="E7035" s="4" t="s">
        <v>22</v>
      </c>
      <c r="F7035" s="4" t="s">
        <v>36689</v>
      </c>
      <c r="G7035" s="4" t="s">
        <v>36690</v>
      </c>
      <c r="H7035" s="3" t="s">
        <v>36691</v>
      </c>
      <c r="I7035" s="3" t="s">
        <v>36692</v>
      </c>
      <c r="J7035" s="3" t="s">
        <v>36753</v>
      </c>
      <c r="K7035" s="3" t="s">
        <v>36754</v>
      </c>
      <c r="L7035" s="3" t="s">
        <v>36755</v>
      </c>
      <c r="M7035" s="4"/>
      <c r="N7035" s="3" t="s">
        <v>128</v>
      </c>
      <c r="O7035" s="3" t="s">
        <v>721</v>
      </c>
      <c r="P7035" s="5">
        <v>16</v>
      </c>
      <c r="Q7035" s="5">
        <v>331</v>
      </c>
      <c r="R7035" s="5">
        <v>16</v>
      </c>
      <c r="S7035" s="5">
        <v>320</v>
      </c>
    </row>
    <row r="7036" spans="1:19" ht="28" x14ac:dyDescent="0.15">
      <c r="A7036" s="2">
        <f>HYPERLINK("https://open-school.uspishnemisto.com.ua/school/440018/", 440018)</f>
        <v>440018</v>
      </c>
      <c r="B7036" s="3" t="s">
        <v>36756</v>
      </c>
      <c r="C7036" s="3" t="s">
        <v>31</v>
      </c>
      <c r="D7036" s="3" t="s">
        <v>32</v>
      </c>
      <c r="E7036" s="4" t="s">
        <v>22</v>
      </c>
      <c r="F7036" s="4" t="s">
        <v>36757</v>
      </c>
      <c r="G7036" s="4" t="s">
        <v>36758</v>
      </c>
      <c r="H7036" s="3" t="s">
        <v>36691</v>
      </c>
      <c r="I7036" s="3" t="s">
        <v>36759</v>
      </c>
      <c r="J7036" s="3" t="s">
        <v>36760</v>
      </c>
      <c r="K7036" s="3" t="s">
        <v>36761</v>
      </c>
      <c r="L7036" s="3"/>
      <c r="M7036" s="4"/>
      <c r="N7036" s="3" t="s">
        <v>128</v>
      </c>
      <c r="O7036" s="3" t="s">
        <v>721</v>
      </c>
      <c r="P7036" s="5">
        <v>14</v>
      </c>
      <c r="Q7036" s="5">
        <v>297</v>
      </c>
      <c r="R7036" s="5">
        <v>13</v>
      </c>
      <c r="S7036" s="5">
        <v>274</v>
      </c>
    </row>
    <row r="7037" spans="1:19" ht="28" x14ac:dyDescent="0.15">
      <c r="A7037" s="2">
        <f>HYPERLINK("https://open-school.uspishnemisto.com.ua/school/440019/", 440019)</f>
        <v>440019</v>
      </c>
      <c r="B7037" s="3" t="s">
        <v>36762</v>
      </c>
      <c r="C7037" s="3" t="s">
        <v>31</v>
      </c>
      <c r="D7037" s="3" t="s">
        <v>32</v>
      </c>
      <c r="E7037" s="4" t="s">
        <v>22</v>
      </c>
      <c r="F7037" s="4" t="s">
        <v>36757</v>
      </c>
      <c r="G7037" s="4" t="s">
        <v>36758</v>
      </c>
      <c r="H7037" s="3" t="s">
        <v>36691</v>
      </c>
      <c r="I7037" s="3" t="s">
        <v>36759</v>
      </c>
      <c r="J7037" s="3" t="s">
        <v>11612</v>
      </c>
      <c r="K7037" s="3" t="s">
        <v>36763</v>
      </c>
      <c r="L7037" s="3" t="s">
        <v>36764</v>
      </c>
      <c r="M7037" s="4"/>
      <c r="N7037" s="3" t="s">
        <v>128</v>
      </c>
      <c r="O7037" s="3" t="s">
        <v>721</v>
      </c>
      <c r="P7037" s="5">
        <v>11</v>
      </c>
      <c r="Q7037" s="5">
        <v>278</v>
      </c>
      <c r="R7037" s="5">
        <v>11</v>
      </c>
      <c r="S7037" s="5">
        <v>267</v>
      </c>
    </row>
    <row r="7038" spans="1:19" ht="42" x14ac:dyDescent="0.15">
      <c r="A7038" s="2">
        <f>HYPERLINK("https://open-school.uspishnemisto.com.ua/school/440020/", 440020)</f>
        <v>440020</v>
      </c>
      <c r="B7038" s="3" t="s">
        <v>36765</v>
      </c>
      <c r="C7038" s="3" t="s">
        <v>31</v>
      </c>
      <c r="D7038" s="3" t="s">
        <v>175</v>
      </c>
      <c r="E7038" s="4" t="s">
        <v>22</v>
      </c>
      <c r="F7038" s="4" t="s">
        <v>36766</v>
      </c>
      <c r="G7038" s="4" t="s">
        <v>36767</v>
      </c>
      <c r="H7038" s="3" t="s">
        <v>36691</v>
      </c>
      <c r="I7038" s="3" t="s">
        <v>16228</v>
      </c>
      <c r="J7038" s="3" t="s">
        <v>4822</v>
      </c>
      <c r="K7038" s="3" t="s">
        <v>36768</v>
      </c>
      <c r="L7038" s="3"/>
      <c r="M7038" s="4"/>
      <c r="N7038" s="3" t="s">
        <v>967</v>
      </c>
      <c r="O7038" s="3" t="s">
        <v>52</v>
      </c>
      <c r="P7038" s="5">
        <v>10</v>
      </c>
      <c r="Q7038" s="5">
        <v>230</v>
      </c>
      <c r="R7038" s="5">
        <v>10</v>
      </c>
      <c r="S7038" s="5">
        <v>225</v>
      </c>
    </row>
    <row r="7039" spans="1:19" ht="42" x14ac:dyDescent="0.15">
      <c r="A7039" s="2">
        <f>HYPERLINK("https://open-school.uspishnemisto.com.ua/school/440021/", 440021)</f>
        <v>440021</v>
      </c>
      <c r="B7039" s="3" t="s">
        <v>36769</v>
      </c>
      <c r="C7039" s="3" t="s">
        <v>31</v>
      </c>
      <c r="D7039" s="3" t="s">
        <v>32</v>
      </c>
      <c r="E7039" s="4" t="s">
        <v>22</v>
      </c>
      <c r="F7039" s="4" t="s">
        <v>36766</v>
      </c>
      <c r="G7039" s="4" t="s">
        <v>36767</v>
      </c>
      <c r="H7039" s="3" t="s">
        <v>36691</v>
      </c>
      <c r="I7039" s="3" t="s">
        <v>16228</v>
      </c>
      <c r="J7039" s="3" t="s">
        <v>36770</v>
      </c>
      <c r="K7039" s="3" t="s">
        <v>36771</v>
      </c>
      <c r="L7039" s="3"/>
      <c r="M7039" s="4"/>
      <c r="N7039" s="3" t="s">
        <v>128</v>
      </c>
      <c r="O7039" s="3" t="s">
        <v>38</v>
      </c>
      <c r="P7039" s="5">
        <v>12</v>
      </c>
      <c r="Q7039" s="5">
        <v>200</v>
      </c>
      <c r="R7039" s="5">
        <v>14</v>
      </c>
      <c r="S7039" s="5">
        <v>229</v>
      </c>
    </row>
    <row r="7040" spans="1:19" ht="28" x14ac:dyDescent="0.15">
      <c r="A7040" s="2">
        <f>HYPERLINK("https://open-school.uspishnemisto.com.ua/school/440022/", 440022)</f>
        <v>440022</v>
      </c>
      <c r="B7040" s="3" t="s">
        <v>36772</v>
      </c>
      <c r="C7040" s="3" t="s">
        <v>31</v>
      </c>
      <c r="D7040" s="3" t="s">
        <v>175</v>
      </c>
      <c r="E7040" s="4" t="s">
        <v>22</v>
      </c>
      <c r="F7040" s="4" t="s">
        <v>36773</v>
      </c>
      <c r="G7040" s="4" t="s">
        <v>36774</v>
      </c>
      <c r="H7040" s="3" t="s">
        <v>36691</v>
      </c>
      <c r="I7040" s="3" t="s">
        <v>36775</v>
      </c>
      <c r="J7040" s="3" t="s">
        <v>36776</v>
      </c>
      <c r="K7040" s="3"/>
      <c r="L7040" s="3"/>
      <c r="M7040" s="4"/>
      <c r="N7040" s="3" t="s">
        <v>37</v>
      </c>
      <c r="O7040" s="3" t="s">
        <v>38</v>
      </c>
      <c r="P7040" s="5">
        <v>6</v>
      </c>
      <c r="Q7040" s="5">
        <v>44</v>
      </c>
      <c r="R7040" s="5">
        <v>6</v>
      </c>
      <c r="S7040" s="5">
        <v>48</v>
      </c>
    </row>
    <row r="7041" spans="1:19" ht="28" x14ac:dyDescent="0.15">
      <c r="A7041" s="2">
        <f>HYPERLINK("https://open-school.uspishnemisto.com.ua/school/440023/", 440023)</f>
        <v>440023</v>
      </c>
      <c r="B7041" s="3" t="s">
        <v>36777</v>
      </c>
      <c r="C7041" s="3" t="s">
        <v>2634</v>
      </c>
      <c r="D7041" s="3" t="s">
        <v>32</v>
      </c>
      <c r="E7041" s="4" t="s">
        <v>22</v>
      </c>
      <c r="F7041" s="4" t="s">
        <v>36778</v>
      </c>
      <c r="G7041" s="4" t="s">
        <v>36779</v>
      </c>
      <c r="H7041" s="3" t="s">
        <v>36691</v>
      </c>
      <c r="I7041" s="3" t="s">
        <v>36780</v>
      </c>
      <c r="J7041" s="3" t="s">
        <v>36781</v>
      </c>
      <c r="K7041" s="3" t="s">
        <v>36782</v>
      </c>
      <c r="L7041" s="3" t="s">
        <v>36783</v>
      </c>
      <c r="M7041" s="4" t="s">
        <v>36784</v>
      </c>
      <c r="N7041" s="3" t="s">
        <v>37</v>
      </c>
      <c r="O7041" s="3" t="s">
        <v>38</v>
      </c>
      <c r="P7041" s="5">
        <v>11</v>
      </c>
      <c r="Q7041" s="5">
        <v>196</v>
      </c>
      <c r="R7041" s="5">
        <v>10</v>
      </c>
      <c r="S7041" s="5">
        <v>165</v>
      </c>
    </row>
    <row r="7042" spans="1:19" ht="28" x14ac:dyDescent="0.15">
      <c r="A7042" s="2">
        <f>HYPERLINK("https://open-school.uspishnemisto.com.ua/school/440024/", 440024)</f>
        <v>440024</v>
      </c>
      <c r="B7042" s="3" t="s">
        <v>36785</v>
      </c>
      <c r="C7042" s="3" t="s">
        <v>181</v>
      </c>
      <c r="D7042" s="3" t="s">
        <v>32</v>
      </c>
      <c r="E7042" s="4" t="s">
        <v>22</v>
      </c>
      <c r="F7042" s="4" t="s">
        <v>36778</v>
      </c>
      <c r="G7042" s="4" t="s">
        <v>36779</v>
      </c>
      <c r="H7042" s="3" t="s">
        <v>36691</v>
      </c>
      <c r="I7042" s="3" t="s">
        <v>36780</v>
      </c>
      <c r="J7042" s="3" t="s">
        <v>36786</v>
      </c>
      <c r="K7042" s="3" t="s">
        <v>36787</v>
      </c>
      <c r="L7042" s="3"/>
      <c r="M7042" s="4" t="s">
        <v>36788</v>
      </c>
      <c r="N7042" s="3" t="s">
        <v>37</v>
      </c>
      <c r="O7042" s="3" t="s">
        <v>52</v>
      </c>
      <c r="P7042" s="5">
        <v>16</v>
      </c>
      <c r="Q7042" s="5">
        <v>177</v>
      </c>
      <c r="R7042" s="5">
        <v>16</v>
      </c>
      <c r="S7042" s="5">
        <v>169</v>
      </c>
    </row>
    <row r="7043" spans="1:19" ht="56" x14ac:dyDescent="0.15">
      <c r="A7043" s="2">
        <f>HYPERLINK("https://open-school.uspishnemisto.com.ua/school/440025/", 440025)</f>
        <v>440025</v>
      </c>
      <c r="B7043" s="3" t="s">
        <v>36789</v>
      </c>
      <c r="C7043" s="3" t="s">
        <v>54</v>
      </c>
      <c r="D7043" s="3" t="s">
        <v>175</v>
      </c>
      <c r="E7043" s="4" t="s">
        <v>22</v>
      </c>
      <c r="F7043" s="4" t="s">
        <v>36790</v>
      </c>
      <c r="G7043" s="4" t="s">
        <v>36779</v>
      </c>
      <c r="H7043" s="3" t="s">
        <v>36691</v>
      </c>
      <c r="I7043" s="3" t="s">
        <v>36780</v>
      </c>
      <c r="J7043" s="3" t="s">
        <v>36791</v>
      </c>
      <c r="K7043" s="3" t="s">
        <v>36792</v>
      </c>
      <c r="L7043" s="3" t="s">
        <v>36793</v>
      </c>
      <c r="M7043" s="4"/>
      <c r="N7043" s="3" t="s">
        <v>37</v>
      </c>
      <c r="O7043" s="3" t="s">
        <v>38</v>
      </c>
      <c r="P7043" s="5">
        <v>9</v>
      </c>
      <c r="Q7043" s="5">
        <v>167</v>
      </c>
      <c r="R7043" s="5">
        <v>9</v>
      </c>
      <c r="S7043" s="5">
        <v>163</v>
      </c>
    </row>
    <row r="7044" spans="1:19" ht="28" x14ac:dyDescent="0.15">
      <c r="A7044" s="2">
        <f>HYPERLINK("https://open-school.uspishnemisto.com.ua/school/440026/", 440026)</f>
        <v>440026</v>
      </c>
      <c r="B7044" s="3" t="s">
        <v>36794</v>
      </c>
      <c r="C7044" s="3" t="s">
        <v>54</v>
      </c>
      <c r="D7044" s="3" t="s">
        <v>32</v>
      </c>
      <c r="E7044" s="4" t="s">
        <v>22</v>
      </c>
      <c r="F7044" s="4" t="s">
        <v>36778</v>
      </c>
      <c r="G7044" s="4" t="s">
        <v>36779</v>
      </c>
      <c r="H7044" s="3" t="s">
        <v>36691</v>
      </c>
      <c r="I7044" s="3" t="s">
        <v>36780</v>
      </c>
      <c r="J7044" s="3" t="s">
        <v>36795</v>
      </c>
      <c r="K7044" s="3" t="s">
        <v>36796</v>
      </c>
      <c r="L7044" s="3"/>
      <c r="M7044" s="4" t="s">
        <v>36797</v>
      </c>
      <c r="N7044" s="3" t="s">
        <v>128</v>
      </c>
      <c r="O7044" s="3" t="s">
        <v>38</v>
      </c>
      <c r="P7044" s="5">
        <v>17</v>
      </c>
      <c r="Q7044" s="5">
        <v>457</v>
      </c>
      <c r="R7044" s="5">
        <v>19</v>
      </c>
      <c r="S7044" s="5">
        <v>444</v>
      </c>
    </row>
    <row r="7045" spans="1:19" ht="28" x14ac:dyDescent="0.15">
      <c r="A7045" s="2">
        <f>HYPERLINK("https://open-school.uspishnemisto.com.ua/school/440027/", 440027)</f>
        <v>440027</v>
      </c>
      <c r="B7045" s="3" t="s">
        <v>36798</v>
      </c>
      <c r="C7045" s="3" t="s">
        <v>31</v>
      </c>
      <c r="D7045" s="3" t="s">
        <v>32</v>
      </c>
      <c r="E7045" s="4" t="s">
        <v>22</v>
      </c>
      <c r="F7045" s="4" t="s">
        <v>36799</v>
      </c>
      <c r="G7045" s="4" t="s">
        <v>36779</v>
      </c>
      <c r="H7045" s="3" t="s">
        <v>36691</v>
      </c>
      <c r="I7045" s="3" t="s">
        <v>36780</v>
      </c>
      <c r="J7045" s="3" t="s">
        <v>5971</v>
      </c>
      <c r="K7045" s="3" t="s">
        <v>36800</v>
      </c>
      <c r="L7045" s="3" t="s">
        <v>36801</v>
      </c>
      <c r="M7045" s="4"/>
      <c r="N7045" s="3" t="s">
        <v>128</v>
      </c>
      <c r="O7045" s="3" t="s">
        <v>38</v>
      </c>
      <c r="P7045" s="5">
        <v>19</v>
      </c>
      <c r="Q7045" s="5">
        <v>465</v>
      </c>
      <c r="R7045" s="5">
        <v>18</v>
      </c>
      <c r="S7045" s="5">
        <v>435</v>
      </c>
    </row>
    <row r="7046" spans="1:19" ht="28" x14ac:dyDescent="0.15">
      <c r="A7046" s="2">
        <f>HYPERLINK("https://open-school.uspishnemisto.com.ua/school/440028/", 440028)</f>
        <v>440028</v>
      </c>
      <c r="B7046" s="3" t="s">
        <v>36802</v>
      </c>
      <c r="C7046" s="3" t="s">
        <v>31</v>
      </c>
      <c r="D7046" s="3" t="s">
        <v>175</v>
      </c>
      <c r="E7046" s="4" t="s">
        <v>22</v>
      </c>
      <c r="F7046" s="4" t="s">
        <v>36803</v>
      </c>
      <c r="G7046" s="4" t="s">
        <v>36779</v>
      </c>
      <c r="H7046" s="3" t="s">
        <v>36691</v>
      </c>
      <c r="I7046" s="3" t="s">
        <v>36780</v>
      </c>
      <c r="J7046" s="3" t="s">
        <v>36804</v>
      </c>
      <c r="K7046" s="3" t="s">
        <v>36805</v>
      </c>
      <c r="L7046" s="3" t="s">
        <v>36806</v>
      </c>
      <c r="M7046" s="4"/>
      <c r="N7046" s="3" t="s">
        <v>37</v>
      </c>
      <c r="O7046" s="3" t="s">
        <v>38</v>
      </c>
      <c r="P7046" s="5">
        <v>9</v>
      </c>
      <c r="Q7046" s="5">
        <v>173</v>
      </c>
      <c r="R7046" s="5">
        <v>9</v>
      </c>
      <c r="S7046" s="5">
        <v>179</v>
      </c>
    </row>
    <row r="7047" spans="1:19" ht="28" x14ac:dyDescent="0.15">
      <c r="A7047" s="2">
        <f>HYPERLINK("https://open-school.uspishnemisto.com.ua/school/440029/", 440029)</f>
        <v>440029</v>
      </c>
      <c r="B7047" s="3" t="s">
        <v>36807</v>
      </c>
      <c r="C7047" s="3" t="s">
        <v>31</v>
      </c>
      <c r="D7047" s="3" t="s">
        <v>32</v>
      </c>
      <c r="E7047" s="4" t="s">
        <v>22</v>
      </c>
      <c r="F7047" s="4" t="s">
        <v>36778</v>
      </c>
      <c r="G7047" s="4" t="s">
        <v>36779</v>
      </c>
      <c r="H7047" s="3" t="s">
        <v>36691</v>
      </c>
      <c r="I7047" s="3" t="s">
        <v>36780</v>
      </c>
      <c r="J7047" s="3" t="s">
        <v>36808</v>
      </c>
      <c r="K7047" s="3" t="s">
        <v>36809</v>
      </c>
      <c r="L7047" s="3" t="s">
        <v>36810</v>
      </c>
      <c r="M7047" s="4"/>
      <c r="N7047" s="3" t="s">
        <v>128</v>
      </c>
      <c r="O7047" s="3" t="s">
        <v>38</v>
      </c>
      <c r="P7047" s="5">
        <v>15</v>
      </c>
      <c r="Q7047" s="5">
        <v>349</v>
      </c>
      <c r="R7047" s="5">
        <v>13</v>
      </c>
      <c r="S7047" s="5">
        <v>305</v>
      </c>
    </row>
    <row r="7048" spans="1:19" ht="28" x14ac:dyDescent="0.15">
      <c r="A7048" s="2">
        <f>HYPERLINK("https://open-school.uspishnemisto.com.ua/school/440030/", 440030)</f>
        <v>440030</v>
      </c>
      <c r="B7048" s="3" t="s">
        <v>36811</v>
      </c>
      <c r="C7048" s="3" t="s">
        <v>31</v>
      </c>
      <c r="D7048" s="3" t="s">
        <v>32</v>
      </c>
      <c r="E7048" s="4" t="s">
        <v>22</v>
      </c>
      <c r="F7048" s="4" t="s">
        <v>36799</v>
      </c>
      <c r="G7048" s="4" t="s">
        <v>36779</v>
      </c>
      <c r="H7048" s="3" t="s">
        <v>36691</v>
      </c>
      <c r="I7048" s="3" t="s">
        <v>36780</v>
      </c>
      <c r="J7048" s="3" t="s">
        <v>36812</v>
      </c>
      <c r="K7048" s="3" t="s">
        <v>36813</v>
      </c>
      <c r="L7048" s="3" t="s">
        <v>36814</v>
      </c>
      <c r="M7048" s="4"/>
      <c r="N7048" s="3" t="s">
        <v>128</v>
      </c>
      <c r="O7048" s="3" t="s">
        <v>38</v>
      </c>
      <c r="P7048" s="5">
        <v>22</v>
      </c>
      <c r="Q7048" s="5">
        <v>485</v>
      </c>
      <c r="R7048" s="5">
        <v>22</v>
      </c>
      <c r="S7048" s="5">
        <v>491</v>
      </c>
    </row>
    <row r="7049" spans="1:19" ht="28" x14ac:dyDescent="0.15">
      <c r="A7049" s="2">
        <f>HYPERLINK("https://open-school.uspishnemisto.com.ua/school/440031/", 440031)</f>
        <v>440031</v>
      </c>
      <c r="B7049" s="3" t="s">
        <v>36815</v>
      </c>
      <c r="C7049" s="3" t="s">
        <v>31</v>
      </c>
      <c r="D7049" s="3" t="s">
        <v>32</v>
      </c>
      <c r="E7049" s="4" t="s">
        <v>22</v>
      </c>
      <c r="F7049" s="4" t="s">
        <v>36816</v>
      </c>
      <c r="G7049" s="4" t="s">
        <v>36779</v>
      </c>
      <c r="H7049" s="3" t="s">
        <v>36691</v>
      </c>
      <c r="I7049" s="3" t="s">
        <v>36780</v>
      </c>
      <c r="J7049" s="3" t="s">
        <v>36817</v>
      </c>
      <c r="K7049" s="3" t="s">
        <v>36818</v>
      </c>
      <c r="L7049" s="3" t="s">
        <v>36819</v>
      </c>
      <c r="M7049" s="4"/>
      <c r="N7049" s="3" t="s">
        <v>37</v>
      </c>
      <c r="O7049" s="3" t="s">
        <v>38</v>
      </c>
      <c r="P7049" s="5">
        <v>12</v>
      </c>
      <c r="Q7049" s="5">
        <v>243</v>
      </c>
      <c r="R7049" s="5">
        <v>13</v>
      </c>
      <c r="S7049" s="5">
        <v>238</v>
      </c>
    </row>
    <row r="7050" spans="1:19" ht="28" x14ac:dyDescent="0.15">
      <c r="A7050" s="2">
        <f>HYPERLINK("https://open-school.uspishnemisto.com.ua/school/440032/", 440032)</f>
        <v>440032</v>
      </c>
      <c r="B7050" s="3" t="s">
        <v>36820</v>
      </c>
      <c r="C7050" s="3" t="s">
        <v>244</v>
      </c>
      <c r="D7050" s="3" t="s">
        <v>32</v>
      </c>
      <c r="E7050" s="4" t="s">
        <v>22</v>
      </c>
      <c r="F7050" s="4" t="s">
        <v>36821</v>
      </c>
      <c r="G7050" s="4" t="s">
        <v>36779</v>
      </c>
      <c r="H7050" s="3" t="s">
        <v>36691</v>
      </c>
      <c r="I7050" s="3" t="s">
        <v>36780</v>
      </c>
      <c r="J7050" s="3" t="s">
        <v>36822</v>
      </c>
      <c r="K7050" s="3" t="s">
        <v>36823</v>
      </c>
      <c r="L7050" s="3" t="s">
        <v>36824</v>
      </c>
      <c r="M7050" s="4"/>
      <c r="N7050" s="3" t="s">
        <v>128</v>
      </c>
      <c r="O7050" s="3" t="s">
        <v>721</v>
      </c>
      <c r="P7050" s="5">
        <v>22</v>
      </c>
      <c r="Q7050" s="5">
        <v>541</v>
      </c>
      <c r="R7050" s="5">
        <v>22</v>
      </c>
      <c r="S7050" s="5">
        <v>548</v>
      </c>
    </row>
    <row r="7051" spans="1:19" ht="28" x14ac:dyDescent="0.15">
      <c r="A7051" s="2">
        <f>HYPERLINK("https://open-school.uspishnemisto.com.ua/school/440033/", 440033)</f>
        <v>440033</v>
      </c>
      <c r="B7051" s="3" t="s">
        <v>36825</v>
      </c>
      <c r="C7051" s="3" t="s">
        <v>244</v>
      </c>
      <c r="D7051" s="3" t="s">
        <v>32</v>
      </c>
      <c r="E7051" s="4" t="s">
        <v>22</v>
      </c>
      <c r="F7051" s="4" t="s">
        <v>36799</v>
      </c>
      <c r="G7051" s="4" t="s">
        <v>36779</v>
      </c>
      <c r="H7051" s="3" t="s">
        <v>36691</v>
      </c>
      <c r="I7051" s="3" t="s">
        <v>36780</v>
      </c>
      <c r="J7051" s="3" t="s">
        <v>36826</v>
      </c>
      <c r="K7051" s="3" t="s">
        <v>36827</v>
      </c>
      <c r="L7051" s="3" t="s">
        <v>36828</v>
      </c>
      <c r="M7051" s="4"/>
      <c r="N7051" s="3" t="s">
        <v>128</v>
      </c>
      <c r="O7051" s="3" t="s">
        <v>38</v>
      </c>
      <c r="P7051" s="5">
        <v>21</v>
      </c>
      <c r="Q7051" s="5">
        <v>525</v>
      </c>
      <c r="R7051" s="5">
        <v>20</v>
      </c>
      <c r="S7051" s="5">
        <v>502</v>
      </c>
    </row>
    <row r="7052" spans="1:19" ht="28" x14ac:dyDescent="0.15">
      <c r="A7052" s="2">
        <f>HYPERLINK("https://open-school.uspishnemisto.com.ua/school/440034/", 440034)</f>
        <v>440034</v>
      </c>
      <c r="B7052" s="3" t="s">
        <v>36829</v>
      </c>
      <c r="C7052" s="3" t="s">
        <v>244</v>
      </c>
      <c r="D7052" s="3" t="s">
        <v>32</v>
      </c>
      <c r="E7052" s="4" t="s">
        <v>22</v>
      </c>
      <c r="F7052" s="4" t="s">
        <v>36830</v>
      </c>
      <c r="G7052" s="4" t="s">
        <v>36779</v>
      </c>
      <c r="H7052" s="3" t="s">
        <v>36691</v>
      </c>
      <c r="I7052" s="3" t="s">
        <v>36780</v>
      </c>
      <c r="J7052" s="3" t="s">
        <v>36831</v>
      </c>
      <c r="K7052" s="3" t="s">
        <v>36832</v>
      </c>
      <c r="L7052" s="3" t="s">
        <v>36833</v>
      </c>
      <c r="M7052" s="4"/>
      <c r="N7052" s="3" t="s">
        <v>128</v>
      </c>
      <c r="O7052" s="3" t="s">
        <v>70</v>
      </c>
      <c r="P7052" s="5">
        <v>33</v>
      </c>
      <c r="Q7052" s="5">
        <v>799</v>
      </c>
      <c r="R7052" s="5">
        <v>32</v>
      </c>
      <c r="S7052" s="5">
        <v>794</v>
      </c>
    </row>
    <row r="7053" spans="1:19" ht="28" x14ac:dyDescent="0.15">
      <c r="A7053" s="2">
        <f>HYPERLINK("https://open-school.uspishnemisto.com.ua/school/440035/", 440035)</f>
        <v>440035</v>
      </c>
      <c r="B7053" s="3" t="s">
        <v>36834</v>
      </c>
      <c r="C7053" s="3" t="s">
        <v>293</v>
      </c>
      <c r="D7053" s="3" t="s">
        <v>32</v>
      </c>
      <c r="E7053" s="4" t="s">
        <v>22</v>
      </c>
      <c r="F7053" s="4" t="s">
        <v>36835</v>
      </c>
      <c r="G7053" s="4" t="s">
        <v>36836</v>
      </c>
      <c r="H7053" s="3" t="s">
        <v>36691</v>
      </c>
      <c r="I7053" s="3" t="s">
        <v>36837</v>
      </c>
      <c r="J7053" s="3" t="s">
        <v>36838</v>
      </c>
      <c r="K7053" s="3" t="s">
        <v>36839</v>
      </c>
      <c r="L7053" s="3" t="s">
        <v>36840</v>
      </c>
      <c r="M7053" s="4" t="s">
        <v>36841</v>
      </c>
      <c r="N7053" s="3" t="s">
        <v>37</v>
      </c>
      <c r="O7053" s="3" t="s">
        <v>52</v>
      </c>
      <c r="P7053" s="5">
        <v>10</v>
      </c>
      <c r="Q7053" s="5">
        <v>90</v>
      </c>
      <c r="R7053" s="5">
        <v>7</v>
      </c>
      <c r="S7053" s="5">
        <v>64</v>
      </c>
    </row>
    <row r="7054" spans="1:19" ht="56" x14ac:dyDescent="0.15">
      <c r="A7054" s="2">
        <f>HYPERLINK("https://open-school.uspishnemisto.com.ua/school/440036/", 440036)</f>
        <v>440036</v>
      </c>
      <c r="B7054" s="3" t="s">
        <v>36842</v>
      </c>
      <c r="C7054" s="3" t="s">
        <v>54</v>
      </c>
      <c r="D7054" s="3" t="s">
        <v>175</v>
      </c>
      <c r="E7054" s="4" t="s">
        <v>22</v>
      </c>
      <c r="F7054" s="4" t="s">
        <v>36835</v>
      </c>
      <c r="G7054" s="4" t="s">
        <v>36836</v>
      </c>
      <c r="H7054" s="3" t="s">
        <v>36691</v>
      </c>
      <c r="I7054" s="3" t="s">
        <v>36837</v>
      </c>
      <c r="J7054" s="3" t="s">
        <v>33322</v>
      </c>
      <c r="K7054" s="3" t="s">
        <v>36843</v>
      </c>
      <c r="L7054" s="3"/>
      <c r="M7054" s="4"/>
      <c r="N7054" s="3" t="s">
        <v>967</v>
      </c>
      <c r="O7054" s="3" t="s">
        <v>2740</v>
      </c>
      <c r="P7054" s="5">
        <v>9</v>
      </c>
      <c r="Q7054" s="5">
        <v>206</v>
      </c>
      <c r="R7054" s="5">
        <v>9</v>
      </c>
      <c r="S7054" s="5">
        <v>198</v>
      </c>
    </row>
    <row r="7055" spans="1:19" ht="28" x14ac:dyDescent="0.15">
      <c r="A7055" s="2">
        <f>HYPERLINK("https://open-school.uspishnemisto.com.ua/school/440037/", 440037)</f>
        <v>440037</v>
      </c>
      <c r="B7055" s="3" t="s">
        <v>36844</v>
      </c>
      <c r="C7055" s="3" t="s">
        <v>31</v>
      </c>
      <c r="D7055" s="3" t="s">
        <v>32</v>
      </c>
      <c r="E7055" s="4" t="s">
        <v>22</v>
      </c>
      <c r="F7055" s="4" t="s">
        <v>36845</v>
      </c>
      <c r="G7055" s="4" t="s">
        <v>36836</v>
      </c>
      <c r="H7055" s="3" t="s">
        <v>36691</v>
      </c>
      <c r="I7055" s="3" t="s">
        <v>36837</v>
      </c>
      <c r="J7055" s="3" t="s">
        <v>36846</v>
      </c>
      <c r="K7055" s="3" t="s">
        <v>36847</v>
      </c>
      <c r="L7055" s="3"/>
      <c r="M7055" s="4"/>
      <c r="N7055" s="3" t="s">
        <v>37</v>
      </c>
      <c r="O7055" s="3" t="s">
        <v>38</v>
      </c>
      <c r="P7055" s="5">
        <v>19</v>
      </c>
      <c r="Q7055" s="5">
        <v>496</v>
      </c>
      <c r="R7055" s="5">
        <v>21</v>
      </c>
      <c r="S7055" s="5">
        <v>504</v>
      </c>
    </row>
    <row r="7056" spans="1:19" ht="28" x14ac:dyDescent="0.15">
      <c r="A7056" s="2">
        <f>HYPERLINK("https://open-school.uspishnemisto.com.ua/school/440038/", 440038)</f>
        <v>440038</v>
      </c>
      <c r="B7056" s="3" t="s">
        <v>36848</v>
      </c>
      <c r="C7056" s="3" t="s">
        <v>31</v>
      </c>
      <c r="D7056" s="3" t="s">
        <v>32</v>
      </c>
      <c r="E7056" s="4" t="s">
        <v>22</v>
      </c>
      <c r="F7056" s="4" t="s">
        <v>36835</v>
      </c>
      <c r="G7056" s="4" t="s">
        <v>36836</v>
      </c>
      <c r="H7056" s="3" t="s">
        <v>36691</v>
      </c>
      <c r="I7056" s="3" t="s">
        <v>36837</v>
      </c>
      <c r="J7056" s="3" t="s">
        <v>36849</v>
      </c>
      <c r="K7056" s="3" t="s">
        <v>36850</v>
      </c>
      <c r="L7056" s="3" t="s">
        <v>36851</v>
      </c>
      <c r="M7056" s="4"/>
      <c r="N7056" s="3" t="s">
        <v>967</v>
      </c>
      <c r="O7056" s="3" t="s">
        <v>52</v>
      </c>
      <c r="P7056" s="5">
        <v>19</v>
      </c>
      <c r="Q7056" s="5">
        <v>473</v>
      </c>
      <c r="R7056" s="5">
        <v>18</v>
      </c>
      <c r="S7056" s="5">
        <v>462</v>
      </c>
    </row>
    <row r="7057" spans="1:19" ht="28" x14ac:dyDescent="0.15">
      <c r="A7057" s="2">
        <f>HYPERLINK("https://open-school.uspishnemisto.com.ua/school/440039/", 440039)</f>
        <v>440039</v>
      </c>
      <c r="B7057" s="3" t="s">
        <v>36852</v>
      </c>
      <c r="C7057" s="3" t="s">
        <v>31</v>
      </c>
      <c r="D7057" s="3" t="s">
        <v>32</v>
      </c>
      <c r="E7057" s="4" t="s">
        <v>22</v>
      </c>
      <c r="F7057" s="4" t="s">
        <v>36853</v>
      </c>
      <c r="G7057" s="4" t="s">
        <v>36836</v>
      </c>
      <c r="H7057" s="3" t="s">
        <v>36691</v>
      </c>
      <c r="I7057" s="3" t="s">
        <v>36837</v>
      </c>
      <c r="J7057" s="3" t="s">
        <v>36854</v>
      </c>
      <c r="K7057" s="3" t="s">
        <v>36855</v>
      </c>
      <c r="L7057" s="3"/>
      <c r="M7057" s="4"/>
      <c r="N7057" s="3" t="s">
        <v>37</v>
      </c>
      <c r="O7057" s="3" t="s">
        <v>38</v>
      </c>
      <c r="P7057" s="5">
        <v>22</v>
      </c>
      <c r="Q7057" s="5">
        <v>545</v>
      </c>
      <c r="R7057" s="5">
        <v>21</v>
      </c>
      <c r="S7057" s="5">
        <v>529</v>
      </c>
    </row>
    <row r="7058" spans="1:19" ht="28" x14ac:dyDescent="0.15">
      <c r="A7058" s="2">
        <f>HYPERLINK("https://open-school.uspishnemisto.com.ua/school/440040/", 440040)</f>
        <v>440040</v>
      </c>
      <c r="B7058" s="3" t="s">
        <v>36856</v>
      </c>
      <c r="C7058" s="3" t="s">
        <v>31</v>
      </c>
      <c r="D7058" s="3" t="s">
        <v>32</v>
      </c>
      <c r="E7058" s="4" t="s">
        <v>22</v>
      </c>
      <c r="F7058" s="4" t="s">
        <v>36857</v>
      </c>
      <c r="G7058" s="4" t="s">
        <v>36836</v>
      </c>
      <c r="H7058" s="3" t="s">
        <v>36691</v>
      </c>
      <c r="I7058" s="3" t="s">
        <v>36837</v>
      </c>
      <c r="J7058" s="3" t="s">
        <v>36858</v>
      </c>
      <c r="K7058" s="3" t="s">
        <v>36859</v>
      </c>
      <c r="L7058" s="3"/>
      <c r="M7058" s="4"/>
      <c r="N7058" s="3" t="s">
        <v>967</v>
      </c>
      <c r="O7058" s="3" t="s">
        <v>46</v>
      </c>
      <c r="P7058" s="5">
        <v>29</v>
      </c>
      <c r="Q7058" s="5">
        <v>724</v>
      </c>
      <c r="R7058" s="5">
        <v>28</v>
      </c>
      <c r="S7058" s="5">
        <v>703</v>
      </c>
    </row>
    <row r="7059" spans="1:19" ht="42" x14ac:dyDescent="0.15">
      <c r="A7059" s="2">
        <f>HYPERLINK("https://open-school.uspishnemisto.com.ua/school/440041/", 440041)</f>
        <v>440041</v>
      </c>
      <c r="B7059" s="3" t="s">
        <v>36860</v>
      </c>
      <c r="C7059" s="3" t="s">
        <v>31</v>
      </c>
      <c r="D7059" s="3" t="s">
        <v>32</v>
      </c>
      <c r="E7059" s="4" t="s">
        <v>22</v>
      </c>
      <c r="F7059" s="4" t="s">
        <v>36835</v>
      </c>
      <c r="G7059" s="4" t="s">
        <v>36836</v>
      </c>
      <c r="H7059" s="3" t="s">
        <v>36691</v>
      </c>
      <c r="I7059" s="3" t="s">
        <v>36837</v>
      </c>
      <c r="J7059" s="3" t="s">
        <v>36861</v>
      </c>
      <c r="K7059" s="3" t="s">
        <v>36862</v>
      </c>
      <c r="L7059" s="3"/>
      <c r="M7059" s="4"/>
      <c r="N7059" s="3" t="s">
        <v>37</v>
      </c>
      <c r="O7059" s="3" t="s">
        <v>38</v>
      </c>
      <c r="P7059" s="5">
        <v>28</v>
      </c>
      <c r="Q7059" s="5">
        <v>712</v>
      </c>
      <c r="R7059" s="5">
        <v>27</v>
      </c>
      <c r="S7059" s="5">
        <v>688</v>
      </c>
    </row>
    <row r="7060" spans="1:19" ht="28" x14ac:dyDescent="0.15">
      <c r="A7060" s="2">
        <f>HYPERLINK("https://open-school.uspishnemisto.com.ua/school/440042/", 440042)</f>
        <v>440042</v>
      </c>
      <c r="B7060" s="3" t="s">
        <v>36863</v>
      </c>
      <c r="C7060" s="3" t="s">
        <v>31</v>
      </c>
      <c r="D7060" s="3" t="s">
        <v>32</v>
      </c>
      <c r="E7060" s="4" t="s">
        <v>22</v>
      </c>
      <c r="F7060" s="4" t="s">
        <v>36864</v>
      </c>
      <c r="G7060" s="4" t="s">
        <v>36836</v>
      </c>
      <c r="H7060" s="3" t="s">
        <v>36691</v>
      </c>
      <c r="I7060" s="3" t="s">
        <v>36837</v>
      </c>
      <c r="J7060" s="3" t="s">
        <v>36865</v>
      </c>
      <c r="K7060" s="3" t="s">
        <v>36866</v>
      </c>
      <c r="L7060" s="3"/>
      <c r="M7060" s="4"/>
      <c r="N7060" s="3" t="s">
        <v>967</v>
      </c>
      <c r="O7060" s="3" t="s">
        <v>2740</v>
      </c>
      <c r="P7060" s="5">
        <v>20</v>
      </c>
      <c r="Q7060" s="5">
        <v>496</v>
      </c>
      <c r="R7060" s="5">
        <v>19</v>
      </c>
      <c r="S7060" s="5">
        <v>452</v>
      </c>
    </row>
    <row r="7061" spans="1:19" ht="28" x14ac:dyDescent="0.15">
      <c r="A7061" s="2">
        <f>HYPERLINK("https://open-school.uspishnemisto.com.ua/school/440043/", 440043)</f>
        <v>440043</v>
      </c>
      <c r="B7061" s="3" t="s">
        <v>36867</v>
      </c>
      <c r="C7061" s="3" t="s">
        <v>31</v>
      </c>
      <c r="D7061" s="3" t="s">
        <v>32</v>
      </c>
      <c r="E7061" s="4" t="s">
        <v>22</v>
      </c>
      <c r="F7061" s="4" t="s">
        <v>36835</v>
      </c>
      <c r="G7061" s="4" t="s">
        <v>36836</v>
      </c>
      <c r="H7061" s="3" t="s">
        <v>36691</v>
      </c>
      <c r="I7061" s="3" t="s">
        <v>36837</v>
      </c>
      <c r="J7061" s="3" t="s">
        <v>36868</v>
      </c>
      <c r="K7061" s="3" t="s">
        <v>36869</v>
      </c>
      <c r="L7061" s="3"/>
      <c r="M7061" s="4"/>
      <c r="N7061" s="3" t="s">
        <v>37</v>
      </c>
      <c r="O7061" s="3" t="s">
        <v>38</v>
      </c>
      <c r="P7061" s="5">
        <v>9</v>
      </c>
      <c r="Q7061" s="5">
        <v>232</v>
      </c>
      <c r="R7061" s="5">
        <v>10</v>
      </c>
      <c r="S7061" s="5">
        <v>266</v>
      </c>
    </row>
    <row r="7062" spans="1:19" ht="28" x14ac:dyDescent="0.15">
      <c r="A7062" s="2">
        <f>HYPERLINK("https://open-school.uspishnemisto.com.ua/school/440044/", 440044)</f>
        <v>440044</v>
      </c>
      <c r="B7062" s="3" t="s">
        <v>36870</v>
      </c>
      <c r="C7062" s="3" t="s">
        <v>31</v>
      </c>
      <c r="D7062" s="3" t="s">
        <v>32</v>
      </c>
      <c r="E7062" s="4" t="s">
        <v>22</v>
      </c>
      <c r="F7062" s="4" t="s">
        <v>36871</v>
      </c>
      <c r="G7062" s="4" t="s">
        <v>36836</v>
      </c>
      <c r="H7062" s="3" t="s">
        <v>36691</v>
      </c>
      <c r="I7062" s="3" t="s">
        <v>36837</v>
      </c>
      <c r="J7062" s="3" t="s">
        <v>36872</v>
      </c>
      <c r="K7062" s="3" t="s">
        <v>36873</v>
      </c>
      <c r="L7062" s="3"/>
      <c r="M7062" s="4"/>
      <c r="N7062" s="3" t="s">
        <v>37</v>
      </c>
      <c r="O7062" s="3" t="s">
        <v>38</v>
      </c>
      <c r="P7062" s="5">
        <v>16</v>
      </c>
      <c r="Q7062" s="5">
        <v>384</v>
      </c>
      <c r="R7062" s="5">
        <v>16</v>
      </c>
      <c r="S7062" s="5">
        <v>378</v>
      </c>
    </row>
    <row r="7063" spans="1:19" ht="28" x14ac:dyDescent="0.15">
      <c r="A7063" s="2">
        <f>HYPERLINK("https://open-school.uspishnemisto.com.ua/school/440045/", 440045)</f>
        <v>440045</v>
      </c>
      <c r="B7063" s="3" t="s">
        <v>36874</v>
      </c>
      <c r="C7063" s="3" t="s">
        <v>31</v>
      </c>
      <c r="D7063" s="3" t="s">
        <v>32</v>
      </c>
      <c r="E7063" s="4" t="s">
        <v>22</v>
      </c>
      <c r="F7063" s="4" t="s">
        <v>36835</v>
      </c>
      <c r="G7063" s="4" t="s">
        <v>36836</v>
      </c>
      <c r="H7063" s="3" t="s">
        <v>36691</v>
      </c>
      <c r="I7063" s="3" t="s">
        <v>36837</v>
      </c>
      <c r="J7063" s="3" t="s">
        <v>36875</v>
      </c>
      <c r="K7063" s="3" t="s">
        <v>36876</v>
      </c>
      <c r="L7063" s="3" t="s">
        <v>36877</v>
      </c>
      <c r="M7063" s="4"/>
      <c r="N7063" s="3" t="s">
        <v>967</v>
      </c>
      <c r="O7063" s="3" t="s">
        <v>52</v>
      </c>
      <c r="P7063" s="5">
        <v>21</v>
      </c>
      <c r="Q7063" s="5">
        <v>590</v>
      </c>
      <c r="R7063" s="5">
        <v>21</v>
      </c>
      <c r="S7063" s="5">
        <v>560</v>
      </c>
    </row>
    <row r="7064" spans="1:19" ht="28" x14ac:dyDescent="0.15">
      <c r="A7064" s="2">
        <f>HYPERLINK("https://open-school.uspishnemisto.com.ua/school/440046/", 440046)</f>
        <v>440046</v>
      </c>
      <c r="B7064" s="3" t="s">
        <v>36878</v>
      </c>
      <c r="C7064" s="3" t="s">
        <v>31</v>
      </c>
      <c r="D7064" s="3" t="s">
        <v>32</v>
      </c>
      <c r="E7064" s="4" t="s">
        <v>22</v>
      </c>
      <c r="F7064" s="4"/>
      <c r="G7064" s="4" t="s">
        <v>36836</v>
      </c>
      <c r="H7064" s="3" t="s">
        <v>36691</v>
      </c>
      <c r="I7064" s="3" t="s">
        <v>36837</v>
      </c>
      <c r="J7064" s="3" t="s">
        <v>36879</v>
      </c>
      <c r="K7064" s="3" t="s">
        <v>36880</v>
      </c>
      <c r="L7064" s="3" t="s">
        <v>36881</v>
      </c>
      <c r="M7064" s="4"/>
      <c r="N7064" s="3" t="s">
        <v>37</v>
      </c>
      <c r="O7064" s="3" t="s">
        <v>38</v>
      </c>
      <c r="P7064" s="5">
        <v>11</v>
      </c>
      <c r="Q7064" s="5">
        <v>271</v>
      </c>
      <c r="R7064" s="5">
        <v>11</v>
      </c>
      <c r="S7064" s="5">
        <v>257</v>
      </c>
    </row>
    <row r="7065" spans="1:19" ht="28" x14ac:dyDescent="0.15">
      <c r="A7065" s="2">
        <f>HYPERLINK("https://open-school.uspishnemisto.com.ua/school/440047/", 440047)</f>
        <v>440047</v>
      </c>
      <c r="B7065" s="3" t="s">
        <v>36882</v>
      </c>
      <c r="C7065" s="3" t="s">
        <v>31</v>
      </c>
      <c r="D7065" s="3" t="s">
        <v>32</v>
      </c>
      <c r="E7065" s="4" t="s">
        <v>22</v>
      </c>
      <c r="F7065" s="4" t="s">
        <v>36845</v>
      </c>
      <c r="G7065" s="4" t="s">
        <v>36836</v>
      </c>
      <c r="H7065" s="3" t="s">
        <v>36691</v>
      </c>
      <c r="I7065" s="3" t="s">
        <v>36837</v>
      </c>
      <c r="J7065" s="3" t="s">
        <v>36883</v>
      </c>
      <c r="K7065" s="3" t="s">
        <v>36884</v>
      </c>
      <c r="L7065" s="3" t="s">
        <v>36885</v>
      </c>
      <c r="M7065" s="4"/>
      <c r="N7065" s="3" t="s">
        <v>128</v>
      </c>
      <c r="O7065" s="3" t="s">
        <v>38</v>
      </c>
      <c r="P7065" s="5">
        <v>12</v>
      </c>
      <c r="Q7065" s="5">
        <v>214</v>
      </c>
      <c r="R7065" s="5">
        <v>11</v>
      </c>
      <c r="S7065" s="5">
        <v>216</v>
      </c>
    </row>
    <row r="7066" spans="1:19" ht="28" x14ac:dyDescent="0.15">
      <c r="A7066" s="2">
        <f>HYPERLINK("https://open-school.uspishnemisto.com.ua/school/440048/", 440048)</f>
        <v>440048</v>
      </c>
      <c r="B7066" s="3" t="s">
        <v>36886</v>
      </c>
      <c r="C7066" s="3" t="s">
        <v>31</v>
      </c>
      <c r="D7066" s="3" t="s">
        <v>32</v>
      </c>
      <c r="E7066" s="4" t="s">
        <v>22</v>
      </c>
      <c r="F7066" s="4" t="s">
        <v>36835</v>
      </c>
      <c r="G7066" s="4" t="s">
        <v>36836</v>
      </c>
      <c r="H7066" s="3" t="s">
        <v>36691</v>
      </c>
      <c r="I7066" s="3" t="s">
        <v>36837</v>
      </c>
      <c r="J7066" s="3" t="s">
        <v>36887</v>
      </c>
      <c r="K7066" s="3" t="s">
        <v>36888</v>
      </c>
      <c r="L7066" s="3"/>
      <c r="M7066" s="4"/>
      <c r="N7066" s="3" t="s">
        <v>37</v>
      </c>
      <c r="O7066" s="3" t="s">
        <v>38</v>
      </c>
      <c r="P7066" s="5">
        <v>20</v>
      </c>
      <c r="Q7066" s="5">
        <v>497</v>
      </c>
      <c r="R7066" s="5">
        <v>20</v>
      </c>
      <c r="S7066" s="5">
        <v>490</v>
      </c>
    </row>
    <row r="7067" spans="1:19" ht="28" x14ac:dyDescent="0.15">
      <c r="A7067" s="2">
        <f>HYPERLINK("https://open-school.uspishnemisto.com.ua/school/440049/", 440049)</f>
        <v>440049</v>
      </c>
      <c r="B7067" s="3" t="s">
        <v>36889</v>
      </c>
      <c r="C7067" s="3" t="s">
        <v>31</v>
      </c>
      <c r="D7067" s="3" t="s">
        <v>32</v>
      </c>
      <c r="E7067" s="4" t="s">
        <v>22</v>
      </c>
      <c r="F7067" s="4" t="s">
        <v>36835</v>
      </c>
      <c r="G7067" s="4" t="s">
        <v>36836</v>
      </c>
      <c r="H7067" s="3" t="s">
        <v>36691</v>
      </c>
      <c r="I7067" s="3" t="s">
        <v>36837</v>
      </c>
      <c r="J7067" s="3" t="s">
        <v>36890</v>
      </c>
      <c r="K7067" s="3" t="s">
        <v>36891</v>
      </c>
      <c r="L7067" s="3"/>
      <c r="M7067" s="4"/>
      <c r="N7067" s="3" t="s">
        <v>37</v>
      </c>
      <c r="O7067" s="3" t="s">
        <v>38</v>
      </c>
      <c r="P7067" s="5">
        <v>14</v>
      </c>
      <c r="Q7067" s="5">
        <v>350</v>
      </c>
      <c r="R7067" s="5">
        <v>13</v>
      </c>
      <c r="S7067" s="5">
        <v>338</v>
      </c>
    </row>
    <row r="7068" spans="1:19" ht="42" x14ac:dyDescent="0.15">
      <c r="A7068" s="2">
        <f>HYPERLINK("https://open-school.uspishnemisto.com.ua/school/440050/", 440050)</f>
        <v>440050</v>
      </c>
      <c r="B7068" s="3" t="s">
        <v>36892</v>
      </c>
      <c r="C7068" s="3" t="s">
        <v>40</v>
      </c>
      <c r="D7068" s="3" t="s">
        <v>32</v>
      </c>
      <c r="E7068" s="4" t="s">
        <v>22</v>
      </c>
      <c r="F7068" s="4" t="s">
        <v>36871</v>
      </c>
      <c r="G7068" s="4" t="s">
        <v>36836</v>
      </c>
      <c r="H7068" s="3" t="s">
        <v>36691</v>
      </c>
      <c r="I7068" s="3" t="s">
        <v>36837</v>
      </c>
      <c r="J7068" s="3" t="s">
        <v>36893</v>
      </c>
      <c r="K7068" s="3" t="s">
        <v>36894</v>
      </c>
      <c r="L7068" s="3" t="s">
        <v>36895</v>
      </c>
      <c r="M7068" s="4"/>
      <c r="N7068" s="3" t="s">
        <v>37</v>
      </c>
      <c r="O7068" s="3" t="s">
        <v>38</v>
      </c>
      <c r="P7068" s="5">
        <v>16</v>
      </c>
      <c r="Q7068" s="5">
        <v>353</v>
      </c>
      <c r="R7068" s="5">
        <v>15</v>
      </c>
      <c r="S7068" s="5">
        <v>341</v>
      </c>
    </row>
    <row r="7069" spans="1:19" ht="28" x14ac:dyDescent="0.15">
      <c r="A7069" s="2">
        <f>HYPERLINK("https://open-school.uspishnemisto.com.ua/school/440051/", 440051)</f>
        <v>440051</v>
      </c>
      <c r="B7069" s="3" t="s">
        <v>36896</v>
      </c>
      <c r="C7069" s="3" t="s">
        <v>31</v>
      </c>
      <c r="D7069" s="3" t="s">
        <v>32</v>
      </c>
      <c r="E7069" s="4" t="s">
        <v>22</v>
      </c>
      <c r="F7069" s="4" t="s">
        <v>36845</v>
      </c>
      <c r="G7069" s="4" t="s">
        <v>36836</v>
      </c>
      <c r="H7069" s="3" t="s">
        <v>36691</v>
      </c>
      <c r="I7069" s="3" t="s">
        <v>36837</v>
      </c>
      <c r="J7069" s="3" t="s">
        <v>36897</v>
      </c>
      <c r="K7069" s="3" t="s">
        <v>36898</v>
      </c>
      <c r="L7069" s="3"/>
      <c r="M7069" s="4"/>
      <c r="N7069" s="3" t="s">
        <v>967</v>
      </c>
      <c r="O7069" s="3" t="s">
        <v>46</v>
      </c>
      <c r="P7069" s="5">
        <v>33</v>
      </c>
      <c r="Q7069" s="5">
        <v>879</v>
      </c>
      <c r="R7069" s="5">
        <v>31</v>
      </c>
      <c r="S7069" s="5">
        <v>852</v>
      </c>
    </row>
    <row r="7070" spans="1:19" ht="28" x14ac:dyDescent="0.15">
      <c r="A7070" s="2">
        <f>HYPERLINK("https://open-school.uspishnemisto.com.ua/school/440052/", 440052)</f>
        <v>440052</v>
      </c>
      <c r="B7070" s="3" t="s">
        <v>36899</v>
      </c>
      <c r="C7070" s="3" t="s">
        <v>188</v>
      </c>
      <c r="D7070" s="3" t="s">
        <v>32</v>
      </c>
      <c r="E7070" s="4" t="s">
        <v>22</v>
      </c>
      <c r="F7070" s="4" t="s">
        <v>36845</v>
      </c>
      <c r="G7070" s="4" t="s">
        <v>36836</v>
      </c>
      <c r="H7070" s="3" t="s">
        <v>36691</v>
      </c>
      <c r="I7070" s="3" t="s">
        <v>36837</v>
      </c>
      <c r="J7070" s="3" t="s">
        <v>36900</v>
      </c>
      <c r="K7070" s="3" t="s">
        <v>36901</v>
      </c>
      <c r="L7070" s="3" t="s">
        <v>36902</v>
      </c>
      <c r="M7070" s="4"/>
      <c r="N7070" s="3" t="s">
        <v>37</v>
      </c>
      <c r="O7070" s="3" t="s">
        <v>38</v>
      </c>
      <c r="P7070" s="5">
        <v>12</v>
      </c>
      <c r="Q7070" s="5">
        <v>320</v>
      </c>
      <c r="R7070" s="5">
        <v>12</v>
      </c>
      <c r="S7070" s="5">
        <v>318</v>
      </c>
    </row>
    <row r="7071" spans="1:19" ht="42" x14ac:dyDescent="0.15">
      <c r="A7071" s="2">
        <f>HYPERLINK("https://open-school.uspishnemisto.com.ua/school/440053/", 440053)</f>
        <v>440053</v>
      </c>
      <c r="B7071" s="3" t="s">
        <v>36903</v>
      </c>
      <c r="C7071" s="3" t="s">
        <v>7651</v>
      </c>
      <c r="D7071" s="3" t="s">
        <v>32</v>
      </c>
      <c r="E7071" s="4" t="s">
        <v>22</v>
      </c>
      <c r="F7071" s="4" t="s">
        <v>36835</v>
      </c>
      <c r="G7071" s="4" t="s">
        <v>36836</v>
      </c>
      <c r="H7071" s="3" t="s">
        <v>36691</v>
      </c>
      <c r="I7071" s="3" t="s">
        <v>36837</v>
      </c>
      <c r="J7071" s="3" t="s">
        <v>36904</v>
      </c>
      <c r="K7071" s="3" t="s">
        <v>36905</v>
      </c>
      <c r="L7071" s="3" t="s">
        <v>36906</v>
      </c>
      <c r="M7071" s="4"/>
      <c r="N7071" s="3"/>
      <c r="O7071" s="3"/>
      <c r="P7071" s="5">
        <v>0</v>
      </c>
      <c r="Q7071" s="5">
        <v>0</v>
      </c>
      <c r="R7071" s="5"/>
      <c r="S7071" s="5"/>
    </row>
    <row r="7072" spans="1:19" ht="56" x14ac:dyDescent="0.15">
      <c r="A7072" s="2">
        <f>HYPERLINK("https://open-school.uspishnemisto.com.ua/school/440054/", 440054)</f>
        <v>440054</v>
      </c>
      <c r="B7072" s="3" t="s">
        <v>36907</v>
      </c>
      <c r="C7072" s="3" t="s">
        <v>54</v>
      </c>
      <c r="D7072" s="3" t="s">
        <v>32</v>
      </c>
      <c r="E7072" s="4" t="s">
        <v>22</v>
      </c>
      <c r="F7072" s="4" t="s">
        <v>36835</v>
      </c>
      <c r="G7072" s="4" t="s">
        <v>36836</v>
      </c>
      <c r="H7072" s="3" t="s">
        <v>36691</v>
      </c>
      <c r="I7072" s="3" t="s">
        <v>36837</v>
      </c>
      <c r="J7072" s="3" t="s">
        <v>31539</v>
      </c>
      <c r="K7072" s="3" t="s">
        <v>36908</v>
      </c>
      <c r="L7072" s="3" t="s">
        <v>36909</v>
      </c>
      <c r="M7072" s="4"/>
      <c r="N7072" s="3" t="s">
        <v>37</v>
      </c>
      <c r="O7072" s="3" t="s">
        <v>197</v>
      </c>
      <c r="P7072" s="5">
        <v>32</v>
      </c>
      <c r="Q7072" s="5">
        <v>837</v>
      </c>
      <c r="R7072" s="5">
        <v>31</v>
      </c>
      <c r="S7072" s="5">
        <v>805</v>
      </c>
    </row>
    <row r="7073" spans="1:19" ht="42" x14ac:dyDescent="0.15">
      <c r="A7073" s="2">
        <f>HYPERLINK("https://open-school.uspishnemisto.com.ua/school/440055/", 440055)</f>
        <v>440055</v>
      </c>
      <c r="B7073" s="3" t="s">
        <v>36910</v>
      </c>
      <c r="C7073" s="3" t="s">
        <v>244</v>
      </c>
      <c r="D7073" s="3" t="s">
        <v>32</v>
      </c>
      <c r="E7073" s="4" t="s">
        <v>22</v>
      </c>
      <c r="F7073" s="4" t="s">
        <v>36911</v>
      </c>
      <c r="G7073" s="4" t="s">
        <v>36836</v>
      </c>
      <c r="H7073" s="3" t="s">
        <v>36691</v>
      </c>
      <c r="I7073" s="3" t="s">
        <v>36837</v>
      </c>
      <c r="J7073" s="3" t="s">
        <v>36912</v>
      </c>
      <c r="K7073" s="3" t="s">
        <v>36913</v>
      </c>
      <c r="L7073" s="3" t="s">
        <v>36914</v>
      </c>
      <c r="M7073" s="4"/>
      <c r="N7073" s="3" t="s">
        <v>37</v>
      </c>
      <c r="O7073" s="3" t="s">
        <v>197</v>
      </c>
      <c r="P7073" s="5">
        <v>24</v>
      </c>
      <c r="Q7073" s="5">
        <v>629</v>
      </c>
      <c r="R7073" s="5">
        <v>24</v>
      </c>
      <c r="S7073" s="5">
        <v>636</v>
      </c>
    </row>
    <row r="7074" spans="1:19" ht="56" x14ac:dyDescent="0.15">
      <c r="A7074" s="2">
        <f>HYPERLINK("https://open-school.uspishnemisto.com.ua/school/440056/", 440056)</f>
        <v>440056</v>
      </c>
      <c r="B7074" s="3" t="s">
        <v>36915</v>
      </c>
      <c r="C7074" s="3" t="s">
        <v>54</v>
      </c>
      <c r="D7074" s="3" t="s">
        <v>32</v>
      </c>
      <c r="E7074" s="4" t="s">
        <v>22</v>
      </c>
      <c r="F7074" s="4" t="s">
        <v>36916</v>
      </c>
      <c r="G7074" s="4" t="s">
        <v>36917</v>
      </c>
      <c r="H7074" s="3" t="s">
        <v>36691</v>
      </c>
      <c r="I7074" s="3" t="s">
        <v>36918</v>
      </c>
      <c r="J7074" s="3" t="s">
        <v>584</v>
      </c>
      <c r="K7074" s="3" t="s">
        <v>36919</v>
      </c>
      <c r="L7074" s="3"/>
      <c r="M7074" s="4"/>
      <c r="N7074" s="3" t="s">
        <v>967</v>
      </c>
      <c r="O7074" s="3" t="s">
        <v>52</v>
      </c>
      <c r="P7074" s="5">
        <v>14</v>
      </c>
      <c r="Q7074" s="5">
        <v>330</v>
      </c>
      <c r="R7074" s="5">
        <v>14</v>
      </c>
      <c r="S7074" s="5">
        <v>312</v>
      </c>
    </row>
    <row r="7075" spans="1:19" ht="28" x14ac:dyDescent="0.15">
      <c r="A7075" s="2">
        <f>HYPERLINK("https://open-school.uspishnemisto.com.ua/school/440057/", 440057)</f>
        <v>440057</v>
      </c>
      <c r="B7075" s="3" t="s">
        <v>36920</v>
      </c>
      <c r="C7075" s="3" t="s">
        <v>31</v>
      </c>
      <c r="D7075" s="3" t="s">
        <v>175</v>
      </c>
      <c r="E7075" s="4" t="s">
        <v>22</v>
      </c>
      <c r="F7075" s="4" t="s">
        <v>36921</v>
      </c>
      <c r="G7075" s="4" t="s">
        <v>36922</v>
      </c>
      <c r="H7075" s="3" t="s">
        <v>36691</v>
      </c>
      <c r="I7075" s="3" t="s">
        <v>36923</v>
      </c>
      <c r="J7075" s="3" t="s">
        <v>15190</v>
      </c>
      <c r="K7075" s="3" t="s">
        <v>36924</v>
      </c>
      <c r="L7075" s="3" t="s">
        <v>36925</v>
      </c>
      <c r="M7075" s="4"/>
      <c r="N7075" s="3" t="s">
        <v>967</v>
      </c>
      <c r="O7075" s="3" t="s">
        <v>52</v>
      </c>
      <c r="P7075" s="5">
        <v>9</v>
      </c>
      <c r="Q7075" s="5">
        <v>100</v>
      </c>
      <c r="R7075" s="5">
        <v>9</v>
      </c>
      <c r="S7075" s="5">
        <v>91</v>
      </c>
    </row>
    <row r="7076" spans="1:19" ht="28" x14ac:dyDescent="0.15">
      <c r="A7076" s="2">
        <f>HYPERLINK("https://open-school.uspishnemisto.com.ua/school/440058/", 440058)</f>
        <v>440058</v>
      </c>
      <c r="B7076" s="3" t="s">
        <v>36926</v>
      </c>
      <c r="C7076" s="3" t="s">
        <v>40</v>
      </c>
      <c r="D7076" s="3" t="s">
        <v>32</v>
      </c>
      <c r="E7076" s="4" t="s">
        <v>22</v>
      </c>
      <c r="F7076" s="4" t="s">
        <v>36927</v>
      </c>
      <c r="G7076" s="4" t="s">
        <v>36928</v>
      </c>
      <c r="H7076" s="3" t="s">
        <v>36691</v>
      </c>
      <c r="I7076" s="3" t="s">
        <v>36929</v>
      </c>
      <c r="J7076" s="3" t="s">
        <v>36930</v>
      </c>
      <c r="K7076" s="3" t="s">
        <v>36931</v>
      </c>
      <c r="L7076" s="3" t="s">
        <v>36932</v>
      </c>
      <c r="M7076" s="4"/>
      <c r="N7076" s="3" t="s">
        <v>128</v>
      </c>
      <c r="O7076" s="3" t="s">
        <v>70</v>
      </c>
      <c r="P7076" s="5">
        <v>30</v>
      </c>
      <c r="Q7076" s="5">
        <v>513</v>
      </c>
      <c r="R7076" s="5">
        <v>30</v>
      </c>
      <c r="S7076" s="5">
        <v>523</v>
      </c>
    </row>
    <row r="7077" spans="1:19" ht="28" x14ac:dyDescent="0.15">
      <c r="A7077" s="2">
        <f>HYPERLINK("https://open-school.uspishnemisto.com.ua/school/440059/", 440059)</f>
        <v>440059</v>
      </c>
      <c r="B7077" s="3" t="s">
        <v>36933</v>
      </c>
      <c r="C7077" s="3" t="s">
        <v>31</v>
      </c>
      <c r="D7077" s="3" t="s">
        <v>32</v>
      </c>
      <c r="E7077" s="4" t="s">
        <v>22</v>
      </c>
      <c r="F7077" s="4" t="s">
        <v>36934</v>
      </c>
      <c r="G7077" s="4" t="s">
        <v>36928</v>
      </c>
      <c r="H7077" s="3" t="s">
        <v>36691</v>
      </c>
      <c r="I7077" s="3" t="s">
        <v>36929</v>
      </c>
      <c r="J7077" s="3" t="s">
        <v>36935</v>
      </c>
      <c r="K7077" s="3" t="s">
        <v>36936</v>
      </c>
      <c r="L7077" s="3" t="s">
        <v>36937</v>
      </c>
      <c r="M7077" s="4"/>
      <c r="N7077" s="3" t="s">
        <v>128</v>
      </c>
      <c r="O7077" s="3" t="s">
        <v>70</v>
      </c>
      <c r="P7077" s="5">
        <v>29</v>
      </c>
      <c r="Q7077" s="5">
        <v>541</v>
      </c>
      <c r="R7077" s="5">
        <v>29</v>
      </c>
      <c r="S7077" s="5">
        <v>505</v>
      </c>
    </row>
    <row r="7078" spans="1:19" ht="28" x14ac:dyDescent="0.15">
      <c r="A7078" s="2">
        <f>HYPERLINK("https://open-school.uspishnemisto.com.ua/school/440060/", 440060)</f>
        <v>440060</v>
      </c>
      <c r="B7078" s="3" t="s">
        <v>36938</v>
      </c>
      <c r="C7078" s="3" t="s">
        <v>31</v>
      </c>
      <c r="D7078" s="3" t="s">
        <v>32</v>
      </c>
      <c r="E7078" s="4" t="s">
        <v>22</v>
      </c>
      <c r="F7078" s="4" t="s">
        <v>36939</v>
      </c>
      <c r="G7078" s="4" t="s">
        <v>36940</v>
      </c>
      <c r="H7078" s="3" t="s">
        <v>36691</v>
      </c>
      <c r="I7078" s="3" t="s">
        <v>36941</v>
      </c>
      <c r="J7078" s="3" t="s">
        <v>36942</v>
      </c>
      <c r="K7078" s="3" t="s">
        <v>36943</v>
      </c>
      <c r="L7078" s="3"/>
      <c r="M7078" s="4"/>
      <c r="N7078" s="3" t="s">
        <v>37</v>
      </c>
      <c r="O7078" s="3" t="s">
        <v>38</v>
      </c>
      <c r="P7078" s="5">
        <v>11</v>
      </c>
      <c r="Q7078" s="5">
        <v>142</v>
      </c>
      <c r="R7078" s="5">
        <v>11</v>
      </c>
      <c r="S7078" s="5">
        <v>142</v>
      </c>
    </row>
    <row r="7079" spans="1:19" ht="42" x14ac:dyDescent="0.15">
      <c r="A7079" s="2">
        <f>HYPERLINK("https://open-school.uspishnemisto.com.ua/school/440061/", 440061)</f>
        <v>440061</v>
      </c>
      <c r="B7079" s="3" t="s">
        <v>36944</v>
      </c>
      <c r="C7079" s="3" t="s">
        <v>54</v>
      </c>
      <c r="D7079" s="3" t="s">
        <v>175</v>
      </c>
      <c r="E7079" s="4" t="s">
        <v>22</v>
      </c>
      <c r="F7079" s="4" t="s">
        <v>36945</v>
      </c>
      <c r="G7079" s="4" t="s">
        <v>36946</v>
      </c>
      <c r="H7079" s="3" t="s">
        <v>36691</v>
      </c>
      <c r="I7079" s="3" t="s">
        <v>36947</v>
      </c>
      <c r="J7079" s="3" t="s">
        <v>36948</v>
      </c>
      <c r="K7079" s="3" t="s">
        <v>36949</v>
      </c>
      <c r="L7079" s="3"/>
      <c r="M7079" s="4"/>
      <c r="N7079" s="3" t="s">
        <v>37</v>
      </c>
      <c r="O7079" s="3" t="s">
        <v>38</v>
      </c>
      <c r="P7079" s="5">
        <v>7</v>
      </c>
      <c r="Q7079" s="5">
        <v>49</v>
      </c>
      <c r="R7079" s="5">
        <v>7</v>
      </c>
      <c r="S7079" s="5">
        <v>51</v>
      </c>
    </row>
    <row r="7080" spans="1:19" ht="28" x14ac:dyDescent="0.15">
      <c r="A7080" s="2">
        <f>HYPERLINK("https://open-school.uspishnemisto.com.ua/school/440062/", 440062)</f>
        <v>440062</v>
      </c>
      <c r="B7080" s="3" t="s">
        <v>36950</v>
      </c>
      <c r="C7080" s="3" t="s">
        <v>31</v>
      </c>
      <c r="D7080" s="3" t="s">
        <v>32</v>
      </c>
      <c r="E7080" s="4" t="s">
        <v>22</v>
      </c>
      <c r="F7080" s="4" t="s">
        <v>36951</v>
      </c>
      <c r="G7080" s="4" t="s">
        <v>36952</v>
      </c>
      <c r="H7080" s="3" t="s">
        <v>36691</v>
      </c>
      <c r="I7080" s="3" t="s">
        <v>2422</v>
      </c>
      <c r="J7080" s="3" t="s">
        <v>31741</v>
      </c>
      <c r="K7080" s="3" t="s">
        <v>36953</v>
      </c>
      <c r="L7080" s="3"/>
      <c r="M7080" s="4"/>
      <c r="N7080" s="3" t="s">
        <v>37</v>
      </c>
      <c r="O7080" s="3" t="s">
        <v>38</v>
      </c>
      <c r="P7080" s="5">
        <v>10</v>
      </c>
      <c r="Q7080" s="5">
        <v>108</v>
      </c>
      <c r="R7080" s="5">
        <v>10</v>
      </c>
      <c r="S7080" s="5">
        <v>106</v>
      </c>
    </row>
    <row r="7081" spans="1:19" ht="28" x14ac:dyDescent="0.15">
      <c r="A7081" s="2">
        <f>HYPERLINK("https://open-school.uspishnemisto.com.ua/school/440063/", 440063)</f>
        <v>440063</v>
      </c>
      <c r="B7081" s="3" t="s">
        <v>36954</v>
      </c>
      <c r="C7081" s="3" t="s">
        <v>31</v>
      </c>
      <c r="D7081" s="3" t="s">
        <v>32</v>
      </c>
      <c r="E7081" s="4" t="s">
        <v>22</v>
      </c>
      <c r="F7081" s="4" t="s">
        <v>36955</v>
      </c>
      <c r="G7081" s="4" t="s">
        <v>36956</v>
      </c>
      <c r="H7081" s="3" t="s">
        <v>36691</v>
      </c>
      <c r="I7081" s="3" t="s">
        <v>36957</v>
      </c>
      <c r="J7081" s="3" t="s">
        <v>36958</v>
      </c>
      <c r="K7081" s="3" t="s">
        <v>36959</v>
      </c>
      <c r="L7081" s="3"/>
      <c r="M7081" s="4"/>
      <c r="N7081" s="3" t="s">
        <v>37</v>
      </c>
      <c r="O7081" s="3" t="s">
        <v>38</v>
      </c>
      <c r="P7081" s="5">
        <v>13</v>
      </c>
      <c r="Q7081" s="5">
        <v>237</v>
      </c>
      <c r="R7081" s="5">
        <v>13</v>
      </c>
      <c r="S7081" s="5">
        <v>237</v>
      </c>
    </row>
    <row r="7082" spans="1:19" ht="42" x14ac:dyDescent="0.15">
      <c r="A7082" s="2">
        <f>HYPERLINK("https://open-school.uspishnemisto.com.ua/school/440064/", 440064)</f>
        <v>440064</v>
      </c>
      <c r="B7082" s="3" t="s">
        <v>36960</v>
      </c>
      <c r="C7082" s="3" t="s">
        <v>54</v>
      </c>
      <c r="D7082" s="3" t="s">
        <v>32</v>
      </c>
      <c r="E7082" s="4" t="s">
        <v>22</v>
      </c>
      <c r="F7082" s="4" t="s">
        <v>36961</v>
      </c>
      <c r="G7082" s="4" t="s">
        <v>36962</v>
      </c>
      <c r="H7082" s="3" t="s">
        <v>36691</v>
      </c>
      <c r="I7082" s="3" t="s">
        <v>36963</v>
      </c>
      <c r="J7082" s="3" t="s">
        <v>36964</v>
      </c>
      <c r="K7082" s="3" t="s">
        <v>36965</v>
      </c>
      <c r="L7082" s="3" t="s">
        <v>36966</v>
      </c>
      <c r="M7082" s="4"/>
      <c r="N7082" s="3" t="s">
        <v>37</v>
      </c>
      <c r="O7082" s="3" t="s">
        <v>112</v>
      </c>
      <c r="P7082" s="5">
        <v>9</v>
      </c>
      <c r="Q7082" s="5">
        <v>85</v>
      </c>
      <c r="R7082" s="5">
        <v>10</v>
      </c>
      <c r="S7082" s="5">
        <v>86</v>
      </c>
    </row>
    <row r="7083" spans="1:19" ht="42" x14ac:dyDescent="0.15">
      <c r="A7083" s="2">
        <f>HYPERLINK("https://open-school.uspishnemisto.com.ua/school/440066/", 440066)</f>
        <v>440066</v>
      </c>
      <c r="B7083" s="3" t="s">
        <v>36967</v>
      </c>
      <c r="C7083" s="3" t="s">
        <v>54</v>
      </c>
      <c r="D7083" s="3" t="s">
        <v>175</v>
      </c>
      <c r="E7083" s="4" t="s">
        <v>22</v>
      </c>
      <c r="F7083" s="4" t="s">
        <v>36968</v>
      </c>
      <c r="G7083" s="4" t="s">
        <v>36969</v>
      </c>
      <c r="H7083" s="3" t="s">
        <v>36691</v>
      </c>
      <c r="I7083" s="3" t="s">
        <v>36970</v>
      </c>
      <c r="J7083" s="3" t="s">
        <v>726</v>
      </c>
      <c r="K7083" s="3" t="s">
        <v>36971</v>
      </c>
      <c r="L7083" s="3"/>
      <c r="M7083" s="4"/>
      <c r="N7083" s="3" t="s">
        <v>37</v>
      </c>
      <c r="O7083" s="3" t="s">
        <v>38</v>
      </c>
      <c r="P7083" s="5">
        <v>7</v>
      </c>
      <c r="Q7083" s="5">
        <v>49</v>
      </c>
      <c r="R7083" s="5">
        <v>8</v>
      </c>
      <c r="S7083" s="5">
        <v>55</v>
      </c>
    </row>
    <row r="7084" spans="1:19" ht="28" x14ac:dyDescent="0.15">
      <c r="A7084" s="2">
        <f>HYPERLINK("https://open-school.uspishnemisto.com.ua/school/440067/", 440067)</f>
        <v>440067</v>
      </c>
      <c r="B7084" s="3" t="s">
        <v>36972</v>
      </c>
      <c r="C7084" s="3" t="s">
        <v>31</v>
      </c>
      <c r="D7084" s="3" t="s">
        <v>32</v>
      </c>
      <c r="E7084" s="4" t="s">
        <v>22</v>
      </c>
      <c r="F7084" s="4" t="s">
        <v>36973</v>
      </c>
      <c r="G7084" s="4" t="s">
        <v>36974</v>
      </c>
      <c r="H7084" s="3" t="s">
        <v>36691</v>
      </c>
      <c r="I7084" s="3" t="s">
        <v>32306</v>
      </c>
      <c r="J7084" s="3" t="s">
        <v>34124</v>
      </c>
      <c r="K7084" s="3" t="s">
        <v>36975</v>
      </c>
      <c r="L7084" s="3"/>
      <c r="M7084" s="4"/>
      <c r="N7084" s="3" t="s">
        <v>37</v>
      </c>
      <c r="O7084" s="3" t="s">
        <v>70</v>
      </c>
      <c r="P7084" s="5">
        <v>11</v>
      </c>
      <c r="Q7084" s="5">
        <v>104</v>
      </c>
      <c r="R7084" s="5">
        <v>11</v>
      </c>
      <c r="S7084" s="5">
        <v>110</v>
      </c>
    </row>
    <row r="7085" spans="1:19" ht="28" x14ac:dyDescent="0.15">
      <c r="A7085" s="2">
        <f>HYPERLINK("https://open-school.uspishnemisto.com.ua/school/440068/", 440068)</f>
        <v>440068</v>
      </c>
      <c r="B7085" s="3" t="s">
        <v>36976</v>
      </c>
      <c r="C7085" s="3" t="s">
        <v>31</v>
      </c>
      <c r="D7085" s="3" t="s">
        <v>32</v>
      </c>
      <c r="E7085" s="4" t="s">
        <v>22</v>
      </c>
      <c r="F7085" s="4" t="s">
        <v>36977</v>
      </c>
      <c r="G7085" s="4" t="s">
        <v>36978</v>
      </c>
      <c r="H7085" s="3" t="s">
        <v>36691</v>
      </c>
      <c r="I7085" s="3" t="s">
        <v>11267</v>
      </c>
      <c r="J7085" s="3" t="s">
        <v>36979</v>
      </c>
      <c r="K7085" s="3" t="s">
        <v>36980</v>
      </c>
      <c r="L7085" s="3"/>
      <c r="M7085" s="4"/>
      <c r="N7085" s="3" t="s">
        <v>967</v>
      </c>
      <c r="O7085" s="3" t="s">
        <v>52</v>
      </c>
      <c r="P7085" s="5">
        <v>6</v>
      </c>
      <c r="Q7085" s="5">
        <v>63</v>
      </c>
      <c r="R7085" s="5">
        <v>7</v>
      </c>
      <c r="S7085" s="5">
        <v>75</v>
      </c>
    </row>
    <row r="7086" spans="1:19" ht="28" x14ac:dyDescent="0.15">
      <c r="A7086" s="2">
        <f>HYPERLINK("https://open-school.uspishnemisto.com.ua/school/440069/", 440069)</f>
        <v>440069</v>
      </c>
      <c r="B7086" s="3" t="s">
        <v>36981</v>
      </c>
      <c r="C7086" s="3" t="s">
        <v>31</v>
      </c>
      <c r="D7086" s="3" t="s">
        <v>175</v>
      </c>
      <c r="E7086" s="4" t="s">
        <v>22</v>
      </c>
      <c r="F7086" s="4" t="s">
        <v>36982</v>
      </c>
      <c r="G7086" s="4" t="s">
        <v>36983</v>
      </c>
      <c r="H7086" s="3" t="s">
        <v>36691</v>
      </c>
      <c r="I7086" s="3" t="s">
        <v>36984</v>
      </c>
      <c r="J7086" s="3" t="s">
        <v>36985</v>
      </c>
      <c r="K7086" s="3" t="s">
        <v>36986</v>
      </c>
      <c r="L7086" s="3"/>
      <c r="M7086" s="4"/>
      <c r="N7086" s="3" t="s">
        <v>37</v>
      </c>
      <c r="O7086" s="3" t="s">
        <v>38</v>
      </c>
      <c r="P7086" s="5">
        <v>9</v>
      </c>
      <c r="Q7086" s="5">
        <v>74</v>
      </c>
      <c r="R7086" s="5">
        <v>9</v>
      </c>
      <c r="S7086" s="5">
        <v>70</v>
      </c>
    </row>
    <row r="7087" spans="1:19" ht="28" x14ac:dyDescent="0.15">
      <c r="A7087" s="2">
        <f>HYPERLINK("https://open-school.uspishnemisto.com.ua/school/440070/", 440070)</f>
        <v>440070</v>
      </c>
      <c r="B7087" s="3" t="s">
        <v>36987</v>
      </c>
      <c r="C7087" s="3" t="s">
        <v>31</v>
      </c>
      <c r="D7087" s="3" t="s">
        <v>32</v>
      </c>
      <c r="E7087" s="4" t="s">
        <v>22</v>
      </c>
      <c r="F7087" s="4" t="s">
        <v>36988</v>
      </c>
      <c r="G7087" s="4" t="s">
        <v>36989</v>
      </c>
      <c r="H7087" s="3" t="s">
        <v>36691</v>
      </c>
      <c r="I7087" s="3" t="s">
        <v>36990</v>
      </c>
      <c r="J7087" s="3" t="s">
        <v>36991</v>
      </c>
      <c r="K7087" s="3" t="s">
        <v>36992</v>
      </c>
      <c r="L7087" s="3"/>
      <c r="M7087" s="4"/>
      <c r="N7087" s="3"/>
      <c r="O7087" s="3"/>
      <c r="P7087" s="5">
        <v>0</v>
      </c>
      <c r="Q7087" s="5">
        <v>0</v>
      </c>
      <c r="R7087" s="5"/>
      <c r="S7087" s="5"/>
    </row>
    <row r="7088" spans="1:19" ht="28" x14ac:dyDescent="0.15">
      <c r="A7088" s="2">
        <f>HYPERLINK("https://open-school.uspishnemisto.com.ua/school/440071/", 440071)</f>
        <v>440071</v>
      </c>
      <c r="B7088" s="3" t="s">
        <v>36993</v>
      </c>
      <c r="C7088" s="3" t="s">
        <v>31</v>
      </c>
      <c r="D7088" s="3" t="s">
        <v>32</v>
      </c>
      <c r="E7088" s="4" t="s">
        <v>22</v>
      </c>
      <c r="F7088" s="4" t="s">
        <v>36994</v>
      </c>
      <c r="G7088" s="4" t="s">
        <v>36995</v>
      </c>
      <c r="H7088" s="3" t="s">
        <v>36691</v>
      </c>
      <c r="I7088" s="3" t="s">
        <v>36996</v>
      </c>
      <c r="J7088" s="3" t="s">
        <v>30417</v>
      </c>
      <c r="K7088" s="3" t="s">
        <v>36997</v>
      </c>
      <c r="L7088" s="3"/>
      <c r="M7088" s="4"/>
      <c r="N7088" s="3" t="s">
        <v>37</v>
      </c>
      <c r="O7088" s="3" t="s">
        <v>38</v>
      </c>
      <c r="P7088" s="5">
        <v>11</v>
      </c>
      <c r="Q7088" s="5">
        <v>157</v>
      </c>
      <c r="R7088" s="5">
        <v>11</v>
      </c>
      <c r="S7088" s="5">
        <v>162</v>
      </c>
    </row>
    <row r="7089" spans="1:19" ht="28" x14ac:dyDescent="0.15">
      <c r="A7089" s="2">
        <f>HYPERLINK("https://open-school.uspishnemisto.com.ua/school/440072/", 440072)</f>
        <v>440072</v>
      </c>
      <c r="B7089" s="3" t="s">
        <v>36998</v>
      </c>
      <c r="C7089" s="3" t="s">
        <v>31</v>
      </c>
      <c r="D7089" s="3" t="s">
        <v>32</v>
      </c>
      <c r="E7089" s="4" t="s">
        <v>22</v>
      </c>
      <c r="F7089" s="4" t="s">
        <v>36994</v>
      </c>
      <c r="G7089" s="4" t="s">
        <v>36995</v>
      </c>
      <c r="H7089" s="3" t="s">
        <v>36691</v>
      </c>
      <c r="I7089" s="3" t="s">
        <v>36996</v>
      </c>
      <c r="J7089" s="3" t="s">
        <v>36999</v>
      </c>
      <c r="K7089" s="3" t="s">
        <v>37000</v>
      </c>
      <c r="L7089" s="3"/>
      <c r="M7089" s="4"/>
      <c r="N7089" s="3" t="s">
        <v>37</v>
      </c>
      <c r="O7089" s="3" t="s">
        <v>70</v>
      </c>
      <c r="P7089" s="5">
        <v>29</v>
      </c>
      <c r="Q7089" s="5">
        <v>618</v>
      </c>
      <c r="R7089" s="5">
        <v>28</v>
      </c>
      <c r="S7089" s="5">
        <v>618</v>
      </c>
    </row>
    <row r="7090" spans="1:19" ht="42" x14ac:dyDescent="0.15">
      <c r="A7090" s="2">
        <f>HYPERLINK("https://open-school.uspishnemisto.com.ua/school/440073/", 440073)</f>
        <v>440073</v>
      </c>
      <c r="B7090" s="3" t="s">
        <v>37001</v>
      </c>
      <c r="C7090" s="3" t="s">
        <v>31</v>
      </c>
      <c r="D7090" s="3" t="s">
        <v>32</v>
      </c>
      <c r="E7090" s="4" t="s">
        <v>22</v>
      </c>
      <c r="F7090" s="4" t="s">
        <v>37002</v>
      </c>
      <c r="G7090" s="4" t="s">
        <v>37003</v>
      </c>
      <c r="H7090" s="3" t="s">
        <v>36691</v>
      </c>
      <c r="I7090" s="3" t="s">
        <v>37004</v>
      </c>
      <c r="J7090" s="3" t="s">
        <v>8477</v>
      </c>
      <c r="K7090" s="3" t="s">
        <v>37005</v>
      </c>
      <c r="L7090" s="3"/>
      <c r="M7090" s="4"/>
      <c r="N7090" s="3" t="s">
        <v>37</v>
      </c>
      <c r="O7090" s="3" t="s">
        <v>38</v>
      </c>
      <c r="P7090" s="5">
        <v>11</v>
      </c>
      <c r="Q7090" s="5">
        <v>116</v>
      </c>
      <c r="R7090" s="5">
        <v>11</v>
      </c>
      <c r="S7090" s="5">
        <v>122</v>
      </c>
    </row>
    <row r="7091" spans="1:19" ht="28" x14ac:dyDescent="0.15">
      <c r="A7091" s="2">
        <f>HYPERLINK("https://open-school.uspishnemisto.com.ua/school/440074/", 440074)</f>
        <v>440074</v>
      </c>
      <c r="B7091" s="3" t="s">
        <v>37006</v>
      </c>
      <c r="C7091" s="3" t="s">
        <v>31</v>
      </c>
      <c r="D7091" s="3" t="s">
        <v>175</v>
      </c>
      <c r="E7091" s="4" t="s">
        <v>22</v>
      </c>
      <c r="F7091" s="4" t="s">
        <v>37007</v>
      </c>
      <c r="G7091" s="4" t="s">
        <v>37008</v>
      </c>
      <c r="H7091" s="3" t="s">
        <v>36691</v>
      </c>
      <c r="I7091" s="3" t="s">
        <v>12433</v>
      </c>
      <c r="J7091" s="3" t="s">
        <v>37009</v>
      </c>
      <c r="K7091" s="3" t="s">
        <v>37010</v>
      </c>
      <c r="L7091" s="3"/>
      <c r="M7091" s="4"/>
      <c r="N7091" s="3" t="s">
        <v>37</v>
      </c>
      <c r="O7091" s="3" t="s">
        <v>38</v>
      </c>
      <c r="P7091" s="5">
        <v>3</v>
      </c>
      <c r="Q7091" s="5">
        <v>27</v>
      </c>
      <c r="R7091" s="5">
        <v>3</v>
      </c>
      <c r="S7091" s="5">
        <v>31</v>
      </c>
    </row>
    <row r="7092" spans="1:19" ht="28" x14ac:dyDescent="0.15">
      <c r="A7092" s="2">
        <f>HYPERLINK("https://open-school.uspishnemisto.com.ua/school/440075/", 440075)</f>
        <v>440075</v>
      </c>
      <c r="B7092" s="3" t="s">
        <v>37011</v>
      </c>
      <c r="C7092" s="3" t="s">
        <v>31</v>
      </c>
      <c r="D7092" s="3" t="s">
        <v>175</v>
      </c>
      <c r="E7092" s="4" t="s">
        <v>22</v>
      </c>
      <c r="F7092" s="4" t="s">
        <v>37012</v>
      </c>
      <c r="G7092" s="4" t="s">
        <v>37013</v>
      </c>
      <c r="H7092" s="3" t="s">
        <v>36691</v>
      </c>
      <c r="I7092" s="3" t="s">
        <v>11964</v>
      </c>
      <c r="J7092" s="3" t="s">
        <v>2719</v>
      </c>
      <c r="K7092" s="3" t="s">
        <v>37014</v>
      </c>
      <c r="L7092" s="3"/>
      <c r="M7092" s="4"/>
      <c r="N7092" s="3" t="s">
        <v>37</v>
      </c>
      <c r="O7092" s="3" t="s">
        <v>38</v>
      </c>
      <c r="P7092" s="5">
        <v>5</v>
      </c>
      <c r="Q7092" s="5">
        <v>35</v>
      </c>
      <c r="R7092" s="5">
        <v>4</v>
      </c>
      <c r="S7092" s="5">
        <v>34</v>
      </c>
    </row>
    <row r="7093" spans="1:19" ht="28" x14ac:dyDescent="0.15">
      <c r="A7093" s="2">
        <f>HYPERLINK("https://open-school.uspishnemisto.com.ua/school/440076/", 440076)</f>
        <v>440076</v>
      </c>
      <c r="B7093" s="3" t="s">
        <v>37015</v>
      </c>
      <c r="C7093" s="3" t="s">
        <v>31</v>
      </c>
      <c r="D7093" s="3" t="s">
        <v>175</v>
      </c>
      <c r="E7093" s="4" t="s">
        <v>22</v>
      </c>
      <c r="F7093" s="4" t="s">
        <v>37016</v>
      </c>
      <c r="G7093" s="4" t="s">
        <v>37017</v>
      </c>
      <c r="H7093" s="3" t="s">
        <v>36691</v>
      </c>
      <c r="I7093" s="3" t="s">
        <v>12862</v>
      </c>
      <c r="J7093" s="3" t="s">
        <v>1857</v>
      </c>
      <c r="K7093" s="3" t="s">
        <v>37018</v>
      </c>
      <c r="L7093" s="3"/>
      <c r="M7093" s="4"/>
      <c r="N7093" s="3" t="s">
        <v>37</v>
      </c>
      <c r="O7093" s="3" t="s">
        <v>38</v>
      </c>
      <c r="P7093" s="5">
        <v>4</v>
      </c>
      <c r="Q7093" s="5">
        <v>31</v>
      </c>
      <c r="R7093" s="5">
        <v>5</v>
      </c>
      <c r="S7093" s="5">
        <v>39</v>
      </c>
    </row>
    <row r="7094" spans="1:19" ht="28" x14ac:dyDescent="0.15">
      <c r="A7094" s="2">
        <f>HYPERLINK("https://open-school.uspishnemisto.com.ua/school/440077/", 440077)</f>
        <v>440077</v>
      </c>
      <c r="B7094" s="3" t="s">
        <v>37019</v>
      </c>
      <c r="C7094" s="3" t="s">
        <v>31</v>
      </c>
      <c r="D7094" s="3" t="s">
        <v>175</v>
      </c>
      <c r="E7094" s="4" t="s">
        <v>22</v>
      </c>
      <c r="F7094" s="4" t="s">
        <v>37020</v>
      </c>
      <c r="G7094" s="4" t="s">
        <v>37021</v>
      </c>
      <c r="H7094" s="3" t="s">
        <v>36691</v>
      </c>
      <c r="I7094" s="3" t="s">
        <v>16099</v>
      </c>
      <c r="J7094" s="3" t="s">
        <v>37022</v>
      </c>
      <c r="K7094" s="3" t="s">
        <v>37023</v>
      </c>
      <c r="L7094" s="3"/>
      <c r="M7094" s="4"/>
      <c r="N7094" s="3" t="s">
        <v>37</v>
      </c>
      <c r="O7094" s="3" t="s">
        <v>38</v>
      </c>
      <c r="P7094" s="5">
        <v>8</v>
      </c>
      <c r="Q7094" s="5">
        <v>65</v>
      </c>
      <c r="R7094" s="5">
        <v>8</v>
      </c>
      <c r="S7094" s="5">
        <v>62</v>
      </c>
    </row>
    <row r="7095" spans="1:19" ht="28" x14ac:dyDescent="0.15">
      <c r="A7095" s="2">
        <f>HYPERLINK("https://open-school.uspishnemisto.com.ua/school/440078/", 440078)</f>
        <v>440078</v>
      </c>
      <c r="B7095" s="3" t="s">
        <v>37024</v>
      </c>
      <c r="C7095" s="3" t="s">
        <v>31</v>
      </c>
      <c r="D7095" s="3" t="s">
        <v>32</v>
      </c>
      <c r="E7095" s="4" t="s">
        <v>22</v>
      </c>
      <c r="F7095" s="4" t="s">
        <v>37025</v>
      </c>
      <c r="G7095" s="4" t="s">
        <v>37026</v>
      </c>
      <c r="H7095" s="3" t="s">
        <v>36691</v>
      </c>
      <c r="I7095" s="3" t="s">
        <v>37027</v>
      </c>
      <c r="J7095" s="3" t="s">
        <v>466</v>
      </c>
      <c r="K7095" s="3" t="s">
        <v>37028</v>
      </c>
      <c r="L7095" s="3" t="s">
        <v>37029</v>
      </c>
      <c r="M7095" s="4"/>
      <c r="N7095" s="3" t="s">
        <v>37</v>
      </c>
      <c r="O7095" s="3" t="s">
        <v>38</v>
      </c>
      <c r="P7095" s="5">
        <v>7</v>
      </c>
      <c r="Q7095" s="5">
        <v>65</v>
      </c>
      <c r="R7095" s="5">
        <v>8</v>
      </c>
      <c r="S7095" s="5">
        <v>67</v>
      </c>
    </row>
    <row r="7096" spans="1:19" ht="28" x14ac:dyDescent="0.15">
      <c r="A7096" s="2">
        <f>HYPERLINK("https://open-school.uspishnemisto.com.ua/school/440079/", 440079)</f>
        <v>440079</v>
      </c>
      <c r="B7096" s="3" t="s">
        <v>37030</v>
      </c>
      <c r="C7096" s="3" t="s">
        <v>31</v>
      </c>
      <c r="D7096" s="3" t="s">
        <v>175</v>
      </c>
      <c r="E7096" s="4" t="s">
        <v>22</v>
      </c>
      <c r="F7096" s="4" t="s">
        <v>37031</v>
      </c>
      <c r="G7096" s="4" t="s">
        <v>37032</v>
      </c>
      <c r="H7096" s="3" t="s">
        <v>36691</v>
      </c>
      <c r="I7096" s="3" t="s">
        <v>37033</v>
      </c>
      <c r="J7096" s="3" t="s">
        <v>37034</v>
      </c>
      <c r="K7096" s="3" t="s">
        <v>37035</v>
      </c>
      <c r="L7096" s="3"/>
      <c r="M7096" s="4"/>
      <c r="N7096" s="3" t="s">
        <v>37</v>
      </c>
      <c r="O7096" s="3" t="s">
        <v>112</v>
      </c>
      <c r="P7096" s="5">
        <v>4</v>
      </c>
      <c r="Q7096" s="5">
        <v>35</v>
      </c>
      <c r="R7096" s="5">
        <v>3</v>
      </c>
      <c r="S7096" s="5">
        <v>32</v>
      </c>
    </row>
    <row r="7097" spans="1:19" ht="28" x14ac:dyDescent="0.15">
      <c r="A7097" s="2">
        <f>HYPERLINK("https://open-school.uspishnemisto.com.ua/school/440080/", 440080)</f>
        <v>440080</v>
      </c>
      <c r="B7097" s="3" t="s">
        <v>37036</v>
      </c>
      <c r="C7097" s="3" t="s">
        <v>31</v>
      </c>
      <c r="D7097" s="3" t="s">
        <v>175</v>
      </c>
      <c r="E7097" s="4" t="s">
        <v>22</v>
      </c>
      <c r="F7097" s="4" t="s">
        <v>37031</v>
      </c>
      <c r="G7097" s="4" t="s">
        <v>37037</v>
      </c>
      <c r="H7097" s="3" t="s">
        <v>36691</v>
      </c>
      <c r="I7097" s="3" t="s">
        <v>37038</v>
      </c>
      <c r="J7097" s="3" t="s">
        <v>37039</v>
      </c>
      <c r="K7097" s="3" t="s">
        <v>37040</v>
      </c>
      <c r="L7097" s="3"/>
      <c r="M7097" s="4"/>
      <c r="N7097" s="3" t="s">
        <v>37</v>
      </c>
      <c r="O7097" s="3" t="s">
        <v>38</v>
      </c>
      <c r="P7097" s="5">
        <v>5</v>
      </c>
      <c r="Q7097" s="5">
        <v>39</v>
      </c>
      <c r="R7097" s="5">
        <v>5</v>
      </c>
      <c r="S7097" s="5">
        <v>40</v>
      </c>
    </row>
    <row r="7098" spans="1:19" ht="28" x14ac:dyDescent="0.15">
      <c r="A7098" s="2">
        <f>HYPERLINK("https://open-school.uspishnemisto.com.ua/school/440081/", 440081)</f>
        <v>440081</v>
      </c>
      <c r="B7098" s="3" t="s">
        <v>37041</v>
      </c>
      <c r="C7098" s="3" t="s">
        <v>31</v>
      </c>
      <c r="D7098" s="3" t="s">
        <v>32</v>
      </c>
      <c r="E7098" s="4" t="s">
        <v>22</v>
      </c>
      <c r="F7098" s="4" t="s">
        <v>37042</v>
      </c>
      <c r="G7098" s="4" t="s">
        <v>37043</v>
      </c>
      <c r="H7098" s="3" t="s">
        <v>36691</v>
      </c>
      <c r="I7098" s="3" t="s">
        <v>37044</v>
      </c>
      <c r="J7098" s="3" t="s">
        <v>37045</v>
      </c>
      <c r="K7098" s="3" t="s">
        <v>37046</v>
      </c>
      <c r="L7098" s="3" t="s">
        <v>37047</v>
      </c>
      <c r="M7098" s="4"/>
      <c r="N7098" s="3" t="s">
        <v>37</v>
      </c>
      <c r="O7098" s="3" t="s">
        <v>70</v>
      </c>
      <c r="P7098" s="5">
        <v>11</v>
      </c>
      <c r="Q7098" s="5">
        <v>153</v>
      </c>
      <c r="R7098" s="5">
        <v>11</v>
      </c>
      <c r="S7098" s="5">
        <v>142</v>
      </c>
    </row>
    <row r="7099" spans="1:19" ht="28" x14ac:dyDescent="0.15">
      <c r="A7099" s="2">
        <f>HYPERLINK("https://open-school.uspishnemisto.com.ua/school/440082/", 440082)</f>
        <v>440082</v>
      </c>
      <c r="B7099" s="3" t="s">
        <v>37048</v>
      </c>
      <c r="C7099" s="3" t="s">
        <v>31</v>
      </c>
      <c r="D7099" s="3" t="s">
        <v>175</v>
      </c>
      <c r="E7099" s="4" t="s">
        <v>22</v>
      </c>
      <c r="F7099" s="4" t="s">
        <v>37049</v>
      </c>
      <c r="G7099" s="4" t="s">
        <v>37050</v>
      </c>
      <c r="H7099" s="3" t="s">
        <v>36691</v>
      </c>
      <c r="I7099" s="3" t="s">
        <v>37051</v>
      </c>
      <c r="J7099" s="3" t="s">
        <v>792</v>
      </c>
      <c r="K7099" s="3"/>
      <c r="L7099" s="3"/>
      <c r="M7099" s="4"/>
      <c r="N7099" s="3" t="s">
        <v>37</v>
      </c>
      <c r="O7099" s="3" t="s">
        <v>70</v>
      </c>
      <c r="P7099" s="5">
        <v>5</v>
      </c>
      <c r="Q7099" s="5">
        <v>35</v>
      </c>
      <c r="R7099" s="5">
        <v>5</v>
      </c>
      <c r="S7099" s="5">
        <v>36</v>
      </c>
    </row>
    <row r="7100" spans="1:19" ht="28" x14ac:dyDescent="0.15">
      <c r="A7100" s="2">
        <f>HYPERLINK("https://open-school.uspishnemisto.com.ua/school/440083/", 440083)</f>
        <v>440083</v>
      </c>
      <c r="B7100" s="3" t="s">
        <v>37052</v>
      </c>
      <c r="C7100" s="3" t="s">
        <v>31</v>
      </c>
      <c r="D7100" s="3" t="s">
        <v>32</v>
      </c>
      <c r="E7100" s="4" t="s">
        <v>22</v>
      </c>
      <c r="F7100" s="4" t="s">
        <v>37053</v>
      </c>
      <c r="G7100" s="4" t="s">
        <v>37054</v>
      </c>
      <c r="H7100" s="3" t="s">
        <v>36691</v>
      </c>
      <c r="I7100" s="3" t="s">
        <v>1587</v>
      </c>
      <c r="J7100" s="3" t="s">
        <v>37055</v>
      </c>
      <c r="K7100" s="3" t="s">
        <v>37056</v>
      </c>
      <c r="L7100" s="3" t="s">
        <v>37057</v>
      </c>
      <c r="M7100" s="4"/>
      <c r="N7100" s="3" t="s">
        <v>37</v>
      </c>
      <c r="O7100" s="3" t="s">
        <v>70</v>
      </c>
      <c r="P7100" s="5">
        <v>11</v>
      </c>
      <c r="Q7100" s="5">
        <v>93</v>
      </c>
      <c r="R7100" s="5">
        <v>11</v>
      </c>
      <c r="S7100" s="5">
        <v>96</v>
      </c>
    </row>
    <row r="7101" spans="1:19" ht="28" x14ac:dyDescent="0.15">
      <c r="A7101" s="2">
        <f>HYPERLINK("https://open-school.uspishnemisto.com.ua/school/440084/", 440084)</f>
        <v>440084</v>
      </c>
      <c r="B7101" s="3" t="s">
        <v>37058</v>
      </c>
      <c r="C7101" s="3" t="s">
        <v>31</v>
      </c>
      <c r="D7101" s="3" t="s">
        <v>32</v>
      </c>
      <c r="E7101" s="4" t="s">
        <v>22</v>
      </c>
      <c r="F7101" s="4" t="s">
        <v>37059</v>
      </c>
      <c r="G7101" s="4" t="s">
        <v>37060</v>
      </c>
      <c r="H7101" s="3" t="s">
        <v>36691</v>
      </c>
      <c r="I7101" s="3" t="s">
        <v>26785</v>
      </c>
      <c r="J7101" s="3" t="s">
        <v>37061</v>
      </c>
      <c r="K7101" s="3" t="s">
        <v>37062</v>
      </c>
      <c r="L7101" s="3"/>
      <c r="M7101" s="4"/>
      <c r="N7101" s="3" t="s">
        <v>37</v>
      </c>
      <c r="O7101" s="3" t="s">
        <v>70</v>
      </c>
      <c r="P7101" s="5">
        <v>8</v>
      </c>
      <c r="Q7101" s="5">
        <v>72</v>
      </c>
      <c r="R7101" s="5">
        <v>8</v>
      </c>
      <c r="S7101" s="5">
        <v>81</v>
      </c>
    </row>
    <row r="7102" spans="1:19" ht="28" x14ac:dyDescent="0.15">
      <c r="A7102" s="2">
        <f>HYPERLINK("https://open-school.uspishnemisto.com.ua/school/440085/", 440085)</f>
        <v>440085</v>
      </c>
      <c r="B7102" s="3" t="s">
        <v>37063</v>
      </c>
      <c r="C7102" s="3" t="s">
        <v>31</v>
      </c>
      <c r="D7102" s="3" t="s">
        <v>175</v>
      </c>
      <c r="E7102" s="4" t="s">
        <v>22</v>
      </c>
      <c r="F7102" s="4" t="s">
        <v>37064</v>
      </c>
      <c r="G7102" s="4" t="s">
        <v>37065</v>
      </c>
      <c r="H7102" s="3" t="s">
        <v>36691</v>
      </c>
      <c r="I7102" s="3" t="s">
        <v>37066</v>
      </c>
      <c r="J7102" s="3" t="s">
        <v>3393</v>
      </c>
      <c r="K7102" s="3" t="s">
        <v>37067</v>
      </c>
      <c r="L7102" s="3"/>
      <c r="M7102" s="4"/>
      <c r="N7102" s="3" t="s">
        <v>37</v>
      </c>
      <c r="O7102" s="3" t="s">
        <v>112</v>
      </c>
      <c r="P7102" s="5">
        <v>6</v>
      </c>
      <c r="Q7102" s="5">
        <v>53</v>
      </c>
      <c r="R7102" s="5">
        <v>6</v>
      </c>
      <c r="S7102" s="5">
        <v>51</v>
      </c>
    </row>
    <row r="7103" spans="1:19" ht="28" x14ac:dyDescent="0.15">
      <c r="A7103" s="2">
        <f>HYPERLINK("https://open-school.uspishnemisto.com.ua/school/440086/", 440086)</f>
        <v>440086</v>
      </c>
      <c r="B7103" s="3" t="s">
        <v>37068</v>
      </c>
      <c r="C7103" s="3" t="s">
        <v>31</v>
      </c>
      <c r="D7103" s="3" t="s">
        <v>175</v>
      </c>
      <c r="E7103" s="4" t="s">
        <v>22</v>
      </c>
      <c r="F7103" s="4" t="s">
        <v>37069</v>
      </c>
      <c r="G7103" s="4" t="s">
        <v>37070</v>
      </c>
      <c r="H7103" s="3" t="s">
        <v>36691</v>
      </c>
      <c r="I7103" s="3" t="s">
        <v>37071</v>
      </c>
      <c r="J7103" s="3" t="s">
        <v>3363</v>
      </c>
      <c r="K7103" s="3" t="s">
        <v>37072</v>
      </c>
      <c r="L7103" s="3"/>
      <c r="M7103" s="4"/>
      <c r="N7103" s="3" t="s">
        <v>37</v>
      </c>
      <c r="O7103" s="3" t="s">
        <v>38</v>
      </c>
      <c r="P7103" s="5">
        <v>2</v>
      </c>
      <c r="Q7103" s="5">
        <v>26</v>
      </c>
      <c r="R7103" s="5">
        <v>3</v>
      </c>
      <c r="S7103" s="5">
        <v>25</v>
      </c>
    </row>
    <row r="7104" spans="1:19" ht="28" x14ac:dyDescent="0.15">
      <c r="A7104" s="2">
        <f>HYPERLINK("https://open-school.uspishnemisto.com.ua/school/440087/", 440087)</f>
        <v>440087</v>
      </c>
      <c r="B7104" s="3" t="s">
        <v>37073</v>
      </c>
      <c r="C7104" s="3" t="s">
        <v>31</v>
      </c>
      <c r="D7104" s="3" t="s">
        <v>32</v>
      </c>
      <c r="E7104" s="4" t="s">
        <v>22</v>
      </c>
      <c r="F7104" s="4" t="s">
        <v>37074</v>
      </c>
      <c r="G7104" s="4" t="s">
        <v>37075</v>
      </c>
      <c r="H7104" s="3" t="s">
        <v>36691</v>
      </c>
      <c r="I7104" s="3" t="s">
        <v>1889</v>
      </c>
      <c r="J7104" s="3" t="s">
        <v>2384</v>
      </c>
      <c r="K7104" s="3" t="s">
        <v>37076</v>
      </c>
      <c r="L7104" s="3"/>
      <c r="M7104" s="4"/>
      <c r="N7104" s="3" t="s">
        <v>37</v>
      </c>
      <c r="O7104" s="3" t="s">
        <v>38</v>
      </c>
      <c r="P7104" s="5">
        <v>7</v>
      </c>
      <c r="Q7104" s="5">
        <v>55</v>
      </c>
      <c r="R7104" s="5">
        <v>8</v>
      </c>
      <c r="S7104" s="5">
        <v>54</v>
      </c>
    </row>
    <row r="7105" spans="1:19" ht="28" x14ac:dyDescent="0.15">
      <c r="A7105" s="2">
        <f>HYPERLINK("https://open-school.uspishnemisto.com.ua/school/440088/", 440088)</f>
        <v>440088</v>
      </c>
      <c r="B7105" s="3" t="s">
        <v>37077</v>
      </c>
      <c r="C7105" s="3" t="s">
        <v>31</v>
      </c>
      <c r="D7105" s="3" t="s">
        <v>32</v>
      </c>
      <c r="E7105" s="4" t="s">
        <v>22</v>
      </c>
      <c r="F7105" s="4" t="s">
        <v>37078</v>
      </c>
      <c r="G7105" s="4" t="s">
        <v>37079</v>
      </c>
      <c r="H7105" s="3" t="s">
        <v>36691</v>
      </c>
      <c r="I7105" s="3" t="s">
        <v>34849</v>
      </c>
      <c r="J7105" s="3" t="s">
        <v>11336</v>
      </c>
      <c r="K7105" s="3"/>
      <c r="L7105" s="3"/>
      <c r="M7105" s="4"/>
      <c r="N7105" s="3" t="s">
        <v>37</v>
      </c>
      <c r="O7105" s="3" t="s">
        <v>38</v>
      </c>
      <c r="P7105" s="5">
        <v>3</v>
      </c>
      <c r="Q7105" s="5">
        <v>31</v>
      </c>
      <c r="R7105" s="5">
        <v>5</v>
      </c>
      <c r="S7105" s="5">
        <v>35</v>
      </c>
    </row>
    <row r="7106" spans="1:19" ht="42" x14ac:dyDescent="0.15">
      <c r="A7106" s="2">
        <f>HYPERLINK("https://open-school.uspishnemisto.com.ua/school/440090/", 440090)</f>
        <v>440090</v>
      </c>
      <c r="B7106" s="3" t="s">
        <v>37080</v>
      </c>
      <c r="C7106" s="3" t="s">
        <v>48</v>
      </c>
      <c r="D7106" s="3" t="s">
        <v>32</v>
      </c>
      <c r="E7106" s="4" t="s">
        <v>22</v>
      </c>
      <c r="F7106" s="4" t="s">
        <v>37081</v>
      </c>
      <c r="G7106" s="4" t="s">
        <v>37082</v>
      </c>
      <c r="H7106" s="3" t="s">
        <v>36691</v>
      </c>
      <c r="I7106" s="3" t="s">
        <v>37083</v>
      </c>
      <c r="J7106" s="3" t="s">
        <v>37084</v>
      </c>
      <c r="K7106" s="3" t="s">
        <v>37085</v>
      </c>
      <c r="L7106" s="3" t="s">
        <v>37086</v>
      </c>
      <c r="M7106" s="4" t="s">
        <v>37087</v>
      </c>
      <c r="N7106" s="3" t="s">
        <v>37</v>
      </c>
      <c r="O7106" s="3" t="s">
        <v>52</v>
      </c>
      <c r="P7106" s="5">
        <v>8</v>
      </c>
      <c r="Q7106" s="5">
        <v>206</v>
      </c>
      <c r="R7106" s="5">
        <v>6</v>
      </c>
      <c r="S7106" s="5">
        <v>148</v>
      </c>
    </row>
    <row r="7107" spans="1:19" ht="28" x14ac:dyDescent="0.15">
      <c r="A7107" s="2">
        <f>HYPERLINK("https://open-school.uspishnemisto.com.ua/school/440091/", 440091)</f>
        <v>440091</v>
      </c>
      <c r="B7107" s="3" t="s">
        <v>37088</v>
      </c>
      <c r="C7107" s="3" t="s">
        <v>48</v>
      </c>
      <c r="D7107" s="3" t="s">
        <v>32</v>
      </c>
      <c r="E7107" s="4" t="s">
        <v>22</v>
      </c>
      <c r="F7107" s="4" t="s">
        <v>37081</v>
      </c>
      <c r="G7107" s="4" t="s">
        <v>37082</v>
      </c>
      <c r="H7107" s="3" t="s">
        <v>36691</v>
      </c>
      <c r="I7107" s="3" t="s">
        <v>37083</v>
      </c>
      <c r="J7107" s="3" t="s">
        <v>37089</v>
      </c>
      <c r="K7107" s="3"/>
      <c r="L7107" s="3" t="s">
        <v>37090</v>
      </c>
      <c r="M7107" s="4" t="s">
        <v>37091</v>
      </c>
      <c r="N7107" s="3" t="s">
        <v>37</v>
      </c>
      <c r="O7107" s="3" t="s">
        <v>52</v>
      </c>
      <c r="P7107" s="5">
        <v>6</v>
      </c>
      <c r="Q7107" s="5">
        <v>141</v>
      </c>
      <c r="R7107" s="5">
        <v>4</v>
      </c>
      <c r="S7107" s="5">
        <v>84</v>
      </c>
    </row>
    <row r="7108" spans="1:19" ht="28" x14ac:dyDescent="0.15">
      <c r="A7108" s="2">
        <f>HYPERLINK("https://open-school.uspishnemisto.com.ua/school/440092/", 440092)</f>
        <v>440092</v>
      </c>
      <c r="B7108" s="3" t="s">
        <v>37092</v>
      </c>
      <c r="C7108" s="3" t="s">
        <v>31</v>
      </c>
      <c r="D7108" s="3" t="s">
        <v>32</v>
      </c>
      <c r="E7108" s="4" t="s">
        <v>22</v>
      </c>
      <c r="F7108" s="4" t="s">
        <v>37081</v>
      </c>
      <c r="G7108" s="4" t="s">
        <v>37082</v>
      </c>
      <c r="H7108" s="3" t="s">
        <v>36691</v>
      </c>
      <c r="I7108" s="3" t="s">
        <v>37083</v>
      </c>
      <c r="J7108" s="3" t="s">
        <v>2209</v>
      </c>
      <c r="K7108" s="3" t="s">
        <v>37093</v>
      </c>
      <c r="L7108" s="3"/>
      <c r="M7108" s="4"/>
      <c r="N7108" s="3" t="s">
        <v>37</v>
      </c>
      <c r="O7108" s="3" t="s">
        <v>38</v>
      </c>
      <c r="P7108" s="5">
        <v>21</v>
      </c>
      <c r="Q7108" s="5">
        <v>361</v>
      </c>
      <c r="R7108" s="5">
        <v>19</v>
      </c>
      <c r="S7108" s="5">
        <v>346</v>
      </c>
    </row>
    <row r="7109" spans="1:19" ht="28" x14ac:dyDescent="0.15">
      <c r="A7109" s="2">
        <f>HYPERLINK("https://open-school.uspishnemisto.com.ua/school/440093/", 440093)</f>
        <v>440093</v>
      </c>
      <c r="B7109" s="3" t="s">
        <v>37094</v>
      </c>
      <c r="C7109" s="3" t="s">
        <v>31</v>
      </c>
      <c r="D7109" s="3" t="s">
        <v>32</v>
      </c>
      <c r="E7109" s="4" t="s">
        <v>22</v>
      </c>
      <c r="F7109" s="4" t="s">
        <v>37081</v>
      </c>
      <c r="G7109" s="4" t="s">
        <v>37082</v>
      </c>
      <c r="H7109" s="3" t="s">
        <v>36691</v>
      </c>
      <c r="I7109" s="3" t="s">
        <v>37083</v>
      </c>
      <c r="J7109" s="3" t="s">
        <v>37095</v>
      </c>
      <c r="K7109" s="3" t="s">
        <v>37096</v>
      </c>
      <c r="L7109" s="3"/>
      <c r="M7109" s="4"/>
      <c r="N7109" s="3" t="s">
        <v>37</v>
      </c>
      <c r="O7109" s="3" t="s">
        <v>38</v>
      </c>
      <c r="P7109" s="5">
        <v>14</v>
      </c>
      <c r="Q7109" s="5">
        <v>307</v>
      </c>
      <c r="R7109" s="5">
        <v>14</v>
      </c>
      <c r="S7109" s="5">
        <v>305</v>
      </c>
    </row>
    <row r="7110" spans="1:19" ht="28" x14ac:dyDescent="0.15">
      <c r="A7110" s="2">
        <f>HYPERLINK("https://open-school.uspishnemisto.com.ua/school/440094/", 440094)</f>
        <v>440094</v>
      </c>
      <c r="B7110" s="3" t="s">
        <v>37097</v>
      </c>
      <c r="C7110" s="3" t="s">
        <v>31</v>
      </c>
      <c r="D7110" s="3" t="s">
        <v>32</v>
      </c>
      <c r="E7110" s="4" t="s">
        <v>22</v>
      </c>
      <c r="F7110" s="4" t="s">
        <v>37081</v>
      </c>
      <c r="G7110" s="4" t="s">
        <v>37082</v>
      </c>
      <c r="H7110" s="3" t="s">
        <v>36691</v>
      </c>
      <c r="I7110" s="3" t="s">
        <v>37083</v>
      </c>
      <c r="J7110" s="3" t="s">
        <v>37098</v>
      </c>
      <c r="K7110" s="3" t="s">
        <v>37099</v>
      </c>
      <c r="L7110" s="3"/>
      <c r="M7110" s="4"/>
      <c r="N7110" s="3" t="s">
        <v>128</v>
      </c>
      <c r="O7110" s="3" t="s">
        <v>38</v>
      </c>
      <c r="P7110" s="5">
        <v>21</v>
      </c>
      <c r="Q7110" s="5">
        <v>527</v>
      </c>
      <c r="R7110" s="5">
        <v>20</v>
      </c>
      <c r="S7110" s="5">
        <v>514</v>
      </c>
    </row>
    <row r="7111" spans="1:19" ht="28" x14ac:dyDescent="0.15">
      <c r="A7111" s="2">
        <f>HYPERLINK("https://open-school.uspishnemisto.com.ua/school/440095/", 440095)</f>
        <v>440095</v>
      </c>
      <c r="B7111" s="3" t="s">
        <v>37100</v>
      </c>
      <c r="C7111" s="3" t="s">
        <v>2634</v>
      </c>
      <c r="D7111" s="3" t="s">
        <v>32</v>
      </c>
      <c r="E7111" s="4" t="s">
        <v>22</v>
      </c>
      <c r="F7111" s="4" t="s">
        <v>37101</v>
      </c>
      <c r="G7111" s="4" t="s">
        <v>37082</v>
      </c>
      <c r="H7111" s="3" t="s">
        <v>36691</v>
      </c>
      <c r="I7111" s="3" t="s">
        <v>37083</v>
      </c>
      <c r="J7111" s="3" t="s">
        <v>37102</v>
      </c>
      <c r="K7111" s="3"/>
      <c r="L7111" s="3"/>
      <c r="M7111" s="4" t="s">
        <v>37103</v>
      </c>
      <c r="N7111" s="3" t="s">
        <v>37</v>
      </c>
      <c r="O7111" s="3" t="s">
        <v>38</v>
      </c>
      <c r="P7111" s="5">
        <v>11</v>
      </c>
      <c r="Q7111" s="5">
        <v>106</v>
      </c>
      <c r="R7111" s="5">
        <v>11</v>
      </c>
      <c r="S7111" s="5">
        <v>95</v>
      </c>
    </row>
    <row r="7112" spans="1:19" ht="28" x14ac:dyDescent="0.15">
      <c r="A7112" s="2">
        <f>HYPERLINK("https://open-school.uspishnemisto.com.ua/school/440096/", 440096)</f>
        <v>440096</v>
      </c>
      <c r="B7112" s="3" t="s">
        <v>37104</v>
      </c>
      <c r="C7112" s="3" t="s">
        <v>181</v>
      </c>
      <c r="D7112" s="3" t="s">
        <v>175</v>
      </c>
      <c r="E7112" s="4" t="s">
        <v>22</v>
      </c>
      <c r="F7112" s="4" t="s">
        <v>37081</v>
      </c>
      <c r="G7112" s="4" t="s">
        <v>37082</v>
      </c>
      <c r="H7112" s="3" t="s">
        <v>36691</v>
      </c>
      <c r="I7112" s="3" t="s">
        <v>37083</v>
      </c>
      <c r="J7112" s="3" t="s">
        <v>37089</v>
      </c>
      <c r="K7112" s="3" t="s">
        <v>37105</v>
      </c>
      <c r="L7112" s="3" t="s">
        <v>37106</v>
      </c>
      <c r="M7112" s="4" t="s">
        <v>37107</v>
      </c>
      <c r="N7112" s="3" t="s">
        <v>37</v>
      </c>
      <c r="O7112" s="3"/>
      <c r="P7112" s="5">
        <v>12</v>
      </c>
      <c r="Q7112" s="5">
        <v>78</v>
      </c>
      <c r="R7112" s="5">
        <v>13</v>
      </c>
      <c r="S7112" s="5">
        <v>85</v>
      </c>
    </row>
    <row r="7113" spans="1:19" ht="28" x14ac:dyDescent="0.15">
      <c r="A7113" s="2">
        <f>HYPERLINK("https://open-school.uspishnemisto.com.ua/school/440097/", 440097)</f>
        <v>440097</v>
      </c>
      <c r="B7113" s="3" t="s">
        <v>37108</v>
      </c>
      <c r="C7113" s="3" t="s">
        <v>54</v>
      </c>
      <c r="D7113" s="3" t="s">
        <v>32</v>
      </c>
      <c r="E7113" s="4" t="s">
        <v>22</v>
      </c>
      <c r="F7113" s="4" t="s">
        <v>37109</v>
      </c>
      <c r="G7113" s="4" t="s">
        <v>37082</v>
      </c>
      <c r="H7113" s="3" t="s">
        <v>36691</v>
      </c>
      <c r="I7113" s="3" t="s">
        <v>37083</v>
      </c>
      <c r="J7113" s="3" t="s">
        <v>37110</v>
      </c>
      <c r="K7113" s="3" t="s">
        <v>37111</v>
      </c>
      <c r="L7113" s="3"/>
      <c r="M7113" s="4"/>
      <c r="N7113" s="3" t="s">
        <v>37</v>
      </c>
      <c r="O7113" s="3" t="s">
        <v>52</v>
      </c>
      <c r="P7113" s="5">
        <v>19</v>
      </c>
      <c r="Q7113" s="5">
        <v>408</v>
      </c>
      <c r="R7113" s="5">
        <v>19</v>
      </c>
      <c r="S7113" s="5">
        <v>413</v>
      </c>
    </row>
    <row r="7114" spans="1:19" ht="42" x14ac:dyDescent="0.15">
      <c r="A7114" s="2">
        <f>HYPERLINK("https://open-school.uspishnemisto.com.ua/school/440098/", 440098)</f>
        <v>440098</v>
      </c>
      <c r="B7114" s="3" t="s">
        <v>37112</v>
      </c>
      <c r="C7114" s="3" t="s">
        <v>54</v>
      </c>
      <c r="D7114" s="3" t="s">
        <v>32</v>
      </c>
      <c r="E7114" s="4" t="s">
        <v>22</v>
      </c>
      <c r="F7114" s="4" t="s">
        <v>37081</v>
      </c>
      <c r="G7114" s="4" t="s">
        <v>37082</v>
      </c>
      <c r="H7114" s="3" t="s">
        <v>36691</v>
      </c>
      <c r="I7114" s="3" t="s">
        <v>37083</v>
      </c>
      <c r="J7114" s="3" t="s">
        <v>37113</v>
      </c>
      <c r="K7114" s="3" t="s">
        <v>37114</v>
      </c>
      <c r="L7114" s="3"/>
      <c r="M7114" s="4"/>
      <c r="N7114" s="3" t="s">
        <v>37</v>
      </c>
      <c r="O7114" s="3" t="s">
        <v>38</v>
      </c>
      <c r="P7114" s="5">
        <v>11</v>
      </c>
      <c r="Q7114" s="5">
        <v>223</v>
      </c>
      <c r="R7114" s="5">
        <v>12</v>
      </c>
      <c r="S7114" s="5">
        <v>240</v>
      </c>
    </row>
    <row r="7115" spans="1:19" ht="28" x14ac:dyDescent="0.15">
      <c r="A7115" s="2">
        <f>HYPERLINK("https://open-school.uspishnemisto.com.ua/school/440099/", 440099)</f>
        <v>440099</v>
      </c>
      <c r="B7115" s="3" t="s">
        <v>37115</v>
      </c>
      <c r="C7115" s="3" t="s">
        <v>31</v>
      </c>
      <c r="D7115" s="3" t="s">
        <v>175</v>
      </c>
      <c r="E7115" s="4" t="s">
        <v>22</v>
      </c>
      <c r="F7115" s="4" t="s">
        <v>37116</v>
      </c>
      <c r="G7115" s="4" t="s">
        <v>37117</v>
      </c>
      <c r="H7115" s="3" t="s">
        <v>36691</v>
      </c>
      <c r="I7115" s="3" t="s">
        <v>37118</v>
      </c>
      <c r="J7115" s="3" t="s">
        <v>37119</v>
      </c>
      <c r="K7115" s="3" t="s">
        <v>37120</v>
      </c>
      <c r="L7115" s="3"/>
      <c r="M7115" s="4"/>
      <c r="N7115" s="3" t="s">
        <v>37</v>
      </c>
      <c r="O7115" s="3" t="s">
        <v>52</v>
      </c>
      <c r="P7115" s="5">
        <v>0</v>
      </c>
      <c r="Q7115" s="5">
        <v>0</v>
      </c>
      <c r="R7115" s="5">
        <v>5</v>
      </c>
      <c r="S7115" s="5">
        <v>39</v>
      </c>
    </row>
    <row r="7116" spans="1:19" ht="28" x14ac:dyDescent="0.15">
      <c r="A7116" s="2">
        <f>HYPERLINK("https://open-school.uspishnemisto.com.ua/school/440100/", 440100)</f>
        <v>440100</v>
      </c>
      <c r="B7116" s="3" t="s">
        <v>37121</v>
      </c>
      <c r="C7116" s="3" t="s">
        <v>31</v>
      </c>
      <c r="D7116" s="3" t="s">
        <v>32</v>
      </c>
      <c r="E7116" s="4" t="s">
        <v>22</v>
      </c>
      <c r="F7116" s="4" t="s">
        <v>37122</v>
      </c>
      <c r="G7116" s="4" t="s">
        <v>37123</v>
      </c>
      <c r="H7116" s="3" t="s">
        <v>36691</v>
      </c>
      <c r="I7116" s="3" t="s">
        <v>37124</v>
      </c>
      <c r="J7116" s="3" t="s">
        <v>37125</v>
      </c>
      <c r="K7116" s="3" t="s">
        <v>37126</v>
      </c>
      <c r="L7116" s="3" t="s">
        <v>37127</v>
      </c>
      <c r="M7116" s="4"/>
      <c r="N7116" s="3" t="s">
        <v>37</v>
      </c>
      <c r="O7116" s="3" t="s">
        <v>52</v>
      </c>
      <c r="P7116" s="5">
        <v>15</v>
      </c>
      <c r="Q7116" s="5">
        <v>338</v>
      </c>
      <c r="R7116" s="5">
        <v>14</v>
      </c>
      <c r="S7116" s="5">
        <v>327</v>
      </c>
    </row>
    <row r="7117" spans="1:19" ht="28" x14ac:dyDescent="0.15">
      <c r="A7117" s="2">
        <f>HYPERLINK("https://open-school.uspishnemisto.com.ua/school/440101/", 440101)</f>
        <v>440101</v>
      </c>
      <c r="B7117" s="3" t="s">
        <v>37128</v>
      </c>
      <c r="C7117" s="3" t="s">
        <v>31</v>
      </c>
      <c r="D7117" s="3" t="s">
        <v>32</v>
      </c>
      <c r="E7117" s="4" t="s">
        <v>22</v>
      </c>
      <c r="F7117" s="4" t="s">
        <v>37129</v>
      </c>
      <c r="G7117" s="4" t="s">
        <v>37130</v>
      </c>
      <c r="H7117" s="3" t="s">
        <v>36691</v>
      </c>
      <c r="I7117" s="3" t="s">
        <v>36941</v>
      </c>
      <c r="J7117" s="3" t="s">
        <v>37131</v>
      </c>
      <c r="K7117" s="3" t="s">
        <v>37132</v>
      </c>
      <c r="L7117" s="3" t="s">
        <v>37133</v>
      </c>
      <c r="M7117" s="4"/>
      <c r="N7117" s="3" t="s">
        <v>37</v>
      </c>
      <c r="O7117" s="3" t="s">
        <v>38</v>
      </c>
      <c r="P7117" s="5">
        <v>9</v>
      </c>
      <c r="Q7117" s="5">
        <v>76</v>
      </c>
      <c r="R7117" s="5">
        <v>10</v>
      </c>
      <c r="S7117" s="5">
        <v>85</v>
      </c>
    </row>
    <row r="7118" spans="1:19" ht="56" x14ac:dyDescent="0.15">
      <c r="A7118" s="2">
        <f>HYPERLINK("https://open-school.uspishnemisto.com.ua/school/440102/", 440102)</f>
        <v>440102</v>
      </c>
      <c r="B7118" s="3" t="s">
        <v>37134</v>
      </c>
      <c r="C7118" s="3" t="s">
        <v>54</v>
      </c>
      <c r="D7118" s="3" t="s">
        <v>175</v>
      </c>
      <c r="E7118" s="4" t="s">
        <v>22</v>
      </c>
      <c r="F7118" s="4" t="s">
        <v>37135</v>
      </c>
      <c r="G7118" s="4" t="s">
        <v>37136</v>
      </c>
      <c r="H7118" s="3" t="s">
        <v>36691</v>
      </c>
      <c r="I7118" s="3" t="s">
        <v>37137</v>
      </c>
      <c r="J7118" s="3" t="s">
        <v>37138</v>
      </c>
      <c r="K7118" s="3" t="s">
        <v>37139</v>
      </c>
      <c r="L7118" s="3"/>
      <c r="M7118" s="4"/>
      <c r="N7118" s="3" t="s">
        <v>37</v>
      </c>
      <c r="O7118" s="3" t="s">
        <v>38</v>
      </c>
      <c r="P7118" s="5">
        <v>6</v>
      </c>
      <c r="Q7118" s="5">
        <v>40</v>
      </c>
      <c r="R7118" s="5">
        <v>5</v>
      </c>
      <c r="S7118" s="5">
        <v>35</v>
      </c>
    </row>
    <row r="7119" spans="1:19" ht="56" x14ac:dyDescent="0.15">
      <c r="A7119" s="2">
        <f>HYPERLINK("https://open-school.uspishnemisto.com.ua/school/440103/", 440103)</f>
        <v>440103</v>
      </c>
      <c r="B7119" s="3" t="s">
        <v>37140</v>
      </c>
      <c r="C7119" s="3" t="s">
        <v>54</v>
      </c>
      <c r="D7119" s="3" t="s">
        <v>175</v>
      </c>
      <c r="E7119" s="4" t="s">
        <v>22</v>
      </c>
      <c r="F7119" s="4" t="s">
        <v>37141</v>
      </c>
      <c r="G7119" s="4" t="s">
        <v>37142</v>
      </c>
      <c r="H7119" s="3" t="s">
        <v>36691</v>
      </c>
      <c r="I7119" s="3" t="s">
        <v>37143</v>
      </c>
      <c r="J7119" s="3" t="s">
        <v>37144</v>
      </c>
      <c r="K7119" s="3" t="s">
        <v>37145</v>
      </c>
      <c r="L7119" s="3" t="s">
        <v>37146</v>
      </c>
      <c r="M7119" s="4"/>
      <c r="N7119" s="3" t="s">
        <v>37</v>
      </c>
      <c r="O7119" s="3" t="s">
        <v>38</v>
      </c>
      <c r="P7119" s="5">
        <v>7</v>
      </c>
      <c r="Q7119" s="5">
        <v>44</v>
      </c>
      <c r="R7119" s="5">
        <v>7</v>
      </c>
      <c r="S7119" s="5">
        <v>46</v>
      </c>
    </row>
    <row r="7120" spans="1:19" ht="28" x14ac:dyDescent="0.15">
      <c r="A7120" s="2">
        <f>HYPERLINK("https://open-school.uspishnemisto.com.ua/school/440104/", 440104)</f>
        <v>440104</v>
      </c>
      <c r="B7120" s="3" t="s">
        <v>37147</v>
      </c>
      <c r="C7120" s="3" t="s">
        <v>31</v>
      </c>
      <c r="D7120" s="3" t="s">
        <v>32</v>
      </c>
      <c r="E7120" s="4" t="s">
        <v>22</v>
      </c>
      <c r="F7120" s="4" t="s">
        <v>37148</v>
      </c>
      <c r="G7120" s="4" t="s">
        <v>37149</v>
      </c>
      <c r="H7120" s="3" t="s">
        <v>36691</v>
      </c>
      <c r="I7120" s="3" t="s">
        <v>12816</v>
      </c>
      <c r="J7120" s="3" t="s">
        <v>37150</v>
      </c>
      <c r="K7120" s="3" t="s">
        <v>37151</v>
      </c>
      <c r="L7120" s="3"/>
      <c r="M7120" s="4"/>
      <c r="N7120" s="3" t="s">
        <v>37</v>
      </c>
      <c r="O7120" s="3" t="s">
        <v>52</v>
      </c>
      <c r="P7120" s="5">
        <v>9</v>
      </c>
      <c r="Q7120" s="5">
        <v>92</v>
      </c>
      <c r="R7120" s="5">
        <v>10</v>
      </c>
      <c r="S7120" s="5">
        <v>100</v>
      </c>
    </row>
    <row r="7121" spans="1:19" ht="56" x14ac:dyDescent="0.15">
      <c r="A7121" s="2">
        <f>HYPERLINK("https://open-school.uspishnemisto.com.ua/school/440105/", 440105)</f>
        <v>440105</v>
      </c>
      <c r="B7121" s="3" t="s">
        <v>37152</v>
      </c>
      <c r="C7121" s="3" t="s">
        <v>54</v>
      </c>
      <c r="D7121" s="3" t="s">
        <v>32</v>
      </c>
      <c r="E7121" s="4" t="s">
        <v>22</v>
      </c>
      <c r="F7121" s="4" t="s">
        <v>37153</v>
      </c>
      <c r="G7121" s="4" t="s">
        <v>37154</v>
      </c>
      <c r="H7121" s="3" t="s">
        <v>36691</v>
      </c>
      <c r="I7121" s="3" t="s">
        <v>12141</v>
      </c>
      <c r="J7121" s="3" t="s">
        <v>37155</v>
      </c>
      <c r="K7121" s="3" t="s">
        <v>37156</v>
      </c>
      <c r="L7121" s="3" t="s">
        <v>37157</v>
      </c>
      <c r="M7121" s="4"/>
      <c r="N7121" s="3" t="s">
        <v>37</v>
      </c>
      <c r="O7121" s="3" t="s">
        <v>38</v>
      </c>
      <c r="P7121" s="5">
        <v>5</v>
      </c>
      <c r="Q7121" s="5">
        <v>40</v>
      </c>
      <c r="R7121" s="5">
        <v>6</v>
      </c>
      <c r="S7121" s="5">
        <v>45</v>
      </c>
    </row>
    <row r="7122" spans="1:19" ht="56" x14ac:dyDescent="0.15">
      <c r="A7122" s="2">
        <f>HYPERLINK("https://open-school.uspishnemisto.com.ua/school/440106/", 440106)</f>
        <v>440106</v>
      </c>
      <c r="B7122" s="3" t="s">
        <v>37158</v>
      </c>
      <c r="C7122" s="3" t="s">
        <v>54</v>
      </c>
      <c r="D7122" s="3" t="s">
        <v>175</v>
      </c>
      <c r="E7122" s="4" t="s">
        <v>22</v>
      </c>
      <c r="F7122" s="4" t="s">
        <v>37159</v>
      </c>
      <c r="G7122" s="4" t="s">
        <v>37160</v>
      </c>
      <c r="H7122" s="3" t="s">
        <v>36691</v>
      </c>
      <c r="I7122" s="3" t="s">
        <v>37161</v>
      </c>
      <c r="J7122" s="3" t="s">
        <v>37162</v>
      </c>
      <c r="K7122" s="3" t="s">
        <v>37163</v>
      </c>
      <c r="L7122" s="3"/>
      <c r="M7122" s="4"/>
      <c r="N7122" s="3" t="s">
        <v>37</v>
      </c>
      <c r="O7122" s="3" t="s">
        <v>38</v>
      </c>
      <c r="P7122" s="5">
        <v>9</v>
      </c>
      <c r="Q7122" s="5">
        <v>79</v>
      </c>
      <c r="R7122" s="5">
        <v>9</v>
      </c>
      <c r="S7122" s="5">
        <v>74</v>
      </c>
    </row>
    <row r="7123" spans="1:19" ht="28" x14ac:dyDescent="0.15">
      <c r="A7123" s="2">
        <f>HYPERLINK("https://open-school.uspishnemisto.com.ua/school/440107/", 440107)</f>
        <v>440107</v>
      </c>
      <c r="B7123" s="3" t="s">
        <v>37164</v>
      </c>
      <c r="C7123" s="3" t="s">
        <v>31</v>
      </c>
      <c r="D7123" s="3" t="s">
        <v>175</v>
      </c>
      <c r="E7123" s="4" t="s">
        <v>22</v>
      </c>
      <c r="F7123" s="4" t="s">
        <v>37165</v>
      </c>
      <c r="G7123" s="4" t="s">
        <v>37166</v>
      </c>
      <c r="H7123" s="3" t="s">
        <v>36691</v>
      </c>
      <c r="I7123" s="3" t="s">
        <v>37167</v>
      </c>
      <c r="J7123" s="3" t="s">
        <v>2719</v>
      </c>
      <c r="K7123" s="3" t="s">
        <v>37168</v>
      </c>
      <c r="L7123" s="3"/>
      <c r="M7123" s="4"/>
      <c r="N7123" s="3" t="s">
        <v>37</v>
      </c>
      <c r="O7123" s="3" t="s">
        <v>38</v>
      </c>
      <c r="P7123" s="5">
        <v>9</v>
      </c>
      <c r="Q7123" s="5">
        <v>77</v>
      </c>
      <c r="R7123" s="5">
        <v>9</v>
      </c>
      <c r="S7123" s="5">
        <v>79</v>
      </c>
    </row>
    <row r="7124" spans="1:19" ht="28" x14ac:dyDescent="0.15">
      <c r="A7124" s="2">
        <f>HYPERLINK("https://open-school.uspishnemisto.com.ua/school/440108/", 440108)</f>
        <v>440108</v>
      </c>
      <c r="B7124" s="3" t="s">
        <v>37169</v>
      </c>
      <c r="C7124" s="3" t="s">
        <v>31</v>
      </c>
      <c r="D7124" s="3" t="s">
        <v>32</v>
      </c>
      <c r="E7124" s="4" t="s">
        <v>22</v>
      </c>
      <c r="F7124" s="4" t="s">
        <v>37170</v>
      </c>
      <c r="G7124" s="4" t="s">
        <v>37171</v>
      </c>
      <c r="H7124" s="3" t="s">
        <v>36691</v>
      </c>
      <c r="I7124" s="3" t="s">
        <v>31249</v>
      </c>
      <c r="J7124" s="3" t="s">
        <v>12836</v>
      </c>
      <c r="K7124" s="3" t="s">
        <v>37172</v>
      </c>
      <c r="L7124" s="3"/>
      <c r="M7124" s="4"/>
      <c r="N7124" s="3" t="s">
        <v>37</v>
      </c>
      <c r="O7124" s="3" t="s">
        <v>38</v>
      </c>
      <c r="P7124" s="5">
        <v>4</v>
      </c>
      <c r="Q7124" s="5">
        <v>48</v>
      </c>
      <c r="R7124" s="5">
        <v>3</v>
      </c>
      <c r="S7124" s="5">
        <v>36</v>
      </c>
    </row>
    <row r="7125" spans="1:19" ht="42" x14ac:dyDescent="0.15">
      <c r="A7125" s="2">
        <f>HYPERLINK("https://open-school.uspishnemisto.com.ua/school/440109/", 440109)</f>
        <v>440109</v>
      </c>
      <c r="B7125" s="3" t="s">
        <v>37173</v>
      </c>
      <c r="C7125" s="3" t="s">
        <v>54</v>
      </c>
      <c r="D7125" s="3" t="s">
        <v>175</v>
      </c>
      <c r="E7125" s="4" t="s">
        <v>22</v>
      </c>
      <c r="F7125" s="4" t="s">
        <v>37174</v>
      </c>
      <c r="G7125" s="4" t="s">
        <v>37175</v>
      </c>
      <c r="H7125" s="3" t="s">
        <v>36691</v>
      </c>
      <c r="I7125" s="3" t="s">
        <v>37176</v>
      </c>
      <c r="J7125" s="3" t="s">
        <v>37177</v>
      </c>
      <c r="K7125" s="3" t="s">
        <v>37178</v>
      </c>
      <c r="L7125" s="3"/>
      <c r="M7125" s="4"/>
      <c r="N7125" s="3" t="s">
        <v>37</v>
      </c>
      <c r="O7125" s="3" t="s">
        <v>38</v>
      </c>
      <c r="P7125" s="5">
        <v>3</v>
      </c>
      <c r="Q7125" s="5">
        <v>34</v>
      </c>
      <c r="R7125" s="5">
        <v>4</v>
      </c>
      <c r="S7125" s="5">
        <v>31</v>
      </c>
    </row>
    <row r="7126" spans="1:19" ht="56" x14ac:dyDescent="0.15">
      <c r="A7126" s="2">
        <f>HYPERLINK("https://open-school.uspishnemisto.com.ua/school/440110/", 440110)</f>
        <v>440110</v>
      </c>
      <c r="B7126" s="3" t="s">
        <v>37179</v>
      </c>
      <c r="C7126" s="3" t="s">
        <v>54</v>
      </c>
      <c r="D7126" s="3" t="s">
        <v>32</v>
      </c>
      <c r="E7126" s="4" t="s">
        <v>22</v>
      </c>
      <c r="F7126" s="4" t="s">
        <v>37180</v>
      </c>
      <c r="G7126" s="4" t="s">
        <v>37181</v>
      </c>
      <c r="H7126" s="3" t="s">
        <v>36691</v>
      </c>
      <c r="I7126" s="3" t="s">
        <v>37182</v>
      </c>
      <c r="J7126" s="3" t="s">
        <v>37183</v>
      </c>
      <c r="K7126" s="3" t="s">
        <v>37184</v>
      </c>
      <c r="L7126" s="3" t="s">
        <v>37185</v>
      </c>
      <c r="M7126" s="4"/>
      <c r="N7126" s="3" t="s">
        <v>37</v>
      </c>
      <c r="O7126" s="3" t="s">
        <v>38</v>
      </c>
      <c r="P7126" s="5">
        <v>10</v>
      </c>
      <c r="Q7126" s="5">
        <v>138</v>
      </c>
      <c r="R7126" s="5">
        <v>10</v>
      </c>
      <c r="S7126" s="5">
        <v>130</v>
      </c>
    </row>
    <row r="7127" spans="1:19" ht="56" x14ac:dyDescent="0.15">
      <c r="A7127" s="2">
        <f>HYPERLINK("https://open-school.uspishnemisto.com.ua/school/440112/", 440112)</f>
        <v>440112</v>
      </c>
      <c r="B7127" s="3" t="s">
        <v>37186</v>
      </c>
      <c r="C7127" s="3" t="s">
        <v>54</v>
      </c>
      <c r="D7127" s="3" t="s">
        <v>32</v>
      </c>
      <c r="E7127" s="4" t="s">
        <v>22</v>
      </c>
      <c r="F7127" s="4" t="s">
        <v>37187</v>
      </c>
      <c r="G7127" s="4" t="s">
        <v>37188</v>
      </c>
      <c r="H7127" s="3" t="s">
        <v>36691</v>
      </c>
      <c r="I7127" s="3" t="s">
        <v>37189</v>
      </c>
      <c r="J7127" s="3" t="s">
        <v>1366</v>
      </c>
      <c r="K7127" s="3" t="s">
        <v>37190</v>
      </c>
      <c r="L7127" s="3"/>
      <c r="M7127" s="4"/>
      <c r="N7127" s="3" t="s">
        <v>37</v>
      </c>
      <c r="O7127" s="3" t="s">
        <v>38</v>
      </c>
      <c r="P7127" s="5">
        <v>9</v>
      </c>
      <c r="Q7127" s="5">
        <v>77</v>
      </c>
      <c r="R7127" s="5">
        <v>8</v>
      </c>
      <c r="S7127" s="5">
        <v>74</v>
      </c>
    </row>
    <row r="7128" spans="1:19" ht="56" x14ac:dyDescent="0.15">
      <c r="A7128" s="2">
        <f>HYPERLINK("https://open-school.uspishnemisto.com.ua/school/440113/", 440113)</f>
        <v>440113</v>
      </c>
      <c r="B7128" s="3" t="s">
        <v>37191</v>
      </c>
      <c r="C7128" s="3" t="s">
        <v>54</v>
      </c>
      <c r="D7128" s="3" t="s">
        <v>32</v>
      </c>
      <c r="E7128" s="4" t="s">
        <v>22</v>
      </c>
      <c r="F7128" s="4" t="s">
        <v>37192</v>
      </c>
      <c r="G7128" s="4" t="s">
        <v>37193</v>
      </c>
      <c r="H7128" s="3" t="s">
        <v>36691</v>
      </c>
      <c r="I7128" s="3" t="s">
        <v>37194</v>
      </c>
      <c r="J7128" s="3" t="s">
        <v>297</v>
      </c>
      <c r="K7128" s="3" t="s">
        <v>37195</v>
      </c>
      <c r="L7128" s="3"/>
      <c r="M7128" s="4"/>
      <c r="N7128" s="3" t="s">
        <v>37</v>
      </c>
      <c r="O7128" s="3" t="s">
        <v>38</v>
      </c>
      <c r="P7128" s="5">
        <v>9</v>
      </c>
      <c r="Q7128" s="5">
        <v>67</v>
      </c>
      <c r="R7128" s="5">
        <v>10</v>
      </c>
      <c r="S7128" s="5">
        <v>69</v>
      </c>
    </row>
    <row r="7129" spans="1:19" ht="56" x14ac:dyDescent="0.15">
      <c r="A7129" s="2">
        <f>HYPERLINK("https://open-school.uspishnemisto.com.ua/school/440114/", 440114)</f>
        <v>440114</v>
      </c>
      <c r="B7129" s="3" t="s">
        <v>37196</v>
      </c>
      <c r="C7129" s="3" t="s">
        <v>54</v>
      </c>
      <c r="D7129" s="3" t="s">
        <v>175</v>
      </c>
      <c r="E7129" s="4" t="s">
        <v>22</v>
      </c>
      <c r="F7129" s="4" t="s">
        <v>37197</v>
      </c>
      <c r="G7129" s="4" t="s">
        <v>37198</v>
      </c>
      <c r="H7129" s="3" t="s">
        <v>36691</v>
      </c>
      <c r="I7129" s="3" t="s">
        <v>37199</v>
      </c>
      <c r="J7129" s="3" t="s">
        <v>513</v>
      </c>
      <c r="K7129" s="3" t="s">
        <v>37200</v>
      </c>
      <c r="L7129" s="3"/>
      <c r="M7129" s="4"/>
      <c r="N7129" s="3" t="s">
        <v>37</v>
      </c>
      <c r="O7129" s="3" t="s">
        <v>52</v>
      </c>
      <c r="P7129" s="5">
        <v>0</v>
      </c>
      <c r="Q7129" s="5">
        <v>0</v>
      </c>
      <c r="R7129" s="5">
        <v>1</v>
      </c>
      <c r="S7129" s="5">
        <v>15</v>
      </c>
    </row>
    <row r="7130" spans="1:19" ht="28" x14ac:dyDescent="0.15">
      <c r="A7130" s="2">
        <f>HYPERLINK("https://open-school.uspishnemisto.com.ua/school/440115/", 440115)</f>
        <v>440115</v>
      </c>
      <c r="B7130" s="3" t="s">
        <v>37201</v>
      </c>
      <c r="C7130" s="3" t="s">
        <v>40</v>
      </c>
      <c r="D7130" s="3" t="s">
        <v>32</v>
      </c>
      <c r="E7130" s="4" t="s">
        <v>22</v>
      </c>
      <c r="F7130" s="4" t="s">
        <v>37202</v>
      </c>
      <c r="G7130" s="4" t="s">
        <v>37203</v>
      </c>
      <c r="H7130" s="3" t="s">
        <v>36691</v>
      </c>
      <c r="I7130" s="3" t="s">
        <v>3537</v>
      </c>
      <c r="J7130" s="3" t="s">
        <v>7277</v>
      </c>
      <c r="K7130" s="3" t="s">
        <v>37204</v>
      </c>
      <c r="L7130" s="3"/>
      <c r="M7130" s="4"/>
      <c r="N7130" s="3" t="s">
        <v>37</v>
      </c>
      <c r="O7130" s="3" t="s">
        <v>38</v>
      </c>
      <c r="P7130" s="5">
        <v>27</v>
      </c>
      <c r="Q7130" s="5">
        <v>569</v>
      </c>
      <c r="R7130" s="5">
        <v>26</v>
      </c>
      <c r="S7130" s="5">
        <v>556</v>
      </c>
    </row>
    <row r="7131" spans="1:19" ht="42" x14ac:dyDescent="0.15">
      <c r="A7131" s="2">
        <f>HYPERLINK("https://open-school.uspishnemisto.com.ua/school/440116/", 440116)</f>
        <v>440116</v>
      </c>
      <c r="B7131" s="3" t="s">
        <v>37205</v>
      </c>
      <c r="C7131" s="3" t="s">
        <v>31</v>
      </c>
      <c r="D7131" s="3" t="s">
        <v>175</v>
      </c>
      <c r="E7131" s="4" t="s">
        <v>22</v>
      </c>
      <c r="F7131" s="4" t="s">
        <v>37202</v>
      </c>
      <c r="G7131" s="4" t="s">
        <v>37203</v>
      </c>
      <c r="H7131" s="3" t="s">
        <v>36691</v>
      </c>
      <c r="I7131" s="3" t="s">
        <v>3537</v>
      </c>
      <c r="J7131" s="3" t="s">
        <v>37206</v>
      </c>
      <c r="K7131" s="3" t="s">
        <v>37207</v>
      </c>
      <c r="L7131" s="3"/>
      <c r="M7131" s="4"/>
      <c r="N7131" s="3" t="s">
        <v>37</v>
      </c>
      <c r="O7131" s="3" t="s">
        <v>38</v>
      </c>
      <c r="P7131" s="5">
        <v>9</v>
      </c>
      <c r="Q7131" s="5">
        <v>104</v>
      </c>
      <c r="R7131" s="5">
        <v>9</v>
      </c>
      <c r="S7131" s="5">
        <v>101</v>
      </c>
    </row>
    <row r="7132" spans="1:19" ht="28" x14ac:dyDescent="0.15">
      <c r="A7132" s="2">
        <f>HYPERLINK("https://open-school.uspishnemisto.com.ua/school/440117/", 440117)</f>
        <v>440117</v>
      </c>
      <c r="B7132" s="3" t="s">
        <v>37208</v>
      </c>
      <c r="C7132" s="3" t="s">
        <v>40</v>
      </c>
      <c r="D7132" s="3" t="s">
        <v>32</v>
      </c>
      <c r="E7132" s="4" t="s">
        <v>22</v>
      </c>
      <c r="F7132" s="4" t="s">
        <v>37209</v>
      </c>
      <c r="G7132" s="4" t="s">
        <v>37210</v>
      </c>
      <c r="H7132" s="3" t="s">
        <v>36691</v>
      </c>
      <c r="I7132" s="3" t="s">
        <v>37211</v>
      </c>
      <c r="J7132" s="3" t="s">
        <v>37212</v>
      </c>
      <c r="K7132" s="3" t="s">
        <v>37213</v>
      </c>
      <c r="L7132" s="3"/>
      <c r="M7132" s="4"/>
      <c r="N7132" s="3" t="s">
        <v>37</v>
      </c>
      <c r="O7132" s="3" t="s">
        <v>38</v>
      </c>
      <c r="P7132" s="5">
        <v>11</v>
      </c>
      <c r="Q7132" s="5">
        <v>126</v>
      </c>
      <c r="R7132" s="5">
        <v>11</v>
      </c>
      <c r="S7132" s="5">
        <v>139</v>
      </c>
    </row>
    <row r="7133" spans="1:19" ht="42" x14ac:dyDescent="0.15">
      <c r="A7133" s="2">
        <f>HYPERLINK("https://open-school.uspishnemisto.com.ua/school/440118/", 440118)</f>
        <v>440118</v>
      </c>
      <c r="B7133" s="3" t="s">
        <v>37214</v>
      </c>
      <c r="C7133" s="3" t="s">
        <v>31</v>
      </c>
      <c r="D7133" s="3" t="s">
        <v>175</v>
      </c>
      <c r="E7133" s="4" t="s">
        <v>22</v>
      </c>
      <c r="F7133" s="4" t="s">
        <v>37215</v>
      </c>
      <c r="G7133" s="4" t="s">
        <v>37216</v>
      </c>
      <c r="H7133" s="3" t="s">
        <v>36691</v>
      </c>
      <c r="I7133" s="3" t="s">
        <v>37027</v>
      </c>
      <c r="J7133" s="3" t="s">
        <v>37217</v>
      </c>
      <c r="K7133" s="3" t="s">
        <v>37218</v>
      </c>
      <c r="L7133" s="3"/>
      <c r="M7133" s="4"/>
      <c r="N7133" s="3" t="s">
        <v>37</v>
      </c>
      <c r="O7133" s="3" t="s">
        <v>38</v>
      </c>
      <c r="P7133" s="5">
        <v>7</v>
      </c>
      <c r="Q7133" s="5">
        <v>51</v>
      </c>
      <c r="R7133" s="5">
        <v>6</v>
      </c>
      <c r="S7133" s="5">
        <v>51</v>
      </c>
    </row>
    <row r="7134" spans="1:19" ht="42" x14ac:dyDescent="0.15">
      <c r="A7134" s="2">
        <f>HYPERLINK("https://open-school.uspishnemisto.com.ua/school/440119/", 440119)</f>
        <v>440119</v>
      </c>
      <c r="B7134" s="3" t="s">
        <v>37219</v>
      </c>
      <c r="C7134" s="3" t="s">
        <v>31</v>
      </c>
      <c r="D7134" s="3" t="s">
        <v>32</v>
      </c>
      <c r="E7134" s="4" t="s">
        <v>22</v>
      </c>
      <c r="F7134" s="4" t="s">
        <v>37220</v>
      </c>
      <c r="G7134" s="4" t="s">
        <v>37221</v>
      </c>
      <c r="H7134" s="3" t="s">
        <v>36691</v>
      </c>
      <c r="I7134" s="3" t="s">
        <v>37222</v>
      </c>
      <c r="J7134" s="3" t="s">
        <v>37223</v>
      </c>
      <c r="K7134" s="3" t="s">
        <v>37224</v>
      </c>
      <c r="L7134" s="3"/>
      <c r="M7134" s="4"/>
      <c r="N7134" s="3" t="s">
        <v>37</v>
      </c>
      <c r="O7134" s="3" t="s">
        <v>38</v>
      </c>
      <c r="P7134" s="5">
        <v>8</v>
      </c>
      <c r="Q7134" s="5">
        <v>60</v>
      </c>
      <c r="R7134" s="5">
        <v>8</v>
      </c>
      <c r="S7134" s="5">
        <v>63</v>
      </c>
    </row>
    <row r="7135" spans="1:19" ht="56" x14ac:dyDescent="0.15">
      <c r="A7135" s="2">
        <f>HYPERLINK("https://open-school.uspishnemisto.com.ua/school/440120/", 440120)</f>
        <v>440120</v>
      </c>
      <c r="B7135" s="3" t="s">
        <v>37225</v>
      </c>
      <c r="C7135" s="3" t="s">
        <v>54</v>
      </c>
      <c r="D7135" s="3" t="s">
        <v>175</v>
      </c>
      <c r="E7135" s="4" t="s">
        <v>22</v>
      </c>
      <c r="F7135" s="4" t="s">
        <v>37226</v>
      </c>
      <c r="G7135" s="4" t="s">
        <v>37227</v>
      </c>
      <c r="H7135" s="3" t="s">
        <v>36691</v>
      </c>
      <c r="I7135" s="3" t="s">
        <v>6822</v>
      </c>
      <c r="J7135" s="3" t="s">
        <v>37228</v>
      </c>
      <c r="K7135" s="3" t="s">
        <v>37229</v>
      </c>
      <c r="L7135" s="3"/>
      <c r="M7135" s="4"/>
      <c r="N7135" s="3" t="s">
        <v>37</v>
      </c>
      <c r="O7135" s="3" t="s">
        <v>38</v>
      </c>
      <c r="P7135" s="5">
        <v>6</v>
      </c>
      <c r="Q7135" s="5">
        <v>47</v>
      </c>
      <c r="R7135" s="5">
        <v>6</v>
      </c>
      <c r="S7135" s="5">
        <v>43</v>
      </c>
    </row>
    <row r="7136" spans="1:19" ht="42" x14ac:dyDescent="0.15">
      <c r="A7136" s="2">
        <f>HYPERLINK("https://open-school.uspishnemisto.com.ua/school/440121/", 440121)</f>
        <v>440121</v>
      </c>
      <c r="B7136" s="3" t="s">
        <v>37230</v>
      </c>
      <c r="C7136" s="3" t="s">
        <v>31</v>
      </c>
      <c r="D7136" s="3" t="s">
        <v>32</v>
      </c>
      <c r="E7136" s="4" t="s">
        <v>22</v>
      </c>
      <c r="F7136" s="4" t="s">
        <v>37231</v>
      </c>
      <c r="G7136" s="4" t="s">
        <v>37232</v>
      </c>
      <c r="H7136" s="3" t="s">
        <v>36691</v>
      </c>
      <c r="I7136" s="3" t="s">
        <v>37233</v>
      </c>
      <c r="J7136" s="3" t="s">
        <v>466</v>
      </c>
      <c r="K7136" s="3" t="s">
        <v>37234</v>
      </c>
      <c r="L7136" s="3"/>
      <c r="M7136" s="4"/>
      <c r="N7136" s="3" t="s">
        <v>37</v>
      </c>
      <c r="O7136" s="3" t="s">
        <v>70</v>
      </c>
      <c r="P7136" s="5">
        <v>10</v>
      </c>
      <c r="Q7136" s="5">
        <v>71</v>
      </c>
      <c r="R7136" s="5">
        <v>11</v>
      </c>
      <c r="S7136" s="5">
        <v>88</v>
      </c>
    </row>
    <row r="7137" spans="1:19" ht="42" x14ac:dyDescent="0.15">
      <c r="A7137" s="2">
        <f>HYPERLINK("https://open-school.uspishnemisto.com.ua/school/440122/", 440122)</f>
        <v>440122</v>
      </c>
      <c r="B7137" s="3" t="s">
        <v>37235</v>
      </c>
      <c r="C7137" s="3" t="s">
        <v>31</v>
      </c>
      <c r="D7137" s="3" t="s">
        <v>175</v>
      </c>
      <c r="E7137" s="4" t="s">
        <v>22</v>
      </c>
      <c r="F7137" s="4" t="s">
        <v>37236</v>
      </c>
      <c r="G7137" s="4" t="s">
        <v>37237</v>
      </c>
      <c r="H7137" s="3" t="s">
        <v>36691</v>
      </c>
      <c r="I7137" s="3" t="s">
        <v>37238</v>
      </c>
      <c r="J7137" s="3" t="s">
        <v>3099</v>
      </c>
      <c r="K7137" s="3" t="s">
        <v>37239</v>
      </c>
      <c r="L7137" s="3"/>
      <c r="M7137" s="4"/>
      <c r="N7137" s="3" t="s">
        <v>37</v>
      </c>
      <c r="O7137" s="3" t="s">
        <v>70</v>
      </c>
      <c r="P7137" s="5">
        <v>7</v>
      </c>
      <c r="Q7137" s="5">
        <v>43</v>
      </c>
      <c r="R7137" s="5">
        <v>7</v>
      </c>
      <c r="S7137" s="5">
        <v>45</v>
      </c>
    </row>
    <row r="7138" spans="1:19" ht="28" x14ac:dyDescent="0.15">
      <c r="A7138" s="2">
        <f>HYPERLINK("https://open-school.uspishnemisto.com.ua/school/440123/", 440123)</f>
        <v>440123</v>
      </c>
      <c r="B7138" s="3" t="s">
        <v>37240</v>
      </c>
      <c r="C7138" s="3" t="s">
        <v>31</v>
      </c>
      <c r="D7138" s="3" t="s">
        <v>32</v>
      </c>
      <c r="E7138" s="4" t="s">
        <v>22</v>
      </c>
      <c r="F7138" s="4" t="s">
        <v>37241</v>
      </c>
      <c r="G7138" s="4" t="s">
        <v>37242</v>
      </c>
      <c r="H7138" s="3" t="s">
        <v>36691</v>
      </c>
      <c r="I7138" s="3" t="s">
        <v>37243</v>
      </c>
      <c r="J7138" s="3" t="s">
        <v>37244</v>
      </c>
      <c r="K7138" s="3" t="s">
        <v>37245</v>
      </c>
      <c r="L7138" s="3"/>
      <c r="M7138" s="4"/>
      <c r="N7138" s="3" t="s">
        <v>37</v>
      </c>
      <c r="O7138" s="3" t="s">
        <v>70</v>
      </c>
      <c r="P7138" s="5">
        <v>14</v>
      </c>
      <c r="Q7138" s="5">
        <v>110</v>
      </c>
      <c r="R7138" s="5">
        <v>11</v>
      </c>
      <c r="S7138" s="5">
        <v>104</v>
      </c>
    </row>
    <row r="7139" spans="1:19" ht="42" x14ac:dyDescent="0.15">
      <c r="A7139" s="2">
        <f>HYPERLINK("https://open-school.uspishnemisto.com.ua/school/440124/", 440124)</f>
        <v>440124</v>
      </c>
      <c r="B7139" s="3" t="s">
        <v>37246</v>
      </c>
      <c r="C7139" s="3" t="s">
        <v>31</v>
      </c>
      <c r="D7139" s="3" t="s">
        <v>32</v>
      </c>
      <c r="E7139" s="4" t="s">
        <v>22</v>
      </c>
      <c r="F7139" s="4" t="s">
        <v>37247</v>
      </c>
      <c r="G7139" s="4" t="s">
        <v>37248</v>
      </c>
      <c r="H7139" s="3" t="s">
        <v>36691</v>
      </c>
      <c r="I7139" s="3" t="s">
        <v>37249</v>
      </c>
      <c r="J7139" s="3" t="s">
        <v>37250</v>
      </c>
      <c r="K7139" s="3" t="s">
        <v>37251</v>
      </c>
      <c r="L7139" s="3" t="s">
        <v>37252</v>
      </c>
      <c r="M7139" s="4"/>
      <c r="N7139" s="3" t="s">
        <v>37</v>
      </c>
      <c r="O7139" s="3" t="s">
        <v>38</v>
      </c>
      <c r="P7139" s="5">
        <v>8</v>
      </c>
      <c r="Q7139" s="5">
        <v>94</v>
      </c>
      <c r="R7139" s="5">
        <v>9</v>
      </c>
      <c r="S7139" s="5">
        <v>101</v>
      </c>
    </row>
    <row r="7140" spans="1:19" ht="28" x14ac:dyDescent="0.15">
      <c r="A7140" s="2">
        <f>HYPERLINK("https://open-school.uspishnemisto.com.ua/school/440125/", 440125)</f>
        <v>440125</v>
      </c>
      <c r="B7140" s="3" t="s">
        <v>37253</v>
      </c>
      <c r="C7140" s="3" t="s">
        <v>31</v>
      </c>
      <c r="D7140" s="3" t="s">
        <v>32</v>
      </c>
      <c r="E7140" s="4" t="s">
        <v>22</v>
      </c>
      <c r="F7140" s="4" t="s">
        <v>37254</v>
      </c>
      <c r="G7140" s="4" t="s">
        <v>37255</v>
      </c>
      <c r="H7140" s="3" t="s">
        <v>36691</v>
      </c>
      <c r="I7140" s="3" t="s">
        <v>37256</v>
      </c>
      <c r="J7140" s="3" t="s">
        <v>37257</v>
      </c>
      <c r="K7140" s="3" t="s">
        <v>37258</v>
      </c>
      <c r="L7140" s="3"/>
      <c r="M7140" s="4"/>
      <c r="N7140" s="3" t="s">
        <v>37</v>
      </c>
      <c r="O7140" s="3" t="s">
        <v>38</v>
      </c>
      <c r="P7140" s="5">
        <v>8</v>
      </c>
      <c r="Q7140" s="5">
        <v>51</v>
      </c>
      <c r="R7140" s="5">
        <v>7</v>
      </c>
      <c r="S7140" s="5">
        <v>53</v>
      </c>
    </row>
    <row r="7141" spans="1:19" ht="42" x14ac:dyDescent="0.15">
      <c r="A7141" s="2">
        <f>HYPERLINK("https://open-school.uspishnemisto.com.ua/school/440126/", 440126)</f>
        <v>440126</v>
      </c>
      <c r="B7141" s="3" t="s">
        <v>37259</v>
      </c>
      <c r="C7141" s="3" t="s">
        <v>31</v>
      </c>
      <c r="D7141" s="3" t="s">
        <v>32</v>
      </c>
      <c r="E7141" s="4" t="s">
        <v>22</v>
      </c>
      <c r="F7141" s="4" t="s">
        <v>37260</v>
      </c>
      <c r="G7141" s="4" t="s">
        <v>37261</v>
      </c>
      <c r="H7141" s="3" t="s">
        <v>36691</v>
      </c>
      <c r="I7141" s="3" t="s">
        <v>37262</v>
      </c>
      <c r="J7141" s="3" t="s">
        <v>761</v>
      </c>
      <c r="K7141" s="3" t="s">
        <v>37263</v>
      </c>
      <c r="L7141" s="3" t="s">
        <v>37264</v>
      </c>
      <c r="M7141" s="4"/>
      <c r="N7141" s="3" t="s">
        <v>37</v>
      </c>
      <c r="O7141" s="3" t="s">
        <v>46</v>
      </c>
      <c r="P7141" s="5">
        <v>5</v>
      </c>
      <c r="Q7141" s="5">
        <v>51</v>
      </c>
      <c r="R7141" s="5">
        <v>6</v>
      </c>
      <c r="S7141" s="5">
        <v>50</v>
      </c>
    </row>
    <row r="7142" spans="1:19" ht="28" x14ac:dyDescent="0.15">
      <c r="A7142" s="2">
        <f>HYPERLINK("https://open-school.uspishnemisto.com.ua/school/440127/", 440127)</f>
        <v>440127</v>
      </c>
      <c r="B7142" s="3" t="s">
        <v>37265</v>
      </c>
      <c r="C7142" s="3" t="s">
        <v>40</v>
      </c>
      <c r="D7142" s="3" t="s">
        <v>32</v>
      </c>
      <c r="E7142" s="4" t="s">
        <v>22</v>
      </c>
      <c r="F7142" s="4" t="s">
        <v>37266</v>
      </c>
      <c r="G7142" s="4" t="s">
        <v>37267</v>
      </c>
      <c r="H7142" s="3" t="s">
        <v>36691</v>
      </c>
      <c r="I7142" s="3" t="s">
        <v>37268</v>
      </c>
      <c r="J7142" s="3" t="s">
        <v>466</v>
      </c>
      <c r="K7142" s="3" t="s">
        <v>37269</v>
      </c>
      <c r="L7142" s="3"/>
      <c r="M7142" s="4"/>
      <c r="N7142" s="3" t="s">
        <v>128</v>
      </c>
      <c r="O7142" s="3" t="s">
        <v>38</v>
      </c>
      <c r="P7142" s="5">
        <v>18</v>
      </c>
      <c r="Q7142" s="5">
        <v>313</v>
      </c>
      <c r="R7142" s="5">
        <v>17</v>
      </c>
      <c r="S7142" s="5">
        <v>293</v>
      </c>
    </row>
    <row r="7143" spans="1:19" ht="28" x14ac:dyDescent="0.15">
      <c r="A7143" s="2">
        <f>HYPERLINK("https://open-school.uspishnemisto.com.ua/school/440128/", 440128)</f>
        <v>440128</v>
      </c>
      <c r="B7143" s="3" t="s">
        <v>37270</v>
      </c>
      <c r="C7143" s="3" t="s">
        <v>31</v>
      </c>
      <c r="D7143" s="3" t="s">
        <v>32</v>
      </c>
      <c r="E7143" s="4" t="s">
        <v>22</v>
      </c>
      <c r="F7143" s="4" t="s">
        <v>37266</v>
      </c>
      <c r="G7143" s="4" t="s">
        <v>37267</v>
      </c>
      <c r="H7143" s="3" t="s">
        <v>36691</v>
      </c>
      <c r="I7143" s="3" t="s">
        <v>37268</v>
      </c>
      <c r="J7143" s="3" t="s">
        <v>37271</v>
      </c>
      <c r="K7143" s="3" t="s">
        <v>37272</v>
      </c>
      <c r="L7143" s="3" t="s">
        <v>37273</v>
      </c>
      <c r="M7143" s="4"/>
      <c r="N7143" s="3" t="s">
        <v>128</v>
      </c>
      <c r="O7143" s="3" t="s">
        <v>70</v>
      </c>
      <c r="P7143" s="5">
        <v>15</v>
      </c>
      <c r="Q7143" s="5">
        <v>211</v>
      </c>
      <c r="R7143" s="5">
        <v>16</v>
      </c>
      <c r="S7143" s="5">
        <v>236</v>
      </c>
    </row>
    <row r="7144" spans="1:19" ht="28" x14ac:dyDescent="0.15">
      <c r="A7144" s="2">
        <f>HYPERLINK("https://open-school.uspishnemisto.com.ua/school/440129/", 440129)</f>
        <v>440129</v>
      </c>
      <c r="B7144" s="3" t="s">
        <v>37274</v>
      </c>
      <c r="C7144" s="3" t="s">
        <v>31</v>
      </c>
      <c r="D7144" s="3" t="s">
        <v>32</v>
      </c>
      <c r="E7144" s="4" t="s">
        <v>22</v>
      </c>
      <c r="F7144" s="4" t="s">
        <v>37275</v>
      </c>
      <c r="G7144" s="4" t="s">
        <v>37276</v>
      </c>
      <c r="H7144" s="3" t="s">
        <v>36691</v>
      </c>
      <c r="I7144" s="3" t="s">
        <v>37277</v>
      </c>
      <c r="J7144" s="3" t="s">
        <v>37278</v>
      </c>
      <c r="K7144" s="3" t="s">
        <v>37279</v>
      </c>
      <c r="L7144" s="3"/>
      <c r="M7144" s="4"/>
      <c r="N7144" s="3" t="s">
        <v>37</v>
      </c>
      <c r="O7144" s="3" t="s">
        <v>38</v>
      </c>
      <c r="P7144" s="5">
        <v>11</v>
      </c>
      <c r="Q7144" s="5">
        <v>134</v>
      </c>
      <c r="R7144" s="5">
        <v>11</v>
      </c>
      <c r="S7144" s="5">
        <v>135</v>
      </c>
    </row>
    <row r="7145" spans="1:19" ht="28" x14ac:dyDescent="0.15">
      <c r="A7145" s="2">
        <f>HYPERLINK("https://open-school.uspishnemisto.com.ua/school/440130/", 440130)</f>
        <v>440130</v>
      </c>
      <c r="B7145" s="3" t="s">
        <v>37280</v>
      </c>
      <c r="C7145" s="3" t="s">
        <v>31</v>
      </c>
      <c r="D7145" s="3" t="s">
        <v>32</v>
      </c>
      <c r="E7145" s="4" t="s">
        <v>22</v>
      </c>
      <c r="F7145" s="4" t="s">
        <v>37281</v>
      </c>
      <c r="G7145" s="4" t="s">
        <v>37282</v>
      </c>
      <c r="H7145" s="3" t="s">
        <v>36691</v>
      </c>
      <c r="I7145" s="3" t="s">
        <v>37283</v>
      </c>
      <c r="J7145" s="3" t="s">
        <v>8465</v>
      </c>
      <c r="K7145" s="3" t="s">
        <v>37284</v>
      </c>
      <c r="L7145" s="3" t="s">
        <v>37285</v>
      </c>
      <c r="M7145" s="4"/>
      <c r="N7145" s="3" t="s">
        <v>37</v>
      </c>
      <c r="O7145" s="3" t="s">
        <v>38</v>
      </c>
      <c r="P7145" s="5">
        <v>11</v>
      </c>
      <c r="Q7145" s="5">
        <v>90</v>
      </c>
      <c r="R7145" s="5">
        <v>11</v>
      </c>
      <c r="S7145" s="5">
        <v>95</v>
      </c>
    </row>
    <row r="7146" spans="1:19" ht="28" x14ac:dyDescent="0.15">
      <c r="A7146" s="2">
        <f>HYPERLINK("https://open-school.uspishnemisto.com.ua/school/440131/", 440131)</f>
        <v>440131</v>
      </c>
      <c r="B7146" s="3" t="s">
        <v>37286</v>
      </c>
      <c r="C7146" s="3" t="s">
        <v>31</v>
      </c>
      <c r="D7146" s="3" t="s">
        <v>32</v>
      </c>
      <c r="E7146" s="4" t="s">
        <v>22</v>
      </c>
      <c r="F7146" s="4" t="s">
        <v>37287</v>
      </c>
      <c r="G7146" s="4" t="s">
        <v>37288</v>
      </c>
      <c r="H7146" s="3" t="s">
        <v>36691</v>
      </c>
      <c r="I7146" s="3" t="s">
        <v>2718</v>
      </c>
      <c r="J7146" s="3" t="s">
        <v>37289</v>
      </c>
      <c r="K7146" s="3" t="s">
        <v>37290</v>
      </c>
      <c r="L7146" s="3"/>
      <c r="M7146" s="4"/>
      <c r="N7146" s="3" t="s">
        <v>37</v>
      </c>
      <c r="O7146" s="3" t="s">
        <v>38</v>
      </c>
      <c r="P7146" s="5">
        <v>11</v>
      </c>
      <c r="Q7146" s="5">
        <v>87</v>
      </c>
      <c r="R7146" s="5">
        <v>11</v>
      </c>
      <c r="S7146" s="5">
        <v>92</v>
      </c>
    </row>
    <row r="7147" spans="1:19" ht="56" x14ac:dyDescent="0.15">
      <c r="A7147" s="2">
        <f>HYPERLINK("https://open-school.uspishnemisto.com.ua/school/440132/", 440132)</f>
        <v>440132</v>
      </c>
      <c r="B7147" s="3" t="s">
        <v>37291</v>
      </c>
      <c r="C7147" s="3" t="s">
        <v>54</v>
      </c>
      <c r="D7147" s="3" t="s">
        <v>32</v>
      </c>
      <c r="E7147" s="4" t="s">
        <v>22</v>
      </c>
      <c r="F7147" s="4" t="s">
        <v>37292</v>
      </c>
      <c r="G7147" s="4" t="s">
        <v>37293</v>
      </c>
      <c r="H7147" s="3" t="s">
        <v>36691</v>
      </c>
      <c r="I7147" s="3" t="s">
        <v>37294</v>
      </c>
      <c r="J7147" s="3" t="s">
        <v>5884</v>
      </c>
      <c r="K7147" s="3" t="s">
        <v>37295</v>
      </c>
      <c r="L7147" s="3" t="s">
        <v>37296</v>
      </c>
      <c r="M7147" s="4"/>
      <c r="N7147" s="3" t="s">
        <v>37</v>
      </c>
      <c r="O7147" s="3" t="s">
        <v>38</v>
      </c>
      <c r="P7147" s="5">
        <v>10</v>
      </c>
      <c r="Q7147" s="5">
        <v>78</v>
      </c>
      <c r="R7147" s="5">
        <v>6</v>
      </c>
      <c r="S7147" s="5">
        <v>74</v>
      </c>
    </row>
    <row r="7148" spans="1:19" ht="28" x14ac:dyDescent="0.15">
      <c r="A7148" s="2">
        <f>HYPERLINK("https://open-school.uspishnemisto.com.ua/school/440133/", 440133)</f>
        <v>440133</v>
      </c>
      <c r="B7148" s="3" t="s">
        <v>37297</v>
      </c>
      <c r="C7148" s="3" t="s">
        <v>31</v>
      </c>
      <c r="D7148" s="3" t="s">
        <v>32</v>
      </c>
      <c r="E7148" s="4" t="s">
        <v>22</v>
      </c>
      <c r="F7148" s="4" t="s">
        <v>37298</v>
      </c>
      <c r="G7148" s="4" t="s">
        <v>37299</v>
      </c>
      <c r="H7148" s="3" t="s">
        <v>36691</v>
      </c>
      <c r="I7148" s="3" t="s">
        <v>15354</v>
      </c>
      <c r="J7148" s="3" t="s">
        <v>37300</v>
      </c>
      <c r="K7148" s="3" t="s">
        <v>37301</v>
      </c>
      <c r="L7148" s="3"/>
      <c r="M7148" s="4"/>
      <c r="N7148" s="3" t="s">
        <v>37</v>
      </c>
      <c r="O7148" s="3" t="s">
        <v>38</v>
      </c>
      <c r="P7148" s="5">
        <v>11</v>
      </c>
      <c r="Q7148" s="5">
        <v>81</v>
      </c>
      <c r="R7148" s="5">
        <v>11</v>
      </c>
      <c r="S7148" s="5">
        <v>93</v>
      </c>
    </row>
    <row r="7149" spans="1:19" ht="56" x14ac:dyDescent="0.15">
      <c r="A7149" s="2">
        <f>HYPERLINK("https://open-school.uspishnemisto.com.ua/school/440134/", 440134)</f>
        <v>440134</v>
      </c>
      <c r="B7149" s="3" t="s">
        <v>37302</v>
      </c>
      <c r="C7149" s="3" t="s">
        <v>54</v>
      </c>
      <c r="D7149" s="3" t="s">
        <v>32</v>
      </c>
      <c r="E7149" s="4" t="s">
        <v>22</v>
      </c>
      <c r="F7149" s="4" t="s">
        <v>37303</v>
      </c>
      <c r="G7149" s="4" t="s">
        <v>37304</v>
      </c>
      <c r="H7149" s="3" t="s">
        <v>36691</v>
      </c>
      <c r="I7149" s="3" t="s">
        <v>37305</v>
      </c>
      <c r="J7149" s="3" t="s">
        <v>37306</v>
      </c>
      <c r="K7149" s="3" t="s">
        <v>37307</v>
      </c>
      <c r="L7149" s="3"/>
      <c r="M7149" s="4"/>
      <c r="N7149" s="3" t="s">
        <v>37</v>
      </c>
      <c r="O7149" s="3" t="s">
        <v>38</v>
      </c>
      <c r="P7149" s="5">
        <v>11</v>
      </c>
      <c r="Q7149" s="5">
        <v>116</v>
      </c>
      <c r="R7149" s="5">
        <v>9</v>
      </c>
      <c r="S7149" s="5">
        <v>108</v>
      </c>
    </row>
    <row r="7150" spans="1:19" ht="28" x14ac:dyDescent="0.15">
      <c r="A7150" s="2">
        <f>HYPERLINK("https://open-school.uspishnemisto.com.ua/school/440135/", 440135)</f>
        <v>440135</v>
      </c>
      <c r="B7150" s="3" t="s">
        <v>37308</v>
      </c>
      <c r="C7150" s="3" t="s">
        <v>31</v>
      </c>
      <c r="D7150" s="3" t="s">
        <v>175</v>
      </c>
      <c r="E7150" s="4" t="s">
        <v>22</v>
      </c>
      <c r="F7150" s="4" t="s">
        <v>37309</v>
      </c>
      <c r="G7150" s="4" t="s">
        <v>37310</v>
      </c>
      <c r="H7150" s="3" t="s">
        <v>36691</v>
      </c>
      <c r="I7150" s="3" t="s">
        <v>37311</v>
      </c>
      <c r="J7150" s="3" t="s">
        <v>6438</v>
      </c>
      <c r="K7150" s="3" t="s">
        <v>37312</v>
      </c>
      <c r="L7150" s="3" t="s">
        <v>37313</v>
      </c>
      <c r="M7150" s="4"/>
      <c r="N7150" s="3" t="s">
        <v>37</v>
      </c>
      <c r="O7150" s="3" t="s">
        <v>38</v>
      </c>
      <c r="P7150" s="5">
        <v>2</v>
      </c>
      <c r="Q7150" s="5">
        <v>25</v>
      </c>
      <c r="R7150" s="5">
        <v>2</v>
      </c>
      <c r="S7150" s="5">
        <v>25</v>
      </c>
    </row>
    <row r="7151" spans="1:19" ht="28" x14ac:dyDescent="0.15">
      <c r="A7151" s="2">
        <f>HYPERLINK("https://open-school.uspishnemisto.com.ua/school/440136/", 440136)</f>
        <v>440136</v>
      </c>
      <c r="B7151" s="3" t="s">
        <v>37314</v>
      </c>
      <c r="C7151" s="3" t="s">
        <v>31</v>
      </c>
      <c r="D7151" s="3" t="s">
        <v>175</v>
      </c>
      <c r="E7151" s="4" t="s">
        <v>22</v>
      </c>
      <c r="F7151" s="4" t="s">
        <v>37315</v>
      </c>
      <c r="G7151" s="4" t="s">
        <v>37316</v>
      </c>
      <c r="H7151" s="3" t="s">
        <v>36691</v>
      </c>
      <c r="I7151" s="3" t="s">
        <v>37317</v>
      </c>
      <c r="J7151" s="3" t="s">
        <v>11043</v>
      </c>
      <c r="K7151" s="3"/>
      <c r="L7151" s="3"/>
      <c r="M7151" s="4"/>
      <c r="N7151" s="3" t="s">
        <v>37</v>
      </c>
      <c r="O7151" s="3" t="s">
        <v>38</v>
      </c>
      <c r="P7151" s="5">
        <v>4</v>
      </c>
      <c r="Q7151" s="5">
        <v>36</v>
      </c>
      <c r="R7151" s="5">
        <v>5</v>
      </c>
      <c r="S7151" s="5">
        <v>38</v>
      </c>
    </row>
    <row r="7152" spans="1:19" ht="28" x14ac:dyDescent="0.15">
      <c r="A7152" s="2">
        <f>HYPERLINK("https://open-school.uspishnemisto.com.ua/school/440137/", 440137)</f>
        <v>440137</v>
      </c>
      <c r="B7152" s="3" t="s">
        <v>37318</v>
      </c>
      <c r="C7152" s="3" t="s">
        <v>31</v>
      </c>
      <c r="D7152" s="3" t="s">
        <v>32</v>
      </c>
      <c r="E7152" s="4" t="s">
        <v>22</v>
      </c>
      <c r="F7152" s="4" t="s">
        <v>37319</v>
      </c>
      <c r="G7152" s="4" t="s">
        <v>37320</v>
      </c>
      <c r="H7152" s="3" t="s">
        <v>36691</v>
      </c>
      <c r="I7152" s="3" t="s">
        <v>37321</v>
      </c>
      <c r="J7152" s="3" t="s">
        <v>37322</v>
      </c>
      <c r="K7152" s="3" t="s">
        <v>37323</v>
      </c>
      <c r="L7152" s="3" t="s">
        <v>37324</v>
      </c>
      <c r="M7152" s="4" t="s">
        <v>37325</v>
      </c>
      <c r="N7152" s="3" t="s">
        <v>128</v>
      </c>
      <c r="O7152" s="3" t="s">
        <v>70</v>
      </c>
      <c r="P7152" s="5">
        <v>20</v>
      </c>
      <c r="Q7152" s="5">
        <v>397</v>
      </c>
      <c r="R7152" s="5">
        <v>19</v>
      </c>
      <c r="S7152" s="5">
        <v>377</v>
      </c>
    </row>
    <row r="7153" spans="1:19" ht="42" x14ac:dyDescent="0.15">
      <c r="A7153" s="2">
        <f>HYPERLINK("https://open-school.uspishnemisto.com.ua/school/440138/", 440138)</f>
        <v>440138</v>
      </c>
      <c r="B7153" s="3" t="s">
        <v>37326</v>
      </c>
      <c r="C7153" s="3" t="s">
        <v>31</v>
      </c>
      <c r="D7153" s="3" t="s">
        <v>32</v>
      </c>
      <c r="E7153" s="4" t="s">
        <v>22</v>
      </c>
      <c r="F7153" s="4" t="s">
        <v>37319</v>
      </c>
      <c r="G7153" s="4" t="s">
        <v>37320</v>
      </c>
      <c r="H7153" s="3" t="s">
        <v>36691</v>
      </c>
      <c r="I7153" s="3" t="s">
        <v>37321</v>
      </c>
      <c r="J7153" s="3" t="s">
        <v>37327</v>
      </c>
      <c r="K7153" s="3" t="s">
        <v>37328</v>
      </c>
      <c r="L7153" s="3"/>
      <c r="M7153" s="4" t="s">
        <v>37329</v>
      </c>
      <c r="N7153" s="3" t="s">
        <v>128</v>
      </c>
      <c r="O7153" s="3" t="s">
        <v>70</v>
      </c>
      <c r="P7153" s="5">
        <v>20</v>
      </c>
      <c r="Q7153" s="5">
        <v>365</v>
      </c>
      <c r="R7153" s="5">
        <v>16</v>
      </c>
      <c r="S7153" s="5">
        <v>314</v>
      </c>
    </row>
    <row r="7154" spans="1:19" ht="28" x14ac:dyDescent="0.15">
      <c r="A7154" s="2">
        <f>HYPERLINK("https://open-school.uspishnemisto.com.ua/school/440139/", 440139)</f>
        <v>440139</v>
      </c>
      <c r="B7154" s="3" t="s">
        <v>37330</v>
      </c>
      <c r="C7154" s="3" t="s">
        <v>2634</v>
      </c>
      <c r="D7154" s="3" t="s">
        <v>175</v>
      </c>
      <c r="E7154" s="4" t="s">
        <v>22</v>
      </c>
      <c r="F7154" s="4" t="s">
        <v>37319</v>
      </c>
      <c r="G7154" s="4" t="s">
        <v>37320</v>
      </c>
      <c r="H7154" s="3" t="s">
        <v>36691</v>
      </c>
      <c r="I7154" s="3" t="s">
        <v>37321</v>
      </c>
      <c r="J7154" s="3" t="s">
        <v>37331</v>
      </c>
      <c r="K7154" s="3" t="s">
        <v>37332</v>
      </c>
      <c r="L7154" s="3" t="s">
        <v>37333</v>
      </c>
      <c r="M7154" s="4" t="s">
        <v>37334</v>
      </c>
      <c r="N7154" s="3" t="s">
        <v>967</v>
      </c>
      <c r="O7154" s="3" t="s">
        <v>52</v>
      </c>
      <c r="P7154" s="5">
        <v>9</v>
      </c>
      <c r="Q7154" s="5">
        <v>152</v>
      </c>
      <c r="R7154" s="5">
        <v>9</v>
      </c>
      <c r="S7154" s="5">
        <v>136</v>
      </c>
    </row>
    <row r="7155" spans="1:19" ht="28" x14ac:dyDescent="0.15">
      <c r="A7155" s="2">
        <f>HYPERLINK("https://open-school.uspishnemisto.com.ua/school/440140/", 440140)</f>
        <v>440140</v>
      </c>
      <c r="B7155" s="3" t="s">
        <v>37335</v>
      </c>
      <c r="C7155" s="3" t="s">
        <v>2634</v>
      </c>
      <c r="D7155" s="3" t="s">
        <v>32</v>
      </c>
      <c r="E7155" s="4" t="s">
        <v>22</v>
      </c>
      <c r="F7155" s="4" t="s">
        <v>37336</v>
      </c>
      <c r="G7155" s="4" t="s">
        <v>37337</v>
      </c>
      <c r="H7155" s="3" t="s">
        <v>36691</v>
      </c>
      <c r="I7155" s="3" t="s">
        <v>37338</v>
      </c>
      <c r="J7155" s="3" t="s">
        <v>37339</v>
      </c>
      <c r="K7155" s="3"/>
      <c r="L7155" s="3"/>
      <c r="M7155" s="4" t="s">
        <v>37340</v>
      </c>
      <c r="N7155" s="3" t="s">
        <v>128</v>
      </c>
      <c r="O7155" s="3" t="s">
        <v>721</v>
      </c>
      <c r="P7155" s="5">
        <v>16</v>
      </c>
      <c r="Q7155" s="5">
        <v>281</v>
      </c>
      <c r="R7155" s="5">
        <v>16</v>
      </c>
      <c r="S7155" s="5">
        <v>302</v>
      </c>
    </row>
    <row r="7156" spans="1:19" ht="28" x14ac:dyDescent="0.15">
      <c r="A7156" s="2">
        <f>HYPERLINK("https://open-school.uspishnemisto.com.ua/school/440141/", 440141)</f>
        <v>440141</v>
      </c>
      <c r="B7156" s="3" t="s">
        <v>37341</v>
      </c>
      <c r="C7156" s="3" t="s">
        <v>40</v>
      </c>
      <c r="D7156" s="3" t="s">
        <v>32</v>
      </c>
      <c r="E7156" s="4" t="s">
        <v>22</v>
      </c>
      <c r="F7156" s="4" t="s">
        <v>37336</v>
      </c>
      <c r="G7156" s="4" t="s">
        <v>37337</v>
      </c>
      <c r="H7156" s="3" t="s">
        <v>36691</v>
      </c>
      <c r="I7156" s="3" t="s">
        <v>37338</v>
      </c>
      <c r="J7156" s="3" t="s">
        <v>7304</v>
      </c>
      <c r="K7156" s="3"/>
      <c r="L7156" s="3"/>
      <c r="M7156" s="4" t="s">
        <v>37342</v>
      </c>
      <c r="N7156" s="3" t="s">
        <v>128</v>
      </c>
      <c r="O7156" s="3" t="s">
        <v>721</v>
      </c>
      <c r="P7156" s="5">
        <v>26</v>
      </c>
      <c r="Q7156" s="5">
        <v>553</v>
      </c>
      <c r="R7156" s="5">
        <v>26</v>
      </c>
      <c r="S7156" s="5">
        <v>517</v>
      </c>
    </row>
    <row r="7157" spans="1:19" ht="28" x14ac:dyDescent="0.15">
      <c r="A7157" s="2">
        <f>HYPERLINK("https://open-school.uspishnemisto.com.ua/school/440142/", 440142)</f>
        <v>440142</v>
      </c>
      <c r="B7157" s="3" t="s">
        <v>37343</v>
      </c>
      <c r="C7157" s="3" t="s">
        <v>40</v>
      </c>
      <c r="D7157" s="3" t="s">
        <v>32</v>
      </c>
      <c r="E7157" s="4" t="s">
        <v>22</v>
      </c>
      <c r="F7157" s="4" t="s">
        <v>37344</v>
      </c>
      <c r="G7157" s="4" t="s">
        <v>37345</v>
      </c>
      <c r="H7157" s="3" t="s">
        <v>36691</v>
      </c>
      <c r="I7157" s="3" t="s">
        <v>11964</v>
      </c>
      <c r="J7157" s="3" t="s">
        <v>31351</v>
      </c>
      <c r="K7157" s="3" t="s">
        <v>37346</v>
      </c>
      <c r="L7157" s="3"/>
      <c r="M7157" s="4"/>
      <c r="N7157" s="3" t="s">
        <v>37</v>
      </c>
      <c r="O7157" s="3" t="s">
        <v>721</v>
      </c>
      <c r="P7157" s="5">
        <v>11</v>
      </c>
      <c r="Q7157" s="5">
        <v>122</v>
      </c>
      <c r="R7157" s="5">
        <v>11</v>
      </c>
      <c r="S7157" s="5">
        <v>129</v>
      </c>
    </row>
    <row r="7158" spans="1:19" ht="28" x14ac:dyDescent="0.15">
      <c r="A7158" s="2">
        <f>HYPERLINK("https://open-school.uspishnemisto.com.ua/school/440143/", 440143)</f>
        <v>440143</v>
      </c>
      <c r="B7158" s="3" t="s">
        <v>37347</v>
      </c>
      <c r="C7158" s="3" t="s">
        <v>31</v>
      </c>
      <c r="D7158" s="3" t="s">
        <v>175</v>
      </c>
      <c r="E7158" s="4" t="s">
        <v>22</v>
      </c>
      <c r="F7158" s="4" t="s">
        <v>37348</v>
      </c>
      <c r="G7158" s="4" t="s">
        <v>37349</v>
      </c>
      <c r="H7158" s="3" t="s">
        <v>36691</v>
      </c>
      <c r="I7158" s="3" t="s">
        <v>37350</v>
      </c>
      <c r="J7158" s="3" t="s">
        <v>37351</v>
      </c>
      <c r="K7158" s="3" t="s">
        <v>37352</v>
      </c>
      <c r="L7158" s="3"/>
      <c r="M7158" s="4"/>
      <c r="N7158" s="3" t="s">
        <v>37</v>
      </c>
      <c r="O7158" s="3" t="s">
        <v>38</v>
      </c>
      <c r="P7158" s="5">
        <v>6</v>
      </c>
      <c r="Q7158" s="5">
        <v>42</v>
      </c>
      <c r="R7158" s="5">
        <v>7</v>
      </c>
      <c r="S7158" s="5">
        <v>43</v>
      </c>
    </row>
    <row r="7159" spans="1:19" ht="28" x14ac:dyDescent="0.15">
      <c r="A7159" s="2">
        <f>HYPERLINK("https://open-school.uspishnemisto.com.ua/school/440144/", 440144)</f>
        <v>440144</v>
      </c>
      <c r="B7159" s="3" t="s">
        <v>37353</v>
      </c>
      <c r="C7159" s="3" t="s">
        <v>31</v>
      </c>
      <c r="D7159" s="3" t="s">
        <v>32</v>
      </c>
      <c r="E7159" s="4" t="s">
        <v>22</v>
      </c>
      <c r="F7159" s="4" t="s">
        <v>37354</v>
      </c>
      <c r="G7159" s="4" t="s">
        <v>37355</v>
      </c>
      <c r="H7159" s="3" t="s">
        <v>36691</v>
      </c>
      <c r="I7159" s="3" t="s">
        <v>37356</v>
      </c>
      <c r="J7159" s="3" t="s">
        <v>1348</v>
      </c>
      <c r="K7159" s="3" t="s">
        <v>37357</v>
      </c>
      <c r="L7159" s="3"/>
      <c r="M7159" s="4"/>
      <c r="N7159" s="3" t="s">
        <v>967</v>
      </c>
      <c r="O7159" s="3" t="s">
        <v>52</v>
      </c>
      <c r="P7159" s="5">
        <v>10</v>
      </c>
      <c r="Q7159" s="5">
        <v>81</v>
      </c>
      <c r="R7159" s="5">
        <v>11</v>
      </c>
      <c r="S7159" s="5">
        <v>86</v>
      </c>
    </row>
    <row r="7160" spans="1:19" ht="28" x14ac:dyDescent="0.15">
      <c r="A7160" s="2">
        <f>HYPERLINK("https://open-school.uspishnemisto.com.ua/school/440145/", 440145)</f>
        <v>440145</v>
      </c>
      <c r="B7160" s="3" t="s">
        <v>37358</v>
      </c>
      <c r="C7160" s="3" t="s">
        <v>31</v>
      </c>
      <c r="D7160" s="3" t="s">
        <v>32</v>
      </c>
      <c r="E7160" s="4" t="s">
        <v>22</v>
      </c>
      <c r="F7160" s="4" t="s">
        <v>37359</v>
      </c>
      <c r="G7160" s="4" t="s">
        <v>37360</v>
      </c>
      <c r="H7160" s="3" t="s">
        <v>36691</v>
      </c>
      <c r="I7160" s="3" t="s">
        <v>37361</v>
      </c>
      <c r="J7160" s="3" t="s">
        <v>37362</v>
      </c>
      <c r="K7160" s="3" t="s">
        <v>37363</v>
      </c>
      <c r="L7160" s="3"/>
      <c r="M7160" s="4"/>
      <c r="N7160" s="3" t="s">
        <v>128</v>
      </c>
      <c r="O7160" s="3" t="s">
        <v>52</v>
      </c>
      <c r="P7160" s="5">
        <v>6</v>
      </c>
      <c r="Q7160" s="5">
        <v>49</v>
      </c>
      <c r="R7160" s="5">
        <v>8</v>
      </c>
      <c r="S7160" s="5">
        <v>56</v>
      </c>
    </row>
    <row r="7161" spans="1:19" ht="28" x14ac:dyDescent="0.15">
      <c r="A7161" s="2">
        <f>HYPERLINK("https://open-school.uspishnemisto.com.ua/school/440146/", 440146)</f>
        <v>440146</v>
      </c>
      <c r="B7161" s="3" t="s">
        <v>37364</v>
      </c>
      <c r="C7161" s="3" t="s">
        <v>31</v>
      </c>
      <c r="D7161" s="3" t="s">
        <v>32</v>
      </c>
      <c r="E7161" s="4" t="s">
        <v>22</v>
      </c>
      <c r="F7161" s="4" t="s">
        <v>37365</v>
      </c>
      <c r="G7161" s="4" t="s">
        <v>37366</v>
      </c>
      <c r="H7161" s="3" t="s">
        <v>36691</v>
      </c>
      <c r="I7161" s="3" t="s">
        <v>37367</v>
      </c>
      <c r="J7161" s="3" t="s">
        <v>37368</v>
      </c>
      <c r="K7161" s="3" t="s">
        <v>37369</v>
      </c>
      <c r="L7161" s="3"/>
      <c r="M7161" s="4"/>
      <c r="N7161" s="3" t="s">
        <v>967</v>
      </c>
      <c r="O7161" s="3" t="s">
        <v>52</v>
      </c>
      <c r="P7161" s="5">
        <v>10</v>
      </c>
      <c r="Q7161" s="5">
        <v>70</v>
      </c>
      <c r="R7161" s="5">
        <v>9</v>
      </c>
      <c r="S7161" s="5">
        <v>65</v>
      </c>
    </row>
    <row r="7162" spans="1:19" ht="28" x14ac:dyDescent="0.15">
      <c r="A7162" s="2">
        <f>HYPERLINK("https://open-school.uspishnemisto.com.ua/school/440147/", 440147)</f>
        <v>440147</v>
      </c>
      <c r="B7162" s="3" t="s">
        <v>37370</v>
      </c>
      <c r="C7162" s="3" t="s">
        <v>54</v>
      </c>
      <c r="D7162" s="3" t="s">
        <v>32</v>
      </c>
      <c r="E7162" s="4" t="s">
        <v>22</v>
      </c>
      <c r="F7162" s="4" t="s">
        <v>37371</v>
      </c>
      <c r="G7162" s="4" t="s">
        <v>37372</v>
      </c>
      <c r="H7162" s="3" t="s">
        <v>36691</v>
      </c>
      <c r="I7162" s="3" t="s">
        <v>11923</v>
      </c>
      <c r="J7162" s="3" t="s">
        <v>12552</v>
      </c>
      <c r="K7162" s="3" t="s">
        <v>37373</v>
      </c>
      <c r="L7162" s="3"/>
      <c r="M7162" s="4"/>
      <c r="N7162" s="3" t="s">
        <v>37</v>
      </c>
      <c r="O7162" s="3" t="s">
        <v>38</v>
      </c>
      <c r="P7162" s="5">
        <v>7</v>
      </c>
      <c r="Q7162" s="5">
        <v>47</v>
      </c>
      <c r="R7162" s="5">
        <v>7</v>
      </c>
      <c r="S7162" s="5">
        <v>47</v>
      </c>
    </row>
    <row r="7163" spans="1:19" ht="56" x14ac:dyDescent="0.15">
      <c r="A7163" s="2">
        <f>HYPERLINK("https://open-school.uspishnemisto.com.ua/school/440148/", 440148)</f>
        <v>440148</v>
      </c>
      <c r="B7163" s="3" t="s">
        <v>37374</v>
      </c>
      <c r="C7163" s="3" t="s">
        <v>54</v>
      </c>
      <c r="D7163" s="3" t="s">
        <v>175</v>
      </c>
      <c r="E7163" s="4" t="s">
        <v>22</v>
      </c>
      <c r="F7163" s="4" t="s">
        <v>37375</v>
      </c>
      <c r="G7163" s="4" t="s">
        <v>37376</v>
      </c>
      <c r="H7163" s="3" t="s">
        <v>36691</v>
      </c>
      <c r="I7163" s="3" t="s">
        <v>37377</v>
      </c>
      <c r="J7163" s="3" t="s">
        <v>37378</v>
      </c>
      <c r="K7163" s="3" t="s">
        <v>37379</v>
      </c>
      <c r="L7163" s="3"/>
      <c r="M7163" s="4"/>
      <c r="N7163" s="3" t="s">
        <v>37</v>
      </c>
      <c r="O7163" s="3" t="s">
        <v>38</v>
      </c>
      <c r="P7163" s="5">
        <v>2</v>
      </c>
      <c r="Q7163" s="5">
        <v>40</v>
      </c>
      <c r="R7163" s="5">
        <v>3</v>
      </c>
      <c r="S7163" s="5">
        <v>43</v>
      </c>
    </row>
    <row r="7164" spans="1:19" ht="28" x14ac:dyDescent="0.15">
      <c r="A7164" s="2">
        <f>HYPERLINK("https://open-school.uspishnemisto.com.ua/school/440149/", 440149)</f>
        <v>440149</v>
      </c>
      <c r="B7164" s="3" t="s">
        <v>37380</v>
      </c>
      <c r="C7164" s="3" t="s">
        <v>54</v>
      </c>
      <c r="D7164" s="3" t="s">
        <v>32</v>
      </c>
      <c r="E7164" s="4" t="s">
        <v>22</v>
      </c>
      <c r="F7164" s="4" t="s">
        <v>37381</v>
      </c>
      <c r="G7164" s="4" t="s">
        <v>37382</v>
      </c>
      <c r="H7164" s="3" t="s">
        <v>36691</v>
      </c>
      <c r="I7164" s="3" t="s">
        <v>37383</v>
      </c>
      <c r="J7164" s="3" t="s">
        <v>37384</v>
      </c>
      <c r="K7164" s="3"/>
      <c r="L7164" s="3"/>
      <c r="M7164" s="4"/>
      <c r="N7164" s="3" t="s">
        <v>37</v>
      </c>
      <c r="O7164" s="3" t="s">
        <v>38</v>
      </c>
      <c r="P7164" s="5">
        <v>3</v>
      </c>
      <c r="Q7164" s="5">
        <v>38</v>
      </c>
      <c r="R7164" s="5">
        <v>4</v>
      </c>
      <c r="S7164" s="5">
        <v>34</v>
      </c>
    </row>
    <row r="7165" spans="1:19" ht="42" x14ac:dyDescent="0.15">
      <c r="A7165" s="2">
        <f>HYPERLINK("https://open-school.uspishnemisto.com.ua/school/440150/", 440150)</f>
        <v>440150</v>
      </c>
      <c r="B7165" s="3" t="s">
        <v>37385</v>
      </c>
      <c r="C7165" s="3" t="s">
        <v>54</v>
      </c>
      <c r="D7165" s="3" t="s">
        <v>32</v>
      </c>
      <c r="E7165" s="4" t="s">
        <v>22</v>
      </c>
      <c r="F7165" s="4" t="s">
        <v>37386</v>
      </c>
      <c r="G7165" s="4" t="s">
        <v>37387</v>
      </c>
      <c r="H7165" s="3" t="s">
        <v>36691</v>
      </c>
      <c r="I7165" s="3" t="s">
        <v>37388</v>
      </c>
      <c r="J7165" s="3" t="s">
        <v>1209</v>
      </c>
      <c r="K7165" s="3" t="s">
        <v>37389</v>
      </c>
      <c r="L7165" s="3"/>
      <c r="M7165" s="4"/>
      <c r="N7165" s="3" t="s">
        <v>37</v>
      </c>
      <c r="O7165" s="3" t="s">
        <v>38</v>
      </c>
      <c r="P7165" s="5">
        <v>5</v>
      </c>
      <c r="Q7165" s="5">
        <v>48</v>
      </c>
      <c r="R7165" s="5">
        <v>5</v>
      </c>
      <c r="S7165" s="5">
        <v>47</v>
      </c>
    </row>
    <row r="7166" spans="1:19" ht="56" x14ac:dyDescent="0.15">
      <c r="A7166" s="2">
        <f>HYPERLINK("https://open-school.uspishnemisto.com.ua/school/440151/", 440151)</f>
        <v>440151</v>
      </c>
      <c r="B7166" s="3" t="s">
        <v>37390</v>
      </c>
      <c r="C7166" s="3" t="s">
        <v>54</v>
      </c>
      <c r="D7166" s="3" t="s">
        <v>32</v>
      </c>
      <c r="E7166" s="4" t="s">
        <v>22</v>
      </c>
      <c r="F7166" s="4" t="s">
        <v>37391</v>
      </c>
      <c r="G7166" s="4" t="s">
        <v>37392</v>
      </c>
      <c r="H7166" s="3" t="s">
        <v>36691</v>
      </c>
      <c r="I7166" s="3" t="s">
        <v>37393</v>
      </c>
      <c r="J7166" s="3" t="s">
        <v>3146</v>
      </c>
      <c r="K7166" s="3" t="s">
        <v>37394</v>
      </c>
      <c r="L7166" s="3"/>
      <c r="M7166" s="4"/>
      <c r="N7166" s="3" t="s">
        <v>37</v>
      </c>
      <c r="O7166" s="3" t="s">
        <v>721</v>
      </c>
      <c r="P7166" s="5">
        <v>9</v>
      </c>
      <c r="Q7166" s="5">
        <v>70</v>
      </c>
      <c r="R7166" s="5">
        <v>7</v>
      </c>
      <c r="S7166" s="5">
        <v>67</v>
      </c>
    </row>
    <row r="7167" spans="1:19" ht="28" x14ac:dyDescent="0.15">
      <c r="A7167" s="2">
        <f>HYPERLINK("https://open-school.uspishnemisto.com.ua/school/440152/", 440152)</f>
        <v>440152</v>
      </c>
      <c r="B7167" s="3" t="s">
        <v>37395</v>
      </c>
      <c r="C7167" s="3" t="s">
        <v>31</v>
      </c>
      <c r="D7167" s="3" t="s">
        <v>32</v>
      </c>
      <c r="E7167" s="4" t="s">
        <v>22</v>
      </c>
      <c r="F7167" s="4" t="s">
        <v>37396</v>
      </c>
      <c r="G7167" s="4" t="s">
        <v>37397</v>
      </c>
      <c r="H7167" s="3" t="s">
        <v>36691</v>
      </c>
      <c r="I7167" s="3" t="s">
        <v>37398</v>
      </c>
      <c r="J7167" s="3" t="s">
        <v>5913</v>
      </c>
      <c r="K7167" s="3" t="s">
        <v>37399</v>
      </c>
      <c r="L7167" s="3"/>
      <c r="M7167" s="4"/>
      <c r="N7167" s="3" t="s">
        <v>967</v>
      </c>
      <c r="O7167" s="3" t="s">
        <v>2740</v>
      </c>
      <c r="P7167" s="5">
        <v>11</v>
      </c>
      <c r="Q7167" s="5">
        <v>89</v>
      </c>
      <c r="R7167" s="5">
        <v>11</v>
      </c>
      <c r="S7167" s="5">
        <v>99</v>
      </c>
    </row>
    <row r="7168" spans="1:19" ht="28" x14ac:dyDescent="0.15">
      <c r="A7168" s="2">
        <f>HYPERLINK("https://open-school.uspishnemisto.com.ua/school/440153/", 440153)</f>
        <v>440153</v>
      </c>
      <c r="B7168" s="3" t="s">
        <v>37400</v>
      </c>
      <c r="C7168" s="3" t="s">
        <v>54</v>
      </c>
      <c r="D7168" s="3" t="s">
        <v>32</v>
      </c>
      <c r="E7168" s="4" t="s">
        <v>22</v>
      </c>
      <c r="F7168" s="4" t="s">
        <v>37401</v>
      </c>
      <c r="G7168" s="4" t="s">
        <v>37402</v>
      </c>
      <c r="H7168" s="3" t="s">
        <v>36691</v>
      </c>
      <c r="I7168" s="3" t="s">
        <v>37403</v>
      </c>
      <c r="J7168" s="3" t="s">
        <v>37404</v>
      </c>
      <c r="K7168" s="3" t="s">
        <v>37405</v>
      </c>
      <c r="L7168" s="3"/>
      <c r="M7168" s="4"/>
      <c r="N7168" s="3" t="s">
        <v>37</v>
      </c>
      <c r="O7168" s="3" t="s">
        <v>38</v>
      </c>
      <c r="P7168" s="5">
        <v>6</v>
      </c>
      <c r="Q7168" s="5">
        <v>49</v>
      </c>
      <c r="R7168" s="5">
        <v>6</v>
      </c>
      <c r="S7168" s="5">
        <v>54</v>
      </c>
    </row>
    <row r="7169" spans="1:19" ht="28" x14ac:dyDescent="0.15">
      <c r="A7169" s="2">
        <f>HYPERLINK("https://open-school.uspishnemisto.com.ua/school/440154/", 440154)</f>
        <v>440154</v>
      </c>
      <c r="B7169" s="3" t="s">
        <v>37406</v>
      </c>
      <c r="C7169" s="3" t="s">
        <v>31</v>
      </c>
      <c r="D7169" s="3" t="s">
        <v>32</v>
      </c>
      <c r="E7169" s="4" t="s">
        <v>22</v>
      </c>
      <c r="F7169" s="4" t="s">
        <v>37407</v>
      </c>
      <c r="G7169" s="4" t="s">
        <v>37408</v>
      </c>
      <c r="H7169" s="3" t="s">
        <v>36691</v>
      </c>
      <c r="I7169" s="3" t="s">
        <v>37409</v>
      </c>
      <c r="J7169" s="3" t="s">
        <v>3146</v>
      </c>
      <c r="K7169" s="3"/>
      <c r="L7169" s="3" t="s">
        <v>37410</v>
      </c>
      <c r="M7169" s="4"/>
      <c r="N7169" s="3" t="s">
        <v>128</v>
      </c>
      <c r="O7169" s="3" t="s">
        <v>52</v>
      </c>
      <c r="P7169" s="5">
        <v>7</v>
      </c>
      <c r="Q7169" s="5">
        <v>67</v>
      </c>
      <c r="R7169" s="5">
        <v>7</v>
      </c>
      <c r="S7169" s="5">
        <v>68</v>
      </c>
    </row>
    <row r="7170" spans="1:19" ht="28" x14ac:dyDescent="0.15">
      <c r="A7170" s="2">
        <f>HYPERLINK("https://open-school.uspishnemisto.com.ua/school/440155/", 440155)</f>
        <v>440155</v>
      </c>
      <c r="B7170" s="3" t="s">
        <v>37411</v>
      </c>
      <c r="C7170" s="3" t="s">
        <v>31</v>
      </c>
      <c r="D7170" s="3" t="s">
        <v>32</v>
      </c>
      <c r="E7170" s="4" t="s">
        <v>22</v>
      </c>
      <c r="F7170" s="4" t="s">
        <v>37412</v>
      </c>
      <c r="G7170" s="4" t="s">
        <v>37413</v>
      </c>
      <c r="H7170" s="3" t="s">
        <v>36691</v>
      </c>
      <c r="I7170" s="3" t="s">
        <v>23146</v>
      </c>
      <c r="J7170" s="3" t="s">
        <v>14979</v>
      </c>
      <c r="K7170" s="3" t="s">
        <v>37414</v>
      </c>
      <c r="L7170" s="3"/>
      <c r="M7170" s="4"/>
      <c r="N7170" s="3" t="s">
        <v>37</v>
      </c>
      <c r="O7170" s="3" t="s">
        <v>38</v>
      </c>
      <c r="P7170" s="5">
        <v>5</v>
      </c>
      <c r="Q7170" s="5">
        <v>46</v>
      </c>
      <c r="R7170" s="5">
        <v>7</v>
      </c>
      <c r="S7170" s="5">
        <v>54</v>
      </c>
    </row>
    <row r="7171" spans="1:19" ht="28" x14ac:dyDescent="0.15">
      <c r="A7171" s="2">
        <f>HYPERLINK("https://open-school.uspishnemisto.com.ua/school/440156/", 440156)</f>
        <v>440156</v>
      </c>
      <c r="B7171" s="3" t="s">
        <v>37415</v>
      </c>
      <c r="C7171" s="3" t="s">
        <v>31</v>
      </c>
      <c r="D7171" s="3" t="s">
        <v>32</v>
      </c>
      <c r="E7171" s="4" t="s">
        <v>22</v>
      </c>
      <c r="F7171" s="4" t="s">
        <v>37416</v>
      </c>
      <c r="G7171" s="4" t="s">
        <v>37417</v>
      </c>
      <c r="H7171" s="3" t="s">
        <v>36691</v>
      </c>
      <c r="I7171" s="3" t="s">
        <v>37418</v>
      </c>
      <c r="J7171" s="3" t="s">
        <v>946</v>
      </c>
      <c r="K7171" s="3" t="s">
        <v>37419</v>
      </c>
      <c r="L7171" s="3"/>
      <c r="M7171" s="4"/>
      <c r="N7171" s="3" t="s">
        <v>37</v>
      </c>
      <c r="O7171" s="3" t="s">
        <v>38</v>
      </c>
      <c r="P7171" s="5">
        <v>10</v>
      </c>
      <c r="Q7171" s="5">
        <v>84</v>
      </c>
      <c r="R7171" s="5">
        <v>10</v>
      </c>
      <c r="S7171" s="5">
        <v>82</v>
      </c>
    </row>
    <row r="7172" spans="1:19" ht="28" x14ac:dyDescent="0.15">
      <c r="A7172" s="2">
        <f>HYPERLINK("https://open-school.uspishnemisto.com.ua/school/440157/", 440157)</f>
        <v>440157</v>
      </c>
      <c r="B7172" s="3" t="s">
        <v>37420</v>
      </c>
      <c r="C7172" s="3" t="s">
        <v>31</v>
      </c>
      <c r="D7172" s="3" t="s">
        <v>32</v>
      </c>
      <c r="E7172" s="4" t="s">
        <v>22</v>
      </c>
      <c r="F7172" s="4" t="s">
        <v>37421</v>
      </c>
      <c r="G7172" s="4" t="s">
        <v>37422</v>
      </c>
      <c r="H7172" s="3" t="s">
        <v>36691</v>
      </c>
      <c r="I7172" s="3" t="s">
        <v>37423</v>
      </c>
      <c r="J7172" s="3" t="s">
        <v>37424</v>
      </c>
      <c r="K7172" s="3" t="s">
        <v>37425</v>
      </c>
      <c r="L7172" s="3" t="s">
        <v>37426</v>
      </c>
      <c r="M7172" s="4"/>
      <c r="N7172" s="3" t="s">
        <v>37</v>
      </c>
      <c r="O7172" s="3" t="s">
        <v>38</v>
      </c>
      <c r="P7172" s="5">
        <v>13</v>
      </c>
      <c r="Q7172" s="5">
        <v>239</v>
      </c>
      <c r="R7172" s="5">
        <v>13</v>
      </c>
      <c r="S7172" s="5">
        <v>246</v>
      </c>
    </row>
    <row r="7173" spans="1:19" ht="28" x14ac:dyDescent="0.15">
      <c r="A7173" s="2">
        <f>HYPERLINK("https://open-school.uspishnemisto.com.ua/school/440158/", 440158)</f>
        <v>440158</v>
      </c>
      <c r="B7173" s="3" t="s">
        <v>37427</v>
      </c>
      <c r="C7173" s="3" t="s">
        <v>31</v>
      </c>
      <c r="D7173" s="3" t="s">
        <v>32</v>
      </c>
      <c r="E7173" s="4" t="s">
        <v>22</v>
      </c>
      <c r="F7173" s="4" t="s">
        <v>37428</v>
      </c>
      <c r="G7173" s="4" t="s">
        <v>37422</v>
      </c>
      <c r="H7173" s="3" t="s">
        <v>36691</v>
      </c>
      <c r="I7173" s="3" t="s">
        <v>37423</v>
      </c>
      <c r="J7173" s="3" t="s">
        <v>11826</v>
      </c>
      <c r="K7173" s="3" t="s">
        <v>37429</v>
      </c>
      <c r="L7173" s="3" t="s">
        <v>37430</v>
      </c>
      <c r="M7173" s="4"/>
      <c r="N7173" s="3" t="s">
        <v>128</v>
      </c>
      <c r="O7173" s="3" t="s">
        <v>70</v>
      </c>
      <c r="P7173" s="5">
        <v>27</v>
      </c>
      <c r="Q7173" s="5">
        <v>683</v>
      </c>
      <c r="R7173" s="5">
        <v>28</v>
      </c>
      <c r="S7173" s="5">
        <v>690</v>
      </c>
    </row>
    <row r="7174" spans="1:19" ht="28" x14ac:dyDescent="0.15">
      <c r="A7174" s="2">
        <f>HYPERLINK("https://open-school.uspishnemisto.com.ua/school/440159/", 440159)</f>
        <v>440159</v>
      </c>
      <c r="B7174" s="3" t="s">
        <v>37431</v>
      </c>
      <c r="C7174" s="3" t="s">
        <v>40</v>
      </c>
      <c r="D7174" s="3" t="s">
        <v>32</v>
      </c>
      <c r="E7174" s="4" t="s">
        <v>22</v>
      </c>
      <c r="F7174" s="4" t="s">
        <v>37432</v>
      </c>
      <c r="G7174" s="4" t="s">
        <v>37433</v>
      </c>
      <c r="H7174" s="3" t="s">
        <v>36691</v>
      </c>
      <c r="I7174" s="3" t="s">
        <v>37434</v>
      </c>
      <c r="J7174" s="3" t="s">
        <v>37435</v>
      </c>
      <c r="K7174" s="3" t="s">
        <v>37436</v>
      </c>
      <c r="L7174" s="3"/>
      <c r="M7174" s="4"/>
      <c r="N7174" s="3" t="s">
        <v>37</v>
      </c>
      <c r="O7174" s="3" t="s">
        <v>38</v>
      </c>
      <c r="P7174" s="5">
        <v>12</v>
      </c>
      <c r="Q7174" s="5">
        <v>211</v>
      </c>
      <c r="R7174" s="5">
        <v>12</v>
      </c>
      <c r="S7174" s="5">
        <v>229</v>
      </c>
    </row>
    <row r="7175" spans="1:19" ht="28" x14ac:dyDescent="0.15">
      <c r="A7175" s="2">
        <f>HYPERLINK("https://open-school.uspishnemisto.com.ua/school/440160/", 440160)</f>
        <v>440160</v>
      </c>
      <c r="B7175" s="3" t="s">
        <v>37437</v>
      </c>
      <c r="C7175" s="3" t="s">
        <v>31</v>
      </c>
      <c r="D7175" s="3" t="s">
        <v>175</v>
      </c>
      <c r="E7175" s="4" t="s">
        <v>22</v>
      </c>
      <c r="F7175" s="4" t="s">
        <v>37432</v>
      </c>
      <c r="G7175" s="4" t="s">
        <v>37433</v>
      </c>
      <c r="H7175" s="3" t="s">
        <v>36691</v>
      </c>
      <c r="I7175" s="3" t="s">
        <v>37434</v>
      </c>
      <c r="J7175" s="3" t="s">
        <v>3458</v>
      </c>
      <c r="K7175" s="3" t="s">
        <v>37438</v>
      </c>
      <c r="L7175" s="3"/>
      <c r="M7175" s="4"/>
      <c r="N7175" s="3" t="s">
        <v>37</v>
      </c>
      <c r="O7175" s="3" t="s">
        <v>38</v>
      </c>
      <c r="P7175" s="5">
        <v>9</v>
      </c>
      <c r="Q7175" s="5">
        <v>113</v>
      </c>
      <c r="R7175" s="5">
        <v>9</v>
      </c>
      <c r="S7175" s="5">
        <v>119</v>
      </c>
    </row>
    <row r="7176" spans="1:19" ht="28" x14ac:dyDescent="0.15">
      <c r="A7176" s="2">
        <f>HYPERLINK("https://open-school.uspishnemisto.com.ua/school/440161/", 440161)</f>
        <v>440161</v>
      </c>
      <c r="B7176" s="3" t="s">
        <v>37439</v>
      </c>
      <c r="C7176" s="3" t="s">
        <v>31</v>
      </c>
      <c r="D7176" s="3" t="s">
        <v>175</v>
      </c>
      <c r="E7176" s="4" t="s">
        <v>22</v>
      </c>
      <c r="F7176" s="4" t="s">
        <v>37440</v>
      </c>
      <c r="G7176" s="4" t="s">
        <v>37441</v>
      </c>
      <c r="H7176" s="3" t="s">
        <v>36691</v>
      </c>
      <c r="I7176" s="3" t="s">
        <v>37442</v>
      </c>
      <c r="J7176" s="3" t="s">
        <v>554</v>
      </c>
      <c r="K7176" s="3" t="s">
        <v>37443</v>
      </c>
      <c r="L7176" s="3" t="s">
        <v>37444</v>
      </c>
      <c r="M7176" s="4"/>
      <c r="N7176" s="3" t="s">
        <v>37</v>
      </c>
      <c r="O7176" s="3" t="s">
        <v>38</v>
      </c>
      <c r="P7176" s="5">
        <v>4</v>
      </c>
      <c r="Q7176" s="5">
        <v>38</v>
      </c>
      <c r="R7176" s="5">
        <v>4</v>
      </c>
      <c r="S7176" s="5">
        <v>37</v>
      </c>
    </row>
    <row r="7177" spans="1:19" ht="28" x14ac:dyDescent="0.15">
      <c r="A7177" s="2">
        <f>HYPERLINK("https://open-school.uspishnemisto.com.ua/school/440162/", 440162)</f>
        <v>440162</v>
      </c>
      <c r="B7177" s="3" t="s">
        <v>37445</v>
      </c>
      <c r="C7177" s="3" t="s">
        <v>31</v>
      </c>
      <c r="D7177" s="3" t="s">
        <v>175</v>
      </c>
      <c r="E7177" s="4" t="s">
        <v>22</v>
      </c>
      <c r="F7177" s="4" t="s">
        <v>37446</v>
      </c>
      <c r="G7177" s="4" t="s">
        <v>37447</v>
      </c>
      <c r="H7177" s="3" t="s">
        <v>36691</v>
      </c>
      <c r="I7177" s="3" t="s">
        <v>37448</v>
      </c>
      <c r="J7177" s="3" t="s">
        <v>37449</v>
      </c>
      <c r="K7177" s="3" t="s">
        <v>37450</v>
      </c>
      <c r="L7177" s="3"/>
      <c r="M7177" s="4"/>
      <c r="N7177" s="3" t="s">
        <v>37</v>
      </c>
      <c r="O7177" s="3" t="s">
        <v>38</v>
      </c>
      <c r="P7177" s="5">
        <v>9</v>
      </c>
      <c r="Q7177" s="5">
        <v>99</v>
      </c>
      <c r="R7177" s="5">
        <v>9</v>
      </c>
      <c r="S7177" s="5">
        <v>94</v>
      </c>
    </row>
    <row r="7178" spans="1:19" ht="28" x14ac:dyDescent="0.15">
      <c r="A7178" s="2">
        <f>HYPERLINK("https://open-school.uspishnemisto.com.ua/school/440163/", 440163)</f>
        <v>440163</v>
      </c>
      <c r="B7178" s="3" t="s">
        <v>37451</v>
      </c>
      <c r="C7178" s="3" t="s">
        <v>31</v>
      </c>
      <c r="D7178" s="3" t="s">
        <v>175</v>
      </c>
      <c r="E7178" s="4" t="s">
        <v>22</v>
      </c>
      <c r="F7178" s="4" t="s">
        <v>37452</v>
      </c>
      <c r="G7178" s="4" t="s">
        <v>37453</v>
      </c>
      <c r="H7178" s="3" t="s">
        <v>36691</v>
      </c>
      <c r="I7178" s="3" t="s">
        <v>37454</v>
      </c>
      <c r="J7178" s="3" t="s">
        <v>37455</v>
      </c>
      <c r="K7178" s="3" t="s">
        <v>37456</v>
      </c>
      <c r="L7178" s="3" t="s">
        <v>37457</v>
      </c>
      <c r="M7178" s="4"/>
      <c r="N7178" s="3" t="s">
        <v>37</v>
      </c>
      <c r="O7178" s="3" t="s">
        <v>38</v>
      </c>
      <c r="P7178" s="5">
        <v>9</v>
      </c>
      <c r="Q7178" s="5">
        <v>78</v>
      </c>
      <c r="R7178" s="5">
        <v>9</v>
      </c>
      <c r="S7178" s="5">
        <v>79</v>
      </c>
    </row>
    <row r="7179" spans="1:19" ht="28" x14ac:dyDescent="0.15">
      <c r="A7179" s="2">
        <f>HYPERLINK("https://open-school.uspishnemisto.com.ua/school/440164/", 440164)</f>
        <v>440164</v>
      </c>
      <c r="B7179" s="3" t="s">
        <v>37458</v>
      </c>
      <c r="C7179" s="3" t="s">
        <v>31</v>
      </c>
      <c r="D7179" s="3" t="s">
        <v>175</v>
      </c>
      <c r="E7179" s="4" t="s">
        <v>22</v>
      </c>
      <c r="F7179" s="4" t="s">
        <v>37459</v>
      </c>
      <c r="G7179" s="4" t="s">
        <v>37460</v>
      </c>
      <c r="H7179" s="3" t="s">
        <v>36691</v>
      </c>
      <c r="I7179" s="3" t="s">
        <v>37461</v>
      </c>
      <c r="J7179" s="3" t="s">
        <v>466</v>
      </c>
      <c r="K7179" s="3" t="s">
        <v>37462</v>
      </c>
      <c r="L7179" s="3"/>
      <c r="M7179" s="4"/>
      <c r="N7179" s="3" t="s">
        <v>37</v>
      </c>
      <c r="O7179" s="3" t="s">
        <v>38</v>
      </c>
      <c r="P7179" s="5">
        <v>9</v>
      </c>
      <c r="Q7179" s="5">
        <v>80</v>
      </c>
      <c r="R7179" s="5">
        <v>9</v>
      </c>
      <c r="S7179" s="5">
        <v>72</v>
      </c>
    </row>
    <row r="7180" spans="1:19" ht="28" x14ac:dyDescent="0.15">
      <c r="A7180" s="2">
        <f>HYPERLINK("https://open-school.uspishnemisto.com.ua/school/440165/", 440165)</f>
        <v>440165</v>
      </c>
      <c r="B7180" s="3" t="s">
        <v>37463</v>
      </c>
      <c r="C7180" s="3" t="s">
        <v>31</v>
      </c>
      <c r="D7180" s="3" t="s">
        <v>175</v>
      </c>
      <c r="E7180" s="4" t="s">
        <v>22</v>
      </c>
      <c r="F7180" s="4"/>
      <c r="G7180" s="4" t="s">
        <v>37464</v>
      </c>
      <c r="H7180" s="3" t="s">
        <v>36691</v>
      </c>
      <c r="I7180" s="3" t="s">
        <v>37465</v>
      </c>
      <c r="J7180" s="3" t="s">
        <v>37466</v>
      </c>
      <c r="K7180" s="3"/>
      <c r="L7180" s="3"/>
      <c r="M7180" s="4"/>
      <c r="N7180" s="3" t="s">
        <v>37</v>
      </c>
      <c r="O7180" s="3" t="s">
        <v>70</v>
      </c>
      <c r="P7180" s="5">
        <v>0</v>
      </c>
      <c r="Q7180" s="5">
        <v>16</v>
      </c>
      <c r="R7180" s="5">
        <v>1</v>
      </c>
      <c r="S7180" s="5">
        <v>17</v>
      </c>
    </row>
    <row r="7181" spans="1:19" ht="28" x14ac:dyDescent="0.15">
      <c r="A7181" s="2">
        <f>HYPERLINK("https://open-school.uspishnemisto.com.ua/school/440166/", 440166)</f>
        <v>440166</v>
      </c>
      <c r="B7181" s="3" t="s">
        <v>37467</v>
      </c>
      <c r="C7181" s="3" t="s">
        <v>31</v>
      </c>
      <c r="D7181" s="3" t="s">
        <v>32</v>
      </c>
      <c r="E7181" s="4" t="s">
        <v>22</v>
      </c>
      <c r="F7181" s="4" t="s">
        <v>37468</v>
      </c>
      <c r="G7181" s="4" t="s">
        <v>37469</v>
      </c>
      <c r="H7181" s="3" t="s">
        <v>36691</v>
      </c>
      <c r="I7181" s="3" t="s">
        <v>10829</v>
      </c>
      <c r="J7181" s="3" t="s">
        <v>37470</v>
      </c>
      <c r="K7181" s="3" t="s">
        <v>37471</v>
      </c>
      <c r="L7181" s="3"/>
      <c r="M7181" s="4"/>
      <c r="N7181" s="3" t="s">
        <v>37</v>
      </c>
      <c r="O7181" s="3" t="s">
        <v>38</v>
      </c>
      <c r="P7181" s="5">
        <v>11</v>
      </c>
      <c r="Q7181" s="5">
        <v>130</v>
      </c>
      <c r="R7181" s="5">
        <v>11</v>
      </c>
      <c r="S7181" s="5">
        <v>133</v>
      </c>
    </row>
    <row r="7182" spans="1:19" ht="28" x14ac:dyDescent="0.15">
      <c r="A7182" s="2">
        <f>HYPERLINK("https://open-school.uspishnemisto.com.ua/school/440167/", 440167)</f>
        <v>440167</v>
      </c>
      <c r="B7182" s="3" t="s">
        <v>37472</v>
      </c>
      <c r="C7182" s="3" t="s">
        <v>31</v>
      </c>
      <c r="D7182" s="3" t="s">
        <v>175</v>
      </c>
      <c r="E7182" s="4" t="s">
        <v>22</v>
      </c>
      <c r="F7182" s="4" t="s">
        <v>37473</v>
      </c>
      <c r="G7182" s="4" t="s">
        <v>37474</v>
      </c>
      <c r="H7182" s="3" t="s">
        <v>36691</v>
      </c>
      <c r="I7182" s="3" t="s">
        <v>37475</v>
      </c>
      <c r="J7182" s="3" t="s">
        <v>1192</v>
      </c>
      <c r="K7182" s="3" t="s">
        <v>37476</v>
      </c>
      <c r="L7182" s="3"/>
      <c r="M7182" s="4"/>
      <c r="N7182" s="3" t="s">
        <v>37</v>
      </c>
      <c r="O7182" s="3" t="s">
        <v>52</v>
      </c>
      <c r="P7182" s="5">
        <v>1</v>
      </c>
      <c r="Q7182" s="5">
        <v>16</v>
      </c>
      <c r="R7182" s="5">
        <v>0</v>
      </c>
      <c r="S7182" s="5">
        <v>10</v>
      </c>
    </row>
    <row r="7183" spans="1:19" ht="28" x14ac:dyDescent="0.15">
      <c r="A7183" s="2">
        <f>HYPERLINK("https://open-school.uspishnemisto.com.ua/school/440168/", 440168)</f>
        <v>440168</v>
      </c>
      <c r="B7183" s="3" t="s">
        <v>37477</v>
      </c>
      <c r="C7183" s="3" t="s">
        <v>31</v>
      </c>
      <c r="D7183" s="3" t="s">
        <v>32</v>
      </c>
      <c r="E7183" s="4" t="s">
        <v>22</v>
      </c>
      <c r="F7183" s="4" t="s">
        <v>37478</v>
      </c>
      <c r="G7183" s="4" t="s">
        <v>37479</v>
      </c>
      <c r="H7183" s="3" t="s">
        <v>36691</v>
      </c>
      <c r="I7183" s="3" t="s">
        <v>37480</v>
      </c>
      <c r="J7183" s="3" t="s">
        <v>37481</v>
      </c>
      <c r="K7183" s="3" t="s">
        <v>37482</v>
      </c>
      <c r="L7183" s="3"/>
      <c r="M7183" s="4"/>
      <c r="N7183" s="3" t="s">
        <v>37</v>
      </c>
      <c r="O7183" s="3" t="s">
        <v>38</v>
      </c>
      <c r="P7183" s="5">
        <v>11</v>
      </c>
      <c r="Q7183" s="5">
        <v>158</v>
      </c>
      <c r="R7183" s="5">
        <v>11</v>
      </c>
      <c r="S7183" s="5">
        <v>145</v>
      </c>
    </row>
    <row r="7184" spans="1:19" ht="28" x14ac:dyDescent="0.15">
      <c r="A7184" s="2">
        <f>HYPERLINK("https://open-school.uspishnemisto.com.ua/school/440169/", 440169)</f>
        <v>440169</v>
      </c>
      <c r="B7184" s="3" t="s">
        <v>37483</v>
      </c>
      <c r="C7184" s="3" t="s">
        <v>31</v>
      </c>
      <c r="D7184" s="3" t="s">
        <v>32</v>
      </c>
      <c r="E7184" s="4" t="s">
        <v>22</v>
      </c>
      <c r="F7184" s="4" t="s">
        <v>37484</v>
      </c>
      <c r="G7184" s="4" t="s">
        <v>37485</v>
      </c>
      <c r="H7184" s="3" t="s">
        <v>36691</v>
      </c>
      <c r="I7184" s="3" t="s">
        <v>37486</v>
      </c>
      <c r="J7184" s="3" t="s">
        <v>6899</v>
      </c>
      <c r="K7184" s="3" t="s">
        <v>37487</v>
      </c>
      <c r="L7184" s="3"/>
      <c r="M7184" s="4"/>
      <c r="N7184" s="3" t="s">
        <v>37</v>
      </c>
      <c r="O7184" s="3" t="s">
        <v>38</v>
      </c>
      <c r="P7184" s="5">
        <v>11</v>
      </c>
      <c r="Q7184" s="5">
        <v>164</v>
      </c>
      <c r="R7184" s="5">
        <v>11</v>
      </c>
      <c r="S7184" s="5">
        <v>162</v>
      </c>
    </row>
    <row r="7185" spans="1:19" ht="28" x14ac:dyDescent="0.15">
      <c r="A7185" s="2">
        <f>HYPERLINK("https://open-school.uspishnemisto.com.ua/school/440170/", 440170)</f>
        <v>440170</v>
      </c>
      <c r="B7185" s="3" t="s">
        <v>37488</v>
      </c>
      <c r="C7185" s="3" t="s">
        <v>31</v>
      </c>
      <c r="D7185" s="3" t="s">
        <v>32</v>
      </c>
      <c r="E7185" s="4" t="s">
        <v>22</v>
      </c>
      <c r="F7185" s="4" t="s">
        <v>37489</v>
      </c>
      <c r="G7185" s="4" t="s">
        <v>37490</v>
      </c>
      <c r="H7185" s="3" t="s">
        <v>36691</v>
      </c>
      <c r="I7185" s="3" t="s">
        <v>37491</v>
      </c>
      <c r="J7185" s="3" t="s">
        <v>37492</v>
      </c>
      <c r="K7185" s="3" t="s">
        <v>37493</v>
      </c>
      <c r="L7185" s="3"/>
      <c r="M7185" s="4"/>
      <c r="N7185" s="3" t="s">
        <v>37</v>
      </c>
      <c r="O7185" s="3" t="s">
        <v>38</v>
      </c>
      <c r="P7185" s="5">
        <v>11</v>
      </c>
      <c r="Q7185" s="5">
        <v>183</v>
      </c>
      <c r="R7185" s="5">
        <v>11</v>
      </c>
      <c r="S7185" s="5">
        <v>180</v>
      </c>
    </row>
    <row r="7186" spans="1:19" ht="28" x14ac:dyDescent="0.15">
      <c r="A7186" s="2">
        <f>HYPERLINK("https://open-school.uspishnemisto.com.ua/school/440171/", 440171)</f>
        <v>440171</v>
      </c>
      <c r="B7186" s="3" t="s">
        <v>37494</v>
      </c>
      <c r="C7186" s="3" t="s">
        <v>31</v>
      </c>
      <c r="D7186" s="3" t="s">
        <v>175</v>
      </c>
      <c r="E7186" s="4" t="s">
        <v>22</v>
      </c>
      <c r="F7186" s="4" t="s">
        <v>37495</v>
      </c>
      <c r="G7186" s="4" t="s">
        <v>37496</v>
      </c>
      <c r="H7186" s="3" t="s">
        <v>36691</v>
      </c>
      <c r="I7186" s="3" t="s">
        <v>37497</v>
      </c>
      <c r="J7186" s="3" t="s">
        <v>37498</v>
      </c>
      <c r="K7186" s="3" t="s">
        <v>37499</v>
      </c>
      <c r="L7186" s="3"/>
      <c r="M7186" s="4"/>
      <c r="N7186" s="3" t="s">
        <v>37</v>
      </c>
      <c r="O7186" s="3" t="s">
        <v>38</v>
      </c>
      <c r="P7186" s="5">
        <v>9</v>
      </c>
      <c r="Q7186" s="5">
        <v>73</v>
      </c>
      <c r="R7186" s="5">
        <v>9</v>
      </c>
      <c r="S7186" s="5">
        <v>74</v>
      </c>
    </row>
    <row r="7187" spans="1:19" ht="28" x14ac:dyDescent="0.15">
      <c r="A7187" s="2">
        <f>HYPERLINK("https://open-school.uspishnemisto.com.ua/school/440172/", 440172)</f>
        <v>440172</v>
      </c>
      <c r="B7187" s="3" t="s">
        <v>37500</v>
      </c>
      <c r="C7187" s="3" t="s">
        <v>31</v>
      </c>
      <c r="D7187" s="3" t="s">
        <v>175</v>
      </c>
      <c r="E7187" s="4" t="s">
        <v>22</v>
      </c>
      <c r="F7187" s="4" t="s">
        <v>37501</v>
      </c>
      <c r="G7187" s="4" t="s">
        <v>37496</v>
      </c>
      <c r="H7187" s="3" t="s">
        <v>36691</v>
      </c>
      <c r="I7187" s="3" t="s">
        <v>37497</v>
      </c>
      <c r="J7187" s="3" t="s">
        <v>37502</v>
      </c>
      <c r="K7187" s="3" t="s">
        <v>37503</v>
      </c>
      <c r="L7187" s="3" t="s">
        <v>37504</v>
      </c>
      <c r="M7187" s="4"/>
      <c r="N7187" s="3" t="s">
        <v>37</v>
      </c>
      <c r="O7187" s="3" t="s">
        <v>38</v>
      </c>
      <c r="P7187" s="5">
        <v>7</v>
      </c>
      <c r="Q7187" s="5">
        <v>61</v>
      </c>
      <c r="R7187" s="5">
        <v>8</v>
      </c>
      <c r="S7187" s="5">
        <v>65</v>
      </c>
    </row>
    <row r="7188" spans="1:19" ht="28" x14ac:dyDescent="0.15">
      <c r="A7188" s="2">
        <f>HYPERLINK("https://open-school.uspishnemisto.com.ua/school/440173/", 440173)</f>
        <v>440173</v>
      </c>
      <c r="B7188" s="3" t="s">
        <v>37505</v>
      </c>
      <c r="C7188" s="3" t="s">
        <v>31</v>
      </c>
      <c r="D7188" s="3" t="s">
        <v>175</v>
      </c>
      <c r="E7188" s="4" t="s">
        <v>22</v>
      </c>
      <c r="F7188" s="4" t="s">
        <v>37506</v>
      </c>
      <c r="G7188" s="4" t="s">
        <v>37507</v>
      </c>
      <c r="H7188" s="3" t="s">
        <v>36691</v>
      </c>
      <c r="I7188" s="3" t="s">
        <v>37508</v>
      </c>
      <c r="J7188" s="3" t="s">
        <v>37509</v>
      </c>
      <c r="K7188" s="3" t="s">
        <v>37510</v>
      </c>
      <c r="L7188" s="3"/>
      <c r="M7188" s="4"/>
      <c r="N7188" s="3" t="s">
        <v>37</v>
      </c>
      <c r="O7188" s="3" t="s">
        <v>112</v>
      </c>
      <c r="P7188" s="5">
        <v>0</v>
      </c>
      <c r="Q7188" s="5">
        <v>11</v>
      </c>
      <c r="R7188" s="5">
        <v>1</v>
      </c>
      <c r="S7188" s="5">
        <v>18</v>
      </c>
    </row>
    <row r="7189" spans="1:19" ht="28" x14ac:dyDescent="0.15">
      <c r="A7189" s="2">
        <f>HYPERLINK("https://open-school.uspishnemisto.com.ua/school/440174/", 440174)</f>
        <v>440174</v>
      </c>
      <c r="B7189" s="3" t="s">
        <v>37511</v>
      </c>
      <c r="C7189" s="3" t="s">
        <v>31</v>
      </c>
      <c r="D7189" s="3" t="s">
        <v>175</v>
      </c>
      <c r="E7189" s="4" t="s">
        <v>22</v>
      </c>
      <c r="F7189" s="4" t="s">
        <v>37512</v>
      </c>
      <c r="G7189" s="4" t="s">
        <v>37513</v>
      </c>
      <c r="H7189" s="3" t="s">
        <v>36691</v>
      </c>
      <c r="I7189" s="3" t="s">
        <v>37514</v>
      </c>
      <c r="J7189" s="3" t="s">
        <v>1348</v>
      </c>
      <c r="K7189" s="3" t="s">
        <v>37515</v>
      </c>
      <c r="L7189" s="3"/>
      <c r="M7189" s="4"/>
      <c r="N7189" s="3" t="s">
        <v>37</v>
      </c>
      <c r="O7189" s="3" t="s">
        <v>38</v>
      </c>
      <c r="P7189" s="5">
        <v>8</v>
      </c>
      <c r="Q7189" s="5">
        <v>57</v>
      </c>
      <c r="R7189" s="5">
        <v>7</v>
      </c>
      <c r="S7189" s="5">
        <v>55</v>
      </c>
    </row>
    <row r="7190" spans="1:19" ht="28" x14ac:dyDescent="0.15">
      <c r="A7190" s="2">
        <f>HYPERLINK("https://open-school.uspishnemisto.com.ua/school/440175/", 440175)</f>
        <v>440175</v>
      </c>
      <c r="B7190" s="3" t="s">
        <v>37516</v>
      </c>
      <c r="C7190" s="3" t="s">
        <v>31</v>
      </c>
      <c r="D7190" s="3" t="s">
        <v>32</v>
      </c>
      <c r="E7190" s="4" t="s">
        <v>22</v>
      </c>
      <c r="F7190" s="4" t="s">
        <v>37517</v>
      </c>
      <c r="G7190" s="4" t="s">
        <v>37518</v>
      </c>
      <c r="H7190" s="3" t="s">
        <v>36691</v>
      </c>
      <c r="I7190" s="3" t="s">
        <v>17799</v>
      </c>
      <c r="J7190" s="3" t="s">
        <v>447</v>
      </c>
      <c r="K7190" s="3" t="s">
        <v>37519</v>
      </c>
      <c r="L7190" s="3"/>
      <c r="M7190" s="4"/>
      <c r="N7190" s="3" t="s">
        <v>37</v>
      </c>
      <c r="O7190" s="3" t="s">
        <v>70</v>
      </c>
      <c r="P7190" s="5">
        <v>11</v>
      </c>
      <c r="Q7190" s="5">
        <v>125</v>
      </c>
      <c r="R7190" s="5">
        <v>11</v>
      </c>
      <c r="S7190" s="5">
        <v>135</v>
      </c>
    </row>
    <row r="7191" spans="1:19" ht="28" x14ac:dyDescent="0.15">
      <c r="A7191" s="2">
        <f>HYPERLINK("https://open-school.uspishnemisto.com.ua/school/440176/", 440176)</f>
        <v>440176</v>
      </c>
      <c r="B7191" s="3" t="s">
        <v>37520</v>
      </c>
      <c r="C7191" s="3" t="s">
        <v>31</v>
      </c>
      <c r="D7191" s="3" t="s">
        <v>175</v>
      </c>
      <c r="E7191" s="4" t="s">
        <v>22</v>
      </c>
      <c r="F7191" s="4" t="s">
        <v>37521</v>
      </c>
      <c r="G7191" s="4" t="s">
        <v>37522</v>
      </c>
      <c r="H7191" s="3" t="s">
        <v>36691</v>
      </c>
      <c r="I7191" s="3" t="s">
        <v>37523</v>
      </c>
      <c r="J7191" s="3" t="s">
        <v>37524</v>
      </c>
      <c r="K7191" s="3" t="s">
        <v>37525</v>
      </c>
      <c r="L7191" s="3"/>
      <c r="M7191" s="4"/>
      <c r="N7191" s="3" t="s">
        <v>37</v>
      </c>
      <c r="O7191" s="3" t="s">
        <v>70</v>
      </c>
      <c r="P7191" s="5">
        <v>5</v>
      </c>
      <c r="Q7191" s="5">
        <v>58</v>
      </c>
      <c r="R7191" s="5">
        <v>6</v>
      </c>
      <c r="S7191" s="5">
        <v>50</v>
      </c>
    </row>
    <row r="7192" spans="1:19" ht="28" x14ac:dyDescent="0.15">
      <c r="A7192" s="2">
        <f>HYPERLINK("https://open-school.uspishnemisto.com.ua/school/440177/", 440177)</f>
        <v>440177</v>
      </c>
      <c r="B7192" s="3" t="s">
        <v>37526</v>
      </c>
      <c r="C7192" s="3" t="s">
        <v>31</v>
      </c>
      <c r="D7192" s="3" t="s">
        <v>32</v>
      </c>
      <c r="E7192" s="4" t="s">
        <v>22</v>
      </c>
      <c r="F7192" s="4" t="s">
        <v>37527</v>
      </c>
      <c r="G7192" s="4" t="s">
        <v>37528</v>
      </c>
      <c r="H7192" s="3" t="s">
        <v>36691</v>
      </c>
      <c r="I7192" s="3" t="s">
        <v>37529</v>
      </c>
      <c r="J7192" s="3" t="s">
        <v>37530</v>
      </c>
      <c r="K7192" s="3" t="s">
        <v>37531</v>
      </c>
      <c r="L7192" s="3"/>
      <c r="M7192" s="4"/>
      <c r="N7192" s="3" t="s">
        <v>37</v>
      </c>
      <c r="O7192" s="3" t="s">
        <v>38</v>
      </c>
      <c r="P7192" s="5">
        <v>11</v>
      </c>
      <c r="Q7192" s="5">
        <v>113</v>
      </c>
      <c r="R7192" s="5">
        <v>10</v>
      </c>
      <c r="S7192" s="5">
        <v>107</v>
      </c>
    </row>
    <row r="7193" spans="1:19" ht="28" x14ac:dyDescent="0.15">
      <c r="A7193" s="2">
        <f>HYPERLINK("https://open-school.uspishnemisto.com.ua/school/440178/", 440178)</f>
        <v>440178</v>
      </c>
      <c r="B7193" s="3" t="s">
        <v>37532</v>
      </c>
      <c r="C7193" s="3" t="s">
        <v>31</v>
      </c>
      <c r="D7193" s="3" t="s">
        <v>175</v>
      </c>
      <c r="E7193" s="4" t="s">
        <v>22</v>
      </c>
      <c r="F7193" s="4" t="s">
        <v>37533</v>
      </c>
      <c r="G7193" s="4" t="s">
        <v>37534</v>
      </c>
      <c r="H7193" s="3" t="s">
        <v>36691</v>
      </c>
      <c r="I7193" s="3" t="s">
        <v>987</v>
      </c>
      <c r="J7193" s="3" t="s">
        <v>12690</v>
      </c>
      <c r="K7193" s="3" t="s">
        <v>37535</v>
      </c>
      <c r="L7193" s="3"/>
      <c r="M7193" s="4"/>
      <c r="N7193" s="3" t="s">
        <v>37</v>
      </c>
      <c r="O7193" s="3" t="s">
        <v>38</v>
      </c>
      <c r="P7193" s="5">
        <v>9</v>
      </c>
      <c r="Q7193" s="5">
        <v>78</v>
      </c>
      <c r="R7193" s="5">
        <v>9</v>
      </c>
      <c r="S7193" s="5">
        <v>81</v>
      </c>
    </row>
    <row r="7194" spans="1:19" ht="28" x14ac:dyDescent="0.15">
      <c r="A7194" s="2">
        <f>HYPERLINK("https://open-school.uspishnemisto.com.ua/school/440179/", 440179)</f>
        <v>440179</v>
      </c>
      <c r="B7194" s="3" t="s">
        <v>37536</v>
      </c>
      <c r="C7194" s="3" t="s">
        <v>31</v>
      </c>
      <c r="D7194" s="3" t="s">
        <v>175</v>
      </c>
      <c r="E7194" s="4" t="s">
        <v>22</v>
      </c>
      <c r="F7194" s="4" t="s">
        <v>37537</v>
      </c>
      <c r="G7194" s="4" t="s">
        <v>37538</v>
      </c>
      <c r="H7194" s="3" t="s">
        <v>36691</v>
      </c>
      <c r="I7194" s="3" t="s">
        <v>37539</v>
      </c>
      <c r="J7194" s="3" t="s">
        <v>37061</v>
      </c>
      <c r="K7194" s="3" t="s">
        <v>37540</v>
      </c>
      <c r="L7194" s="3"/>
      <c r="M7194" s="4"/>
      <c r="N7194" s="3" t="s">
        <v>37</v>
      </c>
      <c r="O7194" s="3" t="s">
        <v>38</v>
      </c>
      <c r="P7194" s="5">
        <v>7</v>
      </c>
      <c r="Q7194" s="5">
        <v>64</v>
      </c>
      <c r="R7194" s="5">
        <v>7</v>
      </c>
      <c r="S7194" s="5">
        <v>63</v>
      </c>
    </row>
    <row r="7195" spans="1:19" ht="28" x14ac:dyDescent="0.15">
      <c r="A7195" s="2">
        <f>HYPERLINK("https://open-school.uspishnemisto.com.ua/school/440180/", 440180)</f>
        <v>440180</v>
      </c>
      <c r="B7195" s="3" t="s">
        <v>37541</v>
      </c>
      <c r="C7195" s="3" t="s">
        <v>31</v>
      </c>
      <c r="D7195" s="3" t="s">
        <v>32</v>
      </c>
      <c r="E7195" s="4" t="s">
        <v>22</v>
      </c>
      <c r="F7195" s="4" t="s">
        <v>37542</v>
      </c>
      <c r="G7195" s="4" t="s">
        <v>37543</v>
      </c>
      <c r="H7195" s="3" t="s">
        <v>36691</v>
      </c>
      <c r="I7195" s="3" t="s">
        <v>37544</v>
      </c>
      <c r="J7195" s="3" t="s">
        <v>1192</v>
      </c>
      <c r="K7195" s="3" t="s">
        <v>37545</v>
      </c>
      <c r="L7195" s="3"/>
      <c r="M7195" s="4"/>
      <c r="N7195" s="3" t="s">
        <v>37</v>
      </c>
      <c r="O7195" s="3" t="s">
        <v>38</v>
      </c>
      <c r="P7195" s="5">
        <v>10</v>
      </c>
      <c r="Q7195" s="5">
        <v>86</v>
      </c>
      <c r="R7195" s="5">
        <v>10</v>
      </c>
      <c r="S7195" s="5">
        <v>84</v>
      </c>
    </row>
    <row r="7196" spans="1:19" ht="28" x14ac:dyDescent="0.15">
      <c r="A7196" s="2">
        <f>HYPERLINK("https://open-school.uspishnemisto.com.ua/school/440181/", 440181)</f>
        <v>440181</v>
      </c>
      <c r="B7196" s="3" t="s">
        <v>37546</v>
      </c>
      <c r="C7196" s="3" t="s">
        <v>31</v>
      </c>
      <c r="D7196" s="3" t="s">
        <v>175</v>
      </c>
      <c r="E7196" s="4" t="s">
        <v>22</v>
      </c>
      <c r="F7196" s="4" t="s">
        <v>37547</v>
      </c>
      <c r="G7196" s="4" t="s">
        <v>37548</v>
      </c>
      <c r="H7196" s="3" t="s">
        <v>36691</v>
      </c>
      <c r="I7196" s="3" t="s">
        <v>725</v>
      </c>
      <c r="J7196" s="3" t="s">
        <v>37549</v>
      </c>
      <c r="K7196" s="3" t="s">
        <v>37550</v>
      </c>
      <c r="L7196" s="3"/>
      <c r="M7196" s="4"/>
      <c r="N7196" s="3" t="s">
        <v>37</v>
      </c>
      <c r="O7196" s="3" t="s">
        <v>52</v>
      </c>
      <c r="P7196" s="5">
        <v>1</v>
      </c>
      <c r="Q7196" s="5">
        <v>18</v>
      </c>
      <c r="R7196" s="5">
        <v>1</v>
      </c>
      <c r="S7196" s="5">
        <v>17</v>
      </c>
    </row>
    <row r="7197" spans="1:19" ht="28" x14ac:dyDescent="0.15">
      <c r="A7197" s="2">
        <f>HYPERLINK("https://open-school.uspishnemisto.com.ua/school/440182/", 440182)</f>
        <v>440182</v>
      </c>
      <c r="B7197" s="3" t="s">
        <v>37551</v>
      </c>
      <c r="C7197" s="3" t="s">
        <v>31</v>
      </c>
      <c r="D7197" s="3" t="s">
        <v>32</v>
      </c>
      <c r="E7197" s="4" t="s">
        <v>22</v>
      </c>
      <c r="F7197" s="4" t="s">
        <v>37552</v>
      </c>
      <c r="G7197" s="4" t="s">
        <v>37553</v>
      </c>
      <c r="H7197" s="3" t="s">
        <v>36691</v>
      </c>
      <c r="I7197" s="3" t="s">
        <v>37554</v>
      </c>
      <c r="J7197" s="3" t="s">
        <v>37555</v>
      </c>
      <c r="K7197" s="3"/>
      <c r="L7197" s="3"/>
      <c r="M7197" s="4"/>
      <c r="N7197" s="3" t="s">
        <v>37</v>
      </c>
      <c r="O7197" s="3" t="s">
        <v>38</v>
      </c>
      <c r="P7197" s="5">
        <v>13</v>
      </c>
      <c r="Q7197" s="5">
        <v>257</v>
      </c>
      <c r="R7197" s="5">
        <v>12</v>
      </c>
      <c r="S7197" s="5">
        <v>249</v>
      </c>
    </row>
    <row r="7198" spans="1:19" ht="28" x14ac:dyDescent="0.15">
      <c r="A7198" s="2">
        <f>HYPERLINK("https://open-school.uspishnemisto.com.ua/school/440183/", 440183)</f>
        <v>440183</v>
      </c>
      <c r="B7198" s="3" t="s">
        <v>37556</v>
      </c>
      <c r="C7198" s="3" t="s">
        <v>40</v>
      </c>
      <c r="D7198" s="3" t="s">
        <v>32</v>
      </c>
      <c r="E7198" s="4" t="s">
        <v>22</v>
      </c>
      <c r="F7198" s="4" t="s">
        <v>37557</v>
      </c>
      <c r="G7198" s="4" t="s">
        <v>37553</v>
      </c>
      <c r="H7198" s="3" t="s">
        <v>36691</v>
      </c>
      <c r="I7198" s="3" t="s">
        <v>37554</v>
      </c>
      <c r="J7198" s="3" t="s">
        <v>37558</v>
      </c>
      <c r="K7198" s="3" t="s">
        <v>37559</v>
      </c>
      <c r="L7198" s="3" t="s">
        <v>37560</v>
      </c>
      <c r="M7198" s="4" t="s">
        <v>37561</v>
      </c>
      <c r="N7198" s="3" t="s">
        <v>128</v>
      </c>
      <c r="O7198" s="3" t="s">
        <v>70</v>
      </c>
      <c r="P7198" s="5">
        <v>14</v>
      </c>
      <c r="Q7198" s="5">
        <v>347</v>
      </c>
      <c r="R7198" s="5">
        <v>13</v>
      </c>
      <c r="S7198" s="5">
        <v>315</v>
      </c>
    </row>
    <row r="7199" spans="1:19" ht="28" x14ac:dyDescent="0.15">
      <c r="A7199" s="2">
        <f>HYPERLINK("https://open-school.uspishnemisto.com.ua/school/440184/", 440184)</f>
        <v>440184</v>
      </c>
      <c r="B7199" s="3" t="s">
        <v>37562</v>
      </c>
      <c r="C7199" s="3" t="s">
        <v>40</v>
      </c>
      <c r="D7199" s="3" t="s">
        <v>32</v>
      </c>
      <c r="E7199" s="4" t="s">
        <v>22</v>
      </c>
      <c r="F7199" s="4" t="s">
        <v>37563</v>
      </c>
      <c r="G7199" s="4" t="s">
        <v>37553</v>
      </c>
      <c r="H7199" s="3" t="s">
        <v>36691</v>
      </c>
      <c r="I7199" s="3" t="s">
        <v>37554</v>
      </c>
      <c r="J7199" s="3" t="s">
        <v>37564</v>
      </c>
      <c r="K7199" s="3" t="s">
        <v>37565</v>
      </c>
      <c r="L7199" s="3" t="s">
        <v>37566</v>
      </c>
      <c r="M7199" s="4" t="s">
        <v>37567</v>
      </c>
      <c r="N7199" s="3" t="s">
        <v>37</v>
      </c>
      <c r="O7199" s="3" t="s">
        <v>721</v>
      </c>
      <c r="P7199" s="5">
        <v>11</v>
      </c>
      <c r="Q7199" s="5">
        <v>231</v>
      </c>
      <c r="R7199" s="5">
        <v>11</v>
      </c>
      <c r="S7199" s="5">
        <v>210</v>
      </c>
    </row>
    <row r="7200" spans="1:19" ht="28" x14ac:dyDescent="0.15">
      <c r="A7200" s="2">
        <f>HYPERLINK("https://open-school.uspishnemisto.com.ua/school/440186/", 440186)</f>
        <v>440186</v>
      </c>
      <c r="B7200" s="3" t="s">
        <v>37568</v>
      </c>
      <c r="C7200" s="3" t="s">
        <v>31</v>
      </c>
      <c r="D7200" s="3" t="s">
        <v>32</v>
      </c>
      <c r="E7200" s="4" t="s">
        <v>22</v>
      </c>
      <c r="F7200" s="4" t="s">
        <v>37569</v>
      </c>
      <c r="G7200" s="4" t="s">
        <v>37553</v>
      </c>
      <c r="H7200" s="3" t="s">
        <v>36691</v>
      </c>
      <c r="I7200" s="3" t="s">
        <v>37554</v>
      </c>
      <c r="J7200" s="3" t="s">
        <v>37570</v>
      </c>
      <c r="K7200" s="3" t="s">
        <v>37571</v>
      </c>
      <c r="L7200" s="3" t="s">
        <v>37572</v>
      </c>
      <c r="M7200" s="4" t="s">
        <v>37573</v>
      </c>
      <c r="N7200" s="3" t="s">
        <v>128</v>
      </c>
      <c r="O7200" s="3" t="s">
        <v>70</v>
      </c>
      <c r="P7200" s="5">
        <v>11</v>
      </c>
      <c r="Q7200" s="5">
        <v>197</v>
      </c>
      <c r="R7200" s="5">
        <v>11</v>
      </c>
      <c r="S7200" s="5">
        <v>183</v>
      </c>
    </row>
    <row r="7201" spans="1:19" ht="28" x14ac:dyDescent="0.15">
      <c r="A7201" s="2">
        <f>HYPERLINK("https://open-school.uspishnemisto.com.ua/school/440187/", 440187)</f>
        <v>440187</v>
      </c>
      <c r="B7201" s="3" t="s">
        <v>37574</v>
      </c>
      <c r="C7201" s="3" t="s">
        <v>31</v>
      </c>
      <c r="D7201" s="3" t="s">
        <v>32</v>
      </c>
      <c r="E7201" s="4" t="s">
        <v>22</v>
      </c>
      <c r="F7201" s="4" t="s">
        <v>37575</v>
      </c>
      <c r="G7201" s="4" t="s">
        <v>37553</v>
      </c>
      <c r="H7201" s="3" t="s">
        <v>36691</v>
      </c>
      <c r="I7201" s="3" t="s">
        <v>37554</v>
      </c>
      <c r="J7201" s="3" t="s">
        <v>37576</v>
      </c>
      <c r="K7201" s="3" t="s">
        <v>37577</v>
      </c>
      <c r="L7201" s="3"/>
      <c r="M7201" s="4" t="s">
        <v>37578</v>
      </c>
      <c r="N7201" s="3" t="s">
        <v>37</v>
      </c>
      <c r="O7201" s="3" t="s">
        <v>38</v>
      </c>
      <c r="P7201" s="5">
        <v>11</v>
      </c>
      <c r="Q7201" s="5">
        <v>239</v>
      </c>
      <c r="R7201" s="5">
        <v>11</v>
      </c>
      <c r="S7201" s="5">
        <v>219</v>
      </c>
    </row>
    <row r="7202" spans="1:19" ht="28" x14ac:dyDescent="0.15">
      <c r="A7202" s="2">
        <f>HYPERLINK("https://open-school.uspishnemisto.com.ua/school/440188/", 440188)</f>
        <v>440188</v>
      </c>
      <c r="B7202" s="3" t="s">
        <v>37579</v>
      </c>
      <c r="C7202" s="3" t="s">
        <v>31</v>
      </c>
      <c r="D7202" s="3" t="s">
        <v>32</v>
      </c>
      <c r="E7202" s="4" t="s">
        <v>22</v>
      </c>
      <c r="F7202" s="4" t="s">
        <v>37575</v>
      </c>
      <c r="G7202" s="4" t="s">
        <v>37553</v>
      </c>
      <c r="H7202" s="3" t="s">
        <v>36691</v>
      </c>
      <c r="I7202" s="3" t="s">
        <v>37554</v>
      </c>
      <c r="J7202" s="3" t="s">
        <v>37580</v>
      </c>
      <c r="K7202" s="3" t="s">
        <v>37581</v>
      </c>
      <c r="L7202" s="3"/>
      <c r="M7202" s="4" t="s">
        <v>37582</v>
      </c>
      <c r="N7202" s="3" t="s">
        <v>967</v>
      </c>
      <c r="O7202" s="3" t="s">
        <v>2740</v>
      </c>
      <c r="P7202" s="5">
        <v>11</v>
      </c>
      <c r="Q7202" s="5">
        <v>243</v>
      </c>
      <c r="R7202" s="5">
        <v>11</v>
      </c>
      <c r="S7202" s="5">
        <v>204</v>
      </c>
    </row>
    <row r="7203" spans="1:19" ht="28" x14ac:dyDescent="0.15">
      <c r="A7203" s="2">
        <f>HYPERLINK("https://open-school.uspishnemisto.com.ua/school/440189/", 440189)</f>
        <v>440189</v>
      </c>
      <c r="B7203" s="3" t="s">
        <v>37583</v>
      </c>
      <c r="C7203" s="3" t="s">
        <v>40</v>
      </c>
      <c r="D7203" s="3" t="s">
        <v>32</v>
      </c>
      <c r="E7203" s="4" t="s">
        <v>22</v>
      </c>
      <c r="F7203" s="4" t="s">
        <v>37584</v>
      </c>
      <c r="G7203" s="4" t="s">
        <v>37585</v>
      </c>
      <c r="H7203" s="3" t="s">
        <v>36691</v>
      </c>
      <c r="I7203" s="3" t="s">
        <v>37586</v>
      </c>
      <c r="J7203" s="3" t="s">
        <v>37587</v>
      </c>
      <c r="K7203" s="3"/>
      <c r="L7203" s="3"/>
      <c r="M7203" s="4" t="s">
        <v>37588</v>
      </c>
      <c r="N7203" s="3" t="s">
        <v>37</v>
      </c>
      <c r="O7203" s="3" t="s">
        <v>721</v>
      </c>
      <c r="P7203" s="5">
        <v>20</v>
      </c>
      <c r="Q7203" s="5">
        <v>439</v>
      </c>
      <c r="R7203" s="5">
        <v>20</v>
      </c>
      <c r="S7203" s="5">
        <v>426</v>
      </c>
    </row>
    <row r="7204" spans="1:19" ht="42" x14ac:dyDescent="0.15">
      <c r="A7204" s="2">
        <f>HYPERLINK("https://open-school.uspishnemisto.com.ua/school/440190/", 440190)</f>
        <v>440190</v>
      </c>
      <c r="B7204" s="3" t="s">
        <v>37589</v>
      </c>
      <c r="C7204" s="3" t="s">
        <v>181</v>
      </c>
      <c r="D7204" s="3" t="s">
        <v>175</v>
      </c>
      <c r="E7204" s="4" t="s">
        <v>22</v>
      </c>
      <c r="F7204" s="4" t="s">
        <v>37584</v>
      </c>
      <c r="G7204" s="4" t="s">
        <v>37585</v>
      </c>
      <c r="H7204" s="3" t="s">
        <v>36691</v>
      </c>
      <c r="I7204" s="3" t="s">
        <v>37586</v>
      </c>
      <c r="J7204" s="3" t="s">
        <v>37590</v>
      </c>
      <c r="K7204" s="3" t="s">
        <v>37591</v>
      </c>
      <c r="L7204" s="3"/>
      <c r="M7204" s="4" t="s">
        <v>37592</v>
      </c>
      <c r="N7204" s="3" t="s">
        <v>128</v>
      </c>
      <c r="O7204" s="3"/>
      <c r="P7204" s="5">
        <v>15</v>
      </c>
      <c r="Q7204" s="5">
        <v>116</v>
      </c>
      <c r="R7204" s="5">
        <v>15</v>
      </c>
      <c r="S7204" s="5">
        <v>118</v>
      </c>
    </row>
    <row r="7205" spans="1:19" ht="28" x14ac:dyDescent="0.15">
      <c r="A7205" s="2">
        <f>HYPERLINK("https://open-school.uspishnemisto.com.ua/school/440191/", 440191)</f>
        <v>440191</v>
      </c>
      <c r="B7205" s="3" t="s">
        <v>37593</v>
      </c>
      <c r="C7205" s="3" t="s">
        <v>40</v>
      </c>
      <c r="D7205" s="3" t="s">
        <v>32</v>
      </c>
      <c r="E7205" s="4" t="s">
        <v>22</v>
      </c>
      <c r="F7205" s="4" t="s">
        <v>37552</v>
      </c>
      <c r="G7205" s="4" t="s">
        <v>37594</v>
      </c>
      <c r="H7205" s="3" t="s">
        <v>36691</v>
      </c>
      <c r="I7205" s="3" t="s">
        <v>37595</v>
      </c>
      <c r="J7205" s="3" t="s">
        <v>37596</v>
      </c>
      <c r="K7205" s="3" t="s">
        <v>37597</v>
      </c>
      <c r="L7205" s="3"/>
      <c r="M7205" s="4" t="s">
        <v>37598</v>
      </c>
      <c r="N7205" s="3" t="s">
        <v>37</v>
      </c>
      <c r="O7205" s="3" t="s">
        <v>38</v>
      </c>
      <c r="P7205" s="5">
        <v>11</v>
      </c>
      <c r="Q7205" s="5">
        <v>217</v>
      </c>
      <c r="R7205" s="5">
        <v>11</v>
      </c>
      <c r="S7205" s="5">
        <v>219</v>
      </c>
    </row>
    <row r="7206" spans="1:19" ht="28" x14ac:dyDescent="0.15">
      <c r="A7206" s="2">
        <f>HYPERLINK("https://open-school.uspishnemisto.com.ua/school/440192/", 440192)</f>
        <v>440192</v>
      </c>
      <c r="B7206" s="3" t="s">
        <v>37599</v>
      </c>
      <c r="C7206" s="3" t="s">
        <v>31</v>
      </c>
      <c r="D7206" s="3" t="s">
        <v>175</v>
      </c>
      <c r="E7206" s="4" t="s">
        <v>22</v>
      </c>
      <c r="F7206" s="4" t="s">
        <v>37600</v>
      </c>
      <c r="G7206" s="4" t="s">
        <v>37594</v>
      </c>
      <c r="H7206" s="3" t="s">
        <v>36691</v>
      </c>
      <c r="I7206" s="3" t="s">
        <v>37595</v>
      </c>
      <c r="J7206" s="3" t="s">
        <v>37601</v>
      </c>
      <c r="K7206" s="3" t="s">
        <v>37602</v>
      </c>
      <c r="L7206" s="3"/>
      <c r="M7206" s="4"/>
      <c r="N7206" s="3" t="s">
        <v>37</v>
      </c>
      <c r="O7206" s="3" t="s">
        <v>52</v>
      </c>
      <c r="P7206" s="5">
        <v>0</v>
      </c>
      <c r="Q7206" s="5">
        <v>18</v>
      </c>
      <c r="R7206" s="5">
        <v>1</v>
      </c>
      <c r="S7206" s="5">
        <v>20</v>
      </c>
    </row>
    <row r="7207" spans="1:19" ht="28" x14ac:dyDescent="0.15">
      <c r="A7207" s="2">
        <f>HYPERLINK("https://open-school.uspishnemisto.com.ua/school/440193/", 440193)</f>
        <v>440193</v>
      </c>
      <c r="B7207" s="3" t="s">
        <v>37603</v>
      </c>
      <c r="C7207" s="3" t="s">
        <v>31</v>
      </c>
      <c r="D7207" s="3" t="s">
        <v>175</v>
      </c>
      <c r="E7207" s="4" t="s">
        <v>22</v>
      </c>
      <c r="F7207" s="4" t="s">
        <v>37604</v>
      </c>
      <c r="G7207" s="4" t="s">
        <v>37594</v>
      </c>
      <c r="H7207" s="3" t="s">
        <v>36691</v>
      </c>
      <c r="I7207" s="3" t="s">
        <v>37595</v>
      </c>
      <c r="J7207" s="3" t="s">
        <v>37150</v>
      </c>
      <c r="K7207" s="3" t="s">
        <v>37605</v>
      </c>
      <c r="L7207" s="3"/>
      <c r="M7207" s="4"/>
      <c r="N7207" s="3" t="s">
        <v>37</v>
      </c>
      <c r="O7207" s="3" t="s">
        <v>38</v>
      </c>
      <c r="P7207" s="5">
        <v>8</v>
      </c>
      <c r="Q7207" s="5">
        <v>50</v>
      </c>
      <c r="R7207" s="5">
        <v>8</v>
      </c>
      <c r="S7207" s="5">
        <v>51</v>
      </c>
    </row>
    <row r="7208" spans="1:19" ht="28" x14ac:dyDescent="0.15">
      <c r="A7208" s="2">
        <f>HYPERLINK("https://open-school.uspishnemisto.com.ua/school/440194/", 440194)</f>
        <v>440194</v>
      </c>
      <c r="B7208" s="3" t="s">
        <v>37606</v>
      </c>
      <c r="C7208" s="3" t="s">
        <v>31</v>
      </c>
      <c r="D7208" s="3" t="s">
        <v>32</v>
      </c>
      <c r="E7208" s="4" t="s">
        <v>22</v>
      </c>
      <c r="F7208" s="4" t="s">
        <v>37607</v>
      </c>
      <c r="G7208" s="4" t="s">
        <v>37594</v>
      </c>
      <c r="H7208" s="3" t="s">
        <v>36691</v>
      </c>
      <c r="I7208" s="3" t="s">
        <v>37595</v>
      </c>
      <c r="J7208" s="3" t="s">
        <v>37608</v>
      </c>
      <c r="K7208" s="3" t="s">
        <v>37609</v>
      </c>
      <c r="L7208" s="3"/>
      <c r="M7208" s="4"/>
      <c r="N7208" s="3"/>
      <c r="O7208" s="3"/>
      <c r="P7208" s="5">
        <v>0</v>
      </c>
      <c r="Q7208" s="5">
        <v>0</v>
      </c>
      <c r="R7208" s="5"/>
      <c r="S7208" s="5"/>
    </row>
    <row r="7209" spans="1:19" ht="28" x14ac:dyDescent="0.15">
      <c r="A7209" s="2">
        <f>HYPERLINK("https://open-school.uspishnemisto.com.ua/school/440195/", 440195)</f>
        <v>440195</v>
      </c>
      <c r="B7209" s="3" t="s">
        <v>37610</v>
      </c>
      <c r="C7209" s="3" t="s">
        <v>31</v>
      </c>
      <c r="D7209" s="3" t="s">
        <v>32</v>
      </c>
      <c r="E7209" s="4" t="s">
        <v>22</v>
      </c>
      <c r="F7209" s="4" t="s">
        <v>37611</v>
      </c>
      <c r="G7209" s="4" t="s">
        <v>37612</v>
      </c>
      <c r="H7209" s="3" t="s">
        <v>36691</v>
      </c>
      <c r="I7209" s="3" t="s">
        <v>37613</v>
      </c>
      <c r="J7209" s="3" t="s">
        <v>3538</v>
      </c>
      <c r="K7209" s="3" t="s">
        <v>37614</v>
      </c>
      <c r="L7209" s="3" t="s">
        <v>37615</v>
      </c>
      <c r="M7209" s="4"/>
      <c r="N7209" s="3" t="s">
        <v>37</v>
      </c>
      <c r="O7209" s="3" t="s">
        <v>38</v>
      </c>
      <c r="P7209" s="5">
        <v>9</v>
      </c>
      <c r="Q7209" s="5">
        <v>59</v>
      </c>
      <c r="R7209" s="5">
        <v>8</v>
      </c>
      <c r="S7209" s="5">
        <v>56</v>
      </c>
    </row>
    <row r="7210" spans="1:19" ht="42" x14ac:dyDescent="0.15">
      <c r="A7210" s="2">
        <f>HYPERLINK("https://open-school.uspishnemisto.com.ua/school/440196/", 440196)</f>
        <v>440196</v>
      </c>
      <c r="B7210" s="3" t="s">
        <v>37616</v>
      </c>
      <c r="C7210" s="3" t="s">
        <v>54</v>
      </c>
      <c r="D7210" s="3" t="s">
        <v>175</v>
      </c>
      <c r="E7210" s="4" t="s">
        <v>22</v>
      </c>
      <c r="F7210" s="4" t="s">
        <v>37617</v>
      </c>
      <c r="G7210" s="4" t="s">
        <v>37618</v>
      </c>
      <c r="H7210" s="3" t="s">
        <v>36691</v>
      </c>
      <c r="I7210" s="3" t="s">
        <v>37619</v>
      </c>
      <c r="J7210" s="3" t="s">
        <v>1636</v>
      </c>
      <c r="K7210" s="3" t="s">
        <v>37620</v>
      </c>
      <c r="L7210" s="3"/>
      <c r="M7210" s="4"/>
      <c r="N7210" s="3" t="s">
        <v>37</v>
      </c>
      <c r="O7210" s="3" t="s">
        <v>38</v>
      </c>
      <c r="P7210" s="5">
        <v>6</v>
      </c>
      <c r="Q7210" s="5">
        <v>37</v>
      </c>
      <c r="R7210" s="5">
        <v>6</v>
      </c>
      <c r="S7210" s="5">
        <v>35</v>
      </c>
    </row>
    <row r="7211" spans="1:19" ht="28" x14ac:dyDescent="0.15">
      <c r="A7211" s="2">
        <f>HYPERLINK("https://open-school.uspishnemisto.com.ua/school/440197/", 440197)</f>
        <v>440197</v>
      </c>
      <c r="B7211" s="3" t="s">
        <v>37621</v>
      </c>
      <c r="C7211" s="3" t="s">
        <v>31</v>
      </c>
      <c r="D7211" s="3" t="s">
        <v>60</v>
      </c>
      <c r="E7211" s="4" t="s">
        <v>22</v>
      </c>
      <c r="F7211" s="4" t="s">
        <v>37622</v>
      </c>
      <c r="G7211" s="4" t="s">
        <v>37623</v>
      </c>
      <c r="H7211" s="3" t="s">
        <v>36691</v>
      </c>
      <c r="I7211" s="3" t="s">
        <v>37624</v>
      </c>
      <c r="J7211" s="3" t="s">
        <v>466</v>
      </c>
      <c r="K7211" s="3" t="s">
        <v>37625</v>
      </c>
      <c r="L7211" s="3"/>
      <c r="M7211" s="4"/>
      <c r="N7211" s="3" t="s">
        <v>37</v>
      </c>
      <c r="O7211" s="3" t="s">
        <v>38</v>
      </c>
      <c r="P7211" s="5">
        <v>2</v>
      </c>
      <c r="Q7211" s="5">
        <v>17</v>
      </c>
      <c r="R7211" s="5">
        <v>2</v>
      </c>
      <c r="S7211" s="5">
        <v>15</v>
      </c>
    </row>
    <row r="7212" spans="1:19" ht="56" x14ac:dyDescent="0.15">
      <c r="A7212" s="2">
        <f>HYPERLINK("https://open-school.uspishnemisto.com.ua/school/440198/", 440198)</f>
        <v>440198</v>
      </c>
      <c r="B7212" s="3" t="s">
        <v>37626</v>
      </c>
      <c r="C7212" s="3" t="s">
        <v>54</v>
      </c>
      <c r="D7212" s="3" t="s">
        <v>175</v>
      </c>
      <c r="E7212" s="4" t="s">
        <v>22</v>
      </c>
      <c r="F7212" s="4" t="s">
        <v>37627</v>
      </c>
      <c r="G7212" s="4" t="s">
        <v>37628</v>
      </c>
      <c r="H7212" s="3" t="s">
        <v>36691</v>
      </c>
      <c r="I7212" s="3" t="s">
        <v>37629</v>
      </c>
      <c r="J7212" s="3" t="s">
        <v>2052</v>
      </c>
      <c r="K7212" s="3" t="s">
        <v>37630</v>
      </c>
      <c r="L7212" s="3" t="s">
        <v>37631</v>
      </c>
      <c r="M7212" s="4"/>
      <c r="N7212" s="3" t="s">
        <v>37</v>
      </c>
      <c r="O7212" s="3" t="s">
        <v>38</v>
      </c>
      <c r="P7212" s="5">
        <v>9</v>
      </c>
      <c r="Q7212" s="5">
        <v>64</v>
      </c>
      <c r="R7212" s="5">
        <v>7</v>
      </c>
      <c r="S7212" s="5">
        <v>52</v>
      </c>
    </row>
    <row r="7213" spans="1:19" ht="28" x14ac:dyDescent="0.15">
      <c r="A7213" s="2">
        <f>HYPERLINK("https://open-school.uspishnemisto.com.ua/school/440199/", 440199)</f>
        <v>440199</v>
      </c>
      <c r="B7213" s="3" t="s">
        <v>37632</v>
      </c>
      <c r="C7213" s="3" t="s">
        <v>31</v>
      </c>
      <c r="D7213" s="3" t="s">
        <v>32</v>
      </c>
      <c r="E7213" s="4" t="s">
        <v>22</v>
      </c>
      <c r="F7213" s="4" t="s">
        <v>37633</v>
      </c>
      <c r="G7213" s="4" t="s">
        <v>37634</v>
      </c>
      <c r="H7213" s="3" t="s">
        <v>36691</v>
      </c>
      <c r="I7213" s="3" t="s">
        <v>37635</v>
      </c>
      <c r="J7213" s="3" t="s">
        <v>792</v>
      </c>
      <c r="K7213" s="3" t="s">
        <v>37636</v>
      </c>
      <c r="L7213" s="3"/>
      <c r="M7213" s="4"/>
      <c r="N7213" s="3" t="s">
        <v>37</v>
      </c>
      <c r="O7213" s="3" t="s">
        <v>70</v>
      </c>
      <c r="P7213" s="5">
        <v>10</v>
      </c>
      <c r="Q7213" s="5">
        <v>91</v>
      </c>
      <c r="R7213" s="5">
        <v>10</v>
      </c>
      <c r="S7213" s="5">
        <v>96</v>
      </c>
    </row>
    <row r="7214" spans="1:19" ht="28" x14ac:dyDescent="0.15">
      <c r="A7214" s="2">
        <f>HYPERLINK("https://open-school.uspishnemisto.com.ua/school/440200/", 440200)</f>
        <v>440200</v>
      </c>
      <c r="B7214" s="3" t="s">
        <v>37637</v>
      </c>
      <c r="C7214" s="3" t="s">
        <v>31</v>
      </c>
      <c r="D7214" s="3" t="s">
        <v>175</v>
      </c>
      <c r="E7214" s="4" t="s">
        <v>22</v>
      </c>
      <c r="F7214" s="4" t="s">
        <v>37638</v>
      </c>
      <c r="G7214" s="4" t="s">
        <v>37639</v>
      </c>
      <c r="H7214" s="3" t="s">
        <v>36691</v>
      </c>
      <c r="I7214" s="3" t="s">
        <v>10843</v>
      </c>
      <c r="J7214" s="3" t="s">
        <v>37640</v>
      </c>
      <c r="K7214" s="3" t="s">
        <v>37641</v>
      </c>
      <c r="L7214" s="3"/>
      <c r="M7214" s="4"/>
      <c r="N7214" s="3" t="s">
        <v>37</v>
      </c>
      <c r="O7214" s="3" t="s">
        <v>38</v>
      </c>
      <c r="P7214" s="5">
        <v>9</v>
      </c>
      <c r="Q7214" s="5">
        <v>80</v>
      </c>
      <c r="R7214" s="5">
        <v>9</v>
      </c>
      <c r="S7214" s="5">
        <v>77</v>
      </c>
    </row>
    <row r="7215" spans="1:19" ht="28" x14ac:dyDescent="0.15">
      <c r="A7215" s="2">
        <f>HYPERLINK("https://open-school.uspishnemisto.com.ua/school/440201/", 440201)</f>
        <v>440201</v>
      </c>
      <c r="B7215" s="3" t="s">
        <v>37642</v>
      </c>
      <c r="C7215" s="3" t="s">
        <v>31</v>
      </c>
      <c r="D7215" s="3" t="s">
        <v>32</v>
      </c>
      <c r="E7215" s="4" t="s">
        <v>22</v>
      </c>
      <c r="F7215" s="4" t="s">
        <v>37643</v>
      </c>
      <c r="G7215" s="4" t="s">
        <v>37644</v>
      </c>
      <c r="H7215" s="3" t="s">
        <v>36691</v>
      </c>
      <c r="I7215" s="3" t="s">
        <v>34038</v>
      </c>
      <c r="J7215" s="3" t="s">
        <v>466</v>
      </c>
      <c r="K7215" s="3" t="s">
        <v>37645</v>
      </c>
      <c r="L7215" s="3"/>
      <c r="M7215" s="4"/>
      <c r="N7215" s="3"/>
      <c r="O7215" s="3"/>
      <c r="P7215" s="5">
        <v>0</v>
      </c>
      <c r="Q7215" s="5">
        <v>0</v>
      </c>
      <c r="R7215" s="5"/>
      <c r="S7215" s="5"/>
    </row>
    <row r="7216" spans="1:19" ht="56" x14ac:dyDescent="0.15">
      <c r="A7216" s="2">
        <f>HYPERLINK("https://open-school.uspishnemisto.com.ua/school/440202/", 440202)</f>
        <v>440202</v>
      </c>
      <c r="B7216" s="3" t="s">
        <v>37646</v>
      </c>
      <c r="C7216" s="3" t="s">
        <v>54</v>
      </c>
      <c r="D7216" s="3" t="s">
        <v>175</v>
      </c>
      <c r="E7216" s="4" t="s">
        <v>22</v>
      </c>
      <c r="F7216" s="4" t="s">
        <v>37647</v>
      </c>
      <c r="G7216" s="4" t="s">
        <v>37648</v>
      </c>
      <c r="H7216" s="3" t="s">
        <v>36691</v>
      </c>
      <c r="I7216" s="3" t="s">
        <v>26100</v>
      </c>
      <c r="J7216" s="3" t="s">
        <v>14550</v>
      </c>
      <c r="K7216" s="3" t="s">
        <v>37649</v>
      </c>
      <c r="L7216" s="3"/>
      <c r="M7216" s="4"/>
      <c r="N7216" s="3" t="s">
        <v>37</v>
      </c>
      <c r="O7216" s="3" t="s">
        <v>38</v>
      </c>
      <c r="P7216" s="5">
        <v>8</v>
      </c>
      <c r="Q7216" s="5">
        <v>60</v>
      </c>
      <c r="R7216" s="5">
        <v>8</v>
      </c>
      <c r="S7216" s="5">
        <v>56</v>
      </c>
    </row>
    <row r="7217" spans="1:19" ht="56" x14ac:dyDescent="0.15">
      <c r="A7217" s="2">
        <f>HYPERLINK("https://open-school.uspishnemisto.com.ua/school/440203/", 440203)</f>
        <v>440203</v>
      </c>
      <c r="B7217" s="3" t="s">
        <v>37650</v>
      </c>
      <c r="C7217" s="3" t="s">
        <v>54</v>
      </c>
      <c r="D7217" s="3" t="s">
        <v>32</v>
      </c>
      <c r="E7217" s="4" t="s">
        <v>22</v>
      </c>
      <c r="F7217" s="4" t="s">
        <v>37651</v>
      </c>
      <c r="G7217" s="4" t="s">
        <v>37648</v>
      </c>
      <c r="H7217" s="3" t="s">
        <v>36691</v>
      </c>
      <c r="I7217" s="3" t="s">
        <v>26100</v>
      </c>
      <c r="J7217" s="3" t="s">
        <v>37652</v>
      </c>
      <c r="K7217" s="3" t="s">
        <v>37653</v>
      </c>
      <c r="L7217" s="3"/>
      <c r="M7217" s="4"/>
      <c r="N7217" s="3" t="s">
        <v>37</v>
      </c>
      <c r="O7217" s="3" t="s">
        <v>2740</v>
      </c>
      <c r="P7217" s="5">
        <v>11</v>
      </c>
      <c r="Q7217" s="5">
        <v>101</v>
      </c>
      <c r="R7217" s="5">
        <v>11</v>
      </c>
      <c r="S7217" s="5">
        <v>103</v>
      </c>
    </row>
    <row r="7218" spans="1:19" ht="42" x14ac:dyDescent="0.15">
      <c r="A7218" s="2">
        <f>HYPERLINK("https://open-school.uspishnemisto.com.ua/school/440204/", 440204)</f>
        <v>440204</v>
      </c>
      <c r="B7218" s="3" t="s">
        <v>37654</v>
      </c>
      <c r="C7218" s="3" t="s">
        <v>31</v>
      </c>
      <c r="D7218" s="3" t="s">
        <v>32</v>
      </c>
      <c r="E7218" s="4" t="s">
        <v>22</v>
      </c>
      <c r="F7218" s="4" t="s">
        <v>37655</v>
      </c>
      <c r="G7218" s="4" t="s">
        <v>37656</v>
      </c>
      <c r="H7218" s="3" t="s">
        <v>36691</v>
      </c>
      <c r="I7218" s="3" t="s">
        <v>37657</v>
      </c>
      <c r="J7218" s="3" t="s">
        <v>37658</v>
      </c>
      <c r="K7218" s="3" t="s">
        <v>37659</v>
      </c>
      <c r="L7218" s="3" t="s">
        <v>37660</v>
      </c>
      <c r="M7218" s="4"/>
      <c r="N7218" s="3" t="s">
        <v>37</v>
      </c>
      <c r="O7218" s="3" t="s">
        <v>38</v>
      </c>
      <c r="P7218" s="5">
        <v>8</v>
      </c>
      <c r="Q7218" s="5">
        <v>84</v>
      </c>
      <c r="R7218" s="5">
        <v>8</v>
      </c>
      <c r="S7218" s="5">
        <v>86</v>
      </c>
    </row>
    <row r="7219" spans="1:19" ht="28" x14ac:dyDescent="0.15">
      <c r="A7219" s="2">
        <f>HYPERLINK("https://open-school.uspishnemisto.com.ua/school/440205/", 440205)</f>
        <v>440205</v>
      </c>
      <c r="B7219" s="3" t="s">
        <v>37661</v>
      </c>
      <c r="C7219" s="3" t="s">
        <v>31</v>
      </c>
      <c r="D7219" s="3" t="s">
        <v>32</v>
      </c>
      <c r="E7219" s="4" t="s">
        <v>22</v>
      </c>
      <c r="F7219" s="4" t="s">
        <v>37662</v>
      </c>
      <c r="G7219" s="4" t="s">
        <v>37663</v>
      </c>
      <c r="H7219" s="3" t="s">
        <v>36691</v>
      </c>
      <c r="I7219" s="3" t="s">
        <v>14849</v>
      </c>
      <c r="J7219" s="3" t="s">
        <v>37664</v>
      </c>
      <c r="K7219" s="3" t="s">
        <v>37665</v>
      </c>
      <c r="L7219" s="3"/>
      <c r="M7219" s="4"/>
      <c r="N7219" s="3" t="s">
        <v>37</v>
      </c>
      <c r="O7219" s="3" t="s">
        <v>38</v>
      </c>
      <c r="P7219" s="5">
        <v>7</v>
      </c>
      <c r="Q7219" s="5">
        <v>61</v>
      </c>
      <c r="R7219" s="5">
        <v>9</v>
      </c>
      <c r="S7219" s="5">
        <v>65</v>
      </c>
    </row>
    <row r="7220" spans="1:19" ht="42" x14ac:dyDescent="0.15">
      <c r="A7220" s="2">
        <f>HYPERLINK("https://open-school.uspishnemisto.com.ua/school/440206/", 440206)</f>
        <v>440206</v>
      </c>
      <c r="B7220" s="3" t="s">
        <v>37666</v>
      </c>
      <c r="C7220" s="3" t="s">
        <v>54</v>
      </c>
      <c r="D7220" s="3" t="s">
        <v>32</v>
      </c>
      <c r="E7220" s="4" t="s">
        <v>22</v>
      </c>
      <c r="F7220" s="4" t="s">
        <v>37667</v>
      </c>
      <c r="G7220" s="4" t="s">
        <v>37668</v>
      </c>
      <c r="H7220" s="3" t="s">
        <v>36691</v>
      </c>
      <c r="I7220" s="3" t="s">
        <v>37669</v>
      </c>
      <c r="J7220" s="3" t="s">
        <v>37670</v>
      </c>
      <c r="K7220" s="3" t="s">
        <v>37671</v>
      </c>
      <c r="L7220" s="3" t="s">
        <v>37672</v>
      </c>
      <c r="M7220" s="4"/>
      <c r="N7220" s="3" t="s">
        <v>37</v>
      </c>
      <c r="O7220" s="3" t="s">
        <v>38</v>
      </c>
      <c r="P7220" s="5">
        <v>11</v>
      </c>
      <c r="Q7220" s="5">
        <v>107</v>
      </c>
      <c r="R7220" s="5">
        <v>11</v>
      </c>
      <c r="S7220" s="5">
        <v>88</v>
      </c>
    </row>
    <row r="7221" spans="1:19" ht="56" x14ac:dyDescent="0.15">
      <c r="A7221" s="2">
        <f>HYPERLINK("https://open-school.uspishnemisto.com.ua/school/440207/", 440207)</f>
        <v>440207</v>
      </c>
      <c r="B7221" s="3" t="s">
        <v>37673</v>
      </c>
      <c r="C7221" s="3" t="s">
        <v>54</v>
      </c>
      <c r="D7221" s="3" t="s">
        <v>175</v>
      </c>
      <c r="E7221" s="4" t="s">
        <v>22</v>
      </c>
      <c r="F7221" s="4" t="s">
        <v>37674</v>
      </c>
      <c r="G7221" s="4" t="s">
        <v>37668</v>
      </c>
      <c r="H7221" s="3" t="s">
        <v>36691</v>
      </c>
      <c r="I7221" s="3" t="s">
        <v>37669</v>
      </c>
      <c r="J7221" s="3" t="s">
        <v>37675</v>
      </c>
      <c r="K7221" s="3" t="s">
        <v>37676</v>
      </c>
      <c r="L7221" s="3"/>
      <c r="M7221" s="4"/>
      <c r="N7221" s="3" t="s">
        <v>37</v>
      </c>
      <c r="O7221" s="3" t="s">
        <v>38</v>
      </c>
      <c r="P7221" s="5">
        <v>1</v>
      </c>
      <c r="Q7221" s="5">
        <v>26</v>
      </c>
      <c r="R7221" s="5">
        <v>2</v>
      </c>
      <c r="S7221" s="5">
        <v>31</v>
      </c>
    </row>
    <row r="7222" spans="1:19" ht="56" x14ac:dyDescent="0.15">
      <c r="A7222" s="2">
        <f>HYPERLINK("https://open-school.uspishnemisto.com.ua/school/440208/", 440208)</f>
        <v>440208</v>
      </c>
      <c r="B7222" s="3" t="s">
        <v>37677</v>
      </c>
      <c r="C7222" s="3" t="s">
        <v>54</v>
      </c>
      <c r="D7222" s="3" t="s">
        <v>32</v>
      </c>
      <c r="E7222" s="4" t="s">
        <v>22</v>
      </c>
      <c r="F7222" s="4" t="s">
        <v>37678</v>
      </c>
      <c r="G7222" s="4" t="s">
        <v>37679</v>
      </c>
      <c r="H7222" s="3" t="s">
        <v>36691</v>
      </c>
      <c r="I7222" s="3" t="s">
        <v>37680</v>
      </c>
      <c r="J7222" s="3" t="s">
        <v>37681</v>
      </c>
      <c r="K7222" s="3"/>
      <c r="L7222" s="3"/>
      <c r="M7222" s="4"/>
      <c r="N7222" s="3" t="s">
        <v>128</v>
      </c>
      <c r="O7222" s="3" t="s">
        <v>70</v>
      </c>
      <c r="P7222" s="5">
        <v>10</v>
      </c>
      <c r="Q7222" s="5">
        <v>64</v>
      </c>
      <c r="R7222" s="5">
        <v>6</v>
      </c>
      <c r="S7222" s="5">
        <v>46</v>
      </c>
    </row>
    <row r="7223" spans="1:19" ht="56" x14ac:dyDescent="0.15">
      <c r="A7223" s="2">
        <f>HYPERLINK("https://open-school.uspishnemisto.com.ua/school/440209/", 440209)</f>
        <v>440209</v>
      </c>
      <c r="B7223" s="3" t="s">
        <v>37682</v>
      </c>
      <c r="C7223" s="3" t="s">
        <v>54</v>
      </c>
      <c r="D7223" s="3" t="s">
        <v>32</v>
      </c>
      <c r="E7223" s="4" t="s">
        <v>22</v>
      </c>
      <c r="F7223" s="4" t="s">
        <v>37683</v>
      </c>
      <c r="G7223" s="4" t="s">
        <v>37684</v>
      </c>
      <c r="H7223" s="3" t="s">
        <v>36691</v>
      </c>
      <c r="I7223" s="3" t="s">
        <v>37685</v>
      </c>
      <c r="J7223" s="3" t="s">
        <v>37686</v>
      </c>
      <c r="K7223" s="3" t="s">
        <v>37687</v>
      </c>
      <c r="L7223" s="3"/>
      <c r="M7223" s="4"/>
      <c r="N7223" s="3" t="s">
        <v>37</v>
      </c>
      <c r="O7223" s="3" t="s">
        <v>38</v>
      </c>
      <c r="P7223" s="5">
        <v>9</v>
      </c>
      <c r="Q7223" s="5">
        <v>109</v>
      </c>
      <c r="R7223" s="5">
        <v>9</v>
      </c>
      <c r="S7223" s="5">
        <v>107</v>
      </c>
    </row>
    <row r="7224" spans="1:19" ht="28" x14ac:dyDescent="0.15">
      <c r="A7224" s="2">
        <f>HYPERLINK("https://open-school.uspishnemisto.com.ua/school/440210/", 440210)</f>
        <v>440210</v>
      </c>
      <c r="B7224" s="3" t="s">
        <v>37688</v>
      </c>
      <c r="C7224" s="3" t="s">
        <v>31</v>
      </c>
      <c r="D7224" s="3" t="s">
        <v>175</v>
      </c>
      <c r="E7224" s="4" t="s">
        <v>22</v>
      </c>
      <c r="F7224" s="4" t="s">
        <v>37689</v>
      </c>
      <c r="G7224" s="4" t="s">
        <v>37684</v>
      </c>
      <c r="H7224" s="3" t="s">
        <v>36691</v>
      </c>
      <c r="I7224" s="3" t="s">
        <v>37685</v>
      </c>
      <c r="J7224" s="3" t="s">
        <v>878</v>
      </c>
      <c r="K7224" s="3"/>
      <c r="L7224" s="3"/>
      <c r="M7224" s="4"/>
      <c r="N7224" s="3" t="s">
        <v>37</v>
      </c>
      <c r="O7224" s="3" t="s">
        <v>38</v>
      </c>
      <c r="P7224" s="5">
        <v>9</v>
      </c>
      <c r="Q7224" s="5">
        <v>82</v>
      </c>
      <c r="R7224" s="5">
        <v>8</v>
      </c>
      <c r="S7224" s="5">
        <v>72</v>
      </c>
    </row>
    <row r="7225" spans="1:19" ht="28" x14ac:dyDescent="0.15">
      <c r="A7225" s="2">
        <f>HYPERLINK("https://open-school.uspishnemisto.com.ua/school/440211/", 440211)</f>
        <v>440211</v>
      </c>
      <c r="B7225" s="3" t="s">
        <v>37690</v>
      </c>
      <c r="C7225" s="3" t="s">
        <v>31</v>
      </c>
      <c r="D7225" s="3" t="s">
        <v>32</v>
      </c>
      <c r="E7225" s="4" t="s">
        <v>22</v>
      </c>
      <c r="F7225" s="4" t="s">
        <v>37691</v>
      </c>
      <c r="G7225" s="4" t="s">
        <v>37692</v>
      </c>
      <c r="H7225" s="3" t="s">
        <v>36691</v>
      </c>
      <c r="I7225" s="3" t="s">
        <v>37693</v>
      </c>
      <c r="J7225" s="3" t="s">
        <v>37694</v>
      </c>
      <c r="K7225" s="3" t="s">
        <v>37695</v>
      </c>
      <c r="L7225" s="3"/>
      <c r="M7225" s="4"/>
      <c r="N7225" s="3"/>
      <c r="O7225" s="3"/>
      <c r="P7225" s="5">
        <v>0</v>
      </c>
      <c r="Q7225" s="5">
        <v>0</v>
      </c>
      <c r="R7225" s="5"/>
      <c r="S7225" s="5"/>
    </row>
    <row r="7226" spans="1:19" ht="28" x14ac:dyDescent="0.15">
      <c r="A7226" s="2">
        <f>HYPERLINK("https://open-school.uspishnemisto.com.ua/school/440212/", 440212)</f>
        <v>440212</v>
      </c>
      <c r="B7226" s="3" t="s">
        <v>37696</v>
      </c>
      <c r="C7226" s="3" t="s">
        <v>31</v>
      </c>
      <c r="D7226" s="3" t="s">
        <v>32</v>
      </c>
      <c r="E7226" s="4" t="s">
        <v>22</v>
      </c>
      <c r="F7226" s="4" t="s">
        <v>37691</v>
      </c>
      <c r="G7226" s="4" t="s">
        <v>37692</v>
      </c>
      <c r="H7226" s="3" t="s">
        <v>36691</v>
      </c>
      <c r="I7226" s="3" t="s">
        <v>37693</v>
      </c>
      <c r="J7226" s="3" t="s">
        <v>37697</v>
      </c>
      <c r="K7226" s="3" t="s">
        <v>37698</v>
      </c>
      <c r="L7226" s="3"/>
      <c r="M7226" s="4"/>
      <c r="N7226" s="3"/>
      <c r="O7226" s="3"/>
      <c r="P7226" s="5">
        <v>0</v>
      </c>
      <c r="Q7226" s="5">
        <v>0</v>
      </c>
      <c r="R7226" s="5"/>
      <c r="S7226" s="5"/>
    </row>
    <row r="7227" spans="1:19" ht="28" x14ac:dyDescent="0.15">
      <c r="A7227" s="2">
        <f>HYPERLINK("https://open-school.uspishnemisto.com.ua/school/440213/", 440213)</f>
        <v>440213</v>
      </c>
      <c r="B7227" s="3" t="s">
        <v>37699</v>
      </c>
      <c r="C7227" s="3" t="s">
        <v>31</v>
      </c>
      <c r="D7227" s="3" t="s">
        <v>32</v>
      </c>
      <c r="E7227" s="4" t="s">
        <v>22</v>
      </c>
      <c r="F7227" s="4" t="s">
        <v>37700</v>
      </c>
      <c r="G7227" s="4" t="s">
        <v>37701</v>
      </c>
      <c r="H7227" s="3" t="s">
        <v>36691</v>
      </c>
      <c r="I7227" s="3" t="s">
        <v>13387</v>
      </c>
      <c r="J7227" s="3" t="s">
        <v>37702</v>
      </c>
      <c r="K7227" s="3" t="s">
        <v>37703</v>
      </c>
      <c r="L7227" s="3"/>
      <c r="M7227" s="4"/>
      <c r="N7227" s="3"/>
      <c r="O7227" s="3"/>
      <c r="P7227" s="5">
        <v>0</v>
      </c>
      <c r="Q7227" s="5">
        <v>0</v>
      </c>
      <c r="R7227" s="5"/>
      <c r="S7227" s="5"/>
    </row>
    <row r="7228" spans="1:19" ht="28" x14ac:dyDescent="0.15">
      <c r="A7228" s="2">
        <f>HYPERLINK("https://open-school.uspishnemisto.com.ua/school/440214/", 440214)</f>
        <v>440214</v>
      </c>
      <c r="B7228" s="3" t="s">
        <v>37704</v>
      </c>
      <c r="C7228" s="3" t="s">
        <v>31</v>
      </c>
      <c r="D7228" s="3" t="s">
        <v>175</v>
      </c>
      <c r="E7228" s="4" t="s">
        <v>22</v>
      </c>
      <c r="F7228" s="4" t="s">
        <v>37705</v>
      </c>
      <c r="G7228" s="4" t="s">
        <v>37706</v>
      </c>
      <c r="H7228" s="3" t="s">
        <v>36691</v>
      </c>
      <c r="I7228" s="3" t="s">
        <v>37707</v>
      </c>
      <c r="J7228" s="3" t="s">
        <v>1868</v>
      </c>
      <c r="K7228" s="3" t="s">
        <v>37708</v>
      </c>
      <c r="L7228" s="3"/>
      <c r="M7228" s="4"/>
      <c r="N7228" s="3"/>
      <c r="O7228" s="3"/>
      <c r="P7228" s="5">
        <v>0</v>
      </c>
      <c r="Q7228" s="5">
        <v>0</v>
      </c>
      <c r="R7228" s="5"/>
      <c r="S7228" s="5"/>
    </row>
    <row r="7229" spans="1:19" ht="28" x14ac:dyDescent="0.15">
      <c r="A7229" s="2">
        <f>HYPERLINK("https://open-school.uspishnemisto.com.ua/school/440215/", 440215)</f>
        <v>440215</v>
      </c>
      <c r="B7229" s="3" t="s">
        <v>37709</v>
      </c>
      <c r="C7229" s="3" t="s">
        <v>31</v>
      </c>
      <c r="D7229" s="3" t="s">
        <v>32</v>
      </c>
      <c r="E7229" s="4" t="s">
        <v>22</v>
      </c>
      <c r="F7229" s="4" t="s">
        <v>37710</v>
      </c>
      <c r="G7229" s="4" t="s">
        <v>37711</v>
      </c>
      <c r="H7229" s="3" t="s">
        <v>36691</v>
      </c>
      <c r="I7229" s="3" t="s">
        <v>12351</v>
      </c>
      <c r="J7229" s="3" t="s">
        <v>37712</v>
      </c>
      <c r="K7229" s="3" t="s">
        <v>37713</v>
      </c>
      <c r="L7229" s="3"/>
      <c r="M7229" s="4"/>
      <c r="N7229" s="3" t="s">
        <v>37</v>
      </c>
      <c r="O7229" s="3" t="s">
        <v>38</v>
      </c>
      <c r="P7229" s="5">
        <v>1</v>
      </c>
      <c r="Q7229" s="5">
        <v>32</v>
      </c>
      <c r="R7229" s="5">
        <v>1</v>
      </c>
      <c r="S7229" s="5">
        <v>30</v>
      </c>
    </row>
    <row r="7230" spans="1:19" ht="28" x14ac:dyDescent="0.15">
      <c r="A7230" s="2">
        <f>HYPERLINK("https://open-school.uspishnemisto.com.ua/school/440216/", 440216)</f>
        <v>440216</v>
      </c>
      <c r="B7230" s="3" t="s">
        <v>37714</v>
      </c>
      <c r="C7230" s="3" t="s">
        <v>54</v>
      </c>
      <c r="D7230" s="3" t="s">
        <v>32</v>
      </c>
      <c r="E7230" s="4" t="s">
        <v>22</v>
      </c>
      <c r="F7230" s="4" t="s">
        <v>37715</v>
      </c>
      <c r="G7230" s="4" t="s">
        <v>37716</v>
      </c>
      <c r="H7230" s="3" t="s">
        <v>36691</v>
      </c>
      <c r="I7230" s="3" t="s">
        <v>37717</v>
      </c>
      <c r="J7230" s="3" t="s">
        <v>37718</v>
      </c>
      <c r="K7230" s="3" t="s">
        <v>37719</v>
      </c>
      <c r="L7230" s="3"/>
      <c r="M7230" s="4"/>
      <c r="N7230" s="3" t="s">
        <v>37</v>
      </c>
      <c r="O7230" s="3" t="s">
        <v>721</v>
      </c>
      <c r="P7230" s="5">
        <v>21</v>
      </c>
      <c r="Q7230" s="5">
        <v>380</v>
      </c>
      <c r="R7230" s="5">
        <v>20</v>
      </c>
      <c r="S7230" s="5">
        <v>351</v>
      </c>
    </row>
    <row r="7231" spans="1:19" ht="28" x14ac:dyDescent="0.15">
      <c r="A7231" s="2">
        <f>HYPERLINK("https://open-school.uspishnemisto.com.ua/school/440217/", 440217)</f>
        <v>440217</v>
      </c>
      <c r="B7231" s="3" t="s">
        <v>37720</v>
      </c>
      <c r="C7231" s="3" t="s">
        <v>31</v>
      </c>
      <c r="D7231" s="3" t="s">
        <v>32</v>
      </c>
      <c r="E7231" s="4" t="s">
        <v>22</v>
      </c>
      <c r="F7231" s="4" t="s">
        <v>37721</v>
      </c>
      <c r="G7231" s="4" t="s">
        <v>37716</v>
      </c>
      <c r="H7231" s="3" t="s">
        <v>36691</v>
      </c>
      <c r="I7231" s="3" t="s">
        <v>37717</v>
      </c>
      <c r="J7231" s="3" t="s">
        <v>37722</v>
      </c>
      <c r="K7231" s="3" t="s">
        <v>37723</v>
      </c>
      <c r="L7231" s="3"/>
      <c r="M7231" s="4"/>
      <c r="N7231" s="3" t="s">
        <v>37</v>
      </c>
      <c r="O7231" s="3" t="s">
        <v>70</v>
      </c>
      <c r="P7231" s="5">
        <v>22</v>
      </c>
      <c r="Q7231" s="5">
        <v>486</v>
      </c>
      <c r="R7231" s="5">
        <v>22</v>
      </c>
      <c r="S7231" s="5">
        <v>490</v>
      </c>
    </row>
    <row r="7232" spans="1:19" ht="28" x14ac:dyDescent="0.15">
      <c r="A7232" s="2">
        <f>HYPERLINK("https://open-school.uspishnemisto.com.ua/school/440218/", 440218)</f>
        <v>440218</v>
      </c>
      <c r="B7232" s="3" t="s">
        <v>37724</v>
      </c>
      <c r="C7232" s="3" t="s">
        <v>31</v>
      </c>
      <c r="D7232" s="3" t="s">
        <v>32</v>
      </c>
      <c r="E7232" s="4" t="s">
        <v>22</v>
      </c>
      <c r="F7232" s="4" t="s">
        <v>37715</v>
      </c>
      <c r="G7232" s="4" t="s">
        <v>37716</v>
      </c>
      <c r="H7232" s="3" t="s">
        <v>36691</v>
      </c>
      <c r="I7232" s="3" t="s">
        <v>37717</v>
      </c>
      <c r="J7232" s="3" t="s">
        <v>37725</v>
      </c>
      <c r="K7232" s="3" t="s">
        <v>37726</v>
      </c>
      <c r="L7232" s="3" t="s">
        <v>37727</v>
      </c>
      <c r="M7232" s="4"/>
      <c r="N7232" s="3" t="s">
        <v>37</v>
      </c>
      <c r="O7232" s="3" t="s">
        <v>38</v>
      </c>
      <c r="P7232" s="5">
        <v>21</v>
      </c>
      <c r="Q7232" s="5">
        <v>441</v>
      </c>
      <c r="R7232" s="5">
        <v>21</v>
      </c>
      <c r="S7232" s="5">
        <v>442</v>
      </c>
    </row>
    <row r="7233" spans="1:19" ht="28" x14ac:dyDescent="0.15">
      <c r="A7233" s="2">
        <f>HYPERLINK("https://open-school.uspishnemisto.com.ua/school/440219/", 440219)</f>
        <v>440219</v>
      </c>
      <c r="B7233" s="3" t="s">
        <v>37728</v>
      </c>
      <c r="C7233" s="3" t="s">
        <v>31</v>
      </c>
      <c r="D7233" s="3" t="s">
        <v>32</v>
      </c>
      <c r="E7233" s="4" t="s">
        <v>22</v>
      </c>
      <c r="F7233" s="4" t="s">
        <v>37715</v>
      </c>
      <c r="G7233" s="4" t="s">
        <v>37716</v>
      </c>
      <c r="H7233" s="3" t="s">
        <v>36691</v>
      </c>
      <c r="I7233" s="3" t="s">
        <v>37717</v>
      </c>
      <c r="J7233" s="3" t="s">
        <v>37729</v>
      </c>
      <c r="K7233" s="3" t="s">
        <v>37730</v>
      </c>
      <c r="L7233" s="3"/>
      <c r="M7233" s="4"/>
      <c r="N7233" s="3" t="s">
        <v>37</v>
      </c>
      <c r="O7233" s="3" t="s">
        <v>38</v>
      </c>
      <c r="P7233" s="5">
        <v>11</v>
      </c>
      <c r="Q7233" s="5">
        <v>220</v>
      </c>
      <c r="R7233" s="5">
        <v>11</v>
      </c>
      <c r="S7233" s="5">
        <v>223</v>
      </c>
    </row>
    <row r="7234" spans="1:19" ht="28" x14ac:dyDescent="0.15">
      <c r="A7234" s="2">
        <f>HYPERLINK("https://open-school.uspishnemisto.com.ua/school/440220/", 440220)</f>
        <v>440220</v>
      </c>
      <c r="B7234" s="3" t="s">
        <v>37731</v>
      </c>
      <c r="C7234" s="3" t="s">
        <v>31</v>
      </c>
      <c r="D7234" s="3" t="s">
        <v>32</v>
      </c>
      <c r="E7234" s="4" t="s">
        <v>22</v>
      </c>
      <c r="F7234" s="4" t="s">
        <v>37715</v>
      </c>
      <c r="G7234" s="4" t="s">
        <v>37716</v>
      </c>
      <c r="H7234" s="3" t="s">
        <v>36691</v>
      </c>
      <c r="I7234" s="3" t="s">
        <v>37717</v>
      </c>
      <c r="J7234" s="3" t="s">
        <v>6535</v>
      </c>
      <c r="K7234" s="3" t="s">
        <v>37732</v>
      </c>
      <c r="L7234" s="3"/>
      <c r="M7234" s="4"/>
      <c r="N7234" s="3" t="s">
        <v>37</v>
      </c>
      <c r="O7234" s="3" t="s">
        <v>721</v>
      </c>
      <c r="P7234" s="5">
        <v>11</v>
      </c>
      <c r="Q7234" s="5">
        <v>220</v>
      </c>
      <c r="R7234" s="5">
        <v>12</v>
      </c>
      <c r="S7234" s="5">
        <v>217</v>
      </c>
    </row>
    <row r="7235" spans="1:19" ht="28" x14ac:dyDescent="0.15">
      <c r="A7235" s="2">
        <f>HYPERLINK("https://open-school.uspishnemisto.com.ua/school/440221/", 440221)</f>
        <v>440221</v>
      </c>
      <c r="B7235" s="3" t="s">
        <v>37733</v>
      </c>
      <c r="C7235" s="3" t="s">
        <v>181</v>
      </c>
      <c r="D7235" s="3" t="s">
        <v>32</v>
      </c>
      <c r="E7235" s="4" t="s">
        <v>22</v>
      </c>
      <c r="F7235" s="4" t="s">
        <v>37715</v>
      </c>
      <c r="G7235" s="4" t="s">
        <v>37716</v>
      </c>
      <c r="H7235" s="3" t="s">
        <v>36691</v>
      </c>
      <c r="I7235" s="3" t="s">
        <v>37717</v>
      </c>
      <c r="J7235" s="3" t="s">
        <v>37734</v>
      </c>
      <c r="K7235" s="3" t="s">
        <v>37735</v>
      </c>
      <c r="L7235" s="3"/>
      <c r="M7235" s="4" t="s">
        <v>37736</v>
      </c>
      <c r="N7235" s="3" t="s">
        <v>128</v>
      </c>
      <c r="O7235" s="3" t="s">
        <v>52</v>
      </c>
      <c r="P7235" s="5">
        <v>11</v>
      </c>
      <c r="Q7235" s="5">
        <v>82</v>
      </c>
      <c r="R7235" s="5">
        <v>10</v>
      </c>
      <c r="S7235" s="5">
        <v>73</v>
      </c>
    </row>
    <row r="7236" spans="1:19" ht="28" x14ac:dyDescent="0.15">
      <c r="A7236" s="2">
        <f>HYPERLINK("https://open-school.uspishnemisto.com.ua/school/440222/", 440222)</f>
        <v>440222</v>
      </c>
      <c r="B7236" s="3" t="s">
        <v>37737</v>
      </c>
      <c r="C7236" s="3" t="s">
        <v>31</v>
      </c>
      <c r="D7236" s="3" t="s">
        <v>32</v>
      </c>
      <c r="E7236" s="4" t="s">
        <v>22</v>
      </c>
      <c r="F7236" s="4" t="s">
        <v>37738</v>
      </c>
      <c r="G7236" s="4" t="s">
        <v>37739</v>
      </c>
      <c r="H7236" s="3" t="s">
        <v>36691</v>
      </c>
      <c r="I7236" s="3" t="s">
        <v>37740</v>
      </c>
      <c r="J7236" s="3" t="s">
        <v>37741</v>
      </c>
      <c r="K7236" s="3" t="s">
        <v>37742</v>
      </c>
      <c r="L7236" s="3" t="s">
        <v>37743</v>
      </c>
      <c r="M7236" s="4"/>
      <c r="N7236" s="3" t="s">
        <v>37</v>
      </c>
      <c r="O7236" s="3" t="s">
        <v>38</v>
      </c>
      <c r="P7236" s="5">
        <v>11</v>
      </c>
      <c r="Q7236" s="5">
        <v>220</v>
      </c>
      <c r="R7236" s="5">
        <v>11</v>
      </c>
      <c r="S7236" s="5">
        <v>215</v>
      </c>
    </row>
    <row r="7237" spans="1:19" ht="28" x14ac:dyDescent="0.15">
      <c r="A7237" s="2">
        <f>HYPERLINK("https://open-school.uspishnemisto.com.ua/school/440223/", 440223)</f>
        <v>440223</v>
      </c>
      <c r="B7237" s="3" t="s">
        <v>37744</v>
      </c>
      <c r="C7237" s="3" t="s">
        <v>31</v>
      </c>
      <c r="D7237" s="3" t="s">
        <v>32</v>
      </c>
      <c r="E7237" s="4" t="s">
        <v>22</v>
      </c>
      <c r="F7237" s="4" t="s">
        <v>37745</v>
      </c>
      <c r="G7237" s="4" t="s">
        <v>37746</v>
      </c>
      <c r="H7237" s="3" t="s">
        <v>36691</v>
      </c>
      <c r="I7237" s="3" t="s">
        <v>37747</v>
      </c>
      <c r="J7237" s="3" t="s">
        <v>466</v>
      </c>
      <c r="K7237" s="3" t="s">
        <v>37748</v>
      </c>
      <c r="L7237" s="3"/>
      <c r="M7237" s="4"/>
      <c r="N7237" s="3" t="s">
        <v>37</v>
      </c>
      <c r="O7237" s="3" t="s">
        <v>38</v>
      </c>
      <c r="P7237" s="5">
        <v>2</v>
      </c>
      <c r="Q7237" s="5">
        <v>29</v>
      </c>
      <c r="R7237" s="5">
        <v>1</v>
      </c>
      <c r="S7237" s="5">
        <v>25</v>
      </c>
    </row>
    <row r="7238" spans="1:19" ht="28" x14ac:dyDescent="0.15">
      <c r="A7238" s="2">
        <f>HYPERLINK("https://open-school.uspishnemisto.com.ua/school/440224/", 440224)</f>
        <v>440224</v>
      </c>
      <c r="B7238" s="3" t="s">
        <v>37749</v>
      </c>
      <c r="C7238" s="3" t="s">
        <v>31</v>
      </c>
      <c r="D7238" s="3" t="s">
        <v>32</v>
      </c>
      <c r="E7238" s="4" t="s">
        <v>22</v>
      </c>
      <c r="F7238" s="4" t="s">
        <v>37750</v>
      </c>
      <c r="G7238" s="4" t="s">
        <v>37751</v>
      </c>
      <c r="H7238" s="3" t="s">
        <v>36691</v>
      </c>
      <c r="I7238" s="3" t="s">
        <v>37752</v>
      </c>
      <c r="J7238" s="3" t="s">
        <v>37753</v>
      </c>
      <c r="K7238" s="3" t="s">
        <v>37754</v>
      </c>
      <c r="L7238" s="3"/>
      <c r="M7238" s="4"/>
      <c r="N7238" s="3" t="s">
        <v>37</v>
      </c>
      <c r="O7238" s="3" t="s">
        <v>38</v>
      </c>
      <c r="P7238" s="5">
        <v>9</v>
      </c>
      <c r="Q7238" s="5">
        <v>121</v>
      </c>
      <c r="R7238" s="5">
        <v>10</v>
      </c>
      <c r="S7238" s="5">
        <v>118</v>
      </c>
    </row>
    <row r="7239" spans="1:19" ht="56" x14ac:dyDescent="0.15">
      <c r="A7239" s="2">
        <f>HYPERLINK("https://open-school.uspishnemisto.com.ua/school/440225/", 440225)</f>
        <v>440225</v>
      </c>
      <c r="B7239" s="3" t="s">
        <v>37755</v>
      </c>
      <c r="C7239" s="3" t="s">
        <v>54</v>
      </c>
      <c r="D7239" s="3" t="s">
        <v>32</v>
      </c>
      <c r="E7239" s="4" t="s">
        <v>22</v>
      </c>
      <c r="F7239" s="4" t="s">
        <v>37756</v>
      </c>
      <c r="G7239" s="4" t="s">
        <v>37757</v>
      </c>
      <c r="H7239" s="3" t="s">
        <v>36691</v>
      </c>
      <c r="I7239" s="3" t="s">
        <v>2857</v>
      </c>
      <c r="J7239" s="3" t="s">
        <v>37758</v>
      </c>
      <c r="K7239" s="3" t="s">
        <v>37759</v>
      </c>
      <c r="L7239" s="3"/>
      <c r="M7239" s="4"/>
      <c r="N7239" s="3" t="s">
        <v>37</v>
      </c>
      <c r="O7239" s="3" t="s">
        <v>38</v>
      </c>
      <c r="P7239" s="5">
        <v>4</v>
      </c>
      <c r="Q7239" s="5">
        <v>36</v>
      </c>
      <c r="R7239" s="5">
        <v>3</v>
      </c>
      <c r="S7239" s="5">
        <v>28</v>
      </c>
    </row>
    <row r="7240" spans="1:19" ht="28" x14ac:dyDescent="0.15">
      <c r="A7240" s="2">
        <f>HYPERLINK("https://open-school.uspishnemisto.com.ua/school/440226/", 440226)</f>
        <v>440226</v>
      </c>
      <c r="B7240" s="3" t="s">
        <v>37760</v>
      </c>
      <c r="C7240" s="3" t="s">
        <v>31</v>
      </c>
      <c r="D7240" s="3" t="s">
        <v>32</v>
      </c>
      <c r="E7240" s="4" t="s">
        <v>22</v>
      </c>
      <c r="F7240" s="4" t="s">
        <v>37761</v>
      </c>
      <c r="G7240" s="4" t="s">
        <v>37762</v>
      </c>
      <c r="H7240" s="3" t="s">
        <v>36691</v>
      </c>
      <c r="I7240" s="3" t="s">
        <v>37763</v>
      </c>
      <c r="J7240" s="3" t="s">
        <v>37764</v>
      </c>
      <c r="K7240" s="3" t="s">
        <v>37765</v>
      </c>
      <c r="L7240" s="3" t="s">
        <v>37766</v>
      </c>
      <c r="M7240" s="4"/>
      <c r="N7240" s="3" t="s">
        <v>37</v>
      </c>
      <c r="O7240" s="3" t="s">
        <v>38</v>
      </c>
      <c r="P7240" s="5">
        <v>7</v>
      </c>
      <c r="Q7240" s="5">
        <v>55</v>
      </c>
      <c r="R7240" s="5">
        <v>8</v>
      </c>
      <c r="S7240" s="5">
        <v>64</v>
      </c>
    </row>
    <row r="7241" spans="1:19" ht="28" x14ac:dyDescent="0.15">
      <c r="A7241" s="2">
        <f>HYPERLINK("https://open-school.uspishnemisto.com.ua/school/440227/", 440227)</f>
        <v>440227</v>
      </c>
      <c r="B7241" s="3" t="s">
        <v>37767</v>
      </c>
      <c r="C7241" s="3" t="s">
        <v>31</v>
      </c>
      <c r="D7241" s="3" t="s">
        <v>32</v>
      </c>
      <c r="E7241" s="4" t="s">
        <v>22</v>
      </c>
      <c r="F7241" s="4" t="s">
        <v>37768</v>
      </c>
      <c r="G7241" s="4" t="s">
        <v>37769</v>
      </c>
      <c r="H7241" s="3" t="s">
        <v>36691</v>
      </c>
      <c r="I7241" s="3" t="s">
        <v>37770</v>
      </c>
      <c r="J7241" s="3" t="s">
        <v>14824</v>
      </c>
      <c r="K7241" s="3" t="s">
        <v>37771</v>
      </c>
      <c r="L7241" s="3" t="s">
        <v>37772</v>
      </c>
      <c r="M7241" s="4"/>
      <c r="N7241" s="3" t="s">
        <v>37</v>
      </c>
      <c r="O7241" s="3" t="s">
        <v>38</v>
      </c>
      <c r="P7241" s="5">
        <v>11</v>
      </c>
      <c r="Q7241" s="5">
        <v>113</v>
      </c>
      <c r="R7241" s="5">
        <v>11</v>
      </c>
      <c r="S7241" s="5">
        <v>113</v>
      </c>
    </row>
    <row r="7242" spans="1:19" ht="28" x14ac:dyDescent="0.15">
      <c r="A7242" s="2">
        <f>HYPERLINK("https://open-school.uspishnemisto.com.ua/school/440228/", 440228)</f>
        <v>440228</v>
      </c>
      <c r="B7242" s="3" t="s">
        <v>37773</v>
      </c>
      <c r="C7242" s="3" t="s">
        <v>31</v>
      </c>
      <c r="D7242" s="3" t="s">
        <v>32</v>
      </c>
      <c r="E7242" s="4" t="s">
        <v>22</v>
      </c>
      <c r="F7242" s="4" t="s">
        <v>37774</v>
      </c>
      <c r="G7242" s="4" t="s">
        <v>37775</v>
      </c>
      <c r="H7242" s="3" t="s">
        <v>36691</v>
      </c>
      <c r="I7242" s="3" t="s">
        <v>37776</v>
      </c>
      <c r="J7242" s="3" t="s">
        <v>37777</v>
      </c>
      <c r="K7242" s="3" t="s">
        <v>37778</v>
      </c>
      <c r="L7242" s="3"/>
      <c r="M7242" s="4"/>
      <c r="N7242" s="3" t="s">
        <v>37</v>
      </c>
      <c r="O7242" s="3" t="s">
        <v>38</v>
      </c>
      <c r="P7242" s="5">
        <v>11</v>
      </c>
      <c r="Q7242" s="5">
        <v>161</v>
      </c>
      <c r="R7242" s="5">
        <v>10</v>
      </c>
      <c r="S7242" s="5">
        <v>144</v>
      </c>
    </row>
    <row r="7243" spans="1:19" ht="28" x14ac:dyDescent="0.15">
      <c r="A7243" s="2">
        <f>HYPERLINK("https://open-school.uspishnemisto.com.ua/school/440229/", 440229)</f>
        <v>440229</v>
      </c>
      <c r="B7243" s="3" t="s">
        <v>37779</v>
      </c>
      <c r="C7243" s="3" t="s">
        <v>31</v>
      </c>
      <c r="D7243" s="3" t="s">
        <v>175</v>
      </c>
      <c r="E7243" s="4" t="s">
        <v>22</v>
      </c>
      <c r="F7243" s="4" t="s">
        <v>37780</v>
      </c>
      <c r="G7243" s="4" t="s">
        <v>37781</v>
      </c>
      <c r="H7243" s="3" t="s">
        <v>36691</v>
      </c>
      <c r="I7243" s="3" t="s">
        <v>37782</v>
      </c>
      <c r="J7243" s="3" t="s">
        <v>37783</v>
      </c>
      <c r="K7243" s="3" t="s">
        <v>37784</v>
      </c>
      <c r="L7243" s="3"/>
      <c r="M7243" s="4"/>
      <c r="N7243" s="3" t="s">
        <v>37</v>
      </c>
      <c r="O7243" s="3" t="s">
        <v>38</v>
      </c>
      <c r="P7243" s="5">
        <v>9</v>
      </c>
      <c r="Q7243" s="5">
        <v>86</v>
      </c>
      <c r="R7243" s="5">
        <v>7</v>
      </c>
      <c r="S7243" s="5">
        <v>77</v>
      </c>
    </row>
    <row r="7244" spans="1:19" ht="28" x14ac:dyDescent="0.15">
      <c r="A7244" s="2">
        <f>HYPERLINK("https://open-school.uspishnemisto.com.ua/school/440230/", 440230)</f>
        <v>440230</v>
      </c>
      <c r="B7244" s="3" t="s">
        <v>37785</v>
      </c>
      <c r="C7244" s="3" t="s">
        <v>31</v>
      </c>
      <c r="D7244" s="3" t="s">
        <v>32</v>
      </c>
      <c r="E7244" s="4" t="s">
        <v>22</v>
      </c>
      <c r="F7244" s="4" t="s">
        <v>37780</v>
      </c>
      <c r="G7244" s="4" t="s">
        <v>37781</v>
      </c>
      <c r="H7244" s="3" t="s">
        <v>36691</v>
      </c>
      <c r="I7244" s="3" t="s">
        <v>37782</v>
      </c>
      <c r="J7244" s="3" t="s">
        <v>37786</v>
      </c>
      <c r="K7244" s="3" t="s">
        <v>37787</v>
      </c>
      <c r="L7244" s="3"/>
      <c r="M7244" s="4"/>
      <c r="N7244" s="3" t="s">
        <v>37</v>
      </c>
      <c r="O7244" s="3" t="s">
        <v>38</v>
      </c>
      <c r="P7244" s="5">
        <v>10</v>
      </c>
      <c r="Q7244" s="5">
        <v>101</v>
      </c>
      <c r="R7244" s="5">
        <v>11</v>
      </c>
      <c r="S7244" s="5">
        <v>111</v>
      </c>
    </row>
    <row r="7245" spans="1:19" ht="56" x14ac:dyDescent="0.15">
      <c r="A7245" s="2">
        <f>HYPERLINK("https://open-school.uspishnemisto.com.ua/school/440231/", 440231)</f>
        <v>440231</v>
      </c>
      <c r="B7245" s="3" t="s">
        <v>37788</v>
      </c>
      <c r="C7245" s="3" t="s">
        <v>54</v>
      </c>
      <c r="D7245" s="3" t="s">
        <v>32</v>
      </c>
      <c r="E7245" s="4" t="s">
        <v>22</v>
      </c>
      <c r="F7245" s="4" t="s">
        <v>37789</v>
      </c>
      <c r="G7245" s="4" t="s">
        <v>37790</v>
      </c>
      <c r="H7245" s="3" t="s">
        <v>36691</v>
      </c>
      <c r="I7245" s="3" t="s">
        <v>37791</v>
      </c>
      <c r="J7245" s="3" t="s">
        <v>37792</v>
      </c>
      <c r="K7245" s="3" t="s">
        <v>37793</v>
      </c>
      <c r="L7245" s="3"/>
      <c r="M7245" s="4"/>
      <c r="N7245" s="3" t="s">
        <v>37</v>
      </c>
      <c r="O7245" s="3" t="s">
        <v>112</v>
      </c>
      <c r="P7245" s="5">
        <v>5</v>
      </c>
      <c r="Q7245" s="5">
        <v>52</v>
      </c>
      <c r="R7245" s="5">
        <v>6</v>
      </c>
      <c r="S7245" s="5">
        <v>54</v>
      </c>
    </row>
    <row r="7246" spans="1:19" ht="42" x14ac:dyDescent="0.15">
      <c r="A7246" s="2">
        <f>HYPERLINK("https://open-school.uspishnemisto.com.ua/school/440232/", 440232)</f>
        <v>440232</v>
      </c>
      <c r="B7246" s="3" t="s">
        <v>37794</v>
      </c>
      <c r="C7246" s="3" t="s">
        <v>54</v>
      </c>
      <c r="D7246" s="3" t="s">
        <v>32</v>
      </c>
      <c r="E7246" s="4" t="s">
        <v>22</v>
      </c>
      <c r="F7246" s="4" t="s">
        <v>37795</v>
      </c>
      <c r="G7246" s="4" t="s">
        <v>37796</v>
      </c>
      <c r="H7246" s="3" t="s">
        <v>36691</v>
      </c>
      <c r="I7246" s="3" t="s">
        <v>37797</v>
      </c>
      <c r="J7246" s="3" t="s">
        <v>466</v>
      </c>
      <c r="K7246" s="3" t="s">
        <v>37798</v>
      </c>
      <c r="L7246" s="3"/>
      <c r="M7246" s="4"/>
      <c r="N7246" s="3" t="s">
        <v>37</v>
      </c>
      <c r="O7246" s="3" t="s">
        <v>38</v>
      </c>
      <c r="P7246" s="5">
        <v>7</v>
      </c>
      <c r="Q7246" s="5">
        <v>50</v>
      </c>
      <c r="R7246" s="5">
        <v>8</v>
      </c>
      <c r="S7246" s="5">
        <v>53</v>
      </c>
    </row>
    <row r="7247" spans="1:19" ht="56" x14ac:dyDescent="0.15">
      <c r="A7247" s="2">
        <f>HYPERLINK("https://open-school.uspishnemisto.com.ua/school/440233/", 440233)</f>
        <v>440233</v>
      </c>
      <c r="B7247" s="3" t="s">
        <v>37799</v>
      </c>
      <c r="C7247" s="3" t="s">
        <v>54</v>
      </c>
      <c r="D7247" s="3" t="s">
        <v>175</v>
      </c>
      <c r="E7247" s="4" t="s">
        <v>22</v>
      </c>
      <c r="F7247" s="4" t="s">
        <v>37800</v>
      </c>
      <c r="G7247" s="4" t="s">
        <v>37801</v>
      </c>
      <c r="H7247" s="3" t="s">
        <v>36691</v>
      </c>
      <c r="I7247" s="3" t="s">
        <v>37802</v>
      </c>
      <c r="J7247" s="3" t="s">
        <v>37803</v>
      </c>
      <c r="K7247" s="3" t="s">
        <v>37804</v>
      </c>
      <c r="L7247" s="3"/>
      <c r="M7247" s="4"/>
      <c r="N7247" s="3" t="s">
        <v>37</v>
      </c>
      <c r="O7247" s="3" t="s">
        <v>38</v>
      </c>
      <c r="P7247" s="5">
        <v>7</v>
      </c>
      <c r="Q7247" s="5">
        <v>47</v>
      </c>
      <c r="R7247" s="5">
        <v>6</v>
      </c>
      <c r="S7247" s="5">
        <v>45</v>
      </c>
    </row>
    <row r="7248" spans="1:19" ht="42" x14ac:dyDescent="0.15">
      <c r="A7248" s="2">
        <f>HYPERLINK("https://open-school.uspishnemisto.com.ua/school/440234/", 440234)</f>
        <v>440234</v>
      </c>
      <c r="B7248" s="3" t="s">
        <v>37805</v>
      </c>
      <c r="C7248" s="3" t="s">
        <v>54</v>
      </c>
      <c r="D7248" s="3" t="s">
        <v>175</v>
      </c>
      <c r="E7248" s="4" t="s">
        <v>22</v>
      </c>
      <c r="F7248" s="4" t="s">
        <v>37806</v>
      </c>
      <c r="G7248" s="4" t="s">
        <v>37807</v>
      </c>
      <c r="H7248" s="3" t="s">
        <v>36691</v>
      </c>
      <c r="I7248" s="3" t="s">
        <v>37398</v>
      </c>
      <c r="J7248" s="3" t="s">
        <v>37808</v>
      </c>
      <c r="K7248" s="3" t="s">
        <v>37809</v>
      </c>
      <c r="L7248" s="3" t="s">
        <v>37810</v>
      </c>
      <c r="M7248" s="4"/>
      <c r="N7248" s="3" t="s">
        <v>37</v>
      </c>
      <c r="O7248" s="3" t="s">
        <v>38</v>
      </c>
      <c r="P7248" s="5">
        <v>6</v>
      </c>
      <c r="Q7248" s="5">
        <v>38</v>
      </c>
      <c r="R7248" s="5">
        <v>7</v>
      </c>
      <c r="S7248" s="5">
        <v>49</v>
      </c>
    </row>
    <row r="7249" spans="1:19" ht="42" x14ac:dyDescent="0.15">
      <c r="A7249" s="2">
        <f>HYPERLINK("https://open-school.uspishnemisto.com.ua/school/440235/", 440235)</f>
        <v>440235</v>
      </c>
      <c r="B7249" s="3" t="s">
        <v>37811</v>
      </c>
      <c r="C7249" s="3" t="s">
        <v>54</v>
      </c>
      <c r="D7249" s="3" t="s">
        <v>175</v>
      </c>
      <c r="E7249" s="4" t="s">
        <v>22</v>
      </c>
      <c r="F7249" s="4" t="s">
        <v>37812</v>
      </c>
      <c r="G7249" s="4" t="s">
        <v>37813</v>
      </c>
      <c r="H7249" s="3" t="s">
        <v>36691</v>
      </c>
      <c r="I7249" s="3" t="s">
        <v>37814</v>
      </c>
      <c r="J7249" s="3" t="s">
        <v>5185</v>
      </c>
      <c r="K7249" s="3" t="s">
        <v>37815</v>
      </c>
      <c r="L7249" s="3"/>
      <c r="M7249" s="4"/>
      <c r="N7249" s="3" t="s">
        <v>37</v>
      </c>
      <c r="O7249" s="3" t="s">
        <v>38</v>
      </c>
      <c r="P7249" s="5">
        <v>7</v>
      </c>
      <c r="Q7249" s="5">
        <v>68</v>
      </c>
      <c r="R7249" s="5">
        <v>7</v>
      </c>
      <c r="S7249" s="5">
        <v>67</v>
      </c>
    </row>
    <row r="7250" spans="1:19" ht="56" x14ac:dyDescent="0.15">
      <c r="A7250" s="2">
        <f>HYPERLINK("https://open-school.uspishnemisto.com.ua/school/440236/", 440236)</f>
        <v>440236</v>
      </c>
      <c r="B7250" s="3" t="s">
        <v>37816</v>
      </c>
      <c r="C7250" s="3" t="s">
        <v>54</v>
      </c>
      <c r="D7250" s="3" t="s">
        <v>32</v>
      </c>
      <c r="E7250" s="4" t="s">
        <v>22</v>
      </c>
      <c r="F7250" s="4" t="s">
        <v>37817</v>
      </c>
      <c r="G7250" s="4" t="s">
        <v>37818</v>
      </c>
      <c r="H7250" s="3" t="s">
        <v>36691</v>
      </c>
      <c r="I7250" s="3" t="s">
        <v>37819</v>
      </c>
      <c r="J7250" s="3" t="s">
        <v>2384</v>
      </c>
      <c r="K7250" s="3" t="s">
        <v>37820</v>
      </c>
      <c r="L7250" s="3"/>
      <c r="M7250" s="4"/>
      <c r="N7250" s="3" t="s">
        <v>37</v>
      </c>
      <c r="O7250" s="3" t="s">
        <v>38</v>
      </c>
      <c r="P7250" s="5">
        <v>6</v>
      </c>
      <c r="Q7250" s="5">
        <v>49</v>
      </c>
      <c r="R7250" s="5">
        <v>7</v>
      </c>
      <c r="S7250" s="5">
        <v>53</v>
      </c>
    </row>
    <row r="7251" spans="1:19" ht="42" x14ac:dyDescent="0.15">
      <c r="A7251" s="2">
        <f>HYPERLINK("https://open-school.uspishnemisto.com.ua/school/440237/", 440237)</f>
        <v>440237</v>
      </c>
      <c r="B7251" s="3" t="s">
        <v>37821</v>
      </c>
      <c r="C7251" s="3" t="s">
        <v>54</v>
      </c>
      <c r="D7251" s="3" t="s">
        <v>175</v>
      </c>
      <c r="E7251" s="4" t="s">
        <v>22</v>
      </c>
      <c r="F7251" s="4" t="s">
        <v>37822</v>
      </c>
      <c r="G7251" s="4" t="s">
        <v>37823</v>
      </c>
      <c r="H7251" s="3" t="s">
        <v>36691</v>
      </c>
      <c r="I7251" s="3" t="s">
        <v>37824</v>
      </c>
      <c r="J7251" s="3" t="s">
        <v>792</v>
      </c>
      <c r="K7251" s="3" t="s">
        <v>37825</v>
      </c>
      <c r="L7251" s="3"/>
      <c r="M7251" s="4"/>
      <c r="N7251" s="3" t="s">
        <v>37</v>
      </c>
      <c r="O7251" s="3" t="s">
        <v>112</v>
      </c>
      <c r="P7251" s="5">
        <v>3</v>
      </c>
      <c r="Q7251" s="5">
        <v>37</v>
      </c>
      <c r="R7251" s="5">
        <v>4</v>
      </c>
      <c r="S7251" s="5">
        <v>40</v>
      </c>
    </row>
    <row r="7252" spans="1:19" ht="70" x14ac:dyDescent="0.15">
      <c r="A7252" s="2">
        <f>HYPERLINK("https://open-school.uspishnemisto.com.ua/school/440238/", 440238)</f>
        <v>440238</v>
      </c>
      <c r="B7252" s="3" t="s">
        <v>37826</v>
      </c>
      <c r="C7252" s="3" t="s">
        <v>244</v>
      </c>
      <c r="D7252" s="3" t="s">
        <v>32</v>
      </c>
      <c r="E7252" s="4" t="s">
        <v>22</v>
      </c>
      <c r="F7252" s="4" t="s">
        <v>37827</v>
      </c>
      <c r="G7252" s="4" t="s">
        <v>37828</v>
      </c>
      <c r="H7252" s="3" t="s">
        <v>36691</v>
      </c>
      <c r="I7252" s="3" t="s">
        <v>37829</v>
      </c>
      <c r="J7252" s="3" t="s">
        <v>1192</v>
      </c>
      <c r="K7252" s="3" t="s">
        <v>37830</v>
      </c>
      <c r="L7252" s="3" t="s">
        <v>37831</v>
      </c>
      <c r="M7252" s="4"/>
      <c r="N7252" s="3" t="s">
        <v>128</v>
      </c>
      <c r="O7252" s="3" t="s">
        <v>721</v>
      </c>
      <c r="P7252" s="5">
        <v>12</v>
      </c>
      <c r="Q7252" s="5">
        <v>160</v>
      </c>
      <c r="R7252" s="5">
        <v>12</v>
      </c>
      <c r="S7252" s="5">
        <v>139</v>
      </c>
    </row>
    <row r="7253" spans="1:19" ht="42" x14ac:dyDescent="0.15">
      <c r="A7253" s="2">
        <f>HYPERLINK("https://open-school.uspishnemisto.com.ua/school/440239/", 440239)</f>
        <v>440239</v>
      </c>
      <c r="B7253" s="3" t="s">
        <v>37832</v>
      </c>
      <c r="C7253" s="3" t="s">
        <v>31</v>
      </c>
      <c r="D7253" s="3" t="s">
        <v>32</v>
      </c>
      <c r="E7253" s="4" t="s">
        <v>22</v>
      </c>
      <c r="F7253" s="4" t="s">
        <v>37833</v>
      </c>
      <c r="G7253" s="4" t="s">
        <v>37828</v>
      </c>
      <c r="H7253" s="3" t="s">
        <v>36691</v>
      </c>
      <c r="I7253" s="3" t="s">
        <v>37829</v>
      </c>
      <c r="J7253" s="3" t="s">
        <v>37834</v>
      </c>
      <c r="K7253" s="3" t="s">
        <v>37835</v>
      </c>
      <c r="L7253" s="3" t="s">
        <v>37836</v>
      </c>
      <c r="M7253" s="4"/>
      <c r="N7253" s="3" t="s">
        <v>128</v>
      </c>
      <c r="O7253" s="3" t="s">
        <v>38</v>
      </c>
      <c r="P7253" s="5">
        <v>18</v>
      </c>
      <c r="Q7253" s="5">
        <v>246</v>
      </c>
      <c r="R7253" s="5">
        <v>18</v>
      </c>
      <c r="S7253" s="5">
        <v>228</v>
      </c>
    </row>
    <row r="7254" spans="1:19" ht="42" x14ac:dyDescent="0.15">
      <c r="A7254" s="2">
        <f>HYPERLINK("https://open-school.uspishnemisto.com.ua/school/440240/", 440240)</f>
        <v>440240</v>
      </c>
      <c r="B7254" s="3" t="s">
        <v>37837</v>
      </c>
      <c r="C7254" s="3" t="s">
        <v>31</v>
      </c>
      <c r="D7254" s="3" t="s">
        <v>32</v>
      </c>
      <c r="E7254" s="4" t="s">
        <v>22</v>
      </c>
      <c r="F7254" s="4" t="s">
        <v>37838</v>
      </c>
      <c r="G7254" s="4" t="s">
        <v>37828</v>
      </c>
      <c r="H7254" s="3" t="s">
        <v>36691</v>
      </c>
      <c r="I7254" s="3" t="s">
        <v>37829</v>
      </c>
      <c r="J7254" s="3" t="s">
        <v>466</v>
      </c>
      <c r="K7254" s="3" t="s">
        <v>37839</v>
      </c>
      <c r="L7254" s="3"/>
      <c r="M7254" s="4"/>
      <c r="N7254" s="3" t="s">
        <v>128</v>
      </c>
      <c r="O7254" s="3" t="s">
        <v>38</v>
      </c>
      <c r="P7254" s="5">
        <v>17</v>
      </c>
      <c r="Q7254" s="5">
        <v>194</v>
      </c>
      <c r="R7254" s="5">
        <v>17</v>
      </c>
      <c r="S7254" s="5">
        <v>166</v>
      </c>
    </row>
    <row r="7255" spans="1:19" ht="42" x14ac:dyDescent="0.15">
      <c r="A7255" s="2">
        <f>HYPERLINK("https://open-school.uspishnemisto.com.ua/school/440241/", 440241)</f>
        <v>440241</v>
      </c>
      <c r="B7255" s="3" t="s">
        <v>37840</v>
      </c>
      <c r="C7255" s="3" t="s">
        <v>31</v>
      </c>
      <c r="D7255" s="3" t="s">
        <v>32</v>
      </c>
      <c r="E7255" s="4" t="s">
        <v>22</v>
      </c>
      <c r="F7255" s="4" t="s">
        <v>37841</v>
      </c>
      <c r="G7255" s="4" t="s">
        <v>37842</v>
      </c>
      <c r="H7255" s="3" t="s">
        <v>36691</v>
      </c>
      <c r="I7255" s="3" t="s">
        <v>12423</v>
      </c>
      <c r="J7255" s="3" t="s">
        <v>37843</v>
      </c>
      <c r="K7255" s="3"/>
      <c r="L7255" s="3" t="s">
        <v>37844</v>
      </c>
      <c r="M7255" s="4"/>
      <c r="N7255" s="3" t="s">
        <v>128</v>
      </c>
      <c r="O7255" s="3" t="s">
        <v>70</v>
      </c>
      <c r="P7255" s="5">
        <v>12</v>
      </c>
      <c r="Q7255" s="5">
        <v>189</v>
      </c>
      <c r="R7255" s="5">
        <v>12</v>
      </c>
      <c r="S7255" s="5">
        <v>202</v>
      </c>
    </row>
    <row r="7256" spans="1:19" ht="56" x14ac:dyDescent="0.15">
      <c r="A7256" s="2">
        <f>HYPERLINK("https://open-school.uspishnemisto.com.ua/school/440242/", 440242)</f>
        <v>440242</v>
      </c>
      <c r="B7256" s="3" t="s">
        <v>37845</v>
      </c>
      <c r="C7256" s="3" t="s">
        <v>244</v>
      </c>
      <c r="D7256" s="3" t="s">
        <v>32</v>
      </c>
      <c r="E7256" s="4" t="s">
        <v>22</v>
      </c>
      <c r="F7256" s="4" t="s">
        <v>37841</v>
      </c>
      <c r="G7256" s="4" t="s">
        <v>37842</v>
      </c>
      <c r="H7256" s="3" t="s">
        <v>36691</v>
      </c>
      <c r="I7256" s="3" t="s">
        <v>12423</v>
      </c>
      <c r="J7256" s="3" t="s">
        <v>37846</v>
      </c>
      <c r="K7256" s="3" t="s">
        <v>37847</v>
      </c>
      <c r="L7256" s="3"/>
      <c r="M7256" s="4"/>
      <c r="N7256" s="3" t="s">
        <v>128</v>
      </c>
      <c r="O7256" s="3" t="s">
        <v>10453</v>
      </c>
      <c r="P7256" s="5">
        <v>12</v>
      </c>
      <c r="Q7256" s="5">
        <v>216</v>
      </c>
      <c r="R7256" s="5">
        <v>12</v>
      </c>
      <c r="S7256" s="5">
        <v>222</v>
      </c>
    </row>
    <row r="7257" spans="1:19" ht="42" x14ac:dyDescent="0.15">
      <c r="A7257" s="2">
        <f>HYPERLINK("https://open-school.uspishnemisto.com.ua/school/440243/", 440243)</f>
        <v>440243</v>
      </c>
      <c r="B7257" s="3" t="s">
        <v>37848</v>
      </c>
      <c r="C7257" s="3" t="s">
        <v>31</v>
      </c>
      <c r="D7257" s="3" t="s">
        <v>32</v>
      </c>
      <c r="E7257" s="4" t="s">
        <v>22</v>
      </c>
      <c r="F7257" s="4" t="s">
        <v>37849</v>
      </c>
      <c r="G7257" s="4" t="s">
        <v>37850</v>
      </c>
      <c r="H7257" s="3" t="s">
        <v>36691</v>
      </c>
      <c r="I7257" s="3" t="s">
        <v>37851</v>
      </c>
      <c r="J7257" s="3" t="s">
        <v>6468</v>
      </c>
      <c r="K7257" s="3" t="s">
        <v>37852</v>
      </c>
      <c r="L7257" s="3"/>
      <c r="M7257" s="4"/>
      <c r="N7257" s="3" t="s">
        <v>128</v>
      </c>
      <c r="O7257" s="3" t="s">
        <v>38</v>
      </c>
      <c r="P7257" s="5">
        <v>10</v>
      </c>
      <c r="Q7257" s="5">
        <v>80</v>
      </c>
      <c r="R7257" s="5">
        <v>10</v>
      </c>
      <c r="S7257" s="5">
        <v>68</v>
      </c>
    </row>
    <row r="7258" spans="1:19" ht="42" x14ac:dyDescent="0.15">
      <c r="A7258" s="2">
        <f>HYPERLINK("https://open-school.uspishnemisto.com.ua/school/440244/", 440244)</f>
        <v>440244</v>
      </c>
      <c r="B7258" s="3" t="s">
        <v>37853</v>
      </c>
      <c r="C7258" s="3" t="s">
        <v>31</v>
      </c>
      <c r="D7258" s="3" t="s">
        <v>32</v>
      </c>
      <c r="E7258" s="4" t="s">
        <v>22</v>
      </c>
      <c r="F7258" s="4" t="s">
        <v>37849</v>
      </c>
      <c r="G7258" s="4" t="s">
        <v>37850</v>
      </c>
      <c r="H7258" s="3" t="s">
        <v>36691</v>
      </c>
      <c r="I7258" s="3" t="s">
        <v>37851</v>
      </c>
      <c r="J7258" s="3" t="s">
        <v>37854</v>
      </c>
      <c r="K7258" s="3"/>
      <c r="L7258" s="3" t="s">
        <v>37855</v>
      </c>
      <c r="M7258" s="4"/>
      <c r="N7258" s="3" t="s">
        <v>128</v>
      </c>
      <c r="O7258" s="3" t="s">
        <v>38</v>
      </c>
      <c r="P7258" s="5">
        <v>12</v>
      </c>
      <c r="Q7258" s="5">
        <v>203</v>
      </c>
      <c r="R7258" s="5">
        <v>13</v>
      </c>
      <c r="S7258" s="5">
        <v>204</v>
      </c>
    </row>
    <row r="7259" spans="1:19" ht="42" x14ac:dyDescent="0.15">
      <c r="A7259" s="2">
        <f>HYPERLINK("https://open-school.uspishnemisto.com.ua/school/440245/", 440245)</f>
        <v>440245</v>
      </c>
      <c r="B7259" s="3" t="s">
        <v>37856</v>
      </c>
      <c r="C7259" s="3" t="s">
        <v>31</v>
      </c>
      <c r="D7259" s="3" t="s">
        <v>32</v>
      </c>
      <c r="E7259" s="4" t="s">
        <v>22</v>
      </c>
      <c r="F7259" s="4" t="s">
        <v>37857</v>
      </c>
      <c r="G7259" s="4" t="s">
        <v>37858</v>
      </c>
      <c r="H7259" s="3" t="s">
        <v>36691</v>
      </c>
      <c r="I7259" s="3" t="s">
        <v>36604</v>
      </c>
      <c r="J7259" s="3" t="s">
        <v>37859</v>
      </c>
      <c r="K7259" s="3" t="s">
        <v>37860</v>
      </c>
      <c r="L7259" s="3" t="s">
        <v>37861</v>
      </c>
      <c r="M7259" s="4"/>
      <c r="N7259" s="3" t="s">
        <v>128</v>
      </c>
      <c r="O7259" s="3" t="s">
        <v>38</v>
      </c>
      <c r="P7259" s="5">
        <v>12</v>
      </c>
      <c r="Q7259" s="5">
        <v>137</v>
      </c>
      <c r="R7259" s="5">
        <v>13</v>
      </c>
      <c r="S7259" s="5">
        <v>140</v>
      </c>
    </row>
    <row r="7260" spans="1:19" ht="42" x14ac:dyDescent="0.15">
      <c r="A7260" s="2">
        <f>HYPERLINK("https://open-school.uspishnemisto.com.ua/school/440246/", 440246)</f>
        <v>440246</v>
      </c>
      <c r="B7260" s="3" t="s">
        <v>37862</v>
      </c>
      <c r="C7260" s="3" t="s">
        <v>244</v>
      </c>
      <c r="D7260" s="3" t="s">
        <v>32</v>
      </c>
      <c r="E7260" s="4" t="s">
        <v>22</v>
      </c>
      <c r="F7260" s="4" t="s">
        <v>37863</v>
      </c>
      <c r="G7260" s="4" t="s">
        <v>37864</v>
      </c>
      <c r="H7260" s="3" t="s">
        <v>36691</v>
      </c>
      <c r="I7260" s="3" t="s">
        <v>18922</v>
      </c>
      <c r="J7260" s="3" t="s">
        <v>37865</v>
      </c>
      <c r="K7260" s="3" t="s">
        <v>37866</v>
      </c>
      <c r="L7260" s="3"/>
      <c r="M7260" s="4"/>
      <c r="N7260" s="3" t="s">
        <v>128</v>
      </c>
      <c r="O7260" s="3" t="s">
        <v>38</v>
      </c>
      <c r="P7260" s="5">
        <v>10</v>
      </c>
      <c r="Q7260" s="5">
        <v>84</v>
      </c>
      <c r="R7260" s="5">
        <v>11</v>
      </c>
      <c r="S7260" s="5">
        <v>88</v>
      </c>
    </row>
    <row r="7261" spans="1:19" ht="42" x14ac:dyDescent="0.15">
      <c r="A7261" s="2">
        <f>HYPERLINK("https://open-school.uspishnemisto.com.ua/school/440247/", 440247)</f>
        <v>440247</v>
      </c>
      <c r="B7261" s="3" t="s">
        <v>37867</v>
      </c>
      <c r="C7261" s="3" t="s">
        <v>54</v>
      </c>
      <c r="D7261" s="3" t="s">
        <v>32</v>
      </c>
      <c r="E7261" s="4" t="s">
        <v>22</v>
      </c>
      <c r="F7261" s="4" t="s">
        <v>37868</v>
      </c>
      <c r="G7261" s="4" t="s">
        <v>37869</v>
      </c>
      <c r="H7261" s="3" t="s">
        <v>36691</v>
      </c>
      <c r="I7261" s="3" t="s">
        <v>37870</v>
      </c>
      <c r="J7261" s="3" t="s">
        <v>37871</v>
      </c>
      <c r="K7261" s="3"/>
      <c r="L7261" s="3"/>
      <c r="M7261" s="4"/>
      <c r="N7261" s="3" t="s">
        <v>37</v>
      </c>
      <c r="O7261" s="3" t="s">
        <v>38</v>
      </c>
      <c r="P7261" s="5">
        <v>2</v>
      </c>
      <c r="Q7261" s="5">
        <v>28</v>
      </c>
      <c r="R7261" s="5">
        <v>2</v>
      </c>
      <c r="S7261" s="5">
        <v>26</v>
      </c>
    </row>
    <row r="7262" spans="1:19" ht="42" x14ac:dyDescent="0.15">
      <c r="A7262" s="2">
        <f>HYPERLINK("https://open-school.uspishnemisto.com.ua/school/440248/", 440248)</f>
        <v>440248</v>
      </c>
      <c r="B7262" s="3" t="s">
        <v>37872</v>
      </c>
      <c r="C7262" s="3" t="s">
        <v>54</v>
      </c>
      <c r="D7262" s="3" t="s">
        <v>32</v>
      </c>
      <c r="E7262" s="4" t="s">
        <v>22</v>
      </c>
      <c r="F7262" s="4" t="s">
        <v>37873</v>
      </c>
      <c r="G7262" s="4" t="s">
        <v>37874</v>
      </c>
      <c r="H7262" s="3" t="s">
        <v>36691</v>
      </c>
      <c r="I7262" s="3" t="s">
        <v>37875</v>
      </c>
      <c r="J7262" s="3" t="s">
        <v>13165</v>
      </c>
      <c r="K7262" s="3" t="s">
        <v>37876</v>
      </c>
      <c r="L7262" s="3"/>
      <c r="M7262" s="4"/>
      <c r="N7262" s="3" t="s">
        <v>128</v>
      </c>
      <c r="O7262" s="3" t="s">
        <v>46</v>
      </c>
      <c r="P7262" s="5">
        <v>3</v>
      </c>
      <c r="Q7262" s="5">
        <v>32</v>
      </c>
      <c r="R7262" s="5">
        <v>3</v>
      </c>
      <c r="S7262" s="5">
        <v>32</v>
      </c>
    </row>
    <row r="7263" spans="1:19" ht="42" x14ac:dyDescent="0.15">
      <c r="A7263" s="2">
        <f>HYPERLINK("https://open-school.uspishnemisto.com.ua/school/440249/", 440249)</f>
        <v>440249</v>
      </c>
      <c r="B7263" s="3" t="s">
        <v>37877</v>
      </c>
      <c r="C7263" s="3" t="s">
        <v>54</v>
      </c>
      <c r="D7263" s="3" t="s">
        <v>175</v>
      </c>
      <c r="E7263" s="4" t="s">
        <v>22</v>
      </c>
      <c r="F7263" s="4" t="s">
        <v>37878</v>
      </c>
      <c r="G7263" s="4" t="s">
        <v>37879</v>
      </c>
      <c r="H7263" s="3" t="s">
        <v>36691</v>
      </c>
      <c r="I7263" s="3" t="s">
        <v>37880</v>
      </c>
      <c r="J7263" s="3" t="s">
        <v>466</v>
      </c>
      <c r="K7263" s="3"/>
      <c r="L7263" s="3"/>
      <c r="M7263" s="4"/>
      <c r="N7263" s="3" t="s">
        <v>128</v>
      </c>
      <c r="O7263" s="3" t="s">
        <v>70</v>
      </c>
      <c r="P7263" s="5">
        <v>5</v>
      </c>
      <c r="Q7263" s="5">
        <v>42</v>
      </c>
      <c r="R7263" s="5">
        <v>6</v>
      </c>
      <c r="S7263" s="5">
        <v>46</v>
      </c>
    </row>
    <row r="7264" spans="1:19" ht="42" x14ac:dyDescent="0.15">
      <c r="A7264" s="2">
        <f>HYPERLINK("https://open-school.uspishnemisto.com.ua/school/440250/", 440250)</f>
        <v>440250</v>
      </c>
      <c r="B7264" s="3" t="s">
        <v>37881</v>
      </c>
      <c r="C7264" s="3" t="s">
        <v>54</v>
      </c>
      <c r="D7264" s="3" t="s">
        <v>32</v>
      </c>
      <c r="E7264" s="4" t="s">
        <v>22</v>
      </c>
      <c r="F7264" s="4" t="s">
        <v>37882</v>
      </c>
      <c r="G7264" s="4" t="s">
        <v>37883</v>
      </c>
      <c r="H7264" s="3" t="s">
        <v>36691</v>
      </c>
      <c r="I7264" s="3" t="s">
        <v>37884</v>
      </c>
      <c r="J7264" s="3" t="s">
        <v>37885</v>
      </c>
      <c r="K7264" s="3" t="s">
        <v>37886</v>
      </c>
      <c r="L7264" s="3"/>
      <c r="M7264" s="4"/>
      <c r="N7264" s="3" t="s">
        <v>37</v>
      </c>
      <c r="O7264" s="3" t="s">
        <v>38</v>
      </c>
      <c r="P7264" s="5">
        <v>9</v>
      </c>
      <c r="Q7264" s="5">
        <v>82</v>
      </c>
      <c r="R7264" s="5">
        <v>9</v>
      </c>
      <c r="S7264" s="5">
        <v>84</v>
      </c>
    </row>
    <row r="7265" spans="1:19" ht="42" x14ac:dyDescent="0.15">
      <c r="A7265" s="2">
        <f>HYPERLINK("https://open-school.uspishnemisto.com.ua/school/440251/", 440251)</f>
        <v>440251</v>
      </c>
      <c r="B7265" s="3" t="s">
        <v>37887</v>
      </c>
      <c r="C7265" s="3" t="s">
        <v>31</v>
      </c>
      <c r="D7265" s="3" t="s">
        <v>32</v>
      </c>
      <c r="E7265" s="4" t="s">
        <v>22</v>
      </c>
      <c r="F7265" s="4" t="s">
        <v>37888</v>
      </c>
      <c r="G7265" s="4" t="s">
        <v>37889</v>
      </c>
      <c r="H7265" s="3" t="s">
        <v>36691</v>
      </c>
      <c r="I7265" s="3" t="s">
        <v>37890</v>
      </c>
      <c r="J7265" s="3" t="s">
        <v>1348</v>
      </c>
      <c r="K7265" s="3" t="s">
        <v>37891</v>
      </c>
      <c r="L7265" s="3"/>
      <c r="M7265" s="4"/>
      <c r="N7265" s="3" t="s">
        <v>128</v>
      </c>
      <c r="O7265" s="3" t="s">
        <v>38</v>
      </c>
      <c r="P7265" s="5">
        <v>11</v>
      </c>
      <c r="Q7265" s="5">
        <v>127</v>
      </c>
      <c r="R7265" s="5">
        <v>11</v>
      </c>
      <c r="S7265" s="5">
        <v>127</v>
      </c>
    </row>
    <row r="7266" spans="1:19" ht="42" x14ac:dyDescent="0.15">
      <c r="A7266" s="2">
        <f>HYPERLINK("https://open-school.uspishnemisto.com.ua/school/440252/", 440252)</f>
        <v>440252</v>
      </c>
      <c r="B7266" s="3" t="s">
        <v>37892</v>
      </c>
      <c r="C7266" s="3" t="s">
        <v>54</v>
      </c>
      <c r="D7266" s="3" t="s">
        <v>175</v>
      </c>
      <c r="E7266" s="4" t="s">
        <v>22</v>
      </c>
      <c r="F7266" s="4" t="s">
        <v>37888</v>
      </c>
      <c r="G7266" s="4" t="s">
        <v>37893</v>
      </c>
      <c r="H7266" s="3" t="s">
        <v>36691</v>
      </c>
      <c r="I7266" s="3" t="s">
        <v>37894</v>
      </c>
      <c r="J7266" s="3" t="s">
        <v>37895</v>
      </c>
      <c r="K7266" s="3" t="s">
        <v>37896</v>
      </c>
      <c r="L7266" s="3"/>
      <c r="M7266" s="4"/>
      <c r="N7266" s="3" t="s">
        <v>128</v>
      </c>
      <c r="O7266" s="3" t="s">
        <v>38</v>
      </c>
      <c r="P7266" s="5">
        <v>3</v>
      </c>
      <c r="Q7266" s="5">
        <v>29</v>
      </c>
      <c r="R7266" s="5">
        <v>3</v>
      </c>
      <c r="S7266" s="5">
        <v>28</v>
      </c>
    </row>
    <row r="7267" spans="1:19" ht="42" x14ac:dyDescent="0.15">
      <c r="A7267" s="2">
        <f>HYPERLINK("https://open-school.uspishnemisto.com.ua/school/440253/", 440253)</f>
        <v>440253</v>
      </c>
      <c r="B7267" s="3" t="s">
        <v>37897</v>
      </c>
      <c r="C7267" s="3" t="s">
        <v>54</v>
      </c>
      <c r="D7267" s="3" t="s">
        <v>32</v>
      </c>
      <c r="E7267" s="4" t="s">
        <v>22</v>
      </c>
      <c r="F7267" s="4" t="s">
        <v>37898</v>
      </c>
      <c r="G7267" s="4" t="s">
        <v>37899</v>
      </c>
      <c r="H7267" s="3" t="s">
        <v>36691</v>
      </c>
      <c r="I7267" s="3" t="s">
        <v>37900</v>
      </c>
      <c r="J7267" s="3" t="s">
        <v>37901</v>
      </c>
      <c r="K7267" s="3" t="s">
        <v>37902</v>
      </c>
      <c r="L7267" s="3" t="s">
        <v>37903</v>
      </c>
      <c r="M7267" s="4"/>
      <c r="N7267" s="3" t="s">
        <v>37</v>
      </c>
      <c r="O7267" s="3" t="s">
        <v>38</v>
      </c>
      <c r="P7267" s="5">
        <v>10</v>
      </c>
      <c r="Q7267" s="5">
        <v>85</v>
      </c>
      <c r="R7267" s="5">
        <v>9</v>
      </c>
      <c r="S7267" s="5">
        <v>78</v>
      </c>
    </row>
    <row r="7268" spans="1:19" ht="42" x14ac:dyDescent="0.15">
      <c r="A7268" s="2">
        <f>HYPERLINK("https://open-school.uspishnemisto.com.ua/school/440254/", 440254)</f>
        <v>440254</v>
      </c>
      <c r="B7268" s="3" t="s">
        <v>37904</v>
      </c>
      <c r="C7268" s="3" t="s">
        <v>54</v>
      </c>
      <c r="D7268" s="3" t="s">
        <v>32</v>
      </c>
      <c r="E7268" s="4" t="s">
        <v>22</v>
      </c>
      <c r="F7268" s="4" t="s">
        <v>37905</v>
      </c>
      <c r="G7268" s="4" t="s">
        <v>37906</v>
      </c>
      <c r="H7268" s="3" t="s">
        <v>36691</v>
      </c>
      <c r="I7268" s="3" t="s">
        <v>37907</v>
      </c>
      <c r="J7268" s="3" t="s">
        <v>37908</v>
      </c>
      <c r="K7268" s="3" t="s">
        <v>37909</v>
      </c>
      <c r="L7268" s="3"/>
      <c r="M7268" s="4"/>
      <c r="N7268" s="3" t="s">
        <v>128</v>
      </c>
      <c r="O7268" s="3" t="s">
        <v>38</v>
      </c>
      <c r="P7268" s="5">
        <v>5</v>
      </c>
      <c r="Q7268" s="5">
        <v>42</v>
      </c>
      <c r="R7268" s="5">
        <v>6</v>
      </c>
      <c r="S7268" s="5">
        <v>44</v>
      </c>
    </row>
    <row r="7269" spans="1:19" ht="42" x14ac:dyDescent="0.15">
      <c r="A7269" s="2">
        <f>HYPERLINK("https://open-school.uspishnemisto.com.ua/school/440255/", 440255)</f>
        <v>440255</v>
      </c>
      <c r="B7269" s="3" t="s">
        <v>37910</v>
      </c>
      <c r="C7269" s="3" t="s">
        <v>31</v>
      </c>
      <c r="D7269" s="3" t="s">
        <v>32</v>
      </c>
      <c r="E7269" s="4" t="s">
        <v>22</v>
      </c>
      <c r="F7269" s="4" t="s">
        <v>37911</v>
      </c>
      <c r="G7269" s="4" t="s">
        <v>37912</v>
      </c>
      <c r="H7269" s="3" t="s">
        <v>36691</v>
      </c>
      <c r="I7269" s="3" t="s">
        <v>37913</v>
      </c>
      <c r="J7269" s="3" t="s">
        <v>24024</v>
      </c>
      <c r="K7269" s="3" t="s">
        <v>37914</v>
      </c>
      <c r="L7269" s="3"/>
      <c r="M7269" s="4"/>
      <c r="N7269" s="3" t="s">
        <v>128</v>
      </c>
      <c r="O7269" s="3" t="s">
        <v>38</v>
      </c>
      <c r="P7269" s="5">
        <v>6</v>
      </c>
      <c r="Q7269" s="5">
        <v>48</v>
      </c>
      <c r="R7269" s="5">
        <v>7</v>
      </c>
      <c r="S7269" s="5">
        <v>49</v>
      </c>
    </row>
    <row r="7270" spans="1:19" ht="42" x14ac:dyDescent="0.15">
      <c r="A7270" s="2">
        <f>HYPERLINK("https://open-school.uspishnemisto.com.ua/school/440256/", 440256)</f>
        <v>440256</v>
      </c>
      <c r="B7270" s="3" t="s">
        <v>37915</v>
      </c>
      <c r="C7270" s="3" t="s">
        <v>54</v>
      </c>
      <c r="D7270" s="3" t="s">
        <v>32</v>
      </c>
      <c r="E7270" s="4" t="s">
        <v>22</v>
      </c>
      <c r="F7270" s="4" t="s">
        <v>37916</v>
      </c>
      <c r="G7270" s="4" t="s">
        <v>37917</v>
      </c>
      <c r="H7270" s="3" t="s">
        <v>36691</v>
      </c>
      <c r="I7270" s="3" t="s">
        <v>37918</v>
      </c>
      <c r="J7270" s="3" t="s">
        <v>1636</v>
      </c>
      <c r="K7270" s="3"/>
      <c r="L7270" s="3"/>
      <c r="M7270" s="4"/>
      <c r="N7270" s="3" t="s">
        <v>128</v>
      </c>
      <c r="O7270" s="3" t="s">
        <v>38</v>
      </c>
      <c r="P7270" s="5">
        <v>7</v>
      </c>
      <c r="Q7270" s="5">
        <v>41</v>
      </c>
      <c r="R7270" s="5">
        <v>5</v>
      </c>
      <c r="S7270" s="5">
        <v>34</v>
      </c>
    </row>
    <row r="7271" spans="1:19" ht="42" x14ac:dyDescent="0.15">
      <c r="A7271" s="2">
        <f>HYPERLINK("https://open-school.uspishnemisto.com.ua/school/440257/", 440257)</f>
        <v>440257</v>
      </c>
      <c r="B7271" s="3" t="s">
        <v>37919</v>
      </c>
      <c r="C7271" s="3" t="s">
        <v>54</v>
      </c>
      <c r="D7271" s="3" t="s">
        <v>32</v>
      </c>
      <c r="E7271" s="4" t="s">
        <v>22</v>
      </c>
      <c r="F7271" s="4" t="s">
        <v>37920</v>
      </c>
      <c r="G7271" s="4" t="s">
        <v>37921</v>
      </c>
      <c r="H7271" s="3" t="s">
        <v>36691</v>
      </c>
      <c r="I7271" s="3" t="s">
        <v>37922</v>
      </c>
      <c r="J7271" s="3" t="s">
        <v>37923</v>
      </c>
      <c r="K7271" s="3" t="s">
        <v>37924</v>
      </c>
      <c r="L7271" s="3"/>
      <c r="M7271" s="4"/>
      <c r="N7271" s="3" t="s">
        <v>37</v>
      </c>
      <c r="O7271" s="3" t="s">
        <v>38</v>
      </c>
      <c r="P7271" s="5">
        <v>2</v>
      </c>
      <c r="Q7271" s="5">
        <v>39</v>
      </c>
      <c r="R7271" s="5">
        <v>2</v>
      </c>
      <c r="S7271" s="5">
        <v>35</v>
      </c>
    </row>
    <row r="7272" spans="1:19" ht="42" x14ac:dyDescent="0.15">
      <c r="A7272" s="2">
        <f>HYPERLINK("https://open-school.uspishnemisto.com.ua/school/440258/", 440258)</f>
        <v>440258</v>
      </c>
      <c r="B7272" s="3" t="s">
        <v>37925</v>
      </c>
      <c r="C7272" s="3" t="s">
        <v>31</v>
      </c>
      <c r="D7272" s="3" t="s">
        <v>32</v>
      </c>
      <c r="E7272" s="4" t="s">
        <v>22</v>
      </c>
      <c r="F7272" s="4" t="s">
        <v>37926</v>
      </c>
      <c r="G7272" s="4" t="s">
        <v>37927</v>
      </c>
      <c r="H7272" s="3" t="s">
        <v>36691</v>
      </c>
      <c r="I7272" s="3" t="s">
        <v>37928</v>
      </c>
      <c r="J7272" s="3" t="s">
        <v>11612</v>
      </c>
      <c r="K7272" s="3" t="s">
        <v>37929</v>
      </c>
      <c r="L7272" s="3"/>
      <c r="M7272" s="4"/>
      <c r="N7272" s="3" t="s">
        <v>128</v>
      </c>
      <c r="O7272" s="3" t="s">
        <v>38</v>
      </c>
      <c r="P7272" s="5">
        <v>11</v>
      </c>
      <c r="Q7272" s="5">
        <v>91</v>
      </c>
      <c r="R7272" s="5">
        <v>11</v>
      </c>
      <c r="S7272" s="5">
        <v>89</v>
      </c>
    </row>
    <row r="7273" spans="1:19" ht="42" x14ac:dyDescent="0.15">
      <c r="A7273" s="2">
        <f>HYPERLINK("https://open-school.uspishnemisto.com.ua/school/440259/", 440259)</f>
        <v>440259</v>
      </c>
      <c r="B7273" s="3" t="s">
        <v>37930</v>
      </c>
      <c r="C7273" s="3" t="s">
        <v>54</v>
      </c>
      <c r="D7273" s="3" t="s">
        <v>32</v>
      </c>
      <c r="E7273" s="4" t="s">
        <v>22</v>
      </c>
      <c r="F7273" s="4" t="s">
        <v>37931</v>
      </c>
      <c r="G7273" s="4" t="s">
        <v>37932</v>
      </c>
      <c r="H7273" s="3" t="s">
        <v>36691</v>
      </c>
      <c r="I7273" s="3" t="s">
        <v>37933</v>
      </c>
      <c r="J7273" s="3" t="s">
        <v>37934</v>
      </c>
      <c r="K7273" s="3" t="s">
        <v>37935</v>
      </c>
      <c r="L7273" s="3"/>
      <c r="M7273" s="4"/>
      <c r="N7273" s="3" t="s">
        <v>128</v>
      </c>
      <c r="O7273" s="3" t="s">
        <v>38</v>
      </c>
      <c r="P7273" s="5">
        <v>9</v>
      </c>
      <c r="Q7273" s="5">
        <v>67</v>
      </c>
      <c r="R7273" s="5">
        <v>9</v>
      </c>
      <c r="S7273" s="5">
        <v>60</v>
      </c>
    </row>
    <row r="7274" spans="1:19" ht="28" x14ac:dyDescent="0.15">
      <c r="A7274" s="2">
        <f>HYPERLINK("https://open-school.uspishnemisto.com.ua/school/440260/", 440260)</f>
        <v>440260</v>
      </c>
      <c r="B7274" s="3" t="s">
        <v>37936</v>
      </c>
      <c r="C7274" s="3" t="s">
        <v>31</v>
      </c>
      <c r="D7274" s="3" t="s">
        <v>32</v>
      </c>
      <c r="E7274" s="4" t="s">
        <v>22</v>
      </c>
      <c r="F7274" s="4" t="s">
        <v>37937</v>
      </c>
      <c r="G7274" s="4" t="s">
        <v>37938</v>
      </c>
      <c r="H7274" s="3" t="s">
        <v>36691</v>
      </c>
      <c r="I7274" s="3" t="s">
        <v>37939</v>
      </c>
      <c r="J7274" s="3" t="s">
        <v>37940</v>
      </c>
      <c r="K7274" s="3" t="s">
        <v>37941</v>
      </c>
      <c r="L7274" s="3"/>
      <c r="M7274" s="4"/>
      <c r="N7274" s="3" t="s">
        <v>37</v>
      </c>
      <c r="O7274" s="3" t="s">
        <v>70</v>
      </c>
      <c r="P7274" s="5">
        <v>11</v>
      </c>
      <c r="Q7274" s="5">
        <v>90</v>
      </c>
      <c r="R7274" s="5">
        <v>11</v>
      </c>
      <c r="S7274" s="5">
        <v>94</v>
      </c>
    </row>
    <row r="7275" spans="1:19" ht="42" x14ac:dyDescent="0.15">
      <c r="A7275" s="2">
        <f>HYPERLINK("https://open-school.uspishnemisto.com.ua/school/440261/", 440261)</f>
        <v>440261</v>
      </c>
      <c r="B7275" s="3" t="s">
        <v>37942</v>
      </c>
      <c r="C7275" s="3" t="s">
        <v>31</v>
      </c>
      <c r="D7275" s="3" t="s">
        <v>32</v>
      </c>
      <c r="E7275" s="4" t="s">
        <v>22</v>
      </c>
      <c r="F7275" s="4" t="s">
        <v>37943</v>
      </c>
      <c r="G7275" s="4" t="s">
        <v>37944</v>
      </c>
      <c r="H7275" s="3" t="s">
        <v>36691</v>
      </c>
      <c r="I7275" s="3" t="s">
        <v>37945</v>
      </c>
      <c r="J7275" s="3" t="s">
        <v>37946</v>
      </c>
      <c r="K7275" s="3"/>
      <c r="L7275" s="3"/>
      <c r="M7275" s="4"/>
      <c r="N7275" s="3" t="s">
        <v>128</v>
      </c>
      <c r="O7275" s="3" t="s">
        <v>38</v>
      </c>
      <c r="P7275" s="5">
        <v>12</v>
      </c>
      <c r="Q7275" s="5">
        <v>201</v>
      </c>
      <c r="R7275" s="5">
        <v>12</v>
      </c>
      <c r="S7275" s="5">
        <v>189</v>
      </c>
    </row>
    <row r="7276" spans="1:19" ht="28" x14ac:dyDescent="0.15">
      <c r="A7276" s="2">
        <f>HYPERLINK("https://open-school.uspishnemisto.com.ua/school/440262/", 440262)</f>
        <v>440262</v>
      </c>
      <c r="B7276" s="3" t="s">
        <v>37947</v>
      </c>
      <c r="C7276" s="3" t="s">
        <v>40</v>
      </c>
      <c r="D7276" s="3" t="s">
        <v>32</v>
      </c>
      <c r="E7276" s="4" t="s">
        <v>22</v>
      </c>
      <c r="F7276" s="4" t="s">
        <v>37948</v>
      </c>
      <c r="G7276" s="4" t="s">
        <v>37949</v>
      </c>
      <c r="H7276" s="3" t="s">
        <v>36691</v>
      </c>
      <c r="I7276" s="3" t="s">
        <v>37950</v>
      </c>
      <c r="J7276" s="3" t="s">
        <v>37951</v>
      </c>
      <c r="K7276" s="3" t="s">
        <v>37952</v>
      </c>
      <c r="L7276" s="3"/>
      <c r="M7276" s="4"/>
      <c r="N7276" s="3" t="s">
        <v>37</v>
      </c>
      <c r="O7276" s="3" t="s">
        <v>38</v>
      </c>
      <c r="P7276" s="5">
        <v>22</v>
      </c>
      <c r="Q7276" s="5">
        <v>534</v>
      </c>
      <c r="R7276" s="5">
        <v>22</v>
      </c>
      <c r="S7276" s="5">
        <v>542</v>
      </c>
    </row>
    <row r="7277" spans="1:19" ht="28" x14ac:dyDescent="0.15">
      <c r="A7277" s="2">
        <f>HYPERLINK("https://open-school.uspishnemisto.com.ua/school/440263/", 440263)</f>
        <v>440263</v>
      </c>
      <c r="B7277" s="3" t="s">
        <v>37953</v>
      </c>
      <c r="C7277" s="3" t="s">
        <v>31</v>
      </c>
      <c r="D7277" s="3" t="s">
        <v>60</v>
      </c>
      <c r="E7277" s="4" t="s">
        <v>22</v>
      </c>
      <c r="F7277" s="4" t="s">
        <v>37954</v>
      </c>
      <c r="G7277" s="4" t="s">
        <v>37949</v>
      </c>
      <c r="H7277" s="3" t="s">
        <v>36691</v>
      </c>
      <c r="I7277" s="3" t="s">
        <v>37950</v>
      </c>
      <c r="J7277" s="3" t="s">
        <v>37955</v>
      </c>
      <c r="K7277" s="3" t="s">
        <v>37956</v>
      </c>
      <c r="L7277" s="3"/>
      <c r="M7277" s="4"/>
      <c r="N7277" s="3" t="s">
        <v>128</v>
      </c>
      <c r="O7277" s="3" t="s">
        <v>38</v>
      </c>
      <c r="P7277" s="5">
        <v>13</v>
      </c>
      <c r="Q7277" s="5">
        <v>314</v>
      </c>
      <c r="R7277" s="5">
        <v>13</v>
      </c>
      <c r="S7277" s="5">
        <v>313</v>
      </c>
    </row>
    <row r="7278" spans="1:19" ht="28" x14ac:dyDescent="0.15">
      <c r="A7278" s="2">
        <f>HYPERLINK("https://open-school.uspishnemisto.com.ua/school/440264/", 440264)</f>
        <v>440264</v>
      </c>
      <c r="B7278" s="3" t="s">
        <v>37957</v>
      </c>
      <c r="C7278" s="3" t="s">
        <v>31</v>
      </c>
      <c r="D7278" s="3" t="s">
        <v>60</v>
      </c>
      <c r="E7278" s="4" t="s">
        <v>22</v>
      </c>
      <c r="F7278" s="4" t="s">
        <v>37958</v>
      </c>
      <c r="G7278" s="4" t="s">
        <v>37949</v>
      </c>
      <c r="H7278" s="3" t="s">
        <v>36691</v>
      </c>
      <c r="I7278" s="3" t="s">
        <v>37950</v>
      </c>
      <c r="J7278" s="3" t="s">
        <v>37959</v>
      </c>
      <c r="K7278" s="3" t="s">
        <v>37960</v>
      </c>
      <c r="L7278" s="3"/>
      <c r="M7278" s="4"/>
      <c r="N7278" s="3" t="s">
        <v>967</v>
      </c>
      <c r="O7278" s="3" t="s">
        <v>52</v>
      </c>
      <c r="P7278" s="5">
        <v>8</v>
      </c>
      <c r="Q7278" s="5">
        <v>194</v>
      </c>
      <c r="R7278" s="5">
        <v>8</v>
      </c>
      <c r="S7278" s="5">
        <v>189</v>
      </c>
    </row>
    <row r="7279" spans="1:19" ht="28" x14ac:dyDescent="0.15">
      <c r="A7279" s="2">
        <f>HYPERLINK("https://open-school.uspishnemisto.com.ua/school/440265/", 440265)</f>
        <v>440265</v>
      </c>
      <c r="B7279" s="3" t="s">
        <v>37961</v>
      </c>
      <c r="C7279" s="3" t="s">
        <v>31</v>
      </c>
      <c r="D7279" s="3" t="s">
        <v>175</v>
      </c>
      <c r="E7279" s="4" t="s">
        <v>22</v>
      </c>
      <c r="F7279" s="4" t="s">
        <v>37962</v>
      </c>
      <c r="G7279" s="4" t="s">
        <v>37949</v>
      </c>
      <c r="H7279" s="3" t="s">
        <v>36691</v>
      </c>
      <c r="I7279" s="3" t="s">
        <v>37950</v>
      </c>
      <c r="J7279" s="3" t="s">
        <v>37963</v>
      </c>
      <c r="K7279" s="3" t="s">
        <v>37964</v>
      </c>
      <c r="L7279" s="3"/>
      <c r="M7279" s="4"/>
      <c r="N7279" s="3" t="s">
        <v>967</v>
      </c>
      <c r="O7279" s="3" t="s">
        <v>46</v>
      </c>
      <c r="P7279" s="5">
        <v>9</v>
      </c>
      <c r="Q7279" s="5">
        <v>107</v>
      </c>
      <c r="R7279" s="5">
        <v>9</v>
      </c>
      <c r="S7279" s="5">
        <v>114</v>
      </c>
    </row>
    <row r="7280" spans="1:19" ht="28" x14ac:dyDescent="0.15">
      <c r="A7280" s="2">
        <f>HYPERLINK("https://open-school.uspishnemisto.com.ua/school/440266/", 440266)</f>
        <v>440266</v>
      </c>
      <c r="B7280" s="3" t="s">
        <v>37965</v>
      </c>
      <c r="C7280" s="3" t="s">
        <v>31</v>
      </c>
      <c r="D7280" s="3" t="s">
        <v>21</v>
      </c>
      <c r="E7280" s="4" t="s">
        <v>22</v>
      </c>
      <c r="F7280" s="4" t="s">
        <v>37948</v>
      </c>
      <c r="G7280" s="4" t="s">
        <v>37949</v>
      </c>
      <c r="H7280" s="3" t="s">
        <v>36691</v>
      </c>
      <c r="I7280" s="3" t="s">
        <v>37950</v>
      </c>
      <c r="J7280" s="3" t="s">
        <v>37966</v>
      </c>
      <c r="K7280" s="3" t="s">
        <v>37967</v>
      </c>
      <c r="L7280" s="3"/>
      <c r="M7280" s="4"/>
      <c r="N7280" s="3" t="s">
        <v>967</v>
      </c>
      <c r="O7280" s="3" t="s">
        <v>52</v>
      </c>
      <c r="P7280" s="5">
        <v>12</v>
      </c>
      <c r="Q7280" s="5">
        <v>237</v>
      </c>
      <c r="R7280" s="5">
        <v>12</v>
      </c>
      <c r="S7280" s="5">
        <v>228</v>
      </c>
    </row>
    <row r="7281" spans="1:19" ht="28" x14ac:dyDescent="0.15">
      <c r="A7281" s="2">
        <f>HYPERLINK("https://open-school.uspishnemisto.com.ua/school/440267/", 440267)</f>
        <v>440267</v>
      </c>
      <c r="B7281" s="3" t="s">
        <v>37968</v>
      </c>
      <c r="C7281" s="3" t="s">
        <v>31</v>
      </c>
      <c r="D7281" s="3" t="s">
        <v>21</v>
      </c>
      <c r="E7281" s="4" t="s">
        <v>22</v>
      </c>
      <c r="F7281" s="4" t="s">
        <v>37954</v>
      </c>
      <c r="G7281" s="4" t="s">
        <v>37949</v>
      </c>
      <c r="H7281" s="3" t="s">
        <v>36691</v>
      </c>
      <c r="I7281" s="3" t="s">
        <v>37950</v>
      </c>
      <c r="J7281" s="3" t="s">
        <v>37969</v>
      </c>
      <c r="K7281" s="3" t="s">
        <v>37970</v>
      </c>
      <c r="L7281" s="3" t="s">
        <v>37971</v>
      </c>
      <c r="M7281" s="4"/>
      <c r="N7281" s="3" t="s">
        <v>128</v>
      </c>
      <c r="O7281" s="3" t="s">
        <v>70</v>
      </c>
      <c r="P7281" s="5">
        <v>16</v>
      </c>
      <c r="Q7281" s="5">
        <v>331</v>
      </c>
      <c r="R7281" s="5">
        <v>15</v>
      </c>
      <c r="S7281" s="5">
        <v>316</v>
      </c>
    </row>
    <row r="7282" spans="1:19" ht="42" x14ac:dyDescent="0.15">
      <c r="A7282" s="2">
        <f>HYPERLINK("https://open-school.uspishnemisto.com.ua/school/440268/", 440268)</f>
        <v>440268</v>
      </c>
      <c r="B7282" s="3" t="s">
        <v>37972</v>
      </c>
      <c r="C7282" s="3" t="s">
        <v>244</v>
      </c>
      <c r="D7282" s="3" t="s">
        <v>32</v>
      </c>
      <c r="E7282" s="4" t="s">
        <v>22</v>
      </c>
      <c r="F7282" s="4" t="s">
        <v>37948</v>
      </c>
      <c r="G7282" s="4" t="s">
        <v>37949</v>
      </c>
      <c r="H7282" s="3" t="s">
        <v>36691</v>
      </c>
      <c r="I7282" s="3" t="s">
        <v>37950</v>
      </c>
      <c r="J7282" s="3" t="s">
        <v>37973</v>
      </c>
      <c r="K7282" s="3" t="s">
        <v>37974</v>
      </c>
      <c r="L7282" s="3"/>
      <c r="M7282" s="4"/>
      <c r="N7282" s="3" t="s">
        <v>128</v>
      </c>
      <c r="O7282" s="3" t="s">
        <v>70</v>
      </c>
      <c r="P7282" s="5">
        <v>23</v>
      </c>
      <c r="Q7282" s="5">
        <v>463</v>
      </c>
      <c r="R7282" s="5">
        <v>22</v>
      </c>
      <c r="S7282" s="5">
        <v>454</v>
      </c>
    </row>
    <row r="7283" spans="1:19" ht="28" x14ac:dyDescent="0.15">
      <c r="A7283" s="2">
        <f>HYPERLINK("https://open-school.uspishnemisto.com.ua/school/440269/", 440269)</f>
        <v>440269</v>
      </c>
      <c r="B7283" s="3" t="s">
        <v>37975</v>
      </c>
      <c r="C7283" s="3" t="s">
        <v>31</v>
      </c>
      <c r="D7283" s="3" t="s">
        <v>175</v>
      </c>
      <c r="E7283" s="4" t="s">
        <v>22</v>
      </c>
      <c r="F7283" s="4" t="s">
        <v>37976</v>
      </c>
      <c r="G7283" s="4" t="s">
        <v>37977</v>
      </c>
      <c r="H7283" s="3" t="s">
        <v>36691</v>
      </c>
      <c r="I7283" s="3" t="s">
        <v>37978</v>
      </c>
      <c r="J7283" s="3" t="s">
        <v>37979</v>
      </c>
      <c r="K7283" s="3" t="s">
        <v>37980</v>
      </c>
      <c r="L7283" s="3" t="s">
        <v>37981</v>
      </c>
      <c r="M7283" s="4"/>
      <c r="N7283" s="3" t="s">
        <v>37</v>
      </c>
      <c r="O7283" s="3" t="s">
        <v>52</v>
      </c>
      <c r="P7283" s="5">
        <v>0</v>
      </c>
      <c r="Q7283" s="5">
        <v>0</v>
      </c>
      <c r="R7283" s="5">
        <v>8</v>
      </c>
      <c r="S7283" s="5">
        <v>56</v>
      </c>
    </row>
    <row r="7284" spans="1:19" ht="28" x14ac:dyDescent="0.15">
      <c r="A7284" s="2">
        <f>HYPERLINK("https://open-school.uspishnemisto.com.ua/school/440270/", 440270)</f>
        <v>440270</v>
      </c>
      <c r="B7284" s="3" t="s">
        <v>37982</v>
      </c>
      <c r="C7284" s="3" t="s">
        <v>31</v>
      </c>
      <c r="D7284" s="3" t="s">
        <v>32</v>
      </c>
      <c r="E7284" s="4" t="s">
        <v>22</v>
      </c>
      <c r="F7284" s="4" t="s">
        <v>37983</v>
      </c>
      <c r="G7284" s="4" t="s">
        <v>37984</v>
      </c>
      <c r="H7284" s="3" t="s">
        <v>36691</v>
      </c>
      <c r="I7284" s="3" t="s">
        <v>37985</v>
      </c>
      <c r="J7284" s="3" t="s">
        <v>466</v>
      </c>
      <c r="K7284" s="3" t="s">
        <v>37986</v>
      </c>
      <c r="L7284" s="3"/>
      <c r="M7284" s="4"/>
      <c r="N7284" s="3" t="s">
        <v>37</v>
      </c>
      <c r="O7284" s="3" t="s">
        <v>38</v>
      </c>
      <c r="P7284" s="5">
        <v>11</v>
      </c>
      <c r="Q7284" s="5">
        <v>176</v>
      </c>
      <c r="R7284" s="5">
        <v>11</v>
      </c>
      <c r="S7284" s="5">
        <v>179</v>
      </c>
    </row>
    <row r="7285" spans="1:19" ht="28" x14ac:dyDescent="0.15">
      <c r="A7285" s="2">
        <f>HYPERLINK("https://open-school.uspishnemisto.com.ua/school/440271/", 440271)</f>
        <v>440271</v>
      </c>
      <c r="B7285" s="3" t="s">
        <v>37987</v>
      </c>
      <c r="C7285" s="3" t="s">
        <v>31</v>
      </c>
      <c r="D7285" s="3" t="s">
        <v>32</v>
      </c>
      <c r="E7285" s="4" t="s">
        <v>22</v>
      </c>
      <c r="F7285" s="4" t="s">
        <v>37988</v>
      </c>
      <c r="G7285" s="4" t="s">
        <v>37989</v>
      </c>
      <c r="H7285" s="3" t="s">
        <v>36691</v>
      </c>
      <c r="I7285" s="3" t="s">
        <v>6822</v>
      </c>
      <c r="J7285" s="3" t="s">
        <v>35903</v>
      </c>
      <c r="K7285" s="3" t="s">
        <v>37990</v>
      </c>
      <c r="L7285" s="3"/>
      <c r="M7285" s="4"/>
      <c r="N7285" s="3" t="s">
        <v>37</v>
      </c>
      <c r="O7285" s="3" t="s">
        <v>70</v>
      </c>
      <c r="P7285" s="5">
        <v>10</v>
      </c>
      <c r="Q7285" s="5">
        <v>93</v>
      </c>
      <c r="R7285" s="5">
        <v>10</v>
      </c>
      <c r="S7285" s="5">
        <v>97</v>
      </c>
    </row>
    <row r="7286" spans="1:19" ht="28" x14ac:dyDescent="0.15">
      <c r="A7286" s="2">
        <f>HYPERLINK("https://open-school.uspishnemisto.com.ua/school/440272/", 440272)</f>
        <v>440272</v>
      </c>
      <c r="B7286" s="3" t="s">
        <v>37991</v>
      </c>
      <c r="C7286" s="3" t="s">
        <v>31</v>
      </c>
      <c r="D7286" s="3" t="s">
        <v>175</v>
      </c>
      <c r="E7286" s="4" t="s">
        <v>22</v>
      </c>
      <c r="F7286" s="4" t="s">
        <v>37992</v>
      </c>
      <c r="G7286" s="4" t="s">
        <v>37993</v>
      </c>
      <c r="H7286" s="3" t="s">
        <v>36691</v>
      </c>
      <c r="I7286" s="3" t="s">
        <v>37994</v>
      </c>
      <c r="J7286" s="3" t="s">
        <v>30603</v>
      </c>
      <c r="K7286" s="3" t="s">
        <v>37995</v>
      </c>
      <c r="L7286" s="3"/>
      <c r="M7286" s="4"/>
      <c r="N7286" s="3" t="s">
        <v>37</v>
      </c>
      <c r="O7286" s="3" t="s">
        <v>38</v>
      </c>
      <c r="P7286" s="5">
        <v>8</v>
      </c>
      <c r="Q7286" s="5">
        <v>65</v>
      </c>
      <c r="R7286" s="5">
        <v>8</v>
      </c>
      <c r="S7286" s="5">
        <v>72</v>
      </c>
    </row>
    <row r="7287" spans="1:19" ht="42" x14ac:dyDescent="0.15">
      <c r="A7287" s="2">
        <f>HYPERLINK("https://open-school.uspishnemisto.com.ua/school/440273/", 440273)</f>
        <v>440273</v>
      </c>
      <c r="B7287" s="3" t="s">
        <v>37996</v>
      </c>
      <c r="C7287" s="3" t="s">
        <v>31</v>
      </c>
      <c r="D7287" s="3" t="s">
        <v>32</v>
      </c>
      <c r="E7287" s="4" t="s">
        <v>22</v>
      </c>
      <c r="F7287" s="4" t="s">
        <v>37997</v>
      </c>
      <c r="G7287" s="4" t="s">
        <v>37998</v>
      </c>
      <c r="H7287" s="3" t="s">
        <v>36691</v>
      </c>
      <c r="I7287" s="3" t="s">
        <v>12579</v>
      </c>
      <c r="J7287" s="3" t="s">
        <v>37999</v>
      </c>
      <c r="K7287" s="3" t="s">
        <v>38000</v>
      </c>
      <c r="L7287" s="3"/>
      <c r="M7287" s="4"/>
      <c r="N7287" s="3" t="s">
        <v>37</v>
      </c>
      <c r="O7287" s="3" t="s">
        <v>38</v>
      </c>
      <c r="P7287" s="5">
        <v>9</v>
      </c>
      <c r="Q7287" s="5">
        <v>69</v>
      </c>
      <c r="R7287" s="5">
        <v>10</v>
      </c>
      <c r="S7287" s="5">
        <v>74</v>
      </c>
    </row>
    <row r="7288" spans="1:19" ht="28" x14ac:dyDescent="0.15">
      <c r="A7288" s="2">
        <f>HYPERLINK("https://open-school.uspishnemisto.com.ua/school/440274/", 440274)</f>
        <v>440274</v>
      </c>
      <c r="B7288" s="3" t="s">
        <v>38001</v>
      </c>
      <c r="C7288" s="3" t="s">
        <v>31</v>
      </c>
      <c r="D7288" s="3" t="s">
        <v>32</v>
      </c>
      <c r="E7288" s="4" t="s">
        <v>22</v>
      </c>
      <c r="F7288" s="4" t="s">
        <v>38002</v>
      </c>
      <c r="G7288" s="4" t="s">
        <v>38003</v>
      </c>
      <c r="H7288" s="3" t="s">
        <v>36691</v>
      </c>
      <c r="I7288" s="3" t="s">
        <v>37317</v>
      </c>
      <c r="J7288" s="3" t="s">
        <v>38004</v>
      </c>
      <c r="K7288" s="3" t="s">
        <v>38005</v>
      </c>
      <c r="L7288" s="3"/>
      <c r="M7288" s="4"/>
      <c r="N7288" s="3" t="s">
        <v>37</v>
      </c>
      <c r="O7288" s="3" t="s">
        <v>38</v>
      </c>
      <c r="P7288" s="5">
        <v>8</v>
      </c>
      <c r="Q7288" s="5">
        <v>94</v>
      </c>
      <c r="R7288" s="5">
        <v>7</v>
      </c>
      <c r="S7288" s="5">
        <v>74</v>
      </c>
    </row>
    <row r="7289" spans="1:19" ht="28" x14ac:dyDescent="0.15">
      <c r="A7289" s="2">
        <f>HYPERLINK("https://open-school.uspishnemisto.com.ua/school/440275/", 440275)</f>
        <v>440275</v>
      </c>
      <c r="B7289" s="3" t="s">
        <v>38006</v>
      </c>
      <c r="C7289" s="3" t="s">
        <v>31</v>
      </c>
      <c r="D7289" s="3" t="s">
        <v>175</v>
      </c>
      <c r="E7289" s="4" t="s">
        <v>22</v>
      </c>
      <c r="F7289" s="4" t="s">
        <v>38007</v>
      </c>
      <c r="G7289" s="4" t="s">
        <v>38008</v>
      </c>
      <c r="H7289" s="3" t="s">
        <v>36691</v>
      </c>
      <c r="I7289" s="3" t="s">
        <v>38009</v>
      </c>
      <c r="J7289" s="3" t="s">
        <v>1747</v>
      </c>
      <c r="K7289" s="3" t="s">
        <v>38010</v>
      </c>
      <c r="L7289" s="3"/>
      <c r="M7289" s="4"/>
      <c r="N7289" s="3" t="s">
        <v>37</v>
      </c>
      <c r="O7289" s="3" t="s">
        <v>70</v>
      </c>
      <c r="P7289" s="5">
        <v>3</v>
      </c>
      <c r="Q7289" s="5">
        <v>26</v>
      </c>
      <c r="R7289" s="5">
        <v>3</v>
      </c>
      <c r="S7289" s="5">
        <v>28</v>
      </c>
    </row>
    <row r="7290" spans="1:19" ht="28" x14ac:dyDescent="0.15">
      <c r="A7290" s="2">
        <f>HYPERLINK("https://open-school.uspishnemisto.com.ua/school/440276/", 440276)</f>
        <v>440276</v>
      </c>
      <c r="B7290" s="3" t="s">
        <v>38011</v>
      </c>
      <c r="C7290" s="3" t="s">
        <v>31</v>
      </c>
      <c r="D7290" s="3" t="s">
        <v>175</v>
      </c>
      <c r="E7290" s="4" t="s">
        <v>22</v>
      </c>
      <c r="F7290" s="4" t="s">
        <v>38012</v>
      </c>
      <c r="G7290" s="4" t="s">
        <v>38013</v>
      </c>
      <c r="H7290" s="3" t="s">
        <v>36691</v>
      </c>
      <c r="I7290" s="3" t="s">
        <v>37027</v>
      </c>
      <c r="J7290" s="3" t="s">
        <v>2353</v>
      </c>
      <c r="K7290" s="3" t="s">
        <v>38014</v>
      </c>
      <c r="L7290" s="3" t="s">
        <v>38015</v>
      </c>
      <c r="M7290" s="4"/>
      <c r="N7290" s="3" t="s">
        <v>37</v>
      </c>
      <c r="O7290" s="3" t="s">
        <v>38</v>
      </c>
      <c r="P7290" s="5">
        <v>9</v>
      </c>
      <c r="Q7290" s="5">
        <v>80</v>
      </c>
      <c r="R7290" s="5">
        <v>9</v>
      </c>
      <c r="S7290" s="5">
        <v>80</v>
      </c>
    </row>
    <row r="7291" spans="1:19" ht="28" x14ac:dyDescent="0.15">
      <c r="A7291" s="2">
        <f>HYPERLINK("https://open-school.uspishnemisto.com.ua/school/440277/", 440277)</f>
        <v>440277</v>
      </c>
      <c r="B7291" s="3" t="s">
        <v>38016</v>
      </c>
      <c r="C7291" s="3" t="s">
        <v>31</v>
      </c>
      <c r="D7291" s="3" t="s">
        <v>32</v>
      </c>
      <c r="E7291" s="4" t="s">
        <v>22</v>
      </c>
      <c r="F7291" s="4" t="s">
        <v>38017</v>
      </c>
      <c r="G7291" s="4" t="s">
        <v>38018</v>
      </c>
      <c r="H7291" s="3" t="s">
        <v>36691</v>
      </c>
      <c r="I7291" s="3" t="s">
        <v>14581</v>
      </c>
      <c r="J7291" s="3" t="s">
        <v>38019</v>
      </c>
      <c r="K7291" s="3" t="s">
        <v>38020</v>
      </c>
      <c r="L7291" s="3"/>
      <c r="M7291" s="4"/>
      <c r="N7291" s="3" t="s">
        <v>37</v>
      </c>
      <c r="O7291" s="3" t="s">
        <v>46</v>
      </c>
      <c r="P7291" s="5">
        <v>13</v>
      </c>
      <c r="Q7291" s="5">
        <v>225</v>
      </c>
      <c r="R7291" s="5">
        <v>11</v>
      </c>
      <c r="S7291" s="5">
        <v>215</v>
      </c>
    </row>
    <row r="7292" spans="1:19" ht="28" x14ac:dyDescent="0.15">
      <c r="A7292" s="2">
        <f>HYPERLINK("https://open-school.uspishnemisto.com.ua/school/440278/", 440278)</f>
        <v>440278</v>
      </c>
      <c r="B7292" s="3" t="s">
        <v>38021</v>
      </c>
      <c r="C7292" s="3" t="s">
        <v>31</v>
      </c>
      <c r="D7292" s="3" t="s">
        <v>175</v>
      </c>
      <c r="E7292" s="4" t="s">
        <v>22</v>
      </c>
      <c r="F7292" s="4" t="s">
        <v>38022</v>
      </c>
      <c r="G7292" s="4" t="s">
        <v>38023</v>
      </c>
      <c r="H7292" s="3" t="s">
        <v>36691</v>
      </c>
      <c r="I7292" s="3" t="s">
        <v>38024</v>
      </c>
      <c r="J7292" s="3" t="s">
        <v>2434</v>
      </c>
      <c r="K7292" s="3" t="s">
        <v>38025</v>
      </c>
      <c r="L7292" s="3"/>
      <c r="M7292" s="4"/>
      <c r="N7292" s="3" t="s">
        <v>37</v>
      </c>
      <c r="O7292" s="3" t="s">
        <v>46</v>
      </c>
      <c r="P7292" s="5">
        <v>7</v>
      </c>
      <c r="Q7292" s="5">
        <v>56</v>
      </c>
      <c r="R7292" s="5">
        <v>6</v>
      </c>
      <c r="S7292" s="5">
        <v>53</v>
      </c>
    </row>
    <row r="7293" spans="1:19" ht="28" x14ac:dyDescent="0.15">
      <c r="A7293" s="2">
        <f>HYPERLINK("https://open-school.uspishnemisto.com.ua/school/440279/", 440279)</f>
        <v>440279</v>
      </c>
      <c r="B7293" s="3" t="s">
        <v>38026</v>
      </c>
      <c r="C7293" s="3" t="s">
        <v>31</v>
      </c>
      <c r="D7293" s="3" t="s">
        <v>32</v>
      </c>
      <c r="E7293" s="4" t="s">
        <v>22</v>
      </c>
      <c r="F7293" s="4" t="s">
        <v>38027</v>
      </c>
      <c r="G7293" s="4" t="s">
        <v>38028</v>
      </c>
      <c r="H7293" s="3" t="s">
        <v>36691</v>
      </c>
      <c r="I7293" s="3" t="s">
        <v>38029</v>
      </c>
      <c r="J7293" s="3" t="s">
        <v>38030</v>
      </c>
      <c r="K7293" s="3" t="s">
        <v>38031</v>
      </c>
      <c r="L7293" s="3" t="s">
        <v>38032</v>
      </c>
      <c r="M7293" s="4"/>
      <c r="N7293" s="3" t="s">
        <v>37</v>
      </c>
      <c r="O7293" s="3" t="s">
        <v>70</v>
      </c>
      <c r="P7293" s="5">
        <v>8</v>
      </c>
      <c r="Q7293" s="5">
        <v>55</v>
      </c>
      <c r="R7293" s="5">
        <v>8</v>
      </c>
      <c r="S7293" s="5">
        <v>61</v>
      </c>
    </row>
    <row r="7294" spans="1:19" ht="28" x14ac:dyDescent="0.15">
      <c r="A7294" s="2">
        <f>HYPERLINK("https://open-school.uspishnemisto.com.ua/school/440280/", 440280)</f>
        <v>440280</v>
      </c>
      <c r="B7294" s="3" t="s">
        <v>38033</v>
      </c>
      <c r="C7294" s="3" t="s">
        <v>31</v>
      </c>
      <c r="D7294" s="3" t="s">
        <v>175</v>
      </c>
      <c r="E7294" s="4" t="s">
        <v>22</v>
      </c>
      <c r="F7294" s="4" t="s">
        <v>38034</v>
      </c>
      <c r="G7294" s="4" t="s">
        <v>38035</v>
      </c>
      <c r="H7294" s="3" t="s">
        <v>36691</v>
      </c>
      <c r="I7294" s="3" t="s">
        <v>38036</v>
      </c>
      <c r="J7294" s="3" t="s">
        <v>38037</v>
      </c>
      <c r="K7294" s="3" t="s">
        <v>38038</v>
      </c>
      <c r="L7294" s="3" t="s">
        <v>38039</v>
      </c>
      <c r="M7294" s="4"/>
      <c r="N7294" s="3" t="s">
        <v>37</v>
      </c>
      <c r="O7294" s="3" t="s">
        <v>70</v>
      </c>
      <c r="P7294" s="5">
        <v>7</v>
      </c>
      <c r="Q7294" s="5">
        <v>40</v>
      </c>
      <c r="R7294" s="5">
        <v>8</v>
      </c>
      <c r="S7294" s="5">
        <v>44</v>
      </c>
    </row>
    <row r="7295" spans="1:19" ht="28" x14ac:dyDescent="0.15">
      <c r="A7295" s="2">
        <f>HYPERLINK("https://open-school.uspishnemisto.com.ua/school/440281/", 440281)</f>
        <v>440281</v>
      </c>
      <c r="B7295" s="3" t="s">
        <v>38040</v>
      </c>
      <c r="C7295" s="3" t="s">
        <v>31</v>
      </c>
      <c r="D7295" s="3" t="s">
        <v>32</v>
      </c>
      <c r="E7295" s="4" t="s">
        <v>22</v>
      </c>
      <c r="F7295" s="4" t="s">
        <v>38041</v>
      </c>
      <c r="G7295" s="4" t="s">
        <v>38042</v>
      </c>
      <c r="H7295" s="3" t="s">
        <v>36691</v>
      </c>
      <c r="I7295" s="3" t="s">
        <v>38043</v>
      </c>
      <c r="J7295" s="3" t="s">
        <v>24865</v>
      </c>
      <c r="K7295" s="3" t="s">
        <v>38044</v>
      </c>
      <c r="L7295" s="3" t="s">
        <v>38045</v>
      </c>
      <c r="M7295" s="4"/>
      <c r="N7295" s="3" t="s">
        <v>37</v>
      </c>
      <c r="O7295" s="3" t="s">
        <v>38</v>
      </c>
      <c r="P7295" s="5">
        <v>12</v>
      </c>
      <c r="Q7295" s="5">
        <v>253</v>
      </c>
      <c r="R7295" s="5">
        <v>12</v>
      </c>
      <c r="S7295" s="5">
        <v>248</v>
      </c>
    </row>
    <row r="7296" spans="1:19" ht="42" x14ac:dyDescent="0.15">
      <c r="A7296" s="2">
        <f>HYPERLINK("https://open-school.uspishnemisto.com.ua/school/440282/", 440282)</f>
        <v>440282</v>
      </c>
      <c r="B7296" s="3" t="s">
        <v>38046</v>
      </c>
      <c r="C7296" s="3" t="s">
        <v>31</v>
      </c>
      <c r="D7296" s="3" t="s">
        <v>32</v>
      </c>
      <c r="E7296" s="4" t="s">
        <v>22</v>
      </c>
      <c r="F7296" s="4" t="s">
        <v>38047</v>
      </c>
      <c r="G7296" s="4" t="s">
        <v>38048</v>
      </c>
      <c r="H7296" s="3" t="s">
        <v>36691</v>
      </c>
      <c r="I7296" s="3" t="s">
        <v>38049</v>
      </c>
      <c r="J7296" s="3" t="s">
        <v>38050</v>
      </c>
      <c r="K7296" s="3" t="s">
        <v>38051</v>
      </c>
      <c r="L7296" s="3"/>
      <c r="M7296" s="4"/>
      <c r="N7296" s="3" t="s">
        <v>37</v>
      </c>
      <c r="O7296" s="3" t="s">
        <v>38</v>
      </c>
      <c r="P7296" s="5">
        <v>21</v>
      </c>
      <c r="Q7296" s="5">
        <v>307</v>
      </c>
      <c r="R7296" s="5">
        <v>11</v>
      </c>
      <c r="S7296" s="5">
        <v>229</v>
      </c>
    </row>
    <row r="7297" spans="1:19" ht="28" x14ac:dyDescent="0.15">
      <c r="A7297" s="2">
        <f>HYPERLINK("https://open-school.uspishnemisto.com.ua/school/440283/", 440283)</f>
        <v>440283</v>
      </c>
      <c r="B7297" s="3" t="s">
        <v>38052</v>
      </c>
      <c r="C7297" s="3" t="s">
        <v>31</v>
      </c>
      <c r="D7297" s="3" t="s">
        <v>175</v>
      </c>
      <c r="E7297" s="4" t="s">
        <v>22</v>
      </c>
      <c r="F7297" s="4" t="s">
        <v>38053</v>
      </c>
      <c r="G7297" s="4" t="s">
        <v>38054</v>
      </c>
      <c r="H7297" s="3" t="s">
        <v>36691</v>
      </c>
      <c r="I7297" s="3" t="s">
        <v>2491</v>
      </c>
      <c r="J7297" s="3" t="s">
        <v>38055</v>
      </c>
      <c r="K7297" s="3" t="s">
        <v>38056</v>
      </c>
      <c r="L7297" s="3"/>
      <c r="M7297" s="4"/>
      <c r="N7297" s="3" t="s">
        <v>37</v>
      </c>
      <c r="O7297" s="3" t="s">
        <v>70</v>
      </c>
      <c r="P7297" s="5">
        <v>5</v>
      </c>
      <c r="Q7297" s="5">
        <v>42</v>
      </c>
      <c r="R7297" s="5">
        <v>4</v>
      </c>
      <c r="S7297" s="5">
        <v>36</v>
      </c>
    </row>
    <row r="7298" spans="1:19" ht="28" x14ac:dyDescent="0.15">
      <c r="A7298" s="2">
        <f>HYPERLINK("https://open-school.uspishnemisto.com.ua/school/440284/", 440284)</f>
        <v>440284</v>
      </c>
      <c r="B7298" s="3" t="s">
        <v>38057</v>
      </c>
      <c r="C7298" s="3" t="s">
        <v>31</v>
      </c>
      <c r="D7298" s="3" t="s">
        <v>60</v>
      </c>
      <c r="E7298" s="4" t="s">
        <v>22</v>
      </c>
      <c r="F7298" s="4" t="s">
        <v>38058</v>
      </c>
      <c r="G7298" s="4" t="s">
        <v>38059</v>
      </c>
      <c r="H7298" s="3" t="s">
        <v>36691</v>
      </c>
      <c r="I7298" s="3" t="s">
        <v>15606</v>
      </c>
      <c r="J7298" s="3" t="s">
        <v>466</v>
      </c>
      <c r="K7298" s="3" t="s">
        <v>38060</v>
      </c>
      <c r="L7298" s="3"/>
      <c r="M7298" s="4"/>
      <c r="N7298" s="3" t="s">
        <v>37</v>
      </c>
      <c r="O7298" s="3" t="s">
        <v>38</v>
      </c>
      <c r="P7298" s="5">
        <v>0</v>
      </c>
      <c r="Q7298" s="5">
        <v>7</v>
      </c>
      <c r="R7298" s="5">
        <v>2</v>
      </c>
      <c r="S7298" s="5">
        <v>30</v>
      </c>
    </row>
    <row r="7299" spans="1:19" ht="28" x14ac:dyDescent="0.15">
      <c r="A7299" s="2">
        <f>HYPERLINK("https://open-school.uspishnemisto.com.ua/school/440285/", 440285)</f>
        <v>440285</v>
      </c>
      <c r="B7299" s="3" t="s">
        <v>38061</v>
      </c>
      <c r="C7299" s="3" t="s">
        <v>31</v>
      </c>
      <c r="D7299" s="3" t="s">
        <v>60</v>
      </c>
      <c r="E7299" s="4" t="s">
        <v>22</v>
      </c>
      <c r="F7299" s="4" t="s">
        <v>38062</v>
      </c>
      <c r="G7299" s="4" t="s">
        <v>38063</v>
      </c>
      <c r="H7299" s="3" t="s">
        <v>36691</v>
      </c>
      <c r="I7299" s="3" t="s">
        <v>38064</v>
      </c>
      <c r="J7299" s="3" t="s">
        <v>8007</v>
      </c>
      <c r="K7299" s="3" t="s">
        <v>38065</v>
      </c>
      <c r="L7299" s="3"/>
      <c r="M7299" s="4"/>
      <c r="N7299" s="3" t="s">
        <v>37</v>
      </c>
      <c r="O7299" s="3" t="s">
        <v>52</v>
      </c>
      <c r="P7299" s="5">
        <v>0</v>
      </c>
      <c r="Q7299" s="5">
        <v>0</v>
      </c>
      <c r="R7299" s="5">
        <v>1</v>
      </c>
      <c r="S7299" s="5">
        <v>12</v>
      </c>
    </row>
    <row r="7300" spans="1:19" ht="28" x14ac:dyDescent="0.15">
      <c r="A7300" s="2">
        <f>HYPERLINK("https://open-school.uspishnemisto.com.ua/school/440286/", 440286)</f>
        <v>440286</v>
      </c>
      <c r="B7300" s="3" t="s">
        <v>38066</v>
      </c>
      <c r="C7300" s="3" t="s">
        <v>31</v>
      </c>
      <c r="D7300" s="3" t="s">
        <v>175</v>
      </c>
      <c r="E7300" s="4" t="s">
        <v>22</v>
      </c>
      <c r="F7300" s="4" t="s">
        <v>38067</v>
      </c>
      <c r="G7300" s="4" t="s">
        <v>38068</v>
      </c>
      <c r="H7300" s="3" t="s">
        <v>36691</v>
      </c>
      <c r="I7300" s="3" t="s">
        <v>38069</v>
      </c>
      <c r="J7300" s="3" t="s">
        <v>6004</v>
      </c>
      <c r="K7300" s="3" t="s">
        <v>38070</v>
      </c>
      <c r="L7300" s="3"/>
      <c r="M7300" s="4"/>
      <c r="N7300" s="3" t="s">
        <v>37</v>
      </c>
      <c r="O7300" s="3" t="s">
        <v>38</v>
      </c>
      <c r="P7300" s="5">
        <v>9</v>
      </c>
      <c r="Q7300" s="5">
        <v>61</v>
      </c>
      <c r="R7300" s="5">
        <v>9</v>
      </c>
      <c r="S7300" s="5">
        <v>70</v>
      </c>
    </row>
    <row r="7301" spans="1:19" ht="42" x14ac:dyDescent="0.15">
      <c r="A7301" s="2">
        <f>HYPERLINK("https://open-school.uspishnemisto.com.ua/school/440287/", 440287)</f>
        <v>440287</v>
      </c>
      <c r="B7301" s="3" t="s">
        <v>38071</v>
      </c>
      <c r="C7301" s="3" t="s">
        <v>54</v>
      </c>
      <c r="D7301" s="3" t="s">
        <v>32</v>
      </c>
      <c r="E7301" s="4" t="s">
        <v>22</v>
      </c>
      <c r="F7301" s="4" t="s">
        <v>38072</v>
      </c>
      <c r="G7301" s="4" t="s">
        <v>38073</v>
      </c>
      <c r="H7301" s="3" t="s">
        <v>36691</v>
      </c>
      <c r="I7301" s="3" t="s">
        <v>38074</v>
      </c>
      <c r="J7301" s="3" t="s">
        <v>38075</v>
      </c>
      <c r="K7301" s="3" t="s">
        <v>38076</v>
      </c>
      <c r="L7301" s="3" t="s">
        <v>38077</v>
      </c>
      <c r="M7301" s="4"/>
      <c r="N7301" s="3" t="s">
        <v>37</v>
      </c>
      <c r="O7301" s="3" t="s">
        <v>38</v>
      </c>
      <c r="P7301" s="5">
        <v>16</v>
      </c>
      <c r="Q7301" s="5">
        <v>303</v>
      </c>
      <c r="R7301" s="5">
        <v>15</v>
      </c>
      <c r="S7301" s="5">
        <v>300</v>
      </c>
    </row>
    <row r="7302" spans="1:19" ht="28" x14ac:dyDescent="0.15">
      <c r="A7302" s="2">
        <f>HYPERLINK("https://open-school.uspishnemisto.com.ua/school/440288/", 440288)</f>
        <v>440288</v>
      </c>
      <c r="B7302" s="3" t="s">
        <v>38078</v>
      </c>
      <c r="C7302" s="3" t="s">
        <v>31</v>
      </c>
      <c r="D7302" s="3" t="s">
        <v>175</v>
      </c>
      <c r="E7302" s="4" t="s">
        <v>22</v>
      </c>
      <c r="F7302" s="4" t="s">
        <v>38079</v>
      </c>
      <c r="G7302" s="4" t="s">
        <v>38080</v>
      </c>
      <c r="H7302" s="3" t="s">
        <v>36691</v>
      </c>
      <c r="I7302" s="3" t="s">
        <v>38081</v>
      </c>
      <c r="J7302" s="3" t="s">
        <v>12418</v>
      </c>
      <c r="K7302" s="3" t="s">
        <v>38082</v>
      </c>
      <c r="L7302" s="3"/>
      <c r="M7302" s="4"/>
      <c r="N7302" s="3" t="s">
        <v>37</v>
      </c>
      <c r="O7302" s="3" t="s">
        <v>112</v>
      </c>
      <c r="P7302" s="5">
        <v>5</v>
      </c>
      <c r="Q7302" s="5">
        <v>37</v>
      </c>
      <c r="R7302" s="5">
        <v>5</v>
      </c>
      <c r="S7302" s="5">
        <v>35</v>
      </c>
    </row>
    <row r="7303" spans="1:19" ht="28" x14ac:dyDescent="0.15">
      <c r="A7303" s="2">
        <f>HYPERLINK("https://open-school.uspishnemisto.com.ua/school/440289/", 440289)</f>
        <v>440289</v>
      </c>
      <c r="B7303" s="3" t="s">
        <v>38083</v>
      </c>
      <c r="C7303" s="3" t="s">
        <v>31</v>
      </c>
      <c r="D7303" s="3" t="s">
        <v>32</v>
      </c>
      <c r="E7303" s="4" t="s">
        <v>22</v>
      </c>
      <c r="F7303" s="4" t="s">
        <v>38084</v>
      </c>
      <c r="G7303" s="4" t="s">
        <v>38085</v>
      </c>
      <c r="H7303" s="3" t="s">
        <v>36691</v>
      </c>
      <c r="I7303" s="3" t="s">
        <v>38086</v>
      </c>
      <c r="J7303" s="3" t="s">
        <v>38087</v>
      </c>
      <c r="K7303" s="3" t="s">
        <v>38088</v>
      </c>
      <c r="L7303" s="3" t="s">
        <v>38089</v>
      </c>
      <c r="M7303" s="4"/>
      <c r="N7303" s="3" t="s">
        <v>37</v>
      </c>
      <c r="O7303" s="3" t="s">
        <v>38</v>
      </c>
      <c r="P7303" s="5">
        <v>11</v>
      </c>
      <c r="Q7303" s="5">
        <v>170</v>
      </c>
      <c r="R7303" s="5">
        <v>11</v>
      </c>
      <c r="S7303" s="5">
        <v>192</v>
      </c>
    </row>
    <row r="7304" spans="1:19" ht="28" x14ac:dyDescent="0.15">
      <c r="A7304" s="2">
        <f>HYPERLINK("https://open-school.uspishnemisto.com.ua/school/440290/", 440290)</f>
        <v>440290</v>
      </c>
      <c r="B7304" s="3" t="s">
        <v>38090</v>
      </c>
      <c r="C7304" s="3" t="s">
        <v>20</v>
      </c>
      <c r="D7304" s="3" t="s">
        <v>21</v>
      </c>
      <c r="E7304" s="4" t="s">
        <v>22</v>
      </c>
      <c r="F7304" s="4" t="s">
        <v>38091</v>
      </c>
      <c r="G7304" s="4" t="s">
        <v>38092</v>
      </c>
      <c r="H7304" s="3" t="s">
        <v>36691</v>
      </c>
      <c r="I7304" s="3" t="s">
        <v>12351</v>
      </c>
      <c r="J7304" s="3" t="s">
        <v>38093</v>
      </c>
      <c r="K7304" s="3" t="s">
        <v>38094</v>
      </c>
      <c r="L7304" s="3"/>
      <c r="M7304" s="4"/>
      <c r="N7304" s="3"/>
      <c r="O7304" s="3"/>
      <c r="P7304" s="5">
        <v>0</v>
      </c>
      <c r="Q7304" s="5">
        <v>0</v>
      </c>
      <c r="R7304" s="5"/>
      <c r="S7304" s="5"/>
    </row>
    <row r="7305" spans="1:19" ht="28" x14ac:dyDescent="0.15">
      <c r="A7305" s="2">
        <f>HYPERLINK("https://open-school.uspishnemisto.com.ua/school/440291/", 440291)</f>
        <v>440291</v>
      </c>
      <c r="B7305" s="3" t="s">
        <v>38095</v>
      </c>
      <c r="C7305" s="3" t="s">
        <v>40</v>
      </c>
      <c r="D7305" s="3" t="s">
        <v>32</v>
      </c>
      <c r="E7305" s="4" t="s">
        <v>22</v>
      </c>
      <c r="F7305" s="4" t="s">
        <v>38091</v>
      </c>
      <c r="G7305" s="4" t="s">
        <v>38092</v>
      </c>
      <c r="H7305" s="3" t="s">
        <v>36691</v>
      </c>
      <c r="I7305" s="3" t="s">
        <v>12351</v>
      </c>
      <c r="J7305" s="3" t="s">
        <v>36150</v>
      </c>
      <c r="K7305" s="3" t="s">
        <v>38096</v>
      </c>
      <c r="L7305" s="3"/>
      <c r="M7305" s="4"/>
      <c r="N7305" s="3" t="s">
        <v>37</v>
      </c>
      <c r="O7305" s="3" t="s">
        <v>38</v>
      </c>
      <c r="P7305" s="5">
        <v>20</v>
      </c>
      <c r="Q7305" s="5">
        <v>378</v>
      </c>
      <c r="R7305" s="5">
        <v>20</v>
      </c>
      <c r="S7305" s="5">
        <v>388</v>
      </c>
    </row>
    <row r="7306" spans="1:19" ht="28" x14ac:dyDescent="0.15">
      <c r="A7306" s="2">
        <f>HYPERLINK("https://open-school.uspishnemisto.com.ua/school/440292/", 440292)</f>
        <v>440292</v>
      </c>
      <c r="B7306" s="3" t="s">
        <v>38097</v>
      </c>
      <c r="C7306" s="3" t="s">
        <v>31</v>
      </c>
      <c r="D7306" s="3" t="s">
        <v>60</v>
      </c>
      <c r="E7306" s="4" t="s">
        <v>22</v>
      </c>
      <c r="F7306" s="4" t="s">
        <v>38091</v>
      </c>
      <c r="G7306" s="4" t="s">
        <v>38092</v>
      </c>
      <c r="H7306" s="3" t="s">
        <v>36691</v>
      </c>
      <c r="I7306" s="3" t="s">
        <v>12351</v>
      </c>
      <c r="J7306" s="3" t="s">
        <v>38098</v>
      </c>
      <c r="K7306" s="3" t="s">
        <v>38099</v>
      </c>
      <c r="L7306" s="3"/>
      <c r="M7306" s="4"/>
      <c r="N7306" s="3" t="s">
        <v>37</v>
      </c>
      <c r="O7306" s="3" t="s">
        <v>38</v>
      </c>
      <c r="P7306" s="5">
        <v>2</v>
      </c>
      <c r="Q7306" s="5">
        <v>18</v>
      </c>
      <c r="R7306" s="5">
        <v>2</v>
      </c>
      <c r="S7306" s="5">
        <v>20</v>
      </c>
    </row>
    <row r="7307" spans="1:19" ht="28" x14ac:dyDescent="0.15">
      <c r="A7307" s="2">
        <f>HYPERLINK("https://open-school.uspishnemisto.com.ua/school/440293/", 440293)</f>
        <v>440293</v>
      </c>
      <c r="B7307" s="3" t="s">
        <v>38100</v>
      </c>
      <c r="C7307" s="3" t="s">
        <v>31</v>
      </c>
      <c r="D7307" s="3" t="s">
        <v>32</v>
      </c>
      <c r="E7307" s="4" t="s">
        <v>22</v>
      </c>
      <c r="F7307" s="4" t="s">
        <v>38091</v>
      </c>
      <c r="G7307" s="4" t="s">
        <v>38092</v>
      </c>
      <c r="H7307" s="3" t="s">
        <v>36691</v>
      </c>
      <c r="I7307" s="3" t="s">
        <v>12351</v>
      </c>
      <c r="J7307" s="3" t="s">
        <v>38101</v>
      </c>
      <c r="K7307" s="3" t="s">
        <v>38102</v>
      </c>
      <c r="L7307" s="3"/>
      <c r="M7307" s="4"/>
      <c r="N7307" s="3" t="s">
        <v>37</v>
      </c>
      <c r="O7307" s="3" t="s">
        <v>38</v>
      </c>
      <c r="P7307" s="5">
        <v>16</v>
      </c>
      <c r="Q7307" s="5">
        <v>310</v>
      </c>
      <c r="R7307" s="5">
        <v>11</v>
      </c>
      <c r="S7307" s="5">
        <v>258</v>
      </c>
    </row>
    <row r="7308" spans="1:19" ht="28" x14ac:dyDescent="0.15">
      <c r="A7308" s="2">
        <f>HYPERLINK("https://open-school.uspishnemisto.com.ua/school/440294/", 440294)</f>
        <v>440294</v>
      </c>
      <c r="B7308" s="3" t="s">
        <v>38103</v>
      </c>
      <c r="C7308" s="3" t="s">
        <v>31</v>
      </c>
      <c r="D7308" s="3" t="s">
        <v>175</v>
      </c>
      <c r="E7308" s="4" t="s">
        <v>22</v>
      </c>
      <c r="F7308" s="4" t="s">
        <v>38104</v>
      </c>
      <c r="G7308" s="4" t="s">
        <v>38105</v>
      </c>
      <c r="H7308" s="3" t="s">
        <v>36691</v>
      </c>
      <c r="I7308" s="3" t="s">
        <v>38106</v>
      </c>
      <c r="J7308" s="3" t="s">
        <v>726</v>
      </c>
      <c r="K7308" s="3" t="s">
        <v>38107</v>
      </c>
      <c r="L7308" s="3"/>
      <c r="M7308" s="4"/>
      <c r="N7308" s="3" t="s">
        <v>37</v>
      </c>
      <c r="O7308" s="3" t="s">
        <v>52</v>
      </c>
      <c r="P7308" s="5">
        <v>3</v>
      </c>
      <c r="Q7308" s="5">
        <v>28</v>
      </c>
      <c r="R7308" s="5">
        <v>2</v>
      </c>
      <c r="S7308" s="5">
        <v>27</v>
      </c>
    </row>
    <row r="7309" spans="1:19" ht="28" x14ac:dyDescent="0.15">
      <c r="A7309" s="2">
        <f>HYPERLINK("https://open-school.uspishnemisto.com.ua/school/440295/", 440295)</f>
        <v>440295</v>
      </c>
      <c r="B7309" s="3" t="s">
        <v>38108</v>
      </c>
      <c r="C7309" s="3" t="s">
        <v>31</v>
      </c>
      <c r="D7309" s="3" t="s">
        <v>175</v>
      </c>
      <c r="E7309" s="4" t="s">
        <v>22</v>
      </c>
      <c r="F7309" s="4" t="s">
        <v>38109</v>
      </c>
      <c r="G7309" s="4" t="s">
        <v>38110</v>
      </c>
      <c r="H7309" s="3" t="s">
        <v>36691</v>
      </c>
      <c r="I7309" s="3" t="s">
        <v>38111</v>
      </c>
      <c r="J7309" s="3"/>
      <c r="K7309" s="3" t="s">
        <v>38112</v>
      </c>
      <c r="L7309" s="3"/>
      <c r="M7309" s="4"/>
      <c r="N7309" s="3" t="s">
        <v>37</v>
      </c>
      <c r="O7309" s="3" t="s">
        <v>38</v>
      </c>
      <c r="P7309" s="5">
        <v>3</v>
      </c>
      <c r="Q7309" s="5">
        <v>30</v>
      </c>
      <c r="R7309" s="5">
        <v>3</v>
      </c>
      <c r="S7309" s="5">
        <v>28</v>
      </c>
    </row>
    <row r="7310" spans="1:19" ht="28" x14ac:dyDescent="0.15">
      <c r="A7310" s="2">
        <f>HYPERLINK("https://open-school.uspishnemisto.com.ua/school/440296/", 440296)</f>
        <v>440296</v>
      </c>
      <c r="B7310" s="3" t="s">
        <v>38113</v>
      </c>
      <c r="C7310" s="3" t="s">
        <v>31</v>
      </c>
      <c r="D7310" s="3" t="s">
        <v>175</v>
      </c>
      <c r="E7310" s="4" t="s">
        <v>22</v>
      </c>
      <c r="F7310" s="4" t="s">
        <v>38114</v>
      </c>
      <c r="G7310" s="4" t="s">
        <v>38115</v>
      </c>
      <c r="H7310" s="3" t="s">
        <v>36691</v>
      </c>
      <c r="I7310" s="3" t="s">
        <v>38116</v>
      </c>
      <c r="J7310" s="3" t="s">
        <v>38117</v>
      </c>
      <c r="K7310" s="3" t="s">
        <v>38118</v>
      </c>
      <c r="L7310" s="3"/>
      <c r="M7310" s="4"/>
      <c r="N7310" s="3" t="s">
        <v>37</v>
      </c>
      <c r="O7310" s="3" t="s">
        <v>38</v>
      </c>
      <c r="P7310" s="5">
        <v>5</v>
      </c>
      <c r="Q7310" s="5">
        <v>31</v>
      </c>
      <c r="R7310" s="5">
        <v>5</v>
      </c>
      <c r="S7310" s="5">
        <v>32</v>
      </c>
    </row>
    <row r="7311" spans="1:19" ht="28" x14ac:dyDescent="0.15">
      <c r="A7311" s="2">
        <f>HYPERLINK("https://open-school.uspishnemisto.com.ua/school/440297/", 440297)</f>
        <v>440297</v>
      </c>
      <c r="B7311" s="3" t="s">
        <v>38119</v>
      </c>
      <c r="C7311" s="3" t="s">
        <v>31</v>
      </c>
      <c r="D7311" s="3" t="s">
        <v>32</v>
      </c>
      <c r="E7311" s="4" t="s">
        <v>22</v>
      </c>
      <c r="F7311" s="4" t="s">
        <v>38120</v>
      </c>
      <c r="G7311" s="4" t="s">
        <v>38121</v>
      </c>
      <c r="H7311" s="3" t="s">
        <v>36691</v>
      </c>
      <c r="I7311" s="3" t="s">
        <v>38122</v>
      </c>
      <c r="J7311" s="3"/>
      <c r="K7311" s="3" t="s">
        <v>38123</v>
      </c>
      <c r="L7311" s="3"/>
      <c r="M7311" s="4"/>
      <c r="N7311" s="3" t="s">
        <v>37</v>
      </c>
      <c r="O7311" s="3" t="s">
        <v>38</v>
      </c>
      <c r="P7311" s="5">
        <v>8</v>
      </c>
      <c r="Q7311" s="5">
        <v>67</v>
      </c>
      <c r="R7311" s="5">
        <v>7</v>
      </c>
      <c r="S7311" s="5">
        <v>66</v>
      </c>
    </row>
    <row r="7312" spans="1:19" ht="28" x14ac:dyDescent="0.15">
      <c r="A7312" s="2">
        <f>HYPERLINK("https://open-school.uspishnemisto.com.ua/school/440298/", 440298)</f>
        <v>440298</v>
      </c>
      <c r="B7312" s="3" t="s">
        <v>38124</v>
      </c>
      <c r="C7312" s="3" t="s">
        <v>31</v>
      </c>
      <c r="D7312" s="3" t="s">
        <v>175</v>
      </c>
      <c r="E7312" s="4" t="s">
        <v>22</v>
      </c>
      <c r="F7312" s="4" t="s">
        <v>38125</v>
      </c>
      <c r="G7312" s="4" t="s">
        <v>38126</v>
      </c>
      <c r="H7312" s="3" t="s">
        <v>36691</v>
      </c>
      <c r="I7312" s="3" t="s">
        <v>36923</v>
      </c>
      <c r="J7312" s="3"/>
      <c r="K7312" s="3" t="s">
        <v>38127</v>
      </c>
      <c r="L7312" s="3"/>
      <c r="M7312" s="4"/>
      <c r="N7312" s="3" t="s">
        <v>967</v>
      </c>
      <c r="O7312" s="3" t="s">
        <v>52</v>
      </c>
      <c r="P7312" s="5">
        <v>3</v>
      </c>
      <c r="Q7312" s="5">
        <v>34</v>
      </c>
      <c r="R7312" s="5">
        <v>3</v>
      </c>
      <c r="S7312" s="5">
        <v>34</v>
      </c>
    </row>
    <row r="7313" spans="1:19" ht="28" x14ac:dyDescent="0.15">
      <c r="A7313" s="2">
        <f>HYPERLINK("https://open-school.uspishnemisto.com.ua/school/440299/", 440299)</f>
        <v>440299</v>
      </c>
      <c r="B7313" s="3" t="s">
        <v>38128</v>
      </c>
      <c r="C7313" s="3" t="s">
        <v>31</v>
      </c>
      <c r="D7313" s="3" t="s">
        <v>32</v>
      </c>
      <c r="E7313" s="4" t="s">
        <v>22</v>
      </c>
      <c r="F7313" s="4" t="s">
        <v>38129</v>
      </c>
      <c r="G7313" s="4" t="s">
        <v>38130</v>
      </c>
      <c r="H7313" s="3" t="s">
        <v>36691</v>
      </c>
      <c r="I7313" s="3" t="s">
        <v>38131</v>
      </c>
      <c r="J7313" s="3" t="s">
        <v>634</v>
      </c>
      <c r="K7313" s="3" t="s">
        <v>38132</v>
      </c>
      <c r="L7313" s="3"/>
      <c r="M7313" s="4"/>
      <c r="N7313" s="3" t="s">
        <v>37</v>
      </c>
      <c r="O7313" s="3" t="s">
        <v>38</v>
      </c>
      <c r="P7313" s="5">
        <v>11</v>
      </c>
      <c r="Q7313" s="5">
        <v>106</v>
      </c>
      <c r="R7313" s="5">
        <v>11</v>
      </c>
      <c r="S7313" s="5">
        <v>108</v>
      </c>
    </row>
    <row r="7314" spans="1:19" ht="28" x14ac:dyDescent="0.15">
      <c r="A7314" s="2">
        <f>HYPERLINK("https://open-school.uspishnemisto.com.ua/school/440300/", 440300)</f>
        <v>440300</v>
      </c>
      <c r="B7314" s="3" t="s">
        <v>38133</v>
      </c>
      <c r="C7314" s="3" t="s">
        <v>31</v>
      </c>
      <c r="D7314" s="3" t="s">
        <v>175</v>
      </c>
      <c r="E7314" s="4" t="s">
        <v>22</v>
      </c>
      <c r="F7314" s="4" t="s">
        <v>38134</v>
      </c>
      <c r="G7314" s="4" t="s">
        <v>38135</v>
      </c>
      <c r="H7314" s="3" t="s">
        <v>36691</v>
      </c>
      <c r="I7314" s="3" t="s">
        <v>38136</v>
      </c>
      <c r="J7314" s="3" t="s">
        <v>2719</v>
      </c>
      <c r="K7314" s="3" t="s">
        <v>38137</v>
      </c>
      <c r="L7314" s="3"/>
      <c r="M7314" s="4"/>
      <c r="N7314" s="3" t="s">
        <v>128</v>
      </c>
      <c r="O7314" s="3" t="s">
        <v>46</v>
      </c>
      <c r="P7314" s="5">
        <v>1</v>
      </c>
      <c r="Q7314" s="5">
        <v>28</v>
      </c>
      <c r="R7314" s="5">
        <v>1</v>
      </c>
      <c r="S7314" s="5">
        <v>29</v>
      </c>
    </row>
    <row r="7315" spans="1:19" ht="28" x14ac:dyDescent="0.15">
      <c r="A7315" s="2">
        <f>HYPERLINK("https://open-school.uspishnemisto.com.ua/school/440301/", 440301)</f>
        <v>440301</v>
      </c>
      <c r="B7315" s="3" t="s">
        <v>38138</v>
      </c>
      <c r="C7315" s="3" t="s">
        <v>31</v>
      </c>
      <c r="D7315" s="3" t="s">
        <v>32</v>
      </c>
      <c r="E7315" s="4" t="s">
        <v>22</v>
      </c>
      <c r="F7315" s="4" t="s">
        <v>38139</v>
      </c>
      <c r="G7315" s="4" t="s">
        <v>38140</v>
      </c>
      <c r="H7315" s="3" t="s">
        <v>36691</v>
      </c>
      <c r="I7315" s="3" t="s">
        <v>38141</v>
      </c>
      <c r="J7315" s="3" t="s">
        <v>38142</v>
      </c>
      <c r="K7315" s="3" t="s">
        <v>38143</v>
      </c>
      <c r="L7315" s="3"/>
      <c r="M7315" s="4"/>
      <c r="N7315" s="3" t="s">
        <v>37</v>
      </c>
      <c r="O7315" s="3" t="s">
        <v>38</v>
      </c>
      <c r="P7315" s="5">
        <v>8</v>
      </c>
      <c r="Q7315" s="5">
        <v>49</v>
      </c>
      <c r="R7315" s="5">
        <v>8</v>
      </c>
      <c r="S7315" s="5">
        <v>54</v>
      </c>
    </row>
    <row r="7316" spans="1:19" ht="28" x14ac:dyDescent="0.15">
      <c r="A7316" s="2">
        <f>HYPERLINK("https://open-school.uspishnemisto.com.ua/school/440302/", 440302)</f>
        <v>440302</v>
      </c>
      <c r="B7316" s="3" t="s">
        <v>38144</v>
      </c>
      <c r="C7316" s="3" t="s">
        <v>31</v>
      </c>
      <c r="D7316" s="3" t="s">
        <v>175</v>
      </c>
      <c r="E7316" s="4" t="s">
        <v>22</v>
      </c>
      <c r="F7316" s="4" t="s">
        <v>38145</v>
      </c>
      <c r="G7316" s="4" t="s">
        <v>38146</v>
      </c>
      <c r="H7316" s="3" t="s">
        <v>36691</v>
      </c>
      <c r="I7316" s="3" t="s">
        <v>38147</v>
      </c>
      <c r="J7316" s="3" t="s">
        <v>12836</v>
      </c>
      <c r="K7316" s="3" t="s">
        <v>38148</v>
      </c>
      <c r="L7316" s="3"/>
      <c r="M7316" s="4"/>
      <c r="N7316" s="3" t="s">
        <v>37</v>
      </c>
      <c r="O7316" s="3" t="s">
        <v>46</v>
      </c>
      <c r="P7316" s="5">
        <v>1</v>
      </c>
      <c r="Q7316" s="5">
        <v>26</v>
      </c>
      <c r="R7316" s="5">
        <v>2</v>
      </c>
      <c r="S7316" s="5">
        <v>25</v>
      </c>
    </row>
    <row r="7317" spans="1:19" ht="28" x14ac:dyDescent="0.15">
      <c r="A7317" s="2">
        <f>HYPERLINK("https://open-school.uspishnemisto.com.ua/school/440303/", 440303)</f>
        <v>440303</v>
      </c>
      <c r="B7317" s="3" t="s">
        <v>38149</v>
      </c>
      <c r="C7317" s="3" t="s">
        <v>31</v>
      </c>
      <c r="D7317" s="3" t="s">
        <v>32</v>
      </c>
      <c r="E7317" s="4" t="s">
        <v>22</v>
      </c>
      <c r="F7317" s="4" t="s">
        <v>12107</v>
      </c>
      <c r="G7317" s="4" t="s">
        <v>38150</v>
      </c>
      <c r="H7317" s="3" t="s">
        <v>36691</v>
      </c>
      <c r="I7317" s="3" t="s">
        <v>12001</v>
      </c>
      <c r="J7317" s="3" t="s">
        <v>38151</v>
      </c>
      <c r="K7317" s="3" t="s">
        <v>38152</v>
      </c>
      <c r="L7317" s="3" t="s">
        <v>38153</v>
      </c>
      <c r="M7317" s="4"/>
      <c r="N7317" s="3" t="s">
        <v>967</v>
      </c>
      <c r="O7317" s="3" t="s">
        <v>38</v>
      </c>
      <c r="P7317" s="5">
        <v>8</v>
      </c>
      <c r="Q7317" s="5">
        <v>77</v>
      </c>
      <c r="R7317" s="5">
        <v>9</v>
      </c>
      <c r="S7317" s="5">
        <v>74</v>
      </c>
    </row>
    <row r="7318" spans="1:19" ht="28" x14ac:dyDescent="0.15">
      <c r="A7318" s="2">
        <f>HYPERLINK("https://open-school.uspishnemisto.com.ua/school/440304/", 440304)</f>
        <v>440304</v>
      </c>
      <c r="B7318" s="3" t="s">
        <v>38154</v>
      </c>
      <c r="C7318" s="3" t="s">
        <v>31</v>
      </c>
      <c r="D7318" s="3" t="s">
        <v>32</v>
      </c>
      <c r="E7318" s="4" t="s">
        <v>22</v>
      </c>
      <c r="F7318" s="4" t="s">
        <v>38155</v>
      </c>
      <c r="G7318" s="4" t="s">
        <v>38156</v>
      </c>
      <c r="H7318" s="3" t="s">
        <v>36691</v>
      </c>
      <c r="I7318" s="3" t="s">
        <v>16228</v>
      </c>
      <c r="J7318" s="3" t="s">
        <v>38157</v>
      </c>
      <c r="K7318" s="3" t="s">
        <v>38158</v>
      </c>
      <c r="L7318" s="3"/>
      <c r="M7318" s="4"/>
      <c r="N7318" s="3" t="s">
        <v>37</v>
      </c>
      <c r="O7318" s="3" t="s">
        <v>38</v>
      </c>
      <c r="P7318" s="5">
        <v>11</v>
      </c>
      <c r="Q7318" s="5">
        <v>98</v>
      </c>
      <c r="R7318" s="5">
        <v>11</v>
      </c>
      <c r="S7318" s="5">
        <v>104</v>
      </c>
    </row>
    <row r="7319" spans="1:19" ht="28" x14ac:dyDescent="0.15">
      <c r="A7319" s="2">
        <f>HYPERLINK("https://open-school.uspishnemisto.com.ua/school/440305/", 440305)</f>
        <v>440305</v>
      </c>
      <c r="B7319" s="3" t="s">
        <v>38159</v>
      </c>
      <c r="C7319" s="3" t="s">
        <v>31</v>
      </c>
      <c r="D7319" s="3" t="s">
        <v>175</v>
      </c>
      <c r="E7319" s="4" t="s">
        <v>22</v>
      </c>
      <c r="F7319" s="4" t="s">
        <v>38160</v>
      </c>
      <c r="G7319" s="4" t="s">
        <v>38161</v>
      </c>
      <c r="H7319" s="3" t="s">
        <v>36691</v>
      </c>
      <c r="I7319" s="3" t="s">
        <v>38162</v>
      </c>
      <c r="J7319" s="3" t="s">
        <v>8232</v>
      </c>
      <c r="K7319" s="3" t="s">
        <v>38163</v>
      </c>
      <c r="L7319" s="3"/>
      <c r="M7319" s="4"/>
      <c r="N7319" s="3" t="s">
        <v>37</v>
      </c>
      <c r="O7319" s="3" t="s">
        <v>38</v>
      </c>
      <c r="P7319" s="5">
        <v>5</v>
      </c>
      <c r="Q7319" s="5">
        <v>41</v>
      </c>
      <c r="R7319" s="5">
        <v>5</v>
      </c>
      <c r="S7319" s="5">
        <v>34</v>
      </c>
    </row>
    <row r="7320" spans="1:19" ht="28" x14ac:dyDescent="0.15">
      <c r="A7320" s="2">
        <f>HYPERLINK("https://open-school.uspishnemisto.com.ua/school/440306/", 440306)</f>
        <v>440306</v>
      </c>
      <c r="B7320" s="3" t="s">
        <v>38164</v>
      </c>
      <c r="C7320" s="3" t="s">
        <v>31</v>
      </c>
      <c r="D7320" s="3" t="s">
        <v>175</v>
      </c>
      <c r="E7320" s="4" t="s">
        <v>22</v>
      </c>
      <c r="F7320" s="4" t="s">
        <v>38165</v>
      </c>
      <c r="G7320" s="4" t="s">
        <v>38166</v>
      </c>
      <c r="H7320" s="3" t="s">
        <v>36691</v>
      </c>
      <c r="I7320" s="3" t="s">
        <v>38167</v>
      </c>
      <c r="J7320" s="3" t="s">
        <v>38168</v>
      </c>
      <c r="K7320" s="3" t="s">
        <v>38169</v>
      </c>
      <c r="L7320" s="3"/>
      <c r="M7320" s="4"/>
      <c r="N7320" s="3" t="s">
        <v>128</v>
      </c>
      <c r="O7320" s="3" t="s">
        <v>38</v>
      </c>
      <c r="P7320" s="5">
        <v>4</v>
      </c>
      <c r="Q7320" s="5">
        <v>29</v>
      </c>
      <c r="R7320" s="5">
        <v>3</v>
      </c>
      <c r="S7320" s="5">
        <v>26</v>
      </c>
    </row>
    <row r="7321" spans="1:19" ht="28" x14ac:dyDescent="0.15">
      <c r="A7321" s="2">
        <f>HYPERLINK("https://open-school.uspishnemisto.com.ua/school/440307/", 440307)</f>
        <v>440307</v>
      </c>
      <c r="B7321" s="3" t="s">
        <v>38170</v>
      </c>
      <c r="C7321" s="3" t="s">
        <v>31</v>
      </c>
      <c r="D7321" s="3" t="s">
        <v>32</v>
      </c>
      <c r="E7321" s="4" t="s">
        <v>22</v>
      </c>
      <c r="F7321" s="4" t="s">
        <v>38171</v>
      </c>
      <c r="G7321" s="4" t="s">
        <v>38172</v>
      </c>
      <c r="H7321" s="3" t="s">
        <v>36691</v>
      </c>
      <c r="I7321" s="3" t="s">
        <v>1439</v>
      </c>
      <c r="J7321" s="3" t="s">
        <v>38173</v>
      </c>
      <c r="K7321" s="3" t="s">
        <v>38174</v>
      </c>
      <c r="L7321" s="3"/>
      <c r="M7321" s="4"/>
      <c r="N7321" s="3" t="s">
        <v>37</v>
      </c>
      <c r="O7321" s="3" t="s">
        <v>38</v>
      </c>
      <c r="P7321" s="5">
        <v>3</v>
      </c>
      <c r="Q7321" s="5">
        <v>33</v>
      </c>
      <c r="R7321" s="5">
        <v>5</v>
      </c>
      <c r="S7321" s="5">
        <v>43</v>
      </c>
    </row>
    <row r="7322" spans="1:19" ht="28" x14ac:dyDescent="0.15">
      <c r="A7322" s="2">
        <f>HYPERLINK("https://open-school.uspishnemisto.com.ua/school/440308/", 440308)</f>
        <v>440308</v>
      </c>
      <c r="B7322" s="3" t="s">
        <v>38175</v>
      </c>
      <c r="C7322" s="3" t="s">
        <v>31</v>
      </c>
      <c r="D7322" s="3" t="s">
        <v>32</v>
      </c>
      <c r="E7322" s="4" t="s">
        <v>22</v>
      </c>
      <c r="F7322" s="4" t="s">
        <v>38176</v>
      </c>
      <c r="G7322" s="4" t="s">
        <v>38177</v>
      </c>
      <c r="H7322" s="3" t="s">
        <v>36691</v>
      </c>
      <c r="I7322" s="3" t="s">
        <v>38178</v>
      </c>
      <c r="J7322" s="3" t="s">
        <v>38179</v>
      </c>
      <c r="K7322" s="3" t="s">
        <v>38180</v>
      </c>
      <c r="L7322" s="3"/>
      <c r="M7322" s="4"/>
      <c r="N7322" s="3" t="s">
        <v>128</v>
      </c>
      <c r="O7322" s="3" t="s">
        <v>46</v>
      </c>
      <c r="P7322" s="5">
        <v>8</v>
      </c>
      <c r="Q7322" s="5">
        <v>63</v>
      </c>
      <c r="R7322" s="5">
        <v>9</v>
      </c>
      <c r="S7322" s="5">
        <v>66</v>
      </c>
    </row>
    <row r="7323" spans="1:19" ht="28" x14ac:dyDescent="0.15">
      <c r="A7323" s="2">
        <f>HYPERLINK("https://open-school.uspishnemisto.com.ua/school/440309/", 440309)</f>
        <v>440309</v>
      </c>
      <c r="B7323" s="3" t="s">
        <v>38181</v>
      </c>
      <c r="C7323" s="3" t="s">
        <v>31</v>
      </c>
      <c r="D7323" s="3" t="s">
        <v>32</v>
      </c>
      <c r="E7323" s="4" t="s">
        <v>22</v>
      </c>
      <c r="F7323" s="4" t="s">
        <v>38182</v>
      </c>
      <c r="G7323" s="4" t="s">
        <v>38183</v>
      </c>
      <c r="H7323" s="3" t="s">
        <v>36691</v>
      </c>
      <c r="I7323" s="3" t="s">
        <v>35217</v>
      </c>
      <c r="J7323" s="3" t="s">
        <v>38184</v>
      </c>
      <c r="K7323" s="3" t="s">
        <v>38185</v>
      </c>
      <c r="L7323" s="3"/>
      <c r="M7323" s="4"/>
      <c r="N7323" s="3" t="s">
        <v>128</v>
      </c>
      <c r="O7323" s="3" t="s">
        <v>46</v>
      </c>
      <c r="P7323" s="5">
        <v>9</v>
      </c>
      <c r="Q7323" s="5">
        <v>73</v>
      </c>
      <c r="R7323" s="5">
        <v>9</v>
      </c>
      <c r="S7323" s="5">
        <v>77</v>
      </c>
    </row>
    <row r="7324" spans="1:19" ht="28" x14ac:dyDescent="0.15">
      <c r="A7324" s="2">
        <f>HYPERLINK("https://open-school.uspishnemisto.com.ua/school/440310/", 440310)</f>
        <v>440310</v>
      </c>
      <c r="B7324" s="3" t="s">
        <v>38186</v>
      </c>
      <c r="C7324" s="3" t="s">
        <v>31</v>
      </c>
      <c r="D7324" s="3" t="s">
        <v>32</v>
      </c>
      <c r="E7324" s="4" t="s">
        <v>22</v>
      </c>
      <c r="F7324" s="4" t="s">
        <v>38187</v>
      </c>
      <c r="G7324" s="4" t="s">
        <v>38188</v>
      </c>
      <c r="H7324" s="3" t="s">
        <v>36691</v>
      </c>
      <c r="I7324" s="3" t="s">
        <v>38189</v>
      </c>
      <c r="J7324" s="3" t="s">
        <v>7277</v>
      </c>
      <c r="K7324" s="3" t="s">
        <v>38190</v>
      </c>
      <c r="L7324" s="3"/>
      <c r="M7324" s="4"/>
      <c r="N7324" s="3" t="s">
        <v>128</v>
      </c>
      <c r="O7324" s="3" t="s">
        <v>52</v>
      </c>
      <c r="P7324" s="5">
        <v>6</v>
      </c>
      <c r="Q7324" s="5">
        <v>45</v>
      </c>
      <c r="R7324" s="5">
        <v>5</v>
      </c>
      <c r="S7324" s="5">
        <v>40</v>
      </c>
    </row>
    <row r="7325" spans="1:19" ht="28" x14ac:dyDescent="0.15">
      <c r="A7325" s="2">
        <f>HYPERLINK("https://open-school.uspishnemisto.com.ua/school/460001/", 460001)</f>
        <v>460001</v>
      </c>
      <c r="B7325" s="3" t="s">
        <v>38191</v>
      </c>
      <c r="C7325" s="3" t="s">
        <v>20</v>
      </c>
      <c r="D7325" s="3" t="s">
        <v>21</v>
      </c>
      <c r="E7325" s="4" t="s">
        <v>22</v>
      </c>
      <c r="F7325" s="4" t="s">
        <v>38192</v>
      </c>
      <c r="G7325" s="4" t="s">
        <v>38193</v>
      </c>
      <c r="H7325" s="3" t="s">
        <v>38194</v>
      </c>
      <c r="I7325" s="3" t="s">
        <v>38195</v>
      </c>
      <c r="J7325" s="3" t="s">
        <v>22921</v>
      </c>
      <c r="K7325" s="3" t="s">
        <v>38196</v>
      </c>
      <c r="L7325" s="3"/>
      <c r="M7325" s="4"/>
      <c r="N7325" s="3"/>
      <c r="O7325" s="3"/>
      <c r="P7325" s="5">
        <v>0</v>
      </c>
      <c r="Q7325" s="5">
        <v>0</v>
      </c>
      <c r="R7325" s="5"/>
      <c r="S7325" s="5"/>
    </row>
    <row r="7326" spans="1:19" ht="70" x14ac:dyDescent="0.15">
      <c r="A7326" s="2">
        <f>HYPERLINK("https://open-school.uspishnemisto.com.ua/school/460002/", 460002)</f>
        <v>460002</v>
      </c>
      <c r="B7326" s="3" t="s">
        <v>38197</v>
      </c>
      <c r="C7326" s="3" t="s">
        <v>244</v>
      </c>
      <c r="D7326" s="3" t="s">
        <v>32</v>
      </c>
      <c r="E7326" s="4" t="s">
        <v>41</v>
      </c>
      <c r="F7326" s="4" t="s">
        <v>38198</v>
      </c>
      <c r="G7326" s="4" t="s">
        <v>38193</v>
      </c>
      <c r="H7326" s="3" t="s">
        <v>38194</v>
      </c>
      <c r="I7326" s="3" t="s">
        <v>38195</v>
      </c>
      <c r="J7326" s="3" t="s">
        <v>38199</v>
      </c>
      <c r="K7326" s="3"/>
      <c r="L7326" s="3"/>
      <c r="M7326" s="4"/>
      <c r="N7326" s="3" t="s">
        <v>37</v>
      </c>
      <c r="O7326" s="3" t="s">
        <v>52</v>
      </c>
      <c r="P7326" s="5">
        <v>16</v>
      </c>
      <c r="Q7326" s="5">
        <v>250</v>
      </c>
      <c r="R7326" s="5"/>
      <c r="S7326" s="5"/>
    </row>
    <row r="7327" spans="1:19" ht="42" x14ac:dyDescent="0.15">
      <c r="A7327" s="2">
        <f>HYPERLINK("https://open-school.uspishnemisto.com.ua/school/460003/", 460003)</f>
        <v>460003</v>
      </c>
      <c r="B7327" s="3" t="s">
        <v>38200</v>
      </c>
      <c r="C7327" s="3" t="s">
        <v>181</v>
      </c>
      <c r="D7327" s="3" t="s">
        <v>32</v>
      </c>
      <c r="E7327" s="4" t="s">
        <v>22</v>
      </c>
      <c r="F7327" s="4" t="s">
        <v>38201</v>
      </c>
      <c r="G7327" s="4" t="s">
        <v>38193</v>
      </c>
      <c r="H7327" s="3" t="s">
        <v>38194</v>
      </c>
      <c r="I7327" s="3" t="s">
        <v>38195</v>
      </c>
      <c r="J7327" s="3" t="s">
        <v>38202</v>
      </c>
      <c r="K7327" s="3" t="s">
        <v>38203</v>
      </c>
      <c r="L7327" s="3" t="s">
        <v>38204</v>
      </c>
      <c r="M7327" s="4" t="s">
        <v>38205</v>
      </c>
      <c r="N7327" s="3" t="s">
        <v>37</v>
      </c>
      <c r="O7327" s="3" t="s">
        <v>618</v>
      </c>
      <c r="P7327" s="5">
        <v>10</v>
      </c>
      <c r="Q7327" s="5">
        <v>80</v>
      </c>
      <c r="R7327" s="5">
        <v>11</v>
      </c>
      <c r="S7327" s="5">
        <v>77</v>
      </c>
    </row>
    <row r="7328" spans="1:19" ht="28" x14ac:dyDescent="0.15">
      <c r="A7328" s="2">
        <f>HYPERLINK("https://open-school.uspishnemisto.com.ua/school/460004/", 460004)</f>
        <v>460004</v>
      </c>
      <c r="B7328" s="3" t="s">
        <v>38206</v>
      </c>
      <c r="C7328" s="3" t="s">
        <v>181</v>
      </c>
      <c r="D7328" s="3" t="s">
        <v>175</v>
      </c>
      <c r="E7328" s="4" t="s">
        <v>22</v>
      </c>
      <c r="F7328" s="4" t="s">
        <v>38207</v>
      </c>
      <c r="G7328" s="4" t="s">
        <v>38193</v>
      </c>
      <c r="H7328" s="3" t="s">
        <v>38194</v>
      </c>
      <c r="I7328" s="3" t="s">
        <v>38195</v>
      </c>
      <c r="J7328" s="3" t="s">
        <v>38208</v>
      </c>
      <c r="K7328" s="3" t="s">
        <v>38209</v>
      </c>
      <c r="L7328" s="3"/>
      <c r="M7328" s="4" t="s">
        <v>38210</v>
      </c>
      <c r="N7328" s="3" t="s">
        <v>37</v>
      </c>
      <c r="O7328" s="3"/>
      <c r="P7328" s="5">
        <v>12</v>
      </c>
      <c r="Q7328" s="5">
        <v>120</v>
      </c>
      <c r="R7328" s="5">
        <v>12</v>
      </c>
      <c r="S7328" s="5">
        <v>138</v>
      </c>
    </row>
    <row r="7329" spans="1:19" ht="28" x14ac:dyDescent="0.15">
      <c r="A7329" s="2">
        <f>HYPERLINK("https://open-school.uspishnemisto.com.ua/school/460005/", 460005)</f>
        <v>460005</v>
      </c>
      <c r="B7329" s="3" t="s">
        <v>38211</v>
      </c>
      <c r="C7329" s="3" t="s">
        <v>181</v>
      </c>
      <c r="D7329" s="3" t="s">
        <v>175</v>
      </c>
      <c r="E7329" s="4" t="s">
        <v>22</v>
      </c>
      <c r="F7329" s="4" t="s">
        <v>38212</v>
      </c>
      <c r="G7329" s="4" t="s">
        <v>38193</v>
      </c>
      <c r="H7329" s="3" t="s">
        <v>38194</v>
      </c>
      <c r="I7329" s="3" t="s">
        <v>38195</v>
      </c>
      <c r="J7329" s="3" t="s">
        <v>38213</v>
      </c>
      <c r="K7329" s="3" t="s">
        <v>38214</v>
      </c>
      <c r="L7329" s="3"/>
      <c r="M7329" s="4" t="s">
        <v>38215</v>
      </c>
      <c r="N7329" s="3" t="s">
        <v>37</v>
      </c>
      <c r="O7329" s="3" t="s">
        <v>52</v>
      </c>
      <c r="P7329" s="5">
        <v>21</v>
      </c>
      <c r="Q7329" s="5">
        <v>222</v>
      </c>
      <c r="R7329" s="5">
        <v>21</v>
      </c>
      <c r="S7329" s="5">
        <v>229</v>
      </c>
    </row>
    <row r="7330" spans="1:19" ht="28" x14ac:dyDescent="0.15">
      <c r="A7330" s="2">
        <f>HYPERLINK("https://open-school.uspishnemisto.com.ua/school/460006/", 460006)</f>
        <v>460006</v>
      </c>
      <c r="B7330" s="3" t="s">
        <v>38216</v>
      </c>
      <c r="C7330" s="3" t="s">
        <v>54</v>
      </c>
      <c r="D7330" s="3" t="s">
        <v>32</v>
      </c>
      <c r="E7330" s="4" t="s">
        <v>22</v>
      </c>
      <c r="F7330" s="4" t="s">
        <v>38217</v>
      </c>
      <c r="G7330" s="4" t="s">
        <v>38193</v>
      </c>
      <c r="H7330" s="3" t="s">
        <v>38194</v>
      </c>
      <c r="I7330" s="3" t="s">
        <v>38195</v>
      </c>
      <c r="J7330" s="3" t="s">
        <v>38218</v>
      </c>
      <c r="K7330" s="3" t="s">
        <v>38219</v>
      </c>
      <c r="L7330" s="3"/>
      <c r="M7330" s="4"/>
      <c r="N7330" s="3" t="s">
        <v>37</v>
      </c>
      <c r="O7330" s="3" t="s">
        <v>46</v>
      </c>
      <c r="P7330" s="5">
        <v>20</v>
      </c>
      <c r="Q7330" s="5">
        <v>512</v>
      </c>
      <c r="R7330" s="5">
        <v>20</v>
      </c>
      <c r="S7330" s="5">
        <v>518</v>
      </c>
    </row>
    <row r="7331" spans="1:19" ht="28" x14ac:dyDescent="0.15">
      <c r="A7331" s="2">
        <f>HYPERLINK("https://open-school.uspishnemisto.com.ua/school/460007/", 460007)</f>
        <v>460007</v>
      </c>
      <c r="B7331" s="3" t="s">
        <v>38220</v>
      </c>
      <c r="C7331" s="3" t="s">
        <v>31</v>
      </c>
      <c r="D7331" s="3" t="s">
        <v>60</v>
      </c>
      <c r="E7331" s="4" t="s">
        <v>22</v>
      </c>
      <c r="F7331" s="4" t="s">
        <v>38221</v>
      </c>
      <c r="G7331" s="4" t="s">
        <v>38193</v>
      </c>
      <c r="H7331" s="3" t="s">
        <v>38194</v>
      </c>
      <c r="I7331" s="3" t="s">
        <v>38195</v>
      </c>
      <c r="J7331" s="3" t="s">
        <v>38222</v>
      </c>
      <c r="K7331" s="3" t="s">
        <v>38223</v>
      </c>
      <c r="L7331" s="3"/>
      <c r="M7331" s="4" t="s">
        <v>38224</v>
      </c>
      <c r="N7331" s="3" t="s">
        <v>37</v>
      </c>
      <c r="O7331" s="3" t="s">
        <v>52</v>
      </c>
      <c r="P7331" s="5">
        <v>16</v>
      </c>
      <c r="Q7331" s="5">
        <v>508</v>
      </c>
      <c r="R7331" s="5">
        <v>16</v>
      </c>
      <c r="S7331" s="5">
        <v>501</v>
      </c>
    </row>
    <row r="7332" spans="1:19" ht="28" x14ac:dyDescent="0.15">
      <c r="A7332" s="2">
        <f>HYPERLINK("https://open-school.uspishnemisto.com.ua/school/460008/", 460008)</f>
        <v>460008</v>
      </c>
      <c r="B7332" s="3" t="s">
        <v>38225</v>
      </c>
      <c r="C7332" s="3" t="s">
        <v>31</v>
      </c>
      <c r="D7332" s="3" t="s">
        <v>32</v>
      </c>
      <c r="E7332" s="4" t="s">
        <v>22</v>
      </c>
      <c r="F7332" s="4" t="s">
        <v>38226</v>
      </c>
      <c r="G7332" s="4" t="s">
        <v>38193</v>
      </c>
      <c r="H7332" s="3" t="s">
        <v>38194</v>
      </c>
      <c r="I7332" s="3" t="s">
        <v>38195</v>
      </c>
      <c r="J7332" s="3" t="s">
        <v>38227</v>
      </c>
      <c r="K7332" s="3" t="s">
        <v>38228</v>
      </c>
      <c r="L7332" s="3"/>
      <c r="M7332" s="4" t="s">
        <v>38229</v>
      </c>
      <c r="N7332" s="3" t="s">
        <v>38230</v>
      </c>
      <c r="O7332" s="3" t="s">
        <v>52</v>
      </c>
      <c r="P7332" s="5">
        <v>11</v>
      </c>
      <c r="Q7332" s="5">
        <v>285</v>
      </c>
      <c r="R7332" s="5">
        <v>11</v>
      </c>
      <c r="S7332" s="5">
        <v>290</v>
      </c>
    </row>
    <row r="7333" spans="1:19" ht="28" x14ac:dyDescent="0.15">
      <c r="A7333" s="2">
        <f>HYPERLINK("https://open-school.uspishnemisto.com.ua/school/460009/", 460009)</f>
        <v>460009</v>
      </c>
      <c r="B7333" s="3" t="s">
        <v>38231</v>
      </c>
      <c r="C7333" s="3" t="s">
        <v>31</v>
      </c>
      <c r="D7333" s="3" t="s">
        <v>32</v>
      </c>
      <c r="E7333" s="4" t="s">
        <v>22</v>
      </c>
      <c r="F7333" s="4" t="s">
        <v>38232</v>
      </c>
      <c r="G7333" s="4" t="s">
        <v>38193</v>
      </c>
      <c r="H7333" s="3" t="s">
        <v>38194</v>
      </c>
      <c r="I7333" s="3" t="s">
        <v>38195</v>
      </c>
      <c r="J7333" s="3" t="s">
        <v>38233</v>
      </c>
      <c r="K7333" s="3" t="s">
        <v>38234</v>
      </c>
      <c r="L7333" s="3"/>
      <c r="M7333" s="4"/>
      <c r="N7333" s="3" t="s">
        <v>37</v>
      </c>
      <c r="O7333" s="3" t="s">
        <v>52</v>
      </c>
      <c r="P7333" s="5">
        <v>25</v>
      </c>
      <c r="Q7333" s="5">
        <v>742</v>
      </c>
      <c r="R7333" s="5">
        <v>25</v>
      </c>
      <c r="S7333" s="5">
        <v>727</v>
      </c>
    </row>
    <row r="7334" spans="1:19" ht="42" x14ac:dyDescent="0.15">
      <c r="A7334" s="2">
        <f>HYPERLINK("https://open-school.uspishnemisto.com.ua/school/460010/", 460010)</f>
        <v>460010</v>
      </c>
      <c r="B7334" s="3" t="s">
        <v>38235</v>
      </c>
      <c r="C7334" s="3" t="s">
        <v>31</v>
      </c>
      <c r="D7334" s="3" t="s">
        <v>32</v>
      </c>
      <c r="E7334" s="4" t="s">
        <v>22</v>
      </c>
      <c r="F7334" s="4" t="s">
        <v>38236</v>
      </c>
      <c r="G7334" s="4" t="s">
        <v>38193</v>
      </c>
      <c r="H7334" s="3" t="s">
        <v>38194</v>
      </c>
      <c r="I7334" s="3" t="s">
        <v>38195</v>
      </c>
      <c r="J7334" s="3" t="s">
        <v>38237</v>
      </c>
      <c r="K7334" s="3" t="s">
        <v>38238</v>
      </c>
      <c r="L7334" s="3" t="s">
        <v>38239</v>
      </c>
      <c r="M7334" s="4"/>
      <c r="N7334" s="3" t="s">
        <v>37</v>
      </c>
      <c r="O7334" s="3" t="s">
        <v>46</v>
      </c>
      <c r="P7334" s="5">
        <v>34</v>
      </c>
      <c r="Q7334" s="5">
        <v>921</v>
      </c>
      <c r="R7334" s="5">
        <v>34</v>
      </c>
      <c r="S7334" s="5">
        <v>920</v>
      </c>
    </row>
    <row r="7335" spans="1:19" ht="28" x14ac:dyDescent="0.15">
      <c r="A7335" s="2">
        <f>HYPERLINK("https://open-school.uspishnemisto.com.ua/school/460011/", 460011)</f>
        <v>460011</v>
      </c>
      <c r="B7335" s="3" t="s">
        <v>38240</v>
      </c>
      <c r="C7335" s="3" t="s">
        <v>31</v>
      </c>
      <c r="D7335" s="3" t="s">
        <v>32</v>
      </c>
      <c r="E7335" s="4" t="s">
        <v>22</v>
      </c>
      <c r="F7335" s="4" t="s">
        <v>38241</v>
      </c>
      <c r="G7335" s="4" t="s">
        <v>38193</v>
      </c>
      <c r="H7335" s="3" t="s">
        <v>38194</v>
      </c>
      <c r="I7335" s="3" t="s">
        <v>38195</v>
      </c>
      <c r="J7335" s="3" t="s">
        <v>38242</v>
      </c>
      <c r="K7335" s="3" t="s">
        <v>38243</v>
      </c>
      <c r="L7335" s="3"/>
      <c r="M7335" s="4" t="s">
        <v>38244</v>
      </c>
      <c r="N7335" s="3" t="s">
        <v>37</v>
      </c>
      <c r="O7335" s="3" t="s">
        <v>46</v>
      </c>
      <c r="P7335" s="5">
        <v>31</v>
      </c>
      <c r="Q7335" s="5">
        <v>861</v>
      </c>
      <c r="R7335" s="5">
        <v>31</v>
      </c>
      <c r="S7335" s="5">
        <v>833</v>
      </c>
    </row>
    <row r="7336" spans="1:19" ht="28" x14ac:dyDescent="0.15">
      <c r="A7336" s="2">
        <f>HYPERLINK("https://open-school.uspishnemisto.com.ua/school/460012/", 460012)</f>
        <v>460012</v>
      </c>
      <c r="B7336" s="3" t="s">
        <v>38245</v>
      </c>
      <c r="C7336" s="3" t="s">
        <v>31</v>
      </c>
      <c r="D7336" s="3" t="s">
        <v>32</v>
      </c>
      <c r="E7336" s="4" t="s">
        <v>22</v>
      </c>
      <c r="F7336" s="4" t="s">
        <v>38246</v>
      </c>
      <c r="G7336" s="4" t="s">
        <v>38193</v>
      </c>
      <c r="H7336" s="3" t="s">
        <v>38194</v>
      </c>
      <c r="I7336" s="3" t="s">
        <v>38195</v>
      </c>
      <c r="J7336" s="3" t="s">
        <v>38247</v>
      </c>
      <c r="K7336" s="3" t="s">
        <v>38248</v>
      </c>
      <c r="L7336" s="3"/>
      <c r="M7336" s="4" t="s">
        <v>38249</v>
      </c>
      <c r="N7336" s="3" t="s">
        <v>37</v>
      </c>
      <c r="O7336" s="3" t="s">
        <v>1081</v>
      </c>
      <c r="P7336" s="5">
        <v>35</v>
      </c>
      <c r="Q7336" s="5">
        <v>973</v>
      </c>
      <c r="R7336" s="5">
        <v>34</v>
      </c>
      <c r="S7336" s="5">
        <v>936</v>
      </c>
    </row>
    <row r="7337" spans="1:19" ht="28" x14ac:dyDescent="0.15">
      <c r="A7337" s="2">
        <f>HYPERLINK("https://open-school.uspishnemisto.com.ua/school/460013/", 460013)</f>
        <v>460013</v>
      </c>
      <c r="B7337" s="3" t="s">
        <v>38250</v>
      </c>
      <c r="C7337" s="3" t="s">
        <v>40</v>
      </c>
      <c r="D7337" s="3" t="s">
        <v>32</v>
      </c>
      <c r="E7337" s="4" t="s">
        <v>22</v>
      </c>
      <c r="F7337" s="4" t="s">
        <v>38251</v>
      </c>
      <c r="G7337" s="4" t="s">
        <v>38193</v>
      </c>
      <c r="H7337" s="3" t="s">
        <v>38194</v>
      </c>
      <c r="I7337" s="3" t="s">
        <v>38195</v>
      </c>
      <c r="J7337" s="3" t="s">
        <v>38252</v>
      </c>
      <c r="K7337" s="3"/>
      <c r="L7337" s="3"/>
      <c r="M7337" s="4" t="s">
        <v>38253</v>
      </c>
      <c r="N7337" s="3" t="s">
        <v>37</v>
      </c>
      <c r="O7337" s="3" t="s">
        <v>46</v>
      </c>
      <c r="P7337" s="5">
        <v>19</v>
      </c>
      <c r="Q7337" s="5">
        <v>534</v>
      </c>
      <c r="R7337" s="5">
        <v>18</v>
      </c>
      <c r="S7337" s="5">
        <v>511</v>
      </c>
    </row>
    <row r="7338" spans="1:19" ht="28" x14ac:dyDescent="0.15">
      <c r="A7338" s="2">
        <f>HYPERLINK("https://open-school.uspishnemisto.com.ua/school/460014/", 460014)</f>
        <v>460014</v>
      </c>
      <c r="B7338" s="3" t="s">
        <v>38254</v>
      </c>
      <c r="C7338" s="3" t="s">
        <v>31</v>
      </c>
      <c r="D7338" s="3" t="s">
        <v>32</v>
      </c>
      <c r="E7338" s="4" t="s">
        <v>22</v>
      </c>
      <c r="F7338" s="4" t="s">
        <v>38255</v>
      </c>
      <c r="G7338" s="4" t="s">
        <v>38193</v>
      </c>
      <c r="H7338" s="3" t="s">
        <v>38194</v>
      </c>
      <c r="I7338" s="3" t="s">
        <v>38195</v>
      </c>
      <c r="J7338" s="3" t="s">
        <v>38256</v>
      </c>
      <c r="K7338" s="3" t="s">
        <v>38257</v>
      </c>
      <c r="L7338" s="3"/>
      <c r="M7338" s="4"/>
      <c r="N7338" s="3" t="s">
        <v>37</v>
      </c>
      <c r="O7338" s="3" t="s">
        <v>139</v>
      </c>
      <c r="P7338" s="5">
        <v>20</v>
      </c>
      <c r="Q7338" s="5">
        <v>514</v>
      </c>
      <c r="R7338" s="5">
        <v>19</v>
      </c>
      <c r="S7338" s="5">
        <v>470</v>
      </c>
    </row>
    <row r="7339" spans="1:19" ht="56" x14ac:dyDescent="0.15">
      <c r="A7339" s="2">
        <f>HYPERLINK("https://open-school.uspishnemisto.com.ua/school/460015/", 460015)</f>
        <v>460015</v>
      </c>
      <c r="B7339" s="3" t="s">
        <v>38258</v>
      </c>
      <c r="C7339" s="3" t="s">
        <v>31</v>
      </c>
      <c r="D7339" s="3" t="s">
        <v>32</v>
      </c>
      <c r="E7339" s="4" t="s">
        <v>22</v>
      </c>
      <c r="F7339" s="4" t="s">
        <v>38255</v>
      </c>
      <c r="G7339" s="4" t="s">
        <v>38193</v>
      </c>
      <c r="H7339" s="3" t="s">
        <v>38194</v>
      </c>
      <c r="I7339" s="3" t="s">
        <v>38195</v>
      </c>
      <c r="J7339" s="3" t="s">
        <v>38259</v>
      </c>
      <c r="K7339" s="3" t="s">
        <v>38260</v>
      </c>
      <c r="L7339" s="3"/>
      <c r="M7339" s="4"/>
      <c r="N7339" s="3" t="s">
        <v>37</v>
      </c>
      <c r="O7339" s="3" t="s">
        <v>237</v>
      </c>
      <c r="P7339" s="5">
        <v>11</v>
      </c>
      <c r="Q7339" s="5">
        <v>249</v>
      </c>
      <c r="R7339" s="5">
        <v>11</v>
      </c>
      <c r="S7339" s="5">
        <v>242</v>
      </c>
    </row>
    <row r="7340" spans="1:19" ht="28" x14ac:dyDescent="0.15">
      <c r="A7340" s="2">
        <f>HYPERLINK("https://open-school.uspishnemisto.com.ua/school/460016/", 460016)</f>
        <v>460016</v>
      </c>
      <c r="B7340" s="3" t="s">
        <v>38261</v>
      </c>
      <c r="C7340" s="3" t="s">
        <v>244</v>
      </c>
      <c r="D7340" s="3" t="s">
        <v>60</v>
      </c>
      <c r="E7340" s="4" t="s">
        <v>22</v>
      </c>
      <c r="F7340" s="4" t="s">
        <v>38255</v>
      </c>
      <c r="G7340" s="4" t="s">
        <v>38193</v>
      </c>
      <c r="H7340" s="3" t="s">
        <v>38194</v>
      </c>
      <c r="I7340" s="3" t="s">
        <v>38195</v>
      </c>
      <c r="J7340" s="3" t="s">
        <v>38262</v>
      </c>
      <c r="K7340" s="3" t="s">
        <v>38263</v>
      </c>
      <c r="L7340" s="3" t="s">
        <v>38264</v>
      </c>
      <c r="M7340" s="4" t="s">
        <v>38265</v>
      </c>
      <c r="N7340" s="3" t="s">
        <v>37</v>
      </c>
      <c r="O7340" s="3" t="s">
        <v>52</v>
      </c>
      <c r="P7340" s="5">
        <v>17</v>
      </c>
      <c r="Q7340" s="5">
        <v>547</v>
      </c>
      <c r="R7340" s="5">
        <v>17</v>
      </c>
      <c r="S7340" s="5">
        <v>539</v>
      </c>
    </row>
    <row r="7341" spans="1:19" ht="28" x14ac:dyDescent="0.15">
      <c r="A7341" s="2">
        <f>HYPERLINK("https://open-school.uspishnemisto.com.ua/school/460017/", 460017)</f>
        <v>460017</v>
      </c>
      <c r="B7341" s="3" t="s">
        <v>38266</v>
      </c>
      <c r="C7341" s="3" t="s">
        <v>244</v>
      </c>
      <c r="D7341" s="3" t="s">
        <v>60</v>
      </c>
      <c r="E7341" s="4" t="s">
        <v>22</v>
      </c>
      <c r="F7341" s="4" t="s">
        <v>38201</v>
      </c>
      <c r="G7341" s="4" t="s">
        <v>38193</v>
      </c>
      <c r="H7341" s="3" t="s">
        <v>38194</v>
      </c>
      <c r="I7341" s="3" t="s">
        <v>38195</v>
      </c>
      <c r="J7341" s="3" t="s">
        <v>38267</v>
      </c>
      <c r="K7341" s="3"/>
      <c r="L7341" s="3"/>
      <c r="M7341" s="4" t="s">
        <v>38268</v>
      </c>
      <c r="N7341" s="3" t="s">
        <v>37</v>
      </c>
      <c r="O7341" s="3" t="s">
        <v>52</v>
      </c>
      <c r="P7341" s="5">
        <v>10</v>
      </c>
      <c r="Q7341" s="5">
        <v>307</v>
      </c>
      <c r="R7341" s="5">
        <v>10</v>
      </c>
      <c r="S7341" s="5">
        <v>303</v>
      </c>
    </row>
    <row r="7342" spans="1:19" ht="42" x14ac:dyDescent="0.15">
      <c r="A7342" s="2">
        <f>HYPERLINK("https://open-school.uspishnemisto.com.ua/school/460018/", 460018)</f>
        <v>460018</v>
      </c>
      <c r="B7342" s="3" t="s">
        <v>38269</v>
      </c>
      <c r="C7342" s="3" t="s">
        <v>244</v>
      </c>
      <c r="D7342" s="3" t="s">
        <v>32</v>
      </c>
      <c r="E7342" s="4" t="s">
        <v>22</v>
      </c>
      <c r="F7342" s="4" t="s">
        <v>38270</v>
      </c>
      <c r="G7342" s="4" t="s">
        <v>38193</v>
      </c>
      <c r="H7342" s="3" t="s">
        <v>38194</v>
      </c>
      <c r="I7342" s="3" t="s">
        <v>38195</v>
      </c>
      <c r="J7342" s="3" t="s">
        <v>38271</v>
      </c>
      <c r="K7342" s="3"/>
      <c r="L7342" s="3"/>
      <c r="M7342" s="4"/>
      <c r="N7342" s="3" t="s">
        <v>37</v>
      </c>
      <c r="O7342" s="3" t="s">
        <v>2740</v>
      </c>
      <c r="P7342" s="5">
        <v>31</v>
      </c>
      <c r="Q7342" s="5">
        <v>814</v>
      </c>
      <c r="R7342" s="5">
        <v>30</v>
      </c>
      <c r="S7342" s="5">
        <v>783</v>
      </c>
    </row>
    <row r="7343" spans="1:19" ht="28" x14ac:dyDescent="0.15">
      <c r="A7343" s="2">
        <f>HYPERLINK("https://open-school.uspishnemisto.com.ua/school/460019/", 460019)</f>
        <v>460019</v>
      </c>
      <c r="B7343" s="3" t="s">
        <v>38272</v>
      </c>
      <c r="C7343" s="3" t="s">
        <v>54</v>
      </c>
      <c r="D7343" s="3" t="s">
        <v>60</v>
      </c>
      <c r="E7343" s="4" t="s">
        <v>22</v>
      </c>
      <c r="F7343" s="4" t="s">
        <v>38273</v>
      </c>
      <c r="G7343" s="4" t="s">
        <v>38193</v>
      </c>
      <c r="H7343" s="3" t="s">
        <v>38194</v>
      </c>
      <c r="I7343" s="3" t="s">
        <v>38195</v>
      </c>
      <c r="J7343" s="3" t="s">
        <v>38274</v>
      </c>
      <c r="K7343" s="3" t="s">
        <v>38275</v>
      </c>
      <c r="L7343" s="3"/>
      <c r="M7343" s="4"/>
      <c r="N7343" s="3" t="s">
        <v>37</v>
      </c>
      <c r="O7343" s="3" t="s">
        <v>52</v>
      </c>
      <c r="P7343" s="5">
        <v>4</v>
      </c>
      <c r="Q7343" s="5">
        <v>128</v>
      </c>
      <c r="R7343" s="5">
        <v>4</v>
      </c>
      <c r="S7343" s="5">
        <v>126</v>
      </c>
    </row>
    <row r="7344" spans="1:19" ht="42" x14ac:dyDescent="0.15">
      <c r="A7344" s="2">
        <f>HYPERLINK("https://open-school.uspishnemisto.com.ua/school/460020/", 460020)</f>
        <v>460020</v>
      </c>
      <c r="B7344" s="3" t="s">
        <v>38276</v>
      </c>
      <c r="C7344" s="3" t="s">
        <v>54</v>
      </c>
      <c r="D7344" s="3" t="s">
        <v>32</v>
      </c>
      <c r="E7344" s="4" t="s">
        <v>22</v>
      </c>
      <c r="F7344" s="4" t="s">
        <v>38277</v>
      </c>
      <c r="G7344" s="4" t="s">
        <v>38193</v>
      </c>
      <c r="H7344" s="3" t="s">
        <v>38194</v>
      </c>
      <c r="I7344" s="3" t="s">
        <v>38195</v>
      </c>
      <c r="J7344" s="3" t="s">
        <v>38278</v>
      </c>
      <c r="K7344" s="3" t="s">
        <v>38279</v>
      </c>
      <c r="L7344" s="3"/>
      <c r="M7344" s="4" t="s">
        <v>38280</v>
      </c>
      <c r="N7344" s="3" t="s">
        <v>37</v>
      </c>
      <c r="O7344" s="3" t="s">
        <v>123</v>
      </c>
      <c r="P7344" s="5">
        <v>31</v>
      </c>
      <c r="Q7344" s="5">
        <v>834</v>
      </c>
      <c r="R7344" s="5">
        <v>29</v>
      </c>
      <c r="S7344" s="5">
        <v>791</v>
      </c>
    </row>
    <row r="7345" spans="1:19" ht="28" x14ac:dyDescent="0.15">
      <c r="A7345" s="2">
        <f>HYPERLINK("https://open-school.uspishnemisto.com.ua/school/460021/", 460021)</f>
        <v>460021</v>
      </c>
      <c r="B7345" s="3" t="s">
        <v>38281</v>
      </c>
      <c r="C7345" s="3" t="s">
        <v>54</v>
      </c>
      <c r="D7345" s="3" t="s">
        <v>60</v>
      </c>
      <c r="E7345" s="4" t="s">
        <v>22</v>
      </c>
      <c r="F7345" s="4" t="s">
        <v>38282</v>
      </c>
      <c r="G7345" s="4" t="s">
        <v>38193</v>
      </c>
      <c r="H7345" s="3" t="s">
        <v>38194</v>
      </c>
      <c r="I7345" s="3" t="s">
        <v>38195</v>
      </c>
      <c r="J7345" s="3" t="s">
        <v>38283</v>
      </c>
      <c r="K7345" s="3" t="s">
        <v>38284</v>
      </c>
      <c r="L7345" s="3"/>
      <c r="M7345" s="4"/>
      <c r="N7345" s="3" t="s">
        <v>37</v>
      </c>
      <c r="O7345" s="3" t="s">
        <v>52</v>
      </c>
      <c r="P7345" s="5">
        <v>4</v>
      </c>
      <c r="Q7345" s="5">
        <v>118</v>
      </c>
      <c r="R7345" s="5">
        <v>4</v>
      </c>
      <c r="S7345" s="5">
        <v>110</v>
      </c>
    </row>
    <row r="7346" spans="1:19" ht="56" x14ac:dyDescent="0.15">
      <c r="A7346" s="2">
        <f>HYPERLINK("https://open-school.uspishnemisto.com.ua/school/460023/", 460023)</f>
        <v>460023</v>
      </c>
      <c r="B7346" s="3" t="s">
        <v>38285</v>
      </c>
      <c r="C7346" s="3" t="s">
        <v>54</v>
      </c>
      <c r="D7346" s="3" t="s">
        <v>60</v>
      </c>
      <c r="E7346" s="4" t="s">
        <v>41</v>
      </c>
      <c r="F7346" s="4" t="s">
        <v>38286</v>
      </c>
      <c r="G7346" s="4" t="s">
        <v>38193</v>
      </c>
      <c r="H7346" s="3" t="s">
        <v>38194</v>
      </c>
      <c r="I7346" s="3" t="s">
        <v>38195</v>
      </c>
      <c r="J7346" s="3" t="s">
        <v>38287</v>
      </c>
      <c r="K7346" s="3" t="s">
        <v>38288</v>
      </c>
      <c r="L7346" s="3"/>
      <c r="M7346" s="4"/>
      <c r="N7346" s="3" t="s">
        <v>37</v>
      </c>
      <c r="O7346" s="3" t="s">
        <v>52</v>
      </c>
      <c r="P7346" s="5">
        <v>7</v>
      </c>
      <c r="Q7346" s="5">
        <v>123</v>
      </c>
      <c r="R7346" s="5">
        <v>6</v>
      </c>
      <c r="S7346" s="5">
        <v>107</v>
      </c>
    </row>
    <row r="7347" spans="1:19" ht="28" x14ac:dyDescent="0.15">
      <c r="A7347" s="2">
        <f>HYPERLINK("https://open-school.uspishnemisto.com.ua/school/460024/", 460024)</f>
        <v>460024</v>
      </c>
      <c r="B7347" s="3" t="s">
        <v>38289</v>
      </c>
      <c r="C7347" s="3" t="s">
        <v>54</v>
      </c>
      <c r="D7347" s="3" t="s">
        <v>32</v>
      </c>
      <c r="E7347" s="4" t="s">
        <v>22</v>
      </c>
      <c r="F7347" s="4" t="s">
        <v>38255</v>
      </c>
      <c r="G7347" s="4" t="s">
        <v>38193</v>
      </c>
      <c r="H7347" s="3" t="s">
        <v>38194</v>
      </c>
      <c r="I7347" s="3" t="s">
        <v>38195</v>
      </c>
      <c r="J7347" s="3" t="s">
        <v>38290</v>
      </c>
      <c r="K7347" s="3" t="s">
        <v>38291</v>
      </c>
      <c r="L7347" s="3"/>
      <c r="M7347" s="4" t="s">
        <v>38292</v>
      </c>
      <c r="N7347" s="3" t="s">
        <v>37</v>
      </c>
      <c r="O7347" s="3" t="s">
        <v>46</v>
      </c>
      <c r="P7347" s="5">
        <v>14</v>
      </c>
      <c r="Q7347" s="5">
        <v>304</v>
      </c>
      <c r="R7347" s="5">
        <v>12</v>
      </c>
      <c r="S7347" s="5">
        <v>265</v>
      </c>
    </row>
    <row r="7348" spans="1:19" ht="28" x14ac:dyDescent="0.15">
      <c r="A7348" s="2">
        <f>HYPERLINK("https://open-school.uspishnemisto.com.ua/school/460025/", 460025)</f>
        <v>460025</v>
      </c>
      <c r="B7348" s="3" t="s">
        <v>38293</v>
      </c>
      <c r="C7348" s="3" t="s">
        <v>40</v>
      </c>
      <c r="D7348" s="3" t="s">
        <v>32</v>
      </c>
      <c r="E7348" s="4" t="s">
        <v>22</v>
      </c>
      <c r="F7348" s="4" t="s">
        <v>38294</v>
      </c>
      <c r="G7348" s="4" t="s">
        <v>38193</v>
      </c>
      <c r="H7348" s="3" t="s">
        <v>38194</v>
      </c>
      <c r="I7348" s="3" t="s">
        <v>38195</v>
      </c>
      <c r="J7348" s="3" t="s">
        <v>38295</v>
      </c>
      <c r="K7348" s="3" t="s">
        <v>38296</v>
      </c>
      <c r="L7348" s="3"/>
      <c r="M7348" s="4" t="s">
        <v>38297</v>
      </c>
      <c r="N7348" s="3" t="s">
        <v>37</v>
      </c>
      <c r="O7348" s="3" t="s">
        <v>46</v>
      </c>
      <c r="P7348" s="5">
        <v>10</v>
      </c>
      <c r="Q7348" s="5">
        <v>229</v>
      </c>
      <c r="R7348" s="5">
        <v>9</v>
      </c>
      <c r="S7348" s="5">
        <v>196</v>
      </c>
    </row>
    <row r="7349" spans="1:19" ht="28" x14ac:dyDescent="0.15">
      <c r="A7349" s="2">
        <f>HYPERLINK("https://open-school.uspishnemisto.com.ua/school/460026/", 460026)</f>
        <v>460026</v>
      </c>
      <c r="B7349" s="3" t="s">
        <v>38298</v>
      </c>
      <c r="C7349" s="3" t="s">
        <v>54</v>
      </c>
      <c r="D7349" s="3" t="s">
        <v>32</v>
      </c>
      <c r="E7349" s="4" t="s">
        <v>22</v>
      </c>
      <c r="F7349" s="4" t="s">
        <v>38299</v>
      </c>
      <c r="G7349" s="4" t="s">
        <v>38193</v>
      </c>
      <c r="H7349" s="3" t="s">
        <v>38194</v>
      </c>
      <c r="I7349" s="3" t="s">
        <v>38195</v>
      </c>
      <c r="J7349" s="3" t="s">
        <v>38300</v>
      </c>
      <c r="K7349" s="3" t="s">
        <v>38301</v>
      </c>
      <c r="L7349" s="3"/>
      <c r="M7349" s="4" t="s">
        <v>38302</v>
      </c>
      <c r="N7349" s="3" t="s">
        <v>37</v>
      </c>
      <c r="O7349" s="3" t="s">
        <v>139</v>
      </c>
      <c r="P7349" s="5">
        <v>9</v>
      </c>
      <c r="Q7349" s="5">
        <v>203</v>
      </c>
      <c r="R7349" s="5">
        <v>6</v>
      </c>
      <c r="S7349" s="5">
        <v>135</v>
      </c>
    </row>
    <row r="7350" spans="1:19" ht="28" x14ac:dyDescent="0.15">
      <c r="A7350" s="2">
        <f>HYPERLINK("https://open-school.uspishnemisto.com.ua/school/460027/", 460027)</f>
        <v>460027</v>
      </c>
      <c r="B7350" s="3" t="s">
        <v>38303</v>
      </c>
      <c r="C7350" s="3" t="s">
        <v>54</v>
      </c>
      <c r="D7350" s="3" t="s">
        <v>32</v>
      </c>
      <c r="E7350" s="4" t="s">
        <v>22</v>
      </c>
      <c r="F7350" s="4" t="s">
        <v>38198</v>
      </c>
      <c r="G7350" s="4" t="s">
        <v>38193</v>
      </c>
      <c r="H7350" s="3" t="s">
        <v>38194</v>
      </c>
      <c r="I7350" s="3" t="s">
        <v>38195</v>
      </c>
      <c r="J7350" s="3" t="s">
        <v>38304</v>
      </c>
      <c r="K7350" s="3" t="s">
        <v>38305</v>
      </c>
      <c r="L7350" s="3"/>
      <c r="M7350" s="4" t="s">
        <v>38306</v>
      </c>
      <c r="N7350" s="3" t="s">
        <v>37</v>
      </c>
      <c r="O7350" s="3" t="s">
        <v>8857</v>
      </c>
      <c r="P7350" s="5">
        <v>24</v>
      </c>
      <c r="Q7350" s="5">
        <v>638</v>
      </c>
      <c r="R7350" s="5">
        <v>24</v>
      </c>
      <c r="S7350" s="5">
        <v>642</v>
      </c>
    </row>
    <row r="7351" spans="1:19" ht="28" x14ac:dyDescent="0.15">
      <c r="A7351" s="2">
        <f>HYPERLINK("https://open-school.uspishnemisto.com.ua/school/460028/", 460028)</f>
        <v>460028</v>
      </c>
      <c r="B7351" s="3" t="s">
        <v>38307</v>
      </c>
      <c r="C7351" s="3" t="s">
        <v>54</v>
      </c>
      <c r="D7351" s="3" t="s">
        <v>32</v>
      </c>
      <c r="E7351" s="4" t="s">
        <v>22</v>
      </c>
      <c r="F7351" s="4" t="s">
        <v>38217</v>
      </c>
      <c r="G7351" s="4" t="s">
        <v>38193</v>
      </c>
      <c r="H7351" s="3" t="s">
        <v>38194</v>
      </c>
      <c r="I7351" s="3" t="s">
        <v>38195</v>
      </c>
      <c r="J7351" s="3" t="s">
        <v>38308</v>
      </c>
      <c r="K7351" s="3" t="s">
        <v>38309</v>
      </c>
      <c r="L7351" s="3"/>
      <c r="M7351" s="4" t="s">
        <v>38310</v>
      </c>
      <c r="N7351" s="3" t="s">
        <v>37</v>
      </c>
      <c r="O7351" s="3" t="s">
        <v>237</v>
      </c>
      <c r="P7351" s="5">
        <v>20</v>
      </c>
      <c r="Q7351" s="5">
        <v>489</v>
      </c>
      <c r="R7351" s="5">
        <v>19</v>
      </c>
      <c r="S7351" s="5">
        <v>423</v>
      </c>
    </row>
    <row r="7352" spans="1:19" ht="28" x14ac:dyDescent="0.15">
      <c r="A7352" s="2">
        <f>HYPERLINK("https://open-school.uspishnemisto.com.ua/school/460029/", 460029)</f>
        <v>460029</v>
      </c>
      <c r="B7352" s="3" t="s">
        <v>38311</v>
      </c>
      <c r="C7352" s="3" t="s">
        <v>31</v>
      </c>
      <c r="D7352" s="3" t="s">
        <v>32</v>
      </c>
      <c r="E7352" s="4" t="s">
        <v>41</v>
      </c>
      <c r="F7352" s="4" t="s">
        <v>38232</v>
      </c>
      <c r="G7352" s="4" t="s">
        <v>38193</v>
      </c>
      <c r="H7352" s="3" t="s">
        <v>38194</v>
      </c>
      <c r="I7352" s="3" t="s">
        <v>38195</v>
      </c>
      <c r="J7352" s="3" t="s">
        <v>38312</v>
      </c>
      <c r="K7352" s="3" t="s">
        <v>38313</v>
      </c>
      <c r="L7352" s="3"/>
      <c r="M7352" s="4"/>
      <c r="N7352" s="3" t="s">
        <v>37</v>
      </c>
      <c r="O7352" s="3" t="s">
        <v>52</v>
      </c>
      <c r="P7352" s="5">
        <v>9</v>
      </c>
      <c r="Q7352" s="5">
        <v>67</v>
      </c>
      <c r="R7352" s="5">
        <v>10</v>
      </c>
      <c r="S7352" s="5">
        <v>53</v>
      </c>
    </row>
    <row r="7353" spans="1:19" ht="28" x14ac:dyDescent="0.15">
      <c r="A7353" s="2">
        <f>HYPERLINK("https://open-school.uspishnemisto.com.ua/school/460030/", 460030)</f>
        <v>460030</v>
      </c>
      <c r="B7353" s="3" t="s">
        <v>38314</v>
      </c>
      <c r="C7353" s="3" t="s">
        <v>40</v>
      </c>
      <c r="D7353" s="3" t="s">
        <v>32</v>
      </c>
      <c r="E7353" s="4" t="s">
        <v>41</v>
      </c>
      <c r="F7353" s="4" t="s">
        <v>38255</v>
      </c>
      <c r="G7353" s="4" t="s">
        <v>38193</v>
      </c>
      <c r="H7353" s="3" t="s">
        <v>38194</v>
      </c>
      <c r="I7353" s="3" t="s">
        <v>38195</v>
      </c>
      <c r="J7353" s="3" t="s">
        <v>38315</v>
      </c>
      <c r="K7353" s="3" t="s">
        <v>38316</v>
      </c>
      <c r="L7353" s="3"/>
      <c r="M7353" s="4" t="s">
        <v>38317</v>
      </c>
      <c r="N7353" s="3" t="s">
        <v>37</v>
      </c>
      <c r="O7353" s="3" t="s">
        <v>46</v>
      </c>
      <c r="P7353" s="5">
        <v>12</v>
      </c>
      <c r="Q7353" s="5">
        <v>162</v>
      </c>
      <c r="R7353" s="5">
        <v>12</v>
      </c>
      <c r="S7353" s="5">
        <v>161</v>
      </c>
    </row>
    <row r="7354" spans="1:19" ht="28" x14ac:dyDescent="0.15">
      <c r="A7354" s="2">
        <f>HYPERLINK("https://open-school.uspishnemisto.com.ua/school/460032/", 460032)</f>
        <v>460032</v>
      </c>
      <c r="B7354" s="3" t="s">
        <v>38318</v>
      </c>
      <c r="C7354" s="3" t="s">
        <v>54</v>
      </c>
      <c r="D7354" s="3" t="s">
        <v>32</v>
      </c>
      <c r="E7354" s="4" t="s">
        <v>41</v>
      </c>
      <c r="F7354" s="4" t="s">
        <v>38319</v>
      </c>
      <c r="G7354" s="4" t="s">
        <v>38193</v>
      </c>
      <c r="H7354" s="3" t="s">
        <v>38194</v>
      </c>
      <c r="I7354" s="3" t="s">
        <v>38195</v>
      </c>
      <c r="J7354" s="3" t="s">
        <v>38320</v>
      </c>
      <c r="K7354" s="3" t="s">
        <v>38321</v>
      </c>
      <c r="L7354" s="3"/>
      <c r="M7354" s="4" t="s">
        <v>38322</v>
      </c>
      <c r="N7354" s="3" t="s">
        <v>37</v>
      </c>
      <c r="O7354" s="3" t="s">
        <v>46</v>
      </c>
      <c r="P7354" s="5">
        <v>8</v>
      </c>
      <c r="Q7354" s="5">
        <v>22</v>
      </c>
      <c r="R7354" s="5">
        <v>8</v>
      </c>
      <c r="S7354" s="5">
        <v>17</v>
      </c>
    </row>
    <row r="7355" spans="1:19" ht="28" x14ac:dyDescent="0.15">
      <c r="A7355" s="2">
        <f>HYPERLINK("https://open-school.uspishnemisto.com.ua/school/460033/", 460033)</f>
        <v>460033</v>
      </c>
      <c r="B7355" s="3" t="s">
        <v>38323</v>
      </c>
      <c r="C7355" s="3" t="s">
        <v>54</v>
      </c>
      <c r="D7355" s="3" t="s">
        <v>175</v>
      </c>
      <c r="E7355" s="4" t="s">
        <v>41</v>
      </c>
      <c r="F7355" s="4" t="s">
        <v>38324</v>
      </c>
      <c r="G7355" s="4" t="s">
        <v>38193</v>
      </c>
      <c r="H7355" s="3" t="s">
        <v>38194</v>
      </c>
      <c r="I7355" s="3" t="s">
        <v>38195</v>
      </c>
      <c r="J7355" s="3" t="s">
        <v>38325</v>
      </c>
      <c r="K7355" s="3" t="s">
        <v>38326</v>
      </c>
      <c r="L7355" s="3" t="s">
        <v>38327</v>
      </c>
      <c r="M7355" s="4" t="s">
        <v>38328</v>
      </c>
      <c r="N7355" s="3" t="s">
        <v>37</v>
      </c>
      <c r="O7355" s="3" t="s">
        <v>46</v>
      </c>
      <c r="P7355" s="5">
        <v>9</v>
      </c>
      <c r="Q7355" s="5">
        <v>65</v>
      </c>
      <c r="R7355" s="5">
        <v>8</v>
      </c>
      <c r="S7355" s="5">
        <v>69</v>
      </c>
    </row>
    <row r="7356" spans="1:19" ht="28" x14ac:dyDescent="0.15">
      <c r="A7356" s="2">
        <f>HYPERLINK("https://open-school.uspishnemisto.com.ua/school/460034/", 460034)</f>
        <v>460034</v>
      </c>
      <c r="B7356" s="3" t="s">
        <v>38329</v>
      </c>
      <c r="C7356" s="3" t="s">
        <v>31</v>
      </c>
      <c r="D7356" s="3" t="s">
        <v>32</v>
      </c>
      <c r="E7356" s="4" t="s">
        <v>22</v>
      </c>
      <c r="F7356" s="4" t="s">
        <v>38330</v>
      </c>
      <c r="G7356" s="4" t="s">
        <v>38193</v>
      </c>
      <c r="H7356" s="3" t="s">
        <v>38194</v>
      </c>
      <c r="I7356" s="3" t="s">
        <v>38195</v>
      </c>
      <c r="J7356" s="3" t="s">
        <v>38331</v>
      </c>
      <c r="K7356" s="3"/>
      <c r="L7356" s="3"/>
      <c r="M7356" s="4" t="s">
        <v>38332</v>
      </c>
      <c r="N7356" s="3" t="s">
        <v>37</v>
      </c>
      <c r="O7356" s="3" t="s">
        <v>237</v>
      </c>
      <c r="P7356" s="5">
        <v>43</v>
      </c>
      <c r="Q7356" s="5">
        <v>1190</v>
      </c>
      <c r="R7356" s="5">
        <v>41</v>
      </c>
      <c r="S7356" s="5">
        <v>1139</v>
      </c>
    </row>
    <row r="7357" spans="1:19" ht="28" x14ac:dyDescent="0.15">
      <c r="A7357" s="2">
        <f>HYPERLINK("https://open-school.uspishnemisto.com.ua/school/460035/", 460035)</f>
        <v>460035</v>
      </c>
      <c r="B7357" s="3" t="s">
        <v>38333</v>
      </c>
      <c r="C7357" s="3" t="s">
        <v>31</v>
      </c>
      <c r="D7357" s="3" t="s">
        <v>32</v>
      </c>
      <c r="E7357" s="4" t="s">
        <v>22</v>
      </c>
      <c r="F7357" s="4" t="s">
        <v>38334</v>
      </c>
      <c r="G7357" s="4" t="s">
        <v>38193</v>
      </c>
      <c r="H7357" s="3" t="s">
        <v>38194</v>
      </c>
      <c r="I7357" s="3" t="s">
        <v>38195</v>
      </c>
      <c r="J7357" s="3" t="s">
        <v>38335</v>
      </c>
      <c r="K7357" s="3" t="s">
        <v>38336</v>
      </c>
      <c r="L7357" s="3" t="s">
        <v>38337</v>
      </c>
      <c r="M7357" s="4" t="s">
        <v>38338</v>
      </c>
      <c r="N7357" s="3" t="s">
        <v>38230</v>
      </c>
      <c r="O7357" s="3" t="s">
        <v>46</v>
      </c>
      <c r="P7357" s="5">
        <v>15</v>
      </c>
      <c r="Q7357" s="5">
        <v>303</v>
      </c>
      <c r="R7357" s="5">
        <v>15</v>
      </c>
      <c r="S7357" s="5">
        <v>289</v>
      </c>
    </row>
    <row r="7358" spans="1:19" ht="28" x14ac:dyDescent="0.15">
      <c r="A7358" s="2">
        <f>HYPERLINK("https://open-school.uspishnemisto.com.ua/school/460036/", 460036)</f>
        <v>460036</v>
      </c>
      <c r="B7358" s="3" t="s">
        <v>38339</v>
      </c>
      <c r="C7358" s="3" t="s">
        <v>31</v>
      </c>
      <c r="D7358" s="3" t="s">
        <v>32</v>
      </c>
      <c r="E7358" s="4" t="s">
        <v>22</v>
      </c>
      <c r="F7358" s="4" t="s">
        <v>38340</v>
      </c>
      <c r="G7358" s="4" t="s">
        <v>38193</v>
      </c>
      <c r="H7358" s="3" t="s">
        <v>38194</v>
      </c>
      <c r="I7358" s="3" t="s">
        <v>38195</v>
      </c>
      <c r="J7358" s="3" t="s">
        <v>38341</v>
      </c>
      <c r="K7358" s="3" t="s">
        <v>38342</v>
      </c>
      <c r="L7358" s="3"/>
      <c r="M7358" s="4" t="s">
        <v>38343</v>
      </c>
      <c r="N7358" s="3" t="s">
        <v>37</v>
      </c>
      <c r="O7358" s="3" t="s">
        <v>46</v>
      </c>
      <c r="P7358" s="5">
        <v>27</v>
      </c>
      <c r="Q7358" s="5">
        <v>693</v>
      </c>
      <c r="R7358" s="5">
        <v>26</v>
      </c>
      <c r="S7358" s="5">
        <v>661</v>
      </c>
    </row>
    <row r="7359" spans="1:19" ht="28" x14ac:dyDescent="0.15">
      <c r="A7359" s="2">
        <f>HYPERLINK("https://open-school.uspishnemisto.com.ua/school/460037/", 460037)</f>
        <v>460037</v>
      </c>
      <c r="B7359" s="3" t="s">
        <v>38344</v>
      </c>
      <c r="C7359" s="3" t="s">
        <v>31</v>
      </c>
      <c r="D7359" s="3" t="s">
        <v>32</v>
      </c>
      <c r="E7359" s="4" t="s">
        <v>22</v>
      </c>
      <c r="F7359" s="4" t="s">
        <v>38232</v>
      </c>
      <c r="G7359" s="4" t="s">
        <v>38193</v>
      </c>
      <c r="H7359" s="3" t="s">
        <v>38194</v>
      </c>
      <c r="I7359" s="3" t="s">
        <v>38195</v>
      </c>
      <c r="J7359" s="3" t="s">
        <v>38345</v>
      </c>
      <c r="K7359" s="3" t="s">
        <v>38346</v>
      </c>
      <c r="L7359" s="3"/>
      <c r="M7359" s="4"/>
      <c r="N7359" s="3" t="s">
        <v>37</v>
      </c>
      <c r="O7359" s="3" t="s">
        <v>139</v>
      </c>
      <c r="P7359" s="5">
        <v>24</v>
      </c>
      <c r="Q7359" s="5">
        <v>633</v>
      </c>
      <c r="R7359" s="5">
        <v>22</v>
      </c>
      <c r="S7359" s="5">
        <v>569</v>
      </c>
    </row>
    <row r="7360" spans="1:19" ht="28" x14ac:dyDescent="0.15">
      <c r="A7360" s="2">
        <f>HYPERLINK("https://open-school.uspishnemisto.com.ua/school/460038/", 460038)</f>
        <v>460038</v>
      </c>
      <c r="B7360" s="3" t="s">
        <v>38347</v>
      </c>
      <c r="C7360" s="3" t="s">
        <v>31</v>
      </c>
      <c r="D7360" s="3" t="s">
        <v>32</v>
      </c>
      <c r="E7360" s="4" t="s">
        <v>22</v>
      </c>
      <c r="F7360" s="4" t="s">
        <v>38201</v>
      </c>
      <c r="G7360" s="4" t="s">
        <v>38193</v>
      </c>
      <c r="H7360" s="3" t="s">
        <v>38194</v>
      </c>
      <c r="I7360" s="3" t="s">
        <v>38195</v>
      </c>
      <c r="J7360" s="3" t="s">
        <v>38348</v>
      </c>
      <c r="K7360" s="3" t="s">
        <v>38349</v>
      </c>
      <c r="L7360" s="3"/>
      <c r="M7360" s="4" t="s">
        <v>38350</v>
      </c>
      <c r="N7360" s="3" t="s">
        <v>37</v>
      </c>
      <c r="O7360" s="3" t="s">
        <v>46</v>
      </c>
      <c r="P7360" s="5">
        <v>18</v>
      </c>
      <c r="Q7360" s="5">
        <v>398</v>
      </c>
      <c r="R7360" s="5">
        <v>17</v>
      </c>
      <c r="S7360" s="5">
        <v>395</v>
      </c>
    </row>
    <row r="7361" spans="1:19" ht="28" x14ac:dyDescent="0.15">
      <c r="A7361" s="2">
        <f>HYPERLINK("https://open-school.uspishnemisto.com.ua/school/460039/", 460039)</f>
        <v>460039</v>
      </c>
      <c r="B7361" s="3" t="s">
        <v>38351</v>
      </c>
      <c r="C7361" s="3" t="s">
        <v>31</v>
      </c>
      <c r="D7361" s="3" t="s">
        <v>32</v>
      </c>
      <c r="E7361" s="4" t="s">
        <v>22</v>
      </c>
      <c r="F7361" s="4" t="s">
        <v>38221</v>
      </c>
      <c r="G7361" s="4" t="s">
        <v>38193</v>
      </c>
      <c r="H7361" s="3" t="s">
        <v>38194</v>
      </c>
      <c r="I7361" s="3" t="s">
        <v>38195</v>
      </c>
      <c r="J7361" s="3" t="s">
        <v>38352</v>
      </c>
      <c r="K7361" s="3" t="s">
        <v>38353</v>
      </c>
      <c r="L7361" s="3"/>
      <c r="M7361" s="4" t="s">
        <v>38354</v>
      </c>
      <c r="N7361" s="3" t="s">
        <v>128</v>
      </c>
      <c r="O7361" s="3" t="s">
        <v>266</v>
      </c>
      <c r="P7361" s="5">
        <v>30</v>
      </c>
      <c r="Q7361" s="5">
        <v>806</v>
      </c>
      <c r="R7361" s="5">
        <v>28</v>
      </c>
      <c r="S7361" s="5">
        <v>760</v>
      </c>
    </row>
    <row r="7362" spans="1:19" ht="28" x14ac:dyDescent="0.15">
      <c r="A7362" s="2">
        <f>HYPERLINK("https://open-school.uspishnemisto.com.ua/school/460040/", 460040)</f>
        <v>460040</v>
      </c>
      <c r="B7362" s="3" t="s">
        <v>38355</v>
      </c>
      <c r="C7362" s="3" t="s">
        <v>31</v>
      </c>
      <c r="D7362" s="3" t="s">
        <v>32</v>
      </c>
      <c r="E7362" s="4" t="s">
        <v>22</v>
      </c>
      <c r="F7362" s="4" t="s">
        <v>38255</v>
      </c>
      <c r="G7362" s="4" t="s">
        <v>38193</v>
      </c>
      <c r="H7362" s="3" t="s">
        <v>38194</v>
      </c>
      <c r="I7362" s="3" t="s">
        <v>38195</v>
      </c>
      <c r="J7362" s="3" t="s">
        <v>38356</v>
      </c>
      <c r="K7362" s="3" t="s">
        <v>38357</v>
      </c>
      <c r="L7362" s="3"/>
      <c r="M7362" s="4" t="s">
        <v>38358</v>
      </c>
      <c r="N7362" s="3" t="s">
        <v>37</v>
      </c>
      <c r="O7362" s="3" t="s">
        <v>123</v>
      </c>
      <c r="P7362" s="5">
        <v>17</v>
      </c>
      <c r="Q7362" s="5">
        <v>432</v>
      </c>
      <c r="R7362" s="5">
        <v>17</v>
      </c>
      <c r="S7362" s="5">
        <v>439</v>
      </c>
    </row>
    <row r="7363" spans="1:19" ht="28" x14ac:dyDescent="0.15">
      <c r="A7363" s="2">
        <f>HYPERLINK("https://open-school.uspishnemisto.com.ua/school/460042/", 460042)</f>
        <v>460042</v>
      </c>
      <c r="B7363" s="3" t="s">
        <v>38359</v>
      </c>
      <c r="C7363" s="3" t="s">
        <v>31</v>
      </c>
      <c r="D7363" s="3" t="s">
        <v>32</v>
      </c>
      <c r="E7363" s="4" t="s">
        <v>22</v>
      </c>
      <c r="F7363" s="4" t="s">
        <v>38360</v>
      </c>
      <c r="G7363" s="4" t="s">
        <v>38193</v>
      </c>
      <c r="H7363" s="3" t="s">
        <v>38194</v>
      </c>
      <c r="I7363" s="3" t="s">
        <v>38195</v>
      </c>
      <c r="J7363" s="3" t="s">
        <v>38361</v>
      </c>
      <c r="K7363" s="3" t="s">
        <v>38362</v>
      </c>
      <c r="L7363" s="3"/>
      <c r="M7363" s="4"/>
      <c r="N7363" s="3" t="s">
        <v>37</v>
      </c>
      <c r="O7363" s="3" t="s">
        <v>237</v>
      </c>
      <c r="P7363" s="5">
        <v>14</v>
      </c>
      <c r="Q7363" s="5">
        <v>320</v>
      </c>
      <c r="R7363" s="5">
        <v>12</v>
      </c>
      <c r="S7363" s="5">
        <v>280</v>
      </c>
    </row>
    <row r="7364" spans="1:19" ht="28" x14ac:dyDescent="0.15">
      <c r="A7364" s="2">
        <f>HYPERLINK("https://open-school.uspishnemisto.com.ua/school/460043/", 460043)</f>
        <v>460043</v>
      </c>
      <c r="B7364" s="3" t="s">
        <v>38363</v>
      </c>
      <c r="C7364" s="3" t="s">
        <v>31</v>
      </c>
      <c r="D7364" s="3" t="s">
        <v>32</v>
      </c>
      <c r="E7364" s="4" t="s">
        <v>22</v>
      </c>
      <c r="F7364" s="4" t="s">
        <v>38364</v>
      </c>
      <c r="G7364" s="4" t="s">
        <v>38193</v>
      </c>
      <c r="H7364" s="3" t="s">
        <v>38194</v>
      </c>
      <c r="I7364" s="3" t="s">
        <v>38195</v>
      </c>
      <c r="J7364" s="3" t="s">
        <v>38365</v>
      </c>
      <c r="K7364" s="3" t="s">
        <v>38366</v>
      </c>
      <c r="L7364" s="3"/>
      <c r="M7364" s="4" t="s">
        <v>38367</v>
      </c>
      <c r="N7364" s="3" t="s">
        <v>967</v>
      </c>
      <c r="O7364" s="3" t="s">
        <v>237</v>
      </c>
      <c r="P7364" s="5">
        <v>15</v>
      </c>
      <c r="Q7364" s="5">
        <v>369</v>
      </c>
      <c r="R7364" s="5">
        <v>16</v>
      </c>
      <c r="S7364" s="5">
        <v>360</v>
      </c>
    </row>
    <row r="7365" spans="1:19" ht="28" x14ac:dyDescent="0.15">
      <c r="A7365" s="2">
        <f>HYPERLINK("https://open-school.uspishnemisto.com.ua/school/460044/", 460044)</f>
        <v>460044</v>
      </c>
      <c r="B7365" s="3" t="s">
        <v>38368</v>
      </c>
      <c r="C7365" s="3" t="s">
        <v>31</v>
      </c>
      <c r="D7365" s="3" t="s">
        <v>32</v>
      </c>
      <c r="E7365" s="4" t="s">
        <v>22</v>
      </c>
      <c r="F7365" s="4" t="s">
        <v>38369</v>
      </c>
      <c r="G7365" s="4" t="s">
        <v>38193</v>
      </c>
      <c r="H7365" s="3" t="s">
        <v>38194</v>
      </c>
      <c r="I7365" s="3" t="s">
        <v>38195</v>
      </c>
      <c r="J7365" s="3" t="s">
        <v>38370</v>
      </c>
      <c r="K7365" s="3"/>
      <c r="L7365" s="3"/>
      <c r="M7365" s="4" t="s">
        <v>38371</v>
      </c>
      <c r="N7365" s="3" t="s">
        <v>37</v>
      </c>
      <c r="O7365" s="3" t="s">
        <v>139</v>
      </c>
      <c r="P7365" s="5">
        <v>22</v>
      </c>
      <c r="Q7365" s="5">
        <v>625</v>
      </c>
      <c r="R7365" s="5">
        <v>22</v>
      </c>
      <c r="S7365" s="5">
        <v>618</v>
      </c>
    </row>
    <row r="7366" spans="1:19" ht="28" x14ac:dyDescent="0.15">
      <c r="A7366" s="2">
        <f>HYPERLINK("https://open-school.uspishnemisto.com.ua/school/460045/", 460045)</f>
        <v>460045</v>
      </c>
      <c r="B7366" s="3" t="s">
        <v>38372</v>
      </c>
      <c r="C7366" s="3" t="s">
        <v>31</v>
      </c>
      <c r="D7366" s="3" t="s">
        <v>32</v>
      </c>
      <c r="E7366" s="4" t="s">
        <v>22</v>
      </c>
      <c r="F7366" s="4" t="s">
        <v>38373</v>
      </c>
      <c r="G7366" s="4" t="s">
        <v>38193</v>
      </c>
      <c r="H7366" s="3" t="s">
        <v>38194</v>
      </c>
      <c r="I7366" s="3" t="s">
        <v>38195</v>
      </c>
      <c r="J7366" s="3" t="s">
        <v>38374</v>
      </c>
      <c r="K7366" s="3"/>
      <c r="L7366" s="3"/>
      <c r="M7366" s="4" t="s">
        <v>38375</v>
      </c>
      <c r="N7366" s="3" t="s">
        <v>37</v>
      </c>
      <c r="O7366" s="3" t="s">
        <v>52</v>
      </c>
      <c r="P7366" s="5">
        <v>17</v>
      </c>
      <c r="Q7366" s="5">
        <v>418</v>
      </c>
      <c r="R7366" s="5">
        <v>18</v>
      </c>
      <c r="S7366" s="5">
        <v>437</v>
      </c>
    </row>
    <row r="7367" spans="1:19" ht="28" x14ac:dyDescent="0.15">
      <c r="A7367" s="2">
        <f>HYPERLINK("https://open-school.uspishnemisto.com.ua/school/460046/", 460046)</f>
        <v>460046</v>
      </c>
      <c r="B7367" s="3" t="s">
        <v>38376</v>
      </c>
      <c r="C7367" s="3" t="s">
        <v>31</v>
      </c>
      <c r="D7367" s="3" t="s">
        <v>32</v>
      </c>
      <c r="E7367" s="4" t="s">
        <v>22</v>
      </c>
      <c r="F7367" s="4" t="s">
        <v>38221</v>
      </c>
      <c r="G7367" s="4" t="s">
        <v>38193</v>
      </c>
      <c r="H7367" s="3" t="s">
        <v>38194</v>
      </c>
      <c r="I7367" s="3" t="s">
        <v>38195</v>
      </c>
      <c r="J7367" s="3" t="s">
        <v>38377</v>
      </c>
      <c r="K7367" s="3" t="s">
        <v>38378</v>
      </c>
      <c r="L7367" s="3"/>
      <c r="M7367" s="4" t="s">
        <v>38379</v>
      </c>
      <c r="N7367" s="3" t="s">
        <v>37</v>
      </c>
      <c r="O7367" s="3" t="s">
        <v>52</v>
      </c>
      <c r="P7367" s="5">
        <v>18</v>
      </c>
      <c r="Q7367" s="5">
        <v>445</v>
      </c>
      <c r="R7367" s="5">
        <v>17</v>
      </c>
      <c r="S7367" s="5">
        <v>437</v>
      </c>
    </row>
    <row r="7368" spans="1:19" ht="28" x14ac:dyDescent="0.15">
      <c r="A7368" s="2">
        <f>HYPERLINK("https://open-school.uspishnemisto.com.ua/school/460047/", 460047)</f>
        <v>460047</v>
      </c>
      <c r="B7368" s="3" t="s">
        <v>38380</v>
      </c>
      <c r="C7368" s="3" t="s">
        <v>31</v>
      </c>
      <c r="D7368" s="3" t="s">
        <v>32</v>
      </c>
      <c r="E7368" s="4" t="s">
        <v>22</v>
      </c>
      <c r="F7368" s="4" t="s">
        <v>38221</v>
      </c>
      <c r="G7368" s="4" t="s">
        <v>38193</v>
      </c>
      <c r="H7368" s="3" t="s">
        <v>38194</v>
      </c>
      <c r="I7368" s="3" t="s">
        <v>38195</v>
      </c>
      <c r="J7368" s="3" t="s">
        <v>38381</v>
      </c>
      <c r="K7368" s="3" t="s">
        <v>38382</v>
      </c>
      <c r="L7368" s="3"/>
      <c r="M7368" s="4" t="s">
        <v>38383</v>
      </c>
      <c r="N7368" s="3" t="s">
        <v>37</v>
      </c>
      <c r="O7368" s="3" t="s">
        <v>237</v>
      </c>
      <c r="P7368" s="5">
        <v>26</v>
      </c>
      <c r="Q7368" s="5">
        <v>621</v>
      </c>
      <c r="R7368" s="5">
        <v>25</v>
      </c>
      <c r="S7368" s="5">
        <v>594</v>
      </c>
    </row>
    <row r="7369" spans="1:19" ht="42" x14ac:dyDescent="0.15">
      <c r="A7369" s="2">
        <f>HYPERLINK("https://open-school.uspishnemisto.com.ua/school/460048/", 460048)</f>
        <v>460048</v>
      </c>
      <c r="B7369" s="3" t="s">
        <v>38384</v>
      </c>
      <c r="C7369" s="3" t="s">
        <v>31</v>
      </c>
      <c r="D7369" s="3" t="s">
        <v>32</v>
      </c>
      <c r="E7369" s="4" t="s">
        <v>22</v>
      </c>
      <c r="F7369" s="4" t="s">
        <v>38385</v>
      </c>
      <c r="G7369" s="4" t="s">
        <v>38193</v>
      </c>
      <c r="H7369" s="3" t="s">
        <v>38194</v>
      </c>
      <c r="I7369" s="3" t="s">
        <v>38195</v>
      </c>
      <c r="J7369" s="3" t="s">
        <v>38386</v>
      </c>
      <c r="K7369" s="3" t="s">
        <v>38387</v>
      </c>
      <c r="L7369" s="3"/>
      <c r="M7369" s="4"/>
      <c r="N7369" s="3" t="s">
        <v>37</v>
      </c>
      <c r="O7369" s="3" t="s">
        <v>46</v>
      </c>
      <c r="P7369" s="5">
        <v>26</v>
      </c>
      <c r="Q7369" s="5">
        <v>757</v>
      </c>
      <c r="R7369" s="5">
        <v>26</v>
      </c>
      <c r="S7369" s="5">
        <v>720</v>
      </c>
    </row>
    <row r="7370" spans="1:19" ht="28" x14ac:dyDescent="0.15">
      <c r="A7370" s="2">
        <f>HYPERLINK("https://open-school.uspishnemisto.com.ua/school/460049/", 460049)</f>
        <v>460049</v>
      </c>
      <c r="B7370" s="3" t="s">
        <v>38388</v>
      </c>
      <c r="C7370" s="3" t="s">
        <v>31</v>
      </c>
      <c r="D7370" s="3" t="s">
        <v>32</v>
      </c>
      <c r="E7370" s="4" t="s">
        <v>22</v>
      </c>
      <c r="F7370" s="4" t="s">
        <v>38389</v>
      </c>
      <c r="G7370" s="4" t="s">
        <v>38193</v>
      </c>
      <c r="H7370" s="3" t="s">
        <v>38194</v>
      </c>
      <c r="I7370" s="3" t="s">
        <v>38195</v>
      </c>
      <c r="J7370" s="3" t="s">
        <v>38390</v>
      </c>
      <c r="K7370" s="3" t="s">
        <v>38391</v>
      </c>
      <c r="L7370" s="3"/>
      <c r="M7370" s="4" t="s">
        <v>38392</v>
      </c>
      <c r="N7370" s="3" t="s">
        <v>37</v>
      </c>
      <c r="O7370" s="3" t="s">
        <v>46</v>
      </c>
      <c r="P7370" s="5">
        <v>37</v>
      </c>
      <c r="Q7370" s="5">
        <v>1085</v>
      </c>
      <c r="R7370" s="5">
        <v>35</v>
      </c>
      <c r="S7370" s="5">
        <v>1046</v>
      </c>
    </row>
    <row r="7371" spans="1:19" ht="28" x14ac:dyDescent="0.15">
      <c r="A7371" s="2">
        <f>HYPERLINK("https://open-school.uspishnemisto.com.ua/school/460050/", 460050)</f>
        <v>460050</v>
      </c>
      <c r="B7371" s="3" t="s">
        <v>38393</v>
      </c>
      <c r="C7371" s="3" t="s">
        <v>31</v>
      </c>
      <c r="D7371" s="3" t="s">
        <v>32</v>
      </c>
      <c r="E7371" s="4" t="s">
        <v>22</v>
      </c>
      <c r="F7371" s="4" t="s">
        <v>38394</v>
      </c>
      <c r="G7371" s="4" t="s">
        <v>38193</v>
      </c>
      <c r="H7371" s="3" t="s">
        <v>38194</v>
      </c>
      <c r="I7371" s="3" t="s">
        <v>38195</v>
      </c>
      <c r="J7371" s="3" t="s">
        <v>38395</v>
      </c>
      <c r="K7371" s="3" t="s">
        <v>38396</v>
      </c>
      <c r="L7371" s="3"/>
      <c r="M7371" s="4" t="s">
        <v>38397</v>
      </c>
      <c r="N7371" s="3" t="s">
        <v>37</v>
      </c>
      <c r="O7371" s="3" t="s">
        <v>46</v>
      </c>
      <c r="P7371" s="5">
        <v>26</v>
      </c>
      <c r="Q7371" s="5">
        <v>671</v>
      </c>
      <c r="R7371" s="5">
        <v>26</v>
      </c>
      <c r="S7371" s="5">
        <v>688</v>
      </c>
    </row>
    <row r="7372" spans="1:19" ht="28" x14ac:dyDescent="0.15">
      <c r="A7372" s="2">
        <f>HYPERLINK("https://open-school.uspishnemisto.com.ua/school/460051/", 460051)</f>
        <v>460051</v>
      </c>
      <c r="B7372" s="3" t="s">
        <v>38398</v>
      </c>
      <c r="C7372" s="3" t="s">
        <v>31</v>
      </c>
      <c r="D7372" s="3" t="s">
        <v>32</v>
      </c>
      <c r="E7372" s="4" t="s">
        <v>22</v>
      </c>
      <c r="F7372" s="4" t="s">
        <v>38394</v>
      </c>
      <c r="G7372" s="4" t="s">
        <v>38193</v>
      </c>
      <c r="H7372" s="3" t="s">
        <v>38194</v>
      </c>
      <c r="I7372" s="3" t="s">
        <v>38195</v>
      </c>
      <c r="J7372" s="3" t="s">
        <v>38399</v>
      </c>
      <c r="K7372" s="3" t="s">
        <v>38400</v>
      </c>
      <c r="L7372" s="3"/>
      <c r="M7372" s="4" t="s">
        <v>38401</v>
      </c>
      <c r="N7372" s="3" t="s">
        <v>37</v>
      </c>
      <c r="O7372" s="3" t="s">
        <v>46</v>
      </c>
      <c r="P7372" s="5">
        <v>20</v>
      </c>
      <c r="Q7372" s="5">
        <v>567</v>
      </c>
      <c r="R7372" s="5">
        <v>20</v>
      </c>
      <c r="S7372" s="5">
        <v>552</v>
      </c>
    </row>
    <row r="7373" spans="1:19" ht="28" x14ac:dyDescent="0.15">
      <c r="A7373" s="2">
        <f>HYPERLINK("https://open-school.uspishnemisto.com.ua/school/460055/", 460055)</f>
        <v>460055</v>
      </c>
      <c r="B7373" s="3" t="s">
        <v>38402</v>
      </c>
      <c r="C7373" s="3" t="s">
        <v>188</v>
      </c>
      <c r="D7373" s="3" t="s">
        <v>32</v>
      </c>
      <c r="E7373" s="4" t="s">
        <v>22</v>
      </c>
      <c r="F7373" s="4" t="s">
        <v>38403</v>
      </c>
      <c r="G7373" s="4" t="s">
        <v>38193</v>
      </c>
      <c r="H7373" s="3" t="s">
        <v>38194</v>
      </c>
      <c r="I7373" s="3" t="s">
        <v>38195</v>
      </c>
      <c r="J7373" s="3" t="s">
        <v>38404</v>
      </c>
      <c r="K7373" s="3" t="s">
        <v>38405</v>
      </c>
      <c r="L7373" s="3"/>
      <c r="M7373" s="4"/>
      <c r="N7373" s="3" t="s">
        <v>37</v>
      </c>
      <c r="O7373" s="3" t="s">
        <v>52</v>
      </c>
      <c r="P7373" s="5">
        <v>5</v>
      </c>
      <c r="Q7373" s="5">
        <v>102</v>
      </c>
      <c r="R7373" s="5">
        <v>4</v>
      </c>
      <c r="S7373" s="5">
        <v>81</v>
      </c>
    </row>
    <row r="7374" spans="1:19" ht="28" x14ac:dyDescent="0.15">
      <c r="A7374" s="2">
        <f>HYPERLINK("https://open-school.uspishnemisto.com.ua/school/460118/", 460118)</f>
        <v>460118</v>
      </c>
      <c r="B7374" s="3" t="s">
        <v>38406</v>
      </c>
      <c r="C7374" s="3" t="s">
        <v>31</v>
      </c>
      <c r="D7374" s="3" t="s">
        <v>32</v>
      </c>
      <c r="E7374" s="4" t="s">
        <v>41</v>
      </c>
      <c r="F7374" s="4" t="s">
        <v>38407</v>
      </c>
      <c r="G7374" s="4" t="s">
        <v>38193</v>
      </c>
      <c r="H7374" s="3" t="s">
        <v>38194</v>
      </c>
      <c r="I7374" s="3" t="s">
        <v>38195</v>
      </c>
      <c r="J7374" s="3" t="s">
        <v>38408</v>
      </c>
      <c r="K7374" s="3" t="s">
        <v>38409</v>
      </c>
      <c r="L7374" s="3"/>
      <c r="M7374" s="4" t="s">
        <v>38410</v>
      </c>
      <c r="N7374" s="3" t="s">
        <v>37</v>
      </c>
      <c r="O7374" s="3" t="s">
        <v>52</v>
      </c>
      <c r="P7374" s="5">
        <v>12</v>
      </c>
      <c r="Q7374" s="5">
        <v>116</v>
      </c>
      <c r="R7374" s="5">
        <v>11</v>
      </c>
      <c r="S7374" s="5">
        <v>91</v>
      </c>
    </row>
    <row r="7375" spans="1:19" ht="28" x14ac:dyDescent="0.15">
      <c r="A7375" s="2">
        <f>HYPERLINK("https://open-school.uspishnemisto.com.ua/school/461366/", 461366)</f>
        <v>461366</v>
      </c>
      <c r="B7375" s="3" t="s">
        <v>38411</v>
      </c>
      <c r="C7375" s="3" t="s">
        <v>31</v>
      </c>
      <c r="D7375" s="3" t="s">
        <v>60</v>
      </c>
      <c r="E7375" s="4" t="s">
        <v>41</v>
      </c>
      <c r="F7375" s="4" t="s">
        <v>38251</v>
      </c>
      <c r="G7375" s="4" t="s">
        <v>38193</v>
      </c>
      <c r="H7375" s="3" t="s">
        <v>38194</v>
      </c>
      <c r="I7375" s="3" t="s">
        <v>38195</v>
      </c>
      <c r="J7375" s="3" t="s">
        <v>38412</v>
      </c>
      <c r="K7375" s="3" t="s">
        <v>38413</v>
      </c>
      <c r="L7375" s="3"/>
      <c r="M7375" s="4"/>
      <c r="N7375" s="3" t="s">
        <v>37</v>
      </c>
      <c r="O7375" s="3" t="s">
        <v>52</v>
      </c>
      <c r="P7375" s="5">
        <v>4</v>
      </c>
      <c r="Q7375" s="5">
        <v>80</v>
      </c>
      <c r="R7375" s="5"/>
      <c r="S7375" s="5"/>
    </row>
    <row r="7376" spans="1:19" ht="28" x14ac:dyDescent="0.15">
      <c r="A7376" s="2">
        <f>HYPERLINK("https://open-school.uspishnemisto.com.ua/school/460022/", 460022)</f>
        <v>460022</v>
      </c>
      <c r="B7376" s="3" t="s">
        <v>38414</v>
      </c>
      <c r="C7376" s="3" t="s">
        <v>54</v>
      </c>
      <c r="D7376" s="3" t="s">
        <v>60</v>
      </c>
      <c r="E7376" s="4" t="s">
        <v>22</v>
      </c>
      <c r="F7376" s="4" t="s">
        <v>38192</v>
      </c>
      <c r="G7376" s="4" t="s">
        <v>38415</v>
      </c>
      <c r="H7376" s="3" t="s">
        <v>38194</v>
      </c>
      <c r="I7376" s="3" t="s">
        <v>38416</v>
      </c>
      <c r="J7376" s="3" t="s">
        <v>38417</v>
      </c>
      <c r="K7376" s="3" t="s">
        <v>38418</v>
      </c>
      <c r="L7376" s="3"/>
      <c r="M7376" s="4"/>
      <c r="N7376" s="3" t="s">
        <v>37</v>
      </c>
      <c r="O7376" s="3" t="s">
        <v>52</v>
      </c>
      <c r="P7376" s="5">
        <v>8</v>
      </c>
      <c r="Q7376" s="5">
        <v>257</v>
      </c>
      <c r="R7376" s="5">
        <v>8</v>
      </c>
      <c r="S7376" s="5">
        <v>256</v>
      </c>
    </row>
    <row r="7377" spans="1:19" ht="28" x14ac:dyDescent="0.15">
      <c r="A7377" s="2">
        <f>HYPERLINK("https://open-school.uspishnemisto.com.ua/school/460052/", 460052)</f>
        <v>460052</v>
      </c>
      <c r="B7377" s="3" t="s">
        <v>38419</v>
      </c>
      <c r="C7377" s="3" t="s">
        <v>40</v>
      </c>
      <c r="D7377" s="3" t="s">
        <v>32</v>
      </c>
      <c r="E7377" s="4" t="s">
        <v>22</v>
      </c>
      <c r="F7377" s="4" t="s">
        <v>38273</v>
      </c>
      <c r="G7377" s="4" t="s">
        <v>38415</v>
      </c>
      <c r="H7377" s="3" t="s">
        <v>38194</v>
      </c>
      <c r="I7377" s="3" t="s">
        <v>38416</v>
      </c>
      <c r="J7377" s="3" t="s">
        <v>38420</v>
      </c>
      <c r="K7377" s="3" t="s">
        <v>38421</v>
      </c>
      <c r="L7377" s="3" t="s">
        <v>38422</v>
      </c>
      <c r="M7377" s="4"/>
      <c r="N7377" s="3" t="s">
        <v>37</v>
      </c>
      <c r="O7377" s="3" t="s">
        <v>46</v>
      </c>
      <c r="P7377" s="5">
        <v>16</v>
      </c>
      <c r="Q7377" s="5">
        <v>467</v>
      </c>
      <c r="R7377" s="5">
        <v>16</v>
      </c>
      <c r="S7377" s="5">
        <v>453</v>
      </c>
    </row>
    <row r="7378" spans="1:19" ht="28" x14ac:dyDescent="0.15">
      <c r="A7378" s="2">
        <f>HYPERLINK("https://open-school.uspishnemisto.com.ua/school/460053/", 460053)</f>
        <v>460053</v>
      </c>
      <c r="B7378" s="3" t="s">
        <v>38423</v>
      </c>
      <c r="C7378" s="3" t="s">
        <v>31</v>
      </c>
      <c r="D7378" s="3" t="s">
        <v>60</v>
      </c>
      <c r="E7378" s="4" t="s">
        <v>22</v>
      </c>
      <c r="F7378" s="4" t="s">
        <v>38299</v>
      </c>
      <c r="G7378" s="4" t="s">
        <v>38415</v>
      </c>
      <c r="H7378" s="3" t="s">
        <v>38194</v>
      </c>
      <c r="I7378" s="3" t="s">
        <v>38416</v>
      </c>
      <c r="J7378" s="3" t="s">
        <v>38424</v>
      </c>
      <c r="K7378" s="3" t="s">
        <v>38425</v>
      </c>
      <c r="L7378" s="3"/>
      <c r="M7378" s="4"/>
      <c r="N7378" s="3" t="s">
        <v>37</v>
      </c>
      <c r="O7378" s="3" t="s">
        <v>52</v>
      </c>
      <c r="P7378" s="5">
        <v>23</v>
      </c>
      <c r="Q7378" s="5">
        <v>710</v>
      </c>
      <c r="R7378" s="5">
        <v>22</v>
      </c>
      <c r="S7378" s="5">
        <v>697</v>
      </c>
    </row>
    <row r="7379" spans="1:19" ht="42" x14ac:dyDescent="0.15">
      <c r="A7379" s="2">
        <f>HYPERLINK("https://open-school.uspishnemisto.com.ua/school/460054/", 460054)</f>
        <v>460054</v>
      </c>
      <c r="B7379" s="3" t="s">
        <v>38426</v>
      </c>
      <c r="C7379" s="3" t="s">
        <v>40</v>
      </c>
      <c r="D7379" s="3" t="s">
        <v>32</v>
      </c>
      <c r="E7379" s="4" t="s">
        <v>22</v>
      </c>
      <c r="F7379" s="4" t="s">
        <v>38394</v>
      </c>
      <c r="G7379" s="4" t="s">
        <v>38415</v>
      </c>
      <c r="H7379" s="3" t="s">
        <v>38194</v>
      </c>
      <c r="I7379" s="3" t="s">
        <v>38416</v>
      </c>
      <c r="J7379" s="3" t="s">
        <v>38427</v>
      </c>
      <c r="K7379" s="3" t="s">
        <v>38428</v>
      </c>
      <c r="L7379" s="3"/>
      <c r="M7379" s="4"/>
      <c r="N7379" s="3" t="s">
        <v>37</v>
      </c>
      <c r="O7379" s="3" t="s">
        <v>237</v>
      </c>
      <c r="P7379" s="5">
        <v>22</v>
      </c>
      <c r="Q7379" s="5">
        <v>552</v>
      </c>
      <c r="R7379" s="5">
        <v>21</v>
      </c>
      <c r="S7379" s="5">
        <v>539</v>
      </c>
    </row>
    <row r="7380" spans="1:19" ht="42" x14ac:dyDescent="0.15">
      <c r="A7380" s="2">
        <f>HYPERLINK("https://open-school.uspishnemisto.com.ua/school/460056/", 460056)</f>
        <v>460056</v>
      </c>
      <c r="B7380" s="3" t="s">
        <v>38429</v>
      </c>
      <c r="C7380" s="3" t="s">
        <v>48</v>
      </c>
      <c r="D7380" s="3" t="s">
        <v>32</v>
      </c>
      <c r="E7380" s="4" t="s">
        <v>22</v>
      </c>
      <c r="F7380" s="4" t="s">
        <v>38273</v>
      </c>
      <c r="G7380" s="4" t="s">
        <v>38415</v>
      </c>
      <c r="H7380" s="3" t="s">
        <v>38194</v>
      </c>
      <c r="I7380" s="3" t="s">
        <v>38416</v>
      </c>
      <c r="J7380" s="3" t="s">
        <v>38430</v>
      </c>
      <c r="K7380" s="3" t="s">
        <v>38431</v>
      </c>
      <c r="L7380" s="3"/>
      <c r="M7380" s="4"/>
      <c r="N7380" s="3" t="s">
        <v>37</v>
      </c>
      <c r="O7380" s="3" t="s">
        <v>52</v>
      </c>
      <c r="P7380" s="5">
        <v>18</v>
      </c>
      <c r="Q7380" s="5">
        <v>570</v>
      </c>
      <c r="R7380" s="5">
        <v>18</v>
      </c>
      <c r="S7380" s="5">
        <v>564</v>
      </c>
    </row>
    <row r="7381" spans="1:19" ht="28" x14ac:dyDescent="0.15">
      <c r="A7381" s="2">
        <f>HYPERLINK("https://open-school.uspishnemisto.com.ua/school/460057/", 460057)</f>
        <v>460057</v>
      </c>
      <c r="B7381" s="3" t="s">
        <v>38432</v>
      </c>
      <c r="C7381" s="3" t="s">
        <v>54</v>
      </c>
      <c r="D7381" s="3" t="s">
        <v>32</v>
      </c>
      <c r="E7381" s="4" t="s">
        <v>22</v>
      </c>
      <c r="F7381" s="4" t="s">
        <v>38433</v>
      </c>
      <c r="G7381" s="4" t="s">
        <v>38415</v>
      </c>
      <c r="H7381" s="3" t="s">
        <v>38194</v>
      </c>
      <c r="I7381" s="3" t="s">
        <v>38416</v>
      </c>
      <c r="J7381" s="3" t="s">
        <v>38434</v>
      </c>
      <c r="K7381" s="3" t="s">
        <v>38435</v>
      </c>
      <c r="L7381" s="3"/>
      <c r="M7381" s="4"/>
      <c r="N7381" s="3" t="s">
        <v>37</v>
      </c>
      <c r="O7381" s="3" t="s">
        <v>46</v>
      </c>
      <c r="P7381" s="5">
        <v>38</v>
      </c>
      <c r="Q7381" s="5">
        <v>1092</v>
      </c>
      <c r="R7381" s="5">
        <v>39</v>
      </c>
      <c r="S7381" s="5">
        <v>1097</v>
      </c>
    </row>
    <row r="7382" spans="1:19" ht="28" x14ac:dyDescent="0.15">
      <c r="A7382" s="2">
        <f>HYPERLINK("https://open-school.uspishnemisto.com.ua/school/460058/", 460058)</f>
        <v>460058</v>
      </c>
      <c r="B7382" s="3" t="s">
        <v>38436</v>
      </c>
      <c r="C7382" s="3" t="s">
        <v>31</v>
      </c>
      <c r="D7382" s="3" t="s">
        <v>32</v>
      </c>
      <c r="E7382" s="4" t="s">
        <v>22</v>
      </c>
      <c r="F7382" s="4" t="s">
        <v>38437</v>
      </c>
      <c r="G7382" s="4" t="s">
        <v>38415</v>
      </c>
      <c r="H7382" s="3" t="s">
        <v>38194</v>
      </c>
      <c r="I7382" s="3" t="s">
        <v>38416</v>
      </c>
      <c r="J7382" s="3" t="s">
        <v>38438</v>
      </c>
      <c r="K7382" s="3" t="s">
        <v>38439</v>
      </c>
      <c r="L7382" s="3"/>
      <c r="M7382" s="4"/>
      <c r="N7382" s="3" t="s">
        <v>37</v>
      </c>
      <c r="O7382" s="3" t="s">
        <v>237</v>
      </c>
      <c r="P7382" s="5">
        <v>34</v>
      </c>
      <c r="Q7382" s="5">
        <v>940</v>
      </c>
      <c r="R7382" s="5">
        <v>34</v>
      </c>
      <c r="S7382" s="5">
        <v>892</v>
      </c>
    </row>
    <row r="7383" spans="1:19" ht="28" x14ac:dyDescent="0.15">
      <c r="A7383" s="2">
        <f>HYPERLINK("https://open-school.uspishnemisto.com.ua/school/460059/", 460059)</f>
        <v>460059</v>
      </c>
      <c r="B7383" s="3" t="s">
        <v>38440</v>
      </c>
      <c r="C7383" s="3" t="s">
        <v>31</v>
      </c>
      <c r="D7383" s="3" t="s">
        <v>32</v>
      </c>
      <c r="E7383" s="4" t="s">
        <v>22</v>
      </c>
      <c r="F7383" s="4" t="s">
        <v>38236</v>
      </c>
      <c r="G7383" s="4" t="s">
        <v>38415</v>
      </c>
      <c r="H7383" s="3" t="s">
        <v>38194</v>
      </c>
      <c r="I7383" s="3" t="s">
        <v>38416</v>
      </c>
      <c r="J7383" s="3" t="s">
        <v>38441</v>
      </c>
      <c r="K7383" s="3" t="s">
        <v>38442</v>
      </c>
      <c r="L7383" s="3"/>
      <c r="M7383" s="4"/>
      <c r="N7383" s="3" t="s">
        <v>37</v>
      </c>
      <c r="O7383" s="3" t="s">
        <v>52</v>
      </c>
      <c r="P7383" s="5">
        <v>22</v>
      </c>
      <c r="Q7383" s="5">
        <v>602</v>
      </c>
      <c r="R7383" s="5">
        <v>21</v>
      </c>
      <c r="S7383" s="5">
        <v>569</v>
      </c>
    </row>
    <row r="7384" spans="1:19" ht="28" x14ac:dyDescent="0.15">
      <c r="A7384" s="2">
        <f>HYPERLINK("https://open-school.uspishnemisto.com.ua/school/460060/", 460060)</f>
        <v>460060</v>
      </c>
      <c r="B7384" s="3" t="s">
        <v>38443</v>
      </c>
      <c r="C7384" s="3" t="s">
        <v>31</v>
      </c>
      <c r="D7384" s="3" t="s">
        <v>32</v>
      </c>
      <c r="E7384" s="4" t="s">
        <v>22</v>
      </c>
      <c r="F7384" s="4" t="s">
        <v>38273</v>
      </c>
      <c r="G7384" s="4" t="s">
        <v>38415</v>
      </c>
      <c r="H7384" s="3" t="s">
        <v>38194</v>
      </c>
      <c r="I7384" s="3" t="s">
        <v>38416</v>
      </c>
      <c r="J7384" s="3" t="s">
        <v>38444</v>
      </c>
      <c r="K7384" s="3" t="s">
        <v>38445</v>
      </c>
      <c r="L7384" s="3"/>
      <c r="M7384" s="4"/>
      <c r="N7384" s="3" t="s">
        <v>37</v>
      </c>
      <c r="O7384" s="3" t="s">
        <v>46</v>
      </c>
      <c r="P7384" s="5">
        <v>31</v>
      </c>
      <c r="Q7384" s="5">
        <v>813</v>
      </c>
      <c r="R7384" s="5">
        <v>29</v>
      </c>
      <c r="S7384" s="5">
        <v>764</v>
      </c>
    </row>
    <row r="7385" spans="1:19" ht="28" x14ac:dyDescent="0.15">
      <c r="A7385" s="2">
        <f>HYPERLINK("https://open-school.uspishnemisto.com.ua/school/460061/", 460061)</f>
        <v>460061</v>
      </c>
      <c r="B7385" s="3" t="s">
        <v>38446</v>
      </c>
      <c r="C7385" s="3" t="s">
        <v>31</v>
      </c>
      <c r="D7385" s="3" t="s">
        <v>32</v>
      </c>
      <c r="E7385" s="4" t="s">
        <v>22</v>
      </c>
      <c r="F7385" s="4" t="s">
        <v>38433</v>
      </c>
      <c r="G7385" s="4" t="s">
        <v>38415</v>
      </c>
      <c r="H7385" s="3" t="s">
        <v>38194</v>
      </c>
      <c r="I7385" s="3" t="s">
        <v>38416</v>
      </c>
      <c r="J7385" s="3" t="s">
        <v>38447</v>
      </c>
      <c r="K7385" s="3" t="s">
        <v>38448</v>
      </c>
      <c r="L7385" s="3" t="s">
        <v>38449</v>
      </c>
      <c r="M7385" s="4"/>
      <c r="N7385" s="3" t="s">
        <v>37</v>
      </c>
      <c r="O7385" s="3" t="s">
        <v>46</v>
      </c>
      <c r="P7385" s="5">
        <v>53</v>
      </c>
      <c r="Q7385" s="5">
        <v>1629</v>
      </c>
      <c r="R7385" s="5">
        <v>52</v>
      </c>
      <c r="S7385" s="5">
        <v>1584</v>
      </c>
    </row>
    <row r="7386" spans="1:19" ht="28" x14ac:dyDescent="0.15">
      <c r="A7386" s="2">
        <f>HYPERLINK("https://open-school.uspishnemisto.com.ua/school/460062/", 460062)</f>
        <v>460062</v>
      </c>
      <c r="B7386" s="3" t="s">
        <v>38450</v>
      </c>
      <c r="C7386" s="3" t="s">
        <v>31</v>
      </c>
      <c r="D7386" s="3" t="s">
        <v>32</v>
      </c>
      <c r="E7386" s="4" t="s">
        <v>22</v>
      </c>
      <c r="F7386" s="4" t="s">
        <v>38270</v>
      </c>
      <c r="G7386" s="4" t="s">
        <v>38415</v>
      </c>
      <c r="H7386" s="3" t="s">
        <v>38194</v>
      </c>
      <c r="I7386" s="3" t="s">
        <v>38416</v>
      </c>
      <c r="J7386" s="3" t="s">
        <v>38451</v>
      </c>
      <c r="K7386" s="3" t="s">
        <v>38452</v>
      </c>
      <c r="L7386" s="3" t="s">
        <v>38453</v>
      </c>
      <c r="M7386" s="4"/>
      <c r="N7386" s="3" t="s">
        <v>37</v>
      </c>
      <c r="O7386" s="3" t="s">
        <v>237</v>
      </c>
      <c r="P7386" s="5">
        <v>22</v>
      </c>
      <c r="Q7386" s="5">
        <v>617</v>
      </c>
      <c r="R7386" s="5">
        <v>21</v>
      </c>
      <c r="S7386" s="5">
        <v>582</v>
      </c>
    </row>
    <row r="7387" spans="1:19" ht="42" x14ac:dyDescent="0.15">
      <c r="A7387" s="2">
        <f>HYPERLINK("https://open-school.uspishnemisto.com.ua/school/460063/", 460063)</f>
        <v>460063</v>
      </c>
      <c r="B7387" s="3" t="s">
        <v>38454</v>
      </c>
      <c r="C7387" s="3" t="s">
        <v>244</v>
      </c>
      <c r="D7387" s="3" t="s">
        <v>32</v>
      </c>
      <c r="E7387" s="4" t="s">
        <v>22</v>
      </c>
      <c r="F7387" s="4" t="s">
        <v>38394</v>
      </c>
      <c r="G7387" s="4" t="s">
        <v>38415</v>
      </c>
      <c r="H7387" s="3" t="s">
        <v>38194</v>
      </c>
      <c r="I7387" s="3" t="s">
        <v>38416</v>
      </c>
      <c r="J7387" s="3" t="s">
        <v>38455</v>
      </c>
      <c r="K7387" s="3" t="s">
        <v>38456</v>
      </c>
      <c r="L7387" s="3" t="s">
        <v>38457</v>
      </c>
      <c r="M7387" s="4"/>
      <c r="N7387" s="3" t="s">
        <v>37</v>
      </c>
      <c r="O7387" s="3" t="s">
        <v>46</v>
      </c>
      <c r="P7387" s="5">
        <v>31</v>
      </c>
      <c r="Q7387" s="5">
        <v>933</v>
      </c>
      <c r="R7387" s="5">
        <v>31</v>
      </c>
      <c r="S7387" s="5">
        <v>903</v>
      </c>
    </row>
    <row r="7388" spans="1:19" ht="28" x14ac:dyDescent="0.15">
      <c r="A7388" s="2">
        <f>HYPERLINK("https://open-school.uspishnemisto.com.ua/school/460064/", 460064)</f>
        <v>460064</v>
      </c>
      <c r="B7388" s="3" t="s">
        <v>38458</v>
      </c>
      <c r="C7388" s="3" t="s">
        <v>244</v>
      </c>
      <c r="D7388" s="3" t="s">
        <v>32</v>
      </c>
      <c r="E7388" s="4" t="s">
        <v>22</v>
      </c>
      <c r="F7388" s="4" t="s">
        <v>38299</v>
      </c>
      <c r="G7388" s="4" t="s">
        <v>38415</v>
      </c>
      <c r="H7388" s="3" t="s">
        <v>38194</v>
      </c>
      <c r="I7388" s="3" t="s">
        <v>38416</v>
      </c>
      <c r="J7388" s="3" t="s">
        <v>38459</v>
      </c>
      <c r="K7388" s="3" t="s">
        <v>38460</v>
      </c>
      <c r="L7388" s="3" t="s">
        <v>38461</v>
      </c>
      <c r="M7388" s="4"/>
      <c r="N7388" s="3" t="s">
        <v>37</v>
      </c>
      <c r="O7388" s="3" t="s">
        <v>8542</v>
      </c>
      <c r="P7388" s="5">
        <v>28</v>
      </c>
      <c r="Q7388" s="5">
        <v>763</v>
      </c>
      <c r="R7388" s="5">
        <v>29</v>
      </c>
      <c r="S7388" s="5">
        <v>758</v>
      </c>
    </row>
    <row r="7389" spans="1:19" ht="28" x14ac:dyDescent="0.15">
      <c r="A7389" s="2">
        <f>HYPERLINK("https://open-school.uspishnemisto.com.ua/school/460066/", 460066)</f>
        <v>460066</v>
      </c>
      <c r="B7389" s="3" t="s">
        <v>38462</v>
      </c>
      <c r="C7389" s="3" t="s">
        <v>40</v>
      </c>
      <c r="D7389" s="3" t="s">
        <v>32</v>
      </c>
      <c r="E7389" s="4" t="s">
        <v>22</v>
      </c>
      <c r="F7389" s="4" t="s">
        <v>38334</v>
      </c>
      <c r="G7389" s="4" t="s">
        <v>38463</v>
      </c>
      <c r="H7389" s="3" t="s">
        <v>38194</v>
      </c>
      <c r="I7389" s="3" t="s">
        <v>38464</v>
      </c>
      <c r="J7389" s="3" t="s">
        <v>38465</v>
      </c>
      <c r="K7389" s="3"/>
      <c r="L7389" s="3"/>
      <c r="M7389" s="4" t="s">
        <v>38466</v>
      </c>
      <c r="N7389" s="3" t="s">
        <v>37</v>
      </c>
      <c r="O7389" s="3" t="s">
        <v>123</v>
      </c>
      <c r="P7389" s="5">
        <v>22</v>
      </c>
      <c r="Q7389" s="5">
        <v>728</v>
      </c>
      <c r="R7389" s="5">
        <v>21</v>
      </c>
      <c r="S7389" s="5">
        <v>682</v>
      </c>
    </row>
    <row r="7390" spans="1:19" ht="28" x14ac:dyDescent="0.15">
      <c r="A7390" s="2">
        <f>HYPERLINK("https://open-school.uspishnemisto.com.ua/school/460067/", 460067)</f>
        <v>460067</v>
      </c>
      <c r="B7390" s="3" t="s">
        <v>38467</v>
      </c>
      <c r="C7390" s="3" t="s">
        <v>31</v>
      </c>
      <c r="D7390" s="3" t="s">
        <v>32</v>
      </c>
      <c r="E7390" s="4" t="s">
        <v>22</v>
      </c>
      <c r="F7390" s="4" t="s">
        <v>38334</v>
      </c>
      <c r="G7390" s="4" t="s">
        <v>38463</v>
      </c>
      <c r="H7390" s="3" t="s">
        <v>38194</v>
      </c>
      <c r="I7390" s="3" t="s">
        <v>38464</v>
      </c>
      <c r="J7390" s="3" t="s">
        <v>38468</v>
      </c>
      <c r="K7390" s="3" t="s">
        <v>38469</v>
      </c>
      <c r="L7390" s="3"/>
      <c r="M7390" s="4" t="s">
        <v>38470</v>
      </c>
      <c r="N7390" s="3" t="s">
        <v>37</v>
      </c>
      <c r="O7390" s="3" t="s">
        <v>32140</v>
      </c>
      <c r="P7390" s="5">
        <v>21</v>
      </c>
      <c r="Q7390" s="5">
        <v>570</v>
      </c>
      <c r="R7390" s="5">
        <v>19</v>
      </c>
      <c r="S7390" s="5">
        <v>532</v>
      </c>
    </row>
    <row r="7391" spans="1:19" ht="28" x14ac:dyDescent="0.15">
      <c r="A7391" s="2">
        <f>HYPERLINK("https://open-school.uspishnemisto.com.ua/school/460068/", 460068)</f>
        <v>460068</v>
      </c>
      <c r="B7391" s="3" t="s">
        <v>38471</v>
      </c>
      <c r="C7391" s="3" t="s">
        <v>40</v>
      </c>
      <c r="D7391" s="3" t="s">
        <v>32</v>
      </c>
      <c r="E7391" s="4" t="s">
        <v>22</v>
      </c>
      <c r="F7391" s="4" t="s">
        <v>38226</v>
      </c>
      <c r="G7391" s="4" t="s">
        <v>38463</v>
      </c>
      <c r="H7391" s="3" t="s">
        <v>38194</v>
      </c>
      <c r="I7391" s="3" t="s">
        <v>38464</v>
      </c>
      <c r="J7391" s="3" t="s">
        <v>38472</v>
      </c>
      <c r="K7391" s="3" t="s">
        <v>38473</v>
      </c>
      <c r="L7391" s="3" t="s">
        <v>38474</v>
      </c>
      <c r="M7391" s="4" t="s">
        <v>38475</v>
      </c>
      <c r="N7391" s="3" t="s">
        <v>37</v>
      </c>
      <c r="O7391" s="3" t="s">
        <v>2776</v>
      </c>
      <c r="P7391" s="5">
        <v>26</v>
      </c>
      <c r="Q7391" s="5">
        <v>809</v>
      </c>
      <c r="R7391" s="5">
        <v>28</v>
      </c>
      <c r="S7391" s="5">
        <v>837</v>
      </c>
    </row>
    <row r="7392" spans="1:19" ht="42" x14ac:dyDescent="0.15">
      <c r="A7392" s="2">
        <f>HYPERLINK("https://open-school.uspishnemisto.com.ua/school/460069/", 460069)</f>
        <v>460069</v>
      </c>
      <c r="B7392" s="3" t="s">
        <v>38476</v>
      </c>
      <c r="C7392" s="3" t="s">
        <v>31</v>
      </c>
      <c r="D7392" s="3" t="s">
        <v>32</v>
      </c>
      <c r="E7392" s="4" t="s">
        <v>22</v>
      </c>
      <c r="F7392" s="4" t="s">
        <v>38226</v>
      </c>
      <c r="G7392" s="4" t="s">
        <v>38463</v>
      </c>
      <c r="H7392" s="3" t="s">
        <v>38194</v>
      </c>
      <c r="I7392" s="3" t="s">
        <v>38464</v>
      </c>
      <c r="J7392" s="3" t="s">
        <v>38477</v>
      </c>
      <c r="K7392" s="3" t="s">
        <v>38478</v>
      </c>
      <c r="L7392" s="3" t="s">
        <v>38479</v>
      </c>
      <c r="M7392" s="4" t="s">
        <v>38480</v>
      </c>
      <c r="N7392" s="3" t="s">
        <v>37</v>
      </c>
      <c r="O7392" s="3" t="s">
        <v>38481</v>
      </c>
      <c r="P7392" s="5">
        <v>12</v>
      </c>
      <c r="Q7392" s="5">
        <v>219</v>
      </c>
      <c r="R7392" s="5">
        <v>10</v>
      </c>
      <c r="S7392" s="5">
        <v>155</v>
      </c>
    </row>
    <row r="7393" spans="1:19" ht="28" x14ac:dyDescent="0.15">
      <c r="A7393" s="2">
        <f>HYPERLINK("https://open-school.uspishnemisto.com.ua/school/460070/", 460070)</f>
        <v>460070</v>
      </c>
      <c r="B7393" s="3" t="s">
        <v>38482</v>
      </c>
      <c r="C7393" s="3" t="s">
        <v>244</v>
      </c>
      <c r="D7393" s="3" t="s">
        <v>32</v>
      </c>
      <c r="E7393" s="4" t="s">
        <v>22</v>
      </c>
      <c r="F7393" s="4" t="s">
        <v>38201</v>
      </c>
      <c r="G7393" s="4" t="s">
        <v>38463</v>
      </c>
      <c r="H7393" s="3" t="s">
        <v>38194</v>
      </c>
      <c r="I7393" s="3" t="s">
        <v>38464</v>
      </c>
      <c r="J7393" s="3" t="s">
        <v>38483</v>
      </c>
      <c r="K7393" s="3" t="s">
        <v>38484</v>
      </c>
      <c r="L7393" s="3"/>
      <c r="M7393" s="4" t="s">
        <v>38485</v>
      </c>
      <c r="N7393" s="3" t="s">
        <v>37</v>
      </c>
      <c r="O7393" s="3" t="s">
        <v>46</v>
      </c>
      <c r="P7393" s="5">
        <v>28</v>
      </c>
      <c r="Q7393" s="5">
        <v>831</v>
      </c>
      <c r="R7393" s="5">
        <v>27</v>
      </c>
      <c r="S7393" s="5">
        <v>813</v>
      </c>
    </row>
    <row r="7394" spans="1:19" ht="28" x14ac:dyDescent="0.15">
      <c r="A7394" s="2">
        <f>HYPERLINK("https://open-school.uspishnemisto.com.ua/school/460071/", 460071)</f>
        <v>460071</v>
      </c>
      <c r="B7394" s="3" t="s">
        <v>38486</v>
      </c>
      <c r="C7394" s="3" t="s">
        <v>40</v>
      </c>
      <c r="D7394" s="3" t="s">
        <v>32</v>
      </c>
      <c r="E7394" s="4" t="s">
        <v>41</v>
      </c>
      <c r="F7394" s="4" t="s">
        <v>38201</v>
      </c>
      <c r="G7394" s="4" t="s">
        <v>38463</v>
      </c>
      <c r="H7394" s="3" t="s">
        <v>38194</v>
      </c>
      <c r="I7394" s="3" t="s">
        <v>38464</v>
      </c>
      <c r="J7394" s="3" t="s">
        <v>38487</v>
      </c>
      <c r="K7394" s="3" t="s">
        <v>38488</v>
      </c>
      <c r="L7394" s="3"/>
      <c r="M7394" s="4" t="s">
        <v>38489</v>
      </c>
      <c r="N7394" s="3" t="s">
        <v>37</v>
      </c>
      <c r="O7394" s="3" t="s">
        <v>46</v>
      </c>
      <c r="P7394" s="5">
        <v>11</v>
      </c>
      <c r="Q7394" s="5">
        <v>238</v>
      </c>
      <c r="R7394" s="5">
        <v>11</v>
      </c>
      <c r="S7394" s="5">
        <v>235</v>
      </c>
    </row>
    <row r="7395" spans="1:19" ht="28" x14ac:dyDescent="0.15">
      <c r="A7395" s="2">
        <f>HYPERLINK("https://open-school.uspishnemisto.com.ua/school/460072/", 460072)</f>
        <v>460072</v>
      </c>
      <c r="B7395" s="3" t="s">
        <v>38490</v>
      </c>
      <c r="C7395" s="3" t="s">
        <v>54</v>
      </c>
      <c r="D7395" s="3" t="s">
        <v>21</v>
      </c>
      <c r="E7395" s="4" t="s">
        <v>22</v>
      </c>
      <c r="F7395" s="4" t="s">
        <v>38251</v>
      </c>
      <c r="G7395" s="4" t="s">
        <v>38463</v>
      </c>
      <c r="H7395" s="3" t="s">
        <v>38194</v>
      </c>
      <c r="I7395" s="3" t="s">
        <v>38464</v>
      </c>
      <c r="J7395" s="3" t="s">
        <v>38491</v>
      </c>
      <c r="K7395" s="3" t="s">
        <v>38492</v>
      </c>
      <c r="L7395" s="3"/>
      <c r="M7395" s="4"/>
      <c r="N7395" s="3" t="s">
        <v>37</v>
      </c>
      <c r="O7395" s="3" t="s">
        <v>52</v>
      </c>
      <c r="P7395" s="5">
        <v>6</v>
      </c>
      <c r="Q7395" s="5">
        <v>127</v>
      </c>
      <c r="R7395" s="5">
        <v>4</v>
      </c>
      <c r="S7395" s="5">
        <v>79</v>
      </c>
    </row>
    <row r="7396" spans="1:19" ht="28" x14ac:dyDescent="0.15">
      <c r="A7396" s="2">
        <f>HYPERLINK("https://open-school.uspishnemisto.com.ua/school/460073/", 460073)</f>
        <v>460073</v>
      </c>
      <c r="B7396" s="3" t="s">
        <v>38493</v>
      </c>
      <c r="C7396" s="3" t="s">
        <v>54</v>
      </c>
      <c r="D7396" s="3" t="s">
        <v>175</v>
      </c>
      <c r="E7396" s="4" t="s">
        <v>41</v>
      </c>
      <c r="F7396" s="4" t="s">
        <v>38255</v>
      </c>
      <c r="G7396" s="4" t="s">
        <v>38463</v>
      </c>
      <c r="H7396" s="3" t="s">
        <v>38194</v>
      </c>
      <c r="I7396" s="3" t="s">
        <v>38464</v>
      </c>
      <c r="J7396" s="3" t="s">
        <v>38494</v>
      </c>
      <c r="K7396" s="3" t="s">
        <v>38495</v>
      </c>
      <c r="L7396" s="3"/>
      <c r="M7396" s="4" t="s">
        <v>38496</v>
      </c>
      <c r="N7396" s="3" t="s">
        <v>37</v>
      </c>
      <c r="O7396" s="3" t="s">
        <v>52</v>
      </c>
      <c r="P7396" s="5">
        <v>15</v>
      </c>
      <c r="Q7396" s="5">
        <v>191</v>
      </c>
      <c r="R7396" s="5">
        <v>13</v>
      </c>
      <c r="S7396" s="5">
        <v>180</v>
      </c>
    </row>
    <row r="7397" spans="1:19" ht="28" x14ac:dyDescent="0.15">
      <c r="A7397" s="2">
        <f>HYPERLINK("https://open-school.uspishnemisto.com.ua/school/460074/", 460074)</f>
        <v>460074</v>
      </c>
      <c r="B7397" s="3" t="s">
        <v>38497</v>
      </c>
      <c r="C7397" s="3" t="s">
        <v>31</v>
      </c>
      <c r="D7397" s="3" t="s">
        <v>32</v>
      </c>
      <c r="E7397" s="4" t="s">
        <v>22</v>
      </c>
      <c r="F7397" s="4" t="s">
        <v>38394</v>
      </c>
      <c r="G7397" s="4" t="s">
        <v>38463</v>
      </c>
      <c r="H7397" s="3" t="s">
        <v>38194</v>
      </c>
      <c r="I7397" s="3" t="s">
        <v>38464</v>
      </c>
      <c r="J7397" s="3" t="s">
        <v>38498</v>
      </c>
      <c r="K7397" s="3" t="s">
        <v>38499</v>
      </c>
      <c r="L7397" s="3" t="s">
        <v>38500</v>
      </c>
      <c r="M7397" s="4" t="s">
        <v>38501</v>
      </c>
      <c r="N7397" s="3" t="s">
        <v>37</v>
      </c>
      <c r="O7397" s="3" t="s">
        <v>139</v>
      </c>
      <c r="P7397" s="5">
        <v>20</v>
      </c>
      <c r="Q7397" s="5">
        <v>445</v>
      </c>
      <c r="R7397" s="5">
        <v>20</v>
      </c>
      <c r="S7397" s="5">
        <v>454</v>
      </c>
    </row>
    <row r="7398" spans="1:19" ht="28" x14ac:dyDescent="0.15">
      <c r="A7398" s="2">
        <f>HYPERLINK("https://open-school.uspishnemisto.com.ua/school/460075/", 460075)</f>
        <v>460075</v>
      </c>
      <c r="B7398" s="3" t="s">
        <v>38502</v>
      </c>
      <c r="C7398" s="3" t="s">
        <v>31</v>
      </c>
      <c r="D7398" s="3" t="s">
        <v>32</v>
      </c>
      <c r="E7398" s="4" t="s">
        <v>22</v>
      </c>
      <c r="F7398" s="4" t="s">
        <v>38251</v>
      </c>
      <c r="G7398" s="4" t="s">
        <v>38463</v>
      </c>
      <c r="H7398" s="3" t="s">
        <v>38194</v>
      </c>
      <c r="I7398" s="3" t="s">
        <v>38464</v>
      </c>
      <c r="J7398" s="3" t="s">
        <v>38503</v>
      </c>
      <c r="K7398" s="3" t="s">
        <v>38504</v>
      </c>
      <c r="L7398" s="3"/>
      <c r="M7398" s="4" t="s">
        <v>38505</v>
      </c>
      <c r="N7398" s="3" t="s">
        <v>967</v>
      </c>
      <c r="O7398" s="3" t="s">
        <v>52</v>
      </c>
      <c r="P7398" s="5">
        <v>24</v>
      </c>
      <c r="Q7398" s="5">
        <v>574</v>
      </c>
      <c r="R7398" s="5">
        <v>24</v>
      </c>
      <c r="S7398" s="5">
        <v>563</v>
      </c>
    </row>
    <row r="7399" spans="1:19" ht="28" x14ac:dyDescent="0.15">
      <c r="A7399" s="2">
        <f>HYPERLINK("https://open-school.uspishnemisto.com.ua/school/460077/", 460077)</f>
        <v>460077</v>
      </c>
      <c r="B7399" s="3" t="s">
        <v>38506</v>
      </c>
      <c r="C7399" s="3" t="s">
        <v>31</v>
      </c>
      <c r="D7399" s="3" t="s">
        <v>32</v>
      </c>
      <c r="E7399" s="4" t="s">
        <v>22</v>
      </c>
      <c r="F7399" s="4" t="s">
        <v>38221</v>
      </c>
      <c r="G7399" s="4" t="s">
        <v>38507</v>
      </c>
      <c r="H7399" s="3" t="s">
        <v>38194</v>
      </c>
      <c r="I7399" s="3" t="s">
        <v>38508</v>
      </c>
      <c r="J7399" s="3" t="s">
        <v>38377</v>
      </c>
      <c r="K7399" s="3" t="s">
        <v>38509</v>
      </c>
      <c r="L7399" s="3"/>
      <c r="M7399" s="4"/>
      <c r="N7399" s="3" t="s">
        <v>37</v>
      </c>
      <c r="O7399" s="3" t="s">
        <v>46</v>
      </c>
      <c r="P7399" s="5">
        <v>15</v>
      </c>
      <c r="Q7399" s="5">
        <v>310</v>
      </c>
      <c r="R7399" s="5">
        <v>15</v>
      </c>
      <c r="S7399" s="5">
        <v>302</v>
      </c>
    </row>
    <row r="7400" spans="1:19" ht="28" x14ac:dyDescent="0.15">
      <c r="A7400" s="2">
        <f>HYPERLINK("https://open-school.uspishnemisto.com.ua/school/460078/", 460078)</f>
        <v>460078</v>
      </c>
      <c r="B7400" s="3" t="s">
        <v>38510</v>
      </c>
      <c r="C7400" s="3" t="s">
        <v>244</v>
      </c>
      <c r="D7400" s="3" t="s">
        <v>32</v>
      </c>
      <c r="E7400" s="4" t="s">
        <v>22</v>
      </c>
      <c r="F7400" s="4" t="s">
        <v>38389</v>
      </c>
      <c r="G7400" s="4" t="s">
        <v>38507</v>
      </c>
      <c r="H7400" s="3" t="s">
        <v>38194</v>
      </c>
      <c r="I7400" s="3" t="s">
        <v>38508</v>
      </c>
      <c r="J7400" s="3" t="s">
        <v>38511</v>
      </c>
      <c r="K7400" s="3" t="s">
        <v>38512</v>
      </c>
      <c r="L7400" s="3"/>
      <c r="M7400" s="4" t="s">
        <v>38513</v>
      </c>
      <c r="N7400" s="3" t="s">
        <v>37</v>
      </c>
      <c r="O7400" s="3" t="s">
        <v>52</v>
      </c>
      <c r="P7400" s="5">
        <v>12</v>
      </c>
      <c r="Q7400" s="5">
        <v>361</v>
      </c>
      <c r="R7400" s="5">
        <v>12</v>
      </c>
      <c r="S7400" s="5">
        <v>344</v>
      </c>
    </row>
    <row r="7401" spans="1:19" ht="28" x14ac:dyDescent="0.15">
      <c r="A7401" s="2">
        <f>HYPERLINK("https://open-school.uspishnemisto.com.ua/school/460079/", 460079)</f>
        <v>460079</v>
      </c>
      <c r="B7401" s="3" t="s">
        <v>38514</v>
      </c>
      <c r="C7401" s="3" t="s">
        <v>244</v>
      </c>
      <c r="D7401" s="3" t="s">
        <v>32</v>
      </c>
      <c r="E7401" s="4" t="s">
        <v>22</v>
      </c>
      <c r="F7401" s="4" t="s">
        <v>38198</v>
      </c>
      <c r="G7401" s="4" t="s">
        <v>38507</v>
      </c>
      <c r="H7401" s="3" t="s">
        <v>38194</v>
      </c>
      <c r="I7401" s="3" t="s">
        <v>38508</v>
      </c>
      <c r="J7401" s="3" t="s">
        <v>38515</v>
      </c>
      <c r="K7401" s="3" t="s">
        <v>38516</v>
      </c>
      <c r="L7401" s="3"/>
      <c r="M7401" s="4" t="s">
        <v>38517</v>
      </c>
      <c r="N7401" s="3" t="s">
        <v>37</v>
      </c>
      <c r="O7401" s="3" t="s">
        <v>2740</v>
      </c>
      <c r="P7401" s="5">
        <v>18</v>
      </c>
      <c r="Q7401" s="5">
        <v>416</v>
      </c>
      <c r="R7401" s="5">
        <v>16</v>
      </c>
      <c r="S7401" s="5">
        <v>367</v>
      </c>
    </row>
    <row r="7402" spans="1:19" ht="28" x14ac:dyDescent="0.15">
      <c r="A7402" s="2">
        <f>HYPERLINK("https://open-school.uspishnemisto.com.ua/school/460080/", 460080)</f>
        <v>460080</v>
      </c>
      <c r="B7402" s="3" t="s">
        <v>38518</v>
      </c>
      <c r="C7402" s="3" t="s">
        <v>54</v>
      </c>
      <c r="D7402" s="3" t="s">
        <v>32</v>
      </c>
      <c r="E7402" s="4" t="s">
        <v>22</v>
      </c>
      <c r="F7402" s="4" t="s">
        <v>38294</v>
      </c>
      <c r="G7402" s="4" t="s">
        <v>38507</v>
      </c>
      <c r="H7402" s="3" t="s">
        <v>38194</v>
      </c>
      <c r="I7402" s="3" t="s">
        <v>38508</v>
      </c>
      <c r="J7402" s="3" t="s">
        <v>38519</v>
      </c>
      <c r="K7402" s="3" t="s">
        <v>38520</v>
      </c>
      <c r="L7402" s="3"/>
      <c r="M7402" s="4" t="s">
        <v>38521</v>
      </c>
      <c r="N7402" s="3" t="s">
        <v>37</v>
      </c>
      <c r="O7402" s="3" t="s">
        <v>46</v>
      </c>
      <c r="P7402" s="5">
        <v>37</v>
      </c>
      <c r="Q7402" s="5">
        <v>1037</v>
      </c>
      <c r="R7402" s="5">
        <v>34</v>
      </c>
      <c r="S7402" s="5">
        <v>996</v>
      </c>
    </row>
    <row r="7403" spans="1:19" ht="28" x14ac:dyDescent="0.15">
      <c r="A7403" s="2">
        <f>HYPERLINK("https://open-school.uspishnemisto.com.ua/school/460081/", 460081)</f>
        <v>460081</v>
      </c>
      <c r="B7403" s="3" t="s">
        <v>38522</v>
      </c>
      <c r="C7403" s="3" t="s">
        <v>31</v>
      </c>
      <c r="D7403" s="3" t="s">
        <v>32</v>
      </c>
      <c r="E7403" s="4" t="s">
        <v>22</v>
      </c>
      <c r="F7403" s="4" t="s">
        <v>38407</v>
      </c>
      <c r="G7403" s="4" t="s">
        <v>38507</v>
      </c>
      <c r="H7403" s="3" t="s">
        <v>38194</v>
      </c>
      <c r="I7403" s="3" t="s">
        <v>38508</v>
      </c>
      <c r="J7403" s="3" t="s">
        <v>38523</v>
      </c>
      <c r="K7403" s="3" t="s">
        <v>38524</v>
      </c>
      <c r="L7403" s="3"/>
      <c r="M7403" s="4" t="s">
        <v>38525</v>
      </c>
      <c r="N7403" s="3" t="s">
        <v>37</v>
      </c>
      <c r="O7403" s="3" t="s">
        <v>46</v>
      </c>
      <c r="P7403" s="5">
        <v>28</v>
      </c>
      <c r="Q7403" s="5">
        <v>724</v>
      </c>
      <c r="R7403" s="5">
        <v>28</v>
      </c>
      <c r="S7403" s="5">
        <v>721</v>
      </c>
    </row>
    <row r="7404" spans="1:19" ht="28" x14ac:dyDescent="0.15">
      <c r="A7404" s="2">
        <f>HYPERLINK("https://open-school.uspishnemisto.com.ua/school/460082/", 460082)</f>
        <v>460082</v>
      </c>
      <c r="B7404" s="3" t="s">
        <v>38526</v>
      </c>
      <c r="C7404" s="3" t="s">
        <v>54</v>
      </c>
      <c r="D7404" s="3" t="s">
        <v>32</v>
      </c>
      <c r="E7404" s="4" t="s">
        <v>22</v>
      </c>
      <c r="F7404" s="4" t="s">
        <v>38294</v>
      </c>
      <c r="G7404" s="4" t="s">
        <v>38507</v>
      </c>
      <c r="H7404" s="3" t="s">
        <v>38194</v>
      </c>
      <c r="I7404" s="3" t="s">
        <v>38508</v>
      </c>
      <c r="J7404" s="3" t="s">
        <v>38527</v>
      </c>
      <c r="K7404" s="3" t="s">
        <v>38528</v>
      </c>
      <c r="L7404" s="3"/>
      <c r="M7404" s="4" t="s">
        <v>38529</v>
      </c>
      <c r="N7404" s="3" t="s">
        <v>37</v>
      </c>
      <c r="O7404" s="3" t="s">
        <v>38530</v>
      </c>
      <c r="P7404" s="5">
        <v>43</v>
      </c>
      <c r="Q7404" s="5">
        <v>1398</v>
      </c>
      <c r="R7404" s="5">
        <v>43</v>
      </c>
      <c r="S7404" s="5">
        <v>1371</v>
      </c>
    </row>
    <row r="7405" spans="1:19" ht="28" x14ac:dyDescent="0.15">
      <c r="A7405" s="2">
        <f>HYPERLINK("https://open-school.uspishnemisto.com.ua/school/460083/", 460083)</f>
        <v>460083</v>
      </c>
      <c r="B7405" s="3" t="s">
        <v>38531</v>
      </c>
      <c r="C7405" s="3" t="s">
        <v>31</v>
      </c>
      <c r="D7405" s="3" t="s">
        <v>32</v>
      </c>
      <c r="E7405" s="4" t="s">
        <v>22</v>
      </c>
      <c r="F7405" s="4" t="s">
        <v>38294</v>
      </c>
      <c r="G7405" s="4" t="s">
        <v>38507</v>
      </c>
      <c r="H7405" s="3" t="s">
        <v>38194</v>
      </c>
      <c r="I7405" s="3" t="s">
        <v>38508</v>
      </c>
      <c r="J7405" s="3" t="s">
        <v>38532</v>
      </c>
      <c r="K7405" s="3" t="s">
        <v>38533</v>
      </c>
      <c r="L7405" s="3"/>
      <c r="M7405" s="4" t="s">
        <v>38534</v>
      </c>
      <c r="N7405" s="3" t="s">
        <v>37</v>
      </c>
      <c r="O7405" s="3" t="s">
        <v>237</v>
      </c>
      <c r="P7405" s="5">
        <v>29</v>
      </c>
      <c r="Q7405" s="5">
        <v>803</v>
      </c>
      <c r="R7405" s="5">
        <v>29</v>
      </c>
      <c r="S7405" s="5">
        <v>821</v>
      </c>
    </row>
    <row r="7406" spans="1:19" ht="28" x14ac:dyDescent="0.15">
      <c r="A7406" s="2">
        <f>HYPERLINK("https://open-school.uspishnemisto.com.ua/school/460084/", 460084)</f>
        <v>460084</v>
      </c>
      <c r="B7406" s="3" t="s">
        <v>38535</v>
      </c>
      <c r="C7406" s="3" t="s">
        <v>31</v>
      </c>
      <c r="D7406" s="3" t="s">
        <v>32</v>
      </c>
      <c r="E7406" s="4" t="s">
        <v>22</v>
      </c>
      <c r="F7406" s="4" t="s">
        <v>38389</v>
      </c>
      <c r="G7406" s="4" t="s">
        <v>38507</v>
      </c>
      <c r="H7406" s="3" t="s">
        <v>38194</v>
      </c>
      <c r="I7406" s="3" t="s">
        <v>38508</v>
      </c>
      <c r="J7406" s="3" t="s">
        <v>38536</v>
      </c>
      <c r="K7406" s="3" t="s">
        <v>38537</v>
      </c>
      <c r="L7406" s="3" t="s">
        <v>38538</v>
      </c>
      <c r="M7406" s="4" t="s">
        <v>38539</v>
      </c>
      <c r="N7406" s="3" t="s">
        <v>37</v>
      </c>
      <c r="O7406" s="3" t="s">
        <v>46</v>
      </c>
      <c r="P7406" s="5">
        <v>30</v>
      </c>
      <c r="Q7406" s="5">
        <v>829</v>
      </c>
      <c r="R7406" s="5">
        <v>30</v>
      </c>
      <c r="S7406" s="5">
        <v>834</v>
      </c>
    </row>
    <row r="7407" spans="1:19" ht="28" x14ac:dyDescent="0.15">
      <c r="A7407" s="2">
        <f>HYPERLINK("https://open-school.uspishnemisto.com.ua/school/460085/", 460085)</f>
        <v>460085</v>
      </c>
      <c r="B7407" s="3" t="s">
        <v>38540</v>
      </c>
      <c r="C7407" s="3" t="s">
        <v>31</v>
      </c>
      <c r="D7407" s="3" t="s">
        <v>32</v>
      </c>
      <c r="E7407" s="4" t="s">
        <v>22</v>
      </c>
      <c r="F7407" s="4" t="s">
        <v>38389</v>
      </c>
      <c r="G7407" s="4" t="s">
        <v>38507</v>
      </c>
      <c r="H7407" s="3" t="s">
        <v>38194</v>
      </c>
      <c r="I7407" s="3" t="s">
        <v>38508</v>
      </c>
      <c r="J7407" s="3" t="s">
        <v>38541</v>
      </c>
      <c r="K7407" s="3" t="s">
        <v>38542</v>
      </c>
      <c r="L7407" s="3"/>
      <c r="M7407" s="4" t="s">
        <v>38543</v>
      </c>
      <c r="N7407" s="3" t="s">
        <v>37</v>
      </c>
      <c r="O7407" s="3" t="s">
        <v>46</v>
      </c>
      <c r="P7407" s="5">
        <v>33</v>
      </c>
      <c r="Q7407" s="5">
        <v>967</v>
      </c>
      <c r="R7407" s="5">
        <v>31</v>
      </c>
      <c r="S7407" s="5">
        <v>935</v>
      </c>
    </row>
    <row r="7408" spans="1:19" ht="28" x14ac:dyDescent="0.15">
      <c r="A7408" s="2">
        <f>HYPERLINK("https://open-school.uspishnemisto.com.ua/school/460086/", 460086)</f>
        <v>460086</v>
      </c>
      <c r="B7408" s="3" t="s">
        <v>38544</v>
      </c>
      <c r="C7408" s="3" t="s">
        <v>31</v>
      </c>
      <c r="D7408" s="3" t="s">
        <v>32</v>
      </c>
      <c r="E7408" s="4" t="s">
        <v>22</v>
      </c>
      <c r="F7408" s="4" t="s">
        <v>38545</v>
      </c>
      <c r="G7408" s="4" t="s">
        <v>38507</v>
      </c>
      <c r="H7408" s="3" t="s">
        <v>38194</v>
      </c>
      <c r="I7408" s="3" t="s">
        <v>38508</v>
      </c>
      <c r="J7408" s="3" t="s">
        <v>38546</v>
      </c>
      <c r="K7408" s="3" t="s">
        <v>38547</v>
      </c>
      <c r="L7408" s="3" t="s">
        <v>38548</v>
      </c>
      <c r="M7408" s="4" t="s">
        <v>38549</v>
      </c>
      <c r="N7408" s="3" t="s">
        <v>37</v>
      </c>
      <c r="O7408" s="3" t="s">
        <v>46</v>
      </c>
      <c r="P7408" s="5">
        <v>47</v>
      </c>
      <c r="Q7408" s="5">
        <v>1313</v>
      </c>
      <c r="R7408" s="5">
        <v>44</v>
      </c>
      <c r="S7408" s="5">
        <v>1261</v>
      </c>
    </row>
    <row r="7409" spans="1:19" ht="28" x14ac:dyDescent="0.15">
      <c r="A7409" s="2">
        <f>HYPERLINK("https://open-school.uspishnemisto.com.ua/school/460087/", 460087)</f>
        <v>460087</v>
      </c>
      <c r="B7409" s="3" t="s">
        <v>38550</v>
      </c>
      <c r="C7409" s="3" t="s">
        <v>31</v>
      </c>
      <c r="D7409" s="3" t="s">
        <v>32</v>
      </c>
      <c r="E7409" s="4" t="s">
        <v>22</v>
      </c>
      <c r="F7409" s="4" t="s">
        <v>38545</v>
      </c>
      <c r="G7409" s="4" t="s">
        <v>38507</v>
      </c>
      <c r="H7409" s="3" t="s">
        <v>38194</v>
      </c>
      <c r="I7409" s="3" t="s">
        <v>38508</v>
      </c>
      <c r="J7409" s="3" t="s">
        <v>38551</v>
      </c>
      <c r="K7409" s="3" t="s">
        <v>38552</v>
      </c>
      <c r="L7409" s="3" t="s">
        <v>38553</v>
      </c>
      <c r="M7409" s="4" t="s">
        <v>38554</v>
      </c>
      <c r="N7409" s="3" t="s">
        <v>37</v>
      </c>
      <c r="O7409" s="3" t="s">
        <v>52</v>
      </c>
      <c r="P7409" s="5">
        <v>22</v>
      </c>
      <c r="Q7409" s="5">
        <v>573</v>
      </c>
      <c r="R7409" s="5">
        <v>21</v>
      </c>
      <c r="S7409" s="5">
        <v>530</v>
      </c>
    </row>
    <row r="7410" spans="1:19" ht="28" x14ac:dyDescent="0.15">
      <c r="A7410" s="2">
        <f>HYPERLINK("https://open-school.uspishnemisto.com.ua/school/460088/", 460088)</f>
        <v>460088</v>
      </c>
      <c r="B7410" s="3" t="s">
        <v>38555</v>
      </c>
      <c r="C7410" s="3" t="s">
        <v>31</v>
      </c>
      <c r="D7410" s="3" t="s">
        <v>32</v>
      </c>
      <c r="E7410" s="4" t="s">
        <v>22</v>
      </c>
      <c r="F7410" s="4" t="s">
        <v>38221</v>
      </c>
      <c r="G7410" s="4" t="s">
        <v>38507</v>
      </c>
      <c r="H7410" s="3" t="s">
        <v>38194</v>
      </c>
      <c r="I7410" s="3" t="s">
        <v>38508</v>
      </c>
      <c r="J7410" s="3" t="s">
        <v>38556</v>
      </c>
      <c r="K7410" s="3" t="s">
        <v>38557</v>
      </c>
      <c r="L7410" s="3"/>
      <c r="M7410" s="4" t="s">
        <v>38558</v>
      </c>
      <c r="N7410" s="3" t="s">
        <v>37</v>
      </c>
      <c r="O7410" s="3" t="s">
        <v>46</v>
      </c>
      <c r="P7410" s="5">
        <v>37</v>
      </c>
      <c r="Q7410" s="5">
        <v>1134</v>
      </c>
      <c r="R7410" s="5">
        <v>36</v>
      </c>
      <c r="S7410" s="5">
        <v>1117</v>
      </c>
    </row>
    <row r="7411" spans="1:19" ht="42" x14ac:dyDescent="0.15">
      <c r="A7411" s="2">
        <f>HYPERLINK("https://open-school.uspishnemisto.com.ua/school/460089/", 460089)</f>
        <v>460089</v>
      </c>
      <c r="B7411" s="3" t="s">
        <v>38559</v>
      </c>
      <c r="C7411" s="3" t="s">
        <v>244</v>
      </c>
      <c r="D7411" s="3" t="s">
        <v>32</v>
      </c>
      <c r="E7411" s="4" t="s">
        <v>22</v>
      </c>
      <c r="F7411" s="4" t="s">
        <v>38221</v>
      </c>
      <c r="G7411" s="4" t="s">
        <v>38507</v>
      </c>
      <c r="H7411" s="3" t="s">
        <v>38194</v>
      </c>
      <c r="I7411" s="3" t="s">
        <v>38508</v>
      </c>
      <c r="J7411" s="3" t="s">
        <v>38560</v>
      </c>
      <c r="K7411" s="3" t="s">
        <v>38561</v>
      </c>
      <c r="L7411" s="3" t="s">
        <v>38562</v>
      </c>
      <c r="M7411" s="4" t="s">
        <v>38563</v>
      </c>
      <c r="N7411" s="3" t="s">
        <v>37</v>
      </c>
      <c r="O7411" s="3" t="s">
        <v>237</v>
      </c>
      <c r="P7411" s="5">
        <v>46</v>
      </c>
      <c r="Q7411" s="5">
        <v>1521</v>
      </c>
      <c r="R7411" s="5">
        <v>44</v>
      </c>
      <c r="S7411" s="5">
        <v>1462</v>
      </c>
    </row>
    <row r="7412" spans="1:19" ht="28" x14ac:dyDescent="0.15">
      <c r="A7412" s="2">
        <f>HYPERLINK("https://open-school.uspishnemisto.com.ua/school/461367/", 461367)</f>
        <v>461367</v>
      </c>
      <c r="B7412" s="3" t="s">
        <v>38564</v>
      </c>
      <c r="C7412" s="3" t="s">
        <v>54</v>
      </c>
      <c r="D7412" s="3" t="s">
        <v>32</v>
      </c>
      <c r="E7412" s="4" t="s">
        <v>41</v>
      </c>
      <c r="F7412" s="4" t="s">
        <v>38389</v>
      </c>
      <c r="G7412" s="4" t="s">
        <v>38507</v>
      </c>
      <c r="H7412" s="3" t="s">
        <v>38194</v>
      </c>
      <c r="I7412" s="3" t="s">
        <v>38508</v>
      </c>
      <c r="J7412" s="3" t="s">
        <v>38565</v>
      </c>
      <c r="K7412" s="3" t="s">
        <v>38566</v>
      </c>
      <c r="L7412" s="3"/>
      <c r="M7412" s="4" t="s">
        <v>38567</v>
      </c>
      <c r="N7412" s="3" t="s">
        <v>37</v>
      </c>
      <c r="O7412" s="3" t="s">
        <v>123</v>
      </c>
      <c r="P7412" s="5">
        <v>20</v>
      </c>
      <c r="Q7412" s="5">
        <v>235</v>
      </c>
      <c r="R7412" s="5"/>
      <c r="S7412" s="5"/>
    </row>
    <row r="7413" spans="1:19" ht="28" x14ac:dyDescent="0.15">
      <c r="A7413" s="2">
        <f>HYPERLINK("https://open-school.uspishnemisto.com.ua/school/460041/", 460041)</f>
        <v>460041</v>
      </c>
      <c r="B7413" s="3" t="s">
        <v>38568</v>
      </c>
      <c r="C7413" s="3" t="s">
        <v>31</v>
      </c>
      <c r="D7413" s="3" t="s">
        <v>32</v>
      </c>
      <c r="E7413" s="4" t="s">
        <v>22</v>
      </c>
      <c r="F7413" s="4" t="s">
        <v>38334</v>
      </c>
      <c r="G7413" s="4" t="s">
        <v>38569</v>
      </c>
      <c r="H7413" s="3" t="s">
        <v>38194</v>
      </c>
      <c r="I7413" s="3" t="s">
        <v>38570</v>
      </c>
      <c r="J7413" s="3" t="s">
        <v>38571</v>
      </c>
      <c r="K7413" s="3" t="s">
        <v>38572</v>
      </c>
      <c r="L7413" s="3"/>
      <c r="M7413" s="4" t="s">
        <v>38573</v>
      </c>
      <c r="N7413" s="3" t="s">
        <v>37</v>
      </c>
      <c r="O7413" s="3" t="s">
        <v>52</v>
      </c>
      <c r="P7413" s="5">
        <v>20</v>
      </c>
      <c r="Q7413" s="5">
        <v>499</v>
      </c>
      <c r="R7413" s="5">
        <v>20</v>
      </c>
      <c r="S7413" s="5">
        <v>460</v>
      </c>
    </row>
    <row r="7414" spans="1:19" ht="28" x14ac:dyDescent="0.15">
      <c r="A7414" s="2">
        <f>HYPERLINK("https://open-school.uspishnemisto.com.ua/school/460090/", 460090)</f>
        <v>460090</v>
      </c>
      <c r="B7414" s="3" t="s">
        <v>38574</v>
      </c>
      <c r="C7414" s="3" t="s">
        <v>40</v>
      </c>
      <c r="D7414" s="3" t="s">
        <v>32</v>
      </c>
      <c r="E7414" s="4" t="s">
        <v>41</v>
      </c>
      <c r="F7414" s="4" t="s">
        <v>38299</v>
      </c>
      <c r="G7414" s="4" t="s">
        <v>38569</v>
      </c>
      <c r="H7414" s="3" t="s">
        <v>38194</v>
      </c>
      <c r="I7414" s="3" t="s">
        <v>38570</v>
      </c>
      <c r="J7414" s="3" t="s">
        <v>38300</v>
      </c>
      <c r="K7414" s="3" t="s">
        <v>38575</v>
      </c>
      <c r="L7414" s="3"/>
      <c r="M7414" s="4"/>
      <c r="N7414" s="3" t="s">
        <v>37</v>
      </c>
      <c r="O7414" s="3" t="s">
        <v>46</v>
      </c>
      <c r="P7414" s="5">
        <v>10</v>
      </c>
      <c r="Q7414" s="5">
        <v>63</v>
      </c>
      <c r="R7414" s="5">
        <v>10</v>
      </c>
      <c r="S7414" s="5">
        <v>68</v>
      </c>
    </row>
    <row r="7415" spans="1:19" ht="28" x14ac:dyDescent="0.15">
      <c r="A7415" s="2">
        <f>HYPERLINK("https://open-school.uspishnemisto.com.ua/school/460091/", 460091)</f>
        <v>460091</v>
      </c>
      <c r="B7415" s="3" t="s">
        <v>38576</v>
      </c>
      <c r="C7415" s="3" t="s">
        <v>2634</v>
      </c>
      <c r="D7415" s="3" t="s">
        <v>32</v>
      </c>
      <c r="E7415" s="4" t="s">
        <v>22</v>
      </c>
      <c r="F7415" s="4" t="s">
        <v>38373</v>
      </c>
      <c r="G7415" s="4" t="s">
        <v>38569</v>
      </c>
      <c r="H7415" s="3" t="s">
        <v>38194</v>
      </c>
      <c r="I7415" s="3" t="s">
        <v>38570</v>
      </c>
      <c r="J7415" s="3" t="s">
        <v>38577</v>
      </c>
      <c r="K7415" s="3" t="s">
        <v>38578</v>
      </c>
      <c r="L7415" s="3" t="s">
        <v>38579</v>
      </c>
      <c r="M7415" s="4" t="s">
        <v>38580</v>
      </c>
      <c r="N7415" s="3" t="s">
        <v>37</v>
      </c>
      <c r="O7415" s="3" t="s">
        <v>52</v>
      </c>
      <c r="P7415" s="5">
        <v>14</v>
      </c>
      <c r="Q7415" s="5">
        <v>231</v>
      </c>
      <c r="R7415" s="5">
        <v>16</v>
      </c>
      <c r="S7415" s="5">
        <v>254</v>
      </c>
    </row>
    <row r="7416" spans="1:19" ht="42" x14ac:dyDescent="0.15">
      <c r="A7416" s="2">
        <f>HYPERLINK("https://open-school.uspishnemisto.com.ua/school/460092/", 460092)</f>
        <v>460092</v>
      </c>
      <c r="B7416" s="3" t="s">
        <v>38581</v>
      </c>
      <c r="C7416" s="3" t="s">
        <v>40</v>
      </c>
      <c r="D7416" s="3" t="s">
        <v>32</v>
      </c>
      <c r="E7416" s="4" t="s">
        <v>22</v>
      </c>
      <c r="F7416" s="4" t="s">
        <v>38324</v>
      </c>
      <c r="G7416" s="4" t="s">
        <v>38569</v>
      </c>
      <c r="H7416" s="3" t="s">
        <v>38194</v>
      </c>
      <c r="I7416" s="3" t="s">
        <v>38570</v>
      </c>
      <c r="J7416" s="3" t="s">
        <v>38582</v>
      </c>
      <c r="K7416" s="3" t="s">
        <v>38583</v>
      </c>
      <c r="L7416" s="3" t="s">
        <v>38584</v>
      </c>
      <c r="M7416" s="4" t="s">
        <v>38585</v>
      </c>
      <c r="N7416" s="3" t="s">
        <v>37</v>
      </c>
      <c r="O7416" s="3" t="s">
        <v>38586</v>
      </c>
      <c r="P7416" s="5">
        <v>15</v>
      </c>
      <c r="Q7416" s="5">
        <v>461</v>
      </c>
      <c r="R7416" s="5">
        <v>15</v>
      </c>
      <c r="S7416" s="5">
        <v>463</v>
      </c>
    </row>
    <row r="7417" spans="1:19" ht="28" x14ac:dyDescent="0.15">
      <c r="A7417" s="2">
        <f>HYPERLINK("https://open-school.uspishnemisto.com.ua/school/460094/", 460094)</f>
        <v>460094</v>
      </c>
      <c r="B7417" s="3" t="s">
        <v>38587</v>
      </c>
      <c r="C7417" s="3" t="s">
        <v>181</v>
      </c>
      <c r="D7417" s="3" t="s">
        <v>175</v>
      </c>
      <c r="E7417" s="4" t="s">
        <v>22</v>
      </c>
      <c r="F7417" s="4" t="s">
        <v>38588</v>
      </c>
      <c r="G7417" s="4" t="s">
        <v>38569</v>
      </c>
      <c r="H7417" s="3" t="s">
        <v>38194</v>
      </c>
      <c r="I7417" s="3" t="s">
        <v>38570</v>
      </c>
      <c r="J7417" s="3" t="s">
        <v>38589</v>
      </c>
      <c r="K7417" s="3" t="s">
        <v>38590</v>
      </c>
      <c r="L7417" s="3" t="s">
        <v>38591</v>
      </c>
      <c r="M7417" s="4" t="s">
        <v>38592</v>
      </c>
      <c r="N7417" s="3" t="s">
        <v>37</v>
      </c>
      <c r="O7417" s="3" t="s">
        <v>52</v>
      </c>
      <c r="P7417" s="5">
        <v>10</v>
      </c>
      <c r="Q7417" s="5">
        <v>79</v>
      </c>
      <c r="R7417" s="5">
        <v>12</v>
      </c>
      <c r="S7417" s="5">
        <v>93</v>
      </c>
    </row>
    <row r="7418" spans="1:19" ht="42" x14ac:dyDescent="0.15">
      <c r="A7418" s="2">
        <f>HYPERLINK("https://open-school.uspishnemisto.com.ua/school/460095/", 460095)</f>
        <v>460095</v>
      </c>
      <c r="B7418" s="3" t="s">
        <v>38593</v>
      </c>
      <c r="C7418" s="3" t="s">
        <v>31</v>
      </c>
      <c r="D7418" s="3" t="s">
        <v>175</v>
      </c>
      <c r="E7418" s="4" t="s">
        <v>22</v>
      </c>
      <c r="F7418" s="4" t="s">
        <v>38286</v>
      </c>
      <c r="G7418" s="4" t="s">
        <v>38569</v>
      </c>
      <c r="H7418" s="3" t="s">
        <v>38194</v>
      </c>
      <c r="I7418" s="3" t="s">
        <v>38570</v>
      </c>
      <c r="J7418" s="3" t="s">
        <v>38594</v>
      </c>
      <c r="K7418" s="3" t="s">
        <v>38595</v>
      </c>
      <c r="L7418" s="3"/>
      <c r="M7418" s="4"/>
      <c r="N7418" s="3" t="s">
        <v>37</v>
      </c>
      <c r="O7418" s="3" t="s">
        <v>52</v>
      </c>
      <c r="P7418" s="5">
        <v>10</v>
      </c>
      <c r="Q7418" s="5">
        <v>280</v>
      </c>
      <c r="R7418" s="5">
        <v>10</v>
      </c>
      <c r="S7418" s="5">
        <v>283</v>
      </c>
    </row>
    <row r="7419" spans="1:19" ht="28" x14ac:dyDescent="0.15">
      <c r="A7419" s="2">
        <f>HYPERLINK("https://open-school.uspishnemisto.com.ua/school/460096/", 460096)</f>
        <v>460096</v>
      </c>
      <c r="B7419" s="3" t="s">
        <v>38596</v>
      </c>
      <c r="C7419" s="3" t="s">
        <v>31</v>
      </c>
      <c r="D7419" s="3" t="s">
        <v>60</v>
      </c>
      <c r="E7419" s="4" t="s">
        <v>22</v>
      </c>
      <c r="F7419" s="4" t="s">
        <v>38369</v>
      </c>
      <c r="G7419" s="4" t="s">
        <v>38569</v>
      </c>
      <c r="H7419" s="3" t="s">
        <v>38194</v>
      </c>
      <c r="I7419" s="3" t="s">
        <v>38570</v>
      </c>
      <c r="J7419" s="3" t="s">
        <v>38597</v>
      </c>
      <c r="K7419" s="3" t="s">
        <v>38598</v>
      </c>
      <c r="L7419" s="3"/>
      <c r="M7419" s="4" t="s">
        <v>38599</v>
      </c>
      <c r="N7419" s="3" t="s">
        <v>37</v>
      </c>
      <c r="O7419" s="3" t="s">
        <v>52</v>
      </c>
      <c r="P7419" s="5">
        <v>13</v>
      </c>
      <c r="Q7419" s="5">
        <v>408</v>
      </c>
      <c r="R7419" s="5">
        <v>13</v>
      </c>
      <c r="S7419" s="5">
        <v>398</v>
      </c>
    </row>
    <row r="7420" spans="1:19" ht="28" x14ac:dyDescent="0.15">
      <c r="A7420" s="2">
        <f>HYPERLINK("https://open-school.uspishnemisto.com.ua/school/460097/", 460097)</f>
        <v>460097</v>
      </c>
      <c r="B7420" s="3" t="s">
        <v>38600</v>
      </c>
      <c r="C7420" s="3" t="s">
        <v>31</v>
      </c>
      <c r="D7420" s="3" t="s">
        <v>32</v>
      </c>
      <c r="E7420" s="4" t="s">
        <v>22</v>
      </c>
      <c r="F7420" s="4" t="s">
        <v>38286</v>
      </c>
      <c r="G7420" s="4" t="s">
        <v>38569</v>
      </c>
      <c r="H7420" s="3" t="s">
        <v>38194</v>
      </c>
      <c r="I7420" s="3" t="s">
        <v>38570</v>
      </c>
      <c r="J7420" s="3" t="s">
        <v>38601</v>
      </c>
      <c r="K7420" s="3" t="s">
        <v>38602</v>
      </c>
      <c r="L7420" s="3" t="s">
        <v>38603</v>
      </c>
      <c r="M7420" s="4" t="s">
        <v>38604</v>
      </c>
      <c r="N7420" s="3" t="s">
        <v>37</v>
      </c>
      <c r="O7420" s="3" t="s">
        <v>139</v>
      </c>
      <c r="P7420" s="5">
        <v>23</v>
      </c>
      <c r="Q7420" s="5">
        <v>583</v>
      </c>
      <c r="R7420" s="5">
        <v>21</v>
      </c>
      <c r="S7420" s="5">
        <v>535</v>
      </c>
    </row>
    <row r="7421" spans="1:19" ht="28" x14ac:dyDescent="0.15">
      <c r="A7421" s="2">
        <f>HYPERLINK("https://open-school.uspishnemisto.com.ua/school/460098/", 460098)</f>
        <v>460098</v>
      </c>
      <c r="B7421" s="3" t="s">
        <v>38605</v>
      </c>
      <c r="C7421" s="3" t="s">
        <v>31</v>
      </c>
      <c r="D7421" s="3" t="s">
        <v>32</v>
      </c>
      <c r="E7421" s="4" t="s">
        <v>22</v>
      </c>
      <c r="F7421" s="4" t="s">
        <v>38588</v>
      </c>
      <c r="G7421" s="4" t="s">
        <v>38569</v>
      </c>
      <c r="H7421" s="3" t="s">
        <v>38194</v>
      </c>
      <c r="I7421" s="3" t="s">
        <v>38570</v>
      </c>
      <c r="J7421" s="3" t="s">
        <v>38606</v>
      </c>
      <c r="K7421" s="3" t="s">
        <v>38607</v>
      </c>
      <c r="L7421" s="3" t="s">
        <v>38608</v>
      </c>
      <c r="M7421" s="4" t="s">
        <v>38609</v>
      </c>
      <c r="N7421" s="3" t="s">
        <v>37</v>
      </c>
      <c r="O7421" s="3" t="s">
        <v>46</v>
      </c>
      <c r="P7421" s="5">
        <v>38</v>
      </c>
      <c r="Q7421" s="5">
        <v>1057</v>
      </c>
      <c r="R7421" s="5">
        <v>36</v>
      </c>
      <c r="S7421" s="5">
        <v>1001</v>
      </c>
    </row>
    <row r="7422" spans="1:19" ht="42" x14ac:dyDescent="0.15">
      <c r="A7422" s="2">
        <f>HYPERLINK("https://open-school.uspishnemisto.com.ua/school/460099/", 460099)</f>
        <v>460099</v>
      </c>
      <c r="B7422" s="3" t="s">
        <v>38610</v>
      </c>
      <c r="C7422" s="3" t="s">
        <v>244</v>
      </c>
      <c r="D7422" s="3" t="s">
        <v>32</v>
      </c>
      <c r="E7422" s="4" t="s">
        <v>22</v>
      </c>
      <c r="F7422" s="4" t="s">
        <v>38611</v>
      </c>
      <c r="G7422" s="4" t="s">
        <v>38569</v>
      </c>
      <c r="H7422" s="3" t="s">
        <v>38194</v>
      </c>
      <c r="I7422" s="3" t="s">
        <v>38570</v>
      </c>
      <c r="J7422" s="3" t="s">
        <v>38612</v>
      </c>
      <c r="K7422" s="3" t="s">
        <v>38613</v>
      </c>
      <c r="L7422" s="3" t="s">
        <v>38614</v>
      </c>
      <c r="M7422" s="4" t="s">
        <v>38615</v>
      </c>
      <c r="N7422" s="3" t="s">
        <v>967</v>
      </c>
      <c r="O7422" s="3" t="s">
        <v>46</v>
      </c>
      <c r="P7422" s="5">
        <v>40</v>
      </c>
      <c r="Q7422" s="5">
        <v>1027</v>
      </c>
      <c r="R7422" s="5">
        <v>40</v>
      </c>
      <c r="S7422" s="5">
        <v>1083</v>
      </c>
    </row>
    <row r="7423" spans="1:19" ht="42" x14ac:dyDescent="0.15">
      <c r="A7423" s="2">
        <f>HYPERLINK("https://open-school.uspishnemisto.com.ua/school/460100/", 460100)</f>
        <v>460100</v>
      </c>
      <c r="B7423" s="3" t="s">
        <v>38616</v>
      </c>
      <c r="C7423" s="3" t="s">
        <v>31</v>
      </c>
      <c r="D7423" s="3" t="s">
        <v>32</v>
      </c>
      <c r="E7423" s="4" t="s">
        <v>22</v>
      </c>
      <c r="F7423" s="4" t="s">
        <v>38364</v>
      </c>
      <c r="G7423" s="4" t="s">
        <v>38569</v>
      </c>
      <c r="H7423" s="3" t="s">
        <v>38194</v>
      </c>
      <c r="I7423" s="3" t="s">
        <v>38570</v>
      </c>
      <c r="J7423" s="3" t="s">
        <v>38617</v>
      </c>
      <c r="K7423" s="3" t="s">
        <v>38618</v>
      </c>
      <c r="L7423" s="3" t="s">
        <v>38619</v>
      </c>
      <c r="M7423" s="4"/>
      <c r="N7423" s="3" t="s">
        <v>37</v>
      </c>
      <c r="O7423" s="3" t="s">
        <v>46</v>
      </c>
      <c r="P7423" s="5">
        <v>21</v>
      </c>
      <c r="Q7423" s="5">
        <v>612</v>
      </c>
      <c r="R7423" s="5">
        <v>22</v>
      </c>
      <c r="S7423" s="5">
        <v>642</v>
      </c>
    </row>
    <row r="7424" spans="1:19" ht="28" x14ac:dyDescent="0.15">
      <c r="A7424" s="2">
        <f>HYPERLINK("https://open-school.uspishnemisto.com.ua/school/460101/", 460101)</f>
        <v>460101</v>
      </c>
      <c r="B7424" s="3" t="s">
        <v>38620</v>
      </c>
      <c r="C7424" s="3" t="s">
        <v>244</v>
      </c>
      <c r="D7424" s="3" t="s">
        <v>32</v>
      </c>
      <c r="E7424" s="4" t="s">
        <v>22</v>
      </c>
      <c r="F7424" s="4" t="s">
        <v>38611</v>
      </c>
      <c r="G7424" s="4" t="s">
        <v>38569</v>
      </c>
      <c r="H7424" s="3" t="s">
        <v>38194</v>
      </c>
      <c r="I7424" s="3" t="s">
        <v>38570</v>
      </c>
      <c r="J7424" s="3" t="s">
        <v>38621</v>
      </c>
      <c r="K7424" s="3" t="s">
        <v>38622</v>
      </c>
      <c r="L7424" s="3" t="s">
        <v>38623</v>
      </c>
      <c r="M7424" s="4" t="s">
        <v>38624</v>
      </c>
      <c r="N7424" s="3" t="s">
        <v>37</v>
      </c>
      <c r="O7424" s="3" t="s">
        <v>237</v>
      </c>
      <c r="P7424" s="5">
        <v>12</v>
      </c>
      <c r="Q7424" s="5">
        <v>323</v>
      </c>
      <c r="R7424" s="5">
        <v>12</v>
      </c>
      <c r="S7424" s="5">
        <v>306</v>
      </c>
    </row>
    <row r="7425" spans="1:19" ht="42" x14ac:dyDescent="0.15">
      <c r="A7425" s="2">
        <f>HYPERLINK("https://open-school.uspishnemisto.com.ua/school/460102/", 460102)</f>
        <v>460102</v>
      </c>
      <c r="B7425" s="3" t="s">
        <v>38625</v>
      </c>
      <c r="C7425" s="3" t="s">
        <v>54</v>
      </c>
      <c r="D7425" s="3" t="s">
        <v>32</v>
      </c>
      <c r="E7425" s="4" t="s">
        <v>22</v>
      </c>
      <c r="F7425" s="4" t="s">
        <v>38286</v>
      </c>
      <c r="G7425" s="4" t="s">
        <v>38569</v>
      </c>
      <c r="H7425" s="3" t="s">
        <v>38194</v>
      </c>
      <c r="I7425" s="3" t="s">
        <v>38570</v>
      </c>
      <c r="J7425" s="3" t="s">
        <v>38626</v>
      </c>
      <c r="K7425" s="3" t="s">
        <v>38627</v>
      </c>
      <c r="L7425" s="3"/>
      <c r="M7425" s="4" t="s">
        <v>38628</v>
      </c>
      <c r="N7425" s="3" t="s">
        <v>37</v>
      </c>
      <c r="O7425" s="3" t="s">
        <v>38629</v>
      </c>
      <c r="P7425" s="5">
        <v>42</v>
      </c>
      <c r="Q7425" s="5">
        <v>1227</v>
      </c>
      <c r="R7425" s="5">
        <v>42</v>
      </c>
      <c r="S7425" s="5">
        <v>1230</v>
      </c>
    </row>
    <row r="7426" spans="1:19" ht="28" x14ac:dyDescent="0.15">
      <c r="A7426" s="2">
        <f>HYPERLINK("https://open-school.uspishnemisto.com.ua/school/460103/", 460103)</f>
        <v>460103</v>
      </c>
      <c r="B7426" s="3" t="s">
        <v>38630</v>
      </c>
      <c r="C7426" s="3" t="s">
        <v>54</v>
      </c>
      <c r="D7426" s="3" t="s">
        <v>60</v>
      </c>
      <c r="E7426" s="4" t="s">
        <v>22</v>
      </c>
      <c r="F7426" s="4" t="s">
        <v>38588</v>
      </c>
      <c r="G7426" s="4" t="s">
        <v>38569</v>
      </c>
      <c r="H7426" s="3" t="s">
        <v>38194</v>
      </c>
      <c r="I7426" s="3" t="s">
        <v>38570</v>
      </c>
      <c r="J7426" s="3" t="s">
        <v>38631</v>
      </c>
      <c r="K7426" s="3" t="s">
        <v>38632</v>
      </c>
      <c r="L7426" s="3"/>
      <c r="M7426" s="4"/>
      <c r="N7426" s="3" t="s">
        <v>37</v>
      </c>
      <c r="O7426" s="3" t="s">
        <v>52</v>
      </c>
      <c r="P7426" s="5">
        <v>4</v>
      </c>
      <c r="Q7426" s="5">
        <v>114</v>
      </c>
      <c r="R7426" s="5">
        <v>4</v>
      </c>
      <c r="S7426" s="5">
        <v>120</v>
      </c>
    </row>
    <row r="7427" spans="1:19" ht="28" x14ac:dyDescent="0.15">
      <c r="A7427" s="2">
        <f>HYPERLINK("https://open-school.uspishnemisto.com.ua/school/460104/", 460104)</f>
        <v>460104</v>
      </c>
      <c r="B7427" s="3" t="s">
        <v>38633</v>
      </c>
      <c r="C7427" s="3" t="s">
        <v>31</v>
      </c>
      <c r="D7427" s="3" t="s">
        <v>32</v>
      </c>
      <c r="E7427" s="4" t="s">
        <v>22</v>
      </c>
      <c r="F7427" s="4" t="s">
        <v>38588</v>
      </c>
      <c r="G7427" s="4" t="s">
        <v>38569</v>
      </c>
      <c r="H7427" s="3" t="s">
        <v>38194</v>
      </c>
      <c r="I7427" s="3" t="s">
        <v>38570</v>
      </c>
      <c r="J7427" s="3" t="s">
        <v>38634</v>
      </c>
      <c r="K7427" s="3" t="s">
        <v>38635</v>
      </c>
      <c r="L7427" s="3"/>
      <c r="M7427" s="4" t="s">
        <v>38636</v>
      </c>
      <c r="N7427" s="3" t="s">
        <v>37</v>
      </c>
      <c r="O7427" s="3" t="s">
        <v>46</v>
      </c>
      <c r="P7427" s="5">
        <v>34</v>
      </c>
      <c r="Q7427" s="5">
        <v>976</v>
      </c>
      <c r="R7427" s="5">
        <v>32</v>
      </c>
      <c r="S7427" s="5">
        <v>918</v>
      </c>
    </row>
    <row r="7428" spans="1:19" ht="28" x14ac:dyDescent="0.15">
      <c r="A7428" s="2">
        <f>HYPERLINK("https://open-school.uspishnemisto.com.ua/school/460105/", 460105)</f>
        <v>460105</v>
      </c>
      <c r="B7428" s="3" t="s">
        <v>38637</v>
      </c>
      <c r="C7428" s="3" t="s">
        <v>31</v>
      </c>
      <c r="D7428" s="3" t="s">
        <v>32</v>
      </c>
      <c r="E7428" s="4" t="s">
        <v>22</v>
      </c>
      <c r="F7428" s="4" t="s">
        <v>38588</v>
      </c>
      <c r="G7428" s="4" t="s">
        <v>38569</v>
      </c>
      <c r="H7428" s="3" t="s">
        <v>38194</v>
      </c>
      <c r="I7428" s="3" t="s">
        <v>38570</v>
      </c>
      <c r="J7428" s="3" t="s">
        <v>38638</v>
      </c>
      <c r="K7428" s="3" t="s">
        <v>38639</v>
      </c>
      <c r="L7428" s="3"/>
      <c r="M7428" s="4" t="s">
        <v>38640</v>
      </c>
      <c r="N7428" s="3" t="s">
        <v>37</v>
      </c>
      <c r="O7428" s="3" t="s">
        <v>123</v>
      </c>
      <c r="P7428" s="5">
        <v>24</v>
      </c>
      <c r="Q7428" s="5">
        <v>601</v>
      </c>
      <c r="R7428" s="5">
        <v>24</v>
      </c>
      <c r="S7428" s="5">
        <v>594</v>
      </c>
    </row>
    <row r="7429" spans="1:19" ht="42" x14ac:dyDescent="0.15">
      <c r="A7429" s="2">
        <f>HYPERLINK("https://open-school.uspishnemisto.com.ua/school/460106/", 460106)</f>
        <v>460106</v>
      </c>
      <c r="B7429" s="3" t="s">
        <v>38641</v>
      </c>
      <c r="C7429" s="3" t="s">
        <v>244</v>
      </c>
      <c r="D7429" s="3" t="s">
        <v>32</v>
      </c>
      <c r="E7429" s="4" t="s">
        <v>22</v>
      </c>
      <c r="F7429" s="4" t="s">
        <v>38611</v>
      </c>
      <c r="G7429" s="4" t="s">
        <v>38569</v>
      </c>
      <c r="H7429" s="3" t="s">
        <v>38194</v>
      </c>
      <c r="I7429" s="3" t="s">
        <v>38570</v>
      </c>
      <c r="J7429" s="3" t="s">
        <v>38642</v>
      </c>
      <c r="K7429" s="3" t="s">
        <v>38643</v>
      </c>
      <c r="L7429" s="3"/>
      <c r="M7429" s="4"/>
      <c r="N7429" s="3" t="s">
        <v>37</v>
      </c>
      <c r="O7429" s="3" t="s">
        <v>46</v>
      </c>
      <c r="P7429" s="5">
        <v>37</v>
      </c>
      <c r="Q7429" s="5">
        <v>1110</v>
      </c>
      <c r="R7429" s="5">
        <v>37</v>
      </c>
      <c r="S7429" s="5">
        <v>1081</v>
      </c>
    </row>
    <row r="7430" spans="1:19" ht="42" x14ac:dyDescent="0.15">
      <c r="A7430" s="2">
        <f>HYPERLINK("https://open-school.uspishnemisto.com.ua/school/460107/", 460107)</f>
        <v>460107</v>
      </c>
      <c r="B7430" s="3" t="s">
        <v>38644</v>
      </c>
      <c r="C7430" s="3" t="s">
        <v>244</v>
      </c>
      <c r="D7430" s="3" t="s">
        <v>32</v>
      </c>
      <c r="E7430" s="4" t="s">
        <v>22</v>
      </c>
      <c r="F7430" s="4" t="s">
        <v>38611</v>
      </c>
      <c r="G7430" s="4" t="s">
        <v>38569</v>
      </c>
      <c r="H7430" s="3" t="s">
        <v>38194</v>
      </c>
      <c r="I7430" s="3" t="s">
        <v>38570</v>
      </c>
      <c r="J7430" s="3" t="s">
        <v>38645</v>
      </c>
      <c r="K7430" s="3" t="s">
        <v>38646</v>
      </c>
      <c r="L7430" s="3" t="s">
        <v>38647</v>
      </c>
      <c r="M7430" s="4"/>
      <c r="N7430" s="3" t="s">
        <v>37</v>
      </c>
      <c r="O7430" s="3" t="s">
        <v>237</v>
      </c>
      <c r="P7430" s="5">
        <v>36</v>
      </c>
      <c r="Q7430" s="5">
        <v>1010</v>
      </c>
      <c r="R7430" s="5">
        <v>35</v>
      </c>
      <c r="S7430" s="5">
        <v>971</v>
      </c>
    </row>
    <row r="7431" spans="1:19" ht="42" x14ac:dyDescent="0.15">
      <c r="A7431" s="2">
        <f>HYPERLINK("https://open-school.uspishnemisto.com.ua/school/460108/", 460108)</f>
        <v>460108</v>
      </c>
      <c r="B7431" s="3" t="s">
        <v>38648</v>
      </c>
      <c r="C7431" s="3" t="s">
        <v>48</v>
      </c>
      <c r="D7431" s="3" t="s">
        <v>32</v>
      </c>
      <c r="E7431" s="4" t="s">
        <v>22</v>
      </c>
      <c r="F7431" s="4" t="s">
        <v>38649</v>
      </c>
      <c r="G7431" s="4" t="s">
        <v>38650</v>
      </c>
      <c r="H7431" s="3" t="s">
        <v>38194</v>
      </c>
      <c r="I7431" s="3" t="s">
        <v>38651</v>
      </c>
      <c r="J7431" s="3" t="s">
        <v>38652</v>
      </c>
      <c r="K7431" s="3" t="s">
        <v>38653</v>
      </c>
      <c r="L7431" s="3"/>
      <c r="M7431" s="4" t="s">
        <v>38654</v>
      </c>
      <c r="N7431" s="3" t="s">
        <v>37</v>
      </c>
      <c r="O7431" s="3" t="s">
        <v>52</v>
      </c>
      <c r="P7431" s="5">
        <v>15</v>
      </c>
      <c r="Q7431" s="5">
        <v>443</v>
      </c>
      <c r="R7431" s="5">
        <v>15</v>
      </c>
      <c r="S7431" s="5">
        <v>433</v>
      </c>
    </row>
    <row r="7432" spans="1:19" ht="42" x14ac:dyDescent="0.15">
      <c r="A7432" s="2">
        <f>HYPERLINK("https://open-school.uspishnemisto.com.ua/school/460109/", 460109)</f>
        <v>460109</v>
      </c>
      <c r="B7432" s="3" t="s">
        <v>38655</v>
      </c>
      <c r="C7432" s="3" t="s">
        <v>181</v>
      </c>
      <c r="D7432" s="3" t="s">
        <v>32</v>
      </c>
      <c r="E7432" s="4" t="s">
        <v>22</v>
      </c>
      <c r="F7432" s="4" t="s">
        <v>38282</v>
      </c>
      <c r="G7432" s="4" t="s">
        <v>38650</v>
      </c>
      <c r="H7432" s="3" t="s">
        <v>38194</v>
      </c>
      <c r="I7432" s="3" t="s">
        <v>38651</v>
      </c>
      <c r="J7432" s="3" t="s">
        <v>38656</v>
      </c>
      <c r="K7432" s="3" t="s">
        <v>38657</v>
      </c>
      <c r="L7432" s="3"/>
      <c r="M7432" s="4" t="s">
        <v>38658</v>
      </c>
      <c r="N7432" s="3" t="s">
        <v>37</v>
      </c>
      <c r="O7432" s="3" t="s">
        <v>52</v>
      </c>
      <c r="P7432" s="5">
        <v>9</v>
      </c>
      <c r="Q7432" s="5">
        <v>61</v>
      </c>
      <c r="R7432" s="5">
        <v>10</v>
      </c>
      <c r="S7432" s="5">
        <v>69</v>
      </c>
    </row>
    <row r="7433" spans="1:19" ht="28" x14ac:dyDescent="0.15">
      <c r="A7433" s="2">
        <f>HYPERLINK("https://open-school.uspishnemisto.com.ua/school/460110/", 460110)</f>
        <v>460110</v>
      </c>
      <c r="B7433" s="3" t="s">
        <v>38659</v>
      </c>
      <c r="C7433" s="3" t="s">
        <v>181</v>
      </c>
      <c r="D7433" s="3" t="s">
        <v>175</v>
      </c>
      <c r="E7433" s="4" t="s">
        <v>22</v>
      </c>
      <c r="F7433" s="4" t="s">
        <v>38212</v>
      </c>
      <c r="G7433" s="4" t="s">
        <v>38650</v>
      </c>
      <c r="H7433" s="3" t="s">
        <v>38194</v>
      </c>
      <c r="I7433" s="3" t="s">
        <v>38651</v>
      </c>
      <c r="J7433" s="3" t="s">
        <v>38660</v>
      </c>
      <c r="K7433" s="3" t="s">
        <v>38661</v>
      </c>
      <c r="L7433" s="3"/>
      <c r="M7433" s="4" t="s">
        <v>38662</v>
      </c>
      <c r="N7433" s="3" t="s">
        <v>37</v>
      </c>
      <c r="O7433" s="3" t="s">
        <v>46</v>
      </c>
      <c r="P7433" s="5">
        <v>23</v>
      </c>
      <c r="Q7433" s="5">
        <v>249</v>
      </c>
      <c r="R7433" s="5">
        <v>22</v>
      </c>
      <c r="S7433" s="5">
        <v>242</v>
      </c>
    </row>
    <row r="7434" spans="1:19" ht="28" x14ac:dyDescent="0.15">
      <c r="A7434" s="2">
        <f>HYPERLINK("https://open-school.uspishnemisto.com.ua/school/460111/", 460111)</f>
        <v>460111</v>
      </c>
      <c r="B7434" s="3" t="s">
        <v>38663</v>
      </c>
      <c r="C7434" s="3" t="s">
        <v>293</v>
      </c>
      <c r="D7434" s="3" t="s">
        <v>32</v>
      </c>
      <c r="E7434" s="4" t="s">
        <v>22</v>
      </c>
      <c r="F7434" s="4" t="s">
        <v>38212</v>
      </c>
      <c r="G7434" s="4" t="s">
        <v>38650</v>
      </c>
      <c r="H7434" s="3" t="s">
        <v>38194</v>
      </c>
      <c r="I7434" s="3" t="s">
        <v>38651</v>
      </c>
      <c r="J7434" s="3" t="s">
        <v>38664</v>
      </c>
      <c r="K7434" s="3" t="s">
        <v>38665</v>
      </c>
      <c r="L7434" s="3" t="s">
        <v>38666</v>
      </c>
      <c r="M7434" s="4" t="s">
        <v>38667</v>
      </c>
      <c r="N7434" s="3" t="s">
        <v>37</v>
      </c>
      <c r="O7434" s="3" t="s">
        <v>46</v>
      </c>
      <c r="P7434" s="5">
        <v>10</v>
      </c>
      <c r="Q7434" s="5">
        <v>138</v>
      </c>
      <c r="R7434" s="5">
        <v>10</v>
      </c>
      <c r="S7434" s="5">
        <v>140</v>
      </c>
    </row>
    <row r="7435" spans="1:19" ht="28" x14ac:dyDescent="0.15">
      <c r="A7435" s="2">
        <f>HYPERLINK("https://open-school.uspishnemisto.com.ua/school/460112/", 460112)</f>
        <v>460112</v>
      </c>
      <c r="B7435" s="3" t="s">
        <v>38668</v>
      </c>
      <c r="C7435" s="3" t="s">
        <v>31</v>
      </c>
      <c r="D7435" s="3" t="s">
        <v>32</v>
      </c>
      <c r="E7435" s="4" t="s">
        <v>22</v>
      </c>
      <c r="F7435" s="4" t="s">
        <v>38669</v>
      </c>
      <c r="G7435" s="4" t="s">
        <v>38650</v>
      </c>
      <c r="H7435" s="3" t="s">
        <v>38194</v>
      </c>
      <c r="I7435" s="3" t="s">
        <v>38651</v>
      </c>
      <c r="J7435" s="3" t="s">
        <v>38670</v>
      </c>
      <c r="K7435" s="3"/>
      <c r="L7435" s="3"/>
      <c r="M7435" s="4" t="s">
        <v>38671</v>
      </c>
      <c r="N7435" s="3" t="s">
        <v>37</v>
      </c>
      <c r="O7435" s="3" t="s">
        <v>2740</v>
      </c>
      <c r="P7435" s="5">
        <v>11</v>
      </c>
      <c r="Q7435" s="5">
        <v>109</v>
      </c>
      <c r="R7435" s="5">
        <v>11</v>
      </c>
      <c r="S7435" s="5">
        <v>109</v>
      </c>
    </row>
    <row r="7436" spans="1:19" ht="28" x14ac:dyDescent="0.15">
      <c r="A7436" s="2">
        <f>HYPERLINK("https://open-school.uspishnemisto.com.ua/school/460113/", 460113)</f>
        <v>460113</v>
      </c>
      <c r="B7436" s="3" t="s">
        <v>38672</v>
      </c>
      <c r="C7436" s="3" t="s">
        <v>31</v>
      </c>
      <c r="D7436" s="3" t="s">
        <v>32</v>
      </c>
      <c r="E7436" s="4" t="s">
        <v>22</v>
      </c>
      <c r="F7436" s="4" t="s">
        <v>38673</v>
      </c>
      <c r="G7436" s="4" t="s">
        <v>38650</v>
      </c>
      <c r="H7436" s="3" t="s">
        <v>38194</v>
      </c>
      <c r="I7436" s="3" t="s">
        <v>38651</v>
      </c>
      <c r="J7436" s="3" t="s">
        <v>38674</v>
      </c>
      <c r="K7436" s="3" t="s">
        <v>38675</v>
      </c>
      <c r="L7436" s="3"/>
      <c r="M7436" s="4" t="s">
        <v>38676</v>
      </c>
      <c r="N7436" s="3" t="s">
        <v>37</v>
      </c>
      <c r="O7436" s="3" t="s">
        <v>46</v>
      </c>
      <c r="P7436" s="5">
        <v>22</v>
      </c>
      <c r="Q7436" s="5">
        <v>600</v>
      </c>
      <c r="R7436" s="5">
        <v>21</v>
      </c>
      <c r="S7436" s="5">
        <v>560</v>
      </c>
    </row>
    <row r="7437" spans="1:19" ht="28" x14ac:dyDescent="0.15">
      <c r="A7437" s="2">
        <f>HYPERLINK("https://open-school.uspishnemisto.com.ua/school/460114/", 460114)</f>
        <v>460114</v>
      </c>
      <c r="B7437" s="3" t="s">
        <v>38677</v>
      </c>
      <c r="C7437" s="3" t="s">
        <v>4989</v>
      </c>
      <c r="D7437" s="3" t="s">
        <v>32</v>
      </c>
      <c r="E7437" s="4" t="s">
        <v>253</v>
      </c>
      <c r="F7437" s="4" t="s">
        <v>38226</v>
      </c>
      <c r="G7437" s="4" t="s">
        <v>38650</v>
      </c>
      <c r="H7437" s="3" t="s">
        <v>38194</v>
      </c>
      <c r="I7437" s="3" t="s">
        <v>38651</v>
      </c>
      <c r="J7437" s="3" t="s">
        <v>38678</v>
      </c>
      <c r="K7437" s="3" t="s">
        <v>38679</v>
      </c>
      <c r="L7437" s="3"/>
      <c r="M7437" s="4" t="s">
        <v>38680</v>
      </c>
      <c r="N7437" s="3" t="s">
        <v>37</v>
      </c>
      <c r="O7437" s="3" t="s">
        <v>123</v>
      </c>
      <c r="P7437" s="5">
        <v>22</v>
      </c>
      <c r="Q7437" s="5">
        <v>411</v>
      </c>
      <c r="R7437" s="5">
        <v>22</v>
      </c>
      <c r="S7437" s="5">
        <v>414</v>
      </c>
    </row>
    <row r="7438" spans="1:19" ht="42" x14ac:dyDescent="0.15">
      <c r="A7438" s="2">
        <f>HYPERLINK("https://open-school.uspishnemisto.com.ua/school/460115/", 460115)</f>
        <v>460115</v>
      </c>
      <c r="B7438" s="3" t="s">
        <v>38681</v>
      </c>
      <c r="C7438" s="3" t="s">
        <v>244</v>
      </c>
      <c r="D7438" s="3" t="s">
        <v>32</v>
      </c>
      <c r="E7438" s="4" t="s">
        <v>22</v>
      </c>
      <c r="F7438" s="4" t="s">
        <v>38212</v>
      </c>
      <c r="G7438" s="4" t="s">
        <v>38650</v>
      </c>
      <c r="H7438" s="3" t="s">
        <v>38194</v>
      </c>
      <c r="I7438" s="3" t="s">
        <v>38651</v>
      </c>
      <c r="J7438" s="3" t="s">
        <v>38682</v>
      </c>
      <c r="K7438" s="3" t="s">
        <v>38683</v>
      </c>
      <c r="L7438" s="3"/>
      <c r="M7438" s="4" t="s">
        <v>38684</v>
      </c>
      <c r="N7438" s="3" t="s">
        <v>37</v>
      </c>
      <c r="O7438" s="3" t="s">
        <v>46</v>
      </c>
      <c r="P7438" s="5">
        <v>22</v>
      </c>
      <c r="Q7438" s="5">
        <v>602</v>
      </c>
      <c r="R7438" s="5">
        <v>22</v>
      </c>
      <c r="S7438" s="5">
        <v>612</v>
      </c>
    </row>
    <row r="7439" spans="1:19" ht="28" x14ac:dyDescent="0.15">
      <c r="A7439" s="2">
        <f>HYPERLINK("https://open-school.uspishnemisto.com.ua/school/460116/", 460116)</f>
        <v>460116</v>
      </c>
      <c r="B7439" s="3" t="s">
        <v>38685</v>
      </c>
      <c r="C7439" s="3" t="s">
        <v>54</v>
      </c>
      <c r="D7439" s="3" t="s">
        <v>32</v>
      </c>
      <c r="E7439" s="4" t="s">
        <v>22</v>
      </c>
      <c r="F7439" s="4" t="s">
        <v>38246</v>
      </c>
      <c r="G7439" s="4" t="s">
        <v>38650</v>
      </c>
      <c r="H7439" s="3" t="s">
        <v>38194</v>
      </c>
      <c r="I7439" s="3" t="s">
        <v>38651</v>
      </c>
      <c r="J7439" s="3" t="s">
        <v>38686</v>
      </c>
      <c r="K7439" s="3" t="s">
        <v>38687</v>
      </c>
      <c r="L7439" s="3"/>
      <c r="M7439" s="4" t="s">
        <v>38688</v>
      </c>
      <c r="N7439" s="3" t="s">
        <v>37</v>
      </c>
      <c r="O7439" s="3" t="s">
        <v>2776</v>
      </c>
      <c r="P7439" s="5">
        <v>31</v>
      </c>
      <c r="Q7439" s="5">
        <v>862</v>
      </c>
      <c r="R7439" s="5">
        <v>30</v>
      </c>
      <c r="S7439" s="5">
        <v>817</v>
      </c>
    </row>
    <row r="7440" spans="1:19" ht="28" x14ac:dyDescent="0.15">
      <c r="A7440" s="2">
        <f>HYPERLINK("https://open-school.uspishnemisto.com.ua/school/460117/", 460117)</f>
        <v>460117</v>
      </c>
      <c r="B7440" s="3" t="s">
        <v>38689</v>
      </c>
      <c r="C7440" s="3" t="s">
        <v>54</v>
      </c>
      <c r="D7440" s="3" t="s">
        <v>175</v>
      </c>
      <c r="E7440" s="4" t="s">
        <v>22</v>
      </c>
      <c r="F7440" s="4"/>
      <c r="G7440" s="4" t="s">
        <v>38650</v>
      </c>
      <c r="H7440" s="3" t="s">
        <v>38194</v>
      </c>
      <c r="I7440" s="3" t="s">
        <v>38651</v>
      </c>
      <c r="J7440" s="3" t="s">
        <v>38690</v>
      </c>
      <c r="K7440" s="3" t="s">
        <v>38691</v>
      </c>
      <c r="L7440" s="3"/>
      <c r="M7440" s="4" t="s">
        <v>38692</v>
      </c>
      <c r="N7440" s="3" t="s">
        <v>37</v>
      </c>
      <c r="O7440" s="3" t="s">
        <v>1081</v>
      </c>
      <c r="P7440" s="5">
        <v>16</v>
      </c>
      <c r="Q7440" s="5">
        <v>324</v>
      </c>
      <c r="R7440" s="5">
        <v>15</v>
      </c>
      <c r="S7440" s="5">
        <v>321</v>
      </c>
    </row>
    <row r="7441" spans="1:19" ht="28" x14ac:dyDescent="0.15">
      <c r="A7441" s="2">
        <f>HYPERLINK("https://open-school.uspishnemisto.com.ua/school/460119/", 460119)</f>
        <v>460119</v>
      </c>
      <c r="B7441" s="3" t="s">
        <v>38693</v>
      </c>
      <c r="C7441" s="3" t="s">
        <v>31</v>
      </c>
      <c r="D7441" s="3" t="s">
        <v>60</v>
      </c>
      <c r="E7441" s="4" t="s">
        <v>41</v>
      </c>
      <c r="F7441" s="4" t="s">
        <v>38360</v>
      </c>
      <c r="G7441" s="4" t="s">
        <v>38650</v>
      </c>
      <c r="H7441" s="3" t="s">
        <v>38194</v>
      </c>
      <c r="I7441" s="3" t="s">
        <v>38651</v>
      </c>
      <c r="J7441" s="3" t="s">
        <v>38694</v>
      </c>
      <c r="K7441" s="3" t="s">
        <v>38488</v>
      </c>
      <c r="L7441" s="3"/>
      <c r="M7441" s="4" t="s">
        <v>38695</v>
      </c>
      <c r="N7441" s="3" t="s">
        <v>37</v>
      </c>
      <c r="O7441" s="3" t="s">
        <v>46</v>
      </c>
      <c r="P7441" s="5">
        <v>4</v>
      </c>
      <c r="Q7441" s="5">
        <v>55</v>
      </c>
      <c r="R7441" s="5">
        <v>4</v>
      </c>
      <c r="S7441" s="5">
        <v>59</v>
      </c>
    </row>
    <row r="7442" spans="1:19" ht="28" x14ac:dyDescent="0.15">
      <c r="A7442" s="2">
        <f>HYPERLINK("https://open-school.uspishnemisto.com.ua/school/460120/", 460120)</f>
        <v>460120</v>
      </c>
      <c r="B7442" s="3" t="s">
        <v>38696</v>
      </c>
      <c r="C7442" s="3" t="s">
        <v>31</v>
      </c>
      <c r="D7442" s="3" t="s">
        <v>32</v>
      </c>
      <c r="E7442" s="4" t="s">
        <v>22</v>
      </c>
      <c r="F7442" s="4" t="s">
        <v>38649</v>
      </c>
      <c r="G7442" s="4" t="s">
        <v>38650</v>
      </c>
      <c r="H7442" s="3" t="s">
        <v>38194</v>
      </c>
      <c r="I7442" s="3" t="s">
        <v>38651</v>
      </c>
      <c r="J7442" s="3" t="s">
        <v>38697</v>
      </c>
      <c r="K7442" s="3" t="s">
        <v>38698</v>
      </c>
      <c r="L7442" s="3"/>
      <c r="M7442" s="4" t="s">
        <v>38699</v>
      </c>
      <c r="N7442" s="3" t="s">
        <v>37</v>
      </c>
      <c r="O7442" s="3" t="s">
        <v>2776</v>
      </c>
      <c r="P7442" s="5">
        <v>38</v>
      </c>
      <c r="Q7442" s="5">
        <v>1024</v>
      </c>
      <c r="R7442" s="5">
        <v>37</v>
      </c>
      <c r="S7442" s="5">
        <v>993</v>
      </c>
    </row>
    <row r="7443" spans="1:19" ht="28" x14ac:dyDescent="0.15">
      <c r="A7443" s="2">
        <f>HYPERLINK("https://open-school.uspishnemisto.com.ua/school/460121/", 460121)</f>
        <v>460121</v>
      </c>
      <c r="B7443" s="3" t="s">
        <v>38700</v>
      </c>
      <c r="C7443" s="3" t="s">
        <v>31</v>
      </c>
      <c r="D7443" s="3" t="s">
        <v>32</v>
      </c>
      <c r="E7443" s="4" t="s">
        <v>22</v>
      </c>
      <c r="F7443" s="4" t="s">
        <v>38360</v>
      </c>
      <c r="G7443" s="4" t="s">
        <v>38650</v>
      </c>
      <c r="H7443" s="3" t="s">
        <v>38194</v>
      </c>
      <c r="I7443" s="3" t="s">
        <v>38651</v>
      </c>
      <c r="J7443" s="3" t="s">
        <v>38701</v>
      </c>
      <c r="K7443" s="3" t="s">
        <v>38702</v>
      </c>
      <c r="L7443" s="3" t="s">
        <v>38703</v>
      </c>
      <c r="M7443" s="4" t="s">
        <v>38704</v>
      </c>
      <c r="N7443" s="3" t="s">
        <v>37</v>
      </c>
      <c r="O7443" s="3" t="s">
        <v>237</v>
      </c>
      <c r="P7443" s="5">
        <v>24</v>
      </c>
      <c r="Q7443" s="5">
        <v>585</v>
      </c>
      <c r="R7443" s="5">
        <v>24</v>
      </c>
      <c r="S7443" s="5">
        <v>603</v>
      </c>
    </row>
    <row r="7444" spans="1:19" ht="28" x14ac:dyDescent="0.15">
      <c r="A7444" s="2">
        <f>HYPERLINK("https://open-school.uspishnemisto.com.ua/school/460122/", 460122)</f>
        <v>460122</v>
      </c>
      <c r="B7444" s="3" t="s">
        <v>38705</v>
      </c>
      <c r="C7444" s="3" t="s">
        <v>31</v>
      </c>
      <c r="D7444" s="3" t="s">
        <v>32</v>
      </c>
      <c r="E7444" s="4" t="s">
        <v>22</v>
      </c>
      <c r="F7444" s="4" t="s">
        <v>38360</v>
      </c>
      <c r="G7444" s="4" t="s">
        <v>38650</v>
      </c>
      <c r="H7444" s="3" t="s">
        <v>38194</v>
      </c>
      <c r="I7444" s="3" t="s">
        <v>38651</v>
      </c>
      <c r="J7444" s="3" t="s">
        <v>38706</v>
      </c>
      <c r="K7444" s="3" t="s">
        <v>38707</v>
      </c>
      <c r="L7444" s="3"/>
      <c r="M7444" s="4" t="s">
        <v>38708</v>
      </c>
      <c r="N7444" s="3" t="s">
        <v>37</v>
      </c>
      <c r="O7444" s="3" t="s">
        <v>237</v>
      </c>
      <c r="P7444" s="5">
        <v>20</v>
      </c>
      <c r="Q7444" s="5">
        <v>533</v>
      </c>
      <c r="R7444" s="5">
        <v>21</v>
      </c>
      <c r="S7444" s="5">
        <v>505</v>
      </c>
    </row>
    <row r="7445" spans="1:19" ht="28" x14ac:dyDescent="0.15">
      <c r="A7445" s="2">
        <f>HYPERLINK("https://open-school.uspishnemisto.com.ua/school/460123/", 460123)</f>
        <v>460123</v>
      </c>
      <c r="B7445" s="3" t="s">
        <v>38709</v>
      </c>
      <c r="C7445" s="3" t="s">
        <v>31</v>
      </c>
      <c r="D7445" s="3" t="s">
        <v>32</v>
      </c>
      <c r="E7445" s="4" t="s">
        <v>22</v>
      </c>
      <c r="F7445" s="4" t="s">
        <v>38710</v>
      </c>
      <c r="G7445" s="4" t="s">
        <v>38650</v>
      </c>
      <c r="H7445" s="3" t="s">
        <v>38194</v>
      </c>
      <c r="I7445" s="3" t="s">
        <v>38651</v>
      </c>
      <c r="J7445" s="3" t="s">
        <v>38711</v>
      </c>
      <c r="K7445" s="3" t="s">
        <v>38712</v>
      </c>
      <c r="L7445" s="3"/>
      <c r="M7445" s="4" t="s">
        <v>38713</v>
      </c>
      <c r="N7445" s="3" t="s">
        <v>37</v>
      </c>
      <c r="O7445" s="3" t="s">
        <v>139</v>
      </c>
      <c r="P7445" s="5">
        <v>24</v>
      </c>
      <c r="Q7445" s="5">
        <v>594</v>
      </c>
      <c r="R7445" s="5">
        <v>22</v>
      </c>
      <c r="S7445" s="5">
        <v>560</v>
      </c>
    </row>
    <row r="7446" spans="1:19" ht="28" x14ac:dyDescent="0.15">
      <c r="A7446" s="2">
        <f>HYPERLINK("https://open-school.uspishnemisto.com.ua/school/460124/", 460124)</f>
        <v>460124</v>
      </c>
      <c r="B7446" s="3" t="s">
        <v>38714</v>
      </c>
      <c r="C7446" s="3" t="s">
        <v>31</v>
      </c>
      <c r="D7446" s="3" t="s">
        <v>32</v>
      </c>
      <c r="E7446" s="4" t="s">
        <v>22</v>
      </c>
      <c r="F7446" s="4" t="s">
        <v>38226</v>
      </c>
      <c r="G7446" s="4" t="s">
        <v>38650</v>
      </c>
      <c r="H7446" s="3" t="s">
        <v>38194</v>
      </c>
      <c r="I7446" s="3" t="s">
        <v>38651</v>
      </c>
      <c r="J7446" s="3" t="s">
        <v>38715</v>
      </c>
      <c r="K7446" s="3" t="s">
        <v>38716</v>
      </c>
      <c r="L7446" s="3" t="s">
        <v>38717</v>
      </c>
      <c r="M7446" s="4" t="s">
        <v>38718</v>
      </c>
      <c r="N7446" s="3" t="s">
        <v>967</v>
      </c>
      <c r="O7446" s="3" t="s">
        <v>52</v>
      </c>
      <c r="P7446" s="5">
        <v>15</v>
      </c>
      <c r="Q7446" s="5">
        <v>339</v>
      </c>
      <c r="R7446" s="5">
        <v>14</v>
      </c>
      <c r="S7446" s="5">
        <v>344</v>
      </c>
    </row>
    <row r="7447" spans="1:19" ht="28" x14ac:dyDescent="0.15">
      <c r="A7447" s="2">
        <f>HYPERLINK("https://open-school.uspishnemisto.com.ua/school/460125/", 460125)</f>
        <v>460125</v>
      </c>
      <c r="B7447" s="3" t="s">
        <v>38719</v>
      </c>
      <c r="C7447" s="3" t="s">
        <v>31</v>
      </c>
      <c r="D7447" s="3" t="s">
        <v>32</v>
      </c>
      <c r="E7447" s="4" t="s">
        <v>22</v>
      </c>
      <c r="F7447" s="4" t="s">
        <v>38282</v>
      </c>
      <c r="G7447" s="4" t="s">
        <v>38650</v>
      </c>
      <c r="H7447" s="3" t="s">
        <v>38194</v>
      </c>
      <c r="I7447" s="3" t="s">
        <v>38651</v>
      </c>
      <c r="J7447" s="3" t="s">
        <v>38720</v>
      </c>
      <c r="K7447" s="3" t="s">
        <v>38721</v>
      </c>
      <c r="L7447" s="3"/>
      <c r="M7447" s="4" t="s">
        <v>38722</v>
      </c>
      <c r="N7447" s="3" t="s">
        <v>37</v>
      </c>
      <c r="O7447" s="3" t="s">
        <v>2740</v>
      </c>
      <c r="P7447" s="5">
        <v>22</v>
      </c>
      <c r="Q7447" s="5">
        <v>609</v>
      </c>
      <c r="R7447" s="5">
        <v>21</v>
      </c>
      <c r="S7447" s="5">
        <v>591</v>
      </c>
    </row>
    <row r="7448" spans="1:19" ht="28" x14ac:dyDescent="0.15">
      <c r="A7448" s="2">
        <f>HYPERLINK("https://open-school.uspishnemisto.com.ua/school/460031/", 460031)</f>
        <v>460031</v>
      </c>
      <c r="B7448" s="3" t="s">
        <v>38723</v>
      </c>
      <c r="C7448" s="3" t="s">
        <v>31</v>
      </c>
      <c r="D7448" s="3" t="s">
        <v>60</v>
      </c>
      <c r="E7448" s="4" t="s">
        <v>41</v>
      </c>
      <c r="F7448" s="4" t="s">
        <v>38255</v>
      </c>
      <c r="G7448" s="4" t="s">
        <v>38724</v>
      </c>
      <c r="H7448" s="3" t="s">
        <v>38194</v>
      </c>
      <c r="I7448" s="3" t="s">
        <v>38725</v>
      </c>
      <c r="J7448" s="3" t="s">
        <v>38726</v>
      </c>
      <c r="K7448" s="3" t="s">
        <v>38727</v>
      </c>
      <c r="L7448" s="3"/>
      <c r="M7448" s="4" t="s">
        <v>38728</v>
      </c>
      <c r="N7448" s="3" t="s">
        <v>37</v>
      </c>
      <c r="O7448" s="3" t="s">
        <v>52</v>
      </c>
      <c r="P7448" s="5">
        <v>5</v>
      </c>
      <c r="Q7448" s="5">
        <v>51</v>
      </c>
      <c r="R7448" s="5">
        <v>4</v>
      </c>
      <c r="S7448" s="5">
        <v>44</v>
      </c>
    </row>
    <row r="7449" spans="1:19" ht="28" x14ac:dyDescent="0.15">
      <c r="A7449" s="2">
        <f>HYPERLINK("https://open-school.uspishnemisto.com.ua/school/460126/", 460126)</f>
        <v>460126</v>
      </c>
      <c r="B7449" s="3" t="s">
        <v>38729</v>
      </c>
      <c r="C7449" s="3" t="s">
        <v>40</v>
      </c>
      <c r="D7449" s="3" t="s">
        <v>32</v>
      </c>
      <c r="E7449" s="4" t="s">
        <v>22</v>
      </c>
      <c r="F7449" s="4" t="s">
        <v>38251</v>
      </c>
      <c r="G7449" s="4" t="s">
        <v>38724</v>
      </c>
      <c r="H7449" s="3" t="s">
        <v>38194</v>
      </c>
      <c r="I7449" s="3" t="s">
        <v>38725</v>
      </c>
      <c r="J7449" s="3" t="s">
        <v>38730</v>
      </c>
      <c r="K7449" s="3" t="s">
        <v>38731</v>
      </c>
      <c r="L7449" s="3"/>
      <c r="M7449" s="4" t="s">
        <v>38732</v>
      </c>
      <c r="N7449" s="3" t="s">
        <v>37</v>
      </c>
      <c r="O7449" s="3" t="s">
        <v>46</v>
      </c>
      <c r="P7449" s="5">
        <v>29</v>
      </c>
      <c r="Q7449" s="5">
        <v>872</v>
      </c>
      <c r="R7449" s="5">
        <v>28</v>
      </c>
      <c r="S7449" s="5">
        <v>868</v>
      </c>
    </row>
    <row r="7450" spans="1:19" ht="28" x14ac:dyDescent="0.15">
      <c r="A7450" s="2">
        <f>HYPERLINK("https://open-school.uspishnemisto.com.ua/school/460127/", 460127)</f>
        <v>460127</v>
      </c>
      <c r="B7450" s="3" t="s">
        <v>38733</v>
      </c>
      <c r="C7450" s="3" t="s">
        <v>31</v>
      </c>
      <c r="D7450" s="3" t="s">
        <v>32</v>
      </c>
      <c r="E7450" s="4" t="s">
        <v>22</v>
      </c>
      <c r="F7450" s="4" t="s">
        <v>38192</v>
      </c>
      <c r="G7450" s="4" t="s">
        <v>38724</v>
      </c>
      <c r="H7450" s="3" t="s">
        <v>38194</v>
      </c>
      <c r="I7450" s="3" t="s">
        <v>38725</v>
      </c>
      <c r="J7450" s="3" t="s">
        <v>38734</v>
      </c>
      <c r="K7450" s="3" t="s">
        <v>38735</v>
      </c>
      <c r="L7450" s="3"/>
      <c r="M7450" s="4"/>
      <c r="N7450" s="3" t="s">
        <v>37</v>
      </c>
      <c r="O7450" s="3" t="s">
        <v>139</v>
      </c>
      <c r="P7450" s="5">
        <v>24</v>
      </c>
      <c r="Q7450" s="5">
        <v>649</v>
      </c>
      <c r="R7450" s="5">
        <v>24</v>
      </c>
      <c r="S7450" s="5">
        <v>658</v>
      </c>
    </row>
    <row r="7451" spans="1:19" ht="42" x14ac:dyDescent="0.15">
      <c r="A7451" s="2">
        <f>HYPERLINK("https://open-school.uspishnemisto.com.ua/school/460128/", 460128)</f>
        <v>460128</v>
      </c>
      <c r="B7451" s="3" t="s">
        <v>38736</v>
      </c>
      <c r="C7451" s="3" t="s">
        <v>244</v>
      </c>
      <c r="D7451" s="3" t="s">
        <v>32</v>
      </c>
      <c r="E7451" s="4" t="s">
        <v>22</v>
      </c>
      <c r="F7451" s="4" t="s">
        <v>38737</v>
      </c>
      <c r="G7451" s="4" t="s">
        <v>38724</v>
      </c>
      <c r="H7451" s="3" t="s">
        <v>38194</v>
      </c>
      <c r="I7451" s="3" t="s">
        <v>38725</v>
      </c>
      <c r="J7451" s="3" t="s">
        <v>38738</v>
      </c>
      <c r="K7451" s="3" t="s">
        <v>38739</v>
      </c>
      <c r="L7451" s="3"/>
      <c r="M7451" s="4" t="s">
        <v>38740</v>
      </c>
      <c r="N7451" s="3" t="s">
        <v>37</v>
      </c>
      <c r="O7451" s="3" t="s">
        <v>123</v>
      </c>
      <c r="P7451" s="5">
        <v>35</v>
      </c>
      <c r="Q7451" s="5">
        <v>995</v>
      </c>
      <c r="R7451" s="5">
        <v>35</v>
      </c>
      <c r="S7451" s="5">
        <v>967</v>
      </c>
    </row>
    <row r="7452" spans="1:19" ht="28" x14ac:dyDescent="0.15">
      <c r="A7452" s="2">
        <f>HYPERLINK("https://open-school.uspishnemisto.com.ua/school/460129/", 460129)</f>
        <v>460129</v>
      </c>
      <c r="B7452" s="3" t="s">
        <v>38741</v>
      </c>
      <c r="C7452" s="3" t="s">
        <v>244</v>
      </c>
      <c r="D7452" s="3" t="s">
        <v>32</v>
      </c>
      <c r="E7452" s="4" t="s">
        <v>22</v>
      </c>
      <c r="F7452" s="4" t="s">
        <v>38255</v>
      </c>
      <c r="G7452" s="4" t="s">
        <v>38724</v>
      </c>
      <c r="H7452" s="3" t="s">
        <v>38194</v>
      </c>
      <c r="I7452" s="3" t="s">
        <v>38725</v>
      </c>
      <c r="J7452" s="3" t="s">
        <v>38742</v>
      </c>
      <c r="K7452" s="3" t="s">
        <v>38743</v>
      </c>
      <c r="L7452" s="3"/>
      <c r="M7452" s="4" t="s">
        <v>38744</v>
      </c>
      <c r="N7452" s="3" t="s">
        <v>37</v>
      </c>
      <c r="O7452" s="3" t="s">
        <v>46</v>
      </c>
      <c r="P7452" s="5">
        <v>19</v>
      </c>
      <c r="Q7452" s="5">
        <v>460</v>
      </c>
      <c r="R7452" s="5">
        <v>19</v>
      </c>
      <c r="S7452" s="5">
        <v>457</v>
      </c>
    </row>
    <row r="7453" spans="1:19" ht="28" x14ac:dyDescent="0.15">
      <c r="A7453" s="2">
        <f>HYPERLINK("https://open-school.uspishnemisto.com.ua/school/460131/", 460131)</f>
        <v>460131</v>
      </c>
      <c r="B7453" s="3" t="s">
        <v>38745</v>
      </c>
      <c r="C7453" s="3" t="s">
        <v>54</v>
      </c>
      <c r="D7453" s="3" t="s">
        <v>21</v>
      </c>
      <c r="E7453" s="4" t="s">
        <v>22</v>
      </c>
      <c r="F7453" s="4" t="s">
        <v>38330</v>
      </c>
      <c r="G7453" s="4" t="s">
        <v>38724</v>
      </c>
      <c r="H7453" s="3" t="s">
        <v>38194</v>
      </c>
      <c r="I7453" s="3" t="s">
        <v>38725</v>
      </c>
      <c r="J7453" s="3" t="s">
        <v>38746</v>
      </c>
      <c r="K7453" s="3" t="s">
        <v>38747</v>
      </c>
      <c r="L7453" s="3"/>
      <c r="M7453" s="4" t="s">
        <v>38748</v>
      </c>
      <c r="N7453" s="3" t="s">
        <v>37</v>
      </c>
      <c r="O7453" s="3" t="s">
        <v>237</v>
      </c>
      <c r="P7453" s="5">
        <v>9</v>
      </c>
      <c r="Q7453" s="5">
        <v>263</v>
      </c>
      <c r="R7453" s="5">
        <v>9</v>
      </c>
      <c r="S7453" s="5">
        <v>279</v>
      </c>
    </row>
    <row r="7454" spans="1:19" ht="28" x14ac:dyDescent="0.15">
      <c r="A7454" s="2">
        <f>HYPERLINK("https://open-school.uspishnemisto.com.ua/school/460133/", 460133)</f>
        <v>460133</v>
      </c>
      <c r="B7454" s="3" t="s">
        <v>38749</v>
      </c>
      <c r="C7454" s="3" t="s">
        <v>31</v>
      </c>
      <c r="D7454" s="3" t="s">
        <v>32</v>
      </c>
      <c r="E7454" s="4" t="s">
        <v>22</v>
      </c>
      <c r="F7454" s="4" t="s">
        <v>38750</v>
      </c>
      <c r="G7454" s="4" t="s">
        <v>38724</v>
      </c>
      <c r="H7454" s="3" t="s">
        <v>38194</v>
      </c>
      <c r="I7454" s="3" t="s">
        <v>38725</v>
      </c>
      <c r="J7454" s="3" t="s">
        <v>38751</v>
      </c>
      <c r="K7454" s="3" t="s">
        <v>38752</v>
      </c>
      <c r="L7454" s="3" t="s">
        <v>38753</v>
      </c>
      <c r="M7454" s="4" t="s">
        <v>38754</v>
      </c>
      <c r="N7454" s="3" t="s">
        <v>37</v>
      </c>
      <c r="O7454" s="3" t="s">
        <v>2776</v>
      </c>
      <c r="P7454" s="5">
        <v>31</v>
      </c>
      <c r="Q7454" s="5">
        <v>859</v>
      </c>
      <c r="R7454" s="5">
        <v>30</v>
      </c>
      <c r="S7454" s="5">
        <v>786</v>
      </c>
    </row>
    <row r="7455" spans="1:19" ht="28" x14ac:dyDescent="0.15">
      <c r="A7455" s="2">
        <f>HYPERLINK("https://open-school.uspishnemisto.com.ua/school/460134/", 460134)</f>
        <v>460134</v>
      </c>
      <c r="B7455" s="3" t="s">
        <v>38755</v>
      </c>
      <c r="C7455" s="3" t="s">
        <v>31</v>
      </c>
      <c r="D7455" s="3" t="s">
        <v>32</v>
      </c>
      <c r="E7455" s="4" t="s">
        <v>22</v>
      </c>
      <c r="F7455" s="4" t="s">
        <v>38756</v>
      </c>
      <c r="G7455" s="4" t="s">
        <v>38724</v>
      </c>
      <c r="H7455" s="3" t="s">
        <v>38194</v>
      </c>
      <c r="I7455" s="3" t="s">
        <v>38725</v>
      </c>
      <c r="J7455" s="3" t="s">
        <v>6405</v>
      </c>
      <c r="K7455" s="3" t="s">
        <v>38757</v>
      </c>
      <c r="L7455" s="3"/>
      <c r="M7455" s="4"/>
      <c r="N7455" s="3" t="s">
        <v>37</v>
      </c>
      <c r="O7455" s="3" t="s">
        <v>139</v>
      </c>
      <c r="P7455" s="5">
        <v>12</v>
      </c>
      <c r="Q7455" s="5">
        <v>274</v>
      </c>
      <c r="R7455" s="5">
        <v>11</v>
      </c>
      <c r="S7455" s="5">
        <v>265</v>
      </c>
    </row>
    <row r="7456" spans="1:19" ht="28" x14ac:dyDescent="0.15">
      <c r="A7456" s="2">
        <f>HYPERLINK("https://open-school.uspishnemisto.com.ua/school/460135/", 460135)</f>
        <v>460135</v>
      </c>
      <c r="B7456" s="3" t="s">
        <v>38758</v>
      </c>
      <c r="C7456" s="3" t="s">
        <v>31</v>
      </c>
      <c r="D7456" s="3" t="s">
        <v>32</v>
      </c>
      <c r="E7456" s="4" t="s">
        <v>22</v>
      </c>
      <c r="F7456" s="4" t="s">
        <v>38217</v>
      </c>
      <c r="G7456" s="4" t="s">
        <v>38724</v>
      </c>
      <c r="H7456" s="3" t="s">
        <v>38194</v>
      </c>
      <c r="I7456" s="3" t="s">
        <v>38725</v>
      </c>
      <c r="J7456" s="3" t="s">
        <v>38759</v>
      </c>
      <c r="K7456" s="3" t="s">
        <v>38760</v>
      </c>
      <c r="L7456" s="3"/>
      <c r="M7456" s="4" t="s">
        <v>38761</v>
      </c>
      <c r="N7456" s="3" t="s">
        <v>37</v>
      </c>
      <c r="O7456" s="3" t="s">
        <v>237</v>
      </c>
      <c r="P7456" s="5">
        <v>44</v>
      </c>
      <c r="Q7456" s="5">
        <v>1285</v>
      </c>
      <c r="R7456" s="5">
        <v>43</v>
      </c>
      <c r="S7456" s="5">
        <v>1237</v>
      </c>
    </row>
    <row r="7457" spans="1:19" ht="28" x14ac:dyDescent="0.15">
      <c r="A7457" s="2">
        <f>HYPERLINK("https://open-school.uspishnemisto.com.ua/school/460136/", 460136)</f>
        <v>460136</v>
      </c>
      <c r="B7457" s="3" t="s">
        <v>38762</v>
      </c>
      <c r="C7457" s="3" t="s">
        <v>31</v>
      </c>
      <c r="D7457" s="3" t="s">
        <v>32</v>
      </c>
      <c r="E7457" s="4" t="s">
        <v>22</v>
      </c>
      <c r="F7457" s="4" t="s">
        <v>38763</v>
      </c>
      <c r="G7457" s="4" t="s">
        <v>38724</v>
      </c>
      <c r="H7457" s="3" t="s">
        <v>38194</v>
      </c>
      <c r="I7457" s="3" t="s">
        <v>38725</v>
      </c>
      <c r="J7457" s="3" t="s">
        <v>38764</v>
      </c>
      <c r="K7457" s="3" t="s">
        <v>38765</v>
      </c>
      <c r="L7457" s="3"/>
      <c r="M7457" s="4" t="s">
        <v>38766</v>
      </c>
      <c r="N7457" s="3" t="s">
        <v>37</v>
      </c>
      <c r="O7457" s="3" t="s">
        <v>46</v>
      </c>
      <c r="P7457" s="5">
        <v>43</v>
      </c>
      <c r="Q7457" s="5">
        <v>1182</v>
      </c>
      <c r="R7457" s="5">
        <v>41</v>
      </c>
      <c r="S7457" s="5">
        <v>1109</v>
      </c>
    </row>
    <row r="7458" spans="1:19" ht="28" x14ac:dyDescent="0.15">
      <c r="A7458" s="2">
        <f>HYPERLINK("https://open-school.uspishnemisto.com.ua/school/460137/", 460137)</f>
        <v>460137</v>
      </c>
      <c r="B7458" s="3" t="s">
        <v>38767</v>
      </c>
      <c r="C7458" s="3" t="s">
        <v>31</v>
      </c>
      <c r="D7458" s="3" t="s">
        <v>32</v>
      </c>
      <c r="E7458" s="4" t="s">
        <v>22</v>
      </c>
      <c r="F7458" s="4" t="s">
        <v>38255</v>
      </c>
      <c r="G7458" s="4" t="s">
        <v>38724</v>
      </c>
      <c r="H7458" s="3" t="s">
        <v>38194</v>
      </c>
      <c r="I7458" s="3" t="s">
        <v>38725</v>
      </c>
      <c r="J7458" s="3" t="s">
        <v>38768</v>
      </c>
      <c r="K7458" s="3" t="s">
        <v>38769</v>
      </c>
      <c r="L7458" s="3"/>
      <c r="M7458" s="4" t="s">
        <v>38770</v>
      </c>
      <c r="N7458" s="3" t="s">
        <v>37</v>
      </c>
      <c r="O7458" s="3" t="s">
        <v>237</v>
      </c>
      <c r="P7458" s="5">
        <v>22</v>
      </c>
      <c r="Q7458" s="5">
        <v>533</v>
      </c>
      <c r="R7458" s="5">
        <v>21</v>
      </c>
      <c r="S7458" s="5">
        <v>479</v>
      </c>
    </row>
    <row r="7459" spans="1:19" ht="28" x14ac:dyDescent="0.15">
      <c r="A7459" s="2">
        <f>HYPERLINK("https://open-school.uspishnemisto.com.ua/school/460138/", 460138)</f>
        <v>460138</v>
      </c>
      <c r="B7459" s="3" t="s">
        <v>38771</v>
      </c>
      <c r="C7459" s="3" t="s">
        <v>31</v>
      </c>
      <c r="D7459" s="3" t="s">
        <v>32</v>
      </c>
      <c r="E7459" s="4" t="s">
        <v>22</v>
      </c>
      <c r="F7459" s="4" t="s">
        <v>38330</v>
      </c>
      <c r="G7459" s="4" t="s">
        <v>38724</v>
      </c>
      <c r="H7459" s="3" t="s">
        <v>38194</v>
      </c>
      <c r="I7459" s="3" t="s">
        <v>38725</v>
      </c>
      <c r="J7459" s="3" t="s">
        <v>38772</v>
      </c>
      <c r="K7459" s="3" t="s">
        <v>38773</v>
      </c>
      <c r="L7459" s="3"/>
      <c r="M7459" s="4" t="s">
        <v>38774</v>
      </c>
      <c r="N7459" s="3" t="s">
        <v>37</v>
      </c>
      <c r="O7459" s="3" t="s">
        <v>52</v>
      </c>
      <c r="P7459" s="5">
        <v>33</v>
      </c>
      <c r="Q7459" s="5">
        <v>1004</v>
      </c>
      <c r="R7459" s="5">
        <v>33</v>
      </c>
      <c r="S7459" s="5">
        <v>970</v>
      </c>
    </row>
    <row r="7460" spans="1:19" ht="28" x14ac:dyDescent="0.15">
      <c r="A7460" s="2">
        <f>HYPERLINK("https://open-school.uspishnemisto.com.ua/school/460139/", 460139)</f>
        <v>460139</v>
      </c>
      <c r="B7460" s="3" t="s">
        <v>38775</v>
      </c>
      <c r="C7460" s="3" t="s">
        <v>31</v>
      </c>
      <c r="D7460" s="3" t="s">
        <v>32</v>
      </c>
      <c r="E7460" s="4" t="s">
        <v>22</v>
      </c>
      <c r="F7460" s="4" t="s">
        <v>38330</v>
      </c>
      <c r="G7460" s="4" t="s">
        <v>38724</v>
      </c>
      <c r="H7460" s="3" t="s">
        <v>38194</v>
      </c>
      <c r="I7460" s="3" t="s">
        <v>38725</v>
      </c>
      <c r="J7460" s="3" t="s">
        <v>38776</v>
      </c>
      <c r="K7460" s="3" t="s">
        <v>38777</v>
      </c>
      <c r="L7460" s="3"/>
      <c r="M7460" s="4" t="s">
        <v>38778</v>
      </c>
      <c r="N7460" s="3" t="s">
        <v>37</v>
      </c>
      <c r="O7460" s="3" t="s">
        <v>46</v>
      </c>
      <c r="P7460" s="5">
        <v>34</v>
      </c>
      <c r="Q7460" s="5">
        <v>899</v>
      </c>
      <c r="R7460" s="5">
        <v>33</v>
      </c>
      <c r="S7460" s="5">
        <v>855</v>
      </c>
    </row>
    <row r="7461" spans="1:19" ht="28" x14ac:dyDescent="0.15">
      <c r="A7461" s="2">
        <f>HYPERLINK("https://open-school.uspishnemisto.com.ua/school/460140/", 460140)</f>
        <v>460140</v>
      </c>
      <c r="B7461" s="3" t="s">
        <v>38779</v>
      </c>
      <c r="C7461" s="3" t="s">
        <v>31</v>
      </c>
      <c r="D7461" s="3" t="s">
        <v>32</v>
      </c>
      <c r="E7461" s="4" t="s">
        <v>22</v>
      </c>
      <c r="F7461" s="4" t="s">
        <v>38232</v>
      </c>
      <c r="G7461" s="4" t="s">
        <v>38724</v>
      </c>
      <c r="H7461" s="3" t="s">
        <v>38194</v>
      </c>
      <c r="I7461" s="3" t="s">
        <v>38725</v>
      </c>
      <c r="J7461" s="3" t="s">
        <v>38780</v>
      </c>
      <c r="K7461" s="3" t="s">
        <v>38781</v>
      </c>
      <c r="L7461" s="3"/>
      <c r="M7461" s="4"/>
      <c r="N7461" s="3" t="s">
        <v>37</v>
      </c>
      <c r="O7461" s="3" t="s">
        <v>52</v>
      </c>
      <c r="P7461" s="5">
        <v>41</v>
      </c>
      <c r="Q7461" s="5">
        <v>1222</v>
      </c>
      <c r="R7461" s="5">
        <v>41</v>
      </c>
      <c r="S7461" s="5">
        <v>1192</v>
      </c>
    </row>
    <row r="7462" spans="1:19" ht="28" x14ac:dyDescent="0.15">
      <c r="A7462" s="2">
        <f>HYPERLINK("https://open-school.uspishnemisto.com.ua/school/460141/", 460141)</f>
        <v>460141</v>
      </c>
      <c r="B7462" s="3" t="s">
        <v>38782</v>
      </c>
      <c r="C7462" s="3" t="s">
        <v>31</v>
      </c>
      <c r="D7462" s="3" t="s">
        <v>32</v>
      </c>
      <c r="E7462" s="4" t="s">
        <v>22</v>
      </c>
      <c r="F7462" s="4" t="s">
        <v>38783</v>
      </c>
      <c r="G7462" s="4" t="s">
        <v>38784</v>
      </c>
      <c r="H7462" s="3" t="s">
        <v>38194</v>
      </c>
      <c r="I7462" s="3" t="s">
        <v>38785</v>
      </c>
      <c r="J7462" s="3" t="s">
        <v>38786</v>
      </c>
      <c r="K7462" s="3" t="s">
        <v>38787</v>
      </c>
      <c r="L7462" s="3"/>
      <c r="M7462" s="4" t="s">
        <v>38788</v>
      </c>
      <c r="N7462" s="3" t="s">
        <v>37</v>
      </c>
      <c r="O7462" s="3" t="s">
        <v>46</v>
      </c>
      <c r="P7462" s="5">
        <v>10</v>
      </c>
      <c r="Q7462" s="5">
        <v>177</v>
      </c>
      <c r="R7462" s="5">
        <v>10</v>
      </c>
      <c r="S7462" s="5">
        <v>183</v>
      </c>
    </row>
    <row r="7463" spans="1:19" ht="28" x14ac:dyDescent="0.15">
      <c r="A7463" s="2">
        <f>HYPERLINK("https://open-school.uspishnemisto.com.ua/school/460142/", 460142)</f>
        <v>460142</v>
      </c>
      <c r="B7463" s="3" t="s">
        <v>38789</v>
      </c>
      <c r="C7463" s="3" t="s">
        <v>2634</v>
      </c>
      <c r="D7463" s="3" t="s">
        <v>32</v>
      </c>
      <c r="E7463" s="4" t="s">
        <v>22</v>
      </c>
      <c r="F7463" s="4" t="s">
        <v>38783</v>
      </c>
      <c r="G7463" s="4" t="s">
        <v>38784</v>
      </c>
      <c r="H7463" s="3" t="s">
        <v>38194</v>
      </c>
      <c r="I7463" s="3" t="s">
        <v>38785</v>
      </c>
      <c r="J7463" s="3" t="s">
        <v>38790</v>
      </c>
      <c r="K7463" s="3" t="s">
        <v>38791</v>
      </c>
      <c r="L7463" s="3"/>
      <c r="M7463" s="4" t="s">
        <v>38792</v>
      </c>
      <c r="N7463" s="3" t="s">
        <v>37</v>
      </c>
      <c r="O7463" s="3" t="s">
        <v>46</v>
      </c>
      <c r="P7463" s="5">
        <v>19</v>
      </c>
      <c r="Q7463" s="5">
        <v>416</v>
      </c>
      <c r="R7463" s="5">
        <v>18</v>
      </c>
      <c r="S7463" s="5">
        <v>394</v>
      </c>
    </row>
    <row r="7464" spans="1:19" ht="28" x14ac:dyDescent="0.15">
      <c r="A7464" s="2">
        <f>HYPERLINK("https://open-school.uspishnemisto.com.ua/school/460143/", 460143)</f>
        <v>460143</v>
      </c>
      <c r="B7464" s="3" t="s">
        <v>38793</v>
      </c>
      <c r="C7464" s="3" t="s">
        <v>31</v>
      </c>
      <c r="D7464" s="3" t="s">
        <v>32</v>
      </c>
      <c r="E7464" s="4" t="s">
        <v>22</v>
      </c>
      <c r="F7464" s="4" t="s">
        <v>38783</v>
      </c>
      <c r="G7464" s="4" t="s">
        <v>38784</v>
      </c>
      <c r="H7464" s="3" t="s">
        <v>38194</v>
      </c>
      <c r="I7464" s="3" t="s">
        <v>38785</v>
      </c>
      <c r="J7464" s="3" t="s">
        <v>38794</v>
      </c>
      <c r="K7464" s="3" t="s">
        <v>38795</v>
      </c>
      <c r="L7464" s="3"/>
      <c r="M7464" s="4" t="s">
        <v>38796</v>
      </c>
      <c r="N7464" s="3" t="s">
        <v>37</v>
      </c>
      <c r="O7464" s="3" t="s">
        <v>1081</v>
      </c>
      <c r="P7464" s="5">
        <v>38</v>
      </c>
      <c r="Q7464" s="5">
        <v>1126</v>
      </c>
      <c r="R7464" s="5">
        <v>36</v>
      </c>
      <c r="S7464" s="5">
        <v>1029</v>
      </c>
    </row>
    <row r="7465" spans="1:19" ht="28" x14ac:dyDescent="0.15">
      <c r="A7465" s="2">
        <f>HYPERLINK("https://open-school.uspishnemisto.com.ua/school/460144/", 460144)</f>
        <v>460144</v>
      </c>
      <c r="B7465" s="3" t="s">
        <v>38797</v>
      </c>
      <c r="C7465" s="3" t="s">
        <v>31</v>
      </c>
      <c r="D7465" s="3" t="s">
        <v>32</v>
      </c>
      <c r="E7465" s="4" t="s">
        <v>22</v>
      </c>
      <c r="F7465" s="4" t="s">
        <v>38783</v>
      </c>
      <c r="G7465" s="4" t="s">
        <v>38784</v>
      </c>
      <c r="H7465" s="3" t="s">
        <v>38194</v>
      </c>
      <c r="I7465" s="3" t="s">
        <v>38785</v>
      </c>
      <c r="J7465" s="3" t="s">
        <v>27943</v>
      </c>
      <c r="K7465" s="3" t="s">
        <v>38798</v>
      </c>
      <c r="L7465" s="3"/>
      <c r="M7465" s="4" t="s">
        <v>38799</v>
      </c>
      <c r="N7465" s="3" t="s">
        <v>37</v>
      </c>
      <c r="O7465" s="3" t="s">
        <v>52</v>
      </c>
      <c r="P7465" s="5">
        <v>22</v>
      </c>
      <c r="Q7465" s="5">
        <v>493</v>
      </c>
      <c r="R7465" s="5">
        <v>22</v>
      </c>
      <c r="S7465" s="5">
        <v>492</v>
      </c>
    </row>
    <row r="7466" spans="1:19" ht="28" x14ac:dyDescent="0.15">
      <c r="A7466" s="2">
        <f>HYPERLINK("https://open-school.uspishnemisto.com.ua/school/460145/", 460145)</f>
        <v>460145</v>
      </c>
      <c r="B7466" s="3" t="s">
        <v>38800</v>
      </c>
      <c r="C7466" s="3" t="s">
        <v>181</v>
      </c>
      <c r="D7466" s="3" t="s">
        <v>175</v>
      </c>
      <c r="E7466" s="4" t="s">
        <v>22</v>
      </c>
      <c r="F7466" s="4" t="s">
        <v>38801</v>
      </c>
      <c r="G7466" s="4" t="s">
        <v>38802</v>
      </c>
      <c r="H7466" s="3" t="s">
        <v>38194</v>
      </c>
      <c r="I7466" s="3" t="s">
        <v>38803</v>
      </c>
      <c r="J7466" s="3" t="s">
        <v>38804</v>
      </c>
      <c r="K7466" s="3" t="s">
        <v>38805</v>
      </c>
      <c r="L7466" s="3"/>
      <c r="M7466" s="4"/>
      <c r="N7466" s="3" t="s">
        <v>37</v>
      </c>
      <c r="O7466" s="3"/>
      <c r="P7466" s="5">
        <v>8</v>
      </c>
      <c r="Q7466" s="5">
        <v>67</v>
      </c>
      <c r="R7466" s="5">
        <v>11</v>
      </c>
      <c r="S7466" s="5">
        <v>84</v>
      </c>
    </row>
    <row r="7467" spans="1:19" ht="28" x14ac:dyDescent="0.15">
      <c r="A7467" s="2">
        <f>HYPERLINK("https://open-school.uspishnemisto.com.ua/school/460146/", 460146)</f>
        <v>460146</v>
      </c>
      <c r="B7467" s="3" t="s">
        <v>38806</v>
      </c>
      <c r="C7467" s="3" t="s">
        <v>31</v>
      </c>
      <c r="D7467" s="3" t="s">
        <v>32</v>
      </c>
      <c r="E7467" s="4" t="s">
        <v>22</v>
      </c>
      <c r="F7467" s="4" t="s">
        <v>38801</v>
      </c>
      <c r="G7467" s="4" t="s">
        <v>38802</v>
      </c>
      <c r="H7467" s="3" t="s">
        <v>38194</v>
      </c>
      <c r="I7467" s="3" t="s">
        <v>38803</v>
      </c>
      <c r="J7467" s="3" t="s">
        <v>38807</v>
      </c>
      <c r="K7467" s="3" t="s">
        <v>38808</v>
      </c>
      <c r="L7467" s="3"/>
      <c r="M7467" s="4" t="s">
        <v>38809</v>
      </c>
      <c r="N7467" s="3" t="s">
        <v>37</v>
      </c>
      <c r="O7467" s="3" t="s">
        <v>46</v>
      </c>
      <c r="P7467" s="5">
        <v>17</v>
      </c>
      <c r="Q7467" s="5">
        <v>390</v>
      </c>
      <c r="R7467" s="5">
        <v>16</v>
      </c>
      <c r="S7467" s="5">
        <v>383</v>
      </c>
    </row>
    <row r="7468" spans="1:19" ht="28" x14ac:dyDescent="0.15">
      <c r="A7468" s="2">
        <f>HYPERLINK("https://open-school.uspishnemisto.com.ua/school/460147/", 460147)</f>
        <v>460147</v>
      </c>
      <c r="B7468" s="3" t="s">
        <v>38810</v>
      </c>
      <c r="C7468" s="3" t="s">
        <v>40</v>
      </c>
      <c r="D7468" s="3" t="s">
        <v>32</v>
      </c>
      <c r="E7468" s="4" t="s">
        <v>22</v>
      </c>
      <c r="F7468" s="4" t="s">
        <v>38811</v>
      </c>
      <c r="G7468" s="4" t="s">
        <v>38812</v>
      </c>
      <c r="H7468" s="3" t="s">
        <v>38194</v>
      </c>
      <c r="I7468" s="3" t="s">
        <v>38813</v>
      </c>
      <c r="J7468" s="3" t="s">
        <v>38814</v>
      </c>
      <c r="K7468" s="3"/>
      <c r="L7468" s="3"/>
      <c r="M7468" s="4" t="s">
        <v>38815</v>
      </c>
      <c r="N7468" s="3" t="s">
        <v>37</v>
      </c>
      <c r="O7468" s="3" t="s">
        <v>46</v>
      </c>
      <c r="P7468" s="5">
        <v>12</v>
      </c>
      <c r="Q7468" s="5">
        <v>359</v>
      </c>
      <c r="R7468" s="5">
        <v>12</v>
      </c>
      <c r="S7468" s="5">
        <v>349</v>
      </c>
    </row>
    <row r="7469" spans="1:19" ht="28" x14ac:dyDescent="0.15">
      <c r="A7469" s="2">
        <f>HYPERLINK("https://open-school.uspishnemisto.com.ua/school/460148/", 460148)</f>
        <v>460148</v>
      </c>
      <c r="B7469" s="3" t="s">
        <v>38816</v>
      </c>
      <c r="C7469" s="3" t="s">
        <v>31</v>
      </c>
      <c r="D7469" s="3" t="s">
        <v>175</v>
      </c>
      <c r="E7469" s="4" t="s">
        <v>22</v>
      </c>
      <c r="F7469" s="4" t="s">
        <v>38811</v>
      </c>
      <c r="G7469" s="4" t="s">
        <v>38812</v>
      </c>
      <c r="H7469" s="3" t="s">
        <v>38194</v>
      </c>
      <c r="I7469" s="3" t="s">
        <v>38813</v>
      </c>
      <c r="J7469" s="3" t="s">
        <v>38817</v>
      </c>
      <c r="K7469" s="3" t="s">
        <v>38818</v>
      </c>
      <c r="L7469" s="3"/>
      <c r="M7469" s="4"/>
      <c r="N7469" s="3" t="s">
        <v>37</v>
      </c>
      <c r="O7469" s="3" t="s">
        <v>46</v>
      </c>
      <c r="P7469" s="5">
        <v>9</v>
      </c>
      <c r="Q7469" s="5">
        <v>117</v>
      </c>
      <c r="R7469" s="5">
        <v>9</v>
      </c>
      <c r="S7469" s="5">
        <v>114</v>
      </c>
    </row>
    <row r="7470" spans="1:19" ht="28" x14ac:dyDescent="0.15">
      <c r="A7470" s="2">
        <f>HYPERLINK("https://open-school.uspishnemisto.com.ua/school/460149/", 460149)</f>
        <v>460149</v>
      </c>
      <c r="B7470" s="3" t="s">
        <v>38819</v>
      </c>
      <c r="C7470" s="3" t="s">
        <v>31</v>
      </c>
      <c r="D7470" s="3" t="s">
        <v>32</v>
      </c>
      <c r="E7470" s="4" t="s">
        <v>22</v>
      </c>
      <c r="F7470" s="4" t="s">
        <v>38811</v>
      </c>
      <c r="G7470" s="4" t="s">
        <v>38812</v>
      </c>
      <c r="H7470" s="3" t="s">
        <v>38194</v>
      </c>
      <c r="I7470" s="3" t="s">
        <v>38813</v>
      </c>
      <c r="J7470" s="3" t="s">
        <v>3363</v>
      </c>
      <c r="K7470" s="3" t="s">
        <v>38820</v>
      </c>
      <c r="L7470" s="3"/>
      <c r="M7470" s="4"/>
      <c r="N7470" s="3" t="s">
        <v>37</v>
      </c>
      <c r="O7470" s="3" t="s">
        <v>52</v>
      </c>
      <c r="P7470" s="5">
        <v>26</v>
      </c>
      <c r="Q7470" s="5">
        <v>667</v>
      </c>
      <c r="R7470" s="5">
        <v>26</v>
      </c>
      <c r="S7470" s="5">
        <v>655</v>
      </c>
    </row>
    <row r="7471" spans="1:19" ht="28" x14ac:dyDescent="0.15">
      <c r="A7471" s="2">
        <f>HYPERLINK("https://open-school.uspishnemisto.com.ua/school/460150/", 460150)</f>
        <v>460150</v>
      </c>
      <c r="B7471" s="3" t="s">
        <v>38821</v>
      </c>
      <c r="C7471" s="3" t="s">
        <v>31</v>
      </c>
      <c r="D7471" s="3" t="s">
        <v>32</v>
      </c>
      <c r="E7471" s="4" t="s">
        <v>22</v>
      </c>
      <c r="F7471" s="4" t="s">
        <v>38811</v>
      </c>
      <c r="G7471" s="4" t="s">
        <v>38812</v>
      </c>
      <c r="H7471" s="3" t="s">
        <v>38194</v>
      </c>
      <c r="I7471" s="3" t="s">
        <v>38813</v>
      </c>
      <c r="J7471" s="3" t="s">
        <v>8007</v>
      </c>
      <c r="K7471" s="3" t="s">
        <v>38822</v>
      </c>
      <c r="L7471" s="3"/>
      <c r="M7471" s="4"/>
      <c r="N7471" s="3" t="s">
        <v>37</v>
      </c>
      <c r="O7471" s="3" t="s">
        <v>52</v>
      </c>
      <c r="P7471" s="5">
        <v>19</v>
      </c>
      <c r="Q7471" s="5">
        <v>466</v>
      </c>
      <c r="R7471" s="5">
        <v>19</v>
      </c>
      <c r="S7471" s="5">
        <v>466</v>
      </c>
    </row>
    <row r="7472" spans="1:19" ht="28" x14ac:dyDescent="0.15">
      <c r="A7472" s="2">
        <f>HYPERLINK("https://open-school.uspishnemisto.com.ua/school/460151/", 460151)</f>
        <v>460151</v>
      </c>
      <c r="B7472" s="3" t="s">
        <v>38823</v>
      </c>
      <c r="C7472" s="3" t="s">
        <v>31</v>
      </c>
      <c r="D7472" s="3" t="s">
        <v>32</v>
      </c>
      <c r="E7472" s="4" t="s">
        <v>22</v>
      </c>
      <c r="F7472" s="4" t="s">
        <v>38811</v>
      </c>
      <c r="G7472" s="4" t="s">
        <v>38812</v>
      </c>
      <c r="H7472" s="3" t="s">
        <v>38194</v>
      </c>
      <c r="I7472" s="3" t="s">
        <v>38813</v>
      </c>
      <c r="J7472" s="3" t="s">
        <v>38824</v>
      </c>
      <c r="K7472" s="3" t="s">
        <v>38825</v>
      </c>
      <c r="L7472" s="3"/>
      <c r="M7472" s="4"/>
      <c r="N7472" s="3" t="s">
        <v>37</v>
      </c>
      <c r="O7472" s="3" t="s">
        <v>123</v>
      </c>
      <c r="P7472" s="5">
        <v>30</v>
      </c>
      <c r="Q7472" s="5">
        <v>816</v>
      </c>
      <c r="R7472" s="5">
        <v>30</v>
      </c>
      <c r="S7472" s="5">
        <v>822</v>
      </c>
    </row>
    <row r="7473" spans="1:19" ht="28" x14ac:dyDescent="0.15">
      <c r="A7473" s="2">
        <f>HYPERLINK("https://open-school.uspishnemisto.com.ua/school/460152/", 460152)</f>
        <v>460152</v>
      </c>
      <c r="B7473" s="3" t="s">
        <v>38826</v>
      </c>
      <c r="C7473" s="3" t="s">
        <v>31</v>
      </c>
      <c r="D7473" s="3" t="s">
        <v>32</v>
      </c>
      <c r="E7473" s="4" t="s">
        <v>22</v>
      </c>
      <c r="F7473" s="4" t="s">
        <v>38811</v>
      </c>
      <c r="G7473" s="4" t="s">
        <v>38812</v>
      </c>
      <c r="H7473" s="3" t="s">
        <v>38194</v>
      </c>
      <c r="I7473" s="3" t="s">
        <v>38813</v>
      </c>
      <c r="J7473" s="3" t="s">
        <v>38827</v>
      </c>
      <c r="K7473" s="3" t="s">
        <v>38828</v>
      </c>
      <c r="L7473" s="3"/>
      <c r="M7473" s="4"/>
      <c r="N7473" s="3" t="s">
        <v>37</v>
      </c>
      <c r="O7473" s="3" t="s">
        <v>237</v>
      </c>
      <c r="P7473" s="5">
        <v>18</v>
      </c>
      <c r="Q7473" s="5">
        <v>403</v>
      </c>
      <c r="R7473" s="5">
        <v>18</v>
      </c>
      <c r="S7473" s="5">
        <v>401</v>
      </c>
    </row>
    <row r="7474" spans="1:19" ht="28" x14ac:dyDescent="0.15">
      <c r="A7474" s="2">
        <f>HYPERLINK("https://open-school.uspishnemisto.com.ua/school/460153/", 460153)</f>
        <v>460153</v>
      </c>
      <c r="B7474" s="3" t="s">
        <v>38829</v>
      </c>
      <c r="C7474" s="3" t="s">
        <v>31</v>
      </c>
      <c r="D7474" s="3" t="s">
        <v>32</v>
      </c>
      <c r="E7474" s="4" t="s">
        <v>22</v>
      </c>
      <c r="F7474" s="4" t="s">
        <v>38811</v>
      </c>
      <c r="G7474" s="4" t="s">
        <v>38812</v>
      </c>
      <c r="H7474" s="3" t="s">
        <v>38194</v>
      </c>
      <c r="I7474" s="3" t="s">
        <v>38813</v>
      </c>
      <c r="J7474" s="3" t="s">
        <v>38830</v>
      </c>
      <c r="K7474" s="3" t="s">
        <v>38831</v>
      </c>
      <c r="L7474" s="3"/>
      <c r="M7474" s="4"/>
      <c r="N7474" s="3" t="s">
        <v>37</v>
      </c>
      <c r="O7474" s="3" t="s">
        <v>2740</v>
      </c>
      <c r="P7474" s="5">
        <v>15</v>
      </c>
      <c r="Q7474" s="5">
        <v>379</v>
      </c>
      <c r="R7474" s="5">
        <v>15</v>
      </c>
      <c r="S7474" s="5">
        <v>359</v>
      </c>
    </row>
    <row r="7475" spans="1:19" ht="28" x14ac:dyDescent="0.15">
      <c r="A7475" s="2">
        <f>HYPERLINK("https://open-school.uspishnemisto.com.ua/school/460154/", 460154)</f>
        <v>460154</v>
      </c>
      <c r="B7475" s="3" t="s">
        <v>38832</v>
      </c>
      <c r="C7475" s="3" t="s">
        <v>31</v>
      </c>
      <c r="D7475" s="3" t="s">
        <v>32</v>
      </c>
      <c r="E7475" s="4" t="s">
        <v>22</v>
      </c>
      <c r="F7475" s="4" t="s">
        <v>38811</v>
      </c>
      <c r="G7475" s="4" t="s">
        <v>38812</v>
      </c>
      <c r="H7475" s="3" t="s">
        <v>38194</v>
      </c>
      <c r="I7475" s="3" t="s">
        <v>38813</v>
      </c>
      <c r="J7475" s="3" t="s">
        <v>38833</v>
      </c>
      <c r="K7475" s="3" t="s">
        <v>38834</v>
      </c>
      <c r="L7475" s="3"/>
      <c r="M7475" s="4"/>
      <c r="N7475" s="3" t="s">
        <v>37</v>
      </c>
      <c r="O7475" s="3" t="s">
        <v>46</v>
      </c>
      <c r="P7475" s="5">
        <v>20</v>
      </c>
      <c r="Q7475" s="5">
        <v>457</v>
      </c>
      <c r="R7475" s="5">
        <v>20</v>
      </c>
      <c r="S7475" s="5">
        <v>446</v>
      </c>
    </row>
    <row r="7476" spans="1:19" ht="42" x14ac:dyDescent="0.15">
      <c r="A7476" s="2">
        <f>HYPERLINK("https://open-school.uspishnemisto.com.ua/school/460155/", 460155)</f>
        <v>460155</v>
      </c>
      <c r="B7476" s="3" t="s">
        <v>38835</v>
      </c>
      <c r="C7476" s="3" t="s">
        <v>2634</v>
      </c>
      <c r="D7476" s="3" t="s">
        <v>32</v>
      </c>
      <c r="E7476" s="4" t="s">
        <v>22</v>
      </c>
      <c r="F7476" s="4" t="s">
        <v>38811</v>
      </c>
      <c r="G7476" s="4" t="s">
        <v>38812</v>
      </c>
      <c r="H7476" s="3" t="s">
        <v>38194</v>
      </c>
      <c r="I7476" s="3" t="s">
        <v>38813</v>
      </c>
      <c r="J7476" s="3" t="s">
        <v>38836</v>
      </c>
      <c r="K7476" s="3" t="s">
        <v>38837</v>
      </c>
      <c r="L7476" s="3"/>
      <c r="M7476" s="4" t="s">
        <v>38838</v>
      </c>
      <c r="N7476" s="3" t="s">
        <v>37</v>
      </c>
      <c r="O7476" s="3" t="s">
        <v>52</v>
      </c>
      <c r="P7476" s="5">
        <v>14</v>
      </c>
      <c r="Q7476" s="5">
        <v>205</v>
      </c>
      <c r="R7476" s="5">
        <v>14</v>
      </c>
      <c r="S7476" s="5">
        <v>205</v>
      </c>
    </row>
    <row r="7477" spans="1:19" ht="28" x14ac:dyDescent="0.15">
      <c r="A7477" s="2">
        <f>HYPERLINK("https://open-school.uspishnemisto.com.ua/school/460156/", 460156)</f>
        <v>460156</v>
      </c>
      <c r="B7477" s="3" t="s">
        <v>38839</v>
      </c>
      <c r="C7477" s="3" t="s">
        <v>181</v>
      </c>
      <c r="D7477" s="3" t="s">
        <v>32</v>
      </c>
      <c r="E7477" s="4" t="s">
        <v>22</v>
      </c>
      <c r="F7477" s="4" t="s">
        <v>38811</v>
      </c>
      <c r="G7477" s="4" t="s">
        <v>38812</v>
      </c>
      <c r="H7477" s="3" t="s">
        <v>38194</v>
      </c>
      <c r="I7477" s="3" t="s">
        <v>38813</v>
      </c>
      <c r="J7477" s="3" t="s">
        <v>38840</v>
      </c>
      <c r="K7477" s="3" t="s">
        <v>38841</v>
      </c>
      <c r="L7477" s="3"/>
      <c r="M7477" s="4"/>
      <c r="N7477" s="3" t="s">
        <v>37</v>
      </c>
      <c r="O7477" s="3" t="s">
        <v>46</v>
      </c>
      <c r="P7477" s="5">
        <v>13</v>
      </c>
      <c r="Q7477" s="5">
        <v>83</v>
      </c>
      <c r="R7477" s="5">
        <v>14</v>
      </c>
      <c r="S7477" s="5">
        <v>89</v>
      </c>
    </row>
    <row r="7478" spans="1:19" ht="42" x14ac:dyDescent="0.15">
      <c r="A7478" s="2">
        <f>HYPERLINK("https://open-school.uspishnemisto.com.ua/school/460157/", 460157)</f>
        <v>460157</v>
      </c>
      <c r="B7478" s="3" t="s">
        <v>38842</v>
      </c>
      <c r="C7478" s="3" t="s">
        <v>54</v>
      </c>
      <c r="D7478" s="3" t="s">
        <v>175</v>
      </c>
      <c r="E7478" s="4" t="s">
        <v>22</v>
      </c>
      <c r="F7478" s="4" t="s">
        <v>38811</v>
      </c>
      <c r="G7478" s="4" t="s">
        <v>38812</v>
      </c>
      <c r="H7478" s="3" t="s">
        <v>38194</v>
      </c>
      <c r="I7478" s="3" t="s">
        <v>38813</v>
      </c>
      <c r="J7478" s="3" t="s">
        <v>38843</v>
      </c>
      <c r="K7478" s="3" t="s">
        <v>38844</v>
      </c>
      <c r="L7478" s="3"/>
      <c r="M7478" s="4"/>
      <c r="N7478" s="3" t="s">
        <v>37</v>
      </c>
      <c r="O7478" s="3" t="s">
        <v>2740</v>
      </c>
      <c r="P7478" s="5">
        <v>9</v>
      </c>
      <c r="Q7478" s="5">
        <v>121</v>
      </c>
      <c r="R7478" s="5">
        <v>9</v>
      </c>
      <c r="S7478" s="5">
        <v>124</v>
      </c>
    </row>
    <row r="7479" spans="1:19" ht="28" x14ac:dyDescent="0.15">
      <c r="A7479" s="2">
        <f>HYPERLINK("https://open-school.uspishnemisto.com.ua/school/460158/", 460158)</f>
        <v>460158</v>
      </c>
      <c r="B7479" s="3" t="s">
        <v>38845</v>
      </c>
      <c r="C7479" s="3" t="s">
        <v>31</v>
      </c>
      <c r="D7479" s="3" t="s">
        <v>32</v>
      </c>
      <c r="E7479" s="4" t="s">
        <v>22</v>
      </c>
      <c r="F7479" s="4" t="s">
        <v>38846</v>
      </c>
      <c r="G7479" s="4" t="s">
        <v>38847</v>
      </c>
      <c r="H7479" s="3" t="s">
        <v>38194</v>
      </c>
      <c r="I7479" s="3" t="s">
        <v>38848</v>
      </c>
      <c r="J7479" s="3" t="s">
        <v>1851</v>
      </c>
      <c r="K7479" s="3" t="s">
        <v>38849</v>
      </c>
      <c r="L7479" s="3"/>
      <c r="M7479" s="4"/>
      <c r="N7479" s="3" t="s">
        <v>37</v>
      </c>
      <c r="O7479" s="3" t="s">
        <v>1081</v>
      </c>
      <c r="P7479" s="5">
        <v>11</v>
      </c>
      <c r="Q7479" s="5">
        <v>226</v>
      </c>
      <c r="R7479" s="5">
        <v>11</v>
      </c>
      <c r="S7479" s="5">
        <v>221</v>
      </c>
    </row>
    <row r="7480" spans="1:19" ht="28" x14ac:dyDescent="0.15">
      <c r="A7480" s="2">
        <f>HYPERLINK("https://open-school.uspishnemisto.com.ua/school/460159/", 460159)</f>
        <v>460159</v>
      </c>
      <c r="B7480" s="3" t="s">
        <v>38850</v>
      </c>
      <c r="C7480" s="3" t="s">
        <v>20</v>
      </c>
      <c r="D7480" s="3" t="s">
        <v>21</v>
      </c>
      <c r="E7480" s="4" t="s">
        <v>22</v>
      </c>
      <c r="F7480" s="4" t="s">
        <v>38851</v>
      </c>
      <c r="G7480" s="4" t="s">
        <v>38852</v>
      </c>
      <c r="H7480" s="3" t="s">
        <v>38194</v>
      </c>
      <c r="I7480" s="3" t="s">
        <v>38853</v>
      </c>
      <c r="J7480" s="3" t="s">
        <v>38854</v>
      </c>
      <c r="K7480" s="3" t="s">
        <v>38855</v>
      </c>
      <c r="L7480" s="3"/>
      <c r="M7480" s="4"/>
      <c r="N7480" s="3"/>
      <c r="O7480" s="3"/>
      <c r="P7480" s="5">
        <v>0</v>
      </c>
      <c r="Q7480" s="5">
        <v>0</v>
      </c>
      <c r="R7480" s="5"/>
      <c r="S7480" s="5"/>
    </row>
    <row r="7481" spans="1:19" ht="28" x14ac:dyDescent="0.15">
      <c r="A7481" s="2">
        <f>HYPERLINK("https://open-school.uspishnemisto.com.ua/school/460160/", 460160)</f>
        <v>460160</v>
      </c>
      <c r="B7481" s="3" t="s">
        <v>38856</v>
      </c>
      <c r="C7481" s="3" t="s">
        <v>40</v>
      </c>
      <c r="D7481" s="3" t="s">
        <v>32</v>
      </c>
      <c r="E7481" s="4" t="s">
        <v>22</v>
      </c>
      <c r="F7481" s="4" t="s">
        <v>38851</v>
      </c>
      <c r="G7481" s="4" t="s">
        <v>38852</v>
      </c>
      <c r="H7481" s="3" t="s">
        <v>38194</v>
      </c>
      <c r="I7481" s="3" t="s">
        <v>38853</v>
      </c>
      <c r="J7481" s="3" t="s">
        <v>38857</v>
      </c>
      <c r="K7481" s="3" t="s">
        <v>38858</v>
      </c>
      <c r="L7481" s="3"/>
      <c r="M7481" s="4"/>
      <c r="N7481" s="3" t="s">
        <v>37</v>
      </c>
      <c r="O7481" s="3" t="s">
        <v>38859</v>
      </c>
      <c r="P7481" s="5">
        <v>21</v>
      </c>
      <c r="Q7481" s="5">
        <v>604</v>
      </c>
      <c r="R7481" s="5">
        <v>20</v>
      </c>
      <c r="S7481" s="5">
        <v>601</v>
      </c>
    </row>
    <row r="7482" spans="1:19" ht="28" x14ac:dyDescent="0.15">
      <c r="A7482" s="2">
        <f>HYPERLINK("https://open-school.uspishnemisto.com.ua/school/460161/", 460161)</f>
        <v>460161</v>
      </c>
      <c r="B7482" s="3" t="s">
        <v>38860</v>
      </c>
      <c r="C7482" s="3" t="s">
        <v>31</v>
      </c>
      <c r="D7482" s="3" t="s">
        <v>32</v>
      </c>
      <c r="E7482" s="4" t="s">
        <v>22</v>
      </c>
      <c r="F7482" s="4" t="s">
        <v>38851</v>
      </c>
      <c r="G7482" s="4" t="s">
        <v>38852</v>
      </c>
      <c r="H7482" s="3" t="s">
        <v>38194</v>
      </c>
      <c r="I7482" s="3" t="s">
        <v>38853</v>
      </c>
      <c r="J7482" s="3" t="s">
        <v>38861</v>
      </c>
      <c r="K7482" s="3"/>
      <c r="L7482" s="3"/>
      <c r="M7482" s="4"/>
      <c r="N7482" s="3" t="s">
        <v>37</v>
      </c>
      <c r="O7482" s="3" t="s">
        <v>1081</v>
      </c>
      <c r="P7482" s="5">
        <v>26</v>
      </c>
      <c r="Q7482" s="5">
        <v>658</v>
      </c>
      <c r="R7482" s="5">
        <v>27</v>
      </c>
      <c r="S7482" s="5">
        <v>708</v>
      </c>
    </row>
    <row r="7483" spans="1:19" ht="28" x14ac:dyDescent="0.15">
      <c r="A7483" s="2">
        <f>HYPERLINK("https://open-school.uspishnemisto.com.ua/school/460162/", 460162)</f>
        <v>460162</v>
      </c>
      <c r="B7483" s="3" t="s">
        <v>38862</v>
      </c>
      <c r="C7483" s="3" t="s">
        <v>31</v>
      </c>
      <c r="D7483" s="3" t="s">
        <v>175</v>
      </c>
      <c r="E7483" s="4" t="s">
        <v>22</v>
      </c>
      <c r="F7483" s="4" t="s">
        <v>38851</v>
      </c>
      <c r="G7483" s="4" t="s">
        <v>38852</v>
      </c>
      <c r="H7483" s="3" t="s">
        <v>38194</v>
      </c>
      <c r="I7483" s="3" t="s">
        <v>38853</v>
      </c>
      <c r="J7483" s="3" t="s">
        <v>38863</v>
      </c>
      <c r="K7483" s="3" t="s">
        <v>38864</v>
      </c>
      <c r="L7483" s="3"/>
      <c r="M7483" s="4"/>
      <c r="N7483" s="3" t="s">
        <v>37</v>
      </c>
      <c r="O7483" s="3" t="s">
        <v>139</v>
      </c>
      <c r="P7483" s="5">
        <v>9</v>
      </c>
      <c r="Q7483" s="5">
        <v>192</v>
      </c>
      <c r="R7483" s="5">
        <v>9</v>
      </c>
      <c r="S7483" s="5">
        <v>197</v>
      </c>
    </row>
    <row r="7484" spans="1:19" ht="28" x14ac:dyDescent="0.15">
      <c r="A7484" s="2">
        <f>HYPERLINK("https://open-school.uspishnemisto.com.ua/school/460163/", 460163)</f>
        <v>460163</v>
      </c>
      <c r="B7484" s="3" t="s">
        <v>38865</v>
      </c>
      <c r="C7484" s="3" t="s">
        <v>31</v>
      </c>
      <c r="D7484" s="3" t="s">
        <v>175</v>
      </c>
      <c r="E7484" s="4" t="s">
        <v>22</v>
      </c>
      <c r="F7484" s="4" t="s">
        <v>38851</v>
      </c>
      <c r="G7484" s="4" t="s">
        <v>38852</v>
      </c>
      <c r="H7484" s="3" t="s">
        <v>38194</v>
      </c>
      <c r="I7484" s="3" t="s">
        <v>38853</v>
      </c>
      <c r="J7484" s="3" t="s">
        <v>38866</v>
      </c>
      <c r="K7484" s="3" t="s">
        <v>38867</v>
      </c>
      <c r="L7484" s="3"/>
      <c r="M7484" s="4"/>
      <c r="N7484" s="3" t="s">
        <v>37</v>
      </c>
      <c r="O7484" s="3" t="s">
        <v>2740</v>
      </c>
      <c r="P7484" s="5">
        <v>9</v>
      </c>
      <c r="Q7484" s="5">
        <v>160</v>
      </c>
      <c r="R7484" s="5">
        <v>9</v>
      </c>
      <c r="S7484" s="5">
        <v>159</v>
      </c>
    </row>
    <row r="7485" spans="1:19" ht="28" x14ac:dyDescent="0.15">
      <c r="A7485" s="2">
        <f>HYPERLINK("https://open-school.uspishnemisto.com.ua/school/460164/", 460164)</f>
        <v>460164</v>
      </c>
      <c r="B7485" s="3" t="s">
        <v>38868</v>
      </c>
      <c r="C7485" s="3" t="s">
        <v>31</v>
      </c>
      <c r="D7485" s="3" t="s">
        <v>32</v>
      </c>
      <c r="E7485" s="4" t="s">
        <v>22</v>
      </c>
      <c r="F7485" s="4" t="s">
        <v>38851</v>
      </c>
      <c r="G7485" s="4" t="s">
        <v>38852</v>
      </c>
      <c r="H7485" s="3" t="s">
        <v>38194</v>
      </c>
      <c r="I7485" s="3" t="s">
        <v>38853</v>
      </c>
      <c r="J7485" s="3" t="s">
        <v>3745</v>
      </c>
      <c r="K7485" s="3" t="s">
        <v>38869</v>
      </c>
      <c r="L7485" s="3"/>
      <c r="M7485" s="4"/>
      <c r="N7485" s="3" t="s">
        <v>37</v>
      </c>
      <c r="O7485" s="3" t="s">
        <v>139</v>
      </c>
      <c r="P7485" s="5">
        <v>14</v>
      </c>
      <c r="Q7485" s="5">
        <v>325</v>
      </c>
      <c r="R7485" s="5">
        <v>13</v>
      </c>
      <c r="S7485" s="5">
        <v>302</v>
      </c>
    </row>
    <row r="7486" spans="1:19" ht="28" x14ac:dyDescent="0.15">
      <c r="A7486" s="2">
        <f>HYPERLINK("https://open-school.uspishnemisto.com.ua/school/460165/", 460165)</f>
        <v>460165</v>
      </c>
      <c r="B7486" s="3" t="s">
        <v>38870</v>
      </c>
      <c r="C7486" s="3" t="s">
        <v>31</v>
      </c>
      <c r="D7486" s="3" t="s">
        <v>32</v>
      </c>
      <c r="E7486" s="4" t="s">
        <v>22</v>
      </c>
      <c r="F7486" s="4" t="s">
        <v>38851</v>
      </c>
      <c r="G7486" s="4" t="s">
        <v>38852</v>
      </c>
      <c r="H7486" s="3" t="s">
        <v>38194</v>
      </c>
      <c r="I7486" s="3" t="s">
        <v>38853</v>
      </c>
      <c r="J7486" s="3" t="s">
        <v>38871</v>
      </c>
      <c r="K7486" s="3" t="s">
        <v>38872</v>
      </c>
      <c r="L7486" s="3" t="s">
        <v>38873</v>
      </c>
      <c r="M7486" s="4"/>
      <c r="N7486" s="3" t="s">
        <v>37</v>
      </c>
      <c r="O7486" s="3" t="s">
        <v>139</v>
      </c>
      <c r="P7486" s="5">
        <v>21</v>
      </c>
      <c r="Q7486" s="5">
        <v>566</v>
      </c>
      <c r="R7486" s="5">
        <v>21</v>
      </c>
      <c r="S7486" s="5">
        <v>568</v>
      </c>
    </row>
    <row r="7487" spans="1:19" ht="28" x14ac:dyDescent="0.15">
      <c r="A7487" s="2">
        <f>HYPERLINK("https://open-school.uspishnemisto.com.ua/school/460166/", 460166)</f>
        <v>460166</v>
      </c>
      <c r="B7487" s="3" t="s">
        <v>38874</v>
      </c>
      <c r="C7487" s="3" t="s">
        <v>31</v>
      </c>
      <c r="D7487" s="3" t="s">
        <v>32</v>
      </c>
      <c r="E7487" s="4" t="s">
        <v>22</v>
      </c>
      <c r="F7487" s="4" t="s">
        <v>38851</v>
      </c>
      <c r="G7487" s="4" t="s">
        <v>38852</v>
      </c>
      <c r="H7487" s="3" t="s">
        <v>38194</v>
      </c>
      <c r="I7487" s="3" t="s">
        <v>38853</v>
      </c>
      <c r="J7487" s="3" t="s">
        <v>38875</v>
      </c>
      <c r="K7487" s="3"/>
      <c r="L7487" s="3"/>
      <c r="M7487" s="4"/>
      <c r="N7487" s="3" t="s">
        <v>37</v>
      </c>
      <c r="O7487" s="3" t="s">
        <v>139</v>
      </c>
      <c r="P7487" s="5">
        <v>22</v>
      </c>
      <c r="Q7487" s="5">
        <v>548</v>
      </c>
      <c r="R7487" s="5">
        <v>22</v>
      </c>
      <c r="S7487" s="5">
        <v>530</v>
      </c>
    </row>
    <row r="7488" spans="1:19" ht="28" x14ac:dyDescent="0.15">
      <c r="A7488" s="2">
        <f>HYPERLINK("https://open-school.uspishnemisto.com.ua/school/460167/", 460167)</f>
        <v>460167</v>
      </c>
      <c r="B7488" s="3" t="s">
        <v>38876</v>
      </c>
      <c r="C7488" s="3" t="s">
        <v>31</v>
      </c>
      <c r="D7488" s="3" t="s">
        <v>32</v>
      </c>
      <c r="E7488" s="4" t="s">
        <v>22</v>
      </c>
      <c r="F7488" s="4" t="s">
        <v>38851</v>
      </c>
      <c r="G7488" s="4" t="s">
        <v>38852</v>
      </c>
      <c r="H7488" s="3" t="s">
        <v>38194</v>
      </c>
      <c r="I7488" s="3" t="s">
        <v>38853</v>
      </c>
      <c r="J7488" s="3" t="s">
        <v>38877</v>
      </c>
      <c r="K7488" s="3" t="s">
        <v>38878</v>
      </c>
      <c r="L7488" s="3"/>
      <c r="M7488" s="4"/>
      <c r="N7488" s="3" t="s">
        <v>37</v>
      </c>
      <c r="O7488" s="3" t="s">
        <v>139</v>
      </c>
      <c r="P7488" s="5">
        <v>10</v>
      </c>
      <c r="Q7488" s="5">
        <v>219</v>
      </c>
      <c r="R7488" s="5">
        <v>10</v>
      </c>
      <c r="S7488" s="5">
        <v>197</v>
      </c>
    </row>
    <row r="7489" spans="1:19" ht="28" x14ac:dyDescent="0.15">
      <c r="A7489" s="2">
        <f>HYPERLINK("https://open-school.uspishnemisto.com.ua/school/460168/", 460168)</f>
        <v>460168</v>
      </c>
      <c r="B7489" s="3" t="s">
        <v>38879</v>
      </c>
      <c r="C7489" s="3" t="s">
        <v>31</v>
      </c>
      <c r="D7489" s="3" t="s">
        <v>32</v>
      </c>
      <c r="E7489" s="4" t="s">
        <v>22</v>
      </c>
      <c r="F7489" s="4" t="s">
        <v>38851</v>
      </c>
      <c r="G7489" s="4" t="s">
        <v>38852</v>
      </c>
      <c r="H7489" s="3" t="s">
        <v>38194</v>
      </c>
      <c r="I7489" s="3" t="s">
        <v>38853</v>
      </c>
      <c r="J7489" s="3" t="s">
        <v>38880</v>
      </c>
      <c r="K7489" s="3" t="s">
        <v>38881</v>
      </c>
      <c r="L7489" s="3"/>
      <c r="M7489" s="4"/>
      <c r="N7489" s="3" t="s">
        <v>128</v>
      </c>
      <c r="O7489" s="3" t="s">
        <v>46</v>
      </c>
      <c r="P7489" s="5">
        <v>38</v>
      </c>
      <c r="Q7489" s="5">
        <v>952</v>
      </c>
      <c r="R7489" s="5">
        <v>37</v>
      </c>
      <c r="S7489" s="5">
        <v>921</v>
      </c>
    </row>
    <row r="7490" spans="1:19" ht="28" x14ac:dyDescent="0.15">
      <c r="A7490" s="2">
        <f>HYPERLINK("https://open-school.uspishnemisto.com.ua/school/460169/", 460169)</f>
        <v>460169</v>
      </c>
      <c r="B7490" s="3" t="s">
        <v>38882</v>
      </c>
      <c r="C7490" s="3" t="s">
        <v>31</v>
      </c>
      <c r="D7490" s="3" t="s">
        <v>32</v>
      </c>
      <c r="E7490" s="4" t="s">
        <v>22</v>
      </c>
      <c r="F7490" s="4" t="s">
        <v>38851</v>
      </c>
      <c r="G7490" s="4" t="s">
        <v>38852</v>
      </c>
      <c r="H7490" s="3" t="s">
        <v>38194</v>
      </c>
      <c r="I7490" s="3" t="s">
        <v>38853</v>
      </c>
      <c r="J7490" s="3" t="s">
        <v>38883</v>
      </c>
      <c r="K7490" s="3" t="s">
        <v>38884</v>
      </c>
      <c r="L7490" s="3"/>
      <c r="M7490" s="4"/>
      <c r="N7490" s="3" t="s">
        <v>37</v>
      </c>
      <c r="O7490" s="3" t="s">
        <v>139</v>
      </c>
      <c r="P7490" s="5">
        <v>19</v>
      </c>
      <c r="Q7490" s="5">
        <v>439</v>
      </c>
      <c r="R7490" s="5">
        <v>19</v>
      </c>
      <c r="S7490" s="5">
        <v>440</v>
      </c>
    </row>
    <row r="7491" spans="1:19" ht="28" x14ac:dyDescent="0.15">
      <c r="A7491" s="2">
        <f>HYPERLINK("https://open-school.uspishnemisto.com.ua/school/460170/", 460170)</f>
        <v>460170</v>
      </c>
      <c r="B7491" s="3" t="s">
        <v>38885</v>
      </c>
      <c r="C7491" s="3" t="s">
        <v>31</v>
      </c>
      <c r="D7491" s="3" t="s">
        <v>32</v>
      </c>
      <c r="E7491" s="4" t="s">
        <v>22</v>
      </c>
      <c r="F7491" s="4" t="s">
        <v>38851</v>
      </c>
      <c r="G7491" s="4" t="s">
        <v>38852</v>
      </c>
      <c r="H7491" s="3" t="s">
        <v>38194</v>
      </c>
      <c r="I7491" s="3" t="s">
        <v>38853</v>
      </c>
      <c r="J7491" s="3" t="s">
        <v>38886</v>
      </c>
      <c r="K7491" s="3" t="s">
        <v>38887</v>
      </c>
      <c r="L7491" s="3"/>
      <c r="M7491" s="4"/>
      <c r="N7491" s="3" t="s">
        <v>37</v>
      </c>
      <c r="O7491" s="3" t="s">
        <v>52</v>
      </c>
      <c r="P7491" s="5">
        <v>40</v>
      </c>
      <c r="Q7491" s="5">
        <v>1184</v>
      </c>
      <c r="R7491" s="5">
        <v>40</v>
      </c>
      <c r="S7491" s="5">
        <v>1146</v>
      </c>
    </row>
    <row r="7492" spans="1:19" ht="28" x14ac:dyDescent="0.15">
      <c r="A7492" s="2">
        <f>HYPERLINK("https://open-school.uspishnemisto.com.ua/school/460171/", 460171)</f>
        <v>460171</v>
      </c>
      <c r="B7492" s="3" t="s">
        <v>38888</v>
      </c>
      <c r="C7492" s="3" t="s">
        <v>244</v>
      </c>
      <c r="D7492" s="3" t="s">
        <v>32</v>
      </c>
      <c r="E7492" s="4" t="s">
        <v>22</v>
      </c>
      <c r="F7492" s="4" t="s">
        <v>38851</v>
      </c>
      <c r="G7492" s="4" t="s">
        <v>38852</v>
      </c>
      <c r="H7492" s="3" t="s">
        <v>38194</v>
      </c>
      <c r="I7492" s="3" t="s">
        <v>38853</v>
      </c>
      <c r="J7492" s="3" t="s">
        <v>38889</v>
      </c>
      <c r="K7492" s="3" t="s">
        <v>38890</v>
      </c>
      <c r="L7492" s="3"/>
      <c r="M7492" s="4"/>
      <c r="N7492" s="3" t="s">
        <v>37</v>
      </c>
      <c r="O7492" s="3" t="s">
        <v>46</v>
      </c>
      <c r="P7492" s="5">
        <v>42</v>
      </c>
      <c r="Q7492" s="5">
        <v>1090</v>
      </c>
      <c r="R7492" s="5">
        <v>41</v>
      </c>
      <c r="S7492" s="5">
        <v>1066</v>
      </c>
    </row>
    <row r="7493" spans="1:19" ht="28" x14ac:dyDescent="0.15">
      <c r="A7493" s="2">
        <f>HYPERLINK("https://open-school.uspishnemisto.com.ua/school/460172/", 460172)</f>
        <v>460172</v>
      </c>
      <c r="B7493" s="3" t="s">
        <v>38891</v>
      </c>
      <c r="C7493" s="3" t="s">
        <v>244</v>
      </c>
      <c r="D7493" s="3" t="s">
        <v>32</v>
      </c>
      <c r="E7493" s="4" t="s">
        <v>22</v>
      </c>
      <c r="F7493" s="4" t="s">
        <v>38851</v>
      </c>
      <c r="G7493" s="4" t="s">
        <v>38852</v>
      </c>
      <c r="H7493" s="3" t="s">
        <v>38194</v>
      </c>
      <c r="I7493" s="3" t="s">
        <v>38853</v>
      </c>
      <c r="J7493" s="3" t="s">
        <v>38892</v>
      </c>
      <c r="K7493" s="3" t="s">
        <v>38893</v>
      </c>
      <c r="L7493" s="3" t="s">
        <v>38894</v>
      </c>
      <c r="M7493" s="4"/>
      <c r="N7493" s="3" t="s">
        <v>37</v>
      </c>
      <c r="O7493" s="3" t="s">
        <v>46</v>
      </c>
      <c r="P7493" s="5">
        <v>34</v>
      </c>
      <c r="Q7493" s="5">
        <v>914</v>
      </c>
      <c r="R7493" s="5">
        <v>34</v>
      </c>
      <c r="S7493" s="5">
        <v>895</v>
      </c>
    </row>
    <row r="7494" spans="1:19" ht="42" x14ac:dyDescent="0.15">
      <c r="A7494" s="2">
        <f>HYPERLINK("https://open-school.uspishnemisto.com.ua/school/460173/", 460173)</f>
        <v>460173</v>
      </c>
      <c r="B7494" s="3" t="s">
        <v>38895</v>
      </c>
      <c r="C7494" s="3" t="s">
        <v>188</v>
      </c>
      <c r="D7494" s="3" t="s">
        <v>32</v>
      </c>
      <c r="E7494" s="4" t="s">
        <v>22</v>
      </c>
      <c r="F7494" s="4" t="s">
        <v>38851</v>
      </c>
      <c r="G7494" s="4" t="s">
        <v>38852</v>
      </c>
      <c r="H7494" s="3" t="s">
        <v>38194</v>
      </c>
      <c r="I7494" s="3" t="s">
        <v>38853</v>
      </c>
      <c r="J7494" s="3" t="s">
        <v>38896</v>
      </c>
      <c r="K7494" s="3" t="s">
        <v>38897</v>
      </c>
      <c r="L7494" s="3"/>
      <c r="M7494" s="4"/>
      <c r="N7494" s="3" t="s">
        <v>37</v>
      </c>
      <c r="O7494" s="3" t="s">
        <v>123</v>
      </c>
      <c r="P7494" s="5">
        <v>8</v>
      </c>
      <c r="Q7494" s="5">
        <v>249</v>
      </c>
      <c r="R7494" s="5">
        <v>8</v>
      </c>
      <c r="S7494" s="5">
        <v>244</v>
      </c>
    </row>
    <row r="7495" spans="1:19" ht="28" x14ac:dyDescent="0.15">
      <c r="A7495" s="2">
        <f>HYPERLINK("https://open-school.uspishnemisto.com.ua/school/460174/", 460174)</f>
        <v>460174</v>
      </c>
      <c r="B7495" s="3" t="s">
        <v>38898</v>
      </c>
      <c r="C7495" s="3" t="s">
        <v>31</v>
      </c>
      <c r="D7495" s="3" t="s">
        <v>60</v>
      </c>
      <c r="E7495" s="4" t="s">
        <v>22</v>
      </c>
      <c r="F7495" s="4" t="s">
        <v>38899</v>
      </c>
      <c r="G7495" s="4" t="s">
        <v>38900</v>
      </c>
      <c r="H7495" s="3" t="s">
        <v>38194</v>
      </c>
      <c r="I7495" s="3" t="s">
        <v>30479</v>
      </c>
      <c r="J7495" s="3" t="s">
        <v>38901</v>
      </c>
      <c r="K7495" s="3" t="s">
        <v>38902</v>
      </c>
      <c r="L7495" s="3"/>
      <c r="M7495" s="4"/>
      <c r="N7495" s="3" t="s">
        <v>37</v>
      </c>
      <c r="O7495" s="3" t="s">
        <v>52</v>
      </c>
      <c r="P7495" s="5">
        <v>2</v>
      </c>
      <c r="Q7495" s="5">
        <v>33</v>
      </c>
      <c r="R7495" s="5">
        <v>2</v>
      </c>
      <c r="S7495" s="5">
        <v>31</v>
      </c>
    </row>
    <row r="7496" spans="1:19" ht="28" x14ac:dyDescent="0.15">
      <c r="A7496" s="2">
        <f>HYPERLINK("https://open-school.uspishnemisto.com.ua/school/460175/", 460175)</f>
        <v>460175</v>
      </c>
      <c r="B7496" s="3" t="s">
        <v>38903</v>
      </c>
      <c r="C7496" s="3" t="s">
        <v>31</v>
      </c>
      <c r="D7496" s="3" t="s">
        <v>32</v>
      </c>
      <c r="E7496" s="4" t="s">
        <v>22</v>
      </c>
      <c r="F7496" s="4" t="s">
        <v>38899</v>
      </c>
      <c r="G7496" s="4" t="s">
        <v>38900</v>
      </c>
      <c r="H7496" s="3" t="s">
        <v>38194</v>
      </c>
      <c r="I7496" s="3" t="s">
        <v>30479</v>
      </c>
      <c r="J7496" s="3" t="s">
        <v>38904</v>
      </c>
      <c r="K7496" s="3" t="s">
        <v>38905</v>
      </c>
      <c r="L7496" s="3"/>
      <c r="M7496" s="4"/>
      <c r="N7496" s="3" t="s">
        <v>37</v>
      </c>
      <c r="O7496" s="3" t="s">
        <v>139</v>
      </c>
      <c r="P7496" s="5">
        <v>13</v>
      </c>
      <c r="Q7496" s="5">
        <v>297</v>
      </c>
      <c r="R7496" s="5">
        <v>13</v>
      </c>
      <c r="S7496" s="5">
        <v>288</v>
      </c>
    </row>
    <row r="7497" spans="1:19" ht="42" x14ac:dyDescent="0.15">
      <c r="A7497" s="2">
        <f>HYPERLINK("https://open-school.uspishnemisto.com.ua/school/460176/", 460176)</f>
        <v>460176</v>
      </c>
      <c r="B7497" s="3" t="s">
        <v>38906</v>
      </c>
      <c r="C7497" s="3" t="s">
        <v>31</v>
      </c>
      <c r="D7497" s="3" t="s">
        <v>32</v>
      </c>
      <c r="E7497" s="4" t="s">
        <v>22</v>
      </c>
      <c r="F7497" s="4" t="s">
        <v>38899</v>
      </c>
      <c r="G7497" s="4" t="s">
        <v>38900</v>
      </c>
      <c r="H7497" s="3" t="s">
        <v>38194</v>
      </c>
      <c r="I7497" s="3" t="s">
        <v>30479</v>
      </c>
      <c r="J7497" s="3" t="s">
        <v>38907</v>
      </c>
      <c r="K7497" s="3" t="s">
        <v>38908</v>
      </c>
      <c r="L7497" s="3"/>
      <c r="M7497" s="4"/>
      <c r="N7497" s="3" t="s">
        <v>37</v>
      </c>
      <c r="O7497" s="3" t="s">
        <v>237</v>
      </c>
      <c r="P7497" s="5">
        <v>20</v>
      </c>
      <c r="Q7497" s="5">
        <v>505</v>
      </c>
      <c r="R7497" s="5">
        <v>20</v>
      </c>
      <c r="S7497" s="5">
        <v>504</v>
      </c>
    </row>
    <row r="7498" spans="1:19" ht="28" x14ac:dyDescent="0.15">
      <c r="A7498" s="2">
        <f>HYPERLINK("https://open-school.uspishnemisto.com.ua/school/460177/", 460177)</f>
        <v>460177</v>
      </c>
      <c r="B7498" s="3" t="s">
        <v>38909</v>
      </c>
      <c r="C7498" s="3" t="s">
        <v>31</v>
      </c>
      <c r="D7498" s="3" t="s">
        <v>32</v>
      </c>
      <c r="E7498" s="4" t="s">
        <v>22</v>
      </c>
      <c r="F7498" s="4" t="s">
        <v>38899</v>
      </c>
      <c r="G7498" s="4" t="s">
        <v>38900</v>
      </c>
      <c r="H7498" s="3" t="s">
        <v>38194</v>
      </c>
      <c r="I7498" s="3" t="s">
        <v>30479</v>
      </c>
      <c r="J7498" s="3" t="s">
        <v>29187</v>
      </c>
      <c r="K7498" s="3" t="s">
        <v>38910</v>
      </c>
      <c r="L7498" s="3"/>
      <c r="M7498" s="4"/>
      <c r="N7498" s="3" t="s">
        <v>37</v>
      </c>
      <c r="O7498" s="3" t="s">
        <v>2740</v>
      </c>
      <c r="P7498" s="5">
        <v>19</v>
      </c>
      <c r="Q7498" s="5">
        <v>388</v>
      </c>
      <c r="R7498" s="5">
        <v>19</v>
      </c>
      <c r="S7498" s="5">
        <v>403</v>
      </c>
    </row>
    <row r="7499" spans="1:19" ht="28" x14ac:dyDescent="0.15">
      <c r="A7499" s="2">
        <f>HYPERLINK("https://open-school.uspishnemisto.com.ua/school/460178/", 460178)</f>
        <v>460178</v>
      </c>
      <c r="B7499" s="3" t="s">
        <v>38911</v>
      </c>
      <c r="C7499" s="3" t="s">
        <v>244</v>
      </c>
      <c r="D7499" s="3" t="s">
        <v>32</v>
      </c>
      <c r="E7499" s="4" t="s">
        <v>22</v>
      </c>
      <c r="F7499" s="4" t="s">
        <v>38899</v>
      </c>
      <c r="G7499" s="4" t="s">
        <v>38900</v>
      </c>
      <c r="H7499" s="3" t="s">
        <v>38194</v>
      </c>
      <c r="I7499" s="3" t="s">
        <v>30479</v>
      </c>
      <c r="J7499" s="3" t="s">
        <v>29689</v>
      </c>
      <c r="K7499" s="3" t="s">
        <v>38912</v>
      </c>
      <c r="L7499" s="3"/>
      <c r="M7499" s="4"/>
      <c r="N7499" s="3" t="s">
        <v>37</v>
      </c>
      <c r="O7499" s="3" t="s">
        <v>46</v>
      </c>
      <c r="P7499" s="5">
        <v>21</v>
      </c>
      <c r="Q7499" s="5">
        <v>528</v>
      </c>
      <c r="R7499" s="5">
        <v>20</v>
      </c>
      <c r="S7499" s="5">
        <v>501</v>
      </c>
    </row>
    <row r="7500" spans="1:19" ht="28" x14ac:dyDescent="0.15">
      <c r="A7500" s="2">
        <f>HYPERLINK("https://open-school.uspishnemisto.com.ua/school/460179/", 460179)</f>
        <v>460179</v>
      </c>
      <c r="B7500" s="3" t="s">
        <v>38913</v>
      </c>
      <c r="C7500" s="3" t="s">
        <v>54</v>
      </c>
      <c r="D7500" s="3" t="s">
        <v>32</v>
      </c>
      <c r="E7500" s="4" t="s">
        <v>22</v>
      </c>
      <c r="F7500" s="4" t="s">
        <v>38914</v>
      </c>
      <c r="G7500" s="4" t="s">
        <v>38915</v>
      </c>
      <c r="H7500" s="3" t="s">
        <v>38194</v>
      </c>
      <c r="I7500" s="3" t="s">
        <v>38916</v>
      </c>
      <c r="J7500" s="3" t="s">
        <v>5163</v>
      </c>
      <c r="K7500" s="3" t="s">
        <v>38917</v>
      </c>
      <c r="L7500" s="3"/>
      <c r="M7500" s="4" t="s">
        <v>38918</v>
      </c>
      <c r="N7500" s="3" t="s">
        <v>37</v>
      </c>
      <c r="O7500" s="3" t="s">
        <v>46</v>
      </c>
      <c r="P7500" s="5">
        <v>24</v>
      </c>
      <c r="Q7500" s="5">
        <v>580</v>
      </c>
      <c r="R7500" s="5">
        <v>24</v>
      </c>
      <c r="S7500" s="5">
        <v>565</v>
      </c>
    </row>
    <row r="7501" spans="1:19" ht="42" x14ac:dyDescent="0.15">
      <c r="A7501" s="2">
        <f>HYPERLINK("https://open-school.uspishnemisto.com.ua/school/460180/", 460180)</f>
        <v>460180</v>
      </c>
      <c r="B7501" s="3" t="s">
        <v>38919</v>
      </c>
      <c r="C7501" s="3" t="s">
        <v>54</v>
      </c>
      <c r="D7501" s="3" t="s">
        <v>32</v>
      </c>
      <c r="E7501" s="4" t="s">
        <v>22</v>
      </c>
      <c r="F7501" s="4" t="s">
        <v>38920</v>
      </c>
      <c r="G7501" s="4" t="s">
        <v>38921</v>
      </c>
      <c r="H7501" s="3" t="s">
        <v>38194</v>
      </c>
      <c r="I7501" s="3" t="s">
        <v>38922</v>
      </c>
      <c r="J7501" s="3" t="s">
        <v>29391</v>
      </c>
      <c r="K7501" s="3"/>
      <c r="L7501" s="3"/>
      <c r="M7501" s="4"/>
      <c r="N7501" s="3" t="s">
        <v>37</v>
      </c>
      <c r="O7501" s="3" t="s">
        <v>52</v>
      </c>
      <c r="P7501" s="5">
        <v>22</v>
      </c>
      <c r="Q7501" s="5">
        <v>493</v>
      </c>
      <c r="R7501" s="5">
        <v>21</v>
      </c>
      <c r="S7501" s="5">
        <v>490</v>
      </c>
    </row>
    <row r="7502" spans="1:19" ht="28" x14ac:dyDescent="0.15">
      <c r="A7502" s="2">
        <f>HYPERLINK("https://open-school.uspishnemisto.com.ua/school/460181/", 460181)</f>
        <v>460181</v>
      </c>
      <c r="B7502" s="3" t="s">
        <v>38923</v>
      </c>
      <c r="C7502" s="3" t="s">
        <v>31</v>
      </c>
      <c r="D7502" s="3" t="s">
        <v>32</v>
      </c>
      <c r="E7502" s="4" t="s">
        <v>22</v>
      </c>
      <c r="F7502" s="4" t="s">
        <v>38920</v>
      </c>
      <c r="G7502" s="4" t="s">
        <v>38921</v>
      </c>
      <c r="H7502" s="3" t="s">
        <v>38194</v>
      </c>
      <c r="I7502" s="3" t="s">
        <v>38922</v>
      </c>
      <c r="J7502" s="3" t="s">
        <v>38924</v>
      </c>
      <c r="K7502" s="3"/>
      <c r="L7502" s="3"/>
      <c r="M7502" s="4"/>
      <c r="N7502" s="3" t="s">
        <v>37</v>
      </c>
      <c r="O7502" s="3" t="s">
        <v>46</v>
      </c>
      <c r="P7502" s="5">
        <v>19</v>
      </c>
      <c r="Q7502" s="5">
        <v>404</v>
      </c>
      <c r="R7502" s="5">
        <v>19</v>
      </c>
      <c r="S7502" s="5">
        <v>383</v>
      </c>
    </row>
    <row r="7503" spans="1:19" ht="28" x14ac:dyDescent="0.15">
      <c r="A7503" s="2">
        <f>HYPERLINK("https://open-school.uspishnemisto.com.ua/school/460182/", 460182)</f>
        <v>460182</v>
      </c>
      <c r="B7503" s="3" t="s">
        <v>38925</v>
      </c>
      <c r="C7503" s="3" t="s">
        <v>31</v>
      </c>
      <c r="D7503" s="3" t="s">
        <v>32</v>
      </c>
      <c r="E7503" s="4" t="s">
        <v>22</v>
      </c>
      <c r="F7503" s="4" t="s">
        <v>38920</v>
      </c>
      <c r="G7503" s="4" t="s">
        <v>38921</v>
      </c>
      <c r="H7503" s="3" t="s">
        <v>38194</v>
      </c>
      <c r="I7503" s="3" t="s">
        <v>38922</v>
      </c>
      <c r="J7503" s="3" t="s">
        <v>30417</v>
      </c>
      <c r="K7503" s="3" t="s">
        <v>38926</v>
      </c>
      <c r="L7503" s="3"/>
      <c r="M7503" s="4"/>
      <c r="N7503" s="3" t="s">
        <v>37</v>
      </c>
      <c r="O7503" s="3" t="s">
        <v>139</v>
      </c>
      <c r="P7503" s="5">
        <v>30</v>
      </c>
      <c r="Q7503" s="5">
        <v>736</v>
      </c>
      <c r="R7503" s="5">
        <v>30</v>
      </c>
      <c r="S7503" s="5">
        <v>733</v>
      </c>
    </row>
    <row r="7504" spans="1:19" ht="42" x14ac:dyDescent="0.15">
      <c r="A7504" s="2">
        <f>HYPERLINK("https://open-school.uspishnemisto.com.ua/school/460183/", 460183)</f>
        <v>460183</v>
      </c>
      <c r="B7504" s="3" t="s">
        <v>38927</v>
      </c>
      <c r="C7504" s="3" t="s">
        <v>31</v>
      </c>
      <c r="D7504" s="3" t="s">
        <v>32</v>
      </c>
      <c r="E7504" s="4" t="s">
        <v>22</v>
      </c>
      <c r="F7504" s="4" t="s">
        <v>38920</v>
      </c>
      <c r="G7504" s="4" t="s">
        <v>38921</v>
      </c>
      <c r="H7504" s="3" t="s">
        <v>38194</v>
      </c>
      <c r="I7504" s="3" t="s">
        <v>38922</v>
      </c>
      <c r="J7504" s="3" t="s">
        <v>38928</v>
      </c>
      <c r="K7504" s="3" t="s">
        <v>38929</v>
      </c>
      <c r="L7504" s="3" t="s">
        <v>38930</v>
      </c>
      <c r="M7504" s="4"/>
      <c r="N7504" s="3" t="s">
        <v>37</v>
      </c>
      <c r="O7504" s="3" t="s">
        <v>52</v>
      </c>
      <c r="P7504" s="5">
        <v>22</v>
      </c>
      <c r="Q7504" s="5">
        <v>507</v>
      </c>
      <c r="R7504" s="5">
        <v>21</v>
      </c>
      <c r="S7504" s="5">
        <v>489</v>
      </c>
    </row>
    <row r="7505" spans="1:19" ht="28" x14ac:dyDescent="0.15">
      <c r="A7505" s="2">
        <f>HYPERLINK("https://open-school.uspishnemisto.com.ua/school/460184/", 460184)</f>
        <v>460184</v>
      </c>
      <c r="B7505" s="3" t="s">
        <v>38931</v>
      </c>
      <c r="C7505" s="3" t="s">
        <v>244</v>
      </c>
      <c r="D7505" s="3" t="s">
        <v>32</v>
      </c>
      <c r="E7505" s="4" t="s">
        <v>22</v>
      </c>
      <c r="F7505" s="4" t="s">
        <v>38920</v>
      </c>
      <c r="G7505" s="4" t="s">
        <v>38921</v>
      </c>
      <c r="H7505" s="3" t="s">
        <v>38194</v>
      </c>
      <c r="I7505" s="3" t="s">
        <v>38922</v>
      </c>
      <c r="J7505" s="3" t="s">
        <v>28362</v>
      </c>
      <c r="K7505" s="3" t="s">
        <v>38932</v>
      </c>
      <c r="L7505" s="3"/>
      <c r="M7505" s="4"/>
      <c r="N7505" s="3" t="s">
        <v>37</v>
      </c>
      <c r="O7505" s="3" t="s">
        <v>123</v>
      </c>
      <c r="P7505" s="5">
        <v>30</v>
      </c>
      <c r="Q7505" s="5">
        <v>674</v>
      </c>
      <c r="R7505" s="5">
        <v>30</v>
      </c>
      <c r="S7505" s="5">
        <v>687</v>
      </c>
    </row>
    <row r="7506" spans="1:19" ht="42" x14ac:dyDescent="0.15">
      <c r="A7506" s="2">
        <f>HYPERLINK("https://open-school.uspishnemisto.com.ua/school/460185/", 460185)</f>
        <v>460185</v>
      </c>
      <c r="B7506" s="3" t="s">
        <v>38933</v>
      </c>
      <c r="C7506" s="3" t="s">
        <v>181</v>
      </c>
      <c r="D7506" s="3" t="s">
        <v>175</v>
      </c>
      <c r="E7506" s="4" t="s">
        <v>22</v>
      </c>
      <c r="F7506" s="4" t="s">
        <v>38934</v>
      </c>
      <c r="G7506" s="4" t="s">
        <v>38935</v>
      </c>
      <c r="H7506" s="3" t="s">
        <v>38194</v>
      </c>
      <c r="I7506" s="3" t="s">
        <v>38936</v>
      </c>
      <c r="J7506" s="3" t="s">
        <v>1001</v>
      </c>
      <c r="K7506" s="3" t="s">
        <v>38937</v>
      </c>
      <c r="L7506" s="3"/>
      <c r="M7506" s="4" t="s">
        <v>38938</v>
      </c>
      <c r="N7506" s="3" t="s">
        <v>37</v>
      </c>
      <c r="O7506" s="3" t="s">
        <v>52</v>
      </c>
      <c r="P7506" s="5">
        <v>10</v>
      </c>
      <c r="Q7506" s="5">
        <v>105</v>
      </c>
      <c r="R7506" s="5">
        <v>11</v>
      </c>
      <c r="S7506" s="5">
        <v>115</v>
      </c>
    </row>
    <row r="7507" spans="1:19" ht="28" x14ac:dyDescent="0.15">
      <c r="A7507" s="2">
        <f>HYPERLINK("https://open-school.uspishnemisto.com.ua/school/460186/", 460186)</f>
        <v>460186</v>
      </c>
      <c r="B7507" s="3" t="s">
        <v>38939</v>
      </c>
      <c r="C7507" s="3" t="s">
        <v>31</v>
      </c>
      <c r="D7507" s="3" t="s">
        <v>60</v>
      </c>
      <c r="E7507" s="4" t="s">
        <v>22</v>
      </c>
      <c r="F7507" s="4" t="s">
        <v>38934</v>
      </c>
      <c r="G7507" s="4" t="s">
        <v>38935</v>
      </c>
      <c r="H7507" s="3" t="s">
        <v>38194</v>
      </c>
      <c r="I7507" s="3" t="s">
        <v>38936</v>
      </c>
      <c r="J7507" s="3" t="s">
        <v>38940</v>
      </c>
      <c r="K7507" s="3" t="s">
        <v>38941</v>
      </c>
      <c r="L7507" s="3"/>
      <c r="M7507" s="4"/>
      <c r="N7507" s="3" t="s">
        <v>37</v>
      </c>
      <c r="O7507" s="3" t="s">
        <v>52</v>
      </c>
      <c r="P7507" s="5">
        <v>11</v>
      </c>
      <c r="Q7507" s="5">
        <v>282</v>
      </c>
      <c r="R7507" s="5">
        <v>11</v>
      </c>
      <c r="S7507" s="5">
        <v>301</v>
      </c>
    </row>
    <row r="7508" spans="1:19" ht="28" x14ac:dyDescent="0.15">
      <c r="A7508" s="2">
        <f>HYPERLINK("https://open-school.uspishnemisto.com.ua/school/460187/", 460187)</f>
        <v>460187</v>
      </c>
      <c r="B7508" s="3" t="s">
        <v>38942</v>
      </c>
      <c r="C7508" s="3" t="s">
        <v>40</v>
      </c>
      <c r="D7508" s="3" t="s">
        <v>32</v>
      </c>
      <c r="E7508" s="4" t="s">
        <v>22</v>
      </c>
      <c r="F7508" s="4" t="s">
        <v>38934</v>
      </c>
      <c r="G7508" s="4" t="s">
        <v>38935</v>
      </c>
      <c r="H7508" s="3" t="s">
        <v>38194</v>
      </c>
      <c r="I7508" s="3" t="s">
        <v>38936</v>
      </c>
      <c r="J7508" s="3" t="s">
        <v>38943</v>
      </c>
      <c r="K7508" s="3" t="s">
        <v>38944</v>
      </c>
      <c r="L7508" s="3"/>
      <c r="M7508" s="4"/>
      <c r="N7508" s="3" t="s">
        <v>37</v>
      </c>
      <c r="O7508" s="3" t="s">
        <v>123</v>
      </c>
      <c r="P7508" s="5">
        <v>14</v>
      </c>
      <c r="Q7508" s="5">
        <v>379</v>
      </c>
      <c r="R7508" s="5">
        <v>14</v>
      </c>
      <c r="S7508" s="5">
        <v>356</v>
      </c>
    </row>
    <row r="7509" spans="1:19" ht="28" x14ac:dyDescent="0.15">
      <c r="A7509" s="2">
        <f>HYPERLINK("https://open-school.uspishnemisto.com.ua/school/460188/", 460188)</f>
        <v>460188</v>
      </c>
      <c r="B7509" s="3" t="s">
        <v>38945</v>
      </c>
      <c r="C7509" s="3" t="s">
        <v>54</v>
      </c>
      <c r="D7509" s="3" t="s">
        <v>32</v>
      </c>
      <c r="E7509" s="4" t="s">
        <v>22</v>
      </c>
      <c r="F7509" s="4" t="s">
        <v>38934</v>
      </c>
      <c r="G7509" s="4" t="s">
        <v>38935</v>
      </c>
      <c r="H7509" s="3" t="s">
        <v>38194</v>
      </c>
      <c r="I7509" s="3" t="s">
        <v>38936</v>
      </c>
      <c r="J7509" s="3" t="s">
        <v>38946</v>
      </c>
      <c r="K7509" s="3" t="s">
        <v>38947</v>
      </c>
      <c r="L7509" s="3"/>
      <c r="M7509" s="4"/>
      <c r="N7509" s="3" t="s">
        <v>37</v>
      </c>
      <c r="O7509" s="3" t="s">
        <v>52</v>
      </c>
      <c r="P7509" s="5">
        <v>14</v>
      </c>
      <c r="Q7509" s="5">
        <v>359</v>
      </c>
      <c r="R7509" s="5">
        <v>14</v>
      </c>
      <c r="S7509" s="5">
        <v>319</v>
      </c>
    </row>
    <row r="7510" spans="1:19" ht="28" x14ac:dyDescent="0.15">
      <c r="A7510" s="2">
        <f>HYPERLINK("https://open-school.uspishnemisto.com.ua/school/460189/", 460189)</f>
        <v>460189</v>
      </c>
      <c r="B7510" s="3" t="s">
        <v>38948</v>
      </c>
      <c r="C7510" s="3" t="s">
        <v>31</v>
      </c>
      <c r="D7510" s="3" t="s">
        <v>32</v>
      </c>
      <c r="E7510" s="4" t="s">
        <v>22</v>
      </c>
      <c r="F7510" s="4" t="s">
        <v>38934</v>
      </c>
      <c r="G7510" s="4" t="s">
        <v>38935</v>
      </c>
      <c r="H7510" s="3" t="s">
        <v>38194</v>
      </c>
      <c r="I7510" s="3" t="s">
        <v>38936</v>
      </c>
      <c r="J7510" s="3" t="s">
        <v>38949</v>
      </c>
      <c r="K7510" s="3" t="s">
        <v>38950</v>
      </c>
      <c r="L7510" s="3" t="s">
        <v>38951</v>
      </c>
      <c r="M7510" s="4"/>
      <c r="N7510" s="3" t="s">
        <v>37</v>
      </c>
      <c r="O7510" s="3" t="s">
        <v>52</v>
      </c>
      <c r="P7510" s="5">
        <v>18</v>
      </c>
      <c r="Q7510" s="5">
        <v>421</v>
      </c>
      <c r="R7510" s="5">
        <v>17</v>
      </c>
      <c r="S7510" s="5">
        <v>400</v>
      </c>
    </row>
    <row r="7511" spans="1:19" ht="28" x14ac:dyDescent="0.15">
      <c r="A7511" s="2">
        <f>HYPERLINK("https://open-school.uspishnemisto.com.ua/school/460190/", 460190)</f>
        <v>460190</v>
      </c>
      <c r="B7511" s="3" t="s">
        <v>38952</v>
      </c>
      <c r="C7511" s="3" t="s">
        <v>31</v>
      </c>
      <c r="D7511" s="3" t="s">
        <v>32</v>
      </c>
      <c r="E7511" s="4" t="s">
        <v>22</v>
      </c>
      <c r="F7511" s="4" t="s">
        <v>38934</v>
      </c>
      <c r="G7511" s="4" t="s">
        <v>38935</v>
      </c>
      <c r="H7511" s="3" t="s">
        <v>38194</v>
      </c>
      <c r="I7511" s="3" t="s">
        <v>38936</v>
      </c>
      <c r="J7511" s="3" t="s">
        <v>38953</v>
      </c>
      <c r="K7511" s="3" t="s">
        <v>38954</v>
      </c>
      <c r="L7511" s="3"/>
      <c r="M7511" s="4"/>
      <c r="N7511" s="3" t="s">
        <v>37</v>
      </c>
      <c r="O7511" s="3" t="s">
        <v>46</v>
      </c>
      <c r="P7511" s="5">
        <v>20</v>
      </c>
      <c r="Q7511" s="5">
        <v>444</v>
      </c>
      <c r="R7511" s="5">
        <v>20</v>
      </c>
      <c r="S7511" s="5">
        <v>477</v>
      </c>
    </row>
    <row r="7512" spans="1:19" ht="28" x14ac:dyDescent="0.15">
      <c r="A7512" s="2">
        <f>HYPERLINK("https://open-school.uspishnemisto.com.ua/school/460191/", 460191)</f>
        <v>460191</v>
      </c>
      <c r="B7512" s="3" t="s">
        <v>38955</v>
      </c>
      <c r="C7512" s="3" t="s">
        <v>31</v>
      </c>
      <c r="D7512" s="3" t="s">
        <v>32</v>
      </c>
      <c r="E7512" s="4" t="s">
        <v>22</v>
      </c>
      <c r="F7512" s="4" t="s">
        <v>38934</v>
      </c>
      <c r="G7512" s="4" t="s">
        <v>38935</v>
      </c>
      <c r="H7512" s="3" t="s">
        <v>38194</v>
      </c>
      <c r="I7512" s="3" t="s">
        <v>38936</v>
      </c>
      <c r="J7512" s="3" t="s">
        <v>38956</v>
      </c>
      <c r="K7512" s="3" t="s">
        <v>38957</v>
      </c>
      <c r="L7512" s="3"/>
      <c r="M7512" s="4"/>
      <c r="N7512" s="3" t="s">
        <v>37</v>
      </c>
      <c r="O7512" s="3" t="s">
        <v>46</v>
      </c>
      <c r="P7512" s="5">
        <v>20</v>
      </c>
      <c r="Q7512" s="5">
        <v>557</v>
      </c>
      <c r="R7512" s="5">
        <v>19</v>
      </c>
      <c r="S7512" s="5">
        <v>528</v>
      </c>
    </row>
    <row r="7513" spans="1:19" ht="28" x14ac:dyDescent="0.15">
      <c r="A7513" s="2">
        <f>HYPERLINK("https://open-school.uspishnemisto.com.ua/school/460192/", 460192)</f>
        <v>460192</v>
      </c>
      <c r="B7513" s="3" t="s">
        <v>38958</v>
      </c>
      <c r="C7513" s="3" t="s">
        <v>31</v>
      </c>
      <c r="D7513" s="3" t="s">
        <v>32</v>
      </c>
      <c r="E7513" s="4" t="s">
        <v>22</v>
      </c>
      <c r="F7513" s="4" t="s">
        <v>38934</v>
      </c>
      <c r="G7513" s="4" t="s">
        <v>38935</v>
      </c>
      <c r="H7513" s="3" t="s">
        <v>38194</v>
      </c>
      <c r="I7513" s="3" t="s">
        <v>38936</v>
      </c>
      <c r="J7513" s="3" t="s">
        <v>38959</v>
      </c>
      <c r="K7513" s="3" t="s">
        <v>38960</v>
      </c>
      <c r="L7513" s="3"/>
      <c r="M7513" s="4"/>
      <c r="N7513" s="3" t="s">
        <v>37</v>
      </c>
      <c r="O7513" s="3" t="s">
        <v>52</v>
      </c>
      <c r="P7513" s="5">
        <v>27</v>
      </c>
      <c r="Q7513" s="5">
        <v>713</v>
      </c>
      <c r="R7513" s="5">
        <v>26</v>
      </c>
      <c r="S7513" s="5">
        <v>683</v>
      </c>
    </row>
    <row r="7514" spans="1:19" ht="28" x14ac:dyDescent="0.15">
      <c r="A7514" s="2">
        <f>HYPERLINK("https://open-school.uspishnemisto.com.ua/school/460193/", 460193)</f>
        <v>460193</v>
      </c>
      <c r="B7514" s="3" t="s">
        <v>38961</v>
      </c>
      <c r="C7514" s="3" t="s">
        <v>31</v>
      </c>
      <c r="D7514" s="3" t="s">
        <v>32</v>
      </c>
      <c r="E7514" s="4" t="s">
        <v>22</v>
      </c>
      <c r="F7514" s="4" t="s">
        <v>38934</v>
      </c>
      <c r="G7514" s="4" t="s">
        <v>38935</v>
      </c>
      <c r="H7514" s="3" t="s">
        <v>38194</v>
      </c>
      <c r="I7514" s="3" t="s">
        <v>38936</v>
      </c>
      <c r="J7514" s="3" t="s">
        <v>38962</v>
      </c>
      <c r="K7514" s="3" t="s">
        <v>38963</v>
      </c>
      <c r="L7514" s="3"/>
      <c r="M7514" s="4"/>
      <c r="N7514" s="3" t="s">
        <v>37</v>
      </c>
      <c r="O7514" s="3" t="s">
        <v>52</v>
      </c>
      <c r="P7514" s="5">
        <v>13</v>
      </c>
      <c r="Q7514" s="5">
        <v>280</v>
      </c>
      <c r="R7514" s="5">
        <v>12</v>
      </c>
      <c r="S7514" s="5">
        <v>275</v>
      </c>
    </row>
    <row r="7515" spans="1:19" ht="28" x14ac:dyDescent="0.15">
      <c r="A7515" s="2">
        <f>HYPERLINK("https://open-school.uspishnemisto.com.ua/school/460194/", 460194)</f>
        <v>460194</v>
      </c>
      <c r="B7515" s="3" t="s">
        <v>38964</v>
      </c>
      <c r="C7515" s="3" t="s">
        <v>244</v>
      </c>
      <c r="D7515" s="3" t="s">
        <v>32</v>
      </c>
      <c r="E7515" s="4" t="s">
        <v>22</v>
      </c>
      <c r="F7515" s="4" t="s">
        <v>38934</v>
      </c>
      <c r="G7515" s="4" t="s">
        <v>38935</v>
      </c>
      <c r="H7515" s="3" t="s">
        <v>38194</v>
      </c>
      <c r="I7515" s="3" t="s">
        <v>38936</v>
      </c>
      <c r="J7515" s="3" t="s">
        <v>27049</v>
      </c>
      <c r="K7515" s="3" t="s">
        <v>38965</v>
      </c>
      <c r="L7515" s="3"/>
      <c r="M7515" s="4"/>
      <c r="N7515" s="3" t="s">
        <v>37</v>
      </c>
      <c r="O7515" s="3" t="s">
        <v>46</v>
      </c>
      <c r="P7515" s="5">
        <v>25</v>
      </c>
      <c r="Q7515" s="5">
        <v>647</v>
      </c>
      <c r="R7515" s="5">
        <v>25</v>
      </c>
      <c r="S7515" s="5">
        <v>619</v>
      </c>
    </row>
    <row r="7516" spans="1:19" ht="28" x14ac:dyDescent="0.15">
      <c r="A7516" s="2">
        <f>HYPERLINK("https://open-school.uspishnemisto.com.ua/school/460195/", 460195)</f>
        <v>460195</v>
      </c>
      <c r="B7516" s="3" t="s">
        <v>38966</v>
      </c>
      <c r="C7516" s="3" t="s">
        <v>54</v>
      </c>
      <c r="D7516" s="3" t="s">
        <v>32</v>
      </c>
      <c r="E7516" s="4" t="s">
        <v>22</v>
      </c>
      <c r="F7516" s="4" t="s">
        <v>38967</v>
      </c>
      <c r="G7516" s="4" t="s">
        <v>38968</v>
      </c>
      <c r="H7516" s="3" t="s">
        <v>38194</v>
      </c>
      <c r="I7516" s="3" t="s">
        <v>38969</v>
      </c>
      <c r="J7516" s="3" t="s">
        <v>38970</v>
      </c>
      <c r="K7516" s="3" t="s">
        <v>38971</v>
      </c>
      <c r="L7516" s="3" t="s">
        <v>38972</v>
      </c>
      <c r="M7516" s="4" t="s">
        <v>38973</v>
      </c>
      <c r="N7516" s="3" t="s">
        <v>37</v>
      </c>
      <c r="O7516" s="3" t="s">
        <v>123</v>
      </c>
      <c r="P7516" s="5">
        <v>29</v>
      </c>
      <c r="Q7516" s="5">
        <v>803</v>
      </c>
      <c r="R7516" s="5">
        <v>28</v>
      </c>
      <c r="S7516" s="5">
        <v>796</v>
      </c>
    </row>
    <row r="7517" spans="1:19" ht="28" x14ac:dyDescent="0.15">
      <c r="A7517" s="2">
        <f>HYPERLINK("https://open-school.uspishnemisto.com.ua/school/460196/", 460196)</f>
        <v>460196</v>
      </c>
      <c r="B7517" s="3" t="s">
        <v>38974</v>
      </c>
      <c r="C7517" s="3" t="s">
        <v>31</v>
      </c>
      <c r="D7517" s="3" t="s">
        <v>32</v>
      </c>
      <c r="E7517" s="4" t="s">
        <v>22</v>
      </c>
      <c r="F7517" s="4" t="s">
        <v>38967</v>
      </c>
      <c r="G7517" s="4" t="s">
        <v>38968</v>
      </c>
      <c r="H7517" s="3" t="s">
        <v>38194</v>
      </c>
      <c r="I7517" s="3" t="s">
        <v>38969</v>
      </c>
      <c r="J7517" s="3" t="s">
        <v>38975</v>
      </c>
      <c r="K7517" s="3" t="s">
        <v>38976</v>
      </c>
      <c r="L7517" s="3"/>
      <c r="M7517" s="4" t="s">
        <v>38977</v>
      </c>
      <c r="N7517" s="3" t="s">
        <v>37</v>
      </c>
      <c r="O7517" s="3" t="s">
        <v>46</v>
      </c>
      <c r="P7517" s="5">
        <v>34</v>
      </c>
      <c r="Q7517" s="5">
        <v>906</v>
      </c>
      <c r="R7517" s="5">
        <v>33</v>
      </c>
      <c r="S7517" s="5">
        <v>889</v>
      </c>
    </row>
    <row r="7518" spans="1:19" ht="28" x14ac:dyDescent="0.15">
      <c r="A7518" s="2">
        <f>HYPERLINK("https://open-school.uspishnemisto.com.ua/school/460197/", 460197)</f>
        <v>460197</v>
      </c>
      <c r="B7518" s="3" t="s">
        <v>38978</v>
      </c>
      <c r="C7518" s="3" t="s">
        <v>31</v>
      </c>
      <c r="D7518" s="3" t="s">
        <v>60</v>
      </c>
      <c r="E7518" s="4" t="s">
        <v>22</v>
      </c>
      <c r="F7518" s="4" t="s">
        <v>38967</v>
      </c>
      <c r="G7518" s="4" t="s">
        <v>38968</v>
      </c>
      <c r="H7518" s="3" t="s">
        <v>38194</v>
      </c>
      <c r="I7518" s="3" t="s">
        <v>38969</v>
      </c>
      <c r="J7518" s="3" t="s">
        <v>38979</v>
      </c>
      <c r="K7518" s="3" t="s">
        <v>38980</v>
      </c>
      <c r="L7518" s="3"/>
      <c r="M7518" s="4" t="s">
        <v>38981</v>
      </c>
      <c r="N7518" s="3" t="s">
        <v>37</v>
      </c>
      <c r="O7518" s="3" t="s">
        <v>52</v>
      </c>
      <c r="P7518" s="5">
        <v>12</v>
      </c>
      <c r="Q7518" s="5">
        <v>301</v>
      </c>
      <c r="R7518" s="5">
        <v>12</v>
      </c>
      <c r="S7518" s="5">
        <v>303</v>
      </c>
    </row>
    <row r="7519" spans="1:19" ht="28" x14ac:dyDescent="0.15">
      <c r="A7519" s="2">
        <f>HYPERLINK("https://open-school.uspishnemisto.com.ua/school/460198/", 460198)</f>
        <v>460198</v>
      </c>
      <c r="B7519" s="3" t="s">
        <v>38982</v>
      </c>
      <c r="C7519" s="3" t="s">
        <v>31</v>
      </c>
      <c r="D7519" s="3" t="s">
        <v>32</v>
      </c>
      <c r="E7519" s="4" t="s">
        <v>22</v>
      </c>
      <c r="F7519" s="4" t="s">
        <v>38967</v>
      </c>
      <c r="G7519" s="4" t="s">
        <v>38968</v>
      </c>
      <c r="H7519" s="3" t="s">
        <v>38194</v>
      </c>
      <c r="I7519" s="3" t="s">
        <v>38969</v>
      </c>
      <c r="J7519" s="3" t="s">
        <v>38983</v>
      </c>
      <c r="K7519" s="3" t="s">
        <v>38984</v>
      </c>
      <c r="L7519" s="3"/>
      <c r="M7519" s="4" t="s">
        <v>38985</v>
      </c>
      <c r="N7519" s="3" t="s">
        <v>37</v>
      </c>
      <c r="O7519" s="3" t="s">
        <v>237</v>
      </c>
      <c r="P7519" s="5">
        <v>19</v>
      </c>
      <c r="Q7519" s="5">
        <v>422</v>
      </c>
      <c r="R7519" s="5">
        <v>19</v>
      </c>
      <c r="S7519" s="5">
        <v>399</v>
      </c>
    </row>
    <row r="7520" spans="1:19" ht="28" x14ac:dyDescent="0.15">
      <c r="A7520" s="2">
        <f>HYPERLINK("https://open-school.uspishnemisto.com.ua/school/460199/", 460199)</f>
        <v>460199</v>
      </c>
      <c r="B7520" s="3" t="s">
        <v>38986</v>
      </c>
      <c r="C7520" s="3" t="s">
        <v>31</v>
      </c>
      <c r="D7520" s="3" t="s">
        <v>32</v>
      </c>
      <c r="E7520" s="4" t="s">
        <v>22</v>
      </c>
      <c r="F7520" s="4" t="s">
        <v>38967</v>
      </c>
      <c r="G7520" s="4" t="s">
        <v>38968</v>
      </c>
      <c r="H7520" s="3" t="s">
        <v>38194</v>
      </c>
      <c r="I7520" s="3" t="s">
        <v>38969</v>
      </c>
      <c r="J7520" s="3" t="s">
        <v>38987</v>
      </c>
      <c r="K7520" s="3" t="s">
        <v>38988</v>
      </c>
      <c r="L7520" s="3"/>
      <c r="M7520" s="4" t="s">
        <v>38989</v>
      </c>
      <c r="N7520" s="3" t="s">
        <v>37</v>
      </c>
      <c r="O7520" s="3" t="s">
        <v>46</v>
      </c>
      <c r="P7520" s="5">
        <v>21</v>
      </c>
      <c r="Q7520" s="5">
        <v>630</v>
      </c>
      <c r="R7520" s="5">
        <v>22</v>
      </c>
      <c r="S7520" s="5">
        <v>619</v>
      </c>
    </row>
    <row r="7521" spans="1:19" ht="28" x14ac:dyDescent="0.15">
      <c r="A7521" s="2">
        <f>HYPERLINK("https://open-school.uspishnemisto.com.ua/school/460200/", 460200)</f>
        <v>460200</v>
      </c>
      <c r="B7521" s="3" t="s">
        <v>38990</v>
      </c>
      <c r="C7521" s="3" t="s">
        <v>31</v>
      </c>
      <c r="D7521" s="3" t="s">
        <v>32</v>
      </c>
      <c r="E7521" s="4" t="s">
        <v>22</v>
      </c>
      <c r="F7521" s="4" t="s">
        <v>38967</v>
      </c>
      <c r="G7521" s="4" t="s">
        <v>38968</v>
      </c>
      <c r="H7521" s="3" t="s">
        <v>38194</v>
      </c>
      <c r="I7521" s="3" t="s">
        <v>38969</v>
      </c>
      <c r="J7521" s="3" t="s">
        <v>38991</v>
      </c>
      <c r="K7521" s="3" t="s">
        <v>38992</v>
      </c>
      <c r="L7521" s="3"/>
      <c r="M7521" s="4" t="s">
        <v>38993</v>
      </c>
      <c r="N7521" s="3" t="s">
        <v>37</v>
      </c>
      <c r="O7521" s="3" t="s">
        <v>46</v>
      </c>
      <c r="P7521" s="5">
        <v>15</v>
      </c>
      <c r="Q7521" s="5">
        <v>335</v>
      </c>
      <c r="R7521" s="5">
        <v>15</v>
      </c>
      <c r="S7521" s="5">
        <v>322</v>
      </c>
    </row>
    <row r="7522" spans="1:19" ht="28" x14ac:dyDescent="0.15">
      <c r="A7522" s="2">
        <f>HYPERLINK("https://open-school.uspishnemisto.com.ua/school/460201/", 460201)</f>
        <v>460201</v>
      </c>
      <c r="B7522" s="3" t="s">
        <v>38994</v>
      </c>
      <c r="C7522" s="3" t="s">
        <v>31</v>
      </c>
      <c r="D7522" s="3" t="s">
        <v>32</v>
      </c>
      <c r="E7522" s="4" t="s">
        <v>22</v>
      </c>
      <c r="F7522" s="4" t="s">
        <v>38967</v>
      </c>
      <c r="G7522" s="4" t="s">
        <v>38968</v>
      </c>
      <c r="H7522" s="3" t="s">
        <v>38194</v>
      </c>
      <c r="I7522" s="3" t="s">
        <v>38969</v>
      </c>
      <c r="J7522" s="3" t="s">
        <v>38995</v>
      </c>
      <c r="K7522" s="3" t="s">
        <v>38996</v>
      </c>
      <c r="L7522" s="3"/>
      <c r="M7522" s="4" t="s">
        <v>38997</v>
      </c>
      <c r="N7522" s="3" t="s">
        <v>37</v>
      </c>
      <c r="O7522" s="3" t="s">
        <v>139</v>
      </c>
      <c r="P7522" s="5">
        <v>11</v>
      </c>
      <c r="Q7522" s="5">
        <v>303</v>
      </c>
      <c r="R7522" s="5">
        <v>11</v>
      </c>
      <c r="S7522" s="5">
        <v>301</v>
      </c>
    </row>
    <row r="7523" spans="1:19" ht="28" x14ac:dyDescent="0.15">
      <c r="A7523" s="2">
        <f>HYPERLINK("https://open-school.uspishnemisto.com.ua/school/460202/", 460202)</f>
        <v>460202</v>
      </c>
      <c r="B7523" s="3" t="s">
        <v>38998</v>
      </c>
      <c r="C7523" s="3" t="s">
        <v>31</v>
      </c>
      <c r="D7523" s="3" t="s">
        <v>32</v>
      </c>
      <c r="E7523" s="4" t="s">
        <v>22</v>
      </c>
      <c r="F7523" s="4" t="s">
        <v>38967</v>
      </c>
      <c r="G7523" s="4" t="s">
        <v>38968</v>
      </c>
      <c r="H7523" s="3" t="s">
        <v>38194</v>
      </c>
      <c r="I7523" s="3" t="s">
        <v>38969</v>
      </c>
      <c r="J7523" s="3" t="s">
        <v>38999</v>
      </c>
      <c r="K7523" s="3" t="s">
        <v>39000</v>
      </c>
      <c r="L7523" s="3"/>
      <c r="M7523" s="4" t="s">
        <v>39001</v>
      </c>
      <c r="N7523" s="3" t="s">
        <v>37</v>
      </c>
      <c r="O7523" s="3" t="s">
        <v>46</v>
      </c>
      <c r="P7523" s="5">
        <v>31</v>
      </c>
      <c r="Q7523" s="5">
        <v>919</v>
      </c>
      <c r="R7523" s="5">
        <v>30</v>
      </c>
      <c r="S7523" s="5">
        <v>905</v>
      </c>
    </row>
    <row r="7524" spans="1:19" ht="28" x14ac:dyDescent="0.15">
      <c r="A7524" s="2">
        <f>HYPERLINK("https://open-school.uspishnemisto.com.ua/school/460203/", 460203)</f>
        <v>460203</v>
      </c>
      <c r="B7524" s="3" t="s">
        <v>39002</v>
      </c>
      <c r="C7524" s="3" t="s">
        <v>31</v>
      </c>
      <c r="D7524" s="3" t="s">
        <v>32</v>
      </c>
      <c r="E7524" s="4" t="s">
        <v>22</v>
      </c>
      <c r="F7524" s="4" t="s">
        <v>38967</v>
      </c>
      <c r="G7524" s="4" t="s">
        <v>38968</v>
      </c>
      <c r="H7524" s="3" t="s">
        <v>38194</v>
      </c>
      <c r="I7524" s="3" t="s">
        <v>38969</v>
      </c>
      <c r="J7524" s="3" t="s">
        <v>28794</v>
      </c>
      <c r="K7524" s="3" t="s">
        <v>39003</v>
      </c>
      <c r="L7524" s="3"/>
      <c r="M7524" s="4" t="s">
        <v>39004</v>
      </c>
      <c r="N7524" s="3" t="s">
        <v>37</v>
      </c>
      <c r="O7524" s="3" t="s">
        <v>237</v>
      </c>
      <c r="P7524" s="5">
        <v>28</v>
      </c>
      <c r="Q7524" s="5">
        <v>779</v>
      </c>
      <c r="R7524" s="5">
        <v>28</v>
      </c>
      <c r="S7524" s="5">
        <v>766</v>
      </c>
    </row>
    <row r="7525" spans="1:19" ht="28" x14ac:dyDescent="0.15">
      <c r="A7525" s="2">
        <f>HYPERLINK("https://open-school.uspishnemisto.com.ua/school/460204/", 460204)</f>
        <v>460204</v>
      </c>
      <c r="B7525" s="3" t="s">
        <v>39005</v>
      </c>
      <c r="C7525" s="3" t="s">
        <v>31</v>
      </c>
      <c r="D7525" s="3" t="s">
        <v>32</v>
      </c>
      <c r="E7525" s="4" t="s">
        <v>22</v>
      </c>
      <c r="F7525" s="4" t="s">
        <v>38967</v>
      </c>
      <c r="G7525" s="4" t="s">
        <v>38968</v>
      </c>
      <c r="H7525" s="3" t="s">
        <v>38194</v>
      </c>
      <c r="I7525" s="3" t="s">
        <v>38969</v>
      </c>
      <c r="J7525" s="3" t="s">
        <v>3745</v>
      </c>
      <c r="K7525" s="3" t="s">
        <v>39006</v>
      </c>
      <c r="L7525" s="3"/>
      <c r="M7525" s="4" t="s">
        <v>39007</v>
      </c>
      <c r="N7525" s="3" t="s">
        <v>37</v>
      </c>
      <c r="O7525" s="3" t="s">
        <v>46</v>
      </c>
      <c r="P7525" s="5">
        <v>18</v>
      </c>
      <c r="Q7525" s="5">
        <v>416</v>
      </c>
      <c r="R7525" s="5">
        <v>17</v>
      </c>
      <c r="S7525" s="5">
        <v>386</v>
      </c>
    </row>
    <row r="7526" spans="1:19" ht="28" x14ac:dyDescent="0.15">
      <c r="A7526" s="2">
        <f>HYPERLINK("https://open-school.uspishnemisto.com.ua/school/460205/", 460205)</f>
        <v>460205</v>
      </c>
      <c r="B7526" s="3" t="s">
        <v>39008</v>
      </c>
      <c r="C7526" s="3" t="s">
        <v>31</v>
      </c>
      <c r="D7526" s="3" t="s">
        <v>32</v>
      </c>
      <c r="E7526" s="4" t="s">
        <v>22</v>
      </c>
      <c r="F7526" s="4" t="s">
        <v>38967</v>
      </c>
      <c r="G7526" s="4" t="s">
        <v>38968</v>
      </c>
      <c r="H7526" s="3" t="s">
        <v>38194</v>
      </c>
      <c r="I7526" s="3" t="s">
        <v>38969</v>
      </c>
      <c r="J7526" s="3" t="s">
        <v>39009</v>
      </c>
      <c r="K7526" s="3" t="s">
        <v>39010</v>
      </c>
      <c r="L7526" s="3"/>
      <c r="M7526" s="4" t="s">
        <v>39011</v>
      </c>
      <c r="N7526" s="3" t="s">
        <v>37</v>
      </c>
      <c r="O7526" s="3" t="s">
        <v>46</v>
      </c>
      <c r="P7526" s="5">
        <v>12</v>
      </c>
      <c r="Q7526" s="5">
        <v>318</v>
      </c>
      <c r="R7526" s="5">
        <v>12</v>
      </c>
      <c r="S7526" s="5">
        <v>308</v>
      </c>
    </row>
    <row r="7527" spans="1:19" ht="28" x14ac:dyDescent="0.15">
      <c r="A7527" s="2">
        <f>HYPERLINK("https://open-school.uspishnemisto.com.ua/school/460206/", 460206)</f>
        <v>460206</v>
      </c>
      <c r="B7527" s="3" t="s">
        <v>39012</v>
      </c>
      <c r="C7527" s="3" t="s">
        <v>244</v>
      </c>
      <c r="D7527" s="3" t="s">
        <v>32</v>
      </c>
      <c r="E7527" s="4" t="s">
        <v>22</v>
      </c>
      <c r="F7527" s="4" t="s">
        <v>38967</v>
      </c>
      <c r="G7527" s="4" t="s">
        <v>38968</v>
      </c>
      <c r="H7527" s="3" t="s">
        <v>38194</v>
      </c>
      <c r="I7527" s="3" t="s">
        <v>38969</v>
      </c>
      <c r="J7527" s="3" t="s">
        <v>39013</v>
      </c>
      <c r="K7527" s="3" t="s">
        <v>39014</v>
      </c>
      <c r="L7527" s="3"/>
      <c r="M7527" s="4" t="s">
        <v>39015</v>
      </c>
      <c r="N7527" s="3" t="s">
        <v>37</v>
      </c>
      <c r="O7527" s="3" t="s">
        <v>123</v>
      </c>
      <c r="P7527" s="5">
        <v>21</v>
      </c>
      <c r="Q7527" s="5">
        <v>616</v>
      </c>
      <c r="R7527" s="5">
        <v>20</v>
      </c>
      <c r="S7527" s="5">
        <v>600</v>
      </c>
    </row>
    <row r="7528" spans="1:19" ht="42" x14ac:dyDescent="0.15">
      <c r="A7528" s="2">
        <f>HYPERLINK("https://open-school.uspishnemisto.com.ua/school/460207/", 460207)</f>
        <v>460207</v>
      </c>
      <c r="B7528" s="3" t="s">
        <v>39016</v>
      </c>
      <c r="C7528" s="3" t="s">
        <v>7651</v>
      </c>
      <c r="D7528" s="3" t="s">
        <v>19078</v>
      </c>
      <c r="E7528" s="4" t="s">
        <v>22</v>
      </c>
      <c r="F7528" s="4" t="s">
        <v>38967</v>
      </c>
      <c r="G7528" s="4" t="s">
        <v>38968</v>
      </c>
      <c r="H7528" s="3" t="s">
        <v>38194</v>
      </c>
      <c r="I7528" s="3" t="s">
        <v>38969</v>
      </c>
      <c r="J7528" s="3" t="s">
        <v>39017</v>
      </c>
      <c r="K7528" s="3" t="s">
        <v>39018</v>
      </c>
      <c r="L7528" s="3"/>
      <c r="M7528" s="4"/>
      <c r="N7528" s="3"/>
      <c r="O7528" s="3"/>
      <c r="P7528" s="5">
        <v>0</v>
      </c>
      <c r="Q7528" s="5">
        <v>0</v>
      </c>
      <c r="R7528" s="5"/>
      <c r="S7528" s="5"/>
    </row>
    <row r="7529" spans="1:19" ht="56" x14ac:dyDescent="0.15">
      <c r="A7529" s="2">
        <f>HYPERLINK("https://open-school.uspishnemisto.com.ua/school/460208/", 460208)</f>
        <v>460208</v>
      </c>
      <c r="B7529" s="3" t="s">
        <v>39019</v>
      </c>
      <c r="C7529" s="3" t="s">
        <v>54</v>
      </c>
      <c r="D7529" s="3" t="s">
        <v>60</v>
      </c>
      <c r="E7529" s="4" t="s">
        <v>22</v>
      </c>
      <c r="F7529" s="4" t="s">
        <v>38967</v>
      </c>
      <c r="G7529" s="4" t="s">
        <v>38968</v>
      </c>
      <c r="H7529" s="3" t="s">
        <v>38194</v>
      </c>
      <c r="I7529" s="3" t="s">
        <v>38969</v>
      </c>
      <c r="J7529" s="3" t="s">
        <v>39020</v>
      </c>
      <c r="K7529" s="3" t="s">
        <v>39021</v>
      </c>
      <c r="L7529" s="3"/>
      <c r="M7529" s="4" t="s">
        <v>39022</v>
      </c>
      <c r="N7529" s="3" t="s">
        <v>37</v>
      </c>
      <c r="O7529" s="3" t="s">
        <v>52</v>
      </c>
      <c r="P7529" s="5">
        <v>4</v>
      </c>
      <c r="Q7529" s="5">
        <v>79</v>
      </c>
      <c r="R7529" s="5">
        <v>4</v>
      </c>
      <c r="S7529" s="5">
        <v>89</v>
      </c>
    </row>
    <row r="7530" spans="1:19" ht="28" x14ac:dyDescent="0.15">
      <c r="A7530" s="2">
        <f>HYPERLINK("https://open-school.uspishnemisto.com.ua/school/460209/", 460209)</f>
        <v>460209</v>
      </c>
      <c r="B7530" s="3" t="s">
        <v>39023</v>
      </c>
      <c r="C7530" s="3" t="s">
        <v>54</v>
      </c>
      <c r="D7530" s="3" t="s">
        <v>32</v>
      </c>
      <c r="E7530" s="4" t="s">
        <v>22</v>
      </c>
      <c r="F7530" s="4" t="s">
        <v>39024</v>
      </c>
      <c r="G7530" s="4" t="s">
        <v>39025</v>
      </c>
      <c r="H7530" s="3" t="s">
        <v>38194</v>
      </c>
      <c r="I7530" s="3" t="s">
        <v>39026</v>
      </c>
      <c r="J7530" s="3" t="s">
        <v>39027</v>
      </c>
      <c r="K7530" s="3" t="s">
        <v>39028</v>
      </c>
      <c r="L7530" s="3" t="s">
        <v>39029</v>
      </c>
      <c r="M7530" s="4"/>
      <c r="N7530" s="3" t="s">
        <v>37</v>
      </c>
      <c r="O7530" s="3" t="s">
        <v>237</v>
      </c>
      <c r="P7530" s="5">
        <v>32</v>
      </c>
      <c r="Q7530" s="5">
        <v>824</v>
      </c>
      <c r="R7530" s="5">
        <v>31</v>
      </c>
      <c r="S7530" s="5">
        <v>808</v>
      </c>
    </row>
    <row r="7531" spans="1:19" ht="28" x14ac:dyDescent="0.15">
      <c r="A7531" s="2">
        <f>HYPERLINK("https://open-school.uspishnemisto.com.ua/school/460210/", 460210)</f>
        <v>460210</v>
      </c>
      <c r="B7531" s="3" t="s">
        <v>39030</v>
      </c>
      <c r="C7531" s="3" t="s">
        <v>31</v>
      </c>
      <c r="D7531" s="3" t="s">
        <v>32</v>
      </c>
      <c r="E7531" s="4" t="s">
        <v>22</v>
      </c>
      <c r="F7531" s="4" t="s">
        <v>39024</v>
      </c>
      <c r="G7531" s="4" t="s">
        <v>39025</v>
      </c>
      <c r="H7531" s="3" t="s">
        <v>38194</v>
      </c>
      <c r="I7531" s="3" t="s">
        <v>39026</v>
      </c>
      <c r="J7531" s="3" t="s">
        <v>11101</v>
      </c>
      <c r="K7531" s="3" t="s">
        <v>39031</v>
      </c>
      <c r="L7531" s="3"/>
      <c r="M7531" s="4"/>
      <c r="N7531" s="3" t="s">
        <v>37</v>
      </c>
      <c r="O7531" s="3" t="s">
        <v>139</v>
      </c>
      <c r="P7531" s="5">
        <v>29</v>
      </c>
      <c r="Q7531" s="5">
        <v>755</v>
      </c>
      <c r="R7531" s="5">
        <v>30</v>
      </c>
      <c r="S7531" s="5">
        <v>744</v>
      </c>
    </row>
    <row r="7532" spans="1:19" ht="28" x14ac:dyDescent="0.15">
      <c r="A7532" s="2">
        <f>HYPERLINK("https://open-school.uspishnemisto.com.ua/school/460211/", 460211)</f>
        <v>460211</v>
      </c>
      <c r="B7532" s="3" t="s">
        <v>39032</v>
      </c>
      <c r="C7532" s="3" t="s">
        <v>31</v>
      </c>
      <c r="D7532" s="3" t="s">
        <v>32</v>
      </c>
      <c r="E7532" s="4" t="s">
        <v>22</v>
      </c>
      <c r="F7532" s="4" t="s">
        <v>39024</v>
      </c>
      <c r="G7532" s="4" t="s">
        <v>39025</v>
      </c>
      <c r="H7532" s="3" t="s">
        <v>38194</v>
      </c>
      <c r="I7532" s="3" t="s">
        <v>39026</v>
      </c>
      <c r="J7532" s="3" t="s">
        <v>39033</v>
      </c>
      <c r="K7532" s="3" t="s">
        <v>39034</v>
      </c>
      <c r="L7532" s="3"/>
      <c r="M7532" s="4"/>
      <c r="N7532" s="3" t="s">
        <v>37</v>
      </c>
      <c r="O7532" s="3" t="s">
        <v>139</v>
      </c>
      <c r="P7532" s="5">
        <v>20</v>
      </c>
      <c r="Q7532" s="5">
        <v>532</v>
      </c>
      <c r="R7532" s="5">
        <v>20</v>
      </c>
      <c r="S7532" s="5">
        <v>511</v>
      </c>
    </row>
    <row r="7533" spans="1:19" ht="28" x14ac:dyDescent="0.15">
      <c r="A7533" s="2">
        <f>HYPERLINK("https://open-school.uspishnemisto.com.ua/school/460213/", 460213)</f>
        <v>460213</v>
      </c>
      <c r="B7533" s="3" t="s">
        <v>39035</v>
      </c>
      <c r="C7533" s="3" t="s">
        <v>181</v>
      </c>
      <c r="D7533" s="3" t="s">
        <v>175</v>
      </c>
      <c r="E7533" s="4" t="s">
        <v>22</v>
      </c>
      <c r="F7533" s="4" t="s">
        <v>39036</v>
      </c>
      <c r="G7533" s="4" t="s">
        <v>39037</v>
      </c>
      <c r="H7533" s="3" t="s">
        <v>38194</v>
      </c>
      <c r="I7533" s="3" t="s">
        <v>39038</v>
      </c>
      <c r="J7533" s="3" t="s">
        <v>39039</v>
      </c>
      <c r="K7533" s="3" t="s">
        <v>39040</v>
      </c>
      <c r="L7533" s="3" t="s">
        <v>39041</v>
      </c>
      <c r="M7533" s="4" t="s">
        <v>39042</v>
      </c>
      <c r="N7533" s="3" t="s">
        <v>37</v>
      </c>
      <c r="O7533" s="3" t="s">
        <v>52</v>
      </c>
      <c r="P7533" s="5">
        <v>15</v>
      </c>
      <c r="Q7533" s="5">
        <v>130</v>
      </c>
      <c r="R7533" s="5">
        <v>16</v>
      </c>
      <c r="S7533" s="5">
        <v>126</v>
      </c>
    </row>
    <row r="7534" spans="1:19" ht="28" x14ac:dyDescent="0.15">
      <c r="A7534" s="2">
        <f>HYPERLINK("https://open-school.uspishnemisto.com.ua/school/460214/", 460214)</f>
        <v>460214</v>
      </c>
      <c r="B7534" s="3" t="s">
        <v>39043</v>
      </c>
      <c r="C7534" s="3" t="s">
        <v>40</v>
      </c>
      <c r="D7534" s="3" t="s">
        <v>32</v>
      </c>
      <c r="E7534" s="4" t="s">
        <v>22</v>
      </c>
      <c r="F7534" s="4" t="s">
        <v>39036</v>
      </c>
      <c r="G7534" s="4" t="s">
        <v>39037</v>
      </c>
      <c r="H7534" s="3" t="s">
        <v>38194</v>
      </c>
      <c r="I7534" s="3" t="s">
        <v>39038</v>
      </c>
      <c r="J7534" s="3" t="s">
        <v>39044</v>
      </c>
      <c r="K7534" s="3" t="s">
        <v>39045</v>
      </c>
      <c r="L7534" s="3" t="s">
        <v>39046</v>
      </c>
      <c r="M7534" s="4"/>
      <c r="N7534" s="3" t="s">
        <v>37</v>
      </c>
      <c r="O7534" s="3" t="s">
        <v>46</v>
      </c>
      <c r="P7534" s="5">
        <v>19</v>
      </c>
      <c r="Q7534" s="5">
        <v>498</v>
      </c>
      <c r="R7534" s="5">
        <v>19</v>
      </c>
      <c r="S7534" s="5">
        <v>481</v>
      </c>
    </row>
    <row r="7535" spans="1:19" ht="28" x14ac:dyDescent="0.15">
      <c r="A7535" s="2">
        <f>HYPERLINK("https://open-school.uspishnemisto.com.ua/school/460215/", 460215)</f>
        <v>460215</v>
      </c>
      <c r="B7535" s="3" t="s">
        <v>39047</v>
      </c>
      <c r="C7535" s="3" t="s">
        <v>31</v>
      </c>
      <c r="D7535" s="3" t="s">
        <v>60</v>
      </c>
      <c r="E7535" s="4" t="s">
        <v>22</v>
      </c>
      <c r="F7535" s="4" t="s">
        <v>39048</v>
      </c>
      <c r="G7535" s="4" t="s">
        <v>39037</v>
      </c>
      <c r="H7535" s="3" t="s">
        <v>38194</v>
      </c>
      <c r="I7535" s="3" t="s">
        <v>39038</v>
      </c>
      <c r="J7535" s="3" t="s">
        <v>39049</v>
      </c>
      <c r="K7535" s="3" t="s">
        <v>39050</v>
      </c>
      <c r="L7535" s="3"/>
      <c r="M7535" s="4"/>
      <c r="N7535" s="3" t="s">
        <v>37</v>
      </c>
      <c r="O7535" s="3" t="s">
        <v>52</v>
      </c>
      <c r="P7535" s="5">
        <v>12</v>
      </c>
      <c r="Q7535" s="5">
        <v>349</v>
      </c>
      <c r="R7535" s="5">
        <v>12</v>
      </c>
      <c r="S7535" s="5">
        <v>357</v>
      </c>
    </row>
    <row r="7536" spans="1:19" ht="28" x14ac:dyDescent="0.15">
      <c r="A7536" s="2">
        <f>HYPERLINK("https://open-school.uspishnemisto.com.ua/school/460216/", 460216)</f>
        <v>460216</v>
      </c>
      <c r="B7536" s="3" t="s">
        <v>39051</v>
      </c>
      <c r="C7536" s="3" t="s">
        <v>31</v>
      </c>
      <c r="D7536" s="3" t="s">
        <v>32</v>
      </c>
      <c r="E7536" s="4" t="s">
        <v>22</v>
      </c>
      <c r="F7536" s="4" t="s">
        <v>39052</v>
      </c>
      <c r="G7536" s="4" t="s">
        <v>39037</v>
      </c>
      <c r="H7536" s="3" t="s">
        <v>38194</v>
      </c>
      <c r="I7536" s="3" t="s">
        <v>39038</v>
      </c>
      <c r="J7536" s="3" t="s">
        <v>39053</v>
      </c>
      <c r="K7536" s="3" t="s">
        <v>39054</v>
      </c>
      <c r="L7536" s="3"/>
      <c r="M7536" s="4"/>
      <c r="N7536" s="3" t="s">
        <v>37</v>
      </c>
      <c r="O7536" s="3" t="s">
        <v>46</v>
      </c>
      <c r="P7536" s="5">
        <v>24</v>
      </c>
      <c r="Q7536" s="5">
        <v>691</v>
      </c>
      <c r="R7536" s="5">
        <v>23</v>
      </c>
      <c r="S7536" s="5">
        <v>655</v>
      </c>
    </row>
    <row r="7537" spans="1:19" ht="28" x14ac:dyDescent="0.15">
      <c r="A7537" s="2">
        <f>HYPERLINK("https://open-school.uspishnemisto.com.ua/school/460217/", 460217)</f>
        <v>460217</v>
      </c>
      <c r="B7537" s="3" t="s">
        <v>39055</v>
      </c>
      <c r="C7537" s="3" t="s">
        <v>31</v>
      </c>
      <c r="D7537" s="3" t="s">
        <v>32</v>
      </c>
      <c r="E7537" s="4" t="s">
        <v>22</v>
      </c>
      <c r="F7537" s="4" t="s">
        <v>39056</v>
      </c>
      <c r="G7537" s="4" t="s">
        <v>39037</v>
      </c>
      <c r="H7537" s="3" t="s">
        <v>38194</v>
      </c>
      <c r="I7537" s="3" t="s">
        <v>39038</v>
      </c>
      <c r="J7537" s="3" t="s">
        <v>39057</v>
      </c>
      <c r="K7537" s="3" t="s">
        <v>39058</v>
      </c>
      <c r="L7537" s="3" t="s">
        <v>39059</v>
      </c>
      <c r="M7537" s="4"/>
      <c r="N7537" s="3" t="s">
        <v>37</v>
      </c>
      <c r="O7537" s="3" t="s">
        <v>46</v>
      </c>
      <c r="P7537" s="5">
        <v>20</v>
      </c>
      <c r="Q7537" s="5">
        <v>468</v>
      </c>
      <c r="R7537" s="5">
        <v>19</v>
      </c>
      <c r="S7537" s="5">
        <v>445</v>
      </c>
    </row>
    <row r="7538" spans="1:19" ht="28" x14ac:dyDescent="0.15">
      <c r="A7538" s="2">
        <f>HYPERLINK("https://open-school.uspishnemisto.com.ua/school/460218/", 460218)</f>
        <v>460218</v>
      </c>
      <c r="B7538" s="3" t="s">
        <v>39060</v>
      </c>
      <c r="C7538" s="3" t="s">
        <v>31</v>
      </c>
      <c r="D7538" s="3" t="s">
        <v>32</v>
      </c>
      <c r="E7538" s="4" t="s">
        <v>22</v>
      </c>
      <c r="F7538" s="4" t="s">
        <v>39036</v>
      </c>
      <c r="G7538" s="4" t="s">
        <v>39037</v>
      </c>
      <c r="H7538" s="3" t="s">
        <v>38194</v>
      </c>
      <c r="I7538" s="3" t="s">
        <v>39038</v>
      </c>
      <c r="J7538" s="3" t="s">
        <v>39061</v>
      </c>
      <c r="K7538" s="3" t="s">
        <v>39062</v>
      </c>
      <c r="L7538" s="3"/>
      <c r="M7538" s="4"/>
      <c r="N7538" s="3" t="s">
        <v>37</v>
      </c>
      <c r="O7538" s="3" t="s">
        <v>46</v>
      </c>
      <c r="P7538" s="5">
        <v>34</v>
      </c>
      <c r="Q7538" s="5">
        <v>968</v>
      </c>
      <c r="R7538" s="5">
        <v>34</v>
      </c>
      <c r="S7538" s="5">
        <v>973</v>
      </c>
    </row>
    <row r="7539" spans="1:19" ht="28" x14ac:dyDescent="0.15">
      <c r="A7539" s="2">
        <f>HYPERLINK("https://open-school.uspishnemisto.com.ua/school/460219/", 460219)</f>
        <v>460219</v>
      </c>
      <c r="B7539" s="3" t="s">
        <v>39063</v>
      </c>
      <c r="C7539" s="3" t="s">
        <v>31</v>
      </c>
      <c r="D7539" s="3" t="s">
        <v>32</v>
      </c>
      <c r="E7539" s="4" t="s">
        <v>22</v>
      </c>
      <c r="F7539" s="4" t="s">
        <v>39036</v>
      </c>
      <c r="G7539" s="4" t="s">
        <v>39037</v>
      </c>
      <c r="H7539" s="3" t="s">
        <v>38194</v>
      </c>
      <c r="I7539" s="3" t="s">
        <v>39038</v>
      </c>
      <c r="J7539" s="3" t="s">
        <v>39064</v>
      </c>
      <c r="K7539" s="3" t="s">
        <v>39065</v>
      </c>
      <c r="L7539" s="3"/>
      <c r="M7539" s="4"/>
      <c r="N7539" s="3" t="s">
        <v>37</v>
      </c>
      <c r="O7539" s="3" t="s">
        <v>46</v>
      </c>
      <c r="P7539" s="5">
        <v>30</v>
      </c>
      <c r="Q7539" s="5">
        <v>877</v>
      </c>
      <c r="R7539" s="5">
        <v>29</v>
      </c>
      <c r="S7539" s="5">
        <v>860</v>
      </c>
    </row>
    <row r="7540" spans="1:19" ht="28" x14ac:dyDescent="0.15">
      <c r="A7540" s="2">
        <f>HYPERLINK("https://open-school.uspishnemisto.com.ua/school/460220/", 460220)</f>
        <v>460220</v>
      </c>
      <c r="B7540" s="3" t="s">
        <v>39066</v>
      </c>
      <c r="C7540" s="3" t="s">
        <v>31</v>
      </c>
      <c r="D7540" s="3" t="s">
        <v>32</v>
      </c>
      <c r="E7540" s="4" t="s">
        <v>22</v>
      </c>
      <c r="F7540" s="4" t="s">
        <v>39036</v>
      </c>
      <c r="G7540" s="4" t="s">
        <v>39037</v>
      </c>
      <c r="H7540" s="3" t="s">
        <v>38194</v>
      </c>
      <c r="I7540" s="3" t="s">
        <v>39038</v>
      </c>
      <c r="J7540" s="3" t="s">
        <v>16884</v>
      </c>
      <c r="K7540" s="3" t="s">
        <v>39067</v>
      </c>
      <c r="L7540" s="3"/>
      <c r="M7540" s="4"/>
      <c r="N7540" s="3" t="s">
        <v>37</v>
      </c>
      <c r="O7540" s="3" t="s">
        <v>2740</v>
      </c>
      <c r="P7540" s="5">
        <v>21</v>
      </c>
      <c r="Q7540" s="5">
        <v>527</v>
      </c>
      <c r="R7540" s="5">
        <v>21</v>
      </c>
      <c r="S7540" s="5">
        <v>522</v>
      </c>
    </row>
    <row r="7541" spans="1:19" ht="28" x14ac:dyDescent="0.15">
      <c r="A7541" s="2">
        <f>HYPERLINK("https://open-school.uspishnemisto.com.ua/school/460221/", 460221)</f>
        <v>460221</v>
      </c>
      <c r="B7541" s="3" t="s">
        <v>39068</v>
      </c>
      <c r="C7541" s="3" t="s">
        <v>31</v>
      </c>
      <c r="D7541" s="3" t="s">
        <v>32</v>
      </c>
      <c r="E7541" s="4" t="s">
        <v>22</v>
      </c>
      <c r="F7541" s="4" t="s">
        <v>39036</v>
      </c>
      <c r="G7541" s="4" t="s">
        <v>39037</v>
      </c>
      <c r="H7541" s="3" t="s">
        <v>38194</v>
      </c>
      <c r="I7541" s="3" t="s">
        <v>39038</v>
      </c>
      <c r="J7541" s="3" t="s">
        <v>39069</v>
      </c>
      <c r="K7541" s="3" t="s">
        <v>39070</v>
      </c>
      <c r="L7541" s="3"/>
      <c r="M7541" s="4"/>
      <c r="N7541" s="3" t="s">
        <v>37</v>
      </c>
      <c r="O7541" s="3" t="s">
        <v>46</v>
      </c>
      <c r="P7541" s="5">
        <v>19</v>
      </c>
      <c r="Q7541" s="5">
        <v>473</v>
      </c>
      <c r="R7541" s="5">
        <v>20</v>
      </c>
      <c r="S7541" s="5">
        <v>533</v>
      </c>
    </row>
    <row r="7542" spans="1:19" ht="28" x14ac:dyDescent="0.15">
      <c r="A7542" s="2">
        <f>HYPERLINK("https://open-school.uspishnemisto.com.ua/school/460222/", 460222)</f>
        <v>460222</v>
      </c>
      <c r="B7542" s="3" t="s">
        <v>39071</v>
      </c>
      <c r="C7542" s="3" t="s">
        <v>244</v>
      </c>
      <c r="D7542" s="3" t="s">
        <v>32</v>
      </c>
      <c r="E7542" s="4" t="s">
        <v>22</v>
      </c>
      <c r="F7542" s="4" t="s">
        <v>39036</v>
      </c>
      <c r="G7542" s="4" t="s">
        <v>39037</v>
      </c>
      <c r="H7542" s="3" t="s">
        <v>38194</v>
      </c>
      <c r="I7542" s="3" t="s">
        <v>39038</v>
      </c>
      <c r="J7542" s="3" t="s">
        <v>39072</v>
      </c>
      <c r="K7542" s="3" t="s">
        <v>39073</v>
      </c>
      <c r="L7542" s="3"/>
      <c r="M7542" s="4"/>
      <c r="N7542" s="3" t="s">
        <v>37</v>
      </c>
      <c r="O7542" s="3" t="s">
        <v>123</v>
      </c>
      <c r="P7542" s="5">
        <v>34</v>
      </c>
      <c r="Q7542" s="5">
        <v>976</v>
      </c>
      <c r="R7542" s="5">
        <v>33</v>
      </c>
      <c r="S7542" s="5">
        <v>953</v>
      </c>
    </row>
    <row r="7543" spans="1:19" ht="28" x14ac:dyDescent="0.15">
      <c r="A7543" s="2">
        <f>HYPERLINK("https://open-school.uspishnemisto.com.ua/school/460223/", 460223)</f>
        <v>460223</v>
      </c>
      <c r="B7543" s="3" t="s">
        <v>39074</v>
      </c>
      <c r="C7543" s="3" t="s">
        <v>54</v>
      </c>
      <c r="D7543" s="3" t="s">
        <v>32</v>
      </c>
      <c r="E7543" s="4" t="s">
        <v>22</v>
      </c>
      <c r="F7543" s="4" t="s">
        <v>39036</v>
      </c>
      <c r="G7543" s="4" t="s">
        <v>39037</v>
      </c>
      <c r="H7543" s="3" t="s">
        <v>38194</v>
      </c>
      <c r="I7543" s="3" t="s">
        <v>39038</v>
      </c>
      <c r="J7543" s="3" t="s">
        <v>39075</v>
      </c>
      <c r="K7543" s="3" t="s">
        <v>39076</v>
      </c>
      <c r="L7543" s="3"/>
      <c r="M7543" s="4"/>
      <c r="N7543" s="3" t="s">
        <v>37</v>
      </c>
      <c r="O7543" s="3" t="s">
        <v>2740</v>
      </c>
      <c r="P7543" s="5">
        <v>23</v>
      </c>
      <c r="Q7543" s="5">
        <v>600</v>
      </c>
      <c r="R7543" s="5">
        <v>24</v>
      </c>
      <c r="S7543" s="5">
        <v>622</v>
      </c>
    </row>
    <row r="7544" spans="1:19" ht="42" x14ac:dyDescent="0.15">
      <c r="A7544" s="2">
        <f>HYPERLINK("https://open-school.uspishnemisto.com.ua/school/460224/", 460224)</f>
        <v>460224</v>
      </c>
      <c r="B7544" s="3" t="s">
        <v>39077</v>
      </c>
      <c r="C7544" s="3" t="s">
        <v>54</v>
      </c>
      <c r="D7544" s="3" t="s">
        <v>32</v>
      </c>
      <c r="E7544" s="4" t="s">
        <v>22</v>
      </c>
      <c r="F7544" s="4" t="s">
        <v>39078</v>
      </c>
      <c r="G7544" s="4" t="s">
        <v>39037</v>
      </c>
      <c r="H7544" s="3" t="s">
        <v>38194</v>
      </c>
      <c r="I7544" s="3" t="s">
        <v>39038</v>
      </c>
      <c r="J7544" s="3" t="s">
        <v>39079</v>
      </c>
      <c r="K7544" s="3" t="s">
        <v>39080</v>
      </c>
      <c r="L7544" s="3"/>
      <c r="M7544" s="4"/>
      <c r="N7544" s="3" t="s">
        <v>37</v>
      </c>
      <c r="O7544" s="3" t="s">
        <v>46</v>
      </c>
      <c r="P7544" s="5">
        <v>26</v>
      </c>
      <c r="Q7544" s="5">
        <v>662</v>
      </c>
      <c r="R7544" s="5">
        <v>25</v>
      </c>
      <c r="S7544" s="5">
        <v>642</v>
      </c>
    </row>
    <row r="7545" spans="1:19" ht="28" x14ac:dyDescent="0.15">
      <c r="A7545" s="2">
        <f>HYPERLINK("https://open-school.uspishnemisto.com.ua/school/460225/", 460225)</f>
        <v>460225</v>
      </c>
      <c r="B7545" s="3" t="s">
        <v>39081</v>
      </c>
      <c r="C7545" s="3" t="s">
        <v>31</v>
      </c>
      <c r="D7545" s="3" t="s">
        <v>32</v>
      </c>
      <c r="E7545" s="4" t="s">
        <v>22</v>
      </c>
      <c r="F7545" s="4" t="s">
        <v>39082</v>
      </c>
      <c r="G7545" s="4" t="s">
        <v>39083</v>
      </c>
      <c r="H7545" s="3" t="s">
        <v>38194</v>
      </c>
      <c r="I7545" s="3" t="s">
        <v>14675</v>
      </c>
      <c r="J7545" s="3" t="s">
        <v>39084</v>
      </c>
      <c r="K7545" s="3" t="s">
        <v>39085</v>
      </c>
      <c r="L7545" s="3"/>
      <c r="M7545" s="4"/>
      <c r="N7545" s="3" t="s">
        <v>37</v>
      </c>
      <c r="O7545" s="3" t="s">
        <v>52</v>
      </c>
      <c r="P7545" s="5">
        <v>18</v>
      </c>
      <c r="Q7545" s="5">
        <v>420</v>
      </c>
      <c r="R7545" s="5">
        <v>19</v>
      </c>
      <c r="S7545" s="5">
        <v>401</v>
      </c>
    </row>
    <row r="7546" spans="1:19" ht="28" x14ac:dyDescent="0.15">
      <c r="A7546" s="2">
        <f>HYPERLINK("https://open-school.uspishnemisto.com.ua/school/460226/", 460226)</f>
        <v>460226</v>
      </c>
      <c r="B7546" s="3" t="s">
        <v>39086</v>
      </c>
      <c r="C7546" s="3" t="s">
        <v>31</v>
      </c>
      <c r="D7546" s="3" t="s">
        <v>32</v>
      </c>
      <c r="E7546" s="4" t="s">
        <v>22</v>
      </c>
      <c r="F7546" s="4" t="s">
        <v>39087</v>
      </c>
      <c r="G7546" s="4" t="s">
        <v>39088</v>
      </c>
      <c r="H7546" s="3" t="s">
        <v>38194</v>
      </c>
      <c r="I7546" s="3" t="s">
        <v>5965</v>
      </c>
      <c r="J7546" s="3" t="s">
        <v>39089</v>
      </c>
      <c r="K7546" s="3" t="s">
        <v>39090</v>
      </c>
      <c r="L7546" s="3"/>
      <c r="M7546" s="4"/>
      <c r="N7546" s="3" t="s">
        <v>37</v>
      </c>
      <c r="O7546" s="3" t="s">
        <v>46</v>
      </c>
      <c r="P7546" s="5">
        <v>12</v>
      </c>
      <c r="Q7546" s="5">
        <v>258</v>
      </c>
      <c r="R7546" s="5">
        <v>12</v>
      </c>
      <c r="S7546" s="5">
        <v>255</v>
      </c>
    </row>
    <row r="7547" spans="1:19" ht="28" x14ac:dyDescent="0.15">
      <c r="A7547" s="2">
        <f>HYPERLINK("https://open-school.uspishnemisto.com.ua/school/460227/", 460227)</f>
        <v>460227</v>
      </c>
      <c r="B7547" s="3" t="s">
        <v>39091</v>
      </c>
      <c r="C7547" s="3" t="s">
        <v>31</v>
      </c>
      <c r="D7547" s="3" t="s">
        <v>32</v>
      </c>
      <c r="E7547" s="4" t="s">
        <v>22</v>
      </c>
      <c r="F7547" s="4" t="s">
        <v>39087</v>
      </c>
      <c r="G7547" s="4" t="s">
        <v>39088</v>
      </c>
      <c r="H7547" s="3" t="s">
        <v>38194</v>
      </c>
      <c r="I7547" s="3" t="s">
        <v>5965</v>
      </c>
      <c r="J7547" s="3" t="s">
        <v>39092</v>
      </c>
      <c r="K7547" s="3" t="s">
        <v>39093</v>
      </c>
      <c r="L7547" s="3" t="s">
        <v>39094</v>
      </c>
      <c r="M7547" s="4"/>
      <c r="N7547" s="3" t="s">
        <v>37</v>
      </c>
      <c r="O7547" s="3" t="s">
        <v>46</v>
      </c>
      <c r="P7547" s="5">
        <v>14</v>
      </c>
      <c r="Q7547" s="5">
        <v>359</v>
      </c>
      <c r="R7547" s="5">
        <v>14</v>
      </c>
      <c r="S7547" s="5">
        <v>357</v>
      </c>
    </row>
    <row r="7548" spans="1:19" ht="28" x14ac:dyDescent="0.15">
      <c r="A7548" s="2">
        <f>HYPERLINK("https://open-school.uspishnemisto.com.ua/school/460228/", 460228)</f>
        <v>460228</v>
      </c>
      <c r="B7548" s="3" t="s">
        <v>39095</v>
      </c>
      <c r="C7548" s="3" t="s">
        <v>54</v>
      </c>
      <c r="D7548" s="3" t="s">
        <v>32</v>
      </c>
      <c r="E7548" s="4" t="s">
        <v>22</v>
      </c>
      <c r="F7548" s="4" t="s">
        <v>39087</v>
      </c>
      <c r="G7548" s="4" t="s">
        <v>39088</v>
      </c>
      <c r="H7548" s="3" t="s">
        <v>38194</v>
      </c>
      <c r="I7548" s="3" t="s">
        <v>5965</v>
      </c>
      <c r="J7548" s="3" t="s">
        <v>39096</v>
      </c>
      <c r="K7548" s="3" t="s">
        <v>39097</v>
      </c>
      <c r="L7548" s="3"/>
      <c r="M7548" s="4"/>
      <c r="N7548" s="3" t="s">
        <v>37</v>
      </c>
      <c r="O7548" s="3" t="s">
        <v>2740</v>
      </c>
      <c r="P7548" s="5">
        <v>22</v>
      </c>
      <c r="Q7548" s="5">
        <v>598</v>
      </c>
      <c r="R7548" s="5">
        <v>23</v>
      </c>
      <c r="S7548" s="5">
        <v>604</v>
      </c>
    </row>
    <row r="7549" spans="1:19" ht="28" x14ac:dyDescent="0.15">
      <c r="A7549" s="2">
        <f>HYPERLINK("https://open-school.uspishnemisto.com.ua/school/460229/", 460229)</f>
        <v>460229</v>
      </c>
      <c r="B7549" s="3" t="s">
        <v>39098</v>
      </c>
      <c r="C7549" s="3" t="s">
        <v>40</v>
      </c>
      <c r="D7549" s="3" t="s">
        <v>32</v>
      </c>
      <c r="E7549" s="4" t="s">
        <v>22</v>
      </c>
      <c r="F7549" s="4" t="s">
        <v>39099</v>
      </c>
      <c r="G7549" s="4" t="s">
        <v>39100</v>
      </c>
      <c r="H7549" s="3" t="s">
        <v>38194</v>
      </c>
      <c r="I7549" s="3" t="s">
        <v>7692</v>
      </c>
      <c r="J7549" s="3" t="s">
        <v>39101</v>
      </c>
      <c r="K7549" s="3" t="s">
        <v>39102</v>
      </c>
      <c r="L7549" s="3"/>
      <c r="M7549" s="4"/>
      <c r="N7549" s="3" t="s">
        <v>37</v>
      </c>
      <c r="O7549" s="3" t="s">
        <v>46</v>
      </c>
      <c r="P7549" s="5">
        <v>18</v>
      </c>
      <c r="Q7549" s="5">
        <v>436</v>
      </c>
      <c r="R7549" s="5">
        <v>19</v>
      </c>
      <c r="S7549" s="5">
        <v>430</v>
      </c>
    </row>
    <row r="7550" spans="1:19" ht="28" x14ac:dyDescent="0.15">
      <c r="A7550" s="2">
        <f>HYPERLINK("https://open-school.uspishnemisto.com.ua/school/460230/", 460230)</f>
        <v>460230</v>
      </c>
      <c r="B7550" s="3" t="s">
        <v>39103</v>
      </c>
      <c r="C7550" s="3" t="s">
        <v>31</v>
      </c>
      <c r="D7550" s="3" t="s">
        <v>60</v>
      </c>
      <c r="E7550" s="4" t="s">
        <v>22</v>
      </c>
      <c r="F7550" s="4" t="s">
        <v>39099</v>
      </c>
      <c r="G7550" s="4" t="s">
        <v>39100</v>
      </c>
      <c r="H7550" s="3" t="s">
        <v>38194</v>
      </c>
      <c r="I7550" s="3" t="s">
        <v>7692</v>
      </c>
      <c r="J7550" s="3" t="s">
        <v>39104</v>
      </c>
      <c r="K7550" s="3" t="s">
        <v>39105</v>
      </c>
      <c r="L7550" s="3"/>
      <c r="M7550" s="4"/>
      <c r="N7550" s="3" t="s">
        <v>37</v>
      </c>
      <c r="O7550" s="3" t="s">
        <v>52</v>
      </c>
      <c r="P7550" s="5">
        <v>12</v>
      </c>
      <c r="Q7550" s="5">
        <v>294</v>
      </c>
      <c r="R7550" s="5">
        <v>12</v>
      </c>
      <c r="S7550" s="5">
        <v>310</v>
      </c>
    </row>
    <row r="7551" spans="1:19" ht="42" x14ac:dyDescent="0.15">
      <c r="A7551" s="2">
        <f>HYPERLINK("https://open-school.uspishnemisto.com.ua/school/460231/", 460231)</f>
        <v>460231</v>
      </c>
      <c r="B7551" s="3" t="s">
        <v>39106</v>
      </c>
      <c r="C7551" s="3" t="s">
        <v>31</v>
      </c>
      <c r="D7551" s="3" t="s">
        <v>32</v>
      </c>
      <c r="E7551" s="4" t="s">
        <v>22</v>
      </c>
      <c r="F7551" s="4" t="s">
        <v>39099</v>
      </c>
      <c r="G7551" s="4" t="s">
        <v>39100</v>
      </c>
      <c r="H7551" s="3" t="s">
        <v>38194</v>
      </c>
      <c r="I7551" s="3" t="s">
        <v>7692</v>
      </c>
      <c r="J7551" s="3" t="s">
        <v>466</v>
      </c>
      <c r="K7551" s="3" t="s">
        <v>39107</v>
      </c>
      <c r="L7551" s="3"/>
      <c r="M7551" s="4"/>
      <c r="N7551" s="3" t="s">
        <v>37</v>
      </c>
      <c r="O7551" s="3" t="s">
        <v>70</v>
      </c>
      <c r="P7551" s="5">
        <v>37</v>
      </c>
      <c r="Q7551" s="5">
        <v>1046</v>
      </c>
      <c r="R7551" s="5">
        <v>36</v>
      </c>
      <c r="S7551" s="5">
        <v>1023</v>
      </c>
    </row>
    <row r="7552" spans="1:19" ht="28" x14ac:dyDescent="0.15">
      <c r="A7552" s="2">
        <f>HYPERLINK("https://open-school.uspishnemisto.com.ua/school/460232/", 460232)</f>
        <v>460232</v>
      </c>
      <c r="B7552" s="3" t="s">
        <v>39108</v>
      </c>
      <c r="C7552" s="3" t="s">
        <v>31</v>
      </c>
      <c r="D7552" s="3" t="s">
        <v>32</v>
      </c>
      <c r="E7552" s="4" t="s">
        <v>22</v>
      </c>
      <c r="F7552" s="4" t="s">
        <v>39099</v>
      </c>
      <c r="G7552" s="4" t="s">
        <v>39100</v>
      </c>
      <c r="H7552" s="3" t="s">
        <v>38194</v>
      </c>
      <c r="I7552" s="3" t="s">
        <v>7692</v>
      </c>
      <c r="J7552" s="3" t="s">
        <v>39109</v>
      </c>
      <c r="K7552" s="3" t="s">
        <v>39110</v>
      </c>
      <c r="L7552" s="3"/>
      <c r="M7552" s="4"/>
      <c r="N7552" s="3" t="s">
        <v>37</v>
      </c>
      <c r="O7552" s="3" t="s">
        <v>70</v>
      </c>
      <c r="P7552" s="5">
        <v>21</v>
      </c>
      <c r="Q7552" s="5">
        <v>528</v>
      </c>
      <c r="R7552" s="5">
        <v>22</v>
      </c>
      <c r="S7552" s="5">
        <v>520</v>
      </c>
    </row>
    <row r="7553" spans="1:19" ht="42" x14ac:dyDescent="0.15">
      <c r="A7553" s="2">
        <f>HYPERLINK("https://open-school.uspishnemisto.com.ua/school/460233/", 460233)</f>
        <v>460233</v>
      </c>
      <c r="B7553" s="3" t="s">
        <v>39111</v>
      </c>
      <c r="C7553" s="3" t="s">
        <v>244</v>
      </c>
      <c r="D7553" s="3" t="s">
        <v>32</v>
      </c>
      <c r="E7553" s="4" t="s">
        <v>22</v>
      </c>
      <c r="F7553" s="4" t="s">
        <v>39099</v>
      </c>
      <c r="G7553" s="4" t="s">
        <v>39100</v>
      </c>
      <c r="H7553" s="3" t="s">
        <v>38194</v>
      </c>
      <c r="I7553" s="3" t="s">
        <v>7692</v>
      </c>
      <c r="J7553" s="3" t="s">
        <v>39112</v>
      </c>
      <c r="K7553" s="3" t="s">
        <v>39113</v>
      </c>
      <c r="L7553" s="3"/>
      <c r="M7553" s="4"/>
      <c r="N7553" s="3" t="s">
        <v>37</v>
      </c>
      <c r="O7553" s="3" t="s">
        <v>46</v>
      </c>
      <c r="P7553" s="5">
        <v>30</v>
      </c>
      <c r="Q7553" s="5">
        <v>902</v>
      </c>
      <c r="R7553" s="5">
        <v>30</v>
      </c>
      <c r="S7553" s="5">
        <v>889</v>
      </c>
    </row>
    <row r="7554" spans="1:19" ht="28" x14ac:dyDescent="0.15">
      <c r="A7554" s="2">
        <f>HYPERLINK("https://open-school.uspishnemisto.com.ua/school/460234/", 460234)</f>
        <v>460234</v>
      </c>
      <c r="B7554" s="3" t="s">
        <v>39114</v>
      </c>
      <c r="C7554" s="3" t="s">
        <v>31</v>
      </c>
      <c r="D7554" s="3" t="s">
        <v>32</v>
      </c>
      <c r="E7554" s="4" t="s">
        <v>22</v>
      </c>
      <c r="F7554" s="4" t="s">
        <v>39115</v>
      </c>
      <c r="G7554" s="4" t="s">
        <v>39116</v>
      </c>
      <c r="H7554" s="3" t="s">
        <v>38194</v>
      </c>
      <c r="I7554" s="3" t="s">
        <v>29555</v>
      </c>
      <c r="J7554" s="3" t="s">
        <v>39117</v>
      </c>
      <c r="K7554" s="3" t="s">
        <v>39118</v>
      </c>
      <c r="L7554" s="3"/>
      <c r="M7554" s="4"/>
      <c r="N7554" s="3" t="s">
        <v>37</v>
      </c>
      <c r="O7554" s="3" t="s">
        <v>46</v>
      </c>
      <c r="P7554" s="5">
        <v>12</v>
      </c>
      <c r="Q7554" s="5">
        <v>293</v>
      </c>
      <c r="R7554" s="5">
        <v>13</v>
      </c>
      <c r="S7554" s="5">
        <v>288</v>
      </c>
    </row>
    <row r="7555" spans="1:19" ht="42" x14ac:dyDescent="0.15">
      <c r="A7555" s="2">
        <f>HYPERLINK("https://open-school.uspishnemisto.com.ua/school/460235/", 460235)</f>
        <v>460235</v>
      </c>
      <c r="B7555" s="3" t="s">
        <v>39119</v>
      </c>
      <c r="C7555" s="3" t="s">
        <v>181</v>
      </c>
      <c r="D7555" s="3" t="s">
        <v>32</v>
      </c>
      <c r="E7555" s="4" t="s">
        <v>22</v>
      </c>
      <c r="F7555" s="4" t="s">
        <v>39115</v>
      </c>
      <c r="G7555" s="4" t="s">
        <v>39116</v>
      </c>
      <c r="H7555" s="3" t="s">
        <v>38194</v>
      </c>
      <c r="I7555" s="3" t="s">
        <v>29555</v>
      </c>
      <c r="J7555" s="3" t="s">
        <v>30458</v>
      </c>
      <c r="K7555" s="3" t="s">
        <v>39120</v>
      </c>
      <c r="L7555" s="3"/>
      <c r="M7555" s="4" t="s">
        <v>39121</v>
      </c>
      <c r="N7555" s="3" t="s">
        <v>37</v>
      </c>
      <c r="O7555" s="3" t="s">
        <v>52</v>
      </c>
      <c r="P7555" s="5">
        <v>9</v>
      </c>
      <c r="Q7555" s="5">
        <v>83</v>
      </c>
      <c r="R7555" s="5">
        <v>9</v>
      </c>
      <c r="S7555" s="5">
        <v>91</v>
      </c>
    </row>
    <row r="7556" spans="1:19" ht="28" x14ac:dyDescent="0.15">
      <c r="A7556" s="2">
        <f>HYPERLINK("https://open-school.uspishnemisto.com.ua/school/460236/", 460236)</f>
        <v>460236</v>
      </c>
      <c r="B7556" s="3" t="s">
        <v>39122</v>
      </c>
      <c r="C7556" s="3" t="s">
        <v>31</v>
      </c>
      <c r="D7556" s="3" t="s">
        <v>60</v>
      </c>
      <c r="E7556" s="4" t="s">
        <v>22</v>
      </c>
      <c r="F7556" s="4" t="s">
        <v>39123</v>
      </c>
      <c r="G7556" s="4" t="s">
        <v>39124</v>
      </c>
      <c r="H7556" s="3" t="s">
        <v>38194</v>
      </c>
      <c r="I7556" s="3" t="s">
        <v>39125</v>
      </c>
      <c r="J7556" s="3"/>
      <c r="K7556" s="3" t="s">
        <v>39126</v>
      </c>
      <c r="L7556" s="3"/>
      <c r="M7556" s="4"/>
      <c r="N7556" s="3" t="s">
        <v>37</v>
      </c>
      <c r="O7556" s="3" t="s">
        <v>52</v>
      </c>
      <c r="P7556" s="5">
        <v>0</v>
      </c>
      <c r="Q7556" s="5">
        <v>11</v>
      </c>
      <c r="R7556" s="5">
        <v>0</v>
      </c>
      <c r="S7556" s="5">
        <v>13</v>
      </c>
    </row>
    <row r="7557" spans="1:19" ht="28" x14ac:dyDescent="0.15">
      <c r="A7557" s="2">
        <f>HYPERLINK("https://open-school.uspishnemisto.com.ua/school/460237/", 460237)</f>
        <v>460237</v>
      </c>
      <c r="B7557" s="3" t="s">
        <v>39127</v>
      </c>
      <c r="C7557" s="3" t="s">
        <v>31</v>
      </c>
      <c r="D7557" s="3" t="s">
        <v>175</v>
      </c>
      <c r="E7557" s="4" t="s">
        <v>22</v>
      </c>
      <c r="F7557" s="4" t="s">
        <v>39123</v>
      </c>
      <c r="G7557" s="4" t="s">
        <v>39128</v>
      </c>
      <c r="H7557" s="3" t="s">
        <v>38194</v>
      </c>
      <c r="I7557" s="3" t="s">
        <v>39129</v>
      </c>
      <c r="J7557" s="3"/>
      <c r="K7557" s="3" t="s">
        <v>39130</v>
      </c>
      <c r="L7557" s="3"/>
      <c r="M7557" s="4"/>
      <c r="N7557" s="3" t="s">
        <v>37</v>
      </c>
      <c r="O7557" s="3" t="s">
        <v>52</v>
      </c>
      <c r="P7557" s="5">
        <v>9</v>
      </c>
      <c r="Q7557" s="5">
        <v>70</v>
      </c>
      <c r="R7557" s="5">
        <v>9</v>
      </c>
      <c r="S7557" s="5">
        <v>68</v>
      </c>
    </row>
    <row r="7558" spans="1:19" ht="56" x14ac:dyDescent="0.15">
      <c r="A7558" s="2">
        <f>HYPERLINK("https://open-school.uspishnemisto.com.ua/school/460238/", 460238)</f>
        <v>460238</v>
      </c>
      <c r="B7558" s="3" t="s">
        <v>39131</v>
      </c>
      <c r="C7558" s="3" t="s">
        <v>54</v>
      </c>
      <c r="D7558" s="3" t="s">
        <v>175</v>
      </c>
      <c r="E7558" s="4" t="s">
        <v>22</v>
      </c>
      <c r="F7558" s="4" t="s">
        <v>39132</v>
      </c>
      <c r="G7558" s="4" t="s">
        <v>39133</v>
      </c>
      <c r="H7558" s="3" t="s">
        <v>38194</v>
      </c>
      <c r="I7558" s="3" t="s">
        <v>39134</v>
      </c>
      <c r="J7558" s="3"/>
      <c r="K7558" s="3" t="s">
        <v>39135</v>
      </c>
      <c r="L7558" s="3"/>
      <c r="M7558" s="4"/>
      <c r="N7558" s="3" t="s">
        <v>37</v>
      </c>
      <c r="O7558" s="3" t="s">
        <v>46</v>
      </c>
      <c r="P7558" s="5">
        <v>8</v>
      </c>
      <c r="Q7558" s="5">
        <v>49</v>
      </c>
      <c r="R7558" s="5">
        <v>8</v>
      </c>
      <c r="S7558" s="5">
        <v>54</v>
      </c>
    </row>
    <row r="7559" spans="1:19" ht="28" x14ac:dyDescent="0.15">
      <c r="A7559" s="2">
        <f>HYPERLINK("https://open-school.uspishnemisto.com.ua/school/460240/", 460240)</f>
        <v>460240</v>
      </c>
      <c r="B7559" s="3" t="s">
        <v>39136</v>
      </c>
      <c r="C7559" s="3" t="s">
        <v>31</v>
      </c>
      <c r="D7559" s="3" t="s">
        <v>32</v>
      </c>
      <c r="E7559" s="4" t="s">
        <v>22</v>
      </c>
      <c r="F7559" s="4" t="s">
        <v>39132</v>
      </c>
      <c r="G7559" s="4" t="s">
        <v>39137</v>
      </c>
      <c r="H7559" s="3" t="s">
        <v>38194</v>
      </c>
      <c r="I7559" s="3" t="s">
        <v>39138</v>
      </c>
      <c r="J7559" s="3" t="s">
        <v>39139</v>
      </c>
      <c r="K7559" s="3" t="s">
        <v>39140</v>
      </c>
      <c r="L7559" s="3"/>
      <c r="M7559" s="4"/>
      <c r="N7559" s="3" t="s">
        <v>37</v>
      </c>
      <c r="O7559" s="3" t="s">
        <v>46</v>
      </c>
      <c r="P7559" s="5">
        <v>10</v>
      </c>
      <c r="Q7559" s="5">
        <v>85</v>
      </c>
      <c r="R7559" s="5">
        <v>10</v>
      </c>
      <c r="S7559" s="5">
        <v>87</v>
      </c>
    </row>
    <row r="7560" spans="1:19" ht="42" x14ac:dyDescent="0.15">
      <c r="A7560" s="2">
        <f>HYPERLINK("https://open-school.uspishnemisto.com.ua/school/460242/", 460242)</f>
        <v>460242</v>
      </c>
      <c r="B7560" s="3" t="s">
        <v>39141</v>
      </c>
      <c r="C7560" s="3" t="s">
        <v>54</v>
      </c>
      <c r="D7560" s="3" t="s">
        <v>175</v>
      </c>
      <c r="E7560" s="4" t="s">
        <v>22</v>
      </c>
      <c r="F7560" s="4" t="s">
        <v>39142</v>
      </c>
      <c r="G7560" s="4" t="s">
        <v>39143</v>
      </c>
      <c r="H7560" s="3" t="s">
        <v>38194</v>
      </c>
      <c r="I7560" s="3" t="s">
        <v>39144</v>
      </c>
      <c r="J7560" s="3"/>
      <c r="K7560" s="3" t="s">
        <v>39145</v>
      </c>
      <c r="L7560" s="3"/>
      <c r="M7560" s="4"/>
      <c r="N7560" s="3" t="s">
        <v>37</v>
      </c>
      <c r="O7560" s="3" t="s">
        <v>46</v>
      </c>
      <c r="P7560" s="5">
        <v>7</v>
      </c>
      <c r="Q7560" s="5">
        <v>55</v>
      </c>
      <c r="R7560" s="5">
        <v>7</v>
      </c>
      <c r="S7560" s="5">
        <v>60</v>
      </c>
    </row>
    <row r="7561" spans="1:19" ht="56" x14ac:dyDescent="0.15">
      <c r="A7561" s="2">
        <f>HYPERLINK("https://open-school.uspishnemisto.com.ua/school/460243/", 460243)</f>
        <v>460243</v>
      </c>
      <c r="B7561" s="3" t="s">
        <v>39146</v>
      </c>
      <c r="C7561" s="3" t="s">
        <v>54</v>
      </c>
      <c r="D7561" s="3" t="s">
        <v>175</v>
      </c>
      <c r="E7561" s="4" t="s">
        <v>22</v>
      </c>
      <c r="F7561" s="4" t="s">
        <v>39147</v>
      </c>
      <c r="G7561" s="4" t="s">
        <v>39148</v>
      </c>
      <c r="H7561" s="3" t="s">
        <v>38194</v>
      </c>
      <c r="I7561" s="3" t="s">
        <v>39149</v>
      </c>
      <c r="J7561" s="3"/>
      <c r="K7561" s="3" t="s">
        <v>39150</v>
      </c>
      <c r="L7561" s="3"/>
      <c r="M7561" s="4"/>
      <c r="N7561" s="3" t="s">
        <v>37</v>
      </c>
      <c r="O7561" s="3" t="s">
        <v>46</v>
      </c>
      <c r="P7561" s="5">
        <v>9</v>
      </c>
      <c r="Q7561" s="5">
        <v>75</v>
      </c>
      <c r="R7561" s="5">
        <v>9</v>
      </c>
      <c r="S7561" s="5">
        <v>76</v>
      </c>
    </row>
    <row r="7562" spans="1:19" ht="28" x14ac:dyDescent="0.15">
      <c r="A7562" s="2">
        <f>HYPERLINK("https://open-school.uspishnemisto.com.ua/school/460244/", 460244)</f>
        <v>460244</v>
      </c>
      <c r="B7562" s="3" t="s">
        <v>39151</v>
      </c>
      <c r="C7562" s="3" t="s">
        <v>31</v>
      </c>
      <c r="D7562" s="3" t="s">
        <v>175</v>
      </c>
      <c r="E7562" s="4" t="s">
        <v>22</v>
      </c>
      <c r="F7562" s="4" t="s">
        <v>39142</v>
      </c>
      <c r="G7562" s="4" t="s">
        <v>39152</v>
      </c>
      <c r="H7562" s="3" t="s">
        <v>38194</v>
      </c>
      <c r="I7562" s="3" t="s">
        <v>39153</v>
      </c>
      <c r="J7562" s="3"/>
      <c r="K7562" s="3" t="s">
        <v>39154</v>
      </c>
      <c r="L7562" s="3"/>
      <c r="M7562" s="4"/>
      <c r="N7562" s="3" t="s">
        <v>37</v>
      </c>
      <c r="O7562" s="3" t="s">
        <v>46</v>
      </c>
      <c r="P7562" s="5">
        <v>0</v>
      </c>
      <c r="Q7562" s="5">
        <v>20</v>
      </c>
      <c r="R7562" s="5">
        <v>2</v>
      </c>
      <c r="S7562" s="5">
        <v>26</v>
      </c>
    </row>
    <row r="7563" spans="1:19" ht="28" x14ac:dyDescent="0.15">
      <c r="A7563" s="2">
        <f>HYPERLINK("https://open-school.uspishnemisto.com.ua/school/460245/", 460245)</f>
        <v>460245</v>
      </c>
      <c r="B7563" s="3" t="s">
        <v>39155</v>
      </c>
      <c r="C7563" s="3" t="s">
        <v>31</v>
      </c>
      <c r="D7563" s="3" t="s">
        <v>175</v>
      </c>
      <c r="E7563" s="4" t="s">
        <v>22</v>
      </c>
      <c r="F7563" s="4" t="s">
        <v>39156</v>
      </c>
      <c r="G7563" s="4" t="s">
        <v>39157</v>
      </c>
      <c r="H7563" s="3" t="s">
        <v>38194</v>
      </c>
      <c r="I7563" s="3" t="s">
        <v>39158</v>
      </c>
      <c r="J7563" s="3" t="s">
        <v>2978</v>
      </c>
      <c r="K7563" s="3" t="s">
        <v>39159</v>
      </c>
      <c r="L7563" s="3"/>
      <c r="M7563" s="4"/>
      <c r="N7563" s="3" t="s">
        <v>37</v>
      </c>
      <c r="O7563" s="3" t="s">
        <v>46</v>
      </c>
      <c r="P7563" s="5">
        <v>9</v>
      </c>
      <c r="Q7563" s="5">
        <v>91</v>
      </c>
      <c r="R7563" s="5">
        <v>8</v>
      </c>
      <c r="S7563" s="5">
        <v>88</v>
      </c>
    </row>
    <row r="7564" spans="1:19" ht="28" x14ac:dyDescent="0.15">
      <c r="A7564" s="2">
        <f>HYPERLINK("https://open-school.uspishnemisto.com.ua/school/460246/", 460246)</f>
        <v>460246</v>
      </c>
      <c r="B7564" s="3" t="s">
        <v>39160</v>
      </c>
      <c r="C7564" s="3" t="s">
        <v>31</v>
      </c>
      <c r="D7564" s="3" t="s">
        <v>32</v>
      </c>
      <c r="E7564" s="4" t="s">
        <v>22</v>
      </c>
      <c r="F7564" s="4" t="s">
        <v>39161</v>
      </c>
      <c r="G7564" s="4" t="s">
        <v>39162</v>
      </c>
      <c r="H7564" s="3" t="s">
        <v>38194</v>
      </c>
      <c r="I7564" s="3" t="s">
        <v>5585</v>
      </c>
      <c r="J7564" s="3" t="s">
        <v>634</v>
      </c>
      <c r="K7564" s="3" t="s">
        <v>39163</v>
      </c>
      <c r="L7564" s="3"/>
      <c r="M7564" s="4"/>
      <c r="N7564" s="3" t="s">
        <v>37</v>
      </c>
      <c r="O7564" s="3" t="s">
        <v>46</v>
      </c>
      <c r="P7564" s="5">
        <v>11</v>
      </c>
      <c r="Q7564" s="5">
        <v>184</v>
      </c>
      <c r="R7564" s="5">
        <v>11</v>
      </c>
      <c r="S7564" s="5">
        <v>166</v>
      </c>
    </row>
    <row r="7565" spans="1:19" ht="28" x14ac:dyDescent="0.15">
      <c r="A7565" s="2">
        <f>HYPERLINK("https://open-school.uspishnemisto.com.ua/school/460247/", 460247)</f>
        <v>460247</v>
      </c>
      <c r="B7565" s="3" t="s">
        <v>39164</v>
      </c>
      <c r="C7565" s="3" t="s">
        <v>31</v>
      </c>
      <c r="D7565" s="3" t="s">
        <v>60</v>
      </c>
      <c r="E7565" s="4" t="s">
        <v>22</v>
      </c>
      <c r="F7565" s="4" t="s">
        <v>39161</v>
      </c>
      <c r="G7565" s="4" t="s">
        <v>39165</v>
      </c>
      <c r="H7565" s="3" t="s">
        <v>38194</v>
      </c>
      <c r="I7565" s="3" t="s">
        <v>39166</v>
      </c>
      <c r="J7565" s="3"/>
      <c r="K7565" s="3" t="s">
        <v>39167</v>
      </c>
      <c r="L7565" s="3"/>
      <c r="M7565" s="4"/>
      <c r="N7565" s="3" t="s">
        <v>37</v>
      </c>
      <c r="O7565" s="3" t="s">
        <v>52</v>
      </c>
      <c r="P7565" s="5">
        <v>2</v>
      </c>
      <c r="Q7565" s="5">
        <v>17</v>
      </c>
      <c r="R7565" s="5">
        <v>3</v>
      </c>
      <c r="S7565" s="5">
        <v>26</v>
      </c>
    </row>
    <row r="7566" spans="1:19" ht="28" x14ac:dyDescent="0.15">
      <c r="A7566" s="2">
        <f>HYPERLINK("https://open-school.uspishnemisto.com.ua/school/460248/", 460248)</f>
        <v>460248</v>
      </c>
      <c r="B7566" s="3" t="s">
        <v>39168</v>
      </c>
      <c r="C7566" s="3" t="s">
        <v>31</v>
      </c>
      <c r="D7566" s="3" t="s">
        <v>175</v>
      </c>
      <c r="E7566" s="4" t="s">
        <v>22</v>
      </c>
      <c r="F7566" s="4" t="s">
        <v>39169</v>
      </c>
      <c r="G7566" s="4" t="s">
        <v>39170</v>
      </c>
      <c r="H7566" s="3" t="s">
        <v>38194</v>
      </c>
      <c r="I7566" s="3" t="s">
        <v>39171</v>
      </c>
      <c r="J7566" s="3" t="s">
        <v>39172</v>
      </c>
      <c r="K7566" s="3" t="s">
        <v>39173</v>
      </c>
      <c r="L7566" s="3"/>
      <c r="M7566" s="4"/>
      <c r="N7566" s="3" t="s">
        <v>37</v>
      </c>
      <c r="O7566" s="3" t="s">
        <v>52</v>
      </c>
      <c r="P7566" s="5">
        <v>6</v>
      </c>
      <c r="Q7566" s="5">
        <v>60</v>
      </c>
      <c r="R7566" s="5">
        <v>6</v>
      </c>
      <c r="S7566" s="5">
        <v>58</v>
      </c>
    </row>
    <row r="7567" spans="1:19" ht="28" x14ac:dyDescent="0.15">
      <c r="A7567" s="2">
        <f>HYPERLINK("https://open-school.uspishnemisto.com.ua/school/460249/", 460249)</f>
        <v>460249</v>
      </c>
      <c r="B7567" s="3" t="s">
        <v>39174</v>
      </c>
      <c r="C7567" s="3" t="s">
        <v>31</v>
      </c>
      <c r="D7567" s="3" t="s">
        <v>175</v>
      </c>
      <c r="E7567" s="4" t="s">
        <v>22</v>
      </c>
      <c r="F7567" s="4" t="s">
        <v>39175</v>
      </c>
      <c r="G7567" s="4" t="s">
        <v>39176</v>
      </c>
      <c r="H7567" s="3" t="s">
        <v>38194</v>
      </c>
      <c r="I7567" s="3" t="s">
        <v>3369</v>
      </c>
      <c r="J7567" s="3"/>
      <c r="K7567" s="3" t="s">
        <v>39177</v>
      </c>
      <c r="L7567" s="3"/>
      <c r="M7567" s="4"/>
      <c r="N7567" s="3" t="s">
        <v>37</v>
      </c>
      <c r="O7567" s="3" t="s">
        <v>46</v>
      </c>
      <c r="P7567" s="5">
        <v>4</v>
      </c>
      <c r="Q7567" s="5">
        <v>35</v>
      </c>
      <c r="R7567" s="5">
        <v>4</v>
      </c>
      <c r="S7567" s="5">
        <v>40</v>
      </c>
    </row>
    <row r="7568" spans="1:19" ht="28" x14ac:dyDescent="0.15">
      <c r="A7568" s="2">
        <f>HYPERLINK("https://open-school.uspishnemisto.com.ua/school/460250/", 460250)</f>
        <v>460250</v>
      </c>
      <c r="B7568" s="3" t="s">
        <v>39178</v>
      </c>
      <c r="C7568" s="3" t="s">
        <v>31</v>
      </c>
      <c r="D7568" s="3" t="s">
        <v>175</v>
      </c>
      <c r="E7568" s="4" t="s">
        <v>22</v>
      </c>
      <c r="F7568" s="4" t="s">
        <v>39179</v>
      </c>
      <c r="G7568" s="4" t="s">
        <v>39180</v>
      </c>
      <c r="H7568" s="3" t="s">
        <v>38194</v>
      </c>
      <c r="I7568" s="3" t="s">
        <v>39181</v>
      </c>
      <c r="J7568" s="3"/>
      <c r="K7568" s="3" t="s">
        <v>39182</v>
      </c>
      <c r="L7568" s="3"/>
      <c r="M7568" s="4"/>
      <c r="N7568" s="3" t="s">
        <v>37</v>
      </c>
      <c r="O7568" s="3" t="s">
        <v>46</v>
      </c>
      <c r="P7568" s="5">
        <v>0</v>
      </c>
      <c r="Q7568" s="5">
        <v>0</v>
      </c>
      <c r="R7568" s="5">
        <v>5</v>
      </c>
      <c r="S7568" s="5">
        <v>42</v>
      </c>
    </row>
    <row r="7569" spans="1:19" ht="28" x14ac:dyDescent="0.15">
      <c r="A7569" s="2">
        <f>HYPERLINK("https://open-school.uspishnemisto.com.ua/school/460251/", 460251)</f>
        <v>460251</v>
      </c>
      <c r="B7569" s="3" t="s">
        <v>39183</v>
      </c>
      <c r="C7569" s="3" t="s">
        <v>31</v>
      </c>
      <c r="D7569" s="3" t="s">
        <v>32</v>
      </c>
      <c r="E7569" s="4" t="s">
        <v>22</v>
      </c>
      <c r="F7569" s="4" t="s">
        <v>39184</v>
      </c>
      <c r="G7569" s="4" t="s">
        <v>39185</v>
      </c>
      <c r="H7569" s="3" t="s">
        <v>38194</v>
      </c>
      <c r="I7569" s="3" t="s">
        <v>39186</v>
      </c>
      <c r="J7569" s="3" t="s">
        <v>447</v>
      </c>
      <c r="K7569" s="3" t="s">
        <v>39187</v>
      </c>
      <c r="L7569" s="3"/>
      <c r="M7569" s="4"/>
      <c r="N7569" s="3" t="s">
        <v>37</v>
      </c>
      <c r="O7569" s="3" t="s">
        <v>46</v>
      </c>
      <c r="P7569" s="5">
        <v>11</v>
      </c>
      <c r="Q7569" s="5">
        <v>178</v>
      </c>
      <c r="R7569" s="5">
        <v>11</v>
      </c>
      <c r="S7569" s="5">
        <v>177</v>
      </c>
    </row>
    <row r="7570" spans="1:19" ht="28" x14ac:dyDescent="0.15">
      <c r="A7570" s="2">
        <f>HYPERLINK("https://open-school.uspishnemisto.com.ua/school/460252/", 460252)</f>
        <v>460252</v>
      </c>
      <c r="B7570" s="3" t="s">
        <v>39188</v>
      </c>
      <c r="C7570" s="3" t="s">
        <v>31</v>
      </c>
      <c r="D7570" s="3" t="s">
        <v>60</v>
      </c>
      <c r="E7570" s="4" t="s">
        <v>22</v>
      </c>
      <c r="F7570" s="4" t="s">
        <v>39189</v>
      </c>
      <c r="G7570" s="4" t="s">
        <v>39190</v>
      </c>
      <c r="H7570" s="3" t="s">
        <v>38194</v>
      </c>
      <c r="I7570" s="3" t="s">
        <v>17799</v>
      </c>
      <c r="J7570" s="3"/>
      <c r="K7570" s="3" t="s">
        <v>39191</v>
      </c>
      <c r="L7570" s="3"/>
      <c r="M7570" s="4"/>
      <c r="N7570" s="3" t="s">
        <v>37</v>
      </c>
      <c r="O7570" s="3" t="s">
        <v>52</v>
      </c>
      <c r="P7570" s="5">
        <v>4</v>
      </c>
      <c r="Q7570" s="5">
        <v>35</v>
      </c>
      <c r="R7570" s="5">
        <v>4</v>
      </c>
      <c r="S7570" s="5">
        <v>39</v>
      </c>
    </row>
    <row r="7571" spans="1:19" ht="28" x14ac:dyDescent="0.15">
      <c r="A7571" s="2">
        <f>HYPERLINK("https://open-school.uspishnemisto.com.ua/school/460253/", 460253)</f>
        <v>460253</v>
      </c>
      <c r="B7571" s="3" t="s">
        <v>39192</v>
      </c>
      <c r="C7571" s="3" t="s">
        <v>31</v>
      </c>
      <c r="D7571" s="3" t="s">
        <v>32</v>
      </c>
      <c r="E7571" s="4" t="s">
        <v>22</v>
      </c>
      <c r="F7571" s="4" t="s">
        <v>39193</v>
      </c>
      <c r="G7571" s="4" t="s">
        <v>39194</v>
      </c>
      <c r="H7571" s="3" t="s">
        <v>38194</v>
      </c>
      <c r="I7571" s="3" t="s">
        <v>39195</v>
      </c>
      <c r="J7571" s="3" t="s">
        <v>39196</v>
      </c>
      <c r="K7571" s="3" t="s">
        <v>39197</v>
      </c>
      <c r="L7571" s="3"/>
      <c r="M7571" s="4"/>
      <c r="N7571" s="3" t="s">
        <v>37</v>
      </c>
      <c r="O7571" s="3" t="s">
        <v>46</v>
      </c>
      <c r="P7571" s="5">
        <v>11</v>
      </c>
      <c r="Q7571" s="5">
        <v>142</v>
      </c>
      <c r="R7571" s="5">
        <v>11</v>
      </c>
      <c r="S7571" s="5">
        <v>142</v>
      </c>
    </row>
    <row r="7572" spans="1:19" ht="28" x14ac:dyDescent="0.15">
      <c r="A7572" s="2">
        <f>HYPERLINK("https://open-school.uspishnemisto.com.ua/school/460254/", 460254)</f>
        <v>460254</v>
      </c>
      <c r="B7572" s="3" t="s">
        <v>39198</v>
      </c>
      <c r="C7572" s="3" t="s">
        <v>31</v>
      </c>
      <c r="D7572" s="3" t="s">
        <v>60</v>
      </c>
      <c r="E7572" s="4" t="s">
        <v>22</v>
      </c>
      <c r="F7572" s="4" t="s">
        <v>39193</v>
      </c>
      <c r="G7572" s="4" t="s">
        <v>39199</v>
      </c>
      <c r="H7572" s="3" t="s">
        <v>38194</v>
      </c>
      <c r="I7572" s="3" t="s">
        <v>39200</v>
      </c>
      <c r="J7572" s="3"/>
      <c r="K7572" s="3" t="s">
        <v>39201</v>
      </c>
      <c r="L7572" s="3"/>
      <c r="M7572" s="4"/>
      <c r="N7572" s="3" t="s">
        <v>37</v>
      </c>
      <c r="O7572" s="3" t="s">
        <v>52</v>
      </c>
      <c r="P7572" s="5">
        <v>0</v>
      </c>
      <c r="Q7572" s="5">
        <v>8</v>
      </c>
      <c r="R7572" s="5">
        <v>0</v>
      </c>
      <c r="S7572" s="5">
        <v>10</v>
      </c>
    </row>
    <row r="7573" spans="1:19" ht="56" x14ac:dyDescent="0.15">
      <c r="A7573" s="2">
        <f>HYPERLINK("https://open-school.uspishnemisto.com.ua/school/460255/", 460255)</f>
        <v>460255</v>
      </c>
      <c r="B7573" s="3" t="s">
        <v>39202</v>
      </c>
      <c r="C7573" s="3" t="s">
        <v>54</v>
      </c>
      <c r="D7573" s="3" t="s">
        <v>175</v>
      </c>
      <c r="E7573" s="4" t="s">
        <v>22</v>
      </c>
      <c r="F7573" s="4" t="s">
        <v>39203</v>
      </c>
      <c r="G7573" s="4" t="s">
        <v>39204</v>
      </c>
      <c r="H7573" s="3" t="s">
        <v>38194</v>
      </c>
      <c r="I7573" s="3" t="s">
        <v>39205</v>
      </c>
      <c r="J7573" s="3"/>
      <c r="K7573" s="3" t="s">
        <v>39206</v>
      </c>
      <c r="L7573" s="3"/>
      <c r="M7573" s="4"/>
      <c r="N7573" s="3" t="s">
        <v>37</v>
      </c>
      <c r="O7573" s="3" t="s">
        <v>46</v>
      </c>
      <c r="P7573" s="5">
        <v>6</v>
      </c>
      <c r="Q7573" s="5">
        <v>58</v>
      </c>
      <c r="R7573" s="5">
        <v>8</v>
      </c>
      <c r="S7573" s="5">
        <v>65</v>
      </c>
    </row>
    <row r="7574" spans="1:19" ht="56" x14ac:dyDescent="0.15">
      <c r="A7574" s="2">
        <f>HYPERLINK("https://open-school.uspishnemisto.com.ua/school/460256/", 460256)</f>
        <v>460256</v>
      </c>
      <c r="B7574" s="3" t="s">
        <v>39207</v>
      </c>
      <c r="C7574" s="3" t="s">
        <v>54</v>
      </c>
      <c r="D7574" s="3" t="s">
        <v>32</v>
      </c>
      <c r="E7574" s="4" t="s">
        <v>22</v>
      </c>
      <c r="F7574" s="4" t="s">
        <v>39208</v>
      </c>
      <c r="G7574" s="4" t="s">
        <v>39209</v>
      </c>
      <c r="H7574" s="3" t="s">
        <v>38194</v>
      </c>
      <c r="I7574" s="3" t="s">
        <v>39210</v>
      </c>
      <c r="J7574" s="3" t="s">
        <v>39211</v>
      </c>
      <c r="K7574" s="3" t="s">
        <v>39212</v>
      </c>
      <c r="L7574" s="3"/>
      <c r="M7574" s="4"/>
      <c r="N7574" s="3" t="s">
        <v>37</v>
      </c>
      <c r="O7574" s="3" t="s">
        <v>46</v>
      </c>
      <c r="P7574" s="5">
        <v>9</v>
      </c>
      <c r="Q7574" s="5">
        <v>101</v>
      </c>
      <c r="R7574" s="5">
        <v>9</v>
      </c>
      <c r="S7574" s="5">
        <v>102</v>
      </c>
    </row>
    <row r="7575" spans="1:19" ht="28" x14ac:dyDescent="0.15">
      <c r="A7575" s="2">
        <f>HYPERLINK("https://open-school.uspishnemisto.com.ua/school/460258/", 460258)</f>
        <v>460258</v>
      </c>
      <c r="B7575" s="3" t="s">
        <v>39213</v>
      </c>
      <c r="C7575" s="3" t="s">
        <v>31</v>
      </c>
      <c r="D7575" s="3" t="s">
        <v>60</v>
      </c>
      <c r="E7575" s="4" t="s">
        <v>22</v>
      </c>
      <c r="F7575" s="4" t="s">
        <v>39208</v>
      </c>
      <c r="G7575" s="4" t="s">
        <v>39214</v>
      </c>
      <c r="H7575" s="3" t="s">
        <v>38194</v>
      </c>
      <c r="I7575" s="3" t="s">
        <v>39215</v>
      </c>
      <c r="J7575" s="3"/>
      <c r="K7575" s="3" t="s">
        <v>39216</v>
      </c>
      <c r="L7575" s="3"/>
      <c r="M7575" s="4"/>
      <c r="N7575" s="3" t="s">
        <v>37</v>
      </c>
      <c r="O7575" s="3" t="s">
        <v>52</v>
      </c>
      <c r="P7575" s="5">
        <v>1</v>
      </c>
      <c r="Q7575" s="5">
        <v>18</v>
      </c>
      <c r="R7575" s="5">
        <v>0</v>
      </c>
      <c r="S7575" s="5">
        <v>11</v>
      </c>
    </row>
    <row r="7576" spans="1:19" ht="56" x14ac:dyDescent="0.15">
      <c r="A7576" s="2">
        <f>HYPERLINK("https://open-school.uspishnemisto.com.ua/school/460259/", 460259)</f>
        <v>460259</v>
      </c>
      <c r="B7576" s="3" t="s">
        <v>39217</v>
      </c>
      <c r="C7576" s="3" t="s">
        <v>54</v>
      </c>
      <c r="D7576" s="3" t="s">
        <v>175</v>
      </c>
      <c r="E7576" s="4" t="s">
        <v>22</v>
      </c>
      <c r="F7576" s="4" t="s">
        <v>39218</v>
      </c>
      <c r="G7576" s="4" t="s">
        <v>39219</v>
      </c>
      <c r="H7576" s="3" t="s">
        <v>38194</v>
      </c>
      <c r="I7576" s="3" t="s">
        <v>33387</v>
      </c>
      <c r="J7576" s="3"/>
      <c r="K7576" s="3" t="s">
        <v>39220</v>
      </c>
      <c r="L7576" s="3"/>
      <c r="M7576" s="4"/>
      <c r="N7576" s="3" t="s">
        <v>37</v>
      </c>
      <c r="O7576" s="3" t="s">
        <v>2740</v>
      </c>
      <c r="P7576" s="5">
        <v>7</v>
      </c>
      <c r="Q7576" s="5">
        <v>54</v>
      </c>
      <c r="R7576" s="5">
        <v>7</v>
      </c>
      <c r="S7576" s="5">
        <v>46</v>
      </c>
    </row>
    <row r="7577" spans="1:19" ht="28" x14ac:dyDescent="0.15">
      <c r="A7577" s="2">
        <f>HYPERLINK("https://open-school.uspishnemisto.com.ua/school/460260/", 460260)</f>
        <v>460260</v>
      </c>
      <c r="B7577" s="3" t="s">
        <v>39221</v>
      </c>
      <c r="C7577" s="3" t="s">
        <v>31</v>
      </c>
      <c r="D7577" s="3" t="s">
        <v>32</v>
      </c>
      <c r="E7577" s="4" t="s">
        <v>22</v>
      </c>
      <c r="F7577" s="4" t="s">
        <v>39222</v>
      </c>
      <c r="G7577" s="4" t="s">
        <v>39223</v>
      </c>
      <c r="H7577" s="3" t="s">
        <v>38194</v>
      </c>
      <c r="I7577" s="3" t="s">
        <v>39224</v>
      </c>
      <c r="J7577" s="3" t="s">
        <v>952</v>
      </c>
      <c r="K7577" s="3" t="s">
        <v>39225</v>
      </c>
      <c r="L7577" s="3"/>
      <c r="M7577" s="4"/>
      <c r="N7577" s="3" t="s">
        <v>37</v>
      </c>
      <c r="O7577" s="3" t="s">
        <v>46</v>
      </c>
      <c r="P7577" s="5">
        <v>10</v>
      </c>
      <c r="Q7577" s="5">
        <v>100</v>
      </c>
      <c r="R7577" s="5">
        <v>10</v>
      </c>
      <c r="S7577" s="5">
        <v>103</v>
      </c>
    </row>
    <row r="7578" spans="1:19" ht="56" x14ac:dyDescent="0.15">
      <c r="A7578" s="2">
        <f>HYPERLINK("https://open-school.uspishnemisto.com.ua/school/460261/", 460261)</f>
        <v>460261</v>
      </c>
      <c r="B7578" s="3" t="s">
        <v>39226</v>
      </c>
      <c r="C7578" s="3" t="s">
        <v>54</v>
      </c>
      <c r="D7578" s="3" t="s">
        <v>175</v>
      </c>
      <c r="E7578" s="4" t="s">
        <v>22</v>
      </c>
      <c r="F7578" s="4" t="s">
        <v>39227</v>
      </c>
      <c r="G7578" s="4" t="s">
        <v>39228</v>
      </c>
      <c r="H7578" s="3" t="s">
        <v>38194</v>
      </c>
      <c r="I7578" s="3" t="s">
        <v>6792</v>
      </c>
      <c r="J7578" s="3"/>
      <c r="K7578" s="3" t="s">
        <v>39229</v>
      </c>
      <c r="L7578" s="3"/>
      <c r="M7578" s="4"/>
      <c r="N7578" s="3" t="s">
        <v>37</v>
      </c>
      <c r="O7578" s="3" t="s">
        <v>46</v>
      </c>
      <c r="P7578" s="5">
        <v>5</v>
      </c>
      <c r="Q7578" s="5">
        <v>39</v>
      </c>
      <c r="R7578" s="5">
        <v>5</v>
      </c>
      <c r="S7578" s="5">
        <v>39</v>
      </c>
    </row>
    <row r="7579" spans="1:19" ht="28" x14ac:dyDescent="0.15">
      <c r="A7579" s="2">
        <f>HYPERLINK("https://open-school.uspishnemisto.com.ua/school/460262/", 460262)</f>
        <v>460262</v>
      </c>
      <c r="B7579" s="3" t="s">
        <v>39230</v>
      </c>
      <c r="C7579" s="3" t="s">
        <v>31</v>
      </c>
      <c r="D7579" s="3" t="s">
        <v>60</v>
      </c>
      <c r="E7579" s="4" t="s">
        <v>22</v>
      </c>
      <c r="F7579" s="4" t="s">
        <v>39222</v>
      </c>
      <c r="G7579" s="4" t="s">
        <v>39231</v>
      </c>
      <c r="H7579" s="3" t="s">
        <v>38194</v>
      </c>
      <c r="I7579" s="3" t="s">
        <v>7865</v>
      </c>
      <c r="J7579" s="3"/>
      <c r="K7579" s="3" t="s">
        <v>39232</v>
      </c>
      <c r="L7579" s="3"/>
      <c r="M7579" s="4"/>
      <c r="N7579" s="3" t="s">
        <v>37</v>
      </c>
      <c r="O7579" s="3" t="s">
        <v>52</v>
      </c>
      <c r="P7579" s="5">
        <v>3</v>
      </c>
      <c r="Q7579" s="5">
        <v>21</v>
      </c>
      <c r="R7579" s="5">
        <v>2</v>
      </c>
      <c r="S7579" s="5">
        <v>19</v>
      </c>
    </row>
    <row r="7580" spans="1:19" ht="28" x14ac:dyDescent="0.15">
      <c r="A7580" s="2">
        <f>HYPERLINK("https://open-school.uspishnemisto.com.ua/school/460263/", 460263)</f>
        <v>460263</v>
      </c>
      <c r="B7580" s="3" t="s">
        <v>39233</v>
      </c>
      <c r="C7580" s="3" t="s">
        <v>31</v>
      </c>
      <c r="D7580" s="3" t="s">
        <v>32</v>
      </c>
      <c r="E7580" s="4" t="s">
        <v>22</v>
      </c>
      <c r="F7580" s="4" t="s">
        <v>39234</v>
      </c>
      <c r="G7580" s="4" t="s">
        <v>39235</v>
      </c>
      <c r="H7580" s="3" t="s">
        <v>38194</v>
      </c>
      <c r="I7580" s="3" t="s">
        <v>39236</v>
      </c>
      <c r="J7580" s="3" t="s">
        <v>39237</v>
      </c>
      <c r="K7580" s="3" t="s">
        <v>39238</v>
      </c>
      <c r="L7580" s="3"/>
      <c r="M7580" s="4"/>
      <c r="N7580" s="3" t="s">
        <v>37</v>
      </c>
      <c r="O7580" s="3" t="s">
        <v>52</v>
      </c>
      <c r="P7580" s="5">
        <v>11</v>
      </c>
      <c r="Q7580" s="5">
        <v>226</v>
      </c>
      <c r="R7580" s="5">
        <v>11</v>
      </c>
      <c r="S7580" s="5">
        <v>212</v>
      </c>
    </row>
    <row r="7581" spans="1:19" ht="56" x14ac:dyDescent="0.15">
      <c r="A7581" s="2">
        <f>HYPERLINK("https://open-school.uspishnemisto.com.ua/school/460264/", 460264)</f>
        <v>460264</v>
      </c>
      <c r="B7581" s="3" t="s">
        <v>39239</v>
      </c>
      <c r="C7581" s="3" t="s">
        <v>54</v>
      </c>
      <c r="D7581" s="3" t="s">
        <v>175</v>
      </c>
      <c r="E7581" s="4" t="s">
        <v>22</v>
      </c>
      <c r="F7581" s="4" t="s">
        <v>39240</v>
      </c>
      <c r="G7581" s="4" t="s">
        <v>39241</v>
      </c>
      <c r="H7581" s="3" t="s">
        <v>38194</v>
      </c>
      <c r="I7581" s="3" t="s">
        <v>39242</v>
      </c>
      <c r="J7581" s="3"/>
      <c r="K7581" s="3" t="s">
        <v>39243</v>
      </c>
      <c r="L7581" s="3"/>
      <c r="M7581" s="4"/>
      <c r="N7581" s="3" t="s">
        <v>37</v>
      </c>
      <c r="O7581" s="3" t="s">
        <v>46</v>
      </c>
      <c r="P7581" s="5">
        <v>8</v>
      </c>
      <c r="Q7581" s="5">
        <v>56</v>
      </c>
      <c r="R7581" s="5">
        <v>7</v>
      </c>
      <c r="S7581" s="5">
        <v>52</v>
      </c>
    </row>
    <row r="7582" spans="1:19" ht="28" x14ac:dyDescent="0.15">
      <c r="A7582" s="2">
        <f>HYPERLINK("https://open-school.uspishnemisto.com.ua/school/460265/", 460265)</f>
        <v>460265</v>
      </c>
      <c r="B7582" s="3" t="s">
        <v>39244</v>
      </c>
      <c r="C7582" s="3" t="s">
        <v>31</v>
      </c>
      <c r="D7582" s="3" t="s">
        <v>60</v>
      </c>
      <c r="E7582" s="4" t="s">
        <v>22</v>
      </c>
      <c r="F7582" s="4" t="s">
        <v>39245</v>
      </c>
      <c r="G7582" s="4" t="s">
        <v>39246</v>
      </c>
      <c r="H7582" s="3" t="s">
        <v>38194</v>
      </c>
      <c r="I7582" s="3" t="s">
        <v>5123</v>
      </c>
      <c r="J7582" s="3"/>
      <c r="K7582" s="3" t="s">
        <v>39247</v>
      </c>
      <c r="L7582" s="3"/>
      <c r="M7582" s="4"/>
      <c r="N7582" s="3" t="s">
        <v>37</v>
      </c>
      <c r="O7582" s="3" t="s">
        <v>52</v>
      </c>
      <c r="P7582" s="5">
        <v>1</v>
      </c>
      <c r="Q7582" s="5">
        <v>16</v>
      </c>
      <c r="R7582" s="5">
        <v>2</v>
      </c>
      <c r="S7582" s="5">
        <v>20</v>
      </c>
    </row>
    <row r="7583" spans="1:19" ht="28" x14ac:dyDescent="0.15">
      <c r="A7583" s="2">
        <f>HYPERLINK("https://open-school.uspishnemisto.com.ua/school/460266/", 460266)</f>
        <v>460266</v>
      </c>
      <c r="B7583" s="3" t="s">
        <v>39248</v>
      </c>
      <c r="C7583" s="3" t="s">
        <v>31</v>
      </c>
      <c r="D7583" s="3" t="s">
        <v>175</v>
      </c>
      <c r="E7583" s="4" t="s">
        <v>22</v>
      </c>
      <c r="F7583" s="4" t="s">
        <v>39249</v>
      </c>
      <c r="G7583" s="4" t="s">
        <v>39250</v>
      </c>
      <c r="H7583" s="3" t="s">
        <v>38194</v>
      </c>
      <c r="I7583" s="3" t="s">
        <v>553</v>
      </c>
      <c r="J7583" s="3"/>
      <c r="K7583" s="3" t="s">
        <v>39251</v>
      </c>
      <c r="L7583" s="3"/>
      <c r="M7583" s="4"/>
      <c r="N7583" s="3" t="s">
        <v>37</v>
      </c>
      <c r="O7583" s="3" t="s">
        <v>46</v>
      </c>
      <c r="P7583" s="5">
        <v>8</v>
      </c>
      <c r="Q7583" s="5">
        <v>76</v>
      </c>
      <c r="R7583" s="5">
        <v>9</v>
      </c>
      <c r="S7583" s="5">
        <v>78</v>
      </c>
    </row>
    <row r="7584" spans="1:19" ht="42" x14ac:dyDescent="0.15">
      <c r="A7584" s="2">
        <f>HYPERLINK("https://open-school.uspishnemisto.com.ua/school/460267/", 460267)</f>
        <v>460267</v>
      </c>
      <c r="B7584" s="3" t="s">
        <v>39252</v>
      </c>
      <c r="C7584" s="3" t="s">
        <v>54</v>
      </c>
      <c r="D7584" s="3" t="s">
        <v>175</v>
      </c>
      <c r="E7584" s="4" t="s">
        <v>22</v>
      </c>
      <c r="F7584" s="4" t="s">
        <v>39253</v>
      </c>
      <c r="G7584" s="4" t="s">
        <v>39254</v>
      </c>
      <c r="H7584" s="3" t="s">
        <v>38194</v>
      </c>
      <c r="I7584" s="3" t="s">
        <v>39255</v>
      </c>
      <c r="J7584" s="3"/>
      <c r="K7584" s="3" t="s">
        <v>39256</v>
      </c>
      <c r="L7584" s="3"/>
      <c r="M7584" s="4"/>
      <c r="N7584" s="3" t="s">
        <v>37</v>
      </c>
      <c r="O7584" s="3" t="s">
        <v>46</v>
      </c>
      <c r="P7584" s="5">
        <v>9</v>
      </c>
      <c r="Q7584" s="5">
        <v>76</v>
      </c>
      <c r="R7584" s="5">
        <v>9</v>
      </c>
      <c r="S7584" s="5">
        <v>80</v>
      </c>
    </row>
    <row r="7585" spans="1:19" ht="56" x14ac:dyDescent="0.15">
      <c r="A7585" s="2">
        <f>HYPERLINK("https://open-school.uspishnemisto.com.ua/school/460269/", 460269)</f>
        <v>460269</v>
      </c>
      <c r="B7585" s="3" t="s">
        <v>39257</v>
      </c>
      <c r="C7585" s="3" t="s">
        <v>54</v>
      </c>
      <c r="D7585" s="3" t="s">
        <v>175</v>
      </c>
      <c r="E7585" s="4" t="s">
        <v>22</v>
      </c>
      <c r="F7585" s="4" t="s">
        <v>39258</v>
      </c>
      <c r="G7585" s="4" t="s">
        <v>39259</v>
      </c>
      <c r="H7585" s="3" t="s">
        <v>38194</v>
      </c>
      <c r="I7585" s="3" t="s">
        <v>1427</v>
      </c>
      <c r="J7585" s="3"/>
      <c r="K7585" s="3" t="s">
        <v>39260</v>
      </c>
      <c r="L7585" s="3"/>
      <c r="M7585" s="4"/>
      <c r="N7585" s="3" t="s">
        <v>37</v>
      </c>
      <c r="O7585" s="3" t="s">
        <v>46</v>
      </c>
      <c r="P7585" s="5">
        <v>9</v>
      </c>
      <c r="Q7585" s="5">
        <v>72</v>
      </c>
      <c r="R7585" s="5">
        <v>9</v>
      </c>
      <c r="S7585" s="5">
        <v>64</v>
      </c>
    </row>
    <row r="7586" spans="1:19" ht="28" x14ac:dyDescent="0.15">
      <c r="A7586" s="2">
        <f>HYPERLINK("https://open-school.uspishnemisto.com.ua/school/460270/", 460270)</f>
        <v>460270</v>
      </c>
      <c r="B7586" s="3" t="s">
        <v>39261</v>
      </c>
      <c r="C7586" s="3" t="s">
        <v>31</v>
      </c>
      <c r="D7586" s="3" t="s">
        <v>32</v>
      </c>
      <c r="E7586" s="4" t="s">
        <v>22</v>
      </c>
      <c r="F7586" s="4" t="s">
        <v>39262</v>
      </c>
      <c r="G7586" s="4" t="s">
        <v>39263</v>
      </c>
      <c r="H7586" s="3" t="s">
        <v>38194</v>
      </c>
      <c r="I7586" s="3" t="s">
        <v>17292</v>
      </c>
      <c r="J7586" s="3" t="s">
        <v>39264</v>
      </c>
      <c r="K7586" s="3" t="s">
        <v>39265</v>
      </c>
      <c r="L7586" s="3"/>
      <c r="M7586" s="4"/>
      <c r="N7586" s="3" t="s">
        <v>37</v>
      </c>
      <c r="O7586" s="3" t="s">
        <v>46</v>
      </c>
      <c r="P7586" s="5">
        <v>11</v>
      </c>
      <c r="Q7586" s="5">
        <v>181</v>
      </c>
      <c r="R7586" s="5">
        <v>11</v>
      </c>
      <c r="S7586" s="5">
        <v>168</v>
      </c>
    </row>
    <row r="7587" spans="1:19" ht="28" x14ac:dyDescent="0.15">
      <c r="A7587" s="2">
        <f>HYPERLINK("https://open-school.uspishnemisto.com.ua/school/460271/", 460271)</f>
        <v>460271</v>
      </c>
      <c r="B7587" s="3" t="s">
        <v>39266</v>
      </c>
      <c r="C7587" s="3" t="s">
        <v>31</v>
      </c>
      <c r="D7587" s="3" t="s">
        <v>60</v>
      </c>
      <c r="E7587" s="4" t="s">
        <v>22</v>
      </c>
      <c r="F7587" s="4" t="s">
        <v>39262</v>
      </c>
      <c r="G7587" s="4" t="s">
        <v>39267</v>
      </c>
      <c r="H7587" s="3" t="s">
        <v>38194</v>
      </c>
      <c r="I7587" s="3" t="s">
        <v>39268</v>
      </c>
      <c r="J7587" s="3"/>
      <c r="K7587" s="3" t="s">
        <v>39269</v>
      </c>
      <c r="L7587" s="3"/>
      <c r="M7587" s="4"/>
      <c r="N7587" s="3" t="s">
        <v>37</v>
      </c>
      <c r="O7587" s="3" t="s">
        <v>52</v>
      </c>
      <c r="P7587" s="5">
        <v>0</v>
      </c>
      <c r="Q7587" s="5">
        <v>9</v>
      </c>
      <c r="R7587" s="5">
        <v>0</v>
      </c>
      <c r="S7587" s="5">
        <v>8</v>
      </c>
    </row>
    <row r="7588" spans="1:19" ht="56" x14ac:dyDescent="0.15">
      <c r="A7588" s="2">
        <f>HYPERLINK("https://open-school.uspishnemisto.com.ua/school/460272/", 460272)</f>
        <v>460272</v>
      </c>
      <c r="B7588" s="3" t="s">
        <v>39270</v>
      </c>
      <c r="C7588" s="3" t="s">
        <v>54</v>
      </c>
      <c r="D7588" s="3" t="s">
        <v>175</v>
      </c>
      <c r="E7588" s="4" t="s">
        <v>22</v>
      </c>
      <c r="F7588" s="4" t="s">
        <v>39271</v>
      </c>
      <c r="G7588" s="4" t="s">
        <v>39272</v>
      </c>
      <c r="H7588" s="3" t="s">
        <v>38194</v>
      </c>
      <c r="I7588" s="3" t="s">
        <v>39273</v>
      </c>
      <c r="J7588" s="3"/>
      <c r="K7588" s="3" t="s">
        <v>39274</v>
      </c>
      <c r="L7588" s="3"/>
      <c r="M7588" s="4"/>
      <c r="N7588" s="3" t="s">
        <v>37</v>
      </c>
      <c r="O7588" s="3" t="s">
        <v>46</v>
      </c>
      <c r="P7588" s="5">
        <v>7</v>
      </c>
      <c r="Q7588" s="5">
        <v>64</v>
      </c>
      <c r="R7588" s="5">
        <v>7</v>
      </c>
      <c r="S7588" s="5">
        <v>64</v>
      </c>
    </row>
    <row r="7589" spans="1:19" ht="28" x14ac:dyDescent="0.15">
      <c r="A7589" s="2">
        <f>HYPERLINK("https://open-school.uspishnemisto.com.ua/school/460273/", 460273)</f>
        <v>460273</v>
      </c>
      <c r="B7589" s="3" t="s">
        <v>39275</v>
      </c>
      <c r="C7589" s="3" t="s">
        <v>31</v>
      </c>
      <c r="D7589" s="3" t="s">
        <v>32</v>
      </c>
      <c r="E7589" s="4" t="s">
        <v>22</v>
      </c>
      <c r="F7589" s="4" t="s">
        <v>39276</v>
      </c>
      <c r="G7589" s="4" t="s">
        <v>39277</v>
      </c>
      <c r="H7589" s="3" t="s">
        <v>38194</v>
      </c>
      <c r="I7589" s="3" t="s">
        <v>39278</v>
      </c>
      <c r="J7589" s="3" t="s">
        <v>2555</v>
      </c>
      <c r="K7589" s="3" t="s">
        <v>39279</v>
      </c>
      <c r="L7589" s="3"/>
      <c r="M7589" s="4"/>
      <c r="N7589" s="3" t="s">
        <v>37</v>
      </c>
      <c r="O7589" s="3" t="s">
        <v>46</v>
      </c>
      <c r="P7589" s="5">
        <v>7</v>
      </c>
      <c r="Q7589" s="5">
        <v>72</v>
      </c>
      <c r="R7589" s="5">
        <v>7</v>
      </c>
      <c r="S7589" s="5">
        <v>76</v>
      </c>
    </row>
    <row r="7590" spans="1:19" ht="56" x14ac:dyDescent="0.15">
      <c r="A7590" s="2">
        <f>HYPERLINK("https://open-school.uspishnemisto.com.ua/school/460274/", 460274)</f>
        <v>460274</v>
      </c>
      <c r="B7590" s="3" t="s">
        <v>39280</v>
      </c>
      <c r="C7590" s="3" t="s">
        <v>54</v>
      </c>
      <c r="D7590" s="3" t="s">
        <v>175</v>
      </c>
      <c r="E7590" s="4" t="s">
        <v>22</v>
      </c>
      <c r="F7590" s="4" t="s">
        <v>39281</v>
      </c>
      <c r="G7590" s="4" t="s">
        <v>39282</v>
      </c>
      <c r="H7590" s="3" t="s">
        <v>38194</v>
      </c>
      <c r="I7590" s="3" t="s">
        <v>39283</v>
      </c>
      <c r="J7590" s="3" t="s">
        <v>1192</v>
      </c>
      <c r="K7590" s="3" t="s">
        <v>39284</v>
      </c>
      <c r="L7590" s="3"/>
      <c r="M7590" s="4"/>
      <c r="N7590" s="3" t="s">
        <v>37</v>
      </c>
      <c r="O7590" s="3" t="s">
        <v>46</v>
      </c>
      <c r="P7590" s="5">
        <v>7</v>
      </c>
      <c r="Q7590" s="5">
        <v>49</v>
      </c>
      <c r="R7590" s="5">
        <v>7</v>
      </c>
      <c r="S7590" s="5">
        <v>50</v>
      </c>
    </row>
    <row r="7591" spans="1:19" ht="28" x14ac:dyDescent="0.15">
      <c r="A7591" s="2">
        <f>HYPERLINK("https://open-school.uspishnemisto.com.ua/school/460275/", 460275)</f>
        <v>460275</v>
      </c>
      <c r="B7591" s="3" t="s">
        <v>39285</v>
      </c>
      <c r="C7591" s="3" t="s">
        <v>31</v>
      </c>
      <c r="D7591" s="3" t="s">
        <v>60</v>
      </c>
      <c r="E7591" s="4" t="s">
        <v>22</v>
      </c>
      <c r="F7591" s="4" t="s">
        <v>39281</v>
      </c>
      <c r="G7591" s="4" t="s">
        <v>39286</v>
      </c>
      <c r="H7591" s="3" t="s">
        <v>38194</v>
      </c>
      <c r="I7591" s="3" t="s">
        <v>39287</v>
      </c>
      <c r="J7591" s="3"/>
      <c r="K7591" s="3" t="s">
        <v>39288</v>
      </c>
      <c r="L7591" s="3"/>
      <c r="M7591" s="4"/>
      <c r="N7591" s="3" t="s">
        <v>37</v>
      </c>
      <c r="O7591" s="3" t="s">
        <v>52</v>
      </c>
      <c r="P7591" s="5">
        <v>0</v>
      </c>
      <c r="Q7591" s="5">
        <v>12</v>
      </c>
      <c r="R7591" s="5">
        <v>1</v>
      </c>
      <c r="S7591" s="5">
        <v>11</v>
      </c>
    </row>
    <row r="7592" spans="1:19" ht="28" x14ac:dyDescent="0.15">
      <c r="A7592" s="2">
        <f>HYPERLINK("https://open-school.uspishnemisto.com.ua/school/460276/", 460276)</f>
        <v>460276</v>
      </c>
      <c r="B7592" s="3" t="s">
        <v>39289</v>
      </c>
      <c r="C7592" s="3" t="s">
        <v>31</v>
      </c>
      <c r="D7592" s="3" t="s">
        <v>60</v>
      </c>
      <c r="E7592" s="4" t="s">
        <v>22</v>
      </c>
      <c r="F7592" s="4" t="s">
        <v>39290</v>
      </c>
      <c r="G7592" s="4" t="s">
        <v>39291</v>
      </c>
      <c r="H7592" s="3" t="s">
        <v>38194</v>
      </c>
      <c r="I7592" s="3" t="s">
        <v>39292</v>
      </c>
      <c r="J7592" s="3"/>
      <c r="K7592" s="3" t="s">
        <v>39293</v>
      </c>
      <c r="L7592" s="3"/>
      <c r="M7592" s="4"/>
      <c r="N7592" s="3" t="s">
        <v>37</v>
      </c>
      <c r="O7592" s="3" t="s">
        <v>52</v>
      </c>
      <c r="P7592" s="5">
        <v>0</v>
      </c>
      <c r="Q7592" s="5">
        <v>5</v>
      </c>
      <c r="R7592" s="5">
        <v>0</v>
      </c>
      <c r="S7592" s="5">
        <v>8</v>
      </c>
    </row>
    <row r="7593" spans="1:19" ht="28" x14ac:dyDescent="0.15">
      <c r="A7593" s="2">
        <f>HYPERLINK("https://open-school.uspishnemisto.com.ua/school/460277/", 460277)</f>
        <v>460277</v>
      </c>
      <c r="B7593" s="3" t="s">
        <v>39294</v>
      </c>
      <c r="C7593" s="3" t="s">
        <v>31</v>
      </c>
      <c r="D7593" s="3" t="s">
        <v>175</v>
      </c>
      <c r="E7593" s="4" t="s">
        <v>22</v>
      </c>
      <c r="F7593" s="4" t="s">
        <v>39295</v>
      </c>
      <c r="G7593" s="4" t="s">
        <v>39296</v>
      </c>
      <c r="H7593" s="3" t="s">
        <v>38194</v>
      </c>
      <c r="I7593" s="3" t="s">
        <v>39297</v>
      </c>
      <c r="J7593" s="3"/>
      <c r="K7593" s="3" t="s">
        <v>39298</v>
      </c>
      <c r="L7593" s="3"/>
      <c r="M7593" s="4"/>
      <c r="N7593" s="3" t="s">
        <v>37</v>
      </c>
      <c r="O7593" s="3" t="s">
        <v>46</v>
      </c>
      <c r="P7593" s="5">
        <v>8</v>
      </c>
      <c r="Q7593" s="5">
        <v>86</v>
      </c>
      <c r="R7593" s="5">
        <v>8</v>
      </c>
      <c r="S7593" s="5">
        <v>80</v>
      </c>
    </row>
    <row r="7594" spans="1:19" ht="28" x14ac:dyDescent="0.15">
      <c r="A7594" s="2">
        <f>HYPERLINK("https://open-school.uspishnemisto.com.ua/school/460278/", 460278)</f>
        <v>460278</v>
      </c>
      <c r="B7594" s="3" t="s">
        <v>39299</v>
      </c>
      <c r="C7594" s="3" t="s">
        <v>31</v>
      </c>
      <c r="D7594" s="3" t="s">
        <v>32</v>
      </c>
      <c r="E7594" s="4" t="s">
        <v>22</v>
      </c>
      <c r="F7594" s="4" t="s">
        <v>39300</v>
      </c>
      <c r="G7594" s="4" t="s">
        <v>39301</v>
      </c>
      <c r="H7594" s="3" t="s">
        <v>38194</v>
      </c>
      <c r="I7594" s="3" t="s">
        <v>39302</v>
      </c>
      <c r="J7594" s="3" t="s">
        <v>1792</v>
      </c>
      <c r="K7594" s="3" t="s">
        <v>39303</v>
      </c>
      <c r="L7594" s="3"/>
      <c r="M7594" s="4"/>
      <c r="N7594" s="3" t="s">
        <v>37</v>
      </c>
      <c r="O7594" s="3" t="s">
        <v>46</v>
      </c>
      <c r="P7594" s="5">
        <v>12</v>
      </c>
      <c r="Q7594" s="5">
        <v>181</v>
      </c>
      <c r="R7594" s="5">
        <v>12</v>
      </c>
      <c r="S7594" s="5">
        <v>178</v>
      </c>
    </row>
    <row r="7595" spans="1:19" ht="28" x14ac:dyDescent="0.15">
      <c r="A7595" s="2">
        <f>HYPERLINK("https://open-school.uspishnemisto.com.ua/school/460279/", 460279)</f>
        <v>460279</v>
      </c>
      <c r="B7595" s="3" t="s">
        <v>39304</v>
      </c>
      <c r="C7595" s="3" t="s">
        <v>31</v>
      </c>
      <c r="D7595" s="3" t="s">
        <v>32</v>
      </c>
      <c r="E7595" s="4" t="s">
        <v>22</v>
      </c>
      <c r="F7595" s="4" t="s">
        <v>39305</v>
      </c>
      <c r="G7595" s="4" t="s">
        <v>39306</v>
      </c>
      <c r="H7595" s="3" t="s">
        <v>38194</v>
      </c>
      <c r="I7595" s="3" t="s">
        <v>39307</v>
      </c>
      <c r="J7595" s="3" t="s">
        <v>39308</v>
      </c>
      <c r="K7595" s="3" t="s">
        <v>39309</v>
      </c>
      <c r="L7595" s="3"/>
      <c r="M7595" s="4"/>
      <c r="N7595" s="3" t="s">
        <v>37</v>
      </c>
      <c r="O7595" s="3" t="s">
        <v>2740</v>
      </c>
      <c r="P7595" s="5">
        <v>11</v>
      </c>
      <c r="Q7595" s="5">
        <v>210</v>
      </c>
      <c r="R7595" s="5">
        <v>11</v>
      </c>
      <c r="S7595" s="5">
        <v>233</v>
      </c>
    </row>
    <row r="7596" spans="1:19" ht="56" x14ac:dyDescent="0.15">
      <c r="A7596" s="2">
        <f>HYPERLINK("https://open-school.uspishnemisto.com.ua/school/460280/", 460280)</f>
        <v>460280</v>
      </c>
      <c r="B7596" s="3" t="s">
        <v>39310</v>
      </c>
      <c r="C7596" s="3" t="s">
        <v>54</v>
      </c>
      <c r="D7596" s="3" t="s">
        <v>175</v>
      </c>
      <c r="E7596" s="4" t="s">
        <v>22</v>
      </c>
      <c r="F7596" s="4" t="s">
        <v>39305</v>
      </c>
      <c r="G7596" s="4" t="s">
        <v>39311</v>
      </c>
      <c r="H7596" s="3" t="s">
        <v>38194</v>
      </c>
      <c r="I7596" s="3" t="s">
        <v>39312</v>
      </c>
      <c r="J7596" s="3"/>
      <c r="K7596" s="3" t="s">
        <v>39313</v>
      </c>
      <c r="L7596" s="3"/>
      <c r="M7596" s="4"/>
      <c r="N7596" s="3" t="s">
        <v>37</v>
      </c>
      <c r="O7596" s="3" t="s">
        <v>52</v>
      </c>
      <c r="P7596" s="5">
        <v>7</v>
      </c>
      <c r="Q7596" s="5">
        <v>74</v>
      </c>
      <c r="R7596" s="5">
        <v>8</v>
      </c>
      <c r="S7596" s="5">
        <v>78</v>
      </c>
    </row>
    <row r="7597" spans="1:19" ht="28" x14ac:dyDescent="0.15">
      <c r="A7597" s="2">
        <f>HYPERLINK("https://open-school.uspishnemisto.com.ua/school/460281/", 460281)</f>
        <v>460281</v>
      </c>
      <c r="B7597" s="3" t="s">
        <v>39314</v>
      </c>
      <c r="C7597" s="3" t="s">
        <v>31</v>
      </c>
      <c r="D7597" s="3" t="s">
        <v>60</v>
      </c>
      <c r="E7597" s="4" t="s">
        <v>22</v>
      </c>
      <c r="F7597" s="4" t="s">
        <v>39305</v>
      </c>
      <c r="G7597" s="4" t="s">
        <v>39315</v>
      </c>
      <c r="H7597" s="3" t="s">
        <v>38194</v>
      </c>
      <c r="I7597" s="3" t="s">
        <v>39316</v>
      </c>
      <c r="J7597" s="3"/>
      <c r="K7597" s="3" t="s">
        <v>39317</v>
      </c>
      <c r="L7597" s="3"/>
      <c r="M7597" s="4"/>
      <c r="N7597" s="3" t="s">
        <v>37</v>
      </c>
      <c r="O7597" s="3" t="s">
        <v>52</v>
      </c>
      <c r="P7597" s="5">
        <v>2</v>
      </c>
      <c r="Q7597" s="5">
        <v>16</v>
      </c>
      <c r="R7597" s="5">
        <v>1</v>
      </c>
      <c r="S7597" s="5">
        <v>11</v>
      </c>
    </row>
    <row r="7598" spans="1:19" ht="28" x14ac:dyDescent="0.15">
      <c r="A7598" s="2">
        <f>HYPERLINK("https://open-school.uspishnemisto.com.ua/school/460282/", 460282)</f>
        <v>460282</v>
      </c>
      <c r="B7598" s="3" t="s">
        <v>39318</v>
      </c>
      <c r="C7598" s="3" t="s">
        <v>31</v>
      </c>
      <c r="D7598" s="3" t="s">
        <v>175</v>
      </c>
      <c r="E7598" s="4" t="s">
        <v>22</v>
      </c>
      <c r="F7598" s="4" t="s">
        <v>39319</v>
      </c>
      <c r="G7598" s="4" t="s">
        <v>39320</v>
      </c>
      <c r="H7598" s="3" t="s">
        <v>38194</v>
      </c>
      <c r="I7598" s="3" t="s">
        <v>39321</v>
      </c>
      <c r="J7598" s="3"/>
      <c r="K7598" s="3" t="s">
        <v>39322</v>
      </c>
      <c r="L7598" s="3"/>
      <c r="M7598" s="4"/>
      <c r="N7598" s="3" t="s">
        <v>37</v>
      </c>
      <c r="O7598" s="3" t="s">
        <v>52</v>
      </c>
      <c r="P7598" s="5">
        <v>7</v>
      </c>
      <c r="Q7598" s="5">
        <v>55</v>
      </c>
      <c r="R7598" s="5">
        <v>6</v>
      </c>
      <c r="S7598" s="5">
        <v>50</v>
      </c>
    </row>
    <row r="7599" spans="1:19" ht="28" x14ac:dyDescent="0.15">
      <c r="A7599" s="2">
        <f>HYPERLINK("https://open-school.uspishnemisto.com.ua/school/460283/", 460283)</f>
        <v>460283</v>
      </c>
      <c r="B7599" s="3" t="s">
        <v>39323</v>
      </c>
      <c r="C7599" s="3" t="s">
        <v>31</v>
      </c>
      <c r="D7599" s="3" t="s">
        <v>32</v>
      </c>
      <c r="E7599" s="4" t="s">
        <v>22</v>
      </c>
      <c r="F7599" s="4" t="s">
        <v>39324</v>
      </c>
      <c r="G7599" s="4" t="s">
        <v>39325</v>
      </c>
      <c r="H7599" s="3" t="s">
        <v>38194</v>
      </c>
      <c r="I7599" s="3" t="s">
        <v>39326</v>
      </c>
      <c r="J7599" s="3" t="s">
        <v>3370</v>
      </c>
      <c r="K7599" s="3" t="s">
        <v>39327</v>
      </c>
      <c r="L7599" s="3"/>
      <c r="M7599" s="4"/>
      <c r="N7599" s="3" t="s">
        <v>37</v>
      </c>
      <c r="O7599" s="3" t="s">
        <v>46</v>
      </c>
      <c r="P7599" s="5">
        <v>26</v>
      </c>
      <c r="Q7599" s="5">
        <v>542</v>
      </c>
      <c r="R7599" s="5">
        <v>25</v>
      </c>
      <c r="S7599" s="5">
        <v>527</v>
      </c>
    </row>
    <row r="7600" spans="1:19" ht="28" x14ac:dyDescent="0.15">
      <c r="A7600" s="2">
        <f>HYPERLINK("https://open-school.uspishnemisto.com.ua/school/460284/", 460284)</f>
        <v>460284</v>
      </c>
      <c r="B7600" s="3" t="s">
        <v>39328</v>
      </c>
      <c r="C7600" s="3" t="s">
        <v>31</v>
      </c>
      <c r="D7600" s="3" t="s">
        <v>32</v>
      </c>
      <c r="E7600" s="4" t="s">
        <v>22</v>
      </c>
      <c r="F7600" s="4" t="s">
        <v>39324</v>
      </c>
      <c r="G7600" s="4" t="s">
        <v>39325</v>
      </c>
      <c r="H7600" s="3" t="s">
        <v>38194</v>
      </c>
      <c r="I7600" s="3" t="s">
        <v>39326</v>
      </c>
      <c r="J7600" s="3" t="s">
        <v>39329</v>
      </c>
      <c r="K7600" s="3" t="s">
        <v>39330</v>
      </c>
      <c r="L7600" s="3"/>
      <c r="M7600" s="4"/>
      <c r="N7600" s="3" t="s">
        <v>37</v>
      </c>
      <c r="O7600" s="3" t="s">
        <v>52</v>
      </c>
      <c r="P7600" s="5">
        <v>33</v>
      </c>
      <c r="Q7600" s="5">
        <v>609</v>
      </c>
      <c r="R7600" s="5">
        <v>22</v>
      </c>
      <c r="S7600" s="5">
        <v>469</v>
      </c>
    </row>
    <row r="7601" spans="1:19" ht="56" x14ac:dyDescent="0.15">
      <c r="A7601" s="2">
        <f>HYPERLINK("https://open-school.uspishnemisto.com.ua/school/460285/", 460285)</f>
        <v>460285</v>
      </c>
      <c r="B7601" s="3" t="s">
        <v>39331</v>
      </c>
      <c r="C7601" s="3" t="s">
        <v>54</v>
      </c>
      <c r="D7601" s="3" t="s">
        <v>32</v>
      </c>
      <c r="E7601" s="4" t="s">
        <v>22</v>
      </c>
      <c r="F7601" s="4" t="s">
        <v>39324</v>
      </c>
      <c r="G7601" s="4" t="s">
        <v>39325</v>
      </c>
      <c r="H7601" s="3" t="s">
        <v>38194</v>
      </c>
      <c r="I7601" s="3" t="s">
        <v>39326</v>
      </c>
      <c r="J7601" s="3" t="s">
        <v>39332</v>
      </c>
      <c r="K7601" s="3" t="s">
        <v>39333</v>
      </c>
      <c r="L7601" s="3"/>
      <c r="M7601" s="4"/>
      <c r="N7601" s="3" t="s">
        <v>37</v>
      </c>
      <c r="O7601" s="3" t="s">
        <v>123</v>
      </c>
      <c r="P7601" s="5">
        <v>15</v>
      </c>
      <c r="Q7601" s="5">
        <v>310</v>
      </c>
      <c r="R7601" s="5">
        <v>15</v>
      </c>
      <c r="S7601" s="5">
        <v>326</v>
      </c>
    </row>
    <row r="7602" spans="1:19" ht="28" x14ac:dyDescent="0.15">
      <c r="A7602" s="2">
        <f>HYPERLINK("https://open-school.uspishnemisto.com.ua/school/460286/", 460286)</f>
        <v>460286</v>
      </c>
      <c r="B7602" s="3" t="s">
        <v>39334</v>
      </c>
      <c r="C7602" s="3" t="s">
        <v>31</v>
      </c>
      <c r="D7602" s="3" t="s">
        <v>32</v>
      </c>
      <c r="E7602" s="4" t="s">
        <v>22</v>
      </c>
      <c r="F7602" s="4" t="s">
        <v>39335</v>
      </c>
      <c r="G7602" s="4" t="s">
        <v>39336</v>
      </c>
      <c r="H7602" s="3" t="s">
        <v>38194</v>
      </c>
      <c r="I7602" s="3" t="s">
        <v>4005</v>
      </c>
      <c r="J7602" s="3" t="s">
        <v>39337</v>
      </c>
      <c r="K7602" s="3" t="s">
        <v>39338</v>
      </c>
      <c r="L7602" s="3"/>
      <c r="M7602" s="4"/>
      <c r="N7602" s="3" t="s">
        <v>37</v>
      </c>
      <c r="O7602" s="3" t="s">
        <v>2740</v>
      </c>
      <c r="P7602" s="5">
        <v>14</v>
      </c>
      <c r="Q7602" s="5">
        <v>256</v>
      </c>
      <c r="R7602" s="5">
        <v>13</v>
      </c>
      <c r="S7602" s="5">
        <v>240</v>
      </c>
    </row>
    <row r="7603" spans="1:19" ht="28" x14ac:dyDescent="0.15">
      <c r="A7603" s="2">
        <f>HYPERLINK("https://open-school.uspishnemisto.com.ua/school/460287/", 460287)</f>
        <v>460287</v>
      </c>
      <c r="B7603" s="3" t="s">
        <v>39339</v>
      </c>
      <c r="C7603" s="3" t="s">
        <v>31</v>
      </c>
      <c r="D7603" s="3" t="s">
        <v>32</v>
      </c>
      <c r="E7603" s="4" t="s">
        <v>22</v>
      </c>
      <c r="F7603" s="4" t="s">
        <v>39335</v>
      </c>
      <c r="G7603" s="4" t="s">
        <v>39336</v>
      </c>
      <c r="H7603" s="3" t="s">
        <v>38194</v>
      </c>
      <c r="I7603" s="3" t="s">
        <v>4005</v>
      </c>
      <c r="J7603" s="3" t="s">
        <v>39340</v>
      </c>
      <c r="K7603" s="3" t="s">
        <v>39341</v>
      </c>
      <c r="L7603" s="3"/>
      <c r="M7603" s="4"/>
      <c r="N7603" s="3" t="s">
        <v>37</v>
      </c>
      <c r="O7603" s="3" t="s">
        <v>2740</v>
      </c>
      <c r="P7603" s="5">
        <v>50</v>
      </c>
      <c r="Q7603" s="5">
        <v>820</v>
      </c>
      <c r="R7603" s="5">
        <v>26</v>
      </c>
      <c r="S7603" s="5">
        <v>549</v>
      </c>
    </row>
    <row r="7604" spans="1:19" ht="28" x14ac:dyDescent="0.15">
      <c r="A7604" s="2">
        <f>HYPERLINK("https://open-school.uspishnemisto.com.ua/school/460288/", 460288)</f>
        <v>460288</v>
      </c>
      <c r="B7604" s="3" t="s">
        <v>39342</v>
      </c>
      <c r="C7604" s="3" t="s">
        <v>31</v>
      </c>
      <c r="D7604" s="3" t="s">
        <v>32</v>
      </c>
      <c r="E7604" s="4" t="s">
        <v>22</v>
      </c>
      <c r="F7604" s="4" t="s">
        <v>39343</v>
      </c>
      <c r="G7604" s="4" t="s">
        <v>39344</v>
      </c>
      <c r="H7604" s="3" t="s">
        <v>38194</v>
      </c>
      <c r="I7604" s="3" t="s">
        <v>39345</v>
      </c>
      <c r="J7604" s="3" t="s">
        <v>39346</v>
      </c>
      <c r="K7604" s="3" t="s">
        <v>39347</v>
      </c>
      <c r="L7604" s="3"/>
      <c r="M7604" s="4"/>
      <c r="N7604" s="3" t="s">
        <v>37</v>
      </c>
      <c r="O7604" s="3" t="s">
        <v>46</v>
      </c>
      <c r="P7604" s="5">
        <v>11</v>
      </c>
      <c r="Q7604" s="5">
        <v>198</v>
      </c>
      <c r="R7604" s="5">
        <v>11</v>
      </c>
      <c r="S7604" s="5">
        <v>203</v>
      </c>
    </row>
    <row r="7605" spans="1:19" ht="42" x14ac:dyDescent="0.15">
      <c r="A7605" s="2">
        <f>HYPERLINK("https://open-school.uspishnemisto.com.ua/school/460289/", 460289)</f>
        <v>460289</v>
      </c>
      <c r="B7605" s="3" t="s">
        <v>39348</v>
      </c>
      <c r="C7605" s="3" t="s">
        <v>54</v>
      </c>
      <c r="D7605" s="3" t="s">
        <v>32</v>
      </c>
      <c r="E7605" s="4" t="s">
        <v>22</v>
      </c>
      <c r="F7605" s="4" t="s">
        <v>39349</v>
      </c>
      <c r="G7605" s="4" t="s">
        <v>39350</v>
      </c>
      <c r="H7605" s="3" t="s">
        <v>38194</v>
      </c>
      <c r="I7605" s="3" t="s">
        <v>39351</v>
      </c>
      <c r="J7605" s="3" t="s">
        <v>39352</v>
      </c>
      <c r="K7605" s="3" t="s">
        <v>39353</v>
      </c>
      <c r="L7605" s="3"/>
      <c r="M7605" s="4"/>
      <c r="N7605" s="3" t="s">
        <v>37</v>
      </c>
      <c r="O7605" s="3" t="s">
        <v>721</v>
      </c>
      <c r="P7605" s="5">
        <v>11</v>
      </c>
      <c r="Q7605" s="5">
        <v>186</v>
      </c>
      <c r="R7605" s="5">
        <v>11</v>
      </c>
      <c r="S7605" s="5">
        <v>184</v>
      </c>
    </row>
    <row r="7606" spans="1:19" ht="28" x14ac:dyDescent="0.15">
      <c r="A7606" s="2">
        <f>HYPERLINK("https://open-school.uspishnemisto.com.ua/school/460290/", 460290)</f>
        <v>460290</v>
      </c>
      <c r="B7606" s="3" t="s">
        <v>39354</v>
      </c>
      <c r="C7606" s="3" t="s">
        <v>31</v>
      </c>
      <c r="D7606" s="3" t="s">
        <v>60</v>
      </c>
      <c r="E7606" s="4" t="s">
        <v>22</v>
      </c>
      <c r="F7606" s="4" t="s">
        <v>39355</v>
      </c>
      <c r="G7606" s="4" t="s">
        <v>39356</v>
      </c>
      <c r="H7606" s="3" t="s">
        <v>38194</v>
      </c>
      <c r="I7606" s="3" t="s">
        <v>39357</v>
      </c>
      <c r="J7606" s="3" t="s">
        <v>1348</v>
      </c>
      <c r="K7606" s="3" t="s">
        <v>39358</v>
      </c>
      <c r="L7606" s="3"/>
      <c r="M7606" s="4"/>
      <c r="N7606" s="3" t="s">
        <v>37</v>
      </c>
      <c r="O7606" s="3" t="s">
        <v>52</v>
      </c>
      <c r="P7606" s="5">
        <v>0</v>
      </c>
      <c r="Q7606" s="5">
        <v>0</v>
      </c>
      <c r="R7606" s="5">
        <v>1</v>
      </c>
      <c r="S7606" s="5">
        <v>15</v>
      </c>
    </row>
    <row r="7607" spans="1:19" ht="42" x14ac:dyDescent="0.15">
      <c r="A7607" s="2">
        <f>HYPERLINK("https://open-school.uspishnemisto.com.ua/school/460291/", 460291)</f>
        <v>460291</v>
      </c>
      <c r="B7607" s="3" t="s">
        <v>39359</v>
      </c>
      <c r="C7607" s="3" t="s">
        <v>54</v>
      </c>
      <c r="D7607" s="3" t="s">
        <v>175</v>
      </c>
      <c r="E7607" s="4" t="s">
        <v>22</v>
      </c>
      <c r="F7607" s="4" t="s">
        <v>39360</v>
      </c>
      <c r="G7607" s="4" t="s">
        <v>39361</v>
      </c>
      <c r="H7607" s="3" t="s">
        <v>38194</v>
      </c>
      <c r="I7607" s="3" t="s">
        <v>39362</v>
      </c>
      <c r="J7607" s="3" t="s">
        <v>634</v>
      </c>
      <c r="K7607" s="3" t="s">
        <v>39363</v>
      </c>
      <c r="L7607" s="3"/>
      <c r="M7607" s="4"/>
      <c r="N7607" s="3" t="s">
        <v>37</v>
      </c>
      <c r="O7607" s="3" t="s">
        <v>2740</v>
      </c>
      <c r="P7607" s="5">
        <v>0</v>
      </c>
      <c r="Q7607" s="5">
        <v>0</v>
      </c>
      <c r="R7607" s="5">
        <v>9</v>
      </c>
      <c r="S7607" s="5">
        <v>104</v>
      </c>
    </row>
    <row r="7608" spans="1:19" ht="28" x14ac:dyDescent="0.15">
      <c r="A7608" s="2">
        <f>HYPERLINK("https://open-school.uspishnemisto.com.ua/school/460292/", 460292)</f>
        <v>460292</v>
      </c>
      <c r="B7608" s="3" t="s">
        <v>39364</v>
      </c>
      <c r="C7608" s="3" t="s">
        <v>31</v>
      </c>
      <c r="D7608" s="3" t="s">
        <v>175</v>
      </c>
      <c r="E7608" s="4" t="s">
        <v>22</v>
      </c>
      <c r="F7608" s="4" t="s">
        <v>39365</v>
      </c>
      <c r="G7608" s="4" t="s">
        <v>39366</v>
      </c>
      <c r="H7608" s="3" t="s">
        <v>38194</v>
      </c>
      <c r="I7608" s="3" t="s">
        <v>39367</v>
      </c>
      <c r="J7608" s="3" t="s">
        <v>39368</v>
      </c>
      <c r="K7608" s="3" t="s">
        <v>39369</v>
      </c>
      <c r="L7608" s="3"/>
      <c r="M7608" s="4"/>
      <c r="N7608" s="3" t="s">
        <v>37</v>
      </c>
      <c r="O7608" s="3" t="s">
        <v>2740</v>
      </c>
      <c r="P7608" s="5">
        <v>0</v>
      </c>
      <c r="Q7608" s="5">
        <v>0</v>
      </c>
      <c r="R7608" s="5">
        <v>4</v>
      </c>
      <c r="S7608" s="5">
        <v>40</v>
      </c>
    </row>
    <row r="7609" spans="1:19" ht="42" x14ac:dyDescent="0.15">
      <c r="A7609" s="2">
        <f>HYPERLINK("https://open-school.uspishnemisto.com.ua/school/460293/", 460293)</f>
        <v>460293</v>
      </c>
      <c r="B7609" s="3" t="s">
        <v>39370</v>
      </c>
      <c r="C7609" s="3" t="s">
        <v>54</v>
      </c>
      <c r="D7609" s="3" t="s">
        <v>175</v>
      </c>
      <c r="E7609" s="4" t="s">
        <v>22</v>
      </c>
      <c r="F7609" s="4" t="s">
        <v>39371</v>
      </c>
      <c r="G7609" s="4" t="s">
        <v>39372</v>
      </c>
      <c r="H7609" s="3" t="s">
        <v>38194</v>
      </c>
      <c r="I7609" s="3" t="s">
        <v>39373</v>
      </c>
      <c r="J7609" s="3" t="s">
        <v>1719</v>
      </c>
      <c r="K7609" s="3" t="s">
        <v>39374</v>
      </c>
      <c r="L7609" s="3"/>
      <c r="M7609" s="4"/>
      <c r="N7609" s="3" t="s">
        <v>37</v>
      </c>
      <c r="O7609" s="3" t="s">
        <v>46</v>
      </c>
      <c r="P7609" s="5">
        <v>8</v>
      </c>
      <c r="Q7609" s="5">
        <v>53</v>
      </c>
      <c r="R7609" s="5">
        <v>7</v>
      </c>
      <c r="S7609" s="5">
        <v>47</v>
      </c>
    </row>
    <row r="7610" spans="1:19" ht="28" x14ac:dyDescent="0.15">
      <c r="A7610" s="2">
        <f>HYPERLINK("https://open-school.uspishnemisto.com.ua/school/460294/", 460294)</f>
        <v>460294</v>
      </c>
      <c r="B7610" s="3" t="s">
        <v>39375</v>
      </c>
      <c r="C7610" s="3" t="s">
        <v>31</v>
      </c>
      <c r="D7610" s="3" t="s">
        <v>175</v>
      </c>
      <c r="E7610" s="4" t="s">
        <v>22</v>
      </c>
      <c r="F7610" s="4" t="s">
        <v>39376</v>
      </c>
      <c r="G7610" s="4" t="s">
        <v>39377</v>
      </c>
      <c r="H7610" s="3" t="s">
        <v>38194</v>
      </c>
      <c r="I7610" s="3" t="s">
        <v>39378</v>
      </c>
      <c r="J7610" s="3" t="s">
        <v>2465</v>
      </c>
      <c r="K7610" s="3" t="s">
        <v>39379</v>
      </c>
      <c r="L7610" s="3"/>
      <c r="M7610" s="4"/>
      <c r="N7610" s="3" t="s">
        <v>37</v>
      </c>
      <c r="O7610" s="3" t="s">
        <v>46</v>
      </c>
      <c r="P7610" s="5">
        <v>5</v>
      </c>
      <c r="Q7610" s="5">
        <v>51</v>
      </c>
      <c r="R7610" s="5">
        <v>6</v>
      </c>
      <c r="S7610" s="5">
        <v>59</v>
      </c>
    </row>
    <row r="7611" spans="1:19" ht="28" x14ac:dyDescent="0.15">
      <c r="A7611" s="2">
        <f>HYPERLINK("https://open-school.uspishnemisto.com.ua/school/460295/", 460295)</f>
        <v>460295</v>
      </c>
      <c r="B7611" s="3" t="s">
        <v>39380</v>
      </c>
      <c r="C7611" s="3" t="s">
        <v>31</v>
      </c>
      <c r="D7611" s="3" t="s">
        <v>32</v>
      </c>
      <c r="E7611" s="4" t="s">
        <v>22</v>
      </c>
      <c r="F7611" s="4" t="s">
        <v>39381</v>
      </c>
      <c r="G7611" s="4" t="s">
        <v>39382</v>
      </c>
      <c r="H7611" s="3" t="s">
        <v>38194</v>
      </c>
      <c r="I7611" s="3" t="s">
        <v>39383</v>
      </c>
      <c r="J7611" s="3"/>
      <c r="K7611" s="3" t="s">
        <v>39384</v>
      </c>
      <c r="L7611" s="3"/>
      <c r="M7611" s="4"/>
      <c r="N7611" s="3" t="s">
        <v>37</v>
      </c>
      <c r="O7611" s="3" t="s">
        <v>2740</v>
      </c>
      <c r="P7611" s="5">
        <v>11</v>
      </c>
      <c r="Q7611" s="5">
        <v>131</v>
      </c>
      <c r="R7611" s="5">
        <v>11</v>
      </c>
      <c r="S7611" s="5">
        <v>134</v>
      </c>
    </row>
    <row r="7612" spans="1:19" ht="42" x14ac:dyDescent="0.15">
      <c r="A7612" s="2">
        <f>HYPERLINK("https://open-school.uspishnemisto.com.ua/school/460296/", 460296)</f>
        <v>460296</v>
      </c>
      <c r="B7612" s="3" t="s">
        <v>39385</v>
      </c>
      <c r="C7612" s="3" t="s">
        <v>54</v>
      </c>
      <c r="D7612" s="3" t="s">
        <v>32</v>
      </c>
      <c r="E7612" s="4" t="s">
        <v>22</v>
      </c>
      <c r="F7612" s="4" t="s">
        <v>39386</v>
      </c>
      <c r="G7612" s="4" t="s">
        <v>39387</v>
      </c>
      <c r="H7612" s="3" t="s">
        <v>38194</v>
      </c>
      <c r="I7612" s="3" t="s">
        <v>39388</v>
      </c>
      <c r="J7612" s="3" t="s">
        <v>1839</v>
      </c>
      <c r="K7612" s="3" t="s">
        <v>39389</v>
      </c>
      <c r="L7612" s="3"/>
      <c r="M7612" s="4"/>
      <c r="N7612" s="3" t="s">
        <v>37</v>
      </c>
      <c r="O7612" s="3" t="s">
        <v>2740</v>
      </c>
      <c r="P7612" s="5">
        <v>13</v>
      </c>
      <c r="Q7612" s="5">
        <v>244</v>
      </c>
      <c r="R7612" s="5">
        <v>13</v>
      </c>
      <c r="S7612" s="5">
        <v>237</v>
      </c>
    </row>
    <row r="7613" spans="1:19" ht="42" x14ac:dyDescent="0.15">
      <c r="A7613" s="2">
        <f>HYPERLINK("https://open-school.uspishnemisto.com.ua/school/460297/", 460297)</f>
        <v>460297</v>
      </c>
      <c r="B7613" s="3" t="s">
        <v>39390</v>
      </c>
      <c r="C7613" s="3" t="s">
        <v>31</v>
      </c>
      <c r="D7613" s="3" t="s">
        <v>175</v>
      </c>
      <c r="E7613" s="4" t="s">
        <v>22</v>
      </c>
      <c r="F7613" s="4" t="s">
        <v>39391</v>
      </c>
      <c r="G7613" s="4" t="s">
        <v>39392</v>
      </c>
      <c r="H7613" s="3" t="s">
        <v>38194</v>
      </c>
      <c r="I7613" s="3" t="s">
        <v>39393</v>
      </c>
      <c r="J7613" s="3" t="s">
        <v>39394</v>
      </c>
      <c r="K7613" s="3" t="s">
        <v>39395</v>
      </c>
      <c r="L7613" s="3"/>
      <c r="M7613" s="4"/>
      <c r="N7613" s="3" t="s">
        <v>37</v>
      </c>
      <c r="O7613" s="3" t="s">
        <v>52</v>
      </c>
      <c r="P7613" s="5">
        <v>7</v>
      </c>
      <c r="Q7613" s="5">
        <v>66</v>
      </c>
      <c r="R7613" s="5">
        <v>7</v>
      </c>
      <c r="S7613" s="5">
        <v>66</v>
      </c>
    </row>
    <row r="7614" spans="1:19" ht="28" x14ac:dyDescent="0.15">
      <c r="A7614" s="2">
        <f>HYPERLINK("https://open-school.uspishnemisto.com.ua/school/460298/", 460298)</f>
        <v>460298</v>
      </c>
      <c r="B7614" s="3" t="s">
        <v>39396</v>
      </c>
      <c r="C7614" s="3" t="s">
        <v>31</v>
      </c>
      <c r="D7614" s="3" t="s">
        <v>175</v>
      </c>
      <c r="E7614" s="4" t="s">
        <v>22</v>
      </c>
      <c r="F7614" s="4"/>
      <c r="G7614" s="4" t="s">
        <v>39397</v>
      </c>
      <c r="H7614" s="3" t="s">
        <v>38194</v>
      </c>
      <c r="I7614" s="3" t="s">
        <v>39398</v>
      </c>
      <c r="J7614" s="3"/>
      <c r="K7614" s="3" t="s">
        <v>39399</v>
      </c>
      <c r="L7614" s="3"/>
      <c r="M7614" s="4"/>
      <c r="N7614" s="3" t="s">
        <v>37</v>
      </c>
      <c r="O7614" s="3" t="s">
        <v>46</v>
      </c>
      <c r="P7614" s="5">
        <v>0</v>
      </c>
      <c r="Q7614" s="5">
        <v>0</v>
      </c>
      <c r="R7614" s="5">
        <v>6</v>
      </c>
      <c r="S7614" s="5">
        <v>59</v>
      </c>
    </row>
    <row r="7615" spans="1:19" ht="42" x14ac:dyDescent="0.15">
      <c r="A7615" s="2">
        <f>HYPERLINK("https://open-school.uspishnemisto.com.ua/school/460299/", 460299)</f>
        <v>460299</v>
      </c>
      <c r="B7615" s="3" t="s">
        <v>39400</v>
      </c>
      <c r="C7615" s="3" t="s">
        <v>54</v>
      </c>
      <c r="D7615" s="3" t="s">
        <v>175</v>
      </c>
      <c r="E7615" s="4" t="s">
        <v>22</v>
      </c>
      <c r="F7615" s="4" t="s">
        <v>39401</v>
      </c>
      <c r="G7615" s="4" t="s">
        <v>39402</v>
      </c>
      <c r="H7615" s="3" t="s">
        <v>38194</v>
      </c>
      <c r="I7615" s="3" t="s">
        <v>39403</v>
      </c>
      <c r="J7615" s="3" t="s">
        <v>466</v>
      </c>
      <c r="K7615" s="3" t="s">
        <v>39404</v>
      </c>
      <c r="L7615" s="3"/>
      <c r="M7615" s="4"/>
      <c r="N7615" s="3" t="s">
        <v>37</v>
      </c>
      <c r="O7615" s="3" t="s">
        <v>52</v>
      </c>
      <c r="P7615" s="5">
        <v>0</v>
      </c>
      <c r="Q7615" s="5">
        <v>0</v>
      </c>
      <c r="R7615" s="5">
        <v>5</v>
      </c>
      <c r="S7615" s="5">
        <v>36</v>
      </c>
    </row>
    <row r="7616" spans="1:19" ht="42" x14ac:dyDescent="0.15">
      <c r="A7616" s="2">
        <f>HYPERLINK("https://open-school.uspishnemisto.com.ua/school/460300/", 460300)</f>
        <v>460300</v>
      </c>
      <c r="B7616" s="3" t="s">
        <v>39405</v>
      </c>
      <c r="C7616" s="3" t="s">
        <v>54</v>
      </c>
      <c r="D7616" s="3" t="s">
        <v>175</v>
      </c>
      <c r="E7616" s="4" t="s">
        <v>22</v>
      </c>
      <c r="F7616" s="4"/>
      <c r="G7616" s="4" t="s">
        <v>39406</v>
      </c>
      <c r="H7616" s="3" t="s">
        <v>38194</v>
      </c>
      <c r="I7616" s="3" t="s">
        <v>39407</v>
      </c>
      <c r="J7616" s="3" t="s">
        <v>39408</v>
      </c>
      <c r="K7616" s="3" t="s">
        <v>39409</v>
      </c>
      <c r="L7616" s="3"/>
      <c r="M7616" s="4"/>
      <c r="N7616" s="3" t="s">
        <v>37</v>
      </c>
      <c r="O7616" s="3" t="s">
        <v>2740</v>
      </c>
      <c r="P7616" s="5">
        <v>0</v>
      </c>
      <c r="Q7616" s="5">
        <v>0</v>
      </c>
      <c r="R7616" s="5">
        <v>9</v>
      </c>
      <c r="S7616" s="5">
        <v>96</v>
      </c>
    </row>
    <row r="7617" spans="1:19" ht="28" x14ac:dyDescent="0.15">
      <c r="A7617" s="2">
        <f>HYPERLINK("https://open-school.uspishnemisto.com.ua/school/460301/", 460301)</f>
        <v>460301</v>
      </c>
      <c r="B7617" s="3" t="s">
        <v>39410</v>
      </c>
      <c r="C7617" s="3" t="s">
        <v>31</v>
      </c>
      <c r="D7617" s="3" t="s">
        <v>60</v>
      </c>
      <c r="E7617" s="4" t="s">
        <v>22</v>
      </c>
      <c r="F7617" s="4" t="s">
        <v>39411</v>
      </c>
      <c r="G7617" s="4" t="s">
        <v>39412</v>
      </c>
      <c r="H7617" s="3" t="s">
        <v>38194</v>
      </c>
      <c r="I7617" s="3" t="s">
        <v>39413</v>
      </c>
      <c r="J7617" s="3"/>
      <c r="K7617" s="3" t="s">
        <v>39414</v>
      </c>
      <c r="L7617" s="3"/>
      <c r="M7617" s="4"/>
      <c r="N7617" s="3" t="s">
        <v>37</v>
      </c>
      <c r="O7617" s="3" t="s">
        <v>52</v>
      </c>
      <c r="P7617" s="5">
        <v>0</v>
      </c>
      <c r="Q7617" s="5">
        <v>0</v>
      </c>
      <c r="R7617" s="5">
        <v>1</v>
      </c>
      <c r="S7617" s="5">
        <v>9</v>
      </c>
    </row>
    <row r="7618" spans="1:19" ht="28" x14ac:dyDescent="0.15">
      <c r="A7618" s="2">
        <f>HYPERLINK("https://open-school.uspishnemisto.com.ua/school/460302/", 460302)</f>
        <v>460302</v>
      </c>
      <c r="B7618" s="3" t="s">
        <v>39415</v>
      </c>
      <c r="C7618" s="3" t="s">
        <v>31</v>
      </c>
      <c r="D7618" s="3" t="s">
        <v>175</v>
      </c>
      <c r="E7618" s="4" t="s">
        <v>22</v>
      </c>
      <c r="F7618" s="4" t="s">
        <v>39416</v>
      </c>
      <c r="G7618" s="4" t="s">
        <v>39417</v>
      </c>
      <c r="H7618" s="3" t="s">
        <v>38194</v>
      </c>
      <c r="I7618" s="3" t="s">
        <v>28819</v>
      </c>
      <c r="J7618" s="3" t="s">
        <v>39418</v>
      </c>
      <c r="K7618" s="3" t="s">
        <v>39419</v>
      </c>
      <c r="L7618" s="3"/>
      <c r="M7618" s="4"/>
      <c r="N7618" s="3" t="s">
        <v>37</v>
      </c>
      <c r="O7618" s="3" t="s">
        <v>52</v>
      </c>
      <c r="P7618" s="5">
        <v>6</v>
      </c>
      <c r="Q7618" s="5">
        <v>47</v>
      </c>
      <c r="R7618" s="5">
        <v>6</v>
      </c>
      <c r="S7618" s="5">
        <v>48</v>
      </c>
    </row>
    <row r="7619" spans="1:19" ht="28" x14ac:dyDescent="0.15">
      <c r="A7619" s="2">
        <f>HYPERLINK("https://open-school.uspishnemisto.com.ua/school/460303/", 460303)</f>
        <v>460303</v>
      </c>
      <c r="B7619" s="3" t="s">
        <v>39420</v>
      </c>
      <c r="C7619" s="3" t="s">
        <v>31</v>
      </c>
      <c r="D7619" s="3" t="s">
        <v>32</v>
      </c>
      <c r="E7619" s="4" t="s">
        <v>22</v>
      </c>
      <c r="F7619" s="4" t="s">
        <v>39421</v>
      </c>
      <c r="G7619" s="4" t="s">
        <v>39422</v>
      </c>
      <c r="H7619" s="3" t="s">
        <v>38194</v>
      </c>
      <c r="I7619" s="3" t="s">
        <v>39423</v>
      </c>
      <c r="J7619" s="3" t="s">
        <v>2417</v>
      </c>
      <c r="K7619" s="3" t="s">
        <v>39424</v>
      </c>
      <c r="L7619" s="3"/>
      <c r="M7619" s="4"/>
      <c r="N7619" s="3" t="s">
        <v>37</v>
      </c>
      <c r="O7619" s="3" t="s">
        <v>46</v>
      </c>
      <c r="P7619" s="5">
        <v>11</v>
      </c>
      <c r="Q7619" s="5">
        <v>216</v>
      </c>
      <c r="R7619" s="5">
        <v>11</v>
      </c>
      <c r="S7619" s="5">
        <v>202</v>
      </c>
    </row>
    <row r="7620" spans="1:19" ht="28" x14ac:dyDescent="0.15">
      <c r="A7620" s="2">
        <f>HYPERLINK("https://open-school.uspishnemisto.com.ua/school/460304/", 460304)</f>
        <v>460304</v>
      </c>
      <c r="B7620" s="3" t="s">
        <v>39425</v>
      </c>
      <c r="C7620" s="3" t="s">
        <v>31</v>
      </c>
      <c r="D7620" s="3" t="s">
        <v>60</v>
      </c>
      <c r="E7620" s="4" t="s">
        <v>22</v>
      </c>
      <c r="F7620" s="4"/>
      <c r="G7620" s="4" t="s">
        <v>39426</v>
      </c>
      <c r="H7620" s="3" t="s">
        <v>38194</v>
      </c>
      <c r="I7620" s="3" t="s">
        <v>39427</v>
      </c>
      <c r="J7620" s="3" t="s">
        <v>12836</v>
      </c>
      <c r="K7620" s="3" t="s">
        <v>39428</v>
      </c>
      <c r="L7620" s="3"/>
      <c r="M7620" s="4"/>
      <c r="N7620" s="3" t="s">
        <v>37</v>
      </c>
      <c r="O7620" s="3" t="s">
        <v>52</v>
      </c>
      <c r="P7620" s="5">
        <v>4</v>
      </c>
      <c r="Q7620" s="5">
        <v>32</v>
      </c>
      <c r="R7620" s="5">
        <v>4</v>
      </c>
      <c r="S7620" s="5">
        <v>31</v>
      </c>
    </row>
    <row r="7621" spans="1:19" ht="42" x14ac:dyDescent="0.15">
      <c r="A7621" s="2">
        <f>HYPERLINK("https://open-school.uspishnemisto.com.ua/school/460305/", 460305)</f>
        <v>460305</v>
      </c>
      <c r="B7621" s="3" t="s">
        <v>39429</v>
      </c>
      <c r="C7621" s="3" t="s">
        <v>54</v>
      </c>
      <c r="D7621" s="3" t="s">
        <v>175</v>
      </c>
      <c r="E7621" s="4" t="s">
        <v>22</v>
      </c>
      <c r="F7621" s="4" t="s">
        <v>39430</v>
      </c>
      <c r="G7621" s="4" t="s">
        <v>39431</v>
      </c>
      <c r="H7621" s="3" t="s">
        <v>38194</v>
      </c>
      <c r="I7621" s="3" t="s">
        <v>5383</v>
      </c>
      <c r="J7621" s="3" t="s">
        <v>39432</v>
      </c>
      <c r="K7621" s="3" t="s">
        <v>39433</v>
      </c>
      <c r="L7621" s="3"/>
      <c r="M7621" s="4"/>
      <c r="N7621" s="3" t="s">
        <v>37</v>
      </c>
      <c r="O7621" s="3" t="s">
        <v>2740</v>
      </c>
      <c r="P7621" s="5">
        <v>8</v>
      </c>
      <c r="Q7621" s="5">
        <v>78</v>
      </c>
      <c r="R7621" s="5">
        <v>8</v>
      </c>
      <c r="S7621" s="5">
        <v>82</v>
      </c>
    </row>
    <row r="7622" spans="1:19" ht="28" x14ac:dyDescent="0.15">
      <c r="A7622" s="2">
        <f>HYPERLINK("https://open-school.uspishnemisto.com.ua/school/460306/", 460306)</f>
        <v>460306</v>
      </c>
      <c r="B7622" s="3" t="s">
        <v>39434</v>
      </c>
      <c r="C7622" s="3" t="s">
        <v>31</v>
      </c>
      <c r="D7622" s="3" t="s">
        <v>60</v>
      </c>
      <c r="E7622" s="4" t="s">
        <v>22</v>
      </c>
      <c r="F7622" s="4"/>
      <c r="G7622" s="4" t="s">
        <v>39435</v>
      </c>
      <c r="H7622" s="3" t="s">
        <v>38194</v>
      </c>
      <c r="I7622" s="3" t="s">
        <v>39436</v>
      </c>
      <c r="J7622" s="3" t="s">
        <v>12836</v>
      </c>
      <c r="K7622" s="3"/>
      <c r="L7622" s="3"/>
      <c r="M7622" s="4"/>
      <c r="N7622" s="3" t="s">
        <v>37</v>
      </c>
      <c r="O7622" s="3" t="s">
        <v>52</v>
      </c>
      <c r="P7622" s="5">
        <v>1</v>
      </c>
      <c r="Q7622" s="5">
        <v>10</v>
      </c>
      <c r="R7622" s="5">
        <v>0</v>
      </c>
      <c r="S7622" s="5">
        <v>6</v>
      </c>
    </row>
    <row r="7623" spans="1:19" ht="28" x14ac:dyDescent="0.15">
      <c r="A7623" s="2">
        <f>HYPERLINK("https://open-school.uspishnemisto.com.ua/school/460307/", 460307)</f>
        <v>460307</v>
      </c>
      <c r="B7623" s="3" t="s">
        <v>39437</v>
      </c>
      <c r="C7623" s="3" t="s">
        <v>31</v>
      </c>
      <c r="D7623" s="3" t="s">
        <v>32</v>
      </c>
      <c r="E7623" s="4" t="s">
        <v>22</v>
      </c>
      <c r="F7623" s="4" t="s">
        <v>39438</v>
      </c>
      <c r="G7623" s="4" t="s">
        <v>39439</v>
      </c>
      <c r="H7623" s="3" t="s">
        <v>38194</v>
      </c>
      <c r="I7623" s="3" t="s">
        <v>39440</v>
      </c>
      <c r="J7623" s="3" t="s">
        <v>39441</v>
      </c>
      <c r="K7623" s="3" t="s">
        <v>39442</v>
      </c>
      <c r="L7623" s="3"/>
      <c r="M7623" s="4"/>
      <c r="N7623" s="3" t="s">
        <v>37</v>
      </c>
      <c r="O7623" s="3" t="s">
        <v>2740</v>
      </c>
      <c r="P7623" s="5">
        <v>12</v>
      </c>
      <c r="Q7623" s="5">
        <v>214</v>
      </c>
      <c r="R7623" s="5">
        <v>11</v>
      </c>
      <c r="S7623" s="5">
        <v>199</v>
      </c>
    </row>
    <row r="7624" spans="1:19" ht="28" x14ac:dyDescent="0.15">
      <c r="A7624" s="2">
        <f>HYPERLINK("https://open-school.uspishnemisto.com.ua/school/460308/", 460308)</f>
        <v>460308</v>
      </c>
      <c r="B7624" s="3" t="s">
        <v>39443</v>
      </c>
      <c r="C7624" s="3" t="s">
        <v>31</v>
      </c>
      <c r="D7624" s="3" t="s">
        <v>60</v>
      </c>
      <c r="E7624" s="4" t="s">
        <v>22</v>
      </c>
      <c r="F7624" s="4"/>
      <c r="G7624" s="4" t="s">
        <v>39444</v>
      </c>
      <c r="H7624" s="3" t="s">
        <v>38194</v>
      </c>
      <c r="I7624" s="3" t="s">
        <v>1684</v>
      </c>
      <c r="J7624" s="3" t="s">
        <v>1417</v>
      </c>
      <c r="K7624" s="3" t="s">
        <v>39445</v>
      </c>
      <c r="L7624" s="3"/>
      <c r="M7624" s="4"/>
      <c r="N7624" s="3" t="s">
        <v>37</v>
      </c>
      <c r="O7624" s="3" t="s">
        <v>52</v>
      </c>
      <c r="P7624" s="5">
        <v>2</v>
      </c>
      <c r="Q7624" s="5">
        <v>16</v>
      </c>
      <c r="R7624" s="5">
        <v>2</v>
      </c>
      <c r="S7624" s="5">
        <v>16</v>
      </c>
    </row>
    <row r="7625" spans="1:19" ht="42" x14ac:dyDescent="0.15">
      <c r="A7625" s="2">
        <f>HYPERLINK("https://open-school.uspishnemisto.com.ua/school/460309/", 460309)</f>
        <v>460309</v>
      </c>
      <c r="B7625" s="3" t="s">
        <v>39446</v>
      </c>
      <c r="C7625" s="3" t="s">
        <v>31</v>
      </c>
      <c r="D7625" s="3" t="s">
        <v>175</v>
      </c>
      <c r="E7625" s="4" t="s">
        <v>22</v>
      </c>
      <c r="F7625" s="4" t="s">
        <v>39447</v>
      </c>
      <c r="G7625" s="4" t="s">
        <v>39448</v>
      </c>
      <c r="H7625" s="3" t="s">
        <v>38194</v>
      </c>
      <c r="I7625" s="3" t="s">
        <v>39449</v>
      </c>
      <c r="J7625" s="3" t="s">
        <v>634</v>
      </c>
      <c r="K7625" s="3" t="s">
        <v>39450</v>
      </c>
      <c r="L7625" s="3"/>
      <c r="M7625" s="4"/>
      <c r="N7625" s="3" t="s">
        <v>37</v>
      </c>
      <c r="O7625" s="3" t="s">
        <v>46</v>
      </c>
      <c r="P7625" s="5">
        <v>5</v>
      </c>
      <c r="Q7625" s="5">
        <v>37</v>
      </c>
      <c r="R7625" s="5">
        <v>4</v>
      </c>
      <c r="S7625" s="5">
        <v>33</v>
      </c>
    </row>
    <row r="7626" spans="1:19" ht="42" x14ac:dyDescent="0.15">
      <c r="A7626" s="2">
        <f>HYPERLINK("https://open-school.uspishnemisto.com.ua/school/460310/", 460310)</f>
        <v>460310</v>
      </c>
      <c r="B7626" s="3" t="s">
        <v>39451</v>
      </c>
      <c r="C7626" s="3" t="s">
        <v>54</v>
      </c>
      <c r="D7626" s="3" t="s">
        <v>175</v>
      </c>
      <c r="E7626" s="4" t="s">
        <v>22</v>
      </c>
      <c r="F7626" s="4" t="s">
        <v>39452</v>
      </c>
      <c r="G7626" s="4" t="s">
        <v>39453</v>
      </c>
      <c r="H7626" s="3" t="s">
        <v>38194</v>
      </c>
      <c r="I7626" s="3" t="s">
        <v>39454</v>
      </c>
      <c r="J7626" s="3" t="s">
        <v>3775</v>
      </c>
      <c r="K7626" s="3" t="s">
        <v>39455</v>
      </c>
      <c r="L7626" s="3"/>
      <c r="M7626" s="4"/>
      <c r="N7626" s="3" t="s">
        <v>37</v>
      </c>
      <c r="O7626" s="3" t="s">
        <v>2740</v>
      </c>
      <c r="P7626" s="5">
        <v>9</v>
      </c>
      <c r="Q7626" s="5">
        <v>89</v>
      </c>
      <c r="R7626" s="5">
        <v>8</v>
      </c>
      <c r="S7626" s="5">
        <v>89</v>
      </c>
    </row>
    <row r="7627" spans="1:19" ht="28" x14ac:dyDescent="0.15">
      <c r="A7627" s="2">
        <f>HYPERLINK("https://open-school.uspishnemisto.com.ua/school/460311/", 460311)</f>
        <v>460311</v>
      </c>
      <c r="B7627" s="3" t="s">
        <v>39456</v>
      </c>
      <c r="C7627" s="3" t="s">
        <v>31</v>
      </c>
      <c r="D7627" s="3" t="s">
        <v>32</v>
      </c>
      <c r="E7627" s="4" t="s">
        <v>22</v>
      </c>
      <c r="F7627" s="4" t="s">
        <v>39457</v>
      </c>
      <c r="G7627" s="4" t="s">
        <v>39458</v>
      </c>
      <c r="H7627" s="3" t="s">
        <v>38194</v>
      </c>
      <c r="I7627" s="3" t="s">
        <v>39459</v>
      </c>
      <c r="J7627" s="3" t="s">
        <v>39460</v>
      </c>
      <c r="K7627" s="3" t="s">
        <v>39461</v>
      </c>
      <c r="L7627" s="3"/>
      <c r="M7627" s="4"/>
      <c r="N7627" s="3" t="s">
        <v>37</v>
      </c>
      <c r="O7627" s="3" t="s">
        <v>2740</v>
      </c>
      <c r="P7627" s="5">
        <v>11</v>
      </c>
      <c r="Q7627" s="5">
        <v>132</v>
      </c>
      <c r="R7627" s="5">
        <v>11</v>
      </c>
      <c r="S7627" s="5">
        <v>135</v>
      </c>
    </row>
    <row r="7628" spans="1:19" ht="56" x14ac:dyDescent="0.15">
      <c r="A7628" s="2">
        <f>HYPERLINK("https://open-school.uspishnemisto.com.ua/school/460312/", 460312)</f>
        <v>460312</v>
      </c>
      <c r="B7628" s="3" t="s">
        <v>39462</v>
      </c>
      <c r="C7628" s="3" t="s">
        <v>54</v>
      </c>
      <c r="D7628" s="3" t="s">
        <v>175</v>
      </c>
      <c r="E7628" s="4" t="s">
        <v>22</v>
      </c>
      <c r="F7628" s="4" t="s">
        <v>39463</v>
      </c>
      <c r="G7628" s="4" t="s">
        <v>39464</v>
      </c>
      <c r="H7628" s="3" t="s">
        <v>38194</v>
      </c>
      <c r="I7628" s="3" t="s">
        <v>2096</v>
      </c>
      <c r="J7628" s="3" t="s">
        <v>39465</v>
      </c>
      <c r="K7628" s="3" t="s">
        <v>39466</v>
      </c>
      <c r="L7628" s="3"/>
      <c r="M7628" s="4"/>
      <c r="N7628" s="3" t="s">
        <v>37</v>
      </c>
      <c r="O7628" s="3" t="s">
        <v>46</v>
      </c>
      <c r="P7628" s="5">
        <v>6</v>
      </c>
      <c r="Q7628" s="5">
        <v>50</v>
      </c>
      <c r="R7628" s="5">
        <v>6</v>
      </c>
      <c r="S7628" s="5">
        <v>52</v>
      </c>
    </row>
    <row r="7629" spans="1:19" ht="56" x14ac:dyDescent="0.15">
      <c r="A7629" s="2">
        <f>HYPERLINK("https://open-school.uspishnemisto.com.ua/school/460313/", 460313)</f>
        <v>460313</v>
      </c>
      <c r="B7629" s="3" t="s">
        <v>39467</v>
      </c>
      <c r="C7629" s="3" t="s">
        <v>54</v>
      </c>
      <c r="D7629" s="3" t="s">
        <v>175</v>
      </c>
      <c r="E7629" s="4" t="s">
        <v>22</v>
      </c>
      <c r="F7629" s="4" t="s">
        <v>39468</v>
      </c>
      <c r="G7629" s="4" t="s">
        <v>39469</v>
      </c>
      <c r="H7629" s="3" t="s">
        <v>38194</v>
      </c>
      <c r="I7629" s="3" t="s">
        <v>39470</v>
      </c>
      <c r="J7629" s="3" t="s">
        <v>39471</v>
      </c>
      <c r="K7629" s="3" t="s">
        <v>39472</v>
      </c>
      <c r="L7629" s="3"/>
      <c r="M7629" s="4"/>
      <c r="N7629" s="3" t="s">
        <v>37</v>
      </c>
      <c r="O7629" s="3" t="s">
        <v>2740</v>
      </c>
      <c r="P7629" s="5">
        <v>9</v>
      </c>
      <c r="Q7629" s="5">
        <v>52</v>
      </c>
      <c r="R7629" s="5">
        <v>9</v>
      </c>
      <c r="S7629" s="5">
        <v>55</v>
      </c>
    </row>
    <row r="7630" spans="1:19" ht="28" x14ac:dyDescent="0.15">
      <c r="A7630" s="2">
        <f>HYPERLINK("https://open-school.uspishnemisto.com.ua/school/460314/", 460314)</f>
        <v>460314</v>
      </c>
      <c r="B7630" s="3" t="s">
        <v>39473</v>
      </c>
      <c r="C7630" s="3" t="s">
        <v>31</v>
      </c>
      <c r="D7630" s="3" t="s">
        <v>60</v>
      </c>
      <c r="E7630" s="4" t="s">
        <v>22</v>
      </c>
      <c r="F7630" s="4" t="s">
        <v>39468</v>
      </c>
      <c r="G7630" s="4" t="s">
        <v>39474</v>
      </c>
      <c r="H7630" s="3" t="s">
        <v>38194</v>
      </c>
      <c r="I7630" s="3" t="s">
        <v>39475</v>
      </c>
      <c r="J7630" s="3" t="s">
        <v>12836</v>
      </c>
      <c r="K7630" s="3" t="s">
        <v>39428</v>
      </c>
      <c r="L7630" s="3"/>
      <c r="M7630" s="4"/>
      <c r="N7630" s="3" t="s">
        <v>37</v>
      </c>
      <c r="O7630" s="3" t="s">
        <v>52</v>
      </c>
      <c r="P7630" s="5">
        <v>0</v>
      </c>
      <c r="Q7630" s="5">
        <v>13</v>
      </c>
      <c r="R7630" s="5">
        <v>0</v>
      </c>
      <c r="S7630" s="5">
        <v>10</v>
      </c>
    </row>
    <row r="7631" spans="1:19" ht="28" x14ac:dyDescent="0.15">
      <c r="A7631" s="2">
        <f>HYPERLINK("https://open-school.uspishnemisto.com.ua/school/460315/", 460315)</f>
        <v>460315</v>
      </c>
      <c r="B7631" s="3" t="s">
        <v>39476</v>
      </c>
      <c r="C7631" s="3" t="s">
        <v>31</v>
      </c>
      <c r="D7631" s="3" t="s">
        <v>60</v>
      </c>
      <c r="E7631" s="4" t="s">
        <v>22</v>
      </c>
      <c r="F7631" s="4"/>
      <c r="G7631" s="4" t="s">
        <v>39477</v>
      </c>
      <c r="H7631" s="3" t="s">
        <v>38194</v>
      </c>
      <c r="I7631" s="3" t="s">
        <v>39478</v>
      </c>
      <c r="J7631" s="3" t="s">
        <v>12836</v>
      </c>
      <c r="K7631" s="3" t="s">
        <v>39479</v>
      </c>
      <c r="L7631" s="3"/>
      <c r="M7631" s="4"/>
      <c r="N7631" s="3" t="s">
        <v>37</v>
      </c>
      <c r="O7631" s="3" t="s">
        <v>52</v>
      </c>
      <c r="P7631" s="5">
        <v>0</v>
      </c>
      <c r="Q7631" s="5">
        <v>15</v>
      </c>
      <c r="R7631" s="5">
        <v>0</v>
      </c>
      <c r="S7631" s="5">
        <v>15</v>
      </c>
    </row>
    <row r="7632" spans="1:19" ht="28" x14ac:dyDescent="0.15">
      <c r="A7632" s="2">
        <f>HYPERLINK("https://open-school.uspishnemisto.com.ua/school/460316/", 460316)</f>
        <v>460316</v>
      </c>
      <c r="B7632" s="3" t="s">
        <v>39480</v>
      </c>
      <c r="C7632" s="3" t="s">
        <v>31</v>
      </c>
      <c r="D7632" s="3" t="s">
        <v>32</v>
      </c>
      <c r="E7632" s="4" t="s">
        <v>22</v>
      </c>
      <c r="F7632" s="4" t="s">
        <v>39481</v>
      </c>
      <c r="G7632" s="4" t="s">
        <v>39482</v>
      </c>
      <c r="H7632" s="3" t="s">
        <v>38194</v>
      </c>
      <c r="I7632" s="3" t="s">
        <v>39483</v>
      </c>
      <c r="J7632" s="3" t="s">
        <v>6666</v>
      </c>
      <c r="K7632" s="3" t="s">
        <v>39484</v>
      </c>
      <c r="L7632" s="3"/>
      <c r="M7632" s="4"/>
      <c r="N7632" s="3" t="s">
        <v>37</v>
      </c>
      <c r="O7632" s="3" t="s">
        <v>52</v>
      </c>
      <c r="P7632" s="5">
        <v>10</v>
      </c>
      <c r="Q7632" s="5">
        <v>92</v>
      </c>
      <c r="R7632" s="5">
        <v>10</v>
      </c>
      <c r="S7632" s="5">
        <v>97</v>
      </c>
    </row>
    <row r="7633" spans="1:19" ht="28" x14ac:dyDescent="0.15">
      <c r="A7633" s="2">
        <f>HYPERLINK("https://open-school.uspishnemisto.com.ua/school/460317/", 460317)</f>
        <v>460317</v>
      </c>
      <c r="B7633" s="3" t="s">
        <v>39485</v>
      </c>
      <c r="C7633" s="3" t="s">
        <v>54</v>
      </c>
      <c r="D7633" s="3" t="s">
        <v>32</v>
      </c>
      <c r="E7633" s="4" t="s">
        <v>22</v>
      </c>
      <c r="F7633" s="4" t="s">
        <v>39486</v>
      </c>
      <c r="G7633" s="4" t="s">
        <v>39487</v>
      </c>
      <c r="H7633" s="3" t="s">
        <v>38194</v>
      </c>
      <c r="I7633" s="3" t="s">
        <v>39488</v>
      </c>
      <c r="J7633" s="3" t="s">
        <v>1857</v>
      </c>
      <c r="K7633" s="3" t="s">
        <v>39489</v>
      </c>
      <c r="L7633" s="3"/>
      <c r="M7633" s="4"/>
      <c r="N7633" s="3" t="s">
        <v>37</v>
      </c>
      <c r="O7633" s="3" t="s">
        <v>2740</v>
      </c>
      <c r="P7633" s="5">
        <v>12</v>
      </c>
      <c r="Q7633" s="5">
        <v>246</v>
      </c>
      <c r="R7633" s="5">
        <v>12</v>
      </c>
      <c r="S7633" s="5">
        <v>234</v>
      </c>
    </row>
    <row r="7634" spans="1:19" ht="42" x14ac:dyDescent="0.15">
      <c r="A7634" s="2">
        <f>HYPERLINK("https://open-school.uspishnemisto.com.ua/school/460319/", 460319)</f>
        <v>460319</v>
      </c>
      <c r="B7634" s="3" t="s">
        <v>39490</v>
      </c>
      <c r="C7634" s="3" t="s">
        <v>54</v>
      </c>
      <c r="D7634" s="3" t="s">
        <v>32</v>
      </c>
      <c r="E7634" s="4" t="s">
        <v>22</v>
      </c>
      <c r="F7634" s="4" t="s">
        <v>39491</v>
      </c>
      <c r="G7634" s="4" t="s">
        <v>39492</v>
      </c>
      <c r="H7634" s="3" t="s">
        <v>38194</v>
      </c>
      <c r="I7634" s="3" t="s">
        <v>39493</v>
      </c>
      <c r="J7634" s="3" t="s">
        <v>11336</v>
      </c>
      <c r="K7634" s="3" t="s">
        <v>39494</v>
      </c>
      <c r="L7634" s="3"/>
      <c r="M7634" s="4"/>
      <c r="N7634" s="3" t="s">
        <v>37</v>
      </c>
      <c r="O7634" s="3" t="s">
        <v>46</v>
      </c>
      <c r="P7634" s="5">
        <v>10</v>
      </c>
      <c r="Q7634" s="5">
        <v>95</v>
      </c>
      <c r="R7634" s="5">
        <v>9</v>
      </c>
      <c r="S7634" s="5">
        <v>91</v>
      </c>
    </row>
    <row r="7635" spans="1:19" ht="28" x14ac:dyDescent="0.15">
      <c r="A7635" s="2">
        <f>HYPERLINK("https://open-school.uspishnemisto.com.ua/school/460320/", 460320)</f>
        <v>460320</v>
      </c>
      <c r="B7635" s="3" t="s">
        <v>39495</v>
      </c>
      <c r="C7635" s="3" t="s">
        <v>31</v>
      </c>
      <c r="D7635" s="3" t="s">
        <v>60</v>
      </c>
      <c r="E7635" s="4" t="s">
        <v>22</v>
      </c>
      <c r="F7635" s="4" t="s">
        <v>39496</v>
      </c>
      <c r="G7635" s="4" t="s">
        <v>39497</v>
      </c>
      <c r="H7635" s="3" t="s">
        <v>38194</v>
      </c>
      <c r="I7635" s="3" t="s">
        <v>39498</v>
      </c>
      <c r="J7635" s="3" t="s">
        <v>1348</v>
      </c>
      <c r="K7635" s="3" t="s">
        <v>39499</v>
      </c>
      <c r="L7635" s="3"/>
      <c r="M7635" s="4"/>
      <c r="N7635" s="3" t="s">
        <v>37</v>
      </c>
      <c r="O7635" s="3" t="s">
        <v>618</v>
      </c>
      <c r="P7635" s="5">
        <v>2</v>
      </c>
      <c r="Q7635" s="5">
        <v>17</v>
      </c>
      <c r="R7635" s="5">
        <v>3</v>
      </c>
      <c r="S7635" s="5">
        <v>23</v>
      </c>
    </row>
    <row r="7636" spans="1:19" ht="28" x14ac:dyDescent="0.15">
      <c r="A7636" s="2">
        <f>HYPERLINK("https://open-school.uspishnemisto.com.ua/school/460321/", 460321)</f>
        <v>460321</v>
      </c>
      <c r="B7636" s="3" t="s">
        <v>39500</v>
      </c>
      <c r="C7636" s="3" t="s">
        <v>31</v>
      </c>
      <c r="D7636" s="3" t="s">
        <v>175</v>
      </c>
      <c r="E7636" s="4" t="s">
        <v>22</v>
      </c>
      <c r="F7636" s="4" t="s">
        <v>39501</v>
      </c>
      <c r="G7636" s="4" t="s">
        <v>39502</v>
      </c>
      <c r="H7636" s="3" t="s">
        <v>38194</v>
      </c>
      <c r="I7636" s="3" t="s">
        <v>39503</v>
      </c>
      <c r="J7636" s="3" t="s">
        <v>39504</v>
      </c>
      <c r="K7636" s="3" t="s">
        <v>39505</v>
      </c>
      <c r="L7636" s="3"/>
      <c r="M7636" s="4"/>
      <c r="N7636" s="3" t="s">
        <v>37</v>
      </c>
      <c r="O7636" s="3" t="s">
        <v>2740</v>
      </c>
      <c r="P7636" s="5">
        <v>8</v>
      </c>
      <c r="Q7636" s="5">
        <v>65</v>
      </c>
      <c r="R7636" s="5">
        <v>8</v>
      </c>
      <c r="S7636" s="5">
        <v>69</v>
      </c>
    </row>
    <row r="7637" spans="1:19" ht="42" x14ac:dyDescent="0.15">
      <c r="A7637" s="2">
        <f>HYPERLINK("https://open-school.uspishnemisto.com.ua/school/460322/", 460322)</f>
        <v>460322</v>
      </c>
      <c r="B7637" s="3" t="s">
        <v>39506</v>
      </c>
      <c r="C7637" s="3" t="s">
        <v>31</v>
      </c>
      <c r="D7637" s="3" t="s">
        <v>175</v>
      </c>
      <c r="E7637" s="4" t="s">
        <v>22</v>
      </c>
      <c r="F7637" s="4" t="s">
        <v>39486</v>
      </c>
      <c r="G7637" s="4" t="s">
        <v>39507</v>
      </c>
      <c r="H7637" s="3" t="s">
        <v>38194</v>
      </c>
      <c r="I7637" s="3" t="s">
        <v>39508</v>
      </c>
      <c r="J7637" s="3" t="s">
        <v>946</v>
      </c>
      <c r="K7637" s="3" t="s">
        <v>39509</v>
      </c>
      <c r="L7637" s="3"/>
      <c r="M7637" s="4"/>
      <c r="N7637" s="3" t="s">
        <v>37</v>
      </c>
      <c r="O7637" s="3" t="s">
        <v>2740</v>
      </c>
      <c r="P7637" s="5">
        <v>5</v>
      </c>
      <c r="Q7637" s="5">
        <v>45</v>
      </c>
      <c r="R7637" s="5">
        <v>5</v>
      </c>
      <c r="S7637" s="5">
        <v>50</v>
      </c>
    </row>
    <row r="7638" spans="1:19" ht="28" x14ac:dyDescent="0.15">
      <c r="A7638" s="2">
        <f>HYPERLINK("https://open-school.uspishnemisto.com.ua/school/460323/", 460323)</f>
        <v>460323</v>
      </c>
      <c r="B7638" s="3" t="s">
        <v>39510</v>
      </c>
      <c r="C7638" s="3" t="s">
        <v>31</v>
      </c>
      <c r="D7638" s="3" t="s">
        <v>60</v>
      </c>
      <c r="E7638" s="4" t="s">
        <v>22</v>
      </c>
      <c r="F7638" s="4" t="s">
        <v>39486</v>
      </c>
      <c r="G7638" s="4" t="s">
        <v>39511</v>
      </c>
      <c r="H7638" s="3" t="s">
        <v>38194</v>
      </c>
      <c r="I7638" s="3" t="s">
        <v>39512</v>
      </c>
      <c r="J7638" s="3" t="s">
        <v>1417</v>
      </c>
      <c r="K7638" s="3" t="s">
        <v>39513</v>
      </c>
      <c r="L7638" s="3"/>
      <c r="M7638" s="4"/>
      <c r="N7638" s="3" t="s">
        <v>37</v>
      </c>
      <c r="O7638" s="3" t="s">
        <v>11684</v>
      </c>
      <c r="P7638" s="5">
        <v>2</v>
      </c>
      <c r="Q7638" s="5">
        <v>18</v>
      </c>
      <c r="R7638" s="5">
        <v>0</v>
      </c>
      <c r="S7638" s="5">
        <v>11</v>
      </c>
    </row>
    <row r="7639" spans="1:19" ht="42" x14ac:dyDescent="0.15">
      <c r="A7639" s="2">
        <f>HYPERLINK("https://open-school.uspishnemisto.com.ua/school/460324/", 460324)</f>
        <v>460324</v>
      </c>
      <c r="B7639" s="3" t="s">
        <v>39514</v>
      </c>
      <c r="C7639" s="3" t="s">
        <v>31</v>
      </c>
      <c r="D7639" s="3" t="s">
        <v>175</v>
      </c>
      <c r="E7639" s="4" t="s">
        <v>22</v>
      </c>
      <c r="F7639" s="4" t="s">
        <v>39515</v>
      </c>
      <c r="G7639" s="4" t="s">
        <v>39516</v>
      </c>
      <c r="H7639" s="3" t="s">
        <v>38194</v>
      </c>
      <c r="I7639" s="3" t="s">
        <v>17601</v>
      </c>
      <c r="J7639" s="3" t="s">
        <v>19368</v>
      </c>
      <c r="K7639" s="3" t="s">
        <v>39517</v>
      </c>
      <c r="L7639" s="3"/>
      <c r="M7639" s="4"/>
      <c r="N7639" s="3" t="s">
        <v>37</v>
      </c>
      <c r="O7639" s="3" t="s">
        <v>2740</v>
      </c>
      <c r="P7639" s="5">
        <v>9</v>
      </c>
      <c r="Q7639" s="5">
        <v>69</v>
      </c>
      <c r="R7639" s="5">
        <v>9</v>
      </c>
      <c r="S7639" s="5">
        <v>73</v>
      </c>
    </row>
    <row r="7640" spans="1:19" ht="28" x14ac:dyDescent="0.15">
      <c r="A7640" s="2">
        <f>HYPERLINK("https://open-school.uspishnemisto.com.ua/school/460325/", 460325)</f>
        <v>460325</v>
      </c>
      <c r="B7640" s="3" t="s">
        <v>39518</v>
      </c>
      <c r="C7640" s="3" t="s">
        <v>20</v>
      </c>
      <c r="D7640" s="3" t="s">
        <v>32</v>
      </c>
      <c r="E7640" s="4" t="s">
        <v>22</v>
      </c>
      <c r="F7640" s="4" t="s">
        <v>39519</v>
      </c>
      <c r="G7640" s="4" t="s">
        <v>39520</v>
      </c>
      <c r="H7640" s="3" t="s">
        <v>38194</v>
      </c>
      <c r="I7640" s="3" t="s">
        <v>1506</v>
      </c>
      <c r="J7640" s="3" t="s">
        <v>39521</v>
      </c>
      <c r="K7640" s="3"/>
      <c r="L7640" s="3"/>
      <c r="M7640" s="4"/>
      <c r="N7640" s="3"/>
      <c r="O7640" s="3"/>
      <c r="P7640" s="5">
        <v>0</v>
      </c>
      <c r="Q7640" s="5">
        <v>0</v>
      </c>
      <c r="R7640" s="5"/>
      <c r="S7640" s="5"/>
    </row>
    <row r="7641" spans="1:19" ht="42" x14ac:dyDescent="0.15">
      <c r="A7641" s="2">
        <f>HYPERLINK("https://open-school.uspishnemisto.com.ua/school/460326/", 460326)</f>
        <v>460326</v>
      </c>
      <c r="B7641" s="3" t="s">
        <v>39522</v>
      </c>
      <c r="C7641" s="3" t="s">
        <v>31</v>
      </c>
      <c r="D7641" s="3" t="s">
        <v>32</v>
      </c>
      <c r="E7641" s="4" t="s">
        <v>22</v>
      </c>
      <c r="F7641" s="4" t="s">
        <v>39519</v>
      </c>
      <c r="G7641" s="4" t="s">
        <v>39520</v>
      </c>
      <c r="H7641" s="3" t="s">
        <v>38194</v>
      </c>
      <c r="I7641" s="3" t="s">
        <v>1506</v>
      </c>
      <c r="J7641" s="3" t="s">
        <v>39523</v>
      </c>
      <c r="K7641" s="3" t="s">
        <v>39524</v>
      </c>
      <c r="L7641" s="3"/>
      <c r="M7641" s="4"/>
      <c r="N7641" s="3" t="s">
        <v>37</v>
      </c>
      <c r="O7641" s="3" t="s">
        <v>46</v>
      </c>
      <c r="P7641" s="5">
        <v>28</v>
      </c>
      <c r="Q7641" s="5">
        <v>724</v>
      </c>
      <c r="R7641" s="5">
        <v>27</v>
      </c>
      <c r="S7641" s="5">
        <v>685</v>
      </c>
    </row>
    <row r="7642" spans="1:19" ht="28" x14ac:dyDescent="0.15">
      <c r="A7642" s="2">
        <f>HYPERLINK("https://open-school.uspishnemisto.com.ua/school/460327/", 460327)</f>
        <v>460327</v>
      </c>
      <c r="B7642" s="3" t="s">
        <v>39525</v>
      </c>
      <c r="C7642" s="3" t="s">
        <v>31</v>
      </c>
      <c r="D7642" s="3" t="s">
        <v>32</v>
      </c>
      <c r="E7642" s="4" t="s">
        <v>22</v>
      </c>
      <c r="F7642" s="4" t="s">
        <v>39526</v>
      </c>
      <c r="G7642" s="4" t="s">
        <v>39520</v>
      </c>
      <c r="H7642" s="3" t="s">
        <v>38194</v>
      </c>
      <c r="I7642" s="3" t="s">
        <v>1506</v>
      </c>
      <c r="J7642" s="3" t="s">
        <v>39527</v>
      </c>
      <c r="K7642" s="3"/>
      <c r="L7642" s="3"/>
      <c r="M7642" s="4"/>
      <c r="N7642" s="3" t="s">
        <v>37</v>
      </c>
      <c r="O7642" s="3" t="s">
        <v>139</v>
      </c>
      <c r="P7642" s="5">
        <v>20</v>
      </c>
      <c r="Q7642" s="5">
        <v>422</v>
      </c>
      <c r="R7642" s="5">
        <v>19</v>
      </c>
      <c r="S7642" s="5">
        <v>417</v>
      </c>
    </row>
    <row r="7643" spans="1:19" ht="56" x14ac:dyDescent="0.15">
      <c r="A7643" s="2">
        <f>HYPERLINK("https://open-school.uspishnemisto.com.ua/school/460328/", 460328)</f>
        <v>460328</v>
      </c>
      <c r="B7643" s="3" t="s">
        <v>39528</v>
      </c>
      <c r="C7643" s="3" t="s">
        <v>54</v>
      </c>
      <c r="D7643" s="3" t="s">
        <v>32</v>
      </c>
      <c r="E7643" s="4" t="s">
        <v>22</v>
      </c>
      <c r="F7643" s="4" t="s">
        <v>39519</v>
      </c>
      <c r="G7643" s="4" t="s">
        <v>39520</v>
      </c>
      <c r="H7643" s="3" t="s">
        <v>38194</v>
      </c>
      <c r="I7643" s="3" t="s">
        <v>1506</v>
      </c>
      <c r="J7643" s="3" t="s">
        <v>39529</v>
      </c>
      <c r="K7643" s="3" t="s">
        <v>39530</v>
      </c>
      <c r="L7643" s="3"/>
      <c r="M7643" s="4"/>
      <c r="N7643" s="3" t="s">
        <v>37</v>
      </c>
      <c r="O7643" s="3" t="s">
        <v>46</v>
      </c>
      <c r="P7643" s="5">
        <v>23</v>
      </c>
      <c r="Q7643" s="5">
        <v>651</v>
      </c>
      <c r="R7643" s="5">
        <v>23</v>
      </c>
      <c r="S7643" s="5">
        <v>615</v>
      </c>
    </row>
    <row r="7644" spans="1:19" ht="28" x14ac:dyDescent="0.15">
      <c r="A7644" s="2">
        <f>HYPERLINK("https://open-school.uspishnemisto.com.ua/school/460329/", 460329)</f>
        <v>460329</v>
      </c>
      <c r="B7644" s="3" t="s">
        <v>39531</v>
      </c>
      <c r="C7644" s="3" t="s">
        <v>54</v>
      </c>
      <c r="D7644" s="3" t="s">
        <v>32</v>
      </c>
      <c r="E7644" s="4" t="s">
        <v>22</v>
      </c>
      <c r="F7644" s="4" t="s">
        <v>39519</v>
      </c>
      <c r="G7644" s="4" t="s">
        <v>39520</v>
      </c>
      <c r="H7644" s="3" t="s">
        <v>38194</v>
      </c>
      <c r="I7644" s="3" t="s">
        <v>1506</v>
      </c>
      <c r="J7644" s="3" t="s">
        <v>39532</v>
      </c>
      <c r="K7644" s="3" t="s">
        <v>39533</v>
      </c>
      <c r="L7644" s="3"/>
      <c r="M7644" s="4"/>
      <c r="N7644" s="3" t="s">
        <v>37</v>
      </c>
      <c r="O7644" s="3" t="s">
        <v>46</v>
      </c>
      <c r="P7644" s="5">
        <v>25</v>
      </c>
      <c r="Q7644" s="5">
        <v>591</v>
      </c>
      <c r="R7644" s="5">
        <v>25</v>
      </c>
      <c r="S7644" s="5">
        <v>569</v>
      </c>
    </row>
    <row r="7645" spans="1:19" ht="28" x14ac:dyDescent="0.15">
      <c r="A7645" s="2">
        <f>HYPERLINK("https://open-school.uspishnemisto.com.ua/school/460330/", 460330)</f>
        <v>460330</v>
      </c>
      <c r="B7645" s="3" t="s">
        <v>39534</v>
      </c>
      <c r="C7645" s="3" t="s">
        <v>31</v>
      </c>
      <c r="D7645" s="3" t="s">
        <v>32</v>
      </c>
      <c r="E7645" s="4" t="s">
        <v>22</v>
      </c>
      <c r="F7645" s="4" t="s">
        <v>39535</v>
      </c>
      <c r="G7645" s="4" t="s">
        <v>39536</v>
      </c>
      <c r="H7645" s="3" t="s">
        <v>38194</v>
      </c>
      <c r="I7645" s="3" t="s">
        <v>39537</v>
      </c>
      <c r="J7645" s="3" t="s">
        <v>39538</v>
      </c>
      <c r="K7645" s="3" t="s">
        <v>39539</v>
      </c>
      <c r="L7645" s="3"/>
      <c r="M7645" s="4"/>
      <c r="N7645" s="3" t="s">
        <v>37</v>
      </c>
      <c r="O7645" s="3" t="s">
        <v>2740</v>
      </c>
      <c r="P7645" s="5">
        <v>20</v>
      </c>
      <c r="Q7645" s="5">
        <v>386</v>
      </c>
      <c r="R7645" s="5">
        <v>20</v>
      </c>
      <c r="S7645" s="5">
        <v>366</v>
      </c>
    </row>
    <row r="7646" spans="1:19" ht="42" x14ac:dyDescent="0.15">
      <c r="A7646" s="2">
        <f>HYPERLINK("https://open-school.uspishnemisto.com.ua/school/460331/", 460331)</f>
        <v>460331</v>
      </c>
      <c r="B7646" s="3" t="s">
        <v>39540</v>
      </c>
      <c r="C7646" s="3" t="s">
        <v>31</v>
      </c>
      <c r="D7646" s="3" t="s">
        <v>32</v>
      </c>
      <c r="E7646" s="4" t="s">
        <v>22</v>
      </c>
      <c r="F7646" s="4" t="s">
        <v>39541</v>
      </c>
      <c r="G7646" s="4" t="s">
        <v>39542</v>
      </c>
      <c r="H7646" s="3" t="s">
        <v>38194</v>
      </c>
      <c r="I7646" s="3" t="s">
        <v>39543</v>
      </c>
      <c r="J7646" s="3" t="s">
        <v>39544</v>
      </c>
      <c r="K7646" s="3" t="s">
        <v>39545</v>
      </c>
      <c r="L7646" s="3"/>
      <c r="M7646" s="4"/>
      <c r="N7646" s="3" t="s">
        <v>37</v>
      </c>
      <c r="O7646" s="3" t="s">
        <v>237</v>
      </c>
      <c r="P7646" s="5">
        <v>27</v>
      </c>
      <c r="Q7646" s="5">
        <v>598</v>
      </c>
      <c r="R7646" s="5">
        <v>21</v>
      </c>
      <c r="S7646" s="5">
        <v>514</v>
      </c>
    </row>
    <row r="7647" spans="1:19" ht="42" x14ac:dyDescent="0.15">
      <c r="A7647" s="2">
        <f>HYPERLINK("https://open-school.uspishnemisto.com.ua/school/460332/", 460332)</f>
        <v>460332</v>
      </c>
      <c r="B7647" s="3" t="s">
        <v>39546</v>
      </c>
      <c r="C7647" s="3" t="s">
        <v>181</v>
      </c>
      <c r="D7647" s="3" t="s">
        <v>175</v>
      </c>
      <c r="E7647" s="4" t="s">
        <v>22</v>
      </c>
      <c r="F7647" s="4" t="s">
        <v>39541</v>
      </c>
      <c r="G7647" s="4" t="s">
        <v>39542</v>
      </c>
      <c r="H7647" s="3" t="s">
        <v>38194</v>
      </c>
      <c r="I7647" s="3" t="s">
        <v>39543</v>
      </c>
      <c r="J7647" s="3" t="s">
        <v>39547</v>
      </c>
      <c r="K7647" s="3" t="s">
        <v>39548</v>
      </c>
      <c r="L7647" s="3" t="s">
        <v>39549</v>
      </c>
      <c r="M7647" s="4" t="s">
        <v>39550</v>
      </c>
      <c r="N7647" s="3" t="s">
        <v>37</v>
      </c>
      <c r="O7647" s="3" t="s">
        <v>52</v>
      </c>
      <c r="P7647" s="5">
        <v>6</v>
      </c>
      <c r="Q7647" s="5">
        <v>54</v>
      </c>
      <c r="R7647" s="5">
        <v>9</v>
      </c>
      <c r="S7647" s="5">
        <v>63</v>
      </c>
    </row>
    <row r="7648" spans="1:19" ht="28" x14ac:dyDescent="0.15">
      <c r="A7648" s="2">
        <f>HYPERLINK("https://open-school.uspishnemisto.com.ua/school/460335/", 460335)</f>
        <v>460335</v>
      </c>
      <c r="B7648" s="3" t="s">
        <v>39551</v>
      </c>
      <c r="C7648" s="3" t="s">
        <v>31</v>
      </c>
      <c r="D7648" s="3" t="s">
        <v>175</v>
      </c>
      <c r="E7648" s="4" t="s">
        <v>22</v>
      </c>
      <c r="F7648" s="4" t="s">
        <v>39535</v>
      </c>
      <c r="G7648" s="4" t="s">
        <v>39552</v>
      </c>
      <c r="H7648" s="3" t="s">
        <v>38194</v>
      </c>
      <c r="I7648" s="3" t="s">
        <v>39553</v>
      </c>
      <c r="J7648" s="3"/>
      <c r="K7648" s="3"/>
      <c r="L7648" s="3"/>
      <c r="M7648" s="4"/>
      <c r="N7648" s="3" t="s">
        <v>37</v>
      </c>
      <c r="O7648" s="3" t="s">
        <v>52</v>
      </c>
      <c r="P7648" s="5">
        <v>3</v>
      </c>
      <c r="Q7648" s="5">
        <v>36</v>
      </c>
      <c r="R7648" s="5">
        <v>3</v>
      </c>
      <c r="S7648" s="5">
        <v>33</v>
      </c>
    </row>
    <row r="7649" spans="1:19" ht="56" x14ac:dyDescent="0.15">
      <c r="A7649" s="2">
        <f>HYPERLINK("https://open-school.uspishnemisto.com.ua/school/460336/", 460336)</f>
        <v>460336</v>
      </c>
      <c r="B7649" s="3" t="s">
        <v>39554</v>
      </c>
      <c r="C7649" s="3" t="s">
        <v>54</v>
      </c>
      <c r="D7649" s="3" t="s">
        <v>175</v>
      </c>
      <c r="E7649" s="4" t="s">
        <v>22</v>
      </c>
      <c r="F7649" s="4" t="s">
        <v>39555</v>
      </c>
      <c r="G7649" s="4" t="s">
        <v>39556</v>
      </c>
      <c r="H7649" s="3" t="s">
        <v>38194</v>
      </c>
      <c r="I7649" s="3" t="s">
        <v>20972</v>
      </c>
      <c r="J7649" s="3" t="s">
        <v>39557</v>
      </c>
      <c r="K7649" s="3" t="s">
        <v>39558</v>
      </c>
      <c r="L7649" s="3"/>
      <c r="M7649" s="4"/>
      <c r="N7649" s="3" t="s">
        <v>37</v>
      </c>
      <c r="O7649" s="3" t="s">
        <v>52</v>
      </c>
      <c r="P7649" s="5">
        <v>8</v>
      </c>
      <c r="Q7649" s="5">
        <v>84</v>
      </c>
      <c r="R7649" s="5">
        <v>8</v>
      </c>
      <c r="S7649" s="5">
        <v>80</v>
      </c>
    </row>
    <row r="7650" spans="1:19" ht="28" x14ac:dyDescent="0.15">
      <c r="A7650" s="2">
        <f>HYPERLINK("https://open-school.uspishnemisto.com.ua/school/460337/", 460337)</f>
        <v>460337</v>
      </c>
      <c r="B7650" s="3" t="s">
        <v>39559</v>
      </c>
      <c r="C7650" s="3" t="s">
        <v>31</v>
      </c>
      <c r="D7650" s="3" t="s">
        <v>32</v>
      </c>
      <c r="E7650" s="4" t="s">
        <v>22</v>
      </c>
      <c r="F7650" s="4" t="s">
        <v>39560</v>
      </c>
      <c r="G7650" s="4" t="s">
        <v>39561</v>
      </c>
      <c r="H7650" s="3" t="s">
        <v>38194</v>
      </c>
      <c r="I7650" s="3" t="s">
        <v>39562</v>
      </c>
      <c r="J7650" s="3" t="s">
        <v>39563</v>
      </c>
      <c r="K7650" s="3" t="s">
        <v>39564</v>
      </c>
      <c r="L7650" s="3"/>
      <c r="M7650" s="4"/>
      <c r="N7650" s="3" t="s">
        <v>37</v>
      </c>
      <c r="O7650" s="3" t="s">
        <v>2740</v>
      </c>
      <c r="P7650" s="5">
        <v>11</v>
      </c>
      <c r="Q7650" s="5">
        <v>120</v>
      </c>
      <c r="R7650" s="5">
        <v>10</v>
      </c>
      <c r="S7650" s="5">
        <v>119</v>
      </c>
    </row>
    <row r="7651" spans="1:19" ht="42" x14ac:dyDescent="0.15">
      <c r="A7651" s="2">
        <f>HYPERLINK("https://open-school.uspishnemisto.com.ua/school/460338/", 460338)</f>
        <v>460338</v>
      </c>
      <c r="B7651" s="3" t="s">
        <v>39565</v>
      </c>
      <c r="C7651" s="3" t="s">
        <v>54</v>
      </c>
      <c r="D7651" s="3" t="s">
        <v>175</v>
      </c>
      <c r="E7651" s="4" t="s">
        <v>22</v>
      </c>
      <c r="F7651" s="4" t="s">
        <v>39566</v>
      </c>
      <c r="G7651" s="4" t="s">
        <v>39567</v>
      </c>
      <c r="H7651" s="3" t="s">
        <v>38194</v>
      </c>
      <c r="I7651" s="3" t="s">
        <v>39568</v>
      </c>
      <c r="J7651" s="3" t="s">
        <v>36356</v>
      </c>
      <c r="K7651" s="3" t="s">
        <v>39569</v>
      </c>
      <c r="L7651" s="3"/>
      <c r="M7651" s="4"/>
      <c r="N7651" s="3" t="s">
        <v>37</v>
      </c>
      <c r="O7651" s="3" t="s">
        <v>52</v>
      </c>
      <c r="P7651" s="5">
        <v>9</v>
      </c>
      <c r="Q7651" s="5">
        <v>80</v>
      </c>
      <c r="R7651" s="5">
        <v>9</v>
      </c>
      <c r="S7651" s="5">
        <v>76</v>
      </c>
    </row>
    <row r="7652" spans="1:19" ht="28" x14ac:dyDescent="0.15">
      <c r="A7652" s="2">
        <f>HYPERLINK("https://open-school.uspishnemisto.com.ua/school/460339/", 460339)</f>
        <v>460339</v>
      </c>
      <c r="B7652" s="3" t="s">
        <v>39570</v>
      </c>
      <c r="C7652" s="3" t="s">
        <v>31</v>
      </c>
      <c r="D7652" s="3" t="s">
        <v>175</v>
      </c>
      <c r="E7652" s="4" t="s">
        <v>22</v>
      </c>
      <c r="F7652" s="4" t="s">
        <v>39571</v>
      </c>
      <c r="G7652" s="4" t="s">
        <v>39572</v>
      </c>
      <c r="H7652" s="3" t="s">
        <v>38194</v>
      </c>
      <c r="I7652" s="3" t="s">
        <v>39573</v>
      </c>
      <c r="J7652" s="3" t="s">
        <v>39574</v>
      </c>
      <c r="K7652" s="3" t="s">
        <v>39575</v>
      </c>
      <c r="L7652" s="3"/>
      <c r="M7652" s="4"/>
      <c r="N7652" s="3" t="s">
        <v>37</v>
      </c>
      <c r="O7652" s="3" t="s">
        <v>52</v>
      </c>
      <c r="P7652" s="5">
        <v>9</v>
      </c>
      <c r="Q7652" s="5">
        <v>159</v>
      </c>
      <c r="R7652" s="5">
        <v>9</v>
      </c>
      <c r="S7652" s="5">
        <v>153</v>
      </c>
    </row>
    <row r="7653" spans="1:19" ht="28" x14ac:dyDescent="0.15">
      <c r="A7653" s="2">
        <f>HYPERLINK("https://open-school.uspishnemisto.com.ua/school/460340/", 460340)</f>
        <v>460340</v>
      </c>
      <c r="B7653" s="3" t="s">
        <v>39576</v>
      </c>
      <c r="C7653" s="3" t="s">
        <v>31</v>
      </c>
      <c r="D7653" s="3" t="s">
        <v>175</v>
      </c>
      <c r="E7653" s="4" t="s">
        <v>22</v>
      </c>
      <c r="F7653" s="4" t="s">
        <v>39577</v>
      </c>
      <c r="G7653" s="4" t="s">
        <v>39578</v>
      </c>
      <c r="H7653" s="3" t="s">
        <v>38194</v>
      </c>
      <c r="I7653" s="3" t="s">
        <v>39579</v>
      </c>
      <c r="J7653" s="3" t="s">
        <v>27058</v>
      </c>
      <c r="K7653" s="3" t="s">
        <v>39580</v>
      </c>
      <c r="L7653" s="3"/>
      <c r="M7653" s="4"/>
      <c r="N7653" s="3" t="s">
        <v>37</v>
      </c>
      <c r="O7653" s="3" t="s">
        <v>52</v>
      </c>
      <c r="P7653" s="5">
        <v>9</v>
      </c>
      <c r="Q7653" s="5">
        <v>140</v>
      </c>
      <c r="R7653" s="5">
        <v>9</v>
      </c>
      <c r="S7653" s="5">
        <v>139</v>
      </c>
    </row>
    <row r="7654" spans="1:19" ht="28" x14ac:dyDescent="0.15">
      <c r="A7654" s="2">
        <f>HYPERLINK("https://open-school.uspishnemisto.com.ua/school/460341/", 460341)</f>
        <v>460341</v>
      </c>
      <c r="B7654" s="3" t="s">
        <v>39581</v>
      </c>
      <c r="C7654" s="3" t="s">
        <v>31</v>
      </c>
      <c r="D7654" s="3" t="s">
        <v>175</v>
      </c>
      <c r="E7654" s="4" t="s">
        <v>22</v>
      </c>
      <c r="F7654" s="4" t="s">
        <v>39582</v>
      </c>
      <c r="G7654" s="4" t="s">
        <v>39583</v>
      </c>
      <c r="H7654" s="3" t="s">
        <v>38194</v>
      </c>
      <c r="I7654" s="3" t="s">
        <v>39584</v>
      </c>
      <c r="J7654" s="3" t="s">
        <v>13183</v>
      </c>
      <c r="K7654" s="3" t="s">
        <v>39585</v>
      </c>
      <c r="L7654" s="3"/>
      <c r="M7654" s="4"/>
      <c r="N7654" s="3" t="s">
        <v>37</v>
      </c>
      <c r="O7654" s="3" t="s">
        <v>52</v>
      </c>
      <c r="P7654" s="5">
        <v>9</v>
      </c>
      <c r="Q7654" s="5">
        <v>123</v>
      </c>
      <c r="R7654" s="5">
        <v>9</v>
      </c>
      <c r="S7654" s="5">
        <v>125</v>
      </c>
    </row>
    <row r="7655" spans="1:19" ht="28" x14ac:dyDescent="0.15">
      <c r="A7655" s="2">
        <f>HYPERLINK("https://open-school.uspishnemisto.com.ua/school/460342/", 460342)</f>
        <v>460342</v>
      </c>
      <c r="B7655" s="3" t="s">
        <v>39586</v>
      </c>
      <c r="C7655" s="3" t="s">
        <v>54</v>
      </c>
      <c r="D7655" s="3" t="s">
        <v>175</v>
      </c>
      <c r="E7655" s="4" t="s">
        <v>22</v>
      </c>
      <c r="F7655" s="4" t="s">
        <v>39587</v>
      </c>
      <c r="G7655" s="4" t="s">
        <v>39588</v>
      </c>
      <c r="H7655" s="3" t="s">
        <v>38194</v>
      </c>
      <c r="I7655" s="3" t="s">
        <v>5297</v>
      </c>
      <c r="J7655" s="3" t="s">
        <v>634</v>
      </c>
      <c r="K7655" s="3" t="s">
        <v>39589</v>
      </c>
      <c r="L7655" s="3"/>
      <c r="M7655" s="4"/>
      <c r="N7655" s="3" t="s">
        <v>37</v>
      </c>
      <c r="O7655" s="3" t="s">
        <v>52</v>
      </c>
      <c r="P7655" s="5">
        <v>8</v>
      </c>
      <c r="Q7655" s="5">
        <v>78</v>
      </c>
      <c r="R7655" s="5">
        <v>8</v>
      </c>
      <c r="S7655" s="5">
        <v>75</v>
      </c>
    </row>
    <row r="7656" spans="1:19" ht="28" x14ac:dyDescent="0.15">
      <c r="A7656" s="2">
        <f>HYPERLINK("https://open-school.uspishnemisto.com.ua/school/460343/", 460343)</f>
        <v>460343</v>
      </c>
      <c r="B7656" s="3" t="s">
        <v>39590</v>
      </c>
      <c r="C7656" s="3" t="s">
        <v>31</v>
      </c>
      <c r="D7656" s="3" t="s">
        <v>175</v>
      </c>
      <c r="E7656" s="4" t="s">
        <v>22</v>
      </c>
      <c r="F7656" s="4" t="s">
        <v>32739</v>
      </c>
      <c r="G7656" s="4" t="s">
        <v>39591</v>
      </c>
      <c r="H7656" s="3" t="s">
        <v>38194</v>
      </c>
      <c r="I7656" s="3" t="s">
        <v>39592</v>
      </c>
      <c r="J7656" s="3" t="s">
        <v>39593</v>
      </c>
      <c r="K7656" s="3" t="s">
        <v>39594</v>
      </c>
      <c r="L7656" s="3"/>
      <c r="M7656" s="4"/>
      <c r="N7656" s="3" t="s">
        <v>37</v>
      </c>
      <c r="O7656" s="3" t="s">
        <v>52</v>
      </c>
      <c r="P7656" s="5">
        <v>9</v>
      </c>
      <c r="Q7656" s="5">
        <v>89</v>
      </c>
      <c r="R7656" s="5">
        <v>9</v>
      </c>
      <c r="S7656" s="5">
        <v>91</v>
      </c>
    </row>
    <row r="7657" spans="1:19" ht="28" x14ac:dyDescent="0.15">
      <c r="A7657" s="2">
        <f>HYPERLINK("https://open-school.uspishnemisto.com.ua/school/460344/", 460344)</f>
        <v>460344</v>
      </c>
      <c r="B7657" s="3" t="s">
        <v>39595</v>
      </c>
      <c r="C7657" s="3" t="s">
        <v>31</v>
      </c>
      <c r="D7657" s="3" t="s">
        <v>32</v>
      </c>
      <c r="E7657" s="4" t="s">
        <v>22</v>
      </c>
      <c r="F7657" s="4" t="s">
        <v>39596</v>
      </c>
      <c r="G7657" s="4" t="s">
        <v>39597</v>
      </c>
      <c r="H7657" s="3" t="s">
        <v>38194</v>
      </c>
      <c r="I7657" s="3" t="s">
        <v>39598</v>
      </c>
      <c r="J7657" s="3" t="s">
        <v>6191</v>
      </c>
      <c r="K7657" s="3" t="s">
        <v>39599</v>
      </c>
      <c r="L7657" s="3"/>
      <c r="M7657" s="4"/>
      <c r="N7657" s="3" t="s">
        <v>37</v>
      </c>
      <c r="O7657" s="3" t="s">
        <v>46</v>
      </c>
      <c r="P7657" s="5">
        <v>10</v>
      </c>
      <c r="Q7657" s="5">
        <v>136</v>
      </c>
      <c r="R7657" s="5">
        <v>11</v>
      </c>
      <c r="S7657" s="5">
        <v>140</v>
      </c>
    </row>
    <row r="7658" spans="1:19" ht="28" x14ac:dyDescent="0.15">
      <c r="A7658" s="2">
        <f>HYPERLINK("https://open-school.uspishnemisto.com.ua/school/460345/", 460345)</f>
        <v>460345</v>
      </c>
      <c r="B7658" s="3" t="s">
        <v>39600</v>
      </c>
      <c r="C7658" s="3" t="s">
        <v>31</v>
      </c>
      <c r="D7658" s="3" t="s">
        <v>32</v>
      </c>
      <c r="E7658" s="4" t="s">
        <v>22</v>
      </c>
      <c r="F7658" s="4" t="s">
        <v>39601</v>
      </c>
      <c r="G7658" s="4" t="s">
        <v>39602</v>
      </c>
      <c r="H7658" s="3" t="s">
        <v>38194</v>
      </c>
      <c r="I7658" s="3" t="s">
        <v>39603</v>
      </c>
      <c r="J7658" s="3" t="s">
        <v>39604</v>
      </c>
      <c r="K7658" s="3" t="s">
        <v>39605</v>
      </c>
      <c r="L7658" s="3"/>
      <c r="M7658" s="4"/>
      <c r="N7658" s="3" t="s">
        <v>37</v>
      </c>
      <c r="O7658" s="3" t="s">
        <v>2740</v>
      </c>
      <c r="P7658" s="5">
        <v>11</v>
      </c>
      <c r="Q7658" s="5">
        <v>114</v>
      </c>
      <c r="R7658" s="5">
        <v>11</v>
      </c>
      <c r="S7658" s="5">
        <v>117</v>
      </c>
    </row>
    <row r="7659" spans="1:19" ht="28" x14ac:dyDescent="0.15">
      <c r="A7659" s="2">
        <f>HYPERLINK("https://open-school.uspishnemisto.com.ua/school/460346/", 460346)</f>
        <v>460346</v>
      </c>
      <c r="B7659" s="3" t="s">
        <v>39606</v>
      </c>
      <c r="C7659" s="3" t="s">
        <v>54</v>
      </c>
      <c r="D7659" s="3" t="s">
        <v>32</v>
      </c>
      <c r="E7659" s="4" t="s">
        <v>22</v>
      </c>
      <c r="F7659" s="4" t="s">
        <v>39607</v>
      </c>
      <c r="G7659" s="4" t="s">
        <v>39608</v>
      </c>
      <c r="H7659" s="3" t="s">
        <v>38194</v>
      </c>
      <c r="I7659" s="3" t="s">
        <v>39609</v>
      </c>
      <c r="J7659" s="3" t="s">
        <v>39610</v>
      </c>
      <c r="K7659" s="3" t="s">
        <v>39611</v>
      </c>
      <c r="L7659" s="3"/>
      <c r="M7659" s="4"/>
      <c r="N7659" s="3" t="s">
        <v>37</v>
      </c>
      <c r="O7659" s="3" t="s">
        <v>46</v>
      </c>
      <c r="P7659" s="5">
        <v>10</v>
      </c>
      <c r="Q7659" s="5">
        <v>79</v>
      </c>
      <c r="R7659" s="5">
        <v>11</v>
      </c>
      <c r="S7659" s="5">
        <v>92</v>
      </c>
    </row>
    <row r="7660" spans="1:19" ht="28" x14ac:dyDescent="0.15">
      <c r="A7660" s="2">
        <f>HYPERLINK("https://open-school.uspishnemisto.com.ua/school/460348/", 460348)</f>
        <v>460348</v>
      </c>
      <c r="B7660" s="3" t="s">
        <v>39612</v>
      </c>
      <c r="C7660" s="3" t="s">
        <v>31</v>
      </c>
      <c r="D7660" s="3" t="s">
        <v>175</v>
      </c>
      <c r="E7660" s="4" t="s">
        <v>22</v>
      </c>
      <c r="F7660" s="4" t="s">
        <v>39613</v>
      </c>
      <c r="G7660" s="4" t="s">
        <v>39614</v>
      </c>
      <c r="H7660" s="3" t="s">
        <v>38194</v>
      </c>
      <c r="I7660" s="3" t="s">
        <v>29455</v>
      </c>
      <c r="J7660" s="3" t="s">
        <v>39615</v>
      </c>
      <c r="K7660" s="3" t="s">
        <v>39616</v>
      </c>
      <c r="L7660" s="3"/>
      <c r="M7660" s="4"/>
      <c r="N7660" s="3" t="s">
        <v>37</v>
      </c>
      <c r="O7660" s="3" t="s">
        <v>46</v>
      </c>
      <c r="P7660" s="5">
        <v>8</v>
      </c>
      <c r="Q7660" s="5">
        <v>63</v>
      </c>
      <c r="R7660" s="5">
        <v>9</v>
      </c>
      <c r="S7660" s="5">
        <v>64</v>
      </c>
    </row>
    <row r="7661" spans="1:19" ht="28" x14ac:dyDescent="0.15">
      <c r="A7661" s="2">
        <f>HYPERLINK("https://open-school.uspishnemisto.com.ua/school/460349/", 460349)</f>
        <v>460349</v>
      </c>
      <c r="B7661" s="3" t="s">
        <v>39617</v>
      </c>
      <c r="C7661" s="3" t="s">
        <v>31</v>
      </c>
      <c r="D7661" s="3" t="s">
        <v>175</v>
      </c>
      <c r="E7661" s="4" t="s">
        <v>22</v>
      </c>
      <c r="F7661" s="4" t="s">
        <v>39618</v>
      </c>
      <c r="G7661" s="4" t="s">
        <v>39619</v>
      </c>
      <c r="H7661" s="3" t="s">
        <v>38194</v>
      </c>
      <c r="I7661" s="3" t="s">
        <v>39620</v>
      </c>
      <c r="J7661" s="3" t="s">
        <v>39621</v>
      </c>
      <c r="K7661" s="3" t="s">
        <v>39622</v>
      </c>
      <c r="L7661" s="3"/>
      <c r="M7661" s="4"/>
      <c r="N7661" s="3" t="s">
        <v>37</v>
      </c>
      <c r="O7661" s="3" t="s">
        <v>46</v>
      </c>
      <c r="P7661" s="5">
        <v>9</v>
      </c>
      <c r="Q7661" s="5">
        <v>71</v>
      </c>
      <c r="R7661" s="5">
        <v>9</v>
      </c>
      <c r="S7661" s="5">
        <v>74</v>
      </c>
    </row>
    <row r="7662" spans="1:19" ht="42" x14ac:dyDescent="0.15">
      <c r="A7662" s="2">
        <f>HYPERLINK("https://open-school.uspishnemisto.com.ua/school/460350/", 460350)</f>
        <v>460350</v>
      </c>
      <c r="B7662" s="3" t="s">
        <v>39623</v>
      </c>
      <c r="C7662" s="3" t="s">
        <v>31</v>
      </c>
      <c r="D7662" s="3" t="s">
        <v>175</v>
      </c>
      <c r="E7662" s="4" t="s">
        <v>22</v>
      </c>
      <c r="F7662" s="4" t="s">
        <v>39624</v>
      </c>
      <c r="G7662" s="4" t="s">
        <v>39625</v>
      </c>
      <c r="H7662" s="3" t="s">
        <v>38194</v>
      </c>
      <c r="I7662" s="3" t="s">
        <v>39626</v>
      </c>
      <c r="J7662" s="3" t="s">
        <v>39627</v>
      </c>
      <c r="K7662" s="3" t="s">
        <v>39628</v>
      </c>
      <c r="L7662" s="3"/>
      <c r="M7662" s="4"/>
      <c r="N7662" s="3" t="s">
        <v>37</v>
      </c>
      <c r="O7662" s="3" t="s">
        <v>52</v>
      </c>
      <c r="P7662" s="5">
        <v>9</v>
      </c>
      <c r="Q7662" s="5">
        <v>79</v>
      </c>
      <c r="R7662" s="5">
        <v>9</v>
      </c>
      <c r="S7662" s="5">
        <v>84</v>
      </c>
    </row>
    <row r="7663" spans="1:19" ht="28" x14ac:dyDescent="0.15">
      <c r="A7663" s="2">
        <f>HYPERLINK("https://open-school.uspishnemisto.com.ua/school/460351/", 460351)</f>
        <v>460351</v>
      </c>
      <c r="B7663" s="3" t="s">
        <v>39629</v>
      </c>
      <c r="C7663" s="3" t="s">
        <v>54</v>
      </c>
      <c r="D7663" s="3" t="s">
        <v>32</v>
      </c>
      <c r="E7663" s="4" t="s">
        <v>22</v>
      </c>
      <c r="F7663" s="4" t="s">
        <v>39630</v>
      </c>
      <c r="G7663" s="4" t="s">
        <v>39631</v>
      </c>
      <c r="H7663" s="3" t="s">
        <v>38194</v>
      </c>
      <c r="I7663" s="3" t="s">
        <v>39632</v>
      </c>
      <c r="J7663" s="3" t="s">
        <v>39633</v>
      </c>
      <c r="K7663" s="3" t="s">
        <v>39634</v>
      </c>
      <c r="L7663" s="3"/>
      <c r="M7663" s="4"/>
      <c r="N7663" s="3" t="s">
        <v>37</v>
      </c>
      <c r="O7663" s="3" t="s">
        <v>46</v>
      </c>
      <c r="P7663" s="5">
        <v>11</v>
      </c>
      <c r="Q7663" s="5">
        <v>117</v>
      </c>
      <c r="R7663" s="5">
        <v>11</v>
      </c>
      <c r="S7663" s="5">
        <v>134</v>
      </c>
    </row>
    <row r="7664" spans="1:19" ht="28" x14ac:dyDescent="0.15">
      <c r="A7664" s="2">
        <f>HYPERLINK("https://open-school.uspishnemisto.com.ua/school/460352/", 460352)</f>
        <v>460352</v>
      </c>
      <c r="B7664" s="3" t="s">
        <v>39635</v>
      </c>
      <c r="C7664" s="3" t="s">
        <v>31</v>
      </c>
      <c r="D7664" s="3" t="s">
        <v>60</v>
      </c>
      <c r="E7664" s="4" t="s">
        <v>22</v>
      </c>
      <c r="F7664" s="4" t="s">
        <v>39630</v>
      </c>
      <c r="G7664" s="4" t="s">
        <v>39636</v>
      </c>
      <c r="H7664" s="3" t="s">
        <v>38194</v>
      </c>
      <c r="I7664" s="3" t="s">
        <v>39637</v>
      </c>
      <c r="J7664" s="3" t="s">
        <v>39638</v>
      </c>
      <c r="K7664" s="3"/>
      <c r="L7664" s="3"/>
      <c r="M7664" s="4"/>
      <c r="N7664" s="3" t="s">
        <v>37</v>
      </c>
      <c r="O7664" s="3" t="s">
        <v>52</v>
      </c>
      <c r="P7664" s="5">
        <v>0</v>
      </c>
      <c r="Q7664" s="5">
        <v>0</v>
      </c>
      <c r="R7664" s="5">
        <v>1</v>
      </c>
      <c r="S7664" s="5">
        <v>17</v>
      </c>
    </row>
    <row r="7665" spans="1:19" ht="28" x14ac:dyDescent="0.15">
      <c r="A7665" s="2">
        <f>HYPERLINK("https://open-school.uspishnemisto.com.ua/school/460353/", 460353)</f>
        <v>460353</v>
      </c>
      <c r="B7665" s="3" t="s">
        <v>39639</v>
      </c>
      <c r="C7665" s="3" t="s">
        <v>31</v>
      </c>
      <c r="D7665" s="3" t="s">
        <v>175</v>
      </c>
      <c r="E7665" s="4" t="s">
        <v>22</v>
      </c>
      <c r="F7665" s="4" t="s">
        <v>39541</v>
      </c>
      <c r="G7665" s="4" t="s">
        <v>39640</v>
      </c>
      <c r="H7665" s="3" t="s">
        <v>38194</v>
      </c>
      <c r="I7665" s="3" t="s">
        <v>39641</v>
      </c>
      <c r="J7665" s="3" t="s">
        <v>39642</v>
      </c>
      <c r="K7665" s="3" t="s">
        <v>39643</v>
      </c>
      <c r="L7665" s="3"/>
      <c r="M7665" s="4"/>
      <c r="N7665" s="3" t="s">
        <v>37</v>
      </c>
      <c r="O7665" s="3" t="s">
        <v>2740</v>
      </c>
      <c r="P7665" s="5">
        <v>6</v>
      </c>
      <c r="Q7665" s="5">
        <v>54</v>
      </c>
      <c r="R7665" s="5">
        <v>6</v>
      </c>
      <c r="S7665" s="5">
        <v>58</v>
      </c>
    </row>
    <row r="7666" spans="1:19" ht="56" x14ac:dyDescent="0.15">
      <c r="A7666" s="2">
        <f>HYPERLINK("https://open-school.uspishnemisto.com.ua/school/460354/", 460354)</f>
        <v>460354</v>
      </c>
      <c r="B7666" s="3" t="s">
        <v>39644</v>
      </c>
      <c r="C7666" s="3" t="s">
        <v>54</v>
      </c>
      <c r="D7666" s="3" t="s">
        <v>32</v>
      </c>
      <c r="E7666" s="4" t="s">
        <v>22</v>
      </c>
      <c r="F7666" s="4" t="s">
        <v>39645</v>
      </c>
      <c r="G7666" s="4" t="s">
        <v>39646</v>
      </c>
      <c r="H7666" s="3" t="s">
        <v>38194</v>
      </c>
      <c r="I7666" s="3" t="s">
        <v>39647</v>
      </c>
      <c r="J7666" s="3" t="s">
        <v>28268</v>
      </c>
      <c r="K7666" s="3" t="s">
        <v>39648</v>
      </c>
      <c r="L7666" s="3"/>
      <c r="M7666" s="4"/>
      <c r="N7666" s="3" t="s">
        <v>37</v>
      </c>
      <c r="O7666" s="3" t="s">
        <v>52</v>
      </c>
      <c r="P7666" s="5">
        <v>11</v>
      </c>
      <c r="Q7666" s="5">
        <v>114</v>
      </c>
      <c r="R7666" s="5">
        <v>11</v>
      </c>
      <c r="S7666" s="5">
        <v>110</v>
      </c>
    </row>
    <row r="7667" spans="1:19" ht="28" x14ac:dyDescent="0.15">
      <c r="A7667" s="2">
        <f>HYPERLINK("https://open-school.uspishnemisto.com.ua/school/460355/", 460355)</f>
        <v>460355</v>
      </c>
      <c r="B7667" s="3" t="s">
        <v>39649</v>
      </c>
      <c r="C7667" s="3" t="s">
        <v>54</v>
      </c>
      <c r="D7667" s="3" t="s">
        <v>32</v>
      </c>
      <c r="E7667" s="4" t="s">
        <v>22</v>
      </c>
      <c r="F7667" s="4" t="s">
        <v>39650</v>
      </c>
      <c r="G7667" s="4" t="s">
        <v>39651</v>
      </c>
      <c r="H7667" s="3" t="s">
        <v>38194</v>
      </c>
      <c r="I7667" s="3" t="s">
        <v>39652</v>
      </c>
      <c r="J7667" s="3" t="s">
        <v>39653</v>
      </c>
      <c r="K7667" s="3" t="s">
        <v>39654</v>
      </c>
      <c r="L7667" s="3"/>
      <c r="M7667" s="4"/>
      <c r="N7667" s="3" t="s">
        <v>37</v>
      </c>
      <c r="O7667" s="3" t="s">
        <v>52</v>
      </c>
      <c r="P7667" s="5">
        <v>11</v>
      </c>
      <c r="Q7667" s="5">
        <v>166</v>
      </c>
      <c r="R7667" s="5">
        <v>11</v>
      </c>
      <c r="S7667" s="5">
        <v>151</v>
      </c>
    </row>
    <row r="7668" spans="1:19" ht="28" x14ac:dyDescent="0.15">
      <c r="A7668" s="2">
        <f>HYPERLINK("https://open-school.uspishnemisto.com.ua/school/460356/", 460356)</f>
        <v>460356</v>
      </c>
      <c r="B7668" s="3" t="s">
        <v>39655</v>
      </c>
      <c r="C7668" s="3" t="s">
        <v>31</v>
      </c>
      <c r="D7668" s="3" t="s">
        <v>175</v>
      </c>
      <c r="E7668" s="4" t="s">
        <v>22</v>
      </c>
      <c r="F7668" s="4" t="s">
        <v>39656</v>
      </c>
      <c r="G7668" s="4" t="s">
        <v>39657</v>
      </c>
      <c r="H7668" s="3" t="s">
        <v>38194</v>
      </c>
      <c r="I7668" s="3" t="s">
        <v>39658</v>
      </c>
      <c r="J7668" s="3" t="s">
        <v>39659</v>
      </c>
      <c r="K7668" s="3"/>
      <c r="L7668" s="3"/>
      <c r="M7668" s="4"/>
      <c r="N7668" s="3" t="s">
        <v>37</v>
      </c>
      <c r="O7668" s="3" t="s">
        <v>52</v>
      </c>
      <c r="P7668" s="5">
        <v>2</v>
      </c>
      <c r="Q7668" s="5">
        <v>30</v>
      </c>
      <c r="R7668" s="5">
        <v>2</v>
      </c>
      <c r="S7668" s="5">
        <v>29</v>
      </c>
    </row>
    <row r="7669" spans="1:19" ht="56" x14ac:dyDescent="0.15">
      <c r="A7669" s="2">
        <f>HYPERLINK("https://open-school.uspishnemisto.com.ua/school/460357/", 460357)</f>
        <v>460357</v>
      </c>
      <c r="B7669" s="3" t="s">
        <v>39660</v>
      </c>
      <c r="C7669" s="3" t="s">
        <v>54</v>
      </c>
      <c r="D7669" s="3" t="s">
        <v>32</v>
      </c>
      <c r="E7669" s="4" t="s">
        <v>22</v>
      </c>
      <c r="F7669" s="4" t="s">
        <v>39661</v>
      </c>
      <c r="G7669" s="4" t="s">
        <v>39662</v>
      </c>
      <c r="H7669" s="3" t="s">
        <v>38194</v>
      </c>
      <c r="I7669" s="3" t="s">
        <v>39663</v>
      </c>
      <c r="J7669" s="3" t="s">
        <v>297</v>
      </c>
      <c r="K7669" s="3" t="s">
        <v>39664</v>
      </c>
      <c r="L7669" s="3"/>
      <c r="M7669" s="4"/>
      <c r="N7669" s="3" t="s">
        <v>37</v>
      </c>
      <c r="O7669" s="3" t="s">
        <v>52</v>
      </c>
      <c r="P7669" s="5">
        <v>11</v>
      </c>
      <c r="Q7669" s="5">
        <v>122</v>
      </c>
      <c r="R7669" s="5">
        <v>11</v>
      </c>
      <c r="S7669" s="5">
        <v>114</v>
      </c>
    </row>
    <row r="7670" spans="1:19" ht="28" x14ac:dyDescent="0.15">
      <c r="A7670" s="2">
        <f>HYPERLINK("https://open-school.uspishnemisto.com.ua/school/460358/", 460358)</f>
        <v>460358</v>
      </c>
      <c r="B7670" s="3" t="s">
        <v>39665</v>
      </c>
      <c r="C7670" s="3" t="s">
        <v>31</v>
      </c>
      <c r="D7670" s="3" t="s">
        <v>32</v>
      </c>
      <c r="E7670" s="4" t="s">
        <v>22</v>
      </c>
      <c r="F7670" s="4" t="s">
        <v>39666</v>
      </c>
      <c r="G7670" s="4" t="s">
        <v>39667</v>
      </c>
      <c r="H7670" s="3" t="s">
        <v>38194</v>
      </c>
      <c r="I7670" s="3" t="s">
        <v>39668</v>
      </c>
      <c r="J7670" s="3" t="s">
        <v>2476</v>
      </c>
      <c r="K7670" s="3" t="s">
        <v>39669</v>
      </c>
      <c r="L7670" s="3"/>
      <c r="M7670" s="4"/>
      <c r="N7670" s="3" t="s">
        <v>37</v>
      </c>
      <c r="O7670" s="3" t="s">
        <v>46</v>
      </c>
      <c r="P7670" s="5">
        <v>6</v>
      </c>
      <c r="Q7670" s="5">
        <v>52</v>
      </c>
      <c r="R7670" s="5">
        <v>7</v>
      </c>
      <c r="S7670" s="5">
        <v>52</v>
      </c>
    </row>
    <row r="7671" spans="1:19" ht="28" x14ac:dyDescent="0.15">
      <c r="A7671" s="2">
        <f>HYPERLINK("https://open-school.uspishnemisto.com.ua/school/460359/", 460359)</f>
        <v>460359</v>
      </c>
      <c r="B7671" s="3" t="s">
        <v>39670</v>
      </c>
      <c r="C7671" s="3" t="s">
        <v>31</v>
      </c>
      <c r="D7671" s="3" t="s">
        <v>60</v>
      </c>
      <c r="E7671" s="4" t="s">
        <v>22</v>
      </c>
      <c r="F7671" s="4" t="s">
        <v>39666</v>
      </c>
      <c r="G7671" s="4" t="s">
        <v>39671</v>
      </c>
      <c r="H7671" s="3" t="s">
        <v>38194</v>
      </c>
      <c r="I7671" s="3" t="s">
        <v>39672</v>
      </c>
      <c r="J7671" s="3" t="s">
        <v>39673</v>
      </c>
      <c r="K7671" s="3"/>
      <c r="L7671" s="3"/>
      <c r="M7671" s="4"/>
      <c r="N7671" s="3" t="s">
        <v>37</v>
      </c>
      <c r="O7671" s="3" t="s">
        <v>52</v>
      </c>
      <c r="P7671" s="5">
        <v>0</v>
      </c>
      <c r="Q7671" s="5">
        <v>11</v>
      </c>
      <c r="R7671" s="5">
        <v>0</v>
      </c>
      <c r="S7671" s="5">
        <v>9</v>
      </c>
    </row>
    <row r="7672" spans="1:19" ht="28" x14ac:dyDescent="0.15">
      <c r="A7672" s="2">
        <f>HYPERLINK("https://open-school.uspishnemisto.com.ua/school/460360/", 460360)</f>
        <v>460360</v>
      </c>
      <c r="B7672" s="3" t="s">
        <v>39674</v>
      </c>
      <c r="C7672" s="3" t="s">
        <v>31</v>
      </c>
      <c r="D7672" s="3" t="s">
        <v>175</v>
      </c>
      <c r="E7672" s="4" t="s">
        <v>22</v>
      </c>
      <c r="F7672" s="4" t="s">
        <v>39675</v>
      </c>
      <c r="G7672" s="4" t="s">
        <v>39676</v>
      </c>
      <c r="H7672" s="3" t="s">
        <v>38194</v>
      </c>
      <c r="I7672" s="3" t="s">
        <v>23559</v>
      </c>
      <c r="J7672" s="3" t="s">
        <v>584</v>
      </c>
      <c r="K7672" s="3"/>
      <c r="L7672" s="3"/>
      <c r="M7672" s="4"/>
      <c r="N7672" s="3" t="s">
        <v>37</v>
      </c>
      <c r="O7672" s="3" t="s">
        <v>2740</v>
      </c>
      <c r="P7672" s="5">
        <v>2</v>
      </c>
      <c r="Q7672" s="5">
        <v>29</v>
      </c>
      <c r="R7672" s="5">
        <v>1</v>
      </c>
      <c r="S7672" s="5">
        <v>27</v>
      </c>
    </row>
    <row r="7673" spans="1:19" ht="28" x14ac:dyDescent="0.15">
      <c r="A7673" s="2">
        <f>HYPERLINK("https://open-school.uspishnemisto.com.ua/school/460361/", 460361)</f>
        <v>460361</v>
      </c>
      <c r="B7673" s="3" t="s">
        <v>39677</v>
      </c>
      <c r="C7673" s="3" t="s">
        <v>31</v>
      </c>
      <c r="D7673" s="3" t="s">
        <v>60</v>
      </c>
      <c r="E7673" s="4" t="s">
        <v>22</v>
      </c>
      <c r="F7673" s="4" t="s">
        <v>39555</v>
      </c>
      <c r="G7673" s="4" t="s">
        <v>39678</v>
      </c>
      <c r="H7673" s="3" t="s">
        <v>38194</v>
      </c>
      <c r="I7673" s="3" t="s">
        <v>39679</v>
      </c>
      <c r="J7673" s="3" t="s">
        <v>17602</v>
      </c>
      <c r="K7673" s="3" t="s">
        <v>39680</v>
      </c>
      <c r="L7673" s="3"/>
      <c r="M7673" s="4"/>
      <c r="N7673" s="3" t="s">
        <v>37</v>
      </c>
      <c r="O7673" s="3" t="s">
        <v>52</v>
      </c>
      <c r="P7673" s="5">
        <v>0</v>
      </c>
      <c r="Q7673" s="5">
        <v>8</v>
      </c>
      <c r="R7673" s="5">
        <v>0</v>
      </c>
      <c r="S7673" s="5">
        <v>10</v>
      </c>
    </row>
    <row r="7674" spans="1:19" ht="42" x14ac:dyDescent="0.15">
      <c r="A7674" s="2">
        <f>HYPERLINK("https://open-school.uspishnemisto.com.ua/school/460362/", 460362)</f>
        <v>460362</v>
      </c>
      <c r="B7674" s="3" t="s">
        <v>39681</v>
      </c>
      <c r="C7674" s="3" t="s">
        <v>54</v>
      </c>
      <c r="D7674" s="3" t="s">
        <v>32</v>
      </c>
      <c r="E7674" s="4" t="s">
        <v>22</v>
      </c>
      <c r="F7674" s="4" t="s">
        <v>39682</v>
      </c>
      <c r="G7674" s="4" t="s">
        <v>39683</v>
      </c>
      <c r="H7674" s="3" t="s">
        <v>38194</v>
      </c>
      <c r="I7674" s="3" t="s">
        <v>39684</v>
      </c>
      <c r="J7674" s="3" t="s">
        <v>39685</v>
      </c>
      <c r="K7674" s="3" t="s">
        <v>39686</v>
      </c>
      <c r="L7674" s="3"/>
      <c r="M7674" s="4"/>
      <c r="N7674" s="3" t="s">
        <v>37</v>
      </c>
      <c r="O7674" s="3" t="s">
        <v>52</v>
      </c>
      <c r="P7674" s="5">
        <v>16</v>
      </c>
      <c r="Q7674" s="5">
        <v>316</v>
      </c>
      <c r="R7674" s="5">
        <v>18</v>
      </c>
      <c r="S7674" s="5">
        <v>322</v>
      </c>
    </row>
    <row r="7675" spans="1:19" ht="28" x14ac:dyDescent="0.15">
      <c r="A7675" s="2">
        <f>HYPERLINK("https://open-school.uspishnemisto.com.ua/school/460363/", 460363)</f>
        <v>460363</v>
      </c>
      <c r="B7675" s="3" t="s">
        <v>39687</v>
      </c>
      <c r="C7675" s="3" t="s">
        <v>31</v>
      </c>
      <c r="D7675" s="3" t="s">
        <v>32</v>
      </c>
      <c r="E7675" s="4" t="s">
        <v>22</v>
      </c>
      <c r="F7675" s="4" t="s">
        <v>39688</v>
      </c>
      <c r="G7675" s="4" t="s">
        <v>39689</v>
      </c>
      <c r="H7675" s="3" t="s">
        <v>38194</v>
      </c>
      <c r="I7675" s="3" t="s">
        <v>24591</v>
      </c>
      <c r="J7675" s="3" t="s">
        <v>39690</v>
      </c>
      <c r="K7675" s="3"/>
      <c r="L7675" s="3"/>
      <c r="M7675" s="4"/>
      <c r="N7675" s="3" t="s">
        <v>37</v>
      </c>
      <c r="O7675" s="3" t="s">
        <v>2740</v>
      </c>
      <c r="P7675" s="5">
        <v>13</v>
      </c>
      <c r="Q7675" s="5">
        <v>249</v>
      </c>
      <c r="R7675" s="5">
        <v>12</v>
      </c>
      <c r="S7675" s="5">
        <v>240</v>
      </c>
    </row>
    <row r="7676" spans="1:19" ht="28" x14ac:dyDescent="0.15">
      <c r="A7676" s="2">
        <f>HYPERLINK("https://open-school.uspishnemisto.com.ua/school/460364/", 460364)</f>
        <v>460364</v>
      </c>
      <c r="B7676" s="3" t="s">
        <v>39691</v>
      </c>
      <c r="C7676" s="3" t="s">
        <v>31</v>
      </c>
      <c r="D7676" s="3" t="s">
        <v>175</v>
      </c>
      <c r="E7676" s="4" t="s">
        <v>22</v>
      </c>
      <c r="F7676" s="4" t="s">
        <v>39692</v>
      </c>
      <c r="G7676" s="4" t="s">
        <v>39693</v>
      </c>
      <c r="H7676" s="3" t="s">
        <v>38194</v>
      </c>
      <c r="I7676" s="3" t="s">
        <v>39694</v>
      </c>
      <c r="J7676" s="3" t="s">
        <v>39695</v>
      </c>
      <c r="K7676" s="3"/>
      <c r="L7676" s="3"/>
      <c r="M7676" s="4"/>
      <c r="N7676" s="3" t="s">
        <v>37</v>
      </c>
      <c r="O7676" s="3" t="s">
        <v>52</v>
      </c>
      <c r="P7676" s="5">
        <v>9</v>
      </c>
      <c r="Q7676" s="5">
        <v>109</v>
      </c>
      <c r="R7676" s="5">
        <v>9</v>
      </c>
      <c r="S7676" s="5">
        <v>110</v>
      </c>
    </row>
    <row r="7677" spans="1:19" ht="28" x14ac:dyDescent="0.15">
      <c r="A7677" s="2">
        <f>HYPERLINK("https://open-school.uspishnemisto.com.ua/school/460365/", 460365)</f>
        <v>460365</v>
      </c>
      <c r="B7677" s="3" t="s">
        <v>39696</v>
      </c>
      <c r="C7677" s="3" t="s">
        <v>54</v>
      </c>
      <c r="D7677" s="3" t="s">
        <v>32</v>
      </c>
      <c r="E7677" s="4" t="s">
        <v>22</v>
      </c>
      <c r="F7677" s="4" t="s">
        <v>39697</v>
      </c>
      <c r="G7677" s="4" t="s">
        <v>39698</v>
      </c>
      <c r="H7677" s="3" t="s">
        <v>38194</v>
      </c>
      <c r="I7677" s="3" t="s">
        <v>39699</v>
      </c>
      <c r="J7677" s="3" t="s">
        <v>39700</v>
      </c>
      <c r="K7677" s="3" t="s">
        <v>39701</v>
      </c>
      <c r="L7677" s="3"/>
      <c r="M7677" s="4"/>
      <c r="N7677" s="3" t="s">
        <v>37</v>
      </c>
      <c r="O7677" s="3" t="s">
        <v>52</v>
      </c>
      <c r="P7677" s="5">
        <v>13</v>
      </c>
      <c r="Q7677" s="5">
        <v>216</v>
      </c>
      <c r="R7677" s="5">
        <v>13</v>
      </c>
      <c r="S7677" s="5">
        <v>213</v>
      </c>
    </row>
    <row r="7678" spans="1:19" ht="28" x14ac:dyDescent="0.15">
      <c r="A7678" s="2">
        <f>HYPERLINK("https://open-school.uspishnemisto.com.ua/school/460366/", 460366)</f>
        <v>460366</v>
      </c>
      <c r="B7678" s="3" t="s">
        <v>39702</v>
      </c>
      <c r="C7678" s="3" t="s">
        <v>31</v>
      </c>
      <c r="D7678" s="3" t="s">
        <v>32</v>
      </c>
      <c r="E7678" s="4" t="s">
        <v>22</v>
      </c>
      <c r="F7678" s="4" t="s">
        <v>39703</v>
      </c>
      <c r="G7678" s="4" t="s">
        <v>39704</v>
      </c>
      <c r="H7678" s="3" t="s">
        <v>38194</v>
      </c>
      <c r="I7678" s="3" t="s">
        <v>39705</v>
      </c>
      <c r="J7678" s="3" t="s">
        <v>726</v>
      </c>
      <c r="K7678" s="3" t="s">
        <v>39706</v>
      </c>
      <c r="L7678" s="3"/>
      <c r="M7678" s="4"/>
      <c r="N7678" s="3" t="s">
        <v>37</v>
      </c>
      <c r="O7678" s="3" t="s">
        <v>52</v>
      </c>
      <c r="P7678" s="5">
        <v>11</v>
      </c>
      <c r="Q7678" s="5">
        <v>97</v>
      </c>
      <c r="R7678" s="5">
        <v>11</v>
      </c>
      <c r="S7678" s="5">
        <v>105</v>
      </c>
    </row>
    <row r="7679" spans="1:19" ht="28" x14ac:dyDescent="0.15">
      <c r="A7679" s="2">
        <f>HYPERLINK("https://open-school.uspishnemisto.com.ua/school/460367/", 460367)</f>
        <v>460367</v>
      </c>
      <c r="B7679" s="3" t="s">
        <v>39707</v>
      </c>
      <c r="C7679" s="3" t="s">
        <v>31</v>
      </c>
      <c r="D7679" s="3" t="s">
        <v>175</v>
      </c>
      <c r="E7679" s="4" t="s">
        <v>22</v>
      </c>
      <c r="F7679" s="4" t="s">
        <v>39708</v>
      </c>
      <c r="G7679" s="4" t="s">
        <v>39709</v>
      </c>
      <c r="H7679" s="3" t="s">
        <v>38194</v>
      </c>
      <c r="I7679" s="3" t="s">
        <v>39710</v>
      </c>
      <c r="J7679" s="3" t="s">
        <v>39711</v>
      </c>
      <c r="K7679" s="3" t="s">
        <v>39712</v>
      </c>
      <c r="L7679" s="3"/>
      <c r="M7679" s="4"/>
      <c r="N7679" s="3" t="s">
        <v>37</v>
      </c>
      <c r="O7679" s="3" t="s">
        <v>46</v>
      </c>
      <c r="P7679" s="5">
        <v>7</v>
      </c>
      <c r="Q7679" s="5">
        <v>43</v>
      </c>
      <c r="R7679" s="5">
        <v>4</v>
      </c>
      <c r="S7679" s="5">
        <v>42</v>
      </c>
    </row>
    <row r="7680" spans="1:19" ht="28" x14ac:dyDescent="0.15">
      <c r="A7680" s="2">
        <f>HYPERLINK("https://open-school.uspishnemisto.com.ua/school/460368/", 460368)</f>
        <v>460368</v>
      </c>
      <c r="B7680" s="3" t="s">
        <v>39713</v>
      </c>
      <c r="C7680" s="3" t="s">
        <v>31</v>
      </c>
      <c r="D7680" s="3" t="s">
        <v>175</v>
      </c>
      <c r="E7680" s="4" t="s">
        <v>22</v>
      </c>
      <c r="F7680" s="4" t="s">
        <v>39708</v>
      </c>
      <c r="G7680" s="4" t="s">
        <v>39714</v>
      </c>
      <c r="H7680" s="3" t="s">
        <v>38194</v>
      </c>
      <c r="I7680" s="3" t="s">
        <v>39715</v>
      </c>
      <c r="J7680" s="3"/>
      <c r="K7680" s="3" t="s">
        <v>39716</v>
      </c>
      <c r="L7680" s="3"/>
      <c r="M7680" s="4"/>
      <c r="N7680" s="3" t="s">
        <v>37</v>
      </c>
      <c r="O7680" s="3" t="s">
        <v>46</v>
      </c>
      <c r="P7680" s="5">
        <v>1</v>
      </c>
      <c r="Q7680" s="5">
        <v>32</v>
      </c>
      <c r="R7680" s="5">
        <v>1</v>
      </c>
      <c r="S7680" s="5">
        <v>34</v>
      </c>
    </row>
    <row r="7681" spans="1:19" ht="28" x14ac:dyDescent="0.15">
      <c r="A7681" s="2">
        <f>HYPERLINK("https://open-school.uspishnemisto.com.ua/school/460369/", 460369)</f>
        <v>460369</v>
      </c>
      <c r="B7681" s="3" t="s">
        <v>39717</v>
      </c>
      <c r="C7681" s="3" t="s">
        <v>54</v>
      </c>
      <c r="D7681" s="3" t="s">
        <v>32</v>
      </c>
      <c r="E7681" s="4" t="s">
        <v>22</v>
      </c>
      <c r="F7681" s="4" t="s">
        <v>39718</v>
      </c>
      <c r="G7681" s="4" t="s">
        <v>39719</v>
      </c>
      <c r="H7681" s="3" t="s">
        <v>38194</v>
      </c>
      <c r="I7681" s="3" t="s">
        <v>39720</v>
      </c>
      <c r="J7681" s="3" t="s">
        <v>30002</v>
      </c>
      <c r="K7681" s="3" t="s">
        <v>39721</v>
      </c>
      <c r="L7681" s="3"/>
      <c r="M7681" s="4"/>
      <c r="N7681" s="3" t="s">
        <v>37</v>
      </c>
      <c r="O7681" s="3" t="s">
        <v>46</v>
      </c>
      <c r="P7681" s="5">
        <v>11</v>
      </c>
      <c r="Q7681" s="5">
        <v>224</v>
      </c>
      <c r="R7681" s="5">
        <v>11</v>
      </c>
      <c r="S7681" s="5">
        <v>221</v>
      </c>
    </row>
    <row r="7682" spans="1:19" ht="28" x14ac:dyDescent="0.15">
      <c r="A7682" s="2">
        <f>HYPERLINK("https://open-school.uspishnemisto.com.ua/school/460370/", 460370)</f>
        <v>460370</v>
      </c>
      <c r="B7682" s="3" t="s">
        <v>39722</v>
      </c>
      <c r="C7682" s="3" t="s">
        <v>31</v>
      </c>
      <c r="D7682" s="3" t="s">
        <v>32</v>
      </c>
      <c r="E7682" s="4" t="s">
        <v>22</v>
      </c>
      <c r="F7682" s="4" t="s">
        <v>39723</v>
      </c>
      <c r="G7682" s="4" t="s">
        <v>39724</v>
      </c>
      <c r="H7682" s="3" t="s">
        <v>38194</v>
      </c>
      <c r="I7682" s="3" t="s">
        <v>17292</v>
      </c>
      <c r="J7682" s="3" t="s">
        <v>878</v>
      </c>
      <c r="K7682" s="3" t="s">
        <v>39725</v>
      </c>
      <c r="L7682" s="3"/>
      <c r="M7682" s="4"/>
      <c r="N7682" s="3" t="s">
        <v>37</v>
      </c>
      <c r="O7682" s="3" t="s">
        <v>52</v>
      </c>
      <c r="P7682" s="5">
        <v>20</v>
      </c>
      <c r="Q7682" s="5">
        <v>411</v>
      </c>
      <c r="R7682" s="5">
        <v>20</v>
      </c>
      <c r="S7682" s="5">
        <v>409</v>
      </c>
    </row>
    <row r="7683" spans="1:19" ht="56" x14ac:dyDescent="0.15">
      <c r="A7683" s="2">
        <f>HYPERLINK("https://open-school.uspishnemisto.com.ua/school/460371/", 460371)</f>
        <v>460371</v>
      </c>
      <c r="B7683" s="3" t="s">
        <v>39726</v>
      </c>
      <c r="C7683" s="3" t="s">
        <v>54</v>
      </c>
      <c r="D7683" s="3" t="s">
        <v>175</v>
      </c>
      <c r="E7683" s="4" t="s">
        <v>22</v>
      </c>
      <c r="F7683" s="4" t="s">
        <v>39727</v>
      </c>
      <c r="G7683" s="4" t="s">
        <v>39728</v>
      </c>
      <c r="H7683" s="3" t="s">
        <v>38194</v>
      </c>
      <c r="I7683" s="3" t="s">
        <v>39729</v>
      </c>
      <c r="J7683" s="3" t="s">
        <v>39730</v>
      </c>
      <c r="K7683" s="3"/>
      <c r="L7683" s="3"/>
      <c r="M7683" s="4"/>
      <c r="N7683" s="3" t="s">
        <v>37</v>
      </c>
      <c r="O7683" s="3" t="s">
        <v>52</v>
      </c>
      <c r="P7683" s="5">
        <v>3</v>
      </c>
      <c r="Q7683" s="5">
        <v>29</v>
      </c>
      <c r="R7683" s="5">
        <v>2</v>
      </c>
      <c r="S7683" s="5">
        <v>27</v>
      </c>
    </row>
    <row r="7684" spans="1:19" ht="28" x14ac:dyDescent="0.15">
      <c r="A7684" s="2">
        <f>HYPERLINK("https://open-school.uspishnemisto.com.ua/school/460372/", 460372)</f>
        <v>460372</v>
      </c>
      <c r="B7684" s="3" t="s">
        <v>39731</v>
      </c>
      <c r="C7684" s="3" t="s">
        <v>31</v>
      </c>
      <c r="D7684" s="3" t="s">
        <v>175</v>
      </c>
      <c r="E7684" s="4" t="s">
        <v>22</v>
      </c>
      <c r="F7684" s="4" t="s">
        <v>39732</v>
      </c>
      <c r="G7684" s="4" t="s">
        <v>39733</v>
      </c>
      <c r="H7684" s="3" t="s">
        <v>38194</v>
      </c>
      <c r="I7684" s="3" t="s">
        <v>39734</v>
      </c>
      <c r="J7684" s="3" t="s">
        <v>39735</v>
      </c>
      <c r="K7684" s="3" t="s">
        <v>39736</v>
      </c>
      <c r="L7684" s="3"/>
      <c r="M7684" s="4"/>
      <c r="N7684" s="3" t="s">
        <v>37</v>
      </c>
      <c r="O7684" s="3" t="s">
        <v>52</v>
      </c>
      <c r="P7684" s="5">
        <v>7</v>
      </c>
      <c r="Q7684" s="5">
        <v>50</v>
      </c>
      <c r="R7684" s="5">
        <v>7</v>
      </c>
      <c r="S7684" s="5">
        <v>51</v>
      </c>
    </row>
    <row r="7685" spans="1:19" ht="28" x14ac:dyDescent="0.15">
      <c r="A7685" s="2">
        <f>HYPERLINK("https://open-school.uspishnemisto.com.ua/school/460373/", 460373)</f>
        <v>460373</v>
      </c>
      <c r="B7685" s="3" t="s">
        <v>39737</v>
      </c>
      <c r="C7685" s="3" t="s">
        <v>54</v>
      </c>
      <c r="D7685" s="3" t="s">
        <v>175</v>
      </c>
      <c r="E7685" s="4" t="s">
        <v>22</v>
      </c>
      <c r="F7685" s="4" t="s">
        <v>39738</v>
      </c>
      <c r="G7685" s="4" t="s">
        <v>39739</v>
      </c>
      <c r="H7685" s="3" t="s">
        <v>38194</v>
      </c>
      <c r="I7685" s="3" t="s">
        <v>39740</v>
      </c>
      <c r="J7685" s="3" t="s">
        <v>39741</v>
      </c>
      <c r="K7685" s="3" t="s">
        <v>39742</v>
      </c>
      <c r="L7685" s="3"/>
      <c r="M7685" s="4"/>
      <c r="N7685" s="3" t="s">
        <v>37</v>
      </c>
      <c r="O7685" s="3" t="s">
        <v>52</v>
      </c>
      <c r="P7685" s="5">
        <v>9</v>
      </c>
      <c r="Q7685" s="5">
        <v>75</v>
      </c>
      <c r="R7685" s="5">
        <v>9</v>
      </c>
      <c r="S7685" s="5">
        <v>72</v>
      </c>
    </row>
    <row r="7686" spans="1:19" ht="28" x14ac:dyDescent="0.15">
      <c r="A7686" s="2">
        <f>HYPERLINK("https://open-school.uspishnemisto.com.ua/school/460374/", 460374)</f>
        <v>460374</v>
      </c>
      <c r="B7686" s="3" t="s">
        <v>39743</v>
      </c>
      <c r="C7686" s="3" t="s">
        <v>31</v>
      </c>
      <c r="D7686" s="3" t="s">
        <v>60</v>
      </c>
      <c r="E7686" s="4" t="s">
        <v>22</v>
      </c>
      <c r="F7686" s="4" t="s">
        <v>39738</v>
      </c>
      <c r="G7686" s="4" t="s">
        <v>39744</v>
      </c>
      <c r="H7686" s="3" t="s">
        <v>38194</v>
      </c>
      <c r="I7686" s="3" t="s">
        <v>39745</v>
      </c>
      <c r="J7686" s="3" t="s">
        <v>39746</v>
      </c>
      <c r="K7686" s="3" t="s">
        <v>39747</v>
      </c>
      <c r="L7686" s="3"/>
      <c r="M7686" s="4"/>
      <c r="N7686" s="3" t="s">
        <v>37</v>
      </c>
      <c r="O7686" s="3" t="s">
        <v>52</v>
      </c>
      <c r="P7686" s="5">
        <v>0</v>
      </c>
      <c r="Q7686" s="5">
        <v>0</v>
      </c>
      <c r="R7686" s="5">
        <v>1</v>
      </c>
      <c r="S7686" s="5">
        <v>18</v>
      </c>
    </row>
    <row r="7687" spans="1:19" ht="28" x14ac:dyDescent="0.15">
      <c r="A7687" s="2">
        <f>HYPERLINK("https://open-school.uspishnemisto.com.ua/school/460375/", 460375)</f>
        <v>460375</v>
      </c>
      <c r="B7687" s="3" t="s">
        <v>39748</v>
      </c>
      <c r="C7687" s="3" t="s">
        <v>31</v>
      </c>
      <c r="D7687" s="3" t="s">
        <v>175</v>
      </c>
      <c r="E7687" s="4" t="s">
        <v>22</v>
      </c>
      <c r="F7687" s="4" t="s">
        <v>39596</v>
      </c>
      <c r="G7687" s="4" t="s">
        <v>39749</v>
      </c>
      <c r="H7687" s="3" t="s">
        <v>38194</v>
      </c>
      <c r="I7687" s="3" t="s">
        <v>39750</v>
      </c>
      <c r="J7687" s="3" t="s">
        <v>946</v>
      </c>
      <c r="K7687" s="3" t="s">
        <v>39751</v>
      </c>
      <c r="L7687" s="3"/>
      <c r="M7687" s="4"/>
      <c r="N7687" s="3" t="s">
        <v>37</v>
      </c>
      <c r="O7687" s="3" t="s">
        <v>52</v>
      </c>
      <c r="P7687" s="5">
        <v>4</v>
      </c>
      <c r="Q7687" s="5">
        <v>31</v>
      </c>
      <c r="R7687" s="5">
        <v>4</v>
      </c>
      <c r="S7687" s="5">
        <v>28</v>
      </c>
    </row>
    <row r="7688" spans="1:19" ht="28" x14ac:dyDescent="0.15">
      <c r="A7688" s="2">
        <f>HYPERLINK("https://open-school.uspishnemisto.com.ua/school/460377/", 460377)</f>
        <v>460377</v>
      </c>
      <c r="B7688" s="3" t="s">
        <v>39752</v>
      </c>
      <c r="C7688" s="3" t="s">
        <v>31</v>
      </c>
      <c r="D7688" s="3" t="s">
        <v>32</v>
      </c>
      <c r="E7688" s="4" t="s">
        <v>22</v>
      </c>
      <c r="F7688" s="4" t="s">
        <v>39753</v>
      </c>
      <c r="G7688" s="4" t="s">
        <v>39754</v>
      </c>
      <c r="H7688" s="3" t="s">
        <v>38194</v>
      </c>
      <c r="I7688" s="3" t="s">
        <v>39755</v>
      </c>
      <c r="J7688" s="3" t="s">
        <v>946</v>
      </c>
      <c r="K7688" s="3" t="s">
        <v>39756</v>
      </c>
      <c r="L7688" s="3" t="s">
        <v>39757</v>
      </c>
      <c r="M7688" s="4"/>
      <c r="N7688" s="3" t="s">
        <v>37</v>
      </c>
      <c r="O7688" s="3" t="s">
        <v>46</v>
      </c>
      <c r="P7688" s="5">
        <v>20</v>
      </c>
      <c r="Q7688" s="5">
        <v>449</v>
      </c>
      <c r="R7688" s="5">
        <v>20</v>
      </c>
      <c r="S7688" s="5">
        <v>450</v>
      </c>
    </row>
    <row r="7689" spans="1:19" ht="42" x14ac:dyDescent="0.15">
      <c r="A7689" s="2">
        <f>HYPERLINK("https://open-school.uspishnemisto.com.ua/school/460378/", 460378)</f>
        <v>460378</v>
      </c>
      <c r="B7689" s="3" t="s">
        <v>39758</v>
      </c>
      <c r="C7689" s="3" t="s">
        <v>4989</v>
      </c>
      <c r="D7689" s="3" t="s">
        <v>32</v>
      </c>
      <c r="E7689" s="4" t="s">
        <v>22</v>
      </c>
      <c r="F7689" s="4" t="s">
        <v>39759</v>
      </c>
      <c r="G7689" s="4" t="s">
        <v>39760</v>
      </c>
      <c r="H7689" s="3" t="s">
        <v>38194</v>
      </c>
      <c r="I7689" s="3" t="s">
        <v>39761</v>
      </c>
      <c r="J7689" s="3" t="s">
        <v>3494</v>
      </c>
      <c r="K7689" s="3"/>
      <c r="L7689" s="3"/>
      <c r="M7689" s="4" t="s">
        <v>39762</v>
      </c>
      <c r="N7689" s="3" t="s">
        <v>37</v>
      </c>
      <c r="O7689" s="3" t="s">
        <v>52</v>
      </c>
      <c r="P7689" s="5">
        <v>9</v>
      </c>
      <c r="Q7689" s="5">
        <v>123</v>
      </c>
      <c r="R7689" s="5">
        <v>9</v>
      </c>
      <c r="S7689" s="5">
        <v>117</v>
      </c>
    </row>
    <row r="7690" spans="1:19" ht="42" x14ac:dyDescent="0.15">
      <c r="A7690" s="2">
        <f>HYPERLINK("https://open-school.uspishnemisto.com.ua/school/460379/", 460379)</f>
        <v>460379</v>
      </c>
      <c r="B7690" s="3" t="s">
        <v>39763</v>
      </c>
      <c r="C7690" s="3" t="s">
        <v>54</v>
      </c>
      <c r="D7690" s="3" t="s">
        <v>32</v>
      </c>
      <c r="E7690" s="4" t="s">
        <v>22</v>
      </c>
      <c r="F7690" s="4" t="s">
        <v>39759</v>
      </c>
      <c r="G7690" s="4" t="s">
        <v>39760</v>
      </c>
      <c r="H7690" s="3" t="s">
        <v>38194</v>
      </c>
      <c r="I7690" s="3" t="s">
        <v>39761</v>
      </c>
      <c r="J7690" s="3" t="s">
        <v>39764</v>
      </c>
      <c r="K7690" s="3"/>
      <c r="L7690" s="3"/>
      <c r="M7690" s="4"/>
      <c r="N7690" s="3" t="s">
        <v>37</v>
      </c>
      <c r="O7690" s="3" t="s">
        <v>2740</v>
      </c>
      <c r="P7690" s="5">
        <v>15</v>
      </c>
      <c r="Q7690" s="5">
        <v>272</v>
      </c>
      <c r="R7690" s="5">
        <v>14</v>
      </c>
      <c r="S7690" s="5">
        <v>253</v>
      </c>
    </row>
    <row r="7691" spans="1:19" ht="28" x14ac:dyDescent="0.15">
      <c r="A7691" s="2">
        <f>HYPERLINK("https://open-school.uspishnemisto.com.ua/school/460380/", 460380)</f>
        <v>460380</v>
      </c>
      <c r="B7691" s="3" t="s">
        <v>39765</v>
      </c>
      <c r="C7691" s="3" t="s">
        <v>31</v>
      </c>
      <c r="D7691" s="3" t="s">
        <v>175</v>
      </c>
      <c r="E7691" s="4" t="s">
        <v>22</v>
      </c>
      <c r="F7691" s="4" t="s">
        <v>39759</v>
      </c>
      <c r="G7691" s="4" t="s">
        <v>39766</v>
      </c>
      <c r="H7691" s="3" t="s">
        <v>38194</v>
      </c>
      <c r="I7691" s="3" t="s">
        <v>39767</v>
      </c>
      <c r="J7691" s="3" t="s">
        <v>39768</v>
      </c>
      <c r="K7691" s="3" t="s">
        <v>39769</v>
      </c>
      <c r="L7691" s="3"/>
      <c r="M7691" s="4"/>
      <c r="N7691" s="3" t="s">
        <v>37</v>
      </c>
      <c r="O7691" s="3" t="s">
        <v>2740</v>
      </c>
      <c r="P7691" s="5">
        <v>9</v>
      </c>
      <c r="Q7691" s="5">
        <v>176</v>
      </c>
      <c r="R7691" s="5">
        <v>9</v>
      </c>
      <c r="S7691" s="5">
        <v>168</v>
      </c>
    </row>
    <row r="7692" spans="1:19" ht="28" x14ac:dyDescent="0.15">
      <c r="A7692" s="2">
        <f>HYPERLINK("https://open-school.uspishnemisto.com.ua/school/460381/", 460381)</f>
        <v>460381</v>
      </c>
      <c r="B7692" s="3" t="s">
        <v>39770</v>
      </c>
      <c r="C7692" s="3" t="s">
        <v>31</v>
      </c>
      <c r="D7692" s="3" t="s">
        <v>175</v>
      </c>
      <c r="E7692" s="4" t="s">
        <v>22</v>
      </c>
      <c r="F7692" s="4" t="s">
        <v>39771</v>
      </c>
      <c r="G7692" s="4" t="s">
        <v>39772</v>
      </c>
      <c r="H7692" s="3" t="s">
        <v>38194</v>
      </c>
      <c r="I7692" s="3" t="s">
        <v>39773</v>
      </c>
      <c r="J7692" s="3" t="s">
        <v>2719</v>
      </c>
      <c r="K7692" s="3" t="s">
        <v>39774</v>
      </c>
      <c r="L7692" s="3"/>
      <c r="M7692" s="4"/>
      <c r="N7692" s="3" t="s">
        <v>37</v>
      </c>
      <c r="O7692" s="3" t="s">
        <v>52</v>
      </c>
      <c r="P7692" s="5">
        <v>10</v>
      </c>
      <c r="Q7692" s="5">
        <v>185</v>
      </c>
      <c r="R7692" s="5">
        <v>10</v>
      </c>
      <c r="S7692" s="5">
        <v>182</v>
      </c>
    </row>
    <row r="7693" spans="1:19" ht="28" x14ac:dyDescent="0.15">
      <c r="A7693" s="2">
        <f>HYPERLINK("https://open-school.uspishnemisto.com.ua/school/460382/", 460382)</f>
        <v>460382</v>
      </c>
      <c r="B7693" s="3" t="s">
        <v>39775</v>
      </c>
      <c r="C7693" s="3" t="s">
        <v>31</v>
      </c>
      <c r="D7693" s="3" t="s">
        <v>175</v>
      </c>
      <c r="E7693" s="4" t="s">
        <v>22</v>
      </c>
      <c r="F7693" s="4" t="s">
        <v>39776</v>
      </c>
      <c r="G7693" s="4" t="s">
        <v>39777</v>
      </c>
      <c r="H7693" s="3" t="s">
        <v>38194</v>
      </c>
      <c r="I7693" s="3" t="s">
        <v>5785</v>
      </c>
      <c r="J7693" s="3" t="s">
        <v>39778</v>
      </c>
      <c r="K7693" s="3" t="s">
        <v>39779</v>
      </c>
      <c r="L7693" s="3"/>
      <c r="M7693" s="4"/>
      <c r="N7693" s="3" t="s">
        <v>37</v>
      </c>
      <c r="O7693" s="3" t="s">
        <v>52</v>
      </c>
      <c r="P7693" s="5">
        <v>6</v>
      </c>
      <c r="Q7693" s="5">
        <v>64</v>
      </c>
      <c r="R7693" s="5">
        <v>8</v>
      </c>
      <c r="S7693" s="5">
        <v>63</v>
      </c>
    </row>
    <row r="7694" spans="1:19" ht="28" x14ac:dyDescent="0.15">
      <c r="A7694" s="2">
        <f>HYPERLINK("https://open-school.uspishnemisto.com.ua/school/460383/", 460383)</f>
        <v>460383</v>
      </c>
      <c r="B7694" s="3" t="s">
        <v>39780</v>
      </c>
      <c r="C7694" s="3" t="s">
        <v>31</v>
      </c>
      <c r="D7694" s="3" t="s">
        <v>175</v>
      </c>
      <c r="E7694" s="4" t="s">
        <v>22</v>
      </c>
      <c r="F7694" s="4" t="s">
        <v>39781</v>
      </c>
      <c r="G7694" s="4" t="s">
        <v>39782</v>
      </c>
      <c r="H7694" s="3" t="s">
        <v>38194</v>
      </c>
      <c r="I7694" s="3" t="s">
        <v>21783</v>
      </c>
      <c r="J7694" s="3" t="s">
        <v>39783</v>
      </c>
      <c r="K7694" s="3" t="s">
        <v>39784</v>
      </c>
      <c r="L7694" s="3"/>
      <c r="M7694" s="4"/>
      <c r="N7694" s="3" t="s">
        <v>37</v>
      </c>
      <c r="O7694" s="3" t="s">
        <v>52</v>
      </c>
      <c r="P7694" s="5">
        <v>7</v>
      </c>
      <c r="Q7694" s="5">
        <v>47</v>
      </c>
      <c r="R7694" s="5">
        <v>6</v>
      </c>
      <c r="S7694" s="5">
        <v>46</v>
      </c>
    </row>
    <row r="7695" spans="1:19" ht="28" x14ac:dyDescent="0.15">
      <c r="A7695" s="2">
        <f>HYPERLINK("https://open-school.uspishnemisto.com.ua/school/460384/", 460384)</f>
        <v>460384</v>
      </c>
      <c r="B7695" s="3" t="s">
        <v>39785</v>
      </c>
      <c r="C7695" s="3" t="s">
        <v>31</v>
      </c>
      <c r="D7695" s="3" t="s">
        <v>175</v>
      </c>
      <c r="E7695" s="4" t="s">
        <v>22</v>
      </c>
      <c r="F7695" s="4" t="s">
        <v>39781</v>
      </c>
      <c r="G7695" s="4" t="s">
        <v>39786</v>
      </c>
      <c r="H7695" s="3" t="s">
        <v>38194</v>
      </c>
      <c r="I7695" s="3" t="s">
        <v>17135</v>
      </c>
      <c r="J7695" s="3" t="s">
        <v>39787</v>
      </c>
      <c r="K7695" s="3" t="s">
        <v>39788</v>
      </c>
      <c r="L7695" s="3"/>
      <c r="M7695" s="4"/>
      <c r="N7695" s="3" t="s">
        <v>37</v>
      </c>
      <c r="O7695" s="3" t="s">
        <v>52</v>
      </c>
      <c r="P7695" s="5">
        <v>1</v>
      </c>
      <c r="Q7695" s="5">
        <v>25</v>
      </c>
      <c r="R7695" s="5">
        <v>1</v>
      </c>
      <c r="S7695" s="5">
        <v>25</v>
      </c>
    </row>
    <row r="7696" spans="1:19" ht="28" x14ac:dyDescent="0.15">
      <c r="A7696" s="2">
        <f>HYPERLINK("https://open-school.uspishnemisto.com.ua/school/460385/", 460385)</f>
        <v>460385</v>
      </c>
      <c r="B7696" s="3" t="s">
        <v>39789</v>
      </c>
      <c r="C7696" s="3" t="s">
        <v>31</v>
      </c>
      <c r="D7696" s="3" t="s">
        <v>60</v>
      </c>
      <c r="E7696" s="4" t="s">
        <v>22</v>
      </c>
      <c r="F7696" s="4" t="s">
        <v>39781</v>
      </c>
      <c r="G7696" s="4" t="s">
        <v>39790</v>
      </c>
      <c r="H7696" s="3" t="s">
        <v>38194</v>
      </c>
      <c r="I7696" s="3" t="s">
        <v>39791</v>
      </c>
      <c r="J7696" s="3" t="s">
        <v>39792</v>
      </c>
      <c r="K7696" s="3"/>
      <c r="L7696" s="3"/>
      <c r="M7696" s="4"/>
      <c r="N7696" s="3" t="s">
        <v>37</v>
      </c>
      <c r="O7696" s="3" t="s">
        <v>52</v>
      </c>
      <c r="P7696" s="5">
        <v>1</v>
      </c>
      <c r="Q7696" s="5">
        <v>15</v>
      </c>
      <c r="R7696" s="5">
        <v>2</v>
      </c>
      <c r="S7696" s="5">
        <v>16</v>
      </c>
    </row>
    <row r="7697" spans="1:19" ht="28" x14ac:dyDescent="0.15">
      <c r="A7697" s="2">
        <f>HYPERLINK("https://open-school.uspishnemisto.com.ua/school/460386/", 460386)</f>
        <v>460386</v>
      </c>
      <c r="B7697" s="3" t="s">
        <v>39793</v>
      </c>
      <c r="C7697" s="3" t="s">
        <v>31</v>
      </c>
      <c r="D7697" s="3" t="s">
        <v>60</v>
      </c>
      <c r="E7697" s="4" t="s">
        <v>22</v>
      </c>
      <c r="F7697" s="4" t="s">
        <v>39781</v>
      </c>
      <c r="G7697" s="4" t="s">
        <v>39794</v>
      </c>
      <c r="H7697" s="3" t="s">
        <v>38194</v>
      </c>
      <c r="I7697" s="3" t="s">
        <v>39795</v>
      </c>
      <c r="J7697" s="3" t="s">
        <v>28812</v>
      </c>
      <c r="K7697" s="3" t="s">
        <v>39796</v>
      </c>
      <c r="L7697" s="3"/>
      <c r="M7697" s="4"/>
      <c r="N7697" s="3" t="s">
        <v>37</v>
      </c>
      <c r="O7697" s="3" t="s">
        <v>52</v>
      </c>
      <c r="P7697" s="5">
        <v>0</v>
      </c>
      <c r="Q7697" s="5">
        <v>5</v>
      </c>
      <c r="R7697" s="5">
        <v>0</v>
      </c>
      <c r="S7697" s="5">
        <v>4</v>
      </c>
    </row>
    <row r="7698" spans="1:19" ht="56" x14ac:dyDescent="0.15">
      <c r="A7698" s="2">
        <f>HYPERLINK("https://open-school.uspishnemisto.com.ua/school/460387/", 460387)</f>
        <v>460387</v>
      </c>
      <c r="B7698" s="3" t="s">
        <v>39797</v>
      </c>
      <c r="C7698" s="3" t="s">
        <v>54</v>
      </c>
      <c r="D7698" s="3" t="s">
        <v>175</v>
      </c>
      <c r="E7698" s="4" t="s">
        <v>22</v>
      </c>
      <c r="F7698" s="4" t="s">
        <v>39798</v>
      </c>
      <c r="G7698" s="4" t="s">
        <v>39799</v>
      </c>
      <c r="H7698" s="3" t="s">
        <v>38194</v>
      </c>
      <c r="I7698" s="3" t="s">
        <v>39800</v>
      </c>
      <c r="J7698" s="3" t="s">
        <v>2476</v>
      </c>
      <c r="K7698" s="3"/>
      <c r="L7698" s="3"/>
      <c r="M7698" s="4"/>
      <c r="N7698" s="3" t="s">
        <v>37</v>
      </c>
      <c r="O7698" s="3" t="s">
        <v>52</v>
      </c>
      <c r="P7698" s="5">
        <v>6</v>
      </c>
      <c r="Q7698" s="5">
        <v>58</v>
      </c>
      <c r="R7698" s="5">
        <v>6</v>
      </c>
      <c r="S7698" s="5">
        <v>55</v>
      </c>
    </row>
    <row r="7699" spans="1:19" ht="28" x14ac:dyDescent="0.15">
      <c r="A7699" s="2">
        <f>HYPERLINK("https://open-school.uspishnemisto.com.ua/school/460388/", 460388)</f>
        <v>460388</v>
      </c>
      <c r="B7699" s="3" t="s">
        <v>39801</v>
      </c>
      <c r="C7699" s="3" t="s">
        <v>31</v>
      </c>
      <c r="D7699" s="3" t="s">
        <v>32</v>
      </c>
      <c r="E7699" s="4" t="s">
        <v>22</v>
      </c>
      <c r="F7699" s="4" t="s">
        <v>39802</v>
      </c>
      <c r="G7699" s="4" t="s">
        <v>39803</v>
      </c>
      <c r="H7699" s="3" t="s">
        <v>38194</v>
      </c>
      <c r="I7699" s="3" t="s">
        <v>39804</v>
      </c>
      <c r="J7699" s="3" t="s">
        <v>1001</v>
      </c>
      <c r="K7699" s="3" t="s">
        <v>39805</v>
      </c>
      <c r="L7699" s="3"/>
      <c r="M7699" s="4"/>
      <c r="N7699" s="3" t="s">
        <v>37</v>
      </c>
      <c r="O7699" s="3" t="s">
        <v>46</v>
      </c>
      <c r="P7699" s="5">
        <v>11</v>
      </c>
      <c r="Q7699" s="5">
        <v>116</v>
      </c>
      <c r="R7699" s="5">
        <v>11</v>
      </c>
      <c r="S7699" s="5">
        <v>124</v>
      </c>
    </row>
    <row r="7700" spans="1:19" ht="56" x14ac:dyDescent="0.15">
      <c r="A7700" s="2">
        <f>HYPERLINK("https://open-school.uspishnemisto.com.ua/school/460389/", 460389)</f>
        <v>460389</v>
      </c>
      <c r="B7700" s="3" t="s">
        <v>39806</v>
      </c>
      <c r="C7700" s="3" t="s">
        <v>54</v>
      </c>
      <c r="D7700" s="3" t="s">
        <v>175</v>
      </c>
      <c r="E7700" s="4" t="s">
        <v>22</v>
      </c>
      <c r="F7700" s="4" t="s">
        <v>39807</v>
      </c>
      <c r="G7700" s="4" t="s">
        <v>39808</v>
      </c>
      <c r="H7700" s="3" t="s">
        <v>38194</v>
      </c>
      <c r="I7700" s="3" t="s">
        <v>39809</v>
      </c>
      <c r="J7700" s="3" t="s">
        <v>39810</v>
      </c>
      <c r="K7700" s="3" t="s">
        <v>39811</v>
      </c>
      <c r="L7700" s="3"/>
      <c r="M7700" s="4"/>
      <c r="N7700" s="3" t="s">
        <v>37</v>
      </c>
      <c r="O7700" s="3" t="s">
        <v>46</v>
      </c>
      <c r="P7700" s="5">
        <v>9</v>
      </c>
      <c r="Q7700" s="5">
        <v>84</v>
      </c>
      <c r="R7700" s="5">
        <v>9</v>
      </c>
      <c r="S7700" s="5">
        <v>84</v>
      </c>
    </row>
    <row r="7701" spans="1:19" ht="28" x14ac:dyDescent="0.15">
      <c r="A7701" s="2">
        <f>HYPERLINK("https://open-school.uspishnemisto.com.ua/school/460390/", 460390)</f>
        <v>460390</v>
      </c>
      <c r="B7701" s="3" t="s">
        <v>39812</v>
      </c>
      <c r="C7701" s="3" t="s">
        <v>31</v>
      </c>
      <c r="D7701" s="3" t="s">
        <v>60</v>
      </c>
      <c r="E7701" s="4" t="s">
        <v>22</v>
      </c>
      <c r="F7701" s="4" t="s">
        <v>39813</v>
      </c>
      <c r="G7701" s="4" t="s">
        <v>39814</v>
      </c>
      <c r="H7701" s="3" t="s">
        <v>38194</v>
      </c>
      <c r="I7701" s="3" t="s">
        <v>39815</v>
      </c>
      <c r="J7701" s="3" t="s">
        <v>39816</v>
      </c>
      <c r="K7701" s="3"/>
      <c r="L7701" s="3"/>
      <c r="M7701" s="4"/>
      <c r="N7701" s="3" t="s">
        <v>37</v>
      </c>
      <c r="O7701" s="3" t="s">
        <v>52</v>
      </c>
      <c r="P7701" s="5">
        <v>0</v>
      </c>
      <c r="Q7701" s="5">
        <v>5</v>
      </c>
      <c r="R7701" s="5">
        <v>0</v>
      </c>
      <c r="S7701" s="5">
        <v>5</v>
      </c>
    </row>
    <row r="7702" spans="1:19" ht="28" x14ac:dyDescent="0.15">
      <c r="A7702" s="2">
        <f>HYPERLINK("https://open-school.uspishnemisto.com.ua/school/460391/", 460391)</f>
        <v>460391</v>
      </c>
      <c r="B7702" s="3" t="s">
        <v>39817</v>
      </c>
      <c r="C7702" s="3" t="s">
        <v>31</v>
      </c>
      <c r="D7702" s="3" t="s">
        <v>32</v>
      </c>
      <c r="E7702" s="4" t="s">
        <v>22</v>
      </c>
      <c r="F7702" s="4" t="s">
        <v>39818</v>
      </c>
      <c r="G7702" s="4" t="s">
        <v>39819</v>
      </c>
      <c r="H7702" s="3" t="s">
        <v>38194</v>
      </c>
      <c r="I7702" s="3" t="s">
        <v>39820</v>
      </c>
      <c r="J7702" s="3" t="s">
        <v>39821</v>
      </c>
      <c r="K7702" s="3" t="s">
        <v>39822</v>
      </c>
      <c r="L7702" s="3"/>
      <c r="M7702" s="4"/>
      <c r="N7702" s="3" t="s">
        <v>37</v>
      </c>
      <c r="O7702" s="3" t="s">
        <v>2740</v>
      </c>
      <c r="P7702" s="5">
        <v>10</v>
      </c>
      <c r="Q7702" s="5">
        <v>160</v>
      </c>
      <c r="R7702" s="5">
        <v>11</v>
      </c>
      <c r="S7702" s="5">
        <v>165</v>
      </c>
    </row>
    <row r="7703" spans="1:19" ht="56" x14ac:dyDescent="0.15">
      <c r="A7703" s="2">
        <f>HYPERLINK("https://open-school.uspishnemisto.com.ua/school/460392/", 460392)</f>
        <v>460392</v>
      </c>
      <c r="B7703" s="3" t="s">
        <v>39823</v>
      </c>
      <c r="C7703" s="3" t="s">
        <v>54</v>
      </c>
      <c r="D7703" s="3" t="s">
        <v>32</v>
      </c>
      <c r="E7703" s="4" t="s">
        <v>22</v>
      </c>
      <c r="F7703" s="4" t="s">
        <v>39824</v>
      </c>
      <c r="G7703" s="4" t="s">
        <v>39825</v>
      </c>
      <c r="H7703" s="3" t="s">
        <v>38194</v>
      </c>
      <c r="I7703" s="3" t="s">
        <v>39826</v>
      </c>
      <c r="J7703" s="3" t="s">
        <v>479</v>
      </c>
      <c r="K7703" s="3" t="s">
        <v>39827</v>
      </c>
      <c r="L7703" s="3"/>
      <c r="M7703" s="4"/>
      <c r="N7703" s="3" t="s">
        <v>37</v>
      </c>
      <c r="O7703" s="3" t="s">
        <v>52</v>
      </c>
      <c r="P7703" s="5">
        <v>11</v>
      </c>
      <c r="Q7703" s="5">
        <v>141</v>
      </c>
      <c r="R7703" s="5">
        <v>11</v>
      </c>
      <c r="S7703" s="5">
        <v>142</v>
      </c>
    </row>
    <row r="7704" spans="1:19" ht="28" x14ac:dyDescent="0.15">
      <c r="A7704" s="2">
        <f>HYPERLINK("https://open-school.uspishnemisto.com.ua/school/460393/", 460393)</f>
        <v>460393</v>
      </c>
      <c r="B7704" s="3" t="s">
        <v>39828</v>
      </c>
      <c r="C7704" s="3" t="s">
        <v>31</v>
      </c>
      <c r="D7704" s="3" t="s">
        <v>60</v>
      </c>
      <c r="E7704" s="4" t="s">
        <v>22</v>
      </c>
      <c r="F7704" s="4" t="s">
        <v>39824</v>
      </c>
      <c r="G7704" s="4" t="s">
        <v>39829</v>
      </c>
      <c r="H7704" s="3" t="s">
        <v>38194</v>
      </c>
      <c r="I7704" s="3" t="s">
        <v>39830</v>
      </c>
      <c r="J7704" s="3" t="s">
        <v>39831</v>
      </c>
      <c r="K7704" s="3" t="s">
        <v>39832</v>
      </c>
      <c r="L7704" s="3"/>
      <c r="M7704" s="4"/>
      <c r="N7704" s="3" t="s">
        <v>37</v>
      </c>
      <c r="O7704" s="3" t="s">
        <v>52</v>
      </c>
      <c r="P7704" s="5">
        <v>0</v>
      </c>
      <c r="Q7704" s="5">
        <v>5</v>
      </c>
      <c r="R7704" s="5">
        <v>0</v>
      </c>
      <c r="S7704" s="5">
        <v>4</v>
      </c>
    </row>
    <row r="7705" spans="1:19" ht="28" x14ac:dyDescent="0.15">
      <c r="A7705" s="2">
        <f>HYPERLINK("https://open-school.uspishnemisto.com.ua/school/460394/", 460394)</f>
        <v>460394</v>
      </c>
      <c r="B7705" s="3" t="s">
        <v>39833</v>
      </c>
      <c r="C7705" s="3" t="s">
        <v>31</v>
      </c>
      <c r="D7705" s="3" t="s">
        <v>175</v>
      </c>
      <c r="E7705" s="4" t="s">
        <v>22</v>
      </c>
      <c r="F7705" s="4" t="s">
        <v>39834</v>
      </c>
      <c r="G7705" s="4" t="s">
        <v>39835</v>
      </c>
      <c r="H7705" s="3" t="s">
        <v>38194</v>
      </c>
      <c r="I7705" s="3" t="s">
        <v>5631</v>
      </c>
      <c r="J7705" s="3" t="s">
        <v>39836</v>
      </c>
      <c r="K7705" s="3" t="s">
        <v>39837</v>
      </c>
      <c r="L7705" s="3"/>
      <c r="M7705" s="4"/>
      <c r="N7705" s="3" t="s">
        <v>37</v>
      </c>
      <c r="O7705" s="3" t="s">
        <v>46</v>
      </c>
      <c r="P7705" s="5">
        <v>9</v>
      </c>
      <c r="Q7705" s="5">
        <v>112</v>
      </c>
      <c r="R7705" s="5">
        <v>9</v>
      </c>
      <c r="S7705" s="5">
        <v>120</v>
      </c>
    </row>
    <row r="7706" spans="1:19" ht="28" x14ac:dyDescent="0.15">
      <c r="A7706" s="2">
        <f>HYPERLINK("https://open-school.uspishnemisto.com.ua/school/460395/", 460395)</f>
        <v>460395</v>
      </c>
      <c r="B7706" s="3" t="s">
        <v>39838</v>
      </c>
      <c r="C7706" s="3" t="s">
        <v>31</v>
      </c>
      <c r="D7706" s="3" t="s">
        <v>32</v>
      </c>
      <c r="E7706" s="4" t="s">
        <v>22</v>
      </c>
      <c r="F7706" s="4" t="s">
        <v>39834</v>
      </c>
      <c r="G7706" s="4" t="s">
        <v>39835</v>
      </c>
      <c r="H7706" s="3" t="s">
        <v>38194</v>
      </c>
      <c r="I7706" s="3" t="s">
        <v>5631</v>
      </c>
      <c r="J7706" s="3" t="s">
        <v>14979</v>
      </c>
      <c r="K7706" s="3" t="s">
        <v>39839</v>
      </c>
      <c r="L7706" s="3"/>
      <c r="M7706" s="4"/>
      <c r="N7706" s="3" t="s">
        <v>37</v>
      </c>
      <c r="O7706" s="3" t="s">
        <v>52</v>
      </c>
      <c r="P7706" s="5">
        <v>9</v>
      </c>
      <c r="Q7706" s="5">
        <v>103</v>
      </c>
      <c r="R7706" s="5">
        <v>11</v>
      </c>
      <c r="S7706" s="5">
        <v>115</v>
      </c>
    </row>
    <row r="7707" spans="1:19" ht="28" x14ac:dyDescent="0.15">
      <c r="A7707" s="2">
        <f>HYPERLINK("https://open-school.uspishnemisto.com.ua/school/460396/", 460396)</f>
        <v>460396</v>
      </c>
      <c r="B7707" s="3" t="s">
        <v>39840</v>
      </c>
      <c r="C7707" s="3" t="s">
        <v>31</v>
      </c>
      <c r="D7707" s="3" t="s">
        <v>60</v>
      </c>
      <c r="E7707" s="4" t="s">
        <v>22</v>
      </c>
      <c r="F7707" s="4" t="s">
        <v>39834</v>
      </c>
      <c r="G7707" s="4" t="s">
        <v>39841</v>
      </c>
      <c r="H7707" s="3" t="s">
        <v>38194</v>
      </c>
      <c r="I7707" s="3" t="s">
        <v>39842</v>
      </c>
      <c r="J7707" s="3" t="s">
        <v>39843</v>
      </c>
      <c r="K7707" s="3" t="s">
        <v>39844</v>
      </c>
      <c r="L7707" s="3"/>
      <c r="M7707" s="4"/>
      <c r="N7707" s="3" t="s">
        <v>37</v>
      </c>
      <c r="O7707" s="3" t="s">
        <v>52</v>
      </c>
      <c r="P7707" s="5">
        <v>0</v>
      </c>
      <c r="Q7707" s="5">
        <v>10</v>
      </c>
      <c r="R7707" s="5">
        <v>0</v>
      </c>
      <c r="S7707" s="5">
        <v>11</v>
      </c>
    </row>
    <row r="7708" spans="1:19" ht="28" x14ac:dyDescent="0.15">
      <c r="A7708" s="2">
        <f>HYPERLINK("https://open-school.uspishnemisto.com.ua/school/460397/", 460397)</f>
        <v>460397</v>
      </c>
      <c r="B7708" s="3" t="s">
        <v>39845</v>
      </c>
      <c r="C7708" s="3" t="s">
        <v>31</v>
      </c>
      <c r="D7708" s="3" t="s">
        <v>175</v>
      </c>
      <c r="E7708" s="4" t="s">
        <v>22</v>
      </c>
      <c r="F7708" s="4" t="s">
        <v>39846</v>
      </c>
      <c r="G7708" s="4" t="s">
        <v>39847</v>
      </c>
      <c r="H7708" s="3" t="s">
        <v>38194</v>
      </c>
      <c r="I7708" s="3" t="s">
        <v>39848</v>
      </c>
      <c r="J7708" s="3" t="s">
        <v>634</v>
      </c>
      <c r="K7708" s="3"/>
      <c r="L7708" s="3" t="s">
        <v>39849</v>
      </c>
      <c r="M7708" s="4"/>
      <c r="N7708" s="3" t="s">
        <v>37</v>
      </c>
      <c r="O7708" s="3" t="s">
        <v>46</v>
      </c>
      <c r="P7708" s="5">
        <v>8</v>
      </c>
      <c r="Q7708" s="5">
        <v>106</v>
      </c>
      <c r="R7708" s="5">
        <v>8</v>
      </c>
      <c r="S7708" s="5">
        <v>105</v>
      </c>
    </row>
    <row r="7709" spans="1:19" ht="56" x14ac:dyDescent="0.15">
      <c r="A7709" s="2">
        <f>HYPERLINK("https://open-school.uspishnemisto.com.ua/school/460398/", 460398)</f>
        <v>460398</v>
      </c>
      <c r="B7709" s="3" t="s">
        <v>39850</v>
      </c>
      <c r="C7709" s="3" t="s">
        <v>54</v>
      </c>
      <c r="D7709" s="3" t="s">
        <v>32</v>
      </c>
      <c r="E7709" s="4" t="s">
        <v>22</v>
      </c>
      <c r="F7709" s="4" t="s">
        <v>39813</v>
      </c>
      <c r="G7709" s="4" t="s">
        <v>39851</v>
      </c>
      <c r="H7709" s="3" t="s">
        <v>38194</v>
      </c>
      <c r="I7709" s="3" t="s">
        <v>39852</v>
      </c>
      <c r="J7709" s="3" t="s">
        <v>718</v>
      </c>
      <c r="K7709" s="3" t="s">
        <v>39853</v>
      </c>
      <c r="L7709" s="3"/>
      <c r="M7709" s="4"/>
      <c r="N7709" s="3" t="s">
        <v>37</v>
      </c>
      <c r="O7709" s="3" t="s">
        <v>46</v>
      </c>
      <c r="P7709" s="5">
        <v>11</v>
      </c>
      <c r="Q7709" s="5">
        <v>138</v>
      </c>
      <c r="R7709" s="5">
        <v>11</v>
      </c>
      <c r="S7709" s="5">
        <v>139</v>
      </c>
    </row>
    <row r="7710" spans="1:19" ht="42" x14ac:dyDescent="0.15">
      <c r="A7710" s="2">
        <f>HYPERLINK("https://open-school.uspishnemisto.com.ua/school/460399/", 460399)</f>
        <v>460399</v>
      </c>
      <c r="B7710" s="3" t="s">
        <v>39854</v>
      </c>
      <c r="C7710" s="3" t="s">
        <v>31</v>
      </c>
      <c r="D7710" s="3" t="s">
        <v>32</v>
      </c>
      <c r="E7710" s="4" t="s">
        <v>22</v>
      </c>
      <c r="F7710" s="4" t="s">
        <v>39855</v>
      </c>
      <c r="G7710" s="4" t="s">
        <v>39856</v>
      </c>
      <c r="H7710" s="3" t="s">
        <v>38194</v>
      </c>
      <c r="I7710" s="3" t="s">
        <v>39857</v>
      </c>
      <c r="J7710" s="3" t="s">
        <v>39858</v>
      </c>
      <c r="K7710" s="3" t="s">
        <v>39859</v>
      </c>
      <c r="L7710" s="3"/>
      <c r="M7710" s="4"/>
      <c r="N7710" s="3" t="s">
        <v>37</v>
      </c>
      <c r="O7710" s="3" t="s">
        <v>2740</v>
      </c>
      <c r="P7710" s="5">
        <v>20</v>
      </c>
      <c r="Q7710" s="5">
        <v>394</v>
      </c>
      <c r="R7710" s="5">
        <v>19</v>
      </c>
      <c r="S7710" s="5">
        <v>381</v>
      </c>
    </row>
    <row r="7711" spans="1:19" ht="42" x14ac:dyDescent="0.15">
      <c r="A7711" s="2">
        <f>HYPERLINK("https://open-school.uspishnemisto.com.ua/school/460400/", 460400)</f>
        <v>460400</v>
      </c>
      <c r="B7711" s="3" t="s">
        <v>39860</v>
      </c>
      <c r="C7711" s="3" t="s">
        <v>54</v>
      </c>
      <c r="D7711" s="3" t="s">
        <v>60</v>
      </c>
      <c r="E7711" s="4" t="s">
        <v>22</v>
      </c>
      <c r="F7711" s="4" t="s">
        <v>39861</v>
      </c>
      <c r="G7711" s="4" t="s">
        <v>39862</v>
      </c>
      <c r="H7711" s="3" t="s">
        <v>38194</v>
      </c>
      <c r="I7711" s="3" t="s">
        <v>21333</v>
      </c>
      <c r="J7711" s="3" t="s">
        <v>8358</v>
      </c>
      <c r="K7711" s="3"/>
      <c r="L7711" s="3"/>
      <c r="M7711" s="4"/>
      <c r="N7711" s="3" t="s">
        <v>37</v>
      </c>
      <c r="O7711" s="3" t="s">
        <v>52</v>
      </c>
      <c r="P7711" s="5">
        <v>4</v>
      </c>
      <c r="Q7711" s="5">
        <v>41</v>
      </c>
      <c r="R7711" s="5">
        <v>4</v>
      </c>
      <c r="S7711" s="5">
        <v>42</v>
      </c>
    </row>
    <row r="7712" spans="1:19" ht="56" x14ac:dyDescent="0.15">
      <c r="A7712" s="2">
        <f>HYPERLINK("https://open-school.uspishnemisto.com.ua/school/460401/", 460401)</f>
        <v>460401</v>
      </c>
      <c r="B7712" s="3" t="s">
        <v>39863</v>
      </c>
      <c r="C7712" s="3" t="s">
        <v>54</v>
      </c>
      <c r="D7712" s="3" t="s">
        <v>175</v>
      </c>
      <c r="E7712" s="4" t="s">
        <v>22</v>
      </c>
      <c r="F7712" s="4" t="s">
        <v>39864</v>
      </c>
      <c r="G7712" s="4" t="s">
        <v>39865</v>
      </c>
      <c r="H7712" s="3" t="s">
        <v>38194</v>
      </c>
      <c r="I7712" s="3" t="s">
        <v>39866</v>
      </c>
      <c r="J7712" s="3" t="s">
        <v>39867</v>
      </c>
      <c r="K7712" s="3"/>
      <c r="L7712" s="3"/>
      <c r="M7712" s="4"/>
      <c r="N7712" s="3" t="s">
        <v>37</v>
      </c>
      <c r="O7712" s="3" t="s">
        <v>52</v>
      </c>
      <c r="P7712" s="5">
        <v>9</v>
      </c>
      <c r="Q7712" s="5">
        <v>83</v>
      </c>
      <c r="R7712" s="5">
        <v>8</v>
      </c>
      <c r="S7712" s="5">
        <v>76</v>
      </c>
    </row>
    <row r="7713" spans="1:19" ht="56" x14ac:dyDescent="0.15">
      <c r="A7713" s="2">
        <f>HYPERLINK("https://open-school.uspishnemisto.com.ua/school/460402/", 460402)</f>
        <v>460402</v>
      </c>
      <c r="B7713" s="3" t="s">
        <v>39868</v>
      </c>
      <c r="C7713" s="3" t="s">
        <v>54</v>
      </c>
      <c r="D7713" s="3" t="s">
        <v>32</v>
      </c>
      <c r="E7713" s="4" t="s">
        <v>22</v>
      </c>
      <c r="F7713" s="4" t="s">
        <v>39869</v>
      </c>
      <c r="G7713" s="4" t="s">
        <v>39870</v>
      </c>
      <c r="H7713" s="3" t="s">
        <v>38194</v>
      </c>
      <c r="I7713" s="3" t="s">
        <v>21333</v>
      </c>
      <c r="J7713" s="3" t="s">
        <v>2745</v>
      </c>
      <c r="K7713" s="3" t="s">
        <v>39871</v>
      </c>
      <c r="L7713" s="3"/>
      <c r="M7713" s="4"/>
      <c r="N7713" s="3" t="s">
        <v>37</v>
      </c>
      <c r="O7713" s="3" t="s">
        <v>52</v>
      </c>
      <c r="P7713" s="5">
        <v>10</v>
      </c>
      <c r="Q7713" s="5">
        <v>76</v>
      </c>
      <c r="R7713" s="5">
        <v>10</v>
      </c>
      <c r="S7713" s="5">
        <v>75</v>
      </c>
    </row>
    <row r="7714" spans="1:19" ht="42" x14ac:dyDescent="0.15">
      <c r="A7714" s="2">
        <f>HYPERLINK("https://open-school.uspishnemisto.com.ua/school/460403/", 460403)</f>
        <v>460403</v>
      </c>
      <c r="B7714" s="3" t="s">
        <v>39872</v>
      </c>
      <c r="C7714" s="3" t="s">
        <v>181</v>
      </c>
      <c r="D7714" s="3" t="s">
        <v>175</v>
      </c>
      <c r="E7714" s="4" t="s">
        <v>22</v>
      </c>
      <c r="F7714" s="4" t="s">
        <v>39873</v>
      </c>
      <c r="G7714" s="4" t="s">
        <v>39874</v>
      </c>
      <c r="H7714" s="3" t="s">
        <v>38194</v>
      </c>
      <c r="I7714" s="3" t="s">
        <v>39875</v>
      </c>
      <c r="J7714" s="3" t="s">
        <v>946</v>
      </c>
      <c r="K7714" s="3"/>
      <c r="L7714" s="3"/>
      <c r="M7714" s="4" t="s">
        <v>39876</v>
      </c>
      <c r="N7714" s="3" t="s">
        <v>37</v>
      </c>
      <c r="O7714" s="3" t="s">
        <v>52</v>
      </c>
      <c r="P7714" s="5">
        <v>13</v>
      </c>
      <c r="Q7714" s="5">
        <v>115</v>
      </c>
      <c r="R7714" s="5">
        <v>15</v>
      </c>
      <c r="S7714" s="5">
        <v>120</v>
      </c>
    </row>
    <row r="7715" spans="1:19" ht="28" x14ac:dyDescent="0.15">
      <c r="A7715" s="2">
        <f>HYPERLINK("https://open-school.uspishnemisto.com.ua/school/460404/", 460404)</f>
        <v>460404</v>
      </c>
      <c r="B7715" s="3" t="s">
        <v>39877</v>
      </c>
      <c r="C7715" s="3" t="s">
        <v>31</v>
      </c>
      <c r="D7715" s="3" t="s">
        <v>32</v>
      </c>
      <c r="E7715" s="4" t="s">
        <v>22</v>
      </c>
      <c r="F7715" s="4" t="s">
        <v>39873</v>
      </c>
      <c r="G7715" s="4" t="s">
        <v>39874</v>
      </c>
      <c r="H7715" s="3" t="s">
        <v>38194</v>
      </c>
      <c r="I7715" s="3" t="s">
        <v>39875</v>
      </c>
      <c r="J7715" s="3" t="s">
        <v>8254</v>
      </c>
      <c r="K7715" s="3"/>
      <c r="L7715" s="3"/>
      <c r="M7715" s="4"/>
      <c r="N7715" s="3" t="s">
        <v>37</v>
      </c>
      <c r="O7715" s="3" t="s">
        <v>52</v>
      </c>
      <c r="P7715" s="5">
        <v>11</v>
      </c>
      <c r="Q7715" s="5">
        <v>205</v>
      </c>
      <c r="R7715" s="5">
        <v>11</v>
      </c>
      <c r="S7715" s="5">
        <v>192</v>
      </c>
    </row>
    <row r="7716" spans="1:19" ht="28" x14ac:dyDescent="0.15">
      <c r="A7716" s="2">
        <f>HYPERLINK("https://open-school.uspishnemisto.com.ua/school/460405/", 460405)</f>
        <v>460405</v>
      </c>
      <c r="B7716" s="3" t="s">
        <v>39878</v>
      </c>
      <c r="C7716" s="3" t="s">
        <v>31</v>
      </c>
      <c r="D7716" s="3" t="s">
        <v>175</v>
      </c>
      <c r="E7716" s="4" t="s">
        <v>22</v>
      </c>
      <c r="F7716" s="4" t="s">
        <v>39879</v>
      </c>
      <c r="G7716" s="4" t="s">
        <v>39880</v>
      </c>
      <c r="H7716" s="3" t="s">
        <v>38194</v>
      </c>
      <c r="I7716" s="3" t="s">
        <v>39881</v>
      </c>
      <c r="J7716" s="3" t="s">
        <v>39882</v>
      </c>
      <c r="K7716" s="3" t="s">
        <v>39883</v>
      </c>
      <c r="L7716" s="3"/>
      <c r="M7716" s="4"/>
      <c r="N7716" s="3" t="s">
        <v>37</v>
      </c>
      <c r="O7716" s="3" t="s">
        <v>2740</v>
      </c>
      <c r="P7716" s="5">
        <v>8</v>
      </c>
      <c r="Q7716" s="5">
        <v>61</v>
      </c>
      <c r="R7716" s="5">
        <v>8</v>
      </c>
      <c r="S7716" s="5">
        <v>60</v>
      </c>
    </row>
    <row r="7717" spans="1:19" ht="56" x14ac:dyDescent="0.15">
      <c r="A7717" s="2">
        <f>HYPERLINK("https://open-school.uspishnemisto.com.ua/school/460406/", 460406)</f>
        <v>460406</v>
      </c>
      <c r="B7717" s="3" t="s">
        <v>39884</v>
      </c>
      <c r="C7717" s="3" t="s">
        <v>54</v>
      </c>
      <c r="D7717" s="3" t="s">
        <v>32</v>
      </c>
      <c r="E7717" s="4" t="s">
        <v>22</v>
      </c>
      <c r="F7717" s="4" t="s">
        <v>39885</v>
      </c>
      <c r="G7717" s="4" t="s">
        <v>39886</v>
      </c>
      <c r="H7717" s="3" t="s">
        <v>38194</v>
      </c>
      <c r="I7717" s="3" t="s">
        <v>39887</v>
      </c>
      <c r="J7717" s="3" t="s">
        <v>39888</v>
      </c>
      <c r="K7717" s="3" t="s">
        <v>39889</v>
      </c>
      <c r="L7717" s="3"/>
      <c r="M7717" s="4"/>
      <c r="N7717" s="3" t="s">
        <v>37</v>
      </c>
      <c r="O7717" s="3" t="s">
        <v>46</v>
      </c>
      <c r="P7717" s="5">
        <v>14</v>
      </c>
      <c r="Q7717" s="5">
        <v>242</v>
      </c>
      <c r="R7717" s="5">
        <v>13</v>
      </c>
      <c r="S7717" s="5">
        <v>226</v>
      </c>
    </row>
    <row r="7718" spans="1:19" ht="56" x14ac:dyDescent="0.15">
      <c r="A7718" s="2">
        <f>HYPERLINK("https://open-school.uspishnemisto.com.ua/school/460407/", 460407)</f>
        <v>460407</v>
      </c>
      <c r="B7718" s="3" t="s">
        <v>39890</v>
      </c>
      <c r="C7718" s="3" t="s">
        <v>54</v>
      </c>
      <c r="D7718" s="3" t="s">
        <v>175</v>
      </c>
      <c r="E7718" s="4" t="s">
        <v>22</v>
      </c>
      <c r="F7718" s="4" t="s">
        <v>39891</v>
      </c>
      <c r="G7718" s="4" t="s">
        <v>39892</v>
      </c>
      <c r="H7718" s="3" t="s">
        <v>38194</v>
      </c>
      <c r="I7718" s="3" t="s">
        <v>39893</v>
      </c>
      <c r="J7718" s="3" t="s">
        <v>39894</v>
      </c>
      <c r="K7718" s="3"/>
      <c r="L7718" s="3"/>
      <c r="M7718" s="4"/>
      <c r="N7718" s="3" t="s">
        <v>37</v>
      </c>
      <c r="O7718" s="3" t="s">
        <v>46</v>
      </c>
      <c r="P7718" s="5">
        <v>9</v>
      </c>
      <c r="Q7718" s="5">
        <v>86</v>
      </c>
      <c r="R7718" s="5">
        <v>9</v>
      </c>
      <c r="S7718" s="5">
        <v>84</v>
      </c>
    </row>
    <row r="7719" spans="1:19" ht="56" x14ac:dyDescent="0.15">
      <c r="A7719" s="2">
        <f>HYPERLINK("https://open-school.uspishnemisto.com.ua/school/460408/", 460408)</f>
        <v>460408</v>
      </c>
      <c r="B7719" s="3" t="s">
        <v>39895</v>
      </c>
      <c r="C7719" s="3" t="s">
        <v>54</v>
      </c>
      <c r="D7719" s="3" t="s">
        <v>32</v>
      </c>
      <c r="E7719" s="4" t="s">
        <v>22</v>
      </c>
      <c r="F7719" s="4" t="s">
        <v>39896</v>
      </c>
      <c r="G7719" s="4" t="s">
        <v>39897</v>
      </c>
      <c r="H7719" s="3" t="s">
        <v>38194</v>
      </c>
      <c r="I7719" s="3" t="s">
        <v>39898</v>
      </c>
      <c r="J7719" s="3" t="s">
        <v>39899</v>
      </c>
      <c r="K7719" s="3" t="s">
        <v>39900</v>
      </c>
      <c r="L7719" s="3"/>
      <c r="M7719" s="4"/>
      <c r="N7719" s="3" t="s">
        <v>37</v>
      </c>
      <c r="O7719" s="3" t="s">
        <v>52</v>
      </c>
      <c r="P7719" s="5">
        <v>13</v>
      </c>
      <c r="Q7719" s="5">
        <v>243</v>
      </c>
      <c r="R7719" s="5">
        <v>14</v>
      </c>
      <c r="S7719" s="5">
        <v>248</v>
      </c>
    </row>
    <row r="7720" spans="1:19" ht="28" x14ac:dyDescent="0.15">
      <c r="A7720" s="2">
        <f>HYPERLINK("https://open-school.uspishnemisto.com.ua/school/460409/", 460409)</f>
        <v>460409</v>
      </c>
      <c r="B7720" s="3" t="s">
        <v>39901</v>
      </c>
      <c r="C7720" s="3" t="s">
        <v>31</v>
      </c>
      <c r="D7720" s="3" t="s">
        <v>60</v>
      </c>
      <c r="E7720" s="4" t="s">
        <v>22</v>
      </c>
      <c r="F7720" s="4" t="s">
        <v>39896</v>
      </c>
      <c r="G7720" s="4" t="s">
        <v>39902</v>
      </c>
      <c r="H7720" s="3" t="s">
        <v>38194</v>
      </c>
      <c r="I7720" s="3" t="s">
        <v>39903</v>
      </c>
      <c r="J7720" s="3" t="s">
        <v>39904</v>
      </c>
      <c r="K7720" s="3"/>
      <c r="L7720" s="3"/>
      <c r="M7720" s="4"/>
      <c r="N7720" s="3" t="s">
        <v>37</v>
      </c>
      <c r="O7720" s="3" t="s">
        <v>52</v>
      </c>
      <c r="P7720" s="5">
        <v>0</v>
      </c>
      <c r="Q7720" s="5">
        <v>6</v>
      </c>
      <c r="R7720" s="5">
        <v>0</v>
      </c>
      <c r="S7720" s="5">
        <v>4</v>
      </c>
    </row>
    <row r="7721" spans="1:19" ht="56" x14ac:dyDescent="0.15">
      <c r="A7721" s="2">
        <f>HYPERLINK("https://open-school.uspishnemisto.com.ua/school/460410/", 460410)</f>
        <v>460410</v>
      </c>
      <c r="B7721" s="3" t="s">
        <v>39905</v>
      </c>
      <c r="C7721" s="3" t="s">
        <v>54</v>
      </c>
      <c r="D7721" s="3" t="s">
        <v>32</v>
      </c>
      <c r="E7721" s="4" t="s">
        <v>22</v>
      </c>
      <c r="F7721" s="4" t="s">
        <v>39906</v>
      </c>
      <c r="G7721" s="4" t="s">
        <v>39907</v>
      </c>
      <c r="H7721" s="3" t="s">
        <v>38194</v>
      </c>
      <c r="I7721" s="3" t="s">
        <v>39908</v>
      </c>
      <c r="J7721" s="3" t="s">
        <v>6840</v>
      </c>
      <c r="K7721" s="3"/>
      <c r="L7721" s="3"/>
      <c r="M7721" s="4"/>
      <c r="N7721" s="3" t="s">
        <v>37</v>
      </c>
      <c r="O7721" s="3" t="s">
        <v>46</v>
      </c>
      <c r="P7721" s="5">
        <v>11</v>
      </c>
      <c r="Q7721" s="5">
        <v>113</v>
      </c>
      <c r="R7721" s="5">
        <v>11</v>
      </c>
      <c r="S7721" s="5">
        <v>115</v>
      </c>
    </row>
    <row r="7722" spans="1:19" ht="42" x14ac:dyDescent="0.15">
      <c r="A7722" s="2">
        <f>HYPERLINK("https://open-school.uspishnemisto.com.ua/school/460411/", 460411)</f>
        <v>460411</v>
      </c>
      <c r="B7722" s="3" t="s">
        <v>39909</v>
      </c>
      <c r="C7722" s="3" t="s">
        <v>54</v>
      </c>
      <c r="D7722" s="3" t="s">
        <v>175</v>
      </c>
      <c r="E7722" s="4" t="s">
        <v>22</v>
      </c>
      <c r="F7722" s="4" t="s">
        <v>39910</v>
      </c>
      <c r="G7722" s="4" t="s">
        <v>39911</v>
      </c>
      <c r="H7722" s="3" t="s">
        <v>38194</v>
      </c>
      <c r="I7722" s="3" t="s">
        <v>2878</v>
      </c>
      <c r="J7722" s="3" t="s">
        <v>39912</v>
      </c>
      <c r="K7722" s="3" t="s">
        <v>39913</v>
      </c>
      <c r="L7722" s="3"/>
      <c r="M7722" s="4"/>
      <c r="N7722" s="3" t="s">
        <v>37</v>
      </c>
      <c r="O7722" s="3" t="s">
        <v>52</v>
      </c>
      <c r="P7722" s="5">
        <v>8</v>
      </c>
      <c r="Q7722" s="5">
        <v>64</v>
      </c>
      <c r="R7722" s="5">
        <v>9</v>
      </c>
      <c r="S7722" s="5">
        <v>71</v>
      </c>
    </row>
    <row r="7723" spans="1:19" ht="56" x14ac:dyDescent="0.15">
      <c r="A7723" s="2">
        <f>HYPERLINK("https://open-school.uspishnemisto.com.ua/school/460412/", 460412)</f>
        <v>460412</v>
      </c>
      <c r="B7723" s="3" t="s">
        <v>39914</v>
      </c>
      <c r="C7723" s="3" t="s">
        <v>54</v>
      </c>
      <c r="D7723" s="3" t="s">
        <v>32</v>
      </c>
      <c r="E7723" s="4" t="s">
        <v>22</v>
      </c>
      <c r="F7723" s="4" t="s">
        <v>39915</v>
      </c>
      <c r="G7723" s="4" t="s">
        <v>39916</v>
      </c>
      <c r="H7723" s="3" t="s">
        <v>38194</v>
      </c>
      <c r="I7723" s="3" t="s">
        <v>39917</v>
      </c>
      <c r="J7723" s="3" t="s">
        <v>39918</v>
      </c>
      <c r="K7723" s="3" t="s">
        <v>39919</v>
      </c>
      <c r="L7723" s="3"/>
      <c r="M7723" s="4"/>
      <c r="N7723" s="3" t="s">
        <v>37</v>
      </c>
      <c r="O7723" s="3" t="s">
        <v>2740</v>
      </c>
      <c r="P7723" s="5">
        <v>10</v>
      </c>
      <c r="Q7723" s="5">
        <v>110</v>
      </c>
      <c r="R7723" s="5">
        <v>10</v>
      </c>
      <c r="S7723" s="5">
        <v>114</v>
      </c>
    </row>
    <row r="7724" spans="1:19" ht="56" x14ac:dyDescent="0.15">
      <c r="A7724" s="2">
        <f>HYPERLINK("https://open-school.uspishnemisto.com.ua/school/460413/", 460413)</f>
        <v>460413</v>
      </c>
      <c r="B7724" s="3" t="s">
        <v>39920</v>
      </c>
      <c r="C7724" s="3" t="s">
        <v>54</v>
      </c>
      <c r="D7724" s="3" t="s">
        <v>32</v>
      </c>
      <c r="E7724" s="4" t="s">
        <v>22</v>
      </c>
      <c r="F7724" s="4" t="s">
        <v>39921</v>
      </c>
      <c r="G7724" s="4" t="s">
        <v>39922</v>
      </c>
      <c r="H7724" s="3" t="s">
        <v>38194</v>
      </c>
      <c r="I7724" s="3" t="s">
        <v>39923</v>
      </c>
      <c r="J7724" s="3" t="s">
        <v>39924</v>
      </c>
      <c r="K7724" s="3" t="s">
        <v>39925</v>
      </c>
      <c r="L7724" s="3"/>
      <c r="M7724" s="4"/>
      <c r="N7724" s="3" t="s">
        <v>37</v>
      </c>
      <c r="O7724" s="3" t="s">
        <v>46</v>
      </c>
      <c r="P7724" s="5">
        <v>11</v>
      </c>
      <c r="Q7724" s="5">
        <v>155</v>
      </c>
      <c r="R7724" s="5">
        <v>11</v>
      </c>
      <c r="S7724" s="5">
        <v>155</v>
      </c>
    </row>
    <row r="7725" spans="1:19" ht="56" x14ac:dyDescent="0.15">
      <c r="A7725" s="2">
        <f>HYPERLINK("https://open-school.uspishnemisto.com.ua/school/460414/", 460414)</f>
        <v>460414</v>
      </c>
      <c r="B7725" s="3" t="s">
        <v>39926</v>
      </c>
      <c r="C7725" s="3" t="s">
        <v>54</v>
      </c>
      <c r="D7725" s="3" t="s">
        <v>175</v>
      </c>
      <c r="E7725" s="4" t="s">
        <v>22</v>
      </c>
      <c r="F7725" s="4" t="s">
        <v>39861</v>
      </c>
      <c r="G7725" s="4" t="s">
        <v>39927</v>
      </c>
      <c r="H7725" s="3" t="s">
        <v>38194</v>
      </c>
      <c r="I7725" s="3" t="s">
        <v>39928</v>
      </c>
      <c r="J7725" s="3" t="s">
        <v>3961</v>
      </c>
      <c r="K7725" s="3" t="s">
        <v>39929</v>
      </c>
      <c r="L7725" s="3"/>
      <c r="M7725" s="4"/>
      <c r="N7725" s="3" t="s">
        <v>37</v>
      </c>
      <c r="O7725" s="3" t="s">
        <v>46</v>
      </c>
      <c r="P7725" s="5">
        <v>9</v>
      </c>
      <c r="Q7725" s="5">
        <v>160</v>
      </c>
      <c r="R7725" s="5">
        <v>9</v>
      </c>
      <c r="S7725" s="5">
        <v>143</v>
      </c>
    </row>
    <row r="7726" spans="1:19" ht="42" x14ac:dyDescent="0.15">
      <c r="A7726" s="2">
        <f>HYPERLINK("https://open-school.uspishnemisto.com.ua/school/460415/", 460415)</f>
        <v>460415</v>
      </c>
      <c r="B7726" s="3" t="s">
        <v>39930</v>
      </c>
      <c r="C7726" s="3" t="s">
        <v>54</v>
      </c>
      <c r="D7726" s="3" t="s">
        <v>32</v>
      </c>
      <c r="E7726" s="4" t="s">
        <v>22</v>
      </c>
      <c r="F7726" s="4" t="s">
        <v>39931</v>
      </c>
      <c r="G7726" s="4" t="s">
        <v>39932</v>
      </c>
      <c r="H7726" s="3" t="s">
        <v>38194</v>
      </c>
      <c r="I7726" s="3" t="s">
        <v>39933</v>
      </c>
      <c r="J7726" s="3" t="s">
        <v>39934</v>
      </c>
      <c r="K7726" s="3" t="s">
        <v>39935</v>
      </c>
      <c r="L7726" s="3" t="s">
        <v>39936</v>
      </c>
      <c r="M7726" s="4"/>
      <c r="N7726" s="3" t="s">
        <v>37</v>
      </c>
      <c r="O7726" s="3" t="s">
        <v>46</v>
      </c>
      <c r="P7726" s="5">
        <v>14</v>
      </c>
      <c r="Q7726" s="5">
        <v>280</v>
      </c>
      <c r="R7726" s="5">
        <v>13</v>
      </c>
      <c r="S7726" s="5">
        <v>270</v>
      </c>
    </row>
    <row r="7727" spans="1:19" ht="28" x14ac:dyDescent="0.15">
      <c r="A7727" s="2">
        <f>HYPERLINK("https://open-school.uspishnemisto.com.ua/school/460416/", 460416)</f>
        <v>460416</v>
      </c>
      <c r="B7727" s="3" t="s">
        <v>39937</v>
      </c>
      <c r="C7727" s="3" t="s">
        <v>31</v>
      </c>
      <c r="D7727" s="3" t="s">
        <v>175</v>
      </c>
      <c r="E7727" s="4" t="s">
        <v>22</v>
      </c>
      <c r="F7727" s="4" t="s">
        <v>39938</v>
      </c>
      <c r="G7727" s="4" t="s">
        <v>39939</v>
      </c>
      <c r="H7727" s="3" t="s">
        <v>38194</v>
      </c>
      <c r="I7727" s="3" t="s">
        <v>39940</v>
      </c>
      <c r="J7727" s="3" t="s">
        <v>466</v>
      </c>
      <c r="K7727" s="3" t="s">
        <v>39941</v>
      </c>
      <c r="L7727" s="3"/>
      <c r="M7727" s="4"/>
      <c r="N7727" s="3" t="s">
        <v>37</v>
      </c>
      <c r="O7727" s="3" t="s">
        <v>46</v>
      </c>
      <c r="P7727" s="5">
        <v>9</v>
      </c>
      <c r="Q7727" s="5">
        <v>82</v>
      </c>
      <c r="R7727" s="5">
        <v>9</v>
      </c>
      <c r="S7727" s="5">
        <v>75</v>
      </c>
    </row>
    <row r="7728" spans="1:19" ht="28" x14ac:dyDescent="0.15">
      <c r="A7728" s="2">
        <f>HYPERLINK("https://open-school.uspishnemisto.com.ua/school/460417/", 460417)</f>
        <v>460417</v>
      </c>
      <c r="B7728" s="3" t="s">
        <v>39942</v>
      </c>
      <c r="C7728" s="3" t="s">
        <v>31</v>
      </c>
      <c r="D7728" s="3" t="s">
        <v>32</v>
      </c>
      <c r="E7728" s="4" t="s">
        <v>22</v>
      </c>
      <c r="F7728" s="4" t="s">
        <v>39943</v>
      </c>
      <c r="G7728" s="4" t="s">
        <v>39944</v>
      </c>
      <c r="H7728" s="3" t="s">
        <v>38194</v>
      </c>
      <c r="I7728" s="3" t="s">
        <v>39945</v>
      </c>
      <c r="J7728" s="3" t="s">
        <v>466</v>
      </c>
      <c r="K7728" s="3" t="s">
        <v>39946</v>
      </c>
      <c r="L7728" s="3"/>
      <c r="M7728" s="4"/>
      <c r="N7728" s="3" t="s">
        <v>37</v>
      </c>
      <c r="O7728" s="3" t="s">
        <v>123</v>
      </c>
      <c r="P7728" s="5">
        <v>19</v>
      </c>
      <c r="Q7728" s="5">
        <v>331</v>
      </c>
      <c r="R7728" s="5">
        <v>19</v>
      </c>
      <c r="S7728" s="5">
        <v>333</v>
      </c>
    </row>
    <row r="7729" spans="1:19" ht="28" x14ac:dyDescent="0.15">
      <c r="A7729" s="2">
        <f>HYPERLINK("https://open-school.uspishnemisto.com.ua/school/460418/", 460418)</f>
        <v>460418</v>
      </c>
      <c r="B7729" s="3" t="s">
        <v>39947</v>
      </c>
      <c r="C7729" s="3" t="s">
        <v>31</v>
      </c>
      <c r="D7729" s="3" t="s">
        <v>60</v>
      </c>
      <c r="E7729" s="4" t="s">
        <v>22</v>
      </c>
      <c r="F7729" s="4" t="s">
        <v>39948</v>
      </c>
      <c r="G7729" s="4" t="s">
        <v>39949</v>
      </c>
      <c r="H7729" s="3" t="s">
        <v>38194</v>
      </c>
      <c r="I7729" s="3" t="s">
        <v>39950</v>
      </c>
      <c r="J7729" s="3" t="s">
        <v>3494</v>
      </c>
      <c r="K7729" s="3" t="s">
        <v>39951</v>
      </c>
      <c r="L7729" s="3"/>
      <c r="M7729" s="4"/>
      <c r="N7729" s="3" t="s">
        <v>37</v>
      </c>
      <c r="O7729" s="3" t="s">
        <v>52</v>
      </c>
      <c r="P7729" s="5">
        <v>3</v>
      </c>
      <c r="Q7729" s="5">
        <v>23</v>
      </c>
      <c r="R7729" s="5">
        <v>4</v>
      </c>
      <c r="S7729" s="5">
        <v>27</v>
      </c>
    </row>
    <row r="7730" spans="1:19" ht="28" x14ac:dyDescent="0.15">
      <c r="A7730" s="2">
        <f>HYPERLINK("https://open-school.uspishnemisto.com.ua/school/460419/", 460419)</f>
        <v>460419</v>
      </c>
      <c r="B7730" s="3" t="s">
        <v>39952</v>
      </c>
      <c r="C7730" s="3" t="s">
        <v>31</v>
      </c>
      <c r="D7730" s="3" t="s">
        <v>60</v>
      </c>
      <c r="E7730" s="4" t="s">
        <v>22</v>
      </c>
      <c r="F7730" s="4" t="s">
        <v>39869</v>
      </c>
      <c r="G7730" s="4" t="s">
        <v>39953</v>
      </c>
      <c r="H7730" s="3" t="s">
        <v>38194</v>
      </c>
      <c r="I7730" s="3" t="s">
        <v>6494</v>
      </c>
      <c r="J7730" s="3"/>
      <c r="K7730" s="3" t="s">
        <v>39954</v>
      </c>
      <c r="L7730" s="3"/>
      <c r="M7730" s="4"/>
      <c r="N7730" s="3" t="s">
        <v>37</v>
      </c>
      <c r="O7730" s="3" t="s">
        <v>52</v>
      </c>
      <c r="P7730" s="5">
        <v>0</v>
      </c>
      <c r="Q7730" s="5">
        <v>5</v>
      </c>
      <c r="R7730" s="5">
        <v>0</v>
      </c>
      <c r="S7730" s="5">
        <v>4</v>
      </c>
    </row>
    <row r="7731" spans="1:19" ht="28" x14ac:dyDescent="0.15">
      <c r="A7731" s="2">
        <f>HYPERLINK("https://open-school.uspishnemisto.com.ua/school/460420/", 460420)</f>
        <v>460420</v>
      </c>
      <c r="B7731" s="3" t="s">
        <v>39955</v>
      </c>
      <c r="C7731" s="3" t="s">
        <v>31</v>
      </c>
      <c r="D7731" s="3" t="s">
        <v>175</v>
      </c>
      <c r="E7731" s="4" t="s">
        <v>22</v>
      </c>
      <c r="F7731" s="4" t="s">
        <v>39869</v>
      </c>
      <c r="G7731" s="4" t="s">
        <v>39956</v>
      </c>
      <c r="H7731" s="3" t="s">
        <v>38194</v>
      </c>
      <c r="I7731" s="3" t="s">
        <v>39957</v>
      </c>
      <c r="J7731" s="3" t="s">
        <v>39958</v>
      </c>
      <c r="K7731" s="3" t="s">
        <v>39959</v>
      </c>
      <c r="L7731" s="3"/>
      <c r="M7731" s="4"/>
      <c r="N7731" s="3" t="s">
        <v>37</v>
      </c>
      <c r="O7731" s="3" t="s">
        <v>46</v>
      </c>
      <c r="P7731" s="5">
        <v>9</v>
      </c>
      <c r="Q7731" s="5">
        <v>82</v>
      </c>
      <c r="R7731" s="5">
        <v>9</v>
      </c>
      <c r="S7731" s="5">
        <v>82</v>
      </c>
    </row>
    <row r="7732" spans="1:19" ht="28" x14ac:dyDescent="0.15">
      <c r="A7732" s="2">
        <f>HYPERLINK("https://open-school.uspishnemisto.com.ua/school/460421/", 460421)</f>
        <v>460421</v>
      </c>
      <c r="B7732" s="3" t="s">
        <v>39960</v>
      </c>
      <c r="C7732" s="3" t="s">
        <v>31</v>
      </c>
      <c r="D7732" s="3" t="s">
        <v>175</v>
      </c>
      <c r="E7732" s="4" t="s">
        <v>22</v>
      </c>
      <c r="F7732" s="4" t="s">
        <v>39961</v>
      </c>
      <c r="G7732" s="4" t="s">
        <v>39962</v>
      </c>
      <c r="H7732" s="3" t="s">
        <v>38194</v>
      </c>
      <c r="I7732" s="3" t="s">
        <v>39963</v>
      </c>
      <c r="J7732" s="3" t="s">
        <v>6800</v>
      </c>
      <c r="K7732" s="3"/>
      <c r="L7732" s="3"/>
      <c r="M7732" s="4"/>
      <c r="N7732" s="3" t="s">
        <v>37</v>
      </c>
      <c r="O7732" s="3" t="s">
        <v>46</v>
      </c>
      <c r="P7732" s="5">
        <v>3</v>
      </c>
      <c r="Q7732" s="5">
        <v>38</v>
      </c>
      <c r="R7732" s="5">
        <v>3</v>
      </c>
      <c r="S7732" s="5">
        <v>35</v>
      </c>
    </row>
    <row r="7733" spans="1:19" ht="56" x14ac:dyDescent="0.15">
      <c r="A7733" s="2">
        <f>HYPERLINK("https://open-school.uspishnemisto.com.ua/school/460422/", 460422)</f>
        <v>460422</v>
      </c>
      <c r="B7733" s="3" t="s">
        <v>39964</v>
      </c>
      <c r="C7733" s="3" t="s">
        <v>54</v>
      </c>
      <c r="D7733" s="3" t="s">
        <v>175</v>
      </c>
      <c r="E7733" s="4" t="s">
        <v>22</v>
      </c>
      <c r="F7733" s="4" t="s">
        <v>39965</v>
      </c>
      <c r="G7733" s="4" t="s">
        <v>39966</v>
      </c>
      <c r="H7733" s="3" t="s">
        <v>38194</v>
      </c>
      <c r="I7733" s="3" t="s">
        <v>39967</v>
      </c>
      <c r="J7733" s="3" t="s">
        <v>39264</v>
      </c>
      <c r="K7733" s="3" t="s">
        <v>39968</v>
      </c>
      <c r="L7733" s="3"/>
      <c r="M7733" s="4"/>
      <c r="N7733" s="3" t="s">
        <v>37</v>
      </c>
      <c r="O7733" s="3" t="s">
        <v>2740</v>
      </c>
      <c r="P7733" s="5">
        <v>9</v>
      </c>
      <c r="Q7733" s="5">
        <v>145</v>
      </c>
      <c r="R7733" s="5">
        <v>9</v>
      </c>
      <c r="S7733" s="5">
        <v>146</v>
      </c>
    </row>
    <row r="7734" spans="1:19" ht="28" x14ac:dyDescent="0.15">
      <c r="A7734" s="2">
        <f>HYPERLINK("https://open-school.uspishnemisto.com.ua/school/460423/", 460423)</f>
        <v>460423</v>
      </c>
      <c r="B7734" s="3" t="s">
        <v>39969</v>
      </c>
      <c r="C7734" s="3" t="s">
        <v>31</v>
      </c>
      <c r="D7734" s="3" t="s">
        <v>60</v>
      </c>
      <c r="E7734" s="4" t="s">
        <v>22</v>
      </c>
      <c r="F7734" s="4" t="s">
        <v>39970</v>
      </c>
      <c r="G7734" s="4" t="s">
        <v>39971</v>
      </c>
      <c r="H7734" s="3" t="s">
        <v>38194</v>
      </c>
      <c r="I7734" s="3" t="s">
        <v>39972</v>
      </c>
      <c r="J7734" s="3" t="s">
        <v>39973</v>
      </c>
      <c r="K7734" s="3"/>
      <c r="L7734" s="3"/>
      <c r="M7734" s="4"/>
      <c r="N7734" s="3" t="s">
        <v>37</v>
      </c>
      <c r="O7734" s="3" t="s">
        <v>52</v>
      </c>
      <c r="P7734" s="5">
        <v>2</v>
      </c>
      <c r="Q7734" s="5">
        <v>15</v>
      </c>
      <c r="R7734" s="5">
        <v>2</v>
      </c>
      <c r="S7734" s="5">
        <v>15</v>
      </c>
    </row>
    <row r="7735" spans="1:19" ht="28" x14ac:dyDescent="0.15">
      <c r="A7735" s="2">
        <f>HYPERLINK("https://open-school.uspishnemisto.com.ua/school/460424/", 460424)</f>
        <v>460424</v>
      </c>
      <c r="B7735" s="3" t="s">
        <v>39974</v>
      </c>
      <c r="C7735" s="3" t="s">
        <v>31</v>
      </c>
      <c r="D7735" s="3" t="s">
        <v>60</v>
      </c>
      <c r="E7735" s="4" t="s">
        <v>22</v>
      </c>
      <c r="F7735" s="4" t="s">
        <v>39975</v>
      </c>
      <c r="G7735" s="4" t="s">
        <v>39976</v>
      </c>
      <c r="H7735" s="3" t="s">
        <v>38194</v>
      </c>
      <c r="I7735" s="3" t="s">
        <v>39977</v>
      </c>
      <c r="J7735" s="3" t="s">
        <v>12836</v>
      </c>
      <c r="K7735" s="3" t="s">
        <v>39978</v>
      </c>
      <c r="L7735" s="3"/>
      <c r="M7735" s="4"/>
      <c r="N7735" s="3" t="s">
        <v>37</v>
      </c>
      <c r="O7735" s="3" t="s">
        <v>52</v>
      </c>
      <c r="P7735" s="5">
        <v>1</v>
      </c>
      <c r="Q7735" s="5">
        <v>16</v>
      </c>
      <c r="R7735" s="5">
        <v>1</v>
      </c>
      <c r="S7735" s="5">
        <v>18</v>
      </c>
    </row>
    <row r="7736" spans="1:19" ht="28" x14ac:dyDescent="0.15">
      <c r="A7736" s="2">
        <f>HYPERLINK("https://open-school.uspishnemisto.com.ua/school/460425/", 460425)</f>
        <v>460425</v>
      </c>
      <c r="B7736" s="3" t="s">
        <v>39979</v>
      </c>
      <c r="C7736" s="3" t="s">
        <v>31</v>
      </c>
      <c r="D7736" s="3" t="s">
        <v>175</v>
      </c>
      <c r="E7736" s="4" t="s">
        <v>22</v>
      </c>
      <c r="F7736" s="4" t="s">
        <v>39980</v>
      </c>
      <c r="G7736" s="4" t="s">
        <v>39981</v>
      </c>
      <c r="H7736" s="3" t="s">
        <v>38194</v>
      </c>
      <c r="I7736" s="3" t="s">
        <v>39982</v>
      </c>
      <c r="J7736" s="3" t="s">
        <v>634</v>
      </c>
      <c r="K7736" s="3" t="s">
        <v>39983</v>
      </c>
      <c r="L7736" s="3"/>
      <c r="M7736" s="4"/>
      <c r="N7736" s="3" t="s">
        <v>37</v>
      </c>
      <c r="O7736" s="3" t="s">
        <v>52</v>
      </c>
      <c r="P7736" s="5">
        <v>7</v>
      </c>
      <c r="Q7736" s="5">
        <v>61</v>
      </c>
      <c r="R7736" s="5">
        <v>7</v>
      </c>
      <c r="S7736" s="5">
        <v>58</v>
      </c>
    </row>
    <row r="7737" spans="1:19" ht="28" x14ac:dyDescent="0.15">
      <c r="A7737" s="2">
        <f>HYPERLINK("https://open-school.uspishnemisto.com.ua/school/460426/", 460426)</f>
        <v>460426</v>
      </c>
      <c r="B7737" s="3" t="s">
        <v>39984</v>
      </c>
      <c r="C7737" s="3" t="s">
        <v>31</v>
      </c>
      <c r="D7737" s="3" t="s">
        <v>60</v>
      </c>
      <c r="E7737" s="4" t="s">
        <v>22</v>
      </c>
      <c r="F7737" s="4" t="s">
        <v>39906</v>
      </c>
      <c r="G7737" s="4" t="s">
        <v>39985</v>
      </c>
      <c r="H7737" s="3" t="s">
        <v>38194</v>
      </c>
      <c r="I7737" s="3" t="s">
        <v>39986</v>
      </c>
      <c r="J7737" s="3" t="s">
        <v>466</v>
      </c>
      <c r="K7737" s="3" t="s">
        <v>39987</v>
      </c>
      <c r="L7737" s="3"/>
      <c r="M7737" s="4"/>
      <c r="N7737" s="3" t="s">
        <v>37</v>
      </c>
      <c r="O7737" s="3" t="s">
        <v>52</v>
      </c>
      <c r="P7737" s="5">
        <v>1</v>
      </c>
      <c r="Q7737" s="5">
        <v>11</v>
      </c>
      <c r="R7737" s="5">
        <v>2</v>
      </c>
      <c r="S7737" s="5">
        <v>17</v>
      </c>
    </row>
    <row r="7738" spans="1:19" ht="42" x14ac:dyDescent="0.15">
      <c r="A7738" s="2">
        <f>HYPERLINK("https://open-school.uspishnemisto.com.ua/school/460427/", 460427)</f>
        <v>460427</v>
      </c>
      <c r="B7738" s="3" t="s">
        <v>39988</v>
      </c>
      <c r="C7738" s="3" t="s">
        <v>54</v>
      </c>
      <c r="D7738" s="3" t="s">
        <v>60</v>
      </c>
      <c r="E7738" s="4" t="s">
        <v>22</v>
      </c>
      <c r="F7738" s="4" t="s">
        <v>39989</v>
      </c>
      <c r="G7738" s="4" t="s">
        <v>39990</v>
      </c>
      <c r="H7738" s="3" t="s">
        <v>38194</v>
      </c>
      <c r="I7738" s="3" t="s">
        <v>39991</v>
      </c>
      <c r="J7738" s="3" t="s">
        <v>2209</v>
      </c>
      <c r="K7738" s="3"/>
      <c r="L7738" s="3"/>
      <c r="M7738" s="4"/>
      <c r="N7738" s="3" t="s">
        <v>37</v>
      </c>
      <c r="O7738" s="3" t="s">
        <v>52</v>
      </c>
      <c r="P7738" s="5">
        <v>4</v>
      </c>
      <c r="Q7738" s="5">
        <v>53</v>
      </c>
      <c r="R7738" s="5">
        <v>4</v>
      </c>
      <c r="S7738" s="5">
        <v>53</v>
      </c>
    </row>
    <row r="7739" spans="1:19" ht="56" x14ac:dyDescent="0.15">
      <c r="A7739" s="2">
        <f>HYPERLINK("https://open-school.uspishnemisto.com.ua/school/460428/", 460428)</f>
        <v>460428</v>
      </c>
      <c r="B7739" s="3" t="s">
        <v>39992</v>
      </c>
      <c r="C7739" s="3" t="s">
        <v>54</v>
      </c>
      <c r="D7739" s="3" t="s">
        <v>175</v>
      </c>
      <c r="E7739" s="4" t="s">
        <v>22</v>
      </c>
      <c r="F7739" s="4" t="s">
        <v>39993</v>
      </c>
      <c r="G7739" s="4" t="s">
        <v>39994</v>
      </c>
      <c r="H7739" s="3" t="s">
        <v>38194</v>
      </c>
      <c r="I7739" s="3" t="s">
        <v>39995</v>
      </c>
      <c r="J7739" s="3" t="s">
        <v>39996</v>
      </c>
      <c r="K7739" s="3" t="s">
        <v>39997</v>
      </c>
      <c r="L7739" s="3"/>
      <c r="M7739" s="4"/>
      <c r="N7739" s="3" t="s">
        <v>37</v>
      </c>
      <c r="O7739" s="3" t="s">
        <v>2740</v>
      </c>
      <c r="P7739" s="5">
        <v>8</v>
      </c>
      <c r="Q7739" s="5">
        <v>94</v>
      </c>
      <c r="R7739" s="5">
        <v>8</v>
      </c>
      <c r="S7739" s="5">
        <v>90</v>
      </c>
    </row>
    <row r="7740" spans="1:19" ht="28" x14ac:dyDescent="0.15">
      <c r="A7740" s="2">
        <f>HYPERLINK("https://open-school.uspishnemisto.com.ua/school/460429/", 460429)</f>
        <v>460429</v>
      </c>
      <c r="B7740" s="3" t="s">
        <v>39998</v>
      </c>
      <c r="C7740" s="3" t="s">
        <v>31</v>
      </c>
      <c r="D7740" s="3" t="s">
        <v>175</v>
      </c>
      <c r="E7740" s="4" t="s">
        <v>22</v>
      </c>
      <c r="F7740" s="4" t="s">
        <v>39999</v>
      </c>
      <c r="G7740" s="4" t="s">
        <v>40000</v>
      </c>
      <c r="H7740" s="3" t="s">
        <v>38194</v>
      </c>
      <c r="I7740" s="3" t="s">
        <v>40001</v>
      </c>
      <c r="J7740" s="3" t="s">
        <v>40002</v>
      </c>
      <c r="K7740" s="3" t="s">
        <v>40003</v>
      </c>
      <c r="L7740" s="3"/>
      <c r="M7740" s="4"/>
      <c r="N7740" s="3" t="s">
        <v>37</v>
      </c>
      <c r="O7740" s="3" t="s">
        <v>52</v>
      </c>
      <c r="P7740" s="5">
        <v>2</v>
      </c>
      <c r="Q7740" s="5">
        <v>28</v>
      </c>
      <c r="R7740" s="5">
        <v>1</v>
      </c>
      <c r="S7740" s="5">
        <v>25</v>
      </c>
    </row>
    <row r="7741" spans="1:19" ht="28" x14ac:dyDescent="0.15">
      <c r="A7741" s="2">
        <f>HYPERLINK("https://open-school.uspishnemisto.com.ua/school/460430/", 460430)</f>
        <v>460430</v>
      </c>
      <c r="B7741" s="3" t="s">
        <v>40004</v>
      </c>
      <c r="C7741" s="3" t="s">
        <v>31</v>
      </c>
      <c r="D7741" s="3" t="s">
        <v>60</v>
      </c>
      <c r="E7741" s="4" t="s">
        <v>22</v>
      </c>
      <c r="F7741" s="4" t="s">
        <v>39999</v>
      </c>
      <c r="G7741" s="4" t="s">
        <v>40005</v>
      </c>
      <c r="H7741" s="3" t="s">
        <v>38194</v>
      </c>
      <c r="I7741" s="3" t="s">
        <v>8386</v>
      </c>
      <c r="J7741" s="3" t="s">
        <v>22278</v>
      </c>
      <c r="K7741" s="3"/>
      <c r="L7741" s="3"/>
      <c r="M7741" s="4"/>
      <c r="N7741" s="3" t="s">
        <v>37</v>
      </c>
      <c r="O7741" s="3" t="s">
        <v>52</v>
      </c>
      <c r="P7741" s="5">
        <v>0</v>
      </c>
      <c r="Q7741" s="5">
        <v>6</v>
      </c>
      <c r="R7741" s="5">
        <v>0</v>
      </c>
      <c r="S7741" s="5">
        <v>6</v>
      </c>
    </row>
    <row r="7742" spans="1:19" ht="28" x14ac:dyDescent="0.15">
      <c r="A7742" s="2">
        <f>HYPERLINK("https://open-school.uspishnemisto.com.ua/school/460431/", 460431)</f>
        <v>460431</v>
      </c>
      <c r="B7742" s="3" t="s">
        <v>40006</v>
      </c>
      <c r="C7742" s="3" t="s">
        <v>31</v>
      </c>
      <c r="D7742" s="3" t="s">
        <v>32</v>
      </c>
      <c r="E7742" s="4" t="s">
        <v>22</v>
      </c>
      <c r="F7742" s="4" t="s">
        <v>40007</v>
      </c>
      <c r="G7742" s="4" t="s">
        <v>40008</v>
      </c>
      <c r="H7742" s="3" t="s">
        <v>38194</v>
      </c>
      <c r="I7742" s="3" t="s">
        <v>40009</v>
      </c>
      <c r="J7742" s="3" t="s">
        <v>40010</v>
      </c>
      <c r="K7742" s="3" t="s">
        <v>40011</v>
      </c>
      <c r="L7742" s="3"/>
      <c r="M7742" s="4"/>
      <c r="N7742" s="3" t="s">
        <v>37</v>
      </c>
      <c r="O7742" s="3" t="s">
        <v>46</v>
      </c>
      <c r="P7742" s="5">
        <v>20</v>
      </c>
      <c r="Q7742" s="5">
        <v>426</v>
      </c>
      <c r="R7742" s="5">
        <v>20</v>
      </c>
      <c r="S7742" s="5">
        <v>423</v>
      </c>
    </row>
    <row r="7743" spans="1:19" ht="56" x14ac:dyDescent="0.15">
      <c r="A7743" s="2">
        <f>HYPERLINK("https://open-school.uspishnemisto.com.ua/school/460432/", 460432)</f>
        <v>460432</v>
      </c>
      <c r="B7743" s="3" t="s">
        <v>40012</v>
      </c>
      <c r="C7743" s="3" t="s">
        <v>54</v>
      </c>
      <c r="D7743" s="3" t="s">
        <v>175</v>
      </c>
      <c r="E7743" s="4" t="s">
        <v>22</v>
      </c>
      <c r="F7743" s="4" t="s">
        <v>40013</v>
      </c>
      <c r="G7743" s="4" t="s">
        <v>40014</v>
      </c>
      <c r="H7743" s="3" t="s">
        <v>38194</v>
      </c>
      <c r="I7743" s="3" t="s">
        <v>40015</v>
      </c>
      <c r="J7743" s="3" t="s">
        <v>40016</v>
      </c>
      <c r="K7743" s="3" t="s">
        <v>40017</v>
      </c>
      <c r="L7743" s="3"/>
      <c r="M7743" s="4"/>
      <c r="N7743" s="3" t="s">
        <v>37</v>
      </c>
      <c r="O7743" s="3" t="s">
        <v>52</v>
      </c>
      <c r="P7743" s="5">
        <v>9</v>
      </c>
      <c r="Q7743" s="5">
        <v>86</v>
      </c>
      <c r="R7743" s="5">
        <v>9</v>
      </c>
      <c r="S7743" s="5">
        <v>94</v>
      </c>
    </row>
    <row r="7744" spans="1:19" ht="42" x14ac:dyDescent="0.15">
      <c r="A7744" s="2">
        <f>HYPERLINK("https://open-school.uspishnemisto.com.ua/school/460433/", 460433)</f>
        <v>460433</v>
      </c>
      <c r="B7744" s="3" t="s">
        <v>40018</v>
      </c>
      <c r="C7744" s="3" t="s">
        <v>54</v>
      </c>
      <c r="D7744" s="3" t="s">
        <v>32</v>
      </c>
      <c r="E7744" s="4" t="s">
        <v>22</v>
      </c>
      <c r="F7744" s="4" t="s">
        <v>40019</v>
      </c>
      <c r="G7744" s="4" t="s">
        <v>40020</v>
      </c>
      <c r="H7744" s="3" t="s">
        <v>38194</v>
      </c>
      <c r="I7744" s="3" t="s">
        <v>40021</v>
      </c>
      <c r="J7744" s="3" t="s">
        <v>11565</v>
      </c>
      <c r="K7744" s="3" t="s">
        <v>40022</v>
      </c>
      <c r="L7744" s="3"/>
      <c r="M7744" s="4"/>
      <c r="N7744" s="3" t="s">
        <v>37</v>
      </c>
      <c r="O7744" s="3" t="s">
        <v>2740</v>
      </c>
      <c r="P7744" s="5">
        <v>11</v>
      </c>
      <c r="Q7744" s="5">
        <v>136</v>
      </c>
      <c r="R7744" s="5">
        <v>11</v>
      </c>
      <c r="S7744" s="5">
        <v>146</v>
      </c>
    </row>
    <row r="7745" spans="1:19" ht="28" x14ac:dyDescent="0.15">
      <c r="A7745" s="2">
        <f>HYPERLINK("https://open-school.uspishnemisto.com.ua/school/460434/", 460434)</f>
        <v>460434</v>
      </c>
      <c r="B7745" s="3" t="s">
        <v>40023</v>
      </c>
      <c r="C7745" s="3" t="s">
        <v>31</v>
      </c>
      <c r="D7745" s="3" t="s">
        <v>60</v>
      </c>
      <c r="E7745" s="4" t="s">
        <v>22</v>
      </c>
      <c r="F7745" s="4" t="s">
        <v>40024</v>
      </c>
      <c r="G7745" s="4" t="s">
        <v>40025</v>
      </c>
      <c r="H7745" s="3" t="s">
        <v>38194</v>
      </c>
      <c r="I7745" s="3" t="s">
        <v>38785</v>
      </c>
      <c r="J7745" s="3" t="s">
        <v>40026</v>
      </c>
      <c r="K7745" s="3"/>
      <c r="L7745" s="3"/>
      <c r="M7745" s="4"/>
      <c r="N7745" s="3" t="s">
        <v>37</v>
      </c>
      <c r="O7745" s="3" t="s">
        <v>52</v>
      </c>
      <c r="P7745" s="5">
        <v>2</v>
      </c>
      <c r="Q7745" s="5">
        <v>15</v>
      </c>
      <c r="R7745" s="5">
        <v>2</v>
      </c>
      <c r="S7745" s="5">
        <v>17</v>
      </c>
    </row>
    <row r="7746" spans="1:19" ht="28" x14ac:dyDescent="0.15">
      <c r="A7746" s="2">
        <f>HYPERLINK("https://open-school.uspishnemisto.com.ua/school/460435/", 460435)</f>
        <v>460435</v>
      </c>
      <c r="B7746" s="3" t="s">
        <v>40027</v>
      </c>
      <c r="C7746" s="3" t="s">
        <v>31</v>
      </c>
      <c r="D7746" s="3" t="s">
        <v>60</v>
      </c>
      <c r="E7746" s="4" t="s">
        <v>22</v>
      </c>
      <c r="F7746" s="4" t="s">
        <v>40024</v>
      </c>
      <c r="G7746" s="4" t="s">
        <v>40028</v>
      </c>
      <c r="H7746" s="3" t="s">
        <v>38194</v>
      </c>
      <c r="I7746" s="3" t="s">
        <v>40029</v>
      </c>
      <c r="J7746" s="3" t="s">
        <v>6042</v>
      </c>
      <c r="K7746" s="3"/>
      <c r="L7746" s="3"/>
      <c r="M7746" s="4"/>
      <c r="N7746" s="3" t="s">
        <v>37</v>
      </c>
      <c r="O7746" s="3" t="s">
        <v>52</v>
      </c>
      <c r="P7746" s="5">
        <v>0</v>
      </c>
      <c r="Q7746" s="5">
        <v>10</v>
      </c>
      <c r="R7746" s="5">
        <v>0</v>
      </c>
      <c r="S7746" s="5">
        <v>10</v>
      </c>
    </row>
    <row r="7747" spans="1:19" ht="28" x14ac:dyDescent="0.15">
      <c r="A7747" s="2">
        <f>HYPERLINK("https://open-school.uspishnemisto.com.ua/school/460436/", 460436)</f>
        <v>460436</v>
      </c>
      <c r="B7747" s="3" t="s">
        <v>40030</v>
      </c>
      <c r="C7747" s="3" t="s">
        <v>31</v>
      </c>
      <c r="D7747" s="3" t="s">
        <v>60</v>
      </c>
      <c r="E7747" s="4" t="s">
        <v>22</v>
      </c>
      <c r="F7747" s="4" t="s">
        <v>40019</v>
      </c>
      <c r="G7747" s="4" t="s">
        <v>40031</v>
      </c>
      <c r="H7747" s="3" t="s">
        <v>38194</v>
      </c>
      <c r="I7747" s="3" t="s">
        <v>40032</v>
      </c>
      <c r="J7747" s="3" t="s">
        <v>17722</v>
      </c>
      <c r="K7747" s="3"/>
      <c r="L7747" s="3"/>
      <c r="M7747" s="4"/>
      <c r="N7747" s="3" t="s">
        <v>37</v>
      </c>
      <c r="O7747" s="3" t="s">
        <v>52</v>
      </c>
      <c r="P7747" s="5">
        <v>0</v>
      </c>
      <c r="Q7747" s="5">
        <v>5</v>
      </c>
      <c r="R7747" s="5">
        <v>0</v>
      </c>
      <c r="S7747" s="5">
        <v>4</v>
      </c>
    </row>
    <row r="7748" spans="1:19" ht="56" x14ac:dyDescent="0.15">
      <c r="A7748" s="2">
        <f>HYPERLINK("https://open-school.uspishnemisto.com.ua/school/460437/", 460437)</f>
        <v>460437</v>
      </c>
      <c r="B7748" s="3" t="s">
        <v>40033</v>
      </c>
      <c r="C7748" s="3" t="s">
        <v>54</v>
      </c>
      <c r="D7748" s="3" t="s">
        <v>175</v>
      </c>
      <c r="E7748" s="4" t="s">
        <v>22</v>
      </c>
      <c r="F7748" s="4" t="s">
        <v>39989</v>
      </c>
      <c r="G7748" s="4" t="s">
        <v>40034</v>
      </c>
      <c r="H7748" s="3" t="s">
        <v>38194</v>
      </c>
      <c r="I7748" s="3" t="s">
        <v>40035</v>
      </c>
      <c r="J7748" s="3" t="s">
        <v>40036</v>
      </c>
      <c r="K7748" s="3" t="s">
        <v>40037</v>
      </c>
      <c r="L7748" s="3"/>
      <c r="M7748" s="4"/>
      <c r="N7748" s="3" t="s">
        <v>37</v>
      </c>
      <c r="O7748" s="3" t="s">
        <v>52</v>
      </c>
      <c r="P7748" s="5">
        <v>9</v>
      </c>
      <c r="Q7748" s="5">
        <v>131</v>
      </c>
      <c r="R7748" s="5">
        <v>9</v>
      </c>
      <c r="S7748" s="5">
        <v>132</v>
      </c>
    </row>
    <row r="7749" spans="1:19" ht="28" x14ac:dyDescent="0.15">
      <c r="A7749" s="2">
        <f>HYPERLINK("https://open-school.uspishnemisto.com.ua/school/460438/", 460438)</f>
        <v>460438</v>
      </c>
      <c r="B7749" s="3" t="s">
        <v>40038</v>
      </c>
      <c r="C7749" s="3" t="s">
        <v>31</v>
      </c>
      <c r="D7749" s="3" t="s">
        <v>175</v>
      </c>
      <c r="E7749" s="4" t="s">
        <v>22</v>
      </c>
      <c r="F7749" s="4" t="s">
        <v>40039</v>
      </c>
      <c r="G7749" s="4" t="s">
        <v>40040</v>
      </c>
      <c r="H7749" s="3" t="s">
        <v>38194</v>
      </c>
      <c r="I7749" s="3" t="s">
        <v>40041</v>
      </c>
      <c r="J7749" s="3" t="s">
        <v>40042</v>
      </c>
      <c r="K7749" s="3" t="s">
        <v>40043</v>
      </c>
      <c r="L7749" s="3"/>
      <c r="M7749" s="4"/>
      <c r="N7749" s="3" t="s">
        <v>37</v>
      </c>
      <c r="O7749" s="3" t="s">
        <v>46</v>
      </c>
      <c r="P7749" s="5">
        <v>9</v>
      </c>
      <c r="Q7749" s="5">
        <v>71</v>
      </c>
      <c r="R7749" s="5">
        <v>9</v>
      </c>
      <c r="S7749" s="5">
        <v>80</v>
      </c>
    </row>
    <row r="7750" spans="1:19" ht="42" x14ac:dyDescent="0.15">
      <c r="A7750" s="2">
        <f>HYPERLINK("https://open-school.uspishnemisto.com.ua/school/460439/", 460439)</f>
        <v>460439</v>
      </c>
      <c r="B7750" s="3" t="s">
        <v>40044</v>
      </c>
      <c r="C7750" s="3" t="s">
        <v>31</v>
      </c>
      <c r="D7750" s="3" t="s">
        <v>32</v>
      </c>
      <c r="E7750" s="4" t="s">
        <v>22</v>
      </c>
      <c r="F7750" s="4" t="s">
        <v>40045</v>
      </c>
      <c r="G7750" s="4" t="s">
        <v>40046</v>
      </c>
      <c r="H7750" s="3" t="s">
        <v>38194</v>
      </c>
      <c r="I7750" s="3" t="s">
        <v>40047</v>
      </c>
      <c r="J7750" s="3" t="s">
        <v>40048</v>
      </c>
      <c r="K7750" s="3" t="s">
        <v>40049</v>
      </c>
      <c r="L7750" s="3"/>
      <c r="M7750" s="4"/>
      <c r="N7750" s="3" t="s">
        <v>37</v>
      </c>
      <c r="O7750" s="3" t="s">
        <v>70</v>
      </c>
      <c r="P7750" s="5">
        <v>24</v>
      </c>
      <c r="Q7750" s="5">
        <v>499</v>
      </c>
      <c r="R7750" s="5">
        <v>21</v>
      </c>
      <c r="S7750" s="5">
        <v>444</v>
      </c>
    </row>
    <row r="7751" spans="1:19" ht="42" x14ac:dyDescent="0.15">
      <c r="A7751" s="2">
        <f>HYPERLINK("https://open-school.uspishnemisto.com.ua/school/460440/", 460440)</f>
        <v>460440</v>
      </c>
      <c r="B7751" s="3" t="s">
        <v>40050</v>
      </c>
      <c r="C7751" s="3" t="s">
        <v>54</v>
      </c>
      <c r="D7751" s="3" t="s">
        <v>32</v>
      </c>
      <c r="E7751" s="4" t="s">
        <v>22</v>
      </c>
      <c r="F7751" s="4" t="s">
        <v>40045</v>
      </c>
      <c r="G7751" s="4" t="s">
        <v>40046</v>
      </c>
      <c r="H7751" s="3" t="s">
        <v>38194</v>
      </c>
      <c r="I7751" s="3" t="s">
        <v>40047</v>
      </c>
      <c r="J7751" s="3" t="s">
        <v>1360</v>
      </c>
      <c r="K7751" s="3"/>
      <c r="L7751" s="3"/>
      <c r="M7751" s="4"/>
      <c r="N7751" s="3" t="s">
        <v>37</v>
      </c>
      <c r="O7751" s="3" t="s">
        <v>46</v>
      </c>
      <c r="P7751" s="5">
        <v>23</v>
      </c>
      <c r="Q7751" s="5">
        <v>584</v>
      </c>
      <c r="R7751" s="5">
        <v>23</v>
      </c>
      <c r="S7751" s="5">
        <v>603</v>
      </c>
    </row>
    <row r="7752" spans="1:19" ht="28" x14ac:dyDescent="0.15">
      <c r="A7752" s="2">
        <f>HYPERLINK("https://open-school.uspishnemisto.com.ua/school/460441/", 460441)</f>
        <v>460441</v>
      </c>
      <c r="B7752" s="3" t="s">
        <v>40051</v>
      </c>
      <c r="C7752" s="3" t="s">
        <v>54</v>
      </c>
      <c r="D7752" s="3" t="s">
        <v>32</v>
      </c>
      <c r="E7752" s="4" t="s">
        <v>22</v>
      </c>
      <c r="F7752" s="4" t="s">
        <v>40045</v>
      </c>
      <c r="G7752" s="4" t="s">
        <v>40046</v>
      </c>
      <c r="H7752" s="3" t="s">
        <v>38194</v>
      </c>
      <c r="I7752" s="3" t="s">
        <v>40047</v>
      </c>
      <c r="J7752" s="3" t="s">
        <v>40052</v>
      </c>
      <c r="K7752" s="3" t="s">
        <v>40053</v>
      </c>
      <c r="L7752" s="3"/>
      <c r="M7752" s="4"/>
      <c r="N7752" s="3" t="s">
        <v>37</v>
      </c>
      <c r="O7752" s="3" t="s">
        <v>46</v>
      </c>
      <c r="P7752" s="5">
        <v>12</v>
      </c>
      <c r="Q7752" s="5">
        <v>327</v>
      </c>
      <c r="R7752" s="5">
        <v>12</v>
      </c>
      <c r="S7752" s="5">
        <v>313</v>
      </c>
    </row>
    <row r="7753" spans="1:19" ht="42" x14ac:dyDescent="0.15">
      <c r="A7753" s="2">
        <f>HYPERLINK("https://open-school.uspishnemisto.com.ua/school/460442/", 460442)</f>
        <v>460442</v>
      </c>
      <c r="B7753" s="3" t="s">
        <v>40054</v>
      </c>
      <c r="C7753" s="3" t="s">
        <v>31</v>
      </c>
      <c r="D7753" s="3" t="s">
        <v>32</v>
      </c>
      <c r="E7753" s="4" t="s">
        <v>22</v>
      </c>
      <c r="F7753" s="4" t="s">
        <v>40055</v>
      </c>
      <c r="G7753" s="4" t="s">
        <v>40056</v>
      </c>
      <c r="H7753" s="3" t="s">
        <v>38194</v>
      </c>
      <c r="I7753" s="3" t="s">
        <v>40057</v>
      </c>
      <c r="J7753" s="3" t="s">
        <v>5671</v>
      </c>
      <c r="K7753" s="3" t="s">
        <v>40058</v>
      </c>
      <c r="L7753" s="3"/>
      <c r="M7753" s="4"/>
      <c r="N7753" s="3" t="s">
        <v>37</v>
      </c>
      <c r="O7753" s="3" t="s">
        <v>32140</v>
      </c>
      <c r="P7753" s="5">
        <v>21</v>
      </c>
      <c r="Q7753" s="5">
        <v>409</v>
      </c>
      <c r="R7753" s="5">
        <v>21</v>
      </c>
      <c r="S7753" s="5">
        <v>401</v>
      </c>
    </row>
    <row r="7754" spans="1:19" ht="42" x14ac:dyDescent="0.15">
      <c r="A7754" s="2">
        <f>HYPERLINK("https://open-school.uspishnemisto.com.ua/school/460443/", 460443)</f>
        <v>460443</v>
      </c>
      <c r="B7754" s="3" t="s">
        <v>40059</v>
      </c>
      <c r="C7754" s="3" t="s">
        <v>31</v>
      </c>
      <c r="D7754" s="3" t="s">
        <v>32</v>
      </c>
      <c r="E7754" s="4" t="s">
        <v>22</v>
      </c>
      <c r="F7754" s="4" t="s">
        <v>40055</v>
      </c>
      <c r="G7754" s="4" t="s">
        <v>40056</v>
      </c>
      <c r="H7754" s="3" t="s">
        <v>38194</v>
      </c>
      <c r="I7754" s="3" t="s">
        <v>40057</v>
      </c>
      <c r="J7754" s="3" t="s">
        <v>40060</v>
      </c>
      <c r="K7754" s="3" t="s">
        <v>40061</v>
      </c>
      <c r="L7754" s="3"/>
      <c r="M7754" s="4"/>
      <c r="N7754" s="3" t="s">
        <v>37</v>
      </c>
      <c r="O7754" s="3" t="s">
        <v>139</v>
      </c>
      <c r="P7754" s="5">
        <v>11</v>
      </c>
      <c r="Q7754" s="5">
        <v>183</v>
      </c>
      <c r="R7754" s="5">
        <v>11</v>
      </c>
      <c r="S7754" s="5">
        <v>169</v>
      </c>
    </row>
    <row r="7755" spans="1:19" ht="56" x14ac:dyDescent="0.15">
      <c r="A7755" s="2">
        <f>HYPERLINK("https://open-school.uspishnemisto.com.ua/school/460444/", 460444)</f>
        <v>460444</v>
      </c>
      <c r="B7755" s="3" t="s">
        <v>40062</v>
      </c>
      <c r="C7755" s="3" t="s">
        <v>31</v>
      </c>
      <c r="D7755" s="3" t="s">
        <v>32</v>
      </c>
      <c r="E7755" s="4" t="s">
        <v>22</v>
      </c>
      <c r="F7755" s="4" t="s">
        <v>40055</v>
      </c>
      <c r="G7755" s="4" t="s">
        <v>40056</v>
      </c>
      <c r="H7755" s="3" t="s">
        <v>38194</v>
      </c>
      <c r="I7755" s="3" t="s">
        <v>40057</v>
      </c>
      <c r="J7755" s="3" t="s">
        <v>27428</v>
      </c>
      <c r="K7755" s="3" t="s">
        <v>40063</v>
      </c>
      <c r="L7755" s="3"/>
      <c r="M7755" s="4"/>
      <c r="N7755" s="3" t="s">
        <v>37</v>
      </c>
      <c r="O7755" s="3" t="s">
        <v>139</v>
      </c>
      <c r="P7755" s="5">
        <v>22</v>
      </c>
      <c r="Q7755" s="5">
        <v>521</v>
      </c>
      <c r="R7755" s="5">
        <v>21</v>
      </c>
      <c r="S7755" s="5">
        <v>505</v>
      </c>
    </row>
    <row r="7756" spans="1:19" ht="28" x14ac:dyDescent="0.15">
      <c r="A7756" s="2">
        <f>HYPERLINK("https://open-school.uspishnemisto.com.ua/school/460445/", 460445)</f>
        <v>460445</v>
      </c>
      <c r="B7756" s="3" t="s">
        <v>40064</v>
      </c>
      <c r="C7756" s="3" t="s">
        <v>31</v>
      </c>
      <c r="D7756" s="3" t="s">
        <v>32</v>
      </c>
      <c r="E7756" s="4" t="s">
        <v>22</v>
      </c>
      <c r="F7756" s="4" t="s">
        <v>40065</v>
      </c>
      <c r="G7756" s="4" t="s">
        <v>40066</v>
      </c>
      <c r="H7756" s="3" t="s">
        <v>38194</v>
      </c>
      <c r="I7756" s="3" t="s">
        <v>40067</v>
      </c>
      <c r="J7756" s="3" t="s">
        <v>2384</v>
      </c>
      <c r="K7756" s="3" t="s">
        <v>40068</v>
      </c>
      <c r="L7756" s="3"/>
      <c r="M7756" s="4"/>
      <c r="N7756" s="3" t="s">
        <v>37</v>
      </c>
      <c r="O7756" s="3" t="s">
        <v>46</v>
      </c>
      <c r="P7756" s="5">
        <v>21</v>
      </c>
      <c r="Q7756" s="5">
        <v>384</v>
      </c>
      <c r="R7756" s="5">
        <v>20</v>
      </c>
      <c r="S7756" s="5">
        <v>378</v>
      </c>
    </row>
    <row r="7757" spans="1:19" ht="28" x14ac:dyDescent="0.15">
      <c r="A7757" s="2">
        <f>HYPERLINK("https://open-school.uspishnemisto.com.ua/school/460446/", 460446)</f>
        <v>460446</v>
      </c>
      <c r="B7757" s="3" t="s">
        <v>40069</v>
      </c>
      <c r="C7757" s="3" t="s">
        <v>31</v>
      </c>
      <c r="D7757" s="3" t="s">
        <v>60</v>
      </c>
      <c r="E7757" s="4" t="s">
        <v>22</v>
      </c>
      <c r="F7757" s="4" t="s">
        <v>40065</v>
      </c>
      <c r="G7757" s="4" t="s">
        <v>40066</v>
      </c>
      <c r="H7757" s="3" t="s">
        <v>38194</v>
      </c>
      <c r="I7757" s="3" t="s">
        <v>40067</v>
      </c>
      <c r="J7757" s="3" t="s">
        <v>40070</v>
      </c>
      <c r="K7757" s="3" t="s">
        <v>40071</v>
      </c>
      <c r="L7757" s="3"/>
      <c r="M7757" s="4"/>
      <c r="N7757" s="3" t="s">
        <v>37</v>
      </c>
      <c r="O7757" s="3" t="s">
        <v>52</v>
      </c>
      <c r="P7757" s="5">
        <v>4</v>
      </c>
      <c r="Q7757" s="5">
        <v>25</v>
      </c>
      <c r="R7757" s="5">
        <v>4</v>
      </c>
      <c r="S7757" s="5">
        <v>26</v>
      </c>
    </row>
    <row r="7758" spans="1:19" ht="28" x14ac:dyDescent="0.15">
      <c r="A7758" s="2">
        <f>HYPERLINK("https://open-school.uspishnemisto.com.ua/school/460447/", 460447)</f>
        <v>460447</v>
      </c>
      <c r="B7758" s="3" t="s">
        <v>40072</v>
      </c>
      <c r="C7758" s="3" t="s">
        <v>31</v>
      </c>
      <c r="D7758" s="3" t="s">
        <v>175</v>
      </c>
      <c r="E7758" s="4" t="s">
        <v>22</v>
      </c>
      <c r="F7758" s="4" t="s">
        <v>40073</v>
      </c>
      <c r="G7758" s="4" t="s">
        <v>40074</v>
      </c>
      <c r="H7758" s="3" t="s">
        <v>38194</v>
      </c>
      <c r="I7758" s="3" t="s">
        <v>40075</v>
      </c>
      <c r="J7758" s="3" t="s">
        <v>40076</v>
      </c>
      <c r="K7758" s="3" t="s">
        <v>40077</v>
      </c>
      <c r="L7758" s="3"/>
      <c r="M7758" s="4"/>
      <c r="N7758" s="3" t="s">
        <v>37</v>
      </c>
      <c r="O7758" s="3" t="s">
        <v>46</v>
      </c>
      <c r="P7758" s="5">
        <v>9</v>
      </c>
      <c r="Q7758" s="5">
        <v>79</v>
      </c>
      <c r="R7758" s="5">
        <v>9</v>
      </c>
      <c r="S7758" s="5">
        <v>77</v>
      </c>
    </row>
    <row r="7759" spans="1:19" ht="28" x14ac:dyDescent="0.15">
      <c r="A7759" s="2">
        <f>HYPERLINK("https://open-school.uspishnemisto.com.ua/school/460448/", 460448)</f>
        <v>460448</v>
      </c>
      <c r="B7759" s="3" t="s">
        <v>40078</v>
      </c>
      <c r="C7759" s="3" t="s">
        <v>7271</v>
      </c>
      <c r="D7759" s="3" t="s">
        <v>175</v>
      </c>
      <c r="E7759" s="4" t="s">
        <v>22</v>
      </c>
      <c r="F7759" s="4" t="s">
        <v>40079</v>
      </c>
      <c r="G7759" s="4" t="s">
        <v>40080</v>
      </c>
      <c r="H7759" s="3" t="s">
        <v>38194</v>
      </c>
      <c r="I7759" s="3" t="s">
        <v>40081</v>
      </c>
      <c r="J7759" s="3" t="s">
        <v>40082</v>
      </c>
      <c r="K7759" s="3" t="s">
        <v>40083</v>
      </c>
      <c r="L7759" s="3"/>
      <c r="M7759" s="4" t="s">
        <v>40084</v>
      </c>
      <c r="N7759" s="3"/>
      <c r="O7759" s="3"/>
      <c r="P7759" s="5">
        <v>0</v>
      </c>
      <c r="Q7759" s="5">
        <v>0</v>
      </c>
      <c r="R7759" s="5">
        <v>0</v>
      </c>
      <c r="S7759" s="5">
        <v>0</v>
      </c>
    </row>
    <row r="7760" spans="1:19" ht="42" x14ac:dyDescent="0.15">
      <c r="A7760" s="2">
        <f>HYPERLINK("https://open-school.uspishnemisto.com.ua/school/460449/", 460449)</f>
        <v>460449</v>
      </c>
      <c r="B7760" s="3" t="s">
        <v>40085</v>
      </c>
      <c r="C7760" s="3" t="s">
        <v>54</v>
      </c>
      <c r="D7760" s="3" t="s">
        <v>32</v>
      </c>
      <c r="E7760" s="4" t="s">
        <v>22</v>
      </c>
      <c r="F7760" s="4" t="s">
        <v>40086</v>
      </c>
      <c r="G7760" s="4" t="s">
        <v>40080</v>
      </c>
      <c r="H7760" s="3" t="s">
        <v>38194</v>
      </c>
      <c r="I7760" s="3" t="s">
        <v>40081</v>
      </c>
      <c r="J7760" s="3" t="s">
        <v>40087</v>
      </c>
      <c r="K7760" s="3" t="s">
        <v>40088</v>
      </c>
      <c r="L7760" s="3"/>
      <c r="M7760" s="4"/>
      <c r="N7760" s="3" t="s">
        <v>37</v>
      </c>
      <c r="O7760" s="3" t="s">
        <v>52</v>
      </c>
      <c r="P7760" s="5">
        <v>23</v>
      </c>
      <c r="Q7760" s="5">
        <v>425</v>
      </c>
      <c r="R7760" s="5">
        <v>22</v>
      </c>
      <c r="S7760" s="5">
        <v>420</v>
      </c>
    </row>
    <row r="7761" spans="1:19" ht="28" x14ac:dyDescent="0.15">
      <c r="A7761" s="2">
        <f>HYPERLINK("https://open-school.uspishnemisto.com.ua/school/460450/", 460450)</f>
        <v>460450</v>
      </c>
      <c r="B7761" s="3" t="s">
        <v>40089</v>
      </c>
      <c r="C7761" s="3" t="s">
        <v>31</v>
      </c>
      <c r="D7761" s="3" t="s">
        <v>175</v>
      </c>
      <c r="E7761" s="4" t="s">
        <v>22</v>
      </c>
      <c r="F7761" s="4" t="s">
        <v>40090</v>
      </c>
      <c r="G7761" s="4" t="s">
        <v>40091</v>
      </c>
      <c r="H7761" s="3" t="s">
        <v>38194</v>
      </c>
      <c r="I7761" s="3" t="s">
        <v>40092</v>
      </c>
      <c r="J7761" s="3" t="s">
        <v>40093</v>
      </c>
      <c r="K7761" s="3"/>
      <c r="L7761" s="3"/>
      <c r="M7761" s="4"/>
      <c r="N7761" s="3" t="s">
        <v>37</v>
      </c>
      <c r="O7761" s="3" t="s">
        <v>52</v>
      </c>
      <c r="P7761" s="5">
        <v>3</v>
      </c>
      <c r="Q7761" s="5">
        <v>35</v>
      </c>
      <c r="R7761" s="5">
        <v>3</v>
      </c>
      <c r="S7761" s="5">
        <v>33</v>
      </c>
    </row>
    <row r="7762" spans="1:19" ht="42" x14ac:dyDescent="0.15">
      <c r="A7762" s="2">
        <f>HYPERLINK("https://open-school.uspishnemisto.com.ua/school/460451/", 460451)</f>
        <v>460451</v>
      </c>
      <c r="B7762" s="3" t="s">
        <v>40094</v>
      </c>
      <c r="C7762" s="3" t="s">
        <v>31</v>
      </c>
      <c r="D7762" s="3" t="s">
        <v>32</v>
      </c>
      <c r="E7762" s="4" t="s">
        <v>22</v>
      </c>
      <c r="F7762" s="4" t="s">
        <v>40095</v>
      </c>
      <c r="G7762" s="4" t="s">
        <v>40096</v>
      </c>
      <c r="H7762" s="3" t="s">
        <v>38194</v>
      </c>
      <c r="I7762" s="3" t="s">
        <v>40097</v>
      </c>
      <c r="J7762" s="3" t="s">
        <v>34124</v>
      </c>
      <c r="K7762" s="3" t="s">
        <v>40098</v>
      </c>
      <c r="L7762" s="3"/>
      <c r="M7762" s="4"/>
      <c r="N7762" s="3" t="s">
        <v>37</v>
      </c>
      <c r="O7762" s="3" t="s">
        <v>46</v>
      </c>
      <c r="P7762" s="5">
        <v>11</v>
      </c>
      <c r="Q7762" s="5">
        <v>125</v>
      </c>
      <c r="R7762" s="5">
        <v>11</v>
      </c>
      <c r="S7762" s="5">
        <v>133</v>
      </c>
    </row>
    <row r="7763" spans="1:19" ht="42" x14ac:dyDescent="0.15">
      <c r="A7763" s="2">
        <f>HYPERLINK("https://open-school.uspishnemisto.com.ua/school/460453/", 460453)</f>
        <v>460453</v>
      </c>
      <c r="B7763" s="3" t="s">
        <v>40099</v>
      </c>
      <c r="C7763" s="3" t="s">
        <v>54</v>
      </c>
      <c r="D7763" s="3" t="s">
        <v>175</v>
      </c>
      <c r="E7763" s="4" t="s">
        <v>22</v>
      </c>
      <c r="F7763" s="4" t="s">
        <v>40100</v>
      </c>
      <c r="G7763" s="4" t="s">
        <v>40101</v>
      </c>
      <c r="H7763" s="3" t="s">
        <v>38194</v>
      </c>
      <c r="I7763" s="3" t="s">
        <v>8067</v>
      </c>
      <c r="J7763" s="3" t="s">
        <v>40102</v>
      </c>
      <c r="K7763" s="3" t="s">
        <v>40103</v>
      </c>
      <c r="L7763" s="3"/>
      <c r="M7763" s="4"/>
      <c r="N7763" s="3" t="s">
        <v>37</v>
      </c>
      <c r="O7763" s="3" t="s">
        <v>46</v>
      </c>
      <c r="P7763" s="5">
        <v>14</v>
      </c>
      <c r="Q7763" s="5">
        <v>121</v>
      </c>
      <c r="R7763" s="5">
        <v>6</v>
      </c>
      <c r="S7763" s="5">
        <v>46</v>
      </c>
    </row>
    <row r="7764" spans="1:19" ht="28" x14ac:dyDescent="0.15">
      <c r="A7764" s="2">
        <f>HYPERLINK("https://open-school.uspishnemisto.com.ua/school/460454/", 460454)</f>
        <v>460454</v>
      </c>
      <c r="B7764" s="3" t="s">
        <v>40104</v>
      </c>
      <c r="C7764" s="3" t="s">
        <v>31</v>
      </c>
      <c r="D7764" s="3" t="s">
        <v>32</v>
      </c>
      <c r="E7764" s="4" t="s">
        <v>22</v>
      </c>
      <c r="F7764" s="4" t="s">
        <v>40105</v>
      </c>
      <c r="G7764" s="4" t="s">
        <v>40106</v>
      </c>
      <c r="H7764" s="3" t="s">
        <v>38194</v>
      </c>
      <c r="I7764" s="3" t="s">
        <v>7597</v>
      </c>
      <c r="J7764" s="3" t="s">
        <v>40107</v>
      </c>
      <c r="K7764" s="3" t="s">
        <v>40108</v>
      </c>
      <c r="L7764" s="3"/>
      <c r="M7764" s="4"/>
      <c r="N7764" s="3" t="s">
        <v>37</v>
      </c>
      <c r="O7764" s="3" t="s">
        <v>52</v>
      </c>
      <c r="P7764" s="5">
        <v>11</v>
      </c>
      <c r="Q7764" s="5">
        <v>156</v>
      </c>
      <c r="R7764" s="5">
        <v>11</v>
      </c>
      <c r="S7764" s="5">
        <v>164</v>
      </c>
    </row>
    <row r="7765" spans="1:19" ht="28" x14ac:dyDescent="0.15">
      <c r="A7765" s="2">
        <f>HYPERLINK("https://open-school.uspishnemisto.com.ua/school/460455/", 460455)</f>
        <v>460455</v>
      </c>
      <c r="B7765" s="3" t="s">
        <v>40109</v>
      </c>
      <c r="C7765" s="3" t="s">
        <v>31</v>
      </c>
      <c r="D7765" s="3" t="s">
        <v>60</v>
      </c>
      <c r="E7765" s="4" t="s">
        <v>22</v>
      </c>
      <c r="F7765" s="4" t="s">
        <v>40105</v>
      </c>
      <c r="G7765" s="4" t="s">
        <v>40110</v>
      </c>
      <c r="H7765" s="3" t="s">
        <v>38194</v>
      </c>
      <c r="I7765" s="3" t="s">
        <v>40111</v>
      </c>
      <c r="J7765" s="3" t="s">
        <v>40112</v>
      </c>
      <c r="K7765" s="3"/>
      <c r="L7765" s="3"/>
      <c r="M7765" s="4"/>
      <c r="N7765" s="3" t="s">
        <v>37</v>
      </c>
      <c r="O7765" s="3" t="s">
        <v>52</v>
      </c>
      <c r="P7765" s="5">
        <v>0</v>
      </c>
      <c r="Q7765" s="5">
        <v>11</v>
      </c>
      <c r="R7765" s="5">
        <v>0</v>
      </c>
      <c r="S7765" s="5">
        <v>11</v>
      </c>
    </row>
    <row r="7766" spans="1:19" ht="28" x14ac:dyDescent="0.15">
      <c r="A7766" s="2">
        <f>HYPERLINK("https://open-school.uspishnemisto.com.ua/school/460456/", 460456)</f>
        <v>460456</v>
      </c>
      <c r="B7766" s="3" t="s">
        <v>40113</v>
      </c>
      <c r="C7766" s="3" t="s">
        <v>31</v>
      </c>
      <c r="D7766" s="3" t="s">
        <v>175</v>
      </c>
      <c r="E7766" s="4" t="s">
        <v>22</v>
      </c>
      <c r="F7766" s="4" t="s">
        <v>40114</v>
      </c>
      <c r="G7766" s="4" t="s">
        <v>40115</v>
      </c>
      <c r="H7766" s="3" t="s">
        <v>38194</v>
      </c>
      <c r="I7766" s="3" t="s">
        <v>40116</v>
      </c>
      <c r="J7766" s="3" t="s">
        <v>40117</v>
      </c>
      <c r="K7766" s="3" t="s">
        <v>40118</v>
      </c>
      <c r="L7766" s="3"/>
      <c r="M7766" s="4"/>
      <c r="N7766" s="3" t="s">
        <v>37</v>
      </c>
      <c r="O7766" s="3" t="s">
        <v>46</v>
      </c>
      <c r="P7766" s="5">
        <v>8</v>
      </c>
      <c r="Q7766" s="5">
        <v>63</v>
      </c>
      <c r="R7766" s="5">
        <v>8</v>
      </c>
      <c r="S7766" s="5">
        <v>64</v>
      </c>
    </row>
    <row r="7767" spans="1:19" ht="28" x14ac:dyDescent="0.15">
      <c r="A7767" s="2">
        <f>HYPERLINK("https://open-school.uspishnemisto.com.ua/school/460457/", 460457)</f>
        <v>460457</v>
      </c>
      <c r="B7767" s="3" t="s">
        <v>40119</v>
      </c>
      <c r="C7767" s="3" t="s">
        <v>31</v>
      </c>
      <c r="D7767" s="3" t="s">
        <v>175</v>
      </c>
      <c r="E7767" s="4" t="s">
        <v>22</v>
      </c>
      <c r="F7767" s="4" t="s">
        <v>40120</v>
      </c>
      <c r="G7767" s="4" t="s">
        <v>40121</v>
      </c>
      <c r="H7767" s="3" t="s">
        <v>38194</v>
      </c>
      <c r="I7767" s="3" t="s">
        <v>40122</v>
      </c>
      <c r="J7767" s="3" t="s">
        <v>40123</v>
      </c>
      <c r="K7767" s="3" t="s">
        <v>40124</v>
      </c>
      <c r="L7767" s="3"/>
      <c r="M7767" s="4"/>
      <c r="N7767" s="3" t="s">
        <v>37</v>
      </c>
      <c r="O7767" s="3" t="s">
        <v>46</v>
      </c>
      <c r="P7767" s="5">
        <v>8</v>
      </c>
      <c r="Q7767" s="5">
        <v>49</v>
      </c>
      <c r="R7767" s="5">
        <v>8</v>
      </c>
      <c r="S7767" s="5">
        <v>50</v>
      </c>
    </row>
    <row r="7768" spans="1:19" ht="42" x14ac:dyDescent="0.15">
      <c r="A7768" s="2">
        <f>HYPERLINK("https://open-school.uspishnemisto.com.ua/school/460458/", 460458)</f>
        <v>460458</v>
      </c>
      <c r="B7768" s="3" t="s">
        <v>40125</v>
      </c>
      <c r="C7768" s="3" t="s">
        <v>31</v>
      </c>
      <c r="D7768" s="3" t="s">
        <v>32</v>
      </c>
      <c r="E7768" s="4" t="s">
        <v>22</v>
      </c>
      <c r="F7768" s="4" t="s">
        <v>40126</v>
      </c>
      <c r="G7768" s="4" t="s">
        <v>40127</v>
      </c>
      <c r="H7768" s="3" t="s">
        <v>38194</v>
      </c>
      <c r="I7768" s="3" t="s">
        <v>3751</v>
      </c>
      <c r="J7768" s="3" t="s">
        <v>40128</v>
      </c>
      <c r="K7768" s="3" t="s">
        <v>40129</v>
      </c>
      <c r="L7768" s="3"/>
      <c r="M7768" s="4"/>
      <c r="N7768" s="3" t="s">
        <v>37</v>
      </c>
      <c r="O7768" s="3" t="s">
        <v>52</v>
      </c>
      <c r="P7768" s="5">
        <v>11</v>
      </c>
      <c r="Q7768" s="5">
        <v>176</v>
      </c>
      <c r="R7768" s="5">
        <v>11</v>
      </c>
      <c r="S7768" s="5">
        <v>173</v>
      </c>
    </row>
    <row r="7769" spans="1:19" ht="28" x14ac:dyDescent="0.15">
      <c r="A7769" s="2">
        <f>HYPERLINK("https://open-school.uspishnemisto.com.ua/school/460459/", 460459)</f>
        <v>460459</v>
      </c>
      <c r="B7769" s="3" t="s">
        <v>40130</v>
      </c>
      <c r="C7769" s="3" t="s">
        <v>31</v>
      </c>
      <c r="D7769" s="3" t="s">
        <v>32</v>
      </c>
      <c r="E7769" s="4" t="s">
        <v>41</v>
      </c>
      <c r="F7769" s="4" t="s">
        <v>40126</v>
      </c>
      <c r="G7769" s="4" t="s">
        <v>40127</v>
      </c>
      <c r="H7769" s="3" t="s">
        <v>38194</v>
      </c>
      <c r="I7769" s="3" t="s">
        <v>3751</v>
      </c>
      <c r="J7769" s="3" t="s">
        <v>40131</v>
      </c>
      <c r="K7769" s="3"/>
      <c r="L7769" s="3"/>
      <c r="M7769" s="4"/>
      <c r="N7769" s="3" t="s">
        <v>37</v>
      </c>
      <c r="O7769" s="3" t="s">
        <v>52</v>
      </c>
      <c r="P7769" s="5">
        <v>1</v>
      </c>
      <c r="Q7769" s="5">
        <v>11</v>
      </c>
      <c r="R7769" s="5">
        <v>2</v>
      </c>
      <c r="S7769" s="5">
        <v>19</v>
      </c>
    </row>
    <row r="7770" spans="1:19" ht="42" x14ac:dyDescent="0.15">
      <c r="A7770" s="2">
        <f>HYPERLINK("https://open-school.uspishnemisto.com.ua/school/460460/", 460460)</f>
        <v>460460</v>
      </c>
      <c r="B7770" s="3" t="s">
        <v>40132</v>
      </c>
      <c r="C7770" s="3" t="s">
        <v>31</v>
      </c>
      <c r="D7770" s="3" t="s">
        <v>60</v>
      </c>
      <c r="E7770" s="4" t="s">
        <v>22</v>
      </c>
      <c r="F7770" s="4" t="s">
        <v>40133</v>
      </c>
      <c r="G7770" s="4" t="s">
        <v>40134</v>
      </c>
      <c r="H7770" s="3" t="s">
        <v>38194</v>
      </c>
      <c r="I7770" s="3" t="s">
        <v>40135</v>
      </c>
      <c r="J7770" s="3" t="s">
        <v>1393</v>
      </c>
      <c r="K7770" s="3" t="s">
        <v>40136</v>
      </c>
      <c r="L7770" s="3"/>
      <c r="M7770" s="4"/>
      <c r="N7770" s="3" t="s">
        <v>37</v>
      </c>
      <c r="O7770" s="3" t="s">
        <v>52</v>
      </c>
      <c r="P7770" s="5">
        <v>0</v>
      </c>
      <c r="Q7770" s="5">
        <v>4</v>
      </c>
      <c r="R7770" s="5">
        <v>3</v>
      </c>
      <c r="S7770" s="5">
        <v>26</v>
      </c>
    </row>
    <row r="7771" spans="1:19" ht="42" x14ac:dyDescent="0.15">
      <c r="A7771" s="2">
        <f>HYPERLINK("https://open-school.uspishnemisto.com.ua/school/460461/", 460461)</f>
        <v>460461</v>
      </c>
      <c r="B7771" s="3" t="s">
        <v>40137</v>
      </c>
      <c r="C7771" s="3" t="s">
        <v>31</v>
      </c>
      <c r="D7771" s="3" t="s">
        <v>175</v>
      </c>
      <c r="E7771" s="4" t="s">
        <v>22</v>
      </c>
      <c r="F7771" s="4" t="s">
        <v>40138</v>
      </c>
      <c r="G7771" s="4" t="s">
        <v>40139</v>
      </c>
      <c r="H7771" s="3" t="s">
        <v>38194</v>
      </c>
      <c r="I7771" s="3" t="s">
        <v>40140</v>
      </c>
      <c r="J7771" s="3" t="s">
        <v>14427</v>
      </c>
      <c r="K7771" s="3" t="s">
        <v>40141</v>
      </c>
      <c r="L7771" s="3"/>
      <c r="M7771" s="4"/>
      <c r="N7771" s="3" t="s">
        <v>37</v>
      </c>
      <c r="O7771" s="3" t="s">
        <v>52</v>
      </c>
      <c r="P7771" s="5">
        <v>9</v>
      </c>
      <c r="Q7771" s="5">
        <v>80</v>
      </c>
      <c r="R7771" s="5">
        <v>9</v>
      </c>
      <c r="S7771" s="5">
        <v>80</v>
      </c>
    </row>
    <row r="7772" spans="1:19" ht="42" x14ac:dyDescent="0.15">
      <c r="A7772" s="2">
        <f>HYPERLINK("https://open-school.uspishnemisto.com.ua/school/460462/", 460462)</f>
        <v>460462</v>
      </c>
      <c r="B7772" s="3" t="s">
        <v>40142</v>
      </c>
      <c r="C7772" s="3" t="s">
        <v>31</v>
      </c>
      <c r="D7772" s="3" t="s">
        <v>175</v>
      </c>
      <c r="E7772" s="4" t="s">
        <v>22</v>
      </c>
      <c r="F7772" s="4" t="s">
        <v>40143</v>
      </c>
      <c r="G7772" s="4" t="s">
        <v>40144</v>
      </c>
      <c r="H7772" s="3" t="s">
        <v>38194</v>
      </c>
      <c r="I7772" s="3" t="s">
        <v>40145</v>
      </c>
      <c r="J7772" s="3" t="s">
        <v>21096</v>
      </c>
      <c r="K7772" s="3"/>
      <c r="L7772" s="3"/>
      <c r="M7772" s="4"/>
      <c r="N7772" s="3" t="s">
        <v>37</v>
      </c>
      <c r="O7772" s="3" t="s">
        <v>52</v>
      </c>
      <c r="P7772" s="5">
        <v>5</v>
      </c>
      <c r="Q7772" s="5">
        <v>33</v>
      </c>
      <c r="R7772" s="5">
        <v>5</v>
      </c>
      <c r="S7772" s="5">
        <v>35</v>
      </c>
    </row>
    <row r="7773" spans="1:19" ht="42" x14ac:dyDescent="0.15">
      <c r="A7773" s="2">
        <f>HYPERLINK("https://open-school.uspishnemisto.com.ua/school/460463/", 460463)</f>
        <v>460463</v>
      </c>
      <c r="B7773" s="3" t="s">
        <v>40146</v>
      </c>
      <c r="C7773" s="3" t="s">
        <v>31</v>
      </c>
      <c r="D7773" s="3" t="s">
        <v>32</v>
      </c>
      <c r="E7773" s="4" t="s">
        <v>22</v>
      </c>
      <c r="F7773" s="4" t="s">
        <v>40147</v>
      </c>
      <c r="G7773" s="4" t="s">
        <v>40148</v>
      </c>
      <c r="H7773" s="3" t="s">
        <v>38194</v>
      </c>
      <c r="I7773" s="3" t="s">
        <v>40149</v>
      </c>
      <c r="J7773" s="3" t="s">
        <v>15310</v>
      </c>
      <c r="K7773" s="3" t="s">
        <v>40150</v>
      </c>
      <c r="L7773" s="3"/>
      <c r="M7773" s="4"/>
      <c r="N7773" s="3" t="s">
        <v>37</v>
      </c>
      <c r="O7773" s="3" t="s">
        <v>46</v>
      </c>
      <c r="P7773" s="5">
        <v>11</v>
      </c>
      <c r="Q7773" s="5">
        <v>100</v>
      </c>
      <c r="R7773" s="5">
        <v>11</v>
      </c>
      <c r="S7773" s="5">
        <v>96</v>
      </c>
    </row>
    <row r="7774" spans="1:19" ht="42" x14ac:dyDescent="0.15">
      <c r="A7774" s="2">
        <f>HYPERLINK("https://open-school.uspishnemisto.com.ua/school/460464/", 460464)</f>
        <v>460464</v>
      </c>
      <c r="B7774" s="3" t="s">
        <v>40151</v>
      </c>
      <c r="C7774" s="3" t="s">
        <v>31</v>
      </c>
      <c r="D7774" s="3" t="s">
        <v>32</v>
      </c>
      <c r="E7774" s="4" t="s">
        <v>22</v>
      </c>
      <c r="F7774" s="4" t="s">
        <v>40152</v>
      </c>
      <c r="G7774" s="4" t="s">
        <v>40153</v>
      </c>
      <c r="H7774" s="3" t="s">
        <v>38194</v>
      </c>
      <c r="I7774" s="3" t="s">
        <v>40154</v>
      </c>
      <c r="J7774" s="3" t="s">
        <v>7277</v>
      </c>
      <c r="K7774" s="3" t="s">
        <v>40155</v>
      </c>
      <c r="L7774" s="3"/>
      <c r="M7774" s="4"/>
      <c r="N7774" s="3" t="s">
        <v>37</v>
      </c>
      <c r="O7774" s="3" t="s">
        <v>52</v>
      </c>
      <c r="P7774" s="5">
        <v>10</v>
      </c>
      <c r="Q7774" s="5">
        <v>81</v>
      </c>
      <c r="R7774" s="5">
        <v>11</v>
      </c>
      <c r="S7774" s="5">
        <v>85</v>
      </c>
    </row>
    <row r="7775" spans="1:19" ht="28" x14ac:dyDescent="0.15">
      <c r="A7775" s="2">
        <f>HYPERLINK("https://open-school.uspishnemisto.com.ua/school/460465/", 460465)</f>
        <v>460465</v>
      </c>
      <c r="B7775" s="3" t="s">
        <v>40156</v>
      </c>
      <c r="C7775" s="3" t="s">
        <v>31</v>
      </c>
      <c r="D7775" s="3" t="s">
        <v>175</v>
      </c>
      <c r="E7775" s="4" t="s">
        <v>22</v>
      </c>
      <c r="F7775" s="4" t="s">
        <v>40157</v>
      </c>
      <c r="G7775" s="4" t="s">
        <v>40158</v>
      </c>
      <c r="H7775" s="3" t="s">
        <v>38194</v>
      </c>
      <c r="I7775" s="3" t="s">
        <v>40159</v>
      </c>
      <c r="J7775" s="3" t="s">
        <v>40160</v>
      </c>
      <c r="K7775" s="3" t="s">
        <v>40161</v>
      </c>
      <c r="L7775" s="3"/>
      <c r="M7775" s="4"/>
      <c r="N7775" s="3" t="s">
        <v>37</v>
      </c>
      <c r="O7775" s="3" t="s">
        <v>52</v>
      </c>
      <c r="P7775" s="5">
        <v>1</v>
      </c>
      <c r="Q7775" s="5">
        <v>26</v>
      </c>
      <c r="R7775" s="5">
        <v>2</v>
      </c>
      <c r="S7775" s="5">
        <v>27</v>
      </c>
    </row>
    <row r="7776" spans="1:19" ht="42" x14ac:dyDescent="0.15">
      <c r="A7776" s="2">
        <f>HYPERLINK("https://open-school.uspishnemisto.com.ua/school/460466/", 460466)</f>
        <v>460466</v>
      </c>
      <c r="B7776" s="3" t="s">
        <v>40162</v>
      </c>
      <c r="C7776" s="3" t="s">
        <v>31</v>
      </c>
      <c r="D7776" s="3" t="s">
        <v>32</v>
      </c>
      <c r="E7776" s="4" t="s">
        <v>22</v>
      </c>
      <c r="F7776" s="4" t="s">
        <v>40163</v>
      </c>
      <c r="G7776" s="4" t="s">
        <v>40164</v>
      </c>
      <c r="H7776" s="3" t="s">
        <v>38194</v>
      </c>
      <c r="I7776" s="3" t="s">
        <v>40165</v>
      </c>
      <c r="J7776" s="3" t="s">
        <v>2793</v>
      </c>
      <c r="K7776" s="3" t="s">
        <v>40166</v>
      </c>
      <c r="L7776" s="3"/>
      <c r="M7776" s="4"/>
      <c r="N7776" s="3" t="s">
        <v>37</v>
      </c>
      <c r="O7776" s="3" t="s">
        <v>46</v>
      </c>
      <c r="P7776" s="5">
        <v>8</v>
      </c>
      <c r="Q7776" s="5">
        <v>65</v>
      </c>
      <c r="R7776" s="5">
        <v>8</v>
      </c>
      <c r="S7776" s="5">
        <v>73</v>
      </c>
    </row>
    <row r="7777" spans="1:19" ht="42" x14ac:dyDescent="0.15">
      <c r="A7777" s="2">
        <f>HYPERLINK("https://open-school.uspishnemisto.com.ua/school/460467/", 460467)</f>
        <v>460467</v>
      </c>
      <c r="B7777" s="3" t="s">
        <v>40167</v>
      </c>
      <c r="C7777" s="3" t="s">
        <v>31</v>
      </c>
      <c r="D7777" s="3" t="s">
        <v>175</v>
      </c>
      <c r="E7777" s="4" t="s">
        <v>22</v>
      </c>
      <c r="F7777" s="4" t="s">
        <v>40168</v>
      </c>
      <c r="G7777" s="4" t="s">
        <v>40169</v>
      </c>
      <c r="H7777" s="3" t="s">
        <v>38194</v>
      </c>
      <c r="I7777" s="3" t="s">
        <v>40170</v>
      </c>
      <c r="J7777" s="3" t="s">
        <v>40171</v>
      </c>
      <c r="K7777" s="3" t="s">
        <v>40172</v>
      </c>
      <c r="L7777" s="3"/>
      <c r="M7777" s="4"/>
      <c r="N7777" s="3" t="s">
        <v>37</v>
      </c>
      <c r="O7777" s="3" t="s">
        <v>52</v>
      </c>
      <c r="P7777" s="5">
        <v>8</v>
      </c>
      <c r="Q7777" s="5">
        <v>63</v>
      </c>
      <c r="R7777" s="5">
        <v>8</v>
      </c>
      <c r="S7777" s="5">
        <v>66</v>
      </c>
    </row>
    <row r="7778" spans="1:19" ht="42" x14ac:dyDescent="0.15">
      <c r="A7778" s="2">
        <f>HYPERLINK("https://open-school.uspishnemisto.com.ua/school/460468/", 460468)</f>
        <v>460468</v>
      </c>
      <c r="B7778" s="3" t="s">
        <v>40173</v>
      </c>
      <c r="C7778" s="3" t="s">
        <v>31</v>
      </c>
      <c r="D7778" s="3" t="s">
        <v>175</v>
      </c>
      <c r="E7778" s="4" t="s">
        <v>22</v>
      </c>
      <c r="F7778" s="4" t="s">
        <v>40174</v>
      </c>
      <c r="G7778" s="4" t="s">
        <v>40175</v>
      </c>
      <c r="H7778" s="3" t="s">
        <v>38194</v>
      </c>
      <c r="I7778" s="3" t="s">
        <v>2422</v>
      </c>
      <c r="J7778" s="3" t="s">
        <v>40176</v>
      </c>
      <c r="K7778" s="3" t="s">
        <v>40177</v>
      </c>
      <c r="L7778" s="3"/>
      <c r="M7778" s="4"/>
      <c r="N7778" s="3" t="s">
        <v>37</v>
      </c>
      <c r="O7778" s="3" t="s">
        <v>2740</v>
      </c>
      <c r="P7778" s="5">
        <v>4</v>
      </c>
      <c r="Q7778" s="5">
        <v>41</v>
      </c>
      <c r="R7778" s="5">
        <v>6</v>
      </c>
      <c r="S7778" s="5">
        <v>45</v>
      </c>
    </row>
    <row r="7779" spans="1:19" ht="42" x14ac:dyDescent="0.15">
      <c r="A7779" s="2">
        <f>HYPERLINK("https://open-school.uspishnemisto.com.ua/school/460469/", 460469)</f>
        <v>460469</v>
      </c>
      <c r="B7779" s="3" t="s">
        <v>40178</v>
      </c>
      <c r="C7779" s="3" t="s">
        <v>31</v>
      </c>
      <c r="D7779" s="3" t="s">
        <v>175</v>
      </c>
      <c r="E7779" s="4" t="s">
        <v>22</v>
      </c>
      <c r="F7779" s="4" t="s">
        <v>40179</v>
      </c>
      <c r="G7779" s="4" t="s">
        <v>40180</v>
      </c>
      <c r="H7779" s="3" t="s">
        <v>38194</v>
      </c>
      <c r="I7779" s="3" t="s">
        <v>40181</v>
      </c>
      <c r="J7779" s="3" t="s">
        <v>40182</v>
      </c>
      <c r="K7779" s="3" t="s">
        <v>40183</v>
      </c>
      <c r="L7779" s="3"/>
      <c r="M7779" s="4"/>
      <c r="N7779" s="3" t="s">
        <v>37</v>
      </c>
      <c r="O7779" s="3" t="s">
        <v>52</v>
      </c>
      <c r="P7779" s="5">
        <v>7</v>
      </c>
      <c r="Q7779" s="5">
        <v>44</v>
      </c>
      <c r="R7779" s="5">
        <v>6</v>
      </c>
      <c r="S7779" s="5">
        <v>45</v>
      </c>
    </row>
    <row r="7780" spans="1:19" ht="42" x14ac:dyDescent="0.15">
      <c r="A7780" s="2">
        <f>HYPERLINK("https://open-school.uspishnemisto.com.ua/school/460470/", 460470)</f>
        <v>460470</v>
      </c>
      <c r="B7780" s="3" t="s">
        <v>40184</v>
      </c>
      <c r="C7780" s="3" t="s">
        <v>31</v>
      </c>
      <c r="D7780" s="3" t="s">
        <v>175</v>
      </c>
      <c r="E7780" s="4" t="s">
        <v>22</v>
      </c>
      <c r="F7780" s="4" t="s">
        <v>40185</v>
      </c>
      <c r="G7780" s="4" t="s">
        <v>40186</v>
      </c>
      <c r="H7780" s="3" t="s">
        <v>38194</v>
      </c>
      <c r="I7780" s="3" t="s">
        <v>40187</v>
      </c>
      <c r="J7780" s="3" t="s">
        <v>297</v>
      </c>
      <c r="K7780" s="3" t="s">
        <v>40188</v>
      </c>
      <c r="L7780" s="3"/>
      <c r="M7780" s="4"/>
      <c r="N7780" s="3" t="s">
        <v>37</v>
      </c>
      <c r="O7780" s="3" t="s">
        <v>52</v>
      </c>
      <c r="P7780" s="5">
        <v>9</v>
      </c>
      <c r="Q7780" s="5">
        <v>82</v>
      </c>
      <c r="R7780" s="5">
        <v>9</v>
      </c>
      <c r="S7780" s="5">
        <v>81</v>
      </c>
    </row>
    <row r="7781" spans="1:19" ht="42" x14ac:dyDescent="0.15">
      <c r="A7781" s="2">
        <f>HYPERLINK("https://open-school.uspishnemisto.com.ua/school/460471/", 460471)</f>
        <v>460471</v>
      </c>
      <c r="B7781" s="3" t="s">
        <v>40189</v>
      </c>
      <c r="C7781" s="3" t="s">
        <v>31</v>
      </c>
      <c r="D7781" s="3" t="s">
        <v>60</v>
      </c>
      <c r="E7781" s="4" t="s">
        <v>22</v>
      </c>
      <c r="F7781" s="4" t="s">
        <v>40190</v>
      </c>
      <c r="G7781" s="4" t="s">
        <v>40191</v>
      </c>
      <c r="H7781" s="3" t="s">
        <v>38194</v>
      </c>
      <c r="I7781" s="3" t="s">
        <v>39852</v>
      </c>
      <c r="J7781" s="3" t="s">
        <v>5394</v>
      </c>
      <c r="K7781" s="3"/>
      <c r="L7781" s="3"/>
      <c r="M7781" s="4"/>
      <c r="N7781" s="3" t="s">
        <v>37</v>
      </c>
      <c r="O7781" s="3" t="s">
        <v>52</v>
      </c>
      <c r="P7781" s="5">
        <v>1</v>
      </c>
      <c r="Q7781" s="5">
        <v>12</v>
      </c>
      <c r="R7781" s="5">
        <v>1</v>
      </c>
      <c r="S7781" s="5">
        <v>11</v>
      </c>
    </row>
    <row r="7782" spans="1:19" ht="28" x14ac:dyDescent="0.15">
      <c r="A7782" s="2">
        <f>HYPERLINK("https://open-school.uspishnemisto.com.ua/school/460472/", 460472)</f>
        <v>460472</v>
      </c>
      <c r="B7782" s="3" t="s">
        <v>40192</v>
      </c>
      <c r="C7782" s="3" t="s">
        <v>31</v>
      </c>
      <c r="D7782" s="3" t="s">
        <v>175</v>
      </c>
      <c r="E7782" s="4" t="s">
        <v>22</v>
      </c>
      <c r="F7782" s="4" t="s">
        <v>40193</v>
      </c>
      <c r="G7782" s="4" t="s">
        <v>40194</v>
      </c>
      <c r="H7782" s="3" t="s">
        <v>38194</v>
      </c>
      <c r="I7782" s="3" t="s">
        <v>7441</v>
      </c>
      <c r="J7782" s="3" t="s">
        <v>40195</v>
      </c>
      <c r="K7782" s="3" t="s">
        <v>40196</v>
      </c>
      <c r="L7782" s="3"/>
      <c r="M7782" s="4"/>
      <c r="N7782" s="3" t="s">
        <v>37</v>
      </c>
      <c r="O7782" s="3" t="s">
        <v>52</v>
      </c>
      <c r="P7782" s="5">
        <v>9</v>
      </c>
      <c r="Q7782" s="5">
        <v>99</v>
      </c>
      <c r="R7782" s="5">
        <v>9</v>
      </c>
      <c r="S7782" s="5">
        <v>97</v>
      </c>
    </row>
    <row r="7783" spans="1:19" ht="28" x14ac:dyDescent="0.15">
      <c r="A7783" s="2">
        <f>HYPERLINK("https://open-school.uspishnemisto.com.ua/school/460473/", 460473)</f>
        <v>460473</v>
      </c>
      <c r="B7783" s="3" t="s">
        <v>40197</v>
      </c>
      <c r="C7783" s="3" t="s">
        <v>31</v>
      </c>
      <c r="D7783" s="3" t="s">
        <v>60</v>
      </c>
      <c r="E7783" s="4" t="s">
        <v>22</v>
      </c>
      <c r="F7783" s="4" t="s">
        <v>40198</v>
      </c>
      <c r="G7783" s="4" t="s">
        <v>40199</v>
      </c>
      <c r="H7783" s="3" t="s">
        <v>38194</v>
      </c>
      <c r="I7783" s="3" t="s">
        <v>40200</v>
      </c>
      <c r="J7783" s="3" t="s">
        <v>1636</v>
      </c>
      <c r="K7783" s="3" t="s">
        <v>40201</v>
      </c>
      <c r="L7783" s="3"/>
      <c r="M7783" s="4"/>
      <c r="N7783" s="3" t="s">
        <v>37</v>
      </c>
      <c r="O7783" s="3" t="s">
        <v>52</v>
      </c>
      <c r="P7783" s="5">
        <v>0</v>
      </c>
      <c r="Q7783" s="5">
        <v>0</v>
      </c>
      <c r="R7783" s="5">
        <v>1</v>
      </c>
      <c r="S7783" s="5">
        <v>12</v>
      </c>
    </row>
    <row r="7784" spans="1:19" ht="28" x14ac:dyDescent="0.15">
      <c r="A7784" s="2">
        <f>HYPERLINK("https://open-school.uspishnemisto.com.ua/school/460474/", 460474)</f>
        <v>460474</v>
      </c>
      <c r="B7784" s="3" t="s">
        <v>40202</v>
      </c>
      <c r="C7784" s="3" t="s">
        <v>31</v>
      </c>
      <c r="D7784" s="3" t="s">
        <v>175</v>
      </c>
      <c r="E7784" s="4" t="s">
        <v>22</v>
      </c>
      <c r="F7784" s="4" t="s">
        <v>40203</v>
      </c>
      <c r="G7784" s="4" t="s">
        <v>40204</v>
      </c>
      <c r="H7784" s="3" t="s">
        <v>38194</v>
      </c>
      <c r="I7784" s="3" t="s">
        <v>40205</v>
      </c>
      <c r="J7784" s="3" t="s">
        <v>40206</v>
      </c>
      <c r="K7784" s="3" t="s">
        <v>40207</v>
      </c>
      <c r="L7784" s="3"/>
      <c r="M7784" s="4"/>
      <c r="N7784" s="3" t="s">
        <v>37</v>
      </c>
      <c r="O7784" s="3" t="s">
        <v>52</v>
      </c>
      <c r="P7784" s="5">
        <v>6</v>
      </c>
      <c r="Q7784" s="5">
        <v>50</v>
      </c>
      <c r="R7784" s="5">
        <v>6</v>
      </c>
      <c r="S7784" s="5">
        <v>54</v>
      </c>
    </row>
    <row r="7785" spans="1:19" ht="56" x14ac:dyDescent="0.15">
      <c r="A7785" s="2">
        <f>HYPERLINK("https://open-school.uspishnemisto.com.ua/school/460475/", 460475)</f>
        <v>460475</v>
      </c>
      <c r="B7785" s="3" t="s">
        <v>40208</v>
      </c>
      <c r="C7785" s="3" t="s">
        <v>54</v>
      </c>
      <c r="D7785" s="3" t="s">
        <v>32</v>
      </c>
      <c r="E7785" s="4" t="s">
        <v>22</v>
      </c>
      <c r="F7785" s="4" t="s">
        <v>40209</v>
      </c>
      <c r="G7785" s="4" t="s">
        <v>40210</v>
      </c>
      <c r="H7785" s="3" t="s">
        <v>38194</v>
      </c>
      <c r="I7785" s="3" t="s">
        <v>40211</v>
      </c>
      <c r="J7785" s="3" t="s">
        <v>40212</v>
      </c>
      <c r="K7785" s="3" t="s">
        <v>40213</v>
      </c>
      <c r="L7785" s="3"/>
      <c r="M7785" s="4"/>
      <c r="N7785" s="3" t="s">
        <v>37</v>
      </c>
      <c r="O7785" s="3" t="s">
        <v>139</v>
      </c>
      <c r="P7785" s="5">
        <v>9</v>
      </c>
      <c r="Q7785" s="5">
        <v>80</v>
      </c>
      <c r="R7785" s="5">
        <v>9</v>
      </c>
      <c r="S7785" s="5">
        <v>80</v>
      </c>
    </row>
    <row r="7786" spans="1:19" ht="28" x14ac:dyDescent="0.15">
      <c r="A7786" s="2">
        <f>HYPERLINK("https://open-school.uspishnemisto.com.ua/school/460476/", 460476)</f>
        <v>460476</v>
      </c>
      <c r="B7786" s="3" t="s">
        <v>40214</v>
      </c>
      <c r="C7786" s="3" t="s">
        <v>181</v>
      </c>
      <c r="D7786" s="3" t="s">
        <v>175</v>
      </c>
      <c r="E7786" s="4" t="s">
        <v>22</v>
      </c>
      <c r="F7786" s="4" t="s">
        <v>40215</v>
      </c>
      <c r="G7786" s="4" t="s">
        <v>40216</v>
      </c>
      <c r="H7786" s="3" t="s">
        <v>38194</v>
      </c>
      <c r="I7786" s="3" t="s">
        <v>40217</v>
      </c>
      <c r="J7786" s="3" t="s">
        <v>40218</v>
      </c>
      <c r="K7786" s="3" t="s">
        <v>40219</v>
      </c>
      <c r="L7786" s="3"/>
      <c r="M7786" s="4" t="s">
        <v>40220</v>
      </c>
      <c r="N7786" s="3" t="s">
        <v>37</v>
      </c>
      <c r="O7786" s="3"/>
      <c r="P7786" s="5">
        <v>5</v>
      </c>
      <c r="Q7786" s="5">
        <v>44</v>
      </c>
      <c r="R7786" s="5">
        <v>9</v>
      </c>
      <c r="S7786" s="5">
        <v>51</v>
      </c>
    </row>
    <row r="7787" spans="1:19" ht="28" x14ac:dyDescent="0.15">
      <c r="A7787" s="2">
        <f>HYPERLINK("https://open-school.uspishnemisto.com.ua/school/460477/", 460477)</f>
        <v>460477</v>
      </c>
      <c r="B7787" s="3" t="s">
        <v>40221</v>
      </c>
      <c r="C7787" s="3" t="s">
        <v>31</v>
      </c>
      <c r="D7787" s="3" t="s">
        <v>175</v>
      </c>
      <c r="E7787" s="4" t="s">
        <v>22</v>
      </c>
      <c r="F7787" s="4" t="s">
        <v>40215</v>
      </c>
      <c r="G7787" s="4" t="s">
        <v>40216</v>
      </c>
      <c r="H7787" s="3" t="s">
        <v>38194</v>
      </c>
      <c r="I7787" s="3" t="s">
        <v>40217</v>
      </c>
      <c r="J7787" s="3" t="s">
        <v>28384</v>
      </c>
      <c r="K7787" s="3" t="s">
        <v>40222</v>
      </c>
      <c r="L7787" s="3"/>
      <c r="M7787" s="4"/>
      <c r="N7787" s="3" t="s">
        <v>37</v>
      </c>
      <c r="O7787" s="3" t="s">
        <v>52</v>
      </c>
      <c r="P7787" s="5">
        <v>9</v>
      </c>
      <c r="Q7787" s="5">
        <v>90</v>
      </c>
      <c r="R7787" s="5">
        <v>9</v>
      </c>
      <c r="S7787" s="5">
        <v>92</v>
      </c>
    </row>
    <row r="7788" spans="1:19" ht="28" x14ac:dyDescent="0.15">
      <c r="A7788" s="2">
        <f>HYPERLINK("https://open-school.uspishnemisto.com.ua/school/460478/", 460478)</f>
        <v>460478</v>
      </c>
      <c r="B7788" s="3" t="s">
        <v>40223</v>
      </c>
      <c r="C7788" s="3" t="s">
        <v>31</v>
      </c>
      <c r="D7788" s="3" t="s">
        <v>175</v>
      </c>
      <c r="E7788" s="4" t="s">
        <v>22</v>
      </c>
      <c r="F7788" s="4" t="s">
        <v>40224</v>
      </c>
      <c r="G7788" s="4" t="s">
        <v>40225</v>
      </c>
      <c r="H7788" s="3" t="s">
        <v>38194</v>
      </c>
      <c r="I7788" s="3" t="s">
        <v>29421</v>
      </c>
      <c r="J7788" s="3" t="s">
        <v>6244</v>
      </c>
      <c r="K7788" s="3" t="s">
        <v>40226</v>
      </c>
      <c r="L7788" s="3"/>
      <c r="M7788" s="4"/>
      <c r="N7788" s="3" t="s">
        <v>37</v>
      </c>
      <c r="O7788" s="3" t="s">
        <v>52</v>
      </c>
      <c r="P7788" s="5">
        <v>4</v>
      </c>
      <c r="Q7788" s="5">
        <v>39</v>
      </c>
      <c r="R7788" s="5">
        <v>6</v>
      </c>
      <c r="S7788" s="5">
        <v>44</v>
      </c>
    </row>
    <row r="7789" spans="1:19" ht="56" x14ac:dyDescent="0.15">
      <c r="A7789" s="2">
        <f>HYPERLINK("https://open-school.uspishnemisto.com.ua/school/460479/", 460479)</f>
        <v>460479</v>
      </c>
      <c r="B7789" s="3" t="s">
        <v>40227</v>
      </c>
      <c r="C7789" s="3" t="s">
        <v>54</v>
      </c>
      <c r="D7789" s="3" t="s">
        <v>175</v>
      </c>
      <c r="E7789" s="4" t="s">
        <v>22</v>
      </c>
      <c r="F7789" s="4" t="s">
        <v>40224</v>
      </c>
      <c r="G7789" s="4" t="s">
        <v>40228</v>
      </c>
      <c r="H7789" s="3" t="s">
        <v>38194</v>
      </c>
      <c r="I7789" s="3" t="s">
        <v>3481</v>
      </c>
      <c r="J7789" s="3" t="s">
        <v>40229</v>
      </c>
      <c r="K7789" s="3" t="s">
        <v>40230</v>
      </c>
      <c r="L7789" s="3"/>
      <c r="M7789" s="4"/>
      <c r="N7789" s="3" t="s">
        <v>37</v>
      </c>
      <c r="O7789" s="3" t="s">
        <v>52</v>
      </c>
      <c r="P7789" s="5">
        <v>9</v>
      </c>
      <c r="Q7789" s="5">
        <v>79</v>
      </c>
      <c r="R7789" s="5">
        <v>9</v>
      </c>
      <c r="S7789" s="5">
        <v>83</v>
      </c>
    </row>
    <row r="7790" spans="1:19" ht="28" x14ac:dyDescent="0.15">
      <c r="A7790" s="2">
        <f>HYPERLINK("https://open-school.uspishnemisto.com.ua/school/460480/", 460480)</f>
        <v>460480</v>
      </c>
      <c r="B7790" s="3" t="s">
        <v>40231</v>
      </c>
      <c r="C7790" s="3" t="s">
        <v>31</v>
      </c>
      <c r="D7790" s="3" t="s">
        <v>60</v>
      </c>
      <c r="E7790" s="4" t="s">
        <v>22</v>
      </c>
      <c r="F7790" s="4" t="s">
        <v>40232</v>
      </c>
      <c r="G7790" s="4" t="s">
        <v>40233</v>
      </c>
      <c r="H7790" s="3" t="s">
        <v>38194</v>
      </c>
      <c r="I7790" s="3" t="s">
        <v>40234</v>
      </c>
      <c r="J7790" s="3" t="s">
        <v>40235</v>
      </c>
      <c r="K7790" s="3" t="s">
        <v>40236</v>
      </c>
      <c r="L7790" s="3"/>
      <c r="M7790" s="4"/>
      <c r="N7790" s="3" t="s">
        <v>37</v>
      </c>
      <c r="O7790" s="3" t="s">
        <v>52</v>
      </c>
      <c r="P7790" s="5">
        <v>0</v>
      </c>
      <c r="Q7790" s="5">
        <v>0</v>
      </c>
      <c r="R7790" s="5">
        <v>0</v>
      </c>
      <c r="S7790" s="5">
        <v>10</v>
      </c>
    </row>
    <row r="7791" spans="1:19" ht="28" x14ac:dyDescent="0.15">
      <c r="A7791" s="2">
        <f>HYPERLINK("https://open-school.uspishnemisto.com.ua/school/460481/", 460481)</f>
        <v>460481</v>
      </c>
      <c r="B7791" s="3" t="s">
        <v>40237</v>
      </c>
      <c r="C7791" s="3" t="s">
        <v>31</v>
      </c>
      <c r="D7791" s="3" t="s">
        <v>175</v>
      </c>
      <c r="E7791" s="4" t="s">
        <v>22</v>
      </c>
      <c r="F7791" s="4" t="s">
        <v>40238</v>
      </c>
      <c r="G7791" s="4" t="s">
        <v>40239</v>
      </c>
      <c r="H7791" s="3" t="s">
        <v>38194</v>
      </c>
      <c r="I7791" s="3" t="s">
        <v>40240</v>
      </c>
      <c r="J7791" s="3" t="s">
        <v>40241</v>
      </c>
      <c r="K7791" s="3" t="s">
        <v>40242</v>
      </c>
      <c r="L7791" s="3"/>
      <c r="M7791" s="4"/>
      <c r="N7791" s="3" t="s">
        <v>37</v>
      </c>
      <c r="O7791" s="3" t="s">
        <v>52</v>
      </c>
      <c r="P7791" s="5">
        <v>4</v>
      </c>
      <c r="Q7791" s="5">
        <v>35</v>
      </c>
      <c r="R7791" s="5">
        <v>2</v>
      </c>
      <c r="S7791" s="5">
        <v>25</v>
      </c>
    </row>
    <row r="7792" spans="1:19" ht="42" x14ac:dyDescent="0.15">
      <c r="A7792" s="2">
        <f>HYPERLINK("https://open-school.uspishnemisto.com.ua/school/460482/", 460482)</f>
        <v>460482</v>
      </c>
      <c r="B7792" s="3" t="s">
        <v>40243</v>
      </c>
      <c r="C7792" s="3" t="s">
        <v>54</v>
      </c>
      <c r="D7792" s="3" t="s">
        <v>175</v>
      </c>
      <c r="E7792" s="4" t="s">
        <v>22</v>
      </c>
      <c r="F7792" s="4" t="s">
        <v>40244</v>
      </c>
      <c r="G7792" s="4" t="s">
        <v>40245</v>
      </c>
      <c r="H7792" s="3" t="s">
        <v>38194</v>
      </c>
      <c r="I7792" s="3" t="s">
        <v>40246</v>
      </c>
      <c r="J7792" s="3" t="s">
        <v>38896</v>
      </c>
      <c r="K7792" s="3" t="s">
        <v>40247</v>
      </c>
      <c r="L7792" s="3"/>
      <c r="M7792" s="4"/>
      <c r="N7792" s="3" t="s">
        <v>37</v>
      </c>
      <c r="O7792" s="3" t="s">
        <v>52</v>
      </c>
      <c r="P7792" s="5">
        <v>8</v>
      </c>
      <c r="Q7792" s="5">
        <v>88</v>
      </c>
      <c r="R7792" s="5">
        <v>7</v>
      </c>
      <c r="S7792" s="5">
        <v>73</v>
      </c>
    </row>
    <row r="7793" spans="1:19" ht="42" x14ac:dyDescent="0.15">
      <c r="A7793" s="2">
        <f>HYPERLINK("https://open-school.uspishnemisto.com.ua/school/460484/", 460484)</f>
        <v>460484</v>
      </c>
      <c r="B7793" s="3" t="s">
        <v>40248</v>
      </c>
      <c r="C7793" s="3" t="s">
        <v>31</v>
      </c>
      <c r="D7793" s="3" t="s">
        <v>175</v>
      </c>
      <c r="E7793" s="4" t="s">
        <v>22</v>
      </c>
      <c r="F7793" s="4" t="s">
        <v>40249</v>
      </c>
      <c r="G7793" s="4" t="s">
        <v>40250</v>
      </c>
      <c r="H7793" s="3" t="s">
        <v>38194</v>
      </c>
      <c r="I7793" s="3" t="s">
        <v>40251</v>
      </c>
      <c r="J7793" s="3" t="s">
        <v>40252</v>
      </c>
      <c r="K7793" s="3" t="s">
        <v>40253</v>
      </c>
      <c r="L7793" s="3"/>
      <c r="M7793" s="4"/>
      <c r="N7793" s="3" t="s">
        <v>37</v>
      </c>
      <c r="O7793" s="3" t="s">
        <v>2740</v>
      </c>
      <c r="P7793" s="5">
        <v>6</v>
      </c>
      <c r="Q7793" s="5">
        <v>45</v>
      </c>
      <c r="R7793" s="5">
        <v>5</v>
      </c>
      <c r="S7793" s="5">
        <v>42</v>
      </c>
    </row>
    <row r="7794" spans="1:19" ht="56" x14ac:dyDescent="0.15">
      <c r="A7794" s="2">
        <f>HYPERLINK("https://open-school.uspishnemisto.com.ua/school/460485/", 460485)</f>
        <v>460485</v>
      </c>
      <c r="B7794" s="3" t="s">
        <v>40254</v>
      </c>
      <c r="C7794" s="3" t="s">
        <v>54</v>
      </c>
      <c r="D7794" s="3" t="s">
        <v>32</v>
      </c>
      <c r="E7794" s="4" t="s">
        <v>22</v>
      </c>
      <c r="F7794" s="4" t="s">
        <v>40238</v>
      </c>
      <c r="G7794" s="4" t="s">
        <v>40255</v>
      </c>
      <c r="H7794" s="3" t="s">
        <v>38194</v>
      </c>
      <c r="I7794" s="3" t="s">
        <v>23559</v>
      </c>
      <c r="J7794" s="3" t="s">
        <v>40256</v>
      </c>
      <c r="K7794" s="3" t="s">
        <v>40257</v>
      </c>
      <c r="L7794" s="3"/>
      <c r="M7794" s="4"/>
      <c r="N7794" s="3" t="s">
        <v>37</v>
      </c>
      <c r="O7794" s="3" t="s">
        <v>52</v>
      </c>
      <c r="P7794" s="5">
        <v>11</v>
      </c>
      <c r="Q7794" s="5">
        <v>131</v>
      </c>
      <c r="R7794" s="5">
        <v>11</v>
      </c>
      <c r="S7794" s="5">
        <v>132</v>
      </c>
    </row>
    <row r="7795" spans="1:19" ht="28" x14ac:dyDescent="0.15">
      <c r="A7795" s="2">
        <f>HYPERLINK("https://open-school.uspishnemisto.com.ua/school/460486/", 460486)</f>
        <v>460486</v>
      </c>
      <c r="B7795" s="3" t="s">
        <v>40258</v>
      </c>
      <c r="C7795" s="3" t="s">
        <v>31</v>
      </c>
      <c r="D7795" s="3" t="s">
        <v>60</v>
      </c>
      <c r="E7795" s="4" t="s">
        <v>22</v>
      </c>
      <c r="F7795" s="4" t="s">
        <v>40238</v>
      </c>
      <c r="G7795" s="4" t="s">
        <v>40259</v>
      </c>
      <c r="H7795" s="3" t="s">
        <v>38194</v>
      </c>
      <c r="I7795" s="3" t="s">
        <v>40260</v>
      </c>
      <c r="J7795" s="3" t="s">
        <v>40261</v>
      </c>
      <c r="K7795" s="3" t="s">
        <v>40262</v>
      </c>
      <c r="L7795" s="3"/>
      <c r="M7795" s="4"/>
      <c r="N7795" s="3" t="s">
        <v>37</v>
      </c>
      <c r="O7795" s="3" t="s">
        <v>52</v>
      </c>
      <c r="P7795" s="5">
        <v>1</v>
      </c>
      <c r="Q7795" s="5">
        <v>10</v>
      </c>
      <c r="R7795" s="5">
        <v>1</v>
      </c>
      <c r="S7795" s="5">
        <v>10</v>
      </c>
    </row>
    <row r="7796" spans="1:19" ht="28" x14ac:dyDescent="0.15">
      <c r="A7796" s="2">
        <f>HYPERLINK("https://open-school.uspishnemisto.com.ua/school/460487/", 460487)</f>
        <v>460487</v>
      </c>
      <c r="B7796" s="3" t="s">
        <v>40263</v>
      </c>
      <c r="C7796" s="3" t="s">
        <v>31</v>
      </c>
      <c r="D7796" s="3" t="s">
        <v>175</v>
      </c>
      <c r="E7796" s="4" t="s">
        <v>22</v>
      </c>
      <c r="F7796" s="4" t="s">
        <v>40264</v>
      </c>
      <c r="G7796" s="4" t="s">
        <v>40265</v>
      </c>
      <c r="H7796" s="3" t="s">
        <v>38194</v>
      </c>
      <c r="I7796" s="3" t="s">
        <v>40266</v>
      </c>
      <c r="J7796" s="3" t="s">
        <v>40267</v>
      </c>
      <c r="K7796" s="3" t="s">
        <v>40268</v>
      </c>
      <c r="L7796" s="3"/>
      <c r="M7796" s="4"/>
      <c r="N7796" s="3" t="s">
        <v>37</v>
      </c>
      <c r="O7796" s="3" t="s">
        <v>52</v>
      </c>
      <c r="P7796" s="5">
        <v>5</v>
      </c>
      <c r="Q7796" s="5">
        <v>37</v>
      </c>
      <c r="R7796" s="5">
        <v>4</v>
      </c>
      <c r="S7796" s="5">
        <v>35</v>
      </c>
    </row>
    <row r="7797" spans="1:19" ht="28" x14ac:dyDescent="0.15">
      <c r="A7797" s="2">
        <f>HYPERLINK("https://open-school.uspishnemisto.com.ua/school/460488/", 460488)</f>
        <v>460488</v>
      </c>
      <c r="B7797" s="3" t="s">
        <v>40269</v>
      </c>
      <c r="C7797" s="3" t="s">
        <v>31</v>
      </c>
      <c r="D7797" s="3" t="s">
        <v>60</v>
      </c>
      <c r="E7797" s="4" t="s">
        <v>22</v>
      </c>
      <c r="F7797" s="4" t="s">
        <v>40238</v>
      </c>
      <c r="G7797" s="4" t="s">
        <v>40270</v>
      </c>
      <c r="H7797" s="3" t="s">
        <v>38194</v>
      </c>
      <c r="I7797" s="3" t="s">
        <v>39977</v>
      </c>
      <c r="J7797" s="3" t="s">
        <v>40271</v>
      </c>
      <c r="K7797" s="3" t="s">
        <v>40272</v>
      </c>
      <c r="L7797" s="3"/>
      <c r="M7797" s="4"/>
      <c r="N7797" s="3" t="s">
        <v>37</v>
      </c>
      <c r="O7797" s="3" t="s">
        <v>52</v>
      </c>
      <c r="P7797" s="5">
        <v>0</v>
      </c>
      <c r="Q7797" s="5">
        <v>11</v>
      </c>
      <c r="R7797" s="5">
        <v>0</v>
      </c>
      <c r="S7797" s="5">
        <v>9</v>
      </c>
    </row>
    <row r="7798" spans="1:19" ht="28" x14ac:dyDescent="0.15">
      <c r="A7798" s="2">
        <f>HYPERLINK("https://open-school.uspishnemisto.com.ua/school/460489/", 460489)</f>
        <v>460489</v>
      </c>
      <c r="B7798" s="3" t="s">
        <v>40273</v>
      </c>
      <c r="C7798" s="3" t="s">
        <v>31</v>
      </c>
      <c r="D7798" s="3" t="s">
        <v>175</v>
      </c>
      <c r="E7798" s="4" t="s">
        <v>22</v>
      </c>
      <c r="F7798" s="4" t="s">
        <v>40274</v>
      </c>
      <c r="G7798" s="4" t="s">
        <v>40275</v>
      </c>
      <c r="H7798" s="3" t="s">
        <v>38194</v>
      </c>
      <c r="I7798" s="3" t="s">
        <v>20972</v>
      </c>
      <c r="J7798" s="3" t="s">
        <v>40276</v>
      </c>
      <c r="K7798" s="3" t="s">
        <v>40277</v>
      </c>
      <c r="L7798" s="3"/>
      <c r="M7798" s="4"/>
      <c r="N7798" s="3" t="s">
        <v>37</v>
      </c>
      <c r="O7798" s="3" t="s">
        <v>52</v>
      </c>
      <c r="P7798" s="5">
        <v>4</v>
      </c>
      <c r="Q7798" s="5">
        <v>29</v>
      </c>
      <c r="R7798" s="5">
        <v>4</v>
      </c>
      <c r="S7798" s="5">
        <v>30</v>
      </c>
    </row>
    <row r="7799" spans="1:19" ht="28" x14ac:dyDescent="0.15">
      <c r="A7799" s="2">
        <f>HYPERLINK("https://open-school.uspishnemisto.com.ua/school/460490/", 460490)</f>
        <v>460490</v>
      </c>
      <c r="B7799" s="3" t="s">
        <v>40278</v>
      </c>
      <c r="C7799" s="3" t="s">
        <v>31</v>
      </c>
      <c r="D7799" s="3" t="s">
        <v>175</v>
      </c>
      <c r="E7799" s="4" t="s">
        <v>22</v>
      </c>
      <c r="F7799" s="4" t="s">
        <v>40279</v>
      </c>
      <c r="G7799" s="4" t="s">
        <v>40280</v>
      </c>
      <c r="H7799" s="3" t="s">
        <v>38194</v>
      </c>
      <c r="I7799" s="3" t="s">
        <v>40281</v>
      </c>
      <c r="J7799" s="3" t="s">
        <v>2745</v>
      </c>
      <c r="K7799" s="3" t="s">
        <v>40282</v>
      </c>
      <c r="L7799" s="3"/>
      <c r="M7799" s="4"/>
      <c r="N7799" s="3" t="s">
        <v>37</v>
      </c>
      <c r="O7799" s="3" t="s">
        <v>46</v>
      </c>
      <c r="P7799" s="5">
        <v>9</v>
      </c>
      <c r="Q7799" s="5">
        <v>67</v>
      </c>
      <c r="R7799" s="5">
        <v>8</v>
      </c>
      <c r="S7799" s="5">
        <v>66</v>
      </c>
    </row>
    <row r="7800" spans="1:19" ht="28" x14ac:dyDescent="0.15">
      <c r="A7800" s="2">
        <f>HYPERLINK("https://open-school.uspishnemisto.com.ua/school/460491/", 460491)</f>
        <v>460491</v>
      </c>
      <c r="B7800" s="3" t="s">
        <v>40283</v>
      </c>
      <c r="C7800" s="3" t="s">
        <v>31</v>
      </c>
      <c r="D7800" s="3" t="s">
        <v>60</v>
      </c>
      <c r="E7800" s="4" t="s">
        <v>22</v>
      </c>
      <c r="F7800" s="4" t="s">
        <v>40279</v>
      </c>
      <c r="G7800" s="4" t="s">
        <v>40284</v>
      </c>
      <c r="H7800" s="3" t="s">
        <v>38194</v>
      </c>
      <c r="I7800" s="3" t="s">
        <v>478</v>
      </c>
      <c r="J7800" s="3" t="s">
        <v>466</v>
      </c>
      <c r="K7800" s="3"/>
      <c r="L7800" s="3"/>
      <c r="M7800" s="4"/>
      <c r="N7800" s="3" t="s">
        <v>37</v>
      </c>
      <c r="O7800" s="3" t="s">
        <v>52</v>
      </c>
      <c r="P7800" s="5">
        <v>0</v>
      </c>
      <c r="Q7800" s="5">
        <v>0</v>
      </c>
      <c r="R7800" s="5">
        <v>1</v>
      </c>
      <c r="S7800" s="5">
        <v>8</v>
      </c>
    </row>
    <row r="7801" spans="1:19" ht="28" x14ac:dyDescent="0.15">
      <c r="A7801" s="2">
        <f>HYPERLINK("https://open-school.uspishnemisto.com.ua/school/460492/", 460492)</f>
        <v>460492</v>
      </c>
      <c r="B7801" s="3" t="s">
        <v>40285</v>
      </c>
      <c r="C7801" s="3" t="s">
        <v>31</v>
      </c>
      <c r="D7801" s="3" t="s">
        <v>60</v>
      </c>
      <c r="E7801" s="4" t="s">
        <v>22</v>
      </c>
      <c r="F7801" s="4" t="s">
        <v>40286</v>
      </c>
      <c r="G7801" s="4" t="s">
        <v>40287</v>
      </c>
      <c r="H7801" s="3" t="s">
        <v>38194</v>
      </c>
      <c r="I7801" s="3" t="s">
        <v>40288</v>
      </c>
      <c r="J7801" s="3" t="s">
        <v>40289</v>
      </c>
      <c r="K7801" s="3" t="s">
        <v>40290</v>
      </c>
      <c r="L7801" s="3"/>
      <c r="M7801" s="4"/>
      <c r="N7801" s="3" t="s">
        <v>37</v>
      </c>
      <c r="O7801" s="3" t="s">
        <v>52</v>
      </c>
      <c r="P7801" s="5">
        <v>0</v>
      </c>
      <c r="Q7801" s="5">
        <v>0</v>
      </c>
      <c r="R7801" s="5">
        <v>2</v>
      </c>
      <c r="S7801" s="5">
        <v>20</v>
      </c>
    </row>
    <row r="7802" spans="1:19" ht="28" x14ac:dyDescent="0.15">
      <c r="A7802" s="2">
        <f>HYPERLINK("https://open-school.uspishnemisto.com.ua/school/460493/", 460493)</f>
        <v>460493</v>
      </c>
      <c r="B7802" s="3" t="s">
        <v>40291</v>
      </c>
      <c r="C7802" s="3" t="s">
        <v>31</v>
      </c>
      <c r="D7802" s="3" t="s">
        <v>175</v>
      </c>
      <c r="E7802" s="4" t="s">
        <v>22</v>
      </c>
      <c r="F7802" s="4" t="s">
        <v>40292</v>
      </c>
      <c r="G7802" s="4" t="s">
        <v>40293</v>
      </c>
      <c r="H7802" s="3" t="s">
        <v>38194</v>
      </c>
      <c r="I7802" s="3" t="s">
        <v>40294</v>
      </c>
      <c r="J7802" s="3" t="s">
        <v>40295</v>
      </c>
      <c r="K7802" s="3" t="s">
        <v>40296</v>
      </c>
      <c r="L7802" s="3"/>
      <c r="M7802" s="4"/>
      <c r="N7802" s="3" t="s">
        <v>37</v>
      </c>
      <c r="O7802" s="3" t="s">
        <v>52</v>
      </c>
      <c r="P7802" s="5">
        <v>9</v>
      </c>
      <c r="Q7802" s="5">
        <v>123</v>
      </c>
      <c r="R7802" s="5">
        <v>9</v>
      </c>
      <c r="S7802" s="5">
        <v>126</v>
      </c>
    </row>
    <row r="7803" spans="1:19" ht="28" x14ac:dyDescent="0.15">
      <c r="A7803" s="2">
        <f>HYPERLINK("https://open-school.uspishnemisto.com.ua/school/460494/", 460494)</f>
        <v>460494</v>
      </c>
      <c r="B7803" s="3" t="s">
        <v>40297</v>
      </c>
      <c r="C7803" s="3" t="s">
        <v>31</v>
      </c>
      <c r="D7803" s="3" t="s">
        <v>60</v>
      </c>
      <c r="E7803" s="4" t="s">
        <v>22</v>
      </c>
      <c r="F7803" s="4" t="s">
        <v>40279</v>
      </c>
      <c r="G7803" s="4" t="s">
        <v>40298</v>
      </c>
      <c r="H7803" s="3" t="s">
        <v>38194</v>
      </c>
      <c r="I7803" s="3" t="s">
        <v>40299</v>
      </c>
      <c r="J7803" s="3" t="s">
        <v>634</v>
      </c>
      <c r="K7803" s="3" t="s">
        <v>40300</v>
      </c>
      <c r="L7803" s="3"/>
      <c r="M7803" s="4"/>
      <c r="N7803" s="3" t="s">
        <v>37</v>
      </c>
      <c r="O7803" s="3" t="s">
        <v>52</v>
      </c>
      <c r="P7803" s="5">
        <v>0</v>
      </c>
      <c r="Q7803" s="5">
        <v>0</v>
      </c>
      <c r="R7803" s="5">
        <v>1</v>
      </c>
      <c r="S7803" s="5">
        <v>13</v>
      </c>
    </row>
    <row r="7804" spans="1:19" ht="42" x14ac:dyDescent="0.15">
      <c r="A7804" s="2">
        <f>HYPERLINK("https://open-school.uspishnemisto.com.ua/school/460495/", 460495)</f>
        <v>460495</v>
      </c>
      <c r="B7804" s="3" t="s">
        <v>40301</v>
      </c>
      <c r="C7804" s="3" t="s">
        <v>31</v>
      </c>
      <c r="D7804" s="3" t="s">
        <v>175</v>
      </c>
      <c r="E7804" s="4" t="s">
        <v>22</v>
      </c>
      <c r="F7804" s="4" t="s">
        <v>40302</v>
      </c>
      <c r="G7804" s="4" t="s">
        <v>40303</v>
      </c>
      <c r="H7804" s="3" t="s">
        <v>38194</v>
      </c>
      <c r="I7804" s="3" t="s">
        <v>40304</v>
      </c>
      <c r="J7804" s="3" t="s">
        <v>40305</v>
      </c>
      <c r="K7804" s="3" t="s">
        <v>40306</v>
      </c>
      <c r="L7804" s="3"/>
      <c r="M7804" s="4"/>
      <c r="N7804" s="3" t="s">
        <v>37</v>
      </c>
      <c r="O7804" s="3" t="s">
        <v>52</v>
      </c>
      <c r="P7804" s="5">
        <v>8</v>
      </c>
      <c r="Q7804" s="5">
        <v>77</v>
      </c>
      <c r="R7804" s="5">
        <v>8</v>
      </c>
      <c r="S7804" s="5">
        <v>75</v>
      </c>
    </row>
    <row r="7805" spans="1:19" ht="42" x14ac:dyDescent="0.15">
      <c r="A7805" s="2">
        <f>HYPERLINK("https://open-school.uspishnemisto.com.ua/school/460496/", 460496)</f>
        <v>460496</v>
      </c>
      <c r="B7805" s="3" t="s">
        <v>40307</v>
      </c>
      <c r="C7805" s="3" t="s">
        <v>31</v>
      </c>
      <c r="D7805" s="3" t="s">
        <v>60</v>
      </c>
      <c r="E7805" s="4" t="s">
        <v>22</v>
      </c>
      <c r="F7805" s="4" t="s">
        <v>40302</v>
      </c>
      <c r="G7805" s="4" t="s">
        <v>40308</v>
      </c>
      <c r="H7805" s="3" t="s">
        <v>38194</v>
      </c>
      <c r="I7805" s="3" t="s">
        <v>40309</v>
      </c>
      <c r="J7805" s="3" t="s">
        <v>13549</v>
      </c>
      <c r="K7805" s="3" t="s">
        <v>40310</v>
      </c>
      <c r="L7805" s="3"/>
      <c r="M7805" s="4"/>
      <c r="N7805" s="3" t="s">
        <v>37</v>
      </c>
      <c r="O7805" s="3" t="s">
        <v>52</v>
      </c>
      <c r="P7805" s="5">
        <v>2</v>
      </c>
      <c r="Q7805" s="5">
        <v>15</v>
      </c>
      <c r="R7805" s="5">
        <v>1</v>
      </c>
      <c r="S7805" s="5">
        <v>11</v>
      </c>
    </row>
    <row r="7806" spans="1:19" ht="42" x14ac:dyDescent="0.15">
      <c r="A7806" s="2">
        <f>HYPERLINK("https://open-school.uspishnemisto.com.ua/school/460497/", 460497)</f>
        <v>460497</v>
      </c>
      <c r="B7806" s="3" t="s">
        <v>40311</v>
      </c>
      <c r="C7806" s="3" t="s">
        <v>31</v>
      </c>
      <c r="D7806" s="3" t="s">
        <v>175</v>
      </c>
      <c r="E7806" s="4" t="s">
        <v>22</v>
      </c>
      <c r="F7806" s="4" t="s">
        <v>40312</v>
      </c>
      <c r="G7806" s="4" t="s">
        <v>40313</v>
      </c>
      <c r="H7806" s="3" t="s">
        <v>38194</v>
      </c>
      <c r="I7806" s="3" t="s">
        <v>8285</v>
      </c>
      <c r="J7806" s="3" t="s">
        <v>946</v>
      </c>
      <c r="K7806" s="3" t="s">
        <v>40314</v>
      </c>
      <c r="L7806" s="3"/>
      <c r="M7806" s="4"/>
      <c r="N7806" s="3" t="s">
        <v>37</v>
      </c>
      <c r="O7806" s="3" t="s">
        <v>52</v>
      </c>
      <c r="P7806" s="5">
        <v>9</v>
      </c>
      <c r="Q7806" s="5">
        <v>90</v>
      </c>
      <c r="R7806" s="5">
        <v>9</v>
      </c>
      <c r="S7806" s="5">
        <v>92</v>
      </c>
    </row>
    <row r="7807" spans="1:19" ht="70" x14ac:dyDescent="0.15">
      <c r="A7807" s="2">
        <f>HYPERLINK("https://open-school.uspishnemisto.com.ua/school/460498/", 460498)</f>
        <v>460498</v>
      </c>
      <c r="B7807" s="3" t="s">
        <v>40315</v>
      </c>
      <c r="C7807" s="3" t="s">
        <v>54</v>
      </c>
      <c r="D7807" s="3" t="s">
        <v>32</v>
      </c>
      <c r="E7807" s="4" t="s">
        <v>22</v>
      </c>
      <c r="F7807" s="4" t="s">
        <v>40316</v>
      </c>
      <c r="G7807" s="4" t="s">
        <v>40317</v>
      </c>
      <c r="H7807" s="3" t="s">
        <v>38194</v>
      </c>
      <c r="I7807" s="3" t="s">
        <v>40318</v>
      </c>
      <c r="J7807" s="3" t="s">
        <v>40319</v>
      </c>
      <c r="K7807" s="3" t="s">
        <v>40320</v>
      </c>
      <c r="L7807" s="3"/>
      <c r="M7807" s="4"/>
      <c r="N7807" s="3" t="s">
        <v>37</v>
      </c>
      <c r="O7807" s="3" t="s">
        <v>52</v>
      </c>
      <c r="P7807" s="5">
        <v>8</v>
      </c>
      <c r="Q7807" s="5">
        <v>70</v>
      </c>
      <c r="R7807" s="5">
        <v>10</v>
      </c>
      <c r="S7807" s="5">
        <v>71</v>
      </c>
    </row>
    <row r="7808" spans="1:19" ht="56" x14ac:dyDescent="0.15">
      <c r="A7808" s="2">
        <f>HYPERLINK("https://open-school.uspishnemisto.com.ua/school/460499/", 460499)</f>
        <v>460499</v>
      </c>
      <c r="B7808" s="3" t="s">
        <v>40321</v>
      </c>
      <c r="C7808" s="3" t="s">
        <v>54</v>
      </c>
      <c r="D7808" s="3" t="s">
        <v>175</v>
      </c>
      <c r="E7808" s="4" t="s">
        <v>22</v>
      </c>
      <c r="F7808" s="4" t="s">
        <v>40322</v>
      </c>
      <c r="G7808" s="4" t="s">
        <v>40323</v>
      </c>
      <c r="H7808" s="3" t="s">
        <v>38194</v>
      </c>
      <c r="I7808" s="3" t="s">
        <v>25064</v>
      </c>
      <c r="J7808" s="3" t="s">
        <v>40324</v>
      </c>
      <c r="K7808" s="3" t="s">
        <v>40325</v>
      </c>
      <c r="L7808" s="3"/>
      <c r="M7808" s="4"/>
      <c r="N7808" s="3" t="s">
        <v>37</v>
      </c>
      <c r="O7808" s="3" t="s">
        <v>52</v>
      </c>
      <c r="P7808" s="5">
        <v>6</v>
      </c>
      <c r="Q7808" s="5">
        <v>44</v>
      </c>
      <c r="R7808" s="5">
        <v>5</v>
      </c>
      <c r="S7808" s="5">
        <v>41</v>
      </c>
    </row>
    <row r="7809" spans="1:19" ht="42" x14ac:dyDescent="0.15">
      <c r="A7809" s="2">
        <f>HYPERLINK("https://open-school.uspishnemisto.com.ua/school/460500/", 460500)</f>
        <v>460500</v>
      </c>
      <c r="B7809" s="3" t="s">
        <v>40326</v>
      </c>
      <c r="C7809" s="3" t="s">
        <v>31</v>
      </c>
      <c r="D7809" s="3" t="s">
        <v>60</v>
      </c>
      <c r="E7809" s="4" t="s">
        <v>22</v>
      </c>
      <c r="F7809" s="4"/>
      <c r="G7809" s="4" t="s">
        <v>40327</v>
      </c>
      <c r="H7809" s="3" t="s">
        <v>38194</v>
      </c>
      <c r="I7809" s="3" t="s">
        <v>40328</v>
      </c>
      <c r="J7809" s="3"/>
      <c r="K7809" s="3"/>
      <c r="L7809" s="3"/>
      <c r="M7809" s="4"/>
      <c r="N7809" s="3" t="s">
        <v>37</v>
      </c>
      <c r="O7809" s="3" t="s">
        <v>52</v>
      </c>
      <c r="P7809" s="5">
        <v>1</v>
      </c>
      <c r="Q7809" s="5">
        <v>8</v>
      </c>
      <c r="R7809" s="5">
        <v>2</v>
      </c>
      <c r="S7809" s="5">
        <v>25</v>
      </c>
    </row>
    <row r="7810" spans="1:19" ht="28" x14ac:dyDescent="0.15">
      <c r="A7810" s="2">
        <f>HYPERLINK("https://open-school.uspishnemisto.com.ua/school/460501/", 460501)</f>
        <v>460501</v>
      </c>
      <c r="B7810" s="3" t="s">
        <v>40329</v>
      </c>
      <c r="C7810" s="3" t="s">
        <v>31</v>
      </c>
      <c r="D7810" s="3" t="s">
        <v>175</v>
      </c>
      <c r="E7810" s="4" t="s">
        <v>22</v>
      </c>
      <c r="F7810" s="4" t="s">
        <v>40079</v>
      </c>
      <c r="G7810" s="4" t="s">
        <v>40330</v>
      </c>
      <c r="H7810" s="3" t="s">
        <v>38194</v>
      </c>
      <c r="I7810" s="3" t="s">
        <v>40331</v>
      </c>
      <c r="J7810" s="3" t="s">
        <v>2476</v>
      </c>
      <c r="K7810" s="3" t="s">
        <v>40332</v>
      </c>
      <c r="L7810" s="3"/>
      <c r="M7810" s="4"/>
      <c r="N7810" s="3" t="s">
        <v>37</v>
      </c>
      <c r="O7810" s="3" t="s">
        <v>52</v>
      </c>
      <c r="P7810" s="5">
        <v>8</v>
      </c>
      <c r="Q7810" s="5">
        <v>70</v>
      </c>
      <c r="R7810" s="5">
        <v>8</v>
      </c>
      <c r="S7810" s="5">
        <v>62</v>
      </c>
    </row>
    <row r="7811" spans="1:19" ht="28" x14ac:dyDescent="0.15">
      <c r="A7811" s="2">
        <f>HYPERLINK("https://open-school.uspishnemisto.com.ua/school/460502/", 460502)</f>
        <v>460502</v>
      </c>
      <c r="B7811" s="3" t="s">
        <v>40333</v>
      </c>
      <c r="C7811" s="3" t="s">
        <v>31</v>
      </c>
      <c r="D7811" s="3" t="s">
        <v>175</v>
      </c>
      <c r="E7811" s="4" t="s">
        <v>22</v>
      </c>
      <c r="F7811" s="4" t="s">
        <v>40079</v>
      </c>
      <c r="G7811" s="4" t="s">
        <v>40334</v>
      </c>
      <c r="H7811" s="3" t="s">
        <v>38194</v>
      </c>
      <c r="I7811" s="3" t="s">
        <v>36521</v>
      </c>
      <c r="J7811" s="3" t="s">
        <v>40335</v>
      </c>
      <c r="K7811" s="3" t="s">
        <v>40336</v>
      </c>
      <c r="L7811" s="3"/>
      <c r="M7811" s="4"/>
      <c r="N7811" s="3" t="s">
        <v>37</v>
      </c>
      <c r="O7811" s="3" t="s">
        <v>52</v>
      </c>
      <c r="P7811" s="5">
        <v>1</v>
      </c>
      <c r="Q7811" s="5">
        <v>26</v>
      </c>
      <c r="R7811" s="5">
        <v>0</v>
      </c>
      <c r="S7811" s="5">
        <v>25</v>
      </c>
    </row>
    <row r="7812" spans="1:19" ht="28" x14ac:dyDescent="0.15">
      <c r="A7812" s="2">
        <f>HYPERLINK("https://open-school.uspishnemisto.com.ua/school/460503/", 460503)</f>
        <v>460503</v>
      </c>
      <c r="B7812" s="3" t="s">
        <v>40337</v>
      </c>
      <c r="C7812" s="3" t="s">
        <v>31</v>
      </c>
      <c r="D7812" s="3" t="s">
        <v>32</v>
      </c>
      <c r="E7812" s="4" t="s">
        <v>22</v>
      </c>
      <c r="F7812" s="4" t="s">
        <v>40338</v>
      </c>
      <c r="G7812" s="4" t="s">
        <v>40339</v>
      </c>
      <c r="H7812" s="3" t="s">
        <v>38194</v>
      </c>
      <c r="I7812" s="3" t="s">
        <v>7377</v>
      </c>
      <c r="J7812" s="3" t="s">
        <v>12217</v>
      </c>
      <c r="K7812" s="3" t="s">
        <v>40340</v>
      </c>
      <c r="L7812" s="3"/>
      <c r="M7812" s="4"/>
      <c r="N7812" s="3" t="s">
        <v>37</v>
      </c>
      <c r="O7812" s="3" t="s">
        <v>52</v>
      </c>
      <c r="P7812" s="5">
        <v>11</v>
      </c>
      <c r="Q7812" s="5">
        <v>139</v>
      </c>
      <c r="R7812" s="5">
        <v>11</v>
      </c>
      <c r="S7812" s="5">
        <v>134</v>
      </c>
    </row>
    <row r="7813" spans="1:19" ht="28" x14ac:dyDescent="0.15">
      <c r="A7813" s="2">
        <f>HYPERLINK("https://open-school.uspishnemisto.com.ua/school/460504/", 460504)</f>
        <v>460504</v>
      </c>
      <c r="B7813" s="3" t="s">
        <v>40341</v>
      </c>
      <c r="C7813" s="3" t="s">
        <v>31</v>
      </c>
      <c r="D7813" s="3" t="s">
        <v>32</v>
      </c>
      <c r="E7813" s="4" t="s">
        <v>22</v>
      </c>
      <c r="F7813" s="4" t="s">
        <v>40342</v>
      </c>
      <c r="G7813" s="4" t="s">
        <v>40343</v>
      </c>
      <c r="H7813" s="3" t="s">
        <v>38194</v>
      </c>
      <c r="I7813" s="3" t="s">
        <v>40344</v>
      </c>
      <c r="J7813" s="3" t="s">
        <v>17237</v>
      </c>
      <c r="K7813" s="3" t="s">
        <v>40345</v>
      </c>
      <c r="L7813" s="3"/>
      <c r="M7813" s="4"/>
      <c r="N7813" s="3" t="s">
        <v>37</v>
      </c>
      <c r="O7813" s="3" t="s">
        <v>618</v>
      </c>
      <c r="P7813" s="5">
        <v>11</v>
      </c>
      <c r="Q7813" s="5">
        <v>102</v>
      </c>
      <c r="R7813" s="5">
        <v>11</v>
      </c>
      <c r="S7813" s="5">
        <v>100</v>
      </c>
    </row>
    <row r="7814" spans="1:19" ht="28" x14ac:dyDescent="0.15">
      <c r="A7814" s="2">
        <f>HYPERLINK("https://open-school.uspishnemisto.com.ua/school/460505/", 460505)</f>
        <v>460505</v>
      </c>
      <c r="B7814" s="3" t="s">
        <v>40346</v>
      </c>
      <c r="C7814" s="3" t="s">
        <v>31</v>
      </c>
      <c r="D7814" s="3" t="s">
        <v>175</v>
      </c>
      <c r="E7814" s="4" t="s">
        <v>22</v>
      </c>
      <c r="F7814" s="4" t="s">
        <v>40347</v>
      </c>
      <c r="G7814" s="4" t="s">
        <v>40348</v>
      </c>
      <c r="H7814" s="3" t="s">
        <v>38194</v>
      </c>
      <c r="I7814" s="3" t="s">
        <v>2096</v>
      </c>
      <c r="J7814" s="3" t="s">
        <v>8298</v>
      </c>
      <c r="K7814" s="3" t="s">
        <v>40349</v>
      </c>
      <c r="L7814" s="3"/>
      <c r="M7814" s="4"/>
      <c r="N7814" s="3" t="s">
        <v>37</v>
      </c>
      <c r="O7814" s="3" t="s">
        <v>52</v>
      </c>
      <c r="P7814" s="5">
        <v>3</v>
      </c>
      <c r="Q7814" s="5">
        <v>26</v>
      </c>
      <c r="R7814" s="5">
        <v>4</v>
      </c>
      <c r="S7814" s="5">
        <v>26</v>
      </c>
    </row>
    <row r="7815" spans="1:19" ht="56" x14ac:dyDescent="0.15">
      <c r="A7815" s="2">
        <f>HYPERLINK("https://open-school.uspishnemisto.com.ua/school/460507/", 460507)</f>
        <v>460507</v>
      </c>
      <c r="B7815" s="3" t="s">
        <v>40350</v>
      </c>
      <c r="C7815" s="3" t="s">
        <v>54</v>
      </c>
      <c r="D7815" s="3" t="s">
        <v>32</v>
      </c>
      <c r="E7815" s="4" t="s">
        <v>22</v>
      </c>
      <c r="F7815" s="4" t="s">
        <v>40351</v>
      </c>
      <c r="G7815" s="4" t="s">
        <v>40352</v>
      </c>
      <c r="H7815" s="3" t="s">
        <v>38194</v>
      </c>
      <c r="I7815" s="3" t="s">
        <v>40353</v>
      </c>
      <c r="J7815" s="3" t="s">
        <v>40354</v>
      </c>
      <c r="K7815" s="3" t="s">
        <v>40355</v>
      </c>
      <c r="L7815" s="3"/>
      <c r="M7815" s="4"/>
      <c r="N7815" s="3" t="s">
        <v>37</v>
      </c>
      <c r="O7815" s="3" t="s">
        <v>46</v>
      </c>
      <c r="P7815" s="5">
        <v>11</v>
      </c>
      <c r="Q7815" s="5">
        <v>99</v>
      </c>
      <c r="R7815" s="5">
        <v>11</v>
      </c>
      <c r="S7815" s="5">
        <v>95</v>
      </c>
    </row>
    <row r="7816" spans="1:19" ht="42" x14ac:dyDescent="0.15">
      <c r="A7816" s="2">
        <f>HYPERLINK("https://open-school.uspishnemisto.com.ua/school/460508/", 460508)</f>
        <v>460508</v>
      </c>
      <c r="B7816" s="3" t="s">
        <v>40356</v>
      </c>
      <c r="C7816" s="3" t="s">
        <v>31</v>
      </c>
      <c r="D7816" s="3" t="s">
        <v>175</v>
      </c>
      <c r="E7816" s="4" t="s">
        <v>22</v>
      </c>
      <c r="F7816" s="4" t="s">
        <v>40357</v>
      </c>
      <c r="G7816" s="4" t="s">
        <v>40358</v>
      </c>
      <c r="H7816" s="3" t="s">
        <v>38194</v>
      </c>
      <c r="I7816" s="3" t="s">
        <v>40359</v>
      </c>
      <c r="J7816" s="3" t="s">
        <v>40360</v>
      </c>
      <c r="K7816" s="3" t="s">
        <v>40361</v>
      </c>
      <c r="L7816" s="3"/>
      <c r="M7816" s="4"/>
      <c r="N7816" s="3" t="s">
        <v>37</v>
      </c>
      <c r="O7816" s="3" t="s">
        <v>46</v>
      </c>
      <c r="P7816" s="5">
        <v>9</v>
      </c>
      <c r="Q7816" s="5">
        <v>64</v>
      </c>
      <c r="R7816" s="5">
        <v>8</v>
      </c>
      <c r="S7816" s="5">
        <v>61</v>
      </c>
    </row>
    <row r="7817" spans="1:19" ht="28" x14ac:dyDescent="0.15">
      <c r="A7817" s="2">
        <f>HYPERLINK("https://open-school.uspishnemisto.com.ua/school/460509/", 460509)</f>
        <v>460509</v>
      </c>
      <c r="B7817" s="3" t="s">
        <v>40362</v>
      </c>
      <c r="C7817" s="3" t="s">
        <v>31</v>
      </c>
      <c r="D7817" s="3" t="s">
        <v>60</v>
      </c>
      <c r="E7817" s="4" t="s">
        <v>22</v>
      </c>
      <c r="F7817" s="4" t="s">
        <v>40363</v>
      </c>
      <c r="G7817" s="4" t="s">
        <v>40364</v>
      </c>
      <c r="H7817" s="3" t="s">
        <v>38194</v>
      </c>
      <c r="I7817" s="3" t="s">
        <v>40365</v>
      </c>
      <c r="J7817" s="3" t="s">
        <v>40366</v>
      </c>
      <c r="K7817" s="3" t="s">
        <v>40367</v>
      </c>
      <c r="L7817" s="3"/>
      <c r="M7817" s="4"/>
      <c r="N7817" s="3" t="s">
        <v>37</v>
      </c>
      <c r="O7817" s="3" t="s">
        <v>52</v>
      </c>
      <c r="P7817" s="5">
        <v>0</v>
      </c>
      <c r="Q7817" s="5">
        <v>6</v>
      </c>
      <c r="R7817" s="5">
        <v>0</v>
      </c>
      <c r="S7817" s="5">
        <v>25</v>
      </c>
    </row>
    <row r="7818" spans="1:19" ht="28" x14ac:dyDescent="0.15">
      <c r="A7818" s="2">
        <f>HYPERLINK("https://open-school.uspishnemisto.com.ua/school/460510/", 460510)</f>
        <v>460510</v>
      </c>
      <c r="B7818" s="3" t="s">
        <v>40368</v>
      </c>
      <c r="C7818" s="3" t="s">
        <v>31</v>
      </c>
      <c r="D7818" s="3" t="s">
        <v>60</v>
      </c>
      <c r="E7818" s="4" t="s">
        <v>22</v>
      </c>
      <c r="F7818" s="4" t="s">
        <v>40369</v>
      </c>
      <c r="G7818" s="4" t="s">
        <v>40370</v>
      </c>
      <c r="H7818" s="3" t="s">
        <v>38194</v>
      </c>
      <c r="I7818" s="3" t="s">
        <v>40371</v>
      </c>
      <c r="J7818" s="3" t="s">
        <v>40372</v>
      </c>
      <c r="K7818" s="3" t="s">
        <v>40373</v>
      </c>
      <c r="L7818" s="3"/>
      <c r="M7818" s="4"/>
      <c r="N7818" s="3" t="s">
        <v>37</v>
      </c>
      <c r="O7818" s="3" t="s">
        <v>52</v>
      </c>
      <c r="P7818" s="5">
        <v>0</v>
      </c>
      <c r="Q7818" s="5">
        <v>6</v>
      </c>
      <c r="R7818" s="5">
        <v>0</v>
      </c>
      <c r="S7818" s="5">
        <v>8</v>
      </c>
    </row>
    <row r="7819" spans="1:19" ht="28" x14ac:dyDescent="0.15">
      <c r="A7819" s="2">
        <f>HYPERLINK("https://open-school.uspishnemisto.com.ua/school/460511/", 460511)</f>
        <v>460511</v>
      </c>
      <c r="B7819" s="3" t="s">
        <v>40374</v>
      </c>
      <c r="C7819" s="3" t="s">
        <v>31</v>
      </c>
      <c r="D7819" s="3" t="s">
        <v>32</v>
      </c>
      <c r="E7819" s="4" t="s">
        <v>22</v>
      </c>
      <c r="F7819" s="4" t="s">
        <v>40375</v>
      </c>
      <c r="G7819" s="4" t="s">
        <v>40376</v>
      </c>
      <c r="H7819" s="3" t="s">
        <v>38194</v>
      </c>
      <c r="I7819" s="3" t="s">
        <v>40377</v>
      </c>
      <c r="J7819" s="3" t="s">
        <v>40378</v>
      </c>
      <c r="K7819" s="3" t="s">
        <v>40379</v>
      </c>
      <c r="L7819" s="3"/>
      <c r="M7819" s="4"/>
      <c r="N7819" s="3" t="s">
        <v>37</v>
      </c>
      <c r="O7819" s="3" t="s">
        <v>52</v>
      </c>
      <c r="P7819" s="5">
        <v>42</v>
      </c>
      <c r="Q7819" s="5">
        <v>1036</v>
      </c>
      <c r="R7819" s="5">
        <v>42</v>
      </c>
      <c r="S7819" s="5">
        <v>1035</v>
      </c>
    </row>
    <row r="7820" spans="1:19" ht="42" x14ac:dyDescent="0.15">
      <c r="A7820" s="2">
        <f>HYPERLINK("https://open-school.uspishnemisto.com.ua/school/460512/", 460512)</f>
        <v>460512</v>
      </c>
      <c r="B7820" s="3" t="s">
        <v>40380</v>
      </c>
      <c r="C7820" s="3" t="s">
        <v>31</v>
      </c>
      <c r="D7820" s="3" t="s">
        <v>32</v>
      </c>
      <c r="E7820" s="4" t="s">
        <v>22</v>
      </c>
      <c r="F7820" s="4" t="s">
        <v>40375</v>
      </c>
      <c r="G7820" s="4" t="s">
        <v>40376</v>
      </c>
      <c r="H7820" s="3" t="s">
        <v>38194</v>
      </c>
      <c r="I7820" s="3" t="s">
        <v>40377</v>
      </c>
      <c r="J7820" s="3" t="s">
        <v>40381</v>
      </c>
      <c r="K7820" s="3" t="s">
        <v>40382</v>
      </c>
      <c r="L7820" s="3" t="s">
        <v>40383</v>
      </c>
      <c r="M7820" s="4"/>
      <c r="N7820" s="3" t="s">
        <v>37</v>
      </c>
      <c r="O7820" s="3" t="s">
        <v>46</v>
      </c>
      <c r="P7820" s="5">
        <v>40</v>
      </c>
      <c r="Q7820" s="5">
        <v>908</v>
      </c>
      <c r="R7820" s="5">
        <v>40</v>
      </c>
      <c r="S7820" s="5">
        <v>896</v>
      </c>
    </row>
    <row r="7821" spans="1:19" ht="28" x14ac:dyDescent="0.15">
      <c r="A7821" s="2">
        <f>HYPERLINK("https://open-school.uspishnemisto.com.ua/school/460513/", 460513)</f>
        <v>460513</v>
      </c>
      <c r="B7821" s="3" t="s">
        <v>40384</v>
      </c>
      <c r="C7821" s="3" t="s">
        <v>31</v>
      </c>
      <c r="D7821" s="3" t="s">
        <v>32</v>
      </c>
      <c r="E7821" s="4" t="s">
        <v>22</v>
      </c>
      <c r="F7821" s="4" t="s">
        <v>40375</v>
      </c>
      <c r="G7821" s="4" t="s">
        <v>40376</v>
      </c>
      <c r="H7821" s="3" t="s">
        <v>38194</v>
      </c>
      <c r="I7821" s="3" t="s">
        <v>40377</v>
      </c>
      <c r="J7821" s="3" t="s">
        <v>40385</v>
      </c>
      <c r="K7821" s="3" t="s">
        <v>40386</v>
      </c>
      <c r="L7821" s="3" t="s">
        <v>40387</v>
      </c>
      <c r="M7821" s="4"/>
      <c r="N7821" s="3" t="s">
        <v>37</v>
      </c>
      <c r="O7821" s="3" t="s">
        <v>52</v>
      </c>
      <c r="P7821" s="5">
        <v>14</v>
      </c>
      <c r="Q7821" s="5">
        <v>303</v>
      </c>
      <c r="R7821" s="5">
        <v>14</v>
      </c>
      <c r="S7821" s="5">
        <v>289</v>
      </c>
    </row>
    <row r="7822" spans="1:19" ht="28" x14ac:dyDescent="0.15">
      <c r="A7822" s="2">
        <f>HYPERLINK("https://open-school.uspishnemisto.com.ua/school/460514/", 460514)</f>
        <v>460514</v>
      </c>
      <c r="B7822" s="3" t="s">
        <v>40388</v>
      </c>
      <c r="C7822" s="3" t="s">
        <v>31</v>
      </c>
      <c r="D7822" s="3" t="s">
        <v>32</v>
      </c>
      <c r="E7822" s="4" t="s">
        <v>22</v>
      </c>
      <c r="F7822" s="4" t="s">
        <v>40375</v>
      </c>
      <c r="G7822" s="4" t="s">
        <v>40376</v>
      </c>
      <c r="H7822" s="3" t="s">
        <v>38194</v>
      </c>
      <c r="I7822" s="3" t="s">
        <v>40377</v>
      </c>
      <c r="J7822" s="3" t="s">
        <v>40389</v>
      </c>
      <c r="K7822" s="3" t="s">
        <v>40390</v>
      </c>
      <c r="L7822" s="3"/>
      <c r="M7822" s="4"/>
      <c r="N7822" s="3" t="s">
        <v>37</v>
      </c>
      <c r="O7822" s="3" t="s">
        <v>52</v>
      </c>
      <c r="P7822" s="5">
        <v>18</v>
      </c>
      <c r="Q7822" s="5">
        <v>309</v>
      </c>
      <c r="R7822" s="5">
        <v>16</v>
      </c>
      <c r="S7822" s="5">
        <v>280</v>
      </c>
    </row>
    <row r="7823" spans="1:19" ht="28" x14ac:dyDescent="0.15">
      <c r="A7823" s="2">
        <f>HYPERLINK("https://open-school.uspishnemisto.com.ua/school/460515/", 460515)</f>
        <v>460515</v>
      </c>
      <c r="B7823" s="3" t="s">
        <v>40391</v>
      </c>
      <c r="C7823" s="3" t="s">
        <v>188</v>
      </c>
      <c r="D7823" s="3" t="s">
        <v>32</v>
      </c>
      <c r="E7823" s="4" t="s">
        <v>22</v>
      </c>
      <c r="F7823" s="4" t="s">
        <v>40375</v>
      </c>
      <c r="G7823" s="4" t="s">
        <v>40376</v>
      </c>
      <c r="H7823" s="3" t="s">
        <v>38194</v>
      </c>
      <c r="I7823" s="3" t="s">
        <v>40377</v>
      </c>
      <c r="J7823" s="3" t="s">
        <v>40392</v>
      </c>
      <c r="K7823" s="3" t="s">
        <v>40393</v>
      </c>
      <c r="L7823" s="3"/>
      <c r="M7823" s="4"/>
      <c r="N7823" s="3" t="s">
        <v>37</v>
      </c>
      <c r="O7823" s="3" t="s">
        <v>52</v>
      </c>
      <c r="P7823" s="5">
        <v>4</v>
      </c>
      <c r="Q7823" s="5">
        <v>103</v>
      </c>
      <c r="R7823" s="5">
        <v>4</v>
      </c>
      <c r="S7823" s="5">
        <v>113</v>
      </c>
    </row>
    <row r="7824" spans="1:19" ht="56" x14ac:dyDescent="0.15">
      <c r="A7824" s="2">
        <f>HYPERLINK("https://open-school.uspishnemisto.com.ua/school/460516/", 460516)</f>
        <v>460516</v>
      </c>
      <c r="B7824" s="3" t="s">
        <v>40394</v>
      </c>
      <c r="C7824" s="3" t="s">
        <v>54</v>
      </c>
      <c r="D7824" s="3" t="s">
        <v>175</v>
      </c>
      <c r="E7824" s="4" t="s">
        <v>22</v>
      </c>
      <c r="F7824" s="4" t="s">
        <v>40375</v>
      </c>
      <c r="G7824" s="4" t="s">
        <v>40376</v>
      </c>
      <c r="H7824" s="3" t="s">
        <v>38194</v>
      </c>
      <c r="I7824" s="3" t="s">
        <v>40377</v>
      </c>
      <c r="J7824" s="3" t="s">
        <v>40395</v>
      </c>
      <c r="K7824" s="3" t="s">
        <v>40396</v>
      </c>
      <c r="L7824" s="3" t="s">
        <v>40397</v>
      </c>
      <c r="M7824" s="4"/>
      <c r="N7824" s="3" t="s">
        <v>37</v>
      </c>
      <c r="O7824" s="3" t="s">
        <v>52</v>
      </c>
      <c r="P7824" s="5">
        <v>12</v>
      </c>
      <c r="Q7824" s="5">
        <v>285</v>
      </c>
      <c r="R7824" s="5">
        <v>11</v>
      </c>
      <c r="S7824" s="5">
        <v>272</v>
      </c>
    </row>
    <row r="7825" spans="1:19" ht="28" x14ac:dyDescent="0.15">
      <c r="A7825" s="2">
        <f>HYPERLINK("https://open-school.uspishnemisto.com.ua/school/460517/", 460517)</f>
        <v>460517</v>
      </c>
      <c r="B7825" s="3" t="s">
        <v>40398</v>
      </c>
      <c r="C7825" s="3" t="s">
        <v>31</v>
      </c>
      <c r="D7825" s="3" t="s">
        <v>32</v>
      </c>
      <c r="E7825" s="4" t="s">
        <v>22</v>
      </c>
      <c r="F7825" s="4" t="s">
        <v>40399</v>
      </c>
      <c r="G7825" s="4" t="s">
        <v>40400</v>
      </c>
      <c r="H7825" s="3" t="s">
        <v>38194</v>
      </c>
      <c r="I7825" s="3" t="s">
        <v>40401</v>
      </c>
      <c r="J7825" s="3" t="s">
        <v>6201</v>
      </c>
      <c r="K7825" s="3" t="s">
        <v>40402</v>
      </c>
      <c r="L7825" s="3"/>
      <c r="M7825" s="4"/>
      <c r="N7825" s="3" t="s">
        <v>37</v>
      </c>
      <c r="O7825" s="3" t="s">
        <v>46</v>
      </c>
      <c r="P7825" s="5">
        <v>31</v>
      </c>
      <c r="Q7825" s="5">
        <v>439</v>
      </c>
      <c r="R7825" s="5">
        <v>17</v>
      </c>
      <c r="S7825" s="5">
        <v>323</v>
      </c>
    </row>
    <row r="7826" spans="1:19" ht="28" x14ac:dyDescent="0.15">
      <c r="A7826" s="2">
        <f>HYPERLINK("https://open-school.uspishnemisto.com.ua/school/460518/", 460518)</f>
        <v>460518</v>
      </c>
      <c r="B7826" s="3" t="s">
        <v>40403</v>
      </c>
      <c r="C7826" s="3" t="s">
        <v>31</v>
      </c>
      <c r="D7826" s="3" t="s">
        <v>32</v>
      </c>
      <c r="E7826" s="4" t="s">
        <v>22</v>
      </c>
      <c r="F7826" s="4" t="s">
        <v>40375</v>
      </c>
      <c r="G7826" s="4" t="s">
        <v>40404</v>
      </c>
      <c r="H7826" s="3" t="s">
        <v>38194</v>
      </c>
      <c r="I7826" s="3" t="s">
        <v>40405</v>
      </c>
      <c r="J7826" s="3"/>
      <c r="K7826" s="3" t="s">
        <v>40402</v>
      </c>
      <c r="L7826" s="3"/>
      <c r="M7826" s="4"/>
      <c r="N7826" s="3" t="s">
        <v>37</v>
      </c>
      <c r="O7826" s="3" t="s">
        <v>52</v>
      </c>
      <c r="P7826" s="5">
        <v>10</v>
      </c>
      <c r="Q7826" s="5">
        <v>184</v>
      </c>
      <c r="R7826" s="5">
        <v>10</v>
      </c>
      <c r="S7826" s="5">
        <v>182</v>
      </c>
    </row>
    <row r="7827" spans="1:19" ht="56" x14ac:dyDescent="0.15">
      <c r="A7827" s="2">
        <f>HYPERLINK("https://open-school.uspishnemisto.com.ua/school/460519/", 460519)</f>
        <v>460519</v>
      </c>
      <c r="B7827" s="3" t="s">
        <v>40406</v>
      </c>
      <c r="C7827" s="3" t="s">
        <v>54</v>
      </c>
      <c r="D7827" s="3" t="s">
        <v>32</v>
      </c>
      <c r="E7827" s="4" t="s">
        <v>22</v>
      </c>
      <c r="F7827" s="4" t="s">
        <v>40407</v>
      </c>
      <c r="G7827" s="4" t="s">
        <v>40408</v>
      </c>
      <c r="H7827" s="3" t="s">
        <v>38194</v>
      </c>
      <c r="I7827" s="3" t="s">
        <v>4384</v>
      </c>
      <c r="J7827" s="3" t="s">
        <v>40409</v>
      </c>
      <c r="K7827" s="3"/>
      <c r="L7827" s="3"/>
      <c r="M7827" s="4"/>
      <c r="N7827" s="3" t="s">
        <v>37</v>
      </c>
      <c r="O7827" s="3" t="s">
        <v>2740</v>
      </c>
      <c r="P7827" s="5">
        <v>11</v>
      </c>
      <c r="Q7827" s="5">
        <v>193</v>
      </c>
      <c r="R7827" s="5">
        <v>11</v>
      </c>
      <c r="S7827" s="5">
        <v>193</v>
      </c>
    </row>
    <row r="7828" spans="1:19" ht="28" x14ac:dyDescent="0.15">
      <c r="A7828" s="2">
        <f>HYPERLINK("https://open-school.uspishnemisto.com.ua/school/460520/", 460520)</f>
        <v>460520</v>
      </c>
      <c r="B7828" s="3" t="s">
        <v>40410</v>
      </c>
      <c r="C7828" s="3" t="s">
        <v>31</v>
      </c>
      <c r="D7828" s="3" t="s">
        <v>60</v>
      </c>
      <c r="E7828" s="4" t="s">
        <v>22</v>
      </c>
      <c r="F7828" s="4" t="s">
        <v>40375</v>
      </c>
      <c r="G7828" s="4" t="s">
        <v>40411</v>
      </c>
      <c r="H7828" s="3" t="s">
        <v>38194</v>
      </c>
      <c r="I7828" s="3" t="s">
        <v>40412</v>
      </c>
      <c r="J7828" s="3" t="s">
        <v>40413</v>
      </c>
      <c r="K7828" s="3" t="s">
        <v>40386</v>
      </c>
      <c r="L7828" s="3"/>
      <c r="M7828" s="4"/>
      <c r="N7828" s="3" t="s">
        <v>37</v>
      </c>
      <c r="O7828" s="3" t="s">
        <v>52</v>
      </c>
      <c r="P7828" s="5">
        <v>1</v>
      </c>
      <c r="Q7828" s="5">
        <v>12</v>
      </c>
      <c r="R7828" s="5">
        <v>2</v>
      </c>
      <c r="S7828" s="5">
        <v>15</v>
      </c>
    </row>
    <row r="7829" spans="1:19" ht="28" x14ac:dyDescent="0.15">
      <c r="A7829" s="2">
        <f>HYPERLINK("https://open-school.uspishnemisto.com.ua/school/460521/", 460521)</f>
        <v>460521</v>
      </c>
      <c r="B7829" s="3" t="s">
        <v>40414</v>
      </c>
      <c r="C7829" s="3" t="s">
        <v>31</v>
      </c>
      <c r="D7829" s="3" t="s">
        <v>175</v>
      </c>
      <c r="E7829" s="4" t="s">
        <v>22</v>
      </c>
      <c r="F7829" s="4" t="s">
        <v>40415</v>
      </c>
      <c r="G7829" s="4" t="s">
        <v>40416</v>
      </c>
      <c r="H7829" s="3" t="s">
        <v>38194</v>
      </c>
      <c r="I7829" s="3" t="s">
        <v>40417</v>
      </c>
      <c r="J7829" s="3" t="s">
        <v>40418</v>
      </c>
      <c r="K7829" s="3" t="s">
        <v>40419</v>
      </c>
      <c r="L7829" s="3"/>
      <c r="M7829" s="4"/>
      <c r="N7829" s="3" t="s">
        <v>37</v>
      </c>
      <c r="O7829" s="3" t="s">
        <v>2740</v>
      </c>
      <c r="P7829" s="5">
        <v>8</v>
      </c>
      <c r="Q7829" s="5">
        <v>54</v>
      </c>
      <c r="R7829" s="5">
        <v>8</v>
      </c>
      <c r="S7829" s="5">
        <v>53</v>
      </c>
    </row>
    <row r="7830" spans="1:19" ht="28" x14ac:dyDescent="0.15">
      <c r="A7830" s="2">
        <f>HYPERLINK("https://open-school.uspishnemisto.com.ua/school/460522/", 460522)</f>
        <v>460522</v>
      </c>
      <c r="B7830" s="3" t="s">
        <v>40420</v>
      </c>
      <c r="C7830" s="3" t="s">
        <v>31</v>
      </c>
      <c r="D7830" s="3" t="s">
        <v>175</v>
      </c>
      <c r="E7830" s="4" t="s">
        <v>22</v>
      </c>
      <c r="F7830" s="4" t="s">
        <v>40415</v>
      </c>
      <c r="G7830" s="4" t="s">
        <v>40421</v>
      </c>
      <c r="H7830" s="3" t="s">
        <v>38194</v>
      </c>
      <c r="I7830" s="3" t="s">
        <v>40422</v>
      </c>
      <c r="J7830" s="3" t="s">
        <v>40423</v>
      </c>
      <c r="K7830" s="3" t="s">
        <v>40419</v>
      </c>
      <c r="L7830" s="3"/>
      <c r="M7830" s="4"/>
      <c r="N7830" s="3" t="s">
        <v>37</v>
      </c>
      <c r="O7830" s="3" t="s">
        <v>2740</v>
      </c>
      <c r="P7830" s="5">
        <v>3</v>
      </c>
      <c r="Q7830" s="5">
        <v>26</v>
      </c>
      <c r="R7830" s="5">
        <v>3</v>
      </c>
      <c r="S7830" s="5">
        <v>26</v>
      </c>
    </row>
    <row r="7831" spans="1:19" ht="28" x14ac:dyDescent="0.15">
      <c r="A7831" s="2">
        <f>HYPERLINK("https://open-school.uspishnemisto.com.ua/school/460523/", 460523)</f>
        <v>460523</v>
      </c>
      <c r="B7831" s="3" t="s">
        <v>40424</v>
      </c>
      <c r="C7831" s="3" t="s">
        <v>31</v>
      </c>
      <c r="D7831" s="3" t="s">
        <v>32</v>
      </c>
      <c r="E7831" s="4" t="s">
        <v>22</v>
      </c>
      <c r="F7831" s="4" t="s">
        <v>40425</v>
      </c>
      <c r="G7831" s="4" t="s">
        <v>40426</v>
      </c>
      <c r="H7831" s="3" t="s">
        <v>38194</v>
      </c>
      <c r="I7831" s="3" t="s">
        <v>40427</v>
      </c>
      <c r="J7831" s="3" t="s">
        <v>40428</v>
      </c>
      <c r="K7831" s="3" t="s">
        <v>40429</v>
      </c>
      <c r="L7831" s="3"/>
      <c r="M7831" s="4"/>
      <c r="N7831" s="3" t="s">
        <v>37</v>
      </c>
      <c r="O7831" s="3" t="s">
        <v>2740</v>
      </c>
      <c r="P7831" s="5">
        <v>7</v>
      </c>
      <c r="Q7831" s="5">
        <v>63</v>
      </c>
      <c r="R7831" s="5">
        <v>8</v>
      </c>
      <c r="S7831" s="5">
        <v>80</v>
      </c>
    </row>
    <row r="7832" spans="1:19" ht="28" x14ac:dyDescent="0.15">
      <c r="A7832" s="2">
        <f>HYPERLINK("https://open-school.uspishnemisto.com.ua/school/460524/", 460524)</f>
        <v>460524</v>
      </c>
      <c r="B7832" s="3" t="s">
        <v>40430</v>
      </c>
      <c r="C7832" s="3" t="s">
        <v>31</v>
      </c>
      <c r="D7832" s="3" t="s">
        <v>60</v>
      </c>
      <c r="E7832" s="4" t="s">
        <v>22</v>
      </c>
      <c r="F7832" s="4" t="s">
        <v>40425</v>
      </c>
      <c r="G7832" s="4" t="s">
        <v>40431</v>
      </c>
      <c r="H7832" s="3" t="s">
        <v>38194</v>
      </c>
      <c r="I7832" s="3" t="s">
        <v>40432</v>
      </c>
      <c r="J7832" s="3" t="s">
        <v>40433</v>
      </c>
      <c r="K7832" s="3" t="s">
        <v>40386</v>
      </c>
      <c r="L7832" s="3"/>
      <c r="M7832" s="4"/>
      <c r="N7832" s="3" t="s">
        <v>37</v>
      </c>
      <c r="O7832" s="3" t="s">
        <v>52</v>
      </c>
      <c r="P7832" s="5">
        <v>0</v>
      </c>
      <c r="Q7832" s="5">
        <v>6</v>
      </c>
      <c r="R7832" s="5">
        <v>0</v>
      </c>
      <c r="S7832" s="5">
        <v>5</v>
      </c>
    </row>
    <row r="7833" spans="1:19" ht="28" x14ac:dyDescent="0.15">
      <c r="A7833" s="2">
        <f>HYPERLINK("https://open-school.uspishnemisto.com.ua/school/460525/", 460525)</f>
        <v>460525</v>
      </c>
      <c r="B7833" s="3" t="s">
        <v>40434</v>
      </c>
      <c r="C7833" s="3" t="s">
        <v>31</v>
      </c>
      <c r="D7833" s="3" t="s">
        <v>32</v>
      </c>
      <c r="E7833" s="4" t="s">
        <v>22</v>
      </c>
      <c r="F7833" s="4" t="s">
        <v>40435</v>
      </c>
      <c r="G7833" s="4" t="s">
        <v>40436</v>
      </c>
      <c r="H7833" s="3" t="s">
        <v>38194</v>
      </c>
      <c r="I7833" s="3" t="s">
        <v>40437</v>
      </c>
      <c r="J7833" s="3" t="s">
        <v>40438</v>
      </c>
      <c r="K7833" s="3" t="s">
        <v>40439</v>
      </c>
      <c r="L7833" s="3"/>
      <c r="M7833" s="4"/>
      <c r="N7833" s="3" t="s">
        <v>37</v>
      </c>
      <c r="O7833" s="3" t="s">
        <v>2740</v>
      </c>
      <c r="P7833" s="5">
        <v>17</v>
      </c>
      <c r="Q7833" s="5">
        <v>278</v>
      </c>
      <c r="R7833" s="5">
        <v>16</v>
      </c>
      <c r="S7833" s="5">
        <v>272</v>
      </c>
    </row>
    <row r="7834" spans="1:19" ht="56" x14ac:dyDescent="0.15">
      <c r="A7834" s="2">
        <f>HYPERLINK("https://open-school.uspishnemisto.com.ua/school/460526/", 460526)</f>
        <v>460526</v>
      </c>
      <c r="B7834" s="3" t="s">
        <v>40440</v>
      </c>
      <c r="C7834" s="3" t="s">
        <v>54</v>
      </c>
      <c r="D7834" s="3" t="s">
        <v>32</v>
      </c>
      <c r="E7834" s="4" t="s">
        <v>22</v>
      </c>
      <c r="F7834" s="4" t="s">
        <v>40375</v>
      </c>
      <c r="G7834" s="4" t="s">
        <v>40441</v>
      </c>
      <c r="H7834" s="3" t="s">
        <v>38194</v>
      </c>
      <c r="I7834" s="3" t="s">
        <v>5598</v>
      </c>
      <c r="J7834" s="3"/>
      <c r="K7834" s="3" t="s">
        <v>40419</v>
      </c>
      <c r="L7834" s="3"/>
      <c r="M7834" s="4"/>
      <c r="N7834" s="3" t="s">
        <v>37</v>
      </c>
      <c r="O7834" s="3" t="s">
        <v>52</v>
      </c>
      <c r="P7834" s="5">
        <v>10</v>
      </c>
      <c r="Q7834" s="5">
        <v>107</v>
      </c>
      <c r="R7834" s="5">
        <v>11</v>
      </c>
      <c r="S7834" s="5">
        <v>108</v>
      </c>
    </row>
    <row r="7835" spans="1:19" ht="28" x14ac:dyDescent="0.15">
      <c r="A7835" s="2">
        <f>HYPERLINK("https://open-school.uspishnemisto.com.ua/school/460527/", 460527)</f>
        <v>460527</v>
      </c>
      <c r="B7835" s="3" t="s">
        <v>40442</v>
      </c>
      <c r="C7835" s="3" t="s">
        <v>31</v>
      </c>
      <c r="D7835" s="3" t="s">
        <v>175</v>
      </c>
      <c r="E7835" s="4" t="s">
        <v>22</v>
      </c>
      <c r="F7835" s="4" t="s">
        <v>40375</v>
      </c>
      <c r="G7835" s="4" t="s">
        <v>40443</v>
      </c>
      <c r="H7835" s="3" t="s">
        <v>38194</v>
      </c>
      <c r="I7835" s="3" t="s">
        <v>40444</v>
      </c>
      <c r="J7835" s="3"/>
      <c r="K7835" s="3" t="s">
        <v>40419</v>
      </c>
      <c r="L7835" s="3"/>
      <c r="M7835" s="4"/>
      <c r="N7835" s="3" t="s">
        <v>37</v>
      </c>
      <c r="O7835" s="3" t="s">
        <v>46</v>
      </c>
      <c r="P7835" s="5">
        <v>0</v>
      </c>
      <c r="Q7835" s="5">
        <v>0</v>
      </c>
      <c r="R7835" s="5">
        <v>4</v>
      </c>
      <c r="S7835" s="5">
        <v>27</v>
      </c>
    </row>
    <row r="7836" spans="1:19" ht="56" x14ac:dyDescent="0.15">
      <c r="A7836" s="2">
        <f>HYPERLINK("https://open-school.uspishnemisto.com.ua/school/460528/", 460528)</f>
        <v>460528</v>
      </c>
      <c r="B7836" s="3" t="s">
        <v>40445</v>
      </c>
      <c r="C7836" s="3" t="s">
        <v>54</v>
      </c>
      <c r="D7836" s="3" t="s">
        <v>32</v>
      </c>
      <c r="E7836" s="4" t="s">
        <v>22</v>
      </c>
      <c r="F7836" s="4" t="s">
        <v>40446</v>
      </c>
      <c r="G7836" s="4" t="s">
        <v>40447</v>
      </c>
      <c r="H7836" s="3" t="s">
        <v>38194</v>
      </c>
      <c r="I7836" s="3" t="s">
        <v>40448</v>
      </c>
      <c r="J7836" s="3" t="s">
        <v>40449</v>
      </c>
      <c r="K7836" s="3" t="s">
        <v>40450</v>
      </c>
      <c r="L7836" s="3"/>
      <c r="M7836" s="4"/>
      <c r="N7836" s="3" t="s">
        <v>37</v>
      </c>
      <c r="O7836" s="3" t="s">
        <v>52</v>
      </c>
      <c r="P7836" s="5">
        <v>11</v>
      </c>
      <c r="Q7836" s="5">
        <v>94</v>
      </c>
      <c r="R7836" s="5">
        <v>11</v>
      </c>
      <c r="S7836" s="5">
        <v>108</v>
      </c>
    </row>
    <row r="7837" spans="1:19" ht="28" x14ac:dyDescent="0.15">
      <c r="A7837" s="2">
        <f>HYPERLINK("https://open-school.uspishnemisto.com.ua/school/460529/", 460529)</f>
        <v>460529</v>
      </c>
      <c r="B7837" s="3" t="s">
        <v>40451</v>
      </c>
      <c r="C7837" s="3" t="s">
        <v>31</v>
      </c>
      <c r="D7837" s="3" t="s">
        <v>175</v>
      </c>
      <c r="E7837" s="4" t="s">
        <v>22</v>
      </c>
      <c r="F7837" s="4" t="s">
        <v>40452</v>
      </c>
      <c r="G7837" s="4" t="s">
        <v>40453</v>
      </c>
      <c r="H7837" s="3" t="s">
        <v>38194</v>
      </c>
      <c r="I7837" s="3" t="s">
        <v>37752</v>
      </c>
      <c r="J7837" s="3" t="s">
        <v>39441</v>
      </c>
      <c r="K7837" s="3" t="s">
        <v>40419</v>
      </c>
      <c r="L7837" s="3"/>
      <c r="M7837" s="4"/>
      <c r="N7837" s="3" t="s">
        <v>37</v>
      </c>
      <c r="O7837" s="3" t="s">
        <v>46</v>
      </c>
      <c r="P7837" s="5">
        <v>8</v>
      </c>
      <c r="Q7837" s="5">
        <v>65</v>
      </c>
      <c r="R7837" s="5">
        <v>9</v>
      </c>
      <c r="S7837" s="5">
        <v>73</v>
      </c>
    </row>
    <row r="7838" spans="1:19" ht="28" x14ac:dyDescent="0.15">
      <c r="A7838" s="2">
        <f>HYPERLINK("https://open-school.uspishnemisto.com.ua/school/460530/", 460530)</f>
        <v>460530</v>
      </c>
      <c r="B7838" s="3" t="s">
        <v>40454</v>
      </c>
      <c r="C7838" s="3" t="s">
        <v>31</v>
      </c>
      <c r="D7838" s="3" t="s">
        <v>60</v>
      </c>
      <c r="E7838" s="4" t="s">
        <v>22</v>
      </c>
      <c r="F7838" s="4" t="s">
        <v>40455</v>
      </c>
      <c r="G7838" s="4" t="s">
        <v>40456</v>
      </c>
      <c r="H7838" s="3" t="s">
        <v>38194</v>
      </c>
      <c r="I7838" s="3" t="s">
        <v>40457</v>
      </c>
      <c r="J7838" s="3" t="s">
        <v>40458</v>
      </c>
      <c r="K7838" s="3" t="s">
        <v>40386</v>
      </c>
      <c r="L7838" s="3"/>
      <c r="M7838" s="4"/>
      <c r="N7838" s="3" t="s">
        <v>37</v>
      </c>
      <c r="O7838" s="3" t="s">
        <v>52</v>
      </c>
      <c r="P7838" s="5">
        <v>3</v>
      </c>
      <c r="Q7838" s="5">
        <v>28</v>
      </c>
      <c r="R7838" s="5">
        <v>3</v>
      </c>
      <c r="S7838" s="5">
        <v>30</v>
      </c>
    </row>
    <row r="7839" spans="1:19" ht="28" x14ac:dyDescent="0.15">
      <c r="A7839" s="2">
        <f>HYPERLINK("https://open-school.uspishnemisto.com.ua/school/460531/", 460531)</f>
        <v>460531</v>
      </c>
      <c r="B7839" s="3" t="s">
        <v>40459</v>
      </c>
      <c r="C7839" s="3" t="s">
        <v>31</v>
      </c>
      <c r="D7839" s="3" t="s">
        <v>60</v>
      </c>
      <c r="E7839" s="4" t="s">
        <v>22</v>
      </c>
      <c r="F7839" s="4" t="s">
        <v>40455</v>
      </c>
      <c r="G7839" s="4" t="s">
        <v>40460</v>
      </c>
      <c r="H7839" s="3" t="s">
        <v>38194</v>
      </c>
      <c r="I7839" s="3" t="s">
        <v>40461</v>
      </c>
      <c r="J7839" s="3" t="s">
        <v>40462</v>
      </c>
      <c r="K7839" s="3" t="s">
        <v>40386</v>
      </c>
      <c r="L7839" s="3"/>
      <c r="M7839" s="4"/>
      <c r="N7839" s="3" t="s">
        <v>37</v>
      </c>
      <c r="O7839" s="3" t="s">
        <v>52</v>
      </c>
      <c r="P7839" s="5">
        <v>0</v>
      </c>
      <c r="Q7839" s="5">
        <v>10</v>
      </c>
      <c r="R7839" s="5">
        <v>0</v>
      </c>
      <c r="S7839" s="5">
        <v>10</v>
      </c>
    </row>
    <row r="7840" spans="1:19" ht="56" x14ac:dyDescent="0.15">
      <c r="A7840" s="2">
        <f>HYPERLINK("https://open-school.uspishnemisto.com.ua/school/460532/", 460532)</f>
        <v>460532</v>
      </c>
      <c r="B7840" s="3" t="s">
        <v>40463</v>
      </c>
      <c r="C7840" s="3" t="s">
        <v>54</v>
      </c>
      <c r="D7840" s="3" t="s">
        <v>32</v>
      </c>
      <c r="E7840" s="4" t="s">
        <v>22</v>
      </c>
      <c r="F7840" s="4" t="s">
        <v>40464</v>
      </c>
      <c r="G7840" s="4" t="s">
        <v>40465</v>
      </c>
      <c r="H7840" s="3" t="s">
        <v>38194</v>
      </c>
      <c r="I7840" s="3" t="s">
        <v>40466</v>
      </c>
      <c r="J7840" s="3" t="s">
        <v>40467</v>
      </c>
      <c r="K7840" s="3" t="s">
        <v>40468</v>
      </c>
      <c r="L7840" s="3"/>
      <c r="M7840" s="4"/>
      <c r="N7840" s="3" t="s">
        <v>37</v>
      </c>
      <c r="O7840" s="3" t="s">
        <v>46</v>
      </c>
      <c r="P7840" s="5">
        <v>10</v>
      </c>
      <c r="Q7840" s="5">
        <v>137</v>
      </c>
      <c r="R7840" s="5">
        <v>9</v>
      </c>
      <c r="S7840" s="5">
        <v>137</v>
      </c>
    </row>
    <row r="7841" spans="1:19" ht="28" x14ac:dyDescent="0.15">
      <c r="A7841" s="2">
        <f>HYPERLINK("https://open-school.uspishnemisto.com.ua/school/460533/", 460533)</f>
        <v>460533</v>
      </c>
      <c r="B7841" s="3" t="s">
        <v>40469</v>
      </c>
      <c r="C7841" s="3" t="s">
        <v>31</v>
      </c>
      <c r="D7841" s="3" t="s">
        <v>32</v>
      </c>
      <c r="E7841" s="4" t="s">
        <v>22</v>
      </c>
      <c r="F7841" s="4" t="s">
        <v>40470</v>
      </c>
      <c r="G7841" s="4" t="s">
        <v>40471</v>
      </c>
      <c r="H7841" s="3" t="s">
        <v>38194</v>
      </c>
      <c r="I7841" s="3" t="s">
        <v>30190</v>
      </c>
      <c r="J7841" s="3" t="s">
        <v>8465</v>
      </c>
      <c r="K7841" s="3" t="s">
        <v>40472</v>
      </c>
      <c r="L7841" s="3"/>
      <c r="M7841" s="4"/>
      <c r="N7841" s="3" t="s">
        <v>37</v>
      </c>
      <c r="O7841" s="3" t="s">
        <v>46</v>
      </c>
      <c r="P7841" s="5">
        <v>5</v>
      </c>
      <c r="Q7841" s="5">
        <v>31</v>
      </c>
      <c r="R7841" s="5">
        <v>5</v>
      </c>
      <c r="S7841" s="5">
        <v>31</v>
      </c>
    </row>
    <row r="7842" spans="1:19" ht="28" x14ac:dyDescent="0.15">
      <c r="A7842" s="2">
        <f>HYPERLINK("https://open-school.uspishnemisto.com.ua/school/460534/", 460534)</f>
        <v>460534</v>
      </c>
      <c r="B7842" s="3" t="s">
        <v>40473</v>
      </c>
      <c r="C7842" s="3" t="s">
        <v>31</v>
      </c>
      <c r="D7842" s="3" t="s">
        <v>60</v>
      </c>
      <c r="E7842" s="4" t="s">
        <v>22</v>
      </c>
      <c r="F7842" s="4" t="s">
        <v>40474</v>
      </c>
      <c r="G7842" s="4" t="s">
        <v>40475</v>
      </c>
      <c r="H7842" s="3" t="s">
        <v>38194</v>
      </c>
      <c r="I7842" s="3" t="s">
        <v>29951</v>
      </c>
      <c r="J7842" s="3" t="s">
        <v>40476</v>
      </c>
      <c r="K7842" s="3" t="s">
        <v>40386</v>
      </c>
      <c r="L7842" s="3"/>
      <c r="M7842" s="4"/>
      <c r="N7842" s="3" t="s">
        <v>37</v>
      </c>
      <c r="O7842" s="3" t="s">
        <v>618</v>
      </c>
      <c r="P7842" s="5">
        <v>1</v>
      </c>
      <c r="Q7842" s="5">
        <v>12</v>
      </c>
      <c r="R7842" s="5">
        <v>1</v>
      </c>
      <c r="S7842" s="5">
        <v>14</v>
      </c>
    </row>
    <row r="7843" spans="1:19" ht="28" x14ac:dyDescent="0.15">
      <c r="A7843" s="2">
        <f>HYPERLINK("https://open-school.uspishnemisto.com.ua/school/460535/", 460535)</f>
        <v>460535</v>
      </c>
      <c r="B7843" s="3" t="s">
        <v>40477</v>
      </c>
      <c r="C7843" s="3" t="s">
        <v>31</v>
      </c>
      <c r="D7843" s="3" t="s">
        <v>32</v>
      </c>
      <c r="E7843" s="4" t="s">
        <v>22</v>
      </c>
      <c r="F7843" s="4" t="s">
        <v>40478</v>
      </c>
      <c r="G7843" s="4" t="s">
        <v>40479</v>
      </c>
      <c r="H7843" s="3" t="s">
        <v>38194</v>
      </c>
      <c r="I7843" s="3" t="s">
        <v>40480</v>
      </c>
      <c r="J7843" s="3" t="s">
        <v>40481</v>
      </c>
      <c r="K7843" s="3" t="s">
        <v>40482</v>
      </c>
      <c r="L7843" s="3"/>
      <c r="M7843" s="4"/>
      <c r="N7843" s="3" t="s">
        <v>37</v>
      </c>
      <c r="O7843" s="3" t="s">
        <v>52</v>
      </c>
      <c r="P7843" s="5">
        <v>10</v>
      </c>
      <c r="Q7843" s="5">
        <v>87</v>
      </c>
      <c r="R7843" s="5">
        <v>10</v>
      </c>
      <c r="S7843" s="5">
        <v>87</v>
      </c>
    </row>
    <row r="7844" spans="1:19" ht="42" x14ac:dyDescent="0.15">
      <c r="A7844" s="2">
        <f>HYPERLINK("https://open-school.uspishnemisto.com.ua/school/460536/", 460536)</f>
        <v>460536</v>
      </c>
      <c r="B7844" s="3" t="s">
        <v>40483</v>
      </c>
      <c r="C7844" s="3" t="s">
        <v>31</v>
      </c>
      <c r="D7844" s="3" t="s">
        <v>175</v>
      </c>
      <c r="E7844" s="4" t="s">
        <v>22</v>
      </c>
      <c r="F7844" s="4" t="s">
        <v>40484</v>
      </c>
      <c r="G7844" s="4" t="s">
        <v>40485</v>
      </c>
      <c r="H7844" s="3" t="s">
        <v>38194</v>
      </c>
      <c r="I7844" s="3" t="s">
        <v>40486</v>
      </c>
      <c r="J7844" s="3" t="s">
        <v>40487</v>
      </c>
      <c r="K7844" s="3" t="s">
        <v>40488</v>
      </c>
      <c r="L7844" s="3"/>
      <c r="M7844" s="4"/>
      <c r="N7844" s="3" t="s">
        <v>37</v>
      </c>
      <c r="O7844" s="3" t="s">
        <v>52</v>
      </c>
      <c r="P7844" s="5">
        <v>0</v>
      </c>
      <c r="Q7844" s="5">
        <v>0</v>
      </c>
      <c r="R7844" s="5">
        <v>2</v>
      </c>
      <c r="S7844" s="5">
        <v>25</v>
      </c>
    </row>
    <row r="7845" spans="1:19" ht="28" x14ac:dyDescent="0.15">
      <c r="A7845" s="2">
        <f>HYPERLINK("https://open-school.uspishnemisto.com.ua/school/460537/", 460537)</f>
        <v>460537</v>
      </c>
      <c r="B7845" s="3" t="s">
        <v>40489</v>
      </c>
      <c r="C7845" s="3" t="s">
        <v>31</v>
      </c>
      <c r="D7845" s="3" t="s">
        <v>60</v>
      </c>
      <c r="E7845" s="4" t="s">
        <v>22</v>
      </c>
      <c r="F7845" s="4" t="s">
        <v>40478</v>
      </c>
      <c r="G7845" s="4" t="s">
        <v>40490</v>
      </c>
      <c r="H7845" s="3" t="s">
        <v>38194</v>
      </c>
      <c r="I7845" s="3" t="s">
        <v>40491</v>
      </c>
      <c r="J7845" s="3" t="s">
        <v>40492</v>
      </c>
      <c r="K7845" s="3" t="s">
        <v>40386</v>
      </c>
      <c r="L7845" s="3"/>
      <c r="M7845" s="4"/>
      <c r="N7845" s="3" t="s">
        <v>37</v>
      </c>
      <c r="O7845" s="3" t="s">
        <v>52</v>
      </c>
      <c r="P7845" s="5">
        <v>0</v>
      </c>
      <c r="Q7845" s="5">
        <v>7</v>
      </c>
      <c r="R7845" s="5">
        <v>0</v>
      </c>
      <c r="S7845" s="5">
        <v>5</v>
      </c>
    </row>
    <row r="7846" spans="1:19" ht="28" x14ac:dyDescent="0.15">
      <c r="A7846" s="2">
        <f>HYPERLINK("https://open-school.uspishnemisto.com.ua/school/460538/", 460538)</f>
        <v>460538</v>
      </c>
      <c r="B7846" s="3" t="s">
        <v>40493</v>
      </c>
      <c r="C7846" s="3" t="s">
        <v>31</v>
      </c>
      <c r="D7846" s="3" t="s">
        <v>32</v>
      </c>
      <c r="E7846" s="4" t="s">
        <v>22</v>
      </c>
      <c r="F7846" s="4" t="s">
        <v>40494</v>
      </c>
      <c r="G7846" s="4" t="s">
        <v>40495</v>
      </c>
      <c r="H7846" s="3" t="s">
        <v>38194</v>
      </c>
      <c r="I7846" s="3" t="s">
        <v>40496</v>
      </c>
      <c r="J7846" s="3" t="s">
        <v>2745</v>
      </c>
      <c r="K7846" s="3" t="s">
        <v>40497</v>
      </c>
      <c r="L7846" s="3" t="s">
        <v>40498</v>
      </c>
      <c r="M7846" s="4"/>
      <c r="N7846" s="3" t="s">
        <v>37</v>
      </c>
      <c r="O7846" s="3" t="s">
        <v>52</v>
      </c>
      <c r="P7846" s="5">
        <v>11</v>
      </c>
      <c r="Q7846" s="5">
        <v>206</v>
      </c>
      <c r="R7846" s="5">
        <v>11</v>
      </c>
      <c r="S7846" s="5">
        <v>204</v>
      </c>
    </row>
    <row r="7847" spans="1:19" ht="28" x14ac:dyDescent="0.15">
      <c r="A7847" s="2">
        <f>HYPERLINK("https://open-school.uspishnemisto.com.ua/school/460539/", 460539)</f>
        <v>460539</v>
      </c>
      <c r="B7847" s="3" t="s">
        <v>40499</v>
      </c>
      <c r="C7847" s="3" t="s">
        <v>31</v>
      </c>
      <c r="D7847" s="3" t="s">
        <v>175</v>
      </c>
      <c r="E7847" s="4" t="s">
        <v>22</v>
      </c>
      <c r="F7847" s="4" t="s">
        <v>40500</v>
      </c>
      <c r="G7847" s="4" t="s">
        <v>40501</v>
      </c>
      <c r="H7847" s="3" t="s">
        <v>38194</v>
      </c>
      <c r="I7847" s="3" t="s">
        <v>5383</v>
      </c>
      <c r="J7847" s="3" t="s">
        <v>40502</v>
      </c>
      <c r="K7847" s="3" t="s">
        <v>40503</v>
      </c>
      <c r="L7847" s="3"/>
      <c r="M7847" s="4"/>
      <c r="N7847" s="3" t="s">
        <v>37</v>
      </c>
      <c r="O7847" s="3" t="s">
        <v>2740</v>
      </c>
      <c r="P7847" s="5">
        <v>9</v>
      </c>
      <c r="Q7847" s="5">
        <v>55</v>
      </c>
      <c r="R7847" s="5">
        <v>9</v>
      </c>
      <c r="S7847" s="5">
        <v>55</v>
      </c>
    </row>
    <row r="7848" spans="1:19" ht="28" x14ac:dyDescent="0.15">
      <c r="A7848" s="2">
        <f>HYPERLINK("https://open-school.uspishnemisto.com.ua/school/460540/", 460540)</f>
        <v>460540</v>
      </c>
      <c r="B7848" s="3" t="s">
        <v>40504</v>
      </c>
      <c r="C7848" s="3" t="s">
        <v>31</v>
      </c>
      <c r="D7848" s="3" t="s">
        <v>60</v>
      </c>
      <c r="E7848" s="4" t="s">
        <v>22</v>
      </c>
      <c r="F7848" s="4" t="s">
        <v>40505</v>
      </c>
      <c r="G7848" s="4" t="s">
        <v>40506</v>
      </c>
      <c r="H7848" s="3" t="s">
        <v>38194</v>
      </c>
      <c r="I7848" s="3" t="s">
        <v>40507</v>
      </c>
      <c r="J7848" s="3" t="s">
        <v>792</v>
      </c>
      <c r="K7848" s="3" t="s">
        <v>40386</v>
      </c>
      <c r="L7848" s="3"/>
      <c r="M7848" s="4"/>
      <c r="N7848" s="3" t="s">
        <v>37</v>
      </c>
      <c r="O7848" s="3" t="s">
        <v>52</v>
      </c>
      <c r="P7848" s="5">
        <v>3</v>
      </c>
      <c r="Q7848" s="5">
        <v>23</v>
      </c>
      <c r="R7848" s="5">
        <v>3</v>
      </c>
      <c r="S7848" s="5">
        <v>22</v>
      </c>
    </row>
    <row r="7849" spans="1:19" ht="28" x14ac:dyDescent="0.15">
      <c r="A7849" s="2">
        <f>HYPERLINK("https://open-school.uspishnemisto.com.ua/school/460541/", 460541)</f>
        <v>460541</v>
      </c>
      <c r="B7849" s="3" t="s">
        <v>40508</v>
      </c>
      <c r="C7849" s="3" t="s">
        <v>31</v>
      </c>
      <c r="D7849" s="3" t="s">
        <v>60</v>
      </c>
      <c r="E7849" s="4" t="s">
        <v>22</v>
      </c>
      <c r="F7849" s="4" t="s">
        <v>40375</v>
      </c>
      <c r="G7849" s="4" t="s">
        <v>40509</v>
      </c>
      <c r="H7849" s="3" t="s">
        <v>38194</v>
      </c>
      <c r="I7849" s="3" t="s">
        <v>40510</v>
      </c>
      <c r="J7849" s="3" t="s">
        <v>40511</v>
      </c>
      <c r="K7849" s="3" t="s">
        <v>40386</v>
      </c>
      <c r="L7849" s="3"/>
      <c r="M7849" s="4"/>
      <c r="N7849" s="3" t="s">
        <v>37</v>
      </c>
      <c r="O7849" s="3" t="s">
        <v>52</v>
      </c>
      <c r="P7849" s="5">
        <v>0</v>
      </c>
      <c r="Q7849" s="5">
        <v>0</v>
      </c>
      <c r="R7849" s="5">
        <v>2</v>
      </c>
      <c r="S7849" s="5">
        <v>17</v>
      </c>
    </row>
    <row r="7850" spans="1:19" ht="28" x14ac:dyDescent="0.15">
      <c r="A7850" s="2">
        <f>HYPERLINK("https://open-school.uspishnemisto.com.ua/school/460542/", 460542)</f>
        <v>460542</v>
      </c>
      <c r="B7850" s="3" t="s">
        <v>40512</v>
      </c>
      <c r="C7850" s="3" t="s">
        <v>31</v>
      </c>
      <c r="D7850" s="3" t="s">
        <v>175</v>
      </c>
      <c r="E7850" s="4" t="s">
        <v>22</v>
      </c>
      <c r="F7850" s="4" t="s">
        <v>40513</v>
      </c>
      <c r="G7850" s="4" t="s">
        <v>40514</v>
      </c>
      <c r="H7850" s="3" t="s">
        <v>38194</v>
      </c>
      <c r="I7850" s="3" t="s">
        <v>40515</v>
      </c>
      <c r="J7850" s="3" t="s">
        <v>7410</v>
      </c>
      <c r="K7850" s="3" t="s">
        <v>40516</v>
      </c>
      <c r="L7850" s="3"/>
      <c r="M7850" s="4"/>
      <c r="N7850" s="3" t="s">
        <v>37</v>
      </c>
      <c r="O7850" s="3" t="s">
        <v>52</v>
      </c>
      <c r="P7850" s="5">
        <v>0</v>
      </c>
      <c r="Q7850" s="5">
        <v>0</v>
      </c>
      <c r="R7850" s="5">
        <v>9</v>
      </c>
      <c r="S7850" s="5">
        <v>92</v>
      </c>
    </row>
    <row r="7851" spans="1:19" ht="28" x14ac:dyDescent="0.15">
      <c r="A7851" s="2">
        <f>HYPERLINK("https://open-school.uspishnemisto.com.ua/school/460543/", 460543)</f>
        <v>460543</v>
      </c>
      <c r="B7851" s="3" t="s">
        <v>40517</v>
      </c>
      <c r="C7851" s="3" t="s">
        <v>31</v>
      </c>
      <c r="D7851" s="3" t="s">
        <v>175</v>
      </c>
      <c r="E7851" s="4" t="s">
        <v>22</v>
      </c>
      <c r="F7851" s="4" t="s">
        <v>40518</v>
      </c>
      <c r="G7851" s="4" t="s">
        <v>40519</v>
      </c>
      <c r="H7851" s="3" t="s">
        <v>38194</v>
      </c>
      <c r="I7851" s="3" t="s">
        <v>28689</v>
      </c>
      <c r="J7851" s="3" t="s">
        <v>40520</v>
      </c>
      <c r="K7851" s="3" t="s">
        <v>40521</v>
      </c>
      <c r="L7851" s="3"/>
      <c r="M7851" s="4"/>
      <c r="N7851" s="3" t="s">
        <v>37</v>
      </c>
      <c r="O7851" s="3" t="s">
        <v>52</v>
      </c>
      <c r="P7851" s="5">
        <v>6</v>
      </c>
      <c r="Q7851" s="5">
        <v>49</v>
      </c>
      <c r="R7851" s="5">
        <v>7</v>
      </c>
      <c r="S7851" s="5">
        <v>51</v>
      </c>
    </row>
    <row r="7852" spans="1:19" ht="28" x14ac:dyDescent="0.15">
      <c r="A7852" s="2">
        <f>HYPERLINK("https://open-school.uspishnemisto.com.ua/school/460545/", 460545)</f>
        <v>460545</v>
      </c>
      <c r="B7852" s="3" t="s">
        <v>40522</v>
      </c>
      <c r="C7852" s="3" t="s">
        <v>31</v>
      </c>
      <c r="D7852" s="3" t="s">
        <v>60</v>
      </c>
      <c r="E7852" s="4" t="s">
        <v>22</v>
      </c>
      <c r="F7852" s="4" t="s">
        <v>40375</v>
      </c>
      <c r="G7852" s="4" t="s">
        <v>40523</v>
      </c>
      <c r="H7852" s="3" t="s">
        <v>38194</v>
      </c>
      <c r="I7852" s="3" t="s">
        <v>7321</v>
      </c>
      <c r="J7852" s="3" t="s">
        <v>22546</v>
      </c>
      <c r="K7852" s="3" t="s">
        <v>40386</v>
      </c>
      <c r="L7852" s="3"/>
      <c r="M7852" s="4"/>
      <c r="N7852" s="3" t="s">
        <v>37</v>
      </c>
      <c r="O7852" s="3" t="s">
        <v>52</v>
      </c>
      <c r="P7852" s="5">
        <v>3</v>
      </c>
      <c r="Q7852" s="5">
        <v>25</v>
      </c>
      <c r="R7852" s="5">
        <v>3</v>
      </c>
      <c r="S7852" s="5">
        <v>25</v>
      </c>
    </row>
    <row r="7853" spans="1:19" ht="28" x14ac:dyDescent="0.15">
      <c r="A7853" s="2">
        <f>HYPERLINK("https://open-school.uspishnemisto.com.ua/school/460546/", 460546)</f>
        <v>460546</v>
      </c>
      <c r="B7853" s="3" t="s">
        <v>40524</v>
      </c>
      <c r="C7853" s="3" t="s">
        <v>31</v>
      </c>
      <c r="D7853" s="3" t="s">
        <v>175</v>
      </c>
      <c r="E7853" s="4" t="s">
        <v>22</v>
      </c>
      <c r="F7853" s="4" t="s">
        <v>40375</v>
      </c>
      <c r="G7853" s="4" t="s">
        <v>40525</v>
      </c>
      <c r="H7853" s="3" t="s">
        <v>38194</v>
      </c>
      <c r="I7853" s="3" t="s">
        <v>40526</v>
      </c>
      <c r="J7853" s="3"/>
      <c r="K7853" s="3" t="s">
        <v>40419</v>
      </c>
      <c r="L7853" s="3"/>
      <c r="M7853" s="4"/>
      <c r="N7853" s="3" t="s">
        <v>37</v>
      </c>
      <c r="O7853" s="3" t="s">
        <v>52</v>
      </c>
      <c r="P7853" s="5">
        <v>9</v>
      </c>
      <c r="Q7853" s="5">
        <v>75</v>
      </c>
      <c r="R7853" s="5">
        <v>9</v>
      </c>
      <c r="S7853" s="5">
        <v>68</v>
      </c>
    </row>
    <row r="7854" spans="1:19" ht="28" x14ac:dyDescent="0.15">
      <c r="A7854" s="2">
        <f>HYPERLINK("https://open-school.uspishnemisto.com.ua/school/460547/", 460547)</f>
        <v>460547</v>
      </c>
      <c r="B7854" s="3" t="s">
        <v>40527</v>
      </c>
      <c r="C7854" s="3" t="s">
        <v>31</v>
      </c>
      <c r="D7854" s="3" t="s">
        <v>175</v>
      </c>
      <c r="E7854" s="4" t="s">
        <v>22</v>
      </c>
      <c r="F7854" s="4" t="s">
        <v>40528</v>
      </c>
      <c r="G7854" s="4" t="s">
        <v>40529</v>
      </c>
      <c r="H7854" s="3" t="s">
        <v>38194</v>
      </c>
      <c r="I7854" s="3" t="s">
        <v>40530</v>
      </c>
      <c r="J7854" s="3" t="s">
        <v>40531</v>
      </c>
      <c r="K7854" s="3" t="s">
        <v>40532</v>
      </c>
      <c r="L7854" s="3"/>
      <c r="M7854" s="4"/>
      <c r="N7854" s="3" t="s">
        <v>37</v>
      </c>
      <c r="O7854" s="3" t="s">
        <v>2740</v>
      </c>
      <c r="P7854" s="5">
        <v>9</v>
      </c>
      <c r="Q7854" s="5">
        <v>68</v>
      </c>
      <c r="R7854" s="5">
        <v>8</v>
      </c>
      <c r="S7854" s="5">
        <v>69</v>
      </c>
    </row>
    <row r="7855" spans="1:19" ht="56" x14ac:dyDescent="0.15">
      <c r="A7855" s="2">
        <f>HYPERLINK("https://open-school.uspishnemisto.com.ua/school/460548/", 460548)</f>
        <v>460548</v>
      </c>
      <c r="B7855" s="3" t="s">
        <v>40533</v>
      </c>
      <c r="C7855" s="3" t="s">
        <v>54</v>
      </c>
      <c r="D7855" s="3" t="s">
        <v>32</v>
      </c>
      <c r="E7855" s="4" t="s">
        <v>22</v>
      </c>
      <c r="F7855" s="4" t="s">
        <v>40375</v>
      </c>
      <c r="G7855" s="4" t="s">
        <v>40534</v>
      </c>
      <c r="H7855" s="3" t="s">
        <v>38194</v>
      </c>
      <c r="I7855" s="3" t="s">
        <v>40535</v>
      </c>
      <c r="J7855" s="3"/>
      <c r="K7855" s="3" t="s">
        <v>40419</v>
      </c>
      <c r="L7855" s="3"/>
      <c r="M7855" s="4"/>
      <c r="N7855" s="3" t="s">
        <v>37</v>
      </c>
      <c r="O7855" s="3" t="s">
        <v>52</v>
      </c>
      <c r="P7855" s="5">
        <v>10</v>
      </c>
      <c r="Q7855" s="5">
        <v>90</v>
      </c>
      <c r="R7855" s="5">
        <v>10</v>
      </c>
      <c r="S7855" s="5">
        <v>91</v>
      </c>
    </row>
    <row r="7856" spans="1:19" ht="28" x14ac:dyDescent="0.15">
      <c r="A7856" s="2">
        <f>HYPERLINK("https://open-school.uspishnemisto.com.ua/school/460549/", 460549)</f>
        <v>460549</v>
      </c>
      <c r="B7856" s="3" t="s">
        <v>40536</v>
      </c>
      <c r="C7856" s="3" t="s">
        <v>31</v>
      </c>
      <c r="D7856" s="3" t="s">
        <v>175</v>
      </c>
      <c r="E7856" s="4" t="s">
        <v>22</v>
      </c>
      <c r="F7856" s="4" t="s">
        <v>40528</v>
      </c>
      <c r="G7856" s="4" t="s">
        <v>40537</v>
      </c>
      <c r="H7856" s="3" t="s">
        <v>38194</v>
      </c>
      <c r="I7856" s="3" t="s">
        <v>3581</v>
      </c>
      <c r="J7856" s="3" t="s">
        <v>40538</v>
      </c>
      <c r="K7856" s="3" t="s">
        <v>40539</v>
      </c>
      <c r="L7856" s="3" t="s">
        <v>40540</v>
      </c>
      <c r="M7856" s="4"/>
      <c r="N7856" s="3" t="s">
        <v>37</v>
      </c>
      <c r="O7856" s="3" t="s">
        <v>2740</v>
      </c>
      <c r="P7856" s="5">
        <v>4</v>
      </c>
      <c r="Q7856" s="5">
        <v>36</v>
      </c>
      <c r="R7856" s="5">
        <v>5</v>
      </c>
      <c r="S7856" s="5">
        <v>41</v>
      </c>
    </row>
    <row r="7857" spans="1:19" ht="56" x14ac:dyDescent="0.15">
      <c r="A7857" s="2">
        <f>HYPERLINK("https://open-school.uspishnemisto.com.ua/school/460550/", 460550)</f>
        <v>460550</v>
      </c>
      <c r="B7857" s="3" t="s">
        <v>40541</v>
      </c>
      <c r="C7857" s="3" t="s">
        <v>54</v>
      </c>
      <c r="D7857" s="3" t="s">
        <v>32</v>
      </c>
      <c r="E7857" s="4" t="s">
        <v>22</v>
      </c>
      <c r="F7857" s="4" t="s">
        <v>40542</v>
      </c>
      <c r="G7857" s="4" t="s">
        <v>40543</v>
      </c>
      <c r="H7857" s="3" t="s">
        <v>38194</v>
      </c>
      <c r="I7857" s="3" t="s">
        <v>40544</v>
      </c>
      <c r="J7857" s="3" t="s">
        <v>3452</v>
      </c>
      <c r="K7857" s="3" t="s">
        <v>40545</v>
      </c>
      <c r="L7857" s="3"/>
      <c r="M7857" s="4"/>
      <c r="N7857" s="3" t="s">
        <v>37</v>
      </c>
      <c r="O7857" s="3" t="s">
        <v>52</v>
      </c>
      <c r="P7857" s="5">
        <v>11</v>
      </c>
      <c r="Q7857" s="5">
        <v>93</v>
      </c>
      <c r="R7857" s="5">
        <v>11</v>
      </c>
      <c r="S7857" s="5">
        <v>94</v>
      </c>
    </row>
    <row r="7858" spans="1:19" ht="28" x14ac:dyDescent="0.15">
      <c r="A7858" s="2">
        <f>HYPERLINK("https://open-school.uspishnemisto.com.ua/school/460551/", 460551)</f>
        <v>460551</v>
      </c>
      <c r="B7858" s="3" t="s">
        <v>40546</v>
      </c>
      <c r="C7858" s="3" t="s">
        <v>31</v>
      </c>
      <c r="D7858" s="3" t="s">
        <v>175</v>
      </c>
      <c r="E7858" s="4" t="s">
        <v>22</v>
      </c>
      <c r="F7858" s="4" t="s">
        <v>40547</v>
      </c>
      <c r="G7858" s="4" t="s">
        <v>40548</v>
      </c>
      <c r="H7858" s="3" t="s">
        <v>38194</v>
      </c>
      <c r="I7858" s="3" t="s">
        <v>40549</v>
      </c>
      <c r="J7858" s="3" t="s">
        <v>2091</v>
      </c>
      <c r="K7858" s="3" t="s">
        <v>40550</v>
      </c>
      <c r="L7858" s="3" t="s">
        <v>40551</v>
      </c>
      <c r="M7858" s="4"/>
      <c r="N7858" s="3" t="s">
        <v>37</v>
      </c>
      <c r="O7858" s="3" t="s">
        <v>2740</v>
      </c>
      <c r="P7858" s="5">
        <v>6</v>
      </c>
      <c r="Q7858" s="5">
        <v>49</v>
      </c>
      <c r="R7858" s="5">
        <v>6</v>
      </c>
      <c r="S7858" s="5">
        <v>50</v>
      </c>
    </row>
    <row r="7859" spans="1:19" ht="56" x14ac:dyDescent="0.15">
      <c r="A7859" s="2">
        <f>HYPERLINK("https://open-school.uspishnemisto.com.ua/school/460552/", 460552)</f>
        <v>460552</v>
      </c>
      <c r="B7859" s="3" t="s">
        <v>40552</v>
      </c>
      <c r="C7859" s="3" t="s">
        <v>54</v>
      </c>
      <c r="D7859" s="3" t="s">
        <v>32</v>
      </c>
      <c r="E7859" s="4" t="s">
        <v>22</v>
      </c>
      <c r="F7859" s="4" t="s">
        <v>40553</v>
      </c>
      <c r="G7859" s="4" t="s">
        <v>40554</v>
      </c>
      <c r="H7859" s="3" t="s">
        <v>38194</v>
      </c>
      <c r="I7859" s="3" t="s">
        <v>40555</v>
      </c>
      <c r="J7859" s="3" t="s">
        <v>40556</v>
      </c>
      <c r="K7859" s="3" t="s">
        <v>40557</v>
      </c>
      <c r="L7859" s="3"/>
      <c r="M7859" s="4"/>
      <c r="N7859" s="3" t="s">
        <v>37</v>
      </c>
      <c r="O7859" s="3" t="s">
        <v>46</v>
      </c>
      <c r="P7859" s="5">
        <v>11</v>
      </c>
      <c r="Q7859" s="5">
        <v>112</v>
      </c>
      <c r="R7859" s="5">
        <v>11</v>
      </c>
      <c r="S7859" s="5">
        <v>119</v>
      </c>
    </row>
    <row r="7860" spans="1:19" ht="56" x14ac:dyDescent="0.15">
      <c r="A7860" s="2">
        <f>HYPERLINK("https://open-school.uspishnemisto.com.ua/school/460553/", 460553)</f>
        <v>460553</v>
      </c>
      <c r="B7860" s="3" t="s">
        <v>40558</v>
      </c>
      <c r="C7860" s="3" t="s">
        <v>54</v>
      </c>
      <c r="D7860" s="3" t="s">
        <v>32</v>
      </c>
      <c r="E7860" s="4" t="s">
        <v>22</v>
      </c>
      <c r="F7860" s="4" t="s">
        <v>40415</v>
      </c>
      <c r="G7860" s="4" t="s">
        <v>40559</v>
      </c>
      <c r="H7860" s="3" t="s">
        <v>38194</v>
      </c>
      <c r="I7860" s="3" t="s">
        <v>40560</v>
      </c>
      <c r="J7860" s="3" t="s">
        <v>40561</v>
      </c>
      <c r="K7860" s="3" t="s">
        <v>40562</v>
      </c>
      <c r="L7860" s="3"/>
      <c r="M7860" s="4"/>
      <c r="N7860" s="3" t="s">
        <v>37</v>
      </c>
      <c r="O7860" s="3" t="s">
        <v>52</v>
      </c>
      <c r="P7860" s="5">
        <v>15</v>
      </c>
      <c r="Q7860" s="5">
        <v>212</v>
      </c>
      <c r="R7860" s="5">
        <v>11</v>
      </c>
      <c r="S7860" s="5">
        <v>133</v>
      </c>
    </row>
    <row r="7861" spans="1:19" ht="42" x14ac:dyDescent="0.15">
      <c r="A7861" s="2">
        <f>HYPERLINK("https://open-school.uspishnemisto.com.ua/school/460554/", 460554)</f>
        <v>460554</v>
      </c>
      <c r="B7861" s="3" t="s">
        <v>40563</v>
      </c>
      <c r="C7861" s="3" t="s">
        <v>31</v>
      </c>
      <c r="D7861" s="3" t="s">
        <v>175</v>
      </c>
      <c r="E7861" s="4" t="s">
        <v>22</v>
      </c>
      <c r="F7861" s="4" t="s">
        <v>40564</v>
      </c>
      <c r="G7861" s="4" t="s">
        <v>40565</v>
      </c>
      <c r="H7861" s="3" t="s">
        <v>38194</v>
      </c>
      <c r="I7861" s="3" t="s">
        <v>40566</v>
      </c>
      <c r="J7861" s="3" t="s">
        <v>40567</v>
      </c>
      <c r="K7861" s="3" t="s">
        <v>40568</v>
      </c>
      <c r="L7861" s="3"/>
      <c r="M7861" s="4"/>
      <c r="N7861" s="3" t="s">
        <v>37</v>
      </c>
      <c r="O7861" s="3" t="s">
        <v>52</v>
      </c>
      <c r="P7861" s="5">
        <v>0</v>
      </c>
      <c r="Q7861" s="5">
        <v>0</v>
      </c>
      <c r="R7861" s="5">
        <v>3</v>
      </c>
      <c r="S7861" s="5">
        <v>32</v>
      </c>
    </row>
    <row r="7862" spans="1:19" ht="28" x14ac:dyDescent="0.15">
      <c r="A7862" s="2">
        <f>HYPERLINK("https://open-school.uspishnemisto.com.ua/school/460555/", 460555)</f>
        <v>460555</v>
      </c>
      <c r="B7862" s="3" t="s">
        <v>40569</v>
      </c>
      <c r="C7862" s="3" t="s">
        <v>31</v>
      </c>
      <c r="D7862" s="3" t="s">
        <v>32</v>
      </c>
      <c r="E7862" s="4" t="s">
        <v>22</v>
      </c>
      <c r="F7862" s="4" t="s">
        <v>40570</v>
      </c>
      <c r="G7862" s="4" t="s">
        <v>40571</v>
      </c>
      <c r="H7862" s="3" t="s">
        <v>38194</v>
      </c>
      <c r="I7862" s="3" t="s">
        <v>40572</v>
      </c>
      <c r="J7862" s="3" t="s">
        <v>29701</v>
      </c>
      <c r="K7862" s="3" t="s">
        <v>40573</v>
      </c>
      <c r="L7862" s="3"/>
      <c r="M7862" s="4"/>
      <c r="N7862" s="3" t="s">
        <v>37</v>
      </c>
      <c r="O7862" s="3" t="s">
        <v>46</v>
      </c>
      <c r="P7862" s="5">
        <v>11</v>
      </c>
      <c r="Q7862" s="5">
        <v>116</v>
      </c>
      <c r="R7862" s="5">
        <v>11</v>
      </c>
      <c r="S7862" s="5">
        <v>112</v>
      </c>
    </row>
    <row r="7863" spans="1:19" ht="56" x14ac:dyDescent="0.15">
      <c r="A7863" s="2">
        <f>HYPERLINK("https://open-school.uspishnemisto.com.ua/school/460556/", 460556)</f>
        <v>460556</v>
      </c>
      <c r="B7863" s="3" t="s">
        <v>40574</v>
      </c>
      <c r="C7863" s="3" t="s">
        <v>54</v>
      </c>
      <c r="D7863" s="3" t="s">
        <v>32</v>
      </c>
      <c r="E7863" s="4" t="s">
        <v>22</v>
      </c>
      <c r="F7863" s="4" t="s">
        <v>40505</v>
      </c>
      <c r="G7863" s="4" t="s">
        <v>40575</v>
      </c>
      <c r="H7863" s="3" t="s">
        <v>38194</v>
      </c>
      <c r="I7863" s="3" t="s">
        <v>40576</v>
      </c>
      <c r="J7863" s="3" t="s">
        <v>40577</v>
      </c>
      <c r="K7863" s="3" t="s">
        <v>40578</v>
      </c>
      <c r="L7863" s="3"/>
      <c r="M7863" s="4"/>
      <c r="N7863" s="3" t="s">
        <v>37</v>
      </c>
      <c r="O7863" s="3" t="s">
        <v>2740</v>
      </c>
      <c r="P7863" s="5">
        <v>11</v>
      </c>
      <c r="Q7863" s="5">
        <v>180</v>
      </c>
      <c r="R7863" s="5">
        <v>11</v>
      </c>
      <c r="S7863" s="5">
        <v>171</v>
      </c>
    </row>
    <row r="7864" spans="1:19" ht="28" x14ac:dyDescent="0.15">
      <c r="A7864" s="2">
        <f>HYPERLINK("https://open-school.uspishnemisto.com.ua/school/460557/", 460557)</f>
        <v>460557</v>
      </c>
      <c r="B7864" s="3" t="s">
        <v>40579</v>
      </c>
      <c r="C7864" s="3" t="s">
        <v>54</v>
      </c>
      <c r="D7864" s="3" t="s">
        <v>32</v>
      </c>
      <c r="E7864" s="4" t="s">
        <v>22</v>
      </c>
      <c r="F7864" s="4" t="s">
        <v>40580</v>
      </c>
      <c r="G7864" s="4" t="s">
        <v>40581</v>
      </c>
      <c r="H7864" s="3" t="s">
        <v>38194</v>
      </c>
      <c r="I7864" s="3" t="s">
        <v>40582</v>
      </c>
      <c r="J7864" s="3" t="s">
        <v>30002</v>
      </c>
      <c r="K7864" s="3" t="s">
        <v>40583</v>
      </c>
      <c r="L7864" s="3"/>
      <c r="M7864" s="4"/>
      <c r="N7864" s="3" t="s">
        <v>37</v>
      </c>
      <c r="O7864" s="3" t="s">
        <v>52</v>
      </c>
      <c r="P7864" s="5">
        <v>11</v>
      </c>
      <c r="Q7864" s="5">
        <v>114</v>
      </c>
      <c r="R7864" s="5">
        <v>11</v>
      </c>
      <c r="S7864" s="5">
        <v>122</v>
      </c>
    </row>
    <row r="7865" spans="1:19" ht="28" x14ac:dyDescent="0.15">
      <c r="A7865" s="2">
        <f>HYPERLINK("https://open-school.uspishnemisto.com.ua/school/460558/", 460558)</f>
        <v>460558</v>
      </c>
      <c r="B7865" s="3" t="s">
        <v>40584</v>
      </c>
      <c r="C7865" s="3" t="s">
        <v>31</v>
      </c>
      <c r="D7865" s="3" t="s">
        <v>175</v>
      </c>
      <c r="E7865" s="4" t="s">
        <v>22</v>
      </c>
      <c r="F7865" s="4" t="s">
        <v>40585</v>
      </c>
      <c r="G7865" s="4" t="s">
        <v>40586</v>
      </c>
      <c r="H7865" s="3" t="s">
        <v>38194</v>
      </c>
      <c r="I7865" s="3" t="s">
        <v>40587</v>
      </c>
      <c r="J7865" s="3" t="s">
        <v>40588</v>
      </c>
      <c r="K7865" s="3" t="s">
        <v>40589</v>
      </c>
      <c r="L7865" s="3"/>
      <c r="M7865" s="4"/>
      <c r="N7865" s="3" t="s">
        <v>37</v>
      </c>
      <c r="O7865" s="3" t="s">
        <v>46</v>
      </c>
      <c r="P7865" s="5">
        <v>9</v>
      </c>
      <c r="Q7865" s="5">
        <v>86</v>
      </c>
      <c r="R7865" s="5">
        <v>9</v>
      </c>
      <c r="S7865" s="5">
        <v>90</v>
      </c>
    </row>
    <row r="7866" spans="1:19" ht="28" x14ac:dyDescent="0.15">
      <c r="A7866" s="2">
        <f>HYPERLINK("https://open-school.uspishnemisto.com.ua/school/460559/", 460559)</f>
        <v>460559</v>
      </c>
      <c r="B7866" s="3" t="s">
        <v>40590</v>
      </c>
      <c r="C7866" s="3" t="s">
        <v>31</v>
      </c>
      <c r="D7866" s="3" t="s">
        <v>32</v>
      </c>
      <c r="E7866" s="4" t="s">
        <v>22</v>
      </c>
      <c r="F7866" s="4" t="s">
        <v>40474</v>
      </c>
      <c r="G7866" s="4" t="s">
        <v>40591</v>
      </c>
      <c r="H7866" s="3" t="s">
        <v>38194</v>
      </c>
      <c r="I7866" s="3" t="s">
        <v>11464</v>
      </c>
      <c r="J7866" s="3" t="s">
        <v>40592</v>
      </c>
      <c r="K7866" s="3" t="s">
        <v>40593</v>
      </c>
      <c r="L7866" s="3"/>
      <c r="M7866" s="4"/>
      <c r="N7866" s="3" t="s">
        <v>37</v>
      </c>
      <c r="O7866" s="3" t="s">
        <v>46</v>
      </c>
      <c r="P7866" s="5">
        <v>9</v>
      </c>
      <c r="Q7866" s="5">
        <v>152</v>
      </c>
      <c r="R7866" s="5">
        <v>10</v>
      </c>
      <c r="S7866" s="5">
        <v>155</v>
      </c>
    </row>
    <row r="7867" spans="1:19" ht="56" x14ac:dyDescent="0.15">
      <c r="A7867" s="2">
        <f>HYPERLINK("https://open-school.uspishnemisto.com.ua/school/460560/", 460560)</f>
        <v>460560</v>
      </c>
      <c r="B7867" s="3" t="s">
        <v>40594</v>
      </c>
      <c r="C7867" s="3" t="s">
        <v>54</v>
      </c>
      <c r="D7867" s="3" t="s">
        <v>32</v>
      </c>
      <c r="E7867" s="4" t="s">
        <v>22</v>
      </c>
      <c r="F7867" s="4" t="s">
        <v>40595</v>
      </c>
      <c r="G7867" s="4" t="s">
        <v>40596</v>
      </c>
      <c r="H7867" s="3" t="s">
        <v>38194</v>
      </c>
      <c r="I7867" s="3" t="s">
        <v>40597</v>
      </c>
      <c r="J7867" s="3" t="s">
        <v>1348</v>
      </c>
      <c r="K7867" s="3" t="s">
        <v>40598</v>
      </c>
      <c r="L7867" s="3"/>
      <c r="M7867" s="4"/>
      <c r="N7867" s="3" t="s">
        <v>37</v>
      </c>
      <c r="O7867" s="3" t="s">
        <v>46</v>
      </c>
      <c r="P7867" s="5">
        <v>11</v>
      </c>
      <c r="Q7867" s="5">
        <v>95</v>
      </c>
      <c r="R7867" s="5">
        <v>11</v>
      </c>
      <c r="S7867" s="5">
        <v>93</v>
      </c>
    </row>
    <row r="7868" spans="1:19" ht="56" x14ac:dyDescent="0.15">
      <c r="A7868" s="2">
        <f>HYPERLINK("https://open-school.uspishnemisto.com.ua/school/460561/", 460561)</f>
        <v>460561</v>
      </c>
      <c r="B7868" s="3" t="s">
        <v>40599</v>
      </c>
      <c r="C7868" s="3" t="s">
        <v>31</v>
      </c>
      <c r="D7868" s="3" t="s">
        <v>175</v>
      </c>
      <c r="E7868" s="4" t="s">
        <v>22</v>
      </c>
      <c r="F7868" s="4" t="s">
        <v>40600</v>
      </c>
      <c r="G7868" s="4" t="s">
        <v>40601</v>
      </c>
      <c r="H7868" s="3" t="s">
        <v>38194</v>
      </c>
      <c r="I7868" s="3" t="s">
        <v>40602</v>
      </c>
      <c r="J7868" s="3" t="s">
        <v>2052</v>
      </c>
      <c r="K7868" s="3" t="s">
        <v>40603</v>
      </c>
      <c r="L7868" s="3"/>
      <c r="M7868" s="4"/>
      <c r="N7868" s="3" t="s">
        <v>37</v>
      </c>
      <c r="O7868" s="3" t="s">
        <v>46</v>
      </c>
      <c r="P7868" s="5">
        <v>9</v>
      </c>
      <c r="Q7868" s="5">
        <v>148</v>
      </c>
      <c r="R7868" s="5">
        <v>9</v>
      </c>
      <c r="S7868" s="5">
        <v>135</v>
      </c>
    </row>
    <row r="7869" spans="1:19" ht="28" x14ac:dyDescent="0.15">
      <c r="A7869" s="2">
        <f>HYPERLINK("https://open-school.uspishnemisto.com.ua/school/460562/", 460562)</f>
        <v>460562</v>
      </c>
      <c r="B7869" s="3" t="s">
        <v>40604</v>
      </c>
      <c r="C7869" s="3" t="s">
        <v>31</v>
      </c>
      <c r="D7869" s="3" t="s">
        <v>60</v>
      </c>
      <c r="E7869" s="4" t="s">
        <v>22</v>
      </c>
      <c r="F7869" s="4" t="s">
        <v>40600</v>
      </c>
      <c r="G7869" s="4" t="s">
        <v>40605</v>
      </c>
      <c r="H7869" s="3" t="s">
        <v>38194</v>
      </c>
      <c r="I7869" s="3" t="s">
        <v>5865</v>
      </c>
      <c r="J7869" s="3" t="s">
        <v>28396</v>
      </c>
      <c r="K7869" s="3" t="s">
        <v>40386</v>
      </c>
      <c r="L7869" s="3"/>
      <c r="M7869" s="4"/>
      <c r="N7869" s="3" t="s">
        <v>37</v>
      </c>
      <c r="O7869" s="3" t="s">
        <v>618</v>
      </c>
      <c r="P7869" s="5">
        <v>0</v>
      </c>
      <c r="Q7869" s="5">
        <v>6</v>
      </c>
      <c r="R7869" s="5">
        <v>1</v>
      </c>
      <c r="S7869" s="5">
        <v>10</v>
      </c>
    </row>
    <row r="7870" spans="1:19" ht="28" x14ac:dyDescent="0.15">
      <c r="A7870" s="2">
        <f>HYPERLINK("https://open-school.uspishnemisto.com.ua/school/460563/", 460563)</f>
        <v>460563</v>
      </c>
      <c r="B7870" s="3" t="s">
        <v>40606</v>
      </c>
      <c r="C7870" s="3" t="s">
        <v>31</v>
      </c>
      <c r="D7870" s="3" t="s">
        <v>32</v>
      </c>
      <c r="E7870" s="4" t="s">
        <v>22</v>
      </c>
      <c r="F7870" s="4" t="s">
        <v>40607</v>
      </c>
      <c r="G7870" s="4" t="s">
        <v>40608</v>
      </c>
      <c r="H7870" s="3" t="s">
        <v>38194</v>
      </c>
      <c r="I7870" s="3" t="s">
        <v>40609</v>
      </c>
      <c r="J7870" s="3" t="s">
        <v>40610</v>
      </c>
      <c r="K7870" s="3" t="s">
        <v>40611</v>
      </c>
      <c r="L7870" s="3"/>
      <c r="M7870" s="4"/>
      <c r="N7870" s="3" t="s">
        <v>37</v>
      </c>
      <c r="O7870" s="3" t="s">
        <v>237</v>
      </c>
      <c r="P7870" s="5">
        <v>28</v>
      </c>
      <c r="Q7870" s="5">
        <v>709</v>
      </c>
      <c r="R7870" s="5">
        <v>28</v>
      </c>
      <c r="S7870" s="5">
        <v>699</v>
      </c>
    </row>
    <row r="7871" spans="1:19" ht="28" x14ac:dyDescent="0.15">
      <c r="A7871" s="2">
        <f>HYPERLINK("https://open-school.uspishnemisto.com.ua/school/460564/", 460564)</f>
        <v>460564</v>
      </c>
      <c r="B7871" s="3" t="s">
        <v>40612</v>
      </c>
      <c r="C7871" s="3" t="s">
        <v>31</v>
      </c>
      <c r="D7871" s="3" t="s">
        <v>32</v>
      </c>
      <c r="E7871" s="4" t="s">
        <v>22</v>
      </c>
      <c r="F7871" s="4" t="s">
        <v>40607</v>
      </c>
      <c r="G7871" s="4" t="s">
        <v>40608</v>
      </c>
      <c r="H7871" s="3" t="s">
        <v>38194</v>
      </c>
      <c r="I7871" s="3" t="s">
        <v>40609</v>
      </c>
      <c r="J7871" s="3" t="s">
        <v>1198</v>
      </c>
      <c r="K7871" s="3" t="s">
        <v>40613</v>
      </c>
      <c r="L7871" s="3"/>
      <c r="M7871" s="4"/>
      <c r="N7871" s="3" t="s">
        <v>37</v>
      </c>
      <c r="O7871" s="3" t="s">
        <v>237</v>
      </c>
      <c r="P7871" s="5">
        <v>27</v>
      </c>
      <c r="Q7871" s="5">
        <v>646</v>
      </c>
      <c r="R7871" s="5">
        <v>27</v>
      </c>
      <c r="S7871" s="5">
        <v>635</v>
      </c>
    </row>
    <row r="7872" spans="1:19" ht="28" x14ac:dyDescent="0.15">
      <c r="A7872" s="2">
        <f>HYPERLINK("https://open-school.uspishnemisto.com.ua/school/460565/", 460565)</f>
        <v>460565</v>
      </c>
      <c r="B7872" s="3" t="s">
        <v>40614</v>
      </c>
      <c r="C7872" s="3" t="s">
        <v>31</v>
      </c>
      <c r="D7872" s="3" t="s">
        <v>32</v>
      </c>
      <c r="E7872" s="4" t="s">
        <v>22</v>
      </c>
      <c r="F7872" s="4" t="s">
        <v>40607</v>
      </c>
      <c r="G7872" s="4" t="s">
        <v>40608</v>
      </c>
      <c r="H7872" s="3" t="s">
        <v>38194</v>
      </c>
      <c r="I7872" s="3" t="s">
        <v>40609</v>
      </c>
      <c r="J7872" s="3" t="s">
        <v>30458</v>
      </c>
      <c r="K7872" s="3" t="s">
        <v>40615</v>
      </c>
      <c r="L7872" s="3"/>
      <c r="M7872" s="4"/>
      <c r="N7872" s="3" t="s">
        <v>37</v>
      </c>
      <c r="O7872" s="3" t="s">
        <v>237</v>
      </c>
      <c r="P7872" s="5">
        <v>17</v>
      </c>
      <c r="Q7872" s="5">
        <v>353</v>
      </c>
      <c r="R7872" s="5">
        <v>16</v>
      </c>
      <c r="S7872" s="5">
        <v>340</v>
      </c>
    </row>
    <row r="7873" spans="1:19" ht="28" x14ac:dyDescent="0.15">
      <c r="A7873" s="2">
        <f>HYPERLINK("https://open-school.uspishnemisto.com.ua/school/460566/", 460566)</f>
        <v>460566</v>
      </c>
      <c r="B7873" s="3" t="s">
        <v>40616</v>
      </c>
      <c r="C7873" s="3" t="s">
        <v>31</v>
      </c>
      <c r="D7873" s="3" t="s">
        <v>60</v>
      </c>
      <c r="E7873" s="4" t="s">
        <v>22</v>
      </c>
      <c r="F7873" s="4" t="s">
        <v>40607</v>
      </c>
      <c r="G7873" s="4" t="s">
        <v>40617</v>
      </c>
      <c r="H7873" s="3" t="s">
        <v>38194</v>
      </c>
      <c r="I7873" s="3" t="s">
        <v>40618</v>
      </c>
      <c r="J7873" s="3" t="s">
        <v>1348</v>
      </c>
      <c r="K7873" s="3" t="s">
        <v>40619</v>
      </c>
      <c r="L7873" s="3"/>
      <c r="M7873" s="4"/>
      <c r="N7873" s="3" t="s">
        <v>37</v>
      </c>
      <c r="O7873" s="3" t="s">
        <v>52</v>
      </c>
      <c r="P7873" s="5">
        <v>1</v>
      </c>
      <c r="Q7873" s="5">
        <v>12</v>
      </c>
      <c r="R7873" s="5">
        <v>1</v>
      </c>
      <c r="S7873" s="5">
        <v>12</v>
      </c>
    </row>
    <row r="7874" spans="1:19" ht="28" x14ac:dyDescent="0.15">
      <c r="A7874" s="2">
        <f>HYPERLINK("https://open-school.uspishnemisto.com.ua/school/460567/", 460567)</f>
        <v>460567</v>
      </c>
      <c r="B7874" s="3" t="s">
        <v>40620</v>
      </c>
      <c r="C7874" s="3" t="s">
        <v>31</v>
      </c>
      <c r="D7874" s="3" t="s">
        <v>32</v>
      </c>
      <c r="E7874" s="4" t="s">
        <v>22</v>
      </c>
      <c r="F7874" s="4" t="s">
        <v>40621</v>
      </c>
      <c r="G7874" s="4" t="s">
        <v>40622</v>
      </c>
      <c r="H7874" s="3" t="s">
        <v>38194</v>
      </c>
      <c r="I7874" s="3" t="s">
        <v>40623</v>
      </c>
      <c r="J7874" s="3" t="s">
        <v>16656</v>
      </c>
      <c r="K7874" s="3" t="s">
        <v>40624</v>
      </c>
      <c r="L7874" s="3"/>
      <c r="M7874" s="4"/>
      <c r="N7874" s="3" t="s">
        <v>37</v>
      </c>
      <c r="O7874" s="3" t="s">
        <v>46</v>
      </c>
      <c r="P7874" s="5">
        <v>30</v>
      </c>
      <c r="Q7874" s="5">
        <v>776</v>
      </c>
      <c r="R7874" s="5">
        <v>31</v>
      </c>
      <c r="S7874" s="5">
        <v>769</v>
      </c>
    </row>
    <row r="7875" spans="1:19" ht="28" x14ac:dyDescent="0.15">
      <c r="A7875" s="2">
        <f>HYPERLINK("https://open-school.uspishnemisto.com.ua/school/460568/", 460568)</f>
        <v>460568</v>
      </c>
      <c r="B7875" s="3" t="s">
        <v>40625</v>
      </c>
      <c r="C7875" s="3" t="s">
        <v>31</v>
      </c>
      <c r="D7875" s="3" t="s">
        <v>32</v>
      </c>
      <c r="E7875" s="4" t="s">
        <v>22</v>
      </c>
      <c r="F7875" s="4" t="s">
        <v>40626</v>
      </c>
      <c r="G7875" s="4" t="s">
        <v>40627</v>
      </c>
      <c r="H7875" s="3" t="s">
        <v>38194</v>
      </c>
      <c r="I7875" s="3" t="s">
        <v>40628</v>
      </c>
      <c r="J7875" s="3" t="s">
        <v>40629</v>
      </c>
      <c r="K7875" s="3" t="s">
        <v>40630</v>
      </c>
      <c r="L7875" s="3" t="s">
        <v>40631</v>
      </c>
      <c r="M7875" s="4"/>
      <c r="N7875" s="3" t="s">
        <v>37</v>
      </c>
      <c r="O7875" s="3" t="s">
        <v>52</v>
      </c>
      <c r="P7875" s="5">
        <v>19</v>
      </c>
      <c r="Q7875" s="5">
        <v>393</v>
      </c>
      <c r="R7875" s="5">
        <v>18</v>
      </c>
      <c r="S7875" s="5">
        <v>391</v>
      </c>
    </row>
    <row r="7876" spans="1:19" ht="28" x14ac:dyDescent="0.15">
      <c r="A7876" s="2">
        <f>HYPERLINK("https://open-school.uspishnemisto.com.ua/school/460569/", 460569)</f>
        <v>460569</v>
      </c>
      <c r="B7876" s="3" t="s">
        <v>40632</v>
      </c>
      <c r="C7876" s="3" t="s">
        <v>31</v>
      </c>
      <c r="D7876" s="3" t="s">
        <v>32</v>
      </c>
      <c r="E7876" s="4" t="s">
        <v>22</v>
      </c>
      <c r="F7876" s="4" t="s">
        <v>40633</v>
      </c>
      <c r="G7876" s="4" t="s">
        <v>40634</v>
      </c>
      <c r="H7876" s="3" t="s">
        <v>38194</v>
      </c>
      <c r="I7876" s="3" t="s">
        <v>40635</v>
      </c>
      <c r="J7876" s="3" t="s">
        <v>8358</v>
      </c>
      <c r="K7876" s="3"/>
      <c r="L7876" s="3"/>
      <c r="M7876" s="4"/>
      <c r="N7876" s="3" t="s">
        <v>37</v>
      </c>
      <c r="O7876" s="3" t="s">
        <v>52</v>
      </c>
      <c r="P7876" s="5">
        <v>26</v>
      </c>
      <c r="Q7876" s="5">
        <v>584</v>
      </c>
      <c r="R7876" s="5">
        <v>22</v>
      </c>
      <c r="S7876" s="5">
        <v>497</v>
      </c>
    </row>
    <row r="7877" spans="1:19" ht="28" x14ac:dyDescent="0.15">
      <c r="A7877" s="2">
        <f>HYPERLINK("https://open-school.uspishnemisto.com.ua/school/460570/", 460570)</f>
        <v>460570</v>
      </c>
      <c r="B7877" s="3" t="s">
        <v>40636</v>
      </c>
      <c r="C7877" s="3" t="s">
        <v>31</v>
      </c>
      <c r="D7877" s="3" t="s">
        <v>175</v>
      </c>
      <c r="E7877" s="4" t="s">
        <v>22</v>
      </c>
      <c r="F7877" s="4" t="s">
        <v>40637</v>
      </c>
      <c r="G7877" s="4" t="s">
        <v>40638</v>
      </c>
      <c r="H7877" s="3" t="s">
        <v>38194</v>
      </c>
      <c r="I7877" s="3" t="s">
        <v>40639</v>
      </c>
      <c r="J7877" s="3" t="s">
        <v>40640</v>
      </c>
      <c r="K7877" s="3" t="s">
        <v>40641</v>
      </c>
      <c r="L7877" s="3"/>
      <c r="M7877" s="4"/>
      <c r="N7877" s="3" t="s">
        <v>37</v>
      </c>
      <c r="O7877" s="3" t="s">
        <v>52</v>
      </c>
      <c r="P7877" s="5">
        <v>7</v>
      </c>
      <c r="Q7877" s="5">
        <v>60</v>
      </c>
      <c r="R7877" s="5">
        <v>7</v>
      </c>
      <c r="S7877" s="5">
        <v>64</v>
      </c>
    </row>
    <row r="7878" spans="1:19" ht="28" x14ac:dyDescent="0.15">
      <c r="A7878" s="2">
        <f>HYPERLINK("https://open-school.uspishnemisto.com.ua/school/460571/", 460571)</f>
        <v>460571</v>
      </c>
      <c r="B7878" s="3" t="s">
        <v>40642</v>
      </c>
      <c r="C7878" s="3" t="s">
        <v>31</v>
      </c>
      <c r="D7878" s="3" t="s">
        <v>32</v>
      </c>
      <c r="E7878" s="4" t="s">
        <v>22</v>
      </c>
      <c r="F7878" s="4" t="s">
        <v>40643</v>
      </c>
      <c r="G7878" s="4" t="s">
        <v>40644</v>
      </c>
      <c r="H7878" s="3" t="s">
        <v>38194</v>
      </c>
      <c r="I7878" s="3" t="s">
        <v>40645</v>
      </c>
      <c r="J7878" s="3" t="s">
        <v>40646</v>
      </c>
      <c r="K7878" s="3"/>
      <c r="L7878" s="3"/>
      <c r="M7878" s="4"/>
      <c r="N7878" s="3" t="s">
        <v>37</v>
      </c>
      <c r="O7878" s="3" t="s">
        <v>52</v>
      </c>
      <c r="P7878" s="5">
        <v>11</v>
      </c>
      <c r="Q7878" s="5">
        <v>185</v>
      </c>
      <c r="R7878" s="5">
        <v>11</v>
      </c>
      <c r="S7878" s="5">
        <v>189</v>
      </c>
    </row>
    <row r="7879" spans="1:19" ht="42" x14ac:dyDescent="0.15">
      <c r="A7879" s="2">
        <f>HYPERLINK("https://open-school.uspishnemisto.com.ua/school/460572/", 460572)</f>
        <v>460572</v>
      </c>
      <c r="B7879" s="3" t="s">
        <v>40647</v>
      </c>
      <c r="C7879" s="3" t="s">
        <v>54</v>
      </c>
      <c r="D7879" s="3" t="s">
        <v>32</v>
      </c>
      <c r="E7879" s="4" t="s">
        <v>22</v>
      </c>
      <c r="F7879" s="4" t="s">
        <v>40648</v>
      </c>
      <c r="G7879" s="4" t="s">
        <v>40649</v>
      </c>
      <c r="H7879" s="3" t="s">
        <v>38194</v>
      </c>
      <c r="I7879" s="3" t="s">
        <v>40650</v>
      </c>
      <c r="J7879" s="3" t="s">
        <v>40651</v>
      </c>
      <c r="K7879" s="3" t="s">
        <v>40652</v>
      </c>
      <c r="L7879" s="3"/>
      <c r="M7879" s="4"/>
      <c r="N7879" s="3" t="s">
        <v>37</v>
      </c>
      <c r="O7879" s="3" t="s">
        <v>52</v>
      </c>
      <c r="P7879" s="5">
        <v>11</v>
      </c>
      <c r="Q7879" s="5">
        <v>126</v>
      </c>
      <c r="R7879" s="5">
        <v>11</v>
      </c>
      <c r="S7879" s="5">
        <v>132</v>
      </c>
    </row>
    <row r="7880" spans="1:19" ht="42" x14ac:dyDescent="0.15">
      <c r="A7880" s="2">
        <f>HYPERLINK("https://open-school.uspishnemisto.com.ua/school/460573/", 460573)</f>
        <v>460573</v>
      </c>
      <c r="B7880" s="3" t="s">
        <v>40653</v>
      </c>
      <c r="C7880" s="3" t="s">
        <v>54</v>
      </c>
      <c r="D7880" s="3" t="s">
        <v>175</v>
      </c>
      <c r="E7880" s="4" t="s">
        <v>22</v>
      </c>
      <c r="F7880" s="4" t="s">
        <v>40654</v>
      </c>
      <c r="G7880" s="4" t="s">
        <v>40655</v>
      </c>
      <c r="H7880" s="3" t="s">
        <v>38194</v>
      </c>
      <c r="I7880" s="3" t="s">
        <v>40656</v>
      </c>
      <c r="J7880" s="3" t="s">
        <v>40657</v>
      </c>
      <c r="K7880" s="3" t="s">
        <v>40658</v>
      </c>
      <c r="L7880" s="3"/>
      <c r="M7880" s="4"/>
      <c r="N7880" s="3" t="s">
        <v>37</v>
      </c>
      <c r="O7880" s="3" t="s">
        <v>46</v>
      </c>
      <c r="P7880" s="5">
        <v>9</v>
      </c>
      <c r="Q7880" s="5">
        <v>88</v>
      </c>
      <c r="R7880" s="5">
        <v>9</v>
      </c>
      <c r="S7880" s="5">
        <v>84</v>
      </c>
    </row>
    <row r="7881" spans="1:19" ht="28" x14ac:dyDescent="0.15">
      <c r="A7881" s="2">
        <f>HYPERLINK("https://open-school.uspishnemisto.com.ua/school/460574/", 460574)</f>
        <v>460574</v>
      </c>
      <c r="B7881" s="3" t="s">
        <v>40659</v>
      </c>
      <c r="C7881" s="3" t="s">
        <v>31</v>
      </c>
      <c r="D7881" s="3" t="s">
        <v>175</v>
      </c>
      <c r="E7881" s="4" t="s">
        <v>22</v>
      </c>
      <c r="F7881" s="4" t="s">
        <v>40660</v>
      </c>
      <c r="G7881" s="4" t="s">
        <v>40661</v>
      </c>
      <c r="H7881" s="3" t="s">
        <v>38194</v>
      </c>
      <c r="I7881" s="3" t="s">
        <v>5409</v>
      </c>
      <c r="J7881" s="3" t="s">
        <v>356</v>
      </c>
      <c r="K7881" s="3" t="s">
        <v>40662</v>
      </c>
      <c r="L7881" s="3"/>
      <c r="M7881" s="4"/>
      <c r="N7881" s="3" t="s">
        <v>37</v>
      </c>
      <c r="O7881" s="3" t="s">
        <v>52</v>
      </c>
      <c r="P7881" s="5">
        <v>7</v>
      </c>
      <c r="Q7881" s="5">
        <v>47</v>
      </c>
      <c r="R7881" s="5">
        <v>7</v>
      </c>
      <c r="S7881" s="5">
        <v>51</v>
      </c>
    </row>
    <row r="7882" spans="1:19" ht="42" x14ac:dyDescent="0.15">
      <c r="A7882" s="2">
        <f>HYPERLINK("https://open-school.uspishnemisto.com.ua/school/460575/", 460575)</f>
        <v>460575</v>
      </c>
      <c r="B7882" s="3" t="s">
        <v>40663</v>
      </c>
      <c r="C7882" s="3" t="s">
        <v>54</v>
      </c>
      <c r="D7882" s="3" t="s">
        <v>32</v>
      </c>
      <c r="E7882" s="4" t="s">
        <v>22</v>
      </c>
      <c r="F7882" s="4" t="s">
        <v>40664</v>
      </c>
      <c r="G7882" s="4" t="s">
        <v>40665</v>
      </c>
      <c r="H7882" s="3" t="s">
        <v>38194</v>
      </c>
      <c r="I7882" s="3" t="s">
        <v>40666</v>
      </c>
      <c r="J7882" s="3" t="s">
        <v>726</v>
      </c>
      <c r="K7882" s="3" t="s">
        <v>40667</v>
      </c>
      <c r="L7882" s="3"/>
      <c r="M7882" s="4"/>
      <c r="N7882" s="3" t="s">
        <v>37</v>
      </c>
      <c r="O7882" s="3" t="s">
        <v>2740</v>
      </c>
      <c r="P7882" s="5">
        <v>11</v>
      </c>
      <c r="Q7882" s="5">
        <v>143</v>
      </c>
      <c r="R7882" s="5">
        <v>11</v>
      </c>
      <c r="S7882" s="5">
        <v>140</v>
      </c>
    </row>
    <row r="7883" spans="1:19" ht="28" x14ac:dyDescent="0.15">
      <c r="A7883" s="2">
        <f>HYPERLINK("https://open-school.uspishnemisto.com.ua/school/460576/", 460576)</f>
        <v>460576</v>
      </c>
      <c r="B7883" s="3" t="s">
        <v>40668</v>
      </c>
      <c r="C7883" s="3" t="s">
        <v>31</v>
      </c>
      <c r="D7883" s="3" t="s">
        <v>60</v>
      </c>
      <c r="E7883" s="4" t="s">
        <v>22</v>
      </c>
      <c r="F7883" s="4"/>
      <c r="G7883" s="4" t="s">
        <v>40669</v>
      </c>
      <c r="H7883" s="3" t="s">
        <v>38194</v>
      </c>
      <c r="I7883" s="3" t="s">
        <v>19793</v>
      </c>
      <c r="J7883" s="3"/>
      <c r="K7883" s="3" t="s">
        <v>40670</v>
      </c>
      <c r="L7883" s="3"/>
      <c r="M7883" s="4"/>
      <c r="N7883" s="3" t="s">
        <v>37</v>
      </c>
      <c r="O7883" s="3" t="s">
        <v>52</v>
      </c>
      <c r="P7883" s="5">
        <v>2</v>
      </c>
      <c r="Q7883" s="5">
        <v>15</v>
      </c>
      <c r="R7883" s="5">
        <v>2</v>
      </c>
      <c r="S7883" s="5">
        <v>17</v>
      </c>
    </row>
    <row r="7884" spans="1:19" ht="28" x14ac:dyDescent="0.15">
      <c r="A7884" s="2">
        <f>HYPERLINK("https://open-school.uspishnemisto.com.ua/school/460577/", 460577)</f>
        <v>460577</v>
      </c>
      <c r="B7884" s="3" t="s">
        <v>40671</v>
      </c>
      <c r="C7884" s="3" t="s">
        <v>31</v>
      </c>
      <c r="D7884" s="3" t="s">
        <v>175</v>
      </c>
      <c r="E7884" s="4" t="s">
        <v>22</v>
      </c>
      <c r="F7884" s="4" t="s">
        <v>40672</v>
      </c>
      <c r="G7884" s="4" t="s">
        <v>40673</v>
      </c>
      <c r="H7884" s="3" t="s">
        <v>38194</v>
      </c>
      <c r="I7884" s="3" t="s">
        <v>40674</v>
      </c>
      <c r="J7884" s="3" t="s">
        <v>2978</v>
      </c>
      <c r="K7884" s="3" t="s">
        <v>40675</v>
      </c>
      <c r="L7884" s="3"/>
      <c r="M7884" s="4"/>
      <c r="N7884" s="3" t="s">
        <v>37</v>
      </c>
      <c r="O7884" s="3" t="s">
        <v>46</v>
      </c>
      <c r="P7884" s="5">
        <v>0</v>
      </c>
      <c r="Q7884" s="5">
        <v>0</v>
      </c>
      <c r="R7884" s="5">
        <v>7</v>
      </c>
      <c r="S7884" s="5">
        <v>51</v>
      </c>
    </row>
    <row r="7885" spans="1:19" ht="42" x14ac:dyDescent="0.15">
      <c r="A7885" s="2">
        <f>HYPERLINK("https://open-school.uspishnemisto.com.ua/school/460578/", 460578)</f>
        <v>460578</v>
      </c>
      <c r="B7885" s="3" t="s">
        <v>40676</v>
      </c>
      <c r="C7885" s="3" t="s">
        <v>54</v>
      </c>
      <c r="D7885" s="3" t="s">
        <v>175</v>
      </c>
      <c r="E7885" s="4" t="s">
        <v>22</v>
      </c>
      <c r="F7885" s="4" t="s">
        <v>40677</v>
      </c>
      <c r="G7885" s="4" t="s">
        <v>40678</v>
      </c>
      <c r="H7885" s="3" t="s">
        <v>38194</v>
      </c>
      <c r="I7885" s="3" t="s">
        <v>40679</v>
      </c>
      <c r="J7885" s="3" t="s">
        <v>466</v>
      </c>
      <c r="K7885" s="3" t="s">
        <v>40680</v>
      </c>
      <c r="L7885" s="3"/>
      <c r="M7885" s="4"/>
      <c r="N7885" s="3" t="s">
        <v>37</v>
      </c>
      <c r="O7885" s="3" t="s">
        <v>52</v>
      </c>
      <c r="P7885" s="5">
        <v>9</v>
      </c>
      <c r="Q7885" s="5">
        <v>67</v>
      </c>
      <c r="R7885" s="5">
        <v>9</v>
      </c>
      <c r="S7885" s="5">
        <v>67</v>
      </c>
    </row>
    <row r="7886" spans="1:19" ht="28" x14ac:dyDescent="0.15">
      <c r="A7886" s="2">
        <f>HYPERLINK("https://open-school.uspishnemisto.com.ua/school/460579/", 460579)</f>
        <v>460579</v>
      </c>
      <c r="B7886" s="3" t="s">
        <v>40681</v>
      </c>
      <c r="C7886" s="3" t="s">
        <v>54</v>
      </c>
      <c r="D7886" s="3" t="s">
        <v>32</v>
      </c>
      <c r="E7886" s="4" t="s">
        <v>22</v>
      </c>
      <c r="F7886" s="4" t="s">
        <v>40682</v>
      </c>
      <c r="G7886" s="4" t="s">
        <v>40683</v>
      </c>
      <c r="H7886" s="3" t="s">
        <v>38194</v>
      </c>
      <c r="I7886" s="3" t="s">
        <v>40684</v>
      </c>
      <c r="J7886" s="3" t="s">
        <v>6364</v>
      </c>
      <c r="K7886" s="3" t="s">
        <v>40685</v>
      </c>
      <c r="L7886" s="3"/>
      <c r="M7886" s="4"/>
      <c r="N7886" s="3" t="s">
        <v>37</v>
      </c>
      <c r="O7886" s="3" t="s">
        <v>46</v>
      </c>
      <c r="P7886" s="5">
        <v>12</v>
      </c>
      <c r="Q7886" s="5">
        <v>206</v>
      </c>
      <c r="R7886" s="5">
        <v>12</v>
      </c>
      <c r="S7886" s="5">
        <v>207</v>
      </c>
    </row>
    <row r="7887" spans="1:19" ht="42" x14ac:dyDescent="0.15">
      <c r="A7887" s="2">
        <f>HYPERLINK("https://open-school.uspishnemisto.com.ua/school/460580/", 460580)</f>
        <v>460580</v>
      </c>
      <c r="B7887" s="3" t="s">
        <v>40686</v>
      </c>
      <c r="C7887" s="3" t="s">
        <v>54</v>
      </c>
      <c r="D7887" s="3" t="s">
        <v>175</v>
      </c>
      <c r="E7887" s="4" t="s">
        <v>22</v>
      </c>
      <c r="F7887" s="4" t="s">
        <v>40687</v>
      </c>
      <c r="G7887" s="4" t="s">
        <v>40688</v>
      </c>
      <c r="H7887" s="3" t="s">
        <v>38194</v>
      </c>
      <c r="I7887" s="3" t="s">
        <v>40689</v>
      </c>
      <c r="J7887" s="3" t="s">
        <v>39768</v>
      </c>
      <c r="K7887" s="3" t="s">
        <v>40690</v>
      </c>
      <c r="L7887" s="3"/>
      <c r="M7887" s="4"/>
      <c r="N7887" s="3" t="s">
        <v>37</v>
      </c>
      <c r="O7887" s="3" t="s">
        <v>46</v>
      </c>
      <c r="P7887" s="5">
        <v>9</v>
      </c>
      <c r="Q7887" s="5">
        <v>135</v>
      </c>
      <c r="R7887" s="5">
        <v>9</v>
      </c>
      <c r="S7887" s="5">
        <v>127</v>
      </c>
    </row>
    <row r="7888" spans="1:19" ht="28" x14ac:dyDescent="0.15">
      <c r="A7888" s="2">
        <f>HYPERLINK("https://open-school.uspishnemisto.com.ua/school/460581/", 460581)</f>
        <v>460581</v>
      </c>
      <c r="B7888" s="3" t="s">
        <v>40691</v>
      </c>
      <c r="C7888" s="3" t="s">
        <v>54</v>
      </c>
      <c r="D7888" s="3" t="s">
        <v>32</v>
      </c>
      <c r="E7888" s="4" t="s">
        <v>22</v>
      </c>
      <c r="F7888" s="4" t="s">
        <v>40692</v>
      </c>
      <c r="G7888" s="4" t="s">
        <v>40693</v>
      </c>
      <c r="H7888" s="3" t="s">
        <v>38194</v>
      </c>
      <c r="I7888" s="3" t="s">
        <v>40694</v>
      </c>
      <c r="J7888" s="3" t="s">
        <v>40695</v>
      </c>
      <c r="K7888" s="3" t="s">
        <v>40696</v>
      </c>
      <c r="L7888" s="3"/>
      <c r="M7888" s="4"/>
      <c r="N7888" s="3" t="s">
        <v>37</v>
      </c>
      <c r="O7888" s="3" t="s">
        <v>52</v>
      </c>
      <c r="P7888" s="5">
        <v>11</v>
      </c>
      <c r="Q7888" s="5">
        <v>198</v>
      </c>
      <c r="R7888" s="5">
        <v>11</v>
      </c>
      <c r="S7888" s="5">
        <v>193</v>
      </c>
    </row>
    <row r="7889" spans="1:19" ht="28" x14ac:dyDescent="0.15">
      <c r="A7889" s="2">
        <f>HYPERLINK("https://open-school.uspishnemisto.com.ua/school/460582/", 460582)</f>
        <v>460582</v>
      </c>
      <c r="B7889" s="3" t="s">
        <v>40697</v>
      </c>
      <c r="C7889" s="3" t="s">
        <v>31</v>
      </c>
      <c r="D7889" s="3" t="s">
        <v>32</v>
      </c>
      <c r="E7889" s="4" t="s">
        <v>22</v>
      </c>
      <c r="F7889" s="4" t="s">
        <v>40698</v>
      </c>
      <c r="G7889" s="4" t="s">
        <v>40699</v>
      </c>
      <c r="H7889" s="3" t="s">
        <v>38194</v>
      </c>
      <c r="I7889" s="3" t="s">
        <v>40700</v>
      </c>
      <c r="J7889" s="3" t="s">
        <v>40701</v>
      </c>
      <c r="K7889" s="3" t="s">
        <v>40702</v>
      </c>
      <c r="L7889" s="3" t="s">
        <v>40703</v>
      </c>
      <c r="M7889" s="4"/>
      <c r="N7889" s="3" t="s">
        <v>37</v>
      </c>
      <c r="O7889" s="3" t="s">
        <v>52</v>
      </c>
      <c r="P7889" s="5">
        <v>32</v>
      </c>
      <c r="Q7889" s="5">
        <v>476</v>
      </c>
      <c r="R7889" s="5">
        <v>19</v>
      </c>
      <c r="S7889" s="5">
        <v>394</v>
      </c>
    </row>
    <row r="7890" spans="1:19" ht="56" x14ac:dyDescent="0.15">
      <c r="A7890" s="2">
        <f>HYPERLINK("https://open-school.uspishnemisto.com.ua/school/460583/", 460583)</f>
        <v>460583</v>
      </c>
      <c r="B7890" s="3" t="s">
        <v>40704</v>
      </c>
      <c r="C7890" s="3" t="s">
        <v>54</v>
      </c>
      <c r="D7890" s="3" t="s">
        <v>175</v>
      </c>
      <c r="E7890" s="4" t="s">
        <v>22</v>
      </c>
      <c r="F7890" s="4" t="s">
        <v>40698</v>
      </c>
      <c r="G7890" s="4" t="s">
        <v>40699</v>
      </c>
      <c r="H7890" s="3" t="s">
        <v>38194</v>
      </c>
      <c r="I7890" s="3" t="s">
        <v>40700</v>
      </c>
      <c r="J7890" s="3" t="s">
        <v>40705</v>
      </c>
      <c r="K7890" s="3" t="s">
        <v>40706</v>
      </c>
      <c r="L7890" s="3"/>
      <c r="M7890" s="4"/>
      <c r="N7890" s="3" t="s">
        <v>37</v>
      </c>
      <c r="O7890" s="3" t="s">
        <v>52</v>
      </c>
      <c r="P7890" s="5">
        <v>9</v>
      </c>
      <c r="Q7890" s="5">
        <v>118</v>
      </c>
      <c r="R7890" s="5">
        <v>9</v>
      </c>
      <c r="S7890" s="5">
        <v>112</v>
      </c>
    </row>
    <row r="7891" spans="1:19" ht="28" x14ac:dyDescent="0.15">
      <c r="A7891" s="2">
        <f>HYPERLINK("https://open-school.uspishnemisto.com.ua/school/460584/", 460584)</f>
        <v>460584</v>
      </c>
      <c r="B7891" s="3" t="s">
        <v>40707</v>
      </c>
      <c r="C7891" s="3" t="s">
        <v>31</v>
      </c>
      <c r="D7891" s="3" t="s">
        <v>60</v>
      </c>
      <c r="E7891" s="4" t="s">
        <v>22</v>
      </c>
      <c r="F7891" s="4" t="s">
        <v>40607</v>
      </c>
      <c r="G7891" s="4" t="s">
        <v>40708</v>
      </c>
      <c r="H7891" s="3" t="s">
        <v>38194</v>
      </c>
      <c r="I7891" s="3" t="s">
        <v>40709</v>
      </c>
      <c r="J7891" s="3" t="s">
        <v>40710</v>
      </c>
      <c r="K7891" s="3" t="s">
        <v>40711</v>
      </c>
      <c r="L7891" s="3"/>
      <c r="M7891" s="4"/>
      <c r="N7891" s="3" t="s">
        <v>37</v>
      </c>
      <c r="O7891" s="3" t="s">
        <v>52</v>
      </c>
      <c r="P7891" s="5">
        <v>0</v>
      </c>
      <c r="Q7891" s="5">
        <v>0</v>
      </c>
      <c r="R7891" s="5">
        <v>4</v>
      </c>
      <c r="S7891" s="5">
        <v>26</v>
      </c>
    </row>
    <row r="7892" spans="1:19" ht="28" x14ac:dyDescent="0.15">
      <c r="A7892" s="2">
        <f>HYPERLINK("https://open-school.uspishnemisto.com.ua/school/460585/", 460585)</f>
        <v>460585</v>
      </c>
      <c r="B7892" s="3" t="s">
        <v>40712</v>
      </c>
      <c r="C7892" s="3" t="s">
        <v>31</v>
      </c>
      <c r="D7892" s="3" t="s">
        <v>175</v>
      </c>
      <c r="E7892" s="4" t="s">
        <v>22</v>
      </c>
      <c r="F7892" s="4" t="s">
        <v>40698</v>
      </c>
      <c r="G7892" s="4" t="s">
        <v>40713</v>
      </c>
      <c r="H7892" s="3" t="s">
        <v>38194</v>
      </c>
      <c r="I7892" s="3" t="s">
        <v>40714</v>
      </c>
      <c r="J7892" s="3" t="s">
        <v>40715</v>
      </c>
      <c r="K7892" s="3"/>
      <c r="L7892" s="3"/>
      <c r="M7892" s="4"/>
      <c r="N7892" s="3" t="s">
        <v>37</v>
      </c>
      <c r="O7892" s="3" t="s">
        <v>46</v>
      </c>
      <c r="P7892" s="5">
        <v>9</v>
      </c>
      <c r="Q7892" s="5">
        <v>80</v>
      </c>
      <c r="R7892" s="5">
        <v>9</v>
      </c>
      <c r="S7892" s="5">
        <v>74</v>
      </c>
    </row>
    <row r="7893" spans="1:19" ht="42" x14ac:dyDescent="0.15">
      <c r="A7893" s="2">
        <f>HYPERLINK("https://open-school.uspishnemisto.com.ua/school/460586/", 460586)</f>
        <v>460586</v>
      </c>
      <c r="B7893" s="3" t="s">
        <v>40716</v>
      </c>
      <c r="C7893" s="3" t="s">
        <v>54</v>
      </c>
      <c r="D7893" s="3" t="s">
        <v>175</v>
      </c>
      <c r="E7893" s="4" t="s">
        <v>22</v>
      </c>
      <c r="F7893" s="4" t="s">
        <v>40717</v>
      </c>
      <c r="G7893" s="4" t="s">
        <v>40718</v>
      </c>
      <c r="H7893" s="3" t="s">
        <v>38194</v>
      </c>
      <c r="I7893" s="3" t="s">
        <v>40719</v>
      </c>
      <c r="J7893" s="3" t="s">
        <v>40720</v>
      </c>
      <c r="K7893" s="3"/>
      <c r="L7893" s="3"/>
      <c r="M7893" s="4"/>
      <c r="N7893" s="3" t="s">
        <v>37</v>
      </c>
      <c r="O7893" s="3" t="s">
        <v>46</v>
      </c>
      <c r="P7893" s="5">
        <v>6</v>
      </c>
      <c r="Q7893" s="5">
        <v>51</v>
      </c>
      <c r="R7893" s="5">
        <v>6</v>
      </c>
      <c r="S7893" s="5">
        <v>55</v>
      </c>
    </row>
    <row r="7894" spans="1:19" ht="42" x14ac:dyDescent="0.15">
      <c r="A7894" s="2">
        <f>HYPERLINK("https://open-school.uspishnemisto.com.ua/school/460587/", 460587)</f>
        <v>460587</v>
      </c>
      <c r="B7894" s="3" t="s">
        <v>40721</v>
      </c>
      <c r="C7894" s="3" t="s">
        <v>54</v>
      </c>
      <c r="D7894" s="3" t="s">
        <v>175</v>
      </c>
      <c r="E7894" s="4" t="s">
        <v>22</v>
      </c>
      <c r="F7894" s="4" t="s">
        <v>40722</v>
      </c>
      <c r="G7894" s="4" t="s">
        <v>40723</v>
      </c>
      <c r="H7894" s="3" t="s">
        <v>38194</v>
      </c>
      <c r="I7894" s="3" t="s">
        <v>40724</v>
      </c>
      <c r="J7894" s="3" t="s">
        <v>1348</v>
      </c>
      <c r="K7894" s="3" t="s">
        <v>40725</v>
      </c>
      <c r="L7894" s="3"/>
      <c r="M7894" s="4"/>
      <c r="N7894" s="3" t="s">
        <v>37</v>
      </c>
      <c r="O7894" s="3" t="s">
        <v>52</v>
      </c>
      <c r="P7894" s="5">
        <v>8</v>
      </c>
      <c r="Q7894" s="5">
        <v>56</v>
      </c>
      <c r="R7894" s="5">
        <v>8</v>
      </c>
      <c r="S7894" s="5">
        <v>58</v>
      </c>
    </row>
    <row r="7895" spans="1:19" ht="28" x14ac:dyDescent="0.15">
      <c r="A7895" s="2">
        <f>HYPERLINK("https://open-school.uspishnemisto.com.ua/school/460588/", 460588)</f>
        <v>460588</v>
      </c>
      <c r="B7895" s="3" t="s">
        <v>40726</v>
      </c>
      <c r="C7895" s="3" t="s">
        <v>31</v>
      </c>
      <c r="D7895" s="3" t="s">
        <v>175</v>
      </c>
      <c r="E7895" s="4" t="s">
        <v>22</v>
      </c>
      <c r="F7895" s="4" t="s">
        <v>40727</v>
      </c>
      <c r="G7895" s="4" t="s">
        <v>40728</v>
      </c>
      <c r="H7895" s="3" t="s">
        <v>38194</v>
      </c>
      <c r="I7895" s="3" t="s">
        <v>40729</v>
      </c>
      <c r="J7895" s="3" t="s">
        <v>40730</v>
      </c>
      <c r="K7895" s="3"/>
      <c r="L7895" s="3"/>
      <c r="M7895" s="4"/>
      <c r="N7895" s="3" t="s">
        <v>37</v>
      </c>
      <c r="O7895" s="3" t="s">
        <v>52</v>
      </c>
      <c r="P7895" s="5">
        <v>9</v>
      </c>
      <c r="Q7895" s="5">
        <v>90</v>
      </c>
      <c r="R7895" s="5">
        <v>9</v>
      </c>
      <c r="S7895" s="5">
        <v>89</v>
      </c>
    </row>
    <row r="7896" spans="1:19" ht="28" x14ac:dyDescent="0.15">
      <c r="A7896" s="2">
        <f>HYPERLINK("https://open-school.uspishnemisto.com.ua/school/460589/", 460589)</f>
        <v>460589</v>
      </c>
      <c r="B7896" s="3" t="s">
        <v>40731</v>
      </c>
      <c r="C7896" s="3" t="s">
        <v>54</v>
      </c>
      <c r="D7896" s="3" t="s">
        <v>175</v>
      </c>
      <c r="E7896" s="4" t="s">
        <v>22</v>
      </c>
      <c r="F7896" s="4" t="s">
        <v>40732</v>
      </c>
      <c r="G7896" s="4" t="s">
        <v>40733</v>
      </c>
      <c r="H7896" s="3" t="s">
        <v>38194</v>
      </c>
      <c r="I7896" s="3" t="s">
        <v>40734</v>
      </c>
      <c r="J7896" s="3" t="s">
        <v>2795</v>
      </c>
      <c r="K7896" s="3" t="s">
        <v>40735</v>
      </c>
      <c r="L7896" s="3"/>
      <c r="M7896" s="4"/>
      <c r="N7896" s="3" t="s">
        <v>37</v>
      </c>
      <c r="O7896" s="3" t="s">
        <v>52</v>
      </c>
      <c r="P7896" s="5">
        <v>8</v>
      </c>
      <c r="Q7896" s="5">
        <v>50</v>
      </c>
      <c r="R7896" s="5">
        <v>6</v>
      </c>
      <c r="S7896" s="5">
        <v>45</v>
      </c>
    </row>
    <row r="7897" spans="1:19" ht="28" x14ac:dyDescent="0.15">
      <c r="A7897" s="2">
        <f>HYPERLINK("https://open-school.uspishnemisto.com.ua/school/460590/", 460590)</f>
        <v>460590</v>
      </c>
      <c r="B7897" s="3" t="s">
        <v>40736</v>
      </c>
      <c r="C7897" s="3" t="s">
        <v>31</v>
      </c>
      <c r="D7897" s="3" t="s">
        <v>32</v>
      </c>
      <c r="E7897" s="4" t="s">
        <v>22</v>
      </c>
      <c r="F7897" s="4" t="s">
        <v>40626</v>
      </c>
      <c r="G7897" s="4" t="s">
        <v>40737</v>
      </c>
      <c r="H7897" s="3" t="s">
        <v>38194</v>
      </c>
      <c r="I7897" s="3" t="s">
        <v>40738</v>
      </c>
      <c r="J7897" s="3" t="s">
        <v>40739</v>
      </c>
      <c r="K7897" s="3"/>
      <c r="L7897" s="3"/>
      <c r="M7897" s="4"/>
      <c r="N7897" s="3" t="s">
        <v>37</v>
      </c>
      <c r="O7897" s="3" t="s">
        <v>46</v>
      </c>
      <c r="P7897" s="5">
        <v>12</v>
      </c>
      <c r="Q7897" s="5">
        <v>270</v>
      </c>
      <c r="R7897" s="5">
        <v>11</v>
      </c>
      <c r="S7897" s="5">
        <v>261</v>
      </c>
    </row>
    <row r="7898" spans="1:19" ht="28" x14ac:dyDescent="0.15">
      <c r="A7898" s="2">
        <f>HYPERLINK("https://open-school.uspishnemisto.com.ua/school/460591/", 460591)</f>
        <v>460591</v>
      </c>
      <c r="B7898" s="3" t="s">
        <v>40740</v>
      </c>
      <c r="C7898" s="3" t="s">
        <v>31</v>
      </c>
      <c r="D7898" s="3" t="s">
        <v>60</v>
      </c>
      <c r="E7898" s="4" t="s">
        <v>22</v>
      </c>
      <c r="F7898" s="4" t="s">
        <v>40607</v>
      </c>
      <c r="G7898" s="4" t="s">
        <v>40741</v>
      </c>
      <c r="H7898" s="3" t="s">
        <v>38194</v>
      </c>
      <c r="I7898" s="3" t="s">
        <v>40742</v>
      </c>
      <c r="J7898" s="3" t="s">
        <v>40743</v>
      </c>
      <c r="K7898" s="3" t="s">
        <v>40744</v>
      </c>
      <c r="L7898" s="3"/>
      <c r="M7898" s="4"/>
      <c r="N7898" s="3" t="s">
        <v>37</v>
      </c>
      <c r="O7898" s="3" t="s">
        <v>52</v>
      </c>
      <c r="P7898" s="5">
        <v>1</v>
      </c>
      <c r="Q7898" s="5">
        <v>14</v>
      </c>
      <c r="R7898" s="5">
        <v>1</v>
      </c>
      <c r="S7898" s="5">
        <v>14</v>
      </c>
    </row>
    <row r="7899" spans="1:19" ht="28" x14ac:dyDescent="0.15">
      <c r="A7899" s="2">
        <f>HYPERLINK("https://open-school.uspishnemisto.com.ua/school/460592/", 460592)</f>
        <v>460592</v>
      </c>
      <c r="B7899" s="3" t="s">
        <v>40745</v>
      </c>
      <c r="C7899" s="3" t="s">
        <v>31</v>
      </c>
      <c r="D7899" s="3" t="s">
        <v>175</v>
      </c>
      <c r="E7899" s="4" t="s">
        <v>22</v>
      </c>
      <c r="F7899" s="4" t="s">
        <v>40746</v>
      </c>
      <c r="G7899" s="4" t="s">
        <v>40747</v>
      </c>
      <c r="H7899" s="3" t="s">
        <v>38194</v>
      </c>
      <c r="I7899" s="3" t="s">
        <v>30452</v>
      </c>
      <c r="J7899" s="3" t="s">
        <v>40748</v>
      </c>
      <c r="K7899" s="3"/>
      <c r="L7899" s="3"/>
      <c r="M7899" s="4"/>
      <c r="N7899" s="3" t="s">
        <v>37</v>
      </c>
      <c r="O7899" s="3" t="s">
        <v>52</v>
      </c>
      <c r="P7899" s="5">
        <v>6</v>
      </c>
      <c r="Q7899" s="5">
        <v>43</v>
      </c>
      <c r="R7899" s="5">
        <v>4</v>
      </c>
      <c r="S7899" s="5">
        <v>41</v>
      </c>
    </row>
    <row r="7900" spans="1:19" ht="28" x14ac:dyDescent="0.15">
      <c r="A7900" s="2">
        <f>HYPERLINK("https://open-school.uspishnemisto.com.ua/school/460593/", 460593)</f>
        <v>460593</v>
      </c>
      <c r="B7900" s="3" t="s">
        <v>40749</v>
      </c>
      <c r="C7900" s="3" t="s">
        <v>31</v>
      </c>
      <c r="D7900" s="3" t="s">
        <v>32</v>
      </c>
      <c r="E7900" s="4" t="s">
        <v>22</v>
      </c>
      <c r="F7900" s="4" t="s">
        <v>40750</v>
      </c>
      <c r="G7900" s="4" t="s">
        <v>40751</v>
      </c>
      <c r="H7900" s="3" t="s">
        <v>38194</v>
      </c>
      <c r="I7900" s="3" t="s">
        <v>40752</v>
      </c>
      <c r="J7900" s="3" t="s">
        <v>4550</v>
      </c>
      <c r="K7900" s="3" t="s">
        <v>40753</v>
      </c>
      <c r="L7900" s="3"/>
      <c r="M7900" s="4"/>
      <c r="N7900" s="3" t="s">
        <v>37</v>
      </c>
      <c r="O7900" s="3" t="s">
        <v>46</v>
      </c>
      <c r="P7900" s="5">
        <v>11</v>
      </c>
      <c r="Q7900" s="5">
        <v>212</v>
      </c>
      <c r="R7900" s="5">
        <v>11</v>
      </c>
      <c r="S7900" s="5">
        <v>213</v>
      </c>
    </row>
    <row r="7901" spans="1:19" ht="28" x14ac:dyDescent="0.15">
      <c r="A7901" s="2">
        <f>HYPERLINK("https://open-school.uspishnemisto.com.ua/school/460594/", 460594)</f>
        <v>460594</v>
      </c>
      <c r="B7901" s="3" t="s">
        <v>40754</v>
      </c>
      <c r="C7901" s="3" t="s">
        <v>31</v>
      </c>
      <c r="D7901" s="3" t="s">
        <v>60</v>
      </c>
      <c r="E7901" s="4" t="s">
        <v>22</v>
      </c>
      <c r="F7901" s="4" t="s">
        <v>40633</v>
      </c>
      <c r="G7901" s="4" t="s">
        <v>40755</v>
      </c>
      <c r="H7901" s="3" t="s">
        <v>38194</v>
      </c>
      <c r="I7901" s="3" t="s">
        <v>40756</v>
      </c>
      <c r="J7901" s="3" t="s">
        <v>40757</v>
      </c>
      <c r="K7901" s="3" t="s">
        <v>40758</v>
      </c>
      <c r="L7901" s="3"/>
      <c r="M7901" s="4"/>
      <c r="N7901" s="3" t="s">
        <v>37</v>
      </c>
      <c r="O7901" s="3" t="s">
        <v>52</v>
      </c>
      <c r="P7901" s="5">
        <v>0</v>
      </c>
      <c r="Q7901" s="5">
        <v>0</v>
      </c>
      <c r="R7901" s="5">
        <v>4</v>
      </c>
      <c r="S7901" s="5">
        <v>67</v>
      </c>
    </row>
    <row r="7902" spans="1:19" ht="42" x14ac:dyDescent="0.15">
      <c r="A7902" s="2">
        <f>HYPERLINK("https://open-school.uspishnemisto.com.ua/school/460595/", 460595)</f>
        <v>460595</v>
      </c>
      <c r="B7902" s="3" t="s">
        <v>40759</v>
      </c>
      <c r="C7902" s="3" t="s">
        <v>54</v>
      </c>
      <c r="D7902" s="3" t="s">
        <v>175</v>
      </c>
      <c r="E7902" s="4" t="s">
        <v>22</v>
      </c>
      <c r="F7902" s="4" t="s">
        <v>40760</v>
      </c>
      <c r="G7902" s="4" t="s">
        <v>40761</v>
      </c>
      <c r="H7902" s="3" t="s">
        <v>38194</v>
      </c>
      <c r="I7902" s="3" t="s">
        <v>40762</v>
      </c>
      <c r="J7902" s="3" t="s">
        <v>466</v>
      </c>
      <c r="K7902" s="3" t="s">
        <v>40763</v>
      </c>
      <c r="L7902" s="3"/>
      <c r="M7902" s="4"/>
      <c r="N7902" s="3" t="s">
        <v>37</v>
      </c>
      <c r="O7902" s="3" t="s">
        <v>2740</v>
      </c>
      <c r="P7902" s="5">
        <v>7</v>
      </c>
      <c r="Q7902" s="5">
        <v>66</v>
      </c>
      <c r="R7902" s="5">
        <v>8</v>
      </c>
      <c r="S7902" s="5">
        <v>73</v>
      </c>
    </row>
    <row r="7903" spans="1:19" ht="28" x14ac:dyDescent="0.15">
      <c r="A7903" s="2">
        <f>HYPERLINK("https://open-school.uspishnemisto.com.ua/school/460596/", 460596)</f>
        <v>460596</v>
      </c>
      <c r="B7903" s="3" t="s">
        <v>40764</v>
      </c>
      <c r="C7903" s="3" t="s">
        <v>31</v>
      </c>
      <c r="D7903" s="3" t="s">
        <v>60</v>
      </c>
      <c r="E7903" s="4" t="s">
        <v>22</v>
      </c>
      <c r="F7903" s="4" t="s">
        <v>40607</v>
      </c>
      <c r="G7903" s="4" t="s">
        <v>40765</v>
      </c>
      <c r="H7903" s="3" t="s">
        <v>38194</v>
      </c>
      <c r="I7903" s="3" t="s">
        <v>40766</v>
      </c>
      <c r="J7903" s="3" t="s">
        <v>40767</v>
      </c>
      <c r="K7903" s="3" t="s">
        <v>40768</v>
      </c>
      <c r="L7903" s="3"/>
      <c r="M7903" s="4"/>
      <c r="N7903" s="3" t="s">
        <v>37</v>
      </c>
      <c r="O7903" s="3" t="s">
        <v>52</v>
      </c>
      <c r="P7903" s="5">
        <v>0</v>
      </c>
      <c r="Q7903" s="5">
        <v>0</v>
      </c>
      <c r="R7903" s="5">
        <v>0</v>
      </c>
      <c r="S7903" s="5">
        <v>3</v>
      </c>
    </row>
    <row r="7904" spans="1:19" ht="42" x14ac:dyDescent="0.15">
      <c r="A7904" s="2">
        <f>HYPERLINK("https://open-school.uspishnemisto.com.ua/school/460597/", 460597)</f>
        <v>460597</v>
      </c>
      <c r="B7904" s="3" t="s">
        <v>40769</v>
      </c>
      <c r="C7904" s="3" t="s">
        <v>31</v>
      </c>
      <c r="D7904" s="3" t="s">
        <v>175</v>
      </c>
      <c r="E7904" s="4" t="s">
        <v>22</v>
      </c>
      <c r="F7904" s="4" t="s">
        <v>40770</v>
      </c>
      <c r="G7904" s="4" t="s">
        <v>40771</v>
      </c>
      <c r="H7904" s="3" t="s">
        <v>38194</v>
      </c>
      <c r="I7904" s="3" t="s">
        <v>40772</v>
      </c>
      <c r="J7904" s="3" t="s">
        <v>40773</v>
      </c>
      <c r="K7904" s="3" t="s">
        <v>40774</v>
      </c>
      <c r="L7904" s="3"/>
      <c r="M7904" s="4"/>
      <c r="N7904" s="3" t="s">
        <v>37</v>
      </c>
      <c r="O7904" s="3" t="s">
        <v>46</v>
      </c>
      <c r="P7904" s="5">
        <v>9</v>
      </c>
      <c r="Q7904" s="5">
        <v>94</v>
      </c>
      <c r="R7904" s="5">
        <v>8</v>
      </c>
      <c r="S7904" s="5">
        <v>89</v>
      </c>
    </row>
    <row r="7905" spans="1:19" ht="42" x14ac:dyDescent="0.15">
      <c r="A7905" s="2">
        <f>HYPERLINK("https://open-school.uspishnemisto.com.ua/school/460598/", 460598)</f>
        <v>460598</v>
      </c>
      <c r="B7905" s="3" t="s">
        <v>40775</v>
      </c>
      <c r="C7905" s="3" t="s">
        <v>54</v>
      </c>
      <c r="D7905" s="3" t="s">
        <v>175</v>
      </c>
      <c r="E7905" s="4" t="s">
        <v>22</v>
      </c>
      <c r="F7905" s="4" t="s">
        <v>40776</v>
      </c>
      <c r="G7905" s="4" t="s">
        <v>40777</v>
      </c>
      <c r="H7905" s="3" t="s">
        <v>38194</v>
      </c>
      <c r="I7905" s="3" t="s">
        <v>40778</v>
      </c>
      <c r="J7905" s="3" t="s">
        <v>40779</v>
      </c>
      <c r="K7905" s="3" t="s">
        <v>40780</v>
      </c>
      <c r="L7905" s="3"/>
      <c r="M7905" s="4"/>
      <c r="N7905" s="3" t="s">
        <v>37</v>
      </c>
      <c r="O7905" s="3" t="s">
        <v>52</v>
      </c>
      <c r="P7905" s="5">
        <v>2</v>
      </c>
      <c r="Q7905" s="5">
        <v>33</v>
      </c>
      <c r="R7905" s="5">
        <v>2</v>
      </c>
      <c r="S7905" s="5">
        <v>32</v>
      </c>
    </row>
    <row r="7906" spans="1:19" ht="28" x14ac:dyDescent="0.15">
      <c r="A7906" s="2">
        <f>HYPERLINK("https://open-school.uspishnemisto.com.ua/school/460599/", 460599)</f>
        <v>460599</v>
      </c>
      <c r="B7906" s="3" t="s">
        <v>40781</v>
      </c>
      <c r="C7906" s="3" t="s">
        <v>31</v>
      </c>
      <c r="D7906" s="3" t="s">
        <v>60</v>
      </c>
      <c r="E7906" s="4" t="s">
        <v>22</v>
      </c>
      <c r="F7906" s="4" t="s">
        <v>40607</v>
      </c>
      <c r="G7906" s="4" t="s">
        <v>40782</v>
      </c>
      <c r="H7906" s="3" t="s">
        <v>38194</v>
      </c>
      <c r="I7906" s="3" t="s">
        <v>28743</v>
      </c>
      <c r="J7906" s="3" t="s">
        <v>6077</v>
      </c>
      <c r="K7906" s="3" t="s">
        <v>40783</v>
      </c>
      <c r="L7906" s="3"/>
      <c r="M7906" s="4"/>
      <c r="N7906" s="3" t="s">
        <v>37</v>
      </c>
      <c r="O7906" s="3" t="s">
        <v>52</v>
      </c>
      <c r="P7906" s="5">
        <v>1</v>
      </c>
      <c r="Q7906" s="5">
        <v>9</v>
      </c>
      <c r="R7906" s="5">
        <v>0</v>
      </c>
      <c r="S7906" s="5">
        <v>5</v>
      </c>
    </row>
    <row r="7907" spans="1:19" ht="28" x14ac:dyDescent="0.15">
      <c r="A7907" s="2">
        <f>HYPERLINK("https://open-school.uspishnemisto.com.ua/school/460600/", 460600)</f>
        <v>460600</v>
      </c>
      <c r="B7907" s="3" t="s">
        <v>40784</v>
      </c>
      <c r="C7907" s="3" t="s">
        <v>31</v>
      </c>
      <c r="D7907" s="3" t="s">
        <v>32</v>
      </c>
      <c r="E7907" s="4" t="s">
        <v>22</v>
      </c>
      <c r="F7907" s="4" t="s">
        <v>40785</v>
      </c>
      <c r="G7907" s="4" t="s">
        <v>40786</v>
      </c>
      <c r="H7907" s="3" t="s">
        <v>38194</v>
      </c>
      <c r="I7907" s="3" t="s">
        <v>40787</v>
      </c>
      <c r="J7907" s="3" t="s">
        <v>40788</v>
      </c>
      <c r="K7907" s="3" t="s">
        <v>40789</v>
      </c>
      <c r="L7907" s="3"/>
      <c r="M7907" s="4"/>
      <c r="N7907" s="3" t="s">
        <v>37</v>
      </c>
      <c r="O7907" s="3" t="s">
        <v>52</v>
      </c>
      <c r="P7907" s="5">
        <v>27</v>
      </c>
      <c r="Q7907" s="5">
        <v>631</v>
      </c>
      <c r="R7907" s="5">
        <v>27</v>
      </c>
      <c r="S7907" s="5">
        <v>629</v>
      </c>
    </row>
    <row r="7908" spans="1:19" ht="28" x14ac:dyDescent="0.15">
      <c r="A7908" s="2">
        <f>HYPERLINK("https://open-school.uspishnemisto.com.ua/school/460601/", 460601)</f>
        <v>460601</v>
      </c>
      <c r="B7908" s="3" t="s">
        <v>40790</v>
      </c>
      <c r="C7908" s="3" t="s">
        <v>31</v>
      </c>
      <c r="D7908" s="3" t="s">
        <v>32</v>
      </c>
      <c r="E7908" s="4" t="s">
        <v>22</v>
      </c>
      <c r="F7908" s="4" t="s">
        <v>40785</v>
      </c>
      <c r="G7908" s="4" t="s">
        <v>40786</v>
      </c>
      <c r="H7908" s="3" t="s">
        <v>38194</v>
      </c>
      <c r="I7908" s="3" t="s">
        <v>40787</v>
      </c>
      <c r="J7908" s="3" t="s">
        <v>2384</v>
      </c>
      <c r="K7908" s="3" t="s">
        <v>40791</v>
      </c>
      <c r="L7908" s="3"/>
      <c r="M7908" s="4"/>
      <c r="N7908" s="3" t="s">
        <v>37</v>
      </c>
      <c r="O7908" s="3" t="s">
        <v>52</v>
      </c>
      <c r="P7908" s="5">
        <v>27</v>
      </c>
      <c r="Q7908" s="5">
        <v>624</v>
      </c>
      <c r="R7908" s="5">
        <v>26</v>
      </c>
      <c r="S7908" s="5">
        <v>600</v>
      </c>
    </row>
    <row r="7909" spans="1:19" ht="28" x14ac:dyDescent="0.15">
      <c r="A7909" s="2">
        <f>HYPERLINK("https://open-school.uspishnemisto.com.ua/school/460602/", 460602)</f>
        <v>460602</v>
      </c>
      <c r="B7909" s="3" t="s">
        <v>40792</v>
      </c>
      <c r="C7909" s="3" t="s">
        <v>31</v>
      </c>
      <c r="D7909" s="3" t="s">
        <v>175</v>
      </c>
      <c r="E7909" s="4" t="s">
        <v>22</v>
      </c>
      <c r="F7909" s="4" t="s">
        <v>40785</v>
      </c>
      <c r="G7909" s="4" t="s">
        <v>40786</v>
      </c>
      <c r="H7909" s="3" t="s">
        <v>38194</v>
      </c>
      <c r="I7909" s="3" t="s">
        <v>40787</v>
      </c>
      <c r="J7909" s="3" t="s">
        <v>40793</v>
      </c>
      <c r="K7909" s="3" t="s">
        <v>40794</v>
      </c>
      <c r="L7909" s="3"/>
      <c r="M7909" s="4"/>
      <c r="N7909" s="3" t="s">
        <v>37</v>
      </c>
      <c r="O7909" s="3" t="s">
        <v>52</v>
      </c>
      <c r="P7909" s="5">
        <v>7</v>
      </c>
      <c r="Q7909" s="5">
        <v>65</v>
      </c>
      <c r="R7909" s="5">
        <v>6</v>
      </c>
      <c r="S7909" s="5">
        <v>63</v>
      </c>
    </row>
    <row r="7910" spans="1:19" ht="28" x14ac:dyDescent="0.15">
      <c r="A7910" s="2">
        <f>HYPERLINK("https://open-school.uspishnemisto.com.ua/school/460603/", 460603)</f>
        <v>460603</v>
      </c>
      <c r="B7910" s="3" t="s">
        <v>40795</v>
      </c>
      <c r="C7910" s="3" t="s">
        <v>31</v>
      </c>
      <c r="D7910" s="3" t="s">
        <v>32</v>
      </c>
      <c r="E7910" s="4" t="s">
        <v>22</v>
      </c>
      <c r="F7910" s="4" t="s">
        <v>40785</v>
      </c>
      <c r="G7910" s="4" t="s">
        <v>40786</v>
      </c>
      <c r="H7910" s="3" t="s">
        <v>38194</v>
      </c>
      <c r="I7910" s="3" t="s">
        <v>40787</v>
      </c>
      <c r="J7910" s="3" t="s">
        <v>40796</v>
      </c>
      <c r="K7910" s="3" t="s">
        <v>40797</v>
      </c>
      <c r="L7910" s="3"/>
      <c r="M7910" s="4"/>
      <c r="N7910" s="3" t="s">
        <v>38230</v>
      </c>
      <c r="O7910" s="3" t="s">
        <v>52</v>
      </c>
      <c r="P7910" s="5">
        <v>13</v>
      </c>
      <c r="Q7910" s="5">
        <v>286</v>
      </c>
      <c r="R7910" s="5">
        <v>13</v>
      </c>
      <c r="S7910" s="5">
        <v>268</v>
      </c>
    </row>
    <row r="7911" spans="1:19" ht="28" x14ac:dyDescent="0.15">
      <c r="A7911" s="2">
        <f>HYPERLINK("https://open-school.uspishnemisto.com.ua/school/460604/", 460604)</f>
        <v>460604</v>
      </c>
      <c r="B7911" s="3" t="s">
        <v>40798</v>
      </c>
      <c r="C7911" s="3" t="s">
        <v>31</v>
      </c>
      <c r="D7911" s="3" t="s">
        <v>60</v>
      </c>
      <c r="E7911" s="4" t="s">
        <v>22</v>
      </c>
      <c r="F7911" s="4" t="s">
        <v>40799</v>
      </c>
      <c r="G7911" s="4" t="s">
        <v>40800</v>
      </c>
      <c r="H7911" s="3" t="s">
        <v>38194</v>
      </c>
      <c r="I7911" s="3" t="s">
        <v>40801</v>
      </c>
      <c r="J7911" s="3" t="s">
        <v>40802</v>
      </c>
      <c r="K7911" s="3" t="s">
        <v>40803</v>
      </c>
      <c r="L7911" s="3"/>
      <c r="M7911" s="4"/>
      <c r="N7911" s="3" t="s">
        <v>37</v>
      </c>
      <c r="O7911" s="3" t="s">
        <v>52</v>
      </c>
      <c r="P7911" s="5">
        <v>0</v>
      </c>
      <c r="Q7911" s="5">
        <v>0</v>
      </c>
      <c r="R7911" s="5">
        <v>4</v>
      </c>
      <c r="S7911" s="5">
        <v>26</v>
      </c>
    </row>
    <row r="7912" spans="1:19" ht="56" x14ac:dyDescent="0.15">
      <c r="A7912" s="2">
        <f>HYPERLINK("https://open-school.uspishnemisto.com.ua/school/460605/", 460605)</f>
        <v>460605</v>
      </c>
      <c r="B7912" s="3" t="s">
        <v>40804</v>
      </c>
      <c r="C7912" s="3" t="s">
        <v>54</v>
      </c>
      <c r="D7912" s="3" t="s">
        <v>32</v>
      </c>
      <c r="E7912" s="4" t="s">
        <v>22</v>
      </c>
      <c r="F7912" s="4" t="s">
        <v>40799</v>
      </c>
      <c r="G7912" s="4" t="s">
        <v>40800</v>
      </c>
      <c r="H7912" s="3" t="s">
        <v>38194</v>
      </c>
      <c r="I7912" s="3" t="s">
        <v>40801</v>
      </c>
      <c r="J7912" s="3" t="s">
        <v>40805</v>
      </c>
      <c r="K7912" s="3" t="s">
        <v>40806</v>
      </c>
      <c r="L7912" s="3"/>
      <c r="M7912" s="4"/>
      <c r="N7912" s="3" t="s">
        <v>37</v>
      </c>
      <c r="O7912" s="3" t="s">
        <v>129</v>
      </c>
      <c r="P7912" s="5">
        <v>44</v>
      </c>
      <c r="Q7912" s="5">
        <v>918</v>
      </c>
      <c r="R7912" s="5">
        <v>32</v>
      </c>
      <c r="S7912" s="5">
        <v>820</v>
      </c>
    </row>
    <row r="7913" spans="1:19" ht="28" x14ac:dyDescent="0.15">
      <c r="A7913" s="2">
        <f>HYPERLINK("https://open-school.uspishnemisto.com.ua/school/460606/", 460606)</f>
        <v>460606</v>
      </c>
      <c r="B7913" s="3" t="s">
        <v>40807</v>
      </c>
      <c r="C7913" s="3" t="s">
        <v>31</v>
      </c>
      <c r="D7913" s="3" t="s">
        <v>175</v>
      </c>
      <c r="E7913" s="4" t="s">
        <v>22</v>
      </c>
      <c r="F7913" s="4" t="s">
        <v>40808</v>
      </c>
      <c r="G7913" s="4" t="s">
        <v>40809</v>
      </c>
      <c r="H7913" s="3" t="s">
        <v>38194</v>
      </c>
      <c r="I7913" s="3" t="s">
        <v>40810</v>
      </c>
      <c r="J7913" s="3" t="s">
        <v>40811</v>
      </c>
      <c r="K7913" s="3" t="s">
        <v>40812</v>
      </c>
      <c r="L7913" s="3" t="s">
        <v>40813</v>
      </c>
      <c r="M7913" s="4"/>
      <c r="N7913" s="3" t="s">
        <v>37</v>
      </c>
      <c r="O7913" s="3" t="s">
        <v>52</v>
      </c>
      <c r="P7913" s="5">
        <v>9</v>
      </c>
      <c r="Q7913" s="5">
        <v>121</v>
      </c>
      <c r="R7913" s="5">
        <v>9</v>
      </c>
      <c r="S7913" s="5">
        <v>116</v>
      </c>
    </row>
    <row r="7914" spans="1:19" ht="56" x14ac:dyDescent="0.15">
      <c r="A7914" s="2">
        <f>HYPERLINK("https://open-school.uspishnemisto.com.ua/school/460607/", 460607)</f>
        <v>460607</v>
      </c>
      <c r="B7914" s="3" t="s">
        <v>40814</v>
      </c>
      <c r="C7914" s="3" t="s">
        <v>54</v>
      </c>
      <c r="D7914" s="3" t="s">
        <v>32</v>
      </c>
      <c r="E7914" s="4" t="s">
        <v>22</v>
      </c>
      <c r="F7914" s="4" t="s">
        <v>40815</v>
      </c>
      <c r="G7914" s="4" t="s">
        <v>40816</v>
      </c>
      <c r="H7914" s="3" t="s">
        <v>38194</v>
      </c>
      <c r="I7914" s="3" t="s">
        <v>40817</v>
      </c>
      <c r="J7914" s="3" t="s">
        <v>40818</v>
      </c>
      <c r="K7914" s="3" t="s">
        <v>40819</v>
      </c>
      <c r="L7914" s="3"/>
      <c r="M7914" s="4"/>
      <c r="N7914" s="3" t="s">
        <v>37</v>
      </c>
      <c r="O7914" s="3" t="s">
        <v>52</v>
      </c>
      <c r="P7914" s="5">
        <v>10</v>
      </c>
      <c r="Q7914" s="5">
        <v>101</v>
      </c>
      <c r="R7914" s="5">
        <v>9</v>
      </c>
      <c r="S7914" s="5">
        <v>114</v>
      </c>
    </row>
    <row r="7915" spans="1:19" ht="56" x14ac:dyDescent="0.15">
      <c r="A7915" s="2">
        <f>HYPERLINK("https://open-school.uspishnemisto.com.ua/school/460608/", 460608)</f>
        <v>460608</v>
      </c>
      <c r="B7915" s="3" t="s">
        <v>40820</v>
      </c>
      <c r="C7915" s="3" t="s">
        <v>54</v>
      </c>
      <c r="D7915" s="3" t="s">
        <v>175</v>
      </c>
      <c r="E7915" s="4" t="s">
        <v>22</v>
      </c>
      <c r="F7915" s="4" t="s">
        <v>40821</v>
      </c>
      <c r="G7915" s="4" t="s">
        <v>40822</v>
      </c>
      <c r="H7915" s="3" t="s">
        <v>38194</v>
      </c>
      <c r="I7915" s="3" t="s">
        <v>20214</v>
      </c>
      <c r="J7915" s="3" t="s">
        <v>40823</v>
      </c>
      <c r="K7915" s="3" t="s">
        <v>40824</v>
      </c>
      <c r="L7915" s="3"/>
      <c r="M7915" s="4"/>
      <c r="N7915" s="3" t="s">
        <v>37</v>
      </c>
      <c r="O7915" s="3" t="s">
        <v>46</v>
      </c>
      <c r="P7915" s="5">
        <v>9</v>
      </c>
      <c r="Q7915" s="5">
        <v>132</v>
      </c>
      <c r="R7915" s="5">
        <v>9</v>
      </c>
      <c r="S7915" s="5">
        <v>117</v>
      </c>
    </row>
    <row r="7916" spans="1:19" ht="28" x14ac:dyDescent="0.15">
      <c r="A7916" s="2">
        <f>HYPERLINK("https://open-school.uspishnemisto.com.ua/school/460609/", 460609)</f>
        <v>460609</v>
      </c>
      <c r="B7916" s="3" t="s">
        <v>40825</v>
      </c>
      <c r="C7916" s="3" t="s">
        <v>31</v>
      </c>
      <c r="D7916" s="3" t="s">
        <v>60</v>
      </c>
      <c r="E7916" s="4" t="s">
        <v>22</v>
      </c>
      <c r="F7916" s="4" t="s">
        <v>40826</v>
      </c>
      <c r="G7916" s="4" t="s">
        <v>40827</v>
      </c>
      <c r="H7916" s="3" t="s">
        <v>38194</v>
      </c>
      <c r="I7916" s="3" t="s">
        <v>7441</v>
      </c>
      <c r="J7916" s="3" t="s">
        <v>40828</v>
      </c>
      <c r="K7916" s="3"/>
      <c r="L7916" s="3"/>
      <c r="M7916" s="4"/>
      <c r="N7916" s="3" t="s">
        <v>37</v>
      </c>
      <c r="O7916" s="3" t="s">
        <v>52</v>
      </c>
      <c r="P7916" s="5">
        <v>4</v>
      </c>
      <c r="Q7916" s="5">
        <v>28</v>
      </c>
      <c r="R7916" s="5">
        <v>4</v>
      </c>
      <c r="S7916" s="5">
        <v>34</v>
      </c>
    </row>
    <row r="7917" spans="1:19" ht="28" x14ac:dyDescent="0.15">
      <c r="A7917" s="2">
        <f>HYPERLINK("https://open-school.uspishnemisto.com.ua/school/460610/", 460610)</f>
        <v>460610</v>
      </c>
      <c r="B7917" s="3" t="s">
        <v>40829</v>
      </c>
      <c r="C7917" s="3" t="s">
        <v>31</v>
      </c>
      <c r="D7917" s="3" t="s">
        <v>175</v>
      </c>
      <c r="E7917" s="4" t="s">
        <v>22</v>
      </c>
      <c r="F7917" s="4" t="s">
        <v>40830</v>
      </c>
      <c r="G7917" s="4" t="s">
        <v>40831</v>
      </c>
      <c r="H7917" s="3" t="s">
        <v>38194</v>
      </c>
      <c r="I7917" s="3" t="s">
        <v>40832</v>
      </c>
      <c r="J7917" s="3" t="s">
        <v>40833</v>
      </c>
      <c r="K7917" s="3" t="s">
        <v>40834</v>
      </c>
      <c r="L7917" s="3"/>
      <c r="M7917" s="4"/>
      <c r="N7917" s="3" t="s">
        <v>37</v>
      </c>
      <c r="O7917" s="3" t="s">
        <v>46</v>
      </c>
      <c r="P7917" s="5">
        <v>9</v>
      </c>
      <c r="Q7917" s="5">
        <v>103</v>
      </c>
      <c r="R7917" s="5">
        <v>9</v>
      </c>
      <c r="S7917" s="5">
        <v>100</v>
      </c>
    </row>
    <row r="7918" spans="1:19" ht="28" x14ac:dyDescent="0.15">
      <c r="A7918" s="2">
        <f>HYPERLINK("https://open-school.uspishnemisto.com.ua/school/460611/", 460611)</f>
        <v>460611</v>
      </c>
      <c r="B7918" s="3" t="s">
        <v>40835</v>
      </c>
      <c r="C7918" s="3" t="s">
        <v>31</v>
      </c>
      <c r="D7918" s="3" t="s">
        <v>175</v>
      </c>
      <c r="E7918" s="4" t="s">
        <v>22</v>
      </c>
      <c r="F7918" s="4" t="s">
        <v>40836</v>
      </c>
      <c r="G7918" s="4" t="s">
        <v>40837</v>
      </c>
      <c r="H7918" s="3" t="s">
        <v>38194</v>
      </c>
      <c r="I7918" s="3" t="s">
        <v>40838</v>
      </c>
      <c r="J7918" s="3" t="s">
        <v>6723</v>
      </c>
      <c r="K7918" s="3" t="s">
        <v>40839</v>
      </c>
      <c r="L7918" s="3"/>
      <c r="M7918" s="4"/>
      <c r="N7918" s="3" t="s">
        <v>37</v>
      </c>
      <c r="O7918" s="3" t="s">
        <v>52</v>
      </c>
      <c r="P7918" s="5">
        <v>8</v>
      </c>
      <c r="Q7918" s="5">
        <v>81</v>
      </c>
      <c r="R7918" s="5">
        <v>8</v>
      </c>
      <c r="S7918" s="5">
        <v>82</v>
      </c>
    </row>
    <row r="7919" spans="1:19" ht="28" x14ac:dyDescent="0.15">
      <c r="A7919" s="2">
        <f>HYPERLINK("https://open-school.uspishnemisto.com.ua/school/460612/", 460612)</f>
        <v>460612</v>
      </c>
      <c r="B7919" s="3" t="s">
        <v>40840</v>
      </c>
      <c r="C7919" s="3" t="s">
        <v>31</v>
      </c>
      <c r="D7919" s="3" t="s">
        <v>60</v>
      </c>
      <c r="E7919" s="4" t="s">
        <v>22</v>
      </c>
      <c r="F7919" s="4" t="s">
        <v>40836</v>
      </c>
      <c r="G7919" s="4" t="s">
        <v>40841</v>
      </c>
      <c r="H7919" s="3" t="s">
        <v>38194</v>
      </c>
      <c r="I7919" s="3" t="s">
        <v>40842</v>
      </c>
      <c r="J7919" s="3" t="s">
        <v>40843</v>
      </c>
      <c r="K7919" s="3" t="s">
        <v>40844</v>
      </c>
      <c r="L7919" s="3"/>
      <c r="M7919" s="4"/>
      <c r="N7919" s="3" t="s">
        <v>37</v>
      </c>
      <c r="O7919" s="3" t="s">
        <v>46</v>
      </c>
      <c r="P7919" s="5">
        <v>4</v>
      </c>
      <c r="Q7919" s="5">
        <v>37</v>
      </c>
      <c r="R7919" s="5">
        <v>4</v>
      </c>
      <c r="S7919" s="5">
        <v>33</v>
      </c>
    </row>
    <row r="7920" spans="1:19" ht="56" x14ac:dyDescent="0.15">
      <c r="A7920" s="2">
        <f>HYPERLINK("https://open-school.uspishnemisto.com.ua/school/460613/", 460613)</f>
        <v>460613</v>
      </c>
      <c r="B7920" s="3" t="s">
        <v>40845</v>
      </c>
      <c r="C7920" s="3" t="s">
        <v>244</v>
      </c>
      <c r="D7920" s="3" t="s">
        <v>32</v>
      </c>
      <c r="E7920" s="4" t="s">
        <v>22</v>
      </c>
      <c r="F7920" s="4" t="s">
        <v>40846</v>
      </c>
      <c r="G7920" s="4" t="s">
        <v>40847</v>
      </c>
      <c r="H7920" s="3" t="s">
        <v>38194</v>
      </c>
      <c r="I7920" s="3" t="s">
        <v>40848</v>
      </c>
      <c r="J7920" s="3" t="s">
        <v>17147</v>
      </c>
      <c r="K7920" s="3" t="s">
        <v>40849</v>
      </c>
      <c r="L7920" s="3"/>
      <c r="M7920" s="4"/>
      <c r="N7920" s="3" t="s">
        <v>37</v>
      </c>
      <c r="O7920" s="3" t="s">
        <v>52</v>
      </c>
      <c r="P7920" s="5">
        <v>11</v>
      </c>
      <c r="Q7920" s="5">
        <v>142</v>
      </c>
      <c r="R7920" s="5">
        <v>11</v>
      </c>
      <c r="S7920" s="5">
        <v>143</v>
      </c>
    </row>
    <row r="7921" spans="1:19" ht="42" x14ac:dyDescent="0.15">
      <c r="A7921" s="2">
        <f>HYPERLINK("https://open-school.uspishnemisto.com.ua/school/460614/", 460614)</f>
        <v>460614</v>
      </c>
      <c r="B7921" s="3" t="s">
        <v>40850</v>
      </c>
      <c r="C7921" s="3" t="s">
        <v>31</v>
      </c>
      <c r="D7921" s="3" t="s">
        <v>175</v>
      </c>
      <c r="E7921" s="4" t="s">
        <v>22</v>
      </c>
      <c r="F7921" s="4" t="s">
        <v>40851</v>
      </c>
      <c r="G7921" s="4" t="s">
        <v>40852</v>
      </c>
      <c r="H7921" s="3" t="s">
        <v>38194</v>
      </c>
      <c r="I7921" s="3" t="s">
        <v>40853</v>
      </c>
      <c r="J7921" s="3" t="s">
        <v>40854</v>
      </c>
      <c r="K7921" s="3"/>
      <c r="L7921" s="3"/>
      <c r="M7921" s="4"/>
      <c r="N7921" s="3" t="s">
        <v>37</v>
      </c>
      <c r="O7921" s="3" t="s">
        <v>52</v>
      </c>
      <c r="P7921" s="5">
        <v>2</v>
      </c>
      <c r="Q7921" s="5">
        <v>26</v>
      </c>
      <c r="R7921" s="5">
        <v>1</v>
      </c>
      <c r="S7921" s="5">
        <v>25</v>
      </c>
    </row>
    <row r="7922" spans="1:19" ht="56" x14ac:dyDescent="0.15">
      <c r="A7922" s="2">
        <f>HYPERLINK("https://open-school.uspishnemisto.com.ua/school/460615/", 460615)</f>
        <v>460615</v>
      </c>
      <c r="B7922" s="3" t="s">
        <v>40855</v>
      </c>
      <c r="C7922" s="3" t="s">
        <v>54</v>
      </c>
      <c r="D7922" s="3" t="s">
        <v>32</v>
      </c>
      <c r="E7922" s="4" t="s">
        <v>22</v>
      </c>
      <c r="F7922" s="4"/>
      <c r="G7922" s="4" t="s">
        <v>40856</v>
      </c>
      <c r="H7922" s="3" t="s">
        <v>38194</v>
      </c>
      <c r="I7922" s="3" t="s">
        <v>40857</v>
      </c>
      <c r="J7922" s="3" t="s">
        <v>297</v>
      </c>
      <c r="K7922" s="3" t="s">
        <v>40858</v>
      </c>
      <c r="L7922" s="3" t="s">
        <v>40859</v>
      </c>
      <c r="M7922" s="4"/>
      <c r="N7922" s="3" t="s">
        <v>37</v>
      </c>
      <c r="O7922" s="3" t="s">
        <v>139</v>
      </c>
      <c r="P7922" s="5">
        <v>10</v>
      </c>
      <c r="Q7922" s="5">
        <v>96</v>
      </c>
      <c r="R7922" s="5">
        <v>10</v>
      </c>
      <c r="S7922" s="5">
        <v>107</v>
      </c>
    </row>
    <row r="7923" spans="1:19" ht="42" x14ac:dyDescent="0.15">
      <c r="A7923" s="2">
        <f>HYPERLINK("https://open-school.uspishnemisto.com.ua/school/460616/", 460616)</f>
        <v>460616</v>
      </c>
      <c r="B7923" s="3" t="s">
        <v>40860</v>
      </c>
      <c r="C7923" s="3" t="s">
        <v>54</v>
      </c>
      <c r="D7923" s="3" t="s">
        <v>175</v>
      </c>
      <c r="E7923" s="4" t="s">
        <v>22</v>
      </c>
      <c r="F7923" s="4" t="s">
        <v>40861</v>
      </c>
      <c r="G7923" s="4" t="s">
        <v>40862</v>
      </c>
      <c r="H7923" s="3" t="s">
        <v>38194</v>
      </c>
      <c r="I7923" s="3" t="s">
        <v>40863</v>
      </c>
      <c r="J7923" s="3" t="s">
        <v>761</v>
      </c>
      <c r="K7923" s="3" t="s">
        <v>40864</v>
      </c>
      <c r="L7923" s="3"/>
      <c r="M7923" s="4"/>
      <c r="N7923" s="3" t="s">
        <v>37</v>
      </c>
      <c r="O7923" s="3" t="s">
        <v>52</v>
      </c>
      <c r="P7923" s="5">
        <v>9</v>
      </c>
      <c r="Q7923" s="5">
        <v>74</v>
      </c>
      <c r="R7923" s="5">
        <v>8</v>
      </c>
      <c r="S7923" s="5">
        <v>79</v>
      </c>
    </row>
    <row r="7924" spans="1:19" ht="28" x14ac:dyDescent="0.15">
      <c r="A7924" s="2">
        <f>HYPERLINK("https://open-school.uspishnemisto.com.ua/school/460617/", 460617)</f>
        <v>460617</v>
      </c>
      <c r="B7924" s="3" t="s">
        <v>40865</v>
      </c>
      <c r="C7924" s="3" t="s">
        <v>31</v>
      </c>
      <c r="D7924" s="3"/>
      <c r="E7924" s="4" t="s">
        <v>22</v>
      </c>
      <c r="F7924" s="4" t="s">
        <v>40866</v>
      </c>
      <c r="G7924" s="4" t="s">
        <v>40867</v>
      </c>
      <c r="H7924" s="3" t="s">
        <v>38194</v>
      </c>
      <c r="I7924" s="3" t="s">
        <v>40868</v>
      </c>
      <c r="J7924" s="3" t="s">
        <v>12378</v>
      </c>
      <c r="K7924" s="3"/>
      <c r="L7924" s="3"/>
      <c r="M7924" s="4"/>
      <c r="N7924" s="3" t="s">
        <v>37</v>
      </c>
      <c r="O7924" s="3" t="s">
        <v>52</v>
      </c>
      <c r="P7924" s="5">
        <v>0</v>
      </c>
      <c r="Q7924" s="5">
        <v>0</v>
      </c>
      <c r="R7924" s="5">
        <v>7</v>
      </c>
      <c r="S7924" s="5">
        <v>46</v>
      </c>
    </row>
    <row r="7925" spans="1:19" ht="28" x14ac:dyDescent="0.15">
      <c r="A7925" s="2">
        <f>HYPERLINK("https://open-school.uspishnemisto.com.ua/school/460618/", 460618)</f>
        <v>460618</v>
      </c>
      <c r="B7925" s="3" t="s">
        <v>40869</v>
      </c>
      <c r="C7925" s="3" t="s">
        <v>54</v>
      </c>
      <c r="D7925" s="3" t="s">
        <v>175</v>
      </c>
      <c r="E7925" s="4" t="s">
        <v>22</v>
      </c>
      <c r="F7925" s="4" t="s">
        <v>40870</v>
      </c>
      <c r="G7925" s="4" t="s">
        <v>40871</v>
      </c>
      <c r="H7925" s="3" t="s">
        <v>38194</v>
      </c>
      <c r="I7925" s="3" t="s">
        <v>40872</v>
      </c>
      <c r="J7925" s="3" t="s">
        <v>40873</v>
      </c>
      <c r="K7925" s="3" t="s">
        <v>40874</v>
      </c>
      <c r="L7925" s="3"/>
      <c r="M7925" s="4"/>
      <c r="N7925" s="3" t="s">
        <v>37</v>
      </c>
      <c r="O7925" s="3" t="s">
        <v>46</v>
      </c>
      <c r="P7925" s="5">
        <v>9</v>
      </c>
      <c r="Q7925" s="5">
        <v>111</v>
      </c>
      <c r="R7925" s="5">
        <v>9</v>
      </c>
      <c r="S7925" s="5">
        <v>115</v>
      </c>
    </row>
    <row r="7926" spans="1:19" ht="56" x14ac:dyDescent="0.15">
      <c r="A7926" s="2">
        <f>HYPERLINK("https://open-school.uspishnemisto.com.ua/school/460619/", 460619)</f>
        <v>460619</v>
      </c>
      <c r="B7926" s="3" t="s">
        <v>40875</v>
      </c>
      <c r="C7926" s="3" t="s">
        <v>54</v>
      </c>
      <c r="D7926" s="3" t="s">
        <v>175</v>
      </c>
      <c r="E7926" s="4" t="s">
        <v>22</v>
      </c>
      <c r="F7926" s="4" t="s">
        <v>40876</v>
      </c>
      <c r="G7926" s="4" t="s">
        <v>40877</v>
      </c>
      <c r="H7926" s="3" t="s">
        <v>38194</v>
      </c>
      <c r="I7926" s="3" t="s">
        <v>40878</v>
      </c>
      <c r="J7926" s="3" t="s">
        <v>39264</v>
      </c>
      <c r="K7926" s="3" t="s">
        <v>40879</v>
      </c>
      <c r="L7926" s="3"/>
      <c r="M7926" s="4"/>
      <c r="N7926" s="3" t="s">
        <v>37</v>
      </c>
      <c r="O7926" s="3" t="s">
        <v>52</v>
      </c>
      <c r="P7926" s="5">
        <v>9</v>
      </c>
      <c r="Q7926" s="5">
        <v>178</v>
      </c>
      <c r="R7926" s="5">
        <v>9</v>
      </c>
      <c r="S7926" s="5">
        <v>169</v>
      </c>
    </row>
    <row r="7927" spans="1:19" ht="28" x14ac:dyDescent="0.15">
      <c r="A7927" s="2">
        <f>HYPERLINK("https://open-school.uspishnemisto.com.ua/school/460620/", 460620)</f>
        <v>460620</v>
      </c>
      <c r="B7927" s="3" t="s">
        <v>40880</v>
      </c>
      <c r="C7927" s="3" t="s">
        <v>31</v>
      </c>
      <c r="D7927" s="3" t="s">
        <v>60</v>
      </c>
      <c r="E7927" s="4" t="s">
        <v>22</v>
      </c>
      <c r="F7927" s="4" t="s">
        <v>40881</v>
      </c>
      <c r="G7927" s="4" t="s">
        <v>40882</v>
      </c>
      <c r="H7927" s="3" t="s">
        <v>38194</v>
      </c>
      <c r="I7927" s="3" t="s">
        <v>40883</v>
      </c>
      <c r="J7927" s="3" t="s">
        <v>3393</v>
      </c>
      <c r="K7927" s="3" t="s">
        <v>40884</v>
      </c>
      <c r="L7927" s="3"/>
      <c r="M7927" s="4"/>
      <c r="N7927" s="3" t="s">
        <v>37</v>
      </c>
      <c r="O7927" s="3" t="s">
        <v>52</v>
      </c>
      <c r="P7927" s="5">
        <v>0</v>
      </c>
      <c r="Q7927" s="5">
        <v>0</v>
      </c>
      <c r="R7927" s="5">
        <v>3</v>
      </c>
      <c r="S7927" s="5">
        <v>20</v>
      </c>
    </row>
    <row r="7928" spans="1:19" ht="42" x14ac:dyDescent="0.15">
      <c r="A7928" s="2">
        <f>HYPERLINK("https://open-school.uspishnemisto.com.ua/school/460621/", 460621)</f>
        <v>460621</v>
      </c>
      <c r="B7928" s="3" t="s">
        <v>40885</v>
      </c>
      <c r="C7928" s="3" t="s">
        <v>54</v>
      </c>
      <c r="D7928" s="3" t="s">
        <v>32</v>
      </c>
      <c r="E7928" s="4" t="s">
        <v>22</v>
      </c>
      <c r="F7928" s="4" t="s">
        <v>40886</v>
      </c>
      <c r="G7928" s="4" t="s">
        <v>40887</v>
      </c>
      <c r="H7928" s="3" t="s">
        <v>38194</v>
      </c>
      <c r="I7928" s="3" t="s">
        <v>40888</v>
      </c>
      <c r="J7928" s="3" t="s">
        <v>40889</v>
      </c>
      <c r="K7928" s="3"/>
      <c r="L7928" s="3"/>
      <c r="M7928" s="4"/>
      <c r="N7928" s="3" t="s">
        <v>37</v>
      </c>
      <c r="O7928" s="3" t="s">
        <v>52</v>
      </c>
      <c r="P7928" s="5">
        <v>11</v>
      </c>
      <c r="Q7928" s="5">
        <v>101</v>
      </c>
      <c r="R7928" s="5">
        <v>11</v>
      </c>
      <c r="S7928" s="5">
        <v>104</v>
      </c>
    </row>
    <row r="7929" spans="1:19" ht="28" x14ac:dyDescent="0.15">
      <c r="A7929" s="2">
        <f>HYPERLINK("https://open-school.uspishnemisto.com.ua/school/460622/", 460622)</f>
        <v>460622</v>
      </c>
      <c r="B7929" s="3" t="s">
        <v>40890</v>
      </c>
      <c r="C7929" s="3" t="s">
        <v>31</v>
      </c>
      <c r="D7929" s="3" t="s">
        <v>175</v>
      </c>
      <c r="E7929" s="4" t="s">
        <v>22</v>
      </c>
      <c r="F7929" s="4" t="s">
        <v>40891</v>
      </c>
      <c r="G7929" s="4" t="s">
        <v>40892</v>
      </c>
      <c r="H7929" s="3" t="s">
        <v>38194</v>
      </c>
      <c r="I7929" s="3" t="s">
        <v>40893</v>
      </c>
      <c r="J7929" s="3" t="s">
        <v>3620</v>
      </c>
      <c r="K7929" s="3" t="s">
        <v>40894</v>
      </c>
      <c r="L7929" s="3"/>
      <c r="M7929" s="4"/>
      <c r="N7929" s="3" t="s">
        <v>37</v>
      </c>
      <c r="O7929" s="3" t="s">
        <v>52</v>
      </c>
      <c r="P7929" s="5">
        <v>7</v>
      </c>
      <c r="Q7929" s="5">
        <v>52</v>
      </c>
      <c r="R7929" s="5">
        <v>6</v>
      </c>
      <c r="S7929" s="5">
        <v>46</v>
      </c>
    </row>
    <row r="7930" spans="1:19" ht="28" x14ac:dyDescent="0.15">
      <c r="A7930" s="2">
        <f>HYPERLINK("https://open-school.uspishnemisto.com.ua/school/460623/", 460623)</f>
        <v>460623</v>
      </c>
      <c r="B7930" s="3" t="s">
        <v>40895</v>
      </c>
      <c r="C7930" s="3" t="s">
        <v>31</v>
      </c>
      <c r="D7930" s="3" t="s">
        <v>175</v>
      </c>
      <c r="E7930" s="4" t="s">
        <v>22</v>
      </c>
      <c r="F7930" s="4" t="s">
        <v>40891</v>
      </c>
      <c r="G7930" s="4" t="s">
        <v>40896</v>
      </c>
      <c r="H7930" s="3" t="s">
        <v>38194</v>
      </c>
      <c r="I7930" s="3" t="s">
        <v>40897</v>
      </c>
      <c r="J7930" s="3" t="s">
        <v>40898</v>
      </c>
      <c r="K7930" s="3" t="s">
        <v>40899</v>
      </c>
      <c r="L7930" s="3"/>
      <c r="M7930" s="4"/>
      <c r="N7930" s="3" t="s">
        <v>37</v>
      </c>
      <c r="O7930" s="3" t="s">
        <v>52</v>
      </c>
      <c r="P7930" s="5">
        <v>8</v>
      </c>
      <c r="Q7930" s="5">
        <v>61</v>
      </c>
      <c r="R7930" s="5">
        <v>8</v>
      </c>
      <c r="S7930" s="5">
        <v>64</v>
      </c>
    </row>
    <row r="7931" spans="1:19" ht="28" x14ac:dyDescent="0.15">
      <c r="A7931" s="2">
        <f>HYPERLINK("https://open-school.uspishnemisto.com.ua/school/460624/", 460624)</f>
        <v>460624</v>
      </c>
      <c r="B7931" s="3" t="s">
        <v>40900</v>
      </c>
      <c r="C7931" s="3" t="s">
        <v>31</v>
      </c>
      <c r="D7931" s="3" t="s">
        <v>32</v>
      </c>
      <c r="E7931" s="4" t="s">
        <v>22</v>
      </c>
      <c r="F7931" s="4" t="s">
        <v>40901</v>
      </c>
      <c r="G7931" s="4" t="s">
        <v>40902</v>
      </c>
      <c r="H7931" s="3" t="s">
        <v>38194</v>
      </c>
      <c r="I7931" s="3" t="s">
        <v>40903</v>
      </c>
      <c r="J7931" s="3" t="s">
        <v>7118</v>
      </c>
      <c r="K7931" s="3" t="s">
        <v>40904</v>
      </c>
      <c r="L7931" s="3" t="s">
        <v>40905</v>
      </c>
      <c r="M7931" s="4"/>
      <c r="N7931" s="3" t="s">
        <v>37</v>
      </c>
      <c r="O7931" s="3" t="s">
        <v>52</v>
      </c>
      <c r="P7931" s="5">
        <v>12</v>
      </c>
      <c r="Q7931" s="5">
        <v>220</v>
      </c>
      <c r="R7931" s="5">
        <v>13</v>
      </c>
      <c r="S7931" s="5">
        <v>240</v>
      </c>
    </row>
    <row r="7932" spans="1:19" ht="28" x14ac:dyDescent="0.15">
      <c r="A7932" s="2">
        <f>HYPERLINK("https://open-school.uspishnemisto.com.ua/school/460625/", 460625)</f>
        <v>460625</v>
      </c>
      <c r="B7932" s="3" t="s">
        <v>40906</v>
      </c>
      <c r="C7932" s="3" t="s">
        <v>31</v>
      </c>
      <c r="D7932" s="3" t="s">
        <v>60</v>
      </c>
      <c r="E7932" s="4" t="s">
        <v>22</v>
      </c>
      <c r="F7932" s="4" t="s">
        <v>40907</v>
      </c>
      <c r="G7932" s="4" t="s">
        <v>40908</v>
      </c>
      <c r="H7932" s="3" t="s">
        <v>38194</v>
      </c>
      <c r="I7932" s="3" t="s">
        <v>40909</v>
      </c>
      <c r="J7932" s="3" t="s">
        <v>40910</v>
      </c>
      <c r="K7932" s="3" t="s">
        <v>40911</v>
      </c>
      <c r="L7932" s="3"/>
      <c r="M7932" s="4"/>
      <c r="N7932" s="3" t="s">
        <v>37</v>
      </c>
      <c r="O7932" s="3" t="s">
        <v>52</v>
      </c>
      <c r="P7932" s="5">
        <v>0</v>
      </c>
      <c r="Q7932" s="5">
        <v>13</v>
      </c>
      <c r="R7932" s="5">
        <v>0</v>
      </c>
      <c r="S7932" s="5">
        <v>11</v>
      </c>
    </row>
    <row r="7933" spans="1:19" ht="28" x14ac:dyDescent="0.15">
      <c r="A7933" s="2">
        <f>HYPERLINK("https://open-school.uspishnemisto.com.ua/school/460626/", 460626)</f>
        <v>460626</v>
      </c>
      <c r="B7933" s="3" t="s">
        <v>40912</v>
      </c>
      <c r="C7933" s="3" t="s">
        <v>31</v>
      </c>
      <c r="D7933" s="3" t="s">
        <v>175</v>
      </c>
      <c r="E7933" s="4" t="s">
        <v>22</v>
      </c>
      <c r="F7933" s="4" t="s">
        <v>40913</v>
      </c>
      <c r="G7933" s="4" t="s">
        <v>40914</v>
      </c>
      <c r="H7933" s="3" t="s">
        <v>38194</v>
      </c>
      <c r="I7933" s="3" t="s">
        <v>18228</v>
      </c>
      <c r="J7933" s="3" t="s">
        <v>40915</v>
      </c>
      <c r="K7933" s="3" t="s">
        <v>40916</v>
      </c>
      <c r="L7933" s="3"/>
      <c r="M7933" s="4"/>
      <c r="N7933" s="3" t="s">
        <v>37</v>
      </c>
      <c r="O7933" s="3" t="s">
        <v>52</v>
      </c>
      <c r="P7933" s="5">
        <v>5</v>
      </c>
      <c r="Q7933" s="5">
        <v>48</v>
      </c>
      <c r="R7933" s="5">
        <v>6</v>
      </c>
      <c r="S7933" s="5">
        <v>51</v>
      </c>
    </row>
    <row r="7934" spans="1:19" ht="56" x14ac:dyDescent="0.15">
      <c r="A7934" s="2">
        <f>HYPERLINK("https://open-school.uspishnemisto.com.ua/school/460627/", 460627)</f>
        <v>460627</v>
      </c>
      <c r="B7934" s="3" t="s">
        <v>40917</v>
      </c>
      <c r="C7934" s="3" t="s">
        <v>54</v>
      </c>
      <c r="D7934" s="3" t="s">
        <v>175</v>
      </c>
      <c r="E7934" s="4" t="s">
        <v>22</v>
      </c>
      <c r="F7934" s="4" t="s">
        <v>40907</v>
      </c>
      <c r="G7934" s="4" t="s">
        <v>40918</v>
      </c>
      <c r="H7934" s="3" t="s">
        <v>38194</v>
      </c>
      <c r="I7934" s="3" t="s">
        <v>40919</v>
      </c>
      <c r="J7934" s="3" t="s">
        <v>40261</v>
      </c>
      <c r="K7934" s="3" t="s">
        <v>40920</v>
      </c>
      <c r="L7934" s="3"/>
      <c r="M7934" s="4"/>
      <c r="N7934" s="3" t="s">
        <v>38230</v>
      </c>
      <c r="O7934" s="3" t="s">
        <v>52</v>
      </c>
      <c r="P7934" s="5">
        <v>9</v>
      </c>
      <c r="Q7934" s="5">
        <v>59</v>
      </c>
      <c r="R7934" s="5">
        <v>9</v>
      </c>
      <c r="S7934" s="5">
        <v>63</v>
      </c>
    </row>
    <row r="7935" spans="1:19" ht="28" x14ac:dyDescent="0.15">
      <c r="A7935" s="2">
        <f>HYPERLINK("https://open-school.uspishnemisto.com.ua/school/460628/", 460628)</f>
        <v>460628</v>
      </c>
      <c r="B7935" s="3" t="s">
        <v>40921</v>
      </c>
      <c r="C7935" s="3" t="s">
        <v>31</v>
      </c>
      <c r="D7935" s="3" t="s">
        <v>175</v>
      </c>
      <c r="E7935" s="4" t="s">
        <v>22</v>
      </c>
      <c r="F7935" s="4" t="s">
        <v>40922</v>
      </c>
      <c r="G7935" s="4" t="s">
        <v>40923</v>
      </c>
      <c r="H7935" s="3" t="s">
        <v>38194</v>
      </c>
      <c r="I7935" s="3" t="s">
        <v>40924</v>
      </c>
      <c r="J7935" s="3"/>
      <c r="K7935" s="3" t="s">
        <v>40925</v>
      </c>
      <c r="L7935" s="3"/>
      <c r="M7935" s="4"/>
      <c r="N7935" s="3" t="s">
        <v>37</v>
      </c>
      <c r="O7935" s="3" t="s">
        <v>52</v>
      </c>
      <c r="P7935" s="5">
        <v>5</v>
      </c>
      <c r="Q7935" s="5">
        <v>40</v>
      </c>
      <c r="R7935" s="5">
        <v>6</v>
      </c>
      <c r="S7935" s="5">
        <v>42</v>
      </c>
    </row>
    <row r="7936" spans="1:19" ht="28" x14ac:dyDescent="0.15">
      <c r="A7936" s="2">
        <f>HYPERLINK("https://open-school.uspishnemisto.com.ua/school/460629/", 460629)</f>
        <v>460629</v>
      </c>
      <c r="B7936" s="3" t="s">
        <v>40926</v>
      </c>
      <c r="C7936" s="3" t="s">
        <v>31</v>
      </c>
      <c r="D7936" s="3" t="s">
        <v>175</v>
      </c>
      <c r="E7936" s="4" t="s">
        <v>22</v>
      </c>
      <c r="F7936" s="4" t="s">
        <v>40927</v>
      </c>
      <c r="G7936" s="4" t="s">
        <v>40928</v>
      </c>
      <c r="H7936" s="3" t="s">
        <v>38194</v>
      </c>
      <c r="I7936" s="3" t="s">
        <v>40929</v>
      </c>
      <c r="J7936" s="3" t="s">
        <v>40930</v>
      </c>
      <c r="K7936" s="3" t="s">
        <v>40931</v>
      </c>
      <c r="L7936" s="3"/>
      <c r="M7936" s="4"/>
      <c r="N7936" s="3" t="s">
        <v>37</v>
      </c>
      <c r="O7936" s="3" t="s">
        <v>46</v>
      </c>
      <c r="P7936" s="5">
        <v>4</v>
      </c>
      <c r="Q7936" s="5">
        <v>37</v>
      </c>
      <c r="R7936" s="5">
        <v>4</v>
      </c>
      <c r="S7936" s="5">
        <v>37</v>
      </c>
    </row>
    <row r="7937" spans="1:19" ht="56" x14ac:dyDescent="0.15">
      <c r="A7937" s="2">
        <f>HYPERLINK("https://open-school.uspishnemisto.com.ua/school/460630/", 460630)</f>
        <v>460630</v>
      </c>
      <c r="B7937" s="3" t="s">
        <v>40932</v>
      </c>
      <c r="C7937" s="3" t="s">
        <v>54</v>
      </c>
      <c r="D7937" s="3" t="s">
        <v>32</v>
      </c>
      <c r="E7937" s="4" t="s">
        <v>22</v>
      </c>
      <c r="F7937" s="4" t="s">
        <v>40927</v>
      </c>
      <c r="G7937" s="4" t="s">
        <v>40933</v>
      </c>
      <c r="H7937" s="3" t="s">
        <v>38194</v>
      </c>
      <c r="I7937" s="3" t="s">
        <v>40934</v>
      </c>
      <c r="J7937" s="3" t="s">
        <v>40935</v>
      </c>
      <c r="K7937" s="3" t="s">
        <v>40936</v>
      </c>
      <c r="L7937" s="3" t="s">
        <v>40937</v>
      </c>
      <c r="M7937" s="4"/>
      <c r="N7937" s="3" t="s">
        <v>37</v>
      </c>
      <c r="O7937" s="3" t="s">
        <v>46</v>
      </c>
      <c r="P7937" s="5">
        <v>11</v>
      </c>
      <c r="Q7937" s="5">
        <v>204</v>
      </c>
      <c r="R7937" s="5">
        <v>11</v>
      </c>
      <c r="S7937" s="5">
        <v>206</v>
      </c>
    </row>
    <row r="7938" spans="1:19" ht="28" x14ac:dyDescent="0.15">
      <c r="A7938" s="2">
        <f>HYPERLINK("https://open-school.uspishnemisto.com.ua/school/460631/", 460631)</f>
        <v>460631</v>
      </c>
      <c r="B7938" s="3" t="s">
        <v>40938</v>
      </c>
      <c r="C7938" s="3" t="s">
        <v>31</v>
      </c>
      <c r="D7938" s="3" t="s">
        <v>60</v>
      </c>
      <c r="E7938" s="4" t="s">
        <v>22</v>
      </c>
      <c r="F7938" s="4" t="s">
        <v>40927</v>
      </c>
      <c r="G7938" s="4" t="s">
        <v>40939</v>
      </c>
      <c r="H7938" s="3" t="s">
        <v>38194</v>
      </c>
      <c r="I7938" s="3" t="s">
        <v>40940</v>
      </c>
      <c r="J7938" s="3" t="s">
        <v>40941</v>
      </c>
      <c r="K7938" s="3" t="s">
        <v>40942</v>
      </c>
      <c r="L7938" s="3"/>
      <c r="M7938" s="4"/>
      <c r="N7938" s="3" t="s">
        <v>37</v>
      </c>
      <c r="O7938" s="3" t="s">
        <v>52</v>
      </c>
      <c r="P7938" s="5">
        <v>4</v>
      </c>
      <c r="Q7938" s="5">
        <v>30</v>
      </c>
      <c r="R7938" s="5">
        <v>4</v>
      </c>
      <c r="S7938" s="5">
        <v>25</v>
      </c>
    </row>
    <row r="7939" spans="1:19" ht="28" x14ac:dyDescent="0.15">
      <c r="A7939" s="2">
        <f>HYPERLINK("https://open-school.uspishnemisto.com.ua/school/460632/", 460632)</f>
        <v>460632</v>
      </c>
      <c r="B7939" s="3" t="s">
        <v>40943</v>
      </c>
      <c r="C7939" s="3" t="s">
        <v>31</v>
      </c>
      <c r="D7939" s="3" t="s">
        <v>175</v>
      </c>
      <c r="E7939" s="4" t="s">
        <v>22</v>
      </c>
      <c r="F7939" s="4" t="s">
        <v>40944</v>
      </c>
      <c r="G7939" s="4" t="s">
        <v>40945</v>
      </c>
      <c r="H7939" s="3" t="s">
        <v>38194</v>
      </c>
      <c r="I7939" s="3" t="s">
        <v>40946</v>
      </c>
      <c r="J7939" s="3" t="s">
        <v>11097</v>
      </c>
      <c r="K7939" s="3" t="s">
        <v>40947</v>
      </c>
      <c r="L7939" s="3"/>
      <c r="M7939" s="4"/>
      <c r="N7939" s="3" t="s">
        <v>37</v>
      </c>
      <c r="O7939" s="3" t="s">
        <v>52</v>
      </c>
      <c r="P7939" s="5">
        <v>9</v>
      </c>
      <c r="Q7939" s="5">
        <v>91</v>
      </c>
      <c r="R7939" s="5">
        <v>9</v>
      </c>
      <c r="S7939" s="5">
        <v>95</v>
      </c>
    </row>
    <row r="7940" spans="1:19" ht="42" x14ac:dyDescent="0.15">
      <c r="A7940" s="2">
        <f>HYPERLINK("https://open-school.uspishnemisto.com.ua/school/460633/", 460633)</f>
        <v>460633</v>
      </c>
      <c r="B7940" s="3" t="s">
        <v>40948</v>
      </c>
      <c r="C7940" s="3" t="s">
        <v>54</v>
      </c>
      <c r="D7940" s="3" t="s">
        <v>175</v>
      </c>
      <c r="E7940" s="4" t="s">
        <v>22</v>
      </c>
      <c r="F7940" s="4" t="s">
        <v>40949</v>
      </c>
      <c r="G7940" s="4" t="s">
        <v>40950</v>
      </c>
      <c r="H7940" s="3" t="s">
        <v>38194</v>
      </c>
      <c r="I7940" s="3" t="s">
        <v>40951</v>
      </c>
      <c r="J7940" s="3" t="s">
        <v>297</v>
      </c>
      <c r="K7940" s="3" t="s">
        <v>40952</v>
      </c>
      <c r="L7940" s="3"/>
      <c r="M7940" s="4"/>
      <c r="N7940" s="3" t="s">
        <v>37</v>
      </c>
      <c r="O7940" s="3" t="s">
        <v>52</v>
      </c>
      <c r="P7940" s="5">
        <v>8</v>
      </c>
      <c r="Q7940" s="5">
        <v>92</v>
      </c>
      <c r="R7940" s="5">
        <v>8</v>
      </c>
      <c r="S7940" s="5">
        <v>89</v>
      </c>
    </row>
    <row r="7941" spans="1:19" ht="28" x14ac:dyDescent="0.15">
      <c r="A7941" s="2">
        <f>HYPERLINK("https://open-school.uspishnemisto.com.ua/school/460634/", 460634)</f>
        <v>460634</v>
      </c>
      <c r="B7941" s="3" t="s">
        <v>40953</v>
      </c>
      <c r="C7941" s="3" t="s">
        <v>31</v>
      </c>
      <c r="D7941" s="3" t="s">
        <v>175</v>
      </c>
      <c r="E7941" s="4" t="s">
        <v>22</v>
      </c>
      <c r="F7941" s="4" t="s">
        <v>40954</v>
      </c>
      <c r="G7941" s="4" t="s">
        <v>40955</v>
      </c>
      <c r="H7941" s="3" t="s">
        <v>38194</v>
      </c>
      <c r="I7941" s="3" t="s">
        <v>28157</v>
      </c>
      <c r="J7941" s="3" t="s">
        <v>31385</v>
      </c>
      <c r="K7941" s="3" t="s">
        <v>40956</v>
      </c>
      <c r="L7941" s="3"/>
      <c r="M7941" s="4"/>
      <c r="N7941" s="3" t="s">
        <v>37</v>
      </c>
      <c r="O7941" s="3" t="s">
        <v>139</v>
      </c>
      <c r="P7941" s="5">
        <v>8</v>
      </c>
      <c r="Q7941" s="5">
        <v>56</v>
      </c>
      <c r="R7941" s="5">
        <v>8</v>
      </c>
      <c r="S7941" s="5">
        <v>62</v>
      </c>
    </row>
    <row r="7942" spans="1:19" ht="42" x14ac:dyDescent="0.15">
      <c r="A7942" s="2">
        <f>HYPERLINK("https://open-school.uspishnemisto.com.ua/school/460635/", 460635)</f>
        <v>460635</v>
      </c>
      <c r="B7942" s="3" t="s">
        <v>40957</v>
      </c>
      <c r="C7942" s="3" t="s">
        <v>54</v>
      </c>
      <c r="D7942" s="3" t="s">
        <v>175</v>
      </c>
      <c r="E7942" s="4" t="s">
        <v>22</v>
      </c>
      <c r="F7942" s="4" t="s">
        <v>40958</v>
      </c>
      <c r="G7942" s="4" t="s">
        <v>40959</v>
      </c>
      <c r="H7942" s="3" t="s">
        <v>38194</v>
      </c>
      <c r="I7942" s="3" t="s">
        <v>40960</v>
      </c>
      <c r="J7942" s="3" t="s">
        <v>40961</v>
      </c>
      <c r="K7942" s="3" t="s">
        <v>40962</v>
      </c>
      <c r="L7942" s="3"/>
      <c r="M7942" s="4"/>
      <c r="N7942" s="3" t="s">
        <v>37</v>
      </c>
      <c r="O7942" s="3" t="s">
        <v>52</v>
      </c>
      <c r="P7942" s="5">
        <v>9</v>
      </c>
      <c r="Q7942" s="5">
        <v>140</v>
      </c>
      <c r="R7942" s="5">
        <v>9</v>
      </c>
      <c r="S7942" s="5">
        <v>130</v>
      </c>
    </row>
    <row r="7943" spans="1:19" ht="28" x14ac:dyDescent="0.15">
      <c r="A7943" s="2">
        <f>HYPERLINK("https://open-school.uspishnemisto.com.ua/school/460636/", 460636)</f>
        <v>460636</v>
      </c>
      <c r="B7943" s="3" t="s">
        <v>40963</v>
      </c>
      <c r="C7943" s="3" t="s">
        <v>31</v>
      </c>
      <c r="D7943" s="3" t="s">
        <v>60</v>
      </c>
      <c r="E7943" s="4" t="s">
        <v>22</v>
      </c>
      <c r="F7943" s="4" t="s">
        <v>40958</v>
      </c>
      <c r="G7943" s="4" t="s">
        <v>40964</v>
      </c>
      <c r="H7943" s="3" t="s">
        <v>38194</v>
      </c>
      <c r="I7943" s="3" t="s">
        <v>40965</v>
      </c>
      <c r="J7943" s="3" t="s">
        <v>40966</v>
      </c>
      <c r="K7943" s="3"/>
      <c r="L7943" s="3" t="s">
        <v>40967</v>
      </c>
      <c r="M7943" s="4"/>
      <c r="N7943" s="3" t="s">
        <v>37</v>
      </c>
      <c r="O7943" s="3" t="s">
        <v>52</v>
      </c>
      <c r="P7943" s="5">
        <v>2</v>
      </c>
      <c r="Q7943" s="5">
        <v>25</v>
      </c>
      <c r="R7943" s="5">
        <v>3</v>
      </c>
      <c r="S7943" s="5">
        <v>29</v>
      </c>
    </row>
    <row r="7944" spans="1:19" ht="56" x14ac:dyDescent="0.15">
      <c r="A7944" s="2">
        <f>HYPERLINK("https://open-school.uspishnemisto.com.ua/school/460637/", 460637)</f>
        <v>460637</v>
      </c>
      <c r="B7944" s="3" t="s">
        <v>40968</v>
      </c>
      <c r="C7944" s="3" t="s">
        <v>54</v>
      </c>
      <c r="D7944" s="3" t="s">
        <v>175</v>
      </c>
      <c r="E7944" s="4" t="s">
        <v>22</v>
      </c>
      <c r="F7944" s="4" t="s">
        <v>40969</v>
      </c>
      <c r="G7944" s="4" t="s">
        <v>40970</v>
      </c>
      <c r="H7944" s="3" t="s">
        <v>38194</v>
      </c>
      <c r="I7944" s="3" t="s">
        <v>6560</v>
      </c>
      <c r="J7944" s="3" t="s">
        <v>18170</v>
      </c>
      <c r="K7944" s="3" t="s">
        <v>40971</v>
      </c>
      <c r="L7944" s="3"/>
      <c r="M7944" s="4"/>
      <c r="N7944" s="3" t="s">
        <v>37</v>
      </c>
      <c r="O7944" s="3" t="s">
        <v>52</v>
      </c>
      <c r="P7944" s="5">
        <v>9</v>
      </c>
      <c r="Q7944" s="5">
        <v>107</v>
      </c>
      <c r="R7944" s="5">
        <v>9</v>
      </c>
      <c r="S7944" s="5">
        <v>108</v>
      </c>
    </row>
    <row r="7945" spans="1:19" ht="56" x14ac:dyDescent="0.15">
      <c r="A7945" s="2">
        <f>HYPERLINK("https://open-school.uspishnemisto.com.ua/school/460638/", 460638)</f>
        <v>460638</v>
      </c>
      <c r="B7945" s="3" t="s">
        <v>40972</v>
      </c>
      <c r="C7945" s="3" t="s">
        <v>54</v>
      </c>
      <c r="D7945" s="3" t="s">
        <v>175</v>
      </c>
      <c r="E7945" s="4" t="s">
        <v>22</v>
      </c>
      <c r="F7945" s="4" t="s">
        <v>40973</v>
      </c>
      <c r="G7945" s="4" t="s">
        <v>40974</v>
      </c>
      <c r="H7945" s="3" t="s">
        <v>38194</v>
      </c>
      <c r="I7945" s="3" t="s">
        <v>40975</v>
      </c>
      <c r="J7945" s="3" t="s">
        <v>40976</v>
      </c>
      <c r="K7945" s="3" t="s">
        <v>40977</v>
      </c>
      <c r="L7945" s="3"/>
      <c r="M7945" s="4"/>
      <c r="N7945" s="3" t="s">
        <v>37</v>
      </c>
      <c r="O7945" s="3" t="s">
        <v>46</v>
      </c>
      <c r="P7945" s="5">
        <v>9</v>
      </c>
      <c r="Q7945" s="5">
        <v>136</v>
      </c>
      <c r="R7945" s="5">
        <v>9</v>
      </c>
      <c r="S7945" s="5">
        <v>142</v>
      </c>
    </row>
    <row r="7946" spans="1:19" ht="42" x14ac:dyDescent="0.15">
      <c r="A7946" s="2">
        <f>HYPERLINK("https://open-school.uspishnemisto.com.ua/school/460639/", 460639)</f>
        <v>460639</v>
      </c>
      <c r="B7946" s="3" t="s">
        <v>40978</v>
      </c>
      <c r="C7946" s="3" t="s">
        <v>54</v>
      </c>
      <c r="D7946" s="3" t="s">
        <v>32</v>
      </c>
      <c r="E7946" s="4" t="s">
        <v>22</v>
      </c>
      <c r="F7946" s="4" t="s">
        <v>40979</v>
      </c>
      <c r="G7946" s="4" t="s">
        <v>40980</v>
      </c>
      <c r="H7946" s="3" t="s">
        <v>38194</v>
      </c>
      <c r="I7946" s="3" t="s">
        <v>39470</v>
      </c>
      <c r="J7946" s="3" t="s">
        <v>2873</v>
      </c>
      <c r="K7946" s="3" t="s">
        <v>40981</v>
      </c>
      <c r="L7946" s="3"/>
      <c r="M7946" s="4"/>
      <c r="N7946" s="3" t="s">
        <v>37</v>
      </c>
      <c r="O7946" s="3" t="s">
        <v>46</v>
      </c>
      <c r="P7946" s="5">
        <v>10</v>
      </c>
      <c r="Q7946" s="5">
        <v>154</v>
      </c>
      <c r="R7946" s="5">
        <v>10</v>
      </c>
      <c r="S7946" s="5">
        <v>150</v>
      </c>
    </row>
    <row r="7947" spans="1:19" ht="28" x14ac:dyDescent="0.15">
      <c r="A7947" s="2">
        <f>HYPERLINK("https://open-school.uspishnemisto.com.ua/school/460640/", 460640)</f>
        <v>460640</v>
      </c>
      <c r="B7947" s="3" t="s">
        <v>40982</v>
      </c>
      <c r="C7947" s="3" t="s">
        <v>31</v>
      </c>
      <c r="D7947" s="3" t="s">
        <v>175</v>
      </c>
      <c r="E7947" s="4" t="s">
        <v>22</v>
      </c>
      <c r="F7947" s="4" t="s">
        <v>40866</v>
      </c>
      <c r="G7947" s="4" t="s">
        <v>40983</v>
      </c>
      <c r="H7947" s="3" t="s">
        <v>38194</v>
      </c>
      <c r="I7947" s="3" t="s">
        <v>40984</v>
      </c>
      <c r="J7947" s="3" t="s">
        <v>40985</v>
      </c>
      <c r="K7947" s="3" t="s">
        <v>40986</v>
      </c>
      <c r="L7947" s="3"/>
      <c r="M7947" s="4"/>
      <c r="N7947" s="3" t="s">
        <v>37</v>
      </c>
      <c r="O7947" s="3" t="s">
        <v>52</v>
      </c>
      <c r="P7947" s="5">
        <v>5</v>
      </c>
      <c r="Q7947" s="5">
        <v>44</v>
      </c>
      <c r="R7947" s="5">
        <v>6</v>
      </c>
      <c r="S7947" s="5">
        <v>48</v>
      </c>
    </row>
    <row r="7948" spans="1:19" ht="56" x14ac:dyDescent="0.15">
      <c r="A7948" s="2">
        <f>HYPERLINK("https://open-school.uspishnemisto.com.ua/school/460641/", 460641)</f>
        <v>460641</v>
      </c>
      <c r="B7948" s="3" t="s">
        <v>40987</v>
      </c>
      <c r="C7948" s="3" t="s">
        <v>54</v>
      </c>
      <c r="D7948" s="3" t="s">
        <v>32</v>
      </c>
      <c r="E7948" s="4" t="s">
        <v>22</v>
      </c>
      <c r="F7948" s="4" t="s">
        <v>40988</v>
      </c>
      <c r="G7948" s="4" t="s">
        <v>40989</v>
      </c>
      <c r="H7948" s="3" t="s">
        <v>38194</v>
      </c>
      <c r="I7948" s="3" t="s">
        <v>40990</v>
      </c>
      <c r="J7948" s="3" t="s">
        <v>5832</v>
      </c>
      <c r="K7948" s="3" t="s">
        <v>40991</v>
      </c>
      <c r="L7948" s="3"/>
      <c r="M7948" s="4"/>
      <c r="N7948" s="3" t="s">
        <v>37</v>
      </c>
      <c r="O7948" s="3" t="s">
        <v>52</v>
      </c>
      <c r="P7948" s="5">
        <v>11</v>
      </c>
      <c r="Q7948" s="5">
        <v>192</v>
      </c>
      <c r="R7948" s="5">
        <v>11</v>
      </c>
      <c r="S7948" s="5">
        <v>184</v>
      </c>
    </row>
    <row r="7949" spans="1:19" ht="28" x14ac:dyDescent="0.15">
      <c r="A7949" s="2">
        <f>HYPERLINK("https://open-school.uspishnemisto.com.ua/school/460642/", 460642)</f>
        <v>460642</v>
      </c>
      <c r="B7949" s="3" t="s">
        <v>40992</v>
      </c>
      <c r="C7949" s="3" t="s">
        <v>31</v>
      </c>
      <c r="D7949" s="3" t="s">
        <v>175</v>
      </c>
      <c r="E7949" s="4" t="s">
        <v>22</v>
      </c>
      <c r="F7949" s="4" t="s">
        <v>40993</v>
      </c>
      <c r="G7949" s="4" t="s">
        <v>40994</v>
      </c>
      <c r="H7949" s="3" t="s">
        <v>38194</v>
      </c>
      <c r="I7949" s="3" t="s">
        <v>40995</v>
      </c>
      <c r="J7949" s="3" t="s">
        <v>1348</v>
      </c>
      <c r="K7949" s="3"/>
      <c r="L7949" s="3"/>
      <c r="M7949" s="4"/>
      <c r="N7949" s="3" t="s">
        <v>37</v>
      </c>
      <c r="O7949" s="3" t="s">
        <v>52</v>
      </c>
      <c r="P7949" s="5">
        <v>9</v>
      </c>
      <c r="Q7949" s="5">
        <v>61</v>
      </c>
      <c r="R7949" s="5">
        <v>9</v>
      </c>
      <c r="S7949" s="5">
        <v>58</v>
      </c>
    </row>
    <row r="7950" spans="1:19" ht="42" x14ac:dyDescent="0.15">
      <c r="A7950" s="2">
        <f>HYPERLINK("https://open-school.uspishnemisto.com.ua/school/460643/", 460643)</f>
        <v>460643</v>
      </c>
      <c r="B7950" s="3" t="s">
        <v>40996</v>
      </c>
      <c r="C7950" s="3" t="s">
        <v>54</v>
      </c>
      <c r="D7950" s="3" t="s">
        <v>32</v>
      </c>
      <c r="E7950" s="4" t="s">
        <v>22</v>
      </c>
      <c r="F7950" s="4" t="s">
        <v>40997</v>
      </c>
      <c r="G7950" s="4" t="s">
        <v>40998</v>
      </c>
      <c r="H7950" s="3" t="s">
        <v>38194</v>
      </c>
      <c r="I7950" s="3" t="s">
        <v>5961</v>
      </c>
      <c r="J7950" s="3" t="s">
        <v>4442</v>
      </c>
      <c r="K7950" s="3" t="s">
        <v>40999</v>
      </c>
      <c r="L7950" s="3"/>
      <c r="M7950" s="4"/>
      <c r="N7950" s="3" t="s">
        <v>37</v>
      </c>
      <c r="O7950" s="3" t="s">
        <v>2740</v>
      </c>
      <c r="P7950" s="5">
        <v>11</v>
      </c>
      <c r="Q7950" s="5">
        <v>176</v>
      </c>
      <c r="R7950" s="5">
        <v>11</v>
      </c>
      <c r="S7950" s="5">
        <v>166</v>
      </c>
    </row>
    <row r="7951" spans="1:19" ht="56" x14ac:dyDescent="0.15">
      <c r="A7951" s="2">
        <f>HYPERLINK("https://open-school.uspishnemisto.com.ua/school/460644/", 460644)</f>
        <v>460644</v>
      </c>
      <c r="B7951" s="3" t="s">
        <v>41000</v>
      </c>
      <c r="C7951" s="3" t="s">
        <v>54</v>
      </c>
      <c r="D7951" s="3" t="s">
        <v>32</v>
      </c>
      <c r="E7951" s="4" t="s">
        <v>22</v>
      </c>
      <c r="F7951" s="4" t="s">
        <v>41001</v>
      </c>
      <c r="G7951" s="4" t="s">
        <v>41002</v>
      </c>
      <c r="H7951" s="3" t="s">
        <v>38194</v>
      </c>
      <c r="I7951" s="3" t="s">
        <v>41003</v>
      </c>
      <c r="J7951" s="3" t="s">
        <v>41004</v>
      </c>
      <c r="K7951" s="3" t="s">
        <v>41005</v>
      </c>
      <c r="L7951" s="3"/>
      <c r="M7951" s="4"/>
      <c r="N7951" s="3" t="s">
        <v>37</v>
      </c>
      <c r="O7951" s="3" t="s">
        <v>46</v>
      </c>
      <c r="P7951" s="5">
        <v>10</v>
      </c>
      <c r="Q7951" s="5">
        <v>87</v>
      </c>
      <c r="R7951" s="5">
        <v>10</v>
      </c>
      <c r="S7951" s="5">
        <v>88</v>
      </c>
    </row>
    <row r="7952" spans="1:19" ht="28" x14ac:dyDescent="0.15">
      <c r="A7952" s="2">
        <f>HYPERLINK("https://open-school.uspishnemisto.com.ua/school/460645/", 460645)</f>
        <v>460645</v>
      </c>
      <c r="B7952" s="3" t="s">
        <v>41006</v>
      </c>
      <c r="C7952" s="3" t="s">
        <v>31</v>
      </c>
      <c r="D7952" s="3" t="s">
        <v>175</v>
      </c>
      <c r="E7952" s="4" t="s">
        <v>22</v>
      </c>
      <c r="F7952" s="4" t="s">
        <v>41007</v>
      </c>
      <c r="G7952" s="4" t="s">
        <v>41008</v>
      </c>
      <c r="H7952" s="3" t="s">
        <v>38194</v>
      </c>
      <c r="I7952" s="3" t="s">
        <v>41009</v>
      </c>
      <c r="J7952" s="3" t="s">
        <v>41010</v>
      </c>
      <c r="K7952" s="3" t="s">
        <v>41011</v>
      </c>
      <c r="L7952" s="3"/>
      <c r="M7952" s="4"/>
      <c r="N7952" s="3" t="s">
        <v>37</v>
      </c>
      <c r="O7952" s="3" t="s">
        <v>46</v>
      </c>
      <c r="P7952" s="5">
        <v>9</v>
      </c>
      <c r="Q7952" s="5">
        <v>92</v>
      </c>
      <c r="R7952" s="5">
        <v>9</v>
      </c>
      <c r="S7952" s="5">
        <v>90</v>
      </c>
    </row>
    <row r="7953" spans="1:19" ht="42" x14ac:dyDescent="0.15">
      <c r="A7953" s="2">
        <f>HYPERLINK("https://open-school.uspishnemisto.com.ua/school/460646/", 460646)</f>
        <v>460646</v>
      </c>
      <c r="B7953" s="3" t="s">
        <v>41012</v>
      </c>
      <c r="C7953" s="3" t="s">
        <v>31</v>
      </c>
      <c r="D7953" s="3" t="s">
        <v>32</v>
      </c>
      <c r="E7953" s="4" t="s">
        <v>22</v>
      </c>
      <c r="F7953" s="4" t="s">
        <v>41013</v>
      </c>
      <c r="G7953" s="4" t="s">
        <v>41014</v>
      </c>
      <c r="H7953" s="3" t="s">
        <v>38194</v>
      </c>
      <c r="I7953" s="3" t="s">
        <v>41015</v>
      </c>
      <c r="J7953" s="3" t="s">
        <v>41016</v>
      </c>
      <c r="K7953" s="3" t="s">
        <v>41017</v>
      </c>
      <c r="L7953" s="3"/>
      <c r="M7953" s="4"/>
      <c r="N7953" s="3" t="s">
        <v>37</v>
      </c>
      <c r="O7953" s="3" t="s">
        <v>2740</v>
      </c>
      <c r="P7953" s="5">
        <v>11</v>
      </c>
      <c r="Q7953" s="5">
        <v>166</v>
      </c>
      <c r="R7953" s="5">
        <v>11</v>
      </c>
      <c r="S7953" s="5">
        <v>160</v>
      </c>
    </row>
    <row r="7954" spans="1:19" ht="28" x14ac:dyDescent="0.15">
      <c r="A7954" s="2">
        <f>HYPERLINK("https://open-school.uspishnemisto.com.ua/school/460647/", 460647)</f>
        <v>460647</v>
      </c>
      <c r="B7954" s="3" t="s">
        <v>41018</v>
      </c>
      <c r="C7954" s="3" t="s">
        <v>31</v>
      </c>
      <c r="D7954" s="3" t="s">
        <v>175</v>
      </c>
      <c r="E7954" s="4" t="s">
        <v>22</v>
      </c>
      <c r="F7954" s="4" t="s">
        <v>41019</v>
      </c>
      <c r="G7954" s="4" t="s">
        <v>41020</v>
      </c>
      <c r="H7954" s="3" t="s">
        <v>38194</v>
      </c>
      <c r="I7954" s="3" t="s">
        <v>41021</v>
      </c>
      <c r="J7954" s="3" t="s">
        <v>1576</v>
      </c>
      <c r="K7954" s="3"/>
      <c r="L7954" s="3"/>
      <c r="M7954" s="4"/>
      <c r="N7954" s="3" t="s">
        <v>37</v>
      </c>
      <c r="O7954" s="3" t="s">
        <v>11684</v>
      </c>
      <c r="P7954" s="5">
        <v>6</v>
      </c>
      <c r="Q7954" s="5">
        <v>38</v>
      </c>
      <c r="R7954" s="5">
        <v>5</v>
      </c>
      <c r="S7954" s="5">
        <v>37</v>
      </c>
    </row>
    <row r="7955" spans="1:19" ht="28" x14ac:dyDescent="0.15">
      <c r="A7955" s="2">
        <f>HYPERLINK("https://open-school.uspishnemisto.com.ua/school/460648/", 460648)</f>
        <v>460648</v>
      </c>
      <c r="B7955" s="3" t="s">
        <v>41022</v>
      </c>
      <c r="C7955" s="3" t="s">
        <v>31</v>
      </c>
      <c r="D7955" s="3" t="s">
        <v>175</v>
      </c>
      <c r="E7955" s="4" t="s">
        <v>22</v>
      </c>
      <c r="F7955" s="4" t="s">
        <v>41023</v>
      </c>
      <c r="G7955" s="4" t="s">
        <v>41024</v>
      </c>
      <c r="H7955" s="3" t="s">
        <v>38194</v>
      </c>
      <c r="I7955" s="3" t="s">
        <v>41025</v>
      </c>
      <c r="J7955" s="3" t="s">
        <v>41026</v>
      </c>
      <c r="K7955" s="3" t="s">
        <v>41027</v>
      </c>
      <c r="L7955" s="3"/>
      <c r="M7955" s="4"/>
      <c r="N7955" s="3" t="s">
        <v>37</v>
      </c>
      <c r="O7955" s="3" t="s">
        <v>52</v>
      </c>
      <c r="P7955" s="5">
        <v>6</v>
      </c>
      <c r="Q7955" s="5">
        <v>43</v>
      </c>
      <c r="R7955" s="5">
        <v>5</v>
      </c>
      <c r="S7955" s="5">
        <v>39</v>
      </c>
    </row>
    <row r="7956" spans="1:19" ht="56" x14ac:dyDescent="0.15">
      <c r="A7956" s="2">
        <f>HYPERLINK("https://open-school.uspishnemisto.com.ua/school/460649/", 460649)</f>
        <v>460649</v>
      </c>
      <c r="B7956" s="3" t="s">
        <v>41028</v>
      </c>
      <c r="C7956" s="3" t="s">
        <v>54</v>
      </c>
      <c r="D7956" s="3" t="s">
        <v>175</v>
      </c>
      <c r="E7956" s="4" t="s">
        <v>22</v>
      </c>
      <c r="F7956" s="4" t="s">
        <v>41029</v>
      </c>
      <c r="G7956" s="4" t="s">
        <v>41030</v>
      </c>
      <c r="H7956" s="3" t="s">
        <v>38194</v>
      </c>
      <c r="I7956" s="3" t="s">
        <v>41031</v>
      </c>
      <c r="J7956" s="3" t="s">
        <v>41032</v>
      </c>
      <c r="K7956" s="3" t="s">
        <v>41033</v>
      </c>
      <c r="L7956" s="3"/>
      <c r="M7956" s="4"/>
      <c r="N7956" s="3" t="s">
        <v>37</v>
      </c>
      <c r="O7956" s="3" t="s">
        <v>52</v>
      </c>
      <c r="P7956" s="5">
        <v>6</v>
      </c>
      <c r="Q7956" s="5">
        <v>48</v>
      </c>
      <c r="R7956" s="5">
        <v>6</v>
      </c>
      <c r="S7956" s="5">
        <v>50</v>
      </c>
    </row>
    <row r="7957" spans="1:19" ht="28" x14ac:dyDescent="0.15">
      <c r="A7957" s="2">
        <f>HYPERLINK("https://open-school.uspishnemisto.com.ua/school/460650/", 460650)</f>
        <v>460650</v>
      </c>
      <c r="B7957" s="3" t="s">
        <v>41034</v>
      </c>
      <c r="C7957" s="3" t="s">
        <v>31</v>
      </c>
      <c r="D7957" s="3" t="s">
        <v>32</v>
      </c>
      <c r="E7957" s="4" t="s">
        <v>22</v>
      </c>
      <c r="F7957" s="4" t="s">
        <v>41035</v>
      </c>
      <c r="G7957" s="4" t="s">
        <v>41036</v>
      </c>
      <c r="H7957" s="3" t="s">
        <v>38194</v>
      </c>
      <c r="I7957" s="3" t="s">
        <v>41037</v>
      </c>
      <c r="J7957" s="3" t="s">
        <v>41038</v>
      </c>
      <c r="K7957" s="3" t="s">
        <v>41039</v>
      </c>
      <c r="L7957" s="3"/>
      <c r="M7957" s="4"/>
      <c r="N7957" s="3" t="s">
        <v>37</v>
      </c>
      <c r="O7957" s="3" t="s">
        <v>46</v>
      </c>
      <c r="P7957" s="5">
        <v>23</v>
      </c>
      <c r="Q7957" s="5">
        <v>574</v>
      </c>
      <c r="R7957" s="5">
        <v>23</v>
      </c>
      <c r="S7957" s="5">
        <v>584</v>
      </c>
    </row>
    <row r="7958" spans="1:19" ht="28" x14ac:dyDescent="0.15">
      <c r="A7958" s="2">
        <f>HYPERLINK("https://open-school.uspishnemisto.com.ua/school/460651/", 460651)</f>
        <v>460651</v>
      </c>
      <c r="B7958" s="3" t="s">
        <v>41040</v>
      </c>
      <c r="C7958" s="3" t="s">
        <v>31</v>
      </c>
      <c r="D7958" s="3" t="s">
        <v>32</v>
      </c>
      <c r="E7958" s="4" t="s">
        <v>22</v>
      </c>
      <c r="F7958" s="4" t="s">
        <v>41035</v>
      </c>
      <c r="G7958" s="4" t="s">
        <v>41036</v>
      </c>
      <c r="H7958" s="3" t="s">
        <v>38194</v>
      </c>
      <c r="I7958" s="3" t="s">
        <v>41037</v>
      </c>
      <c r="J7958" s="3" t="s">
        <v>16093</v>
      </c>
      <c r="K7958" s="3" t="s">
        <v>41041</v>
      </c>
      <c r="L7958" s="3" t="s">
        <v>41042</v>
      </c>
      <c r="M7958" s="4"/>
      <c r="N7958" s="3" t="s">
        <v>37</v>
      </c>
      <c r="O7958" s="3" t="s">
        <v>46</v>
      </c>
      <c r="P7958" s="5">
        <v>23</v>
      </c>
      <c r="Q7958" s="5">
        <v>582</v>
      </c>
      <c r="R7958" s="5">
        <v>23</v>
      </c>
      <c r="S7958" s="5">
        <v>562</v>
      </c>
    </row>
    <row r="7959" spans="1:19" ht="28" x14ac:dyDescent="0.15">
      <c r="A7959" s="2">
        <f>HYPERLINK("https://open-school.uspishnemisto.com.ua/school/460652/", 460652)</f>
        <v>460652</v>
      </c>
      <c r="B7959" s="3" t="s">
        <v>41043</v>
      </c>
      <c r="C7959" s="3" t="s">
        <v>31</v>
      </c>
      <c r="D7959" s="3" t="s">
        <v>32</v>
      </c>
      <c r="E7959" s="4" t="s">
        <v>22</v>
      </c>
      <c r="F7959" s="4" t="s">
        <v>41035</v>
      </c>
      <c r="G7959" s="4" t="s">
        <v>41036</v>
      </c>
      <c r="H7959" s="3" t="s">
        <v>38194</v>
      </c>
      <c r="I7959" s="3" t="s">
        <v>41037</v>
      </c>
      <c r="J7959" s="3" t="s">
        <v>41044</v>
      </c>
      <c r="K7959" s="3" t="s">
        <v>41045</v>
      </c>
      <c r="L7959" s="3"/>
      <c r="M7959" s="4"/>
      <c r="N7959" s="3" t="s">
        <v>37</v>
      </c>
      <c r="O7959" s="3" t="s">
        <v>52</v>
      </c>
      <c r="P7959" s="5">
        <v>24</v>
      </c>
      <c r="Q7959" s="5">
        <v>692</v>
      </c>
      <c r="R7959" s="5">
        <v>24</v>
      </c>
      <c r="S7959" s="5">
        <v>681</v>
      </c>
    </row>
    <row r="7960" spans="1:19" ht="42" x14ac:dyDescent="0.15">
      <c r="A7960" s="2">
        <f>HYPERLINK("https://open-school.uspishnemisto.com.ua/school/460653/", 460653)</f>
        <v>460653</v>
      </c>
      <c r="B7960" s="3" t="s">
        <v>41046</v>
      </c>
      <c r="C7960" s="3" t="s">
        <v>181</v>
      </c>
      <c r="D7960" s="3" t="s">
        <v>32</v>
      </c>
      <c r="E7960" s="4" t="s">
        <v>22</v>
      </c>
      <c r="F7960" s="4" t="s">
        <v>41035</v>
      </c>
      <c r="G7960" s="4" t="s">
        <v>41036</v>
      </c>
      <c r="H7960" s="3" t="s">
        <v>38194</v>
      </c>
      <c r="I7960" s="3" t="s">
        <v>41037</v>
      </c>
      <c r="J7960" s="3" t="s">
        <v>41047</v>
      </c>
      <c r="K7960" s="3" t="s">
        <v>41048</v>
      </c>
      <c r="L7960" s="3"/>
      <c r="M7960" s="4" t="s">
        <v>41049</v>
      </c>
      <c r="N7960" s="3" t="s">
        <v>37</v>
      </c>
      <c r="O7960" s="3" t="s">
        <v>52</v>
      </c>
      <c r="P7960" s="5">
        <v>17</v>
      </c>
      <c r="Q7960" s="5">
        <v>127</v>
      </c>
      <c r="R7960" s="5">
        <v>18</v>
      </c>
      <c r="S7960" s="5">
        <v>130</v>
      </c>
    </row>
    <row r="7961" spans="1:19" ht="28" x14ac:dyDescent="0.15">
      <c r="A7961" s="2">
        <f>HYPERLINK("https://open-school.uspishnemisto.com.ua/school/460654/", 460654)</f>
        <v>460654</v>
      </c>
      <c r="B7961" s="3" t="s">
        <v>41050</v>
      </c>
      <c r="C7961" s="3" t="s">
        <v>31</v>
      </c>
      <c r="D7961" s="3" t="s">
        <v>32</v>
      </c>
      <c r="E7961" s="4" t="s">
        <v>22</v>
      </c>
      <c r="F7961" s="4" t="s">
        <v>41051</v>
      </c>
      <c r="G7961" s="4" t="s">
        <v>41052</v>
      </c>
      <c r="H7961" s="3" t="s">
        <v>38194</v>
      </c>
      <c r="I7961" s="3" t="s">
        <v>41053</v>
      </c>
      <c r="J7961" s="3" t="s">
        <v>28919</v>
      </c>
      <c r="K7961" s="3" t="s">
        <v>41054</v>
      </c>
      <c r="L7961" s="3"/>
      <c r="M7961" s="4"/>
      <c r="N7961" s="3" t="s">
        <v>37</v>
      </c>
      <c r="O7961" s="3" t="s">
        <v>237</v>
      </c>
      <c r="P7961" s="5">
        <v>33</v>
      </c>
      <c r="Q7961" s="5">
        <v>832</v>
      </c>
      <c r="R7961" s="5">
        <v>33</v>
      </c>
      <c r="S7961" s="5">
        <v>821</v>
      </c>
    </row>
    <row r="7962" spans="1:19" ht="28" x14ac:dyDescent="0.15">
      <c r="A7962" s="2">
        <f>HYPERLINK("https://open-school.uspishnemisto.com.ua/school/460655/", 460655)</f>
        <v>460655</v>
      </c>
      <c r="B7962" s="3" t="s">
        <v>41055</v>
      </c>
      <c r="C7962" s="3" t="s">
        <v>31</v>
      </c>
      <c r="D7962" s="3" t="s">
        <v>60</v>
      </c>
      <c r="E7962" s="4" t="s">
        <v>22</v>
      </c>
      <c r="F7962" s="4" t="s">
        <v>41056</v>
      </c>
      <c r="G7962" s="4" t="s">
        <v>41057</v>
      </c>
      <c r="H7962" s="3" t="s">
        <v>38194</v>
      </c>
      <c r="I7962" s="3" t="s">
        <v>41058</v>
      </c>
      <c r="J7962" s="3" t="s">
        <v>41059</v>
      </c>
      <c r="K7962" s="3"/>
      <c r="L7962" s="3"/>
      <c r="M7962" s="4"/>
      <c r="N7962" s="3" t="s">
        <v>37</v>
      </c>
      <c r="O7962" s="3" t="s">
        <v>52</v>
      </c>
      <c r="P7962" s="5">
        <v>3</v>
      </c>
      <c r="Q7962" s="5">
        <v>30</v>
      </c>
      <c r="R7962" s="5">
        <v>3</v>
      </c>
      <c r="S7962" s="5">
        <v>26</v>
      </c>
    </row>
    <row r="7963" spans="1:19" ht="28" x14ac:dyDescent="0.15">
      <c r="A7963" s="2">
        <f>HYPERLINK("https://open-school.uspishnemisto.com.ua/school/460656/", 460656)</f>
        <v>460656</v>
      </c>
      <c r="B7963" s="3" t="s">
        <v>41060</v>
      </c>
      <c r="C7963" s="3" t="s">
        <v>54</v>
      </c>
      <c r="D7963" s="3" t="s">
        <v>32</v>
      </c>
      <c r="E7963" s="4" t="s">
        <v>22</v>
      </c>
      <c r="F7963" s="4" t="s">
        <v>41061</v>
      </c>
      <c r="G7963" s="4" t="s">
        <v>41062</v>
      </c>
      <c r="H7963" s="3" t="s">
        <v>38194</v>
      </c>
      <c r="I7963" s="3" t="s">
        <v>41063</v>
      </c>
      <c r="J7963" s="3" t="s">
        <v>41064</v>
      </c>
      <c r="K7963" s="3" t="s">
        <v>41065</v>
      </c>
      <c r="L7963" s="3"/>
      <c r="M7963" s="4"/>
      <c r="N7963" s="3" t="s">
        <v>37</v>
      </c>
      <c r="O7963" s="3" t="s">
        <v>46</v>
      </c>
      <c r="P7963" s="5">
        <v>11</v>
      </c>
      <c r="Q7963" s="5">
        <v>216</v>
      </c>
      <c r="R7963" s="5">
        <v>11</v>
      </c>
      <c r="S7963" s="5">
        <v>215</v>
      </c>
    </row>
    <row r="7964" spans="1:19" ht="28" x14ac:dyDescent="0.15">
      <c r="A7964" s="2">
        <f>HYPERLINK("https://open-school.uspishnemisto.com.ua/school/460657/", 460657)</f>
        <v>460657</v>
      </c>
      <c r="B7964" s="3" t="s">
        <v>41066</v>
      </c>
      <c r="C7964" s="3" t="s">
        <v>31</v>
      </c>
      <c r="D7964" s="3" t="s">
        <v>32</v>
      </c>
      <c r="E7964" s="4" t="s">
        <v>22</v>
      </c>
      <c r="F7964" s="4" t="s">
        <v>41061</v>
      </c>
      <c r="G7964" s="4" t="s">
        <v>41062</v>
      </c>
      <c r="H7964" s="3" t="s">
        <v>38194</v>
      </c>
      <c r="I7964" s="3" t="s">
        <v>41063</v>
      </c>
      <c r="J7964" s="3" t="s">
        <v>41067</v>
      </c>
      <c r="K7964" s="3"/>
      <c r="L7964" s="3"/>
      <c r="M7964" s="4"/>
      <c r="N7964" s="3" t="s">
        <v>37</v>
      </c>
      <c r="O7964" s="3" t="s">
        <v>46</v>
      </c>
      <c r="P7964" s="5">
        <v>23</v>
      </c>
      <c r="Q7964" s="5">
        <v>424</v>
      </c>
      <c r="R7964" s="5">
        <v>20</v>
      </c>
      <c r="S7964" s="5">
        <v>383</v>
      </c>
    </row>
    <row r="7965" spans="1:19" ht="28" x14ac:dyDescent="0.15">
      <c r="A7965" s="2">
        <f>HYPERLINK("https://open-school.uspishnemisto.com.ua/school/460658/", 460658)</f>
        <v>460658</v>
      </c>
      <c r="B7965" s="3" t="s">
        <v>41068</v>
      </c>
      <c r="C7965" s="3" t="s">
        <v>31</v>
      </c>
      <c r="D7965" s="3" t="s">
        <v>32</v>
      </c>
      <c r="E7965" s="4" t="s">
        <v>22</v>
      </c>
      <c r="F7965" s="4" t="s">
        <v>41061</v>
      </c>
      <c r="G7965" s="4" t="s">
        <v>41062</v>
      </c>
      <c r="H7965" s="3" t="s">
        <v>38194</v>
      </c>
      <c r="I7965" s="3" t="s">
        <v>41063</v>
      </c>
      <c r="J7965" s="3" t="s">
        <v>41069</v>
      </c>
      <c r="K7965" s="3"/>
      <c r="L7965" s="3"/>
      <c r="M7965" s="4"/>
      <c r="N7965" s="3" t="s">
        <v>37</v>
      </c>
      <c r="O7965" s="3" t="s">
        <v>139</v>
      </c>
      <c r="P7965" s="5">
        <v>21</v>
      </c>
      <c r="Q7965" s="5">
        <v>495</v>
      </c>
      <c r="R7965" s="5">
        <v>21</v>
      </c>
      <c r="S7965" s="5">
        <v>500</v>
      </c>
    </row>
    <row r="7966" spans="1:19" ht="28" x14ac:dyDescent="0.15">
      <c r="A7966" s="2">
        <f>HYPERLINK("https://open-school.uspishnemisto.com.ua/school/460659/", 460659)</f>
        <v>460659</v>
      </c>
      <c r="B7966" s="3" t="s">
        <v>41070</v>
      </c>
      <c r="C7966" s="3" t="s">
        <v>4989</v>
      </c>
      <c r="D7966" s="3" t="s">
        <v>32</v>
      </c>
      <c r="E7966" s="4" t="s">
        <v>22</v>
      </c>
      <c r="F7966" s="4" t="s">
        <v>41061</v>
      </c>
      <c r="G7966" s="4" t="s">
        <v>41062</v>
      </c>
      <c r="H7966" s="3" t="s">
        <v>38194</v>
      </c>
      <c r="I7966" s="3" t="s">
        <v>41063</v>
      </c>
      <c r="J7966" s="3" t="s">
        <v>41071</v>
      </c>
      <c r="K7966" s="3" t="s">
        <v>41072</v>
      </c>
      <c r="L7966" s="3"/>
      <c r="M7966" s="4" t="s">
        <v>41073</v>
      </c>
      <c r="N7966" s="3" t="s">
        <v>37</v>
      </c>
      <c r="O7966" s="3" t="s">
        <v>139</v>
      </c>
      <c r="P7966" s="5">
        <v>16</v>
      </c>
      <c r="Q7966" s="5">
        <v>307</v>
      </c>
      <c r="R7966" s="5">
        <v>16</v>
      </c>
      <c r="S7966" s="5">
        <v>289</v>
      </c>
    </row>
    <row r="7967" spans="1:19" ht="28" x14ac:dyDescent="0.15">
      <c r="A7967" s="2">
        <f>HYPERLINK("https://open-school.uspishnemisto.com.ua/school/460660/", 460660)</f>
        <v>460660</v>
      </c>
      <c r="B7967" s="3" t="s">
        <v>41074</v>
      </c>
      <c r="C7967" s="3" t="s">
        <v>31</v>
      </c>
      <c r="D7967" s="3" t="s">
        <v>32</v>
      </c>
      <c r="E7967" s="4" t="s">
        <v>22</v>
      </c>
      <c r="F7967" s="4" t="s">
        <v>41075</v>
      </c>
      <c r="G7967" s="4" t="s">
        <v>41076</v>
      </c>
      <c r="H7967" s="3" t="s">
        <v>38194</v>
      </c>
      <c r="I7967" s="3" t="s">
        <v>41077</v>
      </c>
      <c r="J7967" s="3" t="s">
        <v>41078</v>
      </c>
      <c r="K7967" s="3"/>
      <c r="L7967" s="3"/>
      <c r="M7967" s="4"/>
      <c r="N7967" s="3" t="s">
        <v>37</v>
      </c>
      <c r="O7967" s="3" t="s">
        <v>139</v>
      </c>
      <c r="P7967" s="5">
        <v>22</v>
      </c>
      <c r="Q7967" s="5">
        <v>552</v>
      </c>
      <c r="R7967" s="5">
        <v>22</v>
      </c>
      <c r="S7967" s="5">
        <v>516</v>
      </c>
    </row>
    <row r="7968" spans="1:19" ht="28" x14ac:dyDescent="0.15">
      <c r="A7968" s="2">
        <f>HYPERLINK("https://open-school.uspishnemisto.com.ua/school/460661/", 460661)</f>
        <v>460661</v>
      </c>
      <c r="B7968" s="3" t="s">
        <v>41079</v>
      </c>
      <c r="C7968" s="3" t="s">
        <v>31</v>
      </c>
      <c r="D7968" s="3" t="s">
        <v>175</v>
      </c>
      <c r="E7968" s="4" t="s">
        <v>22</v>
      </c>
      <c r="F7968" s="4" t="s">
        <v>41080</v>
      </c>
      <c r="G7968" s="4" t="s">
        <v>41081</v>
      </c>
      <c r="H7968" s="3" t="s">
        <v>38194</v>
      </c>
      <c r="I7968" s="3" t="s">
        <v>41082</v>
      </c>
      <c r="J7968" s="3" t="s">
        <v>41083</v>
      </c>
      <c r="K7968" s="3" t="s">
        <v>41084</v>
      </c>
      <c r="L7968" s="3"/>
      <c r="M7968" s="4"/>
      <c r="N7968" s="3" t="s">
        <v>37</v>
      </c>
      <c r="O7968" s="3" t="s">
        <v>139</v>
      </c>
      <c r="P7968" s="5">
        <v>9</v>
      </c>
      <c r="Q7968" s="5">
        <v>124</v>
      </c>
      <c r="R7968" s="5">
        <v>9</v>
      </c>
      <c r="S7968" s="5">
        <v>131</v>
      </c>
    </row>
    <row r="7969" spans="1:19" ht="42" x14ac:dyDescent="0.15">
      <c r="A7969" s="2">
        <f>HYPERLINK("https://open-school.uspishnemisto.com.ua/school/460662/", 460662)</f>
        <v>460662</v>
      </c>
      <c r="B7969" s="3" t="s">
        <v>41085</v>
      </c>
      <c r="C7969" s="3" t="s">
        <v>31</v>
      </c>
      <c r="D7969" s="3" t="s">
        <v>32</v>
      </c>
      <c r="E7969" s="4" t="s">
        <v>22</v>
      </c>
      <c r="F7969" s="4" t="s">
        <v>41086</v>
      </c>
      <c r="G7969" s="4" t="s">
        <v>41087</v>
      </c>
      <c r="H7969" s="3" t="s">
        <v>38194</v>
      </c>
      <c r="I7969" s="3" t="s">
        <v>41088</v>
      </c>
      <c r="J7969" s="3" t="s">
        <v>41089</v>
      </c>
      <c r="K7969" s="3" t="s">
        <v>41090</v>
      </c>
      <c r="L7969" s="3"/>
      <c r="M7969" s="4"/>
      <c r="N7969" s="3" t="s">
        <v>37</v>
      </c>
      <c r="O7969" s="3" t="s">
        <v>52</v>
      </c>
      <c r="P7969" s="5">
        <v>15</v>
      </c>
      <c r="Q7969" s="5">
        <v>297</v>
      </c>
      <c r="R7969" s="5">
        <v>15</v>
      </c>
      <c r="S7969" s="5">
        <v>292</v>
      </c>
    </row>
    <row r="7970" spans="1:19" ht="28" x14ac:dyDescent="0.15">
      <c r="A7970" s="2">
        <f>HYPERLINK("https://open-school.uspishnemisto.com.ua/school/460663/", 460663)</f>
        <v>460663</v>
      </c>
      <c r="B7970" s="3" t="s">
        <v>41091</v>
      </c>
      <c r="C7970" s="3" t="s">
        <v>31</v>
      </c>
      <c r="D7970" s="3" t="s">
        <v>175</v>
      </c>
      <c r="E7970" s="4" t="s">
        <v>22</v>
      </c>
      <c r="F7970" s="4"/>
      <c r="G7970" s="4" t="s">
        <v>41092</v>
      </c>
      <c r="H7970" s="3" t="s">
        <v>38194</v>
      </c>
      <c r="I7970" s="3" t="s">
        <v>41093</v>
      </c>
      <c r="J7970" s="3" t="s">
        <v>41094</v>
      </c>
      <c r="K7970" s="3"/>
      <c r="L7970" s="3"/>
      <c r="M7970" s="4"/>
      <c r="N7970" s="3" t="s">
        <v>37</v>
      </c>
      <c r="O7970" s="3" t="s">
        <v>52</v>
      </c>
      <c r="P7970" s="5">
        <v>8</v>
      </c>
      <c r="Q7970" s="5">
        <v>77</v>
      </c>
      <c r="R7970" s="5">
        <v>8</v>
      </c>
      <c r="S7970" s="5">
        <v>74</v>
      </c>
    </row>
    <row r="7971" spans="1:19" ht="28" x14ac:dyDescent="0.15">
      <c r="A7971" s="2">
        <f>HYPERLINK("https://open-school.uspishnemisto.com.ua/school/460664/", 460664)</f>
        <v>460664</v>
      </c>
      <c r="B7971" s="3" t="s">
        <v>41095</v>
      </c>
      <c r="C7971" s="3" t="s">
        <v>31</v>
      </c>
      <c r="D7971" s="3" t="s">
        <v>175</v>
      </c>
      <c r="E7971" s="4" t="s">
        <v>22</v>
      </c>
      <c r="F7971" s="4" t="s">
        <v>41096</v>
      </c>
      <c r="G7971" s="4" t="s">
        <v>41097</v>
      </c>
      <c r="H7971" s="3" t="s">
        <v>38194</v>
      </c>
      <c r="I7971" s="3" t="s">
        <v>41098</v>
      </c>
      <c r="J7971" s="3" t="s">
        <v>41099</v>
      </c>
      <c r="K7971" s="3" t="s">
        <v>41100</v>
      </c>
      <c r="L7971" s="3"/>
      <c r="M7971" s="4"/>
      <c r="N7971" s="3" t="s">
        <v>37</v>
      </c>
      <c r="O7971" s="3" t="s">
        <v>52</v>
      </c>
      <c r="P7971" s="5">
        <v>11</v>
      </c>
      <c r="Q7971" s="5">
        <v>231</v>
      </c>
      <c r="R7971" s="5">
        <v>11</v>
      </c>
      <c r="S7971" s="5">
        <v>226</v>
      </c>
    </row>
    <row r="7972" spans="1:19" ht="28" x14ac:dyDescent="0.15">
      <c r="A7972" s="2">
        <f>HYPERLINK("https://open-school.uspishnemisto.com.ua/school/460665/", 460665)</f>
        <v>460665</v>
      </c>
      <c r="B7972" s="3" t="s">
        <v>41101</v>
      </c>
      <c r="C7972" s="3" t="s">
        <v>31</v>
      </c>
      <c r="D7972" s="3" t="s">
        <v>32</v>
      </c>
      <c r="E7972" s="4" t="s">
        <v>22</v>
      </c>
      <c r="F7972" s="4" t="s">
        <v>41102</v>
      </c>
      <c r="G7972" s="4" t="s">
        <v>41103</v>
      </c>
      <c r="H7972" s="3" t="s">
        <v>38194</v>
      </c>
      <c r="I7972" s="3" t="s">
        <v>41104</v>
      </c>
      <c r="J7972" s="3" t="s">
        <v>761</v>
      </c>
      <c r="K7972" s="3" t="s">
        <v>41105</v>
      </c>
      <c r="L7972" s="3" t="s">
        <v>41106</v>
      </c>
      <c r="M7972" s="4"/>
      <c r="N7972" s="3" t="s">
        <v>37</v>
      </c>
      <c r="O7972" s="3" t="s">
        <v>52</v>
      </c>
      <c r="P7972" s="5">
        <v>11</v>
      </c>
      <c r="Q7972" s="5">
        <v>151</v>
      </c>
      <c r="R7972" s="5">
        <v>11</v>
      </c>
      <c r="S7972" s="5">
        <v>149</v>
      </c>
    </row>
    <row r="7973" spans="1:19" ht="28" x14ac:dyDescent="0.15">
      <c r="A7973" s="2">
        <f>HYPERLINK("https://open-school.uspishnemisto.com.ua/school/460666/", 460666)</f>
        <v>460666</v>
      </c>
      <c r="B7973" s="3" t="s">
        <v>41107</v>
      </c>
      <c r="C7973" s="3" t="s">
        <v>31</v>
      </c>
      <c r="D7973" s="3" t="s">
        <v>60</v>
      </c>
      <c r="E7973" s="4" t="s">
        <v>22</v>
      </c>
      <c r="F7973" s="4" t="s">
        <v>41108</v>
      </c>
      <c r="G7973" s="4" t="s">
        <v>41109</v>
      </c>
      <c r="H7973" s="3" t="s">
        <v>38194</v>
      </c>
      <c r="I7973" s="3" t="s">
        <v>41110</v>
      </c>
      <c r="J7973" s="3" t="s">
        <v>22278</v>
      </c>
      <c r="K7973" s="3"/>
      <c r="L7973" s="3"/>
      <c r="M7973" s="4"/>
      <c r="N7973" s="3" t="s">
        <v>37</v>
      </c>
      <c r="O7973" s="3" t="s">
        <v>52</v>
      </c>
      <c r="P7973" s="5">
        <v>3</v>
      </c>
      <c r="Q7973" s="5">
        <v>24</v>
      </c>
      <c r="R7973" s="5">
        <v>2</v>
      </c>
      <c r="S7973" s="5">
        <v>19</v>
      </c>
    </row>
    <row r="7974" spans="1:19" ht="28" x14ac:dyDescent="0.15">
      <c r="A7974" s="2">
        <f>HYPERLINK("https://open-school.uspishnemisto.com.ua/school/460667/", 460667)</f>
        <v>460667</v>
      </c>
      <c r="B7974" s="3" t="s">
        <v>41111</v>
      </c>
      <c r="C7974" s="3" t="s">
        <v>31</v>
      </c>
      <c r="D7974" s="3" t="s">
        <v>175</v>
      </c>
      <c r="E7974" s="4" t="s">
        <v>22</v>
      </c>
      <c r="F7974" s="4" t="s">
        <v>41075</v>
      </c>
      <c r="G7974" s="4" t="s">
        <v>41112</v>
      </c>
      <c r="H7974" s="3" t="s">
        <v>38194</v>
      </c>
      <c r="I7974" s="3" t="s">
        <v>41113</v>
      </c>
      <c r="J7974" s="3" t="s">
        <v>41114</v>
      </c>
      <c r="K7974" s="3" t="s">
        <v>41115</v>
      </c>
      <c r="L7974" s="3"/>
      <c r="M7974" s="4"/>
      <c r="N7974" s="3" t="s">
        <v>37</v>
      </c>
      <c r="O7974" s="3" t="s">
        <v>139</v>
      </c>
      <c r="P7974" s="5">
        <v>9</v>
      </c>
      <c r="Q7974" s="5">
        <v>115</v>
      </c>
      <c r="R7974" s="5">
        <v>9</v>
      </c>
      <c r="S7974" s="5">
        <v>120</v>
      </c>
    </row>
    <row r="7975" spans="1:19" ht="28" x14ac:dyDescent="0.15">
      <c r="A7975" s="2">
        <f>HYPERLINK("https://open-school.uspishnemisto.com.ua/school/460668/", 460668)</f>
        <v>460668</v>
      </c>
      <c r="B7975" s="3" t="s">
        <v>41116</v>
      </c>
      <c r="C7975" s="3" t="s">
        <v>31</v>
      </c>
      <c r="D7975" s="3" t="s">
        <v>175</v>
      </c>
      <c r="E7975" s="4" t="s">
        <v>22</v>
      </c>
      <c r="F7975" s="4" t="s">
        <v>41117</v>
      </c>
      <c r="G7975" s="4" t="s">
        <v>41118</v>
      </c>
      <c r="H7975" s="3" t="s">
        <v>38194</v>
      </c>
      <c r="I7975" s="3" t="s">
        <v>41119</v>
      </c>
      <c r="J7975" s="3" t="s">
        <v>41120</v>
      </c>
      <c r="K7975" s="3"/>
      <c r="L7975" s="3"/>
      <c r="M7975" s="4"/>
      <c r="N7975" s="3" t="s">
        <v>37</v>
      </c>
      <c r="O7975" s="3" t="s">
        <v>52</v>
      </c>
      <c r="P7975" s="5">
        <v>9</v>
      </c>
      <c r="Q7975" s="5">
        <v>152</v>
      </c>
      <c r="R7975" s="5">
        <v>9</v>
      </c>
      <c r="S7975" s="5">
        <v>149</v>
      </c>
    </row>
    <row r="7976" spans="1:19" ht="28" x14ac:dyDescent="0.15">
      <c r="A7976" s="2">
        <f>HYPERLINK("https://open-school.uspishnemisto.com.ua/school/460669/", 460669)</f>
        <v>460669</v>
      </c>
      <c r="B7976" s="3" t="s">
        <v>41121</v>
      </c>
      <c r="C7976" s="3" t="s">
        <v>31</v>
      </c>
      <c r="D7976" s="3" t="s">
        <v>32</v>
      </c>
      <c r="E7976" s="4" t="s">
        <v>22</v>
      </c>
      <c r="F7976" s="4" t="s">
        <v>41122</v>
      </c>
      <c r="G7976" s="4" t="s">
        <v>41123</v>
      </c>
      <c r="H7976" s="3" t="s">
        <v>38194</v>
      </c>
      <c r="I7976" s="3" t="s">
        <v>5961</v>
      </c>
      <c r="J7976" s="3" t="s">
        <v>41124</v>
      </c>
      <c r="K7976" s="3" t="s">
        <v>41125</v>
      </c>
      <c r="L7976" s="3"/>
      <c r="M7976" s="4"/>
      <c r="N7976" s="3" t="s">
        <v>37</v>
      </c>
      <c r="O7976" s="3" t="s">
        <v>52</v>
      </c>
      <c r="P7976" s="5">
        <v>16</v>
      </c>
      <c r="Q7976" s="5">
        <v>336</v>
      </c>
      <c r="R7976" s="5">
        <v>15</v>
      </c>
      <c r="S7976" s="5">
        <v>320</v>
      </c>
    </row>
    <row r="7977" spans="1:19" ht="28" x14ac:dyDescent="0.15">
      <c r="A7977" s="2">
        <f>HYPERLINK("https://open-school.uspishnemisto.com.ua/school/460670/", 460670)</f>
        <v>460670</v>
      </c>
      <c r="B7977" s="3" t="s">
        <v>41126</v>
      </c>
      <c r="C7977" s="3" t="s">
        <v>31</v>
      </c>
      <c r="D7977" s="3" t="s">
        <v>32</v>
      </c>
      <c r="E7977" s="4" t="s">
        <v>22</v>
      </c>
      <c r="F7977" s="4" t="s">
        <v>41127</v>
      </c>
      <c r="G7977" s="4" t="s">
        <v>41128</v>
      </c>
      <c r="H7977" s="3" t="s">
        <v>38194</v>
      </c>
      <c r="I7977" s="3" t="s">
        <v>41129</v>
      </c>
      <c r="J7977" s="3" t="s">
        <v>19284</v>
      </c>
      <c r="K7977" s="3" t="s">
        <v>41130</v>
      </c>
      <c r="L7977" s="3" t="s">
        <v>41131</v>
      </c>
      <c r="M7977" s="4"/>
      <c r="N7977" s="3" t="s">
        <v>37</v>
      </c>
      <c r="O7977" s="3" t="s">
        <v>123</v>
      </c>
      <c r="P7977" s="5">
        <v>14</v>
      </c>
      <c r="Q7977" s="5">
        <v>314</v>
      </c>
      <c r="R7977" s="5">
        <v>15</v>
      </c>
      <c r="S7977" s="5">
        <v>330</v>
      </c>
    </row>
    <row r="7978" spans="1:19" ht="28" x14ac:dyDescent="0.15">
      <c r="A7978" s="2">
        <f>HYPERLINK("https://open-school.uspishnemisto.com.ua/school/460671/", 460671)</f>
        <v>460671</v>
      </c>
      <c r="B7978" s="3" t="s">
        <v>41132</v>
      </c>
      <c r="C7978" s="3" t="s">
        <v>54</v>
      </c>
      <c r="D7978" s="3" t="s">
        <v>32</v>
      </c>
      <c r="E7978" s="4" t="s">
        <v>22</v>
      </c>
      <c r="F7978" s="4" t="s">
        <v>41133</v>
      </c>
      <c r="G7978" s="4" t="s">
        <v>41134</v>
      </c>
      <c r="H7978" s="3" t="s">
        <v>38194</v>
      </c>
      <c r="I7978" s="3" t="s">
        <v>1826</v>
      </c>
      <c r="J7978" s="3" t="s">
        <v>1482</v>
      </c>
      <c r="K7978" s="3" t="s">
        <v>41135</v>
      </c>
      <c r="L7978" s="3"/>
      <c r="M7978" s="4"/>
      <c r="N7978" s="3" t="s">
        <v>37</v>
      </c>
      <c r="O7978" s="3" t="s">
        <v>52</v>
      </c>
      <c r="P7978" s="5">
        <v>12</v>
      </c>
      <c r="Q7978" s="5">
        <v>266</v>
      </c>
      <c r="R7978" s="5">
        <v>12</v>
      </c>
      <c r="S7978" s="5">
        <v>268</v>
      </c>
    </row>
    <row r="7979" spans="1:19" ht="28" x14ac:dyDescent="0.15">
      <c r="A7979" s="2">
        <f>HYPERLINK("https://open-school.uspishnemisto.com.ua/school/460672/", 460672)</f>
        <v>460672</v>
      </c>
      <c r="B7979" s="3" t="s">
        <v>41136</v>
      </c>
      <c r="C7979" s="3" t="s">
        <v>31</v>
      </c>
      <c r="D7979" s="3" t="s">
        <v>32</v>
      </c>
      <c r="E7979" s="4" t="s">
        <v>22</v>
      </c>
      <c r="F7979" s="4" t="s">
        <v>41137</v>
      </c>
      <c r="G7979" s="4" t="s">
        <v>41138</v>
      </c>
      <c r="H7979" s="3" t="s">
        <v>38194</v>
      </c>
      <c r="I7979" s="3" t="s">
        <v>41139</v>
      </c>
      <c r="J7979" s="3" t="s">
        <v>41140</v>
      </c>
      <c r="K7979" s="3" t="s">
        <v>41141</v>
      </c>
      <c r="L7979" s="3"/>
      <c r="M7979" s="4"/>
      <c r="N7979" s="3" t="s">
        <v>37</v>
      </c>
      <c r="O7979" s="3" t="s">
        <v>46</v>
      </c>
      <c r="P7979" s="5">
        <v>11</v>
      </c>
      <c r="Q7979" s="5">
        <v>255</v>
      </c>
      <c r="R7979" s="5">
        <v>11</v>
      </c>
      <c r="S7979" s="5">
        <v>251</v>
      </c>
    </row>
    <row r="7980" spans="1:19" ht="28" x14ac:dyDescent="0.15">
      <c r="A7980" s="2">
        <f>HYPERLINK("https://open-school.uspishnemisto.com.ua/school/460673/", 460673)</f>
        <v>460673</v>
      </c>
      <c r="B7980" s="3" t="s">
        <v>41142</v>
      </c>
      <c r="C7980" s="3" t="s">
        <v>31</v>
      </c>
      <c r="D7980" s="3" t="s">
        <v>60</v>
      </c>
      <c r="E7980" s="4" t="s">
        <v>22</v>
      </c>
      <c r="F7980" s="4" t="s">
        <v>41137</v>
      </c>
      <c r="G7980" s="4" t="s">
        <v>41143</v>
      </c>
      <c r="H7980" s="3" t="s">
        <v>38194</v>
      </c>
      <c r="I7980" s="3" t="s">
        <v>41144</v>
      </c>
      <c r="J7980" s="3" t="s">
        <v>39196</v>
      </c>
      <c r="K7980" s="3" t="s">
        <v>41145</v>
      </c>
      <c r="L7980" s="3"/>
      <c r="M7980" s="4"/>
      <c r="N7980" s="3" t="s">
        <v>37</v>
      </c>
      <c r="O7980" s="3" t="s">
        <v>52</v>
      </c>
      <c r="P7980" s="5">
        <v>3</v>
      </c>
      <c r="Q7980" s="5">
        <v>33</v>
      </c>
      <c r="R7980" s="5">
        <v>2</v>
      </c>
      <c r="S7980" s="5">
        <v>32</v>
      </c>
    </row>
    <row r="7981" spans="1:19" ht="28" x14ac:dyDescent="0.15">
      <c r="A7981" s="2">
        <f>HYPERLINK("https://open-school.uspishnemisto.com.ua/school/460674/", 460674)</f>
        <v>460674</v>
      </c>
      <c r="B7981" s="3" t="s">
        <v>41146</v>
      </c>
      <c r="C7981" s="3" t="s">
        <v>31</v>
      </c>
      <c r="D7981" s="3" t="s">
        <v>175</v>
      </c>
      <c r="E7981" s="4" t="s">
        <v>22</v>
      </c>
      <c r="F7981" s="4" t="s">
        <v>41137</v>
      </c>
      <c r="G7981" s="4" t="s">
        <v>41147</v>
      </c>
      <c r="H7981" s="3" t="s">
        <v>38194</v>
      </c>
      <c r="I7981" s="3" t="s">
        <v>41148</v>
      </c>
      <c r="J7981" s="3" t="s">
        <v>30058</v>
      </c>
      <c r="K7981" s="3" t="s">
        <v>41149</v>
      </c>
      <c r="L7981" s="3"/>
      <c r="M7981" s="4"/>
      <c r="N7981" s="3" t="s">
        <v>37</v>
      </c>
      <c r="O7981" s="3" t="s">
        <v>52</v>
      </c>
      <c r="P7981" s="5">
        <v>9</v>
      </c>
      <c r="Q7981" s="5">
        <v>163</v>
      </c>
      <c r="R7981" s="5">
        <v>9</v>
      </c>
      <c r="S7981" s="5">
        <v>162</v>
      </c>
    </row>
    <row r="7982" spans="1:19" ht="28" x14ac:dyDescent="0.15">
      <c r="A7982" s="2">
        <f>HYPERLINK("https://open-school.uspishnemisto.com.ua/school/460675/", 460675)</f>
        <v>460675</v>
      </c>
      <c r="B7982" s="3" t="s">
        <v>41150</v>
      </c>
      <c r="C7982" s="3" t="s">
        <v>31</v>
      </c>
      <c r="D7982" s="3" t="s">
        <v>175</v>
      </c>
      <c r="E7982" s="4" t="s">
        <v>22</v>
      </c>
      <c r="F7982" s="4" t="s">
        <v>41151</v>
      </c>
      <c r="G7982" s="4" t="s">
        <v>41152</v>
      </c>
      <c r="H7982" s="3" t="s">
        <v>38194</v>
      </c>
      <c r="I7982" s="3" t="s">
        <v>41153</v>
      </c>
      <c r="J7982" s="3" t="s">
        <v>1417</v>
      </c>
      <c r="K7982" s="3"/>
      <c r="L7982" s="3"/>
      <c r="M7982" s="4"/>
      <c r="N7982" s="3" t="s">
        <v>37</v>
      </c>
      <c r="O7982" s="3" t="s">
        <v>46</v>
      </c>
      <c r="P7982" s="5">
        <v>0</v>
      </c>
      <c r="Q7982" s="5">
        <v>0</v>
      </c>
      <c r="R7982" s="5">
        <v>3</v>
      </c>
      <c r="S7982" s="5">
        <v>26</v>
      </c>
    </row>
    <row r="7983" spans="1:19" ht="28" x14ac:dyDescent="0.15">
      <c r="A7983" s="2">
        <f>HYPERLINK("https://open-school.uspishnemisto.com.ua/school/460676/", 460676)</f>
        <v>460676</v>
      </c>
      <c r="B7983" s="3" t="s">
        <v>41154</v>
      </c>
      <c r="C7983" s="3" t="s">
        <v>31</v>
      </c>
      <c r="D7983" s="3" t="s">
        <v>32</v>
      </c>
      <c r="E7983" s="4" t="s">
        <v>22</v>
      </c>
      <c r="F7983" s="4" t="s">
        <v>41155</v>
      </c>
      <c r="G7983" s="4" t="s">
        <v>41156</v>
      </c>
      <c r="H7983" s="3" t="s">
        <v>38194</v>
      </c>
      <c r="I7983" s="3" t="s">
        <v>41157</v>
      </c>
      <c r="J7983" s="3" t="s">
        <v>41158</v>
      </c>
      <c r="K7983" s="3" t="s">
        <v>41159</v>
      </c>
      <c r="L7983" s="3"/>
      <c r="M7983" s="4"/>
      <c r="N7983" s="3" t="s">
        <v>37</v>
      </c>
      <c r="O7983" s="3" t="s">
        <v>52</v>
      </c>
      <c r="P7983" s="5">
        <v>11</v>
      </c>
      <c r="Q7983" s="5">
        <v>173</v>
      </c>
      <c r="R7983" s="5">
        <v>11</v>
      </c>
      <c r="S7983" s="5">
        <v>178</v>
      </c>
    </row>
    <row r="7984" spans="1:19" ht="28" x14ac:dyDescent="0.15">
      <c r="A7984" s="2">
        <f>HYPERLINK("https://open-school.uspishnemisto.com.ua/school/460677/", 460677)</f>
        <v>460677</v>
      </c>
      <c r="B7984" s="3" t="s">
        <v>41160</v>
      </c>
      <c r="C7984" s="3" t="s">
        <v>31</v>
      </c>
      <c r="D7984" s="3" t="s">
        <v>32</v>
      </c>
      <c r="E7984" s="4" t="s">
        <v>22</v>
      </c>
      <c r="F7984" s="4" t="s">
        <v>41161</v>
      </c>
      <c r="G7984" s="4" t="s">
        <v>41162</v>
      </c>
      <c r="H7984" s="3" t="s">
        <v>38194</v>
      </c>
      <c r="I7984" s="3" t="s">
        <v>41163</v>
      </c>
      <c r="J7984" s="3" t="s">
        <v>41164</v>
      </c>
      <c r="K7984" s="3" t="s">
        <v>41165</v>
      </c>
      <c r="L7984" s="3"/>
      <c r="M7984" s="4"/>
      <c r="N7984" s="3" t="s">
        <v>37</v>
      </c>
      <c r="O7984" s="3" t="s">
        <v>52</v>
      </c>
      <c r="P7984" s="5">
        <v>17</v>
      </c>
      <c r="Q7984" s="5">
        <v>333</v>
      </c>
      <c r="R7984" s="5">
        <v>18</v>
      </c>
      <c r="S7984" s="5">
        <v>356</v>
      </c>
    </row>
    <row r="7985" spans="1:19" ht="28" x14ac:dyDescent="0.15">
      <c r="A7985" s="2">
        <f>HYPERLINK("https://open-school.uspishnemisto.com.ua/school/460678/", 460678)</f>
        <v>460678</v>
      </c>
      <c r="B7985" s="3" t="s">
        <v>41166</v>
      </c>
      <c r="C7985" s="3" t="s">
        <v>31</v>
      </c>
      <c r="D7985" s="3" t="s">
        <v>60</v>
      </c>
      <c r="E7985" s="4" t="s">
        <v>22</v>
      </c>
      <c r="F7985" s="4" t="s">
        <v>41161</v>
      </c>
      <c r="G7985" s="4" t="s">
        <v>41167</v>
      </c>
      <c r="H7985" s="3" t="s">
        <v>38194</v>
      </c>
      <c r="I7985" s="3" t="s">
        <v>41168</v>
      </c>
      <c r="J7985" s="3" t="s">
        <v>41169</v>
      </c>
      <c r="K7985" s="3" t="s">
        <v>41170</v>
      </c>
      <c r="L7985" s="3"/>
      <c r="M7985" s="4"/>
      <c r="N7985" s="3" t="s">
        <v>37</v>
      </c>
      <c r="O7985" s="3" t="s">
        <v>52</v>
      </c>
      <c r="P7985" s="5">
        <v>1</v>
      </c>
      <c r="Q7985" s="5">
        <v>19</v>
      </c>
      <c r="R7985" s="5">
        <v>2</v>
      </c>
      <c r="S7985" s="5">
        <v>17</v>
      </c>
    </row>
    <row r="7986" spans="1:19" ht="28" x14ac:dyDescent="0.15">
      <c r="A7986" s="2">
        <f>HYPERLINK("https://open-school.uspishnemisto.com.ua/school/460679/", 460679)</f>
        <v>460679</v>
      </c>
      <c r="B7986" s="3" t="s">
        <v>41171</v>
      </c>
      <c r="C7986" s="3" t="s">
        <v>31</v>
      </c>
      <c r="D7986" s="3" t="s">
        <v>175</v>
      </c>
      <c r="E7986" s="4" t="s">
        <v>22</v>
      </c>
      <c r="F7986" s="4" t="s">
        <v>41172</v>
      </c>
      <c r="G7986" s="4" t="s">
        <v>41173</v>
      </c>
      <c r="H7986" s="3" t="s">
        <v>38194</v>
      </c>
      <c r="I7986" s="3" t="s">
        <v>32864</v>
      </c>
      <c r="J7986" s="3" t="s">
        <v>6723</v>
      </c>
      <c r="K7986" s="3" t="s">
        <v>41174</v>
      </c>
      <c r="L7986" s="3"/>
      <c r="M7986" s="4"/>
      <c r="N7986" s="3" t="s">
        <v>37</v>
      </c>
      <c r="O7986" s="3" t="s">
        <v>2740</v>
      </c>
      <c r="P7986" s="5">
        <v>9</v>
      </c>
      <c r="Q7986" s="5">
        <v>124</v>
      </c>
      <c r="R7986" s="5">
        <v>9</v>
      </c>
      <c r="S7986" s="5">
        <v>123</v>
      </c>
    </row>
    <row r="7987" spans="1:19" ht="28" x14ac:dyDescent="0.15">
      <c r="A7987" s="2">
        <f>HYPERLINK("https://open-school.uspishnemisto.com.ua/school/460680/", 460680)</f>
        <v>460680</v>
      </c>
      <c r="B7987" s="3" t="s">
        <v>41175</v>
      </c>
      <c r="C7987" s="3" t="s">
        <v>31</v>
      </c>
      <c r="D7987" s="3" t="s">
        <v>175</v>
      </c>
      <c r="E7987" s="4" t="s">
        <v>22</v>
      </c>
      <c r="F7987" s="4" t="s">
        <v>41127</v>
      </c>
      <c r="G7987" s="4" t="s">
        <v>41176</v>
      </c>
      <c r="H7987" s="3" t="s">
        <v>38194</v>
      </c>
      <c r="I7987" s="3" t="s">
        <v>41177</v>
      </c>
      <c r="J7987" s="3" t="s">
        <v>41178</v>
      </c>
      <c r="K7987" s="3" t="s">
        <v>41179</v>
      </c>
      <c r="L7987" s="3"/>
      <c r="M7987" s="4"/>
      <c r="N7987" s="3" t="s">
        <v>37</v>
      </c>
      <c r="O7987" s="3" t="s">
        <v>2740</v>
      </c>
      <c r="P7987" s="5">
        <v>8</v>
      </c>
      <c r="Q7987" s="5">
        <v>63</v>
      </c>
      <c r="R7987" s="5">
        <v>9</v>
      </c>
      <c r="S7987" s="5">
        <v>63</v>
      </c>
    </row>
    <row r="7988" spans="1:19" ht="28" x14ac:dyDescent="0.15">
      <c r="A7988" s="2">
        <f>HYPERLINK("https://open-school.uspishnemisto.com.ua/school/460681/", 460681)</f>
        <v>460681</v>
      </c>
      <c r="B7988" s="3" t="s">
        <v>41180</v>
      </c>
      <c r="C7988" s="3" t="s">
        <v>31</v>
      </c>
      <c r="D7988" s="3" t="s">
        <v>32</v>
      </c>
      <c r="E7988" s="4" t="s">
        <v>22</v>
      </c>
      <c r="F7988" s="4" t="s">
        <v>41181</v>
      </c>
      <c r="G7988" s="4" t="s">
        <v>41182</v>
      </c>
      <c r="H7988" s="3" t="s">
        <v>38194</v>
      </c>
      <c r="I7988" s="3" t="s">
        <v>41183</v>
      </c>
      <c r="J7988" s="3" t="s">
        <v>27389</v>
      </c>
      <c r="K7988" s="3" t="s">
        <v>41184</v>
      </c>
      <c r="L7988" s="3"/>
      <c r="M7988" s="4"/>
      <c r="N7988" s="3" t="s">
        <v>37</v>
      </c>
      <c r="O7988" s="3" t="s">
        <v>52</v>
      </c>
      <c r="P7988" s="5">
        <v>13</v>
      </c>
      <c r="Q7988" s="5">
        <v>233</v>
      </c>
      <c r="R7988" s="5">
        <v>13</v>
      </c>
      <c r="S7988" s="5">
        <v>231</v>
      </c>
    </row>
    <row r="7989" spans="1:19" ht="28" x14ac:dyDescent="0.15">
      <c r="A7989" s="2">
        <f>HYPERLINK("https://open-school.uspishnemisto.com.ua/school/460682/", 460682)</f>
        <v>460682</v>
      </c>
      <c r="B7989" s="3" t="s">
        <v>41185</v>
      </c>
      <c r="C7989" s="3" t="s">
        <v>31</v>
      </c>
      <c r="D7989" s="3" t="s">
        <v>60</v>
      </c>
      <c r="E7989" s="4" t="s">
        <v>22</v>
      </c>
      <c r="F7989" s="4" t="s">
        <v>41186</v>
      </c>
      <c r="G7989" s="4" t="s">
        <v>41187</v>
      </c>
      <c r="H7989" s="3" t="s">
        <v>38194</v>
      </c>
      <c r="I7989" s="3" t="s">
        <v>41188</v>
      </c>
      <c r="J7989" s="3" t="s">
        <v>7432</v>
      </c>
      <c r="K7989" s="3" t="s">
        <v>41189</v>
      </c>
      <c r="L7989" s="3"/>
      <c r="M7989" s="4"/>
      <c r="N7989" s="3" t="s">
        <v>37</v>
      </c>
      <c r="O7989" s="3" t="s">
        <v>52</v>
      </c>
      <c r="P7989" s="5">
        <v>4</v>
      </c>
      <c r="Q7989" s="5">
        <v>38</v>
      </c>
      <c r="R7989" s="5">
        <v>4</v>
      </c>
      <c r="S7989" s="5">
        <v>38</v>
      </c>
    </row>
    <row r="7990" spans="1:19" ht="28" x14ac:dyDescent="0.15">
      <c r="A7990" s="2">
        <f>HYPERLINK("https://open-school.uspishnemisto.com.ua/school/460683/", 460683)</f>
        <v>460683</v>
      </c>
      <c r="B7990" s="3" t="s">
        <v>41190</v>
      </c>
      <c r="C7990" s="3" t="s">
        <v>31</v>
      </c>
      <c r="D7990" s="3" t="s">
        <v>175</v>
      </c>
      <c r="E7990" s="4" t="s">
        <v>22</v>
      </c>
      <c r="F7990" s="4" t="s">
        <v>41191</v>
      </c>
      <c r="G7990" s="4" t="s">
        <v>41192</v>
      </c>
      <c r="H7990" s="3" t="s">
        <v>38194</v>
      </c>
      <c r="I7990" s="3" t="s">
        <v>41193</v>
      </c>
      <c r="J7990" s="3" t="s">
        <v>41194</v>
      </c>
      <c r="K7990" s="3" t="s">
        <v>41195</v>
      </c>
      <c r="L7990" s="3" t="s">
        <v>41196</v>
      </c>
      <c r="M7990" s="4"/>
      <c r="N7990" s="3" t="s">
        <v>37</v>
      </c>
      <c r="O7990" s="3" t="s">
        <v>52</v>
      </c>
      <c r="P7990" s="5">
        <v>9</v>
      </c>
      <c r="Q7990" s="5">
        <v>112</v>
      </c>
      <c r="R7990" s="5">
        <v>9</v>
      </c>
      <c r="S7990" s="5">
        <v>111</v>
      </c>
    </row>
    <row r="7991" spans="1:19" ht="42" x14ac:dyDescent="0.15">
      <c r="A7991" s="2">
        <f>HYPERLINK("https://open-school.uspishnemisto.com.ua/school/460684/", 460684)</f>
        <v>460684</v>
      </c>
      <c r="B7991" s="3" t="s">
        <v>41197</v>
      </c>
      <c r="C7991" s="3" t="s">
        <v>31</v>
      </c>
      <c r="D7991" s="3" t="s">
        <v>32</v>
      </c>
      <c r="E7991" s="4" t="s">
        <v>22</v>
      </c>
      <c r="F7991" s="4" t="s">
        <v>41198</v>
      </c>
      <c r="G7991" s="4" t="s">
        <v>41199</v>
      </c>
      <c r="H7991" s="3" t="s">
        <v>38194</v>
      </c>
      <c r="I7991" s="3" t="s">
        <v>41200</v>
      </c>
      <c r="J7991" s="3" t="s">
        <v>41201</v>
      </c>
      <c r="K7991" s="3" t="s">
        <v>41202</v>
      </c>
      <c r="L7991" s="3"/>
      <c r="M7991" s="4"/>
      <c r="N7991" s="3" t="s">
        <v>37</v>
      </c>
      <c r="O7991" s="3" t="s">
        <v>237</v>
      </c>
      <c r="P7991" s="5">
        <v>12</v>
      </c>
      <c r="Q7991" s="5">
        <v>202</v>
      </c>
      <c r="R7991" s="5">
        <v>12</v>
      </c>
      <c r="S7991" s="5">
        <v>197</v>
      </c>
    </row>
    <row r="7992" spans="1:19" ht="28" x14ac:dyDescent="0.15">
      <c r="A7992" s="2">
        <f>HYPERLINK("https://open-school.uspishnemisto.com.ua/school/460685/", 460685)</f>
        <v>460685</v>
      </c>
      <c r="B7992" s="3" t="s">
        <v>41203</v>
      </c>
      <c r="C7992" s="3" t="s">
        <v>31</v>
      </c>
      <c r="D7992" s="3" t="s">
        <v>175</v>
      </c>
      <c r="E7992" s="4" t="s">
        <v>22</v>
      </c>
      <c r="F7992" s="4" t="s">
        <v>41198</v>
      </c>
      <c r="G7992" s="4" t="s">
        <v>41204</v>
      </c>
      <c r="H7992" s="3" t="s">
        <v>38194</v>
      </c>
      <c r="I7992" s="3" t="s">
        <v>41205</v>
      </c>
      <c r="J7992" s="3" t="s">
        <v>41206</v>
      </c>
      <c r="K7992" s="3"/>
      <c r="L7992" s="3"/>
      <c r="M7992" s="4"/>
      <c r="N7992" s="3" t="s">
        <v>37</v>
      </c>
      <c r="O7992" s="3" t="s">
        <v>52</v>
      </c>
      <c r="P7992" s="5">
        <v>4</v>
      </c>
      <c r="Q7992" s="5">
        <v>40</v>
      </c>
      <c r="R7992" s="5">
        <v>4</v>
      </c>
      <c r="S7992" s="5">
        <v>42</v>
      </c>
    </row>
    <row r="7993" spans="1:19" ht="28" x14ac:dyDescent="0.15">
      <c r="A7993" s="2">
        <f>HYPERLINK("https://open-school.uspishnemisto.com.ua/school/460686/", 460686)</f>
        <v>460686</v>
      </c>
      <c r="B7993" s="3" t="s">
        <v>41207</v>
      </c>
      <c r="C7993" s="3" t="s">
        <v>31</v>
      </c>
      <c r="D7993" s="3" t="s">
        <v>175</v>
      </c>
      <c r="E7993" s="4" t="s">
        <v>22</v>
      </c>
      <c r="F7993" s="4" t="s">
        <v>41208</v>
      </c>
      <c r="G7993" s="4" t="s">
        <v>41209</v>
      </c>
      <c r="H7993" s="3" t="s">
        <v>38194</v>
      </c>
      <c r="I7993" s="3" t="s">
        <v>41210</v>
      </c>
      <c r="J7993" s="3" t="s">
        <v>41211</v>
      </c>
      <c r="K7993" s="3" t="s">
        <v>41212</v>
      </c>
      <c r="L7993" s="3"/>
      <c r="M7993" s="4"/>
      <c r="N7993" s="3" t="s">
        <v>37</v>
      </c>
      <c r="O7993" s="3" t="s">
        <v>46</v>
      </c>
      <c r="P7993" s="5">
        <v>9</v>
      </c>
      <c r="Q7993" s="5">
        <v>72</v>
      </c>
      <c r="R7993" s="5">
        <v>9</v>
      </c>
      <c r="S7993" s="5">
        <v>76</v>
      </c>
    </row>
    <row r="7994" spans="1:19" ht="28" x14ac:dyDescent="0.15">
      <c r="A7994" s="2">
        <f>HYPERLINK("https://open-school.uspishnemisto.com.ua/school/460687/", 460687)</f>
        <v>460687</v>
      </c>
      <c r="B7994" s="3" t="s">
        <v>41213</v>
      </c>
      <c r="C7994" s="3" t="s">
        <v>31</v>
      </c>
      <c r="D7994" s="3" t="s">
        <v>175</v>
      </c>
      <c r="E7994" s="4" t="s">
        <v>22</v>
      </c>
      <c r="F7994" s="4" t="s">
        <v>41214</v>
      </c>
      <c r="G7994" s="4" t="s">
        <v>41215</v>
      </c>
      <c r="H7994" s="3" t="s">
        <v>38194</v>
      </c>
      <c r="I7994" s="3" t="s">
        <v>41216</v>
      </c>
      <c r="J7994" s="3" t="s">
        <v>41217</v>
      </c>
      <c r="K7994" s="3" t="s">
        <v>41218</v>
      </c>
      <c r="L7994" s="3"/>
      <c r="M7994" s="4"/>
      <c r="N7994" s="3" t="s">
        <v>37</v>
      </c>
      <c r="O7994" s="3" t="s">
        <v>52</v>
      </c>
      <c r="P7994" s="5">
        <v>8</v>
      </c>
      <c r="Q7994" s="5">
        <v>95</v>
      </c>
      <c r="R7994" s="5">
        <v>9</v>
      </c>
      <c r="S7994" s="5">
        <v>102</v>
      </c>
    </row>
    <row r="7995" spans="1:19" ht="28" x14ac:dyDescent="0.15">
      <c r="A7995" s="2">
        <f>HYPERLINK("https://open-school.uspishnemisto.com.ua/school/460688/", 460688)</f>
        <v>460688</v>
      </c>
      <c r="B7995" s="3" t="s">
        <v>41219</v>
      </c>
      <c r="C7995" s="3" t="s">
        <v>31</v>
      </c>
      <c r="D7995" s="3" t="s">
        <v>60</v>
      </c>
      <c r="E7995" s="4" t="s">
        <v>22</v>
      </c>
      <c r="F7995" s="4" t="s">
        <v>41214</v>
      </c>
      <c r="G7995" s="4" t="s">
        <v>41220</v>
      </c>
      <c r="H7995" s="3" t="s">
        <v>38194</v>
      </c>
      <c r="I7995" s="3" t="s">
        <v>6494</v>
      </c>
      <c r="J7995" s="3" t="s">
        <v>41221</v>
      </c>
      <c r="K7995" s="3"/>
      <c r="L7995" s="3"/>
      <c r="M7995" s="4"/>
      <c r="N7995" s="3" t="s">
        <v>37</v>
      </c>
      <c r="O7995" s="3" t="s">
        <v>52</v>
      </c>
      <c r="P7995" s="5">
        <v>0</v>
      </c>
      <c r="Q7995" s="5">
        <v>4</v>
      </c>
      <c r="R7995" s="5">
        <v>0</v>
      </c>
      <c r="S7995" s="5">
        <v>7</v>
      </c>
    </row>
    <row r="7996" spans="1:19" ht="28" x14ac:dyDescent="0.15">
      <c r="A7996" s="2">
        <f>HYPERLINK("https://open-school.uspishnemisto.com.ua/school/460689/", 460689)</f>
        <v>460689</v>
      </c>
      <c r="B7996" s="3" t="s">
        <v>41222</v>
      </c>
      <c r="C7996" s="3" t="s">
        <v>31</v>
      </c>
      <c r="D7996" s="3" t="s">
        <v>60</v>
      </c>
      <c r="E7996" s="4" t="s">
        <v>22</v>
      </c>
      <c r="F7996" s="4" t="s">
        <v>41117</v>
      </c>
      <c r="G7996" s="4" t="s">
        <v>41223</v>
      </c>
      <c r="H7996" s="3" t="s">
        <v>38194</v>
      </c>
      <c r="I7996" s="3" t="s">
        <v>41224</v>
      </c>
      <c r="J7996" s="3" t="s">
        <v>41225</v>
      </c>
      <c r="K7996" s="3" t="s">
        <v>41226</v>
      </c>
      <c r="L7996" s="3"/>
      <c r="M7996" s="4"/>
      <c r="N7996" s="3" t="s">
        <v>37</v>
      </c>
      <c r="O7996" s="3" t="s">
        <v>52</v>
      </c>
      <c r="P7996" s="5">
        <v>0</v>
      </c>
      <c r="Q7996" s="5">
        <v>9</v>
      </c>
      <c r="R7996" s="5">
        <v>1</v>
      </c>
      <c r="S7996" s="5">
        <v>7</v>
      </c>
    </row>
    <row r="7997" spans="1:19" ht="28" x14ac:dyDescent="0.15">
      <c r="A7997" s="2">
        <f>HYPERLINK("https://open-school.uspishnemisto.com.ua/school/460690/", 460690)</f>
        <v>460690</v>
      </c>
      <c r="B7997" s="3" t="s">
        <v>41227</v>
      </c>
      <c r="C7997" s="3" t="s">
        <v>31</v>
      </c>
      <c r="D7997" s="3" t="s">
        <v>60</v>
      </c>
      <c r="E7997" s="4" t="s">
        <v>22</v>
      </c>
      <c r="F7997" s="4" t="s">
        <v>41228</v>
      </c>
      <c r="G7997" s="4" t="s">
        <v>41229</v>
      </c>
      <c r="H7997" s="3" t="s">
        <v>38194</v>
      </c>
      <c r="I7997" s="3" t="s">
        <v>41230</v>
      </c>
      <c r="J7997" s="3" t="s">
        <v>41231</v>
      </c>
      <c r="K7997" s="3" t="s">
        <v>41232</v>
      </c>
      <c r="L7997" s="3"/>
      <c r="M7997" s="4"/>
      <c r="N7997" s="3" t="s">
        <v>37</v>
      </c>
      <c r="O7997" s="3" t="s">
        <v>52</v>
      </c>
      <c r="P7997" s="5">
        <v>4</v>
      </c>
      <c r="Q7997" s="5">
        <v>39</v>
      </c>
      <c r="R7997" s="5">
        <v>4</v>
      </c>
      <c r="S7997" s="5">
        <v>38</v>
      </c>
    </row>
    <row r="7998" spans="1:19" ht="28" x14ac:dyDescent="0.15">
      <c r="A7998" s="2">
        <f>HYPERLINK("https://open-school.uspishnemisto.com.ua/school/460691/", 460691)</f>
        <v>460691</v>
      </c>
      <c r="B7998" s="3" t="s">
        <v>41233</v>
      </c>
      <c r="C7998" s="3" t="s">
        <v>31</v>
      </c>
      <c r="D7998" s="3" t="s">
        <v>175</v>
      </c>
      <c r="E7998" s="4" t="s">
        <v>22</v>
      </c>
      <c r="F7998" s="4" t="s">
        <v>41234</v>
      </c>
      <c r="G7998" s="4" t="s">
        <v>41235</v>
      </c>
      <c r="H7998" s="3" t="s">
        <v>38194</v>
      </c>
      <c r="I7998" s="3" t="s">
        <v>41236</v>
      </c>
      <c r="J7998" s="3" t="s">
        <v>41237</v>
      </c>
      <c r="K7998" s="3" t="s">
        <v>41238</v>
      </c>
      <c r="L7998" s="3" t="s">
        <v>41239</v>
      </c>
      <c r="M7998" s="4"/>
      <c r="N7998" s="3" t="s">
        <v>37</v>
      </c>
      <c r="O7998" s="3" t="s">
        <v>52</v>
      </c>
      <c r="P7998" s="5">
        <v>8</v>
      </c>
      <c r="Q7998" s="5">
        <v>79</v>
      </c>
      <c r="R7998" s="5">
        <v>8</v>
      </c>
      <c r="S7998" s="5">
        <v>74</v>
      </c>
    </row>
    <row r="7999" spans="1:19" ht="28" x14ac:dyDescent="0.15">
      <c r="A7999" s="2">
        <f>HYPERLINK("https://open-school.uspishnemisto.com.ua/school/460692/", 460692)</f>
        <v>460692</v>
      </c>
      <c r="B7999" s="3" t="s">
        <v>41240</v>
      </c>
      <c r="C7999" s="3" t="s">
        <v>31</v>
      </c>
      <c r="D7999" s="3" t="s">
        <v>175</v>
      </c>
      <c r="E7999" s="4" t="s">
        <v>22</v>
      </c>
      <c r="F7999" s="4" t="s">
        <v>41234</v>
      </c>
      <c r="G7999" s="4" t="s">
        <v>41241</v>
      </c>
      <c r="H7999" s="3" t="s">
        <v>38194</v>
      </c>
      <c r="I7999" s="3" t="s">
        <v>41242</v>
      </c>
      <c r="J7999" s="3" t="s">
        <v>41243</v>
      </c>
      <c r="K7999" s="3" t="s">
        <v>41244</v>
      </c>
      <c r="L7999" s="3"/>
      <c r="M7999" s="4"/>
      <c r="N7999" s="3" t="s">
        <v>37</v>
      </c>
      <c r="O7999" s="3" t="s">
        <v>52</v>
      </c>
      <c r="P7999" s="5">
        <v>5</v>
      </c>
      <c r="Q7999" s="5">
        <v>38</v>
      </c>
      <c r="R7999" s="5">
        <v>4</v>
      </c>
      <c r="S7999" s="5">
        <v>36</v>
      </c>
    </row>
    <row r="8000" spans="1:19" ht="28" x14ac:dyDescent="0.15">
      <c r="A8000" s="2">
        <f>HYPERLINK("https://open-school.uspishnemisto.com.ua/school/460693/", 460693)</f>
        <v>460693</v>
      </c>
      <c r="B8000" s="3" t="s">
        <v>41245</v>
      </c>
      <c r="C8000" s="3" t="s">
        <v>31</v>
      </c>
      <c r="D8000" s="3" t="s">
        <v>175</v>
      </c>
      <c r="E8000" s="4" t="s">
        <v>22</v>
      </c>
      <c r="F8000" s="4" t="s">
        <v>41246</v>
      </c>
      <c r="G8000" s="4" t="s">
        <v>41247</v>
      </c>
      <c r="H8000" s="3" t="s">
        <v>38194</v>
      </c>
      <c r="I8000" s="3" t="s">
        <v>41248</v>
      </c>
      <c r="J8000" s="3" t="s">
        <v>41249</v>
      </c>
      <c r="K8000" s="3" t="s">
        <v>41250</v>
      </c>
      <c r="L8000" s="3"/>
      <c r="M8000" s="4"/>
      <c r="N8000" s="3" t="s">
        <v>37</v>
      </c>
      <c r="O8000" s="3" t="s">
        <v>52</v>
      </c>
      <c r="P8000" s="5">
        <v>9</v>
      </c>
      <c r="Q8000" s="5">
        <v>103</v>
      </c>
      <c r="R8000" s="5">
        <v>9</v>
      </c>
      <c r="S8000" s="5">
        <v>93</v>
      </c>
    </row>
    <row r="8001" spans="1:19" ht="28" x14ac:dyDescent="0.15">
      <c r="A8001" s="2">
        <f>HYPERLINK("https://open-school.uspishnemisto.com.ua/school/460694/", 460694)</f>
        <v>460694</v>
      </c>
      <c r="B8001" s="3" t="s">
        <v>41251</v>
      </c>
      <c r="C8001" s="3" t="s">
        <v>31</v>
      </c>
      <c r="D8001" s="3" t="s">
        <v>32</v>
      </c>
      <c r="E8001" s="4" t="s">
        <v>22</v>
      </c>
      <c r="F8001" s="4" t="s">
        <v>41252</v>
      </c>
      <c r="G8001" s="4" t="s">
        <v>41253</v>
      </c>
      <c r="H8001" s="3" t="s">
        <v>38194</v>
      </c>
      <c r="I8001" s="3" t="s">
        <v>41254</v>
      </c>
      <c r="J8001" s="3" t="s">
        <v>41255</v>
      </c>
      <c r="K8001" s="3"/>
      <c r="L8001" s="3"/>
      <c r="M8001" s="4"/>
      <c r="N8001" s="3" t="s">
        <v>37</v>
      </c>
      <c r="O8001" s="3" t="s">
        <v>52</v>
      </c>
      <c r="P8001" s="5">
        <v>15</v>
      </c>
      <c r="Q8001" s="5">
        <v>299</v>
      </c>
      <c r="R8001" s="5">
        <v>16</v>
      </c>
      <c r="S8001" s="5">
        <v>299</v>
      </c>
    </row>
    <row r="8002" spans="1:19" ht="28" x14ac:dyDescent="0.15">
      <c r="A8002" s="2">
        <f>HYPERLINK("https://open-school.uspishnemisto.com.ua/school/460695/", 460695)</f>
        <v>460695</v>
      </c>
      <c r="B8002" s="3" t="s">
        <v>41256</v>
      </c>
      <c r="C8002" s="3" t="s">
        <v>31</v>
      </c>
      <c r="D8002" s="3" t="s">
        <v>60</v>
      </c>
      <c r="E8002" s="4" t="s">
        <v>22</v>
      </c>
      <c r="F8002" s="4" t="s">
        <v>41257</v>
      </c>
      <c r="G8002" s="4" t="s">
        <v>41258</v>
      </c>
      <c r="H8002" s="3" t="s">
        <v>38194</v>
      </c>
      <c r="I8002" s="3" t="s">
        <v>41259</v>
      </c>
      <c r="J8002" s="3" t="s">
        <v>447</v>
      </c>
      <c r="K8002" s="3"/>
      <c r="L8002" s="3"/>
      <c r="M8002" s="4"/>
      <c r="N8002" s="3" t="s">
        <v>37</v>
      </c>
      <c r="O8002" s="3" t="s">
        <v>52</v>
      </c>
      <c r="P8002" s="5">
        <v>4</v>
      </c>
      <c r="Q8002" s="5">
        <v>47</v>
      </c>
      <c r="R8002" s="5">
        <v>4</v>
      </c>
      <c r="S8002" s="5">
        <v>54</v>
      </c>
    </row>
    <row r="8003" spans="1:19" ht="28" x14ac:dyDescent="0.15">
      <c r="A8003" s="2">
        <f>HYPERLINK("https://open-school.uspishnemisto.com.ua/school/460696/", 460696)</f>
        <v>460696</v>
      </c>
      <c r="B8003" s="3" t="s">
        <v>41260</v>
      </c>
      <c r="C8003" s="3" t="s">
        <v>31</v>
      </c>
      <c r="D8003" s="3" t="s">
        <v>60</v>
      </c>
      <c r="E8003" s="4" t="s">
        <v>22</v>
      </c>
      <c r="F8003" s="4" t="s">
        <v>41252</v>
      </c>
      <c r="G8003" s="4" t="s">
        <v>41261</v>
      </c>
      <c r="H8003" s="3" t="s">
        <v>38194</v>
      </c>
      <c r="I8003" s="3" t="s">
        <v>41262</v>
      </c>
      <c r="J8003" s="3" t="s">
        <v>41263</v>
      </c>
      <c r="K8003" s="3"/>
      <c r="L8003" s="3"/>
      <c r="M8003" s="4"/>
      <c r="N8003" s="3" t="s">
        <v>37</v>
      </c>
      <c r="O8003" s="3" t="s">
        <v>52</v>
      </c>
      <c r="P8003" s="5">
        <v>0</v>
      </c>
      <c r="Q8003" s="5">
        <v>12</v>
      </c>
      <c r="R8003" s="5">
        <v>0</v>
      </c>
      <c r="S8003" s="5">
        <v>12</v>
      </c>
    </row>
    <row r="8004" spans="1:19" ht="28" x14ac:dyDescent="0.15">
      <c r="A8004" s="2">
        <f>HYPERLINK("https://open-school.uspishnemisto.com.ua/school/460697/", 460697)</f>
        <v>460697</v>
      </c>
      <c r="B8004" s="3" t="s">
        <v>41264</v>
      </c>
      <c r="C8004" s="3" t="s">
        <v>31</v>
      </c>
      <c r="D8004" s="3" t="s">
        <v>32</v>
      </c>
      <c r="E8004" s="4" t="s">
        <v>22</v>
      </c>
      <c r="F8004" s="4" t="s">
        <v>41265</v>
      </c>
      <c r="G8004" s="4" t="s">
        <v>41266</v>
      </c>
      <c r="H8004" s="3" t="s">
        <v>38194</v>
      </c>
      <c r="I8004" s="3" t="s">
        <v>41267</v>
      </c>
      <c r="J8004" s="3" t="s">
        <v>41268</v>
      </c>
      <c r="K8004" s="3" t="s">
        <v>41269</v>
      </c>
      <c r="L8004" s="3"/>
      <c r="M8004" s="4"/>
      <c r="N8004" s="3" t="s">
        <v>37</v>
      </c>
      <c r="O8004" s="3" t="s">
        <v>46</v>
      </c>
      <c r="P8004" s="5">
        <v>11</v>
      </c>
      <c r="Q8004" s="5">
        <v>95</v>
      </c>
      <c r="R8004" s="5">
        <v>11</v>
      </c>
      <c r="S8004" s="5">
        <v>96</v>
      </c>
    </row>
    <row r="8005" spans="1:19" ht="28" x14ac:dyDescent="0.15">
      <c r="A8005" s="2">
        <f>HYPERLINK("https://open-school.uspishnemisto.com.ua/school/460698/", 460698)</f>
        <v>460698</v>
      </c>
      <c r="B8005" s="3" t="s">
        <v>41270</v>
      </c>
      <c r="C8005" s="3" t="s">
        <v>31</v>
      </c>
      <c r="D8005" s="3" t="s">
        <v>60</v>
      </c>
      <c r="E8005" s="4" t="s">
        <v>22</v>
      </c>
      <c r="F8005" s="4" t="s">
        <v>41265</v>
      </c>
      <c r="G8005" s="4" t="s">
        <v>41271</v>
      </c>
      <c r="H8005" s="3" t="s">
        <v>38194</v>
      </c>
      <c r="I8005" s="3" t="s">
        <v>41272</v>
      </c>
      <c r="J8005" s="3" t="s">
        <v>41273</v>
      </c>
      <c r="K8005" s="3" t="s">
        <v>41274</v>
      </c>
      <c r="L8005" s="3"/>
      <c r="M8005" s="4"/>
      <c r="N8005" s="3" t="s">
        <v>37</v>
      </c>
      <c r="O8005" s="3" t="s">
        <v>618</v>
      </c>
      <c r="P8005" s="5">
        <v>0</v>
      </c>
      <c r="Q8005" s="5">
        <v>0</v>
      </c>
      <c r="R8005" s="5">
        <v>0</v>
      </c>
      <c r="S8005" s="5">
        <v>12</v>
      </c>
    </row>
    <row r="8006" spans="1:19" ht="28" x14ac:dyDescent="0.15">
      <c r="A8006" s="2">
        <f>HYPERLINK("https://open-school.uspishnemisto.com.ua/school/460699/", 460699)</f>
        <v>460699</v>
      </c>
      <c r="B8006" s="3" t="s">
        <v>41275</v>
      </c>
      <c r="C8006" s="3" t="s">
        <v>31</v>
      </c>
      <c r="D8006" s="3" t="s">
        <v>60</v>
      </c>
      <c r="E8006" s="4" t="s">
        <v>22</v>
      </c>
      <c r="F8006" s="4" t="s">
        <v>41265</v>
      </c>
      <c r="G8006" s="4" t="s">
        <v>41276</v>
      </c>
      <c r="H8006" s="3" t="s">
        <v>38194</v>
      </c>
      <c r="I8006" s="3" t="s">
        <v>16867</v>
      </c>
      <c r="J8006" s="3" t="s">
        <v>41277</v>
      </c>
      <c r="K8006" s="3"/>
      <c r="L8006" s="3"/>
      <c r="M8006" s="4"/>
      <c r="N8006" s="3" t="s">
        <v>37</v>
      </c>
      <c r="O8006" s="3" t="s">
        <v>52</v>
      </c>
      <c r="P8006" s="5">
        <v>1</v>
      </c>
      <c r="Q8006" s="5">
        <v>14</v>
      </c>
      <c r="R8006" s="5">
        <v>1</v>
      </c>
      <c r="S8006" s="5">
        <v>13</v>
      </c>
    </row>
    <row r="8007" spans="1:19" ht="28" x14ac:dyDescent="0.15">
      <c r="A8007" s="2">
        <f>HYPERLINK("https://open-school.uspishnemisto.com.ua/school/460700/", 460700)</f>
        <v>460700</v>
      </c>
      <c r="B8007" s="3" t="s">
        <v>41278</v>
      </c>
      <c r="C8007" s="3" t="s">
        <v>31</v>
      </c>
      <c r="D8007" s="3" t="s">
        <v>175</v>
      </c>
      <c r="E8007" s="4" t="s">
        <v>22</v>
      </c>
      <c r="F8007" s="4" t="s">
        <v>41265</v>
      </c>
      <c r="G8007" s="4" t="s">
        <v>41279</v>
      </c>
      <c r="H8007" s="3" t="s">
        <v>38194</v>
      </c>
      <c r="I8007" s="3" t="s">
        <v>41280</v>
      </c>
      <c r="J8007" s="3" t="s">
        <v>41281</v>
      </c>
      <c r="K8007" s="3" t="s">
        <v>41282</v>
      </c>
      <c r="L8007" s="3"/>
      <c r="M8007" s="4"/>
      <c r="N8007" s="3" t="s">
        <v>37</v>
      </c>
      <c r="O8007" s="3" t="s">
        <v>52</v>
      </c>
      <c r="P8007" s="5">
        <v>9</v>
      </c>
      <c r="Q8007" s="5">
        <v>63</v>
      </c>
      <c r="R8007" s="5">
        <v>9</v>
      </c>
      <c r="S8007" s="5">
        <v>58</v>
      </c>
    </row>
    <row r="8008" spans="1:19" ht="28" x14ac:dyDescent="0.15">
      <c r="A8008" s="2">
        <f>HYPERLINK("https://open-school.uspishnemisto.com.ua/school/460701/", 460701)</f>
        <v>460701</v>
      </c>
      <c r="B8008" s="3" t="s">
        <v>41283</v>
      </c>
      <c r="C8008" s="3" t="s">
        <v>31</v>
      </c>
      <c r="D8008" s="3" t="s">
        <v>175</v>
      </c>
      <c r="E8008" s="4" t="s">
        <v>22</v>
      </c>
      <c r="F8008" s="4" t="s">
        <v>41265</v>
      </c>
      <c r="G8008" s="4" t="s">
        <v>41284</v>
      </c>
      <c r="H8008" s="3" t="s">
        <v>38194</v>
      </c>
      <c r="I8008" s="3" t="s">
        <v>39977</v>
      </c>
      <c r="J8008" s="3" t="s">
        <v>41285</v>
      </c>
      <c r="K8008" s="3"/>
      <c r="L8008" s="3"/>
      <c r="M8008" s="4"/>
      <c r="N8008" s="3" t="s">
        <v>37</v>
      </c>
      <c r="O8008" s="3" t="s">
        <v>46</v>
      </c>
      <c r="P8008" s="5">
        <v>3</v>
      </c>
      <c r="Q8008" s="5">
        <v>38</v>
      </c>
      <c r="R8008" s="5">
        <v>1</v>
      </c>
      <c r="S8008" s="5">
        <v>35</v>
      </c>
    </row>
    <row r="8009" spans="1:19" ht="28" x14ac:dyDescent="0.15">
      <c r="A8009" s="2">
        <f>HYPERLINK("https://open-school.uspishnemisto.com.ua/school/460702/", 460702)</f>
        <v>460702</v>
      </c>
      <c r="B8009" s="3" t="s">
        <v>41286</v>
      </c>
      <c r="C8009" s="3" t="s">
        <v>31</v>
      </c>
      <c r="D8009" s="3" t="s">
        <v>32</v>
      </c>
      <c r="E8009" s="4" t="s">
        <v>22</v>
      </c>
      <c r="F8009" s="4" t="s">
        <v>41287</v>
      </c>
      <c r="G8009" s="4" t="s">
        <v>41288</v>
      </c>
      <c r="H8009" s="3" t="s">
        <v>38194</v>
      </c>
      <c r="I8009" s="3" t="s">
        <v>41289</v>
      </c>
      <c r="J8009" s="3" t="s">
        <v>41290</v>
      </c>
      <c r="K8009" s="3" t="s">
        <v>41291</v>
      </c>
      <c r="L8009" s="3" t="s">
        <v>41292</v>
      </c>
      <c r="M8009" s="4"/>
      <c r="N8009" s="3" t="s">
        <v>37</v>
      </c>
      <c r="O8009" s="3" t="s">
        <v>52</v>
      </c>
      <c r="P8009" s="5">
        <v>11</v>
      </c>
      <c r="Q8009" s="5">
        <v>196</v>
      </c>
      <c r="R8009" s="5">
        <v>11</v>
      </c>
      <c r="S8009" s="5">
        <v>200</v>
      </c>
    </row>
    <row r="8010" spans="1:19" ht="28" x14ac:dyDescent="0.15">
      <c r="A8010" s="2">
        <f>HYPERLINK("https://open-school.uspishnemisto.com.ua/school/460703/", 460703)</f>
        <v>460703</v>
      </c>
      <c r="B8010" s="3" t="s">
        <v>41293</v>
      </c>
      <c r="C8010" s="3" t="s">
        <v>31</v>
      </c>
      <c r="D8010" s="3" t="s">
        <v>175</v>
      </c>
      <c r="E8010" s="4" t="s">
        <v>22</v>
      </c>
      <c r="F8010" s="4" t="s">
        <v>41294</v>
      </c>
      <c r="G8010" s="4" t="s">
        <v>41295</v>
      </c>
      <c r="H8010" s="3" t="s">
        <v>38194</v>
      </c>
      <c r="I8010" s="3" t="s">
        <v>41296</v>
      </c>
      <c r="J8010" s="3" t="s">
        <v>41297</v>
      </c>
      <c r="K8010" s="3" t="s">
        <v>41298</v>
      </c>
      <c r="L8010" s="3"/>
      <c r="M8010" s="4"/>
      <c r="N8010" s="3" t="s">
        <v>37</v>
      </c>
      <c r="O8010" s="3" t="s">
        <v>46</v>
      </c>
      <c r="P8010" s="5">
        <v>9</v>
      </c>
      <c r="Q8010" s="5">
        <v>103</v>
      </c>
      <c r="R8010" s="5">
        <v>9</v>
      </c>
      <c r="S8010" s="5">
        <v>98</v>
      </c>
    </row>
    <row r="8011" spans="1:19" ht="28" x14ac:dyDescent="0.15">
      <c r="A8011" s="2">
        <f>HYPERLINK("https://open-school.uspishnemisto.com.ua/school/460704/", 460704)</f>
        <v>460704</v>
      </c>
      <c r="B8011" s="3" t="s">
        <v>41299</v>
      </c>
      <c r="C8011" s="3" t="s">
        <v>31</v>
      </c>
      <c r="D8011" s="3" t="s">
        <v>175</v>
      </c>
      <c r="E8011" s="4" t="s">
        <v>22</v>
      </c>
      <c r="F8011" s="4" t="s">
        <v>41300</v>
      </c>
      <c r="G8011" s="4" t="s">
        <v>41301</v>
      </c>
      <c r="H8011" s="3" t="s">
        <v>38194</v>
      </c>
      <c r="I8011" s="3" t="s">
        <v>41302</v>
      </c>
      <c r="J8011" s="3" t="s">
        <v>22843</v>
      </c>
      <c r="K8011" s="3" t="s">
        <v>41303</v>
      </c>
      <c r="L8011" s="3"/>
      <c r="M8011" s="4"/>
      <c r="N8011" s="3" t="s">
        <v>37</v>
      </c>
      <c r="O8011" s="3" t="s">
        <v>52</v>
      </c>
      <c r="P8011" s="5">
        <v>9</v>
      </c>
      <c r="Q8011" s="5">
        <v>93</v>
      </c>
      <c r="R8011" s="5">
        <v>9</v>
      </c>
      <c r="S8011" s="5">
        <v>96</v>
      </c>
    </row>
    <row r="8012" spans="1:19" ht="28" x14ac:dyDescent="0.15">
      <c r="A8012" s="2">
        <f>HYPERLINK("https://open-school.uspishnemisto.com.ua/school/460705/", 460705)</f>
        <v>460705</v>
      </c>
      <c r="B8012" s="3" t="s">
        <v>41304</v>
      </c>
      <c r="C8012" s="3" t="s">
        <v>31</v>
      </c>
      <c r="D8012" s="3" t="s">
        <v>32</v>
      </c>
      <c r="E8012" s="4" t="s">
        <v>22</v>
      </c>
      <c r="F8012" s="4" t="s">
        <v>41305</v>
      </c>
      <c r="G8012" s="4" t="s">
        <v>41306</v>
      </c>
      <c r="H8012" s="3" t="s">
        <v>38194</v>
      </c>
      <c r="I8012" s="3" t="s">
        <v>41307</v>
      </c>
      <c r="J8012" s="3" t="s">
        <v>41308</v>
      </c>
      <c r="K8012" s="3" t="s">
        <v>41309</v>
      </c>
      <c r="L8012" s="3"/>
      <c r="M8012" s="4"/>
      <c r="N8012" s="3" t="s">
        <v>37</v>
      </c>
      <c r="O8012" s="3" t="s">
        <v>46</v>
      </c>
      <c r="P8012" s="5">
        <v>9</v>
      </c>
      <c r="Q8012" s="5">
        <v>102</v>
      </c>
      <c r="R8012" s="5">
        <v>10</v>
      </c>
      <c r="S8012" s="5">
        <v>107</v>
      </c>
    </row>
    <row r="8013" spans="1:19" ht="42" x14ac:dyDescent="0.15">
      <c r="A8013" s="2">
        <f>HYPERLINK("https://open-school.uspishnemisto.com.ua/school/460706/", 460706)</f>
        <v>460706</v>
      </c>
      <c r="B8013" s="3" t="s">
        <v>41310</v>
      </c>
      <c r="C8013" s="3" t="s">
        <v>31</v>
      </c>
      <c r="D8013" s="3" t="s">
        <v>175</v>
      </c>
      <c r="E8013" s="4" t="s">
        <v>22</v>
      </c>
      <c r="F8013" s="4" t="s">
        <v>41075</v>
      </c>
      <c r="G8013" s="4" t="s">
        <v>41311</v>
      </c>
      <c r="H8013" s="3" t="s">
        <v>38194</v>
      </c>
      <c r="I8013" s="3" t="s">
        <v>41312</v>
      </c>
      <c r="J8013" s="3" t="s">
        <v>17440</v>
      </c>
      <c r="K8013" s="3" t="s">
        <v>41313</v>
      </c>
      <c r="L8013" s="3"/>
      <c r="M8013" s="4"/>
      <c r="N8013" s="3" t="s">
        <v>37</v>
      </c>
      <c r="O8013" s="3" t="s">
        <v>139</v>
      </c>
      <c r="P8013" s="5">
        <v>7</v>
      </c>
      <c r="Q8013" s="5">
        <v>50</v>
      </c>
      <c r="R8013" s="5">
        <v>7</v>
      </c>
      <c r="S8013" s="5">
        <v>51</v>
      </c>
    </row>
    <row r="8014" spans="1:19" ht="28" x14ac:dyDescent="0.15">
      <c r="A8014" s="2">
        <f>HYPERLINK("https://open-school.uspishnemisto.com.ua/school/460707/", 460707)</f>
        <v>460707</v>
      </c>
      <c r="B8014" s="3" t="s">
        <v>41314</v>
      </c>
      <c r="C8014" s="3" t="s">
        <v>31</v>
      </c>
      <c r="D8014" s="3" t="s">
        <v>175</v>
      </c>
      <c r="E8014" s="4" t="s">
        <v>22</v>
      </c>
      <c r="F8014" s="4" t="s">
        <v>40500</v>
      </c>
      <c r="G8014" s="4" t="s">
        <v>41315</v>
      </c>
      <c r="H8014" s="3" t="s">
        <v>38194</v>
      </c>
      <c r="I8014" s="3" t="s">
        <v>41316</v>
      </c>
      <c r="J8014" s="3" t="s">
        <v>12836</v>
      </c>
      <c r="K8014" s="3" t="s">
        <v>41317</v>
      </c>
      <c r="L8014" s="3"/>
      <c r="M8014" s="4"/>
      <c r="N8014" s="3" t="s">
        <v>37</v>
      </c>
      <c r="O8014" s="3" t="s">
        <v>52</v>
      </c>
      <c r="P8014" s="5">
        <v>3</v>
      </c>
      <c r="Q8014" s="5">
        <v>39</v>
      </c>
      <c r="R8014" s="5">
        <v>3</v>
      </c>
      <c r="S8014" s="5">
        <v>37</v>
      </c>
    </row>
    <row r="8015" spans="1:19" ht="28" x14ac:dyDescent="0.15">
      <c r="A8015" s="2">
        <f>HYPERLINK("https://open-school.uspishnemisto.com.ua/school/460708/", 460708)</f>
        <v>460708</v>
      </c>
      <c r="B8015" s="3" t="s">
        <v>41318</v>
      </c>
      <c r="C8015" s="3" t="s">
        <v>31</v>
      </c>
      <c r="D8015" s="3" t="s">
        <v>175</v>
      </c>
      <c r="E8015" s="4" t="s">
        <v>22</v>
      </c>
      <c r="F8015" s="4" t="s">
        <v>41075</v>
      </c>
      <c r="G8015" s="4" t="s">
        <v>41319</v>
      </c>
      <c r="H8015" s="3" t="s">
        <v>38194</v>
      </c>
      <c r="I8015" s="3" t="s">
        <v>41320</v>
      </c>
      <c r="J8015" s="3" t="s">
        <v>41321</v>
      </c>
      <c r="K8015" s="3"/>
      <c r="L8015" s="3"/>
      <c r="M8015" s="4"/>
      <c r="N8015" s="3" t="s">
        <v>37</v>
      </c>
      <c r="O8015" s="3" t="s">
        <v>8857</v>
      </c>
      <c r="P8015" s="5">
        <v>8</v>
      </c>
      <c r="Q8015" s="5">
        <v>85</v>
      </c>
      <c r="R8015" s="5">
        <v>8</v>
      </c>
      <c r="S8015" s="5">
        <v>76</v>
      </c>
    </row>
    <row r="8016" spans="1:19" ht="28" x14ac:dyDescent="0.15">
      <c r="A8016" s="2">
        <f>HYPERLINK("https://open-school.uspishnemisto.com.ua/school/460709/", 460709)</f>
        <v>460709</v>
      </c>
      <c r="B8016" s="3" t="s">
        <v>41322</v>
      </c>
      <c r="C8016" s="3" t="s">
        <v>31</v>
      </c>
      <c r="D8016" s="3" t="s">
        <v>175</v>
      </c>
      <c r="E8016" s="4" t="s">
        <v>22</v>
      </c>
      <c r="F8016" s="4" t="s">
        <v>41323</v>
      </c>
      <c r="G8016" s="4" t="s">
        <v>41324</v>
      </c>
      <c r="H8016" s="3" t="s">
        <v>38194</v>
      </c>
      <c r="I8016" s="3" t="s">
        <v>41325</v>
      </c>
      <c r="J8016" s="3" t="s">
        <v>4537</v>
      </c>
      <c r="K8016" s="3" t="s">
        <v>41326</v>
      </c>
      <c r="L8016" s="3"/>
      <c r="M8016" s="4"/>
      <c r="N8016" s="3" t="s">
        <v>37</v>
      </c>
      <c r="O8016" s="3" t="s">
        <v>52</v>
      </c>
      <c r="P8016" s="5">
        <v>9</v>
      </c>
      <c r="Q8016" s="5">
        <v>138</v>
      </c>
      <c r="R8016" s="5">
        <v>9</v>
      </c>
      <c r="S8016" s="5">
        <v>133</v>
      </c>
    </row>
    <row r="8017" spans="1:19" ht="28" x14ac:dyDescent="0.15">
      <c r="A8017" s="2">
        <f>HYPERLINK("https://open-school.uspishnemisto.com.ua/school/460710/", 460710)</f>
        <v>460710</v>
      </c>
      <c r="B8017" s="3" t="s">
        <v>41327</v>
      </c>
      <c r="C8017" s="3" t="s">
        <v>31</v>
      </c>
      <c r="D8017" s="3" t="s">
        <v>32</v>
      </c>
      <c r="E8017" s="4" t="s">
        <v>22</v>
      </c>
      <c r="F8017" s="4" t="s">
        <v>41328</v>
      </c>
      <c r="G8017" s="4" t="s">
        <v>41329</v>
      </c>
      <c r="H8017" s="3" t="s">
        <v>38194</v>
      </c>
      <c r="I8017" s="3" t="s">
        <v>41330</v>
      </c>
      <c r="J8017" s="3" t="s">
        <v>41331</v>
      </c>
      <c r="K8017" s="3" t="s">
        <v>41332</v>
      </c>
      <c r="L8017" s="3" t="s">
        <v>41333</v>
      </c>
      <c r="M8017" s="4"/>
      <c r="N8017" s="3" t="s">
        <v>37</v>
      </c>
      <c r="O8017" s="3" t="s">
        <v>46</v>
      </c>
      <c r="P8017" s="5">
        <v>11</v>
      </c>
      <c r="Q8017" s="5">
        <v>165</v>
      </c>
      <c r="R8017" s="5">
        <v>11</v>
      </c>
      <c r="S8017" s="5">
        <v>158</v>
      </c>
    </row>
    <row r="8018" spans="1:19" ht="28" x14ac:dyDescent="0.15">
      <c r="A8018" s="2">
        <f>HYPERLINK("https://open-school.uspishnemisto.com.ua/school/460711/", 460711)</f>
        <v>460711</v>
      </c>
      <c r="B8018" s="3" t="s">
        <v>41334</v>
      </c>
      <c r="C8018" s="3" t="s">
        <v>31</v>
      </c>
      <c r="D8018" s="3" t="s">
        <v>32</v>
      </c>
      <c r="E8018" s="4" t="s">
        <v>22</v>
      </c>
      <c r="F8018" s="4" t="s">
        <v>41335</v>
      </c>
      <c r="G8018" s="4" t="s">
        <v>41336</v>
      </c>
      <c r="H8018" s="3" t="s">
        <v>38194</v>
      </c>
      <c r="I8018" s="3" t="s">
        <v>41337</v>
      </c>
      <c r="J8018" s="3" t="s">
        <v>2745</v>
      </c>
      <c r="K8018" s="3" t="s">
        <v>41338</v>
      </c>
      <c r="L8018" s="3" t="s">
        <v>41339</v>
      </c>
      <c r="M8018" s="4"/>
      <c r="N8018" s="3" t="s">
        <v>37</v>
      </c>
      <c r="O8018" s="3" t="s">
        <v>46</v>
      </c>
      <c r="P8018" s="5">
        <v>11</v>
      </c>
      <c r="Q8018" s="5">
        <v>87</v>
      </c>
      <c r="R8018" s="5">
        <v>11</v>
      </c>
      <c r="S8018" s="5">
        <v>85</v>
      </c>
    </row>
    <row r="8019" spans="1:19" ht="28" x14ac:dyDescent="0.15">
      <c r="A8019" s="2">
        <f>HYPERLINK("https://open-school.uspishnemisto.com.ua/school/460712/", 460712)</f>
        <v>460712</v>
      </c>
      <c r="B8019" s="3" t="s">
        <v>41340</v>
      </c>
      <c r="C8019" s="3" t="s">
        <v>31</v>
      </c>
      <c r="D8019" s="3" t="s">
        <v>32</v>
      </c>
      <c r="E8019" s="4" t="s">
        <v>22</v>
      </c>
      <c r="F8019" s="4" t="s">
        <v>41341</v>
      </c>
      <c r="G8019" s="4" t="s">
        <v>41342</v>
      </c>
      <c r="H8019" s="3" t="s">
        <v>38194</v>
      </c>
      <c r="I8019" s="3" t="s">
        <v>41343</v>
      </c>
      <c r="J8019" s="3" t="s">
        <v>5606</v>
      </c>
      <c r="K8019" s="3" t="s">
        <v>41344</v>
      </c>
      <c r="L8019" s="3"/>
      <c r="M8019" s="4"/>
      <c r="N8019" s="3" t="s">
        <v>37</v>
      </c>
      <c r="O8019" s="3" t="s">
        <v>46</v>
      </c>
      <c r="P8019" s="5">
        <v>11</v>
      </c>
      <c r="Q8019" s="5">
        <v>163</v>
      </c>
      <c r="R8019" s="5">
        <v>11</v>
      </c>
      <c r="S8019" s="5">
        <v>159</v>
      </c>
    </row>
    <row r="8020" spans="1:19" ht="28" x14ac:dyDescent="0.15">
      <c r="A8020" s="2">
        <f>HYPERLINK("https://open-school.uspishnemisto.com.ua/school/460713/", 460713)</f>
        <v>460713</v>
      </c>
      <c r="B8020" s="3" t="s">
        <v>41345</v>
      </c>
      <c r="C8020" s="3" t="s">
        <v>31</v>
      </c>
      <c r="D8020" s="3" t="s">
        <v>175</v>
      </c>
      <c r="E8020" s="4" t="s">
        <v>22</v>
      </c>
      <c r="F8020" s="4" t="s">
        <v>41341</v>
      </c>
      <c r="G8020" s="4" t="s">
        <v>41346</v>
      </c>
      <c r="H8020" s="3" t="s">
        <v>38194</v>
      </c>
      <c r="I8020" s="3" t="s">
        <v>41347</v>
      </c>
      <c r="J8020" s="3" t="s">
        <v>20772</v>
      </c>
      <c r="K8020" s="3" t="s">
        <v>41348</v>
      </c>
      <c r="L8020" s="3" t="s">
        <v>41349</v>
      </c>
      <c r="M8020" s="4"/>
      <c r="N8020" s="3" t="s">
        <v>37</v>
      </c>
      <c r="O8020" s="3" t="s">
        <v>46</v>
      </c>
      <c r="P8020" s="5">
        <v>6</v>
      </c>
      <c r="Q8020" s="5">
        <v>49</v>
      </c>
      <c r="R8020" s="5">
        <v>6</v>
      </c>
      <c r="S8020" s="5">
        <v>51</v>
      </c>
    </row>
    <row r="8021" spans="1:19" ht="28" x14ac:dyDescent="0.15">
      <c r="A8021" s="2">
        <f>HYPERLINK("https://open-school.uspishnemisto.com.ua/school/460714/", 460714)</f>
        <v>460714</v>
      </c>
      <c r="B8021" s="3" t="s">
        <v>41350</v>
      </c>
      <c r="C8021" s="3" t="s">
        <v>31</v>
      </c>
      <c r="D8021" s="3" t="s">
        <v>60</v>
      </c>
      <c r="E8021" s="4" t="s">
        <v>22</v>
      </c>
      <c r="F8021" s="4" t="s">
        <v>41351</v>
      </c>
      <c r="G8021" s="4" t="s">
        <v>41352</v>
      </c>
      <c r="H8021" s="3" t="s">
        <v>38194</v>
      </c>
      <c r="I8021" s="3" t="s">
        <v>41353</v>
      </c>
      <c r="J8021" s="3" t="s">
        <v>41354</v>
      </c>
      <c r="K8021" s="3" t="s">
        <v>41355</v>
      </c>
      <c r="L8021" s="3"/>
      <c r="M8021" s="4"/>
      <c r="N8021" s="3" t="s">
        <v>37</v>
      </c>
      <c r="O8021" s="3" t="s">
        <v>52</v>
      </c>
      <c r="P8021" s="5">
        <v>3</v>
      </c>
      <c r="Q8021" s="5">
        <v>22</v>
      </c>
      <c r="R8021" s="5">
        <v>3</v>
      </c>
      <c r="S8021" s="5">
        <v>25</v>
      </c>
    </row>
    <row r="8022" spans="1:19" ht="28" x14ac:dyDescent="0.15">
      <c r="A8022" s="2">
        <f>HYPERLINK("https://open-school.uspishnemisto.com.ua/school/460715/", 460715)</f>
        <v>460715</v>
      </c>
      <c r="B8022" s="3" t="s">
        <v>41356</v>
      </c>
      <c r="C8022" s="3" t="s">
        <v>31</v>
      </c>
      <c r="D8022" s="3" t="s">
        <v>60</v>
      </c>
      <c r="E8022" s="4" t="s">
        <v>22</v>
      </c>
      <c r="F8022" s="4" t="s">
        <v>41181</v>
      </c>
      <c r="G8022" s="4" t="s">
        <v>41357</v>
      </c>
      <c r="H8022" s="3" t="s">
        <v>38194</v>
      </c>
      <c r="I8022" s="3" t="s">
        <v>41358</v>
      </c>
      <c r="J8022" s="3" t="s">
        <v>41359</v>
      </c>
      <c r="K8022" s="3" t="s">
        <v>41360</v>
      </c>
      <c r="L8022" s="3"/>
      <c r="M8022" s="4"/>
      <c r="N8022" s="3" t="s">
        <v>37</v>
      </c>
      <c r="O8022" s="3" t="s">
        <v>52</v>
      </c>
      <c r="P8022" s="5">
        <v>3</v>
      </c>
      <c r="Q8022" s="5">
        <v>26</v>
      </c>
      <c r="R8022" s="5">
        <v>4</v>
      </c>
      <c r="S8022" s="5">
        <v>30</v>
      </c>
    </row>
    <row r="8023" spans="1:19" ht="28" x14ac:dyDescent="0.15">
      <c r="A8023" s="2">
        <f>HYPERLINK("https://open-school.uspishnemisto.com.ua/school/460716/", 460716)</f>
        <v>460716</v>
      </c>
      <c r="B8023" s="3" t="s">
        <v>41361</v>
      </c>
      <c r="C8023" s="3" t="s">
        <v>31</v>
      </c>
      <c r="D8023" s="3" t="s">
        <v>60</v>
      </c>
      <c r="E8023" s="4" t="s">
        <v>22</v>
      </c>
      <c r="F8023" s="4" t="s">
        <v>41252</v>
      </c>
      <c r="G8023" s="4" t="s">
        <v>41362</v>
      </c>
      <c r="H8023" s="3" t="s">
        <v>38194</v>
      </c>
      <c r="I8023" s="3" t="s">
        <v>41363</v>
      </c>
      <c r="J8023" s="3" t="s">
        <v>41364</v>
      </c>
      <c r="K8023" s="3"/>
      <c r="L8023" s="3"/>
      <c r="M8023" s="4"/>
      <c r="N8023" s="3" t="s">
        <v>37</v>
      </c>
      <c r="O8023" s="3" t="s">
        <v>52</v>
      </c>
      <c r="P8023" s="5">
        <v>3</v>
      </c>
      <c r="Q8023" s="5">
        <v>21</v>
      </c>
      <c r="R8023" s="5">
        <v>2</v>
      </c>
      <c r="S8023" s="5">
        <v>20</v>
      </c>
    </row>
    <row r="8024" spans="1:19" ht="28" x14ac:dyDescent="0.15">
      <c r="A8024" s="2">
        <f>HYPERLINK("https://open-school.uspishnemisto.com.ua/school/460717/", 460717)</f>
        <v>460717</v>
      </c>
      <c r="B8024" s="3" t="s">
        <v>41365</v>
      </c>
      <c r="C8024" s="3" t="s">
        <v>31</v>
      </c>
      <c r="D8024" s="3" t="s">
        <v>32</v>
      </c>
      <c r="E8024" s="4" t="s">
        <v>22</v>
      </c>
      <c r="F8024" s="4" t="s">
        <v>41366</v>
      </c>
      <c r="G8024" s="4" t="s">
        <v>41367</v>
      </c>
      <c r="H8024" s="3" t="s">
        <v>38194</v>
      </c>
      <c r="I8024" s="3" t="s">
        <v>41368</v>
      </c>
      <c r="J8024" s="3" t="s">
        <v>41369</v>
      </c>
      <c r="K8024" s="3" t="s">
        <v>41370</v>
      </c>
      <c r="L8024" s="3"/>
      <c r="M8024" s="4"/>
      <c r="N8024" s="3" t="s">
        <v>37</v>
      </c>
      <c r="O8024" s="3" t="s">
        <v>46</v>
      </c>
      <c r="P8024" s="5">
        <v>16</v>
      </c>
      <c r="Q8024" s="5">
        <v>338</v>
      </c>
      <c r="R8024" s="5">
        <v>16</v>
      </c>
      <c r="S8024" s="5">
        <v>332</v>
      </c>
    </row>
    <row r="8025" spans="1:19" ht="28" x14ac:dyDescent="0.15">
      <c r="A8025" s="2">
        <f>HYPERLINK("https://open-school.uspishnemisto.com.ua/school/460718/", 460718)</f>
        <v>460718</v>
      </c>
      <c r="B8025" s="3" t="s">
        <v>41371</v>
      </c>
      <c r="C8025" s="3" t="s">
        <v>31</v>
      </c>
      <c r="D8025" s="3" t="s">
        <v>60</v>
      </c>
      <c r="E8025" s="4" t="s">
        <v>22</v>
      </c>
      <c r="F8025" s="4" t="s">
        <v>41366</v>
      </c>
      <c r="G8025" s="4" t="s">
        <v>41372</v>
      </c>
      <c r="H8025" s="3" t="s">
        <v>38194</v>
      </c>
      <c r="I8025" s="3" t="s">
        <v>41373</v>
      </c>
      <c r="J8025" s="3" t="s">
        <v>41374</v>
      </c>
      <c r="K8025" s="3" t="s">
        <v>41375</v>
      </c>
      <c r="L8025" s="3"/>
      <c r="M8025" s="4"/>
      <c r="N8025" s="3" t="s">
        <v>37</v>
      </c>
      <c r="O8025" s="3" t="s">
        <v>52</v>
      </c>
      <c r="P8025" s="5">
        <v>0</v>
      </c>
      <c r="Q8025" s="5">
        <v>8</v>
      </c>
      <c r="R8025" s="5">
        <v>0</v>
      </c>
      <c r="S8025" s="5">
        <v>9</v>
      </c>
    </row>
    <row r="8026" spans="1:19" ht="28" x14ac:dyDescent="0.15">
      <c r="A8026" s="2">
        <f>HYPERLINK("https://open-school.uspishnemisto.com.ua/school/460719/", 460719)</f>
        <v>460719</v>
      </c>
      <c r="B8026" s="3" t="s">
        <v>41376</v>
      </c>
      <c r="C8026" s="3" t="s">
        <v>31</v>
      </c>
      <c r="D8026" s="3" t="s">
        <v>175</v>
      </c>
      <c r="E8026" s="4" t="s">
        <v>22</v>
      </c>
      <c r="F8026" s="4" t="s">
        <v>41377</v>
      </c>
      <c r="G8026" s="4" t="s">
        <v>41378</v>
      </c>
      <c r="H8026" s="3" t="s">
        <v>38194</v>
      </c>
      <c r="I8026" s="3" t="s">
        <v>41379</v>
      </c>
      <c r="J8026" s="3" t="s">
        <v>18170</v>
      </c>
      <c r="K8026" s="3" t="s">
        <v>41380</v>
      </c>
      <c r="L8026" s="3" t="s">
        <v>41381</v>
      </c>
      <c r="M8026" s="4"/>
      <c r="N8026" s="3" t="s">
        <v>37</v>
      </c>
      <c r="O8026" s="3" t="s">
        <v>52</v>
      </c>
      <c r="P8026" s="5">
        <v>9</v>
      </c>
      <c r="Q8026" s="5">
        <v>126</v>
      </c>
      <c r="R8026" s="5">
        <v>9</v>
      </c>
      <c r="S8026" s="5">
        <v>123</v>
      </c>
    </row>
    <row r="8027" spans="1:19" ht="28" x14ac:dyDescent="0.15">
      <c r="A8027" s="2">
        <f>HYPERLINK("https://open-school.uspishnemisto.com.ua/school/460720/", 460720)</f>
        <v>460720</v>
      </c>
      <c r="B8027" s="3" t="s">
        <v>41382</v>
      </c>
      <c r="C8027" s="3" t="s">
        <v>31</v>
      </c>
      <c r="D8027" s="3" t="s">
        <v>175</v>
      </c>
      <c r="E8027" s="4" t="s">
        <v>22</v>
      </c>
      <c r="F8027" s="4" t="s">
        <v>41383</v>
      </c>
      <c r="G8027" s="4" t="s">
        <v>41384</v>
      </c>
      <c r="H8027" s="3" t="s">
        <v>38194</v>
      </c>
      <c r="I8027" s="3" t="s">
        <v>41385</v>
      </c>
      <c r="J8027" s="3" t="s">
        <v>1792</v>
      </c>
      <c r="K8027" s="3" t="s">
        <v>41386</v>
      </c>
      <c r="L8027" s="3"/>
      <c r="M8027" s="4"/>
      <c r="N8027" s="3" t="s">
        <v>37</v>
      </c>
      <c r="O8027" s="3" t="s">
        <v>52</v>
      </c>
      <c r="P8027" s="5">
        <v>9</v>
      </c>
      <c r="Q8027" s="5">
        <v>106</v>
      </c>
      <c r="R8027" s="5">
        <v>9</v>
      </c>
      <c r="S8027" s="5">
        <v>105</v>
      </c>
    </row>
    <row r="8028" spans="1:19" ht="28" x14ac:dyDescent="0.15">
      <c r="A8028" s="2">
        <f>HYPERLINK("https://open-school.uspishnemisto.com.ua/school/460721/", 460721)</f>
        <v>460721</v>
      </c>
      <c r="B8028" s="3" t="s">
        <v>41387</v>
      </c>
      <c r="C8028" s="3" t="s">
        <v>31</v>
      </c>
      <c r="D8028" s="3" t="s">
        <v>32</v>
      </c>
      <c r="E8028" s="4" t="s">
        <v>22</v>
      </c>
      <c r="F8028" s="4" t="s">
        <v>41388</v>
      </c>
      <c r="G8028" s="4" t="s">
        <v>41389</v>
      </c>
      <c r="H8028" s="3" t="s">
        <v>38194</v>
      </c>
      <c r="I8028" s="3" t="s">
        <v>41390</v>
      </c>
      <c r="J8028" s="3" t="s">
        <v>41391</v>
      </c>
      <c r="K8028" s="3" t="s">
        <v>41392</v>
      </c>
      <c r="L8028" s="3"/>
      <c r="M8028" s="4"/>
      <c r="N8028" s="3" t="s">
        <v>37</v>
      </c>
      <c r="O8028" s="3" t="s">
        <v>46</v>
      </c>
      <c r="P8028" s="5">
        <v>12</v>
      </c>
      <c r="Q8028" s="5">
        <v>242</v>
      </c>
      <c r="R8028" s="5">
        <v>11</v>
      </c>
      <c r="S8028" s="5">
        <v>226</v>
      </c>
    </row>
    <row r="8029" spans="1:19" ht="28" x14ac:dyDescent="0.15">
      <c r="A8029" s="2">
        <f>HYPERLINK("https://open-school.uspishnemisto.com.ua/school/460722/", 460722)</f>
        <v>460722</v>
      </c>
      <c r="B8029" s="3" t="s">
        <v>41393</v>
      </c>
      <c r="C8029" s="3" t="s">
        <v>31</v>
      </c>
      <c r="D8029" s="3" t="s">
        <v>32</v>
      </c>
      <c r="E8029" s="4" t="s">
        <v>22</v>
      </c>
      <c r="F8029" s="4" t="s">
        <v>41394</v>
      </c>
      <c r="G8029" s="4" t="s">
        <v>41395</v>
      </c>
      <c r="H8029" s="3" t="s">
        <v>38194</v>
      </c>
      <c r="I8029" s="3" t="s">
        <v>41396</v>
      </c>
      <c r="J8029" s="3" t="s">
        <v>41397</v>
      </c>
      <c r="K8029" s="3" t="s">
        <v>41398</v>
      </c>
      <c r="L8029" s="3"/>
      <c r="M8029" s="4"/>
      <c r="N8029" s="3" t="s">
        <v>37</v>
      </c>
      <c r="O8029" s="3" t="s">
        <v>52</v>
      </c>
      <c r="P8029" s="5">
        <v>11</v>
      </c>
      <c r="Q8029" s="5">
        <v>164</v>
      </c>
      <c r="R8029" s="5">
        <v>11</v>
      </c>
      <c r="S8029" s="5">
        <v>150</v>
      </c>
    </row>
    <row r="8030" spans="1:19" ht="28" x14ac:dyDescent="0.15">
      <c r="A8030" s="2">
        <f>HYPERLINK("https://open-school.uspishnemisto.com.ua/school/460723/", 460723)</f>
        <v>460723</v>
      </c>
      <c r="B8030" s="3" t="s">
        <v>41399</v>
      </c>
      <c r="C8030" s="3" t="s">
        <v>31</v>
      </c>
      <c r="D8030" s="3" t="s">
        <v>32</v>
      </c>
      <c r="E8030" s="4" t="s">
        <v>22</v>
      </c>
      <c r="F8030" s="4" t="s">
        <v>41400</v>
      </c>
      <c r="G8030" s="4" t="s">
        <v>41401</v>
      </c>
      <c r="H8030" s="3" t="s">
        <v>38194</v>
      </c>
      <c r="I8030" s="3" t="s">
        <v>41402</v>
      </c>
      <c r="J8030" s="3" t="s">
        <v>41403</v>
      </c>
      <c r="K8030" s="3"/>
      <c r="L8030" s="3"/>
      <c r="M8030" s="4"/>
      <c r="N8030" s="3" t="s">
        <v>37</v>
      </c>
      <c r="O8030" s="3" t="s">
        <v>2740</v>
      </c>
      <c r="P8030" s="5">
        <v>12</v>
      </c>
      <c r="Q8030" s="5">
        <v>271</v>
      </c>
      <c r="R8030" s="5">
        <v>12</v>
      </c>
      <c r="S8030" s="5">
        <v>264</v>
      </c>
    </row>
    <row r="8031" spans="1:19" ht="28" x14ac:dyDescent="0.15">
      <c r="A8031" s="2">
        <f>HYPERLINK("https://open-school.uspishnemisto.com.ua/school/460724/", 460724)</f>
        <v>460724</v>
      </c>
      <c r="B8031" s="3" t="s">
        <v>41404</v>
      </c>
      <c r="C8031" s="3" t="s">
        <v>31</v>
      </c>
      <c r="D8031" s="3" t="s">
        <v>175</v>
      </c>
      <c r="E8031" s="4" t="s">
        <v>22</v>
      </c>
      <c r="F8031" s="4" t="s">
        <v>41096</v>
      </c>
      <c r="G8031" s="4" t="s">
        <v>41405</v>
      </c>
      <c r="H8031" s="3" t="s">
        <v>38194</v>
      </c>
      <c r="I8031" s="3" t="s">
        <v>41406</v>
      </c>
      <c r="J8031" s="3" t="s">
        <v>41407</v>
      </c>
      <c r="K8031" s="3" t="s">
        <v>41408</v>
      </c>
      <c r="L8031" s="3"/>
      <c r="M8031" s="4"/>
      <c r="N8031" s="3" t="s">
        <v>37</v>
      </c>
      <c r="O8031" s="3" t="s">
        <v>52</v>
      </c>
      <c r="P8031" s="5">
        <v>8</v>
      </c>
      <c r="Q8031" s="5">
        <v>80</v>
      </c>
      <c r="R8031" s="5">
        <v>8</v>
      </c>
      <c r="S8031" s="5">
        <v>74</v>
      </c>
    </row>
    <row r="8032" spans="1:19" ht="28" x14ac:dyDescent="0.15">
      <c r="A8032" s="2">
        <f>HYPERLINK("https://open-school.uspishnemisto.com.ua/school/460725/", 460725)</f>
        <v>460725</v>
      </c>
      <c r="B8032" s="3" t="s">
        <v>41409</v>
      </c>
      <c r="C8032" s="3" t="s">
        <v>40</v>
      </c>
      <c r="D8032" s="3" t="s">
        <v>32</v>
      </c>
      <c r="E8032" s="4" t="s">
        <v>22</v>
      </c>
      <c r="F8032" s="4" t="s">
        <v>41410</v>
      </c>
      <c r="G8032" s="4" t="s">
        <v>41411</v>
      </c>
      <c r="H8032" s="3" t="s">
        <v>38194</v>
      </c>
      <c r="I8032" s="3" t="s">
        <v>41412</v>
      </c>
      <c r="J8032" s="3" t="s">
        <v>41413</v>
      </c>
      <c r="K8032" s="3" t="s">
        <v>41414</v>
      </c>
      <c r="L8032" s="3" t="s">
        <v>41415</v>
      </c>
      <c r="M8032" s="4"/>
      <c r="N8032" s="3" t="s">
        <v>37</v>
      </c>
      <c r="O8032" s="3" t="s">
        <v>46</v>
      </c>
      <c r="P8032" s="5">
        <v>15</v>
      </c>
      <c r="Q8032" s="5">
        <v>359</v>
      </c>
      <c r="R8032" s="5">
        <v>14</v>
      </c>
      <c r="S8032" s="5">
        <v>326</v>
      </c>
    </row>
    <row r="8033" spans="1:19" ht="28" x14ac:dyDescent="0.15">
      <c r="A8033" s="2">
        <f>HYPERLINK("https://open-school.uspishnemisto.com.ua/school/460726/", 460726)</f>
        <v>460726</v>
      </c>
      <c r="B8033" s="3" t="s">
        <v>41416</v>
      </c>
      <c r="C8033" s="3" t="s">
        <v>31</v>
      </c>
      <c r="D8033" s="3" t="s">
        <v>60</v>
      </c>
      <c r="E8033" s="4" t="s">
        <v>22</v>
      </c>
      <c r="F8033" s="4" t="s">
        <v>41410</v>
      </c>
      <c r="G8033" s="4" t="s">
        <v>41411</v>
      </c>
      <c r="H8033" s="3" t="s">
        <v>38194</v>
      </c>
      <c r="I8033" s="3" t="s">
        <v>41412</v>
      </c>
      <c r="J8033" s="3" t="s">
        <v>41413</v>
      </c>
      <c r="K8033" s="3" t="s">
        <v>41417</v>
      </c>
      <c r="L8033" s="3"/>
      <c r="M8033" s="4"/>
      <c r="N8033" s="3" t="s">
        <v>37</v>
      </c>
      <c r="O8033" s="3" t="s">
        <v>52</v>
      </c>
      <c r="P8033" s="5">
        <v>12</v>
      </c>
      <c r="Q8033" s="5">
        <v>300</v>
      </c>
      <c r="R8033" s="5">
        <v>12</v>
      </c>
      <c r="S8033" s="5">
        <v>296</v>
      </c>
    </row>
    <row r="8034" spans="1:19" ht="28" x14ac:dyDescent="0.15">
      <c r="A8034" s="2">
        <f>HYPERLINK("https://open-school.uspishnemisto.com.ua/school/460727/", 460727)</f>
        <v>460727</v>
      </c>
      <c r="B8034" s="3" t="s">
        <v>41418</v>
      </c>
      <c r="C8034" s="3" t="s">
        <v>31</v>
      </c>
      <c r="D8034" s="3" t="s">
        <v>32</v>
      </c>
      <c r="E8034" s="4" t="s">
        <v>22</v>
      </c>
      <c r="F8034" s="4" t="s">
        <v>41410</v>
      </c>
      <c r="G8034" s="4" t="s">
        <v>41411</v>
      </c>
      <c r="H8034" s="3" t="s">
        <v>38194</v>
      </c>
      <c r="I8034" s="3" t="s">
        <v>41412</v>
      </c>
      <c r="J8034" s="3" t="s">
        <v>41419</v>
      </c>
      <c r="K8034" s="3" t="s">
        <v>41420</v>
      </c>
      <c r="L8034" s="3"/>
      <c r="M8034" s="4"/>
      <c r="N8034" s="3" t="s">
        <v>37</v>
      </c>
      <c r="O8034" s="3" t="s">
        <v>46</v>
      </c>
      <c r="P8034" s="5">
        <v>31</v>
      </c>
      <c r="Q8034" s="5">
        <v>792</v>
      </c>
      <c r="R8034" s="5">
        <v>30</v>
      </c>
      <c r="S8034" s="5">
        <v>738</v>
      </c>
    </row>
    <row r="8035" spans="1:19" ht="56" x14ac:dyDescent="0.15">
      <c r="A8035" s="2">
        <f>HYPERLINK("https://open-school.uspishnemisto.com.ua/school/460728/", 460728)</f>
        <v>460728</v>
      </c>
      <c r="B8035" s="3" t="s">
        <v>41421</v>
      </c>
      <c r="C8035" s="3" t="s">
        <v>54</v>
      </c>
      <c r="D8035" s="3" t="s">
        <v>32</v>
      </c>
      <c r="E8035" s="4" t="s">
        <v>22</v>
      </c>
      <c r="F8035" s="4" t="s">
        <v>41410</v>
      </c>
      <c r="G8035" s="4" t="s">
        <v>41411</v>
      </c>
      <c r="H8035" s="3" t="s">
        <v>38194</v>
      </c>
      <c r="I8035" s="3" t="s">
        <v>41412</v>
      </c>
      <c r="J8035" s="3" t="s">
        <v>41422</v>
      </c>
      <c r="K8035" s="3" t="s">
        <v>41423</v>
      </c>
      <c r="L8035" s="3" t="s">
        <v>41424</v>
      </c>
      <c r="M8035" s="4"/>
      <c r="N8035" s="3" t="s">
        <v>37</v>
      </c>
      <c r="O8035" s="3" t="s">
        <v>46</v>
      </c>
      <c r="P8035" s="5">
        <v>20</v>
      </c>
      <c r="Q8035" s="5">
        <v>414</v>
      </c>
      <c r="R8035" s="5">
        <v>20</v>
      </c>
      <c r="S8035" s="5">
        <v>425</v>
      </c>
    </row>
    <row r="8036" spans="1:19" ht="28" x14ac:dyDescent="0.15">
      <c r="A8036" s="2">
        <f>HYPERLINK("https://open-school.uspishnemisto.com.ua/school/460729/", 460729)</f>
        <v>460729</v>
      </c>
      <c r="B8036" s="3" t="s">
        <v>41425</v>
      </c>
      <c r="C8036" s="3" t="s">
        <v>31</v>
      </c>
      <c r="D8036" s="3" t="s">
        <v>32</v>
      </c>
      <c r="E8036" s="4" t="s">
        <v>22</v>
      </c>
      <c r="F8036" s="4" t="s">
        <v>41426</v>
      </c>
      <c r="G8036" s="4" t="s">
        <v>41427</v>
      </c>
      <c r="H8036" s="3" t="s">
        <v>38194</v>
      </c>
      <c r="I8036" s="3" t="s">
        <v>41428</v>
      </c>
      <c r="J8036" s="3" t="s">
        <v>41429</v>
      </c>
      <c r="K8036" s="3" t="s">
        <v>41430</v>
      </c>
      <c r="L8036" s="3"/>
      <c r="M8036" s="4"/>
      <c r="N8036" s="3" t="s">
        <v>37</v>
      </c>
      <c r="O8036" s="3" t="s">
        <v>52</v>
      </c>
      <c r="P8036" s="5">
        <v>16</v>
      </c>
      <c r="Q8036" s="5">
        <v>295</v>
      </c>
      <c r="R8036" s="5">
        <v>17</v>
      </c>
      <c r="S8036" s="5">
        <v>306</v>
      </c>
    </row>
    <row r="8037" spans="1:19" ht="28" x14ac:dyDescent="0.15">
      <c r="A8037" s="2">
        <f>HYPERLINK("https://open-school.uspishnemisto.com.ua/school/460730/", 460730)</f>
        <v>460730</v>
      </c>
      <c r="B8037" s="3" t="s">
        <v>41431</v>
      </c>
      <c r="C8037" s="3" t="s">
        <v>31</v>
      </c>
      <c r="D8037" s="3" t="s">
        <v>175</v>
      </c>
      <c r="E8037" s="4" t="s">
        <v>22</v>
      </c>
      <c r="F8037" s="4" t="s">
        <v>41432</v>
      </c>
      <c r="G8037" s="4" t="s">
        <v>41433</v>
      </c>
      <c r="H8037" s="3" t="s">
        <v>38194</v>
      </c>
      <c r="I8037" s="3" t="s">
        <v>41434</v>
      </c>
      <c r="J8037" s="3" t="s">
        <v>3370</v>
      </c>
      <c r="K8037" s="3" t="s">
        <v>41435</v>
      </c>
      <c r="L8037" s="3"/>
      <c r="M8037" s="4"/>
      <c r="N8037" s="3" t="s">
        <v>37</v>
      </c>
      <c r="O8037" s="3" t="s">
        <v>52</v>
      </c>
      <c r="P8037" s="5">
        <v>9</v>
      </c>
      <c r="Q8037" s="5">
        <v>79</v>
      </c>
      <c r="R8037" s="5">
        <v>9</v>
      </c>
      <c r="S8037" s="5">
        <v>79</v>
      </c>
    </row>
    <row r="8038" spans="1:19" ht="28" x14ac:dyDescent="0.15">
      <c r="A8038" s="2">
        <f>HYPERLINK("https://open-school.uspishnemisto.com.ua/school/460731/", 460731)</f>
        <v>460731</v>
      </c>
      <c r="B8038" s="3" t="s">
        <v>41436</v>
      </c>
      <c r="C8038" s="3" t="s">
        <v>31</v>
      </c>
      <c r="D8038" s="3" t="s">
        <v>32</v>
      </c>
      <c r="E8038" s="4" t="s">
        <v>22</v>
      </c>
      <c r="F8038" s="4" t="s">
        <v>41437</v>
      </c>
      <c r="G8038" s="4" t="s">
        <v>41438</v>
      </c>
      <c r="H8038" s="3" t="s">
        <v>38194</v>
      </c>
      <c r="I8038" s="3" t="s">
        <v>17706</v>
      </c>
      <c r="J8038" s="3" t="s">
        <v>27394</v>
      </c>
      <c r="K8038" s="3" t="s">
        <v>41439</v>
      </c>
      <c r="L8038" s="3" t="s">
        <v>41440</v>
      </c>
      <c r="M8038" s="4"/>
      <c r="N8038" s="3" t="s">
        <v>37</v>
      </c>
      <c r="O8038" s="3" t="s">
        <v>52</v>
      </c>
      <c r="P8038" s="5">
        <v>11</v>
      </c>
      <c r="Q8038" s="5">
        <v>177</v>
      </c>
      <c r="R8038" s="5">
        <v>11</v>
      </c>
      <c r="S8038" s="5">
        <v>169</v>
      </c>
    </row>
    <row r="8039" spans="1:19" ht="56" x14ac:dyDescent="0.15">
      <c r="A8039" s="2">
        <f>HYPERLINK("https://open-school.uspishnemisto.com.ua/school/460732/", 460732)</f>
        <v>460732</v>
      </c>
      <c r="B8039" s="3" t="s">
        <v>41441</v>
      </c>
      <c r="C8039" s="3" t="s">
        <v>54</v>
      </c>
      <c r="D8039" s="3" t="s">
        <v>32</v>
      </c>
      <c r="E8039" s="4" t="s">
        <v>22</v>
      </c>
      <c r="F8039" s="4" t="s">
        <v>41442</v>
      </c>
      <c r="G8039" s="4" t="s">
        <v>41443</v>
      </c>
      <c r="H8039" s="3" t="s">
        <v>38194</v>
      </c>
      <c r="I8039" s="3" t="s">
        <v>41444</v>
      </c>
      <c r="J8039" s="3" t="s">
        <v>19823</v>
      </c>
      <c r="K8039" s="3" t="s">
        <v>41445</v>
      </c>
      <c r="L8039" s="3" t="s">
        <v>41446</v>
      </c>
      <c r="M8039" s="4"/>
      <c r="N8039" s="3" t="s">
        <v>37</v>
      </c>
      <c r="O8039" s="3" t="s">
        <v>46</v>
      </c>
      <c r="P8039" s="5">
        <v>21</v>
      </c>
      <c r="Q8039" s="5">
        <v>328</v>
      </c>
      <c r="R8039" s="5">
        <v>11</v>
      </c>
      <c r="S8039" s="5">
        <v>236</v>
      </c>
    </row>
    <row r="8040" spans="1:19" ht="28" x14ac:dyDescent="0.15">
      <c r="A8040" s="2">
        <f>HYPERLINK("https://open-school.uspishnemisto.com.ua/school/460733/", 460733)</f>
        <v>460733</v>
      </c>
      <c r="B8040" s="3" t="s">
        <v>41447</v>
      </c>
      <c r="C8040" s="3" t="s">
        <v>31</v>
      </c>
      <c r="D8040" s="3" t="s">
        <v>60</v>
      </c>
      <c r="E8040" s="4" t="s">
        <v>22</v>
      </c>
      <c r="F8040" s="4" t="s">
        <v>41448</v>
      </c>
      <c r="G8040" s="4" t="s">
        <v>41449</v>
      </c>
      <c r="H8040" s="3" t="s">
        <v>38194</v>
      </c>
      <c r="I8040" s="3" t="s">
        <v>41450</v>
      </c>
      <c r="J8040" s="3" t="s">
        <v>13444</v>
      </c>
      <c r="K8040" s="3" t="s">
        <v>41451</v>
      </c>
      <c r="L8040" s="3"/>
      <c r="M8040" s="4"/>
      <c r="N8040" s="3" t="s">
        <v>37</v>
      </c>
      <c r="O8040" s="3" t="s">
        <v>52</v>
      </c>
      <c r="P8040" s="5">
        <v>0</v>
      </c>
      <c r="Q8040" s="5">
        <v>0</v>
      </c>
      <c r="R8040" s="5">
        <v>2</v>
      </c>
      <c r="S8040" s="5">
        <v>17</v>
      </c>
    </row>
    <row r="8041" spans="1:19" ht="28" x14ac:dyDescent="0.15">
      <c r="A8041" s="2">
        <f>HYPERLINK("https://open-school.uspishnemisto.com.ua/school/460734/", 460734)</f>
        <v>460734</v>
      </c>
      <c r="B8041" s="3" t="s">
        <v>41452</v>
      </c>
      <c r="C8041" s="3" t="s">
        <v>31</v>
      </c>
      <c r="D8041" s="3" t="s">
        <v>175</v>
      </c>
      <c r="E8041" s="4" t="s">
        <v>22</v>
      </c>
      <c r="F8041" s="4" t="s">
        <v>41453</v>
      </c>
      <c r="G8041" s="4" t="s">
        <v>41454</v>
      </c>
      <c r="H8041" s="3" t="s">
        <v>38194</v>
      </c>
      <c r="I8041" s="3" t="s">
        <v>41455</v>
      </c>
      <c r="J8041" s="3" t="s">
        <v>41456</v>
      </c>
      <c r="K8041" s="3" t="s">
        <v>41457</v>
      </c>
      <c r="L8041" s="3"/>
      <c r="M8041" s="4"/>
      <c r="N8041" s="3" t="s">
        <v>37</v>
      </c>
      <c r="O8041" s="3" t="s">
        <v>52</v>
      </c>
      <c r="P8041" s="5">
        <v>8</v>
      </c>
      <c r="Q8041" s="5">
        <v>61</v>
      </c>
      <c r="R8041" s="5">
        <v>8</v>
      </c>
      <c r="S8041" s="5">
        <v>60</v>
      </c>
    </row>
    <row r="8042" spans="1:19" ht="56" x14ac:dyDescent="0.15">
      <c r="A8042" s="2">
        <f>HYPERLINK("https://open-school.uspishnemisto.com.ua/school/460735/", 460735)</f>
        <v>460735</v>
      </c>
      <c r="B8042" s="3" t="s">
        <v>41458</v>
      </c>
      <c r="C8042" s="3" t="s">
        <v>54</v>
      </c>
      <c r="D8042" s="3" t="s">
        <v>175</v>
      </c>
      <c r="E8042" s="4" t="s">
        <v>22</v>
      </c>
      <c r="F8042" s="4" t="s">
        <v>41459</v>
      </c>
      <c r="G8042" s="4" t="s">
        <v>41460</v>
      </c>
      <c r="H8042" s="3" t="s">
        <v>38194</v>
      </c>
      <c r="I8042" s="3" t="s">
        <v>3581</v>
      </c>
      <c r="J8042" s="3" t="s">
        <v>41461</v>
      </c>
      <c r="K8042" s="3" t="s">
        <v>41462</v>
      </c>
      <c r="L8042" s="3"/>
      <c r="M8042" s="4"/>
      <c r="N8042" s="3" t="s">
        <v>37</v>
      </c>
      <c r="O8042" s="3" t="s">
        <v>52</v>
      </c>
      <c r="P8042" s="5">
        <v>9</v>
      </c>
      <c r="Q8042" s="5">
        <v>113</v>
      </c>
      <c r="R8042" s="5">
        <v>9</v>
      </c>
      <c r="S8042" s="5">
        <v>105</v>
      </c>
    </row>
    <row r="8043" spans="1:19" ht="28" x14ac:dyDescent="0.15">
      <c r="A8043" s="2">
        <f>HYPERLINK("https://open-school.uspishnemisto.com.ua/school/460736/", 460736)</f>
        <v>460736</v>
      </c>
      <c r="B8043" s="3" t="s">
        <v>41463</v>
      </c>
      <c r="C8043" s="3" t="s">
        <v>31</v>
      </c>
      <c r="D8043" s="3" t="s">
        <v>32</v>
      </c>
      <c r="E8043" s="4" t="s">
        <v>22</v>
      </c>
      <c r="F8043" s="4" t="s">
        <v>41464</v>
      </c>
      <c r="G8043" s="4" t="s">
        <v>41465</v>
      </c>
      <c r="H8043" s="3" t="s">
        <v>38194</v>
      </c>
      <c r="I8043" s="3" t="s">
        <v>41466</v>
      </c>
      <c r="J8043" s="3" t="s">
        <v>466</v>
      </c>
      <c r="K8043" s="3" t="s">
        <v>41467</v>
      </c>
      <c r="L8043" s="3"/>
      <c r="M8043" s="4"/>
      <c r="N8043" s="3" t="s">
        <v>37</v>
      </c>
      <c r="O8043" s="3" t="s">
        <v>52</v>
      </c>
      <c r="P8043" s="5">
        <v>11</v>
      </c>
      <c r="Q8043" s="5">
        <v>98</v>
      </c>
      <c r="R8043" s="5">
        <v>11</v>
      </c>
      <c r="S8043" s="5">
        <v>93</v>
      </c>
    </row>
    <row r="8044" spans="1:19" ht="28" x14ac:dyDescent="0.15">
      <c r="A8044" s="2">
        <f>HYPERLINK("https://open-school.uspishnemisto.com.ua/school/460737/", 460737)</f>
        <v>460737</v>
      </c>
      <c r="B8044" s="3" t="s">
        <v>41468</v>
      </c>
      <c r="C8044" s="3" t="s">
        <v>31</v>
      </c>
      <c r="D8044" s="3" t="s">
        <v>175</v>
      </c>
      <c r="E8044" s="4" t="s">
        <v>22</v>
      </c>
      <c r="F8044" s="4" t="s">
        <v>41469</v>
      </c>
      <c r="G8044" s="4" t="s">
        <v>41470</v>
      </c>
      <c r="H8044" s="3" t="s">
        <v>38194</v>
      </c>
      <c r="I8044" s="3" t="s">
        <v>41471</v>
      </c>
      <c r="J8044" s="3" t="s">
        <v>41472</v>
      </c>
      <c r="K8044" s="3" t="s">
        <v>41473</v>
      </c>
      <c r="L8044" s="3"/>
      <c r="M8044" s="4"/>
      <c r="N8044" s="3" t="s">
        <v>37</v>
      </c>
      <c r="O8044" s="3" t="s">
        <v>52</v>
      </c>
      <c r="P8044" s="5">
        <v>9</v>
      </c>
      <c r="Q8044" s="5">
        <v>164</v>
      </c>
      <c r="R8044" s="5">
        <v>9</v>
      </c>
      <c r="S8044" s="5">
        <v>166</v>
      </c>
    </row>
    <row r="8045" spans="1:19" ht="56" x14ac:dyDescent="0.15">
      <c r="A8045" s="2">
        <f>HYPERLINK("https://open-school.uspishnemisto.com.ua/school/460738/", 460738)</f>
        <v>460738</v>
      </c>
      <c r="B8045" s="3" t="s">
        <v>41474</v>
      </c>
      <c r="C8045" s="3" t="s">
        <v>31</v>
      </c>
      <c r="D8045" s="3" t="s">
        <v>32</v>
      </c>
      <c r="E8045" s="4" t="s">
        <v>22</v>
      </c>
      <c r="F8045" s="4" t="s">
        <v>41475</v>
      </c>
      <c r="G8045" s="4" t="s">
        <v>41476</v>
      </c>
      <c r="H8045" s="3" t="s">
        <v>38194</v>
      </c>
      <c r="I8045" s="3" t="s">
        <v>41477</v>
      </c>
      <c r="J8045" s="3" t="s">
        <v>946</v>
      </c>
      <c r="K8045" s="3" t="s">
        <v>41478</v>
      </c>
      <c r="L8045" s="3" t="s">
        <v>41479</v>
      </c>
      <c r="M8045" s="4"/>
      <c r="N8045" s="3" t="s">
        <v>37</v>
      </c>
      <c r="O8045" s="3" t="s">
        <v>46</v>
      </c>
      <c r="P8045" s="5">
        <v>11</v>
      </c>
      <c r="Q8045" s="5">
        <v>172</v>
      </c>
      <c r="R8045" s="5">
        <v>11</v>
      </c>
      <c r="S8045" s="5">
        <v>164</v>
      </c>
    </row>
    <row r="8046" spans="1:19" ht="28" x14ac:dyDescent="0.15">
      <c r="A8046" s="2">
        <f>HYPERLINK("https://open-school.uspishnemisto.com.ua/school/460739/", 460739)</f>
        <v>460739</v>
      </c>
      <c r="B8046" s="3" t="s">
        <v>41480</v>
      </c>
      <c r="C8046" s="3" t="s">
        <v>31</v>
      </c>
      <c r="D8046" s="3" t="s">
        <v>175</v>
      </c>
      <c r="E8046" s="4" t="s">
        <v>22</v>
      </c>
      <c r="F8046" s="4" t="s">
        <v>41481</v>
      </c>
      <c r="G8046" s="4" t="s">
        <v>41482</v>
      </c>
      <c r="H8046" s="3" t="s">
        <v>38194</v>
      </c>
      <c r="I8046" s="3" t="s">
        <v>766</v>
      </c>
      <c r="J8046" s="3" t="s">
        <v>7647</v>
      </c>
      <c r="K8046" s="3" t="s">
        <v>41483</v>
      </c>
      <c r="L8046" s="3" t="s">
        <v>41484</v>
      </c>
      <c r="M8046" s="4"/>
      <c r="N8046" s="3" t="s">
        <v>37</v>
      </c>
      <c r="O8046" s="3" t="s">
        <v>52</v>
      </c>
      <c r="P8046" s="5">
        <v>9</v>
      </c>
      <c r="Q8046" s="5">
        <v>113</v>
      </c>
      <c r="R8046" s="5">
        <v>9</v>
      </c>
      <c r="S8046" s="5">
        <v>118</v>
      </c>
    </row>
    <row r="8047" spans="1:19" ht="28" x14ac:dyDescent="0.15">
      <c r="A8047" s="2">
        <f>HYPERLINK("https://open-school.uspishnemisto.com.ua/school/460740/", 460740)</f>
        <v>460740</v>
      </c>
      <c r="B8047" s="3" t="s">
        <v>41485</v>
      </c>
      <c r="C8047" s="3" t="s">
        <v>31</v>
      </c>
      <c r="D8047" s="3" t="s">
        <v>175</v>
      </c>
      <c r="E8047" s="4" t="s">
        <v>22</v>
      </c>
      <c r="F8047" s="4" t="s">
        <v>41486</v>
      </c>
      <c r="G8047" s="4" t="s">
        <v>41487</v>
      </c>
      <c r="H8047" s="3" t="s">
        <v>38194</v>
      </c>
      <c r="I8047" s="3" t="s">
        <v>41488</v>
      </c>
      <c r="J8047" s="3" t="s">
        <v>41489</v>
      </c>
      <c r="K8047" s="3" t="s">
        <v>41490</v>
      </c>
      <c r="L8047" s="3"/>
      <c r="M8047" s="4"/>
      <c r="N8047" s="3" t="s">
        <v>37</v>
      </c>
      <c r="O8047" s="3" t="s">
        <v>46</v>
      </c>
      <c r="P8047" s="5">
        <v>9</v>
      </c>
      <c r="Q8047" s="5">
        <v>122</v>
      </c>
      <c r="R8047" s="5">
        <v>9</v>
      </c>
      <c r="S8047" s="5">
        <v>121</v>
      </c>
    </row>
    <row r="8048" spans="1:19" ht="28" x14ac:dyDescent="0.15">
      <c r="A8048" s="2">
        <f>HYPERLINK("https://open-school.uspishnemisto.com.ua/school/460741/", 460741)</f>
        <v>460741</v>
      </c>
      <c r="B8048" s="3" t="s">
        <v>41491</v>
      </c>
      <c r="C8048" s="3" t="s">
        <v>31</v>
      </c>
      <c r="D8048" s="3" t="s">
        <v>175</v>
      </c>
      <c r="E8048" s="4" t="s">
        <v>22</v>
      </c>
      <c r="F8048" s="4" t="s">
        <v>41492</v>
      </c>
      <c r="G8048" s="4" t="s">
        <v>41493</v>
      </c>
      <c r="H8048" s="3" t="s">
        <v>38194</v>
      </c>
      <c r="I8048" s="3" t="s">
        <v>5302</v>
      </c>
      <c r="J8048" s="3" t="s">
        <v>28673</v>
      </c>
      <c r="K8048" s="3" t="s">
        <v>41494</v>
      </c>
      <c r="L8048" s="3" t="s">
        <v>41495</v>
      </c>
      <c r="M8048" s="4"/>
      <c r="N8048" s="3" t="s">
        <v>37</v>
      </c>
      <c r="O8048" s="3" t="s">
        <v>46</v>
      </c>
      <c r="P8048" s="5">
        <v>8</v>
      </c>
      <c r="Q8048" s="5">
        <v>59</v>
      </c>
      <c r="R8048" s="5">
        <v>8</v>
      </c>
      <c r="S8048" s="5">
        <v>60</v>
      </c>
    </row>
    <row r="8049" spans="1:19" ht="42" x14ac:dyDescent="0.15">
      <c r="A8049" s="2">
        <f>HYPERLINK("https://open-school.uspishnemisto.com.ua/school/460742/", 460742)</f>
        <v>460742</v>
      </c>
      <c r="B8049" s="3" t="s">
        <v>41496</v>
      </c>
      <c r="C8049" s="3" t="s">
        <v>54</v>
      </c>
      <c r="D8049" s="3" t="s">
        <v>32</v>
      </c>
      <c r="E8049" s="4" t="s">
        <v>22</v>
      </c>
      <c r="F8049" s="4" t="s">
        <v>41497</v>
      </c>
      <c r="G8049" s="4" t="s">
        <v>41498</v>
      </c>
      <c r="H8049" s="3" t="s">
        <v>38194</v>
      </c>
      <c r="I8049" s="3" t="s">
        <v>37586</v>
      </c>
      <c r="J8049" s="3" t="s">
        <v>466</v>
      </c>
      <c r="K8049" s="3" t="s">
        <v>41499</v>
      </c>
      <c r="L8049" s="3" t="s">
        <v>41500</v>
      </c>
      <c r="M8049" s="4"/>
      <c r="N8049" s="3" t="s">
        <v>37</v>
      </c>
      <c r="O8049" s="3" t="s">
        <v>52</v>
      </c>
      <c r="P8049" s="5">
        <v>18</v>
      </c>
      <c r="Q8049" s="5">
        <v>353</v>
      </c>
      <c r="R8049" s="5">
        <v>18</v>
      </c>
      <c r="S8049" s="5">
        <v>348</v>
      </c>
    </row>
    <row r="8050" spans="1:19" ht="28" x14ac:dyDescent="0.15">
      <c r="A8050" s="2">
        <f>HYPERLINK("https://open-school.uspishnemisto.com.ua/school/460743/", 460743)</f>
        <v>460743</v>
      </c>
      <c r="B8050" s="3" t="s">
        <v>41501</v>
      </c>
      <c r="C8050" s="3" t="s">
        <v>31</v>
      </c>
      <c r="D8050" s="3" t="s">
        <v>175</v>
      </c>
      <c r="E8050" s="4" t="s">
        <v>22</v>
      </c>
      <c r="F8050" s="4" t="s">
        <v>41502</v>
      </c>
      <c r="G8050" s="4" t="s">
        <v>41503</v>
      </c>
      <c r="H8050" s="3" t="s">
        <v>38194</v>
      </c>
      <c r="I8050" s="3" t="s">
        <v>41504</v>
      </c>
      <c r="J8050" s="3" t="s">
        <v>30464</v>
      </c>
      <c r="K8050" s="3" t="s">
        <v>41505</v>
      </c>
      <c r="L8050" s="3"/>
      <c r="M8050" s="4"/>
      <c r="N8050" s="3" t="s">
        <v>37</v>
      </c>
      <c r="O8050" s="3" t="s">
        <v>46</v>
      </c>
      <c r="P8050" s="5">
        <v>9</v>
      </c>
      <c r="Q8050" s="5">
        <v>111</v>
      </c>
      <c r="R8050" s="5">
        <v>9</v>
      </c>
      <c r="S8050" s="5">
        <v>104</v>
      </c>
    </row>
    <row r="8051" spans="1:19" ht="56" x14ac:dyDescent="0.15">
      <c r="A8051" s="2">
        <f>HYPERLINK("https://open-school.uspishnemisto.com.ua/school/460744/", 460744)</f>
        <v>460744</v>
      </c>
      <c r="B8051" s="3" t="s">
        <v>41506</v>
      </c>
      <c r="C8051" s="3" t="s">
        <v>54</v>
      </c>
      <c r="D8051" s="3" t="s">
        <v>32</v>
      </c>
      <c r="E8051" s="4" t="s">
        <v>22</v>
      </c>
      <c r="F8051" s="4" t="s">
        <v>41507</v>
      </c>
      <c r="G8051" s="4" t="s">
        <v>41508</v>
      </c>
      <c r="H8051" s="3" t="s">
        <v>38194</v>
      </c>
      <c r="I8051" s="3" t="s">
        <v>41509</v>
      </c>
      <c r="J8051" s="3" t="s">
        <v>6288</v>
      </c>
      <c r="K8051" s="3" t="s">
        <v>41510</v>
      </c>
      <c r="L8051" s="3" t="s">
        <v>41511</v>
      </c>
      <c r="M8051" s="4"/>
      <c r="N8051" s="3" t="s">
        <v>37</v>
      </c>
      <c r="O8051" s="3" t="s">
        <v>52</v>
      </c>
      <c r="P8051" s="5">
        <v>11</v>
      </c>
      <c r="Q8051" s="5">
        <v>209</v>
      </c>
      <c r="R8051" s="5">
        <v>11</v>
      </c>
      <c r="S8051" s="5">
        <v>212</v>
      </c>
    </row>
    <row r="8052" spans="1:19" ht="42" x14ac:dyDescent="0.15">
      <c r="A8052" s="2">
        <f>HYPERLINK("https://open-school.uspishnemisto.com.ua/school/460745/", 460745)</f>
        <v>460745</v>
      </c>
      <c r="B8052" s="3" t="s">
        <v>41512</v>
      </c>
      <c r="C8052" s="3" t="s">
        <v>54</v>
      </c>
      <c r="D8052" s="3" t="s">
        <v>32</v>
      </c>
      <c r="E8052" s="4" t="s">
        <v>22</v>
      </c>
      <c r="F8052" s="4" t="s">
        <v>41513</v>
      </c>
      <c r="G8052" s="4" t="s">
        <v>41514</v>
      </c>
      <c r="H8052" s="3" t="s">
        <v>38194</v>
      </c>
      <c r="I8052" s="3" t="s">
        <v>41515</v>
      </c>
      <c r="J8052" s="3" t="s">
        <v>792</v>
      </c>
      <c r="K8052" s="3" t="s">
        <v>41516</v>
      </c>
      <c r="L8052" s="3"/>
      <c r="M8052" s="4"/>
      <c r="N8052" s="3" t="s">
        <v>37</v>
      </c>
      <c r="O8052" s="3" t="s">
        <v>46</v>
      </c>
      <c r="P8052" s="5">
        <v>11</v>
      </c>
      <c r="Q8052" s="5">
        <v>186</v>
      </c>
      <c r="R8052" s="5">
        <v>11</v>
      </c>
      <c r="S8052" s="5">
        <v>172</v>
      </c>
    </row>
    <row r="8053" spans="1:19" ht="28" x14ac:dyDescent="0.15">
      <c r="A8053" s="2">
        <f>HYPERLINK("https://open-school.uspishnemisto.com.ua/school/460746/", 460746)</f>
        <v>460746</v>
      </c>
      <c r="B8053" s="3" t="s">
        <v>41517</v>
      </c>
      <c r="C8053" s="3" t="s">
        <v>31</v>
      </c>
      <c r="D8053" s="3" t="s">
        <v>32</v>
      </c>
      <c r="E8053" s="4" t="s">
        <v>22</v>
      </c>
      <c r="F8053" s="4" t="s">
        <v>41518</v>
      </c>
      <c r="G8053" s="4" t="s">
        <v>41519</v>
      </c>
      <c r="H8053" s="3" t="s">
        <v>38194</v>
      </c>
      <c r="I8053" s="3" t="s">
        <v>41520</v>
      </c>
      <c r="J8053" s="3" t="s">
        <v>41521</v>
      </c>
      <c r="K8053" s="3" t="s">
        <v>41522</v>
      </c>
      <c r="L8053" s="3"/>
      <c r="M8053" s="4"/>
      <c r="N8053" s="3" t="s">
        <v>37</v>
      </c>
      <c r="O8053" s="3" t="s">
        <v>52</v>
      </c>
      <c r="P8053" s="5">
        <v>11</v>
      </c>
      <c r="Q8053" s="5">
        <v>100</v>
      </c>
      <c r="R8053" s="5">
        <v>11</v>
      </c>
      <c r="S8053" s="5">
        <v>109</v>
      </c>
    </row>
    <row r="8054" spans="1:19" ht="28" x14ac:dyDescent="0.15">
      <c r="A8054" s="2">
        <f>HYPERLINK("https://open-school.uspishnemisto.com.ua/school/460747/", 460747)</f>
        <v>460747</v>
      </c>
      <c r="B8054" s="3" t="s">
        <v>41523</v>
      </c>
      <c r="C8054" s="3" t="s">
        <v>31</v>
      </c>
      <c r="D8054" s="3" t="s">
        <v>175</v>
      </c>
      <c r="E8054" s="4" t="s">
        <v>22</v>
      </c>
      <c r="F8054" s="4" t="s">
        <v>41524</v>
      </c>
      <c r="G8054" s="4" t="s">
        <v>41525</v>
      </c>
      <c r="H8054" s="3" t="s">
        <v>38194</v>
      </c>
      <c r="I8054" s="3" t="s">
        <v>41526</v>
      </c>
      <c r="J8054" s="3" t="s">
        <v>41527</v>
      </c>
      <c r="K8054" s="3" t="s">
        <v>41528</v>
      </c>
      <c r="L8054" s="3"/>
      <c r="M8054" s="4"/>
      <c r="N8054" s="3" t="s">
        <v>37</v>
      </c>
      <c r="O8054" s="3" t="s">
        <v>46</v>
      </c>
      <c r="P8054" s="5">
        <v>0</v>
      </c>
      <c r="Q8054" s="5">
        <v>0</v>
      </c>
      <c r="R8054" s="5">
        <v>8</v>
      </c>
      <c r="S8054" s="5">
        <v>85</v>
      </c>
    </row>
    <row r="8055" spans="1:19" ht="28" x14ac:dyDescent="0.15">
      <c r="A8055" s="2">
        <f>HYPERLINK("https://open-school.uspishnemisto.com.ua/school/460748/", 460748)</f>
        <v>460748</v>
      </c>
      <c r="B8055" s="3" t="s">
        <v>41529</v>
      </c>
      <c r="C8055" s="3" t="s">
        <v>31</v>
      </c>
      <c r="D8055" s="3" t="s">
        <v>175</v>
      </c>
      <c r="E8055" s="4" t="s">
        <v>22</v>
      </c>
      <c r="F8055" s="4" t="s">
        <v>41530</v>
      </c>
      <c r="G8055" s="4" t="s">
        <v>41531</v>
      </c>
      <c r="H8055" s="3" t="s">
        <v>38194</v>
      </c>
      <c r="I8055" s="3" t="s">
        <v>41532</v>
      </c>
      <c r="J8055" s="3" t="s">
        <v>41533</v>
      </c>
      <c r="K8055" s="3" t="s">
        <v>41534</v>
      </c>
      <c r="L8055" s="3" t="s">
        <v>41535</v>
      </c>
      <c r="M8055" s="4"/>
      <c r="N8055" s="3" t="s">
        <v>37</v>
      </c>
      <c r="O8055" s="3" t="s">
        <v>52</v>
      </c>
      <c r="P8055" s="5">
        <v>9</v>
      </c>
      <c r="Q8055" s="5">
        <v>108</v>
      </c>
      <c r="R8055" s="5">
        <v>9</v>
      </c>
      <c r="S8055" s="5">
        <v>102</v>
      </c>
    </row>
    <row r="8056" spans="1:19" ht="28" x14ac:dyDescent="0.15">
      <c r="A8056" s="2">
        <f>HYPERLINK("https://open-school.uspishnemisto.com.ua/school/460749/", 460749)</f>
        <v>460749</v>
      </c>
      <c r="B8056" s="3" t="s">
        <v>41536</v>
      </c>
      <c r="C8056" s="3" t="s">
        <v>31</v>
      </c>
      <c r="D8056" s="3" t="s">
        <v>32</v>
      </c>
      <c r="E8056" s="4" t="s">
        <v>22</v>
      </c>
      <c r="F8056" s="4" t="s">
        <v>41537</v>
      </c>
      <c r="G8056" s="4" t="s">
        <v>41538</v>
      </c>
      <c r="H8056" s="3" t="s">
        <v>38194</v>
      </c>
      <c r="I8056" s="3" t="s">
        <v>41539</v>
      </c>
      <c r="J8056" s="3" t="s">
        <v>466</v>
      </c>
      <c r="K8056" s="3" t="s">
        <v>41540</v>
      </c>
      <c r="L8056" s="3" t="s">
        <v>41541</v>
      </c>
      <c r="M8056" s="4"/>
      <c r="N8056" s="3" t="s">
        <v>37</v>
      </c>
      <c r="O8056" s="3" t="s">
        <v>52</v>
      </c>
      <c r="P8056" s="5">
        <v>11</v>
      </c>
      <c r="Q8056" s="5">
        <v>140</v>
      </c>
      <c r="R8056" s="5">
        <v>11</v>
      </c>
      <c r="S8056" s="5">
        <v>145</v>
      </c>
    </row>
    <row r="8057" spans="1:19" ht="28" x14ac:dyDescent="0.15">
      <c r="A8057" s="2">
        <f>HYPERLINK("https://open-school.uspishnemisto.com.ua/school/460750/", 460750)</f>
        <v>460750</v>
      </c>
      <c r="B8057" s="3" t="s">
        <v>41542</v>
      </c>
      <c r="C8057" s="3" t="s">
        <v>31</v>
      </c>
      <c r="D8057" s="3" t="s">
        <v>175</v>
      </c>
      <c r="E8057" s="4" t="s">
        <v>22</v>
      </c>
      <c r="F8057" s="4" t="s">
        <v>41543</v>
      </c>
      <c r="G8057" s="4" t="s">
        <v>41544</v>
      </c>
      <c r="H8057" s="3" t="s">
        <v>38194</v>
      </c>
      <c r="I8057" s="3" t="s">
        <v>41545</v>
      </c>
      <c r="J8057" s="3" t="s">
        <v>41546</v>
      </c>
      <c r="K8057" s="3" t="s">
        <v>41547</v>
      </c>
      <c r="L8057" s="3" t="s">
        <v>41548</v>
      </c>
      <c r="M8057" s="4"/>
      <c r="N8057" s="3" t="s">
        <v>37</v>
      </c>
      <c r="O8057" s="3" t="s">
        <v>52</v>
      </c>
      <c r="P8057" s="5">
        <v>9</v>
      </c>
      <c r="Q8057" s="5">
        <v>73</v>
      </c>
      <c r="R8057" s="5">
        <v>9</v>
      </c>
      <c r="S8057" s="5">
        <v>70</v>
      </c>
    </row>
    <row r="8058" spans="1:19" ht="28" x14ac:dyDescent="0.15">
      <c r="A8058" s="2">
        <f>HYPERLINK("https://open-school.uspishnemisto.com.ua/school/460751/", 460751)</f>
        <v>460751</v>
      </c>
      <c r="B8058" s="3" t="s">
        <v>41549</v>
      </c>
      <c r="C8058" s="3" t="s">
        <v>31</v>
      </c>
      <c r="D8058" s="3" t="s">
        <v>60</v>
      </c>
      <c r="E8058" s="4" t="s">
        <v>22</v>
      </c>
      <c r="F8058" s="4" t="s">
        <v>41550</v>
      </c>
      <c r="G8058" s="4" t="s">
        <v>41551</v>
      </c>
      <c r="H8058" s="3" t="s">
        <v>38194</v>
      </c>
      <c r="I8058" s="3" t="s">
        <v>41552</v>
      </c>
      <c r="J8058" s="3" t="s">
        <v>41553</v>
      </c>
      <c r="K8058" s="3"/>
      <c r="L8058" s="3"/>
      <c r="M8058" s="4"/>
      <c r="N8058" s="3" t="s">
        <v>37</v>
      </c>
      <c r="O8058" s="3" t="s">
        <v>618</v>
      </c>
      <c r="P8058" s="5">
        <v>3</v>
      </c>
      <c r="Q8058" s="5">
        <v>18</v>
      </c>
      <c r="R8058" s="5">
        <v>3</v>
      </c>
      <c r="S8058" s="5">
        <v>19</v>
      </c>
    </row>
    <row r="8059" spans="1:19" ht="56" x14ac:dyDescent="0.15">
      <c r="A8059" s="2">
        <f>HYPERLINK("https://open-school.uspishnemisto.com.ua/school/460752/", 460752)</f>
        <v>460752</v>
      </c>
      <c r="B8059" s="3" t="s">
        <v>41554</v>
      </c>
      <c r="C8059" s="3" t="s">
        <v>54</v>
      </c>
      <c r="D8059" s="3" t="s">
        <v>32</v>
      </c>
      <c r="E8059" s="4" t="s">
        <v>22</v>
      </c>
      <c r="F8059" s="4" t="s">
        <v>41555</v>
      </c>
      <c r="G8059" s="4" t="s">
        <v>41556</v>
      </c>
      <c r="H8059" s="3" t="s">
        <v>38194</v>
      </c>
      <c r="I8059" s="3" t="s">
        <v>39273</v>
      </c>
      <c r="J8059" s="3" t="s">
        <v>41557</v>
      </c>
      <c r="K8059" s="3" t="s">
        <v>41558</v>
      </c>
      <c r="L8059" s="3" t="s">
        <v>41559</v>
      </c>
      <c r="M8059" s="4"/>
      <c r="N8059" s="3" t="s">
        <v>37</v>
      </c>
      <c r="O8059" s="3" t="s">
        <v>46</v>
      </c>
      <c r="P8059" s="5">
        <v>20</v>
      </c>
      <c r="Q8059" s="5">
        <v>431</v>
      </c>
      <c r="R8059" s="5">
        <v>20</v>
      </c>
      <c r="S8059" s="5">
        <v>419</v>
      </c>
    </row>
    <row r="8060" spans="1:19" ht="56" x14ac:dyDescent="0.15">
      <c r="A8060" s="2">
        <f>HYPERLINK("https://open-school.uspishnemisto.com.ua/school/460753/", 460753)</f>
        <v>460753</v>
      </c>
      <c r="B8060" s="3" t="s">
        <v>41560</v>
      </c>
      <c r="C8060" s="3" t="s">
        <v>54</v>
      </c>
      <c r="D8060" s="3" t="s">
        <v>32</v>
      </c>
      <c r="E8060" s="4" t="s">
        <v>22</v>
      </c>
      <c r="F8060" s="4" t="s">
        <v>41561</v>
      </c>
      <c r="G8060" s="4" t="s">
        <v>41562</v>
      </c>
      <c r="H8060" s="3" t="s">
        <v>38194</v>
      </c>
      <c r="I8060" s="3" t="s">
        <v>41563</v>
      </c>
      <c r="J8060" s="3" t="s">
        <v>32717</v>
      </c>
      <c r="K8060" s="3" t="s">
        <v>41564</v>
      </c>
      <c r="L8060" s="3" t="s">
        <v>41565</v>
      </c>
      <c r="M8060" s="4"/>
      <c r="N8060" s="3" t="s">
        <v>37</v>
      </c>
      <c r="O8060" s="3" t="s">
        <v>46</v>
      </c>
      <c r="P8060" s="5">
        <v>11</v>
      </c>
      <c r="Q8060" s="5">
        <v>130</v>
      </c>
      <c r="R8060" s="5">
        <v>11</v>
      </c>
      <c r="S8060" s="5">
        <v>123</v>
      </c>
    </row>
    <row r="8061" spans="1:19" ht="28" x14ac:dyDescent="0.15">
      <c r="A8061" s="2">
        <f>HYPERLINK("https://open-school.uspishnemisto.com.ua/school/460754/", 460754)</f>
        <v>460754</v>
      </c>
      <c r="B8061" s="3" t="s">
        <v>41566</v>
      </c>
      <c r="C8061" s="3" t="s">
        <v>31</v>
      </c>
      <c r="D8061" s="3" t="s">
        <v>32</v>
      </c>
      <c r="E8061" s="4" t="s">
        <v>22</v>
      </c>
      <c r="F8061" s="4" t="s">
        <v>41567</v>
      </c>
      <c r="G8061" s="4" t="s">
        <v>41568</v>
      </c>
      <c r="H8061" s="3" t="s">
        <v>38194</v>
      </c>
      <c r="I8061" s="3" t="s">
        <v>41569</v>
      </c>
      <c r="J8061" s="3" t="s">
        <v>41570</v>
      </c>
      <c r="K8061" s="3" t="s">
        <v>41571</v>
      </c>
      <c r="L8061" s="3" t="s">
        <v>41572</v>
      </c>
      <c r="M8061" s="4"/>
      <c r="N8061" s="3" t="s">
        <v>37</v>
      </c>
      <c r="O8061" s="3" t="s">
        <v>46</v>
      </c>
      <c r="P8061" s="5">
        <v>20</v>
      </c>
      <c r="Q8061" s="5">
        <v>353</v>
      </c>
      <c r="R8061" s="5">
        <v>19</v>
      </c>
      <c r="S8061" s="5">
        <v>351</v>
      </c>
    </row>
    <row r="8062" spans="1:19" ht="56" x14ac:dyDescent="0.15">
      <c r="A8062" s="2">
        <f>HYPERLINK("https://open-school.uspishnemisto.com.ua/school/460755/", 460755)</f>
        <v>460755</v>
      </c>
      <c r="B8062" s="3" t="s">
        <v>41573</v>
      </c>
      <c r="C8062" s="3" t="s">
        <v>54</v>
      </c>
      <c r="D8062" s="3" t="s">
        <v>32</v>
      </c>
      <c r="E8062" s="4" t="s">
        <v>22</v>
      </c>
      <c r="F8062" s="4" t="s">
        <v>41524</v>
      </c>
      <c r="G8062" s="4" t="s">
        <v>41574</v>
      </c>
      <c r="H8062" s="3" t="s">
        <v>38194</v>
      </c>
      <c r="I8062" s="3" t="s">
        <v>7559</v>
      </c>
      <c r="J8062" s="3" t="s">
        <v>466</v>
      </c>
      <c r="K8062" s="3" t="s">
        <v>41575</v>
      </c>
      <c r="L8062" s="3"/>
      <c r="M8062" s="4"/>
      <c r="N8062" s="3" t="s">
        <v>37</v>
      </c>
      <c r="O8062" s="3" t="s">
        <v>46</v>
      </c>
      <c r="P8062" s="5">
        <v>19</v>
      </c>
      <c r="Q8062" s="5">
        <v>366</v>
      </c>
      <c r="R8062" s="5">
        <v>19</v>
      </c>
      <c r="S8062" s="5">
        <v>363</v>
      </c>
    </row>
    <row r="8063" spans="1:19" ht="28" x14ac:dyDescent="0.15">
      <c r="A8063" s="2">
        <f>HYPERLINK("https://open-school.uspishnemisto.com.ua/school/460756/", 460756)</f>
        <v>460756</v>
      </c>
      <c r="B8063" s="3" t="s">
        <v>41576</v>
      </c>
      <c r="C8063" s="3" t="s">
        <v>31</v>
      </c>
      <c r="D8063" s="3" t="s">
        <v>175</v>
      </c>
      <c r="E8063" s="4" t="s">
        <v>22</v>
      </c>
      <c r="F8063" s="4" t="s">
        <v>41577</v>
      </c>
      <c r="G8063" s="4" t="s">
        <v>41578</v>
      </c>
      <c r="H8063" s="3" t="s">
        <v>38194</v>
      </c>
      <c r="I8063" s="3" t="s">
        <v>41579</v>
      </c>
      <c r="J8063" s="3" t="s">
        <v>41580</v>
      </c>
      <c r="K8063" s="3" t="s">
        <v>41581</v>
      </c>
      <c r="L8063" s="3" t="s">
        <v>41582</v>
      </c>
      <c r="M8063" s="4"/>
      <c r="N8063" s="3" t="s">
        <v>37</v>
      </c>
      <c r="O8063" s="3" t="s">
        <v>52</v>
      </c>
      <c r="P8063" s="5">
        <v>9</v>
      </c>
      <c r="Q8063" s="5">
        <v>85</v>
      </c>
      <c r="R8063" s="5">
        <v>9</v>
      </c>
      <c r="S8063" s="5">
        <v>93</v>
      </c>
    </row>
    <row r="8064" spans="1:19" ht="56" x14ac:dyDescent="0.15">
      <c r="A8064" s="2">
        <f>HYPERLINK("https://open-school.uspishnemisto.com.ua/school/460757/", 460757)</f>
        <v>460757</v>
      </c>
      <c r="B8064" s="3" t="s">
        <v>41583</v>
      </c>
      <c r="C8064" s="3" t="s">
        <v>54</v>
      </c>
      <c r="D8064" s="3" t="s">
        <v>32</v>
      </c>
      <c r="E8064" s="4" t="s">
        <v>22</v>
      </c>
      <c r="F8064" s="4" t="s">
        <v>41584</v>
      </c>
      <c r="G8064" s="4" t="s">
        <v>41585</v>
      </c>
      <c r="H8064" s="3" t="s">
        <v>38194</v>
      </c>
      <c r="I8064" s="3" t="s">
        <v>41586</v>
      </c>
      <c r="J8064" s="3" t="s">
        <v>36368</v>
      </c>
      <c r="K8064" s="3" t="s">
        <v>41587</v>
      </c>
      <c r="L8064" s="3" t="s">
        <v>41588</v>
      </c>
      <c r="M8064" s="4"/>
      <c r="N8064" s="3" t="s">
        <v>37</v>
      </c>
      <c r="O8064" s="3" t="s">
        <v>46</v>
      </c>
      <c r="P8064" s="5">
        <v>11</v>
      </c>
      <c r="Q8064" s="5">
        <v>142</v>
      </c>
      <c r="R8064" s="5">
        <v>11</v>
      </c>
      <c r="S8064" s="5">
        <v>145</v>
      </c>
    </row>
    <row r="8065" spans="1:19" ht="28" x14ac:dyDescent="0.15">
      <c r="A8065" s="2">
        <f>HYPERLINK("https://open-school.uspishnemisto.com.ua/school/460758/", 460758)</f>
        <v>460758</v>
      </c>
      <c r="B8065" s="3" t="s">
        <v>41589</v>
      </c>
      <c r="C8065" s="3" t="s">
        <v>31</v>
      </c>
      <c r="D8065" s="3" t="s">
        <v>32</v>
      </c>
      <c r="E8065" s="4" t="s">
        <v>22</v>
      </c>
      <c r="F8065" s="4" t="s">
        <v>41590</v>
      </c>
      <c r="G8065" s="4" t="s">
        <v>41591</v>
      </c>
      <c r="H8065" s="3" t="s">
        <v>38194</v>
      </c>
      <c r="I8065" s="3" t="s">
        <v>41592</v>
      </c>
      <c r="J8065" s="3" t="s">
        <v>41593</v>
      </c>
      <c r="K8065" s="3"/>
      <c r="L8065" s="3" t="s">
        <v>41594</v>
      </c>
      <c r="M8065" s="4"/>
      <c r="N8065" s="3" t="s">
        <v>37</v>
      </c>
      <c r="O8065" s="3" t="s">
        <v>52</v>
      </c>
      <c r="P8065" s="5">
        <v>9</v>
      </c>
      <c r="Q8065" s="5">
        <v>96</v>
      </c>
      <c r="R8065" s="5">
        <v>11</v>
      </c>
      <c r="S8065" s="5">
        <v>103</v>
      </c>
    </row>
    <row r="8066" spans="1:19" ht="28" x14ac:dyDescent="0.15">
      <c r="A8066" s="2">
        <f>HYPERLINK("https://open-school.uspishnemisto.com.ua/school/460759/", 460759)</f>
        <v>460759</v>
      </c>
      <c r="B8066" s="3" t="s">
        <v>41595</v>
      </c>
      <c r="C8066" s="3" t="s">
        <v>31</v>
      </c>
      <c r="D8066" s="3" t="s">
        <v>32</v>
      </c>
      <c r="E8066" s="4" t="s">
        <v>22</v>
      </c>
      <c r="F8066" s="4" t="s">
        <v>41596</v>
      </c>
      <c r="G8066" s="4" t="s">
        <v>41597</v>
      </c>
      <c r="H8066" s="3" t="s">
        <v>38194</v>
      </c>
      <c r="I8066" s="3" t="s">
        <v>3531</v>
      </c>
      <c r="J8066" s="3" t="s">
        <v>41598</v>
      </c>
      <c r="K8066" s="3" t="s">
        <v>41599</v>
      </c>
      <c r="L8066" s="3" t="s">
        <v>41600</v>
      </c>
      <c r="M8066" s="4"/>
      <c r="N8066" s="3" t="s">
        <v>37</v>
      </c>
      <c r="O8066" s="3" t="s">
        <v>52</v>
      </c>
      <c r="P8066" s="5">
        <v>11</v>
      </c>
      <c r="Q8066" s="5">
        <v>140</v>
      </c>
      <c r="R8066" s="5">
        <v>10</v>
      </c>
      <c r="S8066" s="5">
        <v>126</v>
      </c>
    </row>
    <row r="8067" spans="1:19" ht="56" x14ac:dyDescent="0.15">
      <c r="A8067" s="2">
        <f>HYPERLINK("https://open-school.uspishnemisto.com.ua/school/460760/", 460760)</f>
        <v>460760</v>
      </c>
      <c r="B8067" s="3" t="s">
        <v>41601</v>
      </c>
      <c r="C8067" s="3" t="s">
        <v>31</v>
      </c>
      <c r="D8067" s="3" t="s">
        <v>32</v>
      </c>
      <c r="E8067" s="4" t="s">
        <v>22</v>
      </c>
      <c r="F8067" s="4" t="s">
        <v>41602</v>
      </c>
      <c r="G8067" s="4" t="s">
        <v>41603</v>
      </c>
      <c r="H8067" s="3" t="s">
        <v>38194</v>
      </c>
      <c r="I8067" s="3" t="s">
        <v>41604</v>
      </c>
      <c r="J8067" s="3" t="s">
        <v>41605</v>
      </c>
      <c r="K8067" s="3" t="s">
        <v>41606</v>
      </c>
      <c r="L8067" s="3"/>
      <c r="M8067" s="4"/>
      <c r="N8067" s="3" t="s">
        <v>37</v>
      </c>
      <c r="O8067" s="3" t="s">
        <v>46</v>
      </c>
      <c r="P8067" s="5">
        <v>33</v>
      </c>
      <c r="Q8067" s="5">
        <v>692</v>
      </c>
      <c r="R8067" s="5">
        <v>25</v>
      </c>
      <c r="S8067" s="5">
        <v>603</v>
      </c>
    </row>
    <row r="8068" spans="1:19" ht="56" x14ac:dyDescent="0.15">
      <c r="A8068" s="2">
        <f>HYPERLINK("https://open-school.uspishnemisto.com.ua/school/460761/", 460761)</f>
        <v>460761</v>
      </c>
      <c r="B8068" s="3" t="s">
        <v>41607</v>
      </c>
      <c r="C8068" s="3" t="s">
        <v>31</v>
      </c>
      <c r="D8068" s="3" t="s">
        <v>32</v>
      </c>
      <c r="E8068" s="4" t="s">
        <v>22</v>
      </c>
      <c r="F8068" s="4" t="s">
        <v>41602</v>
      </c>
      <c r="G8068" s="4" t="s">
        <v>41603</v>
      </c>
      <c r="H8068" s="3" t="s">
        <v>38194</v>
      </c>
      <c r="I8068" s="3" t="s">
        <v>41604</v>
      </c>
      <c r="J8068" s="3" t="s">
        <v>41608</v>
      </c>
      <c r="K8068" s="3" t="s">
        <v>41609</v>
      </c>
      <c r="L8068" s="3"/>
      <c r="M8068" s="4"/>
      <c r="N8068" s="3" t="s">
        <v>37</v>
      </c>
      <c r="O8068" s="3" t="s">
        <v>46</v>
      </c>
      <c r="P8068" s="5">
        <v>30</v>
      </c>
      <c r="Q8068" s="5">
        <v>632</v>
      </c>
      <c r="R8068" s="5">
        <v>21</v>
      </c>
      <c r="S8068" s="5">
        <v>536</v>
      </c>
    </row>
    <row r="8069" spans="1:19" ht="28" x14ac:dyDescent="0.15">
      <c r="A8069" s="2">
        <f>HYPERLINK("https://open-school.uspishnemisto.com.ua/school/460762/", 460762)</f>
        <v>460762</v>
      </c>
      <c r="B8069" s="3" t="s">
        <v>41610</v>
      </c>
      <c r="C8069" s="3" t="s">
        <v>31</v>
      </c>
      <c r="D8069" s="3" t="s">
        <v>32</v>
      </c>
      <c r="E8069" s="4" t="s">
        <v>22</v>
      </c>
      <c r="F8069" s="4" t="s">
        <v>41611</v>
      </c>
      <c r="G8069" s="4" t="s">
        <v>41612</v>
      </c>
      <c r="H8069" s="3" t="s">
        <v>38194</v>
      </c>
      <c r="I8069" s="3" t="s">
        <v>41613</v>
      </c>
      <c r="J8069" s="3" t="s">
        <v>41614</v>
      </c>
      <c r="K8069" s="3" t="s">
        <v>41615</v>
      </c>
      <c r="L8069" s="3"/>
      <c r="M8069" s="4"/>
      <c r="N8069" s="3" t="s">
        <v>37</v>
      </c>
      <c r="O8069" s="3" t="s">
        <v>2740</v>
      </c>
      <c r="P8069" s="5">
        <v>36</v>
      </c>
      <c r="Q8069" s="5">
        <v>782</v>
      </c>
      <c r="R8069" s="5">
        <v>27</v>
      </c>
      <c r="S8069" s="5">
        <v>672</v>
      </c>
    </row>
    <row r="8070" spans="1:19" ht="42" x14ac:dyDescent="0.15">
      <c r="A8070" s="2">
        <f>HYPERLINK("https://open-school.uspishnemisto.com.ua/school/460764/", 460764)</f>
        <v>460764</v>
      </c>
      <c r="B8070" s="3" t="s">
        <v>41616</v>
      </c>
      <c r="C8070" s="3" t="s">
        <v>54</v>
      </c>
      <c r="D8070" s="3" t="s">
        <v>175</v>
      </c>
      <c r="E8070" s="4" t="s">
        <v>22</v>
      </c>
      <c r="F8070" s="4" t="s">
        <v>41617</v>
      </c>
      <c r="G8070" s="4" t="s">
        <v>41618</v>
      </c>
      <c r="H8070" s="3" t="s">
        <v>38194</v>
      </c>
      <c r="I8070" s="3" t="s">
        <v>41619</v>
      </c>
      <c r="J8070" s="3" t="s">
        <v>10965</v>
      </c>
      <c r="K8070" s="3" t="s">
        <v>41620</v>
      </c>
      <c r="L8070" s="3"/>
      <c r="M8070" s="4"/>
      <c r="N8070" s="3" t="s">
        <v>37</v>
      </c>
      <c r="O8070" s="3" t="s">
        <v>618</v>
      </c>
      <c r="P8070" s="5">
        <v>4</v>
      </c>
      <c r="Q8070" s="5">
        <v>31</v>
      </c>
      <c r="R8070" s="5">
        <v>4</v>
      </c>
      <c r="S8070" s="5">
        <v>32</v>
      </c>
    </row>
    <row r="8071" spans="1:19" ht="28" x14ac:dyDescent="0.15">
      <c r="A8071" s="2">
        <f>HYPERLINK("https://open-school.uspishnemisto.com.ua/school/460765/", 460765)</f>
        <v>460765</v>
      </c>
      <c r="B8071" s="3" t="s">
        <v>41621</v>
      </c>
      <c r="C8071" s="3" t="s">
        <v>31</v>
      </c>
      <c r="D8071" s="3" t="s">
        <v>175</v>
      </c>
      <c r="E8071" s="4" t="s">
        <v>22</v>
      </c>
      <c r="F8071" s="4" t="s">
        <v>41622</v>
      </c>
      <c r="G8071" s="4" t="s">
        <v>41623</v>
      </c>
      <c r="H8071" s="3" t="s">
        <v>38194</v>
      </c>
      <c r="I8071" s="3" t="s">
        <v>41624</v>
      </c>
      <c r="J8071" s="3" t="s">
        <v>41625</v>
      </c>
      <c r="K8071" s="3"/>
      <c r="L8071" s="3"/>
      <c r="M8071" s="4"/>
      <c r="N8071" s="3" t="s">
        <v>37</v>
      </c>
      <c r="O8071" s="3" t="s">
        <v>46</v>
      </c>
      <c r="P8071" s="5">
        <v>0</v>
      </c>
      <c r="Q8071" s="5">
        <v>25</v>
      </c>
      <c r="R8071" s="5">
        <v>0</v>
      </c>
      <c r="S8071" s="5">
        <v>26</v>
      </c>
    </row>
    <row r="8072" spans="1:19" ht="42" x14ac:dyDescent="0.15">
      <c r="A8072" s="2">
        <f>HYPERLINK("https://open-school.uspishnemisto.com.ua/school/460766/", 460766)</f>
        <v>460766</v>
      </c>
      <c r="B8072" s="3" t="s">
        <v>41626</v>
      </c>
      <c r="C8072" s="3" t="s">
        <v>31</v>
      </c>
      <c r="D8072" s="3" t="s">
        <v>60</v>
      </c>
      <c r="E8072" s="4" t="s">
        <v>22</v>
      </c>
      <c r="F8072" s="4" t="s">
        <v>41622</v>
      </c>
      <c r="G8072" s="4" t="s">
        <v>41627</v>
      </c>
      <c r="H8072" s="3" t="s">
        <v>38194</v>
      </c>
      <c r="I8072" s="3" t="s">
        <v>5383</v>
      </c>
      <c r="J8072" s="3"/>
      <c r="K8072" s="3" t="s">
        <v>41628</v>
      </c>
      <c r="L8072" s="3"/>
      <c r="M8072" s="4"/>
      <c r="N8072" s="3" t="s">
        <v>37</v>
      </c>
      <c r="O8072" s="3" t="s">
        <v>618</v>
      </c>
      <c r="P8072" s="5">
        <v>0</v>
      </c>
      <c r="Q8072" s="5">
        <v>5</v>
      </c>
      <c r="R8072" s="5">
        <v>0</v>
      </c>
      <c r="S8072" s="5">
        <v>3</v>
      </c>
    </row>
    <row r="8073" spans="1:19" ht="28" x14ac:dyDescent="0.15">
      <c r="A8073" s="2">
        <f>HYPERLINK("https://open-school.uspishnemisto.com.ua/school/460767/", 460767)</f>
        <v>460767</v>
      </c>
      <c r="B8073" s="3" t="s">
        <v>41629</v>
      </c>
      <c r="C8073" s="3" t="s">
        <v>31</v>
      </c>
      <c r="D8073" s="3" t="s">
        <v>175</v>
      </c>
      <c r="E8073" s="4" t="s">
        <v>22</v>
      </c>
      <c r="F8073" s="4" t="s">
        <v>41630</v>
      </c>
      <c r="G8073" s="4" t="s">
        <v>41631</v>
      </c>
      <c r="H8073" s="3" t="s">
        <v>38194</v>
      </c>
      <c r="I8073" s="3" t="s">
        <v>41632</v>
      </c>
      <c r="J8073" s="3" t="s">
        <v>634</v>
      </c>
      <c r="K8073" s="3" t="s">
        <v>41633</v>
      </c>
      <c r="L8073" s="3"/>
      <c r="M8073" s="4"/>
      <c r="N8073" s="3" t="s">
        <v>37</v>
      </c>
      <c r="O8073" s="3" t="s">
        <v>46</v>
      </c>
      <c r="P8073" s="5">
        <v>3</v>
      </c>
      <c r="Q8073" s="5">
        <v>31</v>
      </c>
      <c r="R8073" s="5">
        <v>3</v>
      </c>
      <c r="S8073" s="5">
        <v>32</v>
      </c>
    </row>
    <row r="8074" spans="1:19" ht="28" x14ac:dyDescent="0.15">
      <c r="A8074" s="2">
        <f>HYPERLINK("https://open-school.uspishnemisto.com.ua/school/460768/", 460768)</f>
        <v>460768</v>
      </c>
      <c r="B8074" s="3" t="s">
        <v>41634</v>
      </c>
      <c r="C8074" s="3" t="s">
        <v>31</v>
      </c>
      <c r="D8074" s="3" t="s">
        <v>175</v>
      </c>
      <c r="E8074" s="4" t="s">
        <v>22</v>
      </c>
      <c r="F8074" s="4" t="s">
        <v>41635</v>
      </c>
      <c r="G8074" s="4" t="s">
        <v>41636</v>
      </c>
      <c r="H8074" s="3" t="s">
        <v>38194</v>
      </c>
      <c r="I8074" s="3" t="s">
        <v>41637</v>
      </c>
      <c r="J8074" s="3" t="s">
        <v>35843</v>
      </c>
      <c r="K8074" s="3" t="s">
        <v>41638</v>
      </c>
      <c r="L8074" s="3"/>
      <c r="M8074" s="4"/>
      <c r="N8074" s="3" t="s">
        <v>37</v>
      </c>
      <c r="O8074" s="3" t="s">
        <v>46</v>
      </c>
      <c r="P8074" s="5">
        <v>2</v>
      </c>
      <c r="Q8074" s="5">
        <v>26</v>
      </c>
      <c r="R8074" s="5">
        <v>1</v>
      </c>
      <c r="S8074" s="5">
        <v>19</v>
      </c>
    </row>
    <row r="8075" spans="1:19" ht="28" x14ac:dyDescent="0.15">
      <c r="A8075" s="2">
        <f>HYPERLINK("https://open-school.uspishnemisto.com.ua/school/460769/", 460769)</f>
        <v>460769</v>
      </c>
      <c r="B8075" s="3" t="s">
        <v>41639</v>
      </c>
      <c r="C8075" s="3" t="s">
        <v>31</v>
      </c>
      <c r="D8075" s="3" t="s">
        <v>32</v>
      </c>
      <c r="E8075" s="4" t="s">
        <v>22</v>
      </c>
      <c r="F8075" s="4" t="s">
        <v>41640</v>
      </c>
      <c r="G8075" s="4" t="s">
        <v>41641</v>
      </c>
      <c r="H8075" s="3" t="s">
        <v>38194</v>
      </c>
      <c r="I8075" s="3" t="s">
        <v>41642</v>
      </c>
      <c r="J8075" s="3" t="s">
        <v>933</v>
      </c>
      <c r="K8075" s="3" t="s">
        <v>41643</v>
      </c>
      <c r="L8075" s="3"/>
      <c r="M8075" s="4"/>
      <c r="N8075" s="3" t="s">
        <v>37</v>
      </c>
      <c r="O8075" s="3" t="s">
        <v>46</v>
      </c>
      <c r="P8075" s="5">
        <v>6</v>
      </c>
      <c r="Q8075" s="5">
        <v>46</v>
      </c>
      <c r="R8075" s="5">
        <v>6</v>
      </c>
      <c r="S8075" s="5">
        <v>57</v>
      </c>
    </row>
    <row r="8076" spans="1:19" ht="28" x14ac:dyDescent="0.15">
      <c r="A8076" s="2">
        <f>HYPERLINK("https://open-school.uspishnemisto.com.ua/school/460770/", 460770)</f>
        <v>460770</v>
      </c>
      <c r="B8076" s="3" t="s">
        <v>41644</v>
      </c>
      <c r="C8076" s="3" t="s">
        <v>31</v>
      </c>
      <c r="D8076" s="3" t="s">
        <v>175</v>
      </c>
      <c r="E8076" s="4" t="s">
        <v>22</v>
      </c>
      <c r="F8076" s="4" t="s">
        <v>41645</v>
      </c>
      <c r="G8076" s="4" t="s">
        <v>41646</v>
      </c>
      <c r="H8076" s="3" t="s">
        <v>38194</v>
      </c>
      <c r="I8076" s="3" t="s">
        <v>19459</v>
      </c>
      <c r="J8076" s="3" t="s">
        <v>41647</v>
      </c>
      <c r="K8076" s="3" t="s">
        <v>41648</v>
      </c>
      <c r="L8076" s="3"/>
      <c r="M8076" s="4"/>
      <c r="N8076" s="3" t="s">
        <v>37</v>
      </c>
      <c r="O8076" s="3" t="s">
        <v>52</v>
      </c>
      <c r="P8076" s="5">
        <v>8</v>
      </c>
      <c r="Q8076" s="5">
        <v>86</v>
      </c>
      <c r="R8076" s="5">
        <v>9</v>
      </c>
      <c r="S8076" s="5">
        <v>87</v>
      </c>
    </row>
    <row r="8077" spans="1:19" ht="56" x14ac:dyDescent="0.15">
      <c r="A8077" s="2">
        <f>HYPERLINK("https://open-school.uspishnemisto.com.ua/school/460775/", 460775)</f>
        <v>460775</v>
      </c>
      <c r="B8077" s="3" t="s">
        <v>41649</v>
      </c>
      <c r="C8077" s="3" t="s">
        <v>54</v>
      </c>
      <c r="D8077" s="3" t="s">
        <v>32</v>
      </c>
      <c r="E8077" s="4" t="s">
        <v>22</v>
      </c>
      <c r="F8077" s="4" t="s">
        <v>41650</v>
      </c>
      <c r="G8077" s="4" t="s">
        <v>41651</v>
      </c>
      <c r="H8077" s="3" t="s">
        <v>38194</v>
      </c>
      <c r="I8077" s="3" t="s">
        <v>41652</v>
      </c>
      <c r="J8077" s="3" t="s">
        <v>946</v>
      </c>
      <c r="K8077" s="3" t="s">
        <v>41653</v>
      </c>
      <c r="L8077" s="3"/>
      <c r="M8077" s="4"/>
      <c r="N8077" s="3" t="s">
        <v>37</v>
      </c>
      <c r="O8077" s="3" t="s">
        <v>46</v>
      </c>
      <c r="P8077" s="5">
        <v>8</v>
      </c>
      <c r="Q8077" s="5">
        <v>70</v>
      </c>
      <c r="R8077" s="5">
        <v>6</v>
      </c>
      <c r="S8077" s="5">
        <v>59</v>
      </c>
    </row>
    <row r="8078" spans="1:19" ht="42" x14ac:dyDescent="0.15">
      <c r="A8078" s="2">
        <f>HYPERLINK("https://open-school.uspishnemisto.com.ua/school/460776/", 460776)</f>
        <v>460776</v>
      </c>
      <c r="B8078" s="3" t="s">
        <v>41654</v>
      </c>
      <c r="C8078" s="3" t="s">
        <v>31</v>
      </c>
      <c r="D8078" s="3" t="s">
        <v>32</v>
      </c>
      <c r="E8078" s="4" t="s">
        <v>22</v>
      </c>
      <c r="F8078" s="4" t="s">
        <v>41655</v>
      </c>
      <c r="G8078" s="4" t="s">
        <v>41656</v>
      </c>
      <c r="H8078" s="3" t="s">
        <v>38194</v>
      </c>
      <c r="I8078" s="3" t="s">
        <v>41657</v>
      </c>
      <c r="J8078" s="3" t="s">
        <v>466</v>
      </c>
      <c r="K8078" s="3" t="s">
        <v>41658</v>
      </c>
      <c r="L8078" s="3"/>
      <c r="M8078" s="4"/>
      <c r="N8078" s="3" t="s">
        <v>37</v>
      </c>
      <c r="O8078" s="3" t="s">
        <v>2740</v>
      </c>
      <c r="P8078" s="5">
        <v>14</v>
      </c>
      <c r="Q8078" s="5">
        <v>245</v>
      </c>
      <c r="R8078" s="5">
        <v>13</v>
      </c>
      <c r="S8078" s="5">
        <v>237</v>
      </c>
    </row>
    <row r="8079" spans="1:19" ht="28" x14ac:dyDescent="0.15">
      <c r="A8079" s="2">
        <f>HYPERLINK("https://open-school.uspishnemisto.com.ua/school/460777/", 460777)</f>
        <v>460777</v>
      </c>
      <c r="B8079" s="3" t="s">
        <v>41659</v>
      </c>
      <c r="C8079" s="3" t="s">
        <v>31</v>
      </c>
      <c r="D8079" s="3" t="s">
        <v>60</v>
      </c>
      <c r="E8079" s="4" t="s">
        <v>22</v>
      </c>
      <c r="F8079" s="4" t="s">
        <v>41655</v>
      </c>
      <c r="G8079" s="4" t="s">
        <v>41656</v>
      </c>
      <c r="H8079" s="3" t="s">
        <v>38194</v>
      </c>
      <c r="I8079" s="3" t="s">
        <v>41657</v>
      </c>
      <c r="J8079" s="3" t="s">
        <v>27802</v>
      </c>
      <c r="K8079" s="3" t="s">
        <v>41660</v>
      </c>
      <c r="L8079" s="3"/>
      <c r="M8079" s="4"/>
      <c r="N8079" s="3" t="s">
        <v>37</v>
      </c>
      <c r="O8079" s="3" t="s">
        <v>52</v>
      </c>
      <c r="P8079" s="5">
        <v>3</v>
      </c>
      <c r="Q8079" s="5">
        <v>28</v>
      </c>
      <c r="R8079" s="5">
        <v>3</v>
      </c>
      <c r="S8079" s="5">
        <v>26</v>
      </c>
    </row>
    <row r="8080" spans="1:19" ht="28" x14ac:dyDescent="0.15">
      <c r="A8080" s="2">
        <f>HYPERLINK("https://open-school.uspishnemisto.com.ua/school/460778/", 460778)</f>
        <v>460778</v>
      </c>
      <c r="B8080" s="3" t="s">
        <v>41661</v>
      </c>
      <c r="C8080" s="3" t="s">
        <v>31</v>
      </c>
      <c r="D8080" s="3" t="s">
        <v>60</v>
      </c>
      <c r="E8080" s="4" t="s">
        <v>22</v>
      </c>
      <c r="F8080" s="4" t="s">
        <v>41655</v>
      </c>
      <c r="G8080" s="4" t="s">
        <v>41662</v>
      </c>
      <c r="H8080" s="3" t="s">
        <v>38194</v>
      </c>
      <c r="I8080" s="3" t="s">
        <v>41663</v>
      </c>
      <c r="J8080" s="3" t="s">
        <v>2745</v>
      </c>
      <c r="K8080" s="3" t="s">
        <v>41664</v>
      </c>
      <c r="L8080" s="3"/>
      <c r="M8080" s="4"/>
      <c r="N8080" s="3" t="s">
        <v>37</v>
      </c>
      <c r="O8080" s="3" t="s">
        <v>52</v>
      </c>
      <c r="P8080" s="5">
        <v>0</v>
      </c>
      <c r="Q8080" s="5">
        <v>9</v>
      </c>
      <c r="R8080" s="5">
        <v>0</v>
      </c>
      <c r="S8080" s="5">
        <v>10</v>
      </c>
    </row>
    <row r="8081" spans="1:19" ht="28" x14ac:dyDescent="0.15">
      <c r="A8081" s="2">
        <f>HYPERLINK("https://open-school.uspishnemisto.com.ua/school/460779/", 460779)</f>
        <v>460779</v>
      </c>
      <c r="B8081" s="3" t="s">
        <v>41665</v>
      </c>
      <c r="C8081" s="3" t="s">
        <v>31</v>
      </c>
      <c r="D8081" s="3" t="s">
        <v>175</v>
      </c>
      <c r="E8081" s="4" t="s">
        <v>22</v>
      </c>
      <c r="F8081" s="4" t="s">
        <v>41666</v>
      </c>
      <c r="G8081" s="4" t="s">
        <v>41667</v>
      </c>
      <c r="H8081" s="3" t="s">
        <v>38194</v>
      </c>
      <c r="I8081" s="3" t="s">
        <v>41668</v>
      </c>
      <c r="J8081" s="3" t="s">
        <v>41669</v>
      </c>
      <c r="K8081" s="3" t="s">
        <v>41670</v>
      </c>
      <c r="L8081" s="3"/>
      <c r="M8081" s="4"/>
      <c r="N8081" s="3" t="s">
        <v>37</v>
      </c>
      <c r="O8081" s="3" t="s">
        <v>618</v>
      </c>
      <c r="P8081" s="5">
        <v>2</v>
      </c>
      <c r="Q8081" s="5">
        <v>25</v>
      </c>
      <c r="R8081" s="5">
        <v>2</v>
      </c>
      <c r="S8081" s="5">
        <v>25</v>
      </c>
    </row>
    <row r="8082" spans="1:19" ht="28" x14ac:dyDescent="0.15">
      <c r="A8082" s="2">
        <f>HYPERLINK("https://open-school.uspishnemisto.com.ua/school/460780/", 460780)</f>
        <v>460780</v>
      </c>
      <c r="B8082" s="3" t="s">
        <v>41671</v>
      </c>
      <c r="C8082" s="3" t="s">
        <v>31</v>
      </c>
      <c r="D8082" s="3" t="s">
        <v>175</v>
      </c>
      <c r="E8082" s="4" t="s">
        <v>22</v>
      </c>
      <c r="F8082" s="4" t="s">
        <v>41672</v>
      </c>
      <c r="G8082" s="4" t="s">
        <v>41673</v>
      </c>
      <c r="H8082" s="3" t="s">
        <v>38194</v>
      </c>
      <c r="I8082" s="3" t="s">
        <v>41674</v>
      </c>
      <c r="J8082" s="3" t="s">
        <v>1636</v>
      </c>
      <c r="K8082" s="3"/>
      <c r="L8082" s="3"/>
      <c r="M8082" s="4"/>
      <c r="N8082" s="3" t="s">
        <v>37</v>
      </c>
      <c r="O8082" s="3" t="s">
        <v>46</v>
      </c>
      <c r="P8082" s="5">
        <v>5</v>
      </c>
      <c r="Q8082" s="5">
        <v>41</v>
      </c>
      <c r="R8082" s="5">
        <v>5</v>
      </c>
      <c r="S8082" s="5">
        <v>40</v>
      </c>
    </row>
    <row r="8083" spans="1:19" ht="28" x14ac:dyDescent="0.15">
      <c r="A8083" s="2">
        <f>HYPERLINK("https://open-school.uspishnemisto.com.ua/school/460783/", 460783)</f>
        <v>460783</v>
      </c>
      <c r="B8083" s="3" t="s">
        <v>41675</v>
      </c>
      <c r="C8083" s="3" t="s">
        <v>31</v>
      </c>
      <c r="D8083" s="3" t="s">
        <v>32</v>
      </c>
      <c r="E8083" s="4" t="s">
        <v>22</v>
      </c>
      <c r="F8083" s="4" t="s">
        <v>41676</v>
      </c>
      <c r="G8083" s="4" t="s">
        <v>41677</v>
      </c>
      <c r="H8083" s="3" t="s">
        <v>38194</v>
      </c>
      <c r="I8083" s="3" t="s">
        <v>41678</v>
      </c>
      <c r="J8083" s="3" t="s">
        <v>41679</v>
      </c>
      <c r="K8083" s="3" t="s">
        <v>41680</v>
      </c>
      <c r="L8083" s="3"/>
      <c r="M8083" s="4"/>
      <c r="N8083" s="3" t="s">
        <v>37</v>
      </c>
      <c r="O8083" s="3" t="s">
        <v>46</v>
      </c>
      <c r="P8083" s="5">
        <v>8</v>
      </c>
      <c r="Q8083" s="5">
        <v>62</v>
      </c>
      <c r="R8083" s="5">
        <v>8</v>
      </c>
      <c r="S8083" s="5">
        <v>69</v>
      </c>
    </row>
    <row r="8084" spans="1:19" ht="28" x14ac:dyDescent="0.15">
      <c r="A8084" s="2">
        <f>HYPERLINK("https://open-school.uspishnemisto.com.ua/school/460784/", 460784)</f>
        <v>460784</v>
      </c>
      <c r="B8084" s="3" t="s">
        <v>41681</v>
      </c>
      <c r="C8084" s="3" t="s">
        <v>31</v>
      </c>
      <c r="D8084" s="3" t="s">
        <v>175</v>
      </c>
      <c r="E8084" s="4" t="s">
        <v>22</v>
      </c>
      <c r="F8084" s="4" t="s">
        <v>41682</v>
      </c>
      <c r="G8084" s="4" t="s">
        <v>41683</v>
      </c>
      <c r="H8084" s="3" t="s">
        <v>38194</v>
      </c>
      <c r="I8084" s="3" t="s">
        <v>41684</v>
      </c>
      <c r="J8084" s="3" t="s">
        <v>41685</v>
      </c>
      <c r="K8084" s="3" t="s">
        <v>41686</v>
      </c>
      <c r="L8084" s="3"/>
      <c r="M8084" s="4"/>
      <c r="N8084" s="3" t="s">
        <v>37</v>
      </c>
      <c r="O8084" s="3" t="s">
        <v>618</v>
      </c>
      <c r="P8084" s="5">
        <v>4</v>
      </c>
      <c r="Q8084" s="5">
        <v>37</v>
      </c>
      <c r="R8084" s="5">
        <v>4</v>
      </c>
      <c r="S8084" s="5">
        <v>35</v>
      </c>
    </row>
    <row r="8085" spans="1:19" ht="56" x14ac:dyDescent="0.15">
      <c r="A8085" s="2">
        <f>HYPERLINK("https://open-school.uspishnemisto.com.ua/school/460785/", 460785)</f>
        <v>460785</v>
      </c>
      <c r="B8085" s="3" t="s">
        <v>41687</v>
      </c>
      <c r="C8085" s="3" t="s">
        <v>54</v>
      </c>
      <c r="D8085" s="3" t="s">
        <v>175</v>
      </c>
      <c r="E8085" s="4" t="s">
        <v>22</v>
      </c>
      <c r="F8085" s="4" t="s">
        <v>41688</v>
      </c>
      <c r="G8085" s="4" t="s">
        <v>41689</v>
      </c>
      <c r="H8085" s="3" t="s">
        <v>38194</v>
      </c>
      <c r="I8085" s="3" t="s">
        <v>883</v>
      </c>
      <c r="J8085" s="3" t="s">
        <v>41690</v>
      </c>
      <c r="K8085" s="3" t="s">
        <v>41691</v>
      </c>
      <c r="L8085" s="3"/>
      <c r="M8085" s="4"/>
      <c r="N8085" s="3" t="s">
        <v>37</v>
      </c>
      <c r="O8085" s="3" t="s">
        <v>46</v>
      </c>
      <c r="P8085" s="5">
        <v>3</v>
      </c>
      <c r="Q8085" s="5">
        <v>38</v>
      </c>
      <c r="R8085" s="5">
        <v>3</v>
      </c>
      <c r="S8085" s="5">
        <v>36</v>
      </c>
    </row>
    <row r="8086" spans="1:19" ht="56" x14ac:dyDescent="0.15">
      <c r="A8086" s="2">
        <f>HYPERLINK("https://open-school.uspishnemisto.com.ua/school/460786/", 460786)</f>
        <v>460786</v>
      </c>
      <c r="B8086" s="3" t="s">
        <v>41692</v>
      </c>
      <c r="C8086" s="3" t="s">
        <v>54</v>
      </c>
      <c r="D8086" s="3" t="s">
        <v>175</v>
      </c>
      <c r="E8086" s="4" t="s">
        <v>22</v>
      </c>
      <c r="F8086" s="4" t="s">
        <v>41693</v>
      </c>
      <c r="G8086" s="4" t="s">
        <v>41694</v>
      </c>
      <c r="H8086" s="3" t="s">
        <v>38194</v>
      </c>
      <c r="I8086" s="3" t="s">
        <v>41695</v>
      </c>
      <c r="J8086" s="3" t="s">
        <v>41696</v>
      </c>
      <c r="K8086" s="3"/>
      <c r="L8086" s="3"/>
      <c r="M8086" s="4"/>
      <c r="N8086" s="3" t="s">
        <v>37</v>
      </c>
      <c r="O8086" s="3" t="s">
        <v>46</v>
      </c>
      <c r="P8086" s="5">
        <v>6</v>
      </c>
      <c r="Q8086" s="5">
        <v>50</v>
      </c>
      <c r="R8086" s="5">
        <v>5</v>
      </c>
      <c r="S8086" s="5">
        <v>49</v>
      </c>
    </row>
    <row r="8087" spans="1:19" ht="28" x14ac:dyDescent="0.15">
      <c r="A8087" s="2">
        <f>HYPERLINK("https://open-school.uspishnemisto.com.ua/school/460787/", 460787)</f>
        <v>460787</v>
      </c>
      <c r="B8087" s="3" t="s">
        <v>41697</v>
      </c>
      <c r="C8087" s="3" t="s">
        <v>31</v>
      </c>
      <c r="D8087" s="3" t="s">
        <v>175</v>
      </c>
      <c r="E8087" s="4" t="s">
        <v>22</v>
      </c>
      <c r="F8087" s="4" t="s">
        <v>41602</v>
      </c>
      <c r="G8087" s="4" t="s">
        <v>41698</v>
      </c>
      <c r="H8087" s="3" t="s">
        <v>38194</v>
      </c>
      <c r="I8087" s="3" t="s">
        <v>41699</v>
      </c>
      <c r="J8087" s="3" t="s">
        <v>2384</v>
      </c>
      <c r="K8087" s="3" t="s">
        <v>41700</v>
      </c>
      <c r="L8087" s="3"/>
      <c r="M8087" s="4"/>
      <c r="N8087" s="3" t="s">
        <v>37</v>
      </c>
      <c r="O8087" s="3" t="s">
        <v>52</v>
      </c>
      <c r="P8087" s="5">
        <v>8</v>
      </c>
      <c r="Q8087" s="5">
        <v>73</v>
      </c>
      <c r="R8087" s="5">
        <v>8</v>
      </c>
      <c r="S8087" s="5">
        <v>66</v>
      </c>
    </row>
    <row r="8088" spans="1:19" ht="28" x14ac:dyDescent="0.15">
      <c r="A8088" s="2">
        <f>HYPERLINK("https://open-school.uspishnemisto.com.ua/school/460788/", 460788)</f>
        <v>460788</v>
      </c>
      <c r="B8088" s="3" t="s">
        <v>41701</v>
      </c>
      <c r="C8088" s="3" t="s">
        <v>31</v>
      </c>
      <c r="D8088" s="3" t="s">
        <v>175</v>
      </c>
      <c r="E8088" s="4" t="s">
        <v>22</v>
      </c>
      <c r="F8088" s="4" t="s">
        <v>41702</v>
      </c>
      <c r="G8088" s="4" t="s">
        <v>41703</v>
      </c>
      <c r="H8088" s="3" t="s">
        <v>38194</v>
      </c>
      <c r="I8088" s="3" t="s">
        <v>41704</v>
      </c>
      <c r="J8088" s="3" t="s">
        <v>15201</v>
      </c>
      <c r="K8088" s="3"/>
      <c r="L8088" s="3"/>
      <c r="M8088" s="4"/>
      <c r="N8088" s="3" t="s">
        <v>37</v>
      </c>
      <c r="O8088" s="3" t="s">
        <v>52</v>
      </c>
      <c r="P8088" s="5">
        <v>3</v>
      </c>
      <c r="Q8088" s="5">
        <v>29</v>
      </c>
      <c r="R8088" s="5">
        <v>3</v>
      </c>
      <c r="S8088" s="5">
        <v>31</v>
      </c>
    </row>
    <row r="8089" spans="1:19" ht="28" x14ac:dyDescent="0.15">
      <c r="A8089" s="2">
        <f>HYPERLINK("https://open-school.uspishnemisto.com.ua/school/460789/", 460789)</f>
        <v>460789</v>
      </c>
      <c r="B8089" s="3" t="s">
        <v>41705</v>
      </c>
      <c r="C8089" s="3" t="s">
        <v>31</v>
      </c>
      <c r="D8089" s="3" t="s">
        <v>175</v>
      </c>
      <c r="E8089" s="4" t="s">
        <v>22</v>
      </c>
      <c r="F8089" s="4" t="s">
        <v>41706</v>
      </c>
      <c r="G8089" s="4" t="s">
        <v>41707</v>
      </c>
      <c r="H8089" s="3" t="s">
        <v>38194</v>
      </c>
      <c r="I8089" s="3" t="s">
        <v>41708</v>
      </c>
      <c r="J8089" s="3" t="s">
        <v>5029</v>
      </c>
      <c r="K8089" s="3" t="s">
        <v>41709</v>
      </c>
      <c r="L8089" s="3"/>
      <c r="M8089" s="4"/>
      <c r="N8089" s="3" t="s">
        <v>37</v>
      </c>
      <c r="O8089" s="3" t="s">
        <v>46</v>
      </c>
      <c r="P8089" s="5">
        <v>7</v>
      </c>
      <c r="Q8089" s="5">
        <v>47</v>
      </c>
      <c r="R8089" s="5">
        <v>7</v>
      </c>
      <c r="S8089" s="5">
        <v>42</v>
      </c>
    </row>
    <row r="8090" spans="1:19" ht="56" x14ac:dyDescent="0.15">
      <c r="A8090" s="2">
        <f>HYPERLINK("https://open-school.uspishnemisto.com.ua/school/460790/", 460790)</f>
        <v>460790</v>
      </c>
      <c r="B8090" s="3" t="s">
        <v>41710</v>
      </c>
      <c r="C8090" s="3" t="s">
        <v>54</v>
      </c>
      <c r="D8090" s="3" t="s">
        <v>175</v>
      </c>
      <c r="E8090" s="4" t="s">
        <v>22</v>
      </c>
      <c r="F8090" s="4" t="s">
        <v>41711</v>
      </c>
      <c r="G8090" s="4" t="s">
        <v>41712</v>
      </c>
      <c r="H8090" s="3" t="s">
        <v>38194</v>
      </c>
      <c r="I8090" s="3" t="s">
        <v>41713</v>
      </c>
      <c r="J8090" s="3" t="s">
        <v>41714</v>
      </c>
      <c r="K8090" s="3" t="s">
        <v>41715</v>
      </c>
      <c r="L8090" s="3"/>
      <c r="M8090" s="4"/>
      <c r="N8090" s="3" t="s">
        <v>37</v>
      </c>
      <c r="O8090" s="3" t="s">
        <v>2740</v>
      </c>
      <c r="P8090" s="5">
        <v>7</v>
      </c>
      <c r="Q8090" s="5">
        <v>54</v>
      </c>
      <c r="R8090" s="5">
        <v>7</v>
      </c>
      <c r="S8090" s="5">
        <v>53</v>
      </c>
    </row>
    <row r="8091" spans="1:19" ht="56" x14ac:dyDescent="0.15">
      <c r="A8091" s="2">
        <f>HYPERLINK("https://open-school.uspishnemisto.com.ua/school/460793/", 460793)</f>
        <v>460793</v>
      </c>
      <c r="B8091" s="3" t="s">
        <v>41716</v>
      </c>
      <c r="C8091" s="3" t="s">
        <v>54</v>
      </c>
      <c r="D8091" s="3" t="s">
        <v>32</v>
      </c>
      <c r="E8091" s="4" t="s">
        <v>22</v>
      </c>
      <c r="F8091" s="4" t="s">
        <v>41717</v>
      </c>
      <c r="G8091" s="4" t="s">
        <v>41718</v>
      </c>
      <c r="H8091" s="3" t="s">
        <v>38194</v>
      </c>
      <c r="I8091" s="3" t="s">
        <v>41719</v>
      </c>
      <c r="J8091" s="3" t="s">
        <v>41720</v>
      </c>
      <c r="K8091" s="3" t="s">
        <v>41721</v>
      </c>
      <c r="L8091" s="3"/>
      <c r="M8091" s="4"/>
      <c r="N8091" s="3" t="s">
        <v>37</v>
      </c>
      <c r="O8091" s="3" t="s">
        <v>52</v>
      </c>
      <c r="P8091" s="5">
        <v>11</v>
      </c>
      <c r="Q8091" s="5">
        <v>90</v>
      </c>
      <c r="R8091" s="5">
        <v>11</v>
      </c>
      <c r="S8091" s="5">
        <v>98</v>
      </c>
    </row>
    <row r="8092" spans="1:19" ht="28" x14ac:dyDescent="0.15">
      <c r="A8092" s="2">
        <f>HYPERLINK("https://open-school.uspishnemisto.com.ua/school/460794/", 460794)</f>
        <v>460794</v>
      </c>
      <c r="B8092" s="3" t="s">
        <v>41722</v>
      </c>
      <c r="C8092" s="3" t="s">
        <v>31</v>
      </c>
      <c r="D8092" s="3" t="s">
        <v>32</v>
      </c>
      <c r="E8092" s="4" t="s">
        <v>22</v>
      </c>
      <c r="F8092" s="4" t="s">
        <v>41723</v>
      </c>
      <c r="G8092" s="4" t="s">
        <v>41724</v>
      </c>
      <c r="H8092" s="3" t="s">
        <v>38194</v>
      </c>
      <c r="I8092" s="3" t="s">
        <v>41725</v>
      </c>
      <c r="J8092" s="3" t="s">
        <v>6666</v>
      </c>
      <c r="K8092" s="3" t="s">
        <v>41726</v>
      </c>
      <c r="L8092" s="3"/>
      <c r="M8092" s="4"/>
      <c r="N8092" s="3" t="s">
        <v>37</v>
      </c>
      <c r="O8092" s="3" t="s">
        <v>46</v>
      </c>
      <c r="P8092" s="5">
        <v>9</v>
      </c>
      <c r="Q8092" s="5">
        <v>94</v>
      </c>
      <c r="R8092" s="5">
        <v>10</v>
      </c>
      <c r="S8092" s="5">
        <v>100</v>
      </c>
    </row>
    <row r="8093" spans="1:19" ht="28" x14ac:dyDescent="0.15">
      <c r="A8093" s="2">
        <f>HYPERLINK("https://open-school.uspishnemisto.com.ua/school/460795/", 460795)</f>
        <v>460795</v>
      </c>
      <c r="B8093" s="3" t="s">
        <v>41727</v>
      </c>
      <c r="C8093" s="3" t="s">
        <v>31</v>
      </c>
      <c r="D8093" s="3" t="s">
        <v>60</v>
      </c>
      <c r="E8093" s="4" t="s">
        <v>22</v>
      </c>
      <c r="F8093" s="4" t="s">
        <v>41723</v>
      </c>
      <c r="G8093" s="4" t="s">
        <v>41728</v>
      </c>
      <c r="H8093" s="3" t="s">
        <v>38194</v>
      </c>
      <c r="I8093" s="3" t="s">
        <v>41729</v>
      </c>
      <c r="J8093" s="3"/>
      <c r="K8093" s="3" t="s">
        <v>41730</v>
      </c>
      <c r="L8093" s="3"/>
      <c r="M8093" s="4"/>
      <c r="N8093" s="3" t="s">
        <v>37</v>
      </c>
      <c r="O8093" s="3" t="s">
        <v>618</v>
      </c>
      <c r="P8093" s="5">
        <v>1</v>
      </c>
      <c r="Q8093" s="5">
        <v>13</v>
      </c>
      <c r="R8093" s="5">
        <v>1</v>
      </c>
      <c r="S8093" s="5">
        <v>15</v>
      </c>
    </row>
    <row r="8094" spans="1:19" ht="28" x14ac:dyDescent="0.15">
      <c r="A8094" s="2">
        <f>HYPERLINK("https://open-school.uspishnemisto.com.ua/school/460796/", 460796)</f>
        <v>460796</v>
      </c>
      <c r="B8094" s="3" t="s">
        <v>41731</v>
      </c>
      <c r="C8094" s="3" t="s">
        <v>31</v>
      </c>
      <c r="D8094" s="3" t="s">
        <v>175</v>
      </c>
      <c r="E8094" s="4" t="s">
        <v>22</v>
      </c>
      <c r="F8094" s="4" t="s">
        <v>41732</v>
      </c>
      <c r="G8094" s="4" t="s">
        <v>41733</v>
      </c>
      <c r="H8094" s="3" t="s">
        <v>38194</v>
      </c>
      <c r="I8094" s="3" t="s">
        <v>41734</v>
      </c>
      <c r="J8094" s="3" t="s">
        <v>41735</v>
      </c>
      <c r="K8094" s="3" t="s">
        <v>41736</v>
      </c>
      <c r="L8094" s="3"/>
      <c r="M8094" s="4"/>
      <c r="N8094" s="3" t="s">
        <v>37</v>
      </c>
      <c r="O8094" s="3" t="s">
        <v>618</v>
      </c>
      <c r="P8094" s="5">
        <v>5</v>
      </c>
      <c r="Q8094" s="5">
        <v>41</v>
      </c>
      <c r="R8094" s="5">
        <v>5</v>
      </c>
      <c r="S8094" s="5">
        <v>40</v>
      </c>
    </row>
    <row r="8095" spans="1:19" ht="28" x14ac:dyDescent="0.15">
      <c r="A8095" s="2">
        <f>HYPERLINK("https://open-school.uspishnemisto.com.ua/school/460797/", 460797)</f>
        <v>460797</v>
      </c>
      <c r="B8095" s="3" t="s">
        <v>41737</v>
      </c>
      <c r="C8095" s="3" t="s">
        <v>31</v>
      </c>
      <c r="D8095" s="3" t="s">
        <v>60</v>
      </c>
      <c r="E8095" s="4" t="s">
        <v>22</v>
      </c>
      <c r="F8095" s="4" t="s">
        <v>41640</v>
      </c>
      <c r="G8095" s="4" t="s">
        <v>41738</v>
      </c>
      <c r="H8095" s="3" t="s">
        <v>38194</v>
      </c>
      <c r="I8095" s="3" t="s">
        <v>41739</v>
      </c>
      <c r="J8095" s="3" t="s">
        <v>40160</v>
      </c>
      <c r="K8095" s="3" t="s">
        <v>41740</v>
      </c>
      <c r="L8095" s="3"/>
      <c r="M8095" s="4"/>
      <c r="N8095" s="3" t="s">
        <v>37</v>
      </c>
      <c r="O8095" s="3" t="s">
        <v>618</v>
      </c>
      <c r="P8095" s="5">
        <v>0</v>
      </c>
      <c r="Q8095" s="5">
        <v>10</v>
      </c>
      <c r="R8095" s="5">
        <v>0</v>
      </c>
      <c r="S8095" s="5">
        <v>11</v>
      </c>
    </row>
    <row r="8096" spans="1:19" ht="56" x14ac:dyDescent="0.15">
      <c r="A8096" s="2">
        <f>HYPERLINK("https://open-school.uspishnemisto.com.ua/school/460798/", 460798)</f>
        <v>460798</v>
      </c>
      <c r="B8096" s="3" t="s">
        <v>41741</v>
      </c>
      <c r="C8096" s="3" t="s">
        <v>54</v>
      </c>
      <c r="D8096" s="3" t="s">
        <v>32</v>
      </c>
      <c r="E8096" s="4" t="s">
        <v>22</v>
      </c>
      <c r="F8096" s="4" t="s">
        <v>41742</v>
      </c>
      <c r="G8096" s="4" t="s">
        <v>41743</v>
      </c>
      <c r="H8096" s="3" t="s">
        <v>38194</v>
      </c>
      <c r="I8096" s="3" t="s">
        <v>6951</v>
      </c>
      <c r="J8096" s="3" t="s">
        <v>634</v>
      </c>
      <c r="K8096" s="3" t="s">
        <v>41744</v>
      </c>
      <c r="L8096" s="3"/>
      <c r="M8096" s="4"/>
      <c r="N8096" s="3" t="s">
        <v>37</v>
      </c>
      <c r="O8096" s="3" t="s">
        <v>46</v>
      </c>
      <c r="P8096" s="5">
        <v>11</v>
      </c>
      <c r="Q8096" s="5">
        <v>99</v>
      </c>
      <c r="R8096" s="5">
        <v>11</v>
      </c>
      <c r="S8096" s="5">
        <v>101</v>
      </c>
    </row>
    <row r="8097" spans="1:19" ht="28" x14ac:dyDescent="0.15">
      <c r="A8097" s="2">
        <f>HYPERLINK("https://open-school.uspishnemisto.com.ua/school/460799/", 460799)</f>
        <v>460799</v>
      </c>
      <c r="B8097" s="3" t="s">
        <v>41745</v>
      </c>
      <c r="C8097" s="3" t="s">
        <v>31</v>
      </c>
      <c r="D8097" s="3" t="s">
        <v>60</v>
      </c>
      <c r="E8097" s="4" t="s">
        <v>22</v>
      </c>
      <c r="F8097" s="4" t="s">
        <v>41746</v>
      </c>
      <c r="G8097" s="4" t="s">
        <v>41747</v>
      </c>
      <c r="H8097" s="3" t="s">
        <v>38194</v>
      </c>
      <c r="I8097" s="3" t="s">
        <v>41748</v>
      </c>
      <c r="J8097" s="3" t="s">
        <v>7495</v>
      </c>
      <c r="K8097" s="3" t="s">
        <v>41749</v>
      </c>
      <c r="L8097" s="3"/>
      <c r="M8097" s="4"/>
      <c r="N8097" s="3" t="s">
        <v>37</v>
      </c>
      <c r="O8097" s="3" t="s">
        <v>52</v>
      </c>
      <c r="P8097" s="5">
        <v>2</v>
      </c>
      <c r="Q8097" s="5">
        <v>14</v>
      </c>
      <c r="R8097" s="5">
        <v>2</v>
      </c>
      <c r="S8097" s="5">
        <v>14</v>
      </c>
    </row>
    <row r="8098" spans="1:19" ht="28" x14ac:dyDescent="0.15">
      <c r="A8098" s="2">
        <f>HYPERLINK("https://open-school.uspishnemisto.com.ua/school/460800/", 460800)</f>
        <v>460800</v>
      </c>
      <c r="B8098" s="3" t="s">
        <v>41750</v>
      </c>
      <c r="C8098" s="3" t="s">
        <v>31</v>
      </c>
      <c r="D8098" s="3" t="s">
        <v>32</v>
      </c>
      <c r="E8098" s="4" t="s">
        <v>22</v>
      </c>
      <c r="F8098" s="4" t="s">
        <v>41751</v>
      </c>
      <c r="G8098" s="4" t="s">
        <v>41752</v>
      </c>
      <c r="H8098" s="3" t="s">
        <v>38194</v>
      </c>
      <c r="I8098" s="3" t="s">
        <v>41753</v>
      </c>
      <c r="J8098" s="3" t="s">
        <v>41754</v>
      </c>
      <c r="K8098" s="3"/>
      <c r="L8098" s="3"/>
      <c r="M8098" s="4"/>
      <c r="N8098" s="3" t="s">
        <v>37</v>
      </c>
      <c r="O8098" s="3" t="s">
        <v>123</v>
      </c>
      <c r="P8098" s="5">
        <v>11</v>
      </c>
      <c r="Q8098" s="5">
        <v>112</v>
      </c>
      <c r="R8098" s="5">
        <v>11</v>
      </c>
      <c r="S8098" s="5">
        <v>115</v>
      </c>
    </row>
    <row r="8099" spans="1:19" ht="28" x14ac:dyDescent="0.15">
      <c r="A8099" s="2">
        <f>HYPERLINK("https://open-school.uspishnemisto.com.ua/school/460801/", 460801)</f>
        <v>460801</v>
      </c>
      <c r="B8099" s="3" t="s">
        <v>41755</v>
      </c>
      <c r="C8099" s="3" t="s">
        <v>31</v>
      </c>
      <c r="D8099" s="3" t="s">
        <v>175</v>
      </c>
      <c r="E8099" s="4" t="s">
        <v>22</v>
      </c>
      <c r="F8099" s="4" t="s">
        <v>41751</v>
      </c>
      <c r="G8099" s="4" t="s">
        <v>41756</v>
      </c>
      <c r="H8099" s="3" t="s">
        <v>38194</v>
      </c>
      <c r="I8099" s="3" t="s">
        <v>41757</v>
      </c>
      <c r="J8099" s="3"/>
      <c r="K8099" s="3" t="s">
        <v>41758</v>
      </c>
      <c r="L8099" s="3"/>
      <c r="M8099" s="4"/>
      <c r="N8099" s="3" t="s">
        <v>37</v>
      </c>
      <c r="O8099" s="3" t="s">
        <v>46</v>
      </c>
      <c r="P8099" s="5">
        <v>5</v>
      </c>
      <c r="Q8099" s="5">
        <v>47</v>
      </c>
      <c r="R8099" s="5">
        <v>5</v>
      </c>
      <c r="S8099" s="5">
        <v>50</v>
      </c>
    </row>
    <row r="8100" spans="1:19" ht="28" x14ac:dyDescent="0.15">
      <c r="A8100" s="2">
        <f>HYPERLINK("https://open-school.uspishnemisto.com.ua/school/460802/", 460802)</f>
        <v>460802</v>
      </c>
      <c r="B8100" s="3" t="s">
        <v>41759</v>
      </c>
      <c r="C8100" s="3" t="s">
        <v>31</v>
      </c>
      <c r="D8100" s="3" t="s">
        <v>175</v>
      </c>
      <c r="E8100" s="4" t="s">
        <v>22</v>
      </c>
      <c r="F8100" s="4"/>
      <c r="G8100" s="4" t="s">
        <v>41760</v>
      </c>
      <c r="H8100" s="3" t="s">
        <v>38194</v>
      </c>
      <c r="I8100" s="3" t="s">
        <v>41761</v>
      </c>
      <c r="J8100" s="3" t="s">
        <v>466</v>
      </c>
      <c r="K8100" s="3" t="s">
        <v>41762</v>
      </c>
      <c r="L8100" s="3"/>
      <c r="M8100" s="4"/>
      <c r="N8100" s="3" t="s">
        <v>37</v>
      </c>
      <c r="O8100" s="3" t="s">
        <v>46</v>
      </c>
      <c r="P8100" s="5">
        <v>6</v>
      </c>
      <c r="Q8100" s="5">
        <v>39</v>
      </c>
      <c r="R8100" s="5">
        <v>5</v>
      </c>
      <c r="S8100" s="5">
        <v>37</v>
      </c>
    </row>
    <row r="8101" spans="1:19" ht="28" x14ac:dyDescent="0.15">
      <c r="A8101" s="2">
        <f>HYPERLINK("https://open-school.uspishnemisto.com.ua/school/460803/", 460803)</f>
        <v>460803</v>
      </c>
      <c r="B8101" s="3" t="s">
        <v>41763</v>
      </c>
      <c r="C8101" s="3" t="s">
        <v>31</v>
      </c>
      <c r="D8101" s="3" t="s">
        <v>175</v>
      </c>
      <c r="E8101" s="4" t="s">
        <v>22</v>
      </c>
      <c r="F8101" s="4" t="s">
        <v>41764</v>
      </c>
      <c r="G8101" s="4" t="s">
        <v>41765</v>
      </c>
      <c r="H8101" s="3" t="s">
        <v>38194</v>
      </c>
      <c r="I8101" s="3" t="s">
        <v>41766</v>
      </c>
      <c r="J8101" s="3" t="s">
        <v>41767</v>
      </c>
      <c r="K8101" s="3" t="s">
        <v>41768</v>
      </c>
      <c r="L8101" s="3"/>
      <c r="M8101" s="4"/>
      <c r="N8101" s="3" t="s">
        <v>37</v>
      </c>
      <c r="O8101" s="3" t="s">
        <v>52</v>
      </c>
      <c r="P8101" s="5">
        <v>5</v>
      </c>
      <c r="Q8101" s="5">
        <v>44</v>
      </c>
      <c r="R8101" s="5">
        <v>5</v>
      </c>
      <c r="S8101" s="5">
        <v>43</v>
      </c>
    </row>
    <row r="8102" spans="1:19" ht="42" x14ac:dyDescent="0.15">
      <c r="A8102" s="2">
        <f>HYPERLINK("https://open-school.uspishnemisto.com.ua/school/460806/", 460806)</f>
        <v>460806</v>
      </c>
      <c r="B8102" s="3" t="s">
        <v>41769</v>
      </c>
      <c r="C8102" s="3" t="s">
        <v>54</v>
      </c>
      <c r="D8102" s="3" t="s">
        <v>175</v>
      </c>
      <c r="E8102" s="4" t="s">
        <v>22</v>
      </c>
      <c r="F8102" s="4" t="s">
        <v>41770</v>
      </c>
      <c r="G8102" s="4" t="s">
        <v>41771</v>
      </c>
      <c r="H8102" s="3" t="s">
        <v>38194</v>
      </c>
      <c r="I8102" s="3" t="s">
        <v>41772</v>
      </c>
      <c r="J8102" s="3" t="s">
        <v>41773</v>
      </c>
      <c r="K8102" s="3" t="s">
        <v>41774</v>
      </c>
      <c r="L8102" s="3"/>
      <c r="M8102" s="4"/>
      <c r="N8102" s="3" t="s">
        <v>37</v>
      </c>
      <c r="O8102" s="3" t="s">
        <v>2740</v>
      </c>
      <c r="P8102" s="5">
        <v>5</v>
      </c>
      <c r="Q8102" s="5">
        <v>40</v>
      </c>
      <c r="R8102" s="5">
        <v>5</v>
      </c>
      <c r="S8102" s="5">
        <v>43</v>
      </c>
    </row>
    <row r="8103" spans="1:19" ht="42" x14ac:dyDescent="0.15">
      <c r="A8103" s="2">
        <f>HYPERLINK("https://open-school.uspishnemisto.com.ua/school/460807/", 460807)</f>
        <v>460807</v>
      </c>
      <c r="B8103" s="3" t="s">
        <v>41775</v>
      </c>
      <c r="C8103" s="3" t="s">
        <v>31</v>
      </c>
      <c r="D8103" s="3" t="s">
        <v>175</v>
      </c>
      <c r="E8103" s="4" t="s">
        <v>22</v>
      </c>
      <c r="F8103" s="4" t="s">
        <v>41776</v>
      </c>
      <c r="G8103" s="4" t="s">
        <v>41777</v>
      </c>
      <c r="H8103" s="3" t="s">
        <v>38194</v>
      </c>
      <c r="I8103" s="3" t="s">
        <v>29821</v>
      </c>
      <c r="J8103" s="3" t="s">
        <v>2656</v>
      </c>
      <c r="K8103" s="3" t="s">
        <v>41778</v>
      </c>
      <c r="L8103" s="3"/>
      <c r="M8103" s="4"/>
      <c r="N8103" s="3" t="s">
        <v>37</v>
      </c>
      <c r="O8103" s="3" t="s">
        <v>2740</v>
      </c>
      <c r="P8103" s="5">
        <v>4</v>
      </c>
      <c r="Q8103" s="5">
        <v>34</v>
      </c>
      <c r="R8103" s="5">
        <v>5</v>
      </c>
      <c r="S8103" s="5">
        <v>34</v>
      </c>
    </row>
    <row r="8104" spans="1:19" ht="28" x14ac:dyDescent="0.15">
      <c r="A8104" s="2">
        <f>HYPERLINK("https://open-school.uspishnemisto.com.ua/school/460808/", 460808)</f>
        <v>460808</v>
      </c>
      <c r="B8104" s="3" t="s">
        <v>41779</v>
      </c>
      <c r="C8104" s="3" t="s">
        <v>31</v>
      </c>
      <c r="D8104" s="3" t="s">
        <v>60</v>
      </c>
      <c r="E8104" s="4" t="s">
        <v>22</v>
      </c>
      <c r="F8104" s="4" t="s">
        <v>41776</v>
      </c>
      <c r="G8104" s="4" t="s">
        <v>41780</v>
      </c>
      <c r="H8104" s="3" t="s">
        <v>38194</v>
      </c>
      <c r="I8104" s="3" t="s">
        <v>41781</v>
      </c>
      <c r="J8104" s="3" t="s">
        <v>41782</v>
      </c>
      <c r="K8104" s="3" t="s">
        <v>41783</v>
      </c>
      <c r="L8104" s="3"/>
      <c r="M8104" s="4"/>
      <c r="N8104" s="3" t="s">
        <v>37</v>
      </c>
      <c r="O8104" s="3" t="s">
        <v>52</v>
      </c>
      <c r="P8104" s="5">
        <v>0</v>
      </c>
      <c r="Q8104" s="5">
        <v>7</v>
      </c>
      <c r="R8104" s="5">
        <v>0</v>
      </c>
      <c r="S8104" s="5">
        <v>5</v>
      </c>
    </row>
    <row r="8105" spans="1:19" ht="28" x14ac:dyDescent="0.15">
      <c r="A8105" s="2">
        <f>HYPERLINK("https://open-school.uspishnemisto.com.ua/school/460810/", 460810)</f>
        <v>460810</v>
      </c>
      <c r="B8105" s="3" t="s">
        <v>41784</v>
      </c>
      <c r="C8105" s="3" t="s">
        <v>31</v>
      </c>
      <c r="D8105" s="3" t="s">
        <v>175</v>
      </c>
      <c r="E8105" s="4" t="s">
        <v>22</v>
      </c>
      <c r="F8105" s="4" t="s">
        <v>41785</v>
      </c>
      <c r="G8105" s="4" t="s">
        <v>41786</v>
      </c>
      <c r="H8105" s="3" t="s">
        <v>38194</v>
      </c>
      <c r="I8105" s="3" t="s">
        <v>41787</v>
      </c>
      <c r="J8105" s="3" t="s">
        <v>718</v>
      </c>
      <c r="K8105" s="3" t="s">
        <v>41788</v>
      </c>
      <c r="L8105" s="3"/>
      <c r="M8105" s="4"/>
      <c r="N8105" s="3" t="s">
        <v>37</v>
      </c>
      <c r="O8105" s="3" t="s">
        <v>46</v>
      </c>
      <c r="P8105" s="5">
        <v>2</v>
      </c>
      <c r="Q8105" s="5">
        <v>27</v>
      </c>
      <c r="R8105" s="5">
        <v>4</v>
      </c>
      <c r="S8105" s="5">
        <v>34</v>
      </c>
    </row>
    <row r="8106" spans="1:19" ht="28" x14ac:dyDescent="0.15">
      <c r="A8106" s="2">
        <f>HYPERLINK("https://open-school.uspishnemisto.com.ua/school/460812/", 460812)</f>
        <v>460812</v>
      </c>
      <c r="B8106" s="3" t="s">
        <v>41789</v>
      </c>
      <c r="C8106" s="3" t="s">
        <v>31</v>
      </c>
      <c r="D8106" s="3" t="s">
        <v>175</v>
      </c>
      <c r="E8106" s="4" t="s">
        <v>22</v>
      </c>
      <c r="F8106" s="4" t="s">
        <v>41790</v>
      </c>
      <c r="G8106" s="4" t="s">
        <v>41791</v>
      </c>
      <c r="H8106" s="3" t="s">
        <v>38194</v>
      </c>
      <c r="I8106" s="3" t="s">
        <v>41792</v>
      </c>
      <c r="J8106" s="3"/>
      <c r="K8106" s="3" t="s">
        <v>41793</v>
      </c>
      <c r="L8106" s="3"/>
      <c r="M8106" s="4"/>
      <c r="N8106" s="3" t="s">
        <v>37</v>
      </c>
      <c r="O8106" s="3" t="s">
        <v>618</v>
      </c>
      <c r="P8106" s="5">
        <v>9</v>
      </c>
      <c r="Q8106" s="5">
        <v>71</v>
      </c>
      <c r="R8106" s="5">
        <v>8</v>
      </c>
      <c r="S8106" s="5">
        <v>63</v>
      </c>
    </row>
    <row r="8107" spans="1:19" ht="28" x14ac:dyDescent="0.15">
      <c r="A8107" s="2">
        <f>HYPERLINK("https://open-school.uspishnemisto.com.ua/school/460813/", 460813)</f>
        <v>460813</v>
      </c>
      <c r="B8107" s="3" t="s">
        <v>41794</v>
      </c>
      <c r="C8107" s="3" t="s">
        <v>31</v>
      </c>
      <c r="D8107" s="3" t="s">
        <v>32</v>
      </c>
      <c r="E8107" s="4" t="s">
        <v>22</v>
      </c>
      <c r="F8107" s="4" t="s">
        <v>41795</v>
      </c>
      <c r="G8107" s="4" t="s">
        <v>41796</v>
      </c>
      <c r="H8107" s="3" t="s">
        <v>38194</v>
      </c>
      <c r="I8107" s="3" t="s">
        <v>5431</v>
      </c>
      <c r="J8107" s="3" t="s">
        <v>41797</v>
      </c>
      <c r="K8107" s="3"/>
      <c r="L8107" s="3"/>
      <c r="M8107" s="4"/>
      <c r="N8107" s="3" t="s">
        <v>37</v>
      </c>
      <c r="O8107" s="3" t="s">
        <v>52</v>
      </c>
      <c r="P8107" s="5">
        <v>27</v>
      </c>
      <c r="Q8107" s="5">
        <v>639</v>
      </c>
      <c r="R8107" s="5">
        <v>27</v>
      </c>
      <c r="S8107" s="5">
        <v>644</v>
      </c>
    </row>
    <row r="8108" spans="1:19" ht="28" x14ac:dyDescent="0.15">
      <c r="A8108" s="2">
        <f>HYPERLINK("https://open-school.uspishnemisto.com.ua/school/460814/", 460814)</f>
        <v>460814</v>
      </c>
      <c r="B8108" s="3" t="s">
        <v>41798</v>
      </c>
      <c r="C8108" s="3" t="s">
        <v>31</v>
      </c>
      <c r="D8108" s="3" t="s">
        <v>32</v>
      </c>
      <c r="E8108" s="4" t="s">
        <v>22</v>
      </c>
      <c r="F8108" s="4" t="s">
        <v>41795</v>
      </c>
      <c r="G8108" s="4" t="s">
        <v>41796</v>
      </c>
      <c r="H8108" s="3" t="s">
        <v>38194</v>
      </c>
      <c r="I8108" s="3" t="s">
        <v>5431</v>
      </c>
      <c r="J8108" s="3" t="s">
        <v>41799</v>
      </c>
      <c r="K8108" s="3" t="s">
        <v>41800</v>
      </c>
      <c r="L8108" s="3"/>
      <c r="M8108" s="4"/>
      <c r="N8108" s="3" t="s">
        <v>37</v>
      </c>
      <c r="O8108" s="3" t="s">
        <v>46</v>
      </c>
      <c r="P8108" s="5">
        <v>27</v>
      </c>
      <c r="Q8108" s="5">
        <v>693</v>
      </c>
      <c r="R8108" s="5">
        <v>26</v>
      </c>
      <c r="S8108" s="5">
        <v>656</v>
      </c>
    </row>
    <row r="8109" spans="1:19" ht="28" x14ac:dyDescent="0.15">
      <c r="A8109" s="2">
        <f>HYPERLINK("https://open-school.uspishnemisto.com.ua/school/460815/", 460815)</f>
        <v>460815</v>
      </c>
      <c r="B8109" s="3" t="s">
        <v>41801</v>
      </c>
      <c r="C8109" s="3" t="s">
        <v>40</v>
      </c>
      <c r="D8109" s="3" t="s">
        <v>32</v>
      </c>
      <c r="E8109" s="4" t="s">
        <v>22</v>
      </c>
      <c r="F8109" s="4" t="s">
        <v>41802</v>
      </c>
      <c r="G8109" s="4" t="s">
        <v>41803</v>
      </c>
      <c r="H8109" s="3" t="s">
        <v>38194</v>
      </c>
      <c r="I8109" s="3" t="s">
        <v>41804</v>
      </c>
      <c r="J8109" s="3" t="s">
        <v>41805</v>
      </c>
      <c r="K8109" s="3" t="s">
        <v>41806</v>
      </c>
      <c r="L8109" s="3"/>
      <c r="M8109" s="4"/>
      <c r="N8109" s="3" t="s">
        <v>37</v>
      </c>
      <c r="O8109" s="3" t="s">
        <v>46</v>
      </c>
      <c r="P8109" s="5">
        <v>12</v>
      </c>
      <c r="Q8109" s="5">
        <v>236</v>
      </c>
      <c r="R8109" s="5">
        <v>9</v>
      </c>
      <c r="S8109" s="5">
        <v>157</v>
      </c>
    </row>
    <row r="8110" spans="1:19" ht="28" x14ac:dyDescent="0.15">
      <c r="A8110" s="2">
        <f>HYPERLINK("https://open-school.uspishnemisto.com.ua/school/460816/", 460816)</f>
        <v>460816</v>
      </c>
      <c r="B8110" s="3" t="s">
        <v>41807</v>
      </c>
      <c r="C8110" s="3" t="s">
        <v>31</v>
      </c>
      <c r="D8110" s="3" t="s">
        <v>32</v>
      </c>
      <c r="E8110" s="4" t="s">
        <v>22</v>
      </c>
      <c r="F8110" s="4" t="s">
        <v>41808</v>
      </c>
      <c r="G8110" s="4" t="s">
        <v>41809</v>
      </c>
      <c r="H8110" s="3" t="s">
        <v>38194</v>
      </c>
      <c r="I8110" s="3" t="s">
        <v>41810</v>
      </c>
      <c r="J8110" s="3" t="s">
        <v>41811</v>
      </c>
      <c r="K8110" s="3" t="s">
        <v>41812</v>
      </c>
      <c r="L8110" s="3"/>
      <c r="M8110" s="4"/>
      <c r="N8110" s="3" t="s">
        <v>37</v>
      </c>
      <c r="O8110" s="3" t="s">
        <v>46</v>
      </c>
      <c r="P8110" s="5">
        <v>21</v>
      </c>
      <c r="Q8110" s="5">
        <v>506</v>
      </c>
      <c r="R8110" s="5">
        <v>22</v>
      </c>
      <c r="S8110" s="5">
        <v>518</v>
      </c>
    </row>
    <row r="8111" spans="1:19" ht="28" x14ac:dyDescent="0.15">
      <c r="A8111" s="2">
        <f>HYPERLINK("https://open-school.uspishnemisto.com.ua/school/460817/", 460817)</f>
        <v>460817</v>
      </c>
      <c r="B8111" s="3" t="s">
        <v>41813</v>
      </c>
      <c r="C8111" s="3" t="s">
        <v>31</v>
      </c>
      <c r="D8111" s="3" t="s">
        <v>32</v>
      </c>
      <c r="E8111" s="4" t="s">
        <v>22</v>
      </c>
      <c r="F8111" s="4" t="s">
        <v>41808</v>
      </c>
      <c r="G8111" s="4" t="s">
        <v>41809</v>
      </c>
      <c r="H8111" s="3" t="s">
        <v>38194</v>
      </c>
      <c r="I8111" s="3" t="s">
        <v>41810</v>
      </c>
      <c r="J8111" s="3" t="s">
        <v>41814</v>
      </c>
      <c r="K8111" s="3" t="s">
        <v>41815</v>
      </c>
      <c r="L8111" s="3"/>
      <c r="M8111" s="4"/>
      <c r="N8111" s="3" t="s">
        <v>37</v>
      </c>
      <c r="O8111" s="3" t="s">
        <v>46</v>
      </c>
      <c r="P8111" s="5">
        <v>16</v>
      </c>
      <c r="Q8111" s="5">
        <v>342</v>
      </c>
      <c r="R8111" s="5">
        <v>16</v>
      </c>
      <c r="S8111" s="5">
        <v>356</v>
      </c>
    </row>
    <row r="8112" spans="1:19" ht="28" x14ac:dyDescent="0.15">
      <c r="A8112" s="2">
        <f>HYPERLINK("https://open-school.uspishnemisto.com.ua/school/460818/", 460818)</f>
        <v>460818</v>
      </c>
      <c r="B8112" s="3" t="s">
        <v>41816</v>
      </c>
      <c r="C8112" s="3" t="s">
        <v>54</v>
      </c>
      <c r="D8112" s="3" t="s">
        <v>175</v>
      </c>
      <c r="E8112" s="4" t="s">
        <v>22</v>
      </c>
      <c r="F8112" s="4" t="s">
        <v>41808</v>
      </c>
      <c r="G8112" s="4" t="s">
        <v>41817</v>
      </c>
      <c r="H8112" s="3" t="s">
        <v>38194</v>
      </c>
      <c r="I8112" s="3" t="s">
        <v>41818</v>
      </c>
      <c r="J8112" s="3" t="s">
        <v>41819</v>
      </c>
      <c r="K8112" s="3" t="s">
        <v>41820</v>
      </c>
      <c r="L8112" s="3"/>
      <c r="M8112" s="4"/>
      <c r="N8112" s="3" t="s">
        <v>37</v>
      </c>
      <c r="O8112" s="3" t="s">
        <v>46</v>
      </c>
      <c r="P8112" s="5">
        <v>4</v>
      </c>
      <c r="Q8112" s="5">
        <v>33</v>
      </c>
      <c r="R8112" s="5">
        <v>4</v>
      </c>
      <c r="S8112" s="5">
        <v>31</v>
      </c>
    </row>
    <row r="8113" spans="1:19" ht="42" x14ac:dyDescent="0.15">
      <c r="A8113" s="2">
        <f>HYPERLINK("https://open-school.uspishnemisto.com.ua/school/460819/", 460819)</f>
        <v>460819</v>
      </c>
      <c r="B8113" s="3" t="s">
        <v>41821</v>
      </c>
      <c r="C8113" s="3" t="s">
        <v>54</v>
      </c>
      <c r="D8113" s="3" t="s">
        <v>32</v>
      </c>
      <c r="E8113" s="4" t="s">
        <v>22</v>
      </c>
      <c r="F8113" s="4" t="s">
        <v>41822</v>
      </c>
      <c r="G8113" s="4" t="s">
        <v>41823</v>
      </c>
      <c r="H8113" s="3" t="s">
        <v>38194</v>
      </c>
      <c r="I8113" s="3" t="s">
        <v>41824</v>
      </c>
      <c r="J8113" s="3" t="s">
        <v>6438</v>
      </c>
      <c r="K8113" s="3" t="s">
        <v>41825</v>
      </c>
      <c r="L8113" s="3"/>
      <c r="M8113" s="4"/>
      <c r="N8113" s="3" t="s">
        <v>37</v>
      </c>
      <c r="O8113" s="3" t="s">
        <v>52</v>
      </c>
      <c r="P8113" s="5">
        <v>11</v>
      </c>
      <c r="Q8113" s="5">
        <v>214</v>
      </c>
      <c r="R8113" s="5">
        <v>11</v>
      </c>
      <c r="S8113" s="5">
        <v>219</v>
      </c>
    </row>
    <row r="8114" spans="1:19" ht="28" x14ac:dyDescent="0.15">
      <c r="A8114" s="2">
        <f>HYPERLINK("https://open-school.uspishnemisto.com.ua/school/460820/", 460820)</f>
        <v>460820</v>
      </c>
      <c r="B8114" s="3" t="s">
        <v>41826</v>
      </c>
      <c r="C8114" s="3" t="s">
        <v>31</v>
      </c>
      <c r="D8114" s="3" t="s">
        <v>32</v>
      </c>
      <c r="E8114" s="4" t="s">
        <v>22</v>
      </c>
      <c r="F8114" s="4" t="s">
        <v>41827</v>
      </c>
      <c r="G8114" s="4" t="s">
        <v>41828</v>
      </c>
      <c r="H8114" s="3" t="s">
        <v>38194</v>
      </c>
      <c r="I8114" s="3" t="s">
        <v>41829</v>
      </c>
      <c r="J8114" s="3"/>
      <c r="K8114" s="3"/>
      <c r="L8114" s="3"/>
      <c r="M8114" s="4"/>
      <c r="N8114" s="3" t="s">
        <v>37</v>
      </c>
      <c r="O8114" s="3" t="s">
        <v>52</v>
      </c>
      <c r="P8114" s="5">
        <v>11</v>
      </c>
      <c r="Q8114" s="5">
        <v>152</v>
      </c>
      <c r="R8114" s="5">
        <v>11</v>
      </c>
      <c r="S8114" s="5">
        <v>159</v>
      </c>
    </row>
    <row r="8115" spans="1:19" ht="28" x14ac:dyDescent="0.15">
      <c r="A8115" s="2">
        <f>HYPERLINK("https://open-school.uspishnemisto.com.ua/school/460821/", 460821)</f>
        <v>460821</v>
      </c>
      <c r="B8115" s="3" t="s">
        <v>41830</v>
      </c>
      <c r="C8115" s="3" t="s">
        <v>31</v>
      </c>
      <c r="D8115" s="3" t="s">
        <v>175</v>
      </c>
      <c r="E8115" s="4" t="s">
        <v>22</v>
      </c>
      <c r="F8115" s="4" t="s">
        <v>41827</v>
      </c>
      <c r="G8115" s="4" t="s">
        <v>41831</v>
      </c>
      <c r="H8115" s="3" t="s">
        <v>38194</v>
      </c>
      <c r="I8115" s="3" t="s">
        <v>41832</v>
      </c>
      <c r="J8115" s="3" t="s">
        <v>41833</v>
      </c>
      <c r="K8115" s="3"/>
      <c r="L8115" s="3"/>
      <c r="M8115" s="4"/>
      <c r="N8115" s="3" t="s">
        <v>37</v>
      </c>
      <c r="O8115" s="3" t="s">
        <v>52</v>
      </c>
      <c r="P8115" s="5">
        <v>8</v>
      </c>
      <c r="Q8115" s="5">
        <v>66</v>
      </c>
      <c r="R8115" s="5">
        <v>8</v>
      </c>
      <c r="S8115" s="5">
        <v>72</v>
      </c>
    </row>
    <row r="8116" spans="1:19" ht="42" x14ac:dyDescent="0.15">
      <c r="A8116" s="2">
        <f>HYPERLINK("https://open-school.uspishnemisto.com.ua/school/460822/", 460822)</f>
        <v>460822</v>
      </c>
      <c r="B8116" s="3" t="s">
        <v>41834</v>
      </c>
      <c r="C8116" s="3" t="s">
        <v>54</v>
      </c>
      <c r="D8116" s="3" t="s">
        <v>175</v>
      </c>
      <c r="E8116" s="4" t="s">
        <v>22</v>
      </c>
      <c r="F8116" s="4" t="s">
        <v>41835</v>
      </c>
      <c r="G8116" s="4" t="s">
        <v>41836</v>
      </c>
      <c r="H8116" s="3" t="s">
        <v>38194</v>
      </c>
      <c r="I8116" s="3" t="s">
        <v>41837</v>
      </c>
      <c r="J8116" s="3"/>
      <c r="K8116" s="3"/>
      <c r="L8116" s="3"/>
      <c r="M8116" s="4"/>
      <c r="N8116" s="3" t="s">
        <v>37</v>
      </c>
      <c r="O8116" s="3" t="s">
        <v>52</v>
      </c>
      <c r="P8116" s="5">
        <v>9</v>
      </c>
      <c r="Q8116" s="5">
        <v>111</v>
      </c>
      <c r="R8116" s="5">
        <v>9</v>
      </c>
      <c r="S8116" s="5">
        <v>110</v>
      </c>
    </row>
    <row r="8117" spans="1:19" ht="28" x14ac:dyDescent="0.15">
      <c r="A8117" s="2">
        <f>HYPERLINK("https://open-school.uspishnemisto.com.ua/school/460823/", 460823)</f>
        <v>460823</v>
      </c>
      <c r="B8117" s="3" t="s">
        <v>41838</v>
      </c>
      <c r="C8117" s="3" t="s">
        <v>31</v>
      </c>
      <c r="D8117" s="3" t="s">
        <v>60</v>
      </c>
      <c r="E8117" s="4" t="s">
        <v>22</v>
      </c>
      <c r="F8117" s="4" t="s">
        <v>41835</v>
      </c>
      <c r="G8117" s="4" t="s">
        <v>41839</v>
      </c>
      <c r="H8117" s="3" t="s">
        <v>38194</v>
      </c>
      <c r="I8117" s="3" t="s">
        <v>41840</v>
      </c>
      <c r="J8117" s="3"/>
      <c r="K8117" s="3"/>
      <c r="L8117" s="3"/>
      <c r="M8117" s="4"/>
      <c r="N8117" s="3" t="s">
        <v>37</v>
      </c>
      <c r="O8117" s="3" t="s">
        <v>52</v>
      </c>
      <c r="P8117" s="5">
        <v>1</v>
      </c>
      <c r="Q8117" s="5">
        <v>11</v>
      </c>
      <c r="R8117" s="5">
        <v>0</v>
      </c>
      <c r="S8117" s="5">
        <v>8</v>
      </c>
    </row>
    <row r="8118" spans="1:19" ht="28" x14ac:dyDescent="0.15">
      <c r="A8118" s="2">
        <f>HYPERLINK("https://open-school.uspishnemisto.com.ua/school/460824/", 460824)</f>
        <v>460824</v>
      </c>
      <c r="B8118" s="3" t="s">
        <v>41841</v>
      </c>
      <c r="C8118" s="3" t="s">
        <v>31</v>
      </c>
      <c r="D8118" s="3" t="s">
        <v>60</v>
      </c>
      <c r="E8118" s="4" t="s">
        <v>22</v>
      </c>
      <c r="F8118" s="4"/>
      <c r="G8118" s="4" t="s">
        <v>41842</v>
      </c>
      <c r="H8118" s="3" t="s">
        <v>38194</v>
      </c>
      <c r="I8118" s="3" t="s">
        <v>40863</v>
      </c>
      <c r="J8118" s="3"/>
      <c r="K8118" s="3"/>
      <c r="L8118" s="3"/>
      <c r="M8118" s="4"/>
      <c r="N8118" s="3" t="s">
        <v>37</v>
      </c>
      <c r="O8118" s="3" t="s">
        <v>52</v>
      </c>
      <c r="P8118" s="5">
        <v>2</v>
      </c>
      <c r="Q8118" s="5">
        <v>19</v>
      </c>
      <c r="R8118" s="5">
        <v>3</v>
      </c>
      <c r="S8118" s="5">
        <v>20</v>
      </c>
    </row>
    <row r="8119" spans="1:19" ht="28" x14ac:dyDescent="0.15">
      <c r="A8119" s="2">
        <f>HYPERLINK("https://open-school.uspishnemisto.com.ua/school/460825/", 460825)</f>
        <v>460825</v>
      </c>
      <c r="B8119" s="3" t="s">
        <v>41843</v>
      </c>
      <c r="C8119" s="3" t="s">
        <v>31</v>
      </c>
      <c r="D8119" s="3" t="s">
        <v>32</v>
      </c>
      <c r="E8119" s="4" t="s">
        <v>22</v>
      </c>
      <c r="F8119" s="4" t="s">
        <v>41844</v>
      </c>
      <c r="G8119" s="4" t="s">
        <v>41845</v>
      </c>
      <c r="H8119" s="3" t="s">
        <v>38194</v>
      </c>
      <c r="I8119" s="3" t="s">
        <v>41846</v>
      </c>
      <c r="J8119" s="3" t="s">
        <v>41847</v>
      </c>
      <c r="K8119" s="3"/>
      <c r="L8119" s="3"/>
      <c r="M8119" s="4"/>
      <c r="N8119" s="3" t="s">
        <v>37</v>
      </c>
      <c r="O8119" s="3" t="s">
        <v>52</v>
      </c>
      <c r="P8119" s="5">
        <v>27</v>
      </c>
      <c r="Q8119" s="5">
        <v>671</v>
      </c>
      <c r="R8119" s="5">
        <v>26</v>
      </c>
      <c r="S8119" s="5">
        <v>649</v>
      </c>
    </row>
    <row r="8120" spans="1:19" ht="28" x14ac:dyDescent="0.15">
      <c r="A8120" s="2">
        <f>HYPERLINK("https://open-school.uspishnemisto.com.ua/school/460826/", 460826)</f>
        <v>460826</v>
      </c>
      <c r="B8120" s="3" t="s">
        <v>41848</v>
      </c>
      <c r="C8120" s="3" t="s">
        <v>31</v>
      </c>
      <c r="D8120" s="3" t="s">
        <v>32</v>
      </c>
      <c r="E8120" s="4" t="s">
        <v>22</v>
      </c>
      <c r="F8120" s="4" t="s">
        <v>41844</v>
      </c>
      <c r="G8120" s="4" t="s">
        <v>41845</v>
      </c>
      <c r="H8120" s="3" t="s">
        <v>38194</v>
      </c>
      <c r="I8120" s="3" t="s">
        <v>41846</v>
      </c>
      <c r="J8120" s="3" t="s">
        <v>41849</v>
      </c>
      <c r="K8120" s="3" t="s">
        <v>41850</v>
      </c>
      <c r="L8120" s="3"/>
      <c r="M8120" s="4"/>
      <c r="N8120" s="3" t="s">
        <v>37</v>
      </c>
      <c r="O8120" s="3" t="s">
        <v>46</v>
      </c>
      <c r="P8120" s="5">
        <v>20</v>
      </c>
      <c r="Q8120" s="5">
        <v>490</v>
      </c>
      <c r="R8120" s="5">
        <v>21</v>
      </c>
      <c r="S8120" s="5">
        <v>473</v>
      </c>
    </row>
    <row r="8121" spans="1:19" ht="28" x14ac:dyDescent="0.15">
      <c r="A8121" s="2">
        <f>HYPERLINK("https://open-school.uspishnemisto.com.ua/school/460827/", 460827)</f>
        <v>460827</v>
      </c>
      <c r="B8121" s="3" t="s">
        <v>41851</v>
      </c>
      <c r="C8121" s="3" t="s">
        <v>54</v>
      </c>
      <c r="D8121" s="3" t="s">
        <v>175</v>
      </c>
      <c r="E8121" s="4" t="s">
        <v>22</v>
      </c>
      <c r="F8121" s="4" t="s">
        <v>41852</v>
      </c>
      <c r="G8121" s="4" t="s">
        <v>41853</v>
      </c>
      <c r="H8121" s="3" t="s">
        <v>38194</v>
      </c>
      <c r="I8121" s="3" t="s">
        <v>41854</v>
      </c>
      <c r="J8121" s="3"/>
      <c r="K8121" s="3"/>
      <c r="L8121" s="3"/>
      <c r="M8121" s="4"/>
      <c r="N8121" s="3" t="s">
        <v>37</v>
      </c>
      <c r="O8121" s="3" t="s">
        <v>52</v>
      </c>
      <c r="P8121" s="5">
        <v>4</v>
      </c>
      <c r="Q8121" s="5">
        <v>33</v>
      </c>
      <c r="R8121" s="5">
        <v>3</v>
      </c>
      <c r="S8121" s="5">
        <v>27</v>
      </c>
    </row>
    <row r="8122" spans="1:19" ht="28" x14ac:dyDescent="0.15">
      <c r="A8122" s="2">
        <f>HYPERLINK("https://open-school.uspishnemisto.com.ua/school/460829/", 460829)</f>
        <v>460829</v>
      </c>
      <c r="B8122" s="3" t="s">
        <v>41855</v>
      </c>
      <c r="C8122" s="3" t="s">
        <v>31</v>
      </c>
      <c r="D8122" s="3" t="s">
        <v>175</v>
      </c>
      <c r="E8122" s="4" t="s">
        <v>22</v>
      </c>
      <c r="F8122" s="4" t="s">
        <v>41856</v>
      </c>
      <c r="G8122" s="4" t="s">
        <v>41857</v>
      </c>
      <c r="H8122" s="3" t="s">
        <v>38194</v>
      </c>
      <c r="I8122" s="3" t="s">
        <v>41858</v>
      </c>
      <c r="J8122" s="3" t="s">
        <v>4046</v>
      </c>
      <c r="K8122" s="3" t="s">
        <v>41859</v>
      </c>
      <c r="L8122" s="3"/>
      <c r="M8122" s="4"/>
      <c r="N8122" s="3" t="s">
        <v>37</v>
      </c>
      <c r="O8122" s="3" t="s">
        <v>52</v>
      </c>
      <c r="P8122" s="5">
        <v>9</v>
      </c>
      <c r="Q8122" s="5">
        <v>91</v>
      </c>
      <c r="R8122" s="5">
        <v>9</v>
      </c>
      <c r="S8122" s="5">
        <v>86</v>
      </c>
    </row>
    <row r="8123" spans="1:19" ht="28" x14ac:dyDescent="0.15">
      <c r="A8123" s="2">
        <f>HYPERLINK("https://open-school.uspishnemisto.com.ua/school/460830/", 460830)</f>
        <v>460830</v>
      </c>
      <c r="B8123" s="3" t="s">
        <v>41860</v>
      </c>
      <c r="C8123" s="3" t="s">
        <v>31</v>
      </c>
      <c r="D8123" s="3" t="s">
        <v>32</v>
      </c>
      <c r="E8123" s="4" t="s">
        <v>22</v>
      </c>
      <c r="F8123" s="4" t="s">
        <v>41861</v>
      </c>
      <c r="G8123" s="4" t="s">
        <v>41862</v>
      </c>
      <c r="H8123" s="3" t="s">
        <v>38194</v>
      </c>
      <c r="I8123" s="3" t="s">
        <v>41863</v>
      </c>
      <c r="J8123" s="3" t="s">
        <v>2384</v>
      </c>
      <c r="K8123" s="3" t="s">
        <v>41864</v>
      </c>
      <c r="L8123" s="3"/>
      <c r="M8123" s="4"/>
      <c r="N8123" s="3" t="s">
        <v>37</v>
      </c>
      <c r="O8123" s="3" t="s">
        <v>46</v>
      </c>
      <c r="P8123" s="5">
        <v>10</v>
      </c>
      <c r="Q8123" s="5">
        <v>105</v>
      </c>
      <c r="R8123" s="5">
        <v>10</v>
      </c>
      <c r="S8123" s="5">
        <v>127</v>
      </c>
    </row>
    <row r="8124" spans="1:19" ht="28" x14ac:dyDescent="0.15">
      <c r="A8124" s="2">
        <f>HYPERLINK("https://open-school.uspishnemisto.com.ua/school/460831/", 460831)</f>
        <v>460831</v>
      </c>
      <c r="B8124" s="3" t="s">
        <v>41865</v>
      </c>
      <c r="C8124" s="3" t="s">
        <v>31</v>
      </c>
      <c r="D8124" s="3" t="s">
        <v>60</v>
      </c>
      <c r="E8124" s="4" t="s">
        <v>22</v>
      </c>
      <c r="F8124" s="4" t="s">
        <v>41866</v>
      </c>
      <c r="G8124" s="4" t="s">
        <v>41867</v>
      </c>
      <c r="H8124" s="3" t="s">
        <v>38194</v>
      </c>
      <c r="I8124" s="3" t="s">
        <v>41868</v>
      </c>
      <c r="J8124" s="3"/>
      <c r="K8124" s="3" t="s">
        <v>41869</v>
      </c>
      <c r="L8124" s="3"/>
      <c r="M8124" s="4"/>
      <c r="N8124" s="3" t="s">
        <v>37</v>
      </c>
      <c r="O8124" s="3" t="s">
        <v>52</v>
      </c>
      <c r="P8124" s="5">
        <v>4</v>
      </c>
      <c r="Q8124" s="5">
        <v>41</v>
      </c>
      <c r="R8124" s="5">
        <v>4</v>
      </c>
      <c r="S8124" s="5">
        <v>45</v>
      </c>
    </row>
    <row r="8125" spans="1:19" ht="28" x14ac:dyDescent="0.15">
      <c r="A8125" s="2">
        <f>HYPERLINK("https://open-school.uspishnemisto.com.ua/school/460832/", 460832)</f>
        <v>460832</v>
      </c>
      <c r="B8125" s="3" t="s">
        <v>41870</v>
      </c>
      <c r="C8125" s="3" t="s">
        <v>31</v>
      </c>
      <c r="D8125" s="3" t="s">
        <v>175</v>
      </c>
      <c r="E8125" s="4" t="s">
        <v>22</v>
      </c>
      <c r="F8125" s="4" t="s">
        <v>41871</v>
      </c>
      <c r="G8125" s="4" t="s">
        <v>41872</v>
      </c>
      <c r="H8125" s="3" t="s">
        <v>38194</v>
      </c>
      <c r="I8125" s="3" t="s">
        <v>41713</v>
      </c>
      <c r="J8125" s="3" t="s">
        <v>39924</v>
      </c>
      <c r="K8125" s="3"/>
      <c r="L8125" s="3"/>
      <c r="M8125" s="4"/>
      <c r="N8125" s="3" t="s">
        <v>37</v>
      </c>
      <c r="O8125" s="3" t="s">
        <v>46</v>
      </c>
      <c r="P8125" s="5">
        <v>4</v>
      </c>
      <c r="Q8125" s="5">
        <v>39</v>
      </c>
      <c r="R8125" s="5">
        <v>5</v>
      </c>
      <c r="S8125" s="5">
        <v>45</v>
      </c>
    </row>
    <row r="8126" spans="1:19" ht="28" x14ac:dyDescent="0.15">
      <c r="A8126" s="2">
        <f>HYPERLINK("https://open-school.uspishnemisto.com.ua/school/460833/", 460833)</f>
        <v>460833</v>
      </c>
      <c r="B8126" s="3" t="s">
        <v>41873</v>
      </c>
      <c r="C8126" s="3" t="s">
        <v>31</v>
      </c>
      <c r="D8126" s="3" t="s">
        <v>32</v>
      </c>
      <c r="E8126" s="4" t="s">
        <v>22</v>
      </c>
      <c r="F8126" s="4" t="s">
        <v>41874</v>
      </c>
      <c r="G8126" s="4" t="s">
        <v>41875</v>
      </c>
      <c r="H8126" s="3" t="s">
        <v>38194</v>
      </c>
      <c r="I8126" s="3" t="s">
        <v>41876</v>
      </c>
      <c r="J8126" s="3" t="s">
        <v>41877</v>
      </c>
      <c r="K8126" s="3"/>
      <c r="L8126" s="3"/>
      <c r="M8126" s="4"/>
      <c r="N8126" s="3" t="s">
        <v>37</v>
      </c>
      <c r="O8126" s="3" t="s">
        <v>46</v>
      </c>
      <c r="P8126" s="5">
        <v>29</v>
      </c>
      <c r="Q8126" s="5">
        <v>659</v>
      </c>
      <c r="R8126" s="5">
        <v>27</v>
      </c>
      <c r="S8126" s="5">
        <v>654</v>
      </c>
    </row>
    <row r="8127" spans="1:19" ht="28" x14ac:dyDescent="0.15">
      <c r="A8127" s="2">
        <f>HYPERLINK("https://open-school.uspishnemisto.com.ua/school/460834/", 460834)</f>
        <v>460834</v>
      </c>
      <c r="B8127" s="3" t="s">
        <v>41878</v>
      </c>
      <c r="C8127" s="3" t="s">
        <v>31</v>
      </c>
      <c r="D8127" s="3" t="s">
        <v>175</v>
      </c>
      <c r="E8127" s="4" t="s">
        <v>22</v>
      </c>
      <c r="F8127" s="4" t="s">
        <v>41879</v>
      </c>
      <c r="G8127" s="4" t="s">
        <v>41880</v>
      </c>
      <c r="H8127" s="3" t="s">
        <v>38194</v>
      </c>
      <c r="I8127" s="3" t="s">
        <v>41881</v>
      </c>
      <c r="J8127" s="3"/>
      <c r="K8127" s="3" t="s">
        <v>41882</v>
      </c>
      <c r="L8127" s="3"/>
      <c r="M8127" s="4"/>
      <c r="N8127" s="3" t="s">
        <v>37</v>
      </c>
      <c r="O8127" s="3" t="s">
        <v>46</v>
      </c>
      <c r="P8127" s="5">
        <v>6</v>
      </c>
      <c r="Q8127" s="5">
        <v>53</v>
      </c>
      <c r="R8127" s="5">
        <v>6</v>
      </c>
      <c r="S8127" s="5">
        <v>55</v>
      </c>
    </row>
    <row r="8128" spans="1:19" ht="28" x14ac:dyDescent="0.15">
      <c r="A8128" s="2">
        <f>HYPERLINK("https://open-school.uspishnemisto.com.ua/school/460835/", 460835)</f>
        <v>460835</v>
      </c>
      <c r="B8128" s="3" t="s">
        <v>41883</v>
      </c>
      <c r="C8128" s="3" t="s">
        <v>54</v>
      </c>
      <c r="D8128" s="3" t="s">
        <v>175</v>
      </c>
      <c r="E8128" s="4" t="s">
        <v>22</v>
      </c>
      <c r="F8128" s="4" t="s">
        <v>41884</v>
      </c>
      <c r="G8128" s="4" t="s">
        <v>41885</v>
      </c>
      <c r="H8128" s="3" t="s">
        <v>38194</v>
      </c>
      <c r="I8128" s="3" t="s">
        <v>41886</v>
      </c>
      <c r="J8128" s="3"/>
      <c r="K8128" s="3" t="s">
        <v>41887</v>
      </c>
      <c r="L8128" s="3"/>
      <c r="M8128" s="4"/>
      <c r="N8128" s="3" t="s">
        <v>37</v>
      </c>
      <c r="O8128" s="3" t="s">
        <v>46</v>
      </c>
      <c r="P8128" s="5">
        <v>9</v>
      </c>
      <c r="Q8128" s="5">
        <v>99</v>
      </c>
      <c r="R8128" s="5">
        <v>9</v>
      </c>
      <c r="S8128" s="5">
        <v>94</v>
      </c>
    </row>
    <row r="8129" spans="1:19" ht="28" x14ac:dyDescent="0.15">
      <c r="A8129" s="2">
        <f>HYPERLINK("https://open-school.uspishnemisto.com.ua/school/460836/", 460836)</f>
        <v>460836</v>
      </c>
      <c r="B8129" s="3" t="s">
        <v>41888</v>
      </c>
      <c r="C8129" s="3" t="s">
        <v>31</v>
      </c>
      <c r="D8129" s="3" t="s">
        <v>60</v>
      </c>
      <c r="E8129" s="4" t="s">
        <v>22</v>
      </c>
      <c r="F8129" s="4" t="s">
        <v>41889</v>
      </c>
      <c r="G8129" s="4" t="s">
        <v>41890</v>
      </c>
      <c r="H8129" s="3" t="s">
        <v>38194</v>
      </c>
      <c r="I8129" s="3" t="s">
        <v>41891</v>
      </c>
      <c r="J8129" s="3"/>
      <c r="K8129" s="3"/>
      <c r="L8129" s="3"/>
      <c r="M8129" s="4"/>
      <c r="N8129" s="3" t="s">
        <v>37</v>
      </c>
      <c r="O8129" s="3" t="s">
        <v>52</v>
      </c>
      <c r="P8129" s="5">
        <v>0</v>
      </c>
      <c r="Q8129" s="5">
        <v>10</v>
      </c>
      <c r="R8129" s="5">
        <v>0</v>
      </c>
      <c r="S8129" s="5">
        <v>11</v>
      </c>
    </row>
    <row r="8130" spans="1:19" ht="28" x14ac:dyDescent="0.15">
      <c r="A8130" s="2">
        <f>HYPERLINK("https://open-school.uspishnemisto.com.ua/school/460837/", 460837)</f>
        <v>460837</v>
      </c>
      <c r="B8130" s="3" t="s">
        <v>41892</v>
      </c>
      <c r="C8130" s="3" t="s">
        <v>54</v>
      </c>
      <c r="D8130" s="3" t="s">
        <v>175</v>
      </c>
      <c r="E8130" s="4" t="s">
        <v>22</v>
      </c>
      <c r="F8130" s="4" t="s">
        <v>41893</v>
      </c>
      <c r="G8130" s="4" t="s">
        <v>41894</v>
      </c>
      <c r="H8130" s="3" t="s">
        <v>38194</v>
      </c>
      <c r="I8130" s="3" t="s">
        <v>41895</v>
      </c>
      <c r="J8130" s="3" t="s">
        <v>41896</v>
      </c>
      <c r="K8130" s="3" t="s">
        <v>41897</v>
      </c>
      <c r="L8130" s="3"/>
      <c r="M8130" s="4"/>
      <c r="N8130" s="3" t="s">
        <v>37</v>
      </c>
      <c r="O8130" s="3" t="s">
        <v>52</v>
      </c>
      <c r="P8130" s="5">
        <v>8</v>
      </c>
      <c r="Q8130" s="5">
        <v>81</v>
      </c>
      <c r="R8130" s="5">
        <v>8</v>
      </c>
      <c r="S8130" s="5">
        <v>81</v>
      </c>
    </row>
    <row r="8131" spans="1:19" ht="28" x14ac:dyDescent="0.15">
      <c r="A8131" s="2">
        <f>HYPERLINK("https://open-school.uspishnemisto.com.ua/school/460838/", 460838)</f>
        <v>460838</v>
      </c>
      <c r="B8131" s="3" t="s">
        <v>41898</v>
      </c>
      <c r="C8131" s="3" t="s">
        <v>31</v>
      </c>
      <c r="D8131" s="3" t="s">
        <v>32</v>
      </c>
      <c r="E8131" s="4" t="s">
        <v>22</v>
      </c>
      <c r="F8131" s="4" t="s">
        <v>41893</v>
      </c>
      <c r="G8131" s="4" t="s">
        <v>41899</v>
      </c>
      <c r="H8131" s="3" t="s">
        <v>38194</v>
      </c>
      <c r="I8131" s="3" t="s">
        <v>41900</v>
      </c>
      <c r="J8131" s="3" t="s">
        <v>466</v>
      </c>
      <c r="K8131" s="3" t="s">
        <v>41901</v>
      </c>
      <c r="L8131" s="3"/>
      <c r="M8131" s="4"/>
      <c r="N8131" s="3" t="s">
        <v>37</v>
      </c>
      <c r="O8131" s="3" t="s">
        <v>52</v>
      </c>
      <c r="P8131" s="5">
        <v>11</v>
      </c>
      <c r="Q8131" s="5">
        <v>171</v>
      </c>
      <c r="R8131" s="5">
        <v>11</v>
      </c>
      <c r="S8131" s="5">
        <v>160</v>
      </c>
    </row>
    <row r="8132" spans="1:19" ht="28" x14ac:dyDescent="0.15">
      <c r="A8132" s="2">
        <f>HYPERLINK("https://open-school.uspishnemisto.com.ua/school/460839/", 460839)</f>
        <v>460839</v>
      </c>
      <c r="B8132" s="3" t="s">
        <v>41902</v>
      </c>
      <c r="C8132" s="3" t="s">
        <v>31</v>
      </c>
      <c r="D8132" s="3" t="s">
        <v>32</v>
      </c>
      <c r="E8132" s="4" t="s">
        <v>22</v>
      </c>
      <c r="F8132" s="4" t="s">
        <v>41903</v>
      </c>
      <c r="G8132" s="4" t="s">
        <v>41904</v>
      </c>
      <c r="H8132" s="3" t="s">
        <v>38194</v>
      </c>
      <c r="I8132" s="3" t="s">
        <v>41905</v>
      </c>
      <c r="J8132" s="3"/>
      <c r="K8132" s="3"/>
      <c r="L8132" s="3"/>
      <c r="M8132" s="4"/>
      <c r="N8132" s="3" t="s">
        <v>37</v>
      </c>
      <c r="O8132" s="3" t="s">
        <v>52</v>
      </c>
      <c r="P8132" s="5">
        <v>11</v>
      </c>
      <c r="Q8132" s="5">
        <v>144</v>
      </c>
      <c r="R8132" s="5">
        <v>11</v>
      </c>
      <c r="S8132" s="5">
        <v>155</v>
      </c>
    </row>
    <row r="8133" spans="1:19" ht="28" x14ac:dyDescent="0.15">
      <c r="A8133" s="2">
        <f>HYPERLINK("https://open-school.uspishnemisto.com.ua/school/460840/", 460840)</f>
        <v>460840</v>
      </c>
      <c r="B8133" s="3" t="s">
        <v>41906</v>
      </c>
      <c r="C8133" s="3" t="s">
        <v>31</v>
      </c>
      <c r="D8133" s="3" t="s">
        <v>175</v>
      </c>
      <c r="E8133" s="4" t="s">
        <v>22</v>
      </c>
      <c r="F8133" s="4" t="s">
        <v>41907</v>
      </c>
      <c r="G8133" s="4" t="s">
        <v>41908</v>
      </c>
      <c r="H8133" s="3" t="s">
        <v>38194</v>
      </c>
      <c r="I8133" s="3" t="s">
        <v>41909</v>
      </c>
      <c r="J8133" s="3"/>
      <c r="K8133" s="3"/>
      <c r="L8133" s="3"/>
      <c r="M8133" s="4"/>
      <c r="N8133" s="3" t="s">
        <v>37</v>
      </c>
      <c r="O8133" s="3" t="s">
        <v>52</v>
      </c>
      <c r="P8133" s="5">
        <v>6</v>
      </c>
      <c r="Q8133" s="5">
        <v>48</v>
      </c>
      <c r="R8133" s="5">
        <v>5</v>
      </c>
      <c r="S8133" s="5">
        <v>46</v>
      </c>
    </row>
    <row r="8134" spans="1:19" ht="28" x14ac:dyDescent="0.15">
      <c r="A8134" s="2">
        <f>HYPERLINK("https://open-school.uspishnemisto.com.ua/school/460841/", 460841)</f>
        <v>460841</v>
      </c>
      <c r="B8134" s="3" t="s">
        <v>41910</v>
      </c>
      <c r="C8134" s="3" t="s">
        <v>31</v>
      </c>
      <c r="D8134" s="3" t="s">
        <v>175</v>
      </c>
      <c r="E8134" s="4" t="s">
        <v>22</v>
      </c>
      <c r="F8134" s="4" t="s">
        <v>41874</v>
      </c>
      <c r="G8134" s="4" t="s">
        <v>41911</v>
      </c>
      <c r="H8134" s="3" t="s">
        <v>38194</v>
      </c>
      <c r="I8134" s="3" t="s">
        <v>41912</v>
      </c>
      <c r="J8134" s="3"/>
      <c r="K8134" s="3" t="s">
        <v>41913</v>
      </c>
      <c r="L8134" s="3"/>
      <c r="M8134" s="4"/>
      <c r="N8134" s="3" t="s">
        <v>37</v>
      </c>
      <c r="O8134" s="3" t="s">
        <v>52</v>
      </c>
      <c r="P8134" s="5">
        <v>8</v>
      </c>
      <c r="Q8134" s="5">
        <v>80</v>
      </c>
      <c r="R8134" s="5">
        <v>8</v>
      </c>
      <c r="S8134" s="5">
        <v>74</v>
      </c>
    </row>
    <row r="8135" spans="1:19" ht="42" x14ac:dyDescent="0.15">
      <c r="A8135" s="2">
        <f>HYPERLINK("https://open-school.uspishnemisto.com.ua/school/460842/", 460842)</f>
        <v>460842</v>
      </c>
      <c r="B8135" s="3" t="s">
        <v>41914</v>
      </c>
      <c r="C8135" s="3" t="s">
        <v>54</v>
      </c>
      <c r="D8135" s="3" t="s">
        <v>32</v>
      </c>
      <c r="E8135" s="4" t="s">
        <v>22</v>
      </c>
      <c r="F8135" s="4" t="s">
        <v>41915</v>
      </c>
      <c r="G8135" s="4" t="s">
        <v>41916</v>
      </c>
      <c r="H8135" s="3" t="s">
        <v>38194</v>
      </c>
      <c r="I8135" s="3" t="s">
        <v>41917</v>
      </c>
      <c r="J8135" s="3" t="s">
        <v>466</v>
      </c>
      <c r="K8135" s="3"/>
      <c r="L8135" s="3"/>
      <c r="M8135" s="4"/>
      <c r="N8135" s="3" t="s">
        <v>37</v>
      </c>
      <c r="O8135" s="3" t="s">
        <v>52</v>
      </c>
      <c r="P8135" s="5">
        <v>17</v>
      </c>
      <c r="Q8135" s="5">
        <v>321</v>
      </c>
      <c r="R8135" s="5">
        <v>16</v>
      </c>
      <c r="S8135" s="5">
        <v>303</v>
      </c>
    </row>
    <row r="8136" spans="1:19" ht="28" x14ac:dyDescent="0.15">
      <c r="A8136" s="2">
        <f>HYPERLINK("https://open-school.uspishnemisto.com.ua/school/460843/", 460843)</f>
        <v>460843</v>
      </c>
      <c r="B8136" s="3" t="s">
        <v>41918</v>
      </c>
      <c r="C8136" s="3" t="s">
        <v>31</v>
      </c>
      <c r="D8136" s="3" t="s">
        <v>60</v>
      </c>
      <c r="E8136" s="4" t="s">
        <v>22</v>
      </c>
      <c r="F8136" s="4" t="s">
        <v>41919</v>
      </c>
      <c r="G8136" s="4" t="s">
        <v>41920</v>
      </c>
      <c r="H8136" s="3" t="s">
        <v>38194</v>
      </c>
      <c r="I8136" s="3" t="s">
        <v>41921</v>
      </c>
      <c r="J8136" s="3" t="s">
        <v>41922</v>
      </c>
      <c r="K8136" s="3"/>
      <c r="L8136" s="3"/>
      <c r="M8136" s="4"/>
      <c r="N8136" s="3" t="s">
        <v>37</v>
      </c>
      <c r="O8136" s="3" t="s">
        <v>52</v>
      </c>
      <c r="P8136" s="5">
        <v>3</v>
      </c>
      <c r="Q8136" s="5">
        <v>22</v>
      </c>
      <c r="R8136" s="5">
        <v>3</v>
      </c>
      <c r="S8136" s="5">
        <v>22</v>
      </c>
    </row>
    <row r="8137" spans="1:19" ht="28" x14ac:dyDescent="0.15">
      <c r="A8137" s="2">
        <f>HYPERLINK("https://open-school.uspishnemisto.com.ua/school/460844/", 460844)</f>
        <v>460844</v>
      </c>
      <c r="B8137" s="3" t="s">
        <v>41923</v>
      </c>
      <c r="C8137" s="3" t="s">
        <v>31</v>
      </c>
      <c r="D8137" s="3" t="s">
        <v>32</v>
      </c>
      <c r="E8137" s="4" t="s">
        <v>22</v>
      </c>
      <c r="F8137" s="4" t="s">
        <v>41924</v>
      </c>
      <c r="G8137" s="4" t="s">
        <v>41925</v>
      </c>
      <c r="H8137" s="3" t="s">
        <v>38194</v>
      </c>
      <c r="I8137" s="3" t="s">
        <v>41926</v>
      </c>
      <c r="J8137" s="3" t="s">
        <v>41927</v>
      </c>
      <c r="K8137" s="3"/>
      <c r="L8137" s="3"/>
      <c r="M8137" s="4"/>
      <c r="N8137" s="3" t="s">
        <v>37</v>
      </c>
      <c r="O8137" s="3" t="s">
        <v>52</v>
      </c>
      <c r="P8137" s="5">
        <v>11</v>
      </c>
      <c r="Q8137" s="5">
        <v>143</v>
      </c>
      <c r="R8137" s="5">
        <v>11</v>
      </c>
      <c r="S8137" s="5">
        <v>130</v>
      </c>
    </row>
    <row r="8138" spans="1:19" ht="28" x14ac:dyDescent="0.15">
      <c r="A8138" s="2">
        <f>HYPERLINK("https://open-school.uspishnemisto.com.ua/school/460845/", 460845)</f>
        <v>460845</v>
      </c>
      <c r="B8138" s="3" t="s">
        <v>41928</v>
      </c>
      <c r="C8138" s="3" t="s">
        <v>31</v>
      </c>
      <c r="D8138" s="3" t="s">
        <v>32</v>
      </c>
      <c r="E8138" s="4" t="s">
        <v>22</v>
      </c>
      <c r="F8138" s="4" t="s">
        <v>41929</v>
      </c>
      <c r="G8138" s="4" t="s">
        <v>41930</v>
      </c>
      <c r="H8138" s="3" t="s">
        <v>38194</v>
      </c>
      <c r="I8138" s="3" t="s">
        <v>41931</v>
      </c>
      <c r="J8138" s="3" t="s">
        <v>41932</v>
      </c>
      <c r="K8138" s="3" t="s">
        <v>41933</v>
      </c>
      <c r="L8138" s="3"/>
      <c r="M8138" s="4"/>
      <c r="N8138" s="3" t="s">
        <v>37</v>
      </c>
      <c r="O8138" s="3" t="s">
        <v>46</v>
      </c>
      <c r="P8138" s="5">
        <v>25</v>
      </c>
      <c r="Q8138" s="5">
        <v>585</v>
      </c>
      <c r="R8138" s="5">
        <v>26</v>
      </c>
      <c r="S8138" s="5">
        <v>596</v>
      </c>
    </row>
    <row r="8139" spans="1:19" ht="28" x14ac:dyDescent="0.15">
      <c r="A8139" s="2">
        <f>HYPERLINK("https://open-school.uspishnemisto.com.ua/school/460846/", 460846)</f>
        <v>460846</v>
      </c>
      <c r="B8139" s="3" t="s">
        <v>41934</v>
      </c>
      <c r="C8139" s="3" t="s">
        <v>31</v>
      </c>
      <c r="D8139" s="3" t="s">
        <v>175</v>
      </c>
      <c r="E8139" s="4" t="s">
        <v>22</v>
      </c>
      <c r="F8139" s="4" t="s">
        <v>41935</v>
      </c>
      <c r="G8139" s="4" t="s">
        <v>41936</v>
      </c>
      <c r="H8139" s="3" t="s">
        <v>38194</v>
      </c>
      <c r="I8139" s="3" t="s">
        <v>41937</v>
      </c>
      <c r="J8139" s="3" t="s">
        <v>792</v>
      </c>
      <c r="K8139" s="3"/>
      <c r="L8139" s="3"/>
      <c r="M8139" s="4"/>
      <c r="N8139" s="3" t="s">
        <v>37</v>
      </c>
      <c r="O8139" s="3" t="s">
        <v>46</v>
      </c>
      <c r="P8139" s="5">
        <v>9</v>
      </c>
      <c r="Q8139" s="5">
        <v>107</v>
      </c>
      <c r="R8139" s="5">
        <v>9</v>
      </c>
      <c r="S8139" s="5">
        <v>105</v>
      </c>
    </row>
    <row r="8140" spans="1:19" ht="28" x14ac:dyDescent="0.15">
      <c r="A8140" s="2">
        <f>HYPERLINK("https://open-school.uspishnemisto.com.ua/school/460847/", 460847)</f>
        <v>460847</v>
      </c>
      <c r="B8140" s="3" t="s">
        <v>41938</v>
      </c>
      <c r="C8140" s="3" t="s">
        <v>31</v>
      </c>
      <c r="D8140" s="3" t="s">
        <v>32</v>
      </c>
      <c r="E8140" s="4" t="s">
        <v>22</v>
      </c>
      <c r="F8140" s="4" t="s">
        <v>41939</v>
      </c>
      <c r="G8140" s="4" t="s">
        <v>41940</v>
      </c>
      <c r="H8140" s="3" t="s">
        <v>38194</v>
      </c>
      <c r="I8140" s="3" t="s">
        <v>41941</v>
      </c>
      <c r="J8140" s="3" t="s">
        <v>41942</v>
      </c>
      <c r="K8140" s="3" t="s">
        <v>41943</v>
      </c>
      <c r="L8140" s="3"/>
      <c r="M8140" s="4"/>
      <c r="N8140" s="3" t="s">
        <v>37</v>
      </c>
      <c r="O8140" s="3" t="s">
        <v>2740</v>
      </c>
      <c r="P8140" s="5">
        <v>15</v>
      </c>
      <c r="Q8140" s="5">
        <v>308</v>
      </c>
      <c r="R8140" s="5">
        <v>14</v>
      </c>
      <c r="S8140" s="5">
        <v>292</v>
      </c>
    </row>
    <row r="8141" spans="1:19" ht="42" x14ac:dyDescent="0.15">
      <c r="A8141" s="2">
        <f>HYPERLINK("https://open-school.uspishnemisto.com.ua/school/460848/", 460848)</f>
        <v>460848</v>
      </c>
      <c r="B8141" s="3" t="s">
        <v>41944</v>
      </c>
      <c r="C8141" s="3" t="s">
        <v>54</v>
      </c>
      <c r="D8141" s="3" t="s">
        <v>32</v>
      </c>
      <c r="E8141" s="4" t="s">
        <v>22</v>
      </c>
      <c r="F8141" s="4" t="s">
        <v>41945</v>
      </c>
      <c r="G8141" s="4" t="s">
        <v>41946</v>
      </c>
      <c r="H8141" s="3" t="s">
        <v>38194</v>
      </c>
      <c r="I8141" s="3" t="s">
        <v>41947</v>
      </c>
      <c r="J8141" s="3"/>
      <c r="K8141" s="3"/>
      <c r="L8141" s="3"/>
      <c r="M8141" s="4"/>
      <c r="N8141" s="3" t="s">
        <v>37</v>
      </c>
      <c r="O8141" s="3" t="s">
        <v>52</v>
      </c>
      <c r="P8141" s="5">
        <v>10</v>
      </c>
      <c r="Q8141" s="5">
        <v>87</v>
      </c>
      <c r="R8141" s="5">
        <v>11</v>
      </c>
      <c r="S8141" s="5">
        <v>95</v>
      </c>
    </row>
    <row r="8142" spans="1:19" ht="28" x14ac:dyDescent="0.15">
      <c r="A8142" s="2">
        <f>HYPERLINK("https://open-school.uspishnemisto.com.ua/school/460849/", 460849)</f>
        <v>460849</v>
      </c>
      <c r="B8142" s="3" t="s">
        <v>41948</v>
      </c>
      <c r="C8142" s="3" t="s">
        <v>31</v>
      </c>
      <c r="D8142" s="3" t="s">
        <v>32</v>
      </c>
      <c r="E8142" s="4" t="s">
        <v>22</v>
      </c>
      <c r="F8142" s="4" t="s">
        <v>41949</v>
      </c>
      <c r="G8142" s="4" t="s">
        <v>41950</v>
      </c>
      <c r="H8142" s="3" t="s">
        <v>38194</v>
      </c>
      <c r="I8142" s="3" t="s">
        <v>37782</v>
      </c>
      <c r="J8142" s="3" t="s">
        <v>447</v>
      </c>
      <c r="K8142" s="3" t="s">
        <v>41951</v>
      </c>
      <c r="L8142" s="3"/>
      <c r="M8142" s="4"/>
      <c r="N8142" s="3" t="s">
        <v>37</v>
      </c>
      <c r="O8142" s="3" t="s">
        <v>52</v>
      </c>
      <c r="P8142" s="5">
        <v>11</v>
      </c>
      <c r="Q8142" s="5">
        <v>146</v>
      </c>
      <c r="R8142" s="5">
        <v>11</v>
      </c>
      <c r="S8142" s="5">
        <v>135</v>
      </c>
    </row>
    <row r="8143" spans="1:19" ht="28" x14ac:dyDescent="0.15">
      <c r="A8143" s="2">
        <f>HYPERLINK("https://open-school.uspishnemisto.com.ua/school/460851/", 460851)</f>
        <v>460851</v>
      </c>
      <c r="B8143" s="3" t="s">
        <v>41952</v>
      </c>
      <c r="C8143" s="3" t="s">
        <v>54</v>
      </c>
      <c r="D8143" s="3" t="s">
        <v>60</v>
      </c>
      <c r="E8143" s="4" t="s">
        <v>22</v>
      </c>
      <c r="F8143" s="4" t="s">
        <v>41953</v>
      </c>
      <c r="G8143" s="4" t="s">
        <v>41954</v>
      </c>
      <c r="H8143" s="3" t="s">
        <v>38194</v>
      </c>
      <c r="I8143" s="3" t="s">
        <v>39144</v>
      </c>
      <c r="J8143" s="3"/>
      <c r="K8143" s="3"/>
      <c r="L8143" s="3"/>
      <c r="M8143" s="4"/>
      <c r="N8143" s="3" t="s">
        <v>37</v>
      </c>
      <c r="O8143" s="3" t="s">
        <v>52</v>
      </c>
      <c r="P8143" s="5">
        <v>2</v>
      </c>
      <c r="Q8143" s="5">
        <v>12</v>
      </c>
      <c r="R8143" s="5">
        <v>2</v>
      </c>
      <c r="S8143" s="5">
        <v>12</v>
      </c>
    </row>
    <row r="8144" spans="1:19" ht="28" x14ac:dyDescent="0.15">
      <c r="A8144" s="2">
        <f>HYPERLINK("https://open-school.uspishnemisto.com.ua/school/460852/", 460852)</f>
        <v>460852</v>
      </c>
      <c r="B8144" s="3" t="s">
        <v>41955</v>
      </c>
      <c r="C8144" s="3" t="s">
        <v>54</v>
      </c>
      <c r="D8144" s="3" t="s">
        <v>175</v>
      </c>
      <c r="E8144" s="4" t="s">
        <v>22</v>
      </c>
      <c r="F8144" s="4" t="s">
        <v>40190</v>
      </c>
      <c r="G8144" s="4" t="s">
        <v>41956</v>
      </c>
      <c r="H8144" s="3" t="s">
        <v>38194</v>
      </c>
      <c r="I8144" s="3" t="s">
        <v>41957</v>
      </c>
      <c r="J8144" s="3"/>
      <c r="K8144" s="3"/>
      <c r="L8144" s="3"/>
      <c r="M8144" s="4"/>
      <c r="N8144" s="3" t="s">
        <v>37</v>
      </c>
      <c r="O8144" s="3" t="s">
        <v>52</v>
      </c>
      <c r="P8144" s="5">
        <v>1</v>
      </c>
      <c r="Q8144" s="5">
        <v>26</v>
      </c>
      <c r="R8144" s="5">
        <v>1</v>
      </c>
      <c r="S8144" s="5">
        <v>27</v>
      </c>
    </row>
    <row r="8145" spans="1:19" ht="42" x14ac:dyDescent="0.15">
      <c r="A8145" s="2">
        <f>HYPERLINK("https://open-school.uspishnemisto.com.ua/school/460853/", 460853)</f>
        <v>460853</v>
      </c>
      <c r="B8145" s="3" t="s">
        <v>41958</v>
      </c>
      <c r="C8145" s="3" t="s">
        <v>54</v>
      </c>
      <c r="D8145" s="3" t="s">
        <v>175</v>
      </c>
      <c r="E8145" s="4" t="s">
        <v>22</v>
      </c>
      <c r="F8145" s="4" t="s">
        <v>41959</v>
      </c>
      <c r="G8145" s="4" t="s">
        <v>41960</v>
      </c>
      <c r="H8145" s="3" t="s">
        <v>38194</v>
      </c>
      <c r="I8145" s="3" t="s">
        <v>2096</v>
      </c>
      <c r="J8145" s="3"/>
      <c r="K8145" s="3" t="s">
        <v>41961</v>
      </c>
      <c r="L8145" s="3"/>
      <c r="M8145" s="4"/>
      <c r="N8145" s="3" t="s">
        <v>37</v>
      </c>
      <c r="O8145" s="3" t="s">
        <v>46</v>
      </c>
      <c r="P8145" s="5">
        <v>8</v>
      </c>
      <c r="Q8145" s="5">
        <v>55</v>
      </c>
      <c r="R8145" s="5">
        <v>8</v>
      </c>
      <c r="S8145" s="5">
        <v>55</v>
      </c>
    </row>
    <row r="8146" spans="1:19" ht="28" x14ac:dyDescent="0.15">
      <c r="A8146" s="2">
        <f>HYPERLINK("https://open-school.uspishnemisto.com.ua/school/460854/", 460854)</f>
        <v>460854</v>
      </c>
      <c r="B8146" s="3" t="s">
        <v>41962</v>
      </c>
      <c r="C8146" s="3" t="s">
        <v>31</v>
      </c>
      <c r="D8146" s="3" t="s">
        <v>32</v>
      </c>
      <c r="E8146" s="4" t="s">
        <v>22</v>
      </c>
      <c r="F8146" s="4" t="s">
        <v>41963</v>
      </c>
      <c r="G8146" s="4" t="s">
        <v>41964</v>
      </c>
      <c r="H8146" s="3" t="s">
        <v>38194</v>
      </c>
      <c r="I8146" s="3" t="s">
        <v>41965</v>
      </c>
      <c r="J8146" s="3" t="s">
        <v>1576</v>
      </c>
      <c r="K8146" s="3" t="s">
        <v>41966</v>
      </c>
      <c r="L8146" s="3"/>
      <c r="M8146" s="4"/>
      <c r="N8146" s="3" t="s">
        <v>37</v>
      </c>
      <c r="O8146" s="3" t="s">
        <v>46</v>
      </c>
      <c r="P8146" s="5">
        <v>21</v>
      </c>
      <c r="Q8146" s="5">
        <v>512</v>
      </c>
      <c r="R8146" s="5">
        <v>21</v>
      </c>
      <c r="S8146" s="5">
        <v>479</v>
      </c>
    </row>
    <row r="8147" spans="1:19" ht="28" x14ac:dyDescent="0.15">
      <c r="A8147" s="2">
        <f>HYPERLINK("https://open-school.uspishnemisto.com.ua/school/460855/", 460855)</f>
        <v>460855</v>
      </c>
      <c r="B8147" s="3" t="s">
        <v>41967</v>
      </c>
      <c r="C8147" s="3" t="s">
        <v>31</v>
      </c>
      <c r="D8147" s="3" t="s">
        <v>175</v>
      </c>
      <c r="E8147" s="4" t="s">
        <v>22</v>
      </c>
      <c r="F8147" s="4" t="s">
        <v>41968</v>
      </c>
      <c r="G8147" s="4" t="s">
        <v>41969</v>
      </c>
      <c r="H8147" s="3" t="s">
        <v>38194</v>
      </c>
      <c r="I8147" s="3" t="s">
        <v>41970</v>
      </c>
      <c r="J8147" s="3" t="s">
        <v>41971</v>
      </c>
      <c r="K8147" s="3"/>
      <c r="L8147" s="3"/>
      <c r="M8147" s="4"/>
      <c r="N8147" s="3" t="s">
        <v>37</v>
      </c>
      <c r="O8147" s="3" t="s">
        <v>52</v>
      </c>
      <c r="P8147" s="5">
        <v>9</v>
      </c>
      <c r="Q8147" s="5">
        <v>107</v>
      </c>
      <c r="R8147" s="5">
        <v>9</v>
      </c>
      <c r="S8147" s="5">
        <v>107</v>
      </c>
    </row>
    <row r="8148" spans="1:19" ht="42" x14ac:dyDescent="0.15">
      <c r="A8148" s="2">
        <f>HYPERLINK("https://open-school.uspishnemisto.com.ua/school/460856/", 460856)</f>
        <v>460856</v>
      </c>
      <c r="B8148" s="3" t="s">
        <v>41972</v>
      </c>
      <c r="C8148" s="3" t="s">
        <v>54</v>
      </c>
      <c r="D8148" s="3" t="s">
        <v>32</v>
      </c>
      <c r="E8148" s="4" t="s">
        <v>22</v>
      </c>
      <c r="F8148" s="4" t="s">
        <v>41973</v>
      </c>
      <c r="G8148" s="4" t="s">
        <v>41974</v>
      </c>
      <c r="H8148" s="3" t="s">
        <v>38194</v>
      </c>
      <c r="I8148" s="3" t="s">
        <v>41975</v>
      </c>
      <c r="J8148" s="3"/>
      <c r="K8148" s="3" t="s">
        <v>41976</v>
      </c>
      <c r="L8148" s="3"/>
      <c r="M8148" s="4"/>
      <c r="N8148" s="3" t="s">
        <v>37</v>
      </c>
      <c r="O8148" s="3" t="s">
        <v>52</v>
      </c>
      <c r="P8148" s="5">
        <v>11</v>
      </c>
      <c r="Q8148" s="5">
        <v>215</v>
      </c>
      <c r="R8148" s="5">
        <v>11</v>
      </c>
      <c r="S8148" s="5">
        <v>209</v>
      </c>
    </row>
    <row r="8149" spans="1:19" ht="42" x14ac:dyDescent="0.15">
      <c r="A8149" s="2">
        <f>HYPERLINK("https://open-school.uspishnemisto.com.ua/school/460857/", 460857)</f>
        <v>460857</v>
      </c>
      <c r="B8149" s="3" t="s">
        <v>41977</v>
      </c>
      <c r="C8149" s="3" t="s">
        <v>54</v>
      </c>
      <c r="D8149" s="3" t="s">
        <v>32</v>
      </c>
      <c r="E8149" s="4" t="s">
        <v>22</v>
      </c>
      <c r="F8149" s="4" t="s">
        <v>41978</v>
      </c>
      <c r="G8149" s="4" t="s">
        <v>41979</v>
      </c>
      <c r="H8149" s="3" t="s">
        <v>38194</v>
      </c>
      <c r="I8149" s="3" t="s">
        <v>41980</v>
      </c>
      <c r="J8149" s="3"/>
      <c r="K8149" s="3"/>
      <c r="L8149" s="3"/>
      <c r="M8149" s="4"/>
      <c r="N8149" s="3" t="s">
        <v>37</v>
      </c>
      <c r="O8149" s="3" t="s">
        <v>52</v>
      </c>
      <c r="P8149" s="5">
        <v>9</v>
      </c>
      <c r="Q8149" s="5">
        <v>97</v>
      </c>
      <c r="R8149" s="5">
        <v>10</v>
      </c>
      <c r="S8149" s="5">
        <v>110</v>
      </c>
    </row>
    <row r="8150" spans="1:19" ht="28" x14ac:dyDescent="0.15">
      <c r="A8150" s="2">
        <f>HYPERLINK("https://open-school.uspishnemisto.com.ua/school/460858/", 460858)</f>
        <v>460858</v>
      </c>
      <c r="B8150" s="3" t="s">
        <v>41981</v>
      </c>
      <c r="C8150" s="3" t="s">
        <v>54</v>
      </c>
      <c r="D8150" s="3" t="s">
        <v>175</v>
      </c>
      <c r="E8150" s="4" t="s">
        <v>22</v>
      </c>
      <c r="F8150" s="4" t="s">
        <v>41982</v>
      </c>
      <c r="G8150" s="4" t="s">
        <v>41983</v>
      </c>
      <c r="H8150" s="3" t="s">
        <v>38194</v>
      </c>
      <c r="I8150" s="3" t="s">
        <v>41984</v>
      </c>
      <c r="J8150" s="3" t="s">
        <v>30002</v>
      </c>
      <c r="K8150" s="3" t="s">
        <v>41985</v>
      </c>
      <c r="L8150" s="3"/>
      <c r="M8150" s="4"/>
      <c r="N8150" s="3" t="s">
        <v>37</v>
      </c>
      <c r="O8150" s="3" t="s">
        <v>52</v>
      </c>
      <c r="P8150" s="5">
        <v>4</v>
      </c>
      <c r="Q8150" s="5">
        <v>47</v>
      </c>
      <c r="R8150" s="5">
        <v>4</v>
      </c>
      <c r="S8150" s="5">
        <v>46</v>
      </c>
    </row>
    <row r="8151" spans="1:19" ht="28" x14ac:dyDescent="0.15">
      <c r="A8151" s="2">
        <f>HYPERLINK("https://open-school.uspishnemisto.com.ua/school/460859/", 460859)</f>
        <v>460859</v>
      </c>
      <c r="B8151" s="3" t="s">
        <v>41986</v>
      </c>
      <c r="C8151" s="3" t="s">
        <v>54</v>
      </c>
      <c r="D8151" s="3" t="s">
        <v>60</v>
      </c>
      <c r="E8151" s="4" t="s">
        <v>22</v>
      </c>
      <c r="F8151" s="4" t="s">
        <v>41987</v>
      </c>
      <c r="G8151" s="4" t="s">
        <v>41988</v>
      </c>
      <c r="H8151" s="3" t="s">
        <v>38194</v>
      </c>
      <c r="I8151" s="3" t="s">
        <v>27404</v>
      </c>
      <c r="J8151" s="3" t="s">
        <v>1417</v>
      </c>
      <c r="K8151" s="3" t="s">
        <v>41989</v>
      </c>
      <c r="L8151" s="3"/>
      <c r="M8151" s="4"/>
      <c r="N8151" s="3" t="s">
        <v>37</v>
      </c>
      <c r="O8151" s="3" t="s">
        <v>52</v>
      </c>
      <c r="P8151" s="5">
        <v>0</v>
      </c>
      <c r="Q8151" s="5">
        <v>0</v>
      </c>
      <c r="R8151" s="5">
        <v>0</v>
      </c>
      <c r="S8151" s="5">
        <v>5</v>
      </c>
    </row>
    <row r="8152" spans="1:19" ht="28" x14ac:dyDescent="0.15">
      <c r="A8152" s="2">
        <f>HYPERLINK("https://open-school.uspishnemisto.com.ua/school/460860/", 460860)</f>
        <v>460860</v>
      </c>
      <c r="B8152" s="3" t="s">
        <v>41990</v>
      </c>
      <c r="C8152" s="3" t="s">
        <v>54</v>
      </c>
      <c r="D8152" s="3" t="s">
        <v>175</v>
      </c>
      <c r="E8152" s="4" t="s">
        <v>22</v>
      </c>
      <c r="F8152" s="4" t="s">
        <v>41987</v>
      </c>
      <c r="G8152" s="4" t="s">
        <v>41991</v>
      </c>
      <c r="H8152" s="3" t="s">
        <v>38194</v>
      </c>
      <c r="I8152" s="3" t="s">
        <v>41992</v>
      </c>
      <c r="J8152" s="3" t="s">
        <v>12836</v>
      </c>
      <c r="K8152" s="3" t="s">
        <v>41993</v>
      </c>
      <c r="L8152" s="3"/>
      <c r="M8152" s="4"/>
      <c r="N8152" s="3" t="s">
        <v>37</v>
      </c>
      <c r="O8152" s="3" t="s">
        <v>52</v>
      </c>
      <c r="P8152" s="5">
        <v>4</v>
      </c>
      <c r="Q8152" s="5">
        <v>42</v>
      </c>
      <c r="R8152" s="5">
        <v>4</v>
      </c>
      <c r="S8152" s="5">
        <v>40</v>
      </c>
    </row>
    <row r="8153" spans="1:19" ht="28" x14ac:dyDescent="0.15">
      <c r="A8153" s="2">
        <f>HYPERLINK("https://open-school.uspishnemisto.com.ua/school/460861/", 460861)</f>
        <v>460861</v>
      </c>
      <c r="B8153" s="3" t="s">
        <v>41994</v>
      </c>
      <c r="C8153" s="3" t="s">
        <v>31</v>
      </c>
      <c r="D8153" s="3" t="s">
        <v>32</v>
      </c>
      <c r="E8153" s="4" t="s">
        <v>22</v>
      </c>
      <c r="F8153" s="4" t="s">
        <v>41995</v>
      </c>
      <c r="G8153" s="4" t="s">
        <v>41996</v>
      </c>
      <c r="H8153" s="3" t="s">
        <v>38194</v>
      </c>
      <c r="I8153" s="3" t="s">
        <v>11605</v>
      </c>
      <c r="J8153" s="3" t="s">
        <v>27802</v>
      </c>
      <c r="K8153" s="3"/>
      <c r="L8153" s="3"/>
      <c r="M8153" s="4"/>
      <c r="N8153" s="3" t="s">
        <v>37</v>
      </c>
      <c r="O8153" s="3" t="s">
        <v>52</v>
      </c>
      <c r="P8153" s="5">
        <v>14</v>
      </c>
      <c r="Q8153" s="5">
        <v>254</v>
      </c>
      <c r="R8153" s="5">
        <v>14</v>
      </c>
      <c r="S8153" s="5">
        <v>251</v>
      </c>
    </row>
    <row r="8154" spans="1:19" ht="42" x14ac:dyDescent="0.15">
      <c r="A8154" s="2">
        <f>HYPERLINK("https://open-school.uspishnemisto.com.ua/school/460862/", 460862)</f>
        <v>460862</v>
      </c>
      <c r="B8154" s="3" t="s">
        <v>41997</v>
      </c>
      <c r="C8154" s="3" t="s">
        <v>54</v>
      </c>
      <c r="D8154" s="3" t="s">
        <v>175</v>
      </c>
      <c r="E8154" s="4" t="s">
        <v>22</v>
      </c>
      <c r="F8154" s="4" t="s">
        <v>41998</v>
      </c>
      <c r="G8154" s="4" t="s">
        <v>41999</v>
      </c>
      <c r="H8154" s="3" t="s">
        <v>38194</v>
      </c>
      <c r="I8154" s="3" t="s">
        <v>40422</v>
      </c>
      <c r="J8154" s="3" t="s">
        <v>4046</v>
      </c>
      <c r="K8154" s="3" t="s">
        <v>42000</v>
      </c>
      <c r="L8154" s="3"/>
      <c r="M8154" s="4"/>
      <c r="N8154" s="3" t="s">
        <v>37</v>
      </c>
      <c r="O8154" s="3" t="s">
        <v>52</v>
      </c>
      <c r="P8154" s="5">
        <v>9</v>
      </c>
      <c r="Q8154" s="5">
        <v>132</v>
      </c>
      <c r="R8154" s="5">
        <v>9</v>
      </c>
      <c r="S8154" s="5">
        <v>129</v>
      </c>
    </row>
    <row r="8155" spans="1:19" ht="28" x14ac:dyDescent="0.15">
      <c r="A8155" s="2">
        <f>HYPERLINK("https://open-school.uspishnemisto.com.ua/school/460863/", 460863)</f>
        <v>460863</v>
      </c>
      <c r="B8155" s="3" t="s">
        <v>42001</v>
      </c>
      <c r="C8155" s="3" t="s">
        <v>31</v>
      </c>
      <c r="D8155" s="3" t="s">
        <v>32</v>
      </c>
      <c r="E8155" s="4" t="s">
        <v>22</v>
      </c>
      <c r="F8155" s="4" t="s">
        <v>42002</v>
      </c>
      <c r="G8155" s="4" t="s">
        <v>42003</v>
      </c>
      <c r="H8155" s="3" t="s">
        <v>38194</v>
      </c>
      <c r="I8155" s="3" t="s">
        <v>42004</v>
      </c>
      <c r="J8155" s="3" t="s">
        <v>42005</v>
      </c>
      <c r="K8155" s="3" t="s">
        <v>42006</v>
      </c>
      <c r="L8155" s="3"/>
      <c r="M8155" s="4"/>
      <c r="N8155" s="3" t="s">
        <v>37</v>
      </c>
      <c r="O8155" s="3" t="s">
        <v>46</v>
      </c>
      <c r="P8155" s="5">
        <v>19</v>
      </c>
      <c r="Q8155" s="5">
        <v>382</v>
      </c>
      <c r="R8155" s="5">
        <v>19</v>
      </c>
      <c r="S8155" s="5">
        <v>363</v>
      </c>
    </row>
    <row r="8156" spans="1:19" ht="28" x14ac:dyDescent="0.15">
      <c r="A8156" s="2">
        <f>HYPERLINK("https://open-school.uspishnemisto.com.ua/school/460864/", 460864)</f>
        <v>460864</v>
      </c>
      <c r="B8156" s="3" t="s">
        <v>42007</v>
      </c>
      <c r="C8156" s="3" t="s">
        <v>31</v>
      </c>
      <c r="D8156" s="3" t="s">
        <v>32</v>
      </c>
      <c r="E8156" s="4" t="s">
        <v>22</v>
      </c>
      <c r="F8156" s="4" t="s">
        <v>42008</v>
      </c>
      <c r="G8156" s="4" t="s">
        <v>42009</v>
      </c>
      <c r="H8156" s="3" t="s">
        <v>38194</v>
      </c>
      <c r="I8156" s="3" t="s">
        <v>42010</v>
      </c>
      <c r="J8156" s="3" t="s">
        <v>2978</v>
      </c>
      <c r="K8156" s="3" t="s">
        <v>42011</v>
      </c>
      <c r="L8156" s="3"/>
      <c r="M8156" s="4"/>
      <c r="N8156" s="3" t="s">
        <v>37</v>
      </c>
      <c r="O8156" s="3" t="s">
        <v>46</v>
      </c>
      <c r="P8156" s="5">
        <v>22</v>
      </c>
      <c r="Q8156" s="5">
        <v>503</v>
      </c>
      <c r="R8156" s="5">
        <v>21</v>
      </c>
      <c r="S8156" s="5">
        <v>456</v>
      </c>
    </row>
    <row r="8157" spans="1:19" ht="28" x14ac:dyDescent="0.15">
      <c r="A8157" s="2">
        <f>HYPERLINK("https://open-school.uspishnemisto.com.ua/school/460865/", 460865)</f>
        <v>460865</v>
      </c>
      <c r="B8157" s="3" t="s">
        <v>42012</v>
      </c>
      <c r="C8157" s="3" t="s">
        <v>54</v>
      </c>
      <c r="D8157" s="3" t="s">
        <v>60</v>
      </c>
      <c r="E8157" s="4" t="s">
        <v>22</v>
      </c>
      <c r="F8157" s="4" t="s">
        <v>42008</v>
      </c>
      <c r="G8157" s="4" t="s">
        <v>42013</v>
      </c>
      <c r="H8157" s="3" t="s">
        <v>38194</v>
      </c>
      <c r="I8157" s="3" t="s">
        <v>42014</v>
      </c>
      <c r="J8157" s="3"/>
      <c r="K8157" s="3"/>
      <c r="L8157" s="3"/>
      <c r="M8157" s="4"/>
      <c r="N8157" s="3" t="s">
        <v>37</v>
      </c>
      <c r="O8157" s="3" t="s">
        <v>52</v>
      </c>
      <c r="P8157" s="5">
        <v>2</v>
      </c>
      <c r="Q8157" s="5">
        <v>17</v>
      </c>
      <c r="R8157" s="5">
        <v>2</v>
      </c>
      <c r="S8157" s="5">
        <v>18</v>
      </c>
    </row>
    <row r="8158" spans="1:19" ht="28" x14ac:dyDescent="0.15">
      <c r="A8158" s="2">
        <f>HYPERLINK("https://open-school.uspishnemisto.com.ua/school/460866/", 460866)</f>
        <v>460866</v>
      </c>
      <c r="B8158" s="3" t="s">
        <v>42015</v>
      </c>
      <c r="C8158" s="3" t="s">
        <v>31</v>
      </c>
      <c r="D8158" s="3" t="s">
        <v>175</v>
      </c>
      <c r="E8158" s="4" t="s">
        <v>22</v>
      </c>
      <c r="F8158" s="4" t="s">
        <v>42016</v>
      </c>
      <c r="G8158" s="4" t="s">
        <v>42017</v>
      </c>
      <c r="H8158" s="3" t="s">
        <v>38194</v>
      </c>
      <c r="I8158" s="3" t="s">
        <v>42018</v>
      </c>
      <c r="J8158" s="3" t="s">
        <v>42019</v>
      </c>
      <c r="K8158" s="3" t="s">
        <v>42020</v>
      </c>
      <c r="L8158" s="3"/>
      <c r="M8158" s="4"/>
      <c r="N8158" s="3" t="s">
        <v>37</v>
      </c>
      <c r="O8158" s="3" t="s">
        <v>52</v>
      </c>
      <c r="P8158" s="5">
        <v>7</v>
      </c>
      <c r="Q8158" s="5">
        <v>71</v>
      </c>
      <c r="R8158" s="5">
        <v>7</v>
      </c>
      <c r="S8158" s="5">
        <v>66</v>
      </c>
    </row>
    <row r="8159" spans="1:19" ht="28" x14ac:dyDescent="0.15">
      <c r="A8159" s="2">
        <f>HYPERLINK("https://open-school.uspishnemisto.com.ua/school/460867/", 460867)</f>
        <v>460867</v>
      </c>
      <c r="B8159" s="3" t="s">
        <v>42021</v>
      </c>
      <c r="C8159" s="3" t="s">
        <v>31</v>
      </c>
      <c r="D8159" s="3" t="s">
        <v>32</v>
      </c>
      <c r="E8159" s="4" t="s">
        <v>22</v>
      </c>
      <c r="F8159" s="4" t="s">
        <v>42022</v>
      </c>
      <c r="G8159" s="4" t="s">
        <v>42023</v>
      </c>
      <c r="H8159" s="3" t="s">
        <v>38194</v>
      </c>
      <c r="I8159" s="3" t="s">
        <v>42024</v>
      </c>
      <c r="J8159" s="3" t="s">
        <v>38943</v>
      </c>
      <c r="K8159" s="3" t="s">
        <v>42025</v>
      </c>
      <c r="L8159" s="3"/>
      <c r="M8159" s="4"/>
      <c r="N8159" s="3" t="s">
        <v>37</v>
      </c>
      <c r="O8159" s="3" t="s">
        <v>52</v>
      </c>
      <c r="P8159" s="5">
        <v>21</v>
      </c>
      <c r="Q8159" s="5">
        <v>514</v>
      </c>
      <c r="R8159" s="5">
        <v>21</v>
      </c>
      <c r="S8159" s="5">
        <v>513</v>
      </c>
    </row>
    <row r="8160" spans="1:19" ht="42" x14ac:dyDescent="0.15">
      <c r="A8160" s="2">
        <f>HYPERLINK("https://open-school.uspishnemisto.com.ua/school/460868/", 460868)</f>
        <v>460868</v>
      </c>
      <c r="B8160" s="3" t="s">
        <v>42026</v>
      </c>
      <c r="C8160" s="3" t="s">
        <v>54</v>
      </c>
      <c r="D8160" s="3" t="s">
        <v>32</v>
      </c>
      <c r="E8160" s="4" t="s">
        <v>22</v>
      </c>
      <c r="F8160" s="4" t="s">
        <v>42027</v>
      </c>
      <c r="G8160" s="4" t="s">
        <v>42028</v>
      </c>
      <c r="H8160" s="3" t="s">
        <v>38194</v>
      </c>
      <c r="I8160" s="3" t="s">
        <v>42029</v>
      </c>
      <c r="J8160" s="3" t="s">
        <v>42030</v>
      </c>
      <c r="K8160" s="3"/>
      <c r="L8160" s="3"/>
      <c r="M8160" s="4"/>
      <c r="N8160" s="3" t="s">
        <v>37</v>
      </c>
      <c r="O8160" s="3" t="s">
        <v>46</v>
      </c>
      <c r="P8160" s="5">
        <v>11</v>
      </c>
      <c r="Q8160" s="5">
        <v>237</v>
      </c>
      <c r="R8160" s="5">
        <v>11</v>
      </c>
      <c r="S8160" s="5">
        <v>222</v>
      </c>
    </row>
    <row r="8161" spans="1:19" ht="28" x14ac:dyDescent="0.15">
      <c r="A8161" s="2">
        <f>HYPERLINK("https://open-school.uspishnemisto.com.ua/school/460869/", 460869)</f>
        <v>460869</v>
      </c>
      <c r="B8161" s="3" t="s">
        <v>42031</v>
      </c>
      <c r="C8161" s="3" t="s">
        <v>31</v>
      </c>
      <c r="D8161" s="3" t="s">
        <v>32</v>
      </c>
      <c r="E8161" s="4" t="s">
        <v>22</v>
      </c>
      <c r="F8161" s="4" t="s">
        <v>42032</v>
      </c>
      <c r="G8161" s="4" t="s">
        <v>42033</v>
      </c>
      <c r="H8161" s="3" t="s">
        <v>38194</v>
      </c>
      <c r="I8161" s="3" t="s">
        <v>39977</v>
      </c>
      <c r="J8161" s="3" t="s">
        <v>42034</v>
      </c>
      <c r="K8161" s="3" t="s">
        <v>42035</v>
      </c>
      <c r="L8161" s="3"/>
      <c r="M8161" s="4"/>
      <c r="N8161" s="3" t="s">
        <v>37</v>
      </c>
      <c r="O8161" s="3" t="s">
        <v>52</v>
      </c>
      <c r="P8161" s="5">
        <v>12</v>
      </c>
      <c r="Q8161" s="5">
        <v>229</v>
      </c>
      <c r="R8161" s="5">
        <v>12</v>
      </c>
      <c r="S8161" s="5">
        <v>215</v>
      </c>
    </row>
    <row r="8162" spans="1:19" ht="28" x14ac:dyDescent="0.15">
      <c r="A8162" s="2">
        <f>HYPERLINK("https://open-school.uspishnemisto.com.ua/school/460870/", 460870)</f>
        <v>460870</v>
      </c>
      <c r="B8162" s="3" t="s">
        <v>42036</v>
      </c>
      <c r="C8162" s="3" t="s">
        <v>31</v>
      </c>
      <c r="D8162" s="3" t="s">
        <v>175</v>
      </c>
      <c r="E8162" s="4" t="s">
        <v>22</v>
      </c>
      <c r="F8162" s="4" t="s">
        <v>42037</v>
      </c>
      <c r="G8162" s="4" t="s">
        <v>42038</v>
      </c>
      <c r="H8162" s="3" t="s">
        <v>38194</v>
      </c>
      <c r="I8162" s="3" t="s">
        <v>42039</v>
      </c>
      <c r="J8162" s="3"/>
      <c r="K8162" s="3" t="s">
        <v>42040</v>
      </c>
      <c r="L8162" s="3"/>
      <c r="M8162" s="4"/>
      <c r="N8162" s="3" t="s">
        <v>37</v>
      </c>
      <c r="O8162" s="3" t="s">
        <v>52</v>
      </c>
      <c r="P8162" s="5">
        <v>3</v>
      </c>
      <c r="Q8162" s="5">
        <v>32</v>
      </c>
      <c r="R8162" s="5">
        <v>3</v>
      </c>
      <c r="S8162" s="5">
        <v>35</v>
      </c>
    </row>
    <row r="8163" spans="1:19" ht="42" x14ac:dyDescent="0.15">
      <c r="A8163" s="2">
        <f>HYPERLINK("https://open-school.uspishnemisto.com.ua/school/460871/", 460871)</f>
        <v>460871</v>
      </c>
      <c r="B8163" s="3" t="s">
        <v>42041</v>
      </c>
      <c r="C8163" s="3" t="s">
        <v>54</v>
      </c>
      <c r="D8163" s="3" t="s">
        <v>175</v>
      </c>
      <c r="E8163" s="4" t="s">
        <v>22</v>
      </c>
      <c r="F8163" s="4" t="s">
        <v>42042</v>
      </c>
      <c r="G8163" s="4" t="s">
        <v>42043</v>
      </c>
      <c r="H8163" s="3" t="s">
        <v>38194</v>
      </c>
      <c r="I8163" s="3" t="s">
        <v>42044</v>
      </c>
      <c r="J8163" s="3"/>
      <c r="K8163" s="3" t="s">
        <v>42045</v>
      </c>
      <c r="L8163" s="3"/>
      <c r="M8163" s="4"/>
      <c r="N8163" s="3" t="s">
        <v>37</v>
      </c>
      <c r="O8163" s="3" t="s">
        <v>52</v>
      </c>
      <c r="P8163" s="5">
        <v>9</v>
      </c>
      <c r="Q8163" s="5">
        <v>115</v>
      </c>
      <c r="R8163" s="5">
        <v>9</v>
      </c>
      <c r="S8163" s="5">
        <v>106</v>
      </c>
    </row>
    <row r="8164" spans="1:19" ht="28" x14ac:dyDescent="0.15">
      <c r="A8164" s="2">
        <f>HYPERLINK("https://open-school.uspishnemisto.com.ua/school/460872/", 460872)</f>
        <v>460872</v>
      </c>
      <c r="B8164" s="3" t="s">
        <v>42046</v>
      </c>
      <c r="C8164" s="3" t="s">
        <v>31</v>
      </c>
      <c r="D8164" s="3" t="s">
        <v>32</v>
      </c>
      <c r="E8164" s="4" t="s">
        <v>22</v>
      </c>
      <c r="F8164" s="4" t="s">
        <v>42047</v>
      </c>
      <c r="G8164" s="4" t="s">
        <v>42048</v>
      </c>
      <c r="H8164" s="3" t="s">
        <v>38194</v>
      </c>
      <c r="I8164" s="3" t="s">
        <v>42049</v>
      </c>
      <c r="J8164" s="3" t="s">
        <v>2745</v>
      </c>
      <c r="K8164" s="3" t="s">
        <v>42050</v>
      </c>
      <c r="L8164" s="3"/>
      <c r="M8164" s="4"/>
      <c r="N8164" s="3" t="s">
        <v>37</v>
      </c>
      <c r="O8164" s="3" t="s">
        <v>52</v>
      </c>
      <c r="P8164" s="5">
        <v>10</v>
      </c>
      <c r="Q8164" s="5">
        <v>137</v>
      </c>
      <c r="R8164" s="5">
        <v>10</v>
      </c>
      <c r="S8164" s="5">
        <v>130</v>
      </c>
    </row>
    <row r="8165" spans="1:19" ht="28" x14ac:dyDescent="0.15">
      <c r="A8165" s="2">
        <f>HYPERLINK("https://open-school.uspishnemisto.com.ua/school/460873/", 460873)</f>
        <v>460873</v>
      </c>
      <c r="B8165" s="3" t="s">
        <v>42051</v>
      </c>
      <c r="C8165" s="3" t="s">
        <v>31</v>
      </c>
      <c r="D8165" s="3" t="s">
        <v>32</v>
      </c>
      <c r="E8165" s="4" t="s">
        <v>22</v>
      </c>
      <c r="F8165" s="4" t="s">
        <v>42052</v>
      </c>
      <c r="G8165" s="4" t="s">
        <v>42053</v>
      </c>
      <c r="H8165" s="3" t="s">
        <v>38194</v>
      </c>
      <c r="I8165" s="3" t="s">
        <v>42054</v>
      </c>
      <c r="J8165" s="3" t="s">
        <v>42055</v>
      </c>
      <c r="K8165" s="3"/>
      <c r="L8165" s="3"/>
      <c r="M8165" s="4"/>
      <c r="N8165" s="3" t="s">
        <v>37</v>
      </c>
      <c r="O8165" s="3" t="s">
        <v>52</v>
      </c>
      <c r="P8165" s="5">
        <v>11</v>
      </c>
      <c r="Q8165" s="5">
        <v>188</v>
      </c>
      <c r="R8165" s="5">
        <v>11</v>
      </c>
      <c r="S8165" s="5">
        <v>182</v>
      </c>
    </row>
    <row r="8166" spans="1:19" ht="28" x14ac:dyDescent="0.15">
      <c r="A8166" s="2">
        <f>HYPERLINK("https://open-school.uspishnemisto.com.ua/school/460874/", 460874)</f>
        <v>460874</v>
      </c>
      <c r="B8166" s="3" t="s">
        <v>42056</v>
      </c>
      <c r="C8166" s="3" t="s">
        <v>54</v>
      </c>
      <c r="D8166" s="3" t="s">
        <v>32</v>
      </c>
      <c r="E8166" s="4" t="s">
        <v>22</v>
      </c>
      <c r="F8166" s="4" t="s">
        <v>42057</v>
      </c>
      <c r="G8166" s="4" t="s">
        <v>42058</v>
      </c>
      <c r="H8166" s="3" t="s">
        <v>38194</v>
      </c>
      <c r="I8166" s="3" t="s">
        <v>4708</v>
      </c>
      <c r="J8166" s="3"/>
      <c r="K8166" s="3" t="s">
        <v>42059</v>
      </c>
      <c r="L8166" s="3"/>
      <c r="M8166" s="4"/>
      <c r="N8166" s="3" t="s">
        <v>37</v>
      </c>
      <c r="O8166" s="3" t="s">
        <v>52</v>
      </c>
      <c r="P8166" s="5">
        <v>12</v>
      </c>
      <c r="Q8166" s="5">
        <v>227</v>
      </c>
      <c r="R8166" s="5">
        <v>12</v>
      </c>
      <c r="S8166" s="5">
        <v>225</v>
      </c>
    </row>
    <row r="8167" spans="1:19" ht="28" x14ac:dyDescent="0.15">
      <c r="A8167" s="2">
        <f>HYPERLINK("https://open-school.uspishnemisto.com.ua/school/460875/", 460875)</f>
        <v>460875</v>
      </c>
      <c r="B8167" s="3" t="s">
        <v>42060</v>
      </c>
      <c r="C8167" s="3" t="s">
        <v>31</v>
      </c>
      <c r="D8167" s="3" t="s">
        <v>32</v>
      </c>
      <c r="E8167" s="4" t="s">
        <v>22</v>
      </c>
      <c r="F8167" s="4" t="s">
        <v>42061</v>
      </c>
      <c r="G8167" s="4" t="s">
        <v>42062</v>
      </c>
      <c r="H8167" s="3" t="s">
        <v>38194</v>
      </c>
      <c r="I8167" s="3" t="s">
        <v>7339</v>
      </c>
      <c r="J8167" s="3" t="s">
        <v>42063</v>
      </c>
      <c r="K8167" s="3" t="s">
        <v>42064</v>
      </c>
      <c r="L8167" s="3"/>
      <c r="M8167" s="4"/>
      <c r="N8167" s="3" t="s">
        <v>37</v>
      </c>
      <c r="O8167" s="3" t="s">
        <v>237</v>
      </c>
      <c r="P8167" s="5">
        <v>55</v>
      </c>
      <c r="Q8167" s="5">
        <v>875</v>
      </c>
      <c r="R8167" s="5">
        <v>27</v>
      </c>
      <c r="S8167" s="5">
        <v>601</v>
      </c>
    </row>
    <row r="8168" spans="1:19" ht="28" x14ac:dyDescent="0.15">
      <c r="A8168" s="2">
        <f>HYPERLINK("https://open-school.uspishnemisto.com.ua/school/460876/", 460876)</f>
        <v>460876</v>
      </c>
      <c r="B8168" s="3" t="s">
        <v>42065</v>
      </c>
      <c r="C8168" s="3" t="s">
        <v>31</v>
      </c>
      <c r="D8168" s="3" t="s">
        <v>32</v>
      </c>
      <c r="E8168" s="4" t="s">
        <v>22</v>
      </c>
      <c r="F8168" s="4" t="s">
        <v>42061</v>
      </c>
      <c r="G8168" s="4" t="s">
        <v>42062</v>
      </c>
      <c r="H8168" s="3" t="s">
        <v>38194</v>
      </c>
      <c r="I8168" s="3" t="s">
        <v>7339</v>
      </c>
      <c r="J8168" s="3" t="s">
        <v>42066</v>
      </c>
      <c r="K8168" s="3" t="s">
        <v>42067</v>
      </c>
      <c r="L8168" s="3"/>
      <c r="M8168" s="4"/>
      <c r="N8168" s="3" t="s">
        <v>37</v>
      </c>
      <c r="O8168" s="3" t="s">
        <v>46</v>
      </c>
      <c r="P8168" s="5">
        <v>16</v>
      </c>
      <c r="Q8168" s="5">
        <v>302</v>
      </c>
      <c r="R8168" s="5">
        <v>15</v>
      </c>
      <c r="S8168" s="5">
        <v>284</v>
      </c>
    </row>
    <row r="8169" spans="1:19" ht="28" x14ac:dyDescent="0.15">
      <c r="A8169" s="2">
        <f>HYPERLINK("https://open-school.uspishnemisto.com.ua/school/460877/", 460877)</f>
        <v>460877</v>
      </c>
      <c r="B8169" s="3" t="s">
        <v>42068</v>
      </c>
      <c r="C8169" s="3" t="s">
        <v>244</v>
      </c>
      <c r="D8169" s="3" t="s">
        <v>32</v>
      </c>
      <c r="E8169" s="4" t="s">
        <v>22</v>
      </c>
      <c r="F8169" s="4" t="s">
        <v>42061</v>
      </c>
      <c r="G8169" s="4" t="s">
        <v>42062</v>
      </c>
      <c r="H8169" s="3" t="s">
        <v>38194</v>
      </c>
      <c r="I8169" s="3" t="s">
        <v>7339</v>
      </c>
      <c r="J8169" s="3" t="s">
        <v>41797</v>
      </c>
      <c r="K8169" s="3" t="s">
        <v>42069</v>
      </c>
      <c r="L8169" s="3"/>
      <c r="M8169" s="4"/>
      <c r="N8169" s="3" t="s">
        <v>37</v>
      </c>
      <c r="O8169" s="3" t="s">
        <v>237</v>
      </c>
      <c r="P8169" s="5">
        <v>15</v>
      </c>
      <c r="Q8169" s="5">
        <v>343</v>
      </c>
      <c r="R8169" s="5">
        <v>16</v>
      </c>
      <c r="S8169" s="5">
        <v>338</v>
      </c>
    </row>
    <row r="8170" spans="1:19" ht="42" x14ac:dyDescent="0.15">
      <c r="A8170" s="2">
        <f>HYPERLINK("https://open-school.uspishnemisto.com.ua/school/460878/", 460878)</f>
        <v>460878</v>
      </c>
      <c r="B8170" s="3" t="s">
        <v>42070</v>
      </c>
      <c r="C8170" s="3" t="s">
        <v>181</v>
      </c>
      <c r="D8170" s="3" t="s">
        <v>175</v>
      </c>
      <c r="E8170" s="4" t="s">
        <v>22</v>
      </c>
      <c r="F8170" s="4" t="s">
        <v>42071</v>
      </c>
      <c r="G8170" s="4" t="s">
        <v>42072</v>
      </c>
      <c r="H8170" s="3" t="s">
        <v>38194</v>
      </c>
      <c r="I8170" s="3" t="s">
        <v>42073</v>
      </c>
      <c r="J8170" s="3" t="s">
        <v>42074</v>
      </c>
      <c r="K8170" s="3" t="s">
        <v>42075</v>
      </c>
      <c r="L8170" s="3"/>
      <c r="M8170" s="4" t="s">
        <v>42076</v>
      </c>
      <c r="N8170" s="3" t="s">
        <v>37</v>
      </c>
      <c r="O8170" s="3"/>
      <c r="P8170" s="5">
        <v>10</v>
      </c>
      <c r="Q8170" s="5">
        <v>82</v>
      </c>
      <c r="R8170" s="5">
        <v>10</v>
      </c>
      <c r="S8170" s="5">
        <v>92</v>
      </c>
    </row>
    <row r="8171" spans="1:19" ht="28" x14ac:dyDescent="0.15">
      <c r="A8171" s="2">
        <f>HYPERLINK("https://open-school.uspishnemisto.com.ua/school/460879/", 460879)</f>
        <v>460879</v>
      </c>
      <c r="B8171" s="3" t="s">
        <v>42077</v>
      </c>
      <c r="C8171" s="3" t="s">
        <v>31</v>
      </c>
      <c r="D8171" s="3" t="s">
        <v>32</v>
      </c>
      <c r="E8171" s="4" t="s">
        <v>22</v>
      </c>
      <c r="F8171" s="4" t="s">
        <v>42071</v>
      </c>
      <c r="G8171" s="4" t="s">
        <v>42072</v>
      </c>
      <c r="H8171" s="3" t="s">
        <v>38194</v>
      </c>
      <c r="I8171" s="3" t="s">
        <v>42073</v>
      </c>
      <c r="J8171" s="3" t="s">
        <v>8152</v>
      </c>
      <c r="K8171" s="3" t="s">
        <v>42078</v>
      </c>
      <c r="L8171" s="3"/>
      <c r="M8171" s="4"/>
      <c r="N8171" s="3" t="s">
        <v>37</v>
      </c>
      <c r="O8171" s="3" t="s">
        <v>123</v>
      </c>
      <c r="P8171" s="5">
        <v>56</v>
      </c>
      <c r="Q8171" s="5">
        <v>702</v>
      </c>
      <c r="R8171" s="5">
        <v>20</v>
      </c>
      <c r="S8171" s="5">
        <v>402</v>
      </c>
    </row>
    <row r="8172" spans="1:19" ht="28" x14ac:dyDescent="0.15">
      <c r="A8172" s="2">
        <f>HYPERLINK("https://open-school.uspishnemisto.com.ua/school/460880/", 460880)</f>
        <v>460880</v>
      </c>
      <c r="B8172" s="3" t="s">
        <v>42079</v>
      </c>
      <c r="C8172" s="3" t="s">
        <v>31</v>
      </c>
      <c r="D8172" s="3" t="s">
        <v>175</v>
      </c>
      <c r="E8172" s="4" t="s">
        <v>22</v>
      </c>
      <c r="F8172" s="4" t="s">
        <v>42080</v>
      </c>
      <c r="G8172" s="4" t="s">
        <v>42081</v>
      </c>
      <c r="H8172" s="3" t="s">
        <v>38194</v>
      </c>
      <c r="I8172" s="3" t="s">
        <v>42082</v>
      </c>
      <c r="J8172" s="3" t="s">
        <v>3494</v>
      </c>
      <c r="K8172" s="3" t="s">
        <v>42083</v>
      </c>
      <c r="L8172" s="3"/>
      <c r="M8172" s="4"/>
      <c r="N8172" s="3" t="s">
        <v>37</v>
      </c>
      <c r="O8172" s="3" t="s">
        <v>46</v>
      </c>
      <c r="P8172" s="5">
        <v>1</v>
      </c>
      <c r="Q8172" s="5">
        <v>25</v>
      </c>
      <c r="R8172" s="5">
        <v>2</v>
      </c>
      <c r="S8172" s="5">
        <v>27</v>
      </c>
    </row>
    <row r="8173" spans="1:19" ht="28" x14ac:dyDescent="0.15">
      <c r="A8173" s="2">
        <f>HYPERLINK("https://open-school.uspishnemisto.com.ua/school/460881/", 460881)</f>
        <v>460881</v>
      </c>
      <c r="B8173" s="3" t="s">
        <v>42084</v>
      </c>
      <c r="C8173" s="3" t="s">
        <v>31</v>
      </c>
      <c r="D8173" s="3" t="s">
        <v>32</v>
      </c>
      <c r="E8173" s="4" t="s">
        <v>22</v>
      </c>
      <c r="F8173" s="4" t="s">
        <v>42085</v>
      </c>
      <c r="G8173" s="4" t="s">
        <v>42086</v>
      </c>
      <c r="H8173" s="3" t="s">
        <v>38194</v>
      </c>
      <c r="I8173" s="3" t="s">
        <v>725</v>
      </c>
      <c r="J8173" s="3" t="s">
        <v>761</v>
      </c>
      <c r="K8173" s="3" t="s">
        <v>42087</v>
      </c>
      <c r="L8173" s="3"/>
      <c r="M8173" s="4"/>
      <c r="N8173" s="3" t="s">
        <v>37</v>
      </c>
      <c r="O8173" s="3" t="s">
        <v>46</v>
      </c>
      <c r="P8173" s="5">
        <v>0</v>
      </c>
      <c r="Q8173" s="5">
        <v>0</v>
      </c>
      <c r="R8173" s="5">
        <v>11</v>
      </c>
      <c r="S8173" s="5">
        <v>95</v>
      </c>
    </row>
    <row r="8174" spans="1:19" ht="28" x14ac:dyDescent="0.15">
      <c r="A8174" s="2">
        <f>HYPERLINK("https://open-school.uspishnemisto.com.ua/school/460882/", 460882)</f>
        <v>460882</v>
      </c>
      <c r="B8174" s="3" t="s">
        <v>42088</v>
      </c>
      <c r="C8174" s="3" t="s">
        <v>31</v>
      </c>
      <c r="D8174" s="3" t="s">
        <v>175</v>
      </c>
      <c r="E8174" s="4" t="s">
        <v>22</v>
      </c>
      <c r="F8174" s="4" t="s">
        <v>42085</v>
      </c>
      <c r="G8174" s="4" t="s">
        <v>42089</v>
      </c>
      <c r="H8174" s="3" t="s">
        <v>38194</v>
      </c>
      <c r="I8174" s="3" t="s">
        <v>42090</v>
      </c>
      <c r="J8174" s="3"/>
      <c r="K8174" s="3" t="s">
        <v>42091</v>
      </c>
      <c r="L8174" s="3"/>
      <c r="M8174" s="4"/>
      <c r="N8174" s="3" t="s">
        <v>37</v>
      </c>
      <c r="O8174" s="3" t="s">
        <v>46</v>
      </c>
      <c r="P8174" s="5">
        <v>0</v>
      </c>
      <c r="Q8174" s="5">
        <v>0</v>
      </c>
      <c r="R8174" s="5">
        <v>7</v>
      </c>
      <c r="S8174" s="5">
        <v>53</v>
      </c>
    </row>
    <row r="8175" spans="1:19" ht="28" x14ac:dyDescent="0.15">
      <c r="A8175" s="2">
        <f>HYPERLINK("https://open-school.uspishnemisto.com.ua/school/460883/", 460883)</f>
        <v>460883</v>
      </c>
      <c r="B8175" s="3" t="s">
        <v>42092</v>
      </c>
      <c r="C8175" s="3" t="s">
        <v>31</v>
      </c>
      <c r="D8175" s="3" t="s">
        <v>32</v>
      </c>
      <c r="E8175" s="4" t="s">
        <v>22</v>
      </c>
      <c r="F8175" s="4" t="s">
        <v>42093</v>
      </c>
      <c r="G8175" s="4" t="s">
        <v>42094</v>
      </c>
      <c r="H8175" s="3" t="s">
        <v>38194</v>
      </c>
      <c r="I8175" s="3" t="s">
        <v>33014</v>
      </c>
      <c r="J8175" s="3" t="s">
        <v>42095</v>
      </c>
      <c r="K8175" s="3" t="s">
        <v>42096</v>
      </c>
      <c r="L8175" s="3"/>
      <c r="M8175" s="4"/>
      <c r="N8175" s="3" t="s">
        <v>37</v>
      </c>
      <c r="O8175" s="3" t="s">
        <v>46</v>
      </c>
      <c r="P8175" s="5">
        <v>10</v>
      </c>
      <c r="Q8175" s="5">
        <v>108</v>
      </c>
      <c r="R8175" s="5">
        <v>10</v>
      </c>
      <c r="S8175" s="5">
        <v>113</v>
      </c>
    </row>
    <row r="8176" spans="1:19" ht="28" x14ac:dyDescent="0.15">
      <c r="A8176" s="2">
        <f>HYPERLINK("https://open-school.uspishnemisto.com.ua/school/460884/", 460884)</f>
        <v>460884</v>
      </c>
      <c r="B8176" s="3" t="s">
        <v>42097</v>
      </c>
      <c r="C8176" s="3" t="s">
        <v>31</v>
      </c>
      <c r="D8176" s="3" t="s">
        <v>60</v>
      </c>
      <c r="E8176" s="4" t="s">
        <v>22</v>
      </c>
      <c r="F8176" s="4" t="s">
        <v>42093</v>
      </c>
      <c r="G8176" s="4" t="s">
        <v>42098</v>
      </c>
      <c r="H8176" s="3" t="s">
        <v>38194</v>
      </c>
      <c r="I8176" s="3" t="s">
        <v>42099</v>
      </c>
      <c r="J8176" s="3" t="s">
        <v>14979</v>
      </c>
      <c r="K8176" s="3" t="s">
        <v>42100</v>
      </c>
      <c r="L8176" s="3"/>
      <c r="M8176" s="4"/>
      <c r="N8176" s="3" t="s">
        <v>37</v>
      </c>
      <c r="O8176" s="3" t="s">
        <v>52</v>
      </c>
      <c r="P8176" s="5">
        <v>0</v>
      </c>
      <c r="Q8176" s="5">
        <v>5</v>
      </c>
      <c r="R8176" s="5">
        <v>0</v>
      </c>
      <c r="S8176" s="5">
        <v>6</v>
      </c>
    </row>
    <row r="8177" spans="1:19" ht="28" x14ac:dyDescent="0.15">
      <c r="A8177" s="2">
        <f>HYPERLINK("https://open-school.uspishnemisto.com.ua/school/460885/", 460885)</f>
        <v>460885</v>
      </c>
      <c r="B8177" s="3" t="s">
        <v>42101</v>
      </c>
      <c r="C8177" s="3" t="s">
        <v>54</v>
      </c>
      <c r="D8177" s="3" t="s">
        <v>32</v>
      </c>
      <c r="E8177" s="4" t="s">
        <v>22</v>
      </c>
      <c r="F8177" s="4" t="s">
        <v>42102</v>
      </c>
      <c r="G8177" s="4" t="s">
        <v>42103</v>
      </c>
      <c r="H8177" s="3" t="s">
        <v>38194</v>
      </c>
      <c r="I8177" s="3" t="s">
        <v>42104</v>
      </c>
      <c r="J8177" s="3"/>
      <c r="K8177" s="3" t="s">
        <v>42105</v>
      </c>
      <c r="L8177" s="3"/>
      <c r="M8177" s="4"/>
      <c r="N8177" s="3" t="s">
        <v>37</v>
      </c>
      <c r="O8177" s="3" t="s">
        <v>46</v>
      </c>
      <c r="P8177" s="5">
        <v>0</v>
      </c>
      <c r="Q8177" s="5">
        <v>0</v>
      </c>
      <c r="R8177" s="5">
        <v>11</v>
      </c>
      <c r="S8177" s="5">
        <v>118</v>
      </c>
    </row>
    <row r="8178" spans="1:19" ht="28" x14ac:dyDescent="0.15">
      <c r="A8178" s="2">
        <f>HYPERLINK("https://open-school.uspishnemisto.com.ua/school/460886/", 460886)</f>
        <v>460886</v>
      </c>
      <c r="B8178" s="3" t="s">
        <v>42106</v>
      </c>
      <c r="C8178" s="3" t="s">
        <v>31</v>
      </c>
      <c r="D8178" s="3" t="s">
        <v>60</v>
      </c>
      <c r="E8178" s="4" t="s">
        <v>22</v>
      </c>
      <c r="F8178" s="4" t="s">
        <v>42107</v>
      </c>
      <c r="G8178" s="4" t="s">
        <v>42108</v>
      </c>
      <c r="H8178" s="3" t="s">
        <v>38194</v>
      </c>
      <c r="I8178" s="3" t="s">
        <v>42109</v>
      </c>
      <c r="J8178" s="3"/>
      <c r="K8178" s="3" t="s">
        <v>42110</v>
      </c>
      <c r="L8178" s="3"/>
      <c r="M8178" s="4"/>
      <c r="N8178" s="3" t="s">
        <v>37</v>
      </c>
      <c r="O8178" s="3" t="s">
        <v>618</v>
      </c>
      <c r="P8178" s="5">
        <v>0</v>
      </c>
      <c r="Q8178" s="5">
        <v>7</v>
      </c>
      <c r="R8178" s="5">
        <v>0</v>
      </c>
      <c r="S8178" s="5">
        <v>10</v>
      </c>
    </row>
    <row r="8179" spans="1:19" ht="28" x14ac:dyDescent="0.15">
      <c r="A8179" s="2">
        <f>HYPERLINK("https://open-school.uspishnemisto.com.ua/school/460887/", 460887)</f>
        <v>460887</v>
      </c>
      <c r="B8179" s="3" t="s">
        <v>42111</v>
      </c>
      <c r="C8179" s="3" t="s">
        <v>31</v>
      </c>
      <c r="D8179" s="3" t="s">
        <v>32</v>
      </c>
      <c r="E8179" s="4" t="s">
        <v>22</v>
      </c>
      <c r="F8179" s="4" t="s">
        <v>42112</v>
      </c>
      <c r="G8179" s="4" t="s">
        <v>42113</v>
      </c>
      <c r="H8179" s="3" t="s">
        <v>38194</v>
      </c>
      <c r="I8179" s="3" t="s">
        <v>42114</v>
      </c>
      <c r="J8179" s="3" t="s">
        <v>42115</v>
      </c>
      <c r="K8179" s="3" t="s">
        <v>42116</v>
      </c>
      <c r="L8179" s="3"/>
      <c r="M8179" s="4"/>
      <c r="N8179" s="3" t="s">
        <v>37</v>
      </c>
      <c r="O8179" s="3" t="s">
        <v>46</v>
      </c>
      <c r="P8179" s="5">
        <v>11</v>
      </c>
      <c r="Q8179" s="5">
        <v>160</v>
      </c>
      <c r="R8179" s="5">
        <v>11</v>
      </c>
      <c r="S8179" s="5">
        <v>162</v>
      </c>
    </row>
    <row r="8180" spans="1:19" ht="42" x14ac:dyDescent="0.15">
      <c r="A8180" s="2">
        <f>HYPERLINK("https://open-school.uspishnemisto.com.ua/school/460888/", 460888)</f>
        <v>460888</v>
      </c>
      <c r="B8180" s="3" t="s">
        <v>42117</v>
      </c>
      <c r="C8180" s="3" t="s">
        <v>54</v>
      </c>
      <c r="D8180" s="3" t="s">
        <v>60</v>
      </c>
      <c r="E8180" s="4" t="s">
        <v>22</v>
      </c>
      <c r="F8180" s="4" t="s">
        <v>42112</v>
      </c>
      <c r="G8180" s="4" t="s">
        <v>42118</v>
      </c>
      <c r="H8180" s="3" t="s">
        <v>38194</v>
      </c>
      <c r="I8180" s="3" t="s">
        <v>31816</v>
      </c>
      <c r="J8180" s="3" t="s">
        <v>42119</v>
      </c>
      <c r="K8180" s="3" t="s">
        <v>42120</v>
      </c>
      <c r="L8180" s="3"/>
      <c r="M8180" s="4"/>
      <c r="N8180" s="3" t="s">
        <v>37</v>
      </c>
      <c r="O8180" s="3" t="s">
        <v>52</v>
      </c>
      <c r="P8180" s="5">
        <v>0</v>
      </c>
      <c r="Q8180" s="5">
        <v>8</v>
      </c>
      <c r="R8180" s="5">
        <v>0</v>
      </c>
      <c r="S8180" s="5">
        <v>7</v>
      </c>
    </row>
    <row r="8181" spans="1:19" ht="42" x14ac:dyDescent="0.15">
      <c r="A8181" s="2">
        <f>HYPERLINK("https://open-school.uspishnemisto.com.ua/school/460889/", 460889)</f>
        <v>460889</v>
      </c>
      <c r="B8181" s="3" t="s">
        <v>42121</v>
      </c>
      <c r="C8181" s="3" t="s">
        <v>54</v>
      </c>
      <c r="D8181" s="3" t="s">
        <v>175</v>
      </c>
      <c r="E8181" s="4" t="s">
        <v>22</v>
      </c>
      <c r="F8181" s="4" t="s">
        <v>42112</v>
      </c>
      <c r="G8181" s="4" t="s">
        <v>42122</v>
      </c>
      <c r="H8181" s="3" t="s">
        <v>38194</v>
      </c>
      <c r="I8181" s="3" t="s">
        <v>42123</v>
      </c>
      <c r="J8181" s="3" t="s">
        <v>42124</v>
      </c>
      <c r="K8181" s="3" t="s">
        <v>42125</v>
      </c>
      <c r="L8181" s="3"/>
      <c r="M8181" s="4"/>
      <c r="N8181" s="3" t="s">
        <v>37</v>
      </c>
      <c r="O8181" s="3" t="s">
        <v>46</v>
      </c>
      <c r="P8181" s="5">
        <v>4</v>
      </c>
      <c r="Q8181" s="5">
        <v>35</v>
      </c>
      <c r="R8181" s="5">
        <v>5</v>
      </c>
      <c r="S8181" s="5">
        <v>38</v>
      </c>
    </row>
    <row r="8182" spans="1:19" ht="28" x14ac:dyDescent="0.15">
      <c r="A8182" s="2">
        <f>HYPERLINK("https://open-school.uspishnemisto.com.ua/school/460890/", 460890)</f>
        <v>460890</v>
      </c>
      <c r="B8182" s="3" t="s">
        <v>42126</v>
      </c>
      <c r="C8182" s="3" t="s">
        <v>54</v>
      </c>
      <c r="D8182" s="3" t="s">
        <v>175</v>
      </c>
      <c r="E8182" s="4" t="s">
        <v>22</v>
      </c>
      <c r="F8182" s="4" t="s">
        <v>42127</v>
      </c>
      <c r="G8182" s="4" t="s">
        <v>42128</v>
      </c>
      <c r="H8182" s="3" t="s">
        <v>38194</v>
      </c>
      <c r="I8182" s="3" t="s">
        <v>19332</v>
      </c>
      <c r="J8182" s="3"/>
      <c r="K8182" s="3" t="s">
        <v>42129</v>
      </c>
      <c r="L8182" s="3"/>
      <c r="M8182" s="4"/>
      <c r="N8182" s="3" t="s">
        <v>37</v>
      </c>
      <c r="O8182" s="3" t="s">
        <v>46</v>
      </c>
      <c r="P8182" s="5">
        <v>0</v>
      </c>
      <c r="Q8182" s="5">
        <v>0</v>
      </c>
      <c r="R8182" s="5">
        <v>6</v>
      </c>
      <c r="S8182" s="5">
        <v>55</v>
      </c>
    </row>
    <row r="8183" spans="1:19" ht="28" x14ac:dyDescent="0.15">
      <c r="A8183" s="2">
        <f>HYPERLINK("https://open-school.uspishnemisto.com.ua/school/460891/", 460891)</f>
        <v>460891</v>
      </c>
      <c r="B8183" s="3" t="s">
        <v>42130</v>
      </c>
      <c r="C8183" s="3" t="s">
        <v>54</v>
      </c>
      <c r="D8183" s="3" t="s">
        <v>175</v>
      </c>
      <c r="E8183" s="4" t="s">
        <v>22</v>
      </c>
      <c r="F8183" s="4" t="s">
        <v>42131</v>
      </c>
      <c r="G8183" s="4" t="s">
        <v>42132</v>
      </c>
      <c r="H8183" s="3" t="s">
        <v>38194</v>
      </c>
      <c r="I8183" s="3" t="s">
        <v>41077</v>
      </c>
      <c r="J8183" s="3" t="s">
        <v>3494</v>
      </c>
      <c r="K8183" s="3" t="s">
        <v>42133</v>
      </c>
      <c r="L8183" s="3"/>
      <c r="M8183" s="4"/>
      <c r="N8183" s="3" t="s">
        <v>37</v>
      </c>
      <c r="O8183" s="3" t="s">
        <v>46</v>
      </c>
      <c r="P8183" s="5">
        <v>5</v>
      </c>
      <c r="Q8183" s="5">
        <v>58</v>
      </c>
      <c r="R8183" s="5">
        <v>5</v>
      </c>
      <c r="S8183" s="5">
        <v>57</v>
      </c>
    </row>
    <row r="8184" spans="1:19" ht="42" x14ac:dyDescent="0.15">
      <c r="A8184" s="2">
        <f>HYPERLINK("https://open-school.uspishnemisto.com.ua/school/460892/", 460892)</f>
        <v>460892</v>
      </c>
      <c r="B8184" s="3" t="s">
        <v>42134</v>
      </c>
      <c r="C8184" s="3" t="s">
        <v>54</v>
      </c>
      <c r="D8184" s="3" t="s">
        <v>175</v>
      </c>
      <c r="E8184" s="4" t="s">
        <v>22</v>
      </c>
      <c r="F8184" s="4" t="s">
        <v>42135</v>
      </c>
      <c r="G8184" s="4" t="s">
        <v>42136</v>
      </c>
      <c r="H8184" s="3" t="s">
        <v>38194</v>
      </c>
      <c r="I8184" s="3" t="s">
        <v>42137</v>
      </c>
      <c r="J8184" s="3" t="s">
        <v>5264</v>
      </c>
      <c r="K8184" s="3" t="s">
        <v>42138</v>
      </c>
      <c r="L8184" s="3"/>
      <c r="M8184" s="4"/>
      <c r="N8184" s="3" t="s">
        <v>37</v>
      </c>
      <c r="O8184" s="3" t="s">
        <v>2740</v>
      </c>
      <c r="P8184" s="5">
        <v>0</v>
      </c>
      <c r="Q8184" s="5">
        <v>0</v>
      </c>
      <c r="R8184" s="5">
        <v>8</v>
      </c>
      <c r="S8184" s="5">
        <v>70</v>
      </c>
    </row>
    <row r="8185" spans="1:19" ht="42" x14ac:dyDescent="0.15">
      <c r="A8185" s="2">
        <f>HYPERLINK("https://open-school.uspishnemisto.com.ua/school/460893/", 460893)</f>
        <v>460893</v>
      </c>
      <c r="B8185" s="3" t="s">
        <v>42139</v>
      </c>
      <c r="C8185" s="3" t="s">
        <v>54</v>
      </c>
      <c r="D8185" s="3" t="s">
        <v>175</v>
      </c>
      <c r="E8185" s="4" t="s">
        <v>22</v>
      </c>
      <c r="F8185" s="4" t="s">
        <v>42140</v>
      </c>
      <c r="G8185" s="4" t="s">
        <v>42141</v>
      </c>
      <c r="H8185" s="3" t="s">
        <v>38194</v>
      </c>
      <c r="I8185" s="3" t="s">
        <v>42142</v>
      </c>
      <c r="J8185" s="3"/>
      <c r="K8185" s="3" t="s">
        <v>42143</v>
      </c>
      <c r="L8185" s="3"/>
      <c r="M8185" s="4"/>
      <c r="N8185" s="3" t="s">
        <v>37</v>
      </c>
      <c r="O8185" s="3" t="s">
        <v>46</v>
      </c>
      <c r="P8185" s="5">
        <v>0</v>
      </c>
      <c r="Q8185" s="5">
        <v>0</v>
      </c>
      <c r="R8185" s="5">
        <v>4</v>
      </c>
      <c r="S8185" s="5">
        <v>43</v>
      </c>
    </row>
    <row r="8186" spans="1:19" ht="28" x14ac:dyDescent="0.15">
      <c r="A8186" s="2">
        <f>HYPERLINK("https://open-school.uspishnemisto.com.ua/school/460894/", 460894)</f>
        <v>460894</v>
      </c>
      <c r="B8186" s="3" t="s">
        <v>42144</v>
      </c>
      <c r="C8186" s="3" t="s">
        <v>31</v>
      </c>
      <c r="D8186" s="3" t="s">
        <v>175</v>
      </c>
      <c r="E8186" s="4" t="s">
        <v>22</v>
      </c>
      <c r="F8186" s="4" t="s">
        <v>42145</v>
      </c>
      <c r="G8186" s="4" t="s">
        <v>42146</v>
      </c>
      <c r="H8186" s="3" t="s">
        <v>38194</v>
      </c>
      <c r="I8186" s="3" t="s">
        <v>42147</v>
      </c>
      <c r="J8186" s="3"/>
      <c r="K8186" s="3" t="s">
        <v>42148</v>
      </c>
      <c r="L8186" s="3"/>
      <c r="M8186" s="4"/>
      <c r="N8186" s="3" t="s">
        <v>37</v>
      </c>
      <c r="O8186" s="3" t="s">
        <v>2740</v>
      </c>
      <c r="P8186" s="5">
        <v>0</v>
      </c>
      <c r="Q8186" s="5">
        <v>0</v>
      </c>
      <c r="R8186" s="5">
        <v>7</v>
      </c>
      <c r="S8186" s="5">
        <v>61</v>
      </c>
    </row>
    <row r="8187" spans="1:19" ht="28" x14ac:dyDescent="0.15">
      <c r="A8187" s="2">
        <f>HYPERLINK("https://open-school.uspishnemisto.com.ua/school/460895/", 460895)</f>
        <v>460895</v>
      </c>
      <c r="B8187" s="3" t="s">
        <v>42149</v>
      </c>
      <c r="C8187" s="3" t="s">
        <v>54</v>
      </c>
      <c r="D8187" s="3" t="s">
        <v>32</v>
      </c>
      <c r="E8187" s="4" t="s">
        <v>22</v>
      </c>
      <c r="F8187" s="4" t="s">
        <v>42150</v>
      </c>
      <c r="G8187" s="4" t="s">
        <v>42151</v>
      </c>
      <c r="H8187" s="3" t="s">
        <v>38194</v>
      </c>
      <c r="I8187" s="3" t="s">
        <v>41412</v>
      </c>
      <c r="J8187" s="3" t="s">
        <v>13444</v>
      </c>
      <c r="K8187" s="3" t="s">
        <v>42152</v>
      </c>
      <c r="L8187" s="3"/>
      <c r="M8187" s="4"/>
      <c r="N8187" s="3" t="s">
        <v>37</v>
      </c>
      <c r="O8187" s="3" t="s">
        <v>46</v>
      </c>
      <c r="P8187" s="5">
        <v>11</v>
      </c>
      <c r="Q8187" s="5">
        <v>118</v>
      </c>
      <c r="R8187" s="5">
        <v>11</v>
      </c>
      <c r="S8187" s="5">
        <v>121</v>
      </c>
    </row>
    <row r="8188" spans="1:19" ht="28" x14ac:dyDescent="0.15">
      <c r="A8188" s="2">
        <f>HYPERLINK("https://open-school.uspishnemisto.com.ua/school/460896/", 460896)</f>
        <v>460896</v>
      </c>
      <c r="B8188" s="3" t="s">
        <v>42153</v>
      </c>
      <c r="C8188" s="3" t="s">
        <v>31</v>
      </c>
      <c r="D8188" s="3" t="s">
        <v>32</v>
      </c>
      <c r="E8188" s="4" t="s">
        <v>22</v>
      </c>
      <c r="F8188" s="4" t="s">
        <v>42154</v>
      </c>
      <c r="G8188" s="4" t="s">
        <v>42155</v>
      </c>
      <c r="H8188" s="3" t="s">
        <v>38194</v>
      </c>
      <c r="I8188" s="3" t="s">
        <v>42156</v>
      </c>
      <c r="J8188" s="3" t="s">
        <v>42157</v>
      </c>
      <c r="K8188" s="3" t="s">
        <v>42158</v>
      </c>
      <c r="L8188" s="3"/>
      <c r="M8188" s="4"/>
      <c r="N8188" s="3" t="s">
        <v>37</v>
      </c>
      <c r="O8188" s="3" t="s">
        <v>46</v>
      </c>
      <c r="P8188" s="5">
        <v>11</v>
      </c>
      <c r="Q8188" s="5">
        <v>183</v>
      </c>
      <c r="R8188" s="5">
        <v>11</v>
      </c>
      <c r="S8188" s="5">
        <v>178</v>
      </c>
    </row>
    <row r="8189" spans="1:19" ht="28" x14ac:dyDescent="0.15">
      <c r="A8189" s="2">
        <f>HYPERLINK("https://open-school.uspishnemisto.com.ua/school/460897/", 460897)</f>
        <v>460897</v>
      </c>
      <c r="B8189" s="3" t="s">
        <v>42159</v>
      </c>
      <c r="C8189" s="3" t="s">
        <v>31</v>
      </c>
      <c r="D8189" s="3" t="s">
        <v>32</v>
      </c>
      <c r="E8189" s="4" t="s">
        <v>22</v>
      </c>
      <c r="F8189" s="4" t="s">
        <v>42160</v>
      </c>
      <c r="G8189" s="4" t="s">
        <v>42161</v>
      </c>
      <c r="H8189" s="3" t="s">
        <v>38194</v>
      </c>
      <c r="I8189" s="3" t="s">
        <v>42162</v>
      </c>
      <c r="J8189" s="3" t="s">
        <v>40261</v>
      </c>
      <c r="K8189" s="3" t="s">
        <v>42163</v>
      </c>
      <c r="L8189" s="3"/>
      <c r="M8189" s="4"/>
      <c r="N8189" s="3" t="s">
        <v>37</v>
      </c>
      <c r="O8189" s="3" t="s">
        <v>2740</v>
      </c>
      <c r="P8189" s="5">
        <v>11</v>
      </c>
      <c r="Q8189" s="5">
        <v>135</v>
      </c>
      <c r="R8189" s="5">
        <v>11</v>
      </c>
      <c r="S8189" s="5">
        <v>151</v>
      </c>
    </row>
    <row r="8190" spans="1:19" ht="28" x14ac:dyDescent="0.15">
      <c r="A8190" s="2">
        <f>HYPERLINK("https://open-school.uspishnemisto.com.ua/school/460898/", 460898)</f>
        <v>460898</v>
      </c>
      <c r="B8190" s="3" t="s">
        <v>42164</v>
      </c>
      <c r="C8190" s="3" t="s">
        <v>31</v>
      </c>
      <c r="D8190" s="3" t="s">
        <v>60</v>
      </c>
      <c r="E8190" s="4" t="s">
        <v>22</v>
      </c>
      <c r="F8190" s="4" t="s">
        <v>42160</v>
      </c>
      <c r="G8190" s="4" t="s">
        <v>42165</v>
      </c>
      <c r="H8190" s="3" t="s">
        <v>38194</v>
      </c>
      <c r="I8190" s="3" t="s">
        <v>42166</v>
      </c>
      <c r="J8190" s="3"/>
      <c r="K8190" s="3" t="s">
        <v>42167</v>
      </c>
      <c r="L8190" s="3"/>
      <c r="M8190" s="4"/>
      <c r="N8190" s="3" t="s">
        <v>37</v>
      </c>
      <c r="O8190" s="3" t="s">
        <v>52</v>
      </c>
      <c r="P8190" s="5">
        <v>0</v>
      </c>
      <c r="Q8190" s="5">
        <v>5</v>
      </c>
      <c r="R8190" s="5">
        <v>0</v>
      </c>
      <c r="S8190" s="5">
        <v>6</v>
      </c>
    </row>
    <row r="8191" spans="1:19" ht="28" x14ac:dyDescent="0.15">
      <c r="A8191" s="2">
        <f>HYPERLINK("https://open-school.uspishnemisto.com.ua/school/460899/", 460899)</f>
        <v>460899</v>
      </c>
      <c r="B8191" s="3" t="s">
        <v>42168</v>
      </c>
      <c r="C8191" s="3" t="s">
        <v>31</v>
      </c>
      <c r="D8191" s="3" t="s">
        <v>32</v>
      </c>
      <c r="E8191" s="4" t="s">
        <v>22</v>
      </c>
      <c r="F8191" s="4" t="s">
        <v>42169</v>
      </c>
      <c r="G8191" s="4" t="s">
        <v>42170</v>
      </c>
      <c r="H8191" s="3" t="s">
        <v>38194</v>
      </c>
      <c r="I8191" s="3" t="s">
        <v>42171</v>
      </c>
      <c r="J8191" s="3" t="s">
        <v>42172</v>
      </c>
      <c r="K8191" s="3" t="s">
        <v>42173</v>
      </c>
      <c r="L8191" s="3"/>
      <c r="M8191" s="4"/>
      <c r="N8191" s="3" t="s">
        <v>37</v>
      </c>
      <c r="O8191" s="3" t="s">
        <v>46</v>
      </c>
      <c r="P8191" s="5">
        <v>19</v>
      </c>
      <c r="Q8191" s="5">
        <v>431</v>
      </c>
      <c r="R8191" s="5">
        <v>19</v>
      </c>
      <c r="S8191" s="5">
        <v>437</v>
      </c>
    </row>
    <row r="8192" spans="1:19" ht="42" x14ac:dyDescent="0.15">
      <c r="A8192" s="2">
        <f>HYPERLINK("https://open-school.uspishnemisto.com.ua/school/460900/", 460900)</f>
        <v>460900</v>
      </c>
      <c r="B8192" s="3" t="s">
        <v>42174</v>
      </c>
      <c r="C8192" s="3" t="s">
        <v>54</v>
      </c>
      <c r="D8192" s="3" t="s">
        <v>175</v>
      </c>
      <c r="E8192" s="4" t="s">
        <v>22</v>
      </c>
      <c r="F8192" s="4" t="s">
        <v>42175</v>
      </c>
      <c r="G8192" s="4" t="s">
        <v>42176</v>
      </c>
      <c r="H8192" s="3" t="s">
        <v>38194</v>
      </c>
      <c r="I8192" s="3" t="s">
        <v>42177</v>
      </c>
      <c r="J8192" s="3"/>
      <c r="K8192" s="3" t="s">
        <v>42178</v>
      </c>
      <c r="L8192" s="3"/>
      <c r="M8192" s="4"/>
      <c r="N8192" s="3" t="s">
        <v>37</v>
      </c>
      <c r="O8192" s="3" t="s">
        <v>46</v>
      </c>
      <c r="P8192" s="5">
        <v>0</v>
      </c>
      <c r="Q8192" s="5">
        <v>0</v>
      </c>
      <c r="R8192" s="5">
        <v>8</v>
      </c>
      <c r="S8192" s="5">
        <v>66</v>
      </c>
    </row>
    <row r="8193" spans="1:19" ht="42" x14ac:dyDescent="0.15">
      <c r="A8193" s="2">
        <f>HYPERLINK("https://open-school.uspishnemisto.com.ua/school/460901/", 460901)</f>
        <v>460901</v>
      </c>
      <c r="B8193" s="3" t="s">
        <v>42179</v>
      </c>
      <c r="C8193" s="3" t="s">
        <v>54</v>
      </c>
      <c r="D8193" s="3" t="s">
        <v>175</v>
      </c>
      <c r="E8193" s="4" t="s">
        <v>22</v>
      </c>
      <c r="F8193" s="4" t="s">
        <v>42180</v>
      </c>
      <c r="G8193" s="4" t="s">
        <v>42181</v>
      </c>
      <c r="H8193" s="3" t="s">
        <v>38194</v>
      </c>
      <c r="I8193" s="3" t="s">
        <v>42182</v>
      </c>
      <c r="J8193" s="3"/>
      <c r="K8193" s="3" t="s">
        <v>42183</v>
      </c>
      <c r="L8193" s="3"/>
      <c r="M8193" s="4"/>
      <c r="N8193" s="3" t="s">
        <v>37</v>
      </c>
      <c r="O8193" s="3" t="s">
        <v>46</v>
      </c>
      <c r="P8193" s="5">
        <v>9</v>
      </c>
      <c r="Q8193" s="5">
        <v>80</v>
      </c>
      <c r="R8193" s="5">
        <v>9</v>
      </c>
      <c r="S8193" s="5">
        <v>83</v>
      </c>
    </row>
    <row r="8194" spans="1:19" ht="42" x14ac:dyDescent="0.15">
      <c r="A8194" s="2">
        <f>HYPERLINK("https://open-school.uspishnemisto.com.ua/school/460902/", 460902)</f>
        <v>460902</v>
      </c>
      <c r="B8194" s="3" t="s">
        <v>42184</v>
      </c>
      <c r="C8194" s="3" t="s">
        <v>54</v>
      </c>
      <c r="D8194" s="3" t="s">
        <v>60</v>
      </c>
      <c r="E8194" s="4" t="s">
        <v>22</v>
      </c>
      <c r="F8194" s="4" t="s">
        <v>42185</v>
      </c>
      <c r="G8194" s="4" t="s">
        <v>42186</v>
      </c>
      <c r="H8194" s="3" t="s">
        <v>38194</v>
      </c>
      <c r="I8194" s="3" t="s">
        <v>42187</v>
      </c>
      <c r="J8194" s="3"/>
      <c r="K8194" s="3" t="s">
        <v>42188</v>
      </c>
      <c r="L8194" s="3"/>
      <c r="M8194" s="4"/>
      <c r="N8194" s="3" t="s">
        <v>37</v>
      </c>
      <c r="O8194" s="3" t="s">
        <v>52</v>
      </c>
      <c r="P8194" s="5">
        <v>0</v>
      </c>
      <c r="Q8194" s="5">
        <v>0</v>
      </c>
      <c r="R8194" s="5">
        <v>2</v>
      </c>
      <c r="S8194" s="5">
        <v>15</v>
      </c>
    </row>
    <row r="8195" spans="1:19" ht="28" x14ac:dyDescent="0.15">
      <c r="A8195" s="2">
        <f>HYPERLINK("https://open-school.uspishnemisto.com.ua/school/460903/", 460903)</f>
        <v>460903</v>
      </c>
      <c r="B8195" s="3" t="s">
        <v>42189</v>
      </c>
      <c r="C8195" s="3" t="s">
        <v>31</v>
      </c>
      <c r="D8195" s="3" t="s">
        <v>175</v>
      </c>
      <c r="E8195" s="4" t="s">
        <v>22</v>
      </c>
      <c r="F8195" s="4" t="s">
        <v>42190</v>
      </c>
      <c r="G8195" s="4" t="s">
        <v>42191</v>
      </c>
      <c r="H8195" s="3" t="s">
        <v>38194</v>
      </c>
      <c r="I8195" s="3" t="s">
        <v>42192</v>
      </c>
      <c r="J8195" s="3"/>
      <c r="K8195" s="3" t="s">
        <v>42193</v>
      </c>
      <c r="L8195" s="3"/>
      <c r="M8195" s="4"/>
      <c r="N8195" s="3" t="s">
        <v>37</v>
      </c>
      <c r="O8195" s="3" t="s">
        <v>46</v>
      </c>
      <c r="P8195" s="5">
        <v>8</v>
      </c>
      <c r="Q8195" s="5">
        <v>56</v>
      </c>
      <c r="R8195" s="5">
        <v>8</v>
      </c>
      <c r="S8195" s="5">
        <v>59</v>
      </c>
    </row>
    <row r="8196" spans="1:19" ht="42" x14ac:dyDescent="0.15">
      <c r="A8196" s="2">
        <f>HYPERLINK("https://open-school.uspishnemisto.com.ua/school/460904/", 460904)</f>
        <v>460904</v>
      </c>
      <c r="B8196" s="3" t="s">
        <v>42194</v>
      </c>
      <c r="C8196" s="3" t="s">
        <v>54</v>
      </c>
      <c r="D8196" s="3" t="s">
        <v>32</v>
      </c>
      <c r="E8196" s="4" t="s">
        <v>22</v>
      </c>
      <c r="F8196" s="4" t="s">
        <v>42195</v>
      </c>
      <c r="G8196" s="4" t="s">
        <v>42196</v>
      </c>
      <c r="H8196" s="3" t="s">
        <v>38194</v>
      </c>
      <c r="I8196" s="3" t="s">
        <v>42197</v>
      </c>
      <c r="J8196" s="3"/>
      <c r="K8196" s="3" t="s">
        <v>42198</v>
      </c>
      <c r="L8196" s="3"/>
      <c r="M8196" s="4"/>
      <c r="N8196" s="3" t="s">
        <v>37</v>
      </c>
      <c r="O8196" s="3" t="s">
        <v>46</v>
      </c>
      <c r="P8196" s="5">
        <v>11</v>
      </c>
      <c r="Q8196" s="5">
        <v>90</v>
      </c>
      <c r="R8196" s="5">
        <v>11</v>
      </c>
      <c r="S8196" s="5">
        <v>87</v>
      </c>
    </row>
    <row r="8197" spans="1:19" ht="42" x14ac:dyDescent="0.15">
      <c r="A8197" s="2">
        <f>HYPERLINK("https://open-school.uspishnemisto.com.ua/school/460905/", 460905)</f>
        <v>460905</v>
      </c>
      <c r="B8197" s="3" t="s">
        <v>42199</v>
      </c>
      <c r="C8197" s="3" t="s">
        <v>54</v>
      </c>
      <c r="D8197" s="3" t="s">
        <v>175</v>
      </c>
      <c r="E8197" s="4" t="s">
        <v>22</v>
      </c>
      <c r="F8197" s="4" t="s">
        <v>42200</v>
      </c>
      <c r="G8197" s="4" t="s">
        <v>42201</v>
      </c>
      <c r="H8197" s="3" t="s">
        <v>38194</v>
      </c>
      <c r="I8197" s="3" t="s">
        <v>42202</v>
      </c>
      <c r="J8197" s="3"/>
      <c r="K8197" s="3" t="s">
        <v>42203</v>
      </c>
      <c r="L8197" s="3"/>
      <c r="M8197" s="4"/>
      <c r="N8197" s="3" t="s">
        <v>37</v>
      </c>
      <c r="O8197" s="3" t="s">
        <v>46</v>
      </c>
      <c r="P8197" s="5">
        <v>0</v>
      </c>
      <c r="Q8197" s="5">
        <v>0</v>
      </c>
      <c r="R8197" s="5">
        <v>9</v>
      </c>
      <c r="S8197" s="5">
        <v>74</v>
      </c>
    </row>
    <row r="8198" spans="1:19" ht="28" x14ac:dyDescent="0.15">
      <c r="A8198" s="2">
        <f>HYPERLINK("https://open-school.uspishnemisto.com.ua/school/460906/", 460906)</f>
        <v>460906</v>
      </c>
      <c r="B8198" s="3" t="s">
        <v>42204</v>
      </c>
      <c r="C8198" s="3" t="s">
        <v>31</v>
      </c>
      <c r="D8198" s="3" t="s">
        <v>32</v>
      </c>
      <c r="E8198" s="4" t="s">
        <v>22</v>
      </c>
      <c r="F8198" s="4" t="s">
        <v>42205</v>
      </c>
      <c r="G8198" s="4" t="s">
        <v>42206</v>
      </c>
      <c r="H8198" s="3" t="s">
        <v>38194</v>
      </c>
      <c r="I8198" s="3" t="s">
        <v>42207</v>
      </c>
      <c r="J8198" s="3"/>
      <c r="K8198" s="3" t="s">
        <v>42208</v>
      </c>
      <c r="L8198" s="3"/>
      <c r="M8198" s="4"/>
      <c r="N8198" s="3" t="s">
        <v>37</v>
      </c>
      <c r="O8198" s="3" t="s">
        <v>46</v>
      </c>
      <c r="P8198" s="5">
        <v>9</v>
      </c>
      <c r="Q8198" s="5">
        <v>70</v>
      </c>
      <c r="R8198" s="5">
        <v>8</v>
      </c>
      <c r="S8198" s="5">
        <v>66</v>
      </c>
    </row>
    <row r="8199" spans="1:19" ht="28" x14ac:dyDescent="0.15">
      <c r="A8199" s="2">
        <f>HYPERLINK("https://open-school.uspishnemisto.com.ua/school/460907/", 460907)</f>
        <v>460907</v>
      </c>
      <c r="B8199" s="3" t="s">
        <v>42209</v>
      </c>
      <c r="C8199" s="3" t="s">
        <v>31</v>
      </c>
      <c r="D8199" s="3" t="s">
        <v>175</v>
      </c>
      <c r="E8199" s="4" t="s">
        <v>22</v>
      </c>
      <c r="F8199" s="4" t="s">
        <v>42210</v>
      </c>
      <c r="G8199" s="4" t="s">
        <v>42211</v>
      </c>
      <c r="H8199" s="3" t="s">
        <v>38194</v>
      </c>
      <c r="I8199" s="3" t="s">
        <v>42212</v>
      </c>
      <c r="J8199" s="3"/>
      <c r="K8199" s="3" t="s">
        <v>42213</v>
      </c>
      <c r="L8199" s="3"/>
      <c r="M8199" s="4"/>
      <c r="N8199" s="3" t="s">
        <v>37</v>
      </c>
      <c r="O8199" s="3" t="s">
        <v>46</v>
      </c>
      <c r="P8199" s="5">
        <v>9</v>
      </c>
      <c r="Q8199" s="5">
        <v>59</v>
      </c>
      <c r="R8199" s="5">
        <v>8</v>
      </c>
      <c r="S8199" s="5">
        <v>59</v>
      </c>
    </row>
    <row r="8200" spans="1:19" ht="28" x14ac:dyDescent="0.15">
      <c r="A8200" s="2">
        <f>HYPERLINK("https://open-school.uspishnemisto.com.ua/school/460908/", 460908)</f>
        <v>460908</v>
      </c>
      <c r="B8200" s="3" t="s">
        <v>42214</v>
      </c>
      <c r="C8200" s="3" t="s">
        <v>31</v>
      </c>
      <c r="D8200" s="3" t="s">
        <v>175</v>
      </c>
      <c r="E8200" s="4" t="s">
        <v>22</v>
      </c>
      <c r="F8200" s="4" t="s">
        <v>42169</v>
      </c>
      <c r="G8200" s="4" t="s">
        <v>42215</v>
      </c>
      <c r="H8200" s="3" t="s">
        <v>38194</v>
      </c>
      <c r="I8200" s="3" t="s">
        <v>42216</v>
      </c>
      <c r="J8200" s="3" t="s">
        <v>2136</v>
      </c>
      <c r="K8200" s="3" t="s">
        <v>42217</v>
      </c>
      <c r="L8200" s="3"/>
      <c r="M8200" s="4"/>
      <c r="N8200" s="3" t="s">
        <v>37</v>
      </c>
      <c r="O8200" s="3" t="s">
        <v>46</v>
      </c>
      <c r="P8200" s="5">
        <v>0</v>
      </c>
      <c r="Q8200" s="5">
        <v>0</v>
      </c>
      <c r="R8200" s="5">
        <v>9</v>
      </c>
      <c r="S8200" s="5">
        <v>61</v>
      </c>
    </row>
    <row r="8201" spans="1:19" ht="28" x14ac:dyDescent="0.15">
      <c r="A8201" s="2">
        <f>HYPERLINK("https://open-school.uspishnemisto.com.ua/school/460909/", 460909)</f>
        <v>460909</v>
      </c>
      <c r="B8201" s="3" t="s">
        <v>42218</v>
      </c>
      <c r="C8201" s="3" t="s">
        <v>31</v>
      </c>
      <c r="D8201" s="3" t="s">
        <v>32</v>
      </c>
      <c r="E8201" s="4" t="s">
        <v>22</v>
      </c>
      <c r="F8201" s="4" t="s">
        <v>42219</v>
      </c>
      <c r="G8201" s="4" t="s">
        <v>42220</v>
      </c>
      <c r="H8201" s="3" t="s">
        <v>38194</v>
      </c>
      <c r="I8201" s="3" t="s">
        <v>42221</v>
      </c>
      <c r="J8201" s="3" t="s">
        <v>42222</v>
      </c>
      <c r="K8201" s="3" t="s">
        <v>42223</v>
      </c>
      <c r="L8201" s="3"/>
      <c r="M8201" s="4"/>
      <c r="N8201" s="3" t="s">
        <v>37</v>
      </c>
      <c r="O8201" s="3" t="s">
        <v>8857</v>
      </c>
      <c r="P8201" s="5">
        <v>15</v>
      </c>
      <c r="Q8201" s="5">
        <v>313</v>
      </c>
      <c r="R8201" s="5">
        <v>15</v>
      </c>
      <c r="S8201" s="5">
        <v>324</v>
      </c>
    </row>
    <row r="8202" spans="1:19" ht="42" x14ac:dyDescent="0.15">
      <c r="A8202" s="2">
        <f>HYPERLINK("https://open-school.uspishnemisto.com.ua/school/460910/", 460910)</f>
        <v>460910</v>
      </c>
      <c r="B8202" s="3" t="s">
        <v>42224</v>
      </c>
      <c r="C8202" s="3" t="s">
        <v>54</v>
      </c>
      <c r="D8202" s="3" t="s">
        <v>60</v>
      </c>
      <c r="E8202" s="4" t="s">
        <v>22</v>
      </c>
      <c r="F8202" s="4" t="s">
        <v>42225</v>
      </c>
      <c r="G8202" s="4" t="s">
        <v>42226</v>
      </c>
      <c r="H8202" s="3" t="s">
        <v>38194</v>
      </c>
      <c r="I8202" s="3" t="s">
        <v>42227</v>
      </c>
      <c r="J8202" s="3"/>
      <c r="K8202" s="3" t="s">
        <v>42228</v>
      </c>
      <c r="L8202" s="3"/>
      <c r="M8202" s="4"/>
      <c r="N8202" s="3" t="s">
        <v>37</v>
      </c>
      <c r="O8202" s="3" t="s">
        <v>52</v>
      </c>
      <c r="P8202" s="5">
        <v>0</v>
      </c>
      <c r="Q8202" s="5">
        <v>11</v>
      </c>
      <c r="R8202" s="5">
        <v>0</v>
      </c>
      <c r="S8202" s="5">
        <v>11</v>
      </c>
    </row>
    <row r="8203" spans="1:19" ht="42" x14ac:dyDescent="0.15">
      <c r="A8203" s="2">
        <f>HYPERLINK("https://open-school.uspishnemisto.com.ua/school/460911/", 460911)</f>
        <v>460911</v>
      </c>
      <c r="B8203" s="3" t="s">
        <v>42229</v>
      </c>
      <c r="C8203" s="3" t="s">
        <v>54</v>
      </c>
      <c r="D8203" s="3" t="s">
        <v>175</v>
      </c>
      <c r="E8203" s="4" t="s">
        <v>22</v>
      </c>
      <c r="F8203" s="4" t="s">
        <v>42230</v>
      </c>
      <c r="G8203" s="4" t="s">
        <v>42231</v>
      </c>
      <c r="H8203" s="3" t="s">
        <v>38194</v>
      </c>
      <c r="I8203" s="3" t="s">
        <v>42232</v>
      </c>
      <c r="J8203" s="3"/>
      <c r="K8203" s="3" t="s">
        <v>42233</v>
      </c>
      <c r="L8203" s="3"/>
      <c r="M8203" s="4"/>
      <c r="N8203" s="3" t="s">
        <v>37</v>
      </c>
      <c r="O8203" s="3" t="s">
        <v>46</v>
      </c>
      <c r="P8203" s="5">
        <v>1</v>
      </c>
      <c r="Q8203" s="5">
        <v>30</v>
      </c>
      <c r="R8203" s="5">
        <v>3</v>
      </c>
      <c r="S8203" s="5">
        <v>34</v>
      </c>
    </row>
    <row r="8204" spans="1:19" ht="28" x14ac:dyDescent="0.15">
      <c r="A8204" s="2">
        <f>HYPERLINK("https://open-school.uspishnemisto.com.ua/school/460912/", 460912)</f>
        <v>460912</v>
      </c>
      <c r="B8204" s="3" t="s">
        <v>42234</v>
      </c>
      <c r="C8204" s="3" t="s">
        <v>31</v>
      </c>
      <c r="D8204" s="3" t="s">
        <v>32</v>
      </c>
      <c r="E8204" s="4" t="s">
        <v>22</v>
      </c>
      <c r="F8204" s="4" t="s">
        <v>42235</v>
      </c>
      <c r="G8204" s="4" t="s">
        <v>42236</v>
      </c>
      <c r="H8204" s="3" t="s">
        <v>38194</v>
      </c>
      <c r="I8204" s="3" t="s">
        <v>42237</v>
      </c>
      <c r="J8204" s="3"/>
      <c r="K8204" s="3" t="s">
        <v>42238</v>
      </c>
      <c r="L8204" s="3"/>
      <c r="M8204" s="4"/>
      <c r="N8204" s="3" t="s">
        <v>37</v>
      </c>
      <c r="O8204" s="3" t="s">
        <v>46</v>
      </c>
      <c r="P8204" s="5">
        <v>11</v>
      </c>
      <c r="Q8204" s="5">
        <v>133</v>
      </c>
      <c r="R8204" s="5">
        <v>11</v>
      </c>
      <c r="S8204" s="5">
        <v>130</v>
      </c>
    </row>
    <row r="8205" spans="1:19" ht="28" x14ac:dyDescent="0.15">
      <c r="A8205" s="2">
        <f>HYPERLINK("https://open-school.uspishnemisto.com.ua/school/460913/", 460913)</f>
        <v>460913</v>
      </c>
      <c r="B8205" s="3" t="s">
        <v>42239</v>
      </c>
      <c r="C8205" s="3" t="s">
        <v>54</v>
      </c>
      <c r="D8205" s="3" t="s">
        <v>32</v>
      </c>
      <c r="E8205" s="4" t="s">
        <v>22</v>
      </c>
      <c r="F8205" s="4" t="s">
        <v>42240</v>
      </c>
      <c r="G8205" s="4" t="s">
        <v>42241</v>
      </c>
      <c r="H8205" s="3" t="s">
        <v>38194</v>
      </c>
      <c r="I8205" s="3" t="s">
        <v>42242</v>
      </c>
      <c r="J8205" s="3" t="s">
        <v>42243</v>
      </c>
      <c r="K8205" s="3" t="s">
        <v>42244</v>
      </c>
      <c r="L8205" s="3"/>
      <c r="M8205" s="4" t="s">
        <v>42245</v>
      </c>
      <c r="N8205" s="3" t="s">
        <v>37</v>
      </c>
      <c r="O8205" s="3" t="s">
        <v>237</v>
      </c>
      <c r="P8205" s="5">
        <v>44</v>
      </c>
      <c r="Q8205" s="5">
        <v>552</v>
      </c>
      <c r="R8205" s="5">
        <v>16</v>
      </c>
      <c r="S8205" s="5">
        <v>290</v>
      </c>
    </row>
    <row r="8206" spans="1:19" ht="28" x14ac:dyDescent="0.15">
      <c r="A8206" s="2">
        <f>HYPERLINK("https://open-school.uspishnemisto.com.ua/school/460914/", 460914)</f>
        <v>460914</v>
      </c>
      <c r="B8206" s="3" t="s">
        <v>42246</v>
      </c>
      <c r="C8206" s="3" t="s">
        <v>31</v>
      </c>
      <c r="D8206" s="3" t="s">
        <v>175</v>
      </c>
      <c r="E8206" s="4" t="s">
        <v>22</v>
      </c>
      <c r="F8206" s="4" t="s">
        <v>42247</v>
      </c>
      <c r="G8206" s="4" t="s">
        <v>42248</v>
      </c>
      <c r="H8206" s="3" t="s">
        <v>38194</v>
      </c>
      <c r="I8206" s="3" t="s">
        <v>21756</v>
      </c>
      <c r="J8206" s="3" t="s">
        <v>3370</v>
      </c>
      <c r="K8206" s="3" t="s">
        <v>42249</v>
      </c>
      <c r="L8206" s="3"/>
      <c r="M8206" s="4"/>
      <c r="N8206" s="3" t="s">
        <v>37</v>
      </c>
      <c r="O8206" s="3" t="s">
        <v>46</v>
      </c>
      <c r="P8206" s="5">
        <v>0</v>
      </c>
      <c r="Q8206" s="5">
        <v>0</v>
      </c>
      <c r="R8206" s="5">
        <v>8</v>
      </c>
      <c r="S8206" s="5">
        <v>75</v>
      </c>
    </row>
    <row r="8207" spans="1:19" ht="42" x14ac:dyDescent="0.15">
      <c r="A8207" s="2">
        <f>HYPERLINK("https://open-school.uspishnemisto.com.ua/school/460915/", 460915)</f>
        <v>460915</v>
      </c>
      <c r="B8207" s="3" t="s">
        <v>42250</v>
      </c>
      <c r="C8207" s="3" t="s">
        <v>54</v>
      </c>
      <c r="D8207" s="3" t="s">
        <v>60</v>
      </c>
      <c r="E8207" s="4" t="s">
        <v>22</v>
      </c>
      <c r="F8207" s="4" t="s">
        <v>42240</v>
      </c>
      <c r="G8207" s="4" t="s">
        <v>42251</v>
      </c>
      <c r="H8207" s="3" t="s">
        <v>38194</v>
      </c>
      <c r="I8207" s="3" t="s">
        <v>42252</v>
      </c>
      <c r="J8207" s="3" t="s">
        <v>42253</v>
      </c>
      <c r="K8207" s="3" t="s">
        <v>42254</v>
      </c>
      <c r="L8207" s="3"/>
      <c r="M8207" s="4" t="s">
        <v>42255</v>
      </c>
      <c r="N8207" s="3" t="s">
        <v>37</v>
      </c>
      <c r="O8207" s="3" t="s">
        <v>52</v>
      </c>
      <c r="P8207" s="5">
        <v>0</v>
      </c>
      <c r="Q8207" s="5">
        <v>0</v>
      </c>
      <c r="R8207" s="5">
        <v>2</v>
      </c>
      <c r="S8207" s="5">
        <v>17</v>
      </c>
    </row>
    <row r="8208" spans="1:19" ht="28" x14ac:dyDescent="0.15">
      <c r="A8208" s="2">
        <f>HYPERLINK("https://open-school.uspishnemisto.com.ua/school/460916/", 460916)</f>
        <v>460916</v>
      </c>
      <c r="B8208" s="3" t="s">
        <v>42256</v>
      </c>
      <c r="C8208" s="3" t="s">
        <v>31</v>
      </c>
      <c r="D8208" s="3" t="s">
        <v>60</v>
      </c>
      <c r="E8208" s="4" t="s">
        <v>22</v>
      </c>
      <c r="F8208" s="4" t="s">
        <v>42061</v>
      </c>
      <c r="G8208" s="4" t="s">
        <v>42257</v>
      </c>
      <c r="H8208" s="3" t="s">
        <v>38194</v>
      </c>
      <c r="I8208" s="3" t="s">
        <v>42258</v>
      </c>
      <c r="J8208" s="3"/>
      <c r="K8208" s="3" t="s">
        <v>42259</v>
      </c>
      <c r="L8208" s="3"/>
      <c r="M8208" s="4"/>
      <c r="N8208" s="3" t="s">
        <v>37</v>
      </c>
      <c r="O8208" s="3" t="s">
        <v>52</v>
      </c>
      <c r="P8208" s="5">
        <v>0</v>
      </c>
      <c r="Q8208" s="5">
        <v>0</v>
      </c>
      <c r="R8208" s="5">
        <v>2</v>
      </c>
      <c r="S8208" s="5">
        <v>17</v>
      </c>
    </row>
    <row r="8209" spans="1:19" ht="28" x14ac:dyDescent="0.15">
      <c r="A8209" s="2">
        <f>HYPERLINK("https://open-school.uspishnemisto.com.ua/school/460917/", 460917)</f>
        <v>460917</v>
      </c>
      <c r="B8209" s="3" t="s">
        <v>42260</v>
      </c>
      <c r="C8209" s="3" t="s">
        <v>31</v>
      </c>
      <c r="D8209" s="3" t="s">
        <v>175</v>
      </c>
      <c r="E8209" s="4" t="s">
        <v>22</v>
      </c>
      <c r="F8209" s="4" t="s">
        <v>42261</v>
      </c>
      <c r="G8209" s="4" t="s">
        <v>42262</v>
      </c>
      <c r="H8209" s="3" t="s">
        <v>38194</v>
      </c>
      <c r="I8209" s="3" t="s">
        <v>42263</v>
      </c>
      <c r="J8209" s="3" t="s">
        <v>42264</v>
      </c>
      <c r="K8209" s="3" t="s">
        <v>42265</v>
      </c>
      <c r="L8209" s="3"/>
      <c r="M8209" s="4"/>
      <c r="N8209" s="3" t="s">
        <v>37</v>
      </c>
      <c r="O8209" s="3" t="s">
        <v>46</v>
      </c>
      <c r="P8209" s="5">
        <v>9</v>
      </c>
      <c r="Q8209" s="5">
        <v>116</v>
      </c>
      <c r="R8209" s="5">
        <v>9</v>
      </c>
      <c r="S8209" s="5">
        <v>111</v>
      </c>
    </row>
    <row r="8210" spans="1:19" ht="56" x14ac:dyDescent="0.15">
      <c r="A8210" s="2">
        <f>HYPERLINK("https://open-school.uspishnemisto.com.ua/school/460918/", 460918)</f>
        <v>460918</v>
      </c>
      <c r="B8210" s="3" t="s">
        <v>42266</v>
      </c>
      <c r="C8210" s="3" t="s">
        <v>54</v>
      </c>
      <c r="D8210" s="3" t="s">
        <v>32</v>
      </c>
      <c r="E8210" s="4" t="s">
        <v>22</v>
      </c>
      <c r="F8210" s="4" t="s">
        <v>42267</v>
      </c>
      <c r="G8210" s="4" t="s">
        <v>42268</v>
      </c>
      <c r="H8210" s="3" t="s">
        <v>38194</v>
      </c>
      <c r="I8210" s="3" t="s">
        <v>42269</v>
      </c>
      <c r="J8210" s="3" t="s">
        <v>42270</v>
      </c>
      <c r="K8210" s="3" t="s">
        <v>42271</v>
      </c>
      <c r="L8210" s="3" t="s">
        <v>42272</v>
      </c>
      <c r="M8210" s="4"/>
      <c r="N8210" s="3" t="s">
        <v>37</v>
      </c>
      <c r="O8210" s="3" t="s">
        <v>2740</v>
      </c>
      <c r="P8210" s="5">
        <v>22</v>
      </c>
      <c r="Q8210" s="5">
        <v>482</v>
      </c>
      <c r="R8210" s="5">
        <v>22</v>
      </c>
      <c r="S8210" s="5">
        <v>479</v>
      </c>
    </row>
    <row r="8211" spans="1:19" ht="28" x14ac:dyDescent="0.15">
      <c r="A8211" s="2">
        <f>HYPERLINK("https://open-school.uspishnemisto.com.ua/school/460919/", 460919)</f>
        <v>460919</v>
      </c>
      <c r="B8211" s="3" t="s">
        <v>42273</v>
      </c>
      <c r="C8211" s="3" t="s">
        <v>40</v>
      </c>
      <c r="D8211" s="3" t="s">
        <v>32</v>
      </c>
      <c r="E8211" s="4" t="s">
        <v>22</v>
      </c>
      <c r="F8211" s="4" t="s">
        <v>42274</v>
      </c>
      <c r="G8211" s="4" t="s">
        <v>42275</v>
      </c>
      <c r="H8211" s="3" t="s">
        <v>38194</v>
      </c>
      <c r="I8211" s="3" t="s">
        <v>42276</v>
      </c>
      <c r="J8211" s="3" t="s">
        <v>42277</v>
      </c>
      <c r="K8211" s="3" t="s">
        <v>42278</v>
      </c>
      <c r="L8211" s="3"/>
      <c r="M8211" s="4"/>
      <c r="N8211" s="3" t="s">
        <v>37</v>
      </c>
      <c r="O8211" s="3" t="s">
        <v>46</v>
      </c>
      <c r="P8211" s="5">
        <v>7</v>
      </c>
      <c r="Q8211" s="5">
        <v>168</v>
      </c>
      <c r="R8211" s="5">
        <v>7</v>
      </c>
      <c r="S8211" s="5">
        <v>173</v>
      </c>
    </row>
    <row r="8212" spans="1:19" ht="42" x14ac:dyDescent="0.15">
      <c r="A8212" s="2">
        <f>HYPERLINK("https://open-school.uspishnemisto.com.ua/school/460920/", 460920)</f>
        <v>460920</v>
      </c>
      <c r="B8212" s="3" t="s">
        <v>42279</v>
      </c>
      <c r="C8212" s="3" t="s">
        <v>31</v>
      </c>
      <c r="D8212" s="3" t="s">
        <v>32</v>
      </c>
      <c r="E8212" s="4" t="s">
        <v>22</v>
      </c>
      <c r="F8212" s="4" t="s">
        <v>42274</v>
      </c>
      <c r="G8212" s="4" t="s">
        <v>42275</v>
      </c>
      <c r="H8212" s="3" t="s">
        <v>38194</v>
      </c>
      <c r="I8212" s="3" t="s">
        <v>42276</v>
      </c>
      <c r="J8212" s="3" t="s">
        <v>42280</v>
      </c>
      <c r="K8212" s="3" t="s">
        <v>42281</v>
      </c>
      <c r="L8212" s="3" t="s">
        <v>42282</v>
      </c>
      <c r="M8212" s="4"/>
      <c r="N8212" s="3" t="s">
        <v>37</v>
      </c>
      <c r="O8212" s="3" t="s">
        <v>46</v>
      </c>
      <c r="P8212" s="5">
        <v>29</v>
      </c>
      <c r="Q8212" s="5">
        <v>621</v>
      </c>
      <c r="R8212" s="5">
        <v>23</v>
      </c>
      <c r="S8212" s="5">
        <v>564</v>
      </c>
    </row>
    <row r="8213" spans="1:19" ht="28" x14ac:dyDescent="0.15">
      <c r="A8213" s="2">
        <f>HYPERLINK("https://open-school.uspishnemisto.com.ua/school/460921/", 460921)</f>
        <v>460921</v>
      </c>
      <c r="B8213" s="3" t="s">
        <v>42283</v>
      </c>
      <c r="C8213" s="3" t="s">
        <v>31</v>
      </c>
      <c r="D8213" s="3" t="s">
        <v>60</v>
      </c>
      <c r="E8213" s="4" t="s">
        <v>22</v>
      </c>
      <c r="F8213" s="4" t="s">
        <v>42284</v>
      </c>
      <c r="G8213" s="4" t="s">
        <v>42285</v>
      </c>
      <c r="H8213" s="3" t="s">
        <v>38194</v>
      </c>
      <c r="I8213" s="3" t="s">
        <v>41053</v>
      </c>
      <c r="J8213" s="3" t="s">
        <v>42286</v>
      </c>
      <c r="K8213" s="3" t="s">
        <v>42287</v>
      </c>
      <c r="L8213" s="3"/>
      <c r="M8213" s="4"/>
      <c r="N8213" s="3" t="s">
        <v>37</v>
      </c>
      <c r="O8213" s="3" t="s">
        <v>52</v>
      </c>
      <c r="P8213" s="5">
        <v>3</v>
      </c>
      <c r="Q8213" s="5">
        <v>27</v>
      </c>
      <c r="R8213" s="5">
        <v>2</v>
      </c>
      <c r="S8213" s="5">
        <v>19</v>
      </c>
    </row>
    <row r="8214" spans="1:19" ht="28" x14ac:dyDescent="0.15">
      <c r="A8214" s="2">
        <f>HYPERLINK("https://open-school.uspishnemisto.com.ua/school/460922/", 460922)</f>
        <v>460922</v>
      </c>
      <c r="B8214" s="3" t="s">
        <v>42288</v>
      </c>
      <c r="C8214" s="3" t="s">
        <v>31</v>
      </c>
      <c r="D8214" s="3" t="s">
        <v>32</v>
      </c>
      <c r="E8214" s="4" t="s">
        <v>22</v>
      </c>
      <c r="F8214" s="4" t="s">
        <v>42284</v>
      </c>
      <c r="G8214" s="4" t="s">
        <v>42285</v>
      </c>
      <c r="H8214" s="3" t="s">
        <v>38194</v>
      </c>
      <c r="I8214" s="3" t="s">
        <v>41053</v>
      </c>
      <c r="J8214" s="3" t="s">
        <v>42289</v>
      </c>
      <c r="K8214" s="3" t="s">
        <v>42290</v>
      </c>
      <c r="L8214" s="3" t="s">
        <v>42291</v>
      </c>
      <c r="M8214" s="4"/>
      <c r="N8214" s="3" t="s">
        <v>37</v>
      </c>
      <c r="O8214" s="3" t="s">
        <v>52</v>
      </c>
      <c r="P8214" s="5">
        <v>11</v>
      </c>
      <c r="Q8214" s="5">
        <v>197</v>
      </c>
      <c r="R8214" s="5">
        <v>11</v>
      </c>
      <c r="S8214" s="5">
        <v>199</v>
      </c>
    </row>
    <row r="8215" spans="1:19" ht="28" x14ac:dyDescent="0.15">
      <c r="A8215" s="2">
        <f>HYPERLINK("https://open-school.uspishnemisto.com.ua/school/460923/", 460923)</f>
        <v>460923</v>
      </c>
      <c r="B8215" s="3" t="s">
        <v>42292</v>
      </c>
      <c r="C8215" s="3" t="s">
        <v>31</v>
      </c>
      <c r="D8215" s="3" t="s">
        <v>32</v>
      </c>
      <c r="E8215" s="4" t="s">
        <v>22</v>
      </c>
      <c r="F8215" s="4" t="s">
        <v>42293</v>
      </c>
      <c r="G8215" s="4" t="s">
        <v>42294</v>
      </c>
      <c r="H8215" s="3" t="s">
        <v>38194</v>
      </c>
      <c r="I8215" s="3" t="s">
        <v>42295</v>
      </c>
      <c r="J8215" s="3" t="s">
        <v>466</v>
      </c>
      <c r="K8215" s="3" t="s">
        <v>42296</v>
      </c>
      <c r="L8215" s="3"/>
      <c r="M8215" s="4"/>
      <c r="N8215" s="3" t="s">
        <v>37</v>
      </c>
      <c r="O8215" s="3" t="s">
        <v>46</v>
      </c>
      <c r="P8215" s="5">
        <v>11</v>
      </c>
      <c r="Q8215" s="5">
        <v>198</v>
      </c>
      <c r="R8215" s="5">
        <v>11</v>
      </c>
      <c r="S8215" s="5">
        <v>198</v>
      </c>
    </row>
    <row r="8216" spans="1:19" ht="42" x14ac:dyDescent="0.15">
      <c r="A8216" s="2">
        <f>HYPERLINK("https://open-school.uspishnemisto.com.ua/school/460924/", 460924)</f>
        <v>460924</v>
      </c>
      <c r="B8216" s="3" t="s">
        <v>42297</v>
      </c>
      <c r="C8216" s="3" t="s">
        <v>31</v>
      </c>
      <c r="D8216" s="3" t="s">
        <v>60</v>
      </c>
      <c r="E8216" s="4" t="s">
        <v>22</v>
      </c>
      <c r="F8216" s="4" t="s">
        <v>42293</v>
      </c>
      <c r="G8216" s="4" t="s">
        <v>42298</v>
      </c>
      <c r="H8216" s="3" t="s">
        <v>38194</v>
      </c>
      <c r="I8216" s="3" t="s">
        <v>42299</v>
      </c>
      <c r="J8216" s="3" t="s">
        <v>5948</v>
      </c>
      <c r="K8216" s="3"/>
      <c r="L8216" s="3"/>
      <c r="M8216" s="4"/>
      <c r="N8216" s="3" t="s">
        <v>37</v>
      </c>
      <c r="O8216" s="3" t="s">
        <v>52</v>
      </c>
      <c r="P8216" s="5">
        <v>1</v>
      </c>
      <c r="Q8216" s="5">
        <v>19</v>
      </c>
      <c r="R8216" s="5">
        <v>1</v>
      </c>
      <c r="S8216" s="5">
        <v>18</v>
      </c>
    </row>
    <row r="8217" spans="1:19" ht="28" x14ac:dyDescent="0.15">
      <c r="A8217" s="2">
        <f>HYPERLINK("https://open-school.uspishnemisto.com.ua/school/460925/", 460925)</f>
        <v>460925</v>
      </c>
      <c r="B8217" s="3" t="s">
        <v>42300</v>
      </c>
      <c r="C8217" s="3" t="s">
        <v>31</v>
      </c>
      <c r="D8217" s="3" t="s">
        <v>32</v>
      </c>
      <c r="E8217" s="4" t="s">
        <v>22</v>
      </c>
      <c r="F8217" s="4" t="s">
        <v>42301</v>
      </c>
      <c r="G8217" s="4" t="s">
        <v>42302</v>
      </c>
      <c r="H8217" s="3" t="s">
        <v>38194</v>
      </c>
      <c r="I8217" s="3" t="s">
        <v>42303</v>
      </c>
      <c r="J8217" s="3" t="s">
        <v>42304</v>
      </c>
      <c r="K8217" s="3" t="s">
        <v>42305</v>
      </c>
      <c r="L8217" s="3"/>
      <c r="M8217" s="4"/>
      <c r="N8217" s="3" t="s">
        <v>37</v>
      </c>
      <c r="O8217" s="3" t="s">
        <v>46</v>
      </c>
      <c r="P8217" s="5">
        <v>11</v>
      </c>
      <c r="Q8217" s="5">
        <v>89</v>
      </c>
      <c r="R8217" s="5">
        <v>10</v>
      </c>
      <c r="S8217" s="5">
        <v>81</v>
      </c>
    </row>
    <row r="8218" spans="1:19" ht="42" x14ac:dyDescent="0.15">
      <c r="A8218" s="2">
        <f>HYPERLINK("https://open-school.uspishnemisto.com.ua/school/460926/", 460926)</f>
        <v>460926</v>
      </c>
      <c r="B8218" s="3" t="s">
        <v>42306</v>
      </c>
      <c r="C8218" s="3" t="s">
        <v>31</v>
      </c>
      <c r="D8218" s="3" t="s">
        <v>32</v>
      </c>
      <c r="E8218" s="4" t="s">
        <v>22</v>
      </c>
      <c r="F8218" s="4" t="s">
        <v>42307</v>
      </c>
      <c r="G8218" s="4" t="s">
        <v>42308</v>
      </c>
      <c r="H8218" s="3" t="s">
        <v>38194</v>
      </c>
      <c r="I8218" s="3" t="s">
        <v>42309</v>
      </c>
      <c r="J8218" s="3" t="s">
        <v>42310</v>
      </c>
      <c r="K8218" s="3"/>
      <c r="L8218" s="3"/>
      <c r="M8218" s="4"/>
      <c r="N8218" s="3" t="s">
        <v>37</v>
      </c>
      <c r="O8218" s="3" t="s">
        <v>46</v>
      </c>
      <c r="P8218" s="5">
        <v>14</v>
      </c>
      <c r="Q8218" s="5">
        <v>295</v>
      </c>
      <c r="R8218" s="5">
        <v>15</v>
      </c>
      <c r="S8218" s="5">
        <v>297</v>
      </c>
    </row>
    <row r="8219" spans="1:19" ht="42" x14ac:dyDescent="0.15">
      <c r="A8219" s="2">
        <f>HYPERLINK("https://open-school.uspishnemisto.com.ua/school/460927/", 460927)</f>
        <v>460927</v>
      </c>
      <c r="B8219" s="3" t="s">
        <v>42311</v>
      </c>
      <c r="C8219" s="3" t="s">
        <v>54</v>
      </c>
      <c r="D8219" s="3" t="s">
        <v>175</v>
      </c>
      <c r="E8219" s="4" t="s">
        <v>22</v>
      </c>
      <c r="F8219" s="4" t="s">
        <v>42312</v>
      </c>
      <c r="G8219" s="4" t="s">
        <v>42313</v>
      </c>
      <c r="H8219" s="3" t="s">
        <v>38194</v>
      </c>
      <c r="I8219" s="3" t="s">
        <v>42314</v>
      </c>
      <c r="J8219" s="3" t="s">
        <v>18668</v>
      </c>
      <c r="K8219" s="3" t="s">
        <v>42315</v>
      </c>
      <c r="L8219" s="3" t="s">
        <v>42316</v>
      </c>
      <c r="M8219" s="4"/>
      <c r="N8219" s="3" t="s">
        <v>37</v>
      </c>
      <c r="O8219" s="3" t="s">
        <v>46</v>
      </c>
      <c r="P8219" s="5">
        <v>9</v>
      </c>
      <c r="Q8219" s="5">
        <v>93</v>
      </c>
      <c r="R8219" s="5">
        <v>10</v>
      </c>
      <c r="S8219" s="5">
        <v>93</v>
      </c>
    </row>
    <row r="8220" spans="1:19" ht="28" x14ac:dyDescent="0.15">
      <c r="A8220" s="2">
        <f>HYPERLINK("https://open-school.uspishnemisto.com.ua/school/460928/", 460928)</f>
        <v>460928</v>
      </c>
      <c r="B8220" s="3" t="s">
        <v>42317</v>
      </c>
      <c r="C8220" s="3" t="s">
        <v>31</v>
      </c>
      <c r="D8220" s="3" t="s">
        <v>60</v>
      </c>
      <c r="E8220" s="4" t="s">
        <v>22</v>
      </c>
      <c r="F8220" s="4" t="s">
        <v>42312</v>
      </c>
      <c r="G8220" s="4" t="s">
        <v>42318</v>
      </c>
      <c r="H8220" s="3" t="s">
        <v>38194</v>
      </c>
      <c r="I8220" s="3" t="s">
        <v>42319</v>
      </c>
      <c r="J8220" s="3" t="s">
        <v>42320</v>
      </c>
      <c r="K8220" s="3" t="s">
        <v>42321</v>
      </c>
      <c r="L8220" s="3"/>
      <c r="M8220" s="4"/>
      <c r="N8220" s="3" t="s">
        <v>37</v>
      </c>
      <c r="O8220" s="3" t="s">
        <v>52</v>
      </c>
      <c r="P8220" s="5">
        <v>3</v>
      </c>
      <c r="Q8220" s="5">
        <v>29</v>
      </c>
      <c r="R8220" s="5">
        <v>3</v>
      </c>
      <c r="S8220" s="5">
        <v>28</v>
      </c>
    </row>
    <row r="8221" spans="1:19" ht="28" x14ac:dyDescent="0.15">
      <c r="A8221" s="2">
        <f>HYPERLINK("https://open-school.uspishnemisto.com.ua/school/460929/", 460929)</f>
        <v>460929</v>
      </c>
      <c r="B8221" s="3" t="s">
        <v>42322</v>
      </c>
      <c r="C8221" s="3" t="s">
        <v>31</v>
      </c>
      <c r="D8221" s="3" t="s">
        <v>175</v>
      </c>
      <c r="E8221" s="4" t="s">
        <v>22</v>
      </c>
      <c r="F8221" s="4" t="s">
        <v>42323</v>
      </c>
      <c r="G8221" s="4" t="s">
        <v>42324</v>
      </c>
      <c r="H8221" s="3" t="s">
        <v>38194</v>
      </c>
      <c r="I8221" s="3" t="s">
        <v>42325</v>
      </c>
      <c r="J8221" s="3" t="s">
        <v>6438</v>
      </c>
      <c r="K8221" s="3" t="s">
        <v>42326</v>
      </c>
      <c r="L8221" s="3"/>
      <c r="M8221" s="4"/>
      <c r="N8221" s="3" t="s">
        <v>37</v>
      </c>
      <c r="O8221" s="3" t="s">
        <v>46</v>
      </c>
      <c r="P8221" s="5">
        <v>6</v>
      </c>
      <c r="Q8221" s="5">
        <v>41</v>
      </c>
      <c r="R8221" s="5">
        <v>5</v>
      </c>
      <c r="S8221" s="5">
        <v>36</v>
      </c>
    </row>
    <row r="8222" spans="1:19" ht="56" x14ac:dyDescent="0.15">
      <c r="A8222" s="2">
        <f>HYPERLINK("https://open-school.uspishnemisto.com.ua/school/460931/", 460931)</f>
        <v>460931</v>
      </c>
      <c r="B8222" s="3" t="s">
        <v>42327</v>
      </c>
      <c r="C8222" s="3" t="s">
        <v>54</v>
      </c>
      <c r="D8222" s="3" t="s">
        <v>175</v>
      </c>
      <c r="E8222" s="4" t="s">
        <v>22</v>
      </c>
      <c r="F8222" s="4" t="s">
        <v>42328</v>
      </c>
      <c r="G8222" s="4" t="s">
        <v>42329</v>
      </c>
      <c r="H8222" s="3" t="s">
        <v>38194</v>
      </c>
      <c r="I8222" s="3" t="s">
        <v>42330</v>
      </c>
      <c r="J8222" s="3" t="s">
        <v>39264</v>
      </c>
      <c r="K8222" s="3" t="s">
        <v>42331</v>
      </c>
      <c r="L8222" s="3" t="s">
        <v>42332</v>
      </c>
      <c r="M8222" s="4"/>
      <c r="N8222" s="3" t="s">
        <v>37</v>
      </c>
      <c r="O8222" s="3" t="s">
        <v>46</v>
      </c>
      <c r="P8222" s="5">
        <v>9</v>
      </c>
      <c r="Q8222" s="5">
        <v>73</v>
      </c>
      <c r="R8222" s="5">
        <v>9</v>
      </c>
      <c r="S8222" s="5">
        <v>73</v>
      </c>
    </row>
    <row r="8223" spans="1:19" ht="28" x14ac:dyDescent="0.15">
      <c r="A8223" s="2">
        <f>HYPERLINK("https://open-school.uspishnemisto.com.ua/school/460932/", 460932)</f>
        <v>460932</v>
      </c>
      <c r="B8223" s="3" t="s">
        <v>42333</v>
      </c>
      <c r="C8223" s="3" t="s">
        <v>31</v>
      </c>
      <c r="D8223" s="3" t="s">
        <v>60</v>
      </c>
      <c r="E8223" s="4" t="s">
        <v>22</v>
      </c>
      <c r="F8223" s="4" t="s">
        <v>42328</v>
      </c>
      <c r="G8223" s="4" t="s">
        <v>42334</v>
      </c>
      <c r="H8223" s="3" t="s">
        <v>38194</v>
      </c>
      <c r="I8223" s="3" t="s">
        <v>40122</v>
      </c>
      <c r="J8223" s="3" t="s">
        <v>466</v>
      </c>
      <c r="K8223" s="3"/>
      <c r="L8223" s="3"/>
      <c r="M8223" s="4"/>
      <c r="N8223" s="3" t="s">
        <v>37</v>
      </c>
      <c r="O8223" s="3" t="s">
        <v>618</v>
      </c>
      <c r="P8223" s="5">
        <v>2</v>
      </c>
      <c r="Q8223" s="5">
        <v>20</v>
      </c>
      <c r="R8223" s="5">
        <v>2</v>
      </c>
      <c r="S8223" s="5">
        <v>33</v>
      </c>
    </row>
    <row r="8224" spans="1:19" ht="42" x14ac:dyDescent="0.15">
      <c r="A8224" s="2">
        <f>HYPERLINK("https://open-school.uspishnemisto.com.ua/school/460933/", 460933)</f>
        <v>460933</v>
      </c>
      <c r="B8224" s="3" t="s">
        <v>42335</v>
      </c>
      <c r="C8224" s="3" t="s">
        <v>31</v>
      </c>
      <c r="D8224" s="3" t="s">
        <v>175</v>
      </c>
      <c r="E8224" s="4" t="s">
        <v>22</v>
      </c>
      <c r="F8224" s="4" t="s">
        <v>42336</v>
      </c>
      <c r="G8224" s="4" t="s">
        <v>42337</v>
      </c>
      <c r="H8224" s="3" t="s">
        <v>38194</v>
      </c>
      <c r="I8224" s="3" t="s">
        <v>42338</v>
      </c>
      <c r="J8224" s="3" t="s">
        <v>42339</v>
      </c>
      <c r="K8224" s="3" t="s">
        <v>42340</v>
      </c>
      <c r="L8224" s="3" t="s">
        <v>42341</v>
      </c>
      <c r="M8224" s="4"/>
      <c r="N8224" s="3" t="s">
        <v>37</v>
      </c>
      <c r="O8224" s="3" t="s">
        <v>46</v>
      </c>
      <c r="P8224" s="5">
        <v>9</v>
      </c>
      <c r="Q8224" s="5">
        <v>76</v>
      </c>
      <c r="R8224" s="5">
        <v>9</v>
      </c>
      <c r="S8224" s="5">
        <v>81</v>
      </c>
    </row>
    <row r="8225" spans="1:19" ht="56" x14ac:dyDescent="0.15">
      <c r="A8225" s="2">
        <f>HYPERLINK("https://open-school.uspishnemisto.com.ua/school/460934/", 460934)</f>
        <v>460934</v>
      </c>
      <c r="B8225" s="3" t="s">
        <v>42342</v>
      </c>
      <c r="C8225" s="3" t="s">
        <v>54</v>
      </c>
      <c r="D8225" s="3" t="s">
        <v>32</v>
      </c>
      <c r="E8225" s="4" t="s">
        <v>22</v>
      </c>
      <c r="F8225" s="4" t="s">
        <v>42343</v>
      </c>
      <c r="G8225" s="4" t="s">
        <v>42344</v>
      </c>
      <c r="H8225" s="3" t="s">
        <v>38194</v>
      </c>
      <c r="I8225" s="3" t="s">
        <v>42345</v>
      </c>
      <c r="J8225" s="3" t="s">
        <v>42346</v>
      </c>
      <c r="K8225" s="3" t="s">
        <v>42347</v>
      </c>
      <c r="L8225" s="3" t="s">
        <v>42348</v>
      </c>
      <c r="M8225" s="4"/>
      <c r="N8225" s="3" t="s">
        <v>37</v>
      </c>
      <c r="O8225" s="3" t="s">
        <v>46</v>
      </c>
      <c r="P8225" s="5">
        <v>10</v>
      </c>
      <c r="Q8225" s="5">
        <v>153</v>
      </c>
      <c r="R8225" s="5">
        <v>11</v>
      </c>
      <c r="S8225" s="5">
        <v>160</v>
      </c>
    </row>
    <row r="8226" spans="1:19" ht="28" x14ac:dyDescent="0.15">
      <c r="A8226" s="2">
        <f>HYPERLINK("https://open-school.uspishnemisto.com.ua/school/460935/", 460935)</f>
        <v>460935</v>
      </c>
      <c r="B8226" s="3" t="s">
        <v>42349</v>
      </c>
      <c r="C8226" s="3" t="s">
        <v>31</v>
      </c>
      <c r="D8226" s="3" t="s">
        <v>175</v>
      </c>
      <c r="E8226" s="4" t="s">
        <v>22</v>
      </c>
      <c r="F8226" s="4" t="s">
        <v>42350</v>
      </c>
      <c r="G8226" s="4" t="s">
        <v>42351</v>
      </c>
      <c r="H8226" s="3" t="s">
        <v>38194</v>
      </c>
      <c r="I8226" s="3" t="s">
        <v>42352</v>
      </c>
      <c r="J8226" s="3" t="s">
        <v>7956</v>
      </c>
      <c r="K8226" s="3"/>
      <c r="L8226" s="3"/>
      <c r="M8226" s="4"/>
      <c r="N8226" s="3" t="s">
        <v>37</v>
      </c>
      <c r="O8226" s="3" t="s">
        <v>46</v>
      </c>
      <c r="P8226" s="5">
        <v>5</v>
      </c>
      <c r="Q8226" s="5">
        <v>48</v>
      </c>
      <c r="R8226" s="5">
        <v>3</v>
      </c>
      <c r="S8226" s="5">
        <v>34</v>
      </c>
    </row>
    <row r="8227" spans="1:19" ht="56" x14ac:dyDescent="0.15">
      <c r="A8227" s="2">
        <f>HYPERLINK("https://open-school.uspishnemisto.com.ua/school/460936/", 460936)</f>
        <v>460936</v>
      </c>
      <c r="B8227" s="3" t="s">
        <v>42353</v>
      </c>
      <c r="C8227" s="3" t="s">
        <v>54</v>
      </c>
      <c r="D8227" s="3" t="s">
        <v>175</v>
      </c>
      <c r="E8227" s="4" t="s">
        <v>22</v>
      </c>
      <c r="F8227" s="4" t="s">
        <v>42354</v>
      </c>
      <c r="G8227" s="4" t="s">
        <v>42355</v>
      </c>
      <c r="H8227" s="3" t="s">
        <v>38194</v>
      </c>
      <c r="I8227" s="3" t="s">
        <v>42356</v>
      </c>
      <c r="J8227" s="3" t="s">
        <v>21256</v>
      </c>
      <c r="K8227" s="3" t="s">
        <v>42357</v>
      </c>
      <c r="L8227" s="3" t="s">
        <v>42358</v>
      </c>
      <c r="M8227" s="4"/>
      <c r="N8227" s="3" t="s">
        <v>37</v>
      </c>
      <c r="O8227" s="3" t="s">
        <v>52</v>
      </c>
      <c r="P8227" s="5">
        <v>7</v>
      </c>
      <c r="Q8227" s="5">
        <v>55</v>
      </c>
      <c r="R8227" s="5">
        <v>7</v>
      </c>
      <c r="S8227" s="5">
        <v>60</v>
      </c>
    </row>
    <row r="8228" spans="1:19" ht="28" x14ac:dyDescent="0.15">
      <c r="A8228" s="2">
        <f>HYPERLINK("https://open-school.uspishnemisto.com.ua/school/460937/", 460937)</f>
        <v>460937</v>
      </c>
      <c r="B8228" s="3" t="s">
        <v>42359</v>
      </c>
      <c r="C8228" s="3" t="s">
        <v>31</v>
      </c>
      <c r="D8228" s="3" t="s">
        <v>32</v>
      </c>
      <c r="E8228" s="4" t="s">
        <v>22</v>
      </c>
      <c r="F8228" s="4" t="s">
        <v>42360</v>
      </c>
      <c r="G8228" s="4" t="s">
        <v>42361</v>
      </c>
      <c r="H8228" s="3" t="s">
        <v>38194</v>
      </c>
      <c r="I8228" s="3" t="s">
        <v>42362</v>
      </c>
      <c r="J8228" s="3" t="s">
        <v>42363</v>
      </c>
      <c r="K8228" s="3"/>
      <c r="L8228" s="3"/>
      <c r="M8228" s="4"/>
      <c r="N8228" s="3" t="s">
        <v>37</v>
      </c>
      <c r="O8228" s="3" t="s">
        <v>46</v>
      </c>
      <c r="P8228" s="5">
        <v>15</v>
      </c>
      <c r="Q8228" s="5">
        <v>285</v>
      </c>
      <c r="R8228" s="5">
        <v>14</v>
      </c>
      <c r="S8228" s="5">
        <v>264</v>
      </c>
    </row>
    <row r="8229" spans="1:19" ht="42" x14ac:dyDescent="0.15">
      <c r="A8229" s="2">
        <f>HYPERLINK("https://open-school.uspishnemisto.com.ua/school/460938/", 460938)</f>
        <v>460938</v>
      </c>
      <c r="B8229" s="3" t="s">
        <v>42364</v>
      </c>
      <c r="C8229" s="3" t="s">
        <v>31</v>
      </c>
      <c r="D8229" s="3" t="s">
        <v>32</v>
      </c>
      <c r="E8229" s="4" t="s">
        <v>22</v>
      </c>
      <c r="F8229" s="4" t="s">
        <v>42365</v>
      </c>
      <c r="G8229" s="4" t="s">
        <v>42366</v>
      </c>
      <c r="H8229" s="3" t="s">
        <v>38194</v>
      </c>
      <c r="I8229" s="3" t="s">
        <v>42367</v>
      </c>
      <c r="J8229" s="3" t="s">
        <v>1868</v>
      </c>
      <c r="K8229" s="3" t="s">
        <v>42368</v>
      </c>
      <c r="L8229" s="3" t="s">
        <v>42369</v>
      </c>
      <c r="M8229" s="4"/>
      <c r="N8229" s="3" t="s">
        <v>37</v>
      </c>
      <c r="O8229" s="3" t="s">
        <v>52</v>
      </c>
      <c r="P8229" s="5">
        <v>12</v>
      </c>
      <c r="Q8229" s="5">
        <v>217</v>
      </c>
      <c r="R8229" s="5">
        <v>10</v>
      </c>
      <c r="S8229" s="5">
        <v>199</v>
      </c>
    </row>
    <row r="8230" spans="1:19" ht="28" x14ac:dyDescent="0.15">
      <c r="A8230" s="2">
        <f>HYPERLINK("https://open-school.uspishnemisto.com.ua/school/460939/", 460939)</f>
        <v>460939</v>
      </c>
      <c r="B8230" s="3" t="s">
        <v>42370</v>
      </c>
      <c r="C8230" s="3" t="s">
        <v>31</v>
      </c>
      <c r="D8230" s="3" t="s">
        <v>175</v>
      </c>
      <c r="E8230" s="4" t="s">
        <v>22</v>
      </c>
      <c r="F8230" s="4" t="s">
        <v>42371</v>
      </c>
      <c r="G8230" s="4" t="s">
        <v>42372</v>
      </c>
      <c r="H8230" s="3" t="s">
        <v>38194</v>
      </c>
      <c r="I8230" s="3" t="s">
        <v>42373</v>
      </c>
      <c r="J8230" s="3" t="s">
        <v>42374</v>
      </c>
      <c r="K8230" s="3"/>
      <c r="L8230" s="3"/>
      <c r="M8230" s="4"/>
      <c r="N8230" s="3" t="s">
        <v>37</v>
      </c>
      <c r="O8230" s="3" t="s">
        <v>52</v>
      </c>
      <c r="P8230" s="5">
        <v>9</v>
      </c>
      <c r="Q8230" s="5">
        <v>87</v>
      </c>
      <c r="R8230" s="5">
        <v>8</v>
      </c>
      <c r="S8230" s="5">
        <v>78</v>
      </c>
    </row>
    <row r="8231" spans="1:19" ht="56" x14ac:dyDescent="0.15">
      <c r="A8231" s="2">
        <f>HYPERLINK("https://open-school.uspishnemisto.com.ua/school/460940/", 460940)</f>
        <v>460940</v>
      </c>
      <c r="B8231" s="3" t="s">
        <v>42375</v>
      </c>
      <c r="C8231" s="3" t="s">
        <v>54</v>
      </c>
      <c r="D8231" s="3" t="s">
        <v>175</v>
      </c>
      <c r="E8231" s="4" t="s">
        <v>22</v>
      </c>
      <c r="F8231" s="4" t="s">
        <v>42376</v>
      </c>
      <c r="G8231" s="4" t="s">
        <v>42377</v>
      </c>
      <c r="H8231" s="3" t="s">
        <v>38194</v>
      </c>
      <c r="I8231" s="3" t="s">
        <v>2422</v>
      </c>
      <c r="J8231" s="3" t="s">
        <v>42378</v>
      </c>
      <c r="K8231" s="3" t="s">
        <v>42379</v>
      </c>
      <c r="L8231" s="3" t="s">
        <v>42380</v>
      </c>
      <c r="M8231" s="4"/>
      <c r="N8231" s="3" t="s">
        <v>37</v>
      </c>
      <c r="O8231" s="3" t="s">
        <v>46</v>
      </c>
      <c r="P8231" s="5">
        <v>9</v>
      </c>
      <c r="Q8231" s="5">
        <v>78</v>
      </c>
      <c r="R8231" s="5">
        <v>9</v>
      </c>
      <c r="S8231" s="5">
        <v>68</v>
      </c>
    </row>
    <row r="8232" spans="1:19" ht="28" x14ac:dyDescent="0.15">
      <c r="A8232" s="2">
        <f>HYPERLINK("https://open-school.uspishnemisto.com.ua/school/460941/", 460941)</f>
        <v>460941</v>
      </c>
      <c r="B8232" s="3" t="s">
        <v>42381</v>
      </c>
      <c r="C8232" s="3" t="s">
        <v>31</v>
      </c>
      <c r="D8232" s="3" t="s">
        <v>60</v>
      </c>
      <c r="E8232" s="4" t="s">
        <v>22</v>
      </c>
      <c r="F8232" s="4" t="s">
        <v>42376</v>
      </c>
      <c r="G8232" s="4" t="s">
        <v>42382</v>
      </c>
      <c r="H8232" s="3" t="s">
        <v>38194</v>
      </c>
      <c r="I8232" s="3" t="s">
        <v>42383</v>
      </c>
      <c r="J8232" s="3" t="s">
        <v>42384</v>
      </c>
      <c r="K8232" s="3" t="s">
        <v>42385</v>
      </c>
      <c r="L8232" s="3"/>
      <c r="M8232" s="4"/>
      <c r="N8232" s="3" t="s">
        <v>37</v>
      </c>
      <c r="O8232" s="3" t="s">
        <v>52</v>
      </c>
      <c r="P8232" s="5">
        <v>3</v>
      </c>
      <c r="Q8232" s="5">
        <v>21</v>
      </c>
      <c r="R8232" s="5">
        <v>3</v>
      </c>
      <c r="S8232" s="5">
        <v>22</v>
      </c>
    </row>
    <row r="8233" spans="1:19" ht="56" x14ac:dyDescent="0.15">
      <c r="A8233" s="2">
        <f>HYPERLINK("https://open-school.uspishnemisto.com.ua/school/460942/", 460942)</f>
        <v>460942</v>
      </c>
      <c r="B8233" s="3" t="s">
        <v>42386</v>
      </c>
      <c r="C8233" s="3" t="s">
        <v>54</v>
      </c>
      <c r="D8233" s="3" t="s">
        <v>175</v>
      </c>
      <c r="E8233" s="4" t="s">
        <v>22</v>
      </c>
      <c r="F8233" s="4" t="s">
        <v>42387</v>
      </c>
      <c r="G8233" s="4" t="s">
        <v>42388</v>
      </c>
      <c r="H8233" s="3" t="s">
        <v>38194</v>
      </c>
      <c r="I8233" s="3" t="s">
        <v>42389</v>
      </c>
      <c r="J8233" s="3" t="s">
        <v>42390</v>
      </c>
      <c r="K8233" s="3" t="s">
        <v>42391</v>
      </c>
      <c r="L8233" s="3"/>
      <c r="M8233" s="4"/>
      <c r="N8233" s="3" t="s">
        <v>37</v>
      </c>
      <c r="O8233" s="3" t="s">
        <v>2740</v>
      </c>
      <c r="P8233" s="5">
        <v>9</v>
      </c>
      <c r="Q8233" s="5">
        <v>97</v>
      </c>
      <c r="R8233" s="5">
        <v>9</v>
      </c>
      <c r="S8233" s="5">
        <v>108</v>
      </c>
    </row>
    <row r="8234" spans="1:19" ht="28" x14ac:dyDescent="0.15">
      <c r="A8234" s="2">
        <f>HYPERLINK("https://open-school.uspishnemisto.com.ua/school/460943/", 460943)</f>
        <v>460943</v>
      </c>
      <c r="B8234" s="3" t="s">
        <v>42392</v>
      </c>
      <c r="C8234" s="3" t="s">
        <v>31</v>
      </c>
      <c r="D8234" s="3" t="s">
        <v>175</v>
      </c>
      <c r="E8234" s="4" t="s">
        <v>22</v>
      </c>
      <c r="F8234" s="4" t="s">
        <v>42350</v>
      </c>
      <c r="G8234" s="4" t="s">
        <v>42393</v>
      </c>
      <c r="H8234" s="3" t="s">
        <v>38194</v>
      </c>
      <c r="I8234" s="3" t="s">
        <v>42394</v>
      </c>
      <c r="J8234" s="3" t="s">
        <v>466</v>
      </c>
      <c r="K8234" s="3" t="s">
        <v>42395</v>
      </c>
      <c r="L8234" s="3"/>
      <c r="M8234" s="4"/>
      <c r="N8234" s="3" t="s">
        <v>37</v>
      </c>
      <c r="O8234" s="3" t="s">
        <v>52</v>
      </c>
      <c r="P8234" s="5">
        <v>4</v>
      </c>
      <c r="Q8234" s="5">
        <v>39</v>
      </c>
      <c r="R8234" s="5">
        <v>6</v>
      </c>
      <c r="S8234" s="5">
        <v>44</v>
      </c>
    </row>
    <row r="8235" spans="1:19" ht="56" x14ac:dyDescent="0.15">
      <c r="A8235" s="2">
        <f>HYPERLINK("https://open-school.uspishnemisto.com.ua/school/460944/", 460944)</f>
        <v>460944</v>
      </c>
      <c r="B8235" s="3" t="s">
        <v>42396</v>
      </c>
      <c r="C8235" s="3" t="s">
        <v>54</v>
      </c>
      <c r="D8235" s="3" t="s">
        <v>32</v>
      </c>
      <c r="E8235" s="4" t="s">
        <v>22</v>
      </c>
      <c r="F8235" s="4" t="s">
        <v>42397</v>
      </c>
      <c r="G8235" s="4" t="s">
        <v>42398</v>
      </c>
      <c r="H8235" s="3" t="s">
        <v>38194</v>
      </c>
      <c r="I8235" s="3" t="s">
        <v>42399</v>
      </c>
      <c r="J8235" s="3" t="s">
        <v>42400</v>
      </c>
      <c r="K8235" s="3" t="s">
        <v>42401</v>
      </c>
      <c r="L8235" s="3" t="s">
        <v>42402</v>
      </c>
      <c r="M8235" s="4"/>
      <c r="N8235" s="3" t="s">
        <v>37</v>
      </c>
      <c r="O8235" s="3" t="s">
        <v>46</v>
      </c>
      <c r="P8235" s="5">
        <v>11</v>
      </c>
      <c r="Q8235" s="5">
        <v>118</v>
      </c>
      <c r="R8235" s="5">
        <v>11</v>
      </c>
      <c r="S8235" s="5">
        <v>115</v>
      </c>
    </row>
    <row r="8236" spans="1:19" ht="28" x14ac:dyDescent="0.15">
      <c r="A8236" s="2">
        <f>HYPERLINK("https://open-school.uspishnemisto.com.ua/school/460945/", 460945)</f>
        <v>460945</v>
      </c>
      <c r="B8236" s="3" t="s">
        <v>42403</v>
      </c>
      <c r="C8236" s="3" t="s">
        <v>31</v>
      </c>
      <c r="D8236" s="3" t="s">
        <v>60</v>
      </c>
      <c r="E8236" s="4" t="s">
        <v>22</v>
      </c>
      <c r="F8236" s="4" t="s">
        <v>42404</v>
      </c>
      <c r="G8236" s="4" t="s">
        <v>42405</v>
      </c>
      <c r="H8236" s="3" t="s">
        <v>38194</v>
      </c>
      <c r="I8236" s="3" t="s">
        <v>42406</v>
      </c>
      <c r="J8236" s="3" t="s">
        <v>42407</v>
      </c>
      <c r="K8236" s="3"/>
      <c r="L8236" s="3"/>
      <c r="M8236" s="4"/>
      <c r="N8236" s="3" t="s">
        <v>37</v>
      </c>
      <c r="O8236" s="3" t="s">
        <v>52</v>
      </c>
      <c r="P8236" s="5">
        <v>2</v>
      </c>
      <c r="Q8236" s="5">
        <v>18</v>
      </c>
      <c r="R8236" s="5">
        <v>1</v>
      </c>
      <c r="S8236" s="5">
        <v>15</v>
      </c>
    </row>
    <row r="8237" spans="1:19" ht="28" x14ac:dyDescent="0.15">
      <c r="A8237" s="2">
        <f>HYPERLINK("https://open-school.uspishnemisto.com.ua/school/460946/", 460946)</f>
        <v>460946</v>
      </c>
      <c r="B8237" s="3" t="s">
        <v>42408</v>
      </c>
      <c r="C8237" s="3" t="s">
        <v>31</v>
      </c>
      <c r="D8237" s="3" t="s">
        <v>175</v>
      </c>
      <c r="E8237" s="4" t="s">
        <v>22</v>
      </c>
      <c r="F8237" s="4" t="s">
        <v>42404</v>
      </c>
      <c r="G8237" s="4" t="s">
        <v>42409</v>
      </c>
      <c r="H8237" s="3" t="s">
        <v>38194</v>
      </c>
      <c r="I8237" s="3" t="s">
        <v>42410</v>
      </c>
      <c r="J8237" s="3" t="s">
        <v>42411</v>
      </c>
      <c r="K8237" s="3" t="s">
        <v>42412</v>
      </c>
      <c r="L8237" s="3"/>
      <c r="M8237" s="4"/>
      <c r="N8237" s="3" t="s">
        <v>37</v>
      </c>
      <c r="O8237" s="3" t="s">
        <v>46</v>
      </c>
      <c r="P8237" s="5">
        <v>5</v>
      </c>
      <c r="Q8237" s="5">
        <v>53</v>
      </c>
      <c r="R8237" s="5">
        <v>7</v>
      </c>
      <c r="S8237" s="5">
        <v>56</v>
      </c>
    </row>
    <row r="8238" spans="1:19" ht="56" x14ac:dyDescent="0.15">
      <c r="A8238" s="2">
        <f>HYPERLINK("https://open-school.uspishnemisto.com.ua/school/460947/", 460947)</f>
        <v>460947</v>
      </c>
      <c r="B8238" s="3" t="s">
        <v>42413</v>
      </c>
      <c r="C8238" s="3" t="s">
        <v>54</v>
      </c>
      <c r="D8238" s="3" t="s">
        <v>32</v>
      </c>
      <c r="E8238" s="4" t="s">
        <v>22</v>
      </c>
      <c r="F8238" s="4" t="s">
        <v>42414</v>
      </c>
      <c r="G8238" s="4" t="s">
        <v>42415</v>
      </c>
      <c r="H8238" s="3" t="s">
        <v>38194</v>
      </c>
      <c r="I8238" s="3" t="s">
        <v>18440</v>
      </c>
      <c r="J8238" s="3" t="s">
        <v>3363</v>
      </c>
      <c r="K8238" s="3"/>
      <c r="L8238" s="3"/>
      <c r="M8238" s="4"/>
      <c r="N8238" s="3" t="s">
        <v>37</v>
      </c>
      <c r="O8238" s="3" t="s">
        <v>46</v>
      </c>
      <c r="P8238" s="5">
        <v>11</v>
      </c>
      <c r="Q8238" s="5">
        <v>200</v>
      </c>
      <c r="R8238" s="5">
        <v>11</v>
      </c>
      <c r="S8238" s="5">
        <v>190</v>
      </c>
    </row>
    <row r="8239" spans="1:19" ht="28" x14ac:dyDescent="0.15">
      <c r="A8239" s="2">
        <f>HYPERLINK("https://open-school.uspishnemisto.com.ua/school/460948/", 460948)</f>
        <v>460948</v>
      </c>
      <c r="B8239" s="3" t="s">
        <v>42416</v>
      </c>
      <c r="C8239" s="3" t="s">
        <v>31</v>
      </c>
      <c r="D8239" s="3" t="s">
        <v>60</v>
      </c>
      <c r="E8239" s="4" t="s">
        <v>22</v>
      </c>
      <c r="F8239" s="4" t="s">
        <v>42414</v>
      </c>
      <c r="G8239" s="4" t="s">
        <v>42417</v>
      </c>
      <c r="H8239" s="3" t="s">
        <v>38194</v>
      </c>
      <c r="I8239" s="3" t="s">
        <v>33639</v>
      </c>
      <c r="J8239" s="3" t="s">
        <v>2434</v>
      </c>
      <c r="K8239" s="3"/>
      <c r="L8239" s="3"/>
      <c r="M8239" s="4"/>
      <c r="N8239" s="3" t="s">
        <v>37</v>
      </c>
      <c r="O8239" s="3" t="s">
        <v>52</v>
      </c>
      <c r="P8239" s="5">
        <v>4</v>
      </c>
      <c r="Q8239" s="5">
        <v>29</v>
      </c>
      <c r="R8239" s="5">
        <v>4</v>
      </c>
      <c r="S8239" s="5">
        <v>32</v>
      </c>
    </row>
    <row r="8240" spans="1:19" ht="28" x14ac:dyDescent="0.15">
      <c r="A8240" s="2">
        <f>HYPERLINK("https://open-school.uspishnemisto.com.ua/school/460949/", 460949)</f>
        <v>460949</v>
      </c>
      <c r="B8240" s="3" t="s">
        <v>42418</v>
      </c>
      <c r="C8240" s="3" t="s">
        <v>31</v>
      </c>
      <c r="D8240" s="3" t="s">
        <v>175</v>
      </c>
      <c r="E8240" s="4" t="s">
        <v>22</v>
      </c>
      <c r="F8240" s="4" t="s">
        <v>42414</v>
      </c>
      <c r="G8240" s="4" t="s">
        <v>42419</v>
      </c>
      <c r="H8240" s="3" t="s">
        <v>38194</v>
      </c>
      <c r="I8240" s="3" t="s">
        <v>42420</v>
      </c>
      <c r="J8240" s="3" t="s">
        <v>42119</v>
      </c>
      <c r="K8240" s="3"/>
      <c r="L8240" s="3" t="s">
        <v>42421</v>
      </c>
      <c r="M8240" s="4"/>
      <c r="N8240" s="3" t="s">
        <v>37</v>
      </c>
      <c r="O8240" s="3" t="s">
        <v>46</v>
      </c>
      <c r="P8240" s="5">
        <v>8</v>
      </c>
      <c r="Q8240" s="5">
        <v>69</v>
      </c>
      <c r="R8240" s="5">
        <v>8</v>
      </c>
      <c r="S8240" s="5">
        <v>59</v>
      </c>
    </row>
    <row r="8241" spans="1:19" ht="28" x14ac:dyDescent="0.15">
      <c r="A8241" s="2">
        <f>HYPERLINK("https://open-school.uspishnemisto.com.ua/school/460950/", 460950)</f>
        <v>460950</v>
      </c>
      <c r="B8241" s="3" t="s">
        <v>42422</v>
      </c>
      <c r="C8241" s="3" t="s">
        <v>31</v>
      </c>
      <c r="D8241" s="3" t="s">
        <v>175</v>
      </c>
      <c r="E8241" s="4" t="s">
        <v>22</v>
      </c>
      <c r="F8241" s="4" t="s">
        <v>42423</v>
      </c>
      <c r="G8241" s="4" t="s">
        <v>42424</v>
      </c>
      <c r="H8241" s="3" t="s">
        <v>38194</v>
      </c>
      <c r="I8241" s="3" t="s">
        <v>42425</v>
      </c>
      <c r="J8241" s="3" t="s">
        <v>42426</v>
      </c>
      <c r="K8241" s="3"/>
      <c r="L8241" s="3"/>
      <c r="M8241" s="4"/>
      <c r="N8241" s="3" t="s">
        <v>37</v>
      </c>
      <c r="O8241" s="3" t="s">
        <v>46</v>
      </c>
      <c r="P8241" s="5">
        <v>9</v>
      </c>
      <c r="Q8241" s="5">
        <v>80</v>
      </c>
      <c r="R8241" s="5">
        <v>9</v>
      </c>
      <c r="S8241" s="5">
        <v>77</v>
      </c>
    </row>
    <row r="8242" spans="1:19" ht="28" x14ac:dyDescent="0.15">
      <c r="A8242" s="2">
        <f>HYPERLINK("https://open-school.uspishnemisto.com.ua/school/460951/", 460951)</f>
        <v>460951</v>
      </c>
      <c r="B8242" s="3" t="s">
        <v>42427</v>
      </c>
      <c r="C8242" s="3" t="s">
        <v>31</v>
      </c>
      <c r="D8242" s="3" t="s">
        <v>32</v>
      </c>
      <c r="E8242" s="4" t="s">
        <v>22</v>
      </c>
      <c r="F8242" s="4" t="s">
        <v>42428</v>
      </c>
      <c r="G8242" s="4" t="s">
        <v>42429</v>
      </c>
      <c r="H8242" s="3" t="s">
        <v>38194</v>
      </c>
      <c r="I8242" s="3" t="s">
        <v>40041</v>
      </c>
      <c r="J8242" s="3" t="s">
        <v>10965</v>
      </c>
      <c r="K8242" s="3" t="s">
        <v>42430</v>
      </c>
      <c r="L8242" s="3" t="s">
        <v>42431</v>
      </c>
      <c r="M8242" s="4"/>
      <c r="N8242" s="3" t="s">
        <v>37</v>
      </c>
      <c r="O8242" s="3" t="s">
        <v>46</v>
      </c>
      <c r="P8242" s="5">
        <v>9</v>
      </c>
      <c r="Q8242" s="5">
        <v>85</v>
      </c>
      <c r="R8242" s="5">
        <v>10</v>
      </c>
      <c r="S8242" s="5">
        <v>92</v>
      </c>
    </row>
    <row r="8243" spans="1:19" ht="28" x14ac:dyDescent="0.15">
      <c r="A8243" s="2">
        <f>HYPERLINK("https://open-school.uspishnemisto.com.ua/school/460952/", 460952)</f>
        <v>460952</v>
      </c>
      <c r="B8243" s="3" t="s">
        <v>42432</v>
      </c>
      <c r="C8243" s="3" t="s">
        <v>31</v>
      </c>
      <c r="D8243" s="3" t="s">
        <v>32</v>
      </c>
      <c r="E8243" s="4" t="s">
        <v>22</v>
      </c>
      <c r="F8243" s="4" t="s">
        <v>42433</v>
      </c>
      <c r="G8243" s="4" t="s">
        <v>42434</v>
      </c>
      <c r="H8243" s="3" t="s">
        <v>38194</v>
      </c>
      <c r="I8243" s="3" t="s">
        <v>23559</v>
      </c>
      <c r="J8243" s="3" t="s">
        <v>37289</v>
      </c>
      <c r="K8243" s="3" t="s">
        <v>42435</v>
      </c>
      <c r="L8243" s="3" t="s">
        <v>42436</v>
      </c>
      <c r="M8243" s="4"/>
      <c r="N8243" s="3" t="s">
        <v>37</v>
      </c>
      <c r="O8243" s="3" t="s">
        <v>46</v>
      </c>
      <c r="P8243" s="5">
        <v>11</v>
      </c>
      <c r="Q8243" s="5">
        <v>118</v>
      </c>
      <c r="R8243" s="5">
        <v>10</v>
      </c>
      <c r="S8243" s="5">
        <v>107</v>
      </c>
    </row>
    <row r="8244" spans="1:19" ht="28" x14ac:dyDescent="0.15">
      <c r="A8244" s="2">
        <f>HYPERLINK("https://open-school.uspishnemisto.com.ua/school/460954/", 460954)</f>
        <v>460954</v>
      </c>
      <c r="B8244" s="3" t="s">
        <v>42437</v>
      </c>
      <c r="C8244" s="3" t="s">
        <v>31</v>
      </c>
      <c r="D8244" s="3" t="s">
        <v>60</v>
      </c>
      <c r="E8244" s="4" t="s">
        <v>22</v>
      </c>
      <c r="F8244" s="4" t="s">
        <v>42433</v>
      </c>
      <c r="G8244" s="4" t="s">
        <v>42438</v>
      </c>
      <c r="H8244" s="3" t="s">
        <v>38194</v>
      </c>
      <c r="I8244" s="3" t="s">
        <v>42439</v>
      </c>
      <c r="J8244" s="3" t="s">
        <v>3440</v>
      </c>
      <c r="K8244" s="3" t="s">
        <v>42440</v>
      </c>
      <c r="L8244" s="3"/>
      <c r="M8244" s="4"/>
      <c r="N8244" s="3" t="s">
        <v>37</v>
      </c>
      <c r="O8244" s="3" t="s">
        <v>46</v>
      </c>
      <c r="P8244" s="5">
        <v>1</v>
      </c>
      <c r="Q8244" s="5">
        <v>14</v>
      </c>
      <c r="R8244" s="5">
        <v>2</v>
      </c>
      <c r="S8244" s="5">
        <v>18</v>
      </c>
    </row>
    <row r="8245" spans="1:19" ht="28" x14ac:dyDescent="0.15">
      <c r="A8245" s="2">
        <f>HYPERLINK("https://open-school.uspishnemisto.com.ua/school/460955/", 460955)</f>
        <v>460955</v>
      </c>
      <c r="B8245" s="3" t="s">
        <v>42441</v>
      </c>
      <c r="C8245" s="3" t="s">
        <v>31</v>
      </c>
      <c r="D8245" s="3" t="s">
        <v>60</v>
      </c>
      <c r="E8245" s="4" t="s">
        <v>22</v>
      </c>
      <c r="F8245" s="4" t="s">
        <v>42442</v>
      </c>
      <c r="G8245" s="4" t="s">
        <v>42443</v>
      </c>
      <c r="H8245" s="3" t="s">
        <v>38194</v>
      </c>
      <c r="I8245" s="3" t="s">
        <v>42444</v>
      </c>
      <c r="J8245" s="3" t="s">
        <v>25480</v>
      </c>
      <c r="K8245" s="3"/>
      <c r="L8245" s="3" t="s">
        <v>42445</v>
      </c>
      <c r="M8245" s="4"/>
      <c r="N8245" s="3" t="s">
        <v>37</v>
      </c>
      <c r="O8245" s="3" t="s">
        <v>52</v>
      </c>
      <c r="P8245" s="5">
        <v>0</v>
      </c>
      <c r="Q8245" s="5">
        <v>9</v>
      </c>
      <c r="R8245" s="5">
        <v>0</v>
      </c>
      <c r="S8245" s="5">
        <v>11</v>
      </c>
    </row>
    <row r="8246" spans="1:19" ht="28" x14ac:dyDescent="0.15">
      <c r="A8246" s="2">
        <f>HYPERLINK("https://open-school.uspishnemisto.com.ua/school/460956/", 460956)</f>
        <v>460956</v>
      </c>
      <c r="B8246" s="3" t="s">
        <v>42446</v>
      </c>
      <c r="C8246" s="3" t="s">
        <v>31</v>
      </c>
      <c r="D8246" s="3" t="s">
        <v>175</v>
      </c>
      <c r="E8246" s="4" t="s">
        <v>22</v>
      </c>
      <c r="F8246" s="4" t="s">
        <v>42442</v>
      </c>
      <c r="G8246" s="4" t="s">
        <v>42447</v>
      </c>
      <c r="H8246" s="3" t="s">
        <v>38194</v>
      </c>
      <c r="I8246" s="3" t="s">
        <v>42448</v>
      </c>
      <c r="J8246" s="3" t="s">
        <v>42449</v>
      </c>
      <c r="K8246" s="3" t="s">
        <v>42450</v>
      </c>
      <c r="L8246" s="3"/>
      <c r="M8246" s="4"/>
      <c r="N8246" s="3" t="s">
        <v>37</v>
      </c>
      <c r="O8246" s="3" t="s">
        <v>52</v>
      </c>
      <c r="P8246" s="5">
        <v>6</v>
      </c>
      <c r="Q8246" s="5">
        <v>57</v>
      </c>
      <c r="R8246" s="5">
        <v>6</v>
      </c>
      <c r="S8246" s="5">
        <v>56</v>
      </c>
    </row>
    <row r="8247" spans="1:19" ht="28" x14ac:dyDescent="0.15">
      <c r="A8247" s="2">
        <f>HYPERLINK("https://open-school.uspishnemisto.com.ua/school/460957/", 460957)</f>
        <v>460957</v>
      </c>
      <c r="B8247" s="3" t="s">
        <v>42451</v>
      </c>
      <c r="C8247" s="3" t="s">
        <v>31</v>
      </c>
      <c r="D8247" s="3" t="s">
        <v>32</v>
      </c>
      <c r="E8247" s="4" t="s">
        <v>22</v>
      </c>
      <c r="F8247" s="4" t="s">
        <v>42452</v>
      </c>
      <c r="G8247" s="4" t="s">
        <v>42453</v>
      </c>
      <c r="H8247" s="3" t="s">
        <v>38194</v>
      </c>
      <c r="I8247" s="3" t="s">
        <v>42454</v>
      </c>
      <c r="J8247" s="3" t="s">
        <v>42455</v>
      </c>
      <c r="K8247" s="3" t="s">
        <v>42456</v>
      </c>
      <c r="L8247" s="3"/>
      <c r="M8247" s="4"/>
      <c r="N8247" s="3" t="s">
        <v>37</v>
      </c>
      <c r="O8247" s="3" t="s">
        <v>46</v>
      </c>
      <c r="P8247" s="5">
        <v>10</v>
      </c>
      <c r="Q8247" s="5">
        <v>119</v>
      </c>
      <c r="R8247" s="5">
        <v>9</v>
      </c>
      <c r="S8247" s="5">
        <v>111</v>
      </c>
    </row>
    <row r="8248" spans="1:19" ht="28" x14ac:dyDescent="0.15">
      <c r="A8248" s="2">
        <f>HYPERLINK("https://open-school.uspishnemisto.com.ua/school/460958/", 460958)</f>
        <v>460958</v>
      </c>
      <c r="B8248" s="3" t="s">
        <v>42457</v>
      </c>
      <c r="C8248" s="3" t="s">
        <v>31</v>
      </c>
      <c r="D8248" s="3" t="s">
        <v>175</v>
      </c>
      <c r="E8248" s="4" t="s">
        <v>22</v>
      </c>
      <c r="F8248" s="4" t="s">
        <v>42452</v>
      </c>
      <c r="G8248" s="4" t="s">
        <v>42458</v>
      </c>
      <c r="H8248" s="3" t="s">
        <v>38194</v>
      </c>
      <c r="I8248" s="3" t="s">
        <v>42459</v>
      </c>
      <c r="J8248" s="3" t="s">
        <v>5632</v>
      </c>
      <c r="K8248" s="3" t="s">
        <v>42460</v>
      </c>
      <c r="L8248" s="3"/>
      <c r="M8248" s="4"/>
      <c r="N8248" s="3" t="s">
        <v>37</v>
      </c>
      <c r="O8248" s="3" t="s">
        <v>46</v>
      </c>
      <c r="P8248" s="5">
        <v>4</v>
      </c>
      <c r="Q8248" s="5">
        <v>41</v>
      </c>
      <c r="R8248" s="5">
        <v>5</v>
      </c>
      <c r="S8248" s="5">
        <v>41</v>
      </c>
    </row>
    <row r="8249" spans="1:19" ht="28" x14ac:dyDescent="0.15">
      <c r="A8249" s="2">
        <f>HYPERLINK("https://open-school.uspishnemisto.com.ua/school/460959/", 460959)</f>
        <v>460959</v>
      </c>
      <c r="B8249" s="3" t="s">
        <v>42461</v>
      </c>
      <c r="C8249" s="3" t="s">
        <v>31</v>
      </c>
      <c r="D8249" s="3" t="s">
        <v>32</v>
      </c>
      <c r="E8249" s="4" t="s">
        <v>22</v>
      </c>
      <c r="F8249" s="4" t="s">
        <v>42462</v>
      </c>
      <c r="G8249" s="4" t="s">
        <v>42463</v>
      </c>
      <c r="H8249" s="3" t="s">
        <v>38194</v>
      </c>
      <c r="I8249" s="3" t="s">
        <v>42464</v>
      </c>
      <c r="J8249" s="3" t="s">
        <v>1930</v>
      </c>
      <c r="K8249" s="3" t="s">
        <v>42465</v>
      </c>
      <c r="L8249" s="3" t="s">
        <v>42466</v>
      </c>
      <c r="M8249" s="4"/>
      <c r="N8249" s="3" t="s">
        <v>37</v>
      </c>
      <c r="O8249" s="3" t="s">
        <v>2740</v>
      </c>
      <c r="P8249" s="5">
        <v>11</v>
      </c>
      <c r="Q8249" s="5">
        <v>189</v>
      </c>
      <c r="R8249" s="5">
        <v>11</v>
      </c>
      <c r="S8249" s="5">
        <v>198</v>
      </c>
    </row>
    <row r="8250" spans="1:19" ht="28" x14ac:dyDescent="0.15">
      <c r="A8250" s="2">
        <f>HYPERLINK("https://open-school.uspishnemisto.com.ua/school/460960/", 460960)</f>
        <v>460960</v>
      </c>
      <c r="B8250" s="3" t="s">
        <v>42467</v>
      </c>
      <c r="C8250" s="3" t="s">
        <v>31</v>
      </c>
      <c r="D8250" s="3" t="s">
        <v>175</v>
      </c>
      <c r="E8250" s="4" t="s">
        <v>22</v>
      </c>
      <c r="F8250" s="4" t="s">
        <v>42468</v>
      </c>
      <c r="G8250" s="4" t="s">
        <v>42469</v>
      </c>
      <c r="H8250" s="3" t="s">
        <v>38194</v>
      </c>
      <c r="I8250" s="3" t="s">
        <v>42470</v>
      </c>
      <c r="J8250" s="3" t="s">
        <v>42471</v>
      </c>
      <c r="K8250" s="3" t="s">
        <v>42472</v>
      </c>
      <c r="L8250" s="3"/>
      <c r="M8250" s="4"/>
      <c r="N8250" s="3" t="s">
        <v>37</v>
      </c>
      <c r="O8250" s="3" t="s">
        <v>52</v>
      </c>
      <c r="P8250" s="5">
        <v>5</v>
      </c>
      <c r="Q8250" s="5">
        <v>44</v>
      </c>
      <c r="R8250" s="5">
        <v>6</v>
      </c>
      <c r="S8250" s="5">
        <v>45</v>
      </c>
    </row>
    <row r="8251" spans="1:19" ht="28" x14ac:dyDescent="0.15">
      <c r="A8251" s="2">
        <f>HYPERLINK("https://open-school.uspishnemisto.com.ua/school/460961/", 460961)</f>
        <v>460961</v>
      </c>
      <c r="B8251" s="3" t="s">
        <v>42473</v>
      </c>
      <c r="C8251" s="3" t="s">
        <v>31</v>
      </c>
      <c r="D8251" s="3" t="s">
        <v>32</v>
      </c>
      <c r="E8251" s="4" t="s">
        <v>22</v>
      </c>
      <c r="F8251" s="4" t="s">
        <v>42474</v>
      </c>
      <c r="G8251" s="4" t="s">
        <v>42475</v>
      </c>
      <c r="H8251" s="3" t="s">
        <v>38194</v>
      </c>
      <c r="I8251" s="3" t="s">
        <v>28689</v>
      </c>
      <c r="J8251" s="3" t="s">
        <v>466</v>
      </c>
      <c r="K8251" s="3"/>
      <c r="L8251" s="3" t="s">
        <v>42476</v>
      </c>
      <c r="M8251" s="4"/>
      <c r="N8251" s="3" t="s">
        <v>37</v>
      </c>
      <c r="O8251" s="3" t="s">
        <v>46</v>
      </c>
      <c r="P8251" s="5">
        <v>16</v>
      </c>
      <c r="Q8251" s="5">
        <v>304</v>
      </c>
      <c r="R8251" s="5">
        <v>16</v>
      </c>
      <c r="S8251" s="5">
        <v>303</v>
      </c>
    </row>
    <row r="8252" spans="1:19" ht="42" x14ac:dyDescent="0.15">
      <c r="A8252" s="2">
        <f>HYPERLINK("https://open-school.uspishnemisto.com.ua/school/460962/", 460962)</f>
        <v>460962</v>
      </c>
      <c r="B8252" s="3" t="s">
        <v>42477</v>
      </c>
      <c r="C8252" s="3" t="s">
        <v>31</v>
      </c>
      <c r="D8252" s="3" t="s">
        <v>32</v>
      </c>
      <c r="E8252" s="4" t="s">
        <v>22</v>
      </c>
      <c r="F8252" s="4" t="s">
        <v>42478</v>
      </c>
      <c r="G8252" s="4" t="s">
        <v>42479</v>
      </c>
      <c r="H8252" s="3" t="s">
        <v>38194</v>
      </c>
      <c r="I8252" s="3" t="s">
        <v>42480</v>
      </c>
      <c r="J8252" s="3" t="s">
        <v>2687</v>
      </c>
      <c r="K8252" s="3" t="s">
        <v>42481</v>
      </c>
      <c r="L8252" s="3" t="s">
        <v>42482</v>
      </c>
      <c r="M8252" s="4"/>
      <c r="N8252" s="3" t="s">
        <v>37</v>
      </c>
      <c r="O8252" s="3" t="s">
        <v>46</v>
      </c>
      <c r="P8252" s="5">
        <v>10</v>
      </c>
      <c r="Q8252" s="5">
        <v>140</v>
      </c>
      <c r="R8252" s="5">
        <v>10</v>
      </c>
      <c r="S8252" s="5">
        <v>133</v>
      </c>
    </row>
    <row r="8253" spans="1:19" ht="42" x14ac:dyDescent="0.15">
      <c r="A8253" s="2">
        <f>HYPERLINK("https://open-school.uspishnemisto.com.ua/school/460963/", 460963)</f>
        <v>460963</v>
      </c>
      <c r="B8253" s="3" t="s">
        <v>42483</v>
      </c>
      <c r="C8253" s="3" t="s">
        <v>31</v>
      </c>
      <c r="D8253" s="3" t="s">
        <v>60</v>
      </c>
      <c r="E8253" s="4" t="s">
        <v>22</v>
      </c>
      <c r="F8253" s="4" t="s">
        <v>42484</v>
      </c>
      <c r="G8253" s="4" t="s">
        <v>42485</v>
      </c>
      <c r="H8253" s="3" t="s">
        <v>38194</v>
      </c>
      <c r="I8253" s="3" t="s">
        <v>42486</v>
      </c>
      <c r="J8253" s="3" t="s">
        <v>8007</v>
      </c>
      <c r="K8253" s="3"/>
      <c r="L8253" s="3"/>
      <c r="M8253" s="4"/>
      <c r="N8253" s="3" t="s">
        <v>37</v>
      </c>
      <c r="O8253" s="3" t="s">
        <v>52</v>
      </c>
      <c r="P8253" s="5">
        <v>4</v>
      </c>
      <c r="Q8253" s="5">
        <v>39</v>
      </c>
      <c r="R8253" s="5">
        <v>4</v>
      </c>
      <c r="S8253" s="5">
        <v>33</v>
      </c>
    </row>
    <row r="8254" spans="1:19" ht="42" x14ac:dyDescent="0.15">
      <c r="A8254" s="2">
        <f>HYPERLINK("https://open-school.uspishnemisto.com.ua/school/460964/", 460964)</f>
        <v>460964</v>
      </c>
      <c r="B8254" s="3" t="s">
        <v>42487</v>
      </c>
      <c r="C8254" s="3" t="s">
        <v>31</v>
      </c>
      <c r="D8254" s="3" t="s">
        <v>60</v>
      </c>
      <c r="E8254" s="4" t="s">
        <v>22</v>
      </c>
      <c r="F8254" s="4" t="s">
        <v>42488</v>
      </c>
      <c r="G8254" s="4" t="s">
        <v>42489</v>
      </c>
      <c r="H8254" s="3" t="s">
        <v>38194</v>
      </c>
      <c r="I8254" s="3" t="s">
        <v>33568</v>
      </c>
      <c r="J8254" s="3" t="s">
        <v>26621</v>
      </c>
      <c r="K8254" s="3" t="s">
        <v>42490</v>
      </c>
      <c r="L8254" s="3"/>
      <c r="M8254" s="4"/>
      <c r="N8254" s="3" t="s">
        <v>37</v>
      </c>
      <c r="O8254" s="3" t="s">
        <v>52</v>
      </c>
      <c r="P8254" s="5">
        <v>3</v>
      </c>
      <c r="Q8254" s="5">
        <v>18</v>
      </c>
      <c r="R8254" s="5">
        <v>2</v>
      </c>
      <c r="S8254" s="5">
        <v>18</v>
      </c>
    </row>
    <row r="8255" spans="1:19" ht="42" x14ac:dyDescent="0.15">
      <c r="A8255" s="2">
        <f>HYPERLINK("https://open-school.uspishnemisto.com.ua/school/460966/", 460966)</f>
        <v>460966</v>
      </c>
      <c r="B8255" s="3" t="s">
        <v>42491</v>
      </c>
      <c r="C8255" s="3" t="s">
        <v>31</v>
      </c>
      <c r="D8255" s="3" t="s">
        <v>32</v>
      </c>
      <c r="E8255" s="4" t="s">
        <v>22</v>
      </c>
      <c r="F8255" s="4" t="s">
        <v>42492</v>
      </c>
      <c r="G8255" s="4" t="s">
        <v>42493</v>
      </c>
      <c r="H8255" s="3" t="s">
        <v>38194</v>
      </c>
      <c r="I8255" s="3" t="s">
        <v>42494</v>
      </c>
      <c r="J8255" s="3" t="s">
        <v>42495</v>
      </c>
      <c r="K8255" s="3" t="s">
        <v>42496</v>
      </c>
      <c r="L8255" s="3" t="s">
        <v>42497</v>
      </c>
      <c r="M8255" s="4"/>
      <c r="N8255" s="3" t="s">
        <v>37</v>
      </c>
      <c r="O8255" s="3" t="s">
        <v>46</v>
      </c>
      <c r="P8255" s="5">
        <v>20</v>
      </c>
      <c r="Q8255" s="5">
        <v>433</v>
      </c>
      <c r="R8255" s="5">
        <v>19</v>
      </c>
      <c r="S8255" s="5">
        <v>422</v>
      </c>
    </row>
    <row r="8256" spans="1:19" ht="28" x14ac:dyDescent="0.15">
      <c r="A8256" s="2">
        <f>HYPERLINK("https://open-school.uspishnemisto.com.ua/school/460967/", 460967)</f>
        <v>460967</v>
      </c>
      <c r="B8256" s="3" t="s">
        <v>42498</v>
      </c>
      <c r="C8256" s="3" t="s">
        <v>31</v>
      </c>
      <c r="D8256" s="3" t="s">
        <v>32</v>
      </c>
      <c r="E8256" s="4" t="s">
        <v>22</v>
      </c>
      <c r="F8256" s="4" t="s">
        <v>42499</v>
      </c>
      <c r="G8256" s="4" t="s">
        <v>42500</v>
      </c>
      <c r="H8256" s="3" t="s">
        <v>38194</v>
      </c>
      <c r="I8256" s="3" t="s">
        <v>42501</v>
      </c>
      <c r="J8256" s="3" t="s">
        <v>946</v>
      </c>
      <c r="K8256" s="3" t="s">
        <v>42502</v>
      </c>
      <c r="L8256" s="3" t="s">
        <v>42503</v>
      </c>
      <c r="M8256" s="4"/>
      <c r="N8256" s="3" t="s">
        <v>37</v>
      </c>
      <c r="O8256" s="3" t="s">
        <v>46</v>
      </c>
      <c r="P8256" s="5">
        <v>11</v>
      </c>
      <c r="Q8256" s="5">
        <v>115</v>
      </c>
      <c r="R8256" s="5">
        <v>10</v>
      </c>
      <c r="S8256" s="5">
        <v>108</v>
      </c>
    </row>
    <row r="8257" spans="1:19" ht="42" x14ac:dyDescent="0.15">
      <c r="A8257" s="2">
        <f>HYPERLINK("https://open-school.uspishnemisto.com.ua/school/460968/", 460968)</f>
        <v>460968</v>
      </c>
      <c r="B8257" s="3" t="s">
        <v>42504</v>
      </c>
      <c r="C8257" s="3" t="s">
        <v>31</v>
      </c>
      <c r="D8257" s="3" t="s">
        <v>175</v>
      </c>
      <c r="E8257" s="4" t="s">
        <v>22</v>
      </c>
      <c r="F8257" s="4" t="s">
        <v>42505</v>
      </c>
      <c r="G8257" s="4" t="s">
        <v>42506</v>
      </c>
      <c r="H8257" s="3" t="s">
        <v>38194</v>
      </c>
      <c r="I8257" s="3" t="s">
        <v>42507</v>
      </c>
      <c r="J8257" s="3" t="s">
        <v>6042</v>
      </c>
      <c r="K8257" s="3" t="s">
        <v>42508</v>
      </c>
      <c r="L8257" s="3" t="s">
        <v>42509</v>
      </c>
      <c r="M8257" s="4"/>
      <c r="N8257" s="3" t="s">
        <v>37</v>
      </c>
      <c r="O8257" s="3" t="s">
        <v>52</v>
      </c>
      <c r="P8257" s="5">
        <v>8</v>
      </c>
      <c r="Q8257" s="5">
        <v>70</v>
      </c>
      <c r="R8257" s="5">
        <v>8</v>
      </c>
      <c r="S8257" s="5">
        <v>69</v>
      </c>
    </row>
    <row r="8258" spans="1:19" ht="28" x14ac:dyDescent="0.15">
      <c r="A8258" s="2">
        <f>HYPERLINK("https://open-school.uspishnemisto.com.ua/school/460969/", 460969)</f>
        <v>460969</v>
      </c>
      <c r="B8258" s="3" t="s">
        <v>42510</v>
      </c>
      <c r="C8258" s="3" t="s">
        <v>31</v>
      </c>
      <c r="D8258" s="3" t="s">
        <v>60</v>
      </c>
      <c r="E8258" s="4" t="s">
        <v>22</v>
      </c>
      <c r="F8258" s="4" t="s">
        <v>42505</v>
      </c>
      <c r="G8258" s="4" t="s">
        <v>42511</v>
      </c>
      <c r="H8258" s="3" t="s">
        <v>38194</v>
      </c>
      <c r="I8258" s="3" t="s">
        <v>3046</v>
      </c>
      <c r="J8258" s="3" t="s">
        <v>12836</v>
      </c>
      <c r="K8258" s="3" t="s">
        <v>42512</v>
      </c>
      <c r="L8258" s="3"/>
      <c r="M8258" s="4"/>
      <c r="N8258" s="3" t="s">
        <v>37</v>
      </c>
      <c r="O8258" s="3" t="s">
        <v>52</v>
      </c>
      <c r="P8258" s="5">
        <v>1</v>
      </c>
      <c r="Q8258" s="5">
        <v>11</v>
      </c>
      <c r="R8258" s="5">
        <v>1</v>
      </c>
      <c r="S8258" s="5">
        <v>8</v>
      </c>
    </row>
    <row r="8259" spans="1:19" ht="28" x14ac:dyDescent="0.15">
      <c r="A8259" s="2">
        <f>HYPERLINK("https://open-school.uspishnemisto.com.ua/school/460970/", 460970)</f>
        <v>460970</v>
      </c>
      <c r="B8259" s="3" t="s">
        <v>42513</v>
      </c>
      <c r="C8259" s="3" t="s">
        <v>31</v>
      </c>
      <c r="D8259" s="3" t="s">
        <v>175</v>
      </c>
      <c r="E8259" s="4" t="s">
        <v>22</v>
      </c>
      <c r="F8259" s="4" t="s">
        <v>42514</v>
      </c>
      <c r="G8259" s="4" t="s">
        <v>42515</v>
      </c>
      <c r="H8259" s="3" t="s">
        <v>38194</v>
      </c>
      <c r="I8259" s="3" t="s">
        <v>42516</v>
      </c>
      <c r="J8259" s="3" t="s">
        <v>42517</v>
      </c>
      <c r="K8259" s="3" t="s">
        <v>42518</v>
      </c>
      <c r="L8259" s="3"/>
      <c r="M8259" s="4"/>
      <c r="N8259" s="3" t="s">
        <v>37</v>
      </c>
      <c r="O8259" s="3" t="s">
        <v>46</v>
      </c>
      <c r="P8259" s="5">
        <v>9</v>
      </c>
      <c r="Q8259" s="5">
        <v>156</v>
      </c>
      <c r="R8259" s="5">
        <v>9</v>
      </c>
      <c r="S8259" s="5">
        <v>159</v>
      </c>
    </row>
    <row r="8260" spans="1:19" ht="28" x14ac:dyDescent="0.15">
      <c r="A8260" s="2">
        <f>HYPERLINK("https://open-school.uspishnemisto.com.ua/school/460971/", 460971)</f>
        <v>460971</v>
      </c>
      <c r="B8260" s="3" t="s">
        <v>42519</v>
      </c>
      <c r="C8260" s="3" t="s">
        <v>31</v>
      </c>
      <c r="D8260" s="3" t="s">
        <v>32</v>
      </c>
      <c r="E8260" s="4" t="s">
        <v>22</v>
      </c>
      <c r="F8260" s="4" t="s">
        <v>42520</v>
      </c>
      <c r="G8260" s="4" t="s">
        <v>42521</v>
      </c>
      <c r="H8260" s="3" t="s">
        <v>38194</v>
      </c>
      <c r="I8260" s="3" t="s">
        <v>42522</v>
      </c>
      <c r="J8260" s="3" t="s">
        <v>42523</v>
      </c>
      <c r="K8260" s="3" t="s">
        <v>42524</v>
      </c>
      <c r="L8260" s="3" t="s">
        <v>42525</v>
      </c>
      <c r="M8260" s="4"/>
      <c r="N8260" s="3" t="s">
        <v>37</v>
      </c>
      <c r="O8260" s="3" t="s">
        <v>46</v>
      </c>
      <c r="P8260" s="5">
        <v>9</v>
      </c>
      <c r="Q8260" s="5">
        <v>107</v>
      </c>
      <c r="R8260" s="5">
        <v>11</v>
      </c>
      <c r="S8260" s="5">
        <v>123</v>
      </c>
    </row>
    <row r="8261" spans="1:19" ht="28" x14ac:dyDescent="0.15">
      <c r="A8261" s="2">
        <f>HYPERLINK("https://open-school.uspishnemisto.com.ua/school/460972/", 460972)</f>
        <v>460972</v>
      </c>
      <c r="B8261" s="3" t="s">
        <v>42526</v>
      </c>
      <c r="C8261" s="3" t="s">
        <v>31</v>
      </c>
      <c r="D8261" s="3" t="s">
        <v>175</v>
      </c>
      <c r="E8261" s="4" t="s">
        <v>22</v>
      </c>
      <c r="F8261" s="4" t="s">
        <v>42527</v>
      </c>
      <c r="G8261" s="4" t="s">
        <v>42528</v>
      </c>
      <c r="H8261" s="3" t="s">
        <v>38194</v>
      </c>
      <c r="I8261" s="3" t="s">
        <v>16867</v>
      </c>
      <c r="J8261" s="3" t="s">
        <v>466</v>
      </c>
      <c r="K8261" s="3" t="s">
        <v>42529</v>
      </c>
      <c r="L8261" s="3"/>
      <c r="M8261" s="4"/>
      <c r="N8261" s="3" t="s">
        <v>37</v>
      </c>
      <c r="O8261" s="3" t="s">
        <v>46</v>
      </c>
      <c r="P8261" s="5">
        <v>9</v>
      </c>
      <c r="Q8261" s="5">
        <v>69</v>
      </c>
      <c r="R8261" s="5">
        <v>9</v>
      </c>
      <c r="S8261" s="5">
        <v>73</v>
      </c>
    </row>
    <row r="8262" spans="1:19" ht="28" x14ac:dyDescent="0.15">
      <c r="A8262" s="2">
        <f>HYPERLINK("https://open-school.uspishnemisto.com.ua/school/460973/", 460973)</f>
        <v>460973</v>
      </c>
      <c r="B8262" s="3" t="s">
        <v>42530</v>
      </c>
      <c r="C8262" s="3" t="s">
        <v>31</v>
      </c>
      <c r="D8262" s="3" t="s">
        <v>175</v>
      </c>
      <c r="E8262" s="4" t="s">
        <v>22</v>
      </c>
      <c r="F8262" s="4" t="s">
        <v>42531</v>
      </c>
      <c r="G8262" s="4" t="s">
        <v>42532</v>
      </c>
      <c r="H8262" s="3" t="s">
        <v>38194</v>
      </c>
      <c r="I8262" s="3" t="s">
        <v>42533</v>
      </c>
      <c r="J8262" s="3" t="s">
        <v>42534</v>
      </c>
      <c r="K8262" s="3" t="s">
        <v>42535</v>
      </c>
      <c r="L8262" s="3" t="s">
        <v>42536</v>
      </c>
      <c r="M8262" s="4"/>
      <c r="N8262" s="3" t="s">
        <v>37</v>
      </c>
      <c r="O8262" s="3" t="s">
        <v>2740</v>
      </c>
      <c r="P8262" s="5">
        <v>9</v>
      </c>
      <c r="Q8262" s="5">
        <v>87</v>
      </c>
      <c r="R8262" s="5">
        <v>9</v>
      </c>
      <c r="S8262" s="5">
        <v>85</v>
      </c>
    </row>
    <row r="8263" spans="1:19" ht="28" x14ac:dyDescent="0.15">
      <c r="A8263" s="2">
        <f>HYPERLINK("https://open-school.uspishnemisto.com.ua/school/460974/", 460974)</f>
        <v>460974</v>
      </c>
      <c r="B8263" s="3" t="s">
        <v>42537</v>
      </c>
      <c r="C8263" s="3" t="s">
        <v>31</v>
      </c>
      <c r="D8263" s="3" t="s">
        <v>60</v>
      </c>
      <c r="E8263" s="4" t="s">
        <v>22</v>
      </c>
      <c r="F8263" s="4" t="s">
        <v>42468</v>
      </c>
      <c r="G8263" s="4" t="s">
        <v>42538</v>
      </c>
      <c r="H8263" s="3" t="s">
        <v>38194</v>
      </c>
      <c r="I8263" s="3" t="s">
        <v>42539</v>
      </c>
      <c r="J8263" s="3" t="s">
        <v>10830</v>
      </c>
      <c r="K8263" s="3" t="s">
        <v>42540</v>
      </c>
      <c r="L8263" s="3"/>
      <c r="M8263" s="4"/>
      <c r="N8263" s="3" t="s">
        <v>37</v>
      </c>
      <c r="O8263" s="3" t="s">
        <v>52</v>
      </c>
      <c r="P8263" s="5">
        <v>0</v>
      </c>
      <c r="Q8263" s="5">
        <v>9</v>
      </c>
      <c r="R8263" s="5">
        <v>1</v>
      </c>
      <c r="S8263" s="5">
        <v>14</v>
      </c>
    </row>
    <row r="8264" spans="1:19" ht="56" x14ac:dyDescent="0.15">
      <c r="A8264" s="2">
        <f>HYPERLINK("https://open-school.uspishnemisto.com.ua/school/460975/", 460975)</f>
        <v>460975</v>
      </c>
      <c r="B8264" s="3" t="s">
        <v>42541</v>
      </c>
      <c r="C8264" s="3" t="s">
        <v>54</v>
      </c>
      <c r="D8264" s="3" t="s">
        <v>32</v>
      </c>
      <c r="E8264" s="4" t="s">
        <v>22</v>
      </c>
      <c r="F8264" s="4" t="s">
        <v>42542</v>
      </c>
      <c r="G8264" s="4" t="s">
        <v>42543</v>
      </c>
      <c r="H8264" s="3" t="s">
        <v>38194</v>
      </c>
      <c r="I8264" s="3" t="s">
        <v>42544</v>
      </c>
      <c r="J8264" s="3" t="s">
        <v>42545</v>
      </c>
      <c r="K8264" s="3" t="s">
        <v>42546</v>
      </c>
      <c r="L8264" s="3"/>
      <c r="M8264" s="4"/>
      <c r="N8264" s="3" t="s">
        <v>37</v>
      </c>
      <c r="O8264" s="3" t="s">
        <v>46</v>
      </c>
      <c r="P8264" s="5">
        <v>11</v>
      </c>
      <c r="Q8264" s="5">
        <v>121</v>
      </c>
      <c r="R8264" s="5">
        <v>11</v>
      </c>
      <c r="S8264" s="5">
        <v>112</v>
      </c>
    </row>
    <row r="8265" spans="1:19" ht="28" x14ac:dyDescent="0.15">
      <c r="A8265" s="2">
        <f>HYPERLINK("https://open-school.uspishnemisto.com.ua/school/460976/", 460976)</f>
        <v>460976</v>
      </c>
      <c r="B8265" s="3" t="s">
        <v>42547</v>
      </c>
      <c r="C8265" s="3" t="s">
        <v>31</v>
      </c>
      <c r="D8265" s="3" t="s">
        <v>60</v>
      </c>
      <c r="E8265" s="4" t="s">
        <v>22</v>
      </c>
      <c r="F8265" s="4" t="s">
        <v>42548</v>
      </c>
      <c r="G8265" s="4" t="s">
        <v>42549</v>
      </c>
      <c r="H8265" s="3" t="s">
        <v>38194</v>
      </c>
      <c r="I8265" s="3" t="s">
        <v>42550</v>
      </c>
      <c r="J8265" s="3" t="s">
        <v>42551</v>
      </c>
      <c r="K8265" s="3" t="s">
        <v>42552</v>
      </c>
      <c r="L8265" s="3"/>
      <c r="M8265" s="4"/>
      <c r="N8265" s="3" t="s">
        <v>37</v>
      </c>
      <c r="O8265" s="3" t="s">
        <v>52</v>
      </c>
      <c r="P8265" s="5">
        <v>4</v>
      </c>
      <c r="Q8265" s="5">
        <v>32</v>
      </c>
      <c r="R8265" s="5">
        <v>4</v>
      </c>
      <c r="S8265" s="5">
        <v>32</v>
      </c>
    </row>
    <row r="8266" spans="1:19" ht="28" x14ac:dyDescent="0.15">
      <c r="A8266" s="2">
        <f>HYPERLINK("https://open-school.uspishnemisto.com.ua/school/460977/", 460977)</f>
        <v>460977</v>
      </c>
      <c r="B8266" s="3" t="s">
        <v>42553</v>
      </c>
      <c r="C8266" s="3" t="s">
        <v>31</v>
      </c>
      <c r="D8266" s="3" t="s">
        <v>32</v>
      </c>
      <c r="E8266" s="4" t="s">
        <v>22</v>
      </c>
      <c r="F8266" s="4" t="s">
        <v>42554</v>
      </c>
      <c r="G8266" s="4" t="s">
        <v>42555</v>
      </c>
      <c r="H8266" s="3" t="s">
        <v>38194</v>
      </c>
      <c r="I8266" s="3" t="s">
        <v>42556</v>
      </c>
      <c r="J8266" s="3" t="s">
        <v>42557</v>
      </c>
      <c r="K8266" s="3" t="s">
        <v>42558</v>
      </c>
      <c r="L8266" s="3"/>
      <c r="M8266" s="4"/>
      <c r="N8266" s="3" t="s">
        <v>37</v>
      </c>
      <c r="O8266" s="3" t="s">
        <v>46</v>
      </c>
      <c r="P8266" s="5">
        <v>11</v>
      </c>
      <c r="Q8266" s="5">
        <v>214</v>
      </c>
      <c r="R8266" s="5">
        <v>11</v>
      </c>
      <c r="S8266" s="5">
        <v>212</v>
      </c>
    </row>
    <row r="8267" spans="1:19" ht="42" x14ac:dyDescent="0.15">
      <c r="A8267" s="2">
        <f>HYPERLINK("https://open-school.uspishnemisto.com.ua/school/460978/", 460978)</f>
        <v>460978</v>
      </c>
      <c r="B8267" s="3" t="s">
        <v>42559</v>
      </c>
      <c r="C8267" s="3" t="s">
        <v>54</v>
      </c>
      <c r="D8267" s="3" t="s">
        <v>32</v>
      </c>
      <c r="E8267" s="4" t="s">
        <v>22</v>
      </c>
      <c r="F8267" s="4" t="s">
        <v>42560</v>
      </c>
      <c r="G8267" s="4" t="s">
        <v>42561</v>
      </c>
      <c r="H8267" s="3" t="s">
        <v>38194</v>
      </c>
      <c r="I8267" s="3" t="s">
        <v>42562</v>
      </c>
      <c r="J8267" s="3" t="s">
        <v>42563</v>
      </c>
      <c r="K8267" s="3" t="s">
        <v>42564</v>
      </c>
      <c r="L8267" s="3"/>
      <c r="M8267" s="4"/>
      <c r="N8267" s="3" t="s">
        <v>37</v>
      </c>
      <c r="O8267" s="3" t="s">
        <v>52</v>
      </c>
      <c r="P8267" s="5">
        <v>11</v>
      </c>
      <c r="Q8267" s="5">
        <v>175</v>
      </c>
      <c r="R8267" s="5">
        <v>11</v>
      </c>
      <c r="S8267" s="5">
        <v>176</v>
      </c>
    </row>
    <row r="8268" spans="1:19" ht="28" x14ac:dyDescent="0.15">
      <c r="A8268" s="2">
        <f>HYPERLINK("https://open-school.uspishnemisto.com.ua/school/460979/", 460979)</f>
        <v>460979</v>
      </c>
      <c r="B8268" s="3" t="s">
        <v>42565</v>
      </c>
      <c r="C8268" s="3" t="s">
        <v>31</v>
      </c>
      <c r="D8268" s="3" t="s">
        <v>60</v>
      </c>
      <c r="E8268" s="4" t="s">
        <v>22</v>
      </c>
      <c r="F8268" s="4" t="s">
        <v>42566</v>
      </c>
      <c r="G8268" s="4" t="s">
        <v>42567</v>
      </c>
      <c r="H8268" s="3" t="s">
        <v>38194</v>
      </c>
      <c r="I8268" s="3" t="s">
        <v>42568</v>
      </c>
      <c r="J8268" s="3" t="s">
        <v>42569</v>
      </c>
      <c r="K8268" s="3" t="s">
        <v>42570</v>
      </c>
      <c r="L8268" s="3"/>
      <c r="M8268" s="4"/>
      <c r="N8268" s="3" t="s">
        <v>37</v>
      </c>
      <c r="O8268" s="3" t="s">
        <v>52</v>
      </c>
      <c r="P8268" s="5">
        <v>0</v>
      </c>
      <c r="Q8268" s="5">
        <v>0</v>
      </c>
      <c r="R8268" s="5">
        <v>4</v>
      </c>
      <c r="S8268" s="5">
        <v>30</v>
      </c>
    </row>
    <row r="8269" spans="1:19" ht="28" x14ac:dyDescent="0.15">
      <c r="A8269" s="2">
        <f>HYPERLINK("https://open-school.uspishnemisto.com.ua/school/460980/", 460980)</f>
        <v>460980</v>
      </c>
      <c r="B8269" s="3" t="s">
        <v>42571</v>
      </c>
      <c r="C8269" s="3" t="s">
        <v>31</v>
      </c>
      <c r="D8269" s="3" t="s">
        <v>32</v>
      </c>
      <c r="E8269" s="4" t="s">
        <v>22</v>
      </c>
      <c r="F8269" s="4" t="s">
        <v>42572</v>
      </c>
      <c r="G8269" s="4" t="s">
        <v>42573</v>
      </c>
      <c r="H8269" s="3" t="s">
        <v>38194</v>
      </c>
      <c r="I8269" s="3" t="s">
        <v>42574</v>
      </c>
      <c r="J8269" s="3" t="s">
        <v>4728</v>
      </c>
      <c r="K8269" s="3" t="s">
        <v>42575</v>
      </c>
      <c r="L8269" s="3" t="s">
        <v>42576</v>
      </c>
      <c r="M8269" s="4"/>
      <c r="N8269" s="3" t="s">
        <v>37</v>
      </c>
      <c r="O8269" s="3" t="s">
        <v>46</v>
      </c>
      <c r="P8269" s="5">
        <v>11</v>
      </c>
      <c r="Q8269" s="5">
        <v>198</v>
      </c>
      <c r="R8269" s="5">
        <v>11</v>
      </c>
      <c r="S8269" s="5">
        <v>194</v>
      </c>
    </row>
    <row r="8270" spans="1:19" ht="28" x14ac:dyDescent="0.15">
      <c r="A8270" s="2">
        <f>HYPERLINK("https://open-school.uspishnemisto.com.ua/school/460981/", 460981)</f>
        <v>460981</v>
      </c>
      <c r="B8270" s="3" t="s">
        <v>42577</v>
      </c>
      <c r="C8270" s="3" t="s">
        <v>31</v>
      </c>
      <c r="D8270" s="3" t="s">
        <v>60</v>
      </c>
      <c r="E8270" s="4" t="s">
        <v>22</v>
      </c>
      <c r="F8270" s="4" t="s">
        <v>42572</v>
      </c>
      <c r="G8270" s="4" t="s">
        <v>42578</v>
      </c>
      <c r="H8270" s="3" t="s">
        <v>38194</v>
      </c>
      <c r="I8270" s="3" t="s">
        <v>7597</v>
      </c>
      <c r="J8270" s="3" t="s">
        <v>42579</v>
      </c>
      <c r="K8270" s="3" t="s">
        <v>42580</v>
      </c>
      <c r="L8270" s="3"/>
      <c r="M8270" s="4"/>
      <c r="N8270" s="3" t="s">
        <v>37</v>
      </c>
      <c r="O8270" s="3" t="s">
        <v>52</v>
      </c>
      <c r="P8270" s="5">
        <v>2</v>
      </c>
      <c r="Q8270" s="5">
        <v>13</v>
      </c>
      <c r="R8270" s="5">
        <v>3</v>
      </c>
      <c r="S8270" s="5">
        <v>17</v>
      </c>
    </row>
    <row r="8271" spans="1:19" ht="42" x14ac:dyDescent="0.15">
      <c r="A8271" s="2">
        <f>HYPERLINK("https://open-school.uspishnemisto.com.ua/school/460982/", 460982)</f>
        <v>460982</v>
      </c>
      <c r="B8271" s="3" t="s">
        <v>42581</v>
      </c>
      <c r="C8271" s="3" t="s">
        <v>40</v>
      </c>
      <c r="D8271" s="3" t="s">
        <v>32</v>
      </c>
      <c r="E8271" s="4" t="s">
        <v>22</v>
      </c>
      <c r="F8271" s="4" t="s">
        <v>42582</v>
      </c>
      <c r="G8271" s="4" t="s">
        <v>42583</v>
      </c>
      <c r="H8271" s="3" t="s">
        <v>38194</v>
      </c>
      <c r="I8271" s="3" t="s">
        <v>42584</v>
      </c>
      <c r="J8271" s="3" t="s">
        <v>42585</v>
      </c>
      <c r="K8271" s="3"/>
      <c r="L8271" s="3"/>
      <c r="M8271" s="4"/>
      <c r="N8271" s="3" t="s">
        <v>37</v>
      </c>
      <c r="O8271" s="3" t="s">
        <v>46</v>
      </c>
      <c r="P8271" s="5">
        <v>14</v>
      </c>
      <c r="Q8271" s="5">
        <v>295</v>
      </c>
      <c r="R8271" s="5">
        <v>14</v>
      </c>
      <c r="S8271" s="5">
        <v>293</v>
      </c>
    </row>
    <row r="8272" spans="1:19" ht="28" x14ac:dyDescent="0.15">
      <c r="A8272" s="2">
        <f>HYPERLINK("https://open-school.uspishnemisto.com.ua/school/460983/", 460983)</f>
        <v>460983</v>
      </c>
      <c r="B8272" s="3" t="s">
        <v>42586</v>
      </c>
      <c r="C8272" s="3" t="s">
        <v>31</v>
      </c>
      <c r="D8272" s="3" t="s">
        <v>60</v>
      </c>
      <c r="E8272" s="4" t="s">
        <v>22</v>
      </c>
      <c r="F8272" s="4" t="s">
        <v>42582</v>
      </c>
      <c r="G8272" s="4" t="s">
        <v>42583</v>
      </c>
      <c r="H8272" s="3" t="s">
        <v>38194</v>
      </c>
      <c r="I8272" s="3" t="s">
        <v>42584</v>
      </c>
      <c r="J8272" s="3" t="s">
        <v>42585</v>
      </c>
      <c r="K8272" s="3" t="s">
        <v>42587</v>
      </c>
      <c r="L8272" s="3"/>
      <c r="M8272" s="4"/>
      <c r="N8272" s="3" t="s">
        <v>37</v>
      </c>
      <c r="O8272" s="3" t="s">
        <v>52</v>
      </c>
      <c r="P8272" s="5">
        <v>9</v>
      </c>
      <c r="Q8272" s="5">
        <v>215</v>
      </c>
      <c r="R8272" s="5">
        <v>9</v>
      </c>
      <c r="S8272" s="5">
        <v>216</v>
      </c>
    </row>
    <row r="8273" spans="1:19" ht="28" x14ac:dyDescent="0.15">
      <c r="A8273" s="2">
        <f>HYPERLINK("https://open-school.uspishnemisto.com.ua/school/460984/", 460984)</f>
        <v>460984</v>
      </c>
      <c r="B8273" s="3" t="s">
        <v>42588</v>
      </c>
      <c r="C8273" s="3" t="s">
        <v>31</v>
      </c>
      <c r="D8273" s="3" t="s">
        <v>32</v>
      </c>
      <c r="E8273" s="4" t="s">
        <v>22</v>
      </c>
      <c r="F8273" s="4" t="s">
        <v>42582</v>
      </c>
      <c r="G8273" s="4" t="s">
        <v>42583</v>
      </c>
      <c r="H8273" s="3" t="s">
        <v>38194</v>
      </c>
      <c r="I8273" s="3" t="s">
        <v>42584</v>
      </c>
      <c r="J8273" s="3" t="s">
        <v>39441</v>
      </c>
      <c r="K8273" s="3" t="s">
        <v>42589</v>
      </c>
      <c r="L8273" s="3"/>
      <c r="M8273" s="4"/>
      <c r="N8273" s="3" t="s">
        <v>37</v>
      </c>
      <c r="O8273" s="3" t="s">
        <v>237</v>
      </c>
      <c r="P8273" s="5">
        <v>11</v>
      </c>
      <c r="Q8273" s="5">
        <v>192</v>
      </c>
      <c r="R8273" s="5">
        <v>11</v>
      </c>
      <c r="S8273" s="5">
        <v>188</v>
      </c>
    </row>
    <row r="8274" spans="1:19" ht="28" x14ac:dyDescent="0.15">
      <c r="A8274" s="2">
        <f>HYPERLINK("https://open-school.uspishnemisto.com.ua/school/460985/", 460985)</f>
        <v>460985</v>
      </c>
      <c r="B8274" s="3" t="s">
        <v>42590</v>
      </c>
      <c r="C8274" s="3" t="s">
        <v>293</v>
      </c>
      <c r="D8274" s="3" t="s">
        <v>32</v>
      </c>
      <c r="E8274" s="4" t="s">
        <v>22</v>
      </c>
      <c r="F8274" s="4" t="s">
        <v>42582</v>
      </c>
      <c r="G8274" s="4" t="s">
        <v>42583</v>
      </c>
      <c r="H8274" s="3" t="s">
        <v>38194</v>
      </c>
      <c r="I8274" s="3" t="s">
        <v>42584</v>
      </c>
      <c r="J8274" s="3" t="s">
        <v>42591</v>
      </c>
      <c r="K8274" s="3" t="s">
        <v>42592</v>
      </c>
      <c r="L8274" s="3"/>
      <c r="M8274" s="4"/>
      <c r="N8274" s="3" t="s">
        <v>37</v>
      </c>
      <c r="O8274" s="3" t="s">
        <v>46</v>
      </c>
      <c r="P8274" s="5">
        <v>11</v>
      </c>
      <c r="Q8274" s="5">
        <v>146</v>
      </c>
      <c r="R8274" s="5">
        <v>11</v>
      </c>
      <c r="S8274" s="5">
        <v>160</v>
      </c>
    </row>
    <row r="8275" spans="1:19" ht="28" x14ac:dyDescent="0.15">
      <c r="A8275" s="2">
        <f>HYPERLINK("https://open-school.uspishnemisto.com.ua/school/460986/", 460986)</f>
        <v>460986</v>
      </c>
      <c r="B8275" s="3" t="s">
        <v>42593</v>
      </c>
      <c r="C8275" s="3" t="s">
        <v>31</v>
      </c>
      <c r="D8275" s="3" t="s">
        <v>32</v>
      </c>
      <c r="E8275" s="4" t="s">
        <v>22</v>
      </c>
      <c r="F8275" s="4" t="s">
        <v>42594</v>
      </c>
      <c r="G8275" s="4" t="s">
        <v>42595</v>
      </c>
      <c r="H8275" s="3" t="s">
        <v>38194</v>
      </c>
      <c r="I8275" s="3" t="s">
        <v>42596</v>
      </c>
      <c r="J8275" s="3" t="s">
        <v>29877</v>
      </c>
      <c r="K8275" s="3" t="s">
        <v>42597</v>
      </c>
      <c r="L8275" s="3"/>
      <c r="M8275" s="4"/>
      <c r="N8275" s="3" t="s">
        <v>37</v>
      </c>
      <c r="O8275" s="3" t="s">
        <v>46</v>
      </c>
      <c r="P8275" s="5">
        <v>16</v>
      </c>
      <c r="Q8275" s="5">
        <v>307</v>
      </c>
      <c r="R8275" s="5">
        <v>15</v>
      </c>
      <c r="S8275" s="5">
        <v>290</v>
      </c>
    </row>
    <row r="8276" spans="1:19" ht="42" x14ac:dyDescent="0.15">
      <c r="A8276" s="2">
        <f>HYPERLINK("https://open-school.uspishnemisto.com.ua/school/460987/", 460987)</f>
        <v>460987</v>
      </c>
      <c r="B8276" s="3" t="s">
        <v>42598</v>
      </c>
      <c r="C8276" s="3" t="s">
        <v>181</v>
      </c>
      <c r="D8276" s="3" t="s">
        <v>175</v>
      </c>
      <c r="E8276" s="4" t="s">
        <v>22</v>
      </c>
      <c r="F8276" s="4" t="s">
        <v>42594</v>
      </c>
      <c r="G8276" s="4" t="s">
        <v>42595</v>
      </c>
      <c r="H8276" s="3" t="s">
        <v>38194</v>
      </c>
      <c r="I8276" s="3" t="s">
        <v>42596</v>
      </c>
      <c r="J8276" s="3" t="s">
        <v>42599</v>
      </c>
      <c r="K8276" s="3" t="s">
        <v>42600</v>
      </c>
      <c r="L8276" s="3"/>
      <c r="M8276" s="4" t="s">
        <v>42601</v>
      </c>
      <c r="N8276" s="3" t="s">
        <v>37</v>
      </c>
      <c r="O8276" s="3" t="s">
        <v>52</v>
      </c>
      <c r="P8276" s="5">
        <v>4</v>
      </c>
      <c r="Q8276" s="5">
        <v>28</v>
      </c>
      <c r="R8276" s="5">
        <v>9</v>
      </c>
      <c r="S8276" s="5">
        <v>44</v>
      </c>
    </row>
    <row r="8277" spans="1:19" ht="28" x14ac:dyDescent="0.15">
      <c r="A8277" s="2">
        <f>HYPERLINK("https://open-school.uspishnemisto.com.ua/school/460988/", 460988)</f>
        <v>460988</v>
      </c>
      <c r="B8277" s="3" t="s">
        <v>42602</v>
      </c>
      <c r="C8277" s="3" t="s">
        <v>31</v>
      </c>
      <c r="D8277" s="3" t="s">
        <v>32</v>
      </c>
      <c r="E8277" s="4" t="s">
        <v>22</v>
      </c>
      <c r="F8277" s="4" t="s">
        <v>42603</v>
      </c>
      <c r="G8277" s="4" t="s">
        <v>42604</v>
      </c>
      <c r="H8277" s="3" t="s">
        <v>38194</v>
      </c>
      <c r="I8277" s="3" t="s">
        <v>42605</v>
      </c>
      <c r="J8277" s="3" t="s">
        <v>42606</v>
      </c>
      <c r="K8277" s="3" t="s">
        <v>42607</v>
      </c>
      <c r="L8277" s="3"/>
      <c r="M8277" s="4"/>
      <c r="N8277" s="3" t="s">
        <v>37</v>
      </c>
      <c r="O8277" s="3" t="s">
        <v>46</v>
      </c>
      <c r="P8277" s="5">
        <v>22</v>
      </c>
      <c r="Q8277" s="5">
        <v>525</v>
      </c>
      <c r="R8277" s="5">
        <v>22</v>
      </c>
      <c r="S8277" s="5">
        <v>509</v>
      </c>
    </row>
    <row r="8278" spans="1:19" ht="56" x14ac:dyDescent="0.15">
      <c r="A8278" s="2">
        <f>HYPERLINK("https://open-school.uspishnemisto.com.ua/school/460989/", 460989)</f>
        <v>460989</v>
      </c>
      <c r="B8278" s="3" t="s">
        <v>42608</v>
      </c>
      <c r="C8278" s="3" t="s">
        <v>54</v>
      </c>
      <c r="D8278" s="3" t="s">
        <v>32</v>
      </c>
      <c r="E8278" s="4" t="s">
        <v>22</v>
      </c>
      <c r="F8278" s="4" t="s">
        <v>42609</v>
      </c>
      <c r="G8278" s="4" t="s">
        <v>42610</v>
      </c>
      <c r="H8278" s="3" t="s">
        <v>38194</v>
      </c>
      <c r="I8278" s="3" t="s">
        <v>42611</v>
      </c>
      <c r="J8278" s="3" t="s">
        <v>42612</v>
      </c>
      <c r="K8278" s="3" t="s">
        <v>42613</v>
      </c>
      <c r="L8278" s="3"/>
      <c r="M8278" s="4"/>
      <c r="N8278" s="3" t="s">
        <v>37</v>
      </c>
      <c r="O8278" s="3" t="s">
        <v>46</v>
      </c>
      <c r="P8278" s="5">
        <v>11</v>
      </c>
      <c r="Q8278" s="5">
        <v>170</v>
      </c>
      <c r="R8278" s="5">
        <v>11</v>
      </c>
      <c r="S8278" s="5">
        <v>166</v>
      </c>
    </row>
    <row r="8279" spans="1:19" ht="28" x14ac:dyDescent="0.15">
      <c r="A8279" s="2">
        <f>HYPERLINK("https://open-school.uspishnemisto.com.ua/school/460990/", 460990)</f>
        <v>460990</v>
      </c>
      <c r="B8279" s="3" t="s">
        <v>42614</v>
      </c>
      <c r="C8279" s="3" t="s">
        <v>31</v>
      </c>
      <c r="D8279" s="3" t="s">
        <v>175</v>
      </c>
      <c r="E8279" s="4" t="s">
        <v>22</v>
      </c>
      <c r="F8279" s="4" t="s">
        <v>42615</v>
      </c>
      <c r="G8279" s="4" t="s">
        <v>42616</v>
      </c>
      <c r="H8279" s="3" t="s">
        <v>38194</v>
      </c>
      <c r="I8279" s="3" t="s">
        <v>20677</v>
      </c>
      <c r="J8279" s="3" t="s">
        <v>42617</v>
      </c>
      <c r="K8279" s="3"/>
      <c r="L8279" s="3"/>
      <c r="M8279" s="4"/>
      <c r="N8279" s="3" t="s">
        <v>37</v>
      </c>
      <c r="O8279" s="3" t="s">
        <v>46</v>
      </c>
      <c r="P8279" s="5">
        <v>9</v>
      </c>
      <c r="Q8279" s="5">
        <v>160</v>
      </c>
      <c r="R8279" s="5">
        <v>9</v>
      </c>
      <c r="S8279" s="5">
        <v>162</v>
      </c>
    </row>
    <row r="8280" spans="1:19" ht="28" x14ac:dyDescent="0.15">
      <c r="A8280" s="2">
        <f>HYPERLINK("https://open-school.uspishnemisto.com.ua/school/460991/", 460991)</f>
        <v>460991</v>
      </c>
      <c r="B8280" s="3" t="s">
        <v>42618</v>
      </c>
      <c r="C8280" s="3" t="s">
        <v>31</v>
      </c>
      <c r="D8280" s="3" t="s">
        <v>60</v>
      </c>
      <c r="E8280" s="4" t="s">
        <v>22</v>
      </c>
      <c r="F8280" s="4" t="s">
        <v>42615</v>
      </c>
      <c r="G8280" s="4" t="s">
        <v>42616</v>
      </c>
      <c r="H8280" s="3" t="s">
        <v>38194</v>
      </c>
      <c r="I8280" s="3" t="s">
        <v>20677</v>
      </c>
      <c r="J8280" s="3"/>
      <c r="K8280" s="3" t="s">
        <v>42619</v>
      </c>
      <c r="L8280" s="3"/>
      <c r="M8280" s="4"/>
      <c r="N8280" s="3" t="s">
        <v>37</v>
      </c>
      <c r="O8280" s="3" t="s">
        <v>46</v>
      </c>
      <c r="P8280" s="5">
        <v>2</v>
      </c>
      <c r="Q8280" s="5">
        <v>18</v>
      </c>
      <c r="R8280" s="5">
        <v>1</v>
      </c>
      <c r="S8280" s="5">
        <v>16</v>
      </c>
    </row>
    <row r="8281" spans="1:19" ht="28" x14ac:dyDescent="0.15">
      <c r="A8281" s="2">
        <f>HYPERLINK("https://open-school.uspishnemisto.com.ua/school/460992/", 460992)</f>
        <v>460992</v>
      </c>
      <c r="B8281" s="3" t="s">
        <v>42620</v>
      </c>
      <c r="C8281" s="3" t="s">
        <v>31</v>
      </c>
      <c r="D8281" s="3" t="s">
        <v>175</v>
      </c>
      <c r="E8281" s="4" t="s">
        <v>22</v>
      </c>
      <c r="F8281" s="4" t="s">
        <v>42621</v>
      </c>
      <c r="G8281" s="4" t="s">
        <v>42622</v>
      </c>
      <c r="H8281" s="3" t="s">
        <v>38194</v>
      </c>
      <c r="I8281" s="3" t="s">
        <v>42623</v>
      </c>
      <c r="J8281" s="3" t="s">
        <v>28540</v>
      </c>
      <c r="K8281" s="3" t="s">
        <v>42624</v>
      </c>
      <c r="L8281" s="3"/>
      <c r="M8281" s="4"/>
      <c r="N8281" s="3" t="s">
        <v>37</v>
      </c>
      <c r="O8281" s="3" t="s">
        <v>46</v>
      </c>
      <c r="P8281" s="5">
        <v>8</v>
      </c>
      <c r="Q8281" s="5">
        <v>46</v>
      </c>
      <c r="R8281" s="5">
        <v>7</v>
      </c>
      <c r="S8281" s="5">
        <v>43</v>
      </c>
    </row>
    <row r="8282" spans="1:19" ht="28" x14ac:dyDescent="0.15">
      <c r="A8282" s="2">
        <f>HYPERLINK("https://open-school.uspishnemisto.com.ua/school/460993/", 460993)</f>
        <v>460993</v>
      </c>
      <c r="B8282" s="3" t="s">
        <v>42625</v>
      </c>
      <c r="C8282" s="3" t="s">
        <v>31</v>
      </c>
      <c r="D8282" s="3" t="s">
        <v>175</v>
      </c>
      <c r="E8282" s="4" t="s">
        <v>22</v>
      </c>
      <c r="F8282" s="4" t="s">
        <v>42615</v>
      </c>
      <c r="G8282" s="4" t="s">
        <v>42626</v>
      </c>
      <c r="H8282" s="3" t="s">
        <v>38194</v>
      </c>
      <c r="I8282" s="3" t="s">
        <v>42627</v>
      </c>
      <c r="J8282" s="3" t="s">
        <v>42628</v>
      </c>
      <c r="K8282" s="3"/>
      <c r="L8282" s="3"/>
      <c r="M8282" s="4"/>
      <c r="N8282" s="3" t="s">
        <v>37</v>
      </c>
      <c r="O8282" s="3" t="s">
        <v>46</v>
      </c>
      <c r="P8282" s="5">
        <v>9</v>
      </c>
      <c r="Q8282" s="5">
        <v>78</v>
      </c>
      <c r="R8282" s="5">
        <v>9</v>
      </c>
      <c r="S8282" s="5">
        <v>81</v>
      </c>
    </row>
    <row r="8283" spans="1:19" ht="28" x14ac:dyDescent="0.15">
      <c r="A8283" s="2">
        <f>HYPERLINK("https://open-school.uspishnemisto.com.ua/school/460994/", 460994)</f>
        <v>460994</v>
      </c>
      <c r="B8283" s="3" t="s">
        <v>42629</v>
      </c>
      <c r="C8283" s="3" t="s">
        <v>31</v>
      </c>
      <c r="D8283" s="3" t="s">
        <v>32</v>
      </c>
      <c r="E8283" s="4" t="s">
        <v>22</v>
      </c>
      <c r="F8283" s="4" t="s">
        <v>42630</v>
      </c>
      <c r="G8283" s="4" t="s">
        <v>42631</v>
      </c>
      <c r="H8283" s="3" t="s">
        <v>38194</v>
      </c>
      <c r="I8283" s="3" t="s">
        <v>42632</v>
      </c>
      <c r="J8283" s="3" t="s">
        <v>42633</v>
      </c>
      <c r="K8283" s="3" t="s">
        <v>42634</v>
      </c>
      <c r="L8283" s="3"/>
      <c r="M8283" s="4"/>
      <c r="N8283" s="3" t="s">
        <v>37</v>
      </c>
      <c r="O8283" s="3" t="s">
        <v>46</v>
      </c>
      <c r="P8283" s="5">
        <v>6</v>
      </c>
      <c r="Q8283" s="5">
        <v>64</v>
      </c>
      <c r="R8283" s="5">
        <v>8</v>
      </c>
      <c r="S8283" s="5">
        <v>64</v>
      </c>
    </row>
    <row r="8284" spans="1:19" ht="28" x14ac:dyDescent="0.15">
      <c r="A8284" s="2">
        <f>HYPERLINK("https://open-school.uspishnemisto.com.ua/school/460995/", 460995)</f>
        <v>460995</v>
      </c>
      <c r="B8284" s="3" t="s">
        <v>42635</v>
      </c>
      <c r="C8284" s="3" t="s">
        <v>31</v>
      </c>
      <c r="D8284" s="3" t="s">
        <v>60</v>
      </c>
      <c r="E8284" s="4" t="s">
        <v>22</v>
      </c>
      <c r="F8284" s="4" t="s">
        <v>42630</v>
      </c>
      <c r="G8284" s="4" t="s">
        <v>42636</v>
      </c>
      <c r="H8284" s="3" t="s">
        <v>38194</v>
      </c>
      <c r="I8284" s="3" t="s">
        <v>42637</v>
      </c>
      <c r="J8284" s="3" t="s">
        <v>42638</v>
      </c>
      <c r="K8284" s="3" t="s">
        <v>42639</v>
      </c>
      <c r="L8284" s="3"/>
      <c r="M8284" s="4"/>
      <c r="N8284" s="3" t="s">
        <v>37</v>
      </c>
      <c r="O8284" s="3" t="s">
        <v>52</v>
      </c>
      <c r="P8284" s="5">
        <v>1</v>
      </c>
      <c r="Q8284" s="5">
        <v>17</v>
      </c>
      <c r="R8284" s="5">
        <v>1</v>
      </c>
      <c r="S8284" s="5">
        <v>14</v>
      </c>
    </row>
    <row r="8285" spans="1:19" ht="28" x14ac:dyDescent="0.15">
      <c r="A8285" s="2">
        <f>HYPERLINK("https://open-school.uspishnemisto.com.ua/school/460996/", 460996)</f>
        <v>460996</v>
      </c>
      <c r="B8285" s="3" t="s">
        <v>42640</v>
      </c>
      <c r="C8285" s="3" t="s">
        <v>31</v>
      </c>
      <c r="D8285" s="3" t="s">
        <v>175</v>
      </c>
      <c r="E8285" s="4" t="s">
        <v>22</v>
      </c>
      <c r="F8285" s="4" t="s">
        <v>42641</v>
      </c>
      <c r="G8285" s="4" t="s">
        <v>42642</v>
      </c>
      <c r="H8285" s="3" t="s">
        <v>38194</v>
      </c>
      <c r="I8285" s="3" t="s">
        <v>42643</v>
      </c>
      <c r="J8285" s="3" t="s">
        <v>14676</v>
      </c>
      <c r="K8285" s="3" t="s">
        <v>42644</v>
      </c>
      <c r="L8285" s="3"/>
      <c r="M8285" s="4"/>
      <c r="N8285" s="3" t="s">
        <v>37</v>
      </c>
      <c r="O8285" s="3" t="s">
        <v>46</v>
      </c>
      <c r="P8285" s="5">
        <v>5</v>
      </c>
      <c r="Q8285" s="5">
        <v>37</v>
      </c>
      <c r="R8285" s="5">
        <v>6</v>
      </c>
      <c r="S8285" s="5">
        <v>46</v>
      </c>
    </row>
    <row r="8286" spans="1:19" ht="28" x14ac:dyDescent="0.15">
      <c r="A8286" s="2">
        <f>HYPERLINK("https://open-school.uspishnemisto.com.ua/school/460997/", 460997)</f>
        <v>460997</v>
      </c>
      <c r="B8286" s="3" t="s">
        <v>42645</v>
      </c>
      <c r="C8286" s="3" t="s">
        <v>31</v>
      </c>
      <c r="D8286" s="3" t="s">
        <v>175</v>
      </c>
      <c r="E8286" s="4" t="s">
        <v>22</v>
      </c>
      <c r="F8286" s="4" t="s">
        <v>42646</v>
      </c>
      <c r="G8286" s="4" t="s">
        <v>42647</v>
      </c>
      <c r="H8286" s="3" t="s">
        <v>38194</v>
      </c>
      <c r="I8286" s="3" t="s">
        <v>42648</v>
      </c>
      <c r="J8286" s="3" t="s">
        <v>31017</v>
      </c>
      <c r="K8286" s="3" t="s">
        <v>42649</v>
      </c>
      <c r="L8286" s="3"/>
      <c r="M8286" s="4"/>
      <c r="N8286" s="3" t="s">
        <v>37</v>
      </c>
      <c r="O8286" s="3" t="s">
        <v>2740</v>
      </c>
      <c r="P8286" s="5">
        <v>4</v>
      </c>
      <c r="Q8286" s="5">
        <v>41</v>
      </c>
      <c r="R8286" s="5">
        <v>4</v>
      </c>
      <c r="S8286" s="5">
        <v>42</v>
      </c>
    </row>
    <row r="8287" spans="1:19" ht="28" x14ac:dyDescent="0.15">
      <c r="A8287" s="2">
        <f>HYPERLINK("https://open-school.uspishnemisto.com.ua/school/460998/", 460998)</f>
        <v>460998</v>
      </c>
      <c r="B8287" s="3" t="s">
        <v>42650</v>
      </c>
      <c r="C8287" s="3" t="s">
        <v>31</v>
      </c>
      <c r="D8287" s="3" t="s">
        <v>60</v>
      </c>
      <c r="E8287" s="4" t="s">
        <v>22</v>
      </c>
      <c r="F8287" s="4" t="s">
        <v>42646</v>
      </c>
      <c r="G8287" s="4" t="s">
        <v>42651</v>
      </c>
      <c r="H8287" s="3" t="s">
        <v>38194</v>
      </c>
      <c r="I8287" s="3" t="s">
        <v>19332</v>
      </c>
      <c r="J8287" s="3" t="s">
        <v>42652</v>
      </c>
      <c r="K8287" s="3" t="s">
        <v>42653</v>
      </c>
      <c r="L8287" s="3"/>
      <c r="M8287" s="4"/>
      <c r="N8287" s="3" t="s">
        <v>37</v>
      </c>
      <c r="O8287" s="3" t="s">
        <v>52</v>
      </c>
      <c r="P8287" s="5">
        <v>0</v>
      </c>
      <c r="Q8287" s="5">
        <v>11</v>
      </c>
      <c r="R8287" s="5">
        <v>0</v>
      </c>
      <c r="S8287" s="5">
        <v>9</v>
      </c>
    </row>
    <row r="8288" spans="1:19" ht="28" x14ac:dyDescent="0.15">
      <c r="A8288" s="2">
        <f>HYPERLINK("https://open-school.uspishnemisto.com.ua/school/460999/", 460999)</f>
        <v>460999</v>
      </c>
      <c r="B8288" s="3" t="s">
        <v>42654</v>
      </c>
      <c r="C8288" s="3" t="s">
        <v>31</v>
      </c>
      <c r="D8288" s="3" t="s">
        <v>175</v>
      </c>
      <c r="E8288" s="4" t="s">
        <v>22</v>
      </c>
      <c r="F8288" s="4" t="s">
        <v>42655</v>
      </c>
      <c r="G8288" s="4" t="s">
        <v>42656</v>
      </c>
      <c r="H8288" s="3" t="s">
        <v>38194</v>
      </c>
      <c r="I8288" s="3" t="s">
        <v>42657</v>
      </c>
      <c r="J8288" s="3" t="s">
        <v>42658</v>
      </c>
      <c r="K8288" s="3"/>
      <c r="L8288" s="3"/>
      <c r="M8288" s="4"/>
      <c r="N8288" s="3" t="s">
        <v>37</v>
      </c>
      <c r="O8288" s="3" t="s">
        <v>46</v>
      </c>
      <c r="P8288" s="5">
        <v>9</v>
      </c>
      <c r="Q8288" s="5">
        <v>91</v>
      </c>
      <c r="R8288" s="5">
        <v>9</v>
      </c>
      <c r="S8288" s="5">
        <v>92</v>
      </c>
    </row>
    <row r="8289" spans="1:19" ht="28" x14ac:dyDescent="0.15">
      <c r="A8289" s="2">
        <f>HYPERLINK("https://open-school.uspishnemisto.com.ua/school/461000/", 461000)</f>
        <v>461000</v>
      </c>
      <c r="B8289" s="3" t="s">
        <v>42659</v>
      </c>
      <c r="C8289" s="3" t="s">
        <v>31</v>
      </c>
      <c r="D8289" s="3" t="s">
        <v>32</v>
      </c>
      <c r="E8289" s="4" t="s">
        <v>22</v>
      </c>
      <c r="F8289" s="4" t="s">
        <v>42660</v>
      </c>
      <c r="G8289" s="4" t="s">
        <v>42661</v>
      </c>
      <c r="H8289" s="3" t="s">
        <v>38194</v>
      </c>
      <c r="I8289" s="3" t="s">
        <v>21149</v>
      </c>
      <c r="J8289" s="3" t="s">
        <v>25366</v>
      </c>
      <c r="K8289" s="3"/>
      <c r="L8289" s="3"/>
      <c r="M8289" s="4"/>
      <c r="N8289" s="3" t="s">
        <v>37</v>
      </c>
      <c r="O8289" s="3" t="s">
        <v>2740</v>
      </c>
      <c r="P8289" s="5">
        <v>10</v>
      </c>
      <c r="Q8289" s="5">
        <v>95</v>
      </c>
      <c r="R8289" s="5">
        <v>10</v>
      </c>
      <c r="S8289" s="5">
        <v>97</v>
      </c>
    </row>
    <row r="8290" spans="1:19" ht="28" x14ac:dyDescent="0.15">
      <c r="A8290" s="2">
        <f>HYPERLINK("https://open-school.uspishnemisto.com.ua/school/461001/", 461001)</f>
        <v>461001</v>
      </c>
      <c r="B8290" s="3" t="s">
        <v>42662</v>
      </c>
      <c r="C8290" s="3" t="s">
        <v>31</v>
      </c>
      <c r="D8290" s="3" t="s">
        <v>32</v>
      </c>
      <c r="E8290" s="4" t="s">
        <v>22</v>
      </c>
      <c r="F8290" s="4" t="s">
        <v>42663</v>
      </c>
      <c r="G8290" s="4" t="s">
        <v>42664</v>
      </c>
      <c r="H8290" s="3" t="s">
        <v>38194</v>
      </c>
      <c r="I8290" s="3" t="s">
        <v>21188</v>
      </c>
      <c r="J8290" s="3" t="s">
        <v>42665</v>
      </c>
      <c r="K8290" s="3" t="s">
        <v>42666</v>
      </c>
      <c r="L8290" s="3"/>
      <c r="M8290" s="4"/>
      <c r="N8290" s="3" t="s">
        <v>37</v>
      </c>
      <c r="O8290" s="3" t="s">
        <v>2740</v>
      </c>
      <c r="P8290" s="5">
        <v>6</v>
      </c>
      <c r="Q8290" s="5">
        <v>54</v>
      </c>
      <c r="R8290" s="5">
        <v>7</v>
      </c>
      <c r="S8290" s="5">
        <v>56</v>
      </c>
    </row>
    <row r="8291" spans="1:19" ht="28" x14ac:dyDescent="0.15">
      <c r="A8291" s="2">
        <f>HYPERLINK("https://open-school.uspishnemisto.com.ua/school/461002/", 461002)</f>
        <v>461002</v>
      </c>
      <c r="B8291" s="3" t="s">
        <v>42667</v>
      </c>
      <c r="C8291" s="3" t="s">
        <v>31</v>
      </c>
      <c r="D8291" s="3" t="s">
        <v>175</v>
      </c>
      <c r="E8291" s="4" t="s">
        <v>22</v>
      </c>
      <c r="F8291" s="4" t="s">
        <v>42582</v>
      </c>
      <c r="G8291" s="4" t="s">
        <v>42668</v>
      </c>
      <c r="H8291" s="3" t="s">
        <v>38194</v>
      </c>
      <c r="I8291" s="3" t="s">
        <v>10829</v>
      </c>
      <c r="J8291" s="3" t="s">
        <v>18886</v>
      </c>
      <c r="K8291" s="3" t="s">
        <v>42669</v>
      </c>
      <c r="L8291" s="3"/>
      <c r="M8291" s="4"/>
      <c r="N8291" s="3" t="s">
        <v>37</v>
      </c>
      <c r="O8291" s="3" t="s">
        <v>46</v>
      </c>
      <c r="P8291" s="5">
        <v>3</v>
      </c>
      <c r="Q8291" s="5">
        <v>31</v>
      </c>
      <c r="R8291" s="5">
        <v>3</v>
      </c>
      <c r="S8291" s="5">
        <v>33</v>
      </c>
    </row>
    <row r="8292" spans="1:19" ht="28" x14ac:dyDescent="0.15">
      <c r="A8292" s="2">
        <f>HYPERLINK("https://open-school.uspishnemisto.com.ua/school/461003/", 461003)</f>
        <v>461003</v>
      </c>
      <c r="B8292" s="3" t="s">
        <v>42670</v>
      </c>
      <c r="C8292" s="3" t="s">
        <v>31</v>
      </c>
      <c r="D8292" s="3" t="s">
        <v>60</v>
      </c>
      <c r="E8292" s="4" t="s">
        <v>22</v>
      </c>
      <c r="F8292" s="4" t="s">
        <v>42671</v>
      </c>
      <c r="G8292" s="4" t="s">
        <v>42672</v>
      </c>
      <c r="H8292" s="3" t="s">
        <v>38194</v>
      </c>
      <c r="I8292" s="3" t="s">
        <v>42673</v>
      </c>
      <c r="J8292" s="3" t="s">
        <v>42674</v>
      </c>
      <c r="K8292" s="3" t="s">
        <v>42675</v>
      </c>
      <c r="L8292" s="3"/>
      <c r="M8292" s="4"/>
      <c r="N8292" s="3" t="s">
        <v>37</v>
      </c>
      <c r="O8292" s="3" t="s">
        <v>52</v>
      </c>
      <c r="P8292" s="5">
        <v>1</v>
      </c>
      <c r="Q8292" s="5">
        <v>14</v>
      </c>
      <c r="R8292" s="5">
        <v>1</v>
      </c>
      <c r="S8292" s="5">
        <v>12</v>
      </c>
    </row>
    <row r="8293" spans="1:19" ht="42" x14ac:dyDescent="0.15">
      <c r="A8293" s="2">
        <f>HYPERLINK("https://open-school.uspishnemisto.com.ua/school/461004/", 461004)</f>
        <v>461004</v>
      </c>
      <c r="B8293" s="3" t="s">
        <v>42676</v>
      </c>
      <c r="C8293" s="3" t="s">
        <v>54</v>
      </c>
      <c r="D8293" s="3" t="s">
        <v>32</v>
      </c>
      <c r="E8293" s="4" t="s">
        <v>22</v>
      </c>
      <c r="F8293" s="4" t="s">
        <v>42677</v>
      </c>
      <c r="G8293" s="4" t="s">
        <v>42678</v>
      </c>
      <c r="H8293" s="3" t="s">
        <v>38194</v>
      </c>
      <c r="I8293" s="3" t="s">
        <v>42679</v>
      </c>
      <c r="J8293" s="3" t="s">
        <v>42680</v>
      </c>
      <c r="K8293" s="3"/>
      <c r="L8293" s="3"/>
      <c r="M8293" s="4"/>
      <c r="N8293" s="3" t="s">
        <v>37</v>
      </c>
      <c r="O8293" s="3" t="s">
        <v>46</v>
      </c>
      <c r="P8293" s="5">
        <v>11</v>
      </c>
      <c r="Q8293" s="5">
        <v>192</v>
      </c>
      <c r="R8293" s="5">
        <v>11</v>
      </c>
      <c r="S8293" s="5">
        <v>204</v>
      </c>
    </row>
    <row r="8294" spans="1:19" ht="28" x14ac:dyDescent="0.15">
      <c r="A8294" s="2">
        <f>HYPERLINK("https://open-school.uspishnemisto.com.ua/school/461005/", 461005)</f>
        <v>461005</v>
      </c>
      <c r="B8294" s="3" t="s">
        <v>42681</v>
      </c>
      <c r="C8294" s="3" t="s">
        <v>31</v>
      </c>
      <c r="D8294" s="3" t="s">
        <v>175</v>
      </c>
      <c r="E8294" s="4" t="s">
        <v>22</v>
      </c>
      <c r="F8294" s="4" t="s">
        <v>42682</v>
      </c>
      <c r="G8294" s="4" t="s">
        <v>42683</v>
      </c>
      <c r="H8294" s="3" t="s">
        <v>38194</v>
      </c>
      <c r="I8294" s="3" t="s">
        <v>42684</v>
      </c>
      <c r="J8294" s="3" t="s">
        <v>42685</v>
      </c>
      <c r="K8294" s="3" t="s">
        <v>42686</v>
      </c>
      <c r="L8294" s="3"/>
      <c r="M8294" s="4"/>
      <c r="N8294" s="3" t="s">
        <v>37</v>
      </c>
      <c r="O8294" s="3" t="s">
        <v>52</v>
      </c>
      <c r="P8294" s="5">
        <v>9</v>
      </c>
      <c r="Q8294" s="5">
        <v>73</v>
      </c>
      <c r="R8294" s="5">
        <v>9</v>
      </c>
      <c r="S8294" s="5">
        <v>72</v>
      </c>
    </row>
    <row r="8295" spans="1:19" ht="28" x14ac:dyDescent="0.15">
      <c r="A8295" s="2">
        <f>HYPERLINK("https://open-school.uspishnemisto.com.ua/school/461006/", 461006)</f>
        <v>461006</v>
      </c>
      <c r="B8295" s="3" t="s">
        <v>42687</v>
      </c>
      <c r="C8295" s="3" t="s">
        <v>31</v>
      </c>
      <c r="D8295" s="3" t="s">
        <v>32</v>
      </c>
      <c r="E8295" s="4" t="s">
        <v>22</v>
      </c>
      <c r="F8295" s="4" t="s">
        <v>42688</v>
      </c>
      <c r="G8295" s="4" t="s">
        <v>42689</v>
      </c>
      <c r="H8295" s="3" t="s">
        <v>38194</v>
      </c>
      <c r="I8295" s="3" t="s">
        <v>42114</v>
      </c>
      <c r="J8295" s="3" t="s">
        <v>42690</v>
      </c>
      <c r="K8295" s="3" t="s">
        <v>42691</v>
      </c>
      <c r="L8295" s="3"/>
      <c r="M8295" s="4"/>
      <c r="N8295" s="3" t="s">
        <v>37</v>
      </c>
      <c r="O8295" s="3" t="s">
        <v>46</v>
      </c>
      <c r="P8295" s="5">
        <v>11</v>
      </c>
      <c r="Q8295" s="5">
        <v>114</v>
      </c>
      <c r="R8295" s="5">
        <v>11</v>
      </c>
      <c r="S8295" s="5">
        <v>116</v>
      </c>
    </row>
    <row r="8296" spans="1:19" ht="56" x14ac:dyDescent="0.15">
      <c r="A8296" s="2">
        <f>HYPERLINK("https://open-school.uspishnemisto.com.ua/school/461007/", 461007)</f>
        <v>461007</v>
      </c>
      <c r="B8296" s="3" t="s">
        <v>42692</v>
      </c>
      <c r="C8296" s="3" t="s">
        <v>54</v>
      </c>
      <c r="D8296" s="3" t="s">
        <v>175</v>
      </c>
      <c r="E8296" s="4" t="s">
        <v>22</v>
      </c>
      <c r="F8296" s="4" t="s">
        <v>42693</v>
      </c>
      <c r="G8296" s="4" t="s">
        <v>42694</v>
      </c>
      <c r="H8296" s="3" t="s">
        <v>38194</v>
      </c>
      <c r="I8296" s="3" t="s">
        <v>42695</v>
      </c>
      <c r="J8296" s="3" t="s">
        <v>2008</v>
      </c>
      <c r="K8296" s="3" t="s">
        <v>42696</v>
      </c>
      <c r="L8296" s="3"/>
      <c r="M8296" s="4"/>
      <c r="N8296" s="3" t="s">
        <v>37</v>
      </c>
      <c r="O8296" s="3" t="s">
        <v>46</v>
      </c>
      <c r="P8296" s="5">
        <v>9</v>
      </c>
      <c r="Q8296" s="5">
        <v>84</v>
      </c>
      <c r="R8296" s="5">
        <v>9</v>
      </c>
      <c r="S8296" s="5">
        <v>84</v>
      </c>
    </row>
    <row r="8297" spans="1:19" ht="28" x14ac:dyDescent="0.15">
      <c r="A8297" s="2">
        <f>HYPERLINK("https://open-school.uspishnemisto.com.ua/school/461008/", 461008)</f>
        <v>461008</v>
      </c>
      <c r="B8297" s="3" t="s">
        <v>42697</v>
      </c>
      <c r="C8297" s="3" t="s">
        <v>31</v>
      </c>
      <c r="D8297" s="3" t="s">
        <v>175</v>
      </c>
      <c r="E8297" s="4" t="s">
        <v>22</v>
      </c>
      <c r="F8297" s="4" t="s">
        <v>42698</v>
      </c>
      <c r="G8297" s="4" t="s">
        <v>42699</v>
      </c>
      <c r="H8297" s="3" t="s">
        <v>38194</v>
      </c>
      <c r="I8297" s="3" t="s">
        <v>42700</v>
      </c>
      <c r="J8297" s="3" t="s">
        <v>42701</v>
      </c>
      <c r="K8297" s="3" t="s">
        <v>42702</v>
      </c>
      <c r="L8297" s="3"/>
      <c r="M8297" s="4"/>
      <c r="N8297" s="3" t="s">
        <v>37</v>
      </c>
      <c r="O8297" s="3" t="s">
        <v>46</v>
      </c>
      <c r="P8297" s="5">
        <v>9</v>
      </c>
      <c r="Q8297" s="5">
        <v>74</v>
      </c>
      <c r="R8297" s="5">
        <v>8</v>
      </c>
      <c r="S8297" s="5">
        <v>71</v>
      </c>
    </row>
    <row r="8298" spans="1:19" ht="28" x14ac:dyDescent="0.15">
      <c r="A8298" s="2">
        <f>HYPERLINK("https://open-school.uspishnemisto.com.ua/school/461009/", 461009)</f>
        <v>461009</v>
      </c>
      <c r="B8298" s="3" t="s">
        <v>42703</v>
      </c>
      <c r="C8298" s="3" t="s">
        <v>31</v>
      </c>
      <c r="D8298" s="3" t="s">
        <v>175</v>
      </c>
      <c r="E8298" s="4" t="s">
        <v>22</v>
      </c>
      <c r="F8298" s="4" t="s">
        <v>42698</v>
      </c>
      <c r="G8298" s="4" t="s">
        <v>42699</v>
      </c>
      <c r="H8298" s="3" t="s">
        <v>38194</v>
      </c>
      <c r="I8298" s="3" t="s">
        <v>42700</v>
      </c>
      <c r="J8298" s="3" t="s">
        <v>42704</v>
      </c>
      <c r="K8298" s="3" t="s">
        <v>42705</v>
      </c>
      <c r="L8298" s="3"/>
      <c r="M8298" s="4"/>
      <c r="N8298" s="3" t="s">
        <v>37</v>
      </c>
      <c r="O8298" s="3" t="s">
        <v>46</v>
      </c>
      <c r="P8298" s="5">
        <v>9</v>
      </c>
      <c r="Q8298" s="5">
        <v>75</v>
      </c>
      <c r="R8298" s="5">
        <v>9</v>
      </c>
      <c r="S8298" s="5">
        <v>78</v>
      </c>
    </row>
    <row r="8299" spans="1:19" ht="28" x14ac:dyDescent="0.15">
      <c r="A8299" s="2">
        <f>HYPERLINK("https://open-school.uspishnemisto.com.ua/school/461010/", 461010)</f>
        <v>461010</v>
      </c>
      <c r="B8299" s="3" t="s">
        <v>42706</v>
      </c>
      <c r="C8299" s="3" t="s">
        <v>31</v>
      </c>
      <c r="D8299" s="3" t="s">
        <v>175</v>
      </c>
      <c r="E8299" s="4" t="s">
        <v>22</v>
      </c>
      <c r="F8299" s="4" t="s">
        <v>42707</v>
      </c>
      <c r="G8299" s="4" t="s">
        <v>42708</v>
      </c>
      <c r="H8299" s="3" t="s">
        <v>38194</v>
      </c>
      <c r="I8299" s="3" t="s">
        <v>42709</v>
      </c>
      <c r="J8299" s="3" t="s">
        <v>566</v>
      </c>
      <c r="K8299" s="3" t="s">
        <v>42710</v>
      </c>
      <c r="L8299" s="3"/>
      <c r="M8299" s="4"/>
      <c r="N8299" s="3" t="s">
        <v>37</v>
      </c>
      <c r="O8299" s="3" t="s">
        <v>46</v>
      </c>
      <c r="P8299" s="5">
        <v>9</v>
      </c>
      <c r="Q8299" s="5">
        <v>73</v>
      </c>
      <c r="R8299" s="5">
        <v>9</v>
      </c>
      <c r="S8299" s="5">
        <v>65</v>
      </c>
    </row>
    <row r="8300" spans="1:19" ht="56" x14ac:dyDescent="0.15">
      <c r="A8300" s="2">
        <f>HYPERLINK("https://open-school.uspishnemisto.com.ua/school/461011/", 461011)</f>
        <v>461011</v>
      </c>
      <c r="B8300" s="3" t="s">
        <v>42711</v>
      </c>
      <c r="C8300" s="3" t="s">
        <v>54</v>
      </c>
      <c r="D8300" s="3" t="s">
        <v>175</v>
      </c>
      <c r="E8300" s="4" t="s">
        <v>22</v>
      </c>
      <c r="F8300" s="4" t="s">
        <v>42712</v>
      </c>
      <c r="G8300" s="4" t="s">
        <v>42713</v>
      </c>
      <c r="H8300" s="3" t="s">
        <v>38194</v>
      </c>
      <c r="I8300" s="3" t="s">
        <v>42714</v>
      </c>
      <c r="J8300" s="3" t="s">
        <v>42715</v>
      </c>
      <c r="K8300" s="3" t="s">
        <v>42716</v>
      </c>
      <c r="L8300" s="3"/>
      <c r="M8300" s="4"/>
      <c r="N8300" s="3" t="s">
        <v>37</v>
      </c>
      <c r="O8300" s="3" t="s">
        <v>46</v>
      </c>
      <c r="P8300" s="5">
        <v>9</v>
      </c>
      <c r="Q8300" s="5">
        <v>106</v>
      </c>
      <c r="R8300" s="5">
        <v>9</v>
      </c>
      <c r="S8300" s="5">
        <v>102</v>
      </c>
    </row>
    <row r="8301" spans="1:19" ht="28" x14ac:dyDescent="0.15">
      <c r="A8301" s="2">
        <f>HYPERLINK("https://open-school.uspishnemisto.com.ua/school/461012/", 461012)</f>
        <v>461012</v>
      </c>
      <c r="B8301" s="3" t="s">
        <v>42717</v>
      </c>
      <c r="C8301" s="3" t="s">
        <v>31</v>
      </c>
      <c r="D8301" s="3" t="s">
        <v>175</v>
      </c>
      <c r="E8301" s="4" t="s">
        <v>22</v>
      </c>
      <c r="F8301" s="4" t="s">
        <v>42621</v>
      </c>
      <c r="G8301" s="4" t="s">
        <v>42718</v>
      </c>
      <c r="H8301" s="3" t="s">
        <v>38194</v>
      </c>
      <c r="I8301" s="3" t="s">
        <v>42719</v>
      </c>
      <c r="J8301" s="3" t="s">
        <v>42720</v>
      </c>
      <c r="K8301" s="3" t="s">
        <v>42721</v>
      </c>
      <c r="L8301" s="3"/>
      <c r="M8301" s="4"/>
      <c r="N8301" s="3" t="s">
        <v>37</v>
      </c>
      <c r="O8301" s="3" t="s">
        <v>46</v>
      </c>
      <c r="P8301" s="5">
        <v>9</v>
      </c>
      <c r="Q8301" s="5">
        <v>77</v>
      </c>
      <c r="R8301" s="5">
        <v>9</v>
      </c>
      <c r="S8301" s="5">
        <v>86</v>
      </c>
    </row>
    <row r="8302" spans="1:19" ht="28" x14ac:dyDescent="0.15">
      <c r="A8302" s="2">
        <f>HYPERLINK("https://open-school.uspishnemisto.com.ua/school/461013/", 461013)</f>
        <v>461013</v>
      </c>
      <c r="B8302" s="3" t="s">
        <v>42722</v>
      </c>
      <c r="C8302" s="3" t="s">
        <v>31</v>
      </c>
      <c r="D8302" s="3" t="s">
        <v>175</v>
      </c>
      <c r="E8302" s="4" t="s">
        <v>22</v>
      </c>
      <c r="F8302" s="4" t="s">
        <v>42723</v>
      </c>
      <c r="G8302" s="4" t="s">
        <v>42724</v>
      </c>
      <c r="H8302" s="3" t="s">
        <v>38194</v>
      </c>
      <c r="I8302" s="3" t="s">
        <v>42725</v>
      </c>
      <c r="J8302" s="3" t="s">
        <v>18243</v>
      </c>
      <c r="K8302" s="3" t="s">
        <v>42726</v>
      </c>
      <c r="L8302" s="3"/>
      <c r="M8302" s="4"/>
      <c r="N8302" s="3" t="s">
        <v>37</v>
      </c>
      <c r="O8302" s="3" t="s">
        <v>46</v>
      </c>
      <c r="P8302" s="5">
        <v>14</v>
      </c>
      <c r="Q8302" s="5">
        <v>192</v>
      </c>
      <c r="R8302" s="5">
        <v>13</v>
      </c>
      <c r="S8302" s="5">
        <v>185</v>
      </c>
    </row>
    <row r="8303" spans="1:19" ht="28" x14ac:dyDescent="0.15">
      <c r="A8303" s="2">
        <f>HYPERLINK("https://open-school.uspishnemisto.com.ua/school/461014/", 461014)</f>
        <v>461014</v>
      </c>
      <c r="B8303" s="3" t="s">
        <v>42727</v>
      </c>
      <c r="C8303" s="3" t="s">
        <v>31</v>
      </c>
      <c r="D8303" s="3" t="s">
        <v>175</v>
      </c>
      <c r="E8303" s="4" t="s">
        <v>22</v>
      </c>
      <c r="F8303" s="4" t="s">
        <v>42728</v>
      </c>
      <c r="G8303" s="4" t="s">
        <v>42729</v>
      </c>
      <c r="H8303" s="3" t="s">
        <v>38194</v>
      </c>
      <c r="I8303" s="3" t="s">
        <v>42730</v>
      </c>
      <c r="J8303" s="3" t="s">
        <v>42731</v>
      </c>
      <c r="K8303" s="3" t="s">
        <v>42732</v>
      </c>
      <c r="L8303" s="3"/>
      <c r="M8303" s="4"/>
      <c r="N8303" s="3" t="s">
        <v>37</v>
      </c>
      <c r="O8303" s="3" t="s">
        <v>46</v>
      </c>
      <c r="P8303" s="5">
        <v>9</v>
      </c>
      <c r="Q8303" s="5">
        <v>80</v>
      </c>
      <c r="R8303" s="5">
        <v>9</v>
      </c>
      <c r="S8303" s="5">
        <v>74</v>
      </c>
    </row>
    <row r="8304" spans="1:19" ht="28" x14ac:dyDescent="0.15">
      <c r="A8304" s="2">
        <f>HYPERLINK("https://open-school.uspishnemisto.com.ua/school/461015/", 461015)</f>
        <v>461015</v>
      </c>
      <c r="B8304" s="3" t="s">
        <v>42733</v>
      </c>
      <c r="C8304" s="3" t="s">
        <v>31</v>
      </c>
      <c r="D8304" s="3" t="s">
        <v>175</v>
      </c>
      <c r="E8304" s="4" t="s">
        <v>22</v>
      </c>
      <c r="F8304" s="4" t="s">
        <v>42734</v>
      </c>
      <c r="G8304" s="4" t="s">
        <v>42735</v>
      </c>
      <c r="H8304" s="3" t="s">
        <v>38194</v>
      </c>
      <c r="I8304" s="3" t="s">
        <v>42736</v>
      </c>
      <c r="J8304" s="3" t="s">
        <v>27411</v>
      </c>
      <c r="K8304" s="3" t="s">
        <v>42737</v>
      </c>
      <c r="L8304" s="3"/>
      <c r="M8304" s="4"/>
      <c r="N8304" s="3" t="s">
        <v>37</v>
      </c>
      <c r="O8304" s="3" t="s">
        <v>46</v>
      </c>
      <c r="P8304" s="5">
        <v>9</v>
      </c>
      <c r="Q8304" s="5">
        <v>75</v>
      </c>
      <c r="R8304" s="5">
        <v>9</v>
      </c>
      <c r="S8304" s="5">
        <v>75</v>
      </c>
    </row>
    <row r="8305" spans="1:19" ht="28" x14ac:dyDescent="0.15">
      <c r="A8305" s="2">
        <f>HYPERLINK("https://open-school.uspishnemisto.com.ua/school/461016/", 461016)</f>
        <v>461016</v>
      </c>
      <c r="B8305" s="3" t="s">
        <v>42738</v>
      </c>
      <c r="C8305" s="3" t="s">
        <v>31</v>
      </c>
      <c r="D8305" s="3" t="s">
        <v>175</v>
      </c>
      <c r="E8305" s="4" t="s">
        <v>22</v>
      </c>
      <c r="F8305" s="4" t="s">
        <v>42739</v>
      </c>
      <c r="G8305" s="4" t="s">
        <v>42740</v>
      </c>
      <c r="H8305" s="3" t="s">
        <v>38194</v>
      </c>
      <c r="I8305" s="3" t="s">
        <v>42741</v>
      </c>
      <c r="J8305" s="3" t="s">
        <v>42742</v>
      </c>
      <c r="K8305" s="3" t="s">
        <v>42743</v>
      </c>
      <c r="L8305" s="3"/>
      <c r="M8305" s="4"/>
      <c r="N8305" s="3" t="s">
        <v>37</v>
      </c>
      <c r="O8305" s="3" t="s">
        <v>2740</v>
      </c>
      <c r="P8305" s="5">
        <v>2</v>
      </c>
      <c r="Q8305" s="5">
        <v>30</v>
      </c>
      <c r="R8305" s="5">
        <v>2</v>
      </c>
      <c r="S8305" s="5">
        <v>31</v>
      </c>
    </row>
    <row r="8306" spans="1:19" ht="28" x14ac:dyDescent="0.15">
      <c r="A8306" s="2">
        <f>HYPERLINK("https://open-school.uspishnemisto.com.ua/school/461017/", 461017)</f>
        <v>461017</v>
      </c>
      <c r="B8306" s="3" t="s">
        <v>42744</v>
      </c>
      <c r="C8306" s="3" t="s">
        <v>31</v>
      </c>
      <c r="D8306" s="3" t="s">
        <v>32</v>
      </c>
      <c r="E8306" s="4" t="s">
        <v>22</v>
      </c>
      <c r="F8306" s="4" t="s">
        <v>42739</v>
      </c>
      <c r="G8306" s="4" t="s">
        <v>42740</v>
      </c>
      <c r="H8306" s="3" t="s">
        <v>38194</v>
      </c>
      <c r="I8306" s="3" t="s">
        <v>42741</v>
      </c>
      <c r="J8306" s="3" t="s">
        <v>42745</v>
      </c>
      <c r="K8306" s="3"/>
      <c r="L8306" s="3"/>
      <c r="M8306" s="4"/>
      <c r="N8306" s="3" t="s">
        <v>37</v>
      </c>
      <c r="O8306" s="3" t="s">
        <v>2740</v>
      </c>
      <c r="P8306" s="5">
        <v>9</v>
      </c>
      <c r="Q8306" s="5">
        <v>61</v>
      </c>
      <c r="R8306" s="5">
        <v>10</v>
      </c>
      <c r="S8306" s="5">
        <v>76</v>
      </c>
    </row>
    <row r="8307" spans="1:19" ht="28" x14ac:dyDescent="0.15">
      <c r="A8307" s="2">
        <f>HYPERLINK("https://open-school.uspishnemisto.com.ua/school/461018/", 461018)</f>
        <v>461018</v>
      </c>
      <c r="B8307" s="3" t="s">
        <v>42746</v>
      </c>
      <c r="C8307" s="3" t="s">
        <v>31</v>
      </c>
      <c r="D8307" s="3" t="s">
        <v>175</v>
      </c>
      <c r="E8307" s="4" t="s">
        <v>22</v>
      </c>
      <c r="F8307" s="4" t="s">
        <v>42747</v>
      </c>
      <c r="G8307" s="4" t="s">
        <v>42748</v>
      </c>
      <c r="H8307" s="3" t="s">
        <v>38194</v>
      </c>
      <c r="I8307" s="3" t="s">
        <v>42749</v>
      </c>
      <c r="J8307" s="3" t="s">
        <v>3363</v>
      </c>
      <c r="K8307" s="3" t="s">
        <v>42750</v>
      </c>
      <c r="L8307" s="3"/>
      <c r="M8307" s="4"/>
      <c r="N8307" s="3" t="s">
        <v>37</v>
      </c>
      <c r="O8307" s="3" t="s">
        <v>46</v>
      </c>
      <c r="P8307" s="5">
        <v>9</v>
      </c>
      <c r="Q8307" s="5">
        <v>66</v>
      </c>
      <c r="R8307" s="5">
        <v>8</v>
      </c>
      <c r="S8307" s="5">
        <v>65</v>
      </c>
    </row>
    <row r="8308" spans="1:19" ht="42" x14ac:dyDescent="0.15">
      <c r="A8308" s="2">
        <f>HYPERLINK("https://open-school.uspishnemisto.com.ua/school/461019/", 461019)</f>
        <v>461019</v>
      </c>
      <c r="B8308" s="3" t="s">
        <v>42751</v>
      </c>
      <c r="C8308" s="3" t="s">
        <v>54</v>
      </c>
      <c r="D8308" s="3" t="s">
        <v>60</v>
      </c>
      <c r="E8308" s="4" t="s">
        <v>22</v>
      </c>
      <c r="F8308" s="4" t="s">
        <v>42747</v>
      </c>
      <c r="G8308" s="4" t="s">
        <v>42752</v>
      </c>
      <c r="H8308" s="3" t="s">
        <v>38194</v>
      </c>
      <c r="I8308" s="3" t="s">
        <v>42753</v>
      </c>
      <c r="J8308" s="3" t="s">
        <v>42754</v>
      </c>
      <c r="K8308" s="3" t="s">
        <v>42755</v>
      </c>
      <c r="L8308" s="3"/>
      <c r="M8308" s="4"/>
      <c r="N8308" s="3" t="s">
        <v>37</v>
      </c>
      <c r="O8308" s="3" t="s">
        <v>52</v>
      </c>
      <c r="P8308" s="5">
        <v>1</v>
      </c>
      <c r="Q8308" s="5">
        <v>12</v>
      </c>
      <c r="R8308" s="5">
        <v>1</v>
      </c>
      <c r="S8308" s="5">
        <v>11</v>
      </c>
    </row>
    <row r="8309" spans="1:19" ht="28" x14ac:dyDescent="0.15">
      <c r="A8309" s="2">
        <f>HYPERLINK("https://open-school.uspishnemisto.com.ua/school/461020/", 461020)</f>
        <v>461020</v>
      </c>
      <c r="B8309" s="3" t="s">
        <v>42756</v>
      </c>
      <c r="C8309" s="3" t="s">
        <v>31</v>
      </c>
      <c r="D8309" s="3" t="s">
        <v>175</v>
      </c>
      <c r="E8309" s="4" t="s">
        <v>22</v>
      </c>
      <c r="F8309" s="4" t="s">
        <v>42757</v>
      </c>
      <c r="G8309" s="4" t="s">
        <v>42758</v>
      </c>
      <c r="H8309" s="3" t="s">
        <v>38194</v>
      </c>
      <c r="I8309" s="3" t="s">
        <v>22512</v>
      </c>
      <c r="J8309" s="3" t="s">
        <v>42759</v>
      </c>
      <c r="K8309" s="3" t="s">
        <v>42760</v>
      </c>
      <c r="L8309" s="3"/>
      <c r="M8309" s="4"/>
      <c r="N8309" s="3" t="s">
        <v>37</v>
      </c>
      <c r="O8309" s="3" t="s">
        <v>46</v>
      </c>
      <c r="P8309" s="5">
        <v>5</v>
      </c>
      <c r="Q8309" s="5">
        <v>42</v>
      </c>
      <c r="R8309" s="5">
        <v>5</v>
      </c>
      <c r="S8309" s="5">
        <v>42</v>
      </c>
    </row>
    <row r="8310" spans="1:19" ht="42" x14ac:dyDescent="0.15">
      <c r="A8310" s="2">
        <f>HYPERLINK("https://open-school.uspishnemisto.com.ua/school/461021/", 461021)</f>
        <v>461021</v>
      </c>
      <c r="B8310" s="3" t="s">
        <v>42761</v>
      </c>
      <c r="C8310" s="3" t="s">
        <v>54</v>
      </c>
      <c r="D8310" s="3" t="s">
        <v>175</v>
      </c>
      <c r="E8310" s="4" t="s">
        <v>22</v>
      </c>
      <c r="F8310" s="4" t="s">
        <v>42757</v>
      </c>
      <c r="G8310" s="4" t="s">
        <v>42758</v>
      </c>
      <c r="H8310" s="3" t="s">
        <v>38194</v>
      </c>
      <c r="I8310" s="3" t="s">
        <v>22512</v>
      </c>
      <c r="J8310" s="3" t="s">
        <v>42762</v>
      </c>
      <c r="K8310" s="3" t="s">
        <v>42763</v>
      </c>
      <c r="L8310" s="3"/>
      <c r="M8310" s="4"/>
      <c r="N8310" s="3" t="s">
        <v>37</v>
      </c>
      <c r="O8310" s="3" t="s">
        <v>46</v>
      </c>
      <c r="P8310" s="5">
        <v>9</v>
      </c>
      <c r="Q8310" s="5">
        <v>74</v>
      </c>
      <c r="R8310" s="5">
        <v>8</v>
      </c>
      <c r="S8310" s="5">
        <v>65</v>
      </c>
    </row>
    <row r="8311" spans="1:19" ht="28" x14ac:dyDescent="0.15">
      <c r="A8311" s="2">
        <f>HYPERLINK("https://open-school.uspishnemisto.com.ua/school/461022/", 461022)</f>
        <v>461022</v>
      </c>
      <c r="B8311" s="3" t="s">
        <v>42764</v>
      </c>
      <c r="C8311" s="3" t="s">
        <v>31</v>
      </c>
      <c r="D8311" s="3" t="s">
        <v>32</v>
      </c>
      <c r="E8311" s="4" t="s">
        <v>22</v>
      </c>
      <c r="F8311" s="4" t="s">
        <v>42765</v>
      </c>
      <c r="G8311" s="4" t="s">
        <v>42766</v>
      </c>
      <c r="H8311" s="3" t="s">
        <v>38194</v>
      </c>
      <c r="I8311" s="3" t="s">
        <v>42767</v>
      </c>
      <c r="J8311" s="3" t="s">
        <v>42768</v>
      </c>
      <c r="K8311" s="3" t="s">
        <v>42769</v>
      </c>
      <c r="L8311" s="3"/>
      <c r="M8311" s="4"/>
      <c r="N8311" s="3" t="s">
        <v>37</v>
      </c>
      <c r="O8311" s="3" t="s">
        <v>2740</v>
      </c>
      <c r="P8311" s="5">
        <v>13</v>
      </c>
      <c r="Q8311" s="5">
        <v>239</v>
      </c>
      <c r="R8311" s="5">
        <v>12</v>
      </c>
      <c r="S8311" s="5">
        <v>233</v>
      </c>
    </row>
    <row r="8312" spans="1:19" ht="28" x14ac:dyDescent="0.15">
      <c r="A8312" s="2">
        <f>HYPERLINK("https://open-school.uspishnemisto.com.ua/school/461023/", 461023)</f>
        <v>461023</v>
      </c>
      <c r="B8312" s="3" t="s">
        <v>42770</v>
      </c>
      <c r="C8312" s="3" t="s">
        <v>31</v>
      </c>
      <c r="D8312" s="3" t="s">
        <v>175</v>
      </c>
      <c r="E8312" s="4" t="s">
        <v>22</v>
      </c>
      <c r="F8312" s="4" t="s">
        <v>42765</v>
      </c>
      <c r="G8312" s="4" t="s">
        <v>42771</v>
      </c>
      <c r="H8312" s="3" t="s">
        <v>38194</v>
      </c>
      <c r="I8312" s="3" t="s">
        <v>42772</v>
      </c>
      <c r="J8312" s="3" t="s">
        <v>5256</v>
      </c>
      <c r="K8312" s="3" t="s">
        <v>42773</v>
      </c>
      <c r="L8312" s="3"/>
      <c r="M8312" s="4"/>
      <c r="N8312" s="3" t="s">
        <v>37</v>
      </c>
      <c r="O8312" s="3" t="s">
        <v>2740</v>
      </c>
      <c r="P8312" s="5">
        <v>8</v>
      </c>
      <c r="Q8312" s="5">
        <v>52</v>
      </c>
      <c r="R8312" s="5">
        <v>9</v>
      </c>
      <c r="S8312" s="5">
        <v>56</v>
      </c>
    </row>
    <row r="8313" spans="1:19" ht="28" x14ac:dyDescent="0.15">
      <c r="A8313" s="2">
        <f>HYPERLINK("https://open-school.uspishnemisto.com.ua/school/461024/", 461024)</f>
        <v>461024</v>
      </c>
      <c r="B8313" s="3" t="s">
        <v>42774</v>
      </c>
      <c r="C8313" s="3" t="s">
        <v>31</v>
      </c>
      <c r="D8313" s="3" t="s">
        <v>175</v>
      </c>
      <c r="E8313" s="4" t="s">
        <v>22</v>
      </c>
      <c r="F8313" s="4" t="s">
        <v>42757</v>
      </c>
      <c r="G8313" s="4" t="s">
        <v>42775</v>
      </c>
      <c r="H8313" s="3" t="s">
        <v>38194</v>
      </c>
      <c r="I8313" s="3" t="s">
        <v>42776</v>
      </c>
      <c r="J8313" s="3" t="s">
        <v>42777</v>
      </c>
      <c r="K8313" s="3"/>
      <c r="L8313" s="3"/>
      <c r="M8313" s="4"/>
      <c r="N8313" s="3" t="s">
        <v>37</v>
      </c>
      <c r="O8313" s="3" t="s">
        <v>46</v>
      </c>
      <c r="P8313" s="5">
        <v>1</v>
      </c>
      <c r="Q8313" s="5">
        <v>27</v>
      </c>
      <c r="R8313" s="5">
        <v>1</v>
      </c>
      <c r="S8313" s="5">
        <v>27</v>
      </c>
    </row>
    <row r="8314" spans="1:19" ht="28" x14ac:dyDescent="0.15">
      <c r="A8314" s="2">
        <f>HYPERLINK("https://open-school.uspishnemisto.com.ua/school/461025/", 461025)</f>
        <v>461025</v>
      </c>
      <c r="B8314" s="3" t="s">
        <v>42778</v>
      </c>
      <c r="C8314" s="3" t="s">
        <v>31</v>
      </c>
      <c r="D8314" s="3" t="s">
        <v>32</v>
      </c>
      <c r="E8314" s="4" t="s">
        <v>22</v>
      </c>
      <c r="F8314" s="4" t="s">
        <v>42779</v>
      </c>
      <c r="G8314" s="4" t="s">
        <v>42780</v>
      </c>
      <c r="H8314" s="3" t="s">
        <v>38194</v>
      </c>
      <c r="I8314" s="3" t="s">
        <v>27953</v>
      </c>
      <c r="J8314" s="3" t="s">
        <v>28298</v>
      </c>
      <c r="K8314" s="3" t="s">
        <v>42781</v>
      </c>
      <c r="L8314" s="3"/>
      <c r="M8314" s="4"/>
      <c r="N8314" s="3" t="s">
        <v>37</v>
      </c>
      <c r="O8314" s="3" t="s">
        <v>2740</v>
      </c>
      <c r="P8314" s="5">
        <v>11</v>
      </c>
      <c r="Q8314" s="5">
        <v>76</v>
      </c>
      <c r="R8314" s="5">
        <v>11</v>
      </c>
      <c r="S8314" s="5">
        <v>78</v>
      </c>
    </row>
    <row r="8315" spans="1:19" ht="28" x14ac:dyDescent="0.15">
      <c r="A8315" s="2">
        <f>HYPERLINK("https://open-school.uspishnemisto.com.ua/school/461026/", 461026)</f>
        <v>461026</v>
      </c>
      <c r="B8315" s="3" t="s">
        <v>42782</v>
      </c>
      <c r="C8315" s="3" t="s">
        <v>31</v>
      </c>
      <c r="D8315" s="3" t="s">
        <v>175</v>
      </c>
      <c r="E8315" s="4" t="s">
        <v>22</v>
      </c>
      <c r="F8315" s="4" t="s">
        <v>42783</v>
      </c>
      <c r="G8315" s="4" t="s">
        <v>42784</v>
      </c>
      <c r="H8315" s="3" t="s">
        <v>38194</v>
      </c>
      <c r="I8315" s="3" t="s">
        <v>42785</v>
      </c>
      <c r="J8315" s="3" t="s">
        <v>17555</v>
      </c>
      <c r="K8315" s="3" t="s">
        <v>42786</v>
      </c>
      <c r="L8315" s="3"/>
      <c r="M8315" s="4"/>
      <c r="N8315" s="3" t="s">
        <v>37</v>
      </c>
      <c r="O8315" s="3" t="s">
        <v>46</v>
      </c>
      <c r="P8315" s="5">
        <v>9</v>
      </c>
      <c r="Q8315" s="5">
        <v>63</v>
      </c>
      <c r="R8315" s="5">
        <v>9</v>
      </c>
      <c r="S8315" s="5">
        <v>66</v>
      </c>
    </row>
    <row r="8316" spans="1:19" ht="28" x14ac:dyDescent="0.15">
      <c r="A8316" s="2">
        <f>HYPERLINK("https://open-school.uspishnemisto.com.ua/school/461027/", 461027)</f>
        <v>461027</v>
      </c>
      <c r="B8316" s="3" t="s">
        <v>42787</v>
      </c>
      <c r="C8316" s="3" t="s">
        <v>31</v>
      </c>
      <c r="D8316" s="3" t="s">
        <v>60</v>
      </c>
      <c r="E8316" s="4" t="s">
        <v>22</v>
      </c>
      <c r="F8316" s="4" t="s">
        <v>42783</v>
      </c>
      <c r="G8316" s="4" t="s">
        <v>42788</v>
      </c>
      <c r="H8316" s="3" t="s">
        <v>38194</v>
      </c>
      <c r="I8316" s="3" t="s">
        <v>35172</v>
      </c>
      <c r="J8316" s="3" t="s">
        <v>42789</v>
      </c>
      <c r="K8316" s="3" t="s">
        <v>42790</v>
      </c>
      <c r="L8316" s="3"/>
      <c r="M8316" s="4"/>
      <c r="N8316" s="3" t="s">
        <v>37</v>
      </c>
      <c r="O8316" s="3" t="s">
        <v>52</v>
      </c>
      <c r="P8316" s="5">
        <v>0</v>
      </c>
      <c r="Q8316" s="5">
        <v>7</v>
      </c>
      <c r="R8316" s="5">
        <v>0</v>
      </c>
      <c r="S8316" s="5">
        <v>5</v>
      </c>
    </row>
    <row r="8317" spans="1:19" ht="28" x14ac:dyDescent="0.15">
      <c r="A8317" s="2">
        <f>HYPERLINK("https://open-school.uspishnemisto.com.ua/school/461028/", 461028)</f>
        <v>461028</v>
      </c>
      <c r="B8317" s="3" t="s">
        <v>42791</v>
      </c>
      <c r="C8317" s="3" t="s">
        <v>31</v>
      </c>
      <c r="D8317" s="3" t="s">
        <v>32</v>
      </c>
      <c r="E8317" s="4" t="s">
        <v>22</v>
      </c>
      <c r="F8317" s="4" t="s">
        <v>42792</v>
      </c>
      <c r="G8317" s="4" t="s">
        <v>42793</v>
      </c>
      <c r="H8317" s="3" t="s">
        <v>38194</v>
      </c>
      <c r="I8317" s="3" t="s">
        <v>42794</v>
      </c>
      <c r="J8317" s="3" t="s">
        <v>16129</v>
      </c>
      <c r="K8317" s="3" t="s">
        <v>42795</v>
      </c>
      <c r="L8317" s="3"/>
      <c r="M8317" s="4"/>
      <c r="N8317" s="3" t="s">
        <v>37</v>
      </c>
      <c r="O8317" s="3" t="s">
        <v>46</v>
      </c>
      <c r="P8317" s="5">
        <v>11</v>
      </c>
      <c r="Q8317" s="5">
        <v>216</v>
      </c>
      <c r="R8317" s="5">
        <v>11</v>
      </c>
      <c r="S8317" s="5">
        <v>210</v>
      </c>
    </row>
    <row r="8318" spans="1:19" ht="28" x14ac:dyDescent="0.15">
      <c r="A8318" s="2">
        <f>HYPERLINK("https://open-school.uspishnemisto.com.ua/school/461029/", 461029)</f>
        <v>461029</v>
      </c>
      <c r="B8318" s="3" t="s">
        <v>42796</v>
      </c>
      <c r="C8318" s="3" t="s">
        <v>31</v>
      </c>
      <c r="D8318" s="3" t="s">
        <v>60</v>
      </c>
      <c r="E8318" s="4" t="s">
        <v>22</v>
      </c>
      <c r="F8318" s="4" t="s">
        <v>42728</v>
      </c>
      <c r="G8318" s="4" t="s">
        <v>42797</v>
      </c>
      <c r="H8318" s="3" t="s">
        <v>38194</v>
      </c>
      <c r="I8318" s="3" t="s">
        <v>42798</v>
      </c>
      <c r="J8318" s="3" t="s">
        <v>42799</v>
      </c>
      <c r="K8318" s="3" t="s">
        <v>42800</v>
      </c>
      <c r="L8318" s="3"/>
      <c r="M8318" s="4"/>
      <c r="N8318" s="3" t="s">
        <v>37</v>
      </c>
      <c r="O8318" s="3" t="s">
        <v>52</v>
      </c>
      <c r="P8318" s="5">
        <v>1</v>
      </c>
      <c r="Q8318" s="5">
        <v>15</v>
      </c>
      <c r="R8318" s="5">
        <v>1</v>
      </c>
      <c r="S8318" s="5">
        <v>13</v>
      </c>
    </row>
    <row r="8319" spans="1:19" ht="42" x14ac:dyDescent="0.15">
      <c r="A8319" s="2">
        <f>HYPERLINK("https://open-school.uspishnemisto.com.ua/school/461030/", 461030)</f>
        <v>461030</v>
      </c>
      <c r="B8319" s="3" t="s">
        <v>42801</v>
      </c>
      <c r="C8319" s="3" t="s">
        <v>54</v>
      </c>
      <c r="D8319" s="3" t="s">
        <v>32</v>
      </c>
      <c r="E8319" s="4" t="s">
        <v>22</v>
      </c>
      <c r="F8319" s="4" t="s">
        <v>42802</v>
      </c>
      <c r="G8319" s="4" t="s">
        <v>42803</v>
      </c>
      <c r="H8319" s="3" t="s">
        <v>38194</v>
      </c>
      <c r="I8319" s="3" t="s">
        <v>42804</v>
      </c>
      <c r="J8319" s="3" t="s">
        <v>42805</v>
      </c>
      <c r="K8319" s="3"/>
      <c r="L8319" s="3"/>
      <c r="M8319" s="4"/>
      <c r="N8319" s="3" t="s">
        <v>37</v>
      </c>
      <c r="O8319" s="3" t="s">
        <v>46</v>
      </c>
      <c r="P8319" s="5">
        <v>12</v>
      </c>
      <c r="Q8319" s="5">
        <v>243</v>
      </c>
      <c r="R8319" s="5">
        <v>12</v>
      </c>
      <c r="S8319" s="5">
        <v>238</v>
      </c>
    </row>
    <row r="8320" spans="1:19" ht="56" x14ac:dyDescent="0.15">
      <c r="A8320" s="2">
        <f>HYPERLINK("https://open-school.uspishnemisto.com.ua/school/461031/", 461031)</f>
        <v>461031</v>
      </c>
      <c r="B8320" s="3" t="s">
        <v>42806</v>
      </c>
      <c r="C8320" s="3" t="s">
        <v>54</v>
      </c>
      <c r="D8320" s="3" t="s">
        <v>32</v>
      </c>
      <c r="E8320" s="4" t="s">
        <v>22</v>
      </c>
      <c r="F8320" s="4" t="s">
        <v>42807</v>
      </c>
      <c r="G8320" s="4" t="s">
        <v>42808</v>
      </c>
      <c r="H8320" s="3" t="s">
        <v>38194</v>
      </c>
      <c r="I8320" s="3" t="s">
        <v>42809</v>
      </c>
      <c r="J8320" s="3" t="s">
        <v>42810</v>
      </c>
      <c r="K8320" s="3" t="s">
        <v>42811</v>
      </c>
      <c r="L8320" s="3"/>
      <c r="M8320" s="4"/>
      <c r="N8320" s="3" t="s">
        <v>37</v>
      </c>
      <c r="O8320" s="3" t="s">
        <v>46</v>
      </c>
      <c r="P8320" s="5">
        <v>11</v>
      </c>
      <c r="Q8320" s="5">
        <v>139</v>
      </c>
      <c r="R8320" s="5">
        <v>11</v>
      </c>
      <c r="S8320" s="5">
        <v>148</v>
      </c>
    </row>
    <row r="8321" spans="1:19" ht="28" x14ac:dyDescent="0.15">
      <c r="A8321" s="2">
        <f>HYPERLINK("https://open-school.uspishnemisto.com.ua/school/461032/", 461032)</f>
        <v>461032</v>
      </c>
      <c r="B8321" s="3" t="s">
        <v>42812</v>
      </c>
      <c r="C8321" s="3" t="s">
        <v>31</v>
      </c>
      <c r="D8321" s="3" t="s">
        <v>175</v>
      </c>
      <c r="E8321" s="4" t="s">
        <v>22</v>
      </c>
      <c r="F8321" s="4" t="s">
        <v>42807</v>
      </c>
      <c r="G8321" s="4" t="s">
        <v>42813</v>
      </c>
      <c r="H8321" s="3" t="s">
        <v>38194</v>
      </c>
      <c r="I8321" s="3" t="s">
        <v>42814</v>
      </c>
      <c r="J8321" s="3" t="s">
        <v>13569</v>
      </c>
      <c r="K8321" s="3" t="s">
        <v>42815</v>
      </c>
      <c r="L8321" s="3"/>
      <c r="M8321" s="4"/>
      <c r="N8321" s="3" t="s">
        <v>37</v>
      </c>
      <c r="O8321" s="3" t="s">
        <v>46</v>
      </c>
      <c r="P8321" s="5">
        <v>9</v>
      </c>
      <c r="Q8321" s="5">
        <v>68</v>
      </c>
      <c r="R8321" s="5">
        <v>9</v>
      </c>
      <c r="S8321" s="5">
        <v>69</v>
      </c>
    </row>
    <row r="8322" spans="1:19" ht="28" x14ac:dyDescent="0.15">
      <c r="A8322" s="2">
        <f>HYPERLINK("https://open-school.uspishnemisto.com.ua/school/461033/", 461033)</f>
        <v>461033</v>
      </c>
      <c r="B8322" s="3" t="s">
        <v>42816</v>
      </c>
      <c r="C8322" s="3" t="s">
        <v>31</v>
      </c>
      <c r="D8322" s="3" t="s">
        <v>60</v>
      </c>
      <c r="E8322" s="4" t="s">
        <v>22</v>
      </c>
      <c r="F8322" s="4" t="s">
        <v>42698</v>
      </c>
      <c r="G8322" s="4" t="s">
        <v>42817</v>
      </c>
      <c r="H8322" s="3" t="s">
        <v>38194</v>
      </c>
      <c r="I8322" s="3" t="s">
        <v>42818</v>
      </c>
      <c r="J8322" s="3" t="s">
        <v>17237</v>
      </c>
      <c r="K8322" s="3" t="s">
        <v>42819</v>
      </c>
      <c r="L8322" s="3"/>
      <c r="M8322" s="4"/>
      <c r="N8322" s="3" t="s">
        <v>37</v>
      </c>
      <c r="O8322" s="3" t="s">
        <v>618</v>
      </c>
      <c r="P8322" s="5">
        <v>3</v>
      </c>
      <c r="Q8322" s="5">
        <v>17</v>
      </c>
      <c r="R8322" s="5">
        <v>2</v>
      </c>
      <c r="S8322" s="5">
        <v>14</v>
      </c>
    </row>
    <row r="8323" spans="1:19" ht="28" x14ac:dyDescent="0.15">
      <c r="A8323" s="2">
        <f>HYPERLINK("https://open-school.uspishnemisto.com.ua/school/461034/", 461034)</f>
        <v>461034</v>
      </c>
      <c r="B8323" s="3" t="s">
        <v>42820</v>
      </c>
      <c r="C8323" s="3" t="s">
        <v>31</v>
      </c>
      <c r="D8323" s="3" t="s">
        <v>175</v>
      </c>
      <c r="E8323" s="4" t="s">
        <v>22</v>
      </c>
      <c r="F8323" s="4" t="s">
        <v>42821</v>
      </c>
      <c r="G8323" s="4" t="s">
        <v>42822</v>
      </c>
      <c r="H8323" s="3" t="s">
        <v>38194</v>
      </c>
      <c r="I8323" s="3" t="s">
        <v>42823</v>
      </c>
      <c r="J8323" s="3" t="s">
        <v>42824</v>
      </c>
      <c r="K8323" s="3" t="s">
        <v>42825</v>
      </c>
      <c r="L8323" s="3"/>
      <c r="M8323" s="4"/>
      <c r="N8323" s="3" t="s">
        <v>37</v>
      </c>
      <c r="O8323" s="3" t="s">
        <v>2740</v>
      </c>
      <c r="P8323" s="5">
        <v>0</v>
      </c>
      <c r="Q8323" s="5">
        <v>26</v>
      </c>
      <c r="R8323" s="5">
        <v>1</v>
      </c>
      <c r="S8323" s="5">
        <v>30</v>
      </c>
    </row>
    <row r="8324" spans="1:19" ht="42" x14ac:dyDescent="0.15">
      <c r="A8324" s="2">
        <f>HYPERLINK("https://open-school.uspishnemisto.com.ua/school/461035/", 461035)</f>
        <v>461035</v>
      </c>
      <c r="B8324" s="3" t="s">
        <v>42826</v>
      </c>
      <c r="C8324" s="3" t="s">
        <v>2634</v>
      </c>
      <c r="D8324" s="3" t="s">
        <v>32</v>
      </c>
      <c r="E8324" s="4" t="s">
        <v>22</v>
      </c>
      <c r="F8324" s="4" t="s">
        <v>42827</v>
      </c>
      <c r="G8324" s="4" t="s">
        <v>42828</v>
      </c>
      <c r="H8324" s="3" t="s">
        <v>38194</v>
      </c>
      <c r="I8324" s="3" t="s">
        <v>42829</v>
      </c>
      <c r="J8324" s="3" t="s">
        <v>42830</v>
      </c>
      <c r="K8324" s="3"/>
      <c r="L8324" s="3" t="s">
        <v>42831</v>
      </c>
      <c r="M8324" s="4" t="s">
        <v>42832</v>
      </c>
      <c r="N8324" s="3" t="s">
        <v>37</v>
      </c>
      <c r="O8324" s="3" t="s">
        <v>52</v>
      </c>
      <c r="P8324" s="5">
        <v>14</v>
      </c>
      <c r="Q8324" s="5">
        <v>256</v>
      </c>
      <c r="R8324" s="5">
        <v>14</v>
      </c>
      <c r="S8324" s="5">
        <v>267</v>
      </c>
    </row>
    <row r="8325" spans="1:19" ht="42" x14ac:dyDescent="0.15">
      <c r="A8325" s="2">
        <f>HYPERLINK("https://open-school.uspishnemisto.com.ua/school/461036/", 461036)</f>
        <v>461036</v>
      </c>
      <c r="B8325" s="3" t="s">
        <v>42833</v>
      </c>
      <c r="C8325" s="3" t="s">
        <v>54</v>
      </c>
      <c r="D8325" s="3" t="s">
        <v>32</v>
      </c>
      <c r="E8325" s="4" t="s">
        <v>22</v>
      </c>
      <c r="F8325" s="4" t="s">
        <v>42827</v>
      </c>
      <c r="G8325" s="4" t="s">
        <v>42828</v>
      </c>
      <c r="H8325" s="3" t="s">
        <v>38194</v>
      </c>
      <c r="I8325" s="3" t="s">
        <v>42829</v>
      </c>
      <c r="J8325" s="3" t="s">
        <v>42834</v>
      </c>
      <c r="K8325" s="3" t="s">
        <v>42835</v>
      </c>
      <c r="L8325" s="3"/>
      <c r="M8325" s="4"/>
      <c r="N8325" s="3" t="s">
        <v>37</v>
      </c>
      <c r="O8325" s="3" t="s">
        <v>123</v>
      </c>
      <c r="P8325" s="5">
        <v>15</v>
      </c>
      <c r="Q8325" s="5">
        <v>457</v>
      </c>
      <c r="R8325" s="5">
        <v>14</v>
      </c>
      <c r="S8325" s="5">
        <v>435</v>
      </c>
    </row>
    <row r="8326" spans="1:19" ht="28" x14ac:dyDescent="0.15">
      <c r="A8326" s="2">
        <f>HYPERLINK("https://open-school.uspishnemisto.com.ua/school/461037/", 461037)</f>
        <v>461037</v>
      </c>
      <c r="B8326" s="3" t="s">
        <v>42836</v>
      </c>
      <c r="C8326" s="3" t="s">
        <v>31</v>
      </c>
      <c r="D8326" s="3" t="s">
        <v>32</v>
      </c>
      <c r="E8326" s="4" t="s">
        <v>22</v>
      </c>
      <c r="F8326" s="4" t="s">
        <v>42837</v>
      </c>
      <c r="G8326" s="4" t="s">
        <v>42828</v>
      </c>
      <c r="H8326" s="3" t="s">
        <v>38194</v>
      </c>
      <c r="I8326" s="3" t="s">
        <v>42829</v>
      </c>
      <c r="J8326" s="3" t="s">
        <v>42838</v>
      </c>
      <c r="K8326" s="3" t="s">
        <v>42839</v>
      </c>
      <c r="L8326" s="3" t="s">
        <v>42840</v>
      </c>
      <c r="M8326" s="4"/>
      <c r="N8326" s="3" t="s">
        <v>37</v>
      </c>
      <c r="O8326" s="3" t="s">
        <v>52</v>
      </c>
      <c r="P8326" s="5">
        <v>20</v>
      </c>
      <c r="Q8326" s="5">
        <v>446</v>
      </c>
      <c r="R8326" s="5">
        <v>20</v>
      </c>
      <c r="S8326" s="5">
        <v>453</v>
      </c>
    </row>
    <row r="8327" spans="1:19" ht="28" x14ac:dyDescent="0.15">
      <c r="A8327" s="2">
        <f>HYPERLINK("https://open-school.uspishnemisto.com.ua/school/461038/", 461038)</f>
        <v>461038</v>
      </c>
      <c r="B8327" s="3" t="s">
        <v>42841</v>
      </c>
      <c r="C8327" s="3" t="s">
        <v>31</v>
      </c>
      <c r="D8327" s="3" t="s">
        <v>32</v>
      </c>
      <c r="E8327" s="4" t="s">
        <v>22</v>
      </c>
      <c r="F8327" s="4" t="s">
        <v>42827</v>
      </c>
      <c r="G8327" s="4" t="s">
        <v>42828</v>
      </c>
      <c r="H8327" s="3" t="s">
        <v>38194</v>
      </c>
      <c r="I8327" s="3" t="s">
        <v>42829</v>
      </c>
      <c r="J8327" s="3" t="s">
        <v>42842</v>
      </c>
      <c r="K8327" s="3" t="s">
        <v>42843</v>
      </c>
      <c r="L8327" s="3"/>
      <c r="M8327" s="4"/>
      <c r="N8327" s="3" t="s">
        <v>37</v>
      </c>
      <c r="O8327" s="3" t="s">
        <v>52</v>
      </c>
      <c r="P8327" s="5">
        <v>28</v>
      </c>
      <c r="Q8327" s="5">
        <v>760</v>
      </c>
      <c r="R8327" s="5">
        <v>28</v>
      </c>
      <c r="S8327" s="5">
        <v>740</v>
      </c>
    </row>
    <row r="8328" spans="1:19" ht="28" x14ac:dyDescent="0.15">
      <c r="A8328" s="2">
        <f>HYPERLINK("https://open-school.uspishnemisto.com.ua/school/461039/", 461039)</f>
        <v>461039</v>
      </c>
      <c r="B8328" s="3" t="s">
        <v>42844</v>
      </c>
      <c r="C8328" s="3" t="s">
        <v>31</v>
      </c>
      <c r="D8328" s="3" t="s">
        <v>32</v>
      </c>
      <c r="E8328" s="4" t="s">
        <v>22</v>
      </c>
      <c r="F8328" s="4" t="s">
        <v>42837</v>
      </c>
      <c r="G8328" s="4" t="s">
        <v>42828</v>
      </c>
      <c r="H8328" s="3" t="s">
        <v>38194</v>
      </c>
      <c r="I8328" s="3" t="s">
        <v>42829</v>
      </c>
      <c r="J8328" s="3" t="s">
        <v>42845</v>
      </c>
      <c r="K8328" s="3" t="s">
        <v>42846</v>
      </c>
      <c r="L8328" s="3"/>
      <c r="M8328" s="4"/>
      <c r="N8328" s="3" t="s">
        <v>37</v>
      </c>
      <c r="O8328" s="3" t="s">
        <v>46</v>
      </c>
      <c r="P8328" s="5">
        <v>11</v>
      </c>
      <c r="Q8328" s="5">
        <v>300</v>
      </c>
      <c r="R8328" s="5">
        <v>11</v>
      </c>
      <c r="S8328" s="5">
        <v>309</v>
      </c>
    </row>
    <row r="8329" spans="1:19" ht="28" x14ac:dyDescent="0.15">
      <c r="A8329" s="2">
        <f>HYPERLINK("https://open-school.uspishnemisto.com.ua/school/461040/", 461040)</f>
        <v>461040</v>
      </c>
      <c r="B8329" s="3" t="s">
        <v>42847</v>
      </c>
      <c r="C8329" s="3" t="s">
        <v>244</v>
      </c>
      <c r="D8329" s="3" t="s">
        <v>32</v>
      </c>
      <c r="E8329" s="4" t="s">
        <v>22</v>
      </c>
      <c r="F8329" s="4" t="s">
        <v>42837</v>
      </c>
      <c r="G8329" s="4" t="s">
        <v>42828</v>
      </c>
      <c r="H8329" s="3" t="s">
        <v>38194</v>
      </c>
      <c r="I8329" s="3" t="s">
        <v>42829</v>
      </c>
      <c r="J8329" s="3" t="s">
        <v>42848</v>
      </c>
      <c r="K8329" s="3" t="s">
        <v>42849</v>
      </c>
      <c r="L8329" s="3"/>
      <c r="M8329" s="4"/>
      <c r="N8329" s="3" t="s">
        <v>37</v>
      </c>
      <c r="O8329" s="3" t="s">
        <v>123</v>
      </c>
      <c r="P8329" s="5">
        <v>22</v>
      </c>
      <c r="Q8329" s="5">
        <v>571</v>
      </c>
      <c r="R8329" s="5">
        <v>22</v>
      </c>
      <c r="S8329" s="5">
        <v>560</v>
      </c>
    </row>
    <row r="8330" spans="1:19" ht="28" x14ac:dyDescent="0.15">
      <c r="A8330" s="2">
        <f>HYPERLINK("https://open-school.uspishnemisto.com.ua/school/461041/", 461041)</f>
        <v>461041</v>
      </c>
      <c r="B8330" s="3" t="s">
        <v>42850</v>
      </c>
      <c r="C8330" s="3" t="s">
        <v>31</v>
      </c>
      <c r="D8330" s="3" t="s">
        <v>32</v>
      </c>
      <c r="E8330" s="4" t="s">
        <v>22</v>
      </c>
      <c r="F8330" s="4" t="s">
        <v>42851</v>
      </c>
      <c r="G8330" s="4" t="s">
        <v>42852</v>
      </c>
      <c r="H8330" s="3" t="s">
        <v>38194</v>
      </c>
      <c r="I8330" s="3" t="s">
        <v>42853</v>
      </c>
      <c r="J8330" s="3" t="s">
        <v>42854</v>
      </c>
      <c r="K8330" s="3" t="s">
        <v>42855</v>
      </c>
      <c r="L8330" s="3"/>
      <c r="M8330" s="4"/>
      <c r="N8330" s="3" t="s">
        <v>37</v>
      </c>
      <c r="O8330" s="3" t="s">
        <v>52</v>
      </c>
      <c r="P8330" s="5">
        <v>17</v>
      </c>
      <c r="Q8330" s="5">
        <v>359</v>
      </c>
      <c r="R8330" s="5">
        <v>17</v>
      </c>
      <c r="S8330" s="5">
        <v>358</v>
      </c>
    </row>
    <row r="8331" spans="1:19" ht="28" x14ac:dyDescent="0.15">
      <c r="A8331" s="2">
        <f>HYPERLINK("https://open-school.uspishnemisto.com.ua/school/461042/", 461042)</f>
        <v>461042</v>
      </c>
      <c r="B8331" s="3" t="s">
        <v>42856</v>
      </c>
      <c r="C8331" s="3" t="s">
        <v>31</v>
      </c>
      <c r="D8331" s="3" t="s">
        <v>32</v>
      </c>
      <c r="E8331" s="4" t="s">
        <v>22</v>
      </c>
      <c r="F8331" s="4" t="s">
        <v>42857</v>
      </c>
      <c r="G8331" s="4" t="s">
        <v>42858</v>
      </c>
      <c r="H8331" s="3" t="s">
        <v>38194</v>
      </c>
      <c r="I8331" s="3" t="s">
        <v>42859</v>
      </c>
      <c r="J8331" s="3" t="s">
        <v>42860</v>
      </c>
      <c r="K8331" s="3" t="s">
        <v>42861</v>
      </c>
      <c r="L8331" s="3" t="s">
        <v>42862</v>
      </c>
      <c r="M8331" s="4"/>
      <c r="N8331" s="3" t="s">
        <v>37</v>
      </c>
      <c r="O8331" s="3" t="s">
        <v>46</v>
      </c>
      <c r="P8331" s="5">
        <v>31</v>
      </c>
      <c r="Q8331" s="5">
        <v>806</v>
      </c>
      <c r="R8331" s="5">
        <v>31</v>
      </c>
      <c r="S8331" s="5">
        <v>791</v>
      </c>
    </row>
    <row r="8332" spans="1:19" ht="28" x14ac:dyDescent="0.15">
      <c r="A8332" s="2">
        <f>HYPERLINK("https://open-school.uspishnemisto.com.ua/school/461043/", 461043)</f>
        <v>461043</v>
      </c>
      <c r="B8332" s="3" t="s">
        <v>42863</v>
      </c>
      <c r="C8332" s="3" t="s">
        <v>54</v>
      </c>
      <c r="D8332" s="3" t="s">
        <v>60</v>
      </c>
      <c r="E8332" s="4" t="s">
        <v>22</v>
      </c>
      <c r="F8332" s="4" t="s">
        <v>42864</v>
      </c>
      <c r="G8332" s="4" t="s">
        <v>42865</v>
      </c>
      <c r="H8332" s="3" t="s">
        <v>38194</v>
      </c>
      <c r="I8332" s="3" t="s">
        <v>42866</v>
      </c>
      <c r="J8332" s="3" t="s">
        <v>42867</v>
      </c>
      <c r="K8332" s="3"/>
      <c r="L8332" s="3"/>
      <c r="M8332" s="4"/>
      <c r="N8332" s="3" t="s">
        <v>37</v>
      </c>
      <c r="O8332" s="3" t="s">
        <v>52</v>
      </c>
      <c r="P8332" s="5">
        <v>3</v>
      </c>
      <c r="Q8332" s="5">
        <v>21</v>
      </c>
      <c r="R8332" s="5">
        <v>3</v>
      </c>
      <c r="S8332" s="5">
        <v>22</v>
      </c>
    </row>
    <row r="8333" spans="1:19" ht="42" x14ac:dyDescent="0.15">
      <c r="A8333" s="2">
        <f>HYPERLINK("https://open-school.uspishnemisto.com.ua/school/461044/", 461044)</f>
        <v>461044</v>
      </c>
      <c r="B8333" s="3" t="s">
        <v>42868</v>
      </c>
      <c r="C8333" s="3" t="s">
        <v>54</v>
      </c>
      <c r="D8333" s="3" t="s">
        <v>175</v>
      </c>
      <c r="E8333" s="4" t="s">
        <v>22</v>
      </c>
      <c r="F8333" s="4" t="s">
        <v>42869</v>
      </c>
      <c r="G8333" s="4" t="s">
        <v>42870</v>
      </c>
      <c r="H8333" s="3" t="s">
        <v>38194</v>
      </c>
      <c r="I8333" s="3" t="s">
        <v>42871</v>
      </c>
      <c r="J8333" s="3" t="s">
        <v>42872</v>
      </c>
      <c r="K8333" s="3" t="s">
        <v>42873</v>
      </c>
      <c r="L8333" s="3"/>
      <c r="M8333" s="4"/>
      <c r="N8333" s="3" t="s">
        <v>37</v>
      </c>
      <c r="O8333" s="3" t="s">
        <v>52</v>
      </c>
      <c r="P8333" s="5">
        <v>7</v>
      </c>
      <c r="Q8333" s="5">
        <v>55</v>
      </c>
      <c r="R8333" s="5">
        <v>8</v>
      </c>
      <c r="S8333" s="5">
        <v>58</v>
      </c>
    </row>
    <row r="8334" spans="1:19" ht="28" x14ac:dyDescent="0.15">
      <c r="A8334" s="2">
        <f>HYPERLINK("https://open-school.uspishnemisto.com.ua/school/461045/", 461045)</f>
        <v>461045</v>
      </c>
      <c r="B8334" s="3" t="s">
        <v>42874</v>
      </c>
      <c r="C8334" s="3" t="s">
        <v>31</v>
      </c>
      <c r="D8334" s="3" t="s">
        <v>32</v>
      </c>
      <c r="E8334" s="4" t="s">
        <v>22</v>
      </c>
      <c r="F8334" s="4" t="s">
        <v>42875</v>
      </c>
      <c r="G8334" s="4" t="s">
        <v>42876</v>
      </c>
      <c r="H8334" s="3" t="s">
        <v>38194</v>
      </c>
      <c r="I8334" s="3" t="s">
        <v>42877</v>
      </c>
      <c r="J8334" s="3" t="s">
        <v>42878</v>
      </c>
      <c r="K8334" s="3" t="s">
        <v>42879</v>
      </c>
      <c r="L8334" s="3"/>
      <c r="M8334" s="4"/>
      <c r="N8334" s="3" t="s">
        <v>37</v>
      </c>
      <c r="O8334" s="3" t="s">
        <v>52</v>
      </c>
      <c r="P8334" s="5">
        <v>11</v>
      </c>
      <c r="Q8334" s="5">
        <v>148</v>
      </c>
      <c r="R8334" s="5">
        <v>11</v>
      </c>
      <c r="S8334" s="5">
        <v>145</v>
      </c>
    </row>
    <row r="8335" spans="1:19" ht="28" x14ac:dyDescent="0.15">
      <c r="A8335" s="2">
        <f>HYPERLINK("https://open-school.uspishnemisto.com.ua/school/461046/", 461046)</f>
        <v>461046</v>
      </c>
      <c r="B8335" s="3" t="s">
        <v>42880</v>
      </c>
      <c r="C8335" s="3" t="s">
        <v>31</v>
      </c>
      <c r="D8335" s="3" t="s">
        <v>32</v>
      </c>
      <c r="E8335" s="4" t="s">
        <v>22</v>
      </c>
      <c r="F8335" s="4" t="s">
        <v>42881</v>
      </c>
      <c r="G8335" s="4" t="s">
        <v>42882</v>
      </c>
      <c r="H8335" s="3" t="s">
        <v>38194</v>
      </c>
      <c r="I8335" s="3" t="s">
        <v>42883</v>
      </c>
      <c r="J8335" s="3" t="s">
        <v>42884</v>
      </c>
      <c r="K8335" s="3" t="s">
        <v>42885</v>
      </c>
      <c r="L8335" s="3"/>
      <c r="M8335" s="4"/>
      <c r="N8335" s="3" t="s">
        <v>37</v>
      </c>
      <c r="O8335" s="3" t="s">
        <v>46</v>
      </c>
      <c r="P8335" s="5">
        <v>19</v>
      </c>
      <c r="Q8335" s="5">
        <v>358</v>
      </c>
      <c r="R8335" s="5">
        <v>18</v>
      </c>
      <c r="S8335" s="5">
        <v>353</v>
      </c>
    </row>
    <row r="8336" spans="1:19" ht="28" x14ac:dyDescent="0.15">
      <c r="A8336" s="2">
        <f>HYPERLINK("https://open-school.uspishnemisto.com.ua/school/461047/", 461047)</f>
        <v>461047</v>
      </c>
      <c r="B8336" s="3" t="s">
        <v>42886</v>
      </c>
      <c r="C8336" s="3" t="s">
        <v>54</v>
      </c>
      <c r="D8336" s="3" t="s">
        <v>60</v>
      </c>
      <c r="E8336" s="4" t="s">
        <v>22</v>
      </c>
      <c r="F8336" s="4" t="s">
        <v>42881</v>
      </c>
      <c r="G8336" s="4" t="s">
        <v>42887</v>
      </c>
      <c r="H8336" s="3" t="s">
        <v>38194</v>
      </c>
      <c r="I8336" s="3" t="s">
        <v>42888</v>
      </c>
      <c r="J8336" s="3" t="s">
        <v>42889</v>
      </c>
      <c r="K8336" s="3" t="s">
        <v>42890</v>
      </c>
      <c r="L8336" s="3"/>
      <c r="M8336" s="4"/>
      <c r="N8336" s="3" t="s">
        <v>37</v>
      </c>
      <c r="O8336" s="3" t="s">
        <v>52</v>
      </c>
      <c r="P8336" s="5">
        <v>3</v>
      </c>
      <c r="Q8336" s="5">
        <v>22</v>
      </c>
      <c r="R8336" s="5">
        <v>3</v>
      </c>
      <c r="S8336" s="5">
        <v>26</v>
      </c>
    </row>
    <row r="8337" spans="1:19" ht="28" x14ac:dyDescent="0.15">
      <c r="A8337" s="2">
        <f>HYPERLINK("https://open-school.uspishnemisto.com.ua/school/461048/", 461048)</f>
        <v>461048</v>
      </c>
      <c r="B8337" s="3" t="s">
        <v>42891</v>
      </c>
      <c r="C8337" s="3" t="s">
        <v>54</v>
      </c>
      <c r="D8337" s="3" t="s">
        <v>175</v>
      </c>
      <c r="E8337" s="4" t="s">
        <v>22</v>
      </c>
      <c r="F8337" s="4" t="s">
        <v>42892</v>
      </c>
      <c r="G8337" s="4" t="s">
        <v>42893</v>
      </c>
      <c r="H8337" s="3" t="s">
        <v>38194</v>
      </c>
      <c r="I8337" s="3" t="s">
        <v>42894</v>
      </c>
      <c r="J8337" s="3" t="s">
        <v>42895</v>
      </c>
      <c r="K8337" s="3" t="s">
        <v>42896</v>
      </c>
      <c r="L8337" s="3" t="s">
        <v>42897</v>
      </c>
      <c r="M8337" s="4"/>
      <c r="N8337" s="3" t="s">
        <v>37</v>
      </c>
      <c r="O8337" s="3" t="s">
        <v>52</v>
      </c>
      <c r="P8337" s="5">
        <v>5</v>
      </c>
      <c r="Q8337" s="5">
        <v>47</v>
      </c>
      <c r="R8337" s="5">
        <v>6</v>
      </c>
      <c r="S8337" s="5">
        <v>49</v>
      </c>
    </row>
    <row r="8338" spans="1:19" ht="28" x14ac:dyDescent="0.15">
      <c r="A8338" s="2">
        <f>HYPERLINK("https://open-school.uspishnemisto.com.ua/school/461049/", 461049)</f>
        <v>461049</v>
      </c>
      <c r="B8338" s="3" t="s">
        <v>42898</v>
      </c>
      <c r="C8338" s="3" t="s">
        <v>54</v>
      </c>
      <c r="D8338" s="3" t="s">
        <v>60</v>
      </c>
      <c r="E8338" s="4" t="s">
        <v>22</v>
      </c>
      <c r="F8338" s="4" t="s">
        <v>42892</v>
      </c>
      <c r="G8338" s="4" t="s">
        <v>42899</v>
      </c>
      <c r="H8338" s="3" t="s">
        <v>38194</v>
      </c>
      <c r="I8338" s="3" t="s">
        <v>42900</v>
      </c>
      <c r="J8338" s="3" t="s">
        <v>42901</v>
      </c>
      <c r="K8338" s="3" t="s">
        <v>42902</v>
      </c>
      <c r="L8338" s="3"/>
      <c r="M8338" s="4"/>
      <c r="N8338" s="3" t="s">
        <v>37</v>
      </c>
      <c r="O8338" s="3" t="s">
        <v>52</v>
      </c>
      <c r="P8338" s="5">
        <v>3</v>
      </c>
      <c r="Q8338" s="5">
        <v>25</v>
      </c>
      <c r="R8338" s="5">
        <v>3</v>
      </c>
      <c r="S8338" s="5">
        <v>27</v>
      </c>
    </row>
    <row r="8339" spans="1:19" ht="42" x14ac:dyDescent="0.15">
      <c r="A8339" s="2">
        <f>HYPERLINK("https://open-school.uspishnemisto.com.ua/school/461050/", 461050)</f>
        <v>461050</v>
      </c>
      <c r="B8339" s="3" t="s">
        <v>42903</v>
      </c>
      <c r="C8339" s="3" t="s">
        <v>54</v>
      </c>
      <c r="D8339" s="3" t="s">
        <v>32</v>
      </c>
      <c r="E8339" s="4" t="s">
        <v>22</v>
      </c>
      <c r="F8339" s="4" t="s">
        <v>42904</v>
      </c>
      <c r="G8339" s="4" t="s">
        <v>42905</v>
      </c>
      <c r="H8339" s="3" t="s">
        <v>38194</v>
      </c>
      <c r="I8339" s="3" t="s">
        <v>42906</v>
      </c>
      <c r="J8339" s="3" t="s">
        <v>42907</v>
      </c>
      <c r="K8339" s="3" t="s">
        <v>42908</v>
      </c>
      <c r="L8339" s="3" t="s">
        <v>42909</v>
      </c>
      <c r="M8339" s="4"/>
      <c r="N8339" s="3" t="s">
        <v>37</v>
      </c>
      <c r="O8339" s="3" t="s">
        <v>52</v>
      </c>
      <c r="P8339" s="5">
        <v>12</v>
      </c>
      <c r="Q8339" s="5">
        <v>237</v>
      </c>
      <c r="R8339" s="5">
        <v>12</v>
      </c>
      <c r="S8339" s="5">
        <v>225</v>
      </c>
    </row>
    <row r="8340" spans="1:19" ht="56" x14ac:dyDescent="0.15">
      <c r="A8340" s="2">
        <f>HYPERLINK("https://open-school.uspishnemisto.com.ua/school/461051/", 461051)</f>
        <v>461051</v>
      </c>
      <c r="B8340" s="3" t="s">
        <v>42910</v>
      </c>
      <c r="C8340" s="3" t="s">
        <v>54</v>
      </c>
      <c r="D8340" s="3" t="s">
        <v>175</v>
      </c>
      <c r="E8340" s="4" t="s">
        <v>22</v>
      </c>
      <c r="F8340" s="4" t="s">
        <v>42911</v>
      </c>
      <c r="G8340" s="4" t="s">
        <v>42912</v>
      </c>
      <c r="H8340" s="3" t="s">
        <v>38194</v>
      </c>
      <c r="I8340" s="3" t="s">
        <v>42913</v>
      </c>
      <c r="J8340" s="3" t="s">
        <v>42914</v>
      </c>
      <c r="K8340" s="3" t="s">
        <v>42915</v>
      </c>
      <c r="L8340" s="3"/>
      <c r="M8340" s="4"/>
      <c r="N8340" s="3" t="s">
        <v>37</v>
      </c>
      <c r="O8340" s="3" t="s">
        <v>52</v>
      </c>
      <c r="P8340" s="5">
        <v>9</v>
      </c>
      <c r="Q8340" s="5">
        <v>80</v>
      </c>
      <c r="R8340" s="5">
        <v>9</v>
      </c>
      <c r="S8340" s="5">
        <v>81</v>
      </c>
    </row>
    <row r="8341" spans="1:19" ht="28" x14ac:dyDescent="0.15">
      <c r="A8341" s="2">
        <f>HYPERLINK("https://open-school.uspishnemisto.com.ua/school/461052/", 461052)</f>
        <v>461052</v>
      </c>
      <c r="B8341" s="3" t="s">
        <v>42916</v>
      </c>
      <c r="C8341" s="3" t="s">
        <v>54</v>
      </c>
      <c r="D8341" s="3" t="s">
        <v>175</v>
      </c>
      <c r="E8341" s="4" t="s">
        <v>22</v>
      </c>
      <c r="F8341" s="4" t="s">
        <v>42917</v>
      </c>
      <c r="G8341" s="4" t="s">
        <v>42918</v>
      </c>
      <c r="H8341" s="3" t="s">
        <v>38194</v>
      </c>
      <c r="I8341" s="3" t="s">
        <v>42919</v>
      </c>
      <c r="J8341" s="3" t="s">
        <v>42920</v>
      </c>
      <c r="K8341" s="3"/>
      <c r="L8341" s="3" t="s">
        <v>42921</v>
      </c>
      <c r="M8341" s="4"/>
      <c r="N8341" s="3" t="s">
        <v>37</v>
      </c>
      <c r="O8341" s="3" t="s">
        <v>52</v>
      </c>
      <c r="P8341" s="5">
        <v>8</v>
      </c>
      <c r="Q8341" s="5">
        <v>74</v>
      </c>
      <c r="R8341" s="5">
        <v>9</v>
      </c>
      <c r="S8341" s="5">
        <v>85</v>
      </c>
    </row>
    <row r="8342" spans="1:19" ht="42" x14ac:dyDescent="0.15">
      <c r="A8342" s="2">
        <f>HYPERLINK("https://open-school.uspishnemisto.com.ua/school/461053/", 461053)</f>
        <v>461053</v>
      </c>
      <c r="B8342" s="3" t="s">
        <v>42922</v>
      </c>
      <c r="C8342" s="3" t="s">
        <v>54</v>
      </c>
      <c r="D8342" s="3" t="s">
        <v>60</v>
      </c>
      <c r="E8342" s="4" t="s">
        <v>22</v>
      </c>
      <c r="F8342" s="4"/>
      <c r="G8342" s="4" t="s">
        <v>42923</v>
      </c>
      <c r="H8342" s="3" t="s">
        <v>38194</v>
      </c>
      <c r="I8342" s="3" t="s">
        <v>42924</v>
      </c>
      <c r="J8342" s="3"/>
      <c r="K8342" s="3"/>
      <c r="L8342" s="3"/>
      <c r="M8342" s="4"/>
      <c r="N8342" s="3" t="s">
        <v>37</v>
      </c>
      <c r="O8342" s="3" t="s">
        <v>52</v>
      </c>
      <c r="P8342" s="5">
        <v>1</v>
      </c>
      <c r="Q8342" s="5">
        <v>15</v>
      </c>
      <c r="R8342" s="5">
        <v>1</v>
      </c>
      <c r="S8342" s="5">
        <v>14</v>
      </c>
    </row>
    <row r="8343" spans="1:19" ht="28" x14ac:dyDescent="0.15">
      <c r="A8343" s="2">
        <f>HYPERLINK("https://open-school.uspishnemisto.com.ua/school/461054/", 461054)</f>
        <v>461054</v>
      </c>
      <c r="B8343" s="3" t="s">
        <v>42925</v>
      </c>
      <c r="C8343" s="3" t="s">
        <v>31</v>
      </c>
      <c r="D8343" s="3" t="s">
        <v>175</v>
      </c>
      <c r="E8343" s="4" t="s">
        <v>22</v>
      </c>
      <c r="F8343" s="4" t="s">
        <v>42926</v>
      </c>
      <c r="G8343" s="4" t="s">
        <v>42927</v>
      </c>
      <c r="H8343" s="3" t="s">
        <v>38194</v>
      </c>
      <c r="I8343" s="3" t="s">
        <v>42928</v>
      </c>
      <c r="J8343" s="3" t="s">
        <v>32694</v>
      </c>
      <c r="K8343" s="3" t="s">
        <v>42929</v>
      </c>
      <c r="L8343" s="3"/>
      <c r="M8343" s="4"/>
      <c r="N8343" s="3" t="s">
        <v>37</v>
      </c>
      <c r="O8343" s="3" t="s">
        <v>52</v>
      </c>
      <c r="P8343" s="5">
        <v>8</v>
      </c>
      <c r="Q8343" s="5">
        <v>64</v>
      </c>
      <c r="R8343" s="5">
        <v>8</v>
      </c>
      <c r="S8343" s="5">
        <v>63</v>
      </c>
    </row>
    <row r="8344" spans="1:19" ht="28" x14ac:dyDescent="0.15">
      <c r="A8344" s="2">
        <f>HYPERLINK("https://open-school.uspishnemisto.com.ua/school/461055/", 461055)</f>
        <v>461055</v>
      </c>
      <c r="B8344" s="3" t="s">
        <v>42930</v>
      </c>
      <c r="C8344" s="3" t="s">
        <v>31</v>
      </c>
      <c r="D8344" s="3" t="s">
        <v>32</v>
      </c>
      <c r="E8344" s="4" t="s">
        <v>22</v>
      </c>
      <c r="F8344" s="4" t="s">
        <v>42931</v>
      </c>
      <c r="G8344" s="4" t="s">
        <v>42932</v>
      </c>
      <c r="H8344" s="3" t="s">
        <v>38194</v>
      </c>
      <c r="I8344" s="3" t="s">
        <v>5961</v>
      </c>
      <c r="J8344" s="3" t="s">
        <v>27550</v>
      </c>
      <c r="K8344" s="3" t="s">
        <v>42933</v>
      </c>
      <c r="L8344" s="3"/>
      <c r="M8344" s="4"/>
      <c r="N8344" s="3" t="s">
        <v>37</v>
      </c>
      <c r="O8344" s="3" t="s">
        <v>52</v>
      </c>
      <c r="P8344" s="5">
        <v>11</v>
      </c>
      <c r="Q8344" s="5">
        <v>184</v>
      </c>
      <c r="R8344" s="5">
        <v>11</v>
      </c>
      <c r="S8344" s="5">
        <v>169</v>
      </c>
    </row>
    <row r="8345" spans="1:19" ht="28" x14ac:dyDescent="0.15">
      <c r="A8345" s="2">
        <f>HYPERLINK("https://open-school.uspishnemisto.com.ua/school/461056/", 461056)</f>
        <v>461056</v>
      </c>
      <c r="B8345" s="3" t="s">
        <v>42934</v>
      </c>
      <c r="C8345" s="3" t="s">
        <v>31</v>
      </c>
      <c r="D8345" s="3" t="s">
        <v>60</v>
      </c>
      <c r="E8345" s="4" t="s">
        <v>22</v>
      </c>
      <c r="F8345" s="4" t="s">
        <v>42931</v>
      </c>
      <c r="G8345" s="4" t="s">
        <v>42935</v>
      </c>
      <c r="H8345" s="3" t="s">
        <v>38194</v>
      </c>
      <c r="I8345" s="3" t="s">
        <v>895</v>
      </c>
      <c r="J8345" s="3" t="s">
        <v>42936</v>
      </c>
      <c r="K8345" s="3" t="s">
        <v>42937</v>
      </c>
      <c r="L8345" s="3"/>
      <c r="M8345" s="4"/>
      <c r="N8345" s="3" t="s">
        <v>37</v>
      </c>
      <c r="O8345" s="3" t="s">
        <v>52</v>
      </c>
      <c r="P8345" s="5">
        <v>2</v>
      </c>
      <c r="Q8345" s="5">
        <v>20</v>
      </c>
      <c r="R8345" s="5">
        <v>3</v>
      </c>
      <c r="S8345" s="5">
        <v>23</v>
      </c>
    </row>
    <row r="8346" spans="1:19" ht="28" x14ac:dyDescent="0.15">
      <c r="A8346" s="2">
        <f>HYPERLINK("https://open-school.uspishnemisto.com.ua/school/461057/", 461057)</f>
        <v>461057</v>
      </c>
      <c r="B8346" s="3" t="s">
        <v>42938</v>
      </c>
      <c r="C8346" s="3" t="s">
        <v>31</v>
      </c>
      <c r="D8346" s="3" t="s">
        <v>175</v>
      </c>
      <c r="E8346" s="4" t="s">
        <v>22</v>
      </c>
      <c r="F8346" s="4" t="s">
        <v>42939</v>
      </c>
      <c r="G8346" s="4" t="s">
        <v>42940</v>
      </c>
      <c r="H8346" s="3" t="s">
        <v>38194</v>
      </c>
      <c r="I8346" s="3" t="s">
        <v>42941</v>
      </c>
      <c r="J8346" s="3" t="s">
        <v>2417</v>
      </c>
      <c r="K8346" s="3" t="s">
        <v>42942</v>
      </c>
      <c r="L8346" s="3"/>
      <c r="M8346" s="4"/>
      <c r="N8346" s="3" t="s">
        <v>37</v>
      </c>
      <c r="O8346" s="3" t="s">
        <v>46</v>
      </c>
      <c r="P8346" s="5">
        <v>9</v>
      </c>
      <c r="Q8346" s="5">
        <v>157</v>
      </c>
      <c r="R8346" s="5">
        <v>9</v>
      </c>
      <c r="S8346" s="5">
        <v>140</v>
      </c>
    </row>
    <row r="8347" spans="1:19" ht="28" x14ac:dyDescent="0.15">
      <c r="A8347" s="2">
        <f>HYPERLINK("https://open-school.uspishnemisto.com.ua/school/461058/", 461058)</f>
        <v>461058</v>
      </c>
      <c r="B8347" s="3" t="s">
        <v>42943</v>
      </c>
      <c r="C8347" s="3" t="s">
        <v>54</v>
      </c>
      <c r="D8347" s="3" t="s">
        <v>32</v>
      </c>
      <c r="E8347" s="4" t="s">
        <v>22</v>
      </c>
      <c r="F8347" s="4" t="s">
        <v>42944</v>
      </c>
      <c r="G8347" s="4" t="s">
        <v>42945</v>
      </c>
      <c r="H8347" s="3" t="s">
        <v>38194</v>
      </c>
      <c r="I8347" s="3" t="s">
        <v>42946</v>
      </c>
      <c r="J8347" s="3" t="s">
        <v>27354</v>
      </c>
      <c r="K8347" s="3"/>
      <c r="L8347" s="3" t="s">
        <v>42947</v>
      </c>
      <c r="M8347" s="4"/>
      <c r="N8347" s="3" t="s">
        <v>37</v>
      </c>
      <c r="O8347" s="3" t="s">
        <v>52</v>
      </c>
      <c r="P8347" s="5">
        <v>11</v>
      </c>
      <c r="Q8347" s="5">
        <v>224</v>
      </c>
      <c r="R8347" s="5">
        <v>11</v>
      </c>
      <c r="S8347" s="5">
        <v>210</v>
      </c>
    </row>
    <row r="8348" spans="1:19" ht="28" x14ac:dyDescent="0.15">
      <c r="A8348" s="2">
        <f>HYPERLINK("https://open-school.uspishnemisto.com.ua/school/461059/", 461059)</f>
        <v>461059</v>
      </c>
      <c r="B8348" s="3" t="s">
        <v>42948</v>
      </c>
      <c r="C8348" s="3" t="s">
        <v>31</v>
      </c>
      <c r="D8348" s="3" t="s">
        <v>175</v>
      </c>
      <c r="E8348" s="4" t="s">
        <v>22</v>
      </c>
      <c r="F8348" s="4" t="s">
        <v>42949</v>
      </c>
      <c r="G8348" s="4" t="s">
        <v>42950</v>
      </c>
      <c r="H8348" s="3" t="s">
        <v>38194</v>
      </c>
      <c r="I8348" s="3" t="s">
        <v>6194</v>
      </c>
      <c r="J8348" s="3" t="s">
        <v>20560</v>
      </c>
      <c r="K8348" s="3" t="s">
        <v>42951</v>
      </c>
      <c r="L8348" s="3"/>
      <c r="M8348" s="4"/>
      <c r="N8348" s="3" t="s">
        <v>37</v>
      </c>
      <c r="O8348" s="3" t="s">
        <v>52</v>
      </c>
      <c r="P8348" s="5">
        <v>8</v>
      </c>
      <c r="Q8348" s="5">
        <v>86</v>
      </c>
      <c r="R8348" s="5">
        <v>8</v>
      </c>
      <c r="S8348" s="5">
        <v>90</v>
      </c>
    </row>
    <row r="8349" spans="1:19" ht="42" x14ac:dyDescent="0.15">
      <c r="A8349" s="2">
        <f>HYPERLINK("https://open-school.uspishnemisto.com.ua/school/461060/", 461060)</f>
        <v>461060</v>
      </c>
      <c r="B8349" s="3" t="s">
        <v>42952</v>
      </c>
      <c r="C8349" s="3" t="s">
        <v>54</v>
      </c>
      <c r="D8349" s="3" t="s">
        <v>175</v>
      </c>
      <c r="E8349" s="4" t="s">
        <v>22</v>
      </c>
      <c r="F8349" s="4" t="s">
        <v>42953</v>
      </c>
      <c r="G8349" s="4" t="s">
        <v>42954</v>
      </c>
      <c r="H8349" s="3" t="s">
        <v>38194</v>
      </c>
      <c r="I8349" s="3" t="s">
        <v>7089</v>
      </c>
      <c r="J8349" s="3" t="s">
        <v>42955</v>
      </c>
      <c r="K8349" s="3" t="s">
        <v>42956</v>
      </c>
      <c r="L8349" s="3"/>
      <c r="M8349" s="4"/>
      <c r="N8349" s="3" t="s">
        <v>37</v>
      </c>
      <c r="O8349" s="3" t="s">
        <v>46</v>
      </c>
      <c r="P8349" s="5">
        <v>4</v>
      </c>
      <c r="Q8349" s="5">
        <v>32</v>
      </c>
      <c r="R8349" s="5">
        <v>4</v>
      </c>
      <c r="S8349" s="5">
        <v>33</v>
      </c>
    </row>
    <row r="8350" spans="1:19" ht="28" x14ac:dyDescent="0.15">
      <c r="A8350" s="2">
        <f>HYPERLINK("https://open-school.uspishnemisto.com.ua/school/461061/", 461061)</f>
        <v>461061</v>
      </c>
      <c r="B8350" s="3" t="s">
        <v>42957</v>
      </c>
      <c r="C8350" s="3" t="s">
        <v>31</v>
      </c>
      <c r="D8350" s="3" t="s">
        <v>60</v>
      </c>
      <c r="E8350" s="4" t="s">
        <v>22</v>
      </c>
      <c r="F8350" s="4" t="s">
        <v>42958</v>
      </c>
      <c r="G8350" s="4" t="s">
        <v>42959</v>
      </c>
      <c r="H8350" s="3" t="s">
        <v>38194</v>
      </c>
      <c r="I8350" s="3" t="s">
        <v>42960</v>
      </c>
      <c r="J8350" s="3" t="s">
        <v>3370</v>
      </c>
      <c r="K8350" s="3" t="s">
        <v>42961</v>
      </c>
      <c r="L8350" s="3"/>
      <c r="M8350" s="4"/>
      <c r="N8350" s="3" t="s">
        <v>37</v>
      </c>
      <c r="O8350" s="3" t="s">
        <v>52</v>
      </c>
      <c r="P8350" s="5">
        <v>1</v>
      </c>
      <c r="Q8350" s="5">
        <v>11</v>
      </c>
      <c r="R8350" s="5">
        <v>2</v>
      </c>
      <c r="S8350" s="5">
        <v>17</v>
      </c>
    </row>
    <row r="8351" spans="1:19" ht="28" x14ac:dyDescent="0.15">
      <c r="A8351" s="2">
        <f>HYPERLINK("https://open-school.uspishnemisto.com.ua/school/461062/", 461062)</f>
        <v>461062</v>
      </c>
      <c r="B8351" s="3" t="s">
        <v>42962</v>
      </c>
      <c r="C8351" s="3" t="s">
        <v>54</v>
      </c>
      <c r="D8351" s="3" t="s">
        <v>60</v>
      </c>
      <c r="E8351" s="4" t="s">
        <v>22</v>
      </c>
      <c r="F8351" s="4" t="s">
        <v>42958</v>
      </c>
      <c r="G8351" s="4" t="s">
        <v>42963</v>
      </c>
      <c r="H8351" s="3" t="s">
        <v>38194</v>
      </c>
      <c r="I8351" s="3" t="s">
        <v>42964</v>
      </c>
      <c r="J8351" s="3" t="s">
        <v>1167</v>
      </c>
      <c r="K8351" s="3" t="s">
        <v>42965</v>
      </c>
      <c r="L8351" s="3"/>
      <c r="M8351" s="4"/>
      <c r="N8351" s="3" t="s">
        <v>37</v>
      </c>
      <c r="O8351" s="3" t="s">
        <v>52</v>
      </c>
      <c r="P8351" s="5">
        <v>1</v>
      </c>
      <c r="Q8351" s="5">
        <v>12</v>
      </c>
      <c r="R8351" s="5">
        <v>1</v>
      </c>
      <c r="S8351" s="5">
        <v>17</v>
      </c>
    </row>
    <row r="8352" spans="1:19" ht="28" x14ac:dyDescent="0.15">
      <c r="A8352" s="2">
        <f>HYPERLINK("https://open-school.uspishnemisto.com.ua/school/461063/", 461063)</f>
        <v>461063</v>
      </c>
      <c r="B8352" s="3" t="s">
        <v>42966</v>
      </c>
      <c r="C8352" s="3" t="s">
        <v>31</v>
      </c>
      <c r="D8352" s="3" t="s">
        <v>60</v>
      </c>
      <c r="E8352" s="4" t="s">
        <v>22</v>
      </c>
      <c r="F8352" s="4" t="s">
        <v>42958</v>
      </c>
      <c r="G8352" s="4" t="s">
        <v>42967</v>
      </c>
      <c r="H8352" s="3" t="s">
        <v>38194</v>
      </c>
      <c r="I8352" s="3" t="s">
        <v>42968</v>
      </c>
      <c r="J8352" s="3" t="s">
        <v>42969</v>
      </c>
      <c r="K8352" s="3" t="s">
        <v>42970</v>
      </c>
      <c r="L8352" s="3"/>
      <c r="M8352" s="4"/>
      <c r="N8352" s="3" t="s">
        <v>37</v>
      </c>
      <c r="O8352" s="3" t="s">
        <v>52</v>
      </c>
      <c r="P8352" s="5">
        <v>0</v>
      </c>
      <c r="Q8352" s="5">
        <v>10</v>
      </c>
      <c r="R8352" s="5">
        <v>0</v>
      </c>
      <c r="S8352" s="5">
        <v>9</v>
      </c>
    </row>
    <row r="8353" spans="1:19" ht="28" x14ac:dyDescent="0.15">
      <c r="A8353" s="2">
        <f>HYPERLINK("https://open-school.uspishnemisto.com.ua/school/461064/", 461064)</f>
        <v>461064</v>
      </c>
      <c r="B8353" s="3" t="s">
        <v>42971</v>
      </c>
      <c r="C8353" s="3" t="s">
        <v>31</v>
      </c>
      <c r="D8353" s="3" t="s">
        <v>175</v>
      </c>
      <c r="E8353" s="4" t="s">
        <v>22</v>
      </c>
      <c r="F8353" s="4" t="s">
        <v>42972</v>
      </c>
      <c r="G8353" s="4" t="s">
        <v>42973</v>
      </c>
      <c r="H8353" s="3" t="s">
        <v>38194</v>
      </c>
      <c r="I8353" s="3" t="s">
        <v>42974</v>
      </c>
      <c r="J8353" s="3" t="s">
        <v>2745</v>
      </c>
      <c r="K8353" s="3" t="s">
        <v>42975</v>
      </c>
      <c r="L8353" s="3"/>
      <c r="M8353" s="4"/>
      <c r="N8353" s="3" t="s">
        <v>37</v>
      </c>
      <c r="O8353" s="3" t="s">
        <v>139</v>
      </c>
      <c r="P8353" s="5">
        <v>9</v>
      </c>
      <c r="Q8353" s="5">
        <v>87</v>
      </c>
      <c r="R8353" s="5">
        <v>9</v>
      </c>
      <c r="S8353" s="5">
        <v>95</v>
      </c>
    </row>
    <row r="8354" spans="1:19" ht="28" x14ac:dyDescent="0.15">
      <c r="A8354" s="2">
        <f>HYPERLINK("https://open-school.uspishnemisto.com.ua/school/461065/", 461065)</f>
        <v>461065</v>
      </c>
      <c r="B8354" s="3" t="s">
        <v>42976</v>
      </c>
      <c r="C8354" s="3" t="s">
        <v>31</v>
      </c>
      <c r="D8354" s="3" t="s">
        <v>32</v>
      </c>
      <c r="E8354" s="4" t="s">
        <v>22</v>
      </c>
      <c r="F8354" s="4" t="s">
        <v>42977</v>
      </c>
      <c r="G8354" s="4" t="s">
        <v>42978</v>
      </c>
      <c r="H8354" s="3" t="s">
        <v>38194</v>
      </c>
      <c r="I8354" s="3" t="s">
        <v>29951</v>
      </c>
      <c r="J8354" s="3" t="s">
        <v>5593</v>
      </c>
      <c r="K8354" s="3" t="s">
        <v>42979</v>
      </c>
      <c r="L8354" s="3" t="s">
        <v>42980</v>
      </c>
      <c r="M8354" s="4"/>
      <c r="N8354" s="3" t="s">
        <v>37</v>
      </c>
      <c r="O8354" s="3" t="s">
        <v>46</v>
      </c>
      <c r="P8354" s="5">
        <v>11</v>
      </c>
      <c r="Q8354" s="5">
        <v>157</v>
      </c>
      <c r="R8354" s="5">
        <v>11</v>
      </c>
      <c r="S8354" s="5">
        <v>160</v>
      </c>
    </row>
    <row r="8355" spans="1:19" ht="28" x14ac:dyDescent="0.15">
      <c r="A8355" s="2">
        <f>HYPERLINK("https://open-school.uspishnemisto.com.ua/school/461066/", 461066)</f>
        <v>461066</v>
      </c>
      <c r="B8355" s="3" t="s">
        <v>42981</v>
      </c>
      <c r="C8355" s="3" t="s">
        <v>31</v>
      </c>
      <c r="D8355" s="3" t="s">
        <v>175</v>
      </c>
      <c r="E8355" s="4" t="s">
        <v>22</v>
      </c>
      <c r="F8355" s="4" t="s">
        <v>42982</v>
      </c>
      <c r="G8355" s="4" t="s">
        <v>42983</v>
      </c>
      <c r="H8355" s="3" t="s">
        <v>38194</v>
      </c>
      <c r="I8355" s="3" t="s">
        <v>42984</v>
      </c>
      <c r="J8355" s="3" t="s">
        <v>42985</v>
      </c>
      <c r="K8355" s="3" t="s">
        <v>42986</v>
      </c>
      <c r="L8355" s="3"/>
      <c r="M8355" s="4"/>
      <c r="N8355" s="3" t="s">
        <v>37</v>
      </c>
      <c r="O8355" s="3" t="s">
        <v>52</v>
      </c>
      <c r="P8355" s="5">
        <v>9</v>
      </c>
      <c r="Q8355" s="5">
        <v>75</v>
      </c>
      <c r="R8355" s="5">
        <v>9</v>
      </c>
      <c r="S8355" s="5">
        <v>77</v>
      </c>
    </row>
    <row r="8356" spans="1:19" ht="28" x14ac:dyDescent="0.15">
      <c r="A8356" s="2">
        <f>HYPERLINK("https://open-school.uspishnemisto.com.ua/school/461067/", 461067)</f>
        <v>461067</v>
      </c>
      <c r="B8356" s="3" t="s">
        <v>42987</v>
      </c>
      <c r="C8356" s="3" t="s">
        <v>31</v>
      </c>
      <c r="D8356" s="3" t="s">
        <v>175</v>
      </c>
      <c r="E8356" s="4" t="s">
        <v>22</v>
      </c>
      <c r="F8356" s="4" t="s">
        <v>42988</v>
      </c>
      <c r="G8356" s="4" t="s">
        <v>42989</v>
      </c>
      <c r="H8356" s="3" t="s">
        <v>38194</v>
      </c>
      <c r="I8356" s="3" t="s">
        <v>42990</v>
      </c>
      <c r="J8356" s="3" t="s">
        <v>42991</v>
      </c>
      <c r="K8356" s="3" t="s">
        <v>42992</v>
      </c>
      <c r="L8356" s="3"/>
      <c r="M8356" s="4"/>
      <c r="N8356" s="3" t="s">
        <v>37</v>
      </c>
      <c r="O8356" s="3" t="s">
        <v>52</v>
      </c>
      <c r="P8356" s="5">
        <v>6</v>
      </c>
      <c r="Q8356" s="5">
        <v>55</v>
      </c>
      <c r="R8356" s="5">
        <v>7</v>
      </c>
      <c r="S8356" s="5">
        <v>61</v>
      </c>
    </row>
    <row r="8357" spans="1:19" ht="28" x14ac:dyDescent="0.15">
      <c r="A8357" s="2">
        <f>HYPERLINK("https://open-school.uspishnemisto.com.ua/school/461068/", 461068)</f>
        <v>461068</v>
      </c>
      <c r="B8357" s="3" t="s">
        <v>42993</v>
      </c>
      <c r="C8357" s="3" t="s">
        <v>54</v>
      </c>
      <c r="D8357" s="3" t="s">
        <v>175</v>
      </c>
      <c r="E8357" s="4" t="s">
        <v>22</v>
      </c>
      <c r="F8357" s="4" t="s">
        <v>42994</v>
      </c>
      <c r="G8357" s="4" t="s">
        <v>42995</v>
      </c>
      <c r="H8357" s="3" t="s">
        <v>38194</v>
      </c>
      <c r="I8357" s="3" t="s">
        <v>42996</v>
      </c>
      <c r="J8357" s="3" t="s">
        <v>42997</v>
      </c>
      <c r="K8357" s="3" t="s">
        <v>42998</v>
      </c>
      <c r="L8357" s="3"/>
      <c r="M8357" s="4"/>
      <c r="N8357" s="3" t="s">
        <v>37</v>
      </c>
      <c r="O8357" s="3" t="s">
        <v>52</v>
      </c>
      <c r="P8357" s="5">
        <v>5</v>
      </c>
      <c r="Q8357" s="5">
        <v>42</v>
      </c>
      <c r="R8357" s="5">
        <v>5</v>
      </c>
      <c r="S8357" s="5">
        <v>43</v>
      </c>
    </row>
    <row r="8358" spans="1:19" ht="28" x14ac:dyDescent="0.15">
      <c r="A8358" s="2">
        <f>HYPERLINK("https://open-school.uspishnemisto.com.ua/school/461069/", 461069)</f>
        <v>461069</v>
      </c>
      <c r="B8358" s="3" t="s">
        <v>42999</v>
      </c>
      <c r="C8358" s="3" t="s">
        <v>54</v>
      </c>
      <c r="D8358" s="3" t="s">
        <v>32</v>
      </c>
      <c r="E8358" s="4" t="s">
        <v>22</v>
      </c>
      <c r="F8358" s="4" t="s">
        <v>43000</v>
      </c>
      <c r="G8358" s="4" t="s">
        <v>43001</v>
      </c>
      <c r="H8358" s="3" t="s">
        <v>38194</v>
      </c>
      <c r="I8358" s="3" t="s">
        <v>43002</v>
      </c>
      <c r="J8358" s="3" t="s">
        <v>43003</v>
      </c>
      <c r="K8358" s="3"/>
      <c r="L8358" s="3"/>
      <c r="M8358" s="4"/>
      <c r="N8358" s="3" t="s">
        <v>37</v>
      </c>
      <c r="O8358" s="3" t="s">
        <v>52</v>
      </c>
      <c r="P8358" s="5">
        <v>10</v>
      </c>
      <c r="Q8358" s="5">
        <v>103</v>
      </c>
      <c r="R8358" s="5">
        <v>10</v>
      </c>
      <c r="S8358" s="5">
        <v>103</v>
      </c>
    </row>
    <row r="8359" spans="1:19" ht="28" x14ac:dyDescent="0.15">
      <c r="A8359" s="2">
        <f>HYPERLINK("https://open-school.uspishnemisto.com.ua/school/461070/", 461070)</f>
        <v>461070</v>
      </c>
      <c r="B8359" s="3" t="s">
        <v>43004</v>
      </c>
      <c r="C8359" s="3" t="s">
        <v>31</v>
      </c>
      <c r="D8359" s="3" t="s">
        <v>60</v>
      </c>
      <c r="E8359" s="4" t="s">
        <v>22</v>
      </c>
      <c r="F8359" s="4" t="s">
        <v>43000</v>
      </c>
      <c r="G8359" s="4" t="s">
        <v>43005</v>
      </c>
      <c r="H8359" s="3" t="s">
        <v>38194</v>
      </c>
      <c r="I8359" s="3" t="s">
        <v>43006</v>
      </c>
      <c r="J8359" s="3" t="s">
        <v>43007</v>
      </c>
      <c r="K8359" s="3"/>
      <c r="L8359" s="3"/>
      <c r="M8359" s="4"/>
      <c r="N8359" s="3" t="s">
        <v>37</v>
      </c>
      <c r="O8359" s="3" t="s">
        <v>52</v>
      </c>
      <c r="P8359" s="5">
        <v>0</v>
      </c>
      <c r="Q8359" s="5">
        <v>10</v>
      </c>
      <c r="R8359" s="5">
        <v>0</v>
      </c>
      <c r="S8359" s="5">
        <v>8</v>
      </c>
    </row>
    <row r="8360" spans="1:19" ht="28" x14ac:dyDescent="0.15">
      <c r="A8360" s="2">
        <f>HYPERLINK("https://open-school.uspishnemisto.com.ua/school/461071/", 461071)</f>
        <v>461071</v>
      </c>
      <c r="B8360" s="3" t="s">
        <v>43008</v>
      </c>
      <c r="C8360" s="3" t="s">
        <v>54</v>
      </c>
      <c r="D8360" s="3" t="s">
        <v>175</v>
      </c>
      <c r="E8360" s="4" t="s">
        <v>22</v>
      </c>
      <c r="F8360" s="4" t="s">
        <v>43009</v>
      </c>
      <c r="G8360" s="4" t="s">
        <v>43010</v>
      </c>
      <c r="H8360" s="3" t="s">
        <v>38194</v>
      </c>
      <c r="I8360" s="3" t="s">
        <v>40205</v>
      </c>
      <c r="J8360" s="3" t="s">
        <v>5145</v>
      </c>
      <c r="K8360" s="3" t="s">
        <v>43011</v>
      </c>
      <c r="L8360" s="3"/>
      <c r="M8360" s="4"/>
      <c r="N8360" s="3" t="s">
        <v>37</v>
      </c>
      <c r="O8360" s="3" t="s">
        <v>52</v>
      </c>
      <c r="P8360" s="5">
        <v>9</v>
      </c>
      <c r="Q8360" s="5">
        <v>67</v>
      </c>
      <c r="R8360" s="5">
        <v>9</v>
      </c>
      <c r="S8360" s="5">
        <v>70</v>
      </c>
    </row>
    <row r="8361" spans="1:19" ht="28" x14ac:dyDescent="0.15">
      <c r="A8361" s="2">
        <f>HYPERLINK("https://open-school.uspishnemisto.com.ua/school/461072/", 461072)</f>
        <v>461072</v>
      </c>
      <c r="B8361" s="3" t="s">
        <v>43012</v>
      </c>
      <c r="C8361" s="3" t="s">
        <v>54</v>
      </c>
      <c r="D8361" s="3" t="s">
        <v>175</v>
      </c>
      <c r="E8361" s="4" t="s">
        <v>22</v>
      </c>
      <c r="F8361" s="4" t="s">
        <v>43013</v>
      </c>
      <c r="G8361" s="4" t="s">
        <v>43014</v>
      </c>
      <c r="H8361" s="3" t="s">
        <v>38194</v>
      </c>
      <c r="I8361" s="3" t="s">
        <v>42024</v>
      </c>
      <c r="J8361" s="3" t="s">
        <v>43015</v>
      </c>
      <c r="K8361" s="3" t="s">
        <v>43016</v>
      </c>
      <c r="L8361" s="3"/>
      <c r="M8361" s="4"/>
      <c r="N8361" s="3" t="s">
        <v>37</v>
      </c>
      <c r="O8361" s="3" t="s">
        <v>52</v>
      </c>
      <c r="P8361" s="5">
        <v>9</v>
      </c>
      <c r="Q8361" s="5">
        <v>74</v>
      </c>
      <c r="R8361" s="5">
        <v>9</v>
      </c>
      <c r="S8361" s="5">
        <v>69</v>
      </c>
    </row>
    <row r="8362" spans="1:19" ht="42" x14ac:dyDescent="0.15">
      <c r="A8362" s="2">
        <f>HYPERLINK("https://open-school.uspishnemisto.com.ua/school/461073/", 461073)</f>
        <v>461073</v>
      </c>
      <c r="B8362" s="3" t="s">
        <v>43017</v>
      </c>
      <c r="C8362" s="3" t="s">
        <v>54</v>
      </c>
      <c r="D8362" s="3" t="s">
        <v>175</v>
      </c>
      <c r="E8362" s="4" t="s">
        <v>22</v>
      </c>
      <c r="F8362" s="4" t="s">
        <v>43018</v>
      </c>
      <c r="G8362" s="4" t="s">
        <v>43019</v>
      </c>
      <c r="H8362" s="3" t="s">
        <v>38194</v>
      </c>
      <c r="I8362" s="3" t="s">
        <v>43020</v>
      </c>
      <c r="J8362" s="3" t="s">
        <v>5606</v>
      </c>
      <c r="K8362" s="3" t="s">
        <v>43021</v>
      </c>
      <c r="L8362" s="3"/>
      <c r="M8362" s="4"/>
      <c r="N8362" s="3" t="s">
        <v>37</v>
      </c>
      <c r="O8362" s="3" t="s">
        <v>52</v>
      </c>
      <c r="P8362" s="5">
        <v>7</v>
      </c>
      <c r="Q8362" s="5">
        <v>57</v>
      </c>
      <c r="R8362" s="5">
        <v>7</v>
      </c>
      <c r="S8362" s="5">
        <v>57</v>
      </c>
    </row>
    <row r="8363" spans="1:19" ht="28" x14ac:dyDescent="0.15">
      <c r="A8363" s="2">
        <f>HYPERLINK("https://open-school.uspishnemisto.com.ua/school/461074/", 461074)</f>
        <v>461074</v>
      </c>
      <c r="B8363" s="3" t="s">
        <v>43022</v>
      </c>
      <c r="C8363" s="3" t="s">
        <v>31</v>
      </c>
      <c r="D8363" s="3" t="s">
        <v>32</v>
      </c>
      <c r="E8363" s="4" t="s">
        <v>22</v>
      </c>
      <c r="F8363" s="4" t="s">
        <v>43023</v>
      </c>
      <c r="G8363" s="4" t="s">
        <v>43024</v>
      </c>
      <c r="H8363" s="3" t="s">
        <v>38194</v>
      </c>
      <c r="I8363" s="3" t="s">
        <v>43025</v>
      </c>
      <c r="J8363" s="3" t="s">
        <v>761</v>
      </c>
      <c r="K8363" s="3" t="s">
        <v>43026</v>
      </c>
      <c r="L8363" s="3" t="s">
        <v>43027</v>
      </c>
      <c r="M8363" s="4"/>
      <c r="N8363" s="3" t="s">
        <v>37</v>
      </c>
      <c r="O8363" s="3" t="s">
        <v>139</v>
      </c>
      <c r="P8363" s="5">
        <v>11</v>
      </c>
      <c r="Q8363" s="5">
        <v>152</v>
      </c>
      <c r="R8363" s="5">
        <v>11</v>
      </c>
      <c r="S8363" s="5">
        <v>154</v>
      </c>
    </row>
    <row r="8364" spans="1:19" ht="28" x14ac:dyDescent="0.15">
      <c r="A8364" s="2">
        <f>HYPERLINK("https://open-school.uspishnemisto.com.ua/school/461075/", 461075)</f>
        <v>461075</v>
      </c>
      <c r="B8364" s="3" t="s">
        <v>43028</v>
      </c>
      <c r="C8364" s="3" t="s">
        <v>54</v>
      </c>
      <c r="D8364" s="3" t="s">
        <v>32</v>
      </c>
      <c r="E8364" s="4" t="s">
        <v>22</v>
      </c>
      <c r="F8364" s="4" t="s">
        <v>43029</v>
      </c>
      <c r="G8364" s="4" t="s">
        <v>43030</v>
      </c>
      <c r="H8364" s="3" t="s">
        <v>38194</v>
      </c>
      <c r="I8364" s="3" t="s">
        <v>33639</v>
      </c>
      <c r="J8364" s="3" t="s">
        <v>43031</v>
      </c>
      <c r="K8364" s="3" t="s">
        <v>43032</v>
      </c>
      <c r="L8364" s="3" t="s">
        <v>43033</v>
      </c>
      <c r="M8364" s="4"/>
      <c r="N8364" s="3" t="s">
        <v>37</v>
      </c>
      <c r="O8364" s="3" t="s">
        <v>139</v>
      </c>
      <c r="P8364" s="5">
        <v>11</v>
      </c>
      <c r="Q8364" s="5">
        <v>217</v>
      </c>
      <c r="R8364" s="5">
        <v>11</v>
      </c>
      <c r="S8364" s="5">
        <v>201</v>
      </c>
    </row>
    <row r="8365" spans="1:19" ht="42" x14ac:dyDescent="0.15">
      <c r="A8365" s="2">
        <f>HYPERLINK("https://open-school.uspishnemisto.com.ua/school/461076/", 461076)</f>
        <v>461076</v>
      </c>
      <c r="B8365" s="3" t="s">
        <v>43034</v>
      </c>
      <c r="C8365" s="3" t="s">
        <v>54</v>
      </c>
      <c r="D8365" s="3" t="s">
        <v>175</v>
      </c>
      <c r="E8365" s="4" t="s">
        <v>22</v>
      </c>
      <c r="F8365" s="4" t="s">
        <v>43035</v>
      </c>
      <c r="G8365" s="4" t="s">
        <v>43036</v>
      </c>
      <c r="H8365" s="3" t="s">
        <v>38194</v>
      </c>
      <c r="I8365" s="3" t="s">
        <v>43037</v>
      </c>
      <c r="J8365" s="3" t="s">
        <v>43038</v>
      </c>
      <c r="K8365" s="3" t="s">
        <v>43039</v>
      </c>
      <c r="L8365" s="3" t="s">
        <v>43040</v>
      </c>
      <c r="M8365" s="4"/>
      <c r="N8365" s="3" t="s">
        <v>37</v>
      </c>
      <c r="O8365" s="3" t="s">
        <v>52</v>
      </c>
      <c r="P8365" s="5">
        <v>8</v>
      </c>
      <c r="Q8365" s="5">
        <v>68</v>
      </c>
      <c r="R8365" s="5">
        <v>8</v>
      </c>
      <c r="S8365" s="5">
        <v>69</v>
      </c>
    </row>
    <row r="8366" spans="1:19" ht="42" x14ac:dyDescent="0.15">
      <c r="A8366" s="2">
        <f>HYPERLINK("https://open-school.uspishnemisto.com.ua/school/461077/", 461077)</f>
        <v>461077</v>
      </c>
      <c r="B8366" s="3" t="s">
        <v>43041</v>
      </c>
      <c r="C8366" s="3" t="s">
        <v>31</v>
      </c>
      <c r="D8366" s="3" t="s">
        <v>175</v>
      </c>
      <c r="E8366" s="4" t="s">
        <v>22</v>
      </c>
      <c r="F8366" s="4" t="s">
        <v>43042</v>
      </c>
      <c r="G8366" s="4" t="s">
        <v>43043</v>
      </c>
      <c r="H8366" s="3" t="s">
        <v>38194</v>
      </c>
      <c r="I8366" s="3" t="s">
        <v>43044</v>
      </c>
      <c r="J8366" s="3" t="s">
        <v>43045</v>
      </c>
      <c r="K8366" s="3" t="s">
        <v>43046</v>
      </c>
      <c r="L8366" s="3"/>
      <c r="M8366" s="4"/>
      <c r="N8366" s="3" t="s">
        <v>37</v>
      </c>
      <c r="O8366" s="3" t="s">
        <v>52</v>
      </c>
      <c r="P8366" s="5">
        <v>9</v>
      </c>
      <c r="Q8366" s="5">
        <v>98</v>
      </c>
      <c r="R8366" s="5">
        <v>9</v>
      </c>
      <c r="S8366" s="5">
        <v>96</v>
      </c>
    </row>
    <row r="8367" spans="1:19" ht="42" x14ac:dyDescent="0.15">
      <c r="A8367" s="2">
        <f>HYPERLINK("https://open-school.uspishnemisto.com.ua/school/461078/", 461078)</f>
        <v>461078</v>
      </c>
      <c r="B8367" s="3" t="s">
        <v>43047</v>
      </c>
      <c r="C8367" s="3" t="s">
        <v>54</v>
      </c>
      <c r="D8367" s="3" t="s">
        <v>60</v>
      </c>
      <c r="E8367" s="4" t="s">
        <v>22</v>
      </c>
      <c r="F8367" s="4" t="s">
        <v>43048</v>
      </c>
      <c r="G8367" s="4" t="s">
        <v>43049</v>
      </c>
      <c r="H8367" s="3" t="s">
        <v>38194</v>
      </c>
      <c r="I8367" s="3" t="s">
        <v>43050</v>
      </c>
      <c r="J8367" s="3" t="s">
        <v>3494</v>
      </c>
      <c r="K8367" s="3" t="s">
        <v>43051</v>
      </c>
      <c r="L8367" s="3"/>
      <c r="M8367" s="4"/>
      <c r="N8367" s="3" t="s">
        <v>37</v>
      </c>
      <c r="O8367" s="3" t="s">
        <v>52</v>
      </c>
      <c r="P8367" s="5">
        <v>3</v>
      </c>
      <c r="Q8367" s="5">
        <v>24</v>
      </c>
      <c r="R8367" s="5">
        <v>4</v>
      </c>
      <c r="S8367" s="5">
        <v>27</v>
      </c>
    </row>
    <row r="8368" spans="1:19" ht="42" x14ac:dyDescent="0.15">
      <c r="A8368" s="2">
        <f>HYPERLINK("https://open-school.uspishnemisto.com.ua/school/461079/", 461079)</f>
        <v>461079</v>
      </c>
      <c r="B8368" s="3" t="s">
        <v>43052</v>
      </c>
      <c r="C8368" s="3" t="s">
        <v>54</v>
      </c>
      <c r="D8368" s="3" t="s">
        <v>60</v>
      </c>
      <c r="E8368" s="4" t="s">
        <v>22</v>
      </c>
      <c r="F8368" s="4" t="s">
        <v>43053</v>
      </c>
      <c r="G8368" s="4" t="s">
        <v>43054</v>
      </c>
      <c r="H8368" s="3" t="s">
        <v>38194</v>
      </c>
      <c r="I8368" s="3" t="s">
        <v>43055</v>
      </c>
      <c r="J8368" s="3" t="s">
        <v>43056</v>
      </c>
      <c r="K8368" s="3" t="s">
        <v>43057</v>
      </c>
      <c r="L8368" s="3"/>
      <c r="M8368" s="4"/>
      <c r="N8368" s="3" t="s">
        <v>37</v>
      </c>
      <c r="O8368" s="3" t="s">
        <v>52</v>
      </c>
      <c r="P8368" s="5">
        <v>1</v>
      </c>
      <c r="Q8368" s="5">
        <v>13</v>
      </c>
      <c r="R8368" s="5">
        <v>0</v>
      </c>
      <c r="S8368" s="5">
        <v>12</v>
      </c>
    </row>
    <row r="8369" spans="1:19" ht="28" x14ac:dyDescent="0.15">
      <c r="A8369" s="2">
        <f>HYPERLINK("https://open-school.uspishnemisto.com.ua/school/461080/", 461080)</f>
        <v>461080</v>
      </c>
      <c r="B8369" s="3" t="s">
        <v>43058</v>
      </c>
      <c r="C8369" s="3" t="s">
        <v>31</v>
      </c>
      <c r="D8369" s="3" t="s">
        <v>32</v>
      </c>
      <c r="E8369" s="4" t="s">
        <v>22</v>
      </c>
      <c r="F8369" s="4" t="s">
        <v>43059</v>
      </c>
      <c r="G8369" s="4" t="s">
        <v>43060</v>
      </c>
      <c r="H8369" s="3" t="s">
        <v>38194</v>
      </c>
      <c r="I8369" s="3" t="s">
        <v>7246</v>
      </c>
      <c r="J8369" s="3" t="s">
        <v>43061</v>
      </c>
      <c r="K8369" s="3" t="s">
        <v>43062</v>
      </c>
      <c r="L8369" s="3"/>
      <c r="M8369" s="4"/>
      <c r="N8369" s="3" t="s">
        <v>37</v>
      </c>
      <c r="O8369" s="3" t="s">
        <v>139</v>
      </c>
      <c r="P8369" s="5">
        <v>11</v>
      </c>
      <c r="Q8369" s="5">
        <v>128</v>
      </c>
      <c r="R8369" s="5">
        <v>11</v>
      </c>
      <c r="S8369" s="5">
        <v>138</v>
      </c>
    </row>
    <row r="8370" spans="1:19" ht="28" x14ac:dyDescent="0.15">
      <c r="A8370" s="2">
        <f>HYPERLINK("https://open-school.uspishnemisto.com.ua/school/461081/", 461081)</f>
        <v>461081</v>
      </c>
      <c r="B8370" s="3" t="s">
        <v>43063</v>
      </c>
      <c r="C8370" s="3" t="s">
        <v>31</v>
      </c>
      <c r="D8370" s="3" t="s">
        <v>175</v>
      </c>
      <c r="E8370" s="4" t="s">
        <v>22</v>
      </c>
      <c r="F8370" s="4" t="s">
        <v>43064</v>
      </c>
      <c r="G8370" s="4" t="s">
        <v>43065</v>
      </c>
      <c r="H8370" s="3" t="s">
        <v>38194</v>
      </c>
      <c r="I8370" s="3" t="s">
        <v>8018</v>
      </c>
      <c r="J8370" s="3" t="s">
        <v>43066</v>
      </c>
      <c r="K8370" s="3" t="s">
        <v>43067</v>
      </c>
      <c r="L8370" s="3"/>
      <c r="M8370" s="4"/>
      <c r="N8370" s="3" t="s">
        <v>37</v>
      </c>
      <c r="O8370" s="3" t="s">
        <v>52</v>
      </c>
      <c r="P8370" s="5">
        <v>8</v>
      </c>
      <c r="Q8370" s="5">
        <v>67</v>
      </c>
      <c r="R8370" s="5">
        <v>8</v>
      </c>
      <c r="S8370" s="5">
        <v>63</v>
      </c>
    </row>
    <row r="8371" spans="1:19" ht="28" x14ac:dyDescent="0.15">
      <c r="A8371" s="2">
        <f>HYPERLINK("https://open-school.uspishnemisto.com.ua/school/461082/", 461082)</f>
        <v>461082</v>
      </c>
      <c r="B8371" s="3" t="s">
        <v>43068</v>
      </c>
      <c r="C8371" s="3" t="s">
        <v>54</v>
      </c>
      <c r="D8371" s="3" t="s">
        <v>60</v>
      </c>
      <c r="E8371" s="4" t="s">
        <v>22</v>
      </c>
      <c r="F8371" s="4" t="s">
        <v>43069</v>
      </c>
      <c r="G8371" s="4" t="s">
        <v>43070</v>
      </c>
      <c r="H8371" s="3" t="s">
        <v>38194</v>
      </c>
      <c r="I8371" s="3" t="s">
        <v>43071</v>
      </c>
      <c r="J8371" s="3" t="s">
        <v>6535</v>
      </c>
      <c r="K8371" s="3" t="s">
        <v>43072</v>
      </c>
      <c r="L8371" s="3"/>
      <c r="M8371" s="4"/>
      <c r="N8371" s="3" t="s">
        <v>37</v>
      </c>
      <c r="O8371" s="3" t="s">
        <v>52</v>
      </c>
      <c r="P8371" s="5">
        <v>1</v>
      </c>
      <c r="Q8371" s="5">
        <v>15</v>
      </c>
      <c r="R8371" s="5">
        <v>0</v>
      </c>
      <c r="S8371" s="5">
        <v>11</v>
      </c>
    </row>
    <row r="8372" spans="1:19" ht="28" x14ac:dyDescent="0.15">
      <c r="A8372" s="2">
        <f>HYPERLINK("https://open-school.uspishnemisto.com.ua/school/461083/", 461083)</f>
        <v>461083</v>
      </c>
      <c r="B8372" s="3" t="s">
        <v>43073</v>
      </c>
      <c r="C8372" s="3" t="s">
        <v>31</v>
      </c>
      <c r="D8372" s="3" t="s">
        <v>32</v>
      </c>
      <c r="E8372" s="4" t="s">
        <v>22</v>
      </c>
      <c r="F8372" s="4" t="s">
        <v>43074</v>
      </c>
      <c r="G8372" s="4" t="s">
        <v>43075</v>
      </c>
      <c r="H8372" s="3" t="s">
        <v>38194</v>
      </c>
      <c r="I8372" s="3" t="s">
        <v>43076</v>
      </c>
      <c r="J8372" s="3" t="s">
        <v>43077</v>
      </c>
      <c r="K8372" s="3" t="s">
        <v>43078</v>
      </c>
      <c r="L8372" s="3"/>
      <c r="M8372" s="4"/>
      <c r="N8372" s="3" t="s">
        <v>37</v>
      </c>
      <c r="O8372" s="3" t="s">
        <v>52</v>
      </c>
      <c r="P8372" s="5">
        <v>11</v>
      </c>
      <c r="Q8372" s="5">
        <v>133</v>
      </c>
      <c r="R8372" s="5">
        <v>10</v>
      </c>
      <c r="S8372" s="5">
        <v>120</v>
      </c>
    </row>
    <row r="8373" spans="1:19" ht="28" x14ac:dyDescent="0.15">
      <c r="A8373" s="2">
        <f>HYPERLINK("https://open-school.uspishnemisto.com.ua/school/461084/", 461084)</f>
        <v>461084</v>
      </c>
      <c r="B8373" s="3" t="s">
        <v>43079</v>
      </c>
      <c r="C8373" s="3" t="s">
        <v>31</v>
      </c>
      <c r="D8373" s="3" t="s">
        <v>175</v>
      </c>
      <c r="E8373" s="4" t="s">
        <v>22</v>
      </c>
      <c r="F8373" s="4" t="s">
        <v>42837</v>
      </c>
      <c r="G8373" s="4" t="s">
        <v>43080</v>
      </c>
      <c r="H8373" s="3" t="s">
        <v>38194</v>
      </c>
      <c r="I8373" s="3" t="s">
        <v>43081</v>
      </c>
      <c r="J8373" s="3" t="s">
        <v>6379</v>
      </c>
      <c r="K8373" s="3" t="s">
        <v>43082</v>
      </c>
      <c r="L8373" s="3"/>
      <c r="M8373" s="4"/>
      <c r="N8373" s="3" t="s">
        <v>37</v>
      </c>
      <c r="O8373" s="3" t="s">
        <v>52</v>
      </c>
      <c r="P8373" s="5">
        <v>8</v>
      </c>
      <c r="Q8373" s="5">
        <v>58</v>
      </c>
      <c r="R8373" s="5">
        <v>8</v>
      </c>
      <c r="S8373" s="5">
        <v>56</v>
      </c>
    </row>
    <row r="8374" spans="1:19" ht="28" x14ac:dyDescent="0.15">
      <c r="A8374" s="2">
        <f>HYPERLINK("https://open-school.uspishnemisto.com.ua/school/461085/", 461085)</f>
        <v>461085</v>
      </c>
      <c r="B8374" s="3" t="s">
        <v>43083</v>
      </c>
      <c r="C8374" s="3" t="s">
        <v>31</v>
      </c>
      <c r="D8374" s="3" t="s">
        <v>32</v>
      </c>
      <c r="E8374" s="4" t="s">
        <v>22</v>
      </c>
      <c r="F8374" s="4" t="s">
        <v>43084</v>
      </c>
      <c r="G8374" s="4" t="s">
        <v>43085</v>
      </c>
      <c r="H8374" s="3" t="s">
        <v>38194</v>
      </c>
      <c r="I8374" s="3" t="s">
        <v>43086</v>
      </c>
      <c r="J8374" s="3" t="s">
        <v>21270</v>
      </c>
      <c r="K8374" s="3"/>
      <c r="L8374" s="3"/>
      <c r="M8374" s="4"/>
      <c r="N8374" s="3" t="s">
        <v>37</v>
      </c>
      <c r="O8374" s="3" t="s">
        <v>52</v>
      </c>
      <c r="P8374" s="5">
        <v>9</v>
      </c>
      <c r="Q8374" s="5">
        <v>99</v>
      </c>
      <c r="R8374" s="5">
        <v>9</v>
      </c>
      <c r="S8374" s="5">
        <v>76</v>
      </c>
    </row>
    <row r="8375" spans="1:19" ht="28" x14ac:dyDescent="0.15">
      <c r="A8375" s="2">
        <f>HYPERLINK("https://open-school.uspishnemisto.com.ua/school/461086/", 461086)</f>
        <v>461086</v>
      </c>
      <c r="B8375" s="3" t="s">
        <v>43087</v>
      </c>
      <c r="C8375" s="3" t="s">
        <v>31</v>
      </c>
      <c r="D8375" s="3" t="s">
        <v>175</v>
      </c>
      <c r="E8375" s="4" t="s">
        <v>22</v>
      </c>
      <c r="F8375" s="4" t="s">
        <v>43088</v>
      </c>
      <c r="G8375" s="4" t="s">
        <v>43089</v>
      </c>
      <c r="H8375" s="3" t="s">
        <v>38194</v>
      </c>
      <c r="I8375" s="3" t="s">
        <v>5491</v>
      </c>
      <c r="J8375" s="3" t="s">
        <v>5029</v>
      </c>
      <c r="K8375" s="3" t="s">
        <v>43090</v>
      </c>
      <c r="L8375" s="3"/>
      <c r="M8375" s="4"/>
      <c r="N8375" s="3" t="s">
        <v>37</v>
      </c>
      <c r="O8375" s="3" t="s">
        <v>52</v>
      </c>
      <c r="P8375" s="5">
        <v>1</v>
      </c>
      <c r="Q8375" s="5">
        <v>10</v>
      </c>
      <c r="R8375" s="5">
        <v>1</v>
      </c>
      <c r="S8375" s="5">
        <v>26</v>
      </c>
    </row>
    <row r="8376" spans="1:19" ht="28" x14ac:dyDescent="0.15">
      <c r="A8376" s="2">
        <f>HYPERLINK("https://open-school.uspishnemisto.com.ua/school/461087/", 461087)</f>
        <v>461087</v>
      </c>
      <c r="B8376" s="3" t="s">
        <v>43091</v>
      </c>
      <c r="C8376" s="3" t="s">
        <v>31</v>
      </c>
      <c r="D8376" s="3" t="s">
        <v>32</v>
      </c>
      <c r="E8376" s="4" t="s">
        <v>22</v>
      </c>
      <c r="F8376" s="4" t="s">
        <v>43092</v>
      </c>
      <c r="G8376" s="4" t="s">
        <v>43093</v>
      </c>
      <c r="H8376" s="3" t="s">
        <v>38194</v>
      </c>
      <c r="I8376" s="3" t="s">
        <v>43094</v>
      </c>
      <c r="J8376" s="3" t="s">
        <v>43095</v>
      </c>
      <c r="K8376" s="3"/>
      <c r="L8376" s="3"/>
      <c r="M8376" s="4"/>
      <c r="N8376" s="3" t="s">
        <v>37</v>
      </c>
      <c r="O8376" s="3" t="s">
        <v>52</v>
      </c>
      <c r="P8376" s="5">
        <v>11</v>
      </c>
      <c r="Q8376" s="5">
        <v>266</v>
      </c>
      <c r="R8376" s="5">
        <v>12</v>
      </c>
      <c r="S8376" s="5">
        <v>263</v>
      </c>
    </row>
    <row r="8377" spans="1:19" ht="28" x14ac:dyDescent="0.15">
      <c r="A8377" s="2">
        <f>HYPERLINK("https://open-school.uspishnemisto.com.ua/school/461088/", 461088)</f>
        <v>461088</v>
      </c>
      <c r="B8377" s="3" t="s">
        <v>43096</v>
      </c>
      <c r="C8377" s="3" t="s">
        <v>54</v>
      </c>
      <c r="D8377" s="3" t="s">
        <v>60</v>
      </c>
      <c r="E8377" s="4" t="s">
        <v>22</v>
      </c>
      <c r="F8377" s="4"/>
      <c r="G8377" s="4" t="s">
        <v>43097</v>
      </c>
      <c r="H8377" s="3" t="s">
        <v>38194</v>
      </c>
      <c r="I8377" s="3" t="s">
        <v>43098</v>
      </c>
      <c r="J8377" s="3" t="s">
        <v>8447</v>
      </c>
      <c r="K8377" s="3"/>
      <c r="L8377" s="3"/>
      <c r="M8377" s="4"/>
      <c r="N8377" s="3" t="s">
        <v>37</v>
      </c>
      <c r="O8377" s="3" t="s">
        <v>52</v>
      </c>
      <c r="P8377" s="5">
        <v>2</v>
      </c>
      <c r="Q8377" s="5">
        <v>23</v>
      </c>
      <c r="R8377" s="5">
        <v>2</v>
      </c>
      <c r="S8377" s="5">
        <v>25</v>
      </c>
    </row>
    <row r="8378" spans="1:19" ht="28" x14ac:dyDescent="0.15">
      <c r="A8378" s="2">
        <f>HYPERLINK("https://open-school.uspishnemisto.com.ua/school/461089/", 461089)</f>
        <v>461089</v>
      </c>
      <c r="B8378" s="3" t="s">
        <v>43099</v>
      </c>
      <c r="C8378" s="3" t="s">
        <v>31</v>
      </c>
      <c r="D8378" s="3" t="s">
        <v>32</v>
      </c>
      <c r="E8378" s="4" t="s">
        <v>22</v>
      </c>
      <c r="F8378" s="4" t="s">
        <v>43053</v>
      </c>
      <c r="G8378" s="4" t="s">
        <v>43100</v>
      </c>
      <c r="H8378" s="3" t="s">
        <v>38194</v>
      </c>
      <c r="I8378" s="3" t="s">
        <v>43101</v>
      </c>
      <c r="J8378" s="3" t="s">
        <v>43102</v>
      </c>
      <c r="K8378" s="3"/>
      <c r="L8378" s="3" t="s">
        <v>43103</v>
      </c>
      <c r="M8378" s="4"/>
      <c r="N8378" s="3" t="s">
        <v>37</v>
      </c>
      <c r="O8378" s="3" t="s">
        <v>52</v>
      </c>
      <c r="P8378" s="5">
        <v>9</v>
      </c>
      <c r="Q8378" s="5">
        <v>110</v>
      </c>
      <c r="R8378" s="5">
        <v>11</v>
      </c>
      <c r="S8378" s="5">
        <v>110</v>
      </c>
    </row>
    <row r="8379" spans="1:19" ht="28" x14ac:dyDescent="0.15">
      <c r="A8379" s="2">
        <f>HYPERLINK("https://open-school.uspishnemisto.com.ua/school/461090/", 461090)</f>
        <v>461090</v>
      </c>
      <c r="B8379" s="3" t="s">
        <v>43104</v>
      </c>
      <c r="C8379" s="3" t="s">
        <v>54</v>
      </c>
      <c r="D8379" s="3" t="s">
        <v>32</v>
      </c>
      <c r="E8379" s="4" t="s">
        <v>22</v>
      </c>
      <c r="F8379" s="4" t="s">
        <v>43105</v>
      </c>
      <c r="G8379" s="4" t="s">
        <v>43106</v>
      </c>
      <c r="H8379" s="3" t="s">
        <v>38194</v>
      </c>
      <c r="I8379" s="3" t="s">
        <v>43107</v>
      </c>
      <c r="J8379" s="3" t="s">
        <v>16164</v>
      </c>
      <c r="K8379" s="3" t="s">
        <v>43108</v>
      </c>
      <c r="L8379" s="3"/>
      <c r="M8379" s="4"/>
      <c r="N8379" s="3" t="s">
        <v>37</v>
      </c>
      <c r="O8379" s="3" t="s">
        <v>52</v>
      </c>
      <c r="P8379" s="5">
        <v>11</v>
      </c>
      <c r="Q8379" s="5">
        <v>142</v>
      </c>
      <c r="R8379" s="5">
        <v>11</v>
      </c>
      <c r="S8379" s="5">
        <v>138</v>
      </c>
    </row>
    <row r="8380" spans="1:19" ht="42" x14ac:dyDescent="0.15">
      <c r="A8380" s="2">
        <f>HYPERLINK("https://open-school.uspishnemisto.com.ua/school/461091/", 461091)</f>
        <v>461091</v>
      </c>
      <c r="B8380" s="3" t="s">
        <v>43109</v>
      </c>
      <c r="C8380" s="3" t="s">
        <v>31</v>
      </c>
      <c r="D8380" s="3" t="s">
        <v>60</v>
      </c>
      <c r="E8380" s="4" t="s">
        <v>22</v>
      </c>
      <c r="F8380" s="4" t="s">
        <v>43105</v>
      </c>
      <c r="G8380" s="4" t="s">
        <v>43110</v>
      </c>
      <c r="H8380" s="3" t="s">
        <v>38194</v>
      </c>
      <c r="I8380" s="3" t="s">
        <v>17292</v>
      </c>
      <c r="J8380" s="3" t="s">
        <v>43111</v>
      </c>
      <c r="K8380" s="3" t="s">
        <v>43112</v>
      </c>
      <c r="L8380" s="3"/>
      <c r="M8380" s="4"/>
      <c r="N8380" s="3" t="s">
        <v>37</v>
      </c>
      <c r="O8380" s="3" t="s">
        <v>52</v>
      </c>
      <c r="P8380" s="5">
        <v>1</v>
      </c>
      <c r="Q8380" s="5">
        <v>17</v>
      </c>
      <c r="R8380" s="5">
        <v>2</v>
      </c>
      <c r="S8380" s="5">
        <v>19</v>
      </c>
    </row>
    <row r="8381" spans="1:19" ht="42" x14ac:dyDescent="0.15">
      <c r="A8381" s="2">
        <f>HYPERLINK("https://open-school.uspishnemisto.com.ua/school/461092/", 461092)</f>
        <v>461092</v>
      </c>
      <c r="B8381" s="3" t="s">
        <v>43113</v>
      </c>
      <c r="C8381" s="3" t="s">
        <v>31</v>
      </c>
      <c r="D8381" s="3" t="s">
        <v>32</v>
      </c>
      <c r="E8381" s="4" t="s">
        <v>22</v>
      </c>
      <c r="F8381" s="4" t="s">
        <v>43114</v>
      </c>
      <c r="G8381" s="4" t="s">
        <v>43115</v>
      </c>
      <c r="H8381" s="3" t="s">
        <v>38194</v>
      </c>
      <c r="I8381" s="3" t="s">
        <v>30452</v>
      </c>
      <c r="J8381" s="3" t="s">
        <v>6666</v>
      </c>
      <c r="K8381" s="3" t="s">
        <v>43116</v>
      </c>
      <c r="L8381" s="3" t="s">
        <v>43117</v>
      </c>
      <c r="M8381" s="4"/>
      <c r="N8381" s="3" t="s">
        <v>37</v>
      </c>
      <c r="O8381" s="3" t="s">
        <v>52</v>
      </c>
      <c r="P8381" s="5">
        <v>15</v>
      </c>
      <c r="Q8381" s="5">
        <v>291</v>
      </c>
      <c r="R8381" s="5">
        <v>15</v>
      </c>
      <c r="S8381" s="5">
        <v>284</v>
      </c>
    </row>
    <row r="8382" spans="1:19" ht="42" x14ac:dyDescent="0.15">
      <c r="A8382" s="2">
        <f>HYPERLINK("https://open-school.uspishnemisto.com.ua/school/461093/", 461093)</f>
        <v>461093</v>
      </c>
      <c r="B8382" s="3" t="s">
        <v>43118</v>
      </c>
      <c r="C8382" s="3" t="s">
        <v>31</v>
      </c>
      <c r="D8382" s="3" t="s">
        <v>60</v>
      </c>
      <c r="E8382" s="4" t="s">
        <v>22</v>
      </c>
      <c r="F8382" s="4" t="s">
        <v>43119</v>
      </c>
      <c r="G8382" s="4" t="s">
        <v>43120</v>
      </c>
      <c r="H8382" s="3" t="s">
        <v>38194</v>
      </c>
      <c r="I8382" s="3" t="s">
        <v>43121</v>
      </c>
      <c r="J8382" s="3" t="s">
        <v>3494</v>
      </c>
      <c r="K8382" s="3" t="s">
        <v>43122</v>
      </c>
      <c r="L8382" s="3"/>
      <c r="M8382" s="4"/>
      <c r="N8382" s="3" t="s">
        <v>37</v>
      </c>
      <c r="O8382" s="3" t="s">
        <v>52</v>
      </c>
      <c r="P8382" s="5">
        <v>3</v>
      </c>
      <c r="Q8382" s="5">
        <v>24</v>
      </c>
      <c r="R8382" s="5">
        <v>3</v>
      </c>
      <c r="S8382" s="5">
        <v>24</v>
      </c>
    </row>
    <row r="8383" spans="1:19" ht="28" x14ac:dyDescent="0.15">
      <c r="A8383" s="2">
        <f>HYPERLINK("https://open-school.uspishnemisto.com.ua/school/461094/", 461094)</f>
        <v>461094</v>
      </c>
      <c r="B8383" s="3" t="s">
        <v>43123</v>
      </c>
      <c r="C8383" s="3" t="s">
        <v>54</v>
      </c>
      <c r="D8383" s="3" t="s">
        <v>32</v>
      </c>
      <c r="E8383" s="4" t="s">
        <v>22</v>
      </c>
      <c r="F8383" s="4" t="s">
        <v>43124</v>
      </c>
      <c r="G8383" s="4" t="s">
        <v>43125</v>
      </c>
      <c r="H8383" s="3" t="s">
        <v>38194</v>
      </c>
      <c r="I8383" s="3" t="s">
        <v>43126</v>
      </c>
      <c r="J8383" s="3" t="s">
        <v>43127</v>
      </c>
      <c r="K8383" s="3" t="s">
        <v>43128</v>
      </c>
      <c r="L8383" s="3"/>
      <c r="M8383" s="4"/>
      <c r="N8383" s="3" t="s">
        <v>37</v>
      </c>
      <c r="O8383" s="3" t="s">
        <v>52</v>
      </c>
      <c r="P8383" s="5">
        <v>11</v>
      </c>
      <c r="Q8383" s="5">
        <v>105</v>
      </c>
      <c r="R8383" s="5">
        <v>11</v>
      </c>
      <c r="S8383" s="5">
        <v>110</v>
      </c>
    </row>
    <row r="8384" spans="1:19" ht="28" x14ac:dyDescent="0.15">
      <c r="A8384" s="2">
        <f>HYPERLINK("https://open-school.uspishnemisto.com.ua/school/461095/", 461095)</f>
        <v>461095</v>
      </c>
      <c r="B8384" s="3" t="s">
        <v>43129</v>
      </c>
      <c r="C8384" s="3" t="s">
        <v>31</v>
      </c>
      <c r="D8384" s="3" t="s">
        <v>175</v>
      </c>
      <c r="E8384" s="4" t="s">
        <v>22</v>
      </c>
      <c r="F8384" s="4" t="s">
        <v>43130</v>
      </c>
      <c r="G8384" s="4" t="s">
        <v>43131</v>
      </c>
      <c r="H8384" s="3" t="s">
        <v>38194</v>
      </c>
      <c r="I8384" s="3" t="s">
        <v>43132</v>
      </c>
      <c r="J8384" s="3" t="s">
        <v>20632</v>
      </c>
      <c r="K8384" s="3" t="s">
        <v>43133</v>
      </c>
      <c r="L8384" s="3"/>
      <c r="M8384" s="4"/>
      <c r="N8384" s="3" t="s">
        <v>37</v>
      </c>
      <c r="O8384" s="3" t="s">
        <v>52</v>
      </c>
      <c r="P8384" s="5">
        <v>4</v>
      </c>
      <c r="Q8384" s="5">
        <v>29</v>
      </c>
      <c r="R8384" s="5">
        <v>4</v>
      </c>
      <c r="S8384" s="5">
        <v>37</v>
      </c>
    </row>
    <row r="8385" spans="1:19" ht="28" x14ac:dyDescent="0.15">
      <c r="A8385" s="2">
        <f>HYPERLINK("https://open-school.uspishnemisto.com.ua/school/461096/", 461096)</f>
        <v>461096</v>
      </c>
      <c r="B8385" s="3" t="s">
        <v>43134</v>
      </c>
      <c r="C8385" s="3" t="s">
        <v>31</v>
      </c>
      <c r="D8385" s="3" t="s">
        <v>32</v>
      </c>
      <c r="E8385" s="4" t="s">
        <v>22</v>
      </c>
      <c r="F8385" s="4" t="s">
        <v>43135</v>
      </c>
      <c r="G8385" s="4" t="s">
        <v>43136</v>
      </c>
      <c r="H8385" s="3" t="s">
        <v>38194</v>
      </c>
      <c r="I8385" s="3" t="s">
        <v>43137</v>
      </c>
      <c r="J8385" s="3" t="s">
        <v>22146</v>
      </c>
      <c r="K8385" s="3" t="s">
        <v>43138</v>
      </c>
      <c r="L8385" s="3"/>
      <c r="M8385" s="4"/>
      <c r="N8385" s="3" t="s">
        <v>37</v>
      </c>
      <c r="O8385" s="3" t="s">
        <v>52</v>
      </c>
      <c r="P8385" s="5">
        <v>11</v>
      </c>
      <c r="Q8385" s="5">
        <v>169</v>
      </c>
      <c r="R8385" s="5">
        <v>11</v>
      </c>
      <c r="S8385" s="5">
        <v>172</v>
      </c>
    </row>
    <row r="8386" spans="1:19" ht="42" x14ac:dyDescent="0.15">
      <c r="A8386" s="2">
        <f>HYPERLINK("https://open-school.uspishnemisto.com.ua/school/461097/", 461097)</f>
        <v>461097</v>
      </c>
      <c r="B8386" s="3" t="s">
        <v>43139</v>
      </c>
      <c r="C8386" s="3" t="s">
        <v>54</v>
      </c>
      <c r="D8386" s="3" t="s">
        <v>32</v>
      </c>
      <c r="E8386" s="4" t="s">
        <v>22</v>
      </c>
      <c r="F8386" s="4" t="s">
        <v>43140</v>
      </c>
      <c r="G8386" s="4" t="s">
        <v>43141</v>
      </c>
      <c r="H8386" s="3" t="s">
        <v>38194</v>
      </c>
      <c r="I8386" s="3" t="s">
        <v>43142</v>
      </c>
      <c r="J8386" s="3" t="s">
        <v>43143</v>
      </c>
      <c r="K8386" s="3" t="s">
        <v>43144</v>
      </c>
      <c r="L8386" s="3" t="s">
        <v>43145</v>
      </c>
      <c r="M8386" s="4"/>
      <c r="N8386" s="3" t="s">
        <v>37</v>
      </c>
      <c r="O8386" s="3" t="s">
        <v>52</v>
      </c>
      <c r="P8386" s="5">
        <v>11</v>
      </c>
      <c r="Q8386" s="5">
        <v>161</v>
      </c>
      <c r="R8386" s="5">
        <v>11</v>
      </c>
      <c r="S8386" s="5">
        <v>165</v>
      </c>
    </row>
    <row r="8387" spans="1:19" ht="28" x14ac:dyDescent="0.15">
      <c r="A8387" s="2">
        <f>HYPERLINK("https://open-school.uspishnemisto.com.ua/school/461098/", 461098)</f>
        <v>461098</v>
      </c>
      <c r="B8387" s="3" t="s">
        <v>43146</v>
      </c>
      <c r="C8387" s="3" t="s">
        <v>54</v>
      </c>
      <c r="D8387" s="3" t="s">
        <v>60</v>
      </c>
      <c r="E8387" s="4" t="s">
        <v>22</v>
      </c>
      <c r="F8387" s="4" t="s">
        <v>43140</v>
      </c>
      <c r="G8387" s="4" t="s">
        <v>43147</v>
      </c>
      <c r="H8387" s="3" t="s">
        <v>38194</v>
      </c>
      <c r="I8387" s="3" t="s">
        <v>17032</v>
      </c>
      <c r="J8387" s="3" t="s">
        <v>43148</v>
      </c>
      <c r="K8387" s="3" t="s">
        <v>43149</v>
      </c>
      <c r="L8387" s="3"/>
      <c r="M8387" s="4"/>
      <c r="N8387" s="3" t="s">
        <v>37</v>
      </c>
      <c r="O8387" s="3" t="s">
        <v>52</v>
      </c>
      <c r="P8387" s="5">
        <v>1</v>
      </c>
      <c r="Q8387" s="5">
        <v>15</v>
      </c>
      <c r="R8387" s="5">
        <v>0</v>
      </c>
      <c r="S8387" s="5">
        <v>12</v>
      </c>
    </row>
    <row r="8388" spans="1:19" ht="28" x14ac:dyDescent="0.15">
      <c r="A8388" s="2">
        <f>HYPERLINK("https://open-school.uspishnemisto.com.ua/school/461099/", 461099)</f>
        <v>461099</v>
      </c>
      <c r="B8388" s="3" t="s">
        <v>43150</v>
      </c>
      <c r="C8388" s="3" t="s">
        <v>54</v>
      </c>
      <c r="D8388" s="3" t="s">
        <v>175</v>
      </c>
      <c r="E8388" s="4" t="s">
        <v>22</v>
      </c>
      <c r="F8388" s="4" t="s">
        <v>43151</v>
      </c>
      <c r="G8388" s="4" t="s">
        <v>43152</v>
      </c>
      <c r="H8388" s="3" t="s">
        <v>38194</v>
      </c>
      <c r="I8388" s="3" t="s">
        <v>43153</v>
      </c>
      <c r="J8388" s="3" t="s">
        <v>43154</v>
      </c>
      <c r="K8388" s="3"/>
      <c r="L8388" s="3" t="s">
        <v>43155</v>
      </c>
      <c r="M8388" s="4"/>
      <c r="N8388" s="3" t="s">
        <v>37</v>
      </c>
      <c r="O8388" s="3" t="s">
        <v>52</v>
      </c>
      <c r="P8388" s="5">
        <v>5</v>
      </c>
      <c r="Q8388" s="5">
        <v>47</v>
      </c>
      <c r="R8388" s="5">
        <v>5</v>
      </c>
      <c r="S8388" s="5">
        <v>43</v>
      </c>
    </row>
    <row r="8389" spans="1:19" ht="28" x14ac:dyDescent="0.15">
      <c r="A8389" s="2">
        <f>HYPERLINK("https://open-school.uspishnemisto.com.ua/school/461100/", 461100)</f>
        <v>461100</v>
      </c>
      <c r="B8389" s="3" t="s">
        <v>43156</v>
      </c>
      <c r="C8389" s="3" t="s">
        <v>31</v>
      </c>
      <c r="D8389" s="3" t="s">
        <v>175</v>
      </c>
      <c r="E8389" s="4" t="s">
        <v>22</v>
      </c>
      <c r="F8389" s="4" t="s">
        <v>43157</v>
      </c>
      <c r="G8389" s="4" t="s">
        <v>43158</v>
      </c>
      <c r="H8389" s="3" t="s">
        <v>38194</v>
      </c>
      <c r="I8389" s="3" t="s">
        <v>43159</v>
      </c>
      <c r="J8389" s="3" t="s">
        <v>43160</v>
      </c>
      <c r="K8389" s="3" t="s">
        <v>43161</v>
      </c>
      <c r="L8389" s="3"/>
      <c r="M8389" s="4"/>
      <c r="N8389" s="3" t="s">
        <v>37</v>
      </c>
      <c r="O8389" s="3" t="s">
        <v>52</v>
      </c>
      <c r="P8389" s="5">
        <v>7</v>
      </c>
      <c r="Q8389" s="5">
        <v>56</v>
      </c>
      <c r="R8389" s="5">
        <v>7</v>
      </c>
      <c r="S8389" s="5">
        <v>58</v>
      </c>
    </row>
    <row r="8390" spans="1:19" ht="28" x14ac:dyDescent="0.15">
      <c r="A8390" s="2">
        <f>HYPERLINK("https://open-school.uspishnemisto.com.ua/school/461101/", 461101)</f>
        <v>461101</v>
      </c>
      <c r="B8390" s="3" t="s">
        <v>43162</v>
      </c>
      <c r="C8390" s="3" t="s">
        <v>31</v>
      </c>
      <c r="D8390" s="3" t="s">
        <v>32</v>
      </c>
      <c r="E8390" s="4" t="s">
        <v>22</v>
      </c>
      <c r="F8390" s="4" t="s">
        <v>43163</v>
      </c>
      <c r="G8390" s="4" t="s">
        <v>43164</v>
      </c>
      <c r="H8390" s="3" t="s">
        <v>38194</v>
      </c>
      <c r="I8390" s="3" t="s">
        <v>43165</v>
      </c>
      <c r="J8390" s="3" t="s">
        <v>43166</v>
      </c>
      <c r="K8390" s="3" t="s">
        <v>43167</v>
      </c>
      <c r="L8390" s="3"/>
      <c r="M8390" s="4"/>
      <c r="N8390" s="3" t="s">
        <v>37</v>
      </c>
      <c r="O8390" s="3" t="s">
        <v>52</v>
      </c>
      <c r="P8390" s="5">
        <v>11</v>
      </c>
      <c r="Q8390" s="5">
        <v>191</v>
      </c>
      <c r="R8390" s="5">
        <v>11</v>
      </c>
      <c r="S8390" s="5">
        <v>199</v>
      </c>
    </row>
    <row r="8391" spans="1:19" ht="28" x14ac:dyDescent="0.15">
      <c r="A8391" s="2">
        <f>HYPERLINK("https://open-school.uspishnemisto.com.ua/school/461102/", 461102)</f>
        <v>461102</v>
      </c>
      <c r="B8391" s="3" t="s">
        <v>43168</v>
      </c>
      <c r="C8391" s="3" t="s">
        <v>31</v>
      </c>
      <c r="D8391" s="3" t="s">
        <v>60</v>
      </c>
      <c r="E8391" s="4" t="s">
        <v>22</v>
      </c>
      <c r="F8391" s="4" t="s">
        <v>43163</v>
      </c>
      <c r="G8391" s="4" t="s">
        <v>43169</v>
      </c>
      <c r="H8391" s="3" t="s">
        <v>38194</v>
      </c>
      <c r="I8391" s="3" t="s">
        <v>43170</v>
      </c>
      <c r="J8391" s="3" t="s">
        <v>297</v>
      </c>
      <c r="K8391" s="3" t="s">
        <v>43171</v>
      </c>
      <c r="L8391" s="3"/>
      <c r="M8391" s="4"/>
      <c r="N8391" s="3" t="s">
        <v>37</v>
      </c>
      <c r="O8391" s="3" t="s">
        <v>52</v>
      </c>
      <c r="P8391" s="5">
        <v>0</v>
      </c>
      <c r="Q8391" s="5">
        <v>9</v>
      </c>
      <c r="R8391" s="5">
        <v>0</v>
      </c>
      <c r="S8391" s="5">
        <v>9</v>
      </c>
    </row>
    <row r="8392" spans="1:19" ht="28" x14ac:dyDescent="0.15">
      <c r="A8392" s="2">
        <f>HYPERLINK("https://open-school.uspishnemisto.com.ua/school/461103/", 461103)</f>
        <v>461103</v>
      </c>
      <c r="B8392" s="3" t="s">
        <v>43172</v>
      </c>
      <c r="C8392" s="3" t="s">
        <v>31</v>
      </c>
      <c r="D8392" s="3" t="s">
        <v>32</v>
      </c>
      <c r="E8392" s="4" t="s">
        <v>22</v>
      </c>
      <c r="F8392" s="4" t="s">
        <v>43173</v>
      </c>
      <c r="G8392" s="4" t="s">
        <v>43174</v>
      </c>
      <c r="H8392" s="3" t="s">
        <v>38194</v>
      </c>
      <c r="I8392" s="3" t="s">
        <v>43175</v>
      </c>
      <c r="J8392" s="3" t="s">
        <v>43176</v>
      </c>
      <c r="K8392" s="3" t="s">
        <v>43177</v>
      </c>
      <c r="L8392" s="3"/>
      <c r="M8392" s="4"/>
      <c r="N8392" s="3" t="s">
        <v>37</v>
      </c>
      <c r="O8392" s="3" t="s">
        <v>237</v>
      </c>
      <c r="P8392" s="5">
        <v>13</v>
      </c>
      <c r="Q8392" s="5">
        <v>257</v>
      </c>
      <c r="R8392" s="5">
        <v>13</v>
      </c>
      <c r="S8392" s="5">
        <v>248</v>
      </c>
    </row>
    <row r="8393" spans="1:19" ht="56" x14ac:dyDescent="0.15">
      <c r="A8393" s="2">
        <f>HYPERLINK("https://open-school.uspishnemisto.com.ua/school/461104/", 461104)</f>
        <v>461104</v>
      </c>
      <c r="B8393" s="3" t="s">
        <v>43178</v>
      </c>
      <c r="C8393" s="3" t="s">
        <v>31</v>
      </c>
      <c r="D8393" s="3" t="s">
        <v>32</v>
      </c>
      <c r="E8393" s="4" t="s">
        <v>22</v>
      </c>
      <c r="F8393" s="4" t="s">
        <v>43173</v>
      </c>
      <c r="G8393" s="4" t="s">
        <v>43174</v>
      </c>
      <c r="H8393" s="3" t="s">
        <v>38194</v>
      </c>
      <c r="I8393" s="3" t="s">
        <v>43175</v>
      </c>
      <c r="J8393" s="3" t="s">
        <v>25678</v>
      </c>
      <c r="K8393" s="3" t="s">
        <v>43179</v>
      </c>
      <c r="L8393" s="3"/>
      <c r="M8393" s="4"/>
      <c r="N8393" s="3" t="s">
        <v>37</v>
      </c>
      <c r="O8393" s="3" t="s">
        <v>237</v>
      </c>
      <c r="P8393" s="5">
        <v>25</v>
      </c>
      <c r="Q8393" s="5">
        <v>586</v>
      </c>
      <c r="R8393" s="5">
        <v>23</v>
      </c>
      <c r="S8393" s="5">
        <v>534</v>
      </c>
    </row>
    <row r="8394" spans="1:19" ht="28" x14ac:dyDescent="0.15">
      <c r="A8394" s="2">
        <f>HYPERLINK("https://open-school.uspishnemisto.com.ua/school/461105/", 461105)</f>
        <v>461105</v>
      </c>
      <c r="B8394" s="3" t="s">
        <v>43180</v>
      </c>
      <c r="C8394" s="3" t="s">
        <v>31</v>
      </c>
      <c r="D8394" s="3" t="s">
        <v>32</v>
      </c>
      <c r="E8394" s="4" t="s">
        <v>22</v>
      </c>
      <c r="F8394" s="4" t="s">
        <v>43181</v>
      </c>
      <c r="G8394" s="4" t="s">
        <v>43182</v>
      </c>
      <c r="H8394" s="3" t="s">
        <v>38194</v>
      </c>
      <c r="I8394" s="3" t="s">
        <v>43183</v>
      </c>
      <c r="J8394" s="3" t="s">
        <v>43184</v>
      </c>
      <c r="K8394" s="3" t="s">
        <v>43185</v>
      </c>
      <c r="L8394" s="3"/>
      <c r="M8394" s="4"/>
      <c r="N8394" s="3" t="s">
        <v>37</v>
      </c>
      <c r="O8394" s="3" t="s">
        <v>46</v>
      </c>
      <c r="P8394" s="5">
        <v>20</v>
      </c>
      <c r="Q8394" s="5">
        <v>413</v>
      </c>
      <c r="R8394" s="5">
        <v>19</v>
      </c>
      <c r="S8394" s="5">
        <v>396</v>
      </c>
    </row>
    <row r="8395" spans="1:19" ht="42" x14ac:dyDescent="0.15">
      <c r="A8395" s="2">
        <f>HYPERLINK("https://open-school.uspishnemisto.com.ua/school/461106/", 461106)</f>
        <v>461106</v>
      </c>
      <c r="B8395" s="3" t="s">
        <v>43186</v>
      </c>
      <c r="C8395" s="3" t="s">
        <v>181</v>
      </c>
      <c r="D8395" s="3" t="s">
        <v>175</v>
      </c>
      <c r="E8395" s="4" t="s">
        <v>22</v>
      </c>
      <c r="F8395" s="4" t="s">
        <v>43181</v>
      </c>
      <c r="G8395" s="4" t="s">
        <v>43182</v>
      </c>
      <c r="H8395" s="3" t="s">
        <v>38194</v>
      </c>
      <c r="I8395" s="3" t="s">
        <v>43183</v>
      </c>
      <c r="J8395" s="3" t="s">
        <v>29689</v>
      </c>
      <c r="K8395" s="3" t="s">
        <v>43187</v>
      </c>
      <c r="L8395" s="3"/>
      <c r="M8395" s="4" t="s">
        <v>43188</v>
      </c>
      <c r="N8395" s="3" t="s">
        <v>37</v>
      </c>
      <c r="O8395" s="3" t="s">
        <v>52</v>
      </c>
      <c r="P8395" s="5">
        <v>9</v>
      </c>
      <c r="Q8395" s="5">
        <v>93</v>
      </c>
      <c r="R8395" s="5">
        <v>11</v>
      </c>
      <c r="S8395" s="5">
        <v>102</v>
      </c>
    </row>
    <row r="8396" spans="1:19" ht="42" x14ac:dyDescent="0.15">
      <c r="A8396" s="2">
        <f>HYPERLINK("https://open-school.uspishnemisto.com.ua/school/461107/", 461107)</f>
        <v>461107</v>
      </c>
      <c r="B8396" s="3" t="s">
        <v>43189</v>
      </c>
      <c r="C8396" s="3" t="s">
        <v>31</v>
      </c>
      <c r="D8396" s="3" t="s">
        <v>32</v>
      </c>
      <c r="E8396" s="4" t="s">
        <v>22</v>
      </c>
      <c r="F8396" s="4" t="s">
        <v>43190</v>
      </c>
      <c r="G8396" s="4" t="s">
        <v>43191</v>
      </c>
      <c r="H8396" s="3" t="s">
        <v>38194</v>
      </c>
      <c r="I8396" s="3" t="s">
        <v>43192</v>
      </c>
      <c r="J8396" s="3" t="s">
        <v>43193</v>
      </c>
      <c r="K8396" s="3" t="s">
        <v>43194</v>
      </c>
      <c r="L8396" s="3"/>
      <c r="M8396" s="4"/>
      <c r="N8396" s="3" t="s">
        <v>37</v>
      </c>
      <c r="O8396" s="3" t="s">
        <v>237</v>
      </c>
      <c r="P8396" s="5">
        <v>29</v>
      </c>
      <c r="Q8396" s="5">
        <v>512</v>
      </c>
      <c r="R8396" s="5">
        <v>22</v>
      </c>
      <c r="S8396" s="5">
        <v>438</v>
      </c>
    </row>
    <row r="8397" spans="1:19" ht="28" x14ac:dyDescent="0.15">
      <c r="A8397" s="2">
        <f>HYPERLINK("https://open-school.uspishnemisto.com.ua/school/461108/", 461108)</f>
        <v>461108</v>
      </c>
      <c r="B8397" s="3" t="s">
        <v>43195</v>
      </c>
      <c r="C8397" s="3" t="s">
        <v>293</v>
      </c>
      <c r="D8397" s="3" t="s">
        <v>32</v>
      </c>
      <c r="E8397" s="4" t="s">
        <v>22</v>
      </c>
      <c r="F8397" s="4" t="s">
        <v>43190</v>
      </c>
      <c r="G8397" s="4" t="s">
        <v>43191</v>
      </c>
      <c r="H8397" s="3" t="s">
        <v>38194</v>
      </c>
      <c r="I8397" s="3" t="s">
        <v>43192</v>
      </c>
      <c r="J8397" s="3" t="s">
        <v>43196</v>
      </c>
      <c r="K8397" s="3"/>
      <c r="L8397" s="3"/>
      <c r="M8397" s="4" t="s">
        <v>43197</v>
      </c>
      <c r="N8397" s="3" t="s">
        <v>37</v>
      </c>
      <c r="O8397" s="3" t="s">
        <v>2776</v>
      </c>
      <c r="P8397" s="5">
        <v>17</v>
      </c>
      <c r="Q8397" s="5">
        <v>330</v>
      </c>
      <c r="R8397" s="5">
        <v>17</v>
      </c>
      <c r="S8397" s="5">
        <v>332</v>
      </c>
    </row>
    <row r="8398" spans="1:19" ht="42" x14ac:dyDescent="0.15">
      <c r="A8398" s="2">
        <f>HYPERLINK("https://open-school.uspishnemisto.com.ua/school/461109/", 461109)</f>
        <v>461109</v>
      </c>
      <c r="B8398" s="3" t="s">
        <v>43198</v>
      </c>
      <c r="C8398" s="3" t="s">
        <v>31</v>
      </c>
      <c r="D8398" s="3" t="s">
        <v>32</v>
      </c>
      <c r="E8398" s="4" t="s">
        <v>22</v>
      </c>
      <c r="F8398" s="4" t="s">
        <v>43199</v>
      </c>
      <c r="G8398" s="4" t="s">
        <v>43200</v>
      </c>
      <c r="H8398" s="3" t="s">
        <v>38194</v>
      </c>
      <c r="I8398" s="3" t="s">
        <v>43201</v>
      </c>
      <c r="J8398" s="3" t="s">
        <v>43202</v>
      </c>
      <c r="K8398" s="3" t="s">
        <v>43203</v>
      </c>
      <c r="L8398" s="3"/>
      <c r="M8398" s="4"/>
      <c r="N8398" s="3" t="s">
        <v>37</v>
      </c>
      <c r="O8398" s="3" t="s">
        <v>52</v>
      </c>
      <c r="P8398" s="5">
        <v>12</v>
      </c>
      <c r="Q8398" s="5">
        <v>213</v>
      </c>
      <c r="R8398" s="5">
        <v>12</v>
      </c>
      <c r="S8398" s="5">
        <v>210</v>
      </c>
    </row>
    <row r="8399" spans="1:19" ht="42" x14ac:dyDescent="0.15">
      <c r="A8399" s="2">
        <f>HYPERLINK("https://open-school.uspishnemisto.com.ua/school/461110/", 461110)</f>
        <v>461110</v>
      </c>
      <c r="B8399" s="3" t="s">
        <v>43204</v>
      </c>
      <c r="C8399" s="3" t="s">
        <v>54</v>
      </c>
      <c r="D8399" s="3" t="s">
        <v>32</v>
      </c>
      <c r="E8399" s="4" t="s">
        <v>22</v>
      </c>
      <c r="F8399" s="4" t="s">
        <v>43205</v>
      </c>
      <c r="G8399" s="4" t="s">
        <v>43206</v>
      </c>
      <c r="H8399" s="3" t="s">
        <v>38194</v>
      </c>
      <c r="I8399" s="3" t="s">
        <v>43207</v>
      </c>
      <c r="J8399" s="3" t="s">
        <v>792</v>
      </c>
      <c r="K8399" s="3" t="s">
        <v>43208</v>
      </c>
      <c r="L8399" s="3"/>
      <c r="M8399" s="4"/>
      <c r="N8399" s="3" t="s">
        <v>37</v>
      </c>
      <c r="O8399" s="3" t="s">
        <v>46</v>
      </c>
      <c r="P8399" s="5">
        <v>11</v>
      </c>
      <c r="Q8399" s="5">
        <v>128</v>
      </c>
      <c r="R8399" s="5">
        <v>11</v>
      </c>
      <c r="S8399" s="5">
        <v>125</v>
      </c>
    </row>
    <row r="8400" spans="1:19" ht="28" x14ac:dyDescent="0.15">
      <c r="A8400" s="2">
        <f>HYPERLINK("https://open-school.uspishnemisto.com.ua/school/461111/", 461111)</f>
        <v>461111</v>
      </c>
      <c r="B8400" s="3" t="s">
        <v>43209</v>
      </c>
      <c r="C8400" s="3" t="s">
        <v>31</v>
      </c>
      <c r="D8400" s="3" t="s">
        <v>175</v>
      </c>
      <c r="E8400" s="4" t="s">
        <v>22</v>
      </c>
      <c r="F8400" s="4" t="s">
        <v>43205</v>
      </c>
      <c r="G8400" s="4" t="s">
        <v>43210</v>
      </c>
      <c r="H8400" s="3" t="s">
        <v>38194</v>
      </c>
      <c r="I8400" s="3" t="s">
        <v>43211</v>
      </c>
      <c r="J8400" s="3"/>
      <c r="K8400" s="3"/>
      <c r="L8400" s="3"/>
      <c r="M8400" s="4"/>
      <c r="N8400" s="3" t="s">
        <v>37</v>
      </c>
      <c r="O8400" s="3" t="s">
        <v>52</v>
      </c>
      <c r="P8400" s="5">
        <v>9</v>
      </c>
      <c r="Q8400" s="5">
        <v>69</v>
      </c>
      <c r="R8400" s="5">
        <v>9</v>
      </c>
      <c r="S8400" s="5">
        <v>66</v>
      </c>
    </row>
    <row r="8401" spans="1:19" ht="28" x14ac:dyDescent="0.15">
      <c r="A8401" s="2">
        <f>HYPERLINK("https://open-school.uspishnemisto.com.ua/school/461112/", 461112)</f>
        <v>461112</v>
      </c>
      <c r="B8401" s="3" t="s">
        <v>43212</v>
      </c>
      <c r="C8401" s="3" t="s">
        <v>31</v>
      </c>
      <c r="D8401" s="3" t="s">
        <v>60</v>
      </c>
      <c r="E8401" s="4" t="s">
        <v>22</v>
      </c>
      <c r="F8401" s="4" t="s">
        <v>43213</v>
      </c>
      <c r="G8401" s="4" t="s">
        <v>43214</v>
      </c>
      <c r="H8401" s="3" t="s">
        <v>38194</v>
      </c>
      <c r="I8401" s="3" t="s">
        <v>7262</v>
      </c>
      <c r="J8401" s="3" t="s">
        <v>43215</v>
      </c>
      <c r="K8401" s="3"/>
      <c r="L8401" s="3"/>
      <c r="M8401" s="4"/>
      <c r="N8401" s="3" t="s">
        <v>37</v>
      </c>
      <c r="O8401" s="3" t="s">
        <v>52</v>
      </c>
      <c r="P8401" s="5">
        <v>1</v>
      </c>
      <c r="Q8401" s="5">
        <v>15</v>
      </c>
      <c r="R8401" s="5">
        <v>1</v>
      </c>
      <c r="S8401" s="5">
        <v>15</v>
      </c>
    </row>
    <row r="8402" spans="1:19" ht="28" x14ac:dyDescent="0.15">
      <c r="A8402" s="2">
        <f>HYPERLINK("https://open-school.uspishnemisto.com.ua/school/461113/", 461113)</f>
        <v>461113</v>
      </c>
      <c r="B8402" s="3" t="s">
        <v>43216</v>
      </c>
      <c r="C8402" s="3" t="s">
        <v>31</v>
      </c>
      <c r="D8402" s="3" t="s">
        <v>175</v>
      </c>
      <c r="E8402" s="4" t="s">
        <v>22</v>
      </c>
      <c r="F8402" s="4" t="s">
        <v>43217</v>
      </c>
      <c r="G8402" s="4" t="s">
        <v>43214</v>
      </c>
      <c r="H8402" s="3" t="s">
        <v>38194</v>
      </c>
      <c r="I8402" s="3" t="s">
        <v>7262</v>
      </c>
      <c r="J8402" s="3"/>
      <c r="K8402" s="3" t="s">
        <v>43218</v>
      </c>
      <c r="L8402" s="3"/>
      <c r="M8402" s="4"/>
      <c r="N8402" s="3" t="s">
        <v>37</v>
      </c>
      <c r="O8402" s="3" t="s">
        <v>52</v>
      </c>
      <c r="P8402" s="5">
        <v>9</v>
      </c>
      <c r="Q8402" s="5">
        <v>85</v>
      </c>
      <c r="R8402" s="5">
        <v>9</v>
      </c>
      <c r="S8402" s="5">
        <v>84</v>
      </c>
    </row>
    <row r="8403" spans="1:19" ht="42" x14ac:dyDescent="0.15">
      <c r="A8403" s="2">
        <f>HYPERLINK("https://open-school.uspishnemisto.com.ua/school/461114/", 461114)</f>
        <v>461114</v>
      </c>
      <c r="B8403" s="3" t="s">
        <v>43219</v>
      </c>
      <c r="C8403" s="3" t="s">
        <v>31</v>
      </c>
      <c r="D8403" s="3" t="s">
        <v>175</v>
      </c>
      <c r="E8403" s="4" t="s">
        <v>22</v>
      </c>
      <c r="F8403" s="4" t="s">
        <v>43220</v>
      </c>
      <c r="G8403" s="4" t="s">
        <v>43221</v>
      </c>
      <c r="H8403" s="3" t="s">
        <v>38194</v>
      </c>
      <c r="I8403" s="3" t="s">
        <v>43222</v>
      </c>
      <c r="J8403" s="3" t="s">
        <v>566</v>
      </c>
      <c r="K8403" s="3" t="s">
        <v>43223</v>
      </c>
      <c r="L8403" s="3"/>
      <c r="M8403" s="4"/>
      <c r="N8403" s="3" t="s">
        <v>37</v>
      </c>
      <c r="O8403" s="3" t="s">
        <v>46</v>
      </c>
      <c r="P8403" s="5">
        <v>7</v>
      </c>
      <c r="Q8403" s="5">
        <v>55</v>
      </c>
      <c r="R8403" s="5">
        <v>6</v>
      </c>
      <c r="S8403" s="5">
        <v>48</v>
      </c>
    </row>
    <row r="8404" spans="1:19" ht="42" x14ac:dyDescent="0.15">
      <c r="A8404" s="2">
        <f>HYPERLINK("https://open-school.uspishnemisto.com.ua/school/461115/", 461115)</f>
        <v>461115</v>
      </c>
      <c r="B8404" s="3" t="s">
        <v>43224</v>
      </c>
      <c r="C8404" s="3" t="s">
        <v>31</v>
      </c>
      <c r="D8404" s="3" t="s">
        <v>60</v>
      </c>
      <c r="E8404" s="4" t="s">
        <v>22</v>
      </c>
      <c r="F8404" s="4" t="s">
        <v>43220</v>
      </c>
      <c r="G8404" s="4" t="s">
        <v>43225</v>
      </c>
      <c r="H8404" s="3" t="s">
        <v>38194</v>
      </c>
      <c r="I8404" s="3" t="s">
        <v>43226</v>
      </c>
      <c r="J8404" s="3" t="s">
        <v>43227</v>
      </c>
      <c r="K8404" s="3"/>
      <c r="L8404" s="3"/>
      <c r="M8404" s="4"/>
      <c r="N8404" s="3" t="s">
        <v>37</v>
      </c>
      <c r="O8404" s="3" t="s">
        <v>52</v>
      </c>
      <c r="P8404" s="5">
        <v>1</v>
      </c>
      <c r="Q8404" s="5">
        <v>10</v>
      </c>
      <c r="R8404" s="5">
        <v>3</v>
      </c>
      <c r="S8404" s="5">
        <v>26</v>
      </c>
    </row>
    <row r="8405" spans="1:19" ht="28" x14ac:dyDescent="0.15">
      <c r="A8405" s="2">
        <f>HYPERLINK("https://open-school.uspishnemisto.com.ua/school/461116/", 461116)</f>
        <v>461116</v>
      </c>
      <c r="B8405" s="3" t="s">
        <v>43228</v>
      </c>
      <c r="C8405" s="3" t="s">
        <v>31</v>
      </c>
      <c r="D8405" s="3" t="s">
        <v>175</v>
      </c>
      <c r="E8405" s="4" t="s">
        <v>22</v>
      </c>
      <c r="F8405" s="4" t="s">
        <v>43199</v>
      </c>
      <c r="G8405" s="4" t="s">
        <v>43229</v>
      </c>
      <c r="H8405" s="3" t="s">
        <v>38194</v>
      </c>
      <c r="I8405" s="3" t="s">
        <v>43230</v>
      </c>
      <c r="J8405" s="3"/>
      <c r="K8405" s="3"/>
      <c r="L8405" s="3"/>
      <c r="M8405" s="4"/>
      <c r="N8405" s="3" t="s">
        <v>37</v>
      </c>
      <c r="O8405" s="3" t="s">
        <v>46</v>
      </c>
      <c r="P8405" s="5">
        <v>2</v>
      </c>
      <c r="Q8405" s="5">
        <v>25</v>
      </c>
      <c r="R8405" s="5">
        <v>1</v>
      </c>
      <c r="S8405" s="5">
        <v>26</v>
      </c>
    </row>
    <row r="8406" spans="1:19" ht="56" x14ac:dyDescent="0.15">
      <c r="A8406" s="2">
        <f>HYPERLINK("https://open-school.uspishnemisto.com.ua/school/461117/", 461117)</f>
        <v>461117</v>
      </c>
      <c r="B8406" s="3" t="s">
        <v>43231</v>
      </c>
      <c r="C8406" s="3" t="s">
        <v>54</v>
      </c>
      <c r="D8406" s="3" t="s">
        <v>32</v>
      </c>
      <c r="E8406" s="4" t="s">
        <v>22</v>
      </c>
      <c r="F8406" s="4" t="s">
        <v>43232</v>
      </c>
      <c r="G8406" s="4" t="s">
        <v>43233</v>
      </c>
      <c r="H8406" s="3" t="s">
        <v>38194</v>
      </c>
      <c r="I8406" s="3" t="s">
        <v>43234</v>
      </c>
      <c r="J8406" s="3" t="s">
        <v>6181</v>
      </c>
      <c r="K8406" s="3"/>
      <c r="L8406" s="3"/>
      <c r="M8406" s="4"/>
      <c r="N8406" s="3" t="s">
        <v>37</v>
      </c>
      <c r="O8406" s="3" t="s">
        <v>46</v>
      </c>
      <c r="P8406" s="5">
        <v>11</v>
      </c>
      <c r="Q8406" s="5">
        <v>170</v>
      </c>
      <c r="R8406" s="5">
        <v>11</v>
      </c>
      <c r="S8406" s="5">
        <v>180</v>
      </c>
    </row>
    <row r="8407" spans="1:19" ht="28" x14ac:dyDescent="0.15">
      <c r="A8407" s="2">
        <f>HYPERLINK("https://open-school.uspishnemisto.com.ua/school/461118/", 461118)</f>
        <v>461118</v>
      </c>
      <c r="B8407" s="3" t="s">
        <v>43235</v>
      </c>
      <c r="C8407" s="3" t="s">
        <v>31</v>
      </c>
      <c r="D8407" s="3" t="s">
        <v>60</v>
      </c>
      <c r="E8407" s="4" t="s">
        <v>22</v>
      </c>
      <c r="F8407" s="4" t="s">
        <v>43232</v>
      </c>
      <c r="G8407" s="4" t="s">
        <v>43236</v>
      </c>
      <c r="H8407" s="3" t="s">
        <v>38194</v>
      </c>
      <c r="I8407" s="3" t="s">
        <v>6859</v>
      </c>
      <c r="J8407" s="3" t="s">
        <v>43237</v>
      </c>
      <c r="K8407" s="3" t="s">
        <v>43238</v>
      </c>
      <c r="L8407" s="3"/>
      <c r="M8407" s="4"/>
      <c r="N8407" s="3" t="s">
        <v>37</v>
      </c>
      <c r="O8407" s="3" t="s">
        <v>52</v>
      </c>
      <c r="P8407" s="5">
        <v>0</v>
      </c>
      <c r="Q8407" s="5">
        <v>10</v>
      </c>
      <c r="R8407" s="5">
        <v>1</v>
      </c>
      <c r="S8407" s="5">
        <v>13</v>
      </c>
    </row>
    <row r="8408" spans="1:19" ht="28" x14ac:dyDescent="0.15">
      <c r="A8408" s="2">
        <f>HYPERLINK("https://open-school.uspishnemisto.com.ua/school/461119/", 461119)</f>
        <v>461119</v>
      </c>
      <c r="B8408" s="3" t="s">
        <v>43239</v>
      </c>
      <c r="C8408" s="3" t="s">
        <v>31</v>
      </c>
      <c r="D8408" s="3" t="s">
        <v>175</v>
      </c>
      <c r="E8408" s="4" t="s">
        <v>22</v>
      </c>
      <c r="F8408" s="4" t="s">
        <v>43240</v>
      </c>
      <c r="G8408" s="4" t="s">
        <v>43241</v>
      </c>
      <c r="H8408" s="3" t="s">
        <v>38194</v>
      </c>
      <c r="I8408" s="3" t="s">
        <v>43242</v>
      </c>
      <c r="J8408" s="3"/>
      <c r="K8408" s="3" t="s">
        <v>43243</v>
      </c>
      <c r="L8408" s="3"/>
      <c r="M8408" s="4"/>
      <c r="N8408" s="3" t="s">
        <v>37</v>
      </c>
      <c r="O8408" s="3" t="s">
        <v>52</v>
      </c>
      <c r="P8408" s="5">
        <v>9</v>
      </c>
      <c r="Q8408" s="5">
        <v>70</v>
      </c>
      <c r="R8408" s="5">
        <v>9</v>
      </c>
      <c r="S8408" s="5">
        <v>72</v>
      </c>
    </row>
    <row r="8409" spans="1:19" ht="28" x14ac:dyDescent="0.15">
      <c r="A8409" s="2">
        <f>HYPERLINK("https://open-school.uspishnemisto.com.ua/school/461120/", 461120)</f>
        <v>461120</v>
      </c>
      <c r="B8409" s="3" t="s">
        <v>43244</v>
      </c>
      <c r="C8409" s="3" t="s">
        <v>31</v>
      </c>
      <c r="D8409" s="3" t="s">
        <v>175</v>
      </c>
      <c r="E8409" s="4" t="s">
        <v>22</v>
      </c>
      <c r="F8409" s="4" t="s">
        <v>43245</v>
      </c>
      <c r="G8409" s="4" t="s">
        <v>43246</v>
      </c>
      <c r="H8409" s="3" t="s">
        <v>38194</v>
      </c>
      <c r="I8409" s="3" t="s">
        <v>43247</v>
      </c>
      <c r="J8409" s="3" t="s">
        <v>952</v>
      </c>
      <c r="K8409" s="3" t="s">
        <v>43248</v>
      </c>
      <c r="L8409" s="3"/>
      <c r="M8409" s="4"/>
      <c r="N8409" s="3" t="s">
        <v>37</v>
      </c>
      <c r="O8409" s="3" t="s">
        <v>139</v>
      </c>
      <c r="P8409" s="5">
        <v>9</v>
      </c>
      <c r="Q8409" s="5">
        <v>75</v>
      </c>
      <c r="R8409" s="5">
        <v>9</v>
      </c>
      <c r="S8409" s="5">
        <v>77</v>
      </c>
    </row>
    <row r="8410" spans="1:19" ht="28" x14ac:dyDescent="0.15">
      <c r="A8410" s="2">
        <f>HYPERLINK("https://open-school.uspishnemisto.com.ua/school/461122/", 461122)</f>
        <v>461122</v>
      </c>
      <c r="B8410" s="3" t="s">
        <v>43249</v>
      </c>
      <c r="C8410" s="3" t="s">
        <v>31</v>
      </c>
      <c r="D8410" s="3" t="s">
        <v>175</v>
      </c>
      <c r="E8410" s="4" t="s">
        <v>22</v>
      </c>
      <c r="F8410" s="4" t="s">
        <v>43250</v>
      </c>
      <c r="G8410" s="4" t="s">
        <v>43251</v>
      </c>
      <c r="H8410" s="3" t="s">
        <v>38194</v>
      </c>
      <c r="I8410" s="3" t="s">
        <v>43252</v>
      </c>
      <c r="J8410" s="3" t="s">
        <v>43253</v>
      </c>
      <c r="K8410" s="3"/>
      <c r="L8410" s="3"/>
      <c r="M8410" s="4"/>
      <c r="N8410" s="3" t="s">
        <v>37</v>
      </c>
      <c r="O8410" s="3" t="s">
        <v>46</v>
      </c>
      <c r="P8410" s="5">
        <v>9</v>
      </c>
      <c r="Q8410" s="5">
        <v>91</v>
      </c>
      <c r="R8410" s="5">
        <v>9</v>
      </c>
      <c r="S8410" s="5">
        <v>95</v>
      </c>
    </row>
    <row r="8411" spans="1:19" ht="28" x14ac:dyDescent="0.15">
      <c r="A8411" s="2">
        <f>HYPERLINK("https://open-school.uspishnemisto.com.ua/school/461123/", 461123)</f>
        <v>461123</v>
      </c>
      <c r="B8411" s="3" t="s">
        <v>43254</v>
      </c>
      <c r="C8411" s="3" t="s">
        <v>31</v>
      </c>
      <c r="D8411" s="3" t="s">
        <v>175</v>
      </c>
      <c r="E8411" s="4" t="s">
        <v>22</v>
      </c>
      <c r="F8411" s="4" t="s">
        <v>43255</v>
      </c>
      <c r="G8411" s="4" t="s">
        <v>43256</v>
      </c>
      <c r="H8411" s="3" t="s">
        <v>38194</v>
      </c>
      <c r="I8411" s="3" t="s">
        <v>43257</v>
      </c>
      <c r="J8411" s="3" t="s">
        <v>43258</v>
      </c>
      <c r="K8411" s="3" t="s">
        <v>43259</v>
      </c>
      <c r="L8411" s="3"/>
      <c r="M8411" s="4"/>
      <c r="N8411" s="3" t="s">
        <v>37</v>
      </c>
      <c r="O8411" s="3" t="s">
        <v>46</v>
      </c>
      <c r="P8411" s="5">
        <v>6</v>
      </c>
      <c r="Q8411" s="5">
        <v>55</v>
      </c>
      <c r="R8411" s="5">
        <v>7</v>
      </c>
      <c r="S8411" s="5">
        <v>59</v>
      </c>
    </row>
    <row r="8412" spans="1:19" ht="28" x14ac:dyDescent="0.15">
      <c r="A8412" s="2">
        <f>HYPERLINK("https://open-school.uspishnemisto.com.ua/school/461124/", 461124)</f>
        <v>461124</v>
      </c>
      <c r="B8412" s="3" t="s">
        <v>43260</v>
      </c>
      <c r="C8412" s="3" t="s">
        <v>31</v>
      </c>
      <c r="D8412" s="3" t="s">
        <v>60</v>
      </c>
      <c r="E8412" s="4" t="s">
        <v>22</v>
      </c>
      <c r="F8412" s="4" t="s">
        <v>43261</v>
      </c>
      <c r="G8412" s="4" t="s">
        <v>43262</v>
      </c>
      <c r="H8412" s="3" t="s">
        <v>38194</v>
      </c>
      <c r="I8412" s="3" t="s">
        <v>43263</v>
      </c>
      <c r="J8412" s="3" t="s">
        <v>43264</v>
      </c>
      <c r="K8412" s="3" t="s">
        <v>43265</v>
      </c>
      <c r="L8412" s="3"/>
      <c r="M8412" s="4"/>
      <c r="N8412" s="3" t="s">
        <v>37</v>
      </c>
      <c r="O8412" s="3" t="s">
        <v>52</v>
      </c>
      <c r="P8412" s="5">
        <v>0</v>
      </c>
      <c r="Q8412" s="5">
        <v>7</v>
      </c>
      <c r="R8412" s="5">
        <v>0</v>
      </c>
      <c r="S8412" s="5">
        <v>18</v>
      </c>
    </row>
    <row r="8413" spans="1:19" ht="28" x14ac:dyDescent="0.15">
      <c r="A8413" s="2">
        <f>HYPERLINK("https://open-school.uspishnemisto.com.ua/school/461125/", 461125)</f>
        <v>461125</v>
      </c>
      <c r="B8413" s="3" t="s">
        <v>43266</v>
      </c>
      <c r="C8413" s="3" t="s">
        <v>31</v>
      </c>
      <c r="D8413" s="3" t="s">
        <v>60</v>
      </c>
      <c r="E8413" s="4" t="s">
        <v>22</v>
      </c>
      <c r="F8413" s="4" t="s">
        <v>43261</v>
      </c>
      <c r="G8413" s="4" t="s">
        <v>43267</v>
      </c>
      <c r="H8413" s="3" t="s">
        <v>38194</v>
      </c>
      <c r="I8413" s="3" t="s">
        <v>43268</v>
      </c>
      <c r="J8413" s="3" t="s">
        <v>726</v>
      </c>
      <c r="K8413" s="3" t="s">
        <v>43269</v>
      </c>
      <c r="L8413" s="3"/>
      <c r="M8413" s="4"/>
      <c r="N8413" s="3" t="s">
        <v>37</v>
      </c>
      <c r="O8413" s="3" t="s">
        <v>52</v>
      </c>
      <c r="P8413" s="5">
        <v>0</v>
      </c>
      <c r="Q8413" s="5">
        <v>5</v>
      </c>
      <c r="R8413" s="5">
        <v>0</v>
      </c>
      <c r="S8413" s="5">
        <v>5</v>
      </c>
    </row>
    <row r="8414" spans="1:19" ht="28" x14ac:dyDescent="0.15">
      <c r="A8414" s="2">
        <f>HYPERLINK("https://open-school.uspishnemisto.com.ua/school/461126/", 461126)</f>
        <v>461126</v>
      </c>
      <c r="B8414" s="3" t="s">
        <v>43270</v>
      </c>
      <c r="C8414" s="3" t="s">
        <v>31</v>
      </c>
      <c r="D8414" s="3" t="s">
        <v>175</v>
      </c>
      <c r="E8414" s="4" t="s">
        <v>22</v>
      </c>
      <c r="F8414" s="4" t="s">
        <v>43271</v>
      </c>
      <c r="G8414" s="4" t="s">
        <v>43272</v>
      </c>
      <c r="H8414" s="3" t="s">
        <v>38194</v>
      </c>
      <c r="I8414" s="3" t="s">
        <v>43273</v>
      </c>
      <c r="J8414" s="3" t="s">
        <v>1792</v>
      </c>
      <c r="K8414" s="3" t="s">
        <v>43274</v>
      </c>
      <c r="L8414" s="3"/>
      <c r="M8414" s="4"/>
      <c r="N8414" s="3" t="s">
        <v>37</v>
      </c>
      <c r="O8414" s="3" t="s">
        <v>46</v>
      </c>
      <c r="P8414" s="5">
        <v>8</v>
      </c>
      <c r="Q8414" s="5">
        <v>57</v>
      </c>
      <c r="R8414" s="5">
        <v>8</v>
      </c>
      <c r="S8414" s="5">
        <v>56</v>
      </c>
    </row>
    <row r="8415" spans="1:19" ht="28" x14ac:dyDescent="0.15">
      <c r="A8415" s="2">
        <f>HYPERLINK("https://open-school.uspishnemisto.com.ua/school/461127/", 461127)</f>
        <v>461127</v>
      </c>
      <c r="B8415" s="3" t="s">
        <v>43275</v>
      </c>
      <c r="C8415" s="3" t="s">
        <v>31</v>
      </c>
      <c r="D8415" s="3" t="s">
        <v>32</v>
      </c>
      <c r="E8415" s="4" t="s">
        <v>22</v>
      </c>
      <c r="F8415" s="4" t="s">
        <v>43276</v>
      </c>
      <c r="G8415" s="4" t="s">
        <v>43277</v>
      </c>
      <c r="H8415" s="3" t="s">
        <v>38194</v>
      </c>
      <c r="I8415" s="3" t="s">
        <v>42632</v>
      </c>
      <c r="J8415" s="3" t="s">
        <v>43278</v>
      </c>
      <c r="K8415" s="3"/>
      <c r="L8415" s="3"/>
      <c r="M8415" s="4"/>
      <c r="N8415" s="3" t="s">
        <v>37</v>
      </c>
      <c r="O8415" s="3" t="s">
        <v>46</v>
      </c>
      <c r="P8415" s="5">
        <v>11</v>
      </c>
      <c r="Q8415" s="5">
        <v>169</v>
      </c>
      <c r="R8415" s="5">
        <v>11</v>
      </c>
      <c r="S8415" s="5">
        <v>178</v>
      </c>
    </row>
    <row r="8416" spans="1:19" ht="28" x14ac:dyDescent="0.15">
      <c r="A8416" s="2">
        <f>HYPERLINK("https://open-school.uspishnemisto.com.ua/school/461128/", 461128)</f>
        <v>461128</v>
      </c>
      <c r="B8416" s="3" t="s">
        <v>43279</v>
      </c>
      <c r="C8416" s="3" t="s">
        <v>31</v>
      </c>
      <c r="D8416" s="3" t="s">
        <v>60</v>
      </c>
      <c r="E8416" s="4" t="s">
        <v>22</v>
      </c>
      <c r="F8416" s="4" t="s">
        <v>43280</v>
      </c>
      <c r="G8416" s="4" t="s">
        <v>43281</v>
      </c>
      <c r="H8416" s="3" t="s">
        <v>38194</v>
      </c>
      <c r="I8416" s="3" t="s">
        <v>43282</v>
      </c>
      <c r="J8416" s="3" t="s">
        <v>43283</v>
      </c>
      <c r="K8416" s="3" t="s">
        <v>43284</v>
      </c>
      <c r="L8416" s="3"/>
      <c r="M8416" s="4"/>
      <c r="N8416" s="3" t="s">
        <v>37</v>
      </c>
      <c r="O8416" s="3" t="s">
        <v>52</v>
      </c>
      <c r="P8416" s="5">
        <v>1</v>
      </c>
      <c r="Q8416" s="5">
        <v>10</v>
      </c>
      <c r="R8416" s="5">
        <v>2</v>
      </c>
      <c r="S8416" s="5">
        <v>14</v>
      </c>
    </row>
    <row r="8417" spans="1:19" ht="28" x14ac:dyDescent="0.15">
      <c r="A8417" s="2">
        <f>HYPERLINK("https://open-school.uspishnemisto.com.ua/school/461129/", 461129)</f>
        <v>461129</v>
      </c>
      <c r="B8417" s="3" t="s">
        <v>43285</v>
      </c>
      <c r="C8417" s="3" t="s">
        <v>31</v>
      </c>
      <c r="D8417" s="3" t="s">
        <v>60</v>
      </c>
      <c r="E8417" s="4" t="s">
        <v>22</v>
      </c>
      <c r="F8417" s="4"/>
      <c r="G8417" s="4" t="s">
        <v>43286</v>
      </c>
      <c r="H8417" s="3" t="s">
        <v>38194</v>
      </c>
      <c r="I8417" s="3" t="s">
        <v>43287</v>
      </c>
      <c r="J8417" s="3" t="s">
        <v>1417</v>
      </c>
      <c r="K8417" s="3" t="s">
        <v>43288</v>
      </c>
      <c r="L8417" s="3"/>
      <c r="M8417" s="4"/>
      <c r="N8417" s="3" t="s">
        <v>37</v>
      </c>
      <c r="O8417" s="3" t="s">
        <v>52</v>
      </c>
      <c r="P8417" s="5">
        <v>3</v>
      </c>
      <c r="Q8417" s="5">
        <v>23</v>
      </c>
      <c r="R8417" s="5">
        <v>3</v>
      </c>
      <c r="S8417" s="5">
        <v>23</v>
      </c>
    </row>
    <row r="8418" spans="1:19" ht="28" x14ac:dyDescent="0.15">
      <c r="A8418" s="2">
        <f>HYPERLINK("https://open-school.uspishnemisto.com.ua/school/461130/", 461130)</f>
        <v>461130</v>
      </c>
      <c r="B8418" s="3" t="s">
        <v>43289</v>
      </c>
      <c r="C8418" s="3" t="s">
        <v>31</v>
      </c>
      <c r="D8418" s="3" t="s">
        <v>175</v>
      </c>
      <c r="E8418" s="4" t="s">
        <v>22</v>
      </c>
      <c r="F8418" s="4" t="s">
        <v>43290</v>
      </c>
      <c r="G8418" s="4" t="s">
        <v>43291</v>
      </c>
      <c r="H8418" s="3" t="s">
        <v>38194</v>
      </c>
      <c r="I8418" s="3" t="s">
        <v>43292</v>
      </c>
      <c r="J8418" s="3" t="s">
        <v>1192</v>
      </c>
      <c r="K8418" s="3"/>
      <c r="L8418" s="3"/>
      <c r="M8418" s="4"/>
      <c r="N8418" s="3" t="s">
        <v>37</v>
      </c>
      <c r="O8418" s="3" t="s">
        <v>46</v>
      </c>
      <c r="P8418" s="5">
        <v>6</v>
      </c>
      <c r="Q8418" s="5">
        <v>40</v>
      </c>
      <c r="R8418" s="5">
        <v>5</v>
      </c>
      <c r="S8418" s="5">
        <v>33</v>
      </c>
    </row>
    <row r="8419" spans="1:19" ht="42" x14ac:dyDescent="0.15">
      <c r="A8419" s="2">
        <f>HYPERLINK("https://open-school.uspishnemisto.com.ua/school/461131/", 461131)</f>
        <v>461131</v>
      </c>
      <c r="B8419" s="3" t="s">
        <v>43293</v>
      </c>
      <c r="C8419" s="3" t="s">
        <v>31</v>
      </c>
      <c r="D8419" s="3" t="s">
        <v>175</v>
      </c>
      <c r="E8419" s="4" t="s">
        <v>22</v>
      </c>
      <c r="F8419" s="4" t="s">
        <v>43294</v>
      </c>
      <c r="G8419" s="4" t="s">
        <v>43295</v>
      </c>
      <c r="H8419" s="3" t="s">
        <v>38194</v>
      </c>
      <c r="I8419" s="3" t="s">
        <v>43296</v>
      </c>
      <c r="J8419" s="3" t="s">
        <v>1417</v>
      </c>
      <c r="K8419" s="3"/>
      <c r="L8419" s="3"/>
      <c r="M8419" s="4"/>
      <c r="N8419" s="3" t="s">
        <v>37</v>
      </c>
      <c r="O8419" s="3" t="s">
        <v>52</v>
      </c>
      <c r="P8419" s="5">
        <v>5</v>
      </c>
      <c r="Q8419" s="5">
        <v>42</v>
      </c>
      <c r="R8419" s="5">
        <v>6</v>
      </c>
      <c r="S8419" s="5">
        <v>47</v>
      </c>
    </row>
    <row r="8420" spans="1:19" ht="42" x14ac:dyDescent="0.15">
      <c r="A8420" s="2">
        <f>HYPERLINK("https://open-school.uspishnemisto.com.ua/school/461132/", 461132)</f>
        <v>461132</v>
      </c>
      <c r="B8420" s="3" t="s">
        <v>43297</v>
      </c>
      <c r="C8420" s="3" t="s">
        <v>31</v>
      </c>
      <c r="D8420" s="3" t="s">
        <v>175</v>
      </c>
      <c r="E8420" s="4" t="s">
        <v>22</v>
      </c>
      <c r="F8420" s="4" t="s">
        <v>43298</v>
      </c>
      <c r="G8420" s="4" t="s">
        <v>43299</v>
      </c>
      <c r="H8420" s="3" t="s">
        <v>38194</v>
      </c>
      <c r="I8420" s="3" t="s">
        <v>43300</v>
      </c>
      <c r="J8420" s="3" t="s">
        <v>43301</v>
      </c>
      <c r="K8420" s="3" t="s">
        <v>43302</v>
      </c>
      <c r="L8420" s="3"/>
      <c r="M8420" s="4"/>
      <c r="N8420" s="3" t="s">
        <v>37</v>
      </c>
      <c r="O8420" s="3" t="s">
        <v>52</v>
      </c>
      <c r="P8420" s="5">
        <v>4</v>
      </c>
      <c r="Q8420" s="5">
        <v>36</v>
      </c>
      <c r="R8420" s="5">
        <v>5</v>
      </c>
      <c r="S8420" s="5">
        <v>40</v>
      </c>
    </row>
    <row r="8421" spans="1:19" ht="28" x14ac:dyDescent="0.15">
      <c r="A8421" s="2">
        <f>HYPERLINK("https://open-school.uspishnemisto.com.ua/school/461133/", 461133)</f>
        <v>461133</v>
      </c>
      <c r="B8421" s="3" t="s">
        <v>43303</v>
      </c>
      <c r="C8421" s="3" t="s">
        <v>31</v>
      </c>
      <c r="D8421" s="3" t="s">
        <v>60</v>
      </c>
      <c r="E8421" s="4" t="s">
        <v>22</v>
      </c>
      <c r="F8421" s="4" t="s">
        <v>43304</v>
      </c>
      <c r="G8421" s="4" t="s">
        <v>43305</v>
      </c>
      <c r="H8421" s="3" t="s">
        <v>38194</v>
      </c>
      <c r="I8421" s="3" t="s">
        <v>39592</v>
      </c>
      <c r="J8421" s="3" t="s">
        <v>43306</v>
      </c>
      <c r="K8421" s="3"/>
      <c r="L8421" s="3"/>
      <c r="M8421" s="4"/>
      <c r="N8421" s="3" t="s">
        <v>37</v>
      </c>
      <c r="O8421" s="3" t="s">
        <v>52</v>
      </c>
      <c r="P8421" s="5">
        <v>3</v>
      </c>
      <c r="Q8421" s="5">
        <v>21</v>
      </c>
      <c r="R8421" s="5">
        <v>2</v>
      </c>
      <c r="S8421" s="5">
        <v>16</v>
      </c>
    </row>
    <row r="8422" spans="1:19" ht="28" x14ac:dyDescent="0.15">
      <c r="A8422" s="2">
        <f>HYPERLINK("https://open-school.uspishnemisto.com.ua/school/461134/", 461134)</f>
        <v>461134</v>
      </c>
      <c r="B8422" s="3" t="s">
        <v>43307</v>
      </c>
      <c r="C8422" s="3" t="s">
        <v>31</v>
      </c>
      <c r="D8422" s="3" t="s">
        <v>175</v>
      </c>
      <c r="E8422" s="4" t="s">
        <v>22</v>
      </c>
      <c r="F8422" s="4" t="s">
        <v>43308</v>
      </c>
      <c r="G8422" s="4" t="s">
        <v>43309</v>
      </c>
      <c r="H8422" s="3" t="s">
        <v>38194</v>
      </c>
      <c r="I8422" s="3" t="s">
        <v>43310</v>
      </c>
      <c r="J8422" s="3" t="s">
        <v>43311</v>
      </c>
      <c r="K8422" s="3" t="s">
        <v>43312</v>
      </c>
      <c r="L8422" s="3"/>
      <c r="M8422" s="4"/>
      <c r="N8422" s="3" t="s">
        <v>37</v>
      </c>
      <c r="O8422" s="3" t="s">
        <v>123</v>
      </c>
      <c r="P8422" s="5">
        <v>6</v>
      </c>
      <c r="Q8422" s="5">
        <v>45</v>
      </c>
      <c r="R8422" s="5">
        <v>5</v>
      </c>
      <c r="S8422" s="5">
        <v>40</v>
      </c>
    </row>
    <row r="8423" spans="1:19" ht="28" x14ac:dyDescent="0.15">
      <c r="A8423" s="2">
        <f>HYPERLINK("https://open-school.uspishnemisto.com.ua/school/461135/", 461135)</f>
        <v>461135</v>
      </c>
      <c r="B8423" s="3" t="s">
        <v>43313</v>
      </c>
      <c r="C8423" s="3" t="s">
        <v>31</v>
      </c>
      <c r="D8423" s="3" t="s">
        <v>175</v>
      </c>
      <c r="E8423" s="4" t="s">
        <v>22</v>
      </c>
      <c r="F8423" s="4" t="s">
        <v>43314</v>
      </c>
      <c r="G8423" s="4" t="s">
        <v>43315</v>
      </c>
      <c r="H8423" s="3" t="s">
        <v>38194</v>
      </c>
      <c r="I8423" s="3" t="s">
        <v>43316</v>
      </c>
      <c r="J8423" s="3" t="s">
        <v>43317</v>
      </c>
      <c r="K8423" s="3" t="s">
        <v>43318</v>
      </c>
      <c r="L8423" s="3"/>
      <c r="M8423" s="4"/>
      <c r="N8423" s="3" t="s">
        <v>37</v>
      </c>
      <c r="O8423" s="3" t="s">
        <v>46</v>
      </c>
      <c r="P8423" s="5">
        <v>3</v>
      </c>
      <c r="Q8423" s="5">
        <v>28</v>
      </c>
      <c r="R8423" s="5">
        <v>2</v>
      </c>
      <c r="S8423" s="5">
        <v>29</v>
      </c>
    </row>
    <row r="8424" spans="1:19" ht="42" x14ac:dyDescent="0.15">
      <c r="A8424" s="2">
        <f>HYPERLINK("https://open-school.uspishnemisto.com.ua/school/461136/", 461136)</f>
        <v>461136</v>
      </c>
      <c r="B8424" s="3" t="s">
        <v>43319</v>
      </c>
      <c r="C8424" s="3" t="s">
        <v>31</v>
      </c>
      <c r="D8424" s="3" t="s">
        <v>175</v>
      </c>
      <c r="E8424" s="4" t="s">
        <v>22</v>
      </c>
      <c r="F8424" s="4" t="s">
        <v>43320</v>
      </c>
      <c r="G8424" s="4" t="s">
        <v>43321</v>
      </c>
      <c r="H8424" s="3" t="s">
        <v>38194</v>
      </c>
      <c r="I8424" s="3" t="s">
        <v>43322</v>
      </c>
      <c r="J8424" s="3" t="s">
        <v>43323</v>
      </c>
      <c r="K8424" s="3" t="s">
        <v>43324</v>
      </c>
      <c r="L8424" s="3"/>
      <c r="M8424" s="4"/>
      <c r="N8424" s="3" t="s">
        <v>37</v>
      </c>
      <c r="O8424" s="3" t="s">
        <v>46</v>
      </c>
      <c r="P8424" s="5">
        <v>2</v>
      </c>
      <c r="Q8424" s="5">
        <v>35</v>
      </c>
      <c r="R8424" s="5">
        <v>4</v>
      </c>
      <c r="S8424" s="5">
        <v>38</v>
      </c>
    </row>
    <row r="8425" spans="1:19" ht="28" x14ac:dyDescent="0.15">
      <c r="A8425" s="2">
        <f>HYPERLINK("https://open-school.uspishnemisto.com.ua/school/461137/", 461137)</f>
        <v>461137</v>
      </c>
      <c r="B8425" s="3" t="s">
        <v>43325</v>
      </c>
      <c r="C8425" s="3" t="s">
        <v>31</v>
      </c>
      <c r="D8425" s="3" t="s">
        <v>32</v>
      </c>
      <c r="E8425" s="4" t="s">
        <v>22</v>
      </c>
      <c r="F8425" s="4" t="s">
        <v>43326</v>
      </c>
      <c r="G8425" s="4" t="s">
        <v>43327</v>
      </c>
      <c r="H8425" s="3" t="s">
        <v>38194</v>
      </c>
      <c r="I8425" s="3" t="s">
        <v>43328</v>
      </c>
      <c r="J8425" s="3" t="s">
        <v>501</v>
      </c>
      <c r="K8425" s="3"/>
      <c r="L8425" s="3"/>
      <c r="M8425" s="4"/>
      <c r="N8425" s="3" t="s">
        <v>37</v>
      </c>
      <c r="O8425" s="3" t="s">
        <v>46</v>
      </c>
      <c r="P8425" s="5">
        <v>8</v>
      </c>
      <c r="Q8425" s="5">
        <v>49</v>
      </c>
      <c r="R8425" s="5">
        <v>8</v>
      </c>
      <c r="S8425" s="5">
        <v>58</v>
      </c>
    </row>
    <row r="8426" spans="1:19" ht="28" x14ac:dyDescent="0.15">
      <c r="A8426" s="2">
        <f>HYPERLINK("https://open-school.uspishnemisto.com.ua/school/461138/", 461138)</f>
        <v>461138</v>
      </c>
      <c r="B8426" s="3" t="s">
        <v>43329</v>
      </c>
      <c r="C8426" s="3" t="s">
        <v>31</v>
      </c>
      <c r="D8426" s="3" t="s">
        <v>175</v>
      </c>
      <c r="E8426" s="4" t="s">
        <v>22</v>
      </c>
      <c r="F8426" s="4" t="s">
        <v>43330</v>
      </c>
      <c r="G8426" s="4" t="s">
        <v>43331</v>
      </c>
      <c r="H8426" s="3" t="s">
        <v>38194</v>
      </c>
      <c r="I8426" s="3" t="s">
        <v>43332</v>
      </c>
      <c r="J8426" s="3" t="s">
        <v>43333</v>
      </c>
      <c r="K8426" s="3" t="s">
        <v>43334</v>
      </c>
      <c r="L8426" s="3"/>
      <c r="M8426" s="4"/>
      <c r="N8426" s="3" t="s">
        <v>37</v>
      </c>
      <c r="O8426" s="3" t="s">
        <v>46</v>
      </c>
      <c r="P8426" s="5">
        <v>9</v>
      </c>
      <c r="Q8426" s="5">
        <v>68</v>
      </c>
      <c r="R8426" s="5">
        <v>9</v>
      </c>
      <c r="S8426" s="5">
        <v>70</v>
      </c>
    </row>
    <row r="8427" spans="1:19" ht="28" x14ac:dyDescent="0.15">
      <c r="A8427" s="2">
        <f>HYPERLINK("https://open-school.uspishnemisto.com.ua/school/461139/", 461139)</f>
        <v>461139</v>
      </c>
      <c r="B8427" s="3" t="s">
        <v>43335</v>
      </c>
      <c r="C8427" s="3" t="s">
        <v>31</v>
      </c>
      <c r="D8427" s="3" t="s">
        <v>175</v>
      </c>
      <c r="E8427" s="4" t="s">
        <v>22</v>
      </c>
      <c r="F8427" s="4"/>
      <c r="G8427" s="4" t="s">
        <v>43336</v>
      </c>
      <c r="H8427" s="3" t="s">
        <v>38194</v>
      </c>
      <c r="I8427" s="3" t="s">
        <v>43337</v>
      </c>
      <c r="J8427" s="3" t="s">
        <v>3106</v>
      </c>
      <c r="K8427" s="3" t="s">
        <v>43338</v>
      </c>
      <c r="L8427" s="3"/>
      <c r="M8427" s="4"/>
      <c r="N8427" s="3" t="s">
        <v>37</v>
      </c>
      <c r="O8427" s="3" t="s">
        <v>46</v>
      </c>
      <c r="P8427" s="5">
        <v>3</v>
      </c>
      <c r="Q8427" s="5">
        <v>37</v>
      </c>
      <c r="R8427" s="5">
        <v>2</v>
      </c>
      <c r="S8427" s="5">
        <v>36</v>
      </c>
    </row>
    <row r="8428" spans="1:19" ht="28" x14ac:dyDescent="0.15">
      <c r="A8428" s="2">
        <f>HYPERLINK("https://open-school.uspishnemisto.com.ua/school/461140/", 461140)</f>
        <v>461140</v>
      </c>
      <c r="B8428" s="3" t="s">
        <v>43339</v>
      </c>
      <c r="C8428" s="3" t="s">
        <v>31</v>
      </c>
      <c r="D8428" s="3" t="s">
        <v>175</v>
      </c>
      <c r="E8428" s="4" t="s">
        <v>22</v>
      </c>
      <c r="F8428" s="4" t="s">
        <v>43340</v>
      </c>
      <c r="G8428" s="4" t="s">
        <v>43341</v>
      </c>
      <c r="H8428" s="3" t="s">
        <v>38194</v>
      </c>
      <c r="I8428" s="3" t="s">
        <v>3561</v>
      </c>
      <c r="J8428" s="3" t="s">
        <v>39196</v>
      </c>
      <c r="K8428" s="3"/>
      <c r="L8428" s="3"/>
      <c r="M8428" s="4"/>
      <c r="N8428" s="3" t="s">
        <v>37</v>
      </c>
      <c r="O8428" s="3" t="s">
        <v>46</v>
      </c>
      <c r="P8428" s="5">
        <v>6</v>
      </c>
      <c r="Q8428" s="5">
        <v>50</v>
      </c>
      <c r="R8428" s="5">
        <v>8</v>
      </c>
      <c r="S8428" s="5">
        <v>53</v>
      </c>
    </row>
    <row r="8429" spans="1:19" ht="42" x14ac:dyDescent="0.15">
      <c r="A8429" s="2">
        <f>HYPERLINK("https://open-school.uspishnemisto.com.ua/school/461141/", 461141)</f>
        <v>461141</v>
      </c>
      <c r="B8429" s="3" t="s">
        <v>43342</v>
      </c>
      <c r="C8429" s="3" t="s">
        <v>54</v>
      </c>
      <c r="D8429" s="3" t="s">
        <v>32</v>
      </c>
      <c r="E8429" s="4" t="s">
        <v>22</v>
      </c>
      <c r="F8429" s="4" t="s">
        <v>43343</v>
      </c>
      <c r="G8429" s="4" t="s">
        <v>43344</v>
      </c>
      <c r="H8429" s="3" t="s">
        <v>38194</v>
      </c>
      <c r="I8429" s="3" t="s">
        <v>43345</v>
      </c>
      <c r="J8429" s="3"/>
      <c r="K8429" s="3"/>
      <c r="L8429" s="3"/>
      <c r="M8429" s="4"/>
      <c r="N8429" s="3" t="s">
        <v>37</v>
      </c>
      <c r="O8429" s="3" t="s">
        <v>46</v>
      </c>
      <c r="P8429" s="5">
        <v>11</v>
      </c>
      <c r="Q8429" s="5">
        <v>161</v>
      </c>
      <c r="R8429" s="5">
        <v>10</v>
      </c>
      <c r="S8429" s="5">
        <v>161</v>
      </c>
    </row>
    <row r="8430" spans="1:19" ht="28" x14ac:dyDescent="0.15">
      <c r="A8430" s="2">
        <f>HYPERLINK("https://open-school.uspishnemisto.com.ua/school/461142/", 461142)</f>
        <v>461142</v>
      </c>
      <c r="B8430" s="3" t="s">
        <v>43346</v>
      </c>
      <c r="C8430" s="3" t="s">
        <v>31</v>
      </c>
      <c r="D8430" s="3" t="s">
        <v>175</v>
      </c>
      <c r="E8430" s="4" t="s">
        <v>22</v>
      </c>
      <c r="F8430" s="4" t="s">
        <v>43347</v>
      </c>
      <c r="G8430" s="4" t="s">
        <v>43348</v>
      </c>
      <c r="H8430" s="3" t="s">
        <v>38194</v>
      </c>
      <c r="I8430" s="3" t="s">
        <v>42024</v>
      </c>
      <c r="J8430" s="3" t="s">
        <v>466</v>
      </c>
      <c r="K8430" s="3"/>
      <c r="L8430" s="3"/>
      <c r="M8430" s="4"/>
      <c r="N8430" s="3" t="s">
        <v>37</v>
      </c>
      <c r="O8430" s="3" t="s">
        <v>46</v>
      </c>
      <c r="P8430" s="5">
        <v>8</v>
      </c>
      <c r="Q8430" s="5">
        <v>53</v>
      </c>
      <c r="R8430" s="5">
        <v>8</v>
      </c>
      <c r="S8430" s="5">
        <v>55</v>
      </c>
    </row>
    <row r="8431" spans="1:19" ht="42" x14ac:dyDescent="0.15">
      <c r="A8431" s="2">
        <f>HYPERLINK("https://open-school.uspishnemisto.com.ua/school/461145/", 461145)</f>
        <v>461145</v>
      </c>
      <c r="B8431" s="3" t="s">
        <v>43349</v>
      </c>
      <c r="C8431" s="3" t="s">
        <v>31</v>
      </c>
      <c r="D8431" s="3" t="s">
        <v>32</v>
      </c>
      <c r="E8431" s="4" t="s">
        <v>22</v>
      </c>
      <c r="F8431" s="4" t="s">
        <v>43350</v>
      </c>
      <c r="G8431" s="4" t="s">
        <v>43351</v>
      </c>
      <c r="H8431" s="3" t="s">
        <v>38194</v>
      </c>
      <c r="I8431" s="3" t="s">
        <v>43352</v>
      </c>
      <c r="J8431" s="3" t="s">
        <v>1747</v>
      </c>
      <c r="K8431" s="3"/>
      <c r="L8431" s="3"/>
      <c r="M8431" s="4"/>
      <c r="N8431" s="3" t="s">
        <v>37</v>
      </c>
      <c r="O8431" s="3" t="s">
        <v>2740</v>
      </c>
      <c r="P8431" s="5">
        <v>11</v>
      </c>
      <c r="Q8431" s="5">
        <v>156</v>
      </c>
      <c r="R8431" s="5">
        <v>11</v>
      </c>
      <c r="S8431" s="5">
        <v>148</v>
      </c>
    </row>
    <row r="8432" spans="1:19" ht="42" x14ac:dyDescent="0.15">
      <c r="A8432" s="2">
        <f>HYPERLINK("https://open-school.uspishnemisto.com.ua/school/461146/", 461146)</f>
        <v>461146</v>
      </c>
      <c r="B8432" s="3" t="s">
        <v>43353</v>
      </c>
      <c r="C8432" s="3" t="s">
        <v>31</v>
      </c>
      <c r="D8432" s="3" t="s">
        <v>175</v>
      </c>
      <c r="E8432" s="4" t="s">
        <v>22</v>
      </c>
      <c r="F8432" s="4" t="s">
        <v>43181</v>
      </c>
      <c r="G8432" s="4" t="s">
        <v>43354</v>
      </c>
      <c r="H8432" s="3" t="s">
        <v>38194</v>
      </c>
      <c r="I8432" s="3" t="s">
        <v>43355</v>
      </c>
      <c r="J8432" s="3" t="s">
        <v>43356</v>
      </c>
      <c r="K8432" s="3" t="s">
        <v>43357</v>
      </c>
      <c r="L8432" s="3" t="s">
        <v>43358</v>
      </c>
      <c r="M8432" s="4"/>
      <c r="N8432" s="3" t="s">
        <v>37</v>
      </c>
      <c r="O8432" s="3" t="s">
        <v>618</v>
      </c>
      <c r="P8432" s="5">
        <v>9</v>
      </c>
      <c r="Q8432" s="5">
        <v>57</v>
      </c>
      <c r="R8432" s="5">
        <v>8</v>
      </c>
      <c r="S8432" s="5">
        <v>49</v>
      </c>
    </row>
    <row r="8433" spans="1:19" ht="42" x14ac:dyDescent="0.15">
      <c r="A8433" s="2">
        <f>HYPERLINK("https://open-school.uspishnemisto.com.ua/school/461147/", 461147)</f>
        <v>461147</v>
      </c>
      <c r="B8433" s="3" t="s">
        <v>43359</v>
      </c>
      <c r="C8433" s="3" t="s">
        <v>31</v>
      </c>
      <c r="D8433" s="3" t="s">
        <v>175</v>
      </c>
      <c r="E8433" s="4" t="s">
        <v>22</v>
      </c>
      <c r="F8433" s="4" t="s">
        <v>43360</v>
      </c>
      <c r="G8433" s="4" t="s">
        <v>43361</v>
      </c>
      <c r="H8433" s="3" t="s">
        <v>38194</v>
      </c>
      <c r="I8433" s="3" t="s">
        <v>43362</v>
      </c>
      <c r="J8433" s="3" t="s">
        <v>43311</v>
      </c>
      <c r="K8433" s="3"/>
      <c r="L8433" s="3"/>
      <c r="M8433" s="4"/>
      <c r="N8433" s="3" t="s">
        <v>37</v>
      </c>
      <c r="O8433" s="3" t="s">
        <v>46</v>
      </c>
      <c r="P8433" s="5">
        <v>2</v>
      </c>
      <c r="Q8433" s="5">
        <v>23</v>
      </c>
      <c r="R8433" s="5">
        <v>2</v>
      </c>
      <c r="S8433" s="5">
        <v>30</v>
      </c>
    </row>
    <row r="8434" spans="1:19" ht="28" x14ac:dyDescent="0.15">
      <c r="A8434" s="2">
        <f>HYPERLINK("https://open-school.uspishnemisto.com.ua/school/461148/", 461148)</f>
        <v>461148</v>
      </c>
      <c r="B8434" s="3" t="s">
        <v>43363</v>
      </c>
      <c r="C8434" s="3" t="s">
        <v>31</v>
      </c>
      <c r="D8434" s="3" t="s">
        <v>175</v>
      </c>
      <c r="E8434" s="4" t="s">
        <v>22</v>
      </c>
      <c r="F8434" s="4" t="s">
        <v>43276</v>
      </c>
      <c r="G8434" s="4" t="s">
        <v>43364</v>
      </c>
      <c r="H8434" s="3" t="s">
        <v>38194</v>
      </c>
      <c r="I8434" s="3" t="s">
        <v>43365</v>
      </c>
      <c r="J8434" s="3" t="s">
        <v>43366</v>
      </c>
      <c r="K8434" s="3" t="s">
        <v>43367</v>
      </c>
      <c r="L8434" s="3"/>
      <c r="M8434" s="4"/>
      <c r="N8434" s="3" t="s">
        <v>37</v>
      </c>
      <c r="O8434" s="3" t="s">
        <v>46</v>
      </c>
      <c r="P8434" s="5">
        <v>8</v>
      </c>
      <c r="Q8434" s="5">
        <v>61</v>
      </c>
      <c r="R8434" s="5">
        <v>8</v>
      </c>
      <c r="S8434" s="5">
        <v>65</v>
      </c>
    </row>
    <row r="8435" spans="1:19" ht="28" x14ac:dyDescent="0.15">
      <c r="A8435" s="2">
        <f>HYPERLINK("https://open-school.uspishnemisto.com.ua/school/461149/", 461149)</f>
        <v>461149</v>
      </c>
      <c r="B8435" s="3" t="s">
        <v>43368</v>
      </c>
      <c r="C8435" s="3" t="s">
        <v>31</v>
      </c>
      <c r="D8435" s="3" t="s">
        <v>60</v>
      </c>
      <c r="E8435" s="4" t="s">
        <v>22</v>
      </c>
      <c r="F8435" s="4" t="s">
        <v>43276</v>
      </c>
      <c r="G8435" s="4" t="s">
        <v>43369</v>
      </c>
      <c r="H8435" s="3" t="s">
        <v>38194</v>
      </c>
      <c r="I8435" s="3" t="s">
        <v>43370</v>
      </c>
      <c r="J8435" s="3" t="s">
        <v>43366</v>
      </c>
      <c r="K8435" s="3" t="s">
        <v>43371</v>
      </c>
      <c r="L8435" s="3"/>
      <c r="M8435" s="4"/>
      <c r="N8435" s="3" t="s">
        <v>37</v>
      </c>
      <c r="O8435" s="3" t="s">
        <v>52</v>
      </c>
      <c r="P8435" s="5">
        <v>0</v>
      </c>
      <c r="Q8435" s="5">
        <v>16</v>
      </c>
      <c r="R8435" s="5">
        <v>1</v>
      </c>
      <c r="S8435" s="5">
        <v>17</v>
      </c>
    </row>
    <row r="8436" spans="1:19" ht="28" x14ac:dyDescent="0.15">
      <c r="A8436" s="2">
        <f>HYPERLINK("https://open-school.uspishnemisto.com.ua/school/461150/", 461150)</f>
        <v>461150</v>
      </c>
      <c r="B8436" s="3" t="s">
        <v>43372</v>
      </c>
      <c r="C8436" s="3" t="s">
        <v>31</v>
      </c>
      <c r="D8436" s="3" t="s">
        <v>60</v>
      </c>
      <c r="E8436" s="4" t="s">
        <v>22</v>
      </c>
      <c r="F8436" s="4" t="s">
        <v>43276</v>
      </c>
      <c r="G8436" s="4" t="s">
        <v>43373</v>
      </c>
      <c r="H8436" s="3" t="s">
        <v>38194</v>
      </c>
      <c r="I8436" s="3" t="s">
        <v>43374</v>
      </c>
      <c r="J8436" s="3" t="s">
        <v>43366</v>
      </c>
      <c r="K8436" s="3" t="s">
        <v>43375</v>
      </c>
      <c r="L8436" s="3"/>
      <c r="M8436" s="4"/>
      <c r="N8436" s="3" t="s">
        <v>37</v>
      </c>
      <c r="O8436" s="3" t="s">
        <v>52</v>
      </c>
      <c r="P8436" s="5">
        <v>0</v>
      </c>
      <c r="Q8436" s="5">
        <v>7</v>
      </c>
      <c r="R8436" s="5">
        <v>0</v>
      </c>
      <c r="S8436" s="5">
        <v>7</v>
      </c>
    </row>
    <row r="8437" spans="1:19" ht="56" x14ac:dyDescent="0.15">
      <c r="A8437" s="2">
        <f>HYPERLINK("https://open-school.uspishnemisto.com.ua/school/461151/", 461151)</f>
        <v>461151</v>
      </c>
      <c r="B8437" s="3" t="s">
        <v>43376</v>
      </c>
      <c r="C8437" s="3" t="s">
        <v>54</v>
      </c>
      <c r="D8437" s="3" t="s">
        <v>32</v>
      </c>
      <c r="E8437" s="4" t="s">
        <v>22</v>
      </c>
      <c r="F8437" s="4" t="s">
        <v>43377</v>
      </c>
      <c r="G8437" s="4" t="s">
        <v>43378</v>
      </c>
      <c r="H8437" s="3" t="s">
        <v>38194</v>
      </c>
      <c r="I8437" s="3" t="s">
        <v>43379</v>
      </c>
      <c r="J8437" s="3" t="s">
        <v>43380</v>
      </c>
      <c r="K8437" s="3" t="s">
        <v>43381</v>
      </c>
      <c r="L8437" s="3"/>
      <c r="M8437" s="4"/>
      <c r="N8437" s="3" t="s">
        <v>37</v>
      </c>
      <c r="O8437" s="3" t="s">
        <v>46</v>
      </c>
      <c r="P8437" s="5">
        <v>11</v>
      </c>
      <c r="Q8437" s="5">
        <v>158</v>
      </c>
      <c r="R8437" s="5">
        <v>11</v>
      </c>
      <c r="S8437" s="5">
        <v>159</v>
      </c>
    </row>
    <row r="8438" spans="1:19" ht="28" x14ac:dyDescent="0.15">
      <c r="A8438" s="2">
        <f>HYPERLINK("https://open-school.uspishnemisto.com.ua/school/461153/", 461153)</f>
        <v>461153</v>
      </c>
      <c r="B8438" s="3" t="s">
        <v>43382</v>
      </c>
      <c r="C8438" s="3" t="s">
        <v>31</v>
      </c>
      <c r="D8438" s="3" t="s">
        <v>175</v>
      </c>
      <c r="E8438" s="4" t="s">
        <v>22</v>
      </c>
      <c r="F8438" s="4" t="s">
        <v>43383</v>
      </c>
      <c r="G8438" s="4" t="s">
        <v>43384</v>
      </c>
      <c r="H8438" s="3" t="s">
        <v>38194</v>
      </c>
      <c r="I8438" s="3" t="s">
        <v>43385</v>
      </c>
      <c r="J8438" s="3" t="s">
        <v>43386</v>
      </c>
      <c r="K8438" s="3" t="s">
        <v>43387</v>
      </c>
      <c r="L8438" s="3"/>
      <c r="M8438" s="4"/>
      <c r="N8438" s="3" t="s">
        <v>37</v>
      </c>
      <c r="O8438" s="3" t="s">
        <v>237</v>
      </c>
      <c r="P8438" s="5">
        <v>9</v>
      </c>
      <c r="Q8438" s="5">
        <v>61</v>
      </c>
      <c r="R8438" s="5">
        <v>9</v>
      </c>
      <c r="S8438" s="5">
        <v>66</v>
      </c>
    </row>
    <row r="8439" spans="1:19" ht="42" x14ac:dyDescent="0.15">
      <c r="A8439" s="2">
        <f>HYPERLINK("https://open-school.uspishnemisto.com.ua/school/461155/", 461155)</f>
        <v>461155</v>
      </c>
      <c r="B8439" s="3" t="s">
        <v>43388</v>
      </c>
      <c r="C8439" s="3" t="s">
        <v>31</v>
      </c>
      <c r="D8439" s="3" t="s">
        <v>175</v>
      </c>
      <c r="E8439" s="4" t="s">
        <v>22</v>
      </c>
      <c r="F8439" s="4" t="s">
        <v>43389</v>
      </c>
      <c r="G8439" s="4" t="s">
        <v>43390</v>
      </c>
      <c r="H8439" s="3" t="s">
        <v>38194</v>
      </c>
      <c r="I8439" s="3" t="s">
        <v>43391</v>
      </c>
      <c r="J8439" s="3" t="s">
        <v>1417</v>
      </c>
      <c r="K8439" s="3" t="s">
        <v>43392</v>
      </c>
      <c r="L8439" s="3"/>
      <c r="M8439" s="4"/>
      <c r="N8439" s="3" t="s">
        <v>37</v>
      </c>
      <c r="O8439" s="3" t="s">
        <v>46</v>
      </c>
      <c r="P8439" s="5">
        <v>4</v>
      </c>
      <c r="Q8439" s="5">
        <v>33</v>
      </c>
      <c r="R8439" s="5">
        <v>5</v>
      </c>
      <c r="S8439" s="5">
        <v>35</v>
      </c>
    </row>
    <row r="8440" spans="1:19" ht="28" x14ac:dyDescent="0.15">
      <c r="A8440" s="2">
        <f>HYPERLINK("https://open-school.uspishnemisto.com.ua/school/461156/", 461156)</f>
        <v>461156</v>
      </c>
      <c r="B8440" s="3" t="s">
        <v>43393</v>
      </c>
      <c r="C8440" s="3" t="s">
        <v>31</v>
      </c>
      <c r="D8440" s="3" t="s">
        <v>60</v>
      </c>
      <c r="E8440" s="4" t="s">
        <v>22</v>
      </c>
      <c r="F8440" s="4" t="s">
        <v>43394</v>
      </c>
      <c r="G8440" s="4" t="s">
        <v>43395</v>
      </c>
      <c r="H8440" s="3" t="s">
        <v>38194</v>
      </c>
      <c r="I8440" s="3" t="s">
        <v>43396</v>
      </c>
      <c r="J8440" s="3" t="s">
        <v>10823</v>
      </c>
      <c r="K8440" s="3"/>
      <c r="L8440" s="3"/>
      <c r="M8440" s="4"/>
      <c r="N8440" s="3" t="s">
        <v>37</v>
      </c>
      <c r="O8440" s="3" t="s">
        <v>52</v>
      </c>
      <c r="P8440" s="5">
        <v>1</v>
      </c>
      <c r="Q8440" s="5">
        <v>14</v>
      </c>
      <c r="R8440" s="5">
        <v>1</v>
      </c>
      <c r="S8440" s="5">
        <v>17</v>
      </c>
    </row>
    <row r="8441" spans="1:19" ht="28" x14ac:dyDescent="0.15">
      <c r="A8441" s="2">
        <f>HYPERLINK("https://open-school.uspishnemisto.com.ua/school/461157/", 461157)</f>
        <v>461157</v>
      </c>
      <c r="B8441" s="3" t="s">
        <v>43397</v>
      </c>
      <c r="C8441" s="3" t="s">
        <v>31</v>
      </c>
      <c r="D8441" s="3" t="s">
        <v>175</v>
      </c>
      <c r="E8441" s="4" t="s">
        <v>22</v>
      </c>
      <c r="F8441" s="4" t="s">
        <v>43398</v>
      </c>
      <c r="G8441" s="4" t="s">
        <v>43399</v>
      </c>
      <c r="H8441" s="3" t="s">
        <v>38194</v>
      </c>
      <c r="I8441" s="3" t="s">
        <v>43400</v>
      </c>
      <c r="J8441" s="3"/>
      <c r="K8441" s="3" t="s">
        <v>43401</v>
      </c>
      <c r="L8441" s="3"/>
      <c r="M8441" s="4"/>
      <c r="N8441" s="3" t="s">
        <v>37</v>
      </c>
      <c r="O8441" s="3" t="s">
        <v>46</v>
      </c>
      <c r="P8441" s="5">
        <v>9</v>
      </c>
      <c r="Q8441" s="5">
        <v>96</v>
      </c>
      <c r="R8441" s="5">
        <v>9</v>
      </c>
      <c r="S8441" s="5">
        <v>89</v>
      </c>
    </row>
    <row r="8442" spans="1:19" ht="28" x14ac:dyDescent="0.15">
      <c r="A8442" s="2">
        <f>HYPERLINK("https://open-school.uspishnemisto.com.ua/school/461158/", 461158)</f>
        <v>461158</v>
      </c>
      <c r="B8442" s="3" t="s">
        <v>43402</v>
      </c>
      <c r="C8442" s="3" t="s">
        <v>31</v>
      </c>
      <c r="D8442" s="3" t="s">
        <v>175</v>
      </c>
      <c r="E8442" s="4" t="s">
        <v>22</v>
      </c>
      <c r="F8442" s="4" t="s">
        <v>43403</v>
      </c>
      <c r="G8442" s="4" t="s">
        <v>43404</v>
      </c>
      <c r="H8442" s="3" t="s">
        <v>38194</v>
      </c>
      <c r="I8442" s="3" t="s">
        <v>43405</v>
      </c>
      <c r="J8442" s="3" t="s">
        <v>43406</v>
      </c>
      <c r="K8442" s="3" t="s">
        <v>43407</v>
      </c>
      <c r="L8442" s="3"/>
      <c r="M8442" s="4"/>
      <c r="N8442" s="3" t="s">
        <v>37</v>
      </c>
      <c r="O8442" s="3" t="s">
        <v>46</v>
      </c>
      <c r="P8442" s="5">
        <v>9</v>
      </c>
      <c r="Q8442" s="5">
        <v>118</v>
      </c>
      <c r="R8442" s="5">
        <v>9</v>
      </c>
      <c r="S8442" s="5">
        <v>122</v>
      </c>
    </row>
    <row r="8443" spans="1:19" ht="56" x14ac:dyDescent="0.15">
      <c r="A8443" s="2">
        <f>HYPERLINK("https://open-school.uspishnemisto.com.ua/school/461159/", 461159)</f>
        <v>461159</v>
      </c>
      <c r="B8443" s="3" t="s">
        <v>43408</v>
      </c>
      <c r="C8443" s="3" t="s">
        <v>54</v>
      </c>
      <c r="D8443" s="3" t="s">
        <v>32</v>
      </c>
      <c r="E8443" s="4" t="s">
        <v>22</v>
      </c>
      <c r="F8443" s="4" t="s">
        <v>43245</v>
      </c>
      <c r="G8443" s="4" t="s">
        <v>43409</v>
      </c>
      <c r="H8443" s="3" t="s">
        <v>38194</v>
      </c>
      <c r="I8443" s="3" t="s">
        <v>41009</v>
      </c>
      <c r="J8443" s="3" t="s">
        <v>42889</v>
      </c>
      <c r="K8443" s="3" t="s">
        <v>43410</v>
      </c>
      <c r="L8443" s="3"/>
      <c r="M8443" s="4"/>
      <c r="N8443" s="3" t="s">
        <v>37</v>
      </c>
      <c r="O8443" s="3" t="s">
        <v>46</v>
      </c>
      <c r="P8443" s="5">
        <v>11</v>
      </c>
      <c r="Q8443" s="5">
        <v>174</v>
      </c>
      <c r="R8443" s="5">
        <v>11</v>
      </c>
      <c r="S8443" s="5">
        <v>159</v>
      </c>
    </row>
    <row r="8444" spans="1:19" ht="28" x14ac:dyDescent="0.15">
      <c r="A8444" s="2">
        <f>HYPERLINK("https://open-school.uspishnemisto.com.ua/school/461160/", 461160)</f>
        <v>461160</v>
      </c>
      <c r="B8444" s="3" t="s">
        <v>43411</v>
      </c>
      <c r="C8444" s="3" t="s">
        <v>31</v>
      </c>
      <c r="D8444" s="3" t="s">
        <v>60</v>
      </c>
      <c r="E8444" s="4" t="s">
        <v>22</v>
      </c>
      <c r="F8444" s="4" t="s">
        <v>43412</v>
      </c>
      <c r="G8444" s="4" t="s">
        <v>43413</v>
      </c>
      <c r="H8444" s="3" t="s">
        <v>38194</v>
      </c>
      <c r="I8444" s="3" t="s">
        <v>43414</v>
      </c>
      <c r="J8444" s="3" t="s">
        <v>43415</v>
      </c>
      <c r="K8444" s="3" t="s">
        <v>43416</v>
      </c>
      <c r="L8444" s="3"/>
      <c r="M8444" s="4"/>
      <c r="N8444" s="3" t="s">
        <v>37</v>
      </c>
      <c r="O8444" s="3" t="s">
        <v>52</v>
      </c>
      <c r="P8444" s="5">
        <v>1</v>
      </c>
      <c r="Q8444" s="5">
        <v>10</v>
      </c>
      <c r="R8444" s="5">
        <v>1</v>
      </c>
      <c r="S8444" s="5">
        <v>11</v>
      </c>
    </row>
    <row r="8445" spans="1:19" ht="28" x14ac:dyDescent="0.15">
      <c r="A8445" s="2">
        <f>HYPERLINK("https://open-school.uspishnemisto.com.ua/school/461161/", 461161)</f>
        <v>461161</v>
      </c>
      <c r="B8445" s="3" t="s">
        <v>43417</v>
      </c>
      <c r="C8445" s="3" t="s">
        <v>31</v>
      </c>
      <c r="D8445" s="3" t="s">
        <v>175</v>
      </c>
      <c r="E8445" s="4" t="s">
        <v>22</v>
      </c>
      <c r="F8445" s="4" t="s">
        <v>43412</v>
      </c>
      <c r="G8445" s="4" t="s">
        <v>43418</v>
      </c>
      <c r="H8445" s="3" t="s">
        <v>38194</v>
      </c>
      <c r="I8445" s="3" t="s">
        <v>43419</v>
      </c>
      <c r="J8445" s="3"/>
      <c r="K8445" s="3" t="s">
        <v>43420</v>
      </c>
      <c r="L8445" s="3"/>
      <c r="M8445" s="4"/>
      <c r="N8445" s="3" t="s">
        <v>37</v>
      </c>
      <c r="O8445" s="3" t="s">
        <v>46</v>
      </c>
      <c r="P8445" s="5">
        <v>4</v>
      </c>
      <c r="Q8445" s="5">
        <v>54</v>
      </c>
      <c r="R8445" s="5">
        <v>5</v>
      </c>
      <c r="S8445" s="5">
        <v>55</v>
      </c>
    </row>
    <row r="8446" spans="1:19" ht="28" x14ac:dyDescent="0.15">
      <c r="A8446" s="2">
        <f>HYPERLINK("https://open-school.uspishnemisto.com.ua/school/461162/", 461162)</f>
        <v>461162</v>
      </c>
      <c r="B8446" s="3" t="s">
        <v>43421</v>
      </c>
      <c r="C8446" s="3" t="s">
        <v>31</v>
      </c>
      <c r="D8446" s="3" t="s">
        <v>175</v>
      </c>
      <c r="E8446" s="4" t="s">
        <v>22</v>
      </c>
      <c r="F8446" s="4" t="s">
        <v>43422</v>
      </c>
      <c r="G8446" s="4" t="s">
        <v>43423</v>
      </c>
      <c r="H8446" s="3" t="s">
        <v>38194</v>
      </c>
      <c r="I8446" s="3" t="s">
        <v>43424</v>
      </c>
      <c r="J8446" s="3" t="s">
        <v>4537</v>
      </c>
      <c r="K8446" s="3" t="s">
        <v>43425</v>
      </c>
      <c r="L8446" s="3"/>
      <c r="M8446" s="4"/>
      <c r="N8446" s="3" t="s">
        <v>37</v>
      </c>
      <c r="O8446" s="3" t="s">
        <v>52</v>
      </c>
      <c r="P8446" s="5">
        <v>9</v>
      </c>
      <c r="Q8446" s="5">
        <v>116</v>
      </c>
      <c r="R8446" s="5">
        <v>9</v>
      </c>
      <c r="S8446" s="5">
        <v>122</v>
      </c>
    </row>
    <row r="8447" spans="1:19" ht="28" x14ac:dyDescent="0.15">
      <c r="A8447" s="2">
        <f>HYPERLINK("https://open-school.uspishnemisto.com.ua/school/461163/", 461163)</f>
        <v>461163</v>
      </c>
      <c r="B8447" s="3" t="s">
        <v>43426</v>
      </c>
      <c r="C8447" s="3" t="s">
        <v>31</v>
      </c>
      <c r="D8447" s="3" t="s">
        <v>175</v>
      </c>
      <c r="E8447" s="4" t="s">
        <v>22</v>
      </c>
      <c r="F8447" s="4" t="s">
        <v>43422</v>
      </c>
      <c r="G8447" s="4" t="s">
        <v>43427</v>
      </c>
      <c r="H8447" s="3" t="s">
        <v>38194</v>
      </c>
      <c r="I8447" s="3" t="s">
        <v>43428</v>
      </c>
      <c r="J8447" s="3" t="s">
        <v>297</v>
      </c>
      <c r="K8447" s="3" t="s">
        <v>43429</v>
      </c>
      <c r="L8447" s="3"/>
      <c r="M8447" s="4"/>
      <c r="N8447" s="3" t="s">
        <v>37</v>
      </c>
      <c r="O8447" s="3" t="s">
        <v>52</v>
      </c>
      <c r="P8447" s="5">
        <v>4</v>
      </c>
      <c r="Q8447" s="5">
        <v>37</v>
      </c>
      <c r="R8447" s="5">
        <v>3</v>
      </c>
      <c r="S8447" s="5">
        <v>30</v>
      </c>
    </row>
    <row r="8448" spans="1:19" ht="42" x14ac:dyDescent="0.15">
      <c r="A8448" s="2">
        <f>HYPERLINK("https://open-school.uspishnemisto.com.ua/school/461165/", 461165)</f>
        <v>461165</v>
      </c>
      <c r="B8448" s="3" t="s">
        <v>43430</v>
      </c>
      <c r="C8448" s="3" t="s">
        <v>31</v>
      </c>
      <c r="D8448" s="3" t="s">
        <v>32</v>
      </c>
      <c r="E8448" s="4" t="s">
        <v>22</v>
      </c>
      <c r="F8448" s="4" t="s">
        <v>43431</v>
      </c>
      <c r="G8448" s="4" t="s">
        <v>43432</v>
      </c>
      <c r="H8448" s="3" t="s">
        <v>38194</v>
      </c>
      <c r="I8448" s="3" t="s">
        <v>43433</v>
      </c>
      <c r="J8448" s="3" t="s">
        <v>43434</v>
      </c>
      <c r="K8448" s="3" t="s">
        <v>43435</v>
      </c>
      <c r="L8448" s="3"/>
      <c r="M8448" s="4"/>
      <c r="N8448" s="3" t="s">
        <v>37</v>
      </c>
      <c r="O8448" s="3" t="s">
        <v>46</v>
      </c>
      <c r="P8448" s="5">
        <v>12</v>
      </c>
      <c r="Q8448" s="5">
        <v>217</v>
      </c>
      <c r="R8448" s="5">
        <v>13</v>
      </c>
      <c r="S8448" s="5">
        <v>232</v>
      </c>
    </row>
    <row r="8449" spans="1:19" ht="28" x14ac:dyDescent="0.15">
      <c r="A8449" s="2">
        <f>HYPERLINK("https://open-school.uspishnemisto.com.ua/school/461166/", 461166)</f>
        <v>461166</v>
      </c>
      <c r="B8449" s="3" t="s">
        <v>43436</v>
      </c>
      <c r="C8449" s="3" t="s">
        <v>293</v>
      </c>
      <c r="D8449" s="3" t="s">
        <v>32</v>
      </c>
      <c r="E8449" s="4" t="s">
        <v>22</v>
      </c>
      <c r="F8449" s="4" t="s">
        <v>43431</v>
      </c>
      <c r="G8449" s="4" t="s">
        <v>43432</v>
      </c>
      <c r="H8449" s="3" t="s">
        <v>38194</v>
      </c>
      <c r="I8449" s="3" t="s">
        <v>43433</v>
      </c>
      <c r="J8449" s="3" t="s">
        <v>43437</v>
      </c>
      <c r="K8449" s="3"/>
      <c r="L8449" s="3"/>
      <c r="M8449" s="4" t="s">
        <v>43438</v>
      </c>
      <c r="N8449" s="3" t="s">
        <v>37</v>
      </c>
      <c r="O8449" s="3" t="s">
        <v>46</v>
      </c>
      <c r="P8449" s="5">
        <v>16</v>
      </c>
      <c r="Q8449" s="5">
        <v>304</v>
      </c>
      <c r="R8449" s="5">
        <v>16</v>
      </c>
      <c r="S8449" s="5">
        <v>317</v>
      </c>
    </row>
    <row r="8450" spans="1:19" ht="28" x14ac:dyDescent="0.15">
      <c r="A8450" s="2">
        <f>HYPERLINK("https://open-school.uspishnemisto.com.ua/school/461167/", 461167)</f>
        <v>461167</v>
      </c>
      <c r="B8450" s="3" t="s">
        <v>43439</v>
      </c>
      <c r="C8450" s="3" t="s">
        <v>31</v>
      </c>
      <c r="D8450" s="3" t="s">
        <v>175</v>
      </c>
      <c r="E8450" s="4" t="s">
        <v>22</v>
      </c>
      <c r="F8450" s="4" t="s">
        <v>43431</v>
      </c>
      <c r="G8450" s="4" t="s">
        <v>43440</v>
      </c>
      <c r="H8450" s="3" t="s">
        <v>38194</v>
      </c>
      <c r="I8450" s="3" t="s">
        <v>43441</v>
      </c>
      <c r="J8450" s="3" t="s">
        <v>3244</v>
      </c>
      <c r="K8450" s="3" t="s">
        <v>43442</v>
      </c>
      <c r="L8450" s="3"/>
      <c r="M8450" s="4"/>
      <c r="N8450" s="3" t="s">
        <v>37</v>
      </c>
      <c r="O8450" s="3" t="s">
        <v>46</v>
      </c>
      <c r="P8450" s="5">
        <v>4</v>
      </c>
      <c r="Q8450" s="5">
        <v>43</v>
      </c>
      <c r="R8450" s="5">
        <v>5</v>
      </c>
      <c r="S8450" s="5">
        <v>48</v>
      </c>
    </row>
    <row r="8451" spans="1:19" ht="28" x14ac:dyDescent="0.15">
      <c r="A8451" s="2">
        <f>HYPERLINK("https://open-school.uspishnemisto.com.ua/school/461168/", 461168)</f>
        <v>461168</v>
      </c>
      <c r="B8451" s="3" t="s">
        <v>43443</v>
      </c>
      <c r="C8451" s="3" t="s">
        <v>31</v>
      </c>
      <c r="D8451" s="3" t="s">
        <v>32</v>
      </c>
      <c r="E8451" s="4" t="s">
        <v>22</v>
      </c>
      <c r="F8451" s="4" t="s">
        <v>43444</v>
      </c>
      <c r="G8451" s="4" t="s">
        <v>43445</v>
      </c>
      <c r="H8451" s="3" t="s">
        <v>38194</v>
      </c>
      <c r="I8451" s="3" t="s">
        <v>43446</v>
      </c>
      <c r="J8451" s="3" t="s">
        <v>43447</v>
      </c>
      <c r="K8451" s="3" t="s">
        <v>43448</v>
      </c>
      <c r="L8451" s="3"/>
      <c r="M8451" s="4"/>
      <c r="N8451" s="3" t="s">
        <v>37</v>
      </c>
      <c r="O8451" s="3" t="s">
        <v>52</v>
      </c>
      <c r="P8451" s="5">
        <v>11</v>
      </c>
      <c r="Q8451" s="5">
        <v>152</v>
      </c>
      <c r="R8451" s="5">
        <v>11</v>
      </c>
      <c r="S8451" s="5">
        <v>153</v>
      </c>
    </row>
    <row r="8452" spans="1:19" ht="28" x14ac:dyDescent="0.15">
      <c r="A8452" s="2">
        <f>HYPERLINK("https://open-school.uspishnemisto.com.ua/school/461169/", 461169)</f>
        <v>461169</v>
      </c>
      <c r="B8452" s="3" t="s">
        <v>43449</v>
      </c>
      <c r="C8452" s="3" t="s">
        <v>31</v>
      </c>
      <c r="D8452" s="3" t="s">
        <v>175</v>
      </c>
      <c r="E8452" s="4" t="s">
        <v>22</v>
      </c>
      <c r="F8452" s="4" t="s">
        <v>43450</v>
      </c>
      <c r="G8452" s="4" t="s">
        <v>43451</v>
      </c>
      <c r="H8452" s="3" t="s">
        <v>38194</v>
      </c>
      <c r="I8452" s="3" t="s">
        <v>43452</v>
      </c>
      <c r="J8452" s="3" t="s">
        <v>1417</v>
      </c>
      <c r="K8452" s="3" t="s">
        <v>43453</v>
      </c>
      <c r="L8452" s="3"/>
      <c r="M8452" s="4"/>
      <c r="N8452" s="3" t="s">
        <v>37</v>
      </c>
      <c r="O8452" s="3" t="s">
        <v>46</v>
      </c>
      <c r="P8452" s="5">
        <v>8</v>
      </c>
      <c r="Q8452" s="5">
        <v>71</v>
      </c>
      <c r="R8452" s="5">
        <v>8</v>
      </c>
      <c r="S8452" s="5">
        <v>63</v>
      </c>
    </row>
    <row r="8453" spans="1:19" ht="28" x14ac:dyDescent="0.15">
      <c r="A8453" s="2">
        <f>HYPERLINK("https://open-school.uspishnemisto.com.ua/school/461170/", 461170)</f>
        <v>461170</v>
      </c>
      <c r="B8453" s="3" t="s">
        <v>43454</v>
      </c>
      <c r="C8453" s="3" t="s">
        <v>31</v>
      </c>
      <c r="D8453" s="3" t="s">
        <v>60</v>
      </c>
      <c r="E8453" s="4" t="s">
        <v>22</v>
      </c>
      <c r="F8453" s="4"/>
      <c r="G8453" s="4" t="s">
        <v>43455</v>
      </c>
      <c r="H8453" s="3" t="s">
        <v>38194</v>
      </c>
      <c r="I8453" s="3" t="s">
        <v>43456</v>
      </c>
      <c r="J8453" s="3" t="s">
        <v>3852</v>
      </c>
      <c r="K8453" s="3" t="s">
        <v>43457</v>
      </c>
      <c r="L8453" s="3"/>
      <c r="M8453" s="4"/>
      <c r="N8453" s="3" t="s">
        <v>37</v>
      </c>
      <c r="O8453" s="3" t="s">
        <v>52</v>
      </c>
      <c r="P8453" s="5">
        <v>1</v>
      </c>
      <c r="Q8453" s="5">
        <v>9</v>
      </c>
      <c r="R8453" s="5">
        <v>0</v>
      </c>
      <c r="S8453" s="5">
        <v>7</v>
      </c>
    </row>
    <row r="8454" spans="1:19" ht="28" x14ac:dyDescent="0.15">
      <c r="A8454" s="2">
        <f>HYPERLINK("https://open-school.uspishnemisto.com.ua/school/461171/", 461171)</f>
        <v>461171</v>
      </c>
      <c r="B8454" s="3" t="s">
        <v>43458</v>
      </c>
      <c r="C8454" s="3" t="s">
        <v>31</v>
      </c>
      <c r="D8454" s="3" t="s">
        <v>175</v>
      </c>
      <c r="E8454" s="4" t="s">
        <v>22</v>
      </c>
      <c r="F8454" s="4" t="s">
        <v>43459</v>
      </c>
      <c r="G8454" s="4" t="s">
        <v>43460</v>
      </c>
      <c r="H8454" s="3" t="s">
        <v>38194</v>
      </c>
      <c r="I8454" s="3" t="s">
        <v>43461</v>
      </c>
      <c r="J8454" s="3" t="s">
        <v>43462</v>
      </c>
      <c r="K8454" s="3" t="s">
        <v>43463</v>
      </c>
      <c r="L8454" s="3"/>
      <c r="M8454" s="4"/>
      <c r="N8454" s="3" t="s">
        <v>37</v>
      </c>
      <c r="O8454" s="3" t="s">
        <v>46</v>
      </c>
      <c r="P8454" s="5">
        <v>8</v>
      </c>
      <c r="Q8454" s="5">
        <v>59</v>
      </c>
      <c r="R8454" s="5">
        <v>8</v>
      </c>
      <c r="S8454" s="5">
        <v>64</v>
      </c>
    </row>
    <row r="8455" spans="1:19" ht="28" x14ac:dyDescent="0.15">
      <c r="A8455" s="2">
        <f>HYPERLINK("https://open-school.uspishnemisto.com.ua/school/461172/", 461172)</f>
        <v>461172</v>
      </c>
      <c r="B8455" s="3" t="s">
        <v>43464</v>
      </c>
      <c r="C8455" s="3" t="s">
        <v>31</v>
      </c>
      <c r="D8455" s="3" t="s">
        <v>175</v>
      </c>
      <c r="E8455" s="4" t="s">
        <v>22</v>
      </c>
      <c r="F8455" s="4" t="s">
        <v>43465</v>
      </c>
      <c r="G8455" s="4" t="s">
        <v>43466</v>
      </c>
      <c r="H8455" s="3" t="s">
        <v>38194</v>
      </c>
      <c r="I8455" s="3" t="s">
        <v>43467</v>
      </c>
      <c r="J8455" s="3" t="s">
        <v>12389</v>
      </c>
      <c r="K8455" s="3"/>
      <c r="L8455" s="3"/>
      <c r="M8455" s="4"/>
      <c r="N8455" s="3" t="s">
        <v>37</v>
      </c>
      <c r="O8455" s="3" t="s">
        <v>52</v>
      </c>
      <c r="P8455" s="5">
        <v>9</v>
      </c>
      <c r="Q8455" s="5">
        <v>74</v>
      </c>
      <c r="R8455" s="5">
        <v>9</v>
      </c>
      <c r="S8455" s="5">
        <v>73</v>
      </c>
    </row>
    <row r="8456" spans="1:19" ht="42" x14ac:dyDescent="0.15">
      <c r="A8456" s="2">
        <f>HYPERLINK("https://open-school.uspishnemisto.com.ua/school/461173/", 461173)</f>
        <v>461173</v>
      </c>
      <c r="B8456" s="3" t="s">
        <v>43468</v>
      </c>
      <c r="C8456" s="3" t="s">
        <v>31</v>
      </c>
      <c r="D8456" s="3" t="s">
        <v>175</v>
      </c>
      <c r="E8456" s="4" t="s">
        <v>22</v>
      </c>
      <c r="F8456" s="4" t="s">
        <v>43255</v>
      </c>
      <c r="G8456" s="4" t="s">
        <v>43469</v>
      </c>
      <c r="H8456" s="3" t="s">
        <v>38194</v>
      </c>
      <c r="I8456" s="3" t="s">
        <v>43470</v>
      </c>
      <c r="J8456" s="3"/>
      <c r="K8456" s="3" t="s">
        <v>43471</v>
      </c>
      <c r="L8456" s="3"/>
      <c r="M8456" s="4"/>
      <c r="N8456" s="3" t="s">
        <v>37</v>
      </c>
      <c r="O8456" s="3" t="s">
        <v>123</v>
      </c>
      <c r="P8456" s="5">
        <v>9</v>
      </c>
      <c r="Q8456" s="5">
        <v>89</v>
      </c>
      <c r="R8456" s="5">
        <v>9</v>
      </c>
      <c r="S8456" s="5">
        <v>90</v>
      </c>
    </row>
    <row r="8457" spans="1:19" ht="28" x14ac:dyDescent="0.15">
      <c r="A8457" s="2">
        <f>HYPERLINK("https://open-school.uspishnemisto.com.ua/school/461174/", 461174)</f>
        <v>461174</v>
      </c>
      <c r="B8457" s="3" t="s">
        <v>43472</v>
      </c>
      <c r="C8457" s="3" t="s">
        <v>31</v>
      </c>
      <c r="D8457" s="3" t="s">
        <v>175</v>
      </c>
      <c r="E8457" s="4" t="s">
        <v>22</v>
      </c>
      <c r="F8457" s="4" t="s">
        <v>43255</v>
      </c>
      <c r="G8457" s="4" t="s">
        <v>43473</v>
      </c>
      <c r="H8457" s="3" t="s">
        <v>38194</v>
      </c>
      <c r="I8457" s="3" t="s">
        <v>28743</v>
      </c>
      <c r="J8457" s="3" t="s">
        <v>28396</v>
      </c>
      <c r="K8457" s="3" t="s">
        <v>43474</v>
      </c>
      <c r="L8457" s="3"/>
      <c r="M8457" s="4"/>
      <c r="N8457" s="3" t="s">
        <v>37</v>
      </c>
      <c r="O8457" s="3" t="s">
        <v>46</v>
      </c>
      <c r="P8457" s="5">
        <v>5</v>
      </c>
      <c r="Q8457" s="5">
        <v>43</v>
      </c>
      <c r="R8457" s="5">
        <v>5</v>
      </c>
      <c r="S8457" s="5">
        <v>39</v>
      </c>
    </row>
    <row r="8458" spans="1:19" ht="28" x14ac:dyDescent="0.15">
      <c r="A8458" s="2">
        <f>HYPERLINK("https://open-school.uspishnemisto.com.ua/school/461176/", 461176)</f>
        <v>461176</v>
      </c>
      <c r="B8458" s="3" t="s">
        <v>43475</v>
      </c>
      <c r="C8458" s="3" t="s">
        <v>31</v>
      </c>
      <c r="D8458" s="3" t="s">
        <v>175</v>
      </c>
      <c r="E8458" s="4" t="s">
        <v>22</v>
      </c>
      <c r="F8458" s="4" t="s">
        <v>43476</v>
      </c>
      <c r="G8458" s="4" t="s">
        <v>43477</v>
      </c>
      <c r="H8458" s="3" t="s">
        <v>38194</v>
      </c>
      <c r="I8458" s="3" t="s">
        <v>43478</v>
      </c>
      <c r="J8458" s="3" t="s">
        <v>7668</v>
      </c>
      <c r="K8458" s="3" t="s">
        <v>43479</v>
      </c>
      <c r="L8458" s="3"/>
      <c r="M8458" s="4"/>
      <c r="N8458" s="3" t="s">
        <v>37</v>
      </c>
      <c r="O8458" s="3" t="s">
        <v>46</v>
      </c>
      <c r="P8458" s="5">
        <v>7</v>
      </c>
      <c r="Q8458" s="5">
        <v>42</v>
      </c>
      <c r="R8458" s="5">
        <v>6</v>
      </c>
      <c r="S8458" s="5">
        <v>42</v>
      </c>
    </row>
    <row r="8459" spans="1:19" ht="42" x14ac:dyDescent="0.15">
      <c r="A8459" s="2">
        <f>HYPERLINK("https://open-school.uspishnemisto.com.ua/school/461177/", 461177)</f>
        <v>461177</v>
      </c>
      <c r="B8459" s="3" t="s">
        <v>43480</v>
      </c>
      <c r="C8459" s="3" t="s">
        <v>54</v>
      </c>
      <c r="D8459" s="3" t="s">
        <v>175</v>
      </c>
      <c r="E8459" s="4" t="s">
        <v>22</v>
      </c>
      <c r="F8459" s="4" t="s">
        <v>43481</v>
      </c>
      <c r="G8459" s="4" t="s">
        <v>43482</v>
      </c>
      <c r="H8459" s="3" t="s">
        <v>38194</v>
      </c>
      <c r="I8459" s="3" t="s">
        <v>43483</v>
      </c>
      <c r="J8459" s="3" t="s">
        <v>43484</v>
      </c>
      <c r="K8459" s="3" t="s">
        <v>43485</v>
      </c>
      <c r="L8459" s="3"/>
      <c r="M8459" s="4"/>
      <c r="N8459" s="3" t="s">
        <v>37</v>
      </c>
      <c r="O8459" s="3" t="s">
        <v>46</v>
      </c>
      <c r="P8459" s="5">
        <v>9</v>
      </c>
      <c r="Q8459" s="5">
        <v>89</v>
      </c>
      <c r="R8459" s="5">
        <v>9</v>
      </c>
      <c r="S8459" s="5">
        <v>76</v>
      </c>
    </row>
    <row r="8460" spans="1:19" ht="28" x14ac:dyDescent="0.15">
      <c r="A8460" s="2">
        <f>HYPERLINK("https://open-school.uspishnemisto.com.ua/school/461178/", 461178)</f>
        <v>461178</v>
      </c>
      <c r="B8460" s="3" t="s">
        <v>43486</v>
      </c>
      <c r="C8460" s="3" t="s">
        <v>31</v>
      </c>
      <c r="D8460" s="3" t="s">
        <v>175</v>
      </c>
      <c r="E8460" s="4" t="s">
        <v>22</v>
      </c>
      <c r="F8460" s="4" t="s">
        <v>43487</v>
      </c>
      <c r="G8460" s="4" t="s">
        <v>43488</v>
      </c>
      <c r="H8460" s="3" t="s">
        <v>38194</v>
      </c>
      <c r="I8460" s="3" t="s">
        <v>43489</v>
      </c>
      <c r="J8460" s="3"/>
      <c r="K8460" s="3"/>
      <c r="L8460" s="3"/>
      <c r="M8460" s="4"/>
      <c r="N8460" s="3" t="s">
        <v>37</v>
      </c>
      <c r="O8460" s="3" t="s">
        <v>46</v>
      </c>
      <c r="P8460" s="5">
        <v>9</v>
      </c>
      <c r="Q8460" s="5">
        <v>90</v>
      </c>
      <c r="R8460" s="5">
        <v>8</v>
      </c>
      <c r="S8460" s="5">
        <v>81</v>
      </c>
    </row>
    <row r="8461" spans="1:19" ht="42" x14ac:dyDescent="0.15">
      <c r="A8461" s="2">
        <f>HYPERLINK("https://open-school.uspishnemisto.com.ua/school/461179/", 461179)</f>
        <v>461179</v>
      </c>
      <c r="B8461" s="3" t="s">
        <v>43490</v>
      </c>
      <c r="C8461" s="3" t="s">
        <v>54</v>
      </c>
      <c r="D8461" s="3" t="s">
        <v>175</v>
      </c>
      <c r="E8461" s="4" t="s">
        <v>22</v>
      </c>
      <c r="F8461" s="4" t="s">
        <v>43487</v>
      </c>
      <c r="G8461" s="4" t="s">
        <v>43491</v>
      </c>
      <c r="H8461" s="3" t="s">
        <v>38194</v>
      </c>
      <c r="I8461" s="3" t="s">
        <v>43492</v>
      </c>
      <c r="J8461" s="3" t="s">
        <v>5264</v>
      </c>
      <c r="K8461" s="3" t="s">
        <v>43493</v>
      </c>
      <c r="L8461" s="3"/>
      <c r="M8461" s="4"/>
      <c r="N8461" s="3" t="s">
        <v>37</v>
      </c>
      <c r="O8461" s="3" t="s">
        <v>46</v>
      </c>
      <c r="P8461" s="5">
        <v>8</v>
      </c>
      <c r="Q8461" s="5">
        <v>81</v>
      </c>
      <c r="R8461" s="5">
        <v>8</v>
      </c>
      <c r="S8461" s="5">
        <v>79</v>
      </c>
    </row>
    <row r="8462" spans="1:19" ht="28" x14ac:dyDescent="0.15">
      <c r="A8462" s="2">
        <f>HYPERLINK("https://open-school.uspishnemisto.com.ua/school/461180/", 461180)</f>
        <v>461180</v>
      </c>
      <c r="B8462" s="3" t="s">
        <v>43494</v>
      </c>
      <c r="C8462" s="3" t="s">
        <v>31</v>
      </c>
      <c r="D8462" s="3" t="s">
        <v>60</v>
      </c>
      <c r="E8462" s="4" t="s">
        <v>22</v>
      </c>
      <c r="F8462" s="4" t="s">
        <v>43495</v>
      </c>
      <c r="G8462" s="4" t="s">
        <v>43496</v>
      </c>
      <c r="H8462" s="3" t="s">
        <v>38194</v>
      </c>
      <c r="I8462" s="3" t="s">
        <v>43497</v>
      </c>
      <c r="J8462" s="3" t="s">
        <v>43498</v>
      </c>
      <c r="K8462" s="3" t="s">
        <v>43499</v>
      </c>
      <c r="L8462" s="3"/>
      <c r="M8462" s="4"/>
      <c r="N8462" s="3" t="s">
        <v>37</v>
      </c>
      <c r="O8462" s="3" t="s">
        <v>52</v>
      </c>
      <c r="P8462" s="5">
        <v>0</v>
      </c>
      <c r="Q8462" s="5">
        <v>9</v>
      </c>
      <c r="R8462" s="5">
        <v>0</v>
      </c>
      <c r="S8462" s="5">
        <v>7</v>
      </c>
    </row>
    <row r="8463" spans="1:19" ht="28" x14ac:dyDescent="0.15">
      <c r="A8463" s="2">
        <f>HYPERLINK("https://open-school.uspishnemisto.com.ua/school/461181/", 461181)</f>
        <v>461181</v>
      </c>
      <c r="B8463" s="3" t="s">
        <v>43500</v>
      </c>
      <c r="C8463" s="3" t="s">
        <v>31</v>
      </c>
      <c r="D8463" s="3" t="s">
        <v>32</v>
      </c>
      <c r="E8463" s="4" t="s">
        <v>22</v>
      </c>
      <c r="F8463" s="4" t="s">
        <v>43495</v>
      </c>
      <c r="G8463" s="4" t="s">
        <v>43496</v>
      </c>
      <c r="H8463" s="3" t="s">
        <v>38194</v>
      </c>
      <c r="I8463" s="3" t="s">
        <v>43497</v>
      </c>
      <c r="J8463" s="3" t="s">
        <v>11675</v>
      </c>
      <c r="K8463" s="3" t="s">
        <v>43501</v>
      </c>
      <c r="L8463" s="3"/>
      <c r="M8463" s="4"/>
      <c r="N8463" s="3" t="s">
        <v>37</v>
      </c>
      <c r="O8463" s="3" t="s">
        <v>46</v>
      </c>
      <c r="P8463" s="5">
        <v>11</v>
      </c>
      <c r="Q8463" s="5">
        <v>125</v>
      </c>
      <c r="R8463" s="5">
        <v>11</v>
      </c>
      <c r="S8463" s="5">
        <v>126</v>
      </c>
    </row>
    <row r="8464" spans="1:19" ht="28" x14ac:dyDescent="0.15">
      <c r="A8464" s="2">
        <f>HYPERLINK("https://open-school.uspishnemisto.com.ua/school/461182/", 461182)</f>
        <v>461182</v>
      </c>
      <c r="B8464" s="3" t="s">
        <v>43502</v>
      </c>
      <c r="C8464" s="3" t="s">
        <v>31</v>
      </c>
      <c r="D8464" s="3" t="s">
        <v>175</v>
      </c>
      <c r="E8464" s="4" t="s">
        <v>22</v>
      </c>
      <c r="F8464" s="4" t="s">
        <v>43503</v>
      </c>
      <c r="G8464" s="4" t="s">
        <v>43504</v>
      </c>
      <c r="H8464" s="3" t="s">
        <v>38194</v>
      </c>
      <c r="I8464" s="3" t="s">
        <v>43505</v>
      </c>
      <c r="J8464" s="3" t="s">
        <v>43506</v>
      </c>
      <c r="K8464" s="3" t="s">
        <v>43507</v>
      </c>
      <c r="L8464" s="3"/>
      <c r="M8464" s="4"/>
      <c r="N8464" s="3" t="s">
        <v>37</v>
      </c>
      <c r="O8464" s="3" t="s">
        <v>46</v>
      </c>
      <c r="P8464" s="5">
        <v>5</v>
      </c>
      <c r="Q8464" s="5">
        <v>45</v>
      </c>
      <c r="R8464" s="5">
        <v>4</v>
      </c>
      <c r="S8464" s="5">
        <v>47</v>
      </c>
    </row>
    <row r="8465" spans="1:19" ht="28" x14ac:dyDescent="0.15">
      <c r="A8465" s="2">
        <f>HYPERLINK("https://open-school.uspishnemisto.com.ua/school/461183/", 461183)</f>
        <v>461183</v>
      </c>
      <c r="B8465" s="3" t="s">
        <v>43508</v>
      </c>
      <c r="C8465" s="3" t="s">
        <v>31</v>
      </c>
      <c r="D8465" s="3" t="s">
        <v>175</v>
      </c>
      <c r="E8465" s="4" t="s">
        <v>22</v>
      </c>
      <c r="F8465" s="4" t="s">
        <v>43503</v>
      </c>
      <c r="G8465" s="4" t="s">
        <v>43509</v>
      </c>
      <c r="H8465" s="3" t="s">
        <v>38194</v>
      </c>
      <c r="I8465" s="3" t="s">
        <v>43510</v>
      </c>
      <c r="J8465" s="3"/>
      <c r="K8465" s="3" t="s">
        <v>43511</v>
      </c>
      <c r="L8465" s="3"/>
      <c r="M8465" s="4"/>
      <c r="N8465" s="3" t="s">
        <v>37</v>
      </c>
      <c r="O8465" s="3" t="s">
        <v>46</v>
      </c>
      <c r="P8465" s="5">
        <v>9</v>
      </c>
      <c r="Q8465" s="5">
        <v>77</v>
      </c>
      <c r="R8465" s="5">
        <v>8</v>
      </c>
      <c r="S8465" s="5">
        <v>75</v>
      </c>
    </row>
    <row r="8466" spans="1:19" ht="28" x14ac:dyDescent="0.15">
      <c r="A8466" s="2">
        <f>HYPERLINK("https://open-school.uspishnemisto.com.ua/school/461185/", 461185)</f>
        <v>461185</v>
      </c>
      <c r="B8466" s="3" t="s">
        <v>43512</v>
      </c>
      <c r="C8466" s="3" t="s">
        <v>31</v>
      </c>
      <c r="D8466" s="3" t="s">
        <v>175</v>
      </c>
      <c r="E8466" s="4" t="s">
        <v>22</v>
      </c>
      <c r="F8466" s="4" t="s">
        <v>43513</v>
      </c>
      <c r="G8466" s="4" t="s">
        <v>43514</v>
      </c>
      <c r="H8466" s="3" t="s">
        <v>38194</v>
      </c>
      <c r="I8466" s="3" t="s">
        <v>43515</v>
      </c>
      <c r="J8466" s="3" t="s">
        <v>8152</v>
      </c>
      <c r="K8466" s="3"/>
      <c r="L8466" s="3"/>
      <c r="M8466" s="4"/>
      <c r="N8466" s="3" t="s">
        <v>37</v>
      </c>
      <c r="O8466" s="3" t="s">
        <v>46</v>
      </c>
      <c r="P8466" s="5">
        <v>9</v>
      </c>
      <c r="Q8466" s="5">
        <v>68</v>
      </c>
      <c r="R8466" s="5">
        <v>9</v>
      </c>
      <c r="S8466" s="5">
        <v>73</v>
      </c>
    </row>
    <row r="8467" spans="1:19" ht="42" x14ac:dyDescent="0.15">
      <c r="A8467" s="2">
        <f>HYPERLINK("https://open-school.uspishnemisto.com.ua/school/461187/", 461187)</f>
        <v>461187</v>
      </c>
      <c r="B8467" s="3" t="s">
        <v>43516</v>
      </c>
      <c r="C8467" s="3" t="s">
        <v>54</v>
      </c>
      <c r="D8467" s="3" t="s">
        <v>32</v>
      </c>
      <c r="E8467" s="4" t="s">
        <v>22</v>
      </c>
      <c r="F8467" s="4" t="s">
        <v>43517</v>
      </c>
      <c r="G8467" s="4" t="s">
        <v>43518</v>
      </c>
      <c r="H8467" s="3" t="s">
        <v>38194</v>
      </c>
      <c r="I8467" s="3" t="s">
        <v>43519</v>
      </c>
      <c r="J8467" s="3" t="s">
        <v>2757</v>
      </c>
      <c r="K8467" s="3" t="s">
        <v>43520</v>
      </c>
      <c r="L8467" s="3"/>
      <c r="M8467" s="4"/>
      <c r="N8467" s="3" t="s">
        <v>37</v>
      </c>
      <c r="O8467" s="3" t="s">
        <v>46</v>
      </c>
      <c r="P8467" s="5">
        <v>17</v>
      </c>
      <c r="Q8467" s="5">
        <v>350</v>
      </c>
      <c r="R8467" s="5">
        <v>12</v>
      </c>
      <c r="S8467" s="5">
        <v>281</v>
      </c>
    </row>
    <row r="8468" spans="1:19" ht="28" x14ac:dyDescent="0.15">
      <c r="A8468" s="2">
        <f>HYPERLINK("https://open-school.uspishnemisto.com.ua/school/461188/", 461188)</f>
        <v>461188</v>
      </c>
      <c r="B8468" s="3" t="s">
        <v>43521</v>
      </c>
      <c r="C8468" s="3" t="s">
        <v>31</v>
      </c>
      <c r="D8468" s="3" t="s">
        <v>175</v>
      </c>
      <c r="E8468" s="4" t="s">
        <v>22</v>
      </c>
      <c r="F8468" s="4" t="s">
        <v>43522</v>
      </c>
      <c r="G8468" s="4" t="s">
        <v>43523</v>
      </c>
      <c r="H8468" s="3" t="s">
        <v>38194</v>
      </c>
      <c r="I8468" s="3" t="s">
        <v>43524</v>
      </c>
      <c r="J8468" s="3" t="s">
        <v>27325</v>
      </c>
      <c r="K8468" s="3" t="s">
        <v>43525</v>
      </c>
      <c r="L8468" s="3"/>
      <c r="M8468" s="4"/>
      <c r="N8468" s="3" t="s">
        <v>37</v>
      </c>
      <c r="O8468" s="3" t="s">
        <v>52</v>
      </c>
      <c r="P8468" s="5">
        <v>9</v>
      </c>
      <c r="Q8468" s="5">
        <v>114</v>
      </c>
      <c r="R8468" s="5">
        <v>9</v>
      </c>
      <c r="S8468" s="5">
        <v>101</v>
      </c>
    </row>
    <row r="8469" spans="1:19" ht="42" x14ac:dyDescent="0.15">
      <c r="A8469" s="2">
        <f>HYPERLINK("https://open-school.uspishnemisto.com.ua/school/461189/", 461189)</f>
        <v>461189</v>
      </c>
      <c r="B8469" s="3" t="s">
        <v>43526</v>
      </c>
      <c r="C8469" s="3" t="s">
        <v>54</v>
      </c>
      <c r="D8469" s="3" t="s">
        <v>32</v>
      </c>
      <c r="E8469" s="4" t="s">
        <v>22</v>
      </c>
      <c r="F8469" s="4" t="s">
        <v>43527</v>
      </c>
      <c r="G8469" s="4" t="s">
        <v>43528</v>
      </c>
      <c r="H8469" s="3" t="s">
        <v>38194</v>
      </c>
      <c r="I8469" s="3" t="s">
        <v>30327</v>
      </c>
      <c r="J8469" s="3" t="s">
        <v>43529</v>
      </c>
      <c r="K8469" s="3" t="s">
        <v>43530</v>
      </c>
      <c r="L8469" s="3"/>
      <c r="M8469" s="4"/>
      <c r="N8469" s="3" t="s">
        <v>37</v>
      </c>
      <c r="O8469" s="3" t="s">
        <v>46</v>
      </c>
      <c r="P8469" s="5">
        <v>11</v>
      </c>
      <c r="Q8469" s="5">
        <v>141</v>
      </c>
      <c r="R8469" s="5">
        <v>11</v>
      </c>
      <c r="S8469" s="5">
        <v>132</v>
      </c>
    </row>
    <row r="8470" spans="1:19" ht="42" x14ac:dyDescent="0.15">
      <c r="A8470" s="2">
        <f>HYPERLINK("https://open-school.uspishnemisto.com.ua/school/461190/", 461190)</f>
        <v>461190</v>
      </c>
      <c r="B8470" s="3" t="s">
        <v>43531</v>
      </c>
      <c r="C8470" s="3" t="s">
        <v>54</v>
      </c>
      <c r="D8470" s="3" t="s">
        <v>175</v>
      </c>
      <c r="E8470" s="4" t="s">
        <v>22</v>
      </c>
      <c r="F8470" s="4" t="s">
        <v>43532</v>
      </c>
      <c r="G8470" s="4" t="s">
        <v>43533</v>
      </c>
      <c r="H8470" s="3" t="s">
        <v>38194</v>
      </c>
      <c r="I8470" s="3" t="s">
        <v>43534</v>
      </c>
      <c r="J8470" s="3" t="s">
        <v>43535</v>
      </c>
      <c r="K8470" s="3" t="s">
        <v>43536</v>
      </c>
      <c r="L8470" s="3"/>
      <c r="M8470" s="4"/>
      <c r="N8470" s="3" t="s">
        <v>37</v>
      </c>
      <c r="O8470" s="3" t="s">
        <v>46</v>
      </c>
      <c r="P8470" s="5">
        <v>6</v>
      </c>
      <c r="Q8470" s="5">
        <v>50</v>
      </c>
      <c r="R8470" s="5">
        <v>7</v>
      </c>
      <c r="S8470" s="5">
        <v>54</v>
      </c>
    </row>
    <row r="8471" spans="1:19" ht="42" x14ac:dyDescent="0.15">
      <c r="A8471" s="2">
        <f>HYPERLINK("https://open-school.uspishnemisto.com.ua/school/461191/", 461191)</f>
        <v>461191</v>
      </c>
      <c r="B8471" s="3" t="s">
        <v>43537</v>
      </c>
      <c r="C8471" s="3" t="s">
        <v>54</v>
      </c>
      <c r="D8471" s="3" t="s">
        <v>32</v>
      </c>
      <c r="E8471" s="4" t="s">
        <v>22</v>
      </c>
      <c r="F8471" s="4" t="s">
        <v>43538</v>
      </c>
      <c r="G8471" s="4" t="s">
        <v>43539</v>
      </c>
      <c r="H8471" s="3" t="s">
        <v>38194</v>
      </c>
      <c r="I8471" s="3" t="s">
        <v>43540</v>
      </c>
      <c r="J8471" s="3" t="s">
        <v>43541</v>
      </c>
      <c r="K8471" s="3" t="s">
        <v>43542</v>
      </c>
      <c r="L8471" s="3"/>
      <c r="M8471" s="4"/>
      <c r="N8471" s="3" t="s">
        <v>37</v>
      </c>
      <c r="O8471" s="3" t="s">
        <v>46</v>
      </c>
      <c r="P8471" s="5">
        <v>11</v>
      </c>
      <c r="Q8471" s="5">
        <v>184</v>
      </c>
      <c r="R8471" s="5">
        <v>11</v>
      </c>
      <c r="S8471" s="5">
        <v>190</v>
      </c>
    </row>
    <row r="8472" spans="1:19" ht="56" x14ac:dyDescent="0.15">
      <c r="A8472" s="2">
        <f>HYPERLINK("https://open-school.uspishnemisto.com.ua/school/461192/", 461192)</f>
        <v>461192</v>
      </c>
      <c r="B8472" s="3" t="s">
        <v>43543</v>
      </c>
      <c r="C8472" s="3" t="s">
        <v>54</v>
      </c>
      <c r="D8472" s="3" t="s">
        <v>32</v>
      </c>
      <c r="E8472" s="4" t="s">
        <v>22</v>
      </c>
      <c r="F8472" s="4" t="s">
        <v>43544</v>
      </c>
      <c r="G8472" s="4" t="s">
        <v>43545</v>
      </c>
      <c r="H8472" s="3" t="s">
        <v>38194</v>
      </c>
      <c r="I8472" s="3" t="s">
        <v>43546</v>
      </c>
      <c r="J8472" s="3" t="s">
        <v>43547</v>
      </c>
      <c r="K8472" s="3" t="s">
        <v>43548</v>
      </c>
      <c r="L8472" s="3"/>
      <c r="M8472" s="4"/>
      <c r="N8472" s="3" t="s">
        <v>37</v>
      </c>
      <c r="O8472" s="3" t="s">
        <v>46</v>
      </c>
      <c r="P8472" s="5">
        <v>11</v>
      </c>
      <c r="Q8472" s="5">
        <v>191</v>
      </c>
      <c r="R8472" s="5">
        <v>11</v>
      </c>
      <c r="S8472" s="5">
        <v>201</v>
      </c>
    </row>
    <row r="8473" spans="1:19" ht="28" x14ac:dyDescent="0.15">
      <c r="A8473" s="2">
        <f>HYPERLINK("https://open-school.uspishnemisto.com.ua/school/461193/", 461193)</f>
        <v>461193</v>
      </c>
      <c r="B8473" s="3" t="s">
        <v>43549</v>
      </c>
      <c r="C8473" s="3" t="s">
        <v>31</v>
      </c>
      <c r="D8473" s="3" t="s">
        <v>175</v>
      </c>
      <c r="E8473" s="4" t="s">
        <v>22</v>
      </c>
      <c r="F8473" s="4" t="s">
        <v>43550</v>
      </c>
      <c r="G8473" s="4" t="s">
        <v>43551</v>
      </c>
      <c r="H8473" s="3" t="s">
        <v>38194</v>
      </c>
      <c r="I8473" s="3" t="s">
        <v>43552</v>
      </c>
      <c r="J8473" s="3" t="s">
        <v>4023</v>
      </c>
      <c r="K8473" s="3" t="s">
        <v>43553</v>
      </c>
      <c r="L8473" s="3"/>
      <c r="M8473" s="4"/>
      <c r="N8473" s="3" t="s">
        <v>37</v>
      </c>
      <c r="O8473" s="3" t="s">
        <v>46</v>
      </c>
      <c r="P8473" s="5">
        <v>9</v>
      </c>
      <c r="Q8473" s="5">
        <v>81</v>
      </c>
      <c r="R8473" s="5">
        <v>9</v>
      </c>
      <c r="S8473" s="5">
        <v>83</v>
      </c>
    </row>
    <row r="8474" spans="1:19" ht="28" x14ac:dyDescent="0.15">
      <c r="A8474" s="2">
        <f>HYPERLINK("https://open-school.uspishnemisto.com.ua/school/461194/", 461194)</f>
        <v>461194</v>
      </c>
      <c r="B8474" s="3" t="s">
        <v>43554</v>
      </c>
      <c r="C8474" s="3" t="s">
        <v>31</v>
      </c>
      <c r="D8474" s="3" t="s">
        <v>32</v>
      </c>
      <c r="E8474" s="4" t="s">
        <v>22</v>
      </c>
      <c r="F8474" s="4" t="s">
        <v>43555</v>
      </c>
      <c r="G8474" s="4" t="s">
        <v>43556</v>
      </c>
      <c r="H8474" s="3" t="s">
        <v>38194</v>
      </c>
      <c r="I8474" s="3" t="s">
        <v>43557</v>
      </c>
      <c r="J8474" s="3" t="s">
        <v>43558</v>
      </c>
      <c r="K8474" s="3" t="s">
        <v>43559</v>
      </c>
      <c r="L8474" s="3"/>
      <c r="M8474" s="4" t="s">
        <v>43560</v>
      </c>
      <c r="N8474" s="3" t="s">
        <v>37</v>
      </c>
      <c r="O8474" s="3" t="s">
        <v>52</v>
      </c>
      <c r="P8474" s="5">
        <v>15</v>
      </c>
      <c r="Q8474" s="5">
        <v>265</v>
      </c>
      <c r="R8474" s="5">
        <v>11</v>
      </c>
      <c r="S8474" s="5">
        <v>221</v>
      </c>
    </row>
    <row r="8475" spans="1:19" ht="42" x14ac:dyDescent="0.15">
      <c r="A8475" s="2">
        <f>HYPERLINK("https://open-school.uspishnemisto.com.ua/school/461195/", 461195)</f>
        <v>461195</v>
      </c>
      <c r="B8475" s="3" t="s">
        <v>43561</v>
      </c>
      <c r="C8475" s="3" t="s">
        <v>54</v>
      </c>
      <c r="D8475" s="3" t="s">
        <v>175</v>
      </c>
      <c r="E8475" s="4" t="s">
        <v>22</v>
      </c>
      <c r="F8475" s="4" t="s">
        <v>43562</v>
      </c>
      <c r="G8475" s="4" t="s">
        <v>43563</v>
      </c>
      <c r="H8475" s="3" t="s">
        <v>38194</v>
      </c>
      <c r="I8475" s="3" t="s">
        <v>43564</v>
      </c>
      <c r="J8475" s="3" t="s">
        <v>43565</v>
      </c>
      <c r="K8475" s="3" t="s">
        <v>43566</v>
      </c>
      <c r="L8475" s="3"/>
      <c r="M8475" s="4"/>
      <c r="N8475" s="3" t="s">
        <v>37</v>
      </c>
      <c r="O8475" s="3" t="s">
        <v>46</v>
      </c>
      <c r="P8475" s="5">
        <v>9</v>
      </c>
      <c r="Q8475" s="5">
        <v>84</v>
      </c>
      <c r="R8475" s="5">
        <v>9</v>
      </c>
      <c r="S8475" s="5">
        <v>79</v>
      </c>
    </row>
    <row r="8476" spans="1:19" ht="28" x14ac:dyDescent="0.15">
      <c r="A8476" s="2">
        <f>HYPERLINK("https://open-school.uspishnemisto.com.ua/school/461196/", 461196)</f>
        <v>461196</v>
      </c>
      <c r="B8476" s="3" t="s">
        <v>43567</v>
      </c>
      <c r="C8476" s="3" t="s">
        <v>31</v>
      </c>
      <c r="D8476" s="3" t="s">
        <v>60</v>
      </c>
      <c r="E8476" s="4" t="s">
        <v>22</v>
      </c>
      <c r="F8476" s="4" t="s">
        <v>43555</v>
      </c>
      <c r="G8476" s="4" t="s">
        <v>43568</v>
      </c>
      <c r="H8476" s="3" t="s">
        <v>38194</v>
      </c>
      <c r="I8476" s="3" t="s">
        <v>43569</v>
      </c>
      <c r="J8476" s="3" t="s">
        <v>43570</v>
      </c>
      <c r="K8476" s="3" t="s">
        <v>43571</v>
      </c>
      <c r="L8476" s="3"/>
      <c r="M8476" s="4"/>
      <c r="N8476" s="3" t="s">
        <v>37</v>
      </c>
      <c r="O8476" s="3" t="s">
        <v>52</v>
      </c>
      <c r="P8476" s="5">
        <v>0</v>
      </c>
      <c r="Q8476" s="5">
        <v>0</v>
      </c>
      <c r="R8476" s="5">
        <v>3</v>
      </c>
      <c r="S8476" s="5">
        <v>17</v>
      </c>
    </row>
    <row r="8477" spans="1:19" ht="28" x14ac:dyDescent="0.15">
      <c r="A8477" s="2">
        <f>HYPERLINK("https://open-school.uspishnemisto.com.ua/school/461197/", 461197)</f>
        <v>461197</v>
      </c>
      <c r="B8477" s="3" t="s">
        <v>43572</v>
      </c>
      <c r="C8477" s="3" t="s">
        <v>31</v>
      </c>
      <c r="D8477" s="3" t="s">
        <v>60</v>
      </c>
      <c r="E8477" s="4" t="s">
        <v>22</v>
      </c>
      <c r="F8477" s="4" t="s">
        <v>43573</v>
      </c>
      <c r="G8477" s="4" t="s">
        <v>43574</v>
      </c>
      <c r="H8477" s="3" t="s">
        <v>38194</v>
      </c>
      <c r="I8477" s="3" t="s">
        <v>39852</v>
      </c>
      <c r="J8477" s="3" t="s">
        <v>43575</v>
      </c>
      <c r="K8477" s="3"/>
      <c r="L8477" s="3"/>
      <c r="M8477" s="4"/>
      <c r="N8477" s="3" t="s">
        <v>37</v>
      </c>
      <c r="O8477" s="3" t="s">
        <v>52</v>
      </c>
      <c r="P8477" s="5">
        <v>1</v>
      </c>
      <c r="Q8477" s="5">
        <v>12</v>
      </c>
      <c r="R8477" s="5">
        <v>2</v>
      </c>
      <c r="S8477" s="5">
        <v>13</v>
      </c>
    </row>
    <row r="8478" spans="1:19" ht="28" x14ac:dyDescent="0.15">
      <c r="A8478" s="2">
        <f>HYPERLINK("https://open-school.uspishnemisto.com.ua/school/461198/", 461198)</f>
        <v>461198</v>
      </c>
      <c r="B8478" s="3" t="s">
        <v>43576</v>
      </c>
      <c r="C8478" s="3" t="s">
        <v>31</v>
      </c>
      <c r="D8478" s="3" t="s">
        <v>175</v>
      </c>
      <c r="E8478" s="4" t="s">
        <v>22</v>
      </c>
      <c r="F8478" s="4" t="s">
        <v>43577</v>
      </c>
      <c r="G8478" s="4" t="s">
        <v>43578</v>
      </c>
      <c r="H8478" s="3" t="s">
        <v>38194</v>
      </c>
      <c r="I8478" s="3" t="s">
        <v>39609</v>
      </c>
      <c r="J8478" s="3" t="s">
        <v>43579</v>
      </c>
      <c r="K8478" s="3" t="s">
        <v>43580</v>
      </c>
      <c r="L8478" s="3"/>
      <c r="M8478" s="4"/>
      <c r="N8478" s="3" t="s">
        <v>37</v>
      </c>
      <c r="O8478" s="3" t="s">
        <v>46</v>
      </c>
      <c r="P8478" s="5">
        <v>9</v>
      </c>
      <c r="Q8478" s="5">
        <v>86</v>
      </c>
      <c r="R8478" s="5">
        <v>9</v>
      </c>
      <c r="S8478" s="5">
        <v>86</v>
      </c>
    </row>
    <row r="8479" spans="1:19" ht="28" x14ac:dyDescent="0.15">
      <c r="A8479" s="2">
        <f>HYPERLINK("https://open-school.uspishnemisto.com.ua/school/461199/", 461199)</f>
        <v>461199</v>
      </c>
      <c r="B8479" s="3" t="s">
        <v>43581</v>
      </c>
      <c r="C8479" s="3" t="s">
        <v>31</v>
      </c>
      <c r="D8479" s="3" t="s">
        <v>175</v>
      </c>
      <c r="E8479" s="4" t="s">
        <v>22</v>
      </c>
      <c r="F8479" s="4" t="s">
        <v>43582</v>
      </c>
      <c r="G8479" s="4" t="s">
        <v>43583</v>
      </c>
      <c r="H8479" s="3" t="s">
        <v>38194</v>
      </c>
      <c r="I8479" s="3" t="s">
        <v>43584</v>
      </c>
      <c r="J8479" s="3" t="s">
        <v>664</v>
      </c>
      <c r="K8479" s="3" t="s">
        <v>43585</v>
      </c>
      <c r="L8479" s="3"/>
      <c r="M8479" s="4"/>
      <c r="N8479" s="3" t="s">
        <v>37</v>
      </c>
      <c r="O8479" s="3" t="s">
        <v>46</v>
      </c>
      <c r="P8479" s="5">
        <v>9</v>
      </c>
      <c r="Q8479" s="5">
        <v>80</v>
      </c>
      <c r="R8479" s="5">
        <v>9</v>
      </c>
      <c r="S8479" s="5">
        <v>80</v>
      </c>
    </row>
    <row r="8480" spans="1:19" ht="28" x14ac:dyDescent="0.15">
      <c r="A8480" s="2">
        <f>HYPERLINK("https://open-school.uspishnemisto.com.ua/school/461200/", 461200)</f>
        <v>461200</v>
      </c>
      <c r="B8480" s="3" t="s">
        <v>43586</v>
      </c>
      <c r="C8480" s="3" t="s">
        <v>31</v>
      </c>
      <c r="D8480" s="3" t="s">
        <v>60</v>
      </c>
      <c r="E8480" s="4" t="s">
        <v>22</v>
      </c>
      <c r="F8480" s="4" t="s">
        <v>43582</v>
      </c>
      <c r="G8480" s="4" t="s">
        <v>43587</v>
      </c>
      <c r="H8480" s="3" t="s">
        <v>38194</v>
      </c>
      <c r="I8480" s="3" t="s">
        <v>43588</v>
      </c>
      <c r="J8480" s="3" t="s">
        <v>21857</v>
      </c>
      <c r="K8480" s="3" t="s">
        <v>43589</v>
      </c>
      <c r="L8480" s="3"/>
      <c r="M8480" s="4"/>
      <c r="N8480" s="3" t="s">
        <v>37</v>
      </c>
      <c r="O8480" s="3" t="s">
        <v>52</v>
      </c>
      <c r="P8480" s="5">
        <v>1</v>
      </c>
      <c r="Q8480" s="5">
        <v>15</v>
      </c>
      <c r="R8480" s="5">
        <v>1</v>
      </c>
      <c r="S8480" s="5">
        <v>14</v>
      </c>
    </row>
    <row r="8481" spans="1:19" ht="28" x14ac:dyDescent="0.15">
      <c r="A8481" s="2">
        <f>HYPERLINK("https://open-school.uspishnemisto.com.ua/school/461201/", 461201)</f>
        <v>461201</v>
      </c>
      <c r="B8481" s="3" t="s">
        <v>43590</v>
      </c>
      <c r="C8481" s="3" t="s">
        <v>31</v>
      </c>
      <c r="D8481" s="3" t="s">
        <v>175</v>
      </c>
      <c r="E8481" s="4" t="s">
        <v>22</v>
      </c>
      <c r="F8481" s="4" t="s">
        <v>43591</v>
      </c>
      <c r="G8481" s="4" t="s">
        <v>43592</v>
      </c>
      <c r="H8481" s="3" t="s">
        <v>38194</v>
      </c>
      <c r="I8481" s="3" t="s">
        <v>43593</v>
      </c>
      <c r="J8481" s="3" t="s">
        <v>3745</v>
      </c>
      <c r="K8481" s="3" t="s">
        <v>43594</v>
      </c>
      <c r="L8481" s="3"/>
      <c r="M8481" s="4"/>
      <c r="N8481" s="3" t="s">
        <v>37</v>
      </c>
      <c r="O8481" s="3" t="s">
        <v>46</v>
      </c>
      <c r="P8481" s="5">
        <v>7</v>
      </c>
      <c r="Q8481" s="5">
        <v>54</v>
      </c>
      <c r="R8481" s="5">
        <v>6</v>
      </c>
      <c r="S8481" s="5">
        <v>51</v>
      </c>
    </row>
    <row r="8482" spans="1:19" ht="28" x14ac:dyDescent="0.15">
      <c r="A8482" s="2">
        <f>HYPERLINK("https://open-school.uspishnemisto.com.ua/school/461202/", 461202)</f>
        <v>461202</v>
      </c>
      <c r="B8482" s="3" t="s">
        <v>43595</v>
      </c>
      <c r="C8482" s="3" t="s">
        <v>31</v>
      </c>
      <c r="D8482" s="3" t="s">
        <v>60</v>
      </c>
      <c r="E8482" s="4" t="s">
        <v>22</v>
      </c>
      <c r="F8482" s="4" t="s">
        <v>43596</v>
      </c>
      <c r="G8482" s="4" t="s">
        <v>43597</v>
      </c>
      <c r="H8482" s="3" t="s">
        <v>38194</v>
      </c>
      <c r="I8482" s="3" t="s">
        <v>5302</v>
      </c>
      <c r="J8482" s="3" t="s">
        <v>43598</v>
      </c>
      <c r="K8482" s="3" t="s">
        <v>43599</v>
      </c>
      <c r="L8482" s="3"/>
      <c r="M8482" s="4"/>
      <c r="N8482" s="3" t="s">
        <v>37</v>
      </c>
      <c r="O8482" s="3" t="s">
        <v>52</v>
      </c>
      <c r="P8482" s="5">
        <v>0</v>
      </c>
      <c r="Q8482" s="5">
        <v>7</v>
      </c>
      <c r="R8482" s="5">
        <v>0</v>
      </c>
      <c r="S8482" s="5">
        <v>9</v>
      </c>
    </row>
    <row r="8483" spans="1:19" ht="28" x14ac:dyDescent="0.15">
      <c r="A8483" s="2">
        <f>HYPERLINK("https://open-school.uspishnemisto.com.ua/school/461203/", 461203)</f>
        <v>461203</v>
      </c>
      <c r="B8483" s="3" t="s">
        <v>43600</v>
      </c>
      <c r="C8483" s="3" t="s">
        <v>31</v>
      </c>
      <c r="D8483" s="3" t="s">
        <v>175</v>
      </c>
      <c r="E8483" s="4" t="s">
        <v>22</v>
      </c>
      <c r="F8483" s="4" t="s">
        <v>43591</v>
      </c>
      <c r="G8483" s="4" t="s">
        <v>43601</v>
      </c>
      <c r="H8483" s="3" t="s">
        <v>38194</v>
      </c>
      <c r="I8483" s="3" t="s">
        <v>43602</v>
      </c>
      <c r="J8483" s="3" t="s">
        <v>43603</v>
      </c>
      <c r="K8483" s="3" t="s">
        <v>43604</v>
      </c>
      <c r="L8483" s="3"/>
      <c r="M8483" s="4"/>
      <c r="N8483" s="3" t="s">
        <v>37</v>
      </c>
      <c r="O8483" s="3" t="s">
        <v>46</v>
      </c>
      <c r="P8483" s="5">
        <v>6</v>
      </c>
      <c r="Q8483" s="5">
        <v>51</v>
      </c>
      <c r="R8483" s="5">
        <v>3</v>
      </c>
      <c r="S8483" s="5">
        <v>40</v>
      </c>
    </row>
    <row r="8484" spans="1:19" ht="42" x14ac:dyDescent="0.15">
      <c r="A8484" s="2">
        <f>HYPERLINK("https://open-school.uspishnemisto.com.ua/school/461204/", 461204)</f>
        <v>461204</v>
      </c>
      <c r="B8484" s="3" t="s">
        <v>43605</v>
      </c>
      <c r="C8484" s="3" t="s">
        <v>54</v>
      </c>
      <c r="D8484" s="3" t="s">
        <v>175</v>
      </c>
      <c r="E8484" s="4" t="s">
        <v>22</v>
      </c>
      <c r="F8484" s="4" t="s">
        <v>43606</v>
      </c>
      <c r="G8484" s="4" t="s">
        <v>43607</v>
      </c>
      <c r="H8484" s="3" t="s">
        <v>38194</v>
      </c>
      <c r="I8484" s="3" t="s">
        <v>8285</v>
      </c>
      <c r="J8484" s="3" t="s">
        <v>43608</v>
      </c>
      <c r="K8484" s="3" t="s">
        <v>43609</v>
      </c>
      <c r="L8484" s="3"/>
      <c r="M8484" s="4"/>
      <c r="N8484" s="3" t="s">
        <v>37</v>
      </c>
      <c r="O8484" s="3" t="s">
        <v>46</v>
      </c>
      <c r="P8484" s="5">
        <v>9</v>
      </c>
      <c r="Q8484" s="5">
        <v>117</v>
      </c>
      <c r="R8484" s="5">
        <v>9</v>
      </c>
      <c r="S8484" s="5">
        <v>121</v>
      </c>
    </row>
    <row r="8485" spans="1:19" ht="28" x14ac:dyDescent="0.15">
      <c r="A8485" s="2">
        <f>HYPERLINK("https://open-school.uspishnemisto.com.ua/school/461205/", 461205)</f>
        <v>461205</v>
      </c>
      <c r="B8485" s="3" t="s">
        <v>43610</v>
      </c>
      <c r="C8485" s="3" t="s">
        <v>54</v>
      </c>
      <c r="D8485" s="3" t="s">
        <v>32</v>
      </c>
      <c r="E8485" s="4" t="s">
        <v>22</v>
      </c>
      <c r="F8485" s="4" t="s">
        <v>43606</v>
      </c>
      <c r="G8485" s="4" t="s">
        <v>43607</v>
      </c>
      <c r="H8485" s="3" t="s">
        <v>38194</v>
      </c>
      <c r="I8485" s="3" t="s">
        <v>8285</v>
      </c>
      <c r="J8485" s="3" t="s">
        <v>718</v>
      </c>
      <c r="K8485" s="3" t="s">
        <v>43611</v>
      </c>
      <c r="L8485" s="3"/>
      <c r="M8485" s="4"/>
      <c r="N8485" s="3" t="s">
        <v>37</v>
      </c>
      <c r="O8485" s="3" t="s">
        <v>46</v>
      </c>
      <c r="P8485" s="5">
        <v>13</v>
      </c>
      <c r="Q8485" s="5">
        <v>272</v>
      </c>
      <c r="R8485" s="5">
        <v>13</v>
      </c>
      <c r="S8485" s="5">
        <v>262</v>
      </c>
    </row>
    <row r="8486" spans="1:19" ht="28" x14ac:dyDescent="0.15">
      <c r="A8486" s="2">
        <f>HYPERLINK("https://open-school.uspishnemisto.com.ua/school/461206/", 461206)</f>
        <v>461206</v>
      </c>
      <c r="B8486" s="3" t="s">
        <v>43612</v>
      </c>
      <c r="C8486" s="3" t="s">
        <v>31</v>
      </c>
      <c r="D8486" s="3" t="s">
        <v>175</v>
      </c>
      <c r="E8486" s="4" t="s">
        <v>22</v>
      </c>
      <c r="F8486" s="4" t="s">
        <v>43613</v>
      </c>
      <c r="G8486" s="4" t="s">
        <v>43614</v>
      </c>
      <c r="H8486" s="3" t="s">
        <v>38194</v>
      </c>
      <c r="I8486" s="3" t="s">
        <v>43615</v>
      </c>
      <c r="J8486" s="3" t="s">
        <v>43616</v>
      </c>
      <c r="K8486" s="3" t="s">
        <v>43617</v>
      </c>
      <c r="L8486" s="3"/>
      <c r="M8486" s="4"/>
      <c r="N8486" s="3" t="s">
        <v>37</v>
      </c>
      <c r="O8486" s="3" t="s">
        <v>46</v>
      </c>
      <c r="P8486" s="5">
        <v>9</v>
      </c>
      <c r="Q8486" s="5">
        <v>86</v>
      </c>
      <c r="R8486" s="5">
        <v>9</v>
      </c>
      <c r="S8486" s="5">
        <v>83</v>
      </c>
    </row>
    <row r="8487" spans="1:19" ht="28" x14ac:dyDescent="0.15">
      <c r="A8487" s="2">
        <f>HYPERLINK("https://open-school.uspishnemisto.com.ua/school/461207/", 461207)</f>
        <v>461207</v>
      </c>
      <c r="B8487" s="3" t="s">
        <v>43618</v>
      </c>
      <c r="C8487" s="3" t="s">
        <v>31</v>
      </c>
      <c r="D8487" s="3" t="s">
        <v>175</v>
      </c>
      <c r="E8487" s="4" t="s">
        <v>22</v>
      </c>
      <c r="F8487" s="4" t="s">
        <v>43619</v>
      </c>
      <c r="G8487" s="4" t="s">
        <v>43620</v>
      </c>
      <c r="H8487" s="3" t="s">
        <v>38194</v>
      </c>
      <c r="I8487" s="3" t="s">
        <v>43621</v>
      </c>
      <c r="J8487" s="3" t="s">
        <v>933</v>
      </c>
      <c r="K8487" s="3" t="s">
        <v>43622</v>
      </c>
      <c r="L8487" s="3"/>
      <c r="M8487" s="4"/>
      <c r="N8487" s="3" t="s">
        <v>37</v>
      </c>
      <c r="O8487" s="3" t="s">
        <v>46</v>
      </c>
      <c r="P8487" s="5">
        <v>9</v>
      </c>
      <c r="Q8487" s="5">
        <v>127</v>
      </c>
      <c r="R8487" s="5">
        <v>9</v>
      </c>
      <c r="S8487" s="5">
        <v>116</v>
      </c>
    </row>
    <row r="8488" spans="1:19" ht="28" x14ac:dyDescent="0.15">
      <c r="A8488" s="2">
        <f>HYPERLINK("https://open-school.uspishnemisto.com.ua/school/461208/", 461208)</f>
        <v>461208</v>
      </c>
      <c r="B8488" s="3" t="s">
        <v>43623</v>
      </c>
      <c r="C8488" s="3" t="s">
        <v>31</v>
      </c>
      <c r="D8488" s="3" t="s">
        <v>175</v>
      </c>
      <c r="E8488" s="4" t="s">
        <v>22</v>
      </c>
      <c r="F8488" s="4" t="s">
        <v>43624</v>
      </c>
      <c r="G8488" s="4" t="s">
        <v>43625</v>
      </c>
      <c r="H8488" s="3" t="s">
        <v>38194</v>
      </c>
      <c r="I8488" s="3" t="s">
        <v>43626</v>
      </c>
      <c r="J8488" s="3" t="s">
        <v>43627</v>
      </c>
      <c r="K8488" s="3" t="s">
        <v>43628</v>
      </c>
      <c r="L8488" s="3"/>
      <c r="M8488" s="4"/>
      <c r="N8488" s="3" t="s">
        <v>37</v>
      </c>
      <c r="O8488" s="3" t="s">
        <v>52</v>
      </c>
      <c r="P8488" s="5">
        <v>9</v>
      </c>
      <c r="Q8488" s="5">
        <v>111</v>
      </c>
      <c r="R8488" s="5">
        <v>9</v>
      </c>
      <c r="S8488" s="5">
        <v>113</v>
      </c>
    </row>
    <row r="8489" spans="1:19" ht="42" x14ac:dyDescent="0.15">
      <c r="A8489" s="2">
        <f>HYPERLINK("https://open-school.uspishnemisto.com.ua/school/461209/", 461209)</f>
        <v>461209</v>
      </c>
      <c r="B8489" s="3" t="s">
        <v>43629</v>
      </c>
      <c r="C8489" s="3" t="s">
        <v>54</v>
      </c>
      <c r="D8489" s="3" t="s">
        <v>32</v>
      </c>
      <c r="E8489" s="4" t="s">
        <v>22</v>
      </c>
      <c r="F8489" s="4" t="s">
        <v>43630</v>
      </c>
      <c r="G8489" s="4" t="s">
        <v>43631</v>
      </c>
      <c r="H8489" s="3" t="s">
        <v>38194</v>
      </c>
      <c r="I8489" s="3" t="s">
        <v>43632</v>
      </c>
      <c r="J8489" s="3" t="s">
        <v>43633</v>
      </c>
      <c r="K8489" s="3" t="s">
        <v>43634</v>
      </c>
      <c r="L8489" s="3"/>
      <c r="M8489" s="4"/>
      <c r="N8489" s="3" t="s">
        <v>37</v>
      </c>
      <c r="O8489" s="3" t="s">
        <v>46</v>
      </c>
      <c r="P8489" s="5">
        <v>11</v>
      </c>
      <c r="Q8489" s="5">
        <v>167</v>
      </c>
      <c r="R8489" s="5">
        <v>11</v>
      </c>
      <c r="S8489" s="5">
        <v>159</v>
      </c>
    </row>
    <row r="8490" spans="1:19" ht="42" x14ac:dyDescent="0.15">
      <c r="A8490" s="2">
        <f>HYPERLINK("https://open-school.uspishnemisto.com.ua/school/461210/", 461210)</f>
        <v>461210</v>
      </c>
      <c r="B8490" s="3" t="s">
        <v>43635</v>
      </c>
      <c r="C8490" s="3" t="s">
        <v>54</v>
      </c>
      <c r="D8490" s="3" t="s">
        <v>32</v>
      </c>
      <c r="E8490" s="4" t="s">
        <v>22</v>
      </c>
      <c r="F8490" s="4" t="s">
        <v>43636</v>
      </c>
      <c r="G8490" s="4" t="s">
        <v>43637</v>
      </c>
      <c r="H8490" s="3" t="s">
        <v>38194</v>
      </c>
      <c r="I8490" s="3" t="s">
        <v>43638</v>
      </c>
      <c r="J8490" s="3" t="s">
        <v>43639</v>
      </c>
      <c r="K8490" s="3" t="s">
        <v>43640</v>
      </c>
      <c r="L8490" s="3"/>
      <c r="M8490" s="4"/>
      <c r="N8490" s="3" t="s">
        <v>37</v>
      </c>
      <c r="O8490" s="3" t="s">
        <v>46</v>
      </c>
      <c r="P8490" s="5">
        <v>11</v>
      </c>
      <c r="Q8490" s="5">
        <v>139</v>
      </c>
      <c r="R8490" s="5">
        <v>11</v>
      </c>
      <c r="S8490" s="5">
        <v>143</v>
      </c>
    </row>
    <row r="8491" spans="1:19" ht="28" x14ac:dyDescent="0.15">
      <c r="A8491" s="2">
        <f>HYPERLINK("https://open-school.uspishnemisto.com.ua/school/461211/", 461211)</f>
        <v>461211</v>
      </c>
      <c r="B8491" s="3" t="s">
        <v>43641</v>
      </c>
      <c r="C8491" s="3" t="s">
        <v>31</v>
      </c>
      <c r="D8491" s="3" t="s">
        <v>32</v>
      </c>
      <c r="E8491" s="4" t="s">
        <v>22</v>
      </c>
      <c r="F8491" s="4" t="s">
        <v>43642</v>
      </c>
      <c r="G8491" s="4" t="s">
        <v>43643</v>
      </c>
      <c r="H8491" s="3" t="s">
        <v>38194</v>
      </c>
      <c r="I8491" s="3" t="s">
        <v>43644</v>
      </c>
      <c r="J8491" s="3" t="s">
        <v>2884</v>
      </c>
      <c r="K8491" s="3" t="s">
        <v>43645</v>
      </c>
      <c r="L8491" s="3"/>
      <c r="M8491" s="4"/>
      <c r="N8491" s="3" t="s">
        <v>37</v>
      </c>
      <c r="O8491" s="3" t="s">
        <v>46</v>
      </c>
      <c r="P8491" s="5">
        <v>11</v>
      </c>
      <c r="Q8491" s="5">
        <v>187</v>
      </c>
      <c r="R8491" s="5">
        <v>11</v>
      </c>
      <c r="S8491" s="5">
        <v>191</v>
      </c>
    </row>
    <row r="8492" spans="1:19" ht="42" x14ac:dyDescent="0.15">
      <c r="A8492" s="2">
        <f>HYPERLINK("https://open-school.uspishnemisto.com.ua/school/461212/", 461212)</f>
        <v>461212</v>
      </c>
      <c r="B8492" s="3" t="s">
        <v>43646</v>
      </c>
      <c r="C8492" s="3" t="s">
        <v>54</v>
      </c>
      <c r="D8492" s="3" t="s">
        <v>32</v>
      </c>
      <c r="E8492" s="4" t="s">
        <v>22</v>
      </c>
      <c r="F8492" s="4" t="s">
        <v>43647</v>
      </c>
      <c r="G8492" s="4" t="s">
        <v>43648</v>
      </c>
      <c r="H8492" s="3" t="s">
        <v>38194</v>
      </c>
      <c r="I8492" s="3" t="s">
        <v>43649</v>
      </c>
      <c r="J8492" s="3" t="s">
        <v>43650</v>
      </c>
      <c r="K8492" s="3" t="s">
        <v>43651</v>
      </c>
      <c r="L8492" s="3"/>
      <c r="M8492" s="4"/>
      <c r="N8492" s="3" t="s">
        <v>37</v>
      </c>
      <c r="O8492" s="3" t="s">
        <v>46</v>
      </c>
      <c r="P8492" s="5">
        <v>13</v>
      </c>
      <c r="Q8492" s="5">
        <v>241</v>
      </c>
      <c r="R8492" s="5">
        <v>12</v>
      </c>
      <c r="S8492" s="5">
        <v>222</v>
      </c>
    </row>
    <row r="8493" spans="1:19" ht="28" x14ac:dyDescent="0.15">
      <c r="A8493" s="2">
        <f>HYPERLINK("https://open-school.uspishnemisto.com.ua/school/461213/", 461213)</f>
        <v>461213</v>
      </c>
      <c r="B8493" s="3" t="s">
        <v>43652</v>
      </c>
      <c r="C8493" s="3" t="s">
        <v>31</v>
      </c>
      <c r="D8493" s="3" t="s">
        <v>60</v>
      </c>
      <c r="E8493" s="4" t="s">
        <v>22</v>
      </c>
      <c r="F8493" s="4" t="s">
        <v>43647</v>
      </c>
      <c r="G8493" s="4" t="s">
        <v>43653</v>
      </c>
      <c r="H8493" s="3" t="s">
        <v>38194</v>
      </c>
      <c r="I8493" s="3" t="s">
        <v>22415</v>
      </c>
      <c r="J8493" s="3" t="s">
        <v>5786</v>
      </c>
      <c r="K8493" s="3" t="s">
        <v>43654</v>
      </c>
      <c r="L8493" s="3"/>
      <c r="M8493" s="4"/>
      <c r="N8493" s="3" t="s">
        <v>37</v>
      </c>
      <c r="O8493" s="3" t="s">
        <v>52</v>
      </c>
      <c r="P8493" s="5">
        <v>1</v>
      </c>
      <c r="Q8493" s="5">
        <v>15</v>
      </c>
      <c r="R8493" s="5">
        <v>1</v>
      </c>
      <c r="S8493" s="5">
        <v>15</v>
      </c>
    </row>
    <row r="8494" spans="1:19" ht="28" x14ac:dyDescent="0.15">
      <c r="A8494" s="2">
        <f>HYPERLINK("https://open-school.uspishnemisto.com.ua/school/461214/", 461214)</f>
        <v>461214</v>
      </c>
      <c r="B8494" s="3" t="s">
        <v>43655</v>
      </c>
      <c r="C8494" s="3" t="s">
        <v>54</v>
      </c>
      <c r="D8494" s="3" t="s">
        <v>32</v>
      </c>
      <c r="E8494" s="4" t="s">
        <v>22</v>
      </c>
      <c r="F8494" s="4" t="s">
        <v>43656</v>
      </c>
      <c r="G8494" s="4" t="s">
        <v>43657</v>
      </c>
      <c r="H8494" s="3" t="s">
        <v>38194</v>
      </c>
      <c r="I8494" s="3" t="s">
        <v>43658</v>
      </c>
      <c r="J8494" s="3" t="s">
        <v>2476</v>
      </c>
      <c r="K8494" s="3" t="s">
        <v>43659</v>
      </c>
      <c r="L8494" s="3"/>
      <c r="M8494" s="4"/>
      <c r="N8494" s="3" t="s">
        <v>37</v>
      </c>
      <c r="O8494" s="3" t="s">
        <v>52</v>
      </c>
      <c r="P8494" s="5">
        <v>16</v>
      </c>
      <c r="Q8494" s="5">
        <v>302</v>
      </c>
      <c r="R8494" s="5">
        <v>15</v>
      </c>
      <c r="S8494" s="5">
        <v>290</v>
      </c>
    </row>
    <row r="8495" spans="1:19" ht="56" x14ac:dyDescent="0.15">
      <c r="A8495" s="2">
        <f>HYPERLINK("https://open-school.uspishnemisto.com.ua/school/461215/", 461215)</f>
        <v>461215</v>
      </c>
      <c r="B8495" s="3" t="s">
        <v>43660</v>
      </c>
      <c r="C8495" s="3" t="s">
        <v>54</v>
      </c>
      <c r="D8495" s="3" t="s">
        <v>32</v>
      </c>
      <c r="E8495" s="4" t="s">
        <v>22</v>
      </c>
      <c r="F8495" s="4" t="s">
        <v>43661</v>
      </c>
      <c r="G8495" s="4" t="s">
        <v>43662</v>
      </c>
      <c r="H8495" s="3" t="s">
        <v>38194</v>
      </c>
      <c r="I8495" s="3" t="s">
        <v>43663</v>
      </c>
      <c r="J8495" s="3" t="s">
        <v>3112</v>
      </c>
      <c r="K8495" s="3" t="s">
        <v>43664</v>
      </c>
      <c r="L8495" s="3"/>
      <c r="M8495" s="4"/>
      <c r="N8495" s="3" t="s">
        <v>37</v>
      </c>
      <c r="O8495" s="3" t="s">
        <v>46</v>
      </c>
      <c r="P8495" s="5">
        <v>11</v>
      </c>
      <c r="Q8495" s="5">
        <v>159</v>
      </c>
      <c r="R8495" s="5">
        <v>11</v>
      </c>
      <c r="S8495" s="5">
        <v>158</v>
      </c>
    </row>
    <row r="8496" spans="1:19" ht="70" x14ac:dyDescent="0.15">
      <c r="A8496" s="2">
        <f>HYPERLINK("https://open-school.uspishnemisto.com.ua/school/461216/", 461216)</f>
        <v>461216</v>
      </c>
      <c r="B8496" s="3" t="s">
        <v>43665</v>
      </c>
      <c r="C8496" s="3" t="s">
        <v>54</v>
      </c>
      <c r="D8496" s="3" t="s">
        <v>32</v>
      </c>
      <c r="E8496" s="4" t="s">
        <v>22</v>
      </c>
      <c r="F8496" s="4" t="s">
        <v>43666</v>
      </c>
      <c r="G8496" s="4" t="s">
        <v>43667</v>
      </c>
      <c r="H8496" s="3" t="s">
        <v>38194</v>
      </c>
      <c r="I8496" s="3" t="s">
        <v>43668</v>
      </c>
      <c r="J8496" s="3" t="s">
        <v>7112</v>
      </c>
      <c r="K8496" s="3" t="s">
        <v>43669</v>
      </c>
      <c r="L8496" s="3"/>
      <c r="M8496" s="4"/>
      <c r="N8496" s="3" t="s">
        <v>37</v>
      </c>
      <c r="O8496" s="3" t="s">
        <v>123</v>
      </c>
      <c r="P8496" s="5">
        <v>11</v>
      </c>
      <c r="Q8496" s="5">
        <v>176</v>
      </c>
      <c r="R8496" s="5">
        <v>11</v>
      </c>
      <c r="S8496" s="5">
        <v>170</v>
      </c>
    </row>
    <row r="8497" spans="1:19" ht="28" x14ac:dyDescent="0.15">
      <c r="A8497" s="2">
        <f>HYPERLINK("https://open-school.uspishnemisto.com.ua/school/461217/", 461217)</f>
        <v>461217</v>
      </c>
      <c r="B8497" s="3" t="s">
        <v>43670</v>
      </c>
      <c r="C8497" s="3" t="s">
        <v>31</v>
      </c>
      <c r="D8497" s="3" t="s">
        <v>32</v>
      </c>
      <c r="E8497" s="4" t="s">
        <v>22</v>
      </c>
      <c r="F8497" s="4" t="s">
        <v>43671</v>
      </c>
      <c r="G8497" s="4" t="s">
        <v>43672</v>
      </c>
      <c r="H8497" s="3" t="s">
        <v>38194</v>
      </c>
      <c r="I8497" s="3" t="s">
        <v>43673</v>
      </c>
      <c r="J8497" s="3" t="s">
        <v>43674</v>
      </c>
      <c r="K8497" s="3" t="s">
        <v>43675</v>
      </c>
      <c r="L8497" s="3"/>
      <c r="M8497" s="4" t="s">
        <v>43676</v>
      </c>
      <c r="N8497" s="3" t="s">
        <v>37</v>
      </c>
      <c r="O8497" s="3" t="s">
        <v>46</v>
      </c>
      <c r="P8497" s="5">
        <v>15</v>
      </c>
      <c r="Q8497" s="5">
        <v>264</v>
      </c>
      <c r="R8497" s="5">
        <v>14</v>
      </c>
      <c r="S8497" s="5">
        <v>248</v>
      </c>
    </row>
    <row r="8498" spans="1:19" ht="42" x14ac:dyDescent="0.15">
      <c r="A8498" s="2">
        <f>HYPERLINK("https://open-school.uspishnemisto.com.ua/school/461218/", 461218)</f>
        <v>461218</v>
      </c>
      <c r="B8498" s="3" t="s">
        <v>43677</v>
      </c>
      <c r="C8498" s="3" t="s">
        <v>31</v>
      </c>
      <c r="D8498" s="3" t="s">
        <v>175</v>
      </c>
      <c r="E8498" s="4" t="s">
        <v>22</v>
      </c>
      <c r="F8498" s="4" t="s">
        <v>43678</v>
      </c>
      <c r="G8498" s="4" t="s">
        <v>43679</v>
      </c>
      <c r="H8498" s="3" t="s">
        <v>38194</v>
      </c>
      <c r="I8498" s="3" t="s">
        <v>43680</v>
      </c>
      <c r="J8498" s="3" t="s">
        <v>43681</v>
      </c>
      <c r="K8498" s="3" t="s">
        <v>43682</v>
      </c>
      <c r="L8498" s="3"/>
      <c r="M8498" s="4"/>
      <c r="N8498" s="3" t="s">
        <v>37</v>
      </c>
      <c r="O8498" s="3" t="s">
        <v>46</v>
      </c>
      <c r="P8498" s="5">
        <v>9</v>
      </c>
      <c r="Q8498" s="5">
        <v>107</v>
      </c>
      <c r="R8498" s="5">
        <v>9</v>
      </c>
      <c r="S8498" s="5">
        <v>109</v>
      </c>
    </row>
    <row r="8499" spans="1:19" ht="28" x14ac:dyDescent="0.15">
      <c r="A8499" s="2">
        <f>HYPERLINK("https://open-school.uspishnemisto.com.ua/school/461219/", 461219)</f>
        <v>461219</v>
      </c>
      <c r="B8499" s="3" t="s">
        <v>43683</v>
      </c>
      <c r="C8499" s="3" t="s">
        <v>181</v>
      </c>
      <c r="D8499" s="3" t="s">
        <v>32</v>
      </c>
      <c r="E8499" s="4" t="s">
        <v>22</v>
      </c>
      <c r="F8499" s="4" t="s">
        <v>43684</v>
      </c>
      <c r="G8499" s="4" t="s">
        <v>43685</v>
      </c>
      <c r="H8499" s="3" t="s">
        <v>38194</v>
      </c>
      <c r="I8499" s="3" t="s">
        <v>33387</v>
      </c>
      <c r="J8499" s="3" t="s">
        <v>43686</v>
      </c>
      <c r="K8499" s="3" t="s">
        <v>43687</v>
      </c>
      <c r="L8499" s="3"/>
      <c r="M8499" s="4" t="s">
        <v>43688</v>
      </c>
      <c r="N8499" s="3" t="s">
        <v>37</v>
      </c>
      <c r="O8499" s="3" t="s">
        <v>52</v>
      </c>
      <c r="P8499" s="5">
        <v>21</v>
      </c>
      <c r="Q8499" s="5">
        <v>205</v>
      </c>
      <c r="R8499" s="5">
        <v>23</v>
      </c>
      <c r="S8499" s="5">
        <v>200</v>
      </c>
    </row>
    <row r="8500" spans="1:19" ht="28" x14ac:dyDescent="0.15">
      <c r="A8500" s="2">
        <f>HYPERLINK("https://open-school.uspishnemisto.com.ua/school/461220/", 461220)</f>
        <v>461220</v>
      </c>
      <c r="B8500" s="3" t="s">
        <v>43689</v>
      </c>
      <c r="C8500" s="3" t="s">
        <v>31</v>
      </c>
      <c r="D8500" s="3" t="s">
        <v>60</v>
      </c>
      <c r="E8500" s="4" t="s">
        <v>22</v>
      </c>
      <c r="F8500" s="4" t="s">
        <v>43684</v>
      </c>
      <c r="G8500" s="4" t="s">
        <v>43685</v>
      </c>
      <c r="H8500" s="3" t="s">
        <v>38194</v>
      </c>
      <c r="I8500" s="3" t="s">
        <v>33387</v>
      </c>
      <c r="J8500" s="3" t="s">
        <v>43690</v>
      </c>
      <c r="K8500" s="3" t="s">
        <v>43691</v>
      </c>
      <c r="L8500" s="3"/>
      <c r="M8500" s="4"/>
      <c r="N8500" s="3" t="s">
        <v>37</v>
      </c>
      <c r="O8500" s="3" t="s">
        <v>52</v>
      </c>
      <c r="P8500" s="5">
        <v>1</v>
      </c>
      <c r="Q8500" s="5">
        <v>16</v>
      </c>
      <c r="R8500" s="5">
        <v>1</v>
      </c>
      <c r="S8500" s="5">
        <v>14</v>
      </c>
    </row>
    <row r="8501" spans="1:19" ht="28" x14ac:dyDescent="0.15">
      <c r="A8501" s="2">
        <f>HYPERLINK("https://open-school.uspishnemisto.com.ua/school/461221/", 461221)</f>
        <v>461221</v>
      </c>
      <c r="B8501" s="3" t="s">
        <v>43692</v>
      </c>
      <c r="C8501" s="3" t="s">
        <v>31</v>
      </c>
      <c r="D8501" s="3" t="s">
        <v>175</v>
      </c>
      <c r="E8501" s="4" t="s">
        <v>22</v>
      </c>
      <c r="F8501" s="4" t="s">
        <v>43693</v>
      </c>
      <c r="G8501" s="4" t="s">
        <v>43694</v>
      </c>
      <c r="H8501" s="3" t="s">
        <v>38194</v>
      </c>
      <c r="I8501" s="3" t="s">
        <v>43695</v>
      </c>
      <c r="J8501" s="3" t="s">
        <v>43696</v>
      </c>
      <c r="K8501" s="3" t="s">
        <v>43697</v>
      </c>
      <c r="L8501" s="3"/>
      <c r="M8501" s="4"/>
      <c r="N8501" s="3" t="s">
        <v>37</v>
      </c>
      <c r="O8501" s="3" t="s">
        <v>46</v>
      </c>
      <c r="P8501" s="5">
        <v>9</v>
      </c>
      <c r="Q8501" s="5">
        <v>115</v>
      </c>
      <c r="R8501" s="5">
        <v>9</v>
      </c>
      <c r="S8501" s="5">
        <v>117</v>
      </c>
    </row>
    <row r="8502" spans="1:19" ht="28" x14ac:dyDescent="0.15">
      <c r="A8502" s="2">
        <f>HYPERLINK("https://open-school.uspishnemisto.com.ua/school/461222/", 461222)</f>
        <v>461222</v>
      </c>
      <c r="B8502" s="3" t="s">
        <v>43698</v>
      </c>
      <c r="C8502" s="3" t="s">
        <v>31</v>
      </c>
      <c r="D8502" s="3" t="s">
        <v>60</v>
      </c>
      <c r="E8502" s="4" t="s">
        <v>22</v>
      </c>
      <c r="F8502" s="4" t="s">
        <v>43684</v>
      </c>
      <c r="G8502" s="4" t="s">
        <v>43699</v>
      </c>
      <c r="H8502" s="3" t="s">
        <v>38194</v>
      </c>
      <c r="I8502" s="3" t="s">
        <v>895</v>
      </c>
      <c r="J8502" s="3" t="s">
        <v>41099</v>
      </c>
      <c r="K8502" s="3" t="s">
        <v>43700</v>
      </c>
      <c r="L8502" s="3"/>
      <c r="M8502" s="4"/>
      <c r="N8502" s="3" t="s">
        <v>37</v>
      </c>
      <c r="O8502" s="3" t="s">
        <v>52</v>
      </c>
      <c r="P8502" s="5">
        <v>1</v>
      </c>
      <c r="Q8502" s="5">
        <v>14</v>
      </c>
      <c r="R8502" s="5">
        <v>0</v>
      </c>
      <c r="S8502" s="5">
        <v>9</v>
      </c>
    </row>
    <row r="8503" spans="1:19" ht="28" x14ac:dyDescent="0.15">
      <c r="A8503" s="2">
        <f>HYPERLINK("https://open-school.uspishnemisto.com.ua/school/461223/", 461223)</f>
        <v>461223</v>
      </c>
      <c r="B8503" s="3" t="s">
        <v>43701</v>
      </c>
      <c r="C8503" s="3" t="s">
        <v>31</v>
      </c>
      <c r="D8503" s="3" t="s">
        <v>60</v>
      </c>
      <c r="E8503" s="4" t="s">
        <v>22</v>
      </c>
      <c r="F8503" s="4" t="s">
        <v>43684</v>
      </c>
      <c r="G8503" s="4" t="s">
        <v>43702</v>
      </c>
      <c r="H8503" s="3" t="s">
        <v>38194</v>
      </c>
      <c r="I8503" s="3" t="s">
        <v>43703</v>
      </c>
      <c r="J8503" s="3" t="s">
        <v>43704</v>
      </c>
      <c r="K8503" s="3" t="s">
        <v>43705</v>
      </c>
      <c r="L8503" s="3"/>
      <c r="M8503" s="4"/>
      <c r="N8503" s="3" t="s">
        <v>37</v>
      </c>
      <c r="O8503" s="3" t="s">
        <v>52</v>
      </c>
      <c r="P8503" s="5">
        <v>0</v>
      </c>
      <c r="Q8503" s="5">
        <v>0</v>
      </c>
      <c r="R8503" s="5">
        <v>0</v>
      </c>
      <c r="S8503" s="5">
        <v>11</v>
      </c>
    </row>
    <row r="8504" spans="1:19" ht="28" x14ac:dyDescent="0.15">
      <c r="A8504" s="2">
        <f>HYPERLINK("https://open-school.uspishnemisto.com.ua/school/461224/", 461224)</f>
        <v>461224</v>
      </c>
      <c r="B8504" s="3" t="s">
        <v>43706</v>
      </c>
      <c r="C8504" s="3" t="s">
        <v>31</v>
      </c>
      <c r="D8504" s="3" t="s">
        <v>32</v>
      </c>
      <c r="E8504" s="4" t="s">
        <v>22</v>
      </c>
      <c r="F8504" s="4" t="s">
        <v>43707</v>
      </c>
      <c r="G8504" s="4" t="s">
        <v>43708</v>
      </c>
      <c r="H8504" s="3" t="s">
        <v>38194</v>
      </c>
      <c r="I8504" s="3" t="s">
        <v>36521</v>
      </c>
      <c r="J8504" s="3" t="s">
        <v>2745</v>
      </c>
      <c r="K8504" s="3" t="s">
        <v>43709</v>
      </c>
      <c r="L8504" s="3"/>
      <c r="M8504" s="4"/>
      <c r="N8504" s="3" t="s">
        <v>37</v>
      </c>
      <c r="O8504" s="3" t="s">
        <v>2740</v>
      </c>
      <c r="P8504" s="5">
        <v>11</v>
      </c>
      <c r="Q8504" s="5">
        <v>198</v>
      </c>
      <c r="R8504" s="5">
        <v>11</v>
      </c>
      <c r="S8504" s="5">
        <v>192</v>
      </c>
    </row>
    <row r="8505" spans="1:19" ht="28" x14ac:dyDescent="0.15">
      <c r="A8505" s="2">
        <f>HYPERLINK("https://open-school.uspishnemisto.com.ua/school/461225/", 461225)</f>
        <v>461225</v>
      </c>
      <c r="B8505" s="3" t="s">
        <v>43710</v>
      </c>
      <c r="C8505" s="3" t="s">
        <v>31</v>
      </c>
      <c r="D8505" s="3" t="s">
        <v>175</v>
      </c>
      <c r="E8505" s="4" t="s">
        <v>22</v>
      </c>
      <c r="F8505" s="4" t="s">
        <v>43711</v>
      </c>
      <c r="G8505" s="4" t="s">
        <v>43712</v>
      </c>
      <c r="H8505" s="3" t="s">
        <v>38194</v>
      </c>
      <c r="I8505" s="3" t="s">
        <v>3784</v>
      </c>
      <c r="J8505" s="3" t="s">
        <v>2745</v>
      </c>
      <c r="K8505" s="3" t="s">
        <v>43713</v>
      </c>
      <c r="L8505" s="3"/>
      <c r="M8505" s="4"/>
      <c r="N8505" s="3" t="s">
        <v>37</v>
      </c>
      <c r="O8505" s="3" t="s">
        <v>2740</v>
      </c>
      <c r="P8505" s="5">
        <v>3</v>
      </c>
      <c r="Q8505" s="5">
        <v>28</v>
      </c>
      <c r="R8505" s="5">
        <v>3</v>
      </c>
      <c r="S8505" s="5">
        <v>31</v>
      </c>
    </row>
    <row r="8506" spans="1:19" ht="42" x14ac:dyDescent="0.15">
      <c r="A8506" s="2">
        <f>HYPERLINK("https://open-school.uspishnemisto.com.ua/school/461226/", 461226)</f>
        <v>461226</v>
      </c>
      <c r="B8506" s="3" t="s">
        <v>43714</v>
      </c>
      <c r="C8506" s="3" t="s">
        <v>54</v>
      </c>
      <c r="D8506" s="3" t="s">
        <v>175</v>
      </c>
      <c r="E8506" s="4" t="s">
        <v>22</v>
      </c>
      <c r="F8506" s="4" t="s">
        <v>43715</v>
      </c>
      <c r="G8506" s="4" t="s">
        <v>43716</v>
      </c>
      <c r="H8506" s="3" t="s">
        <v>38194</v>
      </c>
      <c r="I8506" s="3" t="s">
        <v>43717</v>
      </c>
      <c r="J8506" s="3" t="s">
        <v>933</v>
      </c>
      <c r="K8506" s="3" t="s">
        <v>43718</v>
      </c>
      <c r="L8506" s="3"/>
      <c r="M8506" s="4"/>
      <c r="N8506" s="3" t="s">
        <v>37</v>
      </c>
      <c r="O8506" s="3" t="s">
        <v>46</v>
      </c>
      <c r="P8506" s="5">
        <v>9</v>
      </c>
      <c r="Q8506" s="5">
        <v>97</v>
      </c>
      <c r="R8506" s="5">
        <v>9</v>
      </c>
      <c r="S8506" s="5">
        <v>98</v>
      </c>
    </row>
    <row r="8507" spans="1:19" ht="42" x14ac:dyDescent="0.15">
      <c r="A8507" s="2">
        <f>HYPERLINK("https://open-school.uspishnemisto.com.ua/school/461227/", 461227)</f>
        <v>461227</v>
      </c>
      <c r="B8507" s="3" t="s">
        <v>43719</v>
      </c>
      <c r="C8507" s="3" t="s">
        <v>54</v>
      </c>
      <c r="D8507" s="3" t="s">
        <v>60</v>
      </c>
      <c r="E8507" s="4" t="s">
        <v>22</v>
      </c>
      <c r="F8507" s="4" t="s">
        <v>43720</v>
      </c>
      <c r="G8507" s="4" t="s">
        <v>43721</v>
      </c>
      <c r="H8507" s="3" t="s">
        <v>38194</v>
      </c>
      <c r="I8507" s="3" t="s">
        <v>43722</v>
      </c>
      <c r="J8507" s="3" t="s">
        <v>5632</v>
      </c>
      <c r="K8507" s="3" t="s">
        <v>43723</v>
      </c>
      <c r="L8507" s="3"/>
      <c r="M8507" s="4"/>
      <c r="N8507" s="3" t="s">
        <v>37</v>
      </c>
      <c r="O8507" s="3" t="s">
        <v>52</v>
      </c>
      <c r="P8507" s="5">
        <v>2</v>
      </c>
      <c r="Q8507" s="5">
        <v>16</v>
      </c>
      <c r="R8507" s="5">
        <v>3</v>
      </c>
      <c r="S8507" s="5">
        <v>30</v>
      </c>
    </row>
    <row r="8508" spans="1:19" ht="28" x14ac:dyDescent="0.15">
      <c r="A8508" s="2">
        <f>HYPERLINK("https://open-school.uspishnemisto.com.ua/school/461228/", 461228)</f>
        <v>461228</v>
      </c>
      <c r="B8508" s="3" t="s">
        <v>43724</v>
      </c>
      <c r="C8508" s="3" t="s">
        <v>31</v>
      </c>
      <c r="D8508" s="3" t="s">
        <v>32</v>
      </c>
      <c r="E8508" s="4" t="s">
        <v>22</v>
      </c>
      <c r="F8508" s="4" t="s">
        <v>43725</v>
      </c>
      <c r="G8508" s="4" t="s">
        <v>43726</v>
      </c>
      <c r="H8508" s="3" t="s">
        <v>38194</v>
      </c>
      <c r="I8508" s="3" t="s">
        <v>43727</v>
      </c>
      <c r="J8508" s="3" t="s">
        <v>43728</v>
      </c>
      <c r="K8508" s="3" t="s">
        <v>43729</v>
      </c>
      <c r="L8508" s="3"/>
      <c r="M8508" s="4"/>
      <c r="N8508" s="3" t="s">
        <v>37</v>
      </c>
      <c r="O8508" s="3" t="s">
        <v>52</v>
      </c>
      <c r="P8508" s="5">
        <v>11</v>
      </c>
      <c r="Q8508" s="5">
        <v>123</v>
      </c>
      <c r="R8508" s="5">
        <v>11</v>
      </c>
      <c r="S8508" s="5">
        <v>118</v>
      </c>
    </row>
    <row r="8509" spans="1:19" ht="42" x14ac:dyDescent="0.15">
      <c r="A8509" s="2">
        <f>HYPERLINK("https://open-school.uspishnemisto.com.ua/school/461229/", 461229)</f>
        <v>461229</v>
      </c>
      <c r="B8509" s="3" t="s">
        <v>43730</v>
      </c>
      <c r="C8509" s="3" t="s">
        <v>54</v>
      </c>
      <c r="D8509" s="3" t="s">
        <v>32</v>
      </c>
      <c r="E8509" s="4" t="s">
        <v>22</v>
      </c>
      <c r="F8509" s="4" t="s">
        <v>43731</v>
      </c>
      <c r="G8509" s="4" t="s">
        <v>43732</v>
      </c>
      <c r="H8509" s="3" t="s">
        <v>38194</v>
      </c>
      <c r="I8509" s="3" t="s">
        <v>43733</v>
      </c>
      <c r="J8509" s="3" t="s">
        <v>43734</v>
      </c>
      <c r="K8509" s="3" t="s">
        <v>43735</v>
      </c>
      <c r="L8509" s="3"/>
      <c r="M8509" s="4"/>
      <c r="N8509" s="3" t="s">
        <v>37</v>
      </c>
      <c r="O8509" s="3" t="s">
        <v>46</v>
      </c>
      <c r="P8509" s="5">
        <v>11</v>
      </c>
      <c r="Q8509" s="5">
        <v>184</v>
      </c>
      <c r="R8509" s="5">
        <v>11</v>
      </c>
      <c r="S8509" s="5">
        <v>185</v>
      </c>
    </row>
    <row r="8510" spans="1:19" ht="28" x14ac:dyDescent="0.15">
      <c r="A8510" s="2">
        <f>HYPERLINK("https://open-school.uspishnemisto.com.ua/school/461230/", 461230)</f>
        <v>461230</v>
      </c>
      <c r="B8510" s="3" t="s">
        <v>43736</v>
      </c>
      <c r="C8510" s="3" t="s">
        <v>31</v>
      </c>
      <c r="D8510" s="3" t="s">
        <v>175</v>
      </c>
      <c r="E8510" s="4" t="s">
        <v>22</v>
      </c>
      <c r="F8510" s="4" t="s">
        <v>43737</v>
      </c>
      <c r="G8510" s="4" t="s">
        <v>43738</v>
      </c>
      <c r="H8510" s="3" t="s">
        <v>38194</v>
      </c>
      <c r="I8510" s="3" t="s">
        <v>21333</v>
      </c>
      <c r="J8510" s="3" t="s">
        <v>43739</v>
      </c>
      <c r="K8510" s="3" t="s">
        <v>43740</v>
      </c>
      <c r="L8510" s="3"/>
      <c r="M8510" s="4"/>
      <c r="N8510" s="3" t="s">
        <v>37</v>
      </c>
      <c r="O8510" s="3" t="s">
        <v>46</v>
      </c>
      <c r="P8510" s="5">
        <v>7</v>
      </c>
      <c r="Q8510" s="5">
        <v>58</v>
      </c>
      <c r="R8510" s="5">
        <v>7</v>
      </c>
      <c r="S8510" s="5">
        <v>57</v>
      </c>
    </row>
    <row r="8511" spans="1:19" ht="28" x14ac:dyDescent="0.15">
      <c r="A8511" s="2">
        <f>HYPERLINK("https://open-school.uspishnemisto.com.ua/school/461231/", 461231)</f>
        <v>461231</v>
      </c>
      <c r="B8511" s="3" t="s">
        <v>43741</v>
      </c>
      <c r="C8511" s="3" t="s">
        <v>31</v>
      </c>
      <c r="D8511" s="3" t="s">
        <v>32</v>
      </c>
      <c r="E8511" s="4" t="s">
        <v>22</v>
      </c>
      <c r="F8511" s="4" t="s">
        <v>43742</v>
      </c>
      <c r="G8511" s="4" t="s">
        <v>43743</v>
      </c>
      <c r="H8511" s="3" t="s">
        <v>38194</v>
      </c>
      <c r="I8511" s="3" t="s">
        <v>43744</v>
      </c>
      <c r="J8511" s="3" t="s">
        <v>34855</v>
      </c>
      <c r="K8511" s="3" t="s">
        <v>43745</v>
      </c>
      <c r="L8511" s="3"/>
      <c r="M8511" s="4"/>
      <c r="N8511" s="3" t="s">
        <v>37</v>
      </c>
      <c r="O8511" s="3" t="s">
        <v>46</v>
      </c>
      <c r="P8511" s="5">
        <v>11</v>
      </c>
      <c r="Q8511" s="5">
        <v>100</v>
      </c>
      <c r="R8511" s="5">
        <v>11</v>
      </c>
      <c r="S8511" s="5">
        <v>104</v>
      </c>
    </row>
    <row r="8512" spans="1:19" ht="42" x14ac:dyDescent="0.15">
      <c r="A8512" s="2">
        <f>HYPERLINK("https://open-school.uspishnemisto.com.ua/school/461232/", 461232)</f>
        <v>461232</v>
      </c>
      <c r="B8512" s="3" t="s">
        <v>43746</v>
      </c>
      <c r="C8512" s="3" t="s">
        <v>54</v>
      </c>
      <c r="D8512" s="3" t="s">
        <v>175</v>
      </c>
      <c r="E8512" s="4" t="s">
        <v>22</v>
      </c>
      <c r="F8512" s="4" t="s">
        <v>43747</v>
      </c>
      <c r="G8512" s="4" t="s">
        <v>43748</v>
      </c>
      <c r="H8512" s="3" t="s">
        <v>38194</v>
      </c>
      <c r="I8512" s="3" t="s">
        <v>7597</v>
      </c>
      <c r="J8512" s="3" t="s">
        <v>40743</v>
      </c>
      <c r="K8512" s="3" t="s">
        <v>43749</v>
      </c>
      <c r="L8512" s="3"/>
      <c r="M8512" s="4"/>
      <c r="N8512" s="3" t="s">
        <v>37</v>
      </c>
      <c r="O8512" s="3" t="s">
        <v>46</v>
      </c>
      <c r="P8512" s="5">
        <v>9</v>
      </c>
      <c r="Q8512" s="5">
        <v>75</v>
      </c>
      <c r="R8512" s="5">
        <v>9</v>
      </c>
      <c r="S8512" s="5">
        <v>74</v>
      </c>
    </row>
    <row r="8513" spans="1:19" ht="28" x14ac:dyDescent="0.15">
      <c r="A8513" s="2">
        <f>HYPERLINK("https://open-school.uspishnemisto.com.ua/school/461233/", 461233)</f>
        <v>461233</v>
      </c>
      <c r="B8513" s="3" t="s">
        <v>43750</v>
      </c>
      <c r="C8513" s="3" t="s">
        <v>31</v>
      </c>
      <c r="D8513" s="3" t="s">
        <v>60</v>
      </c>
      <c r="E8513" s="4" t="s">
        <v>22</v>
      </c>
      <c r="F8513" s="4" t="s">
        <v>43742</v>
      </c>
      <c r="G8513" s="4" t="s">
        <v>43751</v>
      </c>
      <c r="H8513" s="3" t="s">
        <v>38194</v>
      </c>
      <c r="I8513" s="3" t="s">
        <v>43752</v>
      </c>
      <c r="J8513" s="3" t="s">
        <v>42585</v>
      </c>
      <c r="K8513" s="3" t="s">
        <v>43753</v>
      </c>
      <c r="L8513" s="3"/>
      <c r="M8513" s="4"/>
      <c r="N8513" s="3" t="s">
        <v>37</v>
      </c>
      <c r="O8513" s="3" t="s">
        <v>52</v>
      </c>
      <c r="P8513" s="5">
        <v>0</v>
      </c>
      <c r="Q8513" s="5">
        <v>0</v>
      </c>
      <c r="R8513" s="5">
        <v>1</v>
      </c>
      <c r="S8513" s="5">
        <v>17</v>
      </c>
    </row>
    <row r="8514" spans="1:19" ht="28" x14ac:dyDescent="0.15">
      <c r="A8514" s="2">
        <f>HYPERLINK("https://open-school.uspishnemisto.com.ua/school/461234/", 461234)</f>
        <v>461234</v>
      </c>
      <c r="B8514" s="3" t="s">
        <v>43754</v>
      </c>
      <c r="C8514" s="3" t="s">
        <v>31</v>
      </c>
      <c r="D8514" s="3" t="s">
        <v>60</v>
      </c>
      <c r="E8514" s="4" t="s">
        <v>22</v>
      </c>
      <c r="F8514" s="4" t="s">
        <v>43755</v>
      </c>
      <c r="G8514" s="4" t="s">
        <v>43756</v>
      </c>
      <c r="H8514" s="3" t="s">
        <v>38194</v>
      </c>
      <c r="I8514" s="3" t="s">
        <v>30483</v>
      </c>
      <c r="J8514" s="3" t="s">
        <v>21823</v>
      </c>
      <c r="K8514" s="3" t="s">
        <v>43757</v>
      </c>
      <c r="L8514" s="3"/>
      <c r="M8514" s="4"/>
      <c r="N8514" s="3" t="s">
        <v>37</v>
      </c>
      <c r="O8514" s="3" t="s">
        <v>52</v>
      </c>
      <c r="P8514" s="5">
        <v>0</v>
      </c>
      <c r="Q8514" s="5">
        <v>0</v>
      </c>
      <c r="R8514" s="5">
        <v>2</v>
      </c>
      <c r="S8514" s="5">
        <v>20</v>
      </c>
    </row>
    <row r="8515" spans="1:19" ht="42" x14ac:dyDescent="0.15">
      <c r="A8515" s="2">
        <f>HYPERLINK("https://open-school.uspishnemisto.com.ua/school/461235/", 461235)</f>
        <v>461235</v>
      </c>
      <c r="B8515" s="3" t="s">
        <v>43758</v>
      </c>
      <c r="C8515" s="3" t="s">
        <v>54</v>
      </c>
      <c r="D8515" s="3" t="s">
        <v>175</v>
      </c>
      <c r="E8515" s="4" t="s">
        <v>22</v>
      </c>
      <c r="F8515" s="4" t="s">
        <v>43759</v>
      </c>
      <c r="G8515" s="4" t="s">
        <v>43760</v>
      </c>
      <c r="H8515" s="3" t="s">
        <v>38194</v>
      </c>
      <c r="I8515" s="3" t="s">
        <v>43761</v>
      </c>
      <c r="J8515" s="3" t="s">
        <v>43762</v>
      </c>
      <c r="K8515" s="3" t="s">
        <v>43763</v>
      </c>
      <c r="L8515" s="3"/>
      <c r="M8515" s="4"/>
      <c r="N8515" s="3" t="s">
        <v>37</v>
      </c>
      <c r="O8515" s="3" t="s">
        <v>46</v>
      </c>
      <c r="P8515" s="5">
        <v>7</v>
      </c>
      <c r="Q8515" s="5">
        <v>48</v>
      </c>
      <c r="R8515" s="5">
        <v>8</v>
      </c>
      <c r="S8515" s="5">
        <v>53</v>
      </c>
    </row>
    <row r="8516" spans="1:19" ht="28" x14ac:dyDescent="0.15">
      <c r="A8516" s="2">
        <f>HYPERLINK("https://open-school.uspishnemisto.com.ua/school/461236/", 461236)</f>
        <v>461236</v>
      </c>
      <c r="B8516" s="3" t="s">
        <v>43764</v>
      </c>
      <c r="C8516" s="3" t="s">
        <v>31</v>
      </c>
      <c r="D8516" s="3" t="s">
        <v>175</v>
      </c>
      <c r="E8516" s="4" t="s">
        <v>22</v>
      </c>
      <c r="F8516" s="4" t="s">
        <v>43765</v>
      </c>
      <c r="G8516" s="4" t="s">
        <v>43766</v>
      </c>
      <c r="H8516" s="3" t="s">
        <v>38194</v>
      </c>
      <c r="I8516" s="3" t="s">
        <v>43767</v>
      </c>
      <c r="J8516" s="3" t="s">
        <v>43768</v>
      </c>
      <c r="K8516" s="3" t="s">
        <v>43769</v>
      </c>
      <c r="L8516" s="3"/>
      <c r="M8516" s="4"/>
      <c r="N8516" s="3" t="s">
        <v>37</v>
      </c>
      <c r="O8516" s="3" t="s">
        <v>2740</v>
      </c>
      <c r="P8516" s="5">
        <v>8</v>
      </c>
      <c r="Q8516" s="5">
        <v>53</v>
      </c>
      <c r="R8516" s="5">
        <v>8</v>
      </c>
      <c r="S8516" s="5">
        <v>59</v>
      </c>
    </row>
    <row r="8517" spans="1:19" ht="56" x14ac:dyDescent="0.15">
      <c r="A8517" s="2">
        <f>HYPERLINK("https://open-school.uspishnemisto.com.ua/school/461237/", 461237)</f>
        <v>461237</v>
      </c>
      <c r="B8517" s="3" t="s">
        <v>43770</v>
      </c>
      <c r="C8517" s="3" t="s">
        <v>54</v>
      </c>
      <c r="D8517" s="3" t="s">
        <v>175</v>
      </c>
      <c r="E8517" s="4" t="s">
        <v>22</v>
      </c>
      <c r="F8517" s="4" t="s">
        <v>43771</v>
      </c>
      <c r="G8517" s="4" t="s">
        <v>43772</v>
      </c>
      <c r="H8517" s="3" t="s">
        <v>38194</v>
      </c>
      <c r="I8517" s="3" t="s">
        <v>43773</v>
      </c>
      <c r="J8517" s="3" t="s">
        <v>2052</v>
      </c>
      <c r="K8517" s="3" t="s">
        <v>43774</v>
      </c>
      <c r="L8517" s="3"/>
      <c r="M8517" s="4"/>
      <c r="N8517" s="3" t="s">
        <v>37</v>
      </c>
      <c r="O8517" s="3" t="s">
        <v>46</v>
      </c>
      <c r="P8517" s="5">
        <v>8</v>
      </c>
      <c r="Q8517" s="5">
        <v>114</v>
      </c>
      <c r="R8517" s="5">
        <v>8</v>
      </c>
      <c r="S8517" s="5">
        <v>116</v>
      </c>
    </row>
    <row r="8518" spans="1:19" ht="28" x14ac:dyDescent="0.15">
      <c r="A8518" s="2">
        <f>HYPERLINK("https://open-school.uspishnemisto.com.ua/school/461238/", 461238)</f>
        <v>461238</v>
      </c>
      <c r="B8518" s="3" t="s">
        <v>43775</v>
      </c>
      <c r="C8518" s="3" t="s">
        <v>31</v>
      </c>
      <c r="D8518" s="3" t="s">
        <v>60</v>
      </c>
      <c r="E8518" s="4" t="s">
        <v>22</v>
      </c>
      <c r="F8518" s="4" t="s">
        <v>43771</v>
      </c>
      <c r="G8518" s="4" t="s">
        <v>43776</v>
      </c>
      <c r="H8518" s="3" t="s">
        <v>38194</v>
      </c>
      <c r="I8518" s="3" t="s">
        <v>43777</v>
      </c>
      <c r="J8518" s="3" t="s">
        <v>5029</v>
      </c>
      <c r="K8518" s="3" t="s">
        <v>43778</v>
      </c>
      <c r="L8518" s="3"/>
      <c r="M8518" s="4"/>
      <c r="N8518" s="3" t="s">
        <v>37</v>
      </c>
      <c r="O8518" s="3" t="s">
        <v>52</v>
      </c>
      <c r="P8518" s="5">
        <v>0</v>
      </c>
      <c r="Q8518" s="5">
        <v>0</v>
      </c>
      <c r="R8518" s="5">
        <v>2</v>
      </c>
      <c r="S8518" s="5">
        <v>16</v>
      </c>
    </row>
    <row r="8519" spans="1:19" ht="28" x14ac:dyDescent="0.15">
      <c r="A8519" s="2">
        <f>HYPERLINK("https://open-school.uspishnemisto.com.ua/school/461239/", 461239)</f>
        <v>461239</v>
      </c>
      <c r="B8519" s="3" t="s">
        <v>43779</v>
      </c>
      <c r="C8519" s="3" t="s">
        <v>31</v>
      </c>
      <c r="D8519" s="3" t="s">
        <v>32</v>
      </c>
      <c r="E8519" s="4" t="s">
        <v>22</v>
      </c>
      <c r="F8519" s="4" t="s">
        <v>43780</v>
      </c>
      <c r="G8519" s="4" t="s">
        <v>43781</v>
      </c>
      <c r="H8519" s="3" t="s">
        <v>38194</v>
      </c>
      <c r="I8519" s="3" t="s">
        <v>43782</v>
      </c>
      <c r="J8519" s="3" t="s">
        <v>43783</v>
      </c>
      <c r="K8519" s="3" t="s">
        <v>43784</v>
      </c>
      <c r="L8519" s="3"/>
      <c r="M8519" s="4"/>
      <c r="N8519" s="3" t="s">
        <v>37</v>
      </c>
      <c r="O8519" s="3" t="s">
        <v>46</v>
      </c>
      <c r="P8519" s="5">
        <v>12</v>
      </c>
      <c r="Q8519" s="5">
        <v>205</v>
      </c>
      <c r="R8519" s="5">
        <v>12</v>
      </c>
      <c r="S8519" s="5">
        <v>200</v>
      </c>
    </row>
    <row r="8520" spans="1:19" ht="28" x14ac:dyDescent="0.15">
      <c r="A8520" s="2">
        <f>HYPERLINK("https://open-school.uspishnemisto.com.ua/school/461240/", 461240)</f>
        <v>461240</v>
      </c>
      <c r="B8520" s="3" t="s">
        <v>43785</v>
      </c>
      <c r="C8520" s="3" t="s">
        <v>31</v>
      </c>
      <c r="D8520" s="3" t="s">
        <v>60</v>
      </c>
      <c r="E8520" s="4" t="s">
        <v>22</v>
      </c>
      <c r="F8520" s="4" t="s">
        <v>43786</v>
      </c>
      <c r="G8520" s="4" t="s">
        <v>43787</v>
      </c>
      <c r="H8520" s="3" t="s">
        <v>38194</v>
      </c>
      <c r="I8520" s="3" t="s">
        <v>43788</v>
      </c>
      <c r="J8520" s="3" t="s">
        <v>43789</v>
      </c>
      <c r="K8520" s="3" t="s">
        <v>43790</v>
      </c>
      <c r="L8520" s="3"/>
      <c r="M8520" s="4"/>
      <c r="N8520" s="3" t="s">
        <v>37</v>
      </c>
      <c r="O8520" s="3" t="s">
        <v>52</v>
      </c>
      <c r="P8520" s="5">
        <v>4</v>
      </c>
      <c r="Q8520" s="5">
        <v>32</v>
      </c>
      <c r="R8520" s="5">
        <v>4</v>
      </c>
      <c r="S8520" s="5">
        <v>31</v>
      </c>
    </row>
    <row r="8521" spans="1:19" ht="28" x14ac:dyDescent="0.15">
      <c r="A8521" s="2">
        <f>HYPERLINK("https://open-school.uspishnemisto.com.ua/school/461241/", 461241)</f>
        <v>461241</v>
      </c>
      <c r="B8521" s="3" t="s">
        <v>43791</v>
      </c>
      <c r="C8521" s="3" t="s">
        <v>31</v>
      </c>
      <c r="D8521" s="3" t="s">
        <v>32</v>
      </c>
      <c r="E8521" s="4" t="s">
        <v>22</v>
      </c>
      <c r="F8521" s="4" t="s">
        <v>43792</v>
      </c>
      <c r="G8521" s="4" t="s">
        <v>43793</v>
      </c>
      <c r="H8521" s="3" t="s">
        <v>38194</v>
      </c>
      <c r="I8521" s="3" t="s">
        <v>28769</v>
      </c>
      <c r="J8521" s="3" t="s">
        <v>43794</v>
      </c>
      <c r="K8521" s="3" t="s">
        <v>43795</v>
      </c>
      <c r="L8521" s="3"/>
      <c r="M8521" s="4"/>
      <c r="N8521" s="3" t="s">
        <v>37</v>
      </c>
      <c r="O8521" s="3" t="s">
        <v>52</v>
      </c>
      <c r="P8521" s="5">
        <v>18</v>
      </c>
      <c r="Q8521" s="5">
        <v>394</v>
      </c>
      <c r="R8521" s="5">
        <v>18</v>
      </c>
      <c r="S8521" s="5">
        <v>387</v>
      </c>
    </row>
    <row r="8522" spans="1:19" ht="28" x14ac:dyDescent="0.15">
      <c r="A8522" s="2">
        <f>HYPERLINK("https://open-school.uspishnemisto.com.ua/school/461242/", 461242)</f>
        <v>461242</v>
      </c>
      <c r="B8522" s="3" t="s">
        <v>43796</v>
      </c>
      <c r="C8522" s="3" t="s">
        <v>293</v>
      </c>
      <c r="D8522" s="3" t="s">
        <v>175</v>
      </c>
      <c r="E8522" s="4" t="s">
        <v>22</v>
      </c>
      <c r="F8522" s="4" t="s">
        <v>43792</v>
      </c>
      <c r="G8522" s="4" t="s">
        <v>43793</v>
      </c>
      <c r="H8522" s="3" t="s">
        <v>38194</v>
      </c>
      <c r="I8522" s="3" t="s">
        <v>28769</v>
      </c>
      <c r="J8522" s="3" t="s">
        <v>43797</v>
      </c>
      <c r="K8522" s="3" t="s">
        <v>43798</v>
      </c>
      <c r="L8522" s="3"/>
      <c r="M8522" s="4"/>
      <c r="N8522" s="3" t="s">
        <v>37</v>
      </c>
      <c r="O8522" s="3" t="s">
        <v>52</v>
      </c>
      <c r="P8522" s="5">
        <v>9</v>
      </c>
      <c r="Q8522" s="5">
        <v>156</v>
      </c>
      <c r="R8522" s="5">
        <v>9</v>
      </c>
      <c r="S8522" s="5">
        <v>153</v>
      </c>
    </row>
    <row r="8523" spans="1:19" ht="56" x14ac:dyDescent="0.15">
      <c r="A8523" s="2">
        <f>HYPERLINK("https://open-school.uspishnemisto.com.ua/school/461243/", 461243)</f>
        <v>461243</v>
      </c>
      <c r="B8523" s="3" t="s">
        <v>43799</v>
      </c>
      <c r="C8523" s="3" t="s">
        <v>54</v>
      </c>
      <c r="D8523" s="3" t="s">
        <v>32</v>
      </c>
      <c r="E8523" s="4" t="s">
        <v>22</v>
      </c>
      <c r="F8523" s="4" t="s">
        <v>43792</v>
      </c>
      <c r="G8523" s="4" t="s">
        <v>43793</v>
      </c>
      <c r="H8523" s="3" t="s">
        <v>38194</v>
      </c>
      <c r="I8523" s="3" t="s">
        <v>28769</v>
      </c>
      <c r="J8523" s="3" t="s">
        <v>43800</v>
      </c>
      <c r="K8523" s="3" t="s">
        <v>43801</v>
      </c>
      <c r="L8523" s="3"/>
      <c r="M8523" s="4"/>
      <c r="N8523" s="3" t="s">
        <v>37</v>
      </c>
      <c r="O8523" s="3" t="s">
        <v>123</v>
      </c>
      <c r="P8523" s="5">
        <v>20</v>
      </c>
      <c r="Q8523" s="5">
        <v>385</v>
      </c>
      <c r="R8523" s="5">
        <v>19</v>
      </c>
      <c r="S8523" s="5">
        <v>376</v>
      </c>
    </row>
    <row r="8524" spans="1:19" ht="56" x14ac:dyDescent="0.15">
      <c r="A8524" s="2">
        <f>HYPERLINK("https://open-school.uspishnemisto.com.ua/school/461244/", 461244)</f>
        <v>461244</v>
      </c>
      <c r="B8524" s="3" t="s">
        <v>43802</v>
      </c>
      <c r="C8524" s="3" t="s">
        <v>54</v>
      </c>
      <c r="D8524" s="3" t="s">
        <v>175</v>
      </c>
      <c r="E8524" s="4" t="s">
        <v>22</v>
      </c>
      <c r="F8524" s="4" t="s">
        <v>43792</v>
      </c>
      <c r="G8524" s="4" t="s">
        <v>43793</v>
      </c>
      <c r="H8524" s="3" t="s">
        <v>38194</v>
      </c>
      <c r="I8524" s="3" t="s">
        <v>28769</v>
      </c>
      <c r="J8524" s="3" t="s">
        <v>43803</v>
      </c>
      <c r="K8524" s="3" t="s">
        <v>43804</v>
      </c>
      <c r="L8524" s="3"/>
      <c r="M8524" s="4"/>
      <c r="N8524" s="3" t="s">
        <v>37</v>
      </c>
      <c r="O8524" s="3" t="s">
        <v>46</v>
      </c>
      <c r="P8524" s="5">
        <v>9</v>
      </c>
      <c r="Q8524" s="5">
        <v>139</v>
      </c>
      <c r="R8524" s="5">
        <v>9</v>
      </c>
      <c r="S8524" s="5">
        <v>144</v>
      </c>
    </row>
    <row r="8525" spans="1:19" ht="56" x14ac:dyDescent="0.15">
      <c r="A8525" s="2">
        <f>HYPERLINK("https://open-school.uspishnemisto.com.ua/school/461368/", 461368)</f>
        <v>461368</v>
      </c>
      <c r="B8525" s="3" t="s">
        <v>43805</v>
      </c>
      <c r="C8525" s="3" t="s">
        <v>54</v>
      </c>
      <c r="D8525" s="3" t="s">
        <v>32</v>
      </c>
      <c r="E8525" s="4" t="s">
        <v>22</v>
      </c>
      <c r="F8525" s="4" t="s">
        <v>43806</v>
      </c>
      <c r="G8525" s="4" t="s">
        <v>43807</v>
      </c>
      <c r="H8525" s="3" t="s">
        <v>38194</v>
      </c>
      <c r="I8525" s="3" t="s">
        <v>43808</v>
      </c>
      <c r="J8525" s="3" t="s">
        <v>43809</v>
      </c>
      <c r="K8525" s="3" t="s">
        <v>43810</v>
      </c>
      <c r="L8525" s="3"/>
      <c r="M8525" s="4"/>
      <c r="N8525" s="3" t="s">
        <v>37</v>
      </c>
      <c r="O8525" s="3" t="s">
        <v>52</v>
      </c>
      <c r="P8525" s="5">
        <v>11</v>
      </c>
      <c r="Q8525" s="5">
        <v>183</v>
      </c>
      <c r="R8525" s="5"/>
      <c r="S8525" s="5"/>
    </row>
    <row r="8526" spans="1:19" ht="56" x14ac:dyDescent="0.15">
      <c r="A8526" s="2">
        <f>HYPERLINK("https://open-school.uspishnemisto.com.ua/school/461245/", 461245)</f>
        <v>461245</v>
      </c>
      <c r="B8526" s="3" t="s">
        <v>43811</v>
      </c>
      <c r="C8526" s="3" t="s">
        <v>54</v>
      </c>
      <c r="D8526" s="3" t="s">
        <v>32</v>
      </c>
      <c r="E8526" s="4" t="s">
        <v>22</v>
      </c>
      <c r="F8526" s="4" t="s">
        <v>43812</v>
      </c>
      <c r="G8526" s="4" t="s">
        <v>43813</v>
      </c>
      <c r="H8526" s="3" t="s">
        <v>38194</v>
      </c>
      <c r="I8526" s="3" t="s">
        <v>43814</v>
      </c>
      <c r="J8526" s="3" t="s">
        <v>43815</v>
      </c>
      <c r="K8526" s="3" t="s">
        <v>43816</v>
      </c>
      <c r="L8526" s="3"/>
      <c r="M8526" s="4"/>
      <c r="N8526" s="3" t="s">
        <v>37</v>
      </c>
      <c r="O8526" s="3" t="s">
        <v>46</v>
      </c>
      <c r="P8526" s="5">
        <v>11</v>
      </c>
      <c r="Q8526" s="5">
        <v>124</v>
      </c>
      <c r="R8526" s="5">
        <v>11</v>
      </c>
      <c r="S8526" s="5">
        <v>123</v>
      </c>
    </row>
    <row r="8527" spans="1:19" ht="28" x14ac:dyDescent="0.15">
      <c r="A8527" s="2">
        <f>HYPERLINK("https://open-school.uspishnemisto.com.ua/school/461246/", 461246)</f>
        <v>461246</v>
      </c>
      <c r="B8527" s="3" t="s">
        <v>43817</v>
      </c>
      <c r="C8527" s="3" t="s">
        <v>54</v>
      </c>
      <c r="D8527" s="3" t="s">
        <v>175</v>
      </c>
      <c r="E8527" s="4" t="s">
        <v>22</v>
      </c>
      <c r="F8527" s="4" t="s">
        <v>43818</v>
      </c>
      <c r="G8527" s="4" t="s">
        <v>43819</v>
      </c>
      <c r="H8527" s="3" t="s">
        <v>38194</v>
      </c>
      <c r="I8527" s="3" t="s">
        <v>43820</v>
      </c>
      <c r="J8527" s="3" t="s">
        <v>43821</v>
      </c>
      <c r="K8527" s="3"/>
      <c r="L8527" s="3"/>
      <c r="M8527" s="4"/>
      <c r="N8527" s="3" t="s">
        <v>37</v>
      </c>
      <c r="O8527" s="3" t="s">
        <v>52</v>
      </c>
      <c r="P8527" s="5">
        <v>9</v>
      </c>
      <c r="Q8527" s="5">
        <v>58</v>
      </c>
      <c r="R8527" s="5">
        <v>9</v>
      </c>
      <c r="S8527" s="5">
        <v>62</v>
      </c>
    </row>
    <row r="8528" spans="1:19" ht="28" x14ac:dyDescent="0.15">
      <c r="A8528" s="2">
        <f>HYPERLINK("https://open-school.uspishnemisto.com.ua/school/461247/", 461247)</f>
        <v>461247</v>
      </c>
      <c r="B8528" s="3" t="s">
        <v>43822</v>
      </c>
      <c r="C8528" s="3" t="s">
        <v>54</v>
      </c>
      <c r="D8528" s="3" t="s">
        <v>32</v>
      </c>
      <c r="E8528" s="4" t="s">
        <v>22</v>
      </c>
      <c r="F8528" s="4" t="s">
        <v>43823</v>
      </c>
      <c r="G8528" s="4" t="s">
        <v>43824</v>
      </c>
      <c r="H8528" s="3" t="s">
        <v>38194</v>
      </c>
      <c r="I8528" s="3" t="s">
        <v>43825</v>
      </c>
      <c r="J8528" s="3" t="s">
        <v>43826</v>
      </c>
      <c r="K8528" s="3" t="s">
        <v>43827</v>
      </c>
      <c r="L8528" s="3"/>
      <c r="M8528" s="4"/>
      <c r="N8528" s="3" t="s">
        <v>37</v>
      </c>
      <c r="O8528" s="3" t="s">
        <v>46</v>
      </c>
      <c r="P8528" s="5">
        <v>11</v>
      </c>
      <c r="Q8528" s="5">
        <v>135</v>
      </c>
      <c r="R8528" s="5">
        <v>11</v>
      </c>
      <c r="S8528" s="5">
        <v>142</v>
      </c>
    </row>
    <row r="8529" spans="1:19" ht="28" x14ac:dyDescent="0.15">
      <c r="A8529" s="2">
        <f>HYPERLINK("https://open-school.uspishnemisto.com.ua/school/461248/", 461248)</f>
        <v>461248</v>
      </c>
      <c r="B8529" s="3" t="s">
        <v>43828</v>
      </c>
      <c r="C8529" s="3" t="s">
        <v>31</v>
      </c>
      <c r="D8529" s="3" t="s">
        <v>60</v>
      </c>
      <c r="E8529" s="4" t="s">
        <v>22</v>
      </c>
      <c r="F8529" s="4" t="s">
        <v>43823</v>
      </c>
      <c r="G8529" s="4" t="s">
        <v>43829</v>
      </c>
      <c r="H8529" s="3" t="s">
        <v>38194</v>
      </c>
      <c r="I8529" s="3" t="s">
        <v>43830</v>
      </c>
      <c r="J8529" s="3" t="s">
        <v>43831</v>
      </c>
      <c r="K8529" s="3" t="s">
        <v>43832</v>
      </c>
      <c r="L8529" s="3"/>
      <c r="M8529" s="4"/>
      <c r="N8529" s="3" t="s">
        <v>37</v>
      </c>
      <c r="O8529" s="3" t="s">
        <v>52</v>
      </c>
      <c r="P8529" s="5">
        <v>1</v>
      </c>
      <c r="Q8529" s="5">
        <v>14</v>
      </c>
      <c r="R8529" s="5">
        <v>2</v>
      </c>
      <c r="S8529" s="5">
        <v>15</v>
      </c>
    </row>
    <row r="8530" spans="1:19" ht="56" x14ac:dyDescent="0.15">
      <c r="A8530" s="2">
        <f>HYPERLINK("https://open-school.uspishnemisto.com.ua/school/461249/", 461249)</f>
        <v>461249</v>
      </c>
      <c r="B8530" s="3" t="s">
        <v>43833</v>
      </c>
      <c r="C8530" s="3" t="s">
        <v>54</v>
      </c>
      <c r="D8530" s="3" t="s">
        <v>32</v>
      </c>
      <c r="E8530" s="4" t="s">
        <v>22</v>
      </c>
      <c r="F8530" s="4" t="s">
        <v>43834</v>
      </c>
      <c r="G8530" s="4" t="s">
        <v>43835</v>
      </c>
      <c r="H8530" s="3" t="s">
        <v>38194</v>
      </c>
      <c r="I8530" s="3" t="s">
        <v>43836</v>
      </c>
      <c r="J8530" s="3" t="s">
        <v>43837</v>
      </c>
      <c r="K8530" s="3" t="s">
        <v>43838</v>
      </c>
      <c r="L8530" s="3"/>
      <c r="M8530" s="4"/>
      <c r="N8530" s="3" t="s">
        <v>37</v>
      </c>
      <c r="O8530" s="3" t="s">
        <v>52</v>
      </c>
      <c r="P8530" s="5">
        <v>21</v>
      </c>
      <c r="Q8530" s="5">
        <v>239</v>
      </c>
      <c r="R8530" s="5">
        <v>20</v>
      </c>
      <c r="S8530" s="5">
        <v>245</v>
      </c>
    </row>
    <row r="8531" spans="1:19" ht="56" x14ac:dyDescent="0.15">
      <c r="A8531" s="2">
        <f>HYPERLINK("https://open-school.uspishnemisto.com.ua/school/461250/", 461250)</f>
        <v>461250</v>
      </c>
      <c r="B8531" s="3" t="s">
        <v>43839</v>
      </c>
      <c r="C8531" s="3" t="s">
        <v>54</v>
      </c>
      <c r="D8531" s="3" t="s">
        <v>32</v>
      </c>
      <c r="E8531" s="4" t="s">
        <v>22</v>
      </c>
      <c r="F8531" s="4" t="s">
        <v>43840</v>
      </c>
      <c r="G8531" s="4" t="s">
        <v>43841</v>
      </c>
      <c r="H8531" s="3" t="s">
        <v>38194</v>
      </c>
      <c r="I8531" s="3" t="s">
        <v>43842</v>
      </c>
      <c r="J8531" s="3" t="s">
        <v>43843</v>
      </c>
      <c r="K8531" s="3" t="s">
        <v>43844</v>
      </c>
      <c r="L8531" s="3"/>
      <c r="M8531" s="4"/>
      <c r="N8531" s="3" t="s">
        <v>37</v>
      </c>
      <c r="O8531" s="3" t="s">
        <v>52</v>
      </c>
      <c r="P8531" s="5">
        <v>10</v>
      </c>
      <c r="Q8531" s="5">
        <v>99</v>
      </c>
      <c r="R8531" s="5">
        <v>10</v>
      </c>
      <c r="S8531" s="5">
        <v>97</v>
      </c>
    </row>
    <row r="8532" spans="1:19" ht="56" x14ac:dyDescent="0.15">
      <c r="A8532" s="2">
        <f>HYPERLINK("https://open-school.uspishnemisto.com.ua/school/461251/", 461251)</f>
        <v>461251</v>
      </c>
      <c r="B8532" s="3" t="s">
        <v>43845</v>
      </c>
      <c r="C8532" s="3" t="s">
        <v>54</v>
      </c>
      <c r="D8532" s="3" t="s">
        <v>32</v>
      </c>
      <c r="E8532" s="4" t="s">
        <v>22</v>
      </c>
      <c r="F8532" s="4" t="s">
        <v>43846</v>
      </c>
      <c r="G8532" s="4" t="s">
        <v>43847</v>
      </c>
      <c r="H8532" s="3" t="s">
        <v>38194</v>
      </c>
      <c r="I8532" s="3" t="s">
        <v>43848</v>
      </c>
      <c r="J8532" s="3" t="s">
        <v>43849</v>
      </c>
      <c r="K8532" s="3" t="s">
        <v>43850</v>
      </c>
      <c r="L8532" s="3"/>
      <c r="M8532" s="4"/>
      <c r="N8532" s="3" t="s">
        <v>37</v>
      </c>
      <c r="O8532" s="3" t="s">
        <v>52</v>
      </c>
      <c r="P8532" s="5">
        <v>11</v>
      </c>
      <c r="Q8532" s="5">
        <v>125</v>
      </c>
      <c r="R8532" s="5">
        <v>11</v>
      </c>
      <c r="S8532" s="5">
        <v>118</v>
      </c>
    </row>
    <row r="8533" spans="1:19" ht="28" x14ac:dyDescent="0.15">
      <c r="A8533" s="2">
        <f>HYPERLINK("https://open-school.uspishnemisto.com.ua/school/461252/", 461252)</f>
        <v>461252</v>
      </c>
      <c r="B8533" s="3" t="s">
        <v>43851</v>
      </c>
      <c r="C8533" s="3" t="s">
        <v>31</v>
      </c>
      <c r="D8533" s="3" t="s">
        <v>175</v>
      </c>
      <c r="E8533" s="4" t="s">
        <v>22</v>
      </c>
      <c r="F8533" s="4" t="s">
        <v>43852</v>
      </c>
      <c r="G8533" s="4" t="s">
        <v>43853</v>
      </c>
      <c r="H8533" s="3" t="s">
        <v>38194</v>
      </c>
      <c r="I8533" s="3" t="s">
        <v>37669</v>
      </c>
      <c r="J8533" s="3" t="s">
        <v>11022</v>
      </c>
      <c r="K8533" s="3" t="s">
        <v>43854</v>
      </c>
      <c r="L8533" s="3"/>
      <c r="M8533" s="4"/>
      <c r="N8533" s="3" t="s">
        <v>37</v>
      </c>
      <c r="O8533" s="3" t="s">
        <v>46</v>
      </c>
      <c r="P8533" s="5">
        <v>6</v>
      </c>
      <c r="Q8533" s="5">
        <v>51</v>
      </c>
      <c r="R8533" s="5">
        <v>6</v>
      </c>
      <c r="S8533" s="5">
        <v>52</v>
      </c>
    </row>
    <row r="8534" spans="1:19" ht="28" x14ac:dyDescent="0.15">
      <c r="A8534" s="2">
        <f>HYPERLINK("https://open-school.uspishnemisto.com.ua/school/461253/", 461253)</f>
        <v>461253</v>
      </c>
      <c r="B8534" s="3" t="s">
        <v>43855</v>
      </c>
      <c r="C8534" s="3" t="s">
        <v>31</v>
      </c>
      <c r="D8534" s="3" t="s">
        <v>175</v>
      </c>
      <c r="E8534" s="4" t="s">
        <v>22</v>
      </c>
      <c r="F8534" s="4" t="s">
        <v>43856</v>
      </c>
      <c r="G8534" s="4" t="s">
        <v>43857</v>
      </c>
      <c r="H8534" s="3" t="s">
        <v>38194</v>
      </c>
      <c r="I8534" s="3" t="s">
        <v>28260</v>
      </c>
      <c r="J8534" s="3" t="s">
        <v>43858</v>
      </c>
      <c r="K8534" s="3" t="s">
        <v>43859</v>
      </c>
      <c r="L8534" s="3"/>
      <c r="M8534" s="4"/>
      <c r="N8534" s="3" t="s">
        <v>37</v>
      </c>
      <c r="O8534" s="3" t="s">
        <v>52</v>
      </c>
      <c r="P8534" s="5">
        <v>5</v>
      </c>
      <c r="Q8534" s="5">
        <v>37</v>
      </c>
      <c r="R8534" s="5">
        <v>4</v>
      </c>
      <c r="S8534" s="5">
        <v>36</v>
      </c>
    </row>
    <row r="8535" spans="1:19" ht="56" x14ac:dyDescent="0.15">
      <c r="A8535" s="2">
        <f>HYPERLINK("https://open-school.uspishnemisto.com.ua/school/461254/", 461254)</f>
        <v>461254</v>
      </c>
      <c r="B8535" s="3" t="s">
        <v>43860</v>
      </c>
      <c r="C8535" s="3" t="s">
        <v>54</v>
      </c>
      <c r="D8535" s="3" t="s">
        <v>32</v>
      </c>
      <c r="E8535" s="4" t="s">
        <v>22</v>
      </c>
      <c r="F8535" s="4" t="s">
        <v>43861</v>
      </c>
      <c r="G8535" s="4" t="s">
        <v>43862</v>
      </c>
      <c r="H8535" s="3" t="s">
        <v>38194</v>
      </c>
      <c r="I8535" s="3" t="s">
        <v>43863</v>
      </c>
      <c r="J8535" s="3" t="s">
        <v>15310</v>
      </c>
      <c r="K8535" s="3" t="s">
        <v>43864</v>
      </c>
      <c r="L8535" s="3" t="s">
        <v>43865</v>
      </c>
      <c r="M8535" s="4"/>
      <c r="N8535" s="3" t="s">
        <v>37</v>
      </c>
      <c r="O8535" s="3" t="s">
        <v>52</v>
      </c>
      <c r="P8535" s="5">
        <v>13</v>
      </c>
      <c r="Q8535" s="5">
        <v>256</v>
      </c>
      <c r="R8535" s="5">
        <v>12</v>
      </c>
      <c r="S8535" s="5">
        <v>230</v>
      </c>
    </row>
    <row r="8536" spans="1:19" ht="28" x14ac:dyDescent="0.15">
      <c r="A8536" s="2">
        <f>HYPERLINK("https://open-school.uspishnemisto.com.ua/school/461255/", 461255)</f>
        <v>461255</v>
      </c>
      <c r="B8536" s="3" t="s">
        <v>43866</v>
      </c>
      <c r="C8536" s="3" t="s">
        <v>31</v>
      </c>
      <c r="D8536" s="3" t="s">
        <v>175</v>
      </c>
      <c r="E8536" s="4" t="s">
        <v>22</v>
      </c>
      <c r="F8536" s="4" t="s">
        <v>43867</v>
      </c>
      <c r="G8536" s="4" t="s">
        <v>43868</v>
      </c>
      <c r="H8536" s="3" t="s">
        <v>38194</v>
      </c>
      <c r="I8536" s="3" t="s">
        <v>43869</v>
      </c>
      <c r="J8536" s="3" t="s">
        <v>25678</v>
      </c>
      <c r="K8536" s="3" t="s">
        <v>43870</v>
      </c>
      <c r="L8536" s="3"/>
      <c r="M8536" s="4"/>
      <c r="N8536" s="3" t="s">
        <v>37</v>
      </c>
      <c r="O8536" s="3" t="s">
        <v>52</v>
      </c>
      <c r="P8536" s="5">
        <v>1</v>
      </c>
      <c r="Q8536" s="5">
        <v>27</v>
      </c>
      <c r="R8536" s="5">
        <v>2</v>
      </c>
      <c r="S8536" s="5">
        <v>26</v>
      </c>
    </row>
    <row r="8537" spans="1:19" ht="28" x14ac:dyDescent="0.15">
      <c r="A8537" s="2">
        <f>HYPERLINK("https://open-school.uspishnemisto.com.ua/school/461256/", 461256)</f>
        <v>461256</v>
      </c>
      <c r="B8537" s="3" t="s">
        <v>43871</v>
      </c>
      <c r="C8537" s="3" t="s">
        <v>54</v>
      </c>
      <c r="D8537" s="3" t="s">
        <v>175</v>
      </c>
      <c r="E8537" s="4" t="s">
        <v>22</v>
      </c>
      <c r="F8537" s="4" t="s">
        <v>43872</v>
      </c>
      <c r="G8537" s="4" t="s">
        <v>43873</v>
      </c>
      <c r="H8537" s="3" t="s">
        <v>38194</v>
      </c>
      <c r="I8537" s="3" t="s">
        <v>3351</v>
      </c>
      <c r="J8537" s="3" t="s">
        <v>726</v>
      </c>
      <c r="K8537" s="3" t="s">
        <v>43874</v>
      </c>
      <c r="L8537" s="3" t="s">
        <v>43875</v>
      </c>
      <c r="M8537" s="4"/>
      <c r="N8537" s="3" t="s">
        <v>37</v>
      </c>
      <c r="O8537" s="3" t="s">
        <v>52</v>
      </c>
      <c r="P8537" s="5">
        <v>9</v>
      </c>
      <c r="Q8537" s="5">
        <v>118</v>
      </c>
      <c r="R8537" s="5">
        <v>9</v>
      </c>
      <c r="S8537" s="5">
        <v>113</v>
      </c>
    </row>
    <row r="8538" spans="1:19" ht="28" x14ac:dyDescent="0.15">
      <c r="A8538" s="2">
        <f>HYPERLINK("https://open-school.uspishnemisto.com.ua/school/461257/", 461257)</f>
        <v>461257</v>
      </c>
      <c r="B8538" s="3" t="s">
        <v>43876</v>
      </c>
      <c r="C8538" s="3" t="s">
        <v>31</v>
      </c>
      <c r="D8538" s="3" t="s">
        <v>175</v>
      </c>
      <c r="E8538" s="4" t="s">
        <v>22</v>
      </c>
      <c r="F8538" s="4" t="s">
        <v>43877</v>
      </c>
      <c r="G8538" s="4" t="s">
        <v>43878</v>
      </c>
      <c r="H8538" s="3" t="s">
        <v>38194</v>
      </c>
      <c r="I8538" s="3" t="s">
        <v>43879</v>
      </c>
      <c r="J8538" s="3" t="s">
        <v>43880</v>
      </c>
      <c r="K8538" s="3"/>
      <c r="L8538" s="3"/>
      <c r="M8538" s="4"/>
      <c r="N8538" s="3" t="s">
        <v>37</v>
      </c>
      <c r="O8538" s="3" t="s">
        <v>52</v>
      </c>
      <c r="P8538" s="5">
        <v>8</v>
      </c>
      <c r="Q8538" s="5">
        <v>62</v>
      </c>
      <c r="R8538" s="5">
        <v>7</v>
      </c>
      <c r="S8538" s="5">
        <v>60</v>
      </c>
    </row>
    <row r="8539" spans="1:19" ht="28" x14ac:dyDescent="0.15">
      <c r="A8539" s="2">
        <f>HYPERLINK("https://open-school.uspishnemisto.com.ua/school/461258/", 461258)</f>
        <v>461258</v>
      </c>
      <c r="B8539" s="3" t="s">
        <v>43881</v>
      </c>
      <c r="C8539" s="3" t="s">
        <v>31</v>
      </c>
      <c r="D8539" s="3" t="s">
        <v>175</v>
      </c>
      <c r="E8539" s="4" t="s">
        <v>22</v>
      </c>
      <c r="F8539" s="4"/>
      <c r="G8539" s="4" t="s">
        <v>43882</v>
      </c>
      <c r="H8539" s="3" t="s">
        <v>38194</v>
      </c>
      <c r="I8539" s="3" t="s">
        <v>43883</v>
      </c>
      <c r="J8539" s="3" t="s">
        <v>726</v>
      </c>
      <c r="K8539" s="3" t="s">
        <v>43884</v>
      </c>
      <c r="L8539" s="3"/>
      <c r="M8539" s="4"/>
      <c r="N8539" s="3" t="s">
        <v>37</v>
      </c>
      <c r="O8539" s="3" t="s">
        <v>52</v>
      </c>
      <c r="P8539" s="5">
        <v>9</v>
      </c>
      <c r="Q8539" s="5">
        <v>79</v>
      </c>
      <c r="R8539" s="5">
        <v>9</v>
      </c>
      <c r="S8539" s="5">
        <v>78</v>
      </c>
    </row>
    <row r="8540" spans="1:19" ht="56" x14ac:dyDescent="0.15">
      <c r="A8540" s="2">
        <f>HYPERLINK("https://open-school.uspishnemisto.com.ua/school/461259/", 461259)</f>
        <v>461259</v>
      </c>
      <c r="B8540" s="3" t="s">
        <v>43885</v>
      </c>
      <c r="C8540" s="3" t="s">
        <v>54</v>
      </c>
      <c r="D8540" s="3" t="s">
        <v>32</v>
      </c>
      <c r="E8540" s="4" t="s">
        <v>22</v>
      </c>
      <c r="F8540" s="4" t="s">
        <v>43886</v>
      </c>
      <c r="G8540" s="4" t="s">
        <v>43887</v>
      </c>
      <c r="H8540" s="3" t="s">
        <v>38194</v>
      </c>
      <c r="I8540" s="3" t="s">
        <v>43888</v>
      </c>
      <c r="J8540" s="3" t="s">
        <v>2372</v>
      </c>
      <c r="K8540" s="3"/>
      <c r="L8540" s="3"/>
      <c r="M8540" s="4"/>
      <c r="N8540" s="3" t="s">
        <v>37</v>
      </c>
      <c r="O8540" s="3" t="s">
        <v>52</v>
      </c>
      <c r="P8540" s="5">
        <v>11</v>
      </c>
      <c r="Q8540" s="5">
        <v>167</v>
      </c>
      <c r="R8540" s="5">
        <v>11</v>
      </c>
      <c r="S8540" s="5">
        <v>177</v>
      </c>
    </row>
    <row r="8541" spans="1:19" ht="28" x14ac:dyDescent="0.15">
      <c r="A8541" s="2">
        <f>HYPERLINK("https://open-school.uspishnemisto.com.ua/school/461260/", 461260)</f>
        <v>461260</v>
      </c>
      <c r="B8541" s="3" t="s">
        <v>43889</v>
      </c>
      <c r="C8541" s="3" t="s">
        <v>31</v>
      </c>
      <c r="D8541" s="3" t="s">
        <v>60</v>
      </c>
      <c r="E8541" s="4" t="s">
        <v>22</v>
      </c>
      <c r="F8541" s="4" t="s">
        <v>43890</v>
      </c>
      <c r="G8541" s="4" t="s">
        <v>43891</v>
      </c>
      <c r="H8541" s="3" t="s">
        <v>38194</v>
      </c>
      <c r="I8541" s="3" t="s">
        <v>43892</v>
      </c>
      <c r="J8541" s="3" t="s">
        <v>20973</v>
      </c>
      <c r="K8541" s="3"/>
      <c r="L8541" s="3"/>
      <c r="M8541" s="4"/>
      <c r="N8541" s="3" t="s">
        <v>37</v>
      </c>
      <c r="O8541" s="3" t="s">
        <v>52</v>
      </c>
      <c r="P8541" s="5">
        <v>3</v>
      </c>
      <c r="Q8541" s="5">
        <v>19</v>
      </c>
      <c r="R8541" s="5">
        <v>3</v>
      </c>
      <c r="S8541" s="5">
        <v>21</v>
      </c>
    </row>
    <row r="8542" spans="1:19" ht="28" x14ac:dyDescent="0.15">
      <c r="A8542" s="2">
        <f>HYPERLINK("https://open-school.uspishnemisto.com.ua/school/461261/", 461261)</f>
        <v>461261</v>
      </c>
      <c r="B8542" s="3" t="s">
        <v>43893</v>
      </c>
      <c r="C8542" s="3" t="s">
        <v>31</v>
      </c>
      <c r="D8542" s="3" t="s">
        <v>175</v>
      </c>
      <c r="E8542" s="4" t="s">
        <v>22</v>
      </c>
      <c r="F8542" s="4" t="s">
        <v>43894</v>
      </c>
      <c r="G8542" s="4" t="s">
        <v>43895</v>
      </c>
      <c r="H8542" s="3" t="s">
        <v>38194</v>
      </c>
      <c r="I8542" s="3" t="s">
        <v>43896</v>
      </c>
      <c r="J8542" s="3" t="s">
        <v>43897</v>
      </c>
      <c r="K8542" s="3" t="s">
        <v>43898</v>
      </c>
      <c r="L8542" s="3" t="s">
        <v>43899</v>
      </c>
      <c r="M8542" s="4"/>
      <c r="N8542" s="3" t="s">
        <v>37</v>
      </c>
      <c r="O8542" s="3" t="s">
        <v>52</v>
      </c>
      <c r="P8542" s="5">
        <v>5</v>
      </c>
      <c r="Q8542" s="5">
        <v>35</v>
      </c>
      <c r="R8542" s="5">
        <v>3</v>
      </c>
      <c r="S8542" s="5">
        <v>35</v>
      </c>
    </row>
    <row r="8543" spans="1:19" ht="56" x14ac:dyDescent="0.15">
      <c r="A8543" s="2">
        <f>HYPERLINK("https://open-school.uspishnemisto.com.ua/school/461262/", 461262)</f>
        <v>461262</v>
      </c>
      <c r="B8543" s="3" t="s">
        <v>43900</v>
      </c>
      <c r="C8543" s="3" t="s">
        <v>54</v>
      </c>
      <c r="D8543" s="3" t="s">
        <v>175</v>
      </c>
      <c r="E8543" s="4" t="s">
        <v>22</v>
      </c>
      <c r="F8543" s="4" t="s">
        <v>43901</v>
      </c>
      <c r="G8543" s="4" t="s">
        <v>43902</v>
      </c>
      <c r="H8543" s="3" t="s">
        <v>38194</v>
      </c>
      <c r="I8543" s="3" t="s">
        <v>43903</v>
      </c>
      <c r="J8543" s="3" t="s">
        <v>1668</v>
      </c>
      <c r="K8543" s="3" t="s">
        <v>43904</v>
      </c>
      <c r="L8543" s="3"/>
      <c r="M8543" s="4"/>
      <c r="N8543" s="3" t="s">
        <v>37</v>
      </c>
      <c r="O8543" s="3" t="s">
        <v>52</v>
      </c>
      <c r="P8543" s="5">
        <v>7</v>
      </c>
      <c r="Q8543" s="5">
        <v>72</v>
      </c>
      <c r="R8543" s="5">
        <v>6</v>
      </c>
      <c r="S8543" s="5">
        <v>67</v>
      </c>
    </row>
    <row r="8544" spans="1:19" ht="56" x14ac:dyDescent="0.15">
      <c r="A8544" s="2">
        <f>HYPERLINK("https://open-school.uspishnemisto.com.ua/school/461263/", 461263)</f>
        <v>461263</v>
      </c>
      <c r="B8544" s="3" t="s">
        <v>43905</v>
      </c>
      <c r="C8544" s="3" t="s">
        <v>54</v>
      </c>
      <c r="D8544" s="3" t="s">
        <v>175</v>
      </c>
      <c r="E8544" s="4" t="s">
        <v>22</v>
      </c>
      <c r="F8544" s="4" t="s">
        <v>43906</v>
      </c>
      <c r="G8544" s="4" t="s">
        <v>43907</v>
      </c>
      <c r="H8544" s="3" t="s">
        <v>38194</v>
      </c>
      <c r="I8544" s="3" t="s">
        <v>43908</v>
      </c>
      <c r="J8544" s="3" t="s">
        <v>466</v>
      </c>
      <c r="K8544" s="3"/>
      <c r="L8544" s="3"/>
      <c r="M8544" s="4"/>
      <c r="N8544" s="3" t="s">
        <v>37</v>
      </c>
      <c r="O8544" s="3" t="s">
        <v>52</v>
      </c>
      <c r="P8544" s="5">
        <v>11</v>
      </c>
      <c r="Q8544" s="5">
        <v>137</v>
      </c>
      <c r="R8544" s="5">
        <v>11</v>
      </c>
      <c r="S8544" s="5">
        <v>136</v>
      </c>
    </row>
    <row r="8545" spans="1:19" ht="56" x14ac:dyDescent="0.15">
      <c r="A8545" s="2">
        <f>HYPERLINK("https://open-school.uspishnemisto.com.ua/school/461264/", 461264)</f>
        <v>461264</v>
      </c>
      <c r="B8545" s="3" t="s">
        <v>43909</v>
      </c>
      <c r="C8545" s="3" t="s">
        <v>54</v>
      </c>
      <c r="D8545" s="3" t="s">
        <v>175</v>
      </c>
      <c r="E8545" s="4" t="s">
        <v>22</v>
      </c>
      <c r="F8545" s="4" t="s">
        <v>43910</v>
      </c>
      <c r="G8545" s="4" t="s">
        <v>43911</v>
      </c>
      <c r="H8545" s="3" t="s">
        <v>38194</v>
      </c>
      <c r="I8545" s="3" t="s">
        <v>43912</v>
      </c>
      <c r="J8545" s="3" t="s">
        <v>5896</v>
      </c>
      <c r="K8545" s="3" t="s">
        <v>43913</v>
      </c>
      <c r="L8545" s="3"/>
      <c r="M8545" s="4"/>
      <c r="N8545" s="3" t="s">
        <v>37</v>
      </c>
      <c r="O8545" s="3" t="s">
        <v>46</v>
      </c>
      <c r="P8545" s="5">
        <v>9</v>
      </c>
      <c r="Q8545" s="5">
        <v>112</v>
      </c>
      <c r="R8545" s="5">
        <v>9</v>
      </c>
      <c r="S8545" s="5">
        <v>124</v>
      </c>
    </row>
    <row r="8546" spans="1:19" ht="28" x14ac:dyDescent="0.15">
      <c r="A8546" s="2">
        <f>HYPERLINK("https://open-school.uspishnemisto.com.ua/school/461265/", 461265)</f>
        <v>461265</v>
      </c>
      <c r="B8546" s="3" t="s">
        <v>43914</v>
      </c>
      <c r="C8546" s="3" t="s">
        <v>31</v>
      </c>
      <c r="D8546" s="3" t="s">
        <v>32</v>
      </c>
      <c r="E8546" s="4" t="s">
        <v>22</v>
      </c>
      <c r="F8546" s="4" t="s">
        <v>43915</v>
      </c>
      <c r="G8546" s="4" t="s">
        <v>43916</v>
      </c>
      <c r="H8546" s="3" t="s">
        <v>38194</v>
      </c>
      <c r="I8546" s="3" t="s">
        <v>43917</v>
      </c>
      <c r="J8546" s="3" t="s">
        <v>43918</v>
      </c>
      <c r="K8546" s="3" t="s">
        <v>43919</v>
      </c>
      <c r="L8546" s="3"/>
      <c r="M8546" s="4"/>
      <c r="N8546" s="3" t="s">
        <v>37</v>
      </c>
      <c r="O8546" s="3" t="s">
        <v>618</v>
      </c>
      <c r="P8546" s="5">
        <v>4</v>
      </c>
      <c r="Q8546" s="5">
        <v>28</v>
      </c>
      <c r="R8546" s="5">
        <v>3</v>
      </c>
      <c r="S8546" s="5">
        <v>25</v>
      </c>
    </row>
    <row r="8547" spans="1:19" ht="28" x14ac:dyDescent="0.15">
      <c r="A8547" s="2">
        <f>HYPERLINK("https://open-school.uspishnemisto.com.ua/school/461266/", 461266)</f>
        <v>461266</v>
      </c>
      <c r="B8547" s="3" t="s">
        <v>43920</v>
      </c>
      <c r="C8547" s="3" t="s">
        <v>31</v>
      </c>
      <c r="D8547" s="3" t="s">
        <v>175</v>
      </c>
      <c r="E8547" s="4" t="s">
        <v>22</v>
      </c>
      <c r="F8547" s="4" t="s">
        <v>43921</v>
      </c>
      <c r="G8547" s="4" t="s">
        <v>43922</v>
      </c>
      <c r="H8547" s="3" t="s">
        <v>38194</v>
      </c>
      <c r="I8547" s="3" t="s">
        <v>4005</v>
      </c>
      <c r="J8547" s="3" t="s">
        <v>43923</v>
      </c>
      <c r="K8547" s="3" t="s">
        <v>43924</v>
      </c>
      <c r="L8547" s="3"/>
      <c r="M8547" s="4"/>
      <c r="N8547" s="3" t="s">
        <v>37</v>
      </c>
      <c r="O8547" s="3" t="s">
        <v>46</v>
      </c>
      <c r="P8547" s="5">
        <v>7</v>
      </c>
      <c r="Q8547" s="5">
        <v>51</v>
      </c>
      <c r="R8547" s="5">
        <v>8</v>
      </c>
      <c r="S8547" s="5">
        <v>55</v>
      </c>
    </row>
    <row r="8548" spans="1:19" ht="28" x14ac:dyDescent="0.15">
      <c r="A8548" s="2">
        <f>HYPERLINK("https://open-school.uspishnemisto.com.ua/school/461267/", 461267)</f>
        <v>461267</v>
      </c>
      <c r="B8548" s="3" t="s">
        <v>43925</v>
      </c>
      <c r="C8548" s="3" t="s">
        <v>31</v>
      </c>
      <c r="D8548" s="3" t="s">
        <v>175</v>
      </c>
      <c r="E8548" s="4" t="s">
        <v>22</v>
      </c>
      <c r="F8548" s="4" t="s">
        <v>43840</v>
      </c>
      <c r="G8548" s="4" t="s">
        <v>43926</v>
      </c>
      <c r="H8548" s="3" t="s">
        <v>38194</v>
      </c>
      <c r="I8548" s="3" t="s">
        <v>43927</v>
      </c>
      <c r="J8548" s="3" t="s">
        <v>2209</v>
      </c>
      <c r="K8548" s="3" t="s">
        <v>43928</v>
      </c>
      <c r="L8548" s="3"/>
      <c r="M8548" s="4"/>
      <c r="N8548" s="3" t="s">
        <v>37</v>
      </c>
      <c r="O8548" s="3" t="s">
        <v>52</v>
      </c>
      <c r="P8548" s="5">
        <v>3</v>
      </c>
      <c r="Q8548" s="5">
        <v>38</v>
      </c>
      <c r="R8548" s="5">
        <v>3</v>
      </c>
      <c r="S8548" s="5">
        <v>38</v>
      </c>
    </row>
    <row r="8549" spans="1:19" ht="70" x14ac:dyDescent="0.15">
      <c r="A8549" s="2">
        <f>HYPERLINK("https://open-school.uspishnemisto.com.ua/school/461268/", 461268)</f>
        <v>461268</v>
      </c>
      <c r="B8549" s="3" t="s">
        <v>43929</v>
      </c>
      <c r="C8549" s="3" t="s">
        <v>54</v>
      </c>
      <c r="D8549" s="3" t="s">
        <v>175</v>
      </c>
      <c r="E8549" s="4" t="s">
        <v>22</v>
      </c>
      <c r="F8549" s="4" t="s">
        <v>43930</v>
      </c>
      <c r="G8549" s="4" t="s">
        <v>43931</v>
      </c>
      <c r="H8549" s="3" t="s">
        <v>38194</v>
      </c>
      <c r="I8549" s="3" t="s">
        <v>43932</v>
      </c>
      <c r="J8549" s="3" t="s">
        <v>21270</v>
      </c>
      <c r="K8549" s="3" t="s">
        <v>43933</v>
      </c>
      <c r="L8549" s="3"/>
      <c r="M8549" s="4"/>
      <c r="N8549" s="3" t="s">
        <v>37</v>
      </c>
      <c r="O8549" s="3" t="s">
        <v>46</v>
      </c>
      <c r="P8549" s="5">
        <v>10</v>
      </c>
      <c r="Q8549" s="5">
        <v>91</v>
      </c>
      <c r="R8549" s="5">
        <v>9</v>
      </c>
      <c r="S8549" s="5">
        <v>93</v>
      </c>
    </row>
    <row r="8550" spans="1:19" ht="28" x14ac:dyDescent="0.15">
      <c r="A8550" s="2">
        <f>HYPERLINK("https://open-school.uspishnemisto.com.ua/school/461269/", 461269)</f>
        <v>461269</v>
      </c>
      <c r="B8550" s="3" t="s">
        <v>43934</v>
      </c>
      <c r="C8550" s="3" t="s">
        <v>31</v>
      </c>
      <c r="D8550" s="3" t="s">
        <v>175</v>
      </c>
      <c r="E8550" s="4" t="s">
        <v>22</v>
      </c>
      <c r="F8550" s="4" t="s">
        <v>43935</v>
      </c>
      <c r="G8550" s="4" t="s">
        <v>43936</v>
      </c>
      <c r="H8550" s="3" t="s">
        <v>38194</v>
      </c>
      <c r="I8550" s="3" t="s">
        <v>42714</v>
      </c>
      <c r="J8550" s="3" t="s">
        <v>43937</v>
      </c>
      <c r="K8550" s="3" t="s">
        <v>43938</v>
      </c>
      <c r="L8550" s="3"/>
      <c r="M8550" s="4"/>
      <c r="N8550" s="3" t="s">
        <v>37</v>
      </c>
      <c r="O8550" s="3" t="s">
        <v>52</v>
      </c>
      <c r="P8550" s="5">
        <v>9</v>
      </c>
      <c r="Q8550" s="5">
        <v>101</v>
      </c>
      <c r="R8550" s="5">
        <v>9</v>
      </c>
      <c r="S8550" s="5">
        <v>97</v>
      </c>
    </row>
    <row r="8551" spans="1:19" ht="28" x14ac:dyDescent="0.15">
      <c r="A8551" s="2">
        <f>HYPERLINK("https://open-school.uspishnemisto.com.ua/school/461270/", 461270)</f>
        <v>461270</v>
      </c>
      <c r="B8551" s="3" t="s">
        <v>43939</v>
      </c>
      <c r="C8551" s="3" t="s">
        <v>31</v>
      </c>
      <c r="D8551" s="3" t="s">
        <v>32</v>
      </c>
      <c r="E8551" s="4" t="s">
        <v>22</v>
      </c>
      <c r="F8551" s="4" t="s">
        <v>43935</v>
      </c>
      <c r="G8551" s="4" t="s">
        <v>43936</v>
      </c>
      <c r="H8551" s="3" t="s">
        <v>38194</v>
      </c>
      <c r="I8551" s="3" t="s">
        <v>42714</v>
      </c>
      <c r="J8551" s="3" t="s">
        <v>43940</v>
      </c>
      <c r="K8551" s="3" t="s">
        <v>43941</v>
      </c>
      <c r="L8551" s="3"/>
      <c r="M8551" s="4"/>
      <c r="N8551" s="3" t="s">
        <v>37</v>
      </c>
      <c r="O8551" s="3" t="s">
        <v>52</v>
      </c>
      <c r="P8551" s="5">
        <v>19</v>
      </c>
      <c r="Q8551" s="5">
        <v>238</v>
      </c>
      <c r="R8551" s="5">
        <v>19</v>
      </c>
      <c r="S8551" s="5">
        <v>239</v>
      </c>
    </row>
    <row r="8552" spans="1:19" ht="56" x14ac:dyDescent="0.15">
      <c r="A8552" s="2">
        <f>HYPERLINK("https://open-school.uspishnemisto.com.ua/school/461271/", 461271)</f>
        <v>461271</v>
      </c>
      <c r="B8552" s="3" t="s">
        <v>43942</v>
      </c>
      <c r="C8552" s="3" t="s">
        <v>54</v>
      </c>
      <c r="D8552" s="3" t="s">
        <v>32</v>
      </c>
      <c r="E8552" s="4" t="s">
        <v>22</v>
      </c>
      <c r="F8552" s="4" t="s">
        <v>43943</v>
      </c>
      <c r="G8552" s="4" t="s">
        <v>43944</v>
      </c>
      <c r="H8552" s="3" t="s">
        <v>38194</v>
      </c>
      <c r="I8552" s="3" t="s">
        <v>43945</v>
      </c>
      <c r="J8552" s="3" t="s">
        <v>406</v>
      </c>
      <c r="K8552" s="3" t="s">
        <v>43946</v>
      </c>
      <c r="L8552" s="3"/>
      <c r="M8552" s="4"/>
      <c r="N8552" s="3" t="s">
        <v>37</v>
      </c>
      <c r="O8552" s="3" t="s">
        <v>52</v>
      </c>
      <c r="P8552" s="5">
        <v>11</v>
      </c>
      <c r="Q8552" s="5">
        <v>127</v>
      </c>
      <c r="R8552" s="5">
        <v>11</v>
      </c>
      <c r="S8552" s="5">
        <v>129</v>
      </c>
    </row>
    <row r="8553" spans="1:19" ht="28" x14ac:dyDescent="0.15">
      <c r="A8553" s="2">
        <f>HYPERLINK("https://open-school.uspishnemisto.com.ua/school/461272/", 461272)</f>
        <v>461272</v>
      </c>
      <c r="B8553" s="3" t="s">
        <v>43947</v>
      </c>
      <c r="C8553" s="3" t="s">
        <v>31</v>
      </c>
      <c r="D8553" s="3" t="s">
        <v>175</v>
      </c>
      <c r="E8553" s="4" t="s">
        <v>22</v>
      </c>
      <c r="F8553" s="4" t="s">
        <v>43948</v>
      </c>
      <c r="G8553" s="4" t="s">
        <v>43949</v>
      </c>
      <c r="H8553" s="3" t="s">
        <v>38194</v>
      </c>
      <c r="I8553" s="3" t="s">
        <v>28566</v>
      </c>
      <c r="J8553" s="3" t="s">
        <v>43950</v>
      </c>
      <c r="K8553" s="3" t="s">
        <v>43951</v>
      </c>
      <c r="L8553" s="3"/>
      <c r="M8553" s="4"/>
      <c r="N8553" s="3" t="s">
        <v>37</v>
      </c>
      <c r="O8553" s="3" t="s">
        <v>52</v>
      </c>
      <c r="P8553" s="5">
        <v>7</v>
      </c>
      <c r="Q8553" s="5">
        <v>58</v>
      </c>
      <c r="R8553" s="5">
        <v>7</v>
      </c>
      <c r="S8553" s="5">
        <v>64</v>
      </c>
    </row>
    <row r="8554" spans="1:19" ht="28" x14ac:dyDescent="0.15">
      <c r="A8554" s="2">
        <f>HYPERLINK("https://open-school.uspishnemisto.com.ua/school/461273/", 461273)</f>
        <v>461273</v>
      </c>
      <c r="B8554" s="3" t="s">
        <v>43952</v>
      </c>
      <c r="C8554" s="3" t="s">
        <v>31</v>
      </c>
      <c r="D8554" s="3" t="s">
        <v>175</v>
      </c>
      <c r="E8554" s="4" t="s">
        <v>22</v>
      </c>
      <c r="F8554" s="4" t="s">
        <v>43953</v>
      </c>
      <c r="G8554" s="4" t="s">
        <v>43954</v>
      </c>
      <c r="H8554" s="3" t="s">
        <v>38194</v>
      </c>
      <c r="I8554" s="3" t="s">
        <v>42776</v>
      </c>
      <c r="J8554" s="3" t="s">
        <v>43955</v>
      </c>
      <c r="K8554" s="3" t="s">
        <v>43956</v>
      </c>
      <c r="L8554" s="3"/>
      <c r="M8554" s="4"/>
      <c r="N8554" s="3" t="s">
        <v>37</v>
      </c>
      <c r="O8554" s="3" t="s">
        <v>46</v>
      </c>
      <c r="P8554" s="5">
        <v>10</v>
      </c>
      <c r="Q8554" s="5">
        <v>89</v>
      </c>
      <c r="R8554" s="5">
        <v>10</v>
      </c>
      <c r="S8554" s="5">
        <v>85</v>
      </c>
    </row>
    <row r="8555" spans="1:19" ht="56" x14ac:dyDescent="0.15">
      <c r="A8555" s="2">
        <f>HYPERLINK("https://open-school.uspishnemisto.com.ua/school/461274/", 461274)</f>
        <v>461274</v>
      </c>
      <c r="B8555" s="3" t="s">
        <v>43957</v>
      </c>
      <c r="C8555" s="3" t="s">
        <v>54</v>
      </c>
      <c r="D8555" s="3" t="s">
        <v>175</v>
      </c>
      <c r="E8555" s="4" t="s">
        <v>22</v>
      </c>
      <c r="F8555" s="4" t="s">
        <v>43958</v>
      </c>
      <c r="G8555" s="4" t="s">
        <v>43959</v>
      </c>
      <c r="H8555" s="3" t="s">
        <v>38194</v>
      </c>
      <c r="I8555" s="3" t="s">
        <v>43960</v>
      </c>
      <c r="J8555" s="3" t="s">
        <v>43961</v>
      </c>
      <c r="K8555" s="3" t="s">
        <v>43962</v>
      </c>
      <c r="L8555" s="3"/>
      <c r="M8555" s="4"/>
      <c r="N8555" s="3" t="s">
        <v>37</v>
      </c>
      <c r="O8555" s="3" t="s">
        <v>46</v>
      </c>
      <c r="P8555" s="5">
        <v>10</v>
      </c>
      <c r="Q8555" s="5">
        <v>89</v>
      </c>
      <c r="R8555" s="5">
        <v>10</v>
      </c>
      <c r="S8555" s="5">
        <v>88</v>
      </c>
    </row>
    <row r="8556" spans="1:19" ht="56" x14ac:dyDescent="0.15">
      <c r="A8556" s="2">
        <f>HYPERLINK("https://open-school.uspishnemisto.com.ua/school/461275/", 461275)</f>
        <v>461275</v>
      </c>
      <c r="B8556" s="3" t="s">
        <v>43963</v>
      </c>
      <c r="C8556" s="3" t="s">
        <v>54</v>
      </c>
      <c r="D8556" s="3" t="s">
        <v>175</v>
      </c>
      <c r="E8556" s="4" t="s">
        <v>22</v>
      </c>
      <c r="F8556" s="4" t="s">
        <v>43964</v>
      </c>
      <c r="G8556" s="4" t="s">
        <v>43965</v>
      </c>
      <c r="H8556" s="3" t="s">
        <v>38194</v>
      </c>
      <c r="I8556" s="3" t="s">
        <v>43966</v>
      </c>
      <c r="J8556" s="3" t="s">
        <v>43967</v>
      </c>
      <c r="K8556" s="3" t="s">
        <v>43968</v>
      </c>
      <c r="L8556" s="3"/>
      <c r="M8556" s="4"/>
      <c r="N8556" s="3" t="s">
        <v>37</v>
      </c>
      <c r="O8556" s="3" t="s">
        <v>52</v>
      </c>
      <c r="P8556" s="5">
        <v>9</v>
      </c>
      <c r="Q8556" s="5">
        <v>116</v>
      </c>
      <c r="R8556" s="5">
        <v>9</v>
      </c>
      <c r="S8556" s="5">
        <v>118</v>
      </c>
    </row>
    <row r="8557" spans="1:19" ht="28" x14ac:dyDescent="0.15">
      <c r="A8557" s="2">
        <f>HYPERLINK("https://open-school.uspishnemisto.com.ua/school/461276/", 461276)</f>
        <v>461276</v>
      </c>
      <c r="B8557" s="3" t="s">
        <v>43969</v>
      </c>
      <c r="C8557" s="3" t="s">
        <v>31</v>
      </c>
      <c r="D8557" s="3" t="s">
        <v>175</v>
      </c>
      <c r="E8557" s="4" t="s">
        <v>22</v>
      </c>
      <c r="F8557" s="4" t="s">
        <v>43964</v>
      </c>
      <c r="G8557" s="4" t="s">
        <v>43970</v>
      </c>
      <c r="H8557" s="3" t="s">
        <v>38194</v>
      </c>
      <c r="I8557" s="3" t="s">
        <v>22077</v>
      </c>
      <c r="J8557" s="3" t="s">
        <v>43971</v>
      </c>
      <c r="K8557" s="3"/>
      <c r="L8557" s="3"/>
      <c r="M8557" s="4"/>
      <c r="N8557" s="3" t="s">
        <v>37</v>
      </c>
      <c r="O8557" s="3" t="s">
        <v>52</v>
      </c>
      <c r="P8557" s="5">
        <v>2</v>
      </c>
      <c r="Q8557" s="5">
        <v>29</v>
      </c>
      <c r="R8557" s="5">
        <v>3</v>
      </c>
      <c r="S8557" s="5">
        <v>32</v>
      </c>
    </row>
    <row r="8558" spans="1:19" ht="28" x14ac:dyDescent="0.15">
      <c r="A8558" s="2">
        <f>HYPERLINK("https://open-school.uspishnemisto.com.ua/school/461277/", 461277)</f>
        <v>461277</v>
      </c>
      <c r="B8558" s="3" t="s">
        <v>43972</v>
      </c>
      <c r="C8558" s="3" t="s">
        <v>54</v>
      </c>
      <c r="D8558" s="3" t="s">
        <v>175</v>
      </c>
      <c r="E8558" s="4" t="s">
        <v>22</v>
      </c>
      <c r="F8558" s="4" t="s">
        <v>43973</v>
      </c>
      <c r="G8558" s="4" t="s">
        <v>43974</v>
      </c>
      <c r="H8558" s="3" t="s">
        <v>38194</v>
      </c>
      <c r="I8558" s="3" t="s">
        <v>43975</v>
      </c>
      <c r="J8558" s="3" t="s">
        <v>43976</v>
      </c>
      <c r="K8558" s="3"/>
      <c r="L8558" s="3"/>
      <c r="M8558" s="4"/>
      <c r="N8558" s="3" t="s">
        <v>37</v>
      </c>
      <c r="O8558" s="3" t="s">
        <v>52</v>
      </c>
      <c r="P8558" s="5">
        <v>11</v>
      </c>
      <c r="Q8558" s="5">
        <v>75</v>
      </c>
      <c r="R8558" s="5">
        <v>9</v>
      </c>
      <c r="S8558" s="5">
        <v>77</v>
      </c>
    </row>
    <row r="8559" spans="1:19" ht="28" x14ac:dyDescent="0.15">
      <c r="A8559" s="2">
        <f>HYPERLINK("https://open-school.uspishnemisto.com.ua/school/461278/", 461278)</f>
        <v>461278</v>
      </c>
      <c r="B8559" s="3" t="s">
        <v>43977</v>
      </c>
      <c r="C8559" s="3" t="s">
        <v>31</v>
      </c>
      <c r="D8559" s="3" t="s">
        <v>60</v>
      </c>
      <c r="E8559" s="4" t="s">
        <v>22</v>
      </c>
      <c r="F8559" s="4" t="s">
        <v>43978</v>
      </c>
      <c r="G8559" s="4" t="s">
        <v>43979</v>
      </c>
      <c r="H8559" s="3" t="s">
        <v>38194</v>
      </c>
      <c r="I8559" s="3" t="s">
        <v>43980</v>
      </c>
      <c r="J8559" s="3" t="s">
        <v>43981</v>
      </c>
      <c r="K8559" s="3" t="s">
        <v>43982</v>
      </c>
      <c r="L8559" s="3"/>
      <c r="M8559" s="4"/>
      <c r="N8559" s="3" t="s">
        <v>37</v>
      </c>
      <c r="O8559" s="3" t="s">
        <v>52</v>
      </c>
      <c r="P8559" s="5">
        <v>4</v>
      </c>
      <c r="Q8559" s="5">
        <v>58</v>
      </c>
      <c r="R8559" s="5">
        <v>4</v>
      </c>
      <c r="S8559" s="5">
        <v>49</v>
      </c>
    </row>
    <row r="8560" spans="1:19" ht="70" x14ac:dyDescent="0.15">
      <c r="A8560" s="2">
        <f>HYPERLINK("https://open-school.uspishnemisto.com.ua/school/461279/", 461279)</f>
        <v>461279</v>
      </c>
      <c r="B8560" s="3" t="s">
        <v>43983</v>
      </c>
      <c r="C8560" s="3" t="s">
        <v>54</v>
      </c>
      <c r="D8560" s="3" t="s">
        <v>175</v>
      </c>
      <c r="E8560" s="4" t="s">
        <v>22</v>
      </c>
      <c r="F8560" s="4" t="s">
        <v>43978</v>
      </c>
      <c r="G8560" s="4" t="s">
        <v>43979</v>
      </c>
      <c r="H8560" s="3" t="s">
        <v>38194</v>
      </c>
      <c r="I8560" s="3" t="s">
        <v>43980</v>
      </c>
      <c r="J8560" s="3" t="s">
        <v>43984</v>
      </c>
      <c r="K8560" s="3" t="s">
        <v>43985</v>
      </c>
      <c r="L8560" s="3" t="s">
        <v>43986</v>
      </c>
      <c r="M8560" s="4"/>
      <c r="N8560" s="3" t="s">
        <v>37</v>
      </c>
      <c r="O8560" s="3" t="s">
        <v>46</v>
      </c>
      <c r="P8560" s="5">
        <v>13</v>
      </c>
      <c r="Q8560" s="5">
        <v>256</v>
      </c>
      <c r="R8560" s="5">
        <v>16</v>
      </c>
      <c r="S8560" s="5">
        <v>268</v>
      </c>
    </row>
    <row r="8561" spans="1:19" ht="56" x14ac:dyDescent="0.15">
      <c r="A8561" s="2">
        <f>HYPERLINK("https://open-school.uspishnemisto.com.ua/school/461280/", 461280)</f>
        <v>461280</v>
      </c>
      <c r="B8561" s="3" t="s">
        <v>43987</v>
      </c>
      <c r="C8561" s="3" t="s">
        <v>54</v>
      </c>
      <c r="D8561" s="3" t="s">
        <v>175</v>
      </c>
      <c r="E8561" s="4" t="s">
        <v>22</v>
      </c>
      <c r="F8561" s="4" t="s">
        <v>43988</v>
      </c>
      <c r="G8561" s="4" t="s">
        <v>43989</v>
      </c>
      <c r="H8561" s="3" t="s">
        <v>38194</v>
      </c>
      <c r="I8561" s="3" t="s">
        <v>21663</v>
      </c>
      <c r="J8561" s="3" t="s">
        <v>43990</v>
      </c>
      <c r="K8561" s="3"/>
      <c r="L8561" s="3"/>
      <c r="M8561" s="4"/>
      <c r="N8561" s="3" t="s">
        <v>37</v>
      </c>
      <c r="O8561" s="3" t="s">
        <v>52</v>
      </c>
      <c r="P8561" s="5">
        <v>9</v>
      </c>
      <c r="Q8561" s="5">
        <v>135</v>
      </c>
      <c r="R8561" s="5">
        <v>9</v>
      </c>
      <c r="S8561" s="5">
        <v>145</v>
      </c>
    </row>
    <row r="8562" spans="1:19" ht="42" x14ac:dyDescent="0.15">
      <c r="A8562" s="2">
        <f>HYPERLINK("https://open-school.uspishnemisto.com.ua/school/461281/", 461281)</f>
        <v>461281</v>
      </c>
      <c r="B8562" s="3" t="s">
        <v>43991</v>
      </c>
      <c r="C8562" s="3" t="s">
        <v>54</v>
      </c>
      <c r="D8562" s="3" t="s">
        <v>175</v>
      </c>
      <c r="E8562" s="4" t="s">
        <v>22</v>
      </c>
      <c r="F8562" s="4" t="s">
        <v>43992</v>
      </c>
      <c r="G8562" s="4" t="s">
        <v>43993</v>
      </c>
      <c r="H8562" s="3" t="s">
        <v>38194</v>
      </c>
      <c r="I8562" s="3" t="s">
        <v>43994</v>
      </c>
      <c r="J8562" s="3" t="s">
        <v>43995</v>
      </c>
      <c r="K8562" s="3" t="s">
        <v>43996</v>
      </c>
      <c r="L8562" s="3"/>
      <c r="M8562" s="4"/>
      <c r="N8562" s="3" t="s">
        <v>37</v>
      </c>
      <c r="O8562" s="3" t="s">
        <v>52</v>
      </c>
      <c r="P8562" s="5">
        <v>9</v>
      </c>
      <c r="Q8562" s="5">
        <v>93</v>
      </c>
      <c r="R8562" s="5">
        <v>8</v>
      </c>
      <c r="S8562" s="5">
        <v>86</v>
      </c>
    </row>
    <row r="8563" spans="1:19" ht="42" x14ac:dyDescent="0.15">
      <c r="A8563" s="2">
        <f>HYPERLINK("https://open-school.uspishnemisto.com.ua/school/461282/", 461282)</f>
        <v>461282</v>
      </c>
      <c r="B8563" s="3" t="s">
        <v>43997</v>
      </c>
      <c r="C8563" s="3" t="s">
        <v>54</v>
      </c>
      <c r="D8563" s="3" t="s">
        <v>32</v>
      </c>
      <c r="E8563" s="4" t="s">
        <v>22</v>
      </c>
      <c r="F8563" s="4" t="s">
        <v>43998</v>
      </c>
      <c r="G8563" s="4" t="s">
        <v>43999</v>
      </c>
      <c r="H8563" s="3" t="s">
        <v>38194</v>
      </c>
      <c r="I8563" s="3" t="s">
        <v>44000</v>
      </c>
      <c r="J8563" s="3" t="s">
        <v>44001</v>
      </c>
      <c r="K8563" s="3" t="s">
        <v>44002</v>
      </c>
      <c r="L8563" s="3"/>
      <c r="M8563" s="4"/>
      <c r="N8563" s="3" t="s">
        <v>37</v>
      </c>
      <c r="O8563" s="3" t="s">
        <v>46</v>
      </c>
      <c r="P8563" s="5">
        <v>10</v>
      </c>
      <c r="Q8563" s="5">
        <v>143</v>
      </c>
      <c r="R8563" s="5">
        <v>10</v>
      </c>
      <c r="S8563" s="5">
        <v>147</v>
      </c>
    </row>
    <row r="8564" spans="1:19" ht="28" x14ac:dyDescent="0.15">
      <c r="A8564" s="2">
        <f>HYPERLINK("https://open-school.uspishnemisto.com.ua/school/461283/", 461283)</f>
        <v>461283</v>
      </c>
      <c r="B8564" s="3" t="s">
        <v>44003</v>
      </c>
      <c r="C8564" s="3" t="s">
        <v>31</v>
      </c>
      <c r="D8564" s="3" t="s">
        <v>175</v>
      </c>
      <c r="E8564" s="4" t="s">
        <v>22</v>
      </c>
      <c r="F8564" s="4" t="s">
        <v>43856</v>
      </c>
      <c r="G8564" s="4" t="s">
        <v>44004</v>
      </c>
      <c r="H8564" s="3" t="s">
        <v>38194</v>
      </c>
      <c r="I8564" s="3" t="s">
        <v>44005</v>
      </c>
      <c r="J8564" s="3" t="s">
        <v>1636</v>
      </c>
      <c r="K8564" s="3" t="s">
        <v>44006</v>
      </c>
      <c r="L8564" s="3"/>
      <c r="M8564" s="4"/>
      <c r="N8564" s="3" t="s">
        <v>37</v>
      </c>
      <c r="O8564" s="3" t="s">
        <v>46</v>
      </c>
      <c r="P8564" s="5">
        <v>7</v>
      </c>
      <c r="Q8564" s="5">
        <v>56</v>
      </c>
      <c r="R8564" s="5">
        <v>7</v>
      </c>
      <c r="S8564" s="5">
        <v>49</v>
      </c>
    </row>
    <row r="8565" spans="1:19" ht="28" x14ac:dyDescent="0.15">
      <c r="A8565" s="2">
        <f>HYPERLINK("https://open-school.uspishnemisto.com.ua/school/461284/", 461284)</f>
        <v>461284</v>
      </c>
      <c r="B8565" s="3" t="s">
        <v>44007</v>
      </c>
      <c r="C8565" s="3" t="s">
        <v>31</v>
      </c>
      <c r="D8565" s="3" t="s">
        <v>175</v>
      </c>
      <c r="E8565" s="4" t="s">
        <v>22</v>
      </c>
      <c r="F8565" s="4" t="s">
        <v>44008</v>
      </c>
      <c r="G8565" s="4" t="s">
        <v>44009</v>
      </c>
      <c r="H8565" s="3" t="s">
        <v>38194</v>
      </c>
      <c r="I8565" s="3" t="s">
        <v>44010</v>
      </c>
      <c r="J8565" s="3" t="s">
        <v>44011</v>
      </c>
      <c r="K8565" s="3" t="s">
        <v>44012</v>
      </c>
      <c r="L8565" s="3"/>
      <c r="M8565" s="4"/>
      <c r="N8565" s="3" t="s">
        <v>37</v>
      </c>
      <c r="O8565" s="3" t="s">
        <v>52</v>
      </c>
      <c r="P8565" s="5">
        <v>5</v>
      </c>
      <c r="Q8565" s="5">
        <v>41</v>
      </c>
      <c r="R8565" s="5">
        <v>5</v>
      </c>
      <c r="S8565" s="5">
        <v>49</v>
      </c>
    </row>
    <row r="8566" spans="1:19" ht="70" x14ac:dyDescent="0.15">
      <c r="A8566" s="2">
        <f>HYPERLINK("https://open-school.uspishnemisto.com.ua/school/461285/", 461285)</f>
        <v>461285</v>
      </c>
      <c r="B8566" s="3" t="s">
        <v>44013</v>
      </c>
      <c r="C8566" s="3" t="s">
        <v>54</v>
      </c>
      <c r="D8566" s="3" t="s">
        <v>175</v>
      </c>
      <c r="E8566" s="4" t="s">
        <v>22</v>
      </c>
      <c r="F8566" s="4" t="s">
        <v>44014</v>
      </c>
      <c r="G8566" s="4" t="s">
        <v>44015</v>
      </c>
      <c r="H8566" s="3" t="s">
        <v>38194</v>
      </c>
      <c r="I8566" s="3" t="s">
        <v>44016</v>
      </c>
      <c r="J8566" s="3" t="s">
        <v>44017</v>
      </c>
      <c r="K8566" s="3" t="s">
        <v>44018</v>
      </c>
      <c r="L8566" s="3"/>
      <c r="M8566" s="4"/>
      <c r="N8566" s="3" t="s">
        <v>37</v>
      </c>
      <c r="O8566" s="3" t="s">
        <v>46</v>
      </c>
      <c r="P8566" s="5">
        <v>9</v>
      </c>
      <c r="Q8566" s="5">
        <v>123</v>
      </c>
      <c r="R8566" s="5">
        <v>9</v>
      </c>
      <c r="S8566" s="5">
        <v>119</v>
      </c>
    </row>
    <row r="8567" spans="1:19" ht="28" x14ac:dyDescent="0.15">
      <c r="A8567" s="2">
        <f>HYPERLINK("https://open-school.uspishnemisto.com.ua/school/461286/", 461286)</f>
        <v>461286</v>
      </c>
      <c r="B8567" s="3" t="s">
        <v>44019</v>
      </c>
      <c r="C8567" s="3" t="s">
        <v>31</v>
      </c>
      <c r="D8567" s="3" t="s">
        <v>175</v>
      </c>
      <c r="E8567" s="4" t="s">
        <v>22</v>
      </c>
      <c r="F8567" s="4" t="s">
        <v>44020</v>
      </c>
      <c r="G8567" s="4" t="s">
        <v>44021</v>
      </c>
      <c r="H8567" s="3" t="s">
        <v>38194</v>
      </c>
      <c r="I8567" s="3" t="s">
        <v>44022</v>
      </c>
      <c r="J8567" s="3" t="s">
        <v>44023</v>
      </c>
      <c r="K8567" s="3" t="s">
        <v>44024</v>
      </c>
      <c r="L8567" s="3"/>
      <c r="M8567" s="4"/>
      <c r="N8567" s="3" t="s">
        <v>37</v>
      </c>
      <c r="O8567" s="3" t="s">
        <v>618</v>
      </c>
      <c r="P8567" s="5">
        <v>7</v>
      </c>
      <c r="Q8567" s="5">
        <v>58</v>
      </c>
      <c r="R8567" s="5">
        <v>7</v>
      </c>
      <c r="S8567" s="5">
        <v>59</v>
      </c>
    </row>
    <row r="8568" spans="1:19" ht="42" x14ac:dyDescent="0.15">
      <c r="A8568" s="2">
        <f>HYPERLINK("https://open-school.uspishnemisto.com.ua/school/461287/", 461287)</f>
        <v>461287</v>
      </c>
      <c r="B8568" s="3" t="s">
        <v>44025</v>
      </c>
      <c r="C8568" s="3" t="s">
        <v>54</v>
      </c>
      <c r="D8568" s="3" t="s">
        <v>32</v>
      </c>
      <c r="E8568" s="4" t="s">
        <v>22</v>
      </c>
      <c r="F8568" s="4" t="s">
        <v>44026</v>
      </c>
      <c r="G8568" s="4" t="s">
        <v>44027</v>
      </c>
      <c r="H8568" s="3" t="s">
        <v>38194</v>
      </c>
      <c r="I8568" s="3" t="s">
        <v>44028</v>
      </c>
      <c r="J8568" s="3" t="s">
        <v>8140</v>
      </c>
      <c r="K8568" s="3" t="s">
        <v>44029</v>
      </c>
      <c r="L8568" s="3"/>
      <c r="M8568" s="4"/>
      <c r="N8568" s="3" t="s">
        <v>37</v>
      </c>
      <c r="O8568" s="3" t="s">
        <v>52</v>
      </c>
      <c r="P8568" s="5">
        <v>11</v>
      </c>
      <c r="Q8568" s="5">
        <v>157</v>
      </c>
      <c r="R8568" s="5">
        <v>11</v>
      </c>
      <c r="S8568" s="5">
        <v>164</v>
      </c>
    </row>
    <row r="8569" spans="1:19" ht="56" x14ac:dyDescent="0.15">
      <c r="A8569" s="2">
        <f>HYPERLINK("https://open-school.uspishnemisto.com.ua/school/461288/", 461288)</f>
        <v>461288</v>
      </c>
      <c r="B8569" s="3" t="s">
        <v>44030</v>
      </c>
      <c r="C8569" s="3" t="s">
        <v>54</v>
      </c>
      <c r="D8569" s="3" t="s">
        <v>32</v>
      </c>
      <c r="E8569" s="4" t="s">
        <v>22</v>
      </c>
      <c r="F8569" s="4" t="s">
        <v>44031</v>
      </c>
      <c r="G8569" s="4" t="s">
        <v>44032</v>
      </c>
      <c r="H8569" s="3" t="s">
        <v>38194</v>
      </c>
      <c r="I8569" s="3" t="s">
        <v>44033</v>
      </c>
      <c r="J8569" s="3" t="s">
        <v>3472</v>
      </c>
      <c r="K8569" s="3" t="s">
        <v>44034</v>
      </c>
      <c r="L8569" s="3" t="s">
        <v>44035</v>
      </c>
      <c r="M8569" s="4"/>
      <c r="N8569" s="3" t="s">
        <v>37</v>
      </c>
      <c r="O8569" s="3" t="s">
        <v>52</v>
      </c>
      <c r="P8569" s="5">
        <v>11</v>
      </c>
      <c r="Q8569" s="5">
        <v>113</v>
      </c>
      <c r="R8569" s="5">
        <v>11</v>
      </c>
      <c r="S8569" s="5">
        <v>110</v>
      </c>
    </row>
    <row r="8570" spans="1:19" ht="28" x14ac:dyDescent="0.15">
      <c r="A8570" s="2">
        <f>HYPERLINK("https://open-school.uspishnemisto.com.ua/school/461290/", 461290)</f>
        <v>461290</v>
      </c>
      <c r="B8570" s="3" t="s">
        <v>44036</v>
      </c>
      <c r="C8570" s="3" t="s">
        <v>40</v>
      </c>
      <c r="D8570" s="3" t="s">
        <v>32</v>
      </c>
      <c r="E8570" s="4" t="s">
        <v>22</v>
      </c>
      <c r="F8570" s="4" t="s">
        <v>44037</v>
      </c>
      <c r="G8570" s="4" t="s">
        <v>44038</v>
      </c>
      <c r="H8570" s="3" t="s">
        <v>38194</v>
      </c>
      <c r="I8570" s="3" t="s">
        <v>28260</v>
      </c>
      <c r="J8570" s="3" t="s">
        <v>44039</v>
      </c>
      <c r="K8570" s="3" t="s">
        <v>44040</v>
      </c>
      <c r="L8570" s="3" t="s">
        <v>44041</v>
      </c>
      <c r="M8570" s="4"/>
      <c r="N8570" s="3" t="s">
        <v>37</v>
      </c>
      <c r="O8570" s="3" t="s">
        <v>46</v>
      </c>
      <c r="P8570" s="5">
        <v>22</v>
      </c>
      <c r="Q8570" s="5">
        <v>543</v>
      </c>
      <c r="R8570" s="5">
        <v>22</v>
      </c>
      <c r="S8570" s="5">
        <v>537</v>
      </c>
    </row>
    <row r="8571" spans="1:19" ht="28" x14ac:dyDescent="0.15">
      <c r="A8571" s="2">
        <f>HYPERLINK("https://open-school.uspishnemisto.com.ua/school/461291/", 461291)</f>
        <v>461291</v>
      </c>
      <c r="B8571" s="3" t="s">
        <v>44042</v>
      </c>
      <c r="C8571" s="3" t="s">
        <v>31</v>
      </c>
      <c r="D8571" s="3" t="s">
        <v>60</v>
      </c>
      <c r="E8571" s="4" t="s">
        <v>22</v>
      </c>
      <c r="F8571" s="4" t="s">
        <v>44037</v>
      </c>
      <c r="G8571" s="4" t="s">
        <v>44038</v>
      </c>
      <c r="H8571" s="3" t="s">
        <v>38194</v>
      </c>
      <c r="I8571" s="3" t="s">
        <v>28260</v>
      </c>
      <c r="J8571" s="3" t="s">
        <v>44039</v>
      </c>
      <c r="K8571" s="3" t="s">
        <v>44043</v>
      </c>
      <c r="L8571" s="3"/>
      <c r="M8571" s="4"/>
      <c r="N8571" s="3" t="s">
        <v>37</v>
      </c>
      <c r="O8571" s="3" t="s">
        <v>52</v>
      </c>
      <c r="P8571" s="5">
        <v>11</v>
      </c>
      <c r="Q8571" s="5">
        <v>273</v>
      </c>
      <c r="R8571" s="5">
        <v>12</v>
      </c>
      <c r="S8571" s="5">
        <v>295</v>
      </c>
    </row>
    <row r="8572" spans="1:19" ht="28" x14ac:dyDescent="0.15">
      <c r="A8572" s="2">
        <f>HYPERLINK("https://open-school.uspishnemisto.com.ua/school/461292/", 461292)</f>
        <v>461292</v>
      </c>
      <c r="B8572" s="3" t="s">
        <v>44044</v>
      </c>
      <c r="C8572" s="3" t="s">
        <v>31</v>
      </c>
      <c r="D8572" s="3" t="s">
        <v>32</v>
      </c>
      <c r="E8572" s="4" t="s">
        <v>22</v>
      </c>
      <c r="F8572" s="4" t="s">
        <v>44037</v>
      </c>
      <c r="G8572" s="4" t="s">
        <v>44038</v>
      </c>
      <c r="H8572" s="3" t="s">
        <v>38194</v>
      </c>
      <c r="I8572" s="3" t="s">
        <v>28260</v>
      </c>
      <c r="J8572" s="3" t="s">
        <v>44045</v>
      </c>
      <c r="K8572" s="3" t="s">
        <v>44046</v>
      </c>
      <c r="L8572" s="3"/>
      <c r="M8572" s="4"/>
      <c r="N8572" s="3" t="s">
        <v>37</v>
      </c>
      <c r="O8572" s="3" t="s">
        <v>46</v>
      </c>
      <c r="P8572" s="5">
        <v>23</v>
      </c>
      <c r="Q8572" s="5">
        <v>582</v>
      </c>
      <c r="R8572" s="5">
        <v>23</v>
      </c>
      <c r="S8572" s="5">
        <v>557</v>
      </c>
    </row>
    <row r="8573" spans="1:19" ht="42" x14ac:dyDescent="0.15">
      <c r="A8573" s="2">
        <f>HYPERLINK("https://open-school.uspishnemisto.com.ua/school/461293/", 461293)</f>
        <v>461293</v>
      </c>
      <c r="B8573" s="3" t="s">
        <v>44047</v>
      </c>
      <c r="C8573" s="3" t="s">
        <v>31</v>
      </c>
      <c r="D8573" s="3" t="s">
        <v>32</v>
      </c>
      <c r="E8573" s="4" t="s">
        <v>22</v>
      </c>
      <c r="F8573" s="4" t="s">
        <v>44037</v>
      </c>
      <c r="G8573" s="4" t="s">
        <v>44038</v>
      </c>
      <c r="H8573" s="3" t="s">
        <v>38194</v>
      </c>
      <c r="I8573" s="3" t="s">
        <v>28260</v>
      </c>
      <c r="J8573" s="3" t="s">
        <v>44048</v>
      </c>
      <c r="K8573" s="3" t="s">
        <v>44049</v>
      </c>
      <c r="L8573" s="3" t="s">
        <v>44050</v>
      </c>
      <c r="M8573" s="4"/>
      <c r="N8573" s="3" t="s">
        <v>37</v>
      </c>
      <c r="O8573" s="3" t="s">
        <v>52</v>
      </c>
      <c r="P8573" s="5">
        <v>24</v>
      </c>
      <c r="Q8573" s="5">
        <v>456</v>
      </c>
      <c r="R8573" s="5">
        <v>19</v>
      </c>
      <c r="S8573" s="5">
        <v>406</v>
      </c>
    </row>
    <row r="8574" spans="1:19" ht="28" x14ac:dyDescent="0.15">
      <c r="A8574" s="2">
        <f>HYPERLINK("https://open-school.uspishnemisto.com.ua/school/461294/", 461294)</f>
        <v>461294</v>
      </c>
      <c r="B8574" s="3" t="s">
        <v>44051</v>
      </c>
      <c r="C8574" s="3" t="s">
        <v>54</v>
      </c>
      <c r="D8574" s="3" t="s">
        <v>60</v>
      </c>
      <c r="E8574" s="4" t="s">
        <v>22</v>
      </c>
      <c r="F8574" s="4" t="s">
        <v>44037</v>
      </c>
      <c r="G8574" s="4" t="s">
        <v>44038</v>
      </c>
      <c r="H8574" s="3" t="s">
        <v>38194</v>
      </c>
      <c r="I8574" s="3" t="s">
        <v>28260</v>
      </c>
      <c r="J8574" s="3" t="s">
        <v>44052</v>
      </c>
      <c r="K8574" s="3" t="s">
        <v>44053</v>
      </c>
      <c r="L8574" s="3"/>
      <c r="M8574" s="4" t="s">
        <v>44054</v>
      </c>
      <c r="N8574" s="3" t="s">
        <v>37</v>
      </c>
      <c r="O8574" s="3" t="s">
        <v>52</v>
      </c>
      <c r="P8574" s="5">
        <v>8</v>
      </c>
      <c r="Q8574" s="5">
        <v>143</v>
      </c>
      <c r="R8574" s="5">
        <v>8</v>
      </c>
      <c r="S8574" s="5">
        <v>141</v>
      </c>
    </row>
    <row r="8575" spans="1:19" ht="28" x14ac:dyDescent="0.15">
      <c r="A8575" s="2">
        <f>HYPERLINK("https://open-school.uspishnemisto.com.ua/school/461295/", 461295)</f>
        <v>461295</v>
      </c>
      <c r="B8575" s="3" t="s">
        <v>44055</v>
      </c>
      <c r="C8575" s="3" t="s">
        <v>31</v>
      </c>
      <c r="D8575" s="3" t="s">
        <v>60</v>
      </c>
      <c r="E8575" s="4" t="s">
        <v>22</v>
      </c>
      <c r="F8575" s="4"/>
      <c r="G8575" s="4" t="s">
        <v>44056</v>
      </c>
      <c r="H8575" s="3" t="s">
        <v>38194</v>
      </c>
      <c r="I8575" s="3" t="s">
        <v>44057</v>
      </c>
      <c r="J8575" s="3" t="s">
        <v>44058</v>
      </c>
      <c r="K8575" s="3" t="s">
        <v>44059</v>
      </c>
      <c r="L8575" s="3"/>
      <c r="M8575" s="4"/>
      <c r="N8575" s="3" t="s">
        <v>37</v>
      </c>
      <c r="O8575" s="3" t="s">
        <v>52</v>
      </c>
      <c r="P8575" s="5">
        <v>15</v>
      </c>
      <c r="Q8575" s="5">
        <v>410</v>
      </c>
      <c r="R8575" s="5">
        <v>15</v>
      </c>
      <c r="S8575" s="5">
        <v>427</v>
      </c>
    </row>
    <row r="8576" spans="1:19" ht="28" x14ac:dyDescent="0.15">
      <c r="A8576" s="2">
        <f>HYPERLINK("https://open-school.uspishnemisto.com.ua/school/461296/", 461296)</f>
        <v>461296</v>
      </c>
      <c r="B8576" s="3" t="s">
        <v>44060</v>
      </c>
      <c r="C8576" s="3" t="s">
        <v>31</v>
      </c>
      <c r="D8576" s="3" t="s">
        <v>32</v>
      </c>
      <c r="E8576" s="4" t="s">
        <v>22</v>
      </c>
      <c r="F8576" s="4" t="s">
        <v>44061</v>
      </c>
      <c r="G8576" s="4" t="s">
        <v>44056</v>
      </c>
      <c r="H8576" s="3" t="s">
        <v>38194</v>
      </c>
      <c r="I8576" s="3" t="s">
        <v>44057</v>
      </c>
      <c r="J8576" s="3" t="s">
        <v>44062</v>
      </c>
      <c r="K8576" s="3" t="s">
        <v>44063</v>
      </c>
      <c r="L8576" s="3"/>
      <c r="M8576" s="4"/>
      <c r="N8576" s="3" t="s">
        <v>37</v>
      </c>
      <c r="O8576" s="3" t="s">
        <v>139</v>
      </c>
      <c r="P8576" s="5">
        <v>40</v>
      </c>
      <c r="Q8576" s="5">
        <v>1031</v>
      </c>
      <c r="R8576" s="5">
        <v>37</v>
      </c>
      <c r="S8576" s="5">
        <v>976</v>
      </c>
    </row>
    <row r="8577" spans="1:19" ht="28" x14ac:dyDescent="0.15">
      <c r="A8577" s="2">
        <f>HYPERLINK("https://open-school.uspishnemisto.com.ua/school/461297/", 461297)</f>
        <v>461297</v>
      </c>
      <c r="B8577" s="3" t="s">
        <v>44064</v>
      </c>
      <c r="C8577" s="3" t="s">
        <v>31</v>
      </c>
      <c r="D8577" s="3" t="s">
        <v>32</v>
      </c>
      <c r="E8577" s="4" t="s">
        <v>22</v>
      </c>
      <c r="F8577" s="4" t="s">
        <v>44065</v>
      </c>
      <c r="G8577" s="4" t="s">
        <v>44056</v>
      </c>
      <c r="H8577" s="3" t="s">
        <v>38194</v>
      </c>
      <c r="I8577" s="3" t="s">
        <v>44057</v>
      </c>
      <c r="J8577" s="3" t="s">
        <v>40392</v>
      </c>
      <c r="K8577" s="3"/>
      <c r="L8577" s="3"/>
      <c r="M8577" s="4"/>
      <c r="N8577" s="3" t="s">
        <v>37</v>
      </c>
      <c r="O8577" s="3" t="s">
        <v>52</v>
      </c>
      <c r="P8577" s="5">
        <v>40</v>
      </c>
      <c r="Q8577" s="5">
        <v>1090</v>
      </c>
      <c r="R8577" s="5">
        <v>39</v>
      </c>
      <c r="S8577" s="5">
        <v>1057</v>
      </c>
    </row>
    <row r="8578" spans="1:19" ht="28" x14ac:dyDescent="0.15">
      <c r="A8578" s="2">
        <f>HYPERLINK("https://open-school.uspishnemisto.com.ua/school/461298/", 461298)</f>
        <v>461298</v>
      </c>
      <c r="B8578" s="3" t="s">
        <v>44066</v>
      </c>
      <c r="C8578" s="3" t="s">
        <v>31</v>
      </c>
      <c r="D8578" s="3" t="s">
        <v>32</v>
      </c>
      <c r="E8578" s="4" t="s">
        <v>22</v>
      </c>
      <c r="F8578" s="4" t="s">
        <v>44065</v>
      </c>
      <c r="G8578" s="4" t="s">
        <v>44056</v>
      </c>
      <c r="H8578" s="3" t="s">
        <v>38194</v>
      </c>
      <c r="I8578" s="3" t="s">
        <v>44057</v>
      </c>
      <c r="J8578" s="3" t="s">
        <v>44067</v>
      </c>
      <c r="K8578" s="3"/>
      <c r="L8578" s="3" t="s">
        <v>44068</v>
      </c>
      <c r="M8578" s="4"/>
      <c r="N8578" s="3" t="s">
        <v>37</v>
      </c>
      <c r="O8578" s="3" t="s">
        <v>52</v>
      </c>
      <c r="P8578" s="5">
        <v>55</v>
      </c>
      <c r="Q8578" s="5">
        <v>1546</v>
      </c>
      <c r="R8578" s="5">
        <v>55</v>
      </c>
      <c r="S8578" s="5">
        <v>1503</v>
      </c>
    </row>
    <row r="8579" spans="1:19" ht="28" x14ac:dyDescent="0.15">
      <c r="A8579" s="2">
        <f>HYPERLINK("https://open-school.uspishnemisto.com.ua/school/461299/", 461299)</f>
        <v>461299</v>
      </c>
      <c r="B8579" s="3" t="s">
        <v>44069</v>
      </c>
      <c r="C8579" s="3" t="s">
        <v>54</v>
      </c>
      <c r="D8579" s="3" t="s">
        <v>21</v>
      </c>
      <c r="E8579" s="4" t="s">
        <v>22</v>
      </c>
      <c r="F8579" s="4"/>
      <c r="G8579" s="4" t="s">
        <v>44056</v>
      </c>
      <c r="H8579" s="3" t="s">
        <v>38194</v>
      </c>
      <c r="I8579" s="3" t="s">
        <v>44057</v>
      </c>
      <c r="J8579" s="3" t="s">
        <v>44070</v>
      </c>
      <c r="K8579" s="3" t="s">
        <v>44071</v>
      </c>
      <c r="L8579" s="3"/>
      <c r="M8579" s="4"/>
      <c r="N8579" s="3" t="s">
        <v>37</v>
      </c>
      <c r="O8579" s="3" t="s">
        <v>52</v>
      </c>
      <c r="P8579" s="5">
        <v>19</v>
      </c>
      <c r="Q8579" s="5">
        <v>490</v>
      </c>
      <c r="R8579" s="5">
        <v>18</v>
      </c>
      <c r="S8579" s="5">
        <v>434</v>
      </c>
    </row>
    <row r="8580" spans="1:19" ht="28" x14ac:dyDescent="0.15">
      <c r="A8580" s="2">
        <f>HYPERLINK("https://open-school.uspishnemisto.com.ua/school/461300/", 461300)</f>
        <v>461300</v>
      </c>
      <c r="B8580" s="3" t="s">
        <v>44072</v>
      </c>
      <c r="C8580" s="3" t="s">
        <v>31</v>
      </c>
      <c r="D8580" s="3" t="s">
        <v>32</v>
      </c>
      <c r="E8580" s="4" t="s">
        <v>22</v>
      </c>
      <c r="F8580" s="4" t="s">
        <v>44073</v>
      </c>
      <c r="G8580" s="4" t="s">
        <v>44074</v>
      </c>
      <c r="H8580" s="3" t="s">
        <v>38194</v>
      </c>
      <c r="I8580" s="3" t="s">
        <v>44075</v>
      </c>
      <c r="J8580" s="3" t="s">
        <v>2209</v>
      </c>
      <c r="K8580" s="3"/>
      <c r="L8580" s="3"/>
      <c r="M8580" s="4"/>
      <c r="N8580" s="3" t="s">
        <v>37</v>
      </c>
      <c r="O8580" s="3" t="s">
        <v>52</v>
      </c>
      <c r="P8580" s="5">
        <v>32</v>
      </c>
      <c r="Q8580" s="5">
        <v>752</v>
      </c>
      <c r="R8580" s="5">
        <v>29</v>
      </c>
      <c r="S8580" s="5">
        <v>691</v>
      </c>
    </row>
    <row r="8581" spans="1:19" ht="28" x14ac:dyDescent="0.15">
      <c r="A8581" s="2">
        <f>HYPERLINK("https://open-school.uspishnemisto.com.ua/school/461303/", 461303)</f>
        <v>461303</v>
      </c>
      <c r="B8581" s="3" t="s">
        <v>44076</v>
      </c>
      <c r="C8581" s="3" t="s">
        <v>181</v>
      </c>
      <c r="D8581" s="3" t="s">
        <v>175</v>
      </c>
      <c r="E8581" s="4" t="s">
        <v>22</v>
      </c>
      <c r="F8581" s="4" t="s">
        <v>44077</v>
      </c>
      <c r="G8581" s="4" t="s">
        <v>44078</v>
      </c>
      <c r="H8581" s="3" t="s">
        <v>38194</v>
      </c>
      <c r="I8581" s="3" t="s">
        <v>44079</v>
      </c>
      <c r="J8581" s="3" t="s">
        <v>44080</v>
      </c>
      <c r="K8581" s="3" t="s">
        <v>44081</v>
      </c>
      <c r="L8581" s="3"/>
      <c r="M8581" s="4" t="s">
        <v>44082</v>
      </c>
      <c r="N8581" s="3" t="s">
        <v>37</v>
      </c>
      <c r="O8581" s="3"/>
      <c r="P8581" s="5">
        <v>6</v>
      </c>
      <c r="Q8581" s="5">
        <v>47</v>
      </c>
      <c r="R8581" s="5">
        <v>9</v>
      </c>
      <c r="S8581" s="5">
        <v>56</v>
      </c>
    </row>
    <row r="8582" spans="1:19" ht="42" x14ac:dyDescent="0.15">
      <c r="A8582" s="2">
        <f>HYPERLINK("https://open-school.uspishnemisto.com.ua/school/461304/", 461304)</f>
        <v>461304</v>
      </c>
      <c r="B8582" s="3" t="s">
        <v>44083</v>
      </c>
      <c r="C8582" s="3" t="s">
        <v>31</v>
      </c>
      <c r="D8582" s="3" t="s">
        <v>32</v>
      </c>
      <c r="E8582" s="4" t="s">
        <v>22</v>
      </c>
      <c r="F8582" s="4" t="s">
        <v>44077</v>
      </c>
      <c r="G8582" s="4" t="s">
        <v>44078</v>
      </c>
      <c r="H8582" s="3" t="s">
        <v>38194</v>
      </c>
      <c r="I8582" s="3" t="s">
        <v>44079</v>
      </c>
      <c r="J8582" s="3" t="s">
        <v>44084</v>
      </c>
      <c r="K8582" s="3" t="s">
        <v>44085</v>
      </c>
      <c r="L8582" s="3"/>
      <c r="M8582" s="4"/>
      <c r="N8582" s="3" t="s">
        <v>37</v>
      </c>
      <c r="O8582" s="3" t="s">
        <v>237</v>
      </c>
      <c r="P8582" s="5">
        <v>13</v>
      </c>
      <c r="Q8582" s="5">
        <v>270</v>
      </c>
      <c r="R8582" s="5">
        <v>13</v>
      </c>
      <c r="S8582" s="5">
        <v>263</v>
      </c>
    </row>
    <row r="8583" spans="1:19" ht="42" x14ac:dyDescent="0.15">
      <c r="A8583" s="2">
        <f>HYPERLINK("https://open-school.uspishnemisto.com.ua/school/461305/", 461305)</f>
        <v>461305</v>
      </c>
      <c r="B8583" s="3" t="s">
        <v>44086</v>
      </c>
      <c r="C8583" s="3" t="s">
        <v>54</v>
      </c>
      <c r="D8583" s="3" t="s">
        <v>32</v>
      </c>
      <c r="E8583" s="4" t="s">
        <v>22</v>
      </c>
      <c r="F8583" s="4" t="s">
        <v>44077</v>
      </c>
      <c r="G8583" s="4" t="s">
        <v>44087</v>
      </c>
      <c r="H8583" s="3" t="s">
        <v>38194</v>
      </c>
      <c r="I8583" s="3" t="s">
        <v>44088</v>
      </c>
      <c r="J8583" s="3" t="s">
        <v>946</v>
      </c>
      <c r="K8583" s="3" t="s">
        <v>44089</v>
      </c>
      <c r="L8583" s="3"/>
      <c r="M8583" s="4"/>
      <c r="N8583" s="3" t="s">
        <v>37</v>
      </c>
      <c r="O8583" s="3" t="s">
        <v>237</v>
      </c>
      <c r="P8583" s="5">
        <v>11</v>
      </c>
      <c r="Q8583" s="5">
        <v>148</v>
      </c>
      <c r="R8583" s="5">
        <v>11</v>
      </c>
      <c r="S8583" s="5">
        <v>131</v>
      </c>
    </row>
    <row r="8584" spans="1:19" ht="28" x14ac:dyDescent="0.15">
      <c r="A8584" s="2">
        <f>HYPERLINK("https://open-school.uspishnemisto.com.ua/school/461306/", 461306)</f>
        <v>461306</v>
      </c>
      <c r="B8584" s="3" t="s">
        <v>44090</v>
      </c>
      <c r="C8584" s="3" t="s">
        <v>31</v>
      </c>
      <c r="D8584" s="3" t="s">
        <v>60</v>
      </c>
      <c r="E8584" s="4" t="s">
        <v>22</v>
      </c>
      <c r="F8584" s="4" t="s">
        <v>44091</v>
      </c>
      <c r="G8584" s="4" t="s">
        <v>44092</v>
      </c>
      <c r="H8584" s="3" t="s">
        <v>38194</v>
      </c>
      <c r="I8584" s="3" t="s">
        <v>44093</v>
      </c>
      <c r="J8584" s="3" t="s">
        <v>1001</v>
      </c>
      <c r="K8584" s="3" t="s">
        <v>44094</v>
      </c>
      <c r="L8584" s="3"/>
      <c r="M8584" s="4"/>
      <c r="N8584" s="3" t="s">
        <v>37</v>
      </c>
      <c r="O8584" s="3" t="s">
        <v>52</v>
      </c>
      <c r="P8584" s="5">
        <v>2</v>
      </c>
      <c r="Q8584" s="5">
        <v>23</v>
      </c>
      <c r="R8584" s="5">
        <v>2</v>
      </c>
      <c r="S8584" s="5">
        <v>21</v>
      </c>
    </row>
    <row r="8585" spans="1:19" ht="28" x14ac:dyDescent="0.15">
      <c r="A8585" s="2">
        <f>HYPERLINK("https://open-school.uspishnemisto.com.ua/school/461307/", 461307)</f>
        <v>461307</v>
      </c>
      <c r="B8585" s="3" t="s">
        <v>44095</v>
      </c>
      <c r="C8585" s="3" t="s">
        <v>31</v>
      </c>
      <c r="D8585" s="3" t="s">
        <v>32</v>
      </c>
      <c r="E8585" s="4" t="s">
        <v>22</v>
      </c>
      <c r="F8585" s="4" t="s">
        <v>44096</v>
      </c>
      <c r="G8585" s="4" t="s">
        <v>44097</v>
      </c>
      <c r="H8585" s="3" t="s">
        <v>38194</v>
      </c>
      <c r="I8585" s="3" t="s">
        <v>2763</v>
      </c>
      <c r="J8585" s="3" t="s">
        <v>44098</v>
      </c>
      <c r="K8585" s="3"/>
      <c r="L8585" s="3"/>
      <c r="M8585" s="4"/>
      <c r="N8585" s="3" t="s">
        <v>37</v>
      </c>
      <c r="O8585" s="3" t="s">
        <v>52</v>
      </c>
      <c r="P8585" s="5">
        <v>16</v>
      </c>
      <c r="Q8585" s="5">
        <v>290</v>
      </c>
      <c r="R8585" s="5">
        <v>15</v>
      </c>
      <c r="S8585" s="5">
        <v>299</v>
      </c>
    </row>
    <row r="8586" spans="1:19" ht="28" x14ac:dyDescent="0.15">
      <c r="A8586" s="2">
        <f>HYPERLINK("https://open-school.uspishnemisto.com.ua/school/461308/", 461308)</f>
        <v>461308</v>
      </c>
      <c r="B8586" s="3" t="s">
        <v>44099</v>
      </c>
      <c r="C8586" s="3" t="s">
        <v>31</v>
      </c>
      <c r="D8586" s="3" t="s">
        <v>175</v>
      </c>
      <c r="E8586" s="4" t="s">
        <v>22</v>
      </c>
      <c r="F8586" s="4" t="s">
        <v>44096</v>
      </c>
      <c r="G8586" s="4" t="s">
        <v>44100</v>
      </c>
      <c r="H8586" s="3" t="s">
        <v>38194</v>
      </c>
      <c r="I8586" s="3" t="s">
        <v>44101</v>
      </c>
      <c r="J8586" s="3" t="s">
        <v>42280</v>
      </c>
      <c r="K8586" s="3" t="s">
        <v>44102</v>
      </c>
      <c r="L8586" s="3"/>
      <c r="M8586" s="4"/>
      <c r="N8586" s="3" t="s">
        <v>37</v>
      </c>
      <c r="O8586" s="3" t="s">
        <v>52</v>
      </c>
      <c r="P8586" s="5">
        <v>9</v>
      </c>
      <c r="Q8586" s="5">
        <v>81</v>
      </c>
      <c r="R8586" s="5">
        <v>9</v>
      </c>
      <c r="S8586" s="5">
        <v>82</v>
      </c>
    </row>
    <row r="8587" spans="1:19" ht="28" x14ac:dyDescent="0.15">
      <c r="A8587" s="2">
        <f>HYPERLINK("https://open-school.uspishnemisto.com.ua/school/461309/", 461309)</f>
        <v>461309</v>
      </c>
      <c r="B8587" s="3" t="s">
        <v>44103</v>
      </c>
      <c r="C8587" s="3" t="s">
        <v>31</v>
      </c>
      <c r="D8587" s="3" t="s">
        <v>32</v>
      </c>
      <c r="E8587" s="4" t="s">
        <v>22</v>
      </c>
      <c r="F8587" s="4" t="s">
        <v>44104</v>
      </c>
      <c r="G8587" s="4" t="s">
        <v>44105</v>
      </c>
      <c r="H8587" s="3" t="s">
        <v>38194</v>
      </c>
      <c r="I8587" s="3" t="s">
        <v>44106</v>
      </c>
      <c r="J8587" s="3" t="s">
        <v>2745</v>
      </c>
      <c r="K8587" s="3" t="s">
        <v>44107</v>
      </c>
      <c r="L8587" s="3"/>
      <c r="M8587" s="4"/>
      <c r="N8587" s="3" t="s">
        <v>37</v>
      </c>
      <c r="O8587" s="3" t="s">
        <v>46</v>
      </c>
      <c r="P8587" s="5">
        <v>30</v>
      </c>
      <c r="Q8587" s="5">
        <v>736</v>
      </c>
      <c r="R8587" s="5">
        <v>30</v>
      </c>
      <c r="S8587" s="5">
        <v>737</v>
      </c>
    </row>
    <row r="8588" spans="1:19" ht="56" x14ac:dyDescent="0.15">
      <c r="A8588" s="2">
        <f>HYPERLINK("https://open-school.uspishnemisto.com.ua/school/461311/", 461311)</f>
        <v>461311</v>
      </c>
      <c r="B8588" s="3" t="s">
        <v>44108</v>
      </c>
      <c r="C8588" s="3" t="s">
        <v>54</v>
      </c>
      <c r="D8588" s="3" t="s">
        <v>32</v>
      </c>
      <c r="E8588" s="4" t="s">
        <v>22</v>
      </c>
      <c r="F8588" s="4" t="s">
        <v>44109</v>
      </c>
      <c r="G8588" s="4" t="s">
        <v>44110</v>
      </c>
      <c r="H8588" s="3" t="s">
        <v>38194</v>
      </c>
      <c r="I8588" s="3" t="s">
        <v>17565</v>
      </c>
      <c r="J8588" s="3" t="s">
        <v>1216</v>
      </c>
      <c r="K8588" s="3" t="s">
        <v>44111</v>
      </c>
      <c r="L8588" s="3"/>
      <c r="M8588" s="4"/>
      <c r="N8588" s="3" t="s">
        <v>37</v>
      </c>
      <c r="O8588" s="3" t="s">
        <v>52</v>
      </c>
      <c r="P8588" s="5">
        <v>11</v>
      </c>
      <c r="Q8588" s="5">
        <v>168</v>
      </c>
      <c r="R8588" s="5">
        <v>10</v>
      </c>
      <c r="S8588" s="5">
        <v>157</v>
      </c>
    </row>
    <row r="8589" spans="1:19" ht="56" x14ac:dyDescent="0.15">
      <c r="A8589" s="2">
        <f>HYPERLINK("https://open-school.uspishnemisto.com.ua/school/461312/", 461312)</f>
        <v>461312</v>
      </c>
      <c r="B8589" s="3" t="s">
        <v>44112</v>
      </c>
      <c r="C8589" s="3" t="s">
        <v>54</v>
      </c>
      <c r="D8589" s="3" t="s">
        <v>32</v>
      </c>
      <c r="E8589" s="4" t="s">
        <v>22</v>
      </c>
      <c r="F8589" s="4" t="s">
        <v>44113</v>
      </c>
      <c r="G8589" s="4" t="s">
        <v>44114</v>
      </c>
      <c r="H8589" s="3" t="s">
        <v>38194</v>
      </c>
      <c r="I8589" s="3" t="s">
        <v>7007</v>
      </c>
      <c r="J8589" s="3" t="s">
        <v>44115</v>
      </c>
      <c r="K8589" s="3"/>
      <c r="L8589" s="3"/>
      <c r="M8589" s="4"/>
      <c r="N8589" s="3" t="s">
        <v>37</v>
      </c>
      <c r="O8589" s="3" t="s">
        <v>46</v>
      </c>
      <c r="P8589" s="5">
        <v>19</v>
      </c>
      <c r="Q8589" s="5">
        <v>409</v>
      </c>
      <c r="R8589" s="5">
        <v>18</v>
      </c>
      <c r="S8589" s="5">
        <v>384</v>
      </c>
    </row>
    <row r="8590" spans="1:19" ht="28" x14ac:dyDescent="0.15">
      <c r="A8590" s="2">
        <f>HYPERLINK("https://open-school.uspishnemisto.com.ua/school/461313/", 461313)</f>
        <v>461313</v>
      </c>
      <c r="B8590" s="3" t="s">
        <v>44116</v>
      </c>
      <c r="C8590" s="3" t="s">
        <v>31</v>
      </c>
      <c r="D8590" s="3" t="s">
        <v>60</v>
      </c>
      <c r="E8590" s="4" t="s">
        <v>22</v>
      </c>
      <c r="F8590" s="4" t="s">
        <v>44113</v>
      </c>
      <c r="G8590" s="4" t="s">
        <v>44117</v>
      </c>
      <c r="H8590" s="3" t="s">
        <v>38194</v>
      </c>
      <c r="I8590" s="3" t="s">
        <v>33585</v>
      </c>
      <c r="J8590" s="3" t="s">
        <v>1348</v>
      </c>
      <c r="K8590" s="3" t="s">
        <v>44118</v>
      </c>
      <c r="L8590" s="3"/>
      <c r="M8590" s="4"/>
      <c r="N8590" s="3" t="s">
        <v>37</v>
      </c>
      <c r="O8590" s="3" t="s">
        <v>52</v>
      </c>
      <c r="P8590" s="5">
        <v>1</v>
      </c>
      <c r="Q8590" s="5">
        <v>10</v>
      </c>
      <c r="R8590" s="5">
        <v>0</v>
      </c>
      <c r="S8590" s="5">
        <v>6</v>
      </c>
    </row>
    <row r="8591" spans="1:19" ht="28" x14ac:dyDescent="0.15">
      <c r="A8591" s="2">
        <f>HYPERLINK("https://open-school.uspishnemisto.com.ua/school/461314/", 461314)</f>
        <v>461314</v>
      </c>
      <c r="B8591" s="3" t="s">
        <v>44119</v>
      </c>
      <c r="C8591" s="3" t="s">
        <v>31</v>
      </c>
      <c r="D8591" s="3" t="s">
        <v>175</v>
      </c>
      <c r="E8591" s="4" t="s">
        <v>22</v>
      </c>
      <c r="F8591" s="4" t="s">
        <v>44120</v>
      </c>
      <c r="G8591" s="4" t="s">
        <v>44121</v>
      </c>
      <c r="H8591" s="3" t="s">
        <v>38194</v>
      </c>
      <c r="I8591" s="3" t="s">
        <v>44122</v>
      </c>
      <c r="J8591" s="3" t="s">
        <v>5632</v>
      </c>
      <c r="K8591" s="3" t="s">
        <v>44123</v>
      </c>
      <c r="L8591" s="3"/>
      <c r="M8591" s="4"/>
      <c r="N8591" s="3" t="s">
        <v>37</v>
      </c>
      <c r="O8591" s="3" t="s">
        <v>46</v>
      </c>
      <c r="P8591" s="5">
        <v>8</v>
      </c>
      <c r="Q8591" s="5">
        <v>100</v>
      </c>
      <c r="R8591" s="5">
        <v>9</v>
      </c>
      <c r="S8591" s="5">
        <v>106</v>
      </c>
    </row>
    <row r="8592" spans="1:19" ht="56" x14ac:dyDescent="0.15">
      <c r="A8592" s="2">
        <f>HYPERLINK("https://open-school.uspishnemisto.com.ua/school/461315/", 461315)</f>
        <v>461315</v>
      </c>
      <c r="B8592" s="3" t="s">
        <v>44124</v>
      </c>
      <c r="C8592" s="3" t="s">
        <v>54</v>
      </c>
      <c r="D8592" s="3" t="s">
        <v>175</v>
      </c>
      <c r="E8592" s="4" t="s">
        <v>22</v>
      </c>
      <c r="F8592" s="4" t="s">
        <v>44125</v>
      </c>
      <c r="G8592" s="4" t="s">
        <v>44126</v>
      </c>
      <c r="H8592" s="3" t="s">
        <v>38194</v>
      </c>
      <c r="I8592" s="3" t="s">
        <v>44127</v>
      </c>
      <c r="J8592" s="3" t="s">
        <v>44128</v>
      </c>
      <c r="K8592" s="3" t="s">
        <v>44129</v>
      </c>
      <c r="L8592" s="3"/>
      <c r="M8592" s="4"/>
      <c r="N8592" s="3" t="s">
        <v>37</v>
      </c>
      <c r="O8592" s="3" t="s">
        <v>52</v>
      </c>
      <c r="P8592" s="5">
        <v>8</v>
      </c>
      <c r="Q8592" s="5">
        <v>64</v>
      </c>
      <c r="R8592" s="5">
        <v>8</v>
      </c>
      <c r="S8592" s="5">
        <v>65</v>
      </c>
    </row>
    <row r="8593" spans="1:19" ht="56" x14ac:dyDescent="0.15">
      <c r="A8593" s="2">
        <f>HYPERLINK("https://open-school.uspishnemisto.com.ua/school/461316/", 461316)</f>
        <v>461316</v>
      </c>
      <c r="B8593" s="3" t="s">
        <v>44130</v>
      </c>
      <c r="C8593" s="3" t="s">
        <v>54</v>
      </c>
      <c r="D8593" s="3" t="s">
        <v>32</v>
      </c>
      <c r="E8593" s="4" t="s">
        <v>22</v>
      </c>
      <c r="F8593" s="4" t="s">
        <v>44131</v>
      </c>
      <c r="G8593" s="4" t="s">
        <v>44132</v>
      </c>
      <c r="H8593" s="3" t="s">
        <v>38194</v>
      </c>
      <c r="I8593" s="3" t="s">
        <v>44133</v>
      </c>
      <c r="J8593" s="3" t="s">
        <v>297</v>
      </c>
      <c r="K8593" s="3" t="s">
        <v>44134</v>
      </c>
      <c r="L8593" s="3"/>
      <c r="M8593" s="4"/>
      <c r="N8593" s="3" t="s">
        <v>37</v>
      </c>
      <c r="O8593" s="3" t="s">
        <v>52</v>
      </c>
      <c r="P8593" s="5">
        <v>11</v>
      </c>
      <c r="Q8593" s="5">
        <v>212</v>
      </c>
      <c r="R8593" s="5">
        <v>11</v>
      </c>
      <c r="S8593" s="5">
        <v>217</v>
      </c>
    </row>
    <row r="8594" spans="1:19" ht="28" x14ac:dyDescent="0.15">
      <c r="A8594" s="2">
        <f>HYPERLINK("https://open-school.uspishnemisto.com.ua/school/461317/", 461317)</f>
        <v>461317</v>
      </c>
      <c r="B8594" s="3" t="s">
        <v>44135</v>
      </c>
      <c r="C8594" s="3" t="s">
        <v>31</v>
      </c>
      <c r="D8594" s="3" t="s">
        <v>175</v>
      </c>
      <c r="E8594" s="4" t="s">
        <v>22</v>
      </c>
      <c r="F8594" s="4" t="s">
        <v>44131</v>
      </c>
      <c r="G8594" s="4" t="s">
        <v>44136</v>
      </c>
      <c r="H8594" s="3" t="s">
        <v>38194</v>
      </c>
      <c r="I8594" s="3" t="s">
        <v>44137</v>
      </c>
      <c r="J8594" s="3" t="s">
        <v>1668</v>
      </c>
      <c r="K8594" s="3" t="s">
        <v>44138</v>
      </c>
      <c r="L8594" s="3"/>
      <c r="M8594" s="4"/>
      <c r="N8594" s="3" t="s">
        <v>37</v>
      </c>
      <c r="O8594" s="3" t="s">
        <v>52</v>
      </c>
      <c r="P8594" s="5">
        <v>9</v>
      </c>
      <c r="Q8594" s="5">
        <v>79</v>
      </c>
      <c r="R8594" s="5">
        <v>8</v>
      </c>
      <c r="S8594" s="5">
        <v>75</v>
      </c>
    </row>
    <row r="8595" spans="1:19" ht="28" x14ac:dyDescent="0.15">
      <c r="A8595" s="2">
        <f>HYPERLINK("https://open-school.uspishnemisto.com.ua/school/461318/", 461318)</f>
        <v>461318</v>
      </c>
      <c r="B8595" s="3" t="s">
        <v>44139</v>
      </c>
      <c r="C8595" s="3" t="s">
        <v>31</v>
      </c>
      <c r="D8595" s="3" t="s">
        <v>175</v>
      </c>
      <c r="E8595" s="4" t="s">
        <v>22</v>
      </c>
      <c r="F8595" s="4" t="s">
        <v>44131</v>
      </c>
      <c r="G8595" s="4" t="s">
        <v>44140</v>
      </c>
      <c r="H8595" s="3" t="s">
        <v>38194</v>
      </c>
      <c r="I8595" s="3" t="s">
        <v>44141</v>
      </c>
      <c r="J8595" s="3" t="s">
        <v>18253</v>
      </c>
      <c r="K8595" s="3"/>
      <c r="L8595" s="3"/>
      <c r="M8595" s="4"/>
      <c r="N8595" s="3" t="s">
        <v>37</v>
      </c>
      <c r="O8595" s="3" t="s">
        <v>46</v>
      </c>
      <c r="P8595" s="5">
        <v>9</v>
      </c>
      <c r="Q8595" s="5">
        <v>108</v>
      </c>
      <c r="R8595" s="5">
        <v>9</v>
      </c>
      <c r="S8595" s="5">
        <v>106</v>
      </c>
    </row>
    <row r="8596" spans="1:19" ht="42" x14ac:dyDescent="0.15">
      <c r="A8596" s="2">
        <f>HYPERLINK("https://open-school.uspishnemisto.com.ua/school/461319/", 461319)</f>
        <v>461319</v>
      </c>
      <c r="B8596" s="3" t="s">
        <v>44142</v>
      </c>
      <c r="C8596" s="3" t="s">
        <v>54</v>
      </c>
      <c r="D8596" s="3" t="s">
        <v>32</v>
      </c>
      <c r="E8596" s="4" t="s">
        <v>22</v>
      </c>
      <c r="F8596" s="4" t="s">
        <v>44143</v>
      </c>
      <c r="G8596" s="4" t="s">
        <v>44144</v>
      </c>
      <c r="H8596" s="3" t="s">
        <v>38194</v>
      </c>
      <c r="I8596" s="3" t="s">
        <v>44145</v>
      </c>
      <c r="J8596" s="3" t="s">
        <v>44146</v>
      </c>
      <c r="K8596" s="3" t="s">
        <v>44147</v>
      </c>
      <c r="L8596" s="3"/>
      <c r="M8596" s="4"/>
      <c r="N8596" s="3" t="s">
        <v>37</v>
      </c>
      <c r="O8596" s="3" t="s">
        <v>2740</v>
      </c>
      <c r="P8596" s="5">
        <v>11</v>
      </c>
      <c r="Q8596" s="5">
        <v>109</v>
      </c>
      <c r="R8596" s="5">
        <v>11</v>
      </c>
      <c r="S8596" s="5">
        <v>113</v>
      </c>
    </row>
    <row r="8597" spans="1:19" ht="42" x14ac:dyDescent="0.15">
      <c r="A8597" s="2">
        <f>HYPERLINK("https://open-school.uspishnemisto.com.ua/school/461320/", 461320)</f>
        <v>461320</v>
      </c>
      <c r="B8597" s="3" t="s">
        <v>44148</v>
      </c>
      <c r="C8597" s="3" t="s">
        <v>54</v>
      </c>
      <c r="D8597" s="3" t="s">
        <v>32</v>
      </c>
      <c r="E8597" s="4" t="s">
        <v>22</v>
      </c>
      <c r="F8597" s="4" t="s">
        <v>44149</v>
      </c>
      <c r="G8597" s="4" t="s">
        <v>44150</v>
      </c>
      <c r="H8597" s="3" t="s">
        <v>38194</v>
      </c>
      <c r="I8597" s="3" t="s">
        <v>44151</v>
      </c>
      <c r="J8597" s="3" t="s">
        <v>44152</v>
      </c>
      <c r="K8597" s="3"/>
      <c r="L8597" s="3"/>
      <c r="M8597" s="4"/>
      <c r="N8597" s="3" t="s">
        <v>37</v>
      </c>
      <c r="O8597" s="3" t="s">
        <v>46</v>
      </c>
      <c r="P8597" s="5">
        <v>14</v>
      </c>
      <c r="Q8597" s="5">
        <v>255</v>
      </c>
      <c r="R8597" s="5">
        <v>14</v>
      </c>
      <c r="S8597" s="5">
        <v>230</v>
      </c>
    </row>
    <row r="8598" spans="1:19" ht="28" x14ac:dyDescent="0.15">
      <c r="A8598" s="2">
        <f>HYPERLINK("https://open-school.uspishnemisto.com.ua/school/461321/", 461321)</f>
        <v>461321</v>
      </c>
      <c r="B8598" s="3" t="s">
        <v>44153</v>
      </c>
      <c r="C8598" s="3" t="s">
        <v>31</v>
      </c>
      <c r="D8598" s="3" t="s">
        <v>60</v>
      </c>
      <c r="E8598" s="4" t="s">
        <v>22</v>
      </c>
      <c r="F8598" s="4" t="s">
        <v>44149</v>
      </c>
      <c r="G8598" s="4" t="s">
        <v>44154</v>
      </c>
      <c r="H8598" s="3" t="s">
        <v>38194</v>
      </c>
      <c r="I8598" s="3" t="s">
        <v>44155</v>
      </c>
      <c r="J8598" s="3" t="s">
        <v>44156</v>
      </c>
      <c r="K8598" s="3" t="s">
        <v>44157</v>
      </c>
      <c r="L8598" s="3"/>
      <c r="M8598" s="4"/>
      <c r="N8598" s="3" t="s">
        <v>37</v>
      </c>
      <c r="O8598" s="3" t="s">
        <v>52</v>
      </c>
      <c r="P8598" s="5">
        <v>1</v>
      </c>
      <c r="Q8598" s="5">
        <v>12</v>
      </c>
      <c r="R8598" s="5">
        <v>1</v>
      </c>
      <c r="S8598" s="5">
        <v>10</v>
      </c>
    </row>
    <row r="8599" spans="1:19" ht="28" x14ac:dyDescent="0.15">
      <c r="A8599" s="2">
        <f>HYPERLINK("https://open-school.uspishnemisto.com.ua/school/461322/", 461322)</f>
        <v>461322</v>
      </c>
      <c r="B8599" s="3" t="s">
        <v>44158</v>
      </c>
      <c r="C8599" s="3" t="s">
        <v>31</v>
      </c>
      <c r="D8599" s="3" t="s">
        <v>175</v>
      </c>
      <c r="E8599" s="4" t="s">
        <v>22</v>
      </c>
      <c r="F8599" s="4" t="s">
        <v>44159</v>
      </c>
      <c r="G8599" s="4" t="s">
        <v>44160</v>
      </c>
      <c r="H8599" s="3" t="s">
        <v>38194</v>
      </c>
      <c r="I8599" s="3" t="s">
        <v>44161</v>
      </c>
      <c r="J8599" s="3" t="s">
        <v>44162</v>
      </c>
      <c r="K8599" s="3"/>
      <c r="L8599" s="3"/>
      <c r="M8599" s="4"/>
      <c r="N8599" s="3" t="s">
        <v>37</v>
      </c>
      <c r="O8599" s="3" t="s">
        <v>52</v>
      </c>
      <c r="P8599" s="5">
        <v>9</v>
      </c>
      <c r="Q8599" s="5">
        <v>90</v>
      </c>
      <c r="R8599" s="5">
        <v>9</v>
      </c>
      <c r="S8599" s="5">
        <v>82</v>
      </c>
    </row>
    <row r="8600" spans="1:19" ht="28" x14ac:dyDescent="0.15">
      <c r="A8600" s="2">
        <f>HYPERLINK("https://open-school.uspishnemisto.com.ua/school/461323/", 461323)</f>
        <v>461323</v>
      </c>
      <c r="B8600" s="3" t="s">
        <v>44163</v>
      </c>
      <c r="C8600" s="3" t="s">
        <v>31</v>
      </c>
      <c r="D8600" s="3" t="s">
        <v>175</v>
      </c>
      <c r="E8600" s="4" t="s">
        <v>22</v>
      </c>
      <c r="F8600" s="4" t="s">
        <v>44164</v>
      </c>
      <c r="G8600" s="4" t="s">
        <v>44165</v>
      </c>
      <c r="H8600" s="3" t="s">
        <v>38194</v>
      </c>
      <c r="I8600" s="3" t="s">
        <v>44166</v>
      </c>
      <c r="J8600" s="3" t="s">
        <v>44167</v>
      </c>
      <c r="K8600" s="3" t="s">
        <v>44168</v>
      </c>
      <c r="L8600" s="3"/>
      <c r="M8600" s="4"/>
      <c r="N8600" s="3" t="s">
        <v>37</v>
      </c>
      <c r="O8600" s="3" t="s">
        <v>52</v>
      </c>
      <c r="P8600" s="5">
        <v>4</v>
      </c>
      <c r="Q8600" s="5">
        <v>37</v>
      </c>
      <c r="R8600" s="5">
        <v>4</v>
      </c>
      <c r="S8600" s="5">
        <v>35</v>
      </c>
    </row>
    <row r="8601" spans="1:19" ht="28" x14ac:dyDescent="0.15">
      <c r="A8601" s="2">
        <f>HYPERLINK("https://open-school.uspishnemisto.com.ua/school/461324/", 461324)</f>
        <v>461324</v>
      </c>
      <c r="B8601" s="3" t="s">
        <v>44169</v>
      </c>
      <c r="C8601" s="3" t="s">
        <v>31</v>
      </c>
      <c r="D8601" s="3" t="s">
        <v>32</v>
      </c>
      <c r="E8601" s="4" t="s">
        <v>22</v>
      </c>
      <c r="F8601" s="4" t="s">
        <v>44170</v>
      </c>
      <c r="G8601" s="4" t="s">
        <v>44171</v>
      </c>
      <c r="H8601" s="3" t="s">
        <v>38194</v>
      </c>
      <c r="I8601" s="3" t="s">
        <v>44172</v>
      </c>
      <c r="J8601" s="3" t="s">
        <v>1348</v>
      </c>
      <c r="K8601" s="3" t="s">
        <v>44173</v>
      </c>
      <c r="L8601" s="3"/>
      <c r="M8601" s="4"/>
      <c r="N8601" s="3" t="s">
        <v>37</v>
      </c>
      <c r="O8601" s="3" t="s">
        <v>46</v>
      </c>
      <c r="P8601" s="5">
        <v>12</v>
      </c>
      <c r="Q8601" s="5">
        <v>219</v>
      </c>
      <c r="R8601" s="5">
        <v>12</v>
      </c>
      <c r="S8601" s="5">
        <v>217</v>
      </c>
    </row>
    <row r="8602" spans="1:19" ht="56" x14ac:dyDescent="0.15">
      <c r="A8602" s="2">
        <f>HYPERLINK("https://open-school.uspishnemisto.com.ua/school/461325/", 461325)</f>
        <v>461325</v>
      </c>
      <c r="B8602" s="3" t="s">
        <v>44174</v>
      </c>
      <c r="C8602" s="3" t="s">
        <v>54</v>
      </c>
      <c r="D8602" s="3" t="s">
        <v>32</v>
      </c>
      <c r="E8602" s="4" t="s">
        <v>22</v>
      </c>
      <c r="F8602" s="4" t="s">
        <v>44175</v>
      </c>
      <c r="G8602" s="4" t="s">
        <v>44176</v>
      </c>
      <c r="H8602" s="3" t="s">
        <v>38194</v>
      </c>
      <c r="I8602" s="3" t="s">
        <v>44177</v>
      </c>
      <c r="J8602" s="3" t="s">
        <v>18484</v>
      </c>
      <c r="K8602" s="3" t="s">
        <v>44178</v>
      </c>
      <c r="L8602" s="3"/>
      <c r="M8602" s="4"/>
      <c r="N8602" s="3" t="s">
        <v>37</v>
      </c>
      <c r="O8602" s="3" t="s">
        <v>52</v>
      </c>
      <c r="P8602" s="5">
        <v>11</v>
      </c>
      <c r="Q8602" s="5">
        <v>129</v>
      </c>
      <c r="R8602" s="5">
        <v>11</v>
      </c>
      <c r="S8602" s="5">
        <v>127</v>
      </c>
    </row>
    <row r="8603" spans="1:19" ht="28" x14ac:dyDescent="0.15">
      <c r="A8603" s="2">
        <f>HYPERLINK("https://open-school.uspishnemisto.com.ua/school/461326/", 461326)</f>
        <v>461326</v>
      </c>
      <c r="B8603" s="3" t="s">
        <v>44179</v>
      </c>
      <c r="C8603" s="3" t="s">
        <v>31</v>
      </c>
      <c r="D8603" s="3" t="s">
        <v>175</v>
      </c>
      <c r="E8603" s="4" t="s">
        <v>22</v>
      </c>
      <c r="F8603" s="4" t="s">
        <v>44180</v>
      </c>
      <c r="G8603" s="4" t="s">
        <v>44181</v>
      </c>
      <c r="H8603" s="3" t="s">
        <v>38194</v>
      </c>
      <c r="I8603" s="3" t="s">
        <v>5631</v>
      </c>
      <c r="J8603" s="3" t="s">
        <v>44182</v>
      </c>
      <c r="K8603" s="3" t="s">
        <v>44183</v>
      </c>
      <c r="L8603" s="3"/>
      <c r="M8603" s="4"/>
      <c r="N8603" s="3" t="s">
        <v>37</v>
      </c>
      <c r="O8603" s="3" t="s">
        <v>52</v>
      </c>
      <c r="P8603" s="5">
        <v>9</v>
      </c>
      <c r="Q8603" s="5">
        <v>70</v>
      </c>
      <c r="R8603" s="5">
        <v>8</v>
      </c>
      <c r="S8603" s="5">
        <v>69</v>
      </c>
    </row>
    <row r="8604" spans="1:19" ht="28" x14ac:dyDescent="0.15">
      <c r="A8604" s="2">
        <f>HYPERLINK("https://open-school.uspishnemisto.com.ua/school/461327/", 461327)</f>
        <v>461327</v>
      </c>
      <c r="B8604" s="3" t="s">
        <v>44184</v>
      </c>
      <c r="C8604" s="3" t="s">
        <v>31</v>
      </c>
      <c r="D8604" s="3" t="s">
        <v>32</v>
      </c>
      <c r="E8604" s="4" t="s">
        <v>22</v>
      </c>
      <c r="F8604" s="4" t="s">
        <v>44185</v>
      </c>
      <c r="G8604" s="4" t="s">
        <v>44186</v>
      </c>
      <c r="H8604" s="3" t="s">
        <v>38194</v>
      </c>
      <c r="I8604" s="3" t="s">
        <v>43621</v>
      </c>
      <c r="J8604" s="3" t="s">
        <v>6394</v>
      </c>
      <c r="K8604" s="3" t="s">
        <v>44187</v>
      </c>
      <c r="L8604" s="3"/>
      <c r="M8604" s="4"/>
      <c r="N8604" s="3" t="s">
        <v>37</v>
      </c>
      <c r="O8604" s="3" t="s">
        <v>46</v>
      </c>
      <c r="P8604" s="5">
        <v>11</v>
      </c>
      <c r="Q8604" s="5">
        <v>131</v>
      </c>
      <c r="R8604" s="5">
        <v>11</v>
      </c>
      <c r="S8604" s="5">
        <v>136</v>
      </c>
    </row>
    <row r="8605" spans="1:19" ht="28" x14ac:dyDescent="0.15">
      <c r="A8605" s="2">
        <f>HYPERLINK("https://open-school.uspishnemisto.com.ua/school/461330/", 461330)</f>
        <v>461330</v>
      </c>
      <c r="B8605" s="3" t="s">
        <v>44188</v>
      </c>
      <c r="C8605" s="3" t="s">
        <v>31</v>
      </c>
      <c r="D8605" s="3" t="s">
        <v>175</v>
      </c>
      <c r="E8605" s="4" t="s">
        <v>22</v>
      </c>
      <c r="F8605" s="4" t="s">
        <v>44189</v>
      </c>
      <c r="G8605" s="4" t="s">
        <v>44190</v>
      </c>
      <c r="H8605" s="3" t="s">
        <v>38194</v>
      </c>
      <c r="I8605" s="3" t="s">
        <v>3357</v>
      </c>
      <c r="J8605" s="3" t="s">
        <v>44191</v>
      </c>
      <c r="K8605" s="3" t="s">
        <v>44192</v>
      </c>
      <c r="L8605" s="3"/>
      <c r="M8605" s="4"/>
      <c r="N8605" s="3" t="s">
        <v>37</v>
      </c>
      <c r="O8605" s="3" t="s">
        <v>46</v>
      </c>
      <c r="P8605" s="5">
        <v>9</v>
      </c>
      <c r="Q8605" s="5">
        <v>130</v>
      </c>
      <c r="R8605" s="5">
        <v>9</v>
      </c>
      <c r="S8605" s="5">
        <v>126</v>
      </c>
    </row>
    <row r="8606" spans="1:19" ht="28" x14ac:dyDescent="0.15">
      <c r="A8606" s="2">
        <f>HYPERLINK("https://open-school.uspishnemisto.com.ua/school/461331/", 461331)</f>
        <v>461331</v>
      </c>
      <c r="B8606" s="3" t="s">
        <v>44193</v>
      </c>
      <c r="C8606" s="3" t="s">
        <v>31</v>
      </c>
      <c r="D8606" s="3" t="s">
        <v>175</v>
      </c>
      <c r="E8606" s="4" t="s">
        <v>22</v>
      </c>
      <c r="F8606" s="4" t="s">
        <v>44194</v>
      </c>
      <c r="G8606" s="4" t="s">
        <v>44195</v>
      </c>
      <c r="H8606" s="3" t="s">
        <v>38194</v>
      </c>
      <c r="I8606" s="3" t="s">
        <v>44196</v>
      </c>
      <c r="J8606" s="3" t="s">
        <v>44197</v>
      </c>
      <c r="K8606" s="3"/>
      <c r="L8606" s="3"/>
      <c r="M8606" s="4"/>
      <c r="N8606" s="3" t="s">
        <v>37</v>
      </c>
      <c r="O8606" s="3" t="s">
        <v>52</v>
      </c>
      <c r="P8606" s="5">
        <v>8</v>
      </c>
      <c r="Q8606" s="5">
        <v>73</v>
      </c>
      <c r="R8606" s="5">
        <v>8</v>
      </c>
      <c r="S8606" s="5">
        <v>80</v>
      </c>
    </row>
    <row r="8607" spans="1:19" ht="28" x14ac:dyDescent="0.15">
      <c r="A8607" s="2">
        <f>HYPERLINK("https://open-school.uspishnemisto.com.ua/school/461332/", 461332)</f>
        <v>461332</v>
      </c>
      <c r="B8607" s="3" t="s">
        <v>44198</v>
      </c>
      <c r="C8607" s="3" t="s">
        <v>31</v>
      </c>
      <c r="D8607" s="3" t="s">
        <v>175</v>
      </c>
      <c r="E8607" s="4" t="s">
        <v>22</v>
      </c>
      <c r="F8607" s="4" t="s">
        <v>44199</v>
      </c>
      <c r="G8607" s="4" t="s">
        <v>44200</v>
      </c>
      <c r="H8607" s="3" t="s">
        <v>38194</v>
      </c>
      <c r="I8607" s="3" t="s">
        <v>44201</v>
      </c>
      <c r="J8607" s="3" t="s">
        <v>44202</v>
      </c>
      <c r="K8607" s="3"/>
      <c r="L8607" s="3"/>
      <c r="M8607" s="4"/>
      <c r="N8607" s="3" t="s">
        <v>37</v>
      </c>
      <c r="O8607" s="3" t="s">
        <v>46</v>
      </c>
      <c r="P8607" s="5">
        <v>9</v>
      </c>
      <c r="Q8607" s="5">
        <v>134</v>
      </c>
      <c r="R8607" s="5">
        <v>9</v>
      </c>
      <c r="S8607" s="5">
        <v>136</v>
      </c>
    </row>
    <row r="8608" spans="1:19" ht="28" x14ac:dyDescent="0.15">
      <c r="A8608" s="2">
        <f>HYPERLINK("https://open-school.uspishnemisto.com.ua/school/461333/", 461333)</f>
        <v>461333</v>
      </c>
      <c r="B8608" s="3" t="s">
        <v>44203</v>
      </c>
      <c r="C8608" s="3" t="s">
        <v>31</v>
      </c>
      <c r="D8608" s="3" t="s">
        <v>175</v>
      </c>
      <c r="E8608" s="4" t="s">
        <v>22</v>
      </c>
      <c r="F8608" s="4" t="s">
        <v>44204</v>
      </c>
      <c r="G8608" s="4" t="s">
        <v>44205</v>
      </c>
      <c r="H8608" s="3" t="s">
        <v>38194</v>
      </c>
      <c r="I8608" s="3" t="s">
        <v>1803</v>
      </c>
      <c r="J8608" s="3" t="s">
        <v>44206</v>
      </c>
      <c r="K8608" s="3" t="s">
        <v>44207</v>
      </c>
      <c r="L8608" s="3"/>
      <c r="M8608" s="4"/>
      <c r="N8608" s="3" t="s">
        <v>37</v>
      </c>
      <c r="O8608" s="3" t="s">
        <v>46</v>
      </c>
      <c r="P8608" s="5">
        <v>9</v>
      </c>
      <c r="Q8608" s="5">
        <v>102</v>
      </c>
      <c r="R8608" s="5">
        <v>9</v>
      </c>
      <c r="S8608" s="5">
        <v>91</v>
      </c>
    </row>
    <row r="8609" spans="1:19" ht="42" x14ac:dyDescent="0.15">
      <c r="A8609" s="2">
        <f>HYPERLINK("https://open-school.uspishnemisto.com.ua/school/461334/", 461334)</f>
        <v>461334</v>
      </c>
      <c r="B8609" s="3" t="s">
        <v>44208</v>
      </c>
      <c r="C8609" s="3" t="s">
        <v>31</v>
      </c>
      <c r="D8609" s="3" t="s">
        <v>32</v>
      </c>
      <c r="E8609" s="4" t="s">
        <v>22</v>
      </c>
      <c r="F8609" s="4" t="s">
        <v>44209</v>
      </c>
      <c r="G8609" s="4" t="s">
        <v>44210</v>
      </c>
      <c r="H8609" s="3" t="s">
        <v>38194</v>
      </c>
      <c r="I8609" s="3" t="s">
        <v>44211</v>
      </c>
      <c r="J8609" s="3" t="s">
        <v>44212</v>
      </c>
      <c r="K8609" s="3" t="s">
        <v>44213</v>
      </c>
      <c r="L8609" s="3"/>
      <c r="M8609" s="4"/>
      <c r="N8609" s="3" t="s">
        <v>37</v>
      </c>
      <c r="O8609" s="3" t="s">
        <v>52</v>
      </c>
      <c r="P8609" s="5">
        <v>11</v>
      </c>
      <c r="Q8609" s="5">
        <v>137</v>
      </c>
      <c r="R8609" s="5">
        <v>11</v>
      </c>
      <c r="S8609" s="5">
        <v>139</v>
      </c>
    </row>
    <row r="8610" spans="1:19" ht="42" x14ac:dyDescent="0.15">
      <c r="A8610" s="2">
        <f>HYPERLINK("https://open-school.uspishnemisto.com.ua/school/461335/", 461335)</f>
        <v>461335</v>
      </c>
      <c r="B8610" s="3" t="s">
        <v>44214</v>
      </c>
      <c r="C8610" s="3" t="s">
        <v>54</v>
      </c>
      <c r="D8610" s="3" t="s">
        <v>175</v>
      </c>
      <c r="E8610" s="4" t="s">
        <v>22</v>
      </c>
      <c r="F8610" s="4" t="s">
        <v>44215</v>
      </c>
      <c r="G8610" s="4" t="s">
        <v>44216</v>
      </c>
      <c r="H8610" s="3" t="s">
        <v>38194</v>
      </c>
      <c r="I8610" s="3" t="s">
        <v>44217</v>
      </c>
      <c r="J8610" s="3" t="s">
        <v>44218</v>
      </c>
      <c r="K8610" s="3" t="s">
        <v>44219</v>
      </c>
      <c r="L8610" s="3"/>
      <c r="M8610" s="4"/>
      <c r="N8610" s="3" t="s">
        <v>37</v>
      </c>
      <c r="O8610" s="3" t="s">
        <v>8857</v>
      </c>
      <c r="P8610" s="5">
        <v>8</v>
      </c>
      <c r="Q8610" s="5">
        <v>54</v>
      </c>
      <c r="R8610" s="5">
        <v>8</v>
      </c>
      <c r="S8610" s="5">
        <v>54</v>
      </c>
    </row>
    <row r="8611" spans="1:19" ht="28" x14ac:dyDescent="0.15">
      <c r="A8611" s="2">
        <f>HYPERLINK("https://open-school.uspishnemisto.com.ua/school/461336/", 461336)</f>
        <v>461336</v>
      </c>
      <c r="B8611" s="3" t="s">
        <v>44220</v>
      </c>
      <c r="C8611" s="3" t="s">
        <v>31</v>
      </c>
      <c r="D8611" s="3" t="s">
        <v>175</v>
      </c>
      <c r="E8611" s="4" t="s">
        <v>22</v>
      </c>
      <c r="F8611" s="4" t="s">
        <v>44221</v>
      </c>
      <c r="G8611" s="4" t="s">
        <v>44222</v>
      </c>
      <c r="H8611" s="3" t="s">
        <v>38194</v>
      </c>
      <c r="I8611" s="3" t="s">
        <v>5836</v>
      </c>
      <c r="J8611" s="3" t="s">
        <v>44223</v>
      </c>
      <c r="K8611" s="3" t="s">
        <v>44224</v>
      </c>
      <c r="L8611" s="3"/>
      <c r="M8611" s="4"/>
      <c r="N8611" s="3" t="s">
        <v>37</v>
      </c>
      <c r="O8611" s="3" t="s">
        <v>52</v>
      </c>
      <c r="P8611" s="5">
        <v>5</v>
      </c>
      <c r="Q8611" s="5">
        <v>43</v>
      </c>
      <c r="R8611" s="5">
        <v>3</v>
      </c>
      <c r="S8611" s="5">
        <v>40</v>
      </c>
    </row>
    <row r="8612" spans="1:19" ht="56" x14ac:dyDescent="0.15">
      <c r="A8612" s="2">
        <f>HYPERLINK("https://open-school.uspishnemisto.com.ua/school/461337/", 461337)</f>
        <v>461337</v>
      </c>
      <c r="B8612" s="3" t="s">
        <v>44225</v>
      </c>
      <c r="C8612" s="3" t="s">
        <v>54</v>
      </c>
      <c r="D8612" s="3" t="s">
        <v>175</v>
      </c>
      <c r="E8612" s="4" t="s">
        <v>22</v>
      </c>
      <c r="F8612" s="4" t="s">
        <v>44226</v>
      </c>
      <c r="G8612" s="4" t="s">
        <v>44227</v>
      </c>
      <c r="H8612" s="3" t="s">
        <v>38194</v>
      </c>
      <c r="I8612" s="3" t="s">
        <v>44228</v>
      </c>
      <c r="J8612" s="3" t="s">
        <v>44229</v>
      </c>
      <c r="K8612" s="3"/>
      <c r="L8612" s="3"/>
      <c r="M8612" s="4"/>
      <c r="N8612" s="3" t="s">
        <v>37</v>
      </c>
      <c r="O8612" s="3" t="s">
        <v>46</v>
      </c>
      <c r="P8612" s="5">
        <v>8</v>
      </c>
      <c r="Q8612" s="5">
        <v>55</v>
      </c>
      <c r="R8612" s="5">
        <v>8</v>
      </c>
      <c r="S8612" s="5">
        <v>53</v>
      </c>
    </row>
    <row r="8613" spans="1:19" ht="42" x14ac:dyDescent="0.15">
      <c r="A8613" s="2">
        <f>HYPERLINK("https://open-school.uspishnemisto.com.ua/school/461338/", 461338)</f>
        <v>461338</v>
      </c>
      <c r="B8613" s="3" t="s">
        <v>44230</v>
      </c>
      <c r="C8613" s="3" t="s">
        <v>54</v>
      </c>
      <c r="D8613" s="3" t="s">
        <v>175</v>
      </c>
      <c r="E8613" s="4" t="s">
        <v>22</v>
      </c>
      <c r="F8613" s="4" t="s">
        <v>44231</v>
      </c>
      <c r="G8613" s="4" t="s">
        <v>44232</v>
      </c>
      <c r="H8613" s="3" t="s">
        <v>38194</v>
      </c>
      <c r="I8613" s="3" t="s">
        <v>44233</v>
      </c>
      <c r="J8613" s="3" t="s">
        <v>2978</v>
      </c>
      <c r="K8613" s="3" t="s">
        <v>44234</v>
      </c>
      <c r="L8613" s="3"/>
      <c r="M8613" s="4"/>
      <c r="N8613" s="3" t="s">
        <v>37</v>
      </c>
      <c r="O8613" s="3" t="s">
        <v>46</v>
      </c>
      <c r="P8613" s="5">
        <v>8</v>
      </c>
      <c r="Q8613" s="5">
        <v>109</v>
      </c>
      <c r="R8613" s="5">
        <v>9</v>
      </c>
      <c r="S8613" s="5">
        <v>107</v>
      </c>
    </row>
    <row r="8614" spans="1:19" ht="28" x14ac:dyDescent="0.15">
      <c r="A8614" s="2">
        <f>HYPERLINK("https://open-school.uspishnemisto.com.ua/school/461339/", 461339)</f>
        <v>461339</v>
      </c>
      <c r="B8614" s="3" t="s">
        <v>44235</v>
      </c>
      <c r="C8614" s="3" t="s">
        <v>31</v>
      </c>
      <c r="D8614" s="3" t="s">
        <v>32</v>
      </c>
      <c r="E8614" s="4" t="s">
        <v>22</v>
      </c>
      <c r="F8614" s="4" t="s">
        <v>44236</v>
      </c>
      <c r="G8614" s="4" t="s">
        <v>44237</v>
      </c>
      <c r="H8614" s="3" t="s">
        <v>38194</v>
      </c>
      <c r="I8614" s="3" t="s">
        <v>44238</v>
      </c>
      <c r="J8614" s="3" t="s">
        <v>44239</v>
      </c>
      <c r="K8614" s="3" t="s">
        <v>44240</v>
      </c>
      <c r="L8614" s="3"/>
      <c r="M8614" s="4"/>
      <c r="N8614" s="3" t="s">
        <v>37</v>
      </c>
      <c r="O8614" s="3" t="s">
        <v>52</v>
      </c>
      <c r="P8614" s="5">
        <v>23</v>
      </c>
      <c r="Q8614" s="5">
        <v>438</v>
      </c>
      <c r="R8614" s="5">
        <v>22</v>
      </c>
      <c r="S8614" s="5">
        <v>426</v>
      </c>
    </row>
    <row r="8615" spans="1:19" ht="28" x14ac:dyDescent="0.15">
      <c r="A8615" s="2">
        <f>HYPERLINK("https://open-school.uspishnemisto.com.ua/school/461341/", 461341)</f>
        <v>461341</v>
      </c>
      <c r="B8615" s="3" t="s">
        <v>44241</v>
      </c>
      <c r="C8615" s="3" t="s">
        <v>31</v>
      </c>
      <c r="D8615" s="3" t="s">
        <v>175</v>
      </c>
      <c r="E8615" s="4" t="s">
        <v>22</v>
      </c>
      <c r="F8615" s="4" t="s">
        <v>44236</v>
      </c>
      <c r="G8615" s="4" t="s">
        <v>44242</v>
      </c>
      <c r="H8615" s="3" t="s">
        <v>38194</v>
      </c>
      <c r="I8615" s="3" t="s">
        <v>44243</v>
      </c>
      <c r="J8615" s="3" t="s">
        <v>44244</v>
      </c>
      <c r="K8615" s="3" t="s">
        <v>44245</v>
      </c>
      <c r="L8615" s="3"/>
      <c r="M8615" s="4"/>
      <c r="N8615" s="3" t="s">
        <v>37</v>
      </c>
      <c r="O8615" s="3" t="s">
        <v>52</v>
      </c>
      <c r="P8615" s="5">
        <v>8</v>
      </c>
      <c r="Q8615" s="5">
        <v>56</v>
      </c>
      <c r="R8615" s="5">
        <v>8</v>
      </c>
      <c r="S8615" s="5">
        <v>57</v>
      </c>
    </row>
    <row r="8616" spans="1:19" ht="42" x14ac:dyDescent="0.15">
      <c r="A8616" s="2">
        <f>HYPERLINK("https://open-school.uspishnemisto.com.ua/school/461342/", 461342)</f>
        <v>461342</v>
      </c>
      <c r="B8616" s="3" t="s">
        <v>44246</v>
      </c>
      <c r="C8616" s="3" t="s">
        <v>31</v>
      </c>
      <c r="D8616" s="3" t="s">
        <v>175</v>
      </c>
      <c r="E8616" s="4" t="s">
        <v>22</v>
      </c>
      <c r="F8616" s="4" t="s">
        <v>44247</v>
      </c>
      <c r="G8616" s="4" t="s">
        <v>44248</v>
      </c>
      <c r="H8616" s="3" t="s">
        <v>38194</v>
      </c>
      <c r="I8616" s="3" t="s">
        <v>44249</v>
      </c>
      <c r="J8616" s="3" t="s">
        <v>44250</v>
      </c>
      <c r="K8616" s="3" t="s">
        <v>44251</v>
      </c>
      <c r="L8616" s="3"/>
      <c r="M8616" s="4"/>
      <c r="N8616" s="3" t="s">
        <v>37</v>
      </c>
      <c r="O8616" s="3" t="s">
        <v>139</v>
      </c>
      <c r="P8616" s="5">
        <v>9</v>
      </c>
      <c r="Q8616" s="5">
        <v>115</v>
      </c>
      <c r="R8616" s="5">
        <v>9</v>
      </c>
      <c r="S8616" s="5">
        <v>104</v>
      </c>
    </row>
    <row r="8617" spans="1:19" ht="28" x14ac:dyDescent="0.15">
      <c r="A8617" s="2">
        <f>HYPERLINK("https://open-school.uspishnemisto.com.ua/school/461343/", 461343)</f>
        <v>461343</v>
      </c>
      <c r="B8617" s="3" t="s">
        <v>44252</v>
      </c>
      <c r="C8617" s="3" t="s">
        <v>31</v>
      </c>
      <c r="D8617" s="3" t="s">
        <v>32</v>
      </c>
      <c r="E8617" s="4" t="s">
        <v>22</v>
      </c>
      <c r="F8617" s="4" t="s">
        <v>44253</v>
      </c>
      <c r="G8617" s="4" t="s">
        <v>44254</v>
      </c>
      <c r="H8617" s="3" t="s">
        <v>38194</v>
      </c>
      <c r="I8617" s="3" t="s">
        <v>44255</v>
      </c>
      <c r="J8617" s="3" t="s">
        <v>27274</v>
      </c>
      <c r="K8617" s="3" t="s">
        <v>44256</v>
      </c>
      <c r="L8617" s="3"/>
      <c r="M8617" s="4"/>
      <c r="N8617" s="3" t="s">
        <v>37</v>
      </c>
      <c r="O8617" s="3" t="s">
        <v>46</v>
      </c>
      <c r="P8617" s="5">
        <v>11</v>
      </c>
      <c r="Q8617" s="5">
        <v>192</v>
      </c>
      <c r="R8617" s="5">
        <v>11</v>
      </c>
      <c r="S8617" s="5">
        <v>201</v>
      </c>
    </row>
    <row r="8618" spans="1:19" ht="42" x14ac:dyDescent="0.15">
      <c r="A8618" s="2">
        <f>HYPERLINK("https://open-school.uspishnemisto.com.ua/school/461344/", 461344)</f>
        <v>461344</v>
      </c>
      <c r="B8618" s="3" t="s">
        <v>44257</v>
      </c>
      <c r="C8618" s="3" t="s">
        <v>54</v>
      </c>
      <c r="D8618" s="3" t="s">
        <v>175</v>
      </c>
      <c r="E8618" s="4" t="s">
        <v>22</v>
      </c>
      <c r="F8618" s="4" t="s">
        <v>44073</v>
      </c>
      <c r="G8618" s="4" t="s">
        <v>44258</v>
      </c>
      <c r="H8618" s="3" t="s">
        <v>38194</v>
      </c>
      <c r="I8618" s="3" t="s">
        <v>44259</v>
      </c>
      <c r="J8618" s="3" t="s">
        <v>466</v>
      </c>
      <c r="K8618" s="3" t="s">
        <v>44260</v>
      </c>
      <c r="L8618" s="3"/>
      <c r="M8618" s="4"/>
      <c r="N8618" s="3" t="s">
        <v>37</v>
      </c>
      <c r="O8618" s="3" t="s">
        <v>52</v>
      </c>
      <c r="P8618" s="5">
        <v>9</v>
      </c>
      <c r="Q8618" s="5">
        <v>72</v>
      </c>
      <c r="R8618" s="5">
        <v>9</v>
      </c>
      <c r="S8618" s="5">
        <v>78</v>
      </c>
    </row>
    <row r="8619" spans="1:19" ht="42" x14ac:dyDescent="0.15">
      <c r="A8619" s="2">
        <f>HYPERLINK("https://open-school.uspishnemisto.com.ua/school/461347/", 461347)</f>
        <v>461347</v>
      </c>
      <c r="B8619" s="3" t="s">
        <v>44261</v>
      </c>
      <c r="C8619" s="3" t="s">
        <v>31</v>
      </c>
      <c r="D8619" s="3" t="s">
        <v>32</v>
      </c>
      <c r="E8619" s="4" t="s">
        <v>22</v>
      </c>
      <c r="F8619" s="4" t="s">
        <v>44262</v>
      </c>
      <c r="G8619" s="4" t="s">
        <v>44263</v>
      </c>
      <c r="H8619" s="3" t="s">
        <v>38194</v>
      </c>
      <c r="I8619" s="3" t="s">
        <v>44264</v>
      </c>
      <c r="J8619" s="3" t="s">
        <v>44265</v>
      </c>
      <c r="K8619" s="3" t="s">
        <v>44266</v>
      </c>
      <c r="L8619" s="3"/>
      <c r="M8619" s="4"/>
      <c r="N8619" s="3" t="s">
        <v>37</v>
      </c>
      <c r="O8619" s="3" t="s">
        <v>46</v>
      </c>
      <c r="P8619" s="5">
        <v>21</v>
      </c>
      <c r="Q8619" s="5">
        <v>371</v>
      </c>
      <c r="R8619" s="5">
        <v>20</v>
      </c>
      <c r="S8619" s="5">
        <v>363</v>
      </c>
    </row>
    <row r="8620" spans="1:19" ht="42" x14ac:dyDescent="0.15">
      <c r="A8620" s="2">
        <f>HYPERLINK("https://open-school.uspishnemisto.com.ua/school/461348/", 461348)</f>
        <v>461348</v>
      </c>
      <c r="B8620" s="3" t="s">
        <v>44267</v>
      </c>
      <c r="C8620" s="3" t="s">
        <v>54</v>
      </c>
      <c r="D8620" s="3" t="s">
        <v>32</v>
      </c>
      <c r="E8620" s="4" t="s">
        <v>22</v>
      </c>
      <c r="F8620" s="4" t="s">
        <v>44268</v>
      </c>
      <c r="G8620" s="4" t="s">
        <v>44269</v>
      </c>
      <c r="H8620" s="3" t="s">
        <v>38194</v>
      </c>
      <c r="I8620" s="3" t="s">
        <v>40122</v>
      </c>
      <c r="J8620" s="3" t="s">
        <v>44270</v>
      </c>
      <c r="K8620" s="3" t="s">
        <v>44271</v>
      </c>
      <c r="L8620" s="3"/>
      <c r="M8620" s="4"/>
      <c r="N8620" s="3" t="s">
        <v>37</v>
      </c>
      <c r="O8620" s="3" t="s">
        <v>52</v>
      </c>
      <c r="P8620" s="5">
        <v>11</v>
      </c>
      <c r="Q8620" s="5">
        <v>182</v>
      </c>
      <c r="R8620" s="5">
        <v>11</v>
      </c>
      <c r="S8620" s="5">
        <v>187</v>
      </c>
    </row>
    <row r="8621" spans="1:19" ht="42" x14ac:dyDescent="0.15">
      <c r="A8621" s="2">
        <f>HYPERLINK("https://open-school.uspishnemisto.com.ua/school/461349/", 461349)</f>
        <v>461349</v>
      </c>
      <c r="B8621" s="3" t="s">
        <v>44272</v>
      </c>
      <c r="C8621" s="3" t="s">
        <v>54</v>
      </c>
      <c r="D8621" s="3" t="s">
        <v>175</v>
      </c>
      <c r="E8621" s="4" t="s">
        <v>22</v>
      </c>
      <c r="F8621" s="4" t="s">
        <v>44268</v>
      </c>
      <c r="G8621" s="4" t="s">
        <v>44273</v>
      </c>
      <c r="H8621" s="3" t="s">
        <v>38194</v>
      </c>
      <c r="I8621" s="3" t="s">
        <v>44274</v>
      </c>
      <c r="J8621" s="3"/>
      <c r="K8621" s="3" t="s">
        <v>44275</v>
      </c>
      <c r="L8621" s="3"/>
      <c r="M8621" s="4"/>
      <c r="N8621" s="3" t="s">
        <v>37</v>
      </c>
      <c r="O8621" s="3" t="s">
        <v>139</v>
      </c>
      <c r="P8621" s="5">
        <v>8</v>
      </c>
      <c r="Q8621" s="5">
        <v>71</v>
      </c>
      <c r="R8621" s="5">
        <v>8</v>
      </c>
      <c r="S8621" s="5">
        <v>71</v>
      </c>
    </row>
    <row r="8622" spans="1:19" ht="42" x14ac:dyDescent="0.15">
      <c r="A8622" s="2">
        <f>HYPERLINK("https://open-school.uspishnemisto.com.ua/school/461350/", 461350)</f>
        <v>461350</v>
      </c>
      <c r="B8622" s="3" t="s">
        <v>44276</v>
      </c>
      <c r="C8622" s="3" t="s">
        <v>54</v>
      </c>
      <c r="D8622" s="3" t="s">
        <v>175</v>
      </c>
      <c r="E8622" s="4" t="s">
        <v>22</v>
      </c>
      <c r="F8622" s="4" t="s">
        <v>44277</v>
      </c>
      <c r="G8622" s="4" t="s">
        <v>44278</v>
      </c>
      <c r="H8622" s="3" t="s">
        <v>38194</v>
      </c>
      <c r="I8622" s="3" t="s">
        <v>44279</v>
      </c>
      <c r="J8622" s="3" t="s">
        <v>44280</v>
      </c>
      <c r="K8622" s="3"/>
      <c r="L8622" s="3"/>
      <c r="M8622" s="4"/>
      <c r="N8622" s="3" t="s">
        <v>37</v>
      </c>
      <c r="O8622" s="3" t="s">
        <v>52</v>
      </c>
      <c r="P8622" s="5">
        <v>9</v>
      </c>
      <c r="Q8622" s="5">
        <v>129</v>
      </c>
      <c r="R8622" s="5">
        <v>9</v>
      </c>
      <c r="S8622" s="5">
        <v>125</v>
      </c>
    </row>
    <row r="8623" spans="1:19" ht="42" x14ac:dyDescent="0.15">
      <c r="A8623" s="2">
        <f>HYPERLINK("https://open-school.uspishnemisto.com.ua/school/461351/", 461351)</f>
        <v>461351</v>
      </c>
      <c r="B8623" s="3" t="s">
        <v>44281</v>
      </c>
      <c r="C8623" s="3" t="s">
        <v>54</v>
      </c>
      <c r="D8623" s="3" t="s">
        <v>32</v>
      </c>
      <c r="E8623" s="4" t="s">
        <v>22</v>
      </c>
      <c r="F8623" s="4" t="s">
        <v>44282</v>
      </c>
      <c r="G8623" s="4" t="s">
        <v>44283</v>
      </c>
      <c r="H8623" s="3" t="s">
        <v>38194</v>
      </c>
      <c r="I8623" s="3" t="s">
        <v>44284</v>
      </c>
      <c r="J8623" s="3" t="s">
        <v>44285</v>
      </c>
      <c r="K8623" s="3" t="s">
        <v>44286</v>
      </c>
      <c r="L8623" s="3"/>
      <c r="M8623" s="4"/>
      <c r="N8623" s="3" t="s">
        <v>37</v>
      </c>
      <c r="O8623" s="3" t="s">
        <v>52</v>
      </c>
      <c r="P8623" s="5">
        <v>16</v>
      </c>
      <c r="Q8623" s="5">
        <v>333</v>
      </c>
      <c r="R8623" s="5">
        <v>15</v>
      </c>
      <c r="S8623" s="5">
        <v>315</v>
      </c>
    </row>
    <row r="8624" spans="1:19" ht="28" x14ac:dyDescent="0.15">
      <c r="A8624" s="2">
        <f>HYPERLINK("https://open-school.uspishnemisto.com.ua/school/461352/", 461352)</f>
        <v>461352</v>
      </c>
      <c r="B8624" s="3" t="s">
        <v>44287</v>
      </c>
      <c r="C8624" s="3" t="s">
        <v>31</v>
      </c>
      <c r="D8624" s="3" t="s">
        <v>175</v>
      </c>
      <c r="E8624" s="4" t="s">
        <v>22</v>
      </c>
      <c r="F8624" s="4" t="s">
        <v>44288</v>
      </c>
      <c r="G8624" s="4" t="s">
        <v>44289</v>
      </c>
      <c r="H8624" s="3" t="s">
        <v>38194</v>
      </c>
      <c r="I8624" s="3" t="s">
        <v>44290</v>
      </c>
      <c r="J8624" s="3" t="s">
        <v>2384</v>
      </c>
      <c r="K8624" s="3" t="s">
        <v>44291</v>
      </c>
      <c r="L8624" s="3"/>
      <c r="M8624" s="4"/>
      <c r="N8624" s="3" t="s">
        <v>37</v>
      </c>
      <c r="O8624" s="3" t="s">
        <v>46</v>
      </c>
      <c r="P8624" s="5">
        <v>7</v>
      </c>
      <c r="Q8624" s="5">
        <v>56</v>
      </c>
      <c r="R8624" s="5">
        <v>7</v>
      </c>
      <c r="S8624" s="5">
        <v>55</v>
      </c>
    </row>
    <row r="8625" spans="1:19" ht="28" x14ac:dyDescent="0.15">
      <c r="A8625" s="2">
        <f>HYPERLINK("https://open-school.uspishnemisto.com.ua/school/461353/", 461353)</f>
        <v>461353</v>
      </c>
      <c r="B8625" s="3" t="s">
        <v>44292</v>
      </c>
      <c r="C8625" s="3" t="s">
        <v>31</v>
      </c>
      <c r="D8625" s="3" t="s">
        <v>60</v>
      </c>
      <c r="E8625" s="4" t="s">
        <v>22</v>
      </c>
      <c r="F8625" s="4" t="s">
        <v>44288</v>
      </c>
      <c r="G8625" s="4" t="s">
        <v>44293</v>
      </c>
      <c r="H8625" s="3" t="s">
        <v>38194</v>
      </c>
      <c r="I8625" s="3" t="s">
        <v>44294</v>
      </c>
      <c r="J8625" s="3" t="s">
        <v>44295</v>
      </c>
      <c r="K8625" s="3" t="s">
        <v>44296</v>
      </c>
      <c r="L8625" s="3"/>
      <c r="M8625" s="4"/>
      <c r="N8625" s="3" t="s">
        <v>37</v>
      </c>
      <c r="O8625" s="3" t="s">
        <v>52</v>
      </c>
      <c r="P8625" s="5">
        <v>2</v>
      </c>
      <c r="Q8625" s="5">
        <v>17</v>
      </c>
      <c r="R8625" s="5">
        <v>2</v>
      </c>
      <c r="S8625" s="5">
        <v>19</v>
      </c>
    </row>
    <row r="8626" spans="1:19" ht="28" x14ac:dyDescent="0.15">
      <c r="A8626" s="2">
        <f>HYPERLINK("https://open-school.uspishnemisto.com.ua/school/461354/", 461354)</f>
        <v>461354</v>
      </c>
      <c r="B8626" s="3" t="s">
        <v>44297</v>
      </c>
      <c r="C8626" s="3" t="s">
        <v>31</v>
      </c>
      <c r="D8626" s="3" t="s">
        <v>32</v>
      </c>
      <c r="E8626" s="4" t="s">
        <v>22</v>
      </c>
      <c r="F8626" s="4" t="s">
        <v>44288</v>
      </c>
      <c r="G8626" s="4" t="s">
        <v>44298</v>
      </c>
      <c r="H8626" s="3" t="s">
        <v>38194</v>
      </c>
      <c r="I8626" s="3" t="s">
        <v>44299</v>
      </c>
      <c r="J8626" s="3" t="s">
        <v>44300</v>
      </c>
      <c r="K8626" s="3" t="s">
        <v>44301</v>
      </c>
      <c r="L8626" s="3"/>
      <c r="M8626" s="4"/>
      <c r="N8626" s="3" t="s">
        <v>37</v>
      </c>
      <c r="O8626" s="3" t="s">
        <v>52</v>
      </c>
      <c r="P8626" s="5">
        <v>11</v>
      </c>
      <c r="Q8626" s="5">
        <v>139</v>
      </c>
      <c r="R8626" s="5">
        <v>11</v>
      </c>
      <c r="S8626" s="5">
        <v>141</v>
      </c>
    </row>
    <row r="8627" spans="1:19" ht="56" x14ac:dyDescent="0.15">
      <c r="A8627" s="2">
        <f>HYPERLINK("https://open-school.uspishnemisto.com.ua/school/461355/", 461355)</f>
        <v>461355</v>
      </c>
      <c r="B8627" s="3" t="s">
        <v>44302</v>
      </c>
      <c r="C8627" s="3" t="s">
        <v>54</v>
      </c>
      <c r="D8627" s="3" t="s">
        <v>175</v>
      </c>
      <c r="E8627" s="4" t="s">
        <v>22</v>
      </c>
      <c r="F8627" s="4" t="s">
        <v>44303</v>
      </c>
      <c r="G8627" s="4" t="s">
        <v>44304</v>
      </c>
      <c r="H8627" s="3" t="s">
        <v>38194</v>
      </c>
      <c r="I8627" s="3" t="s">
        <v>44305</v>
      </c>
      <c r="J8627" s="3" t="s">
        <v>634</v>
      </c>
      <c r="K8627" s="3" t="s">
        <v>44306</v>
      </c>
      <c r="L8627" s="3"/>
      <c r="M8627" s="4"/>
      <c r="N8627" s="3" t="s">
        <v>37</v>
      </c>
      <c r="O8627" s="3" t="s">
        <v>52</v>
      </c>
      <c r="P8627" s="5">
        <v>9</v>
      </c>
      <c r="Q8627" s="5">
        <v>92</v>
      </c>
      <c r="R8627" s="5">
        <v>9</v>
      </c>
      <c r="S8627" s="5">
        <v>91</v>
      </c>
    </row>
    <row r="8628" spans="1:19" ht="28" x14ac:dyDescent="0.15">
      <c r="A8628" s="2">
        <f>HYPERLINK("https://open-school.uspishnemisto.com.ua/school/461356/", 461356)</f>
        <v>461356</v>
      </c>
      <c r="B8628" s="3" t="s">
        <v>44307</v>
      </c>
      <c r="C8628" s="3" t="s">
        <v>31</v>
      </c>
      <c r="D8628" s="3" t="s">
        <v>175</v>
      </c>
      <c r="E8628" s="4" t="s">
        <v>22</v>
      </c>
      <c r="F8628" s="4" t="s">
        <v>44308</v>
      </c>
      <c r="G8628" s="4" t="s">
        <v>44309</v>
      </c>
      <c r="H8628" s="3" t="s">
        <v>38194</v>
      </c>
      <c r="I8628" s="3" t="s">
        <v>44310</v>
      </c>
      <c r="J8628" s="3" t="s">
        <v>44311</v>
      </c>
      <c r="K8628" s="3" t="s">
        <v>44312</v>
      </c>
      <c r="L8628" s="3" t="s">
        <v>44313</v>
      </c>
      <c r="M8628" s="4"/>
      <c r="N8628" s="3" t="s">
        <v>37</v>
      </c>
      <c r="O8628" s="3" t="s">
        <v>46</v>
      </c>
      <c r="P8628" s="5">
        <v>9</v>
      </c>
      <c r="Q8628" s="5">
        <v>101</v>
      </c>
      <c r="R8628" s="5">
        <v>9</v>
      </c>
      <c r="S8628" s="5">
        <v>95</v>
      </c>
    </row>
    <row r="8629" spans="1:19" ht="42" x14ac:dyDescent="0.15">
      <c r="A8629" s="2">
        <f>HYPERLINK("https://open-school.uspishnemisto.com.ua/school/461357/", 461357)</f>
        <v>461357</v>
      </c>
      <c r="B8629" s="3" t="s">
        <v>44314</v>
      </c>
      <c r="C8629" s="3" t="s">
        <v>54</v>
      </c>
      <c r="D8629" s="3" t="s">
        <v>32</v>
      </c>
      <c r="E8629" s="4" t="s">
        <v>22</v>
      </c>
      <c r="F8629" s="4" t="s">
        <v>44315</v>
      </c>
      <c r="G8629" s="4" t="s">
        <v>44316</v>
      </c>
      <c r="H8629" s="3" t="s">
        <v>38194</v>
      </c>
      <c r="I8629" s="3" t="s">
        <v>44317</v>
      </c>
      <c r="J8629" s="3" t="s">
        <v>5955</v>
      </c>
      <c r="K8629" s="3" t="s">
        <v>44318</v>
      </c>
      <c r="L8629" s="3"/>
      <c r="M8629" s="4"/>
      <c r="N8629" s="3" t="s">
        <v>37</v>
      </c>
      <c r="O8629" s="3" t="s">
        <v>52</v>
      </c>
      <c r="P8629" s="5">
        <v>11</v>
      </c>
      <c r="Q8629" s="5">
        <v>219</v>
      </c>
      <c r="R8629" s="5">
        <v>11</v>
      </c>
      <c r="S8629" s="5">
        <v>214</v>
      </c>
    </row>
    <row r="8630" spans="1:19" ht="56" x14ac:dyDescent="0.15">
      <c r="A8630" s="2">
        <f>HYPERLINK("https://open-school.uspishnemisto.com.ua/school/461358/", 461358)</f>
        <v>461358</v>
      </c>
      <c r="B8630" s="3" t="s">
        <v>44319</v>
      </c>
      <c r="C8630" s="3" t="s">
        <v>54</v>
      </c>
      <c r="D8630" s="3" t="s">
        <v>32</v>
      </c>
      <c r="E8630" s="4" t="s">
        <v>22</v>
      </c>
      <c r="F8630" s="4" t="s">
        <v>44320</v>
      </c>
      <c r="G8630" s="4" t="s">
        <v>44321</v>
      </c>
      <c r="H8630" s="3" t="s">
        <v>38194</v>
      </c>
      <c r="I8630" s="3" t="s">
        <v>44322</v>
      </c>
      <c r="J8630" s="3" t="s">
        <v>44323</v>
      </c>
      <c r="K8630" s="3" t="s">
        <v>44324</v>
      </c>
      <c r="L8630" s="3"/>
      <c r="M8630" s="4"/>
      <c r="N8630" s="3" t="s">
        <v>37</v>
      </c>
      <c r="O8630" s="3" t="s">
        <v>52</v>
      </c>
      <c r="P8630" s="5">
        <v>11</v>
      </c>
      <c r="Q8630" s="5">
        <v>191</v>
      </c>
      <c r="R8630" s="5">
        <v>11</v>
      </c>
      <c r="S8630" s="5">
        <v>196</v>
      </c>
    </row>
    <row r="8631" spans="1:19" ht="28" x14ac:dyDescent="0.15">
      <c r="A8631" s="2">
        <f>HYPERLINK("https://open-school.uspishnemisto.com.ua/school/461359/", 461359)</f>
        <v>461359</v>
      </c>
      <c r="B8631" s="3" t="s">
        <v>44325</v>
      </c>
      <c r="C8631" s="3" t="s">
        <v>31</v>
      </c>
      <c r="D8631" s="3" t="s">
        <v>175</v>
      </c>
      <c r="E8631" s="4" t="s">
        <v>22</v>
      </c>
      <c r="F8631" s="4" t="s">
        <v>44326</v>
      </c>
      <c r="G8631" s="4" t="s">
        <v>44327</v>
      </c>
      <c r="H8631" s="3" t="s">
        <v>38194</v>
      </c>
      <c r="I8631" s="3" t="s">
        <v>44328</v>
      </c>
      <c r="J8631" s="3" t="s">
        <v>44329</v>
      </c>
      <c r="K8631" s="3" t="s">
        <v>44330</v>
      </c>
      <c r="L8631" s="3" t="s">
        <v>44331</v>
      </c>
      <c r="M8631" s="4"/>
      <c r="N8631" s="3" t="s">
        <v>37</v>
      </c>
      <c r="O8631" s="3" t="s">
        <v>52</v>
      </c>
      <c r="P8631" s="5">
        <v>9</v>
      </c>
      <c r="Q8631" s="5">
        <v>113</v>
      </c>
      <c r="R8631" s="5">
        <v>9</v>
      </c>
      <c r="S8631" s="5">
        <v>109</v>
      </c>
    </row>
    <row r="8632" spans="1:19" ht="28" x14ac:dyDescent="0.15">
      <c r="A8632" s="2">
        <f>HYPERLINK("https://open-school.uspishnemisto.com.ua/school/461360/", 461360)</f>
        <v>461360</v>
      </c>
      <c r="B8632" s="3" t="s">
        <v>44332</v>
      </c>
      <c r="C8632" s="3" t="s">
        <v>31</v>
      </c>
      <c r="D8632" s="3" t="s">
        <v>60</v>
      </c>
      <c r="E8632" s="4" t="s">
        <v>22</v>
      </c>
      <c r="F8632" s="4" t="s">
        <v>44333</v>
      </c>
      <c r="G8632" s="4" t="s">
        <v>44334</v>
      </c>
      <c r="H8632" s="3" t="s">
        <v>38194</v>
      </c>
      <c r="I8632" s="3" t="s">
        <v>44335</v>
      </c>
      <c r="J8632" s="3" t="s">
        <v>44336</v>
      </c>
      <c r="K8632" s="3"/>
      <c r="L8632" s="3"/>
      <c r="M8632" s="4"/>
      <c r="N8632" s="3" t="s">
        <v>37</v>
      </c>
      <c r="O8632" s="3" t="s">
        <v>52</v>
      </c>
      <c r="P8632" s="5">
        <v>4</v>
      </c>
      <c r="Q8632" s="5">
        <v>53</v>
      </c>
      <c r="R8632" s="5">
        <v>3</v>
      </c>
      <c r="S8632" s="5">
        <v>50</v>
      </c>
    </row>
    <row r="8633" spans="1:19" ht="28" x14ac:dyDescent="0.15">
      <c r="A8633" s="2">
        <f>HYPERLINK("https://open-school.uspishnemisto.com.ua/school/461361/", 461361)</f>
        <v>461361</v>
      </c>
      <c r="B8633" s="3" t="s">
        <v>44337</v>
      </c>
      <c r="C8633" s="3" t="s">
        <v>31</v>
      </c>
      <c r="D8633" s="3" t="s">
        <v>32</v>
      </c>
      <c r="E8633" s="4" t="s">
        <v>22</v>
      </c>
      <c r="F8633" s="4" t="s">
        <v>44333</v>
      </c>
      <c r="G8633" s="4" t="s">
        <v>44334</v>
      </c>
      <c r="H8633" s="3" t="s">
        <v>38194</v>
      </c>
      <c r="I8633" s="3" t="s">
        <v>44335</v>
      </c>
      <c r="J8633" s="3" t="s">
        <v>44338</v>
      </c>
      <c r="K8633" s="3"/>
      <c r="L8633" s="3"/>
      <c r="M8633" s="4"/>
      <c r="N8633" s="3" t="s">
        <v>37</v>
      </c>
      <c r="O8633" s="3" t="s">
        <v>52</v>
      </c>
      <c r="P8633" s="5">
        <v>15</v>
      </c>
      <c r="Q8633" s="5">
        <v>315</v>
      </c>
      <c r="R8633" s="5">
        <v>15</v>
      </c>
      <c r="S8633" s="5">
        <v>305</v>
      </c>
    </row>
    <row r="8634" spans="1:19" ht="56" x14ac:dyDescent="0.15">
      <c r="A8634" s="2">
        <f>HYPERLINK("https://open-school.uspishnemisto.com.ua/school/461362/", 461362)</f>
        <v>461362</v>
      </c>
      <c r="B8634" s="3" t="s">
        <v>44339</v>
      </c>
      <c r="C8634" s="3" t="s">
        <v>54</v>
      </c>
      <c r="D8634" s="3" t="s">
        <v>175</v>
      </c>
      <c r="E8634" s="4" t="s">
        <v>22</v>
      </c>
      <c r="F8634" s="4" t="s">
        <v>44340</v>
      </c>
      <c r="G8634" s="4" t="s">
        <v>44341</v>
      </c>
      <c r="H8634" s="3" t="s">
        <v>38194</v>
      </c>
      <c r="I8634" s="3" t="s">
        <v>30394</v>
      </c>
      <c r="J8634" s="3" t="s">
        <v>44342</v>
      </c>
      <c r="K8634" s="3" t="s">
        <v>44343</v>
      </c>
      <c r="L8634" s="3"/>
      <c r="M8634" s="4"/>
      <c r="N8634" s="3" t="s">
        <v>37</v>
      </c>
      <c r="O8634" s="3" t="s">
        <v>8857</v>
      </c>
      <c r="P8634" s="5">
        <v>9</v>
      </c>
      <c r="Q8634" s="5">
        <v>78</v>
      </c>
      <c r="R8634" s="5">
        <v>8</v>
      </c>
      <c r="S8634" s="5">
        <v>73</v>
      </c>
    </row>
    <row r="8635" spans="1:19" ht="28" x14ac:dyDescent="0.15">
      <c r="A8635" s="2">
        <f>HYPERLINK("https://open-school.uspishnemisto.com.ua/school/461363/", 461363)</f>
        <v>461363</v>
      </c>
      <c r="B8635" s="3" t="s">
        <v>44344</v>
      </c>
      <c r="C8635" s="3" t="s">
        <v>31</v>
      </c>
      <c r="D8635" s="3" t="s">
        <v>175</v>
      </c>
      <c r="E8635" s="4" t="s">
        <v>22</v>
      </c>
      <c r="F8635" s="4" t="s">
        <v>44345</v>
      </c>
      <c r="G8635" s="4" t="s">
        <v>44346</v>
      </c>
      <c r="H8635" s="3" t="s">
        <v>38194</v>
      </c>
      <c r="I8635" s="3" t="s">
        <v>44347</v>
      </c>
      <c r="J8635" s="3" t="s">
        <v>44348</v>
      </c>
      <c r="K8635" s="3"/>
      <c r="L8635" s="3"/>
      <c r="M8635" s="4"/>
      <c r="N8635" s="3" t="s">
        <v>37</v>
      </c>
      <c r="O8635" s="3" t="s">
        <v>139</v>
      </c>
      <c r="P8635" s="5">
        <v>9</v>
      </c>
      <c r="Q8635" s="5">
        <v>122</v>
      </c>
      <c r="R8635" s="5">
        <v>9</v>
      </c>
      <c r="S8635" s="5">
        <v>119</v>
      </c>
    </row>
    <row r="8636" spans="1:19" ht="42" x14ac:dyDescent="0.15">
      <c r="A8636" s="2">
        <f>HYPERLINK("https://open-school.uspishnemisto.com.ua/school/461364/", 461364)</f>
        <v>461364</v>
      </c>
      <c r="B8636" s="3" t="s">
        <v>44349</v>
      </c>
      <c r="C8636" s="3" t="s">
        <v>31</v>
      </c>
      <c r="D8636" s="3" t="s">
        <v>32</v>
      </c>
      <c r="E8636" s="4" t="s">
        <v>22</v>
      </c>
      <c r="F8636" s="4" t="s">
        <v>44350</v>
      </c>
      <c r="G8636" s="4" t="s">
        <v>44351</v>
      </c>
      <c r="H8636" s="3" t="s">
        <v>38194</v>
      </c>
      <c r="I8636" s="3" t="s">
        <v>44352</v>
      </c>
      <c r="J8636" s="3" t="s">
        <v>664</v>
      </c>
      <c r="K8636" s="3" t="s">
        <v>44353</v>
      </c>
      <c r="L8636" s="3"/>
      <c r="M8636" s="4"/>
      <c r="N8636" s="3" t="s">
        <v>37</v>
      </c>
      <c r="O8636" s="3" t="s">
        <v>52</v>
      </c>
      <c r="P8636" s="5">
        <v>11</v>
      </c>
      <c r="Q8636" s="5">
        <v>232</v>
      </c>
      <c r="R8636" s="5">
        <v>11</v>
      </c>
      <c r="S8636" s="5">
        <v>218</v>
      </c>
    </row>
    <row r="8637" spans="1:19" ht="56" x14ac:dyDescent="0.15">
      <c r="A8637" s="2">
        <f>HYPERLINK("https://open-school.uspishnemisto.com.ua/school/461365/", 461365)</f>
        <v>461365</v>
      </c>
      <c r="B8637" s="3" t="s">
        <v>44354</v>
      </c>
      <c r="C8637" s="3" t="s">
        <v>54</v>
      </c>
      <c r="D8637" s="3" t="s">
        <v>32</v>
      </c>
      <c r="E8637" s="4" t="s">
        <v>22</v>
      </c>
      <c r="F8637" s="4" t="s">
        <v>44355</v>
      </c>
      <c r="G8637" s="4" t="s">
        <v>44356</v>
      </c>
      <c r="H8637" s="3" t="s">
        <v>38194</v>
      </c>
      <c r="I8637" s="3" t="s">
        <v>44357</v>
      </c>
      <c r="J8637" s="3" t="s">
        <v>27959</v>
      </c>
      <c r="K8637" s="3" t="s">
        <v>44358</v>
      </c>
      <c r="L8637" s="3"/>
      <c r="M8637" s="4"/>
      <c r="N8637" s="3" t="s">
        <v>37</v>
      </c>
      <c r="O8637" s="3" t="s">
        <v>52</v>
      </c>
      <c r="P8637" s="5">
        <v>11</v>
      </c>
      <c r="Q8637" s="5">
        <v>170</v>
      </c>
      <c r="R8637" s="5">
        <v>11</v>
      </c>
      <c r="S8637" s="5">
        <v>158</v>
      </c>
    </row>
    <row r="8638" spans="1:19" ht="28" x14ac:dyDescent="0.15">
      <c r="A8638" s="2">
        <f>HYPERLINK("https://open-school.uspishnemisto.com.ua/school/480001/", 480001)</f>
        <v>480001</v>
      </c>
      <c r="B8638" s="3" t="s">
        <v>44359</v>
      </c>
      <c r="C8638" s="3" t="s">
        <v>20</v>
      </c>
      <c r="D8638" s="3" t="s">
        <v>21</v>
      </c>
      <c r="E8638" s="4" t="s">
        <v>22</v>
      </c>
      <c r="F8638" s="4" t="s">
        <v>44360</v>
      </c>
      <c r="G8638" s="4" t="s">
        <v>44361</v>
      </c>
      <c r="H8638" s="3" t="s">
        <v>44362</v>
      </c>
      <c r="I8638" s="3" t="s">
        <v>41412</v>
      </c>
      <c r="J8638" s="3" t="s">
        <v>44363</v>
      </c>
      <c r="K8638" s="3" t="s">
        <v>44364</v>
      </c>
      <c r="L8638" s="3"/>
      <c r="M8638" s="4"/>
      <c r="N8638" s="3"/>
      <c r="O8638" s="3"/>
      <c r="P8638" s="5">
        <v>0</v>
      </c>
      <c r="Q8638" s="5">
        <v>0</v>
      </c>
      <c r="R8638" s="5"/>
      <c r="S8638" s="5"/>
    </row>
    <row r="8639" spans="1:19" ht="28" x14ac:dyDescent="0.15">
      <c r="A8639" s="2">
        <f>HYPERLINK("https://open-school.uspishnemisto.com.ua/school/480002/", 480002)</f>
        <v>480002</v>
      </c>
      <c r="B8639" s="3" t="s">
        <v>44365</v>
      </c>
      <c r="C8639" s="3" t="s">
        <v>40</v>
      </c>
      <c r="D8639" s="3" t="s">
        <v>32</v>
      </c>
      <c r="E8639" s="4" t="s">
        <v>22</v>
      </c>
      <c r="F8639" s="4" t="s">
        <v>44366</v>
      </c>
      <c r="G8639" s="4" t="s">
        <v>44361</v>
      </c>
      <c r="H8639" s="3" t="s">
        <v>44362</v>
      </c>
      <c r="I8639" s="3" t="s">
        <v>41412</v>
      </c>
      <c r="J8639" s="3" t="s">
        <v>44367</v>
      </c>
      <c r="K8639" s="3" t="s">
        <v>44368</v>
      </c>
      <c r="L8639" s="3" t="s">
        <v>44369</v>
      </c>
      <c r="M8639" s="4" t="s">
        <v>44370</v>
      </c>
      <c r="N8639" s="3" t="s">
        <v>37</v>
      </c>
      <c r="O8639" s="3" t="s">
        <v>123</v>
      </c>
      <c r="P8639" s="5">
        <v>22</v>
      </c>
      <c r="Q8639" s="5">
        <v>641</v>
      </c>
      <c r="R8639" s="5">
        <v>21</v>
      </c>
      <c r="S8639" s="5">
        <v>628</v>
      </c>
    </row>
    <row r="8640" spans="1:19" ht="28" x14ac:dyDescent="0.15">
      <c r="A8640" s="2">
        <f>HYPERLINK("https://open-school.uspishnemisto.com.ua/school/480003/", 480003)</f>
        <v>480003</v>
      </c>
      <c r="B8640" s="3" t="s">
        <v>44371</v>
      </c>
      <c r="C8640" s="3" t="s">
        <v>2634</v>
      </c>
      <c r="D8640" s="3" t="s">
        <v>32</v>
      </c>
      <c r="E8640" s="4" t="s">
        <v>22</v>
      </c>
      <c r="F8640" s="4" t="s">
        <v>44372</v>
      </c>
      <c r="G8640" s="4" t="s">
        <v>44361</v>
      </c>
      <c r="H8640" s="3" t="s">
        <v>44362</v>
      </c>
      <c r="I8640" s="3" t="s">
        <v>41412</v>
      </c>
      <c r="J8640" s="3" t="s">
        <v>44373</v>
      </c>
      <c r="K8640" s="3" t="s">
        <v>44374</v>
      </c>
      <c r="L8640" s="3"/>
      <c r="M8640" s="4" t="s">
        <v>44375</v>
      </c>
      <c r="N8640" s="3" t="s">
        <v>37</v>
      </c>
      <c r="O8640" s="3" t="s">
        <v>38</v>
      </c>
      <c r="P8640" s="5">
        <v>27</v>
      </c>
      <c r="Q8640" s="5">
        <v>562</v>
      </c>
      <c r="R8640" s="5">
        <v>27</v>
      </c>
      <c r="S8640" s="5">
        <v>560</v>
      </c>
    </row>
    <row r="8641" spans="1:19" ht="28" x14ac:dyDescent="0.15">
      <c r="A8641" s="2">
        <f>HYPERLINK("https://open-school.uspishnemisto.com.ua/school/480004/", 480004)</f>
        <v>480004</v>
      </c>
      <c r="B8641" s="3" t="s">
        <v>44376</v>
      </c>
      <c r="C8641" s="3" t="s">
        <v>31</v>
      </c>
      <c r="D8641" s="3" t="s">
        <v>32</v>
      </c>
      <c r="E8641" s="4" t="s">
        <v>22</v>
      </c>
      <c r="F8641" s="4" t="s">
        <v>44377</v>
      </c>
      <c r="G8641" s="4" t="s">
        <v>44361</v>
      </c>
      <c r="H8641" s="3" t="s">
        <v>44362</v>
      </c>
      <c r="I8641" s="3" t="s">
        <v>41412</v>
      </c>
      <c r="J8641" s="3" t="s">
        <v>44378</v>
      </c>
      <c r="K8641" s="3" t="s">
        <v>44379</v>
      </c>
      <c r="L8641" s="3"/>
      <c r="M8641" s="4"/>
      <c r="N8641" s="3" t="s">
        <v>967</v>
      </c>
      <c r="O8641" s="3" t="s">
        <v>46</v>
      </c>
      <c r="P8641" s="5">
        <v>14</v>
      </c>
      <c r="Q8641" s="5">
        <v>335</v>
      </c>
      <c r="R8641" s="5">
        <v>13</v>
      </c>
      <c r="S8641" s="5">
        <v>323</v>
      </c>
    </row>
    <row r="8642" spans="1:19" ht="28" x14ac:dyDescent="0.15">
      <c r="A8642" s="2">
        <f>HYPERLINK("https://open-school.uspishnemisto.com.ua/school/480005/", 480005)</f>
        <v>480005</v>
      </c>
      <c r="B8642" s="3" t="s">
        <v>44380</v>
      </c>
      <c r="C8642" s="3" t="s">
        <v>31</v>
      </c>
      <c r="D8642" s="3" t="s">
        <v>32</v>
      </c>
      <c r="E8642" s="4" t="s">
        <v>22</v>
      </c>
      <c r="F8642" s="4" t="s">
        <v>44381</v>
      </c>
      <c r="G8642" s="4" t="s">
        <v>44361</v>
      </c>
      <c r="H8642" s="3" t="s">
        <v>44362</v>
      </c>
      <c r="I8642" s="3" t="s">
        <v>41412</v>
      </c>
      <c r="J8642" s="3" t="s">
        <v>44382</v>
      </c>
      <c r="K8642" s="3" t="s">
        <v>44383</v>
      </c>
      <c r="L8642" s="3"/>
      <c r="M8642" s="4"/>
      <c r="N8642" s="3" t="s">
        <v>37</v>
      </c>
      <c r="O8642" s="3" t="s">
        <v>38</v>
      </c>
      <c r="P8642" s="5">
        <v>15</v>
      </c>
      <c r="Q8642" s="5">
        <v>405</v>
      </c>
      <c r="R8642" s="5">
        <v>15</v>
      </c>
      <c r="S8642" s="5">
        <v>406</v>
      </c>
    </row>
    <row r="8643" spans="1:19" ht="28" x14ac:dyDescent="0.15">
      <c r="A8643" s="2">
        <f>HYPERLINK("https://open-school.uspishnemisto.com.ua/school/480006/", 480006)</f>
        <v>480006</v>
      </c>
      <c r="B8643" s="3" t="s">
        <v>44384</v>
      </c>
      <c r="C8643" s="3" t="s">
        <v>31</v>
      </c>
      <c r="D8643" s="3" t="s">
        <v>32</v>
      </c>
      <c r="E8643" s="4" t="s">
        <v>22</v>
      </c>
      <c r="F8643" s="4" t="s">
        <v>44385</v>
      </c>
      <c r="G8643" s="4" t="s">
        <v>44361</v>
      </c>
      <c r="H8643" s="3" t="s">
        <v>44362</v>
      </c>
      <c r="I8643" s="3" t="s">
        <v>41412</v>
      </c>
      <c r="J8643" s="3" t="s">
        <v>44386</v>
      </c>
      <c r="K8643" s="3" t="s">
        <v>44387</v>
      </c>
      <c r="L8643" s="3"/>
      <c r="M8643" s="4"/>
      <c r="N8643" s="3" t="s">
        <v>37</v>
      </c>
      <c r="O8643" s="3" t="s">
        <v>38</v>
      </c>
      <c r="P8643" s="5">
        <v>19</v>
      </c>
      <c r="Q8643" s="5">
        <v>586</v>
      </c>
      <c r="R8643" s="5">
        <v>19</v>
      </c>
      <c r="S8643" s="5">
        <v>579</v>
      </c>
    </row>
    <row r="8644" spans="1:19" ht="28" x14ac:dyDescent="0.15">
      <c r="A8644" s="2">
        <f>HYPERLINK("https://open-school.uspishnemisto.com.ua/school/480007/", 480007)</f>
        <v>480007</v>
      </c>
      <c r="B8644" s="3" t="s">
        <v>44388</v>
      </c>
      <c r="C8644" s="3" t="s">
        <v>31</v>
      </c>
      <c r="D8644" s="3" t="s">
        <v>175</v>
      </c>
      <c r="E8644" s="4" t="s">
        <v>22</v>
      </c>
      <c r="F8644" s="4" t="s">
        <v>44389</v>
      </c>
      <c r="G8644" s="4" t="s">
        <v>44361</v>
      </c>
      <c r="H8644" s="3" t="s">
        <v>44362</v>
      </c>
      <c r="I8644" s="3" t="s">
        <v>41412</v>
      </c>
      <c r="J8644" s="3" t="s">
        <v>44390</v>
      </c>
      <c r="K8644" s="3" t="s">
        <v>44391</v>
      </c>
      <c r="L8644" s="3"/>
      <c r="M8644" s="4"/>
      <c r="N8644" s="3" t="s">
        <v>37</v>
      </c>
      <c r="O8644" s="3" t="s">
        <v>38</v>
      </c>
      <c r="P8644" s="5">
        <v>19</v>
      </c>
      <c r="Q8644" s="5">
        <v>521</v>
      </c>
      <c r="R8644" s="5">
        <v>19</v>
      </c>
      <c r="S8644" s="5">
        <v>521</v>
      </c>
    </row>
    <row r="8645" spans="1:19" ht="28" x14ac:dyDescent="0.15">
      <c r="A8645" s="2">
        <f>HYPERLINK("https://open-school.uspishnemisto.com.ua/school/480008/", 480008)</f>
        <v>480008</v>
      </c>
      <c r="B8645" s="3" t="s">
        <v>44392</v>
      </c>
      <c r="C8645" s="3" t="s">
        <v>31</v>
      </c>
      <c r="D8645" s="3" t="s">
        <v>32</v>
      </c>
      <c r="E8645" s="4" t="s">
        <v>22</v>
      </c>
      <c r="F8645" s="4" t="s">
        <v>44393</v>
      </c>
      <c r="G8645" s="4" t="s">
        <v>44361</v>
      </c>
      <c r="H8645" s="3" t="s">
        <v>44362</v>
      </c>
      <c r="I8645" s="3" t="s">
        <v>41412</v>
      </c>
      <c r="J8645" s="3" t="s">
        <v>44394</v>
      </c>
      <c r="K8645" s="3" t="s">
        <v>44395</v>
      </c>
      <c r="L8645" s="3"/>
      <c r="M8645" s="4" t="s">
        <v>44396</v>
      </c>
      <c r="N8645" s="3" t="s">
        <v>37</v>
      </c>
      <c r="O8645" s="3" t="s">
        <v>46</v>
      </c>
      <c r="P8645" s="5">
        <v>38</v>
      </c>
      <c r="Q8645" s="5">
        <v>1026</v>
      </c>
      <c r="R8645" s="5">
        <v>37</v>
      </c>
      <c r="S8645" s="5">
        <v>1003</v>
      </c>
    </row>
    <row r="8646" spans="1:19" ht="28" x14ac:dyDescent="0.15">
      <c r="A8646" s="2">
        <f>HYPERLINK("https://open-school.uspishnemisto.com.ua/school/480009/", 480009)</f>
        <v>480009</v>
      </c>
      <c r="B8646" s="3" t="s">
        <v>44397</v>
      </c>
      <c r="C8646" s="3" t="s">
        <v>31</v>
      </c>
      <c r="D8646" s="3" t="s">
        <v>32</v>
      </c>
      <c r="E8646" s="4" t="s">
        <v>22</v>
      </c>
      <c r="F8646" s="4" t="s">
        <v>44398</v>
      </c>
      <c r="G8646" s="4" t="s">
        <v>44361</v>
      </c>
      <c r="H8646" s="3" t="s">
        <v>44362</v>
      </c>
      <c r="I8646" s="3" t="s">
        <v>41412</v>
      </c>
      <c r="J8646" s="3" t="s">
        <v>44399</v>
      </c>
      <c r="K8646" s="3" t="s">
        <v>44400</v>
      </c>
      <c r="L8646" s="3"/>
      <c r="M8646" s="4"/>
      <c r="N8646" s="3" t="s">
        <v>37</v>
      </c>
      <c r="O8646" s="3" t="s">
        <v>38</v>
      </c>
      <c r="P8646" s="5">
        <v>25</v>
      </c>
      <c r="Q8646" s="5">
        <v>644</v>
      </c>
      <c r="R8646" s="5">
        <v>24</v>
      </c>
      <c r="S8646" s="5">
        <v>615</v>
      </c>
    </row>
    <row r="8647" spans="1:19" ht="28" x14ac:dyDescent="0.15">
      <c r="A8647" s="2">
        <f>HYPERLINK("https://open-school.uspishnemisto.com.ua/school/480010/", 480010)</f>
        <v>480010</v>
      </c>
      <c r="B8647" s="3" t="s">
        <v>44401</v>
      </c>
      <c r="C8647" s="3" t="s">
        <v>31</v>
      </c>
      <c r="D8647" s="3" t="s">
        <v>32</v>
      </c>
      <c r="E8647" s="4" t="s">
        <v>22</v>
      </c>
      <c r="F8647" s="4" t="s">
        <v>44372</v>
      </c>
      <c r="G8647" s="4" t="s">
        <v>44361</v>
      </c>
      <c r="H8647" s="3" t="s">
        <v>44362</v>
      </c>
      <c r="I8647" s="3" t="s">
        <v>41412</v>
      </c>
      <c r="J8647" s="3" t="s">
        <v>44402</v>
      </c>
      <c r="K8647" s="3" t="s">
        <v>44403</v>
      </c>
      <c r="L8647" s="3"/>
      <c r="M8647" s="4"/>
      <c r="N8647" s="3" t="s">
        <v>967</v>
      </c>
      <c r="O8647" s="3" t="s">
        <v>52</v>
      </c>
      <c r="P8647" s="5">
        <v>25</v>
      </c>
      <c r="Q8647" s="5">
        <v>685</v>
      </c>
      <c r="R8647" s="5">
        <v>24</v>
      </c>
      <c r="S8647" s="5">
        <v>683</v>
      </c>
    </row>
    <row r="8648" spans="1:19" ht="28" x14ac:dyDescent="0.15">
      <c r="A8648" s="2">
        <f>HYPERLINK("https://open-school.uspishnemisto.com.ua/school/480011/", 480011)</f>
        <v>480011</v>
      </c>
      <c r="B8648" s="3" t="s">
        <v>44404</v>
      </c>
      <c r="C8648" s="3" t="s">
        <v>31</v>
      </c>
      <c r="D8648" s="3" t="s">
        <v>32</v>
      </c>
      <c r="E8648" s="4" t="s">
        <v>22</v>
      </c>
      <c r="F8648" s="4" t="s">
        <v>44405</v>
      </c>
      <c r="G8648" s="4" t="s">
        <v>44361</v>
      </c>
      <c r="H8648" s="3" t="s">
        <v>44362</v>
      </c>
      <c r="I8648" s="3" t="s">
        <v>41412</v>
      </c>
      <c r="J8648" s="3" t="s">
        <v>44406</v>
      </c>
      <c r="K8648" s="3" t="s">
        <v>44407</v>
      </c>
      <c r="L8648" s="3" t="s">
        <v>44408</v>
      </c>
      <c r="M8648" s="4"/>
      <c r="N8648" s="3" t="s">
        <v>37</v>
      </c>
      <c r="O8648" s="3" t="s">
        <v>197</v>
      </c>
      <c r="P8648" s="5">
        <v>31</v>
      </c>
      <c r="Q8648" s="5">
        <v>919</v>
      </c>
      <c r="R8648" s="5">
        <v>30</v>
      </c>
      <c r="S8648" s="5">
        <v>898</v>
      </c>
    </row>
    <row r="8649" spans="1:19" ht="28" x14ac:dyDescent="0.15">
      <c r="A8649" s="2">
        <f>HYPERLINK("https://open-school.uspishnemisto.com.ua/school/480012/", 480012)</f>
        <v>480012</v>
      </c>
      <c r="B8649" s="3" t="s">
        <v>44409</v>
      </c>
      <c r="C8649" s="3" t="s">
        <v>31</v>
      </c>
      <c r="D8649" s="3" t="s">
        <v>32</v>
      </c>
      <c r="E8649" s="4" t="s">
        <v>22</v>
      </c>
      <c r="F8649" s="4" t="s">
        <v>44410</v>
      </c>
      <c r="G8649" s="4" t="s">
        <v>44361</v>
      </c>
      <c r="H8649" s="3" t="s">
        <v>44362</v>
      </c>
      <c r="I8649" s="3" t="s">
        <v>41412</v>
      </c>
      <c r="J8649" s="3" t="s">
        <v>44411</v>
      </c>
      <c r="K8649" s="3" t="s">
        <v>44412</v>
      </c>
      <c r="L8649" s="3" t="s">
        <v>44413</v>
      </c>
      <c r="M8649" s="4"/>
      <c r="N8649" s="3" t="s">
        <v>37</v>
      </c>
      <c r="O8649" s="3" t="s">
        <v>38</v>
      </c>
      <c r="P8649" s="5">
        <v>4</v>
      </c>
      <c r="Q8649" s="5">
        <v>55</v>
      </c>
      <c r="R8649" s="5">
        <v>5</v>
      </c>
      <c r="S8649" s="5">
        <v>73</v>
      </c>
    </row>
    <row r="8650" spans="1:19" ht="42" x14ac:dyDescent="0.15">
      <c r="A8650" s="2">
        <f>HYPERLINK("https://open-school.uspishnemisto.com.ua/school/480013/", 480013)</f>
        <v>480013</v>
      </c>
      <c r="B8650" s="3" t="s">
        <v>44414</v>
      </c>
      <c r="C8650" s="3" t="s">
        <v>31</v>
      </c>
      <c r="D8650" s="3" t="s">
        <v>32</v>
      </c>
      <c r="E8650" s="4" t="s">
        <v>22</v>
      </c>
      <c r="F8650" s="4" t="s">
        <v>44415</v>
      </c>
      <c r="G8650" s="4" t="s">
        <v>44361</v>
      </c>
      <c r="H8650" s="3" t="s">
        <v>44362</v>
      </c>
      <c r="I8650" s="3" t="s">
        <v>41412</v>
      </c>
      <c r="J8650" s="3" t="s">
        <v>44416</v>
      </c>
      <c r="K8650" s="3" t="s">
        <v>44417</v>
      </c>
      <c r="L8650" s="3"/>
      <c r="M8650" s="4"/>
      <c r="N8650" s="3" t="s">
        <v>967</v>
      </c>
      <c r="O8650" s="3" t="s">
        <v>46</v>
      </c>
      <c r="P8650" s="5">
        <v>40</v>
      </c>
      <c r="Q8650" s="5">
        <v>1175</v>
      </c>
      <c r="R8650" s="5">
        <v>39</v>
      </c>
      <c r="S8650" s="5">
        <v>1172</v>
      </c>
    </row>
    <row r="8651" spans="1:19" ht="28" x14ac:dyDescent="0.15">
      <c r="A8651" s="2">
        <f>HYPERLINK("https://open-school.uspishnemisto.com.ua/school/480014/", 480014)</f>
        <v>480014</v>
      </c>
      <c r="B8651" s="3" t="s">
        <v>44418</v>
      </c>
      <c r="C8651" s="3" t="s">
        <v>31</v>
      </c>
      <c r="D8651" s="3" t="s">
        <v>32</v>
      </c>
      <c r="E8651" s="4" t="s">
        <v>22</v>
      </c>
      <c r="F8651" s="4" t="s">
        <v>44366</v>
      </c>
      <c r="G8651" s="4" t="s">
        <v>44361</v>
      </c>
      <c r="H8651" s="3" t="s">
        <v>44362</v>
      </c>
      <c r="I8651" s="3" t="s">
        <v>41412</v>
      </c>
      <c r="J8651" s="3" t="s">
        <v>44419</v>
      </c>
      <c r="K8651" s="3" t="s">
        <v>44420</v>
      </c>
      <c r="L8651" s="3" t="s">
        <v>44421</v>
      </c>
      <c r="M8651" s="4"/>
      <c r="N8651" s="3" t="s">
        <v>37</v>
      </c>
      <c r="O8651" s="3" t="s">
        <v>38</v>
      </c>
      <c r="P8651" s="5">
        <v>16</v>
      </c>
      <c r="Q8651" s="5">
        <v>434</v>
      </c>
      <c r="R8651" s="5">
        <v>15</v>
      </c>
      <c r="S8651" s="5">
        <v>423</v>
      </c>
    </row>
    <row r="8652" spans="1:19" ht="28" x14ac:dyDescent="0.15">
      <c r="A8652" s="2">
        <f>HYPERLINK("https://open-school.uspishnemisto.com.ua/school/480015/", 480015)</f>
        <v>480015</v>
      </c>
      <c r="B8652" s="3" t="s">
        <v>44422</v>
      </c>
      <c r="C8652" s="3" t="s">
        <v>31</v>
      </c>
      <c r="D8652" s="3" t="s">
        <v>32</v>
      </c>
      <c r="E8652" s="4" t="s">
        <v>22</v>
      </c>
      <c r="F8652" s="4"/>
      <c r="G8652" s="4" t="s">
        <v>44361</v>
      </c>
      <c r="H8652" s="3" t="s">
        <v>44362</v>
      </c>
      <c r="I8652" s="3" t="s">
        <v>41412</v>
      </c>
      <c r="J8652" s="3" t="s">
        <v>44423</v>
      </c>
      <c r="K8652" s="3" t="s">
        <v>44424</v>
      </c>
      <c r="L8652" s="3"/>
      <c r="M8652" s="4"/>
      <c r="N8652" s="3" t="s">
        <v>37</v>
      </c>
      <c r="O8652" s="3" t="s">
        <v>52</v>
      </c>
      <c r="P8652" s="5">
        <v>0</v>
      </c>
      <c r="Q8652" s="5">
        <v>1</v>
      </c>
      <c r="R8652" s="5">
        <v>0</v>
      </c>
      <c r="S8652" s="5">
        <v>1</v>
      </c>
    </row>
    <row r="8653" spans="1:19" ht="28" x14ac:dyDescent="0.15">
      <c r="A8653" s="2">
        <f>HYPERLINK("https://open-school.uspishnemisto.com.ua/school/480016/", 480016)</f>
        <v>480016</v>
      </c>
      <c r="B8653" s="3" t="s">
        <v>44425</v>
      </c>
      <c r="C8653" s="3" t="s">
        <v>31</v>
      </c>
      <c r="D8653" s="3" t="s">
        <v>32</v>
      </c>
      <c r="E8653" s="4" t="s">
        <v>22</v>
      </c>
      <c r="F8653" s="4" t="s">
        <v>44389</v>
      </c>
      <c r="G8653" s="4" t="s">
        <v>44361</v>
      </c>
      <c r="H8653" s="3" t="s">
        <v>44362</v>
      </c>
      <c r="I8653" s="3" t="s">
        <v>41412</v>
      </c>
      <c r="J8653" s="3" t="s">
        <v>44426</v>
      </c>
      <c r="K8653" s="3" t="s">
        <v>44427</v>
      </c>
      <c r="L8653" s="3" t="s">
        <v>44428</v>
      </c>
      <c r="M8653" s="4"/>
      <c r="N8653" s="3" t="s">
        <v>37</v>
      </c>
      <c r="O8653" s="3" t="s">
        <v>38</v>
      </c>
      <c r="P8653" s="5">
        <v>19</v>
      </c>
      <c r="Q8653" s="5">
        <v>533</v>
      </c>
      <c r="R8653" s="5">
        <v>18</v>
      </c>
      <c r="S8653" s="5">
        <v>488</v>
      </c>
    </row>
    <row r="8654" spans="1:19" ht="28" x14ac:dyDescent="0.15">
      <c r="A8654" s="2">
        <f>HYPERLINK("https://open-school.uspishnemisto.com.ua/school/480017/", 480017)</f>
        <v>480017</v>
      </c>
      <c r="B8654" s="3" t="s">
        <v>44429</v>
      </c>
      <c r="C8654" s="3" t="s">
        <v>31</v>
      </c>
      <c r="D8654" s="3" t="s">
        <v>32</v>
      </c>
      <c r="E8654" s="4" t="s">
        <v>22</v>
      </c>
      <c r="F8654" s="4"/>
      <c r="G8654" s="4" t="s">
        <v>44361</v>
      </c>
      <c r="H8654" s="3" t="s">
        <v>44362</v>
      </c>
      <c r="I8654" s="3" t="s">
        <v>41412</v>
      </c>
      <c r="J8654" s="3" t="s">
        <v>44430</v>
      </c>
      <c r="K8654" s="3" t="s">
        <v>44431</v>
      </c>
      <c r="L8654" s="3"/>
      <c r="M8654" s="4"/>
      <c r="N8654" s="3" t="s">
        <v>37</v>
      </c>
      <c r="O8654" s="3" t="s">
        <v>38</v>
      </c>
      <c r="P8654" s="5">
        <v>9</v>
      </c>
      <c r="Q8654" s="5">
        <v>169</v>
      </c>
      <c r="R8654" s="5">
        <v>9</v>
      </c>
      <c r="S8654" s="5">
        <v>169</v>
      </c>
    </row>
    <row r="8655" spans="1:19" ht="28" x14ac:dyDescent="0.15">
      <c r="A8655" s="2">
        <f>HYPERLINK("https://open-school.uspishnemisto.com.ua/school/480018/", 480018)</f>
        <v>480018</v>
      </c>
      <c r="B8655" s="3" t="s">
        <v>44432</v>
      </c>
      <c r="C8655" s="3" t="s">
        <v>31</v>
      </c>
      <c r="D8655" s="3" t="s">
        <v>32</v>
      </c>
      <c r="E8655" s="4" t="s">
        <v>22</v>
      </c>
      <c r="F8655" s="4" t="s">
        <v>44372</v>
      </c>
      <c r="G8655" s="4" t="s">
        <v>44361</v>
      </c>
      <c r="H8655" s="3" t="s">
        <v>44362</v>
      </c>
      <c r="I8655" s="3" t="s">
        <v>41412</v>
      </c>
      <c r="J8655" s="3" t="s">
        <v>44433</v>
      </c>
      <c r="K8655" s="3" t="s">
        <v>44434</v>
      </c>
      <c r="L8655" s="3"/>
      <c r="M8655" s="4"/>
      <c r="N8655" s="3" t="s">
        <v>37</v>
      </c>
      <c r="O8655" s="3" t="s">
        <v>38</v>
      </c>
      <c r="P8655" s="5">
        <v>20</v>
      </c>
      <c r="Q8655" s="5">
        <v>513</v>
      </c>
      <c r="R8655" s="5">
        <v>19</v>
      </c>
      <c r="S8655" s="5">
        <v>489</v>
      </c>
    </row>
    <row r="8656" spans="1:19" ht="28" x14ac:dyDescent="0.15">
      <c r="A8656" s="2">
        <f>HYPERLINK("https://open-school.uspishnemisto.com.ua/school/480019/", 480019)</f>
        <v>480019</v>
      </c>
      <c r="B8656" s="3" t="s">
        <v>44435</v>
      </c>
      <c r="C8656" s="3" t="s">
        <v>31</v>
      </c>
      <c r="D8656" s="3" t="s">
        <v>32</v>
      </c>
      <c r="E8656" s="4" t="s">
        <v>22</v>
      </c>
      <c r="F8656" s="4" t="s">
        <v>44385</v>
      </c>
      <c r="G8656" s="4" t="s">
        <v>44361</v>
      </c>
      <c r="H8656" s="3" t="s">
        <v>44362</v>
      </c>
      <c r="I8656" s="3" t="s">
        <v>41412</v>
      </c>
      <c r="J8656" s="3" t="s">
        <v>44436</v>
      </c>
      <c r="K8656" s="3" t="s">
        <v>44437</v>
      </c>
      <c r="L8656" s="3"/>
      <c r="M8656" s="4"/>
      <c r="N8656" s="3" t="s">
        <v>37</v>
      </c>
      <c r="O8656" s="3" t="s">
        <v>46</v>
      </c>
      <c r="P8656" s="5">
        <v>37</v>
      </c>
      <c r="Q8656" s="5">
        <v>1112</v>
      </c>
      <c r="R8656" s="5">
        <v>36</v>
      </c>
      <c r="S8656" s="5">
        <v>1086</v>
      </c>
    </row>
    <row r="8657" spans="1:19" ht="42" x14ac:dyDescent="0.15">
      <c r="A8657" s="2">
        <f>HYPERLINK("https://open-school.uspishnemisto.com.ua/school/480020/", 480020)</f>
        <v>480020</v>
      </c>
      <c r="B8657" s="3" t="s">
        <v>44438</v>
      </c>
      <c r="C8657" s="3" t="s">
        <v>31</v>
      </c>
      <c r="D8657" s="3" t="s">
        <v>32</v>
      </c>
      <c r="E8657" s="4" t="s">
        <v>22</v>
      </c>
      <c r="F8657" s="4" t="s">
        <v>44439</v>
      </c>
      <c r="G8657" s="4" t="s">
        <v>44361</v>
      </c>
      <c r="H8657" s="3" t="s">
        <v>44362</v>
      </c>
      <c r="I8657" s="3" t="s">
        <v>41412</v>
      </c>
      <c r="J8657" s="3" t="s">
        <v>44440</v>
      </c>
      <c r="K8657" s="3" t="s">
        <v>44441</v>
      </c>
      <c r="L8657" s="3"/>
      <c r="M8657" s="4"/>
      <c r="N8657" s="3" t="s">
        <v>37</v>
      </c>
      <c r="O8657" s="3" t="s">
        <v>52</v>
      </c>
      <c r="P8657" s="5">
        <v>30</v>
      </c>
      <c r="Q8657" s="5">
        <v>916</v>
      </c>
      <c r="R8657" s="5">
        <v>30</v>
      </c>
      <c r="S8657" s="5">
        <v>907</v>
      </c>
    </row>
    <row r="8658" spans="1:19" ht="28" x14ac:dyDescent="0.15">
      <c r="A8658" s="2">
        <f>HYPERLINK("https://open-school.uspishnemisto.com.ua/school/480021/", 480021)</f>
        <v>480021</v>
      </c>
      <c r="B8658" s="3" t="s">
        <v>44442</v>
      </c>
      <c r="C8658" s="3" t="s">
        <v>31</v>
      </c>
      <c r="D8658" s="3" t="s">
        <v>32</v>
      </c>
      <c r="E8658" s="4" t="s">
        <v>22</v>
      </c>
      <c r="F8658" s="4" t="s">
        <v>44372</v>
      </c>
      <c r="G8658" s="4" t="s">
        <v>44361</v>
      </c>
      <c r="H8658" s="3" t="s">
        <v>44362</v>
      </c>
      <c r="I8658" s="3" t="s">
        <v>41412</v>
      </c>
      <c r="J8658" s="3" t="s">
        <v>44443</v>
      </c>
      <c r="K8658" s="3" t="s">
        <v>44444</v>
      </c>
      <c r="L8658" s="3"/>
      <c r="M8658" s="4"/>
      <c r="N8658" s="3" t="s">
        <v>37</v>
      </c>
      <c r="O8658" s="3" t="s">
        <v>38</v>
      </c>
      <c r="P8658" s="5">
        <v>19</v>
      </c>
      <c r="Q8658" s="5">
        <v>555</v>
      </c>
      <c r="R8658" s="5">
        <v>18</v>
      </c>
      <c r="S8658" s="5">
        <v>519</v>
      </c>
    </row>
    <row r="8659" spans="1:19" ht="28" x14ac:dyDescent="0.15">
      <c r="A8659" s="2">
        <f>HYPERLINK("https://open-school.uspishnemisto.com.ua/school/480022/", 480022)</f>
        <v>480022</v>
      </c>
      <c r="B8659" s="3" t="s">
        <v>44445</v>
      </c>
      <c r="C8659" s="3" t="s">
        <v>293</v>
      </c>
      <c r="D8659" s="3" t="s">
        <v>32</v>
      </c>
      <c r="E8659" s="4" t="s">
        <v>22</v>
      </c>
      <c r="F8659" s="4" t="s">
        <v>44410</v>
      </c>
      <c r="G8659" s="4" t="s">
        <v>44361</v>
      </c>
      <c r="H8659" s="3" t="s">
        <v>44362</v>
      </c>
      <c r="I8659" s="3" t="s">
        <v>41412</v>
      </c>
      <c r="J8659" s="3" t="s">
        <v>44446</v>
      </c>
      <c r="K8659" s="3" t="s">
        <v>44447</v>
      </c>
      <c r="L8659" s="3"/>
      <c r="M8659" s="4" t="s">
        <v>44448</v>
      </c>
      <c r="N8659" s="3" t="s">
        <v>37</v>
      </c>
      <c r="O8659" s="3" t="s">
        <v>52</v>
      </c>
      <c r="P8659" s="5">
        <v>12</v>
      </c>
      <c r="Q8659" s="5">
        <v>175</v>
      </c>
      <c r="R8659" s="5">
        <v>13</v>
      </c>
      <c r="S8659" s="5">
        <v>192</v>
      </c>
    </row>
    <row r="8660" spans="1:19" ht="42" x14ac:dyDescent="0.15">
      <c r="A8660" s="2">
        <f>HYPERLINK("https://open-school.uspishnemisto.com.ua/school/480023/", 480023)</f>
        <v>480023</v>
      </c>
      <c r="B8660" s="3" t="s">
        <v>44449</v>
      </c>
      <c r="C8660" s="3" t="s">
        <v>20</v>
      </c>
      <c r="D8660" s="3" t="s">
        <v>19078</v>
      </c>
      <c r="E8660" s="4" t="s">
        <v>22</v>
      </c>
      <c r="F8660" s="4" t="s">
        <v>44450</v>
      </c>
      <c r="G8660" s="4" t="s">
        <v>44361</v>
      </c>
      <c r="H8660" s="3" t="s">
        <v>44362</v>
      </c>
      <c r="I8660" s="3" t="s">
        <v>41412</v>
      </c>
      <c r="J8660" s="3" t="s">
        <v>44451</v>
      </c>
      <c r="K8660" s="3" t="s">
        <v>44452</v>
      </c>
      <c r="L8660" s="3"/>
      <c r="M8660" s="4"/>
      <c r="N8660" s="3"/>
      <c r="O8660" s="3"/>
      <c r="P8660" s="5">
        <v>0</v>
      </c>
      <c r="Q8660" s="5">
        <v>0</v>
      </c>
      <c r="R8660" s="5"/>
      <c r="S8660" s="5"/>
    </row>
    <row r="8661" spans="1:19" ht="28" x14ac:dyDescent="0.15">
      <c r="A8661" s="2">
        <f>HYPERLINK("https://open-school.uspishnemisto.com.ua/school/480024/", 480024)</f>
        <v>480024</v>
      </c>
      <c r="B8661" s="3" t="s">
        <v>44453</v>
      </c>
      <c r="C8661" s="3" t="s">
        <v>244</v>
      </c>
      <c r="D8661" s="3" t="s">
        <v>60</v>
      </c>
      <c r="E8661" s="4" t="s">
        <v>22</v>
      </c>
      <c r="F8661" s="4" t="s">
        <v>44366</v>
      </c>
      <c r="G8661" s="4" t="s">
        <v>44361</v>
      </c>
      <c r="H8661" s="3" t="s">
        <v>44362</v>
      </c>
      <c r="I8661" s="3" t="s">
        <v>41412</v>
      </c>
      <c r="J8661" s="3" t="s">
        <v>44367</v>
      </c>
      <c r="K8661" s="3" t="s">
        <v>44454</v>
      </c>
      <c r="L8661" s="3"/>
      <c r="M8661" s="4"/>
      <c r="N8661" s="3" t="s">
        <v>37</v>
      </c>
      <c r="O8661" s="3" t="s">
        <v>52</v>
      </c>
      <c r="P8661" s="5">
        <v>14</v>
      </c>
      <c r="Q8661" s="5">
        <v>487</v>
      </c>
      <c r="R8661" s="5">
        <v>14</v>
      </c>
      <c r="S8661" s="5">
        <v>458</v>
      </c>
    </row>
    <row r="8662" spans="1:19" ht="28" x14ac:dyDescent="0.15">
      <c r="A8662" s="2">
        <f>HYPERLINK("https://open-school.uspishnemisto.com.ua/school/480025/", 480025)</f>
        <v>480025</v>
      </c>
      <c r="B8662" s="3" t="s">
        <v>44455</v>
      </c>
      <c r="C8662" s="3" t="s">
        <v>181</v>
      </c>
      <c r="D8662" s="3" t="s">
        <v>175</v>
      </c>
      <c r="E8662" s="4" t="s">
        <v>22</v>
      </c>
      <c r="F8662" s="4" t="s">
        <v>44456</v>
      </c>
      <c r="G8662" s="4" t="s">
        <v>44361</v>
      </c>
      <c r="H8662" s="3" t="s">
        <v>44362</v>
      </c>
      <c r="I8662" s="3" t="s">
        <v>41412</v>
      </c>
      <c r="J8662" s="3" t="s">
        <v>44457</v>
      </c>
      <c r="K8662" s="3" t="s">
        <v>44458</v>
      </c>
      <c r="L8662" s="3"/>
      <c r="M8662" s="4" t="s">
        <v>44459</v>
      </c>
      <c r="N8662" s="3" t="s">
        <v>37</v>
      </c>
      <c r="O8662" s="3"/>
      <c r="P8662" s="5">
        <v>14</v>
      </c>
      <c r="Q8662" s="5">
        <v>147</v>
      </c>
      <c r="R8662" s="5">
        <v>14</v>
      </c>
      <c r="S8662" s="5">
        <v>145</v>
      </c>
    </row>
    <row r="8663" spans="1:19" ht="28" x14ac:dyDescent="0.15">
      <c r="A8663" s="2">
        <f>HYPERLINK("https://open-school.uspishnemisto.com.ua/school/480026/", 480026)</f>
        <v>480026</v>
      </c>
      <c r="B8663" s="3" t="s">
        <v>44460</v>
      </c>
      <c r="C8663" s="3" t="s">
        <v>181</v>
      </c>
      <c r="D8663" s="3" t="s">
        <v>175</v>
      </c>
      <c r="E8663" s="4" t="s">
        <v>22</v>
      </c>
      <c r="F8663" s="4" t="s">
        <v>44415</v>
      </c>
      <c r="G8663" s="4" t="s">
        <v>44361</v>
      </c>
      <c r="H8663" s="3" t="s">
        <v>44362</v>
      </c>
      <c r="I8663" s="3" t="s">
        <v>41412</v>
      </c>
      <c r="J8663" s="3" t="s">
        <v>44461</v>
      </c>
      <c r="K8663" s="3" t="s">
        <v>44462</v>
      </c>
      <c r="L8663" s="3" t="s">
        <v>44463</v>
      </c>
      <c r="M8663" s="4" t="s">
        <v>44464</v>
      </c>
      <c r="N8663" s="3" t="s">
        <v>37</v>
      </c>
      <c r="O8663" s="3"/>
      <c r="P8663" s="5">
        <v>12</v>
      </c>
      <c r="Q8663" s="5">
        <v>101</v>
      </c>
      <c r="R8663" s="5">
        <v>11</v>
      </c>
      <c r="S8663" s="5">
        <v>103</v>
      </c>
    </row>
    <row r="8664" spans="1:19" ht="56" x14ac:dyDescent="0.15">
      <c r="A8664" s="2">
        <f>HYPERLINK("https://open-school.uspishnemisto.com.ua/school/480027/", 480027)</f>
        <v>480027</v>
      </c>
      <c r="B8664" s="3" t="s">
        <v>44465</v>
      </c>
      <c r="C8664" s="3" t="s">
        <v>174</v>
      </c>
      <c r="D8664" s="3" t="s">
        <v>175</v>
      </c>
      <c r="E8664" s="4" t="s">
        <v>22</v>
      </c>
      <c r="F8664" s="4" t="s">
        <v>44466</v>
      </c>
      <c r="G8664" s="4" t="s">
        <v>44361</v>
      </c>
      <c r="H8664" s="3" t="s">
        <v>44362</v>
      </c>
      <c r="I8664" s="3" t="s">
        <v>41412</v>
      </c>
      <c r="J8664" s="3" t="s">
        <v>44467</v>
      </c>
      <c r="K8664" s="3" t="s">
        <v>44468</v>
      </c>
      <c r="L8664" s="3"/>
      <c r="M8664" s="4" t="s">
        <v>44469</v>
      </c>
      <c r="N8664" s="3" t="s">
        <v>967</v>
      </c>
      <c r="O8664" s="3"/>
      <c r="P8664" s="5">
        <v>9</v>
      </c>
      <c r="Q8664" s="5">
        <v>136</v>
      </c>
      <c r="R8664" s="5">
        <v>9</v>
      </c>
      <c r="S8664" s="5">
        <v>127</v>
      </c>
    </row>
    <row r="8665" spans="1:19" ht="28" x14ac:dyDescent="0.15">
      <c r="A8665" s="2">
        <f>HYPERLINK("https://open-school.uspishnemisto.com.ua/school/480028/", 480028)</f>
        <v>480028</v>
      </c>
      <c r="B8665" s="3" t="s">
        <v>44470</v>
      </c>
      <c r="C8665" s="3" t="s">
        <v>181</v>
      </c>
      <c r="D8665" s="3" t="s">
        <v>32</v>
      </c>
      <c r="E8665" s="4" t="s">
        <v>22</v>
      </c>
      <c r="F8665" s="4" t="s">
        <v>44456</v>
      </c>
      <c r="G8665" s="4" t="s">
        <v>44361</v>
      </c>
      <c r="H8665" s="3" t="s">
        <v>44362</v>
      </c>
      <c r="I8665" s="3" t="s">
        <v>41412</v>
      </c>
      <c r="J8665" s="3" t="s">
        <v>44471</v>
      </c>
      <c r="K8665" s="3" t="s">
        <v>44472</v>
      </c>
      <c r="L8665" s="3"/>
      <c r="M8665" s="4" t="s">
        <v>44473</v>
      </c>
      <c r="N8665" s="3" t="s">
        <v>37</v>
      </c>
      <c r="O8665" s="3" t="s">
        <v>52</v>
      </c>
      <c r="P8665" s="5">
        <v>16</v>
      </c>
      <c r="Q8665" s="5">
        <v>95</v>
      </c>
      <c r="R8665" s="5">
        <v>16</v>
      </c>
      <c r="S8665" s="5">
        <v>96</v>
      </c>
    </row>
    <row r="8666" spans="1:19" ht="42" x14ac:dyDescent="0.15">
      <c r="A8666" s="2">
        <f>HYPERLINK("https://open-school.uspishnemisto.com.ua/school/480029/", 480029)</f>
        <v>480029</v>
      </c>
      <c r="B8666" s="3" t="s">
        <v>44474</v>
      </c>
      <c r="C8666" s="3" t="s">
        <v>54</v>
      </c>
      <c r="D8666" s="3" t="s">
        <v>21</v>
      </c>
      <c r="E8666" s="4" t="s">
        <v>22</v>
      </c>
      <c r="F8666" s="4" t="s">
        <v>44410</v>
      </c>
      <c r="G8666" s="4" t="s">
        <v>44361</v>
      </c>
      <c r="H8666" s="3" t="s">
        <v>44362</v>
      </c>
      <c r="I8666" s="3" t="s">
        <v>41412</v>
      </c>
      <c r="J8666" s="3" t="s">
        <v>44475</v>
      </c>
      <c r="K8666" s="3" t="s">
        <v>44476</v>
      </c>
      <c r="L8666" s="3" t="s">
        <v>44477</v>
      </c>
      <c r="M8666" s="4" t="s">
        <v>44478</v>
      </c>
      <c r="N8666" s="3" t="s">
        <v>37</v>
      </c>
      <c r="O8666" s="3" t="s">
        <v>52</v>
      </c>
      <c r="P8666" s="5">
        <v>11</v>
      </c>
      <c r="Q8666" s="5">
        <v>306</v>
      </c>
      <c r="R8666" s="5">
        <v>11</v>
      </c>
      <c r="S8666" s="5">
        <v>295</v>
      </c>
    </row>
    <row r="8667" spans="1:19" ht="28" x14ac:dyDescent="0.15">
      <c r="A8667" s="2">
        <f>HYPERLINK("https://open-school.uspishnemisto.com.ua/school/480030/", 480030)</f>
        <v>480030</v>
      </c>
      <c r="B8667" s="3" t="s">
        <v>44479</v>
      </c>
      <c r="C8667" s="3" t="s">
        <v>188</v>
      </c>
      <c r="D8667" s="3" t="s">
        <v>32</v>
      </c>
      <c r="E8667" s="4" t="s">
        <v>22</v>
      </c>
      <c r="F8667" s="4" t="s">
        <v>44381</v>
      </c>
      <c r="G8667" s="4" t="s">
        <v>44361</v>
      </c>
      <c r="H8667" s="3" t="s">
        <v>44362</v>
      </c>
      <c r="I8667" s="3" t="s">
        <v>41412</v>
      </c>
      <c r="J8667" s="3" t="s">
        <v>9193</v>
      </c>
      <c r="K8667" s="3" t="s">
        <v>44480</v>
      </c>
      <c r="L8667" s="3"/>
      <c r="M8667" s="4"/>
      <c r="N8667" s="3" t="s">
        <v>37</v>
      </c>
      <c r="O8667" s="3" t="s">
        <v>46</v>
      </c>
      <c r="P8667" s="5">
        <v>7</v>
      </c>
      <c r="Q8667" s="5">
        <v>169</v>
      </c>
      <c r="R8667" s="5">
        <v>5</v>
      </c>
      <c r="S8667" s="5">
        <v>136</v>
      </c>
    </row>
    <row r="8668" spans="1:19" ht="42" x14ac:dyDescent="0.15">
      <c r="A8668" s="2">
        <f>HYPERLINK("https://open-school.uspishnemisto.com.ua/school/480031/", 480031)</f>
        <v>480031</v>
      </c>
      <c r="B8668" s="3" t="s">
        <v>44481</v>
      </c>
      <c r="C8668" s="3" t="s">
        <v>2128</v>
      </c>
      <c r="D8668" s="3" t="s">
        <v>32</v>
      </c>
      <c r="E8668" s="4" t="s">
        <v>22</v>
      </c>
      <c r="F8668" s="4" t="s">
        <v>44415</v>
      </c>
      <c r="G8668" s="4" t="s">
        <v>44361</v>
      </c>
      <c r="H8668" s="3" t="s">
        <v>44362</v>
      </c>
      <c r="I8668" s="3" t="s">
        <v>41412</v>
      </c>
      <c r="J8668" s="3" t="s">
        <v>44482</v>
      </c>
      <c r="K8668" s="3" t="s">
        <v>44483</v>
      </c>
      <c r="L8668" s="3"/>
      <c r="M8668" s="4"/>
      <c r="N8668" s="3" t="s">
        <v>37</v>
      </c>
      <c r="O8668" s="3" t="s">
        <v>46</v>
      </c>
      <c r="P8668" s="5">
        <v>49</v>
      </c>
      <c r="Q8668" s="5">
        <v>1679</v>
      </c>
      <c r="R8668" s="5">
        <v>49</v>
      </c>
      <c r="S8668" s="5">
        <v>1651</v>
      </c>
    </row>
    <row r="8669" spans="1:19" ht="42" x14ac:dyDescent="0.15">
      <c r="A8669" s="2">
        <f>HYPERLINK("https://open-school.uspishnemisto.com.ua/school/480032/", 480032)</f>
        <v>480032</v>
      </c>
      <c r="B8669" s="3" t="s">
        <v>44484</v>
      </c>
      <c r="C8669" s="3" t="s">
        <v>174</v>
      </c>
      <c r="D8669" s="3" t="s">
        <v>175</v>
      </c>
      <c r="E8669" s="4" t="s">
        <v>22</v>
      </c>
      <c r="F8669" s="4" t="s">
        <v>44393</v>
      </c>
      <c r="G8669" s="4" t="s">
        <v>44361</v>
      </c>
      <c r="H8669" s="3" t="s">
        <v>44362</v>
      </c>
      <c r="I8669" s="3" t="s">
        <v>41412</v>
      </c>
      <c r="J8669" s="3" t="s">
        <v>44485</v>
      </c>
      <c r="K8669" s="3" t="s">
        <v>44486</v>
      </c>
      <c r="L8669" s="3"/>
      <c r="M8669" s="4"/>
      <c r="N8669" s="3" t="s">
        <v>37</v>
      </c>
      <c r="O8669" s="3" t="s">
        <v>52</v>
      </c>
      <c r="P8669" s="5">
        <v>13</v>
      </c>
      <c r="Q8669" s="5">
        <v>176</v>
      </c>
      <c r="R8669" s="5">
        <v>13</v>
      </c>
      <c r="S8669" s="5">
        <v>177</v>
      </c>
    </row>
    <row r="8670" spans="1:19" ht="28" x14ac:dyDescent="0.15">
      <c r="A8670" s="2">
        <f>HYPERLINK("https://open-school.uspishnemisto.com.ua/school/480055/", 480055)</f>
        <v>480055</v>
      </c>
      <c r="B8670" s="3" t="s">
        <v>44487</v>
      </c>
      <c r="C8670" s="3" t="s">
        <v>31</v>
      </c>
      <c r="D8670" s="3" t="s">
        <v>32</v>
      </c>
      <c r="E8670" s="4" t="s">
        <v>22</v>
      </c>
      <c r="F8670" s="4" t="s">
        <v>44488</v>
      </c>
      <c r="G8670" s="4" t="s">
        <v>44361</v>
      </c>
      <c r="H8670" s="3" t="s">
        <v>44362</v>
      </c>
      <c r="I8670" s="3" t="s">
        <v>41412</v>
      </c>
      <c r="J8670" s="3" t="s">
        <v>44489</v>
      </c>
      <c r="K8670" s="3" t="s">
        <v>44490</v>
      </c>
      <c r="L8670" s="3"/>
      <c r="M8670" s="4"/>
      <c r="N8670" s="3" t="s">
        <v>37</v>
      </c>
      <c r="O8670" s="3" t="s">
        <v>46</v>
      </c>
      <c r="P8670" s="5">
        <v>11</v>
      </c>
      <c r="Q8670" s="5">
        <v>238</v>
      </c>
      <c r="R8670" s="5">
        <v>10</v>
      </c>
      <c r="S8670" s="5">
        <v>224</v>
      </c>
    </row>
    <row r="8671" spans="1:19" ht="42" x14ac:dyDescent="0.15">
      <c r="A8671" s="2">
        <f>HYPERLINK("https://open-school.uspishnemisto.com.ua/school/480070/", 480070)</f>
        <v>480070</v>
      </c>
      <c r="B8671" s="3" t="s">
        <v>44491</v>
      </c>
      <c r="C8671" s="3" t="s">
        <v>31</v>
      </c>
      <c r="D8671" s="3" t="s">
        <v>32</v>
      </c>
      <c r="E8671" s="4" t="s">
        <v>22</v>
      </c>
      <c r="F8671" s="4" t="s">
        <v>44393</v>
      </c>
      <c r="G8671" s="4" t="s">
        <v>44361</v>
      </c>
      <c r="H8671" s="3" t="s">
        <v>44362</v>
      </c>
      <c r="I8671" s="3" t="s">
        <v>41412</v>
      </c>
      <c r="J8671" s="3" t="s">
        <v>44492</v>
      </c>
      <c r="K8671" s="3" t="s">
        <v>44493</v>
      </c>
      <c r="L8671" s="3"/>
      <c r="M8671" s="4"/>
      <c r="N8671" s="3" t="s">
        <v>37</v>
      </c>
      <c r="O8671" s="3" t="s">
        <v>38</v>
      </c>
      <c r="P8671" s="5">
        <v>20</v>
      </c>
      <c r="Q8671" s="5">
        <v>589</v>
      </c>
      <c r="R8671" s="5">
        <v>20</v>
      </c>
      <c r="S8671" s="5">
        <v>565</v>
      </c>
    </row>
    <row r="8672" spans="1:19" ht="28" x14ac:dyDescent="0.15">
      <c r="A8672" s="2">
        <f>HYPERLINK("https://open-school.uspishnemisto.com.ua/school/480033/", 480033)</f>
        <v>480033</v>
      </c>
      <c r="B8672" s="3" t="s">
        <v>44494</v>
      </c>
      <c r="C8672" s="3" t="s">
        <v>40</v>
      </c>
      <c r="D8672" s="3" t="s">
        <v>32</v>
      </c>
      <c r="E8672" s="4" t="s">
        <v>22</v>
      </c>
      <c r="F8672" s="4" t="s">
        <v>44439</v>
      </c>
      <c r="G8672" s="4" t="s">
        <v>44495</v>
      </c>
      <c r="H8672" s="3" t="s">
        <v>44362</v>
      </c>
      <c r="I8672" s="3" t="s">
        <v>44496</v>
      </c>
      <c r="J8672" s="3" t="s">
        <v>44497</v>
      </c>
      <c r="K8672" s="3" t="s">
        <v>44498</v>
      </c>
      <c r="L8672" s="3" t="s">
        <v>44499</v>
      </c>
      <c r="M8672" s="4"/>
      <c r="N8672" s="3" t="s">
        <v>37</v>
      </c>
      <c r="O8672" s="3" t="s">
        <v>123</v>
      </c>
      <c r="P8672" s="5">
        <v>19</v>
      </c>
      <c r="Q8672" s="5">
        <v>572</v>
      </c>
      <c r="R8672" s="5">
        <v>19</v>
      </c>
      <c r="S8672" s="5">
        <v>559</v>
      </c>
    </row>
    <row r="8673" spans="1:19" ht="42" x14ac:dyDescent="0.15">
      <c r="A8673" s="2">
        <f>HYPERLINK("https://open-school.uspishnemisto.com.ua/school/480034/", 480034)</f>
        <v>480034</v>
      </c>
      <c r="B8673" s="3" t="s">
        <v>44500</v>
      </c>
      <c r="C8673" s="3" t="s">
        <v>31</v>
      </c>
      <c r="D8673" s="3" t="s">
        <v>32</v>
      </c>
      <c r="E8673" s="4" t="s">
        <v>22</v>
      </c>
      <c r="F8673" s="4" t="s">
        <v>44501</v>
      </c>
      <c r="G8673" s="4" t="s">
        <v>44495</v>
      </c>
      <c r="H8673" s="3" t="s">
        <v>44362</v>
      </c>
      <c r="I8673" s="3" t="s">
        <v>44496</v>
      </c>
      <c r="J8673" s="3" t="s">
        <v>44502</v>
      </c>
      <c r="K8673" s="3" t="s">
        <v>44503</v>
      </c>
      <c r="L8673" s="3"/>
      <c r="M8673" s="4"/>
      <c r="N8673" s="3" t="s">
        <v>37</v>
      </c>
      <c r="O8673" s="3" t="s">
        <v>38</v>
      </c>
      <c r="P8673" s="5">
        <v>17</v>
      </c>
      <c r="Q8673" s="5">
        <v>483</v>
      </c>
      <c r="R8673" s="5">
        <v>17</v>
      </c>
      <c r="S8673" s="5">
        <v>476</v>
      </c>
    </row>
    <row r="8674" spans="1:19" ht="28" x14ac:dyDescent="0.15">
      <c r="A8674" s="2">
        <f>HYPERLINK("https://open-school.uspishnemisto.com.ua/school/480035/", 480035)</f>
        <v>480035</v>
      </c>
      <c r="B8674" s="3" t="s">
        <v>44504</v>
      </c>
      <c r="C8674" s="3" t="s">
        <v>31</v>
      </c>
      <c r="D8674" s="3" t="s">
        <v>32</v>
      </c>
      <c r="E8674" s="4" t="s">
        <v>22</v>
      </c>
      <c r="F8674" s="4" t="s">
        <v>44372</v>
      </c>
      <c r="G8674" s="4" t="s">
        <v>44495</v>
      </c>
      <c r="H8674" s="3" t="s">
        <v>44362</v>
      </c>
      <c r="I8674" s="3" t="s">
        <v>44496</v>
      </c>
      <c r="J8674" s="3" t="s">
        <v>44505</v>
      </c>
      <c r="K8674" s="3" t="s">
        <v>44506</v>
      </c>
      <c r="L8674" s="3"/>
      <c r="M8674" s="4"/>
      <c r="N8674" s="3" t="s">
        <v>37</v>
      </c>
      <c r="O8674" s="3" t="s">
        <v>38</v>
      </c>
      <c r="P8674" s="5">
        <v>13</v>
      </c>
      <c r="Q8674" s="5">
        <v>353</v>
      </c>
      <c r="R8674" s="5">
        <v>12</v>
      </c>
      <c r="S8674" s="5">
        <v>316</v>
      </c>
    </row>
    <row r="8675" spans="1:19" ht="28" x14ac:dyDescent="0.15">
      <c r="A8675" s="2">
        <f>HYPERLINK("https://open-school.uspishnemisto.com.ua/school/480036/", 480036)</f>
        <v>480036</v>
      </c>
      <c r="B8675" s="3" t="s">
        <v>44507</v>
      </c>
      <c r="C8675" s="3" t="s">
        <v>31</v>
      </c>
      <c r="D8675" s="3" t="s">
        <v>60</v>
      </c>
      <c r="E8675" s="4" t="s">
        <v>22</v>
      </c>
      <c r="F8675" s="4" t="s">
        <v>44439</v>
      </c>
      <c r="G8675" s="4" t="s">
        <v>44495</v>
      </c>
      <c r="H8675" s="3" t="s">
        <v>44362</v>
      </c>
      <c r="I8675" s="3" t="s">
        <v>44496</v>
      </c>
      <c r="J8675" s="3" t="s">
        <v>44497</v>
      </c>
      <c r="K8675" s="3" t="s">
        <v>44508</v>
      </c>
      <c r="L8675" s="3"/>
      <c r="M8675" s="4"/>
      <c r="N8675" s="3" t="s">
        <v>37</v>
      </c>
      <c r="O8675" s="3" t="s">
        <v>52</v>
      </c>
      <c r="P8675" s="5">
        <v>15</v>
      </c>
      <c r="Q8675" s="5">
        <v>497</v>
      </c>
      <c r="R8675" s="5">
        <v>14</v>
      </c>
      <c r="S8675" s="5">
        <v>481</v>
      </c>
    </row>
    <row r="8676" spans="1:19" ht="28" x14ac:dyDescent="0.15">
      <c r="A8676" s="2">
        <f>HYPERLINK("https://open-school.uspishnemisto.com.ua/school/480037/", 480037)</f>
        <v>480037</v>
      </c>
      <c r="B8676" s="3" t="s">
        <v>44509</v>
      </c>
      <c r="C8676" s="3" t="s">
        <v>31</v>
      </c>
      <c r="D8676" s="3" t="s">
        <v>175</v>
      </c>
      <c r="E8676" s="4" t="s">
        <v>22</v>
      </c>
      <c r="F8676" s="4" t="s">
        <v>44510</v>
      </c>
      <c r="G8676" s="4" t="s">
        <v>44495</v>
      </c>
      <c r="H8676" s="3" t="s">
        <v>44362</v>
      </c>
      <c r="I8676" s="3" t="s">
        <v>44496</v>
      </c>
      <c r="J8676" s="3" t="s">
        <v>44511</v>
      </c>
      <c r="K8676" s="3" t="s">
        <v>44512</v>
      </c>
      <c r="L8676" s="3"/>
      <c r="M8676" s="4"/>
      <c r="N8676" s="3" t="s">
        <v>37</v>
      </c>
      <c r="O8676" s="3" t="s">
        <v>38</v>
      </c>
      <c r="P8676" s="5">
        <v>9</v>
      </c>
      <c r="Q8676" s="5">
        <v>128</v>
      </c>
      <c r="R8676" s="5">
        <v>9</v>
      </c>
      <c r="S8676" s="5">
        <v>124</v>
      </c>
    </row>
    <row r="8677" spans="1:19" ht="42" x14ac:dyDescent="0.15">
      <c r="A8677" s="2">
        <f>HYPERLINK("https://open-school.uspishnemisto.com.ua/school/480038/", 480038)</f>
        <v>480038</v>
      </c>
      <c r="B8677" s="3" t="s">
        <v>44513</v>
      </c>
      <c r="C8677" s="3" t="s">
        <v>31</v>
      </c>
      <c r="D8677" s="3" t="s">
        <v>32</v>
      </c>
      <c r="E8677" s="4" t="s">
        <v>22</v>
      </c>
      <c r="F8677" s="4" t="s">
        <v>44450</v>
      </c>
      <c r="G8677" s="4" t="s">
        <v>44495</v>
      </c>
      <c r="H8677" s="3" t="s">
        <v>44362</v>
      </c>
      <c r="I8677" s="3" t="s">
        <v>44496</v>
      </c>
      <c r="J8677" s="3" t="s">
        <v>44514</v>
      </c>
      <c r="K8677" s="3" t="s">
        <v>44515</v>
      </c>
      <c r="L8677" s="3"/>
      <c r="M8677" s="4"/>
      <c r="N8677" s="3" t="s">
        <v>967</v>
      </c>
      <c r="O8677" s="3" t="s">
        <v>52</v>
      </c>
      <c r="P8677" s="5">
        <v>12</v>
      </c>
      <c r="Q8677" s="5">
        <v>305</v>
      </c>
      <c r="R8677" s="5">
        <v>12</v>
      </c>
      <c r="S8677" s="5">
        <v>326</v>
      </c>
    </row>
    <row r="8678" spans="1:19" ht="28" x14ac:dyDescent="0.15">
      <c r="A8678" s="2">
        <f>HYPERLINK("https://open-school.uspishnemisto.com.ua/school/480039/", 480039)</f>
        <v>480039</v>
      </c>
      <c r="B8678" s="3" t="s">
        <v>44516</v>
      </c>
      <c r="C8678" s="3" t="s">
        <v>31</v>
      </c>
      <c r="D8678" s="3" t="s">
        <v>32</v>
      </c>
      <c r="E8678" s="4" t="s">
        <v>22</v>
      </c>
      <c r="F8678" s="4" t="s">
        <v>44501</v>
      </c>
      <c r="G8678" s="4" t="s">
        <v>44495</v>
      </c>
      <c r="H8678" s="3" t="s">
        <v>44362</v>
      </c>
      <c r="I8678" s="3" t="s">
        <v>44496</v>
      </c>
      <c r="J8678" s="3" t="s">
        <v>44517</v>
      </c>
      <c r="K8678" s="3" t="s">
        <v>44518</v>
      </c>
      <c r="L8678" s="3"/>
      <c r="M8678" s="4"/>
      <c r="N8678" s="3" t="s">
        <v>37</v>
      </c>
      <c r="O8678" s="3" t="s">
        <v>38</v>
      </c>
      <c r="P8678" s="5">
        <v>33</v>
      </c>
      <c r="Q8678" s="5">
        <v>954</v>
      </c>
      <c r="R8678" s="5">
        <v>31</v>
      </c>
      <c r="S8678" s="5">
        <v>884</v>
      </c>
    </row>
    <row r="8679" spans="1:19" ht="28" x14ac:dyDescent="0.15">
      <c r="A8679" s="2">
        <f>HYPERLINK("https://open-school.uspishnemisto.com.ua/school/480040/", 480040)</f>
        <v>480040</v>
      </c>
      <c r="B8679" s="3" t="s">
        <v>44519</v>
      </c>
      <c r="C8679" s="3" t="s">
        <v>31</v>
      </c>
      <c r="D8679" s="3" t="s">
        <v>32</v>
      </c>
      <c r="E8679" s="4" t="s">
        <v>22</v>
      </c>
      <c r="F8679" s="4" t="s">
        <v>44466</v>
      </c>
      <c r="G8679" s="4" t="s">
        <v>44495</v>
      </c>
      <c r="H8679" s="3" t="s">
        <v>44362</v>
      </c>
      <c r="I8679" s="3" t="s">
        <v>44496</v>
      </c>
      <c r="J8679" s="3" t="s">
        <v>44520</v>
      </c>
      <c r="K8679" s="3" t="s">
        <v>44521</v>
      </c>
      <c r="L8679" s="3" t="s">
        <v>44522</v>
      </c>
      <c r="M8679" s="4"/>
      <c r="N8679" s="3" t="s">
        <v>967</v>
      </c>
      <c r="O8679" s="3" t="s">
        <v>52</v>
      </c>
      <c r="P8679" s="5">
        <v>21</v>
      </c>
      <c r="Q8679" s="5">
        <v>593</v>
      </c>
      <c r="R8679" s="5">
        <v>22</v>
      </c>
      <c r="S8679" s="5">
        <v>607</v>
      </c>
    </row>
    <row r="8680" spans="1:19" ht="56" x14ac:dyDescent="0.15">
      <c r="A8680" s="2">
        <f>HYPERLINK("https://open-school.uspishnemisto.com.ua/school/480041/", 480041)</f>
        <v>480041</v>
      </c>
      <c r="B8680" s="3" t="s">
        <v>44523</v>
      </c>
      <c r="C8680" s="3" t="s">
        <v>31</v>
      </c>
      <c r="D8680" s="3" t="s">
        <v>32</v>
      </c>
      <c r="E8680" s="4" t="s">
        <v>22</v>
      </c>
      <c r="F8680" s="4" t="s">
        <v>44524</v>
      </c>
      <c r="G8680" s="4" t="s">
        <v>44495</v>
      </c>
      <c r="H8680" s="3" t="s">
        <v>44362</v>
      </c>
      <c r="I8680" s="3" t="s">
        <v>44496</v>
      </c>
      <c r="J8680" s="3" t="s">
        <v>44525</v>
      </c>
      <c r="K8680" s="3" t="s">
        <v>44526</v>
      </c>
      <c r="L8680" s="3"/>
      <c r="M8680" s="4"/>
      <c r="N8680" s="3" t="s">
        <v>37</v>
      </c>
      <c r="O8680" s="3" t="s">
        <v>38</v>
      </c>
      <c r="P8680" s="5">
        <v>25</v>
      </c>
      <c r="Q8680" s="5">
        <v>691</v>
      </c>
      <c r="R8680" s="5">
        <v>25</v>
      </c>
      <c r="S8680" s="5">
        <v>702</v>
      </c>
    </row>
    <row r="8681" spans="1:19" ht="28" x14ac:dyDescent="0.15">
      <c r="A8681" s="2">
        <f>HYPERLINK("https://open-school.uspishnemisto.com.ua/school/480042/", 480042)</f>
        <v>480042</v>
      </c>
      <c r="B8681" s="3" t="s">
        <v>44527</v>
      </c>
      <c r="C8681" s="3" t="s">
        <v>31</v>
      </c>
      <c r="D8681" s="3" t="s">
        <v>32</v>
      </c>
      <c r="E8681" s="4" t="s">
        <v>22</v>
      </c>
      <c r="F8681" s="4" t="s">
        <v>44410</v>
      </c>
      <c r="G8681" s="4" t="s">
        <v>44495</v>
      </c>
      <c r="H8681" s="3" t="s">
        <v>44362</v>
      </c>
      <c r="I8681" s="3" t="s">
        <v>44496</v>
      </c>
      <c r="J8681" s="3" t="s">
        <v>44528</v>
      </c>
      <c r="K8681" s="3" t="s">
        <v>44529</v>
      </c>
      <c r="L8681" s="3"/>
      <c r="M8681" s="4"/>
      <c r="N8681" s="3" t="s">
        <v>967</v>
      </c>
      <c r="O8681" s="3" t="s">
        <v>52</v>
      </c>
      <c r="P8681" s="5">
        <v>14</v>
      </c>
      <c r="Q8681" s="5">
        <v>351</v>
      </c>
      <c r="R8681" s="5">
        <v>15</v>
      </c>
      <c r="S8681" s="5">
        <v>384</v>
      </c>
    </row>
    <row r="8682" spans="1:19" ht="42" x14ac:dyDescent="0.15">
      <c r="A8682" s="2">
        <f>HYPERLINK("https://open-school.uspishnemisto.com.ua/school/480043/", 480043)</f>
        <v>480043</v>
      </c>
      <c r="B8682" s="3" t="s">
        <v>44530</v>
      </c>
      <c r="C8682" s="3" t="s">
        <v>31</v>
      </c>
      <c r="D8682" s="3" t="s">
        <v>32</v>
      </c>
      <c r="E8682" s="4" t="s">
        <v>22</v>
      </c>
      <c r="F8682" s="4" t="s">
        <v>44531</v>
      </c>
      <c r="G8682" s="4" t="s">
        <v>44495</v>
      </c>
      <c r="H8682" s="3" t="s">
        <v>44362</v>
      </c>
      <c r="I8682" s="3" t="s">
        <v>44496</v>
      </c>
      <c r="J8682" s="3" t="s">
        <v>44532</v>
      </c>
      <c r="K8682" s="3" t="s">
        <v>44533</v>
      </c>
      <c r="L8682" s="3"/>
      <c r="M8682" s="4"/>
      <c r="N8682" s="3" t="s">
        <v>37</v>
      </c>
      <c r="O8682" s="3" t="s">
        <v>38</v>
      </c>
      <c r="P8682" s="5">
        <v>12</v>
      </c>
      <c r="Q8682" s="5">
        <v>305</v>
      </c>
      <c r="R8682" s="5">
        <v>12</v>
      </c>
      <c r="S8682" s="5">
        <v>315</v>
      </c>
    </row>
    <row r="8683" spans="1:19" ht="28" x14ac:dyDescent="0.15">
      <c r="A8683" s="2">
        <f>HYPERLINK("https://open-school.uspishnemisto.com.ua/school/480044/", 480044)</f>
        <v>480044</v>
      </c>
      <c r="B8683" s="3" t="s">
        <v>44534</v>
      </c>
      <c r="C8683" s="3" t="s">
        <v>244</v>
      </c>
      <c r="D8683" s="3" t="s">
        <v>32</v>
      </c>
      <c r="E8683" s="4" t="s">
        <v>22</v>
      </c>
      <c r="F8683" s="4" t="s">
        <v>44466</v>
      </c>
      <c r="G8683" s="4" t="s">
        <v>44495</v>
      </c>
      <c r="H8683" s="3" t="s">
        <v>44362</v>
      </c>
      <c r="I8683" s="3" t="s">
        <v>44496</v>
      </c>
      <c r="J8683" s="3" t="s">
        <v>44535</v>
      </c>
      <c r="K8683" s="3" t="s">
        <v>44536</v>
      </c>
      <c r="L8683" s="3"/>
      <c r="M8683" s="4"/>
      <c r="N8683" s="3" t="s">
        <v>37</v>
      </c>
      <c r="O8683" s="3" t="s">
        <v>46</v>
      </c>
      <c r="P8683" s="5">
        <v>42</v>
      </c>
      <c r="Q8683" s="5">
        <v>1405</v>
      </c>
      <c r="R8683" s="5">
        <v>42</v>
      </c>
      <c r="S8683" s="5">
        <v>1354</v>
      </c>
    </row>
    <row r="8684" spans="1:19" ht="28" x14ac:dyDescent="0.15">
      <c r="A8684" s="2">
        <f>HYPERLINK("https://open-school.uspishnemisto.com.ua/school/480045/", 480045)</f>
        <v>480045</v>
      </c>
      <c r="B8684" s="3" t="s">
        <v>44537</v>
      </c>
      <c r="C8684" s="3" t="s">
        <v>188</v>
      </c>
      <c r="D8684" s="3" t="s">
        <v>32</v>
      </c>
      <c r="E8684" s="4" t="s">
        <v>22</v>
      </c>
      <c r="F8684" s="4" t="s">
        <v>44538</v>
      </c>
      <c r="G8684" s="4" t="s">
        <v>44495</v>
      </c>
      <c r="H8684" s="3" t="s">
        <v>44362</v>
      </c>
      <c r="I8684" s="3" t="s">
        <v>44496</v>
      </c>
      <c r="J8684" s="3" t="s">
        <v>44539</v>
      </c>
      <c r="K8684" s="3" t="s">
        <v>44540</v>
      </c>
      <c r="L8684" s="3" t="s">
        <v>44541</v>
      </c>
      <c r="M8684" s="4" t="s">
        <v>44542</v>
      </c>
      <c r="N8684" s="3" t="s">
        <v>967</v>
      </c>
      <c r="O8684" s="3" t="s">
        <v>52</v>
      </c>
      <c r="P8684" s="5">
        <v>8</v>
      </c>
      <c r="Q8684" s="5">
        <v>228</v>
      </c>
      <c r="R8684" s="5">
        <v>7</v>
      </c>
      <c r="S8684" s="5">
        <v>175</v>
      </c>
    </row>
    <row r="8685" spans="1:19" ht="28" x14ac:dyDescent="0.15">
      <c r="A8685" s="2">
        <f>HYPERLINK("https://open-school.uspishnemisto.com.ua/school/480046/", 480046)</f>
        <v>480046</v>
      </c>
      <c r="B8685" s="3" t="s">
        <v>44543</v>
      </c>
      <c r="C8685" s="3" t="s">
        <v>40</v>
      </c>
      <c r="D8685" s="3" t="s">
        <v>32</v>
      </c>
      <c r="E8685" s="4" t="s">
        <v>22</v>
      </c>
      <c r="F8685" s="4" t="s">
        <v>44385</v>
      </c>
      <c r="G8685" s="4" t="s">
        <v>44544</v>
      </c>
      <c r="H8685" s="3" t="s">
        <v>44362</v>
      </c>
      <c r="I8685" s="3" t="s">
        <v>44545</v>
      </c>
      <c r="J8685" s="3" t="s">
        <v>44546</v>
      </c>
      <c r="K8685" s="3" t="s">
        <v>44547</v>
      </c>
      <c r="L8685" s="3"/>
      <c r="M8685" s="4"/>
      <c r="N8685" s="3" t="s">
        <v>37</v>
      </c>
      <c r="O8685" s="3" t="s">
        <v>123</v>
      </c>
      <c r="P8685" s="5">
        <v>14</v>
      </c>
      <c r="Q8685" s="5">
        <v>447</v>
      </c>
      <c r="R8685" s="5">
        <v>14</v>
      </c>
      <c r="S8685" s="5">
        <v>450</v>
      </c>
    </row>
    <row r="8686" spans="1:19" ht="42" x14ac:dyDescent="0.15">
      <c r="A8686" s="2">
        <f>HYPERLINK("https://open-school.uspishnemisto.com.ua/school/480047/", 480047)</f>
        <v>480047</v>
      </c>
      <c r="B8686" s="3" t="s">
        <v>44548</v>
      </c>
      <c r="C8686" s="3" t="s">
        <v>31</v>
      </c>
      <c r="D8686" s="3" t="s">
        <v>32</v>
      </c>
      <c r="E8686" s="4" t="s">
        <v>22</v>
      </c>
      <c r="F8686" s="4" t="s">
        <v>44385</v>
      </c>
      <c r="G8686" s="4" t="s">
        <v>44544</v>
      </c>
      <c r="H8686" s="3" t="s">
        <v>44362</v>
      </c>
      <c r="I8686" s="3" t="s">
        <v>44545</v>
      </c>
      <c r="J8686" s="3" t="s">
        <v>44549</v>
      </c>
      <c r="K8686" s="3" t="s">
        <v>44550</v>
      </c>
      <c r="L8686" s="3" t="s">
        <v>44551</v>
      </c>
      <c r="M8686" s="4" t="s">
        <v>44552</v>
      </c>
      <c r="N8686" s="3" t="s">
        <v>37</v>
      </c>
      <c r="O8686" s="3" t="s">
        <v>46</v>
      </c>
      <c r="P8686" s="5">
        <v>28</v>
      </c>
      <c r="Q8686" s="5">
        <v>783</v>
      </c>
      <c r="R8686" s="5">
        <v>28</v>
      </c>
      <c r="S8686" s="5">
        <v>770</v>
      </c>
    </row>
    <row r="8687" spans="1:19" ht="42" x14ac:dyDescent="0.15">
      <c r="A8687" s="2">
        <f>HYPERLINK("https://open-school.uspishnemisto.com.ua/school/480048/", 480048)</f>
        <v>480048</v>
      </c>
      <c r="B8687" s="3" t="s">
        <v>44553</v>
      </c>
      <c r="C8687" s="3" t="s">
        <v>31</v>
      </c>
      <c r="D8687" s="3" t="s">
        <v>32</v>
      </c>
      <c r="E8687" s="4" t="s">
        <v>22</v>
      </c>
      <c r="F8687" s="4" t="s">
        <v>44554</v>
      </c>
      <c r="G8687" s="4" t="s">
        <v>44544</v>
      </c>
      <c r="H8687" s="3" t="s">
        <v>44362</v>
      </c>
      <c r="I8687" s="3" t="s">
        <v>44545</v>
      </c>
      <c r="J8687" s="3" t="s">
        <v>44555</v>
      </c>
      <c r="K8687" s="3" t="s">
        <v>44556</v>
      </c>
      <c r="L8687" s="3"/>
      <c r="M8687" s="4"/>
      <c r="N8687" s="3" t="s">
        <v>37</v>
      </c>
      <c r="O8687" s="3" t="s">
        <v>70</v>
      </c>
      <c r="P8687" s="5">
        <v>18</v>
      </c>
      <c r="Q8687" s="5">
        <v>530</v>
      </c>
      <c r="R8687" s="5">
        <v>17</v>
      </c>
      <c r="S8687" s="5">
        <v>501</v>
      </c>
    </row>
    <row r="8688" spans="1:19" ht="28" x14ac:dyDescent="0.15">
      <c r="A8688" s="2">
        <f>HYPERLINK("https://open-school.uspishnemisto.com.ua/school/480049/", 480049)</f>
        <v>480049</v>
      </c>
      <c r="B8688" s="3" t="s">
        <v>44557</v>
      </c>
      <c r="C8688" s="3" t="s">
        <v>31</v>
      </c>
      <c r="D8688" s="3" t="s">
        <v>32</v>
      </c>
      <c r="E8688" s="4" t="s">
        <v>22</v>
      </c>
      <c r="F8688" s="4" t="s">
        <v>44360</v>
      </c>
      <c r="G8688" s="4" t="s">
        <v>44544</v>
      </c>
      <c r="H8688" s="3" t="s">
        <v>44362</v>
      </c>
      <c r="I8688" s="3" t="s">
        <v>44545</v>
      </c>
      <c r="J8688" s="3" t="s">
        <v>44558</v>
      </c>
      <c r="K8688" s="3" t="s">
        <v>44559</v>
      </c>
      <c r="L8688" s="3"/>
      <c r="M8688" s="4"/>
      <c r="N8688" s="3" t="s">
        <v>37</v>
      </c>
      <c r="O8688" s="3" t="s">
        <v>46</v>
      </c>
      <c r="P8688" s="5">
        <v>14</v>
      </c>
      <c r="Q8688" s="5">
        <v>350</v>
      </c>
      <c r="R8688" s="5">
        <v>14</v>
      </c>
      <c r="S8688" s="5">
        <v>345</v>
      </c>
    </row>
    <row r="8689" spans="1:19" ht="28" x14ac:dyDescent="0.15">
      <c r="A8689" s="2">
        <f>HYPERLINK("https://open-school.uspishnemisto.com.ua/school/480050/", 480050)</f>
        <v>480050</v>
      </c>
      <c r="B8689" s="3" t="s">
        <v>44560</v>
      </c>
      <c r="C8689" s="3" t="s">
        <v>31</v>
      </c>
      <c r="D8689" s="3" t="s">
        <v>32</v>
      </c>
      <c r="E8689" s="4" t="s">
        <v>22</v>
      </c>
      <c r="F8689" s="4" t="s">
        <v>44360</v>
      </c>
      <c r="G8689" s="4" t="s">
        <v>44544</v>
      </c>
      <c r="H8689" s="3" t="s">
        <v>44362</v>
      </c>
      <c r="I8689" s="3" t="s">
        <v>44545</v>
      </c>
      <c r="J8689" s="3" t="s">
        <v>44561</v>
      </c>
      <c r="K8689" s="3" t="s">
        <v>44562</v>
      </c>
      <c r="L8689" s="3"/>
      <c r="M8689" s="4"/>
      <c r="N8689" s="3" t="s">
        <v>37</v>
      </c>
      <c r="O8689" s="3" t="s">
        <v>70</v>
      </c>
      <c r="P8689" s="5">
        <v>38</v>
      </c>
      <c r="Q8689" s="5">
        <v>1110</v>
      </c>
      <c r="R8689" s="5">
        <v>38</v>
      </c>
      <c r="S8689" s="5">
        <v>1102</v>
      </c>
    </row>
    <row r="8690" spans="1:19" ht="42" x14ac:dyDescent="0.15">
      <c r="A8690" s="2">
        <f>HYPERLINK("https://open-school.uspishnemisto.com.ua/school/480051/", 480051)</f>
        <v>480051</v>
      </c>
      <c r="B8690" s="3" t="s">
        <v>44563</v>
      </c>
      <c r="C8690" s="3" t="s">
        <v>31</v>
      </c>
      <c r="D8690" s="3" t="s">
        <v>32</v>
      </c>
      <c r="E8690" s="4" t="s">
        <v>22</v>
      </c>
      <c r="F8690" s="4" t="s">
        <v>44360</v>
      </c>
      <c r="G8690" s="4" t="s">
        <v>44544</v>
      </c>
      <c r="H8690" s="3" t="s">
        <v>44362</v>
      </c>
      <c r="I8690" s="3" t="s">
        <v>44545</v>
      </c>
      <c r="J8690" s="3" t="s">
        <v>44564</v>
      </c>
      <c r="K8690" s="3" t="s">
        <v>44565</v>
      </c>
      <c r="L8690" s="3"/>
      <c r="M8690" s="4"/>
      <c r="N8690" s="3" t="s">
        <v>128</v>
      </c>
      <c r="O8690" s="3" t="s">
        <v>70</v>
      </c>
      <c r="P8690" s="5">
        <v>18</v>
      </c>
      <c r="Q8690" s="5">
        <v>450</v>
      </c>
      <c r="R8690" s="5">
        <v>18</v>
      </c>
      <c r="S8690" s="5">
        <v>451</v>
      </c>
    </row>
    <row r="8691" spans="1:19" ht="28" x14ac:dyDescent="0.15">
      <c r="A8691" s="2">
        <f>HYPERLINK("https://open-school.uspishnemisto.com.ua/school/480052/", 480052)</f>
        <v>480052</v>
      </c>
      <c r="B8691" s="3" t="s">
        <v>44566</v>
      </c>
      <c r="C8691" s="3" t="s">
        <v>31</v>
      </c>
      <c r="D8691" s="3" t="s">
        <v>32</v>
      </c>
      <c r="E8691" s="4" t="s">
        <v>22</v>
      </c>
      <c r="F8691" s="4" t="s">
        <v>44554</v>
      </c>
      <c r="G8691" s="4" t="s">
        <v>44544</v>
      </c>
      <c r="H8691" s="3" t="s">
        <v>44362</v>
      </c>
      <c r="I8691" s="3" t="s">
        <v>44545</v>
      </c>
      <c r="J8691" s="3" t="s">
        <v>44567</v>
      </c>
      <c r="K8691" s="3" t="s">
        <v>44568</v>
      </c>
      <c r="L8691" s="3" t="s">
        <v>44569</v>
      </c>
      <c r="M8691" s="4"/>
      <c r="N8691" s="3" t="s">
        <v>37</v>
      </c>
      <c r="O8691" s="3" t="s">
        <v>38</v>
      </c>
      <c r="P8691" s="5">
        <v>18</v>
      </c>
      <c r="Q8691" s="5">
        <v>423</v>
      </c>
      <c r="R8691" s="5">
        <v>17</v>
      </c>
      <c r="S8691" s="5">
        <v>415</v>
      </c>
    </row>
    <row r="8692" spans="1:19" ht="28" x14ac:dyDescent="0.15">
      <c r="A8692" s="2">
        <f>HYPERLINK("https://open-school.uspishnemisto.com.ua/school/480053/", 480053)</f>
        <v>480053</v>
      </c>
      <c r="B8692" s="3" t="s">
        <v>44570</v>
      </c>
      <c r="C8692" s="3" t="s">
        <v>31</v>
      </c>
      <c r="D8692" s="3" t="s">
        <v>32</v>
      </c>
      <c r="E8692" s="4" t="s">
        <v>22</v>
      </c>
      <c r="F8692" s="4" t="s">
        <v>44360</v>
      </c>
      <c r="G8692" s="4" t="s">
        <v>44544</v>
      </c>
      <c r="H8692" s="3" t="s">
        <v>44362</v>
      </c>
      <c r="I8692" s="3" t="s">
        <v>44545</v>
      </c>
      <c r="J8692" s="3" t="s">
        <v>44571</v>
      </c>
      <c r="K8692" s="3" t="s">
        <v>44572</v>
      </c>
      <c r="L8692" s="3"/>
      <c r="M8692" s="4"/>
      <c r="N8692" s="3" t="s">
        <v>37</v>
      </c>
      <c r="O8692" s="3" t="s">
        <v>38</v>
      </c>
      <c r="P8692" s="5">
        <v>16</v>
      </c>
      <c r="Q8692" s="5">
        <v>372</v>
      </c>
      <c r="R8692" s="5">
        <v>15</v>
      </c>
      <c r="S8692" s="5">
        <v>357</v>
      </c>
    </row>
    <row r="8693" spans="1:19" ht="28" x14ac:dyDescent="0.15">
      <c r="A8693" s="2">
        <f>HYPERLINK("https://open-school.uspishnemisto.com.ua/school/480054/", 480054)</f>
        <v>480054</v>
      </c>
      <c r="B8693" s="3" t="s">
        <v>44573</v>
      </c>
      <c r="C8693" s="3" t="s">
        <v>31</v>
      </c>
      <c r="D8693" s="3" t="s">
        <v>32</v>
      </c>
      <c r="E8693" s="4" t="s">
        <v>22</v>
      </c>
      <c r="F8693" s="4" t="s">
        <v>44488</v>
      </c>
      <c r="G8693" s="4" t="s">
        <v>44544</v>
      </c>
      <c r="H8693" s="3" t="s">
        <v>44362</v>
      </c>
      <c r="I8693" s="3" t="s">
        <v>44545</v>
      </c>
      <c r="J8693" s="3" t="s">
        <v>44574</v>
      </c>
      <c r="K8693" s="3" t="s">
        <v>44575</v>
      </c>
      <c r="L8693" s="3" t="s">
        <v>44576</v>
      </c>
      <c r="M8693" s="4"/>
      <c r="N8693" s="3" t="s">
        <v>37</v>
      </c>
      <c r="O8693" s="3" t="s">
        <v>38</v>
      </c>
      <c r="P8693" s="5">
        <v>32</v>
      </c>
      <c r="Q8693" s="5">
        <v>920</v>
      </c>
      <c r="R8693" s="5">
        <v>31</v>
      </c>
      <c r="S8693" s="5">
        <v>879</v>
      </c>
    </row>
    <row r="8694" spans="1:19" ht="28" x14ac:dyDescent="0.15">
      <c r="A8694" s="2">
        <f>HYPERLINK("https://open-school.uspishnemisto.com.ua/school/480056/", 480056)</f>
        <v>480056</v>
      </c>
      <c r="B8694" s="3" t="s">
        <v>44577</v>
      </c>
      <c r="C8694" s="3" t="s">
        <v>188</v>
      </c>
      <c r="D8694" s="3" t="s">
        <v>32</v>
      </c>
      <c r="E8694" s="4" t="s">
        <v>22</v>
      </c>
      <c r="F8694" s="4" t="s">
        <v>44488</v>
      </c>
      <c r="G8694" s="4" t="s">
        <v>44544</v>
      </c>
      <c r="H8694" s="3" t="s">
        <v>44362</v>
      </c>
      <c r="I8694" s="3" t="s">
        <v>44545</v>
      </c>
      <c r="J8694" s="3" t="s">
        <v>44578</v>
      </c>
      <c r="K8694" s="3" t="s">
        <v>44579</v>
      </c>
      <c r="L8694" s="3" t="s">
        <v>44580</v>
      </c>
      <c r="M8694" s="4"/>
      <c r="N8694" s="3" t="s">
        <v>37</v>
      </c>
      <c r="O8694" s="3" t="s">
        <v>52</v>
      </c>
      <c r="P8694" s="5">
        <v>7</v>
      </c>
      <c r="Q8694" s="5">
        <v>192</v>
      </c>
      <c r="R8694" s="5">
        <v>8</v>
      </c>
      <c r="S8694" s="5">
        <v>216</v>
      </c>
    </row>
    <row r="8695" spans="1:19" ht="42" x14ac:dyDescent="0.15">
      <c r="A8695" s="2">
        <f>HYPERLINK("https://open-school.uspishnemisto.com.ua/school/480057/", 480057)</f>
        <v>480057</v>
      </c>
      <c r="B8695" s="3" t="s">
        <v>44581</v>
      </c>
      <c r="C8695" s="3" t="s">
        <v>293</v>
      </c>
      <c r="D8695" s="3" t="s">
        <v>32</v>
      </c>
      <c r="E8695" s="4" t="s">
        <v>22</v>
      </c>
      <c r="F8695" s="4" t="s">
        <v>44582</v>
      </c>
      <c r="G8695" s="4" t="s">
        <v>44583</v>
      </c>
      <c r="H8695" s="3" t="s">
        <v>44362</v>
      </c>
      <c r="I8695" s="3" t="s">
        <v>44584</v>
      </c>
      <c r="J8695" s="3" t="s">
        <v>44585</v>
      </c>
      <c r="K8695" s="3" t="s">
        <v>44586</v>
      </c>
      <c r="L8695" s="3"/>
      <c r="M8695" s="4" t="s">
        <v>44587</v>
      </c>
      <c r="N8695" s="3" t="s">
        <v>37</v>
      </c>
      <c r="O8695" s="3" t="s">
        <v>52</v>
      </c>
      <c r="P8695" s="5">
        <v>18</v>
      </c>
      <c r="Q8695" s="5">
        <v>257</v>
      </c>
      <c r="R8695" s="5">
        <v>14</v>
      </c>
      <c r="S8695" s="5">
        <v>203</v>
      </c>
    </row>
    <row r="8696" spans="1:19" ht="28" x14ac:dyDescent="0.15">
      <c r="A8696" s="2">
        <f>HYPERLINK("https://open-school.uspishnemisto.com.ua/school/480059/", 480059)</f>
        <v>480059</v>
      </c>
      <c r="B8696" s="3" t="s">
        <v>44588</v>
      </c>
      <c r="C8696" s="3" t="s">
        <v>40</v>
      </c>
      <c r="D8696" s="3" t="s">
        <v>32</v>
      </c>
      <c r="E8696" s="4" t="s">
        <v>22</v>
      </c>
      <c r="F8696" s="4" t="s">
        <v>44405</v>
      </c>
      <c r="G8696" s="4" t="s">
        <v>44583</v>
      </c>
      <c r="H8696" s="3" t="s">
        <v>44362</v>
      </c>
      <c r="I8696" s="3" t="s">
        <v>44584</v>
      </c>
      <c r="J8696" s="3" t="s">
        <v>44589</v>
      </c>
      <c r="K8696" s="3" t="s">
        <v>44590</v>
      </c>
      <c r="L8696" s="3" t="s">
        <v>44591</v>
      </c>
      <c r="M8696" s="4"/>
      <c r="N8696" s="3" t="s">
        <v>37</v>
      </c>
      <c r="O8696" s="3" t="s">
        <v>70</v>
      </c>
      <c r="P8696" s="5">
        <v>19</v>
      </c>
      <c r="Q8696" s="5">
        <v>612</v>
      </c>
      <c r="R8696" s="5">
        <v>20</v>
      </c>
      <c r="S8696" s="5">
        <v>593</v>
      </c>
    </row>
    <row r="8697" spans="1:19" ht="28" x14ac:dyDescent="0.15">
      <c r="A8697" s="2">
        <f>HYPERLINK("https://open-school.uspishnemisto.com.ua/school/480060/", 480060)</f>
        <v>480060</v>
      </c>
      <c r="B8697" s="3" t="s">
        <v>44592</v>
      </c>
      <c r="C8697" s="3" t="s">
        <v>31</v>
      </c>
      <c r="D8697" s="3" t="s">
        <v>32</v>
      </c>
      <c r="E8697" s="4" t="s">
        <v>22</v>
      </c>
      <c r="F8697" s="4" t="s">
        <v>44593</v>
      </c>
      <c r="G8697" s="4" t="s">
        <v>44583</v>
      </c>
      <c r="H8697" s="3" t="s">
        <v>44362</v>
      </c>
      <c r="I8697" s="3" t="s">
        <v>44584</v>
      </c>
      <c r="J8697" s="3" t="s">
        <v>44594</v>
      </c>
      <c r="K8697" s="3" t="s">
        <v>44595</v>
      </c>
      <c r="L8697" s="3"/>
      <c r="M8697" s="4"/>
      <c r="N8697" s="3" t="s">
        <v>37</v>
      </c>
      <c r="O8697" s="3" t="s">
        <v>38</v>
      </c>
      <c r="P8697" s="5">
        <v>35</v>
      </c>
      <c r="Q8697" s="5">
        <v>1034</v>
      </c>
      <c r="R8697" s="5">
        <v>31</v>
      </c>
      <c r="S8697" s="5">
        <v>932</v>
      </c>
    </row>
    <row r="8698" spans="1:19" ht="28" x14ac:dyDescent="0.15">
      <c r="A8698" s="2">
        <f>HYPERLINK("https://open-school.uspishnemisto.com.ua/school/480061/", 480061)</f>
        <v>480061</v>
      </c>
      <c r="B8698" s="3" t="s">
        <v>44596</v>
      </c>
      <c r="C8698" s="3" t="s">
        <v>31</v>
      </c>
      <c r="D8698" s="3" t="s">
        <v>32</v>
      </c>
      <c r="E8698" s="4" t="s">
        <v>22</v>
      </c>
      <c r="F8698" s="4" t="s">
        <v>44597</v>
      </c>
      <c r="G8698" s="4" t="s">
        <v>44583</v>
      </c>
      <c r="H8698" s="3" t="s">
        <v>44362</v>
      </c>
      <c r="I8698" s="3" t="s">
        <v>44584</v>
      </c>
      <c r="J8698" s="3" t="s">
        <v>44598</v>
      </c>
      <c r="K8698" s="3" t="s">
        <v>44599</v>
      </c>
      <c r="L8698" s="3"/>
      <c r="M8698" s="4"/>
      <c r="N8698" s="3" t="s">
        <v>37</v>
      </c>
      <c r="O8698" s="3" t="s">
        <v>70</v>
      </c>
      <c r="P8698" s="5">
        <v>25</v>
      </c>
      <c r="Q8698" s="5">
        <v>710</v>
      </c>
      <c r="R8698" s="5">
        <v>21</v>
      </c>
      <c r="S8698" s="5">
        <v>610</v>
      </c>
    </row>
    <row r="8699" spans="1:19" ht="28" x14ac:dyDescent="0.15">
      <c r="A8699" s="2">
        <f>HYPERLINK("https://open-school.uspishnemisto.com.ua/school/480062/", 480062)</f>
        <v>480062</v>
      </c>
      <c r="B8699" s="3" t="s">
        <v>44600</v>
      </c>
      <c r="C8699" s="3" t="s">
        <v>31</v>
      </c>
      <c r="D8699" s="3" t="s">
        <v>32</v>
      </c>
      <c r="E8699" s="4" t="s">
        <v>22</v>
      </c>
      <c r="F8699" s="4" t="s">
        <v>44601</v>
      </c>
      <c r="G8699" s="4" t="s">
        <v>44583</v>
      </c>
      <c r="H8699" s="3" t="s">
        <v>44362</v>
      </c>
      <c r="I8699" s="3" t="s">
        <v>44584</v>
      </c>
      <c r="J8699" s="3" t="s">
        <v>44602</v>
      </c>
      <c r="K8699" s="3" t="s">
        <v>44603</v>
      </c>
      <c r="L8699" s="3"/>
      <c r="M8699" s="4"/>
      <c r="N8699" s="3" t="s">
        <v>37</v>
      </c>
      <c r="O8699" s="3" t="s">
        <v>38</v>
      </c>
      <c r="P8699" s="5">
        <v>9</v>
      </c>
      <c r="Q8699" s="5">
        <v>212</v>
      </c>
      <c r="R8699" s="5">
        <v>9</v>
      </c>
      <c r="S8699" s="5">
        <v>204</v>
      </c>
    </row>
    <row r="8700" spans="1:19" ht="28" x14ac:dyDescent="0.15">
      <c r="A8700" s="2">
        <f>HYPERLINK("https://open-school.uspishnemisto.com.ua/school/480063/", 480063)</f>
        <v>480063</v>
      </c>
      <c r="B8700" s="3" t="s">
        <v>44604</v>
      </c>
      <c r="C8700" s="3" t="s">
        <v>31</v>
      </c>
      <c r="D8700" s="3" t="s">
        <v>32</v>
      </c>
      <c r="E8700" s="4" t="s">
        <v>22</v>
      </c>
      <c r="F8700" s="4" t="s">
        <v>44593</v>
      </c>
      <c r="G8700" s="4" t="s">
        <v>44583</v>
      </c>
      <c r="H8700" s="3" t="s">
        <v>44362</v>
      </c>
      <c r="I8700" s="3" t="s">
        <v>44584</v>
      </c>
      <c r="J8700" s="3" t="s">
        <v>44605</v>
      </c>
      <c r="K8700" s="3" t="s">
        <v>44606</v>
      </c>
      <c r="L8700" s="3" t="s">
        <v>44607</v>
      </c>
      <c r="M8700" s="4"/>
      <c r="N8700" s="3" t="s">
        <v>967</v>
      </c>
      <c r="O8700" s="3" t="s">
        <v>46</v>
      </c>
      <c r="P8700" s="5">
        <v>28</v>
      </c>
      <c r="Q8700" s="5">
        <v>853</v>
      </c>
      <c r="R8700" s="5">
        <v>28</v>
      </c>
      <c r="S8700" s="5">
        <v>845</v>
      </c>
    </row>
    <row r="8701" spans="1:19" ht="28" x14ac:dyDescent="0.15">
      <c r="A8701" s="2">
        <f>HYPERLINK("https://open-school.uspishnemisto.com.ua/school/480064/", 480064)</f>
        <v>480064</v>
      </c>
      <c r="B8701" s="3" t="s">
        <v>44608</v>
      </c>
      <c r="C8701" s="3" t="s">
        <v>31</v>
      </c>
      <c r="D8701" s="3" t="s">
        <v>32</v>
      </c>
      <c r="E8701" s="4" t="s">
        <v>22</v>
      </c>
      <c r="F8701" s="4" t="s">
        <v>44609</v>
      </c>
      <c r="G8701" s="4" t="s">
        <v>44583</v>
      </c>
      <c r="H8701" s="3" t="s">
        <v>44362</v>
      </c>
      <c r="I8701" s="3" t="s">
        <v>44584</v>
      </c>
      <c r="J8701" s="3" t="s">
        <v>44610</v>
      </c>
      <c r="K8701" s="3" t="s">
        <v>44611</v>
      </c>
      <c r="L8701" s="3"/>
      <c r="M8701" s="4"/>
      <c r="N8701" s="3" t="s">
        <v>967</v>
      </c>
      <c r="O8701" s="3" t="s">
        <v>46</v>
      </c>
      <c r="P8701" s="5">
        <v>20</v>
      </c>
      <c r="Q8701" s="5">
        <v>558</v>
      </c>
      <c r="R8701" s="5">
        <v>20</v>
      </c>
      <c r="S8701" s="5">
        <v>551</v>
      </c>
    </row>
    <row r="8702" spans="1:19" ht="42" x14ac:dyDescent="0.15">
      <c r="A8702" s="2">
        <f>HYPERLINK("https://open-school.uspishnemisto.com.ua/school/480065/", 480065)</f>
        <v>480065</v>
      </c>
      <c r="B8702" s="3" t="s">
        <v>44612</v>
      </c>
      <c r="C8702" s="3" t="s">
        <v>31</v>
      </c>
      <c r="D8702" s="3" t="s">
        <v>32</v>
      </c>
      <c r="E8702" s="4" t="s">
        <v>22</v>
      </c>
      <c r="F8702" s="4" t="s">
        <v>44597</v>
      </c>
      <c r="G8702" s="4" t="s">
        <v>44583</v>
      </c>
      <c r="H8702" s="3" t="s">
        <v>44362</v>
      </c>
      <c r="I8702" s="3" t="s">
        <v>44584</v>
      </c>
      <c r="J8702" s="3" t="s">
        <v>44613</v>
      </c>
      <c r="K8702" s="3" t="s">
        <v>44614</v>
      </c>
      <c r="L8702" s="3" t="s">
        <v>44615</v>
      </c>
      <c r="M8702" s="4"/>
      <c r="N8702" s="3" t="s">
        <v>37</v>
      </c>
      <c r="O8702" s="3" t="s">
        <v>70</v>
      </c>
      <c r="P8702" s="5">
        <v>29</v>
      </c>
      <c r="Q8702" s="5">
        <v>817</v>
      </c>
      <c r="R8702" s="5">
        <v>27</v>
      </c>
      <c r="S8702" s="5">
        <v>769</v>
      </c>
    </row>
    <row r="8703" spans="1:19" ht="28" x14ac:dyDescent="0.15">
      <c r="A8703" s="2">
        <f>HYPERLINK("https://open-school.uspishnemisto.com.ua/school/480066/", 480066)</f>
        <v>480066</v>
      </c>
      <c r="B8703" s="3" t="s">
        <v>44616</v>
      </c>
      <c r="C8703" s="3" t="s">
        <v>31</v>
      </c>
      <c r="D8703" s="3" t="s">
        <v>32</v>
      </c>
      <c r="E8703" s="4" t="s">
        <v>22</v>
      </c>
      <c r="F8703" s="4" t="s">
        <v>44597</v>
      </c>
      <c r="G8703" s="4" t="s">
        <v>44583</v>
      </c>
      <c r="H8703" s="3" t="s">
        <v>44362</v>
      </c>
      <c r="I8703" s="3" t="s">
        <v>44584</v>
      </c>
      <c r="J8703" s="3" t="s">
        <v>44617</v>
      </c>
      <c r="K8703" s="3" t="s">
        <v>44618</v>
      </c>
      <c r="L8703" s="3"/>
      <c r="M8703" s="4"/>
      <c r="N8703" s="3" t="s">
        <v>967</v>
      </c>
      <c r="O8703" s="3" t="s">
        <v>52</v>
      </c>
      <c r="P8703" s="5">
        <v>17</v>
      </c>
      <c r="Q8703" s="5">
        <v>400</v>
      </c>
      <c r="R8703" s="5">
        <v>16</v>
      </c>
      <c r="S8703" s="5">
        <v>397</v>
      </c>
    </row>
    <row r="8704" spans="1:19" ht="28" x14ac:dyDescent="0.15">
      <c r="A8704" s="2">
        <f>HYPERLINK("https://open-school.uspishnemisto.com.ua/school/480067/", 480067)</f>
        <v>480067</v>
      </c>
      <c r="B8704" s="3" t="s">
        <v>44619</v>
      </c>
      <c r="C8704" s="3" t="s">
        <v>31</v>
      </c>
      <c r="D8704" s="3" t="s">
        <v>32</v>
      </c>
      <c r="E8704" s="4" t="s">
        <v>22</v>
      </c>
      <c r="F8704" s="4" t="s">
        <v>44405</v>
      </c>
      <c r="G8704" s="4" t="s">
        <v>44583</v>
      </c>
      <c r="H8704" s="3" t="s">
        <v>44362</v>
      </c>
      <c r="I8704" s="3" t="s">
        <v>44584</v>
      </c>
      <c r="J8704" s="3" t="s">
        <v>44620</v>
      </c>
      <c r="K8704" s="3" t="s">
        <v>44621</v>
      </c>
      <c r="L8704" s="3" t="s">
        <v>44622</v>
      </c>
      <c r="M8704" s="4" t="s">
        <v>44623</v>
      </c>
      <c r="N8704" s="3" t="s">
        <v>967</v>
      </c>
      <c r="O8704" s="3" t="s">
        <v>46</v>
      </c>
      <c r="P8704" s="5">
        <v>38</v>
      </c>
      <c r="Q8704" s="5">
        <v>1111</v>
      </c>
      <c r="R8704" s="5">
        <v>37</v>
      </c>
      <c r="S8704" s="5">
        <v>1105</v>
      </c>
    </row>
    <row r="8705" spans="1:19" ht="28" x14ac:dyDescent="0.15">
      <c r="A8705" s="2">
        <f>HYPERLINK("https://open-school.uspishnemisto.com.ua/school/480068/", 480068)</f>
        <v>480068</v>
      </c>
      <c r="B8705" s="3" t="s">
        <v>44624</v>
      </c>
      <c r="C8705" s="3" t="s">
        <v>31</v>
      </c>
      <c r="D8705" s="3" t="s">
        <v>32</v>
      </c>
      <c r="E8705" s="4" t="s">
        <v>22</v>
      </c>
      <c r="F8705" s="4" t="s">
        <v>44393</v>
      </c>
      <c r="G8705" s="4" t="s">
        <v>44583</v>
      </c>
      <c r="H8705" s="3" t="s">
        <v>44362</v>
      </c>
      <c r="I8705" s="3" t="s">
        <v>44584</v>
      </c>
      <c r="J8705" s="3" t="s">
        <v>44625</v>
      </c>
      <c r="K8705" s="3" t="s">
        <v>44626</v>
      </c>
      <c r="L8705" s="3" t="s">
        <v>44627</v>
      </c>
      <c r="M8705" s="4"/>
      <c r="N8705" s="3" t="s">
        <v>37</v>
      </c>
      <c r="O8705" s="3" t="s">
        <v>70</v>
      </c>
      <c r="P8705" s="5">
        <v>28</v>
      </c>
      <c r="Q8705" s="5">
        <v>887</v>
      </c>
      <c r="R8705" s="5">
        <v>28</v>
      </c>
      <c r="S8705" s="5">
        <v>845</v>
      </c>
    </row>
    <row r="8706" spans="1:19" ht="28" x14ac:dyDescent="0.15">
      <c r="A8706" s="2">
        <f>HYPERLINK("https://open-school.uspishnemisto.com.ua/school/480069/", 480069)</f>
        <v>480069</v>
      </c>
      <c r="B8706" s="3" t="s">
        <v>44628</v>
      </c>
      <c r="C8706" s="3" t="s">
        <v>31</v>
      </c>
      <c r="D8706" s="3" t="s">
        <v>32</v>
      </c>
      <c r="E8706" s="4" t="s">
        <v>22</v>
      </c>
      <c r="F8706" s="4" t="s">
        <v>44601</v>
      </c>
      <c r="G8706" s="4" t="s">
        <v>44583</v>
      </c>
      <c r="H8706" s="3" t="s">
        <v>44362</v>
      </c>
      <c r="I8706" s="3" t="s">
        <v>44584</v>
      </c>
      <c r="J8706" s="3" t="s">
        <v>44629</v>
      </c>
      <c r="K8706" s="3" t="s">
        <v>44630</v>
      </c>
      <c r="L8706" s="3" t="s">
        <v>44631</v>
      </c>
      <c r="M8706" s="4"/>
      <c r="N8706" s="3" t="s">
        <v>37</v>
      </c>
      <c r="O8706" s="3" t="s">
        <v>70</v>
      </c>
      <c r="P8706" s="5">
        <v>19</v>
      </c>
      <c r="Q8706" s="5">
        <v>446</v>
      </c>
      <c r="R8706" s="5">
        <v>18</v>
      </c>
      <c r="S8706" s="5">
        <v>455</v>
      </c>
    </row>
    <row r="8707" spans="1:19" ht="56" x14ac:dyDescent="0.15">
      <c r="A8707" s="2">
        <f>HYPERLINK("https://open-school.uspishnemisto.com.ua/school/480071/", 480071)</f>
        <v>480071</v>
      </c>
      <c r="B8707" s="3" t="s">
        <v>44632</v>
      </c>
      <c r="C8707" s="3" t="s">
        <v>244</v>
      </c>
      <c r="D8707" s="3" t="s">
        <v>32</v>
      </c>
      <c r="E8707" s="4" t="s">
        <v>22</v>
      </c>
      <c r="F8707" s="4" t="s">
        <v>44597</v>
      </c>
      <c r="G8707" s="4" t="s">
        <v>44583</v>
      </c>
      <c r="H8707" s="3" t="s">
        <v>44362</v>
      </c>
      <c r="I8707" s="3" t="s">
        <v>44584</v>
      </c>
      <c r="J8707" s="3" t="s">
        <v>44633</v>
      </c>
      <c r="K8707" s="3" t="s">
        <v>44634</v>
      </c>
      <c r="L8707" s="3"/>
      <c r="M8707" s="4"/>
      <c r="N8707" s="3" t="s">
        <v>37</v>
      </c>
      <c r="O8707" s="3" t="s">
        <v>46</v>
      </c>
      <c r="P8707" s="5">
        <v>33</v>
      </c>
      <c r="Q8707" s="5">
        <v>1035</v>
      </c>
      <c r="R8707" s="5">
        <v>32</v>
      </c>
      <c r="S8707" s="5">
        <v>1015</v>
      </c>
    </row>
    <row r="8708" spans="1:19" ht="28" x14ac:dyDescent="0.15">
      <c r="A8708" s="2">
        <f>HYPERLINK("https://open-school.uspishnemisto.com.ua/school/480072/", 480072)</f>
        <v>480072</v>
      </c>
      <c r="B8708" s="3" t="s">
        <v>44635</v>
      </c>
      <c r="C8708" s="3" t="s">
        <v>188</v>
      </c>
      <c r="D8708" s="3" t="s">
        <v>32</v>
      </c>
      <c r="E8708" s="4" t="s">
        <v>22</v>
      </c>
      <c r="F8708" s="4" t="s">
        <v>44393</v>
      </c>
      <c r="G8708" s="4" t="s">
        <v>44583</v>
      </c>
      <c r="H8708" s="3" t="s">
        <v>44362</v>
      </c>
      <c r="I8708" s="3" t="s">
        <v>44584</v>
      </c>
      <c r="J8708" s="3" t="s">
        <v>44636</v>
      </c>
      <c r="K8708" s="3" t="s">
        <v>44637</v>
      </c>
      <c r="L8708" s="3" t="s">
        <v>44638</v>
      </c>
      <c r="M8708" s="4"/>
      <c r="N8708" s="3" t="s">
        <v>37</v>
      </c>
      <c r="O8708" s="3" t="s">
        <v>52</v>
      </c>
      <c r="P8708" s="5">
        <v>6</v>
      </c>
      <c r="Q8708" s="5">
        <v>167</v>
      </c>
      <c r="R8708" s="5">
        <v>6</v>
      </c>
      <c r="S8708" s="5">
        <v>164</v>
      </c>
    </row>
    <row r="8709" spans="1:19" ht="28" x14ac:dyDescent="0.15">
      <c r="A8709" s="2">
        <f>HYPERLINK("https://open-school.uspishnemisto.com.ua/school/480073/", 480073)</f>
        <v>480073</v>
      </c>
      <c r="B8709" s="3" t="s">
        <v>44639</v>
      </c>
      <c r="C8709" s="3" t="s">
        <v>2634</v>
      </c>
      <c r="D8709" s="3" t="s">
        <v>32</v>
      </c>
      <c r="E8709" s="4" t="s">
        <v>22</v>
      </c>
      <c r="F8709" s="4" t="s">
        <v>44524</v>
      </c>
      <c r="G8709" s="4" t="s">
        <v>44640</v>
      </c>
      <c r="H8709" s="3" t="s">
        <v>44362</v>
      </c>
      <c r="I8709" s="3" t="s">
        <v>44641</v>
      </c>
      <c r="J8709" s="3" t="s">
        <v>44642</v>
      </c>
      <c r="K8709" s="3" t="s">
        <v>44643</v>
      </c>
      <c r="L8709" s="3"/>
      <c r="M8709" s="4" t="s">
        <v>44644</v>
      </c>
      <c r="N8709" s="3" t="s">
        <v>37</v>
      </c>
      <c r="O8709" s="3" t="s">
        <v>52</v>
      </c>
      <c r="P8709" s="5">
        <v>24</v>
      </c>
      <c r="Q8709" s="5">
        <v>567</v>
      </c>
      <c r="R8709" s="5">
        <v>23</v>
      </c>
      <c r="S8709" s="5">
        <v>520</v>
      </c>
    </row>
    <row r="8710" spans="1:19" ht="42" x14ac:dyDescent="0.15">
      <c r="A8710" s="2">
        <f>HYPERLINK("https://open-school.uspishnemisto.com.ua/school/480074/", 480074)</f>
        <v>480074</v>
      </c>
      <c r="B8710" s="3" t="s">
        <v>44645</v>
      </c>
      <c r="C8710" s="3" t="s">
        <v>31</v>
      </c>
      <c r="D8710" s="3" t="s">
        <v>32</v>
      </c>
      <c r="E8710" s="4" t="s">
        <v>22</v>
      </c>
      <c r="F8710" s="4" t="s">
        <v>44501</v>
      </c>
      <c r="G8710" s="4" t="s">
        <v>44640</v>
      </c>
      <c r="H8710" s="3" t="s">
        <v>44362</v>
      </c>
      <c r="I8710" s="3" t="s">
        <v>44641</v>
      </c>
      <c r="J8710" s="3" t="s">
        <v>44646</v>
      </c>
      <c r="K8710" s="3" t="s">
        <v>44647</v>
      </c>
      <c r="L8710" s="3"/>
      <c r="M8710" s="4"/>
      <c r="N8710" s="3" t="s">
        <v>37</v>
      </c>
      <c r="O8710" s="3" t="s">
        <v>38</v>
      </c>
      <c r="P8710" s="5">
        <v>11</v>
      </c>
      <c r="Q8710" s="5">
        <v>263</v>
      </c>
      <c r="R8710" s="5">
        <v>10</v>
      </c>
      <c r="S8710" s="5">
        <v>265</v>
      </c>
    </row>
    <row r="8711" spans="1:19" ht="28" x14ac:dyDescent="0.15">
      <c r="A8711" s="2">
        <f>HYPERLINK("https://open-school.uspishnemisto.com.ua/school/480075/", 480075)</f>
        <v>480075</v>
      </c>
      <c r="B8711" s="3" t="s">
        <v>44648</v>
      </c>
      <c r="C8711" s="3" t="s">
        <v>31</v>
      </c>
      <c r="D8711" s="3" t="s">
        <v>32</v>
      </c>
      <c r="E8711" s="4" t="s">
        <v>22</v>
      </c>
      <c r="F8711" s="4" t="s">
        <v>44381</v>
      </c>
      <c r="G8711" s="4" t="s">
        <v>44640</v>
      </c>
      <c r="H8711" s="3" t="s">
        <v>44362</v>
      </c>
      <c r="I8711" s="3" t="s">
        <v>44641</v>
      </c>
      <c r="J8711" s="3" t="s">
        <v>44649</v>
      </c>
      <c r="K8711" s="3" t="s">
        <v>44650</v>
      </c>
      <c r="L8711" s="3" t="s">
        <v>44651</v>
      </c>
      <c r="M8711" s="4"/>
      <c r="N8711" s="3" t="s">
        <v>37</v>
      </c>
      <c r="O8711" s="3" t="s">
        <v>38</v>
      </c>
      <c r="P8711" s="5">
        <v>45</v>
      </c>
      <c r="Q8711" s="5">
        <v>1323</v>
      </c>
      <c r="R8711" s="5">
        <v>42</v>
      </c>
      <c r="S8711" s="5">
        <v>1262</v>
      </c>
    </row>
    <row r="8712" spans="1:19" ht="28" x14ac:dyDescent="0.15">
      <c r="A8712" s="2">
        <f>HYPERLINK("https://open-school.uspishnemisto.com.ua/school/480076/", 480076)</f>
        <v>480076</v>
      </c>
      <c r="B8712" s="3" t="s">
        <v>44652</v>
      </c>
      <c r="C8712" s="3" t="s">
        <v>31</v>
      </c>
      <c r="D8712" s="3" t="s">
        <v>32</v>
      </c>
      <c r="E8712" s="4" t="s">
        <v>22</v>
      </c>
      <c r="F8712" s="4" t="s">
        <v>44524</v>
      </c>
      <c r="G8712" s="4" t="s">
        <v>44640</v>
      </c>
      <c r="H8712" s="3" t="s">
        <v>44362</v>
      </c>
      <c r="I8712" s="3" t="s">
        <v>44641</v>
      </c>
      <c r="J8712" s="3" t="s">
        <v>44653</v>
      </c>
      <c r="K8712" s="3" t="s">
        <v>44654</v>
      </c>
      <c r="L8712" s="3"/>
      <c r="M8712" s="4"/>
      <c r="N8712" s="3" t="s">
        <v>967</v>
      </c>
      <c r="O8712" s="3" t="s">
        <v>46</v>
      </c>
      <c r="P8712" s="5">
        <v>17</v>
      </c>
      <c r="Q8712" s="5">
        <v>427</v>
      </c>
      <c r="R8712" s="5">
        <v>16</v>
      </c>
      <c r="S8712" s="5">
        <v>415</v>
      </c>
    </row>
    <row r="8713" spans="1:19" ht="28" x14ac:dyDescent="0.15">
      <c r="A8713" s="2">
        <f>HYPERLINK("https://open-school.uspishnemisto.com.ua/school/480077/", 480077)</f>
        <v>480077</v>
      </c>
      <c r="B8713" s="3" t="s">
        <v>44655</v>
      </c>
      <c r="C8713" s="3" t="s">
        <v>31</v>
      </c>
      <c r="D8713" s="3" t="s">
        <v>32</v>
      </c>
      <c r="E8713" s="4" t="s">
        <v>22</v>
      </c>
      <c r="F8713" s="4" t="s">
        <v>44656</v>
      </c>
      <c r="G8713" s="4" t="s">
        <v>44640</v>
      </c>
      <c r="H8713" s="3" t="s">
        <v>44362</v>
      </c>
      <c r="I8713" s="3" t="s">
        <v>44641</v>
      </c>
      <c r="J8713" s="3" t="s">
        <v>17949</v>
      </c>
      <c r="K8713" s="3" t="s">
        <v>44657</v>
      </c>
      <c r="L8713" s="3"/>
      <c r="M8713" s="4"/>
      <c r="N8713" s="3" t="s">
        <v>37</v>
      </c>
      <c r="O8713" s="3" t="s">
        <v>70</v>
      </c>
      <c r="P8713" s="5">
        <v>21</v>
      </c>
      <c r="Q8713" s="5">
        <v>563</v>
      </c>
      <c r="R8713" s="5">
        <v>19</v>
      </c>
      <c r="S8713" s="5">
        <v>547</v>
      </c>
    </row>
    <row r="8714" spans="1:19" ht="28" x14ac:dyDescent="0.15">
      <c r="A8714" s="2">
        <f>HYPERLINK("https://open-school.uspishnemisto.com.ua/school/480078/", 480078)</f>
        <v>480078</v>
      </c>
      <c r="B8714" s="3" t="s">
        <v>44658</v>
      </c>
      <c r="C8714" s="3" t="s">
        <v>31</v>
      </c>
      <c r="D8714" s="3" t="s">
        <v>32</v>
      </c>
      <c r="E8714" s="4" t="s">
        <v>22</v>
      </c>
      <c r="F8714" s="4" t="s">
        <v>44415</v>
      </c>
      <c r="G8714" s="4" t="s">
        <v>44640</v>
      </c>
      <c r="H8714" s="3" t="s">
        <v>44362</v>
      </c>
      <c r="I8714" s="3" t="s">
        <v>44641</v>
      </c>
      <c r="J8714" s="3" t="s">
        <v>44659</v>
      </c>
      <c r="K8714" s="3" t="s">
        <v>44660</v>
      </c>
      <c r="L8714" s="3"/>
      <c r="M8714" s="4"/>
      <c r="N8714" s="3" t="s">
        <v>37</v>
      </c>
      <c r="O8714" s="3" t="s">
        <v>38</v>
      </c>
      <c r="P8714" s="5">
        <v>45</v>
      </c>
      <c r="Q8714" s="5">
        <v>1381</v>
      </c>
      <c r="R8714" s="5">
        <v>43</v>
      </c>
      <c r="S8714" s="5">
        <v>1344</v>
      </c>
    </row>
    <row r="8715" spans="1:19" ht="28" x14ac:dyDescent="0.15">
      <c r="A8715" s="2">
        <f>HYPERLINK("https://open-school.uspishnemisto.com.ua/school/480079/", 480079)</f>
        <v>480079</v>
      </c>
      <c r="B8715" s="3" t="s">
        <v>44661</v>
      </c>
      <c r="C8715" s="3" t="s">
        <v>31</v>
      </c>
      <c r="D8715" s="3" t="s">
        <v>32</v>
      </c>
      <c r="E8715" s="4" t="s">
        <v>22</v>
      </c>
      <c r="F8715" s="4" t="s">
        <v>44377</v>
      </c>
      <c r="G8715" s="4" t="s">
        <v>44640</v>
      </c>
      <c r="H8715" s="3" t="s">
        <v>44362</v>
      </c>
      <c r="I8715" s="3" t="s">
        <v>44641</v>
      </c>
      <c r="J8715" s="3" t="s">
        <v>44662</v>
      </c>
      <c r="K8715" s="3" t="s">
        <v>44663</v>
      </c>
      <c r="L8715" s="3"/>
      <c r="M8715" s="4"/>
      <c r="N8715" s="3" t="s">
        <v>37</v>
      </c>
      <c r="O8715" s="3" t="s">
        <v>70</v>
      </c>
      <c r="P8715" s="5">
        <v>23</v>
      </c>
      <c r="Q8715" s="5">
        <v>586</v>
      </c>
      <c r="R8715" s="5">
        <v>22</v>
      </c>
      <c r="S8715" s="5">
        <v>571</v>
      </c>
    </row>
    <row r="8716" spans="1:19" ht="28" x14ac:dyDescent="0.15">
      <c r="A8716" s="2">
        <f>HYPERLINK("https://open-school.uspishnemisto.com.ua/school/480080/", 480080)</f>
        <v>480080</v>
      </c>
      <c r="B8716" s="3" t="s">
        <v>44664</v>
      </c>
      <c r="C8716" s="3" t="s">
        <v>31</v>
      </c>
      <c r="D8716" s="3" t="s">
        <v>32</v>
      </c>
      <c r="E8716" s="4" t="s">
        <v>41</v>
      </c>
      <c r="F8716" s="4" t="s">
        <v>44415</v>
      </c>
      <c r="G8716" s="4" t="s">
        <v>44640</v>
      </c>
      <c r="H8716" s="3" t="s">
        <v>44362</v>
      </c>
      <c r="I8716" s="3" t="s">
        <v>44641</v>
      </c>
      <c r="J8716" s="3" t="s">
        <v>44665</v>
      </c>
      <c r="K8716" s="3"/>
      <c r="L8716" s="3"/>
      <c r="M8716" s="4"/>
      <c r="N8716" s="3" t="s">
        <v>128</v>
      </c>
      <c r="O8716" s="3" t="s">
        <v>70</v>
      </c>
      <c r="P8716" s="5">
        <v>15</v>
      </c>
      <c r="Q8716" s="5">
        <v>105</v>
      </c>
      <c r="R8716" s="5">
        <v>15</v>
      </c>
      <c r="S8716" s="5">
        <v>105</v>
      </c>
    </row>
    <row r="8717" spans="1:19" ht="28" x14ac:dyDescent="0.15">
      <c r="A8717" s="2">
        <f>HYPERLINK("https://open-school.uspishnemisto.com.ua/school/480081/", 480081)</f>
        <v>480081</v>
      </c>
      <c r="B8717" s="3" t="s">
        <v>44666</v>
      </c>
      <c r="C8717" s="3" t="s">
        <v>244</v>
      </c>
      <c r="D8717" s="3" t="s">
        <v>32</v>
      </c>
      <c r="E8717" s="4" t="s">
        <v>41</v>
      </c>
      <c r="F8717" s="4" t="s">
        <v>44415</v>
      </c>
      <c r="G8717" s="4" t="s">
        <v>44640</v>
      </c>
      <c r="H8717" s="3" t="s">
        <v>44362</v>
      </c>
      <c r="I8717" s="3" t="s">
        <v>44641</v>
      </c>
      <c r="J8717" s="3" t="s">
        <v>44667</v>
      </c>
      <c r="K8717" s="3" t="s">
        <v>44668</v>
      </c>
      <c r="L8717" s="3"/>
      <c r="M8717" s="4"/>
      <c r="N8717" s="3" t="s">
        <v>967</v>
      </c>
      <c r="O8717" s="3" t="s">
        <v>8629</v>
      </c>
      <c r="P8717" s="5">
        <v>9</v>
      </c>
      <c r="Q8717" s="5">
        <v>78</v>
      </c>
      <c r="R8717" s="5">
        <v>10</v>
      </c>
      <c r="S8717" s="5">
        <v>73</v>
      </c>
    </row>
    <row r="8718" spans="1:19" ht="42" x14ac:dyDescent="0.15">
      <c r="A8718" s="2">
        <f>HYPERLINK("https://open-school.uspishnemisto.com.ua/school/480082/", 480082)</f>
        <v>480082</v>
      </c>
      <c r="B8718" s="3" t="s">
        <v>44669</v>
      </c>
      <c r="C8718" s="3" t="s">
        <v>188</v>
      </c>
      <c r="D8718" s="3" t="s">
        <v>32</v>
      </c>
      <c r="E8718" s="4" t="s">
        <v>22</v>
      </c>
      <c r="F8718" s="4" t="s">
        <v>44410</v>
      </c>
      <c r="G8718" s="4" t="s">
        <v>44640</v>
      </c>
      <c r="H8718" s="3" t="s">
        <v>44362</v>
      </c>
      <c r="I8718" s="3" t="s">
        <v>44641</v>
      </c>
      <c r="J8718" s="3" t="s">
        <v>44670</v>
      </c>
      <c r="K8718" s="3" t="s">
        <v>44671</v>
      </c>
      <c r="L8718" s="3" t="s">
        <v>44672</v>
      </c>
      <c r="M8718" s="4" t="s">
        <v>44673</v>
      </c>
      <c r="N8718" s="3" t="s">
        <v>37</v>
      </c>
      <c r="O8718" s="3" t="s">
        <v>52</v>
      </c>
      <c r="P8718" s="5">
        <v>13</v>
      </c>
      <c r="Q8718" s="5">
        <v>392</v>
      </c>
      <c r="R8718" s="5">
        <v>14</v>
      </c>
      <c r="S8718" s="5">
        <v>420</v>
      </c>
    </row>
    <row r="8719" spans="1:19" ht="28" x14ac:dyDescent="0.15">
      <c r="A8719" s="2">
        <f>HYPERLINK("https://open-school.uspishnemisto.com.ua/school/480083/", 480083)</f>
        <v>480083</v>
      </c>
      <c r="B8719" s="3" t="s">
        <v>44674</v>
      </c>
      <c r="C8719" s="3" t="s">
        <v>40</v>
      </c>
      <c r="D8719" s="3" t="s">
        <v>32</v>
      </c>
      <c r="E8719" s="4" t="s">
        <v>22</v>
      </c>
      <c r="F8719" s="4" t="s">
        <v>44524</v>
      </c>
      <c r="G8719" s="4" t="s">
        <v>44640</v>
      </c>
      <c r="H8719" s="3" t="s">
        <v>44362</v>
      </c>
      <c r="I8719" s="3" t="s">
        <v>44641</v>
      </c>
      <c r="J8719" s="3" t="s">
        <v>44675</v>
      </c>
      <c r="K8719" s="3" t="s">
        <v>44676</v>
      </c>
      <c r="L8719" s="3"/>
      <c r="M8719" s="4"/>
      <c r="N8719" s="3" t="s">
        <v>37</v>
      </c>
      <c r="O8719" s="3" t="s">
        <v>197</v>
      </c>
      <c r="P8719" s="5">
        <v>14</v>
      </c>
      <c r="Q8719" s="5">
        <v>397</v>
      </c>
      <c r="R8719" s="5">
        <v>14</v>
      </c>
      <c r="S8719" s="5">
        <v>398</v>
      </c>
    </row>
    <row r="8720" spans="1:19" ht="28" x14ac:dyDescent="0.15">
      <c r="A8720" s="2">
        <f>HYPERLINK("https://open-school.uspishnemisto.com.ua/school/480085/", 480085)</f>
        <v>480085</v>
      </c>
      <c r="B8720" s="3" t="s">
        <v>44677</v>
      </c>
      <c r="C8720" s="3" t="s">
        <v>40</v>
      </c>
      <c r="D8720" s="3" t="s">
        <v>32</v>
      </c>
      <c r="E8720" s="4" t="s">
        <v>22</v>
      </c>
      <c r="F8720" s="4"/>
      <c r="G8720" s="4" t="s">
        <v>44678</v>
      </c>
      <c r="H8720" s="3" t="s">
        <v>44362</v>
      </c>
      <c r="I8720" s="3" t="s">
        <v>44679</v>
      </c>
      <c r="J8720" s="3" t="s">
        <v>2384</v>
      </c>
      <c r="K8720" s="3" t="s">
        <v>44680</v>
      </c>
      <c r="L8720" s="3"/>
      <c r="M8720" s="4" t="s">
        <v>44681</v>
      </c>
      <c r="N8720" s="3" t="s">
        <v>37</v>
      </c>
      <c r="O8720" s="3" t="s">
        <v>123</v>
      </c>
      <c r="P8720" s="5">
        <v>14</v>
      </c>
      <c r="Q8720" s="5">
        <v>368</v>
      </c>
      <c r="R8720" s="5">
        <v>14</v>
      </c>
      <c r="S8720" s="5">
        <v>362</v>
      </c>
    </row>
    <row r="8721" spans="1:19" ht="56" x14ac:dyDescent="0.15">
      <c r="A8721" s="2">
        <f>HYPERLINK("https://open-school.uspishnemisto.com.ua/school/480086/", 480086)</f>
        <v>480086</v>
      </c>
      <c r="B8721" s="3" t="s">
        <v>44682</v>
      </c>
      <c r="C8721" s="3" t="s">
        <v>54</v>
      </c>
      <c r="D8721" s="3" t="s">
        <v>32</v>
      </c>
      <c r="E8721" s="4" t="s">
        <v>22</v>
      </c>
      <c r="F8721" s="4" t="s">
        <v>44683</v>
      </c>
      <c r="G8721" s="4" t="s">
        <v>44678</v>
      </c>
      <c r="H8721" s="3" t="s">
        <v>44362</v>
      </c>
      <c r="I8721" s="3" t="s">
        <v>44679</v>
      </c>
      <c r="J8721" s="3" t="s">
        <v>44684</v>
      </c>
      <c r="K8721" s="3" t="s">
        <v>44685</v>
      </c>
      <c r="L8721" s="3" t="s">
        <v>44686</v>
      </c>
      <c r="M8721" s="4" t="s">
        <v>44687</v>
      </c>
      <c r="N8721" s="3" t="s">
        <v>37</v>
      </c>
      <c r="O8721" s="3" t="s">
        <v>38</v>
      </c>
      <c r="P8721" s="5">
        <v>12</v>
      </c>
      <c r="Q8721" s="5">
        <v>292</v>
      </c>
      <c r="R8721" s="5">
        <v>12</v>
      </c>
      <c r="S8721" s="5">
        <v>307</v>
      </c>
    </row>
    <row r="8722" spans="1:19" ht="28" x14ac:dyDescent="0.15">
      <c r="A8722" s="2">
        <f>HYPERLINK("https://open-school.uspishnemisto.com.ua/school/480087/", 480087)</f>
        <v>480087</v>
      </c>
      <c r="B8722" s="3" t="s">
        <v>44688</v>
      </c>
      <c r="C8722" s="3" t="s">
        <v>31</v>
      </c>
      <c r="D8722" s="3" t="s">
        <v>32</v>
      </c>
      <c r="E8722" s="4" t="s">
        <v>22</v>
      </c>
      <c r="F8722" s="4" t="s">
        <v>44683</v>
      </c>
      <c r="G8722" s="4" t="s">
        <v>44678</v>
      </c>
      <c r="H8722" s="3" t="s">
        <v>44362</v>
      </c>
      <c r="I8722" s="3" t="s">
        <v>44679</v>
      </c>
      <c r="J8722" s="3" t="s">
        <v>44689</v>
      </c>
      <c r="K8722" s="3" t="s">
        <v>44690</v>
      </c>
      <c r="L8722" s="3" t="s">
        <v>44691</v>
      </c>
      <c r="M8722" s="4" t="s">
        <v>44692</v>
      </c>
      <c r="N8722" s="3" t="s">
        <v>37</v>
      </c>
      <c r="O8722" s="3" t="s">
        <v>52</v>
      </c>
      <c r="P8722" s="5">
        <v>20</v>
      </c>
      <c r="Q8722" s="5">
        <v>454</v>
      </c>
      <c r="R8722" s="5">
        <v>20</v>
      </c>
      <c r="S8722" s="5">
        <v>464</v>
      </c>
    </row>
    <row r="8723" spans="1:19" ht="28" x14ac:dyDescent="0.15">
      <c r="A8723" s="2">
        <f>HYPERLINK("https://open-school.uspishnemisto.com.ua/school/480088/", 480088)</f>
        <v>480088</v>
      </c>
      <c r="B8723" s="3" t="s">
        <v>44693</v>
      </c>
      <c r="C8723" s="3" t="s">
        <v>31</v>
      </c>
      <c r="D8723" s="3" t="s">
        <v>32</v>
      </c>
      <c r="E8723" s="4" t="s">
        <v>22</v>
      </c>
      <c r="F8723" s="4" t="s">
        <v>44683</v>
      </c>
      <c r="G8723" s="4" t="s">
        <v>44678</v>
      </c>
      <c r="H8723" s="3" t="s">
        <v>44362</v>
      </c>
      <c r="I8723" s="3" t="s">
        <v>44679</v>
      </c>
      <c r="J8723" s="3" t="s">
        <v>44694</v>
      </c>
      <c r="K8723" s="3" t="s">
        <v>44695</v>
      </c>
      <c r="L8723" s="3"/>
      <c r="M8723" s="4" t="s">
        <v>44696</v>
      </c>
      <c r="N8723" s="3" t="s">
        <v>128</v>
      </c>
      <c r="O8723" s="3" t="s">
        <v>70</v>
      </c>
      <c r="P8723" s="5">
        <v>26</v>
      </c>
      <c r="Q8723" s="5">
        <v>726</v>
      </c>
      <c r="R8723" s="5">
        <v>27</v>
      </c>
      <c r="S8723" s="5">
        <v>729</v>
      </c>
    </row>
    <row r="8724" spans="1:19" ht="42" x14ac:dyDescent="0.15">
      <c r="A8724" s="2">
        <f>HYPERLINK("https://open-school.uspishnemisto.com.ua/school/480089/", 480089)</f>
        <v>480089</v>
      </c>
      <c r="B8724" s="3" t="s">
        <v>44697</v>
      </c>
      <c r="C8724" s="3" t="s">
        <v>31</v>
      </c>
      <c r="D8724" s="3" t="s">
        <v>32</v>
      </c>
      <c r="E8724" s="4" t="s">
        <v>22</v>
      </c>
      <c r="F8724" s="4" t="s">
        <v>44683</v>
      </c>
      <c r="G8724" s="4" t="s">
        <v>44678</v>
      </c>
      <c r="H8724" s="3" t="s">
        <v>44362</v>
      </c>
      <c r="I8724" s="3" t="s">
        <v>44679</v>
      </c>
      <c r="J8724" s="3" t="s">
        <v>6793</v>
      </c>
      <c r="K8724" s="3" t="s">
        <v>44698</v>
      </c>
      <c r="L8724" s="3" t="s">
        <v>44699</v>
      </c>
      <c r="M8724" s="4" t="s">
        <v>44700</v>
      </c>
      <c r="N8724" s="3" t="s">
        <v>37</v>
      </c>
      <c r="O8724" s="3" t="s">
        <v>52</v>
      </c>
      <c r="P8724" s="5">
        <v>18</v>
      </c>
      <c r="Q8724" s="5">
        <v>476</v>
      </c>
      <c r="R8724" s="5">
        <v>18</v>
      </c>
      <c r="S8724" s="5">
        <v>478</v>
      </c>
    </row>
    <row r="8725" spans="1:19" ht="28" x14ac:dyDescent="0.15">
      <c r="A8725" s="2">
        <f>HYPERLINK("https://open-school.uspishnemisto.com.ua/school/480090/", 480090)</f>
        <v>480090</v>
      </c>
      <c r="B8725" s="3" t="s">
        <v>44701</v>
      </c>
      <c r="C8725" s="3" t="s">
        <v>31</v>
      </c>
      <c r="D8725" s="3" t="s">
        <v>32</v>
      </c>
      <c r="E8725" s="4" t="s">
        <v>22</v>
      </c>
      <c r="F8725" s="4" t="s">
        <v>44702</v>
      </c>
      <c r="G8725" s="4" t="s">
        <v>44678</v>
      </c>
      <c r="H8725" s="3" t="s">
        <v>44362</v>
      </c>
      <c r="I8725" s="3" t="s">
        <v>44679</v>
      </c>
      <c r="J8725" s="3" t="s">
        <v>44703</v>
      </c>
      <c r="K8725" s="3" t="s">
        <v>44704</v>
      </c>
      <c r="L8725" s="3" t="s">
        <v>44705</v>
      </c>
      <c r="M8725" s="4" t="s">
        <v>44706</v>
      </c>
      <c r="N8725" s="3" t="s">
        <v>37</v>
      </c>
      <c r="O8725" s="3" t="s">
        <v>52</v>
      </c>
      <c r="P8725" s="5">
        <v>18</v>
      </c>
      <c r="Q8725" s="5">
        <v>503</v>
      </c>
      <c r="R8725" s="5">
        <v>18</v>
      </c>
      <c r="S8725" s="5">
        <v>504</v>
      </c>
    </row>
    <row r="8726" spans="1:19" ht="28" x14ac:dyDescent="0.15">
      <c r="A8726" s="2">
        <f>HYPERLINK("https://open-school.uspishnemisto.com.ua/school/480091/", 480091)</f>
        <v>480091</v>
      </c>
      <c r="B8726" s="3" t="s">
        <v>44707</v>
      </c>
      <c r="C8726" s="3" t="s">
        <v>31</v>
      </c>
      <c r="D8726" s="3" t="s">
        <v>32</v>
      </c>
      <c r="E8726" s="4" t="s">
        <v>22</v>
      </c>
      <c r="F8726" s="4" t="s">
        <v>44683</v>
      </c>
      <c r="G8726" s="4" t="s">
        <v>44678</v>
      </c>
      <c r="H8726" s="3" t="s">
        <v>44362</v>
      </c>
      <c r="I8726" s="3" t="s">
        <v>44679</v>
      </c>
      <c r="J8726" s="3" t="s">
        <v>44708</v>
      </c>
      <c r="K8726" s="3" t="s">
        <v>44709</v>
      </c>
      <c r="L8726" s="3" t="s">
        <v>44710</v>
      </c>
      <c r="M8726" s="4" t="s">
        <v>44711</v>
      </c>
      <c r="N8726" s="3" t="s">
        <v>37</v>
      </c>
      <c r="O8726" s="3" t="s">
        <v>38</v>
      </c>
      <c r="P8726" s="5">
        <v>22</v>
      </c>
      <c r="Q8726" s="5">
        <v>598</v>
      </c>
      <c r="R8726" s="5">
        <v>20</v>
      </c>
      <c r="S8726" s="5">
        <v>553</v>
      </c>
    </row>
    <row r="8727" spans="1:19" ht="28" x14ac:dyDescent="0.15">
      <c r="A8727" s="2">
        <f>HYPERLINK("https://open-school.uspishnemisto.com.ua/school/480092/", 480092)</f>
        <v>480092</v>
      </c>
      <c r="B8727" s="3" t="s">
        <v>44712</v>
      </c>
      <c r="C8727" s="3" t="s">
        <v>31</v>
      </c>
      <c r="D8727" s="3" t="s">
        <v>32</v>
      </c>
      <c r="E8727" s="4" t="s">
        <v>22</v>
      </c>
      <c r="F8727" s="4" t="s">
        <v>44683</v>
      </c>
      <c r="G8727" s="4" t="s">
        <v>44678</v>
      </c>
      <c r="H8727" s="3" t="s">
        <v>44362</v>
      </c>
      <c r="I8727" s="3" t="s">
        <v>44679</v>
      </c>
      <c r="J8727" s="3" t="s">
        <v>3213</v>
      </c>
      <c r="K8727" s="3" t="s">
        <v>44713</v>
      </c>
      <c r="L8727" s="3" t="s">
        <v>44714</v>
      </c>
      <c r="M8727" s="4" t="s">
        <v>44715</v>
      </c>
      <c r="N8727" s="3" t="s">
        <v>37</v>
      </c>
      <c r="O8727" s="3" t="s">
        <v>52</v>
      </c>
      <c r="P8727" s="5">
        <v>17</v>
      </c>
      <c r="Q8727" s="5">
        <v>392</v>
      </c>
      <c r="R8727" s="5">
        <v>16</v>
      </c>
      <c r="S8727" s="5">
        <v>356</v>
      </c>
    </row>
    <row r="8728" spans="1:19" ht="28" x14ac:dyDescent="0.15">
      <c r="A8728" s="2">
        <f>HYPERLINK("https://open-school.uspishnemisto.com.ua/school/480093/", 480093)</f>
        <v>480093</v>
      </c>
      <c r="B8728" s="3" t="s">
        <v>44716</v>
      </c>
      <c r="C8728" s="3" t="s">
        <v>31</v>
      </c>
      <c r="D8728" s="3" t="s">
        <v>32</v>
      </c>
      <c r="E8728" s="4" t="s">
        <v>22</v>
      </c>
      <c r="F8728" s="4" t="s">
        <v>44683</v>
      </c>
      <c r="G8728" s="4" t="s">
        <v>44678</v>
      </c>
      <c r="H8728" s="3" t="s">
        <v>44362</v>
      </c>
      <c r="I8728" s="3" t="s">
        <v>44679</v>
      </c>
      <c r="J8728" s="3" t="s">
        <v>25678</v>
      </c>
      <c r="K8728" s="3" t="s">
        <v>44717</v>
      </c>
      <c r="L8728" s="3" t="s">
        <v>44718</v>
      </c>
      <c r="M8728" s="4" t="s">
        <v>44719</v>
      </c>
      <c r="N8728" s="3" t="s">
        <v>37</v>
      </c>
      <c r="O8728" s="3" t="s">
        <v>38</v>
      </c>
      <c r="P8728" s="5">
        <v>14</v>
      </c>
      <c r="Q8728" s="5">
        <v>338</v>
      </c>
      <c r="R8728" s="5">
        <v>14</v>
      </c>
      <c r="S8728" s="5">
        <v>305</v>
      </c>
    </row>
    <row r="8729" spans="1:19" ht="28" x14ac:dyDescent="0.15">
      <c r="A8729" s="2">
        <f>HYPERLINK("https://open-school.uspishnemisto.com.ua/school/480094/", 480094)</f>
        <v>480094</v>
      </c>
      <c r="B8729" s="3" t="s">
        <v>44720</v>
      </c>
      <c r="C8729" s="3" t="s">
        <v>293</v>
      </c>
      <c r="D8729" s="3" t="s">
        <v>32</v>
      </c>
      <c r="E8729" s="4" t="s">
        <v>22</v>
      </c>
      <c r="F8729" s="4" t="s">
        <v>44683</v>
      </c>
      <c r="G8729" s="4" t="s">
        <v>44678</v>
      </c>
      <c r="H8729" s="3" t="s">
        <v>44362</v>
      </c>
      <c r="I8729" s="3" t="s">
        <v>44679</v>
      </c>
      <c r="J8729" s="3" t="s">
        <v>44721</v>
      </c>
      <c r="K8729" s="3" t="s">
        <v>44722</v>
      </c>
      <c r="L8729" s="3"/>
      <c r="M8729" s="4" t="s">
        <v>44723</v>
      </c>
      <c r="N8729" s="3" t="s">
        <v>37</v>
      </c>
      <c r="O8729" s="3" t="s">
        <v>46</v>
      </c>
      <c r="P8729" s="5">
        <v>11</v>
      </c>
      <c r="Q8729" s="5">
        <v>174</v>
      </c>
      <c r="R8729" s="5">
        <v>11</v>
      </c>
      <c r="S8729" s="5">
        <v>178</v>
      </c>
    </row>
    <row r="8730" spans="1:19" ht="42" x14ac:dyDescent="0.15">
      <c r="A8730" s="2">
        <f>HYPERLINK("https://open-school.uspishnemisto.com.ua/school/480095/", 480095)</f>
        <v>480095</v>
      </c>
      <c r="B8730" s="3" t="s">
        <v>44724</v>
      </c>
      <c r="C8730" s="3" t="s">
        <v>20</v>
      </c>
      <c r="D8730" s="3" t="s">
        <v>21</v>
      </c>
      <c r="E8730" s="4" t="s">
        <v>22</v>
      </c>
      <c r="F8730" s="4" t="s">
        <v>44683</v>
      </c>
      <c r="G8730" s="4" t="s">
        <v>44678</v>
      </c>
      <c r="H8730" s="3" t="s">
        <v>44362</v>
      </c>
      <c r="I8730" s="3" t="s">
        <v>44679</v>
      </c>
      <c r="J8730" s="3" t="s">
        <v>44725</v>
      </c>
      <c r="K8730" s="3" t="s">
        <v>44726</v>
      </c>
      <c r="L8730" s="3"/>
      <c r="M8730" s="4"/>
      <c r="N8730" s="3"/>
      <c r="O8730" s="3"/>
      <c r="P8730" s="5">
        <v>0</v>
      </c>
      <c r="Q8730" s="5">
        <v>0</v>
      </c>
      <c r="R8730" s="5"/>
      <c r="S8730" s="5"/>
    </row>
    <row r="8731" spans="1:19" ht="28" x14ac:dyDescent="0.15">
      <c r="A8731" s="2">
        <f>HYPERLINK("https://open-school.uspishnemisto.com.ua/school/480096/", 480096)</f>
        <v>480096</v>
      </c>
      <c r="B8731" s="3" t="s">
        <v>44727</v>
      </c>
      <c r="C8731" s="3" t="s">
        <v>244</v>
      </c>
      <c r="D8731" s="3" t="s">
        <v>60</v>
      </c>
      <c r="E8731" s="4" t="s">
        <v>22</v>
      </c>
      <c r="F8731" s="4" t="s">
        <v>44683</v>
      </c>
      <c r="G8731" s="4" t="s">
        <v>44678</v>
      </c>
      <c r="H8731" s="3" t="s">
        <v>44362</v>
      </c>
      <c r="I8731" s="3" t="s">
        <v>44679</v>
      </c>
      <c r="J8731" s="3" t="s">
        <v>2384</v>
      </c>
      <c r="K8731" s="3" t="s">
        <v>44728</v>
      </c>
      <c r="L8731" s="3"/>
      <c r="M8731" s="4" t="s">
        <v>44729</v>
      </c>
      <c r="N8731" s="3" t="s">
        <v>37</v>
      </c>
      <c r="O8731" s="3" t="s">
        <v>52</v>
      </c>
      <c r="P8731" s="5">
        <v>8</v>
      </c>
      <c r="Q8731" s="5">
        <v>250</v>
      </c>
      <c r="R8731" s="5">
        <v>8</v>
      </c>
      <c r="S8731" s="5">
        <v>254</v>
      </c>
    </row>
    <row r="8732" spans="1:19" ht="28" x14ac:dyDescent="0.15">
      <c r="A8732" s="2">
        <f>HYPERLINK("https://open-school.uspishnemisto.com.ua/school/480097/", 480097)</f>
        <v>480097</v>
      </c>
      <c r="B8732" s="3" t="s">
        <v>44730</v>
      </c>
      <c r="C8732" s="3" t="s">
        <v>181</v>
      </c>
      <c r="D8732" s="3" t="s">
        <v>175</v>
      </c>
      <c r="E8732" s="4" t="s">
        <v>22</v>
      </c>
      <c r="F8732" s="4" t="s">
        <v>44731</v>
      </c>
      <c r="G8732" s="4" t="s">
        <v>44678</v>
      </c>
      <c r="H8732" s="3" t="s">
        <v>44362</v>
      </c>
      <c r="I8732" s="3" t="s">
        <v>44679</v>
      </c>
      <c r="J8732" s="3" t="s">
        <v>44732</v>
      </c>
      <c r="K8732" s="3" t="s">
        <v>44733</v>
      </c>
      <c r="L8732" s="3" t="s">
        <v>44734</v>
      </c>
      <c r="M8732" s="4" t="s">
        <v>44735</v>
      </c>
      <c r="N8732" s="3" t="s">
        <v>37</v>
      </c>
      <c r="O8732" s="3"/>
      <c r="P8732" s="5">
        <v>14</v>
      </c>
      <c r="Q8732" s="5">
        <v>204</v>
      </c>
      <c r="R8732" s="5">
        <v>13</v>
      </c>
      <c r="S8732" s="5">
        <v>192</v>
      </c>
    </row>
    <row r="8733" spans="1:19" ht="28" x14ac:dyDescent="0.15">
      <c r="A8733" s="2">
        <f>HYPERLINK("https://open-school.uspishnemisto.com.ua/school/480098/", 480098)</f>
        <v>480098</v>
      </c>
      <c r="B8733" s="3" t="s">
        <v>44736</v>
      </c>
      <c r="C8733" s="3" t="s">
        <v>188</v>
      </c>
      <c r="D8733" s="3" t="s">
        <v>32</v>
      </c>
      <c r="E8733" s="4" t="s">
        <v>22</v>
      </c>
      <c r="F8733" s="4" t="s">
        <v>44702</v>
      </c>
      <c r="G8733" s="4" t="s">
        <v>44678</v>
      </c>
      <c r="H8733" s="3" t="s">
        <v>44362</v>
      </c>
      <c r="I8733" s="3" t="s">
        <v>44679</v>
      </c>
      <c r="J8733" s="3" t="s">
        <v>44703</v>
      </c>
      <c r="K8733" s="3" t="s">
        <v>44737</v>
      </c>
      <c r="L8733" s="3"/>
      <c r="M8733" s="4" t="s">
        <v>44738</v>
      </c>
      <c r="N8733" s="3" t="s">
        <v>37</v>
      </c>
      <c r="O8733" s="3" t="s">
        <v>52</v>
      </c>
      <c r="P8733" s="5">
        <v>4</v>
      </c>
      <c r="Q8733" s="5">
        <v>73</v>
      </c>
      <c r="R8733" s="5">
        <v>4</v>
      </c>
      <c r="S8733" s="5">
        <v>77</v>
      </c>
    </row>
    <row r="8734" spans="1:19" ht="42" x14ac:dyDescent="0.15">
      <c r="A8734" s="2">
        <f>HYPERLINK("https://open-school.uspishnemisto.com.ua/school/480099/", 480099)</f>
        <v>480099</v>
      </c>
      <c r="B8734" s="3" t="s">
        <v>44739</v>
      </c>
      <c r="C8734" s="3" t="s">
        <v>54</v>
      </c>
      <c r="D8734" s="3" t="s">
        <v>60</v>
      </c>
      <c r="E8734" s="4" t="s">
        <v>22</v>
      </c>
      <c r="F8734" s="4" t="s">
        <v>44683</v>
      </c>
      <c r="G8734" s="4" t="s">
        <v>44678</v>
      </c>
      <c r="H8734" s="3" t="s">
        <v>44362</v>
      </c>
      <c r="I8734" s="3" t="s">
        <v>44679</v>
      </c>
      <c r="J8734" s="3" t="s">
        <v>44740</v>
      </c>
      <c r="K8734" s="3" t="s">
        <v>44741</v>
      </c>
      <c r="L8734" s="3"/>
      <c r="M8734" s="4" t="s">
        <v>44742</v>
      </c>
      <c r="N8734" s="3" t="s">
        <v>37</v>
      </c>
      <c r="O8734" s="3" t="s">
        <v>52</v>
      </c>
      <c r="P8734" s="5">
        <v>4</v>
      </c>
      <c r="Q8734" s="5">
        <v>22</v>
      </c>
      <c r="R8734" s="5">
        <v>4</v>
      </c>
      <c r="S8734" s="5">
        <v>24</v>
      </c>
    </row>
    <row r="8735" spans="1:19" ht="28" x14ac:dyDescent="0.15">
      <c r="A8735" s="2">
        <f>HYPERLINK("https://open-school.uspishnemisto.com.ua/school/480100/", 480100)</f>
        <v>480100</v>
      </c>
      <c r="B8735" s="3" t="s">
        <v>44743</v>
      </c>
      <c r="C8735" s="3" t="s">
        <v>54</v>
      </c>
      <c r="D8735" s="3" t="s">
        <v>60</v>
      </c>
      <c r="E8735" s="4" t="s">
        <v>22</v>
      </c>
      <c r="F8735" s="4" t="s">
        <v>44744</v>
      </c>
      <c r="G8735" s="4" t="s">
        <v>44745</v>
      </c>
      <c r="H8735" s="3" t="s">
        <v>44362</v>
      </c>
      <c r="I8735" s="3" t="s">
        <v>44746</v>
      </c>
      <c r="J8735" s="3" t="s">
        <v>44747</v>
      </c>
      <c r="K8735" s="3" t="s">
        <v>44748</v>
      </c>
      <c r="L8735" s="3"/>
      <c r="M8735" s="4"/>
      <c r="N8735" s="3" t="s">
        <v>37</v>
      </c>
      <c r="O8735" s="3" t="s">
        <v>52</v>
      </c>
      <c r="P8735" s="5">
        <v>4</v>
      </c>
      <c r="Q8735" s="5">
        <v>106</v>
      </c>
      <c r="R8735" s="5">
        <v>4</v>
      </c>
      <c r="S8735" s="5">
        <v>96</v>
      </c>
    </row>
    <row r="8736" spans="1:19" ht="28" x14ac:dyDescent="0.15">
      <c r="A8736" s="2">
        <f>HYPERLINK("https://open-school.uspishnemisto.com.ua/school/480101/", 480101)</f>
        <v>480101</v>
      </c>
      <c r="B8736" s="3" t="s">
        <v>44749</v>
      </c>
      <c r="C8736" s="3" t="s">
        <v>2634</v>
      </c>
      <c r="D8736" s="3" t="s">
        <v>32</v>
      </c>
      <c r="E8736" s="4" t="s">
        <v>22</v>
      </c>
      <c r="F8736" s="4" t="s">
        <v>44744</v>
      </c>
      <c r="G8736" s="4" t="s">
        <v>44745</v>
      </c>
      <c r="H8736" s="3" t="s">
        <v>44362</v>
      </c>
      <c r="I8736" s="3" t="s">
        <v>44746</v>
      </c>
      <c r="J8736" s="3" t="s">
        <v>44750</v>
      </c>
      <c r="K8736" s="3" t="s">
        <v>44751</v>
      </c>
      <c r="L8736" s="3"/>
      <c r="M8736" s="4" t="s">
        <v>44752</v>
      </c>
      <c r="N8736" s="3" t="s">
        <v>37</v>
      </c>
      <c r="O8736" s="3" t="s">
        <v>52</v>
      </c>
      <c r="P8736" s="5">
        <v>10</v>
      </c>
      <c r="Q8736" s="5">
        <v>109</v>
      </c>
      <c r="R8736" s="5">
        <v>11</v>
      </c>
      <c r="S8736" s="5">
        <v>98</v>
      </c>
    </row>
    <row r="8737" spans="1:19" ht="28" x14ac:dyDescent="0.15">
      <c r="A8737" s="2">
        <f>HYPERLINK("https://open-school.uspishnemisto.com.ua/school/480102/", 480102)</f>
        <v>480102</v>
      </c>
      <c r="B8737" s="3" t="s">
        <v>44753</v>
      </c>
      <c r="C8737" s="3" t="s">
        <v>31</v>
      </c>
      <c r="D8737" s="3" t="s">
        <v>32</v>
      </c>
      <c r="E8737" s="4" t="s">
        <v>22</v>
      </c>
      <c r="F8737" s="4" t="s">
        <v>44744</v>
      </c>
      <c r="G8737" s="4" t="s">
        <v>44745</v>
      </c>
      <c r="H8737" s="3" t="s">
        <v>44362</v>
      </c>
      <c r="I8737" s="3" t="s">
        <v>44746</v>
      </c>
      <c r="J8737" s="3" t="s">
        <v>44754</v>
      </c>
      <c r="K8737" s="3" t="s">
        <v>44755</v>
      </c>
      <c r="L8737" s="3" t="s">
        <v>44756</v>
      </c>
      <c r="M8737" s="4"/>
      <c r="N8737" s="3" t="s">
        <v>128</v>
      </c>
      <c r="O8737" s="3" t="s">
        <v>38</v>
      </c>
      <c r="P8737" s="5">
        <v>19</v>
      </c>
      <c r="Q8737" s="5">
        <v>453</v>
      </c>
      <c r="R8737" s="5">
        <v>18</v>
      </c>
      <c r="S8737" s="5">
        <v>444</v>
      </c>
    </row>
    <row r="8738" spans="1:19" ht="28" x14ac:dyDescent="0.15">
      <c r="A8738" s="2">
        <f>HYPERLINK("https://open-school.uspishnemisto.com.ua/school/480103/", 480103)</f>
        <v>480103</v>
      </c>
      <c r="B8738" s="3" t="s">
        <v>44757</v>
      </c>
      <c r="C8738" s="3" t="s">
        <v>31</v>
      </c>
      <c r="D8738" s="3" t="s">
        <v>32</v>
      </c>
      <c r="E8738" s="4" t="s">
        <v>22</v>
      </c>
      <c r="F8738" s="4" t="s">
        <v>44744</v>
      </c>
      <c r="G8738" s="4" t="s">
        <v>44745</v>
      </c>
      <c r="H8738" s="3" t="s">
        <v>44362</v>
      </c>
      <c r="I8738" s="3" t="s">
        <v>44746</v>
      </c>
      <c r="J8738" s="3" t="s">
        <v>44758</v>
      </c>
      <c r="K8738" s="3" t="s">
        <v>44759</v>
      </c>
      <c r="L8738" s="3"/>
      <c r="M8738" s="4"/>
      <c r="N8738" s="3" t="s">
        <v>37</v>
      </c>
      <c r="O8738" s="3" t="s">
        <v>46</v>
      </c>
      <c r="P8738" s="5">
        <v>14</v>
      </c>
      <c r="Q8738" s="5">
        <v>359</v>
      </c>
      <c r="R8738" s="5">
        <v>11</v>
      </c>
      <c r="S8738" s="5">
        <v>280</v>
      </c>
    </row>
    <row r="8739" spans="1:19" ht="28" x14ac:dyDescent="0.15">
      <c r="A8739" s="2">
        <f>HYPERLINK("https://open-school.uspishnemisto.com.ua/school/480105/", 480105)</f>
        <v>480105</v>
      </c>
      <c r="B8739" s="3" t="s">
        <v>44760</v>
      </c>
      <c r="C8739" s="3" t="s">
        <v>31</v>
      </c>
      <c r="D8739" s="3" t="s">
        <v>32</v>
      </c>
      <c r="E8739" s="4" t="s">
        <v>22</v>
      </c>
      <c r="F8739" s="4" t="s">
        <v>44744</v>
      </c>
      <c r="G8739" s="4" t="s">
        <v>44745</v>
      </c>
      <c r="H8739" s="3" t="s">
        <v>44362</v>
      </c>
      <c r="I8739" s="3" t="s">
        <v>44746</v>
      </c>
      <c r="J8739" s="3" t="s">
        <v>44761</v>
      </c>
      <c r="K8739" s="3" t="s">
        <v>44762</v>
      </c>
      <c r="L8739" s="3"/>
      <c r="M8739" s="4"/>
      <c r="N8739" s="3" t="s">
        <v>37</v>
      </c>
      <c r="O8739" s="3" t="s">
        <v>721</v>
      </c>
      <c r="P8739" s="5">
        <v>15</v>
      </c>
      <c r="Q8739" s="5">
        <v>369</v>
      </c>
      <c r="R8739" s="5">
        <v>14</v>
      </c>
      <c r="S8739" s="5">
        <v>370</v>
      </c>
    </row>
    <row r="8740" spans="1:19" ht="28" x14ac:dyDescent="0.15">
      <c r="A8740" s="2">
        <f>HYPERLINK("https://open-school.uspishnemisto.com.ua/school/480106/", 480106)</f>
        <v>480106</v>
      </c>
      <c r="B8740" s="3" t="s">
        <v>44763</v>
      </c>
      <c r="C8740" s="3" t="s">
        <v>54</v>
      </c>
      <c r="D8740" s="3" t="s">
        <v>60</v>
      </c>
      <c r="E8740" s="4" t="s">
        <v>22</v>
      </c>
      <c r="F8740" s="4" t="s">
        <v>44764</v>
      </c>
      <c r="G8740" s="4" t="s">
        <v>44765</v>
      </c>
      <c r="H8740" s="3" t="s">
        <v>44362</v>
      </c>
      <c r="I8740" s="3" t="s">
        <v>36775</v>
      </c>
      <c r="J8740" s="3" t="s">
        <v>44766</v>
      </c>
      <c r="K8740" s="3" t="s">
        <v>44767</v>
      </c>
      <c r="L8740" s="3"/>
      <c r="M8740" s="4"/>
      <c r="N8740" s="3" t="s">
        <v>37</v>
      </c>
      <c r="O8740" s="3" t="s">
        <v>52</v>
      </c>
      <c r="P8740" s="5">
        <v>4</v>
      </c>
      <c r="Q8740" s="5">
        <v>95</v>
      </c>
      <c r="R8740" s="5">
        <v>4</v>
      </c>
      <c r="S8740" s="5">
        <v>94</v>
      </c>
    </row>
    <row r="8741" spans="1:19" ht="28" x14ac:dyDescent="0.15">
      <c r="A8741" s="2">
        <f>HYPERLINK("https://open-school.uspishnemisto.com.ua/school/480107/", 480107)</f>
        <v>480107</v>
      </c>
      <c r="B8741" s="3" t="s">
        <v>44768</v>
      </c>
      <c r="C8741" s="3" t="s">
        <v>20</v>
      </c>
      <c r="D8741" s="3" t="s">
        <v>21</v>
      </c>
      <c r="E8741" s="4" t="s">
        <v>22</v>
      </c>
      <c r="F8741" s="4" t="s">
        <v>44769</v>
      </c>
      <c r="G8741" s="4" t="s">
        <v>44765</v>
      </c>
      <c r="H8741" s="3" t="s">
        <v>44362</v>
      </c>
      <c r="I8741" s="3" t="s">
        <v>36775</v>
      </c>
      <c r="J8741" s="3" t="s">
        <v>44770</v>
      </c>
      <c r="K8741" s="3" t="s">
        <v>44771</v>
      </c>
      <c r="L8741" s="3"/>
      <c r="M8741" s="4"/>
      <c r="N8741" s="3"/>
      <c r="O8741" s="3"/>
      <c r="P8741" s="5">
        <v>0</v>
      </c>
      <c r="Q8741" s="5">
        <v>0</v>
      </c>
      <c r="R8741" s="5"/>
      <c r="S8741" s="5"/>
    </row>
    <row r="8742" spans="1:19" ht="28" x14ac:dyDescent="0.15">
      <c r="A8742" s="2">
        <f>HYPERLINK("https://open-school.uspishnemisto.com.ua/school/480108/", 480108)</f>
        <v>480108</v>
      </c>
      <c r="B8742" s="3" t="s">
        <v>44772</v>
      </c>
      <c r="C8742" s="3" t="s">
        <v>40</v>
      </c>
      <c r="D8742" s="3" t="s">
        <v>32</v>
      </c>
      <c r="E8742" s="4" t="s">
        <v>22</v>
      </c>
      <c r="F8742" s="4" t="s">
        <v>44773</v>
      </c>
      <c r="G8742" s="4" t="s">
        <v>44765</v>
      </c>
      <c r="H8742" s="3" t="s">
        <v>44362</v>
      </c>
      <c r="I8742" s="3" t="s">
        <v>36775</v>
      </c>
      <c r="J8742" s="3" t="s">
        <v>44774</v>
      </c>
      <c r="K8742" s="3" t="s">
        <v>44775</v>
      </c>
      <c r="L8742" s="3"/>
      <c r="M8742" s="4"/>
      <c r="N8742" s="3" t="s">
        <v>37</v>
      </c>
      <c r="O8742" s="3" t="s">
        <v>38</v>
      </c>
      <c r="P8742" s="5">
        <v>14</v>
      </c>
      <c r="Q8742" s="5">
        <v>385</v>
      </c>
      <c r="R8742" s="5">
        <v>13</v>
      </c>
      <c r="S8742" s="5">
        <v>370</v>
      </c>
    </row>
    <row r="8743" spans="1:19" ht="28" x14ac:dyDescent="0.15">
      <c r="A8743" s="2">
        <f>HYPERLINK("https://open-school.uspishnemisto.com.ua/school/480109/", 480109)</f>
        <v>480109</v>
      </c>
      <c r="B8743" s="3" t="s">
        <v>44776</v>
      </c>
      <c r="C8743" s="3" t="s">
        <v>31</v>
      </c>
      <c r="D8743" s="3" t="s">
        <v>60</v>
      </c>
      <c r="E8743" s="4" t="s">
        <v>22</v>
      </c>
      <c r="F8743" s="4" t="s">
        <v>44769</v>
      </c>
      <c r="G8743" s="4" t="s">
        <v>44765</v>
      </c>
      <c r="H8743" s="3" t="s">
        <v>44362</v>
      </c>
      <c r="I8743" s="3" t="s">
        <v>36775</v>
      </c>
      <c r="J8743" s="3" t="s">
        <v>44777</v>
      </c>
      <c r="K8743" s="3" t="s">
        <v>44778</v>
      </c>
      <c r="L8743" s="3"/>
      <c r="M8743" s="4"/>
      <c r="N8743" s="3" t="s">
        <v>37</v>
      </c>
      <c r="O8743" s="3" t="s">
        <v>52</v>
      </c>
      <c r="P8743" s="5">
        <v>8</v>
      </c>
      <c r="Q8743" s="5">
        <v>248</v>
      </c>
      <c r="R8743" s="5">
        <v>8</v>
      </c>
      <c r="S8743" s="5">
        <v>239</v>
      </c>
    </row>
    <row r="8744" spans="1:19" ht="28" x14ac:dyDescent="0.15">
      <c r="A8744" s="2">
        <f>HYPERLINK("https://open-school.uspishnemisto.com.ua/school/480110/", 480110)</f>
        <v>480110</v>
      </c>
      <c r="B8744" s="3" t="s">
        <v>44779</v>
      </c>
      <c r="C8744" s="3" t="s">
        <v>31</v>
      </c>
      <c r="D8744" s="3" t="s">
        <v>175</v>
      </c>
      <c r="E8744" s="4" t="s">
        <v>22</v>
      </c>
      <c r="F8744" s="4" t="s">
        <v>44780</v>
      </c>
      <c r="G8744" s="4" t="s">
        <v>44765</v>
      </c>
      <c r="H8744" s="3" t="s">
        <v>44362</v>
      </c>
      <c r="I8744" s="3" t="s">
        <v>36775</v>
      </c>
      <c r="J8744" s="3" t="s">
        <v>44781</v>
      </c>
      <c r="K8744" s="3" t="s">
        <v>44782</v>
      </c>
      <c r="L8744" s="3"/>
      <c r="M8744" s="4"/>
      <c r="N8744" s="3" t="s">
        <v>37</v>
      </c>
      <c r="O8744" s="3" t="s">
        <v>38</v>
      </c>
      <c r="P8744" s="5">
        <v>9</v>
      </c>
      <c r="Q8744" s="5">
        <v>149</v>
      </c>
      <c r="R8744" s="5">
        <v>9</v>
      </c>
      <c r="S8744" s="5">
        <v>152</v>
      </c>
    </row>
    <row r="8745" spans="1:19" ht="28" x14ac:dyDescent="0.15">
      <c r="A8745" s="2">
        <f>HYPERLINK("https://open-school.uspishnemisto.com.ua/school/480111/", 480111)</f>
        <v>480111</v>
      </c>
      <c r="B8745" s="3" t="s">
        <v>44783</v>
      </c>
      <c r="C8745" s="3" t="s">
        <v>31</v>
      </c>
      <c r="D8745" s="3" t="s">
        <v>175</v>
      </c>
      <c r="E8745" s="4" t="s">
        <v>22</v>
      </c>
      <c r="F8745" s="4" t="s">
        <v>44769</v>
      </c>
      <c r="G8745" s="4" t="s">
        <v>44765</v>
      </c>
      <c r="H8745" s="3" t="s">
        <v>44362</v>
      </c>
      <c r="I8745" s="3" t="s">
        <v>36775</v>
      </c>
      <c r="J8745" s="3" t="s">
        <v>44784</v>
      </c>
      <c r="K8745" s="3" t="s">
        <v>44785</v>
      </c>
      <c r="L8745" s="3"/>
      <c r="M8745" s="4"/>
      <c r="N8745" s="3" t="s">
        <v>37</v>
      </c>
      <c r="O8745" s="3" t="s">
        <v>38</v>
      </c>
      <c r="P8745" s="5">
        <v>9</v>
      </c>
      <c r="Q8745" s="5">
        <v>177</v>
      </c>
      <c r="R8745" s="5">
        <v>9</v>
      </c>
      <c r="S8745" s="5">
        <v>173</v>
      </c>
    </row>
    <row r="8746" spans="1:19" ht="42" x14ac:dyDescent="0.15">
      <c r="A8746" s="2">
        <f>HYPERLINK("https://open-school.uspishnemisto.com.ua/school/480112/", 480112)</f>
        <v>480112</v>
      </c>
      <c r="B8746" s="3" t="s">
        <v>44786</v>
      </c>
      <c r="C8746" s="3" t="s">
        <v>31</v>
      </c>
      <c r="D8746" s="3" t="s">
        <v>32</v>
      </c>
      <c r="E8746" s="4" t="s">
        <v>22</v>
      </c>
      <c r="F8746" s="4" t="s">
        <v>44787</v>
      </c>
      <c r="G8746" s="4" t="s">
        <v>44765</v>
      </c>
      <c r="H8746" s="3" t="s">
        <v>44362</v>
      </c>
      <c r="I8746" s="3" t="s">
        <v>36775</v>
      </c>
      <c r="J8746" s="3" t="s">
        <v>44788</v>
      </c>
      <c r="K8746" s="3" t="s">
        <v>44789</v>
      </c>
      <c r="L8746" s="3"/>
      <c r="M8746" s="4"/>
      <c r="N8746" s="3" t="s">
        <v>37</v>
      </c>
      <c r="O8746" s="3" t="s">
        <v>38</v>
      </c>
      <c r="P8746" s="5">
        <v>17</v>
      </c>
      <c r="Q8746" s="5">
        <v>429</v>
      </c>
      <c r="R8746" s="5">
        <v>17</v>
      </c>
      <c r="S8746" s="5">
        <v>428</v>
      </c>
    </row>
    <row r="8747" spans="1:19" ht="28" x14ac:dyDescent="0.15">
      <c r="A8747" s="2">
        <f>HYPERLINK("https://open-school.uspishnemisto.com.ua/school/480113/", 480113)</f>
        <v>480113</v>
      </c>
      <c r="B8747" s="3" t="s">
        <v>44790</v>
      </c>
      <c r="C8747" s="3" t="s">
        <v>31</v>
      </c>
      <c r="D8747" s="3" t="s">
        <v>32</v>
      </c>
      <c r="E8747" s="4" t="s">
        <v>22</v>
      </c>
      <c r="F8747" s="4" t="s">
        <v>44773</v>
      </c>
      <c r="G8747" s="4" t="s">
        <v>44765</v>
      </c>
      <c r="H8747" s="3" t="s">
        <v>44362</v>
      </c>
      <c r="I8747" s="3" t="s">
        <v>36775</v>
      </c>
      <c r="J8747" s="3" t="s">
        <v>44791</v>
      </c>
      <c r="K8747" s="3" t="s">
        <v>44792</v>
      </c>
      <c r="L8747" s="3" t="s">
        <v>44793</v>
      </c>
      <c r="M8747" s="4"/>
      <c r="N8747" s="3" t="s">
        <v>37</v>
      </c>
      <c r="O8747" s="3" t="s">
        <v>70</v>
      </c>
      <c r="P8747" s="5">
        <v>32</v>
      </c>
      <c r="Q8747" s="5">
        <v>909</v>
      </c>
      <c r="R8747" s="5">
        <v>32</v>
      </c>
      <c r="S8747" s="5">
        <v>900</v>
      </c>
    </row>
    <row r="8748" spans="1:19" ht="28" x14ac:dyDescent="0.15">
      <c r="A8748" s="2">
        <f>HYPERLINK("https://open-school.uspishnemisto.com.ua/school/480114/", 480114)</f>
        <v>480114</v>
      </c>
      <c r="B8748" s="3" t="s">
        <v>44794</v>
      </c>
      <c r="C8748" s="3" t="s">
        <v>31</v>
      </c>
      <c r="D8748" s="3" t="s">
        <v>32</v>
      </c>
      <c r="E8748" s="4" t="s">
        <v>22</v>
      </c>
      <c r="F8748" s="4" t="s">
        <v>44773</v>
      </c>
      <c r="G8748" s="4" t="s">
        <v>44765</v>
      </c>
      <c r="H8748" s="3" t="s">
        <v>44362</v>
      </c>
      <c r="I8748" s="3" t="s">
        <v>36775</v>
      </c>
      <c r="J8748" s="3" t="s">
        <v>44795</v>
      </c>
      <c r="K8748" s="3" t="s">
        <v>44796</v>
      </c>
      <c r="L8748" s="3" t="s">
        <v>44797</v>
      </c>
      <c r="M8748" s="4"/>
      <c r="N8748" s="3" t="s">
        <v>37</v>
      </c>
      <c r="O8748" s="3" t="s">
        <v>52</v>
      </c>
      <c r="P8748" s="5">
        <v>21</v>
      </c>
      <c r="Q8748" s="5">
        <v>563</v>
      </c>
      <c r="R8748" s="5">
        <v>19</v>
      </c>
      <c r="S8748" s="5">
        <v>501</v>
      </c>
    </row>
    <row r="8749" spans="1:19" ht="28" x14ac:dyDescent="0.15">
      <c r="A8749" s="2">
        <f>HYPERLINK("https://open-school.uspishnemisto.com.ua/school/480115/", 480115)</f>
        <v>480115</v>
      </c>
      <c r="B8749" s="3" t="s">
        <v>44798</v>
      </c>
      <c r="C8749" s="3" t="s">
        <v>31</v>
      </c>
      <c r="D8749" s="3" t="s">
        <v>32</v>
      </c>
      <c r="E8749" s="4" t="s">
        <v>22</v>
      </c>
      <c r="F8749" s="4" t="s">
        <v>44769</v>
      </c>
      <c r="G8749" s="4" t="s">
        <v>44765</v>
      </c>
      <c r="H8749" s="3" t="s">
        <v>44362</v>
      </c>
      <c r="I8749" s="3" t="s">
        <v>36775</v>
      </c>
      <c r="J8749" s="3" t="s">
        <v>44799</v>
      </c>
      <c r="K8749" s="3" t="s">
        <v>44800</v>
      </c>
      <c r="L8749" s="3" t="s">
        <v>44801</v>
      </c>
      <c r="M8749" s="4"/>
      <c r="N8749" s="3" t="s">
        <v>37</v>
      </c>
      <c r="O8749" s="3" t="s">
        <v>46</v>
      </c>
      <c r="P8749" s="5">
        <v>16</v>
      </c>
      <c r="Q8749" s="5">
        <v>390</v>
      </c>
      <c r="R8749" s="5">
        <v>16</v>
      </c>
      <c r="S8749" s="5">
        <v>388</v>
      </c>
    </row>
    <row r="8750" spans="1:19" ht="42" x14ac:dyDescent="0.15">
      <c r="A8750" s="2">
        <f>HYPERLINK("https://open-school.uspishnemisto.com.ua/school/480116/", 480116)</f>
        <v>480116</v>
      </c>
      <c r="B8750" s="3" t="s">
        <v>44802</v>
      </c>
      <c r="C8750" s="3" t="s">
        <v>31</v>
      </c>
      <c r="D8750" s="3" t="s">
        <v>32</v>
      </c>
      <c r="E8750" s="4" t="s">
        <v>22</v>
      </c>
      <c r="F8750" s="4" t="s">
        <v>44769</v>
      </c>
      <c r="G8750" s="4" t="s">
        <v>44765</v>
      </c>
      <c r="H8750" s="3" t="s">
        <v>44362</v>
      </c>
      <c r="I8750" s="3" t="s">
        <v>36775</v>
      </c>
      <c r="J8750" s="3" t="s">
        <v>44803</v>
      </c>
      <c r="K8750" s="3" t="s">
        <v>44804</v>
      </c>
      <c r="L8750" s="3"/>
      <c r="M8750" s="4"/>
      <c r="N8750" s="3" t="s">
        <v>37</v>
      </c>
      <c r="O8750" s="3" t="s">
        <v>52</v>
      </c>
      <c r="P8750" s="5">
        <v>26</v>
      </c>
      <c r="Q8750" s="5">
        <v>733</v>
      </c>
      <c r="R8750" s="5">
        <v>25</v>
      </c>
      <c r="S8750" s="5">
        <v>714</v>
      </c>
    </row>
    <row r="8751" spans="1:19" ht="28" x14ac:dyDescent="0.15">
      <c r="A8751" s="2">
        <f>HYPERLINK("https://open-school.uspishnemisto.com.ua/school/480117/", 480117)</f>
        <v>480117</v>
      </c>
      <c r="B8751" s="3" t="s">
        <v>44805</v>
      </c>
      <c r="C8751" s="3" t="s">
        <v>31</v>
      </c>
      <c r="D8751" s="3" t="s">
        <v>32</v>
      </c>
      <c r="E8751" s="4" t="s">
        <v>22</v>
      </c>
      <c r="F8751" s="4" t="s">
        <v>44773</v>
      </c>
      <c r="G8751" s="4" t="s">
        <v>44765</v>
      </c>
      <c r="H8751" s="3" t="s">
        <v>44362</v>
      </c>
      <c r="I8751" s="3" t="s">
        <v>36775</v>
      </c>
      <c r="J8751" s="3" t="s">
        <v>44806</v>
      </c>
      <c r="K8751" s="3" t="s">
        <v>44807</v>
      </c>
      <c r="L8751" s="3" t="s">
        <v>44808</v>
      </c>
      <c r="M8751" s="4"/>
      <c r="N8751" s="3" t="s">
        <v>37</v>
      </c>
      <c r="O8751" s="3" t="s">
        <v>38</v>
      </c>
      <c r="P8751" s="5">
        <v>9</v>
      </c>
      <c r="Q8751" s="5">
        <v>190</v>
      </c>
      <c r="R8751" s="5">
        <v>9</v>
      </c>
      <c r="S8751" s="5">
        <v>175</v>
      </c>
    </row>
    <row r="8752" spans="1:19" ht="28" x14ac:dyDescent="0.15">
      <c r="A8752" s="2">
        <f>HYPERLINK("https://open-school.uspishnemisto.com.ua/school/480118/", 480118)</f>
        <v>480118</v>
      </c>
      <c r="B8752" s="3" t="s">
        <v>44809</v>
      </c>
      <c r="C8752" s="3" t="s">
        <v>31</v>
      </c>
      <c r="D8752" s="3" t="s">
        <v>32</v>
      </c>
      <c r="E8752" s="4" t="s">
        <v>22</v>
      </c>
      <c r="F8752" s="4" t="s">
        <v>44810</v>
      </c>
      <c r="G8752" s="4" t="s">
        <v>44765</v>
      </c>
      <c r="H8752" s="3" t="s">
        <v>44362</v>
      </c>
      <c r="I8752" s="3" t="s">
        <v>36775</v>
      </c>
      <c r="J8752" s="3" t="s">
        <v>44811</v>
      </c>
      <c r="K8752" s="3" t="s">
        <v>44812</v>
      </c>
      <c r="L8752" s="3" t="s">
        <v>44813</v>
      </c>
      <c r="M8752" s="4"/>
      <c r="N8752" s="3" t="s">
        <v>37</v>
      </c>
      <c r="O8752" s="3" t="s">
        <v>52</v>
      </c>
      <c r="P8752" s="5">
        <v>26</v>
      </c>
      <c r="Q8752" s="5">
        <v>748</v>
      </c>
      <c r="R8752" s="5">
        <v>25</v>
      </c>
      <c r="S8752" s="5">
        <v>738</v>
      </c>
    </row>
    <row r="8753" spans="1:19" ht="28" x14ac:dyDescent="0.15">
      <c r="A8753" s="2">
        <f>HYPERLINK("https://open-school.uspishnemisto.com.ua/school/480119/", 480119)</f>
        <v>480119</v>
      </c>
      <c r="B8753" s="3" t="s">
        <v>44814</v>
      </c>
      <c r="C8753" s="3" t="s">
        <v>31</v>
      </c>
      <c r="D8753" s="3" t="s">
        <v>32</v>
      </c>
      <c r="E8753" s="4" t="s">
        <v>22</v>
      </c>
      <c r="F8753" s="4" t="s">
        <v>44815</v>
      </c>
      <c r="G8753" s="4" t="s">
        <v>44765</v>
      </c>
      <c r="H8753" s="3" t="s">
        <v>44362</v>
      </c>
      <c r="I8753" s="3" t="s">
        <v>36775</v>
      </c>
      <c r="J8753" s="3" t="s">
        <v>44816</v>
      </c>
      <c r="K8753" s="3" t="s">
        <v>44817</v>
      </c>
      <c r="L8753" s="3"/>
      <c r="M8753" s="4"/>
      <c r="N8753" s="3" t="s">
        <v>37</v>
      </c>
      <c r="O8753" s="3" t="s">
        <v>38</v>
      </c>
      <c r="P8753" s="5">
        <v>9</v>
      </c>
      <c r="Q8753" s="5">
        <v>194</v>
      </c>
      <c r="R8753" s="5">
        <v>9</v>
      </c>
      <c r="S8753" s="5">
        <v>190</v>
      </c>
    </row>
    <row r="8754" spans="1:19" ht="28" x14ac:dyDescent="0.15">
      <c r="A8754" s="2">
        <f>HYPERLINK("https://open-school.uspishnemisto.com.ua/school/480120/", 480120)</f>
        <v>480120</v>
      </c>
      <c r="B8754" s="3" t="s">
        <v>44818</v>
      </c>
      <c r="C8754" s="3" t="s">
        <v>31</v>
      </c>
      <c r="D8754" s="3" t="s">
        <v>32</v>
      </c>
      <c r="E8754" s="4" t="s">
        <v>253</v>
      </c>
      <c r="F8754" s="4" t="s">
        <v>44819</v>
      </c>
      <c r="G8754" s="4" t="s">
        <v>44765</v>
      </c>
      <c r="H8754" s="3" t="s">
        <v>44362</v>
      </c>
      <c r="I8754" s="3" t="s">
        <v>36775</v>
      </c>
      <c r="J8754" s="3" t="s">
        <v>33307</v>
      </c>
      <c r="K8754" s="3" t="s">
        <v>44820</v>
      </c>
      <c r="L8754" s="3" t="s">
        <v>44821</v>
      </c>
      <c r="M8754" s="4"/>
      <c r="N8754" s="3" t="s">
        <v>37</v>
      </c>
      <c r="O8754" s="3" t="s">
        <v>38</v>
      </c>
      <c r="P8754" s="5">
        <v>16</v>
      </c>
      <c r="Q8754" s="5">
        <v>360</v>
      </c>
      <c r="R8754" s="5">
        <v>16</v>
      </c>
      <c r="S8754" s="5">
        <v>366</v>
      </c>
    </row>
    <row r="8755" spans="1:19" ht="28" x14ac:dyDescent="0.15">
      <c r="A8755" s="2">
        <f>HYPERLINK("https://open-school.uspishnemisto.com.ua/school/480121/", 480121)</f>
        <v>480121</v>
      </c>
      <c r="B8755" s="3" t="s">
        <v>44822</v>
      </c>
      <c r="C8755" s="3" t="s">
        <v>181</v>
      </c>
      <c r="D8755" s="3" t="s">
        <v>32</v>
      </c>
      <c r="E8755" s="4" t="s">
        <v>22</v>
      </c>
      <c r="F8755" s="4" t="s">
        <v>44773</v>
      </c>
      <c r="G8755" s="4" t="s">
        <v>44765</v>
      </c>
      <c r="H8755" s="3" t="s">
        <v>44362</v>
      </c>
      <c r="I8755" s="3" t="s">
        <v>36775</v>
      </c>
      <c r="J8755" s="3" t="s">
        <v>44823</v>
      </c>
      <c r="K8755" s="3" t="s">
        <v>44824</v>
      </c>
      <c r="L8755" s="3"/>
      <c r="M8755" s="4" t="s">
        <v>44825</v>
      </c>
      <c r="N8755" s="3" t="s">
        <v>37</v>
      </c>
      <c r="O8755" s="3"/>
      <c r="P8755" s="5">
        <v>9</v>
      </c>
      <c r="Q8755" s="5">
        <v>112</v>
      </c>
      <c r="R8755" s="5">
        <v>9</v>
      </c>
      <c r="S8755" s="5">
        <v>104</v>
      </c>
    </row>
    <row r="8756" spans="1:19" ht="42" x14ac:dyDescent="0.15">
      <c r="A8756" s="2">
        <f>HYPERLINK("https://open-school.uspishnemisto.com.ua/school/480122/", 480122)</f>
        <v>480122</v>
      </c>
      <c r="B8756" s="3" t="s">
        <v>44826</v>
      </c>
      <c r="C8756" s="3" t="s">
        <v>54</v>
      </c>
      <c r="D8756" s="3" t="s">
        <v>32</v>
      </c>
      <c r="E8756" s="4" t="s">
        <v>22</v>
      </c>
      <c r="F8756" s="4" t="s">
        <v>44827</v>
      </c>
      <c r="G8756" s="4" t="s">
        <v>44765</v>
      </c>
      <c r="H8756" s="3" t="s">
        <v>44362</v>
      </c>
      <c r="I8756" s="3" t="s">
        <v>36775</v>
      </c>
      <c r="J8756" s="3" t="s">
        <v>44828</v>
      </c>
      <c r="K8756" s="3" t="s">
        <v>44829</v>
      </c>
      <c r="L8756" s="3"/>
      <c r="M8756" s="4"/>
      <c r="N8756" s="3" t="s">
        <v>37</v>
      </c>
      <c r="O8756" s="3" t="s">
        <v>38</v>
      </c>
      <c r="P8756" s="5">
        <v>34</v>
      </c>
      <c r="Q8756" s="5">
        <v>941</v>
      </c>
      <c r="R8756" s="5">
        <v>34</v>
      </c>
      <c r="S8756" s="5">
        <v>955</v>
      </c>
    </row>
    <row r="8757" spans="1:19" ht="28" x14ac:dyDescent="0.15">
      <c r="A8757" s="2">
        <f>HYPERLINK("https://open-school.uspishnemisto.com.ua/school/480123/", 480123)</f>
        <v>480123</v>
      </c>
      <c r="B8757" s="3" t="s">
        <v>44830</v>
      </c>
      <c r="C8757" s="3" t="s">
        <v>40</v>
      </c>
      <c r="D8757" s="3" t="s">
        <v>32</v>
      </c>
      <c r="E8757" s="4" t="s">
        <v>22</v>
      </c>
      <c r="F8757" s="4" t="s">
        <v>44831</v>
      </c>
      <c r="G8757" s="4" t="s">
        <v>44832</v>
      </c>
      <c r="H8757" s="3" t="s">
        <v>44362</v>
      </c>
      <c r="I8757" s="3" t="s">
        <v>44833</v>
      </c>
      <c r="J8757" s="3" t="s">
        <v>44834</v>
      </c>
      <c r="K8757" s="3" t="s">
        <v>44835</v>
      </c>
      <c r="L8757" s="3" t="s">
        <v>44836</v>
      </c>
      <c r="M8757" s="4"/>
      <c r="N8757" s="3" t="s">
        <v>37</v>
      </c>
      <c r="O8757" s="3" t="s">
        <v>123</v>
      </c>
      <c r="P8757" s="5">
        <v>17</v>
      </c>
      <c r="Q8757" s="5">
        <v>349</v>
      </c>
      <c r="R8757" s="5">
        <v>18</v>
      </c>
      <c r="S8757" s="5">
        <v>365</v>
      </c>
    </row>
    <row r="8758" spans="1:19" ht="42" x14ac:dyDescent="0.15">
      <c r="A8758" s="2">
        <f>HYPERLINK("https://open-school.uspishnemisto.com.ua/school/480124/", 480124)</f>
        <v>480124</v>
      </c>
      <c r="B8758" s="3" t="s">
        <v>44837</v>
      </c>
      <c r="C8758" s="3" t="s">
        <v>31</v>
      </c>
      <c r="D8758" s="3" t="s">
        <v>32</v>
      </c>
      <c r="E8758" s="4" t="s">
        <v>22</v>
      </c>
      <c r="F8758" s="4" t="s">
        <v>44838</v>
      </c>
      <c r="G8758" s="4" t="s">
        <v>44832</v>
      </c>
      <c r="H8758" s="3" t="s">
        <v>44362</v>
      </c>
      <c r="I8758" s="3" t="s">
        <v>44833</v>
      </c>
      <c r="J8758" s="3" t="s">
        <v>44839</v>
      </c>
      <c r="K8758" s="3" t="s">
        <v>44840</v>
      </c>
      <c r="L8758" s="3"/>
      <c r="M8758" s="4"/>
      <c r="N8758" s="3" t="s">
        <v>128</v>
      </c>
      <c r="O8758" s="3" t="s">
        <v>721</v>
      </c>
      <c r="P8758" s="5">
        <v>43</v>
      </c>
      <c r="Q8758" s="5">
        <v>1031</v>
      </c>
      <c r="R8758" s="5">
        <v>41</v>
      </c>
      <c r="S8758" s="5">
        <v>958</v>
      </c>
    </row>
    <row r="8759" spans="1:19" ht="28" x14ac:dyDescent="0.15">
      <c r="A8759" s="2">
        <f>HYPERLINK("https://open-school.uspishnemisto.com.ua/school/480125/", 480125)</f>
        <v>480125</v>
      </c>
      <c r="B8759" s="3" t="s">
        <v>44841</v>
      </c>
      <c r="C8759" s="3" t="s">
        <v>31</v>
      </c>
      <c r="D8759" s="3" t="s">
        <v>32</v>
      </c>
      <c r="E8759" s="4" t="s">
        <v>22</v>
      </c>
      <c r="F8759" s="4" t="s">
        <v>44842</v>
      </c>
      <c r="G8759" s="4" t="s">
        <v>44832</v>
      </c>
      <c r="H8759" s="3" t="s">
        <v>44362</v>
      </c>
      <c r="I8759" s="3" t="s">
        <v>44833</v>
      </c>
      <c r="J8759" s="3" t="s">
        <v>44843</v>
      </c>
      <c r="K8759" s="3" t="s">
        <v>44844</v>
      </c>
      <c r="L8759" s="3" t="s">
        <v>44845</v>
      </c>
      <c r="M8759" s="4"/>
      <c r="N8759" s="3" t="s">
        <v>37</v>
      </c>
      <c r="O8759" s="3" t="s">
        <v>46</v>
      </c>
      <c r="P8759" s="5">
        <v>26</v>
      </c>
      <c r="Q8759" s="5">
        <v>655</v>
      </c>
      <c r="R8759" s="5">
        <v>24</v>
      </c>
      <c r="S8759" s="5">
        <v>630</v>
      </c>
    </row>
    <row r="8760" spans="1:19" ht="42" x14ac:dyDescent="0.15">
      <c r="A8760" s="2">
        <f>HYPERLINK("https://open-school.uspishnemisto.com.ua/school/480126/", 480126)</f>
        <v>480126</v>
      </c>
      <c r="B8760" s="3" t="s">
        <v>44846</v>
      </c>
      <c r="C8760" s="3" t="s">
        <v>31</v>
      </c>
      <c r="D8760" s="3" t="s">
        <v>32</v>
      </c>
      <c r="E8760" s="4" t="s">
        <v>22</v>
      </c>
      <c r="F8760" s="4" t="s">
        <v>44831</v>
      </c>
      <c r="G8760" s="4" t="s">
        <v>44832</v>
      </c>
      <c r="H8760" s="3" t="s">
        <v>44362</v>
      </c>
      <c r="I8760" s="3" t="s">
        <v>44833</v>
      </c>
      <c r="J8760" s="3" t="s">
        <v>44847</v>
      </c>
      <c r="K8760" s="3" t="s">
        <v>44848</v>
      </c>
      <c r="L8760" s="3"/>
      <c r="M8760" s="4"/>
      <c r="N8760" s="3" t="s">
        <v>37</v>
      </c>
      <c r="O8760" s="3" t="s">
        <v>197</v>
      </c>
      <c r="P8760" s="5">
        <v>27</v>
      </c>
      <c r="Q8760" s="5">
        <v>642</v>
      </c>
      <c r="R8760" s="5">
        <v>27</v>
      </c>
      <c r="S8760" s="5">
        <v>622</v>
      </c>
    </row>
    <row r="8761" spans="1:19" ht="28" x14ac:dyDescent="0.15">
      <c r="A8761" s="2">
        <f>HYPERLINK("https://open-school.uspishnemisto.com.ua/school/480127/", 480127)</f>
        <v>480127</v>
      </c>
      <c r="B8761" s="3" t="s">
        <v>44849</v>
      </c>
      <c r="C8761" s="3" t="s">
        <v>31</v>
      </c>
      <c r="D8761" s="3" t="s">
        <v>32</v>
      </c>
      <c r="E8761" s="4" t="s">
        <v>22</v>
      </c>
      <c r="F8761" s="4" t="s">
        <v>44842</v>
      </c>
      <c r="G8761" s="4" t="s">
        <v>44832</v>
      </c>
      <c r="H8761" s="3" t="s">
        <v>44362</v>
      </c>
      <c r="I8761" s="3" t="s">
        <v>44833</v>
      </c>
      <c r="J8761" s="3" t="s">
        <v>44850</v>
      </c>
      <c r="K8761" s="3" t="s">
        <v>44851</v>
      </c>
      <c r="L8761" s="3"/>
      <c r="M8761" s="4"/>
      <c r="N8761" s="3" t="s">
        <v>37</v>
      </c>
      <c r="O8761" s="3" t="s">
        <v>197</v>
      </c>
      <c r="P8761" s="5">
        <v>42</v>
      </c>
      <c r="Q8761" s="5">
        <v>1138</v>
      </c>
      <c r="R8761" s="5">
        <v>42</v>
      </c>
      <c r="S8761" s="5">
        <v>1117</v>
      </c>
    </row>
    <row r="8762" spans="1:19" ht="42" x14ac:dyDescent="0.15">
      <c r="A8762" s="2">
        <f>HYPERLINK("https://open-school.uspishnemisto.com.ua/school/480128/", 480128)</f>
        <v>480128</v>
      </c>
      <c r="B8762" s="3" t="s">
        <v>44852</v>
      </c>
      <c r="C8762" s="3" t="s">
        <v>31</v>
      </c>
      <c r="D8762" s="3" t="s">
        <v>32</v>
      </c>
      <c r="E8762" s="4" t="s">
        <v>22</v>
      </c>
      <c r="F8762" s="4" t="s">
        <v>44853</v>
      </c>
      <c r="G8762" s="4" t="s">
        <v>44854</v>
      </c>
      <c r="H8762" s="3" t="s">
        <v>44362</v>
      </c>
      <c r="I8762" s="3" t="s">
        <v>44855</v>
      </c>
      <c r="J8762" s="3" t="s">
        <v>44856</v>
      </c>
      <c r="K8762" s="3" t="s">
        <v>44857</v>
      </c>
      <c r="L8762" s="3"/>
      <c r="M8762" s="4"/>
      <c r="N8762" s="3" t="s">
        <v>37</v>
      </c>
      <c r="O8762" s="3" t="s">
        <v>197</v>
      </c>
      <c r="P8762" s="5">
        <v>29</v>
      </c>
      <c r="Q8762" s="5">
        <v>499</v>
      </c>
      <c r="R8762" s="5">
        <v>15</v>
      </c>
      <c r="S8762" s="5">
        <v>313</v>
      </c>
    </row>
    <row r="8763" spans="1:19" ht="28" x14ac:dyDescent="0.15">
      <c r="A8763" s="2">
        <f>HYPERLINK("https://open-school.uspishnemisto.com.ua/school/480129/", 480129)</f>
        <v>480129</v>
      </c>
      <c r="B8763" s="3" t="s">
        <v>44858</v>
      </c>
      <c r="C8763" s="3" t="s">
        <v>31</v>
      </c>
      <c r="D8763" s="3" t="s">
        <v>32</v>
      </c>
      <c r="E8763" s="4" t="s">
        <v>22</v>
      </c>
      <c r="F8763" s="4" t="s">
        <v>44853</v>
      </c>
      <c r="G8763" s="4" t="s">
        <v>44854</v>
      </c>
      <c r="H8763" s="3" t="s">
        <v>44362</v>
      </c>
      <c r="I8763" s="3" t="s">
        <v>44855</v>
      </c>
      <c r="J8763" s="3" t="s">
        <v>44859</v>
      </c>
      <c r="K8763" s="3" t="s">
        <v>44860</v>
      </c>
      <c r="L8763" s="3"/>
      <c r="M8763" s="4"/>
      <c r="N8763" s="3" t="s">
        <v>37</v>
      </c>
      <c r="O8763" s="3" t="s">
        <v>2740</v>
      </c>
      <c r="P8763" s="5">
        <v>11</v>
      </c>
      <c r="Q8763" s="5">
        <v>240</v>
      </c>
      <c r="R8763" s="5">
        <v>11</v>
      </c>
      <c r="S8763" s="5">
        <v>239</v>
      </c>
    </row>
    <row r="8764" spans="1:19" ht="56" x14ac:dyDescent="0.15">
      <c r="A8764" s="2">
        <f>HYPERLINK("https://open-school.uspishnemisto.com.ua/school/480130/", 480130)</f>
        <v>480130</v>
      </c>
      <c r="B8764" s="3" t="s">
        <v>44861</v>
      </c>
      <c r="C8764" s="3" t="s">
        <v>54</v>
      </c>
      <c r="D8764" s="3" t="s">
        <v>60</v>
      </c>
      <c r="E8764" s="4" t="s">
        <v>22</v>
      </c>
      <c r="F8764" s="4" t="s">
        <v>44853</v>
      </c>
      <c r="G8764" s="4" t="s">
        <v>44854</v>
      </c>
      <c r="H8764" s="3" t="s">
        <v>44362</v>
      </c>
      <c r="I8764" s="3" t="s">
        <v>44855</v>
      </c>
      <c r="J8764" s="3" t="s">
        <v>44862</v>
      </c>
      <c r="K8764" s="3" t="s">
        <v>44863</v>
      </c>
      <c r="L8764" s="3"/>
      <c r="M8764" s="4"/>
      <c r="N8764" s="3" t="s">
        <v>37</v>
      </c>
      <c r="O8764" s="3" t="s">
        <v>52</v>
      </c>
      <c r="P8764" s="5">
        <v>5</v>
      </c>
      <c r="Q8764" s="5">
        <v>109</v>
      </c>
      <c r="R8764" s="5">
        <v>6</v>
      </c>
      <c r="S8764" s="5">
        <v>146</v>
      </c>
    </row>
    <row r="8765" spans="1:19" ht="28" x14ac:dyDescent="0.15">
      <c r="A8765" s="2">
        <f>HYPERLINK("https://open-school.uspishnemisto.com.ua/school/480131/", 480131)</f>
        <v>480131</v>
      </c>
      <c r="B8765" s="3" t="s">
        <v>44864</v>
      </c>
      <c r="C8765" s="3" t="s">
        <v>31</v>
      </c>
      <c r="D8765" s="3" t="s">
        <v>175</v>
      </c>
      <c r="E8765" s="4" t="s">
        <v>22</v>
      </c>
      <c r="F8765" s="4" t="s">
        <v>44865</v>
      </c>
      <c r="G8765" s="4" t="s">
        <v>44866</v>
      </c>
      <c r="H8765" s="3" t="s">
        <v>44362</v>
      </c>
      <c r="I8765" s="3" t="s">
        <v>16840</v>
      </c>
      <c r="J8765" s="3" t="s">
        <v>2191</v>
      </c>
      <c r="K8765" s="3" t="s">
        <v>44867</v>
      </c>
      <c r="L8765" s="3"/>
      <c r="M8765" s="4"/>
      <c r="N8765" s="3" t="s">
        <v>37</v>
      </c>
      <c r="O8765" s="3" t="s">
        <v>618</v>
      </c>
      <c r="P8765" s="5">
        <v>0</v>
      </c>
      <c r="Q8765" s="5">
        <v>0</v>
      </c>
      <c r="R8765" s="5">
        <v>4</v>
      </c>
      <c r="S8765" s="5">
        <v>39</v>
      </c>
    </row>
    <row r="8766" spans="1:19" ht="28" x14ac:dyDescent="0.15">
      <c r="A8766" s="2">
        <f>HYPERLINK("https://open-school.uspishnemisto.com.ua/school/480132/", 480132)</f>
        <v>480132</v>
      </c>
      <c r="B8766" s="3" t="s">
        <v>44868</v>
      </c>
      <c r="C8766" s="3" t="s">
        <v>31</v>
      </c>
      <c r="D8766" s="3" t="s">
        <v>32</v>
      </c>
      <c r="E8766" s="4" t="s">
        <v>22</v>
      </c>
      <c r="F8766" s="4" t="s">
        <v>44869</v>
      </c>
      <c r="G8766" s="4" t="s">
        <v>44870</v>
      </c>
      <c r="H8766" s="3" t="s">
        <v>44362</v>
      </c>
      <c r="I8766" s="3" t="s">
        <v>2179</v>
      </c>
      <c r="J8766" s="3" t="s">
        <v>639</v>
      </c>
      <c r="K8766" s="3" t="s">
        <v>44871</v>
      </c>
      <c r="L8766" s="3"/>
      <c r="M8766" s="4"/>
      <c r="N8766" s="3" t="s">
        <v>37</v>
      </c>
      <c r="O8766" s="3" t="s">
        <v>52</v>
      </c>
      <c r="P8766" s="5">
        <v>10</v>
      </c>
      <c r="Q8766" s="5">
        <v>173</v>
      </c>
      <c r="R8766" s="5">
        <v>10</v>
      </c>
      <c r="S8766" s="5">
        <v>174</v>
      </c>
    </row>
    <row r="8767" spans="1:19" ht="28" x14ac:dyDescent="0.15">
      <c r="A8767" s="2">
        <f>HYPERLINK("https://open-school.uspishnemisto.com.ua/school/480133/", 480133)</f>
        <v>480133</v>
      </c>
      <c r="B8767" s="3" t="s">
        <v>44872</v>
      </c>
      <c r="C8767" s="3" t="s">
        <v>31</v>
      </c>
      <c r="D8767" s="3" t="s">
        <v>32</v>
      </c>
      <c r="E8767" s="4" t="s">
        <v>22</v>
      </c>
      <c r="F8767" s="4" t="s">
        <v>44873</v>
      </c>
      <c r="G8767" s="4" t="s">
        <v>44874</v>
      </c>
      <c r="H8767" s="3" t="s">
        <v>44362</v>
      </c>
      <c r="I8767" s="3" t="s">
        <v>44875</v>
      </c>
      <c r="J8767" s="3" t="s">
        <v>1946</v>
      </c>
      <c r="K8767" s="3" t="s">
        <v>44876</v>
      </c>
      <c r="L8767" s="3"/>
      <c r="M8767" s="4"/>
      <c r="N8767" s="3" t="s">
        <v>37</v>
      </c>
      <c r="O8767" s="3" t="s">
        <v>52</v>
      </c>
      <c r="P8767" s="5">
        <v>11</v>
      </c>
      <c r="Q8767" s="5">
        <v>132</v>
      </c>
      <c r="R8767" s="5">
        <v>11</v>
      </c>
      <c r="S8767" s="5">
        <v>130</v>
      </c>
    </row>
    <row r="8768" spans="1:19" ht="42" x14ac:dyDescent="0.15">
      <c r="A8768" s="2">
        <f>HYPERLINK("https://open-school.uspishnemisto.com.ua/school/480134/", 480134)</f>
        <v>480134</v>
      </c>
      <c r="B8768" s="3" t="s">
        <v>44877</v>
      </c>
      <c r="C8768" s="3" t="s">
        <v>31</v>
      </c>
      <c r="D8768" s="3" t="s">
        <v>32</v>
      </c>
      <c r="E8768" s="4" t="s">
        <v>22</v>
      </c>
      <c r="F8768" s="4" t="s">
        <v>44878</v>
      </c>
      <c r="G8768" s="4" t="s">
        <v>44879</v>
      </c>
      <c r="H8768" s="3" t="s">
        <v>44362</v>
      </c>
      <c r="I8768" s="3" t="s">
        <v>5088</v>
      </c>
      <c r="J8768" s="3" t="s">
        <v>44880</v>
      </c>
      <c r="K8768" s="3" t="s">
        <v>44881</v>
      </c>
      <c r="L8768" s="3"/>
      <c r="M8768" s="4"/>
      <c r="N8768" s="3" t="s">
        <v>37</v>
      </c>
      <c r="O8768" s="3" t="s">
        <v>2740</v>
      </c>
      <c r="P8768" s="5">
        <v>11</v>
      </c>
      <c r="Q8768" s="5">
        <v>155</v>
      </c>
      <c r="R8768" s="5">
        <v>10</v>
      </c>
      <c r="S8768" s="5">
        <v>151</v>
      </c>
    </row>
    <row r="8769" spans="1:19" ht="28" x14ac:dyDescent="0.15">
      <c r="A8769" s="2">
        <f>HYPERLINK("https://open-school.uspishnemisto.com.ua/school/480135/", 480135)</f>
        <v>480135</v>
      </c>
      <c r="B8769" s="3" t="s">
        <v>44882</v>
      </c>
      <c r="C8769" s="3" t="s">
        <v>31</v>
      </c>
      <c r="D8769" s="3" t="s">
        <v>32</v>
      </c>
      <c r="E8769" s="4" t="s">
        <v>22</v>
      </c>
      <c r="F8769" s="4" t="s">
        <v>44883</v>
      </c>
      <c r="G8769" s="4" t="s">
        <v>44884</v>
      </c>
      <c r="H8769" s="3" t="s">
        <v>44362</v>
      </c>
      <c r="I8769" s="3" t="s">
        <v>38116</v>
      </c>
      <c r="J8769" s="3" t="s">
        <v>718</v>
      </c>
      <c r="K8769" s="3" t="s">
        <v>44885</v>
      </c>
      <c r="L8769" s="3"/>
      <c r="M8769" s="4"/>
      <c r="N8769" s="3" t="s">
        <v>37</v>
      </c>
      <c r="O8769" s="3" t="s">
        <v>52</v>
      </c>
      <c r="P8769" s="5">
        <v>11</v>
      </c>
      <c r="Q8769" s="5">
        <v>184</v>
      </c>
      <c r="R8769" s="5">
        <v>11</v>
      </c>
      <c r="S8769" s="5">
        <v>178</v>
      </c>
    </row>
    <row r="8770" spans="1:19" ht="28" x14ac:dyDescent="0.15">
      <c r="A8770" s="2">
        <f>HYPERLINK("https://open-school.uspishnemisto.com.ua/school/480136/", 480136)</f>
        <v>480136</v>
      </c>
      <c r="B8770" s="3" t="s">
        <v>44886</v>
      </c>
      <c r="C8770" s="3" t="s">
        <v>31</v>
      </c>
      <c r="D8770" s="3" t="s">
        <v>32</v>
      </c>
      <c r="E8770" s="4" t="s">
        <v>22</v>
      </c>
      <c r="F8770" s="4" t="s">
        <v>44887</v>
      </c>
      <c r="G8770" s="4" t="s">
        <v>44888</v>
      </c>
      <c r="H8770" s="3" t="s">
        <v>44362</v>
      </c>
      <c r="I8770" s="3" t="s">
        <v>883</v>
      </c>
      <c r="J8770" s="3" t="s">
        <v>1636</v>
      </c>
      <c r="K8770" s="3" t="s">
        <v>44889</v>
      </c>
      <c r="L8770" s="3"/>
      <c r="M8770" s="4"/>
      <c r="N8770" s="3" t="s">
        <v>37</v>
      </c>
      <c r="O8770" s="3" t="s">
        <v>618</v>
      </c>
      <c r="P8770" s="5">
        <v>6</v>
      </c>
      <c r="Q8770" s="5">
        <v>51</v>
      </c>
      <c r="R8770" s="5">
        <v>7</v>
      </c>
      <c r="S8770" s="5">
        <v>61</v>
      </c>
    </row>
    <row r="8771" spans="1:19" ht="56" x14ac:dyDescent="0.15">
      <c r="A8771" s="2">
        <f>HYPERLINK("https://open-school.uspishnemisto.com.ua/school/480137/", 480137)</f>
        <v>480137</v>
      </c>
      <c r="B8771" s="3" t="s">
        <v>44890</v>
      </c>
      <c r="C8771" s="3" t="s">
        <v>31</v>
      </c>
      <c r="D8771" s="3" t="s">
        <v>175</v>
      </c>
      <c r="E8771" s="4" t="s">
        <v>22</v>
      </c>
      <c r="F8771" s="4" t="s">
        <v>44891</v>
      </c>
      <c r="G8771" s="4" t="s">
        <v>44892</v>
      </c>
      <c r="H8771" s="3" t="s">
        <v>44362</v>
      </c>
      <c r="I8771" s="3" t="s">
        <v>44893</v>
      </c>
      <c r="J8771" s="3" t="s">
        <v>44894</v>
      </c>
      <c r="K8771" s="3" t="s">
        <v>44895</v>
      </c>
      <c r="L8771" s="3"/>
      <c r="M8771" s="4"/>
      <c r="N8771" s="3" t="s">
        <v>37</v>
      </c>
      <c r="O8771" s="3" t="s">
        <v>52</v>
      </c>
      <c r="P8771" s="5">
        <v>0</v>
      </c>
      <c r="Q8771" s="5">
        <v>0</v>
      </c>
      <c r="R8771" s="5">
        <v>9</v>
      </c>
      <c r="S8771" s="5">
        <v>70</v>
      </c>
    </row>
    <row r="8772" spans="1:19" ht="28" x14ac:dyDescent="0.15">
      <c r="A8772" s="2">
        <f>HYPERLINK("https://open-school.uspishnemisto.com.ua/school/480138/", 480138)</f>
        <v>480138</v>
      </c>
      <c r="B8772" s="3" t="s">
        <v>44896</v>
      </c>
      <c r="C8772" s="3" t="s">
        <v>31</v>
      </c>
      <c r="D8772" s="3" t="s">
        <v>32</v>
      </c>
      <c r="E8772" s="4" t="s">
        <v>22</v>
      </c>
      <c r="F8772" s="4" t="s">
        <v>44897</v>
      </c>
      <c r="G8772" s="4" t="s">
        <v>44898</v>
      </c>
      <c r="H8772" s="3" t="s">
        <v>44362</v>
      </c>
      <c r="I8772" s="3" t="s">
        <v>44899</v>
      </c>
      <c r="J8772" s="3" t="s">
        <v>44900</v>
      </c>
      <c r="K8772" s="3" t="s">
        <v>44901</v>
      </c>
      <c r="L8772" s="3"/>
      <c r="M8772" s="4"/>
      <c r="N8772" s="3" t="s">
        <v>37</v>
      </c>
      <c r="O8772" s="3" t="s">
        <v>52</v>
      </c>
      <c r="P8772" s="5">
        <v>10</v>
      </c>
      <c r="Q8772" s="5">
        <v>123</v>
      </c>
      <c r="R8772" s="5">
        <v>10</v>
      </c>
      <c r="S8772" s="5">
        <v>117</v>
      </c>
    </row>
    <row r="8773" spans="1:19" ht="28" x14ac:dyDescent="0.15">
      <c r="A8773" s="2">
        <f>HYPERLINK("https://open-school.uspishnemisto.com.ua/school/480139/", 480139)</f>
        <v>480139</v>
      </c>
      <c r="B8773" s="3" t="s">
        <v>44902</v>
      </c>
      <c r="C8773" s="3" t="s">
        <v>31</v>
      </c>
      <c r="D8773" s="3" t="s">
        <v>32</v>
      </c>
      <c r="E8773" s="4" t="s">
        <v>22</v>
      </c>
      <c r="F8773" s="4" t="s">
        <v>44903</v>
      </c>
      <c r="G8773" s="4" t="s">
        <v>44904</v>
      </c>
      <c r="H8773" s="3" t="s">
        <v>44362</v>
      </c>
      <c r="I8773" s="3" t="s">
        <v>2900</v>
      </c>
      <c r="J8773" s="3" t="s">
        <v>946</v>
      </c>
      <c r="K8773" s="3"/>
      <c r="L8773" s="3"/>
      <c r="M8773" s="4"/>
      <c r="N8773" s="3" t="s">
        <v>37</v>
      </c>
      <c r="O8773" s="3" t="s">
        <v>52</v>
      </c>
      <c r="P8773" s="5">
        <v>11</v>
      </c>
      <c r="Q8773" s="5">
        <v>115</v>
      </c>
      <c r="R8773" s="5">
        <v>11</v>
      </c>
      <c r="S8773" s="5">
        <v>86</v>
      </c>
    </row>
    <row r="8774" spans="1:19" ht="28" x14ac:dyDescent="0.15">
      <c r="A8774" s="2">
        <f>HYPERLINK("https://open-school.uspishnemisto.com.ua/school/480141/", 480141)</f>
        <v>480141</v>
      </c>
      <c r="B8774" s="3" t="s">
        <v>44905</v>
      </c>
      <c r="C8774" s="3" t="s">
        <v>31</v>
      </c>
      <c r="D8774" s="3" t="s">
        <v>32</v>
      </c>
      <c r="E8774" s="4" t="s">
        <v>22</v>
      </c>
      <c r="F8774" s="4" t="s">
        <v>44906</v>
      </c>
      <c r="G8774" s="4" t="s">
        <v>44907</v>
      </c>
      <c r="H8774" s="3" t="s">
        <v>44362</v>
      </c>
      <c r="I8774" s="3" t="s">
        <v>44908</v>
      </c>
      <c r="J8774" s="3" t="s">
        <v>44909</v>
      </c>
      <c r="K8774" s="3" t="s">
        <v>44910</v>
      </c>
      <c r="L8774" s="3" t="s">
        <v>44911</v>
      </c>
      <c r="M8774" s="4"/>
      <c r="N8774" s="3" t="s">
        <v>37</v>
      </c>
      <c r="O8774" s="3" t="s">
        <v>618</v>
      </c>
      <c r="P8774" s="5">
        <v>4</v>
      </c>
      <c r="Q8774" s="5">
        <v>42</v>
      </c>
      <c r="R8774" s="5">
        <v>4</v>
      </c>
      <c r="S8774" s="5">
        <v>35</v>
      </c>
    </row>
    <row r="8775" spans="1:19" ht="28" x14ac:dyDescent="0.15">
      <c r="A8775" s="2">
        <f>HYPERLINK("https://open-school.uspishnemisto.com.ua/school/480142/", 480142)</f>
        <v>480142</v>
      </c>
      <c r="B8775" s="3" t="s">
        <v>44912</v>
      </c>
      <c r="C8775" s="3" t="s">
        <v>31</v>
      </c>
      <c r="D8775" s="3" t="s">
        <v>32</v>
      </c>
      <c r="E8775" s="4" t="s">
        <v>22</v>
      </c>
      <c r="F8775" s="4" t="s">
        <v>44913</v>
      </c>
      <c r="G8775" s="4" t="s">
        <v>44914</v>
      </c>
      <c r="H8775" s="3" t="s">
        <v>44362</v>
      </c>
      <c r="I8775" s="3" t="s">
        <v>18131</v>
      </c>
      <c r="J8775" s="3" t="s">
        <v>1636</v>
      </c>
      <c r="K8775" s="3" t="s">
        <v>44915</v>
      </c>
      <c r="L8775" s="3"/>
      <c r="M8775" s="4"/>
      <c r="N8775" s="3" t="s">
        <v>37</v>
      </c>
      <c r="O8775" s="3" t="s">
        <v>52</v>
      </c>
      <c r="P8775" s="5">
        <v>10</v>
      </c>
      <c r="Q8775" s="5">
        <v>104</v>
      </c>
      <c r="R8775" s="5">
        <v>10</v>
      </c>
      <c r="S8775" s="5">
        <v>104</v>
      </c>
    </row>
    <row r="8776" spans="1:19" ht="28" x14ac:dyDescent="0.15">
      <c r="A8776" s="2">
        <f>HYPERLINK("https://open-school.uspishnemisto.com.ua/school/480143/", 480143)</f>
        <v>480143</v>
      </c>
      <c r="B8776" s="3" t="s">
        <v>44916</v>
      </c>
      <c r="C8776" s="3" t="s">
        <v>31</v>
      </c>
      <c r="D8776" s="3" t="s">
        <v>32</v>
      </c>
      <c r="E8776" s="4" t="s">
        <v>22</v>
      </c>
      <c r="F8776" s="4" t="s">
        <v>44917</v>
      </c>
      <c r="G8776" s="4" t="s">
        <v>44918</v>
      </c>
      <c r="H8776" s="3" t="s">
        <v>44362</v>
      </c>
      <c r="I8776" s="3" t="s">
        <v>11605</v>
      </c>
      <c r="J8776" s="3" t="s">
        <v>15561</v>
      </c>
      <c r="K8776" s="3"/>
      <c r="L8776" s="3"/>
      <c r="M8776" s="4"/>
      <c r="N8776" s="3" t="s">
        <v>37</v>
      </c>
      <c r="O8776" s="3" t="s">
        <v>2740</v>
      </c>
      <c r="P8776" s="5">
        <v>11</v>
      </c>
      <c r="Q8776" s="5">
        <v>144</v>
      </c>
      <c r="R8776" s="5">
        <v>11</v>
      </c>
      <c r="S8776" s="5">
        <v>142</v>
      </c>
    </row>
    <row r="8777" spans="1:19" ht="28" x14ac:dyDescent="0.15">
      <c r="A8777" s="2">
        <f>HYPERLINK("https://open-school.uspishnemisto.com.ua/school/480144/", 480144)</f>
        <v>480144</v>
      </c>
      <c r="B8777" s="3" t="s">
        <v>44919</v>
      </c>
      <c r="C8777" s="3" t="s">
        <v>40</v>
      </c>
      <c r="D8777" s="3" t="s">
        <v>32</v>
      </c>
      <c r="E8777" s="4" t="s">
        <v>22</v>
      </c>
      <c r="F8777" s="4" t="s">
        <v>44920</v>
      </c>
      <c r="G8777" s="4" t="s">
        <v>44921</v>
      </c>
      <c r="H8777" s="3" t="s">
        <v>44362</v>
      </c>
      <c r="I8777" s="3" t="s">
        <v>44922</v>
      </c>
      <c r="J8777" s="3" t="s">
        <v>44923</v>
      </c>
      <c r="K8777" s="3" t="s">
        <v>44924</v>
      </c>
      <c r="L8777" s="3"/>
      <c r="M8777" s="4"/>
      <c r="N8777" s="3" t="s">
        <v>37</v>
      </c>
      <c r="O8777" s="3" t="s">
        <v>52</v>
      </c>
      <c r="P8777" s="5">
        <v>9</v>
      </c>
      <c r="Q8777" s="5">
        <v>190</v>
      </c>
      <c r="R8777" s="5">
        <v>9</v>
      </c>
      <c r="S8777" s="5">
        <v>190</v>
      </c>
    </row>
    <row r="8778" spans="1:19" ht="28" x14ac:dyDescent="0.15">
      <c r="A8778" s="2">
        <f>HYPERLINK("https://open-school.uspishnemisto.com.ua/school/480145/", 480145)</f>
        <v>480145</v>
      </c>
      <c r="B8778" s="3" t="s">
        <v>44925</v>
      </c>
      <c r="C8778" s="3" t="s">
        <v>31</v>
      </c>
      <c r="D8778" s="3" t="s">
        <v>32</v>
      </c>
      <c r="E8778" s="4" t="s">
        <v>22</v>
      </c>
      <c r="F8778" s="4" t="s">
        <v>44920</v>
      </c>
      <c r="G8778" s="4" t="s">
        <v>44921</v>
      </c>
      <c r="H8778" s="3" t="s">
        <v>44362</v>
      </c>
      <c r="I8778" s="3" t="s">
        <v>44922</v>
      </c>
      <c r="J8778" s="3" t="s">
        <v>44926</v>
      </c>
      <c r="K8778" s="3"/>
      <c r="L8778" s="3"/>
      <c r="M8778" s="4"/>
      <c r="N8778" s="3" t="s">
        <v>37</v>
      </c>
      <c r="O8778" s="3" t="s">
        <v>46</v>
      </c>
      <c r="P8778" s="5">
        <v>23</v>
      </c>
      <c r="Q8778" s="5">
        <v>492</v>
      </c>
      <c r="R8778" s="5">
        <v>23</v>
      </c>
      <c r="S8778" s="5">
        <v>502</v>
      </c>
    </row>
    <row r="8779" spans="1:19" ht="28" x14ac:dyDescent="0.15">
      <c r="A8779" s="2">
        <f>HYPERLINK("https://open-school.uspishnemisto.com.ua/school/480146/", 480146)</f>
        <v>480146</v>
      </c>
      <c r="B8779" s="3" t="s">
        <v>44927</v>
      </c>
      <c r="C8779" s="3" t="s">
        <v>31</v>
      </c>
      <c r="D8779" s="3" t="s">
        <v>32</v>
      </c>
      <c r="E8779" s="4" t="s">
        <v>22</v>
      </c>
      <c r="F8779" s="4" t="s">
        <v>44920</v>
      </c>
      <c r="G8779" s="4" t="s">
        <v>44921</v>
      </c>
      <c r="H8779" s="3" t="s">
        <v>44362</v>
      </c>
      <c r="I8779" s="3" t="s">
        <v>44922</v>
      </c>
      <c r="J8779" s="3" t="s">
        <v>44928</v>
      </c>
      <c r="K8779" s="3" t="s">
        <v>44929</v>
      </c>
      <c r="L8779" s="3" t="s">
        <v>44930</v>
      </c>
      <c r="M8779" s="4"/>
      <c r="N8779" s="3" t="s">
        <v>37</v>
      </c>
      <c r="O8779" s="3" t="s">
        <v>46</v>
      </c>
      <c r="P8779" s="5">
        <v>32</v>
      </c>
      <c r="Q8779" s="5">
        <v>873</v>
      </c>
      <c r="R8779" s="5">
        <v>32</v>
      </c>
      <c r="S8779" s="5">
        <v>846</v>
      </c>
    </row>
    <row r="8780" spans="1:19" ht="28" x14ac:dyDescent="0.15">
      <c r="A8780" s="2">
        <f>HYPERLINK("https://open-school.uspishnemisto.com.ua/school/480147/", 480147)</f>
        <v>480147</v>
      </c>
      <c r="B8780" s="3" t="s">
        <v>44931</v>
      </c>
      <c r="C8780" s="3" t="s">
        <v>31</v>
      </c>
      <c r="D8780" s="3" t="s">
        <v>32</v>
      </c>
      <c r="E8780" s="4" t="s">
        <v>22</v>
      </c>
      <c r="F8780" s="4" t="s">
        <v>44932</v>
      </c>
      <c r="G8780" s="4" t="s">
        <v>44933</v>
      </c>
      <c r="H8780" s="3" t="s">
        <v>44362</v>
      </c>
      <c r="I8780" s="3" t="s">
        <v>5860</v>
      </c>
      <c r="J8780" s="3" t="s">
        <v>18253</v>
      </c>
      <c r="K8780" s="3" t="s">
        <v>44934</v>
      </c>
      <c r="L8780" s="3"/>
      <c r="M8780" s="4"/>
      <c r="N8780" s="3" t="s">
        <v>37</v>
      </c>
      <c r="O8780" s="3" t="s">
        <v>52</v>
      </c>
      <c r="P8780" s="5">
        <v>10</v>
      </c>
      <c r="Q8780" s="5">
        <v>147</v>
      </c>
      <c r="R8780" s="5">
        <v>10</v>
      </c>
      <c r="S8780" s="5">
        <v>144</v>
      </c>
    </row>
    <row r="8781" spans="1:19" ht="28" x14ac:dyDescent="0.15">
      <c r="A8781" s="2">
        <f>HYPERLINK("https://open-school.uspishnemisto.com.ua/school/480148/", 480148)</f>
        <v>480148</v>
      </c>
      <c r="B8781" s="3" t="s">
        <v>44935</v>
      </c>
      <c r="C8781" s="3" t="s">
        <v>31</v>
      </c>
      <c r="D8781" s="3" t="s">
        <v>32</v>
      </c>
      <c r="E8781" s="4" t="s">
        <v>22</v>
      </c>
      <c r="F8781" s="4" t="s">
        <v>44932</v>
      </c>
      <c r="G8781" s="4" t="s">
        <v>44936</v>
      </c>
      <c r="H8781" s="3" t="s">
        <v>44362</v>
      </c>
      <c r="I8781" s="3" t="s">
        <v>44937</v>
      </c>
      <c r="J8781" s="3" t="s">
        <v>44938</v>
      </c>
      <c r="K8781" s="3" t="s">
        <v>44939</v>
      </c>
      <c r="L8781" s="3"/>
      <c r="M8781" s="4"/>
      <c r="N8781" s="3" t="s">
        <v>37</v>
      </c>
      <c r="O8781" s="3" t="s">
        <v>38</v>
      </c>
      <c r="P8781" s="5">
        <v>11</v>
      </c>
      <c r="Q8781" s="5">
        <v>137</v>
      </c>
      <c r="R8781" s="5">
        <v>11</v>
      </c>
      <c r="S8781" s="5">
        <v>133</v>
      </c>
    </row>
    <row r="8782" spans="1:19" ht="28" x14ac:dyDescent="0.15">
      <c r="A8782" s="2">
        <f>HYPERLINK("https://open-school.uspishnemisto.com.ua/school/480149/", 480149)</f>
        <v>480149</v>
      </c>
      <c r="B8782" s="3" t="s">
        <v>44940</v>
      </c>
      <c r="C8782" s="3" t="s">
        <v>31</v>
      </c>
      <c r="D8782" s="3" t="s">
        <v>32</v>
      </c>
      <c r="E8782" s="4" t="s">
        <v>22</v>
      </c>
      <c r="F8782" s="4" t="s">
        <v>44941</v>
      </c>
      <c r="G8782" s="4" t="s">
        <v>44942</v>
      </c>
      <c r="H8782" s="3" t="s">
        <v>44362</v>
      </c>
      <c r="I8782" s="3" t="s">
        <v>44943</v>
      </c>
      <c r="J8782" s="3" t="s">
        <v>4537</v>
      </c>
      <c r="K8782" s="3" t="s">
        <v>44944</v>
      </c>
      <c r="L8782" s="3"/>
      <c r="M8782" s="4"/>
      <c r="N8782" s="3" t="s">
        <v>37</v>
      </c>
      <c r="O8782" s="3" t="s">
        <v>52</v>
      </c>
      <c r="P8782" s="5">
        <v>11</v>
      </c>
      <c r="Q8782" s="5">
        <v>154</v>
      </c>
      <c r="R8782" s="5">
        <v>11</v>
      </c>
      <c r="S8782" s="5">
        <v>148</v>
      </c>
    </row>
    <row r="8783" spans="1:19" ht="28" x14ac:dyDescent="0.15">
      <c r="A8783" s="2">
        <f>HYPERLINK("https://open-school.uspishnemisto.com.ua/school/480150/", 480150)</f>
        <v>480150</v>
      </c>
      <c r="B8783" s="3" t="s">
        <v>44945</v>
      </c>
      <c r="C8783" s="3" t="s">
        <v>31</v>
      </c>
      <c r="D8783" s="3" t="s">
        <v>60</v>
      </c>
      <c r="E8783" s="4" t="s">
        <v>22</v>
      </c>
      <c r="F8783" s="4" t="s">
        <v>44941</v>
      </c>
      <c r="G8783" s="4" t="s">
        <v>44946</v>
      </c>
      <c r="H8783" s="3" t="s">
        <v>44362</v>
      </c>
      <c r="I8783" s="3" t="s">
        <v>440</v>
      </c>
      <c r="J8783" s="3" t="s">
        <v>4537</v>
      </c>
      <c r="K8783" s="3" t="s">
        <v>44947</v>
      </c>
      <c r="L8783" s="3" t="s">
        <v>44948</v>
      </c>
      <c r="M8783" s="4"/>
      <c r="N8783" s="3" t="s">
        <v>37</v>
      </c>
      <c r="O8783" s="3" t="s">
        <v>52</v>
      </c>
      <c r="P8783" s="5">
        <v>4</v>
      </c>
      <c r="Q8783" s="5">
        <v>27</v>
      </c>
      <c r="R8783" s="5">
        <v>4</v>
      </c>
      <c r="S8783" s="5">
        <v>30</v>
      </c>
    </row>
    <row r="8784" spans="1:19" ht="28" x14ac:dyDescent="0.15">
      <c r="A8784" s="2">
        <f>HYPERLINK("https://open-school.uspishnemisto.com.ua/school/480151/", 480151)</f>
        <v>480151</v>
      </c>
      <c r="B8784" s="3" t="s">
        <v>44949</v>
      </c>
      <c r="C8784" s="3" t="s">
        <v>31</v>
      </c>
      <c r="D8784" s="3" t="s">
        <v>60</v>
      </c>
      <c r="E8784" s="4" t="s">
        <v>22</v>
      </c>
      <c r="F8784" s="4" t="s">
        <v>44950</v>
      </c>
      <c r="G8784" s="4" t="s">
        <v>44951</v>
      </c>
      <c r="H8784" s="3" t="s">
        <v>44362</v>
      </c>
      <c r="I8784" s="3" t="s">
        <v>44952</v>
      </c>
      <c r="J8784" s="3" t="s">
        <v>37022</v>
      </c>
      <c r="K8784" s="3" t="s">
        <v>44953</v>
      </c>
      <c r="L8784" s="3"/>
      <c r="M8784" s="4"/>
      <c r="N8784" s="3" t="s">
        <v>37</v>
      </c>
      <c r="O8784" s="3" t="s">
        <v>52</v>
      </c>
      <c r="P8784" s="5">
        <v>0</v>
      </c>
      <c r="Q8784" s="5">
        <v>6</v>
      </c>
      <c r="R8784" s="5">
        <v>2</v>
      </c>
      <c r="S8784" s="5">
        <v>29</v>
      </c>
    </row>
    <row r="8785" spans="1:19" ht="28" x14ac:dyDescent="0.15">
      <c r="A8785" s="2">
        <f>HYPERLINK("https://open-school.uspishnemisto.com.ua/school/480152/", 480152)</f>
        <v>480152</v>
      </c>
      <c r="B8785" s="3" t="s">
        <v>44954</v>
      </c>
      <c r="C8785" s="3" t="s">
        <v>31</v>
      </c>
      <c r="D8785" s="3" t="s">
        <v>60</v>
      </c>
      <c r="E8785" s="4" t="s">
        <v>22</v>
      </c>
      <c r="F8785" s="4" t="s">
        <v>44955</v>
      </c>
      <c r="G8785" s="4" t="s">
        <v>44956</v>
      </c>
      <c r="H8785" s="3" t="s">
        <v>44362</v>
      </c>
      <c r="I8785" s="3" t="s">
        <v>7563</v>
      </c>
      <c r="J8785" s="3" t="s">
        <v>2446</v>
      </c>
      <c r="K8785" s="3" t="s">
        <v>44957</v>
      </c>
      <c r="L8785" s="3"/>
      <c r="M8785" s="4"/>
      <c r="N8785" s="3" t="s">
        <v>37</v>
      </c>
      <c r="O8785" s="3" t="s">
        <v>52</v>
      </c>
      <c r="P8785" s="5">
        <v>2</v>
      </c>
      <c r="Q8785" s="5">
        <v>15</v>
      </c>
      <c r="R8785" s="5">
        <v>2</v>
      </c>
      <c r="S8785" s="5">
        <v>18</v>
      </c>
    </row>
    <row r="8786" spans="1:19" ht="28" x14ac:dyDescent="0.15">
      <c r="A8786" s="2">
        <f>HYPERLINK("https://open-school.uspishnemisto.com.ua/school/480153/", 480153)</f>
        <v>480153</v>
      </c>
      <c r="B8786" s="3" t="s">
        <v>44958</v>
      </c>
      <c r="C8786" s="3" t="s">
        <v>31</v>
      </c>
      <c r="D8786" s="3" t="s">
        <v>32</v>
      </c>
      <c r="E8786" s="4" t="s">
        <v>22</v>
      </c>
      <c r="F8786" s="4" t="s">
        <v>44959</v>
      </c>
      <c r="G8786" s="4" t="s">
        <v>44960</v>
      </c>
      <c r="H8786" s="3" t="s">
        <v>44362</v>
      </c>
      <c r="I8786" s="3" t="s">
        <v>44961</v>
      </c>
      <c r="J8786" s="3" t="s">
        <v>44962</v>
      </c>
      <c r="K8786" s="3" t="s">
        <v>44963</v>
      </c>
      <c r="L8786" s="3" t="s">
        <v>44964</v>
      </c>
      <c r="M8786" s="4"/>
      <c r="N8786" s="3" t="s">
        <v>37</v>
      </c>
      <c r="O8786" s="3" t="s">
        <v>52</v>
      </c>
      <c r="P8786" s="5">
        <v>11</v>
      </c>
      <c r="Q8786" s="5">
        <v>201</v>
      </c>
      <c r="R8786" s="5">
        <v>11</v>
      </c>
      <c r="S8786" s="5">
        <v>198</v>
      </c>
    </row>
    <row r="8787" spans="1:19" ht="28" x14ac:dyDescent="0.15">
      <c r="A8787" s="2">
        <f>HYPERLINK("https://open-school.uspishnemisto.com.ua/school/480154/", 480154)</f>
        <v>480154</v>
      </c>
      <c r="B8787" s="3" t="s">
        <v>44965</v>
      </c>
      <c r="C8787" s="3" t="s">
        <v>31</v>
      </c>
      <c r="D8787" s="3" t="s">
        <v>32</v>
      </c>
      <c r="E8787" s="4" t="s">
        <v>22</v>
      </c>
      <c r="F8787" s="4" t="s">
        <v>44966</v>
      </c>
      <c r="G8787" s="4" t="s">
        <v>44967</v>
      </c>
      <c r="H8787" s="3" t="s">
        <v>44362</v>
      </c>
      <c r="I8787" s="3" t="s">
        <v>44968</v>
      </c>
      <c r="J8787" s="3" t="s">
        <v>447</v>
      </c>
      <c r="K8787" s="3" t="s">
        <v>44969</v>
      </c>
      <c r="L8787" s="3"/>
      <c r="M8787" s="4"/>
      <c r="N8787" s="3" t="s">
        <v>37</v>
      </c>
      <c r="O8787" s="3" t="s">
        <v>52</v>
      </c>
      <c r="P8787" s="5">
        <v>10</v>
      </c>
      <c r="Q8787" s="5">
        <v>83</v>
      </c>
      <c r="R8787" s="5">
        <v>10</v>
      </c>
      <c r="S8787" s="5">
        <v>82</v>
      </c>
    </row>
    <row r="8788" spans="1:19" ht="28" x14ac:dyDescent="0.15">
      <c r="A8788" s="2">
        <f>HYPERLINK("https://open-school.uspishnemisto.com.ua/school/480155/", 480155)</f>
        <v>480155</v>
      </c>
      <c r="B8788" s="3" t="s">
        <v>44970</v>
      </c>
      <c r="C8788" s="3" t="s">
        <v>31</v>
      </c>
      <c r="D8788" s="3" t="s">
        <v>32</v>
      </c>
      <c r="E8788" s="4" t="s">
        <v>22</v>
      </c>
      <c r="F8788" s="4" t="s">
        <v>44971</v>
      </c>
      <c r="G8788" s="4" t="s">
        <v>44972</v>
      </c>
      <c r="H8788" s="3" t="s">
        <v>44362</v>
      </c>
      <c r="I8788" s="3" t="s">
        <v>44973</v>
      </c>
      <c r="J8788" s="3" t="s">
        <v>18883</v>
      </c>
      <c r="K8788" s="3" t="s">
        <v>44974</v>
      </c>
      <c r="L8788" s="3"/>
      <c r="M8788" s="4"/>
      <c r="N8788" s="3" t="s">
        <v>37</v>
      </c>
      <c r="O8788" s="3" t="s">
        <v>52</v>
      </c>
      <c r="P8788" s="5">
        <v>9</v>
      </c>
      <c r="Q8788" s="5">
        <v>88</v>
      </c>
      <c r="R8788" s="5">
        <v>10</v>
      </c>
      <c r="S8788" s="5">
        <v>100</v>
      </c>
    </row>
    <row r="8789" spans="1:19" ht="42" x14ac:dyDescent="0.15">
      <c r="A8789" s="2">
        <f>HYPERLINK("https://open-school.uspishnemisto.com.ua/school/480156/", 480156)</f>
        <v>480156</v>
      </c>
      <c r="B8789" s="3" t="s">
        <v>44975</v>
      </c>
      <c r="C8789" s="3" t="s">
        <v>31</v>
      </c>
      <c r="D8789" s="3" t="s">
        <v>32</v>
      </c>
      <c r="E8789" s="4" t="s">
        <v>22</v>
      </c>
      <c r="F8789" s="4" t="s">
        <v>44976</v>
      </c>
      <c r="G8789" s="4" t="s">
        <v>44977</v>
      </c>
      <c r="H8789" s="3" t="s">
        <v>44362</v>
      </c>
      <c r="I8789" s="3" t="s">
        <v>33989</v>
      </c>
      <c r="J8789" s="3" t="s">
        <v>44978</v>
      </c>
      <c r="K8789" s="3" t="s">
        <v>44979</v>
      </c>
      <c r="L8789" s="3"/>
      <c r="M8789" s="4"/>
      <c r="N8789" s="3" t="s">
        <v>37</v>
      </c>
      <c r="O8789" s="3" t="s">
        <v>52</v>
      </c>
      <c r="P8789" s="5">
        <v>10</v>
      </c>
      <c r="Q8789" s="5">
        <v>75</v>
      </c>
      <c r="R8789" s="5">
        <v>9</v>
      </c>
      <c r="S8789" s="5">
        <v>76</v>
      </c>
    </row>
    <row r="8790" spans="1:19" ht="28" x14ac:dyDescent="0.15">
      <c r="A8790" s="2">
        <f>HYPERLINK("https://open-school.uspishnemisto.com.ua/school/480157/", 480157)</f>
        <v>480157</v>
      </c>
      <c r="B8790" s="3" t="s">
        <v>44980</v>
      </c>
      <c r="C8790" s="3" t="s">
        <v>31</v>
      </c>
      <c r="D8790" s="3" t="s">
        <v>32</v>
      </c>
      <c r="E8790" s="4" t="s">
        <v>22</v>
      </c>
      <c r="F8790" s="4" t="s">
        <v>44981</v>
      </c>
      <c r="G8790" s="4" t="s">
        <v>44982</v>
      </c>
      <c r="H8790" s="3" t="s">
        <v>44362</v>
      </c>
      <c r="I8790" s="3" t="s">
        <v>44983</v>
      </c>
      <c r="J8790" s="3" t="s">
        <v>634</v>
      </c>
      <c r="K8790" s="3" t="s">
        <v>44984</v>
      </c>
      <c r="L8790" s="3"/>
      <c r="M8790" s="4"/>
      <c r="N8790" s="3" t="s">
        <v>37</v>
      </c>
      <c r="O8790" s="3" t="s">
        <v>52</v>
      </c>
      <c r="P8790" s="5">
        <v>11</v>
      </c>
      <c r="Q8790" s="5">
        <v>190</v>
      </c>
      <c r="R8790" s="5">
        <v>11</v>
      </c>
      <c r="S8790" s="5">
        <v>189</v>
      </c>
    </row>
    <row r="8791" spans="1:19" ht="28" x14ac:dyDescent="0.15">
      <c r="A8791" s="2">
        <f>HYPERLINK("https://open-school.uspishnemisto.com.ua/school/480158/", 480158)</f>
        <v>480158</v>
      </c>
      <c r="B8791" s="3" t="s">
        <v>44985</v>
      </c>
      <c r="C8791" s="3" t="s">
        <v>31</v>
      </c>
      <c r="D8791" s="3" t="s">
        <v>60</v>
      </c>
      <c r="E8791" s="4" t="s">
        <v>22</v>
      </c>
      <c r="F8791" s="4" t="s">
        <v>44986</v>
      </c>
      <c r="G8791" s="4" t="s">
        <v>44987</v>
      </c>
      <c r="H8791" s="3" t="s">
        <v>44362</v>
      </c>
      <c r="I8791" s="3" t="s">
        <v>1752</v>
      </c>
      <c r="J8791" s="3" t="s">
        <v>44988</v>
      </c>
      <c r="K8791" s="3" t="s">
        <v>44989</v>
      </c>
      <c r="L8791" s="3"/>
      <c r="M8791" s="4"/>
      <c r="N8791" s="3" t="s">
        <v>37</v>
      </c>
      <c r="O8791" s="3" t="s">
        <v>52</v>
      </c>
      <c r="P8791" s="5">
        <v>1</v>
      </c>
      <c r="Q8791" s="5">
        <v>9</v>
      </c>
      <c r="R8791" s="5">
        <v>2</v>
      </c>
      <c r="S8791" s="5">
        <v>13</v>
      </c>
    </row>
    <row r="8792" spans="1:19" ht="28" x14ac:dyDescent="0.15">
      <c r="A8792" s="2">
        <f>HYPERLINK("https://open-school.uspishnemisto.com.ua/school/480159/", 480159)</f>
        <v>480159</v>
      </c>
      <c r="B8792" s="3" t="s">
        <v>44990</v>
      </c>
      <c r="C8792" s="3" t="s">
        <v>31</v>
      </c>
      <c r="D8792" s="3" t="s">
        <v>32</v>
      </c>
      <c r="E8792" s="4" t="s">
        <v>22</v>
      </c>
      <c r="F8792" s="4" t="s">
        <v>44991</v>
      </c>
      <c r="G8792" s="4" t="s">
        <v>44992</v>
      </c>
      <c r="H8792" s="3" t="s">
        <v>44362</v>
      </c>
      <c r="I8792" s="3" t="s">
        <v>11718</v>
      </c>
      <c r="J8792" s="3" t="s">
        <v>2446</v>
      </c>
      <c r="K8792" s="3" t="s">
        <v>44993</v>
      </c>
      <c r="L8792" s="3"/>
      <c r="M8792" s="4"/>
      <c r="N8792" s="3" t="s">
        <v>37</v>
      </c>
      <c r="O8792" s="3" t="s">
        <v>52</v>
      </c>
      <c r="P8792" s="5">
        <v>11</v>
      </c>
      <c r="Q8792" s="5">
        <v>92</v>
      </c>
      <c r="R8792" s="5">
        <v>11</v>
      </c>
      <c r="S8792" s="5">
        <v>98</v>
      </c>
    </row>
    <row r="8793" spans="1:19" ht="28" x14ac:dyDescent="0.15">
      <c r="A8793" s="2">
        <f>HYPERLINK("https://open-school.uspishnemisto.com.ua/school/480160/", 480160)</f>
        <v>480160</v>
      </c>
      <c r="B8793" s="3" t="s">
        <v>44994</v>
      </c>
      <c r="C8793" s="3" t="s">
        <v>31</v>
      </c>
      <c r="D8793" s="3" t="s">
        <v>32</v>
      </c>
      <c r="E8793" s="4" t="s">
        <v>22</v>
      </c>
      <c r="F8793" s="4" t="s">
        <v>44995</v>
      </c>
      <c r="G8793" s="4" t="s">
        <v>44996</v>
      </c>
      <c r="H8793" s="3" t="s">
        <v>44362</v>
      </c>
      <c r="I8793" s="3" t="s">
        <v>12777</v>
      </c>
      <c r="J8793" s="3" t="s">
        <v>2145</v>
      </c>
      <c r="K8793" s="3" t="s">
        <v>44997</v>
      </c>
      <c r="L8793" s="3"/>
      <c r="M8793" s="4"/>
      <c r="N8793" s="3" t="s">
        <v>37</v>
      </c>
      <c r="O8793" s="3" t="s">
        <v>52</v>
      </c>
      <c r="P8793" s="5">
        <v>10</v>
      </c>
      <c r="Q8793" s="5">
        <v>130</v>
      </c>
      <c r="R8793" s="5">
        <v>11</v>
      </c>
      <c r="S8793" s="5">
        <v>137</v>
      </c>
    </row>
    <row r="8794" spans="1:19" ht="28" x14ac:dyDescent="0.15">
      <c r="A8794" s="2">
        <f>HYPERLINK("https://open-school.uspishnemisto.com.ua/school/480161/", 480161)</f>
        <v>480161</v>
      </c>
      <c r="B8794" s="3" t="s">
        <v>44998</v>
      </c>
      <c r="C8794" s="3" t="s">
        <v>31</v>
      </c>
      <c r="D8794" s="3" t="s">
        <v>32</v>
      </c>
      <c r="E8794" s="4" t="s">
        <v>22</v>
      </c>
      <c r="F8794" s="4" t="s">
        <v>44999</v>
      </c>
      <c r="G8794" s="4" t="s">
        <v>45000</v>
      </c>
      <c r="H8794" s="3" t="s">
        <v>44362</v>
      </c>
      <c r="I8794" s="3" t="s">
        <v>11267</v>
      </c>
      <c r="J8794" s="3" t="s">
        <v>45001</v>
      </c>
      <c r="K8794" s="3" t="s">
        <v>45002</v>
      </c>
      <c r="L8794" s="3"/>
      <c r="M8794" s="4"/>
      <c r="N8794" s="3" t="s">
        <v>37</v>
      </c>
      <c r="O8794" s="3" t="s">
        <v>52</v>
      </c>
      <c r="P8794" s="5">
        <v>10</v>
      </c>
      <c r="Q8794" s="5">
        <v>84</v>
      </c>
      <c r="R8794" s="5">
        <v>10</v>
      </c>
      <c r="S8794" s="5">
        <v>83</v>
      </c>
    </row>
    <row r="8795" spans="1:19" ht="28" x14ac:dyDescent="0.15">
      <c r="A8795" s="2">
        <f>HYPERLINK("https://open-school.uspishnemisto.com.ua/school/480162/", 480162)</f>
        <v>480162</v>
      </c>
      <c r="B8795" s="3" t="s">
        <v>45003</v>
      </c>
      <c r="C8795" s="3" t="s">
        <v>31</v>
      </c>
      <c r="D8795" s="3" t="s">
        <v>175</v>
      </c>
      <c r="E8795" s="4" t="s">
        <v>22</v>
      </c>
      <c r="F8795" s="4" t="s">
        <v>45004</v>
      </c>
      <c r="G8795" s="4" t="s">
        <v>45005</v>
      </c>
      <c r="H8795" s="3" t="s">
        <v>44362</v>
      </c>
      <c r="I8795" s="3" t="s">
        <v>10843</v>
      </c>
      <c r="J8795" s="3" t="s">
        <v>45006</v>
      </c>
      <c r="K8795" s="3" t="s">
        <v>45007</v>
      </c>
      <c r="L8795" s="3"/>
      <c r="M8795" s="4"/>
      <c r="N8795" s="3" t="s">
        <v>37</v>
      </c>
      <c r="O8795" s="3" t="s">
        <v>52</v>
      </c>
      <c r="P8795" s="5">
        <v>7</v>
      </c>
      <c r="Q8795" s="5">
        <v>52</v>
      </c>
      <c r="R8795" s="5">
        <v>6</v>
      </c>
      <c r="S8795" s="5">
        <v>52</v>
      </c>
    </row>
    <row r="8796" spans="1:19" ht="28" x14ac:dyDescent="0.15">
      <c r="A8796" s="2">
        <f>HYPERLINK("https://open-school.uspishnemisto.com.ua/school/480163/", 480163)</f>
        <v>480163</v>
      </c>
      <c r="B8796" s="3" t="s">
        <v>45008</v>
      </c>
      <c r="C8796" s="3" t="s">
        <v>31</v>
      </c>
      <c r="D8796" s="3" t="s">
        <v>32</v>
      </c>
      <c r="E8796" s="4" t="s">
        <v>22</v>
      </c>
      <c r="F8796" s="4" t="s">
        <v>45009</v>
      </c>
      <c r="G8796" s="4" t="s">
        <v>45010</v>
      </c>
      <c r="H8796" s="3" t="s">
        <v>44362</v>
      </c>
      <c r="I8796" s="3" t="s">
        <v>11880</v>
      </c>
      <c r="J8796" s="3" t="s">
        <v>13549</v>
      </c>
      <c r="K8796" s="3" t="s">
        <v>45011</v>
      </c>
      <c r="L8796" s="3"/>
      <c r="M8796" s="4"/>
      <c r="N8796" s="3" t="s">
        <v>37</v>
      </c>
      <c r="O8796" s="3" t="s">
        <v>52</v>
      </c>
      <c r="P8796" s="5">
        <v>10</v>
      </c>
      <c r="Q8796" s="5">
        <v>71</v>
      </c>
      <c r="R8796" s="5">
        <v>10</v>
      </c>
      <c r="S8796" s="5">
        <v>80</v>
      </c>
    </row>
    <row r="8797" spans="1:19" ht="28" x14ac:dyDescent="0.15">
      <c r="A8797" s="2">
        <f>HYPERLINK("https://open-school.uspishnemisto.com.ua/school/480164/", 480164)</f>
        <v>480164</v>
      </c>
      <c r="B8797" s="3" t="s">
        <v>45012</v>
      </c>
      <c r="C8797" s="3" t="s">
        <v>31</v>
      </c>
      <c r="D8797" s="3" t="s">
        <v>175</v>
      </c>
      <c r="E8797" s="4" t="s">
        <v>22</v>
      </c>
      <c r="F8797" s="4" t="s">
        <v>45013</v>
      </c>
      <c r="G8797" s="4" t="s">
        <v>45014</v>
      </c>
      <c r="H8797" s="3" t="s">
        <v>44362</v>
      </c>
      <c r="I8797" s="3" t="s">
        <v>45015</v>
      </c>
      <c r="J8797" s="3" t="s">
        <v>2584</v>
      </c>
      <c r="K8797" s="3" t="s">
        <v>45016</v>
      </c>
      <c r="L8797" s="3"/>
      <c r="M8797" s="4"/>
      <c r="N8797" s="3" t="s">
        <v>37</v>
      </c>
      <c r="O8797" s="3" t="s">
        <v>52</v>
      </c>
      <c r="P8797" s="5">
        <v>2</v>
      </c>
      <c r="Q8797" s="5">
        <v>32</v>
      </c>
      <c r="R8797" s="5">
        <v>2</v>
      </c>
      <c r="S8797" s="5">
        <v>26</v>
      </c>
    </row>
    <row r="8798" spans="1:19" ht="28" x14ac:dyDescent="0.15">
      <c r="A8798" s="2">
        <f>HYPERLINK("https://open-school.uspishnemisto.com.ua/school/480165/", 480165)</f>
        <v>480165</v>
      </c>
      <c r="B8798" s="3" t="s">
        <v>45017</v>
      </c>
      <c r="C8798" s="3" t="s">
        <v>31</v>
      </c>
      <c r="D8798" s="3" t="s">
        <v>32</v>
      </c>
      <c r="E8798" s="4" t="s">
        <v>22</v>
      </c>
      <c r="F8798" s="4" t="s">
        <v>45018</v>
      </c>
      <c r="G8798" s="4" t="s">
        <v>45019</v>
      </c>
      <c r="H8798" s="3" t="s">
        <v>44362</v>
      </c>
      <c r="I8798" s="3" t="s">
        <v>17799</v>
      </c>
      <c r="J8798" s="3" t="s">
        <v>11022</v>
      </c>
      <c r="K8798" s="3" t="s">
        <v>45020</v>
      </c>
      <c r="L8798" s="3"/>
      <c r="M8798" s="4"/>
      <c r="N8798" s="3" t="s">
        <v>37</v>
      </c>
      <c r="O8798" s="3" t="s">
        <v>52</v>
      </c>
      <c r="P8798" s="5">
        <v>10</v>
      </c>
      <c r="Q8798" s="5">
        <v>94</v>
      </c>
      <c r="R8798" s="5">
        <v>11</v>
      </c>
      <c r="S8798" s="5">
        <v>100</v>
      </c>
    </row>
    <row r="8799" spans="1:19" ht="28" x14ac:dyDescent="0.15">
      <c r="A8799" s="2">
        <f>HYPERLINK("https://open-school.uspishnemisto.com.ua/school/480166/", 480166)</f>
        <v>480166</v>
      </c>
      <c r="B8799" s="3" t="s">
        <v>45021</v>
      </c>
      <c r="C8799" s="3" t="s">
        <v>31</v>
      </c>
      <c r="D8799" s="3" t="s">
        <v>32</v>
      </c>
      <c r="E8799" s="4" t="s">
        <v>22</v>
      </c>
      <c r="F8799" s="4" t="s">
        <v>45022</v>
      </c>
      <c r="G8799" s="4" t="s">
        <v>45023</v>
      </c>
      <c r="H8799" s="3" t="s">
        <v>44362</v>
      </c>
      <c r="I8799" s="3" t="s">
        <v>45024</v>
      </c>
      <c r="J8799" s="3" t="s">
        <v>634</v>
      </c>
      <c r="K8799" s="3" t="s">
        <v>45025</v>
      </c>
      <c r="L8799" s="3"/>
      <c r="M8799" s="4"/>
      <c r="N8799" s="3" t="s">
        <v>37</v>
      </c>
      <c r="O8799" s="3" t="s">
        <v>52</v>
      </c>
      <c r="P8799" s="5">
        <v>10</v>
      </c>
      <c r="Q8799" s="5">
        <v>155</v>
      </c>
      <c r="R8799" s="5">
        <v>10</v>
      </c>
      <c r="S8799" s="5">
        <v>164</v>
      </c>
    </row>
    <row r="8800" spans="1:19" ht="28" x14ac:dyDescent="0.15">
      <c r="A8800" s="2">
        <f>HYPERLINK("https://open-school.uspishnemisto.com.ua/school/480167/", 480167)</f>
        <v>480167</v>
      </c>
      <c r="B8800" s="3" t="s">
        <v>45026</v>
      </c>
      <c r="C8800" s="3" t="s">
        <v>31</v>
      </c>
      <c r="D8800" s="3" t="s">
        <v>32</v>
      </c>
      <c r="E8800" s="4" t="s">
        <v>22</v>
      </c>
      <c r="F8800" s="4" t="s">
        <v>45027</v>
      </c>
      <c r="G8800" s="4" t="s">
        <v>45028</v>
      </c>
      <c r="H8800" s="3" t="s">
        <v>44362</v>
      </c>
      <c r="I8800" s="3" t="s">
        <v>13072</v>
      </c>
      <c r="J8800" s="3" t="s">
        <v>45029</v>
      </c>
      <c r="K8800" s="3" t="s">
        <v>45030</v>
      </c>
      <c r="L8800" s="3"/>
      <c r="M8800" s="4"/>
      <c r="N8800" s="3" t="s">
        <v>37</v>
      </c>
      <c r="O8800" s="3" t="s">
        <v>52</v>
      </c>
      <c r="P8800" s="5">
        <v>11</v>
      </c>
      <c r="Q8800" s="5">
        <v>205</v>
      </c>
      <c r="R8800" s="5">
        <v>11</v>
      </c>
      <c r="S8800" s="5">
        <v>175</v>
      </c>
    </row>
    <row r="8801" spans="1:19" ht="42" x14ac:dyDescent="0.15">
      <c r="A8801" s="2">
        <f>HYPERLINK("https://open-school.uspishnemisto.com.ua/school/480168/", 480168)</f>
        <v>480168</v>
      </c>
      <c r="B8801" s="3" t="s">
        <v>45031</v>
      </c>
      <c r="C8801" s="3" t="s">
        <v>181</v>
      </c>
      <c r="D8801" s="3" t="s">
        <v>32</v>
      </c>
      <c r="E8801" s="4" t="s">
        <v>22</v>
      </c>
      <c r="F8801" s="4" t="s">
        <v>45027</v>
      </c>
      <c r="G8801" s="4" t="s">
        <v>45028</v>
      </c>
      <c r="H8801" s="3" t="s">
        <v>44362</v>
      </c>
      <c r="I8801" s="3" t="s">
        <v>13072</v>
      </c>
      <c r="J8801" s="3" t="s">
        <v>45032</v>
      </c>
      <c r="K8801" s="3" t="s">
        <v>45033</v>
      </c>
      <c r="L8801" s="3"/>
      <c r="M8801" s="4" t="s">
        <v>45034</v>
      </c>
      <c r="N8801" s="3" t="s">
        <v>37</v>
      </c>
      <c r="O8801" s="3"/>
      <c r="P8801" s="5">
        <v>10</v>
      </c>
      <c r="Q8801" s="5">
        <v>94</v>
      </c>
      <c r="R8801" s="5">
        <v>10</v>
      </c>
      <c r="S8801" s="5">
        <v>101</v>
      </c>
    </row>
    <row r="8802" spans="1:19" ht="28" x14ac:dyDescent="0.15">
      <c r="A8802" s="2">
        <f>HYPERLINK("https://open-school.uspishnemisto.com.ua/school/480169/", 480169)</f>
        <v>480169</v>
      </c>
      <c r="B8802" s="3" t="s">
        <v>45035</v>
      </c>
      <c r="C8802" s="3" t="s">
        <v>31</v>
      </c>
      <c r="D8802" s="3" t="s">
        <v>32</v>
      </c>
      <c r="E8802" s="4" t="s">
        <v>22</v>
      </c>
      <c r="F8802" s="4" t="s">
        <v>45036</v>
      </c>
      <c r="G8802" s="4" t="s">
        <v>45037</v>
      </c>
      <c r="H8802" s="3" t="s">
        <v>44362</v>
      </c>
      <c r="I8802" s="3" t="s">
        <v>45038</v>
      </c>
      <c r="J8802" s="3" t="s">
        <v>45039</v>
      </c>
      <c r="K8802" s="3" t="s">
        <v>45040</v>
      </c>
      <c r="L8802" s="3"/>
      <c r="M8802" s="4"/>
      <c r="N8802" s="3" t="s">
        <v>37</v>
      </c>
      <c r="O8802" s="3" t="s">
        <v>52</v>
      </c>
      <c r="P8802" s="5">
        <v>11</v>
      </c>
      <c r="Q8802" s="5">
        <v>116</v>
      </c>
      <c r="R8802" s="5">
        <v>11</v>
      </c>
      <c r="S8802" s="5">
        <v>112</v>
      </c>
    </row>
    <row r="8803" spans="1:19" ht="28" x14ac:dyDescent="0.15">
      <c r="A8803" s="2">
        <f>HYPERLINK("https://open-school.uspishnemisto.com.ua/school/480170/", 480170)</f>
        <v>480170</v>
      </c>
      <c r="B8803" s="3" t="s">
        <v>45041</v>
      </c>
      <c r="C8803" s="3" t="s">
        <v>31</v>
      </c>
      <c r="D8803" s="3" t="s">
        <v>32</v>
      </c>
      <c r="E8803" s="4" t="s">
        <v>22</v>
      </c>
      <c r="F8803" s="4" t="s">
        <v>45042</v>
      </c>
      <c r="G8803" s="4" t="s">
        <v>45043</v>
      </c>
      <c r="H8803" s="3" t="s">
        <v>44362</v>
      </c>
      <c r="I8803" s="3" t="s">
        <v>11348</v>
      </c>
      <c r="J8803" s="3" t="s">
        <v>45044</v>
      </c>
      <c r="K8803" s="3" t="s">
        <v>45045</v>
      </c>
      <c r="L8803" s="3"/>
      <c r="M8803" s="4"/>
      <c r="N8803" s="3" t="s">
        <v>37</v>
      </c>
      <c r="O8803" s="3" t="s">
        <v>52</v>
      </c>
      <c r="P8803" s="5">
        <v>11</v>
      </c>
      <c r="Q8803" s="5">
        <v>82</v>
      </c>
      <c r="R8803" s="5">
        <v>11</v>
      </c>
      <c r="S8803" s="5">
        <v>80</v>
      </c>
    </row>
    <row r="8804" spans="1:19" ht="28" x14ac:dyDescent="0.15">
      <c r="A8804" s="2">
        <f>HYPERLINK("https://open-school.uspishnemisto.com.ua/school/480171/", 480171)</f>
        <v>480171</v>
      </c>
      <c r="B8804" s="3" t="s">
        <v>45046</v>
      </c>
      <c r="C8804" s="3" t="s">
        <v>31</v>
      </c>
      <c r="D8804" s="3" t="s">
        <v>32</v>
      </c>
      <c r="E8804" s="4" t="s">
        <v>22</v>
      </c>
      <c r="F8804" s="4" t="s">
        <v>45047</v>
      </c>
      <c r="G8804" s="4" t="s">
        <v>45048</v>
      </c>
      <c r="H8804" s="3" t="s">
        <v>44362</v>
      </c>
      <c r="I8804" s="3" t="s">
        <v>45049</v>
      </c>
      <c r="J8804" s="3" t="s">
        <v>45050</v>
      </c>
      <c r="K8804" s="3" t="s">
        <v>45051</v>
      </c>
      <c r="L8804" s="3"/>
      <c r="M8804" s="4"/>
      <c r="N8804" s="3" t="s">
        <v>37</v>
      </c>
      <c r="O8804" s="3" t="s">
        <v>38</v>
      </c>
      <c r="P8804" s="5">
        <v>10</v>
      </c>
      <c r="Q8804" s="5">
        <v>112</v>
      </c>
      <c r="R8804" s="5">
        <v>11</v>
      </c>
      <c r="S8804" s="5">
        <v>106</v>
      </c>
    </row>
    <row r="8805" spans="1:19" ht="28" x14ac:dyDescent="0.15">
      <c r="A8805" s="2">
        <f>HYPERLINK("https://open-school.uspishnemisto.com.ua/school/480172/", 480172)</f>
        <v>480172</v>
      </c>
      <c r="B8805" s="3" t="s">
        <v>45052</v>
      </c>
      <c r="C8805" s="3" t="s">
        <v>31</v>
      </c>
      <c r="D8805" s="3" t="s">
        <v>32</v>
      </c>
      <c r="E8805" s="4" t="s">
        <v>22</v>
      </c>
      <c r="F8805" s="4" t="s">
        <v>45053</v>
      </c>
      <c r="G8805" s="4" t="s">
        <v>45054</v>
      </c>
      <c r="H8805" s="3" t="s">
        <v>44362</v>
      </c>
      <c r="I8805" s="3" t="s">
        <v>45055</v>
      </c>
      <c r="J8805" s="3" t="s">
        <v>1719</v>
      </c>
      <c r="K8805" s="3" t="s">
        <v>45056</v>
      </c>
      <c r="L8805" s="3"/>
      <c r="M8805" s="4"/>
      <c r="N8805" s="3" t="s">
        <v>37</v>
      </c>
      <c r="O8805" s="3" t="s">
        <v>38</v>
      </c>
      <c r="P8805" s="5">
        <v>20</v>
      </c>
      <c r="Q8805" s="5">
        <v>456</v>
      </c>
      <c r="R8805" s="5">
        <v>20</v>
      </c>
      <c r="S8805" s="5">
        <v>455</v>
      </c>
    </row>
    <row r="8806" spans="1:19" ht="28" x14ac:dyDescent="0.15">
      <c r="A8806" s="2">
        <f>HYPERLINK("https://open-school.uspishnemisto.com.ua/school/480173/", 480173)</f>
        <v>480173</v>
      </c>
      <c r="B8806" s="3" t="s">
        <v>45057</v>
      </c>
      <c r="C8806" s="3" t="s">
        <v>31</v>
      </c>
      <c r="D8806" s="3" t="s">
        <v>175</v>
      </c>
      <c r="E8806" s="4" t="s">
        <v>22</v>
      </c>
      <c r="F8806" s="4" t="s">
        <v>45058</v>
      </c>
      <c r="G8806" s="4" t="s">
        <v>45059</v>
      </c>
      <c r="H8806" s="3" t="s">
        <v>44362</v>
      </c>
      <c r="I8806" s="3" t="s">
        <v>45060</v>
      </c>
      <c r="J8806" s="3" t="s">
        <v>634</v>
      </c>
      <c r="K8806" s="3" t="s">
        <v>45061</v>
      </c>
      <c r="L8806" s="3"/>
      <c r="M8806" s="4"/>
      <c r="N8806" s="3" t="s">
        <v>37</v>
      </c>
      <c r="O8806" s="3" t="s">
        <v>2740</v>
      </c>
      <c r="P8806" s="5">
        <v>9</v>
      </c>
      <c r="Q8806" s="5">
        <v>59</v>
      </c>
      <c r="R8806" s="5">
        <v>8</v>
      </c>
      <c r="S8806" s="5">
        <v>59</v>
      </c>
    </row>
    <row r="8807" spans="1:19" ht="28" x14ac:dyDescent="0.15">
      <c r="A8807" s="2">
        <f>HYPERLINK("https://open-school.uspishnemisto.com.ua/school/480174/", 480174)</f>
        <v>480174</v>
      </c>
      <c r="B8807" s="3" t="s">
        <v>45062</v>
      </c>
      <c r="C8807" s="3" t="s">
        <v>31</v>
      </c>
      <c r="D8807" s="3" t="s">
        <v>32</v>
      </c>
      <c r="E8807" s="4" t="s">
        <v>22</v>
      </c>
      <c r="F8807" s="4" t="s">
        <v>45063</v>
      </c>
      <c r="G8807" s="4" t="s">
        <v>45064</v>
      </c>
      <c r="H8807" s="3" t="s">
        <v>44362</v>
      </c>
      <c r="I8807" s="3" t="s">
        <v>45065</v>
      </c>
      <c r="J8807" s="3" t="s">
        <v>2638</v>
      </c>
      <c r="K8807" s="3" t="s">
        <v>45066</v>
      </c>
      <c r="L8807" s="3"/>
      <c r="M8807" s="4"/>
      <c r="N8807" s="3" t="s">
        <v>37</v>
      </c>
      <c r="O8807" s="3" t="s">
        <v>38</v>
      </c>
      <c r="P8807" s="5">
        <v>6</v>
      </c>
      <c r="Q8807" s="5">
        <v>38</v>
      </c>
      <c r="R8807" s="5">
        <v>7</v>
      </c>
      <c r="S8807" s="5">
        <v>43</v>
      </c>
    </row>
    <row r="8808" spans="1:19" ht="28" x14ac:dyDescent="0.15">
      <c r="A8808" s="2">
        <f>HYPERLINK("https://open-school.uspishnemisto.com.ua/school/480175/", 480175)</f>
        <v>480175</v>
      </c>
      <c r="B8808" s="3" t="s">
        <v>20642</v>
      </c>
      <c r="C8808" s="3" t="s">
        <v>31</v>
      </c>
      <c r="D8808" s="3" t="s">
        <v>60</v>
      </c>
      <c r="E8808" s="4" t="s">
        <v>22</v>
      </c>
      <c r="F8808" s="4" t="s">
        <v>45067</v>
      </c>
      <c r="G8808" s="4" t="s">
        <v>45068</v>
      </c>
      <c r="H8808" s="3" t="s">
        <v>44362</v>
      </c>
      <c r="I8808" s="3" t="s">
        <v>11397</v>
      </c>
      <c r="J8808" s="3" t="s">
        <v>15190</v>
      </c>
      <c r="K8808" s="3" t="s">
        <v>45069</v>
      </c>
      <c r="L8808" s="3"/>
      <c r="M8808" s="4"/>
      <c r="N8808" s="3" t="s">
        <v>37</v>
      </c>
      <c r="O8808" s="3" t="s">
        <v>52</v>
      </c>
      <c r="P8808" s="5">
        <v>3</v>
      </c>
      <c r="Q8808" s="5">
        <v>22</v>
      </c>
      <c r="R8808" s="5">
        <v>1</v>
      </c>
      <c r="S8808" s="5">
        <v>18</v>
      </c>
    </row>
    <row r="8809" spans="1:19" ht="28" x14ac:dyDescent="0.15">
      <c r="A8809" s="2">
        <f>HYPERLINK("https://open-school.uspishnemisto.com.ua/school/480176/", 480176)</f>
        <v>480176</v>
      </c>
      <c r="B8809" s="3" t="s">
        <v>45070</v>
      </c>
      <c r="C8809" s="3" t="s">
        <v>31</v>
      </c>
      <c r="D8809" s="3" t="s">
        <v>175</v>
      </c>
      <c r="E8809" s="4" t="s">
        <v>22</v>
      </c>
      <c r="F8809" s="4" t="s">
        <v>45071</v>
      </c>
      <c r="G8809" s="4" t="s">
        <v>45072</v>
      </c>
      <c r="H8809" s="3" t="s">
        <v>44362</v>
      </c>
      <c r="I8809" s="3" t="s">
        <v>11923</v>
      </c>
      <c r="J8809" s="3" t="s">
        <v>4425</v>
      </c>
      <c r="K8809" s="3" t="s">
        <v>45073</v>
      </c>
      <c r="L8809" s="3"/>
      <c r="M8809" s="4"/>
      <c r="N8809" s="3" t="s">
        <v>37</v>
      </c>
      <c r="O8809" s="3" t="s">
        <v>52</v>
      </c>
      <c r="P8809" s="5">
        <v>8</v>
      </c>
      <c r="Q8809" s="5">
        <v>64</v>
      </c>
      <c r="R8809" s="5">
        <v>8</v>
      </c>
      <c r="S8809" s="5">
        <v>64</v>
      </c>
    </row>
    <row r="8810" spans="1:19" ht="28" x14ac:dyDescent="0.15">
      <c r="A8810" s="2">
        <f>HYPERLINK("https://open-school.uspishnemisto.com.ua/school/480177/", 480177)</f>
        <v>480177</v>
      </c>
      <c r="B8810" s="3" t="s">
        <v>12682</v>
      </c>
      <c r="C8810" s="3" t="s">
        <v>31</v>
      </c>
      <c r="D8810" s="3" t="s">
        <v>32</v>
      </c>
      <c r="E8810" s="4" t="s">
        <v>22</v>
      </c>
      <c r="F8810" s="4" t="s">
        <v>45074</v>
      </c>
      <c r="G8810" s="4" t="s">
        <v>45075</v>
      </c>
      <c r="H8810" s="3" t="s">
        <v>44362</v>
      </c>
      <c r="I8810" s="3" t="s">
        <v>12685</v>
      </c>
      <c r="J8810" s="3" t="s">
        <v>45076</v>
      </c>
      <c r="K8810" s="3" t="s">
        <v>45077</v>
      </c>
      <c r="L8810" s="3"/>
      <c r="M8810" s="4"/>
      <c r="N8810" s="3" t="s">
        <v>37</v>
      </c>
      <c r="O8810" s="3" t="s">
        <v>721</v>
      </c>
      <c r="P8810" s="5">
        <v>10</v>
      </c>
      <c r="Q8810" s="5">
        <v>65</v>
      </c>
      <c r="R8810" s="5">
        <v>9</v>
      </c>
      <c r="S8810" s="5">
        <v>65</v>
      </c>
    </row>
    <row r="8811" spans="1:19" ht="42" x14ac:dyDescent="0.15">
      <c r="A8811" s="2">
        <f>HYPERLINK("https://open-school.uspishnemisto.com.ua/school/480178/", 480178)</f>
        <v>480178</v>
      </c>
      <c r="B8811" s="3" t="s">
        <v>45078</v>
      </c>
      <c r="C8811" s="3" t="s">
        <v>31</v>
      </c>
      <c r="D8811" s="3" t="s">
        <v>32</v>
      </c>
      <c r="E8811" s="4" t="s">
        <v>22</v>
      </c>
      <c r="F8811" s="4" t="s">
        <v>45079</v>
      </c>
      <c r="G8811" s="4" t="s">
        <v>45080</v>
      </c>
      <c r="H8811" s="3" t="s">
        <v>44362</v>
      </c>
      <c r="I8811" s="3" t="s">
        <v>1803</v>
      </c>
      <c r="J8811" s="3" t="s">
        <v>45081</v>
      </c>
      <c r="K8811" s="3" t="s">
        <v>45082</v>
      </c>
      <c r="L8811" s="3"/>
      <c r="M8811" s="4"/>
      <c r="N8811" s="3" t="s">
        <v>37</v>
      </c>
      <c r="O8811" s="3" t="s">
        <v>52</v>
      </c>
      <c r="P8811" s="5">
        <v>11</v>
      </c>
      <c r="Q8811" s="5">
        <v>150</v>
      </c>
      <c r="R8811" s="5">
        <v>11</v>
      </c>
      <c r="S8811" s="5">
        <v>148</v>
      </c>
    </row>
    <row r="8812" spans="1:19" ht="28" x14ac:dyDescent="0.15">
      <c r="A8812" s="2">
        <f>HYPERLINK("https://open-school.uspishnemisto.com.ua/school/480190/", 480190)</f>
        <v>480190</v>
      </c>
      <c r="B8812" s="3" t="s">
        <v>45083</v>
      </c>
      <c r="C8812" s="3" t="s">
        <v>31</v>
      </c>
      <c r="D8812" s="3" t="s">
        <v>32</v>
      </c>
      <c r="E8812" s="4" t="s">
        <v>22</v>
      </c>
      <c r="F8812" s="4" t="s">
        <v>45084</v>
      </c>
      <c r="G8812" s="4" t="s">
        <v>45085</v>
      </c>
      <c r="H8812" s="3" t="s">
        <v>44362</v>
      </c>
      <c r="I8812" s="3" t="s">
        <v>45086</v>
      </c>
      <c r="J8812" s="3" t="s">
        <v>1636</v>
      </c>
      <c r="K8812" s="3" t="s">
        <v>45087</v>
      </c>
      <c r="L8812" s="3" t="s">
        <v>45088</v>
      </c>
      <c r="M8812" s="4"/>
      <c r="N8812" s="3" t="s">
        <v>37</v>
      </c>
      <c r="O8812" s="3" t="s">
        <v>38</v>
      </c>
      <c r="P8812" s="5">
        <v>14</v>
      </c>
      <c r="Q8812" s="5">
        <v>285</v>
      </c>
      <c r="R8812" s="5">
        <v>14</v>
      </c>
      <c r="S8812" s="5">
        <v>276</v>
      </c>
    </row>
    <row r="8813" spans="1:19" ht="28" x14ac:dyDescent="0.15">
      <c r="A8813" s="2">
        <f>HYPERLINK("https://open-school.uspishnemisto.com.ua/school/480179/", 480179)</f>
        <v>480179</v>
      </c>
      <c r="B8813" s="3" t="s">
        <v>45089</v>
      </c>
      <c r="C8813" s="3" t="s">
        <v>31</v>
      </c>
      <c r="D8813" s="3" t="s">
        <v>32</v>
      </c>
      <c r="E8813" s="4" t="s">
        <v>22</v>
      </c>
      <c r="F8813" s="4" t="s">
        <v>45090</v>
      </c>
      <c r="G8813" s="4" t="s">
        <v>45091</v>
      </c>
      <c r="H8813" s="3" t="s">
        <v>44362</v>
      </c>
      <c r="I8813" s="3" t="s">
        <v>45092</v>
      </c>
      <c r="J8813" s="3" t="s">
        <v>466</v>
      </c>
      <c r="K8813" s="3" t="s">
        <v>45093</v>
      </c>
      <c r="L8813" s="3"/>
      <c r="M8813" s="4"/>
      <c r="N8813" s="3" t="s">
        <v>37</v>
      </c>
      <c r="O8813" s="3" t="s">
        <v>70</v>
      </c>
      <c r="P8813" s="5">
        <v>10</v>
      </c>
      <c r="Q8813" s="5">
        <v>91</v>
      </c>
      <c r="R8813" s="5">
        <v>11</v>
      </c>
      <c r="S8813" s="5">
        <v>92</v>
      </c>
    </row>
    <row r="8814" spans="1:19" ht="28" x14ac:dyDescent="0.15">
      <c r="A8814" s="2">
        <f>HYPERLINK("https://open-school.uspishnemisto.com.ua/school/480180/", 480180)</f>
        <v>480180</v>
      </c>
      <c r="B8814" s="3" t="s">
        <v>45094</v>
      </c>
      <c r="C8814" s="3" t="s">
        <v>20</v>
      </c>
      <c r="D8814" s="3" t="s">
        <v>19078</v>
      </c>
      <c r="E8814" s="4" t="s">
        <v>22</v>
      </c>
      <c r="F8814" s="4" t="s">
        <v>45095</v>
      </c>
      <c r="G8814" s="4" t="s">
        <v>45096</v>
      </c>
      <c r="H8814" s="3" t="s">
        <v>44362</v>
      </c>
      <c r="I8814" s="3" t="s">
        <v>4005</v>
      </c>
      <c r="J8814" s="3" t="s">
        <v>45097</v>
      </c>
      <c r="K8814" s="3" t="s">
        <v>45098</v>
      </c>
      <c r="L8814" s="3"/>
      <c r="M8814" s="4"/>
      <c r="N8814" s="3"/>
      <c r="O8814" s="3"/>
      <c r="P8814" s="5">
        <v>0</v>
      </c>
      <c r="Q8814" s="5">
        <v>0</v>
      </c>
      <c r="R8814" s="5"/>
      <c r="S8814" s="5"/>
    </row>
    <row r="8815" spans="1:19" ht="28" x14ac:dyDescent="0.15">
      <c r="A8815" s="2">
        <f>HYPERLINK("https://open-school.uspishnemisto.com.ua/school/480181/", 480181)</f>
        <v>480181</v>
      </c>
      <c r="B8815" s="3" t="s">
        <v>45099</v>
      </c>
      <c r="C8815" s="3" t="s">
        <v>31</v>
      </c>
      <c r="D8815" s="3" t="s">
        <v>32</v>
      </c>
      <c r="E8815" s="4" t="s">
        <v>22</v>
      </c>
      <c r="F8815" s="4" t="s">
        <v>45095</v>
      </c>
      <c r="G8815" s="4" t="s">
        <v>45096</v>
      </c>
      <c r="H8815" s="3" t="s">
        <v>44362</v>
      </c>
      <c r="I8815" s="3" t="s">
        <v>4005</v>
      </c>
      <c r="J8815" s="3" t="s">
        <v>45097</v>
      </c>
      <c r="K8815" s="3" t="s">
        <v>45100</v>
      </c>
      <c r="L8815" s="3"/>
      <c r="M8815" s="4"/>
      <c r="N8815" s="3" t="s">
        <v>37</v>
      </c>
      <c r="O8815" s="3" t="s">
        <v>38</v>
      </c>
      <c r="P8815" s="5">
        <v>11</v>
      </c>
      <c r="Q8815" s="5">
        <v>180</v>
      </c>
      <c r="R8815" s="5">
        <v>11</v>
      </c>
      <c r="S8815" s="5">
        <v>175</v>
      </c>
    </row>
    <row r="8816" spans="1:19" ht="28" x14ac:dyDescent="0.15">
      <c r="A8816" s="2">
        <f>HYPERLINK("https://open-school.uspishnemisto.com.ua/school/480182/", 480182)</f>
        <v>480182</v>
      </c>
      <c r="B8816" s="3" t="s">
        <v>45101</v>
      </c>
      <c r="C8816" s="3" t="s">
        <v>31</v>
      </c>
      <c r="D8816" s="3" t="s">
        <v>32</v>
      </c>
      <c r="E8816" s="4" t="s">
        <v>22</v>
      </c>
      <c r="F8816" s="4" t="s">
        <v>45102</v>
      </c>
      <c r="G8816" s="4" t="s">
        <v>45103</v>
      </c>
      <c r="H8816" s="3" t="s">
        <v>44362</v>
      </c>
      <c r="I8816" s="3" t="s">
        <v>45104</v>
      </c>
      <c r="J8816" s="3" t="s">
        <v>6840</v>
      </c>
      <c r="K8816" s="3" t="s">
        <v>45105</v>
      </c>
      <c r="L8816" s="3"/>
      <c r="M8816" s="4"/>
      <c r="N8816" s="3" t="s">
        <v>37</v>
      </c>
      <c r="O8816" s="3" t="s">
        <v>38</v>
      </c>
      <c r="P8816" s="5">
        <v>10</v>
      </c>
      <c r="Q8816" s="5">
        <v>94</v>
      </c>
      <c r="R8816" s="5">
        <v>11</v>
      </c>
      <c r="S8816" s="5">
        <v>92</v>
      </c>
    </row>
    <row r="8817" spans="1:19" ht="28" x14ac:dyDescent="0.15">
      <c r="A8817" s="2">
        <f>HYPERLINK("https://open-school.uspishnemisto.com.ua/school/480183/", 480183)</f>
        <v>480183</v>
      </c>
      <c r="B8817" s="3" t="s">
        <v>45106</v>
      </c>
      <c r="C8817" s="3" t="s">
        <v>31</v>
      </c>
      <c r="D8817" s="3" t="s">
        <v>60</v>
      </c>
      <c r="E8817" s="4" t="s">
        <v>22</v>
      </c>
      <c r="F8817" s="4" t="s">
        <v>45107</v>
      </c>
      <c r="G8817" s="4" t="s">
        <v>45108</v>
      </c>
      <c r="H8817" s="3" t="s">
        <v>44362</v>
      </c>
      <c r="I8817" s="3" t="s">
        <v>45109</v>
      </c>
      <c r="J8817" s="3" t="s">
        <v>19629</v>
      </c>
      <c r="K8817" s="3" t="s">
        <v>45110</v>
      </c>
      <c r="L8817" s="3"/>
      <c r="M8817" s="4"/>
      <c r="N8817" s="3" t="s">
        <v>37</v>
      </c>
      <c r="O8817" s="3" t="s">
        <v>52</v>
      </c>
      <c r="P8817" s="5">
        <v>0</v>
      </c>
      <c r="Q8817" s="5">
        <v>9</v>
      </c>
      <c r="R8817" s="5">
        <v>0</v>
      </c>
      <c r="S8817" s="5">
        <v>9</v>
      </c>
    </row>
    <row r="8818" spans="1:19" ht="28" x14ac:dyDescent="0.15">
      <c r="A8818" s="2">
        <f>HYPERLINK("https://open-school.uspishnemisto.com.ua/school/480184/", 480184)</f>
        <v>480184</v>
      </c>
      <c r="B8818" s="3" t="s">
        <v>45111</v>
      </c>
      <c r="C8818" s="3" t="s">
        <v>31</v>
      </c>
      <c r="D8818" s="3" t="s">
        <v>32</v>
      </c>
      <c r="E8818" s="4" t="s">
        <v>22</v>
      </c>
      <c r="F8818" s="4" t="s">
        <v>45112</v>
      </c>
      <c r="G8818" s="4" t="s">
        <v>45113</v>
      </c>
      <c r="H8818" s="3" t="s">
        <v>44362</v>
      </c>
      <c r="I8818" s="3" t="s">
        <v>26243</v>
      </c>
      <c r="J8818" s="3" t="s">
        <v>45114</v>
      </c>
      <c r="K8818" s="3" t="s">
        <v>45115</v>
      </c>
      <c r="L8818" s="3"/>
      <c r="M8818" s="4"/>
      <c r="N8818" s="3" t="s">
        <v>37</v>
      </c>
      <c r="O8818" s="3" t="s">
        <v>38</v>
      </c>
      <c r="P8818" s="5">
        <v>11</v>
      </c>
      <c r="Q8818" s="5">
        <v>128</v>
      </c>
      <c r="R8818" s="5">
        <v>11</v>
      </c>
      <c r="S8818" s="5">
        <v>121</v>
      </c>
    </row>
    <row r="8819" spans="1:19" ht="28" x14ac:dyDescent="0.15">
      <c r="A8819" s="2">
        <f>HYPERLINK("https://open-school.uspishnemisto.com.ua/school/480185/", 480185)</f>
        <v>480185</v>
      </c>
      <c r="B8819" s="3" t="s">
        <v>45116</v>
      </c>
      <c r="C8819" s="3" t="s">
        <v>31</v>
      </c>
      <c r="D8819" s="3" t="s">
        <v>32</v>
      </c>
      <c r="E8819" s="4" t="s">
        <v>22</v>
      </c>
      <c r="F8819" s="4" t="s">
        <v>45117</v>
      </c>
      <c r="G8819" s="4" t="s">
        <v>45118</v>
      </c>
      <c r="H8819" s="3" t="s">
        <v>44362</v>
      </c>
      <c r="I8819" s="3" t="s">
        <v>45119</v>
      </c>
      <c r="J8819" s="3" t="s">
        <v>45120</v>
      </c>
      <c r="K8819" s="3" t="s">
        <v>45121</v>
      </c>
      <c r="L8819" s="3"/>
      <c r="M8819" s="4"/>
      <c r="N8819" s="3" t="s">
        <v>37</v>
      </c>
      <c r="O8819" s="3" t="s">
        <v>52</v>
      </c>
      <c r="P8819" s="5">
        <v>10</v>
      </c>
      <c r="Q8819" s="5">
        <v>145</v>
      </c>
      <c r="R8819" s="5">
        <v>10</v>
      </c>
      <c r="S8819" s="5">
        <v>143</v>
      </c>
    </row>
    <row r="8820" spans="1:19" ht="28" x14ac:dyDescent="0.15">
      <c r="A8820" s="2">
        <f>HYPERLINK("https://open-school.uspishnemisto.com.ua/school/480186/", 480186)</f>
        <v>480186</v>
      </c>
      <c r="B8820" s="3" t="s">
        <v>45122</v>
      </c>
      <c r="C8820" s="3" t="s">
        <v>31</v>
      </c>
      <c r="D8820" s="3" t="s">
        <v>175</v>
      </c>
      <c r="E8820" s="4" t="s">
        <v>22</v>
      </c>
      <c r="F8820" s="4" t="s">
        <v>45123</v>
      </c>
      <c r="G8820" s="4" t="s">
        <v>45124</v>
      </c>
      <c r="H8820" s="3" t="s">
        <v>44362</v>
      </c>
      <c r="I8820" s="3" t="s">
        <v>45125</v>
      </c>
      <c r="J8820" s="3" t="s">
        <v>44962</v>
      </c>
      <c r="K8820" s="3" t="s">
        <v>45126</v>
      </c>
      <c r="L8820" s="3"/>
      <c r="M8820" s="4"/>
      <c r="N8820" s="3" t="s">
        <v>37</v>
      </c>
      <c r="O8820" s="3" t="s">
        <v>46</v>
      </c>
      <c r="P8820" s="5">
        <v>6</v>
      </c>
      <c r="Q8820" s="5">
        <v>43</v>
      </c>
      <c r="R8820" s="5">
        <v>6</v>
      </c>
      <c r="S8820" s="5">
        <v>42</v>
      </c>
    </row>
    <row r="8821" spans="1:19" ht="28" x14ac:dyDescent="0.15">
      <c r="A8821" s="2">
        <f>HYPERLINK("https://open-school.uspishnemisto.com.ua/school/480187/", 480187)</f>
        <v>480187</v>
      </c>
      <c r="B8821" s="3" t="s">
        <v>45127</v>
      </c>
      <c r="C8821" s="3" t="s">
        <v>31</v>
      </c>
      <c r="D8821" s="3" t="s">
        <v>175</v>
      </c>
      <c r="E8821" s="4" t="s">
        <v>22</v>
      </c>
      <c r="F8821" s="4" t="s">
        <v>45128</v>
      </c>
      <c r="G8821" s="4" t="s">
        <v>45129</v>
      </c>
      <c r="H8821" s="3" t="s">
        <v>44362</v>
      </c>
      <c r="I8821" s="3" t="s">
        <v>45130</v>
      </c>
      <c r="J8821" s="3" t="s">
        <v>6598</v>
      </c>
      <c r="K8821" s="3" t="s">
        <v>45131</v>
      </c>
      <c r="L8821" s="3"/>
      <c r="M8821" s="4"/>
      <c r="N8821" s="3" t="s">
        <v>37</v>
      </c>
      <c r="O8821" s="3" t="s">
        <v>70</v>
      </c>
      <c r="P8821" s="5">
        <v>2</v>
      </c>
      <c r="Q8821" s="5">
        <v>26</v>
      </c>
      <c r="R8821" s="5">
        <v>4</v>
      </c>
      <c r="S8821" s="5">
        <v>32</v>
      </c>
    </row>
    <row r="8822" spans="1:19" ht="28" x14ac:dyDescent="0.15">
      <c r="A8822" s="2">
        <f>HYPERLINK("https://open-school.uspishnemisto.com.ua/school/480188/", 480188)</f>
        <v>480188</v>
      </c>
      <c r="B8822" s="3" t="s">
        <v>45132</v>
      </c>
      <c r="C8822" s="3" t="s">
        <v>31</v>
      </c>
      <c r="D8822" s="3" t="s">
        <v>32</v>
      </c>
      <c r="E8822" s="4" t="s">
        <v>22</v>
      </c>
      <c r="F8822" s="4" t="s">
        <v>45133</v>
      </c>
      <c r="G8822" s="4" t="s">
        <v>45134</v>
      </c>
      <c r="H8822" s="3" t="s">
        <v>44362</v>
      </c>
      <c r="I8822" s="3" t="s">
        <v>45135</v>
      </c>
      <c r="J8822" s="3" t="s">
        <v>6840</v>
      </c>
      <c r="K8822" s="3" t="s">
        <v>45136</v>
      </c>
      <c r="L8822" s="3"/>
      <c r="M8822" s="4"/>
      <c r="N8822" s="3" t="s">
        <v>37</v>
      </c>
      <c r="O8822" s="3" t="s">
        <v>52</v>
      </c>
      <c r="P8822" s="5">
        <v>11</v>
      </c>
      <c r="Q8822" s="5">
        <v>90</v>
      </c>
      <c r="R8822" s="5">
        <v>10</v>
      </c>
      <c r="S8822" s="5">
        <v>85</v>
      </c>
    </row>
    <row r="8823" spans="1:19" ht="28" x14ac:dyDescent="0.15">
      <c r="A8823" s="2">
        <f>HYPERLINK("https://open-school.uspishnemisto.com.ua/school/480189/", 480189)</f>
        <v>480189</v>
      </c>
      <c r="B8823" s="3" t="s">
        <v>45137</v>
      </c>
      <c r="C8823" s="3" t="s">
        <v>31</v>
      </c>
      <c r="D8823" s="3" t="s">
        <v>32</v>
      </c>
      <c r="E8823" s="4" t="s">
        <v>22</v>
      </c>
      <c r="F8823" s="4" t="s">
        <v>45138</v>
      </c>
      <c r="G8823" s="4" t="s">
        <v>45139</v>
      </c>
      <c r="H8823" s="3" t="s">
        <v>44362</v>
      </c>
      <c r="I8823" s="3" t="s">
        <v>21936</v>
      </c>
      <c r="J8823" s="3" t="s">
        <v>26366</v>
      </c>
      <c r="K8823" s="3" t="s">
        <v>45140</v>
      </c>
      <c r="L8823" s="3"/>
      <c r="M8823" s="4"/>
      <c r="N8823" s="3" t="s">
        <v>37</v>
      </c>
      <c r="O8823" s="3" t="s">
        <v>52</v>
      </c>
      <c r="P8823" s="5">
        <v>11</v>
      </c>
      <c r="Q8823" s="5">
        <v>84</v>
      </c>
      <c r="R8823" s="5">
        <v>11</v>
      </c>
      <c r="S8823" s="5">
        <v>91</v>
      </c>
    </row>
    <row r="8824" spans="1:19" ht="28" x14ac:dyDescent="0.15">
      <c r="A8824" s="2">
        <f>HYPERLINK("https://open-school.uspishnemisto.com.ua/school/480191/", 480191)</f>
        <v>480191</v>
      </c>
      <c r="B8824" s="3" t="s">
        <v>45141</v>
      </c>
      <c r="C8824" s="3" t="s">
        <v>31</v>
      </c>
      <c r="D8824" s="3" t="s">
        <v>32</v>
      </c>
      <c r="E8824" s="4" t="s">
        <v>22</v>
      </c>
      <c r="F8824" s="4" t="s">
        <v>45142</v>
      </c>
      <c r="G8824" s="4" t="s">
        <v>45143</v>
      </c>
      <c r="H8824" s="3" t="s">
        <v>44362</v>
      </c>
      <c r="I8824" s="3" t="s">
        <v>10789</v>
      </c>
      <c r="J8824" s="3" t="s">
        <v>45144</v>
      </c>
      <c r="K8824" s="3" t="s">
        <v>45145</v>
      </c>
      <c r="L8824" s="3"/>
      <c r="M8824" s="4"/>
      <c r="N8824" s="3" t="s">
        <v>37</v>
      </c>
      <c r="O8824" s="3" t="s">
        <v>38</v>
      </c>
      <c r="P8824" s="5">
        <v>10</v>
      </c>
      <c r="Q8824" s="5">
        <v>79</v>
      </c>
      <c r="R8824" s="5">
        <v>10</v>
      </c>
      <c r="S8824" s="5">
        <v>86</v>
      </c>
    </row>
    <row r="8825" spans="1:19" ht="28" x14ac:dyDescent="0.15">
      <c r="A8825" s="2">
        <f>HYPERLINK("https://open-school.uspishnemisto.com.ua/school/480192/", 480192)</f>
        <v>480192</v>
      </c>
      <c r="B8825" s="3" t="s">
        <v>45146</v>
      </c>
      <c r="C8825" s="3" t="s">
        <v>31</v>
      </c>
      <c r="D8825" s="3" t="s">
        <v>175</v>
      </c>
      <c r="E8825" s="4" t="s">
        <v>22</v>
      </c>
      <c r="F8825" s="4" t="s">
        <v>45147</v>
      </c>
      <c r="G8825" s="4" t="s">
        <v>45148</v>
      </c>
      <c r="H8825" s="3" t="s">
        <v>44362</v>
      </c>
      <c r="I8825" s="3" t="s">
        <v>45149</v>
      </c>
      <c r="J8825" s="3" t="s">
        <v>12886</v>
      </c>
      <c r="K8825" s="3" t="s">
        <v>45150</v>
      </c>
      <c r="L8825" s="3" t="s">
        <v>45151</v>
      </c>
      <c r="M8825" s="4"/>
      <c r="N8825" s="3" t="s">
        <v>37</v>
      </c>
      <c r="O8825" s="3" t="s">
        <v>38</v>
      </c>
      <c r="P8825" s="5">
        <v>9</v>
      </c>
      <c r="Q8825" s="5">
        <v>143</v>
      </c>
      <c r="R8825" s="5">
        <v>9</v>
      </c>
      <c r="S8825" s="5">
        <v>137</v>
      </c>
    </row>
    <row r="8826" spans="1:19" ht="28" x14ac:dyDescent="0.15">
      <c r="A8826" s="2">
        <f>HYPERLINK("https://open-school.uspishnemisto.com.ua/school/480193/", 480193)</f>
        <v>480193</v>
      </c>
      <c r="B8826" s="3" t="s">
        <v>45152</v>
      </c>
      <c r="C8826" s="3" t="s">
        <v>31</v>
      </c>
      <c r="D8826" s="3" t="s">
        <v>175</v>
      </c>
      <c r="E8826" s="4" t="s">
        <v>22</v>
      </c>
      <c r="F8826" s="4" t="s">
        <v>45147</v>
      </c>
      <c r="G8826" s="4" t="s">
        <v>45148</v>
      </c>
      <c r="H8826" s="3" t="s">
        <v>44362</v>
      </c>
      <c r="I8826" s="3" t="s">
        <v>45149</v>
      </c>
      <c r="J8826" s="3" t="s">
        <v>6218</v>
      </c>
      <c r="K8826" s="3" t="s">
        <v>45153</v>
      </c>
      <c r="L8826" s="3"/>
      <c r="M8826" s="4"/>
      <c r="N8826" s="3" t="s">
        <v>37</v>
      </c>
      <c r="O8826" s="3" t="s">
        <v>38</v>
      </c>
      <c r="P8826" s="5">
        <v>9</v>
      </c>
      <c r="Q8826" s="5">
        <v>173</v>
      </c>
      <c r="R8826" s="5">
        <v>9</v>
      </c>
      <c r="S8826" s="5">
        <v>163</v>
      </c>
    </row>
    <row r="8827" spans="1:19" ht="28" x14ac:dyDescent="0.15">
      <c r="A8827" s="2">
        <f>HYPERLINK("https://open-school.uspishnemisto.com.ua/school/480194/", 480194)</f>
        <v>480194</v>
      </c>
      <c r="B8827" s="3" t="s">
        <v>45154</v>
      </c>
      <c r="C8827" s="3" t="s">
        <v>31</v>
      </c>
      <c r="D8827" s="3" t="s">
        <v>32</v>
      </c>
      <c r="E8827" s="4" t="s">
        <v>22</v>
      </c>
      <c r="F8827" s="4" t="s">
        <v>45147</v>
      </c>
      <c r="G8827" s="4" t="s">
        <v>45148</v>
      </c>
      <c r="H8827" s="3" t="s">
        <v>44362</v>
      </c>
      <c r="I8827" s="3" t="s">
        <v>45149</v>
      </c>
      <c r="J8827" s="3" t="s">
        <v>45155</v>
      </c>
      <c r="K8827" s="3" t="s">
        <v>45156</v>
      </c>
      <c r="L8827" s="3"/>
      <c r="M8827" s="4"/>
      <c r="N8827" s="3" t="s">
        <v>37</v>
      </c>
      <c r="O8827" s="3" t="s">
        <v>46</v>
      </c>
      <c r="P8827" s="5">
        <v>22</v>
      </c>
      <c r="Q8827" s="5">
        <v>506</v>
      </c>
      <c r="R8827" s="5">
        <v>22</v>
      </c>
      <c r="S8827" s="5">
        <v>512</v>
      </c>
    </row>
    <row r="8828" spans="1:19" ht="28" x14ac:dyDescent="0.15">
      <c r="A8828" s="2">
        <f>HYPERLINK("https://open-school.uspishnemisto.com.ua/school/480195/", 480195)</f>
        <v>480195</v>
      </c>
      <c r="B8828" s="3" t="s">
        <v>45157</v>
      </c>
      <c r="C8828" s="3" t="s">
        <v>31</v>
      </c>
      <c r="D8828" s="3" t="s">
        <v>60</v>
      </c>
      <c r="E8828" s="4" t="s">
        <v>22</v>
      </c>
      <c r="F8828" s="4" t="s">
        <v>45158</v>
      </c>
      <c r="G8828" s="4" t="s">
        <v>45159</v>
      </c>
      <c r="H8828" s="3" t="s">
        <v>44362</v>
      </c>
      <c r="I8828" s="3" t="s">
        <v>35107</v>
      </c>
      <c r="J8828" s="3"/>
      <c r="K8828" s="3" t="s">
        <v>45160</v>
      </c>
      <c r="L8828" s="3"/>
      <c r="M8828" s="4"/>
      <c r="N8828" s="3" t="s">
        <v>37</v>
      </c>
      <c r="O8828" s="3" t="s">
        <v>52</v>
      </c>
      <c r="P8828" s="5">
        <v>0</v>
      </c>
      <c r="Q8828" s="5">
        <v>10</v>
      </c>
      <c r="R8828" s="5">
        <v>1</v>
      </c>
      <c r="S8828" s="5">
        <v>15</v>
      </c>
    </row>
    <row r="8829" spans="1:19" ht="28" x14ac:dyDescent="0.15">
      <c r="A8829" s="2">
        <f>HYPERLINK("https://open-school.uspishnemisto.com.ua/school/480196/", 480196)</f>
        <v>480196</v>
      </c>
      <c r="B8829" s="3" t="s">
        <v>45161</v>
      </c>
      <c r="C8829" s="3" t="s">
        <v>31</v>
      </c>
      <c r="D8829" s="3" t="s">
        <v>175</v>
      </c>
      <c r="E8829" s="4" t="s">
        <v>22</v>
      </c>
      <c r="F8829" s="4" t="s">
        <v>45162</v>
      </c>
      <c r="G8829" s="4" t="s">
        <v>45163</v>
      </c>
      <c r="H8829" s="3" t="s">
        <v>44362</v>
      </c>
      <c r="I8829" s="3" t="s">
        <v>19447</v>
      </c>
      <c r="J8829" s="3" t="s">
        <v>45164</v>
      </c>
      <c r="K8829" s="3" t="s">
        <v>45165</v>
      </c>
      <c r="L8829" s="3"/>
      <c r="M8829" s="4"/>
      <c r="N8829" s="3" t="s">
        <v>37</v>
      </c>
      <c r="O8829" s="3" t="s">
        <v>38</v>
      </c>
      <c r="P8829" s="5">
        <v>2</v>
      </c>
      <c r="Q8829" s="5">
        <v>25</v>
      </c>
      <c r="R8829" s="5">
        <v>2</v>
      </c>
      <c r="S8829" s="5">
        <v>25</v>
      </c>
    </row>
    <row r="8830" spans="1:19" ht="28" x14ac:dyDescent="0.15">
      <c r="A8830" s="2">
        <f>HYPERLINK("https://open-school.uspishnemisto.com.ua/school/480197/", 480197)</f>
        <v>480197</v>
      </c>
      <c r="B8830" s="3" t="s">
        <v>45166</v>
      </c>
      <c r="C8830" s="3" t="s">
        <v>31</v>
      </c>
      <c r="D8830" s="3" t="s">
        <v>32</v>
      </c>
      <c r="E8830" s="4" t="s">
        <v>22</v>
      </c>
      <c r="F8830" s="4" t="s">
        <v>45167</v>
      </c>
      <c r="G8830" s="4" t="s">
        <v>45168</v>
      </c>
      <c r="H8830" s="3" t="s">
        <v>44362</v>
      </c>
      <c r="I8830" s="3" t="s">
        <v>45169</v>
      </c>
      <c r="J8830" s="3" t="s">
        <v>5492</v>
      </c>
      <c r="K8830" s="3" t="s">
        <v>45170</v>
      </c>
      <c r="L8830" s="3"/>
      <c r="M8830" s="4"/>
      <c r="N8830" s="3" t="s">
        <v>37</v>
      </c>
      <c r="O8830" s="3" t="s">
        <v>38</v>
      </c>
      <c r="P8830" s="5">
        <v>11</v>
      </c>
      <c r="Q8830" s="5">
        <v>206</v>
      </c>
      <c r="R8830" s="5">
        <v>10</v>
      </c>
      <c r="S8830" s="5">
        <v>194</v>
      </c>
    </row>
    <row r="8831" spans="1:19" ht="28" x14ac:dyDescent="0.15">
      <c r="A8831" s="2">
        <f>HYPERLINK("https://open-school.uspishnemisto.com.ua/school/480198/", 480198)</f>
        <v>480198</v>
      </c>
      <c r="B8831" s="3" t="s">
        <v>45171</v>
      </c>
      <c r="C8831" s="3" t="s">
        <v>31</v>
      </c>
      <c r="D8831" s="3" t="s">
        <v>32</v>
      </c>
      <c r="E8831" s="4" t="s">
        <v>22</v>
      </c>
      <c r="F8831" s="4" t="s">
        <v>45172</v>
      </c>
      <c r="G8831" s="4" t="s">
        <v>45173</v>
      </c>
      <c r="H8831" s="3" t="s">
        <v>44362</v>
      </c>
      <c r="I8831" s="3" t="s">
        <v>45174</v>
      </c>
      <c r="J8831" s="3" t="s">
        <v>3244</v>
      </c>
      <c r="K8831" s="3" t="s">
        <v>45175</v>
      </c>
      <c r="L8831" s="3" t="s">
        <v>45176</v>
      </c>
      <c r="M8831" s="4"/>
      <c r="N8831" s="3" t="s">
        <v>37</v>
      </c>
      <c r="O8831" s="3" t="s">
        <v>52</v>
      </c>
      <c r="P8831" s="5">
        <v>9</v>
      </c>
      <c r="Q8831" s="5">
        <v>83</v>
      </c>
      <c r="R8831" s="5">
        <v>10</v>
      </c>
      <c r="S8831" s="5">
        <v>94</v>
      </c>
    </row>
    <row r="8832" spans="1:19" ht="28" x14ac:dyDescent="0.15">
      <c r="A8832" s="2">
        <f>HYPERLINK("https://open-school.uspishnemisto.com.ua/school/480199/", 480199)</f>
        <v>480199</v>
      </c>
      <c r="B8832" s="3" t="s">
        <v>45177</v>
      </c>
      <c r="C8832" s="3" t="s">
        <v>31</v>
      </c>
      <c r="D8832" s="3" t="s">
        <v>32</v>
      </c>
      <c r="E8832" s="4" t="s">
        <v>22</v>
      </c>
      <c r="F8832" s="4" t="s">
        <v>45178</v>
      </c>
      <c r="G8832" s="4" t="s">
        <v>45179</v>
      </c>
      <c r="H8832" s="3" t="s">
        <v>44362</v>
      </c>
      <c r="I8832" s="3" t="s">
        <v>45180</v>
      </c>
      <c r="J8832" s="3" t="s">
        <v>634</v>
      </c>
      <c r="K8832" s="3" t="s">
        <v>45181</v>
      </c>
      <c r="L8832" s="3"/>
      <c r="M8832" s="4"/>
      <c r="N8832" s="3" t="s">
        <v>37</v>
      </c>
      <c r="O8832" s="3" t="s">
        <v>52</v>
      </c>
      <c r="P8832" s="5">
        <v>11</v>
      </c>
      <c r="Q8832" s="5">
        <v>154</v>
      </c>
      <c r="R8832" s="5">
        <v>11</v>
      </c>
      <c r="S8832" s="5">
        <v>152</v>
      </c>
    </row>
    <row r="8833" spans="1:19" ht="28" x14ac:dyDescent="0.15">
      <c r="A8833" s="2">
        <f>HYPERLINK("https://open-school.uspishnemisto.com.ua/school/480200/", 480200)</f>
        <v>480200</v>
      </c>
      <c r="B8833" s="3" t="s">
        <v>45182</v>
      </c>
      <c r="C8833" s="3" t="s">
        <v>31</v>
      </c>
      <c r="D8833" s="3" t="s">
        <v>60</v>
      </c>
      <c r="E8833" s="4" t="s">
        <v>22</v>
      </c>
      <c r="F8833" s="4" t="s">
        <v>45178</v>
      </c>
      <c r="G8833" s="4" t="s">
        <v>45183</v>
      </c>
      <c r="H8833" s="3" t="s">
        <v>44362</v>
      </c>
      <c r="I8833" s="3" t="s">
        <v>6822</v>
      </c>
      <c r="J8833" s="3" t="s">
        <v>45184</v>
      </c>
      <c r="K8833" s="3"/>
      <c r="L8833" s="3"/>
      <c r="M8833" s="4"/>
      <c r="N8833" s="3" t="s">
        <v>37</v>
      </c>
      <c r="O8833" s="3" t="s">
        <v>52</v>
      </c>
      <c r="P8833" s="5">
        <v>1</v>
      </c>
      <c r="Q8833" s="5">
        <v>14</v>
      </c>
      <c r="R8833" s="5">
        <v>0</v>
      </c>
      <c r="S8833" s="5">
        <v>14</v>
      </c>
    </row>
    <row r="8834" spans="1:19" ht="28" x14ac:dyDescent="0.15">
      <c r="A8834" s="2">
        <f>HYPERLINK("https://open-school.uspishnemisto.com.ua/school/480201/", 480201)</f>
        <v>480201</v>
      </c>
      <c r="B8834" s="3" t="s">
        <v>45185</v>
      </c>
      <c r="C8834" s="3" t="s">
        <v>31</v>
      </c>
      <c r="D8834" s="3" t="s">
        <v>32</v>
      </c>
      <c r="E8834" s="4" t="s">
        <v>22</v>
      </c>
      <c r="F8834" s="4" t="s">
        <v>45178</v>
      </c>
      <c r="G8834" s="4" t="s">
        <v>45186</v>
      </c>
      <c r="H8834" s="3" t="s">
        <v>44362</v>
      </c>
      <c r="I8834" s="3" t="s">
        <v>45187</v>
      </c>
      <c r="J8834" s="3"/>
      <c r="K8834" s="3" t="s">
        <v>45188</v>
      </c>
      <c r="L8834" s="3"/>
      <c r="M8834" s="4"/>
      <c r="N8834" s="3" t="s">
        <v>37</v>
      </c>
      <c r="O8834" s="3" t="s">
        <v>52</v>
      </c>
      <c r="P8834" s="5">
        <v>3</v>
      </c>
      <c r="Q8834" s="5">
        <v>29</v>
      </c>
      <c r="R8834" s="5">
        <v>2</v>
      </c>
      <c r="S8834" s="5">
        <v>20</v>
      </c>
    </row>
    <row r="8835" spans="1:19" ht="28" x14ac:dyDescent="0.15">
      <c r="A8835" s="2">
        <f>HYPERLINK("https://open-school.uspishnemisto.com.ua/school/480202/", 480202)</f>
        <v>480202</v>
      </c>
      <c r="B8835" s="3" t="s">
        <v>45189</v>
      </c>
      <c r="C8835" s="3" t="s">
        <v>31</v>
      </c>
      <c r="D8835" s="3" t="s">
        <v>60</v>
      </c>
      <c r="E8835" s="4" t="s">
        <v>22</v>
      </c>
      <c r="F8835" s="4" t="s">
        <v>45178</v>
      </c>
      <c r="G8835" s="4" t="s">
        <v>45190</v>
      </c>
      <c r="H8835" s="3" t="s">
        <v>44362</v>
      </c>
      <c r="I8835" s="3" t="s">
        <v>35754</v>
      </c>
      <c r="J8835" s="3" t="s">
        <v>45191</v>
      </c>
      <c r="K8835" s="3" t="s">
        <v>45192</v>
      </c>
      <c r="L8835" s="3"/>
      <c r="M8835" s="4"/>
      <c r="N8835" s="3" t="s">
        <v>37</v>
      </c>
      <c r="O8835" s="3" t="s">
        <v>52</v>
      </c>
      <c r="P8835" s="5">
        <v>0</v>
      </c>
      <c r="Q8835" s="5">
        <v>3</v>
      </c>
      <c r="R8835" s="5">
        <v>0</v>
      </c>
      <c r="S8835" s="5">
        <v>3</v>
      </c>
    </row>
    <row r="8836" spans="1:19" ht="28" x14ac:dyDescent="0.15">
      <c r="A8836" s="2">
        <f>HYPERLINK("https://open-school.uspishnemisto.com.ua/school/480203/", 480203)</f>
        <v>480203</v>
      </c>
      <c r="B8836" s="3" t="s">
        <v>45193</v>
      </c>
      <c r="C8836" s="3" t="s">
        <v>31</v>
      </c>
      <c r="D8836" s="3" t="s">
        <v>32</v>
      </c>
      <c r="E8836" s="4" t="s">
        <v>22</v>
      </c>
      <c r="F8836" s="4" t="s">
        <v>45194</v>
      </c>
      <c r="G8836" s="4" t="s">
        <v>45195</v>
      </c>
      <c r="H8836" s="3" t="s">
        <v>44362</v>
      </c>
      <c r="I8836" s="3" t="s">
        <v>32428</v>
      </c>
      <c r="J8836" s="3" t="s">
        <v>566</v>
      </c>
      <c r="K8836" s="3" t="s">
        <v>45196</v>
      </c>
      <c r="L8836" s="3"/>
      <c r="M8836" s="4"/>
      <c r="N8836" s="3" t="s">
        <v>37</v>
      </c>
      <c r="O8836" s="3" t="s">
        <v>52</v>
      </c>
      <c r="P8836" s="5">
        <v>11</v>
      </c>
      <c r="Q8836" s="5">
        <v>86</v>
      </c>
      <c r="R8836" s="5">
        <v>10</v>
      </c>
      <c r="S8836" s="5">
        <v>82</v>
      </c>
    </row>
    <row r="8837" spans="1:19" ht="28" x14ac:dyDescent="0.15">
      <c r="A8837" s="2">
        <f>HYPERLINK("https://open-school.uspishnemisto.com.ua/school/480204/", 480204)</f>
        <v>480204</v>
      </c>
      <c r="B8837" s="3" t="s">
        <v>45197</v>
      </c>
      <c r="C8837" s="3" t="s">
        <v>31</v>
      </c>
      <c r="D8837" s="3" t="s">
        <v>32</v>
      </c>
      <c r="E8837" s="4" t="s">
        <v>22</v>
      </c>
      <c r="F8837" s="4" t="s">
        <v>45198</v>
      </c>
      <c r="G8837" s="4" t="s">
        <v>45199</v>
      </c>
      <c r="H8837" s="3" t="s">
        <v>44362</v>
      </c>
      <c r="I8837" s="3" t="s">
        <v>45200</v>
      </c>
      <c r="J8837" s="3" t="s">
        <v>13066</v>
      </c>
      <c r="K8837" s="3" t="s">
        <v>45201</v>
      </c>
      <c r="L8837" s="3"/>
      <c r="M8837" s="4"/>
      <c r="N8837" s="3" t="s">
        <v>128</v>
      </c>
      <c r="O8837" s="3" t="s">
        <v>38</v>
      </c>
      <c r="P8837" s="5">
        <v>8</v>
      </c>
      <c r="Q8837" s="5">
        <v>64</v>
      </c>
      <c r="R8837" s="5">
        <v>9</v>
      </c>
      <c r="S8837" s="5">
        <v>75</v>
      </c>
    </row>
    <row r="8838" spans="1:19" ht="28" x14ac:dyDescent="0.15">
      <c r="A8838" s="2">
        <f>HYPERLINK("https://open-school.uspishnemisto.com.ua/school/480205/", 480205)</f>
        <v>480205</v>
      </c>
      <c r="B8838" s="3" t="s">
        <v>45202</v>
      </c>
      <c r="C8838" s="3" t="s">
        <v>31</v>
      </c>
      <c r="D8838" s="3" t="s">
        <v>32</v>
      </c>
      <c r="E8838" s="4" t="s">
        <v>22</v>
      </c>
      <c r="F8838" s="4" t="s">
        <v>45203</v>
      </c>
      <c r="G8838" s="4" t="s">
        <v>45204</v>
      </c>
      <c r="H8838" s="3" t="s">
        <v>44362</v>
      </c>
      <c r="I8838" s="3" t="s">
        <v>45205</v>
      </c>
      <c r="J8838" s="3" t="s">
        <v>45206</v>
      </c>
      <c r="K8838" s="3"/>
      <c r="L8838" s="3"/>
      <c r="M8838" s="4"/>
      <c r="N8838" s="3" t="s">
        <v>37</v>
      </c>
      <c r="O8838" s="3" t="s">
        <v>38</v>
      </c>
      <c r="P8838" s="5">
        <v>11</v>
      </c>
      <c r="Q8838" s="5">
        <v>120</v>
      </c>
      <c r="R8838" s="5">
        <v>11</v>
      </c>
      <c r="S8838" s="5">
        <v>115</v>
      </c>
    </row>
    <row r="8839" spans="1:19" ht="28" x14ac:dyDescent="0.15">
      <c r="A8839" s="2">
        <f>HYPERLINK("https://open-school.uspishnemisto.com.ua/school/480206/", 480206)</f>
        <v>480206</v>
      </c>
      <c r="B8839" s="3" t="s">
        <v>45207</v>
      </c>
      <c r="C8839" s="3" t="s">
        <v>31</v>
      </c>
      <c r="D8839" s="3" t="s">
        <v>175</v>
      </c>
      <c r="E8839" s="4" t="s">
        <v>22</v>
      </c>
      <c r="F8839" s="4" t="s">
        <v>45208</v>
      </c>
      <c r="G8839" s="4" t="s">
        <v>45209</v>
      </c>
      <c r="H8839" s="3" t="s">
        <v>44362</v>
      </c>
      <c r="I8839" s="3" t="s">
        <v>45210</v>
      </c>
      <c r="J8839" s="3" t="s">
        <v>2253</v>
      </c>
      <c r="K8839" s="3" t="s">
        <v>45211</v>
      </c>
      <c r="L8839" s="3"/>
      <c r="M8839" s="4"/>
      <c r="N8839" s="3" t="s">
        <v>37</v>
      </c>
      <c r="O8839" s="3" t="s">
        <v>38</v>
      </c>
      <c r="P8839" s="5">
        <v>4</v>
      </c>
      <c r="Q8839" s="5">
        <v>40</v>
      </c>
      <c r="R8839" s="5">
        <v>3</v>
      </c>
      <c r="S8839" s="5">
        <v>33</v>
      </c>
    </row>
    <row r="8840" spans="1:19" ht="28" x14ac:dyDescent="0.15">
      <c r="A8840" s="2">
        <f>HYPERLINK("https://open-school.uspishnemisto.com.ua/school/480207/", 480207)</f>
        <v>480207</v>
      </c>
      <c r="B8840" s="3" t="s">
        <v>45212</v>
      </c>
      <c r="C8840" s="3" t="s">
        <v>31</v>
      </c>
      <c r="D8840" s="3" t="s">
        <v>32</v>
      </c>
      <c r="E8840" s="4" t="s">
        <v>22</v>
      </c>
      <c r="F8840" s="4" t="s">
        <v>45213</v>
      </c>
      <c r="G8840" s="4" t="s">
        <v>45214</v>
      </c>
      <c r="H8840" s="3" t="s">
        <v>44362</v>
      </c>
      <c r="I8840" s="3" t="s">
        <v>45215</v>
      </c>
      <c r="J8840" s="3" t="s">
        <v>45216</v>
      </c>
      <c r="K8840" s="3" t="s">
        <v>45217</v>
      </c>
      <c r="L8840" s="3"/>
      <c r="M8840" s="4"/>
      <c r="N8840" s="3" t="s">
        <v>37</v>
      </c>
      <c r="O8840" s="3" t="s">
        <v>38</v>
      </c>
      <c r="P8840" s="5">
        <v>7</v>
      </c>
      <c r="Q8840" s="5">
        <v>55</v>
      </c>
      <c r="R8840" s="5">
        <v>5</v>
      </c>
      <c r="S8840" s="5">
        <v>53</v>
      </c>
    </row>
    <row r="8841" spans="1:19" ht="28" x14ac:dyDescent="0.15">
      <c r="A8841" s="2">
        <f>HYPERLINK("https://open-school.uspishnemisto.com.ua/school/480208/", 480208)</f>
        <v>480208</v>
      </c>
      <c r="B8841" s="3" t="s">
        <v>45218</v>
      </c>
      <c r="C8841" s="3" t="s">
        <v>31</v>
      </c>
      <c r="D8841" s="3" t="s">
        <v>32</v>
      </c>
      <c r="E8841" s="4" t="s">
        <v>22</v>
      </c>
      <c r="F8841" s="4" t="s">
        <v>45219</v>
      </c>
      <c r="G8841" s="4" t="s">
        <v>45220</v>
      </c>
      <c r="H8841" s="3" t="s">
        <v>44362</v>
      </c>
      <c r="I8841" s="3" t="s">
        <v>45221</v>
      </c>
      <c r="J8841" s="3" t="s">
        <v>45222</v>
      </c>
      <c r="K8841" s="3" t="s">
        <v>45223</v>
      </c>
      <c r="L8841" s="3" t="s">
        <v>45224</v>
      </c>
      <c r="M8841" s="4"/>
      <c r="N8841" s="3" t="s">
        <v>37</v>
      </c>
      <c r="O8841" s="3" t="s">
        <v>38</v>
      </c>
      <c r="P8841" s="5">
        <v>9</v>
      </c>
      <c r="Q8841" s="5">
        <v>78</v>
      </c>
      <c r="R8841" s="5">
        <v>9</v>
      </c>
      <c r="S8841" s="5">
        <v>92</v>
      </c>
    </row>
    <row r="8842" spans="1:19" ht="28" x14ac:dyDescent="0.15">
      <c r="A8842" s="2">
        <f>HYPERLINK("https://open-school.uspishnemisto.com.ua/school/480209/", 480209)</f>
        <v>480209</v>
      </c>
      <c r="B8842" s="3" t="s">
        <v>45225</v>
      </c>
      <c r="C8842" s="3" t="s">
        <v>31</v>
      </c>
      <c r="D8842" s="3" t="s">
        <v>32</v>
      </c>
      <c r="E8842" s="4" t="s">
        <v>22</v>
      </c>
      <c r="F8842" s="4" t="s">
        <v>45226</v>
      </c>
      <c r="G8842" s="4" t="s">
        <v>45227</v>
      </c>
      <c r="H8842" s="3" t="s">
        <v>44362</v>
      </c>
      <c r="I8842" s="3" t="s">
        <v>7563</v>
      </c>
      <c r="J8842" s="3" t="s">
        <v>532</v>
      </c>
      <c r="K8842" s="3" t="s">
        <v>45228</v>
      </c>
      <c r="L8842" s="3"/>
      <c r="M8842" s="4"/>
      <c r="N8842" s="3" t="s">
        <v>37</v>
      </c>
      <c r="O8842" s="3" t="s">
        <v>38</v>
      </c>
      <c r="P8842" s="5">
        <v>9</v>
      </c>
      <c r="Q8842" s="5">
        <v>83</v>
      </c>
      <c r="R8842" s="5">
        <v>10</v>
      </c>
      <c r="S8842" s="5">
        <v>81</v>
      </c>
    </row>
    <row r="8843" spans="1:19" ht="28" x14ac:dyDescent="0.15">
      <c r="A8843" s="2">
        <f>HYPERLINK("https://open-school.uspishnemisto.com.ua/school/480210/", 480210)</f>
        <v>480210</v>
      </c>
      <c r="B8843" s="3" t="s">
        <v>45229</v>
      </c>
      <c r="C8843" s="3" t="s">
        <v>31</v>
      </c>
      <c r="D8843" s="3" t="s">
        <v>32</v>
      </c>
      <c r="E8843" s="4" t="s">
        <v>22</v>
      </c>
      <c r="F8843" s="4" t="s">
        <v>45230</v>
      </c>
      <c r="G8843" s="4" t="s">
        <v>45231</v>
      </c>
      <c r="H8843" s="3" t="s">
        <v>44362</v>
      </c>
      <c r="I8843" s="3" t="s">
        <v>45232</v>
      </c>
      <c r="J8843" s="3" t="s">
        <v>466</v>
      </c>
      <c r="K8843" s="3" t="s">
        <v>45233</v>
      </c>
      <c r="L8843" s="3"/>
      <c r="M8843" s="4"/>
      <c r="N8843" s="3" t="s">
        <v>37</v>
      </c>
      <c r="O8843" s="3" t="s">
        <v>52</v>
      </c>
      <c r="P8843" s="5">
        <v>0</v>
      </c>
      <c r="Q8843" s="5">
        <v>7</v>
      </c>
      <c r="R8843" s="5">
        <v>0</v>
      </c>
      <c r="S8843" s="5">
        <v>15</v>
      </c>
    </row>
    <row r="8844" spans="1:19" ht="28" x14ac:dyDescent="0.15">
      <c r="A8844" s="2">
        <f>HYPERLINK("https://open-school.uspishnemisto.com.ua/school/480211/", 480211)</f>
        <v>480211</v>
      </c>
      <c r="B8844" s="3" t="s">
        <v>45234</v>
      </c>
      <c r="C8844" s="3" t="s">
        <v>31</v>
      </c>
      <c r="D8844" s="3" t="s">
        <v>32</v>
      </c>
      <c r="E8844" s="4" t="s">
        <v>22</v>
      </c>
      <c r="F8844" s="4" t="s">
        <v>45235</v>
      </c>
      <c r="G8844" s="4" t="s">
        <v>45236</v>
      </c>
      <c r="H8844" s="3" t="s">
        <v>44362</v>
      </c>
      <c r="I8844" s="3" t="s">
        <v>13213</v>
      </c>
      <c r="J8844" s="3" t="s">
        <v>2638</v>
      </c>
      <c r="K8844" s="3" t="s">
        <v>45237</v>
      </c>
      <c r="L8844" s="3"/>
      <c r="M8844" s="4"/>
      <c r="N8844" s="3" t="s">
        <v>37</v>
      </c>
      <c r="O8844" s="3" t="s">
        <v>38</v>
      </c>
      <c r="P8844" s="5">
        <v>7</v>
      </c>
      <c r="Q8844" s="5">
        <v>52</v>
      </c>
      <c r="R8844" s="5">
        <v>7</v>
      </c>
      <c r="S8844" s="5">
        <v>56</v>
      </c>
    </row>
    <row r="8845" spans="1:19" ht="28" x14ac:dyDescent="0.15">
      <c r="A8845" s="2">
        <f>HYPERLINK("https://open-school.uspishnemisto.com.ua/school/480212/", 480212)</f>
        <v>480212</v>
      </c>
      <c r="B8845" s="3" t="s">
        <v>45238</v>
      </c>
      <c r="C8845" s="3" t="s">
        <v>31</v>
      </c>
      <c r="D8845" s="3" t="s">
        <v>175</v>
      </c>
      <c r="E8845" s="4" t="s">
        <v>253</v>
      </c>
      <c r="F8845" s="4"/>
      <c r="G8845" s="4" t="s">
        <v>45239</v>
      </c>
      <c r="H8845" s="3" t="s">
        <v>44362</v>
      </c>
      <c r="I8845" s="3" t="s">
        <v>4683</v>
      </c>
      <c r="J8845" s="3" t="s">
        <v>12836</v>
      </c>
      <c r="K8845" s="3" t="s">
        <v>45240</v>
      </c>
      <c r="L8845" s="3"/>
      <c r="M8845" s="4"/>
      <c r="N8845" s="3" t="s">
        <v>37</v>
      </c>
      <c r="O8845" s="3" t="s">
        <v>52</v>
      </c>
      <c r="P8845" s="5">
        <v>1</v>
      </c>
      <c r="Q8845" s="5">
        <v>25</v>
      </c>
      <c r="R8845" s="5">
        <v>2</v>
      </c>
      <c r="S8845" s="5">
        <v>27</v>
      </c>
    </row>
    <row r="8846" spans="1:19" ht="28" x14ac:dyDescent="0.15">
      <c r="A8846" s="2">
        <f>HYPERLINK("https://open-school.uspishnemisto.com.ua/school/480213/", 480213)</f>
        <v>480213</v>
      </c>
      <c r="B8846" s="3" t="s">
        <v>45241</v>
      </c>
      <c r="C8846" s="3" t="s">
        <v>31</v>
      </c>
      <c r="D8846" s="3" t="s">
        <v>60</v>
      </c>
      <c r="E8846" s="4" t="s">
        <v>22</v>
      </c>
      <c r="F8846" s="4" t="s">
        <v>45242</v>
      </c>
      <c r="G8846" s="4" t="s">
        <v>45243</v>
      </c>
      <c r="H8846" s="3" t="s">
        <v>44362</v>
      </c>
      <c r="I8846" s="3" t="s">
        <v>12551</v>
      </c>
      <c r="J8846" s="3" t="s">
        <v>45244</v>
      </c>
      <c r="K8846" s="3" t="s">
        <v>45245</v>
      </c>
      <c r="L8846" s="3"/>
      <c r="M8846" s="4"/>
      <c r="N8846" s="3" t="s">
        <v>37</v>
      </c>
      <c r="O8846" s="3" t="s">
        <v>52</v>
      </c>
      <c r="P8846" s="5">
        <v>8</v>
      </c>
      <c r="Q8846" s="5">
        <v>181</v>
      </c>
      <c r="R8846" s="5">
        <v>8</v>
      </c>
      <c r="S8846" s="5">
        <v>167</v>
      </c>
    </row>
    <row r="8847" spans="1:19" ht="28" x14ac:dyDescent="0.15">
      <c r="A8847" s="2">
        <f>HYPERLINK("https://open-school.uspishnemisto.com.ua/school/480214/", 480214)</f>
        <v>480214</v>
      </c>
      <c r="B8847" s="3" t="s">
        <v>45246</v>
      </c>
      <c r="C8847" s="3" t="s">
        <v>31</v>
      </c>
      <c r="D8847" s="3" t="s">
        <v>32</v>
      </c>
      <c r="E8847" s="4" t="s">
        <v>22</v>
      </c>
      <c r="F8847" s="4" t="s">
        <v>45242</v>
      </c>
      <c r="G8847" s="4" t="s">
        <v>45243</v>
      </c>
      <c r="H8847" s="3" t="s">
        <v>44362</v>
      </c>
      <c r="I8847" s="3" t="s">
        <v>12551</v>
      </c>
      <c r="J8847" s="3" t="s">
        <v>45247</v>
      </c>
      <c r="K8847" s="3"/>
      <c r="L8847" s="3" t="s">
        <v>45248</v>
      </c>
      <c r="M8847" s="4"/>
      <c r="N8847" s="3" t="s">
        <v>37</v>
      </c>
      <c r="O8847" s="3" t="s">
        <v>52</v>
      </c>
      <c r="P8847" s="5">
        <v>14</v>
      </c>
      <c r="Q8847" s="5">
        <v>277</v>
      </c>
      <c r="R8847" s="5">
        <v>13</v>
      </c>
      <c r="S8847" s="5">
        <v>277</v>
      </c>
    </row>
    <row r="8848" spans="1:19" ht="28" x14ac:dyDescent="0.15">
      <c r="A8848" s="2">
        <f>HYPERLINK("https://open-school.uspishnemisto.com.ua/school/480215/", 480215)</f>
        <v>480215</v>
      </c>
      <c r="B8848" s="3" t="s">
        <v>45249</v>
      </c>
      <c r="C8848" s="3" t="s">
        <v>40</v>
      </c>
      <c r="D8848" s="3" t="s">
        <v>32</v>
      </c>
      <c r="E8848" s="4" t="s">
        <v>22</v>
      </c>
      <c r="F8848" s="4" t="s">
        <v>45242</v>
      </c>
      <c r="G8848" s="4" t="s">
        <v>45243</v>
      </c>
      <c r="H8848" s="3" t="s">
        <v>44362</v>
      </c>
      <c r="I8848" s="3" t="s">
        <v>12551</v>
      </c>
      <c r="J8848" s="3" t="s">
        <v>45250</v>
      </c>
      <c r="K8848" s="3" t="s">
        <v>45251</v>
      </c>
      <c r="L8848" s="3"/>
      <c r="M8848" s="4"/>
      <c r="N8848" s="3" t="s">
        <v>37</v>
      </c>
      <c r="O8848" s="3" t="s">
        <v>52</v>
      </c>
      <c r="P8848" s="5">
        <v>10</v>
      </c>
      <c r="Q8848" s="5">
        <v>211</v>
      </c>
      <c r="R8848" s="5">
        <v>10</v>
      </c>
      <c r="S8848" s="5">
        <v>203</v>
      </c>
    </row>
    <row r="8849" spans="1:19" ht="28" x14ac:dyDescent="0.15">
      <c r="A8849" s="2">
        <f>HYPERLINK("https://open-school.uspishnemisto.com.ua/school/480216/", 480216)</f>
        <v>480216</v>
      </c>
      <c r="B8849" s="3" t="s">
        <v>45252</v>
      </c>
      <c r="C8849" s="3" t="s">
        <v>31</v>
      </c>
      <c r="D8849" s="3" t="s">
        <v>175</v>
      </c>
      <c r="E8849" s="4" t="s">
        <v>22</v>
      </c>
      <c r="F8849" s="4" t="s">
        <v>45253</v>
      </c>
      <c r="G8849" s="4" t="s">
        <v>45254</v>
      </c>
      <c r="H8849" s="3" t="s">
        <v>44362</v>
      </c>
      <c r="I8849" s="3" t="s">
        <v>45255</v>
      </c>
      <c r="J8849" s="3" t="s">
        <v>718</v>
      </c>
      <c r="K8849" s="3"/>
      <c r="L8849" s="3"/>
      <c r="M8849" s="4"/>
      <c r="N8849" s="3" t="s">
        <v>37</v>
      </c>
      <c r="O8849" s="3" t="s">
        <v>52</v>
      </c>
      <c r="P8849" s="5">
        <v>9</v>
      </c>
      <c r="Q8849" s="5">
        <v>69</v>
      </c>
      <c r="R8849" s="5">
        <v>8</v>
      </c>
      <c r="S8849" s="5">
        <v>65</v>
      </c>
    </row>
    <row r="8850" spans="1:19" ht="28" x14ac:dyDescent="0.15">
      <c r="A8850" s="2">
        <f>HYPERLINK("https://open-school.uspishnemisto.com.ua/school/480217/", 480217)</f>
        <v>480217</v>
      </c>
      <c r="B8850" s="3" t="s">
        <v>45256</v>
      </c>
      <c r="C8850" s="3" t="s">
        <v>31</v>
      </c>
      <c r="D8850" s="3" t="s">
        <v>32</v>
      </c>
      <c r="E8850" s="4" t="s">
        <v>22</v>
      </c>
      <c r="F8850" s="4" t="s">
        <v>45257</v>
      </c>
      <c r="G8850" s="4" t="s">
        <v>45258</v>
      </c>
      <c r="H8850" s="3" t="s">
        <v>44362</v>
      </c>
      <c r="I8850" s="3" t="s">
        <v>11128</v>
      </c>
      <c r="J8850" s="3" t="s">
        <v>1360</v>
      </c>
      <c r="K8850" s="3" t="s">
        <v>45259</v>
      </c>
      <c r="L8850" s="3"/>
      <c r="M8850" s="4"/>
      <c r="N8850" s="3" t="s">
        <v>37</v>
      </c>
      <c r="O8850" s="3" t="s">
        <v>52</v>
      </c>
      <c r="P8850" s="5">
        <v>11</v>
      </c>
      <c r="Q8850" s="5">
        <v>92</v>
      </c>
      <c r="R8850" s="5">
        <v>10</v>
      </c>
      <c r="S8850" s="5">
        <v>89</v>
      </c>
    </row>
    <row r="8851" spans="1:19" ht="28" x14ac:dyDescent="0.15">
      <c r="A8851" s="2">
        <f>HYPERLINK("https://open-school.uspishnemisto.com.ua/school/480218/", 480218)</f>
        <v>480218</v>
      </c>
      <c r="B8851" s="3" t="s">
        <v>45260</v>
      </c>
      <c r="C8851" s="3" t="s">
        <v>31</v>
      </c>
      <c r="D8851" s="3" t="s">
        <v>175</v>
      </c>
      <c r="E8851" s="4" t="s">
        <v>22</v>
      </c>
      <c r="F8851" s="4" t="s">
        <v>45261</v>
      </c>
      <c r="G8851" s="4" t="s">
        <v>45262</v>
      </c>
      <c r="H8851" s="3" t="s">
        <v>44362</v>
      </c>
      <c r="I8851" s="3" t="s">
        <v>2475</v>
      </c>
      <c r="J8851" s="3" t="s">
        <v>45263</v>
      </c>
      <c r="K8851" s="3" t="s">
        <v>45264</v>
      </c>
      <c r="L8851" s="3"/>
      <c r="M8851" s="4"/>
      <c r="N8851" s="3" t="s">
        <v>37</v>
      </c>
      <c r="O8851" s="3" t="s">
        <v>52</v>
      </c>
      <c r="P8851" s="5">
        <v>9</v>
      </c>
      <c r="Q8851" s="5">
        <v>86</v>
      </c>
      <c r="R8851" s="5">
        <v>9</v>
      </c>
      <c r="S8851" s="5">
        <v>86</v>
      </c>
    </row>
    <row r="8852" spans="1:19" ht="28" x14ac:dyDescent="0.15">
      <c r="A8852" s="2">
        <f>HYPERLINK("https://open-school.uspishnemisto.com.ua/school/480219/", 480219)</f>
        <v>480219</v>
      </c>
      <c r="B8852" s="3" t="s">
        <v>45265</v>
      </c>
      <c r="C8852" s="3" t="s">
        <v>31</v>
      </c>
      <c r="D8852" s="3" t="s">
        <v>60</v>
      </c>
      <c r="E8852" s="4" t="s">
        <v>22</v>
      </c>
      <c r="F8852" s="4" t="s">
        <v>45266</v>
      </c>
      <c r="G8852" s="4" t="s">
        <v>45267</v>
      </c>
      <c r="H8852" s="3" t="s">
        <v>44362</v>
      </c>
      <c r="I8852" s="3" t="s">
        <v>45268</v>
      </c>
      <c r="J8852" s="3" t="s">
        <v>45269</v>
      </c>
      <c r="K8852" s="3" t="s">
        <v>45270</v>
      </c>
      <c r="L8852" s="3"/>
      <c r="M8852" s="4"/>
      <c r="N8852" s="3" t="s">
        <v>37</v>
      </c>
      <c r="O8852" s="3" t="s">
        <v>52</v>
      </c>
      <c r="P8852" s="5">
        <v>0</v>
      </c>
      <c r="Q8852" s="5">
        <v>10</v>
      </c>
      <c r="R8852" s="5">
        <v>4</v>
      </c>
      <c r="S8852" s="5">
        <v>29</v>
      </c>
    </row>
    <row r="8853" spans="1:19" ht="42" x14ac:dyDescent="0.15">
      <c r="A8853" s="2">
        <f>HYPERLINK("https://open-school.uspishnemisto.com.ua/school/480220/", 480220)</f>
        <v>480220</v>
      </c>
      <c r="B8853" s="3" t="s">
        <v>45271</v>
      </c>
      <c r="C8853" s="3" t="s">
        <v>31</v>
      </c>
      <c r="D8853" s="3" t="s">
        <v>175</v>
      </c>
      <c r="E8853" s="4" t="s">
        <v>22</v>
      </c>
      <c r="F8853" s="4" t="s">
        <v>45272</v>
      </c>
      <c r="G8853" s="4" t="s">
        <v>45273</v>
      </c>
      <c r="H8853" s="3" t="s">
        <v>44362</v>
      </c>
      <c r="I8853" s="3" t="s">
        <v>883</v>
      </c>
      <c r="J8853" s="3" t="s">
        <v>45274</v>
      </c>
      <c r="K8853" s="3" t="s">
        <v>45275</v>
      </c>
      <c r="L8853" s="3"/>
      <c r="M8853" s="4"/>
      <c r="N8853" s="3" t="s">
        <v>37</v>
      </c>
      <c r="O8853" s="3" t="s">
        <v>52</v>
      </c>
      <c r="P8853" s="5">
        <v>8</v>
      </c>
      <c r="Q8853" s="5">
        <v>63</v>
      </c>
      <c r="R8853" s="5">
        <v>8</v>
      </c>
      <c r="S8853" s="5">
        <v>59</v>
      </c>
    </row>
    <row r="8854" spans="1:19" ht="28" x14ac:dyDescent="0.15">
      <c r="A8854" s="2">
        <f>HYPERLINK("https://open-school.uspishnemisto.com.ua/school/480221/", 480221)</f>
        <v>480221</v>
      </c>
      <c r="B8854" s="3" t="s">
        <v>45276</v>
      </c>
      <c r="C8854" s="3" t="s">
        <v>31</v>
      </c>
      <c r="D8854" s="3" t="s">
        <v>175</v>
      </c>
      <c r="E8854" s="4" t="s">
        <v>22</v>
      </c>
      <c r="F8854" s="4" t="s">
        <v>45277</v>
      </c>
      <c r="G8854" s="4" t="s">
        <v>45278</v>
      </c>
      <c r="H8854" s="3" t="s">
        <v>44362</v>
      </c>
      <c r="I8854" s="3" t="s">
        <v>45279</v>
      </c>
      <c r="J8854" s="3" t="s">
        <v>2476</v>
      </c>
      <c r="K8854" s="3" t="s">
        <v>45280</v>
      </c>
      <c r="L8854" s="3"/>
      <c r="M8854" s="4"/>
      <c r="N8854" s="3" t="s">
        <v>37</v>
      </c>
      <c r="O8854" s="3" t="s">
        <v>52</v>
      </c>
      <c r="P8854" s="5">
        <v>7</v>
      </c>
      <c r="Q8854" s="5">
        <v>41</v>
      </c>
      <c r="R8854" s="5">
        <v>8</v>
      </c>
      <c r="S8854" s="5">
        <v>44</v>
      </c>
    </row>
    <row r="8855" spans="1:19" ht="28" x14ac:dyDescent="0.15">
      <c r="A8855" s="2">
        <f>HYPERLINK("https://open-school.uspishnemisto.com.ua/school/480222/", 480222)</f>
        <v>480222</v>
      </c>
      <c r="B8855" s="3" t="s">
        <v>45281</v>
      </c>
      <c r="C8855" s="3" t="s">
        <v>31</v>
      </c>
      <c r="D8855" s="3" t="s">
        <v>175</v>
      </c>
      <c r="E8855" s="4" t="s">
        <v>22</v>
      </c>
      <c r="F8855" s="4" t="s">
        <v>45282</v>
      </c>
      <c r="G8855" s="4" t="s">
        <v>45283</v>
      </c>
      <c r="H8855" s="3" t="s">
        <v>44362</v>
      </c>
      <c r="I8855" s="3" t="s">
        <v>45284</v>
      </c>
      <c r="J8855" s="3" t="s">
        <v>45285</v>
      </c>
      <c r="K8855" s="3" t="s">
        <v>45286</v>
      </c>
      <c r="L8855" s="3"/>
      <c r="M8855" s="4"/>
      <c r="N8855" s="3" t="s">
        <v>37</v>
      </c>
      <c r="O8855" s="3" t="s">
        <v>52</v>
      </c>
      <c r="P8855" s="5">
        <v>7</v>
      </c>
      <c r="Q8855" s="5">
        <v>55</v>
      </c>
      <c r="R8855" s="5">
        <v>7</v>
      </c>
      <c r="S8855" s="5">
        <v>57</v>
      </c>
    </row>
    <row r="8856" spans="1:19" ht="28" x14ac:dyDescent="0.15">
      <c r="A8856" s="2">
        <f>HYPERLINK("https://open-school.uspishnemisto.com.ua/school/480223/", 480223)</f>
        <v>480223</v>
      </c>
      <c r="B8856" s="3" t="s">
        <v>45287</v>
      </c>
      <c r="C8856" s="3" t="s">
        <v>31</v>
      </c>
      <c r="D8856" s="3" t="s">
        <v>175</v>
      </c>
      <c r="E8856" s="4" t="s">
        <v>22</v>
      </c>
      <c r="F8856" s="4" t="s">
        <v>45288</v>
      </c>
      <c r="G8856" s="4" t="s">
        <v>45289</v>
      </c>
      <c r="H8856" s="3" t="s">
        <v>44362</v>
      </c>
      <c r="I8856" s="3" t="s">
        <v>45290</v>
      </c>
      <c r="J8856" s="3" t="s">
        <v>45291</v>
      </c>
      <c r="K8856" s="3" t="s">
        <v>45292</v>
      </c>
      <c r="L8856" s="3"/>
      <c r="M8856" s="4"/>
      <c r="N8856" s="3" t="s">
        <v>37</v>
      </c>
      <c r="O8856" s="3" t="s">
        <v>52</v>
      </c>
      <c r="P8856" s="5">
        <v>4</v>
      </c>
      <c r="Q8856" s="5">
        <v>39</v>
      </c>
      <c r="R8856" s="5">
        <v>4</v>
      </c>
      <c r="S8856" s="5">
        <v>38</v>
      </c>
    </row>
    <row r="8857" spans="1:19" ht="28" x14ac:dyDescent="0.15">
      <c r="A8857" s="2">
        <f>HYPERLINK("https://open-school.uspishnemisto.com.ua/school/480224/", 480224)</f>
        <v>480224</v>
      </c>
      <c r="B8857" s="3" t="s">
        <v>45293</v>
      </c>
      <c r="C8857" s="3" t="s">
        <v>31</v>
      </c>
      <c r="D8857" s="3" t="s">
        <v>32</v>
      </c>
      <c r="E8857" s="4" t="s">
        <v>22</v>
      </c>
      <c r="F8857" s="4" t="s">
        <v>45294</v>
      </c>
      <c r="G8857" s="4" t="s">
        <v>45295</v>
      </c>
      <c r="H8857" s="3" t="s">
        <v>44362</v>
      </c>
      <c r="I8857" s="3" t="s">
        <v>3145</v>
      </c>
      <c r="J8857" s="3" t="s">
        <v>45296</v>
      </c>
      <c r="K8857" s="3" t="s">
        <v>45297</v>
      </c>
      <c r="L8857" s="3"/>
      <c r="M8857" s="4"/>
      <c r="N8857" s="3" t="s">
        <v>37</v>
      </c>
      <c r="O8857" s="3" t="s">
        <v>52</v>
      </c>
      <c r="P8857" s="5">
        <v>10</v>
      </c>
      <c r="Q8857" s="5">
        <v>69</v>
      </c>
      <c r="R8857" s="5">
        <v>9</v>
      </c>
      <c r="S8857" s="5">
        <v>66</v>
      </c>
    </row>
    <row r="8858" spans="1:19" ht="28" x14ac:dyDescent="0.15">
      <c r="A8858" s="2">
        <f>HYPERLINK("https://open-school.uspishnemisto.com.ua/school/480225/", 480225)</f>
        <v>480225</v>
      </c>
      <c r="B8858" s="3" t="s">
        <v>45298</v>
      </c>
      <c r="C8858" s="3" t="s">
        <v>31</v>
      </c>
      <c r="D8858" s="3" t="s">
        <v>175</v>
      </c>
      <c r="E8858" s="4" t="s">
        <v>22</v>
      </c>
      <c r="F8858" s="4" t="s">
        <v>45299</v>
      </c>
      <c r="G8858" s="4" t="s">
        <v>45300</v>
      </c>
      <c r="H8858" s="3" t="s">
        <v>44362</v>
      </c>
      <c r="I8858" s="3" t="s">
        <v>1740</v>
      </c>
      <c r="J8858" s="3" t="s">
        <v>466</v>
      </c>
      <c r="K8858" s="3" t="s">
        <v>45301</v>
      </c>
      <c r="L8858" s="3"/>
      <c r="M8858" s="4"/>
      <c r="N8858" s="3" t="s">
        <v>37</v>
      </c>
      <c r="O8858" s="3" t="s">
        <v>52</v>
      </c>
      <c r="P8858" s="5">
        <v>7</v>
      </c>
      <c r="Q8858" s="5">
        <v>47</v>
      </c>
      <c r="R8858" s="5">
        <v>6</v>
      </c>
      <c r="S8858" s="5">
        <v>45</v>
      </c>
    </row>
    <row r="8859" spans="1:19" ht="28" x14ac:dyDescent="0.15">
      <c r="A8859" s="2">
        <f>HYPERLINK("https://open-school.uspishnemisto.com.ua/school/480226/", 480226)</f>
        <v>480226</v>
      </c>
      <c r="B8859" s="3" t="s">
        <v>45302</v>
      </c>
      <c r="C8859" s="3" t="s">
        <v>31</v>
      </c>
      <c r="D8859" s="3" t="s">
        <v>175</v>
      </c>
      <c r="E8859" s="4" t="s">
        <v>22</v>
      </c>
      <c r="F8859" s="4" t="s">
        <v>45303</v>
      </c>
      <c r="G8859" s="4" t="s">
        <v>45304</v>
      </c>
      <c r="H8859" s="3" t="s">
        <v>44362</v>
      </c>
      <c r="I8859" s="3" t="s">
        <v>11267</v>
      </c>
      <c r="J8859" s="3" t="s">
        <v>466</v>
      </c>
      <c r="K8859" s="3" t="s">
        <v>45305</v>
      </c>
      <c r="L8859" s="3"/>
      <c r="M8859" s="4"/>
      <c r="N8859" s="3" t="s">
        <v>37</v>
      </c>
      <c r="O8859" s="3" t="s">
        <v>52</v>
      </c>
      <c r="P8859" s="5">
        <v>9</v>
      </c>
      <c r="Q8859" s="5">
        <v>57</v>
      </c>
      <c r="R8859" s="5">
        <v>9</v>
      </c>
      <c r="S8859" s="5">
        <v>60</v>
      </c>
    </row>
    <row r="8860" spans="1:19" ht="28" x14ac:dyDescent="0.15">
      <c r="A8860" s="2">
        <f>HYPERLINK("https://open-school.uspishnemisto.com.ua/school/480227/", 480227)</f>
        <v>480227</v>
      </c>
      <c r="B8860" s="3" t="s">
        <v>45306</v>
      </c>
      <c r="C8860" s="3" t="s">
        <v>31</v>
      </c>
      <c r="D8860" s="3" t="s">
        <v>32</v>
      </c>
      <c r="E8860" s="4" t="s">
        <v>22</v>
      </c>
      <c r="F8860" s="4" t="s">
        <v>45307</v>
      </c>
      <c r="G8860" s="4" t="s">
        <v>45308</v>
      </c>
      <c r="H8860" s="3" t="s">
        <v>44362</v>
      </c>
      <c r="I8860" s="3" t="s">
        <v>26378</v>
      </c>
      <c r="J8860" s="3" t="s">
        <v>11612</v>
      </c>
      <c r="K8860" s="3"/>
      <c r="L8860" s="3"/>
      <c r="M8860" s="4"/>
      <c r="N8860" s="3" t="s">
        <v>37</v>
      </c>
      <c r="O8860" s="3" t="s">
        <v>52</v>
      </c>
      <c r="P8860" s="5">
        <v>11</v>
      </c>
      <c r="Q8860" s="5">
        <v>142</v>
      </c>
      <c r="R8860" s="5">
        <v>11</v>
      </c>
      <c r="S8860" s="5">
        <v>138</v>
      </c>
    </row>
    <row r="8861" spans="1:19" ht="28" x14ac:dyDescent="0.15">
      <c r="A8861" s="2">
        <f>HYPERLINK("https://open-school.uspishnemisto.com.ua/school/480228/", 480228)</f>
        <v>480228</v>
      </c>
      <c r="B8861" s="3" t="s">
        <v>45309</v>
      </c>
      <c r="C8861" s="3" t="s">
        <v>31</v>
      </c>
      <c r="D8861" s="3" t="s">
        <v>32</v>
      </c>
      <c r="E8861" s="4" t="s">
        <v>22</v>
      </c>
      <c r="F8861" s="4" t="s">
        <v>45310</v>
      </c>
      <c r="G8861" s="4" t="s">
        <v>45311</v>
      </c>
      <c r="H8861" s="3" t="s">
        <v>44362</v>
      </c>
      <c r="I8861" s="3" t="s">
        <v>13054</v>
      </c>
      <c r="J8861" s="3" t="s">
        <v>45312</v>
      </c>
      <c r="K8861" s="3" t="s">
        <v>45313</v>
      </c>
      <c r="L8861" s="3" t="s">
        <v>45314</v>
      </c>
      <c r="M8861" s="4"/>
      <c r="N8861" s="3" t="s">
        <v>37</v>
      </c>
      <c r="O8861" s="3" t="s">
        <v>52</v>
      </c>
      <c r="P8861" s="5">
        <v>11</v>
      </c>
      <c r="Q8861" s="5">
        <v>181</v>
      </c>
      <c r="R8861" s="5">
        <v>11</v>
      </c>
      <c r="S8861" s="5">
        <v>170</v>
      </c>
    </row>
    <row r="8862" spans="1:19" ht="28" x14ac:dyDescent="0.15">
      <c r="A8862" s="2">
        <f>HYPERLINK("https://open-school.uspishnemisto.com.ua/school/480229/", 480229)</f>
        <v>480229</v>
      </c>
      <c r="B8862" s="3" t="s">
        <v>45315</v>
      </c>
      <c r="C8862" s="3" t="s">
        <v>31</v>
      </c>
      <c r="D8862" s="3" t="s">
        <v>175</v>
      </c>
      <c r="E8862" s="4" t="s">
        <v>22</v>
      </c>
      <c r="F8862" s="4" t="s">
        <v>45316</v>
      </c>
      <c r="G8862" s="4" t="s">
        <v>45317</v>
      </c>
      <c r="H8862" s="3" t="s">
        <v>44362</v>
      </c>
      <c r="I8862" s="3" t="s">
        <v>12423</v>
      </c>
      <c r="J8862" s="3" t="s">
        <v>634</v>
      </c>
      <c r="K8862" s="3" t="s">
        <v>45318</v>
      </c>
      <c r="L8862" s="3"/>
      <c r="M8862" s="4"/>
      <c r="N8862" s="3" t="s">
        <v>37</v>
      </c>
      <c r="O8862" s="3" t="s">
        <v>52</v>
      </c>
      <c r="P8862" s="5">
        <v>4</v>
      </c>
      <c r="Q8862" s="5">
        <v>27</v>
      </c>
      <c r="R8862" s="5">
        <v>4</v>
      </c>
      <c r="S8862" s="5">
        <v>31</v>
      </c>
    </row>
    <row r="8863" spans="1:19" ht="28" x14ac:dyDescent="0.15">
      <c r="A8863" s="2">
        <f>HYPERLINK("https://open-school.uspishnemisto.com.ua/school/480230/", 480230)</f>
        <v>480230</v>
      </c>
      <c r="B8863" s="3" t="s">
        <v>45319</v>
      </c>
      <c r="C8863" s="3" t="s">
        <v>31</v>
      </c>
      <c r="D8863" s="3" t="s">
        <v>32</v>
      </c>
      <c r="E8863" s="4" t="s">
        <v>22</v>
      </c>
      <c r="F8863" s="4" t="s">
        <v>45303</v>
      </c>
      <c r="G8863" s="4" t="s">
        <v>45320</v>
      </c>
      <c r="H8863" s="3" t="s">
        <v>44362</v>
      </c>
      <c r="I8863" s="3" t="s">
        <v>13213</v>
      </c>
      <c r="J8863" s="3" t="s">
        <v>3399</v>
      </c>
      <c r="K8863" s="3" t="s">
        <v>45321</v>
      </c>
      <c r="L8863" s="3"/>
      <c r="M8863" s="4"/>
      <c r="N8863" s="3" t="s">
        <v>37</v>
      </c>
      <c r="O8863" s="3" t="s">
        <v>52</v>
      </c>
      <c r="P8863" s="5">
        <v>9</v>
      </c>
      <c r="Q8863" s="5">
        <v>97</v>
      </c>
      <c r="R8863" s="5">
        <v>10</v>
      </c>
      <c r="S8863" s="5">
        <v>95</v>
      </c>
    </row>
    <row r="8864" spans="1:19" ht="28" x14ac:dyDescent="0.15">
      <c r="A8864" s="2">
        <f>HYPERLINK("https://open-school.uspishnemisto.com.ua/school/480231/", 480231)</f>
        <v>480231</v>
      </c>
      <c r="B8864" s="3" t="s">
        <v>45322</v>
      </c>
      <c r="C8864" s="3" t="s">
        <v>31</v>
      </c>
      <c r="D8864" s="3" t="s">
        <v>175</v>
      </c>
      <c r="E8864" s="4" t="s">
        <v>22</v>
      </c>
      <c r="F8864" s="4" t="s">
        <v>45323</v>
      </c>
      <c r="G8864" s="4" t="s">
        <v>45324</v>
      </c>
      <c r="H8864" s="3" t="s">
        <v>44362</v>
      </c>
      <c r="I8864" s="3" t="s">
        <v>33531</v>
      </c>
      <c r="J8864" s="3" t="s">
        <v>45325</v>
      </c>
      <c r="K8864" s="3" t="s">
        <v>45326</v>
      </c>
      <c r="L8864" s="3"/>
      <c r="M8864" s="4"/>
      <c r="N8864" s="3" t="s">
        <v>37</v>
      </c>
      <c r="O8864" s="3" t="s">
        <v>52</v>
      </c>
      <c r="P8864" s="5">
        <v>8</v>
      </c>
      <c r="Q8864" s="5">
        <v>61</v>
      </c>
      <c r="R8864" s="5">
        <v>8</v>
      </c>
      <c r="S8864" s="5">
        <v>57</v>
      </c>
    </row>
    <row r="8865" spans="1:19" ht="28" x14ac:dyDescent="0.15">
      <c r="A8865" s="2">
        <f>HYPERLINK("https://open-school.uspishnemisto.com.ua/school/480232/", 480232)</f>
        <v>480232</v>
      </c>
      <c r="B8865" s="3" t="s">
        <v>45327</v>
      </c>
      <c r="C8865" s="3" t="s">
        <v>31</v>
      </c>
      <c r="D8865" s="3" t="s">
        <v>175</v>
      </c>
      <c r="E8865" s="4" t="s">
        <v>22</v>
      </c>
      <c r="F8865" s="4" t="s">
        <v>45328</v>
      </c>
      <c r="G8865" s="4" t="s">
        <v>45329</v>
      </c>
      <c r="H8865" s="3" t="s">
        <v>44362</v>
      </c>
      <c r="I8865" s="3" t="s">
        <v>2096</v>
      </c>
      <c r="J8865" s="3" t="s">
        <v>45330</v>
      </c>
      <c r="K8865" s="3" t="s">
        <v>45331</v>
      </c>
      <c r="L8865" s="3"/>
      <c r="M8865" s="4"/>
      <c r="N8865" s="3" t="s">
        <v>37</v>
      </c>
      <c r="O8865" s="3" t="s">
        <v>52</v>
      </c>
      <c r="P8865" s="5">
        <v>4</v>
      </c>
      <c r="Q8865" s="5">
        <v>30</v>
      </c>
      <c r="R8865" s="5">
        <v>4</v>
      </c>
      <c r="S8865" s="5">
        <v>27</v>
      </c>
    </row>
    <row r="8866" spans="1:19" ht="28" x14ac:dyDescent="0.15">
      <c r="A8866" s="2">
        <f>HYPERLINK("https://open-school.uspishnemisto.com.ua/school/480233/", 480233)</f>
        <v>480233</v>
      </c>
      <c r="B8866" s="3" t="s">
        <v>45332</v>
      </c>
      <c r="C8866" s="3" t="s">
        <v>31</v>
      </c>
      <c r="D8866" s="3" t="s">
        <v>175</v>
      </c>
      <c r="E8866" s="4" t="s">
        <v>22</v>
      </c>
      <c r="F8866" s="4" t="s">
        <v>45333</v>
      </c>
      <c r="G8866" s="4" t="s">
        <v>45334</v>
      </c>
      <c r="H8866" s="3" t="s">
        <v>44362</v>
      </c>
      <c r="I8866" s="3" t="s">
        <v>11250</v>
      </c>
      <c r="J8866" s="3" t="s">
        <v>946</v>
      </c>
      <c r="K8866" s="3" t="s">
        <v>45335</v>
      </c>
      <c r="L8866" s="3"/>
      <c r="M8866" s="4"/>
      <c r="N8866" s="3" t="s">
        <v>37</v>
      </c>
      <c r="O8866" s="3" t="s">
        <v>52</v>
      </c>
      <c r="P8866" s="5">
        <v>4</v>
      </c>
      <c r="Q8866" s="5">
        <v>33</v>
      </c>
      <c r="R8866" s="5">
        <v>2</v>
      </c>
      <c r="S8866" s="5">
        <v>28</v>
      </c>
    </row>
    <row r="8867" spans="1:19" ht="42" x14ac:dyDescent="0.15">
      <c r="A8867" s="2">
        <f>HYPERLINK("https://open-school.uspishnemisto.com.ua/school/480234/", 480234)</f>
        <v>480234</v>
      </c>
      <c r="B8867" s="3" t="s">
        <v>45336</v>
      </c>
      <c r="C8867" s="3" t="s">
        <v>31</v>
      </c>
      <c r="D8867" s="3" t="s">
        <v>32</v>
      </c>
      <c r="E8867" s="4" t="s">
        <v>22</v>
      </c>
      <c r="F8867" s="4" t="s">
        <v>45337</v>
      </c>
      <c r="G8867" s="4" t="s">
        <v>45338</v>
      </c>
      <c r="H8867" s="3" t="s">
        <v>44362</v>
      </c>
      <c r="I8867" s="3" t="s">
        <v>45339</v>
      </c>
      <c r="J8867" s="3" t="s">
        <v>45340</v>
      </c>
      <c r="K8867" s="3" t="s">
        <v>45341</v>
      </c>
      <c r="L8867" s="3" t="s">
        <v>45342</v>
      </c>
      <c r="M8867" s="4"/>
      <c r="N8867" s="3" t="s">
        <v>37</v>
      </c>
      <c r="O8867" s="3" t="s">
        <v>46</v>
      </c>
      <c r="P8867" s="5">
        <v>52</v>
      </c>
      <c r="Q8867" s="5">
        <v>895</v>
      </c>
      <c r="R8867" s="5">
        <v>32</v>
      </c>
      <c r="S8867" s="5">
        <v>747</v>
      </c>
    </row>
    <row r="8868" spans="1:19" ht="28" x14ac:dyDescent="0.15">
      <c r="A8868" s="2">
        <f>HYPERLINK("https://open-school.uspishnemisto.com.ua/school/480235/", 480235)</f>
        <v>480235</v>
      </c>
      <c r="B8868" s="3" t="s">
        <v>45343</v>
      </c>
      <c r="C8868" s="3" t="s">
        <v>40</v>
      </c>
      <c r="D8868" s="3" t="s">
        <v>32</v>
      </c>
      <c r="E8868" s="4" t="s">
        <v>22</v>
      </c>
      <c r="F8868" s="4" t="s">
        <v>45337</v>
      </c>
      <c r="G8868" s="4" t="s">
        <v>45338</v>
      </c>
      <c r="H8868" s="3" t="s">
        <v>44362</v>
      </c>
      <c r="I8868" s="3" t="s">
        <v>45339</v>
      </c>
      <c r="J8868" s="3" t="s">
        <v>45344</v>
      </c>
      <c r="K8868" s="3"/>
      <c r="L8868" s="3"/>
      <c r="M8868" s="4"/>
      <c r="N8868" s="3" t="s">
        <v>37</v>
      </c>
      <c r="O8868" s="3" t="s">
        <v>46</v>
      </c>
      <c r="P8868" s="5">
        <v>8</v>
      </c>
      <c r="Q8868" s="5">
        <v>133</v>
      </c>
      <c r="R8868" s="5">
        <v>7</v>
      </c>
      <c r="S8868" s="5">
        <v>127</v>
      </c>
    </row>
    <row r="8869" spans="1:19" ht="28" x14ac:dyDescent="0.15">
      <c r="A8869" s="2">
        <f>HYPERLINK("https://open-school.uspishnemisto.com.ua/school/480236/", 480236)</f>
        <v>480236</v>
      </c>
      <c r="B8869" s="3" t="s">
        <v>45345</v>
      </c>
      <c r="C8869" s="3" t="s">
        <v>31</v>
      </c>
      <c r="D8869" s="3" t="s">
        <v>32</v>
      </c>
      <c r="E8869" s="4" t="s">
        <v>22</v>
      </c>
      <c r="F8869" s="4" t="s">
        <v>45346</v>
      </c>
      <c r="G8869" s="4" t="s">
        <v>45347</v>
      </c>
      <c r="H8869" s="3" t="s">
        <v>44362</v>
      </c>
      <c r="I8869" s="3" t="s">
        <v>45348</v>
      </c>
      <c r="J8869" s="3" t="s">
        <v>785</v>
      </c>
      <c r="K8869" s="3" t="s">
        <v>45349</v>
      </c>
      <c r="L8869" s="3"/>
      <c r="M8869" s="4"/>
      <c r="N8869" s="3" t="s">
        <v>37</v>
      </c>
      <c r="O8869" s="3" t="s">
        <v>46</v>
      </c>
      <c r="P8869" s="5">
        <v>32</v>
      </c>
      <c r="Q8869" s="5">
        <v>429</v>
      </c>
      <c r="R8869" s="5">
        <v>11</v>
      </c>
      <c r="S8869" s="5">
        <v>198</v>
      </c>
    </row>
    <row r="8870" spans="1:19" ht="28" x14ac:dyDescent="0.15">
      <c r="A8870" s="2">
        <f>HYPERLINK("https://open-school.uspishnemisto.com.ua/school/480237/", 480237)</f>
        <v>480237</v>
      </c>
      <c r="B8870" s="3" t="s">
        <v>45350</v>
      </c>
      <c r="C8870" s="3" t="s">
        <v>31</v>
      </c>
      <c r="D8870" s="3" t="s">
        <v>60</v>
      </c>
      <c r="E8870" s="4" t="s">
        <v>253</v>
      </c>
      <c r="F8870" s="4" t="s">
        <v>45351</v>
      </c>
      <c r="G8870" s="4" t="s">
        <v>45352</v>
      </c>
      <c r="H8870" s="3" t="s">
        <v>44362</v>
      </c>
      <c r="I8870" s="3" t="s">
        <v>37211</v>
      </c>
      <c r="J8870" s="3" t="s">
        <v>466</v>
      </c>
      <c r="K8870" s="3" t="s">
        <v>45353</v>
      </c>
      <c r="L8870" s="3"/>
      <c r="M8870" s="4"/>
      <c r="N8870" s="3" t="s">
        <v>37</v>
      </c>
      <c r="O8870" s="3" t="s">
        <v>46</v>
      </c>
      <c r="P8870" s="5">
        <v>0</v>
      </c>
      <c r="Q8870" s="5">
        <v>0</v>
      </c>
      <c r="R8870" s="5">
        <v>6</v>
      </c>
      <c r="S8870" s="5">
        <v>47</v>
      </c>
    </row>
    <row r="8871" spans="1:19" ht="28" x14ac:dyDescent="0.15">
      <c r="A8871" s="2">
        <f>HYPERLINK("https://open-school.uspishnemisto.com.ua/school/480238/", 480238)</f>
        <v>480238</v>
      </c>
      <c r="B8871" s="3" t="s">
        <v>45354</v>
      </c>
      <c r="C8871" s="3" t="s">
        <v>31</v>
      </c>
      <c r="D8871" s="3" t="s">
        <v>32</v>
      </c>
      <c r="E8871" s="4" t="s">
        <v>22</v>
      </c>
      <c r="F8871" s="4" t="s">
        <v>45351</v>
      </c>
      <c r="G8871" s="4" t="s">
        <v>45355</v>
      </c>
      <c r="H8871" s="3" t="s">
        <v>44362</v>
      </c>
      <c r="I8871" s="3" t="s">
        <v>688</v>
      </c>
      <c r="J8871" s="3" t="s">
        <v>466</v>
      </c>
      <c r="K8871" s="3" t="s">
        <v>45356</v>
      </c>
      <c r="L8871" s="3"/>
      <c r="M8871" s="4"/>
      <c r="N8871" s="3" t="s">
        <v>37</v>
      </c>
      <c r="O8871" s="3" t="s">
        <v>52</v>
      </c>
      <c r="P8871" s="5">
        <v>0</v>
      </c>
      <c r="Q8871" s="5">
        <v>0</v>
      </c>
      <c r="R8871" s="5">
        <v>9</v>
      </c>
      <c r="S8871" s="5">
        <v>116</v>
      </c>
    </row>
    <row r="8872" spans="1:19" ht="42" x14ac:dyDescent="0.15">
      <c r="A8872" s="2">
        <f>HYPERLINK("https://open-school.uspishnemisto.com.ua/school/480239/", 480239)</f>
        <v>480239</v>
      </c>
      <c r="B8872" s="3" t="s">
        <v>45357</v>
      </c>
      <c r="C8872" s="3" t="s">
        <v>31</v>
      </c>
      <c r="D8872" s="3" t="s">
        <v>32</v>
      </c>
      <c r="E8872" s="4" t="s">
        <v>22</v>
      </c>
      <c r="F8872" s="4" t="s">
        <v>45358</v>
      </c>
      <c r="G8872" s="4" t="s">
        <v>45359</v>
      </c>
      <c r="H8872" s="3" t="s">
        <v>44362</v>
      </c>
      <c r="I8872" s="3" t="s">
        <v>45360</v>
      </c>
      <c r="J8872" s="3" t="s">
        <v>45361</v>
      </c>
      <c r="K8872" s="3" t="s">
        <v>34887</v>
      </c>
      <c r="L8872" s="3" t="s">
        <v>45362</v>
      </c>
      <c r="M8872" s="4"/>
      <c r="N8872" s="3" t="s">
        <v>37</v>
      </c>
      <c r="O8872" s="3" t="s">
        <v>52</v>
      </c>
      <c r="P8872" s="5">
        <v>11</v>
      </c>
      <c r="Q8872" s="5">
        <v>106</v>
      </c>
      <c r="R8872" s="5">
        <v>11</v>
      </c>
      <c r="S8872" s="5">
        <v>92</v>
      </c>
    </row>
    <row r="8873" spans="1:19" ht="28" x14ac:dyDescent="0.15">
      <c r="A8873" s="2">
        <f>HYPERLINK("https://open-school.uspishnemisto.com.ua/school/480240/", 480240)</f>
        <v>480240</v>
      </c>
      <c r="B8873" s="3" t="s">
        <v>45363</v>
      </c>
      <c r="C8873" s="3" t="s">
        <v>31</v>
      </c>
      <c r="D8873" s="3" t="s">
        <v>175</v>
      </c>
      <c r="E8873" s="4" t="s">
        <v>22</v>
      </c>
      <c r="F8873" s="4"/>
      <c r="G8873" s="4" t="s">
        <v>45364</v>
      </c>
      <c r="H8873" s="3" t="s">
        <v>44362</v>
      </c>
      <c r="I8873" s="3" t="s">
        <v>5477</v>
      </c>
      <c r="J8873" s="3" t="s">
        <v>356</v>
      </c>
      <c r="K8873" s="3" t="s">
        <v>45365</v>
      </c>
      <c r="L8873" s="3"/>
      <c r="M8873" s="4"/>
      <c r="N8873" s="3" t="s">
        <v>37</v>
      </c>
      <c r="O8873" s="3" t="s">
        <v>46</v>
      </c>
      <c r="P8873" s="5">
        <v>0</v>
      </c>
      <c r="Q8873" s="5">
        <v>0</v>
      </c>
      <c r="R8873" s="5">
        <v>8</v>
      </c>
      <c r="S8873" s="5">
        <v>56</v>
      </c>
    </row>
    <row r="8874" spans="1:19" ht="28" x14ac:dyDescent="0.15">
      <c r="A8874" s="2">
        <f>HYPERLINK("https://open-school.uspishnemisto.com.ua/school/480241/", 480241)</f>
        <v>480241</v>
      </c>
      <c r="B8874" s="3" t="s">
        <v>45366</v>
      </c>
      <c r="C8874" s="3" t="s">
        <v>31</v>
      </c>
      <c r="D8874" s="3" t="s">
        <v>32</v>
      </c>
      <c r="E8874" s="4" t="s">
        <v>22</v>
      </c>
      <c r="F8874" s="4" t="s">
        <v>45367</v>
      </c>
      <c r="G8874" s="4" t="s">
        <v>45368</v>
      </c>
      <c r="H8874" s="3" t="s">
        <v>44362</v>
      </c>
      <c r="I8874" s="3" t="s">
        <v>12592</v>
      </c>
      <c r="J8874" s="3" t="s">
        <v>45369</v>
      </c>
      <c r="K8874" s="3" t="s">
        <v>45370</v>
      </c>
      <c r="L8874" s="3"/>
      <c r="M8874" s="4"/>
      <c r="N8874" s="3" t="s">
        <v>37</v>
      </c>
      <c r="O8874" s="3" t="s">
        <v>52</v>
      </c>
      <c r="P8874" s="5">
        <v>10</v>
      </c>
      <c r="Q8874" s="5">
        <v>72</v>
      </c>
      <c r="R8874" s="5">
        <v>11</v>
      </c>
      <c r="S8874" s="5">
        <v>77</v>
      </c>
    </row>
    <row r="8875" spans="1:19" ht="28" x14ac:dyDescent="0.15">
      <c r="A8875" s="2">
        <f>HYPERLINK("https://open-school.uspishnemisto.com.ua/school/480242/", 480242)</f>
        <v>480242</v>
      </c>
      <c r="B8875" s="3" t="s">
        <v>45371</v>
      </c>
      <c r="C8875" s="3" t="s">
        <v>31</v>
      </c>
      <c r="D8875" s="3" t="s">
        <v>32</v>
      </c>
      <c r="E8875" s="4" t="s">
        <v>22</v>
      </c>
      <c r="F8875" s="4" t="s">
        <v>45372</v>
      </c>
      <c r="G8875" s="4" t="s">
        <v>45373</v>
      </c>
      <c r="H8875" s="3" t="s">
        <v>44362</v>
      </c>
      <c r="I8875" s="3" t="s">
        <v>45374</v>
      </c>
      <c r="J8875" s="3" t="s">
        <v>447</v>
      </c>
      <c r="K8875" s="3" t="s">
        <v>45375</v>
      </c>
      <c r="L8875" s="3"/>
      <c r="M8875" s="4"/>
      <c r="N8875" s="3" t="s">
        <v>37</v>
      </c>
      <c r="O8875" s="3" t="s">
        <v>52</v>
      </c>
      <c r="P8875" s="5">
        <v>11</v>
      </c>
      <c r="Q8875" s="5">
        <v>88</v>
      </c>
      <c r="R8875" s="5">
        <v>11</v>
      </c>
      <c r="S8875" s="5">
        <v>97</v>
      </c>
    </row>
    <row r="8876" spans="1:19" ht="42" x14ac:dyDescent="0.15">
      <c r="A8876" s="2">
        <f>HYPERLINK("https://open-school.uspishnemisto.com.ua/school/480243/", 480243)</f>
        <v>480243</v>
      </c>
      <c r="B8876" s="3" t="s">
        <v>45376</v>
      </c>
      <c r="C8876" s="3" t="s">
        <v>31</v>
      </c>
      <c r="D8876" s="3" t="s">
        <v>32</v>
      </c>
      <c r="E8876" s="4" t="s">
        <v>22</v>
      </c>
      <c r="F8876" s="4" t="s">
        <v>45377</v>
      </c>
      <c r="G8876" s="4" t="s">
        <v>45378</v>
      </c>
      <c r="H8876" s="3" t="s">
        <v>44362</v>
      </c>
      <c r="I8876" s="3" t="s">
        <v>45379</v>
      </c>
      <c r="J8876" s="3" t="s">
        <v>2578</v>
      </c>
      <c r="K8876" s="3" t="s">
        <v>45380</v>
      </c>
      <c r="L8876" s="3"/>
      <c r="M8876" s="4"/>
      <c r="N8876" s="3" t="s">
        <v>37</v>
      </c>
      <c r="O8876" s="3" t="s">
        <v>46</v>
      </c>
      <c r="P8876" s="5">
        <v>9</v>
      </c>
      <c r="Q8876" s="5">
        <v>53</v>
      </c>
      <c r="R8876" s="5">
        <v>8</v>
      </c>
      <c r="S8876" s="5">
        <v>53</v>
      </c>
    </row>
    <row r="8877" spans="1:19" ht="28" x14ac:dyDescent="0.15">
      <c r="A8877" s="2">
        <f>HYPERLINK("https://open-school.uspishnemisto.com.ua/school/480244/", 480244)</f>
        <v>480244</v>
      </c>
      <c r="B8877" s="3" t="s">
        <v>45381</v>
      </c>
      <c r="C8877" s="3" t="s">
        <v>31</v>
      </c>
      <c r="D8877" s="3" t="s">
        <v>175</v>
      </c>
      <c r="E8877" s="4" t="s">
        <v>22</v>
      </c>
      <c r="F8877" s="4" t="s">
        <v>45382</v>
      </c>
      <c r="G8877" s="4" t="s">
        <v>45383</v>
      </c>
      <c r="H8877" s="3" t="s">
        <v>44362</v>
      </c>
      <c r="I8877" s="3" t="s">
        <v>12862</v>
      </c>
      <c r="J8877" s="3" t="s">
        <v>3399</v>
      </c>
      <c r="K8877" s="3" t="s">
        <v>45384</v>
      </c>
      <c r="L8877" s="3"/>
      <c r="M8877" s="4"/>
      <c r="N8877" s="3" t="s">
        <v>37</v>
      </c>
      <c r="O8877" s="3" t="s">
        <v>52</v>
      </c>
      <c r="P8877" s="5">
        <v>0</v>
      </c>
      <c r="Q8877" s="5">
        <v>0</v>
      </c>
      <c r="R8877" s="5">
        <v>9</v>
      </c>
      <c r="S8877" s="5">
        <v>53</v>
      </c>
    </row>
    <row r="8878" spans="1:19" ht="28" x14ac:dyDescent="0.15">
      <c r="A8878" s="2">
        <f>HYPERLINK("https://open-school.uspishnemisto.com.ua/school/480245/", 480245)</f>
        <v>480245</v>
      </c>
      <c r="B8878" s="3" t="s">
        <v>45385</v>
      </c>
      <c r="C8878" s="3" t="s">
        <v>31</v>
      </c>
      <c r="D8878" s="3" t="s">
        <v>60</v>
      </c>
      <c r="E8878" s="4" t="s">
        <v>22</v>
      </c>
      <c r="F8878" s="4"/>
      <c r="G8878" s="4" t="s">
        <v>45386</v>
      </c>
      <c r="H8878" s="3" t="s">
        <v>44362</v>
      </c>
      <c r="I8878" s="3" t="s">
        <v>45387</v>
      </c>
      <c r="J8878" s="3" t="s">
        <v>35364</v>
      </c>
      <c r="K8878" s="3"/>
      <c r="L8878" s="3"/>
      <c r="M8878" s="4"/>
      <c r="N8878" s="3" t="s">
        <v>37</v>
      </c>
      <c r="O8878" s="3" t="s">
        <v>52</v>
      </c>
      <c r="P8878" s="5">
        <v>0</v>
      </c>
      <c r="Q8878" s="5">
        <v>0</v>
      </c>
      <c r="R8878" s="5">
        <v>8</v>
      </c>
      <c r="S8878" s="5">
        <v>53</v>
      </c>
    </row>
    <row r="8879" spans="1:19" ht="28" x14ac:dyDescent="0.15">
      <c r="A8879" s="2">
        <f>HYPERLINK("https://open-school.uspishnemisto.com.ua/school/480246/", 480246)</f>
        <v>480246</v>
      </c>
      <c r="B8879" s="3" t="s">
        <v>45388</v>
      </c>
      <c r="C8879" s="3" t="s">
        <v>31</v>
      </c>
      <c r="D8879" s="3" t="s">
        <v>32</v>
      </c>
      <c r="E8879" s="4" t="s">
        <v>22</v>
      </c>
      <c r="F8879" s="4" t="s">
        <v>45389</v>
      </c>
      <c r="G8879" s="4" t="s">
        <v>45390</v>
      </c>
      <c r="H8879" s="3" t="s">
        <v>44362</v>
      </c>
      <c r="I8879" s="3" t="s">
        <v>45391</v>
      </c>
      <c r="J8879" s="3" t="s">
        <v>17298</v>
      </c>
      <c r="K8879" s="3" t="s">
        <v>45392</v>
      </c>
      <c r="L8879" s="3"/>
      <c r="M8879" s="4"/>
      <c r="N8879" s="3" t="s">
        <v>37</v>
      </c>
      <c r="O8879" s="3" t="s">
        <v>52</v>
      </c>
      <c r="P8879" s="5">
        <v>11</v>
      </c>
      <c r="Q8879" s="5">
        <v>129</v>
      </c>
      <c r="R8879" s="5">
        <v>10</v>
      </c>
      <c r="S8879" s="5">
        <v>115</v>
      </c>
    </row>
    <row r="8880" spans="1:19" ht="28" x14ac:dyDescent="0.15">
      <c r="A8880" s="2">
        <f>HYPERLINK("https://open-school.uspishnemisto.com.ua/school/480247/", 480247)</f>
        <v>480247</v>
      </c>
      <c r="B8880" s="3" t="s">
        <v>45393</v>
      </c>
      <c r="C8880" s="3" t="s">
        <v>31</v>
      </c>
      <c r="D8880" s="3" t="s">
        <v>32</v>
      </c>
      <c r="E8880" s="4" t="s">
        <v>22</v>
      </c>
      <c r="F8880" s="4" t="s">
        <v>45394</v>
      </c>
      <c r="G8880" s="4" t="s">
        <v>45395</v>
      </c>
      <c r="H8880" s="3" t="s">
        <v>44362</v>
      </c>
      <c r="I8880" s="3" t="s">
        <v>31160</v>
      </c>
      <c r="J8880" s="3" t="s">
        <v>7495</v>
      </c>
      <c r="K8880" s="3" t="s">
        <v>45396</v>
      </c>
      <c r="L8880" s="3"/>
      <c r="M8880" s="4"/>
      <c r="N8880" s="3" t="s">
        <v>37</v>
      </c>
      <c r="O8880" s="3" t="s">
        <v>52</v>
      </c>
      <c r="P8880" s="5">
        <v>11</v>
      </c>
      <c r="Q8880" s="5">
        <v>127</v>
      </c>
      <c r="R8880" s="5">
        <v>11</v>
      </c>
      <c r="S8880" s="5">
        <v>124</v>
      </c>
    </row>
    <row r="8881" spans="1:19" ht="28" x14ac:dyDescent="0.15">
      <c r="A8881" s="2">
        <f>HYPERLINK("https://open-school.uspishnemisto.com.ua/school/480248/", 480248)</f>
        <v>480248</v>
      </c>
      <c r="B8881" s="3" t="s">
        <v>45397</v>
      </c>
      <c r="C8881" s="3" t="s">
        <v>31</v>
      </c>
      <c r="D8881" s="3" t="s">
        <v>32</v>
      </c>
      <c r="E8881" s="4" t="s">
        <v>22</v>
      </c>
      <c r="F8881" s="4" t="s">
        <v>45398</v>
      </c>
      <c r="G8881" s="4" t="s">
        <v>45399</v>
      </c>
      <c r="H8881" s="3" t="s">
        <v>44362</v>
      </c>
      <c r="I8881" s="3" t="s">
        <v>11588</v>
      </c>
      <c r="J8881" s="3" t="s">
        <v>45400</v>
      </c>
      <c r="K8881" s="3" t="s">
        <v>45401</v>
      </c>
      <c r="L8881" s="3" t="s">
        <v>45402</v>
      </c>
      <c r="M8881" s="4"/>
      <c r="N8881" s="3" t="s">
        <v>37</v>
      </c>
      <c r="O8881" s="3" t="s">
        <v>52</v>
      </c>
      <c r="P8881" s="5">
        <v>10</v>
      </c>
      <c r="Q8881" s="5">
        <v>92</v>
      </c>
      <c r="R8881" s="5">
        <v>10</v>
      </c>
      <c r="S8881" s="5">
        <v>87</v>
      </c>
    </row>
    <row r="8882" spans="1:19" ht="42" x14ac:dyDescent="0.15">
      <c r="A8882" s="2">
        <f>HYPERLINK("https://open-school.uspishnemisto.com.ua/school/480249/", 480249)</f>
        <v>480249</v>
      </c>
      <c r="B8882" s="3" t="s">
        <v>45403</v>
      </c>
      <c r="C8882" s="3" t="s">
        <v>31</v>
      </c>
      <c r="D8882" s="3" t="s">
        <v>175</v>
      </c>
      <c r="E8882" s="4" t="s">
        <v>22</v>
      </c>
      <c r="F8882" s="4" t="s">
        <v>45404</v>
      </c>
      <c r="G8882" s="4" t="s">
        <v>45405</v>
      </c>
      <c r="H8882" s="3" t="s">
        <v>44362</v>
      </c>
      <c r="I8882" s="3" t="s">
        <v>44259</v>
      </c>
      <c r="J8882" s="3" t="s">
        <v>45406</v>
      </c>
      <c r="K8882" s="3" t="s">
        <v>45407</v>
      </c>
      <c r="L8882" s="3"/>
      <c r="M8882" s="4"/>
      <c r="N8882" s="3" t="s">
        <v>37</v>
      </c>
      <c r="O8882" s="3" t="s">
        <v>46</v>
      </c>
      <c r="P8882" s="5">
        <v>0</v>
      </c>
      <c r="Q8882" s="5">
        <v>0</v>
      </c>
      <c r="R8882" s="5">
        <v>6</v>
      </c>
      <c r="S8882" s="5">
        <v>50</v>
      </c>
    </row>
    <row r="8883" spans="1:19" ht="28" x14ac:dyDescent="0.15">
      <c r="A8883" s="2">
        <f>HYPERLINK("https://open-school.uspishnemisto.com.ua/school/480250/", 480250)</f>
        <v>480250</v>
      </c>
      <c r="B8883" s="3" t="s">
        <v>45408</v>
      </c>
      <c r="C8883" s="3" t="s">
        <v>31</v>
      </c>
      <c r="D8883" s="3" t="s">
        <v>32</v>
      </c>
      <c r="E8883" s="4" t="s">
        <v>22</v>
      </c>
      <c r="F8883" s="4" t="s">
        <v>45409</v>
      </c>
      <c r="G8883" s="4" t="s">
        <v>45410</v>
      </c>
      <c r="H8883" s="3" t="s">
        <v>44362</v>
      </c>
      <c r="I8883" s="3" t="s">
        <v>39598</v>
      </c>
      <c r="J8883" s="3" t="s">
        <v>1668</v>
      </c>
      <c r="K8883" s="3" t="s">
        <v>45411</v>
      </c>
      <c r="L8883" s="3"/>
      <c r="M8883" s="4"/>
      <c r="N8883" s="3" t="s">
        <v>37</v>
      </c>
      <c r="O8883" s="3" t="s">
        <v>52</v>
      </c>
      <c r="P8883" s="5">
        <v>0</v>
      </c>
      <c r="Q8883" s="5">
        <v>0</v>
      </c>
      <c r="R8883" s="5">
        <v>3</v>
      </c>
      <c r="S8883" s="5">
        <v>29</v>
      </c>
    </row>
    <row r="8884" spans="1:19" ht="28" x14ac:dyDescent="0.15">
      <c r="A8884" s="2">
        <f>HYPERLINK("https://open-school.uspishnemisto.com.ua/school/480251/", 480251)</f>
        <v>480251</v>
      </c>
      <c r="B8884" s="3" t="s">
        <v>45412</v>
      </c>
      <c r="C8884" s="3" t="s">
        <v>31</v>
      </c>
      <c r="D8884" s="3" t="s">
        <v>32</v>
      </c>
      <c r="E8884" s="4" t="s">
        <v>22</v>
      </c>
      <c r="F8884" s="4" t="s">
        <v>45413</v>
      </c>
      <c r="G8884" s="4" t="s">
        <v>45414</v>
      </c>
      <c r="H8884" s="3" t="s">
        <v>44362</v>
      </c>
      <c r="I8884" s="3" t="s">
        <v>739</v>
      </c>
      <c r="J8884" s="3" t="s">
        <v>12559</v>
      </c>
      <c r="K8884" s="3" t="s">
        <v>45415</v>
      </c>
      <c r="L8884" s="3"/>
      <c r="M8884" s="4"/>
      <c r="N8884" s="3" t="s">
        <v>37</v>
      </c>
      <c r="O8884" s="3" t="s">
        <v>52</v>
      </c>
      <c r="P8884" s="5">
        <v>11</v>
      </c>
      <c r="Q8884" s="5">
        <v>140</v>
      </c>
      <c r="R8884" s="5">
        <v>11</v>
      </c>
      <c r="S8884" s="5">
        <v>165</v>
      </c>
    </row>
    <row r="8885" spans="1:19" ht="28" x14ac:dyDescent="0.15">
      <c r="A8885" s="2">
        <f>HYPERLINK("https://open-school.uspishnemisto.com.ua/school/480252/", 480252)</f>
        <v>480252</v>
      </c>
      <c r="B8885" s="3" t="s">
        <v>45416</v>
      </c>
      <c r="C8885" s="3" t="s">
        <v>31</v>
      </c>
      <c r="D8885" s="3" t="s">
        <v>60</v>
      </c>
      <c r="E8885" s="4" t="s">
        <v>22</v>
      </c>
      <c r="F8885" s="4" t="s">
        <v>45413</v>
      </c>
      <c r="G8885" s="4" t="s">
        <v>45417</v>
      </c>
      <c r="H8885" s="3" t="s">
        <v>44362</v>
      </c>
      <c r="I8885" s="3" t="s">
        <v>45418</v>
      </c>
      <c r="J8885" s="3" t="s">
        <v>45419</v>
      </c>
      <c r="K8885" s="3"/>
      <c r="L8885" s="3"/>
      <c r="M8885" s="4"/>
      <c r="N8885" s="3" t="s">
        <v>37</v>
      </c>
      <c r="O8885" s="3" t="s">
        <v>52</v>
      </c>
      <c r="P8885" s="5">
        <v>2</v>
      </c>
      <c r="Q8885" s="5">
        <v>19</v>
      </c>
      <c r="R8885" s="5">
        <v>2</v>
      </c>
      <c r="S8885" s="5">
        <v>17</v>
      </c>
    </row>
    <row r="8886" spans="1:19" ht="28" x14ac:dyDescent="0.15">
      <c r="A8886" s="2">
        <f>HYPERLINK("https://open-school.uspishnemisto.com.ua/school/480253/", 480253)</f>
        <v>480253</v>
      </c>
      <c r="B8886" s="3" t="s">
        <v>45420</v>
      </c>
      <c r="C8886" s="3" t="s">
        <v>31</v>
      </c>
      <c r="D8886" s="3" t="s">
        <v>60</v>
      </c>
      <c r="E8886" s="4" t="s">
        <v>22</v>
      </c>
      <c r="F8886" s="4"/>
      <c r="G8886" s="4" t="s">
        <v>45421</v>
      </c>
      <c r="H8886" s="3" t="s">
        <v>44362</v>
      </c>
      <c r="I8886" s="3" t="s">
        <v>4683</v>
      </c>
      <c r="J8886" s="3" t="s">
        <v>45422</v>
      </c>
      <c r="K8886" s="3" t="s">
        <v>45423</v>
      </c>
      <c r="L8886" s="3"/>
      <c r="M8886" s="4"/>
      <c r="N8886" s="3" t="s">
        <v>37</v>
      </c>
      <c r="O8886" s="3" t="s">
        <v>52</v>
      </c>
      <c r="P8886" s="5">
        <v>0</v>
      </c>
      <c r="Q8886" s="5">
        <v>9</v>
      </c>
      <c r="R8886" s="5">
        <v>0</v>
      </c>
      <c r="S8886" s="5">
        <v>5</v>
      </c>
    </row>
    <row r="8887" spans="1:19" ht="28" x14ac:dyDescent="0.15">
      <c r="A8887" s="2">
        <f>HYPERLINK("https://open-school.uspishnemisto.com.ua/school/480254/", 480254)</f>
        <v>480254</v>
      </c>
      <c r="B8887" s="3" t="s">
        <v>45424</v>
      </c>
      <c r="C8887" s="3" t="s">
        <v>31</v>
      </c>
      <c r="D8887" s="3" t="s">
        <v>60</v>
      </c>
      <c r="E8887" s="4" t="s">
        <v>22</v>
      </c>
      <c r="F8887" s="4" t="s">
        <v>45425</v>
      </c>
      <c r="G8887" s="4" t="s">
        <v>45426</v>
      </c>
      <c r="H8887" s="3" t="s">
        <v>44362</v>
      </c>
      <c r="I8887" s="3" t="s">
        <v>45427</v>
      </c>
      <c r="J8887" s="3" t="s">
        <v>4678</v>
      </c>
      <c r="K8887" s="3" t="s">
        <v>45428</v>
      </c>
      <c r="L8887" s="3"/>
      <c r="M8887" s="4"/>
      <c r="N8887" s="3" t="s">
        <v>37</v>
      </c>
      <c r="O8887" s="3" t="s">
        <v>52</v>
      </c>
      <c r="P8887" s="5">
        <v>0</v>
      </c>
      <c r="Q8887" s="5">
        <v>9</v>
      </c>
      <c r="R8887" s="5">
        <v>2</v>
      </c>
      <c r="S8887" s="5">
        <v>13</v>
      </c>
    </row>
    <row r="8888" spans="1:19" ht="28" x14ac:dyDescent="0.15">
      <c r="A8888" s="2">
        <f>HYPERLINK("https://open-school.uspishnemisto.com.ua/school/480255/", 480255)</f>
        <v>480255</v>
      </c>
      <c r="B8888" s="3" t="s">
        <v>45429</v>
      </c>
      <c r="C8888" s="3" t="s">
        <v>31</v>
      </c>
      <c r="D8888" s="3" t="s">
        <v>32</v>
      </c>
      <c r="E8888" s="4" t="s">
        <v>22</v>
      </c>
      <c r="F8888" s="4" t="s">
        <v>45430</v>
      </c>
      <c r="G8888" s="4" t="s">
        <v>45431</v>
      </c>
      <c r="H8888" s="3" t="s">
        <v>44362</v>
      </c>
      <c r="I8888" s="3" t="s">
        <v>45432</v>
      </c>
      <c r="J8888" s="3" t="s">
        <v>45433</v>
      </c>
      <c r="K8888" s="3" t="s">
        <v>45434</v>
      </c>
      <c r="L8888" s="3"/>
      <c r="M8888" s="4"/>
      <c r="N8888" s="3" t="s">
        <v>37</v>
      </c>
      <c r="O8888" s="3" t="s">
        <v>52</v>
      </c>
      <c r="P8888" s="5">
        <v>11</v>
      </c>
      <c r="Q8888" s="5">
        <v>161</v>
      </c>
      <c r="R8888" s="5">
        <v>11</v>
      </c>
      <c r="S8888" s="5">
        <v>154</v>
      </c>
    </row>
    <row r="8889" spans="1:19" ht="42" x14ac:dyDescent="0.15">
      <c r="A8889" s="2">
        <f>HYPERLINK("https://open-school.uspishnemisto.com.ua/school/480256/", 480256)</f>
        <v>480256</v>
      </c>
      <c r="B8889" s="3" t="s">
        <v>45435</v>
      </c>
      <c r="C8889" s="3" t="s">
        <v>181</v>
      </c>
      <c r="D8889" s="3" t="s">
        <v>175</v>
      </c>
      <c r="E8889" s="4" t="s">
        <v>22</v>
      </c>
      <c r="F8889" s="4" t="s">
        <v>45430</v>
      </c>
      <c r="G8889" s="4" t="s">
        <v>45431</v>
      </c>
      <c r="H8889" s="3" t="s">
        <v>44362</v>
      </c>
      <c r="I8889" s="3" t="s">
        <v>45432</v>
      </c>
      <c r="J8889" s="3" t="s">
        <v>45436</v>
      </c>
      <c r="K8889" s="3" t="s">
        <v>45437</v>
      </c>
      <c r="L8889" s="3" t="s">
        <v>45438</v>
      </c>
      <c r="M8889" s="4" t="s">
        <v>45439</v>
      </c>
      <c r="N8889" s="3" t="s">
        <v>37</v>
      </c>
      <c r="O8889" s="3"/>
      <c r="P8889" s="5">
        <v>11</v>
      </c>
      <c r="Q8889" s="5">
        <v>112</v>
      </c>
      <c r="R8889" s="5">
        <v>11</v>
      </c>
      <c r="S8889" s="5">
        <v>112</v>
      </c>
    </row>
    <row r="8890" spans="1:19" ht="28" x14ac:dyDescent="0.15">
      <c r="A8890" s="2">
        <f>HYPERLINK("https://open-school.uspishnemisto.com.ua/school/480257/", 480257)</f>
        <v>480257</v>
      </c>
      <c r="B8890" s="3" t="s">
        <v>45440</v>
      </c>
      <c r="C8890" s="3" t="s">
        <v>31</v>
      </c>
      <c r="D8890" s="3" t="s">
        <v>175</v>
      </c>
      <c r="E8890" s="4" t="s">
        <v>22</v>
      </c>
      <c r="F8890" s="4" t="s">
        <v>45441</v>
      </c>
      <c r="G8890" s="4" t="s">
        <v>45442</v>
      </c>
      <c r="H8890" s="3" t="s">
        <v>44362</v>
      </c>
      <c r="I8890" s="3" t="s">
        <v>35468</v>
      </c>
      <c r="J8890" s="3" t="s">
        <v>1747</v>
      </c>
      <c r="K8890" s="3"/>
      <c r="L8890" s="3"/>
      <c r="M8890" s="4"/>
      <c r="N8890" s="3" t="s">
        <v>37</v>
      </c>
      <c r="O8890" s="3" t="s">
        <v>52</v>
      </c>
      <c r="P8890" s="5">
        <v>3</v>
      </c>
      <c r="Q8890" s="5">
        <v>37</v>
      </c>
      <c r="R8890" s="5">
        <v>4</v>
      </c>
      <c r="S8890" s="5">
        <v>42</v>
      </c>
    </row>
    <row r="8891" spans="1:19" ht="42" x14ac:dyDescent="0.15">
      <c r="A8891" s="2">
        <f>HYPERLINK("https://open-school.uspishnemisto.com.ua/school/480258/", 480258)</f>
        <v>480258</v>
      </c>
      <c r="B8891" s="3" t="s">
        <v>45443</v>
      </c>
      <c r="C8891" s="3" t="s">
        <v>31</v>
      </c>
      <c r="D8891" s="3" t="s">
        <v>32</v>
      </c>
      <c r="E8891" s="4" t="s">
        <v>22</v>
      </c>
      <c r="F8891" s="4" t="s">
        <v>45444</v>
      </c>
      <c r="G8891" s="4" t="s">
        <v>45445</v>
      </c>
      <c r="H8891" s="3" t="s">
        <v>44362</v>
      </c>
      <c r="I8891" s="3" t="s">
        <v>1291</v>
      </c>
      <c r="J8891" s="3" t="s">
        <v>45446</v>
      </c>
      <c r="K8891" s="3" t="s">
        <v>45447</v>
      </c>
      <c r="L8891" s="3" t="s">
        <v>45448</v>
      </c>
      <c r="M8891" s="4"/>
      <c r="N8891" s="3" t="s">
        <v>37</v>
      </c>
      <c r="O8891" s="3" t="s">
        <v>38</v>
      </c>
      <c r="P8891" s="5">
        <v>30</v>
      </c>
      <c r="Q8891" s="5">
        <v>657</v>
      </c>
      <c r="R8891" s="5">
        <v>31</v>
      </c>
      <c r="S8891" s="5">
        <v>645</v>
      </c>
    </row>
    <row r="8892" spans="1:19" ht="28" x14ac:dyDescent="0.15">
      <c r="A8892" s="2">
        <f>HYPERLINK("https://open-school.uspishnemisto.com.ua/school/480259/", 480259)</f>
        <v>480259</v>
      </c>
      <c r="B8892" s="3" t="s">
        <v>45449</v>
      </c>
      <c r="C8892" s="3" t="s">
        <v>31</v>
      </c>
      <c r="D8892" s="3" t="s">
        <v>32</v>
      </c>
      <c r="E8892" s="4" t="s">
        <v>22</v>
      </c>
      <c r="F8892" s="4" t="s">
        <v>45450</v>
      </c>
      <c r="G8892" s="4" t="s">
        <v>45451</v>
      </c>
      <c r="H8892" s="3" t="s">
        <v>44362</v>
      </c>
      <c r="I8892" s="3" t="s">
        <v>3744</v>
      </c>
      <c r="J8892" s="3" t="s">
        <v>45452</v>
      </c>
      <c r="K8892" s="3" t="s">
        <v>45453</v>
      </c>
      <c r="L8892" s="3"/>
      <c r="M8892" s="4"/>
      <c r="N8892" s="3" t="s">
        <v>37</v>
      </c>
      <c r="O8892" s="3" t="s">
        <v>52</v>
      </c>
      <c r="P8892" s="5">
        <v>9</v>
      </c>
      <c r="Q8892" s="5">
        <v>73</v>
      </c>
      <c r="R8892" s="5">
        <v>8</v>
      </c>
      <c r="S8892" s="5">
        <v>70</v>
      </c>
    </row>
    <row r="8893" spans="1:19" ht="28" x14ac:dyDescent="0.15">
      <c r="A8893" s="2">
        <f>HYPERLINK("https://open-school.uspishnemisto.com.ua/school/480260/", 480260)</f>
        <v>480260</v>
      </c>
      <c r="B8893" s="3" t="s">
        <v>45454</v>
      </c>
      <c r="C8893" s="3" t="s">
        <v>31</v>
      </c>
      <c r="D8893" s="3" t="s">
        <v>32</v>
      </c>
      <c r="E8893" s="4" t="s">
        <v>22</v>
      </c>
      <c r="F8893" s="4" t="s">
        <v>45455</v>
      </c>
      <c r="G8893" s="4" t="s">
        <v>45456</v>
      </c>
      <c r="H8893" s="3" t="s">
        <v>44362</v>
      </c>
      <c r="I8893" s="3" t="s">
        <v>45457</v>
      </c>
      <c r="J8893" s="3" t="s">
        <v>45458</v>
      </c>
      <c r="K8893" s="3" t="s">
        <v>45459</v>
      </c>
      <c r="L8893" s="3"/>
      <c r="M8893" s="4"/>
      <c r="N8893" s="3" t="s">
        <v>37</v>
      </c>
      <c r="O8893" s="3" t="s">
        <v>52</v>
      </c>
      <c r="P8893" s="5">
        <v>11</v>
      </c>
      <c r="Q8893" s="5">
        <v>148</v>
      </c>
      <c r="R8893" s="5">
        <v>11</v>
      </c>
      <c r="S8893" s="5">
        <v>149</v>
      </c>
    </row>
    <row r="8894" spans="1:19" ht="28" x14ac:dyDescent="0.15">
      <c r="A8894" s="2">
        <f>HYPERLINK("https://open-school.uspishnemisto.com.ua/school/480261/", 480261)</f>
        <v>480261</v>
      </c>
      <c r="B8894" s="3" t="s">
        <v>45460</v>
      </c>
      <c r="C8894" s="3" t="s">
        <v>31</v>
      </c>
      <c r="D8894" s="3" t="s">
        <v>32</v>
      </c>
      <c r="E8894" s="4" t="s">
        <v>22</v>
      </c>
      <c r="F8894" s="4" t="s">
        <v>45461</v>
      </c>
      <c r="G8894" s="4" t="s">
        <v>45462</v>
      </c>
      <c r="H8894" s="3" t="s">
        <v>44362</v>
      </c>
      <c r="I8894" s="3" t="s">
        <v>32416</v>
      </c>
      <c r="J8894" s="3" t="s">
        <v>466</v>
      </c>
      <c r="K8894" s="3" t="s">
        <v>45463</v>
      </c>
      <c r="L8894" s="3"/>
      <c r="M8894" s="4"/>
      <c r="N8894" s="3" t="s">
        <v>37</v>
      </c>
      <c r="O8894" s="3" t="s">
        <v>52</v>
      </c>
      <c r="P8894" s="5">
        <v>11</v>
      </c>
      <c r="Q8894" s="5">
        <v>132</v>
      </c>
      <c r="R8894" s="5">
        <v>10</v>
      </c>
      <c r="S8894" s="5">
        <v>125</v>
      </c>
    </row>
    <row r="8895" spans="1:19" ht="28" x14ac:dyDescent="0.15">
      <c r="A8895" s="2">
        <f>HYPERLINK("https://open-school.uspishnemisto.com.ua/school/480262/", 480262)</f>
        <v>480262</v>
      </c>
      <c r="B8895" s="3" t="s">
        <v>45464</v>
      </c>
      <c r="C8895" s="3" t="s">
        <v>181</v>
      </c>
      <c r="D8895" s="3" t="s">
        <v>175</v>
      </c>
      <c r="E8895" s="4" t="s">
        <v>22</v>
      </c>
      <c r="F8895" s="4" t="s">
        <v>45461</v>
      </c>
      <c r="G8895" s="4" t="s">
        <v>45465</v>
      </c>
      <c r="H8895" s="3" t="s">
        <v>44362</v>
      </c>
      <c r="I8895" s="3" t="s">
        <v>45466</v>
      </c>
      <c r="J8895" s="3" t="s">
        <v>45467</v>
      </c>
      <c r="K8895" s="3" t="s">
        <v>45468</v>
      </c>
      <c r="L8895" s="3"/>
      <c r="M8895" s="4" t="s">
        <v>45469</v>
      </c>
      <c r="N8895" s="3" t="s">
        <v>37</v>
      </c>
      <c r="O8895" s="3"/>
      <c r="P8895" s="5">
        <v>12</v>
      </c>
      <c r="Q8895" s="5">
        <v>144</v>
      </c>
      <c r="R8895" s="5">
        <v>12</v>
      </c>
      <c r="S8895" s="5">
        <v>144</v>
      </c>
    </row>
    <row r="8896" spans="1:19" ht="42" x14ac:dyDescent="0.15">
      <c r="A8896" s="2">
        <f>HYPERLINK("https://open-school.uspishnemisto.com.ua/school/480263/", 480263)</f>
        <v>480263</v>
      </c>
      <c r="B8896" s="3" t="s">
        <v>45470</v>
      </c>
      <c r="C8896" s="3" t="s">
        <v>31</v>
      </c>
      <c r="D8896" s="3" t="s">
        <v>32</v>
      </c>
      <c r="E8896" s="4" t="s">
        <v>22</v>
      </c>
      <c r="F8896" s="4" t="s">
        <v>45471</v>
      </c>
      <c r="G8896" s="4" t="s">
        <v>45472</v>
      </c>
      <c r="H8896" s="3" t="s">
        <v>44362</v>
      </c>
      <c r="I8896" s="3" t="s">
        <v>36298</v>
      </c>
      <c r="J8896" s="3" t="s">
        <v>45473</v>
      </c>
      <c r="K8896" s="3" t="s">
        <v>45474</v>
      </c>
      <c r="L8896" s="3" t="s">
        <v>45475</v>
      </c>
      <c r="M8896" s="4"/>
      <c r="N8896" s="3" t="s">
        <v>37</v>
      </c>
      <c r="O8896" s="3" t="s">
        <v>52</v>
      </c>
      <c r="P8896" s="5">
        <v>11</v>
      </c>
      <c r="Q8896" s="5">
        <v>125</v>
      </c>
      <c r="R8896" s="5">
        <v>11</v>
      </c>
      <c r="S8896" s="5">
        <v>113</v>
      </c>
    </row>
    <row r="8897" spans="1:19" ht="42" x14ac:dyDescent="0.15">
      <c r="A8897" s="2">
        <f>HYPERLINK("https://open-school.uspishnemisto.com.ua/school/480264/", 480264)</f>
        <v>480264</v>
      </c>
      <c r="B8897" s="3" t="s">
        <v>45476</v>
      </c>
      <c r="C8897" s="3" t="s">
        <v>54</v>
      </c>
      <c r="D8897" s="3" t="s">
        <v>32</v>
      </c>
      <c r="E8897" s="4" t="s">
        <v>22</v>
      </c>
      <c r="F8897" s="4" t="s">
        <v>45477</v>
      </c>
      <c r="G8897" s="4" t="s">
        <v>45478</v>
      </c>
      <c r="H8897" s="3" t="s">
        <v>44362</v>
      </c>
      <c r="I8897" s="3" t="s">
        <v>45479</v>
      </c>
      <c r="J8897" s="3" t="s">
        <v>1636</v>
      </c>
      <c r="K8897" s="3" t="s">
        <v>45480</v>
      </c>
      <c r="L8897" s="3" t="s">
        <v>45481</v>
      </c>
      <c r="M8897" s="4"/>
      <c r="N8897" s="3" t="s">
        <v>37</v>
      </c>
      <c r="O8897" s="3" t="s">
        <v>52</v>
      </c>
      <c r="P8897" s="5">
        <v>8</v>
      </c>
      <c r="Q8897" s="5">
        <v>76</v>
      </c>
      <c r="R8897" s="5">
        <v>9</v>
      </c>
      <c r="S8897" s="5">
        <v>87</v>
      </c>
    </row>
    <row r="8898" spans="1:19" ht="28" x14ac:dyDescent="0.15">
      <c r="A8898" s="2">
        <f>HYPERLINK("https://open-school.uspishnemisto.com.ua/school/480265/", 480265)</f>
        <v>480265</v>
      </c>
      <c r="B8898" s="3" t="s">
        <v>45482</v>
      </c>
      <c r="C8898" s="3" t="s">
        <v>31</v>
      </c>
      <c r="D8898" s="3" t="s">
        <v>175</v>
      </c>
      <c r="E8898" s="4" t="s">
        <v>22</v>
      </c>
      <c r="F8898" s="4" t="s">
        <v>45483</v>
      </c>
      <c r="G8898" s="4" t="s">
        <v>45484</v>
      </c>
      <c r="H8898" s="3" t="s">
        <v>44362</v>
      </c>
      <c r="I8898" s="3" t="s">
        <v>11923</v>
      </c>
      <c r="J8898" s="3" t="s">
        <v>634</v>
      </c>
      <c r="K8898" s="3" t="s">
        <v>45485</v>
      </c>
      <c r="L8898" s="3"/>
      <c r="M8898" s="4"/>
      <c r="N8898" s="3" t="s">
        <v>37</v>
      </c>
      <c r="O8898" s="3" t="s">
        <v>52</v>
      </c>
      <c r="P8898" s="5">
        <v>3</v>
      </c>
      <c r="Q8898" s="5">
        <v>46</v>
      </c>
      <c r="R8898" s="5">
        <v>6</v>
      </c>
      <c r="S8898" s="5">
        <v>44</v>
      </c>
    </row>
    <row r="8899" spans="1:19" ht="28" x14ac:dyDescent="0.15">
      <c r="A8899" s="2">
        <f>HYPERLINK("https://open-school.uspishnemisto.com.ua/school/480266/", 480266)</f>
        <v>480266</v>
      </c>
      <c r="B8899" s="3" t="s">
        <v>45486</v>
      </c>
      <c r="C8899" s="3" t="s">
        <v>31</v>
      </c>
      <c r="D8899" s="3" t="s">
        <v>32</v>
      </c>
      <c r="E8899" s="4" t="s">
        <v>22</v>
      </c>
      <c r="F8899" s="4" t="s">
        <v>45487</v>
      </c>
      <c r="G8899" s="4" t="s">
        <v>45488</v>
      </c>
      <c r="H8899" s="3" t="s">
        <v>44362</v>
      </c>
      <c r="I8899" s="3" t="s">
        <v>45489</v>
      </c>
      <c r="J8899" s="3" t="s">
        <v>45490</v>
      </c>
      <c r="K8899" s="3" t="s">
        <v>45491</v>
      </c>
      <c r="L8899" s="3"/>
      <c r="M8899" s="4"/>
      <c r="N8899" s="3" t="s">
        <v>37</v>
      </c>
      <c r="O8899" s="3" t="s">
        <v>52</v>
      </c>
      <c r="P8899" s="5">
        <v>14</v>
      </c>
      <c r="Q8899" s="5">
        <v>235</v>
      </c>
      <c r="R8899" s="5">
        <v>13</v>
      </c>
      <c r="S8899" s="5">
        <v>229</v>
      </c>
    </row>
    <row r="8900" spans="1:19" ht="28" x14ac:dyDescent="0.15">
      <c r="A8900" s="2">
        <f>HYPERLINK("https://open-school.uspishnemisto.com.ua/school/480267/", 480267)</f>
        <v>480267</v>
      </c>
      <c r="B8900" s="3" t="s">
        <v>45492</v>
      </c>
      <c r="C8900" s="3" t="s">
        <v>31</v>
      </c>
      <c r="D8900" s="3" t="s">
        <v>32</v>
      </c>
      <c r="E8900" s="4" t="s">
        <v>22</v>
      </c>
      <c r="F8900" s="4" t="s">
        <v>45493</v>
      </c>
      <c r="G8900" s="4" t="s">
        <v>45494</v>
      </c>
      <c r="H8900" s="3" t="s">
        <v>44362</v>
      </c>
      <c r="I8900" s="3" t="s">
        <v>11056</v>
      </c>
      <c r="J8900" s="3" t="s">
        <v>45495</v>
      </c>
      <c r="K8900" s="3" t="s">
        <v>45496</v>
      </c>
      <c r="L8900" s="3" t="s">
        <v>45497</v>
      </c>
      <c r="M8900" s="4"/>
      <c r="N8900" s="3" t="s">
        <v>37</v>
      </c>
      <c r="O8900" s="3" t="s">
        <v>38</v>
      </c>
      <c r="P8900" s="5">
        <v>11</v>
      </c>
      <c r="Q8900" s="5">
        <v>150</v>
      </c>
      <c r="R8900" s="5">
        <v>11</v>
      </c>
      <c r="S8900" s="5">
        <v>152</v>
      </c>
    </row>
    <row r="8901" spans="1:19" ht="28" x14ac:dyDescent="0.15">
      <c r="A8901" s="2">
        <f>HYPERLINK("https://open-school.uspishnemisto.com.ua/school/480268/", 480268)</f>
        <v>480268</v>
      </c>
      <c r="B8901" s="3" t="s">
        <v>45498</v>
      </c>
      <c r="C8901" s="3" t="s">
        <v>31</v>
      </c>
      <c r="D8901" s="3" t="s">
        <v>32</v>
      </c>
      <c r="E8901" s="4" t="s">
        <v>22</v>
      </c>
      <c r="F8901" s="4" t="s">
        <v>45499</v>
      </c>
      <c r="G8901" s="4" t="s">
        <v>45500</v>
      </c>
      <c r="H8901" s="3" t="s">
        <v>44362</v>
      </c>
      <c r="I8901" s="3" t="s">
        <v>35353</v>
      </c>
      <c r="J8901" s="3" t="s">
        <v>761</v>
      </c>
      <c r="K8901" s="3" t="s">
        <v>45501</v>
      </c>
      <c r="L8901" s="3"/>
      <c r="M8901" s="4"/>
      <c r="N8901" s="3" t="s">
        <v>37</v>
      </c>
      <c r="O8901" s="3" t="s">
        <v>52</v>
      </c>
      <c r="P8901" s="5">
        <v>9</v>
      </c>
      <c r="Q8901" s="5">
        <v>86</v>
      </c>
      <c r="R8901" s="5">
        <v>9</v>
      </c>
      <c r="S8901" s="5">
        <v>76</v>
      </c>
    </row>
    <row r="8902" spans="1:19" ht="42" x14ac:dyDescent="0.15">
      <c r="A8902" s="2">
        <f>HYPERLINK("https://open-school.uspishnemisto.com.ua/school/480269/", 480269)</f>
        <v>480269</v>
      </c>
      <c r="B8902" s="3" t="s">
        <v>45502</v>
      </c>
      <c r="C8902" s="3" t="s">
        <v>31</v>
      </c>
      <c r="D8902" s="3" t="s">
        <v>32</v>
      </c>
      <c r="E8902" s="4" t="s">
        <v>22</v>
      </c>
      <c r="F8902" s="4" t="s">
        <v>45503</v>
      </c>
      <c r="G8902" s="4" t="s">
        <v>45504</v>
      </c>
      <c r="H8902" s="3" t="s">
        <v>44362</v>
      </c>
      <c r="I8902" s="3" t="s">
        <v>45505</v>
      </c>
      <c r="J8902" s="3" t="s">
        <v>45506</v>
      </c>
      <c r="K8902" s="3" t="s">
        <v>45507</v>
      </c>
      <c r="L8902" s="3"/>
      <c r="M8902" s="4"/>
      <c r="N8902" s="3" t="s">
        <v>37</v>
      </c>
      <c r="O8902" s="3" t="s">
        <v>52</v>
      </c>
      <c r="P8902" s="5">
        <v>11</v>
      </c>
      <c r="Q8902" s="5">
        <v>175</v>
      </c>
      <c r="R8902" s="5">
        <v>11</v>
      </c>
      <c r="S8902" s="5">
        <v>182</v>
      </c>
    </row>
    <row r="8903" spans="1:19" ht="28" x14ac:dyDescent="0.15">
      <c r="A8903" s="2">
        <f>HYPERLINK("https://open-school.uspishnemisto.com.ua/school/480270/", 480270)</f>
        <v>480270</v>
      </c>
      <c r="B8903" s="3" t="s">
        <v>45508</v>
      </c>
      <c r="C8903" s="3" t="s">
        <v>31</v>
      </c>
      <c r="D8903" s="3" t="s">
        <v>32</v>
      </c>
      <c r="E8903" s="4" t="s">
        <v>22</v>
      </c>
      <c r="F8903" s="4" t="s">
        <v>45509</v>
      </c>
      <c r="G8903" s="4" t="s">
        <v>45510</v>
      </c>
      <c r="H8903" s="3" t="s">
        <v>44362</v>
      </c>
      <c r="I8903" s="3" t="s">
        <v>45511</v>
      </c>
      <c r="J8903" s="3" t="s">
        <v>45512</v>
      </c>
      <c r="K8903" s="3" t="s">
        <v>45513</v>
      </c>
      <c r="L8903" s="3"/>
      <c r="M8903" s="4"/>
      <c r="N8903" s="3" t="s">
        <v>37</v>
      </c>
      <c r="O8903" s="3" t="s">
        <v>38</v>
      </c>
      <c r="P8903" s="5">
        <v>11</v>
      </c>
      <c r="Q8903" s="5">
        <v>171</v>
      </c>
      <c r="R8903" s="5">
        <v>11</v>
      </c>
      <c r="S8903" s="5">
        <v>168</v>
      </c>
    </row>
    <row r="8904" spans="1:19" ht="28" x14ac:dyDescent="0.15">
      <c r="A8904" s="2">
        <f>HYPERLINK("https://open-school.uspishnemisto.com.ua/school/480271/", 480271)</f>
        <v>480271</v>
      </c>
      <c r="B8904" s="3" t="s">
        <v>45514</v>
      </c>
      <c r="C8904" s="3" t="s">
        <v>31</v>
      </c>
      <c r="D8904" s="3" t="s">
        <v>32</v>
      </c>
      <c r="E8904" s="4" t="s">
        <v>22</v>
      </c>
      <c r="F8904" s="4" t="s">
        <v>45515</v>
      </c>
      <c r="G8904" s="4" t="s">
        <v>45516</v>
      </c>
      <c r="H8904" s="3" t="s">
        <v>44362</v>
      </c>
      <c r="I8904" s="3" t="s">
        <v>45517</v>
      </c>
      <c r="J8904" s="3" t="s">
        <v>45518</v>
      </c>
      <c r="K8904" s="3" t="s">
        <v>45519</v>
      </c>
      <c r="L8904" s="3"/>
      <c r="M8904" s="4"/>
      <c r="N8904" s="3" t="s">
        <v>37</v>
      </c>
      <c r="O8904" s="3" t="s">
        <v>46</v>
      </c>
      <c r="P8904" s="5">
        <v>12</v>
      </c>
      <c r="Q8904" s="5">
        <v>189</v>
      </c>
      <c r="R8904" s="5">
        <v>12</v>
      </c>
      <c r="S8904" s="5">
        <v>176</v>
      </c>
    </row>
    <row r="8905" spans="1:19" ht="42" x14ac:dyDescent="0.15">
      <c r="A8905" s="2">
        <f>HYPERLINK("https://open-school.uspishnemisto.com.ua/school/480272/", 480272)</f>
        <v>480272</v>
      </c>
      <c r="B8905" s="3" t="s">
        <v>45520</v>
      </c>
      <c r="C8905" s="3" t="s">
        <v>31</v>
      </c>
      <c r="D8905" s="3" t="s">
        <v>32</v>
      </c>
      <c r="E8905" s="4" t="s">
        <v>22</v>
      </c>
      <c r="F8905" s="4" t="s">
        <v>45521</v>
      </c>
      <c r="G8905" s="4" t="s">
        <v>45522</v>
      </c>
      <c r="H8905" s="3" t="s">
        <v>44362</v>
      </c>
      <c r="I8905" s="3" t="s">
        <v>45523</v>
      </c>
      <c r="J8905" s="3" t="s">
        <v>6004</v>
      </c>
      <c r="K8905" s="3" t="s">
        <v>45524</v>
      </c>
      <c r="L8905" s="3"/>
      <c r="M8905" s="4"/>
      <c r="N8905" s="3" t="s">
        <v>37</v>
      </c>
      <c r="O8905" s="3" t="s">
        <v>52</v>
      </c>
      <c r="P8905" s="5">
        <v>10</v>
      </c>
      <c r="Q8905" s="5">
        <v>100</v>
      </c>
      <c r="R8905" s="5">
        <v>10</v>
      </c>
      <c r="S8905" s="5">
        <v>86</v>
      </c>
    </row>
    <row r="8906" spans="1:19" ht="42" x14ac:dyDescent="0.15">
      <c r="A8906" s="2">
        <f>HYPERLINK("https://open-school.uspishnemisto.com.ua/school/480273/", 480273)</f>
        <v>480273</v>
      </c>
      <c r="B8906" s="3" t="s">
        <v>45525</v>
      </c>
      <c r="C8906" s="3" t="s">
        <v>31</v>
      </c>
      <c r="D8906" s="3" t="s">
        <v>32</v>
      </c>
      <c r="E8906" s="4" t="s">
        <v>22</v>
      </c>
      <c r="F8906" s="4" t="s">
        <v>45526</v>
      </c>
      <c r="G8906" s="4" t="s">
        <v>45527</v>
      </c>
      <c r="H8906" s="3" t="s">
        <v>44362</v>
      </c>
      <c r="I8906" s="3" t="s">
        <v>45528</v>
      </c>
      <c r="J8906" s="3" t="s">
        <v>45529</v>
      </c>
      <c r="K8906" s="3" t="s">
        <v>45530</v>
      </c>
      <c r="L8906" s="3" t="s">
        <v>45531</v>
      </c>
      <c r="M8906" s="4"/>
      <c r="N8906" s="3" t="s">
        <v>37</v>
      </c>
      <c r="O8906" s="3" t="s">
        <v>52</v>
      </c>
      <c r="P8906" s="5">
        <v>10</v>
      </c>
      <c r="Q8906" s="5">
        <v>145</v>
      </c>
      <c r="R8906" s="5">
        <v>11</v>
      </c>
      <c r="S8906" s="5">
        <v>159</v>
      </c>
    </row>
    <row r="8907" spans="1:19" ht="42" x14ac:dyDescent="0.15">
      <c r="A8907" s="2">
        <f>HYPERLINK("https://open-school.uspishnemisto.com.ua/school/480274/", 480274)</f>
        <v>480274</v>
      </c>
      <c r="B8907" s="3" t="s">
        <v>45532</v>
      </c>
      <c r="C8907" s="3" t="s">
        <v>31</v>
      </c>
      <c r="D8907" s="3" t="s">
        <v>175</v>
      </c>
      <c r="E8907" s="4" t="s">
        <v>22</v>
      </c>
      <c r="F8907" s="4" t="s">
        <v>45533</v>
      </c>
      <c r="G8907" s="4" t="s">
        <v>45534</v>
      </c>
      <c r="H8907" s="3" t="s">
        <v>44362</v>
      </c>
      <c r="I8907" s="3" t="s">
        <v>45535</v>
      </c>
      <c r="J8907" s="3" t="s">
        <v>1451</v>
      </c>
      <c r="K8907" s="3"/>
      <c r="L8907" s="3"/>
      <c r="M8907" s="4"/>
      <c r="N8907" s="3" t="s">
        <v>37</v>
      </c>
      <c r="O8907" s="3" t="s">
        <v>52</v>
      </c>
      <c r="P8907" s="5">
        <v>6</v>
      </c>
      <c r="Q8907" s="5">
        <v>40</v>
      </c>
      <c r="R8907" s="5">
        <v>6</v>
      </c>
      <c r="S8907" s="5">
        <v>46</v>
      </c>
    </row>
    <row r="8908" spans="1:19" ht="28" x14ac:dyDescent="0.15">
      <c r="A8908" s="2">
        <f>HYPERLINK("https://open-school.uspishnemisto.com.ua/school/480275/", 480275)</f>
        <v>480275</v>
      </c>
      <c r="B8908" s="3" t="s">
        <v>45536</v>
      </c>
      <c r="C8908" s="3" t="s">
        <v>31</v>
      </c>
      <c r="D8908" s="3" t="s">
        <v>32</v>
      </c>
      <c r="E8908" s="4" t="s">
        <v>22</v>
      </c>
      <c r="F8908" s="4" t="s">
        <v>45537</v>
      </c>
      <c r="G8908" s="4" t="s">
        <v>45538</v>
      </c>
      <c r="H8908" s="3" t="s">
        <v>44362</v>
      </c>
      <c r="I8908" s="3" t="s">
        <v>45539</v>
      </c>
      <c r="J8908" s="3" t="s">
        <v>10823</v>
      </c>
      <c r="K8908" s="3" t="s">
        <v>45540</v>
      </c>
      <c r="L8908" s="3" t="s">
        <v>45541</v>
      </c>
      <c r="M8908" s="4"/>
      <c r="N8908" s="3" t="s">
        <v>37</v>
      </c>
      <c r="O8908" s="3" t="s">
        <v>45542</v>
      </c>
      <c r="P8908" s="5">
        <v>11</v>
      </c>
      <c r="Q8908" s="5">
        <v>140</v>
      </c>
      <c r="R8908" s="5">
        <v>11</v>
      </c>
      <c r="S8908" s="5">
        <v>135</v>
      </c>
    </row>
    <row r="8909" spans="1:19" ht="28" x14ac:dyDescent="0.15">
      <c r="A8909" s="2">
        <f>HYPERLINK("https://open-school.uspishnemisto.com.ua/school/480276/", 480276)</f>
        <v>480276</v>
      </c>
      <c r="B8909" s="3" t="s">
        <v>45543</v>
      </c>
      <c r="C8909" s="3" t="s">
        <v>31</v>
      </c>
      <c r="D8909" s="3" t="s">
        <v>60</v>
      </c>
      <c r="E8909" s="4" t="s">
        <v>22</v>
      </c>
      <c r="F8909" s="4" t="s">
        <v>45544</v>
      </c>
      <c r="G8909" s="4" t="s">
        <v>45545</v>
      </c>
      <c r="H8909" s="3" t="s">
        <v>44362</v>
      </c>
      <c r="I8909" s="3" t="s">
        <v>12351</v>
      </c>
      <c r="J8909" s="3" t="s">
        <v>466</v>
      </c>
      <c r="K8909" s="3" t="s">
        <v>45546</v>
      </c>
      <c r="L8909" s="3"/>
      <c r="M8909" s="4"/>
      <c r="N8909" s="3" t="s">
        <v>37</v>
      </c>
      <c r="O8909" s="3"/>
      <c r="P8909" s="5">
        <v>1</v>
      </c>
      <c r="Q8909" s="5">
        <v>16</v>
      </c>
      <c r="R8909" s="5">
        <v>2</v>
      </c>
      <c r="S8909" s="5">
        <v>20</v>
      </c>
    </row>
    <row r="8910" spans="1:19" ht="28" x14ac:dyDescent="0.15">
      <c r="A8910" s="2">
        <f>HYPERLINK("https://open-school.uspishnemisto.com.ua/school/480277/", 480277)</f>
        <v>480277</v>
      </c>
      <c r="B8910" s="3" t="s">
        <v>45547</v>
      </c>
      <c r="C8910" s="3" t="s">
        <v>31</v>
      </c>
      <c r="D8910" s="3" t="s">
        <v>60</v>
      </c>
      <c r="E8910" s="4" t="s">
        <v>22</v>
      </c>
      <c r="F8910" s="4" t="s">
        <v>45548</v>
      </c>
      <c r="G8910" s="4" t="s">
        <v>45549</v>
      </c>
      <c r="H8910" s="3" t="s">
        <v>44362</v>
      </c>
      <c r="I8910" s="3" t="s">
        <v>11250</v>
      </c>
      <c r="J8910" s="3" t="s">
        <v>45550</v>
      </c>
      <c r="K8910" s="3" t="s">
        <v>45551</v>
      </c>
      <c r="L8910" s="3"/>
      <c r="M8910" s="4"/>
      <c r="N8910" s="3" t="s">
        <v>37</v>
      </c>
      <c r="O8910" s="3" t="s">
        <v>52</v>
      </c>
      <c r="P8910" s="5">
        <v>3</v>
      </c>
      <c r="Q8910" s="5">
        <v>17</v>
      </c>
      <c r="R8910" s="5">
        <v>2</v>
      </c>
      <c r="S8910" s="5">
        <v>11</v>
      </c>
    </row>
    <row r="8911" spans="1:19" ht="28" x14ac:dyDescent="0.15">
      <c r="A8911" s="2">
        <f>HYPERLINK("https://open-school.uspishnemisto.com.ua/school/480278/", 480278)</f>
        <v>480278</v>
      </c>
      <c r="B8911" s="3" t="s">
        <v>45552</v>
      </c>
      <c r="C8911" s="3" t="s">
        <v>31</v>
      </c>
      <c r="D8911" s="3" t="s">
        <v>32</v>
      </c>
      <c r="E8911" s="4" t="s">
        <v>22</v>
      </c>
      <c r="F8911" s="4" t="s">
        <v>45553</v>
      </c>
      <c r="G8911" s="4" t="s">
        <v>45554</v>
      </c>
      <c r="H8911" s="3" t="s">
        <v>44362</v>
      </c>
      <c r="I8911" s="3" t="s">
        <v>45555</v>
      </c>
      <c r="J8911" s="3" t="s">
        <v>45556</v>
      </c>
      <c r="K8911" s="3" t="s">
        <v>45557</v>
      </c>
      <c r="L8911" s="3"/>
      <c r="M8911" s="4"/>
      <c r="N8911" s="3" t="s">
        <v>37</v>
      </c>
      <c r="O8911" s="3" t="s">
        <v>52</v>
      </c>
      <c r="P8911" s="5">
        <v>11</v>
      </c>
      <c r="Q8911" s="5">
        <v>126</v>
      </c>
      <c r="R8911" s="5">
        <v>10</v>
      </c>
      <c r="S8911" s="5">
        <v>118</v>
      </c>
    </row>
    <row r="8912" spans="1:19" ht="28" x14ac:dyDescent="0.15">
      <c r="A8912" s="2">
        <f>HYPERLINK("https://open-school.uspishnemisto.com.ua/school/480279/", 480279)</f>
        <v>480279</v>
      </c>
      <c r="B8912" s="3" t="s">
        <v>45558</v>
      </c>
      <c r="C8912" s="3" t="s">
        <v>31</v>
      </c>
      <c r="D8912" s="3" t="s">
        <v>32</v>
      </c>
      <c r="E8912" s="4" t="s">
        <v>22</v>
      </c>
      <c r="F8912" s="4" t="s">
        <v>45559</v>
      </c>
      <c r="G8912" s="4" t="s">
        <v>45560</v>
      </c>
      <c r="H8912" s="3" t="s">
        <v>44362</v>
      </c>
      <c r="I8912" s="3" t="s">
        <v>45561</v>
      </c>
      <c r="J8912" s="3" t="s">
        <v>1857</v>
      </c>
      <c r="K8912" s="3" t="s">
        <v>45562</v>
      </c>
      <c r="L8912" s="3"/>
      <c r="M8912" s="4"/>
      <c r="N8912" s="3" t="s">
        <v>37</v>
      </c>
      <c r="O8912" s="3" t="s">
        <v>52</v>
      </c>
      <c r="P8912" s="5">
        <v>11</v>
      </c>
      <c r="Q8912" s="5">
        <v>177</v>
      </c>
      <c r="R8912" s="5">
        <v>11</v>
      </c>
      <c r="S8912" s="5">
        <v>168</v>
      </c>
    </row>
    <row r="8913" spans="1:19" ht="28" x14ac:dyDescent="0.15">
      <c r="A8913" s="2">
        <f>HYPERLINK("https://open-school.uspishnemisto.com.ua/school/480280/", 480280)</f>
        <v>480280</v>
      </c>
      <c r="B8913" s="3" t="s">
        <v>45563</v>
      </c>
      <c r="C8913" s="3" t="s">
        <v>31</v>
      </c>
      <c r="D8913" s="3" t="s">
        <v>32</v>
      </c>
      <c r="E8913" s="4" t="s">
        <v>22</v>
      </c>
      <c r="F8913" s="4" t="s">
        <v>45559</v>
      </c>
      <c r="G8913" s="4" t="s">
        <v>45560</v>
      </c>
      <c r="H8913" s="3" t="s">
        <v>44362</v>
      </c>
      <c r="I8913" s="3" t="s">
        <v>45561</v>
      </c>
      <c r="J8913" s="3" t="s">
        <v>45564</v>
      </c>
      <c r="K8913" s="3" t="s">
        <v>45565</v>
      </c>
      <c r="L8913" s="3"/>
      <c r="M8913" s="4"/>
      <c r="N8913" s="3" t="s">
        <v>37</v>
      </c>
      <c r="O8913" s="3" t="s">
        <v>52</v>
      </c>
      <c r="P8913" s="5">
        <v>23</v>
      </c>
      <c r="Q8913" s="5">
        <v>498</v>
      </c>
      <c r="R8913" s="5">
        <v>23</v>
      </c>
      <c r="S8913" s="5">
        <v>475</v>
      </c>
    </row>
    <row r="8914" spans="1:19" ht="28" x14ac:dyDescent="0.15">
      <c r="A8914" s="2">
        <f>HYPERLINK("https://open-school.uspishnemisto.com.ua/school/480281/", 480281)</f>
        <v>480281</v>
      </c>
      <c r="B8914" s="3" t="s">
        <v>45566</v>
      </c>
      <c r="C8914" s="3" t="s">
        <v>40</v>
      </c>
      <c r="D8914" s="3" t="s">
        <v>32</v>
      </c>
      <c r="E8914" s="4" t="s">
        <v>22</v>
      </c>
      <c r="F8914" s="4" t="s">
        <v>45559</v>
      </c>
      <c r="G8914" s="4" t="s">
        <v>45560</v>
      </c>
      <c r="H8914" s="3" t="s">
        <v>44362</v>
      </c>
      <c r="I8914" s="3" t="s">
        <v>45561</v>
      </c>
      <c r="J8914" s="3" t="s">
        <v>45567</v>
      </c>
      <c r="K8914" s="3" t="s">
        <v>45568</v>
      </c>
      <c r="L8914" s="3"/>
      <c r="M8914" s="4"/>
      <c r="N8914" s="3" t="s">
        <v>37</v>
      </c>
      <c r="O8914" s="3" t="s">
        <v>46</v>
      </c>
      <c r="P8914" s="5">
        <v>20</v>
      </c>
      <c r="Q8914" s="5">
        <v>402</v>
      </c>
      <c r="R8914" s="5">
        <v>20</v>
      </c>
      <c r="S8914" s="5">
        <v>371</v>
      </c>
    </row>
    <row r="8915" spans="1:19" ht="28" x14ac:dyDescent="0.15">
      <c r="A8915" s="2">
        <f>HYPERLINK("https://open-school.uspishnemisto.com.ua/school/480282/", 480282)</f>
        <v>480282</v>
      </c>
      <c r="B8915" s="3" t="s">
        <v>45569</v>
      </c>
      <c r="C8915" s="3" t="s">
        <v>31</v>
      </c>
      <c r="D8915" s="3" t="s">
        <v>32</v>
      </c>
      <c r="E8915" s="4" t="s">
        <v>22</v>
      </c>
      <c r="F8915" s="4" t="s">
        <v>45570</v>
      </c>
      <c r="G8915" s="4" t="s">
        <v>45571</v>
      </c>
      <c r="H8915" s="3" t="s">
        <v>44362</v>
      </c>
      <c r="I8915" s="3" t="s">
        <v>11508</v>
      </c>
      <c r="J8915" s="3" t="s">
        <v>1348</v>
      </c>
      <c r="K8915" s="3" t="s">
        <v>45572</v>
      </c>
      <c r="L8915" s="3"/>
      <c r="M8915" s="4"/>
      <c r="N8915" s="3" t="s">
        <v>37</v>
      </c>
      <c r="O8915" s="3" t="s">
        <v>38</v>
      </c>
      <c r="P8915" s="5">
        <v>9</v>
      </c>
      <c r="Q8915" s="5">
        <v>66</v>
      </c>
      <c r="R8915" s="5">
        <v>10</v>
      </c>
      <c r="S8915" s="5">
        <v>66</v>
      </c>
    </row>
    <row r="8916" spans="1:19" ht="28" x14ac:dyDescent="0.15">
      <c r="A8916" s="2">
        <f>HYPERLINK("https://open-school.uspishnemisto.com.ua/school/480283/", 480283)</f>
        <v>480283</v>
      </c>
      <c r="B8916" s="3" t="s">
        <v>45573</v>
      </c>
      <c r="C8916" s="3" t="s">
        <v>31</v>
      </c>
      <c r="D8916" s="3" t="s">
        <v>32</v>
      </c>
      <c r="E8916" s="4" t="s">
        <v>22</v>
      </c>
      <c r="F8916" s="4" t="s">
        <v>45574</v>
      </c>
      <c r="G8916" s="4" t="s">
        <v>45575</v>
      </c>
      <c r="H8916" s="3" t="s">
        <v>44362</v>
      </c>
      <c r="I8916" s="3" t="s">
        <v>45576</v>
      </c>
      <c r="J8916" s="3" t="s">
        <v>6432</v>
      </c>
      <c r="K8916" s="3"/>
      <c r="L8916" s="3"/>
      <c r="M8916" s="4"/>
      <c r="N8916" s="3" t="s">
        <v>37</v>
      </c>
      <c r="O8916" s="3" t="s">
        <v>618</v>
      </c>
      <c r="P8916" s="5">
        <v>3</v>
      </c>
      <c r="Q8916" s="5">
        <v>43</v>
      </c>
      <c r="R8916" s="5">
        <v>4</v>
      </c>
      <c r="S8916" s="5">
        <v>42</v>
      </c>
    </row>
    <row r="8917" spans="1:19" ht="28" x14ac:dyDescent="0.15">
      <c r="A8917" s="2">
        <f>HYPERLINK("https://open-school.uspishnemisto.com.ua/school/480284/", 480284)</f>
        <v>480284</v>
      </c>
      <c r="B8917" s="3" t="s">
        <v>45577</v>
      </c>
      <c r="C8917" s="3" t="s">
        <v>31</v>
      </c>
      <c r="D8917" s="3" t="s">
        <v>32</v>
      </c>
      <c r="E8917" s="4" t="s">
        <v>22</v>
      </c>
      <c r="F8917" s="4" t="s">
        <v>45578</v>
      </c>
      <c r="G8917" s="4" t="s">
        <v>45579</v>
      </c>
      <c r="H8917" s="3" t="s">
        <v>44362</v>
      </c>
      <c r="I8917" s="3" t="s">
        <v>12001</v>
      </c>
      <c r="J8917" s="3" t="s">
        <v>10957</v>
      </c>
      <c r="K8917" s="3" t="s">
        <v>45580</v>
      </c>
      <c r="L8917" s="3"/>
      <c r="M8917" s="4"/>
      <c r="N8917" s="3" t="s">
        <v>37</v>
      </c>
      <c r="O8917" s="3" t="s">
        <v>46</v>
      </c>
      <c r="P8917" s="5">
        <v>10</v>
      </c>
      <c r="Q8917" s="5">
        <v>75</v>
      </c>
      <c r="R8917" s="5">
        <v>10</v>
      </c>
      <c r="S8917" s="5">
        <v>82</v>
      </c>
    </row>
    <row r="8918" spans="1:19" ht="28" x14ac:dyDescent="0.15">
      <c r="A8918" s="2">
        <f>HYPERLINK("https://open-school.uspishnemisto.com.ua/school/480285/", 480285)</f>
        <v>480285</v>
      </c>
      <c r="B8918" s="3" t="s">
        <v>45581</v>
      </c>
      <c r="C8918" s="3" t="s">
        <v>31</v>
      </c>
      <c r="D8918" s="3" t="s">
        <v>32</v>
      </c>
      <c r="E8918" s="4" t="s">
        <v>22</v>
      </c>
      <c r="F8918" s="4" t="s">
        <v>45582</v>
      </c>
      <c r="G8918" s="4" t="s">
        <v>45583</v>
      </c>
      <c r="H8918" s="3" t="s">
        <v>44362</v>
      </c>
      <c r="I8918" s="3" t="s">
        <v>45584</v>
      </c>
      <c r="J8918" s="3" t="s">
        <v>7474</v>
      </c>
      <c r="K8918" s="3" t="s">
        <v>45585</v>
      </c>
      <c r="L8918" s="3" t="s">
        <v>45586</v>
      </c>
      <c r="M8918" s="4"/>
      <c r="N8918" s="3" t="s">
        <v>37</v>
      </c>
      <c r="O8918" s="3" t="s">
        <v>52</v>
      </c>
      <c r="P8918" s="5">
        <v>11</v>
      </c>
      <c r="Q8918" s="5">
        <v>107</v>
      </c>
      <c r="R8918" s="5">
        <v>11</v>
      </c>
      <c r="S8918" s="5">
        <v>119</v>
      </c>
    </row>
    <row r="8919" spans="1:19" ht="42" x14ac:dyDescent="0.15">
      <c r="A8919" s="2">
        <f>HYPERLINK("https://open-school.uspishnemisto.com.ua/school/480286/", 480286)</f>
        <v>480286</v>
      </c>
      <c r="B8919" s="3" t="s">
        <v>45587</v>
      </c>
      <c r="C8919" s="3" t="s">
        <v>54</v>
      </c>
      <c r="D8919" s="3" t="s">
        <v>60</v>
      </c>
      <c r="E8919" s="4" t="s">
        <v>22</v>
      </c>
      <c r="F8919" s="4" t="s">
        <v>45578</v>
      </c>
      <c r="G8919" s="4" t="s">
        <v>45588</v>
      </c>
      <c r="H8919" s="3" t="s">
        <v>44362</v>
      </c>
      <c r="I8919" s="3" t="s">
        <v>45589</v>
      </c>
      <c r="J8919" s="3" t="s">
        <v>19579</v>
      </c>
      <c r="K8919" s="3" t="s">
        <v>45590</v>
      </c>
      <c r="L8919" s="3"/>
      <c r="M8919" s="4"/>
      <c r="N8919" s="3" t="s">
        <v>37</v>
      </c>
      <c r="O8919" s="3" t="s">
        <v>52</v>
      </c>
      <c r="P8919" s="5">
        <v>2</v>
      </c>
      <c r="Q8919" s="5">
        <v>22</v>
      </c>
      <c r="R8919" s="5">
        <v>1</v>
      </c>
      <c r="S8919" s="5">
        <v>17</v>
      </c>
    </row>
    <row r="8920" spans="1:19" ht="28" x14ac:dyDescent="0.15">
      <c r="A8920" s="2">
        <f>HYPERLINK("https://open-school.uspishnemisto.com.ua/school/480287/", 480287)</f>
        <v>480287</v>
      </c>
      <c r="B8920" s="3" t="s">
        <v>45591</v>
      </c>
      <c r="C8920" s="3" t="s">
        <v>31</v>
      </c>
      <c r="D8920" s="3" t="s">
        <v>175</v>
      </c>
      <c r="E8920" s="4" t="s">
        <v>22</v>
      </c>
      <c r="F8920" s="4" t="s">
        <v>45592</v>
      </c>
      <c r="G8920" s="4" t="s">
        <v>45593</v>
      </c>
      <c r="H8920" s="3" t="s">
        <v>44362</v>
      </c>
      <c r="I8920" s="3" t="s">
        <v>45594</v>
      </c>
      <c r="J8920" s="3" t="s">
        <v>2555</v>
      </c>
      <c r="K8920" s="3" t="s">
        <v>45595</v>
      </c>
      <c r="L8920" s="3"/>
      <c r="M8920" s="4"/>
      <c r="N8920" s="3" t="s">
        <v>37</v>
      </c>
      <c r="O8920" s="3" t="s">
        <v>52</v>
      </c>
      <c r="P8920" s="5">
        <v>1</v>
      </c>
      <c r="Q8920" s="5">
        <v>25</v>
      </c>
      <c r="R8920" s="5">
        <v>1</v>
      </c>
      <c r="S8920" s="5">
        <v>25</v>
      </c>
    </row>
    <row r="8921" spans="1:19" ht="28" x14ac:dyDescent="0.15">
      <c r="A8921" s="2">
        <f>HYPERLINK("https://open-school.uspishnemisto.com.ua/school/480288/", 480288)</f>
        <v>480288</v>
      </c>
      <c r="B8921" s="3" t="s">
        <v>45596</v>
      </c>
      <c r="C8921" s="3" t="s">
        <v>31</v>
      </c>
      <c r="D8921" s="3" t="s">
        <v>60</v>
      </c>
      <c r="E8921" s="4" t="s">
        <v>22</v>
      </c>
      <c r="F8921" s="4" t="s">
        <v>45597</v>
      </c>
      <c r="G8921" s="4" t="s">
        <v>45598</v>
      </c>
      <c r="H8921" s="3" t="s">
        <v>44362</v>
      </c>
      <c r="I8921" s="3" t="s">
        <v>883</v>
      </c>
      <c r="J8921" s="3"/>
      <c r="K8921" s="3" t="s">
        <v>45599</v>
      </c>
      <c r="L8921" s="3"/>
      <c r="M8921" s="4"/>
      <c r="N8921" s="3" t="s">
        <v>37</v>
      </c>
      <c r="O8921" s="3" t="s">
        <v>52</v>
      </c>
      <c r="P8921" s="5">
        <v>2</v>
      </c>
      <c r="Q8921" s="5">
        <v>14</v>
      </c>
      <c r="R8921" s="5">
        <v>3</v>
      </c>
      <c r="S8921" s="5">
        <v>16</v>
      </c>
    </row>
    <row r="8922" spans="1:19" ht="28" x14ac:dyDescent="0.15">
      <c r="A8922" s="2">
        <f>HYPERLINK("https://open-school.uspishnemisto.com.ua/school/480289/", 480289)</f>
        <v>480289</v>
      </c>
      <c r="B8922" s="3" t="s">
        <v>45600</v>
      </c>
      <c r="C8922" s="3" t="s">
        <v>31</v>
      </c>
      <c r="D8922" s="3" t="s">
        <v>32</v>
      </c>
      <c r="E8922" s="4" t="s">
        <v>22</v>
      </c>
      <c r="F8922" s="4" t="s">
        <v>45592</v>
      </c>
      <c r="G8922" s="4" t="s">
        <v>45601</v>
      </c>
      <c r="H8922" s="3" t="s">
        <v>44362</v>
      </c>
      <c r="I8922" s="3" t="s">
        <v>36487</v>
      </c>
      <c r="J8922" s="3" t="s">
        <v>447</v>
      </c>
      <c r="K8922" s="3" t="s">
        <v>45602</v>
      </c>
      <c r="L8922" s="3"/>
      <c r="M8922" s="4"/>
      <c r="N8922" s="3" t="s">
        <v>37</v>
      </c>
      <c r="O8922" s="3" t="s">
        <v>38</v>
      </c>
      <c r="P8922" s="5">
        <v>9</v>
      </c>
      <c r="Q8922" s="5">
        <v>104</v>
      </c>
      <c r="R8922" s="5">
        <v>10</v>
      </c>
      <c r="S8922" s="5">
        <v>106</v>
      </c>
    </row>
    <row r="8923" spans="1:19" ht="28" x14ac:dyDescent="0.15">
      <c r="A8923" s="2">
        <f>HYPERLINK("https://open-school.uspishnemisto.com.ua/school/480290/", 480290)</f>
        <v>480290</v>
      </c>
      <c r="B8923" s="3" t="s">
        <v>45603</v>
      </c>
      <c r="C8923" s="3" t="s">
        <v>31</v>
      </c>
      <c r="D8923" s="3" t="s">
        <v>175</v>
      </c>
      <c r="E8923" s="4" t="s">
        <v>22</v>
      </c>
      <c r="F8923" s="4" t="s">
        <v>45604</v>
      </c>
      <c r="G8923" s="4" t="s">
        <v>45605</v>
      </c>
      <c r="H8923" s="3" t="s">
        <v>44362</v>
      </c>
      <c r="I8923" s="3" t="s">
        <v>20002</v>
      </c>
      <c r="J8923" s="3"/>
      <c r="K8923" s="3" t="s">
        <v>45606</v>
      </c>
      <c r="L8923" s="3"/>
      <c r="M8923" s="4"/>
      <c r="N8923" s="3" t="s">
        <v>37</v>
      </c>
      <c r="O8923" s="3" t="s">
        <v>38</v>
      </c>
      <c r="P8923" s="5">
        <v>3</v>
      </c>
      <c r="Q8923" s="5">
        <v>29</v>
      </c>
      <c r="R8923" s="5">
        <v>4</v>
      </c>
      <c r="S8923" s="5">
        <v>35</v>
      </c>
    </row>
    <row r="8924" spans="1:19" ht="28" x14ac:dyDescent="0.15">
      <c r="A8924" s="2">
        <f>HYPERLINK("https://open-school.uspishnemisto.com.ua/school/480291/", 480291)</f>
        <v>480291</v>
      </c>
      <c r="B8924" s="3" t="s">
        <v>45607</v>
      </c>
      <c r="C8924" s="3" t="s">
        <v>31</v>
      </c>
      <c r="D8924" s="3" t="s">
        <v>175</v>
      </c>
      <c r="E8924" s="4" t="s">
        <v>22</v>
      </c>
      <c r="F8924" s="4" t="s">
        <v>45604</v>
      </c>
      <c r="G8924" s="4" t="s">
        <v>45608</v>
      </c>
      <c r="H8924" s="3" t="s">
        <v>44362</v>
      </c>
      <c r="I8924" s="3" t="s">
        <v>4683</v>
      </c>
      <c r="J8924" s="3" t="s">
        <v>45609</v>
      </c>
      <c r="K8924" s="3" t="s">
        <v>45610</v>
      </c>
      <c r="L8924" s="3"/>
      <c r="M8924" s="4"/>
      <c r="N8924" s="3" t="s">
        <v>37</v>
      </c>
      <c r="O8924" s="3" t="s">
        <v>38</v>
      </c>
      <c r="P8924" s="5">
        <v>5</v>
      </c>
      <c r="Q8924" s="5">
        <v>31</v>
      </c>
      <c r="R8924" s="5">
        <v>3</v>
      </c>
      <c r="S8924" s="5">
        <v>30</v>
      </c>
    </row>
    <row r="8925" spans="1:19" ht="28" x14ac:dyDescent="0.15">
      <c r="A8925" s="2">
        <f>HYPERLINK("https://open-school.uspishnemisto.com.ua/school/480292/", 480292)</f>
        <v>480292</v>
      </c>
      <c r="B8925" s="3" t="s">
        <v>45611</v>
      </c>
      <c r="C8925" s="3" t="s">
        <v>31</v>
      </c>
      <c r="D8925" s="3" t="s">
        <v>175</v>
      </c>
      <c r="E8925" s="4" t="s">
        <v>22</v>
      </c>
      <c r="F8925" s="4" t="s">
        <v>45592</v>
      </c>
      <c r="G8925" s="4" t="s">
        <v>45612</v>
      </c>
      <c r="H8925" s="3" t="s">
        <v>44362</v>
      </c>
      <c r="I8925" s="3" t="s">
        <v>45613</v>
      </c>
      <c r="J8925" s="3" t="s">
        <v>19694</v>
      </c>
      <c r="K8925" s="3" t="s">
        <v>45614</v>
      </c>
      <c r="L8925" s="3"/>
      <c r="M8925" s="4"/>
      <c r="N8925" s="3" t="s">
        <v>37</v>
      </c>
      <c r="O8925" s="3" t="s">
        <v>38</v>
      </c>
      <c r="P8925" s="5">
        <v>7</v>
      </c>
      <c r="Q8925" s="5">
        <v>49</v>
      </c>
      <c r="R8925" s="5">
        <v>3</v>
      </c>
      <c r="S8925" s="5">
        <v>38</v>
      </c>
    </row>
    <row r="8926" spans="1:19" ht="28" x14ac:dyDescent="0.15">
      <c r="A8926" s="2">
        <f>HYPERLINK("https://open-school.uspishnemisto.com.ua/school/480293/", 480293)</f>
        <v>480293</v>
      </c>
      <c r="B8926" s="3" t="s">
        <v>45615</v>
      </c>
      <c r="C8926" s="3" t="s">
        <v>31</v>
      </c>
      <c r="D8926" s="3" t="s">
        <v>32</v>
      </c>
      <c r="E8926" s="4" t="s">
        <v>22</v>
      </c>
      <c r="F8926" s="4" t="s">
        <v>45592</v>
      </c>
      <c r="G8926" s="4" t="s">
        <v>45616</v>
      </c>
      <c r="H8926" s="3" t="s">
        <v>44362</v>
      </c>
      <c r="I8926" s="3" t="s">
        <v>13182</v>
      </c>
      <c r="J8926" s="3" t="s">
        <v>466</v>
      </c>
      <c r="K8926" s="3" t="s">
        <v>45617</v>
      </c>
      <c r="L8926" s="3"/>
      <c r="M8926" s="4"/>
      <c r="N8926" s="3" t="s">
        <v>37</v>
      </c>
      <c r="O8926" s="3" t="s">
        <v>618</v>
      </c>
      <c r="P8926" s="5">
        <v>8</v>
      </c>
      <c r="Q8926" s="5">
        <v>58</v>
      </c>
      <c r="R8926" s="5">
        <v>8</v>
      </c>
      <c r="S8926" s="5">
        <v>58</v>
      </c>
    </row>
    <row r="8927" spans="1:19" ht="28" x14ac:dyDescent="0.15">
      <c r="A8927" s="2">
        <f>HYPERLINK("https://open-school.uspishnemisto.com.ua/school/480295/", 480295)</f>
        <v>480295</v>
      </c>
      <c r="B8927" s="3" t="s">
        <v>45618</v>
      </c>
      <c r="C8927" s="3" t="s">
        <v>31</v>
      </c>
      <c r="D8927" s="3" t="s">
        <v>32</v>
      </c>
      <c r="E8927" s="4" t="s">
        <v>22</v>
      </c>
      <c r="F8927" s="4" t="s">
        <v>45619</v>
      </c>
      <c r="G8927" s="4" t="s">
        <v>45620</v>
      </c>
      <c r="H8927" s="3" t="s">
        <v>44362</v>
      </c>
      <c r="I8927" s="3" t="s">
        <v>11880</v>
      </c>
      <c r="J8927" s="3" t="s">
        <v>45621</v>
      </c>
      <c r="K8927" s="3" t="s">
        <v>45622</v>
      </c>
      <c r="L8927" s="3"/>
      <c r="M8927" s="4"/>
      <c r="N8927" s="3" t="s">
        <v>37</v>
      </c>
      <c r="O8927" s="3" t="s">
        <v>38</v>
      </c>
      <c r="P8927" s="5">
        <v>11</v>
      </c>
      <c r="Q8927" s="5">
        <v>134</v>
      </c>
      <c r="R8927" s="5">
        <v>11</v>
      </c>
      <c r="S8927" s="5">
        <v>132</v>
      </c>
    </row>
    <row r="8928" spans="1:19" ht="42" x14ac:dyDescent="0.15">
      <c r="A8928" s="2">
        <f>HYPERLINK("https://open-school.uspishnemisto.com.ua/school/480296/", 480296)</f>
        <v>480296</v>
      </c>
      <c r="B8928" s="3" t="s">
        <v>45623</v>
      </c>
      <c r="C8928" s="3" t="s">
        <v>54</v>
      </c>
      <c r="D8928" s="3" t="s">
        <v>32</v>
      </c>
      <c r="E8928" s="4" t="s">
        <v>22</v>
      </c>
      <c r="F8928" s="4" t="s">
        <v>45624</v>
      </c>
      <c r="G8928" s="4" t="s">
        <v>45625</v>
      </c>
      <c r="H8928" s="3" t="s">
        <v>44362</v>
      </c>
      <c r="I8928" s="3" t="s">
        <v>45626</v>
      </c>
      <c r="J8928" s="3" t="s">
        <v>45627</v>
      </c>
      <c r="K8928" s="3" t="s">
        <v>45628</v>
      </c>
      <c r="L8928" s="3" t="s">
        <v>45629</v>
      </c>
      <c r="M8928" s="4"/>
      <c r="N8928" s="3" t="s">
        <v>37</v>
      </c>
      <c r="O8928" s="3" t="s">
        <v>52</v>
      </c>
      <c r="P8928" s="5">
        <v>11</v>
      </c>
      <c r="Q8928" s="5">
        <v>123</v>
      </c>
      <c r="R8928" s="5">
        <v>11</v>
      </c>
      <c r="S8928" s="5">
        <v>122</v>
      </c>
    </row>
    <row r="8929" spans="1:19" ht="28" x14ac:dyDescent="0.15">
      <c r="A8929" s="2">
        <f>HYPERLINK("https://open-school.uspishnemisto.com.ua/school/480297/", 480297)</f>
        <v>480297</v>
      </c>
      <c r="B8929" s="3" t="s">
        <v>45630</v>
      </c>
      <c r="C8929" s="3" t="s">
        <v>31</v>
      </c>
      <c r="D8929" s="3" t="s">
        <v>32</v>
      </c>
      <c r="E8929" s="4" t="s">
        <v>22</v>
      </c>
      <c r="F8929" s="4" t="s">
        <v>45631</v>
      </c>
      <c r="G8929" s="4" t="s">
        <v>45632</v>
      </c>
      <c r="H8929" s="3" t="s">
        <v>44362</v>
      </c>
      <c r="I8929" s="3" t="s">
        <v>45633</v>
      </c>
      <c r="J8929" s="3" t="s">
        <v>634</v>
      </c>
      <c r="K8929" s="3" t="s">
        <v>45634</v>
      </c>
      <c r="L8929" s="3"/>
      <c r="M8929" s="4" t="s">
        <v>45635</v>
      </c>
      <c r="N8929" s="3" t="s">
        <v>37</v>
      </c>
      <c r="O8929" s="3" t="s">
        <v>70</v>
      </c>
      <c r="P8929" s="5">
        <v>46</v>
      </c>
      <c r="Q8929" s="5">
        <v>500</v>
      </c>
      <c r="R8929" s="5">
        <v>17</v>
      </c>
      <c r="S8929" s="5">
        <v>289</v>
      </c>
    </row>
    <row r="8930" spans="1:19" ht="56" x14ac:dyDescent="0.15">
      <c r="A8930" s="2">
        <f>HYPERLINK("https://open-school.uspishnemisto.com.ua/school/480298/", 480298)</f>
        <v>480298</v>
      </c>
      <c r="B8930" s="3" t="s">
        <v>45636</v>
      </c>
      <c r="C8930" s="3" t="s">
        <v>54</v>
      </c>
      <c r="D8930" s="3" t="s">
        <v>32</v>
      </c>
      <c r="E8930" s="4" t="s">
        <v>22</v>
      </c>
      <c r="F8930" s="4" t="s">
        <v>45631</v>
      </c>
      <c r="G8930" s="4" t="s">
        <v>45632</v>
      </c>
      <c r="H8930" s="3" t="s">
        <v>44362</v>
      </c>
      <c r="I8930" s="3" t="s">
        <v>45633</v>
      </c>
      <c r="J8930" s="3" t="s">
        <v>45518</v>
      </c>
      <c r="K8930" s="3" t="s">
        <v>45637</v>
      </c>
      <c r="L8930" s="3" t="s">
        <v>45638</v>
      </c>
      <c r="M8930" s="4" t="s">
        <v>45639</v>
      </c>
      <c r="N8930" s="3" t="s">
        <v>37</v>
      </c>
      <c r="O8930" s="3" t="s">
        <v>46</v>
      </c>
      <c r="P8930" s="5">
        <v>37</v>
      </c>
      <c r="Q8930" s="5">
        <v>593</v>
      </c>
      <c r="R8930" s="5">
        <v>24</v>
      </c>
      <c r="S8930" s="5">
        <v>488</v>
      </c>
    </row>
    <row r="8931" spans="1:19" ht="28" x14ac:dyDescent="0.15">
      <c r="A8931" s="2">
        <f>HYPERLINK("https://open-school.uspishnemisto.com.ua/school/480299/", 480299)</f>
        <v>480299</v>
      </c>
      <c r="B8931" s="3" t="s">
        <v>45640</v>
      </c>
      <c r="C8931" s="3" t="s">
        <v>31</v>
      </c>
      <c r="D8931" s="3" t="s">
        <v>175</v>
      </c>
      <c r="E8931" s="4" t="s">
        <v>22</v>
      </c>
      <c r="F8931" s="4" t="s">
        <v>45641</v>
      </c>
      <c r="G8931" s="4" t="s">
        <v>45642</v>
      </c>
      <c r="H8931" s="3" t="s">
        <v>44362</v>
      </c>
      <c r="I8931" s="3" t="s">
        <v>45643</v>
      </c>
      <c r="J8931" s="3" t="s">
        <v>3363</v>
      </c>
      <c r="K8931" s="3" t="s">
        <v>45644</v>
      </c>
      <c r="L8931" s="3" t="s">
        <v>45645</v>
      </c>
      <c r="M8931" s="4"/>
      <c r="N8931" s="3" t="s">
        <v>37</v>
      </c>
      <c r="O8931" s="3" t="s">
        <v>46</v>
      </c>
      <c r="P8931" s="5">
        <v>8</v>
      </c>
      <c r="Q8931" s="5">
        <v>54</v>
      </c>
      <c r="R8931" s="5">
        <v>8</v>
      </c>
      <c r="S8931" s="5">
        <v>58</v>
      </c>
    </row>
    <row r="8932" spans="1:19" ht="28" x14ac:dyDescent="0.15">
      <c r="A8932" s="2">
        <f>HYPERLINK("https://open-school.uspishnemisto.com.ua/school/480300/", 480300)</f>
        <v>480300</v>
      </c>
      <c r="B8932" s="3" t="s">
        <v>45646</v>
      </c>
      <c r="C8932" s="3" t="s">
        <v>31</v>
      </c>
      <c r="D8932" s="3" t="s">
        <v>175</v>
      </c>
      <c r="E8932" s="4" t="s">
        <v>22</v>
      </c>
      <c r="F8932" s="4" t="s">
        <v>45351</v>
      </c>
      <c r="G8932" s="4" t="s">
        <v>45647</v>
      </c>
      <c r="H8932" s="3" t="s">
        <v>44362</v>
      </c>
      <c r="I8932" s="3" t="s">
        <v>1291</v>
      </c>
      <c r="J8932" s="3" t="s">
        <v>18848</v>
      </c>
      <c r="K8932" s="3" t="s">
        <v>45648</v>
      </c>
      <c r="L8932" s="3"/>
      <c r="M8932" s="4"/>
      <c r="N8932" s="3" t="s">
        <v>37</v>
      </c>
      <c r="O8932" s="3" t="s">
        <v>618</v>
      </c>
      <c r="P8932" s="5">
        <v>6</v>
      </c>
      <c r="Q8932" s="5">
        <v>47</v>
      </c>
      <c r="R8932" s="5">
        <v>6</v>
      </c>
      <c r="S8932" s="5">
        <v>47</v>
      </c>
    </row>
    <row r="8933" spans="1:19" ht="28" x14ac:dyDescent="0.15">
      <c r="A8933" s="2">
        <f>HYPERLINK("https://open-school.uspishnemisto.com.ua/school/480301/", 480301)</f>
        <v>480301</v>
      </c>
      <c r="B8933" s="3" t="s">
        <v>45649</v>
      </c>
      <c r="C8933" s="3" t="s">
        <v>31</v>
      </c>
      <c r="D8933" s="3" t="s">
        <v>32</v>
      </c>
      <c r="E8933" s="4" t="s">
        <v>22</v>
      </c>
      <c r="F8933" s="4" t="s">
        <v>45650</v>
      </c>
      <c r="G8933" s="4" t="s">
        <v>45651</v>
      </c>
      <c r="H8933" s="3" t="s">
        <v>44362</v>
      </c>
      <c r="I8933" s="3" t="s">
        <v>3790</v>
      </c>
      <c r="J8933" s="3" t="s">
        <v>45652</v>
      </c>
      <c r="K8933" s="3" t="s">
        <v>45653</v>
      </c>
      <c r="L8933" s="3" t="s">
        <v>45654</v>
      </c>
      <c r="M8933" s="4" t="s">
        <v>45655</v>
      </c>
      <c r="N8933" s="3" t="s">
        <v>37</v>
      </c>
      <c r="O8933" s="3" t="s">
        <v>38</v>
      </c>
      <c r="P8933" s="5">
        <v>11</v>
      </c>
      <c r="Q8933" s="5">
        <v>173</v>
      </c>
      <c r="R8933" s="5">
        <v>11</v>
      </c>
      <c r="S8933" s="5">
        <v>172</v>
      </c>
    </row>
    <row r="8934" spans="1:19" ht="56" x14ac:dyDescent="0.15">
      <c r="A8934" s="2">
        <f>HYPERLINK("https://open-school.uspishnemisto.com.ua/school/480544/", 480544)</f>
        <v>480544</v>
      </c>
      <c r="B8934" s="3" t="s">
        <v>45656</v>
      </c>
      <c r="C8934" s="3" t="s">
        <v>54</v>
      </c>
      <c r="D8934" s="3" t="s">
        <v>60</v>
      </c>
      <c r="E8934" s="4" t="s">
        <v>22</v>
      </c>
      <c r="F8934" s="4" t="s">
        <v>45657</v>
      </c>
      <c r="G8934" s="4" t="s">
        <v>45658</v>
      </c>
      <c r="H8934" s="3" t="s">
        <v>44362</v>
      </c>
      <c r="I8934" s="3" t="s">
        <v>10816</v>
      </c>
      <c r="J8934" s="3" t="s">
        <v>3393</v>
      </c>
      <c r="K8934" s="3" t="s">
        <v>45659</v>
      </c>
      <c r="L8934" s="3"/>
      <c r="M8934" s="4"/>
      <c r="N8934" s="3" t="s">
        <v>37</v>
      </c>
      <c r="O8934" s="3" t="s">
        <v>52</v>
      </c>
      <c r="P8934" s="5">
        <v>1</v>
      </c>
      <c r="Q8934" s="5">
        <v>5</v>
      </c>
      <c r="R8934" s="5"/>
      <c r="S8934" s="5"/>
    </row>
    <row r="8935" spans="1:19" ht="42" x14ac:dyDescent="0.15">
      <c r="A8935" s="2">
        <f>HYPERLINK("https://open-school.uspishnemisto.com.ua/school/480302/", 480302)</f>
        <v>480302</v>
      </c>
      <c r="B8935" s="3" t="s">
        <v>45660</v>
      </c>
      <c r="C8935" s="3" t="s">
        <v>54</v>
      </c>
      <c r="D8935" s="3" t="s">
        <v>175</v>
      </c>
      <c r="E8935" s="4" t="s">
        <v>22</v>
      </c>
      <c r="F8935" s="4" t="s">
        <v>45657</v>
      </c>
      <c r="G8935" s="4" t="s">
        <v>45661</v>
      </c>
      <c r="H8935" s="3" t="s">
        <v>44362</v>
      </c>
      <c r="I8935" s="3" t="s">
        <v>1291</v>
      </c>
      <c r="J8935" s="3" t="s">
        <v>5029</v>
      </c>
      <c r="K8935" s="3" t="s">
        <v>45662</v>
      </c>
      <c r="L8935" s="3"/>
      <c r="M8935" s="4"/>
      <c r="N8935" s="3" t="s">
        <v>37</v>
      </c>
      <c r="O8935" s="3" t="s">
        <v>618</v>
      </c>
      <c r="P8935" s="5">
        <v>0</v>
      </c>
      <c r="Q8935" s="5">
        <v>0</v>
      </c>
      <c r="R8935" s="5">
        <v>8</v>
      </c>
      <c r="S8935" s="5">
        <v>54</v>
      </c>
    </row>
    <row r="8936" spans="1:19" ht="28" x14ac:dyDescent="0.15">
      <c r="A8936" s="2">
        <f>HYPERLINK("https://open-school.uspishnemisto.com.ua/school/480303/", 480303)</f>
        <v>480303</v>
      </c>
      <c r="B8936" s="3" t="s">
        <v>45663</v>
      </c>
      <c r="C8936" s="3" t="s">
        <v>31</v>
      </c>
      <c r="D8936" s="3" t="s">
        <v>175</v>
      </c>
      <c r="E8936" s="4" t="s">
        <v>22</v>
      </c>
      <c r="F8936" s="4" t="s">
        <v>45664</v>
      </c>
      <c r="G8936" s="4" t="s">
        <v>45665</v>
      </c>
      <c r="H8936" s="3" t="s">
        <v>44362</v>
      </c>
      <c r="I8936" s="3" t="s">
        <v>15491</v>
      </c>
      <c r="J8936" s="3" t="s">
        <v>6438</v>
      </c>
      <c r="K8936" s="3" t="s">
        <v>45666</v>
      </c>
      <c r="L8936" s="3"/>
      <c r="M8936" s="4" t="s">
        <v>45667</v>
      </c>
      <c r="N8936" s="3" t="s">
        <v>37</v>
      </c>
      <c r="O8936" s="3" t="s">
        <v>618</v>
      </c>
      <c r="P8936" s="5">
        <v>0</v>
      </c>
      <c r="Q8936" s="5">
        <v>0</v>
      </c>
      <c r="R8936" s="5">
        <v>8</v>
      </c>
      <c r="S8936" s="5">
        <v>51</v>
      </c>
    </row>
    <row r="8937" spans="1:19" ht="28" x14ac:dyDescent="0.15">
      <c r="A8937" s="2">
        <f>HYPERLINK("https://open-school.uspishnemisto.com.ua/school/480305/", 480305)</f>
        <v>480305</v>
      </c>
      <c r="B8937" s="3" t="s">
        <v>45668</v>
      </c>
      <c r="C8937" s="3" t="s">
        <v>31</v>
      </c>
      <c r="D8937" s="3" t="s">
        <v>32</v>
      </c>
      <c r="E8937" s="4" t="s">
        <v>22</v>
      </c>
      <c r="F8937" s="4" t="s">
        <v>45669</v>
      </c>
      <c r="G8937" s="4" t="s">
        <v>45670</v>
      </c>
      <c r="H8937" s="3" t="s">
        <v>44362</v>
      </c>
      <c r="I8937" s="3" t="s">
        <v>45671</v>
      </c>
      <c r="J8937" s="3" t="s">
        <v>15310</v>
      </c>
      <c r="K8937" s="3" t="s">
        <v>45672</v>
      </c>
      <c r="L8937" s="3"/>
      <c r="M8937" s="4" t="s">
        <v>45673</v>
      </c>
      <c r="N8937" s="3" t="s">
        <v>37</v>
      </c>
      <c r="O8937" s="3" t="s">
        <v>618</v>
      </c>
      <c r="P8937" s="5">
        <v>0</v>
      </c>
      <c r="Q8937" s="5">
        <v>0</v>
      </c>
      <c r="R8937" s="5">
        <v>11</v>
      </c>
      <c r="S8937" s="5">
        <v>104</v>
      </c>
    </row>
    <row r="8938" spans="1:19" ht="28" x14ac:dyDescent="0.15">
      <c r="A8938" s="2">
        <f>HYPERLINK("https://open-school.uspishnemisto.com.ua/school/480306/", 480306)</f>
        <v>480306</v>
      </c>
      <c r="B8938" s="3" t="s">
        <v>45674</v>
      </c>
      <c r="C8938" s="3" t="s">
        <v>31</v>
      </c>
      <c r="D8938" s="3" t="s">
        <v>32</v>
      </c>
      <c r="E8938" s="4" t="s">
        <v>22</v>
      </c>
      <c r="F8938" s="4" t="s">
        <v>45675</v>
      </c>
      <c r="G8938" s="4" t="s">
        <v>45676</v>
      </c>
      <c r="H8938" s="3" t="s">
        <v>44362</v>
      </c>
      <c r="I8938" s="3" t="s">
        <v>26457</v>
      </c>
      <c r="J8938" s="3" t="s">
        <v>466</v>
      </c>
      <c r="K8938" s="3" t="s">
        <v>45677</v>
      </c>
      <c r="L8938" s="3" t="s">
        <v>45678</v>
      </c>
      <c r="M8938" s="4" t="s">
        <v>45679</v>
      </c>
      <c r="N8938" s="3" t="s">
        <v>37</v>
      </c>
      <c r="O8938" s="3" t="s">
        <v>46</v>
      </c>
      <c r="P8938" s="5">
        <v>12</v>
      </c>
      <c r="Q8938" s="5">
        <v>216</v>
      </c>
      <c r="R8938" s="5">
        <v>13</v>
      </c>
      <c r="S8938" s="5">
        <v>211</v>
      </c>
    </row>
    <row r="8939" spans="1:19" ht="28" x14ac:dyDescent="0.15">
      <c r="A8939" s="2">
        <f>HYPERLINK("https://open-school.uspishnemisto.com.ua/school/480307/", 480307)</f>
        <v>480307</v>
      </c>
      <c r="B8939" s="3" t="s">
        <v>45680</v>
      </c>
      <c r="C8939" s="3" t="s">
        <v>31</v>
      </c>
      <c r="D8939" s="3" t="s">
        <v>60</v>
      </c>
      <c r="E8939" s="4" t="s">
        <v>22</v>
      </c>
      <c r="F8939" s="4" t="s">
        <v>45675</v>
      </c>
      <c r="G8939" s="4" t="s">
        <v>45676</v>
      </c>
      <c r="H8939" s="3" t="s">
        <v>44362</v>
      </c>
      <c r="I8939" s="3" t="s">
        <v>26457</v>
      </c>
      <c r="J8939" s="3" t="s">
        <v>45681</v>
      </c>
      <c r="K8939" s="3" t="s">
        <v>45682</v>
      </c>
      <c r="L8939" s="3"/>
      <c r="M8939" s="4"/>
      <c r="N8939" s="3" t="s">
        <v>37</v>
      </c>
      <c r="O8939" s="3" t="s">
        <v>52</v>
      </c>
      <c r="P8939" s="5">
        <v>4</v>
      </c>
      <c r="Q8939" s="5">
        <v>57</v>
      </c>
      <c r="R8939" s="5">
        <v>4</v>
      </c>
      <c r="S8939" s="5">
        <v>41</v>
      </c>
    </row>
    <row r="8940" spans="1:19" ht="56" x14ac:dyDescent="0.15">
      <c r="A8940" s="2">
        <f>HYPERLINK("https://open-school.uspishnemisto.com.ua/school/480308/", 480308)</f>
        <v>480308</v>
      </c>
      <c r="B8940" s="3" t="s">
        <v>45683</v>
      </c>
      <c r="C8940" s="3" t="s">
        <v>54</v>
      </c>
      <c r="D8940" s="3" t="s">
        <v>32</v>
      </c>
      <c r="E8940" s="4" t="s">
        <v>22</v>
      </c>
      <c r="F8940" s="4" t="s">
        <v>45684</v>
      </c>
      <c r="G8940" s="4" t="s">
        <v>45685</v>
      </c>
      <c r="H8940" s="3" t="s">
        <v>44362</v>
      </c>
      <c r="I8940" s="3" t="s">
        <v>16767</v>
      </c>
      <c r="J8940" s="3" t="s">
        <v>45686</v>
      </c>
      <c r="K8940" s="3" t="s">
        <v>45687</v>
      </c>
      <c r="L8940" s="3" t="s">
        <v>45688</v>
      </c>
      <c r="M8940" s="4" t="s">
        <v>45689</v>
      </c>
      <c r="N8940" s="3" t="s">
        <v>37</v>
      </c>
      <c r="O8940" s="3" t="s">
        <v>46</v>
      </c>
      <c r="P8940" s="5">
        <v>15</v>
      </c>
      <c r="Q8940" s="5">
        <v>282</v>
      </c>
      <c r="R8940" s="5">
        <v>14</v>
      </c>
      <c r="S8940" s="5">
        <v>274</v>
      </c>
    </row>
    <row r="8941" spans="1:19" ht="28" x14ac:dyDescent="0.15">
      <c r="A8941" s="2">
        <f>HYPERLINK("https://open-school.uspishnemisto.com.ua/school/480309/", 480309)</f>
        <v>480309</v>
      </c>
      <c r="B8941" s="3" t="s">
        <v>45690</v>
      </c>
      <c r="C8941" s="3" t="s">
        <v>31</v>
      </c>
      <c r="D8941" s="3" t="s">
        <v>32</v>
      </c>
      <c r="E8941" s="4" t="s">
        <v>22</v>
      </c>
      <c r="F8941" s="4" t="s">
        <v>45641</v>
      </c>
      <c r="G8941" s="4" t="s">
        <v>45691</v>
      </c>
      <c r="H8941" s="3" t="s">
        <v>44362</v>
      </c>
      <c r="I8941" s="3" t="s">
        <v>45692</v>
      </c>
      <c r="J8941" s="3" t="s">
        <v>45693</v>
      </c>
      <c r="K8941" s="3" t="s">
        <v>45694</v>
      </c>
      <c r="L8941" s="3" t="s">
        <v>45695</v>
      </c>
      <c r="M8941" s="4" t="s">
        <v>45696</v>
      </c>
      <c r="N8941" s="3" t="s">
        <v>37</v>
      </c>
      <c r="O8941" s="3" t="s">
        <v>46</v>
      </c>
      <c r="P8941" s="5">
        <v>12</v>
      </c>
      <c r="Q8941" s="5">
        <v>222</v>
      </c>
      <c r="R8941" s="5">
        <v>13</v>
      </c>
      <c r="S8941" s="5">
        <v>223</v>
      </c>
    </row>
    <row r="8942" spans="1:19" ht="28" x14ac:dyDescent="0.15">
      <c r="A8942" s="2">
        <f>HYPERLINK("https://open-school.uspishnemisto.com.ua/school/480310/", 480310)</f>
        <v>480310</v>
      </c>
      <c r="B8942" s="3" t="s">
        <v>45697</v>
      </c>
      <c r="C8942" s="3" t="s">
        <v>31</v>
      </c>
      <c r="D8942" s="3" t="s">
        <v>32</v>
      </c>
      <c r="E8942" s="4" t="s">
        <v>22</v>
      </c>
      <c r="F8942" s="4" t="s">
        <v>45698</v>
      </c>
      <c r="G8942" s="4" t="s">
        <v>45699</v>
      </c>
      <c r="H8942" s="3" t="s">
        <v>44362</v>
      </c>
      <c r="I8942" s="3" t="s">
        <v>45700</v>
      </c>
      <c r="J8942" s="3" t="s">
        <v>1348</v>
      </c>
      <c r="K8942" s="3" t="s">
        <v>45701</v>
      </c>
      <c r="L8942" s="3" t="s">
        <v>45702</v>
      </c>
      <c r="M8942" s="4" t="s">
        <v>45703</v>
      </c>
      <c r="N8942" s="3" t="s">
        <v>37</v>
      </c>
      <c r="O8942" s="3" t="s">
        <v>52</v>
      </c>
      <c r="P8942" s="5">
        <v>11</v>
      </c>
      <c r="Q8942" s="5">
        <v>89</v>
      </c>
      <c r="R8942" s="5">
        <v>11</v>
      </c>
      <c r="S8942" s="5">
        <v>91</v>
      </c>
    </row>
    <row r="8943" spans="1:19" ht="28" x14ac:dyDescent="0.15">
      <c r="A8943" s="2">
        <f>HYPERLINK("https://open-school.uspishnemisto.com.ua/school/480311/", 480311)</f>
        <v>480311</v>
      </c>
      <c r="B8943" s="3" t="s">
        <v>45704</v>
      </c>
      <c r="C8943" s="3" t="s">
        <v>31</v>
      </c>
      <c r="D8943" s="3" t="s">
        <v>175</v>
      </c>
      <c r="E8943" s="4" t="s">
        <v>22</v>
      </c>
      <c r="F8943" s="4" t="s">
        <v>45705</v>
      </c>
      <c r="G8943" s="4" t="s">
        <v>45706</v>
      </c>
      <c r="H8943" s="3" t="s">
        <v>44362</v>
      </c>
      <c r="I8943" s="3" t="s">
        <v>45707</v>
      </c>
      <c r="J8943" s="3" t="s">
        <v>45708</v>
      </c>
      <c r="K8943" s="3" t="s">
        <v>45709</v>
      </c>
      <c r="L8943" s="3" t="s">
        <v>45710</v>
      </c>
      <c r="M8943" s="4"/>
      <c r="N8943" s="3" t="s">
        <v>37</v>
      </c>
      <c r="O8943" s="3" t="s">
        <v>52</v>
      </c>
      <c r="P8943" s="5">
        <v>9</v>
      </c>
      <c r="Q8943" s="5">
        <v>58</v>
      </c>
      <c r="R8943" s="5">
        <v>9</v>
      </c>
      <c r="S8943" s="5">
        <v>61</v>
      </c>
    </row>
    <row r="8944" spans="1:19" ht="42" x14ac:dyDescent="0.15">
      <c r="A8944" s="2">
        <f>HYPERLINK("https://open-school.uspishnemisto.com.ua/school/480312/", 480312)</f>
        <v>480312</v>
      </c>
      <c r="B8944" s="3" t="s">
        <v>45711</v>
      </c>
      <c r="C8944" s="3" t="s">
        <v>31</v>
      </c>
      <c r="D8944" s="3" t="s">
        <v>32</v>
      </c>
      <c r="E8944" s="4" t="s">
        <v>22</v>
      </c>
      <c r="F8944" s="4" t="s">
        <v>45712</v>
      </c>
      <c r="G8944" s="4" t="s">
        <v>45713</v>
      </c>
      <c r="H8944" s="3" t="s">
        <v>44362</v>
      </c>
      <c r="I8944" s="3" t="s">
        <v>45714</v>
      </c>
      <c r="J8944" s="3" t="s">
        <v>466</v>
      </c>
      <c r="K8944" s="3" t="s">
        <v>45715</v>
      </c>
      <c r="L8944" s="3" t="s">
        <v>45716</v>
      </c>
      <c r="M8944" s="4" t="s">
        <v>45717</v>
      </c>
      <c r="N8944" s="3" t="s">
        <v>37</v>
      </c>
      <c r="O8944" s="3" t="s">
        <v>112</v>
      </c>
      <c r="P8944" s="5">
        <v>11</v>
      </c>
      <c r="Q8944" s="5">
        <v>160</v>
      </c>
      <c r="R8944" s="5">
        <v>11</v>
      </c>
      <c r="S8944" s="5">
        <v>134</v>
      </c>
    </row>
    <row r="8945" spans="1:19" ht="56" x14ac:dyDescent="0.15">
      <c r="A8945" s="2">
        <f>HYPERLINK("https://open-school.uspishnemisto.com.ua/school/480313/", 480313)</f>
        <v>480313</v>
      </c>
      <c r="B8945" s="3" t="s">
        <v>45718</v>
      </c>
      <c r="C8945" s="3" t="s">
        <v>31</v>
      </c>
      <c r="D8945" s="3" t="s">
        <v>175</v>
      </c>
      <c r="E8945" s="4" t="s">
        <v>22</v>
      </c>
      <c r="F8945" s="4" t="s">
        <v>45719</v>
      </c>
      <c r="G8945" s="4" t="s">
        <v>45720</v>
      </c>
      <c r="H8945" s="3" t="s">
        <v>44362</v>
      </c>
      <c r="I8945" s="3" t="s">
        <v>12423</v>
      </c>
      <c r="J8945" s="3" t="s">
        <v>466</v>
      </c>
      <c r="K8945" s="3" t="s">
        <v>45721</v>
      </c>
      <c r="L8945" s="3" t="s">
        <v>45722</v>
      </c>
      <c r="M8945" s="4"/>
      <c r="N8945" s="3" t="s">
        <v>37</v>
      </c>
      <c r="O8945" s="3" t="s">
        <v>52</v>
      </c>
      <c r="P8945" s="5">
        <v>0</v>
      </c>
      <c r="Q8945" s="5">
        <v>0</v>
      </c>
      <c r="R8945" s="5">
        <v>8</v>
      </c>
      <c r="S8945" s="5">
        <v>51</v>
      </c>
    </row>
    <row r="8946" spans="1:19" ht="56" x14ac:dyDescent="0.15">
      <c r="A8946" s="2">
        <f>HYPERLINK("https://open-school.uspishnemisto.com.ua/school/480314/", 480314)</f>
        <v>480314</v>
      </c>
      <c r="B8946" s="3" t="s">
        <v>45723</v>
      </c>
      <c r="C8946" s="3" t="s">
        <v>54</v>
      </c>
      <c r="D8946" s="3" t="s">
        <v>175</v>
      </c>
      <c r="E8946" s="4" t="s">
        <v>22</v>
      </c>
      <c r="F8946" s="4" t="s">
        <v>45724</v>
      </c>
      <c r="G8946" s="4" t="s">
        <v>45725</v>
      </c>
      <c r="H8946" s="3" t="s">
        <v>44362</v>
      </c>
      <c r="I8946" s="3" t="s">
        <v>45726</v>
      </c>
      <c r="J8946" s="3" t="s">
        <v>6394</v>
      </c>
      <c r="K8946" s="3" t="s">
        <v>45727</v>
      </c>
      <c r="L8946" s="3" t="s">
        <v>45728</v>
      </c>
      <c r="M8946" s="4"/>
      <c r="N8946" s="3" t="s">
        <v>37</v>
      </c>
      <c r="O8946" s="3" t="s">
        <v>46</v>
      </c>
      <c r="P8946" s="5">
        <v>0</v>
      </c>
      <c r="Q8946" s="5">
        <v>0</v>
      </c>
      <c r="R8946" s="5">
        <v>8</v>
      </c>
      <c r="S8946" s="5">
        <v>52</v>
      </c>
    </row>
    <row r="8947" spans="1:19" ht="28" x14ac:dyDescent="0.15">
      <c r="A8947" s="2">
        <f>HYPERLINK("https://open-school.uspishnemisto.com.ua/school/480315/", 480315)</f>
        <v>480315</v>
      </c>
      <c r="B8947" s="3" t="s">
        <v>45729</v>
      </c>
      <c r="C8947" s="3" t="s">
        <v>40</v>
      </c>
      <c r="D8947" s="3" t="s">
        <v>32</v>
      </c>
      <c r="E8947" s="4" t="s">
        <v>22</v>
      </c>
      <c r="F8947" s="4" t="s">
        <v>45730</v>
      </c>
      <c r="G8947" s="4" t="s">
        <v>45731</v>
      </c>
      <c r="H8947" s="3" t="s">
        <v>44362</v>
      </c>
      <c r="I8947" s="3" t="s">
        <v>45732</v>
      </c>
      <c r="J8947" s="3" t="s">
        <v>45733</v>
      </c>
      <c r="K8947" s="3" t="s">
        <v>45734</v>
      </c>
      <c r="L8947" s="3" t="s">
        <v>45735</v>
      </c>
      <c r="M8947" s="4"/>
      <c r="N8947" s="3" t="s">
        <v>37</v>
      </c>
      <c r="O8947" s="3" t="s">
        <v>70</v>
      </c>
      <c r="P8947" s="5">
        <v>7</v>
      </c>
      <c r="Q8947" s="5">
        <v>140</v>
      </c>
      <c r="R8947" s="5">
        <v>8</v>
      </c>
      <c r="S8947" s="5">
        <v>146</v>
      </c>
    </row>
    <row r="8948" spans="1:19" ht="28" x14ac:dyDescent="0.15">
      <c r="A8948" s="2">
        <f>HYPERLINK("https://open-school.uspishnemisto.com.ua/school/480316/", 480316)</f>
        <v>480316</v>
      </c>
      <c r="B8948" s="3" t="s">
        <v>45736</v>
      </c>
      <c r="C8948" s="3" t="s">
        <v>31</v>
      </c>
      <c r="D8948" s="3" t="s">
        <v>32</v>
      </c>
      <c r="E8948" s="4" t="s">
        <v>22</v>
      </c>
      <c r="F8948" s="4" t="s">
        <v>45730</v>
      </c>
      <c r="G8948" s="4" t="s">
        <v>45731</v>
      </c>
      <c r="H8948" s="3" t="s">
        <v>44362</v>
      </c>
      <c r="I8948" s="3" t="s">
        <v>45732</v>
      </c>
      <c r="J8948" s="3" t="s">
        <v>45737</v>
      </c>
      <c r="K8948" s="3" t="s">
        <v>45738</v>
      </c>
      <c r="L8948" s="3"/>
      <c r="M8948" s="4"/>
      <c r="N8948" s="3" t="s">
        <v>37</v>
      </c>
      <c r="O8948" s="3" t="s">
        <v>70</v>
      </c>
      <c r="P8948" s="5">
        <v>24</v>
      </c>
      <c r="Q8948" s="5">
        <v>499</v>
      </c>
      <c r="R8948" s="5">
        <v>23</v>
      </c>
      <c r="S8948" s="5">
        <v>461</v>
      </c>
    </row>
    <row r="8949" spans="1:19" ht="28" x14ac:dyDescent="0.15">
      <c r="A8949" s="2">
        <f>HYPERLINK("https://open-school.uspishnemisto.com.ua/school/480317/", 480317)</f>
        <v>480317</v>
      </c>
      <c r="B8949" s="3" t="s">
        <v>45739</v>
      </c>
      <c r="C8949" s="3" t="s">
        <v>31</v>
      </c>
      <c r="D8949" s="3" t="s">
        <v>175</v>
      </c>
      <c r="E8949" s="4" t="s">
        <v>22</v>
      </c>
      <c r="F8949" s="4" t="s">
        <v>45740</v>
      </c>
      <c r="G8949" s="4" t="s">
        <v>45741</v>
      </c>
      <c r="H8949" s="3" t="s">
        <v>44362</v>
      </c>
      <c r="I8949" s="3" t="s">
        <v>35527</v>
      </c>
      <c r="J8949" s="3" t="s">
        <v>45742</v>
      </c>
      <c r="K8949" s="3" t="s">
        <v>45743</v>
      </c>
      <c r="L8949" s="3" t="s">
        <v>45744</v>
      </c>
      <c r="M8949" s="4"/>
      <c r="N8949" s="3" t="s">
        <v>37</v>
      </c>
      <c r="O8949" s="3" t="s">
        <v>52</v>
      </c>
      <c r="P8949" s="5">
        <v>3</v>
      </c>
      <c r="Q8949" s="5">
        <v>29</v>
      </c>
      <c r="R8949" s="5">
        <v>2</v>
      </c>
      <c r="S8949" s="5">
        <v>26</v>
      </c>
    </row>
    <row r="8950" spans="1:19" ht="28" x14ac:dyDescent="0.15">
      <c r="A8950" s="2">
        <f>HYPERLINK("https://open-school.uspishnemisto.com.ua/school/480318/", 480318)</f>
        <v>480318</v>
      </c>
      <c r="B8950" s="3" t="s">
        <v>45745</v>
      </c>
      <c r="C8950" s="3" t="s">
        <v>31</v>
      </c>
      <c r="D8950" s="3" t="s">
        <v>32</v>
      </c>
      <c r="E8950" s="4" t="s">
        <v>22</v>
      </c>
      <c r="F8950" s="4" t="s">
        <v>45746</v>
      </c>
      <c r="G8950" s="4" t="s">
        <v>45747</v>
      </c>
      <c r="H8950" s="3" t="s">
        <v>44362</v>
      </c>
      <c r="I8950" s="3" t="s">
        <v>45748</v>
      </c>
      <c r="J8950" s="3" t="s">
        <v>792</v>
      </c>
      <c r="K8950" s="3" t="s">
        <v>45749</v>
      </c>
      <c r="L8950" s="3"/>
      <c r="M8950" s="4"/>
      <c r="N8950" s="3" t="s">
        <v>37</v>
      </c>
      <c r="O8950" s="3" t="s">
        <v>52</v>
      </c>
      <c r="P8950" s="5">
        <v>4</v>
      </c>
      <c r="Q8950" s="5">
        <v>40</v>
      </c>
      <c r="R8950" s="5">
        <v>6</v>
      </c>
      <c r="S8950" s="5">
        <v>47</v>
      </c>
    </row>
    <row r="8951" spans="1:19" ht="28" x14ac:dyDescent="0.15">
      <c r="A8951" s="2">
        <f>HYPERLINK("https://open-school.uspishnemisto.com.ua/school/480319/", 480319)</f>
        <v>480319</v>
      </c>
      <c r="B8951" s="3" t="s">
        <v>45750</v>
      </c>
      <c r="C8951" s="3" t="s">
        <v>31</v>
      </c>
      <c r="D8951" s="3" t="s">
        <v>175</v>
      </c>
      <c r="E8951" s="4" t="s">
        <v>22</v>
      </c>
      <c r="F8951" s="4" t="s">
        <v>45751</v>
      </c>
      <c r="G8951" s="4" t="s">
        <v>45752</v>
      </c>
      <c r="H8951" s="3" t="s">
        <v>44362</v>
      </c>
      <c r="I8951" s="3" t="s">
        <v>45210</v>
      </c>
      <c r="J8951" s="3" t="s">
        <v>6432</v>
      </c>
      <c r="K8951" s="3" t="s">
        <v>45753</v>
      </c>
      <c r="L8951" s="3"/>
      <c r="M8951" s="4"/>
      <c r="N8951" s="3" t="s">
        <v>37</v>
      </c>
      <c r="O8951" s="3" t="s">
        <v>52</v>
      </c>
      <c r="P8951" s="5">
        <v>1</v>
      </c>
      <c r="Q8951" s="5">
        <v>26</v>
      </c>
      <c r="R8951" s="5">
        <v>0</v>
      </c>
      <c r="S8951" s="5">
        <v>23</v>
      </c>
    </row>
    <row r="8952" spans="1:19" ht="28" x14ac:dyDescent="0.15">
      <c r="A8952" s="2">
        <f>HYPERLINK("https://open-school.uspishnemisto.com.ua/school/480320/", 480320)</f>
        <v>480320</v>
      </c>
      <c r="B8952" s="3" t="s">
        <v>45754</v>
      </c>
      <c r="C8952" s="3" t="s">
        <v>31</v>
      </c>
      <c r="D8952" s="3" t="s">
        <v>175</v>
      </c>
      <c r="E8952" s="4" t="s">
        <v>22</v>
      </c>
      <c r="F8952" s="4" t="s">
        <v>45755</v>
      </c>
      <c r="G8952" s="4" t="s">
        <v>45756</v>
      </c>
      <c r="H8952" s="3" t="s">
        <v>44362</v>
      </c>
      <c r="I8952" s="3" t="s">
        <v>45757</v>
      </c>
      <c r="J8952" s="3" t="s">
        <v>952</v>
      </c>
      <c r="K8952" s="3" t="s">
        <v>45758</v>
      </c>
      <c r="L8952" s="3" t="s">
        <v>45759</v>
      </c>
      <c r="M8952" s="4"/>
      <c r="N8952" s="3" t="s">
        <v>37</v>
      </c>
      <c r="O8952" s="3" t="s">
        <v>38</v>
      </c>
      <c r="P8952" s="5">
        <v>6</v>
      </c>
      <c r="Q8952" s="5">
        <v>54</v>
      </c>
      <c r="R8952" s="5">
        <v>8</v>
      </c>
      <c r="S8952" s="5">
        <v>54</v>
      </c>
    </row>
    <row r="8953" spans="1:19" ht="28" x14ac:dyDescent="0.15">
      <c r="A8953" s="2">
        <f>HYPERLINK("https://open-school.uspishnemisto.com.ua/school/480321/", 480321)</f>
        <v>480321</v>
      </c>
      <c r="B8953" s="3" t="s">
        <v>45760</v>
      </c>
      <c r="C8953" s="3" t="s">
        <v>31</v>
      </c>
      <c r="D8953" s="3" t="s">
        <v>32</v>
      </c>
      <c r="E8953" s="4" t="s">
        <v>22</v>
      </c>
      <c r="F8953" s="4" t="s">
        <v>45761</v>
      </c>
      <c r="G8953" s="4" t="s">
        <v>45762</v>
      </c>
      <c r="H8953" s="3" t="s">
        <v>44362</v>
      </c>
      <c r="I8953" s="3" t="s">
        <v>45763</v>
      </c>
      <c r="J8953" s="3" t="s">
        <v>2446</v>
      </c>
      <c r="K8953" s="3" t="s">
        <v>45764</v>
      </c>
      <c r="L8953" s="3" t="s">
        <v>45765</v>
      </c>
      <c r="M8953" s="4"/>
      <c r="N8953" s="3" t="s">
        <v>37</v>
      </c>
      <c r="O8953" s="3" t="s">
        <v>38</v>
      </c>
      <c r="P8953" s="5">
        <v>11</v>
      </c>
      <c r="Q8953" s="5">
        <v>211</v>
      </c>
      <c r="R8953" s="5">
        <v>11</v>
      </c>
      <c r="S8953" s="5">
        <v>213</v>
      </c>
    </row>
    <row r="8954" spans="1:19" ht="28" x14ac:dyDescent="0.15">
      <c r="A8954" s="2">
        <f>HYPERLINK("https://open-school.uspishnemisto.com.ua/school/480322/", 480322)</f>
        <v>480322</v>
      </c>
      <c r="B8954" s="3" t="s">
        <v>45766</v>
      </c>
      <c r="C8954" s="3" t="s">
        <v>31</v>
      </c>
      <c r="D8954" s="3" t="s">
        <v>32</v>
      </c>
      <c r="E8954" s="4" t="s">
        <v>22</v>
      </c>
      <c r="F8954" s="4" t="s">
        <v>45767</v>
      </c>
      <c r="G8954" s="4" t="s">
        <v>45768</v>
      </c>
      <c r="H8954" s="3" t="s">
        <v>44362</v>
      </c>
      <c r="I8954" s="3" t="s">
        <v>1803</v>
      </c>
      <c r="J8954" s="3" t="s">
        <v>45769</v>
      </c>
      <c r="K8954" s="3" t="s">
        <v>45770</v>
      </c>
      <c r="L8954" s="3" t="s">
        <v>45771</v>
      </c>
      <c r="M8954" s="4"/>
      <c r="N8954" s="3" t="s">
        <v>37</v>
      </c>
      <c r="O8954" s="3" t="s">
        <v>52</v>
      </c>
      <c r="P8954" s="5">
        <v>8</v>
      </c>
      <c r="Q8954" s="5">
        <v>68</v>
      </c>
      <c r="R8954" s="5">
        <v>6</v>
      </c>
      <c r="S8954" s="5">
        <v>63</v>
      </c>
    </row>
    <row r="8955" spans="1:19" ht="28" x14ac:dyDescent="0.15">
      <c r="A8955" s="2">
        <f>HYPERLINK("https://open-school.uspishnemisto.com.ua/school/480323/", 480323)</f>
        <v>480323</v>
      </c>
      <c r="B8955" s="3" t="s">
        <v>45772</v>
      </c>
      <c r="C8955" s="3" t="s">
        <v>31</v>
      </c>
      <c r="D8955" s="3" t="s">
        <v>32</v>
      </c>
      <c r="E8955" s="4" t="s">
        <v>22</v>
      </c>
      <c r="F8955" s="4" t="s">
        <v>45773</v>
      </c>
      <c r="G8955" s="4" t="s">
        <v>45774</v>
      </c>
      <c r="H8955" s="3" t="s">
        <v>44362</v>
      </c>
      <c r="I8955" s="3" t="s">
        <v>11267</v>
      </c>
      <c r="J8955" s="3" t="s">
        <v>3393</v>
      </c>
      <c r="K8955" s="3" t="s">
        <v>45775</v>
      </c>
      <c r="L8955" s="3" t="s">
        <v>45776</v>
      </c>
      <c r="M8955" s="4"/>
      <c r="N8955" s="3" t="s">
        <v>37</v>
      </c>
      <c r="O8955" s="3" t="s">
        <v>38</v>
      </c>
      <c r="P8955" s="5">
        <v>9</v>
      </c>
      <c r="Q8955" s="5">
        <v>68</v>
      </c>
      <c r="R8955" s="5">
        <v>8</v>
      </c>
      <c r="S8955" s="5">
        <v>59</v>
      </c>
    </row>
    <row r="8956" spans="1:19" ht="28" x14ac:dyDescent="0.15">
      <c r="A8956" s="2">
        <f>HYPERLINK("https://open-school.uspishnemisto.com.ua/school/480324/", 480324)</f>
        <v>480324</v>
      </c>
      <c r="B8956" s="3" t="s">
        <v>45777</v>
      </c>
      <c r="C8956" s="3" t="s">
        <v>31</v>
      </c>
      <c r="D8956" s="3" t="s">
        <v>32</v>
      </c>
      <c r="E8956" s="4" t="s">
        <v>22</v>
      </c>
      <c r="F8956" s="4" t="s">
        <v>45778</v>
      </c>
      <c r="G8956" s="4" t="s">
        <v>45779</v>
      </c>
      <c r="H8956" s="3" t="s">
        <v>44362</v>
      </c>
      <c r="I8956" s="3" t="s">
        <v>45780</v>
      </c>
      <c r="J8956" s="3" t="s">
        <v>45781</v>
      </c>
      <c r="K8956" s="3" t="s">
        <v>45782</v>
      </c>
      <c r="L8956" s="3"/>
      <c r="M8956" s="4"/>
      <c r="N8956" s="3" t="s">
        <v>37</v>
      </c>
      <c r="O8956" s="3" t="s">
        <v>52</v>
      </c>
      <c r="P8956" s="5">
        <v>9</v>
      </c>
      <c r="Q8956" s="5">
        <v>64</v>
      </c>
      <c r="R8956" s="5">
        <v>9</v>
      </c>
      <c r="S8956" s="5">
        <v>65</v>
      </c>
    </row>
    <row r="8957" spans="1:19" ht="28" x14ac:dyDescent="0.15">
      <c r="A8957" s="2">
        <f>HYPERLINK("https://open-school.uspishnemisto.com.ua/school/480325/", 480325)</f>
        <v>480325</v>
      </c>
      <c r="B8957" s="3" t="s">
        <v>45783</v>
      </c>
      <c r="C8957" s="3" t="s">
        <v>31</v>
      </c>
      <c r="D8957" s="3" t="s">
        <v>175</v>
      </c>
      <c r="E8957" s="4" t="s">
        <v>22</v>
      </c>
      <c r="F8957" s="4" t="s">
        <v>45784</v>
      </c>
      <c r="G8957" s="4" t="s">
        <v>45785</v>
      </c>
      <c r="H8957" s="3" t="s">
        <v>44362</v>
      </c>
      <c r="I8957" s="3" t="s">
        <v>45786</v>
      </c>
      <c r="J8957" s="3" t="s">
        <v>45787</v>
      </c>
      <c r="K8957" s="3" t="s">
        <v>45788</v>
      </c>
      <c r="L8957" s="3"/>
      <c r="M8957" s="4"/>
      <c r="N8957" s="3" t="s">
        <v>37</v>
      </c>
      <c r="O8957" s="3" t="s">
        <v>52</v>
      </c>
      <c r="P8957" s="5">
        <v>3</v>
      </c>
      <c r="Q8957" s="5">
        <v>25</v>
      </c>
      <c r="R8957" s="5">
        <v>4</v>
      </c>
      <c r="S8957" s="5">
        <v>24</v>
      </c>
    </row>
    <row r="8958" spans="1:19" ht="28" x14ac:dyDescent="0.15">
      <c r="A8958" s="2">
        <f>HYPERLINK("https://open-school.uspishnemisto.com.ua/school/480326/", 480326)</f>
        <v>480326</v>
      </c>
      <c r="B8958" s="3" t="s">
        <v>45789</v>
      </c>
      <c r="C8958" s="3" t="s">
        <v>31</v>
      </c>
      <c r="D8958" s="3" t="s">
        <v>32</v>
      </c>
      <c r="E8958" s="4" t="s">
        <v>22</v>
      </c>
      <c r="F8958" s="4" t="s">
        <v>45790</v>
      </c>
      <c r="G8958" s="4" t="s">
        <v>45791</v>
      </c>
      <c r="H8958" s="3" t="s">
        <v>44362</v>
      </c>
      <c r="I8958" s="3" t="s">
        <v>45792</v>
      </c>
      <c r="J8958" s="3" t="s">
        <v>45793</v>
      </c>
      <c r="K8958" s="3" t="s">
        <v>45794</v>
      </c>
      <c r="L8958" s="3"/>
      <c r="M8958" s="4"/>
      <c r="N8958" s="3" t="s">
        <v>37</v>
      </c>
      <c r="O8958" s="3" t="s">
        <v>38</v>
      </c>
      <c r="P8958" s="5">
        <v>8</v>
      </c>
      <c r="Q8958" s="5">
        <v>72</v>
      </c>
      <c r="R8958" s="5">
        <v>9</v>
      </c>
      <c r="S8958" s="5">
        <v>73</v>
      </c>
    </row>
    <row r="8959" spans="1:19" ht="28" x14ac:dyDescent="0.15">
      <c r="A8959" s="2">
        <f>HYPERLINK("https://open-school.uspishnemisto.com.ua/school/480327/", 480327)</f>
        <v>480327</v>
      </c>
      <c r="B8959" s="3" t="s">
        <v>45795</v>
      </c>
      <c r="C8959" s="3" t="s">
        <v>31</v>
      </c>
      <c r="D8959" s="3" t="s">
        <v>32</v>
      </c>
      <c r="E8959" s="4" t="s">
        <v>22</v>
      </c>
      <c r="F8959" s="4" t="s">
        <v>45796</v>
      </c>
      <c r="G8959" s="4" t="s">
        <v>45797</v>
      </c>
      <c r="H8959" s="3" t="s">
        <v>44362</v>
      </c>
      <c r="I8959" s="3" t="s">
        <v>45798</v>
      </c>
      <c r="J8959" s="3" t="s">
        <v>5632</v>
      </c>
      <c r="K8959" s="3" t="s">
        <v>45799</v>
      </c>
      <c r="L8959" s="3" t="s">
        <v>45800</v>
      </c>
      <c r="M8959" s="4"/>
      <c r="N8959" s="3" t="s">
        <v>37</v>
      </c>
      <c r="O8959" s="3" t="s">
        <v>52</v>
      </c>
      <c r="P8959" s="5">
        <v>5</v>
      </c>
      <c r="Q8959" s="5">
        <v>44</v>
      </c>
      <c r="R8959" s="5">
        <v>6</v>
      </c>
      <c r="S8959" s="5">
        <v>50</v>
      </c>
    </row>
    <row r="8960" spans="1:19" ht="28" x14ac:dyDescent="0.15">
      <c r="A8960" s="2">
        <f>HYPERLINK("https://open-school.uspishnemisto.com.ua/school/480328/", 480328)</f>
        <v>480328</v>
      </c>
      <c r="B8960" s="3" t="s">
        <v>45801</v>
      </c>
      <c r="C8960" s="3" t="s">
        <v>31</v>
      </c>
      <c r="D8960" s="3" t="s">
        <v>32</v>
      </c>
      <c r="E8960" s="4" t="s">
        <v>22</v>
      </c>
      <c r="F8960" s="4" t="s">
        <v>45802</v>
      </c>
      <c r="G8960" s="4" t="s">
        <v>45803</v>
      </c>
      <c r="H8960" s="3" t="s">
        <v>44362</v>
      </c>
      <c r="I8960" s="3" t="s">
        <v>13182</v>
      </c>
      <c r="J8960" s="3" t="s">
        <v>2191</v>
      </c>
      <c r="K8960" s="3" t="s">
        <v>45804</v>
      </c>
      <c r="L8960" s="3"/>
      <c r="M8960" s="4"/>
      <c r="N8960" s="3" t="s">
        <v>37</v>
      </c>
      <c r="O8960" s="3" t="s">
        <v>52</v>
      </c>
      <c r="P8960" s="5">
        <v>6</v>
      </c>
      <c r="Q8960" s="5">
        <v>51</v>
      </c>
      <c r="R8960" s="5">
        <v>7</v>
      </c>
      <c r="S8960" s="5">
        <v>58</v>
      </c>
    </row>
    <row r="8961" spans="1:19" ht="28" x14ac:dyDescent="0.15">
      <c r="A8961" s="2">
        <f>HYPERLINK("https://open-school.uspishnemisto.com.ua/school/480329/", 480329)</f>
        <v>480329</v>
      </c>
      <c r="B8961" s="3" t="s">
        <v>45805</v>
      </c>
      <c r="C8961" s="3" t="s">
        <v>31</v>
      </c>
      <c r="D8961" s="3" t="s">
        <v>32</v>
      </c>
      <c r="E8961" s="4" t="s">
        <v>22</v>
      </c>
      <c r="F8961" s="4" t="s">
        <v>45806</v>
      </c>
      <c r="G8961" s="4" t="s">
        <v>45807</v>
      </c>
      <c r="H8961" s="3" t="s">
        <v>44362</v>
      </c>
      <c r="I8961" s="3" t="s">
        <v>4441</v>
      </c>
      <c r="J8961" s="3" t="s">
        <v>11705</v>
      </c>
      <c r="K8961" s="3" t="s">
        <v>45808</v>
      </c>
      <c r="L8961" s="3"/>
      <c r="M8961" s="4"/>
      <c r="N8961" s="3" t="s">
        <v>37</v>
      </c>
      <c r="O8961" s="3" t="s">
        <v>52</v>
      </c>
      <c r="P8961" s="5">
        <v>4</v>
      </c>
      <c r="Q8961" s="5">
        <v>37</v>
      </c>
      <c r="R8961" s="5">
        <v>4</v>
      </c>
      <c r="S8961" s="5">
        <v>39</v>
      </c>
    </row>
    <row r="8962" spans="1:19" ht="28" x14ac:dyDescent="0.15">
      <c r="A8962" s="2">
        <f>HYPERLINK("https://open-school.uspishnemisto.com.ua/school/480330/", 480330)</f>
        <v>480330</v>
      </c>
      <c r="B8962" s="3" t="s">
        <v>45809</v>
      </c>
      <c r="C8962" s="3" t="s">
        <v>31</v>
      </c>
      <c r="D8962" s="3" t="s">
        <v>32</v>
      </c>
      <c r="E8962" s="4" t="s">
        <v>22</v>
      </c>
      <c r="F8962" s="4" t="s">
        <v>45810</v>
      </c>
      <c r="G8962" s="4" t="s">
        <v>45811</v>
      </c>
      <c r="H8962" s="3" t="s">
        <v>44362</v>
      </c>
      <c r="I8962" s="3" t="s">
        <v>32376</v>
      </c>
      <c r="J8962" s="3" t="s">
        <v>466</v>
      </c>
      <c r="K8962" s="3" t="s">
        <v>45812</v>
      </c>
      <c r="L8962" s="3"/>
      <c r="M8962" s="4"/>
      <c r="N8962" s="3" t="s">
        <v>37</v>
      </c>
      <c r="O8962" s="3" t="s">
        <v>52</v>
      </c>
      <c r="P8962" s="5">
        <v>8</v>
      </c>
      <c r="Q8962" s="5">
        <v>59</v>
      </c>
      <c r="R8962" s="5">
        <v>8</v>
      </c>
      <c r="S8962" s="5">
        <v>59</v>
      </c>
    </row>
    <row r="8963" spans="1:19" ht="42" x14ac:dyDescent="0.15">
      <c r="A8963" s="2">
        <f>HYPERLINK("https://open-school.uspishnemisto.com.ua/school/480331/", 480331)</f>
        <v>480331</v>
      </c>
      <c r="B8963" s="3" t="s">
        <v>45813</v>
      </c>
      <c r="C8963" s="3" t="s">
        <v>31</v>
      </c>
      <c r="D8963" s="3" t="s">
        <v>32</v>
      </c>
      <c r="E8963" s="4" t="s">
        <v>22</v>
      </c>
      <c r="F8963" s="4" t="s">
        <v>45814</v>
      </c>
      <c r="G8963" s="4" t="s">
        <v>45815</v>
      </c>
      <c r="H8963" s="3" t="s">
        <v>44362</v>
      </c>
      <c r="I8963" s="3" t="s">
        <v>45816</v>
      </c>
      <c r="J8963" s="3" t="s">
        <v>45817</v>
      </c>
      <c r="K8963" s="3" t="s">
        <v>45818</v>
      </c>
      <c r="L8963" s="3" t="s">
        <v>45819</v>
      </c>
      <c r="M8963" s="4"/>
      <c r="N8963" s="3" t="s">
        <v>37</v>
      </c>
      <c r="O8963" s="3" t="s">
        <v>38</v>
      </c>
      <c r="P8963" s="5">
        <v>19</v>
      </c>
      <c r="Q8963" s="5">
        <v>357</v>
      </c>
      <c r="R8963" s="5">
        <v>17</v>
      </c>
      <c r="S8963" s="5">
        <v>314</v>
      </c>
    </row>
    <row r="8964" spans="1:19" ht="28" x14ac:dyDescent="0.15">
      <c r="A8964" s="2">
        <f>HYPERLINK("https://open-school.uspishnemisto.com.ua/school/480332/", 480332)</f>
        <v>480332</v>
      </c>
      <c r="B8964" s="3" t="s">
        <v>45820</v>
      </c>
      <c r="C8964" s="3" t="s">
        <v>31</v>
      </c>
      <c r="D8964" s="3" t="s">
        <v>32</v>
      </c>
      <c r="E8964" s="4" t="s">
        <v>22</v>
      </c>
      <c r="F8964" s="4" t="s">
        <v>45821</v>
      </c>
      <c r="G8964" s="4" t="s">
        <v>45822</v>
      </c>
      <c r="H8964" s="3" t="s">
        <v>44362</v>
      </c>
      <c r="I8964" s="3" t="s">
        <v>12875</v>
      </c>
      <c r="J8964" s="3" t="s">
        <v>45823</v>
      </c>
      <c r="K8964" s="3" t="s">
        <v>45824</v>
      </c>
      <c r="L8964" s="3"/>
      <c r="M8964" s="4"/>
      <c r="N8964" s="3" t="s">
        <v>37</v>
      </c>
      <c r="O8964" s="3" t="s">
        <v>38</v>
      </c>
      <c r="P8964" s="5">
        <v>26</v>
      </c>
      <c r="Q8964" s="5">
        <v>452</v>
      </c>
      <c r="R8964" s="5">
        <v>23</v>
      </c>
      <c r="S8964" s="5">
        <v>431</v>
      </c>
    </row>
    <row r="8965" spans="1:19" ht="28" x14ac:dyDescent="0.15">
      <c r="A8965" s="2">
        <f>HYPERLINK("https://open-school.uspishnemisto.com.ua/school/480333/", 480333)</f>
        <v>480333</v>
      </c>
      <c r="B8965" s="3" t="s">
        <v>45825</v>
      </c>
      <c r="C8965" s="3" t="s">
        <v>54</v>
      </c>
      <c r="D8965" s="3" t="s">
        <v>175</v>
      </c>
      <c r="E8965" s="4" t="s">
        <v>22</v>
      </c>
      <c r="F8965" s="4" t="s">
        <v>45821</v>
      </c>
      <c r="G8965" s="4" t="s">
        <v>45826</v>
      </c>
      <c r="H8965" s="3" t="s">
        <v>44362</v>
      </c>
      <c r="I8965" s="3" t="s">
        <v>45827</v>
      </c>
      <c r="J8965" s="3" t="s">
        <v>878</v>
      </c>
      <c r="K8965" s="3" t="s">
        <v>45828</v>
      </c>
      <c r="L8965" s="3"/>
      <c r="M8965" s="4"/>
      <c r="N8965" s="3"/>
      <c r="O8965" s="3"/>
      <c r="P8965" s="5">
        <v>0</v>
      </c>
      <c r="Q8965" s="5">
        <v>0</v>
      </c>
      <c r="R8965" s="5"/>
      <c r="S8965" s="5"/>
    </row>
    <row r="8966" spans="1:19" ht="42" x14ac:dyDescent="0.15">
      <c r="A8966" s="2">
        <f>HYPERLINK("https://open-school.uspishnemisto.com.ua/school/480334/", 480334)</f>
        <v>480334</v>
      </c>
      <c r="B8966" s="3" t="s">
        <v>45829</v>
      </c>
      <c r="C8966" s="3" t="s">
        <v>54</v>
      </c>
      <c r="D8966" s="3" t="s">
        <v>175</v>
      </c>
      <c r="E8966" s="4" t="s">
        <v>22</v>
      </c>
      <c r="F8966" s="4" t="s">
        <v>45830</v>
      </c>
      <c r="G8966" s="4" t="s">
        <v>45831</v>
      </c>
      <c r="H8966" s="3" t="s">
        <v>44362</v>
      </c>
      <c r="I8966" s="3" t="s">
        <v>8067</v>
      </c>
      <c r="J8966" s="3" t="s">
        <v>1393</v>
      </c>
      <c r="K8966" s="3" t="s">
        <v>45832</v>
      </c>
      <c r="L8966" s="3"/>
      <c r="M8966" s="4"/>
      <c r="N8966" s="3" t="s">
        <v>37</v>
      </c>
      <c r="O8966" s="3" t="s">
        <v>38</v>
      </c>
      <c r="P8966" s="5">
        <v>5</v>
      </c>
      <c r="Q8966" s="5">
        <v>37</v>
      </c>
      <c r="R8966" s="5">
        <v>4</v>
      </c>
      <c r="S8966" s="5">
        <v>36</v>
      </c>
    </row>
    <row r="8967" spans="1:19" ht="42" x14ac:dyDescent="0.15">
      <c r="A8967" s="2">
        <f>HYPERLINK("https://open-school.uspishnemisto.com.ua/school/480335/", 480335)</f>
        <v>480335</v>
      </c>
      <c r="B8967" s="3" t="s">
        <v>45833</v>
      </c>
      <c r="C8967" s="3" t="s">
        <v>54</v>
      </c>
      <c r="D8967" s="3"/>
      <c r="E8967" s="4" t="s">
        <v>22</v>
      </c>
      <c r="F8967" s="4" t="s">
        <v>45834</v>
      </c>
      <c r="G8967" s="4" t="s">
        <v>45835</v>
      </c>
      <c r="H8967" s="3" t="s">
        <v>44362</v>
      </c>
      <c r="I8967" s="3" t="s">
        <v>2900</v>
      </c>
      <c r="J8967" s="3" t="s">
        <v>45836</v>
      </c>
      <c r="K8967" s="3" t="s">
        <v>45837</v>
      </c>
      <c r="L8967" s="3"/>
      <c r="M8967" s="4"/>
      <c r="N8967" s="3"/>
      <c r="O8967" s="3"/>
      <c r="P8967" s="5">
        <v>0</v>
      </c>
      <c r="Q8967" s="5">
        <v>0</v>
      </c>
      <c r="R8967" s="5"/>
      <c r="S8967" s="5"/>
    </row>
    <row r="8968" spans="1:19" ht="28" x14ac:dyDescent="0.15">
      <c r="A8968" s="2">
        <f>HYPERLINK("https://open-school.uspishnemisto.com.ua/school/480336/", 480336)</f>
        <v>480336</v>
      </c>
      <c r="B8968" s="3" t="s">
        <v>45838</v>
      </c>
      <c r="C8968" s="3" t="s">
        <v>31</v>
      </c>
      <c r="D8968" s="3" t="s">
        <v>32</v>
      </c>
      <c r="E8968" s="4" t="s">
        <v>22</v>
      </c>
      <c r="F8968" s="4" t="s">
        <v>45839</v>
      </c>
      <c r="G8968" s="4" t="s">
        <v>45840</v>
      </c>
      <c r="H8968" s="3" t="s">
        <v>44362</v>
      </c>
      <c r="I8968" s="3" t="s">
        <v>45841</v>
      </c>
      <c r="J8968" s="3" t="s">
        <v>45842</v>
      </c>
      <c r="K8968" s="3" t="s">
        <v>45843</v>
      </c>
      <c r="L8968" s="3" t="s">
        <v>45844</v>
      </c>
      <c r="M8968" s="4"/>
      <c r="N8968" s="3" t="s">
        <v>37</v>
      </c>
      <c r="O8968" s="3" t="s">
        <v>38</v>
      </c>
      <c r="P8968" s="5">
        <v>11</v>
      </c>
      <c r="Q8968" s="5">
        <v>107</v>
      </c>
      <c r="R8968" s="5">
        <v>10</v>
      </c>
      <c r="S8968" s="5">
        <v>99</v>
      </c>
    </row>
    <row r="8969" spans="1:19" ht="42" x14ac:dyDescent="0.15">
      <c r="A8969" s="2">
        <f>HYPERLINK("https://open-school.uspishnemisto.com.ua/school/480337/", 480337)</f>
        <v>480337</v>
      </c>
      <c r="B8969" s="3" t="s">
        <v>45845</v>
      </c>
      <c r="C8969" s="3" t="s">
        <v>31</v>
      </c>
      <c r="D8969" s="3" t="s">
        <v>32</v>
      </c>
      <c r="E8969" s="4" t="s">
        <v>22</v>
      </c>
      <c r="F8969" s="4" t="s">
        <v>45846</v>
      </c>
      <c r="G8969" s="4" t="s">
        <v>45847</v>
      </c>
      <c r="H8969" s="3" t="s">
        <v>44362</v>
      </c>
      <c r="I8969" s="3" t="s">
        <v>45848</v>
      </c>
      <c r="J8969" s="3" t="s">
        <v>45849</v>
      </c>
      <c r="K8969" s="3" t="s">
        <v>45850</v>
      </c>
      <c r="L8969" s="3" t="s">
        <v>45851</v>
      </c>
      <c r="M8969" s="4"/>
      <c r="N8969" s="3" t="s">
        <v>37</v>
      </c>
      <c r="O8969" s="3" t="s">
        <v>38</v>
      </c>
      <c r="P8969" s="5">
        <v>14</v>
      </c>
      <c r="Q8969" s="5">
        <v>262</v>
      </c>
      <c r="R8969" s="5">
        <v>12</v>
      </c>
      <c r="S8969" s="5">
        <v>236</v>
      </c>
    </row>
    <row r="8970" spans="1:19" ht="28" x14ac:dyDescent="0.15">
      <c r="A8970" s="2">
        <f>HYPERLINK("https://open-school.uspishnemisto.com.ua/school/480338/", 480338)</f>
        <v>480338</v>
      </c>
      <c r="B8970" s="3" t="s">
        <v>45852</v>
      </c>
      <c r="C8970" s="3" t="s">
        <v>31</v>
      </c>
      <c r="D8970" s="3" t="s">
        <v>32</v>
      </c>
      <c r="E8970" s="4" t="s">
        <v>22</v>
      </c>
      <c r="F8970" s="4" t="s">
        <v>45853</v>
      </c>
      <c r="G8970" s="4" t="s">
        <v>45854</v>
      </c>
      <c r="H8970" s="3" t="s">
        <v>44362</v>
      </c>
      <c r="I8970" s="3" t="s">
        <v>45855</v>
      </c>
      <c r="J8970" s="3" t="s">
        <v>45856</v>
      </c>
      <c r="K8970" s="3" t="s">
        <v>45857</v>
      </c>
      <c r="L8970" s="3" t="s">
        <v>45858</v>
      </c>
      <c r="M8970" s="4"/>
      <c r="N8970" s="3" t="s">
        <v>37</v>
      </c>
      <c r="O8970" s="3" t="s">
        <v>38</v>
      </c>
      <c r="P8970" s="5">
        <v>10</v>
      </c>
      <c r="Q8970" s="5">
        <v>162</v>
      </c>
      <c r="R8970" s="5">
        <v>9</v>
      </c>
      <c r="S8970" s="5">
        <v>150</v>
      </c>
    </row>
    <row r="8971" spans="1:19" ht="28" x14ac:dyDescent="0.15">
      <c r="A8971" s="2">
        <f>HYPERLINK("https://open-school.uspishnemisto.com.ua/school/480339/", 480339)</f>
        <v>480339</v>
      </c>
      <c r="B8971" s="3" t="s">
        <v>45859</v>
      </c>
      <c r="C8971" s="3" t="s">
        <v>31</v>
      </c>
      <c r="D8971" s="3" t="s">
        <v>175</v>
      </c>
      <c r="E8971" s="4" t="s">
        <v>22</v>
      </c>
      <c r="F8971" s="4" t="s">
        <v>45853</v>
      </c>
      <c r="G8971" s="4" t="s">
        <v>45860</v>
      </c>
      <c r="H8971" s="3" t="s">
        <v>44362</v>
      </c>
      <c r="I8971" s="3" t="s">
        <v>11305</v>
      </c>
      <c r="J8971" s="3" t="s">
        <v>45861</v>
      </c>
      <c r="K8971" s="3" t="s">
        <v>45862</v>
      </c>
      <c r="L8971" s="3"/>
      <c r="M8971" s="4"/>
      <c r="N8971" s="3" t="s">
        <v>37</v>
      </c>
      <c r="O8971" s="3" t="s">
        <v>52</v>
      </c>
      <c r="P8971" s="5">
        <v>4</v>
      </c>
      <c r="Q8971" s="5">
        <v>30</v>
      </c>
      <c r="R8971" s="5">
        <v>3</v>
      </c>
      <c r="S8971" s="5">
        <v>29</v>
      </c>
    </row>
    <row r="8972" spans="1:19" ht="28" x14ac:dyDescent="0.15">
      <c r="A8972" s="2">
        <f>HYPERLINK("https://open-school.uspishnemisto.com.ua/school/480340/", 480340)</f>
        <v>480340</v>
      </c>
      <c r="B8972" s="3" t="s">
        <v>45863</v>
      </c>
      <c r="C8972" s="3" t="s">
        <v>31</v>
      </c>
      <c r="D8972" s="3" t="s">
        <v>175</v>
      </c>
      <c r="E8972" s="4" t="s">
        <v>22</v>
      </c>
      <c r="F8972" s="4" t="s">
        <v>45864</v>
      </c>
      <c r="G8972" s="4" t="s">
        <v>45865</v>
      </c>
      <c r="H8972" s="3" t="s">
        <v>44362</v>
      </c>
      <c r="I8972" s="3" t="s">
        <v>11464</v>
      </c>
      <c r="J8972" s="3" t="s">
        <v>1216</v>
      </c>
      <c r="K8972" s="3" t="s">
        <v>45866</v>
      </c>
      <c r="L8972" s="3" t="s">
        <v>45867</v>
      </c>
      <c r="M8972" s="4"/>
      <c r="N8972" s="3" t="s">
        <v>37</v>
      </c>
      <c r="O8972" s="3" t="s">
        <v>70</v>
      </c>
      <c r="P8972" s="5">
        <v>8</v>
      </c>
      <c r="Q8972" s="5">
        <v>47</v>
      </c>
      <c r="R8972" s="5">
        <v>9</v>
      </c>
      <c r="S8972" s="5">
        <v>53</v>
      </c>
    </row>
    <row r="8973" spans="1:19" ht="42" x14ac:dyDescent="0.15">
      <c r="A8973" s="2">
        <f>HYPERLINK("https://open-school.uspishnemisto.com.ua/school/480341/", 480341)</f>
        <v>480341</v>
      </c>
      <c r="B8973" s="3" t="s">
        <v>45868</v>
      </c>
      <c r="C8973" s="3" t="s">
        <v>31</v>
      </c>
      <c r="D8973" s="3" t="s">
        <v>32</v>
      </c>
      <c r="E8973" s="4" t="s">
        <v>22</v>
      </c>
      <c r="F8973" s="4" t="s">
        <v>45830</v>
      </c>
      <c r="G8973" s="4" t="s">
        <v>45869</v>
      </c>
      <c r="H8973" s="3" t="s">
        <v>44362</v>
      </c>
      <c r="I8973" s="3" t="s">
        <v>11029</v>
      </c>
      <c r="J8973" s="3" t="s">
        <v>466</v>
      </c>
      <c r="K8973" s="3" t="s">
        <v>45870</v>
      </c>
      <c r="L8973" s="3" t="s">
        <v>45871</v>
      </c>
      <c r="M8973" s="4"/>
      <c r="N8973" s="3" t="s">
        <v>37</v>
      </c>
      <c r="O8973" s="3" t="s">
        <v>38</v>
      </c>
      <c r="P8973" s="5">
        <v>10</v>
      </c>
      <c r="Q8973" s="5">
        <v>135</v>
      </c>
      <c r="R8973" s="5">
        <v>11</v>
      </c>
      <c r="S8973" s="5">
        <v>133</v>
      </c>
    </row>
    <row r="8974" spans="1:19" ht="42" x14ac:dyDescent="0.15">
      <c r="A8974" s="2">
        <f>HYPERLINK("https://open-school.uspishnemisto.com.ua/school/480342/", 480342)</f>
        <v>480342</v>
      </c>
      <c r="B8974" s="3" t="s">
        <v>45872</v>
      </c>
      <c r="C8974" s="3" t="s">
        <v>31</v>
      </c>
      <c r="D8974" s="3" t="s">
        <v>32</v>
      </c>
      <c r="E8974" s="4" t="s">
        <v>22</v>
      </c>
      <c r="F8974" s="4" t="s">
        <v>45873</v>
      </c>
      <c r="G8974" s="4" t="s">
        <v>45874</v>
      </c>
      <c r="H8974" s="3" t="s">
        <v>44362</v>
      </c>
      <c r="I8974" s="3" t="s">
        <v>1803</v>
      </c>
      <c r="J8974" s="3" t="s">
        <v>2526</v>
      </c>
      <c r="K8974" s="3" t="s">
        <v>45875</v>
      </c>
      <c r="L8974" s="3" t="s">
        <v>45876</v>
      </c>
      <c r="M8974" s="4"/>
      <c r="N8974" s="3" t="s">
        <v>37</v>
      </c>
      <c r="O8974" s="3" t="s">
        <v>38</v>
      </c>
      <c r="P8974" s="5">
        <v>16</v>
      </c>
      <c r="Q8974" s="5">
        <v>308</v>
      </c>
      <c r="R8974" s="5">
        <v>15</v>
      </c>
      <c r="S8974" s="5">
        <v>305</v>
      </c>
    </row>
    <row r="8975" spans="1:19" ht="28" x14ac:dyDescent="0.15">
      <c r="A8975" s="2">
        <f>HYPERLINK("https://open-school.uspishnemisto.com.ua/school/480343/", 480343)</f>
        <v>480343</v>
      </c>
      <c r="B8975" s="3" t="s">
        <v>45877</v>
      </c>
      <c r="C8975" s="3" t="s">
        <v>31</v>
      </c>
      <c r="D8975" s="3" t="s">
        <v>175</v>
      </c>
      <c r="E8975" s="4" t="s">
        <v>22</v>
      </c>
      <c r="F8975" s="4" t="s">
        <v>45878</v>
      </c>
      <c r="G8975" s="4" t="s">
        <v>45879</v>
      </c>
      <c r="H8975" s="3" t="s">
        <v>44362</v>
      </c>
      <c r="I8975" s="3" t="s">
        <v>45880</v>
      </c>
      <c r="J8975" s="3" t="s">
        <v>45881</v>
      </c>
      <c r="K8975" s="3" t="s">
        <v>45882</v>
      </c>
      <c r="L8975" s="3"/>
      <c r="M8975" s="4"/>
      <c r="N8975" s="3" t="s">
        <v>37</v>
      </c>
      <c r="O8975" s="3" t="s">
        <v>38</v>
      </c>
      <c r="P8975" s="5">
        <v>9</v>
      </c>
      <c r="Q8975" s="5">
        <v>95</v>
      </c>
      <c r="R8975" s="5">
        <v>9</v>
      </c>
      <c r="S8975" s="5">
        <v>85</v>
      </c>
    </row>
    <row r="8976" spans="1:19" ht="56" x14ac:dyDescent="0.15">
      <c r="A8976" s="2">
        <f>HYPERLINK("https://open-school.uspishnemisto.com.ua/school/480344/", 480344)</f>
        <v>480344</v>
      </c>
      <c r="B8976" s="3" t="s">
        <v>45883</v>
      </c>
      <c r="C8976" s="3" t="s">
        <v>54</v>
      </c>
      <c r="D8976" s="3" t="s">
        <v>60</v>
      </c>
      <c r="E8976" s="4" t="s">
        <v>22</v>
      </c>
      <c r="F8976" s="4" t="s">
        <v>45884</v>
      </c>
      <c r="G8976" s="4" t="s">
        <v>45885</v>
      </c>
      <c r="H8976" s="3" t="s">
        <v>44362</v>
      </c>
      <c r="I8976" s="3" t="s">
        <v>45886</v>
      </c>
      <c r="J8976" s="3" t="s">
        <v>45887</v>
      </c>
      <c r="K8976" s="3"/>
      <c r="L8976" s="3"/>
      <c r="M8976" s="4"/>
      <c r="N8976" s="3" t="s">
        <v>37</v>
      </c>
      <c r="O8976" s="3" t="s">
        <v>52</v>
      </c>
      <c r="P8976" s="5">
        <v>3</v>
      </c>
      <c r="Q8976" s="5">
        <v>21</v>
      </c>
      <c r="R8976" s="5">
        <v>2</v>
      </c>
      <c r="S8976" s="5">
        <v>17</v>
      </c>
    </row>
    <row r="8977" spans="1:19" ht="42" x14ac:dyDescent="0.15">
      <c r="A8977" s="2">
        <f>HYPERLINK("https://open-school.uspishnemisto.com.ua/school/480345/", 480345)</f>
        <v>480345</v>
      </c>
      <c r="B8977" s="3" t="s">
        <v>45888</v>
      </c>
      <c r="C8977" s="3" t="s">
        <v>31</v>
      </c>
      <c r="D8977" s="3" t="s">
        <v>32</v>
      </c>
      <c r="E8977" s="4" t="s">
        <v>22</v>
      </c>
      <c r="F8977" s="4" t="s">
        <v>45889</v>
      </c>
      <c r="G8977" s="4" t="s">
        <v>45890</v>
      </c>
      <c r="H8977" s="3" t="s">
        <v>44362</v>
      </c>
      <c r="I8977" s="3" t="s">
        <v>45891</v>
      </c>
      <c r="J8977" s="3" t="s">
        <v>45892</v>
      </c>
      <c r="K8977" s="3" t="s">
        <v>45893</v>
      </c>
      <c r="L8977" s="3" t="s">
        <v>45894</v>
      </c>
      <c r="M8977" s="4"/>
      <c r="N8977" s="3" t="s">
        <v>37</v>
      </c>
      <c r="O8977" s="3" t="s">
        <v>38</v>
      </c>
      <c r="P8977" s="5">
        <v>12</v>
      </c>
      <c r="Q8977" s="5">
        <v>214</v>
      </c>
      <c r="R8977" s="5">
        <v>11</v>
      </c>
      <c r="S8977" s="5">
        <v>188</v>
      </c>
    </row>
    <row r="8978" spans="1:19" ht="42" x14ac:dyDescent="0.15">
      <c r="A8978" s="2">
        <f>HYPERLINK("https://open-school.uspishnemisto.com.ua/school/480346/", 480346)</f>
        <v>480346</v>
      </c>
      <c r="B8978" s="3" t="s">
        <v>45895</v>
      </c>
      <c r="C8978" s="3" t="s">
        <v>31</v>
      </c>
      <c r="D8978" s="3" t="s">
        <v>32</v>
      </c>
      <c r="E8978" s="4" t="s">
        <v>22</v>
      </c>
      <c r="F8978" s="4" t="s">
        <v>45896</v>
      </c>
      <c r="G8978" s="4" t="s">
        <v>45897</v>
      </c>
      <c r="H8978" s="3" t="s">
        <v>44362</v>
      </c>
      <c r="I8978" s="3" t="s">
        <v>45104</v>
      </c>
      <c r="J8978" s="3" t="s">
        <v>45898</v>
      </c>
      <c r="K8978" s="3" t="s">
        <v>45899</v>
      </c>
      <c r="L8978" s="3"/>
      <c r="M8978" s="4"/>
      <c r="N8978" s="3" t="s">
        <v>37</v>
      </c>
      <c r="O8978" s="3" t="s">
        <v>38</v>
      </c>
      <c r="P8978" s="5">
        <v>11</v>
      </c>
      <c r="Q8978" s="5">
        <v>182</v>
      </c>
      <c r="R8978" s="5">
        <v>11</v>
      </c>
      <c r="S8978" s="5">
        <v>189</v>
      </c>
    </row>
    <row r="8979" spans="1:19" ht="42" x14ac:dyDescent="0.15">
      <c r="A8979" s="2">
        <f>HYPERLINK("https://open-school.uspishnemisto.com.ua/school/480347/", 480347)</f>
        <v>480347</v>
      </c>
      <c r="B8979" s="3" t="s">
        <v>45900</v>
      </c>
      <c r="C8979" s="3" t="s">
        <v>31</v>
      </c>
      <c r="D8979" s="3" t="s">
        <v>32</v>
      </c>
      <c r="E8979" s="4" t="s">
        <v>22</v>
      </c>
      <c r="F8979" s="4" t="s">
        <v>45901</v>
      </c>
      <c r="G8979" s="4" t="s">
        <v>45902</v>
      </c>
      <c r="H8979" s="3" t="s">
        <v>44362</v>
      </c>
      <c r="I8979" s="3" t="s">
        <v>45903</v>
      </c>
      <c r="J8979" s="3" t="s">
        <v>8007</v>
      </c>
      <c r="K8979" s="3" t="s">
        <v>45904</v>
      </c>
      <c r="L8979" s="3"/>
      <c r="M8979" s="4"/>
      <c r="N8979" s="3" t="s">
        <v>37</v>
      </c>
      <c r="O8979" s="3" t="s">
        <v>38</v>
      </c>
      <c r="P8979" s="5">
        <v>10</v>
      </c>
      <c r="Q8979" s="5">
        <v>120</v>
      </c>
      <c r="R8979" s="5">
        <v>10</v>
      </c>
      <c r="S8979" s="5">
        <v>105</v>
      </c>
    </row>
    <row r="8980" spans="1:19" ht="28" x14ac:dyDescent="0.15">
      <c r="A8980" s="2">
        <f>HYPERLINK("https://open-school.uspishnemisto.com.ua/school/480348/", 480348)</f>
        <v>480348</v>
      </c>
      <c r="B8980" s="3" t="s">
        <v>45905</v>
      </c>
      <c r="C8980" s="3" t="s">
        <v>2634</v>
      </c>
      <c r="D8980" s="3" t="s">
        <v>32</v>
      </c>
      <c r="E8980" s="4" t="s">
        <v>22</v>
      </c>
      <c r="F8980" s="4" t="s">
        <v>45906</v>
      </c>
      <c r="G8980" s="4" t="s">
        <v>45907</v>
      </c>
      <c r="H8980" s="3" t="s">
        <v>44362</v>
      </c>
      <c r="I8980" s="3" t="s">
        <v>45908</v>
      </c>
      <c r="J8980" s="3" t="s">
        <v>45909</v>
      </c>
      <c r="K8980" s="3" t="s">
        <v>45910</v>
      </c>
      <c r="L8980" s="3"/>
      <c r="M8980" s="4" t="s">
        <v>45911</v>
      </c>
      <c r="N8980" s="3" t="s">
        <v>37</v>
      </c>
      <c r="O8980" s="3" t="s">
        <v>70</v>
      </c>
      <c r="P8980" s="5">
        <v>20</v>
      </c>
      <c r="Q8980" s="5">
        <v>340</v>
      </c>
      <c r="R8980" s="5">
        <v>20</v>
      </c>
      <c r="S8980" s="5">
        <v>339</v>
      </c>
    </row>
    <row r="8981" spans="1:19" ht="28" x14ac:dyDescent="0.15">
      <c r="A8981" s="2">
        <f>HYPERLINK("https://open-school.uspishnemisto.com.ua/school/480349/", 480349)</f>
        <v>480349</v>
      </c>
      <c r="B8981" s="3" t="s">
        <v>45912</v>
      </c>
      <c r="C8981" s="3" t="s">
        <v>31</v>
      </c>
      <c r="D8981" s="3" t="s">
        <v>175</v>
      </c>
      <c r="E8981" s="4" t="s">
        <v>22</v>
      </c>
      <c r="F8981" s="4" t="s">
        <v>45906</v>
      </c>
      <c r="G8981" s="4" t="s">
        <v>45907</v>
      </c>
      <c r="H8981" s="3" t="s">
        <v>44362</v>
      </c>
      <c r="I8981" s="3" t="s">
        <v>45908</v>
      </c>
      <c r="J8981" s="3" t="s">
        <v>45913</v>
      </c>
      <c r="K8981" s="3" t="s">
        <v>45914</v>
      </c>
      <c r="L8981" s="3" t="s">
        <v>45915</v>
      </c>
      <c r="M8981" s="4"/>
      <c r="N8981" s="3" t="s">
        <v>37</v>
      </c>
      <c r="O8981" s="3" t="s">
        <v>38</v>
      </c>
      <c r="P8981" s="5">
        <v>9</v>
      </c>
      <c r="Q8981" s="5">
        <v>160</v>
      </c>
      <c r="R8981" s="5">
        <v>9</v>
      </c>
      <c r="S8981" s="5">
        <v>157</v>
      </c>
    </row>
    <row r="8982" spans="1:19" ht="28" x14ac:dyDescent="0.15">
      <c r="A8982" s="2">
        <f>HYPERLINK("https://open-school.uspishnemisto.com.ua/school/480350/", 480350)</f>
        <v>480350</v>
      </c>
      <c r="B8982" s="3" t="s">
        <v>45916</v>
      </c>
      <c r="C8982" s="3" t="s">
        <v>31</v>
      </c>
      <c r="D8982" s="3" t="s">
        <v>32</v>
      </c>
      <c r="E8982" s="4" t="s">
        <v>22</v>
      </c>
      <c r="F8982" s="4" t="s">
        <v>45906</v>
      </c>
      <c r="G8982" s="4" t="s">
        <v>45907</v>
      </c>
      <c r="H8982" s="3" t="s">
        <v>44362</v>
      </c>
      <c r="I8982" s="3" t="s">
        <v>45908</v>
      </c>
      <c r="J8982" s="3" t="s">
        <v>45917</v>
      </c>
      <c r="K8982" s="3" t="s">
        <v>45918</v>
      </c>
      <c r="L8982" s="3" t="s">
        <v>45919</v>
      </c>
      <c r="M8982" s="4"/>
      <c r="N8982" s="3" t="s">
        <v>37</v>
      </c>
      <c r="O8982" s="3" t="s">
        <v>38</v>
      </c>
      <c r="P8982" s="5">
        <v>20</v>
      </c>
      <c r="Q8982" s="5">
        <v>412</v>
      </c>
      <c r="R8982" s="5">
        <v>20</v>
      </c>
      <c r="S8982" s="5">
        <v>429</v>
      </c>
    </row>
    <row r="8983" spans="1:19" ht="56" x14ac:dyDescent="0.15">
      <c r="A8983" s="2">
        <f>HYPERLINK("https://open-school.uspishnemisto.com.ua/school/480351/", 480351)</f>
        <v>480351</v>
      </c>
      <c r="B8983" s="3" t="s">
        <v>45920</v>
      </c>
      <c r="C8983" s="3" t="s">
        <v>54</v>
      </c>
      <c r="D8983" s="3" t="s">
        <v>175</v>
      </c>
      <c r="E8983" s="4" t="s">
        <v>22</v>
      </c>
      <c r="F8983" s="4" t="s">
        <v>45921</v>
      </c>
      <c r="G8983" s="4" t="s">
        <v>45922</v>
      </c>
      <c r="H8983" s="3" t="s">
        <v>44362</v>
      </c>
      <c r="I8983" s="3" t="s">
        <v>1889</v>
      </c>
      <c r="J8983" s="3" t="s">
        <v>45923</v>
      </c>
      <c r="K8983" s="3" t="s">
        <v>45924</v>
      </c>
      <c r="L8983" s="3"/>
      <c r="M8983" s="4"/>
      <c r="N8983" s="3" t="s">
        <v>37</v>
      </c>
      <c r="O8983" s="3" t="s">
        <v>38</v>
      </c>
      <c r="P8983" s="5">
        <v>3</v>
      </c>
      <c r="Q8983" s="5">
        <v>38</v>
      </c>
      <c r="R8983" s="5">
        <v>5</v>
      </c>
      <c r="S8983" s="5">
        <v>44</v>
      </c>
    </row>
    <row r="8984" spans="1:19" ht="28" x14ac:dyDescent="0.15">
      <c r="A8984" s="2">
        <f>HYPERLINK("https://open-school.uspishnemisto.com.ua/school/480352/", 480352)</f>
        <v>480352</v>
      </c>
      <c r="B8984" s="3" t="s">
        <v>45925</v>
      </c>
      <c r="C8984" s="3" t="s">
        <v>31</v>
      </c>
      <c r="D8984" s="3" t="s">
        <v>32</v>
      </c>
      <c r="E8984" s="4" t="s">
        <v>22</v>
      </c>
      <c r="F8984" s="4" t="s">
        <v>45926</v>
      </c>
      <c r="G8984" s="4" t="s">
        <v>45927</v>
      </c>
      <c r="H8984" s="3" t="s">
        <v>44362</v>
      </c>
      <c r="I8984" s="3" t="s">
        <v>45928</v>
      </c>
      <c r="J8984" s="3" t="s">
        <v>4747</v>
      </c>
      <c r="K8984" s="3" t="s">
        <v>45929</v>
      </c>
      <c r="L8984" s="3" t="s">
        <v>45930</v>
      </c>
      <c r="M8984" s="4"/>
      <c r="N8984" s="3" t="s">
        <v>37</v>
      </c>
      <c r="O8984" s="3" t="s">
        <v>38</v>
      </c>
      <c r="P8984" s="5">
        <v>10</v>
      </c>
      <c r="Q8984" s="5">
        <v>147</v>
      </c>
      <c r="R8984" s="5">
        <v>11</v>
      </c>
      <c r="S8984" s="5">
        <v>146</v>
      </c>
    </row>
    <row r="8985" spans="1:19" ht="28" x14ac:dyDescent="0.15">
      <c r="A8985" s="2">
        <f>HYPERLINK("https://open-school.uspishnemisto.com.ua/school/480353/", 480353)</f>
        <v>480353</v>
      </c>
      <c r="B8985" s="3" t="s">
        <v>45931</v>
      </c>
      <c r="C8985" s="3" t="s">
        <v>31</v>
      </c>
      <c r="D8985" s="3" t="s">
        <v>32</v>
      </c>
      <c r="E8985" s="4" t="s">
        <v>22</v>
      </c>
      <c r="F8985" s="4" t="s">
        <v>21323</v>
      </c>
      <c r="G8985" s="4" t="s">
        <v>45932</v>
      </c>
      <c r="H8985" s="3" t="s">
        <v>44362</v>
      </c>
      <c r="I8985" s="3" t="s">
        <v>45933</v>
      </c>
      <c r="J8985" s="3" t="s">
        <v>5145</v>
      </c>
      <c r="K8985" s="3" t="s">
        <v>45934</v>
      </c>
      <c r="L8985" s="3"/>
      <c r="M8985" s="4"/>
      <c r="N8985" s="3" t="s">
        <v>37</v>
      </c>
      <c r="O8985" s="3" t="s">
        <v>38</v>
      </c>
      <c r="P8985" s="5">
        <v>11</v>
      </c>
      <c r="Q8985" s="5">
        <v>194</v>
      </c>
      <c r="R8985" s="5">
        <v>11</v>
      </c>
      <c r="S8985" s="5">
        <v>187</v>
      </c>
    </row>
    <row r="8986" spans="1:19" ht="28" x14ac:dyDescent="0.15">
      <c r="A8986" s="2">
        <f>HYPERLINK("https://open-school.uspishnemisto.com.ua/school/480354/", 480354)</f>
        <v>480354</v>
      </c>
      <c r="B8986" s="3" t="s">
        <v>45935</v>
      </c>
      <c r="C8986" s="3" t="s">
        <v>31</v>
      </c>
      <c r="D8986" s="3" t="s">
        <v>32</v>
      </c>
      <c r="E8986" s="4" t="s">
        <v>22</v>
      </c>
      <c r="F8986" s="4" t="s">
        <v>45936</v>
      </c>
      <c r="G8986" s="4" t="s">
        <v>45937</v>
      </c>
      <c r="H8986" s="3" t="s">
        <v>44362</v>
      </c>
      <c r="I8986" s="3" t="s">
        <v>11119</v>
      </c>
      <c r="J8986" s="3" t="s">
        <v>873</v>
      </c>
      <c r="K8986" s="3" t="s">
        <v>45938</v>
      </c>
      <c r="L8986" s="3" t="s">
        <v>45939</v>
      </c>
      <c r="M8986" s="4"/>
      <c r="N8986" s="3" t="s">
        <v>37</v>
      </c>
      <c r="O8986" s="3" t="s">
        <v>38</v>
      </c>
      <c r="P8986" s="5">
        <v>9</v>
      </c>
      <c r="Q8986" s="5">
        <v>75</v>
      </c>
      <c r="R8986" s="5">
        <v>10</v>
      </c>
      <c r="S8986" s="5">
        <v>89</v>
      </c>
    </row>
    <row r="8987" spans="1:19" ht="56" x14ac:dyDescent="0.15">
      <c r="A8987" s="2">
        <f>HYPERLINK("https://open-school.uspishnemisto.com.ua/school/480355/", 480355)</f>
        <v>480355</v>
      </c>
      <c r="B8987" s="3" t="s">
        <v>45940</v>
      </c>
      <c r="C8987" s="3" t="s">
        <v>54</v>
      </c>
      <c r="D8987" s="3" t="s">
        <v>175</v>
      </c>
      <c r="E8987" s="4" t="s">
        <v>22</v>
      </c>
      <c r="F8987" s="4" t="s">
        <v>45830</v>
      </c>
      <c r="G8987" s="4" t="s">
        <v>45941</v>
      </c>
      <c r="H8987" s="3" t="s">
        <v>44362</v>
      </c>
      <c r="I8987" s="3" t="s">
        <v>2179</v>
      </c>
      <c r="J8987" s="3" t="s">
        <v>3363</v>
      </c>
      <c r="K8987" s="3" t="s">
        <v>45942</v>
      </c>
      <c r="L8987" s="3"/>
      <c r="M8987" s="4"/>
      <c r="N8987" s="3" t="s">
        <v>37</v>
      </c>
      <c r="O8987" s="3" t="s">
        <v>38</v>
      </c>
      <c r="P8987" s="5">
        <v>2</v>
      </c>
      <c r="Q8987" s="5">
        <v>28</v>
      </c>
      <c r="R8987" s="5">
        <v>5</v>
      </c>
      <c r="S8987" s="5">
        <v>37</v>
      </c>
    </row>
    <row r="8988" spans="1:19" ht="56" x14ac:dyDescent="0.15">
      <c r="A8988" s="2">
        <f>HYPERLINK("https://open-school.uspishnemisto.com.ua/school/480356/", 480356)</f>
        <v>480356</v>
      </c>
      <c r="B8988" s="3" t="s">
        <v>45943</v>
      </c>
      <c r="C8988" s="3" t="s">
        <v>54</v>
      </c>
      <c r="D8988" s="3" t="s">
        <v>175</v>
      </c>
      <c r="E8988" s="4" t="s">
        <v>22</v>
      </c>
      <c r="F8988" s="4" t="s">
        <v>45944</v>
      </c>
      <c r="G8988" s="4" t="s">
        <v>45945</v>
      </c>
      <c r="H8988" s="3" t="s">
        <v>44362</v>
      </c>
      <c r="I8988" s="3" t="s">
        <v>11292</v>
      </c>
      <c r="J8988" s="3" t="s">
        <v>4425</v>
      </c>
      <c r="K8988" s="3" t="s">
        <v>45946</v>
      </c>
      <c r="L8988" s="3"/>
      <c r="M8988" s="4"/>
      <c r="N8988" s="3" t="s">
        <v>37</v>
      </c>
      <c r="O8988" s="3" t="s">
        <v>52</v>
      </c>
      <c r="P8988" s="5">
        <v>8</v>
      </c>
      <c r="Q8988" s="5">
        <v>51</v>
      </c>
      <c r="R8988" s="5">
        <v>8</v>
      </c>
      <c r="S8988" s="5">
        <v>52</v>
      </c>
    </row>
    <row r="8989" spans="1:19" ht="42" x14ac:dyDescent="0.15">
      <c r="A8989" s="2">
        <f>HYPERLINK("https://open-school.uspishnemisto.com.ua/school/480357/", 480357)</f>
        <v>480357</v>
      </c>
      <c r="B8989" s="3" t="s">
        <v>45947</v>
      </c>
      <c r="C8989" s="3" t="s">
        <v>54</v>
      </c>
      <c r="D8989" s="3" t="s">
        <v>175</v>
      </c>
      <c r="E8989" s="4" t="s">
        <v>22</v>
      </c>
      <c r="F8989" s="4" t="s">
        <v>45830</v>
      </c>
      <c r="G8989" s="4" t="s">
        <v>45948</v>
      </c>
      <c r="H8989" s="3" t="s">
        <v>44362</v>
      </c>
      <c r="I8989" s="3" t="s">
        <v>5088</v>
      </c>
      <c r="J8989" s="3" t="s">
        <v>634</v>
      </c>
      <c r="K8989" s="3" t="s">
        <v>45949</v>
      </c>
      <c r="L8989" s="3"/>
      <c r="M8989" s="4"/>
      <c r="N8989" s="3"/>
      <c r="O8989" s="3"/>
      <c r="P8989" s="5">
        <v>0</v>
      </c>
      <c r="Q8989" s="5">
        <v>0</v>
      </c>
      <c r="R8989" s="5"/>
      <c r="S8989" s="5"/>
    </row>
    <row r="8990" spans="1:19" ht="42" x14ac:dyDescent="0.15">
      <c r="A8990" s="2">
        <f>HYPERLINK("https://open-school.uspishnemisto.com.ua/school/480358/", 480358)</f>
        <v>480358</v>
      </c>
      <c r="B8990" s="3" t="s">
        <v>45950</v>
      </c>
      <c r="C8990" s="3" t="s">
        <v>31</v>
      </c>
      <c r="D8990" s="3" t="s">
        <v>32</v>
      </c>
      <c r="E8990" s="4" t="s">
        <v>22</v>
      </c>
      <c r="F8990" s="4" t="s">
        <v>45951</v>
      </c>
      <c r="G8990" s="4" t="s">
        <v>45952</v>
      </c>
      <c r="H8990" s="3" t="s">
        <v>44362</v>
      </c>
      <c r="I8990" s="3" t="s">
        <v>45953</v>
      </c>
      <c r="J8990" s="3" t="s">
        <v>45954</v>
      </c>
      <c r="K8990" s="3" t="s">
        <v>45955</v>
      </c>
      <c r="L8990" s="3"/>
      <c r="M8990" s="4"/>
      <c r="N8990" s="3" t="s">
        <v>37</v>
      </c>
      <c r="O8990" s="3" t="s">
        <v>38</v>
      </c>
      <c r="P8990" s="5">
        <v>18</v>
      </c>
      <c r="Q8990" s="5">
        <v>332</v>
      </c>
      <c r="R8990" s="5">
        <v>17</v>
      </c>
      <c r="S8990" s="5">
        <v>328</v>
      </c>
    </row>
    <row r="8991" spans="1:19" ht="42" x14ac:dyDescent="0.15">
      <c r="A8991" s="2">
        <f>HYPERLINK("https://open-school.uspishnemisto.com.ua/school/480359/", 480359)</f>
        <v>480359</v>
      </c>
      <c r="B8991" s="3" t="s">
        <v>45956</v>
      </c>
      <c r="C8991" s="3" t="s">
        <v>31</v>
      </c>
      <c r="D8991" s="3" t="s">
        <v>32</v>
      </c>
      <c r="E8991" s="4" t="s">
        <v>22</v>
      </c>
      <c r="F8991" s="4" t="s">
        <v>45957</v>
      </c>
      <c r="G8991" s="4" t="s">
        <v>45958</v>
      </c>
      <c r="H8991" s="3" t="s">
        <v>44362</v>
      </c>
      <c r="I8991" s="3" t="s">
        <v>45959</v>
      </c>
      <c r="J8991" s="3" t="s">
        <v>45960</v>
      </c>
      <c r="K8991" s="3" t="s">
        <v>45961</v>
      </c>
      <c r="L8991" s="3" t="s">
        <v>45962</v>
      </c>
      <c r="M8991" s="4"/>
      <c r="N8991" s="3" t="s">
        <v>37</v>
      </c>
      <c r="O8991" s="3" t="s">
        <v>38</v>
      </c>
      <c r="P8991" s="5">
        <v>12</v>
      </c>
      <c r="Q8991" s="5">
        <v>243</v>
      </c>
      <c r="R8991" s="5">
        <v>11</v>
      </c>
      <c r="S8991" s="5">
        <v>241</v>
      </c>
    </row>
    <row r="8992" spans="1:19" ht="42" x14ac:dyDescent="0.15">
      <c r="A8992" s="2">
        <f>HYPERLINK("https://open-school.uspishnemisto.com.ua/school/480360/", 480360)</f>
        <v>480360</v>
      </c>
      <c r="B8992" s="3" t="s">
        <v>45963</v>
      </c>
      <c r="C8992" s="3" t="s">
        <v>31</v>
      </c>
      <c r="D8992" s="3" t="s">
        <v>32</v>
      </c>
      <c r="E8992" s="4" t="s">
        <v>22</v>
      </c>
      <c r="F8992" s="4" t="s">
        <v>45964</v>
      </c>
      <c r="G8992" s="4" t="s">
        <v>45965</v>
      </c>
      <c r="H8992" s="3" t="s">
        <v>44362</v>
      </c>
      <c r="I8992" s="3" t="s">
        <v>932</v>
      </c>
      <c r="J8992" s="3" t="s">
        <v>45966</v>
      </c>
      <c r="K8992" s="3" t="s">
        <v>45967</v>
      </c>
      <c r="L8992" s="3"/>
      <c r="M8992" s="4"/>
      <c r="N8992" s="3" t="s">
        <v>37</v>
      </c>
      <c r="O8992" s="3" t="s">
        <v>38</v>
      </c>
      <c r="P8992" s="5">
        <v>10</v>
      </c>
      <c r="Q8992" s="5">
        <v>150</v>
      </c>
      <c r="R8992" s="5">
        <v>10</v>
      </c>
      <c r="S8992" s="5">
        <v>155</v>
      </c>
    </row>
    <row r="8993" spans="1:19" ht="42" x14ac:dyDescent="0.15">
      <c r="A8993" s="2">
        <f>HYPERLINK("https://open-school.uspishnemisto.com.ua/school/480361/", 480361)</f>
        <v>480361</v>
      </c>
      <c r="B8993" s="3" t="s">
        <v>45968</v>
      </c>
      <c r="C8993" s="3" t="s">
        <v>31</v>
      </c>
      <c r="D8993" s="3" t="s">
        <v>32</v>
      </c>
      <c r="E8993" s="4" t="s">
        <v>22</v>
      </c>
      <c r="F8993" s="4" t="s">
        <v>45969</v>
      </c>
      <c r="G8993" s="4" t="s">
        <v>45970</v>
      </c>
      <c r="H8993" s="3" t="s">
        <v>44362</v>
      </c>
      <c r="I8993" s="3" t="s">
        <v>10789</v>
      </c>
      <c r="J8993" s="3" t="s">
        <v>1360</v>
      </c>
      <c r="K8993" s="3" t="s">
        <v>45971</v>
      </c>
      <c r="L8993" s="3" t="s">
        <v>45972</v>
      </c>
      <c r="M8993" s="4"/>
      <c r="N8993" s="3" t="s">
        <v>37</v>
      </c>
      <c r="O8993" s="3" t="s">
        <v>38</v>
      </c>
      <c r="P8993" s="5">
        <v>11</v>
      </c>
      <c r="Q8993" s="5">
        <v>151</v>
      </c>
      <c r="R8993" s="5">
        <v>11</v>
      </c>
      <c r="S8993" s="5">
        <v>150</v>
      </c>
    </row>
    <row r="8994" spans="1:19" ht="42" x14ac:dyDescent="0.15">
      <c r="A8994" s="2">
        <f>HYPERLINK("https://open-school.uspishnemisto.com.ua/school/480362/", 480362)</f>
        <v>480362</v>
      </c>
      <c r="B8994" s="3" t="s">
        <v>45973</v>
      </c>
      <c r="C8994" s="3" t="s">
        <v>31</v>
      </c>
      <c r="D8994" s="3" t="s">
        <v>32</v>
      </c>
      <c r="E8994" s="4" t="s">
        <v>22</v>
      </c>
      <c r="F8994" s="4" t="s">
        <v>45974</v>
      </c>
      <c r="G8994" s="4" t="s">
        <v>45975</v>
      </c>
      <c r="H8994" s="3" t="s">
        <v>44362</v>
      </c>
      <c r="I8994" s="3" t="s">
        <v>11064</v>
      </c>
      <c r="J8994" s="3" t="s">
        <v>1576</v>
      </c>
      <c r="K8994" s="3" t="s">
        <v>45976</v>
      </c>
      <c r="L8994" s="3" t="s">
        <v>45977</v>
      </c>
      <c r="M8994" s="4"/>
      <c r="N8994" s="3" t="s">
        <v>37</v>
      </c>
      <c r="O8994" s="3" t="s">
        <v>38</v>
      </c>
      <c r="P8994" s="5">
        <v>15</v>
      </c>
      <c r="Q8994" s="5">
        <v>274</v>
      </c>
      <c r="R8994" s="5">
        <v>17</v>
      </c>
      <c r="S8994" s="5">
        <v>301</v>
      </c>
    </row>
    <row r="8995" spans="1:19" ht="28" x14ac:dyDescent="0.15">
      <c r="A8995" s="2">
        <f>HYPERLINK("https://open-school.uspishnemisto.com.ua/school/480363/", 480363)</f>
        <v>480363</v>
      </c>
      <c r="B8995" s="3" t="s">
        <v>45978</v>
      </c>
      <c r="C8995" s="3" t="s">
        <v>293</v>
      </c>
      <c r="D8995" s="3" t="s">
        <v>175</v>
      </c>
      <c r="E8995" s="4" t="s">
        <v>22</v>
      </c>
      <c r="F8995" s="4" t="s">
        <v>45974</v>
      </c>
      <c r="G8995" s="4" t="s">
        <v>45975</v>
      </c>
      <c r="H8995" s="3" t="s">
        <v>44362</v>
      </c>
      <c r="I8995" s="3" t="s">
        <v>11064</v>
      </c>
      <c r="J8995" s="3" t="s">
        <v>1348</v>
      </c>
      <c r="K8995" s="3" t="s">
        <v>45979</v>
      </c>
      <c r="L8995" s="3"/>
      <c r="M8995" s="4" t="s">
        <v>45980</v>
      </c>
      <c r="N8995" s="3" t="s">
        <v>37</v>
      </c>
      <c r="O8995" s="3" t="s">
        <v>52</v>
      </c>
      <c r="P8995" s="5">
        <v>9</v>
      </c>
      <c r="Q8995" s="5">
        <v>126</v>
      </c>
      <c r="R8995" s="5">
        <v>9</v>
      </c>
      <c r="S8995" s="5">
        <v>140</v>
      </c>
    </row>
    <row r="8996" spans="1:19" ht="42" x14ac:dyDescent="0.15">
      <c r="A8996" s="2">
        <f>HYPERLINK("https://open-school.uspishnemisto.com.ua/school/480364/", 480364)</f>
        <v>480364</v>
      </c>
      <c r="B8996" s="3" t="s">
        <v>45981</v>
      </c>
      <c r="C8996" s="3" t="s">
        <v>31</v>
      </c>
      <c r="D8996" s="3" t="s">
        <v>32</v>
      </c>
      <c r="E8996" s="4" t="s">
        <v>22</v>
      </c>
      <c r="F8996" s="4" t="s">
        <v>45982</v>
      </c>
      <c r="G8996" s="4" t="s">
        <v>45983</v>
      </c>
      <c r="H8996" s="3" t="s">
        <v>44362</v>
      </c>
      <c r="I8996" s="3" t="s">
        <v>45984</v>
      </c>
      <c r="J8996" s="3" t="s">
        <v>45985</v>
      </c>
      <c r="K8996" s="3" t="s">
        <v>45986</v>
      </c>
      <c r="L8996" s="3"/>
      <c r="M8996" s="4"/>
      <c r="N8996" s="3" t="s">
        <v>37</v>
      </c>
      <c r="O8996" s="3" t="s">
        <v>38</v>
      </c>
      <c r="P8996" s="5">
        <v>6</v>
      </c>
      <c r="Q8996" s="5">
        <v>52</v>
      </c>
      <c r="R8996" s="5">
        <v>6</v>
      </c>
      <c r="S8996" s="5">
        <v>55</v>
      </c>
    </row>
    <row r="8997" spans="1:19" ht="42" x14ac:dyDescent="0.15">
      <c r="A8997" s="2">
        <f>HYPERLINK("https://open-school.uspishnemisto.com.ua/school/480365/", 480365)</f>
        <v>480365</v>
      </c>
      <c r="B8997" s="3" t="s">
        <v>45987</v>
      </c>
      <c r="C8997" s="3" t="s">
        <v>31</v>
      </c>
      <c r="D8997" s="3" t="s">
        <v>175</v>
      </c>
      <c r="E8997" s="4" t="s">
        <v>22</v>
      </c>
      <c r="F8997" s="4" t="s">
        <v>45988</v>
      </c>
      <c r="G8997" s="4" t="s">
        <v>45989</v>
      </c>
      <c r="H8997" s="3" t="s">
        <v>44362</v>
      </c>
      <c r="I8997" s="3" t="s">
        <v>11056</v>
      </c>
      <c r="J8997" s="3" t="s">
        <v>4419</v>
      </c>
      <c r="K8997" s="3" t="s">
        <v>45990</v>
      </c>
      <c r="L8997" s="3"/>
      <c r="M8997" s="4"/>
      <c r="N8997" s="3" t="s">
        <v>37</v>
      </c>
      <c r="O8997" s="3" t="s">
        <v>52</v>
      </c>
      <c r="P8997" s="5">
        <v>5</v>
      </c>
      <c r="Q8997" s="5">
        <v>32</v>
      </c>
      <c r="R8997" s="5">
        <v>4</v>
      </c>
      <c r="S8997" s="5">
        <v>27</v>
      </c>
    </row>
    <row r="8998" spans="1:19" ht="28" x14ac:dyDescent="0.15">
      <c r="A8998" s="2">
        <f>HYPERLINK("https://open-school.uspishnemisto.com.ua/school/480366/", 480366)</f>
        <v>480366</v>
      </c>
      <c r="B8998" s="3" t="s">
        <v>45991</v>
      </c>
      <c r="C8998" s="3" t="s">
        <v>40</v>
      </c>
      <c r="D8998" s="3" t="s">
        <v>32</v>
      </c>
      <c r="E8998" s="4" t="s">
        <v>22</v>
      </c>
      <c r="F8998" s="4" t="s">
        <v>45992</v>
      </c>
      <c r="G8998" s="4" t="s">
        <v>45993</v>
      </c>
      <c r="H8998" s="3" t="s">
        <v>44362</v>
      </c>
      <c r="I8998" s="3" t="s">
        <v>45994</v>
      </c>
      <c r="J8998" s="3" t="s">
        <v>7581</v>
      </c>
      <c r="K8998" s="3" t="s">
        <v>45995</v>
      </c>
      <c r="L8998" s="3" t="s">
        <v>45996</v>
      </c>
      <c r="M8998" s="4"/>
      <c r="N8998" s="3" t="s">
        <v>37</v>
      </c>
      <c r="O8998" s="3" t="s">
        <v>46</v>
      </c>
      <c r="P8998" s="5">
        <v>7</v>
      </c>
      <c r="Q8998" s="5">
        <v>128</v>
      </c>
      <c r="R8998" s="5">
        <v>7</v>
      </c>
      <c r="S8998" s="5">
        <v>127</v>
      </c>
    </row>
    <row r="8999" spans="1:19" ht="28" x14ac:dyDescent="0.15">
      <c r="A8999" s="2">
        <f>HYPERLINK("https://open-school.uspishnemisto.com.ua/school/480367/", 480367)</f>
        <v>480367</v>
      </c>
      <c r="B8999" s="3" t="s">
        <v>45997</v>
      </c>
      <c r="C8999" s="3" t="s">
        <v>31</v>
      </c>
      <c r="D8999" s="3" t="s">
        <v>32</v>
      </c>
      <c r="E8999" s="4" t="s">
        <v>22</v>
      </c>
      <c r="F8999" s="4" t="s">
        <v>45998</v>
      </c>
      <c r="G8999" s="4" t="s">
        <v>45993</v>
      </c>
      <c r="H8999" s="3" t="s">
        <v>44362</v>
      </c>
      <c r="I8999" s="3" t="s">
        <v>45994</v>
      </c>
      <c r="J8999" s="3" t="s">
        <v>45999</v>
      </c>
      <c r="K8999" s="3" t="s">
        <v>46000</v>
      </c>
      <c r="L8999" s="3" t="s">
        <v>46001</v>
      </c>
      <c r="M8999" s="4"/>
      <c r="N8999" s="3" t="s">
        <v>37</v>
      </c>
      <c r="O8999" s="3" t="s">
        <v>70</v>
      </c>
      <c r="P8999" s="5">
        <v>20</v>
      </c>
      <c r="Q8999" s="5">
        <v>445</v>
      </c>
      <c r="R8999" s="5">
        <v>19</v>
      </c>
      <c r="S8999" s="5">
        <v>428</v>
      </c>
    </row>
    <row r="9000" spans="1:19" ht="28" x14ac:dyDescent="0.15">
      <c r="A9000" s="2">
        <f>HYPERLINK("https://open-school.uspishnemisto.com.ua/school/480368/", 480368)</f>
        <v>480368</v>
      </c>
      <c r="B9000" s="3" t="s">
        <v>46002</v>
      </c>
      <c r="C9000" s="3" t="s">
        <v>31</v>
      </c>
      <c r="D9000" s="3" t="s">
        <v>32</v>
      </c>
      <c r="E9000" s="4" t="s">
        <v>22</v>
      </c>
      <c r="F9000" s="4" t="s">
        <v>45992</v>
      </c>
      <c r="G9000" s="4" t="s">
        <v>45993</v>
      </c>
      <c r="H9000" s="3" t="s">
        <v>44362</v>
      </c>
      <c r="I9000" s="3" t="s">
        <v>45994</v>
      </c>
      <c r="J9000" s="3" t="s">
        <v>46003</v>
      </c>
      <c r="K9000" s="3" t="s">
        <v>46004</v>
      </c>
      <c r="L9000" s="3" t="s">
        <v>46005</v>
      </c>
      <c r="M9000" s="4"/>
      <c r="N9000" s="3" t="s">
        <v>37</v>
      </c>
      <c r="O9000" s="3" t="s">
        <v>38</v>
      </c>
      <c r="P9000" s="5">
        <v>11</v>
      </c>
      <c r="Q9000" s="5">
        <v>173</v>
      </c>
      <c r="R9000" s="5">
        <v>10</v>
      </c>
      <c r="S9000" s="5">
        <v>162</v>
      </c>
    </row>
    <row r="9001" spans="1:19" ht="28" x14ac:dyDescent="0.15">
      <c r="A9001" s="2">
        <f>HYPERLINK("https://open-school.uspishnemisto.com.ua/school/480369/", 480369)</f>
        <v>480369</v>
      </c>
      <c r="B9001" s="3" t="s">
        <v>46006</v>
      </c>
      <c r="C9001" s="3" t="s">
        <v>31</v>
      </c>
      <c r="D9001" s="3" t="s">
        <v>32</v>
      </c>
      <c r="E9001" s="4" t="s">
        <v>22</v>
      </c>
      <c r="F9001" s="4" t="s">
        <v>45992</v>
      </c>
      <c r="G9001" s="4" t="s">
        <v>45993</v>
      </c>
      <c r="H9001" s="3" t="s">
        <v>44362</v>
      </c>
      <c r="I9001" s="3" t="s">
        <v>45994</v>
      </c>
      <c r="J9001" s="3" t="s">
        <v>46007</v>
      </c>
      <c r="K9001" s="3" t="s">
        <v>46008</v>
      </c>
      <c r="L9001" s="3" t="s">
        <v>46009</v>
      </c>
      <c r="M9001" s="4"/>
      <c r="N9001" s="3" t="s">
        <v>37</v>
      </c>
      <c r="O9001" s="3" t="s">
        <v>38</v>
      </c>
      <c r="P9001" s="5">
        <v>11</v>
      </c>
      <c r="Q9001" s="5">
        <v>148</v>
      </c>
      <c r="R9001" s="5">
        <v>11</v>
      </c>
      <c r="S9001" s="5">
        <v>156</v>
      </c>
    </row>
    <row r="9002" spans="1:19" ht="28" x14ac:dyDescent="0.15">
      <c r="A9002" s="2">
        <f>HYPERLINK("https://open-school.uspishnemisto.com.ua/school/480370/", 480370)</f>
        <v>480370</v>
      </c>
      <c r="B9002" s="3" t="s">
        <v>46010</v>
      </c>
      <c r="C9002" s="3" t="s">
        <v>31</v>
      </c>
      <c r="D9002" s="3" t="s">
        <v>175</v>
      </c>
      <c r="E9002" s="4" t="s">
        <v>22</v>
      </c>
      <c r="F9002" s="4" t="s">
        <v>46011</v>
      </c>
      <c r="G9002" s="4" t="s">
        <v>46012</v>
      </c>
      <c r="H9002" s="3" t="s">
        <v>44362</v>
      </c>
      <c r="I9002" s="3" t="s">
        <v>10993</v>
      </c>
      <c r="J9002" s="3" t="s">
        <v>46013</v>
      </c>
      <c r="K9002" s="3" t="s">
        <v>46014</v>
      </c>
      <c r="L9002" s="3" t="s">
        <v>46015</v>
      </c>
      <c r="M9002" s="4"/>
      <c r="N9002" s="3" t="s">
        <v>37</v>
      </c>
      <c r="O9002" s="3" t="s">
        <v>52</v>
      </c>
      <c r="P9002" s="5">
        <v>7</v>
      </c>
      <c r="Q9002" s="5">
        <v>56</v>
      </c>
      <c r="R9002" s="5">
        <v>7</v>
      </c>
      <c r="S9002" s="5">
        <v>60</v>
      </c>
    </row>
    <row r="9003" spans="1:19" ht="28" x14ac:dyDescent="0.15">
      <c r="A9003" s="2">
        <f>HYPERLINK("https://open-school.uspishnemisto.com.ua/school/480371/", 480371)</f>
        <v>480371</v>
      </c>
      <c r="B9003" s="3" t="s">
        <v>46016</v>
      </c>
      <c r="C9003" s="3" t="s">
        <v>31</v>
      </c>
      <c r="D9003" s="3" t="s">
        <v>175</v>
      </c>
      <c r="E9003" s="4" t="s">
        <v>22</v>
      </c>
      <c r="F9003" s="4" t="s">
        <v>46017</v>
      </c>
      <c r="G9003" s="4" t="s">
        <v>46018</v>
      </c>
      <c r="H9003" s="3" t="s">
        <v>44362</v>
      </c>
      <c r="I9003" s="3" t="s">
        <v>46019</v>
      </c>
      <c r="J9003" s="3" t="s">
        <v>466</v>
      </c>
      <c r="K9003" s="3" t="s">
        <v>46020</v>
      </c>
      <c r="L9003" s="3"/>
      <c r="M9003" s="4"/>
      <c r="N9003" s="3" t="s">
        <v>37</v>
      </c>
      <c r="O9003" s="3" t="s">
        <v>38</v>
      </c>
      <c r="P9003" s="5">
        <v>9</v>
      </c>
      <c r="Q9003" s="5">
        <v>70</v>
      </c>
      <c r="R9003" s="5">
        <v>9</v>
      </c>
      <c r="S9003" s="5">
        <v>70</v>
      </c>
    </row>
    <row r="9004" spans="1:19" ht="28" x14ac:dyDescent="0.15">
      <c r="A9004" s="2">
        <f>HYPERLINK("https://open-school.uspishnemisto.com.ua/school/480372/", 480372)</f>
        <v>480372</v>
      </c>
      <c r="B9004" s="3" t="s">
        <v>46021</v>
      </c>
      <c r="C9004" s="3" t="s">
        <v>293</v>
      </c>
      <c r="D9004" s="3" t="s">
        <v>32</v>
      </c>
      <c r="E9004" s="4" t="s">
        <v>22</v>
      </c>
      <c r="F9004" s="4" t="s">
        <v>46022</v>
      </c>
      <c r="G9004" s="4" t="s">
        <v>46023</v>
      </c>
      <c r="H9004" s="3" t="s">
        <v>44362</v>
      </c>
      <c r="I9004" s="3" t="s">
        <v>10816</v>
      </c>
      <c r="J9004" s="3" t="s">
        <v>466</v>
      </c>
      <c r="K9004" s="3" t="s">
        <v>46024</v>
      </c>
      <c r="L9004" s="3" t="s">
        <v>46025</v>
      </c>
      <c r="M9004" s="4" t="s">
        <v>46026</v>
      </c>
      <c r="N9004" s="3" t="s">
        <v>37</v>
      </c>
      <c r="O9004" s="3" t="s">
        <v>38</v>
      </c>
      <c r="P9004" s="5">
        <v>9</v>
      </c>
      <c r="Q9004" s="5">
        <v>93</v>
      </c>
      <c r="R9004" s="5">
        <v>9</v>
      </c>
      <c r="S9004" s="5">
        <v>98</v>
      </c>
    </row>
    <row r="9005" spans="1:19" ht="28" x14ac:dyDescent="0.15">
      <c r="A9005" s="2">
        <f>HYPERLINK("https://open-school.uspishnemisto.com.ua/school/480373/", 480373)</f>
        <v>480373</v>
      </c>
      <c r="B9005" s="3" t="s">
        <v>46027</v>
      </c>
      <c r="C9005" s="3" t="s">
        <v>31</v>
      </c>
      <c r="D9005" s="3" t="s">
        <v>32</v>
      </c>
      <c r="E9005" s="4" t="s">
        <v>22</v>
      </c>
      <c r="F9005" s="4" t="s">
        <v>46022</v>
      </c>
      <c r="G9005" s="4" t="s">
        <v>46023</v>
      </c>
      <c r="H9005" s="3" t="s">
        <v>44362</v>
      </c>
      <c r="I9005" s="3" t="s">
        <v>10816</v>
      </c>
      <c r="J9005" s="3" t="s">
        <v>46028</v>
      </c>
      <c r="K9005" s="3" t="s">
        <v>46029</v>
      </c>
      <c r="L9005" s="3" t="s">
        <v>46030</v>
      </c>
      <c r="M9005" s="4"/>
      <c r="N9005" s="3" t="s">
        <v>37</v>
      </c>
      <c r="O9005" s="3" t="s">
        <v>52</v>
      </c>
      <c r="P9005" s="5">
        <v>11</v>
      </c>
      <c r="Q9005" s="5">
        <v>195</v>
      </c>
      <c r="R9005" s="5">
        <v>11</v>
      </c>
      <c r="S9005" s="5">
        <v>202</v>
      </c>
    </row>
    <row r="9006" spans="1:19" ht="28" x14ac:dyDescent="0.15">
      <c r="A9006" s="2">
        <f>HYPERLINK("https://open-school.uspishnemisto.com.ua/school/480374/", 480374)</f>
        <v>480374</v>
      </c>
      <c r="B9006" s="3" t="s">
        <v>46031</v>
      </c>
      <c r="C9006" s="3" t="s">
        <v>31</v>
      </c>
      <c r="D9006" s="3" t="s">
        <v>175</v>
      </c>
      <c r="E9006" s="4" t="s">
        <v>22</v>
      </c>
      <c r="F9006" s="4" t="s">
        <v>46032</v>
      </c>
      <c r="G9006" s="4" t="s">
        <v>46033</v>
      </c>
      <c r="H9006" s="3" t="s">
        <v>44362</v>
      </c>
      <c r="I9006" s="3" t="s">
        <v>46034</v>
      </c>
      <c r="J9006" s="3" t="s">
        <v>466</v>
      </c>
      <c r="K9006" s="3" t="s">
        <v>46035</v>
      </c>
      <c r="L9006" s="3"/>
      <c r="M9006" s="4"/>
      <c r="N9006" s="3" t="s">
        <v>37</v>
      </c>
      <c r="O9006" s="3" t="s">
        <v>52</v>
      </c>
      <c r="P9006" s="5">
        <v>5</v>
      </c>
      <c r="Q9006" s="5">
        <v>48</v>
      </c>
      <c r="R9006" s="5">
        <v>7</v>
      </c>
      <c r="S9006" s="5">
        <v>65</v>
      </c>
    </row>
    <row r="9007" spans="1:19" ht="28" x14ac:dyDescent="0.15">
      <c r="A9007" s="2">
        <f>HYPERLINK("https://open-school.uspishnemisto.com.ua/school/480375/", 480375)</f>
        <v>480375</v>
      </c>
      <c r="B9007" s="3" t="s">
        <v>46036</v>
      </c>
      <c r="C9007" s="3" t="s">
        <v>31</v>
      </c>
      <c r="D9007" s="3" t="s">
        <v>32</v>
      </c>
      <c r="E9007" s="4" t="s">
        <v>22</v>
      </c>
      <c r="F9007" s="4" t="s">
        <v>46037</v>
      </c>
      <c r="G9007" s="4" t="s">
        <v>46038</v>
      </c>
      <c r="H9007" s="3" t="s">
        <v>44362</v>
      </c>
      <c r="I9007" s="3" t="s">
        <v>688</v>
      </c>
      <c r="J9007" s="3" t="s">
        <v>4822</v>
      </c>
      <c r="K9007" s="3" t="s">
        <v>46039</v>
      </c>
      <c r="L9007" s="3" t="s">
        <v>46040</v>
      </c>
      <c r="M9007" s="4"/>
      <c r="N9007" s="3" t="s">
        <v>37</v>
      </c>
      <c r="O9007" s="3" t="s">
        <v>38</v>
      </c>
      <c r="P9007" s="5">
        <v>7</v>
      </c>
      <c r="Q9007" s="5">
        <v>60</v>
      </c>
      <c r="R9007" s="5">
        <v>8</v>
      </c>
      <c r="S9007" s="5">
        <v>63</v>
      </c>
    </row>
    <row r="9008" spans="1:19" ht="28" x14ac:dyDescent="0.15">
      <c r="A9008" s="2">
        <f>HYPERLINK("https://open-school.uspishnemisto.com.ua/school/480376/", 480376)</f>
        <v>480376</v>
      </c>
      <c r="B9008" s="3" t="s">
        <v>46041</v>
      </c>
      <c r="C9008" s="3" t="s">
        <v>31</v>
      </c>
      <c r="D9008" s="3" t="s">
        <v>32</v>
      </c>
      <c r="E9008" s="4" t="s">
        <v>22</v>
      </c>
      <c r="F9008" s="4" t="s">
        <v>46042</v>
      </c>
      <c r="G9008" s="4" t="s">
        <v>46043</v>
      </c>
      <c r="H9008" s="3" t="s">
        <v>44362</v>
      </c>
      <c r="I9008" s="3" t="s">
        <v>24573</v>
      </c>
      <c r="J9008" s="3" t="s">
        <v>1636</v>
      </c>
      <c r="K9008" s="3" t="s">
        <v>46044</v>
      </c>
      <c r="L9008" s="3"/>
      <c r="M9008" s="4"/>
      <c r="N9008" s="3" t="s">
        <v>37</v>
      </c>
      <c r="O9008" s="3" t="s">
        <v>52</v>
      </c>
      <c r="P9008" s="5">
        <v>11</v>
      </c>
      <c r="Q9008" s="5">
        <v>123</v>
      </c>
      <c r="R9008" s="5">
        <v>11</v>
      </c>
      <c r="S9008" s="5">
        <v>122</v>
      </c>
    </row>
    <row r="9009" spans="1:19" ht="28" x14ac:dyDescent="0.15">
      <c r="A9009" s="2">
        <f>HYPERLINK("https://open-school.uspishnemisto.com.ua/school/480377/", 480377)</f>
        <v>480377</v>
      </c>
      <c r="B9009" s="3" t="s">
        <v>46045</v>
      </c>
      <c r="C9009" s="3" t="s">
        <v>31</v>
      </c>
      <c r="D9009" s="3" t="s">
        <v>175</v>
      </c>
      <c r="E9009" s="4" t="s">
        <v>22</v>
      </c>
      <c r="F9009" s="4" t="s">
        <v>46046</v>
      </c>
      <c r="G9009" s="4" t="s">
        <v>46047</v>
      </c>
      <c r="H9009" s="3" t="s">
        <v>44362</v>
      </c>
      <c r="I9009" s="3" t="s">
        <v>1740</v>
      </c>
      <c r="J9009" s="3" t="s">
        <v>46048</v>
      </c>
      <c r="K9009" s="3" t="s">
        <v>46049</v>
      </c>
      <c r="L9009" s="3" t="s">
        <v>46050</v>
      </c>
      <c r="M9009" s="4"/>
      <c r="N9009" s="3" t="s">
        <v>37</v>
      </c>
      <c r="O9009" s="3" t="s">
        <v>52</v>
      </c>
      <c r="P9009" s="5">
        <v>8</v>
      </c>
      <c r="Q9009" s="5">
        <v>69</v>
      </c>
      <c r="R9009" s="5">
        <v>8</v>
      </c>
      <c r="S9009" s="5">
        <v>66</v>
      </c>
    </row>
    <row r="9010" spans="1:19" ht="28" x14ac:dyDescent="0.15">
      <c r="A9010" s="2">
        <f>HYPERLINK("https://open-school.uspishnemisto.com.ua/school/480378/", 480378)</f>
        <v>480378</v>
      </c>
      <c r="B9010" s="3" t="s">
        <v>46051</v>
      </c>
      <c r="C9010" s="3" t="s">
        <v>31</v>
      </c>
      <c r="D9010" s="3" t="s">
        <v>32</v>
      </c>
      <c r="E9010" s="4" t="s">
        <v>22</v>
      </c>
      <c r="F9010" s="4" t="s">
        <v>46052</v>
      </c>
      <c r="G9010" s="4" t="s">
        <v>46053</v>
      </c>
      <c r="H9010" s="3" t="s">
        <v>44362</v>
      </c>
      <c r="I9010" s="3" t="s">
        <v>46054</v>
      </c>
      <c r="J9010" s="3" t="s">
        <v>8164</v>
      </c>
      <c r="K9010" s="3" t="s">
        <v>46055</v>
      </c>
      <c r="L9010" s="3" t="s">
        <v>46056</v>
      </c>
      <c r="M9010" s="4"/>
      <c r="N9010" s="3" t="s">
        <v>37</v>
      </c>
      <c r="O9010" s="3" t="s">
        <v>52</v>
      </c>
      <c r="P9010" s="5">
        <v>9</v>
      </c>
      <c r="Q9010" s="5">
        <v>62</v>
      </c>
      <c r="R9010" s="5">
        <v>9</v>
      </c>
      <c r="S9010" s="5">
        <v>71</v>
      </c>
    </row>
    <row r="9011" spans="1:19" ht="28" x14ac:dyDescent="0.15">
      <c r="A9011" s="2">
        <f>HYPERLINK("https://open-school.uspishnemisto.com.ua/school/480379/", 480379)</f>
        <v>480379</v>
      </c>
      <c r="B9011" s="3" t="s">
        <v>46057</v>
      </c>
      <c r="C9011" s="3" t="s">
        <v>31</v>
      </c>
      <c r="D9011" s="3" t="s">
        <v>32</v>
      </c>
      <c r="E9011" s="4" t="s">
        <v>22</v>
      </c>
      <c r="F9011" s="4" t="s">
        <v>46058</v>
      </c>
      <c r="G9011" s="4" t="s">
        <v>46059</v>
      </c>
      <c r="H9011" s="3" t="s">
        <v>44362</v>
      </c>
      <c r="I9011" s="3" t="s">
        <v>46060</v>
      </c>
      <c r="J9011" s="3" t="s">
        <v>1348</v>
      </c>
      <c r="K9011" s="3" t="s">
        <v>46061</v>
      </c>
      <c r="L9011" s="3" t="s">
        <v>46062</v>
      </c>
      <c r="M9011" s="4"/>
      <c r="N9011" s="3" t="s">
        <v>37</v>
      </c>
      <c r="O9011" s="3" t="s">
        <v>52</v>
      </c>
      <c r="P9011" s="5">
        <v>9</v>
      </c>
      <c r="Q9011" s="5">
        <v>59</v>
      </c>
      <c r="R9011" s="5">
        <v>8</v>
      </c>
      <c r="S9011" s="5">
        <v>57</v>
      </c>
    </row>
    <row r="9012" spans="1:19" ht="28" x14ac:dyDescent="0.15">
      <c r="A9012" s="2">
        <f>HYPERLINK("https://open-school.uspishnemisto.com.ua/school/480380/", 480380)</f>
        <v>480380</v>
      </c>
      <c r="B9012" s="3" t="s">
        <v>46063</v>
      </c>
      <c r="C9012" s="3" t="s">
        <v>31</v>
      </c>
      <c r="D9012" s="3" t="s">
        <v>175</v>
      </c>
      <c r="E9012" s="4" t="s">
        <v>22</v>
      </c>
      <c r="F9012" s="4" t="s">
        <v>46064</v>
      </c>
      <c r="G9012" s="4" t="s">
        <v>46065</v>
      </c>
      <c r="H9012" s="3" t="s">
        <v>44362</v>
      </c>
      <c r="I9012" s="3" t="s">
        <v>26243</v>
      </c>
      <c r="J9012" s="3" t="s">
        <v>1857</v>
      </c>
      <c r="K9012" s="3" t="s">
        <v>46066</v>
      </c>
      <c r="L9012" s="3"/>
      <c r="M9012" s="4"/>
      <c r="N9012" s="3" t="s">
        <v>37</v>
      </c>
      <c r="O9012" s="3" t="s">
        <v>52</v>
      </c>
      <c r="P9012" s="5">
        <v>6</v>
      </c>
      <c r="Q9012" s="5">
        <v>58</v>
      </c>
      <c r="R9012" s="5">
        <v>6</v>
      </c>
      <c r="S9012" s="5">
        <v>61</v>
      </c>
    </row>
    <row r="9013" spans="1:19" ht="28" x14ac:dyDescent="0.15">
      <c r="A9013" s="2">
        <f>HYPERLINK("https://open-school.uspishnemisto.com.ua/school/480381/", 480381)</f>
        <v>480381</v>
      </c>
      <c r="B9013" s="3" t="s">
        <v>46067</v>
      </c>
      <c r="C9013" s="3" t="s">
        <v>31</v>
      </c>
      <c r="D9013" s="3" t="s">
        <v>32</v>
      </c>
      <c r="E9013" s="4" t="s">
        <v>22</v>
      </c>
      <c r="F9013" s="4" t="s">
        <v>46068</v>
      </c>
      <c r="G9013" s="4" t="s">
        <v>46069</v>
      </c>
      <c r="H9013" s="3" t="s">
        <v>44362</v>
      </c>
      <c r="I9013" s="3" t="s">
        <v>46070</v>
      </c>
      <c r="J9013" s="3" t="s">
        <v>37859</v>
      </c>
      <c r="K9013" s="3" t="s">
        <v>46071</v>
      </c>
      <c r="L9013" s="3" t="s">
        <v>46072</v>
      </c>
      <c r="M9013" s="4"/>
      <c r="N9013" s="3" t="s">
        <v>128</v>
      </c>
      <c r="O9013" s="3" t="s">
        <v>52</v>
      </c>
      <c r="P9013" s="5">
        <v>10</v>
      </c>
      <c r="Q9013" s="5">
        <v>118</v>
      </c>
      <c r="R9013" s="5">
        <v>9</v>
      </c>
      <c r="S9013" s="5">
        <v>114</v>
      </c>
    </row>
    <row r="9014" spans="1:19" ht="28" x14ac:dyDescent="0.15">
      <c r="A9014" s="2">
        <f>HYPERLINK("https://open-school.uspishnemisto.com.ua/school/480382/", 480382)</f>
        <v>480382</v>
      </c>
      <c r="B9014" s="3" t="s">
        <v>46073</v>
      </c>
      <c r="C9014" s="3" t="s">
        <v>31</v>
      </c>
      <c r="D9014" s="3" t="s">
        <v>60</v>
      </c>
      <c r="E9014" s="4" t="s">
        <v>22</v>
      </c>
      <c r="F9014" s="4" t="s">
        <v>46074</v>
      </c>
      <c r="G9014" s="4" t="s">
        <v>46075</v>
      </c>
      <c r="H9014" s="3" t="s">
        <v>44362</v>
      </c>
      <c r="I9014" s="3" t="s">
        <v>46076</v>
      </c>
      <c r="J9014" s="3" t="s">
        <v>46077</v>
      </c>
      <c r="K9014" s="3" t="s">
        <v>46078</v>
      </c>
      <c r="L9014" s="3"/>
      <c r="M9014" s="4"/>
      <c r="N9014" s="3" t="s">
        <v>37</v>
      </c>
      <c r="O9014" s="3" t="s">
        <v>52</v>
      </c>
      <c r="P9014" s="5">
        <v>4</v>
      </c>
      <c r="Q9014" s="5">
        <v>61</v>
      </c>
      <c r="R9014" s="5">
        <v>4</v>
      </c>
      <c r="S9014" s="5">
        <v>67</v>
      </c>
    </row>
    <row r="9015" spans="1:19" ht="28" x14ac:dyDescent="0.15">
      <c r="A9015" s="2">
        <f>HYPERLINK("https://open-school.uspishnemisto.com.ua/school/480383/", 480383)</f>
        <v>480383</v>
      </c>
      <c r="B9015" s="3" t="s">
        <v>46079</v>
      </c>
      <c r="C9015" s="3" t="s">
        <v>31</v>
      </c>
      <c r="D9015" s="3" t="s">
        <v>32</v>
      </c>
      <c r="E9015" s="4" t="s">
        <v>22</v>
      </c>
      <c r="F9015" s="4" t="s">
        <v>46074</v>
      </c>
      <c r="G9015" s="4" t="s">
        <v>46075</v>
      </c>
      <c r="H9015" s="3" t="s">
        <v>44362</v>
      </c>
      <c r="I9015" s="3" t="s">
        <v>46076</v>
      </c>
      <c r="J9015" s="3" t="s">
        <v>46080</v>
      </c>
      <c r="K9015" s="3" t="s">
        <v>46081</v>
      </c>
      <c r="L9015" s="3" t="s">
        <v>46082</v>
      </c>
      <c r="M9015" s="4"/>
      <c r="N9015" s="3" t="s">
        <v>37</v>
      </c>
      <c r="O9015" s="3" t="s">
        <v>70</v>
      </c>
      <c r="P9015" s="5">
        <v>30</v>
      </c>
      <c r="Q9015" s="5">
        <v>613</v>
      </c>
      <c r="R9015" s="5">
        <v>30</v>
      </c>
      <c r="S9015" s="5">
        <v>605</v>
      </c>
    </row>
    <row r="9016" spans="1:19" ht="28" x14ac:dyDescent="0.15">
      <c r="A9016" s="2">
        <f>HYPERLINK("https://open-school.uspishnemisto.com.ua/school/480384/", 480384)</f>
        <v>480384</v>
      </c>
      <c r="B9016" s="3" t="s">
        <v>46083</v>
      </c>
      <c r="C9016" s="3" t="s">
        <v>31</v>
      </c>
      <c r="D9016" s="3" t="s">
        <v>175</v>
      </c>
      <c r="E9016" s="4" t="s">
        <v>22</v>
      </c>
      <c r="F9016" s="4" t="s">
        <v>46084</v>
      </c>
      <c r="G9016" s="4" t="s">
        <v>46085</v>
      </c>
      <c r="H9016" s="3" t="s">
        <v>44362</v>
      </c>
      <c r="I9016" s="3" t="s">
        <v>46086</v>
      </c>
      <c r="J9016" s="3" t="s">
        <v>46087</v>
      </c>
      <c r="K9016" s="3" t="s">
        <v>46088</v>
      </c>
      <c r="L9016" s="3" t="s">
        <v>46089</v>
      </c>
      <c r="M9016" s="4"/>
      <c r="N9016" s="3" t="s">
        <v>37</v>
      </c>
      <c r="O9016" s="3" t="s">
        <v>52</v>
      </c>
      <c r="P9016" s="5">
        <v>9</v>
      </c>
      <c r="Q9016" s="5">
        <v>90</v>
      </c>
      <c r="R9016" s="5">
        <v>9</v>
      </c>
      <c r="S9016" s="5">
        <v>91</v>
      </c>
    </row>
    <row r="9017" spans="1:19" ht="42" x14ac:dyDescent="0.15">
      <c r="A9017" s="2">
        <f>HYPERLINK("https://open-school.uspishnemisto.com.ua/school/480385/", 480385)</f>
        <v>480385</v>
      </c>
      <c r="B9017" s="3" t="s">
        <v>46090</v>
      </c>
      <c r="C9017" s="3" t="s">
        <v>293</v>
      </c>
      <c r="D9017" s="3" t="s">
        <v>32</v>
      </c>
      <c r="E9017" s="4" t="s">
        <v>22</v>
      </c>
      <c r="F9017" s="4" t="s">
        <v>46084</v>
      </c>
      <c r="G9017" s="4" t="s">
        <v>46085</v>
      </c>
      <c r="H9017" s="3" t="s">
        <v>44362</v>
      </c>
      <c r="I9017" s="3" t="s">
        <v>46086</v>
      </c>
      <c r="J9017" s="3" t="s">
        <v>46091</v>
      </c>
      <c r="K9017" s="3" t="s">
        <v>46092</v>
      </c>
      <c r="L9017" s="3"/>
      <c r="M9017" s="4" t="s">
        <v>46093</v>
      </c>
      <c r="N9017" s="3" t="s">
        <v>37</v>
      </c>
      <c r="O9017" s="3" t="s">
        <v>52</v>
      </c>
      <c r="P9017" s="5">
        <v>14</v>
      </c>
      <c r="Q9017" s="5">
        <v>228</v>
      </c>
      <c r="R9017" s="5">
        <v>14</v>
      </c>
      <c r="S9017" s="5">
        <v>236</v>
      </c>
    </row>
    <row r="9018" spans="1:19" ht="28" x14ac:dyDescent="0.15">
      <c r="A9018" s="2">
        <f>HYPERLINK("https://open-school.uspishnemisto.com.ua/school/480386/", 480386)</f>
        <v>480386</v>
      </c>
      <c r="B9018" s="3" t="s">
        <v>46094</v>
      </c>
      <c r="C9018" s="3" t="s">
        <v>31</v>
      </c>
      <c r="D9018" s="3" t="s">
        <v>32</v>
      </c>
      <c r="E9018" s="4" t="s">
        <v>22</v>
      </c>
      <c r="F9018" s="4" t="s">
        <v>46095</v>
      </c>
      <c r="G9018" s="4" t="s">
        <v>46096</v>
      </c>
      <c r="H9018" s="3" t="s">
        <v>44362</v>
      </c>
      <c r="I9018" s="3" t="s">
        <v>46097</v>
      </c>
      <c r="J9018" s="3" t="s">
        <v>3538</v>
      </c>
      <c r="K9018" s="3" t="s">
        <v>46098</v>
      </c>
      <c r="L9018" s="3"/>
      <c r="M9018" s="4"/>
      <c r="N9018" s="3" t="s">
        <v>37</v>
      </c>
      <c r="O9018" s="3" t="s">
        <v>52</v>
      </c>
      <c r="P9018" s="5">
        <v>10</v>
      </c>
      <c r="Q9018" s="5">
        <v>73</v>
      </c>
      <c r="R9018" s="5">
        <v>9</v>
      </c>
      <c r="S9018" s="5">
        <v>70</v>
      </c>
    </row>
    <row r="9019" spans="1:19" ht="28" x14ac:dyDescent="0.15">
      <c r="A9019" s="2">
        <f>HYPERLINK("https://open-school.uspishnemisto.com.ua/school/480387/", 480387)</f>
        <v>480387</v>
      </c>
      <c r="B9019" s="3" t="s">
        <v>46099</v>
      </c>
      <c r="C9019" s="3" t="s">
        <v>31</v>
      </c>
      <c r="D9019" s="3" t="s">
        <v>32</v>
      </c>
      <c r="E9019" s="4" t="s">
        <v>22</v>
      </c>
      <c r="F9019" s="4" t="s">
        <v>46100</v>
      </c>
      <c r="G9019" s="4" t="s">
        <v>46101</v>
      </c>
      <c r="H9019" s="3" t="s">
        <v>44362</v>
      </c>
      <c r="I9019" s="3" t="s">
        <v>46102</v>
      </c>
      <c r="J9019" s="3" t="s">
        <v>46103</v>
      </c>
      <c r="K9019" s="3" t="s">
        <v>46104</v>
      </c>
      <c r="L9019" s="3"/>
      <c r="M9019" s="4"/>
      <c r="N9019" s="3" t="s">
        <v>37</v>
      </c>
      <c r="O9019" s="3" t="s">
        <v>46</v>
      </c>
      <c r="P9019" s="5">
        <v>10</v>
      </c>
      <c r="Q9019" s="5">
        <v>89</v>
      </c>
      <c r="R9019" s="5">
        <v>9</v>
      </c>
      <c r="S9019" s="5">
        <v>86</v>
      </c>
    </row>
    <row r="9020" spans="1:19" ht="28" x14ac:dyDescent="0.15">
      <c r="A9020" s="2">
        <f>HYPERLINK("https://open-school.uspishnemisto.com.ua/school/480388/", 480388)</f>
        <v>480388</v>
      </c>
      <c r="B9020" s="3" t="s">
        <v>46105</v>
      </c>
      <c r="C9020" s="3" t="s">
        <v>31</v>
      </c>
      <c r="D9020" s="3" t="s">
        <v>32</v>
      </c>
      <c r="E9020" s="4" t="s">
        <v>22</v>
      </c>
      <c r="F9020" s="4" t="s">
        <v>46106</v>
      </c>
      <c r="G9020" s="4" t="s">
        <v>46107</v>
      </c>
      <c r="H9020" s="3" t="s">
        <v>44362</v>
      </c>
      <c r="I9020" s="3" t="s">
        <v>46108</v>
      </c>
      <c r="J9020" s="3" t="s">
        <v>46109</v>
      </c>
      <c r="K9020" s="3" t="s">
        <v>46110</v>
      </c>
      <c r="L9020" s="3" t="s">
        <v>46111</v>
      </c>
      <c r="M9020" s="4"/>
      <c r="N9020" s="3" t="s">
        <v>37</v>
      </c>
      <c r="O9020" s="3" t="s">
        <v>70</v>
      </c>
      <c r="P9020" s="5">
        <v>11</v>
      </c>
      <c r="Q9020" s="5">
        <v>100</v>
      </c>
      <c r="R9020" s="5">
        <v>11</v>
      </c>
      <c r="S9020" s="5">
        <v>97</v>
      </c>
    </row>
    <row r="9021" spans="1:19" ht="28" x14ac:dyDescent="0.15">
      <c r="A9021" s="2">
        <f>HYPERLINK("https://open-school.uspishnemisto.com.ua/school/480389/", 480389)</f>
        <v>480389</v>
      </c>
      <c r="B9021" s="3" t="s">
        <v>46112</v>
      </c>
      <c r="C9021" s="3" t="s">
        <v>31</v>
      </c>
      <c r="D9021" s="3" t="s">
        <v>32</v>
      </c>
      <c r="E9021" s="4" t="s">
        <v>22</v>
      </c>
      <c r="F9021" s="4" t="s">
        <v>46113</v>
      </c>
      <c r="G9021" s="4" t="s">
        <v>46114</v>
      </c>
      <c r="H9021" s="3" t="s">
        <v>44362</v>
      </c>
      <c r="I9021" s="3" t="s">
        <v>1556</v>
      </c>
      <c r="J9021" s="3" t="s">
        <v>46115</v>
      </c>
      <c r="K9021" s="3" t="s">
        <v>46116</v>
      </c>
      <c r="L9021" s="3"/>
      <c r="M9021" s="4"/>
      <c r="N9021" s="3" t="s">
        <v>37</v>
      </c>
      <c r="O9021" s="3" t="s">
        <v>38</v>
      </c>
      <c r="P9021" s="5">
        <v>9</v>
      </c>
      <c r="Q9021" s="5">
        <v>85</v>
      </c>
      <c r="R9021" s="5">
        <v>10</v>
      </c>
      <c r="S9021" s="5">
        <v>90</v>
      </c>
    </row>
    <row r="9022" spans="1:19" ht="28" x14ac:dyDescent="0.15">
      <c r="A9022" s="2">
        <f>HYPERLINK("https://open-school.uspishnemisto.com.ua/school/480390/", 480390)</f>
        <v>480390</v>
      </c>
      <c r="B9022" s="3" t="s">
        <v>46117</v>
      </c>
      <c r="C9022" s="3" t="s">
        <v>31</v>
      </c>
      <c r="D9022" s="3" t="s">
        <v>175</v>
      </c>
      <c r="E9022" s="4" t="s">
        <v>22</v>
      </c>
      <c r="F9022" s="4" t="s">
        <v>46118</v>
      </c>
      <c r="G9022" s="4" t="s">
        <v>46119</v>
      </c>
      <c r="H9022" s="3" t="s">
        <v>44362</v>
      </c>
      <c r="I9022" s="3" t="s">
        <v>46120</v>
      </c>
      <c r="J9022" s="3" t="s">
        <v>11431</v>
      </c>
      <c r="K9022" s="3" t="s">
        <v>46121</v>
      </c>
      <c r="L9022" s="3" t="s">
        <v>46122</v>
      </c>
      <c r="M9022" s="4"/>
      <c r="N9022" s="3" t="s">
        <v>37</v>
      </c>
      <c r="O9022" s="3" t="s">
        <v>52</v>
      </c>
      <c r="P9022" s="5">
        <v>8</v>
      </c>
      <c r="Q9022" s="5">
        <v>51</v>
      </c>
      <c r="R9022" s="5">
        <v>9</v>
      </c>
      <c r="S9022" s="5">
        <v>48</v>
      </c>
    </row>
    <row r="9023" spans="1:19" ht="28" x14ac:dyDescent="0.15">
      <c r="A9023" s="2">
        <f>HYPERLINK("https://open-school.uspishnemisto.com.ua/school/480391/", 480391)</f>
        <v>480391</v>
      </c>
      <c r="B9023" s="3" t="s">
        <v>46123</v>
      </c>
      <c r="C9023" s="3" t="s">
        <v>31</v>
      </c>
      <c r="D9023" s="3" t="s">
        <v>175</v>
      </c>
      <c r="E9023" s="4" t="s">
        <v>22</v>
      </c>
      <c r="F9023" s="4" t="s">
        <v>46124</v>
      </c>
      <c r="G9023" s="4" t="s">
        <v>46119</v>
      </c>
      <c r="H9023" s="3" t="s">
        <v>44362</v>
      </c>
      <c r="I9023" s="3" t="s">
        <v>46120</v>
      </c>
      <c r="J9023" s="3" t="s">
        <v>46125</v>
      </c>
      <c r="K9023" s="3" t="s">
        <v>46126</v>
      </c>
      <c r="L9023" s="3"/>
      <c r="M9023" s="4"/>
      <c r="N9023" s="3" t="s">
        <v>37</v>
      </c>
      <c r="O9023" s="3" t="s">
        <v>52</v>
      </c>
      <c r="P9023" s="5">
        <v>9</v>
      </c>
      <c r="Q9023" s="5">
        <v>87</v>
      </c>
      <c r="R9023" s="5">
        <v>9</v>
      </c>
      <c r="S9023" s="5">
        <v>81</v>
      </c>
    </row>
    <row r="9024" spans="1:19" ht="28" x14ac:dyDescent="0.15">
      <c r="A9024" s="2">
        <f>HYPERLINK("https://open-school.uspishnemisto.com.ua/school/480392/", 480392)</f>
        <v>480392</v>
      </c>
      <c r="B9024" s="3" t="s">
        <v>46127</v>
      </c>
      <c r="C9024" s="3" t="s">
        <v>31</v>
      </c>
      <c r="D9024" s="3" t="s">
        <v>32</v>
      </c>
      <c r="E9024" s="4" t="s">
        <v>22</v>
      </c>
      <c r="F9024" s="4" t="s">
        <v>46124</v>
      </c>
      <c r="G9024" s="4" t="s">
        <v>46119</v>
      </c>
      <c r="H9024" s="3" t="s">
        <v>44362</v>
      </c>
      <c r="I9024" s="3" t="s">
        <v>46120</v>
      </c>
      <c r="J9024" s="3" t="s">
        <v>46128</v>
      </c>
      <c r="K9024" s="3" t="s">
        <v>46129</v>
      </c>
      <c r="L9024" s="3" t="s">
        <v>46130</v>
      </c>
      <c r="M9024" s="4"/>
      <c r="N9024" s="3" t="s">
        <v>37</v>
      </c>
      <c r="O9024" s="3" t="s">
        <v>38</v>
      </c>
      <c r="P9024" s="5">
        <v>13</v>
      </c>
      <c r="Q9024" s="5">
        <v>230</v>
      </c>
      <c r="R9024" s="5">
        <v>14</v>
      </c>
      <c r="S9024" s="5">
        <v>248</v>
      </c>
    </row>
    <row r="9025" spans="1:19" ht="28" x14ac:dyDescent="0.15">
      <c r="A9025" s="2">
        <f>HYPERLINK("https://open-school.uspishnemisto.com.ua/school/480393/", 480393)</f>
        <v>480393</v>
      </c>
      <c r="B9025" s="3" t="s">
        <v>46131</v>
      </c>
      <c r="C9025" s="3" t="s">
        <v>31</v>
      </c>
      <c r="D9025" s="3" t="s">
        <v>32</v>
      </c>
      <c r="E9025" s="4" t="s">
        <v>22</v>
      </c>
      <c r="F9025" s="4" t="s">
        <v>46132</v>
      </c>
      <c r="G9025" s="4" t="s">
        <v>46133</v>
      </c>
      <c r="H9025" s="3" t="s">
        <v>44362</v>
      </c>
      <c r="I9025" s="3" t="s">
        <v>46134</v>
      </c>
      <c r="J9025" s="3" t="s">
        <v>46135</v>
      </c>
      <c r="K9025" s="3" t="s">
        <v>46136</v>
      </c>
      <c r="L9025" s="3"/>
      <c r="M9025" s="4"/>
      <c r="N9025" s="3" t="s">
        <v>37</v>
      </c>
      <c r="O9025" s="3" t="s">
        <v>46</v>
      </c>
      <c r="P9025" s="5">
        <v>11</v>
      </c>
      <c r="Q9025" s="5">
        <v>111</v>
      </c>
      <c r="R9025" s="5">
        <v>11</v>
      </c>
      <c r="S9025" s="5">
        <v>113</v>
      </c>
    </row>
    <row r="9026" spans="1:19" ht="28" x14ac:dyDescent="0.15">
      <c r="A9026" s="2">
        <f>HYPERLINK("https://open-school.uspishnemisto.com.ua/school/480394/", 480394)</f>
        <v>480394</v>
      </c>
      <c r="B9026" s="3" t="s">
        <v>46137</v>
      </c>
      <c r="C9026" s="3" t="s">
        <v>54</v>
      </c>
      <c r="D9026" s="3" t="s">
        <v>175</v>
      </c>
      <c r="E9026" s="4" t="s">
        <v>22</v>
      </c>
      <c r="F9026" s="4" t="s">
        <v>46138</v>
      </c>
      <c r="G9026" s="4" t="s">
        <v>46139</v>
      </c>
      <c r="H9026" s="3" t="s">
        <v>44362</v>
      </c>
      <c r="I9026" s="3" t="s">
        <v>46140</v>
      </c>
      <c r="J9026" s="3" t="s">
        <v>46141</v>
      </c>
      <c r="K9026" s="3" t="s">
        <v>46142</v>
      </c>
      <c r="L9026" s="3"/>
      <c r="M9026" s="4"/>
      <c r="N9026" s="3" t="s">
        <v>37</v>
      </c>
      <c r="O9026" s="3" t="s">
        <v>52</v>
      </c>
      <c r="P9026" s="5">
        <v>7</v>
      </c>
      <c r="Q9026" s="5">
        <v>61</v>
      </c>
      <c r="R9026" s="5">
        <v>9</v>
      </c>
      <c r="S9026" s="5">
        <v>60</v>
      </c>
    </row>
    <row r="9027" spans="1:19" ht="42" x14ac:dyDescent="0.15">
      <c r="A9027" s="2">
        <f>HYPERLINK("https://open-school.uspishnemisto.com.ua/school/480395/", 480395)</f>
        <v>480395</v>
      </c>
      <c r="B9027" s="3" t="s">
        <v>46143</v>
      </c>
      <c r="C9027" s="3" t="s">
        <v>54</v>
      </c>
      <c r="D9027" s="3" t="s">
        <v>32</v>
      </c>
      <c r="E9027" s="4" t="s">
        <v>22</v>
      </c>
      <c r="F9027" s="4" t="s">
        <v>46144</v>
      </c>
      <c r="G9027" s="4" t="s">
        <v>46145</v>
      </c>
      <c r="H9027" s="3" t="s">
        <v>44362</v>
      </c>
      <c r="I9027" s="3" t="s">
        <v>46146</v>
      </c>
      <c r="J9027" s="3" t="s">
        <v>46147</v>
      </c>
      <c r="K9027" s="3" t="s">
        <v>46148</v>
      </c>
      <c r="L9027" s="3" t="s">
        <v>46149</v>
      </c>
      <c r="M9027" s="4"/>
      <c r="N9027" s="3" t="s">
        <v>37</v>
      </c>
      <c r="O9027" s="3" t="s">
        <v>618</v>
      </c>
      <c r="P9027" s="5">
        <v>11</v>
      </c>
      <c r="Q9027" s="5">
        <v>117</v>
      </c>
      <c r="R9027" s="5">
        <v>11</v>
      </c>
      <c r="S9027" s="5">
        <v>108</v>
      </c>
    </row>
    <row r="9028" spans="1:19" ht="42" x14ac:dyDescent="0.15">
      <c r="A9028" s="2">
        <f>HYPERLINK("https://open-school.uspishnemisto.com.ua/school/480396/", 480396)</f>
        <v>480396</v>
      </c>
      <c r="B9028" s="3" t="s">
        <v>46150</v>
      </c>
      <c r="C9028" s="3" t="s">
        <v>54</v>
      </c>
      <c r="D9028" s="3" t="s">
        <v>175</v>
      </c>
      <c r="E9028" s="4" t="s">
        <v>22</v>
      </c>
      <c r="F9028" s="4" t="s">
        <v>46151</v>
      </c>
      <c r="G9028" s="4" t="s">
        <v>46152</v>
      </c>
      <c r="H9028" s="3" t="s">
        <v>44362</v>
      </c>
      <c r="I9028" s="3" t="s">
        <v>46153</v>
      </c>
      <c r="J9028" s="3" t="s">
        <v>46154</v>
      </c>
      <c r="K9028" s="3" t="s">
        <v>46155</v>
      </c>
      <c r="L9028" s="3" t="s">
        <v>46156</v>
      </c>
      <c r="M9028" s="4"/>
      <c r="N9028" s="3" t="s">
        <v>37</v>
      </c>
      <c r="O9028" s="3" t="s">
        <v>38</v>
      </c>
      <c r="P9028" s="5">
        <v>9</v>
      </c>
      <c r="Q9028" s="5">
        <v>64</v>
      </c>
      <c r="R9028" s="5">
        <v>8</v>
      </c>
      <c r="S9028" s="5">
        <v>64</v>
      </c>
    </row>
    <row r="9029" spans="1:19" ht="28" x14ac:dyDescent="0.15">
      <c r="A9029" s="2">
        <f>HYPERLINK("https://open-school.uspishnemisto.com.ua/school/480397/", 480397)</f>
        <v>480397</v>
      </c>
      <c r="B9029" s="3" t="s">
        <v>46157</v>
      </c>
      <c r="C9029" s="3" t="s">
        <v>31</v>
      </c>
      <c r="D9029" s="3" t="s">
        <v>175</v>
      </c>
      <c r="E9029" s="4" t="s">
        <v>22</v>
      </c>
      <c r="F9029" s="4" t="s">
        <v>46158</v>
      </c>
      <c r="G9029" s="4" t="s">
        <v>46159</v>
      </c>
      <c r="H9029" s="3" t="s">
        <v>44362</v>
      </c>
      <c r="I9029" s="3" t="s">
        <v>46160</v>
      </c>
      <c r="J9029" s="3" t="s">
        <v>466</v>
      </c>
      <c r="K9029" s="3" t="s">
        <v>46161</v>
      </c>
      <c r="L9029" s="3" t="s">
        <v>46162</v>
      </c>
      <c r="M9029" s="4"/>
      <c r="N9029" s="3" t="s">
        <v>37</v>
      </c>
      <c r="O9029" s="3" t="s">
        <v>52</v>
      </c>
      <c r="P9029" s="5">
        <v>7</v>
      </c>
      <c r="Q9029" s="5">
        <v>43</v>
      </c>
      <c r="R9029" s="5">
        <v>8</v>
      </c>
      <c r="S9029" s="5">
        <v>53</v>
      </c>
    </row>
    <row r="9030" spans="1:19" ht="28" x14ac:dyDescent="0.15">
      <c r="A9030" s="2">
        <f>HYPERLINK("https://open-school.uspishnemisto.com.ua/school/480398/", 480398)</f>
        <v>480398</v>
      </c>
      <c r="B9030" s="3" t="s">
        <v>46163</v>
      </c>
      <c r="C9030" s="3" t="s">
        <v>31</v>
      </c>
      <c r="D9030" s="3" t="s">
        <v>32</v>
      </c>
      <c r="E9030" s="4" t="s">
        <v>22</v>
      </c>
      <c r="F9030" s="4" t="s">
        <v>46164</v>
      </c>
      <c r="G9030" s="4" t="s">
        <v>46165</v>
      </c>
      <c r="H9030" s="3" t="s">
        <v>44362</v>
      </c>
      <c r="I9030" s="3" t="s">
        <v>46166</v>
      </c>
      <c r="J9030" s="3" t="s">
        <v>2966</v>
      </c>
      <c r="K9030" s="3" t="s">
        <v>46167</v>
      </c>
      <c r="L9030" s="3"/>
      <c r="M9030" s="4"/>
      <c r="N9030" s="3" t="s">
        <v>37</v>
      </c>
      <c r="O9030" s="3" t="s">
        <v>52</v>
      </c>
      <c r="P9030" s="5">
        <v>9</v>
      </c>
      <c r="Q9030" s="5">
        <v>78</v>
      </c>
      <c r="R9030" s="5">
        <v>9</v>
      </c>
      <c r="S9030" s="5">
        <v>80</v>
      </c>
    </row>
    <row r="9031" spans="1:19" ht="28" x14ac:dyDescent="0.15">
      <c r="A9031" s="2">
        <f>HYPERLINK("https://open-school.uspishnemisto.com.ua/school/480399/", 480399)</f>
        <v>480399</v>
      </c>
      <c r="B9031" s="3" t="s">
        <v>46168</v>
      </c>
      <c r="C9031" s="3" t="s">
        <v>54</v>
      </c>
      <c r="D9031" s="3" t="s">
        <v>175</v>
      </c>
      <c r="E9031" s="4" t="s">
        <v>22</v>
      </c>
      <c r="F9031" s="4" t="s">
        <v>46169</v>
      </c>
      <c r="G9031" s="4" t="s">
        <v>46170</v>
      </c>
      <c r="H9031" s="3" t="s">
        <v>44362</v>
      </c>
      <c r="I9031" s="3" t="s">
        <v>3243</v>
      </c>
      <c r="J9031" s="3" t="s">
        <v>45861</v>
      </c>
      <c r="K9031" s="3" t="s">
        <v>46171</v>
      </c>
      <c r="L9031" s="3"/>
      <c r="M9031" s="4"/>
      <c r="N9031" s="3" t="s">
        <v>37</v>
      </c>
      <c r="O9031" s="3" t="s">
        <v>618</v>
      </c>
      <c r="P9031" s="5">
        <v>7</v>
      </c>
      <c r="Q9031" s="5">
        <v>50</v>
      </c>
      <c r="R9031" s="5">
        <v>7</v>
      </c>
      <c r="S9031" s="5">
        <v>51</v>
      </c>
    </row>
    <row r="9032" spans="1:19" ht="28" x14ac:dyDescent="0.15">
      <c r="A9032" s="2">
        <f>HYPERLINK("https://open-school.uspishnemisto.com.ua/school/480400/", 480400)</f>
        <v>480400</v>
      </c>
      <c r="B9032" s="3" t="s">
        <v>46172</v>
      </c>
      <c r="C9032" s="3" t="s">
        <v>31</v>
      </c>
      <c r="D9032" s="3" t="s">
        <v>32</v>
      </c>
      <c r="E9032" s="4" t="s">
        <v>22</v>
      </c>
      <c r="F9032" s="4" t="s">
        <v>46173</v>
      </c>
      <c r="G9032" s="4" t="s">
        <v>46174</v>
      </c>
      <c r="H9032" s="3" t="s">
        <v>44362</v>
      </c>
      <c r="I9032" s="3" t="s">
        <v>46175</v>
      </c>
      <c r="J9032" s="3" t="s">
        <v>2052</v>
      </c>
      <c r="K9032" s="3" t="s">
        <v>46176</v>
      </c>
      <c r="L9032" s="3"/>
      <c r="M9032" s="4"/>
      <c r="N9032" s="3" t="s">
        <v>37</v>
      </c>
      <c r="O9032" s="3" t="s">
        <v>52</v>
      </c>
      <c r="P9032" s="5">
        <v>11</v>
      </c>
      <c r="Q9032" s="5">
        <v>96</v>
      </c>
      <c r="R9032" s="5">
        <v>11</v>
      </c>
      <c r="S9032" s="5">
        <v>107</v>
      </c>
    </row>
    <row r="9033" spans="1:19" ht="28" x14ac:dyDescent="0.15">
      <c r="A9033" s="2">
        <f>HYPERLINK("https://open-school.uspishnemisto.com.ua/school/480401/", 480401)</f>
        <v>480401</v>
      </c>
      <c r="B9033" s="3" t="s">
        <v>46177</v>
      </c>
      <c r="C9033" s="3" t="s">
        <v>31</v>
      </c>
      <c r="D9033" s="3" t="s">
        <v>32</v>
      </c>
      <c r="E9033" s="4" t="s">
        <v>22</v>
      </c>
      <c r="F9033" s="4" t="s">
        <v>46178</v>
      </c>
      <c r="G9033" s="4" t="s">
        <v>46179</v>
      </c>
      <c r="H9033" s="3" t="s">
        <v>44362</v>
      </c>
      <c r="I9033" s="3" t="s">
        <v>46180</v>
      </c>
      <c r="J9033" s="3" t="s">
        <v>46181</v>
      </c>
      <c r="K9033" s="3" t="s">
        <v>46182</v>
      </c>
      <c r="L9033" s="3" t="s">
        <v>46183</v>
      </c>
      <c r="M9033" s="4"/>
      <c r="N9033" s="3" t="s">
        <v>37</v>
      </c>
      <c r="O9033" s="3" t="s">
        <v>52</v>
      </c>
      <c r="P9033" s="5">
        <v>11</v>
      </c>
      <c r="Q9033" s="5">
        <v>172</v>
      </c>
      <c r="R9033" s="5">
        <v>11</v>
      </c>
      <c r="S9033" s="5">
        <v>176</v>
      </c>
    </row>
    <row r="9034" spans="1:19" ht="42" x14ac:dyDescent="0.15">
      <c r="A9034" s="2">
        <f>HYPERLINK("https://open-school.uspishnemisto.com.ua/school/480402/", 480402)</f>
        <v>480402</v>
      </c>
      <c r="B9034" s="3" t="s">
        <v>46184</v>
      </c>
      <c r="C9034" s="3" t="s">
        <v>20</v>
      </c>
      <c r="D9034" s="3" t="s">
        <v>21</v>
      </c>
      <c r="E9034" s="4" t="s">
        <v>22</v>
      </c>
      <c r="F9034" s="4" t="s">
        <v>46185</v>
      </c>
      <c r="G9034" s="4" t="s">
        <v>46186</v>
      </c>
      <c r="H9034" s="3" t="s">
        <v>44362</v>
      </c>
      <c r="I9034" s="3" t="s">
        <v>46187</v>
      </c>
      <c r="J9034" s="3" t="s">
        <v>46188</v>
      </c>
      <c r="K9034" s="3" t="s">
        <v>46189</v>
      </c>
      <c r="L9034" s="3"/>
      <c r="M9034" s="4"/>
      <c r="N9034" s="3"/>
      <c r="O9034" s="3"/>
      <c r="P9034" s="5">
        <v>0</v>
      </c>
      <c r="Q9034" s="5">
        <v>0</v>
      </c>
      <c r="R9034" s="5"/>
      <c r="S9034" s="5"/>
    </row>
    <row r="9035" spans="1:19" ht="42" x14ac:dyDescent="0.15">
      <c r="A9035" s="2">
        <f>HYPERLINK("https://open-school.uspishnemisto.com.ua/school/480403/", 480403)</f>
        <v>480403</v>
      </c>
      <c r="B9035" s="3" t="s">
        <v>46190</v>
      </c>
      <c r="C9035" s="3" t="s">
        <v>31</v>
      </c>
      <c r="D9035" s="3" t="s">
        <v>32</v>
      </c>
      <c r="E9035" s="4" t="s">
        <v>22</v>
      </c>
      <c r="F9035" s="4" t="s">
        <v>46185</v>
      </c>
      <c r="G9035" s="4" t="s">
        <v>46186</v>
      </c>
      <c r="H9035" s="3" t="s">
        <v>44362</v>
      </c>
      <c r="I9035" s="3" t="s">
        <v>46187</v>
      </c>
      <c r="J9035" s="3" t="s">
        <v>46191</v>
      </c>
      <c r="K9035" s="3" t="s">
        <v>46192</v>
      </c>
      <c r="L9035" s="3" t="s">
        <v>46193</v>
      </c>
      <c r="M9035" s="4"/>
      <c r="N9035" s="3" t="s">
        <v>37</v>
      </c>
      <c r="O9035" s="3" t="s">
        <v>70</v>
      </c>
      <c r="P9035" s="5">
        <v>18</v>
      </c>
      <c r="Q9035" s="5">
        <v>345</v>
      </c>
      <c r="R9035" s="5">
        <v>17</v>
      </c>
      <c r="S9035" s="5">
        <v>346</v>
      </c>
    </row>
    <row r="9036" spans="1:19" ht="28" x14ac:dyDescent="0.15">
      <c r="A9036" s="2">
        <f>HYPERLINK("https://open-school.uspishnemisto.com.ua/school/480404/", 480404)</f>
        <v>480404</v>
      </c>
      <c r="B9036" s="3" t="s">
        <v>46194</v>
      </c>
      <c r="C9036" s="3" t="s">
        <v>31</v>
      </c>
      <c r="D9036" s="3" t="s">
        <v>32</v>
      </c>
      <c r="E9036" s="4" t="s">
        <v>22</v>
      </c>
      <c r="F9036" s="4" t="s">
        <v>46195</v>
      </c>
      <c r="G9036" s="4" t="s">
        <v>46196</v>
      </c>
      <c r="H9036" s="3" t="s">
        <v>44362</v>
      </c>
      <c r="I9036" s="3" t="s">
        <v>46197</v>
      </c>
      <c r="J9036" s="3" t="s">
        <v>6840</v>
      </c>
      <c r="K9036" s="3"/>
      <c r="L9036" s="3"/>
      <c r="M9036" s="4"/>
      <c r="N9036" s="3" t="s">
        <v>37</v>
      </c>
      <c r="O9036" s="3" t="s">
        <v>52</v>
      </c>
      <c r="P9036" s="5">
        <v>9</v>
      </c>
      <c r="Q9036" s="5">
        <v>66</v>
      </c>
      <c r="R9036" s="5">
        <v>8</v>
      </c>
      <c r="S9036" s="5">
        <v>62</v>
      </c>
    </row>
    <row r="9037" spans="1:19" ht="28" x14ac:dyDescent="0.15">
      <c r="A9037" s="2">
        <f>HYPERLINK("https://open-school.uspishnemisto.com.ua/school/480405/", 480405)</f>
        <v>480405</v>
      </c>
      <c r="B9037" s="3" t="s">
        <v>46198</v>
      </c>
      <c r="C9037" s="3" t="s">
        <v>31</v>
      </c>
      <c r="D9037" s="3" t="s">
        <v>32</v>
      </c>
      <c r="E9037" s="4" t="s">
        <v>22</v>
      </c>
      <c r="F9037" s="4" t="s">
        <v>46199</v>
      </c>
      <c r="G9037" s="4" t="s">
        <v>46200</v>
      </c>
      <c r="H9037" s="3" t="s">
        <v>44362</v>
      </c>
      <c r="I9037" s="3" t="s">
        <v>46201</v>
      </c>
      <c r="J9037" s="3" t="s">
        <v>46202</v>
      </c>
      <c r="K9037" s="3" t="s">
        <v>46203</v>
      </c>
      <c r="L9037" s="3"/>
      <c r="M9037" s="4"/>
      <c r="N9037" s="3" t="s">
        <v>37</v>
      </c>
      <c r="O9037" s="3" t="s">
        <v>46</v>
      </c>
      <c r="P9037" s="5">
        <v>11</v>
      </c>
      <c r="Q9037" s="5">
        <v>151</v>
      </c>
      <c r="R9037" s="5">
        <v>10</v>
      </c>
      <c r="S9037" s="5">
        <v>144</v>
      </c>
    </row>
    <row r="9038" spans="1:19" ht="28" x14ac:dyDescent="0.15">
      <c r="A9038" s="2">
        <f>HYPERLINK("https://open-school.uspishnemisto.com.ua/school/480406/", 480406)</f>
        <v>480406</v>
      </c>
      <c r="B9038" s="3" t="s">
        <v>46204</v>
      </c>
      <c r="C9038" s="3" t="s">
        <v>31</v>
      </c>
      <c r="D9038" s="3" t="s">
        <v>32</v>
      </c>
      <c r="E9038" s="4" t="s">
        <v>22</v>
      </c>
      <c r="F9038" s="4" t="s">
        <v>46205</v>
      </c>
      <c r="G9038" s="4" t="s">
        <v>46206</v>
      </c>
      <c r="H9038" s="3" t="s">
        <v>44362</v>
      </c>
      <c r="I9038" s="3" t="s">
        <v>3784</v>
      </c>
      <c r="J9038" s="3" t="s">
        <v>878</v>
      </c>
      <c r="K9038" s="3" t="s">
        <v>46207</v>
      </c>
      <c r="L9038" s="3" t="s">
        <v>46208</v>
      </c>
      <c r="M9038" s="4"/>
      <c r="N9038" s="3" t="s">
        <v>37</v>
      </c>
      <c r="O9038" s="3" t="s">
        <v>52</v>
      </c>
      <c r="P9038" s="5">
        <v>10</v>
      </c>
      <c r="Q9038" s="5">
        <v>77</v>
      </c>
      <c r="R9038" s="5">
        <v>9</v>
      </c>
      <c r="S9038" s="5">
        <v>75</v>
      </c>
    </row>
    <row r="9039" spans="1:19" ht="28" x14ac:dyDescent="0.15">
      <c r="A9039" s="2">
        <f>HYPERLINK("https://open-school.uspishnemisto.com.ua/school/480407/", 480407)</f>
        <v>480407</v>
      </c>
      <c r="B9039" s="3" t="s">
        <v>46209</v>
      </c>
      <c r="C9039" s="3" t="s">
        <v>31</v>
      </c>
      <c r="D9039" s="3" t="s">
        <v>32</v>
      </c>
      <c r="E9039" s="4" t="s">
        <v>22</v>
      </c>
      <c r="F9039" s="4" t="s">
        <v>46210</v>
      </c>
      <c r="G9039" s="4" t="s">
        <v>46211</v>
      </c>
      <c r="H9039" s="3" t="s">
        <v>44362</v>
      </c>
      <c r="I9039" s="3" t="s">
        <v>46212</v>
      </c>
      <c r="J9039" s="3" t="s">
        <v>297</v>
      </c>
      <c r="K9039" s="3" t="s">
        <v>46213</v>
      </c>
      <c r="L9039" s="3" t="s">
        <v>46214</v>
      </c>
      <c r="M9039" s="4"/>
      <c r="N9039" s="3" t="s">
        <v>37</v>
      </c>
      <c r="O9039" s="3" t="s">
        <v>52</v>
      </c>
      <c r="P9039" s="5">
        <v>10</v>
      </c>
      <c r="Q9039" s="5">
        <v>204</v>
      </c>
      <c r="R9039" s="5">
        <v>9</v>
      </c>
      <c r="S9039" s="5">
        <v>170</v>
      </c>
    </row>
    <row r="9040" spans="1:19" ht="28" x14ac:dyDescent="0.15">
      <c r="A9040" s="2">
        <f>HYPERLINK("https://open-school.uspishnemisto.com.ua/school/480408/", 480408)</f>
        <v>480408</v>
      </c>
      <c r="B9040" s="3" t="s">
        <v>46215</v>
      </c>
      <c r="C9040" s="3" t="s">
        <v>31</v>
      </c>
      <c r="D9040" s="3" t="s">
        <v>175</v>
      </c>
      <c r="E9040" s="4" t="s">
        <v>22</v>
      </c>
      <c r="F9040" s="4" t="s">
        <v>46210</v>
      </c>
      <c r="G9040" s="4" t="s">
        <v>46216</v>
      </c>
      <c r="H9040" s="3" t="s">
        <v>44362</v>
      </c>
      <c r="I9040" s="3" t="s">
        <v>46217</v>
      </c>
      <c r="J9040" s="3" t="s">
        <v>46218</v>
      </c>
      <c r="K9040" s="3" t="s">
        <v>46219</v>
      </c>
      <c r="L9040" s="3"/>
      <c r="M9040" s="4"/>
      <c r="N9040" s="3" t="s">
        <v>37</v>
      </c>
      <c r="O9040" s="3" t="s">
        <v>52</v>
      </c>
      <c r="P9040" s="5">
        <v>4</v>
      </c>
      <c r="Q9040" s="5">
        <v>27</v>
      </c>
      <c r="R9040" s="5">
        <v>7</v>
      </c>
      <c r="S9040" s="5">
        <v>54</v>
      </c>
    </row>
    <row r="9041" spans="1:19" ht="28" x14ac:dyDescent="0.15">
      <c r="A9041" s="2">
        <f>HYPERLINK("https://open-school.uspishnemisto.com.ua/school/480409/", 480409)</f>
        <v>480409</v>
      </c>
      <c r="B9041" s="3" t="s">
        <v>46220</v>
      </c>
      <c r="C9041" s="3" t="s">
        <v>31</v>
      </c>
      <c r="D9041" s="3" t="s">
        <v>32</v>
      </c>
      <c r="E9041" s="4" t="s">
        <v>22</v>
      </c>
      <c r="F9041" s="4" t="s">
        <v>46221</v>
      </c>
      <c r="G9041" s="4" t="s">
        <v>46222</v>
      </c>
      <c r="H9041" s="3" t="s">
        <v>44362</v>
      </c>
      <c r="I9041" s="3" t="s">
        <v>2857</v>
      </c>
      <c r="J9041" s="3" t="s">
        <v>46223</v>
      </c>
      <c r="K9041" s="3" t="s">
        <v>46224</v>
      </c>
      <c r="L9041" s="3" t="s">
        <v>46225</v>
      </c>
      <c r="M9041" s="4"/>
      <c r="N9041" s="3" t="s">
        <v>37</v>
      </c>
      <c r="O9041" s="3" t="s">
        <v>52</v>
      </c>
      <c r="P9041" s="5">
        <v>11</v>
      </c>
      <c r="Q9041" s="5">
        <v>159</v>
      </c>
      <c r="R9041" s="5">
        <v>11</v>
      </c>
      <c r="S9041" s="5">
        <v>134</v>
      </c>
    </row>
    <row r="9042" spans="1:19" ht="28" x14ac:dyDescent="0.15">
      <c r="A9042" s="2">
        <f>HYPERLINK("https://open-school.uspishnemisto.com.ua/school/480410/", 480410)</f>
        <v>480410</v>
      </c>
      <c r="B9042" s="3" t="s">
        <v>46226</v>
      </c>
      <c r="C9042" s="3" t="s">
        <v>31</v>
      </c>
      <c r="D9042" s="3" t="s">
        <v>32</v>
      </c>
      <c r="E9042" s="4" t="s">
        <v>22</v>
      </c>
      <c r="F9042" s="4" t="s">
        <v>45067</v>
      </c>
      <c r="G9042" s="4" t="s">
        <v>46227</v>
      </c>
      <c r="H9042" s="3" t="s">
        <v>44362</v>
      </c>
      <c r="I9042" s="3" t="s">
        <v>46228</v>
      </c>
      <c r="J9042" s="3" t="s">
        <v>46229</v>
      </c>
      <c r="K9042" s="3" t="s">
        <v>46230</v>
      </c>
      <c r="L9042" s="3" t="s">
        <v>46231</v>
      </c>
      <c r="M9042" s="4"/>
      <c r="N9042" s="3" t="s">
        <v>37</v>
      </c>
      <c r="O9042" s="3" t="s">
        <v>38</v>
      </c>
      <c r="P9042" s="5">
        <v>11</v>
      </c>
      <c r="Q9042" s="5">
        <v>128</v>
      </c>
      <c r="R9042" s="5">
        <v>11</v>
      </c>
      <c r="S9042" s="5">
        <v>128</v>
      </c>
    </row>
    <row r="9043" spans="1:19" ht="28" x14ac:dyDescent="0.15">
      <c r="A9043" s="2">
        <f>HYPERLINK("https://open-school.uspishnemisto.com.ua/school/480411/", 480411)</f>
        <v>480411</v>
      </c>
      <c r="B9043" s="3" t="s">
        <v>46232</v>
      </c>
      <c r="C9043" s="3" t="s">
        <v>31</v>
      </c>
      <c r="D9043" s="3" t="s">
        <v>32</v>
      </c>
      <c r="E9043" s="4" t="s">
        <v>22</v>
      </c>
      <c r="F9043" s="4" t="s">
        <v>46233</v>
      </c>
      <c r="G9043" s="4" t="s">
        <v>46234</v>
      </c>
      <c r="H9043" s="3" t="s">
        <v>44362</v>
      </c>
      <c r="I9043" s="3" t="s">
        <v>46235</v>
      </c>
      <c r="J9043" s="3" t="s">
        <v>6004</v>
      </c>
      <c r="K9043" s="3" t="s">
        <v>46236</v>
      </c>
      <c r="L9043" s="3" t="s">
        <v>46237</v>
      </c>
      <c r="M9043" s="4"/>
      <c r="N9043" s="3" t="s">
        <v>37</v>
      </c>
      <c r="O9043" s="3" t="s">
        <v>38</v>
      </c>
      <c r="P9043" s="5">
        <v>11</v>
      </c>
      <c r="Q9043" s="5">
        <v>135</v>
      </c>
      <c r="R9043" s="5">
        <v>11</v>
      </c>
      <c r="S9043" s="5">
        <v>130</v>
      </c>
    </row>
    <row r="9044" spans="1:19" ht="28" x14ac:dyDescent="0.15">
      <c r="A9044" s="2">
        <f>HYPERLINK("https://open-school.uspishnemisto.com.ua/school/480412/", 480412)</f>
        <v>480412</v>
      </c>
      <c r="B9044" s="3" t="s">
        <v>46238</v>
      </c>
      <c r="C9044" s="3" t="s">
        <v>31</v>
      </c>
      <c r="D9044" s="3" t="s">
        <v>32</v>
      </c>
      <c r="E9044" s="4" t="s">
        <v>22</v>
      </c>
      <c r="F9044" s="4" t="s">
        <v>46239</v>
      </c>
      <c r="G9044" s="4" t="s">
        <v>46240</v>
      </c>
      <c r="H9044" s="3" t="s">
        <v>44362</v>
      </c>
      <c r="I9044" s="3" t="s">
        <v>11483</v>
      </c>
      <c r="J9044" s="3" t="s">
        <v>46241</v>
      </c>
      <c r="K9044" s="3" t="s">
        <v>46242</v>
      </c>
      <c r="L9044" s="3"/>
      <c r="M9044" s="4"/>
      <c r="N9044" s="3" t="s">
        <v>37</v>
      </c>
      <c r="O9044" s="3" t="s">
        <v>70</v>
      </c>
      <c r="P9044" s="5">
        <v>11</v>
      </c>
      <c r="Q9044" s="5">
        <v>125</v>
      </c>
      <c r="R9044" s="5">
        <v>11</v>
      </c>
      <c r="S9044" s="5">
        <v>123</v>
      </c>
    </row>
    <row r="9045" spans="1:19" ht="42" x14ac:dyDescent="0.15">
      <c r="A9045" s="2">
        <f>HYPERLINK("https://open-school.uspishnemisto.com.ua/school/480413/", 480413)</f>
        <v>480413</v>
      </c>
      <c r="B9045" s="3" t="s">
        <v>46243</v>
      </c>
      <c r="C9045" s="3" t="s">
        <v>31</v>
      </c>
      <c r="D9045" s="3" t="s">
        <v>175</v>
      </c>
      <c r="E9045" s="4" t="s">
        <v>22</v>
      </c>
      <c r="F9045" s="4" t="s">
        <v>46244</v>
      </c>
      <c r="G9045" s="4" t="s">
        <v>46245</v>
      </c>
      <c r="H9045" s="3" t="s">
        <v>44362</v>
      </c>
      <c r="I9045" s="3" t="s">
        <v>46246</v>
      </c>
      <c r="J9045" s="3" t="s">
        <v>46247</v>
      </c>
      <c r="K9045" s="3" t="s">
        <v>46248</v>
      </c>
      <c r="L9045" s="3"/>
      <c r="M9045" s="4"/>
      <c r="N9045" s="3" t="s">
        <v>37</v>
      </c>
      <c r="O9045" s="3" t="s">
        <v>38</v>
      </c>
      <c r="P9045" s="5">
        <v>8</v>
      </c>
      <c r="Q9045" s="5">
        <v>89</v>
      </c>
      <c r="R9045" s="5">
        <v>8</v>
      </c>
      <c r="S9045" s="5">
        <v>85</v>
      </c>
    </row>
    <row r="9046" spans="1:19" ht="28" x14ac:dyDescent="0.15">
      <c r="A9046" s="2">
        <f>HYPERLINK("https://open-school.uspishnemisto.com.ua/school/480414/", 480414)</f>
        <v>480414</v>
      </c>
      <c r="B9046" s="3" t="s">
        <v>46249</v>
      </c>
      <c r="C9046" s="3" t="s">
        <v>31</v>
      </c>
      <c r="D9046" s="3" t="s">
        <v>32</v>
      </c>
      <c r="E9046" s="4" t="s">
        <v>22</v>
      </c>
      <c r="F9046" s="4" t="s">
        <v>46250</v>
      </c>
      <c r="G9046" s="4" t="s">
        <v>46251</v>
      </c>
      <c r="H9046" s="3" t="s">
        <v>44362</v>
      </c>
      <c r="I9046" s="3" t="s">
        <v>46252</v>
      </c>
      <c r="J9046" s="3" t="s">
        <v>2601</v>
      </c>
      <c r="K9046" s="3" t="s">
        <v>46253</v>
      </c>
      <c r="L9046" s="3" t="s">
        <v>46254</v>
      </c>
      <c r="M9046" s="4"/>
      <c r="N9046" s="3" t="s">
        <v>37</v>
      </c>
      <c r="O9046" s="3" t="s">
        <v>38</v>
      </c>
      <c r="P9046" s="5">
        <v>11</v>
      </c>
      <c r="Q9046" s="5">
        <v>184</v>
      </c>
      <c r="R9046" s="5">
        <v>11</v>
      </c>
      <c r="S9046" s="5">
        <v>185</v>
      </c>
    </row>
    <row r="9047" spans="1:19" ht="28" x14ac:dyDescent="0.15">
      <c r="A9047" s="2">
        <f>HYPERLINK("https://open-school.uspishnemisto.com.ua/school/480415/", 480415)</f>
        <v>480415</v>
      </c>
      <c r="B9047" s="3" t="s">
        <v>46255</v>
      </c>
      <c r="C9047" s="3" t="s">
        <v>31</v>
      </c>
      <c r="D9047" s="3" t="s">
        <v>32</v>
      </c>
      <c r="E9047" s="4" t="s">
        <v>22</v>
      </c>
      <c r="F9047" s="4" t="s">
        <v>46256</v>
      </c>
      <c r="G9047" s="4" t="s">
        <v>46257</v>
      </c>
      <c r="H9047" s="3" t="s">
        <v>44362</v>
      </c>
      <c r="I9047" s="3" t="s">
        <v>883</v>
      </c>
      <c r="J9047" s="3" t="s">
        <v>46258</v>
      </c>
      <c r="K9047" s="3" t="s">
        <v>46259</v>
      </c>
      <c r="L9047" s="3"/>
      <c r="M9047" s="4"/>
      <c r="N9047" s="3" t="s">
        <v>37</v>
      </c>
      <c r="O9047" s="3" t="s">
        <v>52</v>
      </c>
      <c r="P9047" s="5">
        <v>7</v>
      </c>
      <c r="Q9047" s="5">
        <v>59</v>
      </c>
      <c r="R9047" s="5">
        <v>6</v>
      </c>
      <c r="S9047" s="5">
        <v>55</v>
      </c>
    </row>
    <row r="9048" spans="1:19" ht="28" x14ac:dyDescent="0.15">
      <c r="A9048" s="2">
        <f>HYPERLINK("https://open-school.uspishnemisto.com.ua/school/480416/", 480416)</f>
        <v>480416</v>
      </c>
      <c r="B9048" s="3" t="s">
        <v>46260</v>
      </c>
      <c r="C9048" s="3" t="s">
        <v>31</v>
      </c>
      <c r="D9048" s="3" t="s">
        <v>175</v>
      </c>
      <c r="E9048" s="4" t="s">
        <v>22</v>
      </c>
      <c r="F9048" s="4" t="s">
        <v>46261</v>
      </c>
      <c r="G9048" s="4" t="s">
        <v>46262</v>
      </c>
      <c r="H9048" s="3" t="s">
        <v>44362</v>
      </c>
      <c r="I9048" s="3" t="s">
        <v>12478</v>
      </c>
      <c r="J9048" s="3" t="s">
        <v>46263</v>
      </c>
      <c r="K9048" s="3" t="s">
        <v>46264</v>
      </c>
      <c r="L9048" s="3"/>
      <c r="M9048" s="4"/>
      <c r="N9048" s="3" t="s">
        <v>37</v>
      </c>
      <c r="O9048" s="3" t="s">
        <v>52</v>
      </c>
      <c r="P9048" s="5">
        <v>9</v>
      </c>
      <c r="Q9048" s="5">
        <v>88</v>
      </c>
      <c r="R9048" s="5">
        <v>8</v>
      </c>
      <c r="S9048" s="5">
        <v>74</v>
      </c>
    </row>
    <row r="9049" spans="1:19" ht="28" x14ac:dyDescent="0.15">
      <c r="A9049" s="2">
        <f>HYPERLINK("https://open-school.uspishnemisto.com.ua/school/480417/", 480417)</f>
        <v>480417</v>
      </c>
      <c r="B9049" s="3" t="s">
        <v>46265</v>
      </c>
      <c r="C9049" s="3" t="s">
        <v>31</v>
      </c>
      <c r="D9049" s="3" t="s">
        <v>32</v>
      </c>
      <c r="E9049" s="4" t="s">
        <v>22</v>
      </c>
      <c r="F9049" s="4" t="s">
        <v>46233</v>
      </c>
      <c r="G9049" s="4" t="s">
        <v>46266</v>
      </c>
      <c r="H9049" s="3" t="s">
        <v>44362</v>
      </c>
      <c r="I9049" s="3" t="s">
        <v>15491</v>
      </c>
      <c r="J9049" s="3" t="s">
        <v>878</v>
      </c>
      <c r="K9049" s="3" t="s">
        <v>46267</v>
      </c>
      <c r="L9049" s="3"/>
      <c r="M9049" s="4"/>
      <c r="N9049" s="3" t="s">
        <v>37</v>
      </c>
      <c r="O9049" s="3" t="s">
        <v>38</v>
      </c>
      <c r="P9049" s="5">
        <v>11</v>
      </c>
      <c r="Q9049" s="5">
        <v>110</v>
      </c>
      <c r="R9049" s="5">
        <v>11</v>
      </c>
      <c r="S9049" s="5">
        <v>106</v>
      </c>
    </row>
    <row r="9050" spans="1:19" ht="28" x14ac:dyDescent="0.15">
      <c r="A9050" s="2">
        <f>HYPERLINK("https://open-school.uspishnemisto.com.ua/school/480418/", 480418)</f>
        <v>480418</v>
      </c>
      <c r="B9050" s="3" t="s">
        <v>46268</v>
      </c>
      <c r="C9050" s="3" t="s">
        <v>31</v>
      </c>
      <c r="D9050" s="3" t="s">
        <v>32</v>
      </c>
      <c r="E9050" s="4" t="s">
        <v>22</v>
      </c>
      <c r="F9050" s="4" t="s">
        <v>46269</v>
      </c>
      <c r="G9050" s="4" t="s">
        <v>46270</v>
      </c>
      <c r="H9050" s="3" t="s">
        <v>44362</v>
      </c>
      <c r="I9050" s="3" t="s">
        <v>46271</v>
      </c>
      <c r="J9050" s="3" t="s">
        <v>46272</v>
      </c>
      <c r="K9050" s="3" t="s">
        <v>46273</v>
      </c>
      <c r="L9050" s="3" t="s">
        <v>46274</v>
      </c>
      <c r="M9050" s="4"/>
      <c r="N9050" s="3" t="s">
        <v>37</v>
      </c>
      <c r="O9050" s="3" t="s">
        <v>38</v>
      </c>
      <c r="P9050" s="5">
        <v>10</v>
      </c>
      <c r="Q9050" s="5">
        <v>144</v>
      </c>
      <c r="R9050" s="5">
        <v>11</v>
      </c>
      <c r="S9050" s="5">
        <v>155</v>
      </c>
    </row>
    <row r="9051" spans="1:19" ht="28" x14ac:dyDescent="0.15">
      <c r="A9051" s="2">
        <f>HYPERLINK("https://open-school.uspishnemisto.com.ua/school/480419/", 480419)</f>
        <v>480419</v>
      </c>
      <c r="B9051" s="3" t="s">
        <v>46275</v>
      </c>
      <c r="C9051" s="3" t="s">
        <v>31</v>
      </c>
      <c r="D9051" s="3" t="s">
        <v>32</v>
      </c>
      <c r="E9051" s="4" t="s">
        <v>22</v>
      </c>
      <c r="F9051" s="4" t="s">
        <v>46276</v>
      </c>
      <c r="G9051" s="4" t="s">
        <v>46277</v>
      </c>
      <c r="H9051" s="3" t="s">
        <v>44362</v>
      </c>
      <c r="I9051" s="3" t="s">
        <v>25770</v>
      </c>
      <c r="J9051" s="3" t="s">
        <v>12690</v>
      </c>
      <c r="K9051" s="3" t="s">
        <v>46278</v>
      </c>
      <c r="L9051" s="3"/>
      <c r="M9051" s="4"/>
      <c r="N9051" s="3" t="s">
        <v>37</v>
      </c>
      <c r="O9051" s="3" t="s">
        <v>52</v>
      </c>
      <c r="P9051" s="5">
        <v>11</v>
      </c>
      <c r="Q9051" s="5">
        <v>83</v>
      </c>
      <c r="R9051" s="5">
        <v>9</v>
      </c>
      <c r="S9051" s="5">
        <v>72</v>
      </c>
    </row>
    <row r="9052" spans="1:19" ht="28" x14ac:dyDescent="0.15">
      <c r="A9052" s="2">
        <f>HYPERLINK("https://open-school.uspishnemisto.com.ua/school/480420/", 480420)</f>
        <v>480420</v>
      </c>
      <c r="B9052" s="3" t="s">
        <v>46279</v>
      </c>
      <c r="C9052" s="3" t="s">
        <v>31</v>
      </c>
      <c r="D9052" s="3" t="s">
        <v>32</v>
      </c>
      <c r="E9052" s="4" t="s">
        <v>22</v>
      </c>
      <c r="F9052" s="4" t="s">
        <v>46280</v>
      </c>
      <c r="G9052" s="4" t="s">
        <v>46281</v>
      </c>
      <c r="H9052" s="3" t="s">
        <v>44362</v>
      </c>
      <c r="I9052" s="3" t="s">
        <v>11305</v>
      </c>
      <c r="J9052" s="3" t="s">
        <v>33452</v>
      </c>
      <c r="K9052" s="3" t="s">
        <v>46282</v>
      </c>
      <c r="L9052" s="3"/>
      <c r="M9052" s="4"/>
      <c r="N9052" s="3" t="s">
        <v>37</v>
      </c>
      <c r="O9052" s="3" t="s">
        <v>38</v>
      </c>
      <c r="P9052" s="5">
        <v>11</v>
      </c>
      <c r="Q9052" s="5">
        <v>148</v>
      </c>
      <c r="R9052" s="5">
        <v>11</v>
      </c>
      <c r="S9052" s="5">
        <v>156</v>
      </c>
    </row>
    <row r="9053" spans="1:19" ht="28" x14ac:dyDescent="0.15">
      <c r="A9053" s="2">
        <f>HYPERLINK("https://open-school.uspishnemisto.com.ua/school/480421/", 480421)</f>
        <v>480421</v>
      </c>
      <c r="B9053" s="3" t="s">
        <v>46283</v>
      </c>
      <c r="C9053" s="3" t="s">
        <v>31</v>
      </c>
      <c r="D9053" s="3" t="s">
        <v>175</v>
      </c>
      <c r="E9053" s="4" t="s">
        <v>22</v>
      </c>
      <c r="F9053" s="4" t="s">
        <v>46284</v>
      </c>
      <c r="G9053" s="4" t="s">
        <v>46285</v>
      </c>
      <c r="H9053" s="3" t="s">
        <v>44362</v>
      </c>
      <c r="I9053" s="3" t="s">
        <v>11029</v>
      </c>
      <c r="J9053" s="3" t="s">
        <v>46286</v>
      </c>
      <c r="K9053" s="3" t="s">
        <v>46287</v>
      </c>
      <c r="L9053" s="3"/>
      <c r="M9053" s="4"/>
      <c r="N9053" s="3" t="s">
        <v>37</v>
      </c>
      <c r="O9053" s="3" t="s">
        <v>112</v>
      </c>
      <c r="P9053" s="5">
        <v>5</v>
      </c>
      <c r="Q9053" s="5">
        <v>42</v>
      </c>
      <c r="R9053" s="5">
        <v>5</v>
      </c>
      <c r="S9053" s="5">
        <v>36</v>
      </c>
    </row>
    <row r="9054" spans="1:19" ht="42" x14ac:dyDescent="0.15">
      <c r="A9054" s="2">
        <f>HYPERLINK("https://open-school.uspishnemisto.com.ua/school/480422/", 480422)</f>
        <v>480422</v>
      </c>
      <c r="B9054" s="3" t="s">
        <v>46288</v>
      </c>
      <c r="C9054" s="3" t="s">
        <v>31</v>
      </c>
      <c r="D9054" s="3" t="s">
        <v>32</v>
      </c>
      <c r="E9054" s="4" t="s">
        <v>22</v>
      </c>
      <c r="F9054" s="4" t="s">
        <v>46289</v>
      </c>
      <c r="G9054" s="4" t="s">
        <v>46290</v>
      </c>
      <c r="H9054" s="3" t="s">
        <v>44362</v>
      </c>
      <c r="I9054" s="3" t="s">
        <v>46291</v>
      </c>
      <c r="J9054" s="3" t="s">
        <v>46292</v>
      </c>
      <c r="K9054" s="3" t="s">
        <v>46293</v>
      </c>
      <c r="L9054" s="3" t="s">
        <v>46294</v>
      </c>
      <c r="M9054" s="4"/>
      <c r="N9054" s="3" t="s">
        <v>37</v>
      </c>
      <c r="O9054" s="3" t="s">
        <v>70</v>
      </c>
      <c r="P9054" s="5">
        <v>11</v>
      </c>
      <c r="Q9054" s="5">
        <v>92</v>
      </c>
      <c r="R9054" s="5">
        <v>10</v>
      </c>
      <c r="S9054" s="5">
        <v>91</v>
      </c>
    </row>
    <row r="9055" spans="1:19" ht="42" x14ac:dyDescent="0.15">
      <c r="A9055" s="2">
        <f>HYPERLINK("https://open-school.uspishnemisto.com.ua/school/480423/", 480423)</f>
        <v>480423</v>
      </c>
      <c r="B9055" s="3" t="s">
        <v>46295</v>
      </c>
      <c r="C9055" s="3" t="s">
        <v>31</v>
      </c>
      <c r="D9055" s="3" t="s">
        <v>32</v>
      </c>
      <c r="E9055" s="4" t="s">
        <v>22</v>
      </c>
      <c r="F9055" s="4" t="s">
        <v>46296</v>
      </c>
      <c r="G9055" s="4" t="s">
        <v>46297</v>
      </c>
      <c r="H9055" s="3" t="s">
        <v>44362</v>
      </c>
      <c r="I9055" s="3" t="s">
        <v>688</v>
      </c>
      <c r="J9055" s="3" t="s">
        <v>18094</v>
      </c>
      <c r="K9055" s="3" t="s">
        <v>46298</v>
      </c>
      <c r="L9055" s="3" t="s">
        <v>46299</v>
      </c>
      <c r="M9055" s="4"/>
      <c r="N9055" s="3" t="s">
        <v>37</v>
      </c>
      <c r="O9055" s="3" t="s">
        <v>46</v>
      </c>
      <c r="P9055" s="5">
        <v>11</v>
      </c>
      <c r="Q9055" s="5">
        <v>175</v>
      </c>
      <c r="R9055" s="5">
        <v>11</v>
      </c>
      <c r="S9055" s="5">
        <v>156</v>
      </c>
    </row>
    <row r="9056" spans="1:19" ht="42" x14ac:dyDescent="0.15">
      <c r="A9056" s="2">
        <f>HYPERLINK("https://open-school.uspishnemisto.com.ua/school/480424/", 480424)</f>
        <v>480424</v>
      </c>
      <c r="B9056" s="3" t="s">
        <v>46300</v>
      </c>
      <c r="C9056" s="3" t="s">
        <v>31</v>
      </c>
      <c r="D9056" s="3" t="s">
        <v>60</v>
      </c>
      <c r="E9056" s="4" t="s">
        <v>22</v>
      </c>
      <c r="F9056" s="4" t="s">
        <v>46296</v>
      </c>
      <c r="G9056" s="4" t="s">
        <v>46301</v>
      </c>
      <c r="H9056" s="3" t="s">
        <v>44362</v>
      </c>
      <c r="I9056" s="3" t="s">
        <v>24736</v>
      </c>
      <c r="J9056" s="3" t="s">
        <v>46302</v>
      </c>
      <c r="K9056" s="3"/>
      <c r="L9056" s="3"/>
      <c r="M9056" s="4"/>
      <c r="N9056" s="3" t="s">
        <v>37</v>
      </c>
      <c r="O9056" s="3" t="s">
        <v>52</v>
      </c>
      <c r="P9056" s="5">
        <v>1</v>
      </c>
      <c r="Q9056" s="5">
        <v>21</v>
      </c>
      <c r="R9056" s="5">
        <v>2</v>
      </c>
      <c r="S9056" s="5">
        <v>20</v>
      </c>
    </row>
    <row r="9057" spans="1:19" ht="28" x14ac:dyDescent="0.15">
      <c r="A9057" s="2">
        <f>HYPERLINK("https://open-school.uspishnemisto.com.ua/school/480425/", 480425)</f>
        <v>480425</v>
      </c>
      <c r="B9057" s="3" t="s">
        <v>46303</v>
      </c>
      <c r="C9057" s="3" t="s">
        <v>31</v>
      </c>
      <c r="D9057" s="3" t="s">
        <v>32</v>
      </c>
      <c r="E9057" s="4" t="s">
        <v>22</v>
      </c>
      <c r="F9057" s="4" t="s">
        <v>46304</v>
      </c>
      <c r="G9057" s="4" t="s">
        <v>46305</v>
      </c>
      <c r="H9057" s="3" t="s">
        <v>44362</v>
      </c>
      <c r="I9057" s="3" t="s">
        <v>46306</v>
      </c>
      <c r="J9057" s="3" t="s">
        <v>2191</v>
      </c>
      <c r="K9057" s="3" t="s">
        <v>46307</v>
      </c>
      <c r="L9057" s="3"/>
      <c r="M9057" s="4"/>
      <c r="N9057" s="3" t="s">
        <v>37</v>
      </c>
      <c r="O9057" s="3" t="s">
        <v>38</v>
      </c>
      <c r="P9057" s="5">
        <v>11</v>
      </c>
      <c r="Q9057" s="5">
        <v>96</v>
      </c>
      <c r="R9057" s="5">
        <v>11</v>
      </c>
      <c r="S9057" s="5">
        <v>92</v>
      </c>
    </row>
    <row r="9058" spans="1:19" ht="28" x14ac:dyDescent="0.15">
      <c r="A9058" s="2">
        <f>HYPERLINK("https://open-school.uspishnemisto.com.ua/school/480426/", 480426)</f>
        <v>480426</v>
      </c>
      <c r="B9058" s="3" t="s">
        <v>46308</v>
      </c>
      <c r="C9058" s="3" t="s">
        <v>31</v>
      </c>
      <c r="D9058" s="3" t="s">
        <v>175</v>
      </c>
      <c r="E9058" s="4" t="s">
        <v>22</v>
      </c>
      <c r="F9058" s="4" t="s">
        <v>46309</v>
      </c>
      <c r="G9058" s="4" t="s">
        <v>46310</v>
      </c>
      <c r="H9058" s="3" t="s">
        <v>44362</v>
      </c>
      <c r="I9058" s="3" t="s">
        <v>15367</v>
      </c>
      <c r="J9058" s="3" t="s">
        <v>2601</v>
      </c>
      <c r="K9058" s="3" t="s">
        <v>46311</v>
      </c>
      <c r="L9058" s="3"/>
      <c r="M9058" s="4"/>
      <c r="N9058" s="3" t="s">
        <v>37</v>
      </c>
      <c r="O9058" s="3" t="s">
        <v>52</v>
      </c>
      <c r="P9058" s="5">
        <v>1</v>
      </c>
      <c r="Q9058" s="5">
        <v>14</v>
      </c>
      <c r="R9058" s="5">
        <v>3</v>
      </c>
      <c r="S9058" s="5">
        <v>41</v>
      </c>
    </row>
    <row r="9059" spans="1:19" ht="42" x14ac:dyDescent="0.15">
      <c r="A9059" s="2">
        <f>HYPERLINK("https://open-school.uspishnemisto.com.ua/school/480427/", 480427)</f>
        <v>480427</v>
      </c>
      <c r="B9059" s="3" t="s">
        <v>46312</v>
      </c>
      <c r="C9059" s="3" t="s">
        <v>40</v>
      </c>
      <c r="D9059" s="3" t="s">
        <v>32</v>
      </c>
      <c r="E9059" s="4" t="s">
        <v>22</v>
      </c>
      <c r="F9059" s="4" t="s">
        <v>46313</v>
      </c>
      <c r="G9059" s="4" t="s">
        <v>46314</v>
      </c>
      <c r="H9059" s="3" t="s">
        <v>44362</v>
      </c>
      <c r="I9059" s="3" t="s">
        <v>46315</v>
      </c>
      <c r="J9059" s="3" t="s">
        <v>46316</v>
      </c>
      <c r="K9059" s="3" t="s">
        <v>46317</v>
      </c>
      <c r="L9059" s="3" t="s">
        <v>46318</v>
      </c>
      <c r="M9059" s="4"/>
      <c r="N9059" s="3" t="s">
        <v>37</v>
      </c>
      <c r="O9059" s="3" t="s">
        <v>52</v>
      </c>
      <c r="P9059" s="5">
        <v>7</v>
      </c>
      <c r="Q9059" s="5">
        <v>199</v>
      </c>
      <c r="R9059" s="5">
        <v>7</v>
      </c>
      <c r="S9059" s="5">
        <v>197</v>
      </c>
    </row>
    <row r="9060" spans="1:19" ht="28" x14ac:dyDescent="0.15">
      <c r="A9060" s="2">
        <f>HYPERLINK("https://open-school.uspishnemisto.com.ua/school/480428/", 480428)</f>
        <v>480428</v>
      </c>
      <c r="B9060" s="3" t="s">
        <v>46319</v>
      </c>
      <c r="C9060" s="3" t="s">
        <v>31</v>
      </c>
      <c r="D9060" s="3" t="s">
        <v>175</v>
      </c>
      <c r="E9060" s="4" t="s">
        <v>22</v>
      </c>
      <c r="F9060" s="4" t="s">
        <v>46320</v>
      </c>
      <c r="G9060" s="4" t="s">
        <v>46314</v>
      </c>
      <c r="H9060" s="3" t="s">
        <v>44362</v>
      </c>
      <c r="I9060" s="3" t="s">
        <v>46315</v>
      </c>
      <c r="J9060" s="3" t="s">
        <v>46321</v>
      </c>
      <c r="K9060" s="3" t="s">
        <v>46322</v>
      </c>
      <c r="L9060" s="3" t="s">
        <v>46323</v>
      </c>
      <c r="M9060" s="4"/>
      <c r="N9060" s="3" t="s">
        <v>37</v>
      </c>
      <c r="O9060" s="3" t="s">
        <v>52</v>
      </c>
      <c r="P9060" s="5">
        <v>9</v>
      </c>
      <c r="Q9060" s="5">
        <v>142</v>
      </c>
      <c r="R9060" s="5">
        <v>9</v>
      </c>
      <c r="S9060" s="5">
        <v>135</v>
      </c>
    </row>
    <row r="9061" spans="1:19" ht="28" x14ac:dyDescent="0.15">
      <c r="A9061" s="2">
        <f>HYPERLINK("https://open-school.uspishnemisto.com.ua/school/480429/", 480429)</f>
        <v>480429</v>
      </c>
      <c r="B9061" s="3" t="s">
        <v>46324</v>
      </c>
      <c r="C9061" s="3" t="s">
        <v>31</v>
      </c>
      <c r="D9061" s="3" t="s">
        <v>175</v>
      </c>
      <c r="E9061" s="4" t="s">
        <v>22</v>
      </c>
      <c r="F9061" s="4" t="s">
        <v>46320</v>
      </c>
      <c r="G9061" s="4" t="s">
        <v>46314</v>
      </c>
      <c r="H9061" s="3" t="s">
        <v>44362</v>
      </c>
      <c r="I9061" s="3" t="s">
        <v>46315</v>
      </c>
      <c r="J9061" s="3" t="s">
        <v>46325</v>
      </c>
      <c r="K9061" s="3" t="s">
        <v>46326</v>
      </c>
      <c r="L9061" s="3"/>
      <c r="M9061" s="4"/>
      <c r="N9061" s="3" t="s">
        <v>37</v>
      </c>
      <c r="O9061" s="3" t="s">
        <v>52</v>
      </c>
      <c r="P9061" s="5">
        <v>9</v>
      </c>
      <c r="Q9061" s="5">
        <v>72</v>
      </c>
      <c r="R9061" s="5">
        <v>9</v>
      </c>
      <c r="S9061" s="5">
        <v>66</v>
      </c>
    </row>
    <row r="9062" spans="1:19" ht="28" x14ac:dyDescent="0.15">
      <c r="A9062" s="2">
        <f>HYPERLINK("https://open-school.uspishnemisto.com.ua/school/480430/", 480430)</f>
        <v>480430</v>
      </c>
      <c r="B9062" s="3" t="s">
        <v>46327</v>
      </c>
      <c r="C9062" s="3" t="s">
        <v>31</v>
      </c>
      <c r="D9062" s="3" t="s">
        <v>32</v>
      </c>
      <c r="E9062" s="4" t="s">
        <v>22</v>
      </c>
      <c r="F9062" s="4" t="s">
        <v>46320</v>
      </c>
      <c r="G9062" s="4" t="s">
        <v>46314</v>
      </c>
      <c r="H9062" s="3" t="s">
        <v>44362</v>
      </c>
      <c r="I9062" s="3" t="s">
        <v>46315</v>
      </c>
      <c r="J9062" s="3" t="s">
        <v>46328</v>
      </c>
      <c r="K9062" s="3" t="s">
        <v>46329</v>
      </c>
      <c r="L9062" s="3" t="s">
        <v>46330</v>
      </c>
      <c r="M9062" s="4" t="s">
        <v>46331</v>
      </c>
      <c r="N9062" s="3" t="s">
        <v>37</v>
      </c>
      <c r="O9062" s="3" t="s">
        <v>38</v>
      </c>
      <c r="P9062" s="5">
        <v>38</v>
      </c>
      <c r="Q9062" s="5">
        <v>767</v>
      </c>
      <c r="R9062" s="5">
        <v>38</v>
      </c>
      <c r="S9062" s="5">
        <v>769</v>
      </c>
    </row>
    <row r="9063" spans="1:19" ht="28" x14ac:dyDescent="0.15">
      <c r="A9063" s="2">
        <f>HYPERLINK("https://open-school.uspishnemisto.com.ua/school/480431/", 480431)</f>
        <v>480431</v>
      </c>
      <c r="B9063" s="3" t="s">
        <v>46332</v>
      </c>
      <c r="C9063" s="3" t="s">
        <v>31</v>
      </c>
      <c r="D9063" s="3" t="s">
        <v>32</v>
      </c>
      <c r="E9063" s="4" t="s">
        <v>22</v>
      </c>
      <c r="F9063" s="4" t="s">
        <v>46333</v>
      </c>
      <c r="G9063" s="4" t="s">
        <v>46314</v>
      </c>
      <c r="H9063" s="3" t="s">
        <v>44362</v>
      </c>
      <c r="I9063" s="3" t="s">
        <v>46315</v>
      </c>
      <c r="J9063" s="3" t="s">
        <v>46334</v>
      </c>
      <c r="K9063" s="3" t="s">
        <v>46335</v>
      </c>
      <c r="L9063" s="3" t="s">
        <v>46336</v>
      </c>
      <c r="M9063" s="4" t="s">
        <v>46337</v>
      </c>
      <c r="N9063" s="3" t="s">
        <v>37</v>
      </c>
      <c r="O9063" s="3" t="s">
        <v>52</v>
      </c>
      <c r="P9063" s="5">
        <v>13</v>
      </c>
      <c r="Q9063" s="5">
        <v>205</v>
      </c>
      <c r="R9063" s="5">
        <v>12</v>
      </c>
      <c r="S9063" s="5">
        <v>195</v>
      </c>
    </row>
    <row r="9064" spans="1:19" ht="28" x14ac:dyDescent="0.15">
      <c r="A9064" s="2">
        <f>HYPERLINK("https://open-school.uspishnemisto.com.ua/school/480432/", 480432)</f>
        <v>480432</v>
      </c>
      <c r="B9064" s="3" t="s">
        <v>46338</v>
      </c>
      <c r="C9064" s="3" t="s">
        <v>31</v>
      </c>
      <c r="D9064" s="3" t="s">
        <v>32</v>
      </c>
      <c r="E9064" s="4" t="s">
        <v>253</v>
      </c>
      <c r="F9064" s="4" t="s">
        <v>46320</v>
      </c>
      <c r="G9064" s="4" t="s">
        <v>46314</v>
      </c>
      <c r="H9064" s="3" t="s">
        <v>44362</v>
      </c>
      <c r="I9064" s="3" t="s">
        <v>46315</v>
      </c>
      <c r="J9064" s="3" t="s">
        <v>46339</v>
      </c>
      <c r="K9064" s="3" t="s">
        <v>46340</v>
      </c>
      <c r="L9064" s="3"/>
      <c r="M9064" s="4" t="s">
        <v>46341</v>
      </c>
      <c r="N9064" s="3" t="s">
        <v>37</v>
      </c>
      <c r="O9064" s="3" t="s">
        <v>52</v>
      </c>
      <c r="P9064" s="5">
        <v>18</v>
      </c>
      <c r="Q9064" s="5">
        <v>388</v>
      </c>
      <c r="R9064" s="5">
        <v>18</v>
      </c>
      <c r="S9064" s="5">
        <v>362</v>
      </c>
    </row>
    <row r="9065" spans="1:19" ht="28" x14ac:dyDescent="0.15">
      <c r="A9065" s="2">
        <f>HYPERLINK("https://open-school.uspishnemisto.com.ua/school/480433/", 480433)</f>
        <v>480433</v>
      </c>
      <c r="B9065" s="3" t="s">
        <v>46342</v>
      </c>
      <c r="C9065" s="3" t="s">
        <v>31</v>
      </c>
      <c r="D9065" s="3" t="s">
        <v>32</v>
      </c>
      <c r="E9065" s="4" t="s">
        <v>22</v>
      </c>
      <c r="F9065" s="4" t="s">
        <v>46343</v>
      </c>
      <c r="G9065" s="4" t="s">
        <v>46344</v>
      </c>
      <c r="H9065" s="3" t="s">
        <v>44362</v>
      </c>
      <c r="I9065" s="3" t="s">
        <v>46345</v>
      </c>
      <c r="J9065" s="3" t="s">
        <v>466</v>
      </c>
      <c r="K9065" s="3" t="s">
        <v>46346</v>
      </c>
      <c r="L9065" s="3"/>
      <c r="M9065" s="4"/>
      <c r="N9065" s="3" t="s">
        <v>37</v>
      </c>
      <c r="O9065" s="3" t="s">
        <v>46</v>
      </c>
      <c r="P9065" s="5">
        <v>8</v>
      </c>
      <c r="Q9065" s="5">
        <v>61</v>
      </c>
      <c r="R9065" s="5">
        <v>7</v>
      </c>
      <c r="S9065" s="5">
        <v>61</v>
      </c>
    </row>
    <row r="9066" spans="1:19" ht="28" x14ac:dyDescent="0.15">
      <c r="A9066" s="2">
        <f>HYPERLINK("https://open-school.uspishnemisto.com.ua/school/480434/", 480434)</f>
        <v>480434</v>
      </c>
      <c r="B9066" s="3" t="s">
        <v>46347</v>
      </c>
      <c r="C9066" s="3" t="s">
        <v>31</v>
      </c>
      <c r="D9066" s="3" t="s">
        <v>175</v>
      </c>
      <c r="E9066" s="4" t="s">
        <v>22</v>
      </c>
      <c r="F9066" s="4" t="s">
        <v>46343</v>
      </c>
      <c r="G9066" s="4" t="s">
        <v>46348</v>
      </c>
      <c r="H9066" s="3" t="s">
        <v>44362</v>
      </c>
      <c r="I9066" s="3" t="s">
        <v>11128</v>
      </c>
      <c r="J9066" s="3" t="s">
        <v>46349</v>
      </c>
      <c r="K9066" s="3" t="s">
        <v>46350</v>
      </c>
      <c r="L9066" s="3" t="s">
        <v>46351</v>
      </c>
      <c r="M9066" s="4"/>
      <c r="N9066" s="3" t="s">
        <v>37</v>
      </c>
      <c r="O9066" s="3" t="s">
        <v>52</v>
      </c>
      <c r="P9066" s="5">
        <v>3</v>
      </c>
      <c r="Q9066" s="5">
        <v>34</v>
      </c>
      <c r="R9066" s="5">
        <v>3</v>
      </c>
      <c r="S9066" s="5">
        <v>34</v>
      </c>
    </row>
    <row r="9067" spans="1:19" ht="28" x14ac:dyDescent="0.15">
      <c r="A9067" s="2">
        <f>HYPERLINK("https://open-school.uspishnemisto.com.ua/school/480435/", 480435)</f>
        <v>480435</v>
      </c>
      <c r="B9067" s="3" t="s">
        <v>46352</v>
      </c>
      <c r="C9067" s="3" t="s">
        <v>31</v>
      </c>
      <c r="D9067" s="3" t="s">
        <v>175</v>
      </c>
      <c r="E9067" s="4" t="s">
        <v>22</v>
      </c>
      <c r="F9067" s="4" t="s">
        <v>46343</v>
      </c>
      <c r="G9067" s="4" t="s">
        <v>46353</v>
      </c>
      <c r="H9067" s="3" t="s">
        <v>44362</v>
      </c>
      <c r="I9067" s="3" t="s">
        <v>46354</v>
      </c>
      <c r="J9067" s="3" t="s">
        <v>466</v>
      </c>
      <c r="K9067" s="3" t="s">
        <v>46355</v>
      </c>
      <c r="L9067" s="3" t="s">
        <v>46356</v>
      </c>
      <c r="M9067" s="4"/>
      <c r="N9067" s="3" t="s">
        <v>37</v>
      </c>
      <c r="O9067" s="3" t="s">
        <v>46</v>
      </c>
      <c r="P9067" s="5">
        <v>5</v>
      </c>
      <c r="Q9067" s="5">
        <v>38</v>
      </c>
      <c r="R9067" s="5">
        <v>5</v>
      </c>
      <c r="S9067" s="5">
        <v>46</v>
      </c>
    </row>
    <row r="9068" spans="1:19" ht="28" x14ac:dyDescent="0.15">
      <c r="A9068" s="2">
        <f>HYPERLINK("https://open-school.uspishnemisto.com.ua/school/480436/", 480436)</f>
        <v>480436</v>
      </c>
      <c r="B9068" s="3" t="s">
        <v>46357</v>
      </c>
      <c r="C9068" s="3" t="s">
        <v>31</v>
      </c>
      <c r="D9068" s="3" t="s">
        <v>32</v>
      </c>
      <c r="E9068" s="4" t="s">
        <v>22</v>
      </c>
      <c r="F9068" s="4" t="s">
        <v>46358</v>
      </c>
      <c r="G9068" s="4" t="s">
        <v>46359</v>
      </c>
      <c r="H9068" s="3" t="s">
        <v>44362</v>
      </c>
      <c r="I9068" s="3" t="s">
        <v>46360</v>
      </c>
      <c r="J9068" s="3" t="s">
        <v>3538</v>
      </c>
      <c r="K9068" s="3" t="s">
        <v>46361</v>
      </c>
      <c r="L9068" s="3"/>
      <c r="M9068" s="4"/>
      <c r="N9068" s="3" t="s">
        <v>37</v>
      </c>
      <c r="O9068" s="3" t="s">
        <v>38</v>
      </c>
      <c r="P9068" s="5">
        <v>8</v>
      </c>
      <c r="Q9068" s="5">
        <v>70</v>
      </c>
      <c r="R9068" s="5">
        <v>7</v>
      </c>
      <c r="S9068" s="5">
        <v>63</v>
      </c>
    </row>
    <row r="9069" spans="1:19" ht="28" x14ac:dyDescent="0.15">
      <c r="A9069" s="2">
        <f>HYPERLINK("https://open-school.uspishnemisto.com.ua/school/480437/", 480437)</f>
        <v>480437</v>
      </c>
      <c r="B9069" s="3" t="s">
        <v>46362</v>
      </c>
      <c r="C9069" s="3" t="s">
        <v>31</v>
      </c>
      <c r="D9069" s="3" t="s">
        <v>32</v>
      </c>
      <c r="E9069" s="4" t="s">
        <v>22</v>
      </c>
      <c r="F9069" s="4" t="s">
        <v>46363</v>
      </c>
      <c r="G9069" s="4" t="s">
        <v>46364</v>
      </c>
      <c r="H9069" s="3" t="s">
        <v>44362</v>
      </c>
      <c r="I9069" s="3" t="s">
        <v>46365</v>
      </c>
      <c r="J9069" s="3" t="s">
        <v>46366</v>
      </c>
      <c r="K9069" s="3" t="s">
        <v>46367</v>
      </c>
      <c r="L9069" s="3" t="s">
        <v>46368</v>
      </c>
      <c r="M9069" s="4"/>
      <c r="N9069" s="3" t="s">
        <v>37</v>
      </c>
      <c r="O9069" s="3" t="s">
        <v>38</v>
      </c>
      <c r="P9069" s="5">
        <v>10</v>
      </c>
      <c r="Q9069" s="5">
        <v>119</v>
      </c>
      <c r="R9069" s="5">
        <v>10</v>
      </c>
      <c r="S9069" s="5">
        <v>114</v>
      </c>
    </row>
    <row r="9070" spans="1:19" ht="28" x14ac:dyDescent="0.15">
      <c r="A9070" s="2">
        <f>HYPERLINK("https://open-school.uspishnemisto.com.ua/school/480438/", 480438)</f>
        <v>480438</v>
      </c>
      <c r="B9070" s="3" t="s">
        <v>46369</v>
      </c>
      <c r="C9070" s="3" t="s">
        <v>31</v>
      </c>
      <c r="D9070" s="3" t="s">
        <v>175</v>
      </c>
      <c r="E9070" s="4" t="s">
        <v>22</v>
      </c>
      <c r="F9070" s="4" t="s">
        <v>46370</v>
      </c>
      <c r="G9070" s="4" t="s">
        <v>46371</v>
      </c>
      <c r="H9070" s="3" t="s">
        <v>44362</v>
      </c>
      <c r="I9070" s="3" t="s">
        <v>25064</v>
      </c>
      <c r="J9070" s="3" t="s">
        <v>46372</v>
      </c>
      <c r="K9070" s="3" t="s">
        <v>46373</v>
      </c>
      <c r="L9070" s="3"/>
      <c r="M9070" s="4"/>
      <c r="N9070" s="3" t="s">
        <v>37</v>
      </c>
      <c r="O9070" s="3" t="s">
        <v>52</v>
      </c>
      <c r="P9070" s="5">
        <v>6</v>
      </c>
      <c r="Q9070" s="5">
        <v>47</v>
      </c>
      <c r="R9070" s="5">
        <v>6</v>
      </c>
      <c r="S9070" s="5">
        <v>50</v>
      </c>
    </row>
    <row r="9071" spans="1:19" ht="28" x14ac:dyDescent="0.15">
      <c r="A9071" s="2">
        <f>HYPERLINK("https://open-school.uspishnemisto.com.ua/school/480439/", 480439)</f>
        <v>480439</v>
      </c>
      <c r="B9071" s="3" t="s">
        <v>46374</v>
      </c>
      <c r="C9071" s="3" t="s">
        <v>31</v>
      </c>
      <c r="D9071" s="3" t="s">
        <v>175</v>
      </c>
      <c r="E9071" s="4" t="s">
        <v>22</v>
      </c>
      <c r="F9071" s="4" t="s">
        <v>46375</v>
      </c>
      <c r="G9071" s="4" t="s">
        <v>46376</v>
      </c>
      <c r="H9071" s="3" t="s">
        <v>44362</v>
      </c>
      <c r="I9071" s="3" t="s">
        <v>16021</v>
      </c>
      <c r="J9071" s="3" t="s">
        <v>7495</v>
      </c>
      <c r="K9071" s="3" t="s">
        <v>46377</v>
      </c>
      <c r="L9071" s="3"/>
      <c r="M9071" s="4"/>
      <c r="N9071" s="3" t="s">
        <v>37</v>
      </c>
      <c r="O9071" s="3" t="s">
        <v>52</v>
      </c>
      <c r="P9071" s="5">
        <v>2</v>
      </c>
      <c r="Q9071" s="5">
        <v>32</v>
      </c>
      <c r="R9071" s="5">
        <v>2</v>
      </c>
      <c r="S9071" s="5">
        <v>25</v>
      </c>
    </row>
    <row r="9072" spans="1:19" ht="28" x14ac:dyDescent="0.15">
      <c r="A9072" s="2">
        <f>HYPERLINK("https://open-school.uspishnemisto.com.ua/school/480440/", 480440)</f>
        <v>480440</v>
      </c>
      <c r="B9072" s="3" t="s">
        <v>46378</v>
      </c>
      <c r="C9072" s="3" t="s">
        <v>31</v>
      </c>
      <c r="D9072" s="3" t="s">
        <v>32</v>
      </c>
      <c r="E9072" s="4" t="s">
        <v>22</v>
      </c>
      <c r="F9072" s="4" t="s">
        <v>46379</v>
      </c>
      <c r="G9072" s="4" t="s">
        <v>46380</v>
      </c>
      <c r="H9072" s="3" t="s">
        <v>44362</v>
      </c>
      <c r="I9072" s="3" t="s">
        <v>15691</v>
      </c>
      <c r="J9072" s="3" t="s">
        <v>46381</v>
      </c>
      <c r="K9072" s="3" t="s">
        <v>46382</v>
      </c>
      <c r="L9072" s="3" t="s">
        <v>46383</v>
      </c>
      <c r="M9072" s="4"/>
      <c r="N9072" s="3" t="s">
        <v>37</v>
      </c>
      <c r="O9072" s="3" t="s">
        <v>38</v>
      </c>
      <c r="P9072" s="5">
        <v>10</v>
      </c>
      <c r="Q9072" s="5">
        <v>63</v>
      </c>
      <c r="R9072" s="5">
        <v>10</v>
      </c>
      <c r="S9072" s="5">
        <v>61</v>
      </c>
    </row>
    <row r="9073" spans="1:19" ht="28" x14ac:dyDescent="0.15">
      <c r="A9073" s="2">
        <f>HYPERLINK("https://open-school.uspishnemisto.com.ua/school/480441/", 480441)</f>
        <v>480441</v>
      </c>
      <c r="B9073" s="3" t="s">
        <v>46384</v>
      </c>
      <c r="C9073" s="3" t="s">
        <v>31</v>
      </c>
      <c r="D9073" s="3" t="s">
        <v>32</v>
      </c>
      <c r="E9073" s="4" t="s">
        <v>22</v>
      </c>
      <c r="F9073" s="4" t="s">
        <v>46385</v>
      </c>
      <c r="G9073" s="4" t="s">
        <v>46386</v>
      </c>
      <c r="H9073" s="3" t="s">
        <v>44362</v>
      </c>
      <c r="I9073" s="3" t="s">
        <v>11119</v>
      </c>
      <c r="J9073" s="3" t="s">
        <v>2226</v>
      </c>
      <c r="K9073" s="3" t="s">
        <v>46387</v>
      </c>
      <c r="L9073" s="3"/>
      <c r="M9073" s="4"/>
      <c r="N9073" s="3" t="s">
        <v>37</v>
      </c>
      <c r="O9073" s="3" t="s">
        <v>52</v>
      </c>
      <c r="P9073" s="5">
        <v>6</v>
      </c>
      <c r="Q9073" s="5">
        <v>44</v>
      </c>
      <c r="R9073" s="5">
        <v>7</v>
      </c>
      <c r="S9073" s="5">
        <v>56</v>
      </c>
    </row>
    <row r="9074" spans="1:19" ht="28" x14ac:dyDescent="0.15">
      <c r="A9074" s="2">
        <f>HYPERLINK("https://open-school.uspishnemisto.com.ua/school/480442/", 480442)</f>
        <v>480442</v>
      </c>
      <c r="B9074" s="3" t="s">
        <v>46388</v>
      </c>
      <c r="C9074" s="3" t="s">
        <v>31</v>
      </c>
      <c r="D9074" s="3" t="s">
        <v>32</v>
      </c>
      <c r="E9074" s="4" t="s">
        <v>22</v>
      </c>
      <c r="F9074" s="4" t="s">
        <v>46389</v>
      </c>
      <c r="G9074" s="4" t="s">
        <v>46390</v>
      </c>
      <c r="H9074" s="3" t="s">
        <v>44362</v>
      </c>
      <c r="I9074" s="3" t="s">
        <v>26768</v>
      </c>
      <c r="J9074" s="3" t="s">
        <v>46391</v>
      </c>
      <c r="K9074" s="3" t="s">
        <v>46392</v>
      </c>
      <c r="L9074" s="3" t="s">
        <v>46393</v>
      </c>
      <c r="M9074" s="4"/>
      <c r="N9074" s="3" t="s">
        <v>37</v>
      </c>
      <c r="O9074" s="3" t="s">
        <v>52</v>
      </c>
      <c r="P9074" s="5">
        <v>11</v>
      </c>
      <c r="Q9074" s="5">
        <v>162</v>
      </c>
      <c r="R9074" s="5">
        <v>11</v>
      </c>
      <c r="S9074" s="5">
        <v>167</v>
      </c>
    </row>
    <row r="9075" spans="1:19" ht="28" x14ac:dyDescent="0.15">
      <c r="A9075" s="2">
        <f>HYPERLINK("https://open-school.uspishnemisto.com.ua/school/480443/", 480443)</f>
        <v>480443</v>
      </c>
      <c r="B9075" s="3" t="s">
        <v>46394</v>
      </c>
      <c r="C9075" s="3" t="s">
        <v>31</v>
      </c>
      <c r="D9075" s="3" t="s">
        <v>32</v>
      </c>
      <c r="E9075" s="4" t="s">
        <v>22</v>
      </c>
      <c r="F9075" s="4" t="s">
        <v>46395</v>
      </c>
      <c r="G9075" s="4" t="s">
        <v>46396</v>
      </c>
      <c r="H9075" s="3" t="s">
        <v>44362</v>
      </c>
      <c r="I9075" s="3" t="s">
        <v>46397</v>
      </c>
      <c r="J9075" s="3" t="s">
        <v>7304</v>
      </c>
      <c r="K9075" s="3" t="s">
        <v>46398</v>
      </c>
      <c r="L9075" s="3" t="s">
        <v>46399</v>
      </c>
      <c r="M9075" s="4"/>
      <c r="N9075" s="3" t="s">
        <v>37</v>
      </c>
      <c r="O9075" s="3" t="s">
        <v>52</v>
      </c>
      <c r="P9075" s="5">
        <v>6</v>
      </c>
      <c r="Q9075" s="5">
        <v>52</v>
      </c>
      <c r="R9075" s="5">
        <v>8</v>
      </c>
      <c r="S9075" s="5">
        <v>66</v>
      </c>
    </row>
    <row r="9076" spans="1:19" ht="28" x14ac:dyDescent="0.15">
      <c r="A9076" s="2">
        <f>HYPERLINK("https://open-school.uspishnemisto.com.ua/school/480444/", 480444)</f>
        <v>480444</v>
      </c>
      <c r="B9076" s="3" t="s">
        <v>46400</v>
      </c>
      <c r="C9076" s="3" t="s">
        <v>31</v>
      </c>
      <c r="D9076" s="3" t="s">
        <v>32</v>
      </c>
      <c r="E9076" s="4" t="s">
        <v>22</v>
      </c>
      <c r="F9076" s="4" t="s">
        <v>46401</v>
      </c>
      <c r="G9076" s="4" t="s">
        <v>46402</v>
      </c>
      <c r="H9076" s="3" t="s">
        <v>44362</v>
      </c>
      <c r="I9076" s="3" t="s">
        <v>46403</v>
      </c>
      <c r="J9076" s="3" t="s">
        <v>1636</v>
      </c>
      <c r="K9076" s="3" t="s">
        <v>46404</v>
      </c>
      <c r="L9076" s="3"/>
      <c r="M9076" s="4"/>
      <c r="N9076" s="3" t="s">
        <v>37</v>
      </c>
      <c r="O9076" s="3" t="s">
        <v>38</v>
      </c>
      <c r="P9076" s="5">
        <v>8</v>
      </c>
      <c r="Q9076" s="5">
        <v>67</v>
      </c>
      <c r="R9076" s="5">
        <v>9</v>
      </c>
      <c r="S9076" s="5">
        <v>73</v>
      </c>
    </row>
    <row r="9077" spans="1:19" ht="28" x14ac:dyDescent="0.15">
      <c r="A9077" s="2">
        <f>HYPERLINK("https://open-school.uspishnemisto.com.ua/school/480445/", 480445)</f>
        <v>480445</v>
      </c>
      <c r="B9077" s="3" t="s">
        <v>46405</v>
      </c>
      <c r="C9077" s="3" t="s">
        <v>31</v>
      </c>
      <c r="D9077" s="3" t="s">
        <v>32</v>
      </c>
      <c r="E9077" s="4" t="s">
        <v>22</v>
      </c>
      <c r="F9077" s="4" t="s">
        <v>46406</v>
      </c>
      <c r="G9077" s="4" t="s">
        <v>46407</v>
      </c>
      <c r="H9077" s="3" t="s">
        <v>44362</v>
      </c>
      <c r="I9077" s="3" t="s">
        <v>11355</v>
      </c>
      <c r="J9077" s="3" t="s">
        <v>946</v>
      </c>
      <c r="K9077" s="3" t="s">
        <v>46408</v>
      </c>
      <c r="L9077" s="3"/>
      <c r="M9077" s="4"/>
      <c r="N9077" s="3" t="s">
        <v>37</v>
      </c>
      <c r="O9077" s="3" t="s">
        <v>38</v>
      </c>
      <c r="P9077" s="5">
        <v>11</v>
      </c>
      <c r="Q9077" s="5">
        <v>159</v>
      </c>
      <c r="R9077" s="5">
        <v>11</v>
      </c>
      <c r="S9077" s="5">
        <v>156</v>
      </c>
    </row>
    <row r="9078" spans="1:19" ht="28" x14ac:dyDescent="0.15">
      <c r="A9078" s="2">
        <f>HYPERLINK("https://open-school.uspishnemisto.com.ua/school/480446/", 480446)</f>
        <v>480446</v>
      </c>
      <c r="B9078" s="3" t="s">
        <v>46409</v>
      </c>
      <c r="C9078" s="3" t="s">
        <v>31</v>
      </c>
      <c r="D9078" s="3" t="s">
        <v>175</v>
      </c>
      <c r="E9078" s="4" t="s">
        <v>22</v>
      </c>
      <c r="F9078" s="4"/>
      <c r="G9078" s="4" t="s">
        <v>46410</v>
      </c>
      <c r="H9078" s="3" t="s">
        <v>44362</v>
      </c>
      <c r="I9078" s="3" t="s">
        <v>33531</v>
      </c>
      <c r="J9078" s="3" t="s">
        <v>2191</v>
      </c>
      <c r="K9078" s="3" t="s">
        <v>46411</v>
      </c>
      <c r="L9078" s="3"/>
      <c r="M9078" s="4"/>
      <c r="N9078" s="3" t="s">
        <v>37</v>
      </c>
      <c r="O9078" s="3" t="s">
        <v>52</v>
      </c>
      <c r="P9078" s="5">
        <v>4</v>
      </c>
      <c r="Q9078" s="5">
        <v>38</v>
      </c>
      <c r="R9078" s="5">
        <v>5</v>
      </c>
      <c r="S9078" s="5">
        <v>44</v>
      </c>
    </row>
    <row r="9079" spans="1:19" ht="28" x14ac:dyDescent="0.15">
      <c r="A9079" s="2">
        <f>HYPERLINK("https://open-school.uspishnemisto.com.ua/school/480447/", 480447)</f>
        <v>480447</v>
      </c>
      <c r="B9079" s="3" t="s">
        <v>46412</v>
      </c>
      <c r="C9079" s="3" t="s">
        <v>31</v>
      </c>
      <c r="D9079" s="3" t="s">
        <v>32</v>
      </c>
      <c r="E9079" s="4" t="s">
        <v>22</v>
      </c>
      <c r="F9079" s="4"/>
      <c r="G9079" s="4" t="s">
        <v>46413</v>
      </c>
      <c r="H9079" s="3" t="s">
        <v>44362</v>
      </c>
      <c r="I9079" s="3" t="s">
        <v>11064</v>
      </c>
      <c r="J9079" s="3" t="s">
        <v>466</v>
      </c>
      <c r="K9079" s="3" t="s">
        <v>46414</v>
      </c>
      <c r="L9079" s="3"/>
      <c r="M9079" s="4"/>
      <c r="N9079" s="3" t="s">
        <v>37</v>
      </c>
      <c r="O9079" s="3" t="s">
        <v>38</v>
      </c>
      <c r="P9079" s="5">
        <v>11</v>
      </c>
      <c r="Q9079" s="5">
        <v>142</v>
      </c>
      <c r="R9079" s="5">
        <v>11</v>
      </c>
      <c r="S9079" s="5">
        <v>151</v>
      </c>
    </row>
    <row r="9080" spans="1:19" ht="28" x14ac:dyDescent="0.15">
      <c r="A9080" s="2">
        <f>HYPERLINK("https://open-school.uspishnemisto.com.ua/school/480448/", 480448)</f>
        <v>480448</v>
      </c>
      <c r="B9080" s="3" t="s">
        <v>46415</v>
      </c>
      <c r="C9080" s="3" t="s">
        <v>40</v>
      </c>
      <c r="D9080" s="3" t="s">
        <v>32</v>
      </c>
      <c r="E9080" s="4" t="s">
        <v>22</v>
      </c>
      <c r="F9080" s="4" t="s">
        <v>46416</v>
      </c>
      <c r="G9080" s="4" t="s">
        <v>46417</v>
      </c>
      <c r="H9080" s="3" t="s">
        <v>44362</v>
      </c>
      <c r="I9080" s="3" t="s">
        <v>46418</v>
      </c>
      <c r="J9080" s="3" t="s">
        <v>46419</v>
      </c>
      <c r="K9080" s="3" t="s">
        <v>46420</v>
      </c>
      <c r="L9080" s="3" t="s">
        <v>46421</v>
      </c>
      <c r="M9080" s="4"/>
      <c r="N9080" s="3" t="s">
        <v>37</v>
      </c>
      <c r="O9080" s="3" t="s">
        <v>70</v>
      </c>
      <c r="P9080" s="5">
        <v>9</v>
      </c>
      <c r="Q9080" s="5">
        <v>201</v>
      </c>
      <c r="R9080" s="5">
        <v>9</v>
      </c>
      <c r="S9080" s="5">
        <v>188</v>
      </c>
    </row>
    <row r="9081" spans="1:19" ht="28" x14ac:dyDescent="0.15">
      <c r="A9081" s="2">
        <f>HYPERLINK("https://open-school.uspishnemisto.com.ua/school/480449/", 480449)</f>
        <v>480449</v>
      </c>
      <c r="B9081" s="3" t="s">
        <v>46422</v>
      </c>
      <c r="C9081" s="3" t="s">
        <v>31</v>
      </c>
      <c r="D9081" s="3" t="s">
        <v>32</v>
      </c>
      <c r="E9081" s="4" t="s">
        <v>22</v>
      </c>
      <c r="F9081" s="4" t="s">
        <v>46416</v>
      </c>
      <c r="G9081" s="4" t="s">
        <v>46417</v>
      </c>
      <c r="H9081" s="3" t="s">
        <v>44362</v>
      </c>
      <c r="I9081" s="3" t="s">
        <v>46418</v>
      </c>
      <c r="J9081" s="3" t="s">
        <v>44229</v>
      </c>
      <c r="K9081" s="3" t="s">
        <v>46423</v>
      </c>
      <c r="L9081" s="3" t="s">
        <v>46424</v>
      </c>
      <c r="M9081" s="4"/>
      <c r="N9081" s="3" t="s">
        <v>37</v>
      </c>
      <c r="O9081" s="3" t="s">
        <v>38</v>
      </c>
      <c r="P9081" s="5">
        <v>17</v>
      </c>
      <c r="Q9081" s="5">
        <v>331</v>
      </c>
      <c r="R9081" s="5">
        <v>16</v>
      </c>
      <c r="S9081" s="5">
        <v>349</v>
      </c>
    </row>
    <row r="9082" spans="1:19" ht="28" x14ac:dyDescent="0.15">
      <c r="A9082" s="2">
        <f>HYPERLINK("https://open-school.uspishnemisto.com.ua/school/480450/", 480450)</f>
        <v>480450</v>
      </c>
      <c r="B9082" s="3" t="s">
        <v>46425</v>
      </c>
      <c r="C9082" s="3" t="s">
        <v>31</v>
      </c>
      <c r="D9082" s="3" t="s">
        <v>32</v>
      </c>
      <c r="E9082" s="4" t="s">
        <v>22</v>
      </c>
      <c r="F9082" s="4" t="s">
        <v>46426</v>
      </c>
      <c r="G9082" s="4" t="s">
        <v>46417</v>
      </c>
      <c r="H9082" s="3" t="s">
        <v>44362</v>
      </c>
      <c r="I9082" s="3" t="s">
        <v>46418</v>
      </c>
      <c r="J9082" s="3" t="s">
        <v>46427</v>
      </c>
      <c r="K9082" s="3" t="s">
        <v>46428</v>
      </c>
      <c r="L9082" s="3" t="s">
        <v>46429</v>
      </c>
      <c r="M9082" s="4"/>
      <c r="N9082" s="3" t="s">
        <v>37</v>
      </c>
      <c r="O9082" s="3" t="s">
        <v>38</v>
      </c>
      <c r="P9082" s="5">
        <v>19</v>
      </c>
      <c r="Q9082" s="5">
        <v>468</v>
      </c>
      <c r="R9082" s="5">
        <v>19</v>
      </c>
      <c r="S9082" s="5">
        <v>460</v>
      </c>
    </row>
    <row r="9083" spans="1:19" ht="28" x14ac:dyDescent="0.15">
      <c r="A9083" s="2">
        <f>HYPERLINK("https://open-school.uspishnemisto.com.ua/school/480451/", 480451)</f>
        <v>480451</v>
      </c>
      <c r="B9083" s="3" t="s">
        <v>46430</v>
      </c>
      <c r="C9083" s="3" t="s">
        <v>31</v>
      </c>
      <c r="D9083" s="3" t="s">
        <v>32</v>
      </c>
      <c r="E9083" s="4" t="s">
        <v>22</v>
      </c>
      <c r="F9083" s="4" t="s">
        <v>46431</v>
      </c>
      <c r="G9083" s="4" t="s">
        <v>46417</v>
      </c>
      <c r="H9083" s="3" t="s">
        <v>44362</v>
      </c>
      <c r="I9083" s="3" t="s">
        <v>46418</v>
      </c>
      <c r="J9083" s="3" t="s">
        <v>46432</v>
      </c>
      <c r="K9083" s="3" t="s">
        <v>46433</v>
      </c>
      <c r="L9083" s="3" t="s">
        <v>46434</v>
      </c>
      <c r="M9083" s="4"/>
      <c r="N9083" s="3" t="s">
        <v>37</v>
      </c>
      <c r="O9083" s="3" t="s">
        <v>38</v>
      </c>
      <c r="P9083" s="5">
        <v>18</v>
      </c>
      <c r="Q9083" s="5">
        <v>407</v>
      </c>
      <c r="R9083" s="5">
        <v>17</v>
      </c>
      <c r="S9083" s="5">
        <v>380</v>
      </c>
    </row>
    <row r="9084" spans="1:19" ht="28" x14ac:dyDescent="0.15">
      <c r="A9084" s="2">
        <f>HYPERLINK("https://open-school.uspishnemisto.com.ua/school/480452/", 480452)</f>
        <v>480452</v>
      </c>
      <c r="B9084" s="3" t="s">
        <v>46435</v>
      </c>
      <c r="C9084" s="3" t="s">
        <v>293</v>
      </c>
      <c r="D9084" s="3" t="s">
        <v>32</v>
      </c>
      <c r="E9084" s="4" t="s">
        <v>22</v>
      </c>
      <c r="F9084" s="4" t="s">
        <v>46436</v>
      </c>
      <c r="G9084" s="4" t="s">
        <v>46437</v>
      </c>
      <c r="H9084" s="3" t="s">
        <v>44362</v>
      </c>
      <c r="I9084" s="3" t="s">
        <v>3481</v>
      </c>
      <c r="J9084" s="3" t="s">
        <v>466</v>
      </c>
      <c r="K9084" s="3" t="s">
        <v>46438</v>
      </c>
      <c r="L9084" s="3"/>
      <c r="M9084" s="4" t="s">
        <v>46439</v>
      </c>
      <c r="N9084" s="3" t="s">
        <v>37</v>
      </c>
      <c r="O9084" s="3" t="s">
        <v>52</v>
      </c>
      <c r="P9084" s="5">
        <v>11</v>
      </c>
      <c r="Q9084" s="5">
        <v>159</v>
      </c>
      <c r="R9084" s="5">
        <v>11</v>
      </c>
      <c r="S9084" s="5">
        <v>156</v>
      </c>
    </row>
    <row r="9085" spans="1:19" ht="28" x14ac:dyDescent="0.15">
      <c r="A9085" s="2">
        <f>HYPERLINK("https://open-school.uspishnemisto.com.ua/school/480453/", 480453)</f>
        <v>480453</v>
      </c>
      <c r="B9085" s="3" t="s">
        <v>46440</v>
      </c>
      <c r="C9085" s="3" t="s">
        <v>31</v>
      </c>
      <c r="D9085" s="3" t="s">
        <v>32</v>
      </c>
      <c r="E9085" s="4" t="s">
        <v>22</v>
      </c>
      <c r="F9085" s="4" t="s">
        <v>46441</v>
      </c>
      <c r="G9085" s="4" t="s">
        <v>46442</v>
      </c>
      <c r="H9085" s="3" t="s">
        <v>44362</v>
      </c>
      <c r="I9085" s="3" t="s">
        <v>46443</v>
      </c>
      <c r="J9085" s="3" t="s">
        <v>46444</v>
      </c>
      <c r="K9085" s="3" t="s">
        <v>46445</v>
      </c>
      <c r="L9085" s="3"/>
      <c r="M9085" s="4"/>
      <c r="N9085" s="3" t="s">
        <v>37</v>
      </c>
      <c r="O9085" s="3" t="s">
        <v>38</v>
      </c>
      <c r="P9085" s="5">
        <v>11</v>
      </c>
      <c r="Q9085" s="5">
        <v>236</v>
      </c>
      <c r="R9085" s="5">
        <v>11</v>
      </c>
      <c r="S9085" s="5">
        <v>233</v>
      </c>
    </row>
    <row r="9086" spans="1:19" ht="28" x14ac:dyDescent="0.15">
      <c r="A9086" s="2">
        <f>HYPERLINK("https://open-school.uspishnemisto.com.ua/school/480454/", 480454)</f>
        <v>480454</v>
      </c>
      <c r="B9086" s="3" t="s">
        <v>46446</v>
      </c>
      <c r="C9086" s="3" t="s">
        <v>31</v>
      </c>
      <c r="D9086" s="3" t="s">
        <v>32</v>
      </c>
      <c r="E9086" s="4" t="s">
        <v>22</v>
      </c>
      <c r="F9086" s="4" t="s">
        <v>46447</v>
      </c>
      <c r="G9086" s="4" t="s">
        <v>46448</v>
      </c>
      <c r="H9086" s="3" t="s">
        <v>44362</v>
      </c>
      <c r="I9086" s="3" t="s">
        <v>45457</v>
      </c>
      <c r="J9086" s="3" t="s">
        <v>466</v>
      </c>
      <c r="K9086" s="3" t="s">
        <v>46449</v>
      </c>
      <c r="L9086" s="3" t="s">
        <v>46450</v>
      </c>
      <c r="M9086" s="4"/>
      <c r="N9086" s="3" t="s">
        <v>37</v>
      </c>
      <c r="O9086" s="3" t="s">
        <v>52</v>
      </c>
      <c r="P9086" s="5">
        <v>11</v>
      </c>
      <c r="Q9086" s="5">
        <v>123</v>
      </c>
      <c r="R9086" s="5">
        <v>11</v>
      </c>
      <c r="S9086" s="5">
        <v>133</v>
      </c>
    </row>
    <row r="9087" spans="1:19" ht="28" x14ac:dyDescent="0.15">
      <c r="A9087" s="2">
        <f>HYPERLINK("https://open-school.uspishnemisto.com.ua/school/480455/", 480455)</f>
        <v>480455</v>
      </c>
      <c r="B9087" s="3" t="s">
        <v>46451</v>
      </c>
      <c r="C9087" s="3" t="s">
        <v>31</v>
      </c>
      <c r="D9087" s="3" t="s">
        <v>32</v>
      </c>
      <c r="E9087" s="4" t="s">
        <v>22</v>
      </c>
      <c r="F9087" s="4" t="s">
        <v>46452</v>
      </c>
      <c r="G9087" s="4" t="s">
        <v>46453</v>
      </c>
      <c r="H9087" s="3" t="s">
        <v>44362</v>
      </c>
      <c r="I9087" s="3" t="s">
        <v>33531</v>
      </c>
      <c r="J9087" s="3" t="s">
        <v>13585</v>
      </c>
      <c r="K9087" s="3" t="s">
        <v>46454</v>
      </c>
      <c r="L9087" s="3"/>
      <c r="M9087" s="4"/>
      <c r="N9087" s="3" t="s">
        <v>37</v>
      </c>
      <c r="O9087" s="3" t="s">
        <v>46</v>
      </c>
      <c r="P9087" s="5">
        <v>9</v>
      </c>
      <c r="Q9087" s="5">
        <v>61</v>
      </c>
      <c r="R9087" s="5">
        <v>7</v>
      </c>
      <c r="S9087" s="5">
        <v>57</v>
      </c>
    </row>
    <row r="9088" spans="1:19" ht="42" x14ac:dyDescent="0.15">
      <c r="A9088" s="2">
        <f>HYPERLINK("https://open-school.uspishnemisto.com.ua/school/480456/", 480456)</f>
        <v>480456</v>
      </c>
      <c r="B9088" s="3" t="s">
        <v>46455</v>
      </c>
      <c r="C9088" s="3" t="s">
        <v>31</v>
      </c>
      <c r="D9088" s="3" t="s">
        <v>175</v>
      </c>
      <c r="E9088" s="4" t="s">
        <v>22</v>
      </c>
      <c r="F9088" s="4" t="s">
        <v>46456</v>
      </c>
      <c r="G9088" s="4" t="s">
        <v>46457</v>
      </c>
      <c r="H9088" s="3" t="s">
        <v>44362</v>
      </c>
      <c r="I9088" s="3" t="s">
        <v>46458</v>
      </c>
      <c r="J9088" s="3" t="s">
        <v>46459</v>
      </c>
      <c r="K9088" s="3" t="s">
        <v>46460</v>
      </c>
      <c r="L9088" s="3"/>
      <c r="M9088" s="4"/>
      <c r="N9088" s="3" t="s">
        <v>37</v>
      </c>
      <c r="O9088" s="3" t="s">
        <v>618</v>
      </c>
      <c r="P9088" s="5">
        <v>1</v>
      </c>
      <c r="Q9088" s="5">
        <v>10</v>
      </c>
      <c r="R9088" s="5">
        <v>1</v>
      </c>
      <c r="S9088" s="5">
        <v>23</v>
      </c>
    </row>
    <row r="9089" spans="1:19" ht="28" x14ac:dyDescent="0.15">
      <c r="A9089" s="2">
        <f>HYPERLINK("https://open-school.uspishnemisto.com.ua/school/480457/", 480457)</f>
        <v>480457</v>
      </c>
      <c r="B9089" s="3" t="s">
        <v>46461</v>
      </c>
      <c r="C9089" s="3" t="s">
        <v>31</v>
      </c>
      <c r="D9089" s="3" t="s">
        <v>32</v>
      </c>
      <c r="E9089" s="4" t="s">
        <v>22</v>
      </c>
      <c r="F9089" s="4" t="s">
        <v>46462</v>
      </c>
      <c r="G9089" s="4" t="s">
        <v>46463</v>
      </c>
      <c r="H9089" s="3" t="s">
        <v>44362</v>
      </c>
      <c r="I9089" s="3" t="s">
        <v>46464</v>
      </c>
      <c r="J9089" s="3" t="s">
        <v>761</v>
      </c>
      <c r="K9089" s="3" t="s">
        <v>46465</v>
      </c>
      <c r="L9089" s="3" t="s">
        <v>46466</v>
      </c>
      <c r="M9089" s="4"/>
      <c r="N9089" s="3" t="s">
        <v>37</v>
      </c>
      <c r="O9089" s="3" t="s">
        <v>38</v>
      </c>
      <c r="P9089" s="5">
        <v>10</v>
      </c>
      <c r="Q9089" s="5">
        <v>143</v>
      </c>
      <c r="R9089" s="5">
        <v>11</v>
      </c>
      <c r="S9089" s="5">
        <v>149</v>
      </c>
    </row>
    <row r="9090" spans="1:19" ht="28" x14ac:dyDescent="0.15">
      <c r="A9090" s="2">
        <f>HYPERLINK("https://open-school.uspishnemisto.com.ua/school/480458/", 480458)</f>
        <v>480458</v>
      </c>
      <c r="B9090" s="3" t="s">
        <v>46467</v>
      </c>
      <c r="C9090" s="3" t="s">
        <v>31</v>
      </c>
      <c r="D9090" s="3" t="s">
        <v>32</v>
      </c>
      <c r="E9090" s="4" t="s">
        <v>22</v>
      </c>
      <c r="F9090" s="4" t="s">
        <v>46436</v>
      </c>
      <c r="G9090" s="4" t="s">
        <v>46468</v>
      </c>
      <c r="H9090" s="3" t="s">
        <v>44362</v>
      </c>
      <c r="I9090" s="3" t="s">
        <v>46469</v>
      </c>
      <c r="J9090" s="3" t="s">
        <v>46470</v>
      </c>
      <c r="K9090" s="3" t="s">
        <v>46471</v>
      </c>
      <c r="L9090" s="3" t="s">
        <v>46472</v>
      </c>
      <c r="M9090" s="4"/>
      <c r="N9090" s="3" t="s">
        <v>37</v>
      </c>
      <c r="O9090" s="3" t="s">
        <v>2740</v>
      </c>
      <c r="P9090" s="5">
        <v>10</v>
      </c>
      <c r="Q9090" s="5">
        <v>61</v>
      </c>
      <c r="R9090" s="5">
        <v>9</v>
      </c>
      <c r="S9090" s="5">
        <v>55</v>
      </c>
    </row>
    <row r="9091" spans="1:19" ht="28" x14ac:dyDescent="0.15">
      <c r="A9091" s="2">
        <f>HYPERLINK("https://open-school.uspishnemisto.com.ua/school/480459/", 480459)</f>
        <v>480459</v>
      </c>
      <c r="B9091" s="3" t="s">
        <v>46473</v>
      </c>
      <c r="C9091" s="3" t="s">
        <v>31</v>
      </c>
      <c r="D9091" s="3" t="s">
        <v>32</v>
      </c>
      <c r="E9091" s="4" t="s">
        <v>22</v>
      </c>
      <c r="F9091" s="4" t="s">
        <v>46474</v>
      </c>
      <c r="G9091" s="4" t="s">
        <v>46475</v>
      </c>
      <c r="H9091" s="3" t="s">
        <v>44362</v>
      </c>
      <c r="I9091" s="3" t="s">
        <v>46476</v>
      </c>
      <c r="J9091" s="3" t="s">
        <v>466</v>
      </c>
      <c r="K9091" s="3" t="s">
        <v>46477</v>
      </c>
      <c r="L9091" s="3"/>
      <c r="M9091" s="4"/>
      <c r="N9091" s="3" t="s">
        <v>37</v>
      </c>
      <c r="O9091" s="3" t="s">
        <v>38</v>
      </c>
      <c r="P9091" s="5">
        <v>7</v>
      </c>
      <c r="Q9091" s="5">
        <v>51</v>
      </c>
      <c r="R9091" s="5">
        <v>6</v>
      </c>
      <c r="S9091" s="5">
        <v>43</v>
      </c>
    </row>
    <row r="9092" spans="1:19" ht="28" x14ac:dyDescent="0.15">
      <c r="A9092" s="2">
        <f>HYPERLINK("https://open-school.uspishnemisto.com.ua/school/480460/", 480460)</f>
        <v>480460</v>
      </c>
      <c r="B9092" s="3" t="s">
        <v>46478</v>
      </c>
      <c r="C9092" s="3" t="s">
        <v>31</v>
      </c>
      <c r="D9092" s="3" t="s">
        <v>32</v>
      </c>
      <c r="E9092" s="4" t="s">
        <v>22</v>
      </c>
      <c r="F9092" s="4" t="s">
        <v>46479</v>
      </c>
      <c r="G9092" s="4" t="s">
        <v>46480</v>
      </c>
      <c r="H9092" s="3" t="s">
        <v>44362</v>
      </c>
      <c r="I9092" s="3" t="s">
        <v>6545</v>
      </c>
      <c r="J9092" s="3" t="s">
        <v>46481</v>
      </c>
      <c r="K9092" s="3" t="s">
        <v>46482</v>
      </c>
      <c r="L9092" s="3" t="s">
        <v>46483</v>
      </c>
      <c r="M9092" s="4"/>
      <c r="N9092" s="3" t="s">
        <v>37</v>
      </c>
      <c r="O9092" s="3" t="s">
        <v>46</v>
      </c>
      <c r="P9092" s="5">
        <v>5</v>
      </c>
      <c r="Q9092" s="5">
        <v>51</v>
      </c>
      <c r="R9092" s="5">
        <v>6</v>
      </c>
      <c r="S9092" s="5">
        <v>55</v>
      </c>
    </row>
    <row r="9093" spans="1:19" ht="28" x14ac:dyDescent="0.15">
      <c r="A9093" s="2">
        <f>HYPERLINK("https://open-school.uspishnemisto.com.ua/school/480461/", 480461)</f>
        <v>480461</v>
      </c>
      <c r="B9093" s="3" t="s">
        <v>46484</v>
      </c>
      <c r="C9093" s="3" t="s">
        <v>31</v>
      </c>
      <c r="D9093" s="3" t="s">
        <v>32</v>
      </c>
      <c r="E9093" s="4" t="s">
        <v>22</v>
      </c>
      <c r="F9093" s="4" t="s">
        <v>46485</v>
      </c>
      <c r="G9093" s="4" t="s">
        <v>46486</v>
      </c>
      <c r="H9093" s="3" t="s">
        <v>44362</v>
      </c>
      <c r="I9093" s="3" t="s">
        <v>46487</v>
      </c>
      <c r="J9093" s="3" t="s">
        <v>3173</v>
      </c>
      <c r="K9093" s="3" t="s">
        <v>46488</v>
      </c>
      <c r="L9093" s="3" t="s">
        <v>46489</v>
      </c>
      <c r="M9093" s="4"/>
      <c r="N9093" s="3" t="s">
        <v>37</v>
      </c>
      <c r="O9093" s="3" t="s">
        <v>46</v>
      </c>
      <c r="P9093" s="5">
        <v>8</v>
      </c>
      <c r="Q9093" s="5">
        <v>77</v>
      </c>
      <c r="R9093" s="5">
        <v>9</v>
      </c>
      <c r="S9093" s="5">
        <v>83</v>
      </c>
    </row>
    <row r="9094" spans="1:19" ht="28" x14ac:dyDescent="0.15">
      <c r="A9094" s="2">
        <f>HYPERLINK("https://open-school.uspishnemisto.com.ua/school/480462/", 480462)</f>
        <v>480462</v>
      </c>
      <c r="B9094" s="3" t="s">
        <v>46490</v>
      </c>
      <c r="C9094" s="3" t="s">
        <v>31</v>
      </c>
      <c r="D9094" s="3" t="s">
        <v>32</v>
      </c>
      <c r="E9094" s="4" t="s">
        <v>22</v>
      </c>
      <c r="F9094" s="4" t="s">
        <v>46491</v>
      </c>
      <c r="G9094" s="4" t="s">
        <v>46492</v>
      </c>
      <c r="H9094" s="3" t="s">
        <v>44362</v>
      </c>
      <c r="I9094" s="3" t="s">
        <v>46493</v>
      </c>
      <c r="J9094" s="3" t="s">
        <v>45216</v>
      </c>
      <c r="K9094" s="3" t="s">
        <v>46494</v>
      </c>
      <c r="L9094" s="3" t="s">
        <v>46495</v>
      </c>
      <c r="M9094" s="4"/>
      <c r="N9094" s="3" t="s">
        <v>37</v>
      </c>
      <c r="O9094" s="3" t="s">
        <v>46</v>
      </c>
      <c r="P9094" s="5">
        <v>10</v>
      </c>
      <c r="Q9094" s="5">
        <v>66</v>
      </c>
      <c r="R9094" s="5">
        <v>9</v>
      </c>
      <c r="S9094" s="5">
        <v>66</v>
      </c>
    </row>
    <row r="9095" spans="1:19" ht="28" x14ac:dyDescent="0.15">
      <c r="A9095" s="2">
        <f>HYPERLINK("https://open-school.uspishnemisto.com.ua/school/480463/", 480463)</f>
        <v>480463</v>
      </c>
      <c r="B9095" s="3" t="s">
        <v>46496</v>
      </c>
      <c r="C9095" s="3" t="s">
        <v>31</v>
      </c>
      <c r="D9095" s="3" t="s">
        <v>32</v>
      </c>
      <c r="E9095" s="4" t="s">
        <v>22</v>
      </c>
      <c r="F9095" s="4" t="s">
        <v>46497</v>
      </c>
      <c r="G9095" s="4" t="s">
        <v>46498</v>
      </c>
      <c r="H9095" s="3" t="s">
        <v>44362</v>
      </c>
      <c r="I9095" s="3" t="s">
        <v>2179</v>
      </c>
      <c r="J9095" s="3" t="s">
        <v>46499</v>
      </c>
      <c r="K9095" s="3" t="s">
        <v>46500</v>
      </c>
      <c r="L9095" s="3" t="s">
        <v>46501</v>
      </c>
      <c r="M9095" s="4"/>
      <c r="N9095" s="3" t="s">
        <v>37</v>
      </c>
      <c r="O9095" s="3" t="s">
        <v>38</v>
      </c>
      <c r="P9095" s="5">
        <v>10</v>
      </c>
      <c r="Q9095" s="5">
        <v>85</v>
      </c>
      <c r="R9095" s="5">
        <v>10</v>
      </c>
      <c r="S9095" s="5">
        <v>81</v>
      </c>
    </row>
    <row r="9096" spans="1:19" ht="28" x14ac:dyDescent="0.15">
      <c r="A9096" s="2">
        <f>HYPERLINK("https://open-school.uspishnemisto.com.ua/school/480464/", 480464)</f>
        <v>480464</v>
      </c>
      <c r="B9096" s="3" t="s">
        <v>46502</v>
      </c>
      <c r="C9096" s="3" t="s">
        <v>31</v>
      </c>
      <c r="D9096" s="3" t="s">
        <v>175</v>
      </c>
      <c r="E9096" s="4" t="s">
        <v>22</v>
      </c>
      <c r="F9096" s="4" t="s">
        <v>46503</v>
      </c>
      <c r="G9096" s="4" t="s">
        <v>46504</v>
      </c>
      <c r="H9096" s="3" t="s">
        <v>44362</v>
      </c>
      <c r="I9096" s="3" t="s">
        <v>688</v>
      </c>
      <c r="J9096" s="3" t="s">
        <v>46505</v>
      </c>
      <c r="K9096" s="3" t="s">
        <v>46506</v>
      </c>
      <c r="L9096" s="3" t="s">
        <v>46507</v>
      </c>
      <c r="M9096" s="4"/>
      <c r="N9096" s="3" t="s">
        <v>37</v>
      </c>
      <c r="O9096" s="3" t="s">
        <v>52</v>
      </c>
      <c r="P9096" s="5">
        <v>3</v>
      </c>
      <c r="Q9096" s="5">
        <v>34</v>
      </c>
      <c r="R9096" s="5">
        <v>3</v>
      </c>
      <c r="S9096" s="5">
        <v>34</v>
      </c>
    </row>
    <row r="9097" spans="1:19" ht="28" x14ac:dyDescent="0.15">
      <c r="A9097" s="2">
        <f>HYPERLINK("https://open-school.uspishnemisto.com.ua/school/480465/", 480465)</f>
        <v>480465</v>
      </c>
      <c r="B9097" s="3" t="s">
        <v>46508</v>
      </c>
      <c r="C9097" s="3" t="s">
        <v>31</v>
      </c>
      <c r="D9097" s="3" t="s">
        <v>32</v>
      </c>
      <c r="E9097" s="4" t="s">
        <v>22</v>
      </c>
      <c r="F9097" s="4" t="s">
        <v>46509</v>
      </c>
      <c r="G9097" s="4" t="s">
        <v>46510</v>
      </c>
      <c r="H9097" s="3" t="s">
        <v>44362</v>
      </c>
      <c r="I9097" s="3" t="s">
        <v>46511</v>
      </c>
      <c r="J9097" s="3" t="s">
        <v>2555</v>
      </c>
      <c r="K9097" s="3" t="s">
        <v>46512</v>
      </c>
      <c r="L9097" s="3" t="s">
        <v>46513</v>
      </c>
      <c r="M9097" s="4"/>
      <c r="N9097" s="3" t="s">
        <v>37</v>
      </c>
      <c r="O9097" s="3" t="s">
        <v>52</v>
      </c>
      <c r="P9097" s="5">
        <v>12</v>
      </c>
      <c r="Q9097" s="5">
        <v>206</v>
      </c>
      <c r="R9097" s="5">
        <v>11</v>
      </c>
      <c r="S9097" s="5">
        <v>204</v>
      </c>
    </row>
    <row r="9098" spans="1:19" ht="28" x14ac:dyDescent="0.15">
      <c r="A9098" s="2">
        <f>HYPERLINK("https://open-school.uspishnemisto.com.ua/school/480466/", 480466)</f>
        <v>480466</v>
      </c>
      <c r="B9098" s="3" t="s">
        <v>46514</v>
      </c>
      <c r="C9098" s="3" t="s">
        <v>31</v>
      </c>
      <c r="D9098" s="3" t="s">
        <v>32</v>
      </c>
      <c r="E9098" s="4" t="s">
        <v>22</v>
      </c>
      <c r="F9098" s="4" t="s">
        <v>46515</v>
      </c>
      <c r="G9098" s="4" t="s">
        <v>46516</v>
      </c>
      <c r="H9098" s="3" t="s">
        <v>44362</v>
      </c>
      <c r="I9098" s="3" t="s">
        <v>46517</v>
      </c>
      <c r="J9098" s="3" t="s">
        <v>46518</v>
      </c>
      <c r="K9098" s="3" t="s">
        <v>46519</v>
      </c>
      <c r="L9098" s="3" t="s">
        <v>46520</v>
      </c>
      <c r="M9098" s="4"/>
      <c r="N9098" s="3" t="s">
        <v>37</v>
      </c>
      <c r="O9098" s="3" t="s">
        <v>46</v>
      </c>
      <c r="P9098" s="5">
        <v>8</v>
      </c>
      <c r="Q9098" s="5">
        <v>66</v>
      </c>
      <c r="R9098" s="5">
        <v>8</v>
      </c>
      <c r="S9098" s="5">
        <v>67</v>
      </c>
    </row>
    <row r="9099" spans="1:19" ht="28" x14ac:dyDescent="0.15">
      <c r="A9099" s="2">
        <f>HYPERLINK("https://open-school.uspishnemisto.com.ua/school/480467/", 480467)</f>
        <v>480467</v>
      </c>
      <c r="B9099" s="3" t="s">
        <v>46521</v>
      </c>
      <c r="C9099" s="3" t="s">
        <v>31</v>
      </c>
      <c r="D9099" s="3" t="s">
        <v>175</v>
      </c>
      <c r="E9099" s="4" t="s">
        <v>22</v>
      </c>
      <c r="F9099" s="4" t="s">
        <v>46522</v>
      </c>
      <c r="G9099" s="4" t="s">
        <v>46523</v>
      </c>
      <c r="H9099" s="3" t="s">
        <v>44362</v>
      </c>
      <c r="I9099" s="3" t="s">
        <v>46524</v>
      </c>
      <c r="J9099" s="3" t="s">
        <v>297</v>
      </c>
      <c r="K9099" s="3" t="s">
        <v>46525</v>
      </c>
      <c r="L9099" s="3"/>
      <c r="M9099" s="4"/>
      <c r="N9099" s="3" t="s">
        <v>37</v>
      </c>
      <c r="O9099" s="3" t="s">
        <v>52</v>
      </c>
      <c r="P9099" s="5">
        <v>1</v>
      </c>
      <c r="Q9099" s="5">
        <v>29</v>
      </c>
      <c r="R9099" s="5">
        <v>1</v>
      </c>
      <c r="S9099" s="5">
        <v>29</v>
      </c>
    </row>
    <row r="9100" spans="1:19" ht="28" x14ac:dyDescent="0.15">
      <c r="A9100" s="2">
        <f>HYPERLINK("https://open-school.uspishnemisto.com.ua/school/480468/", 480468)</f>
        <v>480468</v>
      </c>
      <c r="B9100" s="3" t="s">
        <v>46526</v>
      </c>
      <c r="C9100" s="3" t="s">
        <v>31</v>
      </c>
      <c r="D9100" s="3" t="s">
        <v>32</v>
      </c>
      <c r="E9100" s="4" t="s">
        <v>22</v>
      </c>
      <c r="F9100" s="4" t="s">
        <v>46527</v>
      </c>
      <c r="G9100" s="4" t="s">
        <v>46528</v>
      </c>
      <c r="H9100" s="3" t="s">
        <v>44362</v>
      </c>
      <c r="I9100" s="3" t="s">
        <v>2404</v>
      </c>
      <c r="J9100" s="3" t="s">
        <v>8465</v>
      </c>
      <c r="K9100" s="3" t="s">
        <v>46529</v>
      </c>
      <c r="L9100" s="3"/>
      <c r="M9100" s="4"/>
      <c r="N9100" s="3" t="s">
        <v>37</v>
      </c>
      <c r="O9100" s="3" t="s">
        <v>46</v>
      </c>
      <c r="P9100" s="5">
        <v>11</v>
      </c>
      <c r="Q9100" s="5">
        <v>101</v>
      </c>
      <c r="R9100" s="5">
        <v>11</v>
      </c>
      <c r="S9100" s="5">
        <v>99</v>
      </c>
    </row>
    <row r="9101" spans="1:19" ht="28" x14ac:dyDescent="0.15">
      <c r="A9101" s="2">
        <f>HYPERLINK("https://open-school.uspishnemisto.com.ua/school/480469/", 480469)</f>
        <v>480469</v>
      </c>
      <c r="B9101" s="3" t="s">
        <v>46530</v>
      </c>
      <c r="C9101" s="3" t="s">
        <v>31</v>
      </c>
      <c r="D9101" s="3" t="s">
        <v>32</v>
      </c>
      <c r="E9101" s="4" t="s">
        <v>22</v>
      </c>
      <c r="F9101" s="4" t="s">
        <v>46531</v>
      </c>
      <c r="G9101" s="4" t="s">
        <v>46532</v>
      </c>
      <c r="H9101" s="3" t="s">
        <v>44362</v>
      </c>
      <c r="I9101" s="3" t="s">
        <v>46533</v>
      </c>
      <c r="J9101" s="3" t="s">
        <v>2411</v>
      </c>
      <c r="K9101" s="3" t="s">
        <v>46534</v>
      </c>
      <c r="L9101" s="3" t="s">
        <v>46535</v>
      </c>
      <c r="M9101" s="4"/>
      <c r="N9101" s="3" t="s">
        <v>37</v>
      </c>
      <c r="O9101" s="3" t="s">
        <v>38</v>
      </c>
      <c r="P9101" s="5">
        <v>11</v>
      </c>
      <c r="Q9101" s="5">
        <v>162</v>
      </c>
      <c r="R9101" s="5">
        <v>11</v>
      </c>
      <c r="S9101" s="5">
        <v>146</v>
      </c>
    </row>
    <row r="9102" spans="1:19" ht="28" x14ac:dyDescent="0.15">
      <c r="A9102" s="2">
        <f>HYPERLINK("https://open-school.uspishnemisto.com.ua/school/480470/", 480470)</f>
        <v>480470</v>
      </c>
      <c r="B9102" s="3" t="s">
        <v>46536</v>
      </c>
      <c r="C9102" s="3" t="s">
        <v>31</v>
      </c>
      <c r="D9102" s="3" t="s">
        <v>32</v>
      </c>
      <c r="E9102" s="4" t="s">
        <v>22</v>
      </c>
      <c r="F9102" s="4" t="s">
        <v>46537</v>
      </c>
      <c r="G9102" s="4" t="s">
        <v>46538</v>
      </c>
      <c r="H9102" s="3" t="s">
        <v>44362</v>
      </c>
      <c r="I9102" s="3" t="s">
        <v>46539</v>
      </c>
      <c r="J9102" s="3" t="s">
        <v>46540</v>
      </c>
      <c r="K9102" s="3" t="s">
        <v>46541</v>
      </c>
      <c r="L9102" s="3" t="s">
        <v>46542</v>
      </c>
      <c r="M9102" s="4"/>
      <c r="N9102" s="3" t="s">
        <v>37</v>
      </c>
      <c r="O9102" s="3" t="s">
        <v>38</v>
      </c>
      <c r="P9102" s="5">
        <v>11</v>
      </c>
      <c r="Q9102" s="5">
        <v>103</v>
      </c>
      <c r="R9102" s="5">
        <v>11</v>
      </c>
      <c r="S9102" s="5">
        <v>101</v>
      </c>
    </row>
    <row r="9103" spans="1:19" ht="56" x14ac:dyDescent="0.15">
      <c r="A9103" s="2">
        <f>HYPERLINK("https://open-school.uspishnemisto.com.ua/school/480471/", 480471)</f>
        <v>480471</v>
      </c>
      <c r="B9103" s="3" t="s">
        <v>46543</v>
      </c>
      <c r="C9103" s="3" t="s">
        <v>31</v>
      </c>
      <c r="D9103" s="3" t="s">
        <v>175</v>
      </c>
      <c r="E9103" s="4" t="s">
        <v>22</v>
      </c>
      <c r="F9103" s="4" t="s">
        <v>46537</v>
      </c>
      <c r="G9103" s="4" t="s">
        <v>46544</v>
      </c>
      <c r="H9103" s="3" t="s">
        <v>44362</v>
      </c>
      <c r="I9103" s="3" t="s">
        <v>46545</v>
      </c>
      <c r="J9103" s="3" t="s">
        <v>466</v>
      </c>
      <c r="K9103" s="3" t="s">
        <v>46546</v>
      </c>
      <c r="L9103" s="3" t="s">
        <v>46547</v>
      </c>
      <c r="M9103" s="4"/>
      <c r="N9103" s="3" t="s">
        <v>37</v>
      </c>
      <c r="O9103" s="3" t="s">
        <v>38</v>
      </c>
      <c r="P9103" s="5">
        <v>0</v>
      </c>
      <c r="Q9103" s="5">
        <v>17</v>
      </c>
      <c r="R9103" s="5">
        <v>0</v>
      </c>
      <c r="S9103" s="5">
        <v>19</v>
      </c>
    </row>
    <row r="9104" spans="1:19" ht="28" x14ac:dyDescent="0.15">
      <c r="A9104" s="2">
        <f>HYPERLINK("https://open-school.uspishnemisto.com.ua/school/480472/", 480472)</f>
        <v>480472</v>
      </c>
      <c r="B9104" s="3" t="s">
        <v>46548</v>
      </c>
      <c r="C9104" s="3" t="s">
        <v>31</v>
      </c>
      <c r="D9104" s="3" t="s">
        <v>32</v>
      </c>
      <c r="E9104" s="4" t="s">
        <v>22</v>
      </c>
      <c r="F9104" s="4" t="s">
        <v>46531</v>
      </c>
      <c r="G9104" s="4" t="s">
        <v>46549</v>
      </c>
      <c r="H9104" s="3" t="s">
        <v>44362</v>
      </c>
      <c r="I9104" s="3" t="s">
        <v>12351</v>
      </c>
      <c r="J9104" s="3" t="s">
        <v>12324</v>
      </c>
      <c r="K9104" s="3" t="s">
        <v>46550</v>
      </c>
      <c r="L9104" s="3" t="s">
        <v>46551</v>
      </c>
      <c r="M9104" s="4"/>
      <c r="N9104" s="3" t="s">
        <v>37</v>
      </c>
      <c r="O9104" s="3" t="s">
        <v>38</v>
      </c>
      <c r="P9104" s="5">
        <v>11</v>
      </c>
      <c r="Q9104" s="5">
        <v>125</v>
      </c>
      <c r="R9104" s="5">
        <v>10</v>
      </c>
      <c r="S9104" s="5">
        <v>121</v>
      </c>
    </row>
    <row r="9105" spans="1:19" ht="42" x14ac:dyDescent="0.15">
      <c r="A9105" s="2">
        <f>HYPERLINK("https://open-school.uspishnemisto.com.ua/school/480473/", 480473)</f>
        <v>480473</v>
      </c>
      <c r="B9105" s="3" t="s">
        <v>46552</v>
      </c>
      <c r="C9105" s="3" t="s">
        <v>54</v>
      </c>
      <c r="D9105" s="3" t="s">
        <v>32</v>
      </c>
      <c r="E9105" s="4" t="s">
        <v>22</v>
      </c>
      <c r="F9105" s="4" t="s">
        <v>46553</v>
      </c>
      <c r="G9105" s="4" t="s">
        <v>46554</v>
      </c>
      <c r="H9105" s="3" t="s">
        <v>44362</v>
      </c>
      <c r="I9105" s="3" t="s">
        <v>11923</v>
      </c>
      <c r="J9105" s="3" t="s">
        <v>46555</v>
      </c>
      <c r="K9105" s="3"/>
      <c r="L9105" s="3" t="s">
        <v>46556</v>
      </c>
      <c r="M9105" s="4"/>
      <c r="N9105" s="3" t="s">
        <v>37</v>
      </c>
      <c r="O9105" s="3" t="s">
        <v>52</v>
      </c>
      <c r="P9105" s="5">
        <v>11</v>
      </c>
      <c r="Q9105" s="5">
        <v>106</v>
      </c>
      <c r="R9105" s="5">
        <v>10</v>
      </c>
      <c r="S9105" s="5">
        <v>106</v>
      </c>
    </row>
    <row r="9106" spans="1:19" ht="42" x14ac:dyDescent="0.15">
      <c r="A9106" s="2">
        <f>HYPERLINK("https://open-school.uspishnemisto.com.ua/school/480474/", 480474)</f>
        <v>480474</v>
      </c>
      <c r="B9106" s="3" t="s">
        <v>46557</v>
      </c>
      <c r="C9106" s="3" t="s">
        <v>31</v>
      </c>
      <c r="D9106" s="3" t="s">
        <v>32</v>
      </c>
      <c r="E9106" s="4" t="s">
        <v>22</v>
      </c>
      <c r="F9106" s="4" t="s">
        <v>46558</v>
      </c>
      <c r="G9106" s="4" t="s">
        <v>46559</v>
      </c>
      <c r="H9106" s="3" t="s">
        <v>44362</v>
      </c>
      <c r="I9106" s="3" t="s">
        <v>883</v>
      </c>
      <c r="J9106" s="3" t="s">
        <v>1348</v>
      </c>
      <c r="K9106" s="3"/>
      <c r="L9106" s="3"/>
      <c r="M9106" s="4" t="s">
        <v>46560</v>
      </c>
      <c r="N9106" s="3" t="s">
        <v>37</v>
      </c>
      <c r="O9106" s="3" t="s">
        <v>38</v>
      </c>
      <c r="P9106" s="5">
        <v>11</v>
      </c>
      <c r="Q9106" s="5">
        <v>118</v>
      </c>
      <c r="R9106" s="5">
        <v>11</v>
      </c>
      <c r="S9106" s="5">
        <v>111</v>
      </c>
    </row>
    <row r="9107" spans="1:19" ht="28" x14ac:dyDescent="0.15">
      <c r="A9107" s="2">
        <f>HYPERLINK("https://open-school.uspishnemisto.com.ua/school/480475/", 480475)</f>
        <v>480475</v>
      </c>
      <c r="B9107" s="3" t="s">
        <v>46561</v>
      </c>
      <c r="C9107" s="3" t="s">
        <v>31</v>
      </c>
      <c r="D9107" s="3" t="s">
        <v>32</v>
      </c>
      <c r="E9107" s="4" t="s">
        <v>22</v>
      </c>
      <c r="F9107" s="4" t="s">
        <v>46562</v>
      </c>
      <c r="G9107" s="4" t="s">
        <v>46563</v>
      </c>
      <c r="H9107" s="3" t="s">
        <v>44362</v>
      </c>
      <c r="I9107" s="3" t="s">
        <v>10829</v>
      </c>
      <c r="J9107" s="3" t="s">
        <v>46564</v>
      </c>
      <c r="K9107" s="3" t="s">
        <v>46565</v>
      </c>
      <c r="L9107" s="3"/>
      <c r="M9107" s="4" t="s">
        <v>46566</v>
      </c>
      <c r="N9107" s="3" t="s">
        <v>37</v>
      </c>
      <c r="O9107" s="3" t="s">
        <v>38</v>
      </c>
      <c r="P9107" s="5">
        <v>11</v>
      </c>
      <c r="Q9107" s="5">
        <v>180</v>
      </c>
      <c r="R9107" s="5">
        <v>11</v>
      </c>
      <c r="S9107" s="5">
        <v>188</v>
      </c>
    </row>
    <row r="9108" spans="1:19" ht="28" x14ac:dyDescent="0.15">
      <c r="A9108" s="2">
        <f>HYPERLINK("https://open-school.uspishnemisto.com.ua/school/480476/", 480476)</f>
        <v>480476</v>
      </c>
      <c r="B9108" s="3" t="s">
        <v>46567</v>
      </c>
      <c r="C9108" s="3" t="s">
        <v>31</v>
      </c>
      <c r="D9108" s="3" t="s">
        <v>32</v>
      </c>
      <c r="E9108" s="4" t="s">
        <v>22</v>
      </c>
      <c r="F9108" s="4" t="s">
        <v>46568</v>
      </c>
      <c r="G9108" s="4" t="s">
        <v>46569</v>
      </c>
      <c r="H9108" s="3" t="s">
        <v>44362</v>
      </c>
      <c r="I9108" s="3" t="s">
        <v>46570</v>
      </c>
      <c r="J9108" s="3" t="s">
        <v>878</v>
      </c>
      <c r="K9108" s="3" t="s">
        <v>46571</v>
      </c>
      <c r="L9108" s="3" t="s">
        <v>46572</v>
      </c>
      <c r="M9108" s="4" t="s">
        <v>46573</v>
      </c>
      <c r="N9108" s="3" t="s">
        <v>37</v>
      </c>
      <c r="O9108" s="3" t="s">
        <v>38</v>
      </c>
      <c r="P9108" s="5">
        <v>10</v>
      </c>
      <c r="Q9108" s="5">
        <v>117</v>
      </c>
      <c r="R9108" s="5">
        <v>10</v>
      </c>
      <c r="S9108" s="5">
        <v>115</v>
      </c>
    </row>
    <row r="9109" spans="1:19" ht="42" x14ac:dyDescent="0.15">
      <c r="A9109" s="2">
        <f>HYPERLINK("https://open-school.uspishnemisto.com.ua/school/480477/", 480477)</f>
        <v>480477</v>
      </c>
      <c r="B9109" s="3" t="s">
        <v>46574</v>
      </c>
      <c r="C9109" s="3" t="s">
        <v>31</v>
      </c>
      <c r="D9109" s="3" t="s">
        <v>32</v>
      </c>
      <c r="E9109" s="4" t="s">
        <v>22</v>
      </c>
      <c r="F9109" s="4" t="s">
        <v>46575</v>
      </c>
      <c r="G9109" s="4" t="s">
        <v>46576</v>
      </c>
      <c r="H9109" s="3" t="s">
        <v>44362</v>
      </c>
      <c r="I9109" s="3" t="s">
        <v>46577</v>
      </c>
      <c r="J9109" s="3" t="s">
        <v>46578</v>
      </c>
      <c r="K9109" s="3" t="s">
        <v>46579</v>
      </c>
      <c r="L9109" s="3" t="s">
        <v>46580</v>
      </c>
      <c r="M9109" s="4" t="s">
        <v>46581</v>
      </c>
      <c r="N9109" s="3" t="s">
        <v>37</v>
      </c>
      <c r="O9109" s="3" t="s">
        <v>52</v>
      </c>
      <c r="P9109" s="5">
        <v>12</v>
      </c>
      <c r="Q9109" s="5">
        <v>254</v>
      </c>
      <c r="R9109" s="5">
        <v>13</v>
      </c>
      <c r="S9109" s="5">
        <v>262</v>
      </c>
    </row>
    <row r="9110" spans="1:19" ht="70" x14ac:dyDescent="0.15">
      <c r="A9110" s="2">
        <f>HYPERLINK("https://open-school.uspishnemisto.com.ua/school/480478/", 480478)</f>
        <v>480478</v>
      </c>
      <c r="B9110" s="3" t="s">
        <v>46582</v>
      </c>
      <c r="C9110" s="3" t="s">
        <v>54</v>
      </c>
      <c r="D9110" s="3" t="s">
        <v>32</v>
      </c>
      <c r="E9110" s="4" t="s">
        <v>22</v>
      </c>
      <c r="F9110" s="4" t="s">
        <v>46583</v>
      </c>
      <c r="G9110" s="4" t="s">
        <v>46584</v>
      </c>
      <c r="H9110" s="3" t="s">
        <v>44362</v>
      </c>
      <c r="I9110" s="3" t="s">
        <v>46585</v>
      </c>
      <c r="J9110" s="3" t="s">
        <v>46586</v>
      </c>
      <c r="K9110" s="3" t="s">
        <v>46587</v>
      </c>
      <c r="L9110" s="3" t="s">
        <v>46588</v>
      </c>
      <c r="M9110" s="4"/>
      <c r="N9110" s="3" t="s">
        <v>37</v>
      </c>
      <c r="O9110" s="3" t="s">
        <v>70</v>
      </c>
      <c r="P9110" s="5">
        <v>9</v>
      </c>
      <c r="Q9110" s="5">
        <v>69</v>
      </c>
      <c r="R9110" s="5">
        <v>9</v>
      </c>
      <c r="S9110" s="5">
        <v>78</v>
      </c>
    </row>
    <row r="9111" spans="1:19" ht="42" x14ac:dyDescent="0.15">
      <c r="A9111" s="2">
        <f>HYPERLINK("https://open-school.uspishnemisto.com.ua/school/480479/", 480479)</f>
        <v>480479</v>
      </c>
      <c r="B9111" s="3" t="s">
        <v>46589</v>
      </c>
      <c r="C9111" s="3" t="s">
        <v>31</v>
      </c>
      <c r="D9111" s="3" t="s">
        <v>32</v>
      </c>
      <c r="E9111" s="4" t="s">
        <v>22</v>
      </c>
      <c r="F9111" s="4" t="s">
        <v>46590</v>
      </c>
      <c r="G9111" s="4" t="s">
        <v>46591</v>
      </c>
      <c r="H9111" s="3" t="s">
        <v>44362</v>
      </c>
      <c r="I9111" s="3" t="s">
        <v>46592</v>
      </c>
      <c r="J9111" s="3" t="s">
        <v>46593</v>
      </c>
      <c r="K9111" s="3" t="s">
        <v>46594</v>
      </c>
      <c r="L9111" s="3"/>
      <c r="M9111" s="4" t="s">
        <v>46595</v>
      </c>
      <c r="N9111" s="3" t="s">
        <v>37</v>
      </c>
      <c r="O9111" s="3" t="s">
        <v>38</v>
      </c>
      <c r="P9111" s="5">
        <v>11</v>
      </c>
      <c r="Q9111" s="5">
        <v>214</v>
      </c>
      <c r="R9111" s="5">
        <v>11</v>
      </c>
      <c r="S9111" s="5">
        <v>207</v>
      </c>
    </row>
    <row r="9112" spans="1:19" ht="28" x14ac:dyDescent="0.15">
      <c r="A9112" s="2">
        <f>HYPERLINK("https://open-school.uspishnemisto.com.ua/school/480480/", 480480)</f>
        <v>480480</v>
      </c>
      <c r="B9112" s="3" t="s">
        <v>46596</v>
      </c>
      <c r="C9112" s="3" t="s">
        <v>31</v>
      </c>
      <c r="D9112" s="3" t="s">
        <v>60</v>
      </c>
      <c r="E9112" s="4" t="s">
        <v>22</v>
      </c>
      <c r="F9112" s="4" t="s">
        <v>46597</v>
      </c>
      <c r="G9112" s="4" t="s">
        <v>46598</v>
      </c>
      <c r="H9112" s="3" t="s">
        <v>44362</v>
      </c>
      <c r="I9112" s="3" t="s">
        <v>11588</v>
      </c>
      <c r="J9112" s="3" t="s">
        <v>46599</v>
      </c>
      <c r="K9112" s="3" t="s">
        <v>46600</v>
      </c>
      <c r="L9112" s="3"/>
      <c r="M9112" s="4"/>
      <c r="N9112" s="3" t="s">
        <v>37</v>
      </c>
      <c r="O9112" s="3" t="s">
        <v>52</v>
      </c>
      <c r="P9112" s="5">
        <v>1</v>
      </c>
      <c r="Q9112" s="5">
        <v>13</v>
      </c>
      <c r="R9112" s="5">
        <v>2</v>
      </c>
      <c r="S9112" s="5">
        <v>26</v>
      </c>
    </row>
    <row r="9113" spans="1:19" ht="28" x14ac:dyDescent="0.15">
      <c r="A9113" s="2">
        <f>HYPERLINK("https://open-school.uspishnemisto.com.ua/school/480481/", 480481)</f>
        <v>480481</v>
      </c>
      <c r="B9113" s="3" t="s">
        <v>46601</v>
      </c>
      <c r="C9113" s="3" t="s">
        <v>31</v>
      </c>
      <c r="D9113" s="3" t="s">
        <v>32</v>
      </c>
      <c r="E9113" s="4" t="s">
        <v>22</v>
      </c>
      <c r="F9113" s="4" t="s">
        <v>46597</v>
      </c>
      <c r="G9113" s="4" t="s">
        <v>46602</v>
      </c>
      <c r="H9113" s="3" t="s">
        <v>44362</v>
      </c>
      <c r="I9113" s="3" t="s">
        <v>1500</v>
      </c>
      <c r="J9113" s="3" t="s">
        <v>1946</v>
      </c>
      <c r="K9113" s="3" t="s">
        <v>46603</v>
      </c>
      <c r="L9113" s="3"/>
      <c r="M9113" s="4"/>
      <c r="N9113" s="3" t="s">
        <v>37</v>
      </c>
      <c r="O9113" s="3" t="s">
        <v>52</v>
      </c>
      <c r="P9113" s="5">
        <v>6</v>
      </c>
      <c r="Q9113" s="5">
        <v>46</v>
      </c>
      <c r="R9113" s="5">
        <v>7</v>
      </c>
      <c r="S9113" s="5">
        <v>43</v>
      </c>
    </row>
    <row r="9114" spans="1:19" ht="42" x14ac:dyDescent="0.15">
      <c r="A9114" s="2">
        <f>HYPERLINK("https://open-school.uspishnemisto.com.ua/school/480482/", 480482)</f>
        <v>480482</v>
      </c>
      <c r="B9114" s="3" t="s">
        <v>46604</v>
      </c>
      <c r="C9114" s="3" t="s">
        <v>31</v>
      </c>
      <c r="D9114" s="3" t="s">
        <v>32</v>
      </c>
      <c r="E9114" s="4" t="s">
        <v>22</v>
      </c>
      <c r="F9114" s="4" t="s">
        <v>46605</v>
      </c>
      <c r="G9114" s="4" t="s">
        <v>46606</v>
      </c>
      <c r="H9114" s="3" t="s">
        <v>44362</v>
      </c>
      <c r="I9114" s="3" t="s">
        <v>2744</v>
      </c>
      <c r="J9114" s="3" t="s">
        <v>8465</v>
      </c>
      <c r="K9114" s="3" t="s">
        <v>46607</v>
      </c>
      <c r="L9114" s="3"/>
      <c r="M9114" s="4"/>
      <c r="N9114" s="3" t="s">
        <v>37</v>
      </c>
      <c r="O9114" s="3" t="s">
        <v>70</v>
      </c>
      <c r="P9114" s="5">
        <v>11</v>
      </c>
      <c r="Q9114" s="5">
        <v>107</v>
      </c>
      <c r="R9114" s="5">
        <v>11</v>
      </c>
      <c r="S9114" s="5">
        <v>103</v>
      </c>
    </row>
    <row r="9115" spans="1:19" ht="56" x14ac:dyDescent="0.15">
      <c r="A9115" s="2">
        <f>HYPERLINK("https://open-school.uspishnemisto.com.ua/school/480483/", 480483)</f>
        <v>480483</v>
      </c>
      <c r="B9115" s="3" t="s">
        <v>46608</v>
      </c>
      <c r="C9115" s="3" t="s">
        <v>54</v>
      </c>
      <c r="D9115" s="3" t="s">
        <v>60</v>
      </c>
      <c r="E9115" s="4" t="s">
        <v>22</v>
      </c>
      <c r="F9115" s="4" t="s">
        <v>46609</v>
      </c>
      <c r="G9115" s="4" t="s">
        <v>46610</v>
      </c>
      <c r="H9115" s="3" t="s">
        <v>44362</v>
      </c>
      <c r="I9115" s="3" t="s">
        <v>5088</v>
      </c>
      <c r="J9115" s="3" t="s">
        <v>2253</v>
      </c>
      <c r="K9115" s="3"/>
      <c r="L9115" s="3"/>
      <c r="M9115" s="4"/>
      <c r="N9115" s="3" t="s">
        <v>37</v>
      </c>
      <c r="O9115" s="3" t="s">
        <v>52</v>
      </c>
      <c r="P9115" s="5">
        <v>1</v>
      </c>
      <c r="Q9115" s="5">
        <v>11</v>
      </c>
      <c r="R9115" s="5">
        <v>2</v>
      </c>
      <c r="S9115" s="5">
        <v>18</v>
      </c>
    </row>
    <row r="9116" spans="1:19" ht="70" x14ac:dyDescent="0.15">
      <c r="A9116" s="2">
        <f>HYPERLINK("https://open-school.uspishnemisto.com.ua/school/480484/", 480484)</f>
        <v>480484</v>
      </c>
      <c r="B9116" s="3" t="s">
        <v>46611</v>
      </c>
      <c r="C9116" s="3" t="s">
        <v>54</v>
      </c>
      <c r="D9116" s="3" t="s">
        <v>175</v>
      </c>
      <c r="E9116" s="4" t="s">
        <v>22</v>
      </c>
      <c r="F9116" s="4" t="s">
        <v>46612</v>
      </c>
      <c r="G9116" s="4" t="s">
        <v>46613</v>
      </c>
      <c r="H9116" s="3" t="s">
        <v>44362</v>
      </c>
      <c r="I9116" s="3" t="s">
        <v>46614</v>
      </c>
      <c r="J9116" s="3" t="s">
        <v>46615</v>
      </c>
      <c r="K9116" s="3" t="s">
        <v>46616</v>
      </c>
      <c r="L9116" s="3"/>
      <c r="M9116" s="4"/>
      <c r="N9116" s="3" t="s">
        <v>37</v>
      </c>
      <c r="O9116" s="3" t="s">
        <v>38</v>
      </c>
      <c r="P9116" s="5">
        <v>8</v>
      </c>
      <c r="Q9116" s="5">
        <v>68</v>
      </c>
      <c r="R9116" s="5">
        <v>7</v>
      </c>
      <c r="S9116" s="5">
        <v>64</v>
      </c>
    </row>
    <row r="9117" spans="1:19" ht="28" x14ac:dyDescent="0.15">
      <c r="A9117" s="2">
        <f>HYPERLINK("https://open-school.uspishnemisto.com.ua/school/480485/", 480485)</f>
        <v>480485</v>
      </c>
      <c r="B9117" s="3" t="s">
        <v>46617</v>
      </c>
      <c r="C9117" s="3" t="s">
        <v>31</v>
      </c>
      <c r="D9117" s="3" t="s">
        <v>32</v>
      </c>
      <c r="E9117" s="4" t="s">
        <v>22</v>
      </c>
      <c r="F9117" s="4" t="s">
        <v>46618</v>
      </c>
      <c r="G9117" s="4" t="s">
        <v>46619</v>
      </c>
      <c r="H9117" s="3" t="s">
        <v>44362</v>
      </c>
      <c r="I9117" s="3" t="s">
        <v>46620</v>
      </c>
      <c r="J9117" s="3" t="s">
        <v>46621</v>
      </c>
      <c r="K9117" s="3" t="s">
        <v>46622</v>
      </c>
      <c r="L9117" s="3"/>
      <c r="M9117" s="4"/>
      <c r="N9117" s="3" t="s">
        <v>37</v>
      </c>
      <c r="O9117" s="3" t="s">
        <v>38</v>
      </c>
      <c r="P9117" s="5">
        <v>14</v>
      </c>
      <c r="Q9117" s="5">
        <v>251</v>
      </c>
      <c r="R9117" s="5">
        <v>14</v>
      </c>
      <c r="S9117" s="5">
        <v>261</v>
      </c>
    </row>
    <row r="9118" spans="1:19" ht="28" x14ac:dyDescent="0.15">
      <c r="A9118" s="2">
        <f>HYPERLINK("https://open-school.uspishnemisto.com.ua/school/480486/", 480486)</f>
        <v>480486</v>
      </c>
      <c r="B9118" s="3" t="s">
        <v>46623</v>
      </c>
      <c r="C9118" s="3" t="s">
        <v>31</v>
      </c>
      <c r="D9118" s="3" t="s">
        <v>32</v>
      </c>
      <c r="E9118" s="4" t="s">
        <v>22</v>
      </c>
      <c r="F9118" s="4" t="s">
        <v>46624</v>
      </c>
      <c r="G9118" s="4" t="s">
        <v>46625</v>
      </c>
      <c r="H9118" s="3" t="s">
        <v>44362</v>
      </c>
      <c r="I9118" s="3" t="s">
        <v>46626</v>
      </c>
      <c r="J9118" s="3" t="s">
        <v>46627</v>
      </c>
      <c r="K9118" s="3" t="s">
        <v>46628</v>
      </c>
      <c r="L9118" s="3" t="s">
        <v>46629</v>
      </c>
      <c r="M9118" s="4"/>
      <c r="N9118" s="3" t="s">
        <v>37</v>
      </c>
      <c r="O9118" s="3" t="s">
        <v>52</v>
      </c>
      <c r="P9118" s="5">
        <v>11</v>
      </c>
      <c r="Q9118" s="5">
        <v>211</v>
      </c>
      <c r="R9118" s="5">
        <v>11</v>
      </c>
      <c r="S9118" s="5">
        <v>203</v>
      </c>
    </row>
    <row r="9119" spans="1:19" ht="28" x14ac:dyDescent="0.15">
      <c r="A9119" s="2">
        <f>HYPERLINK("https://open-school.uspishnemisto.com.ua/school/480487/", 480487)</f>
        <v>480487</v>
      </c>
      <c r="B9119" s="3" t="s">
        <v>46630</v>
      </c>
      <c r="C9119" s="3" t="s">
        <v>31</v>
      </c>
      <c r="D9119" s="3" t="s">
        <v>175</v>
      </c>
      <c r="E9119" s="4" t="s">
        <v>22</v>
      </c>
      <c r="F9119" s="4" t="s">
        <v>46631</v>
      </c>
      <c r="G9119" s="4" t="s">
        <v>46632</v>
      </c>
      <c r="H9119" s="3" t="s">
        <v>44362</v>
      </c>
      <c r="I9119" s="3" t="s">
        <v>1427</v>
      </c>
      <c r="J9119" s="3" t="s">
        <v>1636</v>
      </c>
      <c r="K9119" s="3" t="s">
        <v>46633</v>
      </c>
      <c r="L9119" s="3"/>
      <c r="M9119" s="4"/>
      <c r="N9119" s="3" t="s">
        <v>37</v>
      </c>
      <c r="O9119" s="3" t="s">
        <v>52</v>
      </c>
      <c r="P9119" s="5">
        <v>1</v>
      </c>
      <c r="Q9119" s="5">
        <v>27</v>
      </c>
      <c r="R9119" s="5">
        <v>2</v>
      </c>
      <c r="S9119" s="5">
        <v>31</v>
      </c>
    </row>
    <row r="9120" spans="1:19" ht="28" x14ac:dyDescent="0.15">
      <c r="A9120" s="2">
        <f>HYPERLINK("https://open-school.uspishnemisto.com.ua/school/480488/", 480488)</f>
        <v>480488</v>
      </c>
      <c r="B9120" s="3" t="s">
        <v>46634</v>
      </c>
      <c r="C9120" s="3" t="s">
        <v>31</v>
      </c>
      <c r="D9120" s="3" t="s">
        <v>175</v>
      </c>
      <c r="E9120" s="4" t="s">
        <v>22</v>
      </c>
      <c r="F9120" s="4" t="s">
        <v>46635</v>
      </c>
      <c r="G9120" s="4" t="s">
        <v>46636</v>
      </c>
      <c r="H9120" s="3" t="s">
        <v>44362</v>
      </c>
      <c r="I9120" s="3" t="s">
        <v>10849</v>
      </c>
      <c r="J9120" s="3" t="s">
        <v>11675</v>
      </c>
      <c r="K9120" s="3" t="s">
        <v>46637</v>
      </c>
      <c r="L9120" s="3"/>
      <c r="M9120" s="4"/>
      <c r="N9120" s="3" t="s">
        <v>37</v>
      </c>
      <c r="O9120" s="3" t="s">
        <v>52</v>
      </c>
      <c r="P9120" s="5">
        <v>9</v>
      </c>
      <c r="Q9120" s="5">
        <v>113</v>
      </c>
      <c r="R9120" s="5">
        <v>9</v>
      </c>
      <c r="S9120" s="5">
        <v>111</v>
      </c>
    </row>
    <row r="9121" spans="1:19" ht="28" x14ac:dyDescent="0.15">
      <c r="A9121" s="2">
        <f>HYPERLINK("https://open-school.uspishnemisto.com.ua/school/480489/", 480489)</f>
        <v>480489</v>
      </c>
      <c r="B9121" s="3" t="s">
        <v>46638</v>
      </c>
      <c r="C9121" s="3" t="s">
        <v>31</v>
      </c>
      <c r="D9121" s="3" t="s">
        <v>32</v>
      </c>
      <c r="E9121" s="4" t="s">
        <v>22</v>
      </c>
      <c r="F9121" s="4" t="s">
        <v>46639</v>
      </c>
      <c r="G9121" s="4" t="s">
        <v>46640</v>
      </c>
      <c r="H9121" s="3" t="s">
        <v>44362</v>
      </c>
      <c r="I9121" s="3" t="s">
        <v>46641</v>
      </c>
      <c r="J9121" s="3" t="s">
        <v>11022</v>
      </c>
      <c r="K9121" s="3" t="s">
        <v>46642</v>
      </c>
      <c r="L9121" s="3" t="s">
        <v>46643</v>
      </c>
      <c r="M9121" s="4"/>
      <c r="N9121" s="3" t="s">
        <v>37</v>
      </c>
      <c r="O9121" s="3" t="s">
        <v>52</v>
      </c>
      <c r="P9121" s="5">
        <v>11</v>
      </c>
      <c r="Q9121" s="5">
        <v>132</v>
      </c>
      <c r="R9121" s="5">
        <v>11</v>
      </c>
      <c r="S9121" s="5">
        <v>135</v>
      </c>
    </row>
    <row r="9122" spans="1:19" ht="42" x14ac:dyDescent="0.15">
      <c r="A9122" s="2">
        <f>HYPERLINK("https://open-school.uspishnemisto.com.ua/school/480490/", 480490)</f>
        <v>480490</v>
      </c>
      <c r="B9122" s="3" t="s">
        <v>46644</v>
      </c>
      <c r="C9122" s="3" t="s">
        <v>31</v>
      </c>
      <c r="D9122" s="3" t="s">
        <v>32</v>
      </c>
      <c r="E9122" s="4" t="s">
        <v>22</v>
      </c>
      <c r="F9122" s="4" t="s">
        <v>46645</v>
      </c>
      <c r="G9122" s="4" t="s">
        <v>46646</v>
      </c>
      <c r="H9122" s="3" t="s">
        <v>44362</v>
      </c>
      <c r="I9122" s="3" t="s">
        <v>46647</v>
      </c>
      <c r="J9122" s="3" t="s">
        <v>46648</v>
      </c>
      <c r="K9122" s="3" t="s">
        <v>46649</v>
      </c>
      <c r="L9122" s="3"/>
      <c r="M9122" s="4"/>
      <c r="N9122" s="3" t="s">
        <v>37</v>
      </c>
      <c r="O9122" s="3" t="s">
        <v>52</v>
      </c>
      <c r="P9122" s="5">
        <v>11</v>
      </c>
      <c r="Q9122" s="5">
        <v>120</v>
      </c>
      <c r="R9122" s="5">
        <v>11</v>
      </c>
      <c r="S9122" s="5">
        <v>130</v>
      </c>
    </row>
    <row r="9123" spans="1:19" ht="56" x14ac:dyDescent="0.15">
      <c r="A9123" s="2">
        <f>HYPERLINK("https://open-school.uspishnemisto.com.ua/school/480491/", 480491)</f>
        <v>480491</v>
      </c>
      <c r="B9123" s="3" t="s">
        <v>46650</v>
      </c>
      <c r="C9123" s="3" t="s">
        <v>54</v>
      </c>
      <c r="D9123" s="3" t="s">
        <v>175</v>
      </c>
      <c r="E9123" s="4" t="s">
        <v>22</v>
      </c>
      <c r="F9123" s="4" t="s">
        <v>46651</v>
      </c>
      <c r="G9123" s="4" t="s">
        <v>46652</v>
      </c>
      <c r="H9123" s="3" t="s">
        <v>44362</v>
      </c>
      <c r="I9123" s="3" t="s">
        <v>46653</v>
      </c>
      <c r="J9123" s="3" t="s">
        <v>1348</v>
      </c>
      <c r="K9123" s="3" t="s">
        <v>46654</v>
      </c>
      <c r="L9123" s="3"/>
      <c r="M9123" s="4"/>
      <c r="N9123" s="3" t="s">
        <v>37</v>
      </c>
      <c r="O9123" s="3" t="s">
        <v>52</v>
      </c>
      <c r="P9123" s="5">
        <v>9</v>
      </c>
      <c r="Q9123" s="5">
        <v>73</v>
      </c>
      <c r="R9123" s="5">
        <v>8</v>
      </c>
      <c r="S9123" s="5">
        <v>67</v>
      </c>
    </row>
    <row r="9124" spans="1:19" ht="28" x14ac:dyDescent="0.15">
      <c r="A9124" s="2">
        <f>HYPERLINK("https://open-school.uspishnemisto.com.ua/school/480492/", 480492)</f>
        <v>480492</v>
      </c>
      <c r="B9124" s="3" t="s">
        <v>46655</v>
      </c>
      <c r="C9124" s="3" t="s">
        <v>31</v>
      </c>
      <c r="D9124" s="3" t="s">
        <v>175</v>
      </c>
      <c r="E9124" s="4" t="s">
        <v>22</v>
      </c>
      <c r="F9124" s="4" t="s">
        <v>46645</v>
      </c>
      <c r="G9124" s="4" t="s">
        <v>46656</v>
      </c>
      <c r="H9124" s="3" t="s">
        <v>44362</v>
      </c>
      <c r="I9124" s="3" t="s">
        <v>46647</v>
      </c>
      <c r="J9124" s="3" t="s">
        <v>1198</v>
      </c>
      <c r="K9124" s="3" t="s">
        <v>46657</v>
      </c>
      <c r="L9124" s="3" t="s">
        <v>46658</v>
      </c>
      <c r="M9124" s="4"/>
      <c r="N9124" s="3" t="s">
        <v>37</v>
      </c>
      <c r="O9124" s="3" t="s">
        <v>52</v>
      </c>
      <c r="P9124" s="5">
        <v>9</v>
      </c>
      <c r="Q9124" s="5">
        <v>99</v>
      </c>
      <c r="R9124" s="5">
        <v>9</v>
      </c>
      <c r="S9124" s="5">
        <v>107</v>
      </c>
    </row>
    <row r="9125" spans="1:19" ht="28" x14ac:dyDescent="0.15">
      <c r="A9125" s="2">
        <f>HYPERLINK("https://open-school.uspishnemisto.com.ua/school/480493/", 480493)</f>
        <v>480493</v>
      </c>
      <c r="B9125" s="3" t="s">
        <v>46659</v>
      </c>
      <c r="C9125" s="3" t="s">
        <v>31</v>
      </c>
      <c r="D9125" s="3" t="s">
        <v>32</v>
      </c>
      <c r="E9125" s="4" t="s">
        <v>22</v>
      </c>
      <c r="F9125" s="4" t="s">
        <v>46660</v>
      </c>
      <c r="G9125" s="4" t="s">
        <v>46661</v>
      </c>
      <c r="H9125" s="3" t="s">
        <v>44362</v>
      </c>
      <c r="I9125" s="3" t="s">
        <v>46662</v>
      </c>
      <c r="J9125" s="3" t="s">
        <v>1636</v>
      </c>
      <c r="K9125" s="3" t="s">
        <v>46663</v>
      </c>
      <c r="L9125" s="3" t="s">
        <v>46664</v>
      </c>
      <c r="M9125" s="4"/>
      <c r="N9125" s="3" t="s">
        <v>37</v>
      </c>
      <c r="O9125" s="3" t="s">
        <v>52</v>
      </c>
      <c r="P9125" s="5">
        <v>18</v>
      </c>
      <c r="Q9125" s="5">
        <v>366</v>
      </c>
      <c r="R9125" s="5">
        <v>17</v>
      </c>
      <c r="S9125" s="5">
        <v>342</v>
      </c>
    </row>
    <row r="9126" spans="1:19" ht="42" x14ac:dyDescent="0.15">
      <c r="A9126" s="2">
        <f>HYPERLINK("https://open-school.uspishnemisto.com.ua/school/480494/", 480494)</f>
        <v>480494</v>
      </c>
      <c r="B9126" s="3" t="s">
        <v>46665</v>
      </c>
      <c r="C9126" s="3" t="s">
        <v>31</v>
      </c>
      <c r="D9126" s="3" t="s">
        <v>32</v>
      </c>
      <c r="E9126" s="4" t="s">
        <v>22</v>
      </c>
      <c r="F9126" s="4" t="s">
        <v>46666</v>
      </c>
      <c r="G9126" s="4" t="s">
        <v>46667</v>
      </c>
      <c r="H9126" s="3" t="s">
        <v>44362</v>
      </c>
      <c r="I9126" s="3" t="s">
        <v>46668</v>
      </c>
      <c r="J9126" s="3" t="s">
        <v>46669</v>
      </c>
      <c r="K9126" s="3" t="s">
        <v>46670</v>
      </c>
      <c r="L9126" s="3" t="s">
        <v>46671</v>
      </c>
      <c r="M9126" s="4"/>
      <c r="N9126" s="3" t="s">
        <v>37</v>
      </c>
      <c r="O9126" s="3" t="s">
        <v>52</v>
      </c>
      <c r="P9126" s="5">
        <v>10</v>
      </c>
      <c r="Q9126" s="5">
        <v>93</v>
      </c>
      <c r="R9126" s="5">
        <v>10</v>
      </c>
      <c r="S9126" s="5">
        <v>100</v>
      </c>
    </row>
    <row r="9127" spans="1:19" ht="28" x14ac:dyDescent="0.15">
      <c r="A9127" s="2">
        <f>HYPERLINK("https://open-school.uspishnemisto.com.ua/school/480495/", 480495)</f>
        <v>480495</v>
      </c>
      <c r="B9127" s="3" t="s">
        <v>46672</v>
      </c>
      <c r="C9127" s="3" t="s">
        <v>31</v>
      </c>
      <c r="D9127" s="3" t="s">
        <v>32</v>
      </c>
      <c r="E9127" s="4" t="s">
        <v>22</v>
      </c>
      <c r="F9127" s="4" t="s">
        <v>46673</v>
      </c>
      <c r="G9127" s="4" t="s">
        <v>46674</v>
      </c>
      <c r="H9127" s="3" t="s">
        <v>44362</v>
      </c>
      <c r="I9127" s="3" t="s">
        <v>45613</v>
      </c>
      <c r="J9127" s="3" t="s">
        <v>21256</v>
      </c>
      <c r="K9127" s="3" t="s">
        <v>46675</v>
      </c>
      <c r="L9127" s="3" t="s">
        <v>46676</v>
      </c>
      <c r="M9127" s="4"/>
      <c r="N9127" s="3" t="s">
        <v>37</v>
      </c>
      <c r="O9127" s="3" t="s">
        <v>52</v>
      </c>
      <c r="P9127" s="5">
        <v>10</v>
      </c>
      <c r="Q9127" s="5">
        <v>90</v>
      </c>
      <c r="R9127" s="5">
        <v>11</v>
      </c>
      <c r="S9127" s="5">
        <v>104</v>
      </c>
    </row>
    <row r="9128" spans="1:19" ht="56" x14ac:dyDescent="0.15">
      <c r="A9128" s="2">
        <f>HYPERLINK("https://open-school.uspishnemisto.com.ua/school/480496/", 480496)</f>
        <v>480496</v>
      </c>
      <c r="B9128" s="3" t="s">
        <v>46677</v>
      </c>
      <c r="C9128" s="3" t="s">
        <v>54</v>
      </c>
      <c r="D9128" s="3" t="s">
        <v>175</v>
      </c>
      <c r="E9128" s="4" t="s">
        <v>22</v>
      </c>
      <c r="F9128" s="4" t="s">
        <v>46678</v>
      </c>
      <c r="G9128" s="4" t="s">
        <v>46679</v>
      </c>
      <c r="H9128" s="3" t="s">
        <v>44362</v>
      </c>
      <c r="I9128" s="3" t="s">
        <v>46680</v>
      </c>
      <c r="J9128" s="3" t="s">
        <v>2901</v>
      </c>
      <c r="K9128" s="3" t="s">
        <v>46681</v>
      </c>
      <c r="L9128" s="3" t="s">
        <v>46682</v>
      </c>
      <c r="M9128" s="4"/>
      <c r="N9128" s="3" t="s">
        <v>37</v>
      </c>
      <c r="O9128" s="3" t="s">
        <v>52</v>
      </c>
      <c r="P9128" s="5">
        <v>9</v>
      </c>
      <c r="Q9128" s="5">
        <v>55</v>
      </c>
      <c r="R9128" s="5">
        <v>8</v>
      </c>
      <c r="S9128" s="5">
        <v>56</v>
      </c>
    </row>
    <row r="9129" spans="1:19" ht="42" x14ac:dyDescent="0.15">
      <c r="A9129" s="2">
        <f>HYPERLINK("https://open-school.uspishnemisto.com.ua/school/480497/", 480497)</f>
        <v>480497</v>
      </c>
      <c r="B9129" s="3" t="s">
        <v>46683</v>
      </c>
      <c r="C9129" s="3" t="s">
        <v>54</v>
      </c>
      <c r="D9129" s="3" t="s">
        <v>175</v>
      </c>
      <c r="E9129" s="4" t="s">
        <v>22</v>
      </c>
      <c r="F9129" s="4" t="s">
        <v>46631</v>
      </c>
      <c r="G9129" s="4" t="s">
        <v>46684</v>
      </c>
      <c r="H9129" s="3" t="s">
        <v>44362</v>
      </c>
      <c r="I9129" s="3" t="s">
        <v>362</v>
      </c>
      <c r="J9129" s="3" t="s">
        <v>46685</v>
      </c>
      <c r="K9129" s="3" t="s">
        <v>46686</v>
      </c>
      <c r="L9129" s="3"/>
      <c r="M9129" s="4"/>
      <c r="N9129" s="3" t="s">
        <v>37</v>
      </c>
      <c r="O9129" s="3" t="s">
        <v>52</v>
      </c>
      <c r="P9129" s="5">
        <v>5</v>
      </c>
      <c r="Q9129" s="5">
        <v>39</v>
      </c>
      <c r="R9129" s="5">
        <v>4</v>
      </c>
      <c r="S9129" s="5">
        <v>41</v>
      </c>
    </row>
    <row r="9130" spans="1:19" ht="28" x14ac:dyDescent="0.15">
      <c r="A9130" s="2">
        <f>HYPERLINK("https://open-school.uspishnemisto.com.ua/school/480498/", 480498)</f>
        <v>480498</v>
      </c>
      <c r="B9130" s="3" t="s">
        <v>46687</v>
      </c>
      <c r="C9130" s="3" t="s">
        <v>31</v>
      </c>
      <c r="D9130" s="3" t="s">
        <v>32</v>
      </c>
      <c r="E9130" s="4" t="s">
        <v>22</v>
      </c>
      <c r="F9130" s="4" t="s">
        <v>46688</v>
      </c>
      <c r="G9130" s="4" t="s">
        <v>46689</v>
      </c>
      <c r="H9130" s="3" t="s">
        <v>44362</v>
      </c>
      <c r="I9130" s="3" t="s">
        <v>1563</v>
      </c>
      <c r="J9130" s="3" t="s">
        <v>46690</v>
      </c>
      <c r="K9130" s="3" t="s">
        <v>46691</v>
      </c>
      <c r="L9130" s="3" t="s">
        <v>46692</v>
      </c>
      <c r="M9130" s="4"/>
      <c r="N9130" s="3" t="s">
        <v>37</v>
      </c>
      <c r="O9130" s="3" t="s">
        <v>52</v>
      </c>
      <c r="P9130" s="5">
        <v>13</v>
      </c>
      <c r="Q9130" s="5">
        <v>303</v>
      </c>
      <c r="R9130" s="5">
        <v>14</v>
      </c>
      <c r="S9130" s="5">
        <v>305</v>
      </c>
    </row>
    <row r="9131" spans="1:19" ht="28" x14ac:dyDescent="0.15">
      <c r="A9131" s="2">
        <f>HYPERLINK("https://open-school.uspishnemisto.com.ua/school/480499/", 480499)</f>
        <v>480499</v>
      </c>
      <c r="B9131" s="3" t="s">
        <v>46693</v>
      </c>
      <c r="C9131" s="3" t="s">
        <v>181</v>
      </c>
      <c r="D9131" s="3"/>
      <c r="E9131" s="4" t="s">
        <v>22</v>
      </c>
      <c r="F9131" s="4" t="s">
        <v>46688</v>
      </c>
      <c r="G9131" s="4" t="s">
        <v>46689</v>
      </c>
      <c r="H9131" s="3" t="s">
        <v>44362</v>
      </c>
      <c r="I9131" s="3" t="s">
        <v>1563</v>
      </c>
      <c r="J9131" s="3" t="s">
        <v>46694</v>
      </c>
      <c r="K9131" s="3" t="s">
        <v>46695</v>
      </c>
      <c r="L9131" s="3"/>
      <c r="M9131" s="4" t="s">
        <v>46696</v>
      </c>
      <c r="N9131" s="3" t="s">
        <v>37</v>
      </c>
      <c r="O9131" s="3" t="s">
        <v>52</v>
      </c>
      <c r="P9131" s="5">
        <v>15</v>
      </c>
      <c r="Q9131" s="5">
        <v>150</v>
      </c>
      <c r="R9131" s="5">
        <v>15</v>
      </c>
      <c r="S9131" s="5">
        <v>142</v>
      </c>
    </row>
    <row r="9132" spans="1:19" ht="28" x14ac:dyDescent="0.15">
      <c r="A9132" s="2">
        <f>HYPERLINK("https://open-school.uspishnemisto.com.ua/school/480500/", 480500)</f>
        <v>480500</v>
      </c>
      <c r="B9132" s="3" t="s">
        <v>46697</v>
      </c>
      <c r="C9132" s="3" t="s">
        <v>31</v>
      </c>
      <c r="D9132" s="3" t="s">
        <v>32</v>
      </c>
      <c r="E9132" s="4" t="s">
        <v>22</v>
      </c>
      <c r="F9132" s="4" t="s">
        <v>46698</v>
      </c>
      <c r="G9132" s="4" t="s">
        <v>46699</v>
      </c>
      <c r="H9132" s="3" t="s">
        <v>44362</v>
      </c>
      <c r="I9132" s="3" t="s">
        <v>46700</v>
      </c>
      <c r="J9132" s="3" t="s">
        <v>466</v>
      </c>
      <c r="K9132" s="3" t="s">
        <v>46701</v>
      </c>
      <c r="L9132" s="3" t="s">
        <v>46702</v>
      </c>
      <c r="M9132" s="4"/>
      <c r="N9132" s="3" t="s">
        <v>37</v>
      </c>
      <c r="O9132" s="3" t="s">
        <v>52</v>
      </c>
      <c r="P9132" s="5">
        <v>10</v>
      </c>
      <c r="Q9132" s="5">
        <v>187</v>
      </c>
      <c r="R9132" s="5">
        <v>11</v>
      </c>
      <c r="S9132" s="5">
        <v>194</v>
      </c>
    </row>
    <row r="9133" spans="1:19" ht="42" x14ac:dyDescent="0.15">
      <c r="A9133" s="2">
        <f>HYPERLINK("https://open-school.uspishnemisto.com.ua/school/480501/", 480501)</f>
        <v>480501</v>
      </c>
      <c r="B9133" s="3" t="s">
        <v>46703</v>
      </c>
      <c r="C9133" s="3" t="s">
        <v>54</v>
      </c>
      <c r="D9133" s="3" t="s">
        <v>175</v>
      </c>
      <c r="E9133" s="4" t="s">
        <v>22</v>
      </c>
      <c r="F9133" s="4" t="s">
        <v>46704</v>
      </c>
      <c r="G9133" s="4" t="s">
        <v>46705</v>
      </c>
      <c r="H9133" s="3" t="s">
        <v>44362</v>
      </c>
      <c r="I9133" s="3" t="s">
        <v>25323</v>
      </c>
      <c r="J9133" s="3" t="s">
        <v>466</v>
      </c>
      <c r="K9133" s="3" t="s">
        <v>46706</v>
      </c>
      <c r="L9133" s="3" t="s">
        <v>46707</v>
      </c>
      <c r="M9133" s="4"/>
      <c r="N9133" s="3" t="s">
        <v>37</v>
      </c>
      <c r="O9133" s="3" t="s">
        <v>46</v>
      </c>
      <c r="P9133" s="5">
        <v>7</v>
      </c>
      <c r="Q9133" s="5">
        <v>63</v>
      </c>
      <c r="R9133" s="5">
        <v>6</v>
      </c>
      <c r="S9133" s="5">
        <v>56</v>
      </c>
    </row>
    <row r="9134" spans="1:19" ht="28" x14ac:dyDescent="0.15">
      <c r="A9134" s="2">
        <f>HYPERLINK("https://open-school.uspishnemisto.com.ua/school/480502/", 480502)</f>
        <v>480502</v>
      </c>
      <c r="B9134" s="3" t="s">
        <v>46708</v>
      </c>
      <c r="C9134" s="3" t="s">
        <v>31</v>
      </c>
      <c r="D9134" s="3" t="s">
        <v>32</v>
      </c>
      <c r="E9134" s="4" t="s">
        <v>22</v>
      </c>
      <c r="F9134" s="4" t="s">
        <v>46709</v>
      </c>
      <c r="G9134" s="4" t="s">
        <v>46710</v>
      </c>
      <c r="H9134" s="3" t="s">
        <v>44362</v>
      </c>
      <c r="I9134" s="3" t="s">
        <v>46711</v>
      </c>
      <c r="J9134" s="3" t="s">
        <v>466</v>
      </c>
      <c r="K9134" s="3" t="s">
        <v>46712</v>
      </c>
      <c r="L9134" s="3"/>
      <c r="M9134" s="4"/>
      <c r="N9134" s="3" t="s">
        <v>37</v>
      </c>
      <c r="O9134" s="3" t="s">
        <v>52</v>
      </c>
      <c r="P9134" s="5">
        <v>11</v>
      </c>
      <c r="Q9134" s="5">
        <v>147</v>
      </c>
      <c r="R9134" s="5">
        <v>11</v>
      </c>
      <c r="S9134" s="5">
        <v>160</v>
      </c>
    </row>
    <row r="9135" spans="1:19" ht="28" x14ac:dyDescent="0.15">
      <c r="A9135" s="2">
        <f>HYPERLINK("https://open-school.uspishnemisto.com.ua/school/480503/", 480503)</f>
        <v>480503</v>
      </c>
      <c r="B9135" s="3" t="s">
        <v>46713</v>
      </c>
      <c r="C9135" s="3" t="s">
        <v>31</v>
      </c>
      <c r="D9135" s="3" t="s">
        <v>32</v>
      </c>
      <c r="E9135" s="4" t="s">
        <v>22</v>
      </c>
      <c r="F9135" s="4" t="s">
        <v>46714</v>
      </c>
      <c r="G9135" s="4" t="s">
        <v>46715</v>
      </c>
      <c r="H9135" s="3" t="s">
        <v>44362</v>
      </c>
      <c r="I9135" s="3" t="s">
        <v>46716</v>
      </c>
      <c r="J9135" s="3" t="s">
        <v>2601</v>
      </c>
      <c r="K9135" s="3" t="s">
        <v>46717</v>
      </c>
      <c r="L9135" s="3" t="s">
        <v>46718</v>
      </c>
      <c r="M9135" s="4"/>
      <c r="N9135" s="3" t="s">
        <v>37</v>
      </c>
      <c r="O9135" s="3" t="s">
        <v>52</v>
      </c>
      <c r="P9135" s="5">
        <v>11</v>
      </c>
      <c r="Q9135" s="5">
        <v>139</v>
      </c>
      <c r="R9135" s="5">
        <v>11</v>
      </c>
      <c r="S9135" s="5">
        <v>133</v>
      </c>
    </row>
    <row r="9136" spans="1:19" ht="28" x14ac:dyDescent="0.15">
      <c r="A9136" s="2">
        <f>HYPERLINK("https://open-school.uspishnemisto.com.ua/school/480504/", 480504)</f>
        <v>480504</v>
      </c>
      <c r="B9136" s="3" t="s">
        <v>46719</v>
      </c>
      <c r="C9136" s="3" t="s">
        <v>31</v>
      </c>
      <c r="D9136" s="3" t="s">
        <v>32</v>
      </c>
      <c r="E9136" s="4" t="s">
        <v>22</v>
      </c>
      <c r="F9136" s="4" t="s">
        <v>46720</v>
      </c>
      <c r="G9136" s="4" t="s">
        <v>46721</v>
      </c>
      <c r="H9136" s="3" t="s">
        <v>44362</v>
      </c>
      <c r="I9136" s="3" t="s">
        <v>11355</v>
      </c>
      <c r="J9136" s="3" t="s">
        <v>2584</v>
      </c>
      <c r="K9136" s="3" t="s">
        <v>46722</v>
      </c>
      <c r="L9136" s="3" t="s">
        <v>46723</v>
      </c>
      <c r="M9136" s="4"/>
      <c r="N9136" s="3" t="s">
        <v>37</v>
      </c>
      <c r="O9136" s="3" t="s">
        <v>618</v>
      </c>
      <c r="P9136" s="5">
        <v>9</v>
      </c>
      <c r="Q9136" s="5">
        <v>102</v>
      </c>
      <c r="R9136" s="5">
        <v>9</v>
      </c>
      <c r="S9136" s="5">
        <v>93</v>
      </c>
    </row>
    <row r="9137" spans="1:19" ht="56" x14ac:dyDescent="0.15">
      <c r="A9137" s="2">
        <f>HYPERLINK("https://open-school.uspishnemisto.com.ua/school/480505/", 480505)</f>
        <v>480505</v>
      </c>
      <c r="B9137" s="3" t="s">
        <v>46724</v>
      </c>
      <c r="C9137" s="3" t="s">
        <v>54</v>
      </c>
      <c r="D9137" s="3" t="s">
        <v>32</v>
      </c>
      <c r="E9137" s="4" t="s">
        <v>22</v>
      </c>
      <c r="F9137" s="4" t="s">
        <v>46725</v>
      </c>
      <c r="G9137" s="4" t="s">
        <v>46726</v>
      </c>
      <c r="H9137" s="3" t="s">
        <v>44362</v>
      </c>
      <c r="I9137" s="3" t="s">
        <v>46727</v>
      </c>
      <c r="J9137" s="3" t="s">
        <v>466</v>
      </c>
      <c r="K9137" s="3" t="s">
        <v>46728</v>
      </c>
      <c r="L9137" s="3" t="s">
        <v>46729</v>
      </c>
      <c r="M9137" s="4"/>
      <c r="N9137" s="3" t="s">
        <v>37</v>
      </c>
      <c r="O9137" s="3" t="s">
        <v>618</v>
      </c>
      <c r="P9137" s="5">
        <v>7</v>
      </c>
      <c r="Q9137" s="5">
        <v>60</v>
      </c>
      <c r="R9137" s="5">
        <v>8</v>
      </c>
      <c r="S9137" s="5">
        <v>60</v>
      </c>
    </row>
    <row r="9138" spans="1:19" ht="28" x14ac:dyDescent="0.15">
      <c r="A9138" s="2">
        <f>HYPERLINK("https://open-school.uspishnemisto.com.ua/school/480506/", 480506)</f>
        <v>480506</v>
      </c>
      <c r="B9138" s="3" t="s">
        <v>46730</v>
      </c>
      <c r="C9138" s="3" t="s">
        <v>31</v>
      </c>
      <c r="D9138" s="3" t="s">
        <v>32</v>
      </c>
      <c r="E9138" s="4" t="s">
        <v>22</v>
      </c>
      <c r="F9138" s="4" t="s">
        <v>46731</v>
      </c>
      <c r="G9138" s="4" t="s">
        <v>46732</v>
      </c>
      <c r="H9138" s="3" t="s">
        <v>44362</v>
      </c>
      <c r="I9138" s="3" t="s">
        <v>46733</v>
      </c>
      <c r="J9138" s="3" t="s">
        <v>46734</v>
      </c>
      <c r="K9138" s="3" t="s">
        <v>46735</v>
      </c>
      <c r="L9138" s="3" t="s">
        <v>46736</v>
      </c>
      <c r="M9138" s="4"/>
      <c r="N9138" s="3" t="s">
        <v>37</v>
      </c>
      <c r="O9138" s="3" t="s">
        <v>52</v>
      </c>
      <c r="P9138" s="5">
        <v>10</v>
      </c>
      <c r="Q9138" s="5">
        <v>97</v>
      </c>
      <c r="R9138" s="5">
        <v>10</v>
      </c>
      <c r="S9138" s="5">
        <v>87</v>
      </c>
    </row>
    <row r="9139" spans="1:19" ht="28" x14ac:dyDescent="0.15">
      <c r="A9139" s="2">
        <f>HYPERLINK("https://open-school.uspishnemisto.com.ua/school/480507/", 480507)</f>
        <v>480507</v>
      </c>
      <c r="B9139" s="3" t="s">
        <v>46737</v>
      </c>
      <c r="C9139" s="3" t="s">
        <v>31</v>
      </c>
      <c r="D9139" s="3" t="s">
        <v>175</v>
      </c>
      <c r="E9139" s="4" t="s">
        <v>22</v>
      </c>
      <c r="F9139" s="4" t="s">
        <v>46738</v>
      </c>
      <c r="G9139" s="4" t="s">
        <v>46739</v>
      </c>
      <c r="H9139" s="3" t="s">
        <v>44362</v>
      </c>
      <c r="I9139" s="3" t="s">
        <v>7799</v>
      </c>
      <c r="J9139" s="3" t="s">
        <v>1348</v>
      </c>
      <c r="K9139" s="3" t="s">
        <v>46740</v>
      </c>
      <c r="L9139" s="3" t="s">
        <v>46741</v>
      </c>
      <c r="M9139" s="4"/>
      <c r="N9139" s="3" t="s">
        <v>37</v>
      </c>
      <c r="O9139" s="3" t="s">
        <v>618</v>
      </c>
      <c r="P9139" s="5">
        <v>6</v>
      </c>
      <c r="Q9139" s="5">
        <v>64</v>
      </c>
      <c r="R9139" s="5">
        <v>6</v>
      </c>
      <c r="S9139" s="5">
        <v>62</v>
      </c>
    </row>
    <row r="9140" spans="1:19" ht="28" x14ac:dyDescent="0.15">
      <c r="A9140" s="2">
        <f>HYPERLINK("https://open-school.uspishnemisto.com.ua/school/480508/", 480508)</f>
        <v>480508</v>
      </c>
      <c r="B9140" s="3" t="s">
        <v>46742</v>
      </c>
      <c r="C9140" s="3" t="s">
        <v>31</v>
      </c>
      <c r="D9140" s="3" t="s">
        <v>175</v>
      </c>
      <c r="E9140" s="4" t="s">
        <v>22</v>
      </c>
      <c r="F9140" s="4" t="s">
        <v>46743</v>
      </c>
      <c r="G9140" s="4" t="s">
        <v>46744</v>
      </c>
      <c r="H9140" s="3" t="s">
        <v>44362</v>
      </c>
      <c r="I9140" s="3" t="s">
        <v>46745</v>
      </c>
      <c r="J9140" s="3" t="s">
        <v>46746</v>
      </c>
      <c r="K9140" s="3" t="s">
        <v>46747</v>
      </c>
      <c r="L9140" s="3"/>
      <c r="M9140" s="4"/>
      <c r="N9140" s="3" t="s">
        <v>37</v>
      </c>
      <c r="O9140" s="3" t="s">
        <v>52</v>
      </c>
      <c r="P9140" s="5">
        <v>9</v>
      </c>
      <c r="Q9140" s="5">
        <v>77</v>
      </c>
      <c r="R9140" s="5">
        <v>9</v>
      </c>
      <c r="S9140" s="5">
        <v>76</v>
      </c>
    </row>
    <row r="9141" spans="1:19" ht="42" x14ac:dyDescent="0.15">
      <c r="A9141" s="2">
        <f>HYPERLINK("https://open-school.uspishnemisto.com.ua/school/480509/", 480509)</f>
        <v>480509</v>
      </c>
      <c r="B9141" s="3" t="s">
        <v>46748</v>
      </c>
      <c r="C9141" s="3" t="s">
        <v>54</v>
      </c>
      <c r="D9141" s="3" t="s">
        <v>175</v>
      </c>
      <c r="E9141" s="4" t="s">
        <v>22</v>
      </c>
      <c r="F9141" s="4" t="s">
        <v>46749</v>
      </c>
      <c r="G9141" s="4" t="s">
        <v>46750</v>
      </c>
      <c r="H9141" s="3" t="s">
        <v>44362</v>
      </c>
      <c r="I9141" s="3" t="s">
        <v>1439</v>
      </c>
      <c r="J9141" s="3" t="s">
        <v>8152</v>
      </c>
      <c r="K9141" s="3"/>
      <c r="L9141" s="3"/>
      <c r="M9141" s="4"/>
      <c r="N9141" s="3" t="s">
        <v>37</v>
      </c>
      <c r="O9141" s="3" t="s">
        <v>618</v>
      </c>
      <c r="P9141" s="5">
        <v>5</v>
      </c>
      <c r="Q9141" s="5">
        <v>48</v>
      </c>
      <c r="R9141" s="5">
        <v>6</v>
      </c>
      <c r="S9141" s="5">
        <v>47</v>
      </c>
    </row>
    <row r="9142" spans="1:19" ht="56" x14ac:dyDescent="0.15">
      <c r="A9142" s="2">
        <f>HYPERLINK("https://open-school.uspishnemisto.com.ua/school/480510/", 480510)</f>
        <v>480510</v>
      </c>
      <c r="B9142" s="3" t="s">
        <v>46751</v>
      </c>
      <c r="C9142" s="3" t="s">
        <v>54</v>
      </c>
      <c r="D9142" s="3" t="s">
        <v>32</v>
      </c>
      <c r="E9142" s="4" t="s">
        <v>22</v>
      </c>
      <c r="F9142" s="4" t="s">
        <v>46678</v>
      </c>
      <c r="G9142" s="4" t="s">
        <v>46752</v>
      </c>
      <c r="H9142" s="3" t="s">
        <v>44362</v>
      </c>
      <c r="I9142" s="3" t="s">
        <v>46753</v>
      </c>
      <c r="J9142" s="3" t="s">
        <v>30603</v>
      </c>
      <c r="K9142" s="3" t="s">
        <v>46754</v>
      </c>
      <c r="L9142" s="3" t="s">
        <v>46755</v>
      </c>
      <c r="M9142" s="4"/>
      <c r="N9142" s="3" t="s">
        <v>37</v>
      </c>
      <c r="O9142" s="3" t="s">
        <v>52</v>
      </c>
      <c r="P9142" s="5">
        <v>11</v>
      </c>
      <c r="Q9142" s="5">
        <v>150</v>
      </c>
      <c r="R9142" s="5">
        <v>11</v>
      </c>
      <c r="S9142" s="5">
        <v>145</v>
      </c>
    </row>
    <row r="9143" spans="1:19" ht="28" x14ac:dyDescent="0.15">
      <c r="A9143" s="2">
        <f>HYPERLINK("https://open-school.uspishnemisto.com.ua/school/480511/", 480511)</f>
        <v>480511</v>
      </c>
      <c r="B9143" s="3" t="s">
        <v>46756</v>
      </c>
      <c r="C9143" s="3" t="s">
        <v>31</v>
      </c>
      <c r="D9143" s="3" t="s">
        <v>32</v>
      </c>
      <c r="E9143" s="4" t="s">
        <v>22</v>
      </c>
      <c r="F9143" s="4" t="s">
        <v>46757</v>
      </c>
      <c r="G9143" s="4" t="s">
        <v>46758</v>
      </c>
      <c r="H9143" s="3" t="s">
        <v>44362</v>
      </c>
      <c r="I9143" s="3" t="s">
        <v>46759</v>
      </c>
      <c r="J9143" s="3" t="s">
        <v>46760</v>
      </c>
      <c r="K9143" s="3" t="s">
        <v>46761</v>
      </c>
      <c r="L9143" s="3" t="s">
        <v>46762</v>
      </c>
      <c r="M9143" s="4"/>
      <c r="N9143" s="3" t="s">
        <v>37</v>
      </c>
      <c r="O9143" s="3" t="s">
        <v>52</v>
      </c>
      <c r="P9143" s="5">
        <v>15</v>
      </c>
      <c r="Q9143" s="5">
        <v>286</v>
      </c>
      <c r="R9143" s="5">
        <v>15</v>
      </c>
      <c r="S9143" s="5">
        <v>297</v>
      </c>
    </row>
    <row r="9144" spans="1:19" ht="28" x14ac:dyDescent="0.15">
      <c r="A9144" s="2">
        <f>HYPERLINK("https://open-school.uspishnemisto.com.ua/school/480512/", 480512)</f>
        <v>480512</v>
      </c>
      <c r="B9144" s="3" t="s">
        <v>46763</v>
      </c>
      <c r="C9144" s="3" t="s">
        <v>31</v>
      </c>
      <c r="D9144" s="3" t="s">
        <v>60</v>
      </c>
      <c r="E9144" s="4" t="s">
        <v>22</v>
      </c>
      <c r="F9144" s="4" t="s">
        <v>46764</v>
      </c>
      <c r="G9144" s="4" t="s">
        <v>46758</v>
      </c>
      <c r="H9144" s="3" t="s">
        <v>44362</v>
      </c>
      <c r="I9144" s="3" t="s">
        <v>46759</v>
      </c>
      <c r="J9144" s="3" t="s">
        <v>46765</v>
      </c>
      <c r="K9144" s="3" t="s">
        <v>46766</v>
      </c>
      <c r="L9144" s="3"/>
      <c r="M9144" s="4"/>
      <c r="N9144" s="3" t="s">
        <v>37</v>
      </c>
      <c r="O9144" s="3" t="s">
        <v>52</v>
      </c>
      <c r="P9144" s="5">
        <v>4</v>
      </c>
      <c r="Q9144" s="5">
        <v>107</v>
      </c>
      <c r="R9144" s="5">
        <v>4</v>
      </c>
      <c r="S9144" s="5">
        <v>103</v>
      </c>
    </row>
    <row r="9145" spans="1:19" ht="28" x14ac:dyDescent="0.15">
      <c r="A9145" s="2">
        <f>HYPERLINK("https://open-school.uspishnemisto.com.ua/school/480513/", 480513)</f>
        <v>480513</v>
      </c>
      <c r="B9145" s="3" t="s">
        <v>46767</v>
      </c>
      <c r="C9145" s="3" t="s">
        <v>31</v>
      </c>
      <c r="D9145" s="3" t="s">
        <v>32</v>
      </c>
      <c r="E9145" s="4" t="s">
        <v>22</v>
      </c>
      <c r="F9145" s="4" t="s">
        <v>46764</v>
      </c>
      <c r="G9145" s="4" t="s">
        <v>46758</v>
      </c>
      <c r="H9145" s="3" t="s">
        <v>44362</v>
      </c>
      <c r="I9145" s="3" t="s">
        <v>46759</v>
      </c>
      <c r="J9145" s="3" t="s">
        <v>46768</v>
      </c>
      <c r="K9145" s="3" t="s">
        <v>46769</v>
      </c>
      <c r="L9145" s="3" t="s">
        <v>46770</v>
      </c>
      <c r="M9145" s="4"/>
      <c r="N9145" s="3" t="s">
        <v>37</v>
      </c>
      <c r="O9145" s="3" t="s">
        <v>52</v>
      </c>
      <c r="P9145" s="5">
        <v>20</v>
      </c>
      <c r="Q9145" s="5">
        <v>508</v>
      </c>
      <c r="R9145" s="5">
        <v>19</v>
      </c>
      <c r="S9145" s="5">
        <v>480</v>
      </c>
    </row>
    <row r="9146" spans="1:19" ht="28" x14ac:dyDescent="0.15">
      <c r="A9146" s="2">
        <f>HYPERLINK("https://open-school.uspishnemisto.com.ua/school/480514/", 480514)</f>
        <v>480514</v>
      </c>
      <c r="B9146" s="3" t="s">
        <v>46771</v>
      </c>
      <c r="C9146" s="3" t="s">
        <v>31</v>
      </c>
      <c r="D9146" s="3" t="s">
        <v>32</v>
      </c>
      <c r="E9146" s="4" t="s">
        <v>22</v>
      </c>
      <c r="F9146" s="4"/>
      <c r="G9146" s="4" t="s">
        <v>46758</v>
      </c>
      <c r="H9146" s="3" t="s">
        <v>44362</v>
      </c>
      <c r="I9146" s="3" t="s">
        <v>46759</v>
      </c>
      <c r="J9146" s="3" t="s">
        <v>46772</v>
      </c>
      <c r="K9146" s="3" t="s">
        <v>46773</v>
      </c>
      <c r="L9146" s="3"/>
      <c r="M9146" s="4"/>
      <c r="N9146" s="3" t="s">
        <v>37</v>
      </c>
      <c r="O9146" s="3" t="s">
        <v>52</v>
      </c>
      <c r="P9146" s="5">
        <v>20</v>
      </c>
      <c r="Q9146" s="5">
        <v>416</v>
      </c>
      <c r="R9146" s="5">
        <v>19</v>
      </c>
      <c r="S9146" s="5">
        <v>415</v>
      </c>
    </row>
    <row r="9147" spans="1:19" ht="28" x14ac:dyDescent="0.15">
      <c r="A9147" s="2">
        <f>HYPERLINK("https://open-school.uspishnemisto.com.ua/school/480515/", 480515)</f>
        <v>480515</v>
      </c>
      <c r="B9147" s="3" t="s">
        <v>46774</v>
      </c>
      <c r="C9147" s="3" t="s">
        <v>40</v>
      </c>
      <c r="D9147" s="3" t="s">
        <v>32</v>
      </c>
      <c r="E9147" s="4" t="s">
        <v>22</v>
      </c>
      <c r="F9147" s="4" t="s">
        <v>46775</v>
      </c>
      <c r="G9147" s="4" t="s">
        <v>46758</v>
      </c>
      <c r="H9147" s="3" t="s">
        <v>44362</v>
      </c>
      <c r="I9147" s="3" t="s">
        <v>46759</v>
      </c>
      <c r="J9147" s="3" t="s">
        <v>46776</v>
      </c>
      <c r="K9147" s="3" t="s">
        <v>46777</v>
      </c>
      <c r="L9147" s="3"/>
      <c r="M9147" s="4"/>
      <c r="N9147" s="3" t="s">
        <v>37</v>
      </c>
      <c r="O9147" s="3" t="s">
        <v>70</v>
      </c>
      <c r="P9147" s="5">
        <v>12</v>
      </c>
      <c r="Q9147" s="5">
        <v>194</v>
      </c>
      <c r="R9147" s="5">
        <v>11</v>
      </c>
      <c r="S9147" s="5">
        <v>180</v>
      </c>
    </row>
    <row r="9148" spans="1:19" ht="28" x14ac:dyDescent="0.15">
      <c r="A9148" s="2">
        <f>HYPERLINK("https://open-school.uspishnemisto.com.ua/school/480516/", 480516)</f>
        <v>480516</v>
      </c>
      <c r="B9148" s="3" t="s">
        <v>46778</v>
      </c>
      <c r="C9148" s="3" t="s">
        <v>31</v>
      </c>
      <c r="D9148" s="3" t="s">
        <v>32</v>
      </c>
      <c r="E9148" s="4" t="s">
        <v>22</v>
      </c>
      <c r="F9148" s="4" t="s">
        <v>46779</v>
      </c>
      <c r="G9148" s="4" t="s">
        <v>46780</v>
      </c>
      <c r="H9148" s="3" t="s">
        <v>44362</v>
      </c>
      <c r="I9148" s="3" t="s">
        <v>1291</v>
      </c>
      <c r="J9148" s="3" t="s">
        <v>946</v>
      </c>
      <c r="K9148" s="3" t="s">
        <v>46781</v>
      </c>
      <c r="L9148" s="3" t="s">
        <v>46782</v>
      </c>
      <c r="M9148" s="4"/>
      <c r="N9148" s="3" t="s">
        <v>37</v>
      </c>
      <c r="O9148" s="3" t="s">
        <v>52</v>
      </c>
      <c r="P9148" s="5">
        <v>11</v>
      </c>
      <c r="Q9148" s="5">
        <v>149</v>
      </c>
      <c r="R9148" s="5">
        <v>11</v>
      </c>
      <c r="S9148" s="5">
        <v>151</v>
      </c>
    </row>
    <row r="9149" spans="1:19" ht="56" x14ac:dyDescent="0.15">
      <c r="A9149" s="2">
        <f>HYPERLINK("https://open-school.uspishnemisto.com.ua/school/480517/", 480517)</f>
        <v>480517</v>
      </c>
      <c r="B9149" s="3" t="s">
        <v>46783</v>
      </c>
      <c r="C9149" s="3" t="s">
        <v>54</v>
      </c>
      <c r="D9149" s="3" t="s">
        <v>32</v>
      </c>
      <c r="E9149" s="4" t="s">
        <v>22</v>
      </c>
      <c r="F9149" s="4" t="s">
        <v>46784</v>
      </c>
      <c r="G9149" s="4" t="s">
        <v>46785</v>
      </c>
      <c r="H9149" s="3" t="s">
        <v>44362</v>
      </c>
      <c r="I9149" s="3" t="s">
        <v>13393</v>
      </c>
      <c r="J9149" s="3" t="s">
        <v>5586</v>
      </c>
      <c r="K9149" s="3" t="s">
        <v>46786</v>
      </c>
      <c r="L9149" s="3"/>
      <c r="M9149" s="4"/>
      <c r="N9149" s="3" t="s">
        <v>37</v>
      </c>
      <c r="O9149" s="3" t="s">
        <v>52</v>
      </c>
      <c r="P9149" s="5">
        <v>10</v>
      </c>
      <c r="Q9149" s="5">
        <v>94</v>
      </c>
      <c r="R9149" s="5">
        <v>11</v>
      </c>
      <c r="S9149" s="5">
        <v>108</v>
      </c>
    </row>
    <row r="9150" spans="1:19" ht="28" x14ac:dyDescent="0.15">
      <c r="A9150" s="2">
        <f>HYPERLINK("https://open-school.uspishnemisto.com.ua/school/480518/", 480518)</f>
        <v>480518</v>
      </c>
      <c r="B9150" s="3" t="s">
        <v>46787</v>
      </c>
      <c r="C9150" s="3" t="s">
        <v>31</v>
      </c>
      <c r="D9150" s="3" t="s">
        <v>32</v>
      </c>
      <c r="E9150" s="4" t="s">
        <v>22</v>
      </c>
      <c r="F9150" s="4" t="s">
        <v>46788</v>
      </c>
      <c r="G9150" s="4" t="s">
        <v>46789</v>
      </c>
      <c r="H9150" s="3" t="s">
        <v>44362</v>
      </c>
      <c r="I9150" s="3" t="s">
        <v>46345</v>
      </c>
      <c r="J9150" s="3" t="s">
        <v>5145</v>
      </c>
      <c r="K9150" s="3" t="s">
        <v>46790</v>
      </c>
      <c r="L9150" s="3"/>
      <c r="M9150" s="4"/>
      <c r="N9150" s="3" t="s">
        <v>37</v>
      </c>
      <c r="O9150" s="3" t="s">
        <v>52</v>
      </c>
      <c r="P9150" s="5">
        <v>11</v>
      </c>
      <c r="Q9150" s="5">
        <v>158</v>
      </c>
      <c r="R9150" s="5">
        <v>11</v>
      </c>
      <c r="S9150" s="5">
        <v>164</v>
      </c>
    </row>
    <row r="9151" spans="1:19" ht="28" x14ac:dyDescent="0.15">
      <c r="A9151" s="2">
        <f>HYPERLINK("https://open-school.uspishnemisto.com.ua/school/480519/", 480519)</f>
        <v>480519</v>
      </c>
      <c r="B9151" s="3" t="s">
        <v>46791</v>
      </c>
      <c r="C9151" s="3" t="s">
        <v>31</v>
      </c>
      <c r="D9151" s="3" t="s">
        <v>175</v>
      </c>
      <c r="E9151" s="4" t="s">
        <v>22</v>
      </c>
      <c r="F9151" s="4" t="s">
        <v>46792</v>
      </c>
      <c r="G9151" s="4" t="s">
        <v>46793</v>
      </c>
      <c r="H9151" s="3" t="s">
        <v>44362</v>
      </c>
      <c r="I9151" s="3" t="s">
        <v>11975</v>
      </c>
      <c r="J9151" s="3" t="s">
        <v>46794</v>
      </c>
      <c r="K9151" s="3"/>
      <c r="L9151" s="3"/>
      <c r="M9151" s="4"/>
      <c r="N9151" s="3" t="s">
        <v>37</v>
      </c>
      <c r="O9151" s="3" t="s">
        <v>52</v>
      </c>
      <c r="P9151" s="5">
        <v>4</v>
      </c>
      <c r="Q9151" s="5">
        <v>41</v>
      </c>
      <c r="R9151" s="5">
        <v>3</v>
      </c>
      <c r="S9151" s="5">
        <v>32</v>
      </c>
    </row>
    <row r="9152" spans="1:19" ht="56" x14ac:dyDescent="0.15">
      <c r="A9152" s="2">
        <f>HYPERLINK("https://open-school.uspishnemisto.com.ua/school/480520/", 480520)</f>
        <v>480520</v>
      </c>
      <c r="B9152" s="3" t="s">
        <v>46795</v>
      </c>
      <c r="C9152" s="3" t="s">
        <v>54</v>
      </c>
      <c r="D9152" s="3" t="s">
        <v>175</v>
      </c>
      <c r="E9152" s="4" t="s">
        <v>22</v>
      </c>
      <c r="F9152" s="4" t="s">
        <v>46796</v>
      </c>
      <c r="G9152" s="4" t="s">
        <v>46797</v>
      </c>
      <c r="H9152" s="3" t="s">
        <v>44362</v>
      </c>
      <c r="I9152" s="3" t="s">
        <v>6929</v>
      </c>
      <c r="J9152" s="3" t="s">
        <v>46798</v>
      </c>
      <c r="K9152" s="3" t="s">
        <v>46799</v>
      </c>
      <c r="L9152" s="3" t="s">
        <v>46800</v>
      </c>
      <c r="M9152" s="4"/>
      <c r="N9152" s="3" t="s">
        <v>37</v>
      </c>
      <c r="O9152" s="3" t="s">
        <v>52</v>
      </c>
      <c r="P9152" s="5">
        <v>8</v>
      </c>
      <c r="Q9152" s="5">
        <v>55</v>
      </c>
      <c r="R9152" s="5">
        <v>7</v>
      </c>
      <c r="S9152" s="5">
        <v>51</v>
      </c>
    </row>
    <row r="9153" spans="1:19" ht="28" x14ac:dyDescent="0.15">
      <c r="A9153" s="2">
        <f>HYPERLINK("https://open-school.uspishnemisto.com.ua/school/480521/", 480521)</f>
        <v>480521</v>
      </c>
      <c r="B9153" s="3" t="s">
        <v>46801</v>
      </c>
      <c r="C9153" s="3" t="s">
        <v>31</v>
      </c>
      <c r="D9153" s="3" t="s">
        <v>175</v>
      </c>
      <c r="E9153" s="4" t="s">
        <v>22</v>
      </c>
      <c r="F9153" s="4" t="s">
        <v>46802</v>
      </c>
      <c r="G9153" s="4" t="s">
        <v>46803</v>
      </c>
      <c r="H9153" s="3" t="s">
        <v>44362</v>
      </c>
      <c r="I9153" s="3" t="s">
        <v>1500</v>
      </c>
      <c r="J9153" s="3" t="s">
        <v>2080</v>
      </c>
      <c r="K9153" s="3" t="s">
        <v>46804</v>
      </c>
      <c r="L9153" s="3"/>
      <c r="M9153" s="4"/>
      <c r="N9153" s="3" t="s">
        <v>37</v>
      </c>
      <c r="O9153" s="3" t="s">
        <v>52</v>
      </c>
      <c r="P9153" s="5">
        <v>8</v>
      </c>
      <c r="Q9153" s="5">
        <v>64</v>
      </c>
      <c r="R9153" s="5">
        <v>8</v>
      </c>
      <c r="S9153" s="5">
        <v>60</v>
      </c>
    </row>
    <row r="9154" spans="1:19" ht="56" x14ac:dyDescent="0.15">
      <c r="A9154" s="2">
        <f>HYPERLINK("https://open-school.uspishnemisto.com.ua/school/480522/", 480522)</f>
        <v>480522</v>
      </c>
      <c r="B9154" s="3" t="s">
        <v>46805</v>
      </c>
      <c r="C9154" s="3" t="s">
        <v>54</v>
      </c>
      <c r="D9154" s="3" t="s">
        <v>32</v>
      </c>
      <c r="E9154" s="4" t="s">
        <v>22</v>
      </c>
      <c r="F9154" s="4" t="s">
        <v>46806</v>
      </c>
      <c r="G9154" s="4" t="s">
        <v>46807</v>
      </c>
      <c r="H9154" s="3" t="s">
        <v>44362</v>
      </c>
      <c r="I9154" s="3" t="s">
        <v>46808</v>
      </c>
      <c r="J9154" s="3" t="s">
        <v>4448</v>
      </c>
      <c r="K9154" s="3" t="s">
        <v>46809</v>
      </c>
      <c r="L9154" s="3"/>
      <c r="M9154" s="4"/>
      <c r="N9154" s="3" t="s">
        <v>37</v>
      </c>
      <c r="O9154" s="3" t="s">
        <v>46</v>
      </c>
      <c r="P9154" s="5">
        <v>10</v>
      </c>
      <c r="Q9154" s="5">
        <v>82</v>
      </c>
      <c r="R9154" s="5">
        <v>11</v>
      </c>
      <c r="S9154" s="5">
        <v>90</v>
      </c>
    </row>
    <row r="9155" spans="1:19" ht="28" x14ac:dyDescent="0.15">
      <c r="A9155" s="2">
        <f>HYPERLINK("https://open-school.uspishnemisto.com.ua/school/480523/", 480523)</f>
        <v>480523</v>
      </c>
      <c r="B9155" s="3" t="s">
        <v>46810</v>
      </c>
      <c r="C9155" s="3" t="s">
        <v>31</v>
      </c>
      <c r="D9155" s="3" t="s">
        <v>32</v>
      </c>
      <c r="E9155" s="4" t="s">
        <v>22</v>
      </c>
      <c r="F9155" s="4" t="s">
        <v>46811</v>
      </c>
      <c r="G9155" s="4" t="s">
        <v>46812</v>
      </c>
      <c r="H9155" s="3" t="s">
        <v>44362</v>
      </c>
      <c r="I9155" s="3" t="s">
        <v>46813</v>
      </c>
      <c r="J9155" s="3" t="s">
        <v>5632</v>
      </c>
      <c r="K9155" s="3" t="s">
        <v>46814</v>
      </c>
      <c r="L9155" s="3"/>
      <c r="M9155" s="4"/>
      <c r="N9155" s="3" t="s">
        <v>37</v>
      </c>
      <c r="O9155" s="3" t="s">
        <v>38</v>
      </c>
      <c r="P9155" s="5">
        <v>11</v>
      </c>
      <c r="Q9155" s="5">
        <v>179</v>
      </c>
      <c r="R9155" s="5">
        <v>11</v>
      </c>
      <c r="S9155" s="5">
        <v>167</v>
      </c>
    </row>
    <row r="9156" spans="1:19" ht="28" x14ac:dyDescent="0.15">
      <c r="A9156" s="2">
        <f>HYPERLINK("https://open-school.uspishnemisto.com.ua/school/480524/", 480524)</f>
        <v>480524</v>
      </c>
      <c r="B9156" s="3" t="s">
        <v>46815</v>
      </c>
      <c r="C9156" s="3" t="s">
        <v>31</v>
      </c>
      <c r="D9156" s="3" t="s">
        <v>32</v>
      </c>
      <c r="E9156" s="4" t="s">
        <v>22</v>
      </c>
      <c r="F9156" s="4" t="s">
        <v>46816</v>
      </c>
      <c r="G9156" s="4" t="s">
        <v>46817</v>
      </c>
      <c r="H9156" s="3" t="s">
        <v>44362</v>
      </c>
      <c r="I9156" s="3" t="s">
        <v>18131</v>
      </c>
      <c r="J9156" s="3" t="s">
        <v>15902</v>
      </c>
      <c r="K9156" s="3" t="s">
        <v>46818</v>
      </c>
      <c r="L9156" s="3" t="s">
        <v>46819</v>
      </c>
      <c r="M9156" s="4"/>
      <c r="N9156" s="3" t="s">
        <v>37</v>
      </c>
      <c r="O9156" s="3" t="s">
        <v>52</v>
      </c>
      <c r="P9156" s="5">
        <v>10</v>
      </c>
      <c r="Q9156" s="5">
        <v>97</v>
      </c>
      <c r="R9156" s="5">
        <v>11</v>
      </c>
      <c r="S9156" s="5">
        <v>109</v>
      </c>
    </row>
    <row r="9157" spans="1:19" ht="28" x14ac:dyDescent="0.15">
      <c r="A9157" s="2">
        <f>HYPERLINK("https://open-school.uspishnemisto.com.ua/school/480525/", 480525)</f>
        <v>480525</v>
      </c>
      <c r="B9157" s="3" t="s">
        <v>46820</v>
      </c>
      <c r="C9157" s="3" t="s">
        <v>31</v>
      </c>
      <c r="D9157" s="3" t="s">
        <v>32</v>
      </c>
      <c r="E9157" s="4" t="s">
        <v>22</v>
      </c>
      <c r="F9157" s="4" t="s">
        <v>46821</v>
      </c>
      <c r="G9157" s="4" t="s">
        <v>46822</v>
      </c>
      <c r="H9157" s="3" t="s">
        <v>44362</v>
      </c>
      <c r="I9157" s="3" t="s">
        <v>46823</v>
      </c>
      <c r="J9157" s="3" t="s">
        <v>46824</v>
      </c>
      <c r="K9157" s="3" t="s">
        <v>2754</v>
      </c>
      <c r="L9157" s="3" t="s">
        <v>46825</v>
      </c>
      <c r="M9157" s="4"/>
      <c r="N9157" s="3" t="s">
        <v>37</v>
      </c>
      <c r="O9157" s="3" t="s">
        <v>52</v>
      </c>
      <c r="P9157" s="5">
        <v>11</v>
      </c>
      <c r="Q9157" s="5">
        <v>90</v>
      </c>
      <c r="R9157" s="5">
        <v>9</v>
      </c>
      <c r="S9157" s="5">
        <v>90</v>
      </c>
    </row>
    <row r="9158" spans="1:19" ht="28" x14ac:dyDescent="0.15">
      <c r="A9158" s="2">
        <f>HYPERLINK("https://open-school.uspishnemisto.com.ua/school/480526/", 480526)</f>
        <v>480526</v>
      </c>
      <c r="B9158" s="3" t="s">
        <v>46826</v>
      </c>
      <c r="C9158" s="3" t="s">
        <v>31</v>
      </c>
      <c r="D9158" s="3" t="s">
        <v>32</v>
      </c>
      <c r="E9158" s="4" t="s">
        <v>22</v>
      </c>
      <c r="F9158" s="4" t="s">
        <v>46827</v>
      </c>
      <c r="G9158" s="4" t="s">
        <v>46828</v>
      </c>
      <c r="H9158" s="3" t="s">
        <v>44362</v>
      </c>
      <c r="I9158" s="3" t="s">
        <v>46829</v>
      </c>
      <c r="J9158" s="3" t="s">
        <v>4728</v>
      </c>
      <c r="K9158" s="3" t="s">
        <v>46830</v>
      </c>
      <c r="L9158" s="3"/>
      <c r="M9158" s="4"/>
      <c r="N9158" s="3" t="s">
        <v>37</v>
      </c>
      <c r="O9158" s="3" t="s">
        <v>46</v>
      </c>
      <c r="P9158" s="5">
        <v>10</v>
      </c>
      <c r="Q9158" s="5">
        <v>102</v>
      </c>
      <c r="R9158" s="5">
        <v>11</v>
      </c>
      <c r="S9158" s="5">
        <v>116</v>
      </c>
    </row>
    <row r="9159" spans="1:19" ht="28" x14ac:dyDescent="0.15">
      <c r="A9159" s="2">
        <f>HYPERLINK("https://open-school.uspishnemisto.com.ua/school/480527/", 480527)</f>
        <v>480527</v>
      </c>
      <c r="B9159" s="3" t="s">
        <v>46831</v>
      </c>
      <c r="C9159" s="3" t="s">
        <v>31</v>
      </c>
      <c r="D9159" s="3" t="s">
        <v>175</v>
      </c>
      <c r="E9159" s="4" t="s">
        <v>253</v>
      </c>
      <c r="F9159" s="4" t="s">
        <v>46832</v>
      </c>
      <c r="G9159" s="4" t="s">
        <v>46833</v>
      </c>
      <c r="H9159" s="3" t="s">
        <v>44362</v>
      </c>
      <c r="I9159" s="3" t="s">
        <v>46834</v>
      </c>
      <c r="J9159" s="3" t="s">
        <v>6394</v>
      </c>
      <c r="K9159" s="3" t="s">
        <v>46835</v>
      </c>
      <c r="L9159" s="3"/>
      <c r="M9159" s="4"/>
      <c r="N9159" s="3" t="s">
        <v>37</v>
      </c>
      <c r="O9159" s="3" t="s">
        <v>52</v>
      </c>
      <c r="P9159" s="5">
        <v>4</v>
      </c>
      <c r="Q9159" s="5">
        <v>38</v>
      </c>
      <c r="R9159" s="5">
        <v>3</v>
      </c>
      <c r="S9159" s="5">
        <v>34</v>
      </c>
    </row>
    <row r="9160" spans="1:19" ht="56" x14ac:dyDescent="0.15">
      <c r="A9160" s="2">
        <f>HYPERLINK("https://open-school.uspishnemisto.com.ua/school/480528/", 480528)</f>
        <v>480528</v>
      </c>
      <c r="B9160" s="3" t="s">
        <v>46836</v>
      </c>
      <c r="C9160" s="3" t="s">
        <v>54</v>
      </c>
      <c r="D9160" s="3" t="s">
        <v>32</v>
      </c>
      <c r="E9160" s="4" t="s">
        <v>22</v>
      </c>
      <c r="F9160" s="4" t="s">
        <v>46837</v>
      </c>
      <c r="G9160" s="4" t="s">
        <v>46838</v>
      </c>
      <c r="H9160" s="3" t="s">
        <v>44362</v>
      </c>
      <c r="I9160" s="3" t="s">
        <v>32428</v>
      </c>
      <c r="J9160" s="3" t="s">
        <v>34124</v>
      </c>
      <c r="K9160" s="3" t="s">
        <v>46839</v>
      </c>
      <c r="L9160" s="3"/>
      <c r="M9160" s="4"/>
      <c r="N9160" s="3" t="s">
        <v>37</v>
      </c>
      <c r="O9160" s="3" t="s">
        <v>52</v>
      </c>
      <c r="P9160" s="5">
        <v>8</v>
      </c>
      <c r="Q9160" s="5">
        <v>61</v>
      </c>
      <c r="R9160" s="5">
        <v>7</v>
      </c>
      <c r="S9160" s="5">
        <v>60</v>
      </c>
    </row>
    <row r="9161" spans="1:19" ht="56" x14ac:dyDescent="0.15">
      <c r="A9161" s="2">
        <f>HYPERLINK("https://open-school.uspishnemisto.com.ua/school/480529/", 480529)</f>
        <v>480529</v>
      </c>
      <c r="B9161" s="3" t="s">
        <v>46840</v>
      </c>
      <c r="C9161" s="3" t="s">
        <v>54</v>
      </c>
      <c r="D9161" s="3" t="s">
        <v>32</v>
      </c>
      <c r="E9161" s="4" t="s">
        <v>22</v>
      </c>
      <c r="F9161" s="4" t="s">
        <v>46796</v>
      </c>
      <c r="G9161" s="4" t="s">
        <v>46841</v>
      </c>
      <c r="H9161" s="3" t="s">
        <v>44362</v>
      </c>
      <c r="I9161" s="3" t="s">
        <v>1803</v>
      </c>
      <c r="J9161" s="3" t="s">
        <v>42426</v>
      </c>
      <c r="K9161" s="3" t="s">
        <v>46842</v>
      </c>
      <c r="L9161" s="3"/>
      <c r="M9161" s="4"/>
      <c r="N9161" s="3" t="s">
        <v>37</v>
      </c>
      <c r="O9161" s="3" t="s">
        <v>618</v>
      </c>
      <c r="P9161" s="5">
        <v>11</v>
      </c>
      <c r="Q9161" s="5">
        <v>82</v>
      </c>
      <c r="R9161" s="5">
        <v>10</v>
      </c>
      <c r="S9161" s="5">
        <v>76</v>
      </c>
    </row>
    <row r="9162" spans="1:19" ht="28" x14ac:dyDescent="0.15">
      <c r="A9162" s="2">
        <f>HYPERLINK("https://open-school.uspishnemisto.com.ua/school/480530/", 480530)</f>
        <v>480530</v>
      </c>
      <c r="B9162" s="3" t="s">
        <v>46843</v>
      </c>
      <c r="C9162" s="3" t="s">
        <v>31</v>
      </c>
      <c r="D9162" s="3" t="s">
        <v>32</v>
      </c>
      <c r="E9162" s="4" t="s">
        <v>22</v>
      </c>
      <c r="F9162" s="4" t="s">
        <v>46844</v>
      </c>
      <c r="G9162" s="4" t="s">
        <v>46845</v>
      </c>
      <c r="H9162" s="3" t="s">
        <v>44362</v>
      </c>
      <c r="I9162" s="3" t="s">
        <v>13182</v>
      </c>
      <c r="J9162" s="3" t="s">
        <v>10830</v>
      </c>
      <c r="K9162" s="3" t="s">
        <v>46846</v>
      </c>
      <c r="L9162" s="3"/>
      <c r="M9162" s="4"/>
      <c r="N9162" s="3" t="s">
        <v>37</v>
      </c>
      <c r="O9162" s="3" t="s">
        <v>52</v>
      </c>
      <c r="P9162" s="5">
        <v>10</v>
      </c>
      <c r="Q9162" s="5">
        <v>98</v>
      </c>
      <c r="R9162" s="5">
        <v>10</v>
      </c>
      <c r="S9162" s="5">
        <v>93</v>
      </c>
    </row>
    <row r="9163" spans="1:19" ht="42" x14ac:dyDescent="0.15">
      <c r="A9163" s="2">
        <f>HYPERLINK("https://open-school.uspishnemisto.com.ua/school/480531/", 480531)</f>
        <v>480531</v>
      </c>
      <c r="B9163" s="3" t="s">
        <v>46847</v>
      </c>
      <c r="C9163" s="3" t="s">
        <v>54</v>
      </c>
      <c r="D9163" s="3" t="s">
        <v>32</v>
      </c>
      <c r="E9163" s="4" t="s">
        <v>22</v>
      </c>
      <c r="F9163" s="4" t="s">
        <v>46848</v>
      </c>
      <c r="G9163" s="4" t="s">
        <v>46849</v>
      </c>
      <c r="H9163" s="3" t="s">
        <v>44362</v>
      </c>
      <c r="I9163" s="3" t="s">
        <v>46850</v>
      </c>
      <c r="J9163" s="3" t="s">
        <v>4570</v>
      </c>
      <c r="K9163" s="3"/>
      <c r="L9163" s="3"/>
      <c r="M9163" s="4"/>
      <c r="N9163" s="3" t="s">
        <v>37</v>
      </c>
      <c r="O9163" s="3" t="s">
        <v>52</v>
      </c>
      <c r="P9163" s="5">
        <v>11</v>
      </c>
      <c r="Q9163" s="5">
        <v>64</v>
      </c>
      <c r="R9163" s="5">
        <v>10</v>
      </c>
      <c r="S9163" s="5">
        <v>64</v>
      </c>
    </row>
    <row r="9164" spans="1:19" ht="28" x14ac:dyDescent="0.15">
      <c r="A9164" s="2">
        <f>HYPERLINK("https://open-school.uspishnemisto.com.ua/school/480532/", 480532)</f>
        <v>480532</v>
      </c>
      <c r="B9164" s="3" t="s">
        <v>46851</v>
      </c>
      <c r="C9164" s="3" t="s">
        <v>31</v>
      </c>
      <c r="D9164" s="3" t="s">
        <v>32</v>
      </c>
      <c r="E9164" s="4" t="s">
        <v>22</v>
      </c>
      <c r="F9164" s="4" t="s">
        <v>46852</v>
      </c>
      <c r="G9164" s="4" t="s">
        <v>46853</v>
      </c>
      <c r="H9164" s="3" t="s">
        <v>44362</v>
      </c>
      <c r="I9164" s="3" t="s">
        <v>46854</v>
      </c>
      <c r="J9164" s="3" t="s">
        <v>46855</v>
      </c>
      <c r="K9164" s="3" t="s">
        <v>46856</v>
      </c>
      <c r="L9164" s="3"/>
      <c r="M9164" s="4"/>
      <c r="N9164" s="3" t="s">
        <v>37</v>
      </c>
      <c r="O9164" s="3" t="s">
        <v>52</v>
      </c>
      <c r="P9164" s="5">
        <v>9</v>
      </c>
      <c r="Q9164" s="5">
        <v>77</v>
      </c>
      <c r="R9164" s="5">
        <v>9</v>
      </c>
      <c r="S9164" s="5">
        <v>80</v>
      </c>
    </row>
    <row r="9165" spans="1:19" ht="28" x14ac:dyDescent="0.15">
      <c r="A9165" s="2">
        <f>HYPERLINK("https://open-school.uspishnemisto.com.ua/school/480533/", 480533)</f>
        <v>480533</v>
      </c>
      <c r="B9165" s="3" t="s">
        <v>46857</v>
      </c>
      <c r="C9165" s="3" t="s">
        <v>31</v>
      </c>
      <c r="D9165" s="3" t="s">
        <v>32</v>
      </c>
      <c r="E9165" s="4" t="s">
        <v>22</v>
      </c>
      <c r="F9165" s="4" t="s">
        <v>46858</v>
      </c>
      <c r="G9165" s="4" t="s">
        <v>46859</v>
      </c>
      <c r="H9165" s="3" t="s">
        <v>44362</v>
      </c>
      <c r="I9165" s="3" t="s">
        <v>11724</v>
      </c>
      <c r="J9165" s="3" t="s">
        <v>15201</v>
      </c>
      <c r="K9165" s="3" t="s">
        <v>46860</v>
      </c>
      <c r="L9165" s="3" t="s">
        <v>46861</v>
      </c>
      <c r="M9165" s="4"/>
      <c r="N9165" s="3" t="s">
        <v>37</v>
      </c>
      <c r="O9165" s="3" t="s">
        <v>52</v>
      </c>
      <c r="P9165" s="5">
        <v>11</v>
      </c>
      <c r="Q9165" s="5">
        <v>147</v>
      </c>
      <c r="R9165" s="5">
        <v>11</v>
      </c>
      <c r="S9165" s="5">
        <v>148</v>
      </c>
    </row>
    <row r="9166" spans="1:19" ht="28" x14ac:dyDescent="0.15">
      <c r="A9166" s="2">
        <f>HYPERLINK("https://open-school.uspishnemisto.com.ua/school/480534/", 480534)</f>
        <v>480534</v>
      </c>
      <c r="B9166" s="3" t="s">
        <v>46862</v>
      </c>
      <c r="C9166" s="3" t="s">
        <v>181</v>
      </c>
      <c r="D9166" s="3" t="s">
        <v>32</v>
      </c>
      <c r="E9166" s="4" t="s">
        <v>22</v>
      </c>
      <c r="F9166" s="4" t="s">
        <v>46863</v>
      </c>
      <c r="G9166" s="4" t="s">
        <v>46859</v>
      </c>
      <c r="H9166" s="3" t="s">
        <v>44362</v>
      </c>
      <c r="I9166" s="3" t="s">
        <v>11724</v>
      </c>
      <c r="J9166" s="3" t="s">
        <v>46864</v>
      </c>
      <c r="K9166" s="3" t="s">
        <v>46865</v>
      </c>
      <c r="L9166" s="3"/>
      <c r="M9166" s="4" t="s">
        <v>46866</v>
      </c>
      <c r="N9166" s="3" t="s">
        <v>37</v>
      </c>
      <c r="O9166" s="3"/>
      <c r="P9166" s="5">
        <v>11</v>
      </c>
      <c r="Q9166" s="5">
        <v>103</v>
      </c>
      <c r="R9166" s="5">
        <v>10</v>
      </c>
      <c r="S9166" s="5">
        <v>92</v>
      </c>
    </row>
    <row r="9167" spans="1:19" ht="28" x14ac:dyDescent="0.15">
      <c r="A9167" s="2">
        <f>HYPERLINK("https://open-school.uspishnemisto.com.ua/school/480535/", 480535)</f>
        <v>480535</v>
      </c>
      <c r="B9167" s="3" t="s">
        <v>46867</v>
      </c>
      <c r="C9167" s="3" t="s">
        <v>54</v>
      </c>
      <c r="D9167" s="3" t="s">
        <v>32</v>
      </c>
      <c r="E9167" s="4" t="s">
        <v>22</v>
      </c>
      <c r="F9167" s="4" t="s">
        <v>46868</v>
      </c>
      <c r="G9167" s="4" t="s">
        <v>46869</v>
      </c>
      <c r="H9167" s="3" t="s">
        <v>44362</v>
      </c>
      <c r="I9167" s="3" t="s">
        <v>1587</v>
      </c>
      <c r="J9167" s="3" t="s">
        <v>1192</v>
      </c>
      <c r="K9167" s="3" t="s">
        <v>46870</v>
      </c>
      <c r="L9167" s="3"/>
      <c r="M9167" s="4"/>
      <c r="N9167" s="3" t="s">
        <v>37</v>
      </c>
      <c r="O9167" s="3" t="s">
        <v>52</v>
      </c>
      <c r="P9167" s="5">
        <v>11</v>
      </c>
      <c r="Q9167" s="5">
        <v>138</v>
      </c>
      <c r="R9167" s="5">
        <v>11</v>
      </c>
      <c r="S9167" s="5">
        <v>139</v>
      </c>
    </row>
    <row r="9168" spans="1:19" ht="28" x14ac:dyDescent="0.15">
      <c r="A9168" s="2">
        <f>HYPERLINK("https://open-school.uspishnemisto.com.ua/school/480536/", 480536)</f>
        <v>480536</v>
      </c>
      <c r="B9168" s="3" t="s">
        <v>46871</v>
      </c>
      <c r="C9168" s="3" t="s">
        <v>31</v>
      </c>
      <c r="D9168" s="3" t="s">
        <v>32</v>
      </c>
      <c r="E9168" s="4" t="s">
        <v>22</v>
      </c>
      <c r="F9168" s="4" t="s">
        <v>46872</v>
      </c>
      <c r="G9168" s="4" t="s">
        <v>46873</v>
      </c>
      <c r="H9168" s="3" t="s">
        <v>44362</v>
      </c>
      <c r="I9168" s="3" t="s">
        <v>11989</v>
      </c>
      <c r="J9168" s="3" t="s">
        <v>46874</v>
      </c>
      <c r="K9168" s="3" t="s">
        <v>46875</v>
      </c>
      <c r="L9168" s="3" t="s">
        <v>46876</v>
      </c>
      <c r="M9168" s="4"/>
      <c r="N9168" s="3" t="s">
        <v>37</v>
      </c>
      <c r="O9168" s="3" t="s">
        <v>618</v>
      </c>
      <c r="P9168" s="5">
        <v>9</v>
      </c>
      <c r="Q9168" s="5">
        <v>73</v>
      </c>
      <c r="R9168" s="5">
        <v>9</v>
      </c>
      <c r="S9168" s="5">
        <v>69</v>
      </c>
    </row>
    <row r="9169" spans="1:19" ht="28" x14ac:dyDescent="0.15">
      <c r="A9169" s="2">
        <f>HYPERLINK("https://open-school.uspishnemisto.com.ua/school/480537/", 480537)</f>
        <v>480537</v>
      </c>
      <c r="B9169" s="3" t="s">
        <v>46877</v>
      </c>
      <c r="C9169" s="3" t="s">
        <v>31</v>
      </c>
      <c r="D9169" s="3" t="s">
        <v>32</v>
      </c>
      <c r="E9169" s="4" t="s">
        <v>22</v>
      </c>
      <c r="F9169" s="4" t="s">
        <v>46878</v>
      </c>
      <c r="G9169" s="4" t="s">
        <v>46879</v>
      </c>
      <c r="H9169" s="3" t="s">
        <v>44362</v>
      </c>
      <c r="I9169" s="3" t="s">
        <v>46880</v>
      </c>
      <c r="J9169" s="3" t="s">
        <v>46881</v>
      </c>
      <c r="K9169" s="3" t="s">
        <v>46882</v>
      </c>
      <c r="L9169" s="3"/>
      <c r="M9169" s="4"/>
      <c r="N9169" s="3" t="s">
        <v>37</v>
      </c>
      <c r="O9169" s="3" t="s">
        <v>52</v>
      </c>
      <c r="P9169" s="5">
        <v>8</v>
      </c>
      <c r="Q9169" s="5">
        <v>71</v>
      </c>
      <c r="R9169" s="5">
        <v>10</v>
      </c>
      <c r="S9169" s="5">
        <v>88</v>
      </c>
    </row>
    <row r="9170" spans="1:19" ht="28" x14ac:dyDescent="0.15">
      <c r="A9170" s="2">
        <f>HYPERLINK("https://open-school.uspishnemisto.com.ua/school/480538/", 480538)</f>
        <v>480538</v>
      </c>
      <c r="B9170" s="3" t="s">
        <v>46883</v>
      </c>
      <c r="C9170" s="3" t="s">
        <v>31</v>
      </c>
      <c r="D9170" s="3" t="s">
        <v>32</v>
      </c>
      <c r="E9170" s="4" t="s">
        <v>22</v>
      </c>
      <c r="F9170" s="4" t="s">
        <v>46884</v>
      </c>
      <c r="G9170" s="4" t="s">
        <v>46885</v>
      </c>
      <c r="H9170" s="3" t="s">
        <v>44362</v>
      </c>
      <c r="I9170" s="3" t="s">
        <v>33280</v>
      </c>
      <c r="J9170" s="3" t="s">
        <v>4531</v>
      </c>
      <c r="K9170" s="3" t="s">
        <v>35017</v>
      </c>
      <c r="L9170" s="3"/>
      <c r="M9170" s="4"/>
      <c r="N9170" s="3" t="s">
        <v>37</v>
      </c>
      <c r="O9170" s="3" t="s">
        <v>52</v>
      </c>
      <c r="P9170" s="5">
        <v>11</v>
      </c>
      <c r="Q9170" s="5">
        <v>153</v>
      </c>
      <c r="R9170" s="5">
        <v>11</v>
      </c>
      <c r="S9170" s="5">
        <v>165</v>
      </c>
    </row>
    <row r="9171" spans="1:19" ht="28" x14ac:dyDescent="0.15">
      <c r="A9171" s="2">
        <f>HYPERLINK("https://open-school.uspishnemisto.com.ua/school/480539/", 480539)</f>
        <v>480539</v>
      </c>
      <c r="B9171" s="3" t="s">
        <v>46886</v>
      </c>
      <c r="C9171" s="3" t="s">
        <v>31</v>
      </c>
      <c r="D9171" s="3" t="s">
        <v>60</v>
      </c>
      <c r="E9171" s="4" t="s">
        <v>22</v>
      </c>
      <c r="F9171" s="4" t="s">
        <v>46887</v>
      </c>
      <c r="G9171" s="4" t="s">
        <v>46888</v>
      </c>
      <c r="H9171" s="3" t="s">
        <v>44362</v>
      </c>
      <c r="I9171" s="3" t="s">
        <v>46889</v>
      </c>
      <c r="J9171" s="3" t="s">
        <v>3173</v>
      </c>
      <c r="K9171" s="3"/>
      <c r="L9171" s="3"/>
      <c r="M9171" s="4"/>
      <c r="N9171" s="3" t="s">
        <v>37</v>
      </c>
      <c r="O9171" s="3" t="s">
        <v>52</v>
      </c>
      <c r="P9171" s="5">
        <v>3</v>
      </c>
      <c r="Q9171" s="5">
        <v>25</v>
      </c>
      <c r="R9171" s="5">
        <v>4</v>
      </c>
      <c r="S9171" s="5">
        <v>27</v>
      </c>
    </row>
    <row r="9172" spans="1:19" ht="28" x14ac:dyDescent="0.15">
      <c r="A9172" s="2">
        <f>HYPERLINK("https://open-school.uspishnemisto.com.ua/school/480540/", 480540)</f>
        <v>480540</v>
      </c>
      <c r="B9172" s="3" t="s">
        <v>46890</v>
      </c>
      <c r="C9172" s="3" t="s">
        <v>31</v>
      </c>
      <c r="D9172" s="3" t="s">
        <v>175</v>
      </c>
      <c r="E9172" s="4" t="s">
        <v>22</v>
      </c>
      <c r="F9172" s="4" t="s">
        <v>46891</v>
      </c>
      <c r="G9172" s="4" t="s">
        <v>46892</v>
      </c>
      <c r="H9172" s="3" t="s">
        <v>44362</v>
      </c>
      <c r="I9172" s="3" t="s">
        <v>34657</v>
      </c>
      <c r="J9172" s="3" t="s">
        <v>46893</v>
      </c>
      <c r="K9172" s="3"/>
      <c r="L9172" s="3"/>
      <c r="M9172" s="4"/>
      <c r="N9172" s="3" t="s">
        <v>37</v>
      </c>
      <c r="O9172" s="3" t="s">
        <v>52</v>
      </c>
      <c r="P9172" s="5">
        <v>8</v>
      </c>
      <c r="Q9172" s="5">
        <v>53</v>
      </c>
      <c r="R9172" s="5">
        <v>7</v>
      </c>
      <c r="S9172" s="5">
        <v>48</v>
      </c>
    </row>
    <row r="9173" spans="1:19" ht="28" x14ac:dyDescent="0.15">
      <c r="A9173" s="2">
        <f>HYPERLINK("https://open-school.uspishnemisto.com.ua/school/480541/", 480541)</f>
        <v>480541</v>
      </c>
      <c r="B9173" s="3" t="s">
        <v>46894</v>
      </c>
      <c r="C9173" s="3" t="s">
        <v>31</v>
      </c>
      <c r="D9173" s="3" t="s">
        <v>32</v>
      </c>
      <c r="E9173" s="4" t="s">
        <v>22</v>
      </c>
      <c r="F9173" s="4" t="s">
        <v>46895</v>
      </c>
      <c r="G9173" s="4" t="s">
        <v>46896</v>
      </c>
      <c r="H9173" s="3" t="s">
        <v>44362</v>
      </c>
      <c r="I9173" s="3" t="s">
        <v>46897</v>
      </c>
      <c r="J9173" s="3" t="s">
        <v>1612</v>
      </c>
      <c r="K9173" s="3" t="s">
        <v>46898</v>
      </c>
      <c r="L9173" s="3"/>
      <c r="M9173" s="4"/>
      <c r="N9173" s="3" t="s">
        <v>37</v>
      </c>
      <c r="O9173" s="3" t="s">
        <v>52</v>
      </c>
      <c r="P9173" s="5">
        <v>11</v>
      </c>
      <c r="Q9173" s="5">
        <v>150</v>
      </c>
      <c r="R9173" s="5">
        <v>11</v>
      </c>
      <c r="S9173" s="5">
        <v>146</v>
      </c>
    </row>
    <row r="9174" spans="1:19" ht="28" x14ac:dyDescent="0.15">
      <c r="A9174" s="2">
        <f>HYPERLINK("https://open-school.uspishnemisto.com.ua/school/480542/", 480542)</f>
        <v>480542</v>
      </c>
      <c r="B9174" s="3" t="s">
        <v>46899</v>
      </c>
      <c r="C9174" s="3" t="s">
        <v>31</v>
      </c>
      <c r="D9174" s="3" t="s">
        <v>32</v>
      </c>
      <c r="E9174" s="4" t="s">
        <v>22</v>
      </c>
      <c r="F9174" s="4" t="s">
        <v>46900</v>
      </c>
      <c r="G9174" s="4" t="s">
        <v>46901</v>
      </c>
      <c r="H9174" s="3" t="s">
        <v>44362</v>
      </c>
      <c r="I9174" s="3" t="s">
        <v>5519</v>
      </c>
      <c r="J9174" s="3" t="s">
        <v>46902</v>
      </c>
      <c r="K9174" s="3" t="s">
        <v>46903</v>
      </c>
      <c r="L9174" s="3"/>
      <c r="M9174" s="4"/>
      <c r="N9174" s="3" t="s">
        <v>37</v>
      </c>
      <c r="O9174" s="3" t="s">
        <v>52</v>
      </c>
      <c r="P9174" s="5">
        <v>11</v>
      </c>
      <c r="Q9174" s="5">
        <v>69</v>
      </c>
      <c r="R9174" s="5">
        <v>10</v>
      </c>
      <c r="S9174" s="5">
        <v>64</v>
      </c>
    </row>
    <row r="9175" spans="1:19" ht="28" x14ac:dyDescent="0.15">
      <c r="A9175" s="2">
        <f>HYPERLINK("https://open-school.uspishnemisto.com.ua/school/480543/", 480543)</f>
        <v>480543</v>
      </c>
      <c r="B9175" s="3" t="s">
        <v>46904</v>
      </c>
      <c r="C9175" s="3" t="s">
        <v>31</v>
      </c>
      <c r="D9175" s="3" t="s">
        <v>32</v>
      </c>
      <c r="E9175" s="4" t="s">
        <v>22</v>
      </c>
      <c r="F9175" s="4" t="s">
        <v>46905</v>
      </c>
      <c r="G9175" s="4" t="s">
        <v>46906</v>
      </c>
      <c r="H9175" s="3" t="s">
        <v>44362</v>
      </c>
      <c r="I9175" s="3" t="s">
        <v>46907</v>
      </c>
      <c r="J9175" s="3" t="s">
        <v>700</v>
      </c>
      <c r="K9175" s="3"/>
      <c r="L9175" s="3"/>
      <c r="M9175" s="4"/>
      <c r="N9175" s="3" t="s">
        <v>37</v>
      </c>
      <c r="O9175" s="3" t="s">
        <v>52</v>
      </c>
      <c r="P9175" s="5">
        <v>9</v>
      </c>
      <c r="Q9175" s="5">
        <v>102</v>
      </c>
      <c r="R9175" s="5">
        <v>10</v>
      </c>
      <c r="S9175" s="5">
        <v>93</v>
      </c>
    </row>
    <row r="9176" spans="1:19" ht="28" x14ac:dyDescent="0.15">
      <c r="A9176" s="2">
        <f>HYPERLINK("https://open-school.uspishnemisto.com.ua/school/510001/", 510001)</f>
        <v>510001</v>
      </c>
      <c r="B9176" s="3" t="s">
        <v>46908</v>
      </c>
      <c r="C9176" s="3" t="s">
        <v>7271</v>
      </c>
      <c r="D9176" s="3" t="s">
        <v>175</v>
      </c>
      <c r="E9176" s="4" t="s">
        <v>253</v>
      </c>
      <c r="F9176" s="4"/>
      <c r="G9176" s="4" t="s">
        <v>46909</v>
      </c>
      <c r="H9176" s="3" t="s">
        <v>46910</v>
      </c>
      <c r="I9176" s="3" t="s">
        <v>46911</v>
      </c>
      <c r="J9176" s="3" t="s">
        <v>46912</v>
      </c>
      <c r="K9176" s="3" t="s">
        <v>46913</v>
      </c>
      <c r="L9176" s="3"/>
      <c r="M9176" s="4"/>
      <c r="N9176" s="3"/>
      <c r="O9176" s="3"/>
      <c r="P9176" s="5">
        <v>0</v>
      </c>
      <c r="Q9176" s="5">
        <v>0</v>
      </c>
      <c r="R9176" s="5">
        <v>0</v>
      </c>
      <c r="S9176" s="5">
        <v>0</v>
      </c>
    </row>
    <row r="9177" spans="1:19" ht="28" x14ac:dyDescent="0.15">
      <c r="A9177" s="2">
        <f>HYPERLINK("https://open-school.uspishnemisto.com.ua/school/510002/", 510002)</f>
        <v>510002</v>
      </c>
      <c r="B9177" s="3" t="s">
        <v>46914</v>
      </c>
      <c r="C9177" s="3" t="s">
        <v>7271</v>
      </c>
      <c r="D9177" s="3" t="s">
        <v>175</v>
      </c>
      <c r="E9177" s="4" t="s">
        <v>253</v>
      </c>
      <c r="F9177" s="4" t="s">
        <v>46915</v>
      </c>
      <c r="G9177" s="4" t="s">
        <v>46909</v>
      </c>
      <c r="H9177" s="3" t="s">
        <v>46910</v>
      </c>
      <c r="I9177" s="3" t="s">
        <v>46911</v>
      </c>
      <c r="J9177" s="3" t="s">
        <v>46916</v>
      </c>
      <c r="K9177" s="3" t="s">
        <v>46917</v>
      </c>
      <c r="L9177" s="3"/>
      <c r="M9177" s="4"/>
      <c r="N9177" s="3"/>
      <c r="O9177" s="3"/>
      <c r="P9177" s="5">
        <v>0</v>
      </c>
      <c r="Q9177" s="5">
        <v>0</v>
      </c>
      <c r="R9177" s="5">
        <v>0</v>
      </c>
      <c r="S9177" s="5">
        <v>0</v>
      </c>
    </row>
    <row r="9178" spans="1:19" ht="28" x14ac:dyDescent="0.15">
      <c r="A9178" s="2">
        <f>HYPERLINK("https://open-school.uspishnemisto.com.ua/school/510003/", 510003)</f>
        <v>510003</v>
      </c>
      <c r="B9178" s="3" t="s">
        <v>46918</v>
      </c>
      <c r="C9178" s="3" t="s">
        <v>7271</v>
      </c>
      <c r="D9178" s="3" t="s">
        <v>175</v>
      </c>
      <c r="E9178" s="4" t="s">
        <v>253</v>
      </c>
      <c r="F9178" s="4" t="s">
        <v>46919</v>
      </c>
      <c r="G9178" s="4" t="s">
        <v>46909</v>
      </c>
      <c r="H9178" s="3" t="s">
        <v>46910</v>
      </c>
      <c r="I9178" s="3" t="s">
        <v>46911</v>
      </c>
      <c r="J9178" s="3" t="s">
        <v>46920</v>
      </c>
      <c r="K9178" s="3" t="s">
        <v>46921</v>
      </c>
      <c r="L9178" s="3"/>
      <c r="M9178" s="4"/>
      <c r="N9178" s="3"/>
      <c r="O9178" s="3"/>
      <c r="P9178" s="5">
        <v>0</v>
      </c>
      <c r="Q9178" s="5">
        <v>0</v>
      </c>
      <c r="R9178" s="5">
        <v>0</v>
      </c>
      <c r="S9178" s="5">
        <v>0</v>
      </c>
    </row>
    <row r="9179" spans="1:19" ht="28" x14ac:dyDescent="0.15">
      <c r="A9179" s="2">
        <f>HYPERLINK("https://open-school.uspishnemisto.com.ua/school/510004/", 510004)</f>
        <v>510004</v>
      </c>
      <c r="B9179" s="3" t="s">
        <v>46922</v>
      </c>
      <c r="C9179" s="3" t="s">
        <v>7271</v>
      </c>
      <c r="D9179" s="3" t="s">
        <v>32</v>
      </c>
      <c r="E9179" s="4" t="s">
        <v>253</v>
      </c>
      <c r="F9179" s="4"/>
      <c r="G9179" s="4" t="s">
        <v>46909</v>
      </c>
      <c r="H9179" s="3" t="s">
        <v>46910</v>
      </c>
      <c r="I9179" s="3" t="s">
        <v>46911</v>
      </c>
      <c r="J9179" s="3" t="s">
        <v>46923</v>
      </c>
      <c r="K9179" s="3" t="s">
        <v>46924</v>
      </c>
      <c r="L9179" s="3"/>
      <c r="M9179" s="4"/>
      <c r="N9179" s="3"/>
      <c r="O9179" s="3"/>
      <c r="P9179" s="5">
        <v>0</v>
      </c>
      <c r="Q9179" s="5">
        <v>0</v>
      </c>
      <c r="R9179" s="5">
        <v>0</v>
      </c>
      <c r="S9179" s="5">
        <v>0</v>
      </c>
    </row>
    <row r="9180" spans="1:19" ht="28" x14ac:dyDescent="0.15">
      <c r="A9180" s="2">
        <f>HYPERLINK("https://open-school.uspishnemisto.com.ua/school/510005/", 510005)</f>
        <v>510005</v>
      </c>
      <c r="B9180" s="3" t="s">
        <v>46925</v>
      </c>
      <c r="C9180" s="3" t="s">
        <v>181</v>
      </c>
      <c r="D9180" s="3" t="s">
        <v>175</v>
      </c>
      <c r="E9180" s="4" t="s">
        <v>22</v>
      </c>
      <c r="F9180" s="4" t="s">
        <v>46926</v>
      </c>
      <c r="G9180" s="4" t="s">
        <v>46909</v>
      </c>
      <c r="H9180" s="3" t="s">
        <v>46910</v>
      </c>
      <c r="I9180" s="3" t="s">
        <v>46911</v>
      </c>
      <c r="J9180" s="3" t="s">
        <v>46927</v>
      </c>
      <c r="K9180" s="3" t="s">
        <v>46928</v>
      </c>
      <c r="L9180" s="3" t="s">
        <v>46929</v>
      </c>
      <c r="M9180" s="4" t="s">
        <v>46930</v>
      </c>
      <c r="N9180" s="3" t="s">
        <v>37</v>
      </c>
      <c r="O9180" s="3" t="s">
        <v>38</v>
      </c>
      <c r="P9180" s="5">
        <v>12</v>
      </c>
      <c r="Q9180" s="5">
        <v>118</v>
      </c>
      <c r="R9180" s="5">
        <v>12</v>
      </c>
      <c r="S9180" s="5">
        <v>116</v>
      </c>
    </row>
    <row r="9181" spans="1:19" ht="28" x14ac:dyDescent="0.15">
      <c r="A9181" s="2">
        <f>HYPERLINK("https://open-school.uspishnemisto.com.ua/school/510006/", 510006)</f>
        <v>510006</v>
      </c>
      <c r="B9181" s="3" t="s">
        <v>46931</v>
      </c>
      <c r="C9181" s="3" t="s">
        <v>188</v>
      </c>
      <c r="D9181" s="3" t="s">
        <v>32</v>
      </c>
      <c r="E9181" s="4" t="s">
        <v>22</v>
      </c>
      <c r="F9181" s="4" t="s">
        <v>46932</v>
      </c>
      <c r="G9181" s="4" t="s">
        <v>46909</v>
      </c>
      <c r="H9181" s="3" t="s">
        <v>46910</v>
      </c>
      <c r="I9181" s="3" t="s">
        <v>46911</v>
      </c>
      <c r="J9181" s="3" t="s">
        <v>46933</v>
      </c>
      <c r="K9181" s="3" t="s">
        <v>46934</v>
      </c>
      <c r="L9181" s="3"/>
      <c r="M9181" s="4" t="s">
        <v>46935</v>
      </c>
      <c r="N9181" s="3" t="s">
        <v>37</v>
      </c>
      <c r="O9181" s="3" t="s">
        <v>38</v>
      </c>
      <c r="P9181" s="5">
        <v>15</v>
      </c>
      <c r="Q9181" s="5">
        <v>505</v>
      </c>
      <c r="R9181" s="5">
        <v>15</v>
      </c>
      <c r="S9181" s="5">
        <v>509</v>
      </c>
    </row>
    <row r="9182" spans="1:19" ht="28" x14ac:dyDescent="0.15">
      <c r="A9182" s="2">
        <f>HYPERLINK("https://open-school.uspishnemisto.com.ua/school/510007/", 510007)</f>
        <v>510007</v>
      </c>
      <c r="B9182" s="3" t="s">
        <v>46936</v>
      </c>
      <c r="C9182" s="3" t="s">
        <v>31</v>
      </c>
      <c r="D9182" s="3" t="s">
        <v>60</v>
      </c>
      <c r="E9182" s="4" t="s">
        <v>41</v>
      </c>
      <c r="F9182" s="4" t="s">
        <v>46937</v>
      </c>
      <c r="G9182" s="4" t="s">
        <v>46909</v>
      </c>
      <c r="H9182" s="3" t="s">
        <v>46910</v>
      </c>
      <c r="I9182" s="3" t="s">
        <v>46911</v>
      </c>
      <c r="J9182" s="3" t="s">
        <v>46938</v>
      </c>
      <c r="K9182" s="3" t="s">
        <v>46939</v>
      </c>
      <c r="L9182" s="3"/>
      <c r="M9182" s="4"/>
      <c r="N9182" s="3" t="s">
        <v>967</v>
      </c>
      <c r="O9182" s="3" t="s">
        <v>46</v>
      </c>
      <c r="P9182" s="5">
        <v>4</v>
      </c>
      <c r="Q9182" s="5">
        <v>25</v>
      </c>
      <c r="R9182" s="5">
        <v>2</v>
      </c>
      <c r="S9182" s="5">
        <v>12</v>
      </c>
    </row>
    <row r="9183" spans="1:19" ht="42" x14ac:dyDescent="0.15">
      <c r="A9183" s="2">
        <f>HYPERLINK("https://open-school.uspishnemisto.com.ua/school/510009/", 510009)</f>
        <v>510009</v>
      </c>
      <c r="B9183" s="3" t="s">
        <v>46940</v>
      </c>
      <c r="C9183" s="3" t="s">
        <v>20</v>
      </c>
      <c r="D9183" s="3" t="s">
        <v>21</v>
      </c>
      <c r="E9183" s="4" t="s">
        <v>22</v>
      </c>
      <c r="F9183" s="4" t="s">
        <v>46937</v>
      </c>
      <c r="G9183" s="4" t="s">
        <v>46909</v>
      </c>
      <c r="H9183" s="3" t="s">
        <v>46910</v>
      </c>
      <c r="I9183" s="3" t="s">
        <v>46911</v>
      </c>
      <c r="J9183" s="3" t="s">
        <v>46941</v>
      </c>
      <c r="K9183" s="3" t="s">
        <v>46942</v>
      </c>
      <c r="L9183" s="3"/>
      <c r="M9183" s="4"/>
      <c r="N9183" s="3"/>
      <c r="O9183" s="3"/>
      <c r="P9183" s="5">
        <v>0</v>
      </c>
      <c r="Q9183" s="5">
        <v>0</v>
      </c>
      <c r="R9183" s="5"/>
      <c r="S9183" s="5"/>
    </row>
    <row r="9184" spans="1:19" ht="28" x14ac:dyDescent="0.15">
      <c r="A9184" s="2">
        <f>HYPERLINK("https://open-school.uspishnemisto.com.ua/school/510010/", 510010)</f>
        <v>510010</v>
      </c>
      <c r="B9184" s="3" t="s">
        <v>46943</v>
      </c>
      <c r="C9184" s="3" t="s">
        <v>20</v>
      </c>
      <c r="D9184" s="3" t="s">
        <v>21</v>
      </c>
      <c r="E9184" s="4" t="s">
        <v>22</v>
      </c>
      <c r="F9184" s="4" t="s">
        <v>46944</v>
      </c>
      <c r="G9184" s="4" t="s">
        <v>46909</v>
      </c>
      <c r="H9184" s="3" t="s">
        <v>46910</v>
      </c>
      <c r="I9184" s="3" t="s">
        <v>46911</v>
      </c>
      <c r="J9184" s="3" t="s">
        <v>46945</v>
      </c>
      <c r="K9184" s="3" t="s">
        <v>46946</v>
      </c>
      <c r="L9184" s="3"/>
      <c r="M9184" s="4"/>
      <c r="N9184" s="3"/>
      <c r="O9184" s="3"/>
      <c r="P9184" s="5">
        <v>0</v>
      </c>
      <c r="Q9184" s="5">
        <v>0</v>
      </c>
      <c r="R9184" s="5"/>
      <c r="S9184" s="5"/>
    </row>
    <row r="9185" spans="1:19" ht="28" x14ac:dyDescent="0.15">
      <c r="A9185" s="2">
        <f>HYPERLINK("https://open-school.uspishnemisto.com.ua/school/510011/", 510011)</f>
        <v>510011</v>
      </c>
      <c r="B9185" s="3" t="s">
        <v>46947</v>
      </c>
      <c r="C9185" s="3" t="s">
        <v>40</v>
      </c>
      <c r="D9185" s="3" t="s">
        <v>32</v>
      </c>
      <c r="E9185" s="4" t="s">
        <v>22</v>
      </c>
      <c r="F9185" s="4" t="s">
        <v>46948</v>
      </c>
      <c r="G9185" s="4" t="s">
        <v>46909</v>
      </c>
      <c r="H9185" s="3" t="s">
        <v>46910</v>
      </c>
      <c r="I9185" s="3" t="s">
        <v>46911</v>
      </c>
      <c r="J9185" s="3" t="s">
        <v>46949</v>
      </c>
      <c r="K9185" s="3" t="s">
        <v>46950</v>
      </c>
      <c r="L9185" s="3"/>
      <c r="M9185" s="4"/>
      <c r="N9185" s="3" t="s">
        <v>128</v>
      </c>
      <c r="O9185" s="3" t="s">
        <v>197</v>
      </c>
      <c r="P9185" s="5">
        <v>32</v>
      </c>
      <c r="Q9185" s="5">
        <v>902</v>
      </c>
      <c r="R9185" s="5">
        <v>31</v>
      </c>
      <c r="S9185" s="5">
        <v>852</v>
      </c>
    </row>
    <row r="9186" spans="1:19" ht="28" x14ac:dyDescent="0.15">
      <c r="A9186" s="2">
        <f>HYPERLINK("https://open-school.uspishnemisto.com.ua/school/510012/", 510012)</f>
        <v>510012</v>
      </c>
      <c r="B9186" s="3" t="s">
        <v>46951</v>
      </c>
      <c r="C9186" s="3" t="s">
        <v>31</v>
      </c>
      <c r="D9186" s="3" t="s">
        <v>32</v>
      </c>
      <c r="E9186" s="4" t="s">
        <v>22</v>
      </c>
      <c r="F9186" s="4" t="s">
        <v>46952</v>
      </c>
      <c r="G9186" s="4" t="s">
        <v>46909</v>
      </c>
      <c r="H9186" s="3" t="s">
        <v>46910</v>
      </c>
      <c r="I9186" s="3" t="s">
        <v>46911</v>
      </c>
      <c r="J9186" s="3" t="s">
        <v>46953</v>
      </c>
      <c r="K9186" s="3" t="s">
        <v>46954</v>
      </c>
      <c r="L9186" s="3"/>
      <c r="M9186" s="4"/>
      <c r="N9186" s="3" t="s">
        <v>37</v>
      </c>
      <c r="O9186" s="3" t="s">
        <v>70</v>
      </c>
      <c r="P9186" s="5">
        <v>43</v>
      </c>
      <c r="Q9186" s="5">
        <v>1311</v>
      </c>
      <c r="R9186" s="5">
        <v>42</v>
      </c>
      <c r="S9186" s="5">
        <v>1224</v>
      </c>
    </row>
    <row r="9187" spans="1:19" ht="28" x14ac:dyDescent="0.15">
      <c r="A9187" s="2">
        <f>HYPERLINK("https://open-school.uspishnemisto.com.ua/school/510013/", 510013)</f>
        <v>510013</v>
      </c>
      <c r="B9187" s="3" t="s">
        <v>46955</v>
      </c>
      <c r="C9187" s="3" t="s">
        <v>31</v>
      </c>
      <c r="D9187" s="3" t="s">
        <v>32</v>
      </c>
      <c r="E9187" s="4" t="s">
        <v>22</v>
      </c>
      <c r="F9187" s="4" t="s">
        <v>46956</v>
      </c>
      <c r="G9187" s="4" t="s">
        <v>46909</v>
      </c>
      <c r="H9187" s="3" t="s">
        <v>46910</v>
      </c>
      <c r="I9187" s="3" t="s">
        <v>46911</v>
      </c>
      <c r="J9187" s="3" t="s">
        <v>46957</v>
      </c>
      <c r="K9187" s="3" t="s">
        <v>46958</v>
      </c>
      <c r="L9187" s="3" t="s">
        <v>46959</v>
      </c>
      <c r="M9187" s="4"/>
      <c r="N9187" s="3" t="s">
        <v>967</v>
      </c>
      <c r="O9187" s="3" t="s">
        <v>46</v>
      </c>
      <c r="P9187" s="5">
        <v>26</v>
      </c>
      <c r="Q9187" s="5">
        <v>726</v>
      </c>
      <c r="R9187" s="5">
        <v>25</v>
      </c>
      <c r="S9187" s="5">
        <v>709</v>
      </c>
    </row>
    <row r="9188" spans="1:19" ht="28" x14ac:dyDescent="0.15">
      <c r="A9188" s="2">
        <f>HYPERLINK("https://open-school.uspishnemisto.com.ua/school/510014/", 510014)</f>
        <v>510014</v>
      </c>
      <c r="B9188" s="3" t="s">
        <v>46960</v>
      </c>
      <c r="C9188" s="3" t="s">
        <v>31</v>
      </c>
      <c r="D9188" s="3" t="s">
        <v>32</v>
      </c>
      <c r="E9188" s="4" t="s">
        <v>22</v>
      </c>
      <c r="F9188" s="4" t="s">
        <v>46961</v>
      </c>
      <c r="G9188" s="4" t="s">
        <v>46909</v>
      </c>
      <c r="H9188" s="3" t="s">
        <v>46910</v>
      </c>
      <c r="I9188" s="3" t="s">
        <v>46911</v>
      </c>
      <c r="J9188" s="3" t="s">
        <v>46962</v>
      </c>
      <c r="K9188" s="3" t="s">
        <v>46963</v>
      </c>
      <c r="L9188" s="3" t="s">
        <v>46964</v>
      </c>
      <c r="M9188" s="4"/>
      <c r="N9188" s="3" t="s">
        <v>967</v>
      </c>
      <c r="O9188" s="3" t="s">
        <v>46</v>
      </c>
      <c r="P9188" s="5">
        <v>23</v>
      </c>
      <c r="Q9188" s="5">
        <v>681</v>
      </c>
      <c r="R9188" s="5">
        <v>24</v>
      </c>
      <c r="S9188" s="5">
        <v>673</v>
      </c>
    </row>
    <row r="9189" spans="1:19" ht="28" x14ac:dyDescent="0.15">
      <c r="A9189" s="2">
        <f>HYPERLINK("https://open-school.uspishnemisto.com.ua/school/510015/", 510015)</f>
        <v>510015</v>
      </c>
      <c r="B9189" s="3" t="s">
        <v>46965</v>
      </c>
      <c r="C9189" s="3" t="s">
        <v>31</v>
      </c>
      <c r="D9189" s="3" t="s">
        <v>32</v>
      </c>
      <c r="E9189" s="4" t="s">
        <v>22</v>
      </c>
      <c r="F9189" s="4" t="s">
        <v>46966</v>
      </c>
      <c r="G9189" s="4" t="s">
        <v>46909</v>
      </c>
      <c r="H9189" s="3" t="s">
        <v>46910</v>
      </c>
      <c r="I9189" s="3" t="s">
        <v>46911</v>
      </c>
      <c r="J9189" s="3" t="s">
        <v>46967</v>
      </c>
      <c r="K9189" s="3" t="s">
        <v>46968</v>
      </c>
      <c r="L9189" s="3"/>
      <c r="M9189" s="4"/>
      <c r="N9189" s="3" t="s">
        <v>37</v>
      </c>
      <c r="O9189" s="3" t="s">
        <v>38</v>
      </c>
      <c r="P9189" s="5">
        <v>25</v>
      </c>
      <c r="Q9189" s="5">
        <v>674</v>
      </c>
      <c r="R9189" s="5">
        <v>24</v>
      </c>
      <c r="S9189" s="5">
        <v>633</v>
      </c>
    </row>
    <row r="9190" spans="1:19" ht="28" x14ac:dyDescent="0.15">
      <c r="A9190" s="2">
        <f>HYPERLINK("https://open-school.uspishnemisto.com.ua/school/510016/", 510016)</f>
        <v>510016</v>
      </c>
      <c r="B9190" s="3" t="s">
        <v>46969</v>
      </c>
      <c r="C9190" s="3" t="s">
        <v>31</v>
      </c>
      <c r="D9190" s="3" t="s">
        <v>32</v>
      </c>
      <c r="E9190" s="4" t="s">
        <v>22</v>
      </c>
      <c r="F9190" s="4" t="s">
        <v>46970</v>
      </c>
      <c r="G9190" s="4" t="s">
        <v>46909</v>
      </c>
      <c r="H9190" s="3" t="s">
        <v>46910</v>
      </c>
      <c r="I9190" s="3" t="s">
        <v>46911</v>
      </c>
      <c r="J9190" s="3" t="s">
        <v>46971</v>
      </c>
      <c r="K9190" s="3"/>
      <c r="L9190" s="3" t="s">
        <v>46972</v>
      </c>
      <c r="M9190" s="4"/>
      <c r="N9190" s="3" t="s">
        <v>37</v>
      </c>
      <c r="O9190" s="3" t="s">
        <v>38</v>
      </c>
      <c r="P9190" s="5">
        <v>10</v>
      </c>
      <c r="Q9190" s="5">
        <v>151</v>
      </c>
      <c r="R9190" s="5">
        <v>9</v>
      </c>
      <c r="S9190" s="5">
        <v>132</v>
      </c>
    </row>
    <row r="9191" spans="1:19" ht="28" x14ac:dyDescent="0.15">
      <c r="A9191" s="2">
        <f>HYPERLINK("https://open-school.uspishnemisto.com.ua/school/510017/", 510017)</f>
        <v>510017</v>
      </c>
      <c r="B9191" s="3" t="s">
        <v>46973</v>
      </c>
      <c r="C9191" s="3" t="s">
        <v>31</v>
      </c>
      <c r="D9191" s="3" t="s">
        <v>32</v>
      </c>
      <c r="E9191" s="4" t="s">
        <v>22</v>
      </c>
      <c r="F9191" s="4" t="s">
        <v>46974</v>
      </c>
      <c r="G9191" s="4" t="s">
        <v>46909</v>
      </c>
      <c r="H9191" s="3" t="s">
        <v>46910</v>
      </c>
      <c r="I9191" s="3" t="s">
        <v>46911</v>
      </c>
      <c r="J9191" s="3" t="s">
        <v>46975</v>
      </c>
      <c r="K9191" s="3" t="s">
        <v>46976</v>
      </c>
      <c r="L9191" s="3"/>
      <c r="M9191" s="4"/>
      <c r="N9191" s="3" t="s">
        <v>128</v>
      </c>
      <c r="O9191" s="3" t="s">
        <v>38</v>
      </c>
      <c r="P9191" s="5">
        <v>51</v>
      </c>
      <c r="Q9191" s="5">
        <v>1506</v>
      </c>
      <c r="R9191" s="5">
        <v>49</v>
      </c>
      <c r="S9191" s="5">
        <v>1421</v>
      </c>
    </row>
    <row r="9192" spans="1:19" ht="28" x14ac:dyDescent="0.15">
      <c r="A9192" s="2">
        <f>HYPERLINK("https://open-school.uspishnemisto.com.ua/school/510018/", 510018)</f>
        <v>510018</v>
      </c>
      <c r="B9192" s="3" t="s">
        <v>46977</v>
      </c>
      <c r="C9192" s="3" t="s">
        <v>31</v>
      </c>
      <c r="D9192" s="3" t="s">
        <v>32</v>
      </c>
      <c r="E9192" s="4" t="s">
        <v>22</v>
      </c>
      <c r="F9192" s="4" t="s">
        <v>46952</v>
      </c>
      <c r="G9192" s="4" t="s">
        <v>46909</v>
      </c>
      <c r="H9192" s="3" t="s">
        <v>46910</v>
      </c>
      <c r="I9192" s="3" t="s">
        <v>46911</v>
      </c>
      <c r="J9192" s="3" t="s">
        <v>46978</v>
      </c>
      <c r="K9192" s="3" t="s">
        <v>46979</v>
      </c>
      <c r="L9192" s="3"/>
      <c r="M9192" s="4"/>
      <c r="N9192" s="3" t="s">
        <v>967</v>
      </c>
      <c r="O9192" s="3" t="s">
        <v>46</v>
      </c>
      <c r="P9192" s="5">
        <v>26</v>
      </c>
      <c r="Q9192" s="5">
        <v>618</v>
      </c>
      <c r="R9192" s="5">
        <v>25</v>
      </c>
      <c r="S9192" s="5">
        <v>590</v>
      </c>
    </row>
    <row r="9193" spans="1:19" ht="28" x14ac:dyDescent="0.15">
      <c r="A9193" s="2">
        <f>HYPERLINK("https://open-school.uspishnemisto.com.ua/school/510019/", 510019)</f>
        <v>510019</v>
      </c>
      <c r="B9193" s="3" t="s">
        <v>46980</v>
      </c>
      <c r="C9193" s="3" t="s">
        <v>31</v>
      </c>
      <c r="D9193" s="3" t="s">
        <v>32</v>
      </c>
      <c r="E9193" s="4" t="s">
        <v>22</v>
      </c>
      <c r="F9193" s="4" t="s">
        <v>46981</v>
      </c>
      <c r="G9193" s="4" t="s">
        <v>46909</v>
      </c>
      <c r="H9193" s="3" t="s">
        <v>46910</v>
      </c>
      <c r="I9193" s="3" t="s">
        <v>46911</v>
      </c>
      <c r="J9193" s="3" t="s">
        <v>46982</v>
      </c>
      <c r="K9193" s="3" t="s">
        <v>46983</v>
      </c>
      <c r="L9193" s="3"/>
      <c r="M9193" s="4"/>
      <c r="N9193" s="3" t="s">
        <v>128</v>
      </c>
      <c r="O9193" s="3" t="s">
        <v>70</v>
      </c>
      <c r="P9193" s="5">
        <v>23</v>
      </c>
      <c r="Q9193" s="5">
        <v>605</v>
      </c>
      <c r="R9193" s="5">
        <v>22</v>
      </c>
      <c r="S9193" s="5">
        <v>567</v>
      </c>
    </row>
    <row r="9194" spans="1:19" ht="28" x14ac:dyDescent="0.15">
      <c r="A9194" s="2">
        <f>HYPERLINK("https://open-school.uspishnemisto.com.ua/school/510020/", 510020)</f>
        <v>510020</v>
      </c>
      <c r="B9194" s="3" t="s">
        <v>46984</v>
      </c>
      <c r="C9194" s="3" t="s">
        <v>31</v>
      </c>
      <c r="D9194" s="3" t="s">
        <v>32</v>
      </c>
      <c r="E9194" s="4" t="s">
        <v>22</v>
      </c>
      <c r="F9194" s="4" t="s">
        <v>46985</v>
      </c>
      <c r="G9194" s="4" t="s">
        <v>46909</v>
      </c>
      <c r="H9194" s="3" t="s">
        <v>46910</v>
      </c>
      <c r="I9194" s="3" t="s">
        <v>46911</v>
      </c>
      <c r="J9194" s="3" t="s">
        <v>46986</v>
      </c>
      <c r="K9194" s="3" t="s">
        <v>46987</v>
      </c>
      <c r="L9194" s="3"/>
      <c r="M9194" s="4"/>
      <c r="N9194" s="3" t="s">
        <v>37</v>
      </c>
      <c r="O9194" s="3" t="s">
        <v>38</v>
      </c>
      <c r="P9194" s="5">
        <v>12</v>
      </c>
      <c r="Q9194" s="5">
        <v>224</v>
      </c>
      <c r="R9194" s="5">
        <v>11</v>
      </c>
      <c r="S9194" s="5">
        <v>216</v>
      </c>
    </row>
    <row r="9195" spans="1:19" ht="28" x14ac:dyDescent="0.15">
      <c r="A9195" s="2">
        <f>HYPERLINK("https://open-school.uspishnemisto.com.ua/school/510021/", 510021)</f>
        <v>510021</v>
      </c>
      <c r="B9195" s="3" t="s">
        <v>46988</v>
      </c>
      <c r="C9195" s="3" t="s">
        <v>31</v>
      </c>
      <c r="D9195" s="3" t="s">
        <v>32</v>
      </c>
      <c r="E9195" s="4" t="s">
        <v>22</v>
      </c>
      <c r="F9195" s="4" t="s">
        <v>46974</v>
      </c>
      <c r="G9195" s="4" t="s">
        <v>46909</v>
      </c>
      <c r="H9195" s="3" t="s">
        <v>46910</v>
      </c>
      <c r="I9195" s="3" t="s">
        <v>46911</v>
      </c>
      <c r="J9195" s="3" t="s">
        <v>46989</v>
      </c>
      <c r="K9195" s="3" t="s">
        <v>46990</v>
      </c>
      <c r="L9195" s="3"/>
      <c r="M9195" s="4"/>
      <c r="N9195" s="3" t="s">
        <v>128</v>
      </c>
      <c r="O9195" s="3" t="s">
        <v>38</v>
      </c>
      <c r="P9195" s="5">
        <v>28</v>
      </c>
      <c r="Q9195" s="5">
        <v>756</v>
      </c>
      <c r="R9195" s="5">
        <v>28</v>
      </c>
      <c r="S9195" s="5">
        <v>742</v>
      </c>
    </row>
    <row r="9196" spans="1:19" ht="28" x14ac:dyDescent="0.15">
      <c r="A9196" s="2">
        <f>HYPERLINK("https://open-school.uspishnemisto.com.ua/school/510022/", 510022)</f>
        <v>510022</v>
      </c>
      <c r="B9196" s="3" t="s">
        <v>46991</v>
      </c>
      <c r="C9196" s="3" t="s">
        <v>31</v>
      </c>
      <c r="D9196" s="3" t="s">
        <v>32</v>
      </c>
      <c r="E9196" s="4" t="s">
        <v>22</v>
      </c>
      <c r="F9196" s="4" t="s">
        <v>46948</v>
      </c>
      <c r="G9196" s="4" t="s">
        <v>46909</v>
      </c>
      <c r="H9196" s="3" t="s">
        <v>46910</v>
      </c>
      <c r="I9196" s="3" t="s">
        <v>46911</v>
      </c>
      <c r="J9196" s="3" t="s">
        <v>46992</v>
      </c>
      <c r="K9196" s="3" t="s">
        <v>46993</v>
      </c>
      <c r="L9196" s="3" t="s">
        <v>46994</v>
      </c>
      <c r="M9196" s="4"/>
      <c r="N9196" s="3" t="s">
        <v>967</v>
      </c>
      <c r="O9196" s="3" t="s">
        <v>46</v>
      </c>
      <c r="P9196" s="5">
        <v>23</v>
      </c>
      <c r="Q9196" s="5">
        <v>577</v>
      </c>
      <c r="R9196" s="5">
        <v>22</v>
      </c>
      <c r="S9196" s="5">
        <v>542</v>
      </c>
    </row>
    <row r="9197" spans="1:19" ht="28" x14ac:dyDescent="0.15">
      <c r="A9197" s="2">
        <f>HYPERLINK("https://open-school.uspishnemisto.com.ua/school/510023/", 510023)</f>
        <v>510023</v>
      </c>
      <c r="B9197" s="3" t="s">
        <v>46995</v>
      </c>
      <c r="C9197" s="3" t="s">
        <v>31</v>
      </c>
      <c r="D9197" s="3" t="s">
        <v>32</v>
      </c>
      <c r="E9197" s="4" t="s">
        <v>22</v>
      </c>
      <c r="F9197" s="4" t="s">
        <v>46996</v>
      </c>
      <c r="G9197" s="4" t="s">
        <v>46909</v>
      </c>
      <c r="H9197" s="3" t="s">
        <v>46910</v>
      </c>
      <c r="I9197" s="3" t="s">
        <v>46911</v>
      </c>
      <c r="J9197" s="3" t="s">
        <v>46997</v>
      </c>
      <c r="K9197" s="3" t="s">
        <v>46998</v>
      </c>
      <c r="L9197" s="3"/>
      <c r="M9197" s="4"/>
      <c r="N9197" s="3" t="s">
        <v>128</v>
      </c>
      <c r="O9197" s="3" t="s">
        <v>46</v>
      </c>
      <c r="P9197" s="5">
        <v>26</v>
      </c>
      <c r="Q9197" s="5">
        <v>673</v>
      </c>
      <c r="R9197" s="5">
        <v>25</v>
      </c>
      <c r="S9197" s="5">
        <v>670</v>
      </c>
    </row>
    <row r="9198" spans="1:19" ht="28" x14ac:dyDescent="0.15">
      <c r="A9198" s="2">
        <f>HYPERLINK("https://open-school.uspishnemisto.com.ua/school/510024/", 510024)</f>
        <v>510024</v>
      </c>
      <c r="B9198" s="3" t="s">
        <v>46999</v>
      </c>
      <c r="C9198" s="3" t="s">
        <v>31</v>
      </c>
      <c r="D9198" s="3" t="s">
        <v>32</v>
      </c>
      <c r="E9198" s="4" t="s">
        <v>22</v>
      </c>
      <c r="F9198" s="4" t="s">
        <v>46966</v>
      </c>
      <c r="G9198" s="4" t="s">
        <v>46909</v>
      </c>
      <c r="H9198" s="3" t="s">
        <v>46910</v>
      </c>
      <c r="I9198" s="3" t="s">
        <v>46911</v>
      </c>
      <c r="J9198" s="3" t="s">
        <v>47000</v>
      </c>
      <c r="K9198" s="3" t="s">
        <v>47001</v>
      </c>
      <c r="L9198" s="3"/>
      <c r="M9198" s="4"/>
      <c r="N9198" s="3" t="s">
        <v>37</v>
      </c>
      <c r="O9198" s="3" t="s">
        <v>38</v>
      </c>
      <c r="P9198" s="5">
        <v>31</v>
      </c>
      <c r="Q9198" s="5">
        <v>875</v>
      </c>
      <c r="R9198" s="5">
        <v>30</v>
      </c>
      <c r="S9198" s="5">
        <v>837</v>
      </c>
    </row>
    <row r="9199" spans="1:19" ht="28" x14ac:dyDescent="0.15">
      <c r="A9199" s="2">
        <f>HYPERLINK("https://open-school.uspishnemisto.com.ua/school/510026/", 510026)</f>
        <v>510026</v>
      </c>
      <c r="B9199" s="3" t="s">
        <v>47002</v>
      </c>
      <c r="C9199" s="3" t="s">
        <v>31</v>
      </c>
      <c r="D9199" s="3" t="s">
        <v>32</v>
      </c>
      <c r="E9199" s="4" t="s">
        <v>22</v>
      </c>
      <c r="F9199" s="4" t="s">
        <v>47003</v>
      </c>
      <c r="G9199" s="4" t="s">
        <v>46909</v>
      </c>
      <c r="H9199" s="3" t="s">
        <v>46910</v>
      </c>
      <c r="I9199" s="3" t="s">
        <v>46911</v>
      </c>
      <c r="J9199" s="3" t="s">
        <v>47004</v>
      </c>
      <c r="K9199" s="3" t="s">
        <v>47005</v>
      </c>
      <c r="L9199" s="3"/>
      <c r="M9199" s="4"/>
      <c r="N9199" s="3" t="s">
        <v>967</v>
      </c>
      <c r="O9199" s="3" t="s">
        <v>46</v>
      </c>
      <c r="P9199" s="5">
        <v>18</v>
      </c>
      <c r="Q9199" s="5">
        <v>425</v>
      </c>
      <c r="R9199" s="5">
        <v>16</v>
      </c>
      <c r="S9199" s="5">
        <v>395</v>
      </c>
    </row>
    <row r="9200" spans="1:19" ht="28" x14ac:dyDescent="0.15">
      <c r="A9200" s="2">
        <f>HYPERLINK("https://open-school.uspishnemisto.com.ua/school/510027/", 510027)</f>
        <v>510027</v>
      </c>
      <c r="B9200" s="3" t="s">
        <v>47006</v>
      </c>
      <c r="C9200" s="3" t="s">
        <v>31</v>
      </c>
      <c r="D9200" s="3" t="s">
        <v>32</v>
      </c>
      <c r="E9200" s="4" t="s">
        <v>22</v>
      </c>
      <c r="F9200" s="4" t="s">
        <v>46961</v>
      </c>
      <c r="G9200" s="4" t="s">
        <v>46909</v>
      </c>
      <c r="H9200" s="3" t="s">
        <v>46910</v>
      </c>
      <c r="I9200" s="3" t="s">
        <v>46911</v>
      </c>
      <c r="J9200" s="3" t="s">
        <v>47007</v>
      </c>
      <c r="K9200" s="3" t="s">
        <v>47008</v>
      </c>
      <c r="L9200" s="3"/>
      <c r="M9200" s="4"/>
      <c r="N9200" s="3" t="s">
        <v>128</v>
      </c>
      <c r="O9200" s="3" t="s">
        <v>13929</v>
      </c>
      <c r="P9200" s="5">
        <v>22</v>
      </c>
      <c r="Q9200" s="5">
        <v>580</v>
      </c>
      <c r="R9200" s="5">
        <v>21</v>
      </c>
      <c r="S9200" s="5">
        <v>526</v>
      </c>
    </row>
    <row r="9201" spans="1:19" ht="28" x14ac:dyDescent="0.15">
      <c r="A9201" s="2">
        <f>HYPERLINK("https://open-school.uspishnemisto.com.ua/school/510028/", 510028)</f>
        <v>510028</v>
      </c>
      <c r="B9201" s="3" t="s">
        <v>47009</v>
      </c>
      <c r="C9201" s="3" t="s">
        <v>31</v>
      </c>
      <c r="D9201" s="3" t="s">
        <v>32</v>
      </c>
      <c r="E9201" s="4" t="s">
        <v>22</v>
      </c>
      <c r="F9201" s="4" t="s">
        <v>46952</v>
      </c>
      <c r="G9201" s="4" t="s">
        <v>46909</v>
      </c>
      <c r="H9201" s="3" t="s">
        <v>46910</v>
      </c>
      <c r="I9201" s="3" t="s">
        <v>46911</v>
      </c>
      <c r="J9201" s="3" t="s">
        <v>47010</v>
      </c>
      <c r="K9201" s="3" t="s">
        <v>47011</v>
      </c>
      <c r="L9201" s="3"/>
      <c r="M9201" s="4"/>
      <c r="N9201" s="3" t="s">
        <v>37</v>
      </c>
      <c r="O9201" s="3" t="s">
        <v>38</v>
      </c>
      <c r="P9201" s="5">
        <v>18</v>
      </c>
      <c r="Q9201" s="5">
        <v>440</v>
      </c>
      <c r="R9201" s="5">
        <v>19</v>
      </c>
      <c r="S9201" s="5">
        <v>450</v>
      </c>
    </row>
    <row r="9202" spans="1:19" ht="28" x14ac:dyDescent="0.15">
      <c r="A9202" s="2">
        <f>HYPERLINK("https://open-school.uspishnemisto.com.ua/school/510029/", 510029)</f>
        <v>510029</v>
      </c>
      <c r="B9202" s="3" t="s">
        <v>47012</v>
      </c>
      <c r="C9202" s="3" t="s">
        <v>31</v>
      </c>
      <c r="D9202" s="3" t="s">
        <v>32</v>
      </c>
      <c r="E9202" s="4" t="s">
        <v>22</v>
      </c>
      <c r="F9202" s="4" t="s">
        <v>47013</v>
      </c>
      <c r="G9202" s="4" t="s">
        <v>46909</v>
      </c>
      <c r="H9202" s="3" t="s">
        <v>46910</v>
      </c>
      <c r="I9202" s="3" t="s">
        <v>46911</v>
      </c>
      <c r="J9202" s="3" t="s">
        <v>47014</v>
      </c>
      <c r="K9202" s="3" t="s">
        <v>47015</v>
      </c>
      <c r="L9202" s="3"/>
      <c r="M9202" s="4"/>
      <c r="N9202" s="3" t="s">
        <v>967</v>
      </c>
      <c r="O9202" s="3" t="s">
        <v>46</v>
      </c>
      <c r="P9202" s="5">
        <v>43</v>
      </c>
      <c r="Q9202" s="5">
        <v>1224</v>
      </c>
      <c r="R9202" s="5">
        <v>41</v>
      </c>
      <c r="S9202" s="5">
        <v>1201</v>
      </c>
    </row>
    <row r="9203" spans="1:19" ht="28" x14ac:dyDescent="0.15">
      <c r="A9203" s="2">
        <f>HYPERLINK("https://open-school.uspishnemisto.com.ua/school/510030/", 510030)</f>
        <v>510030</v>
      </c>
      <c r="B9203" s="3" t="s">
        <v>47016</v>
      </c>
      <c r="C9203" s="3" t="s">
        <v>31</v>
      </c>
      <c r="D9203" s="3" t="s">
        <v>32</v>
      </c>
      <c r="E9203" s="4" t="s">
        <v>22</v>
      </c>
      <c r="F9203" s="4" t="s">
        <v>47017</v>
      </c>
      <c r="G9203" s="4" t="s">
        <v>46909</v>
      </c>
      <c r="H9203" s="3" t="s">
        <v>46910</v>
      </c>
      <c r="I9203" s="3" t="s">
        <v>46911</v>
      </c>
      <c r="J9203" s="3" t="s">
        <v>47018</v>
      </c>
      <c r="K9203" s="3" t="s">
        <v>47019</v>
      </c>
      <c r="L9203" s="3"/>
      <c r="M9203" s="4"/>
      <c r="N9203" s="3" t="s">
        <v>128</v>
      </c>
      <c r="O9203" s="3" t="s">
        <v>38</v>
      </c>
      <c r="P9203" s="5">
        <v>18</v>
      </c>
      <c r="Q9203" s="5">
        <v>466</v>
      </c>
      <c r="R9203" s="5">
        <v>17</v>
      </c>
      <c r="S9203" s="5">
        <v>432</v>
      </c>
    </row>
    <row r="9204" spans="1:19" ht="28" x14ac:dyDescent="0.15">
      <c r="A9204" s="2">
        <f>HYPERLINK("https://open-school.uspishnemisto.com.ua/school/510031/", 510031)</f>
        <v>510031</v>
      </c>
      <c r="B9204" s="3" t="s">
        <v>47020</v>
      </c>
      <c r="C9204" s="3" t="s">
        <v>31</v>
      </c>
      <c r="D9204" s="3" t="s">
        <v>32</v>
      </c>
      <c r="E9204" s="4" t="s">
        <v>22</v>
      </c>
      <c r="F9204" s="4" t="s">
        <v>47021</v>
      </c>
      <c r="G9204" s="4" t="s">
        <v>46909</v>
      </c>
      <c r="H9204" s="3" t="s">
        <v>46910</v>
      </c>
      <c r="I9204" s="3" t="s">
        <v>46911</v>
      </c>
      <c r="J9204" s="3" t="s">
        <v>47022</v>
      </c>
      <c r="K9204" s="3" t="s">
        <v>47023</v>
      </c>
      <c r="L9204" s="3" t="s">
        <v>47024</v>
      </c>
      <c r="M9204" s="4"/>
      <c r="N9204" s="3" t="s">
        <v>37</v>
      </c>
      <c r="O9204" s="3" t="s">
        <v>38</v>
      </c>
      <c r="P9204" s="5">
        <v>20</v>
      </c>
      <c r="Q9204" s="5">
        <v>489</v>
      </c>
      <c r="R9204" s="5">
        <v>19</v>
      </c>
      <c r="S9204" s="5">
        <v>474</v>
      </c>
    </row>
    <row r="9205" spans="1:19" ht="28" x14ac:dyDescent="0.15">
      <c r="A9205" s="2">
        <f>HYPERLINK("https://open-school.uspishnemisto.com.ua/school/510032/", 510032)</f>
        <v>510032</v>
      </c>
      <c r="B9205" s="3" t="s">
        <v>47025</v>
      </c>
      <c r="C9205" s="3" t="s">
        <v>31</v>
      </c>
      <c r="D9205" s="3" t="s">
        <v>32</v>
      </c>
      <c r="E9205" s="4" t="s">
        <v>22</v>
      </c>
      <c r="F9205" s="4" t="s">
        <v>46974</v>
      </c>
      <c r="G9205" s="4" t="s">
        <v>46909</v>
      </c>
      <c r="H9205" s="3" t="s">
        <v>46910</v>
      </c>
      <c r="I9205" s="3" t="s">
        <v>46911</v>
      </c>
      <c r="J9205" s="3" t="s">
        <v>47026</v>
      </c>
      <c r="K9205" s="3" t="s">
        <v>47027</v>
      </c>
      <c r="L9205" s="3" t="s">
        <v>47028</v>
      </c>
      <c r="M9205" s="4"/>
      <c r="N9205" s="3" t="s">
        <v>128</v>
      </c>
      <c r="O9205" s="3" t="s">
        <v>70</v>
      </c>
      <c r="P9205" s="5">
        <v>47</v>
      </c>
      <c r="Q9205" s="5">
        <v>1409</v>
      </c>
      <c r="R9205" s="5">
        <v>44</v>
      </c>
      <c r="S9205" s="5">
        <v>1366</v>
      </c>
    </row>
    <row r="9206" spans="1:19" ht="28" x14ac:dyDescent="0.15">
      <c r="A9206" s="2">
        <f>HYPERLINK("https://open-school.uspishnemisto.com.ua/school/510033/", 510033)</f>
        <v>510033</v>
      </c>
      <c r="B9206" s="3" t="s">
        <v>47029</v>
      </c>
      <c r="C9206" s="3" t="s">
        <v>31</v>
      </c>
      <c r="D9206" s="3" t="s">
        <v>32</v>
      </c>
      <c r="E9206" s="4" t="s">
        <v>22</v>
      </c>
      <c r="F9206" s="4" t="s">
        <v>47030</v>
      </c>
      <c r="G9206" s="4" t="s">
        <v>46909</v>
      </c>
      <c r="H9206" s="3" t="s">
        <v>46910</v>
      </c>
      <c r="I9206" s="3" t="s">
        <v>46911</v>
      </c>
      <c r="J9206" s="3" t="s">
        <v>47031</v>
      </c>
      <c r="K9206" s="3" t="s">
        <v>47032</v>
      </c>
      <c r="L9206" s="3"/>
      <c r="M9206" s="4"/>
      <c r="N9206" s="3" t="s">
        <v>128</v>
      </c>
      <c r="O9206" s="3" t="s">
        <v>46</v>
      </c>
      <c r="P9206" s="5">
        <v>31</v>
      </c>
      <c r="Q9206" s="5">
        <v>885</v>
      </c>
      <c r="R9206" s="5">
        <v>30</v>
      </c>
      <c r="S9206" s="5">
        <v>860</v>
      </c>
    </row>
    <row r="9207" spans="1:19" ht="28" x14ac:dyDescent="0.15">
      <c r="A9207" s="2">
        <f>HYPERLINK("https://open-school.uspishnemisto.com.ua/school/510034/", 510034)</f>
        <v>510034</v>
      </c>
      <c r="B9207" s="3" t="s">
        <v>47033</v>
      </c>
      <c r="C9207" s="3" t="s">
        <v>31</v>
      </c>
      <c r="D9207" s="3" t="s">
        <v>32</v>
      </c>
      <c r="E9207" s="4" t="s">
        <v>22</v>
      </c>
      <c r="F9207" s="4" t="s">
        <v>47034</v>
      </c>
      <c r="G9207" s="4" t="s">
        <v>46909</v>
      </c>
      <c r="H9207" s="3" t="s">
        <v>46910</v>
      </c>
      <c r="I9207" s="3" t="s">
        <v>46911</v>
      </c>
      <c r="J9207" s="3" t="s">
        <v>47035</v>
      </c>
      <c r="K9207" s="3"/>
      <c r="L9207" s="3"/>
      <c r="M9207" s="4"/>
      <c r="N9207" s="3" t="s">
        <v>128</v>
      </c>
      <c r="O9207" s="3" t="s">
        <v>70</v>
      </c>
      <c r="P9207" s="5">
        <v>28</v>
      </c>
      <c r="Q9207" s="5">
        <v>735</v>
      </c>
      <c r="R9207" s="5">
        <v>27</v>
      </c>
      <c r="S9207" s="5">
        <v>701</v>
      </c>
    </row>
    <row r="9208" spans="1:19" ht="28" x14ac:dyDescent="0.15">
      <c r="A9208" s="2">
        <f>HYPERLINK("https://open-school.uspishnemisto.com.ua/school/510035/", 510035)</f>
        <v>510035</v>
      </c>
      <c r="B9208" s="3" t="s">
        <v>47036</v>
      </c>
      <c r="C9208" s="3" t="s">
        <v>31</v>
      </c>
      <c r="D9208" s="3" t="s">
        <v>32</v>
      </c>
      <c r="E9208" s="4" t="s">
        <v>22</v>
      </c>
      <c r="F9208" s="4" t="s">
        <v>47037</v>
      </c>
      <c r="G9208" s="4" t="s">
        <v>46909</v>
      </c>
      <c r="H9208" s="3" t="s">
        <v>46910</v>
      </c>
      <c r="I9208" s="3" t="s">
        <v>46911</v>
      </c>
      <c r="J9208" s="3" t="s">
        <v>47038</v>
      </c>
      <c r="K9208" s="3" t="s">
        <v>47039</v>
      </c>
      <c r="L9208" s="3" t="s">
        <v>47040</v>
      </c>
      <c r="M9208" s="4"/>
      <c r="N9208" s="3" t="s">
        <v>128</v>
      </c>
      <c r="O9208" s="3" t="s">
        <v>70</v>
      </c>
      <c r="P9208" s="5">
        <v>39</v>
      </c>
      <c r="Q9208" s="5">
        <v>1176</v>
      </c>
      <c r="R9208" s="5">
        <v>39</v>
      </c>
      <c r="S9208" s="5">
        <v>1122</v>
      </c>
    </row>
    <row r="9209" spans="1:19" ht="28" x14ac:dyDescent="0.15">
      <c r="A9209" s="2">
        <f>HYPERLINK("https://open-school.uspishnemisto.com.ua/school/510036/", 510036)</f>
        <v>510036</v>
      </c>
      <c r="B9209" s="3" t="s">
        <v>47041</v>
      </c>
      <c r="C9209" s="3" t="s">
        <v>31</v>
      </c>
      <c r="D9209" s="3" t="s">
        <v>32</v>
      </c>
      <c r="E9209" s="4" t="s">
        <v>22</v>
      </c>
      <c r="F9209" s="4" t="s">
        <v>47042</v>
      </c>
      <c r="G9209" s="4" t="s">
        <v>46909</v>
      </c>
      <c r="H9209" s="3" t="s">
        <v>46910</v>
      </c>
      <c r="I9209" s="3" t="s">
        <v>46911</v>
      </c>
      <c r="J9209" s="3" t="s">
        <v>47043</v>
      </c>
      <c r="K9209" s="3" t="s">
        <v>47044</v>
      </c>
      <c r="L9209" s="3" t="s">
        <v>47045</v>
      </c>
      <c r="M9209" s="4"/>
      <c r="N9209" s="3" t="s">
        <v>128</v>
      </c>
      <c r="O9209" s="3" t="s">
        <v>70</v>
      </c>
      <c r="P9209" s="5">
        <v>37</v>
      </c>
      <c r="Q9209" s="5">
        <v>1062</v>
      </c>
      <c r="R9209" s="5">
        <v>36</v>
      </c>
      <c r="S9209" s="5">
        <v>1028</v>
      </c>
    </row>
    <row r="9210" spans="1:19" ht="28" x14ac:dyDescent="0.15">
      <c r="A9210" s="2">
        <f>HYPERLINK("https://open-school.uspishnemisto.com.ua/school/510037/", 510037)</f>
        <v>510037</v>
      </c>
      <c r="B9210" s="3" t="s">
        <v>47046</v>
      </c>
      <c r="C9210" s="3" t="s">
        <v>293</v>
      </c>
      <c r="D9210" s="3" t="s">
        <v>32</v>
      </c>
      <c r="E9210" s="4" t="s">
        <v>22</v>
      </c>
      <c r="F9210" s="4" t="s">
        <v>47047</v>
      </c>
      <c r="G9210" s="4" t="s">
        <v>46909</v>
      </c>
      <c r="H9210" s="3" t="s">
        <v>46910</v>
      </c>
      <c r="I9210" s="3" t="s">
        <v>46911</v>
      </c>
      <c r="J9210" s="3" t="s">
        <v>47048</v>
      </c>
      <c r="K9210" s="3" t="s">
        <v>47049</v>
      </c>
      <c r="L9210" s="3"/>
      <c r="M9210" s="4"/>
      <c r="N9210" s="3" t="s">
        <v>37</v>
      </c>
      <c r="O9210" s="3" t="s">
        <v>38</v>
      </c>
      <c r="P9210" s="5">
        <v>11</v>
      </c>
      <c r="Q9210" s="5">
        <v>149</v>
      </c>
      <c r="R9210" s="5">
        <v>10</v>
      </c>
      <c r="S9210" s="5">
        <v>131</v>
      </c>
    </row>
    <row r="9211" spans="1:19" ht="28" x14ac:dyDescent="0.15">
      <c r="A9211" s="2">
        <f>HYPERLINK("https://open-school.uspishnemisto.com.ua/school/510038/", 510038)</f>
        <v>510038</v>
      </c>
      <c r="B9211" s="3" t="s">
        <v>47050</v>
      </c>
      <c r="C9211" s="3" t="s">
        <v>31</v>
      </c>
      <c r="D9211" s="3" t="s">
        <v>32</v>
      </c>
      <c r="E9211" s="4" t="s">
        <v>22</v>
      </c>
      <c r="F9211" s="4" t="s">
        <v>47030</v>
      </c>
      <c r="G9211" s="4" t="s">
        <v>46909</v>
      </c>
      <c r="H9211" s="3" t="s">
        <v>46910</v>
      </c>
      <c r="I9211" s="3" t="s">
        <v>46911</v>
      </c>
      <c r="J9211" s="3" t="s">
        <v>47051</v>
      </c>
      <c r="K9211" s="3" t="s">
        <v>47052</v>
      </c>
      <c r="L9211" s="3"/>
      <c r="M9211" s="4"/>
      <c r="N9211" s="3" t="s">
        <v>967</v>
      </c>
      <c r="O9211" s="3" t="s">
        <v>46</v>
      </c>
      <c r="P9211" s="5">
        <v>22</v>
      </c>
      <c r="Q9211" s="5">
        <v>602</v>
      </c>
      <c r="R9211" s="5">
        <v>23</v>
      </c>
      <c r="S9211" s="5">
        <v>617</v>
      </c>
    </row>
    <row r="9212" spans="1:19" ht="28" x14ac:dyDescent="0.15">
      <c r="A9212" s="2">
        <f>HYPERLINK("https://open-school.uspishnemisto.com.ua/school/510039/", 510039)</f>
        <v>510039</v>
      </c>
      <c r="B9212" s="3" t="s">
        <v>47053</v>
      </c>
      <c r="C9212" s="3" t="s">
        <v>31</v>
      </c>
      <c r="D9212" s="3" t="s">
        <v>32</v>
      </c>
      <c r="E9212" s="4" t="s">
        <v>41</v>
      </c>
      <c r="F9212" s="4" t="s">
        <v>46926</v>
      </c>
      <c r="G9212" s="4" t="s">
        <v>46909</v>
      </c>
      <c r="H9212" s="3" t="s">
        <v>46910</v>
      </c>
      <c r="I9212" s="3" t="s">
        <v>46911</v>
      </c>
      <c r="J9212" s="3" t="s">
        <v>47054</v>
      </c>
      <c r="K9212" s="3" t="s">
        <v>47055</v>
      </c>
      <c r="L9212" s="3"/>
      <c r="M9212" s="4"/>
      <c r="N9212" s="3" t="s">
        <v>967</v>
      </c>
      <c r="O9212" s="3" t="s">
        <v>52</v>
      </c>
      <c r="P9212" s="5">
        <v>46</v>
      </c>
      <c r="Q9212" s="5">
        <v>876</v>
      </c>
      <c r="R9212" s="5">
        <v>42</v>
      </c>
      <c r="S9212" s="5">
        <v>818</v>
      </c>
    </row>
    <row r="9213" spans="1:19" ht="28" x14ac:dyDescent="0.15">
      <c r="A9213" s="2">
        <f>HYPERLINK("https://open-school.uspishnemisto.com.ua/school/510040/", 510040)</f>
        <v>510040</v>
      </c>
      <c r="B9213" s="3" t="s">
        <v>47056</v>
      </c>
      <c r="C9213" s="3" t="s">
        <v>4989</v>
      </c>
      <c r="D9213" s="3" t="s">
        <v>32</v>
      </c>
      <c r="E9213" s="4" t="s">
        <v>253</v>
      </c>
      <c r="F9213" s="4" t="s">
        <v>47057</v>
      </c>
      <c r="G9213" s="4" t="s">
        <v>46909</v>
      </c>
      <c r="H9213" s="3" t="s">
        <v>46910</v>
      </c>
      <c r="I9213" s="3" t="s">
        <v>46911</v>
      </c>
      <c r="J9213" s="3" t="s">
        <v>47058</v>
      </c>
      <c r="K9213" s="3" t="s">
        <v>47059</v>
      </c>
      <c r="L9213" s="3" t="s">
        <v>47060</v>
      </c>
      <c r="M9213" s="4" t="s">
        <v>47061</v>
      </c>
      <c r="N9213" s="3" t="s">
        <v>37</v>
      </c>
      <c r="O9213" s="3" t="s">
        <v>46</v>
      </c>
      <c r="P9213" s="5">
        <v>22</v>
      </c>
      <c r="Q9213" s="5">
        <v>398</v>
      </c>
      <c r="R9213" s="5">
        <v>22</v>
      </c>
      <c r="S9213" s="5">
        <v>401</v>
      </c>
    </row>
    <row r="9214" spans="1:19" ht="28" x14ac:dyDescent="0.15">
      <c r="A9214" s="2">
        <f>HYPERLINK("https://open-school.uspishnemisto.com.ua/school/510041/", 510041)</f>
        <v>510041</v>
      </c>
      <c r="B9214" s="3" t="s">
        <v>47062</v>
      </c>
      <c r="C9214" s="3" t="s">
        <v>244</v>
      </c>
      <c r="D9214" s="3" t="s">
        <v>32</v>
      </c>
      <c r="E9214" s="4" t="s">
        <v>22</v>
      </c>
      <c r="F9214" s="4" t="s">
        <v>47030</v>
      </c>
      <c r="G9214" s="4" t="s">
        <v>46909</v>
      </c>
      <c r="H9214" s="3" t="s">
        <v>46910</v>
      </c>
      <c r="I9214" s="3" t="s">
        <v>46911</v>
      </c>
      <c r="J9214" s="3" t="s">
        <v>47063</v>
      </c>
      <c r="K9214" s="3" t="s">
        <v>47064</v>
      </c>
      <c r="L9214" s="3"/>
      <c r="M9214" s="4" t="s">
        <v>47065</v>
      </c>
      <c r="N9214" s="3" t="s">
        <v>128</v>
      </c>
      <c r="O9214" s="3" t="s">
        <v>70</v>
      </c>
      <c r="P9214" s="5">
        <v>43</v>
      </c>
      <c r="Q9214" s="5">
        <v>1235</v>
      </c>
      <c r="R9214" s="5">
        <v>43</v>
      </c>
      <c r="S9214" s="5">
        <v>1239</v>
      </c>
    </row>
    <row r="9215" spans="1:19" ht="42" x14ac:dyDescent="0.15">
      <c r="A9215" s="2">
        <f>HYPERLINK("https://open-school.uspishnemisto.com.ua/school/510042/", 510042)</f>
        <v>510042</v>
      </c>
      <c r="B9215" s="3" t="s">
        <v>47066</v>
      </c>
      <c r="C9215" s="3" t="s">
        <v>244</v>
      </c>
      <c r="D9215" s="3" t="s">
        <v>32</v>
      </c>
      <c r="E9215" s="4" t="s">
        <v>22</v>
      </c>
      <c r="F9215" s="4" t="s">
        <v>47042</v>
      </c>
      <c r="G9215" s="4" t="s">
        <v>46909</v>
      </c>
      <c r="H9215" s="3" t="s">
        <v>46910</v>
      </c>
      <c r="I9215" s="3" t="s">
        <v>46911</v>
      </c>
      <c r="J9215" s="3" t="s">
        <v>47067</v>
      </c>
      <c r="K9215" s="3" t="s">
        <v>47068</v>
      </c>
      <c r="L9215" s="3" t="s">
        <v>47069</v>
      </c>
      <c r="M9215" s="4"/>
      <c r="N9215" s="3" t="s">
        <v>128</v>
      </c>
      <c r="O9215" s="3" t="s">
        <v>721</v>
      </c>
      <c r="P9215" s="5">
        <v>40</v>
      </c>
      <c r="Q9215" s="5">
        <v>1225</v>
      </c>
      <c r="R9215" s="5">
        <v>40</v>
      </c>
      <c r="S9215" s="5">
        <v>1198</v>
      </c>
    </row>
    <row r="9216" spans="1:19" ht="28" x14ac:dyDescent="0.15">
      <c r="A9216" s="2">
        <f>HYPERLINK("https://open-school.uspishnemisto.com.ua/school/510043/", 510043)</f>
        <v>510043</v>
      </c>
      <c r="B9216" s="3" t="s">
        <v>47070</v>
      </c>
      <c r="C9216" s="3" t="s">
        <v>244</v>
      </c>
      <c r="D9216" s="3" t="s">
        <v>32</v>
      </c>
      <c r="E9216" s="4" t="s">
        <v>22</v>
      </c>
      <c r="F9216" s="4" t="s">
        <v>47071</v>
      </c>
      <c r="G9216" s="4" t="s">
        <v>46909</v>
      </c>
      <c r="H9216" s="3" t="s">
        <v>46910</v>
      </c>
      <c r="I9216" s="3" t="s">
        <v>46911</v>
      </c>
      <c r="J9216" s="3" t="s">
        <v>47072</v>
      </c>
      <c r="K9216" s="3" t="s">
        <v>47073</v>
      </c>
      <c r="L9216" s="3"/>
      <c r="M9216" s="4"/>
      <c r="N9216" s="3" t="s">
        <v>128</v>
      </c>
      <c r="O9216" s="3" t="s">
        <v>70</v>
      </c>
      <c r="P9216" s="5">
        <v>21</v>
      </c>
      <c r="Q9216" s="5">
        <v>511</v>
      </c>
      <c r="R9216" s="5">
        <v>19</v>
      </c>
      <c r="S9216" s="5">
        <v>462</v>
      </c>
    </row>
    <row r="9217" spans="1:19" ht="42" x14ac:dyDescent="0.15">
      <c r="A9217" s="2">
        <f>HYPERLINK("https://open-school.uspishnemisto.com.ua/school/510044/", 510044)</f>
        <v>510044</v>
      </c>
      <c r="B9217" s="3" t="s">
        <v>47074</v>
      </c>
      <c r="C9217" s="3" t="s">
        <v>244</v>
      </c>
      <c r="D9217" s="3" t="s">
        <v>32</v>
      </c>
      <c r="E9217" s="4" t="s">
        <v>22</v>
      </c>
      <c r="F9217" s="4" t="s">
        <v>46937</v>
      </c>
      <c r="G9217" s="4" t="s">
        <v>46909</v>
      </c>
      <c r="H9217" s="3" t="s">
        <v>46910</v>
      </c>
      <c r="I9217" s="3" t="s">
        <v>46911</v>
      </c>
      <c r="J9217" s="3" t="s">
        <v>47075</v>
      </c>
      <c r="K9217" s="3" t="s">
        <v>47076</v>
      </c>
      <c r="L9217" s="3" t="s">
        <v>47077</v>
      </c>
      <c r="M9217" s="4"/>
      <c r="N9217" s="3" t="s">
        <v>128</v>
      </c>
      <c r="O9217" s="3" t="s">
        <v>721</v>
      </c>
      <c r="P9217" s="5">
        <v>20</v>
      </c>
      <c r="Q9217" s="5">
        <v>590</v>
      </c>
      <c r="R9217" s="5">
        <v>20</v>
      </c>
      <c r="S9217" s="5">
        <v>578</v>
      </c>
    </row>
    <row r="9218" spans="1:19" ht="42" x14ac:dyDescent="0.15">
      <c r="A9218" s="2">
        <f>HYPERLINK("https://open-school.uspishnemisto.com.ua/school/510045/", 510045)</f>
        <v>510045</v>
      </c>
      <c r="B9218" s="3" t="s">
        <v>47078</v>
      </c>
      <c r="C9218" s="3" t="s">
        <v>244</v>
      </c>
      <c r="D9218" s="3" t="s">
        <v>60</v>
      </c>
      <c r="E9218" s="4" t="s">
        <v>22</v>
      </c>
      <c r="F9218" s="4" t="s">
        <v>47079</v>
      </c>
      <c r="G9218" s="4" t="s">
        <v>46909</v>
      </c>
      <c r="H9218" s="3" t="s">
        <v>46910</v>
      </c>
      <c r="I9218" s="3" t="s">
        <v>46911</v>
      </c>
      <c r="J9218" s="3" t="s">
        <v>47080</v>
      </c>
      <c r="K9218" s="3" t="s">
        <v>47081</v>
      </c>
      <c r="L9218" s="3" t="s">
        <v>47082</v>
      </c>
      <c r="M9218" s="4"/>
      <c r="N9218" s="3" t="s">
        <v>37</v>
      </c>
      <c r="O9218" s="3" t="s">
        <v>38</v>
      </c>
      <c r="P9218" s="5">
        <v>16</v>
      </c>
      <c r="Q9218" s="5">
        <v>557</v>
      </c>
      <c r="R9218" s="5">
        <v>16</v>
      </c>
      <c r="S9218" s="5">
        <v>545</v>
      </c>
    </row>
    <row r="9219" spans="1:19" ht="70" x14ac:dyDescent="0.15">
      <c r="A9219" s="2">
        <f>HYPERLINK("https://open-school.uspishnemisto.com.ua/school/510046/", 510046)</f>
        <v>510046</v>
      </c>
      <c r="B9219" s="3" t="s">
        <v>47083</v>
      </c>
      <c r="C9219" s="3" t="s">
        <v>244</v>
      </c>
      <c r="D9219" s="3" t="s">
        <v>32</v>
      </c>
      <c r="E9219" s="4" t="s">
        <v>22</v>
      </c>
      <c r="F9219" s="4" t="s">
        <v>47084</v>
      </c>
      <c r="G9219" s="4" t="s">
        <v>46909</v>
      </c>
      <c r="H9219" s="3" t="s">
        <v>46910</v>
      </c>
      <c r="I9219" s="3" t="s">
        <v>46911</v>
      </c>
      <c r="J9219" s="3" t="s">
        <v>47085</v>
      </c>
      <c r="K9219" s="3" t="s">
        <v>47086</v>
      </c>
      <c r="L9219" s="3"/>
      <c r="M9219" s="4"/>
      <c r="N9219" s="3" t="s">
        <v>967</v>
      </c>
      <c r="O9219" s="3" t="s">
        <v>8629</v>
      </c>
      <c r="P9219" s="5">
        <v>20</v>
      </c>
      <c r="Q9219" s="5">
        <v>449</v>
      </c>
      <c r="R9219" s="5">
        <v>20</v>
      </c>
      <c r="S9219" s="5">
        <v>419</v>
      </c>
    </row>
    <row r="9220" spans="1:19" ht="42" x14ac:dyDescent="0.15">
      <c r="A9220" s="2">
        <f>HYPERLINK("https://open-school.uspishnemisto.com.ua/school/510047/", 510047)</f>
        <v>510047</v>
      </c>
      <c r="B9220" s="3" t="s">
        <v>47087</v>
      </c>
      <c r="C9220" s="3" t="s">
        <v>4989</v>
      </c>
      <c r="D9220" s="3" t="s">
        <v>32</v>
      </c>
      <c r="E9220" s="4" t="s">
        <v>22</v>
      </c>
      <c r="F9220" s="4" t="s">
        <v>46919</v>
      </c>
      <c r="G9220" s="4" t="s">
        <v>46909</v>
      </c>
      <c r="H9220" s="3" t="s">
        <v>46910</v>
      </c>
      <c r="I9220" s="3" t="s">
        <v>46911</v>
      </c>
      <c r="J9220" s="3" t="s">
        <v>47088</v>
      </c>
      <c r="K9220" s="3" t="s">
        <v>47089</v>
      </c>
      <c r="L9220" s="3" t="s">
        <v>47090</v>
      </c>
      <c r="M9220" s="4" t="s">
        <v>47091</v>
      </c>
      <c r="N9220" s="3" t="s">
        <v>37</v>
      </c>
      <c r="O9220" s="3" t="s">
        <v>10453</v>
      </c>
      <c r="P9220" s="5">
        <v>32</v>
      </c>
      <c r="Q9220" s="5">
        <v>837</v>
      </c>
      <c r="R9220" s="5">
        <v>32</v>
      </c>
      <c r="S9220" s="5">
        <v>829</v>
      </c>
    </row>
    <row r="9221" spans="1:19" ht="42" x14ac:dyDescent="0.15">
      <c r="A9221" s="2">
        <f>HYPERLINK("https://open-school.uspishnemisto.com.ua/school/510048/", 510048)</f>
        <v>510048</v>
      </c>
      <c r="B9221" s="3" t="s">
        <v>47092</v>
      </c>
      <c r="C9221" s="3" t="s">
        <v>181</v>
      </c>
      <c r="D9221" s="3" t="s">
        <v>175</v>
      </c>
      <c r="E9221" s="4" t="s">
        <v>22</v>
      </c>
      <c r="F9221" s="4" t="s">
        <v>46926</v>
      </c>
      <c r="G9221" s="4" t="s">
        <v>46909</v>
      </c>
      <c r="H9221" s="3" t="s">
        <v>46910</v>
      </c>
      <c r="I9221" s="3" t="s">
        <v>46911</v>
      </c>
      <c r="J9221" s="3" t="s">
        <v>47093</v>
      </c>
      <c r="K9221" s="3" t="s">
        <v>47094</v>
      </c>
      <c r="L9221" s="3"/>
      <c r="M9221" s="4" t="s">
        <v>47095</v>
      </c>
      <c r="N9221" s="3" t="s">
        <v>37</v>
      </c>
      <c r="O9221" s="3" t="s">
        <v>52</v>
      </c>
      <c r="P9221" s="5">
        <v>17</v>
      </c>
      <c r="Q9221" s="5">
        <v>128</v>
      </c>
      <c r="R9221" s="5">
        <v>17</v>
      </c>
      <c r="S9221" s="5">
        <v>137</v>
      </c>
    </row>
    <row r="9222" spans="1:19" ht="42" x14ac:dyDescent="0.15">
      <c r="A9222" s="2">
        <f>HYPERLINK("https://open-school.uspishnemisto.com.ua/school/510049/", 510049)</f>
        <v>510049</v>
      </c>
      <c r="B9222" s="3" t="s">
        <v>47096</v>
      </c>
      <c r="C9222" s="3" t="s">
        <v>174</v>
      </c>
      <c r="D9222" s="3" t="s">
        <v>175</v>
      </c>
      <c r="E9222" s="4" t="s">
        <v>22</v>
      </c>
      <c r="F9222" s="4" t="s">
        <v>46937</v>
      </c>
      <c r="G9222" s="4" t="s">
        <v>46909</v>
      </c>
      <c r="H9222" s="3" t="s">
        <v>46910</v>
      </c>
      <c r="I9222" s="3" t="s">
        <v>46911</v>
      </c>
      <c r="J9222" s="3" t="s">
        <v>46685</v>
      </c>
      <c r="K9222" s="3" t="s">
        <v>47097</v>
      </c>
      <c r="L9222" s="3" t="s">
        <v>47098</v>
      </c>
      <c r="M9222" s="4"/>
      <c r="N9222" s="3" t="s">
        <v>37</v>
      </c>
      <c r="O9222" s="3"/>
      <c r="P9222" s="5">
        <v>11</v>
      </c>
      <c r="Q9222" s="5">
        <v>163</v>
      </c>
      <c r="R9222" s="5">
        <v>11</v>
      </c>
      <c r="S9222" s="5">
        <v>152</v>
      </c>
    </row>
    <row r="9223" spans="1:19" ht="42" x14ac:dyDescent="0.15">
      <c r="A9223" s="2">
        <f>HYPERLINK("https://open-school.uspishnemisto.com.ua/school/510050/", 510050)</f>
        <v>510050</v>
      </c>
      <c r="B9223" s="3" t="s">
        <v>47099</v>
      </c>
      <c r="C9223" s="3" t="s">
        <v>7651</v>
      </c>
      <c r="D9223" s="3" t="s">
        <v>32</v>
      </c>
      <c r="E9223" s="4" t="s">
        <v>22</v>
      </c>
      <c r="F9223" s="4" t="s">
        <v>46996</v>
      </c>
      <c r="G9223" s="4" t="s">
        <v>46909</v>
      </c>
      <c r="H9223" s="3" t="s">
        <v>46910</v>
      </c>
      <c r="I9223" s="3" t="s">
        <v>46911</v>
      </c>
      <c r="J9223" s="3" t="s">
        <v>47100</v>
      </c>
      <c r="K9223" s="3" t="s">
        <v>47101</v>
      </c>
      <c r="L9223" s="3"/>
      <c r="M9223" s="4"/>
      <c r="N9223" s="3"/>
      <c r="O9223" s="3"/>
      <c r="P9223" s="5">
        <v>0</v>
      </c>
      <c r="Q9223" s="5">
        <v>0</v>
      </c>
      <c r="R9223" s="5"/>
      <c r="S9223" s="5"/>
    </row>
    <row r="9224" spans="1:19" ht="56" x14ac:dyDescent="0.15">
      <c r="A9224" s="2">
        <f>HYPERLINK("https://open-school.uspishnemisto.com.ua/school/510051/", 510051)</f>
        <v>510051</v>
      </c>
      <c r="B9224" s="3" t="s">
        <v>47102</v>
      </c>
      <c r="C9224" s="3" t="s">
        <v>174</v>
      </c>
      <c r="D9224" s="3" t="s">
        <v>60</v>
      </c>
      <c r="E9224" s="4" t="s">
        <v>22</v>
      </c>
      <c r="F9224" s="4" t="s">
        <v>47103</v>
      </c>
      <c r="G9224" s="4" t="s">
        <v>46909</v>
      </c>
      <c r="H9224" s="3" t="s">
        <v>46910</v>
      </c>
      <c r="I9224" s="3" t="s">
        <v>46911</v>
      </c>
      <c r="J9224" s="3" t="s">
        <v>47104</v>
      </c>
      <c r="K9224" s="3" t="s">
        <v>47105</v>
      </c>
      <c r="L9224" s="3"/>
      <c r="M9224" s="4"/>
      <c r="N9224" s="3" t="s">
        <v>128</v>
      </c>
      <c r="O9224" s="3" t="s">
        <v>38</v>
      </c>
      <c r="P9224" s="5">
        <v>6</v>
      </c>
      <c r="Q9224" s="5">
        <v>80</v>
      </c>
      <c r="R9224" s="5">
        <v>6</v>
      </c>
      <c r="S9224" s="5">
        <v>78</v>
      </c>
    </row>
    <row r="9225" spans="1:19" ht="42" x14ac:dyDescent="0.15">
      <c r="A9225" s="2">
        <f>HYPERLINK("https://open-school.uspishnemisto.com.ua/school/510052/", 510052)</f>
        <v>510052</v>
      </c>
      <c r="B9225" s="3" t="s">
        <v>47106</v>
      </c>
      <c r="C9225" s="3" t="s">
        <v>54</v>
      </c>
      <c r="D9225" s="3" t="s">
        <v>32</v>
      </c>
      <c r="E9225" s="4" t="s">
        <v>22</v>
      </c>
      <c r="F9225" s="4" t="s">
        <v>47107</v>
      </c>
      <c r="G9225" s="4" t="s">
        <v>46909</v>
      </c>
      <c r="H9225" s="3" t="s">
        <v>46910</v>
      </c>
      <c r="I9225" s="3" t="s">
        <v>46911</v>
      </c>
      <c r="J9225" s="3" t="s">
        <v>47108</v>
      </c>
      <c r="K9225" s="3" t="s">
        <v>47109</v>
      </c>
      <c r="L9225" s="3" t="s">
        <v>47110</v>
      </c>
      <c r="M9225" s="4"/>
      <c r="N9225" s="3" t="s">
        <v>128</v>
      </c>
      <c r="O9225" s="3" t="s">
        <v>13968</v>
      </c>
      <c r="P9225" s="5">
        <v>62</v>
      </c>
      <c r="Q9225" s="5">
        <v>1930</v>
      </c>
      <c r="R9225" s="5">
        <v>64</v>
      </c>
      <c r="S9225" s="5">
        <v>1947</v>
      </c>
    </row>
    <row r="9226" spans="1:19" ht="42" x14ac:dyDescent="0.15">
      <c r="A9226" s="2">
        <f>HYPERLINK("https://open-school.uspishnemisto.com.ua/school/510053/", 510053)</f>
        <v>510053</v>
      </c>
      <c r="B9226" s="3" t="s">
        <v>47111</v>
      </c>
      <c r="C9226" s="3" t="s">
        <v>54</v>
      </c>
      <c r="D9226" s="3" t="s">
        <v>32</v>
      </c>
      <c r="E9226" s="4" t="s">
        <v>22</v>
      </c>
      <c r="F9226" s="4" t="s">
        <v>47013</v>
      </c>
      <c r="G9226" s="4" t="s">
        <v>46909</v>
      </c>
      <c r="H9226" s="3" t="s">
        <v>46910</v>
      </c>
      <c r="I9226" s="3" t="s">
        <v>46911</v>
      </c>
      <c r="J9226" s="3" t="s">
        <v>47112</v>
      </c>
      <c r="K9226" s="3" t="s">
        <v>47113</v>
      </c>
      <c r="L9226" s="3" t="s">
        <v>47114</v>
      </c>
      <c r="M9226" s="4"/>
      <c r="N9226" s="3" t="s">
        <v>37</v>
      </c>
      <c r="O9226" s="3" t="s">
        <v>70</v>
      </c>
      <c r="P9226" s="5">
        <v>51</v>
      </c>
      <c r="Q9226" s="5">
        <v>1629</v>
      </c>
      <c r="R9226" s="5">
        <v>50</v>
      </c>
      <c r="S9226" s="5">
        <v>1583</v>
      </c>
    </row>
    <row r="9227" spans="1:19" ht="56" x14ac:dyDescent="0.15">
      <c r="A9227" s="2">
        <f>HYPERLINK("https://open-school.uspishnemisto.com.ua/school/510054/", 510054)</f>
        <v>510054</v>
      </c>
      <c r="B9227" s="3" t="s">
        <v>47115</v>
      </c>
      <c r="C9227" s="3" t="s">
        <v>54</v>
      </c>
      <c r="D9227" s="3" t="s">
        <v>32</v>
      </c>
      <c r="E9227" s="4" t="s">
        <v>41</v>
      </c>
      <c r="F9227" s="4" t="s">
        <v>46996</v>
      </c>
      <c r="G9227" s="4" t="s">
        <v>46909</v>
      </c>
      <c r="H9227" s="3" t="s">
        <v>46910</v>
      </c>
      <c r="I9227" s="3" t="s">
        <v>46911</v>
      </c>
      <c r="J9227" s="3" t="s">
        <v>47116</v>
      </c>
      <c r="K9227" s="3" t="s">
        <v>47117</v>
      </c>
      <c r="L9227" s="3"/>
      <c r="M9227" s="4"/>
      <c r="N9227" s="3" t="s">
        <v>967</v>
      </c>
      <c r="O9227" s="3" t="s">
        <v>8629</v>
      </c>
      <c r="P9227" s="5">
        <v>35</v>
      </c>
      <c r="Q9227" s="5">
        <v>274</v>
      </c>
      <c r="R9227" s="5">
        <v>36</v>
      </c>
      <c r="S9227" s="5">
        <v>282</v>
      </c>
    </row>
    <row r="9228" spans="1:19" ht="42" x14ac:dyDescent="0.15">
      <c r="A9228" s="2">
        <f>HYPERLINK("https://open-school.uspishnemisto.com.ua/school/510055/", 510055)</f>
        <v>510055</v>
      </c>
      <c r="B9228" s="3" t="s">
        <v>47118</v>
      </c>
      <c r="C9228" s="3" t="s">
        <v>54</v>
      </c>
      <c r="D9228" s="3" t="s">
        <v>32</v>
      </c>
      <c r="E9228" s="4" t="s">
        <v>41</v>
      </c>
      <c r="F9228" s="4" t="s">
        <v>46961</v>
      </c>
      <c r="G9228" s="4" t="s">
        <v>46909</v>
      </c>
      <c r="H9228" s="3" t="s">
        <v>46910</v>
      </c>
      <c r="I9228" s="3" t="s">
        <v>46911</v>
      </c>
      <c r="J9228" s="3" t="s">
        <v>47119</v>
      </c>
      <c r="K9228" s="3" t="s">
        <v>47120</v>
      </c>
      <c r="L9228" s="3"/>
      <c r="M9228" s="4"/>
      <c r="N9228" s="3" t="s">
        <v>967</v>
      </c>
      <c r="O9228" s="3" t="s">
        <v>8629</v>
      </c>
      <c r="P9228" s="5">
        <v>24</v>
      </c>
      <c r="Q9228" s="5">
        <v>205</v>
      </c>
      <c r="R9228" s="5">
        <v>28</v>
      </c>
      <c r="S9228" s="5">
        <v>192</v>
      </c>
    </row>
    <row r="9229" spans="1:19" ht="42" x14ac:dyDescent="0.15">
      <c r="A9229" s="2">
        <f>HYPERLINK("https://open-school.uspishnemisto.com.ua/school/510056/", 510056)</f>
        <v>510056</v>
      </c>
      <c r="B9229" s="3" t="s">
        <v>47121</v>
      </c>
      <c r="C9229" s="3" t="s">
        <v>54</v>
      </c>
      <c r="D9229" s="3" t="s">
        <v>32</v>
      </c>
      <c r="E9229" s="4" t="s">
        <v>41</v>
      </c>
      <c r="F9229" s="4" t="s">
        <v>47122</v>
      </c>
      <c r="G9229" s="4" t="s">
        <v>46909</v>
      </c>
      <c r="H9229" s="3" t="s">
        <v>46910</v>
      </c>
      <c r="I9229" s="3" t="s">
        <v>46911</v>
      </c>
      <c r="J9229" s="3" t="s">
        <v>47123</v>
      </c>
      <c r="K9229" s="3" t="s">
        <v>47124</v>
      </c>
      <c r="L9229" s="3"/>
      <c r="M9229" s="4"/>
      <c r="N9229" s="3" t="s">
        <v>967</v>
      </c>
      <c r="O9229" s="3" t="s">
        <v>46</v>
      </c>
      <c r="P9229" s="5">
        <v>15</v>
      </c>
      <c r="Q9229" s="5">
        <v>171</v>
      </c>
      <c r="R9229" s="5">
        <v>15</v>
      </c>
      <c r="S9229" s="5">
        <v>168</v>
      </c>
    </row>
    <row r="9230" spans="1:19" ht="42" x14ac:dyDescent="0.15">
      <c r="A9230" s="2">
        <f>HYPERLINK("https://open-school.uspishnemisto.com.ua/school/510057/", 510057)</f>
        <v>510057</v>
      </c>
      <c r="B9230" s="3" t="s">
        <v>47125</v>
      </c>
      <c r="C9230" s="3" t="s">
        <v>54</v>
      </c>
      <c r="D9230" s="3" t="s">
        <v>32</v>
      </c>
      <c r="E9230" s="4" t="s">
        <v>41</v>
      </c>
      <c r="F9230" s="4"/>
      <c r="G9230" s="4" t="s">
        <v>46909</v>
      </c>
      <c r="H9230" s="3" t="s">
        <v>46910</v>
      </c>
      <c r="I9230" s="3" t="s">
        <v>46911</v>
      </c>
      <c r="J9230" s="3"/>
      <c r="K9230" s="3"/>
      <c r="L9230" s="3"/>
      <c r="M9230" s="4"/>
      <c r="N9230" s="3"/>
      <c r="O9230" s="3"/>
      <c r="P9230" s="5">
        <v>0</v>
      </c>
      <c r="Q9230" s="5">
        <v>0</v>
      </c>
      <c r="R9230" s="5">
        <v>0</v>
      </c>
      <c r="S9230" s="5">
        <v>0</v>
      </c>
    </row>
    <row r="9231" spans="1:19" ht="42" x14ac:dyDescent="0.15">
      <c r="A9231" s="2">
        <f>HYPERLINK("https://open-school.uspishnemisto.com.ua/school/510058/", 510058)</f>
        <v>510058</v>
      </c>
      <c r="B9231" s="3" t="s">
        <v>47126</v>
      </c>
      <c r="C9231" s="3" t="s">
        <v>54</v>
      </c>
      <c r="D9231" s="3" t="s">
        <v>32</v>
      </c>
      <c r="E9231" s="4" t="s">
        <v>41</v>
      </c>
      <c r="F9231" s="4" t="s">
        <v>46956</v>
      </c>
      <c r="G9231" s="4" t="s">
        <v>46909</v>
      </c>
      <c r="H9231" s="3" t="s">
        <v>46910</v>
      </c>
      <c r="I9231" s="3" t="s">
        <v>46911</v>
      </c>
      <c r="J9231" s="3" t="s">
        <v>47127</v>
      </c>
      <c r="K9231" s="3" t="s">
        <v>47128</v>
      </c>
      <c r="L9231" s="3"/>
      <c r="M9231" s="4"/>
      <c r="N9231" s="3" t="s">
        <v>967</v>
      </c>
      <c r="O9231" s="3" t="s">
        <v>46</v>
      </c>
      <c r="P9231" s="5">
        <v>15</v>
      </c>
      <c r="Q9231" s="5">
        <v>159</v>
      </c>
      <c r="R9231" s="5">
        <v>15</v>
      </c>
      <c r="S9231" s="5">
        <v>138</v>
      </c>
    </row>
    <row r="9232" spans="1:19" ht="56" x14ac:dyDescent="0.15">
      <c r="A9232" s="2">
        <f>HYPERLINK("https://open-school.uspishnemisto.com.ua/school/510059/", 510059)</f>
        <v>510059</v>
      </c>
      <c r="B9232" s="3" t="s">
        <v>47129</v>
      </c>
      <c r="C9232" s="3" t="s">
        <v>174</v>
      </c>
      <c r="D9232" s="3" t="s">
        <v>60</v>
      </c>
      <c r="E9232" s="4" t="s">
        <v>22</v>
      </c>
      <c r="F9232" s="4" t="s">
        <v>47034</v>
      </c>
      <c r="G9232" s="4" t="s">
        <v>46909</v>
      </c>
      <c r="H9232" s="3" t="s">
        <v>46910</v>
      </c>
      <c r="I9232" s="3" t="s">
        <v>46911</v>
      </c>
      <c r="J9232" s="3" t="s">
        <v>47130</v>
      </c>
      <c r="K9232" s="3" t="s">
        <v>47131</v>
      </c>
      <c r="L9232" s="3"/>
      <c r="M9232" s="4"/>
      <c r="N9232" s="3" t="s">
        <v>967</v>
      </c>
      <c r="O9232" s="3" t="s">
        <v>52</v>
      </c>
      <c r="P9232" s="5">
        <v>4</v>
      </c>
      <c r="Q9232" s="5">
        <v>49</v>
      </c>
      <c r="R9232" s="5">
        <v>4</v>
      </c>
      <c r="S9232" s="5">
        <v>52</v>
      </c>
    </row>
    <row r="9233" spans="1:19" ht="42" x14ac:dyDescent="0.15">
      <c r="A9233" s="2">
        <f>HYPERLINK("https://open-school.uspishnemisto.com.ua/school/510060/", 510060)</f>
        <v>510060</v>
      </c>
      <c r="B9233" s="3" t="s">
        <v>47132</v>
      </c>
      <c r="C9233" s="3" t="s">
        <v>188</v>
      </c>
      <c r="D9233" s="3" t="s">
        <v>32</v>
      </c>
      <c r="E9233" s="4" t="s">
        <v>22</v>
      </c>
      <c r="F9233" s="4" t="s">
        <v>47133</v>
      </c>
      <c r="G9233" s="4" t="s">
        <v>46909</v>
      </c>
      <c r="H9233" s="3" t="s">
        <v>46910</v>
      </c>
      <c r="I9233" s="3" t="s">
        <v>46911</v>
      </c>
      <c r="J9233" s="3" t="s">
        <v>47134</v>
      </c>
      <c r="K9233" s="3" t="s">
        <v>47135</v>
      </c>
      <c r="L9233" s="3" t="s">
        <v>47136</v>
      </c>
      <c r="M9233" s="4"/>
      <c r="N9233" s="3" t="s">
        <v>37</v>
      </c>
      <c r="O9233" s="3" t="s">
        <v>38</v>
      </c>
      <c r="P9233" s="5">
        <v>13</v>
      </c>
      <c r="Q9233" s="5">
        <v>326</v>
      </c>
      <c r="R9233" s="5">
        <v>12</v>
      </c>
      <c r="S9233" s="5">
        <v>288</v>
      </c>
    </row>
    <row r="9234" spans="1:19" ht="28" x14ac:dyDescent="0.15">
      <c r="A9234" s="2">
        <f>HYPERLINK("https://open-school.uspishnemisto.com.ua/school/510061/", 510061)</f>
        <v>510061</v>
      </c>
      <c r="B9234" s="3" t="s">
        <v>47137</v>
      </c>
      <c r="C9234" s="3" t="s">
        <v>31</v>
      </c>
      <c r="D9234" s="3" t="s">
        <v>32</v>
      </c>
      <c r="E9234" s="4" t="s">
        <v>41</v>
      </c>
      <c r="F9234" s="4" t="s">
        <v>46956</v>
      </c>
      <c r="G9234" s="4" t="s">
        <v>46909</v>
      </c>
      <c r="H9234" s="3" t="s">
        <v>46910</v>
      </c>
      <c r="I9234" s="3" t="s">
        <v>46911</v>
      </c>
      <c r="J9234" s="3" t="s">
        <v>47138</v>
      </c>
      <c r="K9234" s="3" t="s">
        <v>47139</v>
      </c>
      <c r="L9234" s="3"/>
      <c r="M9234" s="4"/>
      <c r="N9234" s="3" t="s">
        <v>967</v>
      </c>
      <c r="O9234" s="3" t="s">
        <v>123</v>
      </c>
      <c r="P9234" s="5">
        <v>11</v>
      </c>
      <c r="Q9234" s="5">
        <v>109</v>
      </c>
      <c r="R9234" s="5">
        <v>11</v>
      </c>
      <c r="S9234" s="5">
        <v>102</v>
      </c>
    </row>
    <row r="9235" spans="1:19" ht="28" x14ac:dyDescent="0.15">
      <c r="A9235" s="2">
        <f>HYPERLINK("https://open-school.uspishnemisto.com.ua/school/510063/", 510063)</f>
        <v>510063</v>
      </c>
      <c r="B9235" s="3" t="s">
        <v>47140</v>
      </c>
      <c r="C9235" s="3" t="s">
        <v>181</v>
      </c>
      <c r="D9235" s="3" t="s">
        <v>175</v>
      </c>
      <c r="E9235" s="4" t="s">
        <v>22</v>
      </c>
      <c r="F9235" s="4" t="s">
        <v>46926</v>
      </c>
      <c r="G9235" s="4" t="s">
        <v>46909</v>
      </c>
      <c r="H9235" s="3" t="s">
        <v>46910</v>
      </c>
      <c r="I9235" s="3" t="s">
        <v>46911</v>
      </c>
      <c r="J9235" s="3" t="s">
        <v>19901</v>
      </c>
      <c r="K9235" s="3" t="s">
        <v>47141</v>
      </c>
      <c r="L9235" s="3"/>
      <c r="M9235" s="4" t="s">
        <v>47142</v>
      </c>
      <c r="N9235" s="3" t="s">
        <v>37</v>
      </c>
      <c r="O9235" s="3"/>
      <c r="P9235" s="5">
        <v>20</v>
      </c>
      <c r="Q9235" s="5">
        <v>196</v>
      </c>
      <c r="R9235" s="5">
        <v>20</v>
      </c>
      <c r="S9235" s="5">
        <v>189</v>
      </c>
    </row>
    <row r="9236" spans="1:19" ht="28" x14ac:dyDescent="0.15">
      <c r="A9236" s="2">
        <f>HYPERLINK("https://open-school.uspishnemisto.com.ua/school/510089/", 510089)</f>
        <v>510089</v>
      </c>
      <c r="B9236" s="3" t="s">
        <v>47143</v>
      </c>
      <c r="C9236" s="3" t="s">
        <v>20</v>
      </c>
      <c r="D9236" s="3" t="s">
        <v>21</v>
      </c>
      <c r="E9236" s="4" t="s">
        <v>22</v>
      </c>
      <c r="F9236" s="4" t="s">
        <v>46952</v>
      </c>
      <c r="G9236" s="4" t="s">
        <v>46909</v>
      </c>
      <c r="H9236" s="3" t="s">
        <v>46910</v>
      </c>
      <c r="I9236" s="3" t="s">
        <v>46911</v>
      </c>
      <c r="J9236" s="3" t="s">
        <v>47144</v>
      </c>
      <c r="K9236" s="3" t="s">
        <v>47145</v>
      </c>
      <c r="L9236" s="3" t="s">
        <v>47146</v>
      </c>
      <c r="M9236" s="4"/>
      <c r="N9236" s="3"/>
      <c r="O9236" s="3"/>
      <c r="P9236" s="5">
        <v>0</v>
      </c>
      <c r="Q9236" s="5">
        <v>0</v>
      </c>
      <c r="R9236" s="5"/>
      <c r="S9236" s="5"/>
    </row>
    <row r="9237" spans="1:19" ht="42" x14ac:dyDescent="0.15">
      <c r="A9237" s="2">
        <f>HYPERLINK("https://open-school.uspishnemisto.com.ua/school/510151/", 510151)</f>
        <v>510151</v>
      </c>
      <c r="B9237" s="3" t="s">
        <v>47147</v>
      </c>
      <c r="C9237" s="3" t="s">
        <v>54</v>
      </c>
      <c r="D9237" s="3" t="s">
        <v>60</v>
      </c>
      <c r="E9237" s="4" t="s">
        <v>22</v>
      </c>
      <c r="F9237" s="4" t="s">
        <v>47148</v>
      </c>
      <c r="G9237" s="4" t="s">
        <v>46909</v>
      </c>
      <c r="H9237" s="3" t="s">
        <v>46910</v>
      </c>
      <c r="I9237" s="3" t="s">
        <v>46911</v>
      </c>
      <c r="J9237" s="3" t="s">
        <v>47149</v>
      </c>
      <c r="K9237" s="3" t="s">
        <v>47150</v>
      </c>
      <c r="L9237" s="3"/>
      <c r="M9237" s="4"/>
      <c r="N9237" s="3" t="s">
        <v>37</v>
      </c>
      <c r="O9237" s="3" t="s">
        <v>38</v>
      </c>
      <c r="P9237" s="5">
        <v>5</v>
      </c>
      <c r="Q9237" s="5">
        <v>136</v>
      </c>
      <c r="R9237" s="5">
        <v>4</v>
      </c>
      <c r="S9237" s="5">
        <v>118</v>
      </c>
    </row>
    <row r="9238" spans="1:19" ht="28" x14ac:dyDescent="0.15">
      <c r="A9238" s="2">
        <f>HYPERLINK("https://open-school.uspishnemisto.com.ua/school/510025/", 510025)</f>
        <v>510025</v>
      </c>
      <c r="B9238" s="3" t="s">
        <v>47151</v>
      </c>
      <c r="C9238" s="3" t="s">
        <v>31</v>
      </c>
      <c r="D9238" s="3" t="s">
        <v>32</v>
      </c>
      <c r="E9238" s="4" t="s">
        <v>22</v>
      </c>
      <c r="F9238" s="4" t="s">
        <v>47047</v>
      </c>
      <c r="G9238" s="4" t="s">
        <v>47152</v>
      </c>
      <c r="H9238" s="3" t="s">
        <v>46910</v>
      </c>
      <c r="I9238" s="3" t="s">
        <v>47153</v>
      </c>
      <c r="J9238" s="3" t="s">
        <v>47154</v>
      </c>
      <c r="K9238" s="3"/>
      <c r="L9238" s="3"/>
      <c r="M9238" s="4"/>
      <c r="N9238" s="3" t="s">
        <v>128</v>
      </c>
      <c r="O9238" s="3" t="s">
        <v>38</v>
      </c>
      <c r="P9238" s="5">
        <v>29</v>
      </c>
      <c r="Q9238" s="5">
        <v>779</v>
      </c>
      <c r="R9238" s="5">
        <v>28</v>
      </c>
      <c r="S9238" s="5">
        <v>745</v>
      </c>
    </row>
    <row r="9239" spans="1:19" ht="28" x14ac:dyDescent="0.15">
      <c r="A9239" s="2">
        <f>HYPERLINK("https://open-school.uspishnemisto.com.ua/school/510062/", 510062)</f>
        <v>510062</v>
      </c>
      <c r="B9239" s="3" t="s">
        <v>47155</v>
      </c>
      <c r="C9239" s="3" t="s">
        <v>188</v>
      </c>
      <c r="D9239" s="3" t="s">
        <v>32</v>
      </c>
      <c r="E9239" s="4" t="s">
        <v>253</v>
      </c>
      <c r="F9239" s="4" t="s">
        <v>47156</v>
      </c>
      <c r="G9239" s="4" t="s">
        <v>47152</v>
      </c>
      <c r="H9239" s="3" t="s">
        <v>46910</v>
      </c>
      <c r="I9239" s="3" t="s">
        <v>47153</v>
      </c>
      <c r="J9239" s="3" t="s">
        <v>47157</v>
      </c>
      <c r="K9239" s="3" t="s">
        <v>47158</v>
      </c>
      <c r="L9239" s="3" t="s">
        <v>47159</v>
      </c>
      <c r="M9239" s="4" t="s">
        <v>47160</v>
      </c>
      <c r="N9239" s="3" t="s">
        <v>37</v>
      </c>
      <c r="O9239" s="3" t="s">
        <v>52</v>
      </c>
      <c r="P9239" s="5">
        <v>7</v>
      </c>
      <c r="Q9239" s="5">
        <v>134</v>
      </c>
      <c r="R9239" s="5">
        <v>7</v>
      </c>
      <c r="S9239" s="5">
        <v>158</v>
      </c>
    </row>
    <row r="9240" spans="1:19" ht="28" x14ac:dyDescent="0.15">
      <c r="A9240" s="2">
        <f>HYPERLINK("https://open-school.uspishnemisto.com.ua/school/510064/", 510064)</f>
        <v>510064</v>
      </c>
      <c r="B9240" s="3" t="s">
        <v>47161</v>
      </c>
      <c r="C9240" s="3" t="s">
        <v>2634</v>
      </c>
      <c r="D9240" s="3" t="s">
        <v>175</v>
      </c>
      <c r="E9240" s="4" t="s">
        <v>22</v>
      </c>
      <c r="F9240" s="4" t="s">
        <v>47047</v>
      </c>
      <c r="G9240" s="4" t="s">
        <v>47152</v>
      </c>
      <c r="H9240" s="3" t="s">
        <v>46910</v>
      </c>
      <c r="I9240" s="3" t="s">
        <v>47153</v>
      </c>
      <c r="J9240" s="3" t="s">
        <v>47162</v>
      </c>
      <c r="K9240" s="3"/>
      <c r="L9240" s="3"/>
      <c r="M9240" s="4" t="s">
        <v>47163</v>
      </c>
      <c r="N9240" s="3" t="s">
        <v>37</v>
      </c>
      <c r="O9240" s="3" t="s">
        <v>38</v>
      </c>
      <c r="P9240" s="5">
        <v>9</v>
      </c>
      <c r="Q9240" s="5">
        <v>152</v>
      </c>
      <c r="R9240" s="5">
        <v>9</v>
      </c>
      <c r="S9240" s="5">
        <v>158</v>
      </c>
    </row>
    <row r="9241" spans="1:19" ht="28" x14ac:dyDescent="0.15">
      <c r="A9241" s="2">
        <f>HYPERLINK("https://open-school.uspishnemisto.com.ua/school/510065/", 510065)</f>
        <v>510065</v>
      </c>
      <c r="B9241" s="3" t="s">
        <v>47164</v>
      </c>
      <c r="C9241" s="3" t="s">
        <v>181</v>
      </c>
      <c r="D9241" s="3" t="s">
        <v>32</v>
      </c>
      <c r="E9241" s="4" t="s">
        <v>22</v>
      </c>
      <c r="F9241" s="4" t="s">
        <v>46926</v>
      </c>
      <c r="G9241" s="4" t="s">
        <v>47152</v>
      </c>
      <c r="H9241" s="3" t="s">
        <v>46910</v>
      </c>
      <c r="I9241" s="3" t="s">
        <v>47153</v>
      </c>
      <c r="J9241" s="3" t="s">
        <v>47165</v>
      </c>
      <c r="K9241" s="3" t="s">
        <v>47166</v>
      </c>
      <c r="L9241" s="3"/>
      <c r="M9241" s="4" t="s">
        <v>47167</v>
      </c>
      <c r="N9241" s="3" t="s">
        <v>37</v>
      </c>
      <c r="O9241" s="3" t="s">
        <v>52</v>
      </c>
      <c r="P9241" s="5">
        <v>15</v>
      </c>
      <c r="Q9241" s="5">
        <v>106</v>
      </c>
      <c r="R9241" s="5">
        <v>16</v>
      </c>
      <c r="S9241" s="5">
        <v>108</v>
      </c>
    </row>
    <row r="9242" spans="1:19" ht="28" x14ac:dyDescent="0.15">
      <c r="A9242" s="2">
        <f>HYPERLINK("https://open-school.uspishnemisto.com.ua/school/510066/", 510066)</f>
        <v>510066</v>
      </c>
      <c r="B9242" s="3" t="s">
        <v>47168</v>
      </c>
      <c r="C9242" s="3" t="s">
        <v>181</v>
      </c>
      <c r="D9242" s="3" t="s">
        <v>175</v>
      </c>
      <c r="E9242" s="4" t="s">
        <v>22</v>
      </c>
      <c r="F9242" s="4" t="s">
        <v>46915</v>
      </c>
      <c r="G9242" s="4" t="s">
        <v>47152</v>
      </c>
      <c r="H9242" s="3" t="s">
        <v>46910</v>
      </c>
      <c r="I9242" s="3" t="s">
        <v>47153</v>
      </c>
      <c r="J9242" s="3" t="s">
        <v>47169</v>
      </c>
      <c r="K9242" s="3" t="s">
        <v>47170</v>
      </c>
      <c r="L9242" s="3"/>
      <c r="M9242" s="4" t="s">
        <v>47171</v>
      </c>
      <c r="N9242" s="3" t="s">
        <v>37</v>
      </c>
      <c r="O9242" s="3" t="s">
        <v>52</v>
      </c>
      <c r="P9242" s="5">
        <v>14</v>
      </c>
      <c r="Q9242" s="5">
        <v>112</v>
      </c>
      <c r="R9242" s="5">
        <v>13</v>
      </c>
      <c r="S9242" s="5">
        <v>103</v>
      </c>
    </row>
    <row r="9243" spans="1:19" ht="28" x14ac:dyDescent="0.15">
      <c r="A9243" s="2">
        <f>HYPERLINK("https://open-school.uspishnemisto.com.ua/school/510067/", 510067)</f>
        <v>510067</v>
      </c>
      <c r="B9243" s="3" t="s">
        <v>47172</v>
      </c>
      <c r="C9243" s="3" t="s">
        <v>181</v>
      </c>
      <c r="D9243" s="3" t="s">
        <v>175</v>
      </c>
      <c r="E9243" s="4" t="s">
        <v>22</v>
      </c>
      <c r="F9243" s="4" t="s">
        <v>46915</v>
      </c>
      <c r="G9243" s="4" t="s">
        <v>47152</v>
      </c>
      <c r="H9243" s="3" t="s">
        <v>46910</v>
      </c>
      <c r="I9243" s="3" t="s">
        <v>47153</v>
      </c>
      <c r="J9243" s="3" t="s">
        <v>47173</v>
      </c>
      <c r="K9243" s="3"/>
      <c r="L9243" s="3"/>
      <c r="M9243" s="4" t="s">
        <v>47174</v>
      </c>
      <c r="N9243" s="3" t="s">
        <v>37</v>
      </c>
      <c r="O9243" s="3" t="s">
        <v>38</v>
      </c>
      <c r="P9243" s="5">
        <v>15</v>
      </c>
      <c r="Q9243" s="5">
        <v>155</v>
      </c>
      <c r="R9243" s="5">
        <v>16</v>
      </c>
      <c r="S9243" s="5">
        <v>158</v>
      </c>
    </row>
    <row r="9244" spans="1:19" ht="56" x14ac:dyDescent="0.15">
      <c r="A9244" s="2">
        <f>HYPERLINK("https://open-school.uspishnemisto.com.ua/school/510068/", 510068)</f>
        <v>510068</v>
      </c>
      <c r="B9244" s="3" t="s">
        <v>47175</v>
      </c>
      <c r="C9244" s="3" t="s">
        <v>54</v>
      </c>
      <c r="D9244" s="3" t="s">
        <v>32</v>
      </c>
      <c r="E9244" s="4" t="s">
        <v>41</v>
      </c>
      <c r="F9244" s="4" t="s">
        <v>47176</v>
      </c>
      <c r="G9244" s="4" t="s">
        <v>47152</v>
      </c>
      <c r="H9244" s="3" t="s">
        <v>46910</v>
      </c>
      <c r="I9244" s="3" t="s">
        <v>47153</v>
      </c>
      <c r="J9244" s="3" t="s">
        <v>47177</v>
      </c>
      <c r="K9244" s="3" t="s">
        <v>47178</v>
      </c>
      <c r="L9244" s="3" t="s">
        <v>47179</v>
      </c>
      <c r="M9244" s="4"/>
      <c r="N9244" s="3" t="s">
        <v>967</v>
      </c>
      <c r="O9244" s="3" t="s">
        <v>123</v>
      </c>
      <c r="P9244" s="5">
        <v>18</v>
      </c>
      <c r="Q9244" s="5">
        <v>300</v>
      </c>
      <c r="R9244" s="5">
        <v>19</v>
      </c>
      <c r="S9244" s="5">
        <v>312</v>
      </c>
    </row>
    <row r="9245" spans="1:19" ht="28" x14ac:dyDescent="0.15">
      <c r="A9245" s="2">
        <f>HYPERLINK("https://open-school.uspishnemisto.com.ua/school/510069/", 510069)</f>
        <v>510069</v>
      </c>
      <c r="B9245" s="3" t="s">
        <v>47180</v>
      </c>
      <c r="C9245" s="3" t="s">
        <v>40</v>
      </c>
      <c r="D9245" s="3" t="s">
        <v>32</v>
      </c>
      <c r="E9245" s="4" t="s">
        <v>22</v>
      </c>
      <c r="F9245" s="4" t="s">
        <v>47122</v>
      </c>
      <c r="G9245" s="4" t="s">
        <v>47152</v>
      </c>
      <c r="H9245" s="3" t="s">
        <v>46910</v>
      </c>
      <c r="I9245" s="3" t="s">
        <v>47153</v>
      </c>
      <c r="J9245" s="3" t="s">
        <v>47181</v>
      </c>
      <c r="K9245" s="3"/>
      <c r="L9245" s="3" t="s">
        <v>47182</v>
      </c>
      <c r="M9245" s="4"/>
      <c r="N9245" s="3" t="s">
        <v>37</v>
      </c>
      <c r="O9245" s="3" t="s">
        <v>70</v>
      </c>
      <c r="P9245" s="5">
        <v>27</v>
      </c>
      <c r="Q9245" s="5">
        <v>852</v>
      </c>
      <c r="R9245" s="5">
        <v>26</v>
      </c>
      <c r="S9245" s="5">
        <v>827</v>
      </c>
    </row>
    <row r="9246" spans="1:19" ht="28" x14ac:dyDescent="0.15">
      <c r="A9246" s="2">
        <f>HYPERLINK("https://open-school.uspishnemisto.com.ua/school/510070/", 510070)</f>
        <v>510070</v>
      </c>
      <c r="B9246" s="3" t="s">
        <v>47183</v>
      </c>
      <c r="C9246" s="3" t="s">
        <v>31</v>
      </c>
      <c r="D9246" s="3" t="s">
        <v>32</v>
      </c>
      <c r="E9246" s="4" t="s">
        <v>22</v>
      </c>
      <c r="F9246" s="4" t="s">
        <v>46981</v>
      </c>
      <c r="G9246" s="4" t="s">
        <v>47152</v>
      </c>
      <c r="H9246" s="3" t="s">
        <v>46910</v>
      </c>
      <c r="I9246" s="3" t="s">
        <v>47153</v>
      </c>
      <c r="J9246" s="3" t="s">
        <v>47184</v>
      </c>
      <c r="K9246" s="3" t="s">
        <v>47185</v>
      </c>
      <c r="L9246" s="3" t="s">
        <v>47186</v>
      </c>
      <c r="M9246" s="4"/>
      <c r="N9246" s="3" t="s">
        <v>128</v>
      </c>
      <c r="O9246" s="3" t="s">
        <v>70</v>
      </c>
      <c r="P9246" s="5">
        <v>38</v>
      </c>
      <c r="Q9246" s="5">
        <v>1243</v>
      </c>
      <c r="R9246" s="5">
        <v>37</v>
      </c>
      <c r="S9246" s="5">
        <v>1187</v>
      </c>
    </row>
    <row r="9247" spans="1:19" ht="28" x14ac:dyDescent="0.15">
      <c r="A9247" s="2">
        <f>HYPERLINK("https://open-school.uspishnemisto.com.ua/school/510071/", 510071)</f>
        <v>510071</v>
      </c>
      <c r="B9247" s="3" t="s">
        <v>47187</v>
      </c>
      <c r="C9247" s="3" t="s">
        <v>31</v>
      </c>
      <c r="D9247" s="3" t="s">
        <v>32</v>
      </c>
      <c r="E9247" s="4" t="s">
        <v>22</v>
      </c>
      <c r="F9247" s="4" t="s">
        <v>46948</v>
      </c>
      <c r="G9247" s="4" t="s">
        <v>47152</v>
      </c>
      <c r="H9247" s="3" t="s">
        <v>46910</v>
      </c>
      <c r="I9247" s="3" t="s">
        <v>47153</v>
      </c>
      <c r="J9247" s="3" t="s">
        <v>47188</v>
      </c>
      <c r="K9247" s="3" t="s">
        <v>47189</v>
      </c>
      <c r="L9247" s="3"/>
      <c r="M9247" s="4"/>
      <c r="N9247" s="3" t="s">
        <v>128</v>
      </c>
      <c r="O9247" s="3" t="s">
        <v>38</v>
      </c>
      <c r="P9247" s="5">
        <v>42</v>
      </c>
      <c r="Q9247" s="5">
        <v>1147</v>
      </c>
      <c r="R9247" s="5">
        <v>39</v>
      </c>
      <c r="S9247" s="5">
        <v>1109</v>
      </c>
    </row>
    <row r="9248" spans="1:19" ht="28" x14ac:dyDescent="0.15">
      <c r="A9248" s="2">
        <f>HYPERLINK("https://open-school.uspishnemisto.com.ua/school/510072/", 510072)</f>
        <v>510072</v>
      </c>
      <c r="B9248" s="3" t="s">
        <v>47190</v>
      </c>
      <c r="C9248" s="3" t="s">
        <v>31</v>
      </c>
      <c r="D9248" s="3" t="s">
        <v>32</v>
      </c>
      <c r="E9248" s="4" t="s">
        <v>22</v>
      </c>
      <c r="F9248" s="4" t="s">
        <v>47176</v>
      </c>
      <c r="G9248" s="4" t="s">
        <v>47152</v>
      </c>
      <c r="H9248" s="3" t="s">
        <v>46910</v>
      </c>
      <c r="I9248" s="3" t="s">
        <v>47153</v>
      </c>
      <c r="J9248" s="3" t="s">
        <v>47191</v>
      </c>
      <c r="K9248" s="3" t="s">
        <v>47192</v>
      </c>
      <c r="L9248" s="3"/>
      <c r="M9248" s="4"/>
      <c r="N9248" s="3" t="s">
        <v>128</v>
      </c>
      <c r="O9248" s="3" t="s">
        <v>721</v>
      </c>
      <c r="P9248" s="5">
        <v>44</v>
      </c>
      <c r="Q9248" s="5">
        <v>1346</v>
      </c>
      <c r="R9248" s="5">
        <v>41</v>
      </c>
      <c r="S9248" s="5">
        <v>1250</v>
      </c>
    </row>
    <row r="9249" spans="1:19" ht="28" x14ac:dyDescent="0.15">
      <c r="A9249" s="2">
        <f>HYPERLINK("https://open-school.uspishnemisto.com.ua/school/510073/", 510073)</f>
        <v>510073</v>
      </c>
      <c r="B9249" s="3" t="s">
        <v>47193</v>
      </c>
      <c r="C9249" s="3" t="s">
        <v>31</v>
      </c>
      <c r="D9249" s="3" t="s">
        <v>32</v>
      </c>
      <c r="E9249" s="4" t="s">
        <v>22</v>
      </c>
      <c r="F9249" s="4" t="s">
        <v>47084</v>
      </c>
      <c r="G9249" s="4" t="s">
        <v>47152</v>
      </c>
      <c r="H9249" s="3" t="s">
        <v>46910</v>
      </c>
      <c r="I9249" s="3" t="s">
        <v>47153</v>
      </c>
      <c r="J9249" s="3" t="s">
        <v>47194</v>
      </c>
      <c r="K9249" s="3" t="s">
        <v>47195</v>
      </c>
      <c r="L9249" s="3"/>
      <c r="M9249" s="4"/>
      <c r="N9249" s="3" t="s">
        <v>967</v>
      </c>
      <c r="O9249" s="3" t="s">
        <v>46</v>
      </c>
      <c r="P9249" s="5">
        <v>35</v>
      </c>
      <c r="Q9249" s="5">
        <v>973</v>
      </c>
      <c r="R9249" s="5">
        <v>37</v>
      </c>
      <c r="S9249" s="5">
        <v>977</v>
      </c>
    </row>
    <row r="9250" spans="1:19" ht="28" x14ac:dyDescent="0.15">
      <c r="A9250" s="2">
        <f>HYPERLINK("https://open-school.uspishnemisto.com.ua/school/510074/", 510074)</f>
        <v>510074</v>
      </c>
      <c r="B9250" s="3" t="s">
        <v>47196</v>
      </c>
      <c r="C9250" s="3" t="s">
        <v>31</v>
      </c>
      <c r="D9250" s="3" t="s">
        <v>32</v>
      </c>
      <c r="E9250" s="4" t="s">
        <v>22</v>
      </c>
      <c r="F9250" s="4" t="s">
        <v>47176</v>
      </c>
      <c r="G9250" s="4" t="s">
        <v>47152</v>
      </c>
      <c r="H9250" s="3" t="s">
        <v>46910</v>
      </c>
      <c r="I9250" s="3" t="s">
        <v>47153</v>
      </c>
      <c r="J9250" s="3" t="s">
        <v>47197</v>
      </c>
      <c r="K9250" s="3" t="s">
        <v>47198</v>
      </c>
      <c r="L9250" s="3" t="s">
        <v>47199</v>
      </c>
      <c r="M9250" s="4"/>
      <c r="N9250" s="3" t="s">
        <v>967</v>
      </c>
      <c r="O9250" s="3" t="s">
        <v>2740</v>
      </c>
      <c r="P9250" s="5">
        <v>56</v>
      </c>
      <c r="Q9250" s="5">
        <v>1674</v>
      </c>
      <c r="R9250" s="5">
        <v>54</v>
      </c>
      <c r="S9250" s="5">
        <v>1623</v>
      </c>
    </row>
    <row r="9251" spans="1:19" ht="28" x14ac:dyDescent="0.15">
      <c r="A9251" s="2">
        <f>HYPERLINK("https://open-school.uspishnemisto.com.ua/school/510075/", 510075)</f>
        <v>510075</v>
      </c>
      <c r="B9251" s="3" t="s">
        <v>47200</v>
      </c>
      <c r="C9251" s="3" t="s">
        <v>31</v>
      </c>
      <c r="D9251" s="3" t="s">
        <v>32</v>
      </c>
      <c r="E9251" s="4" t="s">
        <v>22</v>
      </c>
      <c r="F9251" s="4" t="s">
        <v>47122</v>
      </c>
      <c r="G9251" s="4" t="s">
        <v>47152</v>
      </c>
      <c r="H9251" s="3" t="s">
        <v>46910</v>
      </c>
      <c r="I9251" s="3" t="s">
        <v>47153</v>
      </c>
      <c r="J9251" s="3" t="s">
        <v>47201</v>
      </c>
      <c r="K9251" s="3" t="s">
        <v>47202</v>
      </c>
      <c r="L9251" s="3"/>
      <c r="M9251" s="4"/>
      <c r="N9251" s="3" t="s">
        <v>128</v>
      </c>
      <c r="O9251" s="3" t="s">
        <v>70</v>
      </c>
      <c r="P9251" s="5">
        <v>30</v>
      </c>
      <c r="Q9251" s="5">
        <v>793</v>
      </c>
      <c r="R9251" s="5">
        <v>29</v>
      </c>
      <c r="S9251" s="5">
        <v>771</v>
      </c>
    </row>
    <row r="9252" spans="1:19" ht="28" x14ac:dyDescent="0.15">
      <c r="A9252" s="2">
        <f>HYPERLINK("https://open-school.uspishnemisto.com.ua/school/510076/", 510076)</f>
        <v>510076</v>
      </c>
      <c r="B9252" s="3" t="s">
        <v>47203</v>
      </c>
      <c r="C9252" s="3" t="s">
        <v>31</v>
      </c>
      <c r="D9252" s="3" t="s">
        <v>32</v>
      </c>
      <c r="E9252" s="4" t="s">
        <v>22</v>
      </c>
      <c r="F9252" s="4" t="s">
        <v>46926</v>
      </c>
      <c r="G9252" s="4" t="s">
        <v>47152</v>
      </c>
      <c r="H9252" s="3" t="s">
        <v>46910</v>
      </c>
      <c r="I9252" s="3" t="s">
        <v>47153</v>
      </c>
      <c r="J9252" s="3" t="s">
        <v>47204</v>
      </c>
      <c r="K9252" s="3" t="s">
        <v>47205</v>
      </c>
      <c r="L9252" s="3"/>
      <c r="M9252" s="4"/>
      <c r="N9252" s="3" t="s">
        <v>967</v>
      </c>
      <c r="O9252" s="3" t="s">
        <v>46</v>
      </c>
      <c r="P9252" s="5">
        <v>40</v>
      </c>
      <c r="Q9252" s="5">
        <v>1402</v>
      </c>
      <c r="R9252" s="5">
        <v>40</v>
      </c>
      <c r="S9252" s="5">
        <v>1342</v>
      </c>
    </row>
    <row r="9253" spans="1:19" ht="28" x14ac:dyDescent="0.15">
      <c r="A9253" s="2">
        <f>HYPERLINK("https://open-school.uspishnemisto.com.ua/school/510077/", 510077)</f>
        <v>510077</v>
      </c>
      <c r="B9253" s="3" t="s">
        <v>47206</v>
      </c>
      <c r="C9253" s="3" t="s">
        <v>31</v>
      </c>
      <c r="D9253" s="3" t="s">
        <v>32</v>
      </c>
      <c r="E9253" s="4" t="s">
        <v>22</v>
      </c>
      <c r="F9253" s="4" t="s">
        <v>47207</v>
      </c>
      <c r="G9253" s="4" t="s">
        <v>47152</v>
      </c>
      <c r="H9253" s="3" t="s">
        <v>46910</v>
      </c>
      <c r="I9253" s="3" t="s">
        <v>47153</v>
      </c>
      <c r="J9253" s="3" t="s">
        <v>47208</v>
      </c>
      <c r="K9253" s="3" t="s">
        <v>47209</v>
      </c>
      <c r="L9253" s="3"/>
      <c r="M9253" s="4"/>
      <c r="N9253" s="3" t="s">
        <v>128</v>
      </c>
      <c r="O9253" s="3" t="s">
        <v>70</v>
      </c>
      <c r="P9253" s="5">
        <v>39</v>
      </c>
      <c r="Q9253" s="5">
        <v>1104</v>
      </c>
      <c r="R9253" s="5">
        <v>36</v>
      </c>
      <c r="S9253" s="5">
        <v>999</v>
      </c>
    </row>
    <row r="9254" spans="1:19" ht="28" x14ac:dyDescent="0.15">
      <c r="A9254" s="2">
        <f>HYPERLINK("https://open-school.uspishnemisto.com.ua/school/510078/", 510078)</f>
        <v>510078</v>
      </c>
      <c r="B9254" s="3" t="s">
        <v>47210</v>
      </c>
      <c r="C9254" s="3" t="s">
        <v>31</v>
      </c>
      <c r="D9254" s="3" t="s">
        <v>32</v>
      </c>
      <c r="E9254" s="4" t="s">
        <v>22</v>
      </c>
      <c r="F9254" s="4" t="s">
        <v>46944</v>
      </c>
      <c r="G9254" s="4" t="s">
        <v>47152</v>
      </c>
      <c r="H9254" s="3" t="s">
        <v>46910</v>
      </c>
      <c r="I9254" s="3" t="s">
        <v>47153</v>
      </c>
      <c r="J9254" s="3" t="s">
        <v>47211</v>
      </c>
      <c r="K9254" s="3" t="s">
        <v>47212</v>
      </c>
      <c r="L9254" s="3"/>
      <c r="M9254" s="4"/>
      <c r="N9254" s="3" t="s">
        <v>128</v>
      </c>
      <c r="O9254" s="3" t="s">
        <v>10453</v>
      </c>
      <c r="P9254" s="5">
        <v>30</v>
      </c>
      <c r="Q9254" s="5">
        <v>823</v>
      </c>
      <c r="R9254" s="5">
        <v>29</v>
      </c>
      <c r="S9254" s="5">
        <v>804</v>
      </c>
    </row>
    <row r="9255" spans="1:19" ht="28" x14ac:dyDescent="0.15">
      <c r="A9255" s="2">
        <f>HYPERLINK("https://open-school.uspishnemisto.com.ua/school/510079/", 510079)</f>
        <v>510079</v>
      </c>
      <c r="B9255" s="3" t="s">
        <v>47213</v>
      </c>
      <c r="C9255" s="3" t="s">
        <v>31</v>
      </c>
      <c r="D9255" s="3" t="s">
        <v>32</v>
      </c>
      <c r="E9255" s="4" t="s">
        <v>22</v>
      </c>
      <c r="F9255" s="4" t="s">
        <v>46915</v>
      </c>
      <c r="G9255" s="4" t="s">
        <v>47152</v>
      </c>
      <c r="H9255" s="3" t="s">
        <v>46910</v>
      </c>
      <c r="I9255" s="3" t="s">
        <v>47153</v>
      </c>
      <c r="J9255" s="3" t="s">
        <v>47214</v>
      </c>
      <c r="K9255" s="3" t="s">
        <v>47215</v>
      </c>
      <c r="L9255" s="3" t="s">
        <v>47216</v>
      </c>
      <c r="M9255" s="4"/>
      <c r="N9255" s="3" t="s">
        <v>128</v>
      </c>
      <c r="O9255" s="3" t="s">
        <v>70</v>
      </c>
      <c r="P9255" s="5">
        <v>26</v>
      </c>
      <c r="Q9255" s="5">
        <v>747</v>
      </c>
      <c r="R9255" s="5">
        <v>25</v>
      </c>
      <c r="S9255" s="5">
        <v>696</v>
      </c>
    </row>
    <row r="9256" spans="1:19" ht="28" x14ac:dyDescent="0.15">
      <c r="A9256" s="2">
        <f>HYPERLINK("https://open-school.uspishnemisto.com.ua/school/510080/", 510080)</f>
        <v>510080</v>
      </c>
      <c r="B9256" s="3" t="s">
        <v>47217</v>
      </c>
      <c r="C9256" s="3" t="s">
        <v>188</v>
      </c>
      <c r="D9256" s="3" t="s">
        <v>32</v>
      </c>
      <c r="E9256" s="4" t="s">
        <v>22</v>
      </c>
      <c r="F9256" s="4" t="s">
        <v>46948</v>
      </c>
      <c r="G9256" s="4" t="s">
        <v>47152</v>
      </c>
      <c r="H9256" s="3" t="s">
        <v>46910</v>
      </c>
      <c r="I9256" s="3" t="s">
        <v>47153</v>
      </c>
      <c r="J9256" s="3" t="s">
        <v>47188</v>
      </c>
      <c r="K9256" s="3" t="s">
        <v>47218</v>
      </c>
      <c r="L9256" s="3" t="s">
        <v>47219</v>
      </c>
      <c r="M9256" s="4"/>
      <c r="N9256" s="3" t="s">
        <v>37</v>
      </c>
      <c r="O9256" s="3" t="s">
        <v>197</v>
      </c>
      <c r="P9256" s="5">
        <v>12</v>
      </c>
      <c r="Q9256" s="5">
        <v>312</v>
      </c>
      <c r="R9256" s="5">
        <v>12</v>
      </c>
      <c r="S9256" s="5">
        <v>308</v>
      </c>
    </row>
    <row r="9257" spans="1:19" ht="42" x14ac:dyDescent="0.15">
      <c r="A9257" s="2">
        <f>HYPERLINK("https://open-school.uspishnemisto.com.ua/school/510081/", 510081)</f>
        <v>510081</v>
      </c>
      <c r="B9257" s="3" t="s">
        <v>47220</v>
      </c>
      <c r="C9257" s="3" t="s">
        <v>7651</v>
      </c>
      <c r="D9257" s="3" t="s">
        <v>21</v>
      </c>
      <c r="E9257" s="4" t="s">
        <v>22</v>
      </c>
      <c r="F9257" s="4" t="s">
        <v>47207</v>
      </c>
      <c r="G9257" s="4" t="s">
        <v>47152</v>
      </c>
      <c r="H9257" s="3" t="s">
        <v>46910</v>
      </c>
      <c r="I9257" s="3" t="s">
        <v>47153</v>
      </c>
      <c r="J9257" s="3" t="s">
        <v>47221</v>
      </c>
      <c r="K9257" s="3" t="s">
        <v>47222</v>
      </c>
      <c r="L9257" s="3"/>
      <c r="M9257" s="4"/>
      <c r="N9257" s="3"/>
      <c r="O9257" s="3"/>
      <c r="P9257" s="5">
        <v>0</v>
      </c>
      <c r="Q9257" s="5">
        <v>0</v>
      </c>
      <c r="R9257" s="5"/>
      <c r="S9257" s="5"/>
    </row>
    <row r="9258" spans="1:19" ht="42" x14ac:dyDescent="0.15">
      <c r="A9258" s="2">
        <f>HYPERLINK("https://open-school.uspishnemisto.com.ua/school/510082/", 510082)</f>
        <v>510082</v>
      </c>
      <c r="B9258" s="3" t="s">
        <v>47223</v>
      </c>
      <c r="C9258" s="3" t="s">
        <v>54</v>
      </c>
      <c r="D9258" s="3" t="s">
        <v>32</v>
      </c>
      <c r="E9258" s="4" t="s">
        <v>22</v>
      </c>
      <c r="F9258" s="4" t="s">
        <v>47042</v>
      </c>
      <c r="G9258" s="4" t="s">
        <v>47152</v>
      </c>
      <c r="H9258" s="3" t="s">
        <v>46910</v>
      </c>
      <c r="I9258" s="3" t="s">
        <v>47153</v>
      </c>
      <c r="J9258" s="3" t="s">
        <v>47224</v>
      </c>
      <c r="K9258" s="3" t="s">
        <v>47225</v>
      </c>
      <c r="L9258" s="3" t="s">
        <v>47226</v>
      </c>
      <c r="M9258" s="4"/>
      <c r="N9258" s="3" t="s">
        <v>37</v>
      </c>
      <c r="O9258" s="3" t="s">
        <v>10493</v>
      </c>
      <c r="P9258" s="5">
        <v>27</v>
      </c>
      <c r="Q9258" s="5">
        <v>766</v>
      </c>
      <c r="R9258" s="5">
        <v>27</v>
      </c>
      <c r="S9258" s="5">
        <v>720</v>
      </c>
    </row>
    <row r="9259" spans="1:19" ht="56" x14ac:dyDescent="0.15">
      <c r="A9259" s="2">
        <f>HYPERLINK("https://open-school.uspishnemisto.com.ua/school/510083/", 510083)</f>
        <v>510083</v>
      </c>
      <c r="B9259" s="3" t="s">
        <v>47227</v>
      </c>
      <c r="C9259" s="3" t="s">
        <v>54</v>
      </c>
      <c r="D9259" s="3" t="s">
        <v>60</v>
      </c>
      <c r="E9259" s="4" t="s">
        <v>22</v>
      </c>
      <c r="F9259" s="4" t="s">
        <v>47122</v>
      </c>
      <c r="G9259" s="4" t="s">
        <v>47152</v>
      </c>
      <c r="H9259" s="3" t="s">
        <v>46910</v>
      </c>
      <c r="I9259" s="3" t="s">
        <v>47153</v>
      </c>
      <c r="J9259" s="3" t="s">
        <v>47228</v>
      </c>
      <c r="K9259" s="3" t="s">
        <v>47229</v>
      </c>
      <c r="L9259" s="3" t="s">
        <v>47230</v>
      </c>
      <c r="M9259" s="4"/>
      <c r="N9259" s="3" t="s">
        <v>128</v>
      </c>
      <c r="O9259" s="3" t="s">
        <v>38</v>
      </c>
      <c r="P9259" s="5">
        <v>13</v>
      </c>
      <c r="Q9259" s="5">
        <v>444</v>
      </c>
      <c r="R9259" s="5">
        <v>13</v>
      </c>
      <c r="S9259" s="5">
        <v>446</v>
      </c>
    </row>
    <row r="9260" spans="1:19" ht="56" x14ac:dyDescent="0.15">
      <c r="A9260" s="2">
        <f>HYPERLINK("https://open-school.uspishnemisto.com.ua/school/510084/", 510084)</f>
        <v>510084</v>
      </c>
      <c r="B9260" s="3" t="s">
        <v>47231</v>
      </c>
      <c r="C9260" s="3" t="s">
        <v>54</v>
      </c>
      <c r="D9260" s="3" t="s">
        <v>32</v>
      </c>
      <c r="E9260" s="4" t="s">
        <v>22</v>
      </c>
      <c r="F9260" s="4" t="s">
        <v>47122</v>
      </c>
      <c r="G9260" s="4" t="s">
        <v>47152</v>
      </c>
      <c r="H9260" s="3" t="s">
        <v>46910</v>
      </c>
      <c r="I9260" s="3" t="s">
        <v>47153</v>
      </c>
      <c r="J9260" s="3" t="s">
        <v>47232</v>
      </c>
      <c r="K9260" s="3" t="s">
        <v>47233</v>
      </c>
      <c r="L9260" s="3" t="s">
        <v>47234</v>
      </c>
      <c r="M9260" s="4"/>
      <c r="N9260" s="3" t="s">
        <v>128</v>
      </c>
      <c r="O9260" s="3" t="s">
        <v>721</v>
      </c>
      <c r="P9260" s="5">
        <v>67</v>
      </c>
      <c r="Q9260" s="5">
        <v>1863</v>
      </c>
      <c r="R9260" s="5">
        <v>61</v>
      </c>
      <c r="S9260" s="5">
        <v>1711</v>
      </c>
    </row>
    <row r="9261" spans="1:19" ht="42" x14ac:dyDescent="0.15">
      <c r="A9261" s="2">
        <f>HYPERLINK("https://open-school.uspishnemisto.com.ua/school/510085/", 510085)</f>
        <v>510085</v>
      </c>
      <c r="B9261" s="3" t="s">
        <v>47235</v>
      </c>
      <c r="C9261" s="3" t="s">
        <v>54</v>
      </c>
      <c r="D9261" s="3" t="s">
        <v>32</v>
      </c>
      <c r="E9261" s="4" t="s">
        <v>41</v>
      </c>
      <c r="F9261" s="4" t="s">
        <v>47176</v>
      </c>
      <c r="G9261" s="4" t="s">
        <v>47152</v>
      </c>
      <c r="H9261" s="3" t="s">
        <v>46910</v>
      </c>
      <c r="I9261" s="3" t="s">
        <v>47153</v>
      </c>
      <c r="J9261" s="3" t="s">
        <v>47236</v>
      </c>
      <c r="K9261" s="3" t="s">
        <v>47237</v>
      </c>
      <c r="L9261" s="3"/>
      <c r="M9261" s="4"/>
      <c r="N9261" s="3" t="s">
        <v>967</v>
      </c>
      <c r="O9261" s="3" t="s">
        <v>46</v>
      </c>
      <c r="P9261" s="5">
        <v>11</v>
      </c>
      <c r="Q9261" s="5">
        <v>152</v>
      </c>
      <c r="R9261" s="5">
        <v>11</v>
      </c>
      <c r="S9261" s="5">
        <v>153</v>
      </c>
    </row>
    <row r="9262" spans="1:19" ht="42" x14ac:dyDescent="0.15">
      <c r="A9262" s="2">
        <f>HYPERLINK("https://open-school.uspishnemisto.com.ua/school/510086/", 510086)</f>
        <v>510086</v>
      </c>
      <c r="B9262" s="3" t="s">
        <v>47238</v>
      </c>
      <c r="C9262" s="3" t="s">
        <v>244</v>
      </c>
      <c r="D9262" s="3" t="s">
        <v>32</v>
      </c>
      <c r="E9262" s="4" t="s">
        <v>41</v>
      </c>
      <c r="F9262" s="4" t="s">
        <v>47042</v>
      </c>
      <c r="G9262" s="4" t="s">
        <v>47152</v>
      </c>
      <c r="H9262" s="3" t="s">
        <v>46910</v>
      </c>
      <c r="I9262" s="3" t="s">
        <v>47153</v>
      </c>
      <c r="J9262" s="3" t="s">
        <v>47239</v>
      </c>
      <c r="K9262" s="3"/>
      <c r="L9262" s="3" t="s">
        <v>47240</v>
      </c>
      <c r="M9262" s="4"/>
      <c r="N9262" s="3" t="s">
        <v>967</v>
      </c>
      <c r="O9262" s="3" t="s">
        <v>47241</v>
      </c>
      <c r="P9262" s="5">
        <v>23</v>
      </c>
      <c r="Q9262" s="5">
        <v>435</v>
      </c>
      <c r="R9262" s="5">
        <v>21</v>
      </c>
      <c r="S9262" s="5">
        <v>350</v>
      </c>
    </row>
    <row r="9263" spans="1:19" ht="28" x14ac:dyDescent="0.15">
      <c r="A9263" s="2">
        <f>HYPERLINK("https://open-school.uspishnemisto.com.ua/school/510087/", 510087)</f>
        <v>510087</v>
      </c>
      <c r="B9263" s="3" t="s">
        <v>47242</v>
      </c>
      <c r="C9263" s="3" t="s">
        <v>31</v>
      </c>
      <c r="D9263" s="3" t="s">
        <v>32</v>
      </c>
      <c r="E9263" s="4" t="s">
        <v>41</v>
      </c>
      <c r="F9263" s="4" t="s">
        <v>46944</v>
      </c>
      <c r="G9263" s="4" t="s">
        <v>47152</v>
      </c>
      <c r="H9263" s="3" t="s">
        <v>46910</v>
      </c>
      <c r="I9263" s="3" t="s">
        <v>47153</v>
      </c>
      <c r="J9263" s="3" t="s">
        <v>47243</v>
      </c>
      <c r="K9263" s="3" t="s">
        <v>47244</v>
      </c>
      <c r="L9263" s="3"/>
      <c r="M9263" s="4"/>
      <c r="N9263" s="3" t="s">
        <v>967</v>
      </c>
      <c r="O9263" s="3" t="s">
        <v>123</v>
      </c>
      <c r="P9263" s="5">
        <v>23</v>
      </c>
      <c r="Q9263" s="5">
        <v>307</v>
      </c>
      <c r="R9263" s="5">
        <v>22</v>
      </c>
      <c r="S9263" s="5">
        <v>287</v>
      </c>
    </row>
    <row r="9264" spans="1:19" ht="42" x14ac:dyDescent="0.15">
      <c r="A9264" s="2">
        <f>HYPERLINK("https://open-school.uspishnemisto.com.ua/school/510088/", 510088)</f>
        <v>510088</v>
      </c>
      <c r="B9264" s="3" t="s">
        <v>47245</v>
      </c>
      <c r="C9264" s="3" t="s">
        <v>181</v>
      </c>
      <c r="D9264" s="3" t="s">
        <v>32</v>
      </c>
      <c r="E9264" s="4" t="s">
        <v>22</v>
      </c>
      <c r="F9264" s="4" t="s">
        <v>47246</v>
      </c>
      <c r="G9264" s="4" t="s">
        <v>47247</v>
      </c>
      <c r="H9264" s="3" t="s">
        <v>46910</v>
      </c>
      <c r="I9264" s="3" t="s">
        <v>47248</v>
      </c>
      <c r="J9264" s="3" t="s">
        <v>47249</v>
      </c>
      <c r="K9264" s="3" t="s">
        <v>47250</v>
      </c>
      <c r="L9264" s="3" t="s">
        <v>47251</v>
      </c>
      <c r="M9264" s="4" t="s">
        <v>47252</v>
      </c>
      <c r="N9264" s="3" t="s">
        <v>37</v>
      </c>
      <c r="O9264" s="3" t="s">
        <v>52</v>
      </c>
      <c r="P9264" s="5">
        <v>10</v>
      </c>
      <c r="Q9264" s="5">
        <v>79</v>
      </c>
      <c r="R9264" s="5">
        <v>10</v>
      </c>
      <c r="S9264" s="5">
        <v>66</v>
      </c>
    </row>
    <row r="9265" spans="1:19" ht="42" x14ac:dyDescent="0.15">
      <c r="A9265" s="2">
        <f>HYPERLINK("https://open-school.uspishnemisto.com.ua/school/510090/", 510090)</f>
        <v>510090</v>
      </c>
      <c r="B9265" s="3" t="s">
        <v>47253</v>
      </c>
      <c r="C9265" s="3" t="s">
        <v>40</v>
      </c>
      <c r="D9265" s="3" t="s">
        <v>32</v>
      </c>
      <c r="E9265" s="4" t="s">
        <v>22</v>
      </c>
      <c r="F9265" s="4" t="s">
        <v>46952</v>
      </c>
      <c r="G9265" s="4" t="s">
        <v>47247</v>
      </c>
      <c r="H9265" s="3" t="s">
        <v>46910</v>
      </c>
      <c r="I9265" s="3" t="s">
        <v>47248</v>
      </c>
      <c r="J9265" s="3" t="s">
        <v>47254</v>
      </c>
      <c r="K9265" s="3" t="s">
        <v>47255</v>
      </c>
      <c r="L9265" s="3"/>
      <c r="M9265" s="4"/>
      <c r="N9265" s="3" t="s">
        <v>128</v>
      </c>
      <c r="O9265" s="3" t="s">
        <v>9891</v>
      </c>
      <c r="P9265" s="5">
        <v>20</v>
      </c>
      <c r="Q9265" s="5">
        <v>562</v>
      </c>
      <c r="R9265" s="5">
        <v>21</v>
      </c>
      <c r="S9265" s="5">
        <v>554</v>
      </c>
    </row>
    <row r="9266" spans="1:19" ht="28" x14ac:dyDescent="0.15">
      <c r="A9266" s="2">
        <f>HYPERLINK("https://open-school.uspishnemisto.com.ua/school/510091/", 510091)</f>
        <v>510091</v>
      </c>
      <c r="B9266" s="3" t="s">
        <v>47256</v>
      </c>
      <c r="C9266" s="3" t="s">
        <v>40</v>
      </c>
      <c r="D9266" s="3" t="s">
        <v>32</v>
      </c>
      <c r="E9266" s="4" t="s">
        <v>22</v>
      </c>
      <c r="F9266" s="4" t="s">
        <v>47079</v>
      </c>
      <c r="G9266" s="4" t="s">
        <v>47247</v>
      </c>
      <c r="H9266" s="3" t="s">
        <v>46910</v>
      </c>
      <c r="I9266" s="3" t="s">
        <v>47248</v>
      </c>
      <c r="J9266" s="3" t="s">
        <v>47257</v>
      </c>
      <c r="K9266" s="3" t="s">
        <v>47258</v>
      </c>
      <c r="L9266" s="3" t="s">
        <v>47259</v>
      </c>
      <c r="M9266" s="4"/>
      <c r="N9266" s="3" t="s">
        <v>37</v>
      </c>
      <c r="O9266" s="3" t="s">
        <v>197</v>
      </c>
      <c r="P9266" s="5">
        <v>28</v>
      </c>
      <c r="Q9266" s="5">
        <v>792</v>
      </c>
      <c r="R9266" s="5">
        <v>27</v>
      </c>
      <c r="S9266" s="5">
        <v>766</v>
      </c>
    </row>
    <row r="9267" spans="1:19" ht="28" x14ac:dyDescent="0.15">
      <c r="A9267" s="2">
        <f>HYPERLINK("https://open-school.uspishnemisto.com.ua/school/510092/", 510092)</f>
        <v>510092</v>
      </c>
      <c r="B9267" s="3" t="s">
        <v>47260</v>
      </c>
      <c r="C9267" s="3" t="s">
        <v>31</v>
      </c>
      <c r="D9267" s="3" t="s">
        <v>32</v>
      </c>
      <c r="E9267" s="4" t="s">
        <v>22</v>
      </c>
      <c r="F9267" s="4" t="s">
        <v>47079</v>
      </c>
      <c r="G9267" s="4" t="s">
        <v>47247</v>
      </c>
      <c r="H9267" s="3" t="s">
        <v>46910</v>
      </c>
      <c r="I9267" s="3" t="s">
        <v>47248</v>
      </c>
      <c r="J9267" s="3" t="s">
        <v>47261</v>
      </c>
      <c r="K9267" s="3" t="s">
        <v>47262</v>
      </c>
      <c r="L9267" s="3" t="s">
        <v>47263</v>
      </c>
      <c r="M9267" s="4"/>
      <c r="N9267" s="3" t="s">
        <v>967</v>
      </c>
      <c r="O9267" s="3" t="s">
        <v>46</v>
      </c>
      <c r="P9267" s="5">
        <v>26</v>
      </c>
      <c r="Q9267" s="5">
        <v>729</v>
      </c>
      <c r="R9267" s="5">
        <v>24</v>
      </c>
      <c r="S9267" s="5">
        <v>718</v>
      </c>
    </row>
    <row r="9268" spans="1:19" ht="28" x14ac:dyDescent="0.15">
      <c r="A9268" s="2">
        <f>HYPERLINK("https://open-school.uspishnemisto.com.ua/school/510093/", 510093)</f>
        <v>510093</v>
      </c>
      <c r="B9268" s="3" t="s">
        <v>47264</v>
      </c>
      <c r="C9268" s="3" t="s">
        <v>31</v>
      </c>
      <c r="D9268" s="3" t="s">
        <v>32</v>
      </c>
      <c r="E9268" s="4" t="s">
        <v>22</v>
      </c>
      <c r="F9268" s="4" t="s">
        <v>46944</v>
      </c>
      <c r="G9268" s="4" t="s">
        <v>47247</v>
      </c>
      <c r="H9268" s="3" t="s">
        <v>46910</v>
      </c>
      <c r="I9268" s="3" t="s">
        <v>47248</v>
      </c>
      <c r="J9268" s="3" t="s">
        <v>47265</v>
      </c>
      <c r="K9268" s="3" t="s">
        <v>47266</v>
      </c>
      <c r="L9268" s="3" t="s">
        <v>47267</v>
      </c>
      <c r="M9268" s="4"/>
      <c r="N9268" s="3" t="s">
        <v>128</v>
      </c>
      <c r="O9268" s="3" t="s">
        <v>70</v>
      </c>
      <c r="P9268" s="5">
        <v>21</v>
      </c>
      <c r="Q9268" s="5">
        <v>695</v>
      </c>
      <c r="R9268" s="5">
        <v>22</v>
      </c>
      <c r="S9268" s="5">
        <v>715</v>
      </c>
    </row>
    <row r="9269" spans="1:19" ht="28" x14ac:dyDescent="0.15">
      <c r="A9269" s="2">
        <f>HYPERLINK("https://open-school.uspishnemisto.com.ua/school/510094/", 510094)</f>
        <v>510094</v>
      </c>
      <c r="B9269" s="3" t="s">
        <v>47268</v>
      </c>
      <c r="C9269" s="3" t="s">
        <v>31</v>
      </c>
      <c r="D9269" s="3" t="s">
        <v>32</v>
      </c>
      <c r="E9269" s="4" t="s">
        <v>22</v>
      </c>
      <c r="F9269" s="4" t="s">
        <v>47269</v>
      </c>
      <c r="G9269" s="4" t="s">
        <v>47247</v>
      </c>
      <c r="H9269" s="3" t="s">
        <v>46910</v>
      </c>
      <c r="I9269" s="3" t="s">
        <v>47248</v>
      </c>
      <c r="J9269" s="3" t="s">
        <v>47270</v>
      </c>
      <c r="K9269" s="3" t="s">
        <v>47271</v>
      </c>
      <c r="L9269" s="3"/>
      <c r="M9269" s="4"/>
      <c r="N9269" s="3" t="s">
        <v>128</v>
      </c>
      <c r="O9269" s="3" t="s">
        <v>70</v>
      </c>
      <c r="P9269" s="5">
        <v>33</v>
      </c>
      <c r="Q9269" s="5">
        <v>1029</v>
      </c>
      <c r="R9269" s="5">
        <v>30</v>
      </c>
      <c r="S9269" s="5">
        <v>912</v>
      </c>
    </row>
    <row r="9270" spans="1:19" ht="28" x14ac:dyDescent="0.15">
      <c r="A9270" s="2">
        <f>HYPERLINK("https://open-school.uspishnemisto.com.ua/school/510095/", 510095)</f>
        <v>510095</v>
      </c>
      <c r="B9270" s="3" t="s">
        <v>47272</v>
      </c>
      <c r="C9270" s="3" t="s">
        <v>31</v>
      </c>
      <c r="D9270" s="3" t="s">
        <v>32</v>
      </c>
      <c r="E9270" s="4" t="s">
        <v>22</v>
      </c>
      <c r="F9270" s="4" t="s">
        <v>47017</v>
      </c>
      <c r="G9270" s="4" t="s">
        <v>47247</v>
      </c>
      <c r="H9270" s="3" t="s">
        <v>46910</v>
      </c>
      <c r="I9270" s="3" t="s">
        <v>47248</v>
      </c>
      <c r="J9270" s="3" t="s">
        <v>47273</v>
      </c>
      <c r="K9270" s="3" t="s">
        <v>47274</v>
      </c>
      <c r="L9270" s="3" t="s">
        <v>47275</v>
      </c>
      <c r="M9270" s="4"/>
      <c r="N9270" s="3" t="s">
        <v>128</v>
      </c>
      <c r="O9270" s="3" t="s">
        <v>70</v>
      </c>
      <c r="P9270" s="5">
        <v>28</v>
      </c>
      <c r="Q9270" s="5">
        <v>796</v>
      </c>
      <c r="R9270" s="5">
        <v>28</v>
      </c>
      <c r="S9270" s="5">
        <v>776</v>
      </c>
    </row>
    <row r="9271" spans="1:19" ht="42" x14ac:dyDescent="0.15">
      <c r="A9271" s="2">
        <f>HYPERLINK("https://open-school.uspishnemisto.com.ua/school/510096/", 510096)</f>
        <v>510096</v>
      </c>
      <c r="B9271" s="3" t="s">
        <v>47276</v>
      </c>
      <c r="C9271" s="3" t="s">
        <v>31</v>
      </c>
      <c r="D9271" s="3" t="s">
        <v>32</v>
      </c>
      <c r="E9271" s="4" t="s">
        <v>22</v>
      </c>
      <c r="F9271" s="4" t="s">
        <v>47071</v>
      </c>
      <c r="G9271" s="4" t="s">
        <v>47247</v>
      </c>
      <c r="H9271" s="3" t="s">
        <v>46910</v>
      </c>
      <c r="I9271" s="3" t="s">
        <v>47248</v>
      </c>
      <c r="J9271" s="3" t="s">
        <v>44625</v>
      </c>
      <c r="K9271" s="3"/>
      <c r="L9271" s="3"/>
      <c r="M9271" s="4"/>
      <c r="N9271" s="3" t="s">
        <v>967</v>
      </c>
      <c r="O9271" s="3" t="s">
        <v>46</v>
      </c>
      <c r="P9271" s="5">
        <v>22</v>
      </c>
      <c r="Q9271" s="5">
        <v>521</v>
      </c>
      <c r="R9271" s="5">
        <v>19</v>
      </c>
      <c r="S9271" s="5">
        <v>512</v>
      </c>
    </row>
    <row r="9272" spans="1:19" ht="28" x14ac:dyDescent="0.15">
      <c r="A9272" s="2">
        <f>HYPERLINK("https://open-school.uspishnemisto.com.ua/school/510097/", 510097)</f>
        <v>510097</v>
      </c>
      <c r="B9272" s="3" t="s">
        <v>47277</v>
      </c>
      <c r="C9272" s="3" t="s">
        <v>31</v>
      </c>
      <c r="D9272" s="3" t="s">
        <v>60</v>
      </c>
      <c r="E9272" s="4" t="s">
        <v>22</v>
      </c>
      <c r="F9272" s="4" t="s">
        <v>47278</v>
      </c>
      <c r="G9272" s="4" t="s">
        <v>47247</v>
      </c>
      <c r="H9272" s="3" t="s">
        <v>46910</v>
      </c>
      <c r="I9272" s="3" t="s">
        <v>47248</v>
      </c>
      <c r="J9272" s="3" t="s">
        <v>47279</v>
      </c>
      <c r="K9272" s="3" t="s">
        <v>47280</v>
      </c>
      <c r="L9272" s="3" t="s">
        <v>47281</v>
      </c>
      <c r="M9272" s="4"/>
      <c r="N9272" s="3" t="s">
        <v>128</v>
      </c>
      <c r="O9272" s="3" t="s">
        <v>38</v>
      </c>
      <c r="P9272" s="5">
        <v>16</v>
      </c>
      <c r="Q9272" s="5">
        <v>458</v>
      </c>
      <c r="R9272" s="5">
        <v>15</v>
      </c>
      <c r="S9272" s="5">
        <v>436</v>
      </c>
    </row>
    <row r="9273" spans="1:19" ht="28" x14ac:dyDescent="0.15">
      <c r="A9273" s="2">
        <f>HYPERLINK("https://open-school.uspishnemisto.com.ua/school/510098/", 510098)</f>
        <v>510098</v>
      </c>
      <c r="B9273" s="3" t="s">
        <v>47282</v>
      </c>
      <c r="C9273" s="3" t="s">
        <v>31</v>
      </c>
      <c r="D9273" s="3" t="s">
        <v>32</v>
      </c>
      <c r="E9273" s="4" t="s">
        <v>22</v>
      </c>
      <c r="F9273" s="4" t="s">
        <v>47269</v>
      </c>
      <c r="G9273" s="4" t="s">
        <v>47247</v>
      </c>
      <c r="H9273" s="3" t="s">
        <v>46910</v>
      </c>
      <c r="I9273" s="3" t="s">
        <v>47248</v>
      </c>
      <c r="J9273" s="3" t="s">
        <v>47283</v>
      </c>
      <c r="K9273" s="3" t="s">
        <v>47284</v>
      </c>
      <c r="L9273" s="3"/>
      <c r="M9273" s="4"/>
      <c r="N9273" s="3" t="s">
        <v>967</v>
      </c>
      <c r="O9273" s="3" t="s">
        <v>46</v>
      </c>
      <c r="P9273" s="5">
        <v>17</v>
      </c>
      <c r="Q9273" s="5">
        <v>425</v>
      </c>
      <c r="R9273" s="5">
        <v>16</v>
      </c>
      <c r="S9273" s="5">
        <v>405</v>
      </c>
    </row>
    <row r="9274" spans="1:19" ht="28" x14ac:dyDescent="0.15">
      <c r="A9274" s="2">
        <f>HYPERLINK("https://open-school.uspishnemisto.com.ua/school/510099/", 510099)</f>
        <v>510099</v>
      </c>
      <c r="B9274" s="3" t="s">
        <v>47285</v>
      </c>
      <c r="C9274" s="3" t="s">
        <v>31</v>
      </c>
      <c r="D9274" s="3" t="s">
        <v>32</v>
      </c>
      <c r="E9274" s="4" t="s">
        <v>22</v>
      </c>
      <c r="F9274" s="4" t="s">
        <v>47017</v>
      </c>
      <c r="G9274" s="4" t="s">
        <v>47247</v>
      </c>
      <c r="H9274" s="3" t="s">
        <v>46910</v>
      </c>
      <c r="I9274" s="3" t="s">
        <v>47248</v>
      </c>
      <c r="J9274" s="3" t="s">
        <v>47286</v>
      </c>
      <c r="K9274" s="3" t="s">
        <v>47287</v>
      </c>
      <c r="L9274" s="3"/>
      <c r="M9274" s="4"/>
      <c r="N9274" s="3" t="s">
        <v>128</v>
      </c>
      <c r="O9274" s="3" t="s">
        <v>70</v>
      </c>
      <c r="P9274" s="5">
        <v>42</v>
      </c>
      <c r="Q9274" s="5">
        <v>1238</v>
      </c>
      <c r="R9274" s="5">
        <v>40</v>
      </c>
      <c r="S9274" s="5">
        <v>1201</v>
      </c>
    </row>
    <row r="9275" spans="1:19" ht="28" x14ac:dyDescent="0.15">
      <c r="A9275" s="2">
        <f>HYPERLINK("https://open-school.uspishnemisto.com.ua/school/510100/", 510100)</f>
        <v>510100</v>
      </c>
      <c r="B9275" s="3" t="s">
        <v>47288</v>
      </c>
      <c r="C9275" s="3" t="s">
        <v>31</v>
      </c>
      <c r="D9275" s="3" t="s">
        <v>32</v>
      </c>
      <c r="E9275" s="4" t="s">
        <v>22</v>
      </c>
      <c r="F9275" s="4" t="s">
        <v>47289</v>
      </c>
      <c r="G9275" s="4" t="s">
        <v>47247</v>
      </c>
      <c r="H9275" s="3" t="s">
        <v>46910</v>
      </c>
      <c r="I9275" s="3" t="s">
        <v>47248</v>
      </c>
      <c r="J9275" s="3" t="s">
        <v>47290</v>
      </c>
      <c r="K9275" s="3"/>
      <c r="L9275" s="3"/>
      <c r="M9275" s="4"/>
      <c r="N9275" s="3" t="s">
        <v>128</v>
      </c>
      <c r="O9275" s="3" t="s">
        <v>70</v>
      </c>
      <c r="P9275" s="5">
        <v>52</v>
      </c>
      <c r="Q9275" s="5">
        <v>1452</v>
      </c>
      <c r="R9275" s="5">
        <v>49</v>
      </c>
      <c r="S9275" s="5">
        <v>1383</v>
      </c>
    </row>
    <row r="9276" spans="1:19" ht="28" x14ac:dyDescent="0.15">
      <c r="A9276" s="2">
        <f>HYPERLINK("https://open-school.uspishnemisto.com.ua/school/510101/", 510101)</f>
        <v>510101</v>
      </c>
      <c r="B9276" s="3" t="s">
        <v>47291</v>
      </c>
      <c r="C9276" s="3" t="s">
        <v>31</v>
      </c>
      <c r="D9276" s="3" t="s">
        <v>32</v>
      </c>
      <c r="E9276" s="4" t="s">
        <v>41</v>
      </c>
      <c r="F9276" s="4" t="s">
        <v>46952</v>
      </c>
      <c r="G9276" s="4" t="s">
        <v>47247</v>
      </c>
      <c r="H9276" s="3" t="s">
        <v>46910</v>
      </c>
      <c r="I9276" s="3" t="s">
        <v>47248</v>
      </c>
      <c r="J9276" s="3" t="s">
        <v>47292</v>
      </c>
      <c r="K9276" s="3" t="s">
        <v>47293</v>
      </c>
      <c r="L9276" s="3"/>
      <c r="M9276" s="4"/>
      <c r="N9276" s="3" t="s">
        <v>967</v>
      </c>
      <c r="O9276" s="3" t="s">
        <v>2740</v>
      </c>
      <c r="P9276" s="5">
        <v>20</v>
      </c>
      <c r="Q9276" s="5">
        <v>94</v>
      </c>
      <c r="R9276" s="5">
        <v>18</v>
      </c>
      <c r="S9276" s="5">
        <v>72</v>
      </c>
    </row>
    <row r="9277" spans="1:19" ht="42" x14ac:dyDescent="0.15">
      <c r="A9277" s="2">
        <f>HYPERLINK("https://open-school.uspishnemisto.com.ua/school/510102/", 510102)</f>
        <v>510102</v>
      </c>
      <c r="B9277" s="3" t="s">
        <v>47294</v>
      </c>
      <c r="C9277" s="3" t="s">
        <v>244</v>
      </c>
      <c r="D9277" s="3" t="s">
        <v>60</v>
      </c>
      <c r="E9277" s="4" t="s">
        <v>22</v>
      </c>
      <c r="F9277" s="4" t="s">
        <v>47246</v>
      </c>
      <c r="G9277" s="4" t="s">
        <v>47247</v>
      </c>
      <c r="H9277" s="3" t="s">
        <v>46910</v>
      </c>
      <c r="I9277" s="3" t="s">
        <v>47248</v>
      </c>
      <c r="J9277" s="3" t="s">
        <v>47295</v>
      </c>
      <c r="K9277" s="3" t="s">
        <v>47296</v>
      </c>
      <c r="L9277" s="3"/>
      <c r="M9277" s="4"/>
      <c r="N9277" s="3" t="s">
        <v>128</v>
      </c>
      <c r="O9277" s="3" t="s">
        <v>38</v>
      </c>
      <c r="P9277" s="5">
        <v>13</v>
      </c>
      <c r="Q9277" s="5">
        <v>357</v>
      </c>
      <c r="R9277" s="5">
        <v>13</v>
      </c>
      <c r="S9277" s="5">
        <v>337</v>
      </c>
    </row>
    <row r="9278" spans="1:19" ht="42" x14ac:dyDescent="0.15">
      <c r="A9278" s="2">
        <f>HYPERLINK("https://open-school.uspishnemisto.com.ua/school/510103/", 510103)</f>
        <v>510103</v>
      </c>
      <c r="B9278" s="3" t="s">
        <v>47297</v>
      </c>
      <c r="C9278" s="3" t="s">
        <v>244</v>
      </c>
      <c r="D9278" s="3" t="s">
        <v>60</v>
      </c>
      <c r="E9278" s="4" t="s">
        <v>22</v>
      </c>
      <c r="F9278" s="4" t="s">
        <v>47246</v>
      </c>
      <c r="G9278" s="4" t="s">
        <v>47247</v>
      </c>
      <c r="H9278" s="3" t="s">
        <v>46910</v>
      </c>
      <c r="I9278" s="3" t="s">
        <v>47248</v>
      </c>
      <c r="J9278" s="3" t="s">
        <v>47298</v>
      </c>
      <c r="K9278" s="3" t="s">
        <v>47299</v>
      </c>
      <c r="L9278" s="3"/>
      <c r="M9278" s="4"/>
      <c r="N9278" s="3" t="s">
        <v>128</v>
      </c>
      <c r="O9278" s="3" t="s">
        <v>38</v>
      </c>
      <c r="P9278" s="5">
        <v>15</v>
      </c>
      <c r="Q9278" s="5">
        <v>427</v>
      </c>
      <c r="R9278" s="5">
        <v>14</v>
      </c>
      <c r="S9278" s="5">
        <v>386</v>
      </c>
    </row>
    <row r="9279" spans="1:19" ht="42" x14ac:dyDescent="0.15">
      <c r="A9279" s="2">
        <f>HYPERLINK("https://open-school.uspishnemisto.com.ua/school/510104/", 510104)</f>
        <v>510104</v>
      </c>
      <c r="B9279" s="3" t="s">
        <v>47300</v>
      </c>
      <c r="C9279" s="3" t="s">
        <v>244</v>
      </c>
      <c r="D9279" s="3" t="s">
        <v>60</v>
      </c>
      <c r="E9279" s="4" t="s">
        <v>22</v>
      </c>
      <c r="F9279" s="4" t="s">
        <v>46948</v>
      </c>
      <c r="G9279" s="4" t="s">
        <v>47247</v>
      </c>
      <c r="H9279" s="3" t="s">
        <v>46910</v>
      </c>
      <c r="I9279" s="3" t="s">
        <v>47248</v>
      </c>
      <c r="J9279" s="3" t="s">
        <v>47301</v>
      </c>
      <c r="K9279" s="3" t="s">
        <v>47302</v>
      </c>
      <c r="L9279" s="3"/>
      <c r="M9279" s="4"/>
      <c r="N9279" s="3" t="s">
        <v>128</v>
      </c>
      <c r="O9279" s="3" t="s">
        <v>38</v>
      </c>
      <c r="P9279" s="5">
        <v>15</v>
      </c>
      <c r="Q9279" s="5">
        <v>486</v>
      </c>
      <c r="R9279" s="5">
        <v>14</v>
      </c>
      <c r="S9279" s="5">
        <v>455</v>
      </c>
    </row>
    <row r="9280" spans="1:19" ht="42" x14ac:dyDescent="0.15">
      <c r="A9280" s="2">
        <f>HYPERLINK("https://open-school.uspishnemisto.com.ua/school/510105/", 510105)</f>
        <v>510105</v>
      </c>
      <c r="B9280" s="3" t="s">
        <v>47303</v>
      </c>
      <c r="C9280" s="3" t="s">
        <v>244</v>
      </c>
      <c r="D9280" s="3" t="s">
        <v>32</v>
      </c>
      <c r="E9280" s="4" t="s">
        <v>22</v>
      </c>
      <c r="F9280" s="4" t="s">
        <v>47079</v>
      </c>
      <c r="G9280" s="4" t="s">
        <v>47247</v>
      </c>
      <c r="H9280" s="3" t="s">
        <v>46910</v>
      </c>
      <c r="I9280" s="3" t="s">
        <v>47248</v>
      </c>
      <c r="J9280" s="3" t="s">
        <v>47304</v>
      </c>
      <c r="K9280" s="3" t="s">
        <v>47305</v>
      </c>
      <c r="L9280" s="3" t="s">
        <v>47306</v>
      </c>
      <c r="M9280" s="4"/>
      <c r="N9280" s="3" t="s">
        <v>128</v>
      </c>
      <c r="O9280" s="3" t="s">
        <v>197</v>
      </c>
      <c r="P9280" s="5">
        <v>34</v>
      </c>
      <c r="Q9280" s="5">
        <v>957</v>
      </c>
      <c r="R9280" s="5">
        <v>33</v>
      </c>
      <c r="S9280" s="5">
        <v>937</v>
      </c>
    </row>
    <row r="9281" spans="1:19" ht="42" x14ac:dyDescent="0.15">
      <c r="A9281" s="2">
        <f>HYPERLINK("https://open-school.uspishnemisto.com.ua/school/510106/", 510106)</f>
        <v>510106</v>
      </c>
      <c r="B9281" s="3" t="s">
        <v>47307</v>
      </c>
      <c r="C9281" s="3" t="s">
        <v>244</v>
      </c>
      <c r="D9281" s="3" t="s">
        <v>60</v>
      </c>
      <c r="E9281" s="4" t="s">
        <v>22</v>
      </c>
      <c r="F9281" s="4" t="s">
        <v>46961</v>
      </c>
      <c r="G9281" s="4" t="s">
        <v>47247</v>
      </c>
      <c r="H9281" s="3" t="s">
        <v>46910</v>
      </c>
      <c r="I9281" s="3" t="s">
        <v>47248</v>
      </c>
      <c r="J9281" s="3" t="s">
        <v>47308</v>
      </c>
      <c r="K9281" s="3"/>
      <c r="L9281" s="3"/>
      <c r="M9281" s="4"/>
      <c r="N9281" s="3" t="s">
        <v>128</v>
      </c>
      <c r="O9281" s="3" t="s">
        <v>38</v>
      </c>
      <c r="P9281" s="5">
        <v>12</v>
      </c>
      <c r="Q9281" s="5">
        <v>357</v>
      </c>
      <c r="R9281" s="5">
        <v>11</v>
      </c>
      <c r="S9281" s="5">
        <v>333</v>
      </c>
    </row>
    <row r="9282" spans="1:19" ht="28" x14ac:dyDescent="0.15">
      <c r="A9282" s="2">
        <f>HYPERLINK("https://open-school.uspishnemisto.com.ua/school/510107/", 510107)</f>
        <v>510107</v>
      </c>
      <c r="B9282" s="3" t="s">
        <v>47309</v>
      </c>
      <c r="C9282" s="3" t="s">
        <v>48</v>
      </c>
      <c r="D9282" s="3" t="s">
        <v>32</v>
      </c>
      <c r="E9282" s="4" t="s">
        <v>22</v>
      </c>
      <c r="F9282" s="4" t="s">
        <v>47278</v>
      </c>
      <c r="G9282" s="4" t="s">
        <v>47247</v>
      </c>
      <c r="H9282" s="3" t="s">
        <v>46910</v>
      </c>
      <c r="I9282" s="3" t="s">
        <v>47248</v>
      </c>
      <c r="J9282" s="3" t="s">
        <v>47310</v>
      </c>
      <c r="K9282" s="3" t="s">
        <v>47311</v>
      </c>
      <c r="L9282" s="3" t="s">
        <v>47312</v>
      </c>
      <c r="M9282" s="4"/>
      <c r="N9282" s="3" t="s">
        <v>37</v>
      </c>
      <c r="O9282" s="3" t="s">
        <v>38</v>
      </c>
      <c r="P9282" s="5">
        <v>9</v>
      </c>
      <c r="Q9282" s="5">
        <v>199</v>
      </c>
      <c r="R9282" s="5">
        <v>9</v>
      </c>
      <c r="S9282" s="5">
        <v>184</v>
      </c>
    </row>
    <row r="9283" spans="1:19" ht="42" x14ac:dyDescent="0.15">
      <c r="A9283" s="2">
        <f>HYPERLINK("https://open-school.uspishnemisto.com.ua/school/510108/", 510108)</f>
        <v>510108</v>
      </c>
      <c r="B9283" s="3" t="s">
        <v>47313</v>
      </c>
      <c r="C9283" s="3" t="s">
        <v>7651</v>
      </c>
      <c r="D9283" s="3"/>
      <c r="E9283" s="4" t="s">
        <v>22</v>
      </c>
      <c r="F9283" s="4" t="s">
        <v>46961</v>
      </c>
      <c r="G9283" s="4" t="s">
        <v>47247</v>
      </c>
      <c r="H9283" s="3" t="s">
        <v>46910</v>
      </c>
      <c r="I9283" s="3" t="s">
        <v>47248</v>
      </c>
      <c r="J9283" s="3" t="s">
        <v>47308</v>
      </c>
      <c r="K9283" s="3" t="s">
        <v>47314</v>
      </c>
      <c r="L9283" s="3"/>
      <c r="M9283" s="4"/>
      <c r="N9283" s="3"/>
      <c r="O9283" s="3"/>
      <c r="P9283" s="5">
        <v>0</v>
      </c>
      <c r="Q9283" s="5">
        <v>0</v>
      </c>
      <c r="R9283" s="5"/>
      <c r="S9283" s="5"/>
    </row>
    <row r="9284" spans="1:19" ht="42" x14ac:dyDescent="0.15">
      <c r="A9284" s="2">
        <f>HYPERLINK("https://open-school.uspishnemisto.com.ua/school/510109/", 510109)</f>
        <v>510109</v>
      </c>
      <c r="B9284" s="3" t="s">
        <v>47315</v>
      </c>
      <c r="C9284" s="3" t="s">
        <v>54</v>
      </c>
      <c r="D9284" s="3" t="s">
        <v>32</v>
      </c>
      <c r="E9284" s="4" t="s">
        <v>22</v>
      </c>
      <c r="F9284" s="4" t="s">
        <v>46948</v>
      </c>
      <c r="G9284" s="4" t="s">
        <v>47247</v>
      </c>
      <c r="H9284" s="3" t="s">
        <v>46910</v>
      </c>
      <c r="I9284" s="3" t="s">
        <v>47248</v>
      </c>
      <c r="J9284" s="3" t="s">
        <v>47316</v>
      </c>
      <c r="K9284" s="3"/>
      <c r="L9284" s="3"/>
      <c r="M9284" s="4"/>
      <c r="N9284" s="3" t="s">
        <v>128</v>
      </c>
      <c r="O9284" s="3" t="s">
        <v>721</v>
      </c>
      <c r="P9284" s="5">
        <v>28</v>
      </c>
      <c r="Q9284" s="5">
        <v>884</v>
      </c>
      <c r="R9284" s="5">
        <v>26</v>
      </c>
      <c r="S9284" s="5">
        <v>821</v>
      </c>
    </row>
    <row r="9285" spans="1:19" ht="42" x14ac:dyDescent="0.15">
      <c r="A9285" s="2">
        <f>HYPERLINK("https://open-school.uspishnemisto.com.ua/school/510110/", 510110)</f>
        <v>510110</v>
      </c>
      <c r="B9285" s="3" t="s">
        <v>47317</v>
      </c>
      <c r="C9285" s="3" t="s">
        <v>54</v>
      </c>
      <c r="D9285" s="3" t="s">
        <v>32</v>
      </c>
      <c r="E9285" s="4" t="s">
        <v>22</v>
      </c>
      <c r="F9285" s="4" t="s">
        <v>47079</v>
      </c>
      <c r="G9285" s="4" t="s">
        <v>47247</v>
      </c>
      <c r="H9285" s="3" t="s">
        <v>46910</v>
      </c>
      <c r="I9285" s="3" t="s">
        <v>47248</v>
      </c>
      <c r="J9285" s="3" t="s">
        <v>47318</v>
      </c>
      <c r="K9285" s="3" t="s">
        <v>47319</v>
      </c>
      <c r="L9285" s="3"/>
      <c r="M9285" s="4"/>
      <c r="N9285" s="3" t="s">
        <v>128</v>
      </c>
      <c r="O9285" s="3" t="s">
        <v>70</v>
      </c>
      <c r="P9285" s="5">
        <v>29</v>
      </c>
      <c r="Q9285" s="5">
        <v>897</v>
      </c>
      <c r="R9285" s="5">
        <v>28</v>
      </c>
      <c r="S9285" s="5">
        <v>834</v>
      </c>
    </row>
    <row r="9286" spans="1:19" ht="42" x14ac:dyDescent="0.15">
      <c r="A9286" s="2">
        <f>HYPERLINK("https://open-school.uspishnemisto.com.ua/school/510111/", 510111)</f>
        <v>510111</v>
      </c>
      <c r="B9286" s="3" t="s">
        <v>47320</v>
      </c>
      <c r="C9286" s="3" t="s">
        <v>54</v>
      </c>
      <c r="D9286" s="3" t="s">
        <v>60</v>
      </c>
      <c r="E9286" s="4" t="s">
        <v>41</v>
      </c>
      <c r="F9286" s="4" t="s">
        <v>47278</v>
      </c>
      <c r="G9286" s="4" t="s">
        <v>47247</v>
      </c>
      <c r="H9286" s="3" t="s">
        <v>46910</v>
      </c>
      <c r="I9286" s="3" t="s">
        <v>47248</v>
      </c>
      <c r="J9286" s="3" t="s">
        <v>47321</v>
      </c>
      <c r="K9286" s="3" t="s">
        <v>47322</v>
      </c>
      <c r="L9286" s="3" t="s">
        <v>47323</v>
      </c>
      <c r="M9286" s="4"/>
      <c r="N9286" s="3" t="s">
        <v>128</v>
      </c>
      <c r="O9286" s="3" t="s">
        <v>38</v>
      </c>
      <c r="P9286" s="5">
        <v>8</v>
      </c>
      <c r="Q9286" s="5">
        <v>76</v>
      </c>
      <c r="R9286" s="5">
        <v>7</v>
      </c>
      <c r="S9286" s="5">
        <v>65</v>
      </c>
    </row>
    <row r="9287" spans="1:19" ht="28" x14ac:dyDescent="0.15">
      <c r="A9287" s="2">
        <f>HYPERLINK("https://open-school.uspishnemisto.com.ua/school/510112/", 510112)</f>
        <v>510112</v>
      </c>
      <c r="B9287" s="3" t="s">
        <v>47324</v>
      </c>
      <c r="C9287" s="3" t="s">
        <v>54</v>
      </c>
      <c r="D9287" s="3" t="s">
        <v>32</v>
      </c>
      <c r="E9287" s="4" t="s">
        <v>41</v>
      </c>
      <c r="F9287" s="4" t="s">
        <v>47278</v>
      </c>
      <c r="G9287" s="4" t="s">
        <v>47247</v>
      </c>
      <c r="H9287" s="3" t="s">
        <v>46910</v>
      </c>
      <c r="I9287" s="3" t="s">
        <v>47248</v>
      </c>
      <c r="J9287" s="3" t="s">
        <v>47325</v>
      </c>
      <c r="K9287" s="3" t="s">
        <v>47326</v>
      </c>
      <c r="L9287" s="3"/>
      <c r="M9287" s="4"/>
      <c r="N9287" s="3" t="s">
        <v>967</v>
      </c>
      <c r="O9287" s="3" t="s">
        <v>46</v>
      </c>
      <c r="P9287" s="5">
        <v>6</v>
      </c>
      <c r="Q9287" s="5">
        <v>48</v>
      </c>
      <c r="R9287" s="5">
        <v>6</v>
      </c>
      <c r="S9287" s="5">
        <v>61</v>
      </c>
    </row>
    <row r="9288" spans="1:19" ht="28" x14ac:dyDescent="0.15">
      <c r="A9288" s="2">
        <f>HYPERLINK("https://open-school.uspishnemisto.com.ua/school/510113/", 510113)</f>
        <v>510113</v>
      </c>
      <c r="B9288" s="3" t="s">
        <v>47327</v>
      </c>
      <c r="C9288" s="3" t="s">
        <v>31</v>
      </c>
      <c r="D9288" s="3" t="s">
        <v>32</v>
      </c>
      <c r="E9288" s="4" t="s">
        <v>41</v>
      </c>
      <c r="F9288" s="4" t="s">
        <v>47328</v>
      </c>
      <c r="G9288" s="4" t="s">
        <v>47247</v>
      </c>
      <c r="H9288" s="3" t="s">
        <v>46910</v>
      </c>
      <c r="I9288" s="3" t="s">
        <v>47248</v>
      </c>
      <c r="J9288" s="3" t="s">
        <v>47329</v>
      </c>
      <c r="K9288" s="3" t="s">
        <v>47330</v>
      </c>
      <c r="L9288" s="3"/>
      <c r="M9288" s="4"/>
      <c r="N9288" s="3" t="s">
        <v>967</v>
      </c>
      <c r="O9288" s="3" t="s">
        <v>4858</v>
      </c>
      <c r="P9288" s="5">
        <v>29</v>
      </c>
      <c r="Q9288" s="5">
        <v>540</v>
      </c>
      <c r="R9288" s="5">
        <v>29</v>
      </c>
      <c r="S9288" s="5">
        <v>497</v>
      </c>
    </row>
    <row r="9289" spans="1:19" ht="42" x14ac:dyDescent="0.15">
      <c r="A9289" s="2">
        <f>HYPERLINK("https://open-school.uspishnemisto.com.ua/school/510114/", 510114)</f>
        <v>510114</v>
      </c>
      <c r="B9289" s="3" t="s">
        <v>47331</v>
      </c>
      <c r="C9289" s="3" t="s">
        <v>54</v>
      </c>
      <c r="D9289" s="3" t="s">
        <v>60</v>
      </c>
      <c r="E9289" s="4" t="s">
        <v>41</v>
      </c>
      <c r="F9289" s="4" t="s">
        <v>46952</v>
      </c>
      <c r="G9289" s="4" t="s">
        <v>47247</v>
      </c>
      <c r="H9289" s="3" t="s">
        <v>46910</v>
      </c>
      <c r="I9289" s="3" t="s">
        <v>47248</v>
      </c>
      <c r="J9289" s="3" t="s">
        <v>47332</v>
      </c>
      <c r="K9289" s="3" t="s">
        <v>47333</v>
      </c>
      <c r="L9289" s="3"/>
      <c r="M9289" s="4"/>
      <c r="N9289" s="3" t="s">
        <v>967</v>
      </c>
      <c r="O9289" s="3" t="s">
        <v>52</v>
      </c>
      <c r="P9289" s="5">
        <v>4</v>
      </c>
      <c r="Q9289" s="5">
        <v>46</v>
      </c>
      <c r="R9289" s="5">
        <v>4</v>
      </c>
      <c r="S9289" s="5">
        <v>50</v>
      </c>
    </row>
    <row r="9290" spans="1:19" ht="56" x14ac:dyDescent="0.15">
      <c r="A9290" s="2">
        <f>HYPERLINK("https://open-school.uspishnemisto.com.ua/school/510008/", 510008)</f>
        <v>510008</v>
      </c>
      <c r="B9290" s="3" t="s">
        <v>47334</v>
      </c>
      <c r="C9290" s="3" t="s">
        <v>54</v>
      </c>
      <c r="D9290" s="3" t="s">
        <v>32</v>
      </c>
      <c r="E9290" s="4" t="s">
        <v>41</v>
      </c>
      <c r="F9290" s="4" t="s">
        <v>47156</v>
      </c>
      <c r="G9290" s="4" t="s">
        <v>47335</v>
      </c>
      <c r="H9290" s="3" t="s">
        <v>46910</v>
      </c>
      <c r="I9290" s="3" t="s">
        <v>47336</v>
      </c>
      <c r="J9290" s="3" t="s">
        <v>47337</v>
      </c>
      <c r="K9290" s="3" t="s">
        <v>47338</v>
      </c>
      <c r="L9290" s="3"/>
      <c r="M9290" s="4"/>
      <c r="N9290" s="3" t="s">
        <v>967</v>
      </c>
      <c r="O9290" s="3" t="s">
        <v>52</v>
      </c>
      <c r="P9290" s="5">
        <v>5</v>
      </c>
      <c r="Q9290" s="5">
        <v>74</v>
      </c>
      <c r="R9290" s="5">
        <v>6</v>
      </c>
      <c r="S9290" s="5">
        <v>80</v>
      </c>
    </row>
    <row r="9291" spans="1:19" ht="28" x14ac:dyDescent="0.15">
      <c r="A9291" s="2">
        <f>HYPERLINK("https://open-school.uspishnemisto.com.ua/school/510115/", 510115)</f>
        <v>510115</v>
      </c>
      <c r="B9291" s="3" t="s">
        <v>47339</v>
      </c>
      <c r="C9291" s="3" t="s">
        <v>2634</v>
      </c>
      <c r="D9291" s="3" t="s">
        <v>175</v>
      </c>
      <c r="E9291" s="4" t="s">
        <v>22</v>
      </c>
      <c r="F9291" s="4" t="s">
        <v>47340</v>
      </c>
      <c r="G9291" s="4" t="s">
        <v>47335</v>
      </c>
      <c r="H9291" s="3" t="s">
        <v>46910</v>
      </c>
      <c r="I9291" s="3" t="s">
        <v>47336</v>
      </c>
      <c r="J9291" s="3" t="s">
        <v>47341</v>
      </c>
      <c r="K9291" s="3" t="s">
        <v>47342</v>
      </c>
      <c r="L9291" s="3"/>
      <c r="M9291" s="4" t="s">
        <v>47343</v>
      </c>
      <c r="N9291" s="3" t="s">
        <v>37</v>
      </c>
      <c r="O9291" s="3" t="s">
        <v>721</v>
      </c>
      <c r="P9291" s="5">
        <v>15</v>
      </c>
      <c r="Q9291" s="5">
        <v>291</v>
      </c>
      <c r="R9291" s="5">
        <v>13</v>
      </c>
      <c r="S9291" s="5">
        <v>235</v>
      </c>
    </row>
    <row r="9292" spans="1:19" ht="28" x14ac:dyDescent="0.15">
      <c r="A9292" s="2">
        <f>HYPERLINK("https://open-school.uspishnemisto.com.ua/school/510116/", 510116)</f>
        <v>510116</v>
      </c>
      <c r="B9292" s="3" t="s">
        <v>47344</v>
      </c>
      <c r="C9292" s="3" t="s">
        <v>20</v>
      </c>
      <c r="D9292" s="3" t="s">
        <v>21</v>
      </c>
      <c r="E9292" s="4" t="s">
        <v>22</v>
      </c>
      <c r="F9292" s="4" t="s">
        <v>47133</v>
      </c>
      <c r="G9292" s="4" t="s">
        <v>47335</v>
      </c>
      <c r="H9292" s="3" t="s">
        <v>46910</v>
      </c>
      <c r="I9292" s="3" t="s">
        <v>47336</v>
      </c>
      <c r="J9292" s="3" t="s">
        <v>47345</v>
      </c>
      <c r="K9292" s="3" t="s">
        <v>47346</v>
      </c>
      <c r="L9292" s="3" t="s">
        <v>47347</v>
      </c>
      <c r="M9292" s="4"/>
      <c r="N9292" s="3"/>
      <c r="O9292" s="3"/>
      <c r="P9292" s="5">
        <v>0</v>
      </c>
      <c r="Q9292" s="5">
        <v>0</v>
      </c>
      <c r="R9292" s="5"/>
      <c r="S9292" s="5"/>
    </row>
    <row r="9293" spans="1:19" ht="42" x14ac:dyDescent="0.15">
      <c r="A9293" s="2">
        <f>HYPERLINK("https://open-school.uspishnemisto.com.ua/school/510117/", 510117)</f>
        <v>510117</v>
      </c>
      <c r="B9293" s="3" t="s">
        <v>47348</v>
      </c>
      <c r="C9293" s="3" t="s">
        <v>40</v>
      </c>
      <c r="D9293" s="3" t="s">
        <v>32</v>
      </c>
      <c r="E9293" s="4" t="s">
        <v>22</v>
      </c>
      <c r="F9293" s="4" t="s">
        <v>47349</v>
      </c>
      <c r="G9293" s="4" t="s">
        <v>47335</v>
      </c>
      <c r="H9293" s="3" t="s">
        <v>46910</v>
      </c>
      <c r="I9293" s="3" t="s">
        <v>47336</v>
      </c>
      <c r="J9293" s="3" t="s">
        <v>47350</v>
      </c>
      <c r="K9293" s="3" t="s">
        <v>47351</v>
      </c>
      <c r="L9293" s="3"/>
      <c r="M9293" s="4"/>
      <c r="N9293" s="3" t="s">
        <v>128</v>
      </c>
      <c r="O9293" s="3" t="s">
        <v>47352</v>
      </c>
      <c r="P9293" s="5">
        <v>25</v>
      </c>
      <c r="Q9293" s="5">
        <v>759</v>
      </c>
      <c r="R9293" s="5">
        <v>27</v>
      </c>
      <c r="S9293" s="5">
        <v>816</v>
      </c>
    </row>
    <row r="9294" spans="1:19" ht="28" x14ac:dyDescent="0.15">
      <c r="A9294" s="2">
        <f>HYPERLINK("https://open-school.uspishnemisto.com.ua/school/510118/", 510118)</f>
        <v>510118</v>
      </c>
      <c r="B9294" s="3" t="s">
        <v>47353</v>
      </c>
      <c r="C9294" s="3" t="s">
        <v>31</v>
      </c>
      <c r="D9294" s="3" t="s">
        <v>32</v>
      </c>
      <c r="E9294" s="4" t="s">
        <v>41</v>
      </c>
      <c r="F9294" s="4" t="s">
        <v>47340</v>
      </c>
      <c r="G9294" s="4" t="s">
        <v>47335</v>
      </c>
      <c r="H9294" s="3" t="s">
        <v>46910</v>
      </c>
      <c r="I9294" s="3" t="s">
        <v>47336</v>
      </c>
      <c r="J9294" s="3" t="s">
        <v>47354</v>
      </c>
      <c r="K9294" s="3" t="s">
        <v>47355</v>
      </c>
      <c r="L9294" s="3"/>
      <c r="M9294" s="4"/>
      <c r="N9294" s="3" t="s">
        <v>967</v>
      </c>
      <c r="O9294" s="3" t="s">
        <v>52</v>
      </c>
      <c r="P9294" s="5">
        <v>11</v>
      </c>
      <c r="Q9294" s="5">
        <v>150</v>
      </c>
      <c r="R9294" s="5">
        <v>11</v>
      </c>
      <c r="S9294" s="5">
        <v>149</v>
      </c>
    </row>
    <row r="9295" spans="1:19" ht="28" x14ac:dyDescent="0.15">
      <c r="A9295" s="2">
        <f>HYPERLINK("https://open-school.uspishnemisto.com.ua/school/510119/", 510119)</f>
        <v>510119</v>
      </c>
      <c r="B9295" s="3" t="s">
        <v>47356</v>
      </c>
      <c r="C9295" s="3" t="s">
        <v>31</v>
      </c>
      <c r="D9295" s="3" t="s">
        <v>32</v>
      </c>
      <c r="E9295" s="4" t="s">
        <v>22</v>
      </c>
      <c r="F9295" s="4" t="s">
        <v>46937</v>
      </c>
      <c r="G9295" s="4" t="s">
        <v>47335</v>
      </c>
      <c r="H9295" s="3" t="s">
        <v>46910</v>
      </c>
      <c r="I9295" s="3" t="s">
        <v>47336</v>
      </c>
      <c r="J9295" s="3" t="s">
        <v>47357</v>
      </c>
      <c r="K9295" s="3" t="s">
        <v>47358</v>
      </c>
      <c r="L9295" s="3" t="s">
        <v>47359</v>
      </c>
      <c r="M9295" s="4"/>
      <c r="N9295" s="3" t="s">
        <v>967</v>
      </c>
      <c r="O9295" s="3" t="s">
        <v>46</v>
      </c>
      <c r="P9295" s="5">
        <v>16</v>
      </c>
      <c r="Q9295" s="5">
        <v>389</v>
      </c>
      <c r="R9295" s="5">
        <v>16</v>
      </c>
      <c r="S9295" s="5">
        <v>375</v>
      </c>
    </row>
    <row r="9296" spans="1:19" ht="28" x14ac:dyDescent="0.15">
      <c r="A9296" s="2">
        <f>HYPERLINK("https://open-school.uspishnemisto.com.ua/school/510120/", 510120)</f>
        <v>510120</v>
      </c>
      <c r="B9296" s="3" t="s">
        <v>47360</v>
      </c>
      <c r="C9296" s="3" t="s">
        <v>31</v>
      </c>
      <c r="D9296" s="3" t="s">
        <v>32</v>
      </c>
      <c r="E9296" s="4" t="s">
        <v>22</v>
      </c>
      <c r="F9296" s="4" t="s">
        <v>47133</v>
      </c>
      <c r="G9296" s="4" t="s">
        <v>47335</v>
      </c>
      <c r="H9296" s="3" t="s">
        <v>46910</v>
      </c>
      <c r="I9296" s="3" t="s">
        <v>47336</v>
      </c>
      <c r="J9296" s="3" t="s">
        <v>47361</v>
      </c>
      <c r="K9296" s="3" t="s">
        <v>47362</v>
      </c>
      <c r="L9296" s="3"/>
      <c r="M9296" s="4"/>
      <c r="N9296" s="3" t="s">
        <v>37</v>
      </c>
      <c r="O9296" s="3" t="s">
        <v>38</v>
      </c>
      <c r="P9296" s="5">
        <v>19</v>
      </c>
      <c r="Q9296" s="5">
        <v>469</v>
      </c>
      <c r="R9296" s="5">
        <v>19</v>
      </c>
      <c r="S9296" s="5">
        <v>470</v>
      </c>
    </row>
    <row r="9297" spans="1:19" ht="28" x14ac:dyDescent="0.15">
      <c r="A9297" s="2">
        <f>HYPERLINK("https://open-school.uspishnemisto.com.ua/school/510121/", 510121)</f>
        <v>510121</v>
      </c>
      <c r="B9297" s="3" t="s">
        <v>47363</v>
      </c>
      <c r="C9297" s="3" t="s">
        <v>31</v>
      </c>
      <c r="D9297" s="3" t="s">
        <v>32</v>
      </c>
      <c r="E9297" s="4" t="s">
        <v>22</v>
      </c>
      <c r="F9297" s="4" t="s">
        <v>46932</v>
      </c>
      <c r="G9297" s="4" t="s">
        <v>47335</v>
      </c>
      <c r="H9297" s="3" t="s">
        <v>46910</v>
      </c>
      <c r="I9297" s="3" t="s">
        <v>47336</v>
      </c>
      <c r="J9297" s="3" t="s">
        <v>47364</v>
      </c>
      <c r="K9297" s="3" t="s">
        <v>47365</v>
      </c>
      <c r="L9297" s="3" t="s">
        <v>47366</v>
      </c>
      <c r="M9297" s="4"/>
      <c r="N9297" s="3" t="s">
        <v>128</v>
      </c>
      <c r="O9297" s="3" t="s">
        <v>38</v>
      </c>
      <c r="P9297" s="5">
        <v>21</v>
      </c>
      <c r="Q9297" s="5">
        <v>523</v>
      </c>
      <c r="R9297" s="5">
        <v>22</v>
      </c>
      <c r="S9297" s="5">
        <v>523</v>
      </c>
    </row>
    <row r="9298" spans="1:19" ht="28" x14ac:dyDescent="0.15">
      <c r="A9298" s="2">
        <f>HYPERLINK("https://open-school.uspishnemisto.com.ua/school/510122/", 510122)</f>
        <v>510122</v>
      </c>
      <c r="B9298" s="3" t="s">
        <v>47367</v>
      </c>
      <c r="C9298" s="3" t="s">
        <v>31</v>
      </c>
      <c r="D9298" s="3" t="s">
        <v>32</v>
      </c>
      <c r="E9298" s="4" t="s">
        <v>22</v>
      </c>
      <c r="F9298" s="4" t="s">
        <v>47368</v>
      </c>
      <c r="G9298" s="4" t="s">
        <v>47335</v>
      </c>
      <c r="H9298" s="3" t="s">
        <v>46910</v>
      </c>
      <c r="I9298" s="3" t="s">
        <v>47336</v>
      </c>
      <c r="J9298" s="3" t="s">
        <v>11216</v>
      </c>
      <c r="K9298" s="3" t="s">
        <v>47369</v>
      </c>
      <c r="L9298" s="3"/>
      <c r="M9298" s="4"/>
      <c r="N9298" s="3" t="s">
        <v>128</v>
      </c>
      <c r="O9298" s="3" t="s">
        <v>70</v>
      </c>
      <c r="P9298" s="5">
        <v>15</v>
      </c>
      <c r="Q9298" s="5">
        <v>301</v>
      </c>
      <c r="R9298" s="5">
        <v>14</v>
      </c>
      <c r="S9298" s="5">
        <v>282</v>
      </c>
    </row>
    <row r="9299" spans="1:19" ht="28" x14ac:dyDescent="0.15">
      <c r="A9299" s="2">
        <f>HYPERLINK("https://open-school.uspishnemisto.com.ua/school/510123/", 510123)</f>
        <v>510123</v>
      </c>
      <c r="B9299" s="3" t="s">
        <v>47370</v>
      </c>
      <c r="C9299" s="3" t="s">
        <v>31</v>
      </c>
      <c r="D9299" s="3" t="s">
        <v>32</v>
      </c>
      <c r="E9299" s="4" t="s">
        <v>22</v>
      </c>
      <c r="F9299" s="4" t="s">
        <v>46937</v>
      </c>
      <c r="G9299" s="4" t="s">
        <v>47335</v>
      </c>
      <c r="H9299" s="3" t="s">
        <v>46910</v>
      </c>
      <c r="I9299" s="3" t="s">
        <v>47336</v>
      </c>
      <c r="J9299" s="3" t="s">
        <v>47371</v>
      </c>
      <c r="K9299" s="3" t="s">
        <v>47372</v>
      </c>
      <c r="L9299" s="3"/>
      <c r="M9299" s="4"/>
      <c r="N9299" s="3" t="s">
        <v>967</v>
      </c>
      <c r="O9299" s="3" t="s">
        <v>52</v>
      </c>
      <c r="P9299" s="5">
        <v>11</v>
      </c>
      <c r="Q9299" s="5">
        <v>321</v>
      </c>
      <c r="R9299" s="5">
        <v>11</v>
      </c>
      <c r="S9299" s="5">
        <v>313</v>
      </c>
    </row>
    <row r="9300" spans="1:19" ht="28" x14ac:dyDescent="0.15">
      <c r="A9300" s="2">
        <f>HYPERLINK("https://open-school.uspishnemisto.com.ua/school/510124/", 510124)</f>
        <v>510124</v>
      </c>
      <c r="B9300" s="3" t="s">
        <v>47373</v>
      </c>
      <c r="C9300" s="3" t="s">
        <v>31</v>
      </c>
      <c r="D9300" s="3" t="s">
        <v>32</v>
      </c>
      <c r="E9300" s="4" t="s">
        <v>22</v>
      </c>
      <c r="F9300" s="4" t="s">
        <v>47374</v>
      </c>
      <c r="G9300" s="4" t="s">
        <v>47335</v>
      </c>
      <c r="H9300" s="3" t="s">
        <v>46910</v>
      </c>
      <c r="I9300" s="3" t="s">
        <v>47336</v>
      </c>
      <c r="J9300" s="3" t="s">
        <v>47375</v>
      </c>
      <c r="K9300" s="3" t="s">
        <v>47376</v>
      </c>
      <c r="L9300" s="3"/>
      <c r="M9300" s="4"/>
      <c r="N9300" s="3" t="s">
        <v>128</v>
      </c>
      <c r="O9300" s="3" t="s">
        <v>70</v>
      </c>
      <c r="P9300" s="5">
        <v>42</v>
      </c>
      <c r="Q9300" s="5">
        <v>1424</v>
      </c>
      <c r="R9300" s="5">
        <v>41</v>
      </c>
      <c r="S9300" s="5">
        <v>1371</v>
      </c>
    </row>
    <row r="9301" spans="1:19" ht="28" x14ac:dyDescent="0.15">
      <c r="A9301" s="2">
        <f>HYPERLINK("https://open-school.uspishnemisto.com.ua/school/510125/", 510125)</f>
        <v>510125</v>
      </c>
      <c r="B9301" s="3" t="s">
        <v>47377</v>
      </c>
      <c r="C9301" s="3" t="s">
        <v>31</v>
      </c>
      <c r="D9301" s="3" t="s">
        <v>32</v>
      </c>
      <c r="E9301" s="4" t="s">
        <v>22</v>
      </c>
      <c r="F9301" s="4" t="s">
        <v>47340</v>
      </c>
      <c r="G9301" s="4" t="s">
        <v>47335</v>
      </c>
      <c r="H9301" s="3" t="s">
        <v>46910</v>
      </c>
      <c r="I9301" s="3" t="s">
        <v>47336</v>
      </c>
      <c r="J9301" s="3" t="s">
        <v>47378</v>
      </c>
      <c r="K9301" s="3" t="s">
        <v>47379</v>
      </c>
      <c r="L9301" s="3"/>
      <c r="M9301" s="4"/>
      <c r="N9301" s="3" t="s">
        <v>128</v>
      </c>
      <c r="O9301" s="3" t="s">
        <v>197</v>
      </c>
      <c r="P9301" s="5">
        <v>20</v>
      </c>
      <c r="Q9301" s="5">
        <v>481</v>
      </c>
      <c r="R9301" s="5">
        <v>19</v>
      </c>
      <c r="S9301" s="5">
        <v>411</v>
      </c>
    </row>
    <row r="9302" spans="1:19" ht="28" x14ac:dyDescent="0.15">
      <c r="A9302" s="2">
        <f>HYPERLINK("https://open-school.uspishnemisto.com.ua/school/510126/", 510126)</f>
        <v>510126</v>
      </c>
      <c r="B9302" s="3" t="s">
        <v>47380</v>
      </c>
      <c r="C9302" s="3" t="s">
        <v>31</v>
      </c>
      <c r="D9302" s="3" t="s">
        <v>32</v>
      </c>
      <c r="E9302" s="4" t="s">
        <v>22</v>
      </c>
      <c r="F9302" s="4" t="s">
        <v>47381</v>
      </c>
      <c r="G9302" s="4" t="s">
        <v>47335</v>
      </c>
      <c r="H9302" s="3" t="s">
        <v>46910</v>
      </c>
      <c r="I9302" s="3" t="s">
        <v>47336</v>
      </c>
      <c r="J9302" s="3" t="s">
        <v>47382</v>
      </c>
      <c r="K9302" s="3" t="s">
        <v>47383</v>
      </c>
      <c r="L9302" s="3"/>
      <c r="M9302" s="4"/>
      <c r="N9302" s="3" t="s">
        <v>128</v>
      </c>
      <c r="O9302" s="3" t="s">
        <v>70</v>
      </c>
      <c r="P9302" s="5">
        <v>21</v>
      </c>
      <c r="Q9302" s="5">
        <v>587</v>
      </c>
      <c r="R9302" s="5">
        <v>20</v>
      </c>
      <c r="S9302" s="5">
        <v>575</v>
      </c>
    </row>
    <row r="9303" spans="1:19" ht="28" x14ac:dyDescent="0.15">
      <c r="A9303" s="2">
        <f>HYPERLINK("https://open-school.uspishnemisto.com.ua/school/510127/", 510127)</f>
        <v>510127</v>
      </c>
      <c r="B9303" s="3" t="s">
        <v>47384</v>
      </c>
      <c r="C9303" s="3" t="s">
        <v>31</v>
      </c>
      <c r="D9303" s="3" t="s">
        <v>32</v>
      </c>
      <c r="E9303" s="4" t="s">
        <v>22</v>
      </c>
      <c r="F9303" s="4" t="s">
        <v>47385</v>
      </c>
      <c r="G9303" s="4" t="s">
        <v>47335</v>
      </c>
      <c r="H9303" s="3" t="s">
        <v>46910</v>
      </c>
      <c r="I9303" s="3" t="s">
        <v>47336</v>
      </c>
      <c r="J9303" s="3" t="s">
        <v>47386</v>
      </c>
      <c r="K9303" s="3" t="s">
        <v>47387</v>
      </c>
      <c r="L9303" s="3"/>
      <c r="M9303" s="4"/>
      <c r="N9303" s="3" t="s">
        <v>128</v>
      </c>
      <c r="O9303" s="3" t="s">
        <v>70</v>
      </c>
      <c r="P9303" s="5">
        <v>20</v>
      </c>
      <c r="Q9303" s="5">
        <v>492</v>
      </c>
      <c r="R9303" s="5">
        <v>20</v>
      </c>
      <c r="S9303" s="5">
        <v>458</v>
      </c>
    </row>
    <row r="9304" spans="1:19" ht="28" x14ac:dyDescent="0.15">
      <c r="A9304" s="2">
        <f>HYPERLINK("https://open-school.uspishnemisto.com.ua/school/510128/", 510128)</f>
        <v>510128</v>
      </c>
      <c r="B9304" s="3" t="s">
        <v>47388</v>
      </c>
      <c r="C9304" s="3" t="s">
        <v>31</v>
      </c>
      <c r="D9304" s="3" t="s">
        <v>32</v>
      </c>
      <c r="E9304" s="4" t="s">
        <v>22</v>
      </c>
      <c r="F9304" s="4" t="s">
        <v>47133</v>
      </c>
      <c r="G9304" s="4" t="s">
        <v>47335</v>
      </c>
      <c r="H9304" s="3" t="s">
        <v>46910</v>
      </c>
      <c r="I9304" s="3" t="s">
        <v>47336</v>
      </c>
      <c r="J9304" s="3" t="s">
        <v>47389</v>
      </c>
      <c r="K9304" s="3" t="s">
        <v>47390</v>
      </c>
      <c r="L9304" s="3"/>
      <c r="M9304" s="4"/>
      <c r="N9304" s="3" t="s">
        <v>967</v>
      </c>
      <c r="O9304" s="3" t="s">
        <v>123</v>
      </c>
      <c r="P9304" s="5">
        <v>28</v>
      </c>
      <c r="Q9304" s="5">
        <v>710</v>
      </c>
      <c r="R9304" s="5">
        <v>27</v>
      </c>
      <c r="S9304" s="5">
        <v>707</v>
      </c>
    </row>
    <row r="9305" spans="1:19" ht="28" x14ac:dyDescent="0.15">
      <c r="A9305" s="2">
        <f>HYPERLINK("https://open-school.uspishnemisto.com.ua/school/510129/", 510129)</f>
        <v>510129</v>
      </c>
      <c r="B9305" s="3" t="s">
        <v>47391</v>
      </c>
      <c r="C9305" s="3" t="s">
        <v>31</v>
      </c>
      <c r="D9305" s="3" t="s">
        <v>32</v>
      </c>
      <c r="E9305" s="4" t="s">
        <v>22</v>
      </c>
      <c r="F9305" s="4" t="s">
        <v>47340</v>
      </c>
      <c r="G9305" s="4" t="s">
        <v>47335</v>
      </c>
      <c r="H9305" s="3" t="s">
        <v>46910</v>
      </c>
      <c r="I9305" s="3" t="s">
        <v>47336</v>
      </c>
      <c r="J9305" s="3" t="s">
        <v>47392</v>
      </c>
      <c r="K9305" s="3" t="s">
        <v>47393</v>
      </c>
      <c r="L9305" s="3" t="s">
        <v>47394</v>
      </c>
      <c r="M9305" s="4"/>
      <c r="N9305" s="3" t="s">
        <v>128</v>
      </c>
      <c r="O9305" s="3" t="s">
        <v>46</v>
      </c>
      <c r="P9305" s="5">
        <v>25</v>
      </c>
      <c r="Q9305" s="5">
        <v>652</v>
      </c>
      <c r="R9305" s="5">
        <v>24</v>
      </c>
      <c r="S9305" s="5">
        <v>631</v>
      </c>
    </row>
    <row r="9306" spans="1:19" ht="42" x14ac:dyDescent="0.15">
      <c r="A9306" s="2">
        <f>HYPERLINK("https://open-school.uspishnemisto.com.ua/school/510130/", 510130)</f>
        <v>510130</v>
      </c>
      <c r="B9306" s="3" t="s">
        <v>47395</v>
      </c>
      <c r="C9306" s="3" t="s">
        <v>31</v>
      </c>
      <c r="D9306" s="3" t="s">
        <v>32</v>
      </c>
      <c r="E9306" s="4" t="s">
        <v>22</v>
      </c>
      <c r="F9306" s="4" t="s">
        <v>47340</v>
      </c>
      <c r="G9306" s="4" t="s">
        <v>47335</v>
      </c>
      <c r="H9306" s="3" t="s">
        <v>46910</v>
      </c>
      <c r="I9306" s="3" t="s">
        <v>47336</v>
      </c>
      <c r="J9306" s="3" t="s">
        <v>47396</v>
      </c>
      <c r="K9306" s="3"/>
      <c r="L9306" s="3"/>
      <c r="M9306" s="4"/>
      <c r="N9306" s="3" t="s">
        <v>37</v>
      </c>
      <c r="O9306" s="3" t="s">
        <v>70</v>
      </c>
      <c r="P9306" s="5">
        <v>20</v>
      </c>
      <c r="Q9306" s="5">
        <v>496</v>
      </c>
      <c r="R9306" s="5">
        <v>20</v>
      </c>
      <c r="S9306" s="5">
        <v>481</v>
      </c>
    </row>
    <row r="9307" spans="1:19" ht="56" x14ac:dyDescent="0.15">
      <c r="A9307" s="2">
        <f>HYPERLINK("https://open-school.uspishnemisto.com.ua/school/510131/", 510131)</f>
        <v>510131</v>
      </c>
      <c r="B9307" s="3" t="s">
        <v>47397</v>
      </c>
      <c r="C9307" s="3" t="s">
        <v>31</v>
      </c>
      <c r="D9307" s="3" t="s">
        <v>32</v>
      </c>
      <c r="E9307" s="4" t="s">
        <v>22</v>
      </c>
      <c r="F9307" s="4" t="s">
        <v>47374</v>
      </c>
      <c r="G9307" s="4" t="s">
        <v>47335</v>
      </c>
      <c r="H9307" s="3" t="s">
        <v>46910</v>
      </c>
      <c r="I9307" s="3" t="s">
        <v>47336</v>
      </c>
      <c r="J9307" s="3" t="s">
        <v>47398</v>
      </c>
      <c r="K9307" s="3" t="s">
        <v>47399</v>
      </c>
      <c r="L9307" s="3"/>
      <c r="M9307" s="4"/>
      <c r="N9307" s="3" t="s">
        <v>967</v>
      </c>
      <c r="O9307" s="3" t="s">
        <v>46</v>
      </c>
      <c r="P9307" s="5">
        <v>31</v>
      </c>
      <c r="Q9307" s="5">
        <v>903</v>
      </c>
      <c r="R9307" s="5">
        <v>31</v>
      </c>
      <c r="S9307" s="5">
        <v>861</v>
      </c>
    </row>
    <row r="9308" spans="1:19" ht="28" x14ac:dyDescent="0.15">
      <c r="A9308" s="2">
        <f>HYPERLINK("https://open-school.uspishnemisto.com.ua/school/510132/", 510132)</f>
        <v>510132</v>
      </c>
      <c r="B9308" s="3" t="s">
        <v>47400</v>
      </c>
      <c r="C9308" s="3" t="s">
        <v>31</v>
      </c>
      <c r="D9308" s="3" t="s">
        <v>32</v>
      </c>
      <c r="E9308" s="4" t="s">
        <v>22</v>
      </c>
      <c r="F9308" s="4" t="s">
        <v>47057</v>
      </c>
      <c r="G9308" s="4" t="s">
        <v>47335</v>
      </c>
      <c r="H9308" s="3" t="s">
        <v>46910</v>
      </c>
      <c r="I9308" s="3" t="s">
        <v>47336</v>
      </c>
      <c r="J9308" s="3" t="s">
        <v>38503</v>
      </c>
      <c r="K9308" s="3" t="s">
        <v>47401</v>
      </c>
      <c r="L9308" s="3" t="s">
        <v>47402</v>
      </c>
      <c r="M9308" s="4"/>
      <c r="N9308" s="3" t="s">
        <v>128</v>
      </c>
      <c r="O9308" s="3" t="s">
        <v>47403</v>
      </c>
      <c r="P9308" s="5">
        <v>24</v>
      </c>
      <c r="Q9308" s="5">
        <v>511</v>
      </c>
      <c r="R9308" s="5">
        <v>24</v>
      </c>
      <c r="S9308" s="5">
        <v>506</v>
      </c>
    </row>
    <row r="9309" spans="1:19" ht="28" x14ac:dyDescent="0.15">
      <c r="A9309" s="2">
        <f>HYPERLINK("https://open-school.uspishnemisto.com.ua/school/510133/", 510133)</f>
        <v>510133</v>
      </c>
      <c r="B9309" s="3" t="s">
        <v>47404</v>
      </c>
      <c r="C9309" s="3" t="s">
        <v>31</v>
      </c>
      <c r="D9309" s="3" t="s">
        <v>32</v>
      </c>
      <c r="E9309" s="4" t="s">
        <v>22</v>
      </c>
      <c r="F9309" s="4" t="s">
        <v>47349</v>
      </c>
      <c r="G9309" s="4" t="s">
        <v>47335</v>
      </c>
      <c r="H9309" s="3" t="s">
        <v>46910</v>
      </c>
      <c r="I9309" s="3" t="s">
        <v>47336</v>
      </c>
      <c r="J9309" s="3" t="s">
        <v>47405</v>
      </c>
      <c r="K9309" s="3" t="s">
        <v>47406</v>
      </c>
      <c r="L9309" s="3"/>
      <c r="M9309" s="4"/>
      <c r="N9309" s="3" t="s">
        <v>967</v>
      </c>
      <c r="O9309" s="3" t="s">
        <v>46</v>
      </c>
      <c r="P9309" s="5">
        <v>19</v>
      </c>
      <c r="Q9309" s="5">
        <v>488</v>
      </c>
      <c r="R9309" s="5">
        <v>19</v>
      </c>
      <c r="S9309" s="5">
        <v>467</v>
      </c>
    </row>
    <row r="9310" spans="1:19" ht="42" x14ac:dyDescent="0.15">
      <c r="A9310" s="2">
        <f>HYPERLINK("https://open-school.uspishnemisto.com.ua/school/510134/", 510134)</f>
        <v>510134</v>
      </c>
      <c r="B9310" s="3" t="s">
        <v>47407</v>
      </c>
      <c r="C9310" s="3" t="s">
        <v>31</v>
      </c>
      <c r="D9310" s="3" t="s">
        <v>32</v>
      </c>
      <c r="E9310" s="4" t="s">
        <v>22</v>
      </c>
      <c r="F9310" s="4" t="s">
        <v>47133</v>
      </c>
      <c r="G9310" s="4" t="s">
        <v>47335</v>
      </c>
      <c r="H9310" s="3" t="s">
        <v>46910</v>
      </c>
      <c r="I9310" s="3" t="s">
        <v>47336</v>
      </c>
      <c r="J9310" s="3" t="s">
        <v>47408</v>
      </c>
      <c r="K9310" s="3" t="s">
        <v>47409</v>
      </c>
      <c r="L9310" s="3"/>
      <c r="M9310" s="4"/>
      <c r="N9310" s="3" t="s">
        <v>128</v>
      </c>
      <c r="O9310" s="3" t="s">
        <v>70</v>
      </c>
      <c r="P9310" s="5">
        <v>24</v>
      </c>
      <c r="Q9310" s="5">
        <v>612</v>
      </c>
      <c r="R9310" s="5">
        <v>24</v>
      </c>
      <c r="S9310" s="5">
        <v>588</v>
      </c>
    </row>
    <row r="9311" spans="1:19" ht="28" x14ac:dyDescent="0.15">
      <c r="A9311" s="2">
        <f>HYPERLINK("https://open-school.uspishnemisto.com.ua/school/510135/", 510135)</f>
        <v>510135</v>
      </c>
      <c r="B9311" s="3" t="s">
        <v>47410</v>
      </c>
      <c r="C9311" s="3" t="s">
        <v>31</v>
      </c>
      <c r="D9311" s="3" t="s">
        <v>32</v>
      </c>
      <c r="E9311" s="4" t="s">
        <v>22</v>
      </c>
      <c r="F9311" s="4" t="s">
        <v>47148</v>
      </c>
      <c r="G9311" s="4" t="s">
        <v>47335</v>
      </c>
      <c r="H9311" s="3" t="s">
        <v>46910</v>
      </c>
      <c r="I9311" s="3" t="s">
        <v>47336</v>
      </c>
      <c r="J9311" s="3" t="s">
        <v>47411</v>
      </c>
      <c r="K9311" s="3" t="s">
        <v>47412</v>
      </c>
      <c r="L9311" s="3"/>
      <c r="M9311" s="4"/>
      <c r="N9311" s="3" t="s">
        <v>967</v>
      </c>
      <c r="O9311" s="3" t="s">
        <v>46</v>
      </c>
      <c r="P9311" s="5">
        <v>46</v>
      </c>
      <c r="Q9311" s="5">
        <v>1225</v>
      </c>
      <c r="R9311" s="5">
        <v>43</v>
      </c>
      <c r="S9311" s="5">
        <v>1141</v>
      </c>
    </row>
    <row r="9312" spans="1:19" ht="28" x14ac:dyDescent="0.15">
      <c r="A9312" s="2">
        <f>HYPERLINK("https://open-school.uspishnemisto.com.ua/school/510136/", 510136)</f>
        <v>510136</v>
      </c>
      <c r="B9312" s="3" t="s">
        <v>47413</v>
      </c>
      <c r="C9312" s="3" t="s">
        <v>31</v>
      </c>
      <c r="D9312" s="3" t="s">
        <v>32</v>
      </c>
      <c r="E9312" s="4" t="s">
        <v>22</v>
      </c>
      <c r="F9312" s="4" t="s">
        <v>46961</v>
      </c>
      <c r="G9312" s="4" t="s">
        <v>47335</v>
      </c>
      <c r="H9312" s="3" t="s">
        <v>46910</v>
      </c>
      <c r="I9312" s="3" t="s">
        <v>47336</v>
      </c>
      <c r="J9312" s="3" t="s">
        <v>47119</v>
      </c>
      <c r="K9312" s="3" t="s">
        <v>47414</v>
      </c>
      <c r="L9312" s="3" t="s">
        <v>47415</v>
      </c>
      <c r="M9312" s="4"/>
      <c r="N9312" s="3" t="s">
        <v>128</v>
      </c>
      <c r="O9312" s="3" t="s">
        <v>70</v>
      </c>
      <c r="P9312" s="5">
        <v>18</v>
      </c>
      <c r="Q9312" s="5">
        <v>406</v>
      </c>
      <c r="R9312" s="5">
        <v>19</v>
      </c>
      <c r="S9312" s="5">
        <v>422</v>
      </c>
    </row>
    <row r="9313" spans="1:19" ht="42" x14ac:dyDescent="0.15">
      <c r="A9313" s="2">
        <f>HYPERLINK("https://open-school.uspishnemisto.com.ua/school/510137/", 510137)</f>
        <v>510137</v>
      </c>
      <c r="B9313" s="3" t="s">
        <v>47416</v>
      </c>
      <c r="C9313" s="3" t="s">
        <v>31</v>
      </c>
      <c r="D9313" s="3" t="s">
        <v>32</v>
      </c>
      <c r="E9313" s="4" t="s">
        <v>22</v>
      </c>
      <c r="F9313" s="4" t="s">
        <v>47417</v>
      </c>
      <c r="G9313" s="4" t="s">
        <v>47335</v>
      </c>
      <c r="H9313" s="3" t="s">
        <v>46910</v>
      </c>
      <c r="I9313" s="3" t="s">
        <v>47336</v>
      </c>
      <c r="J9313" s="3" t="s">
        <v>47418</v>
      </c>
      <c r="K9313" s="3" t="s">
        <v>47419</v>
      </c>
      <c r="L9313" s="3" t="s">
        <v>47420</v>
      </c>
      <c r="M9313" s="4"/>
      <c r="N9313" s="3" t="s">
        <v>128</v>
      </c>
      <c r="O9313" s="3" t="s">
        <v>38</v>
      </c>
      <c r="P9313" s="5">
        <v>31</v>
      </c>
      <c r="Q9313" s="5">
        <v>837</v>
      </c>
      <c r="R9313" s="5">
        <v>31</v>
      </c>
      <c r="S9313" s="5">
        <v>828</v>
      </c>
    </row>
    <row r="9314" spans="1:19" ht="28" x14ac:dyDescent="0.15">
      <c r="A9314" s="2">
        <f>HYPERLINK("https://open-school.uspishnemisto.com.ua/school/510138/", 510138)</f>
        <v>510138</v>
      </c>
      <c r="B9314" s="3" t="s">
        <v>47421</v>
      </c>
      <c r="C9314" s="3" t="s">
        <v>40</v>
      </c>
      <c r="D9314" s="3" t="s">
        <v>32</v>
      </c>
      <c r="E9314" s="4" t="s">
        <v>22</v>
      </c>
      <c r="F9314" s="4" t="s">
        <v>46937</v>
      </c>
      <c r="G9314" s="4" t="s">
        <v>47335</v>
      </c>
      <c r="H9314" s="3" t="s">
        <v>46910</v>
      </c>
      <c r="I9314" s="3" t="s">
        <v>47336</v>
      </c>
      <c r="J9314" s="3" t="s">
        <v>30995</v>
      </c>
      <c r="K9314" s="3" t="s">
        <v>47422</v>
      </c>
      <c r="L9314" s="3"/>
      <c r="M9314" s="4"/>
      <c r="N9314" s="3" t="s">
        <v>37</v>
      </c>
      <c r="O9314" s="3" t="s">
        <v>197</v>
      </c>
      <c r="P9314" s="5">
        <v>21</v>
      </c>
      <c r="Q9314" s="5">
        <v>574</v>
      </c>
      <c r="R9314" s="5">
        <v>21</v>
      </c>
      <c r="S9314" s="5">
        <v>551</v>
      </c>
    </row>
    <row r="9315" spans="1:19" ht="28" x14ac:dyDescent="0.15">
      <c r="A9315" s="2">
        <f>HYPERLINK("https://open-school.uspishnemisto.com.ua/school/510139/", 510139)</f>
        <v>510139</v>
      </c>
      <c r="B9315" s="3" t="s">
        <v>47423</v>
      </c>
      <c r="C9315" s="3" t="s">
        <v>40</v>
      </c>
      <c r="D9315" s="3" t="s">
        <v>32</v>
      </c>
      <c r="E9315" s="4" t="s">
        <v>41</v>
      </c>
      <c r="F9315" s="4"/>
      <c r="G9315" s="4" t="s">
        <v>47335</v>
      </c>
      <c r="H9315" s="3" t="s">
        <v>46910</v>
      </c>
      <c r="I9315" s="3" t="s">
        <v>47336</v>
      </c>
      <c r="J9315" s="3" t="s">
        <v>47424</v>
      </c>
      <c r="K9315" s="3" t="s">
        <v>47425</v>
      </c>
      <c r="L9315" s="3"/>
      <c r="M9315" s="4"/>
      <c r="N9315" s="3" t="s">
        <v>967</v>
      </c>
      <c r="O9315" s="3" t="s">
        <v>46</v>
      </c>
      <c r="P9315" s="5">
        <v>9</v>
      </c>
      <c r="Q9315" s="5">
        <v>96</v>
      </c>
      <c r="R9315" s="5">
        <v>8</v>
      </c>
      <c r="S9315" s="5">
        <v>81</v>
      </c>
    </row>
    <row r="9316" spans="1:19" ht="28" x14ac:dyDescent="0.15">
      <c r="A9316" s="2">
        <f>HYPERLINK("https://open-school.uspishnemisto.com.ua/school/510140/", 510140)</f>
        <v>510140</v>
      </c>
      <c r="B9316" s="3" t="s">
        <v>47426</v>
      </c>
      <c r="C9316" s="3" t="s">
        <v>31</v>
      </c>
      <c r="D9316" s="3" t="s">
        <v>32</v>
      </c>
      <c r="E9316" s="4" t="s">
        <v>41</v>
      </c>
      <c r="F9316" s="4" t="s">
        <v>47427</v>
      </c>
      <c r="G9316" s="4" t="s">
        <v>47335</v>
      </c>
      <c r="H9316" s="3" t="s">
        <v>46910</v>
      </c>
      <c r="I9316" s="3" t="s">
        <v>47336</v>
      </c>
      <c r="J9316" s="3" t="s">
        <v>47428</v>
      </c>
      <c r="K9316" s="3" t="s">
        <v>47429</v>
      </c>
      <c r="L9316" s="3"/>
      <c r="M9316" s="4"/>
      <c r="N9316" s="3" t="s">
        <v>967</v>
      </c>
      <c r="O9316" s="3" t="s">
        <v>52</v>
      </c>
      <c r="P9316" s="5">
        <v>7</v>
      </c>
      <c r="Q9316" s="5">
        <v>35</v>
      </c>
      <c r="R9316" s="5">
        <v>7</v>
      </c>
      <c r="S9316" s="5">
        <v>33</v>
      </c>
    </row>
    <row r="9317" spans="1:19" ht="28" x14ac:dyDescent="0.15">
      <c r="A9317" s="2">
        <f>HYPERLINK("https://open-school.uspishnemisto.com.ua/school/510141/", 510141)</f>
        <v>510141</v>
      </c>
      <c r="B9317" s="3" t="s">
        <v>47430</v>
      </c>
      <c r="C9317" s="3" t="s">
        <v>244</v>
      </c>
      <c r="D9317" s="3" t="s">
        <v>32</v>
      </c>
      <c r="E9317" s="4" t="s">
        <v>22</v>
      </c>
      <c r="F9317" s="4" t="s">
        <v>47057</v>
      </c>
      <c r="G9317" s="4" t="s">
        <v>47335</v>
      </c>
      <c r="H9317" s="3" t="s">
        <v>46910</v>
      </c>
      <c r="I9317" s="3" t="s">
        <v>47336</v>
      </c>
      <c r="J9317" s="3" t="s">
        <v>47431</v>
      </c>
      <c r="K9317" s="3" t="s">
        <v>47432</v>
      </c>
      <c r="L9317" s="3" t="s">
        <v>47433</v>
      </c>
      <c r="M9317" s="4"/>
      <c r="N9317" s="3" t="s">
        <v>128</v>
      </c>
      <c r="O9317" s="3" t="s">
        <v>129</v>
      </c>
      <c r="P9317" s="5">
        <v>39</v>
      </c>
      <c r="Q9317" s="5">
        <v>1071</v>
      </c>
      <c r="R9317" s="5">
        <v>38</v>
      </c>
      <c r="S9317" s="5">
        <v>1055</v>
      </c>
    </row>
    <row r="9318" spans="1:19" ht="42" x14ac:dyDescent="0.15">
      <c r="A9318" s="2">
        <f>HYPERLINK("https://open-school.uspishnemisto.com.ua/school/510142/", 510142)</f>
        <v>510142</v>
      </c>
      <c r="B9318" s="3" t="s">
        <v>47434</v>
      </c>
      <c r="C9318" s="3" t="s">
        <v>244</v>
      </c>
      <c r="D9318" s="3" t="s">
        <v>32</v>
      </c>
      <c r="E9318" s="4" t="s">
        <v>22</v>
      </c>
      <c r="F9318" s="4" t="s">
        <v>46937</v>
      </c>
      <c r="G9318" s="4" t="s">
        <v>47335</v>
      </c>
      <c r="H9318" s="3" t="s">
        <v>46910</v>
      </c>
      <c r="I9318" s="3" t="s">
        <v>47336</v>
      </c>
      <c r="J9318" s="3" t="s">
        <v>47435</v>
      </c>
      <c r="K9318" s="3" t="s">
        <v>47436</v>
      </c>
      <c r="L9318" s="3" t="s">
        <v>47437</v>
      </c>
      <c r="M9318" s="4"/>
      <c r="N9318" s="3" t="s">
        <v>128</v>
      </c>
      <c r="O9318" s="3" t="s">
        <v>6354</v>
      </c>
      <c r="P9318" s="5">
        <v>22</v>
      </c>
      <c r="Q9318" s="5">
        <v>601</v>
      </c>
      <c r="R9318" s="5">
        <v>23</v>
      </c>
      <c r="S9318" s="5">
        <v>631</v>
      </c>
    </row>
    <row r="9319" spans="1:19" ht="42" x14ac:dyDescent="0.15">
      <c r="A9319" s="2">
        <f>HYPERLINK("https://open-school.uspishnemisto.com.ua/school/510143/", 510143)</f>
        <v>510143</v>
      </c>
      <c r="B9319" s="3" t="s">
        <v>47438</v>
      </c>
      <c r="C9319" s="3" t="s">
        <v>244</v>
      </c>
      <c r="D9319" s="3" t="s">
        <v>32</v>
      </c>
      <c r="E9319" s="4" t="s">
        <v>22</v>
      </c>
      <c r="F9319" s="4" t="s">
        <v>46919</v>
      </c>
      <c r="G9319" s="4" t="s">
        <v>47335</v>
      </c>
      <c r="H9319" s="3" t="s">
        <v>46910</v>
      </c>
      <c r="I9319" s="3" t="s">
        <v>47336</v>
      </c>
      <c r="J9319" s="3" t="s">
        <v>47439</v>
      </c>
      <c r="K9319" s="3" t="s">
        <v>47440</v>
      </c>
      <c r="L9319" s="3"/>
      <c r="M9319" s="4"/>
      <c r="N9319" s="3" t="s">
        <v>967</v>
      </c>
      <c r="O9319" s="3" t="s">
        <v>123</v>
      </c>
      <c r="P9319" s="5">
        <v>40</v>
      </c>
      <c r="Q9319" s="5">
        <v>1300</v>
      </c>
      <c r="R9319" s="5">
        <v>40</v>
      </c>
      <c r="S9319" s="5">
        <v>1285</v>
      </c>
    </row>
    <row r="9320" spans="1:19" ht="42" x14ac:dyDescent="0.15">
      <c r="A9320" s="2">
        <f>HYPERLINK("https://open-school.uspishnemisto.com.ua/school/510144/", 510144)</f>
        <v>510144</v>
      </c>
      <c r="B9320" s="3" t="s">
        <v>47441</v>
      </c>
      <c r="C9320" s="3" t="s">
        <v>244</v>
      </c>
      <c r="D9320" s="3" t="s">
        <v>32</v>
      </c>
      <c r="E9320" s="4" t="s">
        <v>22</v>
      </c>
      <c r="F9320" s="4" t="s">
        <v>47385</v>
      </c>
      <c r="G9320" s="4" t="s">
        <v>47335</v>
      </c>
      <c r="H9320" s="3" t="s">
        <v>46910</v>
      </c>
      <c r="I9320" s="3" t="s">
        <v>47336</v>
      </c>
      <c r="J9320" s="3" t="s">
        <v>47442</v>
      </c>
      <c r="K9320" s="3" t="s">
        <v>47443</v>
      </c>
      <c r="L9320" s="3"/>
      <c r="M9320" s="4"/>
      <c r="N9320" s="3" t="s">
        <v>967</v>
      </c>
      <c r="O9320" s="3" t="s">
        <v>46</v>
      </c>
      <c r="P9320" s="5">
        <v>13</v>
      </c>
      <c r="Q9320" s="5">
        <v>284</v>
      </c>
      <c r="R9320" s="5">
        <v>13</v>
      </c>
      <c r="S9320" s="5">
        <v>258</v>
      </c>
    </row>
    <row r="9321" spans="1:19" ht="28" x14ac:dyDescent="0.15">
      <c r="A9321" s="2">
        <f>HYPERLINK("https://open-school.uspishnemisto.com.ua/school/510145/", 510145)</f>
        <v>510145</v>
      </c>
      <c r="B9321" s="3" t="s">
        <v>47444</v>
      </c>
      <c r="C9321" s="3" t="s">
        <v>244</v>
      </c>
      <c r="D9321" s="3" t="s">
        <v>32</v>
      </c>
      <c r="E9321" s="4" t="s">
        <v>22</v>
      </c>
      <c r="F9321" s="4" t="s">
        <v>47340</v>
      </c>
      <c r="G9321" s="4" t="s">
        <v>47335</v>
      </c>
      <c r="H9321" s="3" t="s">
        <v>46910</v>
      </c>
      <c r="I9321" s="3" t="s">
        <v>47336</v>
      </c>
      <c r="J9321" s="3" t="s">
        <v>47445</v>
      </c>
      <c r="K9321" s="3" t="s">
        <v>47446</v>
      </c>
      <c r="L9321" s="3"/>
      <c r="M9321" s="4"/>
      <c r="N9321" s="3" t="s">
        <v>128</v>
      </c>
      <c r="O9321" s="3" t="s">
        <v>721</v>
      </c>
      <c r="P9321" s="5">
        <v>31</v>
      </c>
      <c r="Q9321" s="5">
        <v>819</v>
      </c>
      <c r="R9321" s="5">
        <v>30</v>
      </c>
      <c r="S9321" s="5">
        <v>807</v>
      </c>
    </row>
    <row r="9322" spans="1:19" ht="42" x14ac:dyDescent="0.15">
      <c r="A9322" s="2">
        <f>HYPERLINK("https://open-school.uspishnemisto.com.ua/school/510146/", 510146)</f>
        <v>510146</v>
      </c>
      <c r="B9322" s="3" t="s">
        <v>47447</v>
      </c>
      <c r="C9322" s="3" t="s">
        <v>244</v>
      </c>
      <c r="D9322" s="3" t="s">
        <v>60</v>
      </c>
      <c r="E9322" s="4" t="s">
        <v>22</v>
      </c>
      <c r="F9322" s="4" t="s">
        <v>47349</v>
      </c>
      <c r="G9322" s="4" t="s">
        <v>47335</v>
      </c>
      <c r="H9322" s="3" t="s">
        <v>46910</v>
      </c>
      <c r="I9322" s="3" t="s">
        <v>47336</v>
      </c>
      <c r="J9322" s="3" t="s">
        <v>47448</v>
      </c>
      <c r="K9322" s="3" t="s">
        <v>47449</v>
      </c>
      <c r="L9322" s="3"/>
      <c r="M9322" s="4"/>
      <c r="N9322" s="3" t="s">
        <v>128</v>
      </c>
      <c r="O9322" s="3" t="s">
        <v>38</v>
      </c>
      <c r="P9322" s="5">
        <v>16</v>
      </c>
      <c r="Q9322" s="5">
        <v>619</v>
      </c>
      <c r="R9322" s="5">
        <v>15</v>
      </c>
      <c r="S9322" s="5">
        <v>594</v>
      </c>
    </row>
    <row r="9323" spans="1:19" ht="42" x14ac:dyDescent="0.15">
      <c r="A9323" s="2">
        <f>HYPERLINK("https://open-school.uspishnemisto.com.ua/school/510147/", 510147)</f>
        <v>510147</v>
      </c>
      <c r="B9323" s="3" t="s">
        <v>47450</v>
      </c>
      <c r="C9323" s="3" t="s">
        <v>244</v>
      </c>
      <c r="D9323" s="3" t="s">
        <v>32</v>
      </c>
      <c r="E9323" s="4" t="s">
        <v>22</v>
      </c>
      <c r="F9323" s="4" t="s">
        <v>46996</v>
      </c>
      <c r="G9323" s="4" t="s">
        <v>47335</v>
      </c>
      <c r="H9323" s="3" t="s">
        <v>46910</v>
      </c>
      <c r="I9323" s="3" t="s">
        <v>47336</v>
      </c>
      <c r="J9323" s="3" t="s">
        <v>47451</v>
      </c>
      <c r="K9323" s="3" t="s">
        <v>47452</v>
      </c>
      <c r="L9323" s="3"/>
      <c r="M9323" s="4"/>
      <c r="N9323" s="3" t="s">
        <v>128</v>
      </c>
      <c r="O9323" s="3" t="s">
        <v>2740</v>
      </c>
      <c r="P9323" s="5">
        <v>13</v>
      </c>
      <c r="Q9323" s="5">
        <v>284</v>
      </c>
      <c r="R9323" s="5">
        <v>12</v>
      </c>
      <c r="S9323" s="5">
        <v>261</v>
      </c>
    </row>
    <row r="9324" spans="1:19" ht="28" x14ac:dyDescent="0.15">
      <c r="A9324" s="2">
        <f>HYPERLINK("https://open-school.uspishnemisto.com.ua/school/510148/", 510148)</f>
        <v>510148</v>
      </c>
      <c r="B9324" s="3" t="s">
        <v>47453</v>
      </c>
      <c r="C9324" s="3" t="s">
        <v>188</v>
      </c>
      <c r="D9324" s="3" t="s">
        <v>32</v>
      </c>
      <c r="E9324" s="4" t="s">
        <v>22</v>
      </c>
      <c r="F9324" s="4" t="s">
        <v>47385</v>
      </c>
      <c r="G9324" s="4" t="s">
        <v>47335</v>
      </c>
      <c r="H9324" s="3" t="s">
        <v>46910</v>
      </c>
      <c r="I9324" s="3" t="s">
        <v>47336</v>
      </c>
      <c r="J9324" s="3" t="s">
        <v>47454</v>
      </c>
      <c r="K9324" s="3" t="s">
        <v>47455</v>
      </c>
      <c r="L9324" s="3"/>
      <c r="M9324" s="4"/>
      <c r="N9324" s="3" t="s">
        <v>128</v>
      </c>
      <c r="O9324" s="3" t="s">
        <v>38</v>
      </c>
      <c r="P9324" s="5">
        <v>20</v>
      </c>
      <c r="Q9324" s="5">
        <v>487</v>
      </c>
      <c r="R9324" s="5">
        <v>20</v>
      </c>
      <c r="S9324" s="5">
        <v>428</v>
      </c>
    </row>
    <row r="9325" spans="1:19" ht="42" x14ac:dyDescent="0.15">
      <c r="A9325" s="2">
        <f>HYPERLINK("https://open-school.uspishnemisto.com.ua/school/510149/", 510149)</f>
        <v>510149</v>
      </c>
      <c r="B9325" s="3" t="s">
        <v>47456</v>
      </c>
      <c r="C9325" s="3" t="s">
        <v>54</v>
      </c>
      <c r="D9325" s="3" t="s">
        <v>32</v>
      </c>
      <c r="E9325" s="4" t="s">
        <v>22</v>
      </c>
      <c r="F9325" s="4" t="s">
        <v>47057</v>
      </c>
      <c r="G9325" s="4" t="s">
        <v>47335</v>
      </c>
      <c r="H9325" s="3" t="s">
        <v>46910</v>
      </c>
      <c r="I9325" s="3" t="s">
        <v>47336</v>
      </c>
      <c r="J9325" s="3" t="s">
        <v>47457</v>
      </c>
      <c r="K9325" s="3" t="s">
        <v>47458</v>
      </c>
      <c r="L9325" s="3" t="s">
        <v>47459</v>
      </c>
      <c r="M9325" s="4"/>
      <c r="N9325" s="3" t="s">
        <v>37</v>
      </c>
      <c r="O9325" s="3" t="s">
        <v>9891</v>
      </c>
      <c r="P9325" s="5">
        <v>36</v>
      </c>
      <c r="Q9325" s="5">
        <v>1057</v>
      </c>
      <c r="R9325" s="5">
        <v>35</v>
      </c>
      <c r="S9325" s="5">
        <v>1027</v>
      </c>
    </row>
    <row r="9326" spans="1:19" ht="56" x14ac:dyDescent="0.15">
      <c r="A9326" s="2">
        <f>HYPERLINK("https://open-school.uspishnemisto.com.ua/school/510150/", 510150)</f>
        <v>510150</v>
      </c>
      <c r="B9326" s="3" t="s">
        <v>47460</v>
      </c>
      <c r="C9326" s="3" t="s">
        <v>54</v>
      </c>
      <c r="D9326" s="3" t="s">
        <v>32</v>
      </c>
      <c r="E9326" s="4" t="s">
        <v>22</v>
      </c>
      <c r="F9326" s="4" t="s">
        <v>47133</v>
      </c>
      <c r="G9326" s="4" t="s">
        <v>47335</v>
      </c>
      <c r="H9326" s="3" t="s">
        <v>46910</v>
      </c>
      <c r="I9326" s="3" t="s">
        <v>47336</v>
      </c>
      <c r="J9326" s="3" t="s">
        <v>47461</v>
      </c>
      <c r="K9326" s="3" t="s">
        <v>47462</v>
      </c>
      <c r="L9326" s="3"/>
      <c r="M9326" s="4"/>
      <c r="N9326" s="3" t="s">
        <v>37</v>
      </c>
      <c r="O9326" s="3" t="s">
        <v>70</v>
      </c>
      <c r="P9326" s="5">
        <v>36</v>
      </c>
      <c r="Q9326" s="5">
        <v>971</v>
      </c>
      <c r="R9326" s="5">
        <v>35</v>
      </c>
      <c r="S9326" s="5">
        <v>923</v>
      </c>
    </row>
    <row r="9327" spans="1:19" ht="56" x14ac:dyDescent="0.15">
      <c r="A9327" s="2">
        <f>HYPERLINK("https://open-school.uspishnemisto.com.ua/school/510152/", 510152)</f>
        <v>510152</v>
      </c>
      <c r="B9327" s="3" t="s">
        <v>47463</v>
      </c>
      <c r="C9327" s="3" t="s">
        <v>54</v>
      </c>
      <c r="D9327" s="3" t="s">
        <v>60</v>
      </c>
      <c r="E9327" s="4" t="s">
        <v>41</v>
      </c>
      <c r="F9327" s="4" t="s">
        <v>47374</v>
      </c>
      <c r="G9327" s="4" t="s">
        <v>47335</v>
      </c>
      <c r="H9327" s="3" t="s">
        <v>46910</v>
      </c>
      <c r="I9327" s="3" t="s">
        <v>47336</v>
      </c>
      <c r="J9327" s="3" t="s">
        <v>47464</v>
      </c>
      <c r="K9327" s="3" t="s">
        <v>47465</v>
      </c>
      <c r="L9327" s="3"/>
      <c r="M9327" s="4"/>
      <c r="N9327" s="3" t="s">
        <v>128</v>
      </c>
      <c r="O9327" s="3" t="s">
        <v>70</v>
      </c>
      <c r="P9327" s="5">
        <v>8</v>
      </c>
      <c r="Q9327" s="5">
        <v>116</v>
      </c>
      <c r="R9327" s="5">
        <v>8</v>
      </c>
      <c r="S9327" s="5">
        <v>115</v>
      </c>
    </row>
    <row r="9328" spans="1:19" ht="28" x14ac:dyDescent="0.15">
      <c r="A9328" s="2">
        <f>HYPERLINK("https://open-school.uspishnemisto.com.ua/school/510153/", 510153)</f>
        <v>510153</v>
      </c>
      <c r="B9328" s="3" t="s">
        <v>47466</v>
      </c>
      <c r="C9328" s="3" t="s">
        <v>31</v>
      </c>
      <c r="D9328" s="3" t="s">
        <v>32</v>
      </c>
      <c r="E9328" s="4" t="s">
        <v>41</v>
      </c>
      <c r="F9328" s="4" t="s">
        <v>47057</v>
      </c>
      <c r="G9328" s="4" t="s">
        <v>47335</v>
      </c>
      <c r="H9328" s="3" t="s">
        <v>46910</v>
      </c>
      <c r="I9328" s="3" t="s">
        <v>47336</v>
      </c>
      <c r="J9328" s="3" t="s">
        <v>14138</v>
      </c>
      <c r="K9328" s="3" t="s">
        <v>47467</v>
      </c>
      <c r="L9328" s="3"/>
      <c r="M9328" s="4"/>
      <c r="N9328" s="3" t="s">
        <v>967</v>
      </c>
      <c r="O9328" s="3" t="s">
        <v>52</v>
      </c>
      <c r="P9328" s="5">
        <v>15</v>
      </c>
      <c r="Q9328" s="5">
        <v>228</v>
      </c>
      <c r="R9328" s="5">
        <v>13</v>
      </c>
      <c r="S9328" s="5">
        <v>176</v>
      </c>
    </row>
    <row r="9329" spans="1:19" ht="28" x14ac:dyDescent="0.15">
      <c r="A9329" s="2">
        <f>HYPERLINK("https://open-school.uspishnemisto.com.ua/school/510154/", 510154)</f>
        <v>510154</v>
      </c>
      <c r="B9329" s="3" t="s">
        <v>47468</v>
      </c>
      <c r="C9329" s="3" t="s">
        <v>54</v>
      </c>
      <c r="D9329" s="3" t="s">
        <v>32</v>
      </c>
      <c r="E9329" s="4" t="s">
        <v>41</v>
      </c>
      <c r="F9329" s="4" t="s">
        <v>47374</v>
      </c>
      <c r="G9329" s="4" t="s">
        <v>47335</v>
      </c>
      <c r="H9329" s="3" t="s">
        <v>46910</v>
      </c>
      <c r="I9329" s="3" t="s">
        <v>47336</v>
      </c>
      <c r="J9329" s="3" t="s">
        <v>47469</v>
      </c>
      <c r="K9329" s="3" t="s">
        <v>47470</v>
      </c>
      <c r="L9329" s="3"/>
      <c r="M9329" s="4"/>
      <c r="N9329" s="3" t="s">
        <v>967</v>
      </c>
      <c r="O9329" s="3" t="s">
        <v>123</v>
      </c>
      <c r="P9329" s="5">
        <v>11</v>
      </c>
      <c r="Q9329" s="5">
        <v>117</v>
      </c>
      <c r="R9329" s="5">
        <v>10</v>
      </c>
      <c r="S9329" s="5">
        <v>104</v>
      </c>
    </row>
    <row r="9330" spans="1:19" ht="42" x14ac:dyDescent="0.15">
      <c r="A9330" s="2">
        <f>HYPERLINK("https://open-school.uspishnemisto.com.ua/school/510155/", 510155)</f>
        <v>510155</v>
      </c>
      <c r="B9330" s="3" t="s">
        <v>47471</v>
      </c>
      <c r="C9330" s="3" t="s">
        <v>54</v>
      </c>
      <c r="D9330" s="3" t="s">
        <v>60</v>
      </c>
      <c r="E9330" s="4" t="s">
        <v>41</v>
      </c>
      <c r="F9330" s="4" t="s">
        <v>47340</v>
      </c>
      <c r="G9330" s="4" t="s">
        <v>47335</v>
      </c>
      <c r="H9330" s="3" t="s">
        <v>46910</v>
      </c>
      <c r="I9330" s="3" t="s">
        <v>47336</v>
      </c>
      <c r="J9330" s="3" t="s">
        <v>47472</v>
      </c>
      <c r="K9330" s="3" t="s">
        <v>47473</v>
      </c>
      <c r="L9330" s="3"/>
      <c r="M9330" s="4"/>
      <c r="N9330" s="3" t="s">
        <v>37</v>
      </c>
      <c r="O9330" s="3" t="s">
        <v>967</v>
      </c>
      <c r="P9330" s="5">
        <v>9</v>
      </c>
      <c r="Q9330" s="5">
        <v>117</v>
      </c>
      <c r="R9330" s="5">
        <v>9</v>
      </c>
      <c r="S9330" s="5">
        <v>109</v>
      </c>
    </row>
    <row r="9331" spans="1:19" ht="28" x14ac:dyDescent="0.15">
      <c r="A9331" s="2">
        <f>HYPERLINK("https://open-school.uspishnemisto.com.ua/school/510156/", 510156)</f>
        <v>510156</v>
      </c>
      <c r="B9331" s="3" t="s">
        <v>47474</v>
      </c>
      <c r="C9331" s="3" t="s">
        <v>31</v>
      </c>
      <c r="D9331" s="3" t="s">
        <v>32</v>
      </c>
      <c r="E9331" s="4" t="s">
        <v>22</v>
      </c>
      <c r="F9331" s="4" t="s">
        <v>46974</v>
      </c>
      <c r="G9331" s="4" t="s">
        <v>47475</v>
      </c>
      <c r="H9331" s="3" t="s">
        <v>46910</v>
      </c>
      <c r="I9331" s="3" t="s">
        <v>47476</v>
      </c>
      <c r="J9331" s="3" t="s">
        <v>47477</v>
      </c>
      <c r="K9331" s="3" t="s">
        <v>47478</v>
      </c>
      <c r="L9331" s="3" t="s">
        <v>47479</v>
      </c>
      <c r="M9331" s="4"/>
      <c r="N9331" s="3" t="s">
        <v>128</v>
      </c>
      <c r="O9331" s="3" t="s">
        <v>38</v>
      </c>
      <c r="P9331" s="5">
        <v>29</v>
      </c>
      <c r="Q9331" s="5">
        <v>818</v>
      </c>
      <c r="R9331" s="5">
        <v>28</v>
      </c>
      <c r="S9331" s="5">
        <v>766</v>
      </c>
    </row>
    <row r="9332" spans="1:19" ht="28" x14ac:dyDescent="0.15">
      <c r="A9332" s="2">
        <f>HYPERLINK("https://open-school.uspishnemisto.com.ua/school/510157/", 510157)</f>
        <v>510157</v>
      </c>
      <c r="B9332" s="3" t="s">
        <v>47480</v>
      </c>
      <c r="C9332" s="3" t="s">
        <v>31</v>
      </c>
      <c r="D9332" s="3" t="s">
        <v>32</v>
      </c>
      <c r="E9332" s="4" t="s">
        <v>22</v>
      </c>
      <c r="F9332" s="4" t="s">
        <v>47481</v>
      </c>
      <c r="G9332" s="4" t="s">
        <v>47475</v>
      </c>
      <c r="H9332" s="3" t="s">
        <v>46910</v>
      </c>
      <c r="I9332" s="3" t="s">
        <v>47476</v>
      </c>
      <c r="J9332" s="3" t="s">
        <v>47482</v>
      </c>
      <c r="K9332" s="3" t="s">
        <v>47483</v>
      </c>
      <c r="L9332" s="3"/>
      <c r="M9332" s="4"/>
      <c r="N9332" s="3" t="s">
        <v>37</v>
      </c>
      <c r="O9332" s="3" t="s">
        <v>38</v>
      </c>
      <c r="P9332" s="5">
        <v>28</v>
      </c>
      <c r="Q9332" s="5">
        <v>762</v>
      </c>
      <c r="R9332" s="5">
        <v>29</v>
      </c>
      <c r="S9332" s="5">
        <v>765</v>
      </c>
    </row>
    <row r="9333" spans="1:19" ht="28" x14ac:dyDescent="0.15">
      <c r="A9333" s="2">
        <f>HYPERLINK("https://open-school.uspishnemisto.com.ua/school/510158/", 510158)</f>
        <v>510158</v>
      </c>
      <c r="B9333" s="3" t="s">
        <v>47484</v>
      </c>
      <c r="C9333" s="3" t="s">
        <v>31</v>
      </c>
      <c r="D9333" s="3" t="s">
        <v>32</v>
      </c>
      <c r="E9333" s="4" t="s">
        <v>22</v>
      </c>
      <c r="F9333" s="4" t="s">
        <v>47003</v>
      </c>
      <c r="G9333" s="4" t="s">
        <v>47475</v>
      </c>
      <c r="H9333" s="3" t="s">
        <v>46910</v>
      </c>
      <c r="I9333" s="3" t="s">
        <v>47476</v>
      </c>
      <c r="J9333" s="3" t="s">
        <v>47485</v>
      </c>
      <c r="K9333" s="3"/>
      <c r="L9333" s="3"/>
      <c r="M9333" s="4"/>
      <c r="N9333" s="3" t="s">
        <v>37</v>
      </c>
      <c r="O9333" s="3" t="s">
        <v>38</v>
      </c>
      <c r="P9333" s="5">
        <v>17</v>
      </c>
      <c r="Q9333" s="5">
        <v>347</v>
      </c>
      <c r="R9333" s="5">
        <v>17</v>
      </c>
      <c r="S9333" s="5">
        <v>360</v>
      </c>
    </row>
    <row r="9334" spans="1:19" ht="28" x14ac:dyDescent="0.15">
      <c r="A9334" s="2">
        <f>HYPERLINK("https://open-school.uspishnemisto.com.ua/school/510159/", 510159)</f>
        <v>510159</v>
      </c>
      <c r="B9334" s="3" t="s">
        <v>47486</v>
      </c>
      <c r="C9334" s="3" t="s">
        <v>31</v>
      </c>
      <c r="D9334" s="3" t="s">
        <v>32</v>
      </c>
      <c r="E9334" s="4" t="s">
        <v>22</v>
      </c>
      <c r="F9334" s="4" t="s">
        <v>47487</v>
      </c>
      <c r="G9334" s="4" t="s">
        <v>47475</v>
      </c>
      <c r="H9334" s="3" t="s">
        <v>46910</v>
      </c>
      <c r="I9334" s="3" t="s">
        <v>47476</v>
      </c>
      <c r="J9334" s="3" t="s">
        <v>47488</v>
      </c>
      <c r="K9334" s="3" t="s">
        <v>47489</v>
      </c>
      <c r="L9334" s="3"/>
      <c r="M9334" s="4"/>
      <c r="N9334" s="3" t="s">
        <v>967</v>
      </c>
      <c r="O9334" s="3" t="s">
        <v>46</v>
      </c>
      <c r="P9334" s="5">
        <v>53</v>
      </c>
      <c r="Q9334" s="5">
        <v>1750</v>
      </c>
      <c r="R9334" s="5">
        <v>50</v>
      </c>
      <c r="S9334" s="5">
        <v>1629</v>
      </c>
    </row>
    <row r="9335" spans="1:19" ht="42" x14ac:dyDescent="0.15">
      <c r="A9335" s="2">
        <f>HYPERLINK("https://open-school.uspishnemisto.com.ua/school/510160/", 510160)</f>
        <v>510160</v>
      </c>
      <c r="B9335" s="3" t="s">
        <v>47490</v>
      </c>
      <c r="C9335" s="3" t="s">
        <v>31</v>
      </c>
      <c r="D9335" s="3" t="s">
        <v>32</v>
      </c>
      <c r="E9335" s="4" t="s">
        <v>22</v>
      </c>
      <c r="F9335" s="4" t="s">
        <v>47487</v>
      </c>
      <c r="G9335" s="4" t="s">
        <v>47475</v>
      </c>
      <c r="H9335" s="3" t="s">
        <v>46910</v>
      </c>
      <c r="I9335" s="3" t="s">
        <v>47476</v>
      </c>
      <c r="J9335" s="3" t="s">
        <v>47491</v>
      </c>
      <c r="K9335" s="3" t="s">
        <v>47492</v>
      </c>
      <c r="L9335" s="3" t="s">
        <v>47493</v>
      </c>
      <c r="M9335" s="4"/>
      <c r="N9335" s="3" t="s">
        <v>128</v>
      </c>
      <c r="O9335" s="3" t="s">
        <v>38</v>
      </c>
      <c r="P9335" s="5">
        <v>44</v>
      </c>
      <c r="Q9335" s="5">
        <v>1265</v>
      </c>
      <c r="R9335" s="5">
        <v>44</v>
      </c>
      <c r="S9335" s="5">
        <v>1221</v>
      </c>
    </row>
    <row r="9336" spans="1:19" ht="28" x14ac:dyDescent="0.15">
      <c r="A9336" s="2">
        <f>HYPERLINK("https://open-school.uspishnemisto.com.ua/school/510161/", 510161)</f>
        <v>510161</v>
      </c>
      <c r="B9336" s="3" t="s">
        <v>47494</v>
      </c>
      <c r="C9336" s="3" t="s">
        <v>31</v>
      </c>
      <c r="D9336" s="3" t="s">
        <v>32</v>
      </c>
      <c r="E9336" s="4" t="s">
        <v>22</v>
      </c>
      <c r="F9336" s="4" t="s">
        <v>47495</v>
      </c>
      <c r="G9336" s="4" t="s">
        <v>47475</v>
      </c>
      <c r="H9336" s="3" t="s">
        <v>46910</v>
      </c>
      <c r="I9336" s="3" t="s">
        <v>47476</v>
      </c>
      <c r="J9336" s="3" t="s">
        <v>47496</v>
      </c>
      <c r="K9336" s="3" t="s">
        <v>47497</v>
      </c>
      <c r="L9336" s="3" t="s">
        <v>47498</v>
      </c>
      <c r="M9336" s="4"/>
      <c r="N9336" s="3" t="s">
        <v>128</v>
      </c>
      <c r="O9336" s="3" t="s">
        <v>38</v>
      </c>
      <c r="P9336" s="5">
        <v>22</v>
      </c>
      <c r="Q9336" s="5">
        <v>502</v>
      </c>
      <c r="R9336" s="5">
        <v>21</v>
      </c>
      <c r="S9336" s="5">
        <v>478</v>
      </c>
    </row>
    <row r="9337" spans="1:19" ht="28" x14ac:dyDescent="0.15">
      <c r="A9337" s="2">
        <f>HYPERLINK("https://open-school.uspishnemisto.com.ua/school/510162/", 510162)</f>
        <v>510162</v>
      </c>
      <c r="B9337" s="3" t="s">
        <v>47499</v>
      </c>
      <c r="C9337" s="3" t="s">
        <v>31</v>
      </c>
      <c r="D9337" s="3" t="s">
        <v>32</v>
      </c>
      <c r="E9337" s="4" t="s">
        <v>22</v>
      </c>
      <c r="F9337" s="4" t="s">
        <v>47034</v>
      </c>
      <c r="G9337" s="4" t="s">
        <v>47475</v>
      </c>
      <c r="H9337" s="3" t="s">
        <v>46910</v>
      </c>
      <c r="I9337" s="3" t="s">
        <v>47476</v>
      </c>
      <c r="J9337" s="3" t="s">
        <v>47500</v>
      </c>
      <c r="K9337" s="3" t="s">
        <v>47501</v>
      </c>
      <c r="L9337" s="3"/>
      <c r="M9337" s="4"/>
      <c r="N9337" s="3" t="s">
        <v>128</v>
      </c>
      <c r="O9337" s="3" t="s">
        <v>38</v>
      </c>
      <c r="P9337" s="5">
        <v>48</v>
      </c>
      <c r="Q9337" s="5">
        <v>1344</v>
      </c>
      <c r="R9337" s="5">
        <v>48</v>
      </c>
      <c r="S9337" s="5">
        <v>1330</v>
      </c>
    </row>
    <row r="9338" spans="1:19" ht="28" x14ac:dyDescent="0.15">
      <c r="A9338" s="2">
        <f>HYPERLINK("https://open-school.uspishnemisto.com.ua/school/510163/", 510163)</f>
        <v>510163</v>
      </c>
      <c r="B9338" s="3" t="s">
        <v>47502</v>
      </c>
      <c r="C9338" s="3" t="s">
        <v>244</v>
      </c>
      <c r="D9338" s="3" t="s">
        <v>32</v>
      </c>
      <c r="E9338" s="4" t="s">
        <v>22</v>
      </c>
      <c r="F9338" s="4" t="s">
        <v>47013</v>
      </c>
      <c r="G9338" s="4" t="s">
        <v>47475</v>
      </c>
      <c r="H9338" s="3" t="s">
        <v>46910</v>
      </c>
      <c r="I9338" s="3" t="s">
        <v>47476</v>
      </c>
      <c r="J9338" s="3" t="s">
        <v>47503</v>
      </c>
      <c r="K9338" s="3" t="s">
        <v>47504</v>
      </c>
      <c r="L9338" s="3"/>
      <c r="M9338" s="4"/>
      <c r="N9338" s="3" t="s">
        <v>967</v>
      </c>
      <c r="O9338" s="3" t="s">
        <v>123</v>
      </c>
      <c r="P9338" s="5">
        <v>49</v>
      </c>
      <c r="Q9338" s="5">
        <v>1401</v>
      </c>
      <c r="R9338" s="5">
        <v>50</v>
      </c>
      <c r="S9338" s="5">
        <v>1399</v>
      </c>
    </row>
    <row r="9339" spans="1:19" ht="42" x14ac:dyDescent="0.15">
      <c r="A9339" s="2">
        <f>HYPERLINK("https://open-school.uspishnemisto.com.ua/school/510164/", 510164)</f>
        <v>510164</v>
      </c>
      <c r="B9339" s="3" t="s">
        <v>47505</v>
      </c>
      <c r="C9339" s="3" t="s">
        <v>244</v>
      </c>
      <c r="D9339" s="3" t="s">
        <v>32</v>
      </c>
      <c r="E9339" s="4" t="s">
        <v>22</v>
      </c>
      <c r="F9339" s="4" t="s">
        <v>47034</v>
      </c>
      <c r="G9339" s="4" t="s">
        <v>47475</v>
      </c>
      <c r="H9339" s="3" t="s">
        <v>46910</v>
      </c>
      <c r="I9339" s="3" t="s">
        <v>47476</v>
      </c>
      <c r="J9339" s="3" t="s">
        <v>47506</v>
      </c>
      <c r="K9339" s="3" t="s">
        <v>47507</v>
      </c>
      <c r="L9339" s="3" t="s">
        <v>47508</v>
      </c>
      <c r="M9339" s="4"/>
      <c r="N9339" s="3" t="s">
        <v>967</v>
      </c>
      <c r="O9339" s="3" t="s">
        <v>123</v>
      </c>
      <c r="P9339" s="5">
        <v>31</v>
      </c>
      <c r="Q9339" s="5">
        <v>954</v>
      </c>
      <c r="R9339" s="5">
        <v>31</v>
      </c>
      <c r="S9339" s="5">
        <v>913</v>
      </c>
    </row>
    <row r="9340" spans="1:19" ht="42" x14ac:dyDescent="0.15">
      <c r="A9340" s="2">
        <f>HYPERLINK("https://open-school.uspishnemisto.com.ua/school/510165/", 510165)</f>
        <v>510165</v>
      </c>
      <c r="B9340" s="3" t="s">
        <v>47509</v>
      </c>
      <c r="C9340" s="3" t="s">
        <v>54</v>
      </c>
      <c r="D9340" s="3" t="s">
        <v>32</v>
      </c>
      <c r="E9340" s="4" t="s">
        <v>22</v>
      </c>
      <c r="F9340" s="4" t="s">
        <v>46974</v>
      </c>
      <c r="G9340" s="4" t="s">
        <v>47475</v>
      </c>
      <c r="H9340" s="3" t="s">
        <v>46910</v>
      </c>
      <c r="I9340" s="3" t="s">
        <v>47476</v>
      </c>
      <c r="J9340" s="3" t="s">
        <v>47510</v>
      </c>
      <c r="K9340" s="3"/>
      <c r="L9340" s="3" t="s">
        <v>47511</v>
      </c>
      <c r="M9340" s="4"/>
      <c r="N9340" s="3" t="s">
        <v>37</v>
      </c>
      <c r="O9340" s="3" t="s">
        <v>129</v>
      </c>
      <c r="P9340" s="5">
        <v>51</v>
      </c>
      <c r="Q9340" s="5">
        <v>1556</v>
      </c>
      <c r="R9340" s="5">
        <v>50</v>
      </c>
      <c r="S9340" s="5">
        <v>1494</v>
      </c>
    </row>
    <row r="9341" spans="1:19" ht="42" x14ac:dyDescent="0.15">
      <c r="A9341" s="2">
        <f>HYPERLINK("https://open-school.uspishnemisto.com.ua/school/510166/", 510166)</f>
        <v>510166</v>
      </c>
      <c r="B9341" s="3" t="s">
        <v>47512</v>
      </c>
      <c r="C9341" s="3" t="s">
        <v>54</v>
      </c>
      <c r="D9341" s="3" t="s">
        <v>32</v>
      </c>
      <c r="E9341" s="4" t="s">
        <v>22</v>
      </c>
      <c r="F9341" s="4" t="s">
        <v>47013</v>
      </c>
      <c r="G9341" s="4" t="s">
        <v>47475</v>
      </c>
      <c r="H9341" s="3" t="s">
        <v>46910</v>
      </c>
      <c r="I9341" s="3" t="s">
        <v>47476</v>
      </c>
      <c r="J9341" s="3" t="s">
        <v>47513</v>
      </c>
      <c r="K9341" s="3" t="s">
        <v>47514</v>
      </c>
      <c r="L9341" s="3"/>
      <c r="M9341" s="4"/>
      <c r="N9341" s="3" t="s">
        <v>37</v>
      </c>
      <c r="O9341" s="3" t="s">
        <v>38</v>
      </c>
      <c r="P9341" s="5">
        <v>35</v>
      </c>
      <c r="Q9341" s="5">
        <v>969</v>
      </c>
      <c r="R9341" s="5">
        <v>33</v>
      </c>
      <c r="S9341" s="5">
        <v>925</v>
      </c>
    </row>
    <row r="9342" spans="1:19" ht="42" x14ac:dyDescent="0.15">
      <c r="A9342" s="2">
        <f>HYPERLINK("https://open-school.uspishnemisto.com.ua/school/510167/", 510167)</f>
        <v>510167</v>
      </c>
      <c r="B9342" s="3" t="s">
        <v>47515</v>
      </c>
      <c r="C9342" s="3" t="s">
        <v>54</v>
      </c>
      <c r="D9342" s="3" t="s">
        <v>60</v>
      </c>
      <c r="E9342" s="4" t="s">
        <v>22</v>
      </c>
      <c r="F9342" s="4" t="s">
        <v>47516</v>
      </c>
      <c r="G9342" s="4" t="s">
        <v>47475</v>
      </c>
      <c r="H9342" s="3" t="s">
        <v>46910</v>
      </c>
      <c r="I9342" s="3" t="s">
        <v>47476</v>
      </c>
      <c r="J9342" s="3" t="s">
        <v>47517</v>
      </c>
      <c r="K9342" s="3" t="s">
        <v>47518</v>
      </c>
      <c r="L9342" s="3"/>
      <c r="M9342" s="4"/>
      <c r="N9342" s="3" t="s">
        <v>37</v>
      </c>
      <c r="O9342" s="3" t="s">
        <v>38</v>
      </c>
      <c r="P9342" s="5">
        <v>4</v>
      </c>
      <c r="Q9342" s="5">
        <v>118</v>
      </c>
      <c r="R9342" s="5">
        <v>4</v>
      </c>
      <c r="S9342" s="5">
        <v>116</v>
      </c>
    </row>
    <row r="9343" spans="1:19" ht="56" x14ac:dyDescent="0.15">
      <c r="A9343" s="2">
        <f>HYPERLINK("https://open-school.uspishnemisto.com.ua/school/510168/", 510168)</f>
        <v>510168</v>
      </c>
      <c r="B9343" s="3" t="s">
        <v>47519</v>
      </c>
      <c r="C9343" s="3" t="s">
        <v>54</v>
      </c>
      <c r="D9343" s="3" t="s">
        <v>60</v>
      </c>
      <c r="E9343" s="4" t="s">
        <v>22</v>
      </c>
      <c r="F9343" s="4" t="s">
        <v>46974</v>
      </c>
      <c r="G9343" s="4" t="s">
        <v>47475</v>
      </c>
      <c r="H9343" s="3" t="s">
        <v>46910</v>
      </c>
      <c r="I9343" s="3" t="s">
        <v>47476</v>
      </c>
      <c r="J9343" s="3" t="s">
        <v>47520</v>
      </c>
      <c r="K9343" s="3" t="s">
        <v>47521</v>
      </c>
      <c r="L9343" s="3" t="s">
        <v>47522</v>
      </c>
      <c r="M9343" s="4"/>
      <c r="N9343" s="3" t="s">
        <v>37</v>
      </c>
      <c r="O9343" s="3" t="s">
        <v>38</v>
      </c>
      <c r="P9343" s="5">
        <v>4</v>
      </c>
      <c r="Q9343" s="5">
        <v>132</v>
      </c>
      <c r="R9343" s="5">
        <v>4</v>
      </c>
      <c r="S9343" s="5">
        <v>126</v>
      </c>
    </row>
    <row r="9344" spans="1:19" ht="42" x14ac:dyDescent="0.15">
      <c r="A9344" s="2">
        <f>HYPERLINK("https://open-school.uspishnemisto.com.ua/school/510169/", 510169)</f>
        <v>510169</v>
      </c>
      <c r="B9344" s="3" t="s">
        <v>47523</v>
      </c>
      <c r="C9344" s="3" t="s">
        <v>54</v>
      </c>
      <c r="D9344" s="3" t="s">
        <v>32</v>
      </c>
      <c r="E9344" s="4" t="s">
        <v>22</v>
      </c>
      <c r="F9344" s="4" t="s">
        <v>46974</v>
      </c>
      <c r="G9344" s="4" t="s">
        <v>47475</v>
      </c>
      <c r="H9344" s="3" t="s">
        <v>46910</v>
      </c>
      <c r="I9344" s="3" t="s">
        <v>47476</v>
      </c>
      <c r="J9344" s="3" t="s">
        <v>47524</v>
      </c>
      <c r="K9344" s="3" t="s">
        <v>47525</v>
      </c>
      <c r="L9344" s="3" t="s">
        <v>47526</v>
      </c>
      <c r="M9344" s="4"/>
      <c r="N9344" s="3" t="s">
        <v>37</v>
      </c>
      <c r="O9344" s="3" t="s">
        <v>70</v>
      </c>
      <c r="P9344" s="5">
        <v>64</v>
      </c>
      <c r="Q9344" s="5">
        <v>2186</v>
      </c>
      <c r="R9344" s="5">
        <v>61</v>
      </c>
      <c r="S9344" s="5">
        <v>2024</v>
      </c>
    </row>
    <row r="9345" spans="1:19" ht="42" x14ac:dyDescent="0.15">
      <c r="A9345" s="2">
        <f>HYPERLINK("https://open-school.uspishnemisto.com.ua/school/510170/", 510170)</f>
        <v>510170</v>
      </c>
      <c r="B9345" s="3" t="s">
        <v>47527</v>
      </c>
      <c r="C9345" s="3" t="s">
        <v>54</v>
      </c>
      <c r="D9345" s="3" t="s">
        <v>32</v>
      </c>
      <c r="E9345" s="4" t="s">
        <v>22</v>
      </c>
      <c r="F9345" s="4" t="s">
        <v>47034</v>
      </c>
      <c r="G9345" s="4" t="s">
        <v>47475</v>
      </c>
      <c r="H9345" s="3" t="s">
        <v>46910</v>
      </c>
      <c r="I9345" s="3" t="s">
        <v>47476</v>
      </c>
      <c r="J9345" s="3" t="s">
        <v>47528</v>
      </c>
      <c r="K9345" s="3" t="s">
        <v>47529</v>
      </c>
      <c r="L9345" s="3"/>
      <c r="M9345" s="4"/>
      <c r="N9345" s="3" t="s">
        <v>128</v>
      </c>
      <c r="O9345" s="3" t="s">
        <v>38</v>
      </c>
      <c r="P9345" s="5">
        <v>40</v>
      </c>
      <c r="Q9345" s="5">
        <v>1047</v>
      </c>
      <c r="R9345" s="5">
        <v>38</v>
      </c>
      <c r="S9345" s="5">
        <v>1002</v>
      </c>
    </row>
    <row r="9346" spans="1:19" ht="56" x14ac:dyDescent="0.15">
      <c r="A9346" s="2">
        <f>HYPERLINK("https://open-school.uspishnemisto.com.ua/school/510171/", 510171)</f>
        <v>510171</v>
      </c>
      <c r="B9346" s="3" t="s">
        <v>47530</v>
      </c>
      <c r="C9346" s="3" t="s">
        <v>54</v>
      </c>
      <c r="D9346" s="3" t="s">
        <v>60</v>
      </c>
      <c r="E9346" s="4" t="s">
        <v>22</v>
      </c>
      <c r="F9346" s="4" t="s">
        <v>46974</v>
      </c>
      <c r="G9346" s="4" t="s">
        <v>47475</v>
      </c>
      <c r="H9346" s="3" t="s">
        <v>46910</v>
      </c>
      <c r="I9346" s="3" t="s">
        <v>47476</v>
      </c>
      <c r="J9346" s="3" t="s">
        <v>47531</v>
      </c>
      <c r="K9346" s="3" t="s">
        <v>47532</v>
      </c>
      <c r="L9346" s="3"/>
      <c r="M9346" s="4"/>
      <c r="N9346" s="3" t="s">
        <v>37</v>
      </c>
      <c r="O9346" s="3" t="s">
        <v>38</v>
      </c>
      <c r="P9346" s="5">
        <v>4</v>
      </c>
      <c r="Q9346" s="5">
        <v>119</v>
      </c>
      <c r="R9346" s="5">
        <v>4</v>
      </c>
      <c r="S9346" s="5">
        <v>120</v>
      </c>
    </row>
    <row r="9347" spans="1:19" ht="28" x14ac:dyDescent="0.15">
      <c r="A9347" s="2">
        <f>HYPERLINK("https://open-school.uspishnemisto.com.ua/school/510172/", 510172)</f>
        <v>510172</v>
      </c>
      <c r="B9347" s="3" t="s">
        <v>47533</v>
      </c>
      <c r="C9347" s="3" t="s">
        <v>293</v>
      </c>
      <c r="D9347" s="3" t="s">
        <v>175</v>
      </c>
      <c r="E9347" s="4" t="s">
        <v>22</v>
      </c>
      <c r="F9347" s="4" t="s">
        <v>47534</v>
      </c>
      <c r="G9347" s="4" t="s">
        <v>47535</v>
      </c>
      <c r="H9347" s="3" t="s">
        <v>46910</v>
      </c>
      <c r="I9347" s="3" t="s">
        <v>47536</v>
      </c>
      <c r="J9347" s="3" t="s">
        <v>47537</v>
      </c>
      <c r="K9347" s="3" t="s">
        <v>47538</v>
      </c>
      <c r="L9347" s="3"/>
      <c r="M9347" s="4" t="s">
        <v>47539</v>
      </c>
      <c r="N9347" s="3" t="s">
        <v>37</v>
      </c>
      <c r="O9347" s="3" t="s">
        <v>52</v>
      </c>
      <c r="P9347" s="5">
        <v>9</v>
      </c>
      <c r="Q9347" s="5">
        <v>110</v>
      </c>
      <c r="R9347" s="5">
        <v>9</v>
      </c>
      <c r="S9347" s="5">
        <v>114</v>
      </c>
    </row>
    <row r="9348" spans="1:19" ht="28" x14ac:dyDescent="0.15">
      <c r="A9348" s="2">
        <f>HYPERLINK("https://open-school.uspishnemisto.com.ua/school/510173/", 510173)</f>
        <v>510173</v>
      </c>
      <c r="B9348" s="3" t="s">
        <v>47540</v>
      </c>
      <c r="C9348" s="3" t="s">
        <v>181</v>
      </c>
      <c r="D9348" s="3" t="s">
        <v>175</v>
      </c>
      <c r="E9348" s="4" t="s">
        <v>22</v>
      </c>
      <c r="F9348" s="4" t="s">
        <v>47541</v>
      </c>
      <c r="G9348" s="4" t="s">
        <v>47535</v>
      </c>
      <c r="H9348" s="3" t="s">
        <v>46910</v>
      </c>
      <c r="I9348" s="3" t="s">
        <v>47536</v>
      </c>
      <c r="J9348" s="3" t="s">
        <v>6800</v>
      </c>
      <c r="K9348" s="3" t="s">
        <v>47542</v>
      </c>
      <c r="L9348" s="3"/>
      <c r="M9348" s="4" t="s">
        <v>47543</v>
      </c>
      <c r="N9348" s="3" t="s">
        <v>37</v>
      </c>
      <c r="O9348" s="3" t="s">
        <v>52</v>
      </c>
      <c r="P9348" s="5">
        <v>18</v>
      </c>
      <c r="Q9348" s="5">
        <v>225</v>
      </c>
      <c r="R9348" s="5">
        <v>19</v>
      </c>
      <c r="S9348" s="5">
        <v>236</v>
      </c>
    </row>
    <row r="9349" spans="1:19" ht="42" x14ac:dyDescent="0.15">
      <c r="A9349" s="2">
        <f>HYPERLINK("https://open-school.uspishnemisto.com.ua/school/510174/", 510174)</f>
        <v>510174</v>
      </c>
      <c r="B9349" s="3" t="s">
        <v>47544</v>
      </c>
      <c r="C9349" s="3" t="s">
        <v>54</v>
      </c>
      <c r="D9349" s="3" t="s">
        <v>32</v>
      </c>
      <c r="E9349" s="4" t="s">
        <v>22</v>
      </c>
      <c r="F9349" s="4" t="s">
        <v>47534</v>
      </c>
      <c r="G9349" s="4" t="s">
        <v>47535</v>
      </c>
      <c r="H9349" s="3" t="s">
        <v>46910</v>
      </c>
      <c r="I9349" s="3" t="s">
        <v>47536</v>
      </c>
      <c r="J9349" s="3" t="s">
        <v>47545</v>
      </c>
      <c r="K9349" s="3" t="s">
        <v>47546</v>
      </c>
      <c r="L9349" s="3" t="s">
        <v>47547</v>
      </c>
      <c r="M9349" s="4" t="s">
        <v>47548</v>
      </c>
      <c r="N9349" s="3" t="s">
        <v>37</v>
      </c>
      <c r="O9349" s="3" t="s">
        <v>70</v>
      </c>
      <c r="P9349" s="5">
        <v>38</v>
      </c>
      <c r="Q9349" s="5">
        <v>844</v>
      </c>
      <c r="R9349" s="5">
        <v>30</v>
      </c>
      <c r="S9349" s="5">
        <v>761</v>
      </c>
    </row>
    <row r="9350" spans="1:19" ht="56" x14ac:dyDescent="0.15">
      <c r="A9350" s="2">
        <f>HYPERLINK("https://open-school.uspishnemisto.com.ua/school/510175/", 510175)</f>
        <v>510175</v>
      </c>
      <c r="B9350" s="3" t="s">
        <v>47549</v>
      </c>
      <c r="C9350" s="3" t="s">
        <v>54</v>
      </c>
      <c r="D9350" s="3" t="s">
        <v>32</v>
      </c>
      <c r="E9350" s="4" t="s">
        <v>22</v>
      </c>
      <c r="F9350" s="4" t="s">
        <v>47541</v>
      </c>
      <c r="G9350" s="4" t="s">
        <v>47535</v>
      </c>
      <c r="H9350" s="3" t="s">
        <v>46910</v>
      </c>
      <c r="I9350" s="3" t="s">
        <v>47536</v>
      </c>
      <c r="J9350" s="3" t="s">
        <v>2757</v>
      </c>
      <c r="K9350" s="3" t="s">
        <v>47550</v>
      </c>
      <c r="L9350" s="3" t="s">
        <v>47551</v>
      </c>
      <c r="M9350" s="4" t="s">
        <v>47552</v>
      </c>
      <c r="N9350" s="3" t="s">
        <v>37</v>
      </c>
      <c r="O9350" s="3" t="s">
        <v>52</v>
      </c>
      <c r="P9350" s="5">
        <v>29</v>
      </c>
      <c r="Q9350" s="5">
        <v>669</v>
      </c>
      <c r="R9350" s="5">
        <v>30</v>
      </c>
      <c r="S9350" s="5">
        <v>666</v>
      </c>
    </row>
    <row r="9351" spans="1:19" ht="42" x14ac:dyDescent="0.15">
      <c r="A9351" s="2">
        <f>HYPERLINK("https://open-school.uspishnemisto.com.ua/school/510176/", 510176)</f>
        <v>510176</v>
      </c>
      <c r="B9351" s="3" t="s">
        <v>47553</v>
      </c>
      <c r="C9351" s="3" t="s">
        <v>54</v>
      </c>
      <c r="D9351" s="3" t="s">
        <v>32</v>
      </c>
      <c r="E9351" s="4" t="s">
        <v>22</v>
      </c>
      <c r="F9351" s="4" t="s">
        <v>47541</v>
      </c>
      <c r="G9351" s="4" t="s">
        <v>47535</v>
      </c>
      <c r="H9351" s="3" t="s">
        <v>46910</v>
      </c>
      <c r="I9351" s="3" t="s">
        <v>47536</v>
      </c>
      <c r="J9351" s="3" t="s">
        <v>47554</v>
      </c>
      <c r="K9351" s="3" t="s">
        <v>47555</v>
      </c>
      <c r="L9351" s="3" t="s">
        <v>47556</v>
      </c>
      <c r="M9351" s="4" t="s">
        <v>47557</v>
      </c>
      <c r="N9351" s="3" t="s">
        <v>128</v>
      </c>
      <c r="O9351" s="3" t="s">
        <v>70</v>
      </c>
      <c r="P9351" s="5">
        <v>31</v>
      </c>
      <c r="Q9351" s="5">
        <v>660</v>
      </c>
      <c r="R9351" s="5">
        <v>31</v>
      </c>
      <c r="S9351" s="5">
        <v>632</v>
      </c>
    </row>
    <row r="9352" spans="1:19" ht="28" x14ac:dyDescent="0.15">
      <c r="A9352" s="2">
        <f>HYPERLINK("https://open-school.uspishnemisto.com.ua/school/510177/", 510177)</f>
        <v>510177</v>
      </c>
      <c r="B9352" s="3" t="s">
        <v>47558</v>
      </c>
      <c r="C9352" s="3" t="s">
        <v>20</v>
      </c>
      <c r="D9352" s="3"/>
      <c r="E9352" s="4" t="s">
        <v>22</v>
      </c>
      <c r="F9352" s="4" t="s">
        <v>47559</v>
      </c>
      <c r="G9352" s="4" t="s">
        <v>47560</v>
      </c>
      <c r="H9352" s="3" t="s">
        <v>46910</v>
      </c>
      <c r="I9352" s="3" t="s">
        <v>47561</v>
      </c>
      <c r="J9352" s="3" t="s">
        <v>47562</v>
      </c>
      <c r="K9352" s="3" t="s">
        <v>47563</v>
      </c>
      <c r="L9352" s="3" t="s">
        <v>47564</v>
      </c>
      <c r="M9352" s="4"/>
      <c r="N9352" s="3"/>
      <c r="O9352" s="3"/>
      <c r="P9352" s="5">
        <v>0</v>
      </c>
      <c r="Q9352" s="5">
        <v>0</v>
      </c>
      <c r="R9352" s="5"/>
      <c r="S9352" s="5"/>
    </row>
    <row r="9353" spans="1:19" ht="28" x14ac:dyDescent="0.15">
      <c r="A9353" s="2">
        <f>HYPERLINK("https://open-school.uspishnemisto.com.ua/school/510178/", 510178)</f>
        <v>510178</v>
      </c>
      <c r="B9353" s="3" t="s">
        <v>47565</v>
      </c>
      <c r="C9353" s="3" t="s">
        <v>31</v>
      </c>
      <c r="D9353" s="3" t="s">
        <v>32</v>
      </c>
      <c r="E9353" s="4" t="s">
        <v>22</v>
      </c>
      <c r="F9353" s="4" t="s">
        <v>47559</v>
      </c>
      <c r="G9353" s="4" t="s">
        <v>47560</v>
      </c>
      <c r="H9353" s="3" t="s">
        <v>46910</v>
      </c>
      <c r="I9353" s="3" t="s">
        <v>47561</v>
      </c>
      <c r="J9353" s="3" t="s">
        <v>47566</v>
      </c>
      <c r="K9353" s="3" t="s">
        <v>47567</v>
      </c>
      <c r="L9353" s="3" t="s">
        <v>47568</v>
      </c>
      <c r="M9353" s="4"/>
      <c r="N9353" s="3" t="s">
        <v>128</v>
      </c>
      <c r="O9353" s="3" t="s">
        <v>70</v>
      </c>
      <c r="P9353" s="5">
        <v>31</v>
      </c>
      <c r="Q9353" s="5">
        <v>813</v>
      </c>
      <c r="R9353" s="5">
        <v>29</v>
      </c>
      <c r="S9353" s="5">
        <v>775</v>
      </c>
    </row>
    <row r="9354" spans="1:19" ht="28" x14ac:dyDescent="0.15">
      <c r="A9354" s="2">
        <f>HYPERLINK("https://open-school.uspishnemisto.com.ua/school/510179/", 510179)</f>
        <v>510179</v>
      </c>
      <c r="B9354" s="3" t="s">
        <v>47569</v>
      </c>
      <c r="C9354" s="3" t="s">
        <v>31</v>
      </c>
      <c r="D9354" s="3" t="s">
        <v>32</v>
      </c>
      <c r="E9354" s="4" t="s">
        <v>22</v>
      </c>
      <c r="F9354" s="4" t="s">
        <v>47570</v>
      </c>
      <c r="G9354" s="4" t="s">
        <v>47560</v>
      </c>
      <c r="H9354" s="3" t="s">
        <v>46910</v>
      </c>
      <c r="I9354" s="3" t="s">
        <v>47561</v>
      </c>
      <c r="J9354" s="3" t="s">
        <v>31652</v>
      </c>
      <c r="K9354" s="3" t="s">
        <v>47571</v>
      </c>
      <c r="L9354" s="3"/>
      <c r="M9354" s="4"/>
      <c r="N9354" s="3" t="s">
        <v>37</v>
      </c>
      <c r="O9354" s="3" t="s">
        <v>70</v>
      </c>
      <c r="P9354" s="5">
        <v>30</v>
      </c>
      <c r="Q9354" s="5">
        <v>888</v>
      </c>
      <c r="R9354" s="5">
        <v>30</v>
      </c>
      <c r="S9354" s="5">
        <v>872</v>
      </c>
    </row>
    <row r="9355" spans="1:19" ht="28" x14ac:dyDescent="0.15">
      <c r="A9355" s="2">
        <f>HYPERLINK("https://open-school.uspishnemisto.com.ua/school/510180/", 510180)</f>
        <v>510180</v>
      </c>
      <c r="B9355" s="3" t="s">
        <v>47572</v>
      </c>
      <c r="C9355" s="3" t="s">
        <v>31</v>
      </c>
      <c r="D9355" s="3" t="s">
        <v>32</v>
      </c>
      <c r="E9355" s="4" t="s">
        <v>22</v>
      </c>
      <c r="F9355" s="4" t="s">
        <v>47559</v>
      </c>
      <c r="G9355" s="4" t="s">
        <v>47560</v>
      </c>
      <c r="H9355" s="3" t="s">
        <v>46910</v>
      </c>
      <c r="I9355" s="3" t="s">
        <v>47561</v>
      </c>
      <c r="J9355" s="3" t="s">
        <v>47573</v>
      </c>
      <c r="K9355" s="3" t="s">
        <v>47574</v>
      </c>
      <c r="L9355" s="3"/>
      <c r="M9355" s="4"/>
      <c r="N9355" s="3" t="s">
        <v>37</v>
      </c>
      <c r="O9355" s="3" t="s">
        <v>38</v>
      </c>
      <c r="P9355" s="5">
        <v>20</v>
      </c>
      <c r="Q9355" s="5">
        <v>623</v>
      </c>
      <c r="R9355" s="5">
        <v>20</v>
      </c>
      <c r="S9355" s="5">
        <v>601</v>
      </c>
    </row>
    <row r="9356" spans="1:19" ht="28" x14ac:dyDescent="0.15">
      <c r="A9356" s="2">
        <f>HYPERLINK("https://open-school.uspishnemisto.com.ua/school/510181/", 510181)</f>
        <v>510181</v>
      </c>
      <c r="B9356" s="3" t="s">
        <v>47575</v>
      </c>
      <c r="C9356" s="3" t="s">
        <v>54</v>
      </c>
      <c r="D9356" s="3" t="s">
        <v>21</v>
      </c>
      <c r="E9356" s="4" t="s">
        <v>22</v>
      </c>
      <c r="F9356" s="4" t="s">
        <v>47559</v>
      </c>
      <c r="G9356" s="4" t="s">
        <v>47560</v>
      </c>
      <c r="H9356" s="3" t="s">
        <v>46910</v>
      </c>
      <c r="I9356" s="3" t="s">
        <v>47561</v>
      </c>
      <c r="J9356" s="3" t="s">
        <v>47576</v>
      </c>
      <c r="K9356" s="3"/>
      <c r="L9356" s="3"/>
      <c r="M9356" s="4"/>
      <c r="N9356" s="3" t="s">
        <v>37</v>
      </c>
      <c r="O9356" s="3" t="s">
        <v>46</v>
      </c>
      <c r="P9356" s="5">
        <v>16</v>
      </c>
      <c r="Q9356" s="5">
        <v>415</v>
      </c>
      <c r="R9356" s="5">
        <v>15</v>
      </c>
      <c r="S9356" s="5">
        <v>428</v>
      </c>
    </row>
    <row r="9357" spans="1:19" ht="28" x14ac:dyDescent="0.15">
      <c r="A9357" s="2">
        <f>HYPERLINK("https://open-school.uspishnemisto.com.ua/school/510182/", 510182)</f>
        <v>510182</v>
      </c>
      <c r="B9357" s="3" t="s">
        <v>47577</v>
      </c>
      <c r="C9357" s="3" t="s">
        <v>188</v>
      </c>
      <c r="D9357" s="3" t="s">
        <v>32</v>
      </c>
      <c r="E9357" s="4" t="s">
        <v>22</v>
      </c>
      <c r="F9357" s="4" t="s">
        <v>47559</v>
      </c>
      <c r="G9357" s="4" t="s">
        <v>47560</v>
      </c>
      <c r="H9357" s="3" t="s">
        <v>46910</v>
      </c>
      <c r="I9357" s="3" t="s">
        <v>47561</v>
      </c>
      <c r="J9357" s="3" t="s">
        <v>15964</v>
      </c>
      <c r="K9357" s="3" t="s">
        <v>47578</v>
      </c>
      <c r="L9357" s="3"/>
      <c r="M9357" s="4"/>
      <c r="N9357" s="3" t="s">
        <v>37</v>
      </c>
      <c r="O9357" s="3" t="s">
        <v>46</v>
      </c>
      <c r="P9357" s="5">
        <v>7</v>
      </c>
      <c r="Q9357" s="5">
        <v>138</v>
      </c>
      <c r="R9357" s="5">
        <v>7</v>
      </c>
      <c r="S9357" s="5">
        <v>139</v>
      </c>
    </row>
    <row r="9358" spans="1:19" ht="28" x14ac:dyDescent="0.15">
      <c r="A9358" s="2">
        <f>HYPERLINK("https://open-school.uspishnemisto.com.ua/school/510183/", 510183)</f>
        <v>510183</v>
      </c>
      <c r="B9358" s="3" t="s">
        <v>47579</v>
      </c>
      <c r="C9358" s="3" t="s">
        <v>31</v>
      </c>
      <c r="D9358" s="3" t="s">
        <v>32</v>
      </c>
      <c r="E9358" s="4" t="s">
        <v>22</v>
      </c>
      <c r="F9358" s="4" t="s">
        <v>47559</v>
      </c>
      <c r="G9358" s="4" t="s">
        <v>47560</v>
      </c>
      <c r="H9358" s="3" t="s">
        <v>46910</v>
      </c>
      <c r="I9358" s="3" t="s">
        <v>47561</v>
      </c>
      <c r="J9358" s="3" t="s">
        <v>47580</v>
      </c>
      <c r="K9358" s="3" t="s">
        <v>47581</v>
      </c>
      <c r="L9358" s="3"/>
      <c r="M9358" s="4"/>
      <c r="N9358" s="3" t="s">
        <v>37</v>
      </c>
      <c r="O9358" s="3" t="s">
        <v>38</v>
      </c>
      <c r="P9358" s="5">
        <v>20</v>
      </c>
      <c r="Q9358" s="5">
        <v>541</v>
      </c>
      <c r="R9358" s="5">
        <v>20</v>
      </c>
      <c r="S9358" s="5">
        <v>549</v>
      </c>
    </row>
    <row r="9359" spans="1:19" ht="28" x14ac:dyDescent="0.15">
      <c r="A9359" s="2">
        <f>HYPERLINK("https://open-school.uspishnemisto.com.ua/school/510184/", 510184)</f>
        <v>510184</v>
      </c>
      <c r="B9359" s="3" t="s">
        <v>47582</v>
      </c>
      <c r="C9359" s="3" t="s">
        <v>31</v>
      </c>
      <c r="D9359" s="3" t="s">
        <v>32</v>
      </c>
      <c r="E9359" s="4" t="s">
        <v>22</v>
      </c>
      <c r="F9359" s="4" t="s">
        <v>47583</v>
      </c>
      <c r="G9359" s="4" t="s">
        <v>47560</v>
      </c>
      <c r="H9359" s="3" t="s">
        <v>46910</v>
      </c>
      <c r="I9359" s="3" t="s">
        <v>47561</v>
      </c>
      <c r="J9359" s="3" t="s">
        <v>356</v>
      </c>
      <c r="K9359" s="3" t="s">
        <v>47584</v>
      </c>
      <c r="L9359" s="3"/>
      <c r="M9359" s="4"/>
      <c r="N9359" s="3" t="s">
        <v>967</v>
      </c>
      <c r="O9359" s="3" t="s">
        <v>52</v>
      </c>
      <c r="P9359" s="5">
        <v>25</v>
      </c>
      <c r="Q9359" s="5">
        <v>621</v>
      </c>
      <c r="R9359" s="5">
        <v>25</v>
      </c>
      <c r="S9359" s="5">
        <v>625</v>
      </c>
    </row>
    <row r="9360" spans="1:19" ht="28" x14ac:dyDescent="0.15">
      <c r="A9360" s="2">
        <f>HYPERLINK("https://open-school.uspishnemisto.com.ua/school/510185/", 510185)</f>
        <v>510185</v>
      </c>
      <c r="B9360" s="3" t="s">
        <v>47585</v>
      </c>
      <c r="C9360" s="3" t="s">
        <v>31</v>
      </c>
      <c r="D9360" s="3" t="s">
        <v>32</v>
      </c>
      <c r="E9360" s="4" t="s">
        <v>22</v>
      </c>
      <c r="F9360" s="4" t="s">
        <v>47559</v>
      </c>
      <c r="G9360" s="4" t="s">
        <v>47560</v>
      </c>
      <c r="H9360" s="3" t="s">
        <v>46910</v>
      </c>
      <c r="I9360" s="3" t="s">
        <v>47561</v>
      </c>
      <c r="J9360" s="3" t="s">
        <v>47586</v>
      </c>
      <c r="K9360" s="3" t="s">
        <v>47587</v>
      </c>
      <c r="L9360" s="3"/>
      <c r="M9360" s="4"/>
      <c r="N9360" s="3" t="s">
        <v>37</v>
      </c>
      <c r="O9360" s="3" t="s">
        <v>38</v>
      </c>
      <c r="P9360" s="5">
        <v>30</v>
      </c>
      <c r="Q9360" s="5">
        <v>902</v>
      </c>
      <c r="R9360" s="5">
        <v>30</v>
      </c>
      <c r="S9360" s="5">
        <v>879</v>
      </c>
    </row>
    <row r="9361" spans="1:19" ht="28" x14ac:dyDescent="0.15">
      <c r="A9361" s="2">
        <f>HYPERLINK("https://open-school.uspishnemisto.com.ua/school/510186/", 510186)</f>
        <v>510186</v>
      </c>
      <c r="B9361" s="3" t="s">
        <v>47588</v>
      </c>
      <c r="C9361" s="3" t="s">
        <v>181</v>
      </c>
      <c r="D9361" s="3" t="s">
        <v>175</v>
      </c>
      <c r="E9361" s="4" t="s">
        <v>22</v>
      </c>
      <c r="F9361" s="4" t="s">
        <v>47559</v>
      </c>
      <c r="G9361" s="4" t="s">
        <v>47560</v>
      </c>
      <c r="H9361" s="3" t="s">
        <v>46910</v>
      </c>
      <c r="I9361" s="3" t="s">
        <v>47561</v>
      </c>
      <c r="J9361" s="3" t="s">
        <v>47589</v>
      </c>
      <c r="K9361" s="3" t="s">
        <v>47590</v>
      </c>
      <c r="L9361" s="3"/>
      <c r="M9361" s="4" t="s">
        <v>47591</v>
      </c>
      <c r="N9361" s="3" t="s">
        <v>37</v>
      </c>
      <c r="O9361" s="3" t="s">
        <v>38</v>
      </c>
      <c r="P9361" s="5">
        <v>12</v>
      </c>
      <c r="Q9361" s="5">
        <v>116</v>
      </c>
      <c r="R9361" s="5">
        <v>11</v>
      </c>
      <c r="S9361" s="5">
        <v>119</v>
      </c>
    </row>
    <row r="9362" spans="1:19" ht="42" x14ac:dyDescent="0.15">
      <c r="A9362" s="2">
        <f>HYPERLINK("https://open-school.uspishnemisto.com.ua/school/510187/", 510187)</f>
        <v>510187</v>
      </c>
      <c r="B9362" s="3" t="s">
        <v>47592</v>
      </c>
      <c r="C9362" s="3" t="s">
        <v>293</v>
      </c>
      <c r="D9362" s="3" t="s">
        <v>32</v>
      </c>
      <c r="E9362" s="4" t="s">
        <v>22</v>
      </c>
      <c r="F9362" s="4" t="s">
        <v>47593</v>
      </c>
      <c r="G9362" s="4" t="s">
        <v>47560</v>
      </c>
      <c r="H9362" s="3" t="s">
        <v>46910</v>
      </c>
      <c r="I9362" s="3" t="s">
        <v>47561</v>
      </c>
      <c r="J9362" s="3" t="s">
        <v>47594</v>
      </c>
      <c r="K9362" s="3" t="s">
        <v>47595</v>
      </c>
      <c r="L9362" s="3"/>
      <c r="M9362" s="4"/>
      <c r="N9362" s="3"/>
      <c r="O9362" s="3"/>
      <c r="P9362" s="5">
        <v>0</v>
      </c>
      <c r="Q9362" s="5">
        <v>0</v>
      </c>
      <c r="R9362" s="5"/>
      <c r="S9362" s="5"/>
    </row>
    <row r="9363" spans="1:19" ht="42" x14ac:dyDescent="0.15">
      <c r="A9363" s="2">
        <f>HYPERLINK("https://open-school.uspishnemisto.com.ua/school/510188/", 510188)</f>
        <v>510188</v>
      </c>
      <c r="B9363" s="3" t="s">
        <v>47596</v>
      </c>
      <c r="C9363" s="3" t="s">
        <v>54</v>
      </c>
      <c r="D9363" s="3" t="s">
        <v>60</v>
      </c>
      <c r="E9363" s="4" t="s">
        <v>22</v>
      </c>
      <c r="F9363" s="4" t="s">
        <v>47559</v>
      </c>
      <c r="G9363" s="4" t="s">
        <v>47560</v>
      </c>
      <c r="H9363" s="3" t="s">
        <v>46910</v>
      </c>
      <c r="I9363" s="3" t="s">
        <v>47561</v>
      </c>
      <c r="J9363" s="3" t="s">
        <v>47597</v>
      </c>
      <c r="K9363" s="3" t="s">
        <v>47598</v>
      </c>
      <c r="L9363" s="3"/>
      <c r="M9363" s="4"/>
      <c r="N9363" s="3" t="s">
        <v>37</v>
      </c>
      <c r="O9363" s="3" t="s">
        <v>38</v>
      </c>
      <c r="P9363" s="5">
        <v>11</v>
      </c>
      <c r="Q9363" s="5">
        <v>334</v>
      </c>
      <c r="R9363" s="5">
        <v>11</v>
      </c>
      <c r="S9363" s="5">
        <v>328</v>
      </c>
    </row>
    <row r="9364" spans="1:19" ht="42" x14ac:dyDescent="0.15">
      <c r="A9364" s="2">
        <f>HYPERLINK("https://open-school.uspishnemisto.com.ua/school/510189/", 510189)</f>
        <v>510189</v>
      </c>
      <c r="B9364" s="3" t="s">
        <v>47599</v>
      </c>
      <c r="C9364" s="3" t="s">
        <v>54</v>
      </c>
      <c r="D9364" s="3" t="s">
        <v>32</v>
      </c>
      <c r="E9364" s="4" t="s">
        <v>22</v>
      </c>
      <c r="F9364" s="4" t="s">
        <v>47583</v>
      </c>
      <c r="G9364" s="4" t="s">
        <v>47560</v>
      </c>
      <c r="H9364" s="3" t="s">
        <v>46910</v>
      </c>
      <c r="I9364" s="3" t="s">
        <v>47561</v>
      </c>
      <c r="J9364" s="3" t="s">
        <v>47600</v>
      </c>
      <c r="K9364" s="3" t="s">
        <v>47601</v>
      </c>
      <c r="L9364" s="3"/>
      <c r="M9364" s="4"/>
      <c r="N9364" s="3" t="s">
        <v>37</v>
      </c>
      <c r="O9364" s="3" t="s">
        <v>70</v>
      </c>
      <c r="P9364" s="5">
        <v>20</v>
      </c>
      <c r="Q9364" s="5">
        <v>536</v>
      </c>
      <c r="R9364" s="5">
        <v>20</v>
      </c>
      <c r="S9364" s="5">
        <v>505</v>
      </c>
    </row>
    <row r="9365" spans="1:19" ht="28" x14ac:dyDescent="0.15">
      <c r="A9365" s="2">
        <f>HYPERLINK("https://open-school.uspishnemisto.com.ua/school/510190/", 510190)</f>
        <v>510190</v>
      </c>
      <c r="B9365" s="3" t="s">
        <v>47602</v>
      </c>
      <c r="C9365" s="3" t="s">
        <v>31</v>
      </c>
      <c r="D9365" s="3" t="s">
        <v>32</v>
      </c>
      <c r="E9365" s="4" t="s">
        <v>22</v>
      </c>
      <c r="F9365" s="4" t="s">
        <v>47603</v>
      </c>
      <c r="G9365" s="4" t="s">
        <v>47604</v>
      </c>
      <c r="H9365" s="3" t="s">
        <v>46910</v>
      </c>
      <c r="I9365" s="3" t="s">
        <v>47605</v>
      </c>
      <c r="J9365" s="3" t="s">
        <v>47606</v>
      </c>
      <c r="K9365" s="3" t="s">
        <v>47607</v>
      </c>
      <c r="L9365" s="3"/>
      <c r="M9365" s="4"/>
      <c r="N9365" s="3" t="s">
        <v>37</v>
      </c>
      <c r="O9365" s="3" t="s">
        <v>38</v>
      </c>
      <c r="P9365" s="5">
        <v>11</v>
      </c>
      <c r="Q9365" s="5">
        <v>188</v>
      </c>
      <c r="R9365" s="5">
        <v>11</v>
      </c>
      <c r="S9365" s="5">
        <v>188</v>
      </c>
    </row>
    <row r="9366" spans="1:19" ht="28" x14ac:dyDescent="0.15">
      <c r="A9366" s="2">
        <f>HYPERLINK("https://open-school.uspishnemisto.com.ua/school/510191/", 510191)</f>
        <v>510191</v>
      </c>
      <c r="B9366" s="3" t="s">
        <v>47608</v>
      </c>
      <c r="C9366" s="3" t="s">
        <v>31</v>
      </c>
      <c r="D9366" s="3" t="s">
        <v>32</v>
      </c>
      <c r="E9366" s="4" t="s">
        <v>22</v>
      </c>
      <c r="F9366" s="4" t="s">
        <v>47609</v>
      </c>
      <c r="G9366" s="4" t="s">
        <v>47610</v>
      </c>
      <c r="H9366" s="3" t="s">
        <v>46910</v>
      </c>
      <c r="I9366" s="3" t="s">
        <v>13213</v>
      </c>
      <c r="J9366" s="3" t="s">
        <v>634</v>
      </c>
      <c r="K9366" s="3" t="s">
        <v>47611</v>
      </c>
      <c r="L9366" s="3" t="s">
        <v>47612</v>
      </c>
      <c r="M9366" s="4"/>
      <c r="N9366" s="3" t="s">
        <v>37</v>
      </c>
      <c r="O9366" s="3" t="s">
        <v>38</v>
      </c>
      <c r="P9366" s="5">
        <v>19</v>
      </c>
      <c r="Q9366" s="5">
        <v>442</v>
      </c>
      <c r="R9366" s="5">
        <v>20</v>
      </c>
      <c r="S9366" s="5">
        <v>448</v>
      </c>
    </row>
    <row r="9367" spans="1:19" ht="28" x14ac:dyDescent="0.15">
      <c r="A9367" s="2">
        <f>HYPERLINK("https://open-school.uspishnemisto.com.ua/school/510192/", 510192)</f>
        <v>510192</v>
      </c>
      <c r="B9367" s="3" t="s">
        <v>47613</v>
      </c>
      <c r="C9367" s="3" t="s">
        <v>31</v>
      </c>
      <c r="D9367" s="3" t="s">
        <v>32</v>
      </c>
      <c r="E9367" s="4" t="s">
        <v>22</v>
      </c>
      <c r="F9367" s="4" t="s">
        <v>47614</v>
      </c>
      <c r="G9367" s="4" t="s">
        <v>47615</v>
      </c>
      <c r="H9367" s="3" t="s">
        <v>46910</v>
      </c>
      <c r="I9367" s="3" t="s">
        <v>47616</v>
      </c>
      <c r="J9367" s="3" t="s">
        <v>47617</v>
      </c>
      <c r="K9367" s="3"/>
      <c r="L9367" s="3"/>
      <c r="M9367" s="4"/>
      <c r="N9367" s="3" t="s">
        <v>37</v>
      </c>
      <c r="O9367" s="3" t="s">
        <v>38</v>
      </c>
      <c r="P9367" s="5">
        <v>20</v>
      </c>
      <c r="Q9367" s="5">
        <v>422</v>
      </c>
      <c r="R9367" s="5">
        <v>20</v>
      </c>
      <c r="S9367" s="5">
        <v>424</v>
      </c>
    </row>
    <row r="9368" spans="1:19" ht="28" x14ac:dyDescent="0.15">
      <c r="A9368" s="2">
        <f>HYPERLINK("https://open-school.uspishnemisto.com.ua/school/510193/", 510193)</f>
        <v>510193</v>
      </c>
      <c r="B9368" s="3" t="s">
        <v>47618</v>
      </c>
      <c r="C9368" s="3" t="s">
        <v>31</v>
      </c>
      <c r="D9368" s="3" t="s">
        <v>32</v>
      </c>
      <c r="E9368" s="4" t="s">
        <v>22</v>
      </c>
      <c r="F9368" s="4" t="s">
        <v>47619</v>
      </c>
      <c r="G9368" s="4" t="s">
        <v>47615</v>
      </c>
      <c r="H9368" s="3" t="s">
        <v>46910</v>
      </c>
      <c r="I9368" s="3" t="s">
        <v>47616</v>
      </c>
      <c r="J9368" s="3" t="s">
        <v>47620</v>
      </c>
      <c r="K9368" s="3" t="s">
        <v>47621</v>
      </c>
      <c r="L9368" s="3" t="s">
        <v>47622</v>
      </c>
      <c r="M9368" s="4"/>
      <c r="N9368" s="3" t="s">
        <v>37</v>
      </c>
      <c r="O9368" s="3" t="s">
        <v>38</v>
      </c>
      <c r="P9368" s="5">
        <v>33</v>
      </c>
      <c r="Q9368" s="5">
        <v>862</v>
      </c>
      <c r="R9368" s="5">
        <v>33</v>
      </c>
      <c r="S9368" s="5">
        <v>839</v>
      </c>
    </row>
    <row r="9369" spans="1:19" ht="28" x14ac:dyDescent="0.15">
      <c r="A9369" s="2">
        <f>HYPERLINK("https://open-school.uspishnemisto.com.ua/school/510194/", 510194)</f>
        <v>510194</v>
      </c>
      <c r="B9369" s="3" t="s">
        <v>47623</v>
      </c>
      <c r="C9369" s="3" t="s">
        <v>31</v>
      </c>
      <c r="D9369" s="3" t="s">
        <v>32</v>
      </c>
      <c r="E9369" s="4" t="s">
        <v>22</v>
      </c>
      <c r="F9369" s="4" t="s">
        <v>47624</v>
      </c>
      <c r="G9369" s="4" t="s">
        <v>47615</v>
      </c>
      <c r="H9369" s="3" t="s">
        <v>46910</v>
      </c>
      <c r="I9369" s="3" t="s">
        <v>47616</v>
      </c>
      <c r="J9369" s="3" t="s">
        <v>47625</v>
      </c>
      <c r="K9369" s="3" t="s">
        <v>47626</v>
      </c>
      <c r="L9369" s="3"/>
      <c r="M9369" s="4"/>
      <c r="N9369" s="3" t="s">
        <v>37</v>
      </c>
      <c r="O9369" s="3" t="s">
        <v>38</v>
      </c>
      <c r="P9369" s="5">
        <v>25</v>
      </c>
      <c r="Q9369" s="5">
        <v>529</v>
      </c>
      <c r="R9369" s="5">
        <v>24</v>
      </c>
      <c r="S9369" s="5">
        <v>520</v>
      </c>
    </row>
    <row r="9370" spans="1:19" ht="28" x14ac:dyDescent="0.15">
      <c r="A9370" s="2">
        <f>HYPERLINK("https://open-school.uspishnemisto.com.ua/school/510195/", 510195)</f>
        <v>510195</v>
      </c>
      <c r="B9370" s="3" t="s">
        <v>47627</v>
      </c>
      <c r="C9370" s="3" t="s">
        <v>188</v>
      </c>
      <c r="D9370" s="3" t="s">
        <v>32</v>
      </c>
      <c r="E9370" s="4" t="s">
        <v>22</v>
      </c>
      <c r="F9370" s="4" t="s">
        <v>47628</v>
      </c>
      <c r="G9370" s="4" t="s">
        <v>47629</v>
      </c>
      <c r="H9370" s="3" t="s">
        <v>46910</v>
      </c>
      <c r="I9370" s="3" t="s">
        <v>47630</v>
      </c>
      <c r="J9370" s="3" t="s">
        <v>47631</v>
      </c>
      <c r="K9370" s="3" t="s">
        <v>47632</v>
      </c>
      <c r="L9370" s="3" t="s">
        <v>47633</v>
      </c>
      <c r="M9370" s="4" t="s">
        <v>47634</v>
      </c>
      <c r="N9370" s="3" t="s">
        <v>37</v>
      </c>
      <c r="O9370" s="3" t="s">
        <v>38</v>
      </c>
      <c r="P9370" s="5">
        <v>18</v>
      </c>
      <c r="Q9370" s="5">
        <v>399</v>
      </c>
      <c r="R9370" s="5">
        <v>18</v>
      </c>
      <c r="S9370" s="5">
        <v>388</v>
      </c>
    </row>
    <row r="9371" spans="1:19" ht="28" x14ac:dyDescent="0.15">
      <c r="A9371" s="2">
        <f>HYPERLINK("https://open-school.uspishnemisto.com.ua/school/510196/", 510196)</f>
        <v>510196</v>
      </c>
      <c r="B9371" s="3" t="s">
        <v>47635</v>
      </c>
      <c r="C9371" s="3" t="s">
        <v>20</v>
      </c>
      <c r="D9371" s="3" t="s">
        <v>21</v>
      </c>
      <c r="E9371" s="4" t="s">
        <v>22</v>
      </c>
      <c r="F9371" s="4" t="s">
        <v>47628</v>
      </c>
      <c r="G9371" s="4" t="s">
        <v>47629</v>
      </c>
      <c r="H9371" s="3" t="s">
        <v>46910</v>
      </c>
      <c r="I9371" s="3" t="s">
        <v>47630</v>
      </c>
      <c r="J9371" s="3" t="s">
        <v>47636</v>
      </c>
      <c r="K9371" s="3" t="s">
        <v>47637</v>
      </c>
      <c r="L9371" s="3"/>
      <c r="M9371" s="4" t="s">
        <v>47638</v>
      </c>
      <c r="N9371" s="3"/>
      <c r="O9371" s="3"/>
      <c r="P9371" s="5">
        <v>0</v>
      </c>
      <c r="Q9371" s="5">
        <v>0</v>
      </c>
      <c r="R9371" s="5"/>
      <c r="S9371" s="5"/>
    </row>
    <row r="9372" spans="1:19" ht="28" x14ac:dyDescent="0.15">
      <c r="A9372" s="2">
        <f>HYPERLINK("https://open-school.uspishnemisto.com.ua/school/510197/", 510197)</f>
        <v>510197</v>
      </c>
      <c r="B9372" s="3" t="s">
        <v>47639</v>
      </c>
      <c r="C9372" s="3" t="s">
        <v>31</v>
      </c>
      <c r="D9372" s="3" t="s">
        <v>32</v>
      </c>
      <c r="E9372" s="4" t="s">
        <v>22</v>
      </c>
      <c r="F9372" s="4" t="s">
        <v>47628</v>
      </c>
      <c r="G9372" s="4" t="s">
        <v>47629</v>
      </c>
      <c r="H9372" s="3" t="s">
        <v>46910</v>
      </c>
      <c r="I9372" s="3" t="s">
        <v>47630</v>
      </c>
      <c r="J9372" s="3" t="s">
        <v>47640</v>
      </c>
      <c r="K9372" s="3" t="s">
        <v>47641</v>
      </c>
      <c r="L9372" s="3"/>
      <c r="M9372" s="4" t="s">
        <v>47642</v>
      </c>
      <c r="N9372" s="3" t="s">
        <v>128</v>
      </c>
      <c r="O9372" s="3" t="s">
        <v>70</v>
      </c>
      <c r="P9372" s="5">
        <v>41</v>
      </c>
      <c r="Q9372" s="5">
        <v>1119</v>
      </c>
      <c r="R9372" s="5">
        <v>40</v>
      </c>
      <c r="S9372" s="5">
        <v>1060</v>
      </c>
    </row>
    <row r="9373" spans="1:19" ht="28" x14ac:dyDescent="0.15">
      <c r="A9373" s="2">
        <f>HYPERLINK("https://open-school.uspishnemisto.com.ua/school/510198/", 510198)</f>
        <v>510198</v>
      </c>
      <c r="B9373" s="3" t="s">
        <v>47643</v>
      </c>
      <c r="C9373" s="3" t="s">
        <v>31</v>
      </c>
      <c r="D9373" s="3" t="s">
        <v>32</v>
      </c>
      <c r="E9373" s="4" t="s">
        <v>22</v>
      </c>
      <c r="F9373" s="4" t="s">
        <v>47644</v>
      </c>
      <c r="G9373" s="4" t="s">
        <v>47629</v>
      </c>
      <c r="H9373" s="3" t="s">
        <v>46910</v>
      </c>
      <c r="I9373" s="3" t="s">
        <v>47630</v>
      </c>
      <c r="J9373" s="3" t="s">
        <v>47645</v>
      </c>
      <c r="K9373" s="3" t="s">
        <v>47646</v>
      </c>
      <c r="L9373" s="3"/>
      <c r="M9373" s="4" t="s">
        <v>47647</v>
      </c>
      <c r="N9373" s="3" t="s">
        <v>37</v>
      </c>
      <c r="O9373" s="3" t="s">
        <v>38</v>
      </c>
      <c r="P9373" s="5">
        <v>21</v>
      </c>
      <c r="Q9373" s="5">
        <v>490</v>
      </c>
      <c r="R9373" s="5">
        <v>21</v>
      </c>
      <c r="S9373" s="5">
        <v>489</v>
      </c>
    </row>
    <row r="9374" spans="1:19" ht="42" x14ac:dyDescent="0.15">
      <c r="A9374" s="2">
        <f>HYPERLINK("https://open-school.uspishnemisto.com.ua/school/510199/", 510199)</f>
        <v>510199</v>
      </c>
      <c r="B9374" s="3" t="s">
        <v>47648</v>
      </c>
      <c r="C9374" s="3" t="s">
        <v>31</v>
      </c>
      <c r="D9374" s="3" t="s">
        <v>32</v>
      </c>
      <c r="E9374" s="4" t="s">
        <v>22</v>
      </c>
      <c r="F9374" s="4" t="s">
        <v>47628</v>
      </c>
      <c r="G9374" s="4" t="s">
        <v>47629</v>
      </c>
      <c r="H9374" s="3" t="s">
        <v>46910</v>
      </c>
      <c r="I9374" s="3" t="s">
        <v>47630</v>
      </c>
      <c r="J9374" s="3" t="s">
        <v>47649</v>
      </c>
      <c r="K9374" s="3" t="s">
        <v>47650</v>
      </c>
      <c r="L9374" s="3" t="s">
        <v>47651</v>
      </c>
      <c r="M9374" s="4" t="s">
        <v>47652</v>
      </c>
      <c r="N9374" s="3" t="s">
        <v>37</v>
      </c>
      <c r="O9374" s="3" t="s">
        <v>38</v>
      </c>
      <c r="P9374" s="5">
        <v>29</v>
      </c>
      <c r="Q9374" s="5">
        <v>830</v>
      </c>
      <c r="R9374" s="5">
        <v>30</v>
      </c>
      <c r="S9374" s="5">
        <v>819</v>
      </c>
    </row>
    <row r="9375" spans="1:19" ht="28" x14ac:dyDescent="0.15">
      <c r="A9375" s="2">
        <f>HYPERLINK("https://open-school.uspishnemisto.com.ua/school/510200/", 510200)</f>
        <v>510200</v>
      </c>
      <c r="B9375" s="3" t="s">
        <v>47653</v>
      </c>
      <c r="C9375" s="3" t="s">
        <v>31</v>
      </c>
      <c r="D9375" s="3" t="s">
        <v>32</v>
      </c>
      <c r="E9375" s="4" t="s">
        <v>22</v>
      </c>
      <c r="F9375" s="4" t="s">
        <v>47628</v>
      </c>
      <c r="G9375" s="4" t="s">
        <v>47629</v>
      </c>
      <c r="H9375" s="3" t="s">
        <v>46910</v>
      </c>
      <c r="I9375" s="3" t="s">
        <v>47630</v>
      </c>
      <c r="J9375" s="3" t="s">
        <v>41243</v>
      </c>
      <c r="K9375" s="3" t="s">
        <v>47654</v>
      </c>
      <c r="L9375" s="3"/>
      <c r="M9375" s="4" t="s">
        <v>47655</v>
      </c>
      <c r="N9375" s="3" t="s">
        <v>128</v>
      </c>
      <c r="O9375" s="3" t="s">
        <v>38</v>
      </c>
      <c r="P9375" s="5">
        <v>11</v>
      </c>
      <c r="Q9375" s="5">
        <v>248</v>
      </c>
      <c r="R9375" s="5">
        <v>11</v>
      </c>
      <c r="S9375" s="5">
        <v>251</v>
      </c>
    </row>
    <row r="9376" spans="1:19" ht="28" x14ac:dyDescent="0.15">
      <c r="A9376" s="2">
        <f>HYPERLINK("https://open-school.uspishnemisto.com.ua/school/510201/", 510201)</f>
        <v>510201</v>
      </c>
      <c r="B9376" s="3" t="s">
        <v>47656</v>
      </c>
      <c r="C9376" s="3" t="s">
        <v>31</v>
      </c>
      <c r="D9376" s="3" t="s">
        <v>32</v>
      </c>
      <c r="E9376" s="4" t="s">
        <v>22</v>
      </c>
      <c r="F9376" s="4" t="s">
        <v>47628</v>
      </c>
      <c r="G9376" s="4" t="s">
        <v>47629</v>
      </c>
      <c r="H9376" s="3" t="s">
        <v>46910</v>
      </c>
      <c r="I9376" s="3" t="s">
        <v>47630</v>
      </c>
      <c r="J9376" s="3" t="s">
        <v>47657</v>
      </c>
      <c r="K9376" s="3" t="s">
        <v>47658</v>
      </c>
      <c r="L9376" s="3" t="s">
        <v>47659</v>
      </c>
      <c r="M9376" s="4" t="s">
        <v>47660</v>
      </c>
      <c r="N9376" s="3" t="s">
        <v>128</v>
      </c>
      <c r="O9376" s="3" t="s">
        <v>70</v>
      </c>
      <c r="P9376" s="5">
        <v>43</v>
      </c>
      <c r="Q9376" s="5">
        <v>1141</v>
      </c>
      <c r="R9376" s="5">
        <v>40</v>
      </c>
      <c r="S9376" s="5">
        <v>1068</v>
      </c>
    </row>
    <row r="9377" spans="1:19" ht="28" x14ac:dyDescent="0.15">
      <c r="A9377" s="2">
        <f>HYPERLINK("https://open-school.uspishnemisto.com.ua/school/510202/", 510202)</f>
        <v>510202</v>
      </c>
      <c r="B9377" s="3" t="s">
        <v>47661</v>
      </c>
      <c r="C9377" s="3" t="s">
        <v>31</v>
      </c>
      <c r="D9377" s="3" t="s">
        <v>32</v>
      </c>
      <c r="E9377" s="4" t="s">
        <v>22</v>
      </c>
      <c r="F9377" s="4" t="s">
        <v>47628</v>
      </c>
      <c r="G9377" s="4" t="s">
        <v>47629</v>
      </c>
      <c r="H9377" s="3" t="s">
        <v>46910</v>
      </c>
      <c r="I9377" s="3" t="s">
        <v>47630</v>
      </c>
      <c r="J9377" s="3" t="s">
        <v>47662</v>
      </c>
      <c r="K9377" s="3"/>
      <c r="L9377" s="3"/>
      <c r="M9377" s="4" t="s">
        <v>47663</v>
      </c>
      <c r="N9377" s="3" t="s">
        <v>128</v>
      </c>
      <c r="O9377" s="3" t="s">
        <v>721</v>
      </c>
      <c r="P9377" s="5">
        <v>33</v>
      </c>
      <c r="Q9377" s="5">
        <v>770</v>
      </c>
      <c r="R9377" s="5">
        <v>31</v>
      </c>
      <c r="S9377" s="5">
        <v>742</v>
      </c>
    </row>
    <row r="9378" spans="1:19" ht="28" x14ac:dyDescent="0.15">
      <c r="A9378" s="2">
        <f>HYPERLINK("https://open-school.uspishnemisto.com.ua/school/510203/", 510203)</f>
        <v>510203</v>
      </c>
      <c r="B9378" s="3" t="s">
        <v>47664</v>
      </c>
      <c r="C9378" s="3" t="s">
        <v>31</v>
      </c>
      <c r="D9378" s="3" t="s">
        <v>32</v>
      </c>
      <c r="E9378" s="4" t="s">
        <v>22</v>
      </c>
      <c r="F9378" s="4" t="s">
        <v>47628</v>
      </c>
      <c r="G9378" s="4" t="s">
        <v>47629</v>
      </c>
      <c r="H9378" s="3" t="s">
        <v>46910</v>
      </c>
      <c r="I9378" s="3" t="s">
        <v>47630</v>
      </c>
      <c r="J9378" s="3" t="s">
        <v>47665</v>
      </c>
      <c r="K9378" s="3" t="s">
        <v>47666</v>
      </c>
      <c r="L9378" s="3"/>
      <c r="M9378" s="4" t="s">
        <v>47667</v>
      </c>
      <c r="N9378" s="3" t="s">
        <v>967</v>
      </c>
      <c r="O9378" s="3" t="s">
        <v>52</v>
      </c>
      <c r="P9378" s="5">
        <v>21</v>
      </c>
      <c r="Q9378" s="5">
        <v>513</v>
      </c>
      <c r="R9378" s="5">
        <v>21</v>
      </c>
      <c r="S9378" s="5">
        <v>495</v>
      </c>
    </row>
    <row r="9379" spans="1:19" ht="28" x14ac:dyDescent="0.15">
      <c r="A9379" s="2">
        <f>HYPERLINK("https://open-school.uspishnemisto.com.ua/school/510204/", 510204)</f>
        <v>510204</v>
      </c>
      <c r="B9379" s="3" t="s">
        <v>47668</v>
      </c>
      <c r="C9379" s="3" t="s">
        <v>31</v>
      </c>
      <c r="D9379" s="3" t="s">
        <v>32</v>
      </c>
      <c r="E9379" s="4" t="s">
        <v>22</v>
      </c>
      <c r="F9379" s="4" t="s">
        <v>47628</v>
      </c>
      <c r="G9379" s="4" t="s">
        <v>47629</v>
      </c>
      <c r="H9379" s="3" t="s">
        <v>46910</v>
      </c>
      <c r="I9379" s="3" t="s">
        <v>47630</v>
      </c>
      <c r="J9379" s="3" t="s">
        <v>47669</v>
      </c>
      <c r="K9379" s="3" t="s">
        <v>47670</v>
      </c>
      <c r="L9379" s="3" t="s">
        <v>47671</v>
      </c>
      <c r="M9379" s="4" t="s">
        <v>47672</v>
      </c>
      <c r="N9379" s="3" t="s">
        <v>128</v>
      </c>
      <c r="O9379" s="3" t="s">
        <v>70</v>
      </c>
      <c r="P9379" s="5">
        <v>15</v>
      </c>
      <c r="Q9379" s="5">
        <v>350</v>
      </c>
      <c r="R9379" s="5">
        <v>14</v>
      </c>
      <c r="S9379" s="5">
        <v>347</v>
      </c>
    </row>
    <row r="9380" spans="1:19" ht="28" x14ac:dyDescent="0.15">
      <c r="A9380" s="2">
        <f>HYPERLINK("https://open-school.uspishnemisto.com.ua/school/510205/", 510205)</f>
        <v>510205</v>
      </c>
      <c r="B9380" s="3" t="s">
        <v>47673</v>
      </c>
      <c r="C9380" s="3" t="s">
        <v>31</v>
      </c>
      <c r="D9380" s="3" t="s">
        <v>32</v>
      </c>
      <c r="E9380" s="4" t="s">
        <v>22</v>
      </c>
      <c r="F9380" s="4" t="s">
        <v>47628</v>
      </c>
      <c r="G9380" s="4" t="s">
        <v>47629</v>
      </c>
      <c r="H9380" s="3" t="s">
        <v>46910</v>
      </c>
      <c r="I9380" s="3" t="s">
        <v>47630</v>
      </c>
      <c r="J9380" s="3" t="s">
        <v>47674</v>
      </c>
      <c r="K9380" s="3"/>
      <c r="L9380" s="3" t="s">
        <v>47675</v>
      </c>
      <c r="M9380" s="4" t="s">
        <v>47676</v>
      </c>
      <c r="N9380" s="3" t="s">
        <v>967</v>
      </c>
      <c r="O9380" s="3" t="s">
        <v>52</v>
      </c>
      <c r="P9380" s="5">
        <v>17</v>
      </c>
      <c r="Q9380" s="5">
        <v>361</v>
      </c>
      <c r="R9380" s="5">
        <v>17</v>
      </c>
      <c r="S9380" s="5">
        <v>382</v>
      </c>
    </row>
    <row r="9381" spans="1:19" ht="28" x14ac:dyDescent="0.15">
      <c r="A9381" s="2">
        <f>HYPERLINK("https://open-school.uspishnemisto.com.ua/school/510206/", 510206)</f>
        <v>510206</v>
      </c>
      <c r="B9381" s="3" t="s">
        <v>47677</v>
      </c>
      <c r="C9381" s="3" t="s">
        <v>31</v>
      </c>
      <c r="D9381" s="3" t="s">
        <v>32</v>
      </c>
      <c r="E9381" s="4" t="s">
        <v>22</v>
      </c>
      <c r="F9381" s="4" t="s">
        <v>47678</v>
      </c>
      <c r="G9381" s="4" t="s">
        <v>47629</v>
      </c>
      <c r="H9381" s="3" t="s">
        <v>46910</v>
      </c>
      <c r="I9381" s="3" t="s">
        <v>47630</v>
      </c>
      <c r="J9381" s="3" t="s">
        <v>47679</v>
      </c>
      <c r="K9381" s="3" t="s">
        <v>47680</v>
      </c>
      <c r="L9381" s="3"/>
      <c r="M9381" s="4" t="s">
        <v>47681</v>
      </c>
      <c r="N9381" s="3" t="s">
        <v>128</v>
      </c>
      <c r="O9381" s="3" t="s">
        <v>721</v>
      </c>
      <c r="P9381" s="5">
        <v>21</v>
      </c>
      <c r="Q9381" s="5">
        <v>461</v>
      </c>
      <c r="R9381" s="5">
        <v>21</v>
      </c>
      <c r="S9381" s="5">
        <v>472</v>
      </c>
    </row>
    <row r="9382" spans="1:19" ht="42" x14ac:dyDescent="0.15">
      <c r="A9382" s="2">
        <f>HYPERLINK("https://open-school.uspishnemisto.com.ua/school/510207/", 510207)</f>
        <v>510207</v>
      </c>
      <c r="B9382" s="3" t="s">
        <v>47682</v>
      </c>
      <c r="C9382" s="3" t="s">
        <v>4989</v>
      </c>
      <c r="D9382" s="3" t="s">
        <v>32</v>
      </c>
      <c r="E9382" s="4" t="s">
        <v>22</v>
      </c>
      <c r="F9382" s="4" t="s">
        <v>47628</v>
      </c>
      <c r="G9382" s="4" t="s">
        <v>47629</v>
      </c>
      <c r="H9382" s="3" t="s">
        <v>46910</v>
      </c>
      <c r="I9382" s="3" t="s">
        <v>47630</v>
      </c>
      <c r="J9382" s="3" t="s">
        <v>47683</v>
      </c>
      <c r="K9382" s="3"/>
      <c r="L9382" s="3"/>
      <c r="M9382" s="4" t="s">
        <v>47684</v>
      </c>
      <c r="N9382" s="3" t="s">
        <v>37</v>
      </c>
      <c r="O9382" s="3" t="s">
        <v>52</v>
      </c>
      <c r="P9382" s="5">
        <v>1</v>
      </c>
      <c r="Q9382" s="5">
        <v>18</v>
      </c>
      <c r="R9382" s="5">
        <v>3</v>
      </c>
      <c r="S9382" s="5">
        <v>75</v>
      </c>
    </row>
    <row r="9383" spans="1:19" ht="28" x14ac:dyDescent="0.15">
      <c r="A9383" s="2">
        <f>HYPERLINK("https://open-school.uspishnemisto.com.ua/school/510208/", 510208)</f>
        <v>510208</v>
      </c>
      <c r="B9383" s="3" t="s">
        <v>47685</v>
      </c>
      <c r="C9383" s="3" t="s">
        <v>174</v>
      </c>
      <c r="D9383" s="3" t="s">
        <v>175</v>
      </c>
      <c r="E9383" s="4" t="s">
        <v>22</v>
      </c>
      <c r="F9383" s="4" t="s">
        <v>47628</v>
      </c>
      <c r="G9383" s="4" t="s">
        <v>47629</v>
      </c>
      <c r="H9383" s="3" t="s">
        <v>46910</v>
      </c>
      <c r="I9383" s="3" t="s">
        <v>47630</v>
      </c>
      <c r="J9383" s="3" t="s">
        <v>47686</v>
      </c>
      <c r="K9383" s="3" t="s">
        <v>47687</v>
      </c>
      <c r="L9383" s="3"/>
      <c r="M9383" s="4" t="s">
        <v>47688</v>
      </c>
      <c r="N9383" s="3" t="s">
        <v>37</v>
      </c>
      <c r="O9383" s="3"/>
      <c r="P9383" s="5">
        <v>9</v>
      </c>
      <c r="Q9383" s="5">
        <v>109</v>
      </c>
      <c r="R9383" s="5">
        <v>9</v>
      </c>
      <c r="S9383" s="5">
        <v>111</v>
      </c>
    </row>
    <row r="9384" spans="1:19" ht="28" x14ac:dyDescent="0.15">
      <c r="A9384" s="2">
        <f>HYPERLINK("https://open-school.uspishnemisto.com.ua/school/510209/", 510209)</f>
        <v>510209</v>
      </c>
      <c r="B9384" s="3" t="s">
        <v>47689</v>
      </c>
      <c r="C9384" s="3" t="s">
        <v>31</v>
      </c>
      <c r="D9384" s="3" t="s">
        <v>175</v>
      </c>
      <c r="E9384" s="4" t="s">
        <v>41</v>
      </c>
      <c r="F9384" s="4" t="s">
        <v>47690</v>
      </c>
      <c r="G9384" s="4" t="s">
        <v>47629</v>
      </c>
      <c r="H9384" s="3" t="s">
        <v>46910</v>
      </c>
      <c r="I9384" s="3" t="s">
        <v>47630</v>
      </c>
      <c r="J9384" s="3" t="s">
        <v>47691</v>
      </c>
      <c r="K9384" s="3" t="s">
        <v>47692</v>
      </c>
      <c r="L9384" s="3"/>
      <c r="M9384" s="4"/>
      <c r="N9384" s="3" t="s">
        <v>37</v>
      </c>
      <c r="O9384" s="3" t="s">
        <v>52</v>
      </c>
      <c r="P9384" s="5">
        <v>9</v>
      </c>
      <c r="Q9384" s="5">
        <v>146</v>
      </c>
      <c r="R9384" s="5">
        <v>10</v>
      </c>
      <c r="S9384" s="5">
        <v>162</v>
      </c>
    </row>
    <row r="9385" spans="1:19" ht="42" x14ac:dyDescent="0.15">
      <c r="A9385" s="2">
        <f>HYPERLINK("https://open-school.uspishnemisto.com.ua/school/510210/", 510210)</f>
        <v>510210</v>
      </c>
      <c r="B9385" s="3" t="s">
        <v>47693</v>
      </c>
      <c r="C9385" s="3" t="s">
        <v>244</v>
      </c>
      <c r="D9385" s="3" t="s">
        <v>32</v>
      </c>
      <c r="E9385" s="4" t="s">
        <v>22</v>
      </c>
      <c r="F9385" s="4" t="s">
        <v>47628</v>
      </c>
      <c r="G9385" s="4" t="s">
        <v>47629</v>
      </c>
      <c r="H9385" s="3" t="s">
        <v>46910</v>
      </c>
      <c r="I9385" s="3" t="s">
        <v>47630</v>
      </c>
      <c r="J9385" s="3" t="s">
        <v>47694</v>
      </c>
      <c r="K9385" s="3" t="s">
        <v>47695</v>
      </c>
      <c r="L9385" s="3"/>
      <c r="M9385" s="4" t="s">
        <v>47696</v>
      </c>
      <c r="N9385" s="3" t="s">
        <v>128</v>
      </c>
      <c r="O9385" s="3" t="s">
        <v>46</v>
      </c>
      <c r="P9385" s="5">
        <v>28</v>
      </c>
      <c r="Q9385" s="5">
        <v>645</v>
      </c>
      <c r="R9385" s="5">
        <v>29</v>
      </c>
      <c r="S9385" s="5">
        <v>620</v>
      </c>
    </row>
    <row r="9386" spans="1:19" ht="42" x14ac:dyDescent="0.15">
      <c r="A9386" s="2">
        <f>HYPERLINK("https://open-school.uspishnemisto.com.ua/school/510211/", 510211)</f>
        <v>510211</v>
      </c>
      <c r="B9386" s="3" t="s">
        <v>47697</v>
      </c>
      <c r="C9386" s="3" t="s">
        <v>244</v>
      </c>
      <c r="D9386" s="3" t="s">
        <v>32</v>
      </c>
      <c r="E9386" s="4" t="s">
        <v>22</v>
      </c>
      <c r="F9386" s="4" t="s">
        <v>47628</v>
      </c>
      <c r="G9386" s="4" t="s">
        <v>47629</v>
      </c>
      <c r="H9386" s="3" t="s">
        <v>46910</v>
      </c>
      <c r="I9386" s="3" t="s">
        <v>47630</v>
      </c>
      <c r="J9386" s="3" t="s">
        <v>14794</v>
      </c>
      <c r="K9386" s="3" t="s">
        <v>47698</v>
      </c>
      <c r="L9386" s="3" t="s">
        <v>47699</v>
      </c>
      <c r="M9386" s="4" t="s">
        <v>47700</v>
      </c>
      <c r="N9386" s="3" t="s">
        <v>128</v>
      </c>
      <c r="O9386" s="3" t="s">
        <v>70</v>
      </c>
      <c r="P9386" s="5">
        <v>36</v>
      </c>
      <c r="Q9386" s="5">
        <v>1098</v>
      </c>
      <c r="R9386" s="5">
        <v>34</v>
      </c>
      <c r="S9386" s="5">
        <v>1032</v>
      </c>
    </row>
    <row r="9387" spans="1:19" ht="28" x14ac:dyDescent="0.15">
      <c r="A9387" s="2">
        <f>HYPERLINK("https://open-school.uspishnemisto.com.ua/school/510212/", 510212)</f>
        <v>510212</v>
      </c>
      <c r="B9387" s="3" t="s">
        <v>47701</v>
      </c>
      <c r="C9387" s="3" t="s">
        <v>40</v>
      </c>
      <c r="D9387" s="3" t="s">
        <v>32</v>
      </c>
      <c r="E9387" s="4" t="s">
        <v>22</v>
      </c>
      <c r="F9387" s="4" t="s">
        <v>47702</v>
      </c>
      <c r="G9387" s="4" t="s">
        <v>47703</v>
      </c>
      <c r="H9387" s="3" t="s">
        <v>46910</v>
      </c>
      <c r="I9387" s="3" t="s">
        <v>47704</v>
      </c>
      <c r="J9387" s="3" t="s">
        <v>4501</v>
      </c>
      <c r="K9387" s="3" t="s">
        <v>47705</v>
      </c>
      <c r="L9387" s="3"/>
      <c r="M9387" s="4"/>
      <c r="N9387" s="3" t="s">
        <v>37</v>
      </c>
      <c r="O9387" s="3" t="s">
        <v>70</v>
      </c>
      <c r="P9387" s="5">
        <v>14</v>
      </c>
      <c r="Q9387" s="5">
        <v>335</v>
      </c>
      <c r="R9387" s="5">
        <v>15</v>
      </c>
      <c r="S9387" s="5">
        <v>346</v>
      </c>
    </row>
    <row r="9388" spans="1:19" ht="42" x14ac:dyDescent="0.15">
      <c r="A9388" s="2">
        <f>HYPERLINK("https://open-school.uspishnemisto.com.ua/school/510213/", 510213)</f>
        <v>510213</v>
      </c>
      <c r="B9388" s="3" t="s">
        <v>47706</v>
      </c>
      <c r="C9388" s="3" t="s">
        <v>31</v>
      </c>
      <c r="D9388" s="3" t="s">
        <v>32</v>
      </c>
      <c r="E9388" s="4" t="s">
        <v>22</v>
      </c>
      <c r="F9388" s="4" t="s">
        <v>47707</v>
      </c>
      <c r="G9388" s="4" t="s">
        <v>47703</v>
      </c>
      <c r="H9388" s="3" t="s">
        <v>46910</v>
      </c>
      <c r="I9388" s="3" t="s">
        <v>47704</v>
      </c>
      <c r="J9388" s="3" t="s">
        <v>47708</v>
      </c>
      <c r="K9388" s="3" t="s">
        <v>47709</v>
      </c>
      <c r="L9388" s="3"/>
      <c r="M9388" s="4"/>
      <c r="N9388" s="3" t="s">
        <v>967</v>
      </c>
      <c r="O9388" s="3" t="s">
        <v>52</v>
      </c>
      <c r="P9388" s="5">
        <v>53</v>
      </c>
      <c r="Q9388" s="5">
        <v>1584</v>
      </c>
      <c r="R9388" s="5">
        <v>52</v>
      </c>
      <c r="S9388" s="5">
        <v>1515</v>
      </c>
    </row>
    <row r="9389" spans="1:19" ht="42" x14ac:dyDescent="0.15">
      <c r="A9389" s="2">
        <f>HYPERLINK("https://open-school.uspishnemisto.com.ua/school/510214/", 510214)</f>
        <v>510214</v>
      </c>
      <c r="B9389" s="3" t="s">
        <v>47710</v>
      </c>
      <c r="C9389" s="3" t="s">
        <v>31</v>
      </c>
      <c r="D9389" s="3" t="s">
        <v>32</v>
      </c>
      <c r="E9389" s="4" t="s">
        <v>22</v>
      </c>
      <c r="F9389" s="4" t="s">
        <v>47702</v>
      </c>
      <c r="G9389" s="4" t="s">
        <v>47703</v>
      </c>
      <c r="H9389" s="3" t="s">
        <v>46910</v>
      </c>
      <c r="I9389" s="3" t="s">
        <v>47704</v>
      </c>
      <c r="J9389" s="3" t="s">
        <v>16202</v>
      </c>
      <c r="K9389" s="3" t="s">
        <v>47711</v>
      </c>
      <c r="L9389" s="3"/>
      <c r="M9389" s="4"/>
      <c r="N9389" s="3" t="s">
        <v>37</v>
      </c>
      <c r="O9389" s="3" t="s">
        <v>70</v>
      </c>
      <c r="P9389" s="5">
        <v>32</v>
      </c>
      <c r="Q9389" s="5">
        <v>880</v>
      </c>
      <c r="R9389" s="5">
        <v>30</v>
      </c>
      <c r="S9389" s="5">
        <v>835</v>
      </c>
    </row>
    <row r="9390" spans="1:19" ht="28" x14ac:dyDescent="0.15">
      <c r="A9390" s="2">
        <f>HYPERLINK("https://open-school.uspishnemisto.com.ua/school/510215/", 510215)</f>
        <v>510215</v>
      </c>
      <c r="B9390" s="3" t="s">
        <v>47712</v>
      </c>
      <c r="C9390" s="3" t="s">
        <v>31</v>
      </c>
      <c r="D9390" s="3" t="s">
        <v>32</v>
      </c>
      <c r="E9390" s="4" t="s">
        <v>22</v>
      </c>
      <c r="F9390" s="4" t="s">
        <v>47713</v>
      </c>
      <c r="G9390" s="4" t="s">
        <v>47703</v>
      </c>
      <c r="H9390" s="3" t="s">
        <v>46910</v>
      </c>
      <c r="I9390" s="3" t="s">
        <v>47704</v>
      </c>
      <c r="J9390" s="3" t="s">
        <v>47714</v>
      </c>
      <c r="K9390" s="3" t="s">
        <v>47715</v>
      </c>
      <c r="L9390" s="3"/>
      <c r="M9390" s="4"/>
      <c r="N9390" s="3" t="s">
        <v>37</v>
      </c>
      <c r="O9390" s="3" t="s">
        <v>38</v>
      </c>
      <c r="P9390" s="5">
        <v>30</v>
      </c>
      <c r="Q9390" s="5">
        <v>724</v>
      </c>
      <c r="R9390" s="5">
        <v>27</v>
      </c>
      <c r="S9390" s="5">
        <v>687</v>
      </c>
    </row>
    <row r="9391" spans="1:19" ht="28" x14ac:dyDescent="0.15">
      <c r="A9391" s="2">
        <f>HYPERLINK("https://open-school.uspishnemisto.com.ua/school/510216/", 510216)</f>
        <v>510216</v>
      </c>
      <c r="B9391" s="3" t="s">
        <v>47716</v>
      </c>
      <c r="C9391" s="3" t="s">
        <v>31</v>
      </c>
      <c r="D9391" s="3" t="s">
        <v>32</v>
      </c>
      <c r="E9391" s="4" t="s">
        <v>22</v>
      </c>
      <c r="F9391" s="4" t="s">
        <v>47702</v>
      </c>
      <c r="G9391" s="4" t="s">
        <v>47703</v>
      </c>
      <c r="H9391" s="3" t="s">
        <v>46910</v>
      </c>
      <c r="I9391" s="3" t="s">
        <v>47704</v>
      </c>
      <c r="J9391" s="3" t="s">
        <v>47717</v>
      </c>
      <c r="K9391" s="3" t="s">
        <v>47718</v>
      </c>
      <c r="L9391" s="3" t="s">
        <v>47719</v>
      </c>
      <c r="M9391" s="4"/>
      <c r="N9391" s="3" t="s">
        <v>967</v>
      </c>
      <c r="O9391" s="3" t="s">
        <v>46</v>
      </c>
      <c r="P9391" s="5">
        <v>42</v>
      </c>
      <c r="Q9391" s="5">
        <v>1167</v>
      </c>
      <c r="R9391" s="5">
        <v>42</v>
      </c>
      <c r="S9391" s="5">
        <v>1145</v>
      </c>
    </row>
    <row r="9392" spans="1:19" ht="28" x14ac:dyDescent="0.15">
      <c r="A9392" s="2">
        <f>HYPERLINK("https://open-school.uspishnemisto.com.ua/school/510217/", 510217)</f>
        <v>510217</v>
      </c>
      <c r="B9392" s="3" t="s">
        <v>47720</v>
      </c>
      <c r="C9392" s="3" t="s">
        <v>31</v>
      </c>
      <c r="D9392" s="3" t="s">
        <v>32</v>
      </c>
      <c r="E9392" s="4" t="s">
        <v>22</v>
      </c>
      <c r="F9392" s="4" t="s">
        <v>47713</v>
      </c>
      <c r="G9392" s="4" t="s">
        <v>47703</v>
      </c>
      <c r="H9392" s="3" t="s">
        <v>46910</v>
      </c>
      <c r="I9392" s="3" t="s">
        <v>47704</v>
      </c>
      <c r="J9392" s="3" t="s">
        <v>47721</v>
      </c>
      <c r="K9392" s="3" t="s">
        <v>47722</v>
      </c>
      <c r="L9392" s="3"/>
      <c r="M9392" s="4"/>
      <c r="N9392" s="3" t="s">
        <v>967</v>
      </c>
      <c r="O9392" s="3" t="s">
        <v>52</v>
      </c>
      <c r="P9392" s="5">
        <v>30</v>
      </c>
      <c r="Q9392" s="5">
        <v>736</v>
      </c>
      <c r="R9392" s="5">
        <v>28</v>
      </c>
      <c r="S9392" s="5">
        <v>743</v>
      </c>
    </row>
    <row r="9393" spans="1:19" ht="28" x14ac:dyDescent="0.15">
      <c r="A9393" s="2">
        <f>HYPERLINK("https://open-school.uspishnemisto.com.ua/school/510218/", 510218)</f>
        <v>510218</v>
      </c>
      <c r="B9393" s="3" t="s">
        <v>47723</v>
      </c>
      <c r="C9393" s="3" t="s">
        <v>31</v>
      </c>
      <c r="D9393" s="3" t="s">
        <v>32</v>
      </c>
      <c r="E9393" s="4" t="s">
        <v>22</v>
      </c>
      <c r="F9393" s="4" t="s">
        <v>47707</v>
      </c>
      <c r="G9393" s="4" t="s">
        <v>47703</v>
      </c>
      <c r="H9393" s="3" t="s">
        <v>46910</v>
      </c>
      <c r="I9393" s="3" t="s">
        <v>47704</v>
      </c>
      <c r="J9393" s="3" t="s">
        <v>47724</v>
      </c>
      <c r="K9393" s="3" t="s">
        <v>47725</v>
      </c>
      <c r="L9393" s="3" t="s">
        <v>47726</v>
      </c>
      <c r="M9393" s="4"/>
      <c r="N9393" s="3" t="s">
        <v>37</v>
      </c>
      <c r="O9393" s="3" t="s">
        <v>70</v>
      </c>
      <c r="P9393" s="5">
        <v>43</v>
      </c>
      <c r="Q9393" s="5">
        <v>1248</v>
      </c>
      <c r="R9393" s="5">
        <v>41</v>
      </c>
      <c r="S9393" s="5">
        <v>1155</v>
      </c>
    </row>
    <row r="9394" spans="1:19" ht="56" x14ac:dyDescent="0.15">
      <c r="A9394" s="2">
        <f>HYPERLINK("https://open-school.uspishnemisto.com.ua/school/510219/", 510219)</f>
        <v>510219</v>
      </c>
      <c r="B9394" s="3" t="s">
        <v>47727</v>
      </c>
      <c r="C9394" s="3" t="s">
        <v>174</v>
      </c>
      <c r="D9394" s="3" t="s">
        <v>175</v>
      </c>
      <c r="E9394" s="4" t="s">
        <v>22</v>
      </c>
      <c r="F9394" s="4" t="s">
        <v>47713</v>
      </c>
      <c r="G9394" s="4" t="s">
        <v>47703</v>
      </c>
      <c r="H9394" s="3" t="s">
        <v>46910</v>
      </c>
      <c r="I9394" s="3" t="s">
        <v>47704</v>
      </c>
      <c r="J9394" s="3" t="s">
        <v>47728</v>
      </c>
      <c r="K9394" s="3" t="s">
        <v>47729</v>
      </c>
      <c r="L9394" s="3" t="s">
        <v>47730</v>
      </c>
      <c r="M9394" s="4"/>
      <c r="N9394" s="3" t="s">
        <v>967</v>
      </c>
      <c r="O9394" s="3" t="s">
        <v>52</v>
      </c>
      <c r="P9394" s="5">
        <v>13</v>
      </c>
      <c r="Q9394" s="5">
        <v>164</v>
      </c>
      <c r="R9394" s="5">
        <v>14</v>
      </c>
      <c r="S9394" s="5">
        <v>169</v>
      </c>
    </row>
    <row r="9395" spans="1:19" ht="28" x14ac:dyDescent="0.15">
      <c r="A9395" s="2">
        <f>HYPERLINK("https://open-school.uspishnemisto.com.ua/school/510221/", 510221)</f>
        <v>510221</v>
      </c>
      <c r="B9395" s="3" t="s">
        <v>47731</v>
      </c>
      <c r="C9395" s="3" t="s">
        <v>20</v>
      </c>
      <c r="D9395" s="3" t="s">
        <v>21</v>
      </c>
      <c r="E9395" s="4" t="s">
        <v>22</v>
      </c>
      <c r="F9395" s="4" t="s">
        <v>47713</v>
      </c>
      <c r="G9395" s="4" t="s">
        <v>47703</v>
      </c>
      <c r="H9395" s="3" t="s">
        <v>46910</v>
      </c>
      <c r="I9395" s="3" t="s">
        <v>47704</v>
      </c>
      <c r="J9395" s="3" t="s">
        <v>47732</v>
      </c>
      <c r="K9395" s="3" t="s">
        <v>47733</v>
      </c>
      <c r="L9395" s="3"/>
      <c r="M9395" s="4"/>
      <c r="N9395" s="3"/>
      <c r="O9395" s="3"/>
      <c r="P9395" s="5">
        <v>0</v>
      </c>
      <c r="Q9395" s="5">
        <v>0</v>
      </c>
      <c r="R9395" s="5"/>
      <c r="S9395" s="5"/>
    </row>
    <row r="9396" spans="1:19" ht="28" x14ac:dyDescent="0.15">
      <c r="A9396" s="2">
        <f>HYPERLINK("https://open-school.uspishnemisto.com.ua/school/510222/", 510222)</f>
        <v>510222</v>
      </c>
      <c r="B9396" s="3" t="s">
        <v>47734</v>
      </c>
      <c r="C9396" s="3" t="s">
        <v>31</v>
      </c>
      <c r="D9396" s="3" t="s">
        <v>32</v>
      </c>
      <c r="E9396" s="4" t="s">
        <v>22</v>
      </c>
      <c r="F9396" s="4" t="s">
        <v>47735</v>
      </c>
      <c r="G9396" s="4" t="s">
        <v>47736</v>
      </c>
      <c r="H9396" s="3" t="s">
        <v>46910</v>
      </c>
      <c r="I9396" s="3" t="s">
        <v>1291</v>
      </c>
      <c r="J9396" s="3" t="s">
        <v>45518</v>
      </c>
      <c r="K9396" s="3" t="s">
        <v>47737</v>
      </c>
      <c r="L9396" s="3"/>
      <c r="M9396" s="4"/>
      <c r="N9396" s="3" t="s">
        <v>128</v>
      </c>
      <c r="O9396" s="3" t="s">
        <v>70</v>
      </c>
      <c r="P9396" s="5">
        <v>26</v>
      </c>
      <c r="Q9396" s="5">
        <v>656</v>
      </c>
      <c r="R9396" s="5">
        <v>25</v>
      </c>
      <c r="S9396" s="5">
        <v>627</v>
      </c>
    </row>
    <row r="9397" spans="1:19" ht="28" x14ac:dyDescent="0.15">
      <c r="A9397" s="2">
        <f>HYPERLINK("https://open-school.uspishnemisto.com.ua/school/510223/", 510223)</f>
        <v>510223</v>
      </c>
      <c r="B9397" s="3" t="s">
        <v>47738</v>
      </c>
      <c r="C9397" s="3" t="s">
        <v>31</v>
      </c>
      <c r="D9397" s="3" t="s">
        <v>175</v>
      </c>
      <c r="E9397" s="4" t="s">
        <v>22</v>
      </c>
      <c r="F9397" s="4" t="s">
        <v>47739</v>
      </c>
      <c r="G9397" s="4" t="s">
        <v>47740</v>
      </c>
      <c r="H9397" s="3" t="s">
        <v>46910</v>
      </c>
      <c r="I9397" s="3" t="s">
        <v>47741</v>
      </c>
      <c r="J9397" s="3" t="s">
        <v>47742</v>
      </c>
      <c r="K9397" s="3" t="s">
        <v>47743</v>
      </c>
      <c r="L9397" s="3"/>
      <c r="M9397" s="4"/>
      <c r="N9397" s="3" t="s">
        <v>37</v>
      </c>
      <c r="O9397" s="3" t="s">
        <v>38</v>
      </c>
      <c r="P9397" s="5">
        <v>9</v>
      </c>
      <c r="Q9397" s="5">
        <v>92</v>
      </c>
      <c r="R9397" s="5">
        <v>8</v>
      </c>
      <c r="S9397" s="5">
        <v>81</v>
      </c>
    </row>
    <row r="9398" spans="1:19" ht="28" x14ac:dyDescent="0.15">
      <c r="A9398" s="2">
        <f>HYPERLINK("https://open-school.uspishnemisto.com.ua/school/510220/", 510220)</f>
        <v>510220</v>
      </c>
      <c r="B9398" s="3" t="s">
        <v>47744</v>
      </c>
      <c r="C9398" s="3" t="s">
        <v>31</v>
      </c>
      <c r="D9398" s="3" t="s">
        <v>32</v>
      </c>
      <c r="E9398" s="4" t="s">
        <v>22</v>
      </c>
      <c r="F9398" s="4" t="s">
        <v>47745</v>
      </c>
      <c r="G9398" s="4" t="s">
        <v>47746</v>
      </c>
      <c r="H9398" s="3" t="s">
        <v>46910</v>
      </c>
      <c r="I9398" s="3" t="s">
        <v>47747</v>
      </c>
      <c r="J9398" s="3" t="s">
        <v>47748</v>
      </c>
      <c r="K9398" s="3" t="s">
        <v>47749</v>
      </c>
      <c r="L9398" s="3"/>
      <c r="M9398" s="4"/>
      <c r="N9398" s="3" t="s">
        <v>128</v>
      </c>
      <c r="O9398" s="3" t="s">
        <v>38</v>
      </c>
      <c r="P9398" s="5">
        <v>20</v>
      </c>
      <c r="Q9398" s="5">
        <v>468</v>
      </c>
      <c r="R9398" s="5">
        <v>20</v>
      </c>
      <c r="S9398" s="5">
        <v>453</v>
      </c>
    </row>
    <row r="9399" spans="1:19" ht="28" x14ac:dyDescent="0.15">
      <c r="A9399" s="2">
        <f>HYPERLINK("https://open-school.uspishnemisto.com.ua/school/510224/", 510224)</f>
        <v>510224</v>
      </c>
      <c r="B9399" s="3" t="s">
        <v>47750</v>
      </c>
      <c r="C9399" s="3" t="s">
        <v>20</v>
      </c>
      <c r="D9399" s="3" t="s">
        <v>21</v>
      </c>
      <c r="E9399" s="4" t="s">
        <v>22</v>
      </c>
      <c r="F9399" s="4" t="s">
        <v>47751</v>
      </c>
      <c r="G9399" s="4" t="s">
        <v>47752</v>
      </c>
      <c r="H9399" s="3" t="s">
        <v>46910</v>
      </c>
      <c r="I9399" s="3" t="s">
        <v>47753</v>
      </c>
      <c r="J9399" s="3" t="s">
        <v>47754</v>
      </c>
      <c r="K9399" s="3" t="s">
        <v>47755</v>
      </c>
      <c r="L9399" s="3"/>
      <c r="M9399" s="4"/>
      <c r="N9399" s="3"/>
      <c r="O9399" s="3"/>
      <c r="P9399" s="5">
        <v>0</v>
      </c>
      <c r="Q9399" s="5">
        <v>0</v>
      </c>
      <c r="R9399" s="5"/>
      <c r="S9399" s="5"/>
    </row>
    <row r="9400" spans="1:19" ht="28" x14ac:dyDescent="0.15">
      <c r="A9400" s="2">
        <f>HYPERLINK("https://open-school.uspishnemisto.com.ua/school/510225/", 510225)</f>
        <v>510225</v>
      </c>
      <c r="B9400" s="3" t="s">
        <v>47756</v>
      </c>
      <c r="C9400" s="3" t="s">
        <v>31</v>
      </c>
      <c r="D9400" s="3" t="s">
        <v>175</v>
      </c>
      <c r="E9400" s="4" t="s">
        <v>22</v>
      </c>
      <c r="F9400" s="4" t="s">
        <v>47751</v>
      </c>
      <c r="G9400" s="4" t="s">
        <v>47752</v>
      </c>
      <c r="H9400" s="3" t="s">
        <v>46910</v>
      </c>
      <c r="I9400" s="3" t="s">
        <v>47753</v>
      </c>
      <c r="J9400" s="3" t="s">
        <v>36883</v>
      </c>
      <c r="K9400" s="3" t="s">
        <v>47757</v>
      </c>
      <c r="L9400" s="3"/>
      <c r="M9400" s="4"/>
      <c r="N9400" s="3" t="s">
        <v>37</v>
      </c>
      <c r="O9400" s="3" t="s">
        <v>38</v>
      </c>
      <c r="P9400" s="5">
        <v>9</v>
      </c>
      <c r="Q9400" s="5">
        <v>185</v>
      </c>
      <c r="R9400" s="5">
        <v>9</v>
      </c>
      <c r="S9400" s="5">
        <v>190</v>
      </c>
    </row>
    <row r="9401" spans="1:19" ht="28" x14ac:dyDescent="0.15">
      <c r="A9401" s="2">
        <f>HYPERLINK("https://open-school.uspishnemisto.com.ua/school/510226/", 510226)</f>
        <v>510226</v>
      </c>
      <c r="B9401" s="3" t="s">
        <v>47758</v>
      </c>
      <c r="C9401" s="3" t="s">
        <v>31</v>
      </c>
      <c r="D9401" s="3" t="s">
        <v>32</v>
      </c>
      <c r="E9401" s="4" t="s">
        <v>22</v>
      </c>
      <c r="F9401" s="4" t="s">
        <v>47751</v>
      </c>
      <c r="G9401" s="4" t="s">
        <v>47752</v>
      </c>
      <c r="H9401" s="3" t="s">
        <v>46910</v>
      </c>
      <c r="I9401" s="3" t="s">
        <v>47753</v>
      </c>
      <c r="J9401" s="3" t="s">
        <v>47759</v>
      </c>
      <c r="K9401" s="3" t="s">
        <v>47760</v>
      </c>
      <c r="L9401" s="3"/>
      <c r="M9401" s="4"/>
      <c r="N9401" s="3" t="s">
        <v>37</v>
      </c>
      <c r="O9401" s="3" t="s">
        <v>38</v>
      </c>
      <c r="P9401" s="5">
        <v>9</v>
      </c>
      <c r="Q9401" s="5">
        <v>176</v>
      </c>
      <c r="R9401" s="5">
        <v>10</v>
      </c>
      <c r="S9401" s="5">
        <v>180</v>
      </c>
    </row>
    <row r="9402" spans="1:19" ht="28" x14ac:dyDescent="0.15">
      <c r="A9402" s="2">
        <f>HYPERLINK("https://open-school.uspishnemisto.com.ua/school/510227/", 510227)</f>
        <v>510227</v>
      </c>
      <c r="B9402" s="3" t="s">
        <v>47761</v>
      </c>
      <c r="C9402" s="3" t="s">
        <v>31</v>
      </c>
      <c r="D9402" s="3" t="s">
        <v>32</v>
      </c>
      <c r="E9402" s="4" t="s">
        <v>22</v>
      </c>
      <c r="F9402" s="4" t="s">
        <v>47751</v>
      </c>
      <c r="G9402" s="4" t="s">
        <v>47752</v>
      </c>
      <c r="H9402" s="3" t="s">
        <v>46910</v>
      </c>
      <c r="I9402" s="3" t="s">
        <v>47753</v>
      </c>
      <c r="J9402" s="3" t="s">
        <v>946</v>
      </c>
      <c r="K9402" s="3" t="s">
        <v>47762</v>
      </c>
      <c r="L9402" s="3"/>
      <c r="M9402" s="4"/>
      <c r="N9402" s="3" t="s">
        <v>37</v>
      </c>
      <c r="O9402" s="3" t="s">
        <v>38</v>
      </c>
      <c r="P9402" s="5">
        <v>20</v>
      </c>
      <c r="Q9402" s="5">
        <v>452</v>
      </c>
      <c r="R9402" s="5">
        <v>19</v>
      </c>
      <c r="S9402" s="5">
        <v>427</v>
      </c>
    </row>
    <row r="9403" spans="1:19" ht="28" x14ac:dyDescent="0.15">
      <c r="A9403" s="2">
        <f>HYPERLINK("https://open-school.uspishnemisto.com.ua/school/510228/", 510228)</f>
        <v>510228</v>
      </c>
      <c r="B9403" s="3" t="s">
        <v>47763</v>
      </c>
      <c r="C9403" s="3" t="s">
        <v>31</v>
      </c>
      <c r="D9403" s="3" t="s">
        <v>32</v>
      </c>
      <c r="E9403" s="4" t="s">
        <v>22</v>
      </c>
      <c r="F9403" s="4" t="s">
        <v>47764</v>
      </c>
      <c r="G9403" s="4" t="s">
        <v>47752</v>
      </c>
      <c r="H9403" s="3" t="s">
        <v>46910</v>
      </c>
      <c r="I9403" s="3" t="s">
        <v>47753</v>
      </c>
      <c r="J9403" s="3" t="s">
        <v>47765</v>
      </c>
      <c r="K9403" s="3" t="s">
        <v>47766</v>
      </c>
      <c r="L9403" s="3"/>
      <c r="M9403" s="4"/>
      <c r="N9403" s="3" t="s">
        <v>37</v>
      </c>
      <c r="O9403" s="3" t="s">
        <v>38</v>
      </c>
      <c r="P9403" s="5">
        <v>28</v>
      </c>
      <c r="Q9403" s="5">
        <v>772</v>
      </c>
      <c r="R9403" s="5">
        <v>28</v>
      </c>
      <c r="S9403" s="5">
        <v>717</v>
      </c>
    </row>
    <row r="9404" spans="1:19" ht="28" x14ac:dyDescent="0.15">
      <c r="A9404" s="2">
        <f>HYPERLINK("https://open-school.uspishnemisto.com.ua/school/510229/", 510229)</f>
        <v>510229</v>
      </c>
      <c r="B9404" s="3" t="s">
        <v>47767</v>
      </c>
      <c r="C9404" s="3" t="s">
        <v>31</v>
      </c>
      <c r="D9404" s="3" t="s">
        <v>32</v>
      </c>
      <c r="E9404" s="4" t="s">
        <v>22</v>
      </c>
      <c r="F9404" s="4" t="s">
        <v>47751</v>
      </c>
      <c r="G9404" s="4" t="s">
        <v>47752</v>
      </c>
      <c r="H9404" s="3" t="s">
        <v>46910</v>
      </c>
      <c r="I9404" s="3" t="s">
        <v>47753</v>
      </c>
      <c r="J9404" s="3" t="s">
        <v>47768</v>
      </c>
      <c r="K9404" s="3" t="s">
        <v>47769</v>
      </c>
      <c r="L9404" s="3"/>
      <c r="M9404" s="4"/>
      <c r="N9404" s="3" t="s">
        <v>37</v>
      </c>
      <c r="O9404" s="3" t="s">
        <v>38</v>
      </c>
      <c r="P9404" s="5">
        <v>17</v>
      </c>
      <c r="Q9404" s="5">
        <v>383</v>
      </c>
      <c r="R9404" s="5">
        <v>17</v>
      </c>
      <c r="S9404" s="5">
        <v>369</v>
      </c>
    </row>
    <row r="9405" spans="1:19" ht="28" x14ac:dyDescent="0.15">
      <c r="A9405" s="2">
        <f>HYPERLINK("https://open-school.uspishnemisto.com.ua/school/510230/", 510230)</f>
        <v>510230</v>
      </c>
      <c r="B9405" s="3" t="s">
        <v>47770</v>
      </c>
      <c r="C9405" s="3" t="s">
        <v>31</v>
      </c>
      <c r="D9405" s="3" t="s">
        <v>32</v>
      </c>
      <c r="E9405" s="4" t="s">
        <v>22</v>
      </c>
      <c r="F9405" s="4" t="s">
        <v>47751</v>
      </c>
      <c r="G9405" s="4" t="s">
        <v>47752</v>
      </c>
      <c r="H9405" s="3" t="s">
        <v>46910</v>
      </c>
      <c r="I9405" s="3" t="s">
        <v>47753</v>
      </c>
      <c r="J9405" s="3" t="s">
        <v>47771</v>
      </c>
      <c r="K9405" s="3" t="s">
        <v>47772</v>
      </c>
      <c r="L9405" s="3"/>
      <c r="M9405" s="4"/>
      <c r="N9405" s="3" t="s">
        <v>128</v>
      </c>
      <c r="O9405" s="3" t="s">
        <v>70</v>
      </c>
      <c r="P9405" s="5">
        <v>37</v>
      </c>
      <c r="Q9405" s="5">
        <v>1043</v>
      </c>
      <c r="R9405" s="5">
        <v>37</v>
      </c>
      <c r="S9405" s="5">
        <v>1001</v>
      </c>
    </row>
    <row r="9406" spans="1:19" ht="28" x14ac:dyDescent="0.15">
      <c r="A9406" s="2">
        <f>HYPERLINK("https://open-school.uspishnemisto.com.ua/school/510231/", 510231)</f>
        <v>510231</v>
      </c>
      <c r="B9406" s="3" t="s">
        <v>47773</v>
      </c>
      <c r="C9406" s="3" t="s">
        <v>31</v>
      </c>
      <c r="D9406" s="3" t="s">
        <v>32</v>
      </c>
      <c r="E9406" s="4" t="s">
        <v>22</v>
      </c>
      <c r="F9406" s="4" t="s">
        <v>47751</v>
      </c>
      <c r="G9406" s="4" t="s">
        <v>47752</v>
      </c>
      <c r="H9406" s="3" t="s">
        <v>46910</v>
      </c>
      <c r="I9406" s="3" t="s">
        <v>47753</v>
      </c>
      <c r="J9406" s="3" t="s">
        <v>1636</v>
      </c>
      <c r="K9406" s="3" t="s">
        <v>47774</v>
      </c>
      <c r="L9406" s="3"/>
      <c r="M9406" s="4"/>
      <c r="N9406" s="3" t="s">
        <v>37</v>
      </c>
      <c r="O9406" s="3" t="s">
        <v>38</v>
      </c>
      <c r="P9406" s="5">
        <v>17</v>
      </c>
      <c r="Q9406" s="5">
        <v>379</v>
      </c>
      <c r="R9406" s="5">
        <v>17</v>
      </c>
      <c r="S9406" s="5">
        <v>344</v>
      </c>
    </row>
    <row r="9407" spans="1:19" ht="42" x14ac:dyDescent="0.15">
      <c r="A9407" s="2">
        <f>HYPERLINK("https://open-school.uspishnemisto.com.ua/school/510232/", 510232)</f>
        <v>510232</v>
      </c>
      <c r="B9407" s="3" t="s">
        <v>47775</v>
      </c>
      <c r="C9407" s="3" t="s">
        <v>4989</v>
      </c>
      <c r="D9407" s="3" t="s">
        <v>32</v>
      </c>
      <c r="E9407" s="4" t="s">
        <v>22</v>
      </c>
      <c r="F9407" s="4" t="s">
        <v>47776</v>
      </c>
      <c r="G9407" s="4" t="s">
        <v>47752</v>
      </c>
      <c r="H9407" s="3" t="s">
        <v>46910</v>
      </c>
      <c r="I9407" s="3" t="s">
        <v>47753</v>
      </c>
      <c r="J9407" s="3" t="s">
        <v>47777</v>
      </c>
      <c r="K9407" s="3" t="s">
        <v>47778</v>
      </c>
      <c r="L9407" s="3"/>
      <c r="M9407" s="4" t="s">
        <v>47779</v>
      </c>
      <c r="N9407" s="3" t="s">
        <v>37</v>
      </c>
      <c r="O9407" s="3" t="s">
        <v>52</v>
      </c>
      <c r="P9407" s="5">
        <v>10</v>
      </c>
      <c r="Q9407" s="5">
        <v>91</v>
      </c>
      <c r="R9407" s="5">
        <v>10</v>
      </c>
      <c r="S9407" s="5">
        <v>102</v>
      </c>
    </row>
    <row r="9408" spans="1:19" ht="28" x14ac:dyDescent="0.15">
      <c r="A9408" s="2">
        <f>HYPERLINK("https://open-school.uspishnemisto.com.ua/school/510233/", 510233)</f>
        <v>510233</v>
      </c>
      <c r="B9408" s="3" t="s">
        <v>47780</v>
      </c>
      <c r="C9408" s="3" t="s">
        <v>54</v>
      </c>
      <c r="D9408" s="3" t="s">
        <v>32</v>
      </c>
      <c r="E9408" s="4" t="s">
        <v>22</v>
      </c>
      <c r="F9408" s="4" t="s">
        <v>47751</v>
      </c>
      <c r="G9408" s="4" t="s">
        <v>47752</v>
      </c>
      <c r="H9408" s="3" t="s">
        <v>46910</v>
      </c>
      <c r="I9408" s="3" t="s">
        <v>47753</v>
      </c>
      <c r="J9408" s="3" t="s">
        <v>47781</v>
      </c>
      <c r="K9408" s="3" t="s">
        <v>47782</v>
      </c>
      <c r="L9408" s="3"/>
      <c r="M9408" s="4"/>
      <c r="N9408" s="3" t="s">
        <v>37</v>
      </c>
      <c r="O9408" s="3" t="s">
        <v>38</v>
      </c>
      <c r="P9408" s="5">
        <v>25</v>
      </c>
      <c r="Q9408" s="5">
        <v>640</v>
      </c>
      <c r="R9408" s="5">
        <v>24</v>
      </c>
      <c r="S9408" s="5">
        <v>615</v>
      </c>
    </row>
    <row r="9409" spans="1:19" ht="28" x14ac:dyDescent="0.15">
      <c r="A9409" s="2">
        <f>HYPERLINK("https://open-school.uspishnemisto.com.ua/school/510234/", 510234)</f>
        <v>510234</v>
      </c>
      <c r="B9409" s="3" t="s">
        <v>47783</v>
      </c>
      <c r="C9409" s="3" t="s">
        <v>54</v>
      </c>
      <c r="D9409" s="3" t="s">
        <v>60</v>
      </c>
      <c r="E9409" s="4" t="s">
        <v>22</v>
      </c>
      <c r="F9409" s="4" t="s">
        <v>47751</v>
      </c>
      <c r="G9409" s="4" t="s">
        <v>47752</v>
      </c>
      <c r="H9409" s="3" t="s">
        <v>46910</v>
      </c>
      <c r="I9409" s="3" t="s">
        <v>47753</v>
      </c>
      <c r="J9409" s="3" t="s">
        <v>47784</v>
      </c>
      <c r="K9409" s="3" t="s">
        <v>47785</v>
      </c>
      <c r="L9409" s="3"/>
      <c r="M9409" s="4"/>
      <c r="N9409" s="3" t="s">
        <v>37</v>
      </c>
      <c r="O9409" s="3" t="s">
        <v>197</v>
      </c>
      <c r="P9409" s="5">
        <v>12</v>
      </c>
      <c r="Q9409" s="5">
        <v>320</v>
      </c>
      <c r="R9409" s="5">
        <v>13</v>
      </c>
      <c r="S9409" s="5">
        <v>353</v>
      </c>
    </row>
    <row r="9410" spans="1:19" ht="28" x14ac:dyDescent="0.15">
      <c r="A9410" s="2">
        <f>HYPERLINK("https://open-school.uspishnemisto.com.ua/school/510235/", 510235)</f>
        <v>510235</v>
      </c>
      <c r="B9410" s="3" t="s">
        <v>47786</v>
      </c>
      <c r="C9410" s="3" t="s">
        <v>20</v>
      </c>
      <c r="D9410" s="3" t="s">
        <v>21</v>
      </c>
      <c r="E9410" s="4" t="s">
        <v>22</v>
      </c>
      <c r="F9410" s="4" t="s">
        <v>47751</v>
      </c>
      <c r="G9410" s="4" t="s">
        <v>47752</v>
      </c>
      <c r="H9410" s="3" t="s">
        <v>46910</v>
      </c>
      <c r="I9410" s="3" t="s">
        <v>47753</v>
      </c>
      <c r="J9410" s="3" t="s">
        <v>47754</v>
      </c>
      <c r="K9410" s="3" t="s">
        <v>47755</v>
      </c>
      <c r="L9410" s="3"/>
      <c r="M9410" s="4"/>
      <c r="N9410" s="3"/>
      <c r="O9410" s="3"/>
      <c r="P9410" s="5">
        <v>0</v>
      </c>
      <c r="Q9410" s="5">
        <v>0</v>
      </c>
      <c r="R9410" s="5"/>
      <c r="S9410" s="5"/>
    </row>
    <row r="9411" spans="1:19" ht="28" x14ac:dyDescent="0.15">
      <c r="A9411" s="2">
        <f>HYPERLINK("https://open-school.uspishnemisto.com.ua/school/510236/", 510236)</f>
        <v>510236</v>
      </c>
      <c r="B9411" s="3" t="s">
        <v>47787</v>
      </c>
      <c r="C9411" s="3" t="s">
        <v>31</v>
      </c>
      <c r="D9411" s="3" t="s">
        <v>32</v>
      </c>
      <c r="E9411" s="4" t="s">
        <v>22</v>
      </c>
      <c r="F9411" s="4" t="s">
        <v>47788</v>
      </c>
      <c r="G9411" s="4" t="s">
        <v>47789</v>
      </c>
      <c r="H9411" s="3" t="s">
        <v>46910</v>
      </c>
      <c r="I9411" s="3" t="s">
        <v>47790</v>
      </c>
      <c r="J9411" s="3" t="s">
        <v>47791</v>
      </c>
      <c r="K9411" s="3" t="s">
        <v>47792</v>
      </c>
      <c r="L9411" s="3"/>
      <c r="M9411" s="4" t="s">
        <v>47793</v>
      </c>
      <c r="N9411" s="3" t="s">
        <v>128</v>
      </c>
      <c r="O9411" s="3" t="s">
        <v>70</v>
      </c>
      <c r="P9411" s="5">
        <v>40</v>
      </c>
      <c r="Q9411" s="5">
        <v>1040</v>
      </c>
      <c r="R9411" s="5">
        <v>38</v>
      </c>
      <c r="S9411" s="5">
        <v>988</v>
      </c>
    </row>
    <row r="9412" spans="1:19" ht="28" x14ac:dyDescent="0.15">
      <c r="A9412" s="2">
        <f>HYPERLINK("https://open-school.uspishnemisto.com.ua/school/510237/", 510237)</f>
        <v>510237</v>
      </c>
      <c r="B9412" s="3" t="s">
        <v>47794</v>
      </c>
      <c r="C9412" s="3" t="s">
        <v>31</v>
      </c>
      <c r="D9412" s="3" t="s">
        <v>32</v>
      </c>
      <c r="E9412" s="4" t="s">
        <v>22</v>
      </c>
      <c r="F9412" s="4" t="s">
        <v>47795</v>
      </c>
      <c r="G9412" s="4" t="s">
        <v>47796</v>
      </c>
      <c r="H9412" s="3" t="s">
        <v>46910</v>
      </c>
      <c r="I9412" s="3" t="s">
        <v>47797</v>
      </c>
      <c r="J9412" s="3" t="s">
        <v>47798</v>
      </c>
      <c r="K9412" s="3" t="s">
        <v>47799</v>
      </c>
      <c r="L9412" s="3" t="s">
        <v>47800</v>
      </c>
      <c r="M9412" s="4" t="s">
        <v>47801</v>
      </c>
      <c r="N9412" s="3" t="s">
        <v>128</v>
      </c>
      <c r="O9412" s="3" t="s">
        <v>38</v>
      </c>
      <c r="P9412" s="5">
        <v>40</v>
      </c>
      <c r="Q9412" s="5">
        <v>1044</v>
      </c>
      <c r="R9412" s="5">
        <v>43</v>
      </c>
      <c r="S9412" s="5">
        <v>1086</v>
      </c>
    </row>
    <row r="9413" spans="1:19" ht="70" x14ac:dyDescent="0.15">
      <c r="A9413" s="2">
        <f>HYPERLINK("https://open-school.uspishnemisto.com.ua/school/510238/", 510238)</f>
        <v>510238</v>
      </c>
      <c r="B9413" s="3" t="s">
        <v>47802</v>
      </c>
      <c r="C9413" s="3" t="s">
        <v>54</v>
      </c>
      <c r="D9413" s="3" t="s">
        <v>32</v>
      </c>
      <c r="E9413" s="4" t="s">
        <v>22</v>
      </c>
      <c r="F9413" s="4" t="s">
        <v>47795</v>
      </c>
      <c r="G9413" s="4" t="s">
        <v>47796</v>
      </c>
      <c r="H9413" s="3" t="s">
        <v>46910</v>
      </c>
      <c r="I9413" s="3" t="s">
        <v>47797</v>
      </c>
      <c r="J9413" s="3" t="s">
        <v>47803</v>
      </c>
      <c r="K9413" s="3" t="s">
        <v>47804</v>
      </c>
      <c r="L9413" s="3"/>
      <c r="M9413" s="4" t="s">
        <v>47805</v>
      </c>
      <c r="N9413" s="3" t="s">
        <v>967</v>
      </c>
      <c r="O9413" s="3" t="s">
        <v>52</v>
      </c>
      <c r="P9413" s="5">
        <v>24</v>
      </c>
      <c r="Q9413" s="5">
        <v>659</v>
      </c>
      <c r="R9413" s="5">
        <v>24</v>
      </c>
      <c r="S9413" s="5">
        <v>647</v>
      </c>
    </row>
    <row r="9414" spans="1:19" ht="56" x14ac:dyDescent="0.15">
      <c r="A9414" s="2">
        <f>HYPERLINK("https://open-school.uspishnemisto.com.ua/school/510239/", 510239)</f>
        <v>510239</v>
      </c>
      <c r="B9414" s="3" t="s">
        <v>47806</v>
      </c>
      <c r="C9414" s="3" t="s">
        <v>54</v>
      </c>
      <c r="D9414" s="3" t="s">
        <v>32</v>
      </c>
      <c r="E9414" s="4" t="s">
        <v>22</v>
      </c>
      <c r="F9414" s="4" t="s">
        <v>47795</v>
      </c>
      <c r="G9414" s="4" t="s">
        <v>47796</v>
      </c>
      <c r="H9414" s="3" t="s">
        <v>46910</v>
      </c>
      <c r="I9414" s="3" t="s">
        <v>47797</v>
      </c>
      <c r="J9414" s="3" t="s">
        <v>47807</v>
      </c>
      <c r="K9414" s="3" t="s">
        <v>47808</v>
      </c>
      <c r="L9414" s="3"/>
      <c r="M9414" s="4" t="s">
        <v>47809</v>
      </c>
      <c r="N9414" s="3" t="s">
        <v>37</v>
      </c>
      <c r="O9414" s="3" t="s">
        <v>52</v>
      </c>
      <c r="P9414" s="5">
        <v>25</v>
      </c>
      <c r="Q9414" s="5">
        <v>640</v>
      </c>
      <c r="R9414" s="5">
        <v>24</v>
      </c>
      <c r="S9414" s="5">
        <v>626</v>
      </c>
    </row>
    <row r="9415" spans="1:19" ht="56" x14ac:dyDescent="0.15">
      <c r="A9415" s="2">
        <f>HYPERLINK("https://open-school.uspishnemisto.com.ua/school/510240/", 510240)</f>
        <v>510240</v>
      </c>
      <c r="B9415" s="3" t="s">
        <v>47810</v>
      </c>
      <c r="C9415" s="3" t="s">
        <v>54</v>
      </c>
      <c r="D9415" s="3" t="s">
        <v>32</v>
      </c>
      <c r="E9415" s="4" t="s">
        <v>22</v>
      </c>
      <c r="F9415" s="4" t="s">
        <v>47795</v>
      </c>
      <c r="G9415" s="4" t="s">
        <v>47796</v>
      </c>
      <c r="H9415" s="3" t="s">
        <v>46910</v>
      </c>
      <c r="I9415" s="3" t="s">
        <v>47797</v>
      </c>
      <c r="J9415" s="3" t="s">
        <v>47811</v>
      </c>
      <c r="K9415" s="3" t="s">
        <v>47812</v>
      </c>
      <c r="L9415" s="3"/>
      <c r="M9415" s="4" t="s">
        <v>47813</v>
      </c>
      <c r="N9415" s="3" t="s">
        <v>128</v>
      </c>
      <c r="O9415" s="3" t="s">
        <v>197</v>
      </c>
      <c r="P9415" s="5">
        <v>36</v>
      </c>
      <c r="Q9415" s="5">
        <v>979</v>
      </c>
      <c r="R9415" s="5">
        <v>37</v>
      </c>
      <c r="S9415" s="5">
        <v>935</v>
      </c>
    </row>
    <row r="9416" spans="1:19" ht="42" x14ac:dyDescent="0.15">
      <c r="A9416" s="2">
        <f>HYPERLINK("https://open-school.uspishnemisto.com.ua/school/510241/", 510241)</f>
        <v>510241</v>
      </c>
      <c r="B9416" s="3" t="s">
        <v>47814</v>
      </c>
      <c r="C9416" s="3" t="s">
        <v>293</v>
      </c>
      <c r="D9416" s="3" t="s">
        <v>32</v>
      </c>
      <c r="E9416" s="4" t="s">
        <v>22</v>
      </c>
      <c r="F9416" s="4" t="s">
        <v>47815</v>
      </c>
      <c r="G9416" s="4" t="s">
        <v>47816</v>
      </c>
      <c r="H9416" s="3" t="s">
        <v>46910</v>
      </c>
      <c r="I9416" s="3" t="s">
        <v>47817</v>
      </c>
      <c r="J9416" s="3" t="s">
        <v>3162</v>
      </c>
      <c r="K9416" s="3"/>
      <c r="L9416" s="3"/>
      <c r="M9416" s="4" t="s">
        <v>47818</v>
      </c>
      <c r="N9416" s="3" t="s">
        <v>37</v>
      </c>
      <c r="O9416" s="3" t="s">
        <v>38</v>
      </c>
      <c r="P9416" s="5">
        <v>11</v>
      </c>
      <c r="Q9416" s="5">
        <v>189</v>
      </c>
      <c r="R9416" s="5">
        <v>11</v>
      </c>
      <c r="S9416" s="5">
        <v>184</v>
      </c>
    </row>
    <row r="9417" spans="1:19" ht="28" x14ac:dyDescent="0.15">
      <c r="A9417" s="2">
        <f>HYPERLINK("https://open-school.uspishnemisto.com.ua/school/510242/", 510242)</f>
        <v>510242</v>
      </c>
      <c r="B9417" s="3" t="s">
        <v>47819</v>
      </c>
      <c r="C9417" s="3" t="s">
        <v>54</v>
      </c>
      <c r="D9417" s="3" t="s">
        <v>32</v>
      </c>
      <c r="E9417" s="4" t="s">
        <v>22</v>
      </c>
      <c r="F9417" s="4" t="s">
        <v>47815</v>
      </c>
      <c r="G9417" s="4" t="s">
        <v>47816</v>
      </c>
      <c r="H9417" s="3" t="s">
        <v>46910</v>
      </c>
      <c r="I9417" s="3" t="s">
        <v>47817</v>
      </c>
      <c r="J9417" s="3" t="s">
        <v>47820</v>
      </c>
      <c r="K9417" s="3" t="s">
        <v>47821</v>
      </c>
      <c r="L9417" s="3"/>
      <c r="M9417" s="4"/>
      <c r="N9417" s="3" t="s">
        <v>37</v>
      </c>
      <c r="O9417" s="3" t="s">
        <v>46</v>
      </c>
      <c r="P9417" s="5">
        <v>38</v>
      </c>
      <c r="Q9417" s="5">
        <v>723</v>
      </c>
      <c r="R9417" s="5">
        <v>57</v>
      </c>
      <c r="S9417" s="5">
        <v>708</v>
      </c>
    </row>
    <row r="9418" spans="1:19" ht="28" x14ac:dyDescent="0.15">
      <c r="A9418" s="2">
        <f>HYPERLINK("https://open-school.uspishnemisto.com.ua/school/510243/", 510243)</f>
        <v>510243</v>
      </c>
      <c r="B9418" s="3" t="s">
        <v>47822</v>
      </c>
      <c r="C9418" s="3" t="s">
        <v>54</v>
      </c>
      <c r="D9418" s="3" t="s">
        <v>32</v>
      </c>
      <c r="E9418" s="4" t="s">
        <v>22</v>
      </c>
      <c r="F9418" s="4" t="s">
        <v>47815</v>
      </c>
      <c r="G9418" s="4" t="s">
        <v>47816</v>
      </c>
      <c r="H9418" s="3" t="s">
        <v>46910</v>
      </c>
      <c r="I9418" s="3" t="s">
        <v>47817</v>
      </c>
      <c r="J9418" s="3" t="s">
        <v>47823</v>
      </c>
      <c r="K9418" s="3" t="s">
        <v>47824</v>
      </c>
      <c r="L9418" s="3"/>
      <c r="M9418" s="4"/>
      <c r="N9418" s="3" t="s">
        <v>37</v>
      </c>
      <c r="O9418" s="3" t="s">
        <v>70</v>
      </c>
      <c r="P9418" s="5">
        <v>34</v>
      </c>
      <c r="Q9418" s="5">
        <v>469</v>
      </c>
      <c r="R9418" s="5">
        <v>20</v>
      </c>
      <c r="S9418" s="5">
        <v>348</v>
      </c>
    </row>
    <row r="9419" spans="1:19" ht="42" x14ac:dyDescent="0.15">
      <c r="A9419" s="2">
        <f>HYPERLINK("https://open-school.uspishnemisto.com.ua/school/510248/", 510248)</f>
        <v>510248</v>
      </c>
      <c r="B9419" s="3" t="s">
        <v>47825</v>
      </c>
      <c r="C9419" s="3" t="s">
        <v>54</v>
      </c>
      <c r="D9419" s="3" t="s">
        <v>175</v>
      </c>
      <c r="E9419" s="4" t="s">
        <v>22</v>
      </c>
      <c r="F9419" s="4" t="s">
        <v>47826</v>
      </c>
      <c r="G9419" s="4" t="s">
        <v>47827</v>
      </c>
      <c r="H9419" s="3" t="s">
        <v>46910</v>
      </c>
      <c r="I9419" s="3" t="s">
        <v>47828</v>
      </c>
      <c r="J9419" s="3" t="s">
        <v>47829</v>
      </c>
      <c r="K9419" s="3" t="s">
        <v>47830</v>
      </c>
      <c r="L9419" s="3"/>
      <c r="M9419" s="4"/>
      <c r="N9419" s="3" t="s">
        <v>37</v>
      </c>
      <c r="O9419" s="3" t="s">
        <v>38</v>
      </c>
      <c r="P9419" s="5">
        <v>5</v>
      </c>
      <c r="Q9419" s="5">
        <v>39</v>
      </c>
      <c r="R9419" s="5">
        <v>5</v>
      </c>
      <c r="S9419" s="5">
        <v>38</v>
      </c>
    </row>
    <row r="9420" spans="1:19" ht="28" x14ac:dyDescent="0.15">
      <c r="A9420" s="2">
        <f>HYPERLINK("https://open-school.uspishnemisto.com.ua/school/510249/", 510249)</f>
        <v>510249</v>
      </c>
      <c r="B9420" s="3" t="s">
        <v>47831</v>
      </c>
      <c r="C9420" s="3" t="s">
        <v>31</v>
      </c>
      <c r="D9420" s="3" t="s">
        <v>32</v>
      </c>
      <c r="E9420" s="4" t="s">
        <v>22</v>
      </c>
      <c r="F9420" s="4" t="s">
        <v>47832</v>
      </c>
      <c r="G9420" s="4" t="s">
        <v>47833</v>
      </c>
      <c r="H9420" s="3" t="s">
        <v>46910</v>
      </c>
      <c r="I9420" s="3" t="s">
        <v>47834</v>
      </c>
      <c r="J9420" s="3" t="s">
        <v>47835</v>
      </c>
      <c r="K9420" s="3" t="s">
        <v>24634</v>
      </c>
      <c r="L9420" s="3"/>
      <c r="M9420" s="4"/>
      <c r="N9420" s="3" t="s">
        <v>37</v>
      </c>
      <c r="O9420" s="3" t="s">
        <v>38</v>
      </c>
      <c r="P9420" s="5">
        <v>11</v>
      </c>
      <c r="Q9420" s="5">
        <v>93</v>
      </c>
      <c r="R9420" s="5">
        <v>11</v>
      </c>
      <c r="S9420" s="5">
        <v>91</v>
      </c>
    </row>
    <row r="9421" spans="1:19" ht="42" x14ac:dyDescent="0.15">
      <c r="A9421" s="2">
        <f>HYPERLINK("https://open-school.uspishnemisto.com.ua/school/510250/", 510250)</f>
        <v>510250</v>
      </c>
      <c r="B9421" s="3" t="s">
        <v>47836</v>
      </c>
      <c r="C9421" s="3" t="s">
        <v>54</v>
      </c>
      <c r="D9421" s="3" t="s">
        <v>175</v>
      </c>
      <c r="E9421" s="4" t="s">
        <v>22</v>
      </c>
      <c r="F9421" s="4" t="s">
        <v>47832</v>
      </c>
      <c r="G9421" s="4" t="s">
        <v>47833</v>
      </c>
      <c r="H9421" s="3" t="s">
        <v>46910</v>
      </c>
      <c r="I9421" s="3" t="s">
        <v>47834</v>
      </c>
      <c r="J9421" s="3" t="s">
        <v>47837</v>
      </c>
      <c r="K9421" s="3"/>
      <c r="L9421" s="3"/>
      <c r="M9421" s="4"/>
      <c r="N9421" s="3" t="s">
        <v>37</v>
      </c>
      <c r="O9421" s="3" t="s">
        <v>38</v>
      </c>
      <c r="P9421" s="5">
        <v>9</v>
      </c>
      <c r="Q9421" s="5">
        <v>63</v>
      </c>
      <c r="R9421" s="5">
        <v>9</v>
      </c>
      <c r="S9421" s="5">
        <v>54</v>
      </c>
    </row>
    <row r="9422" spans="1:19" ht="42" x14ac:dyDescent="0.15">
      <c r="A9422" s="2">
        <f>HYPERLINK("https://open-school.uspishnemisto.com.ua/school/510251/", 510251)</f>
        <v>510251</v>
      </c>
      <c r="B9422" s="3" t="s">
        <v>47838</v>
      </c>
      <c r="C9422" s="3" t="s">
        <v>54</v>
      </c>
      <c r="D9422" s="3" t="s">
        <v>32</v>
      </c>
      <c r="E9422" s="4" t="s">
        <v>22</v>
      </c>
      <c r="F9422" s="4" t="s">
        <v>47839</v>
      </c>
      <c r="G9422" s="4" t="s">
        <v>47840</v>
      </c>
      <c r="H9422" s="3" t="s">
        <v>46910</v>
      </c>
      <c r="I9422" s="3" t="s">
        <v>12730</v>
      </c>
      <c r="J9422" s="3" t="s">
        <v>47841</v>
      </c>
      <c r="K9422" s="3" t="s">
        <v>47842</v>
      </c>
      <c r="L9422" s="3"/>
      <c r="M9422" s="4"/>
      <c r="N9422" s="3" t="s">
        <v>37</v>
      </c>
      <c r="O9422" s="3" t="s">
        <v>70</v>
      </c>
      <c r="P9422" s="5">
        <v>20</v>
      </c>
      <c r="Q9422" s="5">
        <v>288</v>
      </c>
      <c r="R9422" s="5">
        <v>20</v>
      </c>
      <c r="S9422" s="5">
        <v>269</v>
      </c>
    </row>
    <row r="9423" spans="1:19" ht="28" x14ac:dyDescent="0.15">
      <c r="A9423" s="2">
        <f>HYPERLINK("https://open-school.uspishnemisto.com.ua/school/510253/", 510253)</f>
        <v>510253</v>
      </c>
      <c r="B9423" s="3" t="s">
        <v>47843</v>
      </c>
      <c r="C9423" s="3" t="s">
        <v>31</v>
      </c>
      <c r="D9423" s="3" t="s">
        <v>32</v>
      </c>
      <c r="E9423" s="4" t="s">
        <v>22</v>
      </c>
      <c r="F9423" s="4" t="s">
        <v>47844</v>
      </c>
      <c r="G9423" s="4" t="s">
        <v>47845</v>
      </c>
      <c r="H9423" s="3" t="s">
        <v>46910</v>
      </c>
      <c r="I9423" s="3" t="s">
        <v>47846</v>
      </c>
      <c r="J9423" s="3" t="s">
        <v>47847</v>
      </c>
      <c r="K9423" s="3" t="s">
        <v>47848</v>
      </c>
      <c r="L9423" s="3"/>
      <c r="M9423" s="4"/>
      <c r="N9423" s="3" t="s">
        <v>37</v>
      </c>
      <c r="O9423" s="3" t="s">
        <v>38</v>
      </c>
      <c r="P9423" s="5">
        <v>11</v>
      </c>
      <c r="Q9423" s="5">
        <v>131</v>
      </c>
      <c r="R9423" s="5">
        <v>11</v>
      </c>
      <c r="S9423" s="5">
        <v>136</v>
      </c>
    </row>
    <row r="9424" spans="1:19" ht="28" x14ac:dyDescent="0.15">
      <c r="A9424" s="2">
        <f>HYPERLINK("https://open-school.uspishnemisto.com.ua/school/510254/", 510254)</f>
        <v>510254</v>
      </c>
      <c r="B9424" s="3" t="s">
        <v>47849</v>
      </c>
      <c r="C9424" s="3" t="s">
        <v>31</v>
      </c>
      <c r="D9424" s="3" t="s">
        <v>32</v>
      </c>
      <c r="E9424" s="4" t="s">
        <v>22</v>
      </c>
      <c r="F9424" s="4" t="s">
        <v>47844</v>
      </c>
      <c r="G9424" s="4" t="s">
        <v>47845</v>
      </c>
      <c r="H9424" s="3" t="s">
        <v>46910</v>
      </c>
      <c r="I9424" s="3" t="s">
        <v>47846</v>
      </c>
      <c r="J9424" s="3" t="s">
        <v>47850</v>
      </c>
      <c r="K9424" s="3" t="s">
        <v>47851</v>
      </c>
      <c r="L9424" s="3"/>
      <c r="M9424" s="4"/>
      <c r="N9424" s="3" t="s">
        <v>37</v>
      </c>
      <c r="O9424" s="3" t="s">
        <v>38</v>
      </c>
      <c r="P9424" s="5">
        <v>11</v>
      </c>
      <c r="Q9424" s="5">
        <v>123</v>
      </c>
      <c r="R9424" s="5">
        <v>12</v>
      </c>
      <c r="S9424" s="5">
        <v>128</v>
      </c>
    </row>
    <row r="9425" spans="1:19" ht="28" x14ac:dyDescent="0.15">
      <c r="A9425" s="2">
        <f>HYPERLINK("https://open-school.uspishnemisto.com.ua/school/510257/", 510257)</f>
        <v>510257</v>
      </c>
      <c r="B9425" s="3" t="s">
        <v>47852</v>
      </c>
      <c r="C9425" s="3" t="s">
        <v>31</v>
      </c>
      <c r="D9425" s="3" t="s">
        <v>175</v>
      </c>
      <c r="E9425" s="4" t="s">
        <v>22</v>
      </c>
      <c r="F9425" s="4" t="s">
        <v>47853</v>
      </c>
      <c r="G9425" s="4" t="s">
        <v>47854</v>
      </c>
      <c r="H9425" s="3" t="s">
        <v>46910</v>
      </c>
      <c r="I9425" s="3" t="s">
        <v>47855</v>
      </c>
      <c r="J9425" s="3" t="s">
        <v>47856</v>
      </c>
      <c r="K9425" s="3" t="s">
        <v>47857</v>
      </c>
      <c r="L9425" s="3"/>
      <c r="M9425" s="4"/>
      <c r="N9425" s="3" t="s">
        <v>37</v>
      </c>
      <c r="O9425" s="3" t="s">
        <v>112</v>
      </c>
      <c r="P9425" s="5">
        <v>6</v>
      </c>
      <c r="Q9425" s="5">
        <v>68</v>
      </c>
      <c r="R9425" s="5">
        <v>6</v>
      </c>
      <c r="S9425" s="5">
        <v>69</v>
      </c>
    </row>
    <row r="9426" spans="1:19" ht="42" x14ac:dyDescent="0.15">
      <c r="A9426" s="2">
        <f>HYPERLINK("https://open-school.uspishnemisto.com.ua/school/510258/", 510258)</f>
        <v>510258</v>
      </c>
      <c r="B9426" s="3" t="s">
        <v>47858</v>
      </c>
      <c r="C9426" s="3" t="s">
        <v>54</v>
      </c>
      <c r="D9426" s="3" t="s">
        <v>175</v>
      </c>
      <c r="E9426" s="4" t="s">
        <v>22</v>
      </c>
      <c r="F9426" s="4" t="s">
        <v>47859</v>
      </c>
      <c r="G9426" s="4" t="s">
        <v>47860</v>
      </c>
      <c r="H9426" s="3" t="s">
        <v>46910</v>
      </c>
      <c r="I9426" s="3" t="s">
        <v>11267</v>
      </c>
      <c r="J9426" s="3" t="s">
        <v>33907</v>
      </c>
      <c r="K9426" s="3" t="s">
        <v>47861</v>
      </c>
      <c r="L9426" s="3"/>
      <c r="M9426" s="4"/>
      <c r="N9426" s="3" t="s">
        <v>37</v>
      </c>
      <c r="O9426" s="3" t="s">
        <v>70</v>
      </c>
      <c r="P9426" s="5">
        <v>9</v>
      </c>
      <c r="Q9426" s="5">
        <v>84</v>
      </c>
      <c r="R9426" s="5">
        <v>9</v>
      </c>
      <c r="S9426" s="5">
        <v>79</v>
      </c>
    </row>
    <row r="9427" spans="1:19" ht="56" x14ac:dyDescent="0.15">
      <c r="A9427" s="2">
        <f>HYPERLINK("https://open-school.uspishnemisto.com.ua/school/510259/", 510259)</f>
        <v>510259</v>
      </c>
      <c r="B9427" s="3" t="s">
        <v>47862</v>
      </c>
      <c r="C9427" s="3" t="s">
        <v>54</v>
      </c>
      <c r="D9427" s="3" t="s">
        <v>32</v>
      </c>
      <c r="E9427" s="4" t="s">
        <v>22</v>
      </c>
      <c r="F9427" s="4" t="s">
        <v>47863</v>
      </c>
      <c r="G9427" s="4" t="s">
        <v>47864</v>
      </c>
      <c r="H9427" s="3" t="s">
        <v>46910</v>
      </c>
      <c r="I9427" s="3" t="s">
        <v>47865</v>
      </c>
      <c r="J9427" s="3" t="s">
        <v>47866</v>
      </c>
      <c r="K9427" s="3" t="s">
        <v>47867</v>
      </c>
      <c r="L9427" s="3"/>
      <c r="M9427" s="4"/>
      <c r="N9427" s="3" t="s">
        <v>37</v>
      </c>
      <c r="O9427" s="3" t="s">
        <v>112</v>
      </c>
      <c r="P9427" s="5">
        <v>7</v>
      </c>
      <c r="Q9427" s="5">
        <v>53</v>
      </c>
      <c r="R9427" s="5">
        <v>7</v>
      </c>
      <c r="S9427" s="5">
        <v>54</v>
      </c>
    </row>
    <row r="9428" spans="1:19" ht="42" x14ac:dyDescent="0.15">
      <c r="A9428" s="2">
        <f>HYPERLINK("https://open-school.uspishnemisto.com.ua/school/510260/", 510260)</f>
        <v>510260</v>
      </c>
      <c r="B9428" s="3" t="s">
        <v>47868</v>
      </c>
      <c r="C9428" s="3" t="s">
        <v>54</v>
      </c>
      <c r="D9428" s="3" t="s">
        <v>175</v>
      </c>
      <c r="E9428" s="4" t="s">
        <v>22</v>
      </c>
      <c r="F9428" s="4" t="s">
        <v>47869</v>
      </c>
      <c r="G9428" s="4" t="s">
        <v>47870</v>
      </c>
      <c r="H9428" s="3" t="s">
        <v>46910</v>
      </c>
      <c r="I9428" s="3" t="s">
        <v>2900</v>
      </c>
      <c r="J9428" s="3"/>
      <c r="K9428" s="3" t="s">
        <v>47871</v>
      </c>
      <c r="L9428" s="3"/>
      <c r="M9428" s="4"/>
      <c r="N9428" s="3" t="s">
        <v>37</v>
      </c>
      <c r="O9428" s="3" t="s">
        <v>112</v>
      </c>
      <c r="P9428" s="5">
        <v>3</v>
      </c>
      <c r="Q9428" s="5">
        <v>34</v>
      </c>
      <c r="R9428" s="5">
        <v>2</v>
      </c>
      <c r="S9428" s="5">
        <v>33</v>
      </c>
    </row>
    <row r="9429" spans="1:19" ht="28" x14ac:dyDescent="0.15">
      <c r="A9429" s="2">
        <f>HYPERLINK("https://open-school.uspishnemisto.com.ua/school/510261/", 510261)</f>
        <v>510261</v>
      </c>
      <c r="B9429" s="3" t="s">
        <v>47872</v>
      </c>
      <c r="C9429" s="3" t="s">
        <v>31</v>
      </c>
      <c r="D9429" s="3" t="s">
        <v>32</v>
      </c>
      <c r="E9429" s="4" t="s">
        <v>22</v>
      </c>
      <c r="F9429" s="4" t="s">
        <v>47873</v>
      </c>
      <c r="G9429" s="4" t="s">
        <v>47874</v>
      </c>
      <c r="H9429" s="3" t="s">
        <v>46910</v>
      </c>
      <c r="I9429" s="3" t="s">
        <v>17032</v>
      </c>
      <c r="J9429" s="3" t="s">
        <v>11043</v>
      </c>
      <c r="K9429" s="3" t="s">
        <v>47875</v>
      </c>
      <c r="L9429" s="3"/>
      <c r="M9429" s="4"/>
      <c r="N9429" s="3" t="s">
        <v>37</v>
      </c>
      <c r="O9429" s="3" t="s">
        <v>112</v>
      </c>
      <c r="P9429" s="5">
        <v>11</v>
      </c>
      <c r="Q9429" s="5">
        <v>117</v>
      </c>
      <c r="R9429" s="5">
        <v>11</v>
      </c>
      <c r="S9429" s="5">
        <v>112</v>
      </c>
    </row>
    <row r="9430" spans="1:19" ht="56" x14ac:dyDescent="0.15">
      <c r="A9430" s="2">
        <f>HYPERLINK("https://open-school.uspishnemisto.com.ua/school/510262/", 510262)</f>
        <v>510262</v>
      </c>
      <c r="B9430" s="3" t="s">
        <v>47876</v>
      </c>
      <c r="C9430" s="3" t="s">
        <v>54</v>
      </c>
      <c r="D9430" s="3" t="s">
        <v>32</v>
      </c>
      <c r="E9430" s="4" t="s">
        <v>22</v>
      </c>
      <c r="F9430" s="4" t="s">
        <v>47877</v>
      </c>
      <c r="G9430" s="4" t="s">
        <v>47878</v>
      </c>
      <c r="H9430" s="3" t="s">
        <v>46910</v>
      </c>
      <c r="I9430" s="3" t="s">
        <v>47879</v>
      </c>
      <c r="J9430" s="3" t="s">
        <v>2978</v>
      </c>
      <c r="K9430" s="3" t="s">
        <v>47880</v>
      </c>
      <c r="L9430" s="3"/>
      <c r="M9430" s="4"/>
      <c r="N9430" s="3" t="s">
        <v>967</v>
      </c>
      <c r="O9430" s="3" t="s">
        <v>47881</v>
      </c>
      <c r="P9430" s="5">
        <v>4</v>
      </c>
      <c r="Q9430" s="5">
        <v>44</v>
      </c>
      <c r="R9430" s="5">
        <v>5</v>
      </c>
      <c r="S9430" s="5">
        <v>52</v>
      </c>
    </row>
    <row r="9431" spans="1:19" ht="42" x14ac:dyDescent="0.15">
      <c r="A9431" s="2">
        <f>HYPERLINK("https://open-school.uspishnemisto.com.ua/school/510263/", 510263)</f>
        <v>510263</v>
      </c>
      <c r="B9431" s="3" t="s">
        <v>47882</v>
      </c>
      <c r="C9431" s="3" t="s">
        <v>54</v>
      </c>
      <c r="D9431" s="3" t="s">
        <v>175</v>
      </c>
      <c r="E9431" s="4" t="s">
        <v>22</v>
      </c>
      <c r="F9431" s="4" t="s">
        <v>47883</v>
      </c>
      <c r="G9431" s="4" t="s">
        <v>47884</v>
      </c>
      <c r="H9431" s="3" t="s">
        <v>46910</v>
      </c>
      <c r="I9431" s="3" t="s">
        <v>47885</v>
      </c>
      <c r="J9431" s="3" t="s">
        <v>7166</v>
      </c>
      <c r="K9431" s="3" t="s">
        <v>47886</v>
      </c>
      <c r="L9431" s="3"/>
      <c r="M9431" s="4"/>
      <c r="N9431" s="3" t="s">
        <v>37</v>
      </c>
      <c r="O9431" s="3" t="s">
        <v>618</v>
      </c>
      <c r="P9431" s="5">
        <v>6</v>
      </c>
      <c r="Q9431" s="5">
        <v>43</v>
      </c>
      <c r="R9431" s="5">
        <v>9</v>
      </c>
      <c r="S9431" s="5">
        <v>50</v>
      </c>
    </row>
    <row r="9432" spans="1:19" ht="28" x14ac:dyDescent="0.15">
      <c r="A9432" s="2">
        <f>HYPERLINK("https://open-school.uspishnemisto.com.ua/school/510264/", 510264)</f>
        <v>510264</v>
      </c>
      <c r="B9432" s="3" t="s">
        <v>47887</v>
      </c>
      <c r="C9432" s="3" t="s">
        <v>20</v>
      </c>
      <c r="D9432" s="3" t="s">
        <v>21</v>
      </c>
      <c r="E9432" s="4" t="s">
        <v>22</v>
      </c>
      <c r="F9432" s="4" t="s">
        <v>47888</v>
      </c>
      <c r="G9432" s="4" t="s">
        <v>47889</v>
      </c>
      <c r="H9432" s="3" t="s">
        <v>46910</v>
      </c>
      <c r="I9432" s="3" t="s">
        <v>47890</v>
      </c>
      <c r="J9432" s="3" t="s">
        <v>47891</v>
      </c>
      <c r="K9432" s="3" t="s">
        <v>47892</v>
      </c>
      <c r="L9432" s="3"/>
      <c r="M9432" s="4"/>
      <c r="N9432" s="3"/>
      <c r="O9432" s="3"/>
      <c r="P9432" s="5">
        <v>0</v>
      </c>
      <c r="Q9432" s="5">
        <v>0</v>
      </c>
      <c r="R9432" s="5"/>
      <c r="S9432" s="5"/>
    </row>
    <row r="9433" spans="1:19" ht="28" x14ac:dyDescent="0.15">
      <c r="A9433" s="2">
        <f>HYPERLINK("https://open-school.uspishnemisto.com.ua/school/510265/", 510265)</f>
        <v>510265</v>
      </c>
      <c r="B9433" s="3" t="s">
        <v>47893</v>
      </c>
      <c r="C9433" s="3" t="s">
        <v>31</v>
      </c>
      <c r="D9433" s="3" t="s">
        <v>175</v>
      </c>
      <c r="E9433" s="4" t="s">
        <v>22</v>
      </c>
      <c r="F9433" s="4" t="s">
        <v>47888</v>
      </c>
      <c r="G9433" s="4" t="s">
        <v>47889</v>
      </c>
      <c r="H9433" s="3" t="s">
        <v>46910</v>
      </c>
      <c r="I9433" s="3" t="s">
        <v>47890</v>
      </c>
      <c r="J9433" s="3" t="s">
        <v>47894</v>
      </c>
      <c r="K9433" s="3" t="s">
        <v>47895</v>
      </c>
      <c r="L9433" s="3"/>
      <c r="M9433" s="4"/>
      <c r="N9433" s="3" t="s">
        <v>37</v>
      </c>
      <c r="O9433" s="3" t="s">
        <v>38</v>
      </c>
      <c r="P9433" s="5">
        <v>9</v>
      </c>
      <c r="Q9433" s="5">
        <v>81</v>
      </c>
      <c r="R9433" s="5">
        <v>9</v>
      </c>
      <c r="S9433" s="5">
        <v>77</v>
      </c>
    </row>
    <row r="9434" spans="1:19" ht="28" x14ac:dyDescent="0.15">
      <c r="A9434" s="2">
        <f>HYPERLINK("https://open-school.uspishnemisto.com.ua/school/510266/", 510266)</f>
        <v>510266</v>
      </c>
      <c r="B9434" s="3" t="s">
        <v>47896</v>
      </c>
      <c r="C9434" s="3" t="s">
        <v>31</v>
      </c>
      <c r="D9434" s="3" t="s">
        <v>32</v>
      </c>
      <c r="E9434" s="4" t="s">
        <v>22</v>
      </c>
      <c r="F9434" s="4" t="s">
        <v>47888</v>
      </c>
      <c r="G9434" s="4" t="s">
        <v>47889</v>
      </c>
      <c r="H9434" s="3" t="s">
        <v>46910</v>
      </c>
      <c r="I9434" s="3" t="s">
        <v>47890</v>
      </c>
      <c r="J9434" s="3" t="s">
        <v>47897</v>
      </c>
      <c r="K9434" s="3" t="s">
        <v>47898</v>
      </c>
      <c r="L9434" s="3"/>
      <c r="M9434" s="4"/>
      <c r="N9434" s="3" t="s">
        <v>128</v>
      </c>
      <c r="O9434" s="3" t="s">
        <v>70</v>
      </c>
      <c r="P9434" s="5">
        <v>31</v>
      </c>
      <c r="Q9434" s="5">
        <v>731</v>
      </c>
      <c r="R9434" s="5">
        <v>30</v>
      </c>
      <c r="S9434" s="5">
        <v>729</v>
      </c>
    </row>
    <row r="9435" spans="1:19" ht="42" x14ac:dyDescent="0.15">
      <c r="A9435" s="2">
        <f>HYPERLINK("https://open-school.uspishnemisto.com.ua/school/510267/", 510267)</f>
        <v>510267</v>
      </c>
      <c r="B9435" s="3" t="s">
        <v>47899</v>
      </c>
      <c r="C9435" s="3" t="s">
        <v>54</v>
      </c>
      <c r="D9435" s="3" t="s">
        <v>32</v>
      </c>
      <c r="E9435" s="4" t="s">
        <v>22</v>
      </c>
      <c r="F9435" s="4" t="s">
        <v>47900</v>
      </c>
      <c r="G9435" s="4" t="s">
        <v>47889</v>
      </c>
      <c r="H9435" s="3" t="s">
        <v>46910</v>
      </c>
      <c r="I9435" s="3" t="s">
        <v>47890</v>
      </c>
      <c r="J9435" s="3" t="s">
        <v>47901</v>
      </c>
      <c r="K9435" s="3" t="s">
        <v>47902</v>
      </c>
      <c r="L9435" s="3"/>
      <c r="M9435" s="4"/>
      <c r="N9435" s="3" t="s">
        <v>128</v>
      </c>
      <c r="O9435" s="3" t="s">
        <v>721</v>
      </c>
      <c r="P9435" s="5">
        <v>21</v>
      </c>
      <c r="Q9435" s="5">
        <v>419</v>
      </c>
      <c r="R9435" s="5">
        <v>22</v>
      </c>
      <c r="S9435" s="5">
        <v>439</v>
      </c>
    </row>
    <row r="9436" spans="1:19" ht="70" x14ac:dyDescent="0.15">
      <c r="A9436" s="2">
        <f>HYPERLINK("https://open-school.uspishnemisto.com.ua/school/510268/", 510268)</f>
        <v>510268</v>
      </c>
      <c r="B9436" s="3" t="s">
        <v>47903</v>
      </c>
      <c r="C9436" s="3" t="s">
        <v>54</v>
      </c>
      <c r="D9436" s="3" t="s">
        <v>32</v>
      </c>
      <c r="E9436" s="4" t="s">
        <v>22</v>
      </c>
      <c r="F9436" s="4" t="s">
        <v>47904</v>
      </c>
      <c r="G9436" s="4" t="s">
        <v>47889</v>
      </c>
      <c r="H9436" s="3" t="s">
        <v>46910</v>
      </c>
      <c r="I9436" s="3" t="s">
        <v>47890</v>
      </c>
      <c r="J9436" s="3" t="s">
        <v>47905</v>
      </c>
      <c r="K9436" s="3" t="s">
        <v>47906</v>
      </c>
      <c r="L9436" s="3"/>
      <c r="M9436" s="4"/>
      <c r="N9436" s="3" t="s">
        <v>37</v>
      </c>
      <c r="O9436" s="3" t="s">
        <v>38</v>
      </c>
      <c r="P9436" s="5">
        <v>42</v>
      </c>
      <c r="Q9436" s="5">
        <v>711</v>
      </c>
      <c r="R9436" s="5">
        <v>27</v>
      </c>
      <c r="S9436" s="5">
        <v>586</v>
      </c>
    </row>
    <row r="9437" spans="1:19" ht="28" x14ac:dyDescent="0.15">
      <c r="A9437" s="2">
        <f>HYPERLINK("https://open-school.uspishnemisto.com.ua/school/510269/", 510269)</f>
        <v>510269</v>
      </c>
      <c r="B9437" s="3" t="s">
        <v>47907</v>
      </c>
      <c r="C9437" s="3" t="s">
        <v>31</v>
      </c>
      <c r="D9437" s="3" t="s">
        <v>32</v>
      </c>
      <c r="E9437" s="4" t="s">
        <v>22</v>
      </c>
      <c r="F9437" s="4" t="s">
        <v>47908</v>
      </c>
      <c r="G9437" s="4" t="s">
        <v>47909</v>
      </c>
      <c r="H9437" s="3" t="s">
        <v>46910</v>
      </c>
      <c r="I9437" s="3" t="s">
        <v>33947</v>
      </c>
      <c r="J9437" s="3" t="s">
        <v>47910</v>
      </c>
      <c r="K9437" s="3" t="s">
        <v>47911</v>
      </c>
      <c r="L9437" s="3"/>
      <c r="M9437" s="4"/>
      <c r="N9437" s="3" t="s">
        <v>37</v>
      </c>
      <c r="O9437" s="3" t="s">
        <v>38</v>
      </c>
      <c r="P9437" s="5">
        <v>11</v>
      </c>
      <c r="Q9437" s="5">
        <v>108</v>
      </c>
      <c r="R9437" s="5">
        <v>11</v>
      </c>
      <c r="S9437" s="5">
        <v>104</v>
      </c>
    </row>
    <row r="9438" spans="1:19" ht="56" x14ac:dyDescent="0.15">
      <c r="A9438" s="2">
        <f>HYPERLINK("https://open-school.uspishnemisto.com.ua/school/510270/", 510270)</f>
        <v>510270</v>
      </c>
      <c r="B9438" s="3" t="s">
        <v>47912</v>
      </c>
      <c r="C9438" s="3" t="s">
        <v>54</v>
      </c>
      <c r="D9438" s="3" t="s">
        <v>60</v>
      </c>
      <c r="E9438" s="4" t="s">
        <v>22</v>
      </c>
      <c r="F9438" s="4" t="s">
        <v>47908</v>
      </c>
      <c r="G9438" s="4" t="s">
        <v>47913</v>
      </c>
      <c r="H9438" s="3" t="s">
        <v>46910</v>
      </c>
      <c r="I9438" s="3" t="s">
        <v>47914</v>
      </c>
      <c r="J9438" s="3" t="s">
        <v>47915</v>
      </c>
      <c r="K9438" s="3" t="s">
        <v>47916</v>
      </c>
      <c r="L9438" s="3"/>
      <c r="M9438" s="4"/>
      <c r="N9438" s="3" t="s">
        <v>37</v>
      </c>
      <c r="O9438" s="3" t="s">
        <v>618</v>
      </c>
      <c r="P9438" s="5">
        <v>0</v>
      </c>
      <c r="Q9438" s="5">
        <v>5</v>
      </c>
      <c r="R9438" s="5">
        <v>0</v>
      </c>
      <c r="S9438" s="5">
        <v>6</v>
      </c>
    </row>
    <row r="9439" spans="1:19" ht="28" x14ac:dyDescent="0.15">
      <c r="A9439" s="2">
        <f>HYPERLINK("https://open-school.uspishnemisto.com.ua/school/510271/", 510271)</f>
        <v>510271</v>
      </c>
      <c r="B9439" s="3" t="s">
        <v>47917</v>
      </c>
      <c r="C9439" s="3" t="s">
        <v>31</v>
      </c>
      <c r="D9439" s="3" t="s">
        <v>32</v>
      </c>
      <c r="E9439" s="4" t="s">
        <v>22</v>
      </c>
      <c r="F9439" s="4" t="s">
        <v>47918</v>
      </c>
      <c r="G9439" s="4" t="s">
        <v>47919</v>
      </c>
      <c r="H9439" s="3" t="s">
        <v>46910</v>
      </c>
      <c r="I9439" s="3" t="s">
        <v>12777</v>
      </c>
      <c r="J9439" s="3" t="s">
        <v>26417</v>
      </c>
      <c r="K9439" s="3" t="s">
        <v>47920</v>
      </c>
      <c r="L9439" s="3" t="s">
        <v>47921</v>
      </c>
      <c r="M9439" s="4"/>
      <c r="N9439" s="3" t="s">
        <v>967</v>
      </c>
      <c r="O9439" s="3" t="s">
        <v>47922</v>
      </c>
      <c r="P9439" s="5">
        <v>11</v>
      </c>
      <c r="Q9439" s="5">
        <v>220</v>
      </c>
      <c r="R9439" s="5">
        <v>11</v>
      </c>
      <c r="S9439" s="5">
        <v>212</v>
      </c>
    </row>
    <row r="9440" spans="1:19" ht="42" x14ac:dyDescent="0.15">
      <c r="A9440" s="2">
        <f>HYPERLINK("https://open-school.uspishnemisto.com.ua/school/510272/", 510272)</f>
        <v>510272</v>
      </c>
      <c r="B9440" s="3" t="s">
        <v>47923</v>
      </c>
      <c r="C9440" s="3" t="s">
        <v>54</v>
      </c>
      <c r="D9440" s="3" t="s">
        <v>175</v>
      </c>
      <c r="E9440" s="4" t="s">
        <v>22</v>
      </c>
      <c r="F9440" s="4" t="s">
        <v>47924</v>
      </c>
      <c r="G9440" s="4" t="s">
        <v>47925</v>
      </c>
      <c r="H9440" s="3" t="s">
        <v>46910</v>
      </c>
      <c r="I9440" s="3" t="s">
        <v>47926</v>
      </c>
      <c r="J9440" s="3" t="s">
        <v>47927</v>
      </c>
      <c r="K9440" s="3" t="s">
        <v>47928</v>
      </c>
      <c r="L9440" s="3"/>
      <c r="M9440" s="4"/>
      <c r="N9440" s="3" t="s">
        <v>37</v>
      </c>
      <c r="O9440" s="3" t="s">
        <v>13272</v>
      </c>
      <c r="P9440" s="5">
        <v>8</v>
      </c>
      <c r="Q9440" s="5">
        <v>57</v>
      </c>
      <c r="R9440" s="5">
        <v>9</v>
      </c>
      <c r="S9440" s="5">
        <v>58</v>
      </c>
    </row>
    <row r="9441" spans="1:19" ht="56" x14ac:dyDescent="0.15">
      <c r="A9441" s="2">
        <f>HYPERLINK("https://open-school.uspishnemisto.com.ua/school/510273/", 510273)</f>
        <v>510273</v>
      </c>
      <c r="B9441" s="3" t="s">
        <v>47929</v>
      </c>
      <c r="C9441" s="3" t="s">
        <v>54</v>
      </c>
      <c r="D9441" s="3" t="s">
        <v>32</v>
      </c>
      <c r="E9441" s="4" t="s">
        <v>22</v>
      </c>
      <c r="F9441" s="4" t="s">
        <v>47930</v>
      </c>
      <c r="G9441" s="4" t="s">
        <v>47931</v>
      </c>
      <c r="H9441" s="3" t="s">
        <v>46910</v>
      </c>
      <c r="I9441" s="3" t="s">
        <v>47932</v>
      </c>
      <c r="J9441" s="3" t="s">
        <v>47933</v>
      </c>
      <c r="K9441" s="3" t="s">
        <v>47934</v>
      </c>
      <c r="L9441" s="3"/>
      <c r="M9441" s="4"/>
      <c r="N9441" s="3" t="s">
        <v>37</v>
      </c>
      <c r="O9441" s="3" t="s">
        <v>38</v>
      </c>
      <c r="P9441" s="5">
        <v>10</v>
      </c>
      <c r="Q9441" s="5">
        <v>98</v>
      </c>
      <c r="R9441" s="5">
        <v>10</v>
      </c>
      <c r="S9441" s="5">
        <v>93</v>
      </c>
    </row>
    <row r="9442" spans="1:19" ht="84" x14ac:dyDescent="0.15">
      <c r="A9442" s="2">
        <f>HYPERLINK("https://open-school.uspishnemisto.com.ua/school/510274/", 510274)</f>
        <v>510274</v>
      </c>
      <c r="B9442" s="3" t="s">
        <v>47935</v>
      </c>
      <c r="C9442" s="3" t="s">
        <v>54</v>
      </c>
      <c r="D9442" s="3" t="s">
        <v>175</v>
      </c>
      <c r="E9442" s="4" t="s">
        <v>22</v>
      </c>
      <c r="F9442" s="4" t="s">
        <v>47936</v>
      </c>
      <c r="G9442" s="4" t="s">
        <v>47937</v>
      </c>
      <c r="H9442" s="3" t="s">
        <v>46910</v>
      </c>
      <c r="I9442" s="3" t="s">
        <v>47938</v>
      </c>
      <c r="J9442" s="3" t="s">
        <v>47939</v>
      </c>
      <c r="K9442" s="3" t="s">
        <v>47940</v>
      </c>
      <c r="L9442" s="3"/>
      <c r="M9442" s="4"/>
      <c r="N9442" s="3" t="s">
        <v>37</v>
      </c>
      <c r="O9442" s="3" t="s">
        <v>52</v>
      </c>
      <c r="P9442" s="5">
        <v>0</v>
      </c>
      <c r="Q9442" s="5">
        <v>0</v>
      </c>
      <c r="R9442" s="5">
        <v>7</v>
      </c>
      <c r="S9442" s="5">
        <v>46</v>
      </c>
    </row>
    <row r="9443" spans="1:19" ht="28" x14ac:dyDescent="0.15">
      <c r="A9443" s="2">
        <f>HYPERLINK("https://open-school.uspishnemisto.com.ua/school/510275/", 510275)</f>
        <v>510275</v>
      </c>
      <c r="B9443" s="3" t="s">
        <v>47941</v>
      </c>
      <c r="C9443" s="3" t="s">
        <v>31</v>
      </c>
      <c r="D9443" s="3" t="s">
        <v>32</v>
      </c>
      <c r="E9443" s="4" t="s">
        <v>22</v>
      </c>
      <c r="F9443" s="4" t="s">
        <v>47942</v>
      </c>
      <c r="G9443" s="4" t="s">
        <v>47943</v>
      </c>
      <c r="H9443" s="3" t="s">
        <v>46910</v>
      </c>
      <c r="I9443" s="3" t="s">
        <v>47944</v>
      </c>
      <c r="J9443" s="3" t="s">
        <v>6288</v>
      </c>
      <c r="K9443" s="3" t="s">
        <v>47945</v>
      </c>
      <c r="L9443" s="3"/>
      <c r="M9443" s="4"/>
      <c r="N9443" s="3" t="s">
        <v>967</v>
      </c>
      <c r="O9443" s="3" t="s">
        <v>47946</v>
      </c>
      <c r="P9443" s="5">
        <v>11</v>
      </c>
      <c r="Q9443" s="5">
        <v>155</v>
      </c>
      <c r="R9443" s="5">
        <v>11</v>
      </c>
      <c r="S9443" s="5">
        <v>169</v>
      </c>
    </row>
    <row r="9444" spans="1:19" ht="28" x14ac:dyDescent="0.15">
      <c r="A9444" s="2">
        <f>HYPERLINK("https://open-school.uspishnemisto.com.ua/school/510276/", 510276)</f>
        <v>510276</v>
      </c>
      <c r="B9444" s="3" t="s">
        <v>47947</v>
      </c>
      <c r="C9444" s="3" t="s">
        <v>31</v>
      </c>
      <c r="D9444" s="3" t="s">
        <v>32</v>
      </c>
      <c r="E9444" s="4" t="s">
        <v>22</v>
      </c>
      <c r="F9444" s="4" t="s">
        <v>47948</v>
      </c>
      <c r="G9444" s="4" t="s">
        <v>47949</v>
      </c>
      <c r="H9444" s="3" t="s">
        <v>46910</v>
      </c>
      <c r="I9444" s="3" t="s">
        <v>47950</v>
      </c>
      <c r="J9444" s="3" t="s">
        <v>47951</v>
      </c>
      <c r="K9444" s="3" t="s">
        <v>47952</v>
      </c>
      <c r="L9444" s="3"/>
      <c r="M9444" s="4"/>
      <c r="N9444" s="3" t="s">
        <v>967</v>
      </c>
      <c r="O9444" s="3" t="s">
        <v>47953</v>
      </c>
      <c r="P9444" s="5">
        <v>11</v>
      </c>
      <c r="Q9444" s="5">
        <v>158</v>
      </c>
      <c r="R9444" s="5">
        <v>11</v>
      </c>
      <c r="S9444" s="5">
        <v>167</v>
      </c>
    </row>
    <row r="9445" spans="1:19" ht="42" x14ac:dyDescent="0.15">
      <c r="A9445" s="2">
        <f>HYPERLINK("https://open-school.uspishnemisto.com.ua/school/510277/", 510277)</f>
        <v>510277</v>
      </c>
      <c r="B9445" s="3" t="s">
        <v>47954</v>
      </c>
      <c r="C9445" s="3" t="s">
        <v>54</v>
      </c>
      <c r="D9445" s="3" t="s">
        <v>60</v>
      </c>
      <c r="E9445" s="4" t="s">
        <v>22</v>
      </c>
      <c r="F9445" s="4" t="s">
        <v>47955</v>
      </c>
      <c r="G9445" s="4" t="s">
        <v>47956</v>
      </c>
      <c r="H9445" s="3" t="s">
        <v>46910</v>
      </c>
      <c r="I9445" s="3" t="s">
        <v>2900</v>
      </c>
      <c r="J9445" s="3" t="s">
        <v>47957</v>
      </c>
      <c r="K9445" s="3" t="s">
        <v>47958</v>
      </c>
      <c r="L9445" s="3" t="s">
        <v>47959</v>
      </c>
      <c r="M9445" s="4"/>
      <c r="N9445" s="3" t="s">
        <v>37</v>
      </c>
      <c r="O9445" s="3" t="s">
        <v>38</v>
      </c>
      <c r="P9445" s="5">
        <v>0</v>
      </c>
      <c r="Q9445" s="5">
        <v>8</v>
      </c>
      <c r="R9445" s="5">
        <v>0</v>
      </c>
      <c r="S9445" s="5">
        <v>11</v>
      </c>
    </row>
    <row r="9446" spans="1:19" ht="56" x14ac:dyDescent="0.15">
      <c r="A9446" s="2">
        <f>HYPERLINK("https://open-school.uspishnemisto.com.ua/school/510278/", 510278)</f>
        <v>510278</v>
      </c>
      <c r="B9446" s="3" t="s">
        <v>47960</v>
      </c>
      <c r="C9446" s="3" t="s">
        <v>54</v>
      </c>
      <c r="D9446" s="3" t="s">
        <v>175</v>
      </c>
      <c r="E9446" s="4" t="s">
        <v>22</v>
      </c>
      <c r="F9446" s="4" t="s">
        <v>47961</v>
      </c>
      <c r="G9446" s="4" t="s">
        <v>47962</v>
      </c>
      <c r="H9446" s="3" t="s">
        <v>46910</v>
      </c>
      <c r="I9446" s="3" t="s">
        <v>35172</v>
      </c>
      <c r="J9446" s="3" t="s">
        <v>47963</v>
      </c>
      <c r="K9446" s="3" t="s">
        <v>47964</v>
      </c>
      <c r="L9446" s="3"/>
      <c r="M9446" s="4"/>
      <c r="N9446" s="3" t="s">
        <v>37</v>
      </c>
      <c r="O9446" s="3" t="s">
        <v>46</v>
      </c>
      <c r="P9446" s="5">
        <v>0</v>
      </c>
      <c r="Q9446" s="5">
        <v>0</v>
      </c>
      <c r="R9446" s="5">
        <v>9</v>
      </c>
      <c r="S9446" s="5">
        <v>70</v>
      </c>
    </row>
    <row r="9447" spans="1:19" ht="28" x14ac:dyDescent="0.15">
      <c r="A9447" s="2">
        <f>HYPERLINK("https://open-school.uspishnemisto.com.ua/school/510279/", 510279)</f>
        <v>510279</v>
      </c>
      <c r="B9447" s="3" t="s">
        <v>47965</v>
      </c>
      <c r="C9447" s="3" t="s">
        <v>31</v>
      </c>
      <c r="D9447" s="3" t="s">
        <v>32</v>
      </c>
      <c r="E9447" s="4" t="s">
        <v>22</v>
      </c>
      <c r="F9447" s="4" t="s">
        <v>47966</v>
      </c>
      <c r="G9447" s="4" t="s">
        <v>47967</v>
      </c>
      <c r="H9447" s="3" t="s">
        <v>46910</v>
      </c>
      <c r="I9447" s="3" t="s">
        <v>47968</v>
      </c>
      <c r="J9447" s="3" t="s">
        <v>3845</v>
      </c>
      <c r="K9447" s="3" t="s">
        <v>47969</v>
      </c>
      <c r="L9447" s="3"/>
      <c r="M9447" s="4"/>
      <c r="N9447" s="3" t="s">
        <v>967</v>
      </c>
      <c r="O9447" s="3" t="s">
        <v>47970</v>
      </c>
      <c r="P9447" s="5">
        <v>11</v>
      </c>
      <c r="Q9447" s="5">
        <v>110</v>
      </c>
      <c r="R9447" s="5">
        <v>10</v>
      </c>
      <c r="S9447" s="5">
        <v>106</v>
      </c>
    </row>
    <row r="9448" spans="1:19" ht="28" x14ac:dyDescent="0.15">
      <c r="A9448" s="2">
        <f>HYPERLINK("https://open-school.uspishnemisto.com.ua/school/510280/", 510280)</f>
        <v>510280</v>
      </c>
      <c r="B9448" s="3" t="s">
        <v>47971</v>
      </c>
      <c r="C9448" s="3" t="s">
        <v>31</v>
      </c>
      <c r="D9448" s="3" t="s">
        <v>32</v>
      </c>
      <c r="E9448" s="4" t="s">
        <v>22</v>
      </c>
      <c r="F9448" s="4" t="s">
        <v>47972</v>
      </c>
      <c r="G9448" s="4" t="s">
        <v>47973</v>
      </c>
      <c r="H9448" s="3" t="s">
        <v>46910</v>
      </c>
      <c r="I9448" s="3" t="s">
        <v>9321</v>
      </c>
      <c r="J9448" s="3" t="s">
        <v>47974</v>
      </c>
      <c r="K9448" s="3" t="s">
        <v>47975</v>
      </c>
      <c r="L9448" s="3"/>
      <c r="M9448" s="4"/>
      <c r="N9448" s="3" t="s">
        <v>37</v>
      </c>
      <c r="O9448" s="3" t="s">
        <v>38</v>
      </c>
      <c r="P9448" s="5">
        <v>12</v>
      </c>
      <c r="Q9448" s="5">
        <v>196</v>
      </c>
      <c r="R9448" s="5">
        <v>11</v>
      </c>
      <c r="S9448" s="5">
        <v>182</v>
      </c>
    </row>
    <row r="9449" spans="1:19" ht="28" x14ac:dyDescent="0.15">
      <c r="A9449" s="2">
        <f>HYPERLINK("https://open-school.uspishnemisto.com.ua/school/510281/", 510281)</f>
        <v>510281</v>
      </c>
      <c r="B9449" s="3" t="s">
        <v>47976</v>
      </c>
      <c r="C9449" s="3" t="s">
        <v>31</v>
      </c>
      <c r="D9449" s="3" t="s">
        <v>32</v>
      </c>
      <c r="E9449" s="4" t="s">
        <v>22</v>
      </c>
      <c r="F9449" s="4" t="s">
        <v>47977</v>
      </c>
      <c r="G9449" s="4" t="s">
        <v>47978</v>
      </c>
      <c r="H9449" s="3" t="s">
        <v>46910</v>
      </c>
      <c r="I9449" s="3" t="s">
        <v>47979</v>
      </c>
      <c r="J9449" s="3" t="s">
        <v>878</v>
      </c>
      <c r="K9449" s="3" t="s">
        <v>47980</v>
      </c>
      <c r="L9449" s="3"/>
      <c r="M9449" s="4"/>
      <c r="N9449" s="3" t="s">
        <v>37</v>
      </c>
      <c r="O9449" s="3" t="s">
        <v>38</v>
      </c>
      <c r="P9449" s="5">
        <v>11</v>
      </c>
      <c r="Q9449" s="5">
        <v>171</v>
      </c>
      <c r="R9449" s="5">
        <v>11</v>
      </c>
      <c r="S9449" s="5">
        <v>170</v>
      </c>
    </row>
    <row r="9450" spans="1:19" ht="28" x14ac:dyDescent="0.15">
      <c r="A9450" s="2">
        <f>HYPERLINK("https://open-school.uspishnemisto.com.ua/school/510282/", 510282)</f>
        <v>510282</v>
      </c>
      <c r="B9450" s="3" t="s">
        <v>47981</v>
      </c>
      <c r="C9450" s="3" t="s">
        <v>31</v>
      </c>
      <c r="D9450" s="3" t="s">
        <v>32</v>
      </c>
      <c r="E9450" s="4" t="s">
        <v>22</v>
      </c>
      <c r="F9450" s="4" t="s">
        <v>47982</v>
      </c>
      <c r="G9450" s="4" t="s">
        <v>47983</v>
      </c>
      <c r="H9450" s="3" t="s">
        <v>46910</v>
      </c>
      <c r="I9450" s="3" t="s">
        <v>11430</v>
      </c>
      <c r="J9450" s="3" t="s">
        <v>1348</v>
      </c>
      <c r="K9450" s="3" t="s">
        <v>47984</v>
      </c>
      <c r="L9450" s="3"/>
      <c r="M9450" s="4"/>
      <c r="N9450" s="3" t="s">
        <v>37</v>
      </c>
      <c r="O9450" s="3" t="s">
        <v>721</v>
      </c>
      <c r="P9450" s="5">
        <v>10</v>
      </c>
      <c r="Q9450" s="5">
        <v>98</v>
      </c>
      <c r="R9450" s="5">
        <v>10</v>
      </c>
      <c r="S9450" s="5">
        <v>89</v>
      </c>
    </row>
    <row r="9451" spans="1:19" ht="28" x14ac:dyDescent="0.15">
      <c r="A9451" s="2">
        <f>HYPERLINK("https://open-school.uspishnemisto.com.ua/school/510283/", 510283)</f>
        <v>510283</v>
      </c>
      <c r="B9451" s="3" t="s">
        <v>47985</v>
      </c>
      <c r="C9451" s="3" t="s">
        <v>31</v>
      </c>
      <c r="D9451" s="3" t="s">
        <v>32</v>
      </c>
      <c r="E9451" s="4" t="s">
        <v>22</v>
      </c>
      <c r="F9451" s="4" t="s">
        <v>47986</v>
      </c>
      <c r="G9451" s="4" t="s">
        <v>47987</v>
      </c>
      <c r="H9451" s="3" t="s">
        <v>46910</v>
      </c>
      <c r="I9451" s="3" t="s">
        <v>47988</v>
      </c>
      <c r="J9451" s="3" t="s">
        <v>47989</v>
      </c>
      <c r="K9451" s="3" t="s">
        <v>47990</v>
      </c>
      <c r="L9451" s="3"/>
      <c r="M9451" s="4"/>
      <c r="N9451" s="3" t="s">
        <v>967</v>
      </c>
      <c r="O9451" s="3" t="s">
        <v>47946</v>
      </c>
      <c r="P9451" s="5">
        <v>10</v>
      </c>
      <c r="Q9451" s="5">
        <v>92</v>
      </c>
      <c r="R9451" s="5">
        <v>9</v>
      </c>
      <c r="S9451" s="5">
        <v>84</v>
      </c>
    </row>
    <row r="9452" spans="1:19" ht="28" x14ac:dyDescent="0.15">
      <c r="A9452" s="2">
        <f>HYPERLINK("https://open-school.uspishnemisto.com.ua/school/510284/", 510284)</f>
        <v>510284</v>
      </c>
      <c r="B9452" s="3" t="s">
        <v>47991</v>
      </c>
      <c r="C9452" s="3" t="s">
        <v>31</v>
      </c>
      <c r="D9452" s="3" t="s">
        <v>175</v>
      </c>
      <c r="E9452" s="4" t="s">
        <v>22</v>
      </c>
      <c r="F9452" s="4" t="s">
        <v>47992</v>
      </c>
      <c r="G9452" s="4" t="s">
        <v>47993</v>
      </c>
      <c r="H9452" s="3" t="s">
        <v>46910</v>
      </c>
      <c r="I9452" s="3" t="s">
        <v>47994</v>
      </c>
      <c r="J9452" s="3" t="s">
        <v>634</v>
      </c>
      <c r="K9452" s="3" t="s">
        <v>47995</v>
      </c>
      <c r="L9452" s="3"/>
      <c r="M9452" s="4"/>
      <c r="N9452" s="3" t="s">
        <v>967</v>
      </c>
      <c r="O9452" s="3" t="s">
        <v>47996</v>
      </c>
      <c r="P9452" s="5">
        <v>8</v>
      </c>
      <c r="Q9452" s="5">
        <v>67</v>
      </c>
      <c r="R9452" s="5">
        <v>8</v>
      </c>
      <c r="S9452" s="5">
        <v>65</v>
      </c>
    </row>
    <row r="9453" spans="1:19" ht="42" x14ac:dyDescent="0.15">
      <c r="A9453" s="2">
        <f>HYPERLINK("https://open-school.uspishnemisto.com.ua/school/510285/", 510285)</f>
        <v>510285</v>
      </c>
      <c r="B9453" s="3" t="s">
        <v>47997</v>
      </c>
      <c r="C9453" s="3" t="s">
        <v>54</v>
      </c>
      <c r="D9453" s="3" t="s">
        <v>60</v>
      </c>
      <c r="E9453" s="4" t="s">
        <v>22</v>
      </c>
      <c r="F9453" s="4" t="s">
        <v>47998</v>
      </c>
      <c r="G9453" s="4" t="s">
        <v>47999</v>
      </c>
      <c r="H9453" s="3" t="s">
        <v>46910</v>
      </c>
      <c r="I9453" s="3" t="s">
        <v>1500</v>
      </c>
      <c r="J9453" s="3" t="s">
        <v>16925</v>
      </c>
      <c r="K9453" s="3" t="s">
        <v>48000</v>
      </c>
      <c r="L9453" s="3"/>
      <c r="M9453" s="4"/>
      <c r="N9453" s="3" t="s">
        <v>967</v>
      </c>
      <c r="O9453" s="3" t="s">
        <v>618</v>
      </c>
      <c r="P9453" s="5">
        <v>2</v>
      </c>
      <c r="Q9453" s="5">
        <v>13</v>
      </c>
      <c r="R9453" s="5">
        <v>1</v>
      </c>
      <c r="S9453" s="5">
        <v>10</v>
      </c>
    </row>
    <row r="9454" spans="1:19" ht="28" x14ac:dyDescent="0.15">
      <c r="A9454" s="2">
        <f>HYPERLINK("https://open-school.uspishnemisto.com.ua/school/510286/", 510286)</f>
        <v>510286</v>
      </c>
      <c r="B9454" s="3" t="s">
        <v>48001</v>
      </c>
      <c r="C9454" s="3" t="s">
        <v>31</v>
      </c>
      <c r="D9454" s="3" t="s">
        <v>175</v>
      </c>
      <c r="E9454" s="4" t="s">
        <v>22</v>
      </c>
      <c r="F9454" s="4" t="s">
        <v>48002</v>
      </c>
      <c r="G9454" s="4" t="s">
        <v>48003</v>
      </c>
      <c r="H9454" s="3" t="s">
        <v>46910</v>
      </c>
      <c r="I9454" s="3" t="s">
        <v>48004</v>
      </c>
      <c r="J9454" s="3" t="s">
        <v>48005</v>
      </c>
      <c r="K9454" s="3" t="s">
        <v>48006</v>
      </c>
      <c r="L9454" s="3"/>
      <c r="M9454" s="4"/>
      <c r="N9454" s="3" t="s">
        <v>967</v>
      </c>
      <c r="O9454" s="3" t="s">
        <v>47946</v>
      </c>
      <c r="P9454" s="5">
        <v>6</v>
      </c>
      <c r="Q9454" s="5">
        <v>40</v>
      </c>
      <c r="R9454" s="5">
        <v>8</v>
      </c>
      <c r="S9454" s="5">
        <v>51</v>
      </c>
    </row>
    <row r="9455" spans="1:19" ht="28" x14ac:dyDescent="0.15">
      <c r="A9455" s="2">
        <f>HYPERLINK("https://open-school.uspishnemisto.com.ua/school/510287/", 510287)</f>
        <v>510287</v>
      </c>
      <c r="B9455" s="3" t="s">
        <v>48007</v>
      </c>
      <c r="C9455" s="3" t="s">
        <v>31</v>
      </c>
      <c r="D9455" s="3" t="s">
        <v>32</v>
      </c>
      <c r="E9455" s="4" t="s">
        <v>22</v>
      </c>
      <c r="F9455" s="4" t="s">
        <v>48008</v>
      </c>
      <c r="G9455" s="4" t="s">
        <v>48009</v>
      </c>
      <c r="H9455" s="3" t="s">
        <v>46910</v>
      </c>
      <c r="I9455" s="3" t="s">
        <v>1587</v>
      </c>
      <c r="J9455" s="3" t="s">
        <v>48010</v>
      </c>
      <c r="K9455" s="3" t="s">
        <v>48011</v>
      </c>
      <c r="L9455" s="3"/>
      <c r="M9455" s="4"/>
      <c r="N9455" s="3" t="s">
        <v>37</v>
      </c>
      <c r="O9455" s="3" t="s">
        <v>38</v>
      </c>
      <c r="P9455" s="5">
        <v>13</v>
      </c>
      <c r="Q9455" s="5">
        <v>230</v>
      </c>
      <c r="R9455" s="5">
        <v>13</v>
      </c>
      <c r="S9455" s="5">
        <v>236</v>
      </c>
    </row>
    <row r="9456" spans="1:19" ht="28" x14ac:dyDescent="0.15">
      <c r="A9456" s="2">
        <f>HYPERLINK("https://open-school.uspishnemisto.com.ua/school/510288/", 510288)</f>
        <v>510288</v>
      </c>
      <c r="B9456" s="3" t="s">
        <v>48012</v>
      </c>
      <c r="C9456" s="3" t="s">
        <v>31</v>
      </c>
      <c r="D9456" s="3" t="s">
        <v>32</v>
      </c>
      <c r="E9456" s="4" t="s">
        <v>22</v>
      </c>
      <c r="F9456" s="4" t="s">
        <v>48013</v>
      </c>
      <c r="G9456" s="4" t="s">
        <v>48014</v>
      </c>
      <c r="H9456" s="3" t="s">
        <v>46910</v>
      </c>
      <c r="I9456" s="3" t="s">
        <v>48015</v>
      </c>
      <c r="J9456" s="3" t="s">
        <v>48016</v>
      </c>
      <c r="K9456" s="3"/>
      <c r="L9456" s="3"/>
      <c r="M9456" s="4"/>
      <c r="N9456" s="3" t="s">
        <v>37</v>
      </c>
      <c r="O9456" s="3" t="s">
        <v>38</v>
      </c>
      <c r="P9456" s="5">
        <v>11</v>
      </c>
      <c r="Q9456" s="5">
        <v>125</v>
      </c>
      <c r="R9456" s="5">
        <v>11</v>
      </c>
      <c r="S9456" s="5">
        <v>128</v>
      </c>
    </row>
    <row r="9457" spans="1:19" ht="28" x14ac:dyDescent="0.15">
      <c r="A9457" s="2">
        <f>HYPERLINK("https://open-school.uspishnemisto.com.ua/school/510289/", 510289)</f>
        <v>510289</v>
      </c>
      <c r="B9457" s="3" t="s">
        <v>48017</v>
      </c>
      <c r="C9457" s="3" t="s">
        <v>31</v>
      </c>
      <c r="D9457" s="3" t="s">
        <v>32</v>
      </c>
      <c r="E9457" s="4" t="s">
        <v>22</v>
      </c>
      <c r="F9457" s="4" t="s">
        <v>48018</v>
      </c>
      <c r="G9457" s="4" t="s">
        <v>48019</v>
      </c>
      <c r="H9457" s="3" t="s">
        <v>46910</v>
      </c>
      <c r="I9457" s="3" t="s">
        <v>48020</v>
      </c>
      <c r="J9457" s="3" t="s">
        <v>48021</v>
      </c>
      <c r="K9457" s="3" t="s">
        <v>48022</v>
      </c>
      <c r="L9457" s="3" t="s">
        <v>48023</v>
      </c>
      <c r="M9457" s="4"/>
      <c r="N9457" s="3" t="s">
        <v>37</v>
      </c>
      <c r="O9457" s="3" t="s">
        <v>112</v>
      </c>
      <c r="P9457" s="5">
        <v>9</v>
      </c>
      <c r="Q9457" s="5">
        <v>152</v>
      </c>
      <c r="R9457" s="5">
        <v>11</v>
      </c>
      <c r="S9457" s="5">
        <v>144</v>
      </c>
    </row>
    <row r="9458" spans="1:19" ht="28" x14ac:dyDescent="0.15">
      <c r="A9458" s="2">
        <f>HYPERLINK("https://open-school.uspishnemisto.com.ua/school/510290/", 510290)</f>
        <v>510290</v>
      </c>
      <c r="B9458" s="3" t="s">
        <v>48024</v>
      </c>
      <c r="C9458" s="3" t="s">
        <v>31</v>
      </c>
      <c r="D9458" s="3" t="s">
        <v>175</v>
      </c>
      <c r="E9458" s="4" t="s">
        <v>22</v>
      </c>
      <c r="F9458" s="4" t="s">
        <v>48025</v>
      </c>
      <c r="G9458" s="4" t="s">
        <v>48026</v>
      </c>
      <c r="H9458" s="3" t="s">
        <v>46910</v>
      </c>
      <c r="I9458" s="3" t="s">
        <v>18131</v>
      </c>
      <c r="J9458" s="3" t="s">
        <v>48027</v>
      </c>
      <c r="K9458" s="3" t="s">
        <v>48028</v>
      </c>
      <c r="L9458" s="3"/>
      <c r="M9458" s="4"/>
      <c r="N9458" s="3" t="s">
        <v>37</v>
      </c>
      <c r="O9458" s="3" t="s">
        <v>112</v>
      </c>
      <c r="P9458" s="5">
        <v>9</v>
      </c>
      <c r="Q9458" s="5">
        <v>110</v>
      </c>
      <c r="R9458" s="5">
        <v>9</v>
      </c>
      <c r="S9458" s="5">
        <v>107</v>
      </c>
    </row>
    <row r="9459" spans="1:19" ht="28" x14ac:dyDescent="0.15">
      <c r="A9459" s="2">
        <f>HYPERLINK("https://open-school.uspishnemisto.com.ua/school/510291/", 510291)</f>
        <v>510291</v>
      </c>
      <c r="B9459" s="3" t="s">
        <v>48029</v>
      </c>
      <c r="C9459" s="3" t="s">
        <v>31</v>
      </c>
      <c r="D9459" s="3" t="s">
        <v>32</v>
      </c>
      <c r="E9459" s="4" t="s">
        <v>22</v>
      </c>
      <c r="F9459" s="4" t="s">
        <v>48030</v>
      </c>
      <c r="G9459" s="4" t="s">
        <v>48031</v>
      </c>
      <c r="H9459" s="3" t="s">
        <v>46910</v>
      </c>
      <c r="I9459" s="3" t="s">
        <v>48032</v>
      </c>
      <c r="J9459" s="3" t="s">
        <v>48033</v>
      </c>
      <c r="K9459" s="3" t="s">
        <v>48034</v>
      </c>
      <c r="L9459" s="3"/>
      <c r="M9459" s="4"/>
      <c r="N9459" s="3" t="s">
        <v>967</v>
      </c>
      <c r="O9459" s="3" t="s">
        <v>47946</v>
      </c>
      <c r="P9459" s="5">
        <v>11</v>
      </c>
      <c r="Q9459" s="5">
        <v>148</v>
      </c>
      <c r="R9459" s="5">
        <v>11</v>
      </c>
      <c r="S9459" s="5">
        <v>150</v>
      </c>
    </row>
    <row r="9460" spans="1:19" ht="56" x14ac:dyDescent="0.15">
      <c r="A9460" s="2">
        <f>HYPERLINK("https://open-school.uspishnemisto.com.ua/school/510292/", 510292)</f>
        <v>510292</v>
      </c>
      <c r="B9460" s="3" t="s">
        <v>48035</v>
      </c>
      <c r="C9460" s="3" t="s">
        <v>54</v>
      </c>
      <c r="D9460" s="3" t="s">
        <v>60</v>
      </c>
      <c r="E9460" s="4" t="s">
        <v>22</v>
      </c>
      <c r="F9460" s="4"/>
      <c r="G9460" s="4" t="s">
        <v>48036</v>
      </c>
      <c r="H9460" s="3" t="s">
        <v>46910</v>
      </c>
      <c r="I9460" s="3" t="s">
        <v>48037</v>
      </c>
      <c r="J9460" s="3" t="s">
        <v>1348</v>
      </c>
      <c r="K9460" s="3"/>
      <c r="L9460" s="3"/>
      <c r="M9460" s="4"/>
      <c r="N9460" s="3" t="s">
        <v>37</v>
      </c>
      <c r="O9460" s="3" t="s">
        <v>52</v>
      </c>
      <c r="P9460" s="5">
        <v>0</v>
      </c>
      <c r="Q9460" s="5">
        <v>0</v>
      </c>
      <c r="R9460" s="5">
        <v>0</v>
      </c>
      <c r="S9460" s="5">
        <v>2</v>
      </c>
    </row>
    <row r="9461" spans="1:19" ht="42" x14ac:dyDescent="0.15">
      <c r="A9461" s="2">
        <f>HYPERLINK("https://open-school.uspishnemisto.com.ua/school/510293/", 510293)</f>
        <v>510293</v>
      </c>
      <c r="B9461" s="3" t="s">
        <v>48038</v>
      </c>
      <c r="C9461" s="3" t="s">
        <v>54</v>
      </c>
      <c r="D9461" s="3" t="s">
        <v>32</v>
      </c>
      <c r="E9461" s="4" t="s">
        <v>22</v>
      </c>
      <c r="F9461" s="4" t="s">
        <v>48039</v>
      </c>
      <c r="G9461" s="4" t="s">
        <v>48040</v>
      </c>
      <c r="H9461" s="3" t="s">
        <v>46910</v>
      </c>
      <c r="I9461" s="3" t="s">
        <v>48041</v>
      </c>
      <c r="J9461" s="3" t="s">
        <v>48042</v>
      </c>
      <c r="K9461" s="3" t="s">
        <v>48043</v>
      </c>
      <c r="L9461" s="3"/>
      <c r="M9461" s="4"/>
      <c r="N9461" s="3" t="s">
        <v>37</v>
      </c>
      <c r="O9461" s="3" t="s">
        <v>38</v>
      </c>
      <c r="P9461" s="5">
        <v>10</v>
      </c>
      <c r="Q9461" s="5">
        <v>116</v>
      </c>
      <c r="R9461" s="5">
        <v>11</v>
      </c>
      <c r="S9461" s="5">
        <v>107</v>
      </c>
    </row>
    <row r="9462" spans="1:19" ht="28" x14ac:dyDescent="0.15">
      <c r="A9462" s="2">
        <f>HYPERLINK("https://open-school.uspishnemisto.com.ua/school/510294/", 510294)</f>
        <v>510294</v>
      </c>
      <c r="B9462" s="3" t="s">
        <v>48044</v>
      </c>
      <c r="C9462" s="3" t="s">
        <v>31</v>
      </c>
      <c r="D9462" s="3" t="s">
        <v>32</v>
      </c>
      <c r="E9462" s="4" t="s">
        <v>22</v>
      </c>
      <c r="F9462" s="4" t="s">
        <v>48045</v>
      </c>
      <c r="G9462" s="4" t="s">
        <v>48046</v>
      </c>
      <c r="H9462" s="3" t="s">
        <v>46910</v>
      </c>
      <c r="I9462" s="3" t="s">
        <v>48047</v>
      </c>
      <c r="J9462" s="3" t="s">
        <v>20910</v>
      </c>
      <c r="K9462" s="3" t="s">
        <v>48048</v>
      </c>
      <c r="L9462" s="3"/>
      <c r="M9462" s="4"/>
      <c r="N9462" s="3" t="s">
        <v>37</v>
      </c>
      <c r="O9462" s="3" t="s">
        <v>38</v>
      </c>
      <c r="P9462" s="5">
        <v>11</v>
      </c>
      <c r="Q9462" s="5">
        <v>148</v>
      </c>
      <c r="R9462" s="5">
        <v>11</v>
      </c>
      <c r="S9462" s="5">
        <v>145</v>
      </c>
    </row>
    <row r="9463" spans="1:19" ht="28" x14ac:dyDescent="0.15">
      <c r="A9463" s="2">
        <f>HYPERLINK("https://open-school.uspishnemisto.com.ua/school/510295/", 510295)</f>
        <v>510295</v>
      </c>
      <c r="B9463" s="3" t="s">
        <v>48049</v>
      </c>
      <c r="C9463" s="3" t="s">
        <v>31</v>
      </c>
      <c r="D9463" s="3" t="s">
        <v>32</v>
      </c>
      <c r="E9463" s="4" t="s">
        <v>22</v>
      </c>
      <c r="F9463" s="4" t="s">
        <v>48050</v>
      </c>
      <c r="G9463" s="4" t="s">
        <v>48051</v>
      </c>
      <c r="H9463" s="3" t="s">
        <v>46910</v>
      </c>
      <c r="I9463" s="3" t="s">
        <v>48052</v>
      </c>
      <c r="J9463" s="3" t="s">
        <v>1410</v>
      </c>
      <c r="K9463" s="3" t="s">
        <v>48053</v>
      </c>
      <c r="L9463" s="3"/>
      <c r="M9463" s="4"/>
      <c r="N9463" s="3" t="s">
        <v>37</v>
      </c>
      <c r="O9463" s="3" t="s">
        <v>70</v>
      </c>
      <c r="P9463" s="5">
        <v>10</v>
      </c>
      <c r="Q9463" s="5">
        <v>153</v>
      </c>
      <c r="R9463" s="5">
        <v>11</v>
      </c>
      <c r="S9463" s="5">
        <v>137</v>
      </c>
    </row>
    <row r="9464" spans="1:19" ht="56" x14ac:dyDescent="0.15">
      <c r="A9464" s="2">
        <f>HYPERLINK("https://open-school.uspishnemisto.com.ua/school/510296/", 510296)</f>
        <v>510296</v>
      </c>
      <c r="B9464" s="3" t="s">
        <v>48054</v>
      </c>
      <c r="C9464" s="3" t="s">
        <v>31</v>
      </c>
      <c r="D9464" s="3"/>
      <c r="E9464" s="4" t="s">
        <v>22</v>
      </c>
      <c r="F9464" s="4" t="s">
        <v>48055</v>
      </c>
      <c r="G9464" s="4" t="s">
        <v>48056</v>
      </c>
      <c r="H9464" s="3" t="s">
        <v>46910</v>
      </c>
      <c r="I9464" s="3" t="s">
        <v>48057</v>
      </c>
      <c r="J9464" s="3" t="s">
        <v>41331</v>
      </c>
      <c r="K9464" s="3" t="s">
        <v>48058</v>
      </c>
      <c r="L9464" s="3"/>
      <c r="M9464" s="4"/>
      <c r="N9464" s="3" t="s">
        <v>37</v>
      </c>
      <c r="O9464" s="3" t="s">
        <v>52</v>
      </c>
      <c r="P9464" s="5">
        <v>0</v>
      </c>
      <c r="Q9464" s="5">
        <v>0</v>
      </c>
      <c r="R9464" s="5">
        <v>2</v>
      </c>
      <c r="S9464" s="5">
        <v>11</v>
      </c>
    </row>
    <row r="9465" spans="1:19" ht="28" x14ac:dyDescent="0.15">
      <c r="A9465" s="2">
        <f>HYPERLINK("https://open-school.uspishnemisto.com.ua/school/510297/", 510297)</f>
        <v>510297</v>
      </c>
      <c r="B9465" s="3" t="s">
        <v>48059</v>
      </c>
      <c r="C9465" s="3" t="s">
        <v>31</v>
      </c>
      <c r="D9465" s="3" t="s">
        <v>175</v>
      </c>
      <c r="E9465" s="4" t="s">
        <v>22</v>
      </c>
      <c r="F9465" s="4" t="s">
        <v>48060</v>
      </c>
      <c r="G9465" s="4" t="s">
        <v>48061</v>
      </c>
      <c r="H9465" s="3" t="s">
        <v>46910</v>
      </c>
      <c r="I9465" s="3" t="s">
        <v>36452</v>
      </c>
      <c r="J9465" s="3" t="s">
        <v>48062</v>
      </c>
      <c r="K9465" s="3"/>
      <c r="L9465" s="3"/>
      <c r="M9465" s="4"/>
      <c r="N9465" s="3" t="s">
        <v>37</v>
      </c>
      <c r="O9465" s="3" t="s">
        <v>38</v>
      </c>
      <c r="P9465" s="5">
        <v>6</v>
      </c>
      <c r="Q9465" s="5">
        <v>49</v>
      </c>
      <c r="R9465" s="5">
        <v>5</v>
      </c>
      <c r="S9465" s="5">
        <v>43</v>
      </c>
    </row>
    <row r="9466" spans="1:19" ht="28" x14ac:dyDescent="0.15">
      <c r="A9466" s="2">
        <f>HYPERLINK("https://open-school.uspishnemisto.com.ua/school/510298/", 510298)</f>
        <v>510298</v>
      </c>
      <c r="B9466" s="3" t="s">
        <v>48063</v>
      </c>
      <c r="C9466" s="3" t="s">
        <v>31</v>
      </c>
      <c r="D9466" s="3" t="s">
        <v>175</v>
      </c>
      <c r="E9466" s="4" t="s">
        <v>22</v>
      </c>
      <c r="F9466" s="4" t="s">
        <v>48064</v>
      </c>
      <c r="G9466" s="4" t="s">
        <v>48065</v>
      </c>
      <c r="H9466" s="3" t="s">
        <v>46910</v>
      </c>
      <c r="I9466" s="3" t="s">
        <v>48066</v>
      </c>
      <c r="J9466" s="3" t="s">
        <v>48067</v>
      </c>
      <c r="K9466" s="3" t="s">
        <v>48068</v>
      </c>
      <c r="L9466" s="3"/>
      <c r="M9466" s="4"/>
      <c r="N9466" s="3" t="s">
        <v>37</v>
      </c>
      <c r="O9466" s="3" t="s">
        <v>38</v>
      </c>
      <c r="P9466" s="5">
        <v>8</v>
      </c>
      <c r="Q9466" s="5">
        <v>61</v>
      </c>
      <c r="R9466" s="5">
        <v>7</v>
      </c>
      <c r="S9466" s="5">
        <v>55</v>
      </c>
    </row>
    <row r="9467" spans="1:19" ht="84" x14ac:dyDescent="0.15">
      <c r="A9467" s="2">
        <f>HYPERLINK("https://open-school.uspishnemisto.com.ua/school/510299/", 510299)</f>
        <v>510299</v>
      </c>
      <c r="B9467" s="3" t="s">
        <v>48069</v>
      </c>
      <c r="C9467" s="3" t="s">
        <v>54</v>
      </c>
      <c r="D9467" s="3" t="s">
        <v>60</v>
      </c>
      <c r="E9467" s="4" t="s">
        <v>22</v>
      </c>
      <c r="F9467" s="4" t="s">
        <v>48070</v>
      </c>
      <c r="G9467" s="4" t="s">
        <v>48071</v>
      </c>
      <c r="H9467" s="3" t="s">
        <v>46910</v>
      </c>
      <c r="I9467" s="3" t="s">
        <v>48072</v>
      </c>
      <c r="J9467" s="3" t="s">
        <v>23179</v>
      </c>
      <c r="K9467" s="3"/>
      <c r="L9467" s="3"/>
      <c r="M9467" s="4"/>
      <c r="N9467" s="3" t="s">
        <v>37</v>
      </c>
      <c r="O9467" s="3" t="s">
        <v>52</v>
      </c>
      <c r="P9467" s="5">
        <v>0</v>
      </c>
      <c r="Q9467" s="5">
        <v>0</v>
      </c>
      <c r="R9467" s="5">
        <v>2</v>
      </c>
      <c r="S9467" s="5">
        <v>16</v>
      </c>
    </row>
    <row r="9468" spans="1:19" ht="28" x14ac:dyDescent="0.15">
      <c r="A9468" s="2">
        <f>HYPERLINK("https://open-school.uspishnemisto.com.ua/school/510300/", 510300)</f>
        <v>510300</v>
      </c>
      <c r="B9468" s="3" t="s">
        <v>48073</v>
      </c>
      <c r="C9468" s="3" t="s">
        <v>31</v>
      </c>
      <c r="D9468" s="3" t="s">
        <v>32</v>
      </c>
      <c r="E9468" s="4" t="s">
        <v>22</v>
      </c>
      <c r="F9468" s="4" t="s">
        <v>48074</v>
      </c>
      <c r="G9468" s="4" t="s">
        <v>48075</v>
      </c>
      <c r="H9468" s="3" t="s">
        <v>46910</v>
      </c>
      <c r="I9468" s="3" t="s">
        <v>725</v>
      </c>
      <c r="J9468" s="3" t="s">
        <v>48076</v>
      </c>
      <c r="K9468" s="3" t="s">
        <v>48077</v>
      </c>
      <c r="L9468" s="3"/>
      <c r="M9468" s="4"/>
      <c r="N9468" s="3" t="s">
        <v>37</v>
      </c>
      <c r="O9468" s="3" t="s">
        <v>38</v>
      </c>
      <c r="P9468" s="5">
        <v>12</v>
      </c>
      <c r="Q9468" s="5">
        <v>131</v>
      </c>
      <c r="R9468" s="5">
        <v>10</v>
      </c>
      <c r="S9468" s="5">
        <v>122</v>
      </c>
    </row>
    <row r="9469" spans="1:19" ht="84" x14ac:dyDescent="0.15">
      <c r="A9469" s="2">
        <f>HYPERLINK("https://open-school.uspishnemisto.com.ua/school/510301/", 510301)</f>
        <v>510301</v>
      </c>
      <c r="B9469" s="3" t="s">
        <v>48078</v>
      </c>
      <c r="C9469" s="3" t="s">
        <v>31</v>
      </c>
      <c r="D9469" s="3" t="s">
        <v>175</v>
      </c>
      <c r="E9469" s="4" t="s">
        <v>22</v>
      </c>
      <c r="F9469" s="4" t="s">
        <v>48079</v>
      </c>
      <c r="G9469" s="4" t="s">
        <v>48080</v>
      </c>
      <c r="H9469" s="3" t="s">
        <v>46910</v>
      </c>
      <c r="I9469" s="3" t="s">
        <v>971</v>
      </c>
      <c r="J9469" s="3" t="s">
        <v>21138</v>
      </c>
      <c r="K9469" s="3" t="s">
        <v>48081</v>
      </c>
      <c r="L9469" s="3"/>
      <c r="M9469" s="4"/>
      <c r="N9469" s="3" t="s">
        <v>37</v>
      </c>
      <c r="O9469" s="3" t="s">
        <v>52</v>
      </c>
      <c r="P9469" s="5">
        <v>0</v>
      </c>
      <c r="Q9469" s="5">
        <v>0</v>
      </c>
      <c r="R9469" s="5">
        <v>6</v>
      </c>
      <c r="S9469" s="5">
        <v>53</v>
      </c>
    </row>
    <row r="9470" spans="1:19" ht="42" x14ac:dyDescent="0.15">
      <c r="A9470" s="2">
        <f>HYPERLINK("https://open-school.uspishnemisto.com.ua/school/510302/", 510302)</f>
        <v>510302</v>
      </c>
      <c r="B9470" s="3" t="s">
        <v>48082</v>
      </c>
      <c r="C9470" s="3" t="s">
        <v>54</v>
      </c>
      <c r="D9470" s="3" t="s">
        <v>60</v>
      </c>
      <c r="E9470" s="4" t="s">
        <v>22</v>
      </c>
      <c r="F9470" s="4" t="s">
        <v>48083</v>
      </c>
      <c r="G9470" s="4" t="s">
        <v>48084</v>
      </c>
      <c r="H9470" s="3" t="s">
        <v>46910</v>
      </c>
      <c r="I9470" s="3" t="s">
        <v>48085</v>
      </c>
      <c r="J9470" s="3" t="s">
        <v>48086</v>
      </c>
      <c r="K9470" s="3" t="s">
        <v>48087</v>
      </c>
      <c r="L9470" s="3"/>
      <c r="M9470" s="4"/>
      <c r="N9470" s="3" t="s">
        <v>37</v>
      </c>
      <c r="O9470" s="3" t="s">
        <v>38</v>
      </c>
      <c r="P9470" s="5">
        <v>4</v>
      </c>
      <c r="Q9470" s="5">
        <v>25</v>
      </c>
      <c r="R9470" s="5">
        <v>3</v>
      </c>
      <c r="S9470" s="5">
        <v>19</v>
      </c>
    </row>
    <row r="9471" spans="1:19" ht="28" x14ac:dyDescent="0.15">
      <c r="A9471" s="2">
        <f>HYPERLINK("https://open-school.uspishnemisto.com.ua/school/510303/", 510303)</f>
        <v>510303</v>
      </c>
      <c r="B9471" s="3" t="s">
        <v>48088</v>
      </c>
      <c r="C9471" s="3" t="s">
        <v>31</v>
      </c>
      <c r="D9471" s="3" t="s">
        <v>32</v>
      </c>
      <c r="E9471" s="4" t="s">
        <v>22</v>
      </c>
      <c r="F9471" s="4" t="s">
        <v>48089</v>
      </c>
      <c r="G9471" s="4" t="s">
        <v>48090</v>
      </c>
      <c r="H9471" s="3" t="s">
        <v>46910</v>
      </c>
      <c r="I9471" s="3" t="s">
        <v>48091</v>
      </c>
      <c r="J9471" s="3" t="s">
        <v>48092</v>
      </c>
      <c r="K9471" s="3" t="s">
        <v>48093</v>
      </c>
      <c r="L9471" s="3"/>
      <c r="M9471" s="4"/>
      <c r="N9471" s="3" t="s">
        <v>37</v>
      </c>
      <c r="O9471" s="3" t="s">
        <v>38</v>
      </c>
      <c r="P9471" s="5">
        <v>10</v>
      </c>
      <c r="Q9471" s="5">
        <v>82</v>
      </c>
      <c r="R9471" s="5">
        <v>11</v>
      </c>
      <c r="S9471" s="5">
        <v>84</v>
      </c>
    </row>
    <row r="9472" spans="1:19" ht="42" x14ac:dyDescent="0.15">
      <c r="A9472" s="2">
        <f>HYPERLINK("https://open-school.uspishnemisto.com.ua/school/510304/", 510304)</f>
        <v>510304</v>
      </c>
      <c r="B9472" s="3" t="s">
        <v>48094</v>
      </c>
      <c r="C9472" s="3" t="s">
        <v>54</v>
      </c>
      <c r="D9472" s="3" t="s">
        <v>60</v>
      </c>
      <c r="E9472" s="4" t="s">
        <v>22</v>
      </c>
      <c r="F9472" s="4" t="s">
        <v>48095</v>
      </c>
      <c r="G9472" s="4" t="s">
        <v>48096</v>
      </c>
      <c r="H9472" s="3" t="s">
        <v>46910</v>
      </c>
      <c r="I9472" s="3" t="s">
        <v>48097</v>
      </c>
      <c r="J9472" s="3" t="s">
        <v>48098</v>
      </c>
      <c r="K9472" s="3" t="s">
        <v>48099</v>
      </c>
      <c r="L9472" s="3"/>
      <c r="M9472" s="4"/>
      <c r="N9472" s="3" t="s">
        <v>37</v>
      </c>
      <c r="O9472" s="3" t="s">
        <v>52</v>
      </c>
      <c r="P9472" s="5">
        <v>2</v>
      </c>
      <c r="Q9472" s="5">
        <v>16</v>
      </c>
      <c r="R9472" s="5">
        <v>2</v>
      </c>
      <c r="S9472" s="5">
        <v>26</v>
      </c>
    </row>
    <row r="9473" spans="1:19" ht="28" x14ac:dyDescent="0.15">
      <c r="A9473" s="2">
        <f>HYPERLINK("https://open-school.uspishnemisto.com.ua/school/510305/", 510305)</f>
        <v>510305</v>
      </c>
      <c r="B9473" s="3" t="s">
        <v>48100</v>
      </c>
      <c r="C9473" s="3" t="s">
        <v>31</v>
      </c>
      <c r="D9473" s="3" t="s">
        <v>32</v>
      </c>
      <c r="E9473" s="4" t="s">
        <v>22</v>
      </c>
      <c r="F9473" s="4" t="s">
        <v>48101</v>
      </c>
      <c r="G9473" s="4" t="s">
        <v>48102</v>
      </c>
      <c r="H9473" s="3" t="s">
        <v>46910</v>
      </c>
      <c r="I9473" s="3" t="s">
        <v>48103</v>
      </c>
      <c r="J9473" s="3" t="s">
        <v>48104</v>
      </c>
      <c r="K9473" s="3" t="s">
        <v>48105</v>
      </c>
      <c r="L9473" s="3"/>
      <c r="M9473" s="4"/>
      <c r="N9473" s="3" t="s">
        <v>37</v>
      </c>
      <c r="O9473" s="3" t="s">
        <v>38</v>
      </c>
      <c r="P9473" s="5">
        <v>11</v>
      </c>
      <c r="Q9473" s="5">
        <v>127</v>
      </c>
      <c r="R9473" s="5">
        <v>10</v>
      </c>
      <c r="S9473" s="5">
        <v>113</v>
      </c>
    </row>
    <row r="9474" spans="1:19" ht="28" x14ac:dyDescent="0.15">
      <c r="A9474" s="2">
        <f>HYPERLINK("https://open-school.uspishnemisto.com.ua/school/510306/", 510306)</f>
        <v>510306</v>
      </c>
      <c r="B9474" s="3" t="s">
        <v>48106</v>
      </c>
      <c r="C9474" s="3" t="s">
        <v>181</v>
      </c>
      <c r="D9474" s="3" t="s">
        <v>175</v>
      </c>
      <c r="E9474" s="4" t="s">
        <v>22</v>
      </c>
      <c r="F9474" s="4" t="s">
        <v>48107</v>
      </c>
      <c r="G9474" s="4" t="s">
        <v>48108</v>
      </c>
      <c r="H9474" s="3" t="s">
        <v>46910</v>
      </c>
      <c r="I9474" s="3" t="s">
        <v>31293</v>
      </c>
      <c r="J9474" s="3" t="s">
        <v>48109</v>
      </c>
      <c r="K9474" s="3" t="s">
        <v>48110</v>
      </c>
      <c r="L9474" s="3"/>
      <c r="M9474" s="4" t="s">
        <v>48111</v>
      </c>
      <c r="N9474" s="3" t="s">
        <v>37</v>
      </c>
      <c r="O9474" s="3"/>
      <c r="P9474" s="5">
        <v>9</v>
      </c>
      <c r="Q9474" s="5">
        <v>76</v>
      </c>
      <c r="R9474" s="5">
        <v>9</v>
      </c>
      <c r="S9474" s="5">
        <v>77</v>
      </c>
    </row>
    <row r="9475" spans="1:19" ht="28" x14ac:dyDescent="0.15">
      <c r="A9475" s="2">
        <f>HYPERLINK("https://open-school.uspishnemisto.com.ua/school/510307/", 510307)</f>
        <v>510307</v>
      </c>
      <c r="B9475" s="3" t="s">
        <v>48112</v>
      </c>
      <c r="C9475" s="3" t="s">
        <v>31</v>
      </c>
      <c r="D9475" s="3" t="s">
        <v>32</v>
      </c>
      <c r="E9475" s="4" t="s">
        <v>22</v>
      </c>
      <c r="F9475" s="4" t="s">
        <v>48107</v>
      </c>
      <c r="G9475" s="4" t="s">
        <v>48108</v>
      </c>
      <c r="H9475" s="3" t="s">
        <v>46910</v>
      </c>
      <c r="I9475" s="3" t="s">
        <v>31293</v>
      </c>
      <c r="J9475" s="3" t="s">
        <v>48113</v>
      </c>
      <c r="K9475" s="3" t="s">
        <v>48114</v>
      </c>
      <c r="L9475" s="3"/>
      <c r="M9475" s="4"/>
      <c r="N9475" s="3" t="s">
        <v>37</v>
      </c>
      <c r="O9475" s="3" t="s">
        <v>38</v>
      </c>
      <c r="P9475" s="5">
        <v>11</v>
      </c>
      <c r="Q9475" s="5">
        <v>235</v>
      </c>
      <c r="R9475" s="5">
        <v>11</v>
      </c>
      <c r="S9475" s="5">
        <v>227</v>
      </c>
    </row>
    <row r="9476" spans="1:19" ht="42" x14ac:dyDescent="0.15">
      <c r="A9476" s="2">
        <f>HYPERLINK("https://open-school.uspishnemisto.com.ua/school/510308/", 510308)</f>
        <v>510308</v>
      </c>
      <c r="B9476" s="3" t="s">
        <v>48115</v>
      </c>
      <c r="C9476" s="3" t="s">
        <v>54</v>
      </c>
      <c r="D9476" s="3" t="s">
        <v>175</v>
      </c>
      <c r="E9476" s="4" t="s">
        <v>22</v>
      </c>
      <c r="F9476" s="4" t="s">
        <v>48116</v>
      </c>
      <c r="G9476" s="4" t="s">
        <v>48117</v>
      </c>
      <c r="H9476" s="3" t="s">
        <v>46910</v>
      </c>
      <c r="I9476" s="3" t="s">
        <v>22540</v>
      </c>
      <c r="J9476" s="3" t="s">
        <v>48118</v>
      </c>
      <c r="K9476" s="3" t="s">
        <v>48119</v>
      </c>
      <c r="L9476" s="3"/>
      <c r="M9476" s="4"/>
      <c r="N9476" s="3" t="s">
        <v>37</v>
      </c>
      <c r="O9476" s="3" t="s">
        <v>70</v>
      </c>
      <c r="P9476" s="5">
        <v>5</v>
      </c>
      <c r="Q9476" s="5">
        <v>42</v>
      </c>
      <c r="R9476" s="5">
        <v>5</v>
      </c>
      <c r="S9476" s="5">
        <v>37</v>
      </c>
    </row>
    <row r="9477" spans="1:19" ht="56" x14ac:dyDescent="0.15">
      <c r="A9477" s="2">
        <f>HYPERLINK("https://open-school.uspishnemisto.com.ua/school/510309/", 510309)</f>
        <v>510309</v>
      </c>
      <c r="B9477" s="3" t="s">
        <v>48120</v>
      </c>
      <c r="C9477" s="3" t="s">
        <v>54</v>
      </c>
      <c r="D9477" s="3" t="s">
        <v>32</v>
      </c>
      <c r="E9477" s="4" t="s">
        <v>22</v>
      </c>
      <c r="F9477" s="4" t="s">
        <v>48121</v>
      </c>
      <c r="G9477" s="4" t="s">
        <v>48122</v>
      </c>
      <c r="H9477" s="3" t="s">
        <v>46910</v>
      </c>
      <c r="I9477" s="3" t="s">
        <v>48123</v>
      </c>
      <c r="J9477" s="3" t="s">
        <v>14575</v>
      </c>
      <c r="K9477" s="3" t="s">
        <v>48124</v>
      </c>
      <c r="L9477" s="3"/>
      <c r="M9477" s="4"/>
      <c r="N9477" s="3" t="s">
        <v>37</v>
      </c>
      <c r="O9477" s="3" t="s">
        <v>38</v>
      </c>
      <c r="P9477" s="5">
        <v>11</v>
      </c>
      <c r="Q9477" s="5">
        <v>200</v>
      </c>
      <c r="R9477" s="5">
        <v>11</v>
      </c>
      <c r="S9477" s="5">
        <v>204</v>
      </c>
    </row>
    <row r="9478" spans="1:19" ht="28" x14ac:dyDescent="0.15">
      <c r="A9478" s="2">
        <f>HYPERLINK("https://open-school.uspishnemisto.com.ua/school/510310/", 510310)</f>
        <v>510310</v>
      </c>
      <c r="B9478" s="3" t="s">
        <v>48125</v>
      </c>
      <c r="C9478" s="3" t="s">
        <v>31</v>
      </c>
      <c r="D9478" s="3" t="s">
        <v>32</v>
      </c>
      <c r="E9478" s="4" t="s">
        <v>22</v>
      </c>
      <c r="F9478" s="4" t="s">
        <v>48126</v>
      </c>
      <c r="G9478" s="4" t="s">
        <v>48127</v>
      </c>
      <c r="H9478" s="3" t="s">
        <v>46910</v>
      </c>
      <c r="I9478" s="3" t="s">
        <v>48128</v>
      </c>
      <c r="J9478" s="3" t="s">
        <v>48129</v>
      </c>
      <c r="K9478" s="3" t="s">
        <v>48130</v>
      </c>
      <c r="L9478" s="3"/>
      <c r="M9478" s="4"/>
      <c r="N9478" s="3" t="s">
        <v>37</v>
      </c>
      <c r="O9478" s="3" t="s">
        <v>38</v>
      </c>
      <c r="P9478" s="5">
        <v>9</v>
      </c>
      <c r="Q9478" s="5">
        <v>108</v>
      </c>
      <c r="R9478" s="5">
        <v>10</v>
      </c>
      <c r="S9478" s="5">
        <v>95</v>
      </c>
    </row>
    <row r="9479" spans="1:19" ht="56" x14ac:dyDescent="0.15">
      <c r="A9479" s="2">
        <f>HYPERLINK("https://open-school.uspishnemisto.com.ua/school/510311/", 510311)</f>
        <v>510311</v>
      </c>
      <c r="B9479" s="3" t="s">
        <v>48131</v>
      </c>
      <c r="C9479" s="3" t="s">
        <v>54</v>
      </c>
      <c r="D9479" s="3" t="s">
        <v>175</v>
      </c>
      <c r="E9479" s="4" t="s">
        <v>22</v>
      </c>
      <c r="F9479" s="4" t="s">
        <v>48132</v>
      </c>
      <c r="G9479" s="4" t="s">
        <v>48133</v>
      </c>
      <c r="H9479" s="3" t="s">
        <v>46910</v>
      </c>
      <c r="I9479" s="3" t="s">
        <v>48134</v>
      </c>
      <c r="J9479" s="3" t="s">
        <v>1946</v>
      </c>
      <c r="K9479" s="3" t="s">
        <v>48135</v>
      </c>
      <c r="L9479" s="3"/>
      <c r="M9479" s="4"/>
      <c r="N9479" s="3" t="s">
        <v>37</v>
      </c>
      <c r="O9479" s="3" t="s">
        <v>38</v>
      </c>
      <c r="P9479" s="5">
        <v>7</v>
      </c>
      <c r="Q9479" s="5">
        <v>67</v>
      </c>
      <c r="R9479" s="5">
        <v>6</v>
      </c>
      <c r="S9479" s="5">
        <v>60</v>
      </c>
    </row>
    <row r="9480" spans="1:19" ht="28" x14ac:dyDescent="0.15">
      <c r="A9480" s="2">
        <f>HYPERLINK("https://open-school.uspishnemisto.com.ua/school/510312/", 510312)</f>
        <v>510312</v>
      </c>
      <c r="B9480" s="3" t="s">
        <v>48136</v>
      </c>
      <c r="C9480" s="3" t="s">
        <v>31</v>
      </c>
      <c r="D9480" s="3" t="s">
        <v>175</v>
      </c>
      <c r="E9480" s="4" t="s">
        <v>22</v>
      </c>
      <c r="F9480" s="4" t="s">
        <v>48137</v>
      </c>
      <c r="G9480" s="4" t="s">
        <v>48138</v>
      </c>
      <c r="H9480" s="3" t="s">
        <v>46910</v>
      </c>
      <c r="I9480" s="3" t="s">
        <v>48139</v>
      </c>
      <c r="J9480" s="3" t="s">
        <v>48140</v>
      </c>
      <c r="K9480" s="3" t="s">
        <v>48141</v>
      </c>
      <c r="L9480" s="3"/>
      <c r="M9480" s="4"/>
      <c r="N9480" s="3" t="s">
        <v>37</v>
      </c>
      <c r="O9480" s="3" t="s">
        <v>70</v>
      </c>
      <c r="P9480" s="5">
        <v>6</v>
      </c>
      <c r="Q9480" s="5">
        <v>46</v>
      </c>
      <c r="R9480" s="5">
        <v>6</v>
      </c>
      <c r="S9480" s="5">
        <v>48</v>
      </c>
    </row>
    <row r="9481" spans="1:19" ht="56" x14ac:dyDescent="0.15">
      <c r="A9481" s="2">
        <f>HYPERLINK("https://open-school.uspishnemisto.com.ua/school/510313/", 510313)</f>
        <v>510313</v>
      </c>
      <c r="B9481" s="3" t="s">
        <v>48142</v>
      </c>
      <c r="C9481" s="3" t="s">
        <v>54</v>
      </c>
      <c r="D9481" s="3" t="s">
        <v>32</v>
      </c>
      <c r="E9481" s="4" t="s">
        <v>22</v>
      </c>
      <c r="F9481" s="4" t="s">
        <v>48143</v>
      </c>
      <c r="G9481" s="4" t="s">
        <v>48144</v>
      </c>
      <c r="H9481" s="3" t="s">
        <v>46910</v>
      </c>
      <c r="I9481" s="3" t="s">
        <v>48145</v>
      </c>
      <c r="J9481" s="3" t="s">
        <v>1001</v>
      </c>
      <c r="K9481" s="3" t="s">
        <v>48146</v>
      </c>
      <c r="L9481" s="3"/>
      <c r="M9481" s="4"/>
      <c r="N9481" s="3" t="s">
        <v>37</v>
      </c>
      <c r="O9481" s="3" t="s">
        <v>38</v>
      </c>
      <c r="P9481" s="5">
        <v>7</v>
      </c>
      <c r="Q9481" s="5">
        <v>58</v>
      </c>
      <c r="R9481" s="5">
        <v>8</v>
      </c>
      <c r="S9481" s="5">
        <v>63</v>
      </c>
    </row>
    <row r="9482" spans="1:19" ht="28" x14ac:dyDescent="0.15">
      <c r="A9482" s="2">
        <f>HYPERLINK("https://open-school.uspishnemisto.com.ua/school/510314/", 510314)</f>
        <v>510314</v>
      </c>
      <c r="B9482" s="3" t="s">
        <v>48147</v>
      </c>
      <c r="C9482" s="3" t="s">
        <v>31</v>
      </c>
      <c r="D9482" s="3" t="s">
        <v>175</v>
      </c>
      <c r="E9482" s="4" t="s">
        <v>22</v>
      </c>
      <c r="F9482" s="4" t="s">
        <v>48148</v>
      </c>
      <c r="G9482" s="4" t="s">
        <v>48149</v>
      </c>
      <c r="H9482" s="3" t="s">
        <v>46910</v>
      </c>
      <c r="I9482" s="3" t="s">
        <v>11508</v>
      </c>
      <c r="J9482" s="3" t="s">
        <v>933</v>
      </c>
      <c r="K9482" s="3" t="s">
        <v>48150</v>
      </c>
      <c r="L9482" s="3"/>
      <c r="M9482" s="4"/>
      <c r="N9482" s="3" t="s">
        <v>37</v>
      </c>
      <c r="O9482" s="3" t="s">
        <v>70</v>
      </c>
      <c r="P9482" s="5">
        <v>8</v>
      </c>
      <c r="Q9482" s="5">
        <v>93</v>
      </c>
      <c r="R9482" s="5">
        <v>8</v>
      </c>
      <c r="S9482" s="5">
        <v>96</v>
      </c>
    </row>
    <row r="9483" spans="1:19" ht="28" x14ac:dyDescent="0.15">
      <c r="A9483" s="2">
        <f>HYPERLINK("https://open-school.uspishnemisto.com.ua/school/510315/", 510315)</f>
        <v>510315</v>
      </c>
      <c r="B9483" s="3" t="s">
        <v>48151</v>
      </c>
      <c r="C9483" s="3" t="s">
        <v>31</v>
      </c>
      <c r="D9483" s="3" t="s">
        <v>32</v>
      </c>
      <c r="E9483" s="4" t="s">
        <v>22</v>
      </c>
      <c r="F9483" s="4" t="s">
        <v>48152</v>
      </c>
      <c r="G9483" s="4" t="s">
        <v>48153</v>
      </c>
      <c r="H9483" s="3" t="s">
        <v>46910</v>
      </c>
      <c r="I9483" s="3" t="s">
        <v>4594</v>
      </c>
      <c r="J9483" s="3" t="s">
        <v>48154</v>
      </c>
      <c r="K9483" s="3" t="s">
        <v>48155</v>
      </c>
      <c r="L9483" s="3"/>
      <c r="M9483" s="4"/>
      <c r="N9483" s="3" t="s">
        <v>37</v>
      </c>
      <c r="O9483" s="3" t="s">
        <v>38</v>
      </c>
      <c r="P9483" s="5">
        <v>11</v>
      </c>
      <c r="Q9483" s="5">
        <v>131</v>
      </c>
      <c r="R9483" s="5">
        <v>11</v>
      </c>
      <c r="S9483" s="5">
        <v>130</v>
      </c>
    </row>
    <row r="9484" spans="1:19" ht="28" x14ac:dyDescent="0.15">
      <c r="A9484" s="2">
        <f>HYPERLINK("https://open-school.uspishnemisto.com.ua/school/510316/", 510316)</f>
        <v>510316</v>
      </c>
      <c r="B9484" s="3" t="s">
        <v>48156</v>
      </c>
      <c r="C9484" s="3" t="s">
        <v>31</v>
      </c>
      <c r="D9484" s="3" t="s">
        <v>175</v>
      </c>
      <c r="E9484" s="4" t="s">
        <v>22</v>
      </c>
      <c r="F9484" s="4"/>
      <c r="G9484" s="4" t="s">
        <v>48157</v>
      </c>
      <c r="H9484" s="3" t="s">
        <v>46910</v>
      </c>
      <c r="I9484" s="3" t="s">
        <v>35347</v>
      </c>
      <c r="J9484" s="3" t="s">
        <v>48158</v>
      </c>
      <c r="K9484" s="3" t="s">
        <v>48159</v>
      </c>
      <c r="L9484" s="3"/>
      <c r="M9484" s="4"/>
      <c r="N9484" s="3" t="s">
        <v>37</v>
      </c>
      <c r="O9484" s="3" t="s">
        <v>70</v>
      </c>
      <c r="P9484" s="5">
        <v>7</v>
      </c>
      <c r="Q9484" s="5">
        <v>66</v>
      </c>
      <c r="R9484" s="5">
        <v>7</v>
      </c>
      <c r="S9484" s="5">
        <v>55</v>
      </c>
    </row>
    <row r="9485" spans="1:19" ht="28" x14ac:dyDescent="0.15">
      <c r="A9485" s="2">
        <f>HYPERLINK("https://open-school.uspishnemisto.com.ua/school/510317/", 510317)</f>
        <v>510317</v>
      </c>
      <c r="B9485" s="3" t="s">
        <v>48160</v>
      </c>
      <c r="C9485" s="3" t="s">
        <v>31</v>
      </c>
      <c r="D9485" s="3" t="s">
        <v>32</v>
      </c>
      <c r="E9485" s="4" t="s">
        <v>22</v>
      </c>
      <c r="F9485" s="4" t="s">
        <v>48161</v>
      </c>
      <c r="G9485" s="4" t="s">
        <v>48162</v>
      </c>
      <c r="H9485" s="3" t="s">
        <v>46910</v>
      </c>
      <c r="I9485" s="3" t="s">
        <v>48163</v>
      </c>
      <c r="J9485" s="3" t="s">
        <v>48164</v>
      </c>
      <c r="K9485" s="3" t="s">
        <v>48165</v>
      </c>
      <c r="L9485" s="3"/>
      <c r="M9485" s="4"/>
      <c r="N9485" s="3" t="s">
        <v>37</v>
      </c>
      <c r="O9485" s="3" t="s">
        <v>10453</v>
      </c>
      <c r="P9485" s="5">
        <v>23</v>
      </c>
      <c r="Q9485" s="5">
        <v>540</v>
      </c>
      <c r="R9485" s="5">
        <v>24</v>
      </c>
      <c r="S9485" s="5">
        <v>532</v>
      </c>
    </row>
    <row r="9486" spans="1:19" ht="28" x14ac:dyDescent="0.15">
      <c r="A9486" s="2">
        <f>HYPERLINK("https://open-school.uspishnemisto.com.ua/school/510318/", 510318)</f>
        <v>510318</v>
      </c>
      <c r="B9486" s="3" t="s">
        <v>48166</v>
      </c>
      <c r="C9486" s="3" t="s">
        <v>31</v>
      </c>
      <c r="D9486" s="3" t="s">
        <v>175</v>
      </c>
      <c r="E9486" s="4" t="s">
        <v>22</v>
      </c>
      <c r="F9486" s="4" t="s">
        <v>48167</v>
      </c>
      <c r="G9486" s="4" t="s">
        <v>48168</v>
      </c>
      <c r="H9486" s="3" t="s">
        <v>46910</v>
      </c>
      <c r="I9486" s="3" t="s">
        <v>48169</v>
      </c>
      <c r="J9486" s="3" t="s">
        <v>48170</v>
      </c>
      <c r="K9486" s="3" t="s">
        <v>48171</v>
      </c>
      <c r="L9486" s="3" t="s">
        <v>48172</v>
      </c>
      <c r="M9486" s="4"/>
      <c r="N9486" s="3" t="s">
        <v>37</v>
      </c>
      <c r="O9486" s="3" t="s">
        <v>38</v>
      </c>
      <c r="P9486" s="5">
        <v>9</v>
      </c>
      <c r="Q9486" s="5">
        <v>106</v>
      </c>
      <c r="R9486" s="5">
        <v>9</v>
      </c>
      <c r="S9486" s="5">
        <v>93</v>
      </c>
    </row>
    <row r="9487" spans="1:19" ht="70" x14ac:dyDescent="0.15">
      <c r="A9487" s="2">
        <f>HYPERLINK("https://open-school.uspishnemisto.com.ua/school/510319/", 510319)</f>
        <v>510319</v>
      </c>
      <c r="B9487" s="3" t="s">
        <v>48173</v>
      </c>
      <c r="C9487" s="3" t="s">
        <v>54</v>
      </c>
      <c r="D9487" s="3" t="s">
        <v>175</v>
      </c>
      <c r="E9487" s="4" t="s">
        <v>22</v>
      </c>
      <c r="F9487" s="4" t="s">
        <v>47559</v>
      </c>
      <c r="G9487" s="4" t="s">
        <v>48174</v>
      </c>
      <c r="H9487" s="3" t="s">
        <v>46910</v>
      </c>
      <c r="I9487" s="3" t="s">
        <v>48175</v>
      </c>
      <c r="J9487" s="3" t="s">
        <v>48176</v>
      </c>
      <c r="K9487" s="3" t="s">
        <v>48177</v>
      </c>
      <c r="L9487" s="3"/>
      <c r="M9487" s="4"/>
      <c r="N9487" s="3" t="s">
        <v>37</v>
      </c>
      <c r="O9487" s="3" t="s">
        <v>38</v>
      </c>
      <c r="P9487" s="5">
        <v>1</v>
      </c>
      <c r="Q9487" s="5">
        <v>18</v>
      </c>
      <c r="R9487" s="5">
        <v>4</v>
      </c>
      <c r="S9487" s="5">
        <v>28</v>
      </c>
    </row>
    <row r="9488" spans="1:19" ht="70" x14ac:dyDescent="0.15">
      <c r="A9488" s="2">
        <f>HYPERLINK("https://open-school.uspishnemisto.com.ua/school/510320/", 510320)</f>
        <v>510320</v>
      </c>
      <c r="B9488" s="3" t="s">
        <v>48178</v>
      </c>
      <c r="C9488" s="3" t="s">
        <v>54</v>
      </c>
      <c r="D9488" s="3" t="s">
        <v>60</v>
      </c>
      <c r="E9488" s="4" t="s">
        <v>22</v>
      </c>
      <c r="F9488" s="4" t="s">
        <v>48179</v>
      </c>
      <c r="G9488" s="4" t="s">
        <v>48180</v>
      </c>
      <c r="H9488" s="3" t="s">
        <v>46910</v>
      </c>
      <c r="I9488" s="3" t="s">
        <v>48181</v>
      </c>
      <c r="J9488" s="3" t="s">
        <v>48182</v>
      </c>
      <c r="K9488" s="3" t="s">
        <v>48183</v>
      </c>
      <c r="L9488" s="3"/>
      <c r="M9488" s="4"/>
      <c r="N9488" s="3"/>
      <c r="O9488" s="3"/>
      <c r="P9488" s="5">
        <v>0</v>
      </c>
      <c r="Q9488" s="5">
        <v>0</v>
      </c>
      <c r="R9488" s="5"/>
      <c r="S9488" s="5"/>
    </row>
    <row r="9489" spans="1:19" ht="70" x14ac:dyDescent="0.15">
      <c r="A9489" s="2">
        <f>HYPERLINK("https://open-school.uspishnemisto.com.ua/school/510321/", 510321)</f>
        <v>510321</v>
      </c>
      <c r="B9489" s="3" t="s">
        <v>48184</v>
      </c>
      <c r="C9489" s="3" t="s">
        <v>54</v>
      </c>
      <c r="D9489" s="3" t="s">
        <v>60</v>
      </c>
      <c r="E9489" s="4" t="s">
        <v>22</v>
      </c>
      <c r="F9489" s="4" t="s">
        <v>48185</v>
      </c>
      <c r="G9489" s="4" t="s">
        <v>48186</v>
      </c>
      <c r="H9489" s="3" t="s">
        <v>46910</v>
      </c>
      <c r="I9489" s="3" t="s">
        <v>35172</v>
      </c>
      <c r="J9489" s="3" t="s">
        <v>718</v>
      </c>
      <c r="K9489" s="3" t="s">
        <v>48187</v>
      </c>
      <c r="L9489" s="3"/>
      <c r="M9489" s="4"/>
      <c r="N9489" s="3"/>
      <c r="O9489" s="3"/>
      <c r="P9489" s="5">
        <v>0</v>
      </c>
      <c r="Q9489" s="5">
        <v>0</v>
      </c>
      <c r="R9489" s="5"/>
      <c r="S9489" s="5"/>
    </row>
    <row r="9490" spans="1:19" ht="42" x14ac:dyDescent="0.15">
      <c r="A9490" s="2">
        <f>HYPERLINK("https://open-school.uspishnemisto.com.ua/school/510322/", 510322)</f>
        <v>510322</v>
      </c>
      <c r="B9490" s="3" t="s">
        <v>48188</v>
      </c>
      <c r="C9490" s="3" t="s">
        <v>31</v>
      </c>
      <c r="D9490" s="3" t="s">
        <v>175</v>
      </c>
      <c r="E9490" s="4" t="s">
        <v>22</v>
      </c>
      <c r="F9490" s="4" t="s">
        <v>48189</v>
      </c>
      <c r="G9490" s="4" t="s">
        <v>48190</v>
      </c>
      <c r="H9490" s="3" t="s">
        <v>46910</v>
      </c>
      <c r="I9490" s="3" t="s">
        <v>48191</v>
      </c>
      <c r="J9490" s="3" t="s">
        <v>25757</v>
      </c>
      <c r="K9490" s="3" t="s">
        <v>48192</v>
      </c>
      <c r="L9490" s="3"/>
      <c r="M9490" s="4"/>
      <c r="N9490" s="3" t="s">
        <v>37</v>
      </c>
      <c r="O9490" s="3" t="s">
        <v>38</v>
      </c>
      <c r="P9490" s="5">
        <v>9</v>
      </c>
      <c r="Q9490" s="5">
        <v>124</v>
      </c>
      <c r="R9490" s="5">
        <v>9</v>
      </c>
      <c r="S9490" s="5">
        <v>121</v>
      </c>
    </row>
    <row r="9491" spans="1:19" ht="28" x14ac:dyDescent="0.15">
      <c r="A9491" s="2">
        <f>HYPERLINK("https://open-school.uspishnemisto.com.ua/school/510323/", 510323)</f>
        <v>510323</v>
      </c>
      <c r="B9491" s="3" t="s">
        <v>48193</v>
      </c>
      <c r="C9491" s="3" t="s">
        <v>31</v>
      </c>
      <c r="D9491" s="3" t="s">
        <v>175</v>
      </c>
      <c r="E9491" s="4" t="s">
        <v>22</v>
      </c>
      <c r="F9491" s="4" t="s">
        <v>48194</v>
      </c>
      <c r="G9491" s="4" t="s">
        <v>48195</v>
      </c>
      <c r="H9491" s="3" t="s">
        <v>46910</v>
      </c>
      <c r="I9491" s="3" t="s">
        <v>48196</v>
      </c>
      <c r="J9491" s="3" t="s">
        <v>48197</v>
      </c>
      <c r="K9491" s="3" t="s">
        <v>48198</v>
      </c>
      <c r="L9491" s="3"/>
      <c r="M9491" s="4"/>
      <c r="N9491" s="3" t="s">
        <v>37</v>
      </c>
      <c r="O9491" s="3" t="s">
        <v>38</v>
      </c>
      <c r="P9491" s="5">
        <v>10</v>
      </c>
      <c r="Q9491" s="5">
        <v>175</v>
      </c>
      <c r="R9491" s="5">
        <v>10</v>
      </c>
      <c r="S9491" s="5">
        <v>162</v>
      </c>
    </row>
    <row r="9492" spans="1:19" ht="28" x14ac:dyDescent="0.15">
      <c r="A9492" s="2">
        <f>HYPERLINK("https://open-school.uspishnemisto.com.ua/school/510324/", 510324)</f>
        <v>510324</v>
      </c>
      <c r="B9492" s="3" t="s">
        <v>48199</v>
      </c>
      <c r="C9492" s="3" t="s">
        <v>31</v>
      </c>
      <c r="D9492" s="3" t="s">
        <v>32</v>
      </c>
      <c r="E9492" s="4" t="s">
        <v>22</v>
      </c>
      <c r="F9492" s="4" t="s">
        <v>48194</v>
      </c>
      <c r="G9492" s="4" t="s">
        <v>48195</v>
      </c>
      <c r="H9492" s="3" t="s">
        <v>46910</v>
      </c>
      <c r="I9492" s="3" t="s">
        <v>48196</v>
      </c>
      <c r="J9492" s="3" t="s">
        <v>48200</v>
      </c>
      <c r="K9492" s="3" t="s">
        <v>48201</v>
      </c>
      <c r="L9492" s="3"/>
      <c r="M9492" s="4"/>
      <c r="N9492" s="3" t="s">
        <v>37</v>
      </c>
      <c r="O9492" s="3" t="s">
        <v>38</v>
      </c>
      <c r="P9492" s="5">
        <v>21</v>
      </c>
      <c r="Q9492" s="5">
        <v>499</v>
      </c>
      <c r="R9492" s="5">
        <v>22</v>
      </c>
      <c r="S9492" s="5">
        <v>497</v>
      </c>
    </row>
    <row r="9493" spans="1:19" ht="28" x14ac:dyDescent="0.15">
      <c r="A9493" s="2">
        <f>HYPERLINK("https://open-school.uspishnemisto.com.ua/school/510325/", 510325)</f>
        <v>510325</v>
      </c>
      <c r="B9493" s="3" t="s">
        <v>48202</v>
      </c>
      <c r="C9493" s="3" t="s">
        <v>31</v>
      </c>
      <c r="D9493" s="3" t="s">
        <v>32</v>
      </c>
      <c r="E9493" s="4" t="s">
        <v>22</v>
      </c>
      <c r="F9493" s="4" t="s">
        <v>48194</v>
      </c>
      <c r="G9493" s="4" t="s">
        <v>48195</v>
      </c>
      <c r="H9493" s="3" t="s">
        <v>46910</v>
      </c>
      <c r="I9493" s="3" t="s">
        <v>48196</v>
      </c>
      <c r="J9493" s="3" t="s">
        <v>48203</v>
      </c>
      <c r="K9493" s="3" t="s">
        <v>48204</v>
      </c>
      <c r="L9493" s="3" t="s">
        <v>48205</v>
      </c>
      <c r="M9493" s="4"/>
      <c r="N9493" s="3" t="s">
        <v>37</v>
      </c>
      <c r="O9493" s="3" t="s">
        <v>38</v>
      </c>
      <c r="P9493" s="5">
        <v>18</v>
      </c>
      <c r="Q9493" s="5">
        <v>349</v>
      </c>
      <c r="R9493" s="5">
        <v>19</v>
      </c>
      <c r="S9493" s="5">
        <v>342</v>
      </c>
    </row>
    <row r="9494" spans="1:19" ht="28" x14ac:dyDescent="0.15">
      <c r="A9494" s="2">
        <f>HYPERLINK("https://open-school.uspishnemisto.com.ua/school/510326/", 510326)</f>
        <v>510326</v>
      </c>
      <c r="B9494" s="3" t="s">
        <v>48206</v>
      </c>
      <c r="C9494" s="3" t="s">
        <v>31</v>
      </c>
      <c r="D9494" s="3" t="s">
        <v>32</v>
      </c>
      <c r="E9494" s="4" t="s">
        <v>22</v>
      </c>
      <c r="F9494" s="4" t="s">
        <v>48207</v>
      </c>
      <c r="G9494" s="4" t="s">
        <v>48208</v>
      </c>
      <c r="H9494" s="3" t="s">
        <v>46910</v>
      </c>
      <c r="I9494" s="3" t="s">
        <v>36452</v>
      </c>
      <c r="J9494" s="3" t="s">
        <v>48209</v>
      </c>
      <c r="K9494" s="3" t="s">
        <v>48210</v>
      </c>
      <c r="L9494" s="3" t="s">
        <v>48211</v>
      </c>
      <c r="M9494" s="4"/>
      <c r="N9494" s="3" t="s">
        <v>37</v>
      </c>
      <c r="O9494" s="3" t="s">
        <v>38</v>
      </c>
      <c r="P9494" s="5">
        <v>11</v>
      </c>
      <c r="Q9494" s="5">
        <v>206</v>
      </c>
      <c r="R9494" s="5">
        <v>11</v>
      </c>
      <c r="S9494" s="5">
        <v>201</v>
      </c>
    </row>
    <row r="9495" spans="1:19" ht="28" x14ac:dyDescent="0.15">
      <c r="A9495" s="2">
        <f>HYPERLINK("https://open-school.uspishnemisto.com.ua/school/510327/", 510327)</f>
        <v>510327</v>
      </c>
      <c r="B9495" s="3" t="s">
        <v>48212</v>
      </c>
      <c r="C9495" s="3" t="s">
        <v>31</v>
      </c>
      <c r="D9495" s="3" t="s">
        <v>175</v>
      </c>
      <c r="E9495" s="4" t="s">
        <v>22</v>
      </c>
      <c r="F9495" s="4" t="s">
        <v>48213</v>
      </c>
      <c r="G9495" s="4" t="s">
        <v>48214</v>
      </c>
      <c r="H9495" s="3" t="s">
        <v>46910</v>
      </c>
      <c r="I9495" s="3" t="s">
        <v>48215</v>
      </c>
      <c r="J9495" s="3" t="s">
        <v>48216</v>
      </c>
      <c r="K9495" s="3" t="s">
        <v>48217</v>
      </c>
      <c r="L9495" s="3" t="s">
        <v>48218</v>
      </c>
      <c r="M9495" s="4"/>
      <c r="N9495" s="3" t="s">
        <v>37</v>
      </c>
      <c r="O9495" s="3" t="s">
        <v>38</v>
      </c>
      <c r="P9495" s="5">
        <v>8</v>
      </c>
      <c r="Q9495" s="5">
        <v>67</v>
      </c>
      <c r="R9495" s="5">
        <v>9</v>
      </c>
      <c r="S9495" s="5">
        <v>71</v>
      </c>
    </row>
    <row r="9496" spans="1:19" ht="28" x14ac:dyDescent="0.15">
      <c r="A9496" s="2">
        <f>HYPERLINK("https://open-school.uspishnemisto.com.ua/school/510328/", 510328)</f>
        <v>510328</v>
      </c>
      <c r="B9496" s="3" t="s">
        <v>48219</v>
      </c>
      <c r="C9496" s="3" t="s">
        <v>31</v>
      </c>
      <c r="D9496" s="3" t="s">
        <v>175</v>
      </c>
      <c r="E9496" s="4" t="s">
        <v>22</v>
      </c>
      <c r="F9496" s="4" t="s">
        <v>48220</v>
      </c>
      <c r="G9496" s="4" t="s">
        <v>48221</v>
      </c>
      <c r="H9496" s="3" t="s">
        <v>46910</v>
      </c>
      <c r="I9496" s="3" t="s">
        <v>48222</v>
      </c>
      <c r="J9496" s="3" t="s">
        <v>466</v>
      </c>
      <c r="K9496" s="3" t="s">
        <v>48223</v>
      </c>
      <c r="L9496" s="3"/>
      <c r="M9496" s="4"/>
      <c r="N9496" s="3" t="s">
        <v>37</v>
      </c>
      <c r="O9496" s="3" t="s">
        <v>38</v>
      </c>
      <c r="P9496" s="5">
        <v>9</v>
      </c>
      <c r="Q9496" s="5">
        <v>143</v>
      </c>
      <c r="R9496" s="5">
        <v>9</v>
      </c>
      <c r="S9496" s="5">
        <v>140</v>
      </c>
    </row>
    <row r="9497" spans="1:19" ht="28" x14ac:dyDescent="0.15">
      <c r="A9497" s="2">
        <f>HYPERLINK("https://open-school.uspishnemisto.com.ua/school/510329/", 510329)</f>
        <v>510329</v>
      </c>
      <c r="B9497" s="3" t="s">
        <v>48224</v>
      </c>
      <c r="C9497" s="3" t="s">
        <v>31</v>
      </c>
      <c r="D9497" s="3" t="s">
        <v>32</v>
      </c>
      <c r="E9497" s="4" t="s">
        <v>22</v>
      </c>
      <c r="F9497" s="4" t="s">
        <v>48225</v>
      </c>
      <c r="G9497" s="4" t="s">
        <v>48226</v>
      </c>
      <c r="H9497" s="3" t="s">
        <v>46910</v>
      </c>
      <c r="I9497" s="3" t="s">
        <v>48227</v>
      </c>
      <c r="J9497" s="3" t="s">
        <v>48228</v>
      </c>
      <c r="K9497" s="3" t="s">
        <v>48229</v>
      </c>
      <c r="L9497" s="3"/>
      <c r="M9497" s="4"/>
      <c r="N9497" s="3" t="s">
        <v>48230</v>
      </c>
      <c r="O9497" s="3" t="s">
        <v>48231</v>
      </c>
      <c r="P9497" s="5">
        <v>13</v>
      </c>
      <c r="Q9497" s="5">
        <v>217</v>
      </c>
      <c r="R9497" s="5">
        <v>14</v>
      </c>
      <c r="S9497" s="5">
        <v>218</v>
      </c>
    </row>
    <row r="9498" spans="1:19" ht="70" x14ac:dyDescent="0.15">
      <c r="A9498" s="2">
        <f>HYPERLINK("https://open-school.uspishnemisto.com.ua/school/510330/", 510330)</f>
        <v>510330</v>
      </c>
      <c r="B9498" s="3" t="s">
        <v>48232</v>
      </c>
      <c r="C9498" s="3" t="s">
        <v>54</v>
      </c>
      <c r="D9498" s="3" t="s">
        <v>60</v>
      </c>
      <c r="E9498" s="4" t="s">
        <v>22</v>
      </c>
      <c r="F9498" s="4" t="s">
        <v>48233</v>
      </c>
      <c r="G9498" s="4" t="s">
        <v>48234</v>
      </c>
      <c r="H9498" s="3" t="s">
        <v>46910</v>
      </c>
      <c r="I9498" s="3" t="s">
        <v>48235</v>
      </c>
      <c r="J9498" s="3" t="s">
        <v>22937</v>
      </c>
      <c r="K9498" s="3" t="s">
        <v>48236</v>
      </c>
      <c r="L9498" s="3"/>
      <c r="M9498" s="4"/>
      <c r="N9498" s="3"/>
      <c r="O9498" s="3"/>
      <c r="P9498" s="5">
        <v>0</v>
      </c>
      <c r="Q9498" s="5">
        <v>0</v>
      </c>
      <c r="R9498" s="5"/>
      <c r="S9498" s="5"/>
    </row>
    <row r="9499" spans="1:19" ht="84" x14ac:dyDescent="0.15">
      <c r="A9499" s="2">
        <f>HYPERLINK("https://open-school.uspishnemisto.com.ua/school/510331/", 510331)</f>
        <v>510331</v>
      </c>
      <c r="B9499" s="3" t="s">
        <v>48237</v>
      </c>
      <c r="C9499" s="3" t="s">
        <v>31</v>
      </c>
      <c r="D9499" s="3" t="s">
        <v>175</v>
      </c>
      <c r="E9499" s="4" t="s">
        <v>22</v>
      </c>
      <c r="F9499" s="4" t="s">
        <v>48238</v>
      </c>
      <c r="G9499" s="4" t="s">
        <v>48239</v>
      </c>
      <c r="H9499" s="3" t="s">
        <v>46910</v>
      </c>
      <c r="I9499" s="3" t="s">
        <v>11964</v>
      </c>
      <c r="J9499" s="3" t="s">
        <v>48240</v>
      </c>
      <c r="K9499" s="3" t="s">
        <v>48241</v>
      </c>
      <c r="L9499" s="3"/>
      <c r="M9499" s="4"/>
      <c r="N9499" s="3" t="s">
        <v>37</v>
      </c>
      <c r="O9499" s="3" t="s">
        <v>52</v>
      </c>
      <c r="P9499" s="5">
        <v>0</v>
      </c>
      <c r="Q9499" s="5">
        <v>0</v>
      </c>
      <c r="R9499" s="5">
        <v>11</v>
      </c>
      <c r="S9499" s="5">
        <v>246</v>
      </c>
    </row>
    <row r="9500" spans="1:19" ht="28" x14ac:dyDescent="0.15">
      <c r="A9500" s="2">
        <f>HYPERLINK("https://open-school.uspishnemisto.com.ua/school/510332/", 510332)</f>
        <v>510332</v>
      </c>
      <c r="B9500" s="3" t="s">
        <v>48242</v>
      </c>
      <c r="C9500" s="3" t="s">
        <v>31</v>
      </c>
      <c r="D9500" s="3" t="s">
        <v>32</v>
      </c>
      <c r="E9500" s="4" t="s">
        <v>22</v>
      </c>
      <c r="F9500" s="4" t="s">
        <v>48243</v>
      </c>
      <c r="G9500" s="4" t="s">
        <v>48244</v>
      </c>
      <c r="H9500" s="3" t="s">
        <v>46910</v>
      </c>
      <c r="I9500" s="3" t="s">
        <v>48245</v>
      </c>
      <c r="J9500" s="3" t="s">
        <v>48246</v>
      </c>
      <c r="K9500" s="3" t="s">
        <v>48247</v>
      </c>
      <c r="L9500" s="3" t="s">
        <v>48248</v>
      </c>
      <c r="M9500" s="4"/>
      <c r="N9500" s="3" t="s">
        <v>37</v>
      </c>
      <c r="O9500" s="3" t="s">
        <v>38</v>
      </c>
      <c r="P9500" s="5">
        <v>18</v>
      </c>
      <c r="Q9500" s="5">
        <v>331</v>
      </c>
      <c r="R9500" s="5">
        <v>17</v>
      </c>
      <c r="S9500" s="5">
        <v>325</v>
      </c>
    </row>
    <row r="9501" spans="1:19" ht="42" x14ac:dyDescent="0.15">
      <c r="A9501" s="2">
        <f>HYPERLINK("https://open-school.uspishnemisto.com.ua/school/510333/", 510333)</f>
        <v>510333</v>
      </c>
      <c r="B9501" s="3" t="s">
        <v>48249</v>
      </c>
      <c r="C9501" s="3" t="s">
        <v>54</v>
      </c>
      <c r="D9501" s="3" t="s">
        <v>175</v>
      </c>
      <c r="E9501" s="4" t="s">
        <v>22</v>
      </c>
      <c r="F9501" s="4" t="s">
        <v>47583</v>
      </c>
      <c r="G9501" s="4" t="s">
        <v>48250</v>
      </c>
      <c r="H9501" s="3" t="s">
        <v>46910</v>
      </c>
      <c r="I9501" s="3" t="s">
        <v>48251</v>
      </c>
      <c r="J9501" s="3" t="s">
        <v>48252</v>
      </c>
      <c r="K9501" s="3" t="s">
        <v>48253</v>
      </c>
      <c r="L9501" s="3"/>
      <c r="M9501" s="4"/>
      <c r="N9501" s="3" t="s">
        <v>37</v>
      </c>
      <c r="O9501" s="3" t="s">
        <v>38</v>
      </c>
      <c r="P9501" s="5">
        <v>6</v>
      </c>
      <c r="Q9501" s="5">
        <v>53</v>
      </c>
      <c r="R9501" s="5">
        <v>6</v>
      </c>
      <c r="S9501" s="5">
        <v>51</v>
      </c>
    </row>
    <row r="9502" spans="1:19" ht="42" x14ac:dyDescent="0.15">
      <c r="A9502" s="2">
        <f>HYPERLINK("https://open-school.uspishnemisto.com.ua/school/510334/", 510334)</f>
        <v>510334</v>
      </c>
      <c r="B9502" s="3" t="s">
        <v>48254</v>
      </c>
      <c r="C9502" s="3" t="s">
        <v>54</v>
      </c>
      <c r="D9502" s="3" t="s">
        <v>175</v>
      </c>
      <c r="E9502" s="4" t="s">
        <v>22</v>
      </c>
      <c r="F9502" s="4" t="s">
        <v>48255</v>
      </c>
      <c r="G9502" s="4" t="s">
        <v>48256</v>
      </c>
      <c r="H9502" s="3" t="s">
        <v>46910</v>
      </c>
      <c r="I9502" s="3" t="s">
        <v>48257</v>
      </c>
      <c r="J9502" s="3" t="s">
        <v>48258</v>
      </c>
      <c r="K9502" s="3" t="s">
        <v>48259</v>
      </c>
      <c r="L9502" s="3"/>
      <c r="M9502" s="4"/>
      <c r="N9502" s="3" t="s">
        <v>37</v>
      </c>
      <c r="O9502" s="3" t="s">
        <v>967</v>
      </c>
      <c r="P9502" s="5">
        <v>9</v>
      </c>
      <c r="Q9502" s="5">
        <v>76</v>
      </c>
      <c r="R9502" s="5">
        <v>9</v>
      </c>
      <c r="S9502" s="5">
        <v>69</v>
      </c>
    </row>
    <row r="9503" spans="1:19" ht="42" x14ac:dyDescent="0.15">
      <c r="A9503" s="2">
        <f>HYPERLINK("https://open-school.uspishnemisto.com.ua/school/510335/", 510335)</f>
        <v>510335</v>
      </c>
      <c r="B9503" s="3" t="s">
        <v>48260</v>
      </c>
      <c r="C9503" s="3" t="s">
        <v>54</v>
      </c>
      <c r="D9503" s="3" t="s">
        <v>32</v>
      </c>
      <c r="E9503" s="4" t="s">
        <v>22</v>
      </c>
      <c r="F9503" s="4" t="s">
        <v>48261</v>
      </c>
      <c r="G9503" s="4" t="s">
        <v>48262</v>
      </c>
      <c r="H9503" s="3" t="s">
        <v>46910</v>
      </c>
      <c r="I9503" s="3" t="s">
        <v>1740</v>
      </c>
      <c r="J9503" s="3" t="s">
        <v>48263</v>
      </c>
      <c r="K9503" s="3" t="s">
        <v>48264</v>
      </c>
      <c r="L9503" s="3"/>
      <c r="M9503" s="4"/>
      <c r="N9503" s="3" t="s">
        <v>37</v>
      </c>
      <c r="O9503" s="3" t="s">
        <v>38</v>
      </c>
      <c r="P9503" s="5">
        <v>11</v>
      </c>
      <c r="Q9503" s="5">
        <v>137</v>
      </c>
      <c r="R9503" s="5">
        <v>11</v>
      </c>
      <c r="S9503" s="5">
        <v>133</v>
      </c>
    </row>
    <row r="9504" spans="1:19" ht="28" x14ac:dyDescent="0.15">
      <c r="A9504" s="2">
        <f>HYPERLINK("https://open-school.uspishnemisto.com.ua/school/510336/", 510336)</f>
        <v>510336</v>
      </c>
      <c r="B9504" s="3" t="s">
        <v>48265</v>
      </c>
      <c r="C9504" s="3" t="s">
        <v>31</v>
      </c>
      <c r="D9504" s="3" t="s">
        <v>175</v>
      </c>
      <c r="E9504" s="4" t="s">
        <v>22</v>
      </c>
      <c r="F9504" s="4" t="s">
        <v>48266</v>
      </c>
      <c r="G9504" s="4" t="s">
        <v>48267</v>
      </c>
      <c r="H9504" s="3" t="s">
        <v>46910</v>
      </c>
      <c r="I9504" s="3" t="s">
        <v>48268</v>
      </c>
      <c r="J9504" s="3" t="s">
        <v>48269</v>
      </c>
      <c r="K9504" s="3" t="s">
        <v>48270</v>
      </c>
      <c r="L9504" s="3"/>
      <c r="M9504" s="4"/>
      <c r="N9504" s="3" t="s">
        <v>37</v>
      </c>
      <c r="O9504" s="3" t="s">
        <v>38</v>
      </c>
      <c r="P9504" s="5">
        <v>9</v>
      </c>
      <c r="Q9504" s="5">
        <v>85</v>
      </c>
      <c r="R9504" s="5">
        <v>7</v>
      </c>
      <c r="S9504" s="5">
        <v>78</v>
      </c>
    </row>
    <row r="9505" spans="1:19" ht="28" x14ac:dyDescent="0.15">
      <c r="A9505" s="2">
        <f>HYPERLINK("https://open-school.uspishnemisto.com.ua/school/510337/", 510337)</f>
        <v>510337</v>
      </c>
      <c r="B9505" s="3" t="s">
        <v>48271</v>
      </c>
      <c r="C9505" s="3" t="s">
        <v>31</v>
      </c>
      <c r="D9505" s="3" t="s">
        <v>175</v>
      </c>
      <c r="E9505" s="4" t="s">
        <v>22</v>
      </c>
      <c r="F9505" s="4" t="s">
        <v>48272</v>
      </c>
      <c r="G9505" s="4" t="s">
        <v>48273</v>
      </c>
      <c r="H9505" s="3" t="s">
        <v>46910</v>
      </c>
      <c r="I9505" s="3" t="s">
        <v>12478</v>
      </c>
      <c r="J9505" s="3" t="s">
        <v>48274</v>
      </c>
      <c r="K9505" s="3" t="s">
        <v>48275</v>
      </c>
      <c r="L9505" s="3"/>
      <c r="M9505" s="4"/>
      <c r="N9505" s="3" t="s">
        <v>37</v>
      </c>
      <c r="O9505" s="3" t="s">
        <v>38</v>
      </c>
      <c r="P9505" s="5">
        <v>9</v>
      </c>
      <c r="Q9505" s="5">
        <v>93</v>
      </c>
      <c r="R9505" s="5">
        <v>9</v>
      </c>
      <c r="S9505" s="5">
        <v>104</v>
      </c>
    </row>
    <row r="9506" spans="1:19" ht="28" x14ac:dyDescent="0.15">
      <c r="A9506" s="2">
        <f>HYPERLINK("https://open-school.uspishnemisto.com.ua/school/510338/", 510338)</f>
        <v>510338</v>
      </c>
      <c r="B9506" s="3" t="s">
        <v>48276</v>
      </c>
      <c r="C9506" s="3" t="s">
        <v>31</v>
      </c>
      <c r="D9506" s="3" t="s">
        <v>175</v>
      </c>
      <c r="E9506" s="4" t="s">
        <v>22</v>
      </c>
      <c r="F9506" s="4" t="s">
        <v>48277</v>
      </c>
      <c r="G9506" s="4" t="s">
        <v>48278</v>
      </c>
      <c r="H9506" s="3" t="s">
        <v>46910</v>
      </c>
      <c r="I9506" s="3" t="s">
        <v>21500</v>
      </c>
      <c r="J9506" s="3" t="s">
        <v>17237</v>
      </c>
      <c r="K9506" s="3" t="s">
        <v>48279</v>
      </c>
      <c r="L9506" s="3"/>
      <c r="M9506" s="4"/>
      <c r="N9506" s="3" t="s">
        <v>37</v>
      </c>
      <c r="O9506" s="3" t="s">
        <v>38</v>
      </c>
      <c r="P9506" s="5">
        <v>9</v>
      </c>
      <c r="Q9506" s="5">
        <v>68</v>
      </c>
      <c r="R9506" s="5">
        <v>9</v>
      </c>
      <c r="S9506" s="5">
        <v>74</v>
      </c>
    </row>
    <row r="9507" spans="1:19" ht="42" x14ac:dyDescent="0.15">
      <c r="A9507" s="2">
        <f>HYPERLINK("https://open-school.uspishnemisto.com.ua/school/510339/", 510339)</f>
        <v>510339</v>
      </c>
      <c r="B9507" s="3" t="s">
        <v>48280</v>
      </c>
      <c r="C9507" s="3" t="s">
        <v>31</v>
      </c>
      <c r="D9507" s="3" t="s">
        <v>32</v>
      </c>
      <c r="E9507" s="4" t="s">
        <v>22</v>
      </c>
      <c r="F9507" s="4" t="s">
        <v>48281</v>
      </c>
      <c r="G9507" s="4" t="s">
        <v>48282</v>
      </c>
      <c r="H9507" s="3" t="s">
        <v>46910</v>
      </c>
      <c r="I9507" s="3" t="s">
        <v>24871</v>
      </c>
      <c r="J9507" s="3" t="s">
        <v>946</v>
      </c>
      <c r="K9507" s="3" t="s">
        <v>48283</v>
      </c>
      <c r="L9507" s="3"/>
      <c r="M9507" s="4"/>
      <c r="N9507" s="3" t="s">
        <v>37</v>
      </c>
      <c r="O9507" s="3" t="s">
        <v>38</v>
      </c>
      <c r="P9507" s="5">
        <v>11</v>
      </c>
      <c r="Q9507" s="5">
        <v>143</v>
      </c>
      <c r="R9507" s="5">
        <v>11</v>
      </c>
      <c r="S9507" s="5">
        <v>169</v>
      </c>
    </row>
    <row r="9508" spans="1:19" ht="28" x14ac:dyDescent="0.15">
      <c r="A9508" s="2">
        <f>HYPERLINK("https://open-school.uspishnemisto.com.ua/school/510340/", 510340)</f>
        <v>510340</v>
      </c>
      <c r="B9508" s="3" t="s">
        <v>48284</v>
      </c>
      <c r="C9508" s="3" t="s">
        <v>31</v>
      </c>
      <c r="D9508" s="3" t="s">
        <v>60</v>
      </c>
      <c r="E9508" s="4" t="s">
        <v>22</v>
      </c>
      <c r="F9508" s="4" t="s">
        <v>48285</v>
      </c>
      <c r="G9508" s="4" t="s">
        <v>48286</v>
      </c>
      <c r="H9508" s="3" t="s">
        <v>46910</v>
      </c>
      <c r="I9508" s="3" t="s">
        <v>48287</v>
      </c>
      <c r="J9508" s="3" t="s">
        <v>466</v>
      </c>
      <c r="K9508" s="3"/>
      <c r="L9508" s="3"/>
      <c r="M9508" s="4"/>
      <c r="N9508" s="3" t="s">
        <v>37</v>
      </c>
      <c r="O9508" s="3" t="s">
        <v>52</v>
      </c>
      <c r="P9508" s="5">
        <v>1</v>
      </c>
      <c r="Q9508" s="5">
        <v>14</v>
      </c>
      <c r="R9508" s="5">
        <v>1</v>
      </c>
      <c r="S9508" s="5">
        <v>16</v>
      </c>
    </row>
    <row r="9509" spans="1:19" ht="28" x14ac:dyDescent="0.15">
      <c r="A9509" s="2">
        <f>HYPERLINK("https://open-school.uspishnemisto.com.ua/school/510341/", 510341)</f>
        <v>510341</v>
      </c>
      <c r="B9509" s="3" t="s">
        <v>48288</v>
      </c>
      <c r="C9509" s="3" t="s">
        <v>31</v>
      </c>
      <c r="D9509" s="3" t="s">
        <v>32</v>
      </c>
      <c r="E9509" s="4" t="s">
        <v>22</v>
      </c>
      <c r="F9509" s="4" t="s">
        <v>48289</v>
      </c>
      <c r="G9509" s="4" t="s">
        <v>48290</v>
      </c>
      <c r="H9509" s="3" t="s">
        <v>46910</v>
      </c>
      <c r="I9509" s="3" t="s">
        <v>48291</v>
      </c>
      <c r="J9509" s="3" t="s">
        <v>8007</v>
      </c>
      <c r="K9509" s="3" t="s">
        <v>48292</v>
      </c>
      <c r="L9509" s="3"/>
      <c r="M9509" s="4"/>
      <c r="N9509" s="3" t="s">
        <v>967</v>
      </c>
      <c r="O9509" s="3" t="s">
        <v>2740</v>
      </c>
      <c r="P9509" s="5">
        <v>10</v>
      </c>
      <c r="Q9509" s="5">
        <v>161</v>
      </c>
      <c r="R9509" s="5">
        <v>11</v>
      </c>
      <c r="S9509" s="5">
        <v>160</v>
      </c>
    </row>
    <row r="9510" spans="1:19" ht="28" x14ac:dyDescent="0.15">
      <c r="A9510" s="2">
        <f>HYPERLINK("https://open-school.uspishnemisto.com.ua/school/510342/", 510342)</f>
        <v>510342</v>
      </c>
      <c r="B9510" s="3" t="s">
        <v>48293</v>
      </c>
      <c r="C9510" s="3" t="s">
        <v>31</v>
      </c>
      <c r="D9510" s="3" t="s">
        <v>175</v>
      </c>
      <c r="E9510" s="4" t="s">
        <v>22</v>
      </c>
      <c r="F9510" s="4" t="s">
        <v>48294</v>
      </c>
      <c r="G9510" s="4" t="s">
        <v>48295</v>
      </c>
      <c r="H9510" s="3" t="s">
        <v>46910</v>
      </c>
      <c r="I9510" s="3" t="s">
        <v>11605</v>
      </c>
      <c r="J9510" s="3" t="s">
        <v>8232</v>
      </c>
      <c r="K9510" s="3" t="s">
        <v>48296</v>
      </c>
      <c r="L9510" s="3"/>
      <c r="M9510" s="4"/>
      <c r="N9510" s="3" t="s">
        <v>37</v>
      </c>
      <c r="O9510" s="3" t="s">
        <v>70</v>
      </c>
      <c r="P9510" s="5">
        <v>9</v>
      </c>
      <c r="Q9510" s="5">
        <v>110</v>
      </c>
      <c r="R9510" s="5">
        <v>9</v>
      </c>
      <c r="S9510" s="5">
        <v>107</v>
      </c>
    </row>
    <row r="9511" spans="1:19" ht="28" x14ac:dyDescent="0.15">
      <c r="A9511" s="2">
        <f>HYPERLINK("https://open-school.uspishnemisto.com.ua/school/510343/", 510343)</f>
        <v>510343</v>
      </c>
      <c r="B9511" s="3" t="s">
        <v>48297</v>
      </c>
      <c r="C9511" s="3" t="s">
        <v>31</v>
      </c>
      <c r="D9511" s="3" t="s">
        <v>175</v>
      </c>
      <c r="E9511" s="4" t="s">
        <v>22</v>
      </c>
      <c r="F9511" s="4" t="s">
        <v>48298</v>
      </c>
      <c r="G9511" s="4" t="s">
        <v>48299</v>
      </c>
      <c r="H9511" s="3" t="s">
        <v>46910</v>
      </c>
      <c r="I9511" s="3" t="s">
        <v>48300</v>
      </c>
      <c r="J9511" s="3" t="s">
        <v>48301</v>
      </c>
      <c r="K9511" s="3" t="s">
        <v>48302</v>
      </c>
      <c r="L9511" s="3"/>
      <c r="M9511" s="4"/>
      <c r="N9511" s="3" t="s">
        <v>37</v>
      </c>
      <c r="O9511" s="3" t="s">
        <v>38</v>
      </c>
      <c r="P9511" s="5">
        <v>9</v>
      </c>
      <c r="Q9511" s="5">
        <v>90</v>
      </c>
      <c r="R9511" s="5">
        <v>9</v>
      </c>
      <c r="S9511" s="5">
        <v>91</v>
      </c>
    </row>
    <row r="9512" spans="1:19" ht="28" x14ac:dyDescent="0.15">
      <c r="A9512" s="2">
        <f>HYPERLINK("https://open-school.uspishnemisto.com.ua/school/510344/", 510344)</f>
        <v>510344</v>
      </c>
      <c r="B9512" s="3" t="s">
        <v>48303</v>
      </c>
      <c r="C9512" s="3" t="s">
        <v>31</v>
      </c>
      <c r="D9512" s="3" t="s">
        <v>175</v>
      </c>
      <c r="E9512" s="4" t="s">
        <v>22</v>
      </c>
      <c r="F9512" s="4"/>
      <c r="G9512" s="4" t="s">
        <v>48304</v>
      </c>
      <c r="H9512" s="3" t="s">
        <v>46910</v>
      </c>
      <c r="I9512" s="3" t="s">
        <v>11355</v>
      </c>
      <c r="J9512" s="3" t="s">
        <v>48305</v>
      </c>
      <c r="K9512" s="3" t="s">
        <v>48306</v>
      </c>
      <c r="L9512" s="3"/>
      <c r="M9512" s="4"/>
      <c r="N9512" s="3" t="s">
        <v>37</v>
      </c>
      <c r="O9512" s="3" t="s">
        <v>70</v>
      </c>
      <c r="P9512" s="5">
        <v>9</v>
      </c>
      <c r="Q9512" s="5">
        <v>60</v>
      </c>
      <c r="R9512" s="5">
        <v>8</v>
      </c>
      <c r="S9512" s="5">
        <v>59</v>
      </c>
    </row>
    <row r="9513" spans="1:19" ht="42" x14ac:dyDescent="0.15">
      <c r="A9513" s="2">
        <f>HYPERLINK("https://open-school.uspishnemisto.com.ua/school/510345/", 510345)</f>
        <v>510345</v>
      </c>
      <c r="B9513" s="3" t="s">
        <v>48307</v>
      </c>
      <c r="C9513" s="3" t="s">
        <v>54</v>
      </c>
      <c r="D9513" s="3" t="s">
        <v>32</v>
      </c>
      <c r="E9513" s="4" t="s">
        <v>22</v>
      </c>
      <c r="F9513" s="4" t="s">
        <v>48308</v>
      </c>
      <c r="G9513" s="4" t="s">
        <v>48309</v>
      </c>
      <c r="H9513" s="3" t="s">
        <v>46910</v>
      </c>
      <c r="I9513" s="3" t="s">
        <v>48310</v>
      </c>
      <c r="J9513" s="3" t="s">
        <v>1360</v>
      </c>
      <c r="K9513" s="3" t="s">
        <v>48311</v>
      </c>
      <c r="L9513" s="3"/>
      <c r="M9513" s="4" t="s">
        <v>48312</v>
      </c>
      <c r="N9513" s="3" t="s">
        <v>37</v>
      </c>
      <c r="O9513" s="3" t="s">
        <v>197</v>
      </c>
      <c r="P9513" s="5">
        <v>31</v>
      </c>
      <c r="Q9513" s="5">
        <v>714</v>
      </c>
      <c r="R9513" s="5">
        <v>29</v>
      </c>
      <c r="S9513" s="5">
        <v>692</v>
      </c>
    </row>
    <row r="9514" spans="1:19" ht="28" x14ac:dyDescent="0.15">
      <c r="A9514" s="2">
        <f>HYPERLINK("https://open-school.uspishnemisto.com.ua/school/510346/", 510346)</f>
        <v>510346</v>
      </c>
      <c r="B9514" s="3" t="s">
        <v>48313</v>
      </c>
      <c r="C9514" s="3" t="s">
        <v>31</v>
      </c>
      <c r="D9514" s="3" t="s">
        <v>32</v>
      </c>
      <c r="E9514" s="4" t="s">
        <v>22</v>
      </c>
      <c r="F9514" s="4" t="s">
        <v>48314</v>
      </c>
      <c r="G9514" s="4" t="s">
        <v>48315</v>
      </c>
      <c r="H9514" s="3" t="s">
        <v>46910</v>
      </c>
      <c r="I9514" s="3" t="s">
        <v>48316</v>
      </c>
      <c r="J9514" s="3" t="s">
        <v>48317</v>
      </c>
      <c r="K9514" s="3" t="s">
        <v>48318</v>
      </c>
      <c r="L9514" s="3"/>
      <c r="M9514" s="4"/>
      <c r="N9514" s="3" t="s">
        <v>37</v>
      </c>
      <c r="O9514" s="3" t="s">
        <v>38</v>
      </c>
      <c r="P9514" s="5">
        <v>11</v>
      </c>
      <c r="Q9514" s="5">
        <v>130</v>
      </c>
      <c r="R9514" s="5">
        <v>11</v>
      </c>
      <c r="S9514" s="5">
        <v>138</v>
      </c>
    </row>
    <row r="9515" spans="1:19" ht="28" x14ac:dyDescent="0.15">
      <c r="A9515" s="2">
        <f>HYPERLINK("https://open-school.uspishnemisto.com.ua/school/510347/", 510347)</f>
        <v>510347</v>
      </c>
      <c r="B9515" s="3" t="s">
        <v>48319</v>
      </c>
      <c r="C9515" s="3" t="s">
        <v>31</v>
      </c>
      <c r="D9515" s="3" t="s">
        <v>32</v>
      </c>
      <c r="E9515" s="4" t="s">
        <v>22</v>
      </c>
      <c r="F9515" s="4" t="s">
        <v>48320</v>
      </c>
      <c r="G9515" s="4" t="s">
        <v>48321</v>
      </c>
      <c r="H9515" s="3" t="s">
        <v>46910</v>
      </c>
      <c r="I9515" s="3" t="s">
        <v>48322</v>
      </c>
      <c r="J9515" s="3" t="s">
        <v>48323</v>
      </c>
      <c r="K9515" s="3" t="s">
        <v>48324</v>
      </c>
      <c r="L9515" s="3" t="s">
        <v>48325</v>
      </c>
      <c r="M9515" s="4"/>
      <c r="N9515" s="3" t="s">
        <v>37</v>
      </c>
      <c r="O9515" s="3" t="s">
        <v>38</v>
      </c>
      <c r="P9515" s="5">
        <v>12</v>
      </c>
      <c r="Q9515" s="5">
        <v>201</v>
      </c>
      <c r="R9515" s="5">
        <v>12</v>
      </c>
      <c r="S9515" s="5">
        <v>206</v>
      </c>
    </row>
    <row r="9516" spans="1:19" ht="28" x14ac:dyDescent="0.15">
      <c r="A9516" s="2">
        <f>HYPERLINK("https://open-school.uspishnemisto.com.ua/school/510348/", 510348)</f>
        <v>510348</v>
      </c>
      <c r="B9516" s="3" t="s">
        <v>48326</v>
      </c>
      <c r="C9516" s="3" t="s">
        <v>31</v>
      </c>
      <c r="D9516" s="3" t="s">
        <v>32</v>
      </c>
      <c r="E9516" s="4" t="s">
        <v>22</v>
      </c>
      <c r="F9516" s="4" t="s">
        <v>48327</v>
      </c>
      <c r="G9516" s="4" t="s">
        <v>48328</v>
      </c>
      <c r="H9516" s="3" t="s">
        <v>46910</v>
      </c>
      <c r="I9516" s="3" t="s">
        <v>48329</v>
      </c>
      <c r="J9516" s="3" t="s">
        <v>48330</v>
      </c>
      <c r="K9516" s="3" t="s">
        <v>48331</v>
      </c>
      <c r="L9516" s="3" t="s">
        <v>48332</v>
      </c>
      <c r="M9516" s="4"/>
      <c r="N9516" s="3" t="s">
        <v>37</v>
      </c>
      <c r="O9516" s="3" t="s">
        <v>46</v>
      </c>
      <c r="P9516" s="5">
        <v>20</v>
      </c>
      <c r="Q9516" s="5">
        <v>427</v>
      </c>
      <c r="R9516" s="5">
        <v>20</v>
      </c>
      <c r="S9516" s="5">
        <v>420</v>
      </c>
    </row>
    <row r="9517" spans="1:19" ht="28" x14ac:dyDescent="0.15">
      <c r="A9517" s="2">
        <f>HYPERLINK("https://open-school.uspishnemisto.com.ua/school/510349/", 510349)</f>
        <v>510349</v>
      </c>
      <c r="B9517" s="3" t="s">
        <v>48333</v>
      </c>
      <c r="C9517" s="3" t="s">
        <v>54</v>
      </c>
      <c r="D9517" s="3" t="s">
        <v>32</v>
      </c>
      <c r="E9517" s="4" t="s">
        <v>22</v>
      </c>
      <c r="F9517" s="4" t="s">
        <v>48327</v>
      </c>
      <c r="G9517" s="4" t="s">
        <v>48328</v>
      </c>
      <c r="H9517" s="3" t="s">
        <v>46910</v>
      </c>
      <c r="I9517" s="3" t="s">
        <v>48329</v>
      </c>
      <c r="J9517" s="3" t="s">
        <v>48334</v>
      </c>
      <c r="K9517" s="3" t="s">
        <v>48335</v>
      </c>
      <c r="L9517" s="3"/>
      <c r="M9517" s="4"/>
      <c r="N9517" s="3" t="s">
        <v>37</v>
      </c>
      <c r="O9517" s="3" t="s">
        <v>70</v>
      </c>
      <c r="P9517" s="5">
        <v>20</v>
      </c>
      <c r="Q9517" s="5">
        <v>328</v>
      </c>
      <c r="R9517" s="5">
        <v>20</v>
      </c>
      <c r="S9517" s="5">
        <v>332</v>
      </c>
    </row>
    <row r="9518" spans="1:19" ht="28" x14ac:dyDescent="0.15">
      <c r="A9518" s="2">
        <f>HYPERLINK("https://open-school.uspishnemisto.com.ua/school/510350/", 510350)</f>
        <v>510350</v>
      </c>
      <c r="B9518" s="3" t="s">
        <v>48336</v>
      </c>
      <c r="C9518" s="3" t="s">
        <v>31</v>
      </c>
      <c r="D9518" s="3" t="s">
        <v>175</v>
      </c>
      <c r="E9518" s="4" t="s">
        <v>22</v>
      </c>
      <c r="F9518" s="4" t="s">
        <v>48337</v>
      </c>
      <c r="G9518" s="4" t="s">
        <v>48338</v>
      </c>
      <c r="H9518" s="3" t="s">
        <v>46910</v>
      </c>
      <c r="I9518" s="3" t="s">
        <v>14501</v>
      </c>
      <c r="J9518" s="3" t="s">
        <v>48339</v>
      </c>
      <c r="K9518" s="3" t="s">
        <v>48340</v>
      </c>
      <c r="L9518" s="3"/>
      <c r="M9518" s="4"/>
      <c r="N9518" s="3" t="s">
        <v>37</v>
      </c>
      <c r="O9518" s="3" t="s">
        <v>38</v>
      </c>
      <c r="P9518" s="5">
        <v>9</v>
      </c>
      <c r="Q9518" s="5">
        <v>100</v>
      </c>
      <c r="R9518" s="5">
        <v>9</v>
      </c>
      <c r="S9518" s="5">
        <v>102</v>
      </c>
    </row>
    <row r="9519" spans="1:19" ht="56" x14ac:dyDescent="0.15">
      <c r="A9519" s="2">
        <f>HYPERLINK("https://open-school.uspishnemisto.com.ua/school/510351/", 510351)</f>
        <v>510351</v>
      </c>
      <c r="B9519" s="3" t="s">
        <v>48341</v>
      </c>
      <c r="C9519" s="3" t="s">
        <v>54</v>
      </c>
      <c r="D9519" s="3" t="s">
        <v>32</v>
      </c>
      <c r="E9519" s="4" t="s">
        <v>22</v>
      </c>
      <c r="F9519" s="4" t="s">
        <v>48342</v>
      </c>
      <c r="G9519" s="4" t="s">
        <v>48343</v>
      </c>
      <c r="H9519" s="3" t="s">
        <v>46910</v>
      </c>
      <c r="I9519" s="3" t="s">
        <v>5519</v>
      </c>
      <c r="J9519" s="3" t="s">
        <v>792</v>
      </c>
      <c r="K9519" s="3" t="s">
        <v>48344</v>
      </c>
      <c r="L9519" s="3"/>
      <c r="M9519" s="4"/>
      <c r="N9519" s="3" t="s">
        <v>37</v>
      </c>
      <c r="O9519" s="3" t="s">
        <v>70</v>
      </c>
      <c r="P9519" s="5">
        <v>34</v>
      </c>
      <c r="Q9519" s="5">
        <v>558</v>
      </c>
      <c r="R9519" s="5">
        <v>34</v>
      </c>
      <c r="S9519" s="5">
        <v>585</v>
      </c>
    </row>
    <row r="9520" spans="1:19" ht="28" x14ac:dyDescent="0.15">
      <c r="A9520" s="2">
        <f>HYPERLINK("https://open-school.uspishnemisto.com.ua/school/510352/", 510352)</f>
        <v>510352</v>
      </c>
      <c r="B9520" s="3" t="s">
        <v>48345</v>
      </c>
      <c r="C9520" s="3" t="s">
        <v>31</v>
      </c>
      <c r="D9520" s="3" t="s">
        <v>32</v>
      </c>
      <c r="E9520" s="4" t="s">
        <v>22</v>
      </c>
      <c r="F9520" s="4" t="s">
        <v>48346</v>
      </c>
      <c r="G9520" s="4" t="s">
        <v>48347</v>
      </c>
      <c r="H9520" s="3" t="s">
        <v>46910</v>
      </c>
      <c r="I9520" s="3" t="s">
        <v>48348</v>
      </c>
      <c r="J9520" s="3" t="s">
        <v>48349</v>
      </c>
      <c r="K9520" s="3"/>
      <c r="L9520" s="3"/>
      <c r="M9520" s="4"/>
      <c r="N9520" s="3" t="s">
        <v>128</v>
      </c>
      <c r="O9520" s="3" t="s">
        <v>38</v>
      </c>
      <c r="P9520" s="5">
        <v>19</v>
      </c>
      <c r="Q9520" s="5">
        <v>363</v>
      </c>
      <c r="R9520" s="5">
        <v>17</v>
      </c>
      <c r="S9520" s="5">
        <v>337</v>
      </c>
    </row>
    <row r="9521" spans="1:19" ht="28" x14ac:dyDescent="0.15">
      <c r="A9521" s="2">
        <f>HYPERLINK("https://open-school.uspishnemisto.com.ua/school/510353/", 510353)</f>
        <v>510353</v>
      </c>
      <c r="B9521" s="3" t="s">
        <v>48350</v>
      </c>
      <c r="C9521" s="3" t="s">
        <v>31</v>
      </c>
      <c r="D9521" s="3" t="s">
        <v>32</v>
      </c>
      <c r="E9521" s="4" t="s">
        <v>22</v>
      </c>
      <c r="F9521" s="4" t="s">
        <v>48351</v>
      </c>
      <c r="G9521" s="4" t="s">
        <v>48352</v>
      </c>
      <c r="H9521" s="3" t="s">
        <v>46910</v>
      </c>
      <c r="I9521" s="3" t="s">
        <v>48353</v>
      </c>
      <c r="J9521" s="3" t="s">
        <v>566</v>
      </c>
      <c r="K9521" s="3" t="s">
        <v>48354</v>
      </c>
      <c r="L9521" s="3"/>
      <c r="M9521" s="4"/>
      <c r="N9521" s="3" t="s">
        <v>37</v>
      </c>
      <c r="O9521" s="3" t="s">
        <v>70</v>
      </c>
      <c r="P9521" s="5">
        <v>12</v>
      </c>
      <c r="Q9521" s="5">
        <v>270</v>
      </c>
      <c r="R9521" s="5">
        <v>12</v>
      </c>
      <c r="S9521" s="5">
        <v>261</v>
      </c>
    </row>
    <row r="9522" spans="1:19" ht="28" x14ac:dyDescent="0.15">
      <c r="A9522" s="2">
        <f>HYPERLINK("https://open-school.uspishnemisto.com.ua/school/510354/", 510354)</f>
        <v>510354</v>
      </c>
      <c r="B9522" s="3" t="s">
        <v>48355</v>
      </c>
      <c r="C9522" s="3" t="s">
        <v>31</v>
      </c>
      <c r="D9522" s="3" t="s">
        <v>32</v>
      </c>
      <c r="E9522" s="4" t="s">
        <v>22</v>
      </c>
      <c r="F9522" s="4" t="s">
        <v>48356</v>
      </c>
      <c r="G9522" s="4" t="s">
        <v>48357</v>
      </c>
      <c r="H9522" s="3" t="s">
        <v>46910</v>
      </c>
      <c r="I9522" s="3" t="s">
        <v>48358</v>
      </c>
      <c r="J9522" s="3" t="s">
        <v>48359</v>
      </c>
      <c r="K9522" s="3" t="s">
        <v>48360</v>
      </c>
      <c r="L9522" s="3"/>
      <c r="M9522" s="4"/>
      <c r="N9522" s="3" t="s">
        <v>128</v>
      </c>
      <c r="O9522" s="3" t="s">
        <v>38</v>
      </c>
      <c r="P9522" s="5">
        <v>20</v>
      </c>
      <c r="Q9522" s="5">
        <v>372</v>
      </c>
      <c r="R9522" s="5">
        <v>19</v>
      </c>
      <c r="S9522" s="5">
        <v>346</v>
      </c>
    </row>
    <row r="9523" spans="1:19" ht="28" x14ac:dyDescent="0.15">
      <c r="A9523" s="2">
        <f>HYPERLINK("https://open-school.uspishnemisto.com.ua/school/510355/", 510355)</f>
        <v>510355</v>
      </c>
      <c r="B9523" s="3" t="s">
        <v>48361</v>
      </c>
      <c r="C9523" s="3" t="s">
        <v>31</v>
      </c>
      <c r="D9523" s="3" t="s">
        <v>32</v>
      </c>
      <c r="E9523" s="4" t="s">
        <v>22</v>
      </c>
      <c r="F9523" s="4" t="s">
        <v>48362</v>
      </c>
      <c r="G9523" s="4" t="s">
        <v>48363</v>
      </c>
      <c r="H9523" s="3" t="s">
        <v>46910</v>
      </c>
      <c r="I9523" s="3" t="s">
        <v>30680</v>
      </c>
      <c r="J9523" s="3" t="s">
        <v>466</v>
      </c>
      <c r="K9523" s="3" t="s">
        <v>48364</v>
      </c>
      <c r="L9523" s="3"/>
      <c r="M9523" s="4"/>
      <c r="N9523" s="3" t="s">
        <v>37</v>
      </c>
      <c r="O9523" s="3" t="s">
        <v>38</v>
      </c>
      <c r="P9523" s="5">
        <v>12</v>
      </c>
      <c r="Q9523" s="5">
        <v>159</v>
      </c>
      <c r="R9523" s="5">
        <v>10</v>
      </c>
      <c r="S9523" s="5">
        <v>161</v>
      </c>
    </row>
    <row r="9524" spans="1:19" ht="28" x14ac:dyDescent="0.15">
      <c r="A9524" s="2">
        <f>HYPERLINK("https://open-school.uspishnemisto.com.ua/school/510356/", 510356)</f>
        <v>510356</v>
      </c>
      <c r="B9524" s="3" t="s">
        <v>48365</v>
      </c>
      <c r="C9524" s="3" t="s">
        <v>31</v>
      </c>
      <c r="D9524" s="3" t="s">
        <v>32</v>
      </c>
      <c r="E9524" s="4" t="s">
        <v>22</v>
      </c>
      <c r="F9524" s="4" t="s">
        <v>48366</v>
      </c>
      <c r="G9524" s="4" t="s">
        <v>48367</v>
      </c>
      <c r="H9524" s="3" t="s">
        <v>46910</v>
      </c>
      <c r="I9524" s="3" t="s">
        <v>35587</v>
      </c>
      <c r="J9524" s="3" t="s">
        <v>48368</v>
      </c>
      <c r="K9524" s="3" t="s">
        <v>48369</v>
      </c>
      <c r="L9524" s="3"/>
      <c r="M9524" s="4"/>
      <c r="N9524" s="3" t="s">
        <v>37</v>
      </c>
      <c r="O9524" s="3" t="s">
        <v>52</v>
      </c>
      <c r="P9524" s="5">
        <v>11</v>
      </c>
      <c r="Q9524" s="5">
        <v>178</v>
      </c>
      <c r="R9524" s="5">
        <v>11</v>
      </c>
      <c r="S9524" s="5">
        <v>166</v>
      </c>
    </row>
    <row r="9525" spans="1:19" ht="28" x14ac:dyDescent="0.15">
      <c r="A9525" s="2">
        <f>HYPERLINK("https://open-school.uspishnemisto.com.ua/school/510357/", 510357)</f>
        <v>510357</v>
      </c>
      <c r="B9525" s="3" t="s">
        <v>48370</v>
      </c>
      <c r="C9525" s="3" t="s">
        <v>31</v>
      </c>
      <c r="D9525" s="3" t="s">
        <v>32</v>
      </c>
      <c r="E9525" s="4" t="s">
        <v>22</v>
      </c>
      <c r="F9525" s="4" t="s">
        <v>48371</v>
      </c>
      <c r="G9525" s="4" t="s">
        <v>48372</v>
      </c>
      <c r="H9525" s="3" t="s">
        <v>46910</v>
      </c>
      <c r="I9525" s="3" t="s">
        <v>1500</v>
      </c>
      <c r="J9525" s="3" t="s">
        <v>48373</v>
      </c>
      <c r="K9525" s="3"/>
      <c r="L9525" s="3"/>
      <c r="M9525" s="4"/>
      <c r="N9525" s="3" t="s">
        <v>37</v>
      </c>
      <c r="O9525" s="3" t="s">
        <v>38</v>
      </c>
      <c r="P9525" s="5">
        <v>11</v>
      </c>
      <c r="Q9525" s="5">
        <v>239</v>
      </c>
      <c r="R9525" s="5">
        <v>11</v>
      </c>
      <c r="S9525" s="5">
        <v>233</v>
      </c>
    </row>
    <row r="9526" spans="1:19" ht="28" x14ac:dyDescent="0.15">
      <c r="A9526" s="2">
        <f>HYPERLINK("https://open-school.uspishnemisto.com.ua/school/510358/", 510358)</f>
        <v>510358</v>
      </c>
      <c r="B9526" s="3" t="s">
        <v>48374</v>
      </c>
      <c r="C9526" s="3" t="s">
        <v>31</v>
      </c>
      <c r="D9526" s="3" t="s">
        <v>32</v>
      </c>
      <c r="E9526" s="4" t="s">
        <v>22</v>
      </c>
      <c r="F9526" s="4" t="s">
        <v>48375</v>
      </c>
      <c r="G9526" s="4" t="s">
        <v>48376</v>
      </c>
      <c r="H9526" s="3" t="s">
        <v>46910</v>
      </c>
      <c r="I9526" s="3" t="s">
        <v>48377</v>
      </c>
      <c r="J9526" s="3" t="s">
        <v>48378</v>
      </c>
      <c r="K9526" s="3" t="s">
        <v>48379</v>
      </c>
      <c r="L9526" s="3"/>
      <c r="M9526" s="4"/>
      <c r="N9526" s="3" t="s">
        <v>37</v>
      </c>
      <c r="O9526" s="3" t="s">
        <v>52</v>
      </c>
      <c r="P9526" s="5">
        <v>20</v>
      </c>
      <c r="Q9526" s="5">
        <v>424</v>
      </c>
      <c r="R9526" s="5">
        <v>20</v>
      </c>
      <c r="S9526" s="5">
        <v>422</v>
      </c>
    </row>
    <row r="9527" spans="1:19" ht="28" x14ac:dyDescent="0.15">
      <c r="A9527" s="2">
        <f>HYPERLINK("https://open-school.uspishnemisto.com.ua/school/510359/", 510359)</f>
        <v>510359</v>
      </c>
      <c r="B9527" s="3" t="s">
        <v>48380</v>
      </c>
      <c r="C9527" s="3" t="s">
        <v>54</v>
      </c>
      <c r="D9527" s="3" t="s">
        <v>32</v>
      </c>
      <c r="E9527" s="4" t="s">
        <v>22</v>
      </c>
      <c r="F9527" s="4" t="s">
        <v>48375</v>
      </c>
      <c r="G9527" s="4" t="s">
        <v>48376</v>
      </c>
      <c r="H9527" s="3" t="s">
        <v>46910</v>
      </c>
      <c r="I9527" s="3" t="s">
        <v>48377</v>
      </c>
      <c r="J9527" s="3" t="s">
        <v>48381</v>
      </c>
      <c r="K9527" s="3" t="s">
        <v>48382</v>
      </c>
      <c r="L9527" s="3"/>
      <c r="M9527" s="4"/>
      <c r="N9527" s="3" t="s">
        <v>37</v>
      </c>
      <c r="O9527" s="3" t="s">
        <v>38</v>
      </c>
      <c r="P9527" s="5">
        <v>35</v>
      </c>
      <c r="Q9527" s="5">
        <v>963</v>
      </c>
      <c r="R9527" s="5">
        <v>34</v>
      </c>
      <c r="S9527" s="5">
        <v>920</v>
      </c>
    </row>
    <row r="9528" spans="1:19" ht="28" x14ac:dyDescent="0.15">
      <c r="A9528" s="2">
        <f>HYPERLINK("https://open-school.uspishnemisto.com.ua/school/510360/", 510360)</f>
        <v>510360</v>
      </c>
      <c r="B9528" s="3" t="s">
        <v>48383</v>
      </c>
      <c r="C9528" s="3" t="s">
        <v>31</v>
      </c>
      <c r="D9528" s="3" t="s">
        <v>60</v>
      </c>
      <c r="E9528" s="4" t="s">
        <v>22</v>
      </c>
      <c r="F9528" s="4" t="s">
        <v>48375</v>
      </c>
      <c r="G9528" s="4" t="s">
        <v>48384</v>
      </c>
      <c r="H9528" s="3" t="s">
        <v>46910</v>
      </c>
      <c r="I9528" s="3" t="s">
        <v>48385</v>
      </c>
      <c r="J9528" s="3" t="s">
        <v>28919</v>
      </c>
      <c r="K9528" s="3" t="s">
        <v>48386</v>
      </c>
      <c r="L9528" s="3"/>
      <c r="M9528" s="4"/>
      <c r="N9528" s="3" t="s">
        <v>37</v>
      </c>
      <c r="O9528" s="3" t="s">
        <v>38</v>
      </c>
      <c r="P9528" s="5">
        <v>3</v>
      </c>
      <c r="Q9528" s="5">
        <v>24</v>
      </c>
      <c r="R9528" s="5">
        <v>2</v>
      </c>
      <c r="S9528" s="5">
        <v>19</v>
      </c>
    </row>
    <row r="9529" spans="1:19" ht="28" x14ac:dyDescent="0.15">
      <c r="A9529" s="2">
        <f>HYPERLINK("https://open-school.uspishnemisto.com.ua/school/510361/", 510361)</f>
        <v>510361</v>
      </c>
      <c r="B9529" s="3" t="s">
        <v>48387</v>
      </c>
      <c r="C9529" s="3" t="s">
        <v>31</v>
      </c>
      <c r="D9529" s="3" t="s">
        <v>32</v>
      </c>
      <c r="E9529" s="4" t="s">
        <v>22</v>
      </c>
      <c r="F9529" s="4" t="s">
        <v>48388</v>
      </c>
      <c r="G9529" s="4" t="s">
        <v>48389</v>
      </c>
      <c r="H9529" s="3" t="s">
        <v>46910</v>
      </c>
      <c r="I9529" s="3" t="s">
        <v>28056</v>
      </c>
      <c r="J9529" s="3" t="s">
        <v>3370</v>
      </c>
      <c r="K9529" s="3"/>
      <c r="L9529" s="3"/>
      <c r="M9529" s="4"/>
      <c r="N9529" s="3" t="s">
        <v>37</v>
      </c>
      <c r="O9529" s="3" t="s">
        <v>70</v>
      </c>
      <c r="P9529" s="5">
        <v>21</v>
      </c>
      <c r="Q9529" s="5">
        <v>455</v>
      </c>
      <c r="R9529" s="5">
        <v>21</v>
      </c>
      <c r="S9529" s="5">
        <v>453</v>
      </c>
    </row>
    <row r="9530" spans="1:19" ht="42" x14ac:dyDescent="0.15">
      <c r="A9530" s="2">
        <f>HYPERLINK("https://open-school.uspishnemisto.com.ua/school/510362/", 510362)</f>
        <v>510362</v>
      </c>
      <c r="B9530" s="3" t="s">
        <v>48390</v>
      </c>
      <c r="C9530" s="3" t="s">
        <v>31</v>
      </c>
      <c r="D9530" s="3" t="s">
        <v>175</v>
      </c>
      <c r="E9530" s="4" t="s">
        <v>22</v>
      </c>
      <c r="F9530" s="4" t="s">
        <v>48391</v>
      </c>
      <c r="G9530" s="4" t="s">
        <v>48392</v>
      </c>
      <c r="H9530" s="3" t="s">
        <v>46910</v>
      </c>
      <c r="I9530" s="3" t="s">
        <v>35921</v>
      </c>
      <c r="J9530" s="3" t="s">
        <v>48393</v>
      </c>
      <c r="K9530" s="3" t="s">
        <v>48394</v>
      </c>
      <c r="L9530" s="3"/>
      <c r="M9530" s="4"/>
      <c r="N9530" s="3" t="s">
        <v>37</v>
      </c>
      <c r="O9530" s="3" t="s">
        <v>52</v>
      </c>
      <c r="P9530" s="5">
        <v>9</v>
      </c>
      <c r="Q9530" s="5">
        <v>88</v>
      </c>
      <c r="R9530" s="5">
        <v>9</v>
      </c>
      <c r="S9530" s="5">
        <v>88</v>
      </c>
    </row>
    <row r="9531" spans="1:19" ht="28" x14ac:dyDescent="0.15">
      <c r="A9531" s="2">
        <f>HYPERLINK("https://open-school.uspishnemisto.com.ua/school/510363/", 510363)</f>
        <v>510363</v>
      </c>
      <c r="B9531" s="3" t="s">
        <v>48395</v>
      </c>
      <c r="C9531" s="3" t="s">
        <v>31</v>
      </c>
      <c r="D9531" s="3" t="s">
        <v>32</v>
      </c>
      <c r="E9531" s="4" t="s">
        <v>22</v>
      </c>
      <c r="F9531" s="4" t="s">
        <v>48396</v>
      </c>
      <c r="G9531" s="4" t="s">
        <v>48397</v>
      </c>
      <c r="H9531" s="3" t="s">
        <v>46910</v>
      </c>
      <c r="I9531" s="3" t="s">
        <v>48398</v>
      </c>
      <c r="J9531" s="3" t="s">
        <v>1747</v>
      </c>
      <c r="K9531" s="3" t="s">
        <v>48399</v>
      </c>
      <c r="L9531" s="3"/>
      <c r="M9531" s="4"/>
      <c r="N9531" s="3" t="s">
        <v>37</v>
      </c>
      <c r="O9531" s="3" t="s">
        <v>38</v>
      </c>
      <c r="P9531" s="5">
        <v>19</v>
      </c>
      <c r="Q9531" s="5">
        <v>358</v>
      </c>
      <c r="R9531" s="5">
        <v>18</v>
      </c>
      <c r="S9531" s="5">
        <v>358</v>
      </c>
    </row>
    <row r="9532" spans="1:19" ht="28" x14ac:dyDescent="0.15">
      <c r="A9532" s="2">
        <f>HYPERLINK("https://open-school.uspishnemisto.com.ua/school/510364/", 510364)</f>
        <v>510364</v>
      </c>
      <c r="B9532" s="3" t="s">
        <v>48400</v>
      </c>
      <c r="C9532" s="3" t="s">
        <v>31</v>
      </c>
      <c r="D9532" s="3" t="s">
        <v>175</v>
      </c>
      <c r="E9532" s="4" t="s">
        <v>22</v>
      </c>
      <c r="F9532" s="4" t="s">
        <v>48396</v>
      </c>
      <c r="G9532" s="4" t="s">
        <v>48397</v>
      </c>
      <c r="H9532" s="3" t="s">
        <v>46910</v>
      </c>
      <c r="I9532" s="3" t="s">
        <v>48398</v>
      </c>
      <c r="J9532" s="3" t="s">
        <v>48401</v>
      </c>
      <c r="K9532" s="3" t="s">
        <v>48402</v>
      </c>
      <c r="L9532" s="3"/>
      <c r="M9532" s="4"/>
      <c r="N9532" s="3" t="s">
        <v>37</v>
      </c>
      <c r="O9532" s="3" t="s">
        <v>38</v>
      </c>
      <c r="P9532" s="5">
        <v>9</v>
      </c>
      <c r="Q9532" s="5">
        <v>131</v>
      </c>
      <c r="R9532" s="5">
        <v>9</v>
      </c>
      <c r="S9532" s="5">
        <v>131</v>
      </c>
    </row>
    <row r="9533" spans="1:19" ht="28" x14ac:dyDescent="0.15">
      <c r="A9533" s="2">
        <f>HYPERLINK("https://open-school.uspishnemisto.com.ua/school/510365/", 510365)</f>
        <v>510365</v>
      </c>
      <c r="B9533" s="3" t="s">
        <v>48403</v>
      </c>
      <c r="C9533" s="3" t="s">
        <v>31</v>
      </c>
      <c r="D9533" s="3" t="s">
        <v>32</v>
      </c>
      <c r="E9533" s="4" t="s">
        <v>22</v>
      </c>
      <c r="F9533" s="4" t="s">
        <v>48404</v>
      </c>
      <c r="G9533" s="4" t="s">
        <v>48405</v>
      </c>
      <c r="H9533" s="3" t="s">
        <v>46910</v>
      </c>
      <c r="I9533" s="3" t="s">
        <v>6277</v>
      </c>
      <c r="J9533" s="3" t="s">
        <v>48406</v>
      </c>
      <c r="K9533" s="3" t="s">
        <v>48407</v>
      </c>
      <c r="L9533" s="3"/>
      <c r="M9533" s="4"/>
      <c r="N9533" s="3" t="s">
        <v>37</v>
      </c>
      <c r="O9533" s="3" t="s">
        <v>70</v>
      </c>
      <c r="P9533" s="5">
        <v>20</v>
      </c>
      <c r="Q9533" s="5">
        <v>514</v>
      </c>
      <c r="R9533" s="5">
        <v>21</v>
      </c>
      <c r="S9533" s="5">
        <v>525</v>
      </c>
    </row>
    <row r="9534" spans="1:19" ht="28" x14ac:dyDescent="0.15">
      <c r="A9534" s="2">
        <f>HYPERLINK("https://open-school.uspishnemisto.com.ua/school/510366/", 510366)</f>
        <v>510366</v>
      </c>
      <c r="B9534" s="3" t="s">
        <v>48408</v>
      </c>
      <c r="C9534" s="3" t="s">
        <v>54</v>
      </c>
      <c r="D9534" s="3" t="s">
        <v>32</v>
      </c>
      <c r="E9534" s="4" t="s">
        <v>22</v>
      </c>
      <c r="F9534" s="4" t="s">
        <v>48409</v>
      </c>
      <c r="G9534" s="4" t="s">
        <v>48405</v>
      </c>
      <c r="H9534" s="3" t="s">
        <v>46910</v>
      </c>
      <c r="I9534" s="3" t="s">
        <v>6277</v>
      </c>
      <c r="J9534" s="3" t="s">
        <v>4425</v>
      </c>
      <c r="K9534" s="3" t="s">
        <v>48410</v>
      </c>
      <c r="L9534" s="3"/>
      <c r="M9534" s="4"/>
      <c r="N9534" s="3" t="s">
        <v>37</v>
      </c>
      <c r="O9534" s="3" t="s">
        <v>197</v>
      </c>
      <c r="P9534" s="5">
        <v>23</v>
      </c>
      <c r="Q9534" s="5">
        <v>548</v>
      </c>
      <c r="R9534" s="5">
        <v>23</v>
      </c>
      <c r="S9534" s="5">
        <v>546</v>
      </c>
    </row>
    <row r="9535" spans="1:19" ht="28" x14ac:dyDescent="0.15">
      <c r="A9535" s="2">
        <f>HYPERLINK("https://open-school.uspishnemisto.com.ua/school/510367/", 510367)</f>
        <v>510367</v>
      </c>
      <c r="B9535" s="3" t="s">
        <v>48411</v>
      </c>
      <c r="C9535" s="3" t="s">
        <v>31</v>
      </c>
      <c r="D9535" s="3" t="s">
        <v>32</v>
      </c>
      <c r="E9535" s="4" t="s">
        <v>22</v>
      </c>
      <c r="F9535" s="4" t="s">
        <v>48412</v>
      </c>
      <c r="G9535" s="4" t="s">
        <v>48413</v>
      </c>
      <c r="H9535" s="3" t="s">
        <v>46910</v>
      </c>
      <c r="I9535" s="3" t="s">
        <v>48414</v>
      </c>
      <c r="J9535" s="3" t="s">
        <v>48415</v>
      </c>
      <c r="K9535" s="3" t="s">
        <v>48416</v>
      </c>
      <c r="L9535" s="3"/>
      <c r="M9535" s="4"/>
      <c r="N9535" s="3" t="s">
        <v>37</v>
      </c>
      <c r="O9535" s="3" t="s">
        <v>70</v>
      </c>
      <c r="P9535" s="5">
        <v>11</v>
      </c>
      <c r="Q9535" s="5">
        <v>178</v>
      </c>
      <c r="R9535" s="5">
        <v>11</v>
      </c>
      <c r="S9535" s="5">
        <v>169</v>
      </c>
    </row>
    <row r="9536" spans="1:19" ht="28" x14ac:dyDescent="0.15">
      <c r="A9536" s="2">
        <f>HYPERLINK("https://open-school.uspishnemisto.com.ua/school/510368/", 510368)</f>
        <v>510368</v>
      </c>
      <c r="B9536" s="3" t="s">
        <v>48417</v>
      </c>
      <c r="C9536" s="3" t="s">
        <v>31</v>
      </c>
      <c r="D9536" s="3" t="s">
        <v>32</v>
      </c>
      <c r="E9536" s="4" t="s">
        <v>22</v>
      </c>
      <c r="F9536" s="4" t="s">
        <v>48418</v>
      </c>
      <c r="G9536" s="4" t="s">
        <v>48419</v>
      </c>
      <c r="H9536" s="3" t="s">
        <v>46910</v>
      </c>
      <c r="I9536" s="3" t="s">
        <v>32619</v>
      </c>
      <c r="J9536" s="3" t="s">
        <v>5955</v>
      </c>
      <c r="K9536" s="3" t="s">
        <v>48420</v>
      </c>
      <c r="L9536" s="3"/>
      <c r="M9536" s="4"/>
      <c r="N9536" s="3" t="s">
        <v>37</v>
      </c>
      <c r="O9536" s="3" t="s">
        <v>38</v>
      </c>
      <c r="P9536" s="5">
        <v>10</v>
      </c>
      <c r="Q9536" s="5">
        <v>150</v>
      </c>
      <c r="R9536" s="5">
        <v>11</v>
      </c>
      <c r="S9536" s="5">
        <v>151</v>
      </c>
    </row>
    <row r="9537" spans="1:19" ht="28" x14ac:dyDescent="0.15">
      <c r="A9537" s="2">
        <f>HYPERLINK("https://open-school.uspishnemisto.com.ua/school/510369/", 510369)</f>
        <v>510369</v>
      </c>
      <c r="B9537" s="3" t="s">
        <v>48421</v>
      </c>
      <c r="C9537" s="3" t="s">
        <v>31</v>
      </c>
      <c r="D9537" s="3" t="s">
        <v>32</v>
      </c>
      <c r="E9537" s="4" t="s">
        <v>22</v>
      </c>
      <c r="F9537" s="4" t="s">
        <v>48422</v>
      </c>
      <c r="G9537" s="4" t="s">
        <v>48423</v>
      </c>
      <c r="H9537" s="3" t="s">
        <v>46910</v>
      </c>
      <c r="I9537" s="3" t="s">
        <v>10829</v>
      </c>
      <c r="J9537" s="3" t="s">
        <v>18253</v>
      </c>
      <c r="K9537" s="3" t="s">
        <v>48424</v>
      </c>
      <c r="L9537" s="3"/>
      <c r="M9537" s="4"/>
      <c r="N9537" s="3" t="s">
        <v>967</v>
      </c>
      <c r="O9537" s="3" t="s">
        <v>52</v>
      </c>
      <c r="P9537" s="5">
        <v>11</v>
      </c>
      <c r="Q9537" s="5">
        <v>243</v>
      </c>
      <c r="R9537" s="5">
        <v>12</v>
      </c>
      <c r="S9537" s="5">
        <v>227</v>
      </c>
    </row>
    <row r="9538" spans="1:19" ht="28" x14ac:dyDescent="0.15">
      <c r="A9538" s="2">
        <f>HYPERLINK("https://open-school.uspishnemisto.com.ua/school/510370/", 510370)</f>
        <v>510370</v>
      </c>
      <c r="B9538" s="3" t="s">
        <v>48425</v>
      </c>
      <c r="C9538" s="3" t="s">
        <v>31</v>
      </c>
      <c r="D9538" s="3" t="s">
        <v>32</v>
      </c>
      <c r="E9538" s="4" t="s">
        <v>22</v>
      </c>
      <c r="F9538" s="4" t="s">
        <v>48426</v>
      </c>
      <c r="G9538" s="4" t="s">
        <v>48427</v>
      </c>
      <c r="H9538" s="3" t="s">
        <v>46910</v>
      </c>
      <c r="I9538" s="3" t="s">
        <v>48428</v>
      </c>
      <c r="J9538" s="3" t="s">
        <v>48429</v>
      </c>
      <c r="K9538" s="3" t="s">
        <v>48430</v>
      </c>
      <c r="L9538" s="3"/>
      <c r="M9538" s="4"/>
      <c r="N9538" s="3" t="s">
        <v>37</v>
      </c>
      <c r="O9538" s="3" t="s">
        <v>46</v>
      </c>
      <c r="P9538" s="5">
        <v>11</v>
      </c>
      <c r="Q9538" s="5">
        <v>160</v>
      </c>
      <c r="R9538" s="5">
        <v>11</v>
      </c>
      <c r="S9538" s="5">
        <v>152</v>
      </c>
    </row>
    <row r="9539" spans="1:19" ht="28" x14ac:dyDescent="0.15">
      <c r="A9539" s="2">
        <f>HYPERLINK("https://open-school.uspishnemisto.com.ua/school/510371/", 510371)</f>
        <v>510371</v>
      </c>
      <c r="B9539" s="3" t="s">
        <v>48431</v>
      </c>
      <c r="C9539" s="3" t="s">
        <v>31</v>
      </c>
      <c r="D9539" s="3" t="s">
        <v>32</v>
      </c>
      <c r="E9539" s="4" t="s">
        <v>22</v>
      </c>
      <c r="F9539" s="4" t="s">
        <v>48432</v>
      </c>
      <c r="G9539" s="4" t="s">
        <v>48433</v>
      </c>
      <c r="H9539" s="3" t="s">
        <v>46910</v>
      </c>
      <c r="I9539" s="3" t="s">
        <v>26457</v>
      </c>
      <c r="J9539" s="3" t="s">
        <v>30797</v>
      </c>
      <c r="K9539" s="3" t="s">
        <v>48434</v>
      </c>
      <c r="L9539" s="3"/>
      <c r="M9539" s="4"/>
      <c r="N9539" s="3" t="s">
        <v>37</v>
      </c>
      <c r="O9539" s="3" t="s">
        <v>38</v>
      </c>
      <c r="P9539" s="5">
        <v>11</v>
      </c>
      <c r="Q9539" s="5">
        <v>176</v>
      </c>
      <c r="R9539" s="5">
        <v>11</v>
      </c>
      <c r="S9539" s="5">
        <v>175</v>
      </c>
    </row>
    <row r="9540" spans="1:19" ht="28" x14ac:dyDescent="0.15">
      <c r="A9540" s="2">
        <f>HYPERLINK("https://open-school.uspishnemisto.com.ua/school/510372/", 510372)</f>
        <v>510372</v>
      </c>
      <c r="B9540" s="3" t="s">
        <v>48435</v>
      </c>
      <c r="C9540" s="3" t="s">
        <v>31</v>
      </c>
      <c r="D9540" s="3" t="s">
        <v>32</v>
      </c>
      <c r="E9540" s="4" t="s">
        <v>22</v>
      </c>
      <c r="F9540" s="4" t="s">
        <v>48436</v>
      </c>
      <c r="G9540" s="4" t="s">
        <v>48437</v>
      </c>
      <c r="H9540" s="3" t="s">
        <v>46910</v>
      </c>
      <c r="I9540" s="3" t="s">
        <v>16212</v>
      </c>
      <c r="J9540" s="3" t="s">
        <v>48438</v>
      </c>
      <c r="K9540" s="3" t="s">
        <v>48439</v>
      </c>
      <c r="L9540" s="3"/>
      <c r="M9540" s="4"/>
      <c r="N9540" s="3" t="s">
        <v>37</v>
      </c>
      <c r="O9540" s="3" t="s">
        <v>38</v>
      </c>
      <c r="P9540" s="5">
        <v>30</v>
      </c>
      <c r="Q9540" s="5">
        <v>739</v>
      </c>
      <c r="R9540" s="5">
        <v>30</v>
      </c>
      <c r="S9540" s="5">
        <v>727</v>
      </c>
    </row>
    <row r="9541" spans="1:19" ht="28" x14ac:dyDescent="0.15">
      <c r="A9541" s="2">
        <f>HYPERLINK("https://open-school.uspishnemisto.com.ua/school/510373/", 510373)</f>
        <v>510373</v>
      </c>
      <c r="B9541" s="3" t="s">
        <v>48440</v>
      </c>
      <c r="C9541" s="3" t="s">
        <v>20356</v>
      </c>
      <c r="D9541" s="3" t="s">
        <v>32</v>
      </c>
      <c r="E9541" s="4" t="s">
        <v>22</v>
      </c>
      <c r="F9541" s="4" t="s">
        <v>48441</v>
      </c>
      <c r="G9541" s="4" t="s">
        <v>48442</v>
      </c>
      <c r="H9541" s="3" t="s">
        <v>46910</v>
      </c>
      <c r="I9541" s="3" t="s">
        <v>1889</v>
      </c>
      <c r="J9541" s="3" t="s">
        <v>48443</v>
      </c>
      <c r="K9541" s="3"/>
      <c r="L9541" s="3"/>
      <c r="M9541" s="4"/>
      <c r="N9541" s="3" t="s">
        <v>37</v>
      </c>
      <c r="O9541" s="3" t="s">
        <v>38</v>
      </c>
      <c r="P9541" s="5">
        <v>16</v>
      </c>
      <c r="Q9541" s="5">
        <v>379</v>
      </c>
      <c r="R9541" s="5">
        <v>17</v>
      </c>
      <c r="S9541" s="5">
        <v>364</v>
      </c>
    </row>
    <row r="9542" spans="1:19" ht="28" x14ac:dyDescent="0.15">
      <c r="A9542" s="2">
        <f>HYPERLINK("https://open-school.uspishnemisto.com.ua/school/510374/", 510374)</f>
        <v>510374</v>
      </c>
      <c r="B9542" s="3" t="s">
        <v>48444</v>
      </c>
      <c r="C9542" s="3" t="s">
        <v>31</v>
      </c>
      <c r="D9542" s="3" t="s">
        <v>175</v>
      </c>
      <c r="E9542" s="4" t="s">
        <v>22</v>
      </c>
      <c r="F9542" s="4" t="s">
        <v>48445</v>
      </c>
      <c r="G9542" s="4" t="s">
        <v>48446</v>
      </c>
      <c r="H9542" s="3" t="s">
        <v>46910</v>
      </c>
      <c r="I9542" s="3" t="s">
        <v>48447</v>
      </c>
      <c r="J9542" s="3" t="s">
        <v>48448</v>
      </c>
      <c r="K9542" s="3" t="s">
        <v>48449</v>
      </c>
      <c r="L9542" s="3"/>
      <c r="M9542" s="4"/>
      <c r="N9542" s="3" t="s">
        <v>37</v>
      </c>
      <c r="O9542" s="3" t="s">
        <v>38</v>
      </c>
      <c r="P9542" s="5">
        <v>8</v>
      </c>
      <c r="Q9542" s="5">
        <v>72</v>
      </c>
      <c r="R9542" s="5">
        <v>8</v>
      </c>
      <c r="S9542" s="5">
        <v>72</v>
      </c>
    </row>
    <row r="9543" spans="1:19" ht="28" x14ac:dyDescent="0.15">
      <c r="A9543" s="2">
        <f>HYPERLINK("https://open-school.uspishnemisto.com.ua/school/510375/", 510375)</f>
        <v>510375</v>
      </c>
      <c r="B9543" s="3" t="s">
        <v>48450</v>
      </c>
      <c r="C9543" s="3" t="s">
        <v>31</v>
      </c>
      <c r="D9543" s="3" t="s">
        <v>32</v>
      </c>
      <c r="E9543" s="4" t="s">
        <v>22</v>
      </c>
      <c r="F9543" s="4" t="s">
        <v>48451</v>
      </c>
      <c r="G9543" s="4" t="s">
        <v>48452</v>
      </c>
      <c r="H9543" s="3" t="s">
        <v>46910</v>
      </c>
      <c r="I9543" s="3" t="s">
        <v>48453</v>
      </c>
      <c r="J9543" s="3" t="s">
        <v>39196</v>
      </c>
      <c r="K9543" s="3" t="s">
        <v>48454</v>
      </c>
      <c r="L9543" s="3"/>
      <c r="M9543" s="4"/>
      <c r="N9543" s="3" t="s">
        <v>128</v>
      </c>
      <c r="O9543" s="3" t="s">
        <v>38</v>
      </c>
      <c r="P9543" s="5">
        <v>25</v>
      </c>
      <c r="Q9543" s="5">
        <v>646</v>
      </c>
      <c r="R9543" s="5">
        <v>26</v>
      </c>
      <c r="S9543" s="5">
        <v>602</v>
      </c>
    </row>
    <row r="9544" spans="1:19" ht="28" x14ac:dyDescent="0.15">
      <c r="A9544" s="2">
        <f>HYPERLINK("https://open-school.uspishnemisto.com.ua/school/510376/", 510376)</f>
        <v>510376</v>
      </c>
      <c r="B9544" s="3" t="s">
        <v>48455</v>
      </c>
      <c r="C9544" s="3" t="s">
        <v>54</v>
      </c>
      <c r="D9544" s="3" t="s">
        <v>32</v>
      </c>
      <c r="E9544" s="4" t="s">
        <v>22</v>
      </c>
      <c r="F9544" s="4" t="s">
        <v>48451</v>
      </c>
      <c r="G9544" s="4" t="s">
        <v>48452</v>
      </c>
      <c r="H9544" s="3" t="s">
        <v>46910</v>
      </c>
      <c r="I9544" s="3" t="s">
        <v>48453</v>
      </c>
      <c r="J9544" s="3" t="s">
        <v>48456</v>
      </c>
      <c r="K9544" s="3"/>
      <c r="L9544" s="3"/>
      <c r="M9544" s="4"/>
      <c r="N9544" s="3" t="s">
        <v>37</v>
      </c>
      <c r="O9544" s="3" t="s">
        <v>46</v>
      </c>
      <c r="P9544" s="5">
        <v>43</v>
      </c>
      <c r="Q9544" s="5">
        <v>1366</v>
      </c>
      <c r="R9544" s="5">
        <v>42</v>
      </c>
      <c r="S9544" s="5">
        <v>1290</v>
      </c>
    </row>
    <row r="9545" spans="1:19" ht="28" x14ac:dyDescent="0.15">
      <c r="A9545" s="2">
        <f>HYPERLINK("https://open-school.uspishnemisto.com.ua/school/510377/", 510377)</f>
        <v>510377</v>
      </c>
      <c r="B9545" s="3" t="s">
        <v>48457</v>
      </c>
      <c r="C9545" s="3" t="s">
        <v>31</v>
      </c>
      <c r="D9545" s="3" t="s">
        <v>175</v>
      </c>
      <c r="E9545" s="4" t="s">
        <v>22</v>
      </c>
      <c r="F9545" s="4" t="s">
        <v>48458</v>
      </c>
      <c r="G9545" s="4" t="s">
        <v>48459</v>
      </c>
      <c r="H9545" s="3" t="s">
        <v>46910</v>
      </c>
      <c r="I9545" s="3" t="s">
        <v>48460</v>
      </c>
      <c r="J9545" s="3" t="s">
        <v>48461</v>
      </c>
      <c r="K9545" s="3"/>
      <c r="L9545" s="3"/>
      <c r="M9545" s="4"/>
      <c r="N9545" s="3" t="s">
        <v>37</v>
      </c>
      <c r="O9545" s="3" t="s">
        <v>38</v>
      </c>
      <c r="P9545" s="5">
        <v>9</v>
      </c>
      <c r="Q9545" s="5">
        <v>130</v>
      </c>
      <c r="R9545" s="5">
        <v>9</v>
      </c>
      <c r="S9545" s="5">
        <v>131</v>
      </c>
    </row>
    <row r="9546" spans="1:19" ht="28" x14ac:dyDescent="0.15">
      <c r="A9546" s="2">
        <f>HYPERLINK("https://open-school.uspishnemisto.com.ua/school/510378/", 510378)</f>
        <v>510378</v>
      </c>
      <c r="B9546" s="3" t="s">
        <v>48462</v>
      </c>
      <c r="C9546" s="3" t="s">
        <v>31</v>
      </c>
      <c r="D9546" s="3" t="s">
        <v>175</v>
      </c>
      <c r="E9546" s="4" t="s">
        <v>22</v>
      </c>
      <c r="F9546" s="4" t="s">
        <v>48463</v>
      </c>
      <c r="G9546" s="4" t="s">
        <v>48464</v>
      </c>
      <c r="H9546" s="3" t="s">
        <v>46910</v>
      </c>
      <c r="I9546" s="3" t="s">
        <v>48465</v>
      </c>
      <c r="J9546" s="3" t="s">
        <v>34060</v>
      </c>
      <c r="K9546" s="3" t="s">
        <v>48466</v>
      </c>
      <c r="L9546" s="3"/>
      <c r="M9546" s="4"/>
      <c r="N9546" s="3" t="s">
        <v>37</v>
      </c>
      <c r="O9546" s="3" t="s">
        <v>38</v>
      </c>
      <c r="P9546" s="5">
        <v>9</v>
      </c>
      <c r="Q9546" s="5">
        <v>93</v>
      </c>
      <c r="R9546" s="5">
        <v>9</v>
      </c>
      <c r="S9546" s="5">
        <v>93</v>
      </c>
    </row>
    <row r="9547" spans="1:19" ht="28" x14ac:dyDescent="0.15">
      <c r="A9547" s="2">
        <f>HYPERLINK("https://open-school.uspishnemisto.com.ua/school/510379/", 510379)</f>
        <v>510379</v>
      </c>
      <c r="B9547" s="3" t="s">
        <v>48467</v>
      </c>
      <c r="C9547" s="3" t="s">
        <v>31</v>
      </c>
      <c r="D9547" s="3" t="s">
        <v>32</v>
      </c>
      <c r="E9547" s="4" t="s">
        <v>22</v>
      </c>
      <c r="F9547" s="4" t="s">
        <v>48468</v>
      </c>
      <c r="G9547" s="4" t="s">
        <v>48469</v>
      </c>
      <c r="H9547" s="3" t="s">
        <v>46910</v>
      </c>
      <c r="I9547" s="3" t="s">
        <v>12351</v>
      </c>
      <c r="J9547" s="3" t="s">
        <v>26926</v>
      </c>
      <c r="K9547" s="3" t="s">
        <v>48470</v>
      </c>
      <c r="L9547" s="3" t="s">
        <v>48471</v>
      </c>
      <c r="M9547" s="4"/>
      <c r="N9547" s="3" t="s">
        <v>128</v>
      </c>
      <c r="O9547" s="3" t="s">
        <v>38</v>
      </c>
      <c r="P9547" s="5">
        <v>24</v>
      </c>
      <c r="Q9547" s="5">
        <v>527</v>
      </c>
      <c r="R9547" s="5">
        <v>27</v>
      </c>
      <c r="S9547" s="5">
        <v>520</v>
      </c>
    </row>
    <row r="9548" spans="1:19" ht="28" x14ac:dyDescent="0.15">
      <c r="A9548" s="2">
        <f>HYPERLINK("https://open-school.uspishnemisto.com.ua/school/510380/", 510380)</f>
        <v>510380</v>
      </c>
      <c r="B9548" s="3" t="s">
        <v>48472</v>
      </c>
      <c r="C9548" s="3" t="s">
        <v>54</v>
      </c>
      <c r="D9548" s="3" t="s">
        <v>32</v>
      </c>
      <c r="E9548" s="4" t="s">
        <v>22</v>
      </c>
      <c r="F9548" s="4" t="s">
        <v>48473</v>
      </c>
      <c r="G9548" s="4" t="s">
        <v>48474</v>
      </c>
      <c r="H9548" s="3" t="s">
        <v>46910</v>
      </c>
      <c r="I9548" s="3" t="s">
        <v>48475</v>
      </c>
      <c r="J9548" s="3" t="s">
        <v>48476</v>
      </c>
      <c r="K9548" s="3" t="s">
        <v>48477</v>
      </c>
      <c r="L9548" s="3"/>
      <c r="M9548" s="4"/>
      <c r="N9548" s="3" t="s">
        <v>37</v>
      </c>
      <c r="O9548" s="3" t="s">
        <v>38</v>
      </c>
      <c r="P9548" s="5">
        <v>33</v>
      </c>
      <c r="Q9548" s="5">
        <v>927</v>
      </c>
      <c r="R9548" s="5">
        <v>32</v>
      </c>
      <c r="S9548" s="5">
        <v>871</v>
      </c>
    </row>
    <row r="9549" spans="1:19" ht="28" x14ac:dyDescent="0.15">
      <c r="A9549" s="2">
        <f>HYPERLINK("https://open-school.uspishnemisto.com.ua/school/510381/", 510381)</f>
        <v>510381</v>
      </c>
      <c r="B9549" s="3" t="s">
        <v>48478</v>
      </c>
      <c r="C9549" s="3" t="s">
        <v>31</v>
      </c>
      <c r="D9549" s="3" t="s">
        <v>32</v>
      </c>
      <c r="E9549" s="4" t="s">
        <v>22</v>
      </c>
      <c r="F9549" s="4" t="s">
        <v>48479</v>
      </c>
      <c r="G9549" s="4" t="s">
        <v>48480</v>
      </c>
      <c r="H9549" s="3" t="s">
        <v>46910</v>
      </c>
      <c r="I9549" s="3" t="s">
        <v>48481</v>
      </c>
      <c r="J9549" s="3" t="s">
        <v>3370</v>
      </c>
      <c r="K9549" s="3" t="s">
        <v>48482</v>
      </c>
      <c r="L9549" s="3"/>
      <c r="M9549" s="4"/>
      <c r="N9549" s="3" t="s">
        <v>37</v>
      </c>
      <c r="O9549" s="3" t="s">
        <v>38</v>
      </c>
      <c r="P9549" s="5">
        <v>19</v>
      </c>
      <c r="Q9549" s="5">
        <v>426</v>
      </c>
      <c r="R9549" s="5">
        <v>19</v>
      </c>
      <c r="S9549" s="5">
        <v>417</v>
      </c>
    </row>
    <row r="9550" spans="1:19" ht="28" x14ac:dyDescent="0.15">
      <c r="A9550" s="2">
        <f>HYPERLINK("https://open-school.uspishnemisto.com.ua/school/510382/", 510382)</f>
        <v>510382</v>
      </c>
      <c r="B9550" s="3" t="s">
        <v>48483</v>
      </c>
      <c r="C9550" s="3" t="s">
        <v>31</v>
      </c>
      <c r="D9550" s="3" t="s">
        <v>32</v>
      </c>
      <c r="E9550" s="4" t="s">
        <v>22</v>
      </c>
      <c r="F9550" s="4" t="s">
        <v>48484</v>
      </c>
      <c r="G9550" s="4" t="s">
        <v>48485</v>
      </c>
      <c r="H9550" s="3" t="s">
        <v>46910</v>
      </c>
      <c r="I9550" s="3" t="s">
        <v>48486</v>
      </c>
      <c r="J9550" s="3" t="s">
        <v>18253</v>
      </c>
      <c r="K9550" s="3" t="s">
        <v>48487</v>
      </c>
      <c r="L9550" s="3"/>
      <c r="M9550" s="4"/>
      <c r="N9550" s="3" t="s">
        <v>37</v>
      </c>
      <c r="O9550" s="3" t="s">
        <v>46</v>
      </c>
      <c r="P9550" s="5">
        <v>18</v>
      </c>
      <c r="Q9550" s="5">
        <v>390</v>
      </c>
      <c r="R9550" s="5">
        <v>17</v>
      </c>
      <c r="S9550" s="5">
        <v>371</v>
      </c>
    </row>
    <row r="9551" spans="1:19" ht="28" x14ac:dyDescent="0.15">
      <c r="A9551" s="2">
        <f>HYPERLINK("https://open-school.uspishnemisto.com.ua/school/510383/", 510383)</f>
        <v>510383</v>
      </c>
      <c r="B9551" s="3" t="s">
        <v>48488</v>
      </c>
      <c r="C9551" s="3" t="s">
        <v>31</v>
      </c>
      <c r="D9551" s="3" t="s">
        <v>175</v>
      </c>
      <c r="E9551" s="4" t="s">
        <v>22</v>
      </c>
      <c r="F9551" s="4" t="s">
        <v>48484</v>
      </c>
      <c r="G9551" s="4" t="s">
        <v>48485</v>
      </c>
      <c r="H9551" s="3" t="s">
        <v>46910</v>
      </c>
      <c r="I9551" s="3" t="s">
        <v>48486</v>
      </c>
      <c r="J9551" s="3" t="s">
        <v>48489</v>
      </c>
      <c r="K9551" s="3" t="s">
        <v>48490</v>
      </c>
      <c r="L9551" s="3"/>
      <c r="M9551" s="4"/>
      <c r="N9551" s="3" t="s">
        <v>37</v>
      </c>
      <c r="O9551" s="3" t="s">
        <v>38</v>
      </c>
      <c r="P9551" s="5">
        <v>9</v>
      </c>
      <c r="Q9551" s="5">
        <v>123</v>
      </c>
      <c r="R9551" s="5">
        <v>9</v>
      </c>
      <c r="S9551" s="5">
        <v>130</v>
      </c>
    </row>
    <row r="9552" spans="1:19" ht="28" x14ac:dyDescent="0.15">
      <c r="A9552" s="2">
        <f>HYPERLINK("https://open-school.uspishnemisto.com.ua/school/510384/", 510384)</f>
        <v>510384</v>
      </c>
      <c r="B9552" s="3" t="s">
        <v>48491</v>
      </c>
      <c r="C9552" s="3" t="s">
        <v>31</v>
      </c>
      <c r="D9552" s="3" t="s">
        <v>32</v>
      </c>
      <c r="E9552" s="4" t="s">
        <v>22</v>
      </c>
      <c r="F9552" s="4" t="s">
        <v>48492</v>
      </c>
      <c r="G9552" s="4" t="s">
        <v>48493</v>
      </c>
      <c r="H9552" s="3" t="s">
        <v>46910</v>
      </c>
      <c r="I9552" s="3" t="s">
        <v>725</v>
      </c>
      <c r="J9552" s="3" t="s">
        <v>42390</v>
      </c>
      <c r="K9552" s="3" t="s">
        <v>48494</v>
      </c>
      <c r="L9552" s="3"/>
      <c r="M9552" s="4"/>
      <c r="N9552" s="3" t="s">
        <v>37</v>
      </c>
      <c r="O9552" s="3" t="s">
        <v>38</v>
      </c>
      <c r="P9552" s="5">
        <v>22</v>
      </c>
      <c r="Q9552" s="5">
        <v>506</v>
      </c>
      <c r="R9552" s="5">
        <v>21</v>
      </c>
      <c r="S9552" s="5">
        <v>465</v>
      </c>
    </row>
    <row r="9553" spans="1:19" ht="28" x14ac:dyDescent="0.15">
      <c r="A9553" s="2">
        <f>HYPERLINK("https://open-school.uspishnemisto.com.ua/school/510385/", 510385)</f>
        <v>510385</v>
      </c>
      <c r="B9553" s="3" t="s">
        <v>48495</v>
      </c>
      <c r="C9553" s="3" t="s">
        <v>31</v>
      </c>
      <c r="D9553" s="3" t="s">
        <v>32</v>
      </c>
      <c r="E9553" s="4" t="s">
        <v>22</v>
      </c>
      <c r="F9553" s="4" t="s">
        <v>48492</v>
      </c>
      <c r="G9553" s="4" t="s">
        <v>48493</v>
      </c>
      <c r="H9553" s="3" t="s">
        <v>46910</v>
      </c>
      <c r="I9553" s="3" t="s">
        <v>725</v>
      </c>
      <c r="J9553" s="3" t="s">
        <v>48496</v>
      </c>
      <c r="K9553" s="3" t="s">
        <v>48497</v>
      </c>
      <c r="L9553" s="3"/>
      <c r="M9553" s="4"/>
      <c r="N9553" s="3" t="s">
        <v>37</v>
      </c>
      <c r="O9553" s="3" t="s">
        <v>70</v>
      </c>
      <c r="P9553" s="5">
        <v>16</v>
      </c>
      <c r="Q9553" s="5">
        <v>305</v>
      </c>
      <c r="R9553" s="5">
        <v>14</v>
      </c>
      <c r="S9553" s="5">
        <v>279</v>
      </c>
    </row>
    <row r="9554" spans="1:19" ht="28" x14ac:dyDescent="0.15">
      <c r="A9554" s="2">
        <f>HYPERLINK("https://open-school.uspishnemisto.com.ua/school/510386/", 510386)</f>
        <v>510386</v>
      </c>
      <c r="B9554" s="3" t="s">
        <v>48498</v>
      </c>
      <c r="C9554" s="3" t="s">
        <v>31</v>
      </c>
      <c r="D9554" s="3" t="s">
        <v>32</v>
      </c>
      <c r="E9554" s="4" t="s">
        <v>22</v>
      </c>
      <c r="F9554" s="4" t="s">
        <v>48492</v>
      </c>
      <c r="G9554" s="4" t="s">
        <v>48493</v>
      </c>
      <c r="H9554" s="3" t="s">
        <v>46910</v>
      </c>
      <c r="I9554" s="3" t="s">
        <v>725</v>
      </c>
      <c r="J9554" s="3" t="s">
        <v>48499</v>
      </c>
      <c r="K9554" s="3" t="s">
        <v>48500</v>
      </c>
      <c r="L9554" s="3"/>
      <c r="M9554" s="4"/>
      <c r="N9554" s="3" t="s">
        <v>37</v>
      </c>
      <c r="O9554" s="3" t="s">
        <v>70</v>
      </c>
      <c r="P9554" s="5">
        <v>25</v>
      </c>
      <c r="Q9554" s="5">
        <v>553</v>
      </c>
      <c r="R9554" s="5">
        <v>26</v>
      </c>
      <c r="S9554" s="5">
        <v>559</v>
      </c>
    </row>
    <row r="9555" spans="1:19" ht="42" x14ac:dyDescent="0.15">
      <c r="A9555" s="2">
        <f>HYPERLINK("https://open-school.uspishnemisto.com.ua/school/510387/", 510387)</f>
        <v>510387</v>
      </c>
      <c r="B9555" s="3" t="s">
        <v>48501</v>
      </c>
      <c r="C9555" s="3" t="s">
        <v>54</v>
      </c>
      <c r="D9555" s="3" t="s">
        <v>60</v>
      </c>
      <c r="E9555" s="4" t="s">
        <v>22</v>
      </c>
      <c r="F9555" s="4" t="s">
        <v>48492</v>
      </c>
      <c r="G9555" s="4" t="s">
        <v>48493</v>
      </c>
      <c r="H9555" s="3" t="s">
        <v>46910</v>
      </c>
      <c r="I9555" s="3" t="s">
        <v>725</v>
      </c>
      <c r="J9555" s="3" t="s">
        <v>35992</v>
      </c>
      <c r="K9555" s="3" t="s">
        <v>48502</v>
      </c>
      <c r="L9555" s="3"/>
      <c r="M9555" s="4"/>
      <c r="N9555" s="3" t="s">
        <v>37</v>
      </c>
      <c r="O9555" s="3" t="s">
        <v>38</v>
      </c>
      <c r="P9555" s="5">
        <v>4</v>
      </c>
      <c r="Q9555" s="5">
        <v>79</v>
      </c>
      <c r="R9555" s="5">
        <v>4</v>
      </c>
      <c r="S9555" s="5">
        <v>80</v>
      </c>
    </row>
    <row r="9556" spans="1:19" ht="28" x14ac:dyDescent="0.15">
      <c r="A9556" s="2">
        <f>HYPERLINK("https://open-school.uspishnemisto.com.ua/school/510388/", 510388)</f>
        <v>510388</v>
      </c>
      <c r="B9556" s="3" t="s">
        <v>48503</v>
      </c>
      <c r="C9556" s="3" t="s">
        <v>31</v>
      </c>
      <c r="D9556" s="3" t="s">
        <v>32</v>
      </c>
      <c r="E9556" s="4" t="s">
        <v>22</v>
      </c>
      <c r="F9556" s="4" t="s">
        <v>48504</v>
      </c>
      <c r="G9556" s="4" t="s">
        <v>48505</v>
      </c>
      <c r="H9556" s="3" t="s">
        <v>46910</v>
      </c>
      <c r="I9556" s="3" t="s">
        <v>48506</v>
      </c>
      <c r="J9556" s="3" t="s">
        <v>48507</v>
      </c>
      <c r="K9556" s="3" t="s">
        <v>48508</v>
      </c>
      <c r="L9556" s="3"/>
      <c r="M9556" s="4"/>
      <c r="N9556" s="3" t="s">
        <v>128</v>
      </c>
      <c r="O9556" s="3" t="s">
        <v>38</v>
      </c>
      <c r="P9556" s="5">
        <v>20</v>
      </c>
      <c r="Q9556" s="5">
        <v>270</v>
      </c>
      <c r="R9556" s="5">
        <v>21</v>
      </c>
      <c r="S9556" s="5">
        <v>263</v>
      </c>
    </row>
    <row r="9557" spans="1:19" ht="56" x14ac:dyDescent="0.15">
      <c r="A9557" s="2">
        <f>HYPERLINK("https://open-school.uspishnemisto.com.ua/school/510389/", 510389)</f>
        <v>510389</v>
      </c>
      <c r="B9557" s="3" t="s">
        <v>48509</v>
      </c>
      <c r="C9557" s="3" t="s">
        <v>54</v>
      </c>
      <c r="D9557" s="3" t="s">
        <v>32</v>
      </c>
      <c r="E9557" s="4" t="s">
        <v>22</v>
      </c>
      <c r="F9557" s="4" t="s">
        <v>48510</v>
      </c>
      <c r="G9557" s="4" t="s">
        <v>48511</v>
      </c>
      <c r="H9557" s="3" t="s">
        <v>46910</v>
      </c>
      <c r="I9557" s="3" t="s">
        <v>45065</v>
      </c>
      <c r="J9557" s="3" t="s">
        <v>2434</v>
      </c>
      <c r="K9557" s="3" t="s">
        <v>48512</v>
      </c>
      <c r="L9557" s="3"/>
      <c r="M9557" s="4"/>
      <c r="N9557" s="3" t="s">
        <v>967</v>
      </c>
      <c r="O9557" s="3" t="s">
        <v>52</v>
      </c>
      <c r="P9557" s="5">
        <v>7</v>
      </c>
      <c r="Q9557" s="5">
        <v>68</v>
      </c>
      <c r="R9557" s="5">
        <v>8</v>
      </c>
      <c r="S9557" s="5">
        <v>69</v>
      </c>
    </row>
    <row r="9558" spans="1:19" ht="28" x14ac:dyDescent="0.15">
      <c r="A9558" s="2">
        <f>HYPERLINK("https://open-school.uspishnemisto.com.ua/school/510390/", 510390)</f>
        <v>510390</v>
      </c>
      <c r="B9558" s="3" t="s">
        <v>48513</v>
      </c>
      <c r="C9558" s="3" t="s">
        <v>31</v>
      </c>
      <c r="D9558" s="3" t="s">
        <v>175</v>
      </c>
      <c r="E9558" s="4" t="s">
        <v>22</v>
      </c>
      <c r="F9558" s="4" t="s">
        <v>48514</v>
      </c>
      <c r="G9558" s="4" t="s">
        <v>48515</v>
      </c>
      <c r="H9558" s="3" t="s">
        <v>46910</v>
      </c>
      <c r="I9558" s="3" t="s">
        <v>33199</v>
      </c>
      <c r="J9558" s="3" t="s">
        <v>48516</v>
      </c>
      <c r="K9558" s="3" t="s">
        <v>48517</v>
      </c>
      <c r="L9558" s="3"/>
      <c r="M9558" s="4"/>
      <c r="N9558" s="3" t="s">
        <v>37</v>
      </c>
      <c r="O9558" s="3" t="s">
        <v>70</v>
      </c>
      <c r="P9558" s="5">
        <v>9</v>
      </c>
      <c r="Q9558" s="5">
        <v>112</v>
      </c>
      <c r="R9558" s="5">
        <v>9</v>
      </c>
      <c r="S9558" s="5">
        <v>116</v>
      </c>
    </row>
    <row r="9559" spans="1:19" ht="28" x14ac:dyDescent="0.15">
      <c r="A9559" s="2">
        <f>HYPERLINK("https://open-school.uspishnemisto.com.ua/school/510391/", 510391)</f>
        <v>510391</v>
      </c>
      <c r="B9559" s="3" t="s">
        <v>48518</v>
      </c>
      <c r="C9559" s="3" t="s">
        <v>31</v>
      </c>
      <c r="D9559" s="3" t="s">
        <v>32</v>
      </c>
      <c r="E9559" s="4" t="s">
        <v>22</v>
      </c>
      <c r="F9559" s="4" t="s">
        <v>48519</v>
      </c>
      <c r="G9559" s="4" t="s">
        <v>48520</v>
      </c>
      <c r="H9559" s="3" t="s">
        <v>46910</v>
      </c>
      <c r="I9559" s="3" t="s">
        <v>26638</v>
      </c>
      <c r="J9559" s="3" t="s">
        <v>48521</v>
      </c>
      <c r="K9559" s="3" t="s">
        <v>48522</v>
      </c>
      <c r="L9559" s="3"/>
      <c r="M9559" s="4"/>
      <c r="N9559" s="3" t="s">
        <v>37</v>
      </c>
      <c r="O9559" s="3" t="s">
        <v>38</v>
      </c>
      <c r="P9559" s="5">
        <v>10</v>
      </c>
      <c r="Q9559" s="5">
        <v>100</v>
      </c>
      <c r="R9559" s="5">
        <v>11</v>
      </c>
      <c r="S9559" s="5">
        <v>105</v>
      </c>
    </row>
    <row r="9560" spans="1:19" ht="28" x14ac:dyDescent="0.15">
      <c r="A9560" s="2">
        <f>HYPERLINK("https://open-school.uspishnemisto.com.ua/school/510392/", 510392)</f>
        <v>510392</v>
      </c>
      <c r="B9560" s="3" t="s">
        <v>48523</v>
      </c>
      <c r="C9560" s="3" t="s">
        <v>31</v>
      </c>
      <c r="D9560" s="3" t="s">
        <v>175</v>
      </c>
      <c r="E9560" s="4" t="s">
        <v>22</v>
      </c>
      <c r="F9560" s="4" t="s">
        <v>48524</v>
      </c>
      <c r="G9560" s="4" t="s">
        <v>48525</v>
      </c>
      <c r="H9560" s="3" t="s">
        <v>46910</v>
      </c>
      <c r="I9560" s="3" t="s">
        <v>48526</v>
      </c>
      <c r="J9560" s="3" t="s">
        <v>48527</v>
      </c>
      <c r="K9560" s="3" t="s">
        <v>48528</v>
      </c>
      <c r="L9560" s="3"/>
      <c r="M9560" s="4"/>
      <c r="N9560" s="3" t="s">
        <v>37</v>
      </c>
      <c r="O9560" s="3" t="s">
        <v>38</v>
      </c>
      <c r="P9560" s="5">
        <v>8</v>
      </c>
      <c r="Q9560" s="5">
        <v>65</v>
      </c>
      <c r="R9560" s="5">
        <v>7</v>
      </c>
      <c r="S9560" s="5">
        <v>61</v>
      </c>
    </row>
    <row r="9561" spans="1:19" ht="28" x14ac:dyDescent="0.15">
      <c r="A9561" s="2">
        <f>HYPERLINK("https://open-school.uspishnemisto.com.ua/school/510393/", 510393)</f>
        <v>510393</v>
      </c>
      <c r="B9561" s="3" t="s">
        <v>48529</v>
      </c>
      <c r="C9561" s="3" t="s">
        <v>31</v>
      </c>
      <c r="D9561" s="3" t="s">
        <v>32</v>
      </c>
      <c r="E9561" s="4" t="s">
        <v>22</v>
      </c>
      <c r="F9561" s="4" t="s">
        <v>48530</v>
      </c>
      <c r="G9561" s="4" t="s">
        <v>48531</v>
      </c>
      <c r="H9561" s="3" t="s">
        <v>46910</v>
      </c>
      <c r="I9561" s="3" t="s">
        <v>48532</v>
      </c>
      <c r="J9561" s="3" t="s">
        <v>48533</v>
      </c>
      <c r="K9561" s="3" t="s">
        <v>48534</v>
      </c>
      <c r="L9561" s="3"/>
      <c r="M9561" s="4"/>
      <c r="N9561" s="3" t="s">
        <v>967</v>
      </c>
      <c r="O9561" s="3" t="s">
        <v>52</v>
      </c>
      <c r="P9561" s="5">
        <v>10</v>
      </c>
      <c r="Q9561" s="5">
        <v>104</v>
      </c>
      <c r="R9561" s="5">
        <v>11</v>
      </c>
      <c r="S9561" s="5">
        <v>97</v>
      </c>
    </row>
    <row r="9562" spans="1:19" ht="56" x14ac:dyDescent="0.15">
      <c r="A9562" s="2">
        <f>HYPERLINK("https://open-school.uspishnemisto.com.ua/school/510394/", 510394)</f>
        <v>510394</v>
      </c>
      <c r="B9562" s="3" t="s">
        <v>48535</v>
      </c>
      <c r="C9562" s="3" t="s">
        <v>54</v>
      </c>
      <c r="D9562" s="3" t="s">
        <v>32</v>
      </c>
      <c r="E9562" s="4" t="s">
        <v>22</v>
      </c>
      <c r="F9562" s="4" t="s">
        <v>48536</v>
      </c>
      <c r="G9562" s="4" t="s">
        <v>48537</v>
      </c>
      <c r="H9562" s="3" t="s">
        <v>46910</v>
      </c>
      <c r="I9562" s="3" t="s">
        <v>48538</v>
      </c>
      <c r="J9562" s="3" t="s">
        <v>48539</v>
      </c>
      <c r="K9562" s="3"/>
      <c r="L9562" s="3"/>
      <c r="M9562" s="4"/>
      <c r="N9562" s="3" t="s">
        <v>37</v>
      </c>
      <c r="O9562" s="3" t="s">
        <v>38</v>
      </c>
      <c r="P9562" s="5">
        <v>10</v>
      </c>
      <c r="Q9562" s="5">
        <v>101</v>
      </c>
      <c r="R9562" s="5">
        <v>10</v>
      </c>
      <c r="S9562" s="5">
        <v>105</v>
      </c>
    </row>
    <row r="9563" spans="1:19" ht="28" x14ac:dyDescent="0.15">
      <c r="A9563" s="2">
        <f>HYPERLINK("https://open-school.uspishnemisto.com.ua/school/510395/", 510395)</f>
        <v>510395</v>
      </c>
      <c r="B9563" s="3" t="s">
        <v>48540</v>
      </c>
      <c r="C9563" s="3" t="s">
        <v>31</v>
      </c>
      <c r="D9563" s="3" t="s">
        <v>175</v>
      </c>
      <c r="E9563" s="4" t="s">
        <v>22</v>
      </c>
      <c r="F9563" s="4" t="s">
        <v>48541</v>
      </c>
      <c r="G9563" s="4" t="s">
        <v>48542</v>
      </c>
      <c r="H9563" s="3" t="s">
        <v>46910</v>
      </c>
      <c r="I9563" s="3" t="s">
        <v>48543</v>
      </c>
      <c r="J9563" s="3" t="s">
        <v>48544</v>
      </c>
      <c r="K9563" s="3" t="s">
        <v>48545</v>
      </c>
      <c r="L9563" s="3"/>
      <c r="M9563" s="4"/>
      <c r="N9563" s="3" t="s">
        <v>37</v>
      </c>
      <c r="O9563" s="3" t="s">
        <v>38</v>
      </c>
      <c r="P9563" s="5">
        <v>6</v>
      </c>
      <c r="Q9563" s="5">
        <v>44</v>
      </c>
      <c r="R9563" s="5">
        <v>9</v>
      </c>
      <c r="S9563" s="5">
        <v>47</v>
      </c>
    </row>
    <row r="9564" spans="1:19" ht="28" x14ac:dyDescent="0.15">
      <c r="A9564" s="2">
        <f>HYPERLINK("https://open-school.uspishnemisto.com.ua/school/510396/", 510396)</f>
        <v>510396</v>
      </c>
      <c r="B9564" s="3" t="s">
        <v>48546</v>
      </c>
      <c r="C9564" s="3" t="s">
        <v>31</v>
      </c>
      <c r="D9564" s="3" t="s">
        <v>32</v>
      </c>
      <c r="E9564" s="4" t="s">
        <v>22</v>
      </c>
      <c r="F9564" s="4" t="s">
        <v>48547</v>
      </c>
      <c r="G9564" s="4" t="s">
        <v>48548</v>
      </c>
      <c r="H9564" s="3" t="s">
        <v>46910</v>
      </c>
      <c r="I9564" s="3" t="s">
        <v>48549</v>
      </c>
      <c r="J9564" s="3" t="s">
        <v>39768</v>
      </c>
      <c r="K9564" s="3" t="s">
        <v>48550</v>
      </c>
      <c r="L9564" s="3"/>
      <c r="M9564" s="4"/>
      <c r="N9564" s="3" t="s">
        <v>37</v>
      </c>
      <c r="O9564" s="3" t="s">
        <v>70</v>
      </c>
      <c r="P9564" s="5">
        <v>10</v>
      </c>
      <c r="Q9564" s="5">
        <v>90</v>
      </c>
      <c r="R9564" s="5">
        <v>11</v>
      </c>
      <c r="S9564" s="5">
        <v>87</v>
      </c>
    </row>
    <row r="9565" spans="1:19" ht="28" x14ac:dyDescent="0.15">
      <c r="A9565" s="2">
        <f>HYPERLINK("https://open-school.uspishnemisto.com.ua/school/510397/", 510397)</f>
        <v>510397</v>
      </c>
      <c r="B9565" s="3" t="s">
        <v>48551</v>
      </c>
      <c r="C9565" s="3" t="s">
        <v>31</v>
      </c>
      <c r="D9565" s="3" t="s">
        <v>32</v>
      </c>
      <c r="E9565" s="4" t="s">
        <v>22</v>
      </c>
      <c r="F9565" s="4" t="s">
        <v>48552</v>
      </c>
      <c r="G9565" s="4" t="s">
        <v>48553</v>
      </c>
      <c r="H9565" s="3" t="s">
        <v>46910</v>
      </c>
      <c r="I9565" s="3" t="s">
        <v>48554</v>
      </c>
      <c r="J9565" s="3" t="s">
        <v>48555</v>
      </c>
      <c r="K9565" s="3" t="s">
        <v>48556</v>
      </c>
      <c r="L9565" s="3"/>
      <c r="M9565" s="4"/>
      <c r="N9565" s="3" t="s">
        <v>37</v>
      </c>
      <c r="O9565" s="3" t="s">
        <v>38</v>
      </c>
      <c r="P9565" s="5">
        <v>10</v>
      </c>
      <c r="Q9565" s="5">
        <v>90</v>
      </c>
      <c r="R9565" s="5">
        <v>10</v>
      </c>
      <c r="S9565" s="5">
        <v>80</v>
      </c>
    </row>
    <row r="9566" spans="1:19" ht="28" x14ac:dyDescent="0.15">
      <c r="A9566" s="2">
        <f>HYPERLINK("https://open-school.uspishnemisto.com.ua/school/510398/", 510398)</f>
        <v>510398</v>
      </c>
      <c r="B9566" s="3" t="s">
        <v>48557</v>
      </c>
      <c r="C9566" s="3" t="s">
        <v>54</v>
      </c>
      <c r="D9566" s="3" t="s">
        <v>60</v>
      </c>
      <c r="E9566" s="4" t="s">
        <v>22</v>
      </c>
      <c r="F9566" s="4" t="s">
        <v>48558</v>
      </c>
      <c r="G9566" s="4" t="s">
        <v>48559</v>
      </c>
      <c r="H9566" s="3" t="s">
        <v>46910</v>
      </c>
      <c r="I9566" s="3" t="s">
        <v>48560</v>
      </c>
      <c r="J9566" s="3" t="s">
        <v>32504</v>
      </c>
      <c r="K9566" s="3"/>
      <c r="L9566" s="3"/>
      <c r="M9566" s="4"/>
      <c r="N9566" s="3" t="s">
        <v>37</v>
      </c>
      <c r="O9566" s="3" t="s">
        <v>112</v>
      </c>
      <c r="P9566" s="5">
        <v>1</v>
      </c>
      <c r="Q9566" s="5">
        <v>9</v>
      </c>
      <c r="R9566" s="5">
        <v>1</v>
      </c>
      <c r="S9566" s="5">
        <v>25</v>
      </c>
    </row>
    <row r="9567" spans="1:19" ht="28" x14ac:dyDescent="0.15">
      <c r="A9567" s="2">
        <f>HYPERLINK("https://open-school.uspishnemisto.com.ua/school/510399/", 510399)</f>
        <v>510399</v>
      </c>
      <c r="B9567" s="3" t="s">
        <v>48561</v>
      </c>
      <c r="C9567" s="3" t="s">
        <v>31</v>
      </c>
      <c r="D9567" s="3" t="s">
        <v>175</v>
      </c>
      <c r="E9567" s="4" t="s">
        <v>253</v>
      </c>
      <c r="F9567" s="4" t="s">
        <v>48562</v>
      </c>
      <c r="G9567" s="4" t="s">
        <v>48563</v>
      </c>
      <c r="H9567" s="3" t="s">
        <v>46910</v>
      </c>
      <c r="I9567" s="3" t="s">
        <v>48564</v>
      </c>
      <c r="J9567" s="3" t="s">
        <v>25268</v>
      </c>
      <c r="K9567" s="3" t="s">
        <v>48565</v>
      </c>
      <c r="L9567" s="3"/>
      <c r="M9567" s="4"/>
      <c r="N9567" s="3" t="s">
        <v>37</v>
      </c>
      <c r="O9567" s="3" t="s">
        <v>70</v>
      </c>
      <c r="P9567" s="5">
        <v>9</v>
      </c>
      <c r="Q9567" s="5">
        <v>76</v>
      </c>
      <c r="R9567" s="5">
        <v>9</v>
      </c>
      <c r="S9567" s="5">
        <v>71</v>
      </c>
    </row>
    <row r="9568" spans="1:19" ht="28" x14ac:dyDescent="0.15">
      <c r="A9568" s="2">
        <f>HYPERLINK("https://open-school.uspishnemisto.com.ua/school/510400/", 510400)</f>
        <v>510400</v>
      </c>
      <c r="B9568" s="3" t="s">
        <v>48566</v>
      </c>
      <c r="C9568" s="3" t="s">
        <v>31</v>
      </c>
      <c r="D9568" s="3" t="s">
        <v>175</v>
      </c>
      <c r="E9568" s="4" t="s">
        <v>22</v>
      </c>
      <c r="F9568" s="4" t="s">
        <v>48567</v>
      </c>
      <c r="G9568" s="4" t="s">
        <v>48568</v>
      </c>
      <c r="H9568" s="3" t="s">
        <v>46910</v>
      </c>
      <c r="I9568" s="3" t="s">
        <v>2900</v>
      </c>
      <c r="J9568" s="3" t="s">
        <v>48569</v>
      </c>
      <c r="K9568" s="3" t="s">
        <v>48570</v>
      </c>
      <c r="L9568" s="3"/>
      <c r="M9568" s="4"/>
      <c r="N9568" s="3" t="s">
        <v>37</v>
      </c>
      <c r="O9568" s="3" t="s">
        <v>38</v>
      </c>
      <c r="P9568" s="5">
        <v>8</v>
      </c>
      <c r="Q9568" s="5">
        <v>74</v>
      </c>
      <c r="R9568" s="5">
        <v>7</v>
      </c>
      <c r="S9568" s="5">
        <v>66</v>
      </c>
    </row>
    <row r="9569" spans="1:19" ht="42" x14ac:dyDescent="0.15">
      <c r="A9569" s="2">
        <f>HYPERLINK("https://open-school.uspishnemisto.com.ua/school/510401/", 510401)</f>
        <v>510401</v>
      </c>
      <c r="B9569" s="3" t="s">
        <v>48571</v>
      </c>
      <c r="C9569" s="3" t="s">
        <v>31</v>
      </c>
      <c r="D9569" s="3" t="s">
        <v>32</v>
      </c>
      <c r="E9569" s="4" t="s">
        <v>22</v>
      </c>
      <c r="F9569" s="4" t="s">
        <v>48572</v>
      </c>
      <c r="G9569" s="4" t="s">
        <v>48573</v>
      </c>
      <c r="H9569" s="3" t="s">
        <v>46910</v>
      </c>
      <c r="I9569" s="3" t="s">
        <v>37918</v>
      </c>
      <c r="J9569" s="3" t="s">
        <v>17954</v>
      </c>
      <c r="K9569" s="3" t="s">
        <v>48574</v>
      </c>
      <c r="L9569" s="3"/>
      <c r="M9569" s="4"/>
      <c r="N9569" s="3" t="s">
        <v>37</v>
      </c>
      <c r="O9569" s="3" t="s">
        <v>38</v>
      </c>
      <c r="P9569" s="5">
        <v>11</v>
      </c>
      <c r="Q9569" s="5">
        <v>169</v>
      </c>
      <c r="R9569" s="5">
        <v>11</v>
      </c>
      <c r="S9569" s="5">
        <v>170</v>
      </c>
    </row>
    <row r="9570" spans="1:19" ht="56" x14ac:dyDescent="0.15">
      <c r="A9570" s="2">
        <f>HYPERLINK("https://open-school.uspishnemisto.com.ua/school/510402/", 510402)</f>
        <v>510402</v>
      </c>
      <c r="B9570" s="3" t="s">
        <v>48575</v>
      </c>
      <c r="C9570" s="3" t="s">
        <v>54</v>
      </c>
      <c r="D9570" s="3" t="s">
        <v>32</v>
      </c>
      <c r="E9570" s="4" t="s">
        <v>22</v>
      </c>
      <c r="F9570" s="4" t="s">
        <v>48576</v>
      </c>
      <c r="G9570" s="4" t="s">
        <v>48577</v>
      </c>
      <c r="H9570" s="3" t="s">
        <v>46910</v>
      </c>
      <c r="I9570" s="3" t="s">
        <v>48578</v>
      </c>
      <c r="J9570" s="3" t="s">
        <v>48579</v>
      </c>
      <c r="K9570" s="3" t="s">
        <v>48580</v>
      </c>
      <c r="L9570" s="3"/>
      <c r="M9570" s="4"/>
      <c r="N9570" s="3" t="s">
        <v>37</v>
      </c>
      <c r="O9570" s="3" t="s">
        <v>112</v>
      </c>
      <c r="P9570" s="5">
        <v>11</v>
      </c>
      <c r="Q9570" s="5">
        <v>100</v>
      </c>
      <c r="R9570" s="5">
        <v>11</v>
      </c>
      <c r="S9570" s="5">
        <v>101</v>
      </c>
    </row>
    <row r="9571" spans="1:19" ht="28" x14ac:dyDescent="0.15">
      <c r="A9571" s="2">
        <f>HYPERLINK("https://open-school.uspishnemisto.com.ua/school/510403/", 510403)</f>
        <v>510403</v>
      </c>
      <c r="B9571" s="3" t="s">
        <v>48581</v>
      </c>
      <c r="C9571" s="3" t="s">
        <v>31</v>
      </c>
      <c r="D9571" s="3" t="s">
        <v>175</v>
      </c>
      <c r="E9571" s="4" t="s">
        <v>22</v>
      </c>
      <c r="F9571" s="4" t="s">
        <v>48576</v>
      </c>
      <c r="G9571" s="4" t="s">
        <v>48582</v>
      </c>
      <c r="H9571" s="3" t="s">
        <v>46910</v>
      </c>
      <c r="I9571" s="3" t="s">
        <v>12478</v>
      </c>
      <c r="J9571" s="3" t="s">
        <v>566</v>
      </c>
      <c r="K9571" s="3"/>
      <c r="L9571" s="3"/>
      <c r="M9571" s="4"/>
      <c r="N9571" s="3" t="s">
        <v>37</v>
      </c>
      <c r="O9571" s="3" t="s">
        <v>112</v>
      </c>
      <c r="P9571" s="5">
        <v>8</v>
      </c>
      <c r="Q9571" s="5">
        <v>44</v>
      </c>
      <c r="R9571" s="5">
        <v>8</v>
      </c>
      <c r="S9571" s="5">
        <v>50</v>
      </c>
    </row>
    <row r="9572" spans="1:19" ht="42" x14ac:dyDescent="0.15">
      <c r="A9572" s="2">
        <f>HYPERLINK("https://open-school.uspishnemisto.com.ua/school/510404/", 510404)</f>
        <v>510404</v>
      </c>
      <c r="B9572" s="3" t="s">
        <v>48583</v>
      </c>
      <c r="C9572" s="3" t="s">
        <v>31</v>
      </c>
      <c r="D9572" s="3" t="s">
        <v>32</v>
      </c>
      <c r="E9572" s="4" t="s">
        <v>22</v>
      </c>
      <c r="F9572" s="4" t="s">
        <v>48584</v>
      </c>
      <c r="G9572" s="4" t="s">
        <v>48585</v>
      </c>
      <c r="H9572" s="3" t="s">
        <v>46910</v>
      </c>
      <c r="I9572" s="3" t="s">
        <v>48586</v>
      </c>
      <c r="J9572" s="3" t="s">
        <v>11336</v>
      </c>
      <c r="K9572" s="3" t="s">
        <v>48587</v>
      </c>
      <c r="L9572" s="3"/>
      <c r="M9572" s="4"/>
      <c r="N9572" s="3" t="s">
        <v>37</v>
      </c>
      <c r="O9572" s="3" t="s">
        <v>70</v>
      </c>
      <c r="P9572" s="5">
        <v>12</v>
      </c>
      <c r="Q9572" s="5">
        <v>228</v>
      </c>
      <c r="R9572" s="5">
        <v>13</v>
      </c>
      <c r="S9572" s="5">
        <v>236</v>
      </c>
    </row>
    <row r="9573" spans="1:19" ht="28" x14ac:dyDescent="0.15">
      <c r="A9573" s="2">
        <f>HYPERLINK("https://open-school.uspishnemisto.com.ua/school/510405/", 510405)</f>
        <v>510405</v>
      </c>
      <c r="B9573" s="3" t="s">
        <v>48588</v>
      </c>
      <c r="C9573" s="3" t="s">
        <v>31</v>
      </c>
      <c r="D9573" s="3" t="s">
        <v>175</v>
      </c>
      <c r="E9573" s="4" t="s">
        <v>22</v>
      </c>
      <c r="F9573" s="4" t="s">
        <v>48589</v>
      </c>
      <c r="G9573" s="4" t="s">
        <v>48590</v>
      </c>
      <c r="H9573" s="3" t="s">
        <v>46910</v>
      </c>
      <c r="I9573" s="3" t="s">
        <v>48591</v>
      </c>
      <c r="J9573" s="3" t="s">
        <v>48592</v>
      </c>
      <c r="K9573" s="3"/>
      <c r="L9573" s="3"/>
      <c r="M9573" s="4"/>
      <c r="N9573" s="3" t="s">
        <v>37</v>
      </c>
      <c r="O9573" s="3" t="s">
        <v>112</v>
      </c>
      <c r="P9573" s="5">
        <v>9</v>
      </c>
      <c r="Q9573" s="5">
        <v>69</v>
      </c>
      <c r="R9573" s="5">
        <v>9</v>
      </c>
      <c r="S9573" s="5">
        <v>73</v>
      </c>
    </row>
    <row r="9574" spans="1:19" ht="28" x14ac:dyDescent="0.15">
      <c r="A9574" s="2">
        <f>HYPERLINK("https://open-school.uspishnemisto.com.ua/school/510406/", 510406)</f>
        <v>510406</v>
      </c>
      <c r="B9574" s="3" t="s">
        <v>48593</v>
      </c>
      <c r="C9574" s="3" t="s">
        <v>31</v>
      </c>
      <c r="D9574" s="3" t="s">
        <v>32</v>
      </c>
      <c r="E9574" s="4" t="s">
        <v>22</v>
      </c>
      <c r="F9574" s="4" t="s">
        <v>48594</v>
      </c>
      <c r="G9574" s="4" t="s">
        <v>48595</v>
      </c>
      <c r="H9574" s="3" t="s">
        <v>46910</v>
      </c>
      <c r="I9574" s="3" t="s">
        <v>48596</v>
      </c>
      <c r="J9574" s="3" t="s">
        <v>14979</v>
      </c>
      <c r="K9574" s="3"/>
      <c r="L9574" s="3"/>
      <c r="M9574" s="4"/>
      <c r="N9574" s="3" t="s">
        <v>37</v>
      </c>
      <c r="O9574" s="3" t="s">
        <v>38</v>
      </c>
      <c r="P9574" s="5">
        <v>11</v>
      </c>
      <c r="Q9574" s="5">
        <v>115</v>
      </c>
      <c r="R9574" s="5">
        <v>10</v>
      </c>
      <c r="S9574" s="5">
        <v>104</v>
      </c>
    </row>
    <row r="9575" spans="1:19" ht="28" x14ac:dyDescent="0.15">
      <c r="A9575" s="2">
        <f>HYPERLINK("https://open-school.uspishnemisto.com.ua/school/510407/", 510407)</f>
        <v>510407</v>
      </c>
      <c r="B9575" s="3" t="s">
        <v>48597</v>
      </c>
      <c r="C9575" s="3" t="s">
        <v>54</v>
      </c>
      <c r="D9575" s="3" t="s">
        <v>60</v>
      </c>
      <c r="E9575" s="4" t="s">
        <v>22</v>
      </c>
      <c r="F9575" s="4" t="s">
        <v>48594</v>
      </c>
      <c r="G9575" s="4" t="s">
        <v>48598</v>
      </c>
      <c r="H9575" s="3" t="s">
        <v>46910</v>
      </c>
      <c r="I9575" s="3" t="s">
        <v>48599</v>
      </c>
      <c r="J9575" s="3" t="s">
        <v>2476</v>
      </c>
      <c r="K9575" s="3" t="s">
        <v>48600</v>
      </c>
      <c r="L9575" s="3"/>
      <c r="M9575" s="4"/>
      <c r="N9575" s="3" t="s">
        <v>37</v>
      </c>
      <c r="O9575" s="3" t="s">
        <v>38</v>
      </c>
      <c r="P9575" s="5">
        <v>3</v>
      </c>
      <c r="Q9575" s="5">
        <v>23</v>
      </c>
      <c r="R9575" s="5">
        <v>3</v>
      </c>
      <c r="S9575" s="5">
        <v>36</v>
      </c>
    </row>
    <row r="9576" spans="1:19" ht="28" x14ac:dyDescent="0.15">
      <c r="A9576" s="2">
        <f>HYPERLINK("https://open-school.uspishnemisto.com.ua/school/510408/", 510408)</f>
        <v>510408</v>
      </c>
      <c r="B9576" s="3" t="s">
        <v>48601</v>
      </c>
      <c r="C9576" s="3" t="s">
        <v>31</v>
      </c>
      <c r="D9576" s="3" t="s">
        <v>175</v>
      </c>
      <c r="E9576" s="4" t="s">
        <v>22</v>
      </c>
      <c r="F9576" s="4" t="s">
        <v>48602</v>
      </c>
      <c r="G9576" s="4" t="s">
        <v>48603</v>
      </c>
      <c r="H9576" s="3" t="s">
        <v>46910</v>
      </c>
      <c r="I9576" s="3" t="s">
        <v>688</v>
      </c>
      <c r="J9576" s="3" t="s">
        <v>1360</v>
      </c>
      <c r="K9576" s="3" t="s">
        <v>48604</v>
      </c>
      <c r="L9576" s="3"/>
      <c r="M9576" s="4"/>
      <c r="N9576" s="3" t="s">
        <v>37</v>
      </c>
      <c r="O9576" s="3" t="s">
        <v>38</v>
      </c>
      <c r="P9576" s="5">
        <v>5</v>
      </c>
      <c r="Q9576" s="5">
        <v>42</v>
      </c>
      <c r="R9576" s="5">
        <v>6</v>
      </c>
      <c r="S9576" s="5">
        <v>42</v>
      </c>
    </row>
    <row r="9577" spans="1:19" ht="28" x14ac:dyDescent="0.15">
      <c r="A9577" s="2">
        <f>HYPERLINK("https://open-school.uspishnemisto.com.ua/school/510409/", 510409)</f>
        <v>510409</v>
      </c>
      <c r="B9577" s="3" t="s">
        <v>48605</v>
      </c>
      <c r="C9577" s="3" t="s">
        <v>31</v>
      </c>
      <c r="D9577" s="3" t="s">
        <v>175</v>
      </c>
      <c r="E9577" s="4" t="s">
        <v>22</v>
      </c>
      <c r="F9577" s="4" t="s">
        <v>48606</v>
      </c>
      <c r="G9577" s="4" t="s">
        <v>48607</v>
      </c>
      <c r="H9577" s="3" t="s">
        <v>46910</v>
      </c>
      <c r="I9577" s="3" t="s">
        <v>11064</v>
      </c>
      <c r="J9577" s="3" t="s">
        <v>48608</v>
      </c>
      <c r="K9577" s="3" t="s">
        <v>48609</v>
      </c>
      <c r="L9577" s="3"/>
      <c r="M9577" s="4"/>
      <c r="N9577" s="3" t="s">
        <v>37</v>
      </c>
      <c r="O9577" s="3" t="s">
        <v>38</v>
      </c>
      <c r="P9577" s="5">
        <v>8</v>
      </c>
      <c r="Q9577" s="5">
        <v>53</v>
      </c>
      <c r="R9577" s="5">
        <v>7</v>
      </c>
      <c r="S9577" s="5">
        <v>48</v>
      </c>
    </row>
    <row r="9578" spans="1:19" ht="28" x14ac:dyDescent="0.15">
      <c r="A9578" s="2">
        <f>HYPERLINK("https://open-school.uspishnemisto.com.ua/school/510410/", 510410)</f>
        <v>510410</v>
      </c>
      <c r="B9578" s="3" t="s">
        <v>48610</v>
      </c>
      <c r="C9578" s="3" t="s">
        <v>31</v>
      </c>
      <c r="D9578" s="3" t="s">
        <v>175</v>
      </c>
      <c r="E9578" s="4" t="s">
        <v>22</v>
      </c>
      <c r="F9578" s="4" t="s">
        <v>48611</v>
      </c>
      <c r="G9578" s="4" t="s">
        <v>48612</v>
      </c>
      <c r="H9578" s="3" t="s">
        <v>46910</v>
      </c>
      <c r="I9578" s="3" t="s">
        <v>48613</v>
      </c>
      <c r="J9578" s="3" t="s">
        <v>48614</v>
      </c>
      <c r="K9578" s="3" t="s">
        <v>48615</v>
      </c>
      <c r="L9578" s="3"/>
      <c r="M9578" s="4"/>
      <c r="N9578" s="3" t="s">
        <v>37</v>
      </c>
      <c r="O9578" s="3" t="s">
        <v>112</v>
      </c>
      <c r="P9578" s="5">
        <v>3</v>
      </c>
      <c r="Q9578" s="5">
        <v>31</v>
      </c>
      <c r="R9578" s="5">
        <v>3</v>
      </c>
      <c r="S9578" s="5">
        <v>28</v>
      </c>
    </row>
    <row r="9579" spans="1:19" ht="56" x14ac:dyDescent="0.15">
      <c r="A9579" s="2">
        <f>HYPERLINK("https://open-school.uspishnemisto.com.ua/school/510411/", 510411)</f>
        <v>510411</v>
      </c>
      <c r="B9579" s="3" t="s">
        <v>48616</v>
      </c>
      <c r="C9579" s="3" t="s">
        <v>54</v>
      </c>
      <c r="D9579" s="3" t="s">
        <v>175</v>
      </c>
      <c r="E9579" s="4" t="s">
        <v>22</v>
      </c>
      <c r="F9579" s="4" t="s">
        <v>48611</v>
      </c>
      <c r="G9579" s="4" t="s">
        <v>48617</v>
      </c>
      <c r="H9579" s="3" t="s">
        <v>46910</v>
      </c>
      <c r="I9579" s="3" t="s">
        <v>48618</v>
      </c>
      <c r="J9579" s="3" t="s">
        <v>48619</v>
      </c>
      <c r="K9579" s="3" t="s">
        <v>48620</v>
      </c>
      <c r="L9579" s="3"/>
      <c r="M9579" s="4"/>
      <c r="N9579" s="3" t="s">
        <v>37</v>
      </c>
      <c r="O9579" s="3" t="s">
        <v>112</v>
      </c>
      <c r="P9579" s="5">
        <v>3</v>
      </c>
      <c r="Q9579" s="5">
        <v>34</v>
      </c>
      <c r="R9579" s="5">
        <v>4</v>
      </c>
      <c r="S9579" s="5">
        <v>34</v>
      </c>
    </row>
    <row r="9580" spans="1:19" ht="28" x14ac:dyDescent="0.15">
      <c r="A9580" s="2">
        <f>HYPERLINK("https://open-school.uspishnemisto.com.ua/school/510413/", 510413)</f>
        <v>510413</v>
      </c>
      <c r="B9580" s="3" t="s">
        <v>48621</v>
      </c>
      <c r="C9580" s="3" t="s">
        <v>31</v>
      </c>
      <c r="D9580" s="3" t="s">
        <v>32</v>
      </c>
      <c r="E9580" s="4" t="s">
        <v>22</v>
      </c>
      <c r="F9580" s="4" t="s">
        <v>48622</v>
      </c>
      <c r="G9580" s="4" t="s">
        <v>48623</v>
      </c>
      <c r="H9580" s="3" t="s">
        <v>46910</v>
      </c>
      <c r="I9580" s="3" t="s">
        <v>48624</v>
      </c>
      <c r="J9580" s="3" t="s">
        <v>48625</v>
      </c>
      <c r="K9580" s="3" t="s">
        <v>48626</v>
      </c>
      <c r="L9580" s="3"/>
      <c r="M9580" s="4" t="s">
        <v>48627</v>
      </c>
      <c r="N9580" s="3" t="s">
        <v>128</v>
      </c>
      <c r="O9580" s="3" t="s">
        <v>721</v>
      </c>
      <c r="P9580" s="5">
        <v>27</v>
      </c>
      <c r="Q9580" s="5">
        <v>672</v>
      </c>
      <c r="R9580" s="5">
        <v>27</v>
      </c>
      <c r="S9580" s="5">
        <v>638</v>
      </c>
    </row>
    <row r="9581" spans="1:19" ht="42" x14ac:dyDescent="0.15">
      <c r="A9581" s="2">
        <f>HYPERLINK("https://open-school.uspishnemisto.com.ua/school/510414/", 510414)</f>
        <v>510414</v>
      </c>
      <c r="B9581" s="3" t="s">
        <v>48628</v>
      </c>
      <c r="C9581" s="3" t="s">
        <v>31</v>
      </c>
      <c r="D9581" s="3" t="s">
        <v>32</v>
      </c>
      <c r="E9581" s="4" t="s">
        <v>22</v>
      </c>
      <c r="F9581" s="4" t="s">
        <v>48622</v>
      </c>
      <c r="G9581" s="4" t="s">
        <v>48623</v>
      </c>
      <c r="H9581" s="3" t="s">
        <v>46910</v>
      </c>
      <c r="I9581" s="3" t="s">
        <v>48624</v>
      </c>
      <c r="J9581" s="3" t="s">
        <v>48629</v>
      </c>
      <c r="K9581" s="3" t="s">
        <v>48630</v>
      </c>
      <c r="L9581" s="3"/>
      <c r="M9581" s="4" t="s">
        <v>48631</v>
      </c>
      <c r="N9581" s="3" t="s">
        <v>128</v>
      </c>
      <c r="O9581" s="3" t="s">
        <v>721</v>
      </c>
      <c r="P9581" s="5">
        <v>11</v>
      </c>
      <c r="Q9581" s="5">
        <v>172</v>
      </c>
      <c r="R9581" s="5">
        <v>11</v>
      </c>
      <c r="S9581" s="5">
        <v>182</v>
      </c>
    </row>
    <row r="9582" spans="1:19" ht="42" x14ac:dyDescent="0.15">
      <c r="A9582" s="2">
        <f>HYPERLINK("https://open-school.uspishnemisto.com.ua/school/510415/", 510415)</f>
        <v>510415</v>
      </c>
      <c r="B9582" s="3" t="s">
        <v>48632</v>
      </c>
      <c r="C9582" s="3" t="s">
        <v>54</v>
      </c>
      <c r="D9582" s="3" t="s">
        <v>32</v>
      </c>
      <c r="E9582" s="4" t="s">
        <v>22</v>
      </c>
      <c r="F9582" s="4" t="s">
        <v>48622</v>
      </c>
      <c r="G9582" s="4" t="s">
        <v>48623</v>
      </c>
      <c r="H9582" s="3" t="s">
        <v>46910</v>
      </c>
      <c r="I9582" s="3" t="s">
        <v>48624</v>
      </c>
      <c r="J9582" s="3" t="s">
        <v>48633</v>
      </c>
      <c r="K9582" s="3" t="s">
        <v>48634</v>
      </c>
      <c r="L9582" s="3" t="s">
        <v>48635</v>
      </c>
      <c r="M9582" s="4" t="s">
        <v>48636</v>
      </c>
      <c r="N9582" s="3" t="s">
        <v>37</v>
      </c>
      <c r="O9582" s="3" t="s">
        <v>197</v>
      </c>
      <c r="P9582" s="5">
        <v>28</v>
      </c>
      <c r="Q9582" s="5">
        <v>623</v>
      </c>
      <c r="R9582" s="5">
        <v>29</v>
      </c>
      <c r="S9582" s="5">
        <v>609</v>
      </c>
    </row>
    <row r="9583" spans="1:19" ht="56" x14ac:dyDescent="0.15">
      <c r="A9583" s="2">
        <f>HYPERLINK("https://open-school.uspishnemisto.com.ua/school/510416/", 510416)</f>
        <v>510416</v>
      </c>
      <c r="B9583" s="3" t="s">
        <v>48637</v>
      </c>
      <c r="C9583" s="3" t="s">
        <v>181</v>
      </c>
      <c r="D9583" s="3" t="s">
        <v>32</v>
      </c>
      <c r="E9583" s="4" t="s">
        <v>22</v>
      </c>
      <c r="F9583" s="4" t="s">
        <v>48622</v>
      </c>
      <c r="G9583" s="4" t="s">
        <v>48623</v>
      </c>
      <c r="H9583" s="3" t="s">
        <v>46910</v>
      </c>
      <c r="I9583" s="3" t="s">
        <v>48624</v>
      </c>
      <c r="J9583" s="3" t="s">
        <v>48638</v>
      </c>
      <c r="K9583" s="3" t="s">
        <v>48639</v>
      </c>
      <c r="L9583" s="3" t="s">
        <v>48640</v>
      </c>
      <c r="M9583" s="4" t="s">
        <v>48641</v>
      </c>
      <c r="N9583" s="3" t="s">
        <v>37</v>
      </c>
      <c r="O9583" s="3" t="s">
        <v>38</v>
      </c>
      <c r="P9583" s="5">
        <v>11</v>
      </c>
      <c r="Q9583" s="5">
        <v>77</v>
      </c>
      <c r="R9583" s="5">
        <v>8</v>
      </c>
      <c r="S9583" s="5">
        <v>47</v>
      </c>
    </row>
    <row r="9584" spans="1:19" ht="28" x14ac:dyDescent="0.15">
      <c r="A9584" s="2">
        <f>HYPERLINK("https://open-school.uspishnemisto.com.ua/school/510417/", 510417)</f>
        <v>510417</v>
      </c>
      <c r="B9584" s="3" t="s">
        <v>48642</v>
      </c>
      <c r="C9584" s="3" t="s">
        <v>4989</v>
      </c>
      <c r="D9584" s="3" t="s">
        <v>32</v>
      </c>
      <c r="E9584" s="4" t="s">
        <v>22</v>
      </c>
      <c r="F9584" s="4" t="s">
        <v>48622</v>
      </c>
      <c r="G9584" s="4" t="s">
        <v>48623</v>
      </c>
      <c r="H9584" s="3" t="s">
        <v>46910</v>
      </c>
      <c r="I9584" s="3" t="s">
        <v>48624</v>
      </c>
      <c r="J9584" s="3" t="s">
        <v>48643</v>
      </c>
      <c r="K9584" s="3" t="s">
        <v>48644</v>
      </c>
      <c r="L9584" s="3"/>
      <c r="M9584" s="4" t="s">
        <v>48645</v>
      </c>
      <c r="N9584" s="3" t="s">
        <v>37</v>
      </c>
      <c r="O9584" s="3" t="s">
        <v>26431</v>
      </c>
      <c r="P9584" s="5">
        <v>22</v>
      </c>
      <c r="Q9584" s="5">
        <v>440</v>
      </c>
      <c r="R9584" s="5">
        <v>22</v>
      </c>
      <c r="S9584" s="5">
        <v>417</v>
      </c>
    </row>
    <row r="9585" spans="1:19" ht="56" x14ac:dyDescent="0.15">
      <c r="A9585" s="2">
        <f>HYPERLINK("https://open-school.uspishnemisto.com.ua/school/510418/", 510418)</f>
        <v>510418</v>
      </c>
      <c r="B9585" s="3" t="s">
        <v>48646</v>
      </c>
      <c r="C9585" s="3" t="s">
        <v>54</v>
      </c>
      <c r="D9585" s="3" t="s">
        <v>32</v>
      </c>
      <c r="E9585" s="4" t="s">
        <v>22</v>
      </c>
      <c r="F9585" s="4" t="s">
        <v>48647</v>
      </c>
      <c r="G9585" s="4" t="s">
        <v>48648</v>
      </c>
      <c r="H9585" s="3" t="s">
        <v>46910</v>
      </c>
      <c r="I9585" s="3" t="s">
        <v>1291</v>
      </c>
      <c r="J9585" s="3" t="s">
        <v>48649</v>
      </c>
      <c r="K9585" s="3" t="s">
        <v>48650</v>
      </c>
      <c r="L9585" s="3"/>
      <c r="M9585" s="4"/>
      <c r="N9585" s="3" t="s">
        <v>128</v>
      </c>
      <c r="O9585" s="3" t="s">
        <v>48651</v>
      </c>
      <c r="P9585" s="5">
        <v>11</v>
      </c>
      <c r="Q9585" s="5">
        <v>169</v>
      </c>
      <c r="R9585" s="5">
        <v>11</v>
      </c>
      <c r="S9585" s="5">
        <v>179</v>
      </c>
    </row>
    <row r="9586" spans="1:19" ht="28" x14ac:dyDescent="0.15">
      <c r="A9586" s="2">
        <f>HYPERLINK("https://open-school.uspishnemisto.com.ua/school/510419/", 510419)</f>
        <v>510419</v>
      </c>
      <c r="B9586" s="3" t="s">
        <v>48652</v>
      </c>
      <c r="C9586" s="3" t="s">
        <v>31</v>
      </c>
      <c r="D9586" s="3" t="s">
        <v>32</v>
      </c>
      <c r="E9586" s="4" t="s">
        <v>22</v>
      </c>
      <c r="F9586" s="4" t="s">
        <v>48653</v>
      </c>
      <c r="G9586" s="4" t="s">
        <v>48654</v>
      </c>
      <c r="H9586" s="3" t="s">
        <v>46910</v>
      </c>
      <c r="I9586" s="3" t="s">
        <v>48655</v>
      </c>
      <c r="J9586" s="3" t="s">
        <v>48656</v>
      </c>
      <c r="K9586" s="3" t="s">
        <v>48657</v>
      </c>
      <c r="L9586" s="3"/>
      <c r="M9586" s="4"/>
      <c r="N9586" s="3" t="s">
        <v>37</v>
      </c>
      <c r="O9586" s="3" t="s">
        <v>26431</v>
      </c>
      <c r="P9586" s="5">
        <v>11</v>
      </c>
      <c r="Q9586" s="5">
        <v>139</v>
      </c>
      <c r="R9586" s="5">
        <v>11</v>
      </c>
      <c r="S9586" s="5">
        <v>130</v>
      </c>
    </row>
    <row r="9587" spans="1:19" ht="28" x14ac:dyDescent="0.15">
      <c r="A9587" s="2">
        <f>HYPERLINK("https://open-school.uspishnemisto.com.ua/school/510420/", 510420)</f>
        <v>510420</v>
      </c>
      <c r="B9587" s="3" t="s">
        <v>48658</v>
      </c>
      <c r="C9587" s="3" t="s">
        <v>31</v>
      </c>
      <c r="D9587" s="3" t="s">
        <v>32</v>
      </c>
      <c r="E9587" s="4" t="s">
        <v>22</v>
      </c>
      <c r="F9587" s="4" t="s">
        <v>48659</v>
      </c>
      <c r="G9587" s="4" t="s">
        <v>48660</v>
      </c>
      <c r="H9587" s="3" t="s">
        <v>46910</v>
      </c>
      <c r="I9587" s="3" t="s">
        <v>1500</v>
      </c>
      <c r="J9587" s="3" t="s">
        <v>2476</v>
      </c>
      <c r="K9587" s="3" t="s">
        <v>48661</v>
      </c>
      <c r="L9587" s="3"/>
      <c r="M9587" s="4"/>
      <c r="N9587" s="3" t="s">
        <v>37</v>
      </c>
      <c r="O9587" s="3" t="s">
        <v>26431</v>
      </c>
      <c r="P9587" s="5">
        <v>21</v>
      </c>
      <c r="Q9587" s="5">
        <v>420</v>
      </c>
      <c r="R9587" s="5">
        <v>21</v>
      </c>
      <c r="S9587" s="5">
        <v>425</v>
      </c>
    </row>
    <row r="9588" spans="1:19" ht="28" x14ac:dyDescent="0.15">
      <c r="A9588" s="2">
        <f>HYPERLINK("https://open-school.uspishnemisto.com.ua/school/510421/", 510421)</f>
        <v>510421</v>
      </c>
      <c r="B9588" s="3" t="s">
        <v>48662</v>
      </c>
      <c r="C9588" s="3" t="s">
        <v>31</v>
      </c>
      <c r="D9588" s="3" t="s">
        <v>32</v>
      </c>
      <c r="E9588" s="4" t="s">
        <v>22</v>
      </c>
      <c r="F9588" s="4" t="s">
        <v>48663</v>
      </c>
      <c r="G9588" s="4" t="s">
        <v>48664</v>
      </c>
      <c r="H9588" s="3" t="s">
        <v>46910</v>
      </c>
      <c r="I9588" s="3" t="s">
        <v>26638</v>
      </c>
      <c r="J9588" s="3" t="s">
        <v>878</v>
      </c>
      <c r="K9588" s="3" t="s">
        <v>48665</v>
      </c>
      <c r="L9588" s="3"/>
      <c r="M9588" s="4"/>
      <c r="N9588" s="3" t="s">
        <v>37</v>
      </c>
      <c r="O9588" s="3" t="s">
        <v>26431</v>
      </c>
      <c r="P9588" s="5">
        <v>11</v>
      </c>
      <c r="Q9588" s="5">
        <v>136</v>
      </c>
      <c r="R9588" s="5">
        <v>11</v>
      </c>
      <c r="S9588" s="5">
        <v>138</v>
      </c>
    </row>
    <row r="9589" spans="1:19" ht="28" x14ac:dyDescent="0.15">
      <c r="A9589" s="2">
        <f>HYPERLINK("https://open-school.uspishnemisto.com.ua/school/510422/", 510422)</f>
        <v>510422</v>
      </c>
      <c r="B9589" s="3" t="s">
        <v>48666</v>
      </c>
      <c r="C9589" s="3" t="s">
        <v>31</v>
      </c>
      <c r="D9589" s="3" t="s">
        <v>32</v>
      </c>
      <c r="E9589" s="4" t="s">
        <v>22</v>
      </c>
      <c r="F9589" s="4" t="s">
        <v>48667</v>
      </c>
      <c r="G9589" s="4" t="s">
        <v>48668</v>
      </c>
      <c r="H9589" s="3" t="s">
        <v>46910</v>
      </c>
      <c r="I9589" s="3" t="s">
        <v>12777</v>
      </c>
      <c r="J9589" s="3" t="s">
        <v>817</v>
      </c>
      <c r="K9589" s="3" t="s">
        <v>48669</v>
      </c>
      <c r="L9589" s="3"/>
      <c r="M9589" s="4"/>
      <c r="N9589" s="3" t="s">
        <v>967</v>
      </c>
      <c r="O9589" s="3" t="s">
        <v>48670</v>
      </c>
      <c r="P9589" s="5">
        <v>19</v>
      </c>
      <c r="Q9589" s="5">
        <v>362</v>
      </c>
      <c r="R9589" s="5">
        <v>18</v>
      </c>
      <c r="S9589" s="5">
        <v>333</v>
      </c>
    </row>
    <row r="9590" spans="1:19" ht="28" x14ac:dyDescent="0.15">
      <c r="A9590" s="2">
        <f>HYPERLINK("https://open-school.uspishnemisto.com.ua/school/510423/", 510423)</f>
        <v>510423</v>
      </c>
      <c r="B9590" s="3" t="s">
        <v>48671</v>
      </c>
      <c r="C9590" s="3" t="s">
        <v>31</v>
      </c>
      <c r="D9590" s="3" t="s">
        <v>32</v>
      </c>
      <c r="E9590" s="4" t="s">
        <v>22</v>
      </c>
      <c r="F9590" s="4" t="s">
        <v>48672</v>
      </c>
      <c r="G9590" s="4" t="s">
        <v>48673</v>
      </c>
      <c r="H9590" s="3" t="s">
        <v>46910</v>
      </c>
      <c r="I9590" s="3" t="s">
        <v>48674</v>
      </c>
      <c r="J9590" s="3" t="s">
        <v>48675</v>
      </c>
      <c r="K9590" s="3" t="s">
        <v>48676</v>
      </c>
      <c r="L9590" s="3"/>
      <c r="M9590" s="4"/>
      <c r="N9590" s="3" t="s">
        <v>967</v>
      </c>
      <c r="O9590" s="3" t="s">
        <v>47946</v>
      </c>
      <c r="P9590" s="5">
        <v>11</v>
      </c>
      <c r="Q9590" s="5">
        <v>106</v>
      </c>
      <c r="R9590" s="5">
        <v>11</v>
      </c>
      <c r="S9590" s="5">
        <v>104</v>
      </c>
    </row>
    <row r="9591" spans="1:19" ht="56" x14ac:dyDescent="0.15">
      <c r="A9591" s="2">
        <f>HYPERLINK("https://open-school.uspishnemisto.com.ua/school/510424/", 510424)</f>
        <v>510424</v>
      </c>
      <c r="B9591" s="3" t="s">
        <v>48677</v>
      </c>
      <c r="C9591" s="3" t="s">
        <v>54</v>
      </c>
      <c r="D9591" s="3" t="s">
        <v>175</v>
      </c>
      <c r="E9591" s="4" t="s">
        <v>22</v>
      </c>
      <c r="F9591" s="4" t="s">
        <v>48678</v>
      </c>
      <c r="G9591" s="4" t="s">
        <v>48679</v>
      </c>
      <c r="H9591" s="3" t="s">
        <v>46910</v>
      </c>
      <c r="I9591" s="3" t="s">
        <v>48680</v>
      </c>
      <c r="J9591" s="3" t="s">
        <v>42449</v>
      </c>
      <c r="K9591" s="3" t="s">
        <v>48681</v>
      </c>
      <c r="L9591" s="3"/>
      <c r="M9591" s="4"/>
      <c r="N9591" s="3" t="s">
        <v>967</v>
      </c>
      <c r="O9591" s="3" t="s">
        <v>47946</v>
      </c>
      <c r="P9591" s="5">
        <v>7</v>
      </c>
      <c r="Q9591" s="5">
        <v>46</v>
      </c>
      <c r="R9591" s="5">
        <v>7</v>
      </c>
      <c r="S9591" s="5">
        <v>46</v>
      </c>
    </row>
    <row r="9592" spans="1:19" ht="28" x14ac:dyDescent="0.15">
      <c r="A9592" s="2">
        <f>HYPERLINK("https://open-school.uspishnemisto.com.ua/school/510425/", 510425)</f>
        <v>510425</v>
      </c>
      <c r="B9592" s="3" t="s">
        <v>48682</v>
      </c>
      <c r="C9592" s="3" t="s">
        <v>31</v>
      </c>
      <c r="D9592" s="3" t="s">
        <v>32</v>
      </c>
      <c r="E9592" s="4" t="s">
        <v>22</v>
      </c>
      <c r="F9592" s="4" t="s">
        <v>48683</v>
      </c>
      <c r="G9592" s="4" t="s">
        <v>48684</v>
      </c>
      <c r="H9592" s="3" t="s">
        <v>46910</v>
      </c>
      <c r="I9592" s="3" t="s">
        <v>7294</v>
      </c>
      <c r="J9592" s="3" t="s">
        <v>26002</v>
      </c>
      <c r="K9592" s="3" t="s">
        <v>48685</v>
      </c>
      <c r="L9592" s="3"/>
      <c r="M9592" s="4"/>
      <c r="N9592" s="3" t="s">
        <v>48686</v>
      </c>
      <c r="O9592" s="3" t="s">
        <v>26431</v>
      </c>
      <c r="P9592" s="5">
        <v>20</v>
      </c>
      <c r="Q9592" s="5">
        <v>376</v>
      </c>
      <c r="R9592" s="5">
        <v>20</v>
      </c>
      <c r="S9592" s="5">
        <v>384</v>
      </c>
    </row>
    <row r="9593" spans="1:19" ht="56" x14ac:dyDescent="0.15">
      <c r="A9593" s="2">
        <f>HYPERLINK("https://open-school.uspishnemisto.com.ua/school/510426/", 510426)</f>
        <v>510426</v>
      </c>
      <c r="B9593" s="3" t="s">
        <v>48687</v>
      </c>
      <c r="C9593" s="3" t="s">
        <v>54</v>
      </c>
      <c r="D9593" s="3" t="s">
        <v>32</v>
      </c>
      <c r="E9593" s="4" t="s">
        <v>22</v>
      </c>
      <c r="F9593" s="4" t="s">
        <v>48688</v>
      </c>
      <c r="G9593" s="4" t="s">
        <v>48689</v>
      </c>
      <c r="H9593" s="3" t="s">
        <v>46910</v>
      </c>
      <c r="I9593" s="3" t="s">
        <v>11923</v>
      </c>
      <c r="J9593" s="3" t="s">
        <v>48690</v>
      </c>
      <c r="K9593" s="3" t="s">
        <v>48691</v>
      </c>
      <c r="L9593" s="3"/>
      <c r="M9593" s="4"/>
      <c r="N9593" s="3" t="s">
        <v>128</v>
      </c>
      <c r="O9593" s="3" t="s">
        <v>48651</v>
      </c>
      <c r="P9593" s="5">
        <v>18</v>
      </c>
      <c r="Q9593" s="5">
        <v>324</v>
      </c>
      <c r="R9593" s="5">
        <v>17</v>
      </c>
      <c r="S9593" s="5">
        <v>324</v>
      </c>
    </row>
    <row r="9594" spans="1:19" ht="28" x14ac:dyDescent="0.15">
      <c r="A9594" s="2">
        <f>HYPERLINK("https://open-school.uspishnemisto.com.ua/school/510427/", 510427)</f>
        <v>510427</v>
      </c>
      <c r="B9594" s="3" t="s">
        <v>48692</v>
      </c>
      <c r="C9594" s="3" t="s">
        <v>31</v>
      </c>
      <c r="D9594" s="3" t="s">
        <v>32</v>
      </c>
      <c r="E9594" s="4" t="s">
        <v>22</v>
      </c>
      <c r="F9594" s="4" t="s">
        <v>48693</v>
      </c>
      <c r="G9594" s="4" t="s">
        <v>48694</v>
      </c>
      <c r="H9594" s="3" t="s">
        <v>46910</v>
      </c>
      <c r="I9594" s="3" t="s">
        <v>48695</v>
      </c>
      <c r="J9594" s="3" t="s">
        <v>48696</v>
      </c>
      <c r="K9594" s="3" t="s">
        <v>48697</v>
      </c>
      <c r="L9594" s="3"/>
      <c r="M9594" s="4"/>
      <c r="N9594" s="3" t="s">
        <v>967</v>
      </c>
      <c r="O9594" s="3" t="s">
        <v>52</v>
      </c>
      <c r="P9594" s="5">
        <v>12</v>
      </c>
      <c r="Q9594" s="5">
        <v>234</v>
      </c>
      <c r="R9594" s="5">
        <v>11</v>
      </c>
      <c r="S9594" s="5">
        <v>224</v>
      </c>
    </row>
    <row r="9595" spans="1:19" ht="28" x14ac:dyDescent="0.15">
      <c r="A9595" s="2">
        <f>HYPERLINK("https://open-school.uspishnemisto.com.ua/school/510428/", 510428)</f>
        <v>510428</v>
      </c>
      <c r="B9595" s="3" t="s">
        <v>48698</v>
      </c>
      <c r="C9595" s="3" t="s">
        <v>31</v>
      </c>
      <c r="D9595" s="3" t="s">
        <v>32</v>
      </c>
      <c r="E9595" s="4" t="s">
        <v>22</v>
      </c>
      <c r="F9595" s="4" t="s">
        <v>48699</v>
      </c>
      <c r="G9595" s="4" t="s">
        <v>48700</v>
      </c>
      <c r="H9595" s="3" t="s">
        <v>46910</v>
      </c>
      <c r="I9595" s="3" t="s">
        <v>25247</v>
      </c>
      <c r="J9595" s="3" t="s">
        <v>48701</v>
      </c>
      <c r="K9595" s="3" t="s">
        <v>48702</v>
      </c>
      <c r="L9595" s="3"/>
      <c r="M9595" s="4"/>
      <c r="N9595" s="3" t="s">
        <v>967</v>
      </c>
      <c r="O9595" s="3" t="s">
        <v>47946</v>
      </c>
      <c r="P9595" s="5">
        <v>11</v>
      </c>
      <c r="Q9595" s="5">
        <v>160</v>
      </c>
      <c r="R9595" s="5">
        <v>11</v>
      </c>
      <c r="S9595" s="5">
        <v>166</v>
      </c>
    </row>
    <row r="9596" spans="1:19" ht="28" x14ac:dyDescent="0.15">
      <c r="A9596" s="2">
        <f>HYPERLINK("https://open-school.uspishnemisto.com.ua/school/510429/", 510429)</f>
        <v>510429</v>
      </c>
      <c r="B9596" s="3" t="s">
        <v>48703</v>
      </c>
      <c r="C9596" s="3" t="s">
        <v>31</v>
      </c>
      <c r="D9596" s="3" t="s">
        <v>32</v>
      </c>
      <c r="E9596" s="4" t="s">
        <v>22</v>
      </c>
      <c r="F9596" s="4" t="s">
        <v>48704</v>
      </c>
      <c r="G9596" s="4" t="s">
        <v>48705</v>
      </c>
      <c r="H9596" s="3" t="s">
        <v>46910</v>
      </c>
      <c r="I9596" s="3" t="s">
        <v>48706</v>
      </c>
      <c r="J9596" s="3" t="s">
        <v>10908</v>
      </c>
      <c r="K9596" s="3" t="s">
        <v>48707</v>
      </c>
      <c r="L9596" s="3"/>
      <c r="M9596" s="4"/>
      <c r="N9596" s="3" t="s">
        <v>967</v>
      </c>
      <c r="O9596" s="3" t="s">
        <v>47946</v>
      </c>
      <c r="P9596" s="5">
        <v>12</v>
      </c>
      <c r="Q9596" s="5">
        <v>209</v>
      </c>
      <c r="R9596" s="5">
        <v>13</v>
      </c>
      <c r="S9596" s="5">
        <v>235</v>
      </c>
    </row>
    <row r="9597" spans="1:19" ht="28" x14ac:dyDescent="0.15">
      <c r="A9597" s="2">
        <f>HYPERLINK("https://open-school.uspishnemisto.com.ua/school/510430/", 510430)</f>
        <v>510430</v>
      </c>
      <c r="B9597" s="3" t="s">
        <v>48708</v>
      </c>
      <c r="C9597" s="3" t="s">
        <v>31</v>
      </c>
      <c r="D9597" s="3" t="s">
        <v>32</v>
      </c>
      <c r="E9597" s="4" t="s">
        <v>22</v>
      </c>
      <c r="F9597" s="4" t="s">
        <v>48709</v>
      </c>
      <c r="G9597" s="4" t="s">
        <v>48710</v>
      </c>
      <c r="H9597" s="3" t="s">
        <v>46910</v>
      </c>
      <c r="I9597" s="3" t="s">
        <v>7640</v>
      </c>
      <c r="J9597" s="3" t="s">
        <v>48711</v>
      </c>
      <c r="K9597" s="3" t="s">
        <v>48712</v>
      </c>
      <c r="L9597" s="3"/>
      <c r="M9597" s="4"/>
      <c r="N9597" s="3" t="s">
        <v>128</v>
      </c>
      <c r="O9597" s="3" t="s">
        <v>48713</v>
      </c>
      <c r="P9597" s="5">
        <v>21</v>
      </c>
      <c r="Q9597" s="5">
        <v>424</v>
      </c>
      <c r="R9597" s="5">
        <v>22</v>
      </c>
      <c r="S9597" s="5">
        <v>428</v>
      </c>
    </row>
    <row r="9598" spans="1:19" ht="56" x14ac:dyDescent="0.15">
      <c r="A9598" s="2">
        <f>HYPERLINK("https://open-school.uspishnemisto.com.ua/school/510431/", 510431)</f>
        <v>510431</v>
      </c>
      <c r="B9598" s="3" t="s">
        <v>48714</v>
      </c>
      <c r="C9598" s="3" t="s">
        <v>54</v>
      </c>
      <c r="D9598" s="3" t="s">
        <v>32</v>
      </c>
      <c r="E9598" s="4" t="s">
        <v>22</v>
      </c>
      <c r="F9598" s="4" t="s">
        <v>48715</v>
      </c>
      <c r="G9598" s="4" t="s">
        <v>48716</v>
      </c>
      <c r="H9598" s="3" t="s">
        <v>46910</v>
      </c>
      <c r="I9598" s="3" t="s">
        <v>48717</v>
      </c>
      <c r="J9598" s="3" t="s">
        <v>48718</v>
      </c>
      <c r="K9598" s="3" t="s">
        <v>48719</v>
      </c>
      <c r="L9598" s="3"/>
      <c r="M9598" s="4"/>
      <c r="N9598" s="3" t="s">
        <v>967</v>
      </c>
      <c r="O9598" s="3" t="s">
        <v>47922</v>
      </c>
      <c r="P9598" s="5">
        <v>20</v>
      </c>
      <c r="Q9598" s="5">
        <v>356</v>
      </c>
      <c r="R9598" s="5">
        <v>21</v>
      </c>
      <c r="S9598" s="5">
        <v>377</v>
      </c>
    </row>
    <row r="9599" spans="1:19" ht="42" x14ac:dyDescent="0.15">
      <c r="A9599" s="2">
        <f>HYPERLINK("https://open-school.uspishnemisto.com.ua/school/510432/", 510432)</f>
        <v>510432</v>
      </c>
      <c r="B9599" s="3" t="s">
        <v>48720</v>
      </c>
      <c r="C9599" s="3" t="s">
        <v>31</v>
      </c>
      <c r="D9599" s="3" t="s">
        <v>32</v>
      </c>
      <c r="E9599" s="4" t="s">
        <v>22</v>
      </c>
      <c r="F9599" s="4" t="s">
        <v>48721</v>
      </c>
      <c r="G9599" s="4" t="s">
        <v>48722</v>
      </c>
      <c r="H9599" s="3" t="s">
        <v>46910</v>
      </c>
      <c r="I9599" s="3" t="s">
        <v>48723</v>
      </c>
      <c r="J9599" s="3" t="s">
        <v>1360</v>
      </c>
      <c r="K9599" s="3" t="s">
        <v>48724</v>
      </c>
      <c r="L9599" s="3"/>
      <c r="M9599" s="4"/>
      <c r="N9599" s="3" t="s">
        <v>128</v>
      </c>
      <c r="O9599" s="3" t="s">
        <v>26431</v>
      </c>
      <c r="P9599" s="5">
        <v>10</v>
      </c>
      <c r="Q9599" s="5">
        <v>120</v>
      </c>
      <c r="R9599" s="5">
        <v>11</v>
      </c>
      <c r="S9599" s="5">
        <v>122</v>
      </c>
    </row>
    <row r="9600" spans="1:19" ht="28" x14ac:dyDescent="0.15">
      <c r="A9600" s="2">
        <f>HYPERLINK("https://open-school.uspishnemisto.com.ua/school/510433/", 510433)</f>
        <v>510433</v>
      </c>
      <c r="B9600" s="3" t="s">
        <v>48725</v>
      </c>
      <c r="C9600" s="3" t="s">
        <v>31</v>
      </c>
      <c r="D9600" s="3" t="s">
        <v>32</v>
      </c>
      <c r="E9600" s="4" t="s">
        <v>22</v>
      </c>
      <c r="F9600" s="4" t="s">
        <v>48726</v>
      </c>
      <c r="G9600" s="4" t="s">
        <v>48727</v>
      </c>
      <c r="H9600" s="3" t="s">
        <v>46910</v>
      </c>
      <c r="I9600" s="3" t="s">
        <v>48728</v>
      </c>
      <c r="J9600" s="3" t="s">
        <v>48729</v>
      </c>
      <c r="K9600" s="3" t="s">
        <v>48730</v>
      </c>
      <c r="L9600" s="3"/>
      <c r="M9600" s="4"/>
      <c r="N9600" s="3" t="s">
        <v>37</v>
      </c>
      <c r="O9600" s="3" t="s">
        <v>26431</v>
      </c>
      <c r="P9600" s="5">
        <v>11</v>
      </c>
      <c r="Q9600" s="5">
        <v>129</v>
      </c>
      <c r="R9600" s="5">
        <v>11</v>
      </c>
      <c r="S9600" s="5">
        <v>145</v>
      </c>
    </row>
    <row r="9601" spans="1:19" ht="28" x14ac:dyDescent="0.15">
      <c r="A9601" s="2">
        <f>HYPERLINK("https://open-school.uspishnemisto.com.ua/school/510434/", 510434)</f>
        <v>510434</v>
      </c>
      <c r="B9601" s="3" t="s">
        <v>48731</v>
      </c>
      <c r="C9601" s="3" t="s">
        <v>31</v>
      </c>
      <c r="D9601" s="3" t="s">
        <v>32</v>
      </c>
      <c r="E9601" s="4" t="s">
        <v>22</v>
      </c>
      <c r="F9601" s="4" t="s">
        <v>48732</v>
      </c>
      <c r="G9601" s="4" t="s">
        <v>48733</v>
      </c>
      <c r="H9601" s="3" t="s">
        <v>46910</v>
      </c>
      <c r="I9601" s="3" t="s">
        <v>48734</v>
      </c>
      <c r="J9601" s="3" t="s">
        <v>48735</v>
      </c>
      <c r="K9601" s="3" t="s">
        <v>48736</v>
      </c>
      <c r="L9601" s="3"/>
      <c r="M9601" s="4"/>
      <c r="N9601" s="3" t="s">
        <v>967</v>
      </c>
      <c r="O9601" s="3" t="s">
        <v>47946</v>
      </c>
      <c r="P9601" s="5">
        <v>11</v>
      </c>
      <c r="Q9601" s="5">
        <v>172</v>
      </c>
      <c r="R9601" s="5">
        <v>11</v>
      </c>
      <c r="S9601" s="5">
        <v>162</v>
      </c>
    </row>
    <row r="9602" spans="1:19" ht="42" x14ac:dyDescent="0.15">
      <c r="A9602" s="2">
        <f>HYPERLINK("https://open-school.uspishnemisto.com.ua/school/510435/", 510435)</f>
        <v>510435</v>
      </c>
      <c r="B9602" s="3" t="s">
        <v>48737</v>
      </c>
      <c r="C9602" s="3" t="s">
        <v>31</v>
      </c>
      <c r="D9602" s="3" t="s">
        <v>32</v>
      </c>
      <c r="E9602" s="4" t="s">
        <v>22</v>
      </c>
      <c r="F9602" s="4" t="s">
        <v>48738</v>
      </c>
      <c r="G9602" s="4" t="s">
        <v>48739</v>
      </c>
      <c r="H9602" s="3" t="s">
        <v>46910</v>
      </c>
      <c r="I9602" s="3" t="s">
        <v>48740</v>
      </c>
      <c r="J9602" s="3" t="s">
        <v>3538</v>
      </c>
      <c r="K9602" s="3" t="s">
        <v>48741</v>
      </c>
      <c r="L9602" s="3"/>
      <c r="M9602" s="4"/>
      <c r="N9602" s="3" t="s">
        <v>967</v>
      </c>
      <c r="O9602" s="3" t="s">
        <v>47946</v>
      </c>
      <c r="P9602" s="5">
        <v>11</v>
      </c>
      <c r="Q9602" s="5">
        <v>181</v>
      </c>
      <c r="R9602" s="5">
        <v>11</v>
      </c>
      <c r="S9602" s="5">
        <v>179</v>
      </c>
    </row>
    <row r="9603" spans="1:19" ht="42" x14ac:dyDescent="0.15">
      <c r="A9603" s="2">
        <f>HYPERLINK("https://open-school.uspishnemisto.com.ua/school/510436/", 510436)</f>
        <v>510436</v>
      </c>
      <c r="B9603" s="3" t="s">
        <v>48742</v>
      </c>
      <c r="C9603" s="3" t="s">
        <v>54</v>
      </c>
      <c r="D9603" s="3" t="s">
        <v>32</v>
      </c>
      <c r="E9603" s="4" t="s">
        <v>22</v>
      </c>
      <c r="F9603" s="4" t="s">
        <v>48738</v>
      </c>
      <c r="G9603" s="4" t="s">
        <v>48739</v>
      </c>
      <c r="H9603" s="3" t="s">
        <v>46910</v>
      </c>
      <c r="I9603" s="3" t="s">
        <v>48740</v>
      </c>
      <c r="J9603" s="3" t="s">
        <v>48743</v>
      </c>
      <c r="K9603" s="3" t="s">
        <v>48744</v>
      </c>
      <c r="L9603" s="3"/>
      <c r="M9603" s="4"/>
      <c r="N9603" s="3" t="s">
        <v>967</v>
      </c>
      <c r="O9603" s="3" t="s">
        <v>48745</v>
      </c>
      <c r="P9603" s="5">
        <v>16</v>
      </c>
      <c r="Q9603" s="5">
        <v>336</v>
      </c>
      <c r="R9603" s="5">
        <v>16</v>
      </c>
      <c r="S9603" s="5">
        <v>341</v>
      </c>
    </row>
    <row r="9604" spans="1:19" ht="56" x14ac:dyDescent="0.15">
      <c r="A9604" s="2">
        <f>HYPERLINK("https://open-school.uspishnemisto.com.ua/school/510437/", 510437)</f>
        <v>510437</v>
      </c>
      <c r="B9604" s="3" t="s">
        <v>48746</v>
      </c>
      <c r="C9604" s="3" t="s">
        <v>54</v>
      </c>
      <c r="D9604" s="3" t="s">
        <v>32</v>
      </c>
      <c r="E9604" s="4" t="s">
        <v>22</v>
      </c>
      <c r="F9604" s="4" t="s">
        <v>48747</v>
      </c>
      <c r="G9604" s="4" t="s">
        <v>48748</v>
      </c>
      <c r="H9604" s="3" t="s">
        <v>46910</v>
      </c>
      <c r="I9604" s="3" t="s">
        <v>48749</v>
      </c>
      <c r="J9604" s="3" t="s">
        <v>48750</v>
      </c>
      <c r="K9604" s="3" t="s">
        <v>48751</v>
      </c>
      <c r="L9604" s="3" t="s">
        <v>48752</v>
      </c>
      <c r="M9604" s="4"/>
      <c r="N9604" s="3" t="s">
        <v>37</v>
      </c>
      <c r="O9604" s="3" t="s">
        <v>721</v>
      </c>
      <c r="P9604" s="5">
        <v>11</v>
      </c>
      <c r="Q9604" s="5">
        <v>171</v>
      </c>
      <c r="R9604" s="5">
        <v>11</v>
      </c>
      <c r="S9604" s="5">
        <v>166</v>
      </c>
    </row>
    <row r="9605" spans="1:19" ht="42" x14ac:dyDescent="0.15">
      <c r="A9605" s="2">
        <f>HYPERLINK("https://open-school.uspishnemisto.com.ua/school/510438/", 510438)</f>
        <v>510438</v>
      </c>
      <c r="B9605" s="3" t="s">
        <v>48753</v>
      </c>
      <c r="C9605" s="3" t="s">
        <v>54</v>
      </c>
      <c r="D9605" s="3" t="s">
        <v>32</v>
      </c>
      <c r="E9605" s="4" t="s">
        <v>22</v>
      </c>
      <c r="F9605" s="4" t="s">
        <v>48747</v>
      </c>
      <c r="G9605" s="4" t="s">
        <v>48748</v>
      </c>
      <c r="H9605" s="3" t="s">
        <v>46910</v>
      </c>
      <c r="I9605" s="3" t="s">
        <v>48749</v>
      </c>
      <c r="J9605" s="3" t="s">
        <v>921</v>
      </c>
      <c r="K9605" s="3" t="s">
        <v>48754</v>
      </c>
      <c r="L9605" s="3"/>
      <c r="M9605" s="4"/>
      <c r="N9605" s="3" t="s">
        <v>37</v>
      </c>
      <c r="O9605" s="3" t="s">
        <v>38</v>
      </c>
      <c r="P9605" s="5">
        <v>22</v>
      </c>
      <c r="Q9605" s="5">
        <v>486</v>
      </c>
      <c r="R9605" s="5">
        <v>23</v>
      </c>
      <c r="S9605" s="5">
        <v>487</v>
      </c>
    </row>
    <row r="9606" spans="1:19" ht="28" x14ac:dyDescent="0.15">
      <c r="A9606" s="2">
        <f>HYPERLINK("https://open-school.uspishnemisto.com.ua/school/510439/", 510439)</f>
        <v>510439</v>
      </c>
      <c r="B9606" s="3" t="s">
        <v>48755</v>
      </c>
      <c r="C9606" s="3" t="s">
        <v>31</v>
      </c>
      <c r="D9606" s="3" t="s">
        <v>175</v>
      </c>
      <c r="E9606" s="4" t="s">
        <v>22</v>
      </c>
      <c r="F9606" s="4" t="s">
        <v>48756</v>
      </c>
      <c r="G9606" s="4" t="s">
        <v>48757</v>
      </c>
      <c r="H9606" s="3" t="s">
        <v>46910</v>
      </c>
      <c r="I9606" s="3" t="s">
        <v>48758</v>
      </c>
      <c r="J9606" s="3" t="s">
        <v>48759</v>
      </c>
      <c r="K9606" s="3" t="s">
        <v>48760</v>
      </c>
      <c r="L9606" s="3"/>
      <c r="M9606" s="4"/>
      <c r="N9606" s="3" t="s">
        <v>37</v>
      </c>
      <c r="O9606" s="3" t="s">
        <v>70</v>
      </c>
      <c r="P9606" s="5">
        <v>8</v>
      </c>
      <c r="Q9606" s="5">
        <v>90</v>
      </c>
      <c r="R9606" s="5">
        <v>9</v>
      </c>
      <c r="S9606" s="5">
        <v>93</v>
      </c>
    </row>
    <row r="9607" spans="1:19" ht="28" x14ac:dyDescent="0.15">
      <c r="A9607" s="2">
        <f>HYPERLINK("https://open-school.uspishnemisto.com.ua/school/510440/", 510440)</f>
        <v>510440</v>
      </c>
      <c r="B9607" s="3" t="s">
        <v>48761</v>
      </c>
      <c r="C9607" s="3" t="s">
        <v>31</v>
      </c>
      <c r="D9607" s="3" t="s">
        <v>32</v>
      </c>
      <c r="E9607" s="4" t="s">
        <v>22</v>
      </c>
      <c r="F9607" s="4" t="s">
        <v>48756</v>
      </c>
      <c r="G9607" s="4" t="s">
        <v>48757</v>
      </c>
      <c r="H9607" s="3" t="s">
        <v>46910</v>
      </c>
      <c r="I9607" s="3" t="s">
        <v>48758</v>
      </c>
      <c r="J9607" s="3" t="s">
        <v>48762</v>
      </c>
      <c r="K9607" s="3" t="s">
        <v>48763</v>
      </c>
      <c r="L9607" s="3" t="s">
        <v>48764</v>
      </c>
      <c r="M9607" s="4"/>
      <c r="N9607" s="3" t="s">
        <v>37</v>
      </c>
      <c r="O9607" s="3" t="s">
        <v>38</v>
      </c>
      <c r="P9607" s="5">
        <v>14</v>
      </c>
      <c r="Q9607" s="5">
        <v>245</v>
      </c>
      <c r="R9607" s="5">
        <v>13</v>
      </c>
      <c r="S9607" s="5">
        <v>232</v>
      </c>
    </row>
    <row r="9608" spans="1:19" ht="28" x14ac:dyDescent="0.15">
      <c r="A9608" s="2">
        <f>HYPERLINK("https://open-school.uspishnemisto.com.ua/school/510441/", 510441)</f>
        <v>510441</v>
      </c>
      <c r="B9608" s="3" t="s">
        <v>48765</v>
      </c>
      <c r="C9608" s="3" t="s">
        <v>31</v>
      </c>
      <c r="D9608" s="3" t="s">
        <v>60</v>
      </c>
      <c r="E9608" s="4" t="s">
        <v>22</v>
      </c>
      <c r="F9608" s="4" t="s">
        <v>48766</v>
      </c>
      <c r="G9608" s="4" t="s">
        <v>48767</v>
      </c>
      <c r="H9608" s="3" t="s">
        <v>46910</v>
      </c>
      <c r="I9608" s="3" t="s">
        <v>48768</v>
      </c>
      <c r="J9608" s="3" t="s">
        <v>466</v>
      </c>
      <c r="K9608" s="3" t="s">
        <v>48769</v>
      </c>
      <c r="L9608" s="3"/>
      <c r="M9608" s="4"/>
      <c r="N9608" s="3" t="s">
        <v>37</v>
      </c>
      <c r="O9608" s="3" t="s">
        <v>70</v>
      </c>
      <c r="P9608" s="5">
        <v>1</v>
      </c>
      <c r="Q9608" s="5">
        <v>13</v>
      </c>
      <c r="R9608" s="5">
        <v>1</v>
      </c>
      <c r="S9608" s="5">
        <v>10</v>
      </c>
    </row>
    <row r="9609" spans="1:19" ht="42" x14ac:dyDescent="0.15">
      <c r="A9609" s="2">
        <f>HYPERLINK("https://open-school.uspishnemisto.com.ua/school/510442/", 510442)</f>
        <v>510442</v>
      </c>
      <c r="B9609" s="3" t="s">
        <v>48770</v>
      </c>
      <c r="C9609" s="3" t="s">
        <v>54</v>
      </c>
      <c r="D9609" s="3" t="s">
        <v>32</v>
      </c>
      <c r="E9609" s="4" t="s">
        <v>22</v>
      </c>
      <c r="F9609" s="4" t="s">
        <v>48771</v>
      </c>
      <c r="G9609" s="4" t="s">
        <v>48772</v>
      </c>
      <c r="H9609" s="3" t="s">
        <v>46910</v>
      </c>
      <c r="I9609" s="3" t="s">
        <v>48773</v>
      </c>
      <c r="J9609" s="3" t="s">
        <v>48774</v>
      </c>
      <c r="K9609" s="3" t="s">
        <v>48775</v>
      </c>
      <c r="L9609" s="3"/>
      <c r="M9609" s="4"/>
      <c r="N9609" s="3" t="s">
        <v>37</v>
      </c>
      <c r="O9609" s="3" t="s">
        <v>70</v>
      </c>
      <c r="P9609" s="5">
        <v>11</v>
      </c>
      <c r="Q9609" s="5">
        <v>166</v>
      </c>
      <c r="R9609" s="5">
        <v>11</v>
      </c>
      <c r="S9609" s="5">
        <v>158</v>
      </c>
    </row>
    <row r="9610" spans="1:19" ht="28" x14ac:dyDescent="0.15">
      <c r="A9610" s="2">
        <f>HYPERLINK("https://open-school.uspishnemisto.com.ua/school/510443/", 510443)</f>
        <v>510443</v>
      </c>
      <c r="B9610" s="3" t="s">
        <v>48776</v>
      </c>
      <c r="C9610" s="3" t="s">
        <v>31</v>
      </c>
      <c r="D9610" s="3" t="s">
        <v>175</v>
      </c>
      <c r="E9610" s="4" t="s">
        <v>22</v>
      </c>
      <c r="F9610" s="4" t="s">
        <v>48777</v>
      </c>
      <c r="G9610" s="4" t="s">
        <v>48778</v>
      </c>
      <c r="H9610" s="3" t="s">
        <v>46910</v>
      </c>
      <c r="I9610" s="3" t="s">
        <v>48779</v>
      </c>
      <c r="J9610" s="3" t="s">
        <v>48780</v>
      </c>
      <c r="K9610" s="3" t="s">
        <v>48781</v>
      </c>
      <c r="L9610" s="3"/>
      <c r="M9610" s="4"/>
      <c r="N9610" s="3" t="s">
        <v>967</v>
      </c>
      <c r="O9610" s="3" t="s">
        <v>52</v>
      </c>
      <c r="P9610" s="5">
        <v>9</v>
      </c>
      <c r="Q9610" s="5">
        <v>84</v>
      </c>
      <c r="R9610" s="5">
        <v>9</v>
      </c>
      <c r="S9610" s="5">
        <v>87</v>
      </c>
    </row>
    <row r="9611" spans="1:19" ht="42" x14ac:dyDescent="0.15">
      <c r="A9611" s="2">
        <f>HYPERLINK("https://open-school.uspishnemisto.com.ua/school/510444/", 510444)</f>
        <v>510444</v>
      </c>
      <c r="B9611" s="3" t="s">
        <v>48782</v>
      </c>
      <c r="C9611" s="3" t="s">
        <v>54</v>
      </c>
      <c r="D9611" s="3" t="s">
        <v>32</v>
      </c>
      <c r="E9611" s="4" t="s">
        <v>22</v>
      </c>
      <c r="F9611" s="4" t="s">
        <v>48777</v>
      </c>
      <c r="G9611" s="4" t="s">
        <v>48778</v>
      </c>
      <c r="H9611" s="3" t="s">
        <v>46910</v>
      </c>
      <c r="I9611" s="3" t="s">
        <v>48779</v>
      </c>
      <c r="J9611" s="3" t="s">
        <v>48783</v>
      </c>
      <c r="K9611" s="3"/>
      <c r="L9611" s="3"/>
      <c r="M9611" s="4"/>
      <c r="N9611" s="3" t="s">
        <v>967</v>
      </c>
      <c r="O9611" s="3" t="s">
        <v>52</v>
      </c>
      <c r="P9611" s="5">
        <v>11</v>
      </c>
      <c r="Q9611" s="5">
        <v>191</v>
      </c>
      <c r="R9611" s="5">
        <v>11</v>
      </c>
      <c r="S9611" s="5">
        <v>197</v>
      </c>
    </row>
    <row r="9612" spans="1:19" ht="28" x14ac:dyDescent="0.15">
      <c r="A9612" s="2">
        <f>HYPERLINK("https://open-school.uspishnemisto.com.ua/school/510445/", 510445)</f>
        <v>510445</v>
      </c>
      <c r="B9612" s="3" t="s">
        <v>48784</v>
      </c>
      <c r="C9612" s="3" t="s">
        <v>31</v>
      </c>
      <c r="D9612" s="3" t="s">
        <v>32</v>
      </c>
      <c r="E9612" s="4" t="s">
        <v>22</v>
      </c>
      <c r="F9612" s="4" t="s">
        <v>48785</v>
      </c>
      <c r="G9612" s="4" t="s">
        <v>48786</v>
      </c>
      <c r="H9612" s="3" t="s">
        <v>46910</v>
      </c>
      <c r="I9612" s="3" t="s">
        <v>48787</v>
      </c>
      <c r="J9612" s="3" t="s">
        <v>18253</v>
      </c>
      <c r="K9612" s="3" t="s">
        <v>48788</v>
      </c>
      <c r="L9612" s="3" t="s">
        <v>48789</v>
      </c>
      <c r="M9612" s="4"/>
      <c r="N9612" s="3" t="s">
        <v>37</v>
      </c>
      <c r="O9612" s="3" t="s">
        <v>46</v>
      </c>
      <c r="P9612" s="5">
        <v>10</v>
      </c>
      <c r="Q9612" s="5">
        <v>99</v>
      </c>
      <c r="R9612" s="5">
        <v>10</v>
      </c>
      <c r="S9612" s="5">
        <v>94</v>
      </c>
    </row>
    <row r="9613" spans="1:19" ht="28" x14ac:dyDescent="0.15">
      <c r="A9613" s="2">
        <f>HYPERLINK("https://open-school.uspishnemisto.com.ua/school/510446/", 510446)</f>
        <v>510446</v>
      </c>
      <c r="B9613" s="3" t="s">
        <v>48790</v>
      </c>
      <c r="C9613" s="3" t="s">
        <v>31</v>
      </c>
      <c r="D9613" s="3" t="s">
        <v>175</v>
      </c>
      <c r="E9613" s="4" t="s">
        <v>22</v>
      </c>
      <c r="F9613" s="4" t="s">
        <v>48791</v>
      </c>
      <c r="G9613" s="4" t="s">
        <v>48792</v>
      </c>
      <c r="H9613" s="3" t="s">
        <v>46910</v>
      </c>
      <c r="I9613" s="3" t="s">
        <v>12579</v>
      </c>
      <c r="J9613" s="3" t="s">
        <v>6765</v>
      </c>
      <c r="K9613" s="3" t="s">
        <v>48793</v>
      </c>
      <c r="L9613" s="3" t="s">
        <v>48794</v>
      </c>
      <c r="M9613" s="4"/>
      <c r="N9613" s="3" t="s">
        <v>37</v>
      </c>
      <c r="O9613" s="3" t="s">
        <v>70</v>
      </c>
      <c r="P9613" s="5">
        <v>8</v>
      </c>
      <c r="Q9613" s="5">
        <v>83</v>
      </c>
      <c r="R9613" s="5">
        <v>8</v>
      </c>
      <c r="S9613" s="5">
        <v>82</v>
      </c>
    </row>
    <row r="9614" spans="1:19" ht="28" x14ac:dyDescent="0.15">
      <c r="A9614" s="2">
        <f>HYPERLINK("https://open-school.uspishnemisto.com.ua/school/510447/", 510447)</f>
        <v>510447</v>
      </c>
      <c r="B9614" s="3" t="s">
        <v>48795</v>
      </c>
      <c r="C9614" s="3" t="s">
        <v>31</v>
      </c>
      <c r="D9614" s="3" t="s">
        <v>175</v>
      </c>
      <c r="E9614" s="4" t="s">
        <v>22</v>
      </c>
      <c r="F9614" s="4" t="s">
        <v>48796</v>
      </c>
      <c r="G9614" s="4" t="s">
        <v>48797</v>
      </c>
      <c r="H9614" s="3" t="s">
        <v>46910</v>
      </c>
      <c r="I9614" s="3" t="s">
        <v>48798</v>
      </c>
      <c r="J9614" s="3" t="s">
        <v>4537</v>
      </c>
      <c r="K9614" s="3" t="s">
        <v>48799</v>
      </c>
      <c r="L9614" s="3"/>
      <c r="M9614" s="4"/>
      <c r="N9614" s="3" t="s">
        <v>37</v>
      </c>
      <c r="O9614" s="3" t="s">
        <v>112</v>
      </c>
      <c r="P9614" s="5">
        <v>7</v>
      </c>
      <c r="Q9614" s="5">
        <v>57</v>
      </c>
      <c r="R9614" s="5">
        <v>8</v>
      </c>
      <c r="S9614" s="5">
        <v>54</v>
      </c>
    </row>
    <row r="9615" spans="1:19" ht="28" x14ac:dyDescent="0.15">
      <c r="A9615" s="2">
        <f>HYPERLINK("https://open-school.uspishnemisto.com.ua/school/510448/", 510448)</f>
        <v>510448</v>
      </c>
      <c r="B9615" s="3" t="s">
        <v>48800</v>
      </c>
      <c r="C9615" s="3" t="s">
        <v>31</v>
      </c>
      <c r="D9615" s="3" t="s">
        <v>175</v>
      </c>
      <c r="E9615" s="4" t="s">
        <v>22</v>
      </c>
      <c r="F9615" s="4" t="s">
        <v>48801</v>
      </c>
      <c r="G9615" s="4" t="s">
        <v>48802</v>
      </c>
      <c r="H9615" s="3" t="s">
        <v>46910</v>
      </c>
      <c r="I9615" s="3" t="s">
        <v>11267</v>
      </c>
      <c r="J9615" s="3" t="s">
        <v>48803</v>
      </c>
      <c r="K9615" s="3" t="s">
        <v>48804</v>
      </c>
      <c r="L9615" s="3"/>
      <c r="M9615" s="4"/>
      <c r="N9615" s="3" t="s">
        <v>37</v>
      </c>
      <c r="O9615" s="3" t="s">
        <v>112</v>
      </c>
      <c r="P9615" s="5">
        <v>8</v>
      </c>
      <c r="Q9615" s="5">
        <v>63</v>
      </c>
      <c r="R9615" s="5">
        <v>8</v>
      </c>
      <c r="S9615" s="5">
        <v>57</v>
      </c>
    </row>
    <row r="9616" spans="1:19" ht="28" x14ac:dyDescent="0.15">
      <c r="A9616" s="2">
        <f>HYPERLINK("https://open-school.uspishnemisto.com.ua/school/510449/", 510449)</f>
        <v>510449</v>
      </c>
      <c r="B9616" s="3" t="s">
        <v>48805</v>
      </c>
      <c r="C9616" s="3" t="s">
        <v>31</v>
      </c>
      <c r="D9616" s="3" t="s">
        <v>32</v>
      </c>
      <c r="E9616" s="4" t="s">
        <v>22</v>
      </c>
      <c r="F9616" s="4" t="s">
        <v>48806</v>
      </c>
      <c r="G9616" s="4" t="s">
        <v>48807</v>
      </c>
      <c r="H9616" s="3" t="s">
        <v>46910</v>
      </c>
      <c r="I9616" s="3" t="s">
        <v>48808</v>
      </c>
      <c r="J9616" s="3" t="s">
        <v>48809</v>
      </c>
      <c r="K9616" s="3" t="s">
        <v>48810</v>
      </c>
      <c r="L9616" s="3"/>
      <c r="M9616" s="4"/>
      <c r="N9616" s="3" t="s">
        <v>37</v>
      </c>
      <c r="O9616" s="3" t="s">
        <v>38</v>
      </c>
      <c r="P9616" s="5">
        <v>20</v>
      </c>
      <c r="Q9616" s="5">
        <v>372</v>
      </c>
      <c r="R9616" s="5">
        <v>19</v>
      </c>
      <c r="S9616" s="5">
        <v>355</v>
      </c>
    </row>
    <row r="9617" spans="1:19" ht="28" x14ac:dyDescent="0.15">
      <c r="A9617" s="2">
        <f>HYPERLINK("https://open-school.uspishnemisto.com.ua/school/510450/", 510450)</f>
        <v>510450</v>
      </c>
      <c r="B9617" s="3" t="s">
        <v>48811</v>
      </c>
      <c r="C9617" s="3" t="s">
        <v>31</v>
      </c>
      <c r="D9617" s="3" t="s">
        <v>32</v>
      </c>
      <c r="E9617" s="4" t="s">
        <v>22</v>
      </c>
      <c r="F9617" s="4" t="s">
        <v>48812</v>
      </c>
      <c r="G9617" s="4" t="s">
        <v>48813</v>
      </c>
      <c r="H9617" s="3" t="s">
        <v>46910</v>
      </c>
      <c r="I9617" s="3" t="s">
        <v>11724</v>
      </c>
      <c r="J9617" s="3" t="s">
        <v>48814</v>
      </c>
      <c r="K9617" s="3" t="s">
        <v>48815</v>
      </c>
      <c r="L9617" s="3"/>
      <c r="M9617" s="4"/>
      <c r="N9617" s="3" t="s">
        <v>37</v>
      </c>
      <c r="O9617" s="3" t="s">
        <v>38</v>
      </c>
      <c r="P9617" s="5">
        <v>14</v>
      </c>
      <c r="Q9617" s="5">
        <v>277</v>
      </c>
      <c r="R9617" s="5">
        <v>13</v>
      </c>
      <c r="S9617" s="5">
        <v>264</v>
      </c>
    </row>
    <row r="9618" spans="1:19" ht="28" x14ac:dyDescent="0.15">
      <c r="A9618" s="2">
        <f>HYPERLINK("https://open-school.uspishnemisto.com.ua/school/510451/", 510451)</f>
        <v>510451</v>
      </c>
      <c r="B9618" s="3" t="s">
        <v>48816</v>
      </c>
      <c r="C9618" s="3" t="s">
        <v>31</v>
      </c>
      <c r="D9618" s="3" t="s">
        <v>175</v>
      </c>
      <c r="E9618" s="4" t="s">
        <v>22</v>
      </c>
      <c r="F9618" s="4" t="s">
        <v>48817</v>
      </c>
      <c r="G9618" s="4" t="s">
        <v>48818</v>
      </c>
      <c r="H9618" s="3" t="s">
        <v>46910</v>
      </c>
      <c r="I9618" s="3" t="s">
        <v>48819</v>
      </c>
      <c r="J9618" s="3" t="s">
        <v>466</v>
      </c>
      <c r="K9618" s="3" t="s">
        <v>48820</v>
      </c>
      <c r="L9618" s="3"/>
      <c r="M9618" s="4"/>
      <c r="N9618" s="3" t="s">
        <v>37</v>
      </c>
      <c r="O9618" s="3" t="s">
        <v>70</v>
      </c>
      <c r="P9618" s="5">
        <v>6</v>
      </c>
      <c r="Q9618" s="5">
        <v>44</v>
      </c>
      <c r="R9618" s="5">
        <v>5</v>
      </c>
      <c r="S9618" s="5">
        <v>43</v>
      </c>
    </row>
    <row r="9619" spans="1:19" ht="42" x14ac:dyDescent="0.15">
      <c r="A9619" s="2">
        <f>HYPERLINK("https://open-school.uspishnemisto.com.ua/school/510452/", 510452)</f>
        <v>510452</v>
      </c>
      <c r="B9619" s="3" t="s">
        <v>48821</v>
      </c>
      <c r="C9619" s="3" t="s">
        <v>54</v>
      </c>
      <c r="D9619" s="3" t="s">
        <v>32</v>
      </c>
      <c r="E9619" s="4" t="s">
        <v>22</v>
      </c>
      <c r="F9619" s="4" t="s">
        <v>48822</v>
      </c>
      <c r="G9619" s="4" t="s">
        <v>48823</v>
      </c>
      <c r="H9619" s="3" t="s">
        <v>46910</v>
      </c>
      <c r="I9619" s="3" t="s">
        <v>2900</v>
      </c>
      <c r="J9619" s="3" t="s">
        <v>43880</v>
      </c>
      <c r="K9619" s="3" t="s">
        <v>48824</v>
      </c>
      <c r="L9619" s="3" t="s">
        <v>48825</v>
      </c>
      <c r="M9619" s="4"/>
      <c r="N9619" s="3" t="s">
        <v>37</v>
      </c>
      <c r="O9619" s="3" t="s">
        <v>70</v>
      </c>
      <c r="P9619" s="5">
        <v>7</v>
      </c>
      <c r="Q9619" s="5">
        <v>69</v>
      </c>
      <c r="R9619" s="5">
        <v>8</v>
      </c>
      <c r="S9619" s="5">
        <v>69</v>
      </c>
    </row>
    <row r="9620" spans="1:19" ht="28" x14ac:dyDescent="0.15">
      <c r="A9620" s="2">
        <f>HYPERLINK("https://open-school.uspishnemisto.com.ua/school/510453/", 510453)</f>
        <v>510453</v>
      </c>
      <c r="B9620" s="3" t="s">
        <v>48826</v>
      </c>
      <c r="C9620" s="3" t="s">
        <v>31</v>
      </c>
      <c r="D9620" s="3" t="s">
        <v>32</v>
      </c>
      <c r="E9620" s="4" t="s">
        <v>22</v>
      </c>
      <c r="F9620" s="4" t="s">
        <v>48827</v>
      </c>
      <c r="G9620" s="4" t="s">
        <v>48828</v>
      </c>
      <c r="H9620" s="3" t="s">
        <v>46910</v>
      </c>
      <c r="I9620" s="3" t="s">
        <v>11989</v>
      </c>
      <c r="J9620" s="3" t="s">
        <v>3112</v>
      </c>
      <c r="K9620" s="3" t="s">
        <v>48829</v>
      </c>
      <c r="L9620" s="3"/>
      <c r="M9620" s="4"/>
      <c r="N9620" s="3" t="s">
        <v>37</v>
      </c>
      <c r="O9620" s="3" t="s">
        <v>38</v>
      </c>
      <c r="P9620" s="5">
        <v>11</v>
      </c>
      <c r="Q9620" s="5">
        <v>163</v>
      </c>
      <c r="R9620" s="5">
        <v>11</v>
      </c>
      <c r="S9620" s="5">
        <v>170</v>
      </c>
    </row>
    <row r="9621" spans="1:19" ht="28" x14ac:dyDescent="0.15">
      <c r="A9621" s="2">
        <f>HYPERLINK("https://open-school.uspishnemisto.com.ua/school/510454/", 510454)</f>
        <v>510454</v>
      </c>
      <c r="B9621" s="3" t="s">
        <v>48830</v>
      </c>
      <c r="C9621" s="3" t="s">
        <v>31</v>
      </c>
      <c r="D9621" s="3" t="s">
        <v>175</v>
      </c>
      <c r="E9621" s="4" t="s">
        <v>22</v>
      </c>
      <c r="F9621" s="4" t="s">
        <v>48831</v>
      </c>
      <c r="G9621" s="4" t="s">
        <v>48832</v>
      </c>
      <c r="H9621" s="3" t="s">
        <v>46910</v>
      </c>
      <c r="I9621" s="3" t="s">
        <v>48833</v>
      </c>
      <c r="J9621" s="3" t="s">
        <v>501</v>
      </c>
      <c r="K9621" s="3" t="s">
        <v>48834</v>
      </c>
      <c r="L9621" s="3" t="s">
        <v>48835</v>
      </c>
      <c r="M9621" s="4"/>
      <c r="N9621" s="3" t="s">
        <v>37</v>
      </c>
      <c r="O9621" s="3" t="s">
        <v>112</v>
      </c>
      <c r="P9621" s="5">
        <v>9</v>
      </c>
      <c r="Q9621" s="5">
        <v>89</v>
      </c>
      <c r="R9621" s="5">
        <v>9</v>
      </c>
      <c r="S9621" s="5">
        <v>89</v>
      </c>
    </row>
    <row r="9622" spans="1:19" ht="28" x14ac:dyDescent="0.15">
      <c r="A9622" s="2">
        <f>HYPERLINK("https://open-school.uspishnemisto.com.ua/school/510455/", 510455)</f>
        <v>510455</v>
      </c>
      <c r="B9622" s="3" t="s">
        <v>48836</v>
      </c>
      <c r="C9622" s="3" t="s">
        <v>31</v>
      </c>
      <c r="D9622" s="3" t="s">
        <v>32</v>
      </c>
      <c r="E9622" s="4" t="s">
        <v>22</v>
      </c>
      <c r="F9622" s="4" t="s">
        <v>48837</v>
      </c>
      <c r="G9622" s="4" t="s">
        <v>48838</v>
      </c>
      <c r="H9622" s="3" t="s">
        <v>46910</v>
      </c>
      <c r="I9622" s="3" t="s">
        <v>48839</v>
      </c>
      <c r="J9622" s="3" t="s">
        <v>694</v>
      </c>
      <c r="K9622" s="3" t="s">
        <v>48840</v>
      </c>
      <c r="L9622" s="3" t="s">
        <v>48841</v>
      </c>
      <c r="M9622" s="4"/>
      <c r="N9622" s="3" t="s">
        <v>37</v>
      </c>
      <c r="O9622" s="3" t="s">
        <v>70</v>
      </c>
      <c r="P9622" s="5">
        <v>11</v>
      </c>
      <c r="Q9622" s="5">
        <v>144</v>
      </c>
      <c r="R9622" s="5">
        <v>11</v>
      </c>
      <c r="S9622" s="5">
        <v>148</v>
      </c>
    </row>
    <row r="9623" spans="1:19" ht="42" x14ac:dyDescent="0.15">
      <c r="A9623" s="2">
        <f>HYPERLINK("https://open-school.uspishnemisto.com.ua/school/510456/", 510456)</f>
        <v>510456</v>
      </c>
      <c r="B9623" s="3" t="s">
        <v>48842</v>
      </c>
      <c r="C9623" s="3" t="s">
        <v>54</v>
      </c>
      <c r="D9623" s="3" t="s">
        <v>32</v>
      </c>
      <c r="E9623" s="4" t="s">
        <v>22</v>
      </c>
      <c r="F9623" s="4" t="s">
        <v>48843</v>
      </c>
      <c r="G9623" s="4" t="s">
        <v>48844</v>
      </c>
      <c r="H9623" s="3" t="s">
        <v>46910</v>
      </c>
      <c r="I9623" s="3" t="s">
        <v>48845</v>
      </c>
      <c r="J9623" s="3" t="s">
        <v>48846</v>
      </c>
      <c r="K9623" s="3"/>
      <c r="L9623" s="3"/>
      <c r="M9623" s="4"/>
      <c r="N9623" s="3" t="s">
        <v>37</v>
      </c>
      <c r="O9623" s="3" t="s">
        <v>70</v>
      </c>
      <c r="P9623" s="5">
        <v>7</v>
      </c>
      <c r="Q9623" s="5">
        <v>62</v>
      </c>
      <c r="R9623" s="5">
        <v>10</v>
      </c>
      <c r="S9623" s="5">
        <v>72</v>
      </c>
    </row>
    <row r="9624" spans="1:19" ht="28" x14ac:dyDescent="0.15">
      <c r="A9624" s="2">
        <f>HYPERLINK("https://open-school.uspishnemisto.com.ua/school/510457/", 510457)</f>
        <v>510457</v>
      </c>
      <c r="B9624" s="3" t="s">
        <v>48847</v>
      </c>
      <c r="C9624" s="3" t="s">
        <v>31</v>
      </c>
      <c r="D9624" s="3" t="s">
        <v>32</v>
      </c>
      <c r="E9624" s="4" t="s">
        <v>22</v>
      </c>
      <c r="F9624" s="4" t="s">
        <v>48848</v>
      </c>
      <c r="G9624" s="4" t="s">
        <v>48849</v>
      </c>
      <c r="H9624" s="3" t="s">
        <v>46910</v>
      </c>
      <c r="I9624" s="3" t="s">
        <v>48850</v>
      </c>
      <c r="J9624" s="3" t="s">
        <v>2313</v>
      </c>
      <c r="K9624" s="3" t="s">
        <v>48851</v>
      </c>
      <c r="L9624" s="3" t="s">
        <v>48852</v>
      </c>
      <c r="M9624" s="4"/>
      <c r="N9624" s="3" t="s">
        <v>37</v>
      </c>
      <c r="O9624" s="3" t="s">
        <v>38</v>
      </c>
      <c r="P9624" s="5">
        <v>9</v>
      </c>
      <c r="Q9624" s="5">
        <v>70</v>
      </c>
      <c r="R9624" s="5">
        <v>9</v>
      </c>
      <c r="S9624" s="5">
        <v>67</v>
      </c>
    </row>
    <row r="9625" spans="1:19" ht="28" x14ac:dyDescent="0.15">
      <c r="A9625" s="2">
        <f>HYPERLINK("https://open-school.uspishnemisto.com.ua/school/510458/", 510458)</f>
        <v>510458</v>
      </c>
      <c r="B9625" s="3" t="s">
        <v>48853</v>
      </c>
      <c r="C9625" s="3" t="s">
        <v>31</v>
      </c>
      <c r="D9625" s="3" t="s">
        <v>175</v>
      </c>
      <c r="E9625" s="4" t="s">
        <v>22</v>
      </c>
      <c r="F9625" s="4" t="s">
        <v>48854</v>
      </c>
      <c r="G9625" s="4" t="s">
        <v>48855</v>
      </c>
      <c r="H9625" s="3" t="s">
        <v>46910</v>
      </c>
      <c r="I9625" s="3" t="s">
        <v>48856</v>
      </c>
      <c r="J9625" s="3" t="s">
        <v>1348</v>
      </c>
      <c r="K9625" s="3" t="s">
        <v>48857</v>
      </c>
      <c r="L9625" s="3"/>
      <c r="M9625" s="4"/>
      <c r="N9625" s="3" t="s">
        <v>37</v>
      </c>
      <c r="O9625" s="3" t="s">
        <v>38</v>
      </c>
      <c r="P9625" s="5">
        <v>6</v>
      </c>
      <c r="Q9625" s="5">
        <v>41</v>
      </c>
      <c r="R9625" s="5">
        <v>6</v>
      </c>
      <c r="S9625" s="5">
        <v>43</v>
      </c>
    </row>
    <row r="9626" spans="1:19" ht="28" x14ac:dyDescent="0.15">
      <c r="A9626" s="2">
        <f>HYPERLINK("https://open-school.uspishnemisto.com.ua/school/510459/", 510459)</f>
        <v>510459</v>
      </c>
      <c r="B9626" s="3" t="s">
        <v>48858</v>
      </c>
      <c r="C9626" s="3" t="s">
        <v>31</v>
      </c>
      <c r="D9626" s="3" t="s">
        <v>32</v>
      </c>
      <c r="E9626" s="4" t="s">
        <v>22</v>
      </c>
      <c r="F9626" s="4" t="s">
        <v>48859</v>
      </c>
      <c r="G9626" s="4" t="s">
        <v>48860</v>
      </c>
      <c r="H9626" s="3" t="s">
        <v>46910</v>
      </c>
      <c r="I9626" s="3" t="s">
        <v>3581</v>
      </c>
      <c r="J9626" s="3" t="s">
        <v>7166</v>
      </c>
      <c r="K9626" s="3" t="s">
        <v>48861</v>
      </c>
      <c r="L9626" s="3" t="s">
        <v>48862</v>
      </c>
      <c r="M9626" s="4"/>
      <c r="N9626" s="3" t="s">
        <v>967</v>
      </c>
      <c r="O9626" s="3" t="s">
        <v>46</v>
      </c>
      <c r="P9626" s="5">
        <v>10</v>
      </c>
      <c r="Q9626" s="5">
        <v>69</v>
      </c>
      <c r="R9626" s="5">
        <v>10</v>
      </c>
      <c r="S9626" s="5">
        <v>73</v>
      </c>
    </row>
    <row r="9627" spans="1:19" ht="28" x14ac:dyDescent="0.15">
      <c r="A9627" s="2">
        <f>HYPERLINK("https://open-school.uspishnemisto.com.ua/school/510460/", 510460)</f>
        <v>510460</v>
      </c>
      <c r="B9627" s="3" t="s">
        <v>48863</v>
      </c>
      <c r="C9627" s="3" t="s">
        <v>31</v>
      </c>
      <c r="D9627" s="3" t="s">
        <v>175</v>
      </c>
      <c r="E9627" s="4" t="s">
        <v>22</v>
      </c>
      <c r="F9627" s="4" t="s">
        <v>48864</v>
      </c>
      <c r="G9627" s="4" t="s">
        <v>48865</v>
      </c>
      <c r="H9627" s="3" t="s">
        <v>46910</v>
      </c>
      <c r="I9627" s="3" t="s">
        <v>3692</v>
      </c>
      <c r="J9627" s="3" t="s">
        <v>48866</v>
      </c>
      <c r="K9627" s="3" t="s">
        <v>48867</v>
      </c>
      <c r="L9627" s="3" t="s">
        <v>48868</v>
      </c>
      <c r="M9627" s="4"/>
      <c r="N9627" s="3" t="s">
        <v>37</v>
      </c>
      <c r="O9627" s="3" t="s">
        <v>38</v>
      </c>
      <c r="P9627" s="5">
        <v>9</v>
      </c>
      <c r="Q9627" s="5">
        <v>112</v>
      </c>
      <c r="R9627" s="5">
        <v>9</v>
      </c>
      <c r="S9627" s="5">
        <v>115</v>
      </c>
    </row>
    <row r="9628" spans="1:19" ht="28" x14ac:dyDescent="0.15">
      <c r="A9628" s="2">
        <f>HYPERLINK("https://open-school.uspishnemisto.com.ua/school/510461/", 510461)</f>
        <v>510461</v>
      </c>
      <c r="B9628" s="3" t="s">
        <v>48869</v>
      </c>
      <c r="C9628" s="3" t="s">
        <v>31</v>
      </c>
      <c r="D9628" s="3" t="s">
        <v>32</v>
      </c>
      <c r="E9628" s="4" t="s">
        <v>22</v>
      </c>
      <c r="F9628" s="4" t="s">
        <v>48870</v>
      </c>
      <c r="G9628" s="4" t="s">
        <v>48871</v>
      </c>
      <c r="H9628" s="3" t="s">
        <v>46910</v>
      </c>
      <c r="I9628" s="3" t="s">
        <v>48872</v>
      </c>
      <c r="J9628" s="3" t="s">
        <v>9314</v>
      </c>
      <c r="K9628" s="3" t="s">
        <v>48873</v>
      </c>
      <c r="L9628" s="3"/>
      <c r="M9628" s="4"/>
      <c r="N9628" s="3" t="s">
        <v>37</v>
      </c>
      <c r="O9628" s="3" t="s">
        <v>38</v>
      </c>
      <c r="P9628" s="5">
        <v>8</v>
      </c>
      <c r="Q9628" s="5">
        <v>69</v>
      </c>
      <c r="R9628" s="5">
        <v>8</v>
      </c>
      <c r="S9628" s="5">
        <v>74</v>
      </c>
    </row>
    <row r="9629" spans="1:19" ht="28" x14ac:dyDescent="0.15">
      <c r="A9629" s="2">
        <f>HYPERLINK("https://open-school.uspishnemisto.com.ua/school/510462/", 510462)</f>
        <v>510462</v>
      </c>
      <c r="B9629" s="3" t="s">
        <v>48874</v>
      </c>
      <c r="C9629" s="3" t="s">
        <v>31</v>
      </c>
      <c r="D9629" s="3" t="s">
        <v>32</v>
      </c>
      <c r="E9629" s="4" t="s">
        <v>22</v>
      </c>
      <c r="F9629" s="4" t="s">
        <v>48875</v>
      </c>
      <c r="G9629" s="4" t="s">
        <v>48876</v>
      </c>
      <c r="H9629" s="3" t="s">
        <v>46910</v>
      </c>
      <c r="I9629" s="3" t="s">
        <v>883</v>
      </c>
      <c r="J9629" s="3" t="s">
        <v>48877</v>
      </c>
      <c r="K9629" s="3" t="s">
        <v>48878</v>
      </c>
      <c r="L9629" s="3"/>
      <c r="M9629" s="4"/>
      <c r="N9629" s="3" t="s">
        <v>37</v>
      </c>
      <c r="O9629" s="3" t="s">
        <v>70</v>
      </c>
      <c r="P9629" s="5">
        <v>21</v>
      </c>
      <c r="Q9629" s="5">
        <v>416</v>
      </c>
      <c r="R9629" s="5">
        <v>20</v>
      </c>
      <c r="S9629" s="5">
        <v>415</v>
      </c>
    </row>
    <row r="9630" spans="1:19" ht="28" x14ac:dyDescent="0.15">
      <c r="A9630" s="2">
        <f>HYPERLINK("https://open-school.uspishnemisto.com.ua/school/510463/", 510463)</f>
        <v>510463</v>
      </c>
      <c r="B9630" s="3" t="s">
        <v>48879</v>
      </c>
      <c r="C9630" s="3" t="s">
        <v>31</v>
      </c>
      <c r="D9630" s="3" t="s">
        <v>32</v>
      </c>
      <c r="E9630" s="4" t="s">
        <v>22</v>
      </c>
      <c r="F9630" s="4" t="s">
        <v>48880</v>
      </c>
      <c r="G9630" s="4" t="s">
        <v>48881</v>
      </c>
      <c r="H9630" s="3" t="s">
        <v>46910</v>
      </c>
      <c r="I9630" s="3" t="s">
        <v>12478</v>
      </c>
      <c r="J9630" s="3" t="s">
        <v>48882</v>
      </c>
      <c r="K9630" s="3" t="s">
        <v>48883</v>
      </c>
      <c r="L9630" s="3"/>
      <c r="M9630" s="4"/>
      <c r="N9630" s="3" t="s">
        <v>37</v>
      </c>
      <c r="O9630" s="3" t="s">
        <v>38</v>
      </c>
      <c r="P9630" s="5">
        <v>21</v>
      </c>
      <c r="Q9630" s="5">
        <v>397</v>
      </c>
      <c r="R9630" s="5">
        <v>21</v>
      </c>
      <c r="S9630" s="5">
        <v>386</v>
      </c>
    </row>
    <row r="9631" spans="1:19" ht="28" x14ac:dyDescent="0.15">
      <c r="A9631" s="2">
        <f>HYPERLINK("https://open-school.uspishnemisto.com.ua/school/510464/", 510464)</f>
        <v>510464</v>
      </c>
      <c r="B9631" s="3" t="s">
        <v>48884</v>
      </c>
      <c r="C9631" s="3" t="s">
        <v>31</v>
      </c>
      <c r="D9631" s="3" t="s">
        <v>32</v>
      </c>
      <c r="E9631" s="4" t="s">
        <v>22</v>
      </c>
      <c r="F9631" s="4" t="s">
        <v>48880</v>
      </c>
      <c r="G9631" s="4" t="s">
        <v>48881</v>
      </c>
      <c r="H9631" s="3" t="s">
        <v>46910</v>
      </c>
      <c r="I9631" s="3" t="s">
        <v>12478</v>
      </c>
      <c r="J9631" s="3" t="s">
        <v>48885</v>
      </c>
      <c r="K9631" s="3" t="s">
        <v>48886</v>
      </c>
      <c r="L9631" s="3"/>
      <c r="M9631" s="4"/>
      <c r="N9631" s="3" t="s">
        <v>128</v>
      </c>
      <c r="O9631" s="3" t="s">
        <v>38</v>
      </c>
      <c r="P9631" s="5">
        <v>16</v>
      </c>
      <c r="Q9631" s="5">
        <v>178</v>
      </c>
      <c r="R9631" s="5">
        <v>18</v>
      </c>
      <c r="S9631" s="5">
        <v>186</v>
      </c>
    </row>
    <row r="9632" spans="1:19" ht="28" x14ac:dyDescent="0.15">
      <c r="A9632" s="2">
        <f>HYPERLINK("https://open-school.uspishnemisto.com.ua/school/510465/", 510465)</f>
        <v>510465</v>
      </c>
      <c r="B9632" s="3" t="s">
        <v>48887</v>
      </c>
      <c r="C9632" s="3" t="s">
        <v>31</v>
      </c>
      <c r="D9632" s="3" t="s">
        <v>32</v>
      </c>
      <c r="E9632" s="4" t="s">
        <v>22</v>
      </c>
      <c r="F9632" s="4" t="s">
        <v>48888</v>
      </c>
      <c r="G9632" s="4" t="s">
        <v>48889</v>
      </c>
      <c r="H9632" s="3" t="s">
        <v>46910</v>
      </c>
      <c r="I9632" s="3" t="s">
        <v>48890</v>
      </c>
      <c r="J9632" s="3" t="s">
        <v>7340</v>
      </c>
      <c r="K9632" s="3" t="s">
        <v>48891</v>
      </c>
      <c r="L9632" s="3"/>
      <c r="M9632" s="4"/>
      <c r="N9632" s="3" t="s">
        <v>37</v>
      </c>
      <c r="O9632" s="3" t="s">
        <v>38</v>
      </c>
      <c r="P9632" s="5">
        <v>11</v>
      </c>
      <c r="Q9632" s="5">
        <v>172</v>
      </c>
      <c r="R9632" s="5">
        <v>11</v>
      </c>
      <c r="S9632" s="5">
        <v>176</v>
      </c>
    </row>
    <row r="9633" spans="1:19" ht="28" x14ac:dyDescent="0.15">
      <c r="A9633" s="2">
        <f>HYPERLINK("https://open-school.uspishnemisto.com.ua/school/510466/", 510466)</f>
        <v>510466</v>
      </c>
      <c r="B9633" s="3" t="s">
        <v>48892</v>
      </c>
      <c r="C9633" s="3" t="s">
        <v>31</v>
      </c>
      <c r="D9633" s="3" t="s">
        <v>32</v>
      </c>
      <c r="E9633" s="4" t="s">
        <v>22</v>
      </c>
      <c r="F9633" s="4" t="s">
        <v>48893</v>
      </c>
      <c r="G9633" s="4" t="s">
        <v>48894</v>
      </c>
      <c r="H9633" s="3" t="s">
        <v>46910</v>
      </c>
      <c r="I9633" s="3" t="s">
        <v>48895</v>
      </c>
      <c r="J9633" s="3" t="s">
        <v>792</v>
      </c>
      <c r="K9633" s="3" t="s">
        <v>48896</v>
      </c>
      <c r="L9633" s="3"/>
      <c r="M9633" s="4"/>
      <c r="N9633" s="3" t="s">
        <v>37</v>
      </c>
      <c r="O9633" s="3" t="s">
        <v>38</v>
      </c>
      <c r="P9633" s="5">
        <v>10</v>
      </c>
      <c r="Q9633" s="5">
        <v>150</v>
      </c>
      <c r="R9633" s="5">
        <v>10</v>
      </c>
      <c r="S9633" s="5">
        <v>148</v>
      </c>
    </row>
    <row r="9634" spans="1:19" ht="42" x14ac:dyDescent="0.15">
      <c r="A9634" s="2">
        <f>HYPERLINK("https://open-school.uspishnemisto.com.ua/school/510467/", 510467)</f>
        <v>510467</v>
      </c>
      <c r="B9634" s="3" t="s">
        <v>48897</v>
      </c>
      <c r="C9634" s="3" t="s">
        <v>54</v>
      </c>
      <c r="D9634" s="3" t="s">
        <v>32</v>
      </c>
      <c r="E9634" s="4" t="s">
        <v>22</v>
      </c>
      <c r="F9634" s="4" t="s">
        <v>48898</v>
      </c>
      <c r="G9634" s="4" t="s">
        <v>48899</v>
      </c>
      <c r="H9634" s="3" t="s">
        <v>46910</v>
      </c>
      <c r="I9634" s="3" t="s">
        <v>17844</v>
      </c>
      <c r="J9634" s="3" t="s">
        <v>48900</v>
      </c>
      <c r="K9634" s="3" t="s">
        <v>48901</v>
      </c>
      <c r="L9634" s="3"/>
      <c r="M9634" s="4"/>
      <c r="N9634" s="3" t="s">
        <v>37</v>
      </c>
      <c r="O9634" s="3" t="s">
        <v>52</v>
      </c>
      <c r="P9634" s="5">
        <v>11</v>
      </c>
      <c r="Q9634" s="5">
        <v>191</v>
      </c>
      <c r="R9634" s="5">
        <v>11</v>
      </c>
      <c r="S9634" s="5">
        <v>194</v>
      </c>
    </row>
    <row r="9635" spans="1:19" ht="28" x14ac:dyDescent="0.15">
      <c r="A9635" s="2">
        <f>HYPERLINK("https://open-school.uspishnemisto.com.ua/school/510468/", 510468)</f>
        <v>510468</v>
      </c>
      <c r="B9635" s="3" t="s">
        <v>48902</v>
      </c>
      <c r="C9635" s="3" t="s">
        <v>31</v>
      </c>
      <c r="D9635" s="3" t="s">
        <v>32</v>
      </c>
      <c r="E9635" s="4" t="s">
        <v>22</v>
      </c>
      <c r="F9635" s="4" t="s">
        <v>48903</v>
      </c>
      <c r="G9635" s="4" t="s">
        <v>48904</v>
      </c>
      <c r="H9635" s="3" t="s">
        <v>46910</v>
      </c>
      <c r="I9635" s="3" t="s">
        <v>48905</v>
      </c>
      <c r="J9635" s="3" t="s">
        <v>48906</v>
      </c>
      <c r="K9635" s="3" t="s">
        <v>48907</v>
      </c>
      <c r="L9635" s="3"/>
      <c r="M9635" s="4"/>
      <c r="N9635" s="3" t="s">
        <v>37</v>
      </c>
      <c r="O9635" s="3" t="s">
        <v>38</v>
      </c>
      <c r="P9635" s="5">
        <v>12</v>
      </c>
      <c r="Q9635" s="5">
        <v>201</v>
      </c>
      <c r="R9635" s="5">
        <v>12</v>
      </c>
      <c r="S9635" s="5">
        <v>202</v>
      </c>
    </row>
    <row r="9636" spans="1:19" ht="28" x14ac:dyDescent="0.15">
      <c r="A9636" s="2">
        <f>HYPERLINK("https://open-school.uspishnemisto.com.ua/school/510469/", 510469)</f>
        <v>510469</v>
      </c>
      <c r="B9636" s="3" t="s">
        <v>48908</v>
      </c>
      <c r="C9636" s="3" t="s">
        <v>31</v>
      </c>
      <c r="D9636" s="3" t="s">
        <v>175</v>
      </c>
      <c r="E9636" s="4" t="s">
        <v>22</v>
      </c>
      <c r="F9636" s="4" t="s">
        <v>48875</v>
      </c>
      <c r="G9636" s="4" t="s">
        <v>48909</v>
      </c>
      <c r="H9636" s="3" t="s">
        <v>46910</v>
      </c>
      <c r="I9636" s="3" t="s">
        <v>48910</v>
      </c>
      <c r="J9636" s="3" t="s">
        <v>48911</v>
      </c>
      <c r="K9636" s="3" t="s">
        <v>48912</v>
      </c>
      <c r="L9636" s="3"/>
      <c r="M9636" s="4"/>
      <c r="N9636" s="3" t="s">
        <v>37</v>
      </c>
      <c r="O9636" s="3" t="s">
        <v>70</v>
      </c>
      <c r="P9636" s="5">
        <v>9</v>
      </c>
      <c r="Q9636" s="5">
        <v>131</v>
      </c>
      <c r="R9636" s="5">
        <v>9</v>
      </c>
      <c r="S9636" s="5">
        <v>137</v>
      </c>
    </row>
    <row r="9637" spans="1:19" ht="28" x14ac:dyDescent="0.15">
      <c r="A9637" s="2">
        <f>HYPERLINK("https://open-school.uspishnemisto.com.ua/school/510470/", 510470)</f>
        <v>510470</v>
      </c>
      <c r="B9637" s="3" t="s">
        <v>48913</v>
      </c>
      <c r="C9637" s="3" t="s">
        <v>31</v>
      </c>
      <c r="D9637" s="3" t="s">
        <v>32</v>
      </c>
      <c r="E9637" s="4" t="s">
        <v>22</v>
      </c>
      <c r="F9637" s="4" t="s">
        <v>48914</v>
      </c>
      <c r="G9637" s="4" t="s">
        <v>48915</v>
      </c>
      <c r="H9637" s="3" t="s">
        <v>46910</v>
      </c>
      <c r="I9637" s="3" t="s">
        <v>1803</v>
      </c>
      <c r="J9637" s="3" t="s">
        <v>48916</v>
      </c>
      <c r="K9637" s="3" t="s">
        <v>48917</v>
      </c>
      <c r="L9637" s="3"/>
      <c r="M9637" s="4"/>
      <c r="N9637" s="3" t="s">
        <v>37</v>
      </c>
      <c r="O9637" s="3" t="s">
        <v>112</v>
      </c>
      <c r="P9637" s="5">
        <v>6</v>
      </c>
      <c r="Q9637" s="5">
        <v>62</v>
      </c>
      <c r="R9637" s="5">
        <v>5</v>
      </c>
      <c r="S9637" s="5">
        <v>56</v>
      </c>
    </row>
    <row r="9638" spans="1:19" ht="28" x14ac:dyDescent="0.15">
      <c r="A9638" s="2">
        <f>HYPERLINK("https://open-school.uspishnemisto.com.ua/school/510471/", 510471)</f>
        <v>510471</v>
      </c>
      <c r="B9638" s="3" t="s">
        <v>48918</v>
      </c>
      <c r="C9638" s="3" t="s">
        <v>31</v>
      </c>
      <c r="D9638" s="3" t="s">
        <v>175</v>
      </c>
      <c r="E9638" s="4" t="s">
        <v>22</v>
      </c>
      <c r="F9638" s="4" t="s">
        <v>48919</v>
      </c>
      <c r="G9638" s="4" t="s">
        <v>48920</v>
      </c>
      <c r="H9638" s="3" t="s">
        <v>46910</v>
      </c>
      <c r="I9638" s="3" t="s">
        <v>48921</v>
      </c>
      <c r="J9638" s="3" t="s">
        <v>4678</v>
      </c>
      <c r="K9638" s="3" t="s">
        <v>48922</v>
      </c>
      <c r="L9638" s="3"/>
      <c r="M9638" s="4"/>
      <c r="N9638" s="3" t="s">
        <v>37</v>
      </c>
      <c r="O9638" s="3" t="s">
        <v>38</v>
      </c>
      <c r="P9638" s="5">
        <v>9</v>
      </c>
      <c r="Q9638" s="5">
        <v>72</v>
      </c>
      <c r="R9638" s="5">
        <v>9</v>
      </c>
      <c r="S9638" s="5">
        <v>63</v>
      </c>
    </row>
    <row r="9639" spans="1:19" ht="42" x14ac:dyDescent="0.15">
      <c r="A9639" s="2">
        <f>HYPERLINK("https://open-school.uspishnemisto.com.ua/school/510472/", 510472)</f>
        <v>510472</v>
      </c>
      <c r="B9639" s="3" t="s">
        <v>48923</v>
      </c>
      <c r="C9639" s="3" t="s">
        <v>54</v>
      </c>
      <c r="D9639" s="3" t="s">
        <v>32</v>
      </c>
      <c r="E9639" s="4" t="s">
        <v>22</v>
      </c>
      <c r="F9639" s="4" t="s">
        <v>48924</v>
      </c>
      <c r="G9639" s="4" t="s">
        <v>48925</v>
      </c>
      <c r="H9639" s="3" t="s">
        <v>46910</v>
      </c>
      <c r="I9639" s="3" t="s">
        <v>48926</v>
      </c>
      <c r="J9639" s="3" t="s">
        <v>48927</v>
      </c>
      <c r="K9639" s="3"/>
      <c r="L9639" s="3"/>
      <c r="M9639" s="4"/>
      <c r="N9639" s="3" t="s">
        <v>37</v>
      </c>
      <c r="O9639" s="3" t="s">
        <v>618</v>
      </c>
      <c r="P9639" s="5">
        <v>6</v>
      </c>
      <c r="Q9639" s="5">
        <v>48</v>
      </c>
      <c r="R9639" s="5">
        <v>7</v>
      </c>
      <c r="S9639" s="5">
        <v>50</v>
      </c>
    </row>
    <row r="9640" spans="1:19" ht="28" x14ac:dyDescent="0.15">
      <c r="A9640" s="2">
        <f>HYPERLINK("https://open-school.uspishnemisto.com.ua/school/510473/", 510473)</f>
        <v>510473</v>
      </c>
      <c r="B9640" s="3" t="s">
        <v>48928</v>
      </c>
      <c r="C9640" s="3" t="s">
        <v>31</v>
      </c>
      <c r="D9640" s="3" t="s">
        <v>32</v>
      </c>
      <c r="E9640" s="4" t="s">
        <v>22</v>
      </c>
      <c r="F9640" s="4" t="s">
        <v>48929</v>
      </c>
      <c r="G9640" s="4" t="s">
        <v>48930</v>
      </c>
      <c r="H9640" s="3" t="s">
        <v>46910</v>
      </c>
      <c r="I9640" s="3" t="s">
        <v>48931</v>
      </c>
      <c r="J9640" s="3" t="s">
        <v>48932</v>
      </c>
      <c r="K9640" s="3" t="s">
        <v>48933</v>
      </c>
      <c r="L9640" s="3"/>
      <c r="M9640" s="4"/>
      <c r="N9640" s="3" t="s">
        <v>37</v>
      </c>
      <c r="O9640" s="3" t="s">
        <v>46</v>
      </c>
      <c r="P9640" s="5">
        <v>17</v>
      </c>
      <c r="Q9640" s="5">
        <v>296</v>
      </c>
      <c r="R9640" s="5">
        <v>17</v>
      </c>
      <c r="S9640" s="5">
        <v>278</v>
      </c>
    </row>
    <row r="9641" spans="1:19" ht="42" x14ac:dyDescent="0.15">
      <c r="A9641" s="2">
        <f>HYPERLINK("https://open-school.uspishnemisto.com.ua/school/510474/", 510474)</f>
        <v>510474</v>
      </c>
      <c r="B9641" s="3" t="s">
        <v>48934</v>
      </c>
      <c r="C9641" s="3" t="s">
        <v>54</v>
      </c>
      <c r="D9641" s="3" t="s">
        <v>32</v>
      </c>
      <c r="E9641" s="4" t="s">
        <v>22</v>
      </c>
      <c r="F9641" s="4" t="s">
        <v>48935</v>
      </c>
      <c r="G9641" s="4" t="s">
        <v>48936</v>
      </c>
      <c r="H9641" s="3" t="s">
        <v>46910</v>
      </c>
      <c r="I9641" s="3" t="s">
        <v>48937</v>
      </c>
      <c r="J9641" s="3" t="s">
        <v>48938</v>
      </c>
      <c r="K9641" s="3" t="s">
        <v>48939</v>
      </c>
      <c r="L9641" s="3"/>
      <c r="M9641" s="4"/>
      <c r="N9641" s="3" t="s">
        <v>37</v>
      </c>
      <c r="O9641" s="3" t="s">
        <v>70</v>
      </c>
      <c r="P9641" s="5">
        <v>11</v>
      </c>
      <c r="Q9641" s="5">
        <v>161</v>
      </c>
      <c r="R9641" s="5">
        <v>11</v>
      </c>
      <c r="S9641" s="5">
        <v>148</v>
      </c>
    </row>
    <row r="9642" spans="1:19" ht="28" x14ac:dyDescent="0.15">
      <c r="A9642" s="2">
        <f>HYPERLINK("https://open-school.uspishnemisto.com.ua/school/510475/", 510475)</f>
        <v>510475</v>
      </c>
      <c r="B9642" s="3" t="s">
        <v>48940</v>
      </c>
      <c r="C9642" s="3" t="s">
        <v>31</v>
      </c>
      <c r="D9642" s="3" t="s">
        <v>175</v>
      </c>
      <c r="E9642" s="4" t="s">
        <v>22</v>
      </c>
      <c r="F9642" s="4" t="s">
        <v>48941</v>
      </c>
      <c r="G9642" s="4" t="s">
        <v>48942</v>
      </c>
      <c r="H9642" s="3" t="s">
        <v>46910</v>
      </c>
      <c r="I9642" s="3" t="s">
        <v>48943</v>
      </c>
      <c r="J9642" s="3" t="s">
        <v>5432</v>
      </c>
      <c r="K9642" s="3" t="s">
        <v>48944</v>
      </c>
      <c r="L9642" s="3"/>
      <c r="M9642" s="4"/>
      <c r="N9642" s="3" t="s">
        <v>37</v>
      </c>
      <c r="O9642" s="3" t="s">
        <v>70</v>
      </c>
      <c r="P9642" s="5">
        <v>8</v>
      </c>
      <c r="Q9642" s="5">
        <v>64</v>
      </c>
      <c r="R9642" s="5">
        <v>8</v>
      </c>
      <c r="S9642" s="5">
        <v>67</v>
      </c>
    </row>
    <row r="9643" spans="1:19" ht="42" x14ac:dyDescent="0.15">
      <c r="A9643" s="2">
        <f>HYPERLINK("https://open-school.uspishnemisto.com.ua/school/510476/", 510476)</f>
        <v>510476</v>
      </c>
      <c r="B9643" s="3" t="s">
        <v>48945</v>
      </c>
      <c r="C9643" s="3" t="s">
        <v>54</v>
      </c>
      <c r="D9643" s="3" t="s">
        <v>32</v>
      </c>
      <c r="E9643" s="4" t="s">
        <v>22</v>
      </c>
      <c r="F9643" s="4" t="s">
        <v>48946</v>
      </c>
      <c r="G9643" s="4" t="s">
        <v>48947</v>
      </c>
      <c r="H9643" s="3" t="s">
        <v>46910</v>
      </c>
      <c r="I9643" s="3" t="s">
        <v>48948</v>
      </c>
      <c r="J9643" s="3" t="s">
        <v>952</v>
      </c>
      <c r="K9643" s="3" t="s">
        <v>48949</v>
      </c>
      <c r="L9643" s="3"/>
      <c r="M9643" s="4"/>
      <c r="N9643" s="3" t="s">
        <v>37</v>
      </c>
      <c r="O9643" s="3" t="s">
        <v>52</v>
      </c>
      <c r="P9643" s="5">
        <v>8</v>
      </c>
      <c r="Q9643" s="5">
        <v>70</v>
      </c>
      <c r="R9643" s="5">
        <v>10</v>
      </c>
      <c r="S9643" s="5">
        <v>82</v>
      </c>
    </row>
    <row r="9644" spans="1:19" ht="42" x14ac:dyDescent="0.15">
      <c r="A9644" s="2">
        <f>HYPERLINK("https://open-school.uspishnemisto.com.ua/school/510477/", 510477)</f>
        <v>510477</v>
      </c>
      <c r="B9644" s="3" t="s">
        <v>48950</v>
      </c>
      <c r="C9644" s="3" t="s">
        <v>54</v>
      </c>
      <c r="D9644" s="3" t="s">
        <v>32</v>
      </c>
      <c r="E9644" s="4" t="s">
        <v>22</v>
      </c>
      <c r="F9644" s="4" t="s">
        <v>48951</v>
      </c>
      <c r="G9644" s="4" t="s">
        <v>48952</v>
      </c>
      <c r="H9644" s="3" t="s">
        <v>46910</v>
      </c>
      <c r="I9644" s="3" t="s">
        <v>1409</v>
      </c>
      <c r="J9644" s="3" t="s">
        <v>48953</v>
      </c>
      <c r="K9644" s="3" t="s">
        <v>48954</v>
      </c>
      <c r="L9644" s="3"/>
      <c r="M9644" s="4"/>
      <c r="N9644" s="3" t="s">
        <v>37</v>
      </c>
      <c r="O9644" s="3" t="s">
        <v>46</v>
      </c>
      <c r="P9644" s="5">
        <v>11</v>
      </c>
      <c r="Q9644" s="5">
        <v>169</v>
      </c>
      <c r="R9644" s="5">
        <v>11</v>
      </c>
      <c r="S9644" s="5">
        <v>161</v>
      </c>
    </row>
    <row r="9645" spans="1:19" ht="28" x14ac:dyDescent="0.15">
      <c r="A9645" s="2">
        <f>HYPERLINK("https://open-school.uspishnemisto.com.ua/school/510478/", 510478)</f>
        <v>510478</v>
      </c>
      <c r="B9645" s="3" t="s">
        <v>48955</v>
      </c>
      <c r="C9645" s="3" t="s">
        <v>31</v>
      </c>
      <c r="D9645" s="3" t="s">
        <v>32</v>
      </c>
      <c r="E9645" s="4" t="s">
        <v>22</v>
      </c>
      <c r="F9645" s="4" t="s">
        <v>48956</v>
      </c>
      <c r="G9645" s="4" t="s">
        <v>48957</v>
      </c>
      <c r="H9645" s="3" t="s">
        <v>46910</v>
      </c>
      <c r="I9645" s="3" t="s">
        <v>34657</v>
      </c>
      <c r="J9645" s="3" t="s">
        <v>3370</v>
      </c>
      <c r="K9645" s="3" t="s">
        <v>48958</v>
      </c>
      <c r="L9645" s="3"/>
      <c r="M9645" s="4"/>
      <c r="N9645" s="3" t="s">
        <v>37</v>
      </c>
      <c r="O9645" s="3" t="s">
        <v>38</v>
      </c>
      <c r="P9645" s="5">
        <v>22</v>
      </c>
      <c r="Q9645" s="5">
        <v>409</v>
      </c>
      <c r="R9645" s="5">
        <v>22</v>
      </c>
      <c r="S9645" s="5">
        <v>404</v>
      </c>
    </row>
    <row r="9646" spans="1:19" ht="28" x14ac:dyDescent="0.15">
      <c r="A9646" s="2">
        <f>HYPERLINK("https://open-school.uspishnemisto.com.ua/school/510479/", 510479)</f>
        <v>510479</v>
      </c>
      <c r="B9646" s="3" t="s">
        <v>48959</v>
      </c>
      <c r="C9646" s="3" t="s">
        <v>31</v>
      </c>
      <c r="D9646" s="3" t="s">
        <v>32</v>
      </c>
      <c r="E9646" s="4" t="s">
        <v>22</v>
      </c>
      <c r="F9646" s="4" t="s">
        <v>48960</v>
      </c>
      <c r="G9646" s="4" t="s">
        <v>48961</v>
      </c>
      <c r="H9646" s="3" t="s">
        <v>46910</v>
      </c>
      <c r="I9646" s="3" t="s">
        <v>48962</v>
      </c>
      <c r="J9646" s="3" t="s">
        <v>16670</v>
      </c>
      <c r="K9646" s="3" t="s">
        <v>48963</v>
      </c>
      <c r="L9646" s="3"/>
      <c r="M9646" s="4"/>
      <c r="N9646" s="3" t="s">
        <v>967</v>
      </c>
      <c r="O9646" s="3" t="s">
        <v>47946</v>
      </c>
      <c r="P9646" s="5">
        <v>18</v>
      </c>
      <c r="Q9646" s="5">
        <v>356</v>
      </c>
      <c r="R9646" s="5">
        <v>19</v>
      </c>
      <c r="S9646" s="5">
        <v>349</v>
      </c>
    </row>
    <row r="9647" spans="1:19" ht="28" x14ac:dyDescent="0.15">
      <c r="A9647" s="2">
        <f>HYPERLINK("https://open-school.uspishnemisto.com.ua/school/510480/", 510480)</f>
        <v>510480</v>
      </c>
      <c r="B9647" s="3" t="s">
        <v>48964</v>
      </c>
      <c r="C9647" s="3" t="s">
        <v>31</v>
      </c>
      <c r="D9647" s="3" t="s">
        <v>32</v>
      </c>
      <c r="E9647" s="4" t="s">
        <v>22</v>
      </c>
      <c r="F9647" s="4" t="s">
        <v>48965</v>
      </c>
      <c r="G9647" s="4" t="s">
        <v>48966</v>
      </c>
      <c r="H9647" s="3" t="s">
        <v>46910</v>
      </c>
      <c r="I9647" s="3" t="s">
        <v>13022</v>
      </c>
      <c r="J9647" s="3" t="s">
        <v>952</v>
      </c>
      <c r="K9647" s="3" t="s">
        <v>48967</v>
      </c>
      <c r="L9647" s="3" t="s">
        <v>48968</v>
      </c>
      <c r="M9647" s="4"/>
      <c r="N9647" s="3" t="s">
        <v>967</v>
      </c>
      <c r="O9647" s="3" t="s">
        <v>47946</v>
      </c>
      <c r="P9647" s="5">
        <v>16</v>
      </c>
      <c r="Q9647" s="5">
        <v>337</v>
      </c>
      <c r="R9647" s="5">
        <v>16</v>
      </c>
      <c r="S9647" s="5">
        <v>328</v>
      </c>
    </row>
    <row r="9648" spans="1:19" ht="28" x14ac:dyDescent="0.15">
      <c r="A9648" s="2">
        <f>HYPERLINK("https://open-school.uspishnemisto.com.ua/school/510481/", 510481)</f>
        <v>510481</v>
      </c>
      <c r="B9648" s="3" t="s">
        <v>48969</v>
      </c>
      <c r="C9648" s="3" t="s">
        <v>31</v>
      </c>
      <c r="D9648" s="3" t="s">
        <v>32</v>
      </c>
      <c r="E9648" s="4" t="s">
        <v>22</v>
      </c>
      <c r="F9648" s="4" t="s">
        <v>48970</v>
      </c>
      <c r="G9648" s="4" t="s">
        <v>48971</v>
      </c>
      <c r="H9648" s="3" t="s">
        <v>46910</v>
      </c>
      <c r="I9648" s="3" t="s">
        <v>48972</v>
      </c>
      <c r="J9648" s="3" t="s">
        <v>48973</v>
      </c>
      <c r="K9648" s="3"/>
      <c r="L9648" s="3"/>
      <c r="M9648" s="4"/>
      <c r="N9648" s="3" t="s">
        <v>37</v>
      </c>
      <c r="O9648" s="3" t="s">
        <v>38</v>
      </c>
      <c r="P9648" s="5">
        <v>20</v>
      </c>
      <c r="Q9648" s="5">
        <v>421</v>
      </c>
      <c r="R9648" s="5">
        <v>20</v>
      </c>
      <c r="S9648" s="5">
        <v>410</v>
      </c>
    </row>
    <row r="9649" spans="1:19" ht="28" x14ac:dyDescent="0.15">
      <c r="A9649" s="2">
        <f>HYPERLINK("https://open-school.uspishnemisto.com.ua/school/510482/", 510482)</f>
        <v>510482</v>
      </c>
      <c r="B9649" s="3" t="s">
        <v>48974</v>
      </c>
      <c r="C9649" s="3" t="s">
        <v>31</v>
      </c>
      <c r="D9649" s="3" t="s">
        <v>32</v>
      </c>
      <c r="E9649" s="4" t="s">
        <v>22</v>
      </c>
      <c r="F9649" s="4" t="s">
        <v>48975</v>
      </c>
      <c r="G9649" s="4" t="s">
        <v>48976</v>
      </c>
      <c r="H9649" s="3" t="s">
        <v>46910</v>
      </c>
      <c r="I9649" s="3" t="s">
        <v>48977</v>
      </c>
      <c r="J9649" s="3" t="s">
        <v>2978</v>
      </c>
      <c r="K9649" s="3" t="s">
        <v>48978</v>
      </c>
      <c r="L9649" s="3"/>
      <c r="M9649" s="4"/>
      <c r="N9649" s="3" t="s">
        <v>967</v>
      </c>
      <c r="O9649" s="3" t="s">
        <v>47946</v>
      </c>
      <c r="P9649" s="5">
        <v>11</v>
      </c>
      <c r="Q9649" s="5">
        <v>112</v>
      </c>
      <c r="R9649" s="5">
        <v>11</v>
      </c>
      <c r="S9649" s="5">
        <v>110</v>
      </c>
    </row>
    <row r="9650" spans="1:19" ht="42" x14ac:dyDescent="0.15">
      <c r="A9650" s="2">
        <f>HYPERLINK("https://open-school.uspishnemisto.com.ua/school/510483/", 510483)</f>
        <v>510483</v>
      </c>
      <c r="B9650" s="3" t="s">
        <v>48979</v>
      </c>
      <c r="C9650" s="3" t="s">
        <v>54</v>
      </c>
      <c r="D9650" s="3" t="s">
        <v>32</v>
      </c>
      <c r="E9650" s="4" t="s">
        <v>22</v>
      </c>
      <c r="F9650" s="4" t="s">
        <v>48980</v>
      </c>
      <c r="G9650" s="4" t="s">
        <v>48981</v>
      </c>
      <c r="H9650" s="3" t="s">
        <v>46910</v>
      </c>
      <c r="I9650" s="3" t="s">
        <v>10829</v>
      </c>
      <c r="J9650" s="3" t="s">
        <v>8128</v>
      </c>
      <c r="K9650" s="3" t="s">
        <v>48982</v>
      </c>
      <c r="L9650" s="3"/>
      <c r="M9650" s="4"/>
      <c r="N9650" s="3" t="s">
        <v>128</v>
      </c>
      <c r="O9650" s="3" t="s">
        <v>48713</v>
      </c>
      <c r="P9650" s="5">
        <v>22</v>
      </c>
      <c r="Q9650" s="5">
        <v>379</v>
      </c>
      <c r="R9650" s="5">
        <v>22</v>
      </c>
      <c r="S9650" s="5">
        <v>367</v>
      </c>
    </row>
    <row r="9651" spans="1:19" ht="42" x14ac:dyDescent="0.15">
      <c r="A9651" s="2">
        <f>HYPERLINK("https://open-school.uspishnemisto.com.ua/school/510484/", 510484)</f>
        <v>510484</v>
      </c>
      <c r="B9651" s="3" t="s">
        <v>48983</v>
      </c>
      <c r="C9651" s="3" t="s">
        <v>31</v>
      </c>
      <c r="D9651" s="3" t="s">
        <v>32</v>
      </c>
      <c r="E9651" s="4" t="s">
        <v>22</v>
      </c>
      <c r="F9651" s="4" t="s">
        <v>48984</v>
      </c>
      <c r="G9651" s="4" t="s">
        <v>48985</v>
      </c>
      <c r="H9651" s="3" t="s">
        <v>46910</v>
      </c>
      <c r="I9651" s="3" t="s">
        <v>48986</v>
      </c>
      <c r="J9651" s="3" t="s">
        <v>48987</v>
      </c>
      <c r="K9651" s="3" t="s">
        <v>48988</v>
      </c>
      <c r="L9651" s="3" t="s">
        <v>48989</v>
      </c>
      <c r="M9651" s="4"/>
      <c r="N9651" s="3" t="s">
        <v>48230</v>
      </c>
      <c r="O9651" s="3" t="s">
        <v>48990</v>
      </c>
      <c r="P9651" s="5">
        <v>20</v>
      </c>
      <c r="Q9651" s="5">
        <v>271</v>
      </c>
      <c r="R9651" s="5">
        <v>20</v>
      </c>
      <c r="S9651" s="5">
        <v>284</v>
      </c>
    </row>
    <row r="9652" spans="1:19" ht="28" x14ac:dyDescent="0.15">
      <c r="A9652" s="2">
        <f>HYPERLINK("https://open-school.uspishnemisto.com.ua/school/510485/", 510485)</f>
        <v>510485</v>
      </c>
      <c r="B9652" s="3" t="s">
        <v>48991</v>
      </c>
      <c r="C9652" s="3" t="s">
        <v>31</v>
      </c>
      <c r="D9652" s="3" t="s">
        <v>32</v>
      </c>
      <c r="E9652" s="4" t="s">
        <v>22</v>
      </c>
      <c r="F9652" s="4" t="s">
        <v>48992</v>
      </c>
      <c r="G9652" s="4" t="s">
        <v>48993</v>
      </c>
      <c r="H9652" s="3" t="s">
        <v>46910</v>
      </c>
      <c r="I9652" s="3" t="s">
        <v>48994</v>
      </c>
      <c r="J9652" s="3" t="s">
        <v>466</v>
      </c>
      <c r="K9652" s="3" t="s">
        <v>48995</v>
      </c>
      <c r="L9652" s="3"/>
      <c r="M9652" s="4"/>
      <c r="N9652" s="3" t="s">
        <v>967</v>
      </c>
      <c r="O9652" s="3" t="s">
        <v>47946</v>
      </c>
      <c r="P9652" s="5">
        <v>11</v>
      </c>
      <c r="Q9652" s="5">
        <v>169</v>
      </c>
      <c r="R9652" s="5">
        <v>11</v>
      </c>
      <c r="S9652" s="5">
        <v>174</v>
      </c>
    </row>
    <row r="9653" spans="1:19" ht="28" x14ac:dyDescent="0.15">
      <c r="A9653" s="2">
        <f>HYPERLINK("https://open-school.uspishnemisto.com.ua/school/510486/", 510486)</f>
        <v>510486</v>
      </c>
      <c r="B9653" s="3" t="s">
        <v>48996</v>
      </c>
      <c r="C9653" s="3" t="s">
        <v>31</v>
      </c>
      <c r="D9653" s="3" t="s">
        <v>32</v>
      </c>
      <c r="E9653" s="4" t="s">
        <v>22</v>
      </c>
      <c r="F9653" s="4" t="s">
        <v>48997</v>
      </c>
      <c r="G9653" s="4" t="s">
        <v>48998</v>
      </c>
      <c r="H9653" s="3" t="s">
        <v>46910</v>
      </c>
      <c r="I9653" s="3" t="s">
        <v>48999</v>
      </c>
      <c r="J9653" s="3" t="s">
        <v>35810</v>
      </c>
      <c r="K9653" s="3" t="s">
        <v>49000</v>
      </c>
      <c r="L9653" s="3"/>
      <c r="M9653" s="4"/>
      <c r="N9653" s="3" t="s">
        <v>37</v>
      </c>
      <c r="O9653" s="3" t="s">
        <v>38</v>
      </c>
      <c r="P9653" s="5">
        <v>17</v>
      </c>
      <c r="Q9653" s="5">
        <v>331</v>
      </c>
      <c r="R9653" s="5">
        <v>16</v>
      </c>
      <c r="S9653" s="5">
        <v>306</v>
      </c>
    </row>
    <row r="9654" spans="1:19" ht="42" x14ac:dyDescent="0.15">
      <c r="A9654" s="2">
        <f>HYPERLINK("https://open-school.uspishnemisto.com.ua/school/510487/", 510487)</f>
        <v>510487</v>
      </c>
      <c r="B9654" s="3" t="s">
        <v>49001</v>
      </c>
      <c r="C9654" s="3" t="s">
        <v>54</v>
      </c>
      <c r="D9654" s="3" t="s">
        <v>32</v>
      </c>
      <c r="E9654" s="4" t="s">
        <v>22</v>
      </c>
      <c r="F9654" s="4" t="s">
        <v>49002</v>
      </c>
      <c r="G9654" s="4" t="s">
        <v>49003</v>
      </c>
      <c r="H9654" s="3" t="s">
        <v>46910</v>
      </c>
      <c r="I9654" s="3" t="s">
        <v>49004</v>
      </c>
      <c r="J9654" s="3" t="s">
        <v>1868</v>
      </c>
      <c r="K9654" s="3" t="s">
        <v>49005</v>
      </c>
      <c r="L9654" s="3"/>
      <c r="M9654" s="4"/>
      <c r="N9654" s="3" t="s">
        <v>967</v>
      </c>
      <c r="O9654" s="3" t="s">
        <v>46</v>
      </c>
      <c r="P9654" s="5">
        <v>14</v>
      </c>
      <c r="Q9654" s="5">
        <v>245</v>
      </c>
      <c r="R9654" s="5">
        <v>12</v>
      </c>
      <c r="S9654" s="5">
        <v>239</v>
      </c>
    </row>
    <row r="9655" spans="1:19" ht="28" x14ac:dyDescent="0.15">
      <c r="A9655" s="2">
        <f>HYPERLINK("https://open-school.uspishnemisto.com.ua/school/510488/", 510488)</f>
        <v>510488</v>
      </c>
      <c r="B9655" s="3" t="s">
        <v>49006</v>
      </c>
      <c r="C9655" s="3" t="s">
        <v>31</v>
      </c>
      <c r="D9655" s="3" t="s">
        <v>175</v>
      </c>
      <c r="E9655" s="4" t="s">
        <v>22</v>
      </c>
      <c r="F9655" s="4" t="s">
        <v>49007</v>
      </c>
      <c r="G9655" s="4" t="s">
        <v>49008</v>
      </c>
      <c r="H9655" s="3" t="s">
        <v>46910</v>
      </c>
      <c r="I9655" s="3" t="s">
        <v>49009</v>
      </c>
      <c r="J9655" s="3" t="s">
        <v>2476</v>
      </c>
      <c r="K9655" s="3" t="s">
        <v>49010</v>
      </c>
      <c r="L9655" s="3"/>
      <c r="M9655" s="4"/>
      <c r="N9655" s="3" t="s">
        <v>967</v>
      </c>
      <c r="O9655" s="3" t="s">
        <v>47946</v>
      </c>
      <c r="P9655" s="5">
        <v>9</v>
      </c>
      <c r="Q9655" s="5">
        <v>116</v>
      </c>
      <c r="R9655" s="5">
        <v>10</v>
      </c>
      <c r="S9655" s="5">
        <v>111</v>
      </c>
    </row>
    <row r="9656" spans="1:19" ht="42" x14ac:dyDescent="0.15">
      <c r="A9656" s="2">
        <f>HYPERLINK("https://open-school.uspishnemisto.com.ua/school/510489/", 510489)</f>
        <v>510489</v>
      </c>
      <c r="B9656" s="3" t="s">
        <v>49011</v>
      </c>
      <c r="C9656" s="3" t="s">
        <v>54</v>
      </c>
      <c r="D9656" s="3" t="s">
        <v>32</v>
      </c>
      <c r="E9656" s="4" t="s">
        <v>22</v>
      </c>
      <c r="F9656" s="4" t="s">
        <v>49012</v>
      </c>
      <c r="G9656" s="4" t="s">
        <v>49013</v>
      </c>
      <c r="H9656" s="3" t="s">
        <v>46910</v>
      </c>
      <c r="I9656" s="3" t="s">
        <v>49014</v>
      </c>
      <c r="J9656" s="3" t="s">
        <v>16187</v>
      </c>
      <c r="K9656" s="3" t="s">
        <v>49015</v>
      </c>
      <c r="L9656" s="3" t="s">
        <v>49016</v>
      </c>
      <c r="M9656" s="4"/>
      <c r="N9656" s="3" t="s">
        <v>37</v>
      </c>
      <c r="O9656" s="3" t="s">
        <v>38</v>
      </c>
      <c r="P9656" s="5">
        <v>11</v>
      </c>
      <c r="Q9656" s="5">
        <v>204</v>
      </c>
      <c r="R9656" s="5">
        <v>11</v>
      </c>
      <c r="S9656" s="5">
        <v>183</v>
      </c>
    </row>
    <row r="9657" spans="1:19" ht="28" x14ac:dyDescent="0.15">
      <c r="A9657" s="2">
        <f>HYPERLINK("https://open-school.uspishnemisto.com.ua/school/510490/", 510490)</f>
        <v>510490</v>
      </c>
      <c r="B9657" s="3" t="s">
        <v>49017</v>
      </c>
      <c r="C9657" s="3" t="s">
        <v>31</v>
      </c>
      <c r="D9657" s="3" t="s">
        <v>32</v>
      </c>
      <c r="E9657" s="4" t="s">
        <v>22</v>
      </c>
      <c r="F9657" s="4" t="s">
        <v>49018</v>
      </c>
      <c r="G9657" s="4" t="s">
        <v>49019</v>
      </c>
      <c r="H9657" s="3" t="s">
        <v>46910</v>
      </c>
      <c r="I9657" s="3" t="s">
        <v>49020</v>
      </c>
      <c r="J9657" s="3" t="s">
        <v>47589</v>
      </c>
      <c r="K9657" s="3"/>
      <c r="L9657" s="3"/>
      <c r="M9657" s="4"/>
      <c r="N9657" s="3" t="s">
        <v>967</v>
      </c>
      <c r="O9657" s="3" t="s">
        <v>52</v>
      </c>
      <c r="P9657" s="5">
        <v>11</v>
      </c>
      <c r="Q9657" s="5">
        <v>172</v>
      </c>
      <c r="R9657" s="5">
        <v>11</v>
      </c>
      <c r="S9657" s="5">
        <v>158</v>
      </c>
    </row>
    <row r="9658" spans="1:19" ht="28" x14ac:dyDescent="0.15">
      <c r="A9658" s="2">
        <f>HYPERLINK("https://open-school.uspishnemisto.com.ua/school/510491/", 510491)</f>
        <v>510491</v>
      </c>
      <c r="B9658" s="3" t="s">
        <v>49021</v>
      </c>
      <c r="C9658" s="3" t="s">
        <v>31</v>
      </c>
      <c r="D9658" s="3" t="s">
        <v>32</v>
      </c>
      <c r="E9658" s="4" t="s">
        <v>22</v>
      </c>
      <c r="F9658" s="4" t="s">
        <v>49022</v>
      </c>
      <c r="G9658" s="4" t="s">
        <v>49023</v>
      </c>
      <c r="H9658" s="3" t="s">
        <v>46910</v>
      </c>
      <c r="I9658" s="3" t="s">
        <v>49024</v>
      </c>
      <c r="J9658" s="3" t="s">
        <v>6432</v>
      </c>
      <c r="K9658" s="3" t="s">
        <v>49025</v>
      </c>
      <c r="L9658" s="3"/>
      <c r="M9658" s="4"/>
      <c r="N9658" s="3" t="s">
        <v>967</v>
      </c>
      <c r="O9658" s="3" t="s">
        <v>46</v>
      </c>
      <c r="P9658" s="5">
        <v>11</v>
      </c>
      <c r="Q9658" s="5">
        <v>193</v>
      </c>
      <c r="R9658" s="5">
        <v>11</v>
      </c>
      <c r="S9658" s="5">
        <v>200</v>
      </c>
    </row>
    <row r="9659" spans="1:19" ht="28" x14ac:dyDescent="0.15">
      <c r="A9659" s="2">
        <f>HYPERLINK("https://open-school.uspishnemisto.com.ua/school/510492/", 510492)</f>
        <v>510492</v>
      </c>
      <c r="B9659" s="3" t="s">
        <v>49026</v>
      </c>
      <c r="C9659" s="3" t="s">
        <v>31</v>
      </c>
      <c r="D9659" s="3" t="s">
        <v>175</v>
      </c>
      <c r="E9659" s="4" t="s">
        <v>22</v>
      </c>
      <c r="F9659" s="4" t="s">
        <v>49027</v>
      </c>
      <c r="G9659" s="4" t="s">
        <v>49028</v>
      </c>
      <c r="H9659" s="3" t="s">
        <v>46910</v>
      </c>
      <c r="I9659" s="3" t="s">
        <v>49029</v>
      </c>
      <c r="J9659" s="3" t="s">
        <v>15520</v>
      </c>
      <c r="K9659" s="3" t="s">
        <v>49030</v>
      </c>
      <c r="L9659" s="3"/>
      <c r="M9659" s="4"/>
      <c r="N9659" s="3" t="s">
        <v>48230</v>
      </c>
      <c r="O9659" s="3" t="s">
        <v>48231</v>
      </c>
      <c r="P9659" s="5">
        <v>8</v>
      </c>
      <c r="Q9659" s="5">
        <v>83</v>
      </c>
      <c r="R9659" s="5">
        <v>8</v>
      </c>
      <c r="S9659" s="5">
        <v>85</v>
      </c>
    </row>
    <row r="9660" spans="1:19" ht="28" x14ac:dyDescent="0.15">
      <c r="A9660" s="2">
        <f>HYPERLINK("https://open-school.uspishnemisto.com.ua/school/510493/", 510493)</f>
        <v>510493</v>
      </c>
      <c r="B9660" s="3" t="s">
        <v>49031</v>
      </c>
      <c r="C9660" s="3" t="s">
        <v>31</v>
      </c>
      <c r="D9660" s="3" t="s">
        <v>32</v>
      </c>
      <c r="E9660" s="4" t="s">
        <v>22</v>
      </c>
      <c r="F9660" s="4" t="s">
        <v>49032</v>
      </c>
      <c r="G9660" s="4" t="s">
        <v>49033</v>
      </c>
      <c r="H9660" s="3" t="s">
        <v>46910</v>
      </c>
      <c r="I9660" s="3" t="s">
        <v>6545</v>
      </c>
      <c r="J9660" s="3" t="s">
        <v>49034</v>
      </c>
      <c r="K9660" s="3" t="s">
        <v>49035</v>
      </c>
      <c r="L9660" s="3"/>
      <c r="M9660" s="4"/>
      <c r="N9660" s="3" t="s">
        <v>48230</v>
      </c>
      <c r="O9660" s="3" t="s">
        <v>36144</v>
      </c>
      <c r="P9660" s="5">
        <v>34</v>
      </c>
      <c r="Q9660" s="5">
        <v>733</v>
      </c>
      <c r="R9660" s="5">
        <v>33</v>
      </c>
      <c r="S9660" s="5">
        <v>720</v>
      </c>
    </row>
    <row r="9661" spans="1:19" ht="28" x14ac:dyDescent="0.15">
      <c r="A9661" s="2">
        <f>HYPERLINK("https://open-school.uspishnemisto.com.ua/school/510494/", 510494)</f>
        <v>510494</v>
      </c>
      <c r="B9661" s="3" t="s">
        <v>49036</v>
      </c>
      <c r="C9661" s="3" t="s">
        <v>31</v>
      </c>
      <c r="D9661" s="3" t="s">
        <v>32</v>
      </c>
      <c r="E9661" s="4" t="s">
        <v>22</v>
      </c>
      <c r="F9661" s="4" t="s">
        <v>49037</v>
      </c>
      <c r="G9661" s="4" t="s">
        <v>49038</v>
      </c>
      <c r="H9661" s="3" t="s">
        <v>46910</v>
      </c>
      <c r="I9661" s="3" t="s">
        <v>11989</v>
      </c>
      <c r="J9661" s="3" t="s">
        <v>25571</v>
      </c>
      <c r="K9661" s="3" t="s">
        <v>49039</v>
      </c>
      <c r="L9661" s="3"/>
      <c r="M9661" s="4"/>
      <c r="N9661" s="3" t="s">
        <v>37</v>
      </c>
      <c r="O9661" s="3" t="s">
        <v>38</v>
      </c>
      <c r="P9661" s="5">
        <v>11</v>
      </c>
      <c r="Q9661" s="5">
        <v>188</v>
      </c>
      <c r="R9661" s="5">
        <v>11</v>
      </c>
      <c r="S9661" s="5">
        <v>188</v>
      </c>
    </row>
    <row r="9662" spans="1:19" ht="28" x14ac:dyDescent="0.15">
      <c r="A9662" s="2">
        <f>HYPERLINK("https://open-school.uspishnemisto.com.ua/school/510495/", 510495)</f>
        <v>510495</v>
      </c>
      <c r="B9662" s="3" t="s">
        <v>49040</v>
      </c>
      <c r="C9662" s="3" t="s">
        <v>31</v>
      </c>
      <c r="D9662" s="3" t="s">
        <v>32</v>
      </c>
      <c r="E9662" s="4" t="s">
        <v>22</v>
      </c>
      <c r="F9662" s="4" t="s">
        <v>49041</v>
      </c>
      <c r="G9662" s="4" t="s">
        <v>49042</v>
      </c>
      <c r="H9662" s="3" t="s">
        <v>46910</v>
      </c>
      <c r="I9662" s="3" t="s">
        <v>49043</v>
      </c>
      <c r="J9662" s="3" t="s">
        <v>49044</v>
      </c>
      <c r="K9662" s="3" t="s">
        <v>49045</v>
      </c>
      <c r="L9662" s="3"/>
      <c r="M9662" s="4"/>
      <c r="N9662" s="3" t="s">
        <v>37</v>
      </c>
      <c r="O9662" s="3" t="s">
        <v>38</v>
      </c>
      <c r="P9662" s="5">
        <v>17</v>
      </c>
      <c r="Q9662" s="5">
        <v>333</v>
      </c>
      <c r="R9662" s="5">
        <v>17</v>
      </c>
      <c r="S9662" s="5">
        <v>315</v>
      </c>
    </row>
    <row r="9663" spans="1:19" ht="28" x14ac:dyDescent="0.15">
      <c r="A9663" s="2">
        <f>HYPERLINK("https://open-school.uspishnemisto.com.ua/school/510496/", 510496)</f>
        <v>510496</v>
      </c>
      <c r="B9663" s="3" t="s">
        <v>49046</v>
      </c>
      <c r="C9663" s="3" t="s">
        <v>31</v>
      </c>
      <c r="D9663" s="3" t="s">
        <v>32</v>
      </c>
      <c r="E9663" s="4" t="s">
        <v>22</v>
      </c>
      <c r="F9663" s="4" t="s">
        <v>49047</v>
      </c>
      <c r="G9663" s="4" t="s">
        <v>49048</v>
      </c>
      <c r="H9663" s="3" t="s">
        <v>46910</v>
      </c>
      <c r="I9663" s="3" t="s">
        <v>49049</v>
      </c>
      <c r="J9663" s="3" t="s">
        <v>49050</v>
      </c>
      <c r="K9663" s="3" t="s">
        <v>49051</v>
      </c>
      <c r="L9663" s="3"/>
      <c r="M9663" s="4"/>
      <c r="N9663" s="3" t="s">
        <v>967</v>
      </c>
      <c r="O9663" s="3" t="s">
        <v>46</v>
      </c>
      <c r="P9663" s="5">
        <v>20</v>
      </c>
      <c r="Q9663" s="5">
        <v>379</v>
      </c>
      <c r="R9663" s="5">
        <v>19</v>
      </c>
      <c r="S9663" s="5">
        <v>358</v>
      </c>
    </row>
    <row r="9664" spans="1:19" ht="28" x14ac:dyDescent="0.15">
      <c r="A9664" s="2">
        <f>HYPERLINK("https://open-school.uspishnemisto.com.ua/school/510497/", 510497)</f>
        <v>510497</v>
      </c>
      <c r="B9664" s="3" t="s">
        <v>49052</v>
      </c>
      <c r="C9664" s="3" t="s">
        <v>181</v>
      </c>
      <c r="D9664" s="3" t="s">
        <v>32</v>
      </c>
      <c r="E9664" s="4" t="s">
        <v>22</v>
      </c>
      <c r="F9664" s="4" t="s">
        <v>49053</v>
      </c>
      <c r="G9664" s="4" t="s">
        <v>49054</v>
      </c>
      <c r="H9664" s="3" t="s">
        <v>46910</v>
      </c>
      <c r="I9664" s="3" t="s">
        <v>49055</v>
      </c>
      <c r="J9664" s="3" t="s">
        <v>49056</v>
      </c>
      <c r="K9664" s="3" t="s">
        <v>49057</v>
      </c>
      <c r="L9664" s="3"/>
      <c r="M9664" s="4"/>
      <c r="N9664" s="3" t="s">
        <v>37</v>
      </c>
      <c r="O9664" s="3"/>
      <c r="P9664" s="5">
        <v>9</v>
      </c>
      <c r="Q9664" s="5">
        <v>100</v>
      </c>
      <c r="R9664" s="5">
        <v>9</v>
      </c>
      <c r="S9664" s="5">
        <v>100</v>
      </c>
    </row>
    <row r="9665" spans="1:19" ht="28" x14ac:dyDescent="0.15">
      <c r="A9665" s="2">
        <f>HYPERLINK("https://open-school.uspishnemisto.com.ua/school/510498/", 510498)</f>
        <v>510498</v>
      </c>
      <c r="B9665" s="3" t="s">
        <v>49058</v>
      </c>
      <c r="C9665" s="3" t="s">
        <v>31</v>
      </c>
      <c r="D9665" s="3" t="s">
        <v>32</v>
      </c>
      <c r="E9665" s="4" t="s">
        <v>22</v>
      </c>
      <c r="F9665" s="4" t="s">
        <v>49053</v>
      </c>
      <c r="G9665" s="4" t="s">
        <v>49054</v>
      </c>
      <c r="H9665" s="3" t="s">
        <v>46910</v>
      </c>
      <c r="I9665" s="3" t="s">
        <v>49055</v>
      </c>
      <c r="J9665" s="3" t="s">
        <v>946</v>
      </c>
      <c r="K9665" s="3" t="s">
        <v>49059</v>
      </c>
      <c r="L9665" s="3"/>
      <c r="M9665" s="4" t="s">
        <v>49060</v>
      </c>
      <c r="N9665" s="3" t="s">
        <v>48230</v>
      </c>
      <c r="O9665" s="3" t="s">
        <v>48990</v>
      </c>
      <c r="P9665" s="5">
        <v>25</v>
      </c>
      <c r="Q9665" s="5">
        <v>458</v>
      </c>
      <c r="R9665" s="5">
        <v>26</v>
      </c>
      <c r="S9665" s="5">
        <v>460</v>
      </c>
    </row>
    <row r="9666" spans="1:19" ht="28" x14ac:dyDescent="0.15">
      <c r="A9666" s="2">
        <f>HYPERLINK("https://open-school.uspishnemisto.com.ua/school/510499/", 510499)</f>
        <v>510499</v>
      </c>
      <c r="B9666" s="3" t="s">
        <v>49061</v>
      </c>
      <c r="C9666" s="3" t="s">
        <v>31</v>
      </c>
      <c r="D9666" s="3" t="s">
        <v>175</v>
      </c>
      <c r="E9666" s="4" t="s">
        <v>22</v>
      </c>
      <c r="F9666" s="4" t="s">
        <v>49062</v>
      </c>
      <c r="G9666" s="4" t="s">
        <v>49063</v>
      </c>
      <c r="H9666" s="3" t="s">
        <v>46910</v>
      </c>
      <c r="I9666" s="3" t="s">
        <v>49064</v>
      </c>
      <c r="J9666" s="3" t="s">
        <v>49065</v>
      </c>
      <c r="K9666" s="3" t="s">
        <v>49066</v>
      </c>
      <c r="L9666" s="3"/>
      <c r="M9666" s="4"/>
      <c r="N9666" s="3" t="s">
        <v>37</v>
      </c>
      <c r="O9666" s="3" t="s">
        <v>38</v>
      </c>
      <c r="P9666" s="5">
        <v>7</v>
      </c>
      <c r="Q9666" s="5">
        <v>51</v>
      </c>
      <c r="R9666" s="5">
        <v>8</v>
      </c>
      <c r="S9666" s="5">
        <v>51</v>
      </c>
    </row>
    <row r="9667" spans="1:19" ht="28" x14ac:dyDescent="0.15">
      <c r="A9667" s="2">
        <f>HYPERLINK("https://open-school.uspishnemisto.com.ua/school/510500/", 510500)</f>
        <v>510500</v>
      </c>
      <c r="B9667" s="3" t="s">
        <v>49067</v>
      </c>
      <c r="C9667" s="3" t="s">
        <v>31</v>
      </c>
      <c r="D9667" s="3" t="s">
        <v>32</v>
      </c>
      <c r="E9667" s="4" t="s">
        <v>22</v>
      </c>
      <c r="F9667" s="4" t="s">
        <v>49062</v>
      </c>
      <c r="G9667" s="4" t="s">
        <v>49063</v>
      </c>
      <c r="H9667" s="3" t="s">
        <v>46910</v>
      </c>
      <c r="I9667" s="3" t="s">
        <v>49064</v>
      </c>
      <c r="J9667" s="3" t="s">
        <v>2052</v>
      </c>
      <c r="K9667" s="3" t="s">
        <v>49068</v>
      </c>
      <c r="L9667" s="3"/>
      <c r="M9667" s="4"/>
      <c r="N9667" s="3" t="s">
        <v>967</v>
      </c>
      <c r="O9667" s="3" t="s">
        <v>46</v>
      </c>
      <c r="P9667" s="5">
        <v>19</v>
      </c>
      <c r="Q9667" s="5">
        <v>383</v>
      </c>
      <c r="R9667" s="5">
        <v>19</v>
      </c>
      <c r="S9667" s="5">
        <v>361</v>
      </c>
    </row>
    <row r="9668" spans="1:19" ht="42" x14ac:dyDescent="0.15">
      <c r="A9668" s="2">
        <f>HYPERLINK("https://open-school.uspishnemisto.com.ua/school/510501/", 510501)</f>
        <v>510501</v>
      </c>
      <c r="B9668" s="3" t="s">
        <v>49069</v>
      </c>
      <c r="C9668" s="3" t="s">
        <v>54</v>
      </c>
      <c r="D9668" s="3" t="s">
        <v>175</v>
      </c>
      <c r="E9668" s="4" t="s">
        <v>22</v>
      </c>
      <c r="F9668" s="4" t="s">
        <v>49062</v>
      </c>
      <c r="G9668" s="4" t="s">
        <v>49063</v>
      </c>
      <c r="H9668" s="3" t="s">
        <v>46910</v>
      </c>
      <c r="I9668" s="3" t="s">
        <v>49064</v>
      </c>
      <c r="J9668" s="3" t="s">
        <v>49070</v>
      </c>
      <c r="K9668" s="3" t="s">
        <v>49071</v>
      </c>
      <c r="L9668" s="3"/>
      <c r="M9668" s="4"/>
      <c r="N9668" s="3" t="s">
        <v>37</v>
      </c>
      <c r="O9668" s="3" t="s">
        <v>2740</v>
      </c>
      <c r="P9668" s="5">
        <v>9</v>
      </c>
      <c r="Q9668" s="5">
        <v>137</v>
      </c>
      <c r="R9668" s="5">
        <v>9</v>
      </c>
      <c r="S9668" s="5">
        <v>129</v>
      </c>
    </row>
    <row r="9669" spans="1:19" ht="42" x14ac:dyDescent="0.15">
      <c r="A9669" s="2">
        <f>HYPERLINK("https://open-school.uspishnemisto.com.ua/school/510502/", 510502)</f>
        <v>510502</v>
      </c>
      <c r="B9669" s="3" t="s">
        <v>49072</v>
      </c>
      <c r="C9669" s="3" t="s">
        <v>54</v>
      </c>
      <c r="D9669" s="3" t="s">
        <v>32</v>
      </c>
      <c r="E9669" s="4" t="s">
        <v>22</v>
      </c>
      <c r="F9669" s="4" t="s">
        <v>49073</v>
      </c>
      <c r="G9669" s="4" t="s">
        <v>49063</v>
      </c>
      <c r="H9669" s="3" t="s">
        <v>46910</v>
      </c>
      <c r="I9669" s="3" t="s">
        <v>49064</v>
      </c>
      <c r="J9669" s="3" t="s">
        <v>49074</v>
      </c>
      <c r="K9669" s="3" t="s">
        <v>49075</v>
      </c>
      <c r="L9669" s="3" t="s">
        <v>49076</v>
      </c>
      <c r="M9669" s="4"/>
      <c r="N9669" s="3" t="s">
        <v>128</v>
      </c>
      <c r="O9669" s="3" t="s">
        <v>38</v>
      </c>
      <c r="P9669" s="5">
        <v>25</v>
      </c>
      <c r="Q9669" s="5">
        <v>518</v>
      </c>
      <c r="R9669" s="5">
        <v>24</v>
      </c>
      <c r="S9669" s="5">
        <v>503</v>
      </c>
    </row>
    <row r="9670" spans="1:19" ht="42" x14ac:dyDescent="0.15">
      <c r="A9670" s="2">
        <f>HYPERLINK("https://open-school.uspishnemisto.com.ua/school/510503/", 510503)</f>
        <v>510503</v>
      </c>
      <c r="B9670" s="3" t="s">
        <v>49077</v>
      </c>
      <c r="C9670" s="3" t="s">
        <v>54</v>
      </c>
      <c r="D9670" s="3" t="s">
        <v>32</v>
      </c>
      <c r="E9670" s="4" t="s">
        <v>22</v>
      </c>
      <c r="F9670" s="4" t="s">
        <v>49062</v>
      </c>
      <c r="G9670" s="4" t="s">
        <v>49063</v>
      </c>
      <c r="H9670" s="3" t="s">
        <v>46910</v>
      </c>
      <c r="I9670" s="3" t="s">
        <v>49064</v>
      </c>
      <c r="J9670" s="3" t="s">
        <v>49078</v>
      </c>
      <c r="K9670" s="3" t="s">
        <v>49079</v>
      </c>
      <c r="L9670" s="3" t="s">
        <v>49080</v>
      </c>
      <c r="M9670" s="4"/>
      <c r="N9670" s="3" t="s">
        <v>128</v>
      </c>
      <c r="O9670" s="3" t="s">
        <v>70</v>
      </c>
      <c r="P9670" s="5">
        <v>29</v>
      </c>
      <c r="Q9670" s="5">
        <v>566</v>
      </c>
      <c r="R9670" s="5">
        <v>29</v>
      </c>
      <c r="S9670" s="5">
        <v>545</v>
      </c>
    </row>
    <row r="9671" spans="1:19" ht="42" x14ac:dyDescent="0.15">
      <c r="A9671" s="2">
        <f>HYPERLINK("https://open-school.uspishnemisto.com.ua/school/510504/", 510504)</f>
        <v>510504</v>
      </c>
      <c r="B9671" s="3" t="s">
        <v>49081</v>
      </c>
      <c r="C9671" s="3" t="s">
        <v>54</v>
      </c>
      <c r="D9671" s="3" t="s">
        <v>32</v>
      </c>
      <c r="E9671" s="4" t="s">
        <v>22</v>
      </c>
      <c r="F9671" s="4" t="s">
        <v>49062</v>
      </c>
      <c r="G9671" s="4" t="s">
        <v>49063</v>
      </c>
      <c r="H9671" s="3" t="s">
        <v>46910</v>
      </c>
      <c r="I9671" s="3" t="s">
        <v>49064</v>
      </c>
      <c r="J9671" s="3" t="s">
        <v>49082</v>
      </c>
      <c r="K9671" s="3" t="s">
        <v>49083</v>
      </c>
      <c r="L9671" s="3"/>
      <c r="M9671" s="4"/>
      <c r="N9671" s="3" t="s">
        <v>37</v>
      </c>
      <c r="O9671" s="3" t="s">
        <v>2740</v>
      </c>
      <c r="P9671" s="5">
        <v>24</v>
      </c>
      <c r="Q9671" s="5">
        <v>463</v>
      </c>
      <c r="R9671" s="5">
        <v>26</v>
      </c>
      <c r="S9671" s="5">
        <v>467</v>
      </c>
    </row>
    <row r="9672" spans="1:19" ht="28" x14ac:dyDescent="0.15">
      <c r="A9672" s="2">
        <f>HYPERLINK("https://open-school.uspishnemisto.com.ua/school/510505/", 510505)</f>
        <v>510505</v>
      </c>
      <c r="B9672" s="3" t="s">
        <v>49084</v>
      </c>
      <c r="C9672" s="3" t="s">
        <v>181</v>
      </c>
      <c r="D9672" s="3" t="s">
        <v>175</v>
      </c>
      <c r="E9672" s="4" t="s">
        <v>22</v>
      </c>
      <c r="F9672" s="4" t="s">
        <v>49062</v>
      </c>
      <c r="G9672" s="4" t="s">
        <v>49063</v>
      </c>
      <c r="H9672" s="3" t="s">
        <v>46910</v>
      </c>
      <c r="I9672" s="3" t="s">
        <v>49064</v>
      </c>
      <c r="J9672" s="3" t="s">
        <v>49085</v>
      </c>
      <c r="K9672" s="3" t="s">
        <v>49086</v>
      </c>
      <c r="L9672" s="3" t="s">
        <v>49087</v>
      </c>
      <c r="M9672" s="4" t="s">
        <v>49088</v>
      </c>
      <c r="N9672" s="3" t="s">
        <v>37</v>
      </c>
      <c r="O9672" s="3"/>
      <c r="P9672" s="5">
        <v>9</v>
      </c>
      <c r="Q9672" s="5">
        <v>93</v>
      </c>
      <c r="R9672" s="5">
        <v>10</v>
      </c>
      <c r="S9672" s="5">
        <v>109</v>
      </c>
    </row>
    <row r="9673" spans="1:19" ht="28" x14ac:dyDescent="0.15">
      <c r="A9673" s="2">
        <f>HYPERLINK("https://open-school.uspishnemisto.com.ua/school/510506/", 510506)</f>
        <v>510506</v>
      </c>
      <c r="B9673" s="3" t="s">
        <v>49089</v>
      </c>
      <c r="C9673" s="3" t="s">
        <v>31</v>
      </c>
      <c r="D9673" s="3" t="s">
        <v>32</v>
      </c>
      <c r="E9673" s="4" t="s">
        <v>22</v>
      </c>
      <c r="F9673" s="4" t="s">
        <v>49090</v>
      </c>
      <c r="G9673" s="4" t="s">
        <v>49091</v>
      </c>
      <c r="H9673" s="3" t="s">
        <v>46910</v>
      </c>
      <c r="I9673" s="3" t="s">
        <v>49092</v>
      </c>
      <c r="J9673" s="3" t="s">
        <v>49093</v>
      </c>
      <c r="K9673" s="3" t="s">
        <v>49094</v>
      </c>
      <c r="L9673" s="3"/>
      <c r="M9673" s="4"/>
      <c r="N9673" s="3" t="s">
        <v>128</v>
      </c>
      <c r="O9673" s="3" t="s">
        <v>70</v>
      </c>
      <c r="P9673" s="5">
        <v>24</v>
      </c>
      <c r="Q9673" s="5">
        <v>410</v>
      </c>
      <c r="R9673" s="5">
        <v>24</v>
      </c>
      <c r="S9673" s="5">
        <v>404</v>
      </c>
    </row>
    <row r="9674" spans="1:19" ht="42" x14ac:dyDescent="0.15">
      <c r="A9674" s="2">
        <f>HYPERLINK("https://open-school.uspishnemisto.com.ua/school/510507/", 510507)</f>
        <v>510507</v>
      </c>
      <c r="B9674" s="3" t="s">
        <v>49095</v>
      </c>
      <c r="C9674" s="3" t="s">
        <v>54</v>
      </c>
      <c r="D9674" s="3" t="s">
        <v>32</v>
      </c>
      <c r="E9674" s="4" t="s">
        <v>22</v>
      </c>
      <c r="F9674" s="4" t="s">
        <v>49090</v>
      </c>
      <c r="G9674" s="4" t="s">
        <v>49091</v>
      </c>
      <c r="H9674" s="3" t="s">
        <v>46910</v>
      </c>
      <c r="I9674" s="3" t="s">
        <v>49092</v>
      </c>
      <c r="J9674" s="3" t="s">
        <v>49096</v>
      </c>
      <c r="K9674" s="3" t="s">
        <v>49097</v>
      </c>
      <c r="L9674" s="3"/>
      <c r="M9674" s="4"/>
      <c r="N9674" s="3" t="s">
        <v>128</v>
      </c>
      <c r="O9674" s="3" t="s">
        <v>70</v>
      </c>
      <c r="P9674" s="5">
        <v>23</v>
      </c>
      <c r="Q9674" s="5">
        <v>442</v>
      </c>
      <c r="R9674" s="5">
        <v>24</v>
      </c>
      <c r="S9674" s="5">
        <v>458</v>
      </c>
    </row>
    <row r="9675" spans="1:19" ht="42" x14ac:dyDescent="0.15">
      <c r="A9675" s="2">
        <f>HYPERLINK("https://open-school.uspishnemisto.com.ua/school/510508/", 510508)</f>
        <v>510508</v>
      </c>
      <c r="B9675" s="3" t="s">
        <v>49098</v>
      </c>
      <c r="C9675" s="3" t="s">
        <v>54</v>
      </c>
      <c r="D9675" s="3" t="s">
        <v>175</v>
      </c>
      <c r="E9675" s="4" t="s">
        <v>22</v>
      </c>
      <c r="F9675" s="4" t="s">
        <v>49099</v>
      </c>
      <c r="G9675" s="4" t="s">
        <v>49100</v>
      </c>
      <c r="H9675" s="3" t="s">
        <v>46910</v>
      </c>
      <c r="I9675" s="3" t="s">
        <v>1500</v>
      </c>
      <c r="J9675" s="3" t="s">
        <v>1946</v>
      </c>
      <c r="K9675" s="3" t="s">
        <v>49101</v>
      </c>
      <c r="L9675" s="3"/>
      <c r="M9675" s="4"/>
      <c r="N9675" s="3" t="s">
        <v>967</v>
      </c>
      <c r="O9675" s="3" t="s">
        <v>2740</v>
      </c>
      <c r="P9675" s="5">
        <v>9</v>
      </c>
      <c r="Q9675" s="5">
        <v>77</v>
      </c>
      <c r="R9675" s="5">
        <v>9</v>
      </c>
      <c r="S9675" s="5">
        <v>71</v>
      </c>
    </row>
    <row r="9676" spans="1:19" ht="28" x14ac:dyDescent="0.15">
      <c r="A9676" s="2">
        <f>HYPERLINK("https://open-school.uspishnemisto.com.ua/school/510509/", 510509)</f>
        <v>510509</v>
      </c>
      <c r="B9676" s="3" t="s">
        <v>49102</v>
      </c>
      <c r="C9676" s="3" t="s">
        <v>31</v>
      </c>
      <c r="D9676" s="3" t="s">
        <v>32</v>
      </c>
      <c r="E9676" s="4" t="s">
        <v>22</v>
      </c>
      <c r="F9676" s="4" t="s">
        <v>49103</v>
      </c>
      <c r="G9676" s="4" t="s">
        <v>49104</v>
      </c>
      <c r="H9676" s="3" t="s">
        <v>46910</v>
      </c>
      <c r="I9676" s="3" t="s">
        <v>49105</v>
      </c>
      <c r="J9676" s="3" t="s">
        <v>6840</v>
      </c>
      <c r="K9676" s="3" t="s">
        <v>49106</v>
      </c>
      <c r="L9676" s="3" t="s">
        <v>49107</v>
      </c>
      <c r="M9676" s="4"/>
      <c r="N9676" s="3" t="s">
        <v>37</v>
      </c>
      <c r="O9676" s="3" t="s">
        <v>38</v>
      </c>
      <c r="P9676" s="5">
        <v>13</v>
      </c>
      <c r="Q9676" s="5">
        <v>224</v>
      </c>
      <c r="R9676" s="5">
        <v>14</v>
      </c>
      <c r="S9676" s="5">
        <v>237</v>
      </c>
    </row>
    <row r="9677" spans="1:19" ht="42" x14ac:dyDescent="0.15">
      <c r="A9677" s="2">
        <f>HYPERLINK("https://open-school.uspishnemisto.com.ua/school/510510/", 510510)</f>
        <v>510510</v>
      </c>
      <c r="B9677" s="3" t="s">
        <v>49108</v>
      </c>
      <c r="C9677" s="3" t="s">
        <v>54</v>
      </c>
      <c r="D9677" s="3" t="s">
        <v>175</v>
      </c>
      <c r="E9677" s="4" t="s">
        <v>22</v>
      </c>
      <c r="F9677" s="4" t="s">
        <v>49109</v>
      </c>
      <c r="G9677" s="4" t="s">
        <v>49110</v>
      </c>
      <c r="H9677" s="3" t="s">
        <v>46910</v>
      </c>
      <c r="I9677" s="3" t="s">
        <v>11119</v>
      </c>
      <c r="J9677" s="3" t="s">
        <v>49111</v>
      </c>
      <c r="K9677" s="3" t="s">
        <v>49112</v>
      </c>
      <c r="L9677" s="3"/>
      <c r="M9677" s="4"/>
      <c r="N9677" s="3" t="s">
        <v>967</v>
      </c>
      <c r="O9677" s="3" t="s">
        <v>52</v>
      </c>
      <c r="P9677" s="5">
        <v>9</v>
      </c>
      <c r="Q9677" s="5">
        <v>61</v>
      </c>
      <c r="R9677" s="5">
        <v>9</v>
      </c>
      <c r="S9677" s="5">
        <v>63</v>
      </c>
    </row>
    <row r="9678" spans="1:19" ht="28" x14ac:dyDescent="0.15">
      <c r="A9678" s="2">
        <f>HYPERLINK("https://open-school.uspishnemisto.com.ua/school/510511/", 510511)</f>
        <v>510511</v>
      </c>
      <c r="B9678" s="3" t="s">
        <v>49113</v>
      </c>
      <c r="C9678" s="3" t="s">
        <v>31</v>
      </c>
      <c r="D9678" s="3" t="s">
        <v>32</v>
      </c>
      <c r="E9678" s="4" t="s">
        <v>22</v>
      </c>
      <c r="F9678" s="4" t="s">
        <v>49114</v>
      </c>
      <c r="G9678" s="4" t="s">
        <v>49115</v>
      </c>
      <c r="H9678" s="3" t="s">
        <v>46910</v>
      </c>
      <c r="I9678" s="3" t="s">
        <v>11923</v>
      </c>
      <c r="J9678" s="3" t="s">
        <v>49116</v>
      </c>
      <c r="K9678" s="3" t="s">
        <v>49117</v>
      </c>
      <c r="L9678" s="3" t="s">
        <v>49118</v>
      </c>
      <c r="M9678" s="4"/>
      <c r="N9678" s="3" t="s">
        <v>48230</v>
      </c>
      <c r="O9678" s="3" t="s">
        <v>48990</v>
      </c>
      <c r="P9678" s="5">
        <v>21</v>
      </c>
      <c r="Q9678" s="5">
        <v>314</v>
      </c>
      <c r="R9678" s="5">
        <v>20</v>
      </c>
      <c r="S9678" s="5">
        <v>313</v>
      </c>
    </row>
    <row r="9679" spans="1:19" ht="28" x14ac:dyDescent="0.15">
      <c r="A9679" s="2">
        <f>HYPERLINK("https://open-school.uspishnemisto.com.ua/school/510512/", 510512)</f>
        <v>510512</v>
      </c>
      <c r="B9679" s="3" t="s">
        <v>49119</v>
      </c>
      <c r="C9679" s="3" t="s">
        <v>31</v>
      </c>
      <c r="D9679" s="3" t="s">
        <v>32</v>
      </c>
      <c r="E9679" s="4" t="s">
        <v>22</v>
      </c>
      <c r="F9679" s="4" t="s">
        <v>49120</v>
      </c>
      <c r="G9679" s="4" t="s">
        <v>49121</v>
      </c>
      <c r="H9679" s="3" t="s">
        <v>46910</v>
      </c>
      <c r="I9679" s="3" t="s">
        <v>28607</v>
      </c>
      <c r="J9679" s="3" t="s">
        <v>16428</v>
      </c>
      <c r="K9679" s="3"/>
      <c r="L9679" s="3"/>
      <c r="M9679" s="4"/>
      <c r="N9679" s="3" t="s">
        <v>37</v>
      </c>
      <c r="O9679" s="3" t="s">
        <v>38</v>
      </c>
      <c r="P9679" s="5">
        <v>11</v>
      </c>
      <c r="Q9679" s="5">
        <v>176</v>
      </c>
      <c r="R9679" s="5">
        <v>11</v>
      </c>
      <c r="S9679" s="5">
        <v>176</v>
      </c>
    </row>
    <row r="9680" spans="1:19" ht="28" x14ac:dyDescent="0.15">
      <c r="A9680" s="2">
        <f>HYPERLINK("https://open-school.uspishnemisto.com.ua/school/510513/", 510513)</f>
        <v>510513</v>
      </c>
      <c r="B9680" s="3" t="s">
        <v>49122</v>
      </c>
      <c r="C9680" s="3" t="s">
        <v>31</v>
      </c>
      <c r="D9680" s="3" t="s">
        <v>32</v>
      </c>
      <c r="E9680" s="4" t="s">
        <v>22</v>
      </c>
      <c r="F9680" s="4" t="s">
        <v>49123</v>
      </c>
      <c r="G9680" s="4" t="s">
        <v>49124</v>
      </c>
      <c r="H9680" s="3" t="s">
        <v>46910</v>
      </c>
      <c r="I9680" s="3" t="s">
        <v>1889</v>
      </c>
      <c r="J9680" s="3" t="s">
        <v>4442</v>
      </c>
      <c r="K9680" s="3" t="s">
        <v>49125</v>
      </c>
      <c r="L9680" s="3"/>
      <c r="M9680" s="4"/>
      <c r="N9680" s="3" t="s">
        <v>967</v>
      </c>
      <c r="O9680" s="3" t="s">
        <v>46</v>
      </c>
      <c r="P9680" s="5">
        <v>11</v>
      </c>
      <c r="Q9680" s="5">
        <v>136</v>
      </c>
      <c r="R9680" s="5">
        <v>11</v>
      </c>
      <c r="S9680" s="5">
        <v>144</v>
      </c>
    </row>
    <row r="9681" spans="1:19" ht="28" x14ac:dyDescent="0.15">
      <c r="A9681" s="2">
        <f>HYPERLINK("https://open-school.uspishnemisto.com.ua/school/510514/", 510514)</f>
        <v>510514</v>
      </c>
      <c r="B9681" s="3" t="s">
        <v>49126</v>
      </c>
      <c r="C9681" s="3" t="s">
        <v>31</v>
      </c>
      <c r="D9681" s="3" t="s">
        <v>32</v>
      </c>
      <c r="E9681" s="4" t="s">
        <v>22</v>
      </c>
      <c r="F9681" s="4" t="s">
        <v>49127</v>
      </c>
      <c r="G9681" s="4" t="s">
        <v>49128</v>
      </c>
      <c r="H9681" s="3" t="s">
        <v>46910</v>
      </c>
      <c r="I9681" s="3" t="s">
        <v>2900</v>
      </c>
      <c r="J9681" s="3" t="s">
        <v>49129</v>
      </c>
      <c r="K9681" s="3" t="s">
        <v>49130</v>
      </c>
      <c r="L9681" s="3" t="s">
        <v>49131</v>
      </c>
      <c r="M9681" s="4"/>
      <c r="N9681" s="3" t="s">
        <v>967</v>
      </c>
      <c r="O9681" s="3" t="s">
        <v>47953</v>
      </c>
      <c r="P9681" s="5">
        <v>10</v>
      </c>
      <c r="Q9681" s="5">
        <v>96</v>
      </c>
      <c r="R9681" s="5">
        <v>10</v>
      </c>
      <c r="S9681" s="5">
        <v>90</v>
      </c>
    </row>
    <row r="9682" spans="1:19" ht="28" x14ac:dyDescent="0.15">
      <c r="A9682" s="2">
        <f>HYPERLINK("https://open-school.uspishnemisto.com.ua/school/510515/", 510515)</f>
        <v>510515</v>
      </c>
      <c r="B9682" s="3" t="s">
        <v>49132</v>
      </c>
      <c r="C9682" s="3" t="s">
        <v>31</v>
      </c>
      <c r="D9682" s="3" t="s">
        <v>32</v>
      </c>
      <c r="E9682" s="4" t="s">
        <v>22</v>
      </c>
      <c r="F9682" s="4" t="s">
        <v>49133</v>
      </c>
      <c r="G9682" s="4" t="s">
        <v>49134</v>
      </c>
      <c r="H9682" s="3" t="s">
        <v>46910</v>
      </c>
      <c r="I9682" s="3" t="s">
        <v>24871</v>
      </c>
      <c r="J9682" s="3" t="s">
        <v>49135</v>
      </c>
      <c r="K9682" s="3" t="s">
        <v>49136</v>
      </c>
      <c r="L9682" s="3"/>
      <c r="M9682" s="4"/>
      <c r="N9682" s="3" t="s">
        <v>967</v>
      </c>
      <c r="O9682" s="3" t="s">
        <v>46</v>
      </c>
      <c r="P9682" s="5">
        <v>11</v>
      </c>
      <c r="Q9682" s="5">
        <v>152</v>
      </c>
      <c r="R9682" s="5">
        <v>11</v>
      </c>
      <c r="S9682" s="5">
        <v>159</v>
      </c>
    </row>
    <row r="9683" spans="1:19" ht="28" x14ac:dyDescent="0.15">
      <c r="A9683" s="2">
        <f>HYPERLINK("https://open-school.uspishnemisto.com.ua/school/510516/", 510516)</f>
        <v>510516</v>
      </c>
      <c r="B9683" s="3" t="s">
        <v>49137</v>
      </c>
      <c r="C9683" s="3" t="s">
        <v>31</v>
      </c>
      <c r="D9683" s="3" t="s">
        <v>32</v>
      </c>
      <c r="E9683" s="4" t="s">
        <v>22</v>
      </c>
      <c r="F9683" s="4" t="s">
        <v>49138</v>
      </c>
      <c r="G9683" s="4" t="s">
        <v>49139</v>
      </c>
      <c r="H9683" s="3" t="s">
        <v>46910</v>
      </c>
      <c r="I9683" s="3" t="s">
        <v>29561</v>
      </c>
      <c r="J9683" s="3" t="s">
        <v>584</v>
      </c>
      <c r="K9683" s="3"/>
      <c r="L9683" s="3"/>
      <c r="M9683" s="4"/>
      <c r="N9683" s="3" t="s">
        <v>48230</v>
      </c>
      <c r="O9683" s="3" t="s">
        <v>48990</v>
      </c>
      <c r="P9683" s="5">
        <v>12</v>
      </c>
      <c r="Q9683" s="5">
        <v>114</v>
      </c>
      <c r="R9683" s="5">
        <v>12</v>
      </c>
      <c r="S9683" s="5">
        <v>126</v>
      </c>
    </row>
    <row r="9684" spans="1:19" ht="28" x14ac:dyDescent="0.15">
      <c r="A9684" s="2">
        <f>HYPERLINK("https://open-school.uspishnemisto.com.ua/school/510517/", 510517)</f>
        <v>510517</v>
      </c>
      <c r="B9684" s="3" t="s">
        <v>49140</v>
      </c>
      <c r="C9684" s="3" t="s">
        <v>31</v>
      </c>
      <c r="D9684" s="3" t="s">
        <v>32</v>
      </c>
      <c r="E9684" s="4" t="s">
        <v>22</v>
      </c>
      <c r="F9684" s="4" t="s">
        <v>49141</v>
      </c>
      <c r="G9684" s="4" t="s">
        <v>49142</v>
      </c>
      <c r="H9684" s="3" t="s">
        <v>46910</v>
      </c>
      <c r="I9684" s="3" t="s">
        <v>49143</v>
      </c>
      <c r="J9684" s="3" t="s">
        <v>44859</v>
      </c>
      <c r="K9684" s="3"/>
      <c r="L9684" s="3"/>
      <c r="M9684" s="4"/>
      <c r="N9684" s="3" t="s">
        <v>967</v>
      </c>
      <c r="O9684" s="3" t="s">
        <v>49144</v>
      </c>
      <c r="P9684" s="5">
        <v>9</v>
      </c>
      <c r="Q9684" s="5">
        <v>93</v>
      </c>
      <c r="R9684" s="5">
        <v>10</v>
      </c>
      <c r="S9684" s="5">
        <v>89</v>
      </c>
    </row>
    <row r="9685" spans="1:19" ht="28" x14ac:dyDescent="0.15">
      <c r="A9685" s="2">
        <f>HYPERLINK("https://open-school.uspishnemisto.com.ua/school/510518/", 510518)</f>
        <v>510518</v>
      </c>
      <c r="B9685" s="3" t="s">
        <v>49145</v>
      </c>
      <c r="C9685" s="3" t="s">
        <v>31</v>
      </c>
      <c r="D9685" s="3" t="s">
        <v>32</v>
      </c>
      <c r="E9685" s="4" t="s">
        <v>22</v>
      </c>
      <c r="F9685" s="4" t="s">
        <v>49146</v>
      </c>
      <c r="G9685" s="4" t="s">
        <v>49147</v>
      </c>
      <c r="H9685" s="3" t="s">
        <v>46910</v>
      </c>
      <c r="I9685" s="3" t="s">
        <v>25801</v>
      </c>
      <c r="J9685" s="3" t="s">
        <v>49148</v>
      </c>
      <c r="K9685" s="3"/>
      <c r="L9685" s="3" t="s">
        <v>49149</v>
      </c>
      <c r="M9685" s="4"/>
      <c r="N9685" s="3" t="s">
        <v>37</v>
      </c>
      <c r="O9685" s="3" t="s">
        <v>70</v>
      </c>
      <c r="P9685" s="5">
        <v>11</v>
      </c>
      <c r="Q9685" s="5">
        <v>126</v>
      </c>
      <c r="R9685" s="5">
        <v>11</v>
      </c>
      <c r="S9685" s="5">
        <v>131</v>
      </c>
    </row>
    <row r="9686" spans="1:19" ht="28" x14ac:dyDescent="0.15">
      <c r="A9686" s="2">
        <f>HYPERLINK("https://open-school.uspishnemisto.com.ua/school/510519/", 510519)</f>
        <v>510519</v>
      </c>
      <c r="B9686" s="3" t="s">
        <v>49150</v>
      </c>
      <c r="C9686" s="3" t="s">
        <v>31</v>
      </c>
      <c r="D9686" s="3" t="s">
        <v>32</v>
      </c>
      <c r="E9686" s="4" t="s">
        <v>22</v>
      </c>
      <c r="F9686" s="4" t="s">
        <v>49151</v>
      </c>
      <c r="G9686" s="4" t="s">
        <v>49152</v>
      </c>
      <c r="H9686" s="3" t="s">
        <v>46910</v>
      </c>
      <c r="I9686" s="3" t="s">
        <v>49153</v>
      </c>
      <c r="J9686" s="3" t="s">
        <v>21111</v>
      </c>
      <c r="K9686" s="3" t="s">
        <v>49154</v>
      </c>
      <c r="L9686" s="3"/>
      <c r="M9686" s="4"/>
      <c r="N9686" s="3" t="s">
        <v>967</v>
      </c>
      <c r="O9686" s="3" t="s">
        <v>36144</v>
      </c>
      <c r="P9686" s="5">
        <v>11</v>
      </c>
      <c r="Q9686" s="5">
        <v>162</v>
      </c>
      <c r="R9686" s="5">
        <v>11</v>
      </c>
      <c r="S9686" s="5">
        <v>163</v>
      </c>
    </row>
    <row r="9687" spans="1:19" ht="42" x14ac:dyDescent="0.15">
      <c r="A9687" s="2">
        <f>HYPERLINK("https://open-school.uspishnemisto.com.ua/school/510520/", 510520)</f>
        <v>510520</v>
      </c>
      <c r="B9687" s="3" t="s">
        <v>49155</v>
      </c>
      <c r="C9687" s="3" t="s">
        <v>54</v>
      </c>
      <c r="D9687" s="3" t="s">
        <v>175</v>
      </c>
      <c r="E9687" s="4" t="s">
        <v>22</v>
      </c>
      <c r="F9687" s="4" t="s">
        <v>49156</v>
      </c>
      <c r="G9687" s="4" t="s">
        <v>49157</v>
      </c>
      <c r="H9687" s="3" t="s">
        <v>46910</v>
      </c>
      <c r="I9687" s="3" t="s">
        <v>35754</v>
      </c>
      <c r="J9687" s="3" t="s">
        <v>49158</v>
      </c>
      <c r="K9687" s="3" t="s">
        <v>49159</v>
      </c>
      <c r="L9687" s="3"/>
      <c r="M9687" s="4"/>
      <c r="N9687" s="3" t="s">
        <v>967</v>
      </c>
      <c r="O9687" s="3" t="s">
        <v>36144</v>
      </c>
      <c r="P9687" s="5">
        <v>8</v>
      </c>
      <c r="Q9687" s="5">
        <v>57</v>
      </c>
      <c r="R9687" s="5">
        <v>8</v>
      </c>
      <c r="S9687" s="5">
        <v>57</v>
      </c>
    </row>
    <row r="9688" spans="1:19" ht="28" x14ac:dyDescent="0.15">
      <c r="A9688" s="2">
        <f>HYPERLINK("https://open-school.uspishnemisto.com.ua/school/510521/", 510521)</f>
        <v>510521</v>
      </c>
      <c r="B9688" s="3" t="s">
        <v>49160</v>
      </c>
      <c r="C9688" s="3" t="s">
        <v>31</v>
      </c>
      <c r="D9688" s="3" t="s">
        <v>32</v>
      </c>
      <c r="E9688" s="4" t="s">
        <v>22</v>
      </c>
      <c r="F9688" s="4" t="s">
        <v>49161</v>
      </c>
      <c r="G9688" s="4" t="s">
        <v>49162</v>
      </c>
      <c r="H9688" s="3" t="s">
        <v>46910</v>
      </c>
      <c r="I9688" s="3" t="s">
        <v>11064</v>
      </c>
      <c r="J9688" s="3" t="s">
        <v>49163</v>
      </c>
      <c r="K9688" s="3" t="s">
        <v>49164</v>
      </c>
      <c r="L9688" s="3"/>
      <c r="M9688" s="4"/>
      <c r="N9688" s="3" t="s">
        <v>37</v>
      </c>
      <c r="O9688" s="3" t="s">
        <v>38</v>
      </c>
      <c r="P9688" s="5">
        <v>13</v>
      </c>
      <c r="Q9688" s="5">
        <v>239</v>
      </c>
      <c r="R9688" s="5">
        <v>13</v>
      </c>
      <c r="S9688" s="5">
        <v>247</v>
      </c>
    </row>
    <row r="9689" spans="1:19" ht="42" x14ac:dyDescent="0.15">
      <c r="A9689" s="2">
        <f>HYPERLINK("https://open-school.uspishnemisto.com.ua/school/510522/", 510522)</f>
        <v>510522</v>
      </c>
      <c r="B9689" s="3" t="s">
        <v>49165</v>
      </c>
      <c r="C9689" s="3" t="s">
        <v>31</v>
      </c>
      <c r="D9689" s="3" t="s">
        <v>32</v>
      </c>
      <c r="E9689" s="4" t="s">
        <v>22</v>
      </c>
      <c r="F9689" s="4" t="s">
        <v>49161</v>
      </c>
      <c r="G9689" s="4" t="s">
        <v>49162</v>
      </c>
      <c r="H9689" s="3" t="s">
        <v>46910</v>
      </c>
      <c r="I9689" s="3" t="s">
        <v>11064</v>
      </c>
      <c r="J9689" s="3" t="s">
        <v>49166</v>
      </c>
      <c r="K9689" s="3" t="s">
        <v>49167</v>
      </c>
      <c r="L9689" s="3"/>
      <c r="M9689" s="4"/>
      <c r="N9689" s="3" t="s">
        <v>37</v>
      </c>
      <c r="O9689" s="3" t="s">
        <v>38</v>
      </c>
      <c r="P9689" s="5">
        <v>20</v>
      </c>
      <c r="Q9689" s="5">
        <v>375</v>
      </c>
      <c r="R9689" s="5">
        <v>19</v>
      </c>
      <c r="S9689" s="5">
        <v>375</v>
      </c>
    </row>
    <row r="9690" spans="1:19" ht="28" x14ac:dyDescent="0.15">
      <c r="A9690" s="2">
        <f>HYPERLINK("https://open-school.uspishnemisto.com.ua/school/510523/", 510523)</f>
        <v>510523</v>
      </c>
      <c r="B9690" s="3" t="s">
        <v>49168</v>
      </c>
      <c r="C9690" s="3" t="s">
        <v>31</v>
      </c>
      <c r="D9690" s="3" t="s">
        <v>32</v>
      </c>
      <c r="E9690" s="4" t="s">
        <v>22</v>
      </c>
      <c r="F9690" s="4" t="s">
        <v>49169</v>
      </c>
      <c r="G9690" s="4" t="s">
        <v>49170</v>
      </c>
      <c r="H9690" s="3" t="s">
        <v>46910</v>
      </c>
      <c r="I9690" s="3" t="s">
        <v>49171</v>
      </c>
      <c r="J9690" s="3" t="s">
        <v>49172</v>
      </c>
      <c r="K9690" s="3" t="s">
        <v>49173</v>
      </c>
      <c r="L9690" s="3"/>
      <c r="M9690" s="4"/>
      <c r="N9690" s="3" t="s">
        <v>37</v>
      </c>
      <c r="O9690" s="3" t="s">
        <v>52</v>
      </c>
      <c r="P9690" s="5">
        <v>26</v>
      </c>
      <c r="Q9690" s="5">
        <v>638</v>
      </c>
      <c r="R9690" s="5">
        <v>25</v>
      </c>
      <c r="S9690" s="5">
        <v>616</v>
      </c>
    </row>
    <row r="9691" spans="1:19" ht="56" x14ac:dyDescent="0.15">
      <c r="A9691" s="2">
        <f>HYPERLINK("https://open-school.uspishnemisto.com.ua/school/510524/", 510524)</f>
        <v>510524</v>
      </c>
      <c r="B9691" s="3" t="s">
        <v>49174</v>
      </c>
      <c r="C9691" s="3" t="s">
        <v>54</v>
      </c>
      <c r="D9691" s="3" t="s">
        <v>32</v>
      </c>
      <c r="E9691" s="4" t="s">
        <v>22</v>
      </c>
      <c r="F9691" s="4" t="s">
        <v>49169</v>
      </c>
      <c r="G9691" s="4" t="s">
        <v>49170</v>
      </c>
      <c r="H9691" s="3" t="s">
        <v>46910</v>
      </c>
      <c r="I9691" s="3" t="s">
        <v>49171</v>
      </c>
      <c r="J9691" s="3" t="s">
        <v>49175</v>
      </c>
      <c r="K9691" s="3" t="s">
        <v>49176</v>
      </c>
      <c r="L9691" s="3" t="s">
        <v>49177</v>
      </c>
      <c r="M9691" s="4"/>
      <c r="N9691" s="3" t="s">
        <v>37</v>
      </c>
      <c r="O9691" s="3" t="s">
        <v>52</v>
      </c>
      <c r="P9691" s="5">
        <v>17</v>
      </c>
      <c r="Q9691" s="5">
        <v>338</v>
      </c>
      <c r="R9691" s="5">
        <v>16</v>
      </c>
      <c r="S9691" s="5">
        <v>308</v>
      </c>
    </row>
    <row r="9692" spans="1:19" ht="28" x14ac:dyDescent="0.15">
      <c r="A9692" s="2">
        <f>HYPERLINK("https://open-school.uspishnemisto.com.ua/school/510525/", 510525)</f>
        <v>510525</v>
      </c>
      <c r="B9692" s="3" t="s">
        <v>49178</v>
      </c>
      <c r="C9692" s="3" t="s">
        <v>31</v>
      </c>
      <c r="D9692" s="3" t="s">
        <v>32</v>
      </c>
      <c r="E9692" s="4" t="s">
        <v>22</v>
      </c>
      <c r="F9692" s="4" t="s">
        <v>49179</v>
      </c>
      <c r="G9692" s="4" t="s">
        <v>49180</v>
      </c>
      <c r="H9692" s="3" t="s">
        <v>46910</v>
      </c>
      <c r="I9692" s="3" t="s">
        <v>1883</v>
      </c>
      <c r="J9692" s="3" t="s">
        <v>49181</v>
      </c>
      <c r="K9692" s="3" t="s">
        <v>49182</v>
      </c>
      <c r="L9692" s="3"/>
      <c r="M9692" s="4"/>
      <c r="N9692" s="3" t="s">
        <v>37</v>
      </c>
      <c r="O9692" s="3" t="s">
        <v>46</v>
      </c>
      <c r="P9692" s="5">
        <v>13</v>
      </c>
      <c r="Q9692" s="5">
        <v>257</v>
      </c>
      <c r="R9692" s="5">
        <v>13</v>
      </c>
      <c r="S9692" s="5">
        <v>250</v>
      </c>
    </row>
    <row r="9693" spans="1:19" ht="28" x14ac:dyDescent="0.15">
      <c r="A9693" s="2">
        <f>HYPERLINK("https://open-school.uspishnemisto.com.ua/school/510526/", 510526)</f>
        <v>510526</v>
      </c>
      <c r="B9693" s="3" t="s">
        <v>49183</v>
      </c>
      <c r="C9693" s="3" t="s">
        <v>54</v>
      </c>
      <c r="D9693" s="3" t="s">
        <v>175</v>
      </c>
      <c r="E9693" s="4" t="s">
        <v>22</v>
      </c>
      <c r="F9693" s="4" t="s">
        <v>49184</v>
      </c>
      <c r="G9693" s="4" t="s">
        <v>49185</v>
      </c>
      <c r="H9693" s="3" t="s">
        <v>46910</v>
      </c>
      <c r="I9693" s="3" t="s">
        <v>11964</v>
      </c>
      <c r="J9693" s="3" t="s">
        <v>49186</v>
      </c>
      <c r="K9693" s="3"/>
      <c r="L9693" s="3"/>
      <c r="M9693" s="4"/>
      <c r="N9693" s="3" t="s">
        <v>37</v>
      </c>
      <c r="O9693" s="3" t="s">
        <v>52</v>
      </c>
      <c r="P9693" s="5">
        <v>6</v>
      </c>
      <c r="Q9693" s="5">
        <v>50</v>
      </c>
      <c r="R9693" s="5">
        <v>8</v>
      </c>
      <c r="S9693" s="5">
        <v>59</v>
      </c>
    </row>
    <row r="9694" spans="1:19" ht="56" x14ac:dyDescent="0.15">
      <c r="A9694" s="2">
        <f>HYPERLINK("https://open-school.uspishnemisto.com.ua/school/510527/", 510527)</f>
        <v>510527</v>
      </c>
      <c r="B9694" s="3" t="s">
        <v>49187</v>
      </c>
      <c r="C9694" s="3" t="s">
        <v>54</v>
      </c>
      <c r="D9694" s="3" t="s">
        <v>175</v>
      </c>
      <c r="E9694" s="4" t="s">
        <v>22</v>
      </c>
      <c r="F9694" s="4" t="s">
        <v>49188</v>
      </c>
      <c r="G9694" s="4" t="s">
        <v>49189</v>
      </c>
      <c r="H9694" s="3" t="s">
        <v>46910</v>
      </c>
      <c r="I9694" s="3" t="s">
        <v>49190</v>
      </c>
      <c r="J9694" s="3" t="s">
        <v>3106</v>
      </c>
      <c r="K9694" s="3" t="s">
        <v>49191</v>
      </c>
      <c r="L9694" s="3" t="s">
        <v>49192</v>
      </c>
      <c r="M9694" s="4"/>
      <c r="N9694" s="3" t="s">
        <v>37</v>
      </c>
      <c r="O9694" s="3" t="s">
        <v>52</v>
      </c>
      <c r="P9694" s="5">
        <v>6</v>
      </c>
      <c r="Q9694" s="5">
        <v>44</v>
      </c>
      <c r="R9694" s="5">
        <v>6</v>
      </c>
      <c r="S9694" s="5">
        <v>43</v>
      </c>
    </row>
    <row r="9695" spans="1:19" ht="56" x14ac:dyDescent="0.15">
      <c r="A9695" s="2">
        <f>HYPERLINK("https://open-school.uspishnemisto.com.ua/school/510528/", 510528)</f>
        <v>510528</v>
      </c>
      <c r="B9695" s="3" t="s">
        <v>49193</v>
      </c>
      <c r="C9695" s="3" t="s">
        <v>54</v>
      </c>
      <c r="D9695" s="3" t="s">
        <v>32</v>
      </c>
      <c r="E9695" s="4" t="s">
        <v>22</v>
      </c>
      <c r="F9695" s="4" t="s">
        <v>49194</v>
      </c>
      <c r="G9695" s="4" t="s">
        <v>49195</v>
      </c>
      <c r="H9695" s="3" t="s">
        <v>46910</v>
      </c>
      <c r="I9695" s="3" t="s">
        <v>49196</v>
      </c>
      <c r="J9695" s="3" t="s">
        <v>49197</v>
      </c>
      <c r="K9695" s="3" t="s">
        <v>49198</v>
      </c>
      <c r="L9695" s="3"/>
      <c r="M9695" s="4"/>
      <c r="N9695" s="3" t="s">
        <v>37</v>
      </c>
      <c r="O9695" s="3" t="s">
        <v>52</v>
      </c>
      <c r="P9695" s="5">
        <v>11</v>
      </c>
      <c r="Q9695" s="5">
        <v>96</v>
      </c>
      <c r="R9695" s="5">
        <v>11</v>
      </c>
      <c r="S9695" s="5">
        <v>96</v>
      </c>
    </row>
    <row r="9696" spans="1:19" ht="56" x14ac:dyDescent="0.15">
      <c r="A9696" s="2">
        <f>HYPERLINK("https://open-school.uspishnemisto.com.ua/school/510529/", 510529)</f>
        <v>510529</v>
      </c>
      <c r="B9696" s="3" t="s">
        <v>49199</v>
      </c>
      <c r="C9696" s="3" t="s">
        <v>54</v>
      </c>
      <c r="D9696" s="3" t="s">
        <v>32</v>
      </c>
      <c r="E9696" s="4" t="s">
        <v>22</v>
      </c>
      <c r="F9696" s="4" t="s">
        <v>49200</v>
      </c>
      <c r="G9696" s="4" t="s">
        <v>49201</v>
      </c>
      <c r="H9696" s="3" t="s">
        <v>46910</v>
      </c>
      <c r="I9696" s="3" t="s">
        <v>8414</v>
      </c>
      <c r="J9696" s="3" t="s">
        <v>49202</v>
      </c>
      <c r="K9696" s="3" t="s">
        <v>49203</v>
      </c>
      <c r="L9696" s="3" t="s">
        <v>49204</v>
      </c>
      <c r="M9696" s="4"/>
      <c r="N9696" s="3" t="s">
        <v>37</v>
      </c>
      <c r="O9696" s="3" t="s">
        <v>46</v>
      </c>
      <c r="P9696" s="5">
        <v>11</v>
      </c>
      <c r="Q9696" s="5">
        <v>93</v>
      </c>
      <c r="R9696" s="5">
        <v>11</v>
      </c>
      <c r="S9696" s="5">
        <v>94</v>
      </c>
    </row>
    <row r="9697" spans="1:19" ht="28" x14ac:dyDescent="0.15">
      <c r="A9697" s="2">
        <f>HYPERLINK("https://open-school.uspishnemisto.com.ua/school/510530/", 510530)</f>
        <v>510530</v>
      </c>
      <c r="B9697" s="3" t="s">
        <v>49205</v>
      </c>
      <c r="C9697" s="3" t="s">
        <v>54</v>
      </c>
      <c r="D9697" s="3" t="s">
        <v>60</v>
      </c>
      <c r="E9697" s="4" t="s">
        <v>22</v>
      </c>
      <c r="F9697" s="4" t="s">
        <v>49206</v>
      </c>
      <c r="G9697" s="4" t="s">
        <v>49207</v>
      </c>
      <c r="H9697" s="3" t="s">
        <v>46910</v>
      </c>
      <c r="I9697" s="3" t="s">
        <v>13213</v>
      </c>
      <c r="J9697" s="3" t="s">
        <v>49208</v>
      </c>
      <c r="K9697" s="3" t="s">
        <v>49209</v>
      </c>
      <c r="L9697" s="3"/>
      <c r="M9697" s="4"/>
      <c r="N9697" s="3" t="s">
        <v>37</v>
      </c>
      <c r="O9697" s="3" t="s">
        <v>52</v>
      </c>
      <c r="P9697" s="5">
        <v>0</v>
      </c>
      <c r="Q9697" s="5">
        <v>6</v>
      </c>
      <c r="R9697" s="5">
        <v>0</v>
      </c>
      <c r="S9697" s="5">
        <v>5</v>
      </c>
    </row>
    <row r="9698" spans="1:19" ht="28" x14ac:dyDescent="0.15">
      <c r="A9698" s="2">
        <f>HYPERLINK("https://open-school.uspishnemisto.com.ua/school/510531/", 510531)</f>
        <v>510531</v>
      </c>
      <c r="B9698" s="3" t="s">
        <v>49210</v>
      </c>
      <c r="C9698" s="3" t="s">
        <v>31</v>
      </c>
      <c r="D9698" s="3" t="s">
        <v>32</v>
      </c>
      <c r="E9698" s="4" t="s">
        <v>22</v>
      </c>
      <c r="F9698" s="4" t="s">
        <v>49211</v>
      </c>
      <c r="G9698" s="4" t="s">
        <v>49212</v>
      </c>
      <c r="H9698" s="3" t="s">
        <v>46910</v>
      </c>
      <c r="I9698" s="3" t="s">
        <v>49213</v>
      </c>
      <c r="J9698" s="3" t="s">
        <v>49214</v>
      </c>
      <c r="K9698" s="3" t="s">
        <v>49215</v>
      </c>
      <c r="L9698" s="3" t="s">
        <v>49216</v>
      </c>
      <c r="M9698" s="4"/>
      <c r="N9698" s="3" t="s">
        <v>37</v>
      </c>
      <c r="O9698" s="3" t="s">
        <v>52</v>
      </c>
      <c r="P9698" s="5">
        <v>11</v>
      </c>
      <c r="Q9698" s="5">
        <v>141</v>
      </c>
      <c r="R9698" s="5">
        <v>11</v>
      </c>
      <c r="S9698" s="5">
        <v>148</v>
      </c>
    </row>
    <row r="9699" spans="1:19" ht="28" x14ac:dyDescent="0.15">
      <c r="A9699" s="2">
        <f>HYPERLINK("https://open-school.uspishnemisto.com.ua/school/510532/", 510532)</f>
        <v>510532</v>
      </c>
      <c r="B9699" s="3" t="s">
        <v>49217</v>
      </c>
      <c r="C9699" s="3" t="s">
        <v>54</v>
      </c>
      <c r="D9699" s="3" t="s">
        <v>32</v>
      </c>
      <c r="E9699" s="4" t="s">
        <v>22</v>
      </c>
      <c r="F9699" s="4" t="s">
        <v>49218</v>
      </c>
      <c r="G9699" s="4" t="s">
        <v>49219</v>
      </c>
      <c r="H9699" s="3" t="s">
        <v>46910</v>
      </c>
      <c r="I9699" s="3" t="s">
        <v>49220</v>
      </c>
      <c r="J9699" s="3" t="s">
        <v>5029</v>
      </c>
      <c r="K9699" s="3" t="s">
        <v>49221</v>
      </c>
      <c r="L9699" s="3"/>
      <c r="M9699" s="4"/>
      <c r="N9699" s="3" t="s">
        <v>37</v>
      </c>
      <c r="O9699" s="3" t="s">
        <v>52</v>
      </c>
      <c r="P9699" s="5">
        <v>9</v>
      </c>
      <c r="Q9699" s="5">
        <v>78</v>
      </c>
      <c r="R9699" s="5">
        <v>10</v>
      </c>
      <c r="S9699" s="5">
        <v>84</v>
      </c>
    </row>
    <row r="9700" spans="1:19" ht="56" x14ac:dyDescent="0.15">
      <c r="A9700" s="2">
        <f>HYPERLINK("https://open-school.uspishnemisto.com.ua/school/510533/", 510533)</f>
        <v>510533</v>
      </c>
      <c r="B9700" s="3" t="s">
        <v>49222</v>
      </c>
      <c r="C9700" s="3" t="s">
        <v>54</v>
      </c>
      <c r="D9700" s="3" t="s">
        <v>175</v>
      </c>
      <c r="E9700" s="4" t="s">
        <v>22</v>
      </c>
      <c r="F9700" s="4" t="s">
        <v>49223</v>
      </c>
      <c r="G9700" s="4" t="s">
        <v>49224</v>
      </c>
      <c r="H9700" s="3" t="s">
        <v>46910</v>
      </c>
      <c r="I9700" s="3" t="s">
        <v>49225</v>
      </c>
      <c r="J9700" s="3" t="s">
        <v>49226</v>
      </c>
      <c r="K9700" s="3" t="s">
        <v>49227</v>
      </c>
      <c r="L9700" s="3" t="s">
        <v>49228</v>
      </c>
      <c r="M9700" s="4"/>
      <c r="N9700" s="3" t="s">
        <v>37</v>
      </c>
      <c r="O9700" s="3" t="s">
        <v>52</v>
      </c>
      <c r="P9700" s="5">
        <v>6</v>
      </c>
      <c r="Q9700" s="5">
        <v>48</v>
      </c>
      <c r="R9700" s="5">
        <v>7</v>
      </c>
      <c r="S9700" s="5">
        <v>52</v>
      </c>
    </row>
    <row r="9701" spans="1:19" ht="56" x14ac:dyDescent="0.15">
      <c r="A9701" s="2">
        <f>HYPERLINK("https://open-school.uspishnemisto.com.ua/school/510534/", 510534)</f>
        <v>510534</v>
      </c>
      <c r="B9701" s="3" t="s">
        <v>49229</v>
      </c>
      <c r="C9701" s="3" t="s">
        <v>54</v>
      </c>
      <c r="D9701" s="3" t="s">
        <v>32</v>
      </c>
      <c r="E9701" s="4" t="s">
        <v>22</v>
      </c>
      <c r="F9701" s="4" t="s">
        <v>49230</v>
      </c>
      <c r="G9701" s="4" t="s">
        <v>49231</v>
      </c>
      <c r="H9701" s="3" t="s">
        <v>46910</v>
      </c>
      <c r="I9701" s="3" t="s">
        <v>49232</v>
      </c>
      <c r="J9701" s="3" t="s">
        <v>1792</v>
      </c>
      <c r="K9701" s="3" t="s">
        <v>49233</v>
      </c>
      <c r="L9701" s="3" t="s">
        <v>49234</v>
      </c>
      <c r="M9701" s="4"/>
      <c r="N9701" s="3" t="s">
        <v>37</v>
      </c>
      <c r="O9701" s="3" t="s">
        <v>52</v>
      </c>
      <c r="P9701" s="5">
        <v>11</v>
      </c>
      <c r="Q9701" s="5">
        <v>92</v>
      </c>
      <c r="R9701" s="5">
        <v>11</v>
      </c>
      <c r="S9701" s="5">
        <v>93</v>
      </c>
    </row>
    <row r="9702" spans="1:19" ht="56" x14ac:dyDescent="0.15">
      <c r="A9702" s="2">
        <f>HYPERLINK("https://open-school.uspishnemisto.com.ua/school/510535/", 510535)</f>
        <v>510535</v>
      </c>
      <c r="B9702" s="3" t="s">
        <v>49235</v>
      </c>
      <c r="C9702" s="3" t="s">
        <v>54</v>
      </c>
      <c r="D9702" s="3" t="s">
        <v>175</v>
      </c>
      <c r="E9702" s="4" t="s">
        <v>22</v>
      </c>
      <c r="F9702" s="4" t="s">
        <v>49236</v>
      </c>
      <c r="G9702" s="4" t="s">
        <v>49237</v>
      </c>
      <c r="H9702" s="3" t="s">
        <v>46910</v>
      </c>
      <c r="I9702" s="3" t="s">
        <v>25451</v>
      </c>
      <c r="J9702" s="3" t="s">
        <v>49238</v>
      </c>
      <c r="K9702" s="3" t="s">
        <v>49239</v>
      </c>
      <c r="L9702" s="3"/>
      <c r="M9702" s="4"/>
      <c r="N9702" s="3" t="s">
        <v>37</v>
      </c>
      <c r="O9702" s="3" t="s">
        <v>52</v>
      </c>
      <c r="P9702" s="5">
        <v>9</v>
      </c>
      <c r="Q9702" s="5">
        <v>91</v>
      </c>
      <c r="R9702" s="5">
        <v>9</v>
      </c>
      <c r="S9702" s="5">
        <v>87</v>
      </c>
    </row>
    <row r="9703" spans="1:19" ht="42" x14ac:dyDescent="0.15">
      <c r="A9703" s="2">
        <f>HYPERLINK("https://open-school.uspishnemisto.com.ua/school/510536/", 510536)</f>
        <v>510536</v>
      </c>
      <c r="B9703" s="3" t="s">
        <v>49240</v>
      </c>
      <c r="C9703" s="3" t="s">
        <v>54</v>
      </c>
      <c r="D9703" s="3" t="s">
        <v>60</v>
      </c>
      <c r="E9703" s="4" t="s">
        <v>22</v>
      </c>
      <c r="F9703" s="4" t="s">
        <v>49241</v>
      </c>
      <c r="G9703" s="4" t="s">
        <v>49242</v>
      </c>
      <c r="H9703" s="3" t="s">
        <v>46910</v>
      </c>
      <c r="I9703" s="3" t="s">
        <v>49243</v>
      </c>
      <c r="J9703" s="3" t="s">
        <v>466</v>
      </c>
      <c r="K9703" s="3" t="s">
        <v>49244</v>
      </c>
      <c r="L9703" s="3"/>
      <c r="M9703" s="4"/>
      <c r="N9703" s="3" t="s">
        <v>37</v>
      </c>
      <c r="O9703" s="3" t="s">
        <v>52</v>
      </c>
      <c r="P9703" s="5">
        <v>0</v>
      </c>
      <c r="Q9703" s="5">
        <v>0</v>
      </c>
      <c r="R9703" s="5">
        <v>0</v>
      </c>
      <c r="S9703" s="5">
        <v>7</v>
      </c>
    </row>
    <row r="9704" spans="1:19" ht="56" x14ac:dyDescent="0.15">
      <c r="A9704" s="2">
        <f>HYPERLINK("https://open-school.uspishnemisto.com.ua/school/510537/", 510537)</f>
        <v>510537</v>
      </c>
      <c r="B9704" s="3" t="s">
        <v>49245</v>
      </c>
      <c r="C9704" s="3" t="s">
        <v>54</v>
      </c>
      <c r="D9704" s="3" t="s">
        <v>175</v>
      </c>
      <c r="E9704" s="4" t="s">
        <v>22</v>
      </c>
      <c r="F9704" s="4" t="s">
        <v>49246</v>
      </c>
      <c r="G9704" s="4" t="s">
        <v>49247</v>
      </c>
      <c r="H9704" s="3" t="s">
        <v>46910</v>
      </c>
      <c r="I9704" s="3" t="s">
        <v>12478</v>
      </c>
      <c r="J9704" s="3" t="s">
        <v>2080</v>
      </c>
      <c r="K9704" s="3" t="s">
        <v>49248</v>
      </c>
      <c r="L9704" s="3"/>
      <c r="M9704" s="4"/>
      <c r="N9704" s="3" t="s">
        <v>37</v>
      </c>
      <c r="O9704" s="3" t="s">
        <v>46</v>
      </c>
      <c r="P9704" s="5">
        <v>7</v>
      </c>
      <c r="Q9704" s="5">
        <v>49</v>
      </c>
      <c r="R9704" s="5">
        <v>8</v>
      </c>
      <c r="S9704" s="5">
        <v>55</v>
      </c>
    </row>
    <row r="9705" spans="1:19" ht="56" x14ac:dyDescent="0.15">
      <c r="A9705" s="2">
        <f>HYPERLINK("https://open-school.uspishnemisto.com.ua/school/510538/", 510538)</f>
        <v>510538</v>
      </c>
      <c r="B9705" s="3" t="s">
        <v>49249</v>
      </c>
      <c r="C9705" s="3" t="s">
        <v>54</v>
      </c>
      <c r="D9705" s="3" t="s">
        <v>32</v>
      </c>
      <c r="E9705" s="4" t="s">
        <v>22</v>
      </c>
      <c r="F9705" s="4" t="s">
        <v>49250</v>
      </c>
      <c r="G9705" s="4" t="s">
        <v>49251</v>
      </c>
      <c r="H9705" s="3" t="s">
        <v>46910</v>
      </c>
      <c r="I9705" s="3" t="s">
        <v>49252</v>
      </c>
      <c r="J9705" s="3" t="s">
        <v>49253</v>
      </c>
      <c r="K9705" s="3" t="s">
        <v>49254</v>
      </c>
      <c r="L9705" s="3"/>
      <c r="M9705" s="4"/>
      <c r="N9705" s="3" t="s">
        <v>37</v>
      </c>
      <c r="O9705" s="3" t="s">
        <v>52</v>
      </c>
      <c r="P9705" s="5">
        <v>7</v>
      </c>
      <c r="Q9705" s="5">
        <v>63</v>
      </c>
      <c r="R9705" s="5">
        <v>9</v>
      </c>
      <c r="S9705" s="5">
        <v>74</v>
      </c>
    </row>
    <row r="9706" spans="1:19" ht="56" x14ac:dyDescent="0.15">
      <c r="A9706" s="2">
        <f>HYPERLINK("https://open-school.uspishnemisto.com.ua/school/510539/", 510539)</f>
        <v>510539</v>
      </c>
      <c r="B9706" s="3" t="s">
        <v>49255</v>
      </c>
      <c r="C9706" s="3" t="s">
        <v>54</v>
      </c>
      <c r="D9706" s="3" t="s">
        <v>32</v>
      </c>
      <c r="E9706" s="4" t="s">
        <v>22</v>
      </c>
      <c r="F9706" s="4" t="s">
        <v>49256</v>
      </c>
      <c r="G9706" s="4" t="s">
        <v>49257</v>
      </c>
      <c r="H9706" s="3" t="s">
        <v>46910</v>
      </c>
      <c r="I9706" s="3" t="s">
        <v>987</v>
      </c>
      <c r="J9706" s="3" t="s">
        <v>3173</v>
      </c>
      <c r="K9706" s="3" t="s">
        <v>49258</v>
      </c>
      <c r="L9706" s="3" t="s">
        <v>49259</v>
      </c>
      <c r="M9706" s="4"/>
      <c r="N9706" s="3" t="s">
        <v>37</v>
      </c>
      <c r="O9706" s="3" t="s">
        <v>52</v>
      </c>
      <c r="P9706" s="5">
        <v>11</v>
      </c>
      <c r="Q9706" s="5">
        <v>110</v>
      </c>
      <c r="R9706" s="5">
        <v>11</v>
      </c>
      <c r="S9706" s="5">
        <v>107</v>
      </c>
    </row>
    <row r="9707" spans="1:19" ht="28" x14ac:dyDescent="0.15">
      <c r="A9707" s="2">
        <f>HYPERLINK("https://open-school.uspishnemisto.com.ua/school/510540/", 510540)</f>
        <v>510540</v>
      </c>
      <c r="B9707" s="3" t="s">
        <v>49260</v>
      </c>
      <c r="C9707" s="3" t="s">
        <v>31</v>
      </c>
      <c r="D9707" s="3" t="s">
        <v>32</v>
      </c>
      <c r="E9707" s="4" t="s">
        <v>22</v>
      </c>
      <c r="F9707" s="4" t="s">
        <v>49261</v>
      </c>
      <c r="G9707" s="4" t="s">
        <v>49262</v>
      </c>
      <c r="H9707" s="3" t="s">
        <v>46910</v>
      </c>
      <c r="I9707" s="3" t="s">
        <v>17591</v>
      </c>
      <c r="J9707" s="3" t="s">
        <v>466</v>
      </c>
      <c r="K9707" s="3" t="s">
        <v>49263</v>
      </c>
      <c r="L9707" s="3"/>
      <c r="M9707" s="4"/>
      <c r="N9707" s="3" t="s">
        <v>37</v>
      </c>
      <c r="O9707" s="3" t="s">
        <v>52</v>
      </c>
      <c r="P9707" s="5">
        <v>10</v>
      </c>
      <c r="Q9707" s="5">
        <v>93</v>
      </c>
      <c r="R9707" s="5">
        <v>10</v>
      </c>
      <c r="S9707" s="5">
        <v>95</v>
      </c>
    </row>
    <row r="9708" spans="1:19" ht="56" x14ac:dyDescent="0.15">
      <c r="A9708" s="2">
        <f>HYPERLINK("https://open-school.uspishnemisto.com.ua/school/510541/", 510541)</f>
        <v>510541</v>
      </c>
      <c r="B9708" s="3" t="s">
        <v>49264</v>
      </c>
      <c r="C9708" s="3" t="s">
        <v>54</v>
      </c>
      <c r="D9708" s="3" t="s">
        <v>175</v>
      </c>
      <c r="E9708" s="4" t="s">
        <v>22</v>
      </c>
      <c r="F9708" s="4" t="s">
        <v>49265</v>
      </c>
      <c r="G9708" s="4" t="s">
        <v>49266</v>
      </c>
      <c r="H9708" s="3" t="s">
        <v>46910</v>
      </c>
      <c r="I9708" s="3" t="s">
        <v>49267</v>
      </c>
      <c r="J9708" s="3" t="s">
        <v>2191</v>
      </c>
      <c r="K9708" s="3" t="s">
        <v>49268</v>
      </c>
      <c r="L9708" s="3"/>
      <c r="M9708" s="4"/>
      <c r="N9708" s="3" t="s">
        <v>37</v>
      </c>
      <c r="O9708" s="3" t="s">
        <v>618</v>
      </c>
      <c r="P9708" s="5">
        <v>5</v>
      </c>
      <c r="Q9708" s="5">
        <v>46</v>
      </c>
      <c r="R9708" s="5">
        <v>6</v>
      </c>
      <c r="S9708" s="5">
        <v>48</v>
      </c>
    </row>
    <row r="9709" spans="1:19" ht="42" x14ac:dyDescent="0.15">
      <c r="A9709" s="2">
        <f>HYPERLINK("https://open-school.uspishnemisto.com.ua/school/510542/", 510542)</f>
        <v>510542</v>
      </c>
      <c r="B9709" s="3" t="s">
        <v>49269</v>
      </c>
      <c r="C9709" s="3" t="s">
        <v>31</v>
      </c>
      <c r="D9709" s="3" t="s">
        <v>32</v>
      </c>
      <c r="E9709" s="4" t="s">
        <v>22</v>
      </c>
      <c r="F9709" s="4" t="s">
        <v>49270</v>
      </c>
      <c r="G9709" s="4" t="s">
        <v>49271</v>
      </c>
      <c r="H9709" s="3" t="s">
        <v>46910</v>
      </c>
      <c r="I9709" s="3" t="s">
        <v>49272</v>
      </c>
      <c r="J9709" s="3" t="s">
        <v>49273</v>
      </c>
      <c r="K9709" s="3" t="s">
        <v>49274</v>
      </c>
      <c r="L9709" s="3"/>
      <c r="M9709" s="4"/>
      <c r="N9709" s="3" t="s">
        <v>37</v>
      </c>
      <c r="O9709" s="3" t="s">
        <v>52</v>
      </c>
      <c r="P9709" s="5">
        <v>11</v>
      </c>
      <c r="Q9709" s="5">
        <v>113</v>
      </c>
      <c r="R9709" s="5">
        <v>11</v>
      </c>
      <c r="S9709" s="5">
        <v>112</v>
      </c>
    </row>
    <row r="9710" spans="1:19" ht="42" x14ac:dyDescent="0.15">
      <c r="A9710" s="2">
        <f>HYPERLINK("https://open-school.uspishnemisto.com.ua/school/510543/", 510543)</f>
        <v>510543</v>
      </c>
      <c r="B9710" s="3" t="s">
        <v>49275</v>
      </c>
      <c r="C9710" s="3" t="s">
        <v>54</v>
      </c>
      <c r="D9710" s="3" t="s">
        <v>32</v>
      </c>
      <c r="E9710" s="4" t="s">
        <v>22</v>
      </c>
      <c r="F9710" s="4" t="s">
        <v>49276</v>
      </c>
      <c r="G9710" s="4" t="s">
        <v>49277</v>
      </c>
      <c r="H9710" s="3" t="s">
        <v>46910</v>
      </c>
      <c r="I9710" s="3" t="s">
        <v>49278</v>
      </c>
      <c r="J9710" s="3" t="s">
        <v>49279</v>
      </c>
      <c r="K9710" s="3" t="s">
        <v>49280</v>
      </c>
      <c r="L9710" s="3"/>
      <c r="M9710" s="4"/>
      <c r="N9710" s="3" t="s">
        <v>37</v>
      </c>
      <c r="O9710" s="3" t="s">
        <v>38</v>
      </c>
      <c r="P9710" s="5">
        <v>31</v>
      </c>
      <c r="Q9710" s="5">
        <v>781</v>
      </c>
      <c r="R9710" s="5">
        <v>34</v>
      </c>
      <c r="S9710" s="5">
        <v>798</v>
      </c>
    </row>
    <row r="9711" spans="1:19" ht="42" x14ac:dyDescent="0.15">
      <c r="A9711" s="2">
        <f>HYPERLINK("https://open-school.uspishnemisto.com.ua/school/510544/", 510544)</f>
        <v>510544</v>
      </c>
      <c r="B9711" s="3" t="s">
        <v>49281</v>
      </c>
      <c r="C9711" s="3" t="s">
        <v>54</v>
      </c>
      <c r="D9711" s="3" t="s">
        <v>175</v>
      </c>
      <c r="E9711" s="4" t="s">
        <v>22</v>
      </c>
      <c r="F9711" s="4" t="s">
        <v>49282</v>
      </c>
      <c r="G9711" s="4" t="s">
        <v>49283</v>
      </c>
      <c r="H9711" s="3" t="s">
        <v>46910</v>
      </c>
      <c r="I9711" s="3" t="s">
        <v>49284</v>
      </c>
      <c r="J9711" s="3" t="s">
        <v>49285</v>
      </c>
      <c r="K9711" s="3"/>
      <c r="L9711" s="3"/>
      <c r="M9711" s="4"/>
      <c r="N9711" s="3" t="s">
        <v>37</v>
      </c>
      <c r="O9711" s="3" t="s">
        <v>70</v>
      </c>
      <c r="P9711" s="5">
        <v>8</v>
      </c>
      <c r="Q9711" s="5">
        <v>59</v>
      </c>
      <c r="R9711" s="5">
        <v>6</v>
      </c>
      <c r="S9711" s="5">
        <v>49</v>
      </c>
    </row>
    <row r="9712" spans="1:19" ht="56" x14ac:dyDescent="0.15">
      <c r="A9712" s="2">
        <f>HYPERLINK("https://open-school.uspishnemisto.com.ua/school/510545/", 510545)</f>
        <v>510545</v>
      </c>
      <c r="B9712" s="3" t="s">
        <v>49286</v>
      </c>
      <c r="C9712" s="3" t="s">
        <v>54</v>
      </c>
      <c r="D9712" s="3" t="s">
        <v>175</v>
      </c>
      <c r="E9712" s="4" t="s">
        <v>22</v>
      </c>
      <c r="F9712" s="4" t="s">
        <v>49287</v>
      </c>
      <c r="G9712" s="4" t="s">
        <v>49288</v>
      </c>
      <c r="H9712" s="3" t="s">
        <v>46910</v>
      </c>
      <c r="I9712" s="3" t="s">
        <v>49289</v>
      </c>
      <c r="J9712" s="3" t="s">
        <v>29445</v>
      </c>
      <c r="K9712" s="3" t="s">
        <v>49290</v>
      </c>
      <c r="L9712" s="3"/>
      <c r="M9712" s="4"/>
      <c r="N9712" s="3" t="s">
        <v>37</v>
      </c>
      <c r="O9712" s="3" t="s">
        <v>38</v>
      </c>
      <c r="P9712" s="5">
        <v>9</v>
      </c>
      <c r="Q9712" s="5">
        <v>78</v>
      </c>
      <c r="R9712" s="5">
        <v>9</v>
      </c>
      <c r="S9712" s="5">
        <v>65</v>
      </c>
    </row>
    <row r="9713" spans="1:19" ht="28" x14ac:dyDescent="0.15">
      <c r="A9713" s="2">
        <f>HYPERLINK("https://open-school.uspishnemisto.com.ua/school/510546/", 510546)</f>
        <v>510546</v>
      </c>
      <c r="B9713" s="3" t="s">
        <v>49291</v>
      </c>
      <c r="C9713" s="3" t="s">
        <v>31</v>
      </c>
      <c r="D9713" s="3" t="s">
        <v>32</v>
      </c>
      <c r="E9713" s="4" t="s">
        <v>22</v>
      </c>
      <c r="F9713" s="4" t="s">
        <v>49292</v>
      </c>
      <c r="G9713" s="4" t="s">
        <v>49293</v>
      </c>
      <c r="H9713" s="3" t="s">
        <v>46910</v>
      </c>
      <c r="I9713" s="3" t="s">
        <v>49294</v>
      </c>
      <c r="J9713" s="3" t="s">
        <v>49295</v>
      </c>
      <c r="K9713" s="3"/>
      <c r="L9713" s="3"/>
      <c r="M9713" s="4"/>
      <c r="N9713" s="3" t="s">
        <v>128</v>
      </c>
      <c r="O9713" s="3" t="s">
        <v>38</v>
      </c>
      <c r="P9713" s="5">
        <v>28</v>
      </c>
      <c r="Q9713" s="5">
        <v>590</v>
      </c>
      <c r="R9713" s="5">
        <v>27</v>
      </c>
      <c r="S9713" s="5">
        <v>591</v>
      </c>
    </row>
    <row r="9714" spans="1:19" ht="28" x14ac:dyDescent="0.15">
      <c r="A9714" s="2">
        <f>HYPERLINK("https://open-school.uspishnemisto.com.ua/school/510547/", 510547)</f>
        <v>510547</v>
      </c>
      <c r="B9714" s="3" t="s">
        <v>49296</v>
      </c>
      <c r="C9714" s="3" t="s">
        <v>31</v>
      </c>
      <c r="D9714" s="3" t="s">
        <v>175</v>
      </c>
      <c r="E9714" s="4" t="s">
        <v>22</v>
      </c>
      <c r="F9714" s="4" t="s">
        <v>49297</v>
      </c>
      <c r="G9714" s="4" t="s">
        <v>49298</v>
      </c>
      <c r="H9714" s="3" t="s">
        <v>46910</v>
      </c>
      <c r="I9714" s="3" t="s">
        <v>12070</v>
      </c>
      <c r="J9714" s="3" t="s">
        <v>23861</v>
      </c>
      <c r="K9714" s="3" t="s">
        <v>49299</v>
      </c>
      <c r="L9714" s="3"/>
      <c r="M9714" s="4"/>
      <c r="N9714" s="3" t="s">
        <v>37</v>
      </c>
      <c r="O9714" s="3" t="s">
        <v>38</v>
      </c>
      <c r="P9714" s="5">
        <v>9</v>
      </c>
      <c r="Q9714" s="5">
        <v>127</v>
      </c>
      <c r="R9714" s="5">
        <v>9</v>
      </c>
      <c r="S9714" s="5">
        <v>117</v>
      </c>
    </row>
    <row r="9715" spans="1:19" ht="28" x14ac:dyDescent="0.15">
      <c r="A9715" s="2">
        <f>HYPERLINK("https://open-school.uspishnemisto.com.ua/school/510548/", 510548)</f>
        <v>510548</v>
      </c>
      <c r="B9715" s="3" t="s">
        <v>49300</v>
      </c>
      <c r="C9715" s="3" t="s">
        <v>31</v>
      </c>
      <c r="D9715" s="3" t="s">
        <v>32</v>
      </c>
      <c r="E9715" s="4" t="s">
        <v>22</v>
      </c>
      <c r="F9715" s="4" t="s">
        <v>49301</v>
      </c>
      <c r="G9715" s="4" t="s">
        <v>49302</v>
      </c>
      <c r="H9715" s="3" t="s">
        <v>46910</v>
      </c>
      <c r="I9715" s="3" t="s">
        <v>1291</v>
      </c>
      <c r="J9715" s="3" t="s">
        <v>49303</v>
      </c>
      <c r="K9715" s="3" t="s">
        <v>49304</v>
      </c>
      <c r="L9715" s="3"/>
      <c r="M9715" s="4"/>
      <c r="N9715" s="3" t="s">
        <v>37</v>
      </c>
      <c r="O9715" s="3" t="s">
        <v>38</v>
      </c>
      <c r="P9715" s="5">
        <v>22</v>
      </c>
      <c r="Q9715" s="5">
        <v>432</v>
      </c>
      <c r="R9715" s="5">
        <v>21</v>
      </c>
      <c r="S9715" s="5">
        <v>399</v>
      </c>
    </row>
    <row r="9716" spans="1:19" ht="28" x14ac:dyDescent="0.15">
      <c r="A9716" s="2">
        <f>HYPERLINK("https://open-school.uspishnemisto.com.ua/school/510549/", 510549)</f>
        <v>510549</v>
      </c>
      <c r="B9716" s="3" t="s">
        <v>49305</v>
      </c>
      <c r="C9716" s="3" t="s">
        <v>31</v>
      </c>
      <c r="D9716" s="3" t="s">
        <v>60</v>
      </c>
      <c r="E9716" s="4" t="s">
        <v>22</v>
      </c>
      <c r="F9716" s="4" t="s">
        <v>49301</v>
      </c>
      <c r="G9716" s="4" t="s">
        <v>49306</v>
      </c>
      <c r="H9716" s="3" t="s">
        <v>46910</v>
      </c>
      <c r="I9716" s="3" t="s">
        <v>15606</v>
      </c>
      <c r="J9716" s="3" t="s">
        <v>49307</v>
      </c>
      <c r="K9716" s="3" t="s">
        <v>49308</v>
      </c>
      <c r="L9716" s="3"/>
      <c r="M9716" s="4"/>
      <c r="N9716" s="3" t="s">
        <v>37</v>
      </c>
      <c r="O9716" s="3" t="s">
        <v>38</v>
      </c>
      <c r="P9716" s="5">
        <v>4</v>
      </c>
      <c r="Q9716" s="5">
        <v>63</v>
      </c>
      <c r="R9716" s="5">
        <v>4</v>
      </c>
      <c r="S9716" s="5">
        <v>55</v>
      </c>
    </row>
    <row r="9717" spans="1:19" ht="28" x14ac:dyDescent="0.15">
      <c r="A9717" s="2">
        <f>HYPERLINK("https://open-school.uspishnemisto.com.ua/school/510550/", 510550)</f>
        <v>510550</v>
      </c>
      <c r="B9717" s="3" t="s">
        <v>49309</v>
      </c>
      <c r="C9717" s="3" t="s">
        <v>31</v>
      </c>
      <c r="D9717" s="3" t="s">
        <v>32</v>
      </c>
      <c r="E9717" s="4" t="s">
        <v>22</v>
      </c>
      <c r="F9717" s="4" t="s">
        <v>49310</v>
      </c>
      <c r="G9717" s="4" t="s">
        <v>49311</v>
      </c>
      <c r="H9717" s="3" t="s">
        <v>46910</v>
      </c>
      <c r="I9717" s="3" t="s">
        <v>49312</v>
      </c>
      <c r="J9717" s="3" t="s">
        <v>49313</v>
      </c>
      <c r="K9717" s="3" t="s">
        <v>49314</v>
      </c>
      <c r="L9717" s="3"/>
      <c r="M9717" s="4"/>
      <c r="N9717" s="3" t="s">
        <v>37</v>
      </c>
      <c r="O9717" s="3" t="s">
        <v>38</v>
      </c>
      <c r="P9717" s="5">
        <v>10</v>
      </c>
      <c r="Q9717" s="5">
        <v>194</v>
      </c>
      <c r="R9717" s="5">
        <v>10</v>
      </c>
      <c r="S9717" s="5">
        <v>194</v>
      </c>
    </row>
    <row r="9718" spans="1:19" ht="56" x14ac:dyDescent="0.15">
      <c r="A9718" s="2">
        <f>HYPERLINK("https://open-school.uspishnemisto.com.ua/school/510551/", 510551)</f>
        <v>510551</v>
      </c>
      <c r="B9718" s="3" t="s">
        <v>49315</v>
      </c>
      <c r="C9718" s="3" t="s">
        <v>54</v>
      </c>
      <c r="D9718" s="3" t="s">
        <v>175</v>
      </c>
      <c r="E9718" s="4" t="s">
        <v>22</v>
      </c>
      <c r="F9718" s="4" t="s">
        <v>49316</v>
      </c>
      <c r="G9718" s="4" t="s">
        <v>49317</v>
      </c>
      <c r="H9718" s="3" t="s">
        <v>46910</v>
      </c>
      <c r="I9718" s="3" t="s">
        <v>11923</v>
      </c>
      <c r="J9718" s="3" t="s">
        <v>31719</v>
      </c>
      <c r="K9718" s="3" t="s">
        <v>49318</v>
      </c>
      <c r="L9718" s="3"/>
      <c r="M9718" s="4"/>
      <c r="N9718" s="3" t="s">
        <v>37</v>
      </c>
      <c r="O9718" s="3" t="s">
        <v>38</v>
      </c>
      <c r="P9718" s="5">
        <v>8</v>
      </c>
      <c r="Q9718" s="5">
        <v>63</v>
      </c>
      <c r="R9718" s="5">
        <v>8</v>
      </c>
      <c r="S9718" s="5">
        <v>63</v>
      </c>
    </row>
    <row r="9719" spans="1:19" ht="42" x14ac:dyDescent="0.15">
      <c r="A9719" s="2">
        <f>HYPERLINK("https://open-school.uspishnemisto.com.ua/school/510552/", 510552)</f>
        <v>510552</v>
      </c>
      <c r="B9719" s="3" t="s">
        <v>49319</v>
      </c>
      <c r="C9719" s="3" t="s">
        <v>54</v>
      </c>
      <c r="D9719" s="3" t="s">
        <v>175</v>
      </c>
      <c r="E9719" s="4" t="s">
        <v>22</v>
      </c>
      <c r="F9719" s="4" t="s">
        <v>49301</v>
      </c>
      <c r="G9719" s="4" t="s">
        <v>49320</v>
      </c>
      <c r="H9719" s="3" t="s">
        <v>46910</v>
      </c>
      <c r="I9719" s="3" t="s">
        <v>49321</v>
      </c>
      <c r="J9719" s="3" t="s">
        <v>49322</v>
      </c>
      <c r="K9719" s="3" t="s">
        <v>49323</v>
      </c>
      <c r="L9719" s="3"/>
      <c r="M9719" s="4"/>
      <c r="N9719" s="3" t="s">
        <v>37</v>
      </c>
      <c r="O9719" s="3" t="s">
        <v>38</v>
      </c>
      <c r="P9719" s="5">
        <v>8</v>
      </c>
      <c r="Q9719" s="5">
        <v>67</v>
      </c>
      <c r="R9719" s="5">
        <v>8</v>
      </c>
      <c r="S9719" s="5">
        <v>70</v>
      </c>
    </row>
    <row r="9720" spans="1:19" ht="56" x14ac:dyDescent="0.15">
      <c r="A9720" s="2">
        <f>HYPERLINK("https://open-school.uspishnemisto.com.ua/school/510553/", 510553)</f>
        <v>510553</v>
      </c>
      <c r="B9720" s="3" t="s">
        <v>49324</v>
      </c>
      <c r="C9720" s="3" t="s">
        <v>54</v>
      </c>
      <c r="D9720" s="3" t="s">
        <v>175</v>
      </c>
      <c r="E9720" s="4" t="s">
        <v>22</v>
      </c>
      <c r="F9720" s="4" t="s">
        <v>49325</v>
      </c>
      <c r="G9720" s="4" t="s">
        <v>49326</v>
      </c>
      <c r="H9720" s="3" t="s">
        <v>46910</v>
      </c>
      <c r="I9720" s="3" t="s">
        <v>1803</v>
      </c>
      <c r="J9720" s="3" t="s">
        <v>49327</v>
      </c>
      <c r="K9720" s="3" t="s">
        <v>49328</v>
      </c>
      <c r="L9720" s="3"/>
      <c r="M9720" s="4"/>
      <c r="N9720" s="3" t="s">
        <v>37</v>
      </c>
      <c r="O9720" s="3" t="s">
        <v>38</v>
      </c>
      <c r="P9720" s="5">
        <v>8</v>
      </c>
      <c r="Q9720" s="5">
        <v>60</v>
      </c>
      <c r="R9720" s="5">
        <v>8</v>
      </c>
      <c r="S9720" s="5">
        <v>60</v>
      </c>
    </row>
    <row r="9721" spans="1:19" ht="28" x14ac:dyDescent="0.15">
      <c r="A9721" s="2">
        <f>HYPERLINK("https://open-school.uspishnemisto.com.ua/school/510554/", 510554)</f>
        <v>510554</v>
      </c>
      <c r="B9721" s="3" t="s">
        <v>49329</v>
      </c>
      <c r="C9721" s="3" t="s">
        <v>31</v>
      </c>
      <c r="D9721" s="3" t="s">
        <v>32</v>
      </c>
      <c r="E9721" s="4" t="s">
        <v>22</v>
      </c>
      <c r="F9721" s="4" t="s">
        <v>49330</v>
      </c>
      <c r="G9721" s="4" t="s">
        <v>49331</v>
      </c>
      <c r="H9721" s="3" t="s">
        <v>46910</v>
      </c>
      <c r="I9721" s="3" t="s">
        <v>49332</v>
      </c>
      <c r="J9721" s="3" t="s">
        <v>19218</v>
      </c>
      <c r="K9721" s="3" t="s">
        <v>49333</v>
      </c>
      <c r="L9721" s="3"/>
      <c r="M9721" s="4"/>
      <c r="N9721" s="3" t="s">
        <v>37</v>
      </c>
      <c r="O9721" s="3" t="s">
        <v>38</v>
      </c>
      <c r="P9721" s="5">
        <v>11</v>
      </c>
      <c r="Q9721" s="5">
        <v>140</v>
      </c>
      <c r="R9721" s="5">
        <v>11</v>
      </c>
      <c r="S9721" s="5">
        <v>147</v>
      </c>
    </row>
    <row r="9722" spans="1:19" ht="56" x14ac:dyDescent="0.15">
      <c r="A9722" s="2">
        <f>HYPERLINK("https://open-school.uspishnemisto.com.ua/school/510555/", 510555)</f>
        <v>510555</v>
      </c>
      <c r="B9722" s="3" t="s">
        <v>49334</v>
      </c>
      <c r="C9722" s="3" t="s">
        <v>54</v>
      </c>
      <c r="D9722" s="3" t="s">
        <v>175</v>
      </c>
      <c r="E9722" s="4" t="s">
        <v>22</v>
      </c>
      <c r="F9722" s="4" t="s">
        <v>49335</v>
      </c>
      <c r="G9722" s="4" t="s">
        <v>49336</v>
      </c>
      <c r="H9722" s="3" t="s">
        <v>46910</v>
      </c>
      <c r="I9722" s="3" t="s">
        <v>46166</v>
      </c>
      <c r="J9722" s="3" t="s">
        <v>952</v>
      </c>
      <c r="K9722" s="3" t="s">
        <v>49337</v>
      </c>
      <c r="L9722" s="3"/>
      <c r="M9722" s="4"/>
      <c r="N9722" s="3" t="s">
        <v>37</v>
      </c>
      <c r="O9722" s="3" t="s">
        <v>38</v>
      </c>
      <c r="P9722" s="5">
        <v>6</v>
      </c>
      <c r="Q9722" s="5">
        <v>58</v>
      </c>
      <c r="R9722" s="5">
        <v>6</v>
      </c>
      <c r="S9722" s="5">
        <v>52</v>
      </c>
    </row>
    <row r="9723" spans="1:19" ht="56" x14ac:dyDescent="0.15">
      <c r="A9723" s="2">
        <f>HYPERLINK("https://open-school.uspishnemisto.com.ua/school/510556/", 510556)</f>
        <v>510556</v>
      </c>
      <c r="B9723" s="3" t="s">
        <v>49338</v>
      </c>
      <c r="C9723" s="3" t="s">
        <v>54</v>
      </c>
      <c r="D9723" s="3" t="s">
        <v>175</v>
      </c>
      <c r="E9723" s="4" t="s">
        <v>22</v>
      </c>
      <c r="F9723" s="4" t="s">
        <v>49339</v>
      </c>
      <c r="G9723" s="4" t="s">
        <v>49340</v>
      </c>
      <c r="H9723" s="3" t="s">
        <v>46910</v>
      </c>
      <c r="I9723" s="3" t="s">
        <v>49341</v>
      </c>
      <c r="J9723" s="3" t="s">
        <v>946</v>
      </c>
      <c r="K9723" s="3" t="s">
        <v>49342</v>
      </c>
      <c r="L9723" s="3"/>
      <c r="M9723" s="4"/>
      <c r="N9723" s="3" t="s">
        <v>37</v>
      </c>
      <c r="O9723" s="3" t="s">
        <v>38</v>
      </c>
      <c r="P9723" s="5">
        <v>9</v>
      </c>
      <c r="Q9723" s="5">
        <v>69</v>
      </c>
      <c r="R9723" s="5">
        <v>8</v>
      </c>
      <c r="S9723" s="5">
        <v>65</v>
      </c>
    </row>
    <row r="9724" spans="1:19" ht="42" x14ac:dyDescent="0.15">
      <c r="A9724" s="2">
        <f>HYPERLINK("https://open-school.uspishnemisto.com.ua/school/510557/", 510557)</f>
        <v>510557</v>
      </c>
      <c r="B9724" s="3" t="s">
        <v>49343</v>
      </c>
      <c r="C9724" s="3" t="s">
        <v>31</v>
      </c>
      <c r="D9724" s="3" t="s">
        <v>32</v>
      </c>
      <c r="E9724" s="4" t="s">
        <v>22</v>
      </c>
      <c r="F9724" s="4" t="s">
        <v>49344</v>
      </c>
      <c r="G9724" s="4" t="s">
        <v>49345</v>
      </c>
      <c r="H9724" s="3" t="s">
        <v>46910</v>
      </c>
      <c r="I9724" s="3" t="s">
        <v>656</v>
      </c>
      <c r="J9724" s="3" t="s">
        <v>466</v>
      </c>
      <c r="K9724" s="3" t="s">
        <v>49346</v>
      </c>
      <c r="L9724" s="3"/>
      <c r="M9724" s="4"/>
      <c r="N9724" s="3" t="s">
        <v>37</v>
      </c>
      <c r="O9724" s="3" t="s">
        <v>38</v>
      </c>
      <c r="P9724" s="5">
        <v>24</v>
      </c>
      <c r="Q9724" s="5">
        <v>627</v>
      </c>
      <c r="R9724" s="5">
        <v>23</v>
      </c>
      <c r="S9724" s="5">
        <v>597</v>
      </c>
    </row>
    <row r="9725" spans="1:19" ht="56" x14ac:dyDescent="0.15">
      <c r="A9725" s="2">
        <f>HYPERLINK("https://open-school.uspishnemisto.com.ua/school/510558/", 510558)</f>
        <v>510558</v>
      </c>
      <c r="B9725" s="3" t="s">
        <v>49347</v>
      </c>
      <c r="C9725" s="3" t="s">
        <v>54</v>
      </c>
      <c r="D9725" s="3" t="s">
        <v>175</v>
      </c>
      <c r="E9725" s="4" t="s">
        <v>22</v>
      </c>
      <c r="F9725" s="4" t="s">
        <v>49348</v>
      </c>
      <c r="G9725" s="4" t="s">
        <v>49349</v>
      </c>
      <c r="H9725" s="3" t="s">
        <v>46910</v>
      </c>
      <c r="I9725" s="3" t="s">
        <v>49350</v>
      </c>
      <c r="J9725" s="3" t="s">
        <v>49351</v>
      </c>
      <c r="K9725" s="3" t="s">
        <v>49352</v>
      </c>
      <c r="L9725" s="3"/>
      <c r="M9725" s="4"/>
      <c r="N9725" s="3" t="s">
        <v>37</v>
      </c>
      <c r="O9725" s="3" t="s">
        <v>38</v>
      </c>
      <c r="P9725" s="5">
        <v>9</v>
      </c>
      <c r="Q9725" s="5">
        <v>132</v>
      </c>
      <c r="R9725" s="5">
        <v>9</v>
      </c>
      <c r="S9725" s="5">
        <v>121</v>
      </c>
    </row>
    <row r="9726" spans="1:19" ht="42" x14ac:dyDescent="0.15">
      <c r="A9726" s="2">
        <f>HYPERLINK("https://open-school.uspishnemisto.com.ua/school/510559/", 510559)</f>
        <v>510559</v>
      </c>
      <c r="B9726" s="3" t="s">
        <v>49353</v>
      </c>
      <c r="C9726" s="3" t="s">
        <v>31</v>
      </c>
      <c r="D9726" s="3" t="s">
        <v>175</v>
      </c>
      <c r="E9726" s="4" t="s">
        <v>22</v>
      </c>
      <c r="F9726" s="4" t="s">
        <v>49354</v>
      </c>
      <c r="G9726" s="4" t="s">
        <v>49355</v>
      </c>
      <c r="H9726" s="3" t="s">
        <v>46910</v>
      </c>
      <c r="I9726" s="3" t="s">
        <v>49356</v>
      </c>
      <c r="J9726" s="3" t="s">
        <v>49357</v>
      </c>
      <c r="K9726" s="3" t="s">
        <v>49358</v>
      </c>
      <c r="L9726" s="3" t="s">
        <v>49359</v>
      </c>
      <c r="M9726" s="4"/>
      <c r="N9726" s="3" t="s">
        <v>37</v>
      </c>
      <c r="O9726" s="3" t="s">
        <v>52</v>
      </c>
      <c r="P9726" s="5">
        <v>9</v>
      </c>
      <c r="Q9726" s="5">
        <v>68</v>
      </c>
      <c r="R9726" s="5">
        <v>9</v>
      </c>
      <c r="S9726" s="5">
        <v>68</v>
      </c>
    </row>
    <row r="9727" spans="1:19" ht="42" x14ac:dyDescent="0.15">
      <c r="A9727" s="2">
        <f>HYPERLINK("https://open-school.uspishnemisto.com.ua/school/510560/", 510560)</f>
        <v>510560</v>
      </c>
      <c r="B9727" s="3" t="s">
        <v>49360</v>
      </c>
      <c r="C9727" s="3" t="s">
        <v>31</v>
      </c>
      <c r="D9727" s="3" t="s">
        <v>60</v>
      </c>
      <c r="E9727" s="4" t="s">
        <v>22</v>
      </c>
      <c r="F9727" s="4" t="s">
        <v>49361</v>
      </c>
      <c r="G9727" s="4" t="s">
        <v>49362</v>
      </c>
      <c r="H9727" s="3" t="s">
        <v>46910</v>
      </c>
      <c r="I9727" s="3" t="s">
        <v>24591</v>
      </c>
      <c r="J9727" s="3" t="s">
        <v>726</v>
      </c>
      <c r="K9727" s="3" t="s">
        <v>49363</v>
      </c>
      <c r="L9727" s="3"/>
      <c r="M9727" s="4"/>
      <c r="N9727" s="3" t="s">
        <v>37</v>
      </c>
      <c r="O9727" s="3" t="s">
        <v>112</v>
      </c>
      <c r="P9727" s="5">
        <v>1</v>
      </c>
      <c r="Q9727" s="5">
        <v>12</v>
      </c>
      <c r="R9727" s="5">
        <v>1</v>
      </c>
      <c r="S9727" s="5">
        <v>15</v>
      </c>
    </row>
    <row r="9728" spans="1:19" ht="28" x14ac:dyDescent="0.15">
      <c r="A9728" s="2">
        <f>HYPERLINK("https://open-school.uspishnemisto.com.ua/school/510561/", 510561)</f>
        <v>510561</v>
      </c>
      <c r="B9728" s="3" t="s">
        <v>49364</v>
      </c>
      <c r="C9728" s="3" t="s">
        <v>31</v>
      </c>
      <c r="D9728" s="3" t="s">
        <v>32</v>
      </c>
      <c r="E9728" s="4" t="s">
        <v>22</v>
      </c>
      <c r="F9728" s="4" t="s">
        <v>49361</v>
      </c>
      <c r="G9728" s="4" t="s">
        <v>49365</v>
      </c>
      <c r="H9728" s="3" t="s">
        <v>46910</v>
      </c>
      <c r="I9728" s="3" t="s">
        <v>49366</v>
      </c>
      <c r="J9728" s="3" t="s">
        <v>12191</v>
      </c>
      <c r="K9728" s="3" t="s">
        <v>49367</v>
      </c>
      <c r="L9728" s="3"/>
      <c r="M9728" s="4"/>
      <c r="N9728" s="3" t="s">
        <v>37</v>
      </c>
      <c r="O9728" s="3" t="s">
        <v>70</v>
      </c>
      <c r="P9728" s="5">
        <v>19</v>
      </c>
      <c r="Q9728" s="5">
        <v>360</v>
      </c>
      <c r="R9728" s="5">
        <v>18</v>
      </c>
      <c r="S9728" s="5">
        <v>343</v>
      </c>
    </row>
    <row r="9729" spans="1:19" ht="28" x14ac:dyDescent="0.15">
      <c r="A9729" s="2">
        <f>HYPERLINK("https://open-school.uspishnemisto.com.ua/school/510562/", 510562)</f>
        <v>510562</v>
      </c>
      <c r="B9729" s="3" t="s">
        <v>49368</v>
      </c>
      <c r="C9729" s="3" t="s">
        <v>31</v>
      </c>
      <c r="D9729" s="3" t="s">
        <v>60</v>
      </c>
      <c r="E9729" s="4" t="s">
        <v>22</v>
      </c>
      <c r="F9729" s="4" t="s">
        <v>49361</v>
      </c>
      <c r="G9729" s="4" t="s">
        <v>49369</v>
      </c>
      <c r="H9729" s="3" t="s">
        <v>46910</v>
      </c>
      <c r="I9729" s="3" t="s">
        <v>5088</v>
      </c>
      <c r="J9729" s="3" t="s">
        <v>2820</v>
      </c>
      <c r="K9729" s="3" t="s">
        <v>49370</v>
      </c>
      <c r="L9729" s="3"/>
      <c r="M9729" s="4"/>
      <c r="N9729" s="3" t="s">
        <v>37</v>
      </c>
      <c r="O9729" s="3" t="s">
        <v>112</v>
      </c>
      <c r="P9729" s="5">
        <v>1</v>
      </c>
      <c r="Q9729" s="5">
        <v>11</v>
      </c>
      <c r="R9729" s="5">
        <v>1</v>
      </c>
      <c r="S9729" s="5">
        <v>9</v>
      </c>
    </row>
    <row r="9730" spans="1:19" ht="28" x14ac:dyDescent="0.15">
      <c r="A9730" s="2">
        <f>HYPERLINK("https://open-school.uspishnemisto.com.ua/school/510563/", 510563)</f>
        <v>510563</v>
      </c>
      <c r="B9730" s="3" t="s">
        <v>49371</v>
      </c>
      <c r="C9730" s="3" t="s">
        <v>31</v>
      </c>
      <c r="D9730" s="3" t="s">
        <v>60</v>
      </c>
      <c r="E9730" s="4" t="s">
        <v>22</v>
      </c>
      <c r="F9730" s="4" t="s">
        <v>49361</v>
      </c>
      <c r="G9730" s="4" t="s">
        <v>49372</v>
      </c>
      <c r="H9730" s="3" t="s">
        <v>46910</v>
      </c>
      <c r="I9730" s="3" t="s">
        <v>49373</v>
      </c>
      <c r="J9730" s="3" t="s">
        <v>49374</v>
      </c>
      <c r="K9730" s="3" t="s">
        <v>49375</v>
      </c>
      <c r="L9730" s="3"/>
      <c r="M9730" s="4"/>
      <c r="N9730" s="3" t="s">
        <v>37</v>
      </c>
      <c r="O9730" s="3" t="s">
        <v>112</v>
      </c>
      <c r="P9730" s="5">
        <v>1</v>
      </c>
      <c r="Q9730" s="5">
        <v>8</v>
      </c>
      <c r="R9730" s="5">
        <v>1</v>
      </c>
      <c r="S9730" s="5">
        <v>7</v>
      </c>
    </row>
    <row r="9731" spans="1:19" ht="28" x14ac:dyDescent="0.15">
      <c r="A9731" s="2">
        <f>HYPERLINK("https://open-school.uspishnemisto.com.ua/school/510564/", 510564)</f>
        <v>510564</v>
      </c>
      <c r="B9731" s="3" t="s">
        <v>49376</v>
      </c>
      <c r="C9731" s="3" t="s">
        <v>31</v>
      </c>
      <c r="D9731" s="3" t="s">
        <v>60</v>
      </c>
      <c r="E9731" s="4" t="s">
        <v>22</v>
      </c>
      <c r="F9731" s="4" t="s">
        <v>49361</v>
      </c>
      <c r="G9731" s="4" t="s">
        <v>49377</v>
      </c>
      <c r="H9731" s="3" t="s">
        <v>46910</v>
      </c>
      <c r="I9731" s="3" t="s">
        <v>11305</v>
      </c>
      <c r="J9731" s="3" t="s">
        <v>2978</v>
      </c>
      <c r="K9731" s="3" t="s">
        <v>49378</v>
      </c>
      <c r="L9731" s="3"/>
      <c r="M9731" s="4"/>
      <c r="N9731" s="3" t="s">
        <v>37</v>
      </c>
      <c r="O9731" s="3" t="s">
        <v>112</v>
      </c>
      <c r="P9731" s="5">
        <v>0</v>
      </c>
      <c r="Q9731" s="5">
        <v>3</v>
      </c>
      <c r="R9731" s="5">
        <v>0</v>
      </c>
      <c r="S9731" s="5">
        <v>3</v>
      </c>
    </row>
    <row r="9732" spans="1:19" ht="56" x14ac:dyDescent="0.15">
      <c r="A9732" s="2">
        <f>HYPERLINK("https://open-school.uspishnemisto.com.ua/school/510565/", 510565)</f>
        <v>510565</v>
      </c>
      <c r="B9732" s="3" t="s">
        <v>49379</v>
      </c>
      <c r="C9732" s="3" t="s">
        <v>54</v>
      </c>
      <c r="D9732" s="3" t="s">
        <v>32</v>
      </c>
      <c r="E9732" s="4" t="s">
        <v>22</v>
      </c>
      <c r="F9732" s="4" t="s">
        <v>49380</v>
      </c>
      <c r="G9732" s="4" t="s">
        <v>49381</v>
      </c>
      <c r="H9732" s="3" t="s">
        <v>46910</v>
      </c>
      <c r="I9732" s="3" t="s">
        <v>49382</v>
      </c>
      <c r="J9732" s="3" t="s">
        <v>3173</v>
      </c>
      <c r="K9732" s="3" t="s">
        <v>49383</v>
      </c>
      <c r="L9732" s="3"/>
      <c r="M9732" s="4"/>
      <c r="N9732" s="3" t="s">
        <v>37</v>
      </c>
      <c r="O9732" s="3" t="s">
        <v>38</v>
      </c>
      <c r="P9732" s="5">
        <v>19</v>
      </c>
      <c r="Q9732" s="5">
        <v>404</v>
      </c>
      <c r="R9732" s="5">
        <v>19</v>
      </c>
      <c r="S9732" s="5">
        <v>372</v>
      </c>
    </row>
    <row r="9733" spans="1:19" ht="42" x14ac:dyDescent="0.15">
      <c r="A9733" s="2">
        <f>HYPERLINK("https://open-school.uspishnemisto.com.ua/school/510566/", 510566)</f>
        <v>510566</v>
      </c>
      <c r="B9733" s="3" t="s">
        <v>49384</v>
      </c>
      <c r="C9733" s="3" t="s">
        <v>54</v>
      </c>
      <c r="D9733" s="3" t="s">
        <v>175</v>
      </c>
      <c r="E9733" s="4" t="s">
        <v>22</v>
      </c>
      <c r="F9733" s="4" t="s">
        <v>49385</v>
      </c>
      <c r="G9733" s="4" t="s">
        <v>49386</v>
      </c>
      <c r="H9733" s="3" t="s">
        <v>46910</v>
      </c>
      <c r="I9733" s="3" t="s">
        <v>49387</v>
      </c>
      <c r="J9733" s="3" t="s">
        <v>49388</v>
      </c>
      <c r="K9733" s="3" t="s">
        <v>49389</v>
      </c>
      <c r="L9733" s="3"/>
      <c r="M9733" s="4"/>
      <c r="N9733" s="3" t="s">
        <v>37</v>
      </c>
      <c r="O9733" s="3" t="s">
        <v>112</v>
      </c>
      <c r="P9733" s="5">
        <v>9</v>
      </c>
      <c r="Q9733" s="5">
        <v>69</v>
      </c>
      <c r="R9733" s="5">
        <v>9</v>
      </c>
      <c r="S9733" s="5">
        <v>63</v>
      </c>
    </row>
    <row r="9734" spans="1:19" ht="28" x14ac:dyDescent="0.15">
      <c r="A9734" s="2">
        <f>HYPERLINK("https://open-school.uspishnemisto.com.ua/school/510567/", 510567)</f>
        <v>510567</v>
      </c>
      <c r="B9734" s="3" t="s">
        <v>49390</v>
      </c>
      <c r="C9734" s="3" t="s">
        <v>31</v>
      </c>
      <c r="D9734" s="3" t="s">
        <v>175</v>
      </c>
      <c r="E9734" s="4" t="s">
        <v>22</v>
      </c>
      <c r="F9734" s="4" t="s">
        <v>49391</v>
      </c>
      <c r="G9734" s="4" t="s">
        <v>49392</v>
      </c>
      <c r="H9734" s="3" t="s">
        <v>46910</v>
      </c>
      <c r="I9734" s="3" t="s">
        <v>49393</v>
      </c>
      <c r="J9734" s="3" t="s">
        <v>1857</v>
      </c>
      <c r="K9734" s="3" t="s">
        <v>49394</v>
      </c>
      <c r="L9734" s="3"/>
      <c r="M9734" s="4"/>
      <c r="N9734" s="3" t="s">
        <v>37</v>
      </c>
      <c r="O9734" s="3" t="s">
        <v>70</v>
      </c>
      <c r="P9734" s="5">
        <v>9</v>
      </c>
      <c r="Q9734" s="5">
        <v>142</v>
      </c>
      <c r="R9734" s="5">
        <v>9</v>
      </c>
      <c r="S9734" s="5">
        <v>141</v>
      </c>
    </row>
    <row r="9735" spans="1:19" ht="28" x14ac:dyDescent="0.15">
      <c r="A9735" s="2">
        <f>HYPERLINK("https://open-school.uspishnemisto.com.ua/school/510568/", 510568)</f>
        <v>510568</v>
      </c>
      <c r="B9735" s="3" t="s">
        <v>49395</v>
      </c>
      <c r="C9735" s="3" t="s">
        <v>31</v>
      </c>
      <c r="D9735" s="3" t="s">
        <v>175</v>
      </c>
      <c r="E9735" s="4" t="s">
        <v>22</v>
      </c>
      <c r="F9735" s="4" t="s">
        <v>49396</v>
      </c>
      <c r="G9735" s="4" t="s">
        <v>49397</v>
      </c>
      <c r="H9735" s="3" t="s">
        <v>46910</v>
      </c>
      <c r="I9735" s="3" t="s">
        <v>11119</v>
      </c>
      <c r="J9735" s="3" t="s">
        <v>21189</v>
      </c>
      <c r="K9735" s="3" t="s">
        <v>49398</v>
      </c>
      <c r="L9735" s="3"/>
      <c r="M9735" s="4"/>
      <c r="N9735" s="3" t="s">
        <v>37</v>
      </c>
      <c r="O9735" s="3" t="s">
        <v>38</v>
      </c>
      <c r="P9735" s="5">
        <v>8</v>
      </c>
      <c r="Q9735" s="5">
        <v>60</v>
      </c>
      <c r="R9735" s="5">
        <v>9</v>
      </c>
      <c r="S9735" s="5">
        <v>63</v>
      </c>
    </row>
    <row r="9736" spans="1:19" ht="28" x14ac:dyDescent="0.15">
      <c r="A9736" s="2">
        <f>HYPERLINK("https://open-school.uspishnemisto.com.ua/school/510569/", 510569)</f>
        <v>510569</v>
      </c>
      <c r="B9736" s="3" t="s">
        <v>49399</v>
      </c>
      <c r="C9736" s="3" t="s">
        <v>31</v>
      </c>
      <c r="D9736" s="3" t="s">
        <v>175</v>
      </c>
      <c r="E9736" s="4" t="s">
        <v>22</v>
      </c>
      <c r="F9736" s="4" t="s">
        <v>49396</v>
      </c>
      <c r="G9736" s="4" t="s">
        <v>49400</v>
      </c>
      <c r="H9736" s="3" t="s">
        <v>46910</v>
      </c>
      <c r="I9736" s="3" t="s">
        <v>1291</v>
      </c>
      <c r="J9736" s="3" t="s">
        <v>466</v>
      </c>
      <c r="K9736" s="3" t="s">
        <v>49401</v>
      </c>
      <c r="L9736" s="3"/>
      <c r="M9736" s="4"/>
      <c r="N9736" s="3" t="s">
        <v>37</v>
      </c>
      <c r="O9736" s="3" t="s">
        <v>38</v>
      </c>
      <c r="P9736" s="5">
        <v>3</v>
      </c>
      <c r="Q9736" s="5">
        <v>35</v>
      </c>
      <c r="R9736" s="5">
        <v>4</v>
      </c>
      <c r="S9736" s="5">
        <v>35</v>
      </c>
    </row>
    <row r="9737" spans="1:19" ht="42" x14ac:dyDescent="0.15">
      <c r="A9737" s="2">
        <f>HYPERLINK("https://open-school.uspishnemisto.com.ua/school/510570/", 510570)</f>
        <v>510570</v>
      </c>
      <c r="B9737" s="3" t="s">
        <v>49402</v>
      </c>
      <c r="C9737" s="3" t="s">
        <v>54</v>
      </c>
      <c r="D9737" s="3" t="s">
        <v>32</v>
      </c>
      <c r="E9737" s="4" t="s">
        <v>22</v>
      </c>
      <c r="F9737" s="4" t="s">
        <v>49403</v>
      </c>
      <c r="G9737" s="4" t="s">
        <v>49404</v>
      </c>
      <c r="H9737" s="3" t="s">
        <v>46910</v>
      </c>
      <c r="I9737" s="3" t="s">
        <v>11989</v>
      </c>
      <c r="J9737" s="3" t="s">
        <v>49405</v>
      </c>
      <c r="K9737" s="3" t="s">
        <v>49406</v>
      </c>
      <c r="L9737" s="3" t="s">
        <v>49407</v>
      </c>
      <c r="M9737" s="4"/>
      <c r="N9737" s="3" t="s">
        <v>37</v>
      </c>
      <c r="O9737" s="3" t="s">
        <v>38</v>
      </c>
      <c r="P9737" s="5">
        <v>25</v>
      </c>
      <c r="Q9737" s="5">
        <v>559</v>
      </c>
      <c r="R9737" s="5">
        <v>25</v>
      </c>
      <c r="S9737" s="5">
        <v>568</v>
      </c>
    </row>
    <row r="9738" spans="1:19" ht="28" x14ac:dyDescent="0.15">
      <c r="A9738" s="2">
        <f>HYPERLINK("https://open-school.uspishnemisto.com.ua/school/510571/", 510571)</f>
        <v>510571</v>
      </c>
      <c r="B9738" s="3" t="s">
        <v>49408</v>
      </c>
      <c r="C9738" s="3" t="s">
        <v>31</v>
      </c>
      <c r="D9738" s="3" t="s">
        <v>32</v>
      </c>
      <c r="E9738" s="4" t="s">
        <v>22</v>
      </c>
      <c r="F9738" s="4" t="s">
        <v>49409</v>
      </c>
      <c r="G9738" s="4" t="s">
        <v>49410</v>
      </c>
      <c r="H9738" s="3" t="s">
        <v>46910</v>
      </c>
      <c r="I9738" s="3" t="s">
        <v>49411</v>
      </c>
      <c r="J9738" s="3" t="s">
        <v>761</v>
      </c>
      <c r="K9738" s="3" t="s">
        <v>49412</v>
      </c>
      <c r="L9738" s="3" t="s">
        <v>49413</v>
      </c>
      <c r="M9738" s="4"/>
      <c r="N9738" s="3" t="s">
        <v>37</v>
      </c>
      <c r="O9738" s="3" t="s">
        <v>38</v>
      </c>
      <c r="P9738" s="5">
        <v>12</v>
      </c>
      <c r="Q9738" s="5">
        <v>252</v>
      </c>
      <c r="R9738" s="5">
        <v>12</v>
      </c>
      <c r="S9738" s="5">
        <v>241</v>
      </c>
    </row>
    <row r="9739" spans="1:19" ht="56" x14ac:dyDescent="0.15">
      <c r="A9739" s="2">
        <f>HYPERLINK("https://open-school.uspishnemisto.com.ua/school/510572/", 510572)</f>
        <v>510572</v>
      </c>
      <c r="B9739" s="3" t="s">
        <v>49414</v>
      </c>
      <c r="C9739" s="3" t="s">
        <v>54</v>
      </c>
      <c r="D9739" s="3" t="s">
        <v>175</v>
      </c>
      <c r="E9739" s="4" t="s">
        <v>22</v>
      </c>
      <c r="F9739" s="4" t="s">
        <v>49415</v>
      </c>
      <c r="G9739" s="4" t="s">
        <v>49416</v>
      </c>
      <c r="H9739" s="3" t="s">
        <v>46910</v>
      </c>
      <c r="I9739" s="3" t="s">
        <v>49417</v>
      </c>
      <c r="J9739" s="3" t="s">
        <v>49418</v>
      </c>
      <c r="K9739" s="3" t="s">
        <v>49419</v>
      </c>
      <c r="L9739" s="3"/>
      <c r="M9739" s="4"/>
      <c r="N9739" s="3" t="s">
        <v>37</v>
      </c>
      <c r="O9739" s="3" t="s">
        <v>38</v>
      </c>
      <c r="P9739" s="5">
        <v>9</v>
      </c>
      <c r="Q9739" s="5">
        <v>132</v>
      </c>
      <c r="R9739" s="5">
        <v>9</v>
      </c>
      <c r="S9739" s="5">
        <v>129</v>
      </c>
    </row>
    <row r="9740" spans="1:19" ht="28" x14ac:dyDescent="0.15">
      <c r="A9740" s="2">
        <f>HYPERLINK("https://open-school.uspishnemisto.com.ua/school/510573/", 510573)</f>
        <v>510573</v>
      </c>
      <c r="B9740" s="3" t="s">
        <v>49420</v>
      </c>
      <c r="C9740" s="3" t="s">
        <v>31</v>
      </c>
      <c r="D9740" s="3" t="s">
        <v>32</v>
      </c>
      <c r="E9740" s="4" t="s">
        <v>22</v>
      </c>
      <c r="F9740" s="4" t="s">
        <v>49421</v>
      </c>
      <c r="G9740" s="4" t="s">
        <v>49422</v>
      </c>
      <c r="H9740" s="3" t="s">
        <v>46910</v>
      </c>
      <c r="I9740" s="3" t="s">
        <v>49423</v>
      </c>
      <c r="J9740" s="3" t="s">
        <v>49424</v>
      </c>
      <c r="K9740" s="3" t="s">
        <v>49425</v>
      </c>
      <c r="L9740" s="3"/>
      <c r="M9740" s="4"/>
      <c r="N9740" s="3" t="s">
        <v>37</v>
      </c>
      <c r="O9740" s="3" t="s">
        <v>38</v>
      </c>
      <c r="P9740" s="5">
        <v>12</v>
      </c>
      <c r="Q9740" s="5">
        <v>219</v>
      </c>
      <c r="R9740" s="5">
        <v>12</v>
      </c>
      <c r="S9740" s="5">
        <v>218</v>
      </c>
    </row>
    <row r="9741" spans="1:19" ht="28" x14ac:dyDescent="0.15">
      <c r="A9741" s="2">
        <f>HYPERLINK("https://open-school.uspishnemisto.com.ua/school/510574/", 510574)</f>
        <v>510574</v>
      </c>
      <c r="B9741" s="3" t="s">
        <v>49426</v>
      </c>
      <c r="C9741" s="3" t="s">
        <v>31</v>
      </c>
      <c r="D9741" s="3" t="s">
        <v>32</v>
      </c>
      <c r="E9741" s="4" t="s">
        <v>22</v>
      </c>
      <c r="F9741" s="4" t="s">
        <v>49427</v>
      </c>
      <c r="G9741" s="4" t="s">
        <v>49428</v>
      </c>
      <c r="H9741" s="3" t="s">
        <v>46910</v>
      </c>
      <c r="I9741" s="3" t="s">
        <v>49429</v>
      </c>
      <c r="J9741" s="3" t="s">
        <v>49430</v>
      </c>
      <c r="K9741" s="3" t="s">
        <v>49431</v>
      </c>
      <c r="L9741" s="3"/>
      <c r="M9741" s="4"/>
      <c r="N9741" s="3" t="s">
        <v>37</v>
      </c>
      <c r="O9741" s="3" t="s">
        <v>38</v>
      </c>
      <c r="P9741" s="5">
        <v>11</v>
      </c>
      <c r="Q9741" s="5">
        <v>155</v>
      </c>
      <c r="R9741" s="5">
        <v>10</v>
      </c>
      <c r="S9741" s="5">
        <v>143</v>
      </c>
    </row>
    <row r="9742" spans="1:19" ht="42" x14ac:dyDescent="0.15">
      <c r="A9742" s="2">
        <f>HYPERLINK("https://open-school.uspishnemisto.com.ua/school/510575/", 510575)</f>
        <v>510575</v>
      </c>
      <c r="B9742" s="3" t="s">
        <v>49432</v>
      </c>
      <c r="C9742" s="3" t="s">
        <v>54</v>
      </c>
      <c r="D9742" s="3" t="s">
        <v>32</v>
      </c>
      <c r="E9742" s="4" t="s">
        <v>22</v>
      </c>
      <c r="F9742" s="4" t="s">
        <v>49433</v>
      </c>
      <c r="G9742" s="4" t="s">
        <v>49434</v>
      </c>
      <c r="H9742" s="3" t="s">
        <v>46910</v>
      </c>
      <c r="I9742" s="3" t="s">
        <v>49435</v>
      </c>
      <c r="J9742" s="3" t="s">
        <v>12378</v>
      </c>
      <c r="K9742" s="3" t="s">
        <v>49436</v>
      </c>
      <c r="L9742" s="3"/>
      <c r="M9742" s="4"/>
      <c r="N9742" s="3" t="s">
        <v>37</v>
      </c>
      <c r="O9742" s="3" t="s">
        <v>70</v>
      </c>
      <c r="P9742" s="5">
        <v>30</v>
      </c>
      <c r="Q9742" s="5">
        <v>840</v>
      </c>
      <c r="R9742" s="5">
        <v>30</v>
      </c>
      <c r="S9742" s="5">
        <v>786</v>
      </c>
    </row>
    <row r="9743" spans="1:19" ht="56" x14ac:dyDescent="0.15">
      <c r="A9743" s="2">
        <f>HYPERLINK("https://open-school.uspishnemisto.com.ua/school/510576/", 510576)</f>
        <v>510576</v>
      </c>
      <c r="B9743" s="3" t="s">
        <v>49437</v>
      </c>
      <c r="C9743" s="3" t="s">
        <v>54</v>
      </c>
      <c r="D9743" s="3" t="s">
        <v>175</v>
      </c>
      <c r="E9743" s="4" t="s">
        <v>22</v>
      </c>
      <c r="F9743" s="4" t="s">
        <v>49438</v>
      </c>
      <c r="G9743" s="4" t="s">
        <v>49439</v>
      </c>
      <c r="H9743" s="3" t="s">
        <v>46910</v>
      </c>
      <c r="I9743" s="3" t="s">
        <v>49440</v>
      </c>
      <c r="J9743" s="3" t="s">
        <v>2191</v>
      </c>
      <c r="K9743" s="3" t="s">
        <v>49441</v>
      </c>
      <c r="L9743" s="3"/>
      <c r="M9743" s="4"/>
      <c r="N9743" s="3" t="s">
        <v>37</v>
      </c>
      <c r="O9743" s="3" t="s">
        <v>38</v>
      </c>
      <c r="P9743" s="5">
        <v>9</v>
      </c>
      <c r="Q9743" s="5">
        <v>95</v>
      </c>
      <c r="R9743" s="5">
        <v>9</v>
      </c>
      <c r="S9743" s="5">
        <v>94</v>
      </c>
    </row>
    <row r="9744" spans="1:19" ht="28" x14ac:dyDescent="0.15">
      <c r="A9744" s="2">
        <f>HYPERLINK("https://open-school.uspishnemisto.com.ua/school/510577/", 510577)</f>
        <v>510577</v>
      </c>
      <c r="B9744" s="3" t="s">
        <v>49442</v>
      </c>
      <c r="C9744" s="3" t="s">
        <v>31</v>
      </c>
      <c r="D9744" s="3" t="s">
        <v>60</v>
      </c>
      <c r="E9744" s="4" t="s">
        <v>22</v>
      </c>
      <c r="F9744" s="4" t="s">
        <v>49443</v>
      </c>
      <c r="G9744" s="4" t="s">
        <v>49444</v>
      </c>
      <c r="H9744" s="3" t="s">
        <v>46910</v>
      </c>
      <c r="I9744" s="3" t="s">
        <v>11964</v>
      </c>
      <c r="J9744" s="3"/>
      <c r="K9744" s="3" t="s">
        <v>49445</v>
      </c>
      <c r="L9744" s="3"/>
      <c r="M9744" s="4"/>
      <c r="N9744" s="3" t="s">
        <v>37</v>
      </c>
      <c r="O9744" s="3" t="s">
        <v>112</v>
      </c>
      <c r="P9744" s="5">
        <v>0</v>
      </c>
      <c r="Q9744" s="5">
        <v>6</v>
      </c>
      <c r="R9744" s="5">
        <v>0</v>
      </c>
      <c r="S9744" s="5">
        <v>9</v>
      </c>
    </row>
    <row r="9745" spans="1:19" ht="42" x14ac:dyDescent="0.15">
      <c r="A9745" s="2">
        <f>HYPERLINK("https://open-school.uspishnemisto.com.ua/school/510578/", 510578)</f>
        <v>510578</v>
      </c>
      <c r="B9745" s="3" t="s">
        <v>49446</v>
      </c>
      <c r="C9745" s="3" t="s">
        <v>54</v>
      </c>
      <c r="D9745" s="3" t="s">
        <v>175</v>
      </c>
      <c r="E9745" s="4" t="s">
        <v>22</v>
      </c>
      <c r="F9745" s="4" t="s">
        <v>49447</v>
      </c>
      <c r="G9745" s="4" t="s">
        <v>49448</v>
      </c>
      <c r="H9745" s="3" t="s">
        <v>46910</v>
      </c>
      <c r="I9745" s="3" t="s">
        <v>3614</v>
      </c>
      <c r="J9745" s="3" t="s">
        <v>49449</v>
      </c>
      <c r="K9745" s="3" t="s">
        <v>49450</v>
      </c>
      <c r="L9745" s="3"/>
      <c r="M9745" s="4"/>
      <c r="N9745" s="3" t="s">
        <v>37</v>
      </c>
      <c r="O9745" s="3" t="s">
        <v>70</v>
      </c>
      <c r="P9745" s="5">
        <v>8</v>
      </c>
      <c r="Q9745" s="5">
        <v>55</v>
      </c>
      <c r="R9745" s="5">
        <v>8</v>
      </c>
      <c r="S9745" s="5">
        <v>55</v>
      </c>
    </row>
    <row r="9746" spans="1:19" ht="28" x14ac:dyDescent="0.15">
      <c r="A9746" s="2">
        <f>HYPERLINK("https://open-school.uspishnemisto.com.ua/school/510579/", 510579)</f>
        <v>510579</v>
      </c>
      <c r="B9746" s="3" t="s">
        <v>49451</v>
      </c>
      <c r="C9746" s="3" t="s">
        <v>54</v>
      </c>
      <c r="D9746" s="3" t="s">
        <v>60</v>
      </c>
      <c r="E9746" s="4" t="s">
        <v>22</v>
      </c>
      <c r="F9746" s="4" t="s">
        <v>49452</v>
      </c>
      <c r="G9746" s="4" t="s">
        <v>49453</v>
      </c>
      <c r="H9746" s="3" t="s">
        <v>46910</v>
      </c>
      <c r="I9746" s="3" t="s">
        <v>49454</v>
      </c>
      <c r="J9746" s="3" t="s">
        <v>8007</v>
      </c>
      <c r="K9746" s="3" t="s">
        <v>49455</v>
      </c>
      <c r="L9746" s="3"/>
      <c r="M9746" s="4"/>
      <c r="N9746" s="3" t="s">
        <v>37</v>
      </c>
      <c r="O9746" s="3" t="s">
        <v>38</v>
      </c>
      <c r="P9746" s="5">
        <v>0</v>
      </c>
      <c r="Q9746" s="5">
        <v>10</v>
      </c>
      <c r="R9746" s="5">
        <v>0</v>
      </c>
      <c r="S9746" s="5">
        <v>6</v>
      </c>
    </row>
    <row r="9747" spans="1:19" ht="42" x14ac:dyDescent="0.15">
      <c r="A9747" s="2">
        <f>HYPERLINK("https://open-school.uspishnemisto.com.ua/school/510580/", 510580)</f>
        <v>510580</v>
      </c>
      <c r="B9747" s="3" t="s">
        <v>49456</v>
      </c>
      <c r="C9747" s="3" t="s">
        <v>54</v>
      </c>
      <c r="D9747" s="3" t="s">
        <v>32</v>
      </c>
      <c r="E9747" s="4" t="s">
        <v>22</v>
      </c>
      <c r="F9747" s="4" t="s">
        <v>49457</v>
      </c>
      <c r="G9747" s="4" t="s">
        <v>49458</v>
      </c>
      <c r="H9747" s="3" t="s">
        <v>46910</v>
      </c>
      <c r="I9747" s="3" t="s">
        <v>49454</v>
      </c>
      <c r="J9747" s="3" t="s">
        <v>4249</v>
      </c>
      <c r="K9747" s="3" t="s">
        <v>49459</v>
      </c>
      <c r="L9747" s="3"/>
      <c r="M9747" s="4"/>
      <c r="N9747" s="3" t="s">
        <v>37</v>
      </c>
      <c r="O9747" s="3" t="s">
        <v>38</v>
      </c>
      <c r="P9747" s="5">
        <v>9</v>
      </c>
      <c r="Q9747" s="5">
        <v>100</v>
      </c>
      <c r="R9747" s="5">
        <v>8</v>
      </c>
      <c r="S9747" s="5">
        <v>87</v>
      </c>
    </row>
    <row r="9748" spans="1:19" ht="42" x14ac:dyDescent="0.15">
      <c r="A9748" s="2">
        <f>HYPERLINK("https://open-school.uspishnemisto.com.ua/school/510581/", 510581)</f>
        <v>510581</v>
      </c>
      <c r="B9748" s="3" t="s">
        <v>49460</v>
      </c>
      <c r="C9748" s="3" t="s">
        <v>54</v>
      </c>
      <c r="D9748" s="3" t="s">
        <v>60</v>
      </c>
      <c r="E9748" s="4" t="s">
        <v>22</v>
      </c>
      <c r="F9748" s="4" t="s">
        <v>49461</v>
      </c>
      <c r="G9748" s="4" t="s">
        <v>49462</v>
      </c>
      <c r="H9748" s="3" t="s">
        <v>46910</v>
      </c>
      <c r="I9748" s="3" t="s">
        <v>34101</v>
      </c>
      <c r="J9748" s="3" t="s">
        <v>3745</v>
      </c>
      <c r="K9748" s="3" t="s">
        <v>49463</v>
      </c>
      <c r="L9748" s="3"/>
      <c r="M9748" s="4"/>
      <c r="N9748" s="3" t="s">
        <v>37</v>
      </c>
      <c r="O9748" s="3" t="s">
        <v>38</v>
      </c>
      <c r="P9748" s="5">
        <v>1</v>
      </c>
      <c r="Q9748" s="5">
        <v>9</v>
      </c>
      <c r="R9748" s="5">
        <v>1</v>
      </c>
      <c r="S9748" s="5">
        <v>7</v>
      </c>
    </row>
    <row r="9749" spans="1:19" ht="28" x14ac:dyDescent="0.15">
      <c r="A9749" s="2">
        <f>HYPERLINK("https://open-school.uspishnemisto.com.ua/school/510582/", 510582)</f>
        <v>510582</v>
      </c>
      <c r="B9749" s="3" t="s">
        <v>49464</v>
      </c>
      <c r="C9749" s="3" t="s">
        <v>31</v>
      </c>
      <c r="D9749" s="3" t="s">
        <v>32</v>
      </c>
      <c r="E9749" s="4" t="s">
        <v>22</v>
      </c>
      <c r="F9749" s="4" t="s">
        <v>49465</v>
      </c>
      <c r="G9749" s="4" t="s">
        <v>49466</v>
      </c>
      <c r="H9749" s="3" t="s">
        <v>46910</v>
      </c>
      <c r="I9749" s="3" t="s">
        <v>49467</v>
      </c>
      <c r="J9749" s="3"/>
      <c r="K9749" s="3" t="s">
        <v>49468</v>
      </c>
      <c r="L9749" s="3"/>
      <c r="M9749" s="4"/>
      <c r="N9749" s="3" t="s">
        <v>37</v>
      </c>
      <c r="O9749" s="3" t="s">
        <v>38</v>
      </c>
      <c r="P9749" s="5">
        <v>9</v>
      </c>
      <c r="Q9749" s="5">
        <v>102</v>
      </c>
      <c r="R9749" s="5">
        <v>11</v>
      </c>
      <c r="S9749" s="5">
        <v>100</v>
      </c>
    </row>
    <row r="9750" spans="1:19" ht="28" x14ac:dyDescent="0.15">
      <c r="A9750" s="2">
        <f>HYPERLINK("https://open-school.uspishnemisto.com.ua/school/510583/", 510583)</f>
        <v>510583</v>
      </c>
      <c r="B9750" s="3" t="s">
        <v>49469</v>
      </c>
      <c r="C9750" s="3" t="s">
        <v>31</v>
      </c>
      <c r="D9750" s="3" t="s">
        <v>32</v>
      </c>
      <c r="E9750" s="4" t="s">
        <v>22</v>
      </c>
      <c r="F9750" s="4" t="s">
        <v>49470</v>
      </c>
      <c r="G9750" s="4" t="s">
        <v>49471</v>
      </c>
      <c r="H9750" s="3" t="s">
        <v>46910</v>
      </c>
      <c r="I9750" s="3" t="s">
        <v>49472</v>
      </c>
      <c r="J9750" s="3" t="s">
        <v>25057</v>
      </c>
      <c r="K9750" s="3" t="s">
        <v>49473</v>
      </c>
      <c r="L9750" s="3"/>
      <c r="M9750" s="4"/>
      <c r="N9750" s="3" t="s">
        <v>37</v>
      </c>
      <c r="O9750" s="3" t="s">
        <v>38</v>
      </c>
      <c r="P9750" s="5">
        <v>10</v>
      </c>
      <c r="Q9750" s="5">
        <v>104</v>
      </c>
      <c r="R9750" s="5">
        <v>9</v>
      </c>
      <c r="S9750" s="5">
        <v>85</v>
      </c>
    </row>
    <row r="9751" spans="1:19" ht="42" x14ac:dyDescent="0.15">
      <c r="A9751" s="2">
        <f>HYPERLINK("https://open-school.uspishnemisto.com.ua/school/510584/", 510584)</f>
        <v>510584</v>
      </c>
      <c r="B9751" s="3" t="s">
        <v>49474</v>
      </c>
      <c r="C9751" s="3" t="s">
        <v>54</v>
      </c>
      <c r="D9751" s="3" t="s">
        <v>32</v>
      </c>
      <c r="E9751" s="4" t="s">
        <v>22</v>
      </c>
      <c r="F9751" s="4" t="s">
        <v>49475</v>
      </c>
      <c r="G9751" s="4" t="s">
        <v>49476</v>
      </c>
      <c r="H9751" s="3" t="s">
        <v>46910</v>
      </c>
      <c r="I9751" s="3" t="s">
        <v>49477</v>
      </c>
      <c r="J9751" s="3" t="s">
        <v>1868</v>
      </c>
      <c r="K9751" s="3" t="s">
        <v>49478</v>
      </c>
      <c r="L9751" s="3"/>
      <c r="M9751" s="4"/>
      <c r="N9751" s="3" t="s">
        <v>37</v>
      </c>
      <c r="O9751" s="3" t="s">
        <v>38</v>
      </c>
      <c r="P9751" s="5">
        <v>11</v>
      </c>
      <c r="Q9751" s="5">
        <v>120</v>
      </c>
      <c r="R9751" s="5">
        <v>10</v>
      </c>
      <c r="S9751" s="5">
        <v>118</v>
      </c>
    </row>
    <row r="9752" spans="1:19" ht="28" x14ac:dyDescent="0.15">
      <c r="A9752" s="2">
        <f>HYPERLINK("https://open-school.uspishnemisto.com.ua/school/510585/", 510585)</f>
        <v>510585</v>
      </c>
      <c r="B9752" s="3" t="s">
        <v>49479</v>
      </c>
      <c r="C9752" s="3" t="s">
        <v>31</v>
      </c>
      <c r="D9752" s="3" t="s">
        <v>175</v>
      </c>
      <c r="E9752" s="4" t="s">
        <v>22</v>
      </c>
      <c r="F9752" s="4" t="s">
        <v>49480</v>
      </c>
      <c r="G9752" s="4" t="s">
        <v>49481</v>
      </c>
      <c r="H9752" s="3" t="s">
        <v>46910</v>
      </c>
      <c r="I9752" s="3" t="s">
        <v>49482</v>
      </c>
      <c r="J9752" s="3" t="s">
        <v>18089</v>
      </c>
      <c r="K9752" s="3" t="s">
        <v>49483</v>
      </c>
      <c r="L9752" s="3"/>
      <c r="M9752" s="4"/>
      <c r="N9752" s="3" t="s">
        <v>37</v>
      </c>
      <c r="O9752" s="3" t="s">
        <v>38</v>
      </c>
      <c r="P9752" s="5">
        <v>8</v>
      </c>
      <c r="Q9752" s="5">
        <v>65</v>
      </c>
      <c r="R9752" s="5">
        <v>9</v>
      </c>
      <c r="S9752" s="5">
        <v>67</v>
      </c>
    </row>
    <row r="9753" spans="1:19" ht="28" x14ac:dyDescent="0.15">
      <c r="A9753" s="2">
        <f>HYPERLINK("https://open-school.uspishnemisto.com.ua/school/510586/", 510586)</f>
        <v>510586</v>
      </c>
      <c r="B9753" s="3" t="s">
        <v>49484</v>
      </c>
      <c r="C9753" s="3" t="s">
        <v>31</v>
      </c>
      <c r="D9753" s="3" t="s">
        <v>32</v>
      </c>
      <c r="E9753" s="4" t="s">
        <v>22</v>
      </c>
      <c r="F9753" s="4" t="s">
        <v>49485</v>
      </c>
      <c r="G9753" s="4" t="s">
        <v>49486</v>
      </c>
      <c r="H9753" s="3" t="s">
        <v>46910</v>
      </c>
      <c r="I9753" s="3" t="s">
        <v>49487</v>
      </c>
      <c r="J9753" s="3" t="s">
        <v>49488</v>
      </c>
      <c r="K9753" s="3" t="s">
        <v>49489</v>
      </c>
      <c r="L9753" s="3"/>
      <c r="M9753" s="4"/>
      <c r="N9753" s="3" t="s">
        <v>37</v>
      </c>
      <c r="O9753" s="3" t="s">
        <v>38</v>
      </c>
      <c r="P9753" s="5">
        <v>6</v>
      </c>
      <c r="Q9753" s="5">
        <v>52</v>
      </c>
      <c r="R9753" s="5">
        <v>6</v>
      </c>
      <c r="S9753" s="5">
        <v>52</v>
      </c>
    </row>
    <row r="9754" spans="1:19" ht="42" x14ac:dyDescent="0.15">
      <c r="A9754" s="2">
        <f>HYPERLINK("https://open-school.uspishnemisto.com.ua/school/510587/", 510587)</f>
        <v>510587</v>
      </c>
      <c r="B9754" s="3" t="s">
        <v>49490</v>
      </c>
      <c r="C9754" s="3" t="s">
        <v>54</v>
      </c>
      <c r="D9754" s="3" t="s">
        <v>175</v>
      </c>
      <c r="E9754" s="4" t="s">
        <v>22</v>
      </c>
      <c r="F9754" s="4" t="s">
        <v>49491</v>
      </c>
      <c r="G9754" s="4" t="s">
        <v>49492</v>
      </c>
      <c r="H9754" s="3" t="s">
        <v>46910</v>
      </c>
      <c r="I9754" s="3" t="s">
        <v>49493</v>
      </c>
      <c r="J9754" s="3" t="s">
        <v>5955</v>
      </c>
      <c r="K9754" s="3" t="s">
        <v>49494</v>
      </c>
      <c r="L9754" s="3"/>
      <c r="M9754" s="4"/>
      <c r="N9754" s="3" t="s">
        <v>37</v>
      </c>
      <c r="O9754" s="3" t="s">
        <v>38</v>
      </c>
      <c r="P9754" s="5">
        <v>5</v>
      </c>
      <c r="Q9754" s="5">
        <v>44</v>
      </c>
      <c r="R9754" s="5">
        <v>4</v>
      </c>
      <c r="S9754" s="5">
        <v>40</v>
      </c>
    </row>
    <row r="9755" spans="1:19" ht="28" x14ac:dyDescent="0.15">
      <c r="A9755" s="2">
        <f>HYPERLINK("https://open-school.uspishnemisto.com.ua/school/510588/", 510588)</f>
        <v>510588</v>
      </c>
      <c r="B9755" s="3" t="s">
        <v>49495</v>
      </c>
      <c r="C9755" s="3" t="s">
        <v>31</v>
      </c>
      <c r="D9755" s="3" t="s">
        <v>175</v>
      </c>
      <c r="E9755" s="4" t="s">
        <v>22</v>
      </c>
      <c r="F9755" s="4" t="s">
        <v>49496</v>
      </c>
      <c r="G9755" s="4" t="s">
        <v>49497</v>
      </c>
      <c r="H9755" s="3" t="s">
        <v>46910</v>
      </c>
      <c r="I9755" s="3" t="s">
        <v>49498</v>
      </c>
      <c r="J9755" s="3" t="s">
        <v>49499</v>
      </c>
      <c r="K9755" s="3" t="s">
        <v>49500</v>
      </c>
      <c r="L9755" s="3"/>
      <c r="M9755" s="4"/>
      <c r="N9755" s="3" t="s">
        <v>37</v>
      </c>
      <c r="O9755" s="3" t="s">
        <v>38</v>
      </c>
      <c r="P9755" s="5">
        <v>9</v>
      </c>
      <c r="Q9755" s="5">
        <v>114</v>
      </c>
      <c r="R9755" s="5">
        <v>9</v>
      </c>
      <c r="S9755" s="5">
        <v>110</v>
      </c>
    </row>
    <row r="9756" spans="1:19" ht="28" x14ac:dyDescent="0.15">
      <c r="A9756" s="2">
        <f>HYPERLINK("https://open-school.uspishnemisto.com.ua/school/510589/", 510589)</f>
        <v>510589</v>
      </c>
      <c r="B9756" s="3" t="s">
        <v>49501</v>
      </c>
      <c r="C9756" s="3" t="s">
        <v>31</v>
      </c>
      <c r="D9756" s="3" t="s">
        <v>32</v>
      </c>
      <c r="E9756" s="4" t="s">
        <v>22</v>
      </c>
      <c r="F9756" s="4" t="s">
        <v>49502</v>
      </c>
      <c r="G9756" s="4" t="s">
        <v>49503</v>
      </c>
      <c r="H9756" s="3" t="s">
        <v>46910</v>
      </c>
      <c r="I9756" s="3" t="s">
        <v>49504</v>
      </c>
      <c r="J9756" s="3" t="s">
        <v>49505</v>
      </c>
      <c r="K9756" s="3" t="s">
        <v>49506</v>
      </c>
      <c r="L9756" s="3"/>
      <c r="M9756" s="4"/>
      <c r="N9756" s="3" t="s">
        <v>37</v>
      </c>
      <c r="O9756" s="3" t="s">
        <v>38</v>
      </c>
      <c r="P9756" s="5">
        <v>10</v>
      </c>
      <c r="Q9756" s="5">
        <v>199</v>
      </c>
      <c r="R9756" s="5">
        <v>10</v>
      </c>
      <c r="S9756" s="5">
        <v>187</v>
      </c>
    </row>
    <row r="9757" spans="1:19" ht="28" x14ac:dyDescent="0.15">
      <c r="A9757" s="2">
        <f>HYPERLINK("https://open-school.uspishnemisto.com.ua/school/510590/", 510590)</f>
        <v>510590</v>
      </c>
      <c r="B9757" s="3" t="s">
        <v>49507</v>
      </c>
      <c r="C9757" s="3" t="s">
        <v>31</v>
      </c>
      <c r="D9757" s="3" t="s">
        <v>60</v>
      </c>
      <c r="E9757" s="4" t="s">
        <v>22</v>
      </c>
      <c r="F9757" s="4" t="s">
        <v>49508</v>
      </c>
      <c r="G9757" s="4" t="s">
        <v>49509</v>
      </c>
      <c r="H9757" s="3" t="s">
        <v>46910</v>
      </c>
      <c r="I9757" s="3" t="s">
        <v>1291</v>
      </c>
      <c r="J9757" s="3" t="s">
        <v>20657</v>
      </c>
      <c r="K9757" s="3"/>
      <c r="L9757" s="3"/>
      <c r="M9757" s="4"/>
      <c r="N9757" s="3" t="s">
        <v>37</v>
      </c>
      <c r="O9757" s="3" t="s">
        <v>38</v>
      </c>
      <c r="P9757" s="5">
        <v>0</v>
      </c>
      <c r="Q9757" s="5">
        <v>11</v>
      </c>
      <c r="R9757" s="5">
        <v>0</v>
      </c>
      <c r="S9757" s="5">
        <v>11</v>
      </c>
    </row>
    <row r="9758" spans="1:19" ht="28" x14ac:dyDescent="0.15">
      <c r="A9758" s="2">
        <f>HYPERLINK("https://open-school.uspishnemisto.com.ua/school/510591/", 510591)</f>
        <v>510591</v>
      </c>
      <c r="B9758" s="3" t="s">
        <v>49510</v>
      </c>
      <c r="C9758" s="3" t="s">
        <v>31</v>
      </c>
      <c r="D9758" s="3" t="s">
        <v>175</v>
      </c>
      <c r="E9758" s="4" t="s">
        <v>22</v>
      </c>
      <c r="F9758" s="4" t="s">
        <v>49511</v>
      </c>
      <c r="G9758" s="4" t="s">
        <v>49512</v>
      </c>
      <c r="H9758" s="3" t="s">
        <v>46910</v>
      </c>
      <c r="I9758" s="3" t="s">
        <v>49513</v>
      </c>
      <c r="J9758" s="3"/>
      <c r="K9758" s="3" t="s">
        <v>49514</v>
      </c>
      <c r="L9758" s="3"/>
      <c r="M9758" s="4"/>
      <c r="N9758" s="3" t="s">
        <v>37</v>
      </c>
      <c r="O9758" s="3" t="s">
        <v>38</v>
      </c>
      <c r="P9758" s="5">
        <v>6</v>
      </c>
      <c r="Q9758" s="5">
        <v>45</v>
      </c>
      <c r="R9758" s="5">
        <v>8</v>
      </c>
      <c r="S9758" s="5">
        <v>47</v>
      </c>
    </row>
    <row r="9759" spans="1:19" ht="42" x14ac:dyDescent="0.15">
      <c r="A9759" s="2">
        <f>HYPERLINK("https://open-school.uspishnemisto.com.ua/school/510592/", 510592)</f>
        <v>510592</v>
      </c>
      <c r="B9759" s="3" t="s">
        <v>49515</v>
      </c>
      <c r="C9759" s="3" t="s">
        <v>54</v>
      </c>
      <c r="D9759" s="3" t="s">
        <v>175</v>
      </c>
      <c r="E9759" s="4" t="s">
        <v>22</v>
      </c>
      <c r="F9759" s="4" t="s">
        <v>49516</v>
      </c>
      <c r="G9759" s="4" t="s">
        <v>49512</v>
      </c>
      <c r="H9759" s="3" t="s">
        <v>46910</v>
      </c>
      <c r="I9759" s="3" t="s">
        <v>49513</v>
      </c>
      <c r="J9759" s="3"/>
      <c r="K9759" s="3" t="s">
        <v>49517</v>
      </c>
      <c r="L9759" s="3"/>
      <c r="M9759" s="4"/>
      <c r="N9759" s="3" t="s">
        <v>37</v>
      </c>
      <c r="O9759" s="3" t="s">
        <v>38</v>
      </c>
      <c r="P9759" s="5">
        <v>6</v>
      </c>
      <c r="Q9759" s="5">
        <v>53</v>
      </c>
      <c r="R9759" s="5">
        <v>6</v>
      </c>
      <c r="S9759" s="5">
        <v>52</v>
      </c>
    </row>
    <row r="9760" spans="1:19" ht="28" x14ac:dyDescent="0.15">
      <c r="A9760" s="2">
        <f>HYPERLINK("https://open-school.uspishnemisto.com.ua/school/510593/", 510593)</f>
        <v>510593</v>
      </c>
      <c r="B9760" s="3" t="s">
        <v>49518</v>
      </c>
      <c r="C9760" s="3" t="s">
        <v>54</v>
      </c>
      <c r="D9760" s="3" t="s">
        <v>32</v>
      </c>
      <c r="E9760" s="4" t="s">
        <v>22</v>
      </c>
      <c r="F9760" s="4" t="s">
        <v>49511</v>
      </c>
      <c r="G9760" s="4" t="s">
        <v>49512</v>
      </c>
      <c r="H9760" s="3" t="s">
        <v>46910</v>
      </c>
      <c r="I9760" s="3" t="s">
        <v>49513</v>
      </c>
      <c r="J9760" s="3" t="s">
        <v>49519</v>
      </c>
      <c r="K9760" s="3" t="s">
        <v>49520</v>
      </c>
      <c r="L9760" s="3"/>
      <c r="M9760" s="4"/>
      <c r="N9760" s="3" t="s">
        <v>37</v>
      </c>
      <c r="O9760" s="3" t="s">
        <v>38</v>
      </c>
      <c r="P9760" s="5">
        <v>11</v>
      </c>
      <c r="Q9760" s="5">
        <v>155</v>
      </c>
      <c r="R9760" s="5">
        <v>11</v>
      </c>
      <c r="S9760" s="5">
        <v>156</v>
      </c>
    </row>
    <row r="9761" spans="1:19" ht="42" x14ac:dyDescent="0.15">
      <c r="A9761" s="2">
        <f>HYPERLINK("https://open-school.uspishnemisto.com.ua/school/510594/", 510594)</f>
        <v>510594</v>
      </c>
      <c r="B9761" s="3" t="s">
        <v>49521</v>
      </c>
      <c r="C9761" s="3" t="s">
        <v>54</v>
      </c>
      <c r="D9761" s="3" t="s">
        <v>175</v>
      </c>
      <c r="E9761" s="4" t="s">
        <v>22</v>
      </c>
      <c r="F9761" s="4" t="s">
        <v>49522</v>
      </c>
      <c r="G9761" s="4" t="s">
        <v>49523</v>
      </c>
      <c r="H9761" s="3" t="s">
        <v>46910</v>
      </c>
      <c r="I9761" s="3" t="s">
        <v>4435</v>
      </c>
      <c r="J9761" s="3" t="s">
        <v>3604</v>
      </c>
      <c r="K9761" s="3" t="s">
        <v>49524</v>
      </c>
      <c r="L9761" s="3"/>
      <c r="M9761" s="4"/>
      <c r="N9761" s="3" t="s">
        <v>37</v>
      </c>
      <c r="O9761" s="3" t="s">
        <v>38</v>
      </c>
      <c r="P9761" s="5">
        <v>9</v>
      </c>
      <c r="Q9761" s="5">
        <v>108</v>
      </c>
      <c r="R9761" s="5">
        <v>9</v>
      </c>
      <c r="S9761" s="5">
        <v>110</v>
      </c>
    </row>
    <row r="9762" spans="1:19" ht="28" x14ac:dyDescent="0.15">
      <c r="A9762" s="2">
        <f>HYPERLINK("https://open-school.uspishnemisto.com.ua/school/510595/", 510595)</f>
        <v>510595</v>
      </c>
      <c r="B9762" s="3" t="s">
        <v>49525</v>
      </c>
      <c r="C9762" s="3" t="s">
        <v>31</v>
      </c>
      <c r="D9762" s="3" t="s">
        <v>175</v>
      </c>
      <c r="E9762" s="4" t="s">
        <v>22</v>
      </c>
      <c r="F9762" s="4" t="s">
        <v>49526</v>
      </c>
      <c r="G9762" s="4" t="s">
        <v>49527</v>
      </c>
      <c r="H9762" s="3" t="s">
        <v>46910</v>
      </c>
      <c r="I9762" s="3" t="s">
        <v>49528</v>
      </c>
      <c r="J9762" s="3" t="s">
        <v>16066</v>
      </c>
      <c r="K9762" s="3" t="s">
        <v>49529</v>
      </c>
      <c r="L9762" s="3"/>
      <c r="M9762" s="4"/>
      <c r="N9762" s="3" t="s">
        <v>37</v>
      </c>
      <c r="O9762" s="3" t="s">
        <v>38</v>
      </c>
      <c r="P9762" s="5">
        <v>4</v>
      </c>
      <c r="Q9762" s="5">
        <v>42</v>
      </c>
      <c r="R9762" s="5">
        <v>3</v>
      </c>
      <c r="S9762" s="5">
        <v>39</v>
      </c>
    </row>
    <row r="9763" spans="1:19" ht="42" x14ac:dyDescent="0.15">
      <c r="A9763" s="2">
        <f>HYPERLINK("https://open-school.uspishnemisto.com.ua/school/510596/", 510596)</f>
        <v>510596</v>
      </c>
      <c r="B9763" s="3" t="s">
        <v>49530</v>
      </c>
      <c r="C9763" s="3" t="s">
        <v>54</v>
      </c>
      <c r="D9763" s="3" t="s">
        <v>32</v>
      </c>
      <c r="E9763" s="4" t="s">
        <v>22</v>
      </c>
      <c r="F9763" s="4" t="s">
        <v>49531</v>
      </c>
      <c r="G9763" s="4" t="s">
        <v>49532</v>
      </c>
      <c r="H9763" s="3" t="s">
        <v>46910</v>
      </c>
      <c r="I9763" s="3" t="s">
        <v>49533</v>
      </c>
      <c r="J9763" s="3" t="s">
        <v>878</v>
      </c>
      <c r="K9763" s="3" t="s">
        <v>49534</v>
      </c>
      <c r="L9763" s="3"/>
      <c r="M9763" s="4"/>
      <c r="N9763" s="3" t="s">
        <v>37</v>
      </c>
      <c r="O9763" s="3" t="s">
        <v>38</v>
      </c>
      <c r="P9763" s="5">
        <v>11</v>
      </c>
      <c r="Q9763" s="5">
        <v>118</v>
      </c>
      <c r="R9763" s="5">
        <v>11</v>
      </c>
      <c r="S9763" s="5">
        <v>120</v>
      </c>
    </row>
    <row r="9764" spans="1:19" ht="28" x14ac:dyDescent="0.15">
      <c r="A9764" s="2">
        <f>HYPERLINK("https://open-school.uspishnemisto.com.ua/school/510597/", 510597)</f>
        <v>510597</v>
      </c>
      <c r="B9764" s="3" t="s">
        <v>49535</v>
      </c>
      <c r="C9764" s="3" t="s">
        <v>31</v>
      </c>
      <c r="D9764" s="3" t="s">
        <v>32</v>
      </c>
      <c r="E9764" s="4" t="s">
        <v>22</v>
      </c>
      <c r="F9764" s="4" t="s">
        <v>49536</v>
      </c>
      <c r="G9764" s="4" t="s">
        <v>49537</v>
      </c>
      <c r="H9764" s="3" t="s">
        <v>46910</v>
      </c>
      <c r="I9764" s="3" t="s">
        <v>49538</v>
      </c>
      <c r="J9764" s="3" t="s">
        <v>2476</v>
      </c>
      <c r="K9764" s="3" t="s">
        <v>49539</v>
      </c>
      <c r="L9764" s="3"/>
      <c r="M9764" s="4"/>
      <c r="N9764" s="3" t="s">
        <v>37</v>
      </c>
      <c r="O9764" s="3" t="s">
        <v>38</v>
      </c>
      <c r="P9764" s="5">
        <v>11</v>
      </c>
      <c r="Q9764" s="5">
        <v>161</v>
      </c>
      <c r="R9764" s="5">
        <v>11</v>
      </c>
      <c r="S9764" s="5">
        <v>148</v>
      </c>
    </row>
    <row r="9765" spans="1:19" ht="28" x14ac:dyDescent="0.15">
      <c r="A9765" s="2">
        <f>HYPERLINK("https://open-school.uspishnemisto.com.ua/school/510598/", 510598)</f>
        <v>510598</v>
      </c>
      <c r="B9765" s="3" t="s">
        <v>44902</v>
      </c>
      <c r="C9765" s="3" t="s">
        <v>31</v>
      </c>
      <c r="D9765" s="3" t="s">
        <v>32</v>
      </c>
      <c r="E9765" s="4" t="s">
        <v>22</v>
      </c>
      <c r="F9765" s="4" t="s">
        <v>49540</v>
      </c>
      <c r="G9765" s="4" t="s">
        <v>49541</v>
      </c>
      <c r="H9765" s="3" t="s">
        <v>46910</v>
      </c>
      <c r="I9765" s="3" t="s">
        <v>2900</v>
      </c>
      <c r="J9765" s="3" t="s">
        <v>466</v>
      </c>
      <c r="K9765" s="3"/>
      <c r="L9765" s="3"/>
      <c r="M9765" s="4"/>
      <c r="N9765" s="3" t="s">
        <v>37</v>
      </c>
      <c r="O9765" s="3" t="s">
        <v>38</v>
      </c>
      <c r="P9765" s="5">
        <v>11</v>
      </c>
      <c r="Q9765" s="5">
        <v>182</v>
      </c>
      <c r="R9765" s="5">
        <v>11</v>
      </c>
      <c r="S9765" s="5">
        <v>168</v>
      </c>
    </row>
    <row r="9766" spans="1:19" ht="42" x14ac:dyDescent="0.15">
      <c r="A9766" s="2">
        <f>HYPERLINK("https://open-school.uspishnemisto.com.ua/school/510599/", 510599)</f>
        <v>510599</v>
      </c>
      <c r="B9766" s="3" t="s">
        <v>49542</v>
      </c>
      <c r="C9766" s="3" t="s">
        <v>54</v>
      </c>
      <c r="D9766" s="3" t="s">
        <v>175</v>
      </c>
      <c r="E9766" s="4" t="s">
        <v>22</v>
      </c>
      <c r="F9766" s="4" t="s">
        <v>49543</v>
      </c>
      <c r="G9766" s="4" t="s">
        <v>49544</v>
      </c>
      <c r="H9766" s="3" t="s">
        <v>46910</v>
      </c>
      <c r="I9766" s="3" t="s">
        <v>49545</v>
      </c>
      <c r="J9766" s="3" t="s">
        <v>466</v>
      </c>
      <c r="K9766" s="3" t="s">
        <v>49546</v>
      </c>
      <c r="L9766" s="3"/>
      <c r="M9766" s="4"/>
      <c r="N9766" s="3" t="s">
        <v>37</v>
      </c>
      <c r="O9766" s="3" t="s">
        <v>38</v>
      </c>
      <c r="P9766" s="5">
        <v>2</v>
      </c>
      <c r="Q9766" s="5">
        <v>26</v>
      </c>
      <c r="R9766" s="5">
        <v>3</v>
      </c>
      <c r="S9766" s="5">
        <v>28</v>
      </c>
    </row>
    <row r="9767" spans="1:19" ht="42" x14ac:dyDescent="0.15">
      <c r="A9767" s="2">
        <f>HYPERLINK("https://open-school.uspishnemisto.com.ua/school/510600/", 510600)</f>
        <v>510600</v>
      </c>
      <c r="B9767" s="3" t="s">
        <v>49547</v>
      </c>
      <c r="C9767" s="3" t="s">
        <v>54</v>
      </c>
      <c r="D9767" s="3" t="s">
        <v>175</v>
      </c>
      <c r="E9767" s="4" t="s">
        <v>22</v>
      </c>
      <c r="F9767" s="4" t="s">
        <v>49548</v>
      </c>
      <c r="G9767" s="4" t="s">
        <v>49549</v>
      </c>
      <c r="H9767" s="3" t="s">
        <v>46910</v>
      </c>
      <c r="I9767" s="3" t="s">
        <v>3420</v>
      </c>
      <c r="J9767" s="3" t="s">
        <v>49550</v>
      </c>
      <c r="K9767" s="3" t="s">
        <v>49551</v>
      </c>
      <c r="L9767" s="3"/>
      <c r="M9767" s="4"/>
      <c r="N9767" s="3" t="s">
        <v>37</v>
      </c>
      <c r="O9767" s="3" t="s">
        <v>38</v>
      </c>
      <c r="P9767" s="5">
        <v>7</v>
      </c>
      <c r="Q9767" s="5">
        <v>47</v>
      </c>
      <c r="R9767" s="5">
        <v>7</v>
      </c>
      <c r="S9767" s="5">
        <v>46</v>
      </c>
    </row>
    <row r="9768" spans="1:19" ht="42" x14ac:dyDescent="0.15">
      <c r="A9768" s="2">
        <f>HYPERLINK("https://open-school.uspishnemisto.com.ua/school/510601/", 510601)</f>
        <v>510601</v>
      </c>
      <c r="B9768" s="3" t="s">
        <v>49552</v>
      </c>
      <c r="C9768" s="3" t="s">
        <v>54</v>
      </c>
      <c r="D9768" s="3" t="s">
        <v>175</v>
      </c>
      <c r="E9768" s="4" t="s">
        <v>22</v>
      </c>
      <c r="F9768" s="4" t="s">
        <v>49553</v>
      </c>
      <c r="G9768" s="4" t="s">
        <v>49554</v>
      </c>
      <c r="H9768" s="3" t="s">
        <v>46910</v>
      </c>
      <c r="I9768" s="3" t="s">
        <v>4683</v>
      </c>
      <c r="J9768" s="3" t="s">
        <v>44894</v>
      </c>
      <c r="K9768" s="3" t="s">
        <v>49555</v>
      </c>
      <c r="L9768" s="3"/>
      <c r="M9768" s="4"/>
      <c r="N9768" s="3" t="s">
        <v>37</v>
      </c>
      <c r="O9768" s="3" t="s">
        <v>70</v>
      </c>
      <c r="P9768" s="5">
        <v>8</v>
      </c>
      <c r="Q9768" s="5">
        <v>56</v>
      </c>
      <c r="R9768" s="5">
        <v>6</v>
      </c>
      <c r="S9768" s="5">
        <v>45</v>
      </c>
    </row>
    <row r="9769" spans="1:19" ht="28" x14ac:dyDescent="0.15">
      <c r="A9769" s="2">
        <f>HYPERLINK("https://open-school.uspishnemisto.com.ua/school/510602/", 510602)</f>
        <v>510602</v>
      </c>
      <c r="B9769" s="3" t="s">
        <v>49556</v>
      </c>
      <c r="C9769" s="3" t="s">
        <v>54</v>
      </c>
      <c r="D9769" s="3" t="s">
        <v>175</v>
      </c>
      <c r="E9769" s="4" t="s">
        <v>22</v>
      </c>
      <c r="F9769" s="4" t="s">
        <v>49557</v>
      </c>
      <c r="G9769" s="4" t="s">
        <v>49558</v>
      </c>
      <c r="H9769" s="3" t="s">
        <v>46910</v>
      </c>
      <c r="I9769" s="3" t="s">
        <v>12478</v>
      </c>
      <c r="J9769" s="3" t="s">
        <v>12836</v>
      </c>
      <c r="K9769" s="3" t="s">
        <v>49559</v>
      </c>
      <c r="L9769" s="3"/>
      <c r="M9769" s="4"/>
      <c r="N9769" s="3" t="s">
        <v>37</v>
      </c>
      <c r="O9769" s="3" t="s">
        <v>112</v>
      </c>
      <c r="P9769" s="5">
        <v>8</v>
      </c>
      <c r="Q9769" s="5">
        <v>55</v>
      </c>
      <c r="R9769" s="5">
        <v>8</v>
      </c>
      <c r="S9769" s="5">
        <v>52</v>
      </c>
    </row>
    <row r="9770" spans="1:19" ht="42" x14ac:dyDescent="0.15">
      <c r="A9770" s="2">
        <f>HYPERLINK("https://open-school.uspishnemisto.com.ua/school/510603/", 510603)</f>
        <v>510603</v>
      </c>
      <c r="B9770" s="3" t="s">
        <v>49560</v>
      </c>
      <c r="C9770" s="3" t="s">
        <v>54</v>
      </c>
      <c r="D9770" s="3" t="s">
        <v>32</v>
      </c>
      <c r="E9770" s="4" t="s">
        <v>22</v>
      </c>
      <c r="F9770" s="4" t="s">
        <v>49561</v>
      </c>
      <c r="G9770" s="4" t="s">
        <v>49562</v>
      </c>
      <c r="H9770" s="3" t="s">
        <v>46910</v>
      </c>
      <c r="I9770" s="3" t="s">
        <v>49563</v>
      </c>
      <c r="J9770" s="3" t="s">
        <v>634</v>
      </c>
      <c r="K9770" s="3" t="s">
        <v>49564</v>
      </c>
      <c r="L9770" s="3" t="s">
        <v>49565</v>
      </c>
      <c r="M9770" s="4"/>
      <c r="N9770" s="3" t="s">
        <v>37</v>
      </c>
      <c r="O9770" s="3" t="s">
        <v>38</v>
      </c>
      <c r="P9770" s="5">
        <v>8</v>
      </c>
      <c r="Q9770" s="5">
        <v>93</v>
      </c>
      <c r="R9770" s="5">
        <v>10</v>
      </c>
      <c r="S9770" s="5">
        <v>86</v>
      </c>
    </row>
    <row r="9771" spans="1:19" ht="28" x14ac:dyDescent="0.15">
      <c r="A9771" s="2">
        <f>HYPERLINK("https://open-school.uspishnemisto.com.ua/school/510604/", 510604)</f>
        <v>510604</v>
      </c>
      <c r="B9771" s="3" t="s">
        <v>49566</v>
      </c>
      <c r="C9771" s="3" t="s">
        <v>31</v>
      </c>
      <c r="D9771" s="3" t="s">
        <v>32</v>
      </c>
      <c r="E9771" s="4" t="s">
        <v>22</v>
      </c>
      <c r="F9771" s="4" t="s">
        <v>49536</v>
      </c>
      <c r="G9771" s="4" t="s">
        <v>49567</v>
      </c>
      <c r="H9771" s="3" t="s">
        <v>46910</v>
      </c>
      <c r="I9771" s="3" t="s">
        <v>49568</v>
      </c>
      <c r="J9771" s="3" t="s">
        <v>554</v>
      </c>
      <c r="K9771" s="3" t="s">
        <v>49569</v>
      </c>
      <c r="L9771" s="3"/>
      <c r="M9771" s="4"/>
      <c r="N9771" s="3" t="s">
        <v>37</v>
      </c>
      <c r="O9771" s="3" t="s">
        <v>38</v>
      </c>
      <c r="P9771" s="5">
        <v>8</v>
      </c>
      <c r="Q9771" s="5">
        <v>64</v>
      </c>
      <c r="R9771" s="5">
        <v>8</v>
      </c>
      <c r="S9771" s="5">
        <v>67</v>
      </c>
    </row>
    <row r="9772" spans="1:19" ht="28" x14ac:dyDescent="0.15">
      <c r="A9772" s="2">
        <f>HYPERLINK("https://open-school.uspishnemisto.com.ua/school/510605/", 510605)</f>
        <v>510605</v>
      </c>
      <c r="B9772" s="3" t="s">
        <v>49570</v>
      </c>
      <c r="C9772" s="3" t="s">
        <v>31</v>
      </c>
      <c r="D9772" s="3" t="s">
        <v>175</v>
      </c>
      <c r="E9772" s="4" t="s">
        <v>22</v>
      </c>
      <c r="F9772" s="4" t="s">
        <v>49571</v>
      </c>
      <c r="G9772" s="4" t="s">
        <v>49572</v>
      </c>
      <c r="H9772" s="3" t="s">
        <v>46910</v>
      </c>
      <c r="I9772" s="3" t="s">
        <v>12579</v>
      </c>
      <c r="J9772" s="3" t="s">
        <v>49573</v>
      </c>
      <c r="K9772" s="3" t="s">
        <v>49574</v>
      </c>
      <c r="L9772" s="3"/>
      <c r="M9772" s="4"/>
      <c r="N9772" s="3" t="s">
        <v>37</v>
      </c>
      <c r="O9772" s="3" t="s">
        <v>70</v>
      </c>
      <c r="P9772" s="5">
        <v>4</v>
      </c>
      <c r="Q9772" s="5">
        <v>40</v>
      </c>
      <c r="R9772" s="5">
        <v>4</v>
      </c>
      <c r="S9772" s="5">
        <v>43</v>
      </c>
    </row>
    <row r="9773" spans="1:19" ht="42" x14ac:dyDescent="0.15">
      <c r="A9773" s="2">
        <f>HYPERLINK("https://open-school.uspishnemisto.com.ua/school/510606/", 510606)</f>
        <v>510606</v>
      </c>
      <c r="B9773" s="3" t="s">
        <v>49575</v>
      </c>
      <c r="C9773" s="3" t="s">
        <v>31</v>
      </c>
      <c r="D9773" s="3" t="s">
        <v>32</v>
      </c>
      <c r="E9773" s="4" t="s">
        <v>22</v>
      </c>
      <c r="F9773" s="4" t="s">
        <v>49576</v>
      </c>
      <c r="G9773" s="4" t="s">
        <v>49577</v>
      </c>
      <c r="H9773" s="3" t="s">
        <v>46910</v>
      </c>
      <c r="I9773" s="3" t="s">
        <v>49578</v>
      </c>
      <c r="J9773" s="3" t="s">
        <v>45892</v>
      </c>
      <c r="K9773" s="3" t="s">
        <v>49579</v>
      </c>
      <c r="L9773" s="3"/>
      <c r="M9773" s="4"/>
      <c r="N9773" s="3" t="s">
        <v>37</v>
      </c>
      <c r="O9773" s="3" t="s">
        <v>38</v>
      </c>
      <c r="P9773" s="5">
        <v>24</v>
      </c>
      <c r="Q9773" s="5">
        <v>577</v>
      </c>
      <c r="R9773" s="5">
        <v>22</v>
      </c>
      <c r="S9773" s="5">
        <v>529</v>
      </c>
    </row>
    <row r="9774" spans="1:19" ht="42" x14ac:dyDescent="0.15">
      <c r="A9774" s="2">
        <f>HYPERLINK("https://open-school.uspishnemisto.com.ua/school/510607/", 510607)</f>
        <v>510607</v>
      </c>
      <c r="B9774" s="3" t="s">
        <v>49580</v>
      </c>
      <c r="C9774" s="3" t="s">
        <v>31</v>
      </c>
      <c r="D9774" s="3" t="s">
        <v>175</v>
      </c>
      <c r="E9774" s="4" t="s">
        <v>22</v>
      </c>
      <c r="F9774" s="4" t="s">
        <v>49581</v>
      </c>
      <c r="G9774" s="4" t="s">
        <v>49582</v>
      </c>
      <c r="H9774" s="3" t="s">
        <v>46910</v>
      </c>
      <c r="I9774" s="3" t="s">
        <v>49583</v>
      </c>
      <c r="J9774" s="3"/>
      <c r="K9774" s="3" t="s">
        <v>49584</v>
      </c>
      <c r="L9774" s="3"/>
      <c r="M9774" s="4"/>
      <c r="N9774" s="3" t="s">
        <v>37</v>
      </c>
      <c r="O9774" s="3" t="s">
        <v>52</v>
      </c>
      <c r="P9774" s="5">
        <v>0</v>
      </c>
      <c r="Q9774" s="5">
        <v>0</v>
      </c>
      <c r="R9774" s="5">
        <v>3</v>
      </c>
      <c r="S9774" s="5">
        <v>32</v>
      </c>
    </row>
    <row r="9775" spans="1:19" ht="56" x14ac:dyDescent="0.15">
      <c r="A9775" s="2">
        <f>HYPERLINK("https://open-school.uspishnemisto.com.ua/school/510608/", 510608)</f>
        <v>510608</v>
      </c>
      <c r="B9775" s="3" t="s">
        <v>49585</v>
      </c>
      <c r="C9775" s="3" t="s">
        <v>54</v>
      </c>
      <c r="D9775" s="3" t="s">
        <v>32</v>
      </c>
      <c r="E9775" s="4" t="s">
        <v>22</v>
      </c>
      <c r="F9775" s="4" t="s">
        <v>49586</v>
      </c>
      <c r="G9775" s="4" t="s">
        <v>49587</v>
      </c>
      <c r="H9775" s="3" t="s">
        <v>46910</v>
      </c>
      <c r="I9775" s="3" t="s">
        <v>3481</v>
      </c>
      <c r="J9775" s="3" t="s">
        <v>297</v>
      </c>
      <c r="K9775" s="3" t="s">
        <v>49588</v>
      </c>
      <c r="L9775" s="3" t="s">
        <v>49589</v>
      </c>
      <c r="M9775" s="4"/>
      <c r="N9775" s="3" t="s">
        <v>967</v>
      </c>
      <c r="O9775" s="3" t="s">
        <v>52</v>
      </c>
      <c r="P9775" s="5">
        <v>10</v>
      </c>
      <c r="Q9775" s="5">
        <v>97</v>
      </c>
      <c r="R9775" s="5">
        <v>10</v>
      </c>
      <c r="S9775" s="5">
        <v>103</v>
      </c>
    </row>
    <row r="9776" spans="1:19" ht="56" x14ac:dyDescent="0.15">
      <c r="A9776" s="2">
        <f>HYPERLINK("https://open-school.uspishnemisto.com.ua/school/510609/", 510609)</f>
        <v>510609</v>
      </c>
      <c r="B9776" s="3" t="s">
        <v>49590</v>
      </c>
      <c r="C9776" s="3" t="s">
        <v>54</v>
      </c>
      <c r="D9776" s="3" t="s">
        <v>60</v>
      </c>
      <c r="E9776" s="4" t="s">
        <v>22</v>
      </c>
      <c r="F9776" s="4" t="s">
        <v>49586</v>
      </c>
      <c r="G9776" s="4" t="s">
        <v>49591</v>
      </c>
      <c r="H9776" s="3" t="s">
        <v>46910</v>
      </c>
      <c r="I9776" s="3" t="s">
        <v>10816</v>
      </c>
      <c r="J9776" s="3"/>
      <c r="K9776" s="3" t="s">
        <v>49592</v>
      </c>
      <c r="L9776" s="3"/>
      <c r="M9776" s="4"/>
      <c r="N9776" s="3" t="s">
        <v>37</v>
      </c>
      <c r="O9776" s="3" t="s">
        <v>52</v>
      </c>
      <c r="P9776" s="5">
        <v>0</v>
      </c>
      <c r="Q9776" s="5">
        <v>8</v>
      </c>
      <c r="R9776" s="5">
        <v>2</v>
      </c>
      <c r="S9776" s="5">
        <v>9</v>
      </c>
    </row>
    <row r="9777" spans="1:19" ht="42" x14ac:dyDescent="0.15">
      <c r="A9777" s="2">
        <f>HYPERLINK("https://open-school.uspishnemisto.com.ua/school/510610/", 510610)</f>
        <v>510610</v>
      </c>
      <c r="B9777" s="3" t="s">
        <v>49593</v>
      </c>
      <c r="C9777" s="3" t="s">
        <v>54</v>
      </c>
      <c r="D9777" s="3" t="s">
        <v>175</v>
      </c>
      <c r="E9777" s="4" t="s">
        <v>22</v>
      </c>
      <c r="F9777" s="4" t="s">
        <v>49594</v>
      </c>
      <c r="G9777" s="4" t="s">
        <v>49595</v>
      </c>
      <c r="H9777" s="3" t="s">
        <v>46910</v>
      </c>
      <c r="I9777" s="3" t="s">
        <v>49596</v>
      </c>
      <c r="J9777" s="3"/>
      <c r="K9777" s="3"/>
      <c r="L9777" s="3"/>
      <c r="M9777" s="4"/>
      <c r="N9777" s="3" t="s">
        <v>37</v>
      </c>
      <c r="O9777" s="3" t="s">
        <v>52</v>
      </c>
      <c r="P9777" s="5">
        <v>8</v>
      </c>
      <c r="Q9777" s="5">
        <v>71</v>
      </c>
      <c r="R9777" s="5">
        <v>7</v>
      </c>
      <c r="S9777" s="5">
        <v>70</v>
      </c>
    </row>
    <row r="9778" spans="1:19" ht="42" x14ac:dyDescent="0.15">
      <c r="A9778" s="2">
        <f>HYPERLINK("https://open-school.uspishnemisto.com.ua/school/510611/", 510611)</f>
        <v>510611</v>
      </c>
      <c r="B9778" s="3" t="s">
        <v>49597</v>
      </c>
      <c r="C9778" s="3" t="s">
        <v>54</v>
      </c>
      <c r="D9778" s="3" t="s">
        <v>32</v>
      </c>
      <c r="E9778" s="4" t="s">
        <v>22</v>
      </c>
      <c r="F9778" s="4" t="s">
        <v>49598</v>
      </c>
      <c r="G9778" s="4" t="s">
        <v>49599</v>
      </c>
      <c r="H9778" s="3" t="s">
        <v>46910</v>
      </c>
      <c r="I9778" s="3" t="s">
        <v>17856</v>
      </c>
      <c r="J9778" s="3"/>
      <c r="K9778" s="3" t="s">
        <v>49600</v>
      </c>
      <c r="L9778" s="3"/>
      <c r="M9778" s="4"/>
      <c r="N9778" s="3" t="s">
        <v>37</v>
      </c>
      <c r="O9778" s="3" t="s">
        <v>46</v>
      </c>
      <c r="P9778" s="5">
        <v>9</v>
      </c>
      <c r="Q9778" s="5">
        <v>81</v>
      </c>
      <c r="R9778" s="5">
        <v>8</v>
      </c>
      <c r="S9778" s="5">
        <v>71</v>
      </c>
    </row>
    <row r="9779" spans="1:19" ht="42" x14ac:dyDescent="0.15">
      <c r="A9779" s="2">
        <f>HYPERLINK("https://open-school.uspishnemisto.com.ua/school/510612/", 510612)</f>
        <v>510612</v>
      </c>
      <c r="B9779" s="3" t="s">
        <v>49601</v>
      </c>
      <c r="C9779" s="3" t="s">
        <v>54</v>
      </c>
      <c r="D9779" s="3" t="s">
        <v>175</v>
      </c>
      <c r="E9779" s="4" t="s">
        <v>22</v>
      </c>
      <c r="F9779" s="4" t="s">
        <v>49602</v>
      </c>
      <c r="G9779" s="4" t="s">
        <v>49603</v>
      </c>
      <c r="H9779" s="3" t="s">
        <v>46910</v>
      </c>
      <c r="I9779" s="3" t="s">
        <v>49604</v>
      </c>
      <c r="J9779" s="3"/>
      <c r="K9779" s="3" t="s">
        <v>49605</v>
      </c>
      <c r="L9779" s="3"/>
      <c r="M9779" s="4"/>
      <c r="N9779" s="3" t="s">
        <v>37</v>
      </c>
      <c r="O9779" s="3" t="s">
        <v>618</v>
      </c>
      <c r="P9779" s="5">
        <v>5</v>
      </c>
      <c r="Q9779" s="5">
        <v>39</v>
      </c>
      <c r="R9779" s="5">
        <v>4</v>
      </c>
      <c r="S9779" s="5">
        <v>37</v>
      </c>
    </row>
    <row r="9780" spans="1:19" ht="28" x14ac:dyDescent="0.15">
      <c r="A9780" s="2">
        <f>HYPERLINK("https://open-school.uspishnemisto.com.ua/school/510613/", 510613)</f>
        <v>510613</v>
      </c>
      <c r="B9780" s="3" t="s">
        <v>49606</v>
      </c>
      <c r="C9780" s="3" t="s">
        <v>31</v>
      </c>
      <c r="D9780" s="3" t="s">
        <v>32</v>
      </c>
      <c r="E9780" s="4" t="s">
        <v>22</v>
      </c>
      <c r="F9780" s="4" t="s">
        <v>49607</v>
      </c>
      <c r="G9780" s="4" t="s">
        <v>49608</v>
      </c>
      <c r="H9780" s="3" t="s">
        <v>46910</v>
      </c>
      <c r="I9780" s="3" t="s">
        <v>49609</v>
      </c>
      <c r="J9780" s="3"/>
      <c r="K9780" s="3" t="s">
        <v>49610</v>
      </c>
      <c r="L9780" s="3"/>
      <c r="M9780" s="4"/>
      <c r="N9780" s="3" t="s">
        <v>37</v>
      </c>
      <c r="O9780" s="3" t="s">
        <v>46</v>
      </c>
      <c r="P9780" s="5">
        <v>11</v>
      </c>
      <c r="Q9780" s="5">
        <v>131</v>
      </c>
      <c r="R9780" s="5">
        <v>10</v>
      </c>
      <c r="S9780" s="5">
        <v>110</v>
      </c>
    </row>
    <row r="9781" spans="1:19" ht="42" x14ac:dyDescent="0.15">
      <c r="A9781" s="2">
        <f>HYPERLINK("https://open-school.uspishnemisto.com.ua/school/510614/", 510614)</f>
        <v>510614</v>
      </c>
      <c r="B9781" s="3" t="s">
        <v>49611</v>
      </c>
      <c r="C9781" s="3" t="s">
        <v>54</v>
      </c>
      <c r="D9781" s="3" t="s">
        <v>60</v>
      </c>
      <c r="E9781" s="4" t="s">
        <v>22</v>
      </c>
      <c r="F9781" s="4" t="s">
        <v>49612</v>
      </c>
      <c r="G9781" s="4" t="s">
        <v>49613</v>
      </c>
      <c r="H9781" s="3" t="s">
        <v>46910</v>
      </c>
      <c r="I9781" s="3" t="s">
        <v>49614</v>
      </c>
      <c r="J9781" s="3"/>
      <c r="K9781" s="3" t="s">
        <v>49615</v>
      </c>
      <c r="L9781" s="3"/>
      <c r="M9781" s="4"/>
      <c r="N9781" s="3" t="s">
        <v>37</v>
      </c>
      <c r="O9781" s="3" t="s">
        <v>618</v>
      </c>
      <c r="P9781" s="5">
        <v>1</v>
      </c>
      <c r="Q9781" s="5">
        <v>8</v>
      </c>
      <c r="R9781" s="5">
        <v>3</v>
      </c>
      <c r="S9781" s="5">
        <v>14</v>
      </c>
    </row>
    <row r="9782" spans="1:19" ht="42" x14ac:dyDescent="0.15">
      <c r="A9782" s="2">
        <f>HYPERLINK("https://open-school.uspishnemisto.com.ua/school/510615/", 510615)</f>
        <v>510615</v>
      </c>
      <c r="B9782" s="3" t="s">
        <v>49616</v>
      </c>
      <c r="C9782" s="3" t="s">
        <v>54</v>
      </c>
      <c r="D9782" s="3" t="s">
        <v>60</v>
      </c>
      <c r="E9782" s="4" t="s">
        <v>22</v>
      </c>
      <c r="F9782" s="4" t="s">
        <v>49617</v>
      </c>
      <c r="G9782" s="4" t="s">
        <v>49618</v>
      </c>
      <c r="H9782" s="3" t="s">
        <v>46910</v>
      </c>
      <c r="I9782" s="3" t="s">
        <v>6415</v>
      </c>
      <c r="J9782" s="3"/>
      <c r="K9782" s="3" t="s">
        <v>49619</v>
      </c>
      <c r="L9782" s="3"/>
      <c r="M9782" s="4"/>
      <c r="N9782" s="3" t="s">
        <v>37</v>
      </c>
      <c r="O9782" s="3" t="s">
        <v>52</v>
      </c>
      <c r="P9782" s="5">
        <v>0</v>
      </c>
      <c r="Q9782" s="5">
        <v>12</v>
      </c>
      <c r="R9782" s="5">
        <v>2</v>
      </c>
      <c r="S9782" s="5">
        <v>14</v>
      </c>
    </row>
    <row r="9783" spans="1:19" ht="42" x14ac:dyDescent="0.15">
      <c r="A9783" s="2">
        <f>HYPERLINK("https://open-school.uspishnemisto.com.ua/school/510616/", 510616)</f>
        <v>510616</v>
      </c>
      <c r="B9783" s="3" t="s">
        <v>49620</v>
      </c>
      <c r="C9783" s="3" t="s">
        <v>54</v>
      </c>
      <c r="D9783" s="3" t="s">
        <v>32</v>
      </c>
      <c r="E9783" s="4" t="s">
        <v>22</v>
      </c>
      <c r="F9783" s="4" t="s">
        <v>49621</v>
      </c>
      <c r="G9783" s="4" t="s">
        <v>49622</v>
      </c>
      <c r="H9783" s="3" t="s">
        <v>46910</v>
      </c>
      <c r="I9783" s="3" t="s">
        <v>49623</v>
      </c>
      <c r="J9783" s="3"/>
      <c r="K9783" s="3" t="s">
        <v>49624</v>
      </c>
      <c r="L9783" s="3"/>
      <c r="M9783" s="4"/>
      <c r="N9783" s="3" t="s">
        <v>37</v>
      </c>
      <c r="O9783" s="3" t="s">
        <v>52</v>
      </c>
      <c r="P9783" s="5">
        <v>11</v>
      </c>
      <c r="Q9783" s="5">
        <v>108</v>
      </c>
      <c r="R9783" s="5">
        <v>11</v>
      </c>
      <c r="S9783" s="5">
        <v>107</v>
      </c>
    </row>
    <row r="9784" spans="1:19" ht="28" x14ac:dyDescent="0.15">
      <c r="A9784" s="2">
        <f>HYPERLINK("https://open-school.uspishnemisto.com.ua/school/510617/", 510617)</f>
        <v>510617</v>
      </c>
      <c r="B9784" s="3" t="s">
        <v>49625</v>
      </c>
      <c r="C9784" s="3" t="s">
        <v>188</v>
      </c>
      <c r="D9784" s="3" t="s">
        <v>32</v>
      </c>
      <c r="E9784" s="4" t="s">
        <v>22</v>
      </c>
      <c r="F9784" s="4" t="s">
        <v>49626</v>
      </c>
      <c r="G9784" s="4" t="s">
        <v>49627</v>
      </c>
      <c r="H9784" s="3" t="s">
        <v>46910</v>
      </c>
      <c r="I9784" s="3" t="s">
        <v>49628</v>
      </c>
      <c r="J9784" s="3"/>
      <c r="K9784" s="3" t="s">
        <v>49629</v>
      </c>
      <c r="L9784" s="3" t="s">
        <v>49630</v>
      </c>
      <c r="M9784" s="4"/>
      <c r="N9784" s="3" t="s">
        <v>37</v>
      </c>
      <c r="O9784" s="3" t="s">
        <v>52</v>
      </c>
      <c r="P9784" s="5">
        <v>10</v>
      </c>
      <c r="Q9784" s="5">
        <v>95</v>
      </c>
      <c r="R9784" s="5">
        <v>11</v>
      </c>
      <c r="S9784" s="5">
        <v>96</v>
      </c>
    </row>
    <row r="9785" spans="1:19" ht="28" x14ac:dyDescent="0.15">
      <c r="A9785" s="2">
        <f>HYPERLINK("https://open-school.uspishnemisto.com.ua/school/510618/", 510618)</f>
        <v>510618</v>
      </c>
      <c r="B9785" s="3" t="s">
        <v>49631</v>
      </c>
      <c r="C9785" s="3" t="s">
        <v>31</v>
      </c>
      <c r="D9785" s="3" t="s">
        <v>32</v>
      </c>
      <c r="E9785" s="4" t="s">
        <v>22</v>
      </c>
      <c r="F9785" s="4" t="s">
        <v>49632</v>
      </c>
      <c r="G9785" s="4" t="s">
        <v>49633</v>
      </c>
      <c r="H9785" s="3" t="s">
        <v>46910</v>
      </c>
      <c r="I9785" s="3" t="s">
        <v>16212</v>
      </c>
      <c r="J9785" s="3" t="s">
        <v>1417</v>
      </c>
      <c r="K9785" s="3" t="s">
        <v>49634</v>
      </c>
      <c r="L9785" s="3"/>
      <c r="M9785" s="4"/>
      <c r="N9785" s="3" t="s">
        <v>37</v>
      </c>
      <c r="O9785" s="3" t="s">
        <v>52</v>
      </c>
      <c r="P9785" s="5">
        <v>11</v>
      </c>
      <c r="Q9785" s="5">
        <v>152</v>
      </c>
      <c r="R9785" s="5">
        <v>11</v>
      </c>
      <c r="S9785" s="5">
        <v>150</v>
      </c>
    </row>
    <row r="9786" spans="1:19" ht="28" x14ac:dyDescent="0.15">
      <c r="A9786" s="2">
        <f>HYPERLINK("https://open-school.uspishnemisto.com.ua/school/510619/", 510619)</f>
        <v>510619</v>
      </c>
      <c r="B9786" s="3" t="s">
        <v>49635</v>
      </c>
      <c r="C9786" s="3" t="s">
        <v>31</v>
      </c>
      <c r="D9786" s="3" t="s">
        <v>32</v>
      </c>
      <c r="E9786" s="4" t="s">
        <v>22</v>
      </c>
      <c r="F9786" s="4" t="s">
        <v>49636</v>
      </c>
      <c r="G9786" s="4" t="s">
        <v>49637</v>
      </c>
      <c r="H9786" s="3" t="s">
        <v>46910</v>
      </c>
      <c r="I9786" s="3" t="s">
        <v>49638</v>
      </c>
      <c r="J9786" s="3"/>
      <c r="K9786" s="3" t="s">
        <v>49639</v>
      </c>
      <c r="L9786" s="3"/>
      <c r="M9786" s="4"/>
      <c r="N9786" s="3" t="s">
        <v>37</v>
      </c>
      <c r="O9786" s="3" t="s">
        <v>618</v>
      </c>
      <c r="P9786" s="5">
        <v>11</v>
      </c>
      <c r="Q9786" s="5">
        <v>175</v>
      </c>
      <c r="R9786" s="5">
        <v>11</v>
      </c>
      <c r="S9786" s="5">
        <v>173</v>
      </c>
    </row>
    <row r="9787" spans="1:19" ht="42" x14ac:dyDescent="0.15">
      <c r="A9787" s="2">
        <f>HYPERLINK("https://open-school.uspishnemisto.com.ua/school/510620/", 510620)</f>
        <v>510620</v>
      </c>
      <c r="B9787" s="3" t="s">
        <v>49640</v>
      </c>
      <c r="C9787" s="3" t="s">
        <v>54</v>
      </c>
      <c r="D9787" s="3" t="s">
        <v>175</v>
      </c>
      <c r="E9787" s="4" t="s">
        <v>22</v>
      </c>
      <c r="F9787" s="4" t="s">
        <v>49641</v>
      </c>
      <c r="G9787" s="4" t="s">
        <v>49642</v>
      </c>
      <c r="H9787" s="3" t="s">
        <v>46910</v>
      </c>
      <c r="I9787" s="3" t="s">
        <v>49643</v>
      </c>
      <c r="J9787" s="3"/>
      <c r="K9787" s="3"/>
      <c r="L9787" s="3"/>
      <c r="M9787" s="4"/>
      <c r="N9787" s="3" t="s">
        <v>37</v>
      </c>
      <c r="O9787" s="3" t="s">
        <v>52</v>
      </c>
      <c r="P9787" s="5">
        <v>5</v>
      </c>
      <c r="Q9787" s="5">
        <v>42</v>
      </c>
      <c r="R9787" s="5">
        <v>5</v>
      </c>
      <c r="S9787" s="5">
        <v>42</v>
      </c>
    </row>
    <row r="9788" spans="1:19" ht="42" x14ac:dyDescent="0.15">
      <c r="A9788" s="2">
        <f>HYPERLINK("https://open-school.uspishnemisto.com.ua/school/510621/", 510621)</f>
        <v>510621</v>
      </c>
      <c r="B9788" s="3" t="s">
        <v>49644</v>
      </c>
      <c r="C9788" s="3" t="s">
        <v>54</v>
      </c>
      <c r="D9788" s="3" t="s">
        <v>32</v>
      </c>
      <c r="E9788" s="4" t="s">
        <v>22</v>
      </c>
      <c r="F9788" s="4" t="s">
        <v>49645</v>
      </c>
      <c r="G9788" s="4" t="s">
        <v>49646</v>
      </c>
      <c r="H9788" s="3" t="s">
        <v>46910</v>
      </c>
      <c r="I9788" s="3" t="s">
        <v>49647</v>
      </c>
      <c r="J9788" s="3"/>
      <c r="K9788" s="3" t="s">
        <v>49648</v>
      </c>
      <c r="L9788" s="3" t="s">
        <v>49649</v>
      </c>
      <c r="M9788" s="4"/>
      <c r="N9788" s="3" t="s">
        <v>37</v>
      </c>
      <c r="O9788" s="3" t="s">
        <v>52</v>
      </c>
      <c r="P9788" s="5">
        <v>13</v>
      </c>
      <c r="Q9788" s="5">
        <v>210</v>
      </c>
      <c r="R9788" s="5">
        <v>13</v>
      </c>
      <c r="S9788" s="5">
        <v>228</v>
      </c>
    </row>
    <row r="9789" spans="1:19" ht="28" x14ac:dyDescent="0.15">
      <c r="A9789" s="2">
        <f>HYPERLINK("https://open-school.uspishnemisto.com.ua/school/510622/", 510622)</f>
        <v>510622</v>
      </c>
      <c r="B9789" s="3" t="s">
        <v>49650</v>
      </c>
      <c r="C9789" s="3" t="s">
        <v>31</v>
      </c>
      <c r="D9789" s="3" t="s">
        <v>32</v>
      </c>
      <c r="E9789" s="4" t="s">
        <v>22</v>
      </c>
      <c r="F9789" s="4" t="s">
        <v>49651</v>
      </c>
      <c r="G9789" s="4" t="s">
        <v>49652</v>
      </c>
      <c r="H9789" s="3" t="s">
        <v>46910</v>
      </c>
      <c r="I9789" s="3" t="s">
        <v>49653</v>
      </c>
      <c r="J9789" s="3" t="s">
        <v>49654</v>
      </c>
      <c r="K9789" s="3"/>
      <c r="L9789" s="3"/>
      <c r="M9789" s="4"/>
      <c r="N9789" s="3" t="s">
        <v>37</v>
      </c>
      <c r="O9789" s="3" t="s">
        <v>38</v>
      </c>
      <c r="P9789" s="5">
        <v>11</v>
      </c>
      <c r="Q9789" s="5">
        <v>142</v>
      </c>
      <c r="R9789" s="5">
        <v>11</v>
      </c>
      <c r="S9789" s="5">
        <v>136</v>
      </c>
    </row>
    <row r="9790" spans="1:19" ht="42" x14ac:dyDescent="0.15">
      <c r="A9790" s="2">
        <f>HYPERLINK("https://open-school.uspishnemisto.com.ua/school/510623/", 510623)</f>
        <v>510623</v>
      </c>
      <c r="B9790" s="3" t="s">
        <v>49655</v>
      </c>
      <c r="C9790" s="3" t="s">
        <v>54</v>
      </c>
      <c r="D9790" s="3" t="s">
        <v>175</v>
      </c>
      <c r="E9790" s="4" t="s">
        <v>22</v>
      </c>
      <c r="F9790" s="4" t="s">
        <v>49656</v>
      </c>
      <c r="G9790" s="4" t="s">
        <v>49657</v>
      </c>
      <c r="H9790" s="3" t="s">
        <v>46910</v>
      </c>
      <c r="I9790" s="3" t="s">
        <v>49658</v>
      </c>
      <c r="J9790" s="3"/>
      <c r="K9790" s="3" t="s">
        <v>12781</v>
      </c>
      <c r="L9790" s="3"/>
      <c r="M9790" s="4"/>
      <c r="N9790" s="3" t="s">
        <v>37</v>
      </c>
      <c r="O9790" s="3" t="s">
        <v>618</v>
      </c>
      <c r="P9790" s="5">
        <v>8</v>
      </c>
      <c r="Q9790" s="5">
        <v>71</v>
      </c>
      <c r="R9790" s="5">
        <v>8</v>
      </c>
      <c r="S9790" s="5">
        <v>64</v>
      </c>
    </row>
    <row r="9791" spans="1:19" ht="42" x14ac:dyDescent="0.15">
      <c r="A9791" s="2">
        <f>HYPERLINK("https://open-school.uspishnemisto.com.ua/school/510624/", 510624)</f>
        <v>510624</v>
      </c>
      <c r="B9791" s="3" t="s">
        <v>49659</v>
      </c>
      <c r="C9791" s="3" t="s">
        <v>54</v>
      </c>
      <c r="D9791" s="3" t="s">
        <v>175</v>
      </c>
      <c r="E9791" s="4" t="s">
        <v>22</v>
      </c>
      <c r="F9791" s="4" t="s">
        <v>49660</v>
      </c>
      <c r="G9791" s="4" t="s">
        <v>49661</v>
      </c>
      <c r="H9791" s="3" t="s">
        <v>46910</v>
      </c>
      <c r="I9791" s="3" t="s">
        <v>49662</v>
      </c>
      <c r="J9791" s="3"/>
      <c r="K9791" s="3" t="s">
        <v>49663</v>
      </c>
      <c r="L9791" s="3"/>
      <c r="M9791" s="4"/>
      <c r="N9791" s="3" t="s">
        <v>37</v>
      </c>
      <c r="O9791" s="3" t="s">
        <v>52</v>
      </c>
      <c r="P9791" s="5">
        <v>8</v>
      </c>
      <c r="Q9791" s="5">
        <v>65</v>
      </c>
      <c r="R9791" s="5">
        <v>6</v>
      </c>
      <c r="S9791" s="5">
        <v>59</v>
      </c>
    </row>
    <row r="9792" spans="1:19" ht="28" x14ac:dyDescent="0.15">
      <c r="A9792" s="2">
        <f>HYPERLINK("https://open-school.uspishnemisto.com.ua/school/510625/", 510625)</f>
        <v>510625</v>
      </c>
      <c r="B9792" s="3" t="s">
        <v>49664</v>
      </c>
      <c r="C9792" s="3" t="s">
        <v>181</v>
      </c>
      <c r="D9792" s="3" t="s">
        <v>175</v>
      </c>
      <c r="E9792" s="4" t="s">
        <v>22</v>
      </c>
      <c r="F9792" s="4" t="s">
        <v>49665</v>
      </c>
      <c r="G9792" s="4" t="s">
        <v>49666</v>
      </c>
      <c r="H9792" s="3" t="s">
        <v>46910</v>
      </c>
      <c r="I9792" s="3" t="s">
        <v>49667</v>
      </c>
      <c r="J9792" s="3"/>
      <c r="K9792" s="3"/>
      <c r="L9792" s="3"/>
      <c r="M9792" s="4" t="s">
        <v>49668</v>
      </c>
      <c r="N9792" s="3" t="s">
        <v>37</v>
      </c>
      <c r="O9792" s="3"/>
      <c r="P9792" s="5">
        <v>10</v>
      </c>
      <c r="Q9792" s="5">
        <v>107</v>
      </c>
      <c r="R9792" s="5">
        <v>10</v>
      </c>
      <c r="S9792" s="5">
        <v>113</v>
      </c>
    </row>
    <row r="9793" spans="1:19" ht="28" x14ac:dyDescent="0.15">
      <c r="A9793" s="2">
        <f>HYPERLINK("https://open-school.uspishnemisto.com.ua/school/510626/", 510626)</f>
        <v>510626</v>
      </c>
      <c r="B9793" s="3" t="s">
        <v>49669</v>
      </c>
      <c r="C9793" s="3" t="s">
        <v>31</v>
      </c>
      <c r="D9793" s="3" t="s">
        <v>32</v>
      </c>
      <c r="E9793" s="4" t="s">
        <v>22</v>
      </c>
      <c r="F9793" s="4" t="s">
        <v>49665</v>
      </c>
      <c r="G9793" s="4" t="s">
        <v>49666</v>
      </c>
      <c r="H9793" s="3" t="s">
        <v>46910</v>
      </c>
      <c r="I9793" s="3" t="s">
        <v>49667</v>
      </c>
      <c r="J9793" s="3" t="s">
        <v>18871</v>
      </c>
      <c r="K9793" s="3" t="s">
        <v>49670</v>
      </c>
      <c r="L9793" s="3"/>
      <c r="M9793" s="4"/>
      <c r="N9793" s="3" t="s">
        <v>37</v>
      </c>
      <c r="O9793" s="3" t="s">
        <v>46</v>
      </c>
      <c r="P9793" s="5">
        <v>11</v>
      </c>
      <c r="Q9793" s="5">
        <v>158</v>
      </c>
      <c r="R9793" s="5">
        <v>11</v>
      </c>
      <c r="S9793" s="5">
        <v>159</v>
      </c>
    </row>
    <row r="9794" spans="1:19" ht="28" x14ac:dyDescent="0.15">
      <c r="A9794" s="2">
        <f>HYPERLINK("https://open-school.uspishnemisto.com.ua/school/510627/", 510627)</f>
        <v>510627</v>
      </c>
      <c r="B9794" s="3" t="s">
        <v>49671</v>
      </c>
      <c r="C9794" s="3" t="s">
        <v>54</v>
      </c>
      <c r="D9794" s="3" t="s">
        <v>32</v>
      </c>
      <c r="E9794" s="4" t="s">
        <v>22</v>
      </c>
      <c r="F9794" s="4" t="s">
        <v>49672</v>
      </c>
      <c r="G9794" s="4" t="s">
        <v>49673</v>
      </c>
      <c r="H9794" s="3" t="s">
        <v>46910</v>
      </c>
      <c r="I9794" s="3" t="s">
        <v>49674</v>
      </c>
      <c r="J9794" s="3" t="s">
        <v>49675</v>
      </c>
      <c r="K9794" s="3" t="s">
        <v>49676</v>
      </c>
      <c r="L9794" s="3"/>
      <c r="M9794" s="4"/>
      <c r="N9794" s="3" t="s">
        <v>37</v>
      </c>
      <c r="O9794" s="3" t="s">
        <v>70</v>
      </c>
      <c r="P9794" s="5">
        <v>33</v>
      </c>
      <c r="Q9794" s="5">
        <v>700</v>
      </c>
      <c r="R9794" s="5">
        <v>31</v>
      </c>
      <c r="S9794" s="5">
        <v>689</v>
      </c>
    </row>
    <row r="9795" spans="1:19" ht="28" x14ac:dyDescent="0.15">
      <c r="A9795" s="2">
        <f>HYPERLINK("https://open-school.uspishnemisto.com.ua/school/510628/", 510628)</f>
        <v>510628</v>
      </c>
      <c r="B9795" s="3" t="s">
        <v>49677</v>
      </c>
      <c r="C9795" s="3" t="s">
        <v>54</v>
      </c>
      <c r="D9795" s="3" t="s">
        <v>32</v>
      </c>
      <c r="E9795" s="4" t="s">
        <v>22</v>
      </c>
      <c r="F9795" s="4" t="s">
        <v>49672</v>
      </c>
      <c r="G9795" s="4" t="s">
        <v>49673</v>
      </c>
      <c r="H9795" s="3" t="s">
        <v>46910</v>
      </c>
      <c r="I9795" s="3" t="s">
        <v>49674</v>
      </c>
      <c r="J9795" s="3" t="s">
        <v>49678</v>
      </c>
      <c r="K9795" s="3" t="s">
        <v>49679</v>
      </c>
      <c r="L9795" s="3" t="s">
        <v>49680</v>
      </c>
      <c r="M9795" s="4"/>
      <c r="N9795" s="3" t="s">
        <v>37</v>
      </c>
      <c r="O9795" s="3" t="s">
        <v>38</v>
      </c>
      <c r="P9795" s="5">
        <v>24</v>
      </c>
      <c r="Q9795" s="5">
        <v>514</v>
      </c>
      <c r="R9795" s="5">
        <v>23</v>
      </c>
      <c r="S9795" s="5">
        <v>505</v>
      </c>
    </row>
    <row r="9796" spans="1:19" ht="28" x14ac:dyDescent="0.15">
      <c r="A9796" s="2">
        <f>HYPERLINK("https://open-school.uspishnemisto.com.ua/school/510629/", 510629)</f>
        <v>510629</v>
      </c>
      <c r="B9796" s="3" t="s">
        <v>49681</v>
      </c>
      <c r="C9796" s="3" t="s">
        <v>31</v>
      </c>
      <c r="D9796" s="3" t="s">
        <v>32</v>
      </c>
      <c r="E9796" s="4" t="s">
        <v>22</v>
      </c>
      <c r="F9796" s="4" t="s">
        <v>49682</v>
      </c>
      <c r="G9796" s="4" t="s">
        <v>49683</v>
      </c>
      <c r="H9796" s="3" t="s">
        <v>46910</v>
      </c>
      <c r="I9796" s="3" t="s">
        <v>49684</v>
      </c>
      <c r="J9796" s="3" t="s">
        <v>792</v>
      </c>
      <c r="K9796" s="3" t="s">
        <v>49685</v>
      </c>
      <c r="L9796" s="3" t="s">
        <v>49686</v>
      </c>
      <c r="M9796" s="4"/>
      <c r="N9796" s="3" t="s">
        <v>37</v>
      </c>
      <c r="O9796" s="3" t="s">
        <v>38</v>
      </c>
      <c r="P9796" s="5">
        <v>15</v>
      </c>
      <c r="Q9796" s="5">
        <v>305</v>
      </c>
      <c r="R9796" s="5">
        <v>15</v>
      </c>
      <c r="S9796" s="5">
        <v>302</v>
      </c>
    </row>
    <row r="9797" spans="1:19" ht="28" x14ac:dyDescent="0.15">
      <c r="A9797" s="2">
        <f>HYPERLINK("https://open-school.uspishnemisto.com.ua/school/510630/", 510630)</f>
        <v>510630</v>
      </c>
      <c r="B9797" s="3" t="s">
        <v>49687</v>
      </c>
      <c r="C9797" s="3" t="s">
        <v>31</v>
      </c>
      <c r="D9797" s="3" t="s">
        <v>175</v>
      </c>
      <c r="E9797" s="4" t="s">
        <v>22</v>
      </c>
      <c r="F9797" s="4" t="s">
        <v>49688</v>
      </c>
      <c r="G9797" s="4" t="s">
        <v>49689</v>
      </c>
      <c r="H9797" s="3" t="s">
        <v>46910</v>
      </c>
      <c r="I9797" s="3" t="s">
        <v>49690</v>
      </c>
      <c r="J9797" s="3" t="s">
        <v>12559</v>
      </c>
      <c r="K9797" s="3"/>
      <c r="L9797" s="3"/>
      <c r="M9797" s="4"/>
      <c r="N9797" s="3" t="s">
        <v>37</v>
      </c>
      <c r="O9797" s="3" t="s">
        <v>112</v>
      </c>
      <c r="P9797" s="5">
        <v>2</v>
      </c>
      <c r="Q9797" s="5">
        <v>21</v>
      </c>
      <c r="R9797" s="5">
        <v>6</v>
      </c>
      <c r="S9797" s="5">
        <v>31</v>
      </c>
    </row>
    <row r="9798" spans="1:19" ht="28" x14ac:dyDescent="0.15">
      <c r="A9798" s="2">
        <f>HYPERLINK("https://open-school.uspishnemisto.com.ua/school/510631/", 510631)</f>
        <v>510631</v>
      </c>
      <c r="B9798" s="3" t="s">
        <v>49691</v>
      </c>
      <c r="C9798" s="3" t="s">
        <v>31</v>
      </c>
      <c r="D9798" s="3" t="s">
        <v>32</v>
      </c>
      <c r="E9798" s="4" t="s">
        <v>22</v>
      </c>
      <c r="F9798" s="4" t="s">
        <v>49692</v>
      </c>
      <c r="G9798" s="4" t="s">
        <v>49693</v>
      </c>
      <c r="H9798" s="3" t="s">
        <v>46910</v>
      </c>
      <c r="I9798" s="3" t="s">
        <v>49694</v>
      </c>
      <c r="J9798" s="3" t="s">
        <v>18253</v>
      </c>
      <c r="K9798" s="3" t="s">
        <v>49695</v>
      </c>
      <c r="L9798" s="3"/>
      <c r="M9798" s="4"/>
      <c r="N9798" s="3" t="s">
        <v>37</v>
      </c>
      <c r="O9798" s="3" t="s">
        <v>38</v>
      </c>
      <c r="P9798" s="5">
        <v>9</v>
      </c>
      <c r="Q9798" s="5">
        <v>89</v>
      </c>
      <c r="R9798" s="5">
        <v>9</v>
      </c>
      <c r="S9798" s="5">
        <v>99</v>
      </c>
    </row>
    <row r="9799" spans="1:19" ht="28" x14ac:dyDescent="0.15">
      <c r="A9799" s="2">
        <f>HYPERLINK("https://open-school.uspishnemisto.com.ua/school/510632/", 510632)</f>
        <v>510632</v>
      </c>
      <c r="B9799" s="3" t="s">
        <v>49696</v>
      </c>
      <c r="C9799" s="3" t="s">
        <v>31</v>
      </c>
      <c r="D9799" s="3" t="s">
        <v>32</v>
      </c>
      <c r="E9799" s="4" t="s">
        <v>22</v>
      </c>
      <c r="F9799" s="4" t="s">
        <v>49697</v>
      </c>
      <c r="G9799" s="4" t="s">
        <v>49698</v>
      </c>
      <c r="H9799" s="3" t="s">
        <v>46910</v>
      </c>
      <c r="I9799" s="3" t="s">
        <v>49699</v>
      </c>
      <c r="J9799" s="3" t="s">
        <v>49700</v>
      </c>
      <c r="K9799" s="3" t="s">
        <v>49701</v>
      </c>
      <c r="L9799" s="3"/>
      <c r="M9799" s="4"/>
      <c r="N9799" s="3" t="s">
        <v>37</v>
      </c>
      <c r="O9799" s="3" t="s">
        <v>38</v>
      </c>
      <c r="P9799" s="5">
        <v>10</v>
      </c>
      <c r="Q9799" s="5">
        <v>87</v>
      </c>
      <c r="R9799" s="5">
        <v>10</v>
      </c>
      <c r="S9799" s="5">
        <v>88</v>
      </c>
    </row>
    <row r="9800" spans="1:19" ht="28" x14ac:dyDescent="0.15">
      <c r="A9800" s="2">
        <f>HYPERLINK("https://open-school.uspishnemisto.com.ua/school/510633/", 510633)</f>
        <v>510633</v>
      </c>
      <c r="B9800" s="3" t="s">
        <v>49702</v>
      </c>
      <c r="C9800" s="3" t="s">
        <v>31</v>
      </c>
      <c r="D9800" s="3" t="s">
        <v>175</v>
      </c>
      <c r="E9800" s="4" t="s">
        <v>22</v>
      </c>
      <c r="F9800" s="4" t="s">
        <v>49703</v>
      </c>
      <c r="G9800" s="4" t="s">
        <v>49704</v>
      </c>
      <c r="H9800" s="3" t="s">
        <v>46910</v>
      </c>
      <c r="I9800" s="3" t="s">
        <v>49705</v>
      </c>
      <c r="J9800" s="3" t="s">
        <v>47915</v>
      </c>
      <c r="K9800" s="3" t="s">
        <v>49706</v>
      </c>
      <c r="L9800" s="3"/>
      <c r="M9800" s="4"/>
      <c r="N9800" s="3" t="s">
        <v>37</v>
      </c>
      <c r="O9800" s="3" t="s">
        <v>38</v>
      </c>
      <c r="P9800" s="5">
        <v>4</v>
      </c>
      <c r="Q9800" s="5">
        <v>42</v>
      </c>
      <c r="R9800" s="5">
        <v>3</v>
      </c>
      <c r="S9800" s="5">
        <v>36</v>
      </c>
    </row>
    <row r="9801" spans="1:19" ht="42" x14ac:dyDescent="0.15">
      <c r="A9801" s="2">
        <f>HYPERLINK("https://open-school.uspishnemisto.com.ua/school/510634/", 510634)</f>
        <v>510634</v>
      </c>
      <c r="B9801" s="3" t="s">
        <v>49707</v>
      </c>
      <c r="C9801" s="3" t="s">
        <v>54</v>
      </c>
      <c r="D9801" s="3" t="s">
        <v>32</v>
      </c>
      <c r="E9801" s="4" t="s">
        <v>22</v>
      </c>
      <c r="F9801" s="4" t="s">
        <v>49708</v>
      </c>
      <c r="G9801" s="4" t="s">
        <v>49709</v>
      </c>
      <c r="H9801" s="3" t="s">
        <v>46910</v>
      </c>
      <c r="I9801" s="3" t="s">
        <v>35539</v>
      </c>
      <c r="J9801" s="3" t="s">
        <v>2584</v>
      </c>
      <c r="K9801" s="3" t="s">
        <v>49710</v>
      </c>
      <c r="L9801" s="3"/>
      <c r="M9801" s="4"/>
      <c r="N9801" s="3" t="s">
        <v>37</v>
      </c>
      <c r="O9801" s="3" t="s">
        <v>38</v>
      </c>
      <c r="P9801" s="5">
        <v>11</v>
      </c>
      <c r="Q9801" s="5">
        <v>140</v>
      </c>
      <c r="R9801" s="5">
        <v>11</v>
      </c>
      <c r="S9801" s="5">
        <v>131</v>
      </c>
    </row>
    <row r="9802" spans="1:19" ht="42" x14ac:dyDescent="0.15">
      <c r="A9802" s="2">
        <f>HYPERLINK("https://open-school.uspishnemisto.com.ua/school/510635/", 510635)</f>
        <v>510635</v>
      </c>
      <c r="B9802" s="3" t="s">
        <v>49711</v>
      </c>
      <c r="C9802" s="3" t="s">
        <v>54</v>
      </c>
      <c r="D9802" s="3" t="s">
        <v>60</v>
      </c>
      <c r="E9802" s="4" t="s">
        <v>22</v>
      </c>
      <c r="F9802" s="4" t="s">
        <v>49712</v>
      </c>
      <c r="G9802" s="4" t="s">
        <v>49713</v>
      </c>
      <c r="H9802" s="3" t="s">
        <v>46910</v>
      </c>
      <c r="I9802" s="3" t="s">
        <v>12478</v>
      </c>
      <c r="J9802" s="3" t="s">
        <v>49714</v>
      </c>
      <c r="K9802" s="3" t="s">
        <v>49715</v>
      </c>
      <c r="L9802" s="3"/>
      <c r="M9802" s="4"/>
      <c r="N9802" s="3" t="s">
        <v>37</v>
      </c>
      <c r="O9802" s="3" t="s">
        <v>38</v>
      </c>
      <c r="P9802" s="5">
        <v>4</v>
      </c>
      <c r="Q9802" s="5">
        <v>24</v>
      </c>
      <c r="R9802" s="5">
        <v>4</v>
      </c>
      <c r="S9802" s="5">
        <v>24</v>
      </c>
    </row>
    <row r="9803" spans="1:19" ht="28" x14ac:dyDescent="0.15">
      <c r="A9803" s="2">
        <f>HYPERLINK("https://open-school.uspishnemisto.com.ua/school/510636/", 510636)</f>
        <v>510636</v>
      </c>
      <c r="B9803" s="3" t="s">
        <v>49716</v>
      </c>
      <c r="C9803" s="3" t="s">
        <v>31</v>
      </c>
      <c r="D9803" s="3" t="s">
        <v>32</v>
      </c>
      <c r="E9803" s="4" t="s">
        <v>22</v>
      </c>
      <c r="F9803" s="4" t="s">
        <v>49717</v>
      </c>
      <c r="G9803" s="4" t="s">
        <v>49718</v>
      </c>
      <c r="H9803" s="3" t="s">
        <v>46910</v>
      </c>
      <c r="I9803" s="3" t="s">
        <v>49719</v>
      </c>
      <c r="J9803" s="3" t="s">
        <v>49720</v>
      </c>
      <c r="K9803" s="3" t="s">
        <v>49721</v>
      </c>
      <c r="L9803" s="3"/>
      <c r="M9803" s="4"/>
      <c r="N9803" s="3" t="s">
        <v>37</v>
      </c>
      <c r="O9803" s="3" t="s">
        <v>38</v>
      </c>
      <c r="P9803" s="5">
        <v>11</v>
      </c>
      <c r="Q9803" s="5">
        <v>139</v>
      </c>
      <c r="R9803" s="5">
        <v>11</v>
      </c>
      <c r="S9803" s="5">
        <v>146</v>
      </c>
    </row>
    <row r="9804" spans="1:19" ht="56" x14ac:dyDescent="0.15">
      <c r="A9804" s="2">
        <f>HYPERLINK("https://open-school.uspishnemisto.com.ua/school/510637/", 510637)</f>
        <v>510637</v>
      </c>
      <c r="B9804" s="3" t="s">
        <v>49722</v>
      </c>
      <c r="C9804" s="3" t="s">
        <v>54</v>
      </c>
      <c r="D9804" s="3" t="s">
        <v>175</v>
      </c>
      <c r="E9804" s="4" t="s">
        <v>22</v>
      </c>
      <c r="F9804" s="4" t="s">
        <v>49723</v>
      </c>
      <c r="G9804" s="4" t="s">
        <v>49724</v>
      </c>
      <c r="H9804" s="3" t="s">
        <v>46910</v>
      </c>
      <c r="I9804" s="3" t="s">
        <v>49725</v>
      </c>
      <c r="J9804" s="3" t="s">
        <v>2253</v>
      </c>
      <c r="K9804" s="3" t="s">
        <v>49726</v>
      </c>
      <c r="L9804" s="3"/>
      <c r="M9804" s="4"/>
      <c r="N9804" s="3" t="s">
        <v>37</v>
      </c>
      <c r="O9804" s="3" t="s">
        <v>618</v>
      </c>
      <c r="P9804" s="5">
        <v>1</v>
      </c>
      <c r="Q9804" s="5">
        <v>22</v>
      </c>
      <c r="R9804" s="5">
        <v>1</v>
      </c>
      <c r="S9804" s="5">
        <v>21</v>
      </c>
    </row>
    <row r="9805" spans="1:19" ht="28" x14ac:dyDescent="0.15">
      <c r="A9805" s="2">
        <f>HYPERLINK("https://open-school.uspishnemisto.com.ua/school/510638/", 510638)</f>
        <v>510638</v>
      </c>
      <c r="B9805" s="3" t="s">
        <v>49727</v>
      </c>
      <c r="C9805" s="3" t="s">
        <v>54</v>
      </c>
      <c r="D9805" s="3" t="s">
        <v>175</v>
      </c>
      <c r="E9805" s="4" t="s">
        <v>22</v>
      </c>
      <c r="F9805" s="4" t="s">
        <v>49728</v>
      </c>
      <c r="G9805" s="4" t="s">
        <v>49729</v>
      </c>
      <c r="H9805" s="3" t="s">
        <v>46910</v>
      </c>
      <c r="I9805" s="3" t="s">
        <v>883</v>
      </c>
      <c r="J9805" s="3" t="s">
        <v>49730</v>
      </c>
      <c r="K9805" s="3"/>
      <c r="L9805" s="3"/>
      <c r="M9805" s="4"/>
      <c r="N9805" s="3" t="s">
        <v>37</v>
      </c>
      <c r="O9805" s="3" t="s">
        <v>38</v>
      </c>
      <c r="P9805" s="5">
        <v>4</v>
      </c>
      <c r="Q9805" s="5">
        <v>28</v>
      </c>
      <c r="R9805" s="5">
        <v>4</v>
      </c>
      <c r="S9805" s="5">
        <v>26</v>
      </c>
    </row>
    <row r="9806" spans="1:19" ht="42" x14ac:dyDescent="0.15">
      <c r="A9806" s="2">
        <f>HYPERLINK("https://open-school.uspishnemisto.com.ua/school/510639/", 510639)</f>
        <v>510639</v>
      </c>
      <c r="B9806" s="3" t="s">
        <v>49731</v>
      </c>
      <c r="C9806" s="3" t="s">
        <v>54</v>
      </c>
      <c r="D9806" s="3" t="s">
        <v>32</v>
      </c>
      <c r="E9806" s="4" t="s">
        <v>22</v>
      </c>
      <c r="F9806" s="4" t="s">
        <v>49732</v>
      </c>
      <c r="G9806" s="4" t="s">
        <v>49733</v>
      </c>
      <c r="H9806" s="3" t="s">
        <v>46910</v>
      </c>
      <c r="I9806" s="3" t="s">
        <v>49734</v>
      </c>
      <c r="J9806" s="3" t="s">
        <v>26168</v>
      </c>
      <c r="K9806" s="3" t="s">
        <v>49735</v>
      </c>
      <c r="L9806" s="3"/>
      <c r="M9806" s="4"/>
      <c r="N9806" s="3" t="s">
        <v>37</v>
      </c>
      <c r="O9806" s="3" t="s">
        <v>112</v>
      </c>
      <c r="P9806" s="5">
        <v>4</v>
      </c>
      <c r="Q9806" s="5">
        <v>45</v>
      </c>
      <c r="R9806" s="5">
        <v>6</v>
      </c>
      <c r="S9806" s="5">
        <v>43</v>
      </c>
    </row>
    <row r="9807" spans="1:19" ht="28" x14ac:dyDescent="0.15">
      <c r="A9807" s="2">
        <f>HYPERLINK("https://open-school.uspishnemisto.com.ua/school/510640/", 510640)</f>
        <v>510640</v>
      </c>
      <c r="B9807" s="3" t="s">
        <v>49736</v>
      </c>
      <c r="C9807" s="3" t="s">
        <v>31</v>
      </c>
      <c r="D9807" s="3" t="s">
        <v>175</v>
      </c>
      <c r="E9807" s="4" t="s">
        <v>22</v>
      </c>
      <c r="F9807" s="4" t="s">
        <v>49737</v>
      </c>
      <c r="G9807" s="4" t="s">
        <v>49738</v>
      </c>
      <c r="H9807" s="3" t="s">
        <v>46910</v>
      </c>
      <c r="I9807" s="3" t="s">
        <v>49739</v>
      </c>
      <c r="J9807" s="3" t="s">
        <v>4501</v>
      </c>
      <c r="K9807" s="3" t="s">
        <v>49740</v>
      </c>
      <c r="L9807" s="3"/>
      <c r="M9807" s="4"/>
      <c r="N9807" s="3" t="s">
        <v>37</v>
      </c>
      <c r="O9807" s="3" t="s">
        <v>112</v>
      </c>
      <c r="P9807" s="5">
        <v>6</v>
      </c>
      <c r="Q9807" s="5">
        <v>41</v>
      </c>
      <c r="R9807" s="5">
        <v>8</v>
      </c>
      <c r="S9807" s="5">
        <v>47</v>
      </c>
    </row>
    <row r="9808" spans="1:19" ht="28" x14ac:dyDescent="0.15">
      <c r="A9808" s="2">
        <f>HYPERLINK("https://open-school.uspishnemisto.com.ua/school/510641/", 510641)</f>
        <v>510641</v>
      </c>
      <c r="B9808" s="3" t="s">
        <v>49741</v>
      </c>
      <c r="C9808" s="3" t="s">
        <v>31</v>
      </c>
      <c r="D9808" s="3" t="s">
        <v>175</v>
      </c>
      <c r="E9808" s="4" t="s">
        <v>22</v>
      </c>
      <c r="F9808" s="4" t="s">
        <v>49742</v>
      </c>
      <c r="G9808" s="4" t="s">
        <v>49743</v>
      </c>
      <c r="H9808" s="3" t="s">
        <v>46910</v>
      </c>
      <c r="I9808" s="3" t="s">
        <v>49744</v>
      </c>
      <c r="J9808" s="3" t="s">
        <v>11022</v>
      </c>
      <c r="K9808" s="3" t="s">
        <v>49745</v>
      </c>
      <c r="L9808" s="3"/>
      <c r="M9808" s="4"/>
      <c r="N9808" s="3" t="s">
        <v>37</v>
      </c>
      <c r="O9808" s="3" t="s">
        <v>618</v>
      </c>
      <c r="P9808" s="5">
        <v>5</v>
      </c>
      <c r="Q9808" s="5">
        <v>44</v>
      </c>
      <c r="R9808" s="5">
        <v>5</v>
      </c>
      <c r="S9808" s="5">
        <v>43</v>
      </c>
    </row>
    <row r="9809" spans="1:19" ht="28" x14ac:dyDescent="0.15">
      <c r="A9809" s="2">
        <f>HYPERLINK("https://open-school.uspishnemisto.com.ua/school/510642/", 510642)</f>
        <v>510642</v>
      </c>
      <c r="B9809" s="3" t="s">
        <v>49746</v>
      </c>
      <c r="C9809" s="3" t="s">
        <v>31</v>
      </c>
      <c r="D9809" s="3" t="s">
        <v>175</v>
      </c>
      <c r="E9809" s="4" t="s">
        <v>22</v>
      </c>
      <c r="F9809" s="4" t="s">
        <v>49747</v>
      </c>
      <c r="G9809" s="4" t="s">
        <v>49748</v>
      </c>
      <c r="H9809" s="3" t="s">
        <v>46910</v>
      </c>
      <c r="I9809" s="3" t="s">
        <v>2900</v>
      </c>
      <c r="J9809" s="3" t="s">
        <v>49749</v>
      </c>
      <c r="K9809" s="3" t="s">
        <v>49750</v>
      </c>
      <c r="L9809" s="3"/>
      <c r="M9809" s="4"/>
      <c r="N9809" s="3" t="s">
        <v>37</v>
      </c>
      <c r="O9809" s="3" t="s">
        <v>38</v>
      </c>
      <c r="P9809" s="5">
        <v>8</v>
      </c>
      <c r="Q9809" s="5">
        <v>68</v>
      </c>
      <c r="R9809" s="5">
        <v>8</v>
      </c>
      <c r="S9809" s="5">
        <v>67</v>
      </c>
    </row>
    <row r="9810" spans="1:19" ht="56" x14ac:dyDescent="0.15">
      <c r="A9810" s="2">
        <f>HYPERLINK("https://open-school.uspishnemisto.com.ua/school/510643/", 510643)</f>
        <v>510643</v>
      </c>
      <c r="B9810" s="3" t="s">
        <v>49751</v>
      </c>
      <c r="C9810" s="3" t="s">
        <v>54</v>
      </c>
      <c r="D9810" s="3" t="s">
        <v>175</v>
      </c>
      <c r="E9810" s="4" t="s">
        <v>22</v>
      </c>
      <c r="F9810" s="4" t="s">
        <v>49752</v>
      </c>
      <c r="G9810" s="4" t="s">
        <v>49753</v>
      </c>
      <c r="H9810" s="3" t="s">
        <v>46910</v>
      </c>
      <c r="I9810" s="3" t="s">
        <v>1314</v>
      </c>
      <c r="J9810" s="3" t="s">
        <v>6042</v>
      </c>
      <c r="K9810" s="3" t="s">
        <v>49754</v>
      </c>
      <c r="L9810" s="3"/>
      <c r="M9810" s="4"/>
      <c r="N9810" s="3" t="s">
        <v>37</v>
      </c>
      <c r="O9810" s="3" t="s">
        <v>38</v>
      </c>
      <c r="P9810" s="5">
        <v>4</v>
      </c>
      <c r="Q9810" s="5">
        <v>37</v>
      </c>
      <c r="R9810" s="5">
        <v>4</v>
      </c>
      <c r="S9810" s="5">
        <v>37</v>
      </c>
    </row>
    <row r="9811" spans="1:19" ht="28" x14ac:dyDescent="0.15">
      <c r="A9811" s="2">
        <f>HYPERLINK("https://open-school.uspishnemisto.com.ua/school/510644/", 510644)</f>
        <v>510644</v>
      </c>
      <c r="B9811" s="3" t="s">
        <v>49755</v>
      </c>
      <c r="C9811" s="3" t="s">
        <v>54</v>
      </c>
      <c r="D9811" s="3" t="s">
        <v>32</v>
      </c>
      <c r="E9811" s="4" t="s">
        <v>22</v>
      </c>
      <c r="F9811" s="4" t="s">
        <v>49756</v>
      </c>
      <c r="G9811" s="4" t="s">
        <v>49757</v>
      </c>
      <c r="H9811" s="3" t="s">
        <v>46910</v>
      </c>
      <c r="I9811" s="3" t="s">
        <v>11588</v>
      </c>
      <c r="J9811" s="3" t="s">
        <v>49758</v>
      </c>
      <c r="K9811" s="3" t="s">
        <v>49759</v>
      </c>
      <c r="L9811" s="3"/>
      <c r="M9811" s="4"/>
      <c r="N9811" s="3" t="s">
        <v>37</v>
      </c>
      <c r="O9811" s="3" t="s">
        <v>112</v>
      </c>
      <c r="P9811" s="5">
        <v>8</v>
      </c>
      <c r="Q9811" s="5">
        <v>71</v>
      </c>
      <c r="R9811" s="5">
        <v>8</v>
      </c>
      <c r="S9811" s="5">
        <v>62</v>
      </c>
    </row>
    <row r="9812" spans="1:19" ht="28" x14ac:dyDescent="0.15">
      <c r="A9812" s="2">
        <f>HYPERLINK("https://open-school.uspishnemisto.com.ua/school/510645/", 510645)</f>
        <v>510645</v>
      </c>
      <c r="B9812" s="3" t="s">
        <v>49760</v>
      </c>
      <c r="C9812" s="3" t="s">
        <v>54</v>
      </c>
      <c r="D9812" s="3" t="s">
        <v>32</v>
      </c>
      <c r="E9812" s="4" t="s">
        <v>22</v>
      </c>
      <c r="F9812" s="4" t="s">
        <v>49761</v>
      </c>
      <c r="G9812" s="4" t="s">
        <v>49762</v>
      </c>
      <c r="H9812" s="3" t="s">
        <v>46910</v>
      </c>
      <c r="I9812" s="3" t="s">
        <v>49763</v>
      </c>
      <c r="J9812" s="3" t="s">
        <v>3620</v>
      </c>
      <c r="K9812" s="3" t="s">
        <v>49764</v>
      </c>
      <c r="L9812" s="3"/>
      <c r="M9812" s="4"/>
      <c r="N9812" s="3" t="s">
        <v>37</v>
      </c>
      <c r="O9812" s="3" t="s">
        <v>38</v>
      </c>
      <c r="P9812" s="5">
        <v>10</v>
      </c>
      <c r="Q9812" s="5">
        <v>91</v>
      </c>
      <c r="R9812" s="5">
        <v>10</v>
      </c>
      <c r="S9812" s="5">
        <v>91</v>
      </c>
    </row>
    <row r="9813" spans="1:19" ht="56" x14ac:dyDescent="0.15">
      <c r="A9813" s="2">
        <f>HYPERLINK("https://open-school.uspishnemisto.com.ua/school/510646/", 510646)</f>
        <v>510646</v>
      </c>
      <c r="B9813" s="3" t="s">
        <v>49765</v>
      </c>
      <c r="C9813" s="3" t="s">
        <v>54</v>
      </c>
      <c r="D9813" s="3" t="s">
        <v>32</v>
      </c>
      <c r="E9813" s="4" t="s">
        <v>22</v>
      </c>
      <c r="F9813" s="4" t="s">
        <v>49766</v>
      </c>
      <c r="G9813" s="4" t="s">
        <v>49767</v>
      </c>
      <c r="H9813" s="3" t="s">
        <v>46910</v>
      </c>
      <c r="I9813" s="3" t="s">
        <v>1291</v>
      </c>
      <c r="J9813" s="3" t="s">
        <v>554</v>
      </c>
      <c r="K9813" s="3" t="s">
        <v>49768</v>
      </c>
      <c r="L9813" s="3"/>
      <c r="M9813" s="4"/>
      <c r="N9813" s="3" t="s">
        <v>37</v>
      </c>
      <c r="O9813" s="3" t="s">
        <v>112</v>
      </c>
      <c r="P9813" s="5">
        <v>6</v>
      </c>
      <c r="Q9813" s="5">
        <v>45</v>
      </c>
      <c r="R9813" s="5">
        <v>6</v>
      </c>
      <c r="S9813" s="5">
        <v>49</v>
      </c>
    </row>
    <row r="9814" spans="1:19" ht="28" x14ac:dyDescent="0.15">
      <c r="A9814" s="2">
        <f>HYPERLINK("https://open-school.uspishnemisto.com.ua/school/510647/", 510647)</f>
        <v>510647</v>
      </c>
      <c r="B9814" s="3" t="s">
        <v>49769</v>
      </c>
      <c r="C9814" s="3" t="s">
        <v>181</v>
      </c>
      <c r="D9814" s="3" t="s">
        <v>175</v>
      </c>
      <c r="E9814" s="4" t="s">
        <v>22</v>
      </c>
      <c r="F9814" s="4" t="s">
        <v>49770</v>
      </c>
      <c r="G9814" s="4" t="s">
        <v>49771</v>
      </c>
      <c r="H9814" s="3" t="s">
        <v>46910</v>
      </c>
      <c r="I9814" s="3" t="s">
        <v>12351</v>
      </c>
      <c r="J9814" s="3" t="s">
        <v>1078</v>
      </c>
      <c r="K9814" s="3" t="s">
        <v>49772</v>
      </c>
      <c r="L9814" s="3"/>
      <c r="M9814" s="4" t="s">
        <v>49773</v>
      </c>
      <c r="N9814" s="3" t="s">
        <v>37</v>
      </c>
      <c r="O9814" s="3"/>
      <c r="P9814" s="5">
        <v>11</v>
      </c>
      <c r="Q9814" s="5">
        <v>85</v>
      </c>
      <c r="R9814" s="5">
        <v>11</v>
      </c>
      <c r="S9814" s="5">
        <v>93</v>
      </c>
    </row>
    <row r="9815" spans="1:19" ht="28" x14ac:dyDescent="0.15">
      <c r="A9815" s="2">
        <f>HYPERLINK("https://open-school.uspishnemisto.com.ua/school/510648/", 510648)</f>
        <v>510648</v>
      </c>
      <c r="B9815" s="3" t="s">
        <v>49774</v>
      </c>
      <c r="C9815" s="3" t="s">
        <v>31</v>
      </c>
      <c r="D9815" s="3" t="s">
        <v>32</v>
      </c>
      <c r="E9815" s="4" t="s">
        <v>22</v>
      </c>
      <c r="F9815" s="4" t="s">
        <v>49770</v>
      </c>
      <c r="G9815" s="4" t="s">
        <v>49771</v>
      </c>
      <c r="H9815" s="3" t="s">
        <v>46910</v>
      </c>
      <c r="I9815" s="3" t="s">
        <v>12351</v>
      </c>
      <c r="J9815" s="3" t="s">
        <v>49775</v>
      </c>
      <c r="K9815" s="3" t="s">
        <v>49776</v>
      </c>
      <c r="L9815" s="3"/>
      <c r="M9815" s="4"/>
      <c r="N9815" s="3" t="s">
        <v>37</v>
      </c>
      <c r="O9815" s="3" t="s">
        <v>70</v>
      </c>
      <c r="P9815" s="5">
        <v>17</v>
      </c>
      <c r="Q9815" s="5">
        <v>335</v>
      </c>
      <c r="R9815" s="5">
        <v>15</v>
      </c>
      <c r="S9815" s="5">
        <v>324</v>
      </c>
    </row>
    <row r="9816" spans="1:19" ht="42" x14ac:dyDescent="0.15">
      <c r="A9816" s="2">
        <f>HYPERLINK("https://open-school.uspishnemisto.com.ua/school/510649/", 510649)</f>
        <v>510649</v>
      </c>
      <c r="B9816" s="3" t="s">
        <v>49777</v>
      </c>
      <c r="C9816" s="3" t="s">
        <v>54</v>
      </c>
      <c r="D9816" s="3" t="s">
        <v>60</v>
      </c>
      <c r="E9816" s="4" t="s">
        <v>22</v>
      </c>
      <c r="F9816" s="4" t="s">
        <v>49770</v>
      </c>
      <c r="G9816" s="4" t="s">
        <v>49771</v>
      </c>
      <c r="H9816" s="3" t="s">
        <v>46910</v>
      </c>
      <c r="I9816" s="3" t="s">
        <v>12351</v>
      </c>
      <c r="J9816" s="3" t="s">
        <v>49778</v>
      </c>
      <c r="K9816" s="3" t="s">
        <v>49779</v>
      </c>
      <c r="L9816" s="3"/>
      <c r="M9816" s="4"/>
      <c r="N9816" s="3" t="s">
        <v>37</v>
      </c>
      <c r="O9816" s="3" t="s">
        <v>112</v>
      </c>
      <c r="P9816" s="5">
        <v>4</v>
      </c>
      <c r="Q9816" s="5">
        <v>50</v>
      </c>
      <c r="R9816" s="5">
        <v>4</v>
      </c>
      <c r="S9816" s="5">
        <v>50</v>
      </c>
    </row>
    <row r="9817" spans="1:19" ht="56" x14ac:dyDescent="0.15">
      <c r="A9817" s="2">
        <f>HYPERLINK("https://open-school.uspishnemisto.com.ua/school/510650/", 510650)</f>
        <v>510650</v>
      </c>
      <c r="B9817" s="3" t="s">
        <v>49780</v>
      </c>
      <c r="C9817" s="3" t="s">
        <v>54</v>
      </c>
      <c r="D9817" s="3" t="s">
        <v>32</v>
      </c>
      <c r="E9817" s="4" t="s">
        <v>22</v>
      </c>
      <c r="F9817" s="4" t="s">
        <v>49781</v>
      </c>
      <c r="G9817" s="4" t="s">
        <v>49782</v>
      </c>
      <c r="H9817" s="3" t="s">
        <v>46910</v>
      </c>
      <c r="I9817" s="3" t="s">
        <v>49783</v>
      </c>
      <c r="J9817" s="3" t="s">
        <v>49784</v>
      </c>
      <c r="K9817" s="3" t="s">
        <v>49785</v>
      </c>
      <c r="L9817" s="3"/>
      <c r="M9817" s="4"/>
      <c r="N9817" s="3" t="s">
        <v>37</v>
      </c>
      <c r="O9817" s="3" t="s">
        <v>38</v>
      </c>
      <c r="P9817" s="5">
        <v>12</v>
      </c>
      <c r="Q9817" s="5">
        <v>219</v>
      </c>
      <c r="R9817" s="5">
        <v>12</v>
      </c>
      <c r="S9817" s="5">
        <v>207</v>
      </c>
    </row>
    <row r="9818" spans="1:19" ht="28" x14ac:dyDescent="0.15">
      <c r="A9818" s="2">
        <f>HYPERLINK("https://open-school.uspishnemisto.com.ua/school/510651/", 510651)</f>
        <v>510651</v>
      </c>
      <c r="B9818" s="3" t="s">
        <v>49786</v>
      </c>
      <c r="C9818" s="3" t="s">
        <v>181</v>
      </c>
      <c r="D9818" s="3" t="s">
        <v>175</v>
      </c>
      <c r="E9818" s="4" t="s">
        <v>22</v>
      </c>
      <c r="F9818" s="4" t="s">
        <v>49787</v>
      </c>
      <c r="G9818" s="4" t="s">
        <v>49788</v>
      </c>
      <c r="H9818" s="3" t="s">
        <v>46910</v>
      </c>
      <c r="I9818" s="3" t="s">
        <v>1740</v>
      </c>
      <c r="J9818" s="3" t="s">
        <v>49789</v>
      </c>
      <c r="K9818" s="3" t="s">
        <v>49790</v>
      </c>
      <c r="L9818" s="3"/>
      <c r="M9818" s="4" t="s">
        <v>49791</v>
      </c>
      <c r="N9818" s="3" t="s">
        <v>37</v>
      </c>
      <c r="O9818" s="3"/>
      <c r="P9818" s="5">
        <v>9</v>
      </c>
      <c r="Q9818" s="5">
        <v>84</v>
      </c>
      <c r="R9818" s="5">
        <v>9</v>
      </c>
      <c r="S9818" s="5">
        <v>85</v>
      </c>
    </row>
    <row r="9819" spans="1:19" ht="56" x14ac:dyDescent="0.15">
      <c r="A9819" s="2">
        <f>HYPERLINK("https://open-school.uspishnemisto.com.ua/school/510652/", 510652)</f>
        <v>510652</v>
      </c>
      <c r="B9819" s="3" t="s">
        <v>49792</v>
      </c>
      <c r="C9819" s="3" t="s">
        <v>54</v>
      </c>
      <c r="D9819" s="3" t="s">
        <v>32</v>
      </c>
      <c r="E9819" s="4" t="s">
        <v>22</v>
      </c>
      <c r="F9819" s="4" t="s">
        <v>49787</v>
      </c>
      <c r="G9819" s="4" t="s">
        <v>49788</v>
      </c>
      <c r="H9819" s="3" t="s">
        <v>46910</v>
      </c>
      <c r="I9819" s="3" t="s">
        <v>1740</v>
      </c>
      <c r="J9819" s="3" t="s">
        <v>5632</v>
      </c>
      <c r="K9819" s="3" t="s">
        <v>49793</v>
      </c>
      <c r="L9819" s="3"/>
      <c r="M9819" s="4"/>
      <c r="N9819" s="3" t="s">
        <v>37</v>
      </c>
      <c r="O9819" s="3" t="s">
        <v>70</v>
      </c>
      <c r="P9819" s="5">
        <v>21</v>
      </c>
      <c r="Q9819" s="5">
        <v>405</v>
      </c>
      <c r="R9819" s="5">
        <v>21</v>
      </c>
      <c r="S9819" s="5">
        <v>396</v>
      </c>
    </row>
    <row r="9820" spans="1:19" ht="56" x14ac:dyDescent="0.15">
      <c r="A9820" s="2">
        <f>HYPERLINK("https://open-school.uspishnemisto.com.ua/school/510653/", 510653)</f>
        <v>510653</v>
      </c>
      <c r="B9820" s="3" t="s">
        <v>49794</v>
      </c>
      <c r="C9820" s="3" t="s">
        <v>54</v>
      </c>
      <c r="D9820" s="3" t="s">
        <v>32</v>
      </c>
      <c r="E9820" s="4" t="s">
        <v>22</v>
      </c>
      <c r="F9820" s="4" t="s">
        <v>49795</v>
      </c>
      <c r="G9820" s="4" t="s">
        <v>49796</v>
      </c>
      <c r="H9820" s="3" t="s">
        <v>46910</v>
      </c>
      <c r="I9820" s="3" t="s">
        <v>11964</v>
      </c>
      <c r="J9820" s="3" t="s">
        <v>651</v>
      </c>
      <c r="K9820" s="3" t="s">
        <v>49797</v>
      </c>
      <c r="L9820" s="3"/>
      <c r="M9820" s="4"/>
      <c r="N9820" s="3" t="s">
        <v>37</v>
      </c>
      <c r="O9820" s="3" t="s">
        <v>38</v>
      </c>
      <c r="P9820" s="5">
        <v>10</v>
      </c>
      <c r="Q9820" s="5">
        <v>79</v>
      </c>
      <c r="R9820" s="5">
        <v>10</v>
      </c>
      <c r="S9820" s="5">
        <v>81</v>
      </c>
    </row>
    <row r="9821" spans="1:19" ht="56" x14ac:dyDescent="0.15">
      <c r="A9821" s="2">
        <f>HYPERLINK("https://open-school.uspishnemisto.com.ua/school/510654/", 510654)</f>
        <v>510654</v>
      </c>
      <c r="B9821" s="3" t="s">
        <v>49798</v>
      </c>
      <c r="C9821" s="3" t="s">
        <v>54</v>
      </c>
      <c r="D9821" s="3" t="s">
        <v>175</v>
      </c>
      <c r="E9821" s="4" t="s">
        <v>22</v>
      </c>
      <c r="F9821" s="4" t="s">
        <v>49799</v>
      </c>
      <c r="G9821" s="4" t="s">
        <v>49800</v>
      </c>
      <c r="H9821" s="3" t="s">
        <v>46910</v>
      </c>
      <c r="I9821" s="3" t="s">
        <v>1500</v>
      </c>
      <c r="J9821" s="3" t="s">
        <v>18843</v>
      </c>
      <c r="K9821" s="3" t="s">
        <v>49801</v>
      </c>
      <c r="L9821" s="3"/>
      <c r="M9821" s="4"/>
      <c r="N9821" s="3" t="s">
        <v>37</v>
      </c>
      <c r="O9821" s="3" t="s">
        <v>38</v>
      </c>
      <c r="P9821" s="5">
        <v>8</v>
      </c>
      <c r="Q9821" s="5">
        <v>55</v>
      </c>
      <c r="R9821" s="5">
        <v>9</v>
      </c>
      <c r="S9821" s="5">
        <v>55</v>
      </c>
    </row>
    <row r="9822" spans="1:19" ht="42" x14ac:dyDescent="0.15">
      <c r="A9822" s="2">
        <f>HYPERLINK("https://open-school.uspishnemisto.com.ua/school/510655/", 510655)</f>
        <v>510655</v>
      </c>
      <c r="B9822" s="3" t="s">
        <v>49802</v>
      </c>
      <c r="C9822" s="3" t="s">
        <v>293</v>
      </c>
      <c r="D9822" s="3" t="s">
        <v>175</v>
      </c>
      <c r="E9822" s="4" t="s">
        <v>22</v>
      </c>
      <c r="F9822" s="4" t="s">
        <v>49803</v>
      </c>
      <c r="G9822" s="4" t="s">
        <v>49804</v>
      </c>
      <c r="H9822" s="3" t="s">
        <v>46910</v>
      </c>
      <c r="I9822" s="3" t="s">
        <v>49805</v>
      </c>
      <c r="J9822" s="3" t="s">
        <v>11043</v>
      </c>
      <c r="K9822" s="3"/>
      <c r="L9822" s="3"/>
      <c r="M9822" s="4" t="s">
        <v>49806</v>
      </c>
      <c r="N9822" s="3" t="s">
        <v>37</v>
      </c>
      <c r="O9822" s="3" t="s">
        <v>38</v>
      </c>
      <c r="P9822" s="5">
        <v>9</v>
      </c>
      <c r="Q9822" s="5">
        <v>69</v>
      </c>
      <c r="R9822" s="5">
        <v>9</v>
      </c>
      <c r="S9822" s="5">
        <v>75</v>
      </c>
    </row>
    <row r="9823" spans="1:19" ht="56" x14ac:dyDescent="0.15">
      <c r="A9823" s="2">
        <f>HYPERLINK("https://open-school.uspishnemisto.com.ua/school/510656/", 510656)</f>
        <v>510656</v>
      </c>
      <c r="B9823" s="3" t="s">
        <v>49807</v>
      </c>
      <c r="C9823" s="3" t="s">
        <v>54</v>
      </c>
      <c r="D9823" s="3" t="s">
        <v>32</v>
      </c>
      <c r="E9823" s="4" t="s">
        <v>22</v>
      </c>
      <c r="F9823" s="4" t="s">
        <v>49803</v>
      </c>
      <c r="G9823" s="4" t="s">
        <v>49804</v>
      </c>
      <c r="H9823" s="3" t="s">
        <v>46910</v>
      </c>
      <c r="I9823" s="3" t="s">
        <v>49805</v>
      </c>
      <c r="J9823" s="3" t="s">
        <v>5264</v>
      </c>
      <c r="K9823" s="3" t="s">
        <v>49808</v>
      </c>
      <c r="L9823" s="3"/>
      <c r="M9823" s="4"/>
      <c r="N9823" s="3" t="s">
        <v>37</v>
      </c>
      <c r="O9823" s="3" t="s">
        <v>38</v>
      </c>
      <c r="P9823" s="5">
        <v>11</v>
      </c>
      <c r="Q9823" s="5">
        <v>215</v>
      </c>
      <c r="R9823" s="5">
        <v>12</v>
      </c>
      <c r="S9823" s="5">
        <v>244</v>
      </c>
    </row>
    <row r="9824" spans="1:19" ht="56" x14ac:dyDescent="0.15">
      <c r="A9824" s="2">
        <f>HYPERLINK("https://open-school.uspishnemisto.com.ua/school/510657/", 510657)</f>
        <v>510657</v>
      </c>
      <c r="B9824" s="3" t="s">
        <v>49809</v>
      </c>
      <c r="C9824" s="3" t="s">
        <v>54</v>
      </c>
      <c r="D9824" s="3" t="s">
        <v>32</v>
      </c>
      <c r="E9824" s="4" t="s">
        <v>22</v>
      </c>
      <c r="F9824" s="4" t="s">
        <v>49810</v>
      </c>
      <c r="G9824" s="4" t="s">
        <v>49811</v>
      </c>
      <c r="H9824" s="3" t="s">
        <v>46910</v>
      </c>
      <c r="I9824" s="3" t="s">
        <v>49812</v>
      </c>
      <c r="J9824" s="3" t="s">
        <v>566</v>
      </c>
      <c r="K9824" s="3" t="s">
        <v>49813</v>
      </c>
      <c r="L9824" s="3" t="s">
        <v>49814</v>
      </c>
      <c r="M9824" s="4"/>
      <c r="N9824" s="3" t="s">
        <v>37</v>
      </c>
      <c r="O9824" s="3" t="s">
        <v>70</v>
      </c>
      <c r="P9824" s="5">
        <v>9</v>
      </c>
      <c r="Q9824" s="5">
        <v>97</v>
      </c>
      <c r="R9824" s="5">
        <v>10</v>
      </c>
      <c r="S9824" s="5">
        <v>90</v>
      </c>
    </row>
    <row r="9825" spans="1:19" ht="56" x14ac:dyDescent="0.15">
      <c r="A9825" s="2">
        <f>HYPERLINK("https://open-school.uspishnemisto.com.ua/school/510658/", 510658)</f>
        <v>510658</v>
      </c>
      <c r="B9825" s="3" t="s">
        <v>49815</v>
      </c>
      <c r="C9825" s="3" t="s">
        <v>54</v>
      </c>
      <c r="D9825" s="3" t="s">
        <v>175</v>
      </c>
      <c r="E9825" s="4" t="s">
        <v>22</v>
      </c>
      <c r="F9825" s="4" t="s">
        <v>49816</v>
      </c>
      <c r="G9825" s="4" t="s">
        <v>49817</v>
      </c>
      <c r="H9825" s="3" t="s">
        <v>46910</v>
      </c>
      <c r="I9825" s="3" t="s">
        <v>49818</v>
      </c>
      <c r="J9825" s="3" t="s">
        <v>49819</v>
      </c>
      <c r="K9825" s="3" t="s">
        <v>49820</v>
      </c>
      <c r="L9825" s="3"/>
      <c r="M9825" s="4"/>
      <c r="N9825" s="3" t="s">
        <v>37</v>
      </c>
      <c r="O9825" s="3" t="s">
        <v>112</v>
      </c>
      <c r="P9825" s="5">
        <v>2</v>
      </c>
      <c r="Q9825" s="5">
        <v>24</v>
      </c>
      <c r="R9825" s="5">
        <v>5</v>
      </c>
      <c r="S9825" s="5">
        <v>33</v>
      </c>
    </row>
    <row r="9826" spans="1:19" ht="42" x14ac:dyDescent="0.15">
      <c r="A9826" s="2">
        <f>HYPERLINK("https://open-school.uspishnemisto.com.ua/school/510659/", 510659)</f>
        <v>510659</v>
      </c>
      <c r="B9826" s="3" t="s">
        <v>49821</v>
      </c>
      <c r="C9826" s="3" t="s">
        <v>54</v>
      </c>
      <c r="D9826" s="3" t="s">
        <v>175</v>
      </c>
      <c r="E9826" s="4" t="s">
        <v>22</v>
      </c>
      <c r="F9826" s="4" t="s">
        <v>49822</v>
      </c>
      <c r="G9826" s="4" t="s">
        <v>49823</v>
      </c>
      <c r="H9826" s="3" t="s">
        <v>46910</v>
      </c>
      <c r="I9826" s="3" t="s">
        <v>49824</v>
      </c>
      <c r="J9826" s="3" t="s">
        <v>5145</v>
      </c>
      <c r="K9826" s="3" t="s">
        <v>49825</v>
      </c>
      <c r="L9826" s="3"/>
      <c r="M9826" s="4"/>
      <c r="N9826" s="3" t="s">
        <v>37</v>
      </c>
      <c r="O9826" s="3" t="s">
        <v>38</v>
      </c>
      <c r="P9826" s="5">
        <v>9</v>
      </c>
      <c r="Q9826" s="5">
        <v>96</v>
      </c>
      <c r="R9826" s="5">
        <v>9</v>
      </c>
      <c r="S9826" s="5">
        <v>88</v>
      </c>
    </row>
    <row r="9827" spans="1:19" ht="56" x14ac:dyDescent="0.15">
      <c r="A9827" s="2">
        <f>HYPERLINK("https://open-school.uspishnemisto.com.ua/school/510660/", 510660)</f>
        <v>510660</v>
      </c>
      <c r="B9827" s="3" t="s">
        <v>49826</v>
      </c>
      <c r="C9827" s="3" t="s">
        <v>54</v>
      </c>
      <c r="D9827" s="3" t="s">
        <v>32</v>
      </c>
      <c r="E9827" s="4" t="s">
        <v>22</v>
      </c>
      <c r="F9827" s="4" t="s">
        <v>49827</v>
      </c>
      <c r="G9827" s="4" t="s">
        <v>49828</v>
      </c>
      <c r="H9827" s="3" t="s">
        <v>46910</v>
      </c>
      <c r="I9827" s="3" t="s">
        <v>49829</v>
      </c>
      <c r="J9827" s="3" t="s">
        <v>15201</v>
      </c>
      <c r="K9827" s="3"/>
      <c r="L9827" s="3"/>
      <c r="M9827" s="4"/>
      <c r="N9827" s="3" t="s">
        <v>37</v>
      </c>
      <c r="O9827" s="3" t="s">
        <v>46</v>
      </c>
      <c r="P9827" s="5">
        <v>11</v>
      </c>
      <c r="Q9827" s="5">
        <v>108</v>
      </c>
      <c r="R9827" s="5">
        <v>10</v>
      </c>
      <c r="S9827" s="5">
        <v>87</v>
      </c>
    </row>
    <row r="9828" spans="1:19" ht="42" x14ac:dyDescent="0.15">
      <c r="A9828" s="2">
        <f>HYPERLINK("https://open-school.uspishnemisto.com.ua/school/510661/", 510661)</f>
        <v>510661</v>
      </c>
      <c r="B9828" s="3" t="s">
        <v>49830</v>
      </c>
      <c r="C9828" s="3" t="s">
        <v>54</v>
      </c>
      <c r="D9828" s="3" t="s">
        <v>175</v>
      </c>
      <c r="E9828" s="4" t="s">
        <v>22</v>
      </c>
      <c r="F9828" s="4" t="s">
        <v>49831</v>
      </c>
      <c r="G9828" s="4" t="s">
        <v>49832</v>
      </c>
      <c r="H9828" s="3" t="s">
        <v>46910</v>
      </c>
      <c r="I9828" s="3" t="s">
        <v>49833</v>
      </c>
      <c r="J9828" s="3" t="s">
        <v>466</v>
      </c>
      <c r="K9828" s="3"/>
      <c r="L9828" s="3"/>
      <c r="M9828" s="4"/>
      <c r="N9828" s="3" t="s">
        <v>37</v>
      </c>
      <c r="O9828" s="3" t="s">
        <v>46</v>
      </c>
      <c r="P9828" s="5">
        <v>7</v>
      </c>
      <c r="Q9828" s="5">
        <v>39</v>
      </c>
      <c r="R9828" s="5">
        <v>7</v>
      </c>
      <c r="S9828" s="5">
        <v>37</v>
      </c>
    </row>
    <row r="9829" spans="1:19" ht="56" x14ac:dyDescent="0.15">
      <c r="A9829" s="2">
        <f>HYPERLINK("https://open-school.uspishnemisto.com.ua/school/510662/", 510662)</f>
        <v>510662</v>
      </c>
      <c r="B9829" s="3" t="s">
        <v>49834</v>
      </c>
      <c r="C9829" s="3" t="s">
        <v>54</v>
      </c>
      <c r="D9829" s="3" t="s">
        <v>175</v>
      </c>
      <c r="E9829" s="4" t="s">
        <v>22</v>
      </c>
      <c r="F9829" s="4" t="s">
        <v>49835</v>
      </c>
      <c r="G9829" s="4" t="s">
        <v>49836</v>
      </c>
      <c r="H9829" s="3" t="s">
        <v>46910</v>
      </c>
      <c r="I9829" s="3" t="s">
        <v>11724</v>
      </c>
      <c r="J9829" s="3" t="s">
        <v>49837</v>
      </c>
      <c r="K9829" s="3" t="s">
        <v>49838</v>
      </c>
      <c r="L9829" s="3"/>
      <c r="M9829" s="4"/>
      <c r="N9829" s="3" t="s">
        <v>37</v>
      </c>
      <c r="O9829" s="3" t="s">
        <v>112</v>
      </c>
      <c r="P9829" s="5">
        <v>4</v>
      </c>
      <c r="Q9829" s="5">
        <v>35</v>
      </c>
      <c r="R9829" s="5">
        <v>9</v>
      </c>
      <c r="S9829" s="5">
        <v>47</v>
      </c>
    </row>
    <row r="9830" spans="1:19" ht="56" x14ac:dyDescent="0.15">
      <c r="A9830" s="2">
        <f>HYPERLINK("https://open-school.uspishnemisto.com.ua/school/510663/", 510663)</f>
        <v>510663</v>
      </c>
      <c r="B9830" s="3" t="s">
        <v>49839</v>
      </c>
      <c r="C9830" s="3" t="s">
        <v>54</v>
      </c>
      <c r="D9830" s="3" t="s">
        <v>175</v>
      </c>
      <c r="E9830" s="4" t="s">
        <v>22</v>
      </c>
      <c r="F9830" s="4" t="s">
        <v>49840</v>
      </c>
      <c r="G9830" s="4" t="s">
        <v>49841</v>
      </c>
      <c r="H9830" s="3" t="s">
        <v>46910</v>
      </c>
      <c r="I9830" s="3" t="s">
        <v>49842</v>
      </c>
      <c r="J9830" s="3" t="s">
        <v>4550</v>
      </c>
      <c r="K9830" s="3" t="s">
        <v>49843</v>
      </c>
      <c r="L9830" s="3"/>
      <c r="M9830" s="4"/>
      <c r="N9830" s="3" t="s">
        <v>37</v>
      </c>
      <c r="O9830" s="3" t="s">
        <v>112</v>
      </c>
      <c r="P9830" s="5">
        <v>8</v>
      </c>
      <c r="Q9830" s="5">
        <v>52</v>
      </c>
      <c r="R9830" s="5">
        <v>9</v>
      </c>
      <c r="S9830" s="5">
        <v>51</v>
      </c>
    </row>
    <row r="9831" spans="1:19" ht="56" x14ac:dyDescent="0.15">
      <c r="A9831" s="2">
        <f>HYPERLINK("https://open-school.uspishnemisto.com.ua/school/510664/", 510664)</f>
        <v>510664</v>
      </c>
      <c r="B9831" s="3" t="s">
        <v>49844</v>
      </c>
      <c r="C9831" s="3" t="s">
        <v>54</v>
      </c>
      <c r="D9831" s="3" t="s">
        <v>175</v>
      </c>
      <c r="E9831" s="4" t="s">
        <v>22</v>
      </c>
      <c r="F9831" s="4" t="s">
        <v>49845</v>
      </c>
      <c r="G9831" s="4" t="s">
        <v>49846</v>
      </c>
      <c r="H9831" s="3" t="s">
        <v>46910</v>
      </c>
      <c r="I9831" s="3" t="s">
        <v>12478</v>
      </c>
      <c r="J9831" s="3" t="s">
        <v>2085</v>
      </c>
      <c r="K9831" s="3" t="s">
        <v>49847</v>
      </c>
      <c r="L9831" s="3"/>
      <c r="M9831" s="4"/>
      <c r="N9831" s="3" t="s">
        <v>37</v>
      </c>
      <c r="O9831" s="3" t="s">
        <v>112</v>
      </c>
      <c r="P9831" s="5">
        <v>9</v>
      </c>
      <c r="Q9831" s="5">
        <v>53</v>
      </c>
      <c r="R9831" s="5">
        <v>9</v>
      </c>
      <c r="S9831" s="5">
        <v>55</v>
      </c>
    </row>
    <row r="9832" spans="1:19" ht="56" x14ac:dyDescent="0.15">
      <c r="A9832" s="2">
        <f>HYPERLINK("https://open-school.uspishnemisto.com.ua/school/510665/", 510665)</f>
        <v>510665</v>
      </c>
      <c r="B9832" s="3" t="s">
        <v>49848</v>
      </c>
      <c r="C9832" s="3" t="s">
        <v>54</v>
      </c>
      <c r="D9832" s="3" t="s">
        <v>32</v>
      </c>
      <c r="E9832" s="4" t="s">
        <v>22</v>
      </c>
      <c r="F9832" s="4" t="s">
        <v>49849</v>
      </c>
      <c r="G9832" s="4" t="s">
        <v>49850</v>
      </c>
      <c r="H9832" s="3" t="s">
        <v>46910</v>
      </c>
      <c r="I9832" s="3" t="s">
        <v>49851</v>
      </c>
      <c r="J9832" s="3" t="s">
        <v>49852</v>
      </c>
      <c r="K9832" s="3" t="s">
        <v>49853</v>
      </c>
      <c r="L9832" s="3"/>
      <c r="M9832" s="4"/>
      <c r="N9832" s="3" t="s">
        <v>37</v>
      </c>
      <c r="O9832" s="3" t="s">
        <v>112</v>
      </c>
      <c r="P9832" s="5">
        <v>12</v>
      </c>
      <c r="Q9832" s="5">
        <v>177</v>
      </c>
      <c r="R9832" s="5">
        <v>10</v>
      </c>
      <c r="S9832" s="5">
        <v>152</v>
      </c>
    </row>
    <row r="9833" spans="1:19" ht="28" x14ac:dyDescent="0.15">
      <c r="A9833" s="2">
        <f>HYPERLINK("https://open-school.uspishnemisto.com.ua/school/510666/", 510666)</f>
        <v>510666</v>
      </c>
      <c r="B9833" s="3" t="s">
        <v>49854</v>
      </c>
      <c r="C9833" s="3" t="s">
        <v>31</v>
      </c>
      <c r="D9833" s="3" t="s">
        <v>32</v>
      </c>
      <c r="E9833" s="4" t="s">
        <v>22</v>
      </c>
      <c r="F9833" s="4" t="s">
        <v>49855</v>
      </c>
      <c r="G9833" s="4" t="s">
        <v>49856</v>
      </c>
      <c r="H9833" s="3" t="s">
        <v>46910</v>
      </c>
      <c r="I9833" s="3" t="s">
        <v>49857</v>
      </c>
      <c r="J9833" s="3" t="s">
        <v>6723</v>
      </c>
      <c r="K9833" s="3" t="s">
        <v>49858</v>
      </c>
      <c r="L9833" s="3" t="s">
        <v>49859</v>
      </c>
      <c r="M9833" s="4"/>
      <c r="N9833" s="3" t="s">
        <v>37</v>
      </c>
      <c r="O9833" s="3" t="s">
        <v>112</v>
      </c>
      <c r="P9833" s="5">
        <v>12</v>
      </c>
      <c r="Q9833" s="5">
        <v>203</v>
      </c>
      <c r="R9833" s="5">
        <v>12</v>
      </c>
      <c r="S9833" s="5">
        <v>202</v>
      </c>
    </row>
    <row r="9834" spans="1:19" ht="56" x14ac:dyDescent="0.15">
      <c r="A9834" s="2">
        <f>HYPERLINK("https://open-school.uspishnemisto.com.ua/school/510667/", 510667)</f>
        <v>510667</v>
      </c>
      <c r="B9834" s="3" t="s">
        <v>49860</v>
      </c>
      <c r="C9834" s="3" t="s">
        <v>54</v>
      </c>
      <c r="D9834" s="3" t="s">
        <v>32</v>
      </c>
      <c r="E9834" s="4" t="s">
        <v>22</v>
      </c>
      <c r="F9834" s="4" t="s">
        <v>49861</v>
      </c>
      <c r="G9834" s="4" t="s">
        <v>49862</v>
      </c>
      <c r="H9834" s="3" t="s">
        <v>46910</v>
      </c>
      <c r="I9834" s="3" t="s">
        <v>49863</v>
      </c>
      <c r="J9834" s="3" t="s">
        <v>49864</v>
      </c>
      <c r="K9834" s="3" t="s">
        <v>49865</v>
      </c>
      <c r="L9834" s="3"/>
      <c r="M9834" s="4"/>
      <c r="N9834" s="3" t="s">
        <v>37</v>
      </c>
      <c r="O9834" s="3" t="s">
        <v>112</v>
      </c>
      <c r="P9834" s="5">
        <v>11</v>
      </c>
      <c r="Q9834" s="5">
        <v>104</v>
      </c>
      <c r="R9834" s="5">
        <v>11</v>
      </c>
      <c r="S9834" s="5">
        <v>98</v>
      </c>
    </row>
    <row r="9835" spans="1:19" ht="56" x14ac:dyDescent="0.15">
      <c r="A9835" s="2">
        <f>HYPERLINK("https://open-school.uspishnemisto.com.ua/school/510668/", 510668)</f>
        <v>510668</v>
      </c>
      <c r="B9835" s="3" t="s">
        <v>49866</v>
      </c>
      <c r="C9835" s="3" t="s">
        <v>54</v>
      </c>
      <c r="D9835" s="3" t="s">
        <v>32</v>
      </c>
      <c r="E9835" s="4" t="s">
        <v>22</v>
      </c>
      <c r="F9835" s="4" t="s">
        <v>49867</v>
      </c>
      <c r="G9835" s="4" t="s">
        <v>49868</v>
      </c>
      <c r="H9835" s="3" t="s">
        <v>46910</v>
      </c>
      <c r="I9835" s="3" t="s">
        <v>49869</v>
      </c>
      <c r="J9835" s="3" t="s">
        <v>466</v>
      </c>
      <c r="K9835" s="3" t="s">
        <v>49870</v>
      </c>
      <c r="L9835" s="3"/>
      <c r="M9835" s="4"/>
      <c r="N9835" s="3" t="s">
        <v>37</v>
      </c>
      <c r="O9835" s="3" t="s">
        <v>46</v>
      </c>
      <c r="P9835" s="5">
        <v>3</v>
      </c>
      <c r="Q9835" s="5">
        <v>33</v>
      </c>
      <c r="R9835" s="5">
        <v>3</v>
      </c>
      <c r="S9835" s="5">
        <v>35</v>
      </c>
    </row>
    <row r="9836" spans="1:19" ht="28" x14ac:dyDescent="0.15">
      <c r="A9836" s="2">
        <f>HYPERLINK("https://open-school.uspishnemisto.com.ua/school/510669/", 510669)</f>
        <v>510669</v>
      </c>
      <c r="B9836" s="3" t="s">
        <v>49871</v>
      </c>
      <c r="C9836" s="3" t="s">
        <v>31</v>
      </c>
      <c r="D9836" s="3" t="s">
        <v>32</v>
      </c>
      <c r="E9836" s="4" t="s">
        <v>22</v>
      </c>
      <c r="F9836" s="4" t="s">
        <v>49872</v>
      </c>
      <c r="G9836" s="4" t="s">
        <v>49873</v>
      </c>
      <c r="H9836" s="3" t="s">
        <v>46910</v>
      </c>
      <c r="I9836" s="3" t="s">
        <v>49874</v>
      </c>
      <c r="J9836" s="3" t="s">
        <v>49875</v>
      </c>
      <c r="K9836" s="3" t="s">
        <v>49876</v>
      </c>
      <c r="L9836" s="3"/>
      <c r="M9836" s="4"/>
      <c r="N9836" s="3" t="s">
        <v>37</v>
      </c>
      <c r="O9836" s="3" t="s">
        <v>721</v>
      </c>
      <c r="P9836" s="5">
        <v>24</v>
      </c>
      <c r="Q9836" s="5">
        <v>477</v>
      </c>
      <c r="R9836" s="5">
        <v>24</v>
      </c>
      <c r="S9836" s="5">
        <v>471</v>
      </c>
    </row>
    <row r="9837" spans="1:19" ht="42" x14ac:dyDescent="0.15">
      <c r="A9837" s="2">
        <f>HYPERLINK("https://open-school.uspishnemisto.com.ua/school/510670/", 510670)</f>
        <v>510670</v>
      </c>
      <c r="B9837" s="3" t="s">
        <v>49877</v>
      </c>
      <c r="C9837" s="3" t="s">
        <v>54</v>
      </c>
      <c r="D9837" s="3" t="s">
        <v>32</v>
      </c>
      <c r="E9837" s="4" t="s">
        <v>22</v>
      </c>
      <c r="F9837" s="4" t="s">
        <v>49872</v>
      </c>
      <c r="G9837" s="4" t="s">
        <v>49873</v>
      </c>
      <c r="H9837" s="3" t="s">
        <v>46910</v>
      </c>
      <c r="I9837" s="3" t="s">
        <v>49874</v>
      </c>
      <c r="J9837" s="3" t="s">
        <v>49878</v>
      </c>
      <c r="K9837" s="3" t="s">
        <v>49879</v>
      </c>
      <c r="L9837" s="3"/>
      <c r="M9837" s="4"/>
      <c r="N9837" s="3" t="s">
        <v>128</v>
      </c>
      <c r="O9837" s="3" t="s">
        <v>9891</v>
      </c>
      <c r="P9837" s="5">
        <v>61</v>
      </c>
      <c r="Q9837" s="5">
        <v>1086</v>
      </c>
      <c r="R9837" s="5">
        <v>62</v>
      </c>
      <c r="S9837" s="5">
        <v>1088</v>
      </c>
    </row>
    <row r="9838" spans="1:19" ht="56" x14ac:dyDescent="0.15">
      <c r="A9838" s="2">
        <f>HYPERLINK("https://open-school.uspishnemisto.com.ua/school/510671/", 510671)</f>
        <v>510671</v>
      </c>
      <c r="B9838" s="3" t="s">
        <v>49880</v>
      </c>
      <c r="C9838" s="3" t="s">
        <v>54</v>
      </c>
      <c r="D9838" s="3" t="s">
        <v>60</v>
      </c>
      <c r="E9838" s="4" t="s">
        <v>22</v>
      </c>
      <c r="F9838" s="4" t="s">
        <v>49881</v>
      </c>
      <c r="G9838" s="4" t="s">
        <v>49882</v>
      </c>
      <c r="H9838" s="3" t="s">
        <v>46910</v>
      </c>
      <c r="I9838" s="3" t="s">
        <v>49883</v>
      </c>
      <c r="J9838" s="3" t="s">
        <v>49884</v>
      </c>
      <c r="K9838" s="3" t="s">
        <v>49885</v>
      </c>
      <c r="L9838" s="3"/>
      <c r="M9838" s="4"/>
      <c r="N9838" s="3" t="s">
        <v>37</v>
      </c>
      <c r="O9838" s="3" t="s">
        <v>52</v>
      </c>
      <c r="P9838" s="5">
        <v>6</v>
      </c>
      <c r="Q9838" s="5">
        <v>142</v>
      </c>
      <c r="R9838" s="5">
        <v>4</v>
      </c>
      <c r="S9838" s="5">
        <v>96</v>
      </c>
    </row>
    <row r="9839" spans="1:19" ht="28" x14ac:dyDescent="0.15">
      <c r="A9839" s="2">
        <f>HYPERLINK("https://open-school.uspishnemisto.com.ua/school/510672/", 510672)</f>
        <v>510672</v>
      </c>
      <c r="B9839" s="3" t="s">
        <v>49886</v>
      </c>
      <c r="C9839" s="3" t="s">
        <v>31</v>
      </c>
      <c r="D9839" s="3" t="s">
        <v>32</v>
      </c>
      <c r="E9839" s="4" t="s">
        <v>22</v>
      </c>
      <c r="F9839" s="4" t="s">
        <v>49887</v>
      </c>
      <c r="G9839" s="4" t="s">
        <v>49888</v>
      </c>
      <c r="H9839" s="3" t="s">
        <v>46910</v>
      </c>
      <c r="I9839" s="3" t="s">
        <v>49889</v>
      </c>
      <c r="J9839" s="3" t="s">
        <v>49890</v>
      </c>
      <c r="K9839" s="3" t="s">
        <v>49891</v>
      </c>
      <c r="L9839" s="3"/>
      <c r="M9839" s="4"/>
      <c r="N9839" s="3" t="s">
        <v>37</v>
      </c>
      <c r="O9839" s="3" t="s">
        <v>38</v>
      </c>
      <c r="P9839" s="5">
        <v>19</v>
      </c>
      <c r="Q9839" s="5">
        <v>369</v>
      </c>
      <c r="R9839" s="5">
        <v>18</v>
      </c>
      <c r="S9839" s="5">
        <v>352</v>
      </c>
    </row>
    <row r="9840" spans="1:19" ht="42" x14ac:dyDescent="0.15">
      <c r="A9840" s="2">
        <f>HYPERLINK("https://open-school.uspishnemisto.com.ua/school/510673/", 510673)</f>
        <v>510673</v>
      </c>
      <c r="B9840" s="3" t="s">
        <v>49892</v>
      </c>
      <c r="C9840" s="3" t="s">
        <v>54</v>
      </c>
      <c r="D9840" s="3" t="s">
        <v>32</v>
      </c>
      <c r="E9840" s="4" t="s">
        <v>22</v>
      </c>
      <c r="F9840" s="4" t="s">
        <v>49893</v>
      </c>
      <c r="G9840" s="4" t="s">
        <v>49888</v>
      </c>
      <c r="H9840" s="3" t="s">
        <v>46910</v>
      </c>
      <c r="I9840" s="3" t="s">
        <v>49889</v>
      </c>
      <c r="J9840" s="3" t="s">
        <v>15201</v>
      </c>
      <c r="K9840" s="3" t="s">
        <v>49894</v>
      </c>
      <c r="L9840" s="3"/>
      <c r="M9840" s="4"/>
      <c r="N9840" s="3" t="s">
        <v>37</v>
      </c>
      <c r="O9840" s="3" t="s">
        <v>70</v>
      </c>
      <c r="P9840" s="5">
        <v>41</v>
      </c>
      <c r="Q9840" s="5">
        <v>967</v>
      </c>
      <c r="R9840" s="5">
        <v>41</v>
      </c>
      <c r="S9840" s="5">
        <v>971</v>
      </c>
    </row>
    <row r="9841" spans="1:19" ht="28" x14ac:dyDescent="0.15">
      <c r="A9841" s="2">
        <f>HYPERLINK("https://open-school.uspishnemisto.com.ua/school/510674/", 510674)</f>
        <v>510674</v>
      </c>
      <c r="B9841" s="3" t="s">
        <v>49895</v>
      </c>
      <c r="C9841" s="3" t="s">
        <v>54</v>
      </c>
      <c r="D9841" s="3" t="s">
        <v>32</v>
      </c>
      <c r="E9841" s="4" t="s">
        <v>22</v>
      </c>
      <c r="F9841" s="4" t="s">
        <v>49896</v>
      </c>
      <c r="G9841" s="4" t="s">
        <v>49888</v>
      </c>
      <c r="H9841" s="3" t="s">
        <v>46910</v>
      </c>
      <c r="I9841" s="3" t="s">
        <v>49889</v>
      </c>
      <c r="J9841" s="3" t="s">
        <v>49897</v>
      </c>
      <c r="K9841" s="3"/>
      <c r="L9841" s="3"/>
      <c r="M9841" s="4"/>
      <c r="N9841" s="3" t="s">
        <v>128</v>
      </c>
      <c r="O9841" s="3" t="s">
        <v>38</v>
      </c>
      <c r="P9841" s="5">
        <v>23</v>
      </c>
      <c r="Q9841" s="5">
        <v>414</v>
      </c>
      <c r="R9841" s="5">
        <v>23</v>
      </c>
      <c r="S9841" s="5">
        <v>379</v>
      </c>
    </row>
    <row r="9842" spans="1:19" ht="28" x14ac:dyDescent="0.15">
      <c r="A9842" s="2">
        <f>HYPERLINK("https://open-school.uspishnemisto.com.ua/school/510675/", 510675)</f>
        <v>510675</v>
      </c>
      <c r="B9842" s="3" t="s">
        <v>49898</v>
      </c>
      <c r="C9842" s="3" t="s">
        <v>31</v>
      </c>
      <c r="D9842" s="3" t="s">
        <v>32</v>
      </c>
      <c r="E9842" s="4" t="s">
        <v>22</v>
      </c>
      <c r="F9842" s="4" t="s">
        <v>49899</v>
      </c>
      <c r="G9842" s="4" t="s">
        <v>49900</v>
      </c>
      <c r="H9842" s="3" t="s">
        <v>46910</v>
      </c>
      <c r="I9842" s="3" t="s">
        <v>49901</v>
      </c>
      <c r="J9842" s="3" t="s">
        <v>49902</v>
      </c>
      <c r="K9842" s="3"/>
      <c r="L9842" s="3"/>
      <c r="M9842" s="4"/>
      <c r="N9842" s="3" t="s">
        <v>37</v>
      </c>
      <c r="O9842" s="3" t="s">
        <v>70</v>
      </c>
      <c r="P9842" s="5">
        <v>27</v>
      </c>
      <c r="Q9842" s="5">
        <v>556</v>
      </c>
      <c r="R9842" s="5">
        <v>25</v>
      </c>
      <c r="S9842" s="5">
        <v>529</v>
      </c>
    </row>
    <row r="9843" spans="1:19" ht="56" x14ac:dyDescent="0.15">
      <c r="A9843" s="2">
        <f>HYPERLINK("https://open-school.uspishnemisto.com.ua/school/510676/", 510676)</f>
        <v>510676</v>
      </c>
      <c r="B9843" s="3" t="s">
        <v>49903</v>
      </c>
      <c r="C9843" s="3" t="s">
        <v>54</v>
      </c>
      <c r="D9843" s="3" t="s">
        <v>32</v>
      </c>
      <c r="E9843" s="4" t="s">
        <v>41</v>
      </c>
      <c r="F9843" s="4" t="s">
        <v>46915</v>
      </c>
      <c r="G9843" s="4" t="s">
        <v>49904</v>
      </c>
      <c r="H9843" s="3" t="s">
        <v>46910</v>
      </c>
      <c r="I9843" s="3" t="s">
        <v>49905</v>
      </c>
      <c r="J9843" s="3" t="s">
        <v>49906</v>
      </c>
      <c r="K9843" s="3" t="s">
        <v>49907</v>
      </c>
      <c r="L9843" s="3"/>
      <c r="M9843" s="4"/>
      <c r="N9843" s="3" t="s">
        <v>967</v>
      </c>
      <c r="O9843" s="3" t="s">
        <v>46</v>
      </c>
      <c r="P9843" s="5">
        <v>15</v>
      </c>
      <c r="Q9843" s="5">
        <v>250</v>
      </c>
      <c r="R9843" s="5">
        <v>13</v>
      </c>
      <c r="S9843" s="5">
        <v>192</v>
      </c>
    </row>
    <row r="9844" spans="1:19" ht="28" x14ac:dyDescent="0.15">
      <c r="A9844" s="2">
        <f>HYPERLINK("https://open-school.uspishnemisto.com.ua/school/510677/", 510677)</f>
        <v>510677</v>
      </c>
      <c r="B9844" s="3" t="s">
        <v>49908</v>
      </c>
      <c r="C9844" s="3" t="s">
        <v>31</v>
      </c>
      <c r="D9844" s="3" t="s">
        <v>32</v>
      </c>
      <c r="E9844" s="4" t="s">
        <v>22</v>
      </c>
      <c r="F9844" s="4" t="s">
        <v>49909</v>
      </c>
      <c r="G9844" s="4" t="s">
        <v>49910</v>
      </c>
      <c r="H9844" s="3" t="s">
        <v>46910</v>
      </c>
      <c r="I9844" s="3" t="s">
        <v>49911</v>
      </c>
      <c r="J9844" s="3" t="s">
        <v>49912</v>
      </c>
      <c r="K9844" s="3" t="s">
        <v>49913</v>
      </c>
      <c r="L9844" s="3"/>
      <c r="M9844" s="4"/>
      <c r="N9844" s="3" t="s">
        <v>37</v>
      </c>
      <c r="O9844" s="3" t="s">
        <v>70</v>
      </c>
      <c r="P9844" s="5">
        <v>13</v>
      </c>
      <c r="Q9844" s="5">
        <v>213</v>
      </c>
      <c r="R9844" s="5">
        <v>13</v>
      </c>
      <c r="S9844" s="5">
        <v>194</v>
      </c>
    </row>
    <row r="9845" spans="1:19" ht="28" x14ac:dyDescent="0.15">
      <c r="A9845" s="2">
        <f>HYPERLINK("https://open-school.uspishnemisto.com.ua/school/510678/", 510678)</f>
        <v>510678</v>
      </c>
      <c r="B9845" s="3" t="s">
        <v>49914</v>
      </c>
      <c r="C9845" s="3" t="s">
        <v>31</v>
      </c>
      <c r="D9845" s="3" t="s">
        <v>32</v>
      </c>
      <c r="E9845" s="4" t="s">
        <v>22</v>
      </c>
      <c r="F9845" s="4" t="s">
        <v>49915</v>
      </c>
      <c r="G9845" s="4" t="s">
        <v>49916</v>
      </c>
      <c r="H9845" s="3" t="s">
        <v>46910</v>
      </c>
      <c r="I9845" s="3" t="s">
        <v>49917</v>
      </c>
      <c r="J9845" s="3" t="s">
        <v>49918</v>
      </c>
      <c r="K9845" s="3" t="s">
        <v>49919</v>
      </c>
      <c r="L9845" s="3"/>
      <c r="M9845" s="4"/>
      <c r="N9845" s="3" t="s">
        <v>37</v>
      </c>
      <c r="O9845" s="3" t="s">
        <v>70</v>
      </c>
      <c r="P9845" s="5">
        <v>13</v>
      </c>
      <c r="Q9845" s="5">
        <v>263</v>
      </c>
      <c r="R9845" s="5">
        <v>13</v>
      </c>
      <c r="S9845" s="5">
        <v>269</v>
      </c>
    </row>
    <row r="9846" spans="1:19" ht="28" x14ac:dyDescent="0.15">
      <c r="A9846" s="2">
        <f>HYPERLINK("https://open-school.uspishnemisto.com.ua/school/510679/", 510679)</f>
        <v>510679</v>
      </c>
      <c r="B9846" s="3" t="s">
        <v>49920</v>
      </c>
      <c r="C9846" s="3" t="s">
        <v>31</v>
      </c>
      <c r="D9846" s="3" t="s">
        <v>60</v>
      </c>
      <c r="E9846" s="4" t="s">
        <v>22</v>
      </c>
      <c r="F9846" s="4" t="s">
        <v>49915</v>
      </c>
      <c r="G9846" s="4" t="s">
        <v>49921</v>
      </c>
      <c r="H9846" s="3" t="s">
        <v>46910</v>
      </c>
      <c r="I9846" s="3" t="s">
        <v>49922</v>
      </c>
      <c r="J9846" s="3" t="s">
        <v>49923</v>
      </c>
      <c r="K9846" s="3" t="s">
        <v>49924</v>
      </c>
      <c r="L9846" s="3"/>
      <c r="M9846" s="4"/>
      <c r="N9846" s="3" t="s">
        <v>37</v>
      </c>
      <c r="O9846" s="3" t="s">
        <v>38</v>
      </c>
      <c r="P9846" s="5">
        <v>4</v>
      </c>
      <c r="Q9846" s="5">
        <v>40</v>
      </c>
      <c r="R9846" s="5">
        <v>4</v>
      </c>
      <c r="S9846" s="5">
        <v>44</v>
      </c>
    </row>
    <row r="9847" spans="1:19" ht="28" x14ac:dyDescent="0.15">
      <c r="A9847" s="2">
        <f>HYPERLINK("https://open-school.uspishnemisto.com.ua/school/510680/", 510680)</f>
        <v>510680</v>
      </c>
      <c r="B9847" s="3" t="s">
        <v>49925</v>
      </c>
      <c r="C9847" s="3" t="s">
        <v>31</v>
      </c>
      <c r="D9847" s="3" t="s">
        <v>32</v>
      </c>
      <c r="E9847" s="4" t="s">
        <v>22</v>
      </c>
      <c r="F9847" s="4" t="s">
        <v>49926</v>
      </c>
      <c r="G9847" s="4" t="s">
        <v>49927</v>
      </c>
      <c r="H9847" s="3" t="s">
        <v>46910</v>
      </c>
      <c r="I9847" s="3" t="s">
        <v>49928</v>
      </c>
      <c r="J9847" s="3" t="s">
        <v>634</v>
      </c>
      <c r="K9847" s="3"/>
      <c r="L9847" s="3"/>
      <c r="M9847" s="4"/>
      <c r="N9847" s="3" t="s">
        <v>37</v>
      </c>
      <c r="O9847" s="3" t="s">
        <v>38</v>
      </c>
      <c r="P9847" s="5">
        <v>15</v>
      </c>
      <c r="Q9847" s="5">
        <v>255</v>
      </c>
      <c r="R9847" s="5">
        <v>15</v>
      </c>
      <c r="S9847" s="5">
        <v>259</v>
      </c>
    </row>
    <row r="9848" spans="1:19" ht="28" x14ac:dyDescent="0.15">
      <c r="A9848" s="2">
        <f>HYPERLINK("https://open-school.uspishnemisto.com.ua/school/510681/", 510681)</f>
        <v>510681</v>
      </c>
      <c r="B9848" s="3" t="s">
        <v>49929</v>
      </c>
      <c r="C9848" s="3" t="s">
        <v>31</v>
      </c>
      <c r="D9848" s="3" t="s">
        <v>32</v>
      </c>
      <c r="E9848" s="4" t="s">
        <v>22</v>
      </c>
      <c r="F9848" s="4" t="s">
        <v>49930</v>
      </c>
      <c r="G9848" s="4" t="s">
        <v>49931</v>
      </c>
      <c r="H9848" s="3" t="s">
        <v>46910</v>
      </c>
      <c r="I9848" s="3" t="s">
        <v>49932</v>
      </c>
      <c r="J9848" s="3" t="s">
        <v>49933</v>
      </c>
      <c r="K9848" s="3"/>
      <c r="L9848" s="3"/>
      <c r="M9848" s="4"/>
      <c r="N9848" s="3" t="s">
        <v>37</v>
      </c>
      <c r="O9848" s="3" t="s">
        <v>70</v>
      </c>
      <c r="P9848" s="5">
        <v>13</v>
      </c>
      <c r="Q9848" s="5">
        <v>254</v>
      </c>
      <c r="R9848" s="5">
        <v>15</v>
      </c>
      <c r="S9848" s="5">
        <v>261</v>
      </c>
    </row>
    <row r="9849" spans="1:19" ht="28" x14ac:dyDescent="0.15">
      <c r="A9849" s="2">
        <f>HYPERLINK("https://open-school.uspishnemisto.com.ua/school/510682/", 510682)</f>
        <v>510682</v>
      </c>
      <c r="B9849" s="3" t="s">
        <v>49934</v>
      </c>
      <c r="C9849" s="3" t="s">
        <v>2634</v>
      </c>
      <c r="D9849" s="3" t="s">
        <v>175</v>
      </c>
      <c r="E9849" s="4" t="s">
        <v>22</v>
      </c>
      <c r="F9849" s="4" t="s">
        <v>49930</v>
      </c>
      <c r="G9849" s="4" t="s">
        <v>49931</v>
      </c>
      <c r="H9849" s="3" t="s">
        <v>46910</v>
      </c>
      <c r="I9849" s="3" t="s">
        <v>49932</v>
      </c>
      <c r="J9849" s="3" t="s">
        <v>49935</v>
      </c>
      <c r="K9849" s="3" t="s">
        <v>49936</v>
      </c>
      <c r="L9849" s="3" t="s">
        <v>49937</v>
      </c>
      <c r="M9849" s="4" t="s">
        <v>49938</v>
      </c>
      <c r="N9849" s="3" t="s">
        <v>37</v>
      </c>
      <c r="O9849" s="3" t="s">
        <v>52</v>
      </c>
      <c r="P9849" s="5">
        <v>9</v>
      </c>
      <c r="Q9849" s="5">
        <v>98</v>
      </c>
      <c r="R9849" s="5">
        <v>9</v>
      </c>
      <c r="S9849" s="5">
        <v>94</v>
      </c>
    </row>
    <row r="9850" spans="1:19" ht="28" x14ac:dyDescent="0.15">
      <c r="A9850" s="2">
        <f>HYPERLINK("https://open-school.uspishnemisto.com.ua/school/510683/", 510683)</f>
        <v>510683</v>
      </c>
      <c r="B9850" s="3" t="s">
        <v>49939</v>
      </c>
      <c r="C9850" s="3" t="s">
        <v>31</v>
      </c>
      <c r="D9850" s="3" t="s">
        <v>32</v>
      </c>
      <c r="E9850" s="4" t="s">
        <v>22</v>
      </c>
      <c r="F9850" s="4" t="s">
        <v>49940</v>
      </c>
      <c r="G9850" s="4" t="s">
        <v>49941</v>
      </c>
      <c r="H9850" s="3" t="s">
        <v>46910</v>
      </c>
      <c r="I9850" s="3" t="s">
        <v>1684</v>
      </c>
      <c r="J9850" s="3" t="s">
        <v>49942</v>
      </c>
      <c r="K9850" s="3" t="s">
        <v>49943</v>
      </c>
      <c r="L9850" s="3"/>
      <c r="M9850" s="4"/>
      <c r="N9850" s="3" t="s">
        <v>37</v>
      </c>
      <c r="O9850" s="3" t="s">
        <v>70</v>
      </c>
      <c r="P9850" s="5">
        <v>17</v>
      </c>
      <c r="Q9850" s="5">
        <v>299</v>
      </c>
      <c r="R9850" s="5">
        <v>17</v>
      </c>
      <c r="S9850" s="5">
        <v>294</v>
      </c>
    </row>
    <row r="9851" spans="1:19" ht="28" x14ac:dyDescent="0.15">
      <c r="A9851" s="2">
        <f>HYPERLINK("https://open-school.uspishnemisto.com.ua/school/510684/", 510684)</f>
        <v>510684</v>
      </c>
      <c r="B9851" s="3" t="s">
        <v>49944</v>
      </c>
      <c r="C9851" s="3" t="s">
        <v>31</v>
      </c>
      <c r="D9851" s="3" t="s">
        <v>32</v>
      </c>
      <c r="E9851" s="4" t="s">
        <v>22</v>
      </c>
      <c r="F9851" s="4" t="s">
        <v>49945</v>
      </c>
      <c r="G9851" s="4" t="s">
        <v>49946</v>
      </c>
      <c r="H9851" s="3" t="s">
        <v>46910</v>
      </c>
      <c r="I9851" s="3" t="s">
        <v>49947</v>
      </c>
      <c r="J9851" s="3" t="s">
        <v>49948</v>
      </c>
      <c r="K9851" s="3"/>
      <c r="L9851" s="3"/>
      <c r="M9851" s="4"/>
      <c r="N9851" s="3" t="s">
        <v>37</v>
      </c>
      <c r="O9851" s="3" t="s">
        <v>70</v>
      </c>
      <c r="P9851" s="5">
        <v>14</v>
      </c>
      <c r="Q9851" s="5">
        <v>226</v>
      </c>
      <c r="R9851" s="5">
        <v>13</v>
      </c>
      <c r="S9851" s="5">
        <v>220</v>
      </c>
    </row>
    <row r="9852" spans="1:19" ht="28" x14ac:dyDescent="0.15">
      <c r="A9852" s="2">
        <f>HYPERLINK("https://open-school.uspishnemisto.com.ua/school/510685/", 510685)</f>
        <v>510685</v>
      </c>
      <c r="B9852" s="3" t="s">
        <v>49949</v>
      </c>
      <c r="C9852" s="3" t="s">
        <v>31</v>
      </c>
      <c r="D9852" s="3" t="s">
        <v>32</v>
      </c>
      <c r="E9852" s="4" t="s">
        <v>22</v>
      </c>
      <c r="F9852" s="4" t="s">
        <v>49950</v>
      </c>
      <c r="G9852" s="4" t="s">
        <v>49951</v>
      </c>
      <c r="H9852" s="3" t="s">
        <v>46910</v>
      </c>
      <c r="I9852" s="3" t="s">
        <v>440</v>
      </c>
      <c r="J9852" s="3" t="s">
        <v>2052</v>
      </c>
      <c r="K9852" s="3" t="s">
        <v>49952</v>
      </c>
      <c r="L9852" s="3"/>
      <c r="M9852" s="4"/>
      <c r="N9852" s="3" t="s">
        <v>37</v>
      </c>
      <c r="O9852" s="3" t="s">
        <v>38</v>
      </c>
      <c r="P9852" s="5">
        <v>11</v>
      </c>
      <c r="Q9852" s="5">
        <v>174</v>
      </c>
      <c r="R9852" s="5">
        <v>11</v>
      </c>
      <c r="S9852" s="5">
        <v>160</v>
      </c>
    </row>
    <row r="9853" spans="1:19" ht="28" x14ac:dyDescent="0.15">
      <c r="A9853" s="2">
        <f>HYPERLINK("https://open-school.uspishnemisto.com.ua/school/510686/", 510686)</f>
        <v>510686</v>
      </c>
      <c r="B9853" s="3" t="s">
        <v>49953</v>
      </c>
      <c r="C9853" s="3" t="s">
        <v>31</v>
      </c>
      <c r="D9853" s="3" t="s">
        <v>32</v>
      </c>
      <c r="E9853" s="4" t="s">
        <v>22</v>
      </c>
      <c r="F9853" s="4" t="s">
        <v>49954</v>
      </c>
      <c r="G9853" s="4" t="s">
        <v>49955</v>
      </c>
      <c r="H9853" s="3" t="s">
        <v>46910</v>
      </c>
      <c r="I9853" s="3" t="s">
        <v>13387</v>
      </c>
      <c r="J9853" s="3" t="s">
        <v>49956</v>
      </c>
      <c r="K9853" s="3" t="s">
        <v>49957</v>
      </c>
      <c r="L9853" s="3"/>
      <c r="M9853" s="4"/>
      <c r="N9853" s="3" t="s">
        <v>37</v>
      </c>
      <c r="O9853" s="3" t="s">
        <v>70</v>
      </c>
      <c r="P9853" s="5">
        <v>24</v>
      </c>
      <c r="Q9853" s="5">
        <v>538</v>
      </c>
      <c r="R9853" s="5">
        <v>23</v>
      </c>
      <c r="S9853" s="5">
        <v>495</v>
      </c>
    </row>
    <row r="9854" spans="1:19" ht="28" x14ac:dyDescent="0.15">
      <c r="A9854" s="2">
        <f>HYPERLINK("https://open-school.uspishnemisto.com.ua/school/510687/", 510687)</f>
        <v>510687</v>
      </c>
      <c r="B9854" s="3" t="s">
        <v>49958</v>
      </c>
      <c r="C9854" s="3" t="s">
        <v>31</v>
      </c>
      <c r="D9854" s="3" t="s">
        <v>32</v>
      </c>
      <c r="E9854" s="4" t="s">
        <v>22</v>
      </c>
      <c r="F9854" s="4" t="s">
        <v>49959</v>
      </c>
      <c r="G9854" s="4" t="s">
        <v>49960</v>
      </c>
      <c r="H9854" s="3" t="s">
        <v>46910</v>
      </c>
      <c r="I9854" s="3" t="s">
        <v>49961</v>
      </c>
      <c r="J9854" s="3" t="s">
        <v>49962</v>
      </c>
      <c r="K9854" s="3"/>
      <c r="L9854" s="3"/>
      <c r="M9854" s="4"/>
      <c r="N9854" s="3" t="s">
        <v>37</v>
      </c>
      <c r="O9854" s="3" t="s">
        <v>70</v>
      </c>
      <c r="P9854" s="5">
        <v>13</v>
      </c>
      <c r="Q9854" s="5">
        <v>244</v>
      </c>
      <c r="R9854" s="5">
        <v>13</v>
      </c>
      <c r="S9854" s="5">
        <v>235</v>
      </c>
    </row>
    <row r="9855" spans="1:19" ht="28" x14ac:dyDescent="0.15">
      <c r="A9855" s="2">
        <f>HYPERLINK("https://open-school.uspishnemisto.com.ua/school/510688/", 510688)</f>
        <v>510688</v>
      </c>
      <c r="B9855" s="3" t="s">
        <v>49963</v>
      </c>
      <c r="C9855" s="3" t="s">
        <v>31</v>
      </c>
      <c r="D9855" s="3" t="s">
        <v>32</v>
      </c>
      <c r="E9855" s="4" t="s">
        <v>22</v>
      </c>
      <c r="F9855" s="4" t="s">
        <v>49964</v>
      </c>
      <c r="G9855" s="4" t="s">
        <v>49965</v>
      </c>
      <c r="H9855" s="3" t="s">
        <v>46910</v>
      </c>
      <c r="I9855" s="3" t="s">
        <v>1740</v>
      </c>
      <c r="J9855" s="3" t="s">
        <v>4182</v>
      </c>
      <c r="K9855" s="3" t="s">
        <v>49966</v>
      </c>
      <c r="L9855" s="3"/>
      <c r="M9855" s="4"/>
      <c r="N9855" s="3" t="s">
        <v>37</v>
      </c>
      <c r="O9855" s="3" t="s">
        <v>70</v>
      </c>
      <c r="P9855" s="5">
        <v>11</v>
      </c>
      <c r="Q9855" s="5">
        <v>142</v>
      </c>
      <c r="R9855" s="5">
        <v>10</v>
      </c>
      <c r="S9855" s="5">
        <v>135</v>
      </c>
    </row>
    <row r="9856" spans="1:19" ht="28" x14ac:dyDescent="0.15">
      <c r="A9856" s="2">
        <f>HYPERLINK("https://open-school.uspishnemisto.com.ua/school/510689/", 510689)</f>
        <v>510689</v>
      </c>
      <c r="B9856" s="3" t="s">
        <v>49967</v>
      </c>
      <c r="C9856" s="3" t="s">
        <v>31</v>
      </c>
      <c r="D9856" s="3" t="s">
        <v>32</v>
      </c>
      <c r="E9856" s="4" t="s">
        <v>22</v>
      </c>
      <c r="F9856" s="4" t="s">
        <v>49968</v>
      </c>
      <c r="G9856" s="4" t="s">
        <v>49969</v>
      </c>
      <c r="H9856" s="3" t="s">
        <v>46910</v>
      </c>
      <c r="I9856" s="3" t="s">
        <v>49970</v>
      </c>
      <c r="J9856" s="3" t="s">
        <v>466</v>
      </c>
      <c r="K9856" s="3" t="s">
        <v>49971</v>
      </c>
      <c r="L9856" s="3"/>
      <c r="M9856" s="4"/>
      <c r="N9856" s="3" t="s">
        <v>37</v>
      </c>
      <c r="O9856" s="3" t="s">
        <v>38</v>
      </c>
      <c r="P9856" s="5">
        <v>17</v>
      </c>
      <c r="Q9856" s="5">
        <v>274</v>
      </c>
      <c r="R9856" s="5">
        <v>16</v>
      </c>
      <c r="S9856" s="5">
        <v>269</v>
      </c>
    </row>
    <row r="9857" spans="1:19" ht="28" x14ac:dyDescent="0.15">
      <c r="A9857" s="2">
        <f>HYPERLINK("https://open-school.uspishnemisto.com.ua/school/510690/", 510690)</f>
        <v>510690</v>
      </c>
      <c r="B9857" s="3" t="s">
        <v>49972</v>
      </c>
      <c r="C9857" s="3" t="s">
        <v>31</v>
      </c>
      <c r="D9857" s="3" t="s">
        <v>32</v>
      </c>
      <c r="E9857" s="4" t="s">
        <v>22</v>
      </c>
      <c r="F9857" s="4" t="s">
        <v>49973</v>
      </c>
      <c r="G9857" s="4" t="s">
        <v>49974</v>
      </c>
      <c r="H9857" s="3" t="s">
        <v>46910</v>
      </c>
      <c r="I9857" s="3" t="s">
        <v>49975</v>
      </c>
      <c r="J9857" s="3" t="s">
        <v>466</v>
      </c>
      <c r="K9857" s="3" t="s">
        <v>48880</v>
      </c>
      <c r="L9857" s="3"/>
      <c r="M9857" s="4"/>
      <c r="N9857" s="3" t="s">
        <v>37</v>
      </c>
      <c r="O9857" s="3" t="s">
        <v>38</v>
      </c>
      <c r="P9857" s="5">
        <v>22</v>
      </c>
      <c r="Q9857" s="5">
        <v>399</v>
      </c>
      <c r="R9857" s="5">
        <v>22</v>
      </c>
      <c r="S9857" s="5">
        <v>359</v>
      </c>
    </row>
    <row r="9858" spans="1:19" ht="28" x14ac:dyDescent="0.15">
      <c r="A9858" s="2">
        <f>HYPERLINK("https://open-school.uspishnemisto.com.ua/school/510691/", 510691)</f>
        <v>510691</v>
      </c>
      <c r="B9858" s="3" t="s">
        <v>49976</v>
      </c>
      <c r="C9858" s="3" t="s">
        <v>31</v>
      </c>
      <c r="D9858" s="3" t="s">
        <v>32</v>
      </c>
      <c r="E9858" s="4" t="s">
        <v>22</v>
      </c>
      <c r="F9858" s="4" t="s">
        <v>49977</v>
      </c>
      <c r="G9858" s="4" t="s">
        <v>49978</v>
      </c>
      <c r="H9858" s="3" t="s">
        <v>46910</v>
      </c>
      <c r="I9858" s="3" t="s">
        <v>49979</v>
      </c>
      <c r="J9858" s="3" t="s">
        <v>49980</v>
      </c>
      <c r="K9858" s="3" t="s">
        <v>49981</v>
      </c>
      <c r="L9858" s="3"/>
      <c r="M9858" s="4"/>
      <c r="N9858" s="3" t="s">
        <v>37</v>
      </c>
      <c r="O9858" s="3" t="s">
        <v>70</v>
      </c>
      <c r="P9858" s="5">
        <v>19</v>
      </c>
      <c r="Q9858" s="5">
        <v>378</v>
      </c>
      <c r="R9858" s="5">
        <v>19</v>
      </c>
      <c r="S9858" s="5">
        <v>376</v>
      </c>
    </row>
    <row r="9859" spans="1:19" ht="28" x14ac:dyDescent="0.15">
      <c r="A9859" s="2">
        <f>HYPERLINK("https://open-school.uspishnemisto.com.ua/school/510692/", 510692)</f>
        <v>510692</v>
      </c>
      <c r="B9859" s="3" t="s">
        <v>49982</v>
      </c>
      <c r="C9859" s="3" t="s">
        <v>31</v>
      </c>
      <c r="D9859" s="3" t="s">
        <v>32</v>
      </c>
      <c r="E9859" s="4" t="s">
        <v>22</v>
      </c>
      <c r="F9859" s="4" t="s">
        <v>49983</v>
      </c>
      <c r="G9859" s="4" t="s">
        <v>49984</v>
      </c>
      <c r="H9859" s="3" t="s">
        <v>46910</v>
      </c>
      <c r="I9859" s="3" t="s">
        <v>49985</v>
      </c>
      <c r="J9859" s="3" t="s">
        <v>1588</v>
      </c>
      <c r="K9859" s="3" t="s">
        <v>49986</v>
      </c>
      <c r="L9859" s="3"/>
      <c r="M9859" s="4"/>
      <c r="N9859" s="3" t="s">
        <v>37</v>
      </c>
      <c r="O9859" s="3" t="s">
        <v>38</v>
      </c>
      <c r="P9859" s="5">
        <v>30</v>
      </c>
      <c r="Q9859" s="5">
        <v>711</v>
      </c>
      <c r="R9859" s="5">
        <v>30</v>
      </c>
      <c r="S9859" s="5">
        <v>688</v>
      </c>
    </row>
    <row r="9860" spans="1:19" ht="28" x14ac:dyDescent="0.15">
      <c r="A9860" s="2">
        <f>HYPERLINK("https://open-school.uspishnemisto.com.ua/school/510693/", 510693)</f>
        <v>510693</v>
      </c>
      <c r="B9860" s="3" t="s">
        <v>49987</v>
      </c>
      <c r="C9860" s="3" t="s">
        <v>31</v>
      </c>
      <c r="D9860" s="3" t="s">
        <v>32</v>
      </c>
      <c r="E9860" s="4" t="s">
        <v>22</v>
      </c>
      <c r="F9860" s="4" t="s">
        <v>49988</v>
      </c>
      <c r="G9860" s="4" t="s">
        <v>49989</v>
      </c>
      <c r="H9860" s="3" t="s">
        <v>46910</v>
      </c>
      <c r="I9860" s="3" t="s">
        <v>49990</v>
      </c>
      <c r="J9860" s="3" t="s">
        <v>49991</v>
      </c>
      <c r="K9860" s="3" t="s">
        <v>49992</v>
      </c>
      <c r="L9860" s="3"/>
      <c r="M9860" s="4"/>
      <c r="N9860" s="3" t="s">
        <v>37</v>
      </c>
      <c r="O9860" s="3" t="s">
        <v>38</v>
      </c>
      <c r="P9860" s="5">
        <v>11</v>
      </c>
      <c r="Q9860" s="5">
        <v>152</v>
      </c>
      <c r="R9860" s="5">
        <v>12</v>
      </c>
      <c r="S9860" s="5">
        <v>151</v>
      </c>
    </row>
    <row r="9861" spans="1:19" ht="28" x14ac:dyDescent="0.15">
      <c r="A9861" s="2">
        <f>HYPERLINK("https://open-school.uspishnemisto.com.ua/school/510694/", 510694)</f>
        <v>510694</v>
      </c>
      <c r="B9861" s="3" t="s">
        <v>49993</v>
      </c>
      <c r="C9861" s="3" t="s">
        <v>31</v>
      </c>
      <c r="D9861" s="3" t="s">
        <v>60</v>
      </c>
      <c r="E9861" s="4" t="s">
        <v>22</v>
      </c>
      <c r="F9861" s="4" t="s">
        <v>49994</v>
      </c>
      <c r="G9861" s="4" t="s">
        <v>49995</v>
      </c>
      <c r="H9861" s="3" t="s">
        <v>46910</v>
      </c>
      <c r="I9861" s="3" t="s">
        <v>49996</v>
      </c>
      <c r="J9861" s="3" t="s">
        <v>49997</v>
      </c>
      <c r="K9861" s="3" t="s">
        <v>49998</v>
      </c>
      <c r="L9861" s="3"/>
      <c r="M9861" s="4"/>
      <c r="N9861" s="3" t="s">
        <v>37</v>
      </c>
      <c r="O9861" s="3" t="s">
        <v>38</v>
      </c>
      <c r="P9861" s="5">
        <v>4</v>
      </c>
      <c r="Q9861" s="5">
        <v>74</v>
      </c>
      <c r="R9861" s="5">
        <v>4</v>
      </c>
      <c r="S9861" s="5">
        <v>79</v>
      </c>
    </row>
    <row r="9862" spans="1:19" ht="28" x14ac:dyDescent="0.15">
      <c r="A9862" s="2">
        <f>HYPERLINK("https://open-school.uspishnemisto.com.ua/school/510695/", 510695)</f>
        <v>510695</v>
      </c>
      <c r="B9862" s="3" t="s">
        <v>49999</v>
      </c>
      <c r="C9862" s="3" t="s">
        <v>31</v>
      </c>
      <c r="D9862" s="3" t="s">
        <v>32</v>
      </c>
      <c r="E9862" s="4" t="s">
        <v>22</v>
      </c>
      <c r="F9862" s="4" t="s">
        <v>50000</v>
      </c>
      <c r="G9862" s="4" t="s">
        <v>50001</v>
      </c>
      <c r="H9862" s="3" t="s">
        <v>46910</v>
      </c>
      <c r="I9862" s="3" t="s">
        <v>50002</v>
      </c>
      <c r="J9862" s="3" t="s">
        <v>50003</v>
      </c>
      <c r="K9862" s="3" t="s">
        <v>50004</v>
      </c>
      <c r="L9862" s="3"/>
      <c r="M9862" s="4" t="s">
        <v>50005</v>
      </c>
      <c r="N9862" s="3" t="s">
        <v>128</v>
      </c>
      <c r="O9862" s="3" t="s">
        <v>38</v>
      </c>
      <c r="P9862" s="5">
        <v>24</v>
      </c>
      <c r="Q9862" s="5">
        <v>491</v>
      </c>
      <c r="R9862" s="5">
        <v>22</v>
      </c>
      <c r="S9862" s="5">
        <v>455</v>
      </c>
    </row>
    <row r="9863" spans="1:19" ht="28" x14ac:dyDescent="0.15">
      <c r="A9863" s="2">
        <f>HYPERLINK("https://open-school.uspishnemisto.com.ua/school/510696/", 510696)</f>
        <v>510696</v>
      </c>
      <c r="B9863" s="3" t="s">
        <v>50006</v>
      </c>
      <c r="C9863" s="3" t="s">
        <v>54</v>
      </c>
      <c r="D9863" s="3" t="s">
        <v>32</v>
      </c>
      <c r="E9863" s="4" t="s">
        <v>22</v>
      </c>
      <c r="F9863" s="4" t="s">
        <v>50000</v>
      </c>
      <c r="G9863" s="4" t="s">
        <v>50001</v>
      </c>
      <c r="H9863" s="3" t="s">
        <v>46910</v>
      </c>
      <c r="I9863" s="3" t="s">
        <v>50002</v>
      </c>
      <c r="J9863" s="3" t="s">
        <v>3472</v>
      </c>
      <c r="K9863" s="3" t="s">
        <v>50007</v>
      </c>
      <c r="L9863" s="3"/>
      <c r="M9863" s="4" t="s">
        <v>50008</v>
      </c>
      <c r="N9863" s="3" t="s">
        <v>128</v>
      </c>
      <c r="O9863" s="3" t="s">
        <v>38</v>
      </c>
      <c r="P9863" s="5">
        <v>39</v>
      </c>
      <c r="Q9863" s="5">
        <v>775</v>
      </c>
      <c r="R9863" s="5">
        <v>38</v>
      </c>
      <c r="S9863" s="5">
        <v>755</v>
      </c>
    </row>
    <row r="9864" spans="1:19" ht="28" x14ac:dyDescent="0.15">
      <c r="A9864" s="2">
        <f>HYPERLINK("https://open-school.uspishnemisto.com.ua/school/510697/", 510697)</f>
        <v>510697</v>
      </c>
      <c r="B9864" s="3" t="s">
        <v>50009</v>
      </c>
      <c r="C9864" s="3" t="s">
        <v>31</v>
      </c>
      <c r="D9864" s="3" t="s">
        <v>32</v>
      </c>
      <c r="E9864" s="4" t="s">
        <v>22</v>
      </c>
      <c r="F9864" s="4" t="s">
        <v>50000</v>
      </c>
      <c r="G9864" s="4" t="s">
        <v>50001</v>
      </c>
      <c r="H9864" s="3" t="s">
        <v>46910</v>
      </c>
      <c r="I9864" s="3" t="s">
        <v>50002</v>
      </c>
      <c r="J9864" s="3" t="s">
        <v>50010</v>
      </c>
      <c r="K9864" s="3" t="s">
        <v>50011</v>
      </c>
      <c r="L9864" s="3"/>
      <c r="M9864" s="4" t="s">
        <v>50012</v>
      </c>
      <c r="N9864" s="3" t="s">
        <v>128</v>
      </c>
      <c r="O9864" s="3" t="s">
        <v>70</v>
      </c>
      <c r="P9864" s="5">
        <v>34</v>
      </c>
      <c r="Q9864" s="5">
        <v>819</v>
      </c>
      <c r="R9864" s="5">
        <v>34</v>
      </c>
      <c r="S9864" s="5">
        <v>788</v>
      </c>
    </row>
    <row r="9865" spans="1:19" ht="28" x14ac:dyDescent="0.15">
      <c r="A9865" s="2">
        <f>HYPERLINK("https://open-school.uspishnemisto.com.ua/school/510698/", 510698)</f>
        <v>510698</v>
      </c>
      <c r="B9865" s="3" t="s">
        <v>50013</v>
      </c>
      <c r="C9865" s="3" t="s">
        <v>31</v>
      </c>
      <c r="D9865" s="3" t="s">
        <v>32</v>
      </c>
      <c r="E9865" s="4" t="s">
        <v>22</v>
      </c>
      <c r="F9865" s="4" t="s">
        <v>50000</v>
      </c>
      <c r="G9865" s="4" t="s">
        <v>50001</v>
      </c>
      <c r="H9865" s="3" t="s">
        <v>46910</v>
      </c>
      <c r="I9865" s="3" t="s">
        <v>50002</v>
      </c>
      <c r="J9865" s="3" t="s">
        <v>50014</v>
      </c>
      <c r="K9865" s="3" t="s">
        <v>50015</v>
      </c>
      <c r="L9865" s="3"/>
      <c r="M9865" s="4" t="s">
        <v>50016</v>
      </c>
      <c r="N9865" s="3" t="s">
        <v>37</v>
      </c>
      <c r="O9865" s="3" t="s">
        <v>38</v>
      </c>
      <c r="P9865" s="5">
        <v>14</v>
      </c>
      <c r="Q9865" s="5">
        <v>243</v>
      </c>
      <c r="R9865" s="5">
        <v>13</v>
      </c>
      <c r="S9865" s="5">
        <v>228</v>
      </c>
    </row>
    <row r="9866" spans="1:19" ht="28" x14ac:dyDescent="0.15">
      <c r="A9866" s="2">
        <f>HYPERLINK("https://open-school.uspishnemisto.com.ua/school/510699/", 510699)</f>
        <v>510699</v>
      </c>
      <c r="B9866" s="3" t="s">
        <v>50017</v>
      </c>
      <c r="C9866" s="3" t="s">
        <v>31</v>
      </c>
      <c r="D9866" s="3" t="s">
        <v>32</v>
      </c>
      <c r="E9866" s="4" t="s">
        <v>22</v>
      </c>
      <c r="F9866" s="4" t="s">
        <v>50018</v>
      </c>
      <c r="G9866" s="4" t="s">
        <v>50019</v>
      </c>
      <c r="H9866" s="3" t="s">
        <v>46910</v>
      </c>
      <c r="I9866" s="3" t="s">
        <v>50020</v>
      </c>
      <c r="J9866" s="3" t="s">
        <v>50021</v>
      </c>
      <c r="K9866" s="3" t="s">
        <v>50022</v>
      </c>
      <c r="L9866" s="3"/>
      <c r="M9866" s="4"/>
      <c r="N9866" s="3" t="s">
        <v>128</v>
      </c>
      <c r="O9866" s="3" t="s">
        <v>46</v>
      </c>
      <c r="P9866" s="5">
        <v>22</v>
      </c>
      <c r="Q9866" s="5">
        <v>358</v>
      </c>
      <c r="R9866" s="5">
        <v>22</v>
      </c>
      <c r="S9866" s="5">
        <v>346</v>
      </c>
    </row>
    <row r="9867" spans="1:19" ht="28" x14ac:dyDescent="0.15">
      <c r="A9867" s="2">
        <f>HYPERLINK("https://open-school.uspishnemisto.com.ua/school/510700/", 510700)</f>
        <v>510700</v>
      </c>
      <c r="B9867" s="3" t="s">
        <v>50023</v>
      </c>
      <c r="C9867" s="3" t="s">
        <v>31</v>
      </c>
      <c r="D9867" s="3" t="s">
        <v>32</v>
      </c>
      <c r="E9867" s="4" t="s">
        <v>22</v>
      </c>
      <c r="F9867" s="4" t="s">
        <v>50018</v>
      </c>
      <c r="G9867" s="4" t="s">
        <v>50019</v>
      </c>
      <c r="H9867" s="3" t="s">
        <v>46910</v>
      </c>
      <c r="I9867" s="3" t="s">
        <v>50020</v>
      </c>
      <c r="J9867" s="3" t="s">
        <v>50024</v>
      </c>
      <c r="K9867" s="3" t="s">
        <v>50025</v>
      </c>
      <c r="L9867" s="3"/>
      <c r="M9867" s="4"/>
      <c r="N9867" s="3" t="s">
        <v>128</v>
      </c>
      <c r="O9867" s="3" t="s">
        <v>70</v>
      </c>
      <c r="P9867" s="5">
        <v>20</v>
      </c>
      <c r="Q9867" s="5">
        <v>353</v>
      </c>
      <c r="R9867" s="5">
        <v>20</v>
      </c>
      <c r="S9867" s="5">
        <v>351</v>
      </c>
    </row>
    <row r="9868" spans="1:19" ht="28" x14ac:dyDescent="0.15">
      <c r="A9868" s="2">
        <f>HYPERLINK("https://open-school.uspishnemisto.com.ua/school/510701/", 510701)</f>
        <v>510701</v>
      </c>
      <c r="B9868" s="3" t="s">
        <v>50026</v>
      </c>
      <c r="C9868" s="3" t="s">
        <v>181</v>
      </c>
      <c r="D9868" s="3" t="s">
        <v>175</v>
      </c>
      <c r="E9868" s="4" t="s">
        <v>22</v>
      </c>
      <c r="F9868" s="4" t="s">
        <v>50018</v>
      </c>
      <c r="G9868" s="4" t="s">
        <v>50019</v>
      </c>
      <c r="H9868" s="3" t="s">
        <v>46910</v>
      </c>
      <c r="I9868" s="3" t="s">
        <v>50020</v>
      </c>
      <c r="J9868" s="3" t="s">
        <v>50027</v>
      </c>
      <c r="K9868" s="3" t="s">
        <v>50028</v>
      </c>
      <c r="L9868" s="3"/>
      <c r="M9868" s="4" t="s">
        <v>50029</v>
      </c>
      <c r="N9868" s="3" t="s">
        <v>37</v>
      </c>
      <c r="O9868" s="3"/>
      <c r="P9868" s="5">
        <v>10</v>
      </c>
      <c r="Q9868" s="5">
        <v>96</v>
      </c>
      <c r="R9868" s="5">
        <v>10</v>
      </c>
      <c r="S9868" s="5">
        <v>94</v>
      </c>
    </row>
    <row r="9869" spans="1:19" ht="28" x14ac:dyDescent="0.15">
      <c r="A9869" s="2">
        <f>HYPERLINK("https://open-school.uspishnemisto.com.ua/school/510702/", 510702)</f>
        <v>510702</v>
      </c>
      <c r="B9869" s="3" t="s">
        <v>50030</v>
      </c>
      <c r="C9869" s="3" t="s">
        <v>31</v>
      </c>
      <c r="D9869" s="3" t="s">
        <v>175</v>
      </c>
      <c r="E9869" s="4" t="s">
        <v>22</v>
      </c>
      <c r="F9869" s="4" t="s">
        <v>41869</v>
      </c>
      <c r="G9869" s="4" t="s">
        <v>50031</v>
      </c>
      <c r="H9869" s="3" t="s">
        <v>46910</v>
      </c>
      <c r="I9869" s="3" t="s">
        <v>50032</v>
      </c>
      <c r="J9869" s="3"/>
      <c r="K9869" s="3" t="s">
        <v>50033</v>
      </c>
      <c r="L9869" s="3"/>
      <c r="M9869" s="4" t="s">
        <v>50034</v>
      </c>
      <c r="N9869" s="3" t="s">
        <v>37</v>
      </c>
      <c r="O9869" s="3" t="s">
        <v>112</v>
      </c>
      <c r="P9869" s="5">
        <v>7</v>
      </c>
      <c r="Q9869" s="5">
        <v>57</v>
      </c>
      <c r="R9869" s="5">
        <v>7</v>
      </c>
      <c r="S9869" s="5">
        <v>49</v>
      </c>
    </row>
    <row r="9870" spans="1:19" ht="28" x14ac:dyDescent="0.15">
      <c r="A9870" s="2">
        <f>HYPERLINK("https://open-school.uspishnemisto.com.ua/school/510703/", 510703)</f>
        <v>510703</v>
      </c>
      <c r="B9870" s="3" t="s">
        <v>50035</v>
      </c>
      <c r="C9870" s="3" t="s">
        <v>293</v>
      </c>
      <c r="D9870" s="3" t="s">
        <v>175</v>
      </c>
      <c r="E9870" s="4" t="s">
        <v>22</v>
      </c>
      <c r="F9870" s="4" t="s">
        <v>50036</v>
      </c>
      <c r="G9870" s="4" t="s">
        <v>50037</v>
      </c>
      <c r="H9870" s="3" t="s">
        <v>46910</v>
      </c>
      <c r="I9870" s="3" t="s">
        <v>2900</v>
      </c>
      <c r="J9870" s="3" t="s">
        <v>18747</v>
      </c>
      <c r="K9870" s="3" t="s">
        <v>50038</v>
      </c>
      <c r="L9870" s="3"/>
      <c r="M9870" s="4" t="s">
        <v>50039</v>
      </c>
      <c r="N9870" s="3" t="s">
        <v>37</v>
      </c>
      <c r="O9870" s="3" t="s">
        <v>112</v>
      </c>
      <c r="P9870" s="5">
        <v>2</v>
      </c>
      <c r="Q9870" s="5">
        <v>29</v>
      </c>
      <c r="R9870" s="5">
        <v>2</v>
      </c>
      <c r="S9870" s="5">
        <v>28</v>
      </c>
    </row>
    <row r="9871" spans="1:19" ht="28" x14ac:dyDescent="0.15">
      <c r="A9871" s="2">
        <f>HYPERLINK("https://open-school.uspishnemisto.com.ua/school/510704/", 510704)</f>
        <v>510704</v>
      </c>
      <c r="B9871" s="3" t="s">
        <v>50040</v>
      </c>
      <c r="C9871" s="3" t="s">
        <v>31</v>
      </c>
      <c r="D9871" s="3" t="s">
        <v>32</v>
      </c>
      <c r="E9871" s="4" t="s">
        <v>22</v>
      </c>
      <c r="F9871" s="4" t="s">
        <v>50041</v>
      </c>
      <c r="G9871" s="4" t="s">
        <v>50042</v>
      </c>
      <c r="H9871" s="3" t="s">
        <v>46910</v>
      </c>
      <c r="I9871" s="3" t="s">
        <v>50043</v>
      </c>
      <c r="J9871" s="3" t="s">
        <v>50044</v>
      </c>
      <c r="K9871" s="3" t="s">
        <v>50045</v>
      </c>
      <c r="L9871" s="3"/>
      <c r="M9871" s="4"/>
      <c r="N9871" s="3" t="s">
        <v>37</v>
      </c>
      <c r="O9871" s="3" t="s">
        <v>38</v>
      </c>
      <c r="P9871" s="5">
        <v>10</v>
      </c>
      <c r="Q9871" s="5">
        <v>89</v>
      </c>
      <c r="R9871" s="5">
        <v>10</v>
      </c>
      <c r="S9871" s="5">
        <v>94</v>
      </c>
    </row>
    <row r="9872" spans="1:19" ht="28" x14ac:dyDescent="0.15">
      <c r="A9872" s="2">
        <f>HYPERLINK("https://open-school.uspishnemisto.com.ua/school/510705/", 510705)</f>
        <v>510705</v>
      </c>
      <c r="B9872" s="3" t="s">
        <v>50046</v>
      </c>
      <c r="C9872" s="3" t="s">
        <v>31</v>
      </c>
      <c r="D9872" s="3" t="s">
        <v>32</v>
      </c>
      <c r="E9872" s="4" t="s">
        <v>22</v>
      </c>
      <c r="F9872" s="4" t="s">
        <v>50047</v>
      </c>
      <c r="G9872" s="4" t="s">
        <v>50048</v>
      </c>
      <c r="H9872" s="3" t="s">
        <v>46910</v>
      </c>
      <c r="I9872" s="3" t="s">
        <v>50049</v>
      </c>
      <c r="J9872" s="3" t="s">
        <v>50050</v>
      </c>
      <c r="K9872" s="3" t="s">
        <v>50051</v>
      </c>
      <c r="L9872" s="3"/>
      <c r="M9872" s="4"/>
      <c r="N9872" s="3" t="s">
        <v>37</v>
      </c>
      <c r="O9872" s="3" t="s">
        <v>46</v>
      </c>
      <c r="P9872" s="5">
        <v>11</v>
      </c>
      <c r="Q9872" s="5">
        <v>215</v>
      </c>
      <c r="R9872" s="5">
        <v>11</v>
      </c>
      <c r="S9872" s="5">
        <v>217</v>
      </c>
    </row>
    <row r="9873" spans="1:19" ht="28" x14ac:dyDescent="0.15">
      <c r="A9873" s="2">
        <f>HYPERLINK("https://open-school.uspishnemisto.com.ua/school/510706/", 510706)</f>
        <v>510706</v>
      </c>
      <c r="B9873" s="3" t="s">
        <v>50052</v>
      </c>
      <c r="C9873" s="3" t="s">
        <v>54</v>
      </c>
      <c r="D9873" s="3" t="s">
        <v>175</v>
      </c>
      <c r="E9873" s="4" t="s">
        <v>22</v>
      </c>
      <c r="F9873" s="4" t="s">
        <v>50053</v>
      </c>
      <c r="G9873" s="4" t="s">
        <v>50054</v>
      </c>
      <c r="H9873" s="3" t="s">
        <v>46910</v>
      </c>
      <c r="I9873" s="3" t="s">
        <v>35413</v>
      </c>
      <c r="J9873" s="3" t="s">
        <v>50055</v>
      </c>
      <c r="K9873" s="3"/>
      <c r="L9873" s="3"/>
      <c r="M9873" s="4" t="s">
        <v>50056</v>
      </c>
      <c r="N9873" s="3" t="s">
        <v>37</v>
      </c>
      <c r="O9873" s="3" t="s">
        <v>618</v>
      </c>
      <c r="P9873" s="5">
        <v>5</v>
      </c>
      <c r="Q9873" s="5">
        <v>38</v>
      </c>
      <c r="R9873" s="5">
        <v>3</v>
      </c>
      <c r="S9873" s="5">
        <v>35</v>
      </c>
    </row>
    <row r="9874" spans="1:19" ht="42" x14ac:dyDescent="0.15">
      <c r="A9874" s="2">
        <f>HYPERLINK("https://open-school.uspishnemisto.com.ua/school/510707/", 510707)</f>
        <v>510707</v>
      </c>
      <c r="B9874" s="3" t="s">
        <v>50057</v>
      </c>
      <c r="C9874" s="3" t="s">
        <v>31</v>
      </c>
      <c r="D9874" s="3" t="s">
        <v>32</v>
      </c>
      <c r="E9874" s="4" t="s">
        <v>22</v>
      </c>
      <c r="F9874" s="4" t="s">
        <v>50058</v>
      </c>
      <c r="G9874" s="4" t="s">
        <v>50059</v>
      </c>
      <c r="H9874" s="3" t="s">
        <v>46910</v>
      </c>
      <c r="I9874" s="3" t="s">
        <v>15309</v>
      </c>
      <c r="J9874" s="3" t="s">
        <v>2329</v>
      </c>
      <c r="K9874" s="3" t="s">
        <v>50060</v>
      </c>
      <c r="L9874" s="3"/>
      <c r="M9874" s="4" t="s">
        <v>50061</v>
      </c>
      <c r="N9874" s="3" t="s">
        <v>37</v>
      </c>
      <c r="O9874" s="3" t="s">
        <v>38</v>
      </c>
      <c r="P9874" s="5">
        <v>11</v>
      </c>
      <c r="Q9874" s="5">
        <v>138</v>
      </c>
      <c r="R9874" s="5">
        <v>11</v>
      </c>
      <c r="S9874" s="5">
        <v>132</v>
      </c>
    </row>
    <row r="9875" spans="1:19" ht="28" x14ac:dyDescent="0.15">
      <c r="A9875" s="2">
        <f>HYPERLINK("https://open-school.uspishnemisto.com.ua/school/510708/", 510708)</f>
        <v>510708</v>
      </c>
      <c r="B9875" s="3" t="s">
        <v>50062</v>
      </c>
      <c r="C9875" s="3" t="s">
        <v>31</v>
      </c>
      <c r="D9875" s="3" t="s">
        <v>32</v>
      </c>
      <c r="E9875" s="4" t="s">
        <v>22</v>
      </c>
      <c r="F9875" s="4" t="s">
        <v>50063</v>
      </c>
      <c r="G9875" s="4" t="s">
        <v>50064</v>
      </c>
      <c r="H9875" s="3" t="s">
        <v>46910</v>
      </c>
      <c r="I9875" s="3" t="s">
        <v>26507</v>
      </c>
      <c r="J9875" s="3" t="s">
        <v>50065</v>
      </c>
      <c r="K9875" s="3"/>
      <c r="L9875" s="3"/>
      <c r="M9875" s="4" t="s">
        <v>50066</v>
      </c>
      <c r="N9875" s="3" t="s">
        <v>37</v>
      </c>
      <c r="O9875" s="3" t="s">
        <v>70</v>
      </c>
      <c r="P9875" s="5">
        <v>11</v>
      </c>
      <c r="Q9875" s="5">
        <v>165</v>
      </c>
      <c r="R9875" s="5">
        <v>11</v>
      </c>
      <c r="S9875" s="5">
        <v>169</v>
      </c>
    </row>
    <row r="9876" spans="1:19" ht="42" x14ac:dyDescent="0.15">
      <c r="A9876" s="2">
        <f>HYPERLINK("https://open-school.uspishnemisto.com.ua/school/510709/", 510709)</f>
        <v>510709</v>
      </c>
      <c r="B9876" s="3" t="s">
        <v>50067</v>
      </c>
      <c r="C9876" s="3" t="s">
        <v>54</v>
      </c>
      <c r="D9876" s="3" t="s">
        <v>32</v>
      </c>
      <c r="E9876" s="4" t="s">
        <v>22</v>
      </c>
      <c r="F9876" s="4" t="s">
        <v>50068</v>
      </c>
      <c r="G9876" s="4" t="s">
        <v>50069</v>
      </c>
      <c r="H9876" s="3" t="s">
        <v>46910</v>
      </c>
      <c r="I9876" s="3" t="s">
        <v>50070</v>
      </c>
      <c r="J9876" s="3" t="s">
        <v>501</v>
      </c>
      <c r="K9876" s="3" t="s">
        <v>50071</v>
      </c>
      <c r="L9876" s="3"/>
      <c r="M9876" s="4"/>
      <c r="N9876" s="3" t="s">
        <v>37</v>
      </c>
      <c r="O9876" s="3" t="s">
        <v>618</v>
      </c>
      <c r="P9876" s="5">
        <v>9</v>
      </c>
      <c r="Q9876" s="5">
        <v>81</v>
      </c>
      <c r="R9876" s="5">
        <v>8</v>
      </c>
      <c r="S9876" s="5">
        <v>72</v>
      </c>
    </row>
    <row r="9877" spans="1:19" ht="28" x14ac:dyDescent="0.15">
      <c r="A9877" s="2">
        <f>HYPERLINK("https://open-school.uspishnemisto.com.ua/school/510710/", 510710)</f>
        <v>510710</v>
      </c>
      <c r="B9877" s="3" t="s">
        <v>50072</v>
      </c>
      <c r="C9877" s="3" t="s">
        <v>31</v>
      </c>
      <c r="D9877" s="3" t="s">
        <v>32</v>
      </c>
      <c r="E9877" s="4" t="s">
        <v>22</v>
      </c>
      <c r="F9877" s="4" t="s">
        <v>50073</v>
      </c>
      <c r="G9877" s="4" t="s">
        <v>50074</v>
      </c>
      <c r="H9877" s="3" t="s">
        <v>46910</v>
      </c>
      <c r="I9877" s="3" t="s">
        <v>50075</v>
      </c>
      <c r="J9877" s="3" t="s">
        <v>466</v>
      </c>
      <c r="K9877" s="3" t="s">
        <v>50076</v>
      </c>
      <c r="L9877" s="3"/>
      <c r="M9877" s="4"/>
      <c r="N9877" s="3" t="s">
        <v>37</v>
      </c>
      <c r="O9877" s="3" t="s">
        <v>70</v>
      </c>
      <c r="P9877" s="5">
        <v>11</v>
      </c>
      <c r="Q9877" s="5">
        <v>102</v>
      </c>
      <c r="R9877" s="5">
        <v>10</v>
      </c>
      <c r="S9877" s="5">
        <v>95</v>
      </c>
    </row>
    <row r="9878" spans="1:19" ht="28" x14ac:dyDescent="0.15">
      <c r="A9878" s="2">
        <f>HYPERLINK("https://open-school.uspishnemisto.com.ua/school/510711/", 510711)</f>
        <v>510711</v>
      </c>
      <c r="B9878" s="3" t="s">
        <v>50077</v>
      </c>
      <c r="C9878" s="3" t="s">
        <v>31</v>
      </c>
      <c r="D9878" s="3" t="s">
        <v>32</v>
      </c>
      <c r="E9878" s="4" t="s">
        <v>22</v>
      </c>
      <c r="F9878" s="4" t="s">
        <v>50078</v>
      </c>
      <c r="G9878" s="4" t="s">
        <v>50079</v>
      </c>
      <c r="H9878" s="3" t="s">
        <v>46910</v>
      </c>
      <c r="I9878" s="3" t="s">
        <v>10829</v>
      </c>
      <c r="J9878" s="3" t="s">
        <v>15800</v>
      </c>
      <c r="K9878" s="3" t="s">
        <v>50080</v>
      </c>
      <c r="L9878" s="3"/>
      <c r="M9878" s="4" t="s">
        <v>50081</v>
      </c>
      <c r="N9878" s="3" t="s">
        <v>37</v>
      </c>
      <c r="O9878" s="3" t="s">
        <v>70</v>
      </c>
      <c r="P9878" s="5">
        <v>10</v>
      </c>
      <c r="Q9878" s="5">
        <v>184</v>
      </c>
      <c r="R9878" s="5">
        <v>11</v>
      </c>
      <c r="S9878" s="5">
        <v>176</v>
      </c>
    </row>
    <row r="9879" spans="1:19" ht="28" x14ac:dyDescent="0.15">
      <c r="A9879" s="2">
        <f>HYPERLINK("https://open-school.uspishnemisto.com.ua/school/510712/", 510712)</f>
        <v>510712</v>
      </c>
      <c r="B9879" s="3" t="s">
        <v>50082</v>
      </c>
      <c r="C9879" s="3" t="s">
        <v>31</v>
      </c>
      <c r="D9879" s="3" t="s">
        <v>32</v>
      </c>
      <c r="E9879" s="4" t="s">
        <v>22</v>
      </c>
      <c r="F9879" s="4" t="s">
        <v>50000</v>
      </c>
      <c r="G9879" s="4" t="s">
        <v>50083</v>
      </c>
      <c r="H9879" s="3" t="s">
        <v>46910</v>
      </c>
      <c r="I9879" s="3" t="s">
        <v>50084</v>
      </c>
      <c r="J9879" s="3" t="s">
        <v>466</v>
      </c>
      <c r="K9879" s="3" t="s">
        <v>50085</v>
      </c>
      <c r="L9879" s="3"/>
      <c r="M9879" s="4" t="s">
        <v>50086</v>
      </c>
      <c r="N9879" s="3" t="s">
        <v>37</v>
      </c>
      <c r="O9879" s="3" t="s">
        <v>70</v>
      </c>
      <c r="P9879" s="5">
        <v>11</v>
      </c>
      <c r="Q9879" s="5">
        <v>196</v>
      </c>
      <c r="R9879" s="5">
        <v>11</v>
      </c>
      <c r="S9879" s="5">
        <v>187</v>
      </c>
    </row>
    <row r="9880" spans="1:19" ht="28" x14ac:dyDescent="0.15">
      <c r="A9880" s="2">
        <f>HYPERLINK("https://open-school.uspishnemisto.com.ua/school/510713/", 510713)</f>
        <v>510713</v>
      </c>
      <c r="B9880" s="3" t="s">
        <v>50087</v>
      </c>
      <c r="C9880" s="3" t="s">
        <v>31</v>
      </c>
      <c r="D9880" s="3" t="s">
        <v>32</v>
      </c>
      <c r="E9880" s="4" t="s">
        <v>22</v>
      </c>
      <c r="F9880" s="4" t="s">
        <v>50088</v>
      </c>
      <c r="G9880" s="4" t="s">
        <v>50089</v>
      </c>
      <c r="H9880" s="3" t="s">
        <v>46910</v>
      </c>
      <c r="I9880" s="3" t="s">
        <v>50090</v>
      </c>
      <c r="J9880" s="3" t="s">
        <v>50091</v>
      </c>
      <c r="K9880" s="3" t="s">
        <v>50092</v>
      </c>
      <c r="L9880" s="3"/>
      <c r="M9880" s="4" t="s">
        <v>50093</v>
      </c>
      <c r="N9880" s="3" t="s">
        <v>37</v>
      </c>
      <c r="O9880" s="3" t="s">
        <v>38</v>
      </c>
      <c r="P9880" s="5">
        <v>11</v>
      </c>
      <c r="Q9880" s="5">
        <v>91</v>
      </c>
      <c r="R9880" s="5">
        <v>10</v>
      </c>
      <c r="S9880" s="5">
        <v>88</v>
      </c>
    </row>
    <row r="9881" spans="1:19" ht="42" x14ac:dyDescent="0.15">
      <c r="A9881" s="2">
        <f>HYPERLINK("https://open-school.uspishnemisto.com.ua/school/510714/", 510714)</f>
        <v>510714</v>
      </c>
      <c r="B9881" s="3" t="s">
        <v>50094</v>
      </c>
      <c r="C9881" s="3" t="s">
        <v>31</v>
      </c>
      <c r="D9881" s="3" t="s">
        <v>32</v>
      </c>
      <c r="E9881" s="4" t="s">
        <v>22</v>
      </c>
      <c r="F9881" s="4" t="s">
        <v>50095</v>
      </c>
      <c r="G9881" s="4" t="s">
        <v>50096</v>
      </c>
      <c r="H9881" s="3" t="s">
        <v>46910</v>
      </c>
      <c r="I9881" s="3" t="s">
        <v>50097</v>
      </c>
      <c r="J9881" s="3" t="s">
        <v>50098</v>
      </c>
      <c r="K9881" s="3"/>
      <c r="L9881" s="3"/>
      <c r="M9881" s="4" t="s">
        <v>50099</v>
      </c>
      <c r="N9881" s="3" t="s">
        <v>128</v>
      </c>
      <c r="O9881" s="3" t="s">
        <v>38</v>
      </c>
      <c r="P9881" s="5">
        <v>21</v>
      </c>
      <c r="Q9881" s="5">
        <v>421</v>
      </c>
      <c r="R9881" s="5">
        <v>21</v>
      </c>
      <c r="S9881" s="5">
        <v>402</v>
      </c>
    </row>
    <row r="9882" spans="1:19" ht="28" x14ac:dyDescent="0.15">
      <c r="A9882" s="2">
        <f>HYPERLINK("https://open-school.uspishnemisto.com.ua/school/510715/", 510715)</f>
        <v>510715</v>
      </c>
      <c r="B9882" s="3" t="s">
        <v>50100</v>
      </c>
      <c r="C9882" s="3" t="s">
        <v>31</v>
      </c>
      <c r="D9882" s="3" t="s">
        <v>175</v>
      </c>
      <c r="E9882" s="4" t="s">
        <v>22</v>
      </c>
      <c r="F9882" s="4" t="s">
        <v>50101</v>
      </c>
      <c r="G9882" s="4" t="s">
        <v>50102</v>
      </c>
      <c r="H9882" s="3" t="s">
        <v>46910</v>
      </c>
      <c r="I9882" s="3" t="s">
        <v>3537</v>
      </c>
      <c r="J9882" s="3" t="s">
        <v>27802</v>
      </c>
      <c r="K9882" s="3" t="s">
        <v>50103</v>
      </c>
      <c r="L9882" s="3"/>
      <c r="M9882" s="4" t="s">
        <v>50104</v>
      </c>
      <c r="N9882" s="3" t="s">
        <v>37</v>
      </c>
      <c r="O9882" s="3" t="s">
        <v>70</v>
      </c>
      <c r="P9882" s="5">
        <v>8</v>
      </c>
      <c r="Q9882" s="5">
        <v>63</v>
      </c>
      <c r="R9882" s="5">
        <v>9</v>
      </c>
      <c r="S9882" s="5">
        <v>78</v>
      </c>
    </row>
    <row r="9883" spans="1:19" ht="28" x14ac:dyDescent="0.15">
      <c r="A9883" s="2">
        <f>HYPERLINK("https://open-school.uspishnemisto.com.ua/school/510716/", 510716)</f>
        <v>510716</v>
      </c>
      <c r="B9883" s="3" t="s">
        <v>50105</v>
      </c>
      <c r="C9883" s="3" t="s">
        <v>31</v>
      </c>
      <c r="D9883" s="3" t="s">
        <v>32</v>
      </c>
      <c r="E9883" s="4" t="s">
        <v>22</v>
      </c>
      <c r="F9883" s="4" t="s">
        <v>50106</v>
      </c>
      <c r="G9883" s="4" t="s">
        <v>50107</v>
      </c>
      <c r="H9883" s="3" t="s">
        <v>46910</v>
      </c>
      <c r="I9883" s="3" t="s">
        <v>7563</v>
      </c>
      <c r="J9883" s="3" t="s">
        <v>50108</v>
      </c>
      <c r="K9883" s="3" t="s">
        <v>50109</v>
      </c>
      <c r="L9883" s="3"/>
      <c r="M9883" s="4" t="s">
        <v>50110</v>
      </c>
      <c r="N9883" s="3" t="s">
        <v>37</v>
      </c>
      <c r="O9883" s="3" t="s">
        <v>112</v>
      </c>
      <c r="P9883" s="5">
        <v>11</v>
      </c>
      <c r="Q9883" s="5">
        <v>114</v>
      </c>
      <c r="R9883" s="5">
        <v>10</v>
      </c>
      <c r="S9883" s="5">
        <v>108</v>
      </c>
    </row>
    <row r="9884" spans="1:19" ht="42" x14ac:dyDescent="0.15">
      <c r="A9884" s="2">
        <f>HYPERLINK("https://open-school.uspishnemisto.com.ua/school/510717/", 510717)</f>
        <v>510717</v>
      </c>
      <c r="B9884" s="3" t="s">
        <v>50111</v>
      </c>
      <c r="C9884" s="3" t="s">
        <v>54</v>
      </c>
      <c r="D9884" s="3" t="s">
        <v>32</v>
      </c>
      <c r="E9884" s="4" t="s">
        <v>22</v>
      </c>
      <c r="F9884" s="4" t="s">
        <v>50112</v>
      </c>
      <c r="G9884" s="4" t="s">
        <v>50113</v>
      </c>
      <c r="H9884" s="3" t="s">
        <v>46910</v>
      </c>
      <c r="I9884" s="3" t="s">
        <v>50114</v>
      </c>
      <c r="J9884" s="3" t="s">
        <v>50115</v>
      </c>
      <c r="K9884" s="3" t="s">
        <v>50116</v>
      </c>
      <c r="L9884" s="3"/>
      <c r="M9884" s="4" t="s">
        <v>50117</v>
      </c>
      <c r="N9884" s="3" t="s">
        <v>37</v>
      </c>
      <c r="O9884" s="3" t="s">
        <v>112</v>
      </c>
      <c r="P9884" s="5">
        <v>10</v>
      </c>
      <c r="Q9884" s="5">
        <v>85</v>
      </c>
      <c r="R9884" s="5">
        <v>9</v>
      </c>
      <c r="S9884" s="5">
        <v>84</v>
      </c>
    </row>
    <row r="9885" spans="1:19" ht="28" x14ac:dyDescent="0.15">
      <c r="A9885" s="2">
        <f>HYPERLINK("https://open-school.uspishnemisto.com.ua/school/510718/", 510718)</f>
        <v>510718</v>
      </c>
      <c r="B9885" s="3" t="s">
        <v>50118</v>
      </c>
      <c r="C9885" s="3" t="s">
        <v>31</v>
      </c>
      <c r="D9885" s="3" t="s">
        <v>175</v>
      </c>
      <c r="E9885" s="4" t="s">
        <v>22</v>
      </c>
      <c r="F9885" s="4" t="s">
        <v>50047</v>
      </c>
      <c r="G9885" s="4" t="s">
        <v>50119</v>
      </c>
      <c r="H9885" s="3" t="s">
        <v>46910</v>
      </c>
      <c r="I9885" s="3" t="s">
        <v>50120</v>
      </c>
      <c r="J9885" s="3" t="s">
        <v>4584</v>
      </c>
      <c r="K9885" s="3" t="s">
        <v>50121</v>
      </c>
      <c r="L9885" s="3"/>
      <c r="M9885" s="4" t="s">
        <v>50122</v>
      </c>
      <c r="N9885" s="3" t="s">
        <v>37</v>
      </c>
      <c r="O9885" s="3" t="s">
        <v>70</v>
      </c>
      <c r="P9885" s="5">
        <v>9</v>
      </c>
      <c r="Q9885" s="5">
        <v>78</v>
      </c>
      <c r="R9885" s="5">
        <v>9</v>
      </c>
      <c r="S9885" s="5">
        <v>68</v>
      </c>
    </row>
    <row r="9886" spans="1:19" ht="56" x14ac:dyDescent="0.15">
      <c r="A9886" s="2">
        <f>HYPERLINK("https://open-school.uspishnemisto.com.ua/school/510719/", 510719)</f>
        <v>510719</v>
      </c>
      <c r="B9886" s="3" t="s">
        <v>50123</v>
      </c>
      <c r="C9886" s="3" t="s">
        <v>54</v>
      </c>
      <c r="D9886" s="3" t="s">
        <v>32</v>
      </c>
      <c r="E9886" s="4" t="s">
        <v>22</v>
      </c>
      <c r="F9886" s="4" t="s">
        <v>50124</v>
      </c>
      <c r="G9886" s="4" t="s">
        <v>50125</v>
      </c>
      <c r="H9886" s="3" t="s">
        <v>46910</v>
      </c>
      <c r="I9886" s="3" t="s">
        <v>1883</v>
      </c>
      <c r="J9886" s="3" t="s">
        <v>1348</v>
      </c>
      <c r="K9886" s="3" t="s">
        <v>50126</v>
      </c>
      <c r="L9886" s="3"/>
      <c r="M9886" s="4" t="s">
        <v>50127</v>
      </c>
      <c r="N9886" s="3" t="s">
        <v>37</v>
      </c>
      <c r="O9886" s="3" t="s">
        <v>46</v>
      </c>
      <c r="P9886" s="5">
        <v>11</v>
      </c>
      <c r="Q9886" s="5">
        <v>143</v>
      </c>
      <c r="R9886" s="5">
        <v>11</v>
      </c>
      <c r="S9886" s="5">
        <v>120</v>
      </c>
    </row>
    <row r="9887" spans="1:19" ht="28" x14ac:dyDescent="0.15">
      <c r="A9887" s="2">
        <f>HYPERLINK("https://open-school.uspishnemisto.com.ua/school/510720/", 510720)</f>
        <v>510720</v>
      </c>
      <c r="B9887" s="3" t="s">
        <v>50128</v>
      </c>
      <c r="C9887" s="3" t="s">
        <v>31</v>
      </c>
      <c r="D9887" s="3" t="s">
        <v>32</v>
      </c>
      <c r="E9887" s="4" t="s">
        <v>22</v>
      </c>
      <c r="F9887" s="4" t="s">
        <v>50129</v>
      </c>
      <c r="G9887" s="4" t="s">
        <v>50130</v>
      </c>
      <c r="H9887" s="3" t="s">
        <v>46910</v>
      </c>
      <c r="I9887" s="3" t="s">
        <v>11305</v>
      </c>
      <c r="J9887" s="3" t="s">
        <v>50131</v>
      </c>
      <c r="K9887" s="3"/>
      <c r="L9887" s="3"/>
      <c r="M9887" s="4"/>
      <c r="N9887" s="3" t="s">
        <v>37</v>
      </c>
      <c r="O9887" s="3" t="s">
        <v>70</v>
      </c>
      <c r="P9887" s="5">
        <v>13</v>
      </c>
      <c r="Q9887" s="5">
        <v>233</v>
      </c>
      <c r="R9887" s="5">
        <v>13</v>
      </c>
      <c r="S9887" s="5">
        <v>232</v>
      </c>
    </row>
    <row r="9888" spans="1:19" ht="28" x14ac:dyDescent="0.15">
      <c r="A9888" s="2">
        <f>HYPERLINK("https://open-school.uspishnemisto.com.ua/school/510721/", 510721)</f>
        <v>510721</v>
      </c>
      <c r="B9888" s="3" t="s">
        <v>50132</v>
      </c>
      <c r="C9888" s="3" t="s">
        <v>31</v>
      </c>
      <c r="D9888" s="3" t="s">
        <v>32</v>
      </c>
      <c r="E9888" s="4" t="s">
        <v>22</v>
      </c>
      <c r="F9888" s="4" t="s">
        <v>50133</v>
      </c>
      <c r="G9888" s="4" t="s">
        <v>50134</v>
      </c>
      <c r="H9888" s="3" t="s">
        <v>46910</v>
      </c>
      <c r="I9888" s="3" t="s">
        <v>1033</v>
      </c>
      <c r="J9888" s="3" t="s">
        <v>43803</v>
      </c>
      <c r="K9888" s="3" t="s">
        <v>50135</v>
      </c>
      <c r="L9888" s="3"/>
      <c r="M9888" s="4" t="s">
        <v>50136</v>
      </c>
      <c r="N9888" s="3" t="s">
        <v>128</v>
      </c>
      <c r="O9888" s="3" t="s">
        <v>38</v>
      </c>
      <c r="P9888" s="5">
        <v>20</v>
      </c>
      <c r="Q9888" s="5">
        <v>309</v>
      </c>
      <c r="R9888" s="5">
        <v>20</v>
      </c>
      <c r="S9888" s="5">
        <v>311</v>
      </c>
    </row>
    <row r="9889" spans="1:19" ht="28" x14ac:dyDescent="0.15">
      <c r="A9889" s="2">
        <f>HYPERLINK("https://open-school.uspishnemisto.com.ua/school/510722/", 510722)</f>
        <v>510722</v>
      </c>
      <c r="B9889" s="3" t="s">
        <v>50137</v>
      </c>
      <c r="C9889" s="3" t="s">
        <v>31</v>
      </c>
      <c r="D9889" s="3" t="s">
        <v>60</v>
      </c>
      <c r="E9889" s="4" t="s">
        <v>22</v>
      </c>
      <c r="F9889" s="4" t="s">
        <v>50138</v>
      </c>
      <c r="G9889" s="4" t="s">
        <v>50139</v>
      </c>
      <c r="H9889" s="3" t="s">
        <v>46910</v>
      </c>
      <c r="I9889" s="3" t="s">
        <v>1587</v>
      </c>
      <c r="J9889" s="3" t="s">
        <v>50140</v>
      </c>
      <c r="K9889" s="3" t="s">
        <v>50141</v>
      </c>
      <c r="L9889" s="3"/>
      <c r="M9889" s="4"/>
      <c r="N9889" s="3" t="s">
        <v>37</v>
      </c>
      <c r="O9889" s="3" t="s">
        <v>52</v>
      </c>
      <c r="P9889" s="5">
        <v>3</v>
      </c>
      <c r="Q9889" s="5">
        <v>28</v>
      </c>
      <c r="R9889" s="5">
        <v>3</v>
      </c>
      <c r="S9889" s="5">
        <v>26</v>
      </c>
    </row>
    <row r="9890" spans="1:19" ht="28" x14ac:dyDescent="0.15">
      <c r="A9890" s="2">
        <f>HYPERLINK("https://open-school.uspishnemisto.com.ua/school/510723/", 510723)</f>
        <v>510723</v>
      </c>
      <c r="B9890" s="3" t="s">
        <v>50142</v>
      </c>
      <c r="C9890" s="3" t="s">
        <v>31</v>
      </c>
      <c r="D9890" s="3" t="s">
        <v>32</v>
      </c>
      <c r="E9890" s="4" t="s">
        <v>22</v>
      </c>
      <c r="F9890" s="4" t="s">
        <v>50143</v>
      </c>
      <c r="G9890" s="4" t="s">
        <v>50144</v>
      </c>
      <c r="H9890" s="3" t="s">
        <v>46910</v>
      </c>
      <c r="I9890" s="3" t="s">
        <v>50145</v>
      </c>
      <c r="J9890" s="3" t="s">
        <v>12058</v>
      </c>
      <c r="K9890" s="3" t="s">
        <v>50146</v>
      </c>
      <c r="L9890" s="3"/>
      <c r="M9890" s="4"/>
      <c r="N9890" s="3" t="s">
        <v>37</v>
      </c>
      <c r="O9890" s="3" t="s">
        <v>70</v>
      </c>
      <c r="P9890" s="5">
        <v>11</v>
      </c>
      <c r="Q9890" s="5">
        <v>162</v>
      </c>
      <c r="R9890" s="5">
        <v>11</v>
      </c>
      <c r="S9890" s="5">
        <v>156</v>
      </c>
    </row>
    <row r="9891" spans="1:19" ht="28" x14ac:dyDescent="0.15">
      <c r="A9891" s="2">
        <f>HYPERLINK("https://open-school.uspishnemisto.com.ua/school/510724/", 510724)</f>
        <v>510724</v>
      </c>
      <c r="B9891" s="3" t="s">
        <v>50147</v>
      </c>
      <c r="C9891" s="3" t="s">
        <v>31</v>
      </c>
      <c r="D9891" s="3" t="s">
        <v>32</v>
      </c>
      <c r="E9891" s="4" t="s">
        <v>22</v>
      </c>
      <c r="F9891" s="4" t="s">
        <v>50148</v>
      </c>
      <c r="G9891" s="4" t="s">
        <v>50149</v>
      </c>
      <c r="H9891" s="3" t="s">
        <v>46910</v>
      </c>
      <c r="I9891" s="3" t="s">
        <v>12772</v>
      </c>
      <c r="J9891" s="3" t="s">
        <v>50150</v>
      </c>
      <c r="K9891" s="3" t="s">
        <v>50151</v>
      </c>
      <c r="L9891" s="3"/>
      <c r="M9891" s="4" t="s">
        <v>50152</v>
      </c>
      <c r="N9891" s="3" t="s">
        <v>37</v>
      </c>
      <c r="O9891" s="3" t="s">
        <v>70</v>
      </c>
      <c r="P9891" s="5">
        <v>15</v>
      </c>
      <c r="Q9891" s="5">
        <v>284</v>
      </c>
      <c r="R9891" s="5">
        <v>14</v>
      </c>
      <c r="S9891" s="5">
        <v>262</v>
      </c>
    </row>
    <row r="9892" spans="1:19" ht="28" x14ac:dyDescent="0.15">
      <c r="A9892" s="2">
        <f>HYPERLINK("https://open-school.uspishnemisto.com.ua/school/510725/", 510725)</f>
        <v>510725</v>
      </c>
      <c r="B9892" s="3" t="s">
        <v>50153</v>
      </c>
      <c r="C9892" s="3" t="s">
        <v>31</v>
      </c>
      <c r="D9892" s="3" t="s">
        <v>32</v>
      </c>
      <c r="E9892" s="4" t="s">
        <v>22</v>
      </c>
      <c r="F9892" s="4" t="s">
        <v>50154</v>
      </c>
      <c r="G9892" s="4" t="s">
        <v>50155</v>
      </c>
      <c r="H9892" s="3" t="s">
        <v>46910</v>
      </c>
      <c r="I9892" s="3" t="s">
        <v>50156</v>
      </c>
      <c r="J9892" s="3" t="s">
        <v>50157</v>
      </c>
      <c r="K9892" s="3" t="s">
        <v>50158</v>
      </c>
      <c r="L9892" s="3"/>
      <c r="M9892" s="4"/>
      <c r="N9892" s="3" t="s">
        <v>967</v>
      </c>
      <c r="O9892" s="3" t="s">
        <v>2740</v>
      </c>
      <c r="P9892" s="5">
        <v>12</v>
      </c>
      <c r="Q9892" s="5">
        <v>318</v>
      </c>
      <c r="R9892" s="5">
        <v>12</v>
      </c>
      <c r="S9892" s="5">
        <v>309</v>
      </c>
    </row>
    <row r="9893" spans="1:19" ht="28" x14ac:dyDescent="0.15">
      <c r="A9893" s="2">
        <f>HYPERLINK("https://open-school.uspishnemisto.com.ua/school/510726/", 510726)</f>
        <v>510726</v>
      </c>
      <c r="B9893" s="3" t="s">
        <v>50159</v>
      </c>
      <c r="C9893" s="3" t="s">
        <v>31</v>
      </c>
      <c r="D9893" s="3" t="s">
        <v>32</v>
      </c>
      <c r="E9893" s="4" t="s">
        <v>22</v>
      </c>
      <c r="F9893" s="4" t="s">
        <v>50154</v>
      </c>
      <c r="G9893" s="4" t="s">
        <v>50155</v>
      </c>
      <c r="H9893" s="3" t="s">
        <v>46910</v>
      </c>
      <c r="I9893" s="3" t="s">
        <v>50156</v>
      </c>
      <c r="J9893" s="3" t="s">
        <v>50160</v>
      </c>
      <c r="K9893" s="3" t="s">
        <v>50161</v>
      </c>
      <c r="L9893" s="3" t="s">
        <v>50162</v>
      </c>
      <c r="M9893" s="4"/>
      <c r="N9893" s="3" t="s">
        <v>967</v>
      </c>
      <c r="O9893" s="3" t="s">
        <v>46</v>
      </c>
      <c r="P9893" s="5">
        <v>11</v>
      </c>
      <c r="Q9893" s="5">
        <v>222</v>
      </c>
      <c r="R9893" s="5">
        <v>11</v>
      </c>
      <c r="S9893" s="5">
        <v>209</v>
      </c>
    </row>
    <row r="9894" spans="1:19" ht="28" x14ac:dyDescent="0.15">
      <c r="A9894" s="2">
        <f>HYPERLINK("https://open-school.uspishnemisto.com.ua/school/510727/", 510727)</f>
        <v>510727</v>
      </c>
      <c r="B9894" s="3" t="s">
        <v>50163</v>
      </c>
      <c r="C9894" s="3" t="s">
        <v>31</v>
      </c>
      <c r="D9894" s="3" t="s">
        <v>32</v>
      </c>
      <c r="E9894" s="4" t="s">
        <v>22</v>
      </c>
      <c r="F9894" s="4" t="s">
        <v>50154</v>
      </c>
      <c r="G9894" s="4" t="s">
        <v>50155</v>
      </c>
      <c r="H9894" s="3" t="s">
        <v>46910</v>
      </c>
      <c r="I9894" s="3" t="s">
        <v>50156</v>
      </c>
      <c r="J9894" s="3" t="s">
        <v>50164</v>
      </c>
      <c r="K9894" s="3" t="s">
        <v>50165</v>
      </c>
      <c r="L9894" s="3"/>
      <c r="M9894" s="4"/>
      <c r="N9894" s="3" t="s">
        <v>37</v>
      </c>
      <c r="O9894" s="3" t="s">
        <v>38</v>
      </c>
      <c r="P9894" s="5">
        <v>12</v>
      </c>
      <c r="Q9894" s="5">
        <v>326</v>
      </c>
      <c r="R9894" s="5">
        <v>12</v>
      </c>
      <c r="S9894" s="5">
        <v>329</v>
      </c>
    </row>
    <row r="9895" spans="1:19" ht="28" x14ac:dyDescent="0.15">
      <c r="A9895" s="2">
        <f>HYPERLINK("https://open-school.uspishnemisto.com.ua/school/510728/", 510728)</f>
        <v>510728</v>
      </c>
      <c r="B9895" s="3" t="s">
        <v>50166</v>
      </c>
      <c r="C9895" s="3" t="s">
        <v>31</v>
      </c>
      <c r="D9895" s="3" t="s">
        <v>32</v>
      </c>
      <c r="E9895" s="4" t="s">
        <v>22</v>
      </c>
      <c r="F9895" s="4" t="s">
        <v>50154</v>
      </c>
      <c r="G9895" s="4" t="s">
        <v>50155</v>
      </c>
      <c r="H9895" s="3" t="s">
        <v>46910</v>
      </c>
      <c r="I9895" s="3" t="s">
        <v>50156</v>
      </c>
      <c r="J9895" s="3" t="s">
        <v>50167</v>
      </c>
      <c r="K9895" s="3" t="s">
        <v>50168</v>
      </c>
      <c r="L9895" s="3"/>
      <c r="M9895" s="4"/>
      <c r="N9895" s="3" t="s">
        <v>967</v>
      </c>
      <c r="O9895" s="3" t="s">
        <v>2740</v>
      </c>
      <c r="P9895" s="5">
        <v>11</v>
      </c>
      <c r="Q9895" s="5">
        <v>219</v>
      </c>
      <c r="R9895" s="5">
        <v>11</v>
      </c>
      <c r="S9895" s="5">
        <v>224</v>
      </c>
    </row>
    <row r="9896" spans="1:19" ht="42" x14ac:dyDescent="0.15">
      <c r="A9896" s="2">
        <f>HYPERLINK("https://open-school.uspishnemisto.com.ua/school/510729/", 510729)</f>
        <v>510729</v>
      </c>
      <c r="B9896" s="3" t="s">
        <v>50169</v>
      </c>
      <c r="C9896" s="3" t="s">
        <v>40</v>
      </c>
      <c r="D9896" s="3" t="s">
        <v>32</v>
      </c>
      <c r="E9896" s="4" t="s">
        <v>22</v>
      </c>
      <c r="F9896" s="4" t="s">
        <v>50154</v>
      </c>
      <c r="G9896" s="4" t="s">
        <v>50155</v>
      </c>
      <c r="H9896" s="3" t="s">
        <v>46910</v>
      </c>
      <c r="I9896" s="3" t="s">
        <v>50156</v>
      </c>
      <c r="J9896" s="3" t="s">
        <v>6191</v>
      </c>
      <c r="K9896" s="3" t="s">
        <v>50170</v>
      </c>
      <c r="L9896" s="3" t="s">
        <v>50171</v>
      </c>
      <c r="M9896" s="4"/>
      <c r="N9896" s="3" t="s">
        <v>37</v>
      </c>
      <c r="O9896" s="3" t="s">
        <v>70</v>
      </c>
      <c r="P9896" s="5">
        <v>23</v>
      </c>
      <c r="Q9896" s="5">
        <v>540</v>
      </c>
      <c r="R9896" s="5">
        <v>23</v>
      </c>
      <c r="S9896" s="5">
        <v>532</v>
      </c>
    </row>
    <row r="9897" spans="1:19" ht="42" x14ac:dyDescent="0.15">
      <c r="A9897" s="2">
        <f>HYPERLINK("https://open-school.uspishnemisto.com.ua/school/510730/", 510730)</f>
        <v>510730</v>
      </c>
      <c r="B9897" s="3" t="s">
        <v>50172</v>
      </c>
      <c r="C9897" s="3" t="s">
        <v>54</v>
      </c>
      <c r="D9897" s="3" t="s">
        <v>32</v>
      </c>
      <c r="E9897" s="4" t="s">
        <v>22</v>
      </c>
      <c r="F9897" s="4" t="s">
        <v>50154</v>
      </c>
      <c r="G9897" s="4" t="s">
        <v>50155</v>
      </c>
      <c r="H9897" s="3" t="s">
        <v>46910</v>
      </c>
      <c r="I9897" s="3" t="s">
        <v>50156</v>
      </c>
      <c r="J9897" s="3" t="s">
        <v>50173</v>
      </c>
      <c r="K9897" s="3" t="s">
        <v>50174</v>
      </c>
      <c r="L9897" s="3" t="s">
        <v>50175</v>
      </c>
      <c r="M9897" s="4"/>
      <c r="N9897" s="3" t="s">
        <v>37</v>
      </c>
      <c r="O9897" s="3" t="s">
        <v>38</v>
      </c>
      <c r="P9897" s="5">
        <v>20</v>
      </c>
      <c r="Q9897" s="5">
        <v>422</v>
      </c>
      <c r="R9897" s="5">
        <v>20</v>
      </c>
      <c r="S9897" s="5">
        <v>417</v>
      </c>
    </row>
    <row r="9898" spans="1:19" ht="28" x14ac:dyDescent="0.15">
      <c r="A9898" s="2">
        <f>HYPERLINK("https://open-school.uspishnemisto.com.ua/school/510731/", 510731)</f>
        <v>510731</v>
      </c>
      <c r="B9898" s="3" t="s">
        <v>50176</v>
      </c>
      <c r="C9898" s="3" t="s">
        <v>31</v>
      </c>
      <c r="D9898" s="3" t="s">
        <v>32</v>
      </c>
      <c r="E9898" s="4" t="s">
        <v>22</v>
      </c>
      <c r="F9898" s="4" t="s">
        <v>50177</v>
      </c>
      <c r="G9898" s="4" t="s">
        <v>50178</v>
      </c>
      <c r="H9898" s="3" t="s">
        <v>46910</v>
      </c>
      <c r="I9898" s="3" t="s">
        <v>12730</v>
      </c>
      <c r="J9898" s="3" t="s">
        <v>23118</v>
      </c>
      <c r="K9898" s="3" t="s">
        <v>50179</v>
      </c>
      <c r="L9898" s="3"/>
      <c r="M9898" s="4"/>
      <c r="N9898" s="3" t="s">
        <v>50180</v>
      </c>
      <c r="O9898" s="3" t="s">
        <v>48231</v>
      </c>
      <c r="P9898" s="5">
        <v>12</v>
      </c>
      <c r="Q9898" s="5">
        <v>207</v>
      </c>
      <c r="R9898" s="5">
        <v>12</v>
      </c>
      <c r="S9898" s="5">
        <v>213</v>
      </c>
    </row>
    <row r="9899" spans="1:19" ht="28" x14ac:dyDescent="0.15">
      <c r="A9899" s="2">
        <f>HYPERLINK("https://open-school.uspishnemisto.com.ua/school/510732/", 510732)</f>
        <v>510732</v>
      </c>
      <c r="B9899" s="3" t="s">
        <v>50181</v>
      </c>
      <c r="C9899" s="3" t="s">
        <v>31</v>
      </c>
      <c r="D9899" s="3" t="s">
        <v>32</v>
      </c>
      <c r="E9899" s="4" t="s">
        <v>22</v>
      </c>
      <c r="F9899" s="4" t="s">
        <v>50182</v>
      </c>
      <c r="G9899" s="4" t="s">
        <v>50183</v>
      </c>
      <c r="H9899" s="3" t="s">
        <v>46910</v>
      </c>
      <c r="I9899" s="3" t="s">
        <v>50184</v>
      </c>
      <c r="J9899" s="3" t="s">
        <v>4747</v>
      </c>
      <c r="K9899" s="3" t="s">
        <v>50185</v>
      </c>
      <c r="L9899" s="3" t="s">
        <v>50186</v>
      </c>
      <c r="M9899" s="4"/>
      <c r="N9899" s="3" t="s">
        <v>967</v>
      </c>
      <c r="O9899" s="3" t="s">
        <v>46</v>
      </c>
      <c r="P9899" s="5">
        <v>11</v>
      </c>
      <c r="Q9899" s="5">
        <v>177</v>
      </c>
      <c r="R9899" s="5">
        <v>11</v>
      </c>
      <c r="S9899" s="5">
        <v>185</v>
      </c>
    </row>
    <row r="9900" spans="1:19" ht="28" x14ac:dyDescent="0.15">
      <c r="A9900" s="2">
        <f>HYPERLINK("https://open-school.uspishnemisto.com.ua/school/510733/", 510733)</f>
        <v>510733</v>
      </c>
      <c r="B9900" s="3" t="s">
        <v>50187</v>
      </c>
      <c r="C9900" s="3" t="s">
        <v>31</v>
      </c>
      <c r="D9900" s="3" t="s">
        <v>32</v>
      </c>
      <c r="E9900" s="4" t="s">
        <v>22</v>
      </c>
      <c r="F9900" s="4" t="s">
        <v>50188</v>
      </c>
      <c r="G9900" s="4" t="s">
        <v>50189</v>
      </c>
      <c r="H9900" s="3" t="s">
        <v>46910</v>
      </c>
      <c r="I9900" s="3" t="s">
        <v>50020</v>
      </c>
      <c r="J9900" s="3" t="s">
        <v>12690</v>
      </c>
      <c r="K9900" s="3"/>
      <c r="L9900" s="3"/>
      <c r="M9900" s="4"/>
      <c r="N9900" s="3" t="s">
        <v>50180</v>
      </c>
      <c r="O9900" s="3" t="s">
        <v>48231</v>
      </c>
      <c r="P9900" s="5">
        <v>22</v>
      </c>
      <c r="Q9900" s="5">
        <v>334</v>
      </c>
      <c r="R9900" s="5">
        <v>22</v>
      </c>
      <c r="S9900" s="5">
        <v>322</v>
      </c>
    </row>
    <row r="9901" spans="1:19" ht="28" x14ac:dyDescent="0.15">
      <c r="A9901" s="2">
        <f>HYPERLINK("https://open-school.uspishnemisto.com.ua/school/510734/", 510734)</f>
        <v>510734</v>
      </c>
      <c r="B9901" s="3" t="s">
        <v>50190</v>
      </c>
      <c r="C9901" s="3" t="s">
        <v>31</v>
      </c>
      <c r="D9901" s="3" t="s">
        <v>32</v>
      </c>
      <c r="E9901" s="4" t="s">
        <v>22</v>
      </c>
      <c r="F9901" s="4" t="s">
        <v>50191</v>
      </c>
      <c r="G9901" s="4" t="s">
        <v>50192</v>
      </c>
      <c r="H9901" s="3" t="s">
        <v>46910</v>
      </c>
      <c r="I9901" s="3" t="s">
        <v>42501</v>
      </c>
      <c r="J9901" s="3" t="s">
        <v>50193</v>
      </c>
      <c r="K9901" s="3" t="s">
        <v>50194</v>
      </c>
      <c r="L9901" s="3"/>
      <c r="M9901" s="4"/>
      <c r="N9901" s="3" t="s">
        <v>967</v>
      </c>
      <c r="O9901" s="3" t="s">
        <v>46</v>
      </c>
      <c r="P9901" s="5">
        <v>11</v>
      </c>
      <c r="Q9901" s="5">
        <v>168</v>
      </c>
      <c r="R9901" s="5">
        <v>11</v>
      </c>
      <c r="S9901" s="5">
        <v>186</v>
      </c>
    </row>
    <row r="9902" spans="1:19" ht="42" x14ac:dyDescent="0.15">
      <c r="A9902" s="2">
        <f>HYPERLINK("https://open-school.uspishnemisto.com.ua/school/510735/", 510735)</f>
        <v>510735</v>
      </c>
      <c r="B9902" s="3" t="s">
        <v>50195</v>
      </c>
      <c r="C9902" s="3" t="s">
        <v>54</v>
      </c>
      <c r="D9902" s="3" t="s">
        <v>32</v>
      </c>
      <c r="E9902" s="4" t="s">
        <v>22</v>
      </c>
      <c r="F9902" s="4" t="s">
        <v>50196</v>
      </c>
      <c r="G9902" s="4" t="s">
        <v>50197</v>
      </c>
      <c r="H9902" s="3" t="s">
        <v>46910</v>
      </c>
      <c r="I9902" s="3" t="s">
        <v>50198</v>
      </c>
      <c r="J9902" s="3" t="s">
        <v>50199</v>
      </c>
      <c r="K9902" s="3" t="s">
        <v>50200</v>
      </c>
      <c r="L9902" s="3" t="s">
        <v>50201</v>
      </c>
      <c r="M9902" s="4"/>
      <c r="N9902" s="3" t="s">
        <v>50202</v>
      </c>
      <c r="O9902" s="3" t="s">
        <v>48231</v>
      </c>
      <c r="P9902" s="5">
        <v>22</v>
      </c>
      <c r="Q9902" s="5">
        <v>391</v>
      </c>
      <c r="R9902" s="5">
        <v>23</v>
      </c>
      <c r="S9902" s="5">
        <v>375</v>
      </c>
    </row>
    <row r="9903" spans="1:19" ht="28" x14ac:dyDescent="0.15">
      <c r="A9903" s="2">
        <f>HYPERLINK("https://open-school.uspishnemisto.com.ua/school/510736/", 510736)</f>
        <v>510736</v>
      </c>
      <c r="B9903" s="3" t="s">
        <v>50203</v>
      </c>
      <c r="C9903" s="3" t="s">
        <v>31</v>
      </c>
      <c r="D9903" s="3" t="s">
        <v>32</v>
      </c>
      <c r="E9903" s="4" t="s">
        <v>22</v>
      </c>
      <c r="F9903" s="4" t="s">
        <v>50204</v>
      </c>
      <c r="G9903" s="4" t="s">
        <v>50205</v>
      </c>
      <c r="H9903" s="3" t="s">
        <v>46910</v>
      </c>
      <c r="I9903" s="3" t="s">
        <v>3387</v>
      </c>
      <c r="J9903" s="3" t="s">
        <v>50206</v>
      </c>
      <c r="K9903" s="3" t="s">
        <v>50207</v>
      </c>
      <c r="L9903" s="3"/>
      <c r="M9903" s="4"/>
      <c r="N9903" s="3" t="s">
        <v>50180</v>
      </c>
      <c r="O9903" s="3" t="s">
        <v>48231</v>
      </c>
      <c r="P9903" s="5">
        <v>20</v>
      </c>
      <c r="Q9903" s="5">
        <v>283</v>
      </c>
      <c r="R9903" s="5">
        <v>19</v>
      </c>
      <c r="S9903" s="5">
        <v>270</v>
      </c>
    </row>
    <row r="9904" spans="1:19" ht="42" x14ac:dyDescent="0.15">
      <c r="A9904" s="2">
        <f>HYPERLINK("https://open-school.uspishnemisto.com.ua/school/510737/", 510737)</f>
        <v>510737</v>
      </c>
      <c r="B9904" s="3" t="s">
        <v>50208</v>
      </c>
      <c r="C9904" s="3" t="s">
        <v>31</v>
      </c>
      <c r="D9904" s="3" t="s">
        <v>32</v>
      </c>
      <c r="E9904" s="4" t="s">
        <v>22</v>
      </c>
      <c r="F9904" s="4" t="s">
        <v>50209</v>
      </c>
      <c r="G9904" s="4" t="s">
        <v>50210</v>
      </c>
      <c r="H9904" s="3" t="s">
        <v>46910</v>
      </c>
      <c r="I9904" s="3" t="s">
        <v>50211</v>
      </c>
      <c r="J9904" s="3" t="s">
        <v>50212</v>
      </c>
      <c r="K9904" s="3" t="s">
        <v>50213</v>
      </c>
      <c r="L9904" s="3"/>
      <c r="M9904" s="4"/>
      <c r="N9904" s="3" t="s">
        <v>50214</v>
      </c>
      <c r="O9904" s="3" t="s">
        <v>38</v>
      </c>
      <c r="P9904" s="5">
        <v>12</v>
      </c>
      <c r="Q9904" s="5">
        <v>226</v>
      </c>
      <c r="R9904" s="5">
        <v>11</v>
      </c>
      <c r="S9904" s="5">
        <v>206</v>
      </c>
    </row>
    <row r="9905" spans="1:19" ht="28" x14ac:dyDescent="0.15">
      <c r="A9905" s="2">
        <f>HYPERLINK("https://open-school.uspishnemisto.com.ua/school/510738/", 510738)</f>
        <v>510738</v>
      </c>
      <c r="B9905" s="3" t="s">
        <v>50215</v>
      </c>
      <c r="C9905" s="3" t="s">
        <v>31</v>
      </c>
      <c r="D9905" s="3" t="s">
        <v>32</v>
      </c>
      <c r="E9905" s="4" t="s">
        <v>22</v>
      </c>
      <c r="F9905" s="4" t="s">
        <v>50216</v>
      </c>
      <c r="G9905" s="4" t="s">
        <v>50217</v>
      </c>
      <c r="H9905" s="3" t="s">
        <v>46910</v>
      </c>
      <c r="I9905" s="3" t="s">
        <v>50218</v>
      </c>
      <c r="J9905" s="3" t="s">
        <v>2136</v>
      </c>
      <c r="K9905" s="3" t="s">
        <v>50219</v>
      </c>
      <c r="L9905" s="3"/>
      <c r="M9905" s="4"/>
      <c r="N9905" s="3" t="s">
        <v>37</v>
      </c>
      <c r="O9905" s="3" t="s">
        <v>70</v>
      </c>
      <c r="P9905" s="5">
        <v>28</v>
      </c>
      <c r="Q9905" s="5">
        <v>650</v>
      </c>
      <c r="R9905" s="5">
        <v>28</v>
      </c>
      <c r="S9905" s="5">
        <v>662</v>
      </c>
    </row>
    <row r="9906" spans="1:19" ht="56" x14ac:dyDescent="0.15">
      <c r="A9906" s="2">
        <f>HYPERLINK("https://open-school.uspishnemisto.com.ua/school/510739/", 510739)</f>
        <v>510739</v>
      </c>
      <c r="B9906" s="3" t="s">
        <v>50220</v>
      </c>
      <c r="C9906" s="3" t="s">
        <v>54</v>
      </c>
      <c r="D9906" s="3" t="s">
        <v>175</v>
      </c>
      <c r="E9906" s="4" t="s">
        <v>22</v>
      </c>
      <c r="F9906" s="4" t="s">
        <v>50221</v>
      </c>
      <c r="G9906" s="4" t="s">
        <v>50222</v>
      </c>
      <c r="H9906" s="3" t="s">
        <v>46910</v>
      </c>
      <c r="I9906" s="3" t="s">
        <v>50223</v>
      </c>
      <c r="J9906" s="3" t="s">
        <v>50224</v>
      </c>
      <c r="K9906" s="3" t="s">
        <v>50225</v>
      </c>
      <c r="L9906" s="3"/>
      <c r="M9906" s="4"/>
      <c r="N9906" s="3" t="s">
        <v>37</v>
      </c>
      <c r="O9906" s="3" t="s">
        <v>38</v>
      </c>
      <c r="P9906" s="5">
        <v>9</v>
      </c>
      <c r="Q9906" s="5">
        <v>61</v>
      </c>
      <c r="R9906" s="5">
        <v>9</v>
      </c>
      <c r="S9906" s="5">
        <v>66</v>
      </c>
    </row>
    <row r="9907" spans="1:19" ht="56" x14ac:dyDescent="0.15">
      <c r="A9907" s="2">
        <f>HYPERLINK("https://open-school.uspishnemisto.com.ua/school/510740/", 510740)</f>
        <v>510740</v>
      </c>
      <c r="B9907" s="3" t="s">
        <v>50226</v>
      </c>
      <c r="C9907" s="3" t="s">
        <v>54</v>
      </c>
      <c r="D9907" s="3" t="s">
        <v>32</v>
      </c>
      <c r="E9907" s="4" t="s">
        <v>22</v>
      </c>
      <c r="F9907" s="4" t="s">
        <v>50227</v>
      </c>
      <c r="G9907" s="4" t="s">
        <v>50228</v>
      </c>
      <c r="H9907" s="3" t="s">
        <v>46910</v>
      </c>
      <c r="I9907" s="3" t="s">
        <v>50229</v>
      </c>
      <c r="J9907" s="3" t="s">
        <v>479</v>
      </c>
      <c r="K9907" s="3" t="s">
        <v>50230</v>
      </c>
      <c r="L9907" s="3"/>
      <c r="M9907" s="4"/>
      <c r="N9907" s="3" t="s">
        <v>37</v>
      </c>
      <c r="O9907" s="3" t="s">
        <v>70</v>
      </c>
      <c r="P9907" s="5">
        <v>11</v>
      </c>
      <c r="Q9907" s="5">
        <v>127</v>
      </c>
      <c r="R9907" s="5">
        <v>11</v>
      </c>
      <c r="S9907" s="5">
        <v>133</v>
      </c>
    </row>
    <row r="9908" spans="1:19" ht="42" x14ac:dyDescent="0.15">
      <c r="A9908" s="2">
        <f>HYPERLINK("https://open-school.uspishnemisto.com.ua/school/510741/", 510741)</f>
        <v>510741</v>
      </c>
      <c r="B9908" s="3" t="s">
        <v>50231</v>
      </c>
      <c r="C9908" s="3" t="s">
        <v>54</v>
      </c>
      <c r="D9908" s="3" t="s">
        <v>60</v>
      </c>
      <c r="E9908" s="4" t="s">
        <v>22</v>
      </c>
      <c r="F9908" s="4" t="s">
        <v>50232</v>
      </c>
      <c r="G9908" s="4" t="s">
        <v>50233</v>
      </c>
      <c r="H9908" s="3" t="s">
        <v>46910</v>
      </c>
      <c r="I9908" s="3" t="s">
        <v>1684</v>
      </c>
      <c r="J9908" s="3" t="s">
        <v>19839</v>
      </c>
      <c r="K9908" s="3" t="s">
        <v>50234</v>
      </c>
      <c r="L9908" s="3"/>
      <c r="M9908" s="4"/>
      <c r="N9908" s="3" t="s">
        <v>37</v>
      </c>
      <c r="O9908" s="3" t="s">
        <v>38</v>
      </c>
      <c r="P9908" s="5">
        <v>3</v>
      </c>
      <c r="Q9908" s="5">
        <v>20</v>
      </c>
      <c r="R9908" s="5">
        <v>3</v>
      </c>
      <c r="S9908" s="5">
        <v>17</v>
      </c>
    </row>
    <row r="9909" spans="1:19" ht="56" x14ac:dyDescent="0.15">
      <c r="A9909" s="2">
        <f>HYPERLINK("https://open-school.uspishnemisto.com.ua/school/510742/", 510742)</f>
        <v>510742</v>
      </c>
      <c r="B9909" s="3" t="s">
        <v>50235</v>
      </c>
      <c r="C9909" s="3" t="s">
        <v>54</v>
      </c>
      <c r="D9909" s="3" t="s">
        <v>32</v>
      </c>
      <c r="E9909" s="4" t="s">
        <v>22</v>
      </c>
      <c r="F9909" s="4" t="s">
        <v>50236</v>
      </c>
      <c r="G9909" s="4" t="s">
        <v>50237</v>
      </c>
      <c r="H9909" s="3" t="s">
        <v>46910</v>
      </c>
      <c r="I9909" s="3" t="s">
        <v>50238</v>
      </c>
      <c r="J9909" s="3" t="s">
        <v>50239</v>
      </c>
      <c r="K9909" s="3" t="s">
        <v>50240</v>
      </c>
      <c r="L9909" s="3"/>
      <c r="M9909" s="4"/>
      <c r="N9909" s="3" t="s">
        <v>37</v>
      </c>
      <c r="O9909" s="3" t="s">
        <v>38</v>
      </c>
      <c r="P9909" s="5">
        <v>8</v>
      </c>
      <c r="Q9909" s="5">
        <v>82</v>
      </c>
      <c r="R9909" s="5">
        <v>9</v>
      </c>
      <c r="S9909" s="5">
        <v>88</v>
      </c>
    </row>
    <row r="9910" spans="1:19" ht="42" x14ac:dyDescent="0.15">
      <c r="A9910" s="2">
        <f>HYPERLINK("https://open-school.uspishnemisto.com.ua/school/510743/", 510743)</f>
        <v>510743</v>
      </c>
      <c r="B9910" s="3" t="s">
        <v>50241</v>
      </c>
      <c r="C9910" s="3" t="s">
        <v>54</v>
      </c>
      <c r="D9910" s="3" t="s">
        <v>175</v>
      </c>
      <c r="E9910" s="4" t="s">
        <v>22</v>
      </c>
      <c r="F9910" s="4" t="s">
        <v>50242</v>
      </c>
      <c r="G9910" s="4" t="s">
        <v>50243</v>
      </c>
      <c r="H9910" s="3" t="s">
        <v>46910</v>
      </c>
      <c r="I9910" s="3" t="s">
        <v>50244</v>
      </c>
      <c r="J9910" s="3" t="s">
        <v>599</v>
      </c>
      <c r="K9910" s="3" t="s">
        <v>50245</v>
      </c>
      <c r="L9910" s="3"/>
      <c r="M9910" s="4"/>
      <c r="N9910" s="3" t="s">
        <v>37</v>
      </c>
      <c r="O9910" s="3" t="s">
        <v>38</v>
      </c>
      <c r="P9910" s="5">
        <v>8</v>
      </c>
      <c r="Q9910" s="5">
        <v>51</v>
      </c>
      <c r="R9910" s="5">
        <v>8</v>
      </c>
      <c r="S9910" s="5">
        <v>47</v>
      </c>
    </row>
    <row r="9911" spans="1:19" ht="42" x14ac:dyDescent="0.15">
      <c r="A9911" s="2">
        <f>HYPERLINK("https://open-school.uspishnemisto.com.ua/school/510744/", 510744)</f>
        <v>510744</v>
      </c>
      <c r="B9911" s="3" t="s">
        <v>50246</v>
      </c>
      <c r="C9911" s="3" t="s">
        <v>54</v>
      </c>
      <c r="D9911" s="3" t="s">
        <v>175</v>
      </c>
      <c r="E9911" s="4" t="s">
        <v>22</v>
      </c>
      <c r="F9911" s="4" t="s">
        <v>50247</v>
      </c>
      <c r="G9911" s="4" t="s">
        <v>50248</v>
      </c>
      <c r="H9911" s="3" t="s">
        <v>46910</v>
      </c>
      <c r="I9911" s="3" t="s">
        <v>25064</v>
      </c>
      <c r="J9911" s="3" t="s">
        <v>50249</v>
      </c>
      <c r="K9911" s="3" t="s">
        <v>50250</v>
      </c>
      <c r="L9911" s="3"/>
      <c r="M9911" s="4"/>
      <c r="N9911" s="3" t="s">
        <v>37</v>
      </c>
      <c r="O9911" s="3" t="s">
        <v>38</v>
      </c>
      <c r="P9911" s="5">
        <v>9</v>
      </c>
      <c r="Q9911" s="5">
        <v>67</v>
      </c>
      <c r="R9911" s="5">
        <v>9</v>
      </c>
      <c r="S9911" s="5">
        <v>71</v>
      </c>
    </row>
    <row r="9912" spans="1:19" ht="56" x14ac:dyDescent="0.15">
      <c r="A9912" s="2">
        <f>HYPERLINK("https://open-school.uspishnemisto.com.ua/school/510745/", 510745)</f>
        <v>510745</v>
      </c>
      <c r="B9912" s="3" t="s">
        <v>50251</v>
      </c>
      <c r="C9912" s="3" t="s">
        <v>54</v>
      </c>
      <c r="D9912" s="3" t="s">
        <v>175</v>
      </c>
      <c r="E9912" s="4" t="s">
        <v>22</v>
      </c>
      <c r="F9912" s="4" t="s">
        <v>50252</v>
      </c>
      <c r="G9912" s="4" t="s">
        <v>50253</v>
      </c>
      <c r="H9912" s="3" t="s">
        <v>46910</v>
      </c>
      <c r="I9912" s="3" t="s">
        <v>50254</v>
      </c>
      <c r="J9912" s="3"/>
      <c r="K9912" s="3" t="s">
        <v>50255</v>
      </c>
      <c r="L9912" s="3"/>
      <c r="M9912" s="4"/>
      <c r="N9912" s="3" t="s">
        <v>37</v>
      </c>
      <c r="O9912" s="3" t="s">
        <v>112</v>
      </c>
      <c r="P9912" s="5">
        <v>4</v>
      </c>
      <c r="Q9912" s="5">
        <v>34</v>
      </c>
      <c r="R9912" s="5">
        <v>5</v>
      </c>
      <c r="S9912" s="5">
        <v>35</v>
      </c>
    </row>
    <row r="9913" spans="1:19" ht="28" x14ac:dyDescent="0.15">
      <c r="A9913" s="2">
        <f>HYPERLINK("https://open-school.uspishnemisto.com.ua/school/510746/", 510746)</f>
        <v>510746</v>
      </c>
      <c r="B9913" s="3" t="s">
        <v>50256</v>
      </c>
      <c r="C9913" s="3" t="s">
        <v>31</v>
      </c>
      <c r="D9913" s="3" t="s">
        <v>32</v>
      </c>
      <c r="E9913" s="4" t="s">
        <v>22</v>
      </c>
      <c r="F9913" s="4" t="s">
        <v>50257</v>
      </c>
      <c r="G9913" s="4" t="s">
        <v>50258</v>
      </c>
      <c r="H9913" s="3" t="s">
        <v>46910</v>
      </c>
      <c r="I9913" s="3" t="s">
        <v>50259</v>
      </c>
      <c r="J9913" s="3" t="s">
        <v>50260</v>
      </c>
      <c r="K9913" s="3" t="s">
        <v>50261</v>
      </c>
      <c r="L9913" s="3"/>
      <c r="M9913" s="4"/>
      <c r="N9913" s="3" t="s">
        <v>37</v>
      </c>
      <c r="O9913" s="3" t="s">
        <v>38</v>
      </c>
      <c r="P9913" s="5">
        <v>10</v>
      </c>
      <c r="Q9913" s="5">
        <v>181</v>
      </c>
      <c r="R9913" s="5">
        <v>11</v>
      </c>
      <c r="S9913" s="5">
        <v>174</v>
      </c>
    </row>
    <row r="9914" spans="1:19" ht="28" x14ac:dyDescent="0.15">
      <c r="A9914" s="2">
        <f>HYPERLINK("https://open-school.uspishnemisto.com.ua/school/510747/", 510747)</f>
        <v>510747</v>
      </c>
      <c r="B9914" s="3" t="s">
        <v>50262</v>
      </c>
      <c r="C9914" s="3" t="s">
        <v>31</v>
      </c>
      <c r="D9914" s="3" t="s">
        <v>175</v>
      </c>
      <c r="E9914" s="4" t="s">
        <v>22</v>
      </c>
      <c r="F9914" s="4" t="s">
        <v>50263</v>
      </c>
      <c r="G9914" s="4" t="s">
        <v>50264</v>
      </c>
      <c r="H9914" s="3" t="s">
        <v>46910</v>
      </c>
      <c r="I9914" s="3" t="s">
        <v>50265</v>
      </c>
      <c r="J9914" s="3" t="s">
        <v>4023</v>
      </c>
      <c r="K9914" s="3" t="s">
        <v>50266</v>
      </c>
      <c r="L9914" s="3"/>
      <c r="M9914" s="4"/>
      <c r="N9914" s="3" t="s">
        <v>37</v>
      </c>
      <c r="O9914" s="3" t="s">
        <v>112</v>
      </c>
      <c r="P9914" s="5">
        <v>7</v>
      </c>
      <c r="Q9914" s="5">
        <v>50</v>
      </c>
      <c r="R9914" s="5">
        <v>7</v>
      </c>
      <c r="S9914" s="5">
        <v>54</v>
      </c>
    </row>
    <row r="9915" spans="1:19" ht="28" x14ac:dyDescent="0.15">
      <c r="A9915" s="2">
        <f>HYPERLINK("https://open-school.uspishnemisto.com.ua/school/510748/", 510748)</f>
        <v>510748</v>
      </c>
      <c r="B9915" s="3" t="s">
        <v>50267</v>
      </c>
      <c r="C9915" s="3" t="s">
        <v>31</v>
      </c>
      <c r="D9915" s="3" t="s">
        <v>175</v>
      </c>
      <c r="E9915" s="4" t="s">
        <v>22</v>
      </c>
      <c r="F9915" s="4" t="s">
        <v>50268</v>
      </c>
      <c r="G9915" s="4" t="s">
        <v>50269</v>
      </c>
      <c r="H9915" s="3" t="s">
        <v>46910</v>
      </c>
      <c r="I9915" s="3" t="s">
        <v>2079</v>
      </c>
      <c r="J9915" s="3" t="s">
        <v>50270</v>
      </c>
      <c r="K9915" s="3" t="s">
        <v>50271</v>
      </c>
      <c r="L9915" s="3"/>
      <c r="M9915" s="4"/>
      <c r="N9915" s="3" t="s">
        <v>37</v>
      </c>
      <c r="O9915" s="3" t="s">
        <v>38</v>
      </c>
      <c r="P9915" s="5">
        <v>9</v>
      </c>
      <c r="Q9915" s="5">
        <v>90</v>
      </c>
      <c r="R9915" s="5">
        <v>9</v>
      </c>
      <c r="S9915" s="5">
        <v>94</v>
      </c>
    </row>
    <row r="9916" spans="1:19" ht="28" x14ac:dyDescent="0.15">
      <c r="A9916" s="2">
        <f>HYPERLINK("https://open-school.uspishnemisto.com.ua/school/510749/", 510749)</f>
        <v>510749</v>
      </c>
      <c r="B9916" s="3" t="s">
        <v>50272</v>
      </c>
      <c r="C9916" s="3" t="s">
        <v>31</v>
      </c>
      <c r="D9916" s="3" t="s">
        <v>32</v>
      </c>
      <c r="E9916" s="4" t="s">
        <v>22</v>
      </c>
      <c r="F9916" s="4" t="s">
        <v>50273</v>
      </c>
      <c r="G9916" s="4" t="s">
        <v>50274</v>
      </c>
      <c r="H9916" s="3" t="s">
        <v>46910</v>
      </c>
      <c r="I9916" s="3" t="s">
        <v>19552</v>
      </c>
      <c r="J9916" s="3" t="s">
        <v>1417</v>
      </c>
      <c r="K9916" s="3" t="s">
        <v>50275</v>
      </c>
      <c r="L9916" s="3"/>
      <c r="M9916" s="4"/>
      <c r="N9916" s="3" t="s">
        <v>37</v>
      </c>
      <c r="O9916" s="3" t="s">
        <v>38</v>
      </c>
      <c r="P9916" s="5">
        <v>12</v>
      </c>
      <c r="Q9916" s="5">
        <v>234</v>
      </c>
      <c r="R9916" s="5">
        <v>12</v>
      </c>
      <c r="S9916" s="5">
        <v>218</v>
      </c>
    </row>
    <row r="9917" spans="1:19" ht="42" x14ac:dyDescent="0.15">
      <c r="A9917" s="2">
        <f>HYPERLINK("https://open-school.uspishnemisto.com.ua/school/510750/", 510750)</f>
        <v>510750</v>
      </c>
      <c r="B9917" s="3" t="s">
        <v>50276</v>
      </c>
      <c r="C9917" s="3" t="s">
        <v>54</v>
      </c>
      <c r="D9917" s="3" t="s">
        <v>32</v>
      </c>
      <c r="E9917" s="4" t="s">
        <v>22</v>
      </c>
      <c r="F9917" s="4" t="s">
        <v>50277</v>
      </c>
      <c r="G9917" s="4" t="s">
        <v>50278</v>
      </c>
      <c r="H9917" s="3" t="s">
        <v>46910</v>
      </c>
      <c r="I9917" s="3" t="s">
        <v>50279</v>
      </c>
      <c r="J9917" s="3" t="s">
        <v>4833</v>
      </c>
      <c r="K9917" s="3" t="s">
        <v>50280</v>
      </c>
      <c r="L9917" s="3"/>
      <c r="M9917" s="4"/>
      <c r="N9917" s="3" t="s">
        <v>37</v>
      </c>
      <c r="O9917" s="3" t="s">
        <v>38</v>
      </c>
      <c r="P9917" s="5">
        <v>11</v>
      </c>
      <c r="Q9917" s="5">
        <v>129</v>
      </c>
      <c r="R9917" s="5">
        <v>11</v>
      </c>
      <c r="S9917" s="5">
        <v>122</v>
      </c>
    </row>
    <row r="9918" spans="1:19" ht="28" x14ac:dyDescent="0.15">
      <c r="A9918" s="2">
        <f>HYPERLINK("https://open-school.uspishnemisto.com.ua/school/510751/", 510751)</f>
        <v>510751</v>
      </c>
      <c r="B9918" s="3" t="s">
        <v>50281</v>
      </c>
      <c r="C9918" s="3" t="s">
        <v>20</v>
      </c>
      <c r="D9918" s="3" t="s">
        <v>21</v>
      </c>
      <c r="E9918" s="4" t="s">
        <v>22</v>
      </c>
      <c r="F9918" s="4" t="s">
        <v>50282</v>
      </c>
      <c r="G9918" s="4" t="s">
        <v>50283</v>
      </c>
      <c r="H9918" s="3" t="s">
        <v>46910</v>
      </c>
      <c r="I9918" s="3" t="s">
        <v>50284</v>
      </c>
      <c r="J9918" s="3" t="s">
        <v>1034</v>
      </c>
      <c r="K9918" s="3" t="s">
        <v>50285</v>
      </c>
      <c r="L9918" s="3"/>
      <c r="M9918" s="4" t="s">
        <v>50286</v>
      </c>
      <c r="N9918" s="3"/>
      <c r="O9918" s="3"/>
      <c r="P9918" s="5">
        <v>0</v>
      </c>
      <c r="Q9918" s="5">
        <v>0</v>
      </c>
      <c r="R9918" s="5"/>
      <c r="S9918" s="5"/>
    </row>
    <row r="9919" spans="1:19" ht="42" x14ac:dyDescent="0.15">
      <c r="A9919" s="2">
        <f>HYPERLINK("https://open-school.uspishnemisto.com.ua/school/510752/", 510752)</f>
        <v>510752</v>
      </c>
      <c r="B9919" s="3" t="s">
        <v>50287</v>
      </c>
      <c r="C9919" s="3" t="s">
        <v>54</v>
      </c>
      <c r="D9919" s="3" t="s">
        <v>32</v>
      </c>
      <c r="E9919" s="4" t="s">
        <v>22</v>
      </c>
      <c r="F9919" s="4" t="s">
        <v>50282</v>
      </c>
      <c r="G9919" s="4" t="s">
        <v>50283</v>
      </c>
      <c r="H9919" s="3" t="s">
        <v>46910</v>
      </c>
      <c r="I9919" s="3" t="s">
        <v>50284</v>
      </c>
      <c r="J9919" s="3" t="s">
        <v>50288</v>
      </c>
      <c r="K9919" s="3" t="s">
        <v>50289</v>
      </c>
      <c r="L9919" s="3" t="s">
        <v>50290</v>
      </c>
      <c r="M9919" s="4" t="s">
        <v>50291</v>
      </c>
      <c r="N9919" s="3" t="s">
        <v>37</v>
      </c>
      <c r="O9919" s="3" t="s">
        <v>38</v>
      </c>
      <c r="P9919" s="5">
        <v>31</v>
      </c>
      <c r="Q9919" s="5">
        <v>675</v>
      </c>
      <c r="R9919" s="5">
        <v>30</v>
      </c>
      <c r="S9919" s="5">
        <v>655</v>
      </c>
    </row>
    <row r="9920" spans="1:19" ht="56" x14ac:dyDescent="0.15">
      <c r="A9920" s="2">
        <f>HYPERLINK("https://open-school.uspishnemisto.com.ua/school/510753/", 510753)</f>
        <v>510753</v>
      </c>
      <c r="B9920" s="3" t="s">
        <v>50292</v>
      </c>
      <c r="C9920" s="3" t="s">
        <v>54</v>
      </c>
      <c r="D9920" s="3" t="s">
        <v>32</v>
      </c>
      <c r="E9920" s="4" t="s">
        <v>22</v>
      </c>
      <c r="F9920" s="4" t="s">
        <v>50293</v>
      </c>
      <c r="G9920" s="4" t="s">
        <v>50294</v>
      </c>
      <c r="H9920" s="3" t="s">
        <v>46910</v>
      </c>
      <c r="I9920" s="3" t="s">
        <v>50295</v>
      </c>
      <c r="J9920" s="3" t="s">
        <v>2417</v>
      </c>
      <c r="K9920" s="3" t="s">
        <v>50296</v>
      </c>
      <c r="L9920" s="3"/>
      <c r="M9920" s="4"/>
      <c r="N9920" s="3" t="s">
        <v>37</v>
      </c>
      <c r="O9920" s="3" t="s">
        <v>38</v>
      </c>
      <c r="P9920" s="5">
        <v>11</v>
      </c>
      <c r="Q9920" s="5">
        <v>120</v>
      </c>
      <c r="R9920" s="5">
        <v>11</v>
      </c>
      <c r="S9920" s="5">
        <v>113</v>
      </c>
    </row>
    <row r="9921" spans="1:19" ht="28" x14ac:dyDescent="0.15">
      <c r="A9921" s="2">
        <f>HYPERLINK("https://open-school.uspishnemisto.com.ua/school/510754/", 510754)</f>
        <v>510754</v>
      </c>
      <c r="B9921" s="3" t="s">
        <v>50297</v>
      </c>
      <c r="C9921" s="3" t="s">
        <v>31</v>
      </c>
      <c r="D9921" s="3" t="s">
        <v>32</v>
      </c>
      <c r="E9921" s="4" t="s">
        <v>22</v>
      </c>
      <c r="F9921" s="4" t="s">
        <v>50298</v>
      </c>
      <c r="G9921" s="4" t="s">
        <v>50299</v>
      </c>
      <c r="H9921" s="3" t="s">
        <v>46910</v>
      </c>
      <c r="I9921" s="3" t="s">
        <v>5544</v>
      </c>
      <c r="J9921" s="3" t="s">
        <v>50300</v>
      </c>
      <c r="K9921" s="3" t="s">
        <v>50301</v>
      </c>
      <c r="L9921" s="3"/>
      <c r="M9921" s="4"/>
      <c r="N9921" s="3" t="s">
        <v>37</v>
      </c>
      <c r="O9921" s="3" t="s">
        <v>38</v>
      </c>
      <c r="P9921" s="5">
        <v>11</v>
      </c>
      <c r="Q9921" s="5">
        <v>108</v>
      </c>
      <c r="R9921" s="5">
        <v>11</v>
      </c>
      <c r="S9921" s="5">
        <v>110</v>
      </c>
    </row>
    <row r="9922" spans="1:19" ht="56" x14ac:dyDescent="0.15">
      <c r="A9922" s="2">
        <f>HYPERLINK("https://open-school.uspishnemisto.com.ua/school/510755/", 510755)</f>
        <v>510755</v>
      </c>
      <c r="B9922" s="3" t="s">
        <v>50302</v>
      </c>
      <c r="C9922" s="3" t="s">
        <v>54</v>
      </c>
      <c r="D9922" s="3" t="s">
        <v>175</v>
      </c>
      <c r="E9922" s="4" t="s">
        <v>22</v>
      </c>
      <c r="F9922" s="4" t="s">
        <v>50303</v>
      </c>
      <c r="G9922" s="4" t="s">
        <v>50304</v>
      </c>
      <c r="H9922" s="3" t="s">
        <v>46910</v>
      </c>
      <c r="I9922" s="3" t="s">
        <v>50305</v>
      </c>
      <c r="J9922" s="3" t="s">
        <v>13048</v>
      </c>
      <c r="K9922" s="3"/>
      <c r="L9922" s="3"/>
      <c r="M9922" s="4"/>
      <c r="N9922" s="3" t="s">
        <v>37</v>
      </c>
      <c r="O9922" s="3" t="s">
        <v>618</v>
      </c>
      <c r="P9922" s="5">
        <v>8</v>
      </c>
      <c r="Q9922" s="5">
        <v>62</v>
      </c>
      <c r="R9922" s="5">
        <v>8</v>
      </c>
      <c r="S9922" s="5">
        <v>66</v>
      </c>
    </row>
    <row r="9923" spans="1:19" ht="42" x14ac:dyDescent="0.15">
      <c r="A9923" s="2">
        <f>HYPERLINK("https://open-school.uspishnemisto.com.ua/school/510756/", 510756)</f>
        <v>510756</v>
      </c>
      <c r="B9923" s="3" t="s">
        <v>50306</v>
      </c>
      <c r="C9923" s="3" t="s">
        <v>54</v>
      </c>
      <c r="D9923" s="3" t="s">
        <v>32</v>
      </c>
      <c r="E9923" s="4" t="s">
        <v>22</v>
      </c>
      <c r="F9923" s="4" t="s">
        <v>50307</v>
      </c>
      <c r="G9923" s="4" t="s">
        <v>50308</v>
      </c>
      <c r="H9923" s="3" t="s">
        <v>46910</v>
      </c>
      <c r="I9923" s="3" t="s">
        <v>5129</v>
      </c>
      <c r="J9923" s="3" t="s">
        <v>50309</v>
      </c>
      <c r="K9923" s="3" t="s">
        <v>50310</v>
      </c>
      <c r="L9923" s="3"/>
      <c r="M9923" s="4" t="s">
        <v>50311</v>
      </c>
      <c r="N9923" s="3" t="s">
        <v>128</v>
      </c>
      <c r="O9923" s="3" t="s">
        <v>26431</v>
      </c>
      <c r="P9923" s="5">
        <v>23</v>
      </c>
      <c r="Q9923" s="5">
        <v>558</v>
      </c>
      <c r="R9923" s="5">
        <v>24</v>
      </c>
      <c r="S9923" s="5">
        <v>559</v>
      </c>
    </row>
    <row r="9924" spans="1:19" ht="28" x14ac:dyDescent="0.15">
      <c r="A9924" s="2">
        <f>HYPERLINK("https://open-school.uspishnemisto.com.ua/school/510757/", 510757)</f>
        <v>510757</v>
      </c>
      <c r="B9924" s="3" t="s">
        <v>50312</v>
      </c>
      <c r="C9924" s="3" t="s">
        <v>31</v>
      </c>
      <c r="D9924" s="3" t="s">
        <v>32</v>
      </c>
      <c r="E9924" s="4" t="s">
        <v>22</v>
      </c>
      <c r="F9924" s="4" t="s">
        <v>50313</v>
      </c>
      <c r="G9924" s="4" t="s">
        <v>50314</v>
      </c>
      <c r="H9924" s="3" t="s">
        <v>46910</v>
      </c>
      <c r="I9924" s="3" t="s">
        <v>50315</v>
      </c>
      <c r="J9924" s="3" t="s">
        <v>12217</v>
      </c>
      <c r="K9924" s="3" t="s">
        <v>50316</v>
      </c>
      <c r="L9924" s="3"/>
      <c r="M9924" s="4" t="s">
        <v>50317</v>
      </c>
      <c r="N9924" s="3" t="s">
        <v>128</v>
      </c>
      <c r="O9924" s="3" t="s">
        <v>26431</v>
      </c>
      <c r="P9924" s="5">
        <v>20</v>
      </c>
      <c r="Q9924" s="5">
        <v>368</v>
      </c>
      <c r="R9924" s="5">
        <v>19</v>
      </c>
      <c r="S9924" s="5">
        <v>376</v>
      </c>
    </row>
    <row r="9925" spans="1:19" ht="28" x14ac:dyDescent="0.15">
      <c r="A9925" s="2">
        <f>HYPERLINK("https://open-school.uspishnemisto.com.ua/school/510758/", 510758)</f>
        <v>510758</v>
      </c>
      <c r="B9925" s="3" t="s">
        <v>50318</v>
      </c>
      <c r="C9925" s="3" t="s">
        <v>31</v>
      </c>
      <c r="D9925" s="3" t="s">
        <v>32</v>
      </c>
      <c r="E9925" s="4" t="s">
        <v>22</v>
      </c>
      <c r="F9925" s="4" t="s">
        <v>50319</v>
      </c>
      <c r="G9925" s="4" t="s">
        <v>50320</v>
      </c>
      <c r="H9925" s="3" t="s">
        <v>46910</v>
      </c>
      <c r="I9925" s="3" t="s">
        <v>46235</v>
      </c>
      <c r="J9925" s="3" t="s">
        <v>50321</v>
      </c>
      <c r="K9925" s="3" t="s">
        <v>50322</v>
      </c>
      <c r="L9925" s="3"/>
      <c r="M9925" s="4"/>
      <c r="N9925" s="3" t="s">
        <v>37</v>
      </c>
      <c r="O9925" s="3" t="s">
        <v>38</v>
      </c>
      <c r="P9925" s="5">
        <v>11</v>
      </c>
      <c r="Q9925" s="5">
        <v>186</v>
      </c>
      <c r="R9925" s="5">
        <v>11</v>
      </c>
      <c r="S9925" s="5">
        <v>174</v>
      </c>
    </row>
    <row r="9926" spans="1:19" ht="28" x14ac:dyDescent="0.15">
      <c r="A9926" s="2">
        <f>HYPERLINK("https://open-school.uspishnemisto.com.ua/school/510759/", 510759)</f>
        <v>510759</v>
      </c>
      <c r="B9926" s="3" t="s">
        <v>50323</v>
      </c>
      <c r="C9926" s="3" t="s">
        <v>31</v>
      </c>
      <c r="D9926" s="3" t="s">
        <v>60</v>
      </c>
      <c r="E9926" s="4" t="s">
        <v>22</v>
      </c>
      <c r="F9926" s="4" t="s">
        <v>50319</v>
      </c>
      <c r="G9926" s="4" t="s">
        <v>50324</v>
      </c>
      <c r="H9926" s="3" t="s">
        <v>46910</v>
      </c>
      <c r="I9926" s="3" t="s">
        <v>50325</v>
      </c>
      <c r="J9926" s="3" t="s">
        <v>50326</v>
      </c>
      <c r="K9926" s="3" t="s">
        <v>50327</v>
      </c>
      <c r="L9926" s="3"/>
      <c r="M9926" s="4"/>
      <c r="N9926" s="3" t="s">
        <v>37</v>
      </c>
      <c r="O9926" s="3" t="s">
        <v>52</v>
      </c>
      <c r="P9926" s="5">
        <v>2</v>
      </c>
      <c r="Q9926" s="5">
        <v>13</v>
      </c>
      <c r="R9926" s="5">
        <v>2</v>
      </c>
      <c r="S9926" s="5">
        <v>14</v>
      </c>
    </row>
    <row r="9927" spans="1:19" ht="28" x14ac:dyDescent="0.15">
      <c r="A9927" s="2">
        <f>HYPERLINK("https://open-school.uspishnemisto.com.ua/school/510760/", 510760)</f>
        <v>510760</v>
      </c>
      <c r="B9927" s="3" t="s">
        <v>50328</v>
      </c>
      <c r="C9927" s="3" t="s">
        <v>31</v>
      </c>
      <c r="D9927" s="3" t="s">
        <v>175</v>
      </c>
      <c r="E9927" s="4" t="s">
        <v>22</v>
      </c>
      <c r="F9927" s="4" t="s">
        <v>50329</v>
      </c>
      <c r="G9927" s="4" t="s">
        <v>50330</v>
      </c>
      <c r="H9927" s="3" t="s">
        <v>46910</v>
      </c>
      <c r="I9927" s="3" t="s">
        <v>50331</v>
      </c>
      <c r="J9927" s="3" t="s">
        <v>19218</v>
      </c>
      <c r="K9927" s="3" t="s">
        <v>50332</v>
      </c>
      <c r="L9927" s="3"/>
      <c r="M9927" s="4"/>
      <c r="N9927" s="3" t="s">
        <v>48230</v>
      </c>
      <c r="O9927" s="3" t="s">
        <v>36144</v>
      </c>
      <c r="P9927" s="5">
        <v>18</v>
      </c>
      <c r="Q9927" s="5">
        <v>245</v>
      </c>
      <c r="R9927" s="5">
        <v>17</v>
      </c>
      <c r="S9927" s="5">
        <v>229</v>
      </c>
    </row>
    <row r="9928" spans="1:19" ht="28" x14ac:dyDescent="0.15">
      <c r="A9928" s="2">
        <f>HYPERLINK("https://open-school.uspishnemisto.com.ua/school/510761/", 510761)</f>
        <v>510761</v>
      </c>
      <c r="B9928" s="3" t="s">
        <v>50333</v>
      </c>
      <c r="C9928" s="3" t="s">
        <v>31</v>
      </c>
      <c r="D9928" s="3" t="s">
        <v>175</v>
      </c>
      <c r="E9928" s="4" t="s">
        <v>22</v>
      </c>
      <c r="F9928" s="4" t="s">
        <v>50329</v>
      </c>
      <c r="G9928" s="4" t="s">
        <v>50334</v>
      </c>
      <c r="H9928" s="3" t="s">
        <v>46910</v>
      </c>
      <c r="I9928" s="3" t="s">
        <v>50335</v>
      </c>
      <c r="J9928" s="3" t="s">
        <v>12532</v>
      </c>
      <c r="K9928" s="3" t="s">
        <v>50336</v>
      </c>
      <c r="L9928" s="3"/>
      <c r="M9928" s="4"/>
      <c r="N9928" s="3" t="s">
        <v>50214</v>
      </c>
      <c r="O9928" s="3" t="s">
        <v>52</v>
      </c>
      <c r="P9928" s="5">
        <v>9</v>
      </c>
      <c r="Q9928" s="5">
        <v>77</v>
      </c>
      <c r="R9928" s="5">
        <v>9</v>
      </c>
      <c r="S9928" s="5">
        <v>74</v>
      </c>
    </row>
    <row r="9929" spans="1:19" ht="28" x14ac:dyDescent="0.15">
      <c r="A9929" s="2">
        <f>HYPERLINK("https://open-school.uspishnemisto.com.ua/school/510762/", 510762)</f>
        <v>510762</v>
      </c>
      <c r="B9929" s="3" t="s">
        <v>50337</v>
      </c>
      <c r="C9929" s="3" t="s">
        <v>31</v>
      </c>
      <c r="D9929" s="3" t="s">
        <v>175</v>
      </c>
      <c r="E9929" s="4" t="s">
        <v>22</v>
      </c>
      <c r="F9929" s="4" t="s">
        <v>50338</v>
      </c>
      <c r="G9929" s="4" t="s">
        <v>50339</v>
      </c>
      <c r="H9929" s="3" t="s">
        <v>46910</v>
      </c>
      <c r="I9929" s="3" t="s">
        <v>47979</v>
      </c>
      <c r="J9929" s="3" t="s">
        <v>3106</v>
      </c>
      <c r="K9929" s="3" t="s">
        <v>50340</v>
      </c>
      <c r="L9929" s="3" t="s">
        <v>50341</v>
      </c>
      <c r="M9929" s="4"/>
      <c r="N9929" s="3" t="s">
        <v>37</v>
      </c>
      <c r="O9929" s="3" t="s">
        <v>70</v>
      </c>
      <c r="P9929" s="5">
        <v>8</v>
      </c>
      <c r="Q9929" s="5">
        <v>59</v>
      </c>
      <c r="R9929" s="5">
        <v>10</v>
      </c>
      <c r="S9929" s="5">
        <v>66</v>
      </c>
    </row>
    <row r="9930" spans="1:19" ht="42" x14ac:dyDescent="0.15">
      <c r="A9930" s="2">
        <f>HYPERLINK("https://open-school.uspishnemisto.com.ua/school/510763/", 510763)</f>
        <v>510763</v>
      </c>
      <c r="B9930" s="3" t="s">
        <v>50342</v>
      </c>
      <c r="C9930" s="3" t="s">
        <v>181</v>
      </c>
      <c r="D9930" s="3" t="s">
        <v>175</v>
      </c>
      <c r="E9930" s="4" t="s">
        <v>22</v>
      </c>
      <c r="F9930" s="4" t="s">
        <v>50343</v>
      </c>
      <c r="G9930" s="4" t="s">
        <v>50344</v>
      </c>
      <c r="H9930" s="3" t="s">
        <v>46910</v>
      </c>
      <c r="I9930" s="3" t="s">
        <v>688</v>
      </c>
      <c r="J9930" s="3" t="s">
        <v>50345</v>
      </c>
      <c r="K9930" s="3" t="s">
        <v>50346</v>
      </c>
      <c r="L9930" s="3"/>
      <c r="M9930" s="4" t="s">
        <v>50347</v>
      </c>
      <c r="N9930" s="3" t="s">
        <v>37</v>
      </c>
      <c r="O9930" s="3"/>
      <c r="P9930" s="5">
        <v>9</v>
      </c>
      <c r="Q9930" s="5">
        <v>81</v>
      </c>
      <c r="R9930" s="5">
        <v>9</v>
      </c>
      <c r="S9930" s="5">
        <v>94</v>
      </c>
    </row>
    <row r="9931" spans="1:19" ht="56" x14ac:dyDescent="0.15">
      <c r="A9931" s="2">
        <f>HYPERLINK("https://open-school.uspishnemisto.com.ua/school/510764/", 510764)</f>
        <v>510764</v>
      </c>
      <c r="B9931" s="3" t="s">
        <v>50348</v>
      </c>
      <c r="C9931" s="3" t="s">
        <v>54</v>
      </c>
      <c r="D9931" s="3" t="s">
        <v>32</v>
      </c>
      <c r="E9931" s="4" t="s">
        <v>22</v>
      </c>
      <c r="F9931" s="4" t="s">
        <v>50343</v>
      </c>
      <c r="G9931" s="4" t="s">
        <v>50344</v>
      </c>
      <c r="H9931" s="3" t="s">
        <v>46910</v>
      </c>
      <c r="I9931" s="3" t="s">
        <v>688</v>
      </c>
      <c r="J9931" s="3" t="s">
        <v>50349</v>
      </c>
      <c r="K9931" s="3" t="s">
        <v>50350</v>
      </c>
      <c r="L9931" s="3"/>
      <c r="M9931" s="4"/>
      <c r="N9931" s="3" t="s">
        <v>37</v>
      </c>
      <c r="O9931" s="3" t="s">
        <v>38</v>
      </c>
      <c r="P9931" s="5">
        <v>11</v>
      </c>
      <c r="Q9931" s="5">
        <v>203</v>
      </c>
      <c r="R9931" s="5">
        <v>11</v>
      </c>
      <c r="S9931" s="5">
        <v>202</v>
      </c>
    </row>
    <row r="9932" spans="1:19" ht="28" x14ac:dyDescent="0.15">
      <c r="A9932" s="2">
        <f>HYPERLINK("https://open-school.uspishnemisto.com.ua/school/510765/", 510765)</f>
        <v>510765</v>
      </c>
      <c r="B9932" s="3" t="s">
        <v>50351</v>
      </c>
      <c r="C9932" s="3" t="s">
        <v>31</v>
      </c>
      <c r="D9932" s="3" t="s">
        <v>32</v>
      </c>
      <c r="E9932" s="4" t="s">
        <v>22</v>
      </c>
      <c r="F9932" s="4" t="s">
        <v>50352</v>
      </c>
      <c r="G9932" s="4" t="s">
        <v>50353</v>
      </c>
      <c r="H9932" s="3" t="s">
        <v>46910</v>
      </c>
      <c r="I9932" s="3" t="s">
        <v>50354</v>
      </c>
      <c r="J9932" s="3" t="s">
        <v>50355</v>
      </c>
      <c r="K9932" s="3" t="s">
        <v>50356</v>
      </c>
      <c r="L9932" s="3"/>
      <c r="M9932" s="4"/>
      <c r="N9932" s="3" t="s">
        <v>37</v>
      </c>
      <c r="O9932" s="3" t="s">
        <v>70</v>
      </c>
      <c r="P9932" s="5">
        <v>10</v>
      </c>
      <c r="Q9932" s="5">
        <v>169</v>
      </c>
      <c r="R9932" s="5">
        <v>11</v>
      </c>
      <c r="S9932" s="5">
        <v>167</v>
      </c>
    </row>
    <row r="9933" spans="1:19" ht="28" x14ac:dyDescent="0.15">
      <c r="A9933" s="2">
        <f>HYPERLINK("https://open-school.uspishnemisto.com.ua/school/510766/", 510766)</f>
        <v>510766</v>
      </c>
      <c r="B9933" s="3" t="s">
        <v>50357</v>
      </c>
      <c r="C9933" s="3" t="s">
        <v>31</v>
      </c>
      <c r="D9933" s="3" t="s">
        <v>32</v>
      </c>
      <c r="E9933" s="4" t="s">
        <v>22</v>
      </c>
      <c r="F9933" s="4" t="s">
        <v>50358</v>
      </c>
      <c r="G9933" s="4" t="s">
        <v>50359</v>
      </c>
      <c r="H9933" s="3" t="s">
        <v>46910</v>
      </c>
      <c r="I9933" s="3" t="s">
        <v>50360</v>
      </c>
      <c r="J9933" s="3" t="s">
        <v>50361</v>
      </c>
      <c r="K9933" s="3" t="s">
        <v>50362</v>
      </c>
      <c r="L9933" s="3"/>
      <c r="M9933" s="4"/>
      <c r="N9933" s="3" t="s">
        <v>37</v>
      </c>
      <c r="O9933" s="3" t="s">
        <v>38</v>
      </c>
      <c r="P9933" s="5">
        <v>11</v>
      </c>
      <c r="Q9933" s="5">
        <v>115</v>
      </c>
      <c r="R9933" s="5">
        <v>11</v>
      </c>
      <c r="S9933" s="5">
        <v>117</v>
      </c>
    </row>
    <row r="9934" spans="1:19" ht="42" x14ac:dyDescent="0.15">
      <c r="A9934" s="2">
        <f>HYPERLINK("https://open-school.uspishnemisto.com.ua/school/510767/", 510767)</f>
        <v>510767</v>
      </c>
      <c r="B9934" s="3" t="s">
        <v>50363</v>
      </c>
      <c r="C9934" s="3" t="s">
        <v>54</v>
      </c>
      <c r="D9934" s="3" t="s">
        <v>32</v>
      </c>
      <c r="E9934" s="4" t="s">
        <v>22</v>
      </c>
      <c r="F9934" s="4" t="s">
        <v>50364</v>
      </c>
      <c r="G9934" s="4" t="s">
        <v>50365</v>
      </c>
      <c r="H9934" s="3" t="s">
        <v>46910</v>
      </c>
      <c r="I9934" s="3" t="s">
        <v>2900</v>
      </c>
      <c r="J9934" s="3" t="s">
        <v>24658</v>
      </c>
      <c r="K9934" s="3" t="s">
        <v>50366</v>
      </c>
      <c r="L9934" s="3"/>
      <c r="M9934" s="4" t="s">
        <v>50367</v>
      </c>
      <c r="N9934" s="3" t="s">
        <v>48230</v>
      </c>
      <c r="O9934" s="3" t="s">
        <v>48990</v>
      </c>
      <c r="P9934" s="5">
        <v>22</v>
      </c>
      <c r="Q9934" s="5">
        <v>364</v>
      </c>
      <c r="R9934" s="5">
        <v>22</v>
      </c>
      <c r="S9934" s="5">
        <v>351</v>
      </c>
    </row>
    <row r="9935" spans="1:19" ht="28" x14ac:dyDescent="0.15">
      <c r="A9935" s="2">
        <f>HYPERLINK("https://open-school.uspishnemisto.com.ua/school/510768/", 510768)</f>
        <v>510768</v>
      </c>
      <c r="B9935" s="3" t="s">
        <v>50368</v>
      </c>
      <c r="C9935" s="3" t="s">
        <v>54</v>
      </c>
      <c r="D9935" s="3" t="s">
        <v>32</v>
      </c>
      <c r="E9935" s="4" t="s">
        <v>22</v>
      </c>
      <c r="F9935" s="4" t="s">
        <v>50369</v>
      </c>
      <c r="G9935" s="4" t="s">
        <v>50370</v>
      </c>
      <c r="H9935" s="3" t="s">
        <v>46910</v>
      </c>
      <c r="I9935" s="3" t="s">
        <v>12423</v>
      </c>
      <c r="J9935" s="3" t="s">
        <v>50371</v>
      </c>
      <c r="K9935" s="3" t="s">
        <v>50372</v>
      </c>
      <c r="L9935" s="3"/>
      <c r="M9935" s="4"/>
      <c r="N9935" s="3" t="s">
        <v>967</v>
      </c>
      <c r="O9935" s="3" t="s">
        <v>618</v>
      </c>
      <c r="P9935" s="5">
        <v>11</v>
      </c>
      <c r="Q9935" s="5">
        <v>159</v>
      </c>
      <c r="R9935" s="5">
        <v>11</v>
      </c>
      <c r="S9935" s="5">
        <v>147</v>
      </c>
    </row>
    <row r="9936" spans="1:19" ht="28" x14ac:dyDescent="0.15">
      <c r="A9936" s="2">
        <f>HYPERLINK("https://open-school.uspishnemisto.com.ua/school/510769/", 510769)</f>
        <v>510769</v>
      </c>
      <c r="B9936" s="3" t="s">
        <v>50373</v>
      </c>
      <c r="C9936" s="3" t="s">
        <v>31</v>
      </c>
      <c r="D9936" s="3" t="s">
        <v>32</v>
      </c>
      <c r="E9936" s="4" t="s">
        <v>22</v>
      </c>
      <c r="F9936" s="4" t="s">
        <v>50374</v>
      </c>
      <c r="G9936" s="4" t="s">
        <v>50375</v>
      </c>
      <c r="H9936" s="3" t="s">
        <v>46910</v>
      </c>
      <c r="I9936" s="3" t="s">
        <v>50376</v>
      </c>
      <c r="J9936" s="3" t="s">
        <v>50377</v>
      </c>
      <c r="K9936" s="3" t="s">
        <v>50378</v>
      </c>
      <c r="L9936" s="3"/>
      <c r="M9936" s="4" t="s">
        <v>50379</v>
      </c>
      <c r="N9936" s="3" t="s">
        <v>37</v>
      </c>
      <c r="O9936" s="3" t="s">
        <v>70</v>
      </c>
      <c r="P9936" s="5">
        <v>13</v>
      </c>
      <c r="Q9936" s="5">
        <v>240</v>
      </c>
      <c r="R9936" s="5">
        <v>13</v>
      </c>
      <c r="S9936" s="5">
        <v>246</v>
      </c>
    </row>
    <row r="9937" spans="1:19" ht="56" x14ac:dyDescent="0.15">
      <c r="A9937" s="2">
        <f>HYPERLINK("https://open-school.uspishnemisto.com.ua/school/510770/", 510770)</f>
        <v>510770</v>
      </c>
      <c r="B9937" s="3" t="s">
        <v>50380</v>
      </c>
      <c r="C9937" s="3" t="s">
        <v>54</v>
      </c>
      <c r="D9937" s="3" t="s">
        <v>175</v>
      </c>
      <c r="E9937" s="4" t="s">
        <v>22</v>
      </c>
      <c r="F9937" s="4" t="s">
        <v>50374</v>
      </c>
      <c r="G9937" s="4" t="s">
        <v>50375</v>
      </c>
      <c r="H9937" s="3" t="s">
        <v>46910</v>
      </c>
      <c r="I9937" s="3" t="s">
        <v>50376</v>
      </c>
      <c r="J9937" s="3" t="s">
        <v>50381</v>
      </c>
      <c r="K9937" s="3" t="s">
        <v>50382</v>
      </c>
      <c r="L9937" s="3"/>
      <c r="M9937" s="4"/>
      <c r="N9937" s="3" t="s">
        <v>37</v>
      </c>
      <c r="O9937" s="3" t="s">
        <v>38</v>
      </c>
      <c r="P9937" s="5">
        <v>9</v>
      </c>
      <c r="Q9937" s="5">
        <v>72</v>
      </c>
      <c r="R9937" s="5">
        <v>9</v>
      </c>
      <c r="S9937" s="5">
        <v>76</v>
      </c>
    </row>
    <row r="9938" spans="1:19" ht="28" x14ac:dyDescent="0.15">
      <c r="A9938" s="2">
        <f>HYPERLINK("https://open-school.uspishnemisto.com.ua/school/510771/", 510771)</f>
        <v>510771</v>
      </c>
      <c r="B9938" s="3" t="s">
        <v>50383</v>
      </c>
      <c r="C9938" s="3" t="s">
        <v>54</v>
      </c>
      <c r="D9938" s="3" t="s">
        <v>32</v>
      </c>
      <c r="E9938" s="4" t="s">
        <v>22</v>
      </c>
      <c r="F9938" s="4" t="s">
        <v>50374</v>
      </c>
      <c r="G9938" s="4" t="s">
        <v>50375</v>
      </c>
      <c r="H9938" s="3" t="s">
        <v>46910</v>
      </c>
      <c r="I9938" s="3" t="s">
        <v>50376</v>
      </c>
      <c r="J9938" s="3" t="s">
        <v>1564</v>
      </c>
      <c r="K9938" s="3" t="s">
        <v>50384</v>
      </c>
      <c r="L9938" s="3"/>
      <c r="M9938" s="4" t="s">
        <v>50385</v>
      </c>
      <c r="N9938" s="3" t="s">
        <v>37</v>
      </c>
      <c r="O9938" s="3" t="s">
        <v>46</v>
      </c>
      <c r="P9938" s="5">
        <v>11</v>
      </c>
      <c r="Q9938" s="5">
        <v>155</v>
      </c>
      <c r="R9938" s="5">
        <v>11</v>
      </c>
      <c r="S9938" s="5">
        <v>156</v>
      </c>
    </row>
    <row r="9939" spans="1:19" ht="28" x14ac:dyDescent="0.15">
      <c r="A9939" s="2">
        <f>HYPERLINK("https://open-school.uspishnemisto.com.ua/school/510772/", 510772)</f>
        <v>510772</v>
      </c>
      <c r="B9939" s="3" t="s">
        <v>50386</v>
      </c>
      <c r="C9939" s="3" t="s">
        <v>31</v>
      </c>
      <c r="D9939" s="3" t="s">
        <v>175</v>
      </c>
      <c r="E9939" s="4" t="s">
        <v>22</v>
      </c>
      <c r="F9939" s="4" t="s">
        <v>50387</v>
      </c>
      <c r="G9939" s="4" t="s">
        <v>50388</v>
      </c>
      <c r="H9939" s="3" t="s">
        <v>46910</v>
      </c>
      <c r="I9939" s="3" t="s">
        <v>24597</v>
      </c>
      <c r="J9939" s="3" t="s">
        <v>26366</v>
      </c>
      <c r="K9939" s="3" t="s">
        <v>50389</v>
      </c>
      <c r="L9939" s="3"/>
      <c r="M9939" s="4"/>
      <c r="N9939" s="3" t="s">
        <v>37</v>
      </c>
      <c r="O9939" s="3" t="s">
        <v>38</v>
      </c>
      <c r="P9939" s="5">
        <v>8</v>
      </c>
      <c r="Q9939" s="5">
        <v>56</v>
      </c>
      <c r="R9939" s="5">
        <v>11</v>
      </c>
      <c r="S9939" s="5">
        <v>79</v>
      </c>
    </row>
    <row r="9940" spans="1:19" ht="28" x14ac:dyDescent="0.15">
      <c r="A9940" s="2">
        <f>HYPERLINK("https://open-school.uspishnemisto.com.ua/school/510773/", 510773)</f>
        <v>510773</v>
      </c>
      <c r="B9940" s="3" t="s">
        <v>50390</v>
      </c>
      <c r="C9940" s="3" t="s">
        <v>31</v>
      </c>
      <c r="D9940" s="3" t="s">
        <v>32</v>
      </c>
      <c r="E9940" s="4" t="s">
        <v>22</v>
      </c>
      <c r="F9940" s="4" t="s">
        <v>50391</v>
      </c>
      <c r="G9940" s="4" t="s">
        <v>50392</v>
      </c>
      <c r="H9940" s="3" t="s">
        <v>46910</v>
      </c>
      <c r="I9940" s="3" t="s">
        <v>50393</v>
      </c>
      <c r="J9940" s="3" t="s">
        <v>627</v>
      </c>
      <c r="K9940" s="3" t="s">
        <v>50394</v>
      </c>
      <c r="L9940" s="3"/>
      <c r="M9940" s="4"/>
      <c r="N9940" s="3" t="s">
        <v>37</v>
      </c>
      <c r="O9940" s="3" t="s">
        <v>46</v>
      </c>
      <c r="P9940" s="5">
        <v>11</v>
      </c>
      <c r="Q9940" s="5">
        <v>150</v>
      </c>
      <c r="R9940" s="5">
        <v>11</v>
      </c>
      <c r="S9940" s="5">
        <v>153</v>
      </c>
    </row>
    <row r="9941" spans="1:19" ht="28" x14ac:dyDescent="0.15">
      <c r="A9941" s="2">
        <f>HYPERLINK("https://open-school.uspishnemisto.com.ua/school/510774/", 510774)</f>
        <v>510774</v>
      </c>
      <c r="B9941" s="3" t="s">
        <v>50395</v>
      </c>
      <c r="C9941" s="3" t="s">
        <v>31</v>
      </c>
      <c r="D9941" s="3" t="s">
        <v>175</v>
      </c>
      <c r="E9941" s="4" t="s">
        <v>22</v>
      </c>
      <c r="F9941" s="4" t="s">
        <v>50396</v>
      </c>
      <c r="G9941" s="4" t="s">
        <v>50397</v>
      </c>
      <c r="H9941" s="3" t="s">
        <v>46910</v>
      </c>
      <c r="I9941" s="3" t="s">
        <v>25835</v>
      </c>
      <c r="J9941" s="3" t="s">
        <v>17503</v>
      </c>
      <c r="K9941" s="3" t="s">
        <v>50398</v>
      </c>
      <c r="L9941" s="3"/>
      <c r="M9941" s="4"/>
      <c r="N9941" s="3" t="s">
        <v>37</v>
      </c>
      <c r="O9941" s="3" t="s">
        <v>38</v>
      </c>
      <c r="P9941" s="5">
        <v>9</v>
      </c>
      <c r="Q9941" s="5">
        <v>76</v>
      </c>
      <c r="R9941" s="5">
        <v>9</v>
      </c>
      <c r="S9941" s="5">
        <v>74</v>
      </c>
    </row>
    <row r="9942" spans="1:19" ht="28" x14ac:dyDescent="0.15">
      <c r="A9942" s="2">
        <f>HYPERLINK("https://open-school.uspishnemisto.com.ua/school/510775/", 510775)</f>
        <v>510775</v>
      </c>
      <c r="B9942" s="3" t="s">
        <v>50399</v>
      </c>
      <c r="C9942" s="3" t="s">
        <v>31</v>
      </c>
      <c r="D9942" s="3" t="s">
        <v>32</v>
      </c>
      <c r="E9942" s="4" t="s">
        <v>22</v>
      </c>
      <c r="F9942" s="4" t="s">
        <v>50400</v>
      </c>
      <c r="G9942" s="4" t="s">
        <v>50401</v>
      </c>
      <c r="H9942" s="3" t="s">
        <v>46910</v>
      </c>
      <c r="I9942" s="3" t="s">
        <v>13213</v>
      </c>
      <c r="J9942" s="3" t="s">
        <v>2795</v>
      </c>
      <c r="K9942" s="3"/>
      <c r="L9942" s="3"/>
      <c r="M9942" s="4"/>
      <c r="N9942" s="3" t="s">
        <v>37</v>
      </c>
      <c r="O9942" s="3" t="s">
        <v>38</v>
      </c>
      <c r="P9942" s="5">
        <v>11</v>
      </c>
      <c r="Q9942" s="5">
        <v>151</v>
      </c>
      <c r="R9942" s="5">
        <v>11</v>
      </c>
      <c r="S9942" s="5">
        <v>152</v>
      </c>
    </row>
    <row r="9943" spans="1:19" ht="28" x14ac:dyDescent="0.15">
      <c r="A9943" s="2">
        <f>HYPERLINK("https://open-school.uspishnemisto.com.ua/school/510776/", 510776)</f>
        <v>510776</v>
      </c>
      <c r="B9943" s="3" t="s">
        <v>50402</v>
      </c>
      <c r="C9943" s="3" t="s">
        <v>31</v>
      </c>
      <c r="D9943" s="3" t="s">
        <v>32</v>
      </c>
      <c r="E9943" s="4" t="s">
        <v>22</v>
      </c>
      <c r="F9943" s="4" t="s">
        <v>50403</v>
      </c>
      <c r="G9943" s="4" t="s">
        <v>50404</v>
      </c>
      <c r="H9943" s="3" t="s">
        <v>46910</v>
      </c>
      <c r="I9943" s="3" t="s">
        <v>5674</v>
      </c>
      <c r="J9943" s="3" t="s">
        <v>2434</v>
      </c>
      <c r="K9943" s="3" t="s">
        <v>50405</v>
      </c>
      <c r="L9943" s="3"/>
      <c r="M9943" s="4" t="s">
        <v>50406</v>
      </c>
      <c r="N9943" s="3" t="s">
        <v>48230</v>
      </c>
      <c r="O9943" s="3" t="s">
        <v>48990</v>
      </c>
      <c r="P9943" s="5">
        <v>19</v>
      </c>
      <c r="Q9943" s="5">
        <v>244</v>
      </c>
      <c r="R9943" s="5">
        <v>19</v>
      </c>
      <c r="S9943" s="5">
        <v>230</v>
      </c>
    </row>
    <row r="9944" spans="1:19" ht="28" x14ac:dyDescent="0.15">
      <c r="A9944" s="2">
        <f>HYPERLINK("https://open-school.uspishnemisto.com.ua/school/510777/", 510777)</f>
        <v>510777</v>
      </c>
      <c r="B9944" s="3" t="s">
        <v>50407</v>
      </c>
      <c r="C9944" s="3" t="s">
        <v>31</v>
      </c>
      <c r="D9944" s="3" t="s">
        <v>32</v>
      </c>
      <c r="E9944" s="4" t="s">
        <v>22</v>
      </c>
      <c r="F9944" s="4" t="s">
        <v>50408</v>
      </c>
      <c r="G9944" s="4" t="s">
        <v>50409</v>
      </c>
      <c r="H9944" s="3" t="s">
        <v>46910</v>
      </c>
      <c r="I9944" s="3" t="s">
        <v>16056</v>
      </c>
      <c r="J9944" s="3" t="s">
        <v>50410</v>
      </c>
      <c r="K9944" s="3" t="s">
        <v>50411</v>
      </c>
      <c r="L9944" s="3"/>
      <c r="M9944" s="4"/>
      <c r="N9944" s="3" t="s">
        <v>37</v>
      </c>
      <c r="O9944" s="3" t="s">
        <v>38</v>
      </c>
      <c r="P9944" s="5">
        <v>11</v>
      </c>
      <c r="Q9944" s="5">
        <v>205</v>
      </c>
      <c r="R9944" s="5">
        <v>10</v>
      </c>
      <c r="S9944" s="5">
        <v>209</v>
      </c>
    </row>
    <row r="9945" spans="1:19" ht="56" x14ac:dyDescent="0.15">
      <c r="A9945" s="2">
        <f>HYPERLINK("https://open-school.uspishnemisto.com.ua/school/510778/", 510778)</f>
        <v>510778</v>
      </c>
      <c r="B9945" s="3" t="s">
        <v>50412</v>
      </c>
      <c r="C9945" s="3" t="s">
        <v>31</v>
      </c>
      <c r="D9945" s="3" t="s">
        <v>32</v>
      </c>
      <c r="E9945" s="4" t="s">
        <v>22</v>
      </c>
      <c r="F9945" s="4" t="s">
        <v>50413</v>
      </c>
      <c r="G9945" s="4" t="s">
        <v>50414</v>
      </c>
      <c r="H9945" s="3" t="s">
        <v>46910</v>
      </c>
      <c r="I9945" s="3" t="s">
        <v>50415</v>
      </c>
      <c r="J9945" s="3" t="s">
        <v>42390</v>
      </c>
      <c r="K9945" s="3" t="s">
        <v>50416</v>
      </c>
      <c r="L9945" s="3"/>
      <c r="M9945" s="4"/>
      <c r="N9945" s="3" t="s">
        <v>37</v>
      </c>
      <c r="O9945" s="3" t="s">
        <v>38</v>
      </c>
      <c r="P9945" s="5">
        <v>13</v>
      </c>
      <c r="Q9945" s="5">
        <v>249</v>
      </c>
      <c r="R9945" s="5">
        <v>11</v>
      </c>
      <c r="S9945" s="5">
        <v>226</v>
      </c>
    </row>
    <row r="9946" spans="1:19" ht="28" x14ac:dyDescent="0.15">
      <c r="A9946" s="2">
        <f>HYPERLINK("https://open-school.uspishnemisto.com.ua/school/510779/", 510779)</f>
        <v>510779</v>
      </c>
      <c r="B9946" s="3" t="s">
        <v>50417</v>
      </c>
      <c r="C9946" s="3" t="s">
        <v>31</v>
      </c>
      <c r="D9946" s="3" t="s">
        <v>60</v>
      </c>
      <c r="E9946" s="4" t="s">
        <v>22</v>
      </c>
      <c r="F9946" s="4" t="s">
        <v>50418</v>
      </c>
      <c r="G9946" s="4" t="s">
        <v>50419</v>
      </c>
      <c r="H9946" s="3" t="s">
        <v>46910</v>
      </c>
      <c r="I9946" s="3" t="s">
        <v>32103</v>
      </c>
      <c r="J9946" s="3" t="s">
        <v>12836</v>
      </c>
      <c r="K9946" s="3"/>
      <c r="L9946" s="3"/>
      <c r="M9946" s="4"/>
      <c r="N9946" s="3" t="s">
        <v>37</v>
      </c>
      <c r="O9946" s="3" t="s">
        <v>52</v>
      </c>
      <c r="P9946" s="5">
        <v>3</v>
      </c>
      <c r="Q9946" s="5">
        <v>21</v>
      </c>
      <c r="R9946" s="5">
        <v>3</v>
      </c>
      <c r="S9946" s="5">
        <v>28</v>
      </c>
    </row>
    <row r="9947" spans="1:19" ht="28" x14ac:dyDescent="0.15">
      <c r="A9947" s="2">
        <f>HYPERLINK("https://open-school.uspishnemisto.com.ua/school/510780/", 510780)</f>
        <v>510780</v>
      </c>
      <c r="B9947" s="3" t="s">
        <v>50420</v>
      </c>
      <c r="C9947" s="3" t="s">
        <v>31</v>
      </c>
      <c r="D9947" s="3" t="s">
        <v>32</v>
      </c>
      <c r="E9947" s="4" t="s">
        <v>22</v>
      </c>
      <c r="F9947" s="4" t="s">
        <v>50421</v>
      </c>
      <c r="G9947" s="4" t="s">
        <v>50422</v>
      </c>
      <c r="H9947" s="3" t="s">
        <v>46910</v>
      </c>
      <c r="I9947" s="3" t="s">
        <v>50423</v>
      </c>
      <c r="J9947" s="3" t="s">
        <v>8049</v>
      </c>
      <c r="K9947" s="3" t="s">
        <v>50424</v>
      </c>
      <c r="L9947" s="3"/>
      <c r="M9947" s="4"/>
      <c r="N9947" s="3" t="s">
        <v>37</v>
      </c>
      <c r="O9947" s="3" t="s">
        <v>721</v>
      </c>
      <c r="P9947" s="5">
        <v>11</v>
      </c>
      <c r="Q9947" s="5">
        <v>162</v>
      </c>
      <c r="R9947" s="5">
        <v>11</v>
      </c>
      <c r="S9947" s="5">
        <v>154</v>
      </c>
    </row>
    <row r="9948" spans="1:19" ht="42" x14ac:dyDescent="0.15">
      <c r="A9948" s="2">
        <f>HYPERLINK("https://open-school.uspishnemisto.com.ua/school/510781/", 510781)</f>
        <v>510781</v>
      </c>
      <c r="B9948" s="3" t="s">
        <v>50425</v>
      </c>
      <c r="C9948" s="3" t="s">
        <v>54</v>
      </c>
      <c r="D9948" s="3" t="s">
        <v>32</v>
      </c>
      <c r="E9948" s="4" t="s">
        <v>22</v>
      </c>
      <c r="F9948" s="4" t="s">
        <v>50426</v>
      </c>
      <c r="G9948" s="4" t="s">
        <v>50427</v>
      </c>
      <c r="H9948" s="3" t="s">
        <v>46910</v>
      </c>
      <c r="I9948" s="3" t="s">
        <v>50428</v>
      </c>
      <c r="J9948" s="3" t="s">
        <v>8254</v>
      </c>
      <c r="K9948" s="3" t="s">
        <v>50429</v>
      </c>
      <c r="L9948" s="3"/>
      <c r="M9948" s="4" t="s">
        <v>50430</v>
      </c>
      <c r="N9948" s="3" t="s">
        <v>128</v>
      </c>
      <c r="O9948" s="3" t="s">
        <v>70</v>
      </c>
      <c r="P9948" s="5">
        <v>30</v>
      </c>
      <c r="Q9948" s="5">
        <v>633</v>
      </c>
      <c r="R9948" s="5">
        <v>31</v>
      </c>
      <c r="S9948" s="5">
        <v>628</v>
      </c>
    </row>
    <row r="9949" spans="1:19" ht="56" x14ac:dyDescent="0.15">
      <c r="A9949" s="2">
        <f>HYPERLINK("https://open-school.uspishnemisto.com.ua/school/510782/", 510782)</f>
        <v>510782</v>
      </c>
      <c r="B9949" s="3" t="s">
        <v>50431</v>
      </c>
      <c r="C9949" s="3" t="s">
        <v>54</v>
      </c>
      <c r="D9949" s="3" t="s">
        <v>32</v>
      </c>
      <c r="E9949" s="4" t="s">
        <v>22</v>
      </c>
      <c r="F9949" s="4" t="s">
        <v>50432</v>
      </c>
      <c r="G9949" s="4" t="s">
        <v>50433</v>
      </c>
      <c r="H9949" s="3" t="s">
        <v>46910</v>
      </c>
      <c r="I9949" s="3" t="s">
        <v>50434</v>
      </c>
      <c r="J9949" s="3" t="s">
        <v>7647</v>
      </c>
      <c r="K9949" s="3" t="s">
        <v>50435</v>
      </c>
      <c r="L9949" s="3"/>
      <c r="M9949" s="4" t="s">
        <v>50436</v>
      </c>
      <c r="N9949" s="3" t="s">
        <v>37</v>
      </c>
      <c r="O9949" s="3" t="s">
        <v>38</v>
      </c>
      <c r="P9949" s="5">
        <v>20</v>
      </c>
      <c r="Q9949" s="5">
        <v>387</v>
      </c>
      <c r="R9949" s="5">
        <v>19</v>
      </c>
      <c r="S9949" s="5">
        <v>394</v>
      </c>
    </row>
    <row r="9950" spans="1:19" ht="56" x14ac:dyDescent="0.15">
      <c r="A9950" s="2">
        <f>HYPERLINK("https://open-school.uspishnemisto.com.ua/school/510783/", 510783)</f>
        <v>510783</v>
      </c>
      <c r="B9950" s="3" t="s">
        <v>50437</v>
      </c>
      <c r="C9950" s="3" t="s">
        <v>54</v>
      </c>
      <c r="D9950" s="3" t="s">
        <v>32</v>
      </c>
      <c r="E9950" s="4" t="s">
        <v>22</v>
      </c>
      <c r="F9950" s="4" t="s">
        <v>50438</v>
      </c>
      <c r="G9950" s="4" t="s">
        <v>50439</v>
      </c>
      <c r="H9950" s="3" t="s">
        <v>46910</v>
      </c>
      <c r="I9950" s="3" t="s">
        <v>50440</v>
      </c>
      <c r="J9950" s="3" t="s">
        <v>50441</v>
      </c>
      <c r="K9950" s="3" t="s">
        <v>50442</v>
      </c>
      <c r="L9950" s="3"/>
      <c r="M9950" s="4"/>
      <c r="N9950" s="3" t="s">
        <v>37</v>
      </c>
      <c r="O9950" s="3" t="s">
        <v>70</v>
      </c>
      <c r="P9950" s="5">
        <v>11</v>
      </c>
      <c r="Q9950" s="5">
        <v>134</v>
      </c>
      <c r="R9950" s="5">
        <v>11</v>
      </c>
      <c r="S9950" s="5">
        <v>137</v>
      </c>
    </row>
    <row r="9951" spans="1:19" ht="42" x14ac:dyDescent="0.15">
      <c r="A9951" s="2">
        <f>HYPERLINK("https://open-school.uspishnemisto.com.ua/school/510784/", 510784)</f>
        <v>510784</v>
      </c>
      <c r="B9951" s="3" t="s">
        <v>50443</v>
      </c>
      <c r="C9951" s="3" t="s">
        <v>54</v>
      </c>
      <c r="D9951" s="3" t="s">
        <v>32</v>
      </c>
      <c r="E9951" s="4" t="s">
        <v>22</v>
      </c>
      <c r="F9951" s="4" t="s">
        <v>50444</v>
      </c>
      <c r="G9951" s="4" t="s">
        <v>50445</v>
      </c>
      <c r="H9951" s="3" t="s">
        <v>46910</v>
      </c>
      <c r="I9951" s="3" t="s">
        <v>50446</v>
      </c>
      <c r="J9951" s="3" t="s">
        <v>50447</v>
      </c>
      <c r="K9951" s="3" t="s">
        <v>50448</v>
      </c>
      <c r="L9951" s="3"/>
      <c r="M9951" s="4"/>
      <c r="N9951" s="3" t="s">
        <v>37</v>
      </c>
      <c r="O9951" s="3" t="s">
        <v>38</v>
      </c>
      <c r="P9951" s="5">
        <v>10</v>
      </c>
      <c r="Q9951" s="5">
        <v>168</v>
      </c>
      <c r="R9951" s="5">
        <v>10</v>
      </c>
      <c r="S9951" s="5">
        <v>164</v>
      </c>
    </row>
    <row r="9952" spans="1:19" ht="56" x14ac:dyDescent="0.15">
      <c r="A9952" s="2">
        <f>HYPERLINK("https://open-school.uspishnemisto.com.ua/school/510785/", 510785)</f>
        <v>510785</v>
      </c>
      <c r="B9952" s="3" t="s">
        <v>50449</v>
      </c>
      <c r="C9952" s="3" t="s">
        <v>54</v>
      </c>
      <c r="D9952" s="3" t="s">
        <v>32</v>
      </c>
      <c r="E9952" s="4" t="s">
        <v>22</v>
      </c>
      <c r="F9952" s="4" t="s">
        <v>50450</v>
      </c>
      <c r="G9952" s="4" t="s">
        <v>50451</v>
      </c>
      <c r="H9952" s="3" t="s">
        <v>46910</v>
      </c>
      <c r="I9952" s="3" t="s">
        <v>1291</v>
      </c>
      <c r="J9952" s="3" t="s">
        <v>50452</v>
      </c>
      <c r="K9952" s="3" t="s">
        <v>50453</v>
      </c>
      <c r="L9952" s="3"/>
      <c r="M9952" s="4" t="s">
        <v>50454</v>
      </c>
      <c r="N9952" s="3" t="s">
        <v>37</v>
      </c>
      <c r="O9952" s="3" t="s">
        <v>112</v>
      </c>
      <c r="P9952" s="5">
        <v>11</v>
      </c>
      <c r="Q9952" s="5">
        <v>183</v>
      </c>
      <c r="R9952" s="5">
        <v>11</v>
      </c>
      <c r="S9952" s="5">
        <v>196</v>
      </c>
    </row>
    <row r="9953" spans="1:19" ht="56" x14ac:dyDescent="0.15">
      <c r="A9953" s="2">
        <f>HYPERLINK("https://open-school.uspishnemisto.com.ua/school/510786/", 510786)</f>
        <v>510786</v>
      </c>
      <c r="B9953" s="3" t="s">
        <v>50455</v>
      </c>
      <c r="C9953" s="3" t="s">
        <v>54</v>
      </c>
      <c r="D9953" s="3" t="s">
        <v>32</v>
      </c>
      <c r="E9953" s="4" t="s">
        <v>22</v>
      </c>
      <c r="F9953" s="4" t="s">
        <v>50456</v>
      </c>
      <c r="G9953" s="4" t="s">
        <v>50457</v>
      </c>
      <c r="H9953" s="3" t="s">
        <v>46910</v>
      </c>
      <c r="I9953" s="3" t="s">
        <v>50458</v>
      </c>
      <c r="J9953" s="3" t="s">
        <v>50459</v>
      </c>
      <c r="K9953" s="3" t="s">
        <v>50460</v>
      </c>
      <c r="L9953" s="3" t="s">
        <v>50461</v>
      </c>
      <c r="M9953" s="4"/>
      <c r="N9953" s="3" t="s">
        <v>37</v>
      </c>
      <c r="O9953" s="3" t="s">
        <v>38</v>
      </c>
      <c r="P9953" s="5">
        <v>11</v>
      </c>
      <c r="Q9953" s="5">
        <v>96</v>
      </c>
      <c r="R9953" s="5">
        <v>11</v>
      </c>
      <c r="S9953" s="5">
        <v>91</v>
      </c>
    </row>
    <row r="9954" spans="1:19" ht="42" x14ac:dyDescent="0.15">
      <c r="A9954" s="2">
        <f>HYPERLINK("https://open-school.uspishnemisto.com.ua/school/510787/", 510787)</f>
        <v>510787</v>
      </c>
      <c r="B9954" s="3" t="s">
        <v>50462</v>
      </c>
      <c r="C9954" s="3" t="s">
        <v>54</v>
      </c>
      <c r="D9954" s="3" t="s">
        <v>32</v>
      </c>
      <c r="E9954" s="4" t="s">
        <v>22</v>
      </c>
      <c r="F9954" s="4" t="s">
        <v>50463</v>
      </c>
      <c r="G9954" s="4" t="s">
        <v>50464</v>
      </c>
      <c r="H9954" s="3" t="s">
        <v>46910</v>
      </c>
      <c r="I9954" s="3" t="s">
        <v>12777</v>
      </c>
      <c r="J9954" s="3" t="s">
        <v>50465</v>
      </c>
      <c r="K9954" s="3" t="s">
        <v>50466</v>
      </c>
      <c r="L9954" s="3" t="s">
        <v>50467</v>
      </c>
      <c r="M9954" s="4"/>
      <c r="N9954" s="3" t="s">
        <v>37</v>
      </c>
      <c r="O9954" s="3" t="s">
        <v>26431</v>
      </c>
      <c r="P9954" s="5">
        <v>10</v>
      </c>
      <c r="Q9954" s="5">
        <v>100</v>
      </c>
      <c r="R9954" s="5">
        <v>10</v>
      </c>
      <c r="S9954" s="5">
        <v>104</v>
      </c>
    </row>
    <row r="9955" spans="1:19" ht="56" x14ac:dyDescent="0.15">
      <c r="A9955" s="2">
        <f>HYPERLINK("https://open-school.uspishnemisto.com.ua/school/510788/", 510788)</f>
        <v>510788</v>
      </c>
      <c r="B9955" s="3" t="s">
        <v>50468</v>
      </c>
      <c r="C9955" s="3" t="s">
        <v>54</v>
      </c>
      <c r="D9955" s="3" t="s">
        <v>175</v>
      </c>
      <c r="E9955" s="4" t="s">
        <v>22</v>
      </c>
      <c r="F9955" s="4" t="s">
        <v>50469</v>
      </c>
      <c r="G9955" s="4" t="s">
        <v>50470</v>
      </c>
      <c r="H9955" s="3" t="s">
        <v>46910</v>
      </c>
      <c r="I9955" s="3" t="s">
        <v>50471</v>
      </c>
      <c r="J9955" s="3" t="s">
        <v>50472</v>
      </c>
      <c r="K9955" s="3"/>
      <c r="L9955" s="3"/>
      <c r="M9955" s="4"/>
      <c r="N9955" s="3" t="s">
        <v>37</v>
      </c>
      <c r="O9955" s="3" t="s">
        <v>112</v>
      </c>
      <c r="P9955" s="5">
        <v>4</v>
      </c>
      <c r="Q9955" s="5">
        <v>36</v>
      </c>
      <c r="R9955" s="5">
        <v>1</v>
      </c>
      <c r="S9955" s="5">
        <v>5</v>
      </c>
    </row>
    <row r="9956" spans="1:19" ht="56" x14ac:dyDescent="0.15">
      <c r="A9956" s="2">
        <f>HYPERLINK("https://open-school.uspishnemisto.com.ua/school/510789/", 510789)</f>
        <v>510789</v>
      </c>
      <c r="B9956" s="3" t="s">
        <v>50473</v>
      </c>
      <c r="C9956" s="3" t="s">
        <v>54</v>
      </c>
      <c r="D9956" s="3" t="s">
        <v>175</v>
      </c>
      <c r="E9956" s="4" t="s">
        <v>22</v>
      </c>
      <c r="F9956" s="4" t="s">
        <v>50474</v>
      </c>
      <c r="G9956" s="4" t="s">
        <v>50475</v>
      </c>
      <c r="H9956" s="3" t="s">
        <v>46910</v>
      </c>
      <c r="I9956" s="3" t="s">
        <v>11464</v>
      </c>
      <c r="J9956" s="3" t="s">
        <v>50476</v>
      </c>
      <c r="K9956" s="3"/>
      <c r="L9956" s="3"/>
      <c r="M9956" s="4"/>
      <c r="N9956" s="3" t="s">
        <v>37</v>
      </c>
      <c r="O9956" s="3" t="s">
        <v>112</v>
      </c>
      <c r="P9956" s="5">
        <v>3</v>
      </c>
      <c r="Q9956" s="5">
        <v>33</v>
      </c>
      <c r="R9956" s="5">
        <v>7</v>
      </c>
      <c r="S9956" s="5">
        <v>46</v>
      </c>
    </row>
    <row r="9957" spans="1:19" ht="42" x14ac:dyDescent="0.15">
      <c r="A9957" s="2">
        <f>HYPERLINK("https://open-school.uspishnemisto.com.ua/school/510790/", 510790)</f>
        <v>510790</v>
      </c>
      <c r="B9957" s="3" t="s">
        <v>50477</v>
      </c>
      <c r="C9957" s="3" t="s">
        <v>54</v>
      </c>
      <c r="D9957" s="3" t="s">
        <v>32</v>
      </c>
      <c r="E9957" s="4" t="s">
        <v>22</v>
      </c>
      <c r="F9957" s="4" t="s">
        <v>50478</v>
      </c>
      <c r="G9957" s="4" t="s">
        <v>50479</v>
      </c>
      <c r="H9957" s="3" t="s">
        <v>46910</v>
      </c>
      <c r="I9957" s="3" t="s">
        <v>10822</v>
      </c>
      <c r="J9957" s="3" t="s">
        <v>50480</v>
      </c>
      <c r="K9957" s="3" t="s">
        <v>50481</v>
      </c>
      <c r="L9957" s="3"/>
      <c r="M9957" s="4"/>
      <c r="N9957" s="3" t="s">
        <v>37</v>
      </c>
      <c r="O9957" s="3" t="s">
        <v>50482</v>
      </c>
      <c r="P9957" s="5">
        <v>9</v>
      </c>
      <c r="Q9957" s="5">
        <v>85</v>
      </c>
      <c r="R9957" s="5">
        <v>9</v>
      </c>
      <c r="S9957" s="5">
        <v>89</v>
      </c>
    </row>
    <row r="9958" spans="1:19" ht="42" x14ac:dyDescent="0.15">
      <c r="A9958" s="2">
        <f>HYPERLINK("https://open-school.uspishnemisto.com.ua/school/510791/", 510791)</f>
        <v>510791</v>
      </c>
      <c r="B9958" s="3" t="s">
        <v>50483</v>
      </c>
      <c r="C9958" s="3" t="s">
        <v>54</v>
      </c>
      <c r="D9958" s="3" t="s">
        <v>32</v>
      </c>
      <c r="E9958" s="4" t="s">
        <v>22</v>
      </c>
      <c r="F9958" s="4" t="s">
        <v>50484</v>
      </c>
      <c r="G9958" s="4" t="s">
        <v>50485</v>
      </c>
      <c r="H9958" s="3" t="s">
        <v>46910</v>
      </c>
      <c r="I9958" s="3" t="s">
        <v>50486</v>
      </c>
      <c r="J9958" s="3" t="s">
        <v>12525</v>
      </c>
      <c r="K9958" s="3" t="s">
        <v>50487</v>
      </c>
      <c r="L9958" s="3"/>
      <c r="M9958" s="4"/>
      <c r="N9958" s="3" t="s">
        <v>37</v>
      </c>
      <c r="O9958" s="3" t="s">
        <v>38</v>
      </c>
      <c r="P9958" s="5">
        <v>8</v>
      </c>
      <c r="Q9958" s="5">
        <v>111</v>
      </c>
      <c r="R9958" s="5">
        <v>9</v>
      </c>
      <c r="S9958" s="5">
        <v>112</v>
      </c>
    </row>
    <row r="9959" spans="1:19" ht="42" x14ac:dyDescent="0.15">
      <c r="A9959" s="2">
        <f>HYPERLINK("https://open-school.uspishnemisto.com.ua/school/510792/", 510792)</f>
        <v>510792</v>
      </c>
      <c r="B9959" s="3" t="s">
        <v>50488</v>
      </c>
      <c r="C9959" s="3" t="s">
        <v>54</v>
      </c>
      <c r="D9959" s="3" t="s">
        <v>60</v>
      </c>
      <c r="E9959" s="4" t="s">
        <v>22</v>
      </c>
      <c r="F9959" s="4" t="s">
        <v>50484</v>
      </c>
      <c r="G9959" s="4" t="s">
        <v>50489</v>
      </c>
      <c r="H9959" s="3" t="s">
        <v>46910</v>
      </c>
      <c r="I9959" s="3" t="s">
        <v>11128</v>
      </c>
      <c r="J9959" s="3" t="s">
        <v>3363</v>
      </c>
      <c r="K9959" s="3" t="s">
        <v>50490</v>
      </c>
      <c r="L9959" s="3"/>
      <c r="M9959" s="4"/>
      <c r="N9959" s="3" t="s">
        <v>37</v>
      </c>
      <c r="O9959" s="3" t="s">
        <v>38</v>
      </c>
      <c r="P9959" s="5">
        <v>3</v>
      </c>
      <c r="Q9959" s="5">
        <v>21</v>
      </c>
      <c r="R9959" s="5">
        <v>3</v>
      </c>
      <c r="S9959" s="5">
        <v>20</v>
      </c>
    </row>
    <row r="9960" spans="1:19" ht="56" x14ac:dyDescent="0.15">
      <c r="A9960" s="2">
        <f>HYPERLINK("https://open-school.uspishnemisto.com.ua/school/510793/", 510793)</f>
        <v>510793</v>
      </c>
      <c r="B9960" s="3" t="s">
        <v>50491</v>
      </c>
      <c r="C9960" s="3" t="s">
        <v>54</v>
      </c>
      <c r="D9960" s="3" t="s">
        <v>175</v>
      </c>
      <c r="E9960" s="4" t="s">
        <v>22</v>
      </c>
      <c r="F9960" s="4" t="s">
        <v>50492</v>
      </c>
      <c r="G9960" s="4" t="s">
        <v>50489</v>
      </c>
      <c r="H9960" s="3" t="s">
        <v>46910</v>
      </c>
      <c r="I9960" s="3" t="s">
        <v>11128</v>
      </c>
      <c r="J9960" s="3" t="s">
        <v>50493</v>
      </c>
      <c r="K9960" s="3" t="s">
        <v>50494</v>
      </c>
      <c r="L9960" s="3"/>
      <c r="M9960" s="4"/>
      <c r="N9960" s="3" t="s">
        <v>37</v>
      </c>
      <c r="O9960" s="3" t="s">
        <v>38</v>
      </c>
      <c r="P9960" s="5">
        <v>9</v>
      </c>
      <c r="Q9960" s="5">
        <v>89</v>
      </c>
      <c r="R9960" s="5">
        <v>8</v>
      </c>
      <c r="S9960" s="5">
        <v>84</v>
      </c>
    </row>
    <row r="9961" spans="1:19" ht="56" x14ac:dyDescent="0.15">
      <c r="A9961" s="2">
        <f>HYPERLINK("https://open-school.uspishnemisto.com.ua/school/510794/", 510794)</f>
        <v>510794</v>
      </c>
      <c r="B9961" s="3" t="s">
        <v>50495</v>
      </c>
      <c r="C9961" s="3" t="s">
        <v>54</v>
      </c>
      <c r="D9961" s="3" t="s">
        <v>32</v>
      </c>
      <c r="E9961" s="4" t="s">
        <v>22</v>
      </c>
      <c r="F9961" s="4" t="s">
        <v>50496</v>
      </c>
      <c r="G9961" s="4" t="s">
        <v>50497</v>
      </c>
      <c r="H9961" s="3" t="s">
        <v>46910</v>
      </c>
      <c r="I9961" s="3" t="s">
        <v>46808</v>
      </c>
      <c r="J9961" s="3" t="s">
        <v>7581</v>
      </c>
      <c r="K9961" s="3"/>
      <c r="L9961" s="3"/>
      <c r="M9961" s="4"/>
      <c r="N9961" s="3" t="s">
        <v>37</v>
      </c>
      <c r="O9961" s="3" t="s">
        <v>50498</v>
      </c>
      <c r="P9961" s="5">
        <v>11</v>
      </c>
      <c r="Q9961" s="5">
        <v>121</v>
      </c>
      <c r="R9961" s="5">
        <v>10</v>
      </c>
      <c r="S9961" s="5">
        <v>133</v>
      </c>
    </row>
    <row r="9962" spans="1:19" ht="56" x14ac:dyDescent="0.15">
      <c r="A9962" s="2">
        <f>HYPERLINK("https://open-school.uspishnemisto.com.ua/school/510795/", 510795)</f>
        <v>510795</v>
      </c>
      <c r="B9962" s="3" t="s">
        <v>50499</v>
      </c>
      <c r="C9962" s="3" t="s">
        <v>54</v>
      </c>
      <c r="D9962" s="3" t="s">
        <v>60</v>
      </c>
      <c r="E9962" s="4" t="s">
        <v>22</v>
      </c>
      <c r="F9962" s="4" t="s">
        <v>50500</v>
      </c>
      <c r="G9962" s="4" t="s">
        <v>50501</v>
      </c>
      <c r="H9962" s="3" t="s">
        <v>46910</v>
      </c>
      <c r="I9962" s="3" t="s">
        <v>50502</v>
      </c>
      <c r="J9962" s="3" t="s">
        <v>16884</v>
      </c>
      <c r="K9962" s="3" t="s">
        <v>50503</v>
      </c>
      <c r="L9962" s="3"/>
      <c r="M9962" s="4"/>
      <c r="N9962" s="3" t="s">
        <v>37</v>
      </c>
      <c r="O9962" s="3" t="s">
        <v>112</v>
      </c>
      <c r="P9962" s="5">
        <v>2</v>
      </c>
      <c r="Q9962" s="5">
        <v>16</v>
      </c>
      <c r="R9962" s="5">
        <v>1</v>
      </c>
      <c r="S9962" s="5">
        <v>9</v>
      </c>
    </row>
    <row r="9963" spans="1:19" ht="42" x14ac:dyDescent="0.15">
      <c r="A9963" s="2">
        <f>HYPERLINK("https://open-school.uspishnemisto.com.ua/school/510796/", 510796)</f>
        <v>510796</v>
      </c>
      <c r="B9963" s="3" t="s">
        <v>50504</v>
      </c>
      <c r="C9963" s="3" t="s">
        <v>54</v>
      </c>
      <c r="D9963" s="3" t="s">
        <v>60</v>
      </c>
      <c r="E9963" s="4" t="s">
        <v>22</v>
      </c>
      <c r="F9963" s="4" t="s">
        <v>50505</v>
      </c>
      <c r="G9963" s="4" t="s">
        <v>50506</v>
      </c>
      <c r="H9963" s="3" t="s">
        <v>46910</v>
      </c>
      <c r="I9963" s="3" t="s">
        <v>1883</v>
      </c>
      <c r="J9963" s="3" t="s">
        <v>50507</v>
      </c>
      <c r="K9963" s="3"/>
      <c r="L9963" s="3"/>
      <c r="M9963" s="4"/>
      <c r="N9963" s="3" t="s">
        <v>37</v>
      </c>
      <c r="O9963" s="3" t="s">
        <v>38</v>
      </c>
      <c r="P9963" s="5">
        <v>4</v>
      </c>
      <c r="Q9963" s="5">
        <v>25</v>
      </c>
      <c r="R9963" s="5">
        <v>4</v>
      </c>
      <c r="S9963" s="5">
        <v>25</v>
      </c>
    </row>
    <row r="9964" spans="1:19" ht="56" x14ac:dyDescent="0.15">
      <c r="A9964" s="2">
        <f>HYPERLINK("https://open-school.uspishnemisto.com.ua/school/510797/", 510797)</f>
        <v>510797</v>
      </c>
      <c r="B9964" s="3" t="s">
        <v>50508</v>
      </c>
      <c r="C9964" s="3" t="s">
        <v>54</v>
      </c>
      <c r="D9964" s="3" t="s">
        <v>32</v>
      </c>
      <c r="E9964" s="4" t="s">
        <v>22</v>
      </c>
      <c r="F9964" s="4" t="s">
        <v>50509</v>
      </c>
      <c r="G9964" s="4" t="s">
        <v>50510</v>
      </c>
      <c r="H9964" s="3" t="s">
        <v>46910</v>
      </c>
      <c r="I9964" s="3" t="s">
        <v>4005</v>
      </c>
      <c r="J9964" s="3" t="s">
        <v>946</v>
      </c>
      <c r="K9964" s="3" t="s">
        <v>50511</v>
      </c>
      <c r="L9964" s="3"/>
      <c r="M9964" s="4"/>
      <c r="N9964" s="3" t="s">
        <v>37</v>
      </c>
      <c r="O9964" s="3" t="s">
        <v>38</v>
      </c>
      <c r="P9964" s="5">
        <v>10</v>
      </c>
      <c r="Q9964" s="5">
        <v>118</v>
      </c>
      <c r="R9964" s="5">
        <v>10</v>
      </c>
      <c r="S9964" s="5">
        <v>109</v>
      </c>
    </row>
    <row r="9965" spans="1:19" ht="28" x14ac:dyDescent="0.15">
      <c r="A9965" s="2">
        <f>HYPERLINK("https://open-school.uspishnemisto.com.ua/school/510798/", 510798)</f>
        <v>510798</v>
      </c>
      <c r="B9965" s="3" t="s">
        <v>50512</v>
      </c>
      <c r="C9965" s="3" t="s">
        <v>54</v>
      </c>
      <c r="D9965" s="3" t="s">
        <v>175</v>
      </c>
      <c r="E9965" s="4" t="s">
        <v>22</v>
      </c>
      <c r="F9965" s="4" t="s">
        <v>50513</v>
      </c>
      <c r="G9965" s="4" t="s">
        <v>50514</v>
      </c>
      <c r="H9965" s="3" t="s">
        <v>46910</v>
      </c>
      <c r="I9965" s="3" t="s">
        <v>50515</v>
      </c>
      <c r="J9965" s="3" t="s">
        <v>50516</v>
      </c>
      <c r="K9965" s="3" t="s">
        <v>50517</v>
      </c>
      <c r="L9965" s="3"/>
      <c r="M9965" s="4"/>
      <c r="N9965" s="3" t="s">
        <v>37</v>
      </c>
      <c r="O9965" s="3" t="s">
        <v>112</v>
      </c>
      <c r="P9965" s="5">
        <v>9</v>
      </c>
      <c r="Q9965" s="5">
        <v>81</v>
      </c>
      <c r="R9965" s="5">
        <v>9</v>
      </c>
      <c r="S9965" s="5">
        <v>84</v>
      </c>
    </row>
    <row r="9966" spans="1:19" ht="28" x14ac:dyDescent="0.15">
      <c r="A9966" s="2">
        <f>HYPERLINK("https://open-school.uspishnemisto.com.ua/school/510799/", 510799)</f>
        <v>510799</v>
      </c>
      <c r="B9966" s="3" t="s">
        <v>50518</v>
      </c>
      <c r="C9966" s="3" t="s">
        <v>54</v>
      </c>
      <c r="D9966" s="3" t="s">
        <v>32</v>
      </c>
      <c r="E9966" s="4" t="s">
        <v>22</v>
      </c>
      <c r="F9966" s="4" t="s">
        <v>50519</v>
      </c>
      <c r="G9966" s="4" t="s">
        <v>50520</v>
      </c>
      <c r="H9966" s="3" t="s">
        <v>46910</v>
      </c>
      <c r="I9966" s="3" t="s">
        <v>50521</v>
      </c>
      <c r="J9966" s="3" t="s">
        <v>50522</v>
      </c>
      <c r="K9966" s="3" t="s">
        <v>50523</v>
      </c>
      <c r="L9966" s="3"/>
      <c r="M9966" s="4"/>
      <c r="N9966" s="3" t="s">
        <v>37</v>
      </c>
      <c r="O9966" s="3" t="s">
        <v>38</v>
      </c>
      <c r="P9966" s="5">
        <v>11</v>
      </c>
      <c r="Q9966" s="5">
        <v>141</v>
      </c>
      <c r="R9966" s="5">
        <v>11</v>
      </c>
      <c r="S9966" s="5">
        <v>154</v>
      </c>
    </row>
    <row r="9967" spans="1:19" ht="56" x14ac:dyDescent="0.15">
      <c r="A9967" s="2">
        <f>HYPERLINK("https://open-school.uspishnemisto.com.ua/school/510800/", 510800)</f>
        <v>510800</v>
      </c>
      <c r="B9967" s="3" t="s">
        <v>50524</v>
      </c>
      <c r="C9967" s="3" t="s">
        <v>54</v>
      </c>
      <c r="D9967" s="3" t="s">
        <v>175</v>
      </c>
      <c r="E9967" s="4" t="s">
        <v>22</v>
      </c>
      <c r="F9967" s="4" t="s">
        <v>50525</v>
      </c>
      <c r="G9967" s="4" t="s">
        <v>50526</v>
      </c>
      <c r="H9967" s="3" t="s">
        <v>46910</v>
      </c>
      <c r="I9967" s="3" t="s">
        <v>50527</v>
      </c>
      <c r="J9967" s="3" t="s">
        <v>50528</v>
      </c>
      <c r="K9967" s="3" t="s">
        <v>50529</v>
      </c>
      <c r="L9967" s="3"/>
      <c r="M9967" s="4"/>
      <c r="N9967" s="3" t="s">
        <v>37</v>
      </c>
      <c r="O9967" s="3" t="s">
        <v>70</v>
      </c>
      <c r="P9967" s="5">
        <v>9</v>
      </c>
      <c r="Q9967" s="5">
        <v>71</v>
      </c>
      <c r="R9967" s="5">
        <v>9</v>
      </c>
      <c r="S9967" s="5">
        <v>71</v>
      </c>
    </row>
    <row r="9968" spans="1:19" ht="56" x14ac:dyDescent="0.15">
      <c r="A9968" s="2">
        <f>HYPERLINK("https://open-school.uspishnemisto.com.ua/school/510801/", 510801)</f>
        <v>510801</v>
      </c>
      <c r="B9968" s="3" t="s">
        <v>50530</v>
      </c>
      <c r="C9968" s="3" t="s">
        <v>54</v>
      </c>
      <c r="D9968" s="3" t="s">
        <v>32</v>
      </c>
      <c r="E9968" s="4" t="s">
        <v>22</v>
      </c>
      <c r="F9968" s="4" t="s">
        <v>50505</v>
      </c>
      <c r="G9968" s="4" t="s">
        <v>50531</v>
      </c>
      <c r="H9968" s="3" t="s">
        <v>46910</v>
      </c>
      <c r="I9968" s="3" t="s">
        <v>50532</v>
      </c>
      <c r="J9968" s="3" t="s">
        <v>12466</v>
      </c>
      <c r="K9968" s="3" t="s">
        <v>50533</v>
      </c>
      <c r="L9968" s="3"/>
      <c r="M9968" s="4"/>
      <c r="N9968" s="3" t="s">
        <v>37</v>
      </c>
      <c r="O9968" s="3" t="s">
        <v>48990</v>
      </c>
      <c r="P9968" s="5">
        <v>15</v>
      </c>
      <c r="Q9968" s="5">
        <v>282</v>
      </c>
      <c r="R9968" s="5">
        <v>15</v>
      </c>
      <c r="S9968" s="5">
        <v>280</v>
      </c>
    </row>
    <row r="9969" spans="1:19" ht="42" x14ac:dyDescent="0.15">
      <c r="A9969" s="2">
        <f>HYPERLINK("https://open-school.uspishnemisto.com.ua/school/510802/", 510802)</f>
        <v>510802</v>
      </c>
      <c r="B9969" s="3" t="s">
        <v>50534</v>
      </c>
      <c r="C9969" s="3" t="s">
        <v>54</v>
      </c>
      <c r="D9969" s="3" t="s">
        <v>60</v>
      </c>
      <c r="E9969" s="4" t="s">
        <v>22</v>
      </c>
      <c r="F9969" s="4" t="s">
        <v>50505</v>
      </c>
      <c r="G9969" s="4" t="s">
        <v>50535</v>
      </c>
      <c r="H9969" s="3" t="s">
        <v>46910</v>
      </c>
      <c r="I9969" s="3" t="s">
        <v>50536</v>
      </c>
      <c r="J9969" s="3" t="s">
        <v>479</v>
      </c>
      <c r="K9969" s="3" t="s">
        <v>50537</v>
      </c>
      <c r="L9969" s="3"/>
      <c r="M9969" s="4"/>
      <c r="N9969" s="3" t="s">
        <v>37</v>
      </c>
      <c r="O9969" s="3" t="s">
        <v>48990</v>
      </c>
      <c r="P9969" s="5">
        <v>4</v>
      </c>
      <c r="Q9969" s="5">
        <v>33</v>
      </c>
      <c r="R9969" s="5">
        <v>4</v>
      </c>
      <c r="S9969" s="5">
        <v>26</v>
      </c>
    </row>
    <row r="9970" spans="1:19" ht="28" x14ac:dyDescent="0.15">
      <c r="A9970" s="2">
        <f>HYPERLINK("https://open-school.uspishnemisto.com.ua/school/510803/", 510803)</f>
        <v>510803</v>
      </c>
      <c r="B9970" s="3" t="s">
        <v>50538</v>
      </c>
      <c r="C9970" s="3" t="s">
        <v>54</v>
      </c>
      <c r="D9970" s="3" t="s">
        <v>32</v>
      </c>
      <c r="E9970" s="4" t="s">
        <v>22</v>
      </c>
      <c r="F9970" s="4" t="s">
        <v>50539</v>
      </c>
      <c r="G9970" s="4" t="s">
        <v>50540</v>
      </c>
      <c r="H9970" s="3" t="s">
        <v>46910</v>
      </c>
      <c r="I9970" s="3" t="s">
        <v>1740</v>
      </c>
      <c r="J9970" s="3" t="s">
        <v>466</v>
      </c>
      <c r="K9970" s="3" t="s">
        <v>50541</v>
      </c>
      <c r="L9970" s="3"/>
      <c r="M9970" s="4"/>
      <c r="N9970" s="3" t="s">
        <v>37</v>
      </c>
      <c r="O9970" s="3" t="s">
        <v>112</v>
      </c>
      <c r="P9970" s="5">
        <v>11</v>
      </c>
      <c r="Q9970" s="5">
        <v>218</v>
      </c>
      <c r="R9970" s="5">
        <v>11</v>
      </c>
      <c r="S9970" s="5">
        <v>206</v>
      </c>
    </row>
    <row r="9971" spans="1:19" ht="28" x14ac:dyDescent="0.15">
      <c r="A9971" s="2">
        <f>HYPERLINK("https://open-school.uspishnemisto.com.ua/school/510804/", 510804)</f>
        <v>510804</v>
      </c>
      <c r="B9971" s="3" t="s">
        <v>50542</v>
      </c>
      <c r="C9971" s="3" t="s">
        <v>54</v>
      </c>
      <c r="D9971" s="3" t="s">
        <v>175</v>
      </c>
      <c r="E9971" s="4" t="s">
        <v>22</v>
      </c>
      <c r="F9971" s="4" t="s">
        <v>50543</v>
      </c>
      <c r="G9971" s="4" t="s">
        <v>50544</v>
      </c>
      <c r="H9971" s="3" t="s">
        <v>46910</v>
      </c>
      <c r="I9971" s="3" t="s">
        <v>50545</v>
      </c>
      <c r="J9971" s="3" t="s">
        <v>50546</v>
      </c>
      <c r="K9971" s="3" t="s">
        <v>50547</v>
      </c>
      <c r="L9971" s="3"/>
      <c r="M9971" s="4"/>
      <c r="N9971" s="3" t="s">
        <v>37</v>
      </c>
      <c r="O9971" s="3" t="s">
        <v>112</v>
      </c>
      <c r="P9971" s="5">
        <v>9</v>
      </c>
      <c r="Q9971" s="5">
        <v>131</v>
      </c>
      <c r="R9971" s="5">
        <v>9</v>
      </c>
      <c r="S9971" s="5">
        <v>113</v>
      </c>
    </row>
    <row r="9972" spans="1:19" ht="56" x14ac:dyDescent="0.15">
      <c r="A9972" s="2">
        <f>HYPERLINK("https://open-school.uspishnemisto.com.ua/school/510806/", 510806)</f>
        <v>510806</v>
      </c>
      <c r="B9972" s="3" t="s">
        <v>50548</v>
      </c>
      <c r="C9972" s="3" t="s">
        <v>54</v>
      </c>
      <c r="D9972" s="3" t="s">
        <v>175</v>
      </c>
      <c r="E9972" s="4" t="s">
        <v>22</v>
      </c>
      <c r="F9972" s="4" t="s">
        <v>50549</v>
      </c>
      <c r="G9972" s="4" t="s">
        <v>50550</v>
      </c>
      <c r="H9972" s="3" t="s">
        <v>46910</v>
      </c>
      <c r="I9972" s="3" t="s">
        <v>1752</v>
      </c>
      <c r="J9972" s="3" t="s">
        <v>50551</v>
      </c>
      <c r="K9972" s="3" t="s">
        <v>50552</v>
      </c>
      <c r="L9972" s="3"/>
      <c r="M9972" s="4"/>
      <c r="N9972" s="3" t="s">
        <v>37</v>
      </c>
      <c r="O9972" s="3" t="s">
        <v>38</v>
      </c>
      <c r="P9972" s="5">
        <v>8</v>
      </c>
      <c r="Q9972" s="5">
        <v>70</v>
      </c>
      <c r="R9972" s="5">
        <v>9</v>
      </c>
      <c r="S9972" s="5">
        <v>81</v>
      </c>
    </row>
    <row r="9973" spans="1:19" ht="42" x14ac:dyDescent="0.15">
      <c r="A9973" s="2">
        <f>HYPERLINK("https://open-school.uspishnemisto.com.ua/school/510807/", 510807)</f>
        <v>510807</v>
      </c>
      <c r="B9973" s="3" t="s">
        <v>50553</v>
      </c>
      <c r="C9973" s="3" t="s">
        <v>54</v>
      </c>
      <c r="D9973" s="3" t="s">
        <v>60</v>
      </c>
      <c r="E9973" s="4" t="s">
        <v>22</v>
      </c>
      <c r="F9973" s="4" t="s">
        <v>50549</v>
      </c>
      <c r="G9973" s="4" t="s">
        <v>50554</v>
      </c>
      <c r="H9973" s="3" t="s">
        <v>46910</v>
      </c>
      <c r="I9973" s="3" t="s">
        <v>12383</v>
      </c>
      <c r="J9973" s="3" t="s">
        <v>50555</v>
      </c>
      <c r="K9973" s="3" t="s">
        <v>50556</v>
      </c>
      <c r="L9973" s="3"/>
      <c r="M9973" s="4"/>
      <c r="N9973" s="3" t="s">
        <v>37</v>
      </c>
      <c r="O9973" s="3" t="s">
        <v>38</v>
      </c>
      <c r="P9973" s="5">
        <v>1</v>
      </c>
      <c r="Q9973" s="5">
        <v>13</v>
      </c>
      <c r="R9973" s="5">
        <v>3</v>
      </c>
      <c r="S9973" s="5">
        <v>15</v>
      </c>
    </row>
    <row r="9974" spans="1:19" ht="56" x14ac:dyDescent="0.15">
      <c r="A9974" s="2">
        <f>HYPERLINK("https://open-school.uspishnemisto.com.ua/school/510808/", 510808)</f>
        <v>510808</v>
      </c>
      <c r="B9974" s="3" t="s">
        <v>50557</v>
      </c>
      <c r="C9974" s="3" t="s">
        <v>54</v>
      </c>
      <c r="D9974" s="3" t="s">
        <v>32</v>
      </c>
      <c r="E9974" s="4" t="s">
        <v>22</v>
      </c>
      <c r="F9974" s="4" t="s">
        <v>50558</v>
      </c>
      <c r="G9974" s="4" t="s">
        <v>50559</v>
      </c>
      <c r="H9974" s="3" t="s">
        <v>46910</v>
      </c>
      <c r="I9974" s="3" t="s">
        <v>12478</v>
      </c>
      <c r="J9974" s="3" t="s">
        <v>50560</v>
      </c>
      <c r="K9974" s="3" t="s">
        <v>50561</v>
      </c>
      <c r="L9974" s="3"/>
      <c r="M9974" s="4"/>
      <c r="N9974" s="3" t="s">
        <v>37</v>
      </c>
      <c r="O9974" s="3" t="s">
        <v>112</v>
      </c>
      <c r="P9974" s="5">
        <v>11</v>
      </c>
      <c r="Q9974" s="5">
        <v>178</v>
      </c>
      <c r="R9974" s="5">
        <v>11</v>
      </c>
      <c r="S9974" s="5">
        <v>170</v>
      </c>
    </row>
    <row r="9975" spans="1:19" ht="28" x14ac:dyDescent="0.15">
      <c r="A9975" s="2">
        <f>HYPERLINK("https://open-school.uspishnemisto.com.ua/school/510809/", 510809)</f>
        <v>510809</v>
      </c>
      <c r="B9975" s="3" t="s">
        <v>50562</v>
      </c>
      <c r="C9975" s="3" t="s">
        <v>54</v>
      </c>
      <c r="D9975" s="3" t="s">
        <v>60</v>
      </c>
      <c r="E9975" s="4" t="s">
        <v>22</v>
      </c>
      <c r="F9975" s="4" t="s">
        <v>50558</v>
      </c>
      <c r="G9975" s="4" t="s">
        <v>50563</v>
      </c>
      <c r="H9975" s="3" t="s">
        <v>46910</v>
      </c>
      <c r="I9975" s="3" t="s">
        <v>50564</v>
      </c>
      <c r="J9975" s="3" t="s">
        <v>39695</v>
      </c>
      <c r="K9975" s="3"/>
      <c r="L9975" s="3"/>
      <c r="M9975" s="4"/>
      <c r="N9975" s="3" t="s">
        <v>37</v>
      </c>
      <c r="O9975" s="3" t="s">
        <v>112</v>
      </c>
      <c r="P9975" s="5">
        <v>2</v>
      </c>
      <c r="Q9975" s="5">
        <v>14</v>
      </c>
      <c r="R9975" s="5">
        <v>3</v>
      </c>
      <c r="S9975" s="5">
        <v>24</v>
      </c>
    </row>
    <row r="9976" spans="1:19" ht="28" x14ac:dyDescent="0.15">
      <c r="A9976" s="2">
        <f>HYPERLINK("https://open-school.uspishnemisto.com.ua/school/510810/", 510810)</f>
        <v>510810</v>
      </c>
      <c r="B9976" s="3" t="s">
        <v>50565</v>
      </c>
      <c r="C9976" s="3" t="s">
        <v>31</v>
      </c>
      <c r="D9976" s="3" t="s">
        <v>60</v>
      </c>
      <c r="E9976" s="4" t="s">
        <v>22</v>
      </c>
      <c r="F9976" s="4" t="s">
        <v>50558</v>
      </c>
      <c r="G9976" s="4" t="s">
        <v>50566</v>
      </c>
      <c r="H9976" s="3" t="s">
        <v>46910</v>
      </c>
      <c r="I9976" s="3" t="s">
        <v>35353</v>
      </c>
      <c r="J9976" s="3" t="s">
        <v>50567</v>
      </c>
      <c r="K9976" s="3" t="s">
        <v>50568</v>
      </c>
      <c r="L9976" s="3"/>
      <c r="M9976" s="4"/>
      <c r="N9976" s="3" t="s">
        <v>37</v>
      </c>
      <c r="O9976" s="3" t="s">
        <v>112</v>
      </c>
      <c r="P9976" s="5">
        <v>1</v>
      </c>
      <c r="Q9976" s="5">
        <v>10</v>
      </c>
      <c r="R9976" s="5">
        <v>2</v>
      </c>
      <c r="S9976" s="5">
        <v>11</v>
      </c>
    </row>
    <row r="9977" spans="1:19" ht="56" x14ac:dyDescent="0.15">
      <c r="A9977" s="2">
        <f>HYPERLINK("https://open-school.uspishnemisto.com.ua/school/510811/", 510811)</f>
        <v>510811</v>
      </c>
      <c r="B9977" s="3" t="s">
        <v>50569</v>
      </c>
      <c r="C9977" s="3" t="s">
        <v>54</v>
      </c>
      <c r="D9977" s="3" t="s">
        <v>32</v>
      </c>
      <c r="E9977" s="4" t="s">
        <v>22</v>
      </c>
      <c r="F9977" s="4" t="s">
        <v>50570</v>
      </c>
      <c r="G9977" s="4" t="s">
        <v>50571</v>
      </c>
      <c r="H9977" s="3" t="s">
        <v>46910</v>
      </c>
      <c r="I9977" s="3" t="s">
        <v>50572</v>
      </c>
      <c r="J9977" s="3" t="s">
        <v>50573</v>
      </c>
      <c r="K9977" s="3" t="s">
        <v>50574</v>
      </c>
      <c r="L9977" s="3"/>
      <c r="M9977" s="4"/>
      <c r="N9977" s="3" t="s">
        <v>37</v>
      </c>
      <c r="O9977" s="3" t="s">
        <v>50482</v>
      </c>
      <c r="P9977" s="5">
        <v>11</v>
      </c>
      <c r="Q9977" s="5">
        <v>165</v>
      </c>
      <c r="R9977" s="5">
        <v>11</v>
      </c>
      <c r="S9977" s="5">
        <v>173</v>
      </c>
    </row>
    <row r="9978" spans="1:19" ht="56" x14ac:dyDescent="0.15">
      <c r="A9978" s="2">
        <f>HYPERLINK("https://open-school.uspishnemisto.com.ua/school/510812/", 510812)</f>
        <v>510812</v>
      </c>
      <c r="B9978" s="3" t="s">
        <v>50575</v>
      </c>
      <c r="C9978" s="3" t="s">
        <v>54</v>
      </c>
      <c r="D9978" s="3" t="s">
        <v>32</v>
      </c>
      <c r="E9978" s="4" t="s">
        <v>22</v>
      </c>
      <c r="F9978" s="4" t="s">
        <v>50576</v>
      </c>
      <c r="G9978" s="4" t="s">
        <v>50577</v>
      </c>
      <c r="H9978" s="3" t="s">
        <v>46910</v>
      </c>
      <c r="I9978" s="3" t="s">
        <v>21500</v>
      </c>
      <c r="J9978" s="3" t="s">
        <v>16914</v>
      </c>
      <c r="K9978" s="3" t="s">
        <v>50578</v>
      </c>
      <c r="L9978" s="3"/>
      <c r="M9978" s="4" t="s">
        <v>50579</v>
      </c>
      <c r="N9978" s="3" t="s">
        <v>37</v>
      </c>
      <c r="O9978" s="3" t="s">
        <v>38</v>
      </c>
      <c r="P9978" s="5">
        <v>11</v>
      </c>
      <c r="Q9978" s="5">
        <v>192</v>
      </c>
      <c r="R9978" s="5">
        <v>11</v>
      </c>
      <c r="S9978" s="5">
        <v>190</v>
      </c>
    </row>
    <row r="9979" spans="1:19" ht="56" x14ac:dyDescent="0.15">
      <c r="A9979" s="2">
        <f>HYPERLINK("https://open-school.uspishnemisto.com.ua/school/510813/", 510813)</f>
        <v>510813</v>
      </c>
      <c r="B9979" s="3" t="s">
        <v>50580</v>
      </c>
      <c r="C9979" s="3" t="s">
        <v>54</v>
      </c>
      <c r="D9979" s="3" t="s">
        <v>32</v>
      </c>
      <c r="E9979" s="4" t="s">
        <v>22</v>
      </c>
      <c r="F9979" s="4" t="s">
        <v>50581</v>
      </c>
      <c r="G9979" s="4" t="s">
        <v>50582</v>
      </c>
      <c r="H9979" s="3" t="s">
        <v>46910</v>
      </c>
      <c r="I9979" s="3" t="s">
        <v>2744</v>
      </c>
      <c r="J9979" s="3" t="s">
        <v>50583</v>
      </c>
      <c r="K9979" s="3"/>
      <c r="L9979" s="3"/>
      <c r="M9979" s="4"/>
      <c r="N9979" s="3" t="s">
        <v>37</v>
      </c>
      <c r="O9979" s="3" t="s">
        <v>26431</v>
      </c>
      <c r="P9979" s="5">
        <v>9</v>
      </c>
      <c r="Q9979" s="5">
        <v>84</v>
      </c>
      <c r="R9979" s="5">
        <v>10</v>
      </c>
      <c r="S9979" s="5">
        <v>107</v>
      </c>
    </row>
    <row r="9980" spans="1:19" ht="42" x14ac:dyDescent="0.15">
      <c r="A9980" s="2">
        <f>HYPERLINK("https://open-school.uspishnemisto.com.ua/school/510814/", 510814)</f>
        <v>510814</v>
      </c>
      <c r="B9980" s="3" t="s">
        <v>50584</v>
      </c>
      <c r="C9980" s="3" t="s">
        <v>54</v>
      </c>
      <c r="D9980" s="3" t="s">
        <v>60</v>
      </c>
      <c r="E9980" s="4" t="s">
        <v>22</v>
      </c>
      <c r="F9980" s="4" t="s">
        <v>50585</v>
      </c>
      <c r="G9980" s="4" t="s">
        <v>50586</v>
      </c>
      <c r="H9980" s="3" t="s">
        <v>46910</v>
      </c>
      <c r="I9980" s="3" t="s">
        <v>50587</v>
      </c>
      <c r="J9980" s="3" t="s">
        <v>50588</v>
      </c>
      <c r="K9980" s="3" t="s">
        <v>50589</v>
      </c>
      <c r="L9980" s="3"/>
      <c r="M9980" s="4"/>
      <c r="N9980" s="3" t="s">
        <v>37</v>
      </c>
      <c r="O9980" s="3" t="s">
        <v>38</v>
      </c>
      <c r="P9980" s="5">
        <v>0</v>
      </c>
      <c r="Q9980" s="5">
        <v>7</v>
      </c>
      <c r="R9980" s="5">
        <v>0</v>
      </c>
      <c r="S9980" s="5">
        <v>7</v>
      </c>
    </row>
    <row r="9981" spans="1:19" ht="56" x14ac:dyDescent="0.15">
      <c r="A9981" s="2">
        <f>HYPERLINK("https://open-school.uspishnemisto.com.ua/school/510815/", 510815)</f>
        <v>510815</v>
      </c>
      <c r="B9981" s="3" t="s">
        <v>50590</v>
      </c>
      <c r="C9981" s="3" t="s">
        <v>54</v>
      </c>
      <c r="D9981" s="3" t="s">
        <v>32</v>
      </c>
      <c r="E9981" s="4" t="s">
        <v>22</v>
      </c>
      <c r="F9981" s="4" t="s">
        <v>50591</v>
      </c>
      <c r="G9981" s="4" t="s">
        <v>50592</v>
      </c>
      <c r="H9981" s="3" t="s">
        <v>46910</v>
      </c>
      <c r="I9981" s="3" t="s">
        <v>3790</v>
      </c>
      <c r="J9981" s="3" t="s">
        <v>50593</v>
      </c>
      <c r="K9981" s="3" t="s">
        <v>50594</v>
      </c>
      <c r="L9981" s="3"/>
      <c r="M9981" s="4"/>
      <c r="N9981" s="3" t="s">
        <v>37</v>
      </c>
      <c r="O9981" s="3" t="s">
        <v>112</v>
      </c>
      <c r="P9981" s="5">
        <v>11</v>
      </c>
      <c r="Q9981" s="5">
        <v>97</v>
      </c>
      <c r="R9981" s="5">
        <v>11</v>
      </c>
      <c r="S9981" s="5">
        <v>107</v>
      </c>
    </row>
    <row r="9982" spans="1:19" ht="42" x14ac:dyDescent="0.15">
      <c r="A9982" s="2">
        <f>HYPERLINK("https://open-school.uspishnemisto.com.ua/school/510816/", 510816)</f>
        <v>510816</v>
      </c>
      <c r="B9982" s="3" t="s">
        <v>50595</v>
      </c>
      <c r="C9982" s="3" t="s">
        <v>54</v>
      </c>
      <c r="D9982" s="3" t="s">
        <v>32</v>
      </c>
      <c r="E9982" s="4" t="s">
        <v>22</v>
      </c>
      <c r="F9982" s="4" t="s">
        <v>50596</v>
      </c>
      <c r="G9982" s="4" t="s">
        <v>50597</v>
      </c>
      <c r="H9982" s="3" t="s">
        <v>46910</v>
      </c>
      <c r="I9982" s="3" t="s">
        <v>4696</v>
      </c>
      <c r="J9982" s="3" t="s">
        <v>50598</v>
      </c>
      <c r="K9982" s="3" t="s">
        <v>50599</v>
      </c>
      <c r="L9982" s="3"/>
      <c r="M9982" s="4"/>
      <c r="N9982" s="3" t="s">
        <v>37</v>
      </c>
      <c r="O9982" s="3" t="s">
        <v>26431</v>
      </c>
      <c r="P9982" s="5">
        <v>9</v>
      </c>
      <c r="Q9982" s="5">
        <v>78</v>
      </c>
      <c r="R9982" s="5">
        <v>9</v>
      </c>
      <c r="S9982" s="5">
        <v>76</v>
      </c>
    </row>
    <row r="9983" spans="1:19" ht="56" x14ac:dyDescent="0.15">
      <c r="A9983" s="2">
        <f>HYPERLINK("https://open-school.uspishnemisto.com.ua/school/510817/", 510817)</f>
        <v>510817</v>
      </c>
      <c r="B9983" s="3" t="s">
        <v>50600</v>
      </c>
      <c r="C9983" s="3" t="s">
        <v>54</v>
      </c>
      <c r="D9983" s="3" t="s">
        <v>175</v>
      </c>
      <c r="E9983" s="4" t="s">
        <v>22</v>
      </c>
      <c r="F9983" s="4" t="s">
        <v>50601</v>
      </c>
      <c r="G9983" s="4" t="s">
        <v>50602</v>
      </c>
      <c r="H9983" s="3" t="s">
        <v>46910</v>
      </c>
      <c r="I9983" s="3" t="s">
        <v>50603</v>
      </c>
      <c r="J9983" s="3" t="s">
        <v>2476</v>
      </c>
      <c r="K9983" s="3" t="s">
        <v>50604</v>
      </c>
      <c r="L9983" s="3"/>
      <c r="M9983" s="4"/>
      <c r="N9983" s="3" t="s">
        <v>37</v>
      </c>
      <c r="O9983" s="3" t="s">
        <v>38</v>
      </c>
      <c r="P9983" s="5">
        <v>7</v>
      </c>
      <c r="Q9983" s="5">
        <v>49</v>
      </c>
      <c r="R9983" s="5">
        <v>7</v>
      </c>
      <c r="S9983" s="5">
        <v>50</v>
      </c>
    </row>
    <row r="9984" spans="1:19" ht="42" x14ac:dyDescent="0.15">
      <c r="A9984" s="2">
        <f>HYPERLINK("https://open-school.uspishnemisto.com.ua/school/510818/", 510818)</f>
        <v>510818</v>
      </c>
      <c r="B9984" s="3" t="s">
        <v>50605</v>
      </c>
      <c r="C9984" s="3" t="s">
        <v>31</v>
      </c>
      <c r="D9984" s="3" t="s">
        <v>32</v>
      </c>
      <c r="E9984" s="4" t="s">
        <v>22</v>
      </c>
      <c r="F9984" s="4" t="s">
        <v>50606</v>
      </c>
      <c r="G9984" s="4" t="s">
        <v>50607</v>
      </c>
      <c r="H9984" s="3" t="s">
        <v>46910</v>
      </c>
      <c r="I9984" s="3" t="s">
        <v>50608</v>
      </c>
      <c r="J9984" s="3" t="s">
        <v>50609</v>
      </c>
      <c r="K9984" s="3" t="s">
        <v>50610</v>
      </c>
      <c r="L9984" s="3"/>
      <c r="M9984" s="4"/>
      <c r="N9984" s="3" t="s">
        <v>37</v>
      </c>
      <c r="O9984" s="3" t="s">
        <v>721</v>
      </c>
      <c r="P9984" s="5">
        <v>23</v>
      </c>
      <c r="Q9984" s="5">
        <v>491</v>
      </c>
      <c r="R9984" s="5">
        <v>21</v>
      </c>
      <c r="S9984" s="5">
        <v>456</v>
      </c>
    </row>
    <row r="9985" spans="1:19" ht="42" x14ac:dyDescent="0.15">
      <c r="A9985" s="2">
        <f>HYPERLINK("https://open-school.uspishnemisto.com.ua/school/510819/", 510819)</f>
        <v>510819</v>
      </c>
      <c r="B9985" s="3" t="s">
        <v>50611</v>
      </c>
      <c r="C9985" s="3" t="s">
        <v>54</v>
      </c>
      <c r="D9985" s="3" t="s">
        <v>32</v>
      </c>
      <c r="E9985" s="4" t="s">
        <v>22</v>
      </c>
      <c r="F9985" s="4" t="s">
        <v>50606</v>
      </c>
      <c r="G9985" s="4" t="s">
        <v>50607</v>
      </c>
      <c r="H9985" s="3" t="s">
        <v>46910</v>
      </c>
      <c r="I9985" s="3" t="s">
        <v>50608</v>
      </c>
      <c r="J9985" s="3" t="s">
        <v>50612</v>
      </c>
      <c r="K9985" s="3" t="s">
        <v>50613</v>
      </c>
      <c r="L9985" s="3" t="s">
        <v>50614</v>
      </c>
      <c r="M9985" s="4"/>
      <c r="N9985" s="3" t="s">
        <v>37</v>
      </c>
      <c r="O9985" s="3" t="s">
        <v>721</v>
      </c>
      <c r="P9985" s="5">
        <v>35</v>
      </c>
      <c r="Q9985" s="5">
        <v>784</v>
      </c>
      <c r="R9985" s="5">
        <v>35</v>
      </c>
      <c r="S9985" s="5">
        <v>782</v>
      </c>
    </row>
    <row r="9986" spans="1:19" ht="42" x14ac:dyDescent="0.15">
      <c r="A9986" s="2">
        <f>HYPERLINK("https://open-school.uspishnemisto.com.ua/school/510820/", 510820)</f>
        <v>510820</v>
      </c>
      <c r="B9986" s="3" t="s">
        <v>50615</v>
      </c>
      <c r="C9986" s="3" t="s">
        <v>31</v>
      </c>
      <c r="D9986" s="3" t="s">
        <v>32</v>
      </c>
      <c r="E9986" s="4" t="s">
        <v>22</v>
      </c>
      <c r="F9986" s="4" t="s">
        <v>50616</v>
      </c>
      <c r="G9986" s="4" t="s">
        <v>50617</v>
      </c>
      <c r="H9986" s="3" t="s">
        <v>46910</v>
      </c>
      <c r="I9986" s="3" t="s">
        <v>50618</v>
      </c>
      <c r="J9986" s="3" t="s">
        <v>18837</v>
      </c>
      <c r="K9986" s="3" t="s">
        <v>50619</v>
      </c>
      <c r="L9986" s="3"/>
      <c r="M9986" s="4"/>
      <c r="N9986" s="3" t="s">
        <v>37</v>
      </c>
      <c r="O9986" s="3" t="s">
        <v>38</v>
      </c>
      <c r="P9986" s="5">
        <v>11</v>
      </c>
      <c r="Q9986" s="5">
        <v>129</v>
      </c>
      <c r="R9986" s="5">
        <v>11</v>
      </c>
      <c r="S9986" s="5">
        <v>131</v>
      </c>
    </row>
    <row r="9987" spans="1:19" ht="42" x14ac:dyDescent="0.15">
      <c r="A9987" s="2">
        <f>HYPERLINK("https://open-school.uspishnemisto.com.ua/school/510821/", 510821)</f>
        <v>510821</v>
      </c>
      <c r="B9987" s="3" t="s">
        <v>50620</v>
      </c>
      <c r="C9987" s="3" t="s">
        <v>31</v>
      </c>
      <c r="D9987" s="3" t="s">
        <v>32</v>
      </c>
      <c r="E9987" s="4" t="s">
        <v>22</v>
      </c>
      <c r="F9987" s="4" t="s">
        <v>50621</v>
      </c>
      <c r="G9987" s="4" t="s">
        <v>50622</v>
      </c>
      <c r="H9987" s="3" t="s">
        <v>46910</v>
      </c>
      <c r="I9987" s="3" t="s">
        <v>50623</v>
      </c>
      <c r="J9987" s="3" t="s">
        <v>466</v>
      </c>
      <c r="K9987" s="3" t="s">
        <v>50624</v>
      </c>
      <c r="L9987" s="3"/>
      <c r="M9987" s="4"/>
      <c r="N9987" s="3" t="s">
        <v>37</v>
      </c>
      <c r="O9987" s="3" t="s">
        <v>38</v>
      </c>
      <c r="P9987" s="5">
        <v>13</v>
      </c>
      <c r="Q9987" s="5">
        <v>225</v>
      </c>
      <c r="R9987" s="5">
        <v>14</v>
      </c>
      <c r="S9987" s="5">
        <v>223</v>
      </c>
    </row>
    <row r="9988" spans="1:19" ht="56" x14ac:dyDescent="0.15">
      <c r="A9988" s="2">
        <f>HYPERLINK("https://open-school.uspishnemisto.com.ua/school/510822/", 510822)</f>
        <v>510822</v>
      </c>
      <c r="B9988" s="3" t="s">
        <v>50625</v>
      </c>
      <c r="C9988" s="3" t="s">
        <v>54</v>
      </c>
      <c r="D9988" s="3" t="s">
        <v>32</v>
      </c>
      <c r="E9988" s="4" t="s">
        <v>22</v>
      </c>
      <c r="F9988" s="4" t="s">
        <v>50626</v>
      </c>
      <c r="G9988" s="4" t="s">
        <v>50627</v>
      </c>
      <c r="H9988" s="3" t="s">
        <v>46910</v>
      </c>
      <c r="I9988" s="3" t="s">
        <v>50628</v>
      </c>
      <c r="J9988" s="3" t="s">
        <v>50629</v>
      </c>
      <c r="K9988" s="3" t="s">
        <v>50630</v>
      </c>
      <c r="L9988" s="3"/>
      <c r="M9988" s="4"/>
      <c r="N9988" s="3" t="s">
        <v>37</v>
      </c>
      <c r="O9988" s="3" t="s">
        <v>38</v>
      </c>
      <c r="P9988" s="5">
        <v>10</v>
      </c>
      <c r="Q9988" s="5">
        <v>77</v>
      </c>
      <c r="R9988" s="5">
        <v>10</v>
      </c>
      <c r="S9988" s="5">
        <v>80</v>
      </c>
    </row>
    <row r="9989" spans="1:19" ht="42" x14ac:dyDescent="0.15">
      <c r="A9989" s="2">
        <f>HYPERLINK("https://open-school.uspishnemisto.com.ua/school/510823/", 510823)</f>
        <v>510823</v>
      </c>
      <c r="B9989" s="3" t="s">
        <v>50631</v>
      </c>
      <c r="C9989" s="3" t="s">
        <v>31</v>
      </c>
      <c r="D9989" s="3" t="s">
        <v>32</v>
      </c>
      <c r="E9989" s="4" t="s">
        <v>22</v>
      </c>
      <c r="F9989" s="4" t="s">
        <v>50632</v>
      </c>
      <c r="G9989" s="4" t="s">
        <v>50633</v>
      </c>
      <c r="H9989" s="3" t="s">
        <v>46910</v>
      </c>
      <c r="I9989" s="3" t="s">
        <v>11929</v>
      </c>
      <c r="J9989" s="3" t="s">
        <v>3047</v>
      </c>
      <c r="K9989" s="3" t="s">
        <v>50634</v>
      </c>
      <c r="L9989" s="3"/>
      <c r="M9989" s="4"/>
      <c r="N9989" s="3" t="s">
        <v>50214</v>
      </c>
      <c r="O9989" s="3" t="s">
        <v>38</v>
      </c>
      <c r="P9989" s="5">
        <v>11</v>
      </c>
      <c r="Q9989" s="5">
        <v>171</v>
      </c>
      <c r="R9989" s="5">
        <v>11</v>
      </c>
      <c r="S9989" s="5">
        <v>172</v>
      </c>
    </row>
    <row r="9990" spans="1:19" ht="56" x14ac:dyDescent="0.15">
      <c r="A9990" s="2">
        <f>HYPERLINK("https://open-school.uspishnemisto.com.ua/school/510824/", 510824)</f>
        <v>510824</v>
      </c>
      <c r="B9990" s="3" t="s">
        <v>50635</v>
      </c>
      <c r="C9990" s="3" t="s">
        <v>54</v>
      </c>
      <c r="D9990" s="3" t="s">
        <v>32</v>
      </c>
      <c r="E9990" s="4" t="s">
        <v>22</v>
      </c>
      <c r="F9990" s="4" t="s">
        <v>50636</v>
      </c>
      <c r="G9990" s="4" t="s">
        <v>50637</v>
      </c>
      <c r="H9990" s="3" t="s">
        <v>46910</v>
      </c>
      <c r="I9990" s="3" t="s">
        <v>12579</v>
      </c>
      <c r="J9990" s="3" t="s">
        <v>15355</v>
      </c>
      <c r="K9990" s="3" t="s">
        <v>50638</v>
      </c>
      <c r="L9990" s="3"/>
      <c r="M9990" s="4"/>
      <c r="N9990" s="3" t="s">
        <v>37</v>
      </c>
      <c r="O9990" s="3" t="s">
        <v>38</v>
      </c>
      <c r="P9990" s="5">
        <v>11</v>
      </c>
      <c r="Q9990" s="5">
        <v>156</v>
      </c>
      <c r="R9990" s="5">
        <v>10</v>
      </c>
      <c r="S9990" s="5">
        <v>156</v>
      </c>
    </row>
    <row r="9991" spans="1:19" ht="42" x14ac:dyDescent="0.15">
      <c r="A9991" s="2">
        <f>HYPERLINK("https://open-school.uspishnemisto.com.ua/school/510825/", 510825)</f>
        <v>510825</v>
      </c>
      <c r="B9991" s="3" t="s">
        <v>50639</v>
      </c>
      <c r="C9991" s="3" t="s">
        <v>31</v>
      </c>
      <c r="D9991" s="3" t="s">
        <v>32</v>
      </c>
      <c r="E9991" s="4" t="s">
        <v>22</v>
      </c>
      <c r="F9991" s="4" t="s">
        <v>50640</v>
      </c>
      <c r="G9991" s="4" t="s">
        <v>50641</v>
      </c>
      <c r="H9991" s="3" t="s">
        <v>46910</v>
      </c>
      <c r="I9991" s="3" t="s">
        <v>23117</v>
      </c>
      <c r="J9991" s="3" t="s">
        <v>4425</v>
      </c>
      <c r="K9991" s="3" t="s">
        <v>50642</v>
      </c>
      <c r="L9991" s="3"/>
      <c r="M9991" s="4"/>
      <c r="N9991" s="3" t="s">
        <v>967</v>
      </c>
      <c r="O9991" s="3" t="s">
        <v>50643</v>
      </c>
      <c r="P9991" s="5">
        <v>11</v>
      </c>
      <c r="Q9991" s="5">
        <v>110</v>
      </c>
      <c r="R9991" s="5">
        <v>11</v>
      </c>
      <c r="S9991" s="5">
        <v>109</v>
      </c>
    </row>
    <row r="9992" spans="1:19" ht="42" x14ac:dyDescent="0.15">
      <c r="A9992" s="2">
        <f>HYPERLINK("https://open-school.uspishnemisto.com.ua/school/510826/", 510826)</f>
        <v>510826</v>
      </c>
      <c r="B9992" s="3" t="s">
        <v>50644</v>
      </c>
      <c r="C9992" s="3" t="s">
        <v>31</v>
      </c>
      <c r="D9992" s="3" t="s">
        <v>32</v>
      </c>
      <c r="E9992" s="4" t="s">
        <v>22</v>
      </c>
      <c r="F9992" s="4" t="s">
        <v>50645</v>
      </c>
      <c r="G9992" s="4" t="s">
        <v>50646</v>
      </c>
      <c r="H9992" s="3" t="s">
        <v>46910</v>
      </c>
      <c r="I9992" s="3" t="s">
        <v>50647</v>
      </c>
      <c r="J9992" s="3" t="s">
        <v>50648</v>
      </c>
      <c r="K9992" s="3" t="s">
        <v>50649</v>
      </c>
      <c r="L9992" s="3" t="s">
        <v>50650</v>
      </c>
      <c r="M9992" s="4"/>
      <c r="N9992" s="3" t="s">
        <v>37</v>
      </c>
      <c r="O9992" s="3" t="s">
        <v>38</v>
      </c>
      <c r="P9992" s="5">
        <v>11</v>
      </c>
      <c r="Q9992" s="5">
        <v>155</v>
      </c>
      <c r="R9992" s="5">
        <v>11</v>
      </c>
      <c r="S9992" s="5">
        <v>150</v>
      </c>
    </row>
    <row r="9993" spans="1:19" ht="42" x14ac:dyDescent="0.15">
      <c r="A9993" s="2">
        <f>HYPERLINK("https://open-school.uspishnemisto.com.ua/school/510827/", 510827)</f>
        <v>510827</v>
      </c>
      <c r="B9993" s="3" t="s">
        <v>50651</v>
      </c>
      <c r="C9993" s="3" t="s">
        <v>31</v>
      </c>
      <c r="D9993" s="3" t="s">
        <v>32</v>
      </c>
      <c r="E9993" s="4" t="s">
        <v>22</v>
      </c>
      <c r="F9993" s="4" t="s">
        <v>50652</v>
      </c>
      <c r="G9993" s="4" t="s">
        <v>50653</v>
      </c>
      <c r="H9993" s="3" t="s">
        <v>46910</v>
      </c>
      <c r="I9993" s="3" t="s">
        <v>50654</v>
      </c>
      <c r="J9993" s="3" t="s">
        <v>50655</v>
      </c>
      <c r="K9993" s="3" t="s">
        <v>50656</v>
      </c>
      <c r="L9993" s="3"/>
      <c r="M9993" s="4"/>
      <c r="N9993" s="3" t="s">
        <v>128</v>
      </c>
      <c r="O9993" s="3" t="s">
        <v>26431</v>
      </c>
      <c r="P9993" s="5">
        <v>27</v>
      </c>
      <c r="Q9993" s="5">
        <v>450</v>
      </c>
      <c r="R9993" s="5">
        <v>27</v>
      </c>
      <c r="S9993" s="5">
        <v>468</v>
      </c>
    </row>
    <row r="9994" spans="1:19" ht="42" x14ac:dyDescent="0.15">
      <c r="A9994" s="2">
        <f>HYPERLINK("https://open-school.uspishnemisto.com.ua/school/510828/", 510828)</f>
        <v>510828</v>
      </c>
      <c r="B9994" s="3" t="s">
        <v>50657</v>
      </c>
      <c r="C9994" s="3" t="s">
        <v>31</v>
      </c>
      <c r="D9994" s="3" t="s">
        <v>32</v>
      </c>
      <c r="E9994" s="4" t="s">
        <v>22</v>
      </c>
      <c r="F9994" s="4" t="s">
        <v>50658</v>
      </c>
      <c r="G9994" s="4" t="s">
        <v>50659</v>
      </c>
      <c r="H9994" s="3" t="s">
        <v>46910</v>
      </c>
      <c r="I9994" s="3" t="s">
        <v>50660</v>
      </c>
      <c r="J9994" s="3" t="s">
        <v>45216</v>
      </c>
      <c r="K9994" s="3" t="s">
        <v>50661</v>
      </c>
      <c r="L9994" s="3" t="s">
        <v>50662</v>
      </c>
      <c r="M9994" s="4"/>
      <c r="N9994" s="3" t="s">
        <v>37</v>
      </c>
      <c r="O9994" s="3" t="s">
        <v>38</v>
      </c>
      <c r="P9994" s="5">
        <v>11</v>
      </c>
      <c r="Q9994" s="5">
        <v>107</v>
      </c>
      <c r="R9994" s="5">
        <v>10</v>
      </c>
      <c r="S9994" s="5">
        <v>95</v>
      </c>
    </row>
    <row r="9995" spans="1:19" ht="56" x14ac:dyDescent="0.15">
      <c r="A9995" s="2">
        <f>HYPERLINK("https://open-school.uspishnemisto.com.ua/school/510829/", 510829)</f>
        <v>510829</v>
      </c>
      <c r="B9995" s="3" t="s">
        <v>50663</v>
      </c>
      <c r="C9995" s="3" t="s">
        <v>54</v>
      </c>
      <c r="D9995" s="3" t="s">
        <v>60</v>
      </c>
      <c r="E9995" s="4" t="s">
        <v>22</v>
      </c>
      <c r="F9995" s="4" t="s">
        <v>50664</v>
      </c>
      <c r="G9995" s="4" t="s">
        <v>50665</v>
      </c>
      <c r="H9995" s="3" t="s">
        <v>46910</v>
      </c>
      <c r="I9995" s="3" t="s">
        <v>50666</v>
      </c>
      <c r="J9995" s="3"/>
      <c r="K9995" s="3" t="s">
        <v>50667</v>
      </c>
      <c r="L9995" s="3"/>
      <c r="M9995" s="4"/>
      <c r="N9995" s="3" t="s">
        <v>37</v>
      </c>
      <c r="O9995" s="3" t="s">
        <v>52</v>
      </c>
      <c r="P9995" s="5">
        <v>2</v>
      </c>
      <c r="Q9995" s="5">
        <v>10</v>
      </c>
      <c r="R9995" s="5">
        <v>2</v>
      </c>
      <c r="S9995" s="5">
        <v>10</v>
      </c>
    </row>
    <row r="9996" spans="1:19" ht="56" x14ac:dyDescent="0.15">
      <c r="A9996" s="2">
        <f>HYPERLINK("https://open-school.uspishnemisto.com.ua/school/510830/", 510830)</f>
        <v>510830</v>
      </c>
      <c r="B9996" s="3" t="s">
        <v>50668</v>
      </c>
      <c r="C9996" s="3" t="s">
        <v>54</v>
      </c>
      <c r="D9996" s="3" t="s">
        <v>32</v>
      </c>
      <c r="E9996" s="4" t="s">
        <v>22</v>
      </c>
      <c r="F9996" s="4" t="s">
        <v>50669</v>
      </c>
      <c r="G9996" s="4" t="s">
        <v>50670</v>
      </c>
      <c r="H9996" s="3" t="s">
        <v>46910</v>
      </c>
      <c r="I9996" s="3" t="s">
        <v>14581</v>
      </c>
      <c r="J9996" s="3" t="s">
        <v>50671</v>
      </c>
      <c r="K9996" s="3" t="s">
        <v>50672</v>
      </c>
      <c r="L9996" s="3"/>
      <c r="M9996" s="4"/>
      <c r="N9996" s="3" t="s">
        <v>37</v>
      </c>
      <c r="O9996" s="3" t="s">
        <v>38</v>
      </c>
      <c r="P9996" s="5">
        <v>11</v>
      </c>
      <c r="Q9996" s="5">
        <v>151</v>
      </c>
      <c r="R9996" s="5">
        <v>11</v>
      </c>
      <c r="S9996" s="5">
        <v>147</v>
      </c>
    </row>
    <row r="9997" spans="1:19" ht="42" x14ac:dyDescent="0.15">
      <c r="A9997" s="2">
        <f>HYPERLINK("https://open-school.uspishnemisto.com.ua/school/510831/", 510831)</f>
        <v>510831</v>
      </c>
      <c r="B9997" s="3" t="s">
        <v>50673</v>
      </c>
      <c r="C9997" s="3" t="s">
        <v>31</v>
      </c>
      <c r="D9997" s="3" t="s">
        <v>32</v>
      </c>
      <c r="E9997" s="4" t="s">
        <v>22</v>
      </c>
      <c r="F9997" s="4" t="s">
        <v>50674</v>
      </c>
      <c r="G9997" s="4" t="s">
        <v>50675</v>
      </c>
      <c r="H9997" s="3" t="s">
        <v>46910</v>
      </c>
      <c r="I9997" s="3" t="s">
        <v>50676</v>
      </c>
      <c r="J9997" s="3" t="s">
        <v>25260</v>
      </c>
      <c r="K9997" s="3" t="s">
        <v>50677</v>
      </c>
      <c r="L9997" s="3"/>
      <c r="M9997" s="4"/>
      <c r="N9997" s="3" t="s">
        <v>37</v>
      </c>
      <c r="O9997" s="3" t="s">
        <v>38</v>
      </c>
      <c r="P9997" s="5">
        <v>11</v>
      </c>
      <c r="Q9997" s="5">
        <v>152</v>
      </c>
      <c r="R9997" s="5">
        <v>11</v>
      </c>
      <c r="S9997" s="5">
        <v>161</v>
      </c>
    </row>
    <row r="9998" spans="1:19" ht="28" x14ac:dyDescent="0.15">
      <c r="A9998" s="2">
        <f>HYPERLINK("https://open-school.uspishnemisto.com.ua/school/510832/", 510832)</f>
        <v>510832</v>
      </c>
      <c r="B9998" s="3" t="s">
        <v>50678</v>
      </c>
      <c r="C9998" s="3" t="s">
        <v>31</v>
      </c>
      <c r="D9998" s="3" t="s">
        <v>32</v>
      </c>
      <c r="E9998" s="4" t="s">
        <v>22</v>
      </c>
      <c r="F9998" s="4" t="s">
        <v>50679</v>
      </c>
      <c r="G9998" s="4" t="s">
        <v>50680</v>
      </c>
      <c r="H9998" s="3" t="s">
        <v>46910</v>
      </c>
      <c r="I9998" s="3" t="s">
        <v>24871</v>
      </c>
      <c r="J9998" s="3" t="s">
        <v>50681</v>
      </c>
      <c r="K9998" s="3" t="s">
        <v>50682</v>
      </c>
      <c r="L9998" s="3"/>
      <c r="M9998" s="4"/>
      <c r="N9998" s="3" t="s">
        <v>37</v>
      </c>
      <c r="O9998" s="3" t="s">
        <v>38</v>
      </c>
      <c r="P9998" s="5">
        <v>11</v>
      </c>
      <c r="Q9998" s="5">
        <v>150</v>
      </c>
      <c r="R9998" s="5">
        <v>11</v>
      </c>
      <c r="S9998" s="5">
        <v>156</v>
      </c>
    </row>
    <row r="9999" spans="1:19" ht="56" x14ac:dyDescent="0.15">
      <c r="A9999" s="2">
        <f>HYPERLINK("https://open-school.uspishnemisto.com.ua/school/510833/", 510833)</f>
        <v>510833</v>
      </c>
      <c r="B9999" s="3" t="s">
        <v>50683</v>
      </c>
      <c r="C9999" s="3" t="s">
        <v>54</v>
      </c>
      <c r="D9999" s="3" t="s">
        <v>32</v>
      </c>
      <c r="E9999" s="4" t="s">
        <v>22</v>
      </c>
      <c r="F9999" s="4" t="s">
        <v>50684</v>
      </c>
      <c r="G9999" s="4" t="s">
        <v>50685</v>
      </c>
      <c r="H9999" s="3" t="s">
        <v>46910</v>
      </c>
      <c r="I9999" s="3" t="s">
        <v>50686</v>
      </c>
      <c r="J9999" s="3" t="s">
        <v>792</v>
      </c>
      <c r="K9999" s="3" t="s">
        <v>50687</v>
      </c>
      <c r="L9999" s="3"/>
      <c r="M9999" s="4"/>
      <c r="N9999" s="3" t="s">
        <v>37</v>
      </c>
      <c r="O9999" s="3" t="s">
        <v>38</v>
      </c>
      <c r="P9999" s="5">
        <v>10</v>
      </c>
      <c r="Q9999" s="5">
        <v>114</v>
      </c>
      <c r="R9999" s="5">
        <v>9</v>
      </c>
      <c r="S9999" s="5">
        <v>108</v>
      </c>
    </row>
    <row r="10000" spans="1:19" ht="56" x14ac:dyDescent="0.15">
      <c r="A10000" s="2">
        <f>HYPERLINK("https://open-school.uspishnemisto.com.ua/school/510834/", 510834)</f>
        <v>510834</v>
      </c>
      <c r="B10000" s="3" t="s">
        <v>50688</v>
      </c>
      <c r="C10000" s="3" t="s">
        <v>54</v>
      </c>
      <c r="D10000" s="3" t="s">
        <v>32</v>
      </c>
      <c r="E10000" s="4" t="s">
        <v>22</v>
      </c>
      <c r="F10000" s="4" t="s">
        <v>50689</v>
      </c>
      <c r="G10000" s="4" t="s">
        <v>50690</v>
      </c>
      <c r="H10000" s="3" t="s">
        <v>46910</v>
      </c>
      <c r="I10000" s="3" t="s">
        <v>50691</v>
      </c>
      <c r="J10000" s="3" t="s">
        <v>50692</v>
      </c>
      <c r="K10000" s="3" t="s">
        <v>50693</v>
      </c>
      <c r="L10000" s="3"/>
      <c r="M10000" s="4"/>
      <c r="N10000" s="3" t="s">
        <v>37</v>
      </c>
      <c r="O10000" s="3" t="s">
        <v>38</v>
      </c>
      <c r="P10000" s="5">
        <v>11</v>
      </c>
      <c r="Q10000" s="5">
        <v>161</v>
      </c>
      <c r="R10000" s="5">
        <v>11</v>
      </c>
      <c r="S10000" s="5">
        <v>158</v>
      </c>
    </row>
    <row r="10001" spans="1:19" ht="42" x14ac:dyDescent="0.15">
      <c r="A10001" s="2">
        <f>HYPERLINK("https://open-school.uspishnemisto.com.ua/school/510835/", 510835)</f>
        <v>510835</v>
      </c>
      <c r="B10001" s="3" t="s">
        <v>50694</v>
      </c>
      <c r="C10001" s="3" t="s">
        <v>31</v>
      </c>
      <c r="D10001" s="3" t="s">
        <v>175</v>
      </c>
      <c r="E10001" s="4" t="s">
        <v>22</v>
      </c>
      <c r="F10001" s="4" t="s">
        <v>50695</v>
      </c>
      <c r="G10001" s="4" t="s">
        <v>50696</v>
      </c>
      <c r="H10001" s="3" t="s">
        <v>46910</v>
      </c>
      <c r="I10001" s="3" t="s">
        <v>12265</v>
      </c>
      <c r="J10001" s="3" t="s">
        <v>45556</v>
      </c>
      <c r="K10001" s="3" t="s">
        <v>50697</v>
      </c>
      <c r="L10001" s="3"/>
      <c r="M10001" s="4"/>
      <c r="N10001" s="3" t="s">
        <v>37</v>
      </c>
      <c r="O10001" s="3" t="s">
        <v>38</v>
      </c>
      <c r="P10001" s="5">
        <v>7</v>
      </c>
      <c r="Q10001" s="5">
        <v>48</v>
      </c>
      <c r="R10001" s="5">
        <v>5</v>
      </c>
      <c r="S10001" s="5">
        <v>45</v>
      </c>
    </row>
    <row r="10002" spans="1:19" ht="42" x14ac:dyDescent="0.15">
      <c r="A10002" s="2">
        <f>HYPERLINK("https://open-school.uspishnemisto.com.ua/school/510836/", 510836)</f>
        <v>510836</v>
      </c>
      <c r="B10002" s="3" t="s">
        <v>50698</v>
      </c>
      <c r="C10002" s="3" t="s">
        <v>31</v>
      </c>
      <c r="D10002" s="3" t="s">
        <v>32</v>
      </c>
      <c r="E10002" s="4" t="s">
        <v>22</v>
      </c>
      <c r="F10002" s="4" t="s">
        <v>50699</v>
      </c>
      <c r="G10002" s="4" t="s">
        <v>50700</v>
      </c>
      <c r="H10002" s="3" t="s">
        <v>46910</v>
      </c>
      <c r="I10002" s="3" t="s">
        <v>50701</v>
      </c>
      <c r="J10002" s="3" t="s">
        <v>50702</v>
      </c>
      <c r="K10002" s="3"/>
      <c r="L10002" s="3"/>
      <c r="M10002" s="4"/>
      <c r="N10002" s="3" t="s">
        <v>37</v>
      </c>
      <c r="O10002" s="3" t="s">
        <v>52</v>
      </c>
      <c r="P10002" s="5">
        <v>12</v>
      </c>
      <c r="Q10002" s="5">
        <v>214</v>
      </c>
      <c r="R10002" s="5">
        <v>12</v>
      </c>
      <c r="S10002" s="5">
        <v>224</v>
      </c>
    </row>
    <row r="10003" spans="1:19" ht="42" x14ac:dyDescent="0.15">
      <c r="A10003" s="2">
        <f>HYPERLINK("https://open-school.uspishnemisto.com.ua/school/510837/", 510837)</f>
        <v>510837</v>
      </c>
      <c r="B10003" s="3" t="s">
        <v>50703</v>
      </c>
      <c r="C10003" s="3" t="s">
        <v>54</v>
      </c>
      <c r="D10003" s="3" t="s">
        <v>32</v>
      </c>
      <c r="E10003" s="4" t="s">
        <v>22</v>
      </c>
      <c r="F10003" s="4" t="s">
        <v>50704</v>
      </c>
      <c r="G10003" s="4" t="s">
        <v>50705</v>
      </c>
      <c r="H10003" s="3" t="s">
        <v>46910</v>
      </c>
      <c r="I10003" s="3" t="s">
        <v>45135</v>
      </c>
      <c r="J10003" s="3" t="s">
        <v>50706</v>
      </c>
      <c r="K10003" s="3" t="s">
        <v>50707</v>
      </c>
      <c r="L10003" s="3" t="s">
        <v>50708</v>
      </c>
      <c r="M10003" s="4" t="s">
        <v>50709</v>
      </c>
      <c r="N10003" s="3" t="s">
        <v>37</v>
      </c>
      <c r="O10003" s="3" t="s">
        <v>38</v>
      </c>
      <c r="P10003" s="5">
        <v>12</v>
      </c>
      <c r="Q10003" s="5">
        <v>234</v>
      </c>
      <c r="R10003" s="5">
        <v>12</v>
      </c>
      <c r="S10003" s="5">
        <v>230</v>
      </c>
    </row>
    <row r="10004" spans="1:19" ht="42" x14ac:dyDescent="0.15">
      <c r="A10004" s="2">
        <f>HYPERLINK("https://open-school.uspishnemisto.com.ua/school/510838/", 510838)</f>
        <v>510838</v>
      </c>
      <c r="B10004" s="3" t="s">
        <v>50710</v>
      </c>
      <c r="C10004" s="3" t="s">
        <v>54</v>
      </c>
      <c r="D10004" s="3" t="s">
        <v>32</v>
      </c>
      <c r="E10004" s="4" t="s">
        <v>22</v>
      </c>
      <c r="F10004" s="4" t="s">
        <v>50711</v>
      </c>
      <c r="G10004" s="4" t="s">
        <v>50712</v>
      </c>
      <c r="H10004" s="3" t="s">
        <v>46910</v>
      </c>
      <c r="I10004" s="3" t="s">
        <v>36487</v>
      </c>
      <c r="J10004" s="3" t="s">
        <v>2795</v>
      </c>
      <c r="K10004" s="3" t="s">
        <v>50713</v>
      </c>
      <c r="L10004" s="3"/>
      <c r="M10004" s="4"/>
      <c r="N10004" s="3" t="s">
        <v>37</v>
      </c>
      <c r="O10004" s="3" t="s">
        <v>52</v>
      </c>
      <c r="P10004" s="5">
        <v>28</v>
      </c>
      <c r="Q10004" s="5">
        <v>688</v>
      </c>
      <c r="R10004" s="5">
        <v>28</v>
      </c>
      <c r="S10004" s="5">
        <v>686</v>
      </c>
    </row>
    <row r="10005" spans="1:19" ht="56" x14ac:dyDescent="0.15">
      <c r="A10005" s="2">
        <f>HYPERLINK("https://open-school.uspishnemisto.com.ua/school/510839/", 510839)</f>
        <v>510839</v>
      </c>
      <c r="B10005" s="3" t="s">
        <v>50714</v>
      </c>
      <c r="C10005" s="3" t="s">
        <v>54</v>
      </c>
      <c r="D10005" s="3" t="s">
        <v>175</v>
      </c>
      <c r="E10005" s="4" t="s">
        <v>22</v>
      </c>
      <c r="F10005" s="4" t="s">
        <v>50715</v>
      </c>
      <c r="G10005" s="4" t="s">
        <v>50716</v>
      </c>
      <c r="H10005" s="3" t="s">
        <v>46910</v>
      </c>
      <c r="I10005" s="3" t="s">
        <v>50717</v>
      </c>
      <c r="J10005" s="3"/>
      <c r="K10005" s="3" t="s">
        <v>50718</v>
      </c>
      <c r="L10005" s="3"/>
      <c r="M10005" s="4"/>
      <c r="N10005" s="3" t="s">
        <v>37</v>
      </c>
      <c r="O10005" s="3" t="s">
        <v>52</v>
      </c>
      <c r="P10005" s="5">
        <v>9</v>
      </c>
      <c r="Q10005" s="5">
        <v>89</v>
      </c>
      <c r="R10005" s="5">
        <v>8</v>
      </c>
      <c r="S10005" s="5">
        <v>80</v>
      </c>
    </row>
    <row r="10006" spans="1:19" ht="56" x14ac:dyDescent="0.15">
      <c r="A10006" s="2">
        <f>HYPERLINK("https://open-school.uspishnemisto.com.ua/school/510840/", 510840)</f>
        <v>510840</v>
      </c>
      <c r="B10006" s="3" t="s">
        <v>50719</v>
      </c>
      <c r="C10006" s="3" t="s">
        <v>54</v>
      </c>
      <c r="D10006" s="3" t="s">
        <v>175</v>
      </c>
      <c r="E10006" s="4" t="s">
        <v>22</v>
      </c>
      <c r="F10006" s="4" t="s">
        <v>50720</v>
      </c>
      <c r="G10006" s="4" t="s">
        <v>50721</v>
      </c>
      <c r="H10006" s="3" t="s">
        <v>46910</v>
      </c>
      <c r="I10006" s="3" t="s">
        <v>11880</v>
      </c>
      <c r="J10006" s="3" t="s">
        <v>50722</v>
      </c>
      <c r="K10006" s="3" t="s">
        <v>50723</v>
      </c>
      <c r="L10006" s="3"/>
      <c r="M10006" s="4"/>
      <c r="N10006" s="3" t="s">
        <v>37</v>
      </c>
      <c r="O10006" s="3" t="s">
        <v>618</v>
      </c>
      <c r="P10006" s="5">
        <v>8</v>
      </c>
      <c r="Q10006" s="5">
        <v>66</v>
      </c>
      <c r="R10006" s="5">
        <v>8</v>
      </c>
      <c r="S10006" s="5">
        <v>67</v>
      </c>
    </row>
    <row r="10007" spans="1:19" ht="42" x14ac:dyDescent="0.15">
      <c r="A10007" s="2">
        <f>HYPERLINK("https://open-school.uspishnemisto.com.ua/school/510841/", 510841)</f>
        <v>510841</v>
      </c>
      <c r="B10007" s="3" t="s">
        <v>50724</v>
      </c>
      <c r="C10007" s="3" t="s">
        <v>54</v>
      </c>
      <c r="D10007" s="3" t="s">
        <v>32</v>
      </c>
      <c r="E10007" s="4" t="s">
        <v>22</v>
      </c>
      <c r="F10007" s="4" t="s">
        <v>50725</v>
      </c>
      <c r="G10007" s="4" t="s">
        <v>50726</v>
      </c>
      <c r="H10007" s="3" t="s">
        <v>46910</v>
      </c>
      <c r="I10007" s="3" t="s">
        <v>50727</v>
      </c>
      <c r="J10007" s="3" t="s">
        <v>50728</v>
      </c>
      <c r="K10007" s="3" t="s">
        <v>50729</v>
      </c>
      <c r="L10007" s="3"/>
      <c r="M10007" s="4"/>
      <c r="N10007" s="3" t="s">
        <v>37</v>
      </c>
      <c r="O10007" s="3" t="s">
        <v>52</v>
      </c>
      <c r="P10007" s="5">
        <v>22</v>
      </c>
      <c r="Q10007" s="5">
        <v>465</v>
      </c>
      <c r="R10007" s="5">
        <v>21</v>
      </c>
      <c r="S10007" s="5">
        <v>449</v>
      </c>
    </row>
    <row r="10008" spans="1:19" ht="28" x14ac:dyDescent="0.15">
      <c r="A10008" s="2">
        <f>HYPERLINK("https://open-school.uspishnemisto.com.ua/school/510842/", 510842)</f>
        <v>510842</v>
      </c>
      <c r="B10008" s="3" t="s">
        <v>50730</v>
      </c>
      <c r="C10008" s="3" t="s">
        <v>31</v>
      </c>
      <c r="D10008" s="3" t="s">
        <v>175</v>
      </c>
      <c r="E10008" s="4" t="s">
        <v>22</v>
      </c>
      <c r="F10008" s="4" t="s">
        <v>50731</v>
      </c>
      <c r="G10008" s="4" t="s">
        <v>50732</v>
      </c>
      <c r="H10008" s="3" t="s">
        <v>46910</v>
      </c>
      <c r="I10008" s="3" t="s">
        <v>1500</v>
      </c>
      <c r="J10008" s="3"/>
      <c r="K10008" s="3" t="s">
        <v>50733</v>
      </c>
      <c r="L10008" s="3"/>
      <c r="M10008" s="4"/>
      <c r="N10008" s="3" t="s">
        <v>37</v>
      </c>
      <c r="O10008" s="3" t="s">
        <v>618</v>
      </c>
      <c r="P10008" s="5">
        <v>1</v>
      </c>
      <c r="Q10008" s="5">
        <v>22</v>
      </c>
      <c r="R10008" s="5">
        <v>2</v>
      </c>
      <c r="S10008" s="5">
        <v>26</v>
      </c>
    </row>
    <row r="10009" spans="1:19" ht="28" x14ac:dyDescent="0.15">
      <c r="A10009" s="2">
        <f>HYPERLINK("https://open-school.uspishnemisto.com.ua/school/510843/", 510843)</f>
        <v>510843</v>
      </c>
      <c r="B10009" s="3" t="s">
        <v>50734</v>
      </c>
      <c r="C10009" s="3" t="s">
        <v>31</v>
      </c>
      <c r="D10009" s="3" t="s">
        <v>175</v>
      </c>
      <c r="E10009" s="4" t="s">
        <v>22</v>
      </c>
      <c r="F10009" s="4" t="s">
        <v>50735</v>
      </c>
      <c r="G10009" s="4" t="s">
        <v>50736</v>
      </c>
      <c r="H10009" s="3" t="s">
        <v>46910</v>
      </c>
      <c r="I10009" s="3" t="s">
        <v>50737</v>
      </c>
      <c r="J10009" s="3" t="s">
        <v>12836</v>
      </c>
      <c r="K10009" s="3" t="s">
        <v>50738</v>
      </c>
      <c r="L10009" s="3"/>
      <c r="M10009" s="4"/>
      <c r="N10009" s="3" t="s">
        <v>37</v>
      </c>
      <c r="O10009" s="3" t="s">
        <v>618</v>
      </c>
      <c r="P10009" s="5">
        <v>6</v>
      </c>
      <c r="Q10009" s="5">
        <v>41</v>
      </c>
      <c r="R10009" s="5">
        <v>6</v>
      </c>
      <c r="S10009" s="5">
        <v>46</v>
      </c>
    </row>
    <row r="10010" spans="1:19" ht="56" x14ac:dyDescent="0.15">
      <c r="A10010" s="2">
        <f>HYPERLINK("https://open-school.uspishnemisto.com.ua/school/510844/", 510844)</f>
        <v>510844</v>
      </c>
      <c r="B10010" s="3" t="s">
        <v>50739</v>
      </c>
      <c r="C10010" s="3" t="s">
        <v>54</v>
      </c>
      <c r="D10010" s="3" t="s">
        <v>32</v>
      </c>
      <c r="E10010" s="4" t="s">
        <v>22</v>
      </c>
      <c r="F10010" s="4" t="s">
        <v>50740</v>
      </c>
      <c r="G10010" s="4" t="s">
        <v>50741</v>
      </c>
      <c r="H10010" s="3" t="s">
        <v>46910</v>
      </c>
      <c r="I10010" s="3" t="s">
        <v>1684</v>
      </c>
      <c r="J10010" s="3" t="s">
        <v>12836</v>
      </c>
      <c r="K10010" s="3" t="s">
        <v>50742</v>
      </c>
      <c r="L10010" s="3"/>
      <c r="M10010" s="4"/>
      <c r="N10010" s="3" t="s">
        <v>37</v>
      </c>
      <c r="O10010" s="3" t="s">
        <v>618</v>
      </c>
      <c r="P10010" s="5">
        <v>10</v>
      </c>
      <c r="Q10010" s="5">
        <v>106</v>
      </c>
      <c r="R10010" s="5">
        <v>9</v>
      </c>
      <c r="S10010" s="5">
        <v>94</v>
      </c>
    </row>
    <row r="10011" spans="1:19" ht="28" x14ac:dyDescent="0.15">
      <c r="A10011" s="2">
        <f>HYPERLINK("https://open-school.uspishnemisto.com.ua/school/510845/", 510845)</f>
        <v>510845</v>
      </c>
      <c r="B10011" s="3" t="s">
        <v>50743</v>
      </c>
      <c r="C10011" s="3" t="s">
        <v>31</v>
      </c>
      <c r="D10011" s="3" t="s">
        <v>175</v>
      </c>
      <c r="E10011" s="4" t="s">
        <v>22</v>
      </c>
      <c r="F10011" s="4" t="s">
        <v>50744</v>
      </c>
      <c r="G10011" s="4" t="s">
        <v>50745</v>
      </c>
      <c r="H10011" s="3" t="s">
        <v>46910</v>
      </c>
      <c r="I10011" s="3" t="s">
        <v>50746</v>
      </c>
      <c r="J10011" s="3" t="s">
        <v>2901</v>
      </c>
      <c r="K10011" s="3" t="s">
        <v>50747</v>
      </c>
      <c r="L10011" s="3"/>
      <c r="M10011" s="4"/>
      <c r="N10011" s="3" t="s">
        <v>37</v>
      </c>
      <c r="O10011" s="3" t="s">
        <v>52</v>
      </c>
      <c r="P10011" s="5">
        <v>9</v>
      </c>
      <c r="Q10011" s="5">
        <v>88</v>
      </c>
      <c r="R10011" s="5">
        <v>9</v>
      </c>
      <c r="S10011" s="5">
        <v>86</v>
      </c>
    </row>
    <row r="10012" spans="1:19" ht="42" x14ac:dyDescent="0.15">
      <c r="A10012" s="2">
        <f>HYPERLINK("https://open-school.uspishnemisto.com.ua/school/510846/", 510846)</f>
        <v>510846</v>
      </c>
      <c r="B10012" s="3" t="s">
        <v>50748</v>
      </c>
      <c r="C10012" s="3" t="s">
        <v>54</v>
      </c>
      <c r="D10012" s="3" t="s">
        <v>32</v>
      </c>
      <c r="E10012" s="4" t="s">
        <v>22</v>
      </c>
      <c r="F10012" s="4" t="s">
        <v>50749</v>
      </c>
      <c r="G10012" s="4" t="s">
        <v>50750</v>
      </c>
      <c r="H10012" s="3" t="s">
        <v>46910</v>
      </c>
      <c r="I10012" s="3" t="s">
        <v>50751</v>
      </c>
      <c r="J10012" s="3" t="s">
        <v>20803</v>
      </c>
      <c r="K10012" s="3" t="s">
        <v>50752</v>
      </c>
      <c r="L10012" s="3"/>
      <c r="M10012" s="4"/>
      <c r="N10012" s="3" t="s">
        <v>37</v>
      </c>
      <c r="O10012" s="3" t="s">
        <v>46</v>
      </c>
      <c r="P10012" s="5">
        <v>11</v>
      </c>
      <c r="Q10012" s="5">
        <v>121</v>
      </c>
      <c r="R10012" s="5">
        <v>10</v>
      </c>
      <c r="S10012" s="5">
        <v>120</v>
      </c>
    </row>
    <row r="10013" spans="1:19" ht="56" x14ac:dyDescent="0.15">
      <c r="A10013" s="2">
        <f>HYPERLINK("https://open-school.uspishnemisto.com.ua/school/510847/", 510847)</f>
        <v>510847</v>
      </c>
      <c r="B10013" s="3" t="s">
        <v>50753</v>
      </c>
      <c r="C10013" s="3" t="s">
        <v>54</v>
      </c>
      <c r="D10013" s="3" t="s">
        <v>32</v>
      </c>
      <c r="E10013" s="4" t="s">
        <v>22</v>
      </c>
      <c r="F10013" s="4" t="s">
        <v>50754</v>
      </c>
      <c r="G10013" s="4" t="s">
        <v>50755</v>
      </c>
      <c r="H10013" s="3" t="s">
        <v>46910</v>
      </c>
      <c r="I10013" s="3" t="s">
        <v>971</v>
      </c>
      <c r="J10013" s="3" t="s">
        <v>2074</v>
      </c>
      <c r="K10013" s="3" t="s">
        <v>50756</v>
      </c>
      <c r="L10013" s="3"/>
      <c r="M10013" s="4"/>
      <c r="N10013" s="3" t="s">
        <v>37</v>
      </c>
      <c r="O10013" s="3" t="s">
        <v>618</v>
      </c>
      <c r="P10013" s="5">
        <v>11</v>
      </c>
      <c r="Q10013" s="5">
        <v>82</v>
      </c>
      <c r="R10013" s="5">
        <v>11</v>
      </c>
      <c r="S10013" s="5">
        <v>87</v>
      </c>
    </row>
    <row r="10014" spans="1:19" ht="56" x14ac:dyDescent="0.15">
      <c r="A10014" s="2">
        <f>HYPERLINK("https://open-school.uspishnemisto.com.ua/school/510848/", 510848)</f>
        <v>510848</v>
      </c>
      <c r="B10014" s="3" t="s">
        <v>50757</v>
      </c>
      <c r="C10014" s="3" t="s">
        <v>54</v>
      </c>
      <c r="D10014" s="3" t="s">
        <v>175</v>
      </c>
      <c r="E10014" s="4" t="s">
        <v>22</v>
      </c>
      <c r="F10014" s="4" t="s">
        <v>50758</v>
      </c>
      <c r="G10014" s="4" t="s">
        <v>50759</v>
      </c>
      <c r="H10014" s="3" t="s">
        <v>46910</v>
      </c>
      <c r="I10014" s="3" t="s">
        <v>50760</v>
      </c>
      <c r="J10014" s="3"/>
      <c r="K10014" s="3" t="s">
        <v>50761</v>
      </c>
      <c r="L10014" s="3"/>
      <c r="M10014" s="4"/>
      <c r="N10014" s="3" t="s">
        <v>37</v>
      </c>
      <c r="O10014" s="3" t="s">
        <v>618</v>
      </c>
      <c r="P10014" s="5">
        <v>4</v>
      </c>
      <c r="Q10014" s="5">
        <v>43</v>
      </c>
      <c r="R10014" s="5">
        <v>4</v>
      </c>
      <c r="S10014" s="5">
        <v>49</v>
      </c>
    </row>
    <row r="10015" spans="1:19" ht="28" x14ac:dyDescent="0.15">
      <c r="A10015" s="2">
        <f>HYPERLINK("https://open-school.uspishnemisto.com.ua/school/510849/", 510849)</f>
        <v>510849</v>
      </c>
      <c r="B10015" s="3" t="s">
        <v>50762</v>
      </c>
      <c r="C10015" s="3" t="s">
        <v>31</v>
      </c>
      <c r="D10015" s="3" t="s">
        <v>175</v>
      </c>
      <c r="E10015" s="4" t="s">
        <v>22</v>
      </c>
      <c r="F10015" s="4" t="s">
        <v>50763</v>
      </c>
      <c r="G10015" s="4" t="s">
        <v>50764</v>
      </c>
      <c r="H10015" s="3" t="s">
        <v>46910</v>
      </c>
      <c r="I10015" s="3" t="s">
        <v>50765</v>
      </c>
      <c r="J10015" s="3"/>
      <c r="K10015" s="3" t="s">
        <v>50766</v>
      </c>
      <c r="L10015" s="3"/>
      <c r="M10015" s="4"/>
      <c r="N10015" s="3" t="s">
        <v>37</v>
      </c>
      <c r="O10015" s="3" t="s">
        <v>52</v>
      </c>
      <c r="P10015" s="5">
        <v>3</v>
      </c>
      <c r="Q10015" s="5">
        <v>38</v>
      </c>
      <c r="R10015" s="5">
        <v>1</v>
      </c>
      <c r="S10015" s="5">
        <v>34</v>
      </c>
    </row>
    <row r="10016" spans="1:19" ht="42" x14ac:dyDescent="0.15">
      <c r="A10016" s="2">
        <f>HYPERLINK("https://open-school.uspishnemisto.com.ua/school/510850/", 510850)</f>
        <v>510850</v>
      </c>
      <c r="B10016" s="3" t="s">
        <v>50767</v>
      </c>
      <c r="C10016" s="3" t="s">
        <v>54</v>
      </c>
      <c r="D10016" s="3" t="s">
        <v>32</v>
      </c>
      <c r="E10016" s="4" t="s">
        <v>22</v>
      </c>
      <c r="F10016" s="4" t="s">
        <v>50768</v>
      </c>
      <c r="G10016" s="4" t="s">
        <v>50769</v>
      </c>
      <c r="H10016" s="3" t="s">
        <v>46910</v>
      </c>
      <c r="I10016" s="3" t="s">
        <v>1587</v>
      </c>
      <c r="J10016" s="3" t="s">
        <v>1576</v>
      </c>
      <c r="K10016" s="3" t="s">
        <v>50770</v>
      </c>
      <c r="L10016" s="3"/>
      <c r="M10016" s="4"/>
      <c r="N10016" s="3" t="s">
        <v>37</v>
      </c>
      <c r="O10016" s="3" t="s">
        <v>52</v>
      </c>
      <c r="P10016" s="5">
        <v>10</v>
      </c>
      <c r="Q10016" s="5">
        <v>153</v>
      </c>
      <c r="R10016" s="5">
        <v>11</v>
      </c>
      <c r="S10016" s="5">
        <v>149</v>
      </c>
    </row>
    <row r="10017" spans="1:19" ht="42" x14ac:dyDescent="0.15">
      <c r="A10017" s="2">
        <f>HYPERLINK("https://open-school.uspishnemisto.com.ua/school/510851/", 510851)</f>
        <v>510851</v>
      </c>
      <c r="B10017" s="3" t="s">
        <v>50771</v>
      </c>
      <c r="C10017" s="3" t="s">
        <v>54</v>
      </c>
      <c r="D10017" s="3" t="s">
        <v>32</v>
      </c>
      <c r="E10017" s="4" t="s">
        <v>22</v>
      </c>
      <c r="F10017" s="4" t="s">
        <v>50772</v>
      </c>
      <c r="G10017" s="4" t="s">
        <v>50773</v>
      </c>
      <c r="H10017" s="3" t="s">
        <v>46910</v>
      </c>
      <c r="I10017" s="3" t="s">
        <v>50774</v>
      </c>
      <c r="J10017" s="3" t="s">
        <v>466</v>
      </c>
      <c r="K10017" s="3"/>
      <c r="L10017" s="3"/>
      <c r="M10017" s="4"/>
      <c r="N10017" s="3" t="s">
        <v>37</v>
      </c>
      <c r="O10017" s="3" t="s">
        <v>52</v>
      </c>
      <c r="P10017" s="5">
        <v>11</v>
      </c>
      <c r="Q10017" s="5">
        <v>215</v>
      </c>
      <c r="R10017" s="5">
        <v>11</v>
      </c>
      <c r="S10017" s="5">
        <v>216</v>
      </c>
    </row>
    <row r="10018" spans="1:19" ht="56" x14ac:dyDescent="0.15">
      <c r="A10018" s="2">
        <f>HYPERLINK("https://open-school.uspishnemisto.com.ua/school/510852/", 510852)</f>
        <v>510852</v>
      </c>
      <c r="B10018" s="3" t="s">
        <v>50775</v>
      </c>
      <c r="C10018" s="3" t="s">
        <v>54</v>
      </c>
      <c r="D10018" s="3" t="s">
        <v>32</v>
      </c>
      <c r="E10018" s="4" t="s">
        <v>22</v>
      </c>
      <c r="F10018" s="4" t="s">
        <v>50776</v>
      </c>
      <c r="G10018" s="4" t="s">
        <v>50777</v>
      </c>
      <c r="H10018" s="3" t="s">
        <v>46910</v>
      </c>
      <c r="I10018" s="3" t="s">
        <v>50778</v>
      </c>
      <c r="J10018" s="3"/>
      <c r="K10018" s="3" t="s">
        <v>50779</v>
      </c>
      <c r="L10018" s="3"/>
      <c r="M10018" s="4"/>
      <c r="N10018" s="3" t="s">
        <v>37</v>
      </c>
      <c r="O10018" s="3" t="s">
        <v>52</v>
      </c>
      <c r="P10018" s="5">
        <v>11</v>
      </c>
      <c r="Q10018" s="5">
        <v>82</v>
      </c>
      <c r="R10018" s="5">
        <v>10</v>
      </c>
      <c r="S10018" s="5">
        <v>82</v>
      </c>
    </row>
    <row r="10019" spans="1:19" ht="28" x14ac:dyDescent="0.15">
      <c r="A10019" s="2">
        <f>HYPERLINK("https://open-school.uspishnemisto.com.ua/school/510853/", 510853)</f>
        <v>510853</v>
      </c>
      <c r="B10019" s="3" t="s">
        <v>50780</v>
      </c>
      <c r="C10019" s="3" t="s">
        <v>54</v>
      </c>
      <c r="D10019" s="3" t="s">
        <v>32</v>
      </c>
      <c r="E10019" s="4" t="s">
        <v>22</v>
      </c>
      <c r="F10019" s="4" t="s">
        <v>50781</v>
      </c>
      <c r="G10019" s="4" t="s">
        <v>50782</v>
      </c>
      <c r="H10019" s="3" t="s">
        <v>46910</v>
      </c>
      <c r="I10019" s="3" t="s">
        <v>50783</v>
      </c>
      <c r="J10019" s="3" t="s">
        <v>50784</v>
      </c>
      <c r="K10019" s="3" t="s">
        <v>50785</v>
      </c>
      <c r="L10019" s="3" t="s">
        <v>50786</v>
      </c>
      <c r="M10019" s="4"/>
      <c r="N10019" s="3" t="s">
        <v>37</v>
      </c>
      <c r="O10019" s="3" t="s">
        <v>197</v>
      </c>
      <c r="P10019" s="5">
        <v>32</v>
      </c>
      <c r="Q10019" s="5">
        <v>669</v>
      </c>
      <c r="R10019" s="5">
        <v>34</v>
      </c>
      <c r="S10019" s="5">
        <v>645</v>
      </c>
    </row>
    <row r="10020" spans="1:19" ht="28" x14ac:dyDescent="0.15">
      <c r="A10020" s="2">
        <f>HYPERLINK("https://open-school.uspishnemisto.com.ua/school/510854/", 510854)</f>
        <v>510854</v>
      </c>
      <c r="B10020" s="3" t="s">
        <v>50787</v>
      </c>
      <c r="C10020" s="3" t="s">
        <v>31</v>
      </c>
      <c r="D10020" s="3" t="s">
        <v>175</v>
      </c>
      <c r="E10020" s="4" t="s">
        <v>22</v>
      </c>
      <c r="F10020" s="4" t="s">
        <v>50781</v>
      </c>
      <c r="G10020" s="4" t="s">
        <v>50782</v>
      </c>
      <c r="H10020" s="3" t="s">
        <v>46910</v>
      </c>
      <c r="I10020" s="3" t="s">
        <v>50783</v>
      </c>
      <c r="J10020" s="3" t="s">
        <v>50788</v>
      </c>
      <c r="K10020" s="3" t="s">
        <v>50789</v>
      </c>
      <c r="L10020" s="3"/>
      <c r="M10020" s="4"/>
      <c r="N10020" s="3" t="s">
        <v>37</v>
      </c>
      <c r="O10020" s="3" t="s">
        <v>52</v>
      </c>
      <c r="P10020" s="5">
        <v>9</v>
      </c>
      <c r="Q10020" s="5">
        <v>85</v>
      </c>
      <c r="R10020" s="5">
        <v>9</v>
      </c>
      <c r="S10020" s="5">
        <v>82</v>
      </c>
    </row>
    <row r="10021" spans="1:19" ht="28" x14ac:dyDescent="0.15">
      <c r="A10021" s="2">
        <f>HYPERLINK("https://open-school.uspishnemisto.com.ua/school/510855/", 510855)</f>
        <v>510855</v>
      </c>
      <c r="B10021" s="3" t="s">
        <v>50790</v>
      </c>
      <c r="C10021" s="3" t="s">
        <v>31</v>
      </c>
      <c r="D10021" s="3" t="s">
        <v>175</v>
      </c>
      <c r="E10021" s="4" t="s">
        <v>22</v>
      </c>
      <c r="F10021" s="4" t="s">
        <v>50781</v>
      </c>
      <c r="G10021" s="4" t="s">
        <v>50782</v>
      </c>
      <c r="H10021" s="3" t="s">
        <v>46910</v>
      </c>
      <c r="I10021" s="3" t="s">
        <v>50783</v>
      </c>
      <c r="J10021" s="3" t="s">
        <v>50791</v>
      </c>
      <c r="K10021" s="3" t="s">
        <v>50792</v>
      </c>
      <c r="L10021" s="3"/>
      <c r="M10021" s="4"/>
      <c r="N10021" s="3" t="s">
        <v>37</v>
      </c>
      <c r="O10021" s="3" t="s">
        <v>38</v>
      </c>
      <c r="P10021" s="5">
        <v>9</v>
      </c>
      <c r="Q10021" s="5">
        <v>112</v>
      </c>
      <c r="R10021" s="5">
        <v>9</v>
      </c>
      <c r="S10021" s="5">
        <v>120</v>
      </c>
    </row>
    <row r="10022" spans="1:19" ht="42" x14ac:dyDescent="0.15">
      <c r="A10022" s="2">
        <f>HYPERLINK("https://open-school.uspishnemisto.com.ua/school/510856/", 510856)</f>
        <v>510856</v>
      </c>
      <c r="B10022" s="3" t="s">
        <v>50793</v>
      </c>
      <c r="C10022" s="3" t="s">
        <v>54</v>
      </c>
      <c r="D10022" s="3" t="s">
        <v>32</v>
      </c>
      <c r="E10022" s="4" t="s">
        <v>22</v>
      </c>
      <c r="F10022" s="4" t="s">
        <v>50794</v>
      </c>
      <c r="G10022" s="4" t="s">
        <v>50795</v>
      </c>
      <c r="H10022" s="3" t="s">
        <v>46910</v>
      </c>
      <c r="I10022" s="3" t="s">
        <v>1291</v>
      </c>
      <c r="J10022" s="3" t="s">
        <v>479</v>
      </c>
      <c r="K10022" s="3" t="s">
        <v>50796</v>
      </c>
      <c r="L10022" s="3"/>
      <c r="M10022" s="4"/>
      <c r="N10022" s="3" t="s">
        <v>37</v>
      </c>
      <c r="O10022" s="3" t="s">
        <v>618</v>
      </c>
      <c r="P10022" s="5">
        <v>11</v>
      </c>
      <c r="Q10022" s="5">
        <v>105</v>
      </c>
      <c r="R10022" s="5">
        <v>11</v>
      </c>
      <c r="S10022" s="5">
        <v>105</v>
      </c>
    </row>
    <row r="10023" spans="1:19" ht="28" x14ac:dyDescent="0.15">
      <c r="A10023" s="2">
        <f>HYPERLINK("https://open-school.uspishnemisto.com.ua/school/510857/", 510857)</f>
        <v>510857</v>
      </c>
      <c r="B10023" s="3" t="s">
        <v>50797</v>
      </c>
      <c r="C10023" s="3" t="s">
        <v>31</v>
      </c>
      <c r="D10023" s="3" t="s">
        <v>60</v>
      </c>
      <c r="E10023" s="4" t="s">
        <v>22</v>
      </c>
      <c r="F10023" s="4" t="s">
        <v>50798</v>
      </c>
      <c r="G10023" s="4" t="s">
        <v>50799</v>
      </c>
      <c r="H10023" s="3" t="s">
        <v>46910</v>
      </c>
      <c r="I10023" s="3" t="s">
        <v>2475</v>
      </c>
      <c r="J10023" s="3" t="s">
        <v>50800</v>
      </c>
      <c r="K10023" s="3" t="s">
        <v>50801</v>
      </c>
      <c r="L10023" s="3"/>
      <c r="M10023" s="4"/>
      <c r="N10023" s="3" t="s">
        <v>37</v>
      </c>
      <c r="O10023" s="3" t="s">
        <v>618</v>
      </c>
      <c r="P10023" s="5">
        <v>1</v>
      </c>
      <c r="Q10023" s="5">
        <v>11</v>
      </c>
      <c r="R10023" s="5">
        <v>1</v>
      </c>
      <c r="S10023" s="5">
        <v>13</v>
      </c>
    </row>
    <row r="10024" spans="1:19" ht="28" x14ac:dyDescent="0.15">
      <c r="A10024" s="2">
        <f>HYPERLINK("https://open-school.uspishnemisto.com.ua/school/510858/", 510858)</f>
        <v>510858</v>
      </c>
      <c r="B10024" s="3" t="s">
        <v>50802</v>
      </c>
      <c r="C10024" s="3" t="s">
        <v>31</v>
      </c>
      <c r="D10024" s="3" t="s">
        <v>32</v>
      </c>
      <c r="E10024" s="4" t="s">
        <v>22</v>
      </c>
      <c r="F10024" s="4" t="s">
        <v>50803</v>
      </c>
      <c r="G10024" s="4" t="s">
        <v>50804</v>
      </c>
      <c r="H10024" s="3" t="s">
        <v>46910</v>
      </c>
      <c r="I10024" s="3" t="s">
        <v>50805</v>
      </c>
      <c r="J10024" s="3" t="s">
        <v>700</v>
      </c>
      <c r="K10024" s="3"/>
      <c r="L10024" s="3"/>
      <c r="M10024" s="4"/>
      <c r="N10024" s="3" t="s">
        <v>37</v>
      </c>
      <c r="O10024" s="3" t="s">
        <v>618</v>
      </c>
      <c r="P10024" s="5">
        <v>2</v>
      </c>
      <c r="Q10024" s="5">
        <v>32</v>
      </c>
      <c r="R10024" s="5">
        <v>2</v>
      </c>
      <c r="S10024" s="5">
        <v>31</v>
      </c>
    </row>
    <row r="10025" spans="1:19" ht="28" x14ac:dyDescent="0.15">
      <c r="A10025" s="2">
        <f>HYPERLINK("https://open-school.uspishnemisto.com.ua/school/510859/", 510859)</f>
        <v>510859</v>
      </c>
      <c r="B10025" s="3" t="s">
        <v>50806</v>
      </c>
      <c r="C10025" s="3" t="s">
        <v>31</v>
      </c>
      <c r="D10025" s="3" t="s">
        <v>32</v>
      </c>
      <c r="E10025" s="4" t="s">
        <v>22</v>
      </c>
      <c r="F10025" s="4" t="s">
        <v>50807</v>
      </c>
      <c r="G10025" s="4" t="s">
        <v>50808</v>
      </c>
      <c r="H10025" s="3" t="s">
        <v>46910</v>
      </c>
      <c r="I10025" s="3" t="s">
        <v>33199</v>
      </c>
      <c r="J10025" s="3" t="s">
        <v>50809</v>
      </c>
      <c r="K10025" s="3" t="s">
        <v>50810</v>
      </c>
      <c r="L10025" s="3"/>
      <c r="M10025" s="4"/>
      <c r="N10025" s="3" t="s">
        <v>37</v>
      </c>
      <c r="O10025" s="3" t="s">
        <v>618</v>
      </c>
      <c r="P10025" s="5">
        <v>8</v>
      </c>
      <c r="Q10025" s="5">
        <v>58</v>
      </c>
      <c r="R10025" s="5">
        <v>8</v>
      </c>
      <c r="S10025" s="5">
        <v>52</v>
      </c>
    </row>
    <row r="10026" spans="1:19" ht="56" x14ac:dyDescent="0.15">
      <c r="A10026" s="2">
        <f>HYPERLINK("https://open-school.uspishnemisto.com.ua/school/510860/", 510860)</f>
        <v>510860</v>
      </c>
      <c r="B10026" s="3" t="s">
        <v>50811</v>
      </c>
      <c r="C10026" s="3" t="s">
        <v>54</v>
      </c>
      <c r="D10026" s="3" t="s">
        <v>32</v>
      </c>
      <c r="E10026" s="4" t="s">
        <v>22</v>
      </c>
      <c r="F10026" s="4" t="s">
        <v>50812</v>
      </c>
      <c r="G10026" s="4" t="s">
        <v>50813</v>
      </c>
      <c r="H10026" s="3" t="s">
        <v>46910</v>
      </c>
      <c r="I10026" s="3" t="s">
        <v>50814</v>
      </c>
      <c r="J10026" s="3" t="s">
        <v>761</v>
      </c>
      <c r="K10026" s="3"/>
      <c r="L10026" s="3"/>
      <c r="M10026" s="4"/>
      <c r="N10026" s="3" t="s">
        <v>37</v>
      </c>
      <c r="O10026" s="3" t="s">
        <v>52</v>
      </c>
      <c r="P10026" s="5">
        <v>15</v>
      </c>
      <c r="Q10026" s="5">
        <v>256</v>
      </c>
      <c r="R10026" s="5">
        <v>13</v>
      </c>
      <c r="S10026" s="5">
        <v>260</v>
      </c>
    </row>
    <row r="10027" spans="1:19" ht="28" x14ac:dyDescent="0.15">
      <c r="A10027" s="2">
        <f>HYPERLINK("https://open-school.uspishnemisto.com.ua/school/510861/", 510861)</f>
        <v>510861</v>
      </c>
      <c r="B10027" s="3" t="s">
        <v>50815</v>
      </c>
      <c r="C10027" s="3" t="s">
        <v>293</v>
      </c>
      <c r="D10027" s="3" t="s">
        <v>175</v>
      </c>
      <c r="E10027" s="4" t="s">
        <v>22</v>
      </c>
      <c r="F10027" s="4" t="s">
        <v>50812</v>
      </c>
      <c r="G10027" s="4" t="s">
        <v>50813</v>
      </c>
      <c r="H10027" s="3" t="s">
        <v>46910</v>
      </c>
      <c r="I10027" s="3" t="s">
        <v>50814</v>
      </c>
      <c r="J10027" s="3" t="s">
        <v>8152</v>
      </c>
      <c r="K10027" s="3" t="s">
        <v>50816</v>
      </c>
      <c r="L10027" s="3"/>
      <c r="M10027" s="4" t="s">
        <v>50817</v>
      </c>
      <c r="N10027" s="3" t="s">
        <v>37</v>
      </c>
      <c r="O10027" s="3" t="s">
        <v>52</v>
      </c>
      <c r="P10027" s="5">
        <v>9</v>
      </c>
      <c r="Q10027" s="5">
        <v>180</v>
      </c>
      <c r="R10027" s="5">
        <v>9</v>
      </c>
      <c r="S10027" s="5">
        <v>171</v>
      </c>
    </row>
    <row r="10028" spans="1:19" ht="28" x14ac:dyDescent="0.15">
      <c r="A10028" s="2">
        <f>HYPERLINK("https://open-school.uspishnemisto.com.ua/school/510862/", 510862)</f>
        <v>510862</v>
      </c>
      <c r="B10028" s="3" t="s">
        <v>50818</v>
      </c>
      <c r="C10028" s="3" t="s">
        <v>31</v>
      </c>
      <c r="D10028" s="3" t="s">
        <v>175</v>
      </c>
      <c r="E10028" s="4" t="s">
        <v>22</v>
      </c>
      <c r="F10028" s="4" t="s">
        <v>50812</v>
      </c>
      <c r="G10028" s="4" t="s">
        <v>50819</v>
      </c>
      <c r="H10028" s="3" t="s">
        <v>46910</v>
      </c>
      <c r="I10028" s="3" t="s">
        <v>50820</v>
      </c>
      <c r="J10028" s="3" t="s">
        <v>50821</v>
      </c>
      <c r="K10028" s="3" t="s">
        <v>50822</v>
      </c>
      <c r="L10028" s="3"/>
      <c r="M10028" s="4"/>
      <c r="N10028" s="3" t="s">
        <v>37</v>
      </c>
      <c r="O10028" s="3" t="s">
        <v>618</v>
      </c>
      <c r="P10028" s="5">
        <v>4</v>
      </c>
      <c r="Q10028" s="5">
        <v>35</v>
      </c>
      <c r="R10028" s="5">
        <v>7</v>
      </c>
      <c r="S10028" s="5">
        <v>43</v>
      </c>
    </row>
    <row r="10029" spans="1:19" ht="56" x14ac:dyDescent="0.15">
      <c r="A10029" s="2">
        <f>HYPERLINK("https://open-school.uspishnemisto.com.ua/school/510863/", 510863)</f>
        <v>510863</v>
      </c>
      <c r="B10029" s="3" t="s">
        <v>50823</v>
      </c>
      <c r="C10029" s="3" t="s">
        <v>54</v>
      </c>
      <c r="D10029" s="3" t="s">
        <v>32</v>
      </c>
      <c r="E10029" s="4" t="s">
        <v>22</v>
      </c>
      <c r="F10029" s="4" t="s">
        <v>50824</v>
      </c>
      <c r="G10029" s="4" t="s">
        <v>50825</v>
      </c>
      <c r="H10029" s="3" t="s">
        <v>46910</v>
      </c>
      <c r="I10029" s="3" t="s">
        <v>50826</v>
      </c>
      <c r="J10029" s="3" t="s">
        <v>50827</v>
      </c>
      <c r="K10029" s="3" t="s">
        <v>50828</v>
      </c>
      <c r="L10029" s="3"/>
      <c r="M10029" s="4"/>
      <c r="N10029" s="3" t="s">
        <v>37</v>
      </c>
      <c r="O10029" s="3" t="s">
        <v>112</v>
      </c>
      <c r="P10029" s="5">
        <v>10</v>
      </c>
      <c r="Q10029" s="5">
        <v>96</v>
      </c>
      <c r="R10029" s="5">
        <v>9</v>
      </c>
      <c r="S10029" s="5">
        <v>97</v>
      </c>
    </row>
    <row r="10030" spans="1:19" ht="56" x14ac:dyDescent="0.15">
      <c r="A10030" s="2">
        <f>HYPERLINK("https://open-school.uspishnemisto.com.ua/school/510864/", 510864)</f>
        <v>510864</v>
      </c>
      <c r="B10030" s="3" t="s">
        <v>50829</v>
      </c>
      <c r="C10030" s="3" t="s">
        <v>54</v>
      </c>
      <c r="D10030" s="3" t="s">
        <v>32</v>
      </c>
      <c r="E10030" s="4" t="s">
        <v>22</v>
      </c>
      <c r="F10030" s="4" t="s">
        <v>50830</v>
      </c>
      <c r="G10030" s="4" t="s">
        <v>50831</v>
      </c>
      <c r="H10030" s="3" t="s">
        <v>46910</v>
      </c>
      <c r="I10030" s="3" t="s">
        <v>50832</v>
      </c>
      <c r="J10030" s="3" t="s">
        <v>50833</v>
      </c>
      <c r="K10030" s="3" t="s">
        <v>50834</v>
      </c>
      <c r="L10030" s="3"/>
      <c r="M10030" s="4"/>
      <c r="N10030" s="3" t="s">
        <v>37</v>
      </c>
      <c r="O10030" s="3" t="s">
        <v>618</v>
      </c>
      <c r="P10030" s="5">
        <v>7</v>
      </c>
      <c r="Q10030" s="5">
        <v>68</v>
      </c>
      <c r="R10030" s="5">
        <v>7</v>
      </c>
      <c r="S10030" s="5">
        <v>66</v>
      </c>
    </row>
    <row r="10031" spans="1:19" ht="28" x14ac:dyDescent="0.15">
      <c r="A10031" s="2">
        <f>HYPERLINK("https://open-school.uspishnemisto.com.ua/school/510865/", 510865)</f>
        <v>510865</v>
      </c>
      <c r="B10031" s="3" t="s">
        <v>50835</v>
      </c>
      <c r="C10031" s="3" t="s">
        <v>31</v>
      </c>
      <c r="D10031" s="3" t="s">
        <v>32</v>
      </c>
      <c r="E10031" s="4" t="s">
        <v>22</v>
      </c>
      <c r="F10031" s="4" t="s">
        <v>50836</v>
      </c>
      <c r="G10031" s="4" t="s">
        <v>50837</v>
      </c>
      <c r="H10031" s="3" t="s">
        <v>46910</v>
      </c>
      <c r="I10031" s="3" t="s">
        <v>50838</v>
      </c>
      <c r="J10031" s="3" t="s">
        <v>50839</v>
      </c>
      <c r="K10031" s="3"/>
      <c r="L10031" s="3"/>
      <c r="M10031" s="4"/>
      <c r="N10031" s="3" t="s">
        <v>37</v>
      </c>
      <c r="O10031" s="3" t="s">
        <v>112</v>
      </c>
      <c r="P10031" s="5">
        <v>11</v>
      </c>
      <c r="Q10031" s="5">
        <v>121</v>
      </c>
      <c r="R10031" s="5">
        <v>11</v>
      </c>
      <c r="S10031" s="5">
        <v>120</v>
      </c>
    </row>
    <row r="10032" spans="1:19" ht="28" x14ac:dyDescent="0.15">
      <c r="A10032" s="2">
        <f>HYPERLINK("https://open-school.uspishnemisto.com.ua/school/510866/", 510866)</f>
        <v>510866</v>
      </c>
      <c r="B10032" s="3" t="s">
        <v>50840</v>
      </c>
      <c r="C10032" s="3" t="s">
        <v>31</v>
      </c>
      <c r="D10032" s="3" t="s">
        <v>175</v>
      </c>
      <c r="E10032" s="4" t="s">
        <v>22</v>
      </c>
      <c r="F10032" s="4" t="s">
        <v>50841</v>
      </c>
      <c r="G10032" s="4" t="s">
        <v>50842</v>
      </c>
      <c r="H10032" s="3" t="s">
        <v>46910</v>
      </c>
      <c r="I10032" s="3" t="s">
        <v>50843</v>
      </c>
      <c r="J10032" s="3" t="s">
        <v>3988</v>
      </c>
      <c r="K10032" s="3" t="s">
        <v>50844</v>
      </c>
      <c r="L10032" s="3"/>
      <c r="M10032" s="4"/>
      <c r="N10032" s="3" t="s">
        <v>37</v>
      </c>
      <c r="O10032" s="3" t="s">
        <v>112</v>
      </c>
      <c r="P10032" s="5">
        <v>3</v>
      </c>
      <c r="Q10032" s="5">
        <v>43</v>
      </c>
      <c r="R10032" s="5">
        <v>3</v>
      </c>
      <c r="S10032" s="5">
        <v>38</v>
      </c>
    </row>
    <row r="10033" spans="1:19" ht="28" x14ac:dyDescent="0.15">
      <c r="A10033" s="2">
        <f>HYPERLINK("https://open-school.uspishnemisto.com.ua/school/510867/", 510867)</f>
        <v>510867</v>
      </c>
      <c r="B10033" s="3" t="s">
        <v>50845</v>
      </c>
      <c r="C10033" s="3" t="s">
        <v>31</v>
      </c>
      <c r="D10033" s="3" t="s">
        <v>60</v>
      </c>
      <c r="E10033" s="4" t="s">
        <v>22</v>
      </c>
      <c r="F10033" s="4" t="s">
        <v>50841</v>
      </c>
      <c r="G10033" s="4" t="s">
        <v>50846</v>
      </c>
      <c r="H10033" s="3" t="s">
        <v>46910</v>
      </c>
      <c r="I10033" s="3" t="s">
        <v>50847</v>
      </c>
      <c r="J10033" s="3"/>
      <c r="K10033" s="3" t="s">
        <v>50848</v>
      </c>
      <c r="L10033" s="3"/>
      <c r="M10033" s="4"/>
      <c r="N10033" s="3" t="s">
        <v>37</v>
      </c>
      <c r="O10033" s="3" t="s">
        <v>52</v>
      </c>
      <c r="P10033" s="5">
        <v>0</v>
      </c>
      <c r="Q10033" s="5">
        <v>10</v>
      </c>
      <c r="R10033" s="5">
        <v>1</v>
      </c>
      <c r="S10033" s="5">
        <v>11</v>
      </c>
    </row>
    <row r="10034" spans="1:19" ht="28" x14ac:dyDescent="0.15">
      <c r="A10034" s="2">
        <f>HYPERLINK("https://open-school.uspishnemisto.com.ua/school/510868/", 510868)</f>
        <v>510868</v>
      </c>
      <c r="B10034" s="3" t="s">
        <v>50849</v>
      </c>
      <c r="C10034" s="3" t="s">
        <v>31</v>
      </c>
      <c r="D10034" s="3" t="s">
        <v>32</v>
      </c>
      <c r="E10034" s="4" t="s">
        <v>22</v>
      </c>
      <c r="F10034" s="4" t="s">
        <v>50850</v>
      </c>
      <c r="G10034" s="4" t="s">
        <v>50851</v>
      </c>
      <c r="H10034" s="3" t="s">
        <v>46910</v>
      </c>
      <c r="I10034" s="3" t="s">
        <v>440</v>
      </c>
      <c r="J10034" s="3" t="s">
        <v>50852</v>
      </c>
      <c r="K10034" s="3" t="s">
        <v>50853</v>
      </c>
      <c r="L10034" s="3"/>
      <c r="M10034" s="4"/>
      <c r="N10034" s="3" t="s">
        <v>37</v>
      </c>
      <c r="O10034" s="3" t="s">
        <v>52</v>
      </c>
      <c r="P10034" s="5">
        <v>11</v>
      </c>
      <c r="Q10034" s="5">
        <v>191</v>
      </c>
      <c r="R10034" s="5">
        <v>11</v>
      </c>
      <c r="S10034" s="5">
        <v>195</v>
      </c>
    </row>
    <row r="10035" spans="1:19" ht="56" x14ac:dyDescent="0.15">
      <c r="A10035" s="2">
        <f>HYPERLINK("https://open-school.uspishnemisto.com.ua/school/510869/", 510869)</f>
        <v>510869</v>
      </c>
      <c r="B10035" s="3" t="s">
        <v>50854</v>
      </c>
      <c r="C10035" s="3" t="s">
        <v>54</v>
      </c>
      <c r="D10035" s="3" t="s">
        <v>32</v>
      </c>
      <c r="E10035" s="4" t="s">
        <v>22</v>
      </c>
      <c r="F10035" s="4" t="s">
        <v>50855</v>
      </c>
      <c r="G10035" s="4" t="s">
        <v>50856</v>
      </c>
      <c r="H10035" s="3" t="s">
        <v>46910</v>
      </c>
      <c r="I10035" s="3" t="s">
        <v>1740</v>
      </c>
      <c r="J10035" s="3" t="s">
        <v>50857</v>
      </c>
      <c r="K10035" s="3" t="s">
        <v>50858</v>
      </c>
      <c r="L10035" s="3"/>
      <c r="M10035" s="4"/>
      <c r="N10035" s="3" t="s">
        <v>37</v>
      </c>
      <c r="O10035" s="3" t="s">
        <v>618</v>
      </c>
      <c r="P10035" s="5">
        <v>11</v>
      </c>
      <c r="Q10035" s="5">
        <v>170</v>
      </c>
      <c r="R10035" s="5">
        <v>11</v>
      </c>
      <c r="S10035" s="5">
        <v>160</v>
      </c>
    </row>
    <row r="10036" spans="1:19" ht="28" x14ac:dyDescent="0.15">
      <c r="A10036" s="2">
        <f>HYPERLINK("https://open-school.uspishnemisto.com.ua/school/510870/", 510870)</f>
        <v>510870</v>
      </c>
      <c r="B10036" s="3" t="s">
        <v>50859</v>
      </c>
      <c r="C10036" s="3" t="s">
        <v>31</v>
      </c>
      <c r="D10036" s="3" t="s">
        <v>175</v>
      </c>
      <c r="E10036" s="4" t="s">
        <v>22</v>
      </c>
      <c r="F10036" s="4" t="s">
        <v>50860</v>
      </c>
      <c r="G10036" s="4" t="s">
        <v>50861</v>
      </c>
      <c r="H10036" s="3" t="s">
        <v>46910</v>
      </c>
      <c r="I10036" s="3" t="s">
        <v>15367</v>
      </c>
      <c r="J10036" s="3" t="s">
        <v>50862</v>
      </c>
      <c r="K10036" s="3"/>
      <c r="L10036" s="3"/>
      <c r="M10036" s="4"/>
      <c r="N10036" s="3" t="s">
        <v>37</v>
      </c>
      <c r="O10036" s="3" t="s">
        <v>618</v>
      </c>
      <c r="P10036" s="5">
        <v>5</v>
      </c>
      <c r="Q10036" s="5">
        <v>34</v>
      </c>
      <c r="R10036" s="5">
        <v>6</v>
      </c>
      <c r="S10036" s="5">
        <v>39</v>
      </c>
    </row>
    <row r="10037" spans="1:19" ht="28" x14ac:dyDescent="0.15">
      <c r="A10037" s="2">
        <f>HYPERLINK("https://open-school.uspishnemisto.com.ua/school/510871/", 510871)</f>
        <v>510871</v>
      </c>
      <c r="B10037" s="3" t="s">
        <v>50863</v>
      </c>
      <c r="C10037" s="3" t="s">
        <v>31</v>
      </c>
      <c r="D10037" s="3" t="s">
        <v>32</v>
      </c>
      <c r="E10037" s="4" t="s">
        <v>22</v>
      </c>
      <c r="F10037" s="4" t="s">
        <v>50864</v>
      </c>
      <c r="G10037" s="4" t="s">
        <v>50865</v>
      </c>
      <c r="H10037" s="3" t="s">
        <v>46910</v>
      </c>
      <c r="I10037" s="3" t="s">
        <v>15793</v>
      </c>
      <c r="J10037" s="3" t="s">
        <v>466</v>
      </c>
      <c r="K10037" s="3" t="s">
        <v>50866</v>
      </c>
      <c r="L10037" s="3"/>
      <c r="M10037" s="4"/>
      <c r="N10037" s="3" t="s">
        <v>37</v>
      </c>
      <c r="O10037" s="3" t="s">
        <v>112</v>
      </c>
      <c r="P10037" s="5">
        <v>11</v>
      </c>
      <c r="Q10037" s="5">
        <v>196</v>
      </c>
      <c r="R10037" s="5">
        <v>11</v>
      </c>
      <c r="S10037" s="5">
        <v>188</v>
      </c>
    </row>
    <row r="10038" spans="1:19" ht="28" x14ac:dyDescent="0.15">
      <c r="A10038" s="2">
        <f>HYPERLINK("https://open-school.uspishnemisto.com.ua/school/510872/", 510872)</f>
        <v>510872</v>
      </c>
      <c r="B10038" s="3" t="s">
        <v>50867</v>
      </c>
      <c r="C10038" s="3" t="s">
        <v>31</v>
      </c>
      <c r="D10038" s="3" t="s">
        <v>175</v>
      </c>
      <c r="E10038" s="4" t="s">
        <v>22</v>
      </c>
      <c r="F10038" s="4" t="s">
        <v>50868</v>
      </c>
      <c r="G10038" s="4" t="s">
        <v>50869</v>
      </c>
      <c r="H10038" s="3" t="s">
        <v>46910</v>
      </c>
      <c r="I10038" s="3" t="s">
        <v>50870</v>
      </c>
      <c r="J10038" s="3" t="s">
        <v>554</v>
      </c>
      <c r="K10038" s="3" t="s">
        <v>50871</v>
      </c>
      <c r="L10038" s="3"/>
      <c r="M10038" s="4"/>
      <c r="N10038" s="3" t="s">
        <v>37</v>
      </c>
      <c r="O10038" s="3" t="s">
        <v>618</v>
      </c>
      <c r="P10038" s="5">
        <v>8</v>
      </c>
      <c r="Q10038" s="5">
        <v>76</v>
      </c>
      <c r="R10038" s="5">
        <v>8</v>
      </c>
      <c r="S10038" s="5">
        <v>75</v>
      </c>
    </row>
    <row r="10039" spans="1:19" ht="28" x14ac:dyDescent="0.15">
      <c r="A10039" s="2">
        <f>HYPERLINK("https://open-school.uspishnemisto.com.ua/school/510873/", 510873)</f>
        <v>510873</v>
      </c>
      <c r="B10039" s="3" t="s">
        <v>50872</v>
      </c>
      <c r="C10039" s="3" t="s">
        <v>31</v>
      </c>
      <c r="D10039" s="3" t="s">
        <v>32</v>
      </c>
      <c r="E10039" s="4" t="s">
        <v>22</v>
      </c>
      <c r="F10039" s="4" t="s">
        <v>50812</v>
      </c>
      <c r="G10039" s="4" t="s">
        <v>50873</v>
      </c>
      <c r="H10039" s="3" t="s">
        <v>46910</v>
      </c>
      <c r="I10039" s="3" t="s">
        <v>50874</v>
      </c>
      <c r="J10039" s="3" t="s">
        <v>4425</v>
      </c>
      <c r="K10039" s="3" t="s">
        <v>50875</v>
      </c>
      <c r="L10039" s="3"/>
      <c r="M10039" s="4"/>
      <c r="N10039" s="3" t="s">
        <v>37</v>
      </c>
      <c r="O10039" s="3" t="s">
        <v>618</v>
      </c>
      <c r="P10039" s="5">
        <v>5</v>
      </c>
      <c r="Q10039" s="5">
        <v>43</v>
      </c>
      <c r="R10039" s="5">
        <v>8</v>
      </c>
      <c r="S10039" s="5">
        <v>51</v>
      </c>
    </row>
    <row r="10040" spans="1:19" ht="56" x14ac:dyDescent="0.15">
      <c r="A10040" s="2">
        <f>HYPERLINK("https://open-school.uspishnemisto.com.ua/school/510874/", 510874)</f>
        <v>510874</v>
      </c>
      <c r="B10040" s="3" t="s">
        <v>50876</v>
      </c>
      <c r="C10040" s="3" t="s">
        <v>54</v>
      </c>
      <c r="D10040" s="3" t="s">
        <v>32</v>
      </c>
      <c r="E10040" s="4" t="s">
        <v>22</v>
      </c>
      <c r="F10040" s="4" t="s">
        <v>50877</v>
      </c>
      <c r="G10040" s="4" t="s">
        <v>50878</v>
      </c>
      <c r="H10040" s="3" t="s">
        <v>46910</v>
      </c>
      <c r="I10040" s="3" t="s">
        <v>50879</v>
      </c>
      <c r="J10040" s="3" t="s">
        <v>50880</v>
      </c>
      <c r="K10040" s="3" t="s">
        <v>50881</v>
      </c>
      <c r="L10040" s="3"/>
      <c r="M10040" s="4"/>
      <c r="N10040" s="3" t="s">
        <v>37</v>
      </c>
      <c r="O10040" s="3" t="s">
        <v>38</v>
      </c>
      <c r="P10040" s="5">
        <v>11</v>
      </c>
      <c r="Q10040" s="5">
        <v>127</v>
      </c>
      <c r="R10040" s="5">
        <v>11</v>
      </c>
      <c r="S10040" s="5">
        <v>133</v>
      </c>
    </row>
    <row r="10041" spans="1:19" ht="28" x14ac:dyDescent="0.15">
      <c r="A10041" s="2">
        <f>HYPERLINK("https://open-school.uspishnemisto.com.ua/school/510875/", 510875)</f>
        <v>510875</v>
      </c>
      <c r="B10041" s="3" t="s">
        <v>50882</v>
      </c>
      <c r="C10041" s="3" t="s">
        <v>31</v>
      </c>
      <c r="D10041" s="3" t="s">
        <v>32</v>
      </c>
      <c r="E10041" s="4" t="s">
        <v>22</v>
      </c>
      <c r="F10041" s="4" t="s">
        <v>50883</v>
      </c>
      <c r="G10041" s="4" t="s">
        <v>50884</v>
      </c>
      <c r="H10041" s="3" t="s">
        <v>46910</v>
      </c>
      <c r="I10041" s="3" t="s">
        <v>50885</v>
      </c>
      <c r="J10041" s="3" t="s">
        <v>42777</v>
      </c>
      <c r="K10041" s="3" t="s">
        <v>50886</v>
      </c>
      <c r="L10041" s="3"/>
      <c r="M10041" s="4"/>
      <c r="N10041" s="3" t="s">
        <v>37</v>
      </c>
      <c r="O10041" s="3" t="s">
        <v>112</v>
      </c>
      <c r="P10041" s="5">
        <v>8</v>
      </c>
      <c r="Q10041" s="5">
        <v>72</v>
      </c>
      <c r="R10041" s="5">
        <v>9</v>
      </c>
      <c r="S10041" s="5">
        <v>67</v>
      </c>
    </row>
    <row r="10042" spans="1:19" ht="56" x14ac:dyDescent="0.15">
      <c r="A10042" s="2">
        <f>HYPERLINK("https://open-school.uspishnemisto.com.ua/school/510876/", 510876)</f>
        <v>510876</v>
      </c>
      <c r="B10042" s="3" t="s">
        <v>50887</v>
      </c>
      <c r="C10042" s="3" t="s">
        <v>54</v>
      </c>
      <c r="D10042" s="3" t="s">
        <v>32</v>
      </c>
      <c r="E10042" s="4" t="s">
        <v>22</v>
      </c>
      <c r="F10042" s="4" t="s">
        <v>50888</v>
      </c>
      <c r="G10042" s="4" t="s">
        <v>50889</v>
      </c>
      <c r="H10042" s="3" t="s">
        <v>46910</v>
      </c>
      <c r="I10042" s="3" t="s">
        <v>50890</v>
      </c>
      <c r="J10042" s="3" t="s">
        <v>1348</v>
      </c>
      <c r="K10042" s="3" t="s">
        <v>50891</v>
      </c>
      <c r="L10042" s="3"/>
      <c r="M10042" s="4"/>
      <c r="N10042" s="3" t="s">
        <v>37</v>
      </c>
      <c r="O10042" s="3" t="s">
        <v>112</v>
      </c>
      <c r="P10042" s="5">
        <v>11</v>
      </c>
      <c r="Q10042" s="5">
        <v>148</v>
      </c>
      <c r="R10042" s="5">
        <v>11</v>
      </c>
      <c r="S10042" s="5">
        <v>145</v>
      </c>
    </row>
    <row r="10043" spans="1:19" ht="56" x14ac:dyDescent="0.15">
      <c r="A10043" s="2">
        <f>HYPERLINK("https://open-school.uspishnemisto.com.ua/school/510877/", 510877)</f>
        <v>510877</v>
      </c>
      <c r="B10043" s="3" t="s">
        <v>50892</v>
      </c>
      <c r="C10043" s="3" t="s">
        <v>54</v>
      </c>
      <c r="D10043" s="3" t="s">
        <v>32</v>
      </c>
      <c r="E10043" s="4" t="s">
        <v>22</v>
      </c>
      <c r="F10043" s="4" t="s">
        <v>50893</v>
      </c>
      <c r="G10043" s="4" t="s">
        <v>50894</v>
      </c>
      <c r="H10043" s="3" t="s">
        <v>46910</v>
      </c>
      <c r="I10043" s="3" t="s">
        <v>50895</v>
      </c>
      <c r="J10043" s="3" t="s">
        <v>3363</v>
      </c>
      <c r="K10043" s="3" t="s">
        <v>50896</v>
      </c>
      <c r="L10043" s="3"/>
      <c r="M10043" s="4"/>
      <c r="N10043" s="3" t="s">
        <v>37</v>
      </c>
      <c r="O10043" s="3" t="s">
        <v>38</v>
      </c>
      <c r="P10043" s="5">
        <v>8</v>
      </c>
      <c r="Q10043" s="5">
        <v>80</v>
      </c>
      <c r="R10043" s="5">
        <v>10</v>
      </c>
      <c r="S10043" s="5">
        <v>94</v>
      </c>
    </row>
    <row r="10044" spans="1:19" ht="28" x14ac:dyDescent="0.15">
      <c r="A10044" s="2">
        <f>HYPERLINK("https://open-school.uspishnemisto.com.ua/school/510878/", 510878)</f>
        <v>510878</v>
      </c>
      <c r="B10044" s="3" t="s">
        <v>50897</v>
      </c>
      <c r="C10044" s="3" t="s">
        <v>31</v>
      </c>
      <c r="D10044" s="3" t="s">
        <v>32</v>
      </c>
      <c r="E10044" s="4" t="s">
        <v>22</v>
      </c>
      <c r="F10044" s="4" t="s">
        <v>50898</v>
      </c>
      <c r="G10044" s="4" t="s">
        <v>50899</v>
      </c>
      <c r="H10044" s="3" t="s">
        <v>46910</v>
      </c>
      <c r="I10044" s="3" t="s">
        <v>50900</v>
      </c>
      <c r="J10044" s="3" t="s">
        <v>6992</v>
      </c>
      <c r="K10044" s="3" t="s">
        <v>50901</v>
      </c>
      <c r="L10044" s="3"/>
      <c r="M10044" s="4"/>
      <c r="N10044" s="3" t="s">
        <v>37</v>
      </c>
      <c r="O10044" s="3" t="s">
        <v>112</v>
      </c>
      <c r="P10044" s="5">
        <v>4</v>
      </c>
      <c r="Q10044" s="5">
        <v>40</v>
      </c>
      <c r="R10044" s="5">
        <v>3</v>
      </c>
      <c r="S10044" s="5">
        <v>37</v>
      </c>
    </row>
    <row r="10045" spans="1:19" ht="56" x14ac:dyDescent="0.15">
      <c r="A10045" s="2">
        <f>HYPERLINK("https://open-school.uspishnemisto.com.ua/school/510879/", 510879)</f>
        <v>510879</v>
      </c>
      <c r="B10045" s="3" t="s">
        <v>50902</v>
      </c>
      <c r="C10045" s="3" t="s">
        <v>54</v>
      </c>
      <c r="D10045" s="3" t="s">
        <v>32</v>
      </c>
      <c r="E10045" s="4" t="s">
        <v>22</v>
      </c>
      <c r="F10045" s="4" t="s">
        <v>50903</v>
      </c>
      <c r="G10045" s="4" t="s">
        <v>50904</v>
      </c>
      <c r="H10045" s="3" t="s">
        <v>46910</v>
      </c>
      <c r="I10045" s="3" t="s">
        <v>11594</v>
      </c>
      <c r="J10045" s="3" t="s">
        <v>50905</v>
      </c>
      <c r="K10045" s="3" t="s">
        <v>50906</v>
      </c>
      <c r="L10045" s="3"/>
      <c r="M10045" s="4"/>
      <c r="N10045" s="3" t="s">
        <v>37</v>
      </c>
      <c r="O10045" s="3" t="s">
        <v>112</v>
      </c>
      <c r="P10045" s="5">
        <v>7</v>
      </c>
      <c r="Q10045" s="5">
        <v>77</v>
      </c>
      <c r="R10045" s="5">
        <v>9</v>
      </c>
      <c r="S10045" s="5">
        <v>83</v>
      </c>
    </row>
    <row r="10046" spans="1:19" ht="28" x14ac:dyDescent="0.15">
      <c r="A10046" s="2">
        <f>HYPERLINK("https://open-school.uspishnemisto.com.ua/school/530001/", 530001)</f>
        <v>530001</v>
      </c>
      <c r="B10046" s="3" t="s">
        <v>50907</v>
      </c>
      <c r="C10046" s="3" t="s">
        <v>40</v>
      </c>
      <c r="D10046" s="3" t="s">
        <v>32</v>
      </c>
      <c r="E10046" s="4" t="s">
        <v>22</v>
      </c>
      <c r="F10046" s="4" t="s">
        <v>50908</v>
      </c>
      <c r="G10046" s="4" t="s">
        <v>50909</v>
      </c>
      <c r="H10046" s="3" t="s">
        <v>50910</v>
      </c>
      <c r="I10046" s="3" t="s">
        <v>50911</v>
      </c>
      <c r="J10046" s="3" t="s">
        <v>50912</v>
      </c>
      <c r="K10046" s="3" t="s">
        <v>50913</v>
      </c>
      <c r="L10046" s="3" t="s">
        <v>50914</v>
      </c>
      <c r="M10046" s="4"/>
      <c r="N10046" s="3" t="s">
        <v>37</v>
      </c>
      <c r="O10046" s="3" t="s">
        <v>70</v>
      </c>
      <c r="P10046" s="5">
        <v>31</v>
      </c>
      <c r="Q10046" s="5">
        <v>993</v>
      </c>
      <c r="R10046" s="5">
        <v>29</v>
      </c>
      <c r="S10046" s="5">
        <v>938</v>
      </c>
    </row>
    <row r="10047" spans="1:19" ht="28" x14ac:dyDescent="0.15">
      <c r="A10047" s="2">
        <f>HYPERLINK("https://open-school.uspishnemisto.com.ua/school/530002/", 530002)</f>
        <v>530002</v>
      </c>
      <c r="B10047" s="3" t="s">
        <v>50915</v>
      </c>
      <c r="C10047" s="3" t="s">
        <v>40</v>
      </c>
      <c r="D10047" s="3" t="s">
        <v>32</v>
      </c>
      <c r="E10047" s="4" t="s">
        <v>22</v>
      </c>
      <c r="F10047" s="4" t="s">
        <v>50916</v>
      </c>
      <c r="G10047" s="4" t="s">
        <v>50909</v>
      </c>
      <c r="H10047" s="3" t="s">
        <v>50910</v>
      </c>
      <c r="I10047" s="3" t="s">
        <v>50911</v>
      </c>
      <c r="J10047" s="3" t="s">
        <v>50917</v>
      </c>
      <c r="K10047" s="3" t="s">
        <v>50918</v>
      </c>
      <c r="L10047" s="3" t="s">
        <v>50919</v>
      </c>
      <c r="M10047" s="4"/>
      <c r="N10047" s="3" t="s">
        <v>37</v>
      </c>
      <c r="O10047" s="3" t="s">
        <v>46</v>
      </c>
      <c r="P10047" s="5">
        <v>32</v>
      </c>
      <c r="Q10047" s="5">
        <v>939</v>
      </c>
      <c r="R10047" s="5">
        <v>31</v>
      </c>
      <c r="S10047" s="5">
        <v>934</v>
      </c>
    </row>
    <row r="10048" spans="1:19" ht="42" x14ac:dyDescent="0.15">
      <c r="A10048" s="2">
        <f>HYPERLINK("https://open-school.uspishnemisto.com.ua/school/530003/", 530003)</f>
        <v>530003</v>
      </c>
      <c r="B10048" s="3" t="s">
        <v>50920</v>
      </c>
      <c r="C10048" s="3" t="s">
        <v>31</v>
      </c>
      <c r="D10048" s="3" t="s">
        <v>175</v>
      </c>
      <c r="E10048" s="4" t="s">
        <v>22</v>
      </c>
      <c r="F10048" s="4" t="s">
        <v>50921</v>
      </c>
      <c r="G10048" s="4" t="s">
        <v>50909</v>
      </c>
      <c r="H10048" s="3" t="s">
        <v>50910</v>
      </c>
      <c r="I10048" s="3" t="s">
        <v>50911</v>
      </c>
      <c r="J10048" s="3" t="s">
        <v>50922</v>
      </c>
      <c r="K10048" s="3" t="s">
        <v>50923</v>
      </c>
      <c r="L10048" s="3" t="s">
        <v>50924</v>
      </c>
      <c r="M10048" s="4"/>
      <c r="N10048" s="3" t="s">
        <v>37</v>
      </c>
      <c r="O10048" s="3" t="s">
        <v>38</v>
      </c>
      <c r="P10048" s="5">
        <v>9</v>
      </c>
      <c r="Q10048" s="5">
        <v>136</v>
      </c>
      <c r="R10048" s="5">
        <v>9</v>
      </c>
      <c r="S10048" s="5">
        <v>144</v>
      </c>
    </row>
    <row r="10049" spans="1:19" ht="42" x14ac:dyDescent="0.15">
      <c r="A10049" s="2">
        <f>HYPERLINK("https://open-school.uspishnemisto.com.ua/school/530004/", 530004)</f>
        <v>530004</v>
      </c>
      <c r="B10049" s="3" t="s">
        <v>50925</v>
      </c>
      <c r="C10049" s="3" t="s">
        <v>31</v>
      </c>
      <c r="D10049" s="3" t="s">
        <v>32</v>
      </c>
      <c r="E10049" s="4" t="s">
        <v>22</v>
      </c>
      <c r="F10049" s="4" t="s">
        <v>50926</v>
      </c>
      <c r="G10049" s="4" t="s">
        <v>50909</v>
      </c>
      <c r="H10049" s="3" t="s">
        <v>50910</v>
      </c>
      <c r="I10049" s="3" t="s">
        <v>50911</v>
      </c>
      <c r="J10049" s="3" t="s">
        <v>50927</v>
      </c>
      <c r="K10049" s="3" t="s">
        <v>50928</v>
      </c>
      <c r="L10049" s="3"/>
      <c r="M10049" s="4"/>
      <c r="N10049" s="3" t="s">
        <v>37</v>
      </c>
      <c r="O10049" s="3" t="s">
        <v>46</v>
      </c>
      <c r="P10049" s="5">
        <v>11</v>
      </c>
      <c r="Q10049" s="5">
        <v>231</v>
      </c>
      <c r="R10049" s="5">
        <v>11</v>
      </c>
      <c r="S10049" s="5">
        <v>244</v>
      </c>
    </row>
    <row r="10050" spans="1:19" ht="42" x14ac:dyDescent="0.15">
      <c r="A10050" s="2">
        <f>HYPERLINK("https://open-school.uspishnemisto.com.ua/school/530005/", 530005)</f>
        <v>530005</v>
      </c>
      <c r="B10050" s="3" t="s">
        <v>50929</v>
      </c>
      <c r="C10050" s="3" t="s">
        <v>31</v>
      </c>
      <c r="D10050" s="3" t="s">
        <v>32</v>
      </c>
      <c r="E10050" s="4" t="s">
        <v>22</v>
      </c>
      <c r="F10050" s="4" t="s">
        <v>50930</v>
      </c>
      <c r="G10050" s="4" t="s">
        <v>50909</v>
      </c>
      <c r="H10050" s="3" t="s">
        <v>50910</v>
      </c>
      <c r="I10050" s="3" t="s">
        <v>50911</v>
      </c>
      <c r="J10050" s="3" t="s">
        <v>50931</v>
      </c>
      <c r="K10050" s="3" t="s">
        <v>50932</v>
      </c>
      <c r="L10050" s="3" t="s">
        <v>50933</v>
      </c>
      <c r="M10050" s="4"/>
      <c r="N10050" s="3" t="s">
        <v>37</v>
      </c>
      <c r="O10050" s="3" t="s">
        <v>38</v>
      </c>
      <c r="P10050" s="5">
        <v>32</v>
      </c>
      <c r="Q10050" s="5">
        <v>861</v>
      </c>
      <c r="R10050" s="5">
        <v>32</v>
      </c>
      <c r="S10050" s="5">
        <v>844</v>
      </c>
    </row>
    <row r="10051" spans="1:19" ht="42" x14ac:dyDescent="0.15">
      <c r="A10051" s="2">
        <f>HYPERLINK("https://open-school.uspishnemisto.com.ua/school/530006/", 530006)</f>
        <v>530006</v>
      </c>
      <c r="B10051" s="3" t="s">
        <v>50934</v>
      </c>
      <c r="C10051" s="3" t="s">
        <v>31</v>
      </c>
      <c r="D10051" s="3" t="s">
        <v>32</v>
      </c>
      <c r="E10051" s="4" t="s">
        <v>22</v>
      </c>
      <c r="F10051" s="4" t="s">
        <v>50935</v>
      </c>
      <c r="G10051" s="4" t="s">
        <v>50909</v>
      </c>
      <c r="H10051" s="3" t="s">
        <v>50910</v>
      </c>
      <c r="I10051" s="3" t="s">
        <v>50911</v>
      </c>
      <c r="J10051" s="3" t="s">
        <v>3890</v>
      </c>
      <c r="K10051" s="3" t="s">
        <v>50936</v>
      </c>
      <c r="L10051" s="3" t="s">
        <v>50937</v>
      </c>
      <c r="M10051" s="4"/>
      <c r="N10051" s="3" t="s">
        <v>37</v>
      </c>
      <c r="O10051" s="3" t="s">
        <v>38</v>
      </c>
      <c r="P10051" s="5">
        <v>20</v>
      </c>
      <c r="Q10051" s="5">
        <v>498</v>
      </c>
      <c r="R10051" s="5">
        <v>18</v>
      </c>
      <c r="S10051" s="5">
        <v>438</v>
      </c>
    </row>
    <row r="10052" spans="1:19" ht="42" x14ac:dyDescent="0.15">
      <c r="A10052" s="2">
        <f>HYPERLINK("https://open-school.uspishnemisto.com.ua/school/530007/", 530007)</f>
        <v>530007</v>
      </c>
      <c r="B10052" s="3" t="s">
        <v>50938</v>
      </c>
      <c r="C10052" s="3" t="s">
        <v>31</v>
      </c>
      <c r="D10052" s="3" t="s">
        <v>32</v>
      </c>
      <c r="E10052" s="4" t="s">
        <v>22</v>
      </c>
      <c r="F10052" s="4" t="s">
        <v>50939</v>
      </c>
      <c r="G10052" s="4" t="s">
        <v>50909</v>
      </c>
      <c r="H10052" s="3" t="s">
        <v>50910</v>
      </c>
      <c r="I10052" s="3" t="s">
        <v>50911</v>
      </c>
      <c r="J10052" s="3" t="s">
        <v>50940</v>
      </c>
      <c r="K10052" s="3" t="s">
        <v>50941</v>
      </c>
      <c r="L10052" s="3"/>
      <c r="M10052" s="4"/>
      <c r="N10052" s="3" t="s">
        <v>37</v>
      </c>
      <c r="O10052" s="3" t="s">
        <v>70</v>
      </c>
      <c r="P10052" s="5">
        <v>50</v>
      </c>
      <c r="Q10052" s="5">
        <v>1524</v>
      </c>
      <c r="R10052" s="5">
        <v>49</v>
      </c>
      <c r="S10052" s="5">
        <v>1511</v>
      </c>
    </row>
    <row r="10053" spans="1:19" ht="42" x14ac:dyDescent="0.15">
      <c r="A10053" s="2">
        <f>HYPERLINK("https://open-school.uspishnemisto.com.ua/school/530008/", 530008)</f>
        <v>530008</v>
      </c>
      <c r="B10053" s="3" t="s">
        <v>50942</v>
      </c>
      <c r="C10053" s="3" t="s">
        <v>31</v>
      </c>
      <c r="D10053" s="3" t="s">
        <v>32</v>
      </c>
      <c r="E10053" s="4" t="s">
        <v>22</v>
      </c>
      <c r="F10053" s="4" t="s">
        <v>50939</v>
      </c>
      <c r="G10053" s="4" t="s">
        <v>50909</v>
      </c>
      <c r="H10053" s="3" t="s">
        <v>50910</v>
      </c>
      <c r="I10053" s="3" t="s">
        <v>50911</v>
      </c>
      <c r="J10053" s="3" t="s">
        <v>36565</v>
      </c>
      <c r="K10053" s="3" t="s">
        <v>50943</v>
      </c>
      <c r="L10053" s="3"/>
      <c r="M10053" s="4"/>
      <c r="N10053" s="3" t="s">
        <v>37</v>
      </c>
      <c r="O10053" s="3" t="s">
        <v>46</v>
      </c>
      <c r="P10053" s="5">
        <v>30</v>
      </c>
      <c r="Q10053" s="5">
        <v>807</v>
      </c>
      <c r="R10053" s="5">
        <v>30</v>
      </c>
      <c r="S10053" s="5">
        <v>837</v>
      </c>
    </row>
    <row r="10054" spans="1:19" ht="42" x14ac:dyDescent="0.15">
      <c r="A10054" s="2">
        <f>HYPERLINK("https://open-school.uspishnemisto.com.ua/school/530009/", 530009)</f>
        <v>530009</v>
      </c>
      <c r="B10054" s="3" t="s">
        <v>50944</v>
      </c>
      <c r="C10054" s="3" t="s">
        <v>31</v>
      </c>
      <c r="D10054" s="3" t="s">
        <v>32</v>
      </c>
      <c r="E10054" s="4" t="s">
        <v>22</v>
      </c>
      <c r="F10054" s="4" t="s">
        <v>50945</v>
      </c>
      <c r="G10054" s="4" t="s">
        <v>50909</v>
      </c>
      <c r="H10054" s="3" t="s">
        <v>50910</v>
      </c>
      <c r="I10054" s="3" t="s">
        <v>50911</v>
      </c>
      <c r="J10054" s="3" t="s">
        <v>50946</v>
      </c>
      <c r="K10054" s="3" t="s">
        <v>50947</v>
      </c>
      <c r="L10054" s="3"/>
      <c r="M10054" s="4"/>
      <c r="N10054" s="3" t="s">
        <v>37</v>
      </c>
      <c r="O10054" s="3" t="s">
        <v>38</v>
      </c>
      <c r="P10054" s="5">
        <v>35</v>
      </c>
      <c r="Q10054" s="5">
        <v>1021</v>
      </c>
      <c r="R10054" s="5">
        <v>33</v>
      </c>
      <c r="S10054" s="5">
        <v>969</v>
      </c>
    </row>
    <row r="10055" spans="1:19" ht="42" x14ac:dyDescent="0.15">
      <c r="A10055" s="2">
        <f>HYPERLINK("https://open-school.uspishnemisto.com.ua/school/530010/", 530010)</f>
        <v>530010</v>
      </c>
      <c r="B10055" s="3" t="s">
        <v>50948</v>
      </c>
      <c r="C10055" s="3" t="s">
        <v>31</v>
      </c>
      <c r="D10055" s="3" t="s">
        <v>32</v>
      </c>
      <c r="E10055" s="4" t="s">
        <v>22</v>
      </c>
      <c r="F10055" s="4" t="s">
        <v>50949</v>
      </c>
      <c r="G10055" s="4" t="s">
        <v>50909</v>
      </c>
      <c r="H10055" s="3" t="s">
        <v>50910</v>
      </c>
      <c r="I10055" s="3" t="s">
        <v>50911</v>
      </c>
      <c r="J10055" s="3" t="s">
        <v>50950</v>
      </c>
      <c r="K10055" s="3" t="s">
        <v>50951</v>
      </c>
      <c r="L10055" s="3" t="s">
        <v>50952</v>
      </c>
      <c r="M10055" s="4"/>
      <c r="N10055" s="3" t="s">
        <v>37</v>
      </c>
      <c r="O10055" s="3" t="s">
        <v>70</v>
      </c>
      <c r="P10055" s="5">
        <v>19</v>
      </c>
      <c r="Q10055" s="5">
        <v>455</v>
      </c>
      <c r="R10055" s="5">
        <v>18</v>
      </c>
      <c r="S10055" s="5">
        <v>447</v>
      </c>
    </row>
    <row r="10056" spans="1:19" ht="42" x14ac:dyDescent="0.15">
      <c r="A10056" s="2">
        <f>HYPERLINK("https://open-school.uspishnemisto.com.ua/school/530011/", 530011)</f>
        <v>530011</v>
      </c>
      <c r="B10056" s="3" t="s">
        <v>50953</v>
      </c>
      <c r="C10056" s="3" t="s">
        <v>31</v>
      </c>
      <c r="D10056" s="3" t="s">
        <v>32</v>
      </c>
      <c r="E10056" s="4" t="s">
        <v>22</v>
      </c>
      <c r="F10056" s="4" t="s">
        <v>50954</v>
      </c>
      <c r="G10056" s="4" t="s">
        <v>50909</v>
      </c>
      <c r="H10056" s="3" t="s">
        <v>50910</v>
      </c>
      <c r="I10056" s="3" t="s">
        <v>50911</v>
      </c>
      <c r="J10056" s="3" t="s">
        <v>50955</v>
      </c>
      <c r="K10056" s="3" t="s">
        <v>50956</v>
      </c>
      <c r="L10056" s="3" t="s">
        <v>50957</v>
      </c>
      <c r="M10056" s="4"/>
      <c r="N10056" s="3" t="s">
        <v>37</v>
      </c>
      <c r="O10056" s="3" t="s">
        <v>46</v>
      </c>
      <c r="P10056" s="5">
        <v>27</v>
      </c>
      <c r="Q10056" s="5">
        <v>709</v>
      </c>
      <c r="R10056" s="5">
        <v>27</v>
      </c>
      <c r="S10056" s="5">
        <v>700</v>
      </c>
    </row>
    <row r="10057" spans="1:19" ht="42" x14ac:dyDescent="0.15">
      <c r="A10057" s="2">
        <f>HYPERLINK("https://open-school.uspishnemisto.com.ua/school/530012/", 530012)</f>
        <v>530012</v>
      </c>
      <c r="B10057" s="3" t="s">
        <v>50958</v>
      </c>
      <c r="C10057" s="3" t="s">
        <v>244</v>
      </c>
      <c r="D10057" s="3" t="s">
        <v>32</v>
      </c>
      <c r="E10057" s="4" t="s">
        <v>22</v>
      </c>
      <c r="F10057" s="4" t="s">
        <v>50959</v>
      </c>
      <c r="G10057" s="4" t="s">
        <v>50909</v>
      </c>
      <c r="H10057" s="3" t="s">
        <v>50910</v>
      </c>
      <c r="I10057" s="3" t="s">
        <v>50911</v>
      </c>
      <c r="J10057" s="3" t="s">
        <v>50960</v>
      </c>
      <c r="K10057" s="3" t="s">
        <v>50961</v>
      </c>
      <c r="L10057" s="3" t="s">
        <v>50962</v>
      </c>
      <c r="M10057" s="4"/>
      <c r="N10057" s="3" t="s">
        <v>37</v>
      </c>
      <c r="O10057" s="3" t="s">
        <v>50963</v>
      </c>
      <c r="P10057" s="5">
        <v>22</v>
      </c>
      <c r="Q10057" s="5">
        <v>628</v>
      </c>
      <c r="R10057" s="5">
        <v>21</v>
      </c>
      <c r="S10057" s="5">
        <v>662</v>
      </c>
    </row>
    <row r="10058" spans="1:19" ht="42" x14ac:dyDescent="0.15">
      <c r="A10058" s="2">
        <f>HYPERLINK("https://open-school.uspishnemisto.com.ua/school/530013/", 530013)</f>
        <v>530013</v>
      </c>
      <c r="B10058" s="3" t="s">
        <v>50964</v>
      </c>
      <c r="C10058" s="3" t="s">
        <v>174</v>
      </c>
      <c r="D10058" s="3" t="s">
        <v>32</v>
      </c>
      <c r="E10058" s="4" t="s">
        <v>22</v>
      </c>
      <c r="F10058" s="4" t="s">
        <v>50916</v>
      </c>
      <c r="G10058" s="4" t="s">
        <v>50909</v>
      </c>
      <c r="H10058" s="3" t="s">
        <v>50910</v>
      </c>
      <c r="I10058" s="3" t="s">
        <v>50911</v>
      </c>
      <c r="J10058" s="3" t="s">
        <v>50965</v>
      </c>
      <c r="K10058" s="3" t="s">
        <v>50966</v>
      </c>
      <c r="L10058" s="3"/>
      <c r="M10058" s="4"/>
      <c r="N10058" s="3" t="s">
        <v>37</v>
      </c>
      <c r="O10058" s="3" t="s">
        <v>52</v>
      </c>
      <c r="P10058" s="5">
        <v>20</v>
      </c>
      <c r="Q10058" s="5">
        <v>286</v>
      </c>
      <c r="R10058" s="5">
        <v>20</v>
      </c>
      <c r="S10058" s="5">
        <v>268</v>
      </c>
    </row>
    <row r="10059" spans="1:19" ht="56" x14ac:dyDescent="0.15">
      <c r="A10059" s="2">
        <f>HYPERLINK("https://open-school.uspishnemisto.com.ua/school/530014/", 530014)</f>
        <v>530014</v>
      </c>
      <c r="B10059" s="3" t="s">
        <v>50967</v>
      </c>
      <c r="C10059" s="3" t="s">
        <v>54</v>
      </c>
      <c r="D10059" s="3" t="s">
        <v>32</v>
      </c>
      <c r="E10059" s="4" t="s">
        <v>22</v>
      </c>
      <c r="F10059" s="4" t="s">
        <v>50968</v>
      </c>
      <c r="G10059" s="4" t="s">
        <v>50909</v>
      </c>
      <c r="H10059" s="3" t="s">
        <v>50910</v>
      </c>
      <c r="I10059" s="3" t="s">
        <v>50911</v>
      </c>
      <c r="J10059" s="3" t="s">
        <v>50969</v>
      </c>
      <c r="K10059" s="3" t="s">
        <v>50970</v>
      </c>
      <c r="L10059" s="3" t="s">
        <v>50971</v>
      </c>
      <c r="M10059" s="4"/>
      <c r="N10059" s="3" t="s">
        <v>37</v>
      </c>
      <c r="O10059" s="3" t="s">
        <v>52</v>
      </c>
      <c r="P10059" s="5">
        <v>11</v>
      </c>
      <c r="Q10059" s="5">
        <v>257</v>
      </c>
      <c r="R10059" s="5">
        <v>11</v>
      </c>
      <c r="S10059" s="5">
        <v>255</v>
      </c>
    </row>
    <row r="10060" spans="1:19" ht="28" x14ac:dyDescent="0.15">
      <c r="A10060" s="2">
        <f>HYPERLINK("https://open-school.uspishnemisto.com.ua/school/530015/", 530015)</f>
        <v>530015</v>
      </c>
      <c r="B10060" s="3" t="s">
        <v>50972</v>
      </c>
      <c r="C10060" s="3" t="s">
        <v>40</v>
      </c>
      <c r="D10060" s="3" t="s">
        <v>32</v>
      </c>
      <c r="E10060" s="4" t="s">
        <v>22</v>
      </c>
      <c r="F10060" s="4" t="s">
        <v>50973</v>
      </c>
      <c r="G10060" s="4" t="s">
        <v>50909</v>
      </c>
      <c r="H10060" s="3" t="s">
        <v>50910</v>
      </c>
      <c r="I10060" s="3" t="s">
        <v>50911</v>
      </c>
      <c r="J10060" s="3" t="s">
        <v>50974</v>
      </c>
      <c r="K10060" s="3" t="s">
        <v>50975</v>
      </c>
      <c r="L10060" s="3"/>
      <c r="M10060" s="4"/>
      <c r="N10060" s="3" t="s">
        <v>37</v>
      </c>
      <c r="O10060" s="3" t="s">
        <v>46</v>
      </c>
      <c r="P10060" s="5">
        <v>22</v>
      </c>
      <c r="Q10060" s="5">
        <v>537</v>
      </c>
      <c r="R10060" s="5">
        <v>21</v>
      </c>
      <c r="S10060" s="5">
        <v>535</v>
      </c>
    </row>
    <row r="10061" spans="1:19" ht="28" x14ac:dyDescent="0.15">
      <c r="A10061" s="2">
        <f>HYPERLINK("https://open-school.uspishnemisto.com.ua/school/530016/", 530016)</f>
        <v>530016</v>
      </c>
      <c r="B10061" s="3" t="s">
        <v>50976</v>
      </c>
      <c r="C10061" s="3" t="s">
        <v>31</v>
      </c>
      <c r="D10061" s="3" t="s">
        <v>32</v>
      </c>
      <c r="E10061" s="4" t="s">
        <v>22</v>
      </c>
      <c r="F10061" s="4" t="s">
        <v>50939</v>
      </c>
      <c r="G10061" s="4" t="s">
        <v>50909</v>
      </c>
      <c r="H10061" s="3" t="s">
        <v>50910</v>
      </c>
      <c r="I10061" s="3" t="s">
        <v>50911</v>
      </c>
      <c r="J10061" s="3" t="s">
        <v>50977</v>
      </c>
      <c r="K10061" s="3" t="s">
        <v>50978</v>
      </c>
      <c r="L10061" s="3" t="s">
        <v>50979</v>
      </c>
      <c r="M10061" s="4"/>
      <c r="N10061" s="3" t="s">
        <v>37</v>
      </c>
      <c r="O10061" s="3" t="s">
        <v>70</v>
      </c>
      <c r="P10061" s="5">
        <v>29</v>
      </c>
      <c r="Q10061" s="5">
        <v>857</v>
      </c>
      <c r="R10061" s="5">
        <v>28</v>
      </c>
      <c r="S10061" s="5">
        <v>821</v>
      </c>
    </row>
    <row r="10062" spans="1:19" ht="42" x14ac:dyDescent="0.15">
      <c r="A10062" s="2">
        <f>HYPERLINK("https://open-school.uspishnemisto.com.ua/school/530017/", 530017)</f>
        <v>530017</v>
      </c>
      <c r="B10062" s="3" t="s">
        <v>50980</v>
      </c>
      <c r="C10062" s="3" t="s">
        <v>4989</v>
      </c>
      <c r="D10062" s="3" t="s">
        <v>32</v>
      </c>
      <c r="E10062" s="4" t="s">
        <v>22</v>
      </c>
      <c r="F10062" s="4" t="s">
        <v>50959</v>
      </c>
      <c r="G10062" s="4" t="s">
        <v>50909</v>
      </c>
      <c r="H10062" s="3" t="s">
        <v>50910</v>
      </c>
      <c r="I10062" s="3" t="s">
        <v>50911</v>
      </c>
      <c r="J10062" s="3" t="s">
        <v>50981</v>
      </c>
      <c r="K10062" s="3" t="s">
        <v>50982</v>
      </c>
      <c r="L10062" s="3"/>
      <c r="M10062" s="4" t="s">
        <v>50983</v>
      </c>
      <c r="N10062" s="3" t="s">
        <v>37</v>
      </c>
      <c r="O10062" s="3" t="s">
        <v>52</v>
      </c>
      <c r="P10062" s="5">
        <v>12</v>
      </c>
      <c r="Q10062" s="5">
        <v>176</v>
      </c>
      <c r="R10062" s="5">
        <v>11</v>
      </c>
      <c r="S10062" s="5">
        <v>152</v>
      </c>
    </row>
    <row r="10063" spans="1:19" ht="42" x14ac:dyDescent="0.15">
      <c r="A10063" s="2">
        <f>HYPERLINK("https://open-school.uspishnemisto.com.ua/school/530018/", 530018)</f>
        <v>530018</v>
      </c>
      <c r="B10063" s="3" t="s">
        <v>50984</v>
      </c>
      <c r="C10063" s="3" t="s">
        <v>174</v>
      </c>
      <c r="D10063" s="3" t="s">
        <v>175</v>
      </c>
      <c r="E10063" s="4" t="s">
        <v>22</v>
      </c>
      <c r="F10063" s="4" t="s">
        <v>50935</v>
      </c>
      <c r="G10063" s="4" t="s">
        <v>50909</v>
      </c>
      <c r="H10063" s="3" t="s">
        <v>50910</v>
      </c>
      <c r="I10063" s="3" t="s">
        <v>50911</v>
      </c>
      <c r="J10063" s="3" t="s">
        <v>50985</v>
      </c>
      <c r="K10063" s="3" t="s">
        <v>50986</v>
      </c>
      <c r="L10063" s="3" t="s">
        <v>50987</v>
      </c>
      <c r="M10063" s="4"/>
      <c r="N10063" s="3" t="s">
        <v>37</v>
      </c>
      <c r="O10063" s="3" t="s">
        <v>618</v>
      </c>
      <c r="P10063" s="5">
        <v>11</v>
      </c>
      <c r="Q10063" s="5">
        <v>142</v>
      </c>
      <c r="R10063" s="5">
        <v>11</v>
      </c>
      <c r="S10063" s="5">
        <v>140</v>
      </c>
    </row>
    <row r="10064" spans="1:19" ht="28" x14ac:dyDescent="0.15">
      <c r="A10064" s="2">
        <f>HYPERLINK("https://open-school.uspishnemisto.com.ua/school/530019/", 530019)</f>
        <v>530019</v>
      </c>
      <c r="B10064" s="3" t="s">
        <v>50988</v>
      </c>
      <c r="C10064" s="3" t="s">
        <v>181</v>
      </c>
      <c r="D10064" s="3" t="s">
        <v>32</v>
      </c>
      <c r="E10064" s="4" t="s">
        <v>22</v>
      </c>
      <c r="F10064" s="4" t="s">
        <v>50954</v>
      </c>
      <c r="G10064" s="4" t="s">
        <v>50909</v>
      </c>
      <c r="H10064" s="3" t="s">
        <v>50910</v>
      </c>
      <c r="I10064" s="3" t="s">
        <v>50911</v>
      </c>
      <c r="J10064" s="3" t="s">
        <v>50989</v>
      </c>
      <c r="K10064" s="3" t="s">
        <v>50990</v>
      </c>
      <c r="L10064" s="3" t="s">
        <v>50991</v>
      </c>
      <c r="M10064" s="4" t="s">
        <v>50992</v>
      </c>
      <c r="N10064" s="3" t="s">
        <v>37</v>
      </c>
      <c r="O10064" s="3" t="s">
        <v>52</v>
      </c>
      <c r="P10064" s="5">
        <v>13</v>
      </c>
      <c r="Q10064" s="5">
        <v>86</v>
      </c>
      <c r="R10064" s="5">
        <v>13</v>
      </c>
      <c r="S10064" s="5">
        <v>84</v>
      </c>
    </row>
    <row r="10065" spans="1:19" ht="28" x14ac:dyDescent="0.15">
      <c r="A10065" s="2">
        <f>HYPERLINK("https://open-school.uspishnemisto.com.ua/school/530020/", 530020)</f>
        <v>530020</v>
      </c>
      <c r="B10065" s="3" t="s">
        <v>50993</v>
      </c>
      <c r="C10065" s="3" t="s">
        <v>54</v>
      </c>
      <c r="D10065" s="3" t="s">
        <v>32</v>
      </c>
      <c r="E10065" s="4" t="s">
        <v>22</v>
      </c>
      <c r="F10065" s="4" t="s">
        <v>50954</v>
      </c>
      <c r="G10065" s="4" t="s">
        <v>50909</v>
      </c>
      <c r="H10065" s="3" t="s">
        <v>50910</v>
      </c>
      <c r="I10065" s="3" t="s">
        <v>50911</v>
      </c>
      <c r="J10065" s="3" t="s">
        <v>50994</v>
      </c>
      <c r="K10065" s="3" t="s">
        <v>50995</v>
      </c>
      <c r="L10065" s="3" t="s">
        <v>50996</v>
      </c>
      <c r="M10065" s="4"/>
      <c r="N10065" s="3" t="s">
        <v>37</v>
      </c>
      <c r="O10065" s="3" t="s">
        <v>70</v>
      </c>
      <c r="P10065" s="5">
        <v>27</v>
      </c>
      <c r="Q10065" s="5">
        <v>733</v>
      </c>
      <c r="R10065" s="5">
        <v>25</v>
      </c>
      <c r="S10065" s="5">
        <v>701</v>
      </c>
    </row>
    <row r="10066" spans="1:19" ht="28" x14ac:dyDescent="0.15">
      <c r="A10066" s="2">
        <f>HYPERLINK("https://open-school.uspishnemisto.com.ua/school/530021/", 530021)</f>
        <v>530021</v>
      </c>
      <c r="B10066" s="3" t="s">
        <v>50997</v>
      </c>
      <c r="C10066" s="3" t="s">
        <v>181</v>
      </c>
      <c r="D10066" s="3" t="s">
        <v>32</v>
      </c>
      <c r="E10066" s="4" t="s">
        <v>22</v>
      </c>
      <c r="F10066" s="4" t="s">
        <v>50998</v>
      </c>
      <c r="G10066" s="4" t="s">
        <v>50909</v>
      </c>
      <c r="H10066" s="3" t="s">
        <v>50910</v>
      </c>
      <c r="I10066" s="3" t="s">
        <v>50911</v>
      </c>
      <c r="J10066" s="3" t="s">
        <v>50999</v>
      </c>
      <c r="K10066" s="3" t="s">
        <v>51000</v>
      </c>
      <c r="L10066" s="3"/>
      <c r="M10066" s="4" t="s">
        <v>51001</v>
      </c>
      <c r="N10066" s="3" t="s">
        <v>37</v>
      </c>
      <c r="O10066" s="3"/>
      <c r="P10066" s="5">
        <v>6</v>
      </c>
      <c r="Q10066" s="5">
        <v>47</v>
      </c>
      <c r="R10066" s="5">
        <v>4</v>
      </c>
      <c r="S10066" s="5">
        <v>39</v>
      </c>
    </row>
    <row r="10067" spans="1:19" ht="28" x14ac:dyDescent="0.15">
      <c r="A10067" s="2">
        <f>HYPERLINK("https://open-school.uspishnemisto.com.ua/school/530022/", 530022)</f>
        <v>530022</v>
      </c>
      <c r="B10067" s="3" t="s">
        <v>51002</v>
      </c>
      <c r="C10067" s="3" t="s">
        <v>54</v>
      </c>
      <c r="D10067" s="3" t="s">
        <v>32</v>
      </c>
      <c r="E10067" s="4" t="s">
        <v>41</v>
      </c>
      <c r="F10067" s="4" t="s">
        <v>51003</v>
      </c>
      <c r="G10067" s="4" t="s">
        <v>50909</v>
      </c>
      <c r="H10067" s="3" t="s">
        <v>50910</v>
      </c>
      <c r="I10067" s="3" t="s">
        <v>50911</v>
      </c>
      <c r="J10067" s="3" t="s">
        <v>51004</v>
      </c>
      <c r="K10067" s="3" t="s">
        <v>51005</v>
      </c>
      <c r="L10067" s="3" t="s">
        <v>51006</v>
      </c>
      <c r="M10067" s="4"/>
      <c r="N10067" s="3" t="s">
        <v>37</v>
      </c>
      <c r="O10067" s="3" t="s">
        <v>70</v>
      </c>
      <c r="P10067" s="5">
        <v>11</v>
      </c>
      <c r="Q10067" s="5">
        <v>44</v>
      </c>
      <c r="R10067" s="5">
        <v>11</v>
      </c>
      <c r="S10067" s="5">
        <v>54</v>
      </c>
    </row>
    <row r="10068" spans="1:19" ht="42" x14ac:dyDescent="0.15">
      <c r="A10068" s="2">
        <f>HYPERLINK("https://open-school.uspishnemisto.com.ua/school/530023/", 530023)</f>
        <v>530023</v>
      </c>
      <c r="B10068" s="3" t="s">
        <v>51007</v>
      </c>
      <c r="C10068" s="3" t="s">
        <v>54</v>
      </c>
      <c r="D10068" s="3" t="s">
        <v>60</v>
      </c>
      <c r="E10068" s="4" t="s">
        <v>22</v>
      </c>
      <c r="F10068" s="4" t="s">
        <v>50930</v>
      </c>
      <c r="G10068" s="4" t="s">
        <v>50909</v>
      </c>
      <c r="H10068" s="3" t="s">
        <v>50910</v>
      </c>
      <c r="I10068" s="3" t="s">
        <v>50911</v>
      </c>
      <c r="J10068" s="3" t="s">
        <v>51008</v>
      </c>
      <c r="K10068" s="3" t="s">
        <v>51009</v>
      </c>
      <c r="L10068" s="3"/>
      <c r="M10068" s="4"/>
      <c r="N10068" s="3" t="s">
        <v>37</v>
      </c>
      <c r="O10068" s="3" t="s">
        <v>52</v>
      </c>
      <c r="P10068" s="5">
        <v>4</v>
      </c>
      <c r="Q10068" s="5">
        <v>129</v>
      </c>
      <c r="R10068" s="5">
        <v>3</v>
      </c>
      <c r="S10068" s="5">
        <v>103</v>
      </c>
    </row>
    <row r="10069" spans="1:19" ht="28" x14ac:dyDescent="0.15">
      <c r="A10069" s="2">
        <f>HYPERLINK("https://open-school.uspishnemisto.com.ua/school/530024/", 530024)</f>
        <v>530024</v>
      </c>
      <c r="B10069" s="3" t="s">
        <v>51010</v>
      </c>
      <c r="C10069" s="3" t="s">
        <v>31</v>
      </c>
      <c r="D10069" s="3" t="s">
        <v>32</v>
      </c>
      <c r="E10069" s="4" t="s">
        <v>41</v>
      </c>
      <c r="F10069" s="4" t="s">
        <v>50959</v>
      </c>
      <c r="G10069" s="4" t="s">
        <v>50909</v>
      </c>
      <c r="H10069" s="3" t="s">
        <v>50910</v>
      </c>
      <c r="I10069" s="3" t="s">
        <v>50911</v>
      </c>
      <c r="J10069" s="3" t="s">
        <v>51011</v>
      </c>
      <c r="K10069" s="3" t="s">
        <v>51012</v>
      </c>
      <c r="L10069" s="3"/>
      <c r="M10069" s="4"/>
      <c r="N10069" s="3" t="s">
        <v>37</v>
      </c>
      <c r="O10069" s="3" t="s">
        <v>46</v>
      </c>
      <c r="P10069" s="5">
        <v>11</v>
      </c>
      <c r="Q10069" s="5">
        <v>96</v>
      </c>
      <c r="R10069" s="5">
        <v>11</v>
      </c>
      <c r="S10069" s="5">
        <v>77</v>
      </c>
    </row>
    <row r="10070" spans="1:19" ht="28" x14ac:dyDescent="0.15">
      <c r="A10070" s="2">
        <f>HYPERLINK("https://open-school.uspishnemisto.com.ua/school/530025/", 530025)</f>
        <v>530025</v>
      </c>
      <c r="B10070" s="3" t="s">
        <v>51013</v>
      </c>
      <c r="C10070" s="3" t="s">
        <v>54</v>
      </c>
      <c r="D10070" s="3" t="s">
        <v>175</v>
      </c>
      <c r="E10070" s="4" t="s">
        <v>41</v>
      </c>
      <c r="F10070" s="4" t="s">
        <v>50939</v>
      </c>
      <c r="G10070" s="4" t="s">
        <v>50909</v>
      </c>
      <c r="H10070" s="3" t="s">
        <v>50910</v>
      </c>
      <c r="I10070" s="3" t="s">
        <v>50911</v>
      </c>
      <c r="J10070" s="3" t="s">
        <v>51014</v>
      </c>
      <c r="K10070" s="3" t="s">
        <v>51015</v>
      </c>
      <c r="L10070" s="3"/>
      <c r="M10070" s="4"/>
      <c r="N10070" s="3" t="s">
        <v>37</v>
      </c>
      <c r="O10070" s="3" t="s">
        <v>46</v>
      </c>
      <c r="P10070" s="5">
        <v>5</v>
      </c>
      <c r="Q10070" s="5">
        <v>48</v>
      </c>
      <c r="R10070" s="5">
        <v>4</v>
      </c>
      <c r="S10070" s="5">
        <v>34</v>
      </c>
    </row>
    <row r="10071" spans="1:19" ht="42" x14ac:dyDescent="0.15">
      <c r="A10071" s="2">
        <f>HYPERLINK("https://open-school.uspishnemisto.com.ua/school/530029/", 530029)</f>
        <v>530029</v>
      </c>
      <c r="B10071" s="3" t="s">
        <v>51016</v>
      </c>
      <c r="C10071" s="3" t="s">
        <v>31</v>
      </c>
      <c r="D10071" s="3" t="s">
        <v>32</v>
      </c>
      <c r="E10071" s="4" t="s">
        <v>22</v>
      </c>
      <c r="F10071" s="4" t="s">
        <v>50908</v>
      </c>
      <c r="G10071" s="4" t="s">
        <v>50909</v>
      </c>
      <c r="H10071" s="3" t="s">
        <v>50910</v>
      </c>
      <c r="I10071" s="3" t="s">
        <v>50911</v>
      </c>
      <c r="J10071" s="3" t="s">
        <v>51017</v>
      </c>
      <c r="K10071" s="3" t="s">
        <v>51018</v>
      </c>
      <c r="L10071" s="3" t="s">
        <v>51019</v>
      </c>
      <c r="M10071" s="4"/>
      <c r="N10071" s="3" t="s">
        <v>37</v>
      </c>
      <c r="O10071" s="3" t="s">
        <v>70</v>
      </c>
      <c r="P10071" s="5">
        <v>11</v>
      </c>
      <c r="Q10071" s="5">
        <v>273</v>
      </c>
      <c r="R10071" s="5">
        <v>11</v>
      </c>
      <c r="S10071" s="5">
        <v>279</v>
      </c>
    </row>
    <row r="10072" spans="1:19" ht="28" x14ac:dyDescent="0.15">
      <c r="A10072" s="2">
        <f>HYPERLINK("https://open-school.uspishnemisto.com.ua/school/530032/", 530032)</f>
        <v>530032</v>
      </c>
      <c r="B10072" s="3" t="s">
        <v>51020</v>
      </c>
      <c r="C10072" s="3" t="s">
        <v>20</v>
      </c>
      <c r="D10072" s="3" t="s">
        <v>21</v>
      </c>
      <c r="E10072" s="4" t="s">
        <v>22</v>
      </c>
      <c r="F10072" s="4" t="s">
        <v>50973</v>
      </c>
      <c r="G10072" s="4" t="s">
        <v>50909</v>
      </c>
      <c r="H10072" s="3" t="s">
        <v>50910</v>
      </c>
      <c r="I10072" s="3" t="s">
        <v>50911</v>
      </c>
      <c r="J10072" s="3" t="s">
        <v>51021</v>
      </c>
      <c r="K10072" s="3" t="s">
        <v>51022</v>
      </c>
      <c r="L10072" s="3" t="s">
        <v>51023</v>
      </c>
      <c r="M10072" s="4"/>
      <c r="N10072" s="3"/>
      <c r="O10072" s="3"/>
      <c r="P10072" s="5">
        <v>0</v>
      </c>
      <c r="Q10072" s="5">
        <v>0</v>
      </c>
      <c r="R10072" s="5"/>
      <c r="S10072" s="5"/>
    </row>
    <row r="10073" spans="1:19" ht="42" x14ac:dyDescent="0.15">
      <c r="A10073" s="2">
        <f>HYPERLINK("https://open-school.uspishnemisto.com.ua/school/530033/", 530033)</f>
        <v>530033</v>
      </c>
      <c r="B10073" s="3" t="s">
        <v>51024</v>
      </c>
      <c r="C10073" s="3" t="s">
        <v>31</v>
      </c>
      <c r="D10073" s="3" t="s">
        <v>175</v>
      </c>
      <c r="E10073" s="4" t="s">
        <v>22</v>
      </c>
      <c r="F10073" s="4" t="s">
        <v>50973</v>
      </c>
      <c r="G10073" s="4" t="s">
        <v>50909</v>
      </c>
      <c r="H10073" s="3" t="s">
        <v>50910</v>
      </c>
      <c r="I10073" s="3" t="s">
        <v>50911</v>
      </c>
      <c r="J10073" s="3" t="s">
        <v>51025</v>
      </c>
      <c r="K10073" s="3" t="s">
        <v>51026</v>
      </c>
      <c r="L10073" s="3" t="s">
        <v>51027</v>
      </c>
      <c r="M10073" s="4"/>
      <c r="N10073" s="3" t="s">
        <v>37</v>
      </c>
      <c r="O10073" s="3" t="s">
        <v>38</v>
      </c>
      <c r="P10073" s="5">
        <v>9</v>
      </c>
      <c r="Q10073" s="5">
        <v>106</v>
      </c>
      <c r="R10073" s="5">
        <v>9</v>
      </c>
      <c r="S10073" s="5">
        <v>106</v>
      </c>
    </row>
    <row r="10074" spans="1:19" ht="42" x14ac:dyDescent="0.15">
      <c r="A10074" s="2">
        <f>HYPERLINK("https://open-school.uspishnemisto.com.ua/school/530034/", 530034)</f>
        <v>530034</v>
      </c>
      <c r="B10074" s="3" t="s">
        <v>51028</v>
      </c>
      <c r="C10074" s="3" t="s">
        <v>31</v>
      </c>
      <c r="D10074" s="3" t="s">
        <v>32</v>
      </c>
      <c r="E10074" s="4" t="s">
        <v>22</v>
      </c>
      <c r="F10074" s="4" t="s">
        <v>50945</v>
      </c>
      <c r="G10074" s="4" t="s">
        <v>50909</v>
      </c>
      <c r="H10074" s="3" t="s">
        <v>50910</v>
      </c>
      <c r="I10074" s="3" t="s">
        <v>50911</v>
      </c>
      <c r="J10074" s="3" t="s">
        <v>51029</v>
      </c>
      <c r="K10074" s="3" t="s">
        <v>51030</v>
      </c>
      <c r="L10074" s="3" t="s">
        <v>51031</v>
      </c>
      <c r="M10074" s="4"/>
      <c r="N10074" s="3" t="s">
        <v>37</v>
      </c>
      <c r="O10074" s="3" t="s">
        <v>38</v>
      </c>
      <c r="P10074" s="5">
        <v>18</v>
      </c>
      <c r="Q10074" s="5">
        <v>473</v>
      </c>
      <c r="R10074" s="5">
        <v>17</v>
      </c>
      <c r="S10074" s="5">
        <v>458</v>
      </c>
    </row>
    <row r="10075" spans="1:19" ht="42" x14ac:dyDescent="0.15">
      <c r="A10075" s="2">
        <f>HYPERLINK("https://open-school.uspishnemisto.com.ua/school/530035/", 530035)</f>
        <v>530035</v>
      </c>
      <c r="B10075" s="3" t="s">
        <v>51032</v>
      </c>
      <c r="C10075" s="3" t="s">
        <v>31</v>
      </c>
      <c r="D10075" s="3" t="s">
        <v>32</v>
      </c>
      <c r="E10075" s="4" t="s">
        <v>22</v>
      </c>
      <c r="F10075" s="4" t="s">
        <v>50973</v>
      </c>
      <c r="G10075" s="4" t="s">
        <v>50909</v>
      </c>
      <c r="H10075" s="3" t="s">
        <v>50910</v>
      </c>
      <c r="I10075" s="3" t="s">
        <v>50911</v>
      </c>
      <c r="J10075" s="3" t="s">
        <v>51033</v>
      </c>
      <c r="K10075" s="3" t="s">
        <v>51034</v>
      </c>
      <c r="L10075" s="3" t="s">
        <v>51035</v>
      </c>
      <c r="M10075" s="4"/>
      <c r="N10075" s="3" t="s">
        <v>37</v>
      </c>
      <c r="O10075" s="3" t="s">
        <v>123</v>
      </c>
      <c r="P10075" s="5">
        <v>21</v>
      </c>
      <c r="Q10075" s="5">
        <v>533</v>
      </c>
      <c r="R10075" s="5">
        <v>20</v>
      </c>
      <c r="S10075" s="5">
        <v>504</v>
      </c>
    </row>
    <row r="10076" spans="1:19" ht="28" x14ac:dyDescent="0.15">
      <c r="A10076" s="2">
        <f>HYPERLINK("https://open-school.uspishnemisto.com.ua/school/530036/", 530036)</f>
        <v>530036</v>
      </c>
      <c r="B10076" s="3" t="s">
        <v>51036</v>
      </c>
      <c r="C10076" s="3" t="s">
        <v>40</v>
      </c>
      <c r="D10076" s="3" t="s">
        <v>32</v>
      </c>
      <c r="E10076" s="4" t="s">
        <v>22</v>
      </c>
      <c r="F10076" s="4" t="s">
        <v>51037</v>
      </c>
      <c r="G10076" s="4" t="s">
        <v>50909</v>
      </c>
      <c r="H10076" s="3" t="s">
        <v>50910</v>
      </c>
      <c r="I10076" s="3" t="s">
        <v>50911</v>
      </c>
      <c r="J10076" s="3" t="s">
        <v>51038</v>
      </c>
      <c r="K10076" s="3" t="s">
        <v>51039</v>
      </c>
      <c r="L10076" s="3"/>
      <c r="M10076" s="4"/>
      <c r="N10076" s="3" t="s">
        <v>37</v>
      </c>
      <c r="O10076" s="3" t="s">
        <v>70</v>
      </c>
      <c r="P10076" s="5">
        <v>41</v>
      </c>
      <c r="Q10076" s="5">
        <v>1265</v>
      </c>
      <c r="R10076" s="5">
        <v>39</v>
      </c>
      <c r="S10076" s="5">
        <v>1152</v>
      </c>
    </row>
    <row r="10077" spans="1:19" ht="28" x14ac:dyDescent="0.15">
      <c r="A10077" s="2">
        <f>HYPERLINK("https://open-school.uspishnemisto.com.ua/school/530037/", 530037)</f>
        <v>530037</v>
      </c>
      <c r="B10077" s="3" t="s">
        <v>51040</v>
      </c>
      <c r="C10077" s="3" t="s">
        <v>31</v>
      </c>
      <c r="D10077" s="3" t="s">
        <v>32</v>
      </c>
      <c r="E10077" s="4" t="s">
        <v>22</v>
      </c>
      <c r="F10077" s="4" t="s">
        <v>51037</v>
      </c>
      <c r="G10077" s="4" t="s">
        <v>50909</v>
      </c>
      <c r="H10077" s="3" t="s">
        <v>50910</v>
      </c>
      <c r="I10077" s="3" t="s">
        <v>50911</v>
      </c>
      <c r="J10077" s="3" t="s">
        <v>51041</v>
      </c>
      <c r="K10077" s="3" t="s">
        <v>51042</v>
      </c>
      <c r="L10077" s="3" t="s">
        <v>51043</v>
      </c>
      <c r="M10077" s="4"/>
      <c r="N10077" s="3" t="s">
        <v>37</v>
      </c>
      <c r="O10077" s="3" t="s">
        <v>70</v>
      </c>
      <c r="P10077" s="5">
        <v>30</v>
      </c>
      <c r="Q10077" s="5">
        <v>825</v>
      </c>
      <c r="R10077" s="5">
        <v>29</v>
      </c>
      <c r="S10077" s="5">
        <v>781</v>
      </c>
    </row>
    <row r="10078" spans="1:19" ht="42" x14ac:dyDescent="0.15">
      <c r="A10078" s="2">
        <f>HYPERLINK("https://open-school.uspishnemisto.com.ua/school/530038/", 530038)</f>
        <v>530038</v>
      </c>
      <c r="B10078" s="3" t="s">
        <v>51044</v>
      </c>
      <c r="C10078" s="3" t="s">
        <v>54</v>
      </c>
      <c r="D10078" s="3" t="s">
        <v>60</v>
      </c>
      <c r="E10078" s="4" t="s">
        <v>22</v>
      </c>
      <c r="F10078" s="4" t="s">
        <v>51037</v>
      </c>
      <c r="G10078" s="4" t="s">
        <v>50909</v>
      </c>
      <c r="H10078" s="3" t="s">
        <v>50910</v>
      </c>
      <c r="I10078" s="3" t="s">
        <v>50911</v>
      </c>
      <c r="J10078" s="3" t="s">
        <v>51045</v>
      </c>
      <c r="K10078" s="3" t="s">
        <v>51046</v>
      </c>
      <c r="L10078" s="3" t="s">
        <v>51047</v>
      </c>
      <c r="M10078" s="4"/>
      <c r="N10078" s="3" t="s">
        <v>37</v>
      </c>
      <c r="O10078" s="3" t="s">
        <v>52</v>
      </c>
      <c r="P10078" s="5">
        <v>4</v>
      </c>
      <c r="Q10078" s="5">
        <v>122</v>
      </c>
      <c r="R10078" s="5">
        <v>3</v>
      </c>
      <c r="S10078" s="5">
        <v>99</v>
      </c>
    </row>
    <row r="10079" spans="1:19" ht="28" x14ac:dyDescent="0.15">
      <c r="A10079" s="2">
        <f>HYPERLINK("https://open-school.uspishnemisto.com.ua/school/530039/", 530039)</f>
        <v>530039</v>
      </c>
      <c r="B10079" s="3" t="s">
        <v>51048</v>
      </c>
      <c r="C10079" s="3" t="s">
        <v>40</v>
      </c>
      <c r="D10079" s="3" t="s">
        <v>32</v>
      </c>
      <c r="E10079" s="4" t="s">
        <v>22</v>
      </c>
      <c r="F10079" s="4" t="s">
        <v>50926</v>
      </c>
      <c r="G10079" s="4" t="s">
        <v>50909</v>
      </c>
      <c r="H10079" s="3" t="s">
        <v>50910</v>
      </c>
      <c r="I10079" s="3" t="s">
        <v>50911</v>
      </c>
      <c r="J10079" s="3" t="s">
        <v>51049</v>
      </c>
      <c r="K10079" s="3" t="s">
        <v>51050</v>
      </c>
      <c r="L10079" s="3"/>
      <c r="M10079" s="4"/>
      <c r="N10079" s="3" t="s">
        <v>37</v>
      </c>
      <c r="O10079" s="3" t="s">
        <v>70</v>
      </c>
      <c r="P10079" s="5">
        <v>30</v>
      </c>
      <c r="Q10079" s="5">
        <v>799</v>
      </c>
      <c r="R10079" s="5">
        <v>29</v>
      </c>
      <c r="S10079" s="5">
        <v>748</v>
      </c>
    </row>
    <row r="10080" spans="1:19" ht="42" x14ac:dyDescent="0.15">
      <c r="A10080" s="2">
        <f>HYPERLINK("https://open-school.uspishnemisto.com.ua/school/530040/", 530040)</f>
        <v>530040</v>
      </c>
      <c r="B10080" s="3" t="s">
        <v>51051</v>
      </c>
      <c r="C10080" s="3" t="s">
        <v>31</v>
      </c>
      <c r="D10080" s="3" t="s">
        <v>32</v>
      </c>
      <c r="E10080" s="4" t="s">
        <v>22</v>
      </c>
      <c r="F10080" s="4" t="s">
        <v>50998</v>
      </c>
      <c r="G10080" s="4" t="s">
        <v>50909</v>
      </c>
      <c r="H10080" s="3" t="s">
        <v>50910</v>
      </c>
      <c r="I10080" s="3" t="s">
        <v>50911</v>
      </c>
      <c r="J10080" s="3" t="s">
        <v>51052</v>
      </c>
      <c r="K10080" s="3" t="s">
        <v>51053</v>
      </c>
      <c r="L10080" s="3" t="s">
        <v>51054</v>
      </c>
      <c r="M10080" s="4"/>
      <c r="N10080" s="3" t="s">
        <v>37</v>
      </c>
      <c r="O10080" s="3" t="s">
        <v>721</v>
      </c>
      <c r="P10080" s="5">
        <v>21</v>
      </c>
      <c r="Q10080" s="5">
        <v>504</v>
      </c>
      <c r="R10080" s="5">
        <v>21</v>
      </c>
      <c r="S10080" s="5">
        <v>491</v>
      </c>
    </row>
    <row r="10081" spans="1:19" ht="42" x14ac:dyDescent="0.15">
      <c r="A10081" s="2">
        <f>HYPERLINK("https://open-school.uspishnemisto.com.ua/school/530041/", 530041)</f>
        <v>530041</v>
      </c>
      <c r="B10081" s="3" t="s">
        <v>51055</v>
      </c>
      <c r="C10081" s="3" t="s">
        <v>31</v>
      </c>
      <c r="D10081" s="3" t="s">
        <v>32</v>
      </c>
      <c r="E10081" s="4" t="s">
        <v>22</v>
      </c>
      <c r="F10081" s="4" t="s">
        <v>50930</v>
      </c>
      <c r="G10081" s="4" t="s">
        <v>50909</v>
      </c>
      <c r="H10081" s="3" t="s">
        <v>50910</v>
      </c>
      <c r="I10081" s="3" t="s">
        <v>50911</v>
      </c>
      <c r="J10081" s="3" t="s">
        <v>51056</v>
      </c>
      <c r="K10081" s="3" t="s">
        <v>51057</v>
      </c>
      <c r="L10081" s="3" t="s">
        <v>51058</v>
      </c>
      <c r="M10081" s="4"/>
      <c r="N10081" s="3" t="s">
        <v>37</v>
      </c>
      <c r="O10081" s="3" t="s">
        <v>70</v>
      </c>
      <c r="P10081" s="5">
        <v>40</v>
      </c>
      <c r="Q10081" s="5">
        <v>1139</v>
      </c>
      <c r="R10081" s="5">
        <v>39</v>
      </c>
      <c r="S10081" s="5">
        <v>1100</v>
      </c>
    </row>
    <row r="10082" spans="1:19" ht="42" x14ac:dyDescent="0.15">
      <c r="A10082" s="2">
        <f>HYPERLINK("https://open-school.uspishnemisto.com.ua/school/530042/", 530042)</f>
        <v>530042</v>
      </c>
      <c r="B10082" s="3" t="s">
        <v>51059</v>
      </c>
      <c r="C10082" s="3" t="s">
        <v>31</v>
      </c>
      <c r="D10082" s="3" t="s">
        <v>32</v>
      </c>
      <c r="E10082" s="4" t="s">
        <v>22</v>
      </c>
      <c r="F10082" s="4" t="s">
        <v>50959</v>
      </c>
      <c r="G10082" s="4" t="s">
        <v>50909</v>
      </c>
      <c r="H10082" s="3" t="s">
        <v>50910</v>
      </c>
      <c r="I10082" s="3" t="s">
        <v>50911</v>
      </c>
      <c r="J10082" s="3" t="s">
        <v>51060</v>
      </c>
      <c r="K10082" s="3" t="s">
        <v>51061</v>
      </c>
      <c r="L10082" s="3" t="s">
        <v>51062</v>
      </c>
      <c r="M10082" s="4"/>
      <c r="N10082" s="3" t="s">
        <v>37</v>
      </c>
      <c r="O10082" s="3" t="s">
        <v>52</v>
      </c>
      <c r="P10082" s="5">
        <v>12</v>
      </c>
      <c r="Q10082" s="5">
        <v>267</v>
      </c>
      <c r="R10082" s="5">
        <v>12</v>
      </c>
      <c r="S10082" s="5">
        <v>270</v>
      </c>
    </row>
    <row r="10083" spans="1:19" ht="42" x14ac:dyDescent="0.15">
      <c r="A10083" s="2">
        <f>HYPERLINK("https://open-school.uspishnemisto.com.ua/school/530043/", 530043)</f>
        <v>530043</v>
      </c>
      <c r="B10083" s="3" t="s">
        <v>51063</v>
      </c>
      <c r="C10083" s="3" t="s">
        <v>31</v>
      </c>
      <c r="D10083" s="3" t="s">
        <v>32</v>
      </c>
      <c r="E10083" s="4" t="s">
        <v>22</v>
      </c>
      <c r="F10083" s="4" t="s">
        <v>51064</v>
      </c>
      <c r="G10083" s="4" t="s">
        <v>50909</v>
      </c>
      <c r="H10083" s="3" t="s">
        <v>50910</v>
      </c>
      <c r="I10083" s="3" t="s">
        <v>50911</v>
      </c>
      <c r="J10083" s="3" t="s">
        <v>51065</v>
      </c>
      <c r="K10083" s="3" t="s">
        <v>51066</v>
      </c>
      <c r="L10083" s="3" t="s">
        <v>51067</v>
      </c>
      <c r="M10083" s="4"/>
      <c r="N10083" s="3" t="s">
        <v>37</v>
      </c>
      <c r="O10083" s="3" t="s">
        <v>38</v>
      </c>
      <c r="P10083" s="5">
        <v>16</v>
      </c>
      <c r="Q10083" s="5">
        <v>417</v>
      </c>
      <c r="R10083" s="5">
        <v>15</v>
      </c>
      <c r="S10083" s="5">
        <v>396</v>
      </c>
    </row>
    <row r="10084" spans="1:19" ht="42" x14ac:dyDescent="0.15">
      <c r="A10084" s="2">
        <f>HYPERLINK("https://open-school.uspishnemisto.com.ua/school/530044/", 530044)</f>
        <v>530044</v>
      </c>
      <c r="B10084" s="3" t="s">
        <v>51068</v>
      </c>
      <c r="C10084" s="3" t="s">
        <v>31</v>
      </c>
      <c r="D10084" s="3" t="s">
        <v>32</v>
      </c>
      <c r="E10084" s="4" t="s">
        <v>22</v>
      </c>
      <c r="F10084" s="4" t="s">
        <v>51069</v>
      </c>
      <c r="G10084" s="4" t="s">
        <v>50909</v>
      </c>
      <c r="H10084" s="3" t="s">
        <v>50910</v>
      </c>
      <c r="I10084" s="3" t="s">
        <v>50911</v>
      </c>
      <c r="J10084" s="3" t="s">
        <v>51070</v>
      </c>
      <c r="K10084" s="3" t="s">
        <v>51071</v>
      </c>
      <c r="L10084" s="3" t="s">
        <v>51072</v>
      </c>
      <c r="M10084" s="4"/>
      <c r="N10084" s="3" t="s">
        <v>37</v>
      </c>
      <c r="O10084" s="3" t="s">
        <v>70</v>
      </c>
      <c r="P10084" s="5">
        <v>30</v>
      </c>
      <c r="Q10084" s="5">
        <v>900</v>
      </c>
      <c r="R10084" s="5">
        <v>29</v>
      </c>
      <c r="S10084" s="5">
        <v>877</v>
      </c>
    </row>
    <row r="10085" spans="1:19" ht="42" x14ac:dyDescent="0.15">
      <c r="A10085" s="2">
        <f>HYPERLINK("https://open-school.uspishnemisto.com.ua/school/530045/", 530045)</f>
        <v>530045</v>
      </c>
      <c r="B10085" s="3" t="s">
        <v>51073</v>
      </c>
      <c r="C10085" s="3" t="s">
        <v>54</v>
      </c>
      <c r="D10085" s="3" t="s">
        <v>60</v>
      </c>
      <c r="E10085" s="4" t="s">
        <v>22</v>
      </c>
      <c r="F10085" s="4" t="s">
        <v>50926</v>
      </c>
      <c r="G10085" s="4" t="s">
        <v>50909</v>
      </c>
      <c r="H10085" s="3" t="s">
        <v>50910</v>
      </c>
      <c r="I10085" s="3" t="s">
        <v>50911</v>
      </c>
      <c r="J10085" s="3" t="s">
        <v>51074</v>
      </c>
      <c r="K10085" s="3" t="s">
        <v>51075</v>
      </c>
      <c r="L10085" s="3" t="s">
        <v>51076</v>
      </c>
      <c r="M10085" s="4"/>
      <c r="N10085" s="3" t="s">
        <v>37</v>
      </c>
      <c r="O10085" s="3" t="s">
        <v>52</v>
      </c>
      <c r="P10085" s="5">
        <v>4</v>
      </c>
      <c r="Q10085" s="5">
        <v>109</v>
      </c>
      <c r="R10085" s="5">
        <v>4</v>
      </c>
      <c r="S10085" s="5">
        <v>104</v>
      </c>
    </row>
    <row r="10086" spans="1:19" ht="28" x14ac:dyDescent="0.15">
      <c r="A10086" s="2">
        <f>HYPERLINK("https://open-school.uspishnemisto.com.ua/school/530047/", 530047)</f>
        <v>530047</v>
      </c>
      <c r="B10086" s="3" t="s">
        <v>51077</v>
      </c>
      <c r="C10086" s="3" t="s">
        <v>40</v>
      </c>
      <c r="D10086" s="3" t="s">
        <v>32</v>
      </c>
      <c r="E10086" s="4" t="s">
        <v>22</v>
      </c>
      <c r="F10086" s="4" t="s">
        <v>50998</v>
      </c>
      <c r="G10086" s="4" t="s">
        <v>50909</v>
      </c>
      <c r="H10086" s="3" t="s">
        <v>50910</v>
      </c>
      <c r="I10086" s="3" t="s">
        <v>50911</v>
      </c>
      <c r="J10086" s="3" t="s">
        <v>51078</v>
      </c>
      <c r="K10086" s="3" t="s">
        <v>51079</v>
      </c>
      <c r="L10086" s="3" t="s">
        <v>51080</v>
      </c>
      <c r="M10086" s="4"/>
      <c r="N10086" s="3" t="s">
        <v>128</v>
      </c>
      <c r="O10086" s="3" t="s">
        <v>197</v>
      </c>
      <c r="P10086" s="5">
        <v>42</v>
      </c>
      <c r="Q10086" s="5">
        <v>1069</v>
      </c>
      <c r="R10086" s="5">
        <v>40</v>
      </c>
      <c r="S10086" s="5">
        <v>1055</v>
      </c>
    </row>
    <row r="10087" spans="1:19" ht="28" x14ac:dyDescent="0.15">
      <c r="A10087" s="2">
        <f>HYPERLINK("https://open-school.uspishnemisto.com.ua/school/530048/", 530048)</f>
        <v>530048</v>
      </c>
      <c r="B10087" s="3" t="s">
        <v>51081</v>
      </c>
      <c r="C10087" s="3" t="s">
        <v>31</v>
      </c>
      <c r="D10087" s="3" t="s">
        <v>32</v>
      </c>
      <c r="E10087" s="4" t="s">
        <v>22</v>
      </c>
      <c r="F10087" s="4" t="s">
        <v>50930</v>
      </c>
      <c r="G10087" s="4" t="s">
        <v>50909</v>
      </c>
      <c r="H10087" s="3" t="s">
        <v>50910</v>
      </c>
      <c r="I10087" s="3" t="s">
        <v>50911</v>
      </c>
      <c r="J10087" s="3" t="s">
        <v>51082</v>
      </c>
      <c r="K10087" s="3" t="s">
        <v>51083</v>
      </c>
      <c r="L10087" s="3" t="s">
        <v>51084</v>
      </c>
      <c r="M10087" s="4"/>
      <c r="N10087" s="3" t="s">
        <v>37</v>
      </c>
      <c r="O10087" s="3" t="s">
        <v>70</v>
      </c>
      <c r="P10087" s="5">
        <v>38</v>
      </c>
      <c r="Q10087" s="5">
        <v>1093</v>
      </c>
      <c r="R10087" s="5">
        <v>38</v>
      </c>
      <c r="S10087" s="5">
        <v>1099</v>
      </c>
    </row>
    <row r="10088" spans="1:19" ht="42" x14ac:dyDescent="0.15">
      <c r="A10088" s="2">
        <f>HYPERLINK("https://open-school.uspishnemisto.com.ua/school/530049/", 530049)</f>
        <v>530049</v>
      </c>
      <c r="B10088" s="3" t="s">
        <v>51085</v>
      </c>
      <c r="C10088" s="3" t="s">
        <v>31</v>
      </c>
      <c r="D10088" s="3" t="s">
        <v>32</v>
      </c>
      <c r="E10088" s="4" t="s">
        <v>22</v>
      </c>
      <c r="F10088" s="4" t="s">
        <v>50926</v>
      </c>
      <c r="G10088" s="4" t="s">
        <v>50909</v>
      </c>
      <c r="H10088" s="3" t="s">
        <v>50910</v>
      </c>
      <c r="I10088" s="3" t="s">
        <v>50911</v>
      </c>
      <c r="J10088" s="3" t="s">
        <v>51086</v>
      </c>
      <c r="K10088" s="3" t="s">
        <v>51087</v>
      </c>
      <c r="L10088" s="3" t="s">
        <v>51088</v>
      </c>
      <c r="M10088" s="4"/>
      <c r="N10088" s="3" t="s">
        <v>37</v>
      </c>
      <c r="O10088" s="3" t="s">
        <v>46</v>
      </c>
      <c r="P10088" s="5">
        <v>24</v>
      </c>
      <c r="Q10088" s="5">
        <v>652</v>
      </c>
      <c r="R10088" s="5">
        <v>23</v>
      </c>
      <c r="S10088" s="5">
        <v>636</v>
      </c>
    </row>
    <row r="10089" spans="1:19" ht="28" x14ac:dyDescent="0.15">
      <c r="A10089" s="2">
        <f>HYPERLINK("https://open-school.uspishnemisto.com.ua/school/530050/", 530050)</f>
        <v>530050</v>
      </c>
      <c r="B10089" s="3" t="s">
        <v>51089</v>
      </c>
      <c r="C10089" s="3" t="s">
        <v>31</v>
      </c>
      <c r="D10089" s="3" t="s">
        <v>32</v>
      </c>
      <c r="E10089" s="4" t="s">
        <v>22</v>
      </c>
      <c r="F10089" s="4" t="s">
        <v>50959</v>
      </c>
      <c r="G10089" s="4" t="s">
        <v>50909</v>
      </c>
      <c r="H10089" s="3" t="s">
        <v>50910</v>
      </c>
      <c r="I10089" s="3" t="s">
        <v>50911</v>
      </c>
      <c r="J10089" s="3" t="s">
        <v>28919</v>
      </c>
      <c r="K10089" s="3" t="s">
        <v>51090</v>
      </c>
      <c r="L10089" s="3"/>
      <c r="M10089" s="4"/>
      <c r="N10089" s="3" t="s">
        <v>37</v>
      </c>
      <c r="O10089" s="3" t="s">
        <v>38</v>
      </c>
      <c r="P10089" s="5">
        <v>20</v>
      </c>
      <c r="Q10089" s="5">
        <v>531</v>
      </c>
      <c r="R10089" s="5">
        <v>19</v>
      </c>
      <c r="S10089" s="5">
        <v>533</v>
      </c>
    </row>
    <row r="10090" spans="1:19" ht="42" x14ac:dyDescent="0.15">
      <c r="A10090" s="2">
        <f>HYPERLINK("https://open-school.uspishnemisto.com.ua/school/530052/", 530052)</f>
        <v>530052</v>
      </c>
      <c r="B10090" s="3" t="s">
        <v>51091</v>
      </c>
      <c r="C10090" s="3" t="s">
        <v>188</v>
      </c>
      <c r="D10090" s="3" t="s">
        <v>32</v>
      </c>
      <c r="E10090" s="4" t="s">
        <v>22</v>
      </c>
      <c r="F10090" s="4" t="s">
        <v>50959</v>
      </c>
      <c r="G10090" s="4" t="s">
        <v>50909</v>
      </c>
      <c r="H10090" s="3" t="s">
        <v>50910</v>
      </c>
      <c r="I10090" s="3" t="s">
        <v>50911</v>
      </c>
      <c r="J10090" s="3" t="s">
        <v>25678</v>
      </c>
      <c r="K10090" s="3" t="s">
        <v>51092</v>
      </c>
      <c r="L10090" s="3" t="s">
        <v>51093</v>
      </c>
      <c r="M10090" s="4" t="s">
        <v>51094</v>
      </c>
      <c r="N10090" s="3" t="s">
        <v>37</v>
      </c>
      <c r="O10090" s="3" t="s">
        <v>123</v>
      </c>
      <c r="P10090" s="5">
        <v>14</v>
      </c>
      <c r="Q10090" s="5">
        <v>438</v>
      </c>
      <c r="R10090" s="5">
        <v>14</v>
      </c>
      <c r="S10090" s="5">
        <v>437</v>
      </c>
    </row>
    <row r="10091" spans="1:19" ht="42" x14ac:dyDescent="0.15">
      <c r="A10091" s="2">
        <f>HYPERLINK("https://open-school.uspishnemisto.com.ua/school/530054/", 530054)</f>
        <v>530054</v>
      </c>
      <c r="B10091" s="3" t="s">
        <v>51095</v>
      </c>
      <c r="C10091" s="3" t="s">
        <v>54</v>
      </c>
      <c r="D10091" s="3" t="s">
        <v>60</v>
      </c>
      <c r="E10091" s="4" t="s">
        <v>22</v>
      </c>
      <c r="F10091" s="4" t="s">
        <v>51096</v>
      </c>
      <c r="G10091" s="4" t="s">
        <v>50909</v>
      </c>
      <c r="H10091" s="3" t="s">
        <v>50910</v>
      </c>
      <c r="I10091" s="3" t="s">
        <v>50911</v>
      </c>
      <c r="J10091" s="3" t="s">
        <v>51097</v>
      </c>
      <c r="K10091" s="3" t="s">
        <v>51098</v>
      </c>
      <c r="L10091" s="3"/>
      <c r="M10091" s="4"/>
      <c r="N10091" s="3" t="s">
        <v>37</v>
      </c>
      <c r="O10091" s="3" t="s">
        <v>52</v>
      </c>
      <c r="P10091" s="5">
        <v>4</v>
      </c>
      <c r="Q10091" s="5">
        <v>110</v>
      </c>
      <c r="R10091" s="5">
        <v>3</v>
      </c>
      <c r="S10091" s="5">
        <v>84</v>
      </c>
    </row>
    <row r="10092" spans="1:19" ht="42" x14ac:dyDescent="0.15">
      <c r="A10092" s="2">
        <f>HYPERLINK("https://open-school.uspishnemisto.com.ua/school/530026/", 530026)</f>
        <v>530026</v>
      </c>
      <c r="B10092" s="3" t="s">
        <v>51099</v>
      </c>
      <c r="C10092" s="3" t="s">
        <v>31</v>
      </c>
      <c r="D10092" s="3" t="s">
        <v>32</v>
      </c>
      <c r="E10092" s="4" t="s">
        <v>22</v>
      </c>
      <c r="F10092" s="4" t="s">
        <v>50916</v>
      </c>
      <c r="G10092" s="4" t="s">
        <v>51100</v>
      </c>
      <c r="H10092" s="3" t="s">
        <v>50910</v>
      </c>
      <c r="I10092" s="3" t="s">
        <v>51101</v>
      </c>
      <c r="J10092" s="3" t="s">
        <v>51102</v>
      </c>
      <c r="K10092" s="3" t="s">
        <v>51103</v>
      </c>
      <c r="L10092" s="3" t="s">
        <v>51104</v>
      </c>
      <c r="M10092" s="4"/>
      <c r="N10092" s="3" t="s">
        <v>37</v>
      </c>
      <c r="O10092" s="3" t="s">
        <v>46</v>
      </c>
      <c r="P10092" s="5">
        <v>21</v>
      </c>
      <c r="Q10092" s="5">
        <v>606</v>
      </c>
      <c r="R10092" s="5">
        <v>21</v>
      </c>
      <c r="S10092" s="5">
        <v>604</v>
      </c>
    </row>
    <row r="10093" spans="1:19" ht="42" x14ac:dyDescent="0.15">
      <c r="A10093" s="2">
        <f>HYPERLINK("https://open-school.uspishnemisto.com.ua/school/530027/", 530027)</f>
        <v>530027</v>
      </c>
      <c r="B10093" s="3" t="s">
        <v>51105</v>
      </c>
      <c r="C10093" s="3" t="s">
        <v>40</v>
      </c>
      <c r="D10093" s="3" t="s">
        <v>32</v>
      </c>
      <c r="E10093" s="4" t="s">
        <v>22</v>
      </c>
      <c r="F10093" s="4" t="s">
        <v>51106</v>
      </c>
      <c r="G10093" s="4" t="s">
        <v>51100</v>
      </c>
      <c r="H10093" s="3" t="s">
        <v>50910</v>
      </c>
      <c r="I10093" s="3" t="s">
        <v>51101</v>
      </c>
      <c r="J10093" s="3" t="s">
        <v>51107</v>
      </c>
      <c r="K10093" s="3" t="s">
        <v>51108</v>
      </c>
      <c r="L10093" s="3" t="s">
        <v>51109</v>
      </c>
      <c r="M10093" s="4"/>
      <c r="N10093" s="3" t="s">
        <v>128</v>
      </c>
      <c r="O10093" s="3" t="s">
        <v>167</v>
      </c>
      <c r="P10093" s="5">
        <v>41</v>
      </c>
      <c r="Q10093" s="5">
        <v>1143</v>
      </c>
      <c r="R10093" s="5">
        <v>39</v>
      </c>
      <c r="S10093" s="5">
        <v>1125</v>
      </c>
    </row>
    <row r="10094" spans="1:19" ht="28" x14ac:dyDescent="0.15">
      <c r="A10094" s="2">
        <f>HYPERLINK("https://open-school.uspishnemisto.com.ua/school/530028/", 530028)</f>
        <v>530028</v>
      </c>
      <c r="B10094" s="3" t="s">
        <v>51110</v>
      </c>
      <c r="C10094" s="3" t="s">
        <v>31</v>
      </c>
      <c r="D10094" s="3" t="s">
        <v>32</v>
      </c>
      <c r="E10094" s="4" t="s">
        <v>22</v>
      </c>
      <c r="F10094" s="4" t="s">
        <v>51111</v>
      </c>
      <c r="G10094" s="4" t="s">
        <v>51100</v>
      </c>
      <c r="H10094" s="3" t="s">
        <v>50910</v>
      </c>
      <c r="I10094" s="3" t="s">
        <v>51101</v>
      </c>
      <c r="J10094" s="3" t="s">
        <v>51112</v>
      </c>
      <c r="K10094" s="3" t="s">
        <v>51113</v>
      </c>
      <c r="L10094" s="3" t="s">
        <v>51114</v>
      </c>
      <c r="M10094" s="4"/>
      <c r="N10094" s="3" t="s">
        <v>37</v>
      </c>
      <c r="O10094" s="3" t="s">
        <v>38</v>
      </c>
      <c r="P10094" s="5">
        <v>11</v>
      </c>
      <c r="Q10094" s="5">
        <v>231</v>
      </c>
      <c r="R10094" s="5">
        <v>11</v>
      </c>
      <c r="S10094" s="5">
        <v>219</v>
      </c>
    </row>
    <row r="10095" spans="1:19" ht="42" x14ac:dyDescent="0.15">
      <c r="A10095" s="2">
        <f>HYPERLINK("https://open-school.uspishnemisto.com.ua/school/530030/", 530030)</f>
        <v>530030</v>
      </c>
      <c r="B10095" s="3" t="s">
        <v>51115</v>
      </c>
      <c r="C10095" s="3" t="s">
        <v>31</v>
      </c>
      <c r="D10095" s="3" t="s">
        <v>32</v>
      </c>
      <c r="E10095" s="4" t="s">
        <v>22</v>
      </c>
      <c r="F10095" s="4" t="s">
        <v>51106</v>
      </c>
      <c r="G10095" s="4" t="s">
        <v>51100</v>
      </c>
      <c r="H10095" s="3" t="s">
        <v>50910</v>
      </c>
      <c r="I10095" s="3" t="s">
        <v>51101</v>
      </c>
      <c r="J10095" s="3" t="s">
        <v>51116</v>
      </c>
      <c r="K10095" s="3" t="s">
        <v>51117</v>
      </c>
      <c r="L10095" s="3"/>
      <c r="M10095" s="4"/>
      <c r="N10095" s="3" t="s">
        <v>37</v>
      </c>
      <c r="O10095" s="3" t="s">
        <v>70</v>
      </c>
      <c r="P10095" s="5">
        <v>29</v>
      </c>
      <c r="Q10095" s="5">
        <v>825</v>
      </c>
      <c r="R10095" s="5">
        <v>28</v>
      </c>
      <c r="S10095" s="5">
        <v>814</v>
      </c>
    </row>
    <row r="10096" spans="1:19" ht="42" x14ac:dyDescent="0.15">
      <c r="A10096" s="2">
        <f>HYPERLINK("https://open-school.uspishnemisto.com.ua/school/530031/", 530031)</f>
        <v>530031</v>
      </c>
      <c r="B10096" s="3" t="s">
        <v>51118</v>
      </c>
      <c r="C10096" s="3" t="s">
        <v>54</v>
      </c>
      <c r="D10096" s="3" t="s">
        <v>60</v>
      </c>
      <c r="E10096" s="4" t="s">
        <v>22</v>
      </c>
      <c r="F10096" s="4" t="s">
        <v>51119</v>
      </c>
      <c r="G10096" s="4" t="s">
        <v>51100</v>
      </c>
      <c r="H10096" s="3" t="s">
        <v>50910</v>
      </c>
      <c r="I10096" s="3" t="s">
        <v>51101</v>
      </c>
      <c r="J10096" s="3" t="s">
        <v>51120</v>
      </c>
      <c r="K10096" s="3" t="s">
        <v>51121</v>
      </c>
      <c r="L10096" s="3"/>
      <c r="M10096" s="4"/>
      <c r="N10096" s="3" t="s">
        <v>37</v>
      </c>
      <c r="O10096" s="3" t="s">
        <v>52</v>
      </c>
      <c r="P10096" s="5">
        <v>4</v>
      </c>
      <c r="Q10096" s="5">
        <v>101</v>
      </c>
      <c r="R10096" s="5">
        <v>3</v>
      </c>
      <c r="S10096" s="5">
        <v>82</v>
      </c>
    </row>
    <row r="10097" spans="1:19" ht="28" x14ac:dyDescent="0.15">
      <c r="A10097" s="2">
        <f>HYPERLINK("https://open-school.uspishnemisto.com.ua/school/530046/", 530046)</f>
        <v>530046</v>
      </c>
      <c r="B10097" s="3" t="s">
        <v>51122</v>
      </c>
      <c r="C10097" s="3" t="s">
        <v>40</v>
      </c>
      <c r="D10097" s="3" t="s">
        <v>32</v>
      </c>
      <c r="E10097" s="4" t="s">
        <v>22</v>
      </c>
      <c r="F10097" s="4" t="s">
        <v>50998</v>
      </c>
      <c r="G10097" s="4" t="s">
        <v>51123</v>
      </c>
      <c r="H10097" s="3" t="s">
        <v>50910</v>
      </c>
      <c r="I10097" s="3" t="s">
        <v>51124</v>
      </c>
      <c r="J10097" s="3" t="s">
        <v>51125</v>
      </c>
      <c r="K10097" s="3" t="s">
        <v>51126</v>
      </c>
      <c r="L10097" s="3" t="s">
        <v>51127</v>
      </c>
      <c r="M10097" s="4"/>
      <c r="N10097" s="3" t="s">
        <v>37</v>
      </c>
      <c r="O10097" s="3" t="s">
        <v>70</v>
      </c>
      <c r="P10097" s="5">
        <v>37</v>
      </c>
      <c r="Q10097" s="5">
        <v>1110</v>
      </c>
      <c r="R10097" s="5">
        <v>36</v>
      </c>
      <c r="S10097" s="5">
        <v>1085</v>
      </c>
    </row>
    <row r="10098" spans="1:19" ht="28" x14ac:dyDescent="0.15">
      <c r="A10098" s="2">
        <f>HYPERLINK("https://open-school.uspishnemisto.com.ua/school/530051/", 530051)</f>
        <v>530051</v>
      </c>
      <c r="B10098" s="3" t="s">
        <v>51128</v>
      </c>
      <c r="C10098" s="3" t="s">
        <v>4989</v>
      </c>
      <c r="D10098" s="3" t="s">
        <v>32</v>
      </c>
      <c r="E10098" s="4" t="s">
        <v>22</v>
      </c>
      <c r="F10098" s="4" t="s">
        <v>50926</v>
      </c>
      <c r="G10098" s="4" t="s">
        <v>51123</v>
      </c>
      <c r="H10098" s="3" t="s">
        <v>50910</v>
      </c>
      <c r="I10098" s="3" t="s">
        <v>51124</v>
      </c>
      <c r="J10098" s="3" t="s">
        <v>51129</v>
      </c>
      <c r="K10098" s="3" t="s">
        <v>51130</v>
      </c>
      <c r="L10098" s="3" t="s">
        <v>51131</v>
      </c>
      <c r="M10098" s="4" t="s">
        <v>51132</v>
      </c>
      <c r="N10098" s="3" t="s">
        <v>37</v>
      </c>
      <c r="O10098" s="3" t="s">
        <v>52</v>
      </c>
      <c r="P10098" s="5">
        <v>17</v>
      </c>
      <c r="Q10098" s="5">
        <v>303</v>
      </c>
      <c r="R10098" s="5">
        <v>17</v>
      </c>
      <c r="S10098" s="5">
        <v>315</v>
      </c>
    </row>
    <row r="10099" spans="1:19" ht="42" x14ac:dyDescent="0.15">
      <c r="A10099" s="2">
        <f>HYPERLINK("https://open-school.uspishnemisto.com.ua/school/530053/", 530053)</f>
        <v>530053</v>
      </c>
      <c r="B10099" s="3" t="s">
        <v>51133</v>
      </c>
      <c r="C10099" s="3" t="s">
        <v>54</v>
      </c>
      <c r="D10099" s="3" t="s">
        <v>60</v>
      </c>
      <c r="E10099" s="4" t="s">
        <v>22</v>
      </c>
      <c r="F10099" s="4" t="s">
        <v>50954</v>
      </c>
      <c r="G10099" s="4" t="s">
        <v>51123</v>
      </c>
      <c r="H10099" s="3" t="s">
        <v>50910</v>
      </c>
      <c r="I10099" s="3" t="s">
        <v>51124</v>
      </c>
      <c r="J10099" s="3" t="s">
        <v>51134</v>
      </c>
      <c r="K10099" s="3" t="s">
        <v>51135</v>
      </c>
      <c r="L10099" s="3"/>
      <c r="M10099" s="4"/>
      <c r="N10099" s="3" t="s">
        <v>37</v>
      </c>
      <c r="O10099" s="3" t="s">
        <v>52</v>
      </c>
      <c r="P10099" s="5">
        <v>4</v>
      </c>
      <c r="Q10099" s="5">
        <v>106</v>
      </c>
      <c r="R10099" s="5">
        <v>4</v>
      </c>
      <c r="S10099" s="5">
        <v>105</v>
      </c>
    </row>
    <row r="10100" spans="1:19" ht="28" x14ac:dyDescent="0.15">
      <c r="A10100" s="2">
        <f>HYPERLINK("https://open-school.uspishnemisto.com.ua/school/530055/", 530055)</f>
        <v>530055</v>
      </c>
      <c r="B10100" s="3" t="s">
        <v>51136</v>
      </c>
      <c r="C10100" s="3" t="s">
        <v>20</v>
      </c>
      <c r="D10100" s="3" t="s">
        <v>21</v>
      </c>
      <c r="E10100" s="4" t="s">
        <v>22</v>
      </c>
      <c r="F10100" s="4" t="s">
        <v>51137</v>
      </c>
      <c r="G10100" s="4" t="s">
        <v>51138</v>
      </c>
      <c r="H10100" s="3" t="s">
        <v>50910</v>
      </c>
      <c r="I10100" s="3" t="s">
        <v>51139</v>
      </c>
      <c r="J10100" s="3" t="s">
        <v>7930</v>
      </c>
      <c r="K10100" s="3" t="s">
        <v>51140</v>
      </c>
      <c r="L10100" s="3"/>
      <c r="M10100" s="4" t="s">
        <v>51141</v>
      </c>
      <c r="N10100" s="3"/>
      <c r="O10100" s="3"/>
      <c r="P10100" s="5">
        <v>0</v>
      </c>
      <c r="Q10100" s="5">
        <v>0</v>
      </c>
      <c r="R10100" s="5"/>
      <c r="S10100" s="5"/>
    </row>
    <row r="10101" spans="1:19" ht="28" x14ac:dyDescent="0.15">
      <c r="A10101" s="2">
        <f>HYPERLINK("https://open-school.uspishnemisto.com.ua/school/530056/", 530056)</f>
        <v>530056</v>
      </c>
      <c r="B10101" s="3" t="s">
        <v>51142</v>
      </c>
      <c r="C10101" s="3" t="s">
        <v>31</v>
      </c>
      <c r="D10101" s="3" t="s">
        <v>32</v>
      </c>
      <c r="E10101" s="4" t="s">
        <v>22</v>
      </c>
      <c r="F10101" s="4" t="s">
        <v>51143</v>
      </c>
      <c r="G10101" s="4" t="s">
        <v>51138</v>
      </c>
      <c r="H10101" s="3" t="s">
        <v>50910</v>
      </c>
      <c r="I10101" s="3" t="s">
        <v>51139</v>
      </c>
      <c r="J10101" s="3" t="s">
        <v>3047</v>
      </c>
      <c r="K10101" s="3" t="s">
        <v>51144</v>
      </c>
      <c r="L10101" s="3"/>
      <c r="M10101" s="4" t="s">
        <v>51145</v>
      </c>
      <c r="N10101" s="3" t="s">
        <v>37</v>
      </c>
      <c r="O10101" s="3" t="s">
        <v>38</v>
      </c>
      <c r="P10101" s="5">
        <v>26</v>
      </c>
      <c r="Q10101" s="5">
        <v>751</v>
      </c>
      <c r="R10101" s="5">
        <v>26</v>
      </c>
      <c r="S10101" s="5">
        <v>741</v>
      </c>
    </row>
    <row r="10102" spans="1:19" ht="42" x14ac:dyDescent="0.15">
      <c r="A10102" s="2">
        <f>HYPERLINK("https://open-school.uspishnemisto.com.ua/school/530057/", 530057)</f>
        <v>530057</v>
      </c>
      <c r="B10102" s="3" t="s">
        <v>51146</v>
      </c>
      <c r="C10102" s="3" t="s">
        <v>31</v>
      </c>
      <c r="D10102" s="3" t="s">
        <v>32</v>
      </c>
      <c r="E10102" s="4" t="s">
        <v>22</v>
      </c>
      <c r="F10102" s="4" t="s">
        <v>51137</v>
      </c>
      <c r="G10102" s="4" t="s">
        <v>51138</v>
      </c>
      <c r="H10102" s="3" t="s">
        <v>50910</v>
      </c>
      <c r="I10102" s="3" t="s">
        <v>51139</v>
      </c>
      <c r="J10102" s="3" t="s">
        <v>49714</v>
      </c>
      <c r="K10102" s="3" t="s">
        <v>51147</v>
      </c>
      <c r="L10102" s="3" t="s">
        <v>51148</v>
      </c>
      <c r="M10102" s="4" t="s">
        <v>51149</v>
      </c>
      <c r="N10102" s="3" t="s">
        <v>37</v>
      </c>
      <c r="O10102" s="3" t="s">
        <v>38</v>
      </c>
      <c r="P10102" s="5">
        <v>21</v>
      </c>
      <c r="Q10102" s="5">
        <v>528</v>
      </c>
      <c r="R10102" s="5">
        <v>21</v>
      </c>
      <c r="S10102" s="5">
        <v>511</v>
      </c>
    </row>
    <row r="10103" spans="1:19" ht="28" x14ac:dyDescent="0.15">
      <c r="A10103" s="2">
        <f>HYPERLINK("https://open-school.uspishnemisto.com.ua/school/530058/", 530058)</f>
        <v>530058</v>
      </c>
      <c r="B10103" s="3" t="s">
        <v>51150</v>
      </c>
      <c r="C10103" s="3" t="s">
        <v>31</v>
      </c>
      <c r="D10103" s="3" t="s">
        <v>32</v>
      </c>
      <c r="E10103" s="4" t="s">
        <v>22</v>
      </c>
      <c r="F10103" s="4" t="s">
        <v>51137</v>
      </c>
      <c r="G10103" s="4" t="s">
        <v>51138</v>
      </c>
      <c r="H10103" s="3" t="s">
        <v>50910</v>
      </c>
      <c r="I10103" s="3" t="s">
        <v>51139</v>
      </c>
      <c r="J10103" s="3" t="s">
        <v>51151</v>
      </c>
      <c r="K10103" s="3" t="s">
        <v>51152</v>
      </c>
      <c r="L10103" s="3"/>
      <c r="M10103" s="4" t="s">
        <v>51153</v>
      </c>
      <c r="N10103" s="3" t="s">
        <v>37</v>
      </c>
      <c r="O10103" s="3" t="s">
        <v>52</v>
      </c>
      <c r="P10103" s="5">
        <v>32</v>
      </c>
      <c r="Q10103" s="5">
        <v>844</v>
      </c>
      <c r="R10103" s="5">
        <v>31</v>
      </c>
      <c r="S10103" s="5">
        <v>825</v>
      </c>
    </row>
    <row r="10104" spans="1:19" ht="28" x14ac:dyDescent="0.15">
      <c r="A10104" s="2">
        <f>HYPERLINK("https://open-school.uspishnemisto.com.ua/school/530059/", 530059)</f>
        <v>530059</v>
      </c>
      <c r="B10104" s="3" t="s">
        <v>51154</v>
      </c>
      <c r="C10104" s="3" t="s">
        <v>244</v>
      </c>
      <c r="D10104" s="3" t="s">
        <v>32</v>
      </c>
      <c r="E10104" s="4" t="s">
        <v>22</v>
      </c>
      <c r="F10104" s="4" t="s">
        <v>51137</v>
      </c>
      <c r="G10104" s="4" t="s">
        <v>51138</v>
      </c>
      <c r="H10104" s="3" t="s">
        <v>50910</v>
      </c>
      <c r="I10104" s="3" t="s">
        <v>51139</v>
      </c>
      <c r="J10104" s="3" t="s">
        <v>51155</v>
      </c>
      <c r="K10104" s="3" t="s">
        <v>51156</v>
      </c>
      <c r="L10104" s="3" t="s">
        <v>51157</v>
      </c>
      <c r="M10104" s="4" t="s">
        <v>51158</v>
      </c>
      <c r="N10104" s="3" t="s">
        <v>37</v>
      </c>
      <c r="O10104" s="3" t="s">
        <v>46</v>
      </c>
      <c r="P10104" s="5">
        <v>23</v>
      </c>
      <c r="Q10104" s="5">
        <v>593</v>
      </c>
      <c r="R10104" s="5">
        <v>23</v>
      </c>
      <c r="S10104" s="5">
        <v>555</v>
      </c>
    </row>
    <row r="10105" spans="1:19" ht="56" x14ac:dyDescent="0.15">
      <c r="A10105" s="2">
        <f>HYPERLINK("https://open-school.uspishnemisto.com.ua/school/530060/", 530060)</f>
        <v>530060</v>
      </c>
      <c r="B10105" s="3" t="s">
        <v>51159</v>
      </c>
      <c r="C10105" s="3" t="s">
        <v>244</v>
      </c>
      <c r="D10105" s="3" t="s">
        <v>32</v>
      </c>
      <c r="E10105" s="4" t="s">
        <v>22</v>
      </c>
      <c r="F10105" s="4" t="s">
        <v>51160</v>
      </c>
      <c r="G10105" s="4" t="s">
        <v>51138</v>
      </c>
      <c r="H10105" s="3" t="s">
        <v>50910</v>
      </c>
      <c r="I10105" s="3" t="s">
        <v>51139</v>
      </c>
      <c r="J10105" s="3" t="s">
        <v>51161</v>
      </c>
      <c r="K10105" s="3" t="s">
        <v>51162</v>
      </c>
      <c r="L10105" s="3"/>
      <c r="M10105" s="4" t="s">
        <v>51163</v>
      </c>
      <c r="N10105" s="3" t="s">
        <v>37</v>
      </c>
      <c r="O10105" s="3" t="s">
        <v>46</v>
      </c>
      <c r="P10105" s="5">
        <v>41</v>
      </c>
      <c r="Q10105" s="5">
        <v>1107</v>
      </c>
      <c r="R10105" s="5">
        <v>40</v>
      </c>
      <c r="S10105" s="5">
        <v>1092</v>
      </c>
    </row>
    <row r="10106" spans="1:19" ht="56" x14ac:dyDescent="0.15">
      <c r="A10106" s="2">
        <f>HYPERLINK("https://open-school.uspishnemisto.com.ua/school/530061/", 530061)</f>
        <v>530061</v>
      </c>
      <c r="B10106" s="3" t="s">
        <v>51164</v>
      </c>
      <c r="C10106" s="3" t="s">
        <v>244</v>
      </c>
      <c r="D10106" s="3" t="s">
        <v>32</v>
      </c>
      <c r="E10106" s="4" t="s">
        <v>22</v>
      </c>
      <c r="F10106" s="4" t="s">
        <v>51137</v>
      </c>
      <c r="G10106" s="4" t="s">
        <v>51138</v>
      </c>
      <c r="H10106" s="3" t="s">
        <v>50910</v>
      </c>
      <c r="I10106" s="3" t="s">
        <v>51139</v>
      </c>
      <c r="J10106" s="3" t="s">
        <v>51155</v>
      </c>
      <c r="K10106" s="3" t="s">
        <v>51165</v>
      </c>
      <c r="L10106" s="3"/>
      <c r="M10106" s="4" t="s">
        <v>51166</v>
      </c>
      <c r="N10106" s="3" t="s">
        <v>37</v>
      </c>
      <c r="O10106" s="3" t="s">
        <v>52</v>
      </c>
      <c r="P10106" s="5">
        <v>34</v>
      </c>
      <c r="Q10106" s="5">
        <v>887</v>
      </c>
      <c r="R10106" s="5">
        <v>34</v>
      </c>
      <c r="S10106" s="5">
        <v>895</v>
      </c>
    </row>
    <row r="10107" spans="1:19" ht="28" x14ac:dyDescent="0.15">
      <c r="A10107" s="2">
        <f>HYPERLINK("https://open-school.uspishnemisto.com.ua/school/530062/", 530062)</f>
        <v>530062</v>
      </c>
      <c r="B10107" s="3" t="s">
        <v>51167</v>
      </c>
      <c r="C10107" s="3" t="s">
        <v>31</v>
      </c>
      <c r="D10107" s="3" t="s">
        <v>32</v>
      </c>
      <c r="E10107" s="4" t="s">
        <v>22</v>
      </c>
      <c r="F10107" s="4" t="s">
        <v>43749</v>
      </c>
      <c r="G10107" s="4" t="s">
        <v>51168</v>
      </c>
      <c r="H10107" s="3" t="s">
        <v>50910</v>
      </c>
      <c r="I10107" s="3" t="s">
        <v>11923</v>
      </c>
      <c r="J10107" s="3" t="s">
        <v>3501</v>
      </c>
      <c r="K10107" s="3" t="s">
        <v>51169</v>
      </c>
      <c r="L10107" s="3" t="s">
        <v>51170</v>
      </c>
      <c r="M10107" s="4" t="s">
        <v>51171</v>
      </c>
      <c r="N10107" s="3" t="s">
        <v>37</v>
      </c>
      <c r="O10107" s="3" t="s">
        <v>38</v>
      </c>
      <c r="P10107" s="5">
        <v>11</v>
      </c>
      <c r="Q10107" s="5">
        <v>205</v>
      </c>
      <c r="R10107" s="5">
        <v>11</v>
      </c>
      <c r="S10107" s="5">
        <v>205</v>
      </c>
    </row>
    <row r="10108" spans="1:19" ht="28" x14ac:dyDescent="0.15">
      <c r="A10108" s="2">
        <f>HYPERLINK("https://open-school.uspishnemisto.com.ua/school/530063/", 530063)</f>
        <v>530063</v>
      </c>
      <c r="B10108" s="3" t="s">
        <v>51172</v>
      </c>
      <c r="C10108" s="3" t="s">
        <v>20</v>
      </c>
      <c r="D10108" s="3" t="s">
        <v>32</v>
      </c>
      <c r="E10108" s="4" t="s">
        <v>22</v>
      </c>
      <c r="F10108" s="4" t="s">
        <v>51173</v>
      </c>
      <c r="G10108" s="4" t="s">
        <v>51174</v>
      </c>
      <c r="H10108" s="3" t="s">
        <v>50910</v>
      </c>
      <c r="I10108" s="3" t="s">
        <v>51175</v>
      </c>
      <c r="J10108" s="3" t="s">
        <v>51176</v>
      </c>
      <c r="K10108" s="3" t="s">
        <v>51177</v>
      </c>
      <c r="L10108" s="3"/>
      <c r="M10108" s="4"/>
      <c r="N10108" s="3"/>
      <c r="O10108" s="3"/>
      <c r="P10108" s="5">
        <v>0</v>
      </c>
      <c r="Q10108" s="5">
        <v>0</v>
      </c>
      <c r="R10108" s="5"/>
      <c r="S10108" s="5"/>
    </row>
    <row r="10109" spans="1:19" ht="28" x14ac:dyDescent="0.15">
      <c r="A10109" s="2">
        <f>HYPERLINK("https://open-school.uspishnemisto.com.ua/school/530064/", 530064)</f>
        <v>530064</v>
      </c>
      <c r="B10109" s="3" t="s">
        <v>51178</v>
      </c>
      <c r="C10109" s="3" t="s">
        <v>40</v>
      </c>
      <c r="D10109" s="3" t="s">
        <v>32</v>
      </c>
      <c r="E10109" s="4" t="s">
        <v>22</v>
      </c>
      <c r="F10109" s="4" t="s">
        <v>51173</v>
      </c>
      <c r="G10109" s="4" t="s">
        <v>51174</v>
      </c>
      <c r="H10109" s="3" t="s">
        <v>50910</v>
      </c>
      <c r="I10109" s="3" t="s">
        <v>51175</v>
      </c>
      <c r="J10109" s="3" t="s">
        <v>51179</v>
      </c>
      <c r="K10109" s="3" t="s">
        <v>51180</v>
      </c>
      <c r="L10109" s="3" t="s">
        <v>51181</v>
      </c>
      <c r="M10109" s="4"/>
      <c r="N10109" s="3" t="s">
        <v>37</v>
      </c>
      <c r="O10109" s="3" t="s">
        <v>46</v>
      </c>
      <c r="P10109" s="5">
        <v>21</v>
      </c>
      <c r="Q10109" s="5">
        <v>485</v>
      </c>
      <c r="R10109" s="5">
        <v>21</v>
      </c>
      <c r="S10109" s="5">
        <v>495</v>
      </c>
    </row>
    <row r="10110" spans="1:19" ht="42" x14ac:dyDescent="0.15">
      <c r="A10110" s="2">
        <f>HYPERLINK("https://open-school.uspishnemisto.com.ua/school/530065/", 530065)</f>
        <v>530065</v>
      </c>
      <c r="B10110" s="3" t="s">
        <v>51182</v>
      </c>
      <c r="C10110" s="3" t="s">
        <v>244</v>
      </c>
      <c r="D10110" s="3" t="s">
        <v>32</v>
      </c>
      <c r="E10110" s="4" t="s">
        <v>22</v>
      </c>
      <c r="F10110" s="4" t="s">
        <v>51173</v>
      </c>
      <c r="G10110" s="4" t="s">
        <v>51174</v>
      </c>
      <c r="H10110" s="3" t="s">
        <v>50910</v>
      </c>
      <c r="I10110" s="3" t="s">
        <v>51175</v>
      </c>
      <c r="J10110" s="3" t="s">
        <v>28567</v>
      </c>
      <c r="K10110" s="3" t="s">
        <v>51183</v>
      </c>
      <c r="L10110" s="3" t="s">
        <v>51184</v>
      </c>
      <c r="M10110" s="4"/>
      <c r="N10110" s="3" t="s">
        <v>37</v>
      </c>
      <c r="O10110" s="3" t="s">
        <v>46</v>
      </c>
      <c r="P10110" s="5">
        <v>18</v>
      </c>
      <c r="Q10110" s="5">
        <v>380</v>
      </c>
      <c r="R10110" s="5">
        <v>18</v>
      </c>
      <c r="S10110" s="5">
        <v>383</v>
      </c>
    </row>
    <row r="10111" spans="1:19" ht="28" x14ac:dyDescent="0.15">
      <c r="A10111" s="2">
        <f>HYPERLINK("https://open-school.uspishnemisto.com.ua/school/530066/", 530066)</f>
        <v>530066</v>
      </c>
      <c r="B10111" s="3" t="s">
        <v>51185</v>
      </c>
      <c r="C10111" s="3" t="s">
        <v>244</v>
      </c>
      <c r="D10111" s="3" t="s">
        <v>32</v>
      </c>
      <c r="E10111" s="4" t="s">
        <v>22</v>
      </c>
      <c r="F10111" s="4" t="s">
        <v>51173</v>
      </c>
      <c r="G10111" s="4" t="s">
        <v>51174</v>
      </c>
      <c r="H10111" s="3" t="s">
        <v>50910</v>
      </c>
      <c r="I10111" s="3" t="s">
        <v>51175</v>
      </c>
      <c r="J10111" s="3" t="s">
        <v>51186</v>
      </c>
      <c r="K10111" s="3" t="s">
        <v>51187</v>
      </c>
      <c r="L10111" s="3" t="s">
        <v>51188</v>
      </c>
      <c r="M10111" s="4"/>
      <c r="N10111" s="3" t="s">
        <v>37</v>
      </c>
      <c r="O10111" s="3" t="s">
        <v>70</v>
      </c>
      <c r="P10111" s="5">
        <v>20</v>
      </c>
      <c r="Q10111" s="5">
        <v>427</v>
      </c>
      <c r="R10111" s="5">
        <v>20</v>
      </c>
      <c r="S10111" s="5">
        <v>432</v>
      </c>
    </row>
    <row r="10112" spans="1:19" ht="28" x14ac:dyDescent="0.15">
      <c r="A10112" s="2">
        <f>HYPERLINK("https://open-school.uspishnemisto.com.ua/school/530067/", 530067)</f>
        <v>530067</v>
      </c>
      <c r="B10112" s="3" t="s">
        <v>51189</v>
      </c>
      <c r="C10112" s="3" t="s">
        <v>244</v>
      </c>
      <c r="D10112" s="3" t="s">
        <v>32</v>
      </c>
      <c r="E10112" s="4" t="s">
        <v>22</v>
      </c>
      <c r="F10112" s="4" t="s">
        <v>51173</v>
      </c>
      <c r="G10112" s="4" t="s">
        <v>51174</v>
      </c>
      <c r="H10112" s="3" t="s">
        <v>50910</v>
      </c>
      <c r="I10112" s="3" t="s">
        <v>51175</v>
      </c>
      <c r="J10112" s="3" t="s">
        <v>51190</v>
      </c>
      <c r="K10112" s="3" t="s">
        <v>51191</v>
      </c>
      <c r="L10112" s="3" t="s">
        <v>51192</v>
      </c>
      <c r="M10112" s="4"/>
      <c r="N10112" s="3" t="s">
        <v>37</v>
      </c>
      <c r="O10112" s="3" t="s">
        <v>38</v>
      </c>
      <c r="P10112" s="5">
        <v>30</v>
      </c>
      <c r="Q10112" s="5">
        <v>737</v>
      </c>
      <c r="R10112" s="5">
        <v>30</v>
      </c>
      <c r="S10112" s="5">
        <v>710</v>
      </c>
    </row>
    <row r="10113" spans="1:19" ht="28" x14ac:dyDescent="0.15">
      <c r="A10113" s="2">
        <f>HYPERLINK("https://open-school.uspishnemisto.com.ua/school/530068/", 530068)</f>
        <v>530068</v>
      </c>
      <c r="B10113" s="3" t="s">
        <v>51193</v>
      </c>
      <c r="C10113" s="3" t="s">
        <v>4989</v>
      </c>
      <c r="D10113" s="3" t="s">
        <v>32</v>
      </c>
      <c r="E10113" s="4" t="s">
        <v>22</v>
      </c>
      <c r="F10113" s="4" t="s">
        <v>51173</v>
      </c>
      <c r="G10113" s="4" t="s">
        <v>51174</v>
      </c>
      <c r="H10113" s="3" t="s">
        <v>50910</v>
      </c>
      <c r="I10113" s="3" t="s">
        <v>51175</v>
      </c>
      <c r="J10113" s="3" t="s">
        <v>28919</v>
      </c>
      <c r="K10113" s="3" t="s">
        <v>51194</v>
      </c>
      <c r="L10113" s="3"/>
      <c r="M10113" s="4" t="s">
        <v>51195</v>
      </c>
      <c r="N10113" s="3" t="s">
        <v>37</v>
      </c>
      <c r="O10113" s="3" t="s">
        <v>70</v>
      </c>
      <c r="P10113" s="5">
        <v>20</v>
      </c>
      <c r="Q10113" s="5">
        <v>496</v>
      </c>
      <c r="R10113" s="5">
        <v>20</v>
      </c>
      <c r="S10113" s="5">
        <v>515</v>
      </c>
    </row>
    <row r="10114" spans="1:19" ht="56" x14ac:dyDescent="0.15">
      <c r="A10114" s="2">
        <f>HYPERLINK("https://open-school.uspishnemisto.com.ua/school/530069/", 530069)</f>
        <v>530069</v>
      </c>
      <c r="B10114" s="3" t="s">
        <v>51196</v>
      </c>
      <c r="C10114" s="3" t="s">
        <v>40</v>
      </c>
      <c r="D10114" s="3" t="s">
        <v>32</v>
      </c>
      <c r="E10114" s="4" t="s">
        <v>22</v>
      </c>
      <c r="F10114" s="4" t="s">
        <v>51197</v>
      </c>
      <c r="G10114" s="4" t="s">
        <v>51198</v>
      </c>
      <c r="H10114" s="3" t="s">
        <v>50910</v>
      </c>
      <c r="I10114" s="3" t="s">
        <v>51199</v>
      </c>
      <c r="J10114" s="3" t="s">
        <v>51200</v>
      </c>
      <c r="K10114" s="3" t="s">
        <v>51201</v>
      </c>
      <c r="L10114" s="3" t="s">
        <v>51202</v>
      </c>
      <c r="M10114" s="4" t="s">
        <v>51203</v>
      </c>
      <c r="N10114" s="3" t="s">
        <v>37</v>
      </c>
      <c r="O10114" s="3" t="s">
        <v>123</v>
      </c>
      <c r="P10114" s="5">
        <v>38</v>
      </c>
      <c r="Q10114" s="5">
        <v>1112</v>
      </c>
      <c r="R10114" s="5">
        <v>37</v>
      </c>
      <c r="S10114" s="5">
        <v>1080</v>
      </c>
    </row>
    <row r="10115" spans="1:19" ht="28" x14ac:dyDescent="0.15">
      <c r="A10115" s="2">
        <f>HYPERLINK("https://open-school.uspishnemisto.com.ua/school/530070/", 530070)</f>
        <v>530070</v>
      </c>
      <c r="B10115" s="3" t="s">
        <v>51204</v>
      </c>
      <c r="C10115" s="3" t="s">
        <v>31</v>
      </c>
      <c r="D10115" s="3" t="s">
        <v>32</v>
      </c>
      <c r="E10115" s="4" t="s">
        <v>22</v>
      </c>
      <c r="F10115" s="4" t="s">
        <v>51205</v>
      </c>
      <c r="G10115" s="4" t="s">
        <v>51198</v>
      </c>
      <c r="H10115" s="3" t="s">
        <v>50910</v>
      </c>
      <c r="I10115" s="3" t="s">
        <v>51199</v>
      </c>
      <c r="J10115" s="3" t="s">
        <v>51206</v>
      </c>
      <c r="K10115" s="3" t="s">
        <v>51207</v>
      </c>
      <c r="L10115" s="3"/>
      <c r="M10115" s="4" t="s">
        <v>51208</v>
      </c>
      <c r="N10115" s="3" t="s">
        <v>37</v>
      </c>
      <c r="O10115" s="3" t="s">
        <v>38</v>
      </c>
      <c r="P10115" s="5">
        <v>12</v>
      </c>
      <c r="Q10115" s="5">
        <v>327</v>
      </c>
      <c r="R10115" s="5">
        <v>11</v>
      </c>
      <c r="S10115" s="5">
        <v>293</v>
      </c>
    </row>
    <row r="10116" spans="1:19" ht="28" x14ac:dyDescent="0.15">
      <c r="A10116" s="2">
        <f>HYPERLINK("https://open-school.uspishnemisto.com.ua/school/530071/", 530071)</f>
        <v>530071</v>
      </c>
      <c r="B10116" s="3" t="s">
        <v>51209</v>
      </c>
      <c r="C10116" s="3" t="s">
        <v>31</v>
      </c>
      <c r="D10116" s="3" t="s">
        <v>32</v>
      </c>
      <c r="E10116" s="4" t="s">
        <v>22</v>
      </c>
      <c r="F10116" s="4" t="s">
        <v>51210</v>
      </c>
      <c r="G10116" s="4" t="s">
        <v>51198</v>
      </c>
      <c r="H10116" s="3" t="s">
        <v>50910</v>
      </c>
      <c r="I10116" s="3" t="s">
        <v>51199</v>
      </c>
      <c r="J10116" s="3" t="s">
        <v>51211</v>
      </c>
      <c r="K10116" s="3" t="s">
        <v>51212</v>
      </c>
      <c r="L10116" s="3"/>
      <c r="M10116" s="4" t="s">
        <v>51213</v>
      </c>
      <c r="N10116" s="3" t="s">
        <v>37</v>
      </c>
      <c r="O10116" s="3" t="s">
        <v>38</v>
      </c>
      <c r="P10116" s="5">
        <v>27</v>
      </c>
      <c r="Q10116" s="5">
        <v>782</v>
      </c>
      <c r="R10116" s="5">
        <v>26</v>
      </c>
      <c r="S10116" s="5">
        <v>751</v>
      </c>
    </row>
    <row r="10117" spans="1:19" ht="28" x14ac:dyDescent="0.15">
      <c r="A10117" s="2">
        <f>HYPERLINK("https://open-school.uspishnemisto.com.ua/school/530072/", 530072)</f>
        <v>530072</v>
      </c>
      <c r="B10117" s="3" t="s">
        <v>51214</v>
      </c>
      <c r="C10117" s="3" t="s">
        <v>31</v>
      </c>
      <c r="D10117" s="3" t="s">
        <v>32</v>
      </c>
      <c r="E10117" s="4" t="s">
        <v>22</v>
      </c>
      <c r="F10117" s="4" t="s">
        <v>51215</v>
      </c>
      <c r="G10117" s="4" t="s">
        <v>51198</v>
      </c>
      <c r="H10117" s="3" t="s">
        <v>50910</v>
      </c>
      <c r="I10117" s="3" t="s">
        <v>51199</v>
      </c>
      <c r="J10117" s="3" t="s">
        <v>51216</v>
      </c>
      <c r="K10117" s="3" t="s">
        <v>51217</v>
      </c>
      <c r="L10117" s="3"/>
      <c r="M10117" s="4" t="s">
        <v>51218</v>
      </c>
      <c r="N10117" s="3" t="s">
        <v>37</v>
      </c>
      <c r="O10117" s="3" t="s">
        <v>38</v>
      </c>
      <c r="P10117" s="5">
        <v>17</v>
      </c>
      <c r="Q10117" s="5">
        <v>440</v>
      </c>
      <c r="R10117" s="5">
        <v>16</v>
      </c>
      <c r="S10117" s="5">
        <v>415</v>
      </c>
    </row>
    <row r="10118" spans="1:19" ht="28" x14ac:dyDescent="0.15">
      <c r="A10118" s="2">
        <f>HYPERLINK("https://open-school.uspishnemisto.com.ua/school/530073/", 530073)</f>
        <v>530073</v>
      </c>
      <c r="B10118" s="3" t="s">
        <v>51219</v>
      </c>
      <c r="C10118" s="3" t="s">
        <v>31</v>
      </c>
      <c r="D10118" s="3" t="s">
        <v>32</v>
      </c>
      <c r="E10118" s="4" t="s">
        <v>22</v>
      </c>
      <c r="F10118" s="4" t="s">
        <v>51220</v>
      </c>
      <c r="G10118" s="4" t="s">
        <v>51198</v>
      </c>
      <c r="H10118" s="3" t="s">
        <v>50910</v>
      </c>
      <c r="I10118" s="3" t="s">
        <v>51199</v>
      </c>
      <c r="J10118" s="3" t="s">
        <v>51221</v>
      </c>
      <c r="K10118" s="3" t="s">
        <v>51222</v>
      </c>
      <c r="L10118" s="3"/>
      <c r="M10118" s="4" t="s">
        <v>51223</v>
      </c>
      <c r="N10118" s="3" t="s">
        <v>128</v>
      </c>
      <c r="O10118" s="3" t="s">
        <v>38</v>
      </c>
      <c r="P10118" s="5">
        <v>10</v>
      </c>
      <c r="Q10118" s="5">
        <v>177</v>
      </c>
      <c r="R10118" s="5">
        <v>11</v>
      </c>
      <c r="S10118" s="5">
        <v>191</v>
      </c>
    </row>
    <row r="10119" spans="1:19" ht="28" x14ac:dyDescent="0.15">
      <c r="A10119" s="2">
        <f>HYPERLINK("https://open-school.uspishnemisto.com.ua/school/530074/", 530074)</f>
        <v>530074</v>
      </c>
      <c r="B10119" s="3" t="s">
        <v>51224</v>
      </c>
      <c r="C10119" s="3" t="s">
        <v>31</v>
      </c>
      <c r="D10119" s="3" t="s">
        <v>32</v>
      </c>
      <c r="E10119" s="4" t="s">
        <v>22</v>
      </c>
      <c r="F10119" s="4" t="s">
        <v>51197</v>
      </c>
      <c r="G10119" s="4" t="s">
        <v>51198</v>
      </c>
      <c r="H10119" s="3" t="s">
        <v>50910</v>
      </c>
      <c r="I10119" s="3" t="s">
        <v>51199</v>
      </c>
      <c r="J10119" s="3" t="s">
        <v>51225</v>
      </c>
      <c r="K10119" s="3" t="s">
        <v>51226</v>
      </c>
      <c r="L10119" s="3" t="s">
        <v>51227</v>
      </c>
      <c r="M10119" s="4" t="s">
        <v>51228</v>
      </c>
      <c r="N10119" s="3" t="s">
        <v>37</v>
      </c>
      <c r="O10119" s="3" t="s">
        <v>70</v>
      </c>
      <c r="P10119" s="5">
        <v>33</v>
      </c>
      <c r="Q10119" s="5">
        <v>950</v>
      </c>
      <c r="R10119" s="5">
        <v>33</v>
      </c>
      <c r="S10119" s="5">
        <v>965</v>
      </c>
    </row>
    <row r="10120" spans="1:19" ht="28" x14ac:dyDescent="0.15">
      <c r="A10120" s="2">
        <f>HYPERLINK("https://open-school.uspishnemisto.com.ua/school/530075/", 530075)</f>
        <v>530075</v>
      </c>
      <c r="B10120" s="3" t="s">
        <v>51229</v>
      </c>
      <c r="C10120" s="3" t="s">
        <v>31</v>
      </c>
      <c r="D10120" s="3" t="s">
        <v>32</v>
      </c>
      <c r="E10120" s="4" t="s">
        <v>22</v>
      </c>
      <c r="F10120" s="4" t="s">
        <v>51230</v>
      </c>
      <c r="G10120" s="4" t="s">
        <v>51198</v>
      </c>
      <c r="H10120" s="3" t="s">
        <v>50910</v>
      </c>
      <c r="I10120" s="3" t="s">
        <v>51199</v>
      </c>
      <c r="J10120" s="3" t="s">
        <v>51231</v>
      </c>
      <c r="K10120" s="3" t="s">
        <v>51232</v>
      </c>
      <c r="L10120" s="3" t="s">
        <v>51233</v>
      </c>
      <c r="M10120" s="4" t="s">
        <v>51234</v>
      </c>
      <c r="N10120" s="3" t="s">
        <v>37</v>
      </c>
      <c r="O10120" s="3" t="s">
        <v>38</v>
      </c>
      <c r="P10120" s="5">
        <v>30</v>
      </c>
      <c r="Q10120" s="5">
        <v>911</v>
      </c>
      <c r="R10120" s="5">
        <v>30</v>
      </c>
      <c r="S10120" s="5">
        <v>871</v>
      </c>
    </row>
    <row r="10121" spans="1:19" ht="56" x14ac:dyDescent="0.15">
      <c r="A10121" s="2">
        <f>HYPERLINK("https://open-school.uspishnemisto.com.ua/school/530076/", 530076)</f>
        <v>530076</v>
      </c>
      <c r="B10121" s="3" t="s">
        <v>51235</v>
      </c>
      <c r="C10121" s="3" t="s">
        <v>54</v>
      </c>
      <c r="D10121" s="3" t="s">
        <v>32</v>
      </c>
      <c r="E10121" s="4" t="s">
        <v>22</v>
      </c>
      <c r="F10121" s="4" t="s">
        <v>51236</v>
      </c>
      <c r="G10121" s="4" t="s">
        <v>51198</v>
      </c>
      <c r="H10121" s="3" t="s">
        <v>50910</v>
      </c>
      <c r="I10121" s="3" t="s">
        <v>51199</v>
      </c>
      <c r="J10121" s="3" t="s">
        <v>51237</v>
      </c>
      <c r="K10121" s="3" t="s">
        <v>51238</v>
      </c>
      <c r="L10121" s="3"/>
      <c r="M10121" s="4" t="s">
        <v>51239</v>
      </c>
      <c r="N10121" s="3" t="s">
        <v>37</v>
      </c>
      <c r="O10121" s="3" t="s">
        <v>70</v>
      </c>
      <c r="P10121" s="5">
        <v>9</v>
      </c>
      <c r="Q10121" s="5">
        <v>144</v>
      </c>
      <c r="R10121" s="5">
        <v>9</v>
      </c>
      <c r="S10121" s="5">
        <v>138</v>
      </c>
    </row>
    <row r="10122" spans="1:19" ht="28" x14ac:dyDescent="0.15">
      <c r="A10122" s="2">
        <f>HYPERLINK("https://open-school.uspishnemisto.com.ua/school/530077/", 530077)</f>
        <v>530077</v>
      </c>
      <c r="B10122" s="3" t="s">
        <v>51240</v>
      </c>
      <c r="C10122" s="3" t="s">
        <v>31</v>
      </c>
      <c r="D10122" s="3" t="s">
        <v>32</v>
      </c>
      <c r="E10122" s="4" t="s">
        <v>22</v>
      </c>
      <c r="F10122" s="4" t="s">
        <v>51230</v>
      </c>
      <c r="G10122" s="4" t="s">
        <v>51198</v>
      </c>
      <c r="H10122" s="3" t="s">
        <v>50910</v>
      </c>
      <c r="I10122" s="3" t="s">
        <v>51199</v>
      </c>
      <c r="J10122" s="3" t="s">
        <v>51241</v>
      </c>
      <c r="K10122" s="3" t="s">
        <v>51242</v>
      </c>
      <c r="L10122" s="3" t="s">
        <v>51243</v>
      </c>
      <c r="M10122" s="4" t="s">
        <v>51244</v>
      </c>
      <c r="N10122" s="3" t="s">
        <v>128</v>
      </c>
      <c r="O10122" s="3" t="s">
        <v>38</v>
      </c>
      <c r="P10122" s="5">
        <v>30</v>
      </c>
      <c r="Q10122" s="5">
        <v>853</v>
      </c>
      <c r="R10122" s="5">
        <v>30</v>
      </c>
      <c r="S10122" s="5">
        <v>843</v>
      </c>
    </row>
    <row r="10123" spans="1:19" ht="28" x14ac:dyDescent="0.15">
      <c r="A10123" s="2">
        <f>HYPERLINK("https://open-school.uspishnemisto.com.ua/school/530078/", 530078)</f>
        <v>530078</v>
      </c>
      <c r="B10123" s="3" t="s">
        <v>51245</v>
      </c>
      <c r="C10123" s="3" t="s">
        <v>31</v>
      </c>
      <c r="D10123" s="3" t="s">
        <v>32</v>
      </c>
      <c r="E10123" s="4" t="s">
        <v>22</v>
      </c>
      <c r="F10123" s="4" t="s">
        <v>51205</v>
      </c>
      <c r="G10123" s="4" t="s">
        <v>51198</v>
      </c>
      <c r="H10123" s="3" t="s">
        <v>50910</v>
      </c>
      <c r="I10123" s="3" t="s">
        <v>51199</v>
      </c>
      <c r="J10123" s="3" t="s">
        <v>51246</v>
      </c>
      <c r="K10123" s="3" t="s">
        <v>51247</v>
      </c>
      <c r="L10123" s="3"/>
      <c r="M10123" s="4" t="s">
        <v>51248</v>
      </c>
      <c r="N10123" s="3" t="s">
        <v>37</v>
      </c>
      <c r="O10123" s="3" t="s">
        <v>38</v>
      </c>
      <c r="P10123" s="5">
        <v>18</v>
      </c>
      <c r="Q10123" s="5">
        <v>504</v>
      </c>
      <c r="R10123" s="5">
        <v>17</v>
      </c>
      <c r="S10123" s="5">
        <v>485</v>
      </c>
    </row>
    <row r="10124" spans="1:19" ht="28" x14ac:dyDescent="0.15">
      <c r="A10124" s="2">
        <f>HYPERLINK("https://open-school.uspishnemisto.com.ua/school/530079/", 530079)</f>
        <v>530079</v>
      </c>
      <c r="B10124" s="3" t="s">
        <v>51249</v>
      </c>
      <c r="C10124" s="3" t="s">
        <v>31</v>
      </c>
      <c r="D10124" s="3" t="s">
        <v>32</v>
      </c>
      <c r="E10124" s="4" t="s">
        <v>22</v>
      </c>
      <c r="F10124" s="4" t="s">
        <v>51250</v>
      </c>
      <c r="G10124" s="4" t="s">
        <v>51198</v>
      </c>
      <c r="H10124" s="3" t="s">
        <v>50910</v>
      </c>
      <c r="I10124" s="3" t="s">
        <v>51199</v>
      </c>
      <c r="J10124" s="3" t="s">
        <v>51251</v>
      </c>
      <c r="K10124" s="3" t="s">
        <v>51252</v>
      </c>
      <c r="L10124" s="3"/>
      <c r="M10124" s="4" t="s">
        <v>51253</v>
      </c>
      <c r="N10124" s="3" t="s">
        <v>37</v>
      </c>
      <c r="O10124" s="3" t="s">
        <v>38</v>
      </c>
      <c r="P10124" s="5">
        <v>27</v>
      </c>
      <c r="Q10124" s="5">
        <v>821</v>
      </c>
      <c r="R10124" s="5">
        <v>27</v>
      </c>
      <c r="S10124" s="5">
        <v>795</v>
      </c>
    </row>
    <row r="10125" spans="1:19" ht="42" x14ac:dyDescent="0.15">
      <c r="A10125" s="2">
        <f>HYPERLINK("https://open-school.uspishnemisto.com.ua/school/530080/", 530080)</f>
        <v>530080</v>
      </c>
      <c r="B10125" s="3" t="s">
        <v>51254</v>
      </c>
      <c r="C10125" s="3" t="s">
        <v>181</v>
      </c>
      <c r="D10125" s="3" t="s">
        <v>175</v>
      </c>
      <c r="E10125" s="4" t="s">
        <v>22</v>
      </c>
      <c r="F10125" s="4" t="s">
        <v>51255</v>
      </c>
      <c r="G10125" s="4" t="s">
        <v>51198</v>
      </c>
      <c r="H10125" s="3" t="s">
        <v>50910</v>
      </c>
      <c r="I10125" s="3" t="s">
        <v>51199</v>
      </c>
      <c r="J10125" s="3" t="s">
        <v>51256</v>
      </c>
      <c r="K10125" s="3" t="s">
        <v>51257</v>
      </c>
      <c r="L10125" s="3"/>
      <c r="M10125" s="4" t="s">
        <v>51258</v>
      </c>
      <c r="N10125" s="3" t="s">
        <v>37</v>
      </c>
      <c r="O10125" s="3"/>
      <c r="P10125" s="5">
        <v>12</v>
      </c>
      <c r="Q10125" s="5">
        <v>124</v>
      </c>
      <c r="R10125" s="5">
        <v>12</v>
      </c>
      <c r="S10125" s="5">
        <v>120</v>
      </c>
    </row>
    <row r="10126" spans="1:19" ht="42" x14ac:dyDescent="0.15">
      <c r="A10126" s="2">
        <f>HYPERLINK("https://open-school.uspishnemisto.com.ua/school/530081/", 530081)</f>
        <v>530081</v>
      </c>
      <c r="B10126" s="3" t="s">
        <v>51259</v>
      </c>
      <c r="C10126" s="3" t="s">
        <v>2128</v>
      </c>
      <c r="D10126" s="3" t="s">
        <v>32</v>
      </c>
      <c r="E10126" s="4" t="s">
        <v>22</v>
      </c>
      <c r="F10126" s="4" t="s">
        <v>51215</v>
      </c>
      <c r="G10126" s="4" t="s">
        <v>51198</v>
      </c>
      <c r="H10126" s="3" t="s">
        <v>50910</v>
      </c>
      <c r="I10126" s="3" t="s">
        <v>51199</v>
      </c>
      <c r="J10126" s="3" t="s">
        <v>51260</v>
      </c>
      <c r="K10126" s="3" t="s">
        <v>51261</v>
      </c>
      <c r="L10126" s="3" t="s">
        <v>51262</v>
      </c>
      <c r="M10126" s="4" t="s">
        <v>51263</v>
      </c>
      <c r="N10126" s="3" t="s">
        <v>37</v>
      </c>
      <c r="O10126" s="3" t="s">
        <v>46</v>
      </c>
      <c r="P10126" s="5">
        <v>39</v>
      </c>
      <c r="Q10126" s="5">
        <v>1186</v>
      </c>
      <c r="R10126" s="5">
        <v>37</v>
      </c>
      <c r="S10126" s="5">
        <v>1163</v>
      </c>
    </row>
    <row r="10127" spans="1:19" ht="42" x14ac:dyDescent="0.15">
      <c r="A10127" s="2">
        <f>HYPERLINK("https://open-school.uspishnemisto.com.ua/school/530082/", 530082)</f>
        <v>530082</v>
      </c>
      <c r="B10127" s="3" t="s">
        <v>51264</v>
      </c>
      <c r="C10127" s="3" t="s">
        <v>188</v>
      </c>
      <c r="D10127" s="3" t="s">
        <v>32</v>
      </c>
      <c r="E10127" s="4" t="s">
        <v>22</v>
      </c>
      <c r="F10127" s="4" t="s">
        <v>51230</v>
      </c>
      <c r="G10127" s="4" t="s">
        <v>51198</v>
      </c>
      <c r="H10127" s="3" t="s">
        <v>50910</v>
      </c>
      <c r="I10127" s="3" t="s">
        <v>51199</v>
      </c>
      <c r="J10127" s="3" t="s">
        <v>10364</v>
      </c>
      <c r="K10127" s="3" t="s">
        <v>51265</v>
      </c>
      <c r="L10127" s="3" t="s">
        <v>51266</v>
      </c>
      <c r="M10127" s="4" t="s">
        <v>51267</v>
      </c>
      <c r="N10127" s="3" t="s">
        <v>37</v>
      </c>
      <c r="O10127" s="3" t="s">
        <v>38</v>
      </c>
      <c r="P10127" s="5">
        <v>35</v>
      </c>
      <c r="Q10127" s="5">
        <v>1109</v>
      </c>
      <c r="R10127" s="5">
        <v>34</v>
      </c>
      <c r="S10127" s="5">
        <v>1081</v>
      </c>
    </row>
    <row r="10128" spans="1:19" ht="56" x14ac:dyDescent="0.15">
      <c r="A10128" s="2">
        <f>HYPERLINK("https://open-school.uspishnemisto.com.ua/school/530083/", 530083)</f>
        <v>530083</v>
      </c>
      <c r="B10128" s="3" t="s">
        <v>51268</v>
      </c>
      <c r="C10128" s="3" t="s">
        <v>54</v>
      </c>
      <c r="D10128" s="3" t="s">
        <v>60</v>
      </c>
      <c r="E10128" s="4" t="s">
        <v>22</v>
      </c>
      <c r="F10128" s="4" t="s">
        <v>51230</v>
      </c>
      <c r="G10128" s="4" t="s">
        <v>51198</v>
      </c>
      <c r="H10128" s="3" t="s">
        <v>50910</v>
      </c>
      <c r="I10128" s="3" t="s">
        <v>51199</v>
      </c>
      <c r="J10128" s="3" t="s">
        <v>51269</v>
      </c>
      <c r="K10128" s="3"/>
      <c r="L10128" s="3" t="s">
        <v>51270</v>
      </c>
      <c r="M10128" s="4" t="s">
        <v>51271</v>
      </c>
      <c r="N10128" s="3" t="s">
        <v>37</v>
      </c>
      <c r="O10128" s="3" t="s">
        <v>52</v>
      </c>
      <c r="P10128" s="5">
        <v>7</v>
      </c>
      <c r="Q10128" s="5">
        <v>156</v>
      </c>
      <c r="R10128" s="5">
        <v>5</v>
      </c>
      <c r="S10128" s="5">
        <v>98</v>
      </c>
    </row>
    <row r="10129" spans="1:19" ht="28" x14ac:dyDescent="0.15">
      <c r="A10129" s="2">
        <f>HYPERLINK("https://open-school.uspishnemisto.com.ua/school/530084/", 530084)</f>
        <v>530084</v>
      </c>
      <c r="B10129" s="3" t="s">
        <v>51272</v>
      </c>
      <c r="C10129" s="3" t="s">
        <v>20</v>
      </c>
      <c r="D10129" s="3" t="s">
        <v>21</v>
      </c>
      <c r="E10129" s="4" t="s">
        <v>22</v>
      </c>
      <c r="F10129" s="4" t="s">
        <v>51273</v>
      </c>
      <c r="G10129" s="4" t="s">
        <v>51274</v>
      </c>
      <c r="H10129" s="3" t="s">
        <v>50910</v>
      </c>
      <c r="I10129" s="3" t="s">
        <v>51275</v>
      </c>
      <c r="J10129" s="3" t="s">
        <v>51276</v>
      </c>
      <c r="K10129" s="3" t="s">
        <v>51277</v>
      </c>
      <c r="L10129" s="3"/>
      <c r="M10129" s="4" t="s">
        <v>51278</v>
      </c>
      <c r="N10129" s="3"/>
      <c r="O10129" s="3"/>
      <c r="P10129" s="5">
        <v>0</v>
      </c>
      <c r="Q10129" s="5">
        <v>0</v>
      </c>
      <c r="R10129" s="5"/>
      <c r="S10129" s="5"/>
    </row>
    <row r="10130" spans="1:19" ht="28" x14ac:dyDescent="0.15">
      <c r="A10130" s="2">
        <f>HYPERLINK("https://open-school.uspishnemisto.com.ua/school/530085/", 530085)</f>
        <v>530085</v>
      </c>
      <c r="B10130" s="3" t="s">
        <v>51279</v>
      </c>
      <c r="C10130" s="3" t="s">
        <v>31</v>
      </c>
      <c r="D10130" s="3" t="s">
        <v>32</v>
      </c>
      <c r="E10130" s="4" t="s">
        <v>22</v>
      </c>
      <c r="F10130" s="4" t="s">
        <v>51280</v>
      </c>
      <c r="G10130" s="4" t="s">
        <v>51274</v>
      </c>
      <c r="H10130" s="3" t="s">
        <v>50910</v>
      </c>
      <c r="I10130" s="3" t="s">
        <v>51275</v>
      </c>
      <c r="J10130" s="3" t="s">
        <v>51281</v>
      </c>
      <c r="K10130" s="3" t="s">
        <v>51282</v>
      </c>
      <c r="L10130" s="3" t="s">
        <v>51283</v>
      </c>
      <c r="M10130" s="4" t="s">
        <v>51284</v>
      </c>
      <c r="N10130" s="3" t="s">
        <v>37</v>
      </c>
      <c r="O10130" s="3" t="s">
        <v>46</v>
      </c>
      <c r="P10130" s="5">
        <v>25</v>
      </c>
      <c r="Q10130" s="5">
        <v>730</v>
      </c>
      <c r="R10130" s="5">
        <v>25</v>
      </c>
      <c r="S10130" s="5">
        <v>709</v>
      </c>
    </row>
    <row r="10131" spans="1:19" ht="42" x14ac:dyDescent="0.15">
      <c r="A10131" s="2">
        <f>HYPERLINK("https://open-school.uspishnemisto.com.ua/school/530086/", 530086)</f>
        <v>530086</v>
      </c>
      <c r="B10131" s="3" t="s">
        <v>51285</v>
      </c>
      <c r="C10131" s="3" t="s">
        <v>31</v>
      </c>
      <c r="D10131" s="3" t="s">
        <v>32</v>
      </c>
      <c r="E10131" s="4" t="s">
        <v>22</v>
      </c>
      <c r="F10131" s="4" t="s">
        <v>51280</v>
      </c>
      <c r="G10131" s="4" t="s">
        <v>51274</v>
      </c>
      <c r="H10131" s="3" t="s">
        <v>50910</v>
      </c>
      <c r="I10131" s="3" t="s">
        <v>51275</v>
      </c>
      <c r="J10131" s="3" t="s">
        <v>51286</v>
      </c>
      <c r="K10131" s="3" t="s">
        <v>51287</v>
      </c>
      <c r="L10131" s="3" t="s">
        <v>51288</v>
      </c>
      <c r="M10131" s="4" t="s">
        <v>51289</v>
      </c>
      <c r="N10131" s="3" t="s">
        <v>128</v>
      </c>
      <c r="O10131" s="3" t="s">
        <v>70</v>
      </c>
      <c r="P10131" s="5">
        <v>36</v>
      </c>
      <c r="Q10131" s="5">
        <v>1037</v>
      </c>
      <c r="R10131" s="5">
        <v>34</v>
      </c>
      <c r="S10131" s="5">
        <v>978</v>
      </c>
    </row>
    <row r="10132" spans="1:19" ht="28" x14ac:dyDescent="0.15">
      <c r="A10132" s="2">
        <f>HYPERLINK("https://open-school.uspishnemisto.com.ua/school/530087/", 530087)</f>
        <v>530087</v>
      </c>
      <c r="B10132" s="3" t="s">
        <v>51290</v>
      </c>
      <c r="C10132" s="3" t="s">
        <v>31</v>
      </c>
      <c r="D10132" s="3" t="s">
        <v>32</v>
      </c>
      <c r="E10132" s="4" t="s">
        <v>22</v>
      </c>
      <c r="F10132" s="4" t="s">
        <v>51291</v>
      </c>
      <c r="G10132" s="4" t="s">
        <v>51274</v>
      </c>
      <c r="H10132" s="3" t="s">
        <v>50910</v>
      </c>
      <c r="I10132" s="3" t="s">
        <v>51275</v>
      </c>
      <c r="J10132" s="3" t="s">
        <v>51292</v>
      </c>
      <c r="K10132" s="3" t="s">
        <v>51293</v>
      </c>
      <c r="L10132" s="3"/>
      <c r="M10132" s="4" t="s">
        <v>51294</v>
      </c>
      <c r="N10132" s="3" t="s">
        <v>128</v>
      </c>
      <c r="O10132" s="3" t="s">
        <v>38</v>
      </c>
      <c r="P10132" s="5">
        <v>15</v>
      </c>
      <c r="Q10132" s="5">
        <v>383</v>
      </c>
      <c r="R10132" s="5">
        <v>15</v>
      </c>
      <c r="S10132" s="5">
        <v>368</v>
      </c>
    </row>
    <row r="10133" spans="1:19" ht="28" x14ac:dyDescent="0.15">
      <c r="A10133" s="2">
        <f>HYPERLINK("https://open-school.uspishnemisto.com.ua/school/530088/", 530088)</f>
        <v>530088</v>
      </c>
      <c r="B10133" s="3" t="s">
        <v>51295</v>
      </c>
      <c r="C10133" s="3" t="s">
        <v>31</v>
      </c>
      <c r="D10133" s="3" t="s">
        <v>32</v>
      </c>
      <c r="E10133" s="4" t="s">
        <v>22</v>
      </c>
      <c r="F10133" s="4" t="s">
        <v>51250</v>
      </c>
      <c r="G10133" s="4" t="s">
        <v>51274</v>
      </c>
      <c r="H10133" s="3" t="s">
        <v>50910</v>
      </c>
      <c r="I10133" s="3" t="s">
        <v>51275</v>
      </c>
      <c r="J10133" s="3" t="s">
        <v>51296</v>
      </c>
      <c r="K10133" s="3" t="s">
        <v>51297</v>
      </c>
      <c r="L10133" s="3" t="s">
        <v>51298</v>
      </c>
      <c r="M10133" s="4" t="s">
        <v>51299</v>
      </c>
      <c r="N10133" s="3" t="s">
        <v>37</v>
      </c>
      <c r="O10133" s="3" t="s">
        <v>46</v>
      </c>
      <c r="P10133" s="5">
        <v>38</v>
      </c>
      <c r="Q10133" s="5">
        <v>1159</v>
      </c>
      <c r="R10133" s="5">
        <v>36</v>
      </c>
      <c r="S10133" s="5">
        <v>1120</v>
      </c>
    </row>
    <row r="10134" spans="1:19" ht="28" x14ac:dyDescent="0.15">
      <c r="A10134" s="2">
        <f>HYPERLINK("https://open-school.uspishnemisto.com.ua/school/530089/", 530089)</f>
        <v>530089</v>
      </c>
      <c r="B10134" s="3" t="s">
        <v>51300</v>
      </c>
      <c r="C10134" s="3" t="s">
        <v>31</v>
      </c>
      <c r="D10134" s="3" t="s">
        <v>32</v>
      </c>
      <c r="E10134" s="4" t="s">
        <v>22</v>
      </c>
      <c r="F10134" s="4" t="s">
        <v>51301</v>
      </c>
      <c r="G10134" s="4" t="s">
        <v>51274</v>
      </c>
      <c r="H10134" s="3" t="s">
        <v>50910</v>
      </c>
      <c r="I10134" s="3" t="s">
        <v>51275</v>
      </c>
      <c r="J10134" s="3" t="s">
        <v>51302</v>
      </c>
      <c r="K10134" s="3" t="s">
        <v>51303</v>
      </c>
      <c r="L10134" s="3"/>
      <c r="M10134" s="4" t="s">
        <v>51304</v>
      </c>
      <c r="N10134" s="3" t="s">
        <v>37</v>
      </c>
      <c r="O10134" s="3" t="s">
        <v>52</v>
      </c>
      <c r="P10134" s="5">
        <v>13</v>
      </c>
      <c r="Q10134" s="5">
        <v>367</v>
      </c>
      <c r="R10134" s="5">
        <v>14</v>
      </c>
      <c r="S10134" s="5">
        <v>390</v>
      </c>
    </row>
    <row r="10135" spans="1:19" ht="28" x14ac:dyDescent="0.15">
      <c r="A10135" s="2">
        <f>HYPERLINK("https://open-school.uspishnemisto.com.ua/school/530090/", 530090)</f>
        <v>530090</v>
      </c>
      <c r="B10135" s="3" t="s">
        <v>51305</v>
      </c>
      <c r="C10135" s="3" t="s">
        <v>31</v>
      </c>
      <c r="D10135" s="3" t="s">
        <v>32</v>
      </c>
      <c r="E10135" s="4" t="s">
        <v>22</v>
      </c>
      <c r="F10135" s="4" t="s">
        <v>51280</v>
      </c>
      <c r="G10135" s="4" t="s">
        <v>51274</v>
      </c>
      <c r="H10135" s="3" t="s">
        <v>50910</v>
      </c>
      <c r="I10135" s="3" t="s">
        <v>51275</v>
      </c>
      <c r="J10135" s="3" t="s">
        <v>51306</v>
      </c>
      <c r="K10135" s="3" t="s">
        <v>51307</v>
      </c>
      <c r="L10135" s="3" t="s">
        <v>51308</v>
      </c>
      <c r="M10135" s="4" t="s">
        <v>51309</v>
      </c>
      <c r="N10135" s="3" t="s">
        <v>37</v>
      </c>
      <c r="O10135" s="3" t="s">
        <v>38</v>
      </c>
      <c r="P10135" s="5">
        <v>29</v>
      </c>
      <c r="Q10135" s="5">
        <v>787</v>
      </c>
      <c r="R10135" s="5">
        <v>29</v>
      </c>
      <c r="S10135" s="5">
        <v>805</v>
      </c>
    </row>
    <row r="10136" spans="1:19" ht="28" x14ac:dyDescent="0.15">
      <c r="A10136" s="2">
        <f>HYPERLINK("https://open-school.uspishnemisto.com.ua/school/530091/", 530091)</f>
        <v>530091</v>
      </c>
      <c r="B10136" s="3" t="s">
        <v>51310</v>
      </c>
      <c r="C10136" s="3" t="s">
        <v>31</v>
      </c>
      <c r="D10136" s="3" t="s">
        <v>21</v>
      </c>
      <c r="E10136" s="4" t="s">
        <v>253</v>
      </c>
      <c r="F10136" s="4" t="s">
        <v>51311</v>
      </c>
      <c r="G10136" s="4" t="s">
        <v>51274</v>
      </c>
      <c r="H10136" s="3" t="s">
        <v>50910</v>
      </c>
      <c r="I10136" s="3" t="s">
        <v>51275</v>
      </c>
      <c r="J10136" s="3" t="s">
        <v>51312</v>
      </c>
      <c r="K10136" s="3" t="s">
        <v>51313</v>
      </c>
      <c r="L10136" s="3"/>
      <c r="M10136" s="4"/>
      <c r="N10136" s="3" t="s">
        <v>37</v>
      </c>
      <c r="O10136" s="3" t="s">
        <v>52</v>
      </c>
      <c r="P10136" s="5">
        <v>2</v>
      </c>
      <c r="Q10136" s="5">
        <v>27</v>
      </c>
      <c r="R10136" s="5">
        <v>2</v>
      </c>
      <c r="S10136" s="5">
        <v>22</v>
      </c>
    </row>
    <row r="10137" spans="1:19" ht="42" x14ac:dyDescent="0.15">
      <c r="A10137" s="2">
        <f>HYPERLINK("https://open-school.uspishnemisto.com.ua/school/530092/", 530092)</f>
        <v>530092</v>
      </c>
      <c r="B10137" s="3" t="s">
        <v>51314</v>
      </c>
      <c r="C10137" s="3" t="s">
        <v>244</v>
      </c>
      <c r="D10137" s="3" t="s">
        <v>32</v>
      </c>
      <c r="E10137" s="4" t="s">
        <v>22</v>
      </c>
      <c r="F10137" s="4" t="s">
        <v>51230</v>
      </c>
      <c r="G10137" s="4" t="s">
        <v>51274</v>
      </c>
      <c r="H10137" s="3" t="s">
        <v>50910</v>
      </c>
      <c r="I10137" s="3" t="s">
        <v>51275</v>
      </c>
      <c r="J10137" s="3" t="s">
        <v>51315</v>
      </c>
      <c r="K10137" s="3" t="s">
        <v>51316</v>
      </c>
      <c r="L10137" s="3" t="s">
        <v>51317</v>
      </c>
      <c r="M10137" s="4" t="s">
        <v>51318</v>
      </c>
      <c r="N10137" s="3" t="s">
        <v>37</v>
      </c>
      <c r="O10137" s="3" t="s">
        <v>46</v>
      </c>
      <c r="P10137" s="5">
        <v>25</v>
      </c>
      <c r="Q10137" s="5">
        <v>760</v>
      </c>
      <c r="R10137" s="5">
        <v>24</v>
      </c>
      <c r="S10137" s="5">
        <v>758</v>
      </c>
    </row>
    <row r="10138" spans="1:19" ht="42" x14ac:dyDescent="0.15">
      <c r="A10138" s="2">
        <f>HYPERLINK("https://open-school.uspishnemisto.com.ua/school/530093/", 530093)</f>
        <v>530093</v>
      </c>
      <c r="B10138" s="3" t="s">
        <v>51319</v>
      </c>
      <c r="C10138" s="3" t="s">
        <v>4989</v>
      </c>
      <c r="D10138" s="3" t="s">
        <v>32</v>
      </c>
      <c r="E10138" s="4" t="s">
        <v>22</v>
      </c>
      <c r="F10138" s="4" t="s">
        <v>51215</v>
      </c>
      <c r="G10138" s="4" t="s">
        <v>51274</v>
      </c>
      <c r="H10138" s="3" t="s">
        <v>50910</v>
      </c>
      <c r="I10138" s="3" t="s">
        <v>51275</v>
      </c>
      <c r="J10138" s="3" t="s">
        <v>51320</v>
      </c>
      <c r="K10138" s="3" t="s">
        <v>51321</v>
      </c>
      <c r="L10138" s="3"/>
      <c r="M10138" s="4" t="s">
        <v>51322</v>
      </c>
      <c r="N10138" s="3" t="s">
        <v>37</v>
      </c>
      <c r="O10138" s="3" t="s">
        <v>52</v>
      </c>
      <c r="P10138" s="5">
        <v>13</v>
      </c>
      <c r="Q10138" s="5">
        <v>375</v>
      </c>
      <c r="R10138" s="5">
        <v>12</v>
      </c>
      <c r="S10138" s="5">
        <v>364</v>
      </c>
    </row>
    <row r="10139" spans="1:19" ht="28" x14ac:dyDescent="0.15">
      <c r="A10139" s="2">
        <f>HYPERLINK("https://open-school.uspishnemisto.com.ua/school/530094/", 530094)</f>
        <v>530094</v>
      </c>
      <c r="B10139" s="3" t="s">
        <v>51323</v>
      </c>
      <c r="C10139" s="3" t="s">
        <v>48</v>
      </c>
      <c r="D10139" s="3" t="s">
        <v>32</v>
      </c>
      <c r="E10139" s="4" t="s">
        <v>22</v>
      </c>
      <c r="F10139" s="4" t="s">
        <v>51215</v>
      </c>
      <c r="G10139" s="4" t="s">
        <v>51274</v>
      </c>
      <c r="H10139" s="3" t="s">
        <v>50910</v>
      </c>
      <c r="I10139" s="3" t="s">
        <v>51275</v>
      </c>
      <c r="J10139" s="3" t="s">
        <v>51324</v>
      </c>
      <c r="K10139" s="3" t="s">
        <v>51325</v>
      </c>
      <c r="L10139" s="3"/>
      <c r="M10139" s="4" t="s">
        <v>51326</v>
      </c>
      <c r="N10139" s="3" t="s">
        <v>37</v>
      </c>
      <c r="O10139" s="3" t="s">
        <v>46</v>
      </c>
      <c r="P10139" s="5">
        <v>4</v>
      </c>
      <c r="Q10139" s="5">
        <v>80</v>
      </c>
      <c r="R10139" s="5">
        <v>4</v>
      </c>
      <c r="S10139" s="5">
        <v>78</v>
      </c>
    </row>
    <row r="10140" spans="1:19" ht="42" x14ac:dyDescent="0.15">
      <c r="A10140" s="2">
        <f>HYPERLINK("https://open-school.uspishnemisto.com.ua/school/530095/", 530095)</f>
        <v>530095</v>
      </c>
      <c r="B10140" s="3" t="s">
        <v>51327</v>
      </c>
      <c r="C10140" s="3" t="s">
        <v>188</v>
      </c>
      <c r="D10140" s="3" t="s">
        <v>32</v>
      </c>
      <c r="E10140" s="4" t="s">
        <v>22</v>
      </c>
      <c r="F10140" s="4" t="s">
        <v>51210</v>
      </c>
      <c r="G10140" s="4" t="s">
        <v>51274</v>
      </c>
      <c r="H10140" s="3" t="s">
        <v>50910</v>
      </c>
      <c r="I10140" s="3" t="s">
        <v>51275</v>
      </c>
      <c r="J10140" s="3" t="s">
        <v>51328</v>
      </c>
      <c r="K10140" s="3" t="s">
        <v>51329</v>
      </c>
      <c r="L10140" s="3" t="s">
        <v>51330</v>
      </c>
      <c r="M10140" s="4" t="s">
        <v>51331</v>
      </c>
      <c r="N10140" s="3" t="s">
        <v>37</v>
      </c>
      <c r="O10140" s="3" t="s">
        <v>70</v>
      </c>
      <c r="P10140" s="5">
        <v>39</v>
      </c>
      <c r="Q10140" s="5">
        <v>1149</v>
      </c>
      <c r="R10140" s="5">
        <v>37</v>
      </c>
      <c r="S10140" s="5">
        <v>1090</v>
      </c>
    </row>
    <row r="10141" spans="1:19" ht="42" x14ac:dyDescent="0.15">
      <c r="A10141" s="2">
        <f>HYPERLINK("https://open-school.uspishnemisto.com.ua/school/530096/", 530096)</f>
        <v>530096</v>
      </c>
      <c r="B10141" s="3" t="s">
        <v>51332</v>
      </c>
      <c r="C10141" s="3" t="s">
        <v>7651</v>
      </c>
      <c r="D10141" s="3"/>
      <c r="E10141" s="4" t="s">
        <v>22</v>
      </c>
      <c r="F10141" s="4" t="s">
        <v>51250</v>
      </c>
      <c r="G10141" s="4" t="s">
        <v>51274</v>
      </c>
      <c r="H10141" s="3" t="s">
        <v>50910</v>
      </c>
      <c r="I10141" s="3" t="s">
        <v>51275</v>
      </c>
      <c r="J10141" s="3" t="s">
        <v>51333</v>
      </c>
      <c r="K10141" s="3" t="s">
        <v>51334</v>
      </c>
      <c r="L10141" s="3" t="s">
        <v>51335</v>
      </c>
      <c r="M10141" s="4" t="s">
        <v>51336</v>
      </c>
      <c r="N10141" s="3"/>
      <c r="O10141" s="3"/>
      <c r="P10141" s="5">
        <v>0</v>
      </c>
      <c r="Q10141" s="5">
        <v>0</v>
      </c>
      <c r="R10141" s="5"/>
      <c r="S10141" s="5"/>
    </row>
    <row r="10142" spans="1:19" ht="56" x14ac:dyDescent="0.15">
      <c r="A10142" s="2">
        <f>HYPERLINK("https://open-school.uspishnemisto.com.ua/school/530097/", 530097)</f>
        <v>530097</v>
      </c>
      <c r="B10142" s="3" t="s">
        <v>51337</v>
      </c>
      <c r="C10142" s="3" t="s">
        <v>4989</v>
      </c>
      <c r="D10142" s="3" t="s">
        <v>21</v>
      </c>
      <c r="E10142" s="4" t="s">
        <v>22</v>
      </c>
      <c r="F10142" s="4" t="s">
        <v>51215</v>
      </c>
      <c r="G10142" s="4" t="s">
        <v>51274</v>
      </c>
      <c r="H10142" s="3" t="s">
        <v>50910</v>
      </c>
      <c r="I10142" s="3" t="s">
        <v>51275</v>
      </c>
      <c r="J10142" s="3" t="s">
        <v>51338</v>
      </c>
      <c r="K10142" s="3" t="s">
        <v>51339</v>
      </c>
      <c r="L10142" s="3"/>
      <c r="M10142" s="4"/>
      <c r="N10142" s="3" t="s">
        <v>37</v>
      </c>
      <c r="O10142" s="3" t="s">
        <v>197</v>
      </c>
      <c r="P10142" s="5">
        <v>14</v>
      </c>
      <c r="Q10142" s="5">
        <v>369</v>
      </c>
      <c r="R10142" s="5">
        <v>14</v>
      </c>
      <c r="S10142" s="5">
        <v>365</v>
      </c>
    </row>
    <row r="10143" spans="1:19" ht="56" x14ac:dyDescent="0.15">
      <c r="A10143" s="2">
        <f>HYPERLINK("https://open-school.uspishnemisto.com.ua/school/530098/", 530098)</f>
        <v>530098</v>
      </c>
      <c r="B10143" s="3" t="s">
        <v>51340</v>
      </c>
      <c r="C10143" s="3" t="s">
        <v>40</v>
      </c>
      <c r="D10143" s="3" t="s">
        <v>32</v>
      </c>
      <c r="E10143" s="4" t="s">
        <v>22</v>
      </c>
      <c r="F10143" s="4" t="s">
        <v>51220</v>
      </c>
      <c r="G10143" s="4" t="s">
        <v>51341</v>
      </c>
      <c r="H10143" s="3" t="s">
        <v>50910</v>
      </c>
      <c r="I10143" s="3" t="s">
        <v>51342</v>
      </c>
      <c r="J10143" s="3" t="s">
        <v>51343</v>
      </c>
      <c r="K10143" s="3" t="s">
        <v>51344</v>
      </c>
      <c r="L10143" s="3"/>
      <c r="M10143" s="4" t="s">
        <v>51345</v>
      </c>
      <c r="N10143" s="3" t="s">
        <v>37</v>
      </c>
      <c r="O10143" s="3" t="s">
        <v>46</v>
      </c>
      <c r="P10143" s="5">
        <v>30</v>
      </c>
      <c r="Q10143" s="5">
        <v>859</v>
      </c>
      <c r="R10143" s="5">
        <v>30</v>
      </c>
      <c r="S10143" s="5">
        <v>859</v>
      </c>
    </row>
    <row r="10144" spans="1:19" ht="42" x14ac:dyDescent="0.15">
      <c r="A10144" s="2">
        <f>HYPERLINK("https://open-school.uspishnemisto.com.ua/school/530099/", 530099)</f>
        <v>530099</v>
      </c>
      <c r="B10144" s="3" t="s">
        <v>51346</v>
      </c>
      <c r="C10144" s="3" t="s">
        <v>31</v>
      </c>
      <c r="D10144" s="3" t="s">
        <v>32</v>
      </c>
      <c r="E10144" s="4" t="s">
        <v>22</v>
      </c>
      <c r="F10144" s="4" t="s">
        <v>29712</v>
      </c>
      <c r="G10144" s="4" t="s">
        <v>51341</v>
      </c>
      <c r="H10144" s="3" t="s">
        <v>50910</v>
      </c>
      <c r="I10144" s="3" t="s">
        <v>51342</v>
      </c>
      <c r="J10144" s="3" t="s">
        <v>51347</v>
      </c>
      <c r="K10144" s="3" t="s">
        <v>51348</v>
      </c>
      <c r="L10144" s="3" t="s">
        <v>51349</v>
      </c>
      <c r="M10144" s="4" t="s">
        <v>51350</v>
      </c>
      <c r="N10144" s="3" t="s">
        <v>37</v>
      </c>
      <c r="O10144" s="3" t="s">
        <v>52</v>
      </c>
      <c r="P10144" s="5">
        <v>20</v>
      </c>
      <c r="Q10144" s="5">
        <v>551</v>
      </c>
      <c r="R10144" s="5">
        <v>20</v>
      </c>
      <c r="S10144" s="5">
        <v>556</v>
      </c>
    </row>
    <row r="10145" spans="1:19" ht="28" x14ac:dyDescent="0.15">
      <c r="A10145" s="2">
        <f>HYPERLINK("https://open-school.uspishnemisto.com.ua/school/530100/", 530100)</f>
        <v>530100</v>
      </c>
      <c r="B10145" s="3" t="s">
        <v>51351</v>
      </c>
      <c r="C10145" s="3" t="s">
        <v>31</v>
      </c>
      <c r="D10145" s="3" t="s">
        <v>32</v>
      </c>
      <c r="E10145" s="4" t="s">
        <v>22</v>
      </c>
      <c r="F10145" s="4" t="s">
        <v>51220</v>
      </c>
      <c r="G10145" s="4" t="s">
        <v>51341</v>
      </c>
      <c r="H10145" s="3" t="s">
        <v>50910</v>
      </c>
      <c r="I10145" s="3" t="s">
        <v>51342</v>
      </c>
      <c r="J10145" s="3" t="s">
        <v>1946</v>
      </c>
      <c r="K10145" s="3" t="s">
        <v>51352</v>
      </c>
      <c r="L10145" s="3"/>
      <c r="M10145" s="4" t="s">
        <v>51353</v>
      </c>
      <c r="N10145" s="3" t="s">
        <v>37</v>
      </c>
      <c r="O10145" s="3" t="s">
        <v>70</v>
      </c>
      <c r="P10145" s="5">
        <v>35</v>
      </c>
      <c r="Q10145" s="5">
        <v>1042</v>
      </c>
      <c r="R10145" s="5">
        <v>34</v>
      </c>
      <c r="S10145" s="5">
        <v>982</v>
      </c>
    </row>
    <row r="10146" spans="1:19" ht="28" x14ac:dyDescent="0.15">
      <c r="A10146" s="2">
        <f>HYPERLINK("https://open-school.uspishnemisto.com.ua/school/530101/", 530101)</f>
        <v>530101</v>
      </c>
      <c r="B10146" s="3" t="s">
        <v>51354</v>
      </c>
      <c r="C10146" s="3" t="s">
        <v>31</v>
      </c>
      <c r="D10146" s="3" t="s">
        <v>32</v>
      </c>
      <c r="E10146" s="4" t="s">
        <v>22</v>
      </c>
      <c r="F10146" s="4" t="s">
        <v>51355</v>
      </c>
      <c r="G10146" s="4" t="s">
        <v>51341</v>
      </c>
      <c r="H10146" s="3" t="s">
        <v>50910</v>
      </c>
      <c r="I10146" s="3" t="s">
        <v>51342</v>
      </c>
      <c r="J10146" s="3" t="s">
        <v>51356</v>
      </c>
      <c r="K10146" s="3" t="s">
        <v>51357</v>
      </c>
      <c r="L10146" s="3"/>
      <c r="M10146" s="4" t="s">
        <v>51358</v>
      </c>
      <c r="N10146" s="3" t="s">
        <v>37</v>
      </c>
      <c r="O10146" s="3" t="s">
        <v>52</v>
      </c>
      <c r="P10146" s="5">
        <v>21</v>
      </c>
      <c r="Q10146" s="5">
        <v>514</v>
      </c>
      <c r="R10146" s="5">
        <v>21</v>
      </c>
      <c r="S10146" s="5">
        <v>520</v>
      </c>
    </row>
    <row r="10147" spans="1:19" ht="28" x14ac:dyDescent="0.15">
      <c r="A10147" s="2">
        <f>HYPERLINK("https://open-school.uspishnemisto.com.ua/school/530102/", 530102)</f>
        <v>530102</v>
      </c>
      <c r="B10147" s="3" t="s">
        <v>51359</v>
      </c>
      <c r="C10147" s="3" t="s">
        <v>4989</v>
      </c>
      <c r="D10147" s="3" t="s">
        <v>32</v>
      </c>
      <c r="E10147" s="4" t="s">
        <v>22</v>
      </c>
      <c r="F10147" s="4" t="s">
        <v>51205</v>
      </c>
      <c r="G10147" s="4" t="s">
        <v>51341</v>
      </c>
      <c r="H10147" s="3" t="s">
        <v>50910</v>
      </c>
      <c r="I10147" s="3" t="s">
        <v>51342</v>
      </c>
      <c r="J10147" s="3" t="s">
        <v>51360</v>
      </c>
      <c r="K10147" s="3" t="s">
        <v>51361</v>
      </c>
      <c r="L10147" s="3" t="s">
        <v>51362</v>
      </c>
      <c r="M10147" s="4" t="s">
        <v>51363</v>
      </c>
      <c r="N10147" s="3" t="s">
        <v>37</v>
      </c>
      <c r="O10147" s="3" t="s">
        <v>52</v>
      </c>
      <c r="P10147" s="5">
        <v>11</v>
      </c>
      <c r="Q10147" s="5">
        <v>194</v>
      </c>
      <c r="R10147" s="5">
        <v>11</v>
      </c>
      <c r="S10147" s="5">
        <v>184</v>
      </c>
    </row>
    <row r="10148" spans="1:19" ht="42" x14ac:dyDescent="0.15">
      <c r="A10148" s="2">
        <f>HYPERLINK("https://open-school.uspishnemisto.com.ua/school/530103/", 530103)</f>
        <v>530103</v>
      </c>
      <c r="B10148" s="3" t="s">
        <v>51364</v>
      </c>
      <c r="C10148" s="3" t="s">
        <v>244</v>
      </c>
      <c r="D10148" s="3" t="s">
        <v>32</v>
      </c>
      <c r="E10148" s="4" t="s">
        <v>22</v>
      </c>
      <c r="F10148" s="4" t="s">
        <v>51255</v>
      </c>
      <c r="G10148" s="4" t="s">
        <v>51341</v>
      </c>
      <c r="H10148" s="3" t="s">
        <v>50910</v>
      </c>
      <c r="I10148" s="3" t="s">
        <v>51342</v>
      </c>
      <c r="J10148" s="3" t="s">
        <v>51365</v>
      </c>
      <c r="K10148" s="3" t="s">
        <v>51366</v>
      </c>
      <c r="L10148" s="3"/>
      <c r="M10148" s="4" t="s">
        <v>51367</v>
      </c>
      <c r="N10148" s="3" t="s">
        <v>37</v>
      </c>
      <c r="O10148" s="3" t="s">
        <v>52</v>
      </c>
      <c r="P10148" s="5">
        <v>14</v>
      </c>
      <c r="Q10148" s="5">
        <v>380</v>
      </c>
      <c r="R10148" s="5">
        <v>14</v>
      </c>
      <c r="S10148" s="5">
        <v>372</v>
      </c>
    </row>
    <row r="10149" spans="1:19" ht="42" x14ac:dyDescent="0.15">
      <c r="A10149" s="2">
        <f>HYPERLINK("https://open-school.uspishnemisto.com.ua/school/530104/", 530104)</f>
        <v>530104</v>
      </c>
      <c r="B10149" s="3" t="s">
        <v>51368</v>
      </c>
      <c r="C10149" s="3" t="s">
        <v>188</v>
      </c>
      <c r="D10149" s="3" t="s">
        <v>32</v>
      </c>
      <c r="E10149" s="4" t="s">
        <v>22</v>
      </c>
      <c r="F10149" s="4" t="s">
        <v>51230</v>
      </c>
      <c r="G10149" s="4" t="s">
        <v>51341</v>
      </c>
      <c r="H10149" s="3" t="s">
        <v>50910</v>
      </c>
      <c r="I10149" s="3" t="s">
        <v>51342</v>
      </c>
      <c r="J10149" s="3" t="s">
        <v>51369</v>
      </c>
      <c r="K10149" s="3" t="s">
        <v>51370</v>
      </c>
      <c r="L10149" s="3" t="s">
        <v>51371</v>
      </c>
      <c r="M10149" s="4" t="s">
        <v>51372</v>
      </c>
      <c r="N10149" s="3" t="s">
        <v>37</v>
      </c>
      <c r="O10149" s="3" t="s">
        <v>38</v>
      </c>
      <c r="P10149" s="5">
        <v>33</v>
      </c>
      <c r="Q10149" s="5">
        <v>993</v>
      </c>
      <c r="R10149" s="5">
        <v>32</v>
      </c>
      <c r="S10149" s="5">
        <v>963</v>
      </c>
    </row>
    <row r="10150" spans="1:19" ht="28" x14ac:dyDescent="0.15">
      <c r="A10150" s="2">
        <f>HYPERLINK("https://open-school.uspishnemisto.com.ua/school/530105/", 530105)</f>
        <v>530105</v>
      </c>
      <c r="B10150" s="3" t="s">
        <v>51373</v>
      </c>
      <c r="C10150" s="3" t="s">
        <v>31</v>
      </c>
      <c r="D10150" s="3" t="s">
        <v>32</v>
      </c>
      <c r="E10150" s="4" t="s">
        <v>22</v>
      </c>
      <c r="F10150" s="4" t="s">
        <v>51374</v>
      </c>
      <c r="G10150" s="4" t="s">
        <v>51375</v>
      </c>
      <c r="H10150" s="3" t="s">
        <v>50910</v>
      </c>
      <c r="I10150" s="3" t="s">
        <v>51376</v>
      </c>
      <c r="J10150" s="3" t="s">
        <v>51377</v>
      </c>
      <c r="K10150" s="3" t="s">
        <v>51378</v>
      </c>
      <c r="L10150" s="3" t="s">
        <v>51379</v>
      </c>
      <c r="M10150" s="4" t="s">
        <v>51380</v>
      </c>
      <c r="N10150" s="3" t="s">
        <v>37</v>
      </c>
      <c r="O10150" s="3" t="s">
        <v>52</v>
      </c>
      <c r="P10150" s="5">
        <v>11</v>
      </c>
      <c r="Q10150" s="5">
        <v>200</v>
      </c>
      <c r="R10150" s="5">
        <v>11</v>
      </c>
      <c r="S10150" s="5">
        <v>198</v>
      </c>
    </row>
    <row r="10151" spans="1:19" ht="28" x14ac:dyDescent="0.15">
      <c r="A10151" s="2">
        <f>HYPERLINK("https://open-school.uspishnemisto.com.ua/school/530106/", 530106)</f>
        <v>530106</v>
      </c>
      <c r="B10151" s="3" t="s">
        <v>51381</v>
      </c>
      <c r="C10151" s="3" t="s">
        <v>31</v>
      </c>
      <c r="D10151" s="3" t="s">
        <v>32</v>
      </c>
      <c r="E10151" s="4" t="s">
        <v>22</v>
      </c>
      <c r="F10151" s="4" t="s">
        <v>51382</v>
      </c>
      <c r="G10151" s="4" t="s">
        <v>51375</v>
      </c>
      <c r="H10151" s="3" t="s">
        <v>50910</v>
      </c>
      <c r="I10151" s="3" t="s">
        <v>51376</v>
      </c>
      <c r="J10151" s="3" t="s">
        <v>51383</v>
      </c>
      <c r="K10151" s="3" t="s">
        <v>51384</v>
      </c>
      <c r="L10151" s="3"/>
      <c r="M10151" s="4" t="s">
        <v>51385</v>
      </c>
      <c r="N10151" s="3" t="s">
        <v>37</v>
      </c>
      <c r="O10151" s="3" t="s">
        <v>38</v>
      </c>
      <c r="P10151" s="5">
        <v>20</v>
      </c>
      <c r="Q10151" s="5">
        <v>522</v>
      </c>
      <c r="R10151" s="5">
        <v>20</v>
      </c>
      <c r="S10151" s="5">
        <v>535</v>
      </c>
    </row>
    <row r="10152" spans="1:19" ht="42" x14ac:dyDescent="0.15">
      <c r="A10152" s="2">
        <f>HYPERLINK("https://open-school.uspishnemisto.com.ua/school/530107/", 530107)</f>
        <v>530107</v>
      </c>
      <c r="B10152" s="3" t="s">
        <v>51386</v>
      </c>
      <c r="C10152" s="3" t="s">
        <v>31</v>
      </c>
      <c r="D10152" s="3" t="s">
        <v>32</v>
      </c>
      <c r="E10152" s="4" t="s">
        <v>22</v>
      </c>
      <c r="F10152" s="4" t="s">
        <v>51374</v>
      </c>
      <c r="G10152" s="4" t="s">
        <v>51375</v>
      </c>
      <c r="H10152" s="3" t="s">
        <v>50910</v>
      </c>
      <c r="I10152" s="3" t="s">
        <v>51376</v>
      </c>
      <c r="J10152" s="3" t="s">
        <v>51387</v>
      </c>
      <c r="K10152" s="3" t="s">
        <v>51388</v>
      </c>
      <c r="L10152" s="3"/>
      <c r="M10152" s="4" t="s">
        <v>51389</v>
      </c>
      <c r="N10152" s="3" t="s">
        <v>37</v>
      </c>
      <c r="O10152" s="3" t="s">
        <v>38</v>
      </c>
      <c r="P10152" s="5">
        <v>17</v>
      </c>
      <c r="Q10152" s="5">
        <v>395</v>
      </c>
      <c r="R10152" s="5">
        <v>17</v>
      </c>
      <c r="S10152" s="5">
        <v>401</v>
      </c>
    </row>
    <row r="10153" spans="1:19" ht="28" x14ac:dyDescent="0.15">
      <c r="A10153" s="2">
        <f>HYPERLINK("https://open-school.uspishnemisto.com.ua/school/530108/", 530108)</f>
        <v>530108</v>
      </c>
      <c r="B10153" s="3" t="s">
        <v>51390</v>
      </c>
      <c r="C10153" s="3" t="s">
        <v>31</v>
      </c>
      <c r="D10153" s="3" t="s">
        <v>32</v>
      </c>
      <c r="E10153" s="4" t="s">
        <v>22</v>
      </c>
      <c r="F10153" s="4" t="s">
        <v>51374</v>
      </c>
      <c r="G10153" s="4" t="s">
        <v>51375</v>
      </c>
      <c r="H10153" s="3" t="s">
        <v>50910</v>
      </c>
      <c r="I10153" s="3" t="s">
        <v>51376</v>
      </c>
      <c r="J10153" s="3" t="s">
        <v>51391</v>
      </c>
      <c r="K10153" s="3" t="s">
        <v>51392</v>
      </c>
      <c r="L10153" s="3" t="s">
        <v>51393</v>
      </c>
      <c r="M10153" s="4" t="s">
        <v>51394</v>
      </c>
      <c r="N10153" s="3" t="s">
        <v>37</v>
      </c>
      <c r="O10153" s="3" t="s">
        <v>38</v>
      </c>
      <c r="P10153" s="5">
        <v>31</v>
      </c>
      <c r="Q10153" s="5">
        <v>784</v>
      </c>
      <c r="R10153" s="5">
        <v>31</v>
      </c>
      <c r="S10153" s="5">
        <v>778</v>
      </c>
    </row>
    <row r="10154" spans="1:19" ht="28" x14ac:dyDescent="0.15">
      <c r="A10154" s="2">
        <f>HYPERLINK("https://open-school.uspishnemisto.com.ua/school/530109/", 530109)</f>
        <v>530109</v>
      </c>
      <c r="B10154" s="3" t="s">
        <v>51395</v>
      </c>
      <c r="C10154" s="3" t="s">
        <v>31</v>
      </c>
      <c r="D10154" s="3" t="s">
        <v>32</v>
      </c>
      <c r="E10154" s="4" t="s">
        <v>22</v>
      </c>
      <c r="F10154" s="4" t="s">
        <v>51374</v>
      </c>
      <c r="G10154" s="4" t="s">
        <v>51375</v>
      </c>
      <c r="H10154" s="3" t="s">
        <v>50910</v>
      </c>
      <c r="I10154" s="3" t="s">
        <v>51376</v>
      </c>
      <c r="J10154" s="3" t="s">
        <v>51396</v>
      </c>
      <c r="K10154" s="3" t="s">
        <v>51397</v>
      </c>
      <c r="L10154" s="3"/>
      <c r="M10154" s="4" t="s">
        <v>51398</v>
      </c>
      <c r="N10154" s="3" t="s">
        <v>37</v>
      </c>
      <c r="O10154" s="3" t="s">
        <v>38</v>
      </c>
      <c r="P10154" s="5">
        <v>33</v>
      </c>
      <c r="Q10154" s="5">
        <v>938</v>
      </c>
      <c r="R10154" s="5">
        <v>32</v>
      </c>
      <c r="S10154" s="5">
        <v>929</v>
      </c>
    </row>
    <row r="10155" spans="1:19" ht="42" x14ac:dyDescent="0.15">
      <c r="A10155" s="2">
        <f>HYPERLINK("https://open-school.uspishnemisto.com.ua/school/530110/", 530110)</f>
        <v>530110</v>
      </c>
      <c r="B10155" s="3" t="s">
        <v>51399</v>
      </c>
      <c r="C10155" s="3" t="s">
        <v>31</v>
      </c>
      <c r="D10155" s="3" t="s">
        <v>32</v>
      </c>
      <c r="E10155" s="4" t="s">
        <v>22</v>
      </c>
      <c r="F10155" s="4" t="s">
        <v>51374</v>
      </c>
      <c r="G10155" s="4" t="s">
        <v>51375</v>
      </c>
      <c r="H10155" s="3" t="s">
        <v>50910</v>
      </c>
      <c r="I10155" s="3" t="s">
        <v>51376</v>
      </c>
      <c r="J10155" s="3" t="s">
        <v>51400</v>
      </c>
      <c r="K10155" s="3" t="s">
        <v>51401</v>
      </c>
      <c r="L10155" s="3"/>
      <c r="M10155" s="4" t="s">
        <v>51402</v>
      </c>
      <c r="N10155" s="3" t="s">
        <v>37</v>
      </c>
      <c r="O10155" s="3" t="s">
        <v>38</v>
      </c>
      <c r="P10155" s="5">
        <v>18</v>
      </c>
      <c r="Q10155" s="5">
        <v>434</v>
      </c>
      <c r="R10155" s="5">
        <v>17</v>
      </c>
      <c r="S10155" s="5">
        <v>397</v>
      </c>
    </row>
    <row r="10156" spans="1:19" ht="28" x14ac:dyDescent="0.15">
      <c r="A10156" s="2">
        <f>HYPERLINK("https://open-school.uspishnemisto.com.ua/school/530111/", 530111)</f>
        <v>530111</v>
      </c>
      <c r="B10156" s="3" t="s">
        <v>51403</v>
      </c>
      <c r="C10156" s="3" t="s">
        <v>31</v>
      </c>
      <c r="D10156" s="3" t="s">
        <v>32</v>
      </c>
      <c r="E10156" s="4" t="s">
        <v>22</v>
      </c>
      <c r="F10156" s="4" t="s">
        <v>51374</v>
      </c>
      <c r="G10156" s="4" t="s">
        <v>51375</v>
      </c>
      <c r="H10156" s="3" t="s">
        <v>50910</v>
      </c>
      <c r="I10156" s="3" t="s">
        <v>51376</v>
      </c>
      <c r="J10156" s="3" t="s">
        <v>51404</v>
      </c>
      <c r="K10156" s="3" t="s">
        <v>51405</v>
      </c>
      <c r="L10156" s="3"/>
      <c r="M10156" s="4" t="s">
        <v>51406</v>
      </c>
      <c r="N10156" s="3" t="s">
        <v>37</v>
      </c>
      <c r="O10156" s="3" t="s">
        <v>38</v>
      </c>
      <c r="P10156" s="5">
        <v>16</v>
      </c>
      <c r="Q10156" s="5">
        <v>336</v>
      </c>
      <c r="R10156" s="5">
        <v>15</v>
      </c>
      <c r="S10156" s="5">
        <v>328</v>
      </c>
    </row>
    <row r="10157" spans="1:19" ht="28" x14ac:dyDescent="0.15">
      <c r="A10157" s="2">
        <f>HYPERLINK("https://open-school.uspishnemisto.com.ua/school/530112/", 530112)</f>
        <v>530112</v>
      </c>
      <c r="B10157" s="3" t="s">
        <v>51407</v>
      </c>
      <c r="C10157" s="3" t="s">
        <v>244</v>
      </c>
      <c r="D10157" s="3" t="s">
        <v>32</v>
      </c>
      <c r="E10157" s="4" t="s">
        <v>22</v>
      </c>
      <c r="F10157" s="4" t="s">
        <v>51374</v>
      </c>
      <c r="G10157" s="4" t="s">
        <v>51375</v>
      </c>
      <c r="H10157" s="3" t="s">
        <v>50910</v>
      </c>
      <c r="I10157" s="3" t="s">
        <v>51376</v>
      </c>
      <c r="J10157" s="3" t="s">
        <v>51408</v>
      </c>
      <c r="K10157" s="3" t="s">
        <v>51409</v>
      </c>
      <c r="L10157" s="3"/>
      <c r="M10157" s="4" t="s">
        <v>51410</v>
      </c>
      <c r="N10157" s="3" t="s">
        <v>37</v>
      </c>
      <c r="O10157" s="3" t="s">
        <v>46</v>
      </c>
      <c r="P10157" s="5">
        <v>33</v>
      </c>
      <c r="Q10157" s="5">
        <v>907</v>
      </c>
      <c r="R10157" s="5">
        <v>32</v>
      </c>
      <c r="S10157" s="5">
        <v>850</v>
      </c>
    </row>
    <row r="10158" spans="1:19" ht="28" x14ac:dyDescent="0.15">
      <c r="A10158" s="2">
        <f>HYPERLINK("https://open-school.uspishnemisto.com.ua/school/530113/", 530113)</f>
        <v>530113</v>
      </c>
      <c r="B10158" s="3" t="s">
        <v>51411</v>
      </c>
      <c r="C10158" s="3" t="s">
        <v>181</v>
      </c>
      <c r="D10158" s="3" t="s">
        <v>175</v>
      </c>
      <c r="E10158" s="4" t="s">
        <v>22</v>
      </c>
      <c r="F10158" s="4" t="s">
        <v>51374</v>
      </c>
      <c r="G10158" s="4" t="s">
        <v>51375</v>
      </c>
      <c r="H10158" s="3" t="s">
        <v>50910</v>
      </c>
      <c r="I10158" s="3" t="s">
        <v>51376</v>
      </c>
      <c r="J10158" s="3" t="s">
        <v>51412</v>
      </c>
      <c r="K10158" s="3"/>
      <c r="L10158" s="3" t="s">
        <v>51413</v>
      </c>
      <c r="M10158" s="4" t="s">
        <v>51414</v>
      </c>
      <c r="N10158" s="3" t="s">
        <v>37</v>
      </c>
      <c r="O10158" s="3"/>
      <c r="P10158" s="5">
        <v>11</v>
      </c>
      <c r="Q10158" s="5">
        <v>115</v>
      </c>
      <c r="R10158" s="5">
        <v>11</v>
      </c>
      <c r="S10158" s="5">
        <v>119</v>
      </c>
    </row>
    <row r="10159" spans="1:19" ht="56" x14ac:dyDescent="0.15">
      <c r="A10159" s="2">
        <f>HYPERLINK("https://open-school.uspishnemisto.com.ua/school/530114/", 530114)</f>
        <v>530114</v>
      </c>
      <c r="B10159" s="3" t="s">
        <v>51415</v>
      </c>
      <c r="C10159" s="3" t="s">
        <v>54</v>
      </c>
      <c r="D10159" s="3" t="s">
        <v>175</v>
      </c>
      <c r="E10159" s="4" t="s">
        <v>22</v>
      </c>
      <c r="F10159" s="4" t="s">
        <v>51416</v>
      </c>
      <c r="G10159" s="4" t="s">
        <v>51375</v>
      </c>
      <c r="H10159" s="3" t="s">
        <v>50910</v>
      </c>
      <c r="I10159" s="3" t="s">
        <v>51376</v>
      </c>
      <c r="J10159" s="3" t="s">
        <v>51417</v>
      </c>
      <c r="K10159" s="3" t="s">
        <v>51418</v>
      </c>
      <c r="L10159" s="3"/>
      <c r="M10159" s="4" t="s">
        <v>51419</v>
      </c>
      <c r="N10159" s="3" t="s">
        <v>37</v>
      </c>
      <c r="O10159" s="3" t="s">
        <v>52</v>
      </c>
      <c r="P10159" s="5">
        <v>9</v>
      </c>
      <c r="Q10159" s="5">
        <v>104</v>
      </c>
      <c r="R10159" s="5">
        <v>9</v>
      </c>
      <c r="S10159" s="5">
        <v>101</v>
      </c>
    </row>
    <row r="10160" spans="1:19" ht="28" x14ac:dyDescent="0.15">
      <c r="A10160" s="2">
        <f>HYPERLINK("https://open-school.uspishnemisto.com.ua/school/530115/", 530115)</f>
        <v>530115</v>
      </c>
      <c r="B10160" s="3" t="s">
        <v>51420</v>
      </c>
      <c r="C10160" s="3" t="s">
        <v>40</v>
      </c>
      <c r="D10160" s="3" t="s">
        <v>32</v>
      </c>
      <c r="E10160" s="4" t="s">
        <v>22</v>
      </c>
      <c r="F10160" s="4" t="s">
        <v>51421</v>
      </c>
      <c r="G10160" s="4" t="s">
        <v>51422</v>
      </c>
      <c r="H10160" s="3" t="s">
        <v>50910</v>
      </c>
      <c r="I10160" s="3" t="s">
        <v>51423</v>
      </c>
      <c r="J10160" s="3" t="s">
        <v>51424</v>
      </c>
      <c r="K10160" s="3" t="s">
        <v>51425</v>
      </c>
      <c r="L10160" s="3" t="s">
        <v>51426</v>
      </c>
      <c r="M10160" s="4" t="s">
        <v>51427</v>
      </c>
      <c r="N10160" s="3" t="s">
        <v>37</v>
      </c>
      <c r="O10160" s="3" t="s">
        <v>52</v>
      </c>
      <c r="P10160" s="5">
        <v>32</v>
      </c>
      <c r="Q10160" s="5">
        <v>828</v>
      </c>
      <c r="R10160" s="5">
        <v>31</v>
      </c>
      <c r="S10160" s="5">
        <v>809</v>
      </c>
    </row>
    <row r="10161" spans="1:19" ht="28" x14ac:dyDescent="0.15">
      <c r="A10161" s="2">
        <f>HYPERLINK("https://open-school.uspishnemisto.com.ua/school/530116/", 530116)</f>
        <v>530116</v>
      </c>
      <c r="B10161" s="3" t="s">
        <v>51428</v>
      </c>
      <c r="C10161" s="3" t="s">
        <v>31</v>
      </c>
      <c r="D10161" s="3" t="s">
        <v>32</v>
      </c>
      <c r="E10161" s="4" t="s">
        <v>22</v>
      </c>
      <c r="F10161" s="4" t="s">
        <v>51429</v>
      </c>
      <c r="G10161" s="4" t="s">
        <v>51422</v>
      </c>
      <c r="H10161" s="3" t="s">
        <v>50910</v>
      </c>
      <c r="I10161" s="3" t="s">
        <v>51423</v>
      </c>
      <c r="J10161" s="3" t="s">
        <v>51430</v>
      </c>
      <c r="K10161" s="3" t="s">
        <v>51431</v>
      </c>
      <c r="L10161" s="3" t="s">
        <v>51432</v>
      </c>
      <c r="M10161" s="4" t="s">
        <v>51433</v>
      </c>
      <c r="N10161" s="3" t="s">
        <v>37</v>
      </c>
      <c r="O10161" s="3" t="s">
        <v>38</v>
      </c>
      <c r="P10161" s="5">
        <v>11</v>
      </c>
      <c r="Q10161" s="5">
        <v>219</v>
      </c>
      <c r="R10161" s="5">
        <v>11</v>
      </c>
      <c r="S10161" s="5">
        <v>215</v>
      </c>
    </row>
    <row r="10162" spans="1:19" ht="42" x14ac:dyDescent="0.15">
      <c r="A10162" s="2">
        <f>HYPERLINK("https://open-school.uspishnemisto.com.ua/school/530117/", 530117)</f>
        <v>530117</v>
      </c>
      <c r="B10162" s="3" t="s">
        <v>51434</v>
      </c>
      <c r="C10162" s="3" t="s">
        <v>31</v>
      </c>
      <c r="D10162" s="3" t="s">
        <v>32</v>
      </c>
      <c r="E10162" s="4" t="s">
        <v>22</v>
      </c>
      <c r="F10162" s="4" t="s">
        <v>51435</v>
      </c>
      <c r="G10162" s="4" t="s">
        <v>51422</v>
      </c>
      <c r="H10162" s="3" t="s">
        <v>50910</v>
      </c>
      <c r="I10162" s="3" t="s">
        <v>51423</v>
      </c>
      <c r="J10162" s="3" t="s">
        <v>5421</v>
      </c>
      <c r="K10162" s="3" t="s">
        <v>51436</v>
      </c>
      <c r="L10162" s="3"/>
      <c r="M10162" s="4" t="s">
        <v>51437</v>
      </c>
      <c r="N10162" s="3" t="s">
        <v>37</v>
      </c>
      <c r="O10162" s="3" t="s">
        <v>46</v>
      </c>
      <c r="P10162" s="5">
        <v>29</v>
      </c>
      <c r="Q10162" s="5">
        <v>787</v>
      </c>
      <c r="R10162" s="5">
        <v>27</v>
      </c>
      <c r="S10162" s="5">
        <v>741</v>
      </c>
    </row>
    <row r="10163" spans="1:19" ht="28" x14ac:dyDescent="0.15">
      <c r="A10163" s="2">
        <f>HYPERLINK("https://open-school.uspishnemisto.com.ua/school/530118/", 530118)</f>
        <v>530118</v>
      </c>
      <c r="B10163" s="3" t="s">
        <v>51438</v>
      </c>
      <c r="C10163" s="3" t="s">
        <v>31</v>
      </c>
      <c r="D10163" s="3" t="s">
        <v>32</v>
      </c>
      <c r="E10163" s="4" t="s">
        <v>22</v>
      </c>
      <c r="F10163" s="4" t="s">
        <v>51421</v>
      </c>
      <c r="G10163" s="4" t="s">
        <v>51422</v>
      </c>
      <c r="H10163" s="3" t="s">
        <v>50910</v>
      </c>
      <c r="I10163" s="3" t="s">
        <v>51423</v>
      </c>
      <c r="J10163" s="3" t="s">
        <v>26926</v>
      </c>
      <c r="K10163" s="3" t="s">
        <v>51439</v>
      </c>
      <c r="L10163" s="3"/>
      <c r="M10163" s="4" t="s">
        <v>51440</v>
      </c>
      <c r="N10163" s="3" t="s">
        <v>37</v>
      </c>
      <c r="O10163" s="3" t="s">
        <v>38</v>
      </c>
      <c r="P10163" s="5">
        <v>14</v>
      </c>
      <c r="Q10163" s="5">
        <v>299</v>
      </c>
      <c r="R10163" s="5">
        <v>13</v>
      </c>
      <c r="S10163" s="5">
        <v>298</v>
      </c>
    </row>
    <row r="10164" spans="1:19" ht="28" x14ac:dyDescent="0.15">
      <c r="A10164" s="2">
        <f>HYPERLINK("https://open-school.uspishnemisto.com.ua/school/530119/", 530119)</f>
        <v>530119</v>
      </c>
      <c r="B10164" s="3" t="s">
        <v>51441</v>
      </c>
      <c r="C10164" s="3" t="s">
        <v>31</v>
      </c>
      <c r="D10164" s="3" t="s">
        <v>32</v>
      </c>
      <c r="E10164" s="4" t="s">
        <v>22</v>
      </c>
      <c r="F10164" s="4" t="s">
        <v>51442</v>
      </c>
      <c r="G10164" s="4" t="s">
        <v>51422</v>
      </c>
      <c r="H10164" s="3" t="s">
        <v>50910</v>
      </c>
      <c r="I10164" s="3" t="s">
        <v>51423</v>
      </c>
      <c r="J10164" s="3" t="s">
        <v>51443</v>
      </c>
      <c r="K10164" s="3" t="s">
        <v>51444</v>
      </c>
      <c r="L10164" s="3" t="s">
        <v>51445</v>
      </c>
      <c r="M10164" s="4" t="s">
        <v>51446</v>
      </c>
      <c r="N10164" s="3" t="s">
        <v>37</v>
      </c>
      <c r="O10164" s="3" t="s">
        <v>70</v>
      </c>
      <c r="P10164" s="5">
        <v>31</v>
      </c>
      <c r="Q10164" s="5">
        <v>821</v>
      </c>
      <c r="R10164" s="5">
        <v>31</v>
      </c>
      <c r="S10164" s="5">
        <v>810</v>
      </c>
    </row>
    <row r="10165" spans="1:19" ht="42" x14ac:dyDescent="0.15">
      <c r="A10165" s="2">
        <f>HYPERLINK("https://open-school.uspishnemisto.com.ua/school/530120/", 530120)</f>
        <v>530120</v>
      </c>
      <c r="B10165" s="3" t="s">
        <v>51447</v>
      </c>
      <c r="C10165" s="3" t="s">
        <v>244</v>
      </c>
      <c r="D10165" s="3" t="s">
        <v>32</v>
      </c>
      <c r="E10165" s="4" t="s">
        <v>22</v>
      </c>
      <c r="F10165" s="4" t="s">
        <v>51421</v>
      </c>
      <c r="G10165" s="4" t="s">
        <v>51422</v>
      </c>
      <c r="H10165" s="3" t="s">
        <v>50910</v>
      </c>
      <c r="I10165" s="3" t="s">
        <v>51423</v>
      </c>
      <c r="J10165" s="3" t="s">
        <v>51448</v>
      </c>
      <c r="K10165" s="3" t="s">
        <v>51449</v>
      </c>
      <c r="L10165" s="3"/>
      <c r="M10165" s="4" t="s">
        <v>51450</v>
      </c>
      <c r="N10165" s="3" t="s">
        <v>37</v>
      </c>
      <c r="O10165" s="3" t="s">
        <v>46</v>
      </c>
      <c r="P10165" s="5">
        <v>29</v>
      </c>
      <c r="Q10165" s="5">
        <v>741</v>
      </c>
      <c r="R10165" s="5">
        <v>30</v>
      </c>
      <c r="S10165" s="5">
        <v>757</v>
      </c>
    </row>
    <row r="10166" spans="1:19" ht="28" x14ac:dyDescent="0.15">
      <c r="A10166" s="2">
        <f>HYPERLINK("https://open-school.uspishnemisto.com.ua/school/530121/", 530121)</f>
        <v>530121</v>
      </c>
      <c r="B10166" s="3" t="s">
        <v>51451</v>
      </c>
      <c r="C10166" s="3" t="s">
        <v>181</v>
      </c>
      <c r="D10166" s="3" t="s">
        <v>32</v>
      </c>
      <c r="E10166" s="4" t="s">
        <v>22</v>
      </c>
      <c r="F10166" s="4" t="s">
        <v>51421</v>
      </c>
      <c r="G10166" s="4" t="s">
        <v>51422</v>
      </c>
      <c r="H10166" s="3" t="s">
        <v>50910</v>
      </c>
      <c r="I10166" s="3" t="s">
        <v>51423</v>
      </c>
      <c r="J10166" s="3" t="s">
        <v>51452</v>
      </c>
      <c r="K10166" s="3" t="s">
        <v>51453</v>
      </c>
      <c r="L10166" s="3"/>
      <c r="M10166" s="4" t="s">
        <v>51454</v>
      </c>
      <c r="N10166" s="3" t="s">
        <v>37</v>
      </c>
      <c r="O10166" s="3" t="s">
        <v>52</v>
      </c>
      <c r="P10166" s="5">
        <v>15</v>
      </c>
      <c r="Q10166" s="5">
        <v>112</v>
      </c>
      <c r="R10166" s="5">
        <v>14</v>
      </c>
      <c r="S10166" s="5">
        <v>113</v>
      </c>
    </row>
    <row r="10167" spans="1:19" ht="42" x14ac:dyDescent="0.15">
      <c r="A10167" s="2">
        <f>HYPERLINK("https://open-school.uspishnemisto.com.ua/school/530122/", 530122)</f>
        <v>530122</v>
      </c>
      <c r="B10167" s="3" t="s">
        <v>51455</v>
      </c>
      <c r="C10167" s="3" t="s">
        <v>54</v>
      </c>
      <c r="D10167" s="3" t="s">
        <v>175</v>
      </c>
      <c r="E10167" s="4" t="s">
        <v>22</v>
      </c>
      <c r="F10167" s="4" t="s">
        <v>51421</v>
      </c>
      <c r="G10167" s="4" t="s">
        <v>51422</v>
      </c>
      <c r="H10167" s="3" t="s">
        <v>50910</v>
      </c>
      <c r="I10167" s="3" t="s">
        <v>51423</v>
      </c>
      <c r="J10167" s="3" t="s">
        <v>51456</v>
      </c>
      <c r="K10167" s="3" t="s">
        <v>51457</v>
      </c>
      <c r="L10167" s="3"/>
      <c r="M10167" s="4" t="s">
        <v>51458</v>
      </c>
      <c r="N10167" s="3" t="s">
        <v>37</v>
      </c>
      <c r="O10167" s="3" t="s">
        <v>52</v>
      </c>
      <c r="P10167" s="5">
        <v>9</v>
      </c>
      <c r="Q10167" s="5">
        <v>169</v>
      </c>
      <c r="R10167" s="5">
        <v>9</v>
      </c>
      <c r="S10167" s="5">
        <v>172</v>
      </c>
    </row>
    <row r="10168" spans="1:19" ht="28" x14ac:dyDescent="0.15">
      <c r="A10168" s="2">
        <f>HYPERLINK("https://open-school.uspishnemisto.com.ua/school/530123/", 530123)</f>
        <v>530123</v>
      </c>
      <c r="B10168" s="3" t="s">
        <v>51459</v>
      </c>
      <c r="C10168" s="3" t="s">
        <v>31</v>
      </c>
      <c r="D10168" s="3" t="s">
        <v>32</v>
      </c>
      <c r="E10168" s="4" t="s">
        <v>22</v>
      </c>
      <c r="F10168" s="4" t="s">
        <v>51460</v>
      </c>
      <c r="G10168" s="4" t="s">
        <v>51461</v>
      </c>
      <c r="H10168" s="3" t="s">
        <v>50910</v>
      </c>
      <c r="I10168" s="3" t="s">
        <v>51462</v>
      </c>
      <c r="J10168" s="3" t="s">
        <v>49700</v>
      </c>
      <c r="K10168" s="3" t="s">
        <v>51463</v>
      </c>
      <c r="L10168" s="3"/>
      <c r="M10168" s="4"/>
      <c r="N10168" s="3" t="s">
        <v>37</v>
      </c>
      <c r="O10168" s="3" t="s">
        <v>46</v>
      </c>
      <c r="P10168" s="5">
        <v>27</v>
      </c>
      <c r="Q10168" s="5">
        <v>640</v>
      </c>
      <c r="R10168" s="5">
        <v>25</v>
      </c>
      <c r="S10168" s="5">
        <v>620</v>
      </c>
    </row>
    <row r="10169" spans="1:19" ht="42" x14ac:dyDescent="0.15">
      <c r="A10169" s="2">
        <f>HYPERLINK("https://open-school.uspishnemisto.com.ua/school/530124/", 530124)</f>
        <v>530124</v>
      </c>
      <c r="B10169" s="3" t="s">
        <v>51464</v>
      </c>
      <c r="C10169" s="3" t="s">
        <v>31</v>
      </c>
      <c r="D10169" s="3" t="s">
        <v>175</v>
      </c>
      <c r="E10169" s="4" t="s">
        <v>22</v>
      </c>
      <c r="F10169" s="4" t="s">
        <v>51465</v>
      </c>
      <c r="G10169" s="4" t="s">
        <v>51466</v>
      </c>
      <c r="H10169" s="3" t="s">
        <v>50910</v>
      </c>
      <c r="I10169" s="3" t="s">
        <v>51467</v>
      </c>
      <c r="J10169" s="3" t="s">
        <v>3260</v>
      </c>
      <c r="K10169" s="3" t="s">
        <v>51468</v>
      </c>
      <c r="L10169" s="3" t="s">
        <v>51469</v>
      </c>
      <c r="M10169" s="4"/>
      <c r="N10169" s="3" t="s">
        <v>37</v>
      </c>
      <c r="O10169" s="3" t="s">
        <v>46</v>
      </c>
      <c r="P10169" s="5">
        <v>2</v>
      </c>
      <c r="Q10169" s="5">
        <v>25</v>
      </c>
      <c r="R10169" s="5">
        <v>3</v>
      </c>
      <c r="S10169" s="5">
        <v>27</v>
      </c>
    </row>
    <row r="10170" spans="1:19" ht="28" x14ac:dyDescent="0.15">
      <c r="A10170" s="2">
        <f>HYPERLINK("https://open-school.uspishnemisto.com.ua/school/530125/", 530125)</f>
        <v>530125</v>
      </c>
      <c r="B10170" s="3" t="s">
        <v>51470</v>
      </c>
      <c r="C10170" s="3" t="s">
        <v>31</v>
      </c>
      <c r="D10170" s="3" t="s">
        <v>60</v>
      </c>
      <c r="E10170" s="4" t="s">
        <v>22</v>
      </c>
      <c r="F10170" s="4" t="s">
        <v>51460</v>
      </c>
      <c r="G10170" s="4" t="s">
        <v>51471</v>
      </c>
      <c r="H10170" s="3" t="s">
        <v>50910</v>
      </c>
      <c r="I10170" s="3" t="s">
        <v>51472</v>
      </c>
      <c r="J10170" s="3" t="s">
        <v>51473</v>
      </c>
      <c r="K10170" s="3" t="s">
        <v>51474</v>
      </c>
      <c r="L10170" s="3"/>
      <c r="M10170" s="4"/>
      <c r="N10170" s="3" t="s">
        <v>37</v>
      </c>
      <c r="O10170" s="3" t="s">
        <v>52</v>
      </c>
      <c r="P10170" s="5">
        <v>1</v>
      </c>
      <c r="Q10170" s="5">
        <v>11</v>
      </c>
      <c r="R10170" s="5">
        <v>3</v>
      </c>
      <c r="S10170" s="5">
        <v>18</v>
      </c>
    </row>
    <row r="10171" spans="1:19" ht="28" x14ac:dyDescent="0.15">
      <c r="A10171" s="2">
        <f>HYPERLINK("https://open-school.uspishnemisto.com.ua/school/530126/", 530126)</f>
        <v>530126</v>
      </c>
      <c r="B10171" s="3" t="s">
        <v>51475</v>
      </c>
      <c r="C10171" s="3" t="s">
        <v>31</v>
      </c>
      <c r="D10171" s="3" t="s">
        <v>175</v>
      </c>
      <c r="E10171" s="4" t="s">
        <v>22</v>
      </c>
      <c r="F10171" s="4" t="s">
        <v>51476</v>
      </c>
      <c r="G10171" s="4" t="s">
        <v>51477</v>
      </c>
      <c r="H10171" s="3" t="s">
        <v>50910</v>
      </c>
      <c r="I10171" s="3" t="s">
        <v>3217</v>
      </c>
      <c r="J10171" s="3" t="s">
        <v>51478</v>
      </c>
      <c r="K10171" s="3" t="s">
        <v>51479</v>
      </c>
      <c r="L10171" s="3"/>
      <c r="M10171" s="4"/>
      <c r="N10171" s="3" t="s">
        <v>37</v>
      </c>
      <c r="O10171" s="3" t="s">
        <v>38</v>
      </c>
      <c r="P10171" s="5">
        <v>5</v>
      </c>
      <c r="Q10171" s="5">
        <v>31</v>
      </c>
      <c r="R10171" s="5">
        <v>5</v>
      </c>
      <c r="S10171" s="5">
        <v>32</v>
      </c>
    </row>
    <row r="10172" spans="1:19" ht="28" x14ac:dyDescent="0.15">
      <c r="A10172" s="2">
        <f>HYPERLINK("https://open-school.uspishnemisto.com.ua/school/530127/", 530127)</f>
        <v>530127</v>
      </c>
      <c r="B10172" s="3" t="s">
        <v>51480</v>
      </c>
      <c r="C10172" s="3" t="s">
        <v>31</v>
      </c>
      <c r="D10172" s="3" t="s">
        <v>32</v>
      </c>
      <c r="E10172" s="4" t="s">
        <v>22</v>
      </c>
      <c r="F10172" s="4" t="s">
        <v>51481</v>
      </c>
      <c r="G10172" s="4" t="s">
        <v>51482</v>
      </c>
      <c r="H10172" s="3" t="s">
        <v>50910</v>
      </c>
      <c r="I10172" s="3" t="s">
        <v>51483</v>
      </c>
      <c r="J10172" s="3" t="s">
        <v>51484</v>
      </c>
      <c r="K10172" s="3" t="s">
        <v>51485</v>
      </c>
      <c r="L10172" s="3"/>
      <c r="M10172" s="4"/>
      <c r="N10172" s="3" t="s">
        <v>37</v>
      </c>
      <c r="O10172" s="3" t="s">
        <v>38</v>
      </c>
      <c r="P10172" s="5">
        <v>12</v>
      </c>
      <c r="Q10172" s="5">
        <v>240</v>
      </c>
      <c r="R10172" s="5">
        <v>12</v>
      </c>
      <c r="S10172" s="5">
        <v>231</v>
      </c>
    </row>
    <row r="10173" spans="1:19" ht="28" x14ac:dyDescent="0.15">
      <c r="A10173" s="2">
        <f>HYPERLINK("https://open-school.uspishnemisto.com.ua/school/530128/", 530128)</f>
        <v>530128</v>
      </c>
      <c r="B10173" s="3" t="s">
        <v>51486</v>
      </c>
      <c r="C10173" s="3" t="s">
        <v>31</v>
      </c>
      <c r="D10173" s="3" t="s">
        <v>32</v>
      </c>
      <c r="E10173" s="4" t="s">
        <v>22</v>
      </c>
      <c r="F10173" s="4" t="s">
        <v>51487</v>
      </c>
      <c r="G10173" s="4" t="s">
        <v>51488</v>
      </c>
      <c r="H10173" s="3" t="s">
        <v>50910</v>
      </c>
      <c r="I10173" s="3" t="s">
        <v>51489</v>
      </c>
      <c r="J10173" s="3" t="s">
        <v>2253</v>
      </c>
      <c r="K10173" s="3" t="s">
        <v>51490</v>
      </c>
      <c r="L10173" s="3" t="s">
        <v>51491</v>
      </c>
      <c r="M10173" s="4"/>
      <c r="N10173" s="3" t="s">
        <v>37</v>
      </c>
      <c r="O10173" s="3" t="s">
        <v>52</v>
      </c>
      <c r="P10173" s="5">
        <v>10</v>
      </c>
      <c r="Q10173" s="5">
        <v>69</v>
      </c>
      <c r="R10173" s="5">
        <v>8</v>
      </c>
      <c r="S10173" s="5">
        <v>66</v>
      </c>
    </row>
    <row r="10174" spans="1:19" ht="56" x14ac:dyDescent="0.15">
      <c r="A10174" s="2">
        <f>HYPERLINK("https://open-school.uspishnemisto.com.ua/school/530129/", 530129)</f>
        <v>530129</v>
      </c>
      <c r="B10174" s="3" t="s">
        <v>51492</v>
      </c>
      <c r="C10174" s="3" t="s">
        <v>54</v>
      </c>
      <c r="D10174" s="3" t="s">
        <v>175</v>
      </c>
      <c r="E10174" s="4" t="s">
        <v>22</v>
      </c>
      <c r="F10174" s="4" t="s">
        <v>51493</v>
      </c>
      <c r="G10174" s="4" t="s">
        <v>51494</v>
      </c>
      <c r="H10174" s="3" t="s">
        <v>50910</v>
      </c>
      <c r="I10174" s="3" t="s">
        <v>51495</v>
      </c>
      <c r="J10174" s="3" t="s">
        <v>297</v>
      </c>
      <c r="K10174" s="3" t="s">
        <v>51496</v>
      </c>
      <c r="L10174" s="3"/>
      <c r="M10174" s="4"/>
      <c r="N10174" s="3" t="s">
        <v>37</v>
      </c>
      <c r="O10174" s="3" t="s">
        <v>38</v>
      </c>
      <c r="P10174" s="5">
        <v>7</v>
      </c>
      <c r="Q10174" s="5">
        <v>48</v>
      </c>
      <c r="R10174" s="5">
        <v>6</v>
      </c>
      <c r="S10174" s="5">
        <v>44</v>
      </c>
    </row>
    <row r="10175" spans="1:19" ht="28" x14ac:dyDescent="0.15">
      <c r="A10175" s="2">
        <f>HYPERLINK("https://open-school.uspishnemisto.com.ua/school/530130/", 530130)</f>
        <v>530130</v>
      </c>
      <c r="B10175" s="3" t="s">
        <v>51497</v>
      </c>
      <c r="C10175" s="3" t="s">
        <v>31</v>
      </c>
      <c r="D10175" s="3" t="s">
        <v>175</v>
      </c>
      <c r="E10175" s="4" t="s">
        <v>22</v>
      </c>
      <c r="F10175" s="4" t="s">
        <v>51498</v>
      </c>
      <c r="G10175" s="4" t="s">
        <v>51499</v>
      </c>
      <c r="H10175" s="3" t="s">
        <v>50910</v>
      </c>
      <c r="I10175" s="3" t="s">
        <v>51500</v>
      </c>
      <c r="J10175" s="3" t="s">
        <v>2052</v>
      </c>
      <c r="K10175" s="3" t="s">
        <v>51501</v>
      </c>
      <c r="L10175" s="3"/>
      <c r="M10175" s="4"/>
      <c r="N10175" s="3" t="s">
        <v>37</v>
      </c>
      <c r="O10175" s="3" t="s">
        <v>52</v>
      </c>
      <c r="P10175" s="5">
        <v>2</v>
      </c>
      <c r="Q10175" s="5">
        <v>31</v>
      </c>
      <c r="R10175" s="5">
        <v>2</v>
      </c>
      <c r="S10175" s="5">
        <v>39</v>
      </c>
    </row>
    <row r="10176" spans="1:19" ht="56" x14ac:dyDescent="0.15">
      <c r="A10176" s="2">
        <f>HYPERLINK("https://open-school.uspishnemisto.com.ua/school/530131/", 530131)</f>
        <v>530131</v>
      </c>
      <c r="B10176" s="3" t="s">
        <v>51502</v>
      </c>
      <c r="C10176" s="3" t="s">
        <v>54</v>
      </c>
      <c r="D10176" s="3" t="s">
        <v>175</v>
      </c>
      <c r="E10176" s="4" t="s">
        <v>22</v>
      </c>
      <c r="F10176" s="4" t="s">
        <v>51503</v>
      </c>
      <c r="G10176" s="4" t="s">
        <v>51504</v>
      </c>
      <c r="H10176" s="3" t="s">
        <v>50910</v>
      </c>
      <c r="I10176" s="3" t="s">
        <v>7007</v>
      </c>
      <c r="J10176" s="3" t="s">
        <v>10399</v>
      </c>
      <c r="K10176" s="3"/>
      <c r="L10176" s="3" t="s">
        <v>51505</v>
      </c>
      <c r="M10176" s="4"/>
      <c r="N10176" s="3" t="s">
        <v>37</v>
      </c>
      <c r="O10176" s="3" t="s">
        <v>46</v>
      </c>
      <c r="P10176" s="5">
        <v>5</v>
      </c>
      <c r="Q10176" s="5">
        <v>37</v>
      </c>
      <c r="R10176" s="5">
        <v>4</v>
      </c>
      <c r="S10176" s="5">
        <v>32</v>
      </c>
    </row>
    <row r="10177" spans="1:19" ht="28" x14ac:dyDescent="0.15">
      <c r="A10177" s="2">
        <f>HYPERLINK("https://open-school.uspishnemisto.com.ua/school/530132/", 530132)</f>
        <v>530132</v>
      </c>
      <c r="B10177" s="3" t="s">
        <v>51506</v>
      </c>
      <c r="C10177" s="3" t="s">
        <v>31</v>
      </c>
      <c r="D10177" s="3" t="s">
        <v>32</v>
      </c>
      <c r="E10177" s="4" t="s">
        <v>22</v>
      </c>
      <c r="F10177" s="4" t="s">
        <v>51507</v>
      </c>
      <c r="G10177" s="4" t="s">
        <v>51508</v>
      </c>
      <c r="H10177" s="3" t="s">
        <v>50910</v>
      </c>
      <c r="I10177" s="3" t="s">
        <v>25635</v>
      </c>
      <c r="J10177" s="3" t="s">
        <v>30464</v>
      </c>
      <c r="K10177" s="3" t="s">
        <v>51509</v>
      </c>
      <c r="L10177" s="3"/>
      <c r="M10177" s="4"/>
      <c r="N10177" s="3" t="s">
        <v>37</v>
      </c>
      <c r="O10177" s="3" t="s">
        <v>46</v>
      </c>
      <c r="P10177" s="5">
        <v>10</v>
      </c>
      <c r="Q10177" s="5">
        <v>74</v>
      </c>
      <c r="R10177" s="5">
        <v>9</v>
      </c>
      <c r="S10177" s="5">
        <v>74</v>
      </c>
    </row>
    <row r="10178" spans="1:19" ht="28" x14ac:dyDescent="0.15">
      <c r="A10178" s="2">
        <f>HYPERLINK("https://open-school.uspishnemisto.com.ua/school/530133/", 530133)</f>
        <v>530133</v>
      </c>
      <c r="B10178" s="3" t="s">
        <v>51510</v>
      </c>
      <c r="C10178" s="3" t="s">
        <v>31</v>
      </c>
      <c r="D10178" s="3" t="s">
        <v>32</v>
      </c>
      <c r="E10178" s="4" t="s">
        <v>22</v>
      </c>
      <c r="F10178" s="4" t="s">
        <v>51511</v>
      </c>
      <c r="G10178" s="4" t="s">
        <v>51512</v>
      </c>
      <c r="H10178" s="3" t="s">
        <v>50910</v>
      </c>
      <c r="I10178" s="3" t="s">
        <v>15932</v>
      </c>
      <c r="J10178" s="3" t="s">
        <v>51513</v>
      </c>
      <c r="K10178" s="3" t="s">
        <v>51514</v>
      </c>
      <c r="L10178" s="3" t="s">
        <v>51515</v>
      </c>
      <c r="M10178" s="4"/>
      <c r="N10178" s="3" t="s">
        <v>37</v>
      </c>
      <c r="O10178" s="3" t="s">
        <v>52</v>
      </c>
      <c r="P10178" s="5">
        <v>11</v>
      </c>
      <c r="Q10178" s="5">
        <v>150</v>
      </c>
      <c r="R10178" s="5">
        <v>11</v>
      </c>
      <c r="S10178" s="5">
        <v>150</v>
      </c>
    </row>
    <row r="10179" spans="1:19" ht="28" x14ac:dyDescent="0.15">
      <c r="A10179" s="2">
        <f>HYPERLINK("https://open-school.uspishnemisto.com.ua/school/530134/", 530134)</f>
        <v>530134</v>
      </c>
      <c r="B10179" s="3" t="s">
        <v>51516</v>
      </c>
      <c r="C10179" s="3" t="s">
        <v>31</v>
      </c>
      <c r="D10179" s="3" t="s">
        <v>60</v>
      </c>
      <c r="E10179" s="4" t="s">
        <v>22</v>
      </c>
      <c r="F10179" s="4" t="s">
        <v>51517</v>
      </c>
      <c r="G10179" s="4" t="s">
        <v>51518</v>
      </c>
      <c r="H10179" s="3" t="s">
        <v>50910</v>
      </c>
      <c r="I10179" s="3" t="s">
        <v>51519</v>
      </c>
      <c r="J10179" s="3" t="s">
        <v>634</v>
      </c>
      <c r="K10179" s="3"/>
      <c r="L10179" s="3"/>
      <c r="M10179" s="4"/>
      <c r="N10179" s="3" t="s">
        <v>37</v>
      </c>
      <c r="O10179" s="3" t="s">
        <v>52</v>
      </c>
      <c r="P10179" s="5">
        <v>3</v>
      </c>
      <c r="Q10179" s="5">
        <v>19</v>
      </c>
      <c r="R10179" s="5">
        <v>3</v>
      </c>
      <c r="S10179" s="5">
        <v>18</v>
      </c>
    </row>
    <row r="10180" spans="1:19" ht="28" x14ac:dyDescent="0.15">
      <c r="A10180" s="2">
        <f>HYPERLINK("https://open-school.uspishnemisto.com.ua/school/530135/", 530135)</f>
        <v>530135</v>
      </c>
      <c r="B10180" s="3" t="s">
        <v>51520</v>
      </c>
      <c r="C10180" s="3" t="s">
        <v>31</v>
      </c>
      <c r="D10180" s="3" t="s">
        <v>175</v>
      </c>
      <c r="E10180" s="4" t="s">
        <v>22</v>
      </c>
      <c r="F10180" s="4" t="s">
        <v>51521</v>
      </c>
      <c r="G10180" s="4" t="s">
        <v>51522</v>
      </c>
      <c r="H10180" s="3" t="s">
        <v>50910</v>
      </c>
      <c r="I10180" s="3" t="s">
        <v>51523</v>
      </c>
      <c r="J10180" s="3" t="s">
        <v>37859</v>
      </c>
      <c r="K10180" s="3"/>
      <c r="L10180" s="3"/>
      <c r="M10180" s="4"/>
      <c r="N10180" s="3" t="s">
        <v>37</v>
      </c>
      <c r="O10180" s="3" t="s">
        <v>38</v>
      </c>
      <c r="P10180" s="5">
        <v>5</v>
      </c>
      <c r="Q10180" s="5">
        <v>41</v>
      </c>
      <c r="R10180" s="5">
        <v>5</v>
      </c>
      <c r="S10180" s="5">
        <v>39</v>
      </c>
    </row>
    <row r="10181" spans="1:19" ht="28" x14ac:dyDescent="0.15">
      <c r="A10181" s="2">
        <f>HYPERLINK("https://open-school.uspishnemisto.com.ua/school/530136/", 530136)</f>
        <v>530136</v>
      </c>
      <c r="B10181" s="3" t="s">
        <v>51524</v>
      </c>
      <c r="C10181" s="3" t="s">
        <v>31</v>
      </c>
      <c r="D10181" s="3" t="s">
        <v>175</v>
      </c>
      <c r="E10181" s="4" t="s">
        <v>22</v>
      </c>
      <c r="F10181" s="4" t="s">
        <v>51525</v>
      </c>
      <c r="G10181" s="4" t="s">
        <v>51526</v>
      </c>
      <c r="H10181" s="3" t="s">
        <v>50910</v>
      </c>
      <c r="I10181" s="3" t="s">
        <v>51527</v>
      </c>
      <c r="J10181" s="3" t="s">
        <v>634</v>
      </c>
      <c r="K10181" s="3" t="s">
        <v>51528</v>
      </c>
      <c r="L10181" s="3"/>
      <c r="M10181" s="4"/>
      <c r="N10181" s="3" t="s">
        <v>37</v>
      </c>
      <c r="O10181" s="3" t="s">
        <v>38</v>
      </c>
      <c r="P10181" s="5">
        <v>8</v>
      </c>
      <c r="Q10181" s="5">
        <v>56</v>
      </c>
      <c r="R10181" s="5">
        <v>9</v>
      </c>
      <c r="S10181" s="5">
        <v>63</v>
      </c>
    </row>
    <row r="10182" spans="1:19" ht="42" x14ac:dyDescent="0.15">
      <c r="A10182" s="2">
        <f>HYPERLINK("https://open-school.uspishnemisto.com.ua/school/530137/", 530137)</f>
        <v>530137</v>
      </c>
      <c r="B10182" s="3" t="s">
        <v>51529</v>
      </c>
      <c r="C10182" s="3" t="s">
        <v>31</v>
      </c>
      <c r="D10182" s="3" t="s">
        <v>32</v>
      </c>
      <c r="E10182" s="4" t="s">
        <v>22</v>
      </c>
      <c r="F10182" s="4" t="s">
        <v>51530</v>
      </c>
      <c r="G10182" s="4" t="s">
        <v>51531</v>
      </c>
      <c r="H10182" s="3" t="s">
        <v>50910</v>
      </c>
      <c r="I10182" s="3" t="s">
        <v>51532</v>
      </c>
      <c r="J10182" s="3" t="s">
        <v>16177</v>
      </c>
      <c r="K10182" s="3" t="s">
        <v>51533</v>
      </c>
      <c r="L10182" s="3"/>
      <c r="M10182" s="4"/>
      <c r="N10182" s="3" t="s">
        <v>37</v>
      </c>
      <c r="O10182" s="3" t="s">
        <v>38</v>
      </c>
      <c r="P10182" s="5">
        <v>10</v>
      </c>
      <c r="Q10182" s="5">
        <v>63</v>
      </c>
      <c r="R10182" s="5">
        <v>10</v>
      </c>
      <c r="S10182" s="5">
        <v>61</v>
      </c>
    </row>
    <row r="10183" spans="1:19" ht="28" x14ac:dyDescent="0.15">
      <c r="A10183" s="2">
        <f>HYPERLINK("https://open-school.uspishnemisto.com.ua/school/530138/", 530138)</f>
        <v>530138</v>
      </c>
      <c r="B10183" s="3" t="s">
        <v>51534</v>
      </c>
      <c r="C10183" s="3" t="s">
        <v>31</v>
      </c>
      <c r="D10183" s="3" t="s">
        <v>60</v>
      </c>
      <c r="E10183" s="4" t="s">
        <v>22</v>
      </c>
      <c r="F10183" s="4" t="s">
        <v>51535</v>
      </c>
      <c r="G10183" s="4" t="s">
        <v>51536</v>
      </c>
      <c r="H10183" s="3" t="s">
        <v>50910</v>
      </c>
      <c r="I10183" s="3" t="s">
        <v>688</v>
      </c>
      <c r="J10183" s="3" t="s">
        <v>946</v>
      </c>
      <c r="K10183" s="3"/>
      <c r="L10183" s="3"/>
      <c r="M10183" s="4"/>
      <c r="N10183" s="3" t="s">
        <v>37</v>
      </c>
      <c r="O10183" s="3" t="s">
        <v>52</v>
      </c>
      <c r="P10183" s="5">
        <v>0</v>
      </c>
      <c r="Q10183" s="5">
        <v>8</v>
      </c>
      <c r="R10183" s="5">
        <v>0</v>
      </c>
      <c r="S10183" s="5">
        <v>10</v>
      </c>
    </row>
    <row r="10184" spans="1:19" ht="28" x14ac:dyDescent="0.15">
      <c r="A10184" s="2">
        <f>HYPERLINK("https://open-school.uspishnemisto.com.ua/school/530139/", 530139)</f>
        <v>530139</v>
      </c>
      <c r="B10184" s="3" t="s">
        <v>51537</v>
      </c>
      <c r="C10184" s="3" t="s">
        <v>31</v>
      </c>
      <c r="D10184" s="3" t="s">
        <v>175</v>
      </c>
      <c r="E10184" s="4" t="s">
        <v>22</v>
      </c>
      <c r="F10184" s="4" t="s">
        <v>51538</v>
      </c>
      <c r="G10184" s="4" t="s">
        <v>51539</v>
      </c>
      <c r="H10184" s="3" t="s">
        <v>50910</v>
      </c>
      <c r="I10184" s="3" t="s">
        <v>51540</v>
      </c>
      <c r="J10184" s="3" t="s">
        <v>8049</v>
      </c>
      <c r="K10184" s="3" t="s">
        <v>51541</v>
      </c>
      <c r="L10184" s="3"/>
      <c r="M10184" s="4"/>
      <c r="N10184" s="3" t="s">
        <v>37</v>
      </c>
      <c r="O10184" s="3" t="s">
        <v>38</v>
      </c>
      <c r="P10184" s="5">
        <v>5</v>
      </c>
      <c r="Q10184" s="5">
        <v>44</v>
      </c>
      <c r="R10184" s="5">
        <v>3</v>
      </c>
      <c r="S10184" s="5">
        <v>40</v>
      </c>
    </row>
    <row r="10185" spans="1:19" ht="28" x14ac:dyDescent="0.15">
      <c r="A10185" s="2">
        <f>HYPERLINK("https://open-school.uspishnemisto.com.ua/school/530140/", 530140)</f>
        <v>530140</v>
      </c>
      <c r="B10185" s="3" t="s">
        <v>51542</v>
      </c>
      <c r="C10185" s="3" t="s">
        <v>31</v>
      </c>
      <c r="D10185" s="3" t="s">
        <v>32</v>
      </c>
      <c r="E10185" s="4" t="s">
        <v>22</v>
      </c>
      <c r="F10185" s="4" t="s">
        <v>51543</v>
      </c>
      <c r="G10185" s="4" t="s">
        <v>51544</v>
      </c>
      <c r="H10185" s="3" t="s">
        <v>50910</v>
      </c>
      <c r="I10185" s="3" t="s">
        <v>51545</v>
      </c>
      <c r="J10185" s="3" t="s">
        <v>466</v>
      </c>
      <c r="K10185" s="3" t="s">
        <v>51546</v>
      </c>
      <c r="L10185" s="3" t="s">
        <v>51547</v>
      </c>
      <c r="M10185" s="4"/>
      <c r="N10185" s="3" t="s">
        <v>37</v>
      </c>
      <c r="O10185" s="3" t="s">
        <v>38</v>
      </c>
      <c r="P10185" s="5">
        <v>8</v>
      </c>
      <c r="Q10185" s="5">
        <v>57</v>
      </c>
      <c r="R10185" s="5">
        <v>10</v>
      </c>
      <c r="S10185" s="5">
        <v>68</v>
      </c>
    </row>
    <row r="10186" spans="1:19" ht="28" x14ac:dyDescent="0.15">
      <c r="A10186" s="2">
        <f>HYPERLINK("https://open-school.uspishnemisto.com.ua/school/530141/", 530141)</f>
        <v>530141</v>
      </c>
      <c r="B10186" s="3" t="s">
        <v>51548</v>
      </c>
      <c r="C10186" s="3" t="s">
        <v>31</v>
      </c>
      <c r="D10186" s="3" t="s">
        <v>175</v>
      </c>
      <c r="E10186" s="4" t="s">
        <v>22</v>
      </c>
      <c r="F10186" s="4" t="s">
        <v>51549</v>
      </c>
      <c r="G10186" s="4" t="s">
        <v>51550</v>
      </c>
      <c r="H10186" s="3" t="s">
        <v>50910</v>
      </c>
      <c r="I10186" s="3" t="s">
        <v>51551</v>
      </c>
      <c r="J10186" s="3" t="s">
        <v>51552</v>
      </c>
      <c r="K10186" s="3"/>
      <c r="L10186" s="3"/>
      <c r="M10186" s="4"/>
      <c r="N10186" s="3" t="s">
        <v>37</v>
      </c>
      <c r="O10186" s="3" t="s">
        <v>38</v>
      </c>
      <c r="P10186" s="5">
        <v>7</v>
      </c>
      <c r="Q10186" s="5">
        <v>52</v>
      </c>
      <c r="R10186" s="5">
        <v>7</v>
      </c>
      <c r="S10186" s="5">
        <v>52</v>
      </c>
    </row>
    <row r="10187" spans="1:19" ht="28" x14ac:dyDescent="0.15">
      <c r="A10187" s="2">
        <f>HYPERLINK("https://open-school.uspishnemisto.com.ua/school/530142/", 530142)</f>
        <v>530142</v>
      </c>
      <c r="B10187" s="3" t="s">
        <v>51553</v>
      </c>
      <c r="C10187" s="3" t="s">
        <v>31</v>
      </c>
      <c r="D10187" s="3" t="s">
        <v>32</v>
      </c>
      <c r="E10187" s="4" t="s">
        <v>22</v>
      </c>
      <c r="F10187" s="4" t="s">
        <v>51554</v>
      </c>
      <c r="G10187" s="4" t="s">
        <v>51555</v>
      </c>
      <c r="H10187" s="3" t="s">
        <v>50910</v>
      </c>
      <c r="I10187" s="3" t="s">
        <v>24604</v>
      </c>
      <c r="J10187" s="3" t="s">
        <v>634</v>
      </c>
      <c r="K10187" s="3" t="s">
        <v>51556</v>
      </c>
      <c r="L10187" s="3"/>
      <c r="M10187" s="4"/>
      <c r="N10187" s="3" t="s">
        <v>37</v>
      </c>
      <c r="O10187" s="3" t="s">
        <v>52</v>
      </c>
      <c r="P10187" s="5">
        <v>11</v>
      </c>
      <c r="Q10187" s="5">
        <v>141</v>
      </c>
      <c r="R10187" s="5">
        <v>11</v>
      </c>
      <c r="S10187" s="5">
        <v>132</v>
      </c>
    </row>
    <row r="10188" spans="1:19" ht="28" x14ac:dyDescent="0.15">
      <c r="A10188" s="2">
        <f>HYPERLINK("https://open-school.uspishnemisto.com.ua/school/530143/", 530143)</f>
        <v>530143</v>
      </c>
      <c r="B10188" s="3" t="s">
        <v>51557</v>
      </c>
      <c r="C10188" s="3" t="s">
        <v>31</v>
      </c>
      <c r="D10188" s="3" t="s">
        <v>32</v>
      </c>
      <c r="E10188" s="4" t="s">
        <v>22</v>
      </c>
      <c r="F10188" s="4" t="s">
        <v>51558</v>
      </c>
      <c r="G10188" s="4" t="s">
        <v>51559</v>
      </c>
      <c r="H10188" s="3" t="s">
        <v>50910</v>
      </c>
      <c r="I10188" s="3" t="s">
        <v>8127</v>
      </c>
      <c r="J10188" s="3" t="s">
        <v>51560</v>
      </c>
      <c r="K10188" s="3" t="s">
        <v>51561</v>
      </c>
      <c r="L10188" s="3"/>
      <c r="M10188" s="4"/>
      <c r="N10188" s="3" t="s">
        <v>37</v>
      </c>
      <c r="O10188" s="3" t="s">
        <v>52</v>
      </c>
      <c r="P10188" s="5">
        <v>11</v>
      </c>
      <c r="Q10188" s="5">
        <v>81</v>
      </c>
      <c r="R10188" s="5">
        <v>10</v>
      </c>
      <c r="S10188" s="5">
        <v>77</v>
      </c>
    </row>
    <row r="10189" spans="1:19" ht="28" x14ac:dyDescent="0.15">
      <c r="A10189" s="2">
        <f>HYPERLINK("https://open-school.uspishnemisto.com.ua/school/530144/", 530144)</f>
        <v>530144</v>
      </c>
      <c r="B10189" s="3" t="s">
        <v>51562</v>
      </c>
      <c r="C10189" s="3" t="s">
        <v>31</v>
      </c>
      <c r="D10189" s="3" t="s">
        <v>175</v>
      </c>
      <c r="E10189" s="4" t="s">
        <v>22</v>
      </c>
      <c r="F10189" s="4" t="s">
        <v>51563</v>
      </c>
      <c r="G10189" s="4" t="s">
        <v>51564</v>
      </c>
      <c r="H10189" s="3" t="s">
        <v>50910</v>
      </c>
      <c r="I10189" s="3" t="s">
        <v>1033</v>
      </c>
      <c r="J10189" s="3" t="s">
        <v>36991</v>
      </c>
      <c r="K10189" s="3" t="s">
        <v>51565</v>
      </c>
      <c r="L10189" s="3"/>
      <c r="M10189" s="4"/>
      <c r="N10189" s="3" t="s">
        <v>37</v>
      </c>
      <c r="O10189" s="3" t="s">
        <v>38</v>
      </c>
      <c r="P10189" s="5">
        <v>5</v>
      </c>
      <c r="Q10189" s="5">
        <v>43</v>
      </c>
      <c r="R10189" s="5">
        <v>5</v>
      </c>
      <c r="S10189" s="5">
        <v>40</v>
      </c>
    </row>
    <row r="10190" spans="1:19" ht="28" x14ac:dyDescent="0.15">
      <c r="A10190" s="2">
        <f>HYPERLINK("https://open-school.uspishnemisto.com.ua/school/530145/", 530145)</f>
        <v>530145</v>
      </c>
      <c r="B10190" s="3" t="s">
        <v>51566</v>
      </c>
      <c r="C10190" s="3" t="s">
        <v>31</v>
      </c>
      <c r="D10190" s="3" t="s">
        <v>32</v>
      </c>
      <c r="E10190" s="4" t="s">
        <v>22</v>
      </c>
      <c r="F10190" s="4" t="s">
        <v>51567</v>
      </c>
      <c r="G10190" s="4" t="s">
        <v>51568</v>
      </c>
      <c r="H10190" s="3" t="s">
        <v>50910</v>
      </c>
      <c r="I10190" s="3" t="s">
        <v>51569</v>
      </c>
      <c r="J10190" s="3" t="s">
        <v>2757</v>
      </c>
      <c r="K10190" s="3" t="s">
        <v>51570</v>
      </c>
      <c r="L10190" s="3" t="s">
        <v>51571</v>
      </c>
      <c r="M10190" s="4"/>
      <c r="N10190" s="3" t="s">
        <v>37</v>
      </c>
      <c r="O10190" s="3" t="s">
        <v>38</v>
      </c>
      <c r="P10190" s="5">
        <v>11</v>
      </c>
      <c r="Q10190" s="5">
        <v>152</v>
      </c>
      <c r="R10190" s="5">
        <v>11</v>
      </c>
      <c r="S10190" s="5">
        <v>138</v>
      </c>
    </row>
    <row r="10191" spans="1:19" ht="28" x14ac:dyDescent="0.15">
      <c r="A10191" s="2">
        <f>HYPERLINK("https://open-school.uspishnemisto.com.ua/school/530146/", 530146)</f>
        <v>530146</v>
      </c>
      <c r="B10191" s="3" t="s">
        <v>51572</v>
      </c>
      <c r="C10191" s="3" t="s">
        <v>31</v>
      </c>
      <c r="D10191" s="3" t="s">
        <v>60</v>
      </c>
      <c r="E10191" s="4" t="s">
        <v>22</v>
      </c>
      <c r="F10191" s="4" t="s">
        <v>51573</v>
      </c>
      <c r="G10191" s="4" t="s">
        <v>51574</v>
      </c>
      <c r="H10191" s="3" t="s">
        <v>50910</v>
      </c>
      <c r="I10191" s="3" t="s">
        <v>51575</v>
      </c>
      <c r="J10191" s="3" t="s">
        <v>3544</v>
      </c>
      <c r="K10191" s="3" t="s">
        <v>51576</v>
      </c>
      <c r="L10191" s="3"/>
      <c r="M10191" s="4"/>
      <c r="N10191" s="3" t="s">
        <v>37</v>
      </c>
      <c r="O10191" s="3" t="s">
        <v>52</v>
      </c>
      <c r="P10191" s="5">
        <v>0</v>
      </c>
      <c r="Q10191" s="5">
        <v>9</v>
      </c>
      <c r="R10191" s="5">
        <v>1</v>
      </c>
      <c r="S10191" s="5">
        <v>11</v>
      </c>
    </row>
    <row r="10192" spans="1:19" ht="28" x14ac:dyDescent="0.15">
      <c r="A10192" s="2">
        <f>HYPERLINK("https://open-school.uspishnemisto.com.ua/school/530147/", 530147)</f>
        <v>530147</v>
      </c>
      <c r="B10192" s="3" t="s">
        <v>51577</v>
      </c>
      <c r="C10192" s="3" t="s">
        <v>31</v>
      </c>
      <c r="D10192" s="3" t="s">
        <v>175</v>
      </c>
      <c r="E10192" s="4" t="s">
        <v>22</v>
      </c>
      <c r="F10192" s="4" t="s">
        <v>51578</v>
      </c>
      <c r="G10192" s="4" t="s">
        <v>51579</v>
      </c>
      <c r="H10192" s="3" t="s">
        <v>50910</v>
      </c>
      <c r="I10192" s="3" t="s">
        <v>51580</v>
      </c>
      <c r="J10192" s="3" t="s">
        <v>51581</v>
      </c>
      <c r="K10192" s="3"/>
      <c r="L10192" s="3"/>
      <c r="M10192" s="4"/>
      <c r="N10192" s="3" t="s">
        <v>37</v>
      </c>
      <c r="O10192" s="3" t="s">
        <v>70</v>
      </c>
      <c r="P10192" s="5">
        <v>4</v>
      </c>
      <c r="Q10192" s="5">
        <v>37</v>
      </c>
      <c r="R10192" s="5">
        <v>4</v>
      </c>
      <c r="S10192" s="5">
        <v>36</v>
      </c>
    </row>
    <row r="10193" spans="1:19" ht="28" x14ac:dyDescent="0.15">
      <c r="A10193" s="2">
        <f>HYPERLINK("https://open-school.uspishnemisto.com.ua/school/530148/", 530148)</f>
        <v>530148</v>
      </c>
      <c r="B10193" s="3" t="s">
        <v>51582</v>
      </c>
      <c r="C10193" s="3" t="s">
        <v>31</v>
      </c>
      <c r="D10193" s="3" t="s">
        <v>60</v>
      </c>
      <c r="E10193" s="4" t="s">
        <v>22</v>
      </c>
      <c r="F10193" s="4" t="s">
        <v>51583</v>
      </c>
      <c r="G10193" s="4" t="s">
        <v>51584</v>
      </c>
      <c r="H10193" s="3" t="s">
        <v>50910</v>
      </c>
      <c r="I10193" s="3" t="s">
        <v>51585</v>
      </c>
      <c r="J10193" s="3" t="s">
        <v>51586</v>
      </c>
      <c r="K10193" s="3" t="s">
        <v>51587</v>
      </c>
      <c r="L10193" s="3"/>
      <c r="M10193" s="4"/>
      <c r="N10193" s="3" t="s">
        <v>37</v>
      </c>
      <c r="O10193" s="3" t="s">
        <v>52</v>
      </c>
      <c r="P10193" s="5">
        <v>0</v>
      </c>
      <c r="Q10193" s="5">
        <v>7</v>
      </c>
      <c r="R10193" s="5">
        <v>0</v>
      </c>
      <c r="S10193" s="5">
        <v>8</v>
      </c>
    </row>
    <row r="10194" spans="1:19" ht="28" x14ac:dyDescent="0.15">
      <c r="A10194" s="2">
        <f>HYPERLINK("https://open-school.uspishnemisto.com.ua/school/530149/", 530149)</f>
        <v>530149</v>
      </c>
      <c r="B10194" s="3" t="s">
        <v>51588</v>
      </c>
      <c r="C10194" s="3" t="s">
        <v>31</v>
      </c>
      <c r="D10194" s="3" t="s">
        <v>32</v>
      </c>
      <c r="E10194" s="4" t="s">
        <v>22</v>
      </c>
      <c r="F10194" s="4" t="s">
        <v>51589</v>
      </c>
      <c r="G10194" s="4" t="s">
        <v>51590</v>
      </c>
      <c r="H10194" s="3" t="s">
        <v>50910</v>
      </c>
      <c r="I10194" s="3" t="s">
        <v>51591</v>
      </c>
      <c r="J10194" s="3" t="s">
        <v>51592</v>
      </c>
      <c r="K10194" s="3" t="s">
        <v>51593</v>
      </c>
      <c r="L10194" s="3"/>
      <c r="M10194" s="4"/>
      <c r="N10194" s="3" t="s">
        <v>37</v>
      </c>
      <c r="O10194" s="3" t="s">
        <v>38</v>
      </c>
      <c r="P10194" s="5">
        <v>8</v>
      </c>
      <c r="Q10194" s="5">
        <v>65</v>
      </c>
      <c r="R10194" s="5">
        <v>9</v>
      </c>
      <c r="S10194" s="5">
        <v>74</v>
      </c>
    </row>
    <row r="10195" spans="1:19" ht="28" x14ac:dyDescent="0.15">
      <c r="A10195" s="2">
        <f>HYPERLINK("https://open-school.uspishnemisto.com.ua/school/530150/", 530150)</f>
        <v>530150</v>
      </c>
      <c r="B10195" s="3" t="s">
        <v>51594</v>
      </c>
      <c r="C10195" s="3" t="s">
        <v>31</v>
      </c>
      <c r="D10195" s="3" t="s">
        <v>175</v>
      </c>
      <c r="E10195" s="4" t="s">
        <v>22</v>
      </c>
      <c r="F10195" s="4" t="s">
        <v>51595</v>
      </c>
      <c r="G10195" s="4" t="s">
        <v>51596</v>
      </c>
      <c r="H10195" s="3" t="s">
        <v>50910</v>
      </c>
      <c r="I10195" s="3" t="s">
        <v>31802</v>
      </c>
      <c r="J10195" s="3" t="s">
        <v>51597</v>
      </c>
      <c r="K10195" s="3" t="s">
        <v>51598</v>
      </c>
      <c r="L10195" s="3"/>
      <c r="M10195" s="4"/>
      <c r="N10195" s="3" t="s">
        <v>37</v>
      </c>
      <c r="O10195" s="3" t="s">
        <v>52</v>
      </c>
      <c r="P10195" s="5">
        <v>5</v>
      </c>
      <c r="Q10195" s="5">
        <v>39</v>
      </c>
      <c r="R10195" s="5">
        <v>6</v>
      </c>
      <c r="S10195" s="5">
        <v>42</v>
      </c>
    </row>
    <row r="10196" spans="1:19" ht="28" x14ac:dyDescent="0.15">
      <c r="A10196" s="2">
        <f>HYPERLINK("https://open-school.uspishnemisto.com.ua/school/530151/", 530151)</f>
        <v>530151</v>
      </c>
      <c r="B10196" s="3" t="s">
        <v>51599</v>
      </c>
      <c r="C10196" s="3" t="s">
        <v>244</v>
      </c>
      <c r="D10196" s="3" t="s">
        <v>32</v>
      </c>
      <c r="E10196" s="4" t="s">
        <v>22</v>
      </c>
      <c r="F10196" s="4" t="s">
        <v>51600</v>
      </c>
      <c r="G10196" s="4" t="s">
        <v>51601</v>
      </c>
      <c r="H10196" s="3" t="s">
        <v>50910</v>
      </c>
      <c r="I10196" s="3" t="s">
        <v>51602</v>
      </c>
      <c r="J10196" s="3" t="s">
        <v>1612</v>
      </c>
      <c r="K10196" s="3" t="s">
        <v>51603</v>
      </c>
      <c r="L10196" s="3"/>
      <c r="M10196" s="4"/>
      <c r="N10196" s="3" t="s">
        <v>37</v>
      </c>
      <c r="O10196" s="3" t="s">
        <v>38</v>
      </c>
      <c r="P10196" s="5">
        <v>11</v>
      </c>
      <c r="Q10196" s="5">
        <v>85</v>
      </c>
      <c r="R10196" s="5">
        <v>11</v>
      </c>
      <c r="S10196" s="5">
        <v>101</v>
      </c>
    </row>
    <row r="10197" spans="1:19" ht="28" x14ac:dyDescent="0.15">
      <c r="A10197" s="2">
        <f>HYPERLINK("https://open-school.uspishnemisto.com.ua/school/530152/", 530152)</f>
        <v>530152</v>
      </c>
      <c r="B10197" s="3" t="s">
        <v>51604</v>
      </c>
      <c r="C10197" s="3" t="s">
        <v>31</v>
      </c>
      <c r="D10197" s="3" t="s">
        <v>175</v>
      </c>
      <c r="E10197" s="4" t="s">
        <v>22</v>
      </c>
      <c r="F10197" s="4" t="s">
        <v>51605</v>
      </c>
      <c r="G10197" s="4" t="s">
        <v>51606</v>
      </c>
      <c r="H10197" s="3" t="s">
        <v>50910</v>
      </c>
      <c r="I10197" s="3" t="s">
        <v>51607</v>
      </c>
      <c r="J10197" s="3" t="s">
        <v>566</v>
      </c>
      <c r="K10197" s="3" t="s">
        <v>51608</v>
      </c>
      <c r="L10197" s="3"/>
      <c r="M10197" s="4"/>
      <c r="N10197" s="3" t="s">
        <v>37</v>
      </c>
      <c r="O10197" s="3" t="s">
        <v>38</v>
      </c>
      <c r="P10197" s="5">
        <v>9</v>
      </c>
      <c r="Q10197" s="5">
        <v>60</v>
      </c>
      <c r="R10197" s="5">
        <v>9</v>
      </c>
      <c r="S10197" s="5">
        <v>61</v>
      </c>
    </row>
    <row r="10198" spans="1:19" ht="42" x14ac:dyDescent="0.15">
      <c r="A10198" s="2">
        <f>HYPERLINK("https://open-school.uspishnemisto.com.ua/school/530153/", 530153)</f>
        <v>530153</v>
      </c>
      <c r="B10198" s="3" t="s">
        <v>51609</v>
      </c>
      <c r="C10198" s="3" t="s">
        <v>31</v>
      </c>
      <c r="D10198" s="3" t="s">
        <v>32</v>
      </c>
      <c r="E10198" s="4" t="s">
        <v>22</v>
      </c>
      <c r="F10198" s="4" t="s">
        <v>51610</v>
      </c>
      <c r="G10198" s="4" t="s">
        <v>51611</v>
      </c>
      <c r="H10198" s="3" t="s">
        <v>50910</v>
      </c>
      <c r="I10198" s="3" t="s">
        <v>34180</v>
      </c>
      <c r="J10198" s="3" t="s">
        <v>51612</v>
      </c>
      <c r="K10198" s="3" t="s">
        <v>51613</v>
      </c>
      <c r="L10198" s="3" t="s">
        <v>51614</v>
      </c>
      <c r="M10198" s="4"/>
      <c r="N10198" s="3" t="s">
        <v>37</v>
      </c>
      <c r="O10198" s="3" t="s">
        <v>38</v>
      </c>
      <c r="P10198" s="5">
        <v>11</v>
      </c>
      <c r="Q10198" s="5">
        <v>196</v>
      </c>
      <c r="R10198" s="5">
        <v>11</v>
      </c>
      <c r="S10198" s="5">
        <v>188</v>
      </c>
    </row>
    <row r="10199" spans="1:19" ht="28" x14ac:dyDescent="0.15">
      <c r="A10199" s="2">
        <f>HYPERLINK("https://open-school.uspishnemisto.com.ua/school/530154/", 530154)</f>
        <v>530154</v>
      </c>
      <c r="B10199" s="3" t="s">
        <v>51615</v>
      </c>
      <c r="C10199" s="3" t="s">
        <v>31</v>
      </c>
      <c r="D10199" s="3" t="s">
        <v>175</v>
      </c>
      <c r="E10199" s="4" t="s">
        <v>22</v>
      </c>
      <c r="F10199" s="4" t="s">
        <v>51616</v>
      </c>
      <c r="G10199" s="4" t="s">
        <v>51617</v>
      </c>
      <c r="H10199" s="3" t="s">
        <v>50910</v>
      </c>
      <c r="I10199" s="3" t="s">
        <v>51618</v>
      </c>
      <c r="J10199" s="3" t="s">
        <v>51619</v>
      </c>
      <c r="K10199" s="3" t="s">
        <v>51620</v>
      </c>
      <c r="L10199" s="3"/>
      <c r="M10199" s="4"/>
      <c r="N10199" s="3" t="s">
        <v>37</v>
      </c>
      <c r="O10199" s="3" t="s">
        <v>46</v>
      </c>
      <c r="P10199" s="5">
        <v>2</v>
      </c>
      <c r="Q10199" s="5">
        <v>28</v>
      </c>
      <c r="R10199" s="5">
        <v>1</v>
      </c>
      <c r="S10199" s="5">
        <v>25</v>
      </c>
    </row>
    <row r="10200" spans="1:19" ht="28" x14ac:dyDescent="0.15">
      <c r="A10200" s="2">
        <f>HYPERLINK("https://open-school.uspishnemisto.com.ua/school/530155/", 530155)</f>
        <v>530155</v>
      </c>
      <c r="B10200" s="3" t="s">
        <v>51621</v>
      </c>
      <c r="C10200" s="3" t="s">
        <v>31</v>
      </c>
      <c r="D10200" s="3" t="s">
        <v>175</v>
      </c>
      <c r="E10200" s="4" t="s">
        <v>22</v>
      </c>
      <c r="F10200" s="4" t="s">
        <v>51622</v>
      </c>
      <c r="G10200" s="4" t="s">
        <v>51623</v>
      </c>
      <c r="H10200" s="3" t="s">
        <v>50910</v>
      </c>
      <c r="I10200" s="3" t="s">
        <v>51624</v>
      </c>
      <c r="J10200" s="3" t="s">
        <v>33072</v>
      </c>
      <c r="K10200" s="3" t="s">
        <v>51625</v>
      </c>
      <c r="L10200" s="3" t="s">
        <v>51626</v>
      </c>
      <c r="M10200" s="4"/>
      <c r="N10200" s="3" t="s">
        <v>37</v>
      </c>
      <c r="O10200" s="3" t="s">
        <v>112</v>
      </c>
      <c r="P10200" s="5">
        <v>9</v>
      </c>
      <c r="Q10200" s="5">
        <v>73</v>
      </c>
      <c r="R10200" s="5">
        <v>8</v>
      </c>
      <c r="S10200" s="5">
        <v>73</v>
      </c>
    </row>
    <row r="10201" spans="1:19" ht="28" x14ac:dyDescent="0.15">
      <c r="A10201" s="2">
        <f>HYPERLINK("https://open-school.uspishnemisto.com.ua/school/530156/", 530156)</f>
        <v>530156</v>
      </c>
      <c r="B10201" s="3" t="s">
        <v>51627</v>
      </c>
      <c r="C10201" s="3" t="s">
        <v>31</v>
      </c>
      <c r="D10201" s="3" t="s">
        <v>32</v>
      </c>
      <c r="E10201" s="4" t="s">
        <v>22</v>
      </c>
      <c r="F10201" s="4" t="s">
        <v>51628</v>
      </c>
      <c r="G10201" s="4" t="s">
        <v>51629</v>
      </c>
      <c r="H10201" s="3" t="s">
        <v>50910</v>
      </c>
      <c r="I10201" s="3" t="s">
        <v>51630</v>
      </c>
      <c r="J10201" s="3" t="s">
        <v>554</v>
      </c>
      <c r="K10201" s="3" t="s">
        <v>51631</v>
      </c>
      <c r="L10201" s="3" t="s">
        <v>51632</v>
      </c>
      <c r="M10201" s="4"/>
      <c r="N10201" s="3" t="s">
        <v>37</v>
      </c>
      <c r="O10201" s="3" t="s">
        <v>38</v>
      </c>
      <c r="P10201" s="5">
        <v>10</v>
      </c>
      <c r="Q10201" s="5">
        <v>80</v>
      </c>
      <c r="R10201" s="5">
        <v>9</v>
      </c>
      <c r="S10201" s="5">
        <v>79</v>
      </c>
    </row>
    <row r="10202" spans="1:19" ht="28" x14ac:dyDescent="0.15">
      <c r="A10202" s="2">
        <f>HYPERLINK("https://open-school.uspishnemisto.com.ua/school/530157/", 530157)</f>
        <v>530157</v>
      </c>
      <c r="B10202" s="3" t="s">
        <v>51633</v>
      </c>
      <c r="C10202" s="3" t="s">
        <v>31</v>
      </c>
      <c r="D10202" s="3" t="s">
        <v>32</v>
      </c>
      <c r="E10202" s="4" t="s">
        <v>22</v>
      </c>
      <c r="F10202" s="4" t="s">
        <v>51634</v>
      </c>
      <c r="G10202" s="4" t="s">
        <v>51635</v>
      </c>
      <c r="H10202" s="3" t="s">
        <v>50910</v>
      </c>
      <c r="I10202" s="3" t="s">
        <v>13213</v>
      </c>
      <c r="J10202" s="3" t="s">
        <v>19901</v>
      </c>
      <c r="K10202" s="3" t="s">
        <v>51636</v>
      </c>
      <c r="L10202" s="3" t="s">
        <v>51637</v>
      </c>
      <c r="M10202" s="4"/>
      <c r="N10202" s="3" t="s">
        <v>37</v>
      </c>
      <c r="O10202" s="3" t="s">
        <v>52</v>
      </c>
      <c r="P10202" s="5">
        <v>11</v>
      </c>
      <c r="Q10202" s="5">
        <v>116</v>
      </c>
      <c r="R10202" s="5">
        <v>11</v>
      </c>
      <c r="S10202" s="5">
        <v>123</v>
      </c>
    </row>
    <row r="10203" spans="1:19" ht="42" x14ac:dyDescent="0.15">
      <c r="A10203" s="2">
        <f>HYPERLINK("https://open-school.uspishnemisto.com.ua/school/530158/", 530158)</f>
        <v>530158</v>
      </c>
      <c r="B10203" s="3" t="s">
        <v>51638</v>
      </c>
      <c r="C10203" s="3" t="s">
        <v>31</v>
      </c>
      <c r="D10203" s="3" t="s">
        <v>175</v>
      </c>
      <c r="E10203" s="4" t="s">
        <v>22</v>
      </c>
      <c r="F10203" s="4" t="s">
        <v>51639</v>
      </c>
      <c r="G10203" s="4" t="s">
        <v>51640</v>
      </c>
      <c r="H10203" s="3" t="s">
        <v>50910</v>
      </c>
      <c r="I10203" s="3" t="s">
        <v>51641</v>
      </c>
      <c r="J10203" s="3" t="s">
        <v>6621</v>
      </c>
      <c r="K10203" s="3" t="s">
        <v>51642</v>
      </c>
      <c r="L10203" s="3" t="s">
        <v>51643</v>
      </c>
      <c r="M10203" s="4"/>
      <c r="N10203" s="3" t="s">
        <v>37</v>
      </c>
      <c r="O10203" s="3" t="s">
        <v>52</v>
      </c>
      <c r="P10203" s="5">
        <v>9</v>
      </c>
      <c r="Q10203" s="5">
        <v>65</v>
      </c>
      <c r="R10203" s="5">
        <v>9</v>
      </c>
      <c r="S10203" s="5">
        <v>69</v>
      </c>
    </row>
    <row r="10204" spans="1:19" ht="28" x14ac:dyDescent="0.15">
      <c r="A10204" s="2">
        <f>HYPERLINK("https://open-school.uspishnemisto.com.ua/school/530159/", 530159)</f>
        <v>530159</v>
      </c>
      <c r="B10204" s="3" t="s">
        <v>51644</v>
      </c>
      <c r="C10204" s="3" t="s">
        <v>31</v>
      </c>
      <c r="D10204" s="3" t="s">
        <v>175</v>
      </c>
      <c r="E10204" s="4" t="s">
        <v>22</v>
      </c>
      <c r="F10204" s="4" t="s">
        <v>51639</v>
      </c>
      <c r="G10204" s="4" t="s">
        <v>51645</v>
      </c>
      <c r="H10204" s="3" t="s">
        <v>50910</v>
      </c>
      <c r="I10204" s="3" t="s">
        <v>51646</v>
      </c>
      <c r="J10204" s="3" t="s">
        <v>2662</v>
      </c>
      <c r="K10204" s="3" t="s">
        <v>51647</v>
      </c>
      <c r="L10204" s="3" t="s">
        <v>51648</v>
      </c>
      <c r="M10204" s="4"/>
      <c r="N10204" s="3" t="s">
        <v>37</v>
      </c>
      <c r="O10204" s="3" t="s">
        <v>46</v>
      </c>
      <c r="P10204" s="5">
        <v>3</v>
      </c>
      <c r="Q10204" s="5">
        <v>26</v>
      </c>
      <c r="R10204" s="5">
        <v>3</v>
      </c>
      <c r="S10204" s="5">
        <v>27</v>
      </c>
    </row>
    <row r="10205" spans="1:19" ht="28" x14ac:dyDescent="0.15">
      <c r="A10205" s="2">
        <f>HYPERLINK("https://open-school.uspishnemisto.com.ua/school/530160/", 530160)</f>
        <v>530160</v>
      </c>
      <c r="B10205" s="3" t="s">
        <v>51649</v>
      </c>
      <c r="C10205" s="3" t="s">
        <v>31</v>
      </c>
      <c r="D10205" s="3" t="s">
        <v>175</v>
      </c>
      <c r="E10205" s="4" t="s">
        <v>22</v>
      </c>
      <c r="F10205" s="4" t="s">
        <v>51650</v>
      </c>
      <c r="G10205" s="4" t="s">
        <v>51651</v>
      </c>
      <c r="H10205" s="3" t="s">
        <v>50910</v>
      </c>
      <c r="I10205" s="3" t="s">
        <v>15755</v>
      </c>
      <c r="J10205" s="3" t="s">
        <v>6312</v>
      </c>
      <c r="K10205" s="3" t="s">
        <v>51652</v>
      </c>
      <c r="L10205" s="3" t="s">
        <v>51653</v>
      </c>
      <c r="M10205" s="4"/>
      <c r="N10205" s="3" t="s">
        <v>37</v>
      </c>
      <c r="O10205" s="3" t="s">
        <v>52</v>
      </c>
      <c r="P10205" s="5">
        <v>2</v>
      </c>
      <c r="Q10205" s="5">
        <v>32</v>
      </c>
      <c r="R10205" s="5">
        <v>1</v>
      </c>
      <c r="S10205" s="5">
        <v>28</v>
      </c>
    </row>
    <row r="10206" spans="1:19" ht="42" x14ac:dyDescent="0.15">
      <c r="A10206" s="2">
        <f>HYPERLINK("https://open-school.uspishnemisto.com.ua/school/530161/", 530161)</f>
        <v>530161</v>
      </c>
      <c r="B10206" s="3" t="s">
        <v>51654</v>
      </c>
      <c r="C10206" s="3" t="s">
        <v>31</v>
      </c>
      <c r="D10206" s="3" t="s">
        <v>32</v>
      </c>
      <c r="E10206" s="4" t="s">
        <v>22</v>
      </c>
      <c r="F10206" s="4" t="s">
        <v>51655</v>
      </c>
      <c r="G10206" s="4" t="s">
        <v>51656</v>
      </c>
      <c r="H10206" s="3" t="s">
        <v>50910</v>
      </c>
      <c r="I10206" s="3" t="s">
        <v>51657</v>
      </c>
      <c r="J10206" s="3" t="s">
        <v>51658</v>
      </c>
      <c r="K10206" s="3" t="s">
        <v>51659</v>
      </c>
      <c r="L10206" s="3"/>
      <c r="M10206" s="4"/>
      <c r="N10206" s="3" t="s">
        <v>37</v>
      </c>
      <c r="O10206" s="3" t="s">
        <v>52</v>
      </c>
      <c r="P10206" s="5">
        <v>12</v>
      </c>
      <c r="Q10206" s="5">
        <v>238</v>
      </c>
      <c r="R10206" s="5">
        <v>12</v>
      </c>
      <c r="S10206" s="5">
        <v>232</v>
      </c>
    </row>
    <row r="10207" spans="1:19" ht="28" x14ac:dyDescent="0.15">
      <c r="A10207" s="2">
        <f>HYPERLINK("https://open-school.uspishnemisto.com.ua/school/530162/", 530162)</f>
        <v>530162</v>
      </c>
      <c r="B10207" s="3" t="s">
        <v>51660</v>
      </c>
      <c r="C10207" s="3" t="s">
        <v>54</v>
      </c>
      <c r="D10207" s="3" t="s">
        <v>60</v>
      </c>
      <c r="E10207" s="4" t="s">
        <v>22</v>
      </c>
      <c r="F10207" s="4" t="s">
        <v>51661</v>
      </c>
      <c r="G10207" s="4" t="s">
        <v>51662</v>
      </c>
      <c r="H10207" s="3" t="s">
        <v>50910</v>
      </c>
      <c r="I10207" s="3" t="s">
        <v>51663</v>
      </c>
      <c r="J10207" s="3" t="s">
        <v>51664</v>
      </c>
      <c r="K10207" s="3" t="s">
        <v>51665</v>
      </c>
      <c r="L10207" s="3"/>
      <c r="M10207" s="4"/>
      <c r="N10207" s="3" t="s">
        <v>37</v>
      </c>
      <c r="O10207" s="3" t="s">
        <v>52</v>
      </c>
      <c r="P10207" s="5">
        <v>0</v>
      </c>
      <c r="Q10207" s="5">
        <v>4</v>
      </c>
      <c r="R10207" s="5">
        <v>0</v>
      </c>
      <c r="S10207" s="5">
        <v>5</v>
      </c>
    </row>
    <row r="10208" spans="1:19" ht="28" x14ac:dyDescent="0.15">
      <c r="A10208" s="2">
        <f>HYPERLINK("https://open-school.uspishnemisto.com.ua/school/530163/", 530163)</f>
        <v>530163</v>
      </c>
      <c r="B10208" s="3" t="s">
        <v>51666</v>
      </c>
      <c r="C10208" s="3" t="s">
        <v>31</v>
      </c>
      <c r="D10208" s="3" t="s">
        <v>32</v>
      </c>
      <c r="E10208" s="4" t="s">
        <v>22</v>
      </c>
      <c r="F10208" s="4" t="s">
        <v>1885</v>
      </c>
      <c r="G10208" s="4" t="s">
        <v>51667</v>
      </c>
      <c r="H10208" s="3" t="s">
        <v>50910</v>
      </c>
      <c r="I10208" s="3" t="s">
        <v>1308</v>
      </c>
      <c r="J10208" s="3" t="s">
        <v>48443</v>
      </c>
      <c r="K10208" s="3" t="s">
        <v>51668</v>
      </c>
      <c r="L10208" s="3" t="s">
        <v>51669</v>
      </c>
      <c r="M10208" s="4"/>
      <c r="N10208" s="3" t="s">
        <v>37</v>
      </c>
      <c r="O10208" s="3" t="s">
        <v>52</v>
      </c>
      <c r="P10208" s="5">
        <v>10</v>
      </c>
      <c r="Q10208" s="5">
        <v>87</v>
      </c>
      <c r="R10208" s="5">
        <v>10</v>
      </c>
      <c r="S10208" s="5">
        <v>93</v>
      </c>
    </row>
    <row r="10209" spans="1:19" ht="42" x14ac:dyDescent="0.15">
      <c r="A10209" s="2">
        <f>HYPERLINK("https://open-school.uspishnemisto.com.ua/school/530164/", 530164)</f>
        <v>530164</v>
      </c>
      <c r="B10209" s="3" t="s">
        <v>51670</v>
      </c>
      <c r="C10209" s="3" t="s">
        <v>31</v>
      </c>
      <c r="D10209" s="3" t="s">
        <v>32</v>
      </c>
      <c r="E10209" s="4" t="s">
        <v>22</v>
      </c>
      <c r="F10209" s="4" t="s">
        <v>51671</v>
      </c>
      <c r="G10209" s="4" t="s">
        <v>51672</v>
      </c>
      <c r="H10209" s="3" t="s">
        <v>50910</v>
      </c>
      <c r="I10209" s="3" t="s">
        <v>51673</v>
      </c>
      <c r="J10209" s="3" t="s">
        <v>51674</v>
      </c>
      <c r="K10209" s="3" t="s">
        <v>51675</v>
      </c>
      <c r="L10209" s="3" t="s">
        <v>51676</v>
      </c>
      <c r="M10209" s="4"/>
      <c r="N10209" s="3" t="s">
        <v>37</v>
      </c>
      <c r="O10209" s="3" t="s">
        <v>38</v>
      </c>
      <c r="P10209" s="5">
        <v>11</v>
      </c>
      <c r="Q10209" s="5">
        <v>193</v>
      </c>
      <c r="R10209" s="5">
        <v>11</v>
      </c>
      <c r="S10209" s="5">
        <v>190</v>
      </c>
    </row>
    <row r="10210" spans="1:19" ht="28" x14ac:dyDescent="0.15">
      <c r="A10210" s="2">
        <f>HYPERLINK("https://open-school.uspishnemisto.com.ua/school/530165/", 530165)</f>
        <v>530165</v>
      </c>
      <c r="B10210" s="3" t="s">
        <v>51677</v>
      </c>
      <c r="C10210" s="3" t="s">
        <v>31</v>
      </c>
      <c r="D10210" s="3" t="s">
        <v>175</v>
      </c>
      <c r="E10210" s="4" t="s">
        <v>22</v>
      </c>
      <c r="F10210" s="4" t="s">
        <v>51678</v>
      </c>
      <c r="G10210" s="4" t="s">
        <v>51679</v>
      </c>
      <c r="H10210" s="3" t="s">
        <v>50910</v>
      </c>
      <c r="I10210" s="3" t="s">
        <v>51680</v>
      </c>
      <c r="J10210" s="3" t="s">
        <v>51681</v>
      </c>
      <c r="K10210" s="3" t="s">
        <v>51682</v>
      </c>
      <c r="L10210" s="3"/>
      <c r="M10210" s="4"/>
      <c r="N10210" s="3" t="s">
        <v>37</v>
      </c>
      <c r="O10210" s="3" t="s">
        <v>38</v>
      </c>
      <c r="P10210" s="5">
        <v>2</v>
      </c>
      <c r="Q10210" s="5">
        <v>27</v>
      </c>
      <c r="R10210" s="5">
        <v>2</v>
      </c>
      <c r="S10210" s="5">
        <v>29</v>
      </c>
    </row>
    <row r="10211" spans="1:19" ht="28" x14ac:dyDescent="0.15">
      <c r="A10211" s="2">
        <f>HYPERLINK("https://open-school.uspishnemisto.com.ua/school/530166/", 530166)</f>
        <v>530166</v>
      </c>
      <c r="B10211" s="3" t="s">
        <v>51683</v>
      </c>
      <c r="C10211" s="3" t="s">
        <v>31</v>
      </c>
      <c r="D10211" s="3" t="s">
        <v>32</v>
      </c>
      <c r="E10211" s="4" t="s">
        <v>22</v>
      </c>
      <c r="F10211" s="4" t="s">
        <v>51684</v>
      </c>
      <c r="G10211" s="4" t="s">
        <v>51685</v>
      </c>
      <c r="H10211" s="3" t="s">
        <v>50910</v>
      </c>
      <c r="I10211" s="3" t="s">
        <v>51686</v>
      </c>
      <c r="J10211" s="3" t="s">
        <v>51687</v>
      </c>
      <c r="K10211" s="3" t="s">
        <v>35010</v>
      </c>
      <c r="L10211" s="3" t="s">
        <v>51688</v>
      </c>
      <c r="M10211" s="4"/>
      <c r="N10211" s="3" t="s">
        <v>37</v>
      </c>
      <c r="O10211" s="3" t="s">
        <v>52</v>
      </c>
      <c r="P10211" s="5">
        <v>10</v>
      </c>
      <c r="Q10211" s="5">
        <v>132</v>
      </c>
      <c r="R10211" s="5">
        <v>11</v>
      </c>
      <c r="S10211" s="5">
        <v>122</v>
      </c>
    </row>
    <row r="10212" spans="1:19" ht="28" x14ac:dyDescent="0.15">
      <c r="A10212" s="2">
        <f>HYPERLINK("https://open-school.uspishnemisto.com.ua/school/530167/", 530167)</f>
        <v>530167</v>
      </c>
      <c r="B10212" s="3" t="s">
        <v>51689</v>
      </c>
      <c r="C10212" s="3" t="s">
        <v>31</v>
      </c>
      <c r="D10212" s="3" t="s">
        <v>32</v>
      </c>
      <c r="E10212" s="4" t="s">
        <v>22</v>
      </c>
      <c r="F10212" s="4" t="s">
        <v>51690</v>
      </c>
      <c r="G10212" s="4" t="s">
        <v>51691</v>
      </c>
      <c r="H10212" s="3" t="s">
        <v>50910</v>
      </c>
      <c r="I10212" s="3" t="s">
        <v>51692</v>
      </c>
      <c r="J10212" s="3" t="s">
        <v>761</v>
      </c>
      <c r="K10212" s="3" t="s">
        <v>51693</v>
      </c>
      <c r="L10212" s="3" t="s">
        <v>51694</v>
      </c>
      <c r="M10212" s="4"/>
      <c r="N10212" s="3" t="s">
        <v>37</v>
      </c>
      <c r="O10212" s="3" t="s">
        <v>46</v>
      </c>
      <c r="P10212" s="5">
        <v>7</v>
      </c>
      <c r="Q10212" s="5">
        <v>50</v>
      </c>
      <c r="R10212" s="5">
        <v>7</v>
      </c>
      <c r="S10212" s="5">
        <v>54</v>
      </c>
    </row>
    <row r="10213" spans="1:19" ht="28" x14ac:dyDescent="0.15">
      <c r="A10213" s="2">
        <f>HYPERLINK("https://open-school.uspishnemisto.com.ua/school/530168/", 530168)</f>
        <v>530168</v>
      </c>
      <c r="B10213" s="3" t="s">
        <v>51695</v>
      </c>
      <c r="C10213" s="3" t="s">
        <v>181</v>
      </c>
      <c r="D10213" s="3" t="s">
        <v>175</v>
      </c>
      <c r="E10213" s="4" t="s">
        <v>22</v>
      </c>
      <c r="F10213" s="4" t="s">
        <v>51690</v>
      </c>
      <c r="G10213" s="4" t="s">
        <v>51691</v>
      </c>
      <c r="H10213" s="3" t="s">
        <v>50910</v>
      </c>
      <c r="I10213" s="3" t="s">
        <v>51692</v>
      </c>
      <c r="J10213" s="3" t="s">
        <v>51696</v>
      </c>
      <c r="K10213" s="3" t="s">
        <v>51697</v>
      </c>
      <c r="L10213" s="3"/>
      <c r="M10213" s="4" t="s">
        <v>51698</v>
      </c>
      <c r="N10213" s="3" t="s">
        <v>37</v>
      </c>
      <c r="O10213" s="3"/>
      <c r="P10213" s="5">
        <v>11</v>
      </c>
      <c r="Q10213" s="5">
        <v>101</v>
      </c>
      <c r="R10213" s="5">
        <v>10</v>
      </c>
      <c r="S10213" s="5">
        <v>92</v>
      </c>
    </row>
    <row r="10214" spans="1:19" ht="28" x14ac:dyDescent="0.15">
      <c r="A10214" s="2">
        <f>HYPERLINK("https://open-school.uspishnemisto.com.ua/school/530169/", 530169)</f>
        <v>530169</v>
      </c>
      <c r="B10214" s="3" t="s">
        <v>51699</v>
      </c>
      <c r="C10214" s="3" t="s">
        <v>31</v>
      </c>
      <c r="D10214" s="3" t="s">
        <v>175</v>
      </c>
      <c r="E10214" s="4" t="s">
        <v>22</v>
      </c>
      <c r="F10214" s="4" t="s">
        <v>51700</v>
      </c>
      <c r="G10214" s="4" t="s">
        <v>51701</v>
      </c>
      <c r="H10214" s="3" t="s">
        <v>50910</v>
      </c>
      <c r="I10214" s="3" t="s">
        <v>51702</v>
      </c>
      <c r="J10214" s="3" t="s">
        <v>51703</v>
      </c>
      <c r="K10214" s="3" t="s">
        <v>51704</v>
      </c>
      <c r="L10214" s="3"/>
      <c r="M10214" s="4"/>
      <c r="N10214" s="3" t="s">
        <v>37</v>
      </c>
      <c r="O10214" s="3" t="s">
        <v>70</v>
      </c>
      <c r="P10214" s="5">
        <v>5</v>
      </c>
      <c r="Q10214" s="5">
        <v>42</v>
      </c>
      <c r="R10214" s="5">
        <v>4</v>
      </c>
      <c r="S10214" s="5">
        <v>36</v>
      </c>
    </row>
    <row r="10215" spans="1:19" ht="28" x14ac:dyDescent="0.15">
      <c r="A10215" s="2">
        <f>HYPERLINK("https://open-school.uspishnemisto.com.ua/school/530170/", 530170)</f>
        <v>530170</v>
      </c>
      <c r="B10215" s="3" t="s">
        <v>51705</v>
      </c>
      <c r="C10215" s="3" t="s">
        <v>31</v>
      </c>
      <c r="D10215" s="3" t="s">
        <v>32</v>
      </c>
      <c r="E10215" s="4" t="s">
        <v>22</v>
      </c>
      <c r="F10215" s="4" t="s">
        <v>51706</v>
      </c>
      <c r="G10215" s="4" t="s">
        <v>51707</v>
      </c>
      <c r="H10215" s="3" t="s">
        <v>50910</v>
      </c>
      <c r="I10215" s="3" t="s">
        <v>49643</v>
      </c>
      <c r="J10215" s="3" t="s">
        <v>51708</v>
      </c>
      <c r="K10215" s="3" t="s">
        <v>51709</v>
      </c>
      <c r="L10215" s="3" t="s">
        <v>51710</v>
      </c>
      <c r="M10215" s="4"/>
      <c r="N10215" s="3" t="s">
        <v>37</v>
      </c>
      <c r="O10215" s="3" t="s">
        <v>38</v>
      </c>
      <c r="P10215" s="5">
        <v>8</v>
      </c>
      <c r="Q10215" s="5">
        <v>69</v>
      </c>
      <c r="R10215" s="5">
        <v>8</v>
      </c>
      <c r="S10215" s="5">
        <v>64</v>
      </c>
    </row>
    <row r="10216" spans="1:19" ht="42" x14ac:dyDescent="0.15">
      <c r="A10216" s="2">
        <f>HYPERLINK("https://open-school.uspishnemisto.com.ua/school/530171/", 530171)</f>
        <v>530171</v>
      </c>
      <c r="B10216" s="3" t="s">
        <v>51711</v>
      </c>
      <c r="C10216" s="3" t="s">
        <v>244</v>
      </c>
      <c r="D10216" s="3" t="s">
        <v>32</v>
      </c>
      <c r="E10216" s="4" t="s">
        <v>22</v>
      </c>
      <c r="F10216" s="4" t="s">
        <v>51712</v>
      </c>
      <c r="G10216" s="4" t="s">
        <v>51713</v>
      </c>
      <c r="H10216" s="3" t="s">
        <v>50910</v>
      </c>
      <c r="I10216" s="3" t="s">
        <v>51714</v>
      </c>
      <c r="J10216" s="3" t="s">
        <v>3440</v>
      </c>
      <c r="K10216" s="3" t="s">
        <v>51715</v>
      </c>
      <c r="L10216" s="3" t="s">
        <v>51716</v>
      </c>
      <c r="M10216" s="4"/>
      <c r="N10216" s="3" t="s">
        <v>37</v>
      </c>
      <c r="O10216" s="3" t="s">
        <v>52</v>
      </c>
      <c r="P10216" s="5">
        <v>10</v>
      </c>
      <c r="Q10216" s="5">
        <v>152</v>
      </c>
      <c r="R10216" s="5">
        <v>11</v>
      </c>
      <c r="S10216" s="5">
        <v>166</v>
      </c>
    </row>
    <row r="10217" spans="1:19" ht="28" x14ac:dyDescent="0.15">
      <c r="A10217" s="2">
        <f>HYPERLINK("https://open-school.uspishnemisto.com.ua/school/530172/", 530172)</f>
        <v>530172</v>
      </c>
      <c r="B10217" s="3" t="s">
        <v>51717</v>
      </c>
      <c r="C10217" s="3" t="s">
        <v>31</v>
      </c>
      <c r="D10217" s="3" t="s">
        <v>32</v>
      </c>
      <c r="E10217" s="4" t="s">
        <v>22</v>
      </c>
      <c r="F10217" s="4" t="s">
        <v>51718</v>
      </c>
      <c r="G10217" s="4" t="s">
        <v>51719</v>
      </c>
      <c r="H10217" s="3" t="s">
        <v>50910</v>
      </c>
      <c r="I10217" s="3" t="s">
        <v>51720</v>
      </c>
      <c r="J10217" s="3" t="s">
        <v>466</v>
      </c>
      <c r="K10217" s="3" t="s">
        <v>51721</v>
      </c>
      <c r="L10217" s="3" t="s">
        <v>51722</v>
      </c>
      <c r="M10217" s="4"/>
      <c r="N10217" s="3" t="s">
        <v>37</v>
      </c>
      <c r="O10217" s="3" t="s">
        <v>52</v>
      </c>
      <c r="P10217" s="5">
        <v>8</v>
      </c>
      <c r="Q10217" s="5">
        <v>81</v>
      </c>
      <c r="R10217" s="5">
        <v>8</v>
      </c>
      <c r="S10217" s="5">
        <v>76</v>
      </c>
    </row>
    <row r="10218" spans="1:19" ht="28" x14ac:dyDescent="0.15">
      <c r="A10218" s="2">
        <f>HYPERLINK("https://open-school.uspishnemisto.com.ua/school/530173/", 530173)</f>
        <v>530173</v>
      </c>
      <c r="B10218" s="3" t="s">
        <v>51723</v>
      </c>
      <c r="C10218" s="3" t="s">
        <v>31</v>
      </c>
      <c r="D10218" s="3" t="s">
        <v>175</v>
      </c>
      <c r="E10218" s="4" t="s">
        <v>22</v>
      </c>
      <c r="F10218" s="4" t="s">
        <v>51724</v>
      </c>
      <c r="G10218" s="4" t="s">
        <v>51725</v>
      </c>
      <c r="H10218" s="3" t="s">
        <v>50910</v>
      </c>
      <c r="I10218" s="3" t="s">
        <v>51726</v>
      </c>
      <c r="J10218" s="3" t="s">
        <v>51727</v>
      </c>
      <c r="K10218" s="3" t="s">
        <v>51728</v>
      </c>
      <c r="L10218" s="3"/>
      <c r="M10218" s="4"/>
      <c r="N10218" s="3" t="s">
        <v>37</v>
      </c>
      <c r="O10218" s="3" t="s">
        <v>46</v>
      </c>
      <c r="P10218" s="5">
        <v>3</v>
      </c>
      <c r="Q10218" s="5">
        <v>32</v>
      </c>
      <c r="R10218" s="5">
        <v>4</v>
      </c>
      <c r="S10218" s="5">
        <v>32</v>
      </c>
    </row>
    <row r="10219" spans="1:19" ht="28" x14ac:dyDescent="0.15">
      <c r="A10219" s="2">
        <f>HYPERLINK("https://open-school.uspishnemisto.com.ua/school/530174/", 530174)</f>
        <v>530174</v>
      </c>
      <c r="B10219" s="3" t="s">
        <v>51729</v>
      </c>
      <c r="C10219" s="3" t="s">
        <v>31</v>
      </c>
      <c r="D10219" s="3" t="s">
        <v>175</v>
      </c>
      <c r="E10219" s="4" t="s">
        <v>22</v>
      </c>
      <c r="F10219" s="4" t="s">
        <v>51730</v>
      </c>
      <c r="G10219" s="4" t="s">
        <v>51731</v>
      </c>
      <c r="H10219" s="3" t="s">
        <v>50910</v>
      </c>
      <c r="I10219" s="3" t="s">
        <v>5965</v>
      </c>
      <c r="J10219" s="3" t="s">
        <v>49758</v>
      </c>
      <c r="K10219" s="3" t="s">
        <v>51732</v>
      </c>
      <c r="L10219" s="3" t="s">
        <v>51733</v>
      </c>
      <c r="M10219" s="4"/>
      <c r="N10219" s="3" t="s">
        <v>37</v>
      </c>
      <c r="O10219" s="3" t="s">
        <v>52</v>
      </c>
      <c r="P10219" s="5">
        <v>7</v>
      </c>
      <c r="Q10219" s="5">
        <v>53</v>
      </c>
      <c r="R10219" s="5">
        <v>8</v>
      </c>
      <c r="S10219" s="5">
        <v>60</v>
      </c>
    </row>
    <row r="10220" spans="1:19" ht="28" x14ac:dyDescent="0.15">
      <c r="A10220" s="2">
        <f>HYPERLINK("https://open-school.uspishnemisto.com.ua/school/530175/", 530175)</f>
        <v>530175</v>
      </c>
      <c r="B10220" s="3" t="s">
        <v>51734</v>
      </c>
      <c r="C10220" s="3" t="s">
        <v>31</v>
      </c>
      <c r="D10220" s="3" t="s">
        <v>175</v>
      </c>
      <c r="E10220" s="4" t="s">
        <v>22</v>
      </c>
      <c r="F10220" s="4" t="s">
        <v>51735</v>
      </c>
      <c r="G10220" s="4" t="s">
        <v>51736</v>
      </c>
      <c r="H10220" s="3" t="s">
        <v>50910</v>
      </c>
      <c r="I10220" s="3" t="s">
        <v>51737</v>
      </c>
      <c r="J10220" s="3" t="s">
        <v>51738</v>
      </c>
      <c r="K10220" s="3" t="s">
        <v>51739</v>
      </c>
      <c r="L10220" s="3" t="s">
        <v>51740</v>
      </c>
      <c r="M10220" s="4"/>
      <c r="N10220" s="3" t="s">
        <v>37</v>
      </c>
      <c r="O10220" s="3" t="s">
        <v>52</v>
      </c>
      <c r="P10220" s="5">
        <v>7</v>
      </c>
      <c r="Q10220" s="5">
        <v>40</v>
      </c>
      <c r="R10220" s="5">
        <v>1</v>
      </c>
      <c r="S10220" s="5">
        <v>21</v>
      </c>
    </row>
    <row r="10221" spans="1:19" ht="28" x14ac:dyDescent="0.15">
      <c r="A10221" s="2">
        <f>HYPERLINK("https://open-school.uspishnemisto.com.ua/school/530176/", 530176)</f>
        <v>530176</v>
      </c>
      <c r="B10221" s="3" t="s">
        <v>51741</v>
      </c>
      <c r="C10221" s="3" t="s">
        <v>40</v>
      </c>
      <c r="D10221" s="3" t="s">
        <v>32</v>
      </c>
      <c r="E10221" s="4" t="s">
        <v>22</v>
      </c>
      <c r="F10221" s="4" t="s">
        <v>51742</v>
      </c>
      <c r="G10221" s="4" t="s">
        <v>51743</v>
      </c>
      <c r="H10221" s="3" t="s">
        <v>50910</v>
      </c>
      <c r="I10221" s="3" t="s">
        <v>51744</v>
      </c>
      <c r="J10221" s="3" t="s">
        <v>51745</v>
      </c>
      <c r="K10221" s="3" t="s">
        <v>51746</v>
      </c>
      <c r="L10221" s="3"/>
      <c r="M10221" s="4"/>
      <c r="N10221" s="3" t="s">
        <v>37</v>
      </c>
      <c r="O10221" s="3" t="s">
        <v>123</v>
      </c>
      <c r="P10221" s="5">
        <v>24</v>
      </c>
      <c r="Q10221" s="5">
        <v>511</v>
      </c>
      <c r="R10221" s="5">
        <v>23</v>
      </c>
      <c r="S10221" s="5">
        <v>494</v>
      </c>
    </row>
    <row r="10222" spans="1:19" ht="28" x14ac:dyDescent="0.15">
      <c r="A10222" s="2">
        <f>HYPERLINK("https://open-school.uspishnemisto.com.ua/school/530177/", 530177)</f>
        <v>530177</v>
      </c>
      <c r="B10222" s="3" t="s">
        <v>51747</v>
      </c>
      <c r="C10222" s="3" t="s">
        <v>31</v>
      </c>
      <c r="D10222" s="3" t="s">
        <v>175</v>
      </c>
      <c r="E10222" s="4" t="s">
        <v>22</v>
      </c>
      <c r="F10222" s="4" t="s">
        <v>51748</v>
      </c>
      <c r="G10222" s="4" t="s">
        <v>51743</v>
      </c>
      <c r="H10222" s="3" t="s">
        <v>50910</v>
      </c>
      <c r="I10222" s="3" t="s">
        <v>51744</v>
      </c>
      <c r="J10222" s="3" t="s">
        <v>51749</v>
      </c>
      <c r="K10222" s="3" t="s">
        <v>51750</v>
      </c>
      <c r="L10222" s="3"/>
      <c r="M10222" s="4"/>
      <c r="N10222" s="3" t="s">
        <v>37</v>
      </c>
      <c r="O10222" s="3" t="s">
        <v>52</v>
      </c>
      <c r="P10222" s="5">
        <v>9</v>
      </c>
      <c r="Q10222" s="5">
        <v>134</v>
      </c>
      <c r="R10222" s="5">
        <v>9</v>
      </c>
      <c r="S10222" s="5">
        <v>127</v>
      </c>
    </row>
    <row r="10223" spans="1:19" ht="28" x14ac:dyDescent="0.15">
      <c r="A10223" s="2">
        <f>HYPERLINK("https://open-school.uspishnemisto.com.ua/school/530178/", 530178)</f>
        <v>530178</v>
      </c>
      <c r="B10223" s="3" t="s">
        <v>51751</v>
      </c>
      <c r="C10223" s="3" t="s">
        <v>31</v>
      </c>
      <c r="D10223" s="3" t="s">
        <v>175</v>
      </c>
      <c r="E10223" s="4" t="s">
        <v>22</v>
      </c>
      <c r="F10223" s="4" t="s">
        <v>51742</v>
      </c>
      <c r="G10223" s="4" t="s">
        <v>51743</v>
      </c>
      <c r="H10223" s="3" t="s">
        <v>50910</v>
      </c>
      <c r="I10223" s="3" t="s">
        <v>51744</v>
      </c>
      <c r="J10223" s="3" t="s">
        <v>22146</v>
      </c>
      <c r="K10223" s="3"/>
      <c r="L10223" s="3"/>
      <c r="M10223" s="4"/>
      <c r="N10223" s="3" t="s">
        <v>37</v>
      </c>
      <c r="O10223" s="3" t="s">
        <v>52</v>
      </c>
      <c r="P10223" s="5">
        <v>0</v>
      </c>
      <c r="Q10223" s="5">
        <v>0</v>
      </c>
      <c r="R10223" s="5">
        <v>9</v>
      </c>
      <c r="S10223" s="5">
        <v>153</v>
      </c>
    </row>
    <row r="10224" spans="1:19" ht="28" x14ac:dyDescent="0.15">
      <c r="A10224" s="2">
        <f>HYPERLINK("https://open-school.uspishnemisto.com.ua/school/530179/", 530179)</f>
        <v>530179</v>
      </c>
      <c r="B10224" s="3" t="s">
        <v>51752</v>
      </c>
      <c r="C10224" s="3" t="s">
        <v>31</v>
      </c>
      <c r="D10224" s="3" t="s">
        <v>32</v>
      </c>
      <c r="E10224" s="4" t="s">
        <v>22</v>
      </c>
      <c r="F10224" s="4" t="s">
        <v>51753</v>
      </c>
      <c r="G10224" s="4" t="s">
        <v>51743</v>
      </c>
      <c r="H10224" s="3" t="s">
        <v>50910</v>
      </c>
      <c r="I10224" s="3" t="s">
        <v>51744</v>
      </c>
      <c r="J10224" s="3" t="s">
        <v>51754</v>
      </c>
      <c r="K10224" s="3" t="s">
        <v>51755</v>
      </c>
      <c r="L10224" s="3"/>
      <c r="M10224" s="4"/>
      <c r="N10224" s="3" t="s">
        <v>37</v>
      </c>
      <c r="O10224" s="3" t="s">
        <v>52</v>
      </c>
      <c r="P10224" s="5">
        <v>42</v>
      </c>
      <c r="Q10224" s="5">
        <v>802</v>
      </c>
      <c r="R10224" s="5">
        <v>23</v>
      </c>
      <c r="S10224" s="5">
        <v>502</v>
      </c>
    </row>
    <row r="10225" spans="1:19" ht="28" x14ac:dyDescent="0.15">
      <c r="A10225" s="2">
        <f>HYPERLINK("https://open-school.uspishnemisto.com.ua/school/530180/", 530180)</f>
        <v>530180</v>
      </c>
      <c r="B10225" s="3" t="s">
        <v>51756</v>
      </c>
      <c r="C10225" s="3" t="s">
        <v>31</v>
      </c>
      <c r="D10225" s="3" t="s">
        <v>175</v>
      </c>
      <c r="E10225" s="4" t="s">
        <v>22</v>
      </c>
      <c r="F10225" s="4" t="s">
        <v>51757</v>
      </c>
      <c r="G10225" s="4" t="s">
        <v>51758</v>
      </c>
      <c r="H10225" s="3" t="s">
        <v>50910</v>
      </c>
      <c r="I10225" s="3" t="s">
        <v>51759</v>
      </c>
      <c r="J10225" s="3" t="s">
        <v>946</v>
      </c>
      <c r="K10225" s="3" t="s">
        <v>51760</v>
      </c>
      <c r="L10225" s="3"/>
      <c r="M10225" s="4"/>
      <c r="N10225" s="3" t="s">
        <v>37</v>
      </c>
      <c r="O10225" s="3" t="s">
        <v>52</v>
      </c>
      <c r="P10225" s="5">
        <v>0</v>
      </c>
      <c r="Q10225" s="5">
        <v>0</v>
      </c>
      <c r="R10225" s="5">
        <v>2</v>
      </c>
      <c r="S10225" s="5">
        <v>28</v>
      </c>
    </row>
    <row r="10226" spans="1:19" ht="28" x14ac:dyDescent="0.15">
      <c r="A10226" s="2">
        <f>HYPERLINK("https://open-school.uspishnemisto.com.ua/school/530181/", 530181)</f>
        <v>530181</v>
      </c>
      <c r="B10226" s="3" t="s">
        <v>51761</v>
      </c>
      <c r="C10226" s="3" t="s">
        <v>40</v>
      </c>
      <c r="D10226" s="3" t="s">
        <v>32</v>
      </c>
      <c r="E10226" s="4" t="s">
        <v>22</v>
      </c>
      <c r="F10226" s="4" t="s">
        <v>51762</v>
      </c>
      <c r="G10226" s="4" t="s">
        <v>51763</v>
      </c>
      <c r="H10226" s="3" t="s">
        <v>50910</v>
      </c>
      <c r="I10226" s="3" t="s">
        <v>51764</v>
      </c>
      <c r="J10226" s="3" t="s">
        <v>51765</v>
      </c>
      <c r="K10226" s="3" t="s">
        <v>51766</v>
      </c>
      <c r="L10226" s="3"/>
      <c r="M10226" s="4"/>
      <c r="N10226" s="3" t="s">
        <v>37</v>
      </c>
      <c r="O10226" s="3" t="s">
        <v>2740</v>
      </c>
      <c r="P10226" s="5">
        <v>20</v>
      </c>
      <c r="Q10226" s="5">
        <v>393</v>
      </c>
      <c r="R10226" s="5">
        <v>21</v>
      </c>
      <c r="S10226" s="5">
        <v>402</v>
      </c>
    </row>
    <row r="10227" spans="1:19" ht="28" x14ac:dyDescent="0.15">
      <c r="A10227" s="2">
        <f>HYPERLINK("https://open-school.uspishnemisto.com.ua/school/530182/", 530182)</f>
        <v>530182</v>
      </c>
      <c r="B10227" s="3" t="s">
        <v>51767</v>
      </c>
      <c r="C10227" s="3" t="s">
        <v>31</v>
      </c>
      <c r="D10227" s="3" t="s">
        <v>175</v>
      </c>
      <c r="E10227" s="4" t="s">
        <v>22</v>
      </c>
      <c r="F10227" s="4" t="s">
        <v>51768</v>
      </c>
      <c r="G10227" s="4" t="s">
        <v>51763</v>
      </c>
      <c r="H10227" s="3" t="s">
        <v>50910</v>
      </c>
      <c r="I10227" s="3" t="s">
        <v>51764</v>
      </c>
      <c r="J10227" s="3" t="s">
        <v>14550</v>
      </c>
      <c r="K10227" s="3" t="s">
        <v>51769</v>
      </c>
      <c r="L10227" s="3"/>
      <c r="M10227" s="4"/>
      <c r="N10227" s="3" t="s">
        <v>37</v>
      </c>
      <c r="O10227" s="3" t="s">
        <v>52</v>
      </c>
      <c r="P10227" s="5">
        <v>9</v>
      </c>
      <c r="Q10227" s="5">
        <v>99</v>
      </c>
      <c r="R10227" s="5">
        <v>9</v>
      </c>
      <c r="S10227" s="5">
        <v>90</v>
      </c>
    </row>
    <row r="10228" spans="1:19" ht="28" x14ac:dyDescent="0.15">
      <c r="A10228" s="2">
        <f>HYPERLINK("https://open-school.uspishnemisto.com.ua/school/530183/", 530183)</f>
        <v>530183</v>
      </c>
      <c r="B10228" s="3" t="s">
        <v>51770</v>
      </c>
      <c r="C10228" s="3" t="s">
        <v>31</v>
      </c>
      <c r="D10228" s="3" t="s">
        <v>32</v>
      </c>
      <c r="E10228" s="4" t="s">
        <v>22</v>
      </c>
      <c r="F10228" s="4" t="s">
        <v>51768</v>
      </c>
      <c r="G10228" s="4" t="s">
        <v>51763</v>
      </c>
      <c r="H10228" s="3" t="s">
        <v>50910</v>
      </c>
      <c r="I10228" s="3" t="s">
        <v>51764</v>
      </c>
      <c r="J10228" s="3" t="s">
        <v>51771</v>
      </c>
      <c r="K10228" s="3" t="s">
        <v>51772</v>
      </c>
      <c r="L10228" s="3"/>
      <c r="M10228" s="4"/>
      <c r="N10228" s="3" t="s">
        <v>37</v>
      </c>
      <c r="O10228" s="3" t="s">
        <v>52</v>
      </c>
      <c r="P10228" s="5">
        <v>11</v>
      </c>
      <c r="Q10228" s="5">
        <v>191</v>
      </c>
      <c r="R10228" s="5">
        <v>11</v>
      </c>
      <c r="S10228" s="5">
        <v>188</v>
      </c>
    </row>
    <row r="10229" spans="1:19" ht="42" x14ac:dyDescent="0.15">
      <c r="A10229" s="2">
        <f>HYPERLINK("https://open-school.uspishnemisto.com.ua/school/530184/", 530184)</f>
        <v>530184</v>
      </c>
      <c r="B10229" s="3" t="s">
        <v>51773</v>
      </c>
      <c r="C10229" s="3" t="s">
        <v>181</v>
      </c>
      <c r="D10229" s="3" t="s">
        <v>175</v>
      </c>
      <c r="E10229" s="4" t="s">
        <v>22</v>
      </c>
      <c r="F10229" s="4" t="s">
        <v>51762</v>
      </c>
      <c r="G10229" s="4" t="s">
        <v>51763</v>
      </c>
      <c r="H10229" s="3" t="s">
        <v>50910</v>
      </c>
      <c r="I10229" s="3" t="s">
        <v>51764</v>
      </c>
      <c r="J10229" s="3" t="s">
        <v>51774</v>
      </c>
      <c r="K10229" s="3" t="s">
        <v>51775</v>
      </c>
      <c r="L10229" s="3"/>
      <c r="M10229" s="4" t="s">
        <v>51776</v>
      </c>
      <c r="N10229" s="3" t="s">
        <v>37</v>
      </c>
      <c r="O10229" s="3" t="s">
        <v>52</v>
      </c>
      <c r="P10229" s="5">
        <v>12</v>
      </c>
      <c r="Q10229" s="5">
        <v>115</v>
      </c>
      <c r="R10229" s="5">
        <v>12</v>
      </c>
      <c r="S10229" s="5">
        <v>126</v>
      </c>
    </row>
    <row r="10230" spans="1:19" ht="56" x14ac:dyDescent="0.15">
      <c r="A10230" s="2">
        <f>HYPERLINK("https://open-school.uspishnemisto.com.ua/school/530185/", 530185)</f>
        <v>530185</v>
      </c>
      <c r="B10230" s="3" t="s">
        <v>51777</v>
      </c>
      <c r="C10230" s="3" t="s">
        <v>54</v>
      </c>
      <c r="D10230" s="3" t="s">
        <v>32</v>
      </c>
      <c r="E10230" s="4" t="s">
        <v>22</v>
      </c>
      <c r="F10230" s="4" t="s">
        <v>51778</v>
      </c>
      <c r="G10230" s="4" t="s">
        <v>51779</v>
      </c>
      <c r="H10230" s="3" t="s">
        <v>50910</v>
      </c>
      <c r="I10230" s="3" t="s">
        <v>51780</v>
      </c>
      <c r="J10230" s="3" t="s">
        <v>479</v>
      </c>
      <c r="K10230" s="3" t="s">
        <v>51781</v>
      </c>
      <c r="L10230" s="3"/>
      <c r="M10230" s="4"/>
      <c r="N10230" s="3" t="s">
        <v>37</v>
      </c>
      <c r="O10230" s="3" t="s">
        <v>52</v>
      </c>
      <c r="P10230" s="5">
        <v>10</v>
      </c>
      <c r="Q10230" s="5">
        <v>77</v>
      </c>
      <c r="R10230" s="5">
        <v>10</v>
      </c>
      <c r="S10230" s="5">
        <v>77</v>
      </c>
    </row>
    <row r="10231" spans="1:19" ht="28" x14ac:dyDescent="0.15">
      <c r="A10231" s="2">
        <f>HYPERLINK("https://open-school.uspishnemisto.com.ua/school/530186/", 530186)</f>
        <v>530186</v>
      </c>
      <c r="B10231" s="3" t="s">
        <v>51782</v>
      </c>
      <c r="C10231" s="3" t="s">
        <v>31</v>
      </c>
      <c r="D10231" s="3" t="s">
        <v>32</v>
      </c>
      <c r="E10231" s="4" t="s">
        <v>22</v>
      </c>
      <c r="F10231" s="4" t="s">
        <v>51783</v>
      </c>
      <c r="G10231" s="4" t="s">
        <v>51784</v>
      </c>
      <c r="H10231" s="3" t="s">
        <v>50910</v>
      </c>
      <c r="I10231" s="3" t="s">
        <v>51785</v>
      </c>
      <c r="J10231" s="3" t="s">
        <v>946</v>
      </c>
      <c r="K10231" s="3" t="s">
        <v>51786</v>
      </c>
      <c r="L10231" s="3"/>
      <c r="M10231" s="4"/>
      <c r="N10231" s="3" t="s">
        <v>37</v>
      </c>
      <c r="O10231" s="3" t="s">
        <v>52</v>
      </c>
      <c r="P10231" s="5">
        <v>10</v>
      </c>
      <c r="Q10231" s="5">
        <v>117</v>
      </c>
      <c r="R10231" s="5">
        <v>11</v>
      </c>
      <c r="S10231" s="5">
        <v>125</v>
      </c>
    </row>
    <row r="10232" spans="1:19" ht="28" x14ac:dyDescent="0.15">
      <c r="A10232" s="2">
        <f>HYPERLINK("https://open-school.uspishnemisto.com.ua/school/530187/", 530187)</f>
        <v>530187</v>
      </c>
      <c r="B10232" s="3" t="s">
        <v>51787</v>
      </c>
      <c r="C10232" s="3" t="s">
        <v>31</v>
      </c>
      <c r="D10232" s="3" t="s">
        <v>32</v>
      </c>
      <c r="E10232" s="4" t="s">
        <v>22</v>
      </c>
      <c r="F10232" s="4" t="s">
        <v>51788</v>
      </c>
      <c r="G10232" s="4" t="s">
        <v>51789</v>
      </c>
      <c r="H10232" s="3" t="s">
        <v>50910</v>
      </c>
      <c r="I10232" s="3" t="s">
        <v>51790</v>
      </c>
      <c r="J10232" s="3" t="s">
        <v>3173</v>
      </c>
      <c r="K10232" s="3"/>
      <c r="L10232" s="3"/>
      <c r="M10232" s="4"/>
      <c r="N10232" s="3" t="s">
        <v>37</v>
      </c>
      <c r="O10232" s="3" t="s">
        <v>52</v>
      </c>
      <c r="P10232" s="5">
        <v>10</v>
      </c>
      <c r="Q10232" s="5">
        <v>114</v>
      </c>
      <c r="R10232" s="5">
        <v>10</v>
      </c>
      <c r="S10232" s="5">
        <v>114</v>
      </c>
    </row>
    <row r="10233" spans="1:19" ht="56" x14ac:dyDescent="0.15">
      <c r="A10233" s="2">
        <f>HYPERLINK("https://open-school.uspishnemisto.com.ua/school/530188/", 530188)</f>
        <v>530188</v>
      </c>
      <c r="B10233" s="3" t="s">
        <v>51791</v>
      </c>
      <c r="C10233" s="3" t="s">
        <v>54</v>
      </c>
      <c r="D10233" s="3" t="s">
        <v>175</v>
      </c>
      <c r="E10233" s="4" t="s">
        <v>22</v>
      </c>
      <c r="F10233" s="4" t="s">
        <v>51792</v>
      </c>
      <c r="G10233" s="4" t="s">
        <v>51793</v>
      </c>
      <c r="H10233" s="3" t="s">
        <v>50910</v>
      </c>
      <c r="I10233" s="3" t="s">
        <v>51794</v>
      </c>
      <c r="J10233" s="3" t="s">
        <v>6161</v>
      </c>
      <c r="K10233" s="3" t="s">
        <v>51795</v>
      </c>
      <c r="L10233" s="3"/>
      <c r="M10233" s="4"/>
      <c r="N10233" s="3" t="s">
        <v>37</v>
      </c>
      <c r="O10233" s="3" t="s">
        <v>52</v>
      </c>
      <c r="P10233" s="5">
        <v>7</v>
      </c>
      <c r="Q10233" s="5">
        <v>45</v>
      </c>
      <c r="R10233" s="5">
        <v>7</v>
      </c>
      <c r="S10233" s="5">
        <v>47</v>
      </c>
    </row>
    <row r="10234" spans="1:19" ht="28" x14ac:dyDescent="0.15">
      <c r="A10234" s="2">
        <f>HYPERLINK("https://open-school.uspishnemisto.com.ua/school/530189/", 530189)</f>
        <v>530189</v>
      </c>
      <c r="B10234" s="3" t="s">
        <v>51796</v>
      </c>
      <c r="C10234" s="3" t="s">
        <v>31</v>
      </c>
      <c r="D10234" s="3" t="s">
        <v>32</v>
      </c>
      <c r="E10234" s="4" t="s">
        <v>22</v>
      </c>
      <c r="F10234" s="4" t="s">
        <v>51797</v>
      </c>
      <c r="G10234" s="4" t="s">
        <v>51798</v>
      </c>
      <c r="H10234" s="3" t="s">
        <v>50910</v>
      </c>
      <c r="I10234" s="3" t="s">
        <v>16883</v>
      </c>
      <c r="J10234" s="3" t="s">
        <v>51799</v>
      </c>
      <c r="K10234" s="3" t="s">
        <v>51800</v>
      </c>
      <c r="L10234" s="3" t="s">
        <v>51801</v>
      </c>
      <c r="M10234" s="4"/>
      <c r="N10234" s="3" t="s">
        <v>37</v>
      </c>
      <c r="O10234" s="3" t="s">
        <v>52</v>
      </c>
      <c r="P10234" s="5">
        <v>9</v>
      </c>
      <c r="Q10234" s="5">
        <v>74</v>
      </c>
      <c r="R10234" s="5">
        <v>8</v>
      </c>
      <c r="S10234" s="5">
        <v>65</v>
      </c>
    </row>
    <row r="10235" spans="1:19" ht="42" x14ac:dyDescent="0.15">
      <c r="A10235" s="2">
        <f>HYPERLINK("https://open-school.uspishnemisto.com.ua/school/530190/", 530190)</f>
        <v>530190</v>
      </c>
      <c r="B10235" s="3" t="s">
        <v>51802</v>
      </c>
      <c r="C10235" s="3" t="s">
        <v>31</v>
      </c>
      <c r="D10235" s="3" t="s">
        <v>175</v>
      </c>
      <c r="E10235" s="4" t="s">
        <v>22</v>
      </c>
      <c r="F10235" s="4" t="s">
        <v>51803</v>
      </c>
      <c r="G10235" s="4" t="s">
        <v>51804</v>
      </c>
      <c r="H10235" s="3" t="s">
        <v>50910</v>
      </c>
      <c r="I10235" s="3" t="s">
        <v>51805</v>
      </c>
      <c r="J10235" s="3" t="s">
        <v>12604</v>
      </c>
      <c r="K10235" s="3" t="s">
        <v>51806</v>
      </c>
      <c r="L10235" s="3"/>
      <c r="M10235" s="4"/>
      <c r="N10235" s="3" t="s">
        <v>37</v>
      </c>
      <c r="O10235" s="3" t="s">
        <v>52</v>
      </c>
      <c r="P10235" s="5">
        <v>0</v>
      </c>
      <c r="Q10235" s="5">
        <v>0</v>
      </c>
      <c r="R10235" s="5">
        <v>7</v>
      </c>
      <c r="S10235" s="5">
        <v>73</v>
      </c>
    </row>
    <row r="10236" spans="1:19" ht="56" x14ac:dyDescent="0.15">
      <c r="A10236" s="2">
        <f>HYPERLINK("https://open-school.uspishnemisto.com.ua/school/530191/", 530191)</f>
        <v>530191</v>
      </c>
      <c r="B10236" s="3" t="s">
        <v>51807</v>
      </c>
      <c r="C10236" s="3" t="s">
        <v>54</v>
      </c>
      <c r="D10236" s="3" t="s">
        <v>175</v>
      </c>
      <c r="E10236" s="4" t="s">
        <v>22</v>
      </c>
      <c r="F10236" s="4"/>
      <c r="G10236" s="4" t="s">
        <v>51808</v>
      </c>
      <c r="H10236" s="3" t="s">
        <v>50910</v>
      </c>
      <c r="I10236" s="3" t="s">
        <v>51809</v>
      </c>
      <c r="J10236" s="3" t="s">
        <v>51810</v>
      </c>
      <c r="K10236" s="3" t="s">
        <v>51811</v>
      </c>
      <c r="L10236" s="3"/>
      <c r="M10236" s="4"/>
      <c r="N10236" s="3" t="s">
        <v>37</v>
      </c>
      <c r="O10236" s="3" t="s">
        <v>52</v>
      </c>
      <c r="P10236" s="5">
        <v>1</v>
      </c>
      <c r="Q10236" s="5">
        <v>11</v>
      </c>
      <c r="R10236" s="5">
        <v>1</v>
      </c>
      <c r="S10236" s="5">
        <v>10</v>
      </c>
    </row>
    <row r="10237" spans="1:19" ht="28" x14ac:dyDescent="0.15">
      <c r="A10237" s="2">
        <f>HYPERLINK("https://open-school.uspishnemisto.com.ua/school/530192/", 530192)</f>
        <v>530192</v>
      </c>
      <c r="B10237" s="3" t="s">
        <v>51812</v>
      </c>
      <c r="C10237" s="3" t="s">
        <v>31</v>
      </c>
      <c r="D10237" s="3" t="s">
        <v>32</v>
      </c>
      <c r="E10237" s="4" t="s">
        <v>22</v>
      </c>
      <c r="F10237" s="4" t="s">
        <v>51813</v>
      </c>
      <c r="G10237" s="4" t="s">
        <v>51814</v>
      </c>
      <c r="H10237" s="3" t="s">
        <v>50910</v>
      </c>
      <c r="I10237" s="3" t="s">
        <v>51815</v>
      </c>
      <c r="J10237" s="3" t="s">
        <v>51816</v>
      </c>
      <c r="K10237" s="3"/>
      <c r="L10237" s="3"/>
      <c r="M10237" s="4"/>
      <c r="N10237" s="3" t="s">
        <v>37</v>
      </c>
      <c r="O10237" s="3" t="s">
        <v>618</v>
      </c>
      <c r="P10237" s="5">
        <v>5</v>
      </c>
      <c r="Q10237" s="5">
        <v>34</v>
      </c>
      <c r="R10237" s="5">
        <v>4</v>
      </c>
      <c r="S10237" s="5">
        <v>28</v>
      </c>
    </row>
    <row r="10238" spans="1:19" ht="56" x14ac:dyDescent="0.15">
      <c r="A10238" s="2">
        <f>HYPERLINK("https://open-school.uspishnemisto.com.ua/school/530193/", 530193)</f>
        <v>530193</v>
      </c>
      <c r="B10238" s="3" t="s">
        <v>51817</v>
      </c>
      <c r="C10238" s="3" t="s">
        <v>54</v>
      </c>
      <c r="D10238" s="3" t="s">
        <v>32</v>
      </c>
      <c r="E10238" s="4" t="s">
        <v>22</v>
      </c>
      <c r="F10238" s="4" t="s">
        <v>51818</v>
      </c>
      <c r="G10238" s="4" t="s">
        <v>51819</v>
      </c>
      <c r="H10238" s="3" t="s">
        <v>50910</v>
      </c>
      <c r="I10238" s="3" t="s">
        <v>51820</v>
      </c>
      <c r="J10238" s="3" t="s">
        <v>51821</v>
      </c>
      <c r="K10238" s="3" t="s">
        <v>51822</v>
      </c>
      <c r="L10238" s="3"/>
      <c r="M10238" s="4"/>
      <c r="N10238" s="3" t="s">
        <v>37</v>
      </c>
      <c r="O10238" s="3" t="s">
        <v>52</v>
      </c>
      <c r="P10238" s="5">
        <v>4</v>
      </c>
      <c r="Q10238" s="5">
        <v>35</v>
      </c>
      <c r="R10238" s="5">
        <v>5</v>
      </c>
      <c r="S10238" s="5">
        <v>38</v>
      </c>
    </row>
    <row r="10239" spans="1:19" ht="28" x14ac:dyDescent="0.15">
      <c r="A10239" s="2">
        <f>HYPERLINK("https://open-school.uspishnemisto.com.ua/school/530194/", 530194)</f>
        <v>530194</v>
      </c>
      <c r="B10239" s="3" t="s">
        <v>51823</v>
      </c>
      <c r="C10239" s="3" t="s">
        <v>31</v>
      </c>
      <c r="D10239" s="3" t="s">
        <v>32</v>
      </c>
      <c r="E10239" s="4" t="s">
        <v>22</v>
      </c>
      <c r="F10239" s="4" t="s">
        <v>51824</v>
      </c>
      <c r="G10239" s="4" t="s">
        <v>51825</v>
      </c>
      <c r="H10239" s="3" t="s">
        <v>50910</v>
      </c>
      <c r="I10239" s="3" t="s">
        <v>51826</v>
      </c>
      <c r="J10239" s="3" t="s">
        <v>694</v>
      </c>
      <c r="K10239" s="3" t="s">
        <v>51827</v>
      </c>
      <c r="L10239" s="3"/>
      <c r="M10239" s="4"/>
      <c r="N10239" s="3" t="s">
        <v>37</v>
      </c>
      <c r="O10239" s="3" t="s">
        <v>52</v>
      </c>
      <c r="P10239" s="5">
        <v>9</v>
      </c>
      <c r="Q10239" s="5">
        <v>57</v>
      </c>
      <c r="R10239" s="5">
        <v>9</v>
      </c>
      <c r="S10239" s="5">
        <v>59</v>
      </c>
    </row>
    <row r="10240" spans="1:19" ht="28" x14ac:dyDescent="0.15">
      <c r="A10240" s="2">
        <f>HYPERLINK("https://open-school.uspishnemisto.com.ua/school/530195/", 530195)</f>
        <v>530195</v>
      </c>
      <c r="B10240" s="3" t="s">
        <v>51828</v>
      </c>
      <c r="C10240" s="3" t="s">
        <v>31</v>
      </c>
      <c r="D10240" s="3" t="s">
        <v>32</v>
      </c>
      <c r="E10240" s="4" t="s">
        <v>22</v>
      </c>
      <c r="F10240" s="4" t="s">
        <v>51829</v>
      </c>
      <c r="G10240" s="4" t="s">
        <v>51830</v>
      </c>
      <c r="H10240" s="3" t="s">
        <v>50910</v>
      </c>
      <c r="I10240" s="3" t="s">
        <v>51831</v>
      </c>
      <c r="J10240" s="3" t="s">
        <v>2978</v>
      </c>
      <c r="K10240" s="3" t="s">
        <v>51832</v>
      </c>
      <c r="L10240" s="3"/>
      <c r="M10240" s="4"/>
      <c r="N10240" s="3" t="s">
        <v>37</v>
      </c>
      <c r="O10240" s="3" t="s">
        <v>52</v>
      </c>
      <c r="P10240" s="5">
        <v>8</v>
      </c>
      <c r="Q10240" s="5">
        <v>60</v>
      </c>
      <c r="R10240" s="5">
        <v>8</v>
      </c>
      <c r="S10240" s="5">
        <v>60</v>
      </c>
    </row>
    <row r="10241" spans="1:19" ht="28" x14ac:dyDescent="0.15">
      <c r="A10241" s="2">
        <f>HYPERLINK("https://open-school.uspishnemisto.com.ua/school/530196/", 530196)</f>
        <v>530196</v>
      </c>
      <c r="B10241" s="3" t="s">
        <v>51833</v>
      </c>
      <c r="C10241" s="3" t="s">
        <v>31</v>
      </c>
      <c r="D10241" s="3" t="s">
        <v>175</v>
      </c>
      <c r="E10241" s="4" t="s">
        <v>22</v>
      </c>
      <c r="F10241" s="4" t="s">
        <v>51834</v>
      </c>
      <c r="G10241" s="4" t="s">
        <v>51835</v>
      </c>
      <c r="H10241" s="3" t="s">
        <v>50910</v>
      </c>
      <c r="I10241" s="3" t="s">
        <v>51836</v>
      </c>
      <c r="J10241" s="3" t="s">
        <v>51837</v>
      </c>
      <c r="K10241" s="3" t="s">
        <v>51838</v>
      </c>
      <c r="L10241" s="3"/>
      <c r="M10241" s="4"/>
      <c r="N10241" s="3" t="s">
        <v>37</v>
      </c>
      <c r="O10241" s="3" t="s">
        <v>52</v>
      </c>
      <c r="P10241" s="5">
        <v>9</v>
      </c>
      <c r="Q10241" s="5">
        <v>62</v>
      </c>
      <c r="R10241" s="5">
        <v>9</v>
      </c>
      <c r="S10241" s="5">
        <v>60</v>
      </c>
    </row>
    <row r="10242" spans="1:19" ht="28" x14ac:dyDescent="0.15">
      <c r="A10242" s="2">
        <f>HYPERLINK("https://open-school.uspishnemisto.com.ua/school/530197/", 530197)</f>
        <v>530197</v>
      </c>
      <c r="B10242" s="3" t="s">
        <v>51839</v>
      </c>
      <c r="C10242" s="3" t="s">
        <v>31</v>
      </c>
      <c r="D10242" s="3" t="s">
        <v>32</v>
      </c>
      <c r="E10242" s="4" t="s">
        <v>22</v>
      </c>
      <c r="F10242" s="4" t="s">
        <v>51834</v>
      </c>
      <c r="G10242" s="4" t="s">
        <v>51835</v>
      </c>
      <c r="H10242" s="3" t="s">
        <v>50910</v>
      </c>
      <c r="I10242" s="3" t="s">
        <v>51836</v>
      </c>
      <c r="J10242" s="3" t="s">
        <v>51840</v>
      </c>
      <c r="K10242" s="3" t="s">
        <v>51841</v>
      </c>
      <c r="L10242" s="3"/>
      <c r="M10242" s="4"/>
      <c r="N10242" s="3" t="s">
        <v>37</v>
      </c>
      <c r="O10242" s="3" t="s">
        <v>46</v>
      </c>
      <c r="P10242" s="5">
        <v>12</v>
      </c>
      <c r="Q10242" s="5">
        <v>207</v>
      </c>
      <c r="R10242" s="5">
        <v>12</v>
      </c>
      <c r="S10242" s="5">
        <v>207</v>
      </c>
    </row>
    <row r="10243" spans="1:19" ht="28" x14ac:dyDescent="0.15">
      <c r="A10243" s="2">
        <f>HYPERLINK("https://open-school.uspishnemisto.com.ua/school/530198/", 530198)</f>
        <v>530198</v>
      </c>
      <c r="B10243" s="3" t="s">
        <v>51842</v>
      </c>
      <c r="C10243" s="3" t="s">
        <v>31</v>
      </c>
      <c r="D10243" s="3" t="s">
        <v>175</v>
      </c>
      <c r="E10243" s="4" t="s">
        <v>22</v>
      </c>
      <c r="F10243" s="4" t="s">
        <v>51843</v>
      </c>
      <c r="G10243" s="4" t="s">
        <v>51844</v>
      </c>
      <c r="H10243" s="3" t="s">
        <v>50910</v>
      </c>
      <c r="I10243" s="3" t="s">
        <v>50458</v>
      </c>
      <c r="J10243" s="3" t="s">
        <v>16925</v>
      </c>
      <c r="K10243" s="3" t="s">
        <v>51845</v>
      </c>
      <c r="L10243" s="3"/>
      <c r="M10243" s="4"/>
      <c r="N10243" s="3" t="s">
        <v>37</v>
      </c>
      <c r="O10243" s="3" t="s">
        <v>46</v>
      </c>
      <c r="P10243" s="5">
        <v>8</v>
      </c>
      <c r="Q10243" s="5">
        <v>54</v>
      </c>
      <c r="R10243" s="5">
        <v>8</v>
      </c>
      <c r="S10243" s="5">
        <v>50</v>
      </c>
    </row>
    <row r="10244" spans="1:19" ht="28" x14ac:dyDescent="0.15">
      <c r="A10244" s="2">
        <f>HYPERLINK("https://open-school.uspishnemisto.com.ua/school/530199/", 530199)</f>
        <v>530199</v>
      </c>
      <c r="B10244" s="3" t="s">
        <v>51846</v>
      </c>
      <c r="C10244" s="3" t="s">
        <v>31</v>
      </c>
      <c r="D10244" s="3" t="s">
        <v>175</v>
      </c>
      <c r="E10244" s="4" t="s">
        <v>22</v>
      </c>
      <c r="F10244" s="4" t="s">
        <v>51847</v>
      </c>
      <c r="G10244" s="4" t="s">
        <v>51848</v>
      </c>
      <c r="H10244" s="3" t="s">
        <v>50910</v>
      </c>
      <c r="I10244" s="3" t="s">
        <v>51849</v>
      </c>
      <c r="J10244" s="3" t="s">
        <v>12217</v>
      </c>
      <c r="K10244" s="3" t="s">
        <v>51850</v>
      </c>
      <c r="L10244" s="3"/>
      <c r="M10244" s="4"/>
      <c r="N10244" s="3" t="s">
        <v>37</v>
      </c>
      <c r="O10244" s="3" t="s">
        <v>618</v>
      </c>
      <c r="P10244" s="5">
        <v>4</v>
      </c>
      <c r="Q10244" s="5">
        <v>30</v>
      </c>
      <c r="R10244" s="5">
        <v>4</v>
      </c>
      <c r="S10244" s="5">
        <v>35</v>
      </c>
    </row>
    <row r="10245" spans="1:19" ht="42" x14ac:dyDescent="0.15">
      <c r="A10245" s="2">
        <f>HYPERLINK("https://open-school.uspishnemisto.com.ua/school/530200/", 530200)</f>
        <v>530200</v>
      </c>
      <c r="B10245" s="3" t="s">
        <v>51851</v>
      </c>
      <c r="C10245" s="3" t="s">
        <v>31</v>
      </c>
      <c r="D10245" s="3" t="s">
        <v>32</v>
      </c>
      <c r="E10245" s="4" t="s">
        <v>22</v>
      </c>
      <c r="F10245" s="4" t="s">
        <v>51852</v>
      </c>
      <c r="G10245" s="4" t="s">
        <v>51853</v>
      </c>
      <c r="H10245" s="3" t="s">
        <v>50910</v>
      </c>
      <c r="I10245" s="3" t="s">
        <v>51854</v>
      </c>
      <c r="J10245" s="3" t="s">
        <v>51855</v>
      </c>
      <c r="K10245" s="3" t="s">
        <v>51856</v>
      </c>
      <c r="L10245" s="3"/>
      <c r="M10245" s="4"/>
      <c r="N10245" s="3" t="s">
        <v>37</v>
      </c>
      <c r="O10245" s="3" t="s">
        <v>52</v>
      </c>
      <c r="P10245" s="5">
        <v>10</v>
      </c>
      <c r="Q10245" s="5">
        <v>98</v>
      </c>
      <c r="R10245" s="5">
        <v>11</v>
      </c>
      <c r="S10245" s="5">
        <v>107</v>
      </c>
    </row>
    <row r="10246" spans="1:19" ht="56" x14ac:dyDescent="0.15">
      <c r="A10246" s="2">
        <f>HYPERLINK("https://open-school.uspishnemisto.com.ua/school/530201/", 530201)</f>
        <v>530201</v>
      </c>
      <c r="B10246" s="3" t="s">
        <v>51857</v>
      </c>
      <c r="C10246" s="3" t="s">
        <v>54</v>
      </c>
      <c r="D10246" s="3" t="s">
        <v>32</v>
      </c>
      <c r="E10246" s="4" t="s">
        <v>22</v>
      </c>
      <c r="F10246" s="4" t="s">
        <v>51858</v>
      </c>
      <c r="G10246" s="4" t="s">
        <v>51859</v>
      </c>
      <c r="H10246" s="3" t="s">
        <v>50910</v>
      </c>
      <c r="I10246" s="3" t="s">
        <v>51860</v>
      </c>
      <c r="J10246" s="3" t="s">
        <v>7686</v>
      </c>
      <c r="K10246" s="3" t="s">
        <v>51861</v>
      </c>
      <c r="L10246" s="3"/>
      <c r="M10246" s="4"/>
      <c r="N10246" s="3" t="s">
        <v>37</v>
      </c>
      <c r="O10246" s="3" t="s">
        <v>52</v>
      </c>
      <c r="P10246" s="5">
        <v>7</v>
      </c>
      <c r="Q10246" s="5">
        <v>60</v>
      </c>
      <c r="R10246" s="5">
        <v>8</v>
      </c>
      <c r="S10246" s="5">
        <v>61</v>
      </c>
    </row>
    <row r="10247" spans="1:19" ht="28" x14ac:dyDescent="0.15">
      <c r="A10247" s="2">
        <f>HYPERLINK("https://open-school.uspishnemisto.com.ua/school/530202/", 530202)</f>
        <v>530202</v>
      </c>
      <c r="B10247" s="3" t="s">
        <v>51862</v>
      </c>
      <c r="C10247" s="3" t="s">
        <v>31</v>
      </c>
      <c r="D10247" s="3" t="s">
        <v>32</v>
      </c>
      <c r="E10247" s="4" t="s">
        <v>22</v>
      </c>
      <c r="F10247" s="4" t="s">
        <v>51863</v>
      </c>
      <c r="G10247" s="4" t="s">
        <v>51864</v>
      </c>
      <c r="H10247" s="3" t="s">
        <v>50910</v>
      </c>
      <c r="I10247" s="3" t="s">
        <v>51865</v>
      </c>
      <c r="J10247" s="3" t="s">
        <v>24550</v>
      </c>
      <c r="K10247" s="3" t="s">
        <v>51866</v>
      </c>
      <c r="L10247" s="3"/>
      <c r="M10247" s="4"/>
      <c r="N10247" s="3" t="s">
        <v>37</v>
      </c>
      <c r="O10247" s="3" t="s">
        <v>52</v>
      </c>
      <c r="P10247" s="5">
        <v>10</v>
      </c>
      <c r="Q10247" s="5">
        <v>88</v>
      </c>
      <c r="R10247" s="5">
        <v>10</v>
      </c>
      <c r="S10247" s="5">
        <v>85</v>
      </c>
    </row>
    <row r="10248" spans="1:19" ht="28" x14ac:dyDescent="0.15">
      <c r="A10248" s="2">
        <f>HYPERLINK("https://open-school.uspishnemisto.com.ua/school/530203/", 530203)</f>
        <v>530203</v>
      </c>
      <c r="B10248" s="3" t="s">
        <v>51867</v>
      </c>
      <c r="C10248" s="3" t="s">
        <v>54</v>
      </c>
      <c r="D10248" s="3" t="s">
        <v>175</v>
      </c>
      <c r="E10248" s="4" t="s">
        <v>22</v>
      </c>
      <c r="F10248" s="4" t="s">
        <v>51868</v>
      </c>
      <c r="G10248" s="4" t="s">
        <v>51869</v>
      </c>
      <c r="H10248" s="3" t="s">
        <v>50910</v>
      </c>
      <c r="I10248" s="3" t="s">
        <v>12478</v>
      </c>
      <c r="J10248" s="3" t="s">
        <v>3370</v>
      </c>
      <c r="K10248" s="3" t="s">
        <v>51870</v>
      </c>
      <c r="L10248" s="3"/>
      <c r="M10248" s="4"/>
      <c r="N10248" s="3" t="s">
        <v>37</v>
      </c>
      <c r="O10248" s="3" t="s">
        <v>46</v>
      </c>
      <c r="P10248" s="5">
        <v>9</v>
      </c>
      <c r="Q10248" s="5">
        <v>53</v>
      </c>
      <c r="R10248" s="5">
        <v>9</v>
      </c>
      <c r="S10248" s="5">
        <v>62</v>
      </c>
    </row>
    <row r="10249" spans="1:19" ht="28" x14ac:dyDescent="0.15">
      <c r="A10249" s="2">
        <f>HYPERLINK("https://open-school.uspishnemisto.com.ua/school/530204/", 530204)</f>
        <v>530204</v>
      </c>
      <c r="B10249" s="3" t="s">
        <v>51871</v>
      </c>
      <c r="C10249" s="3" t="s">
        <v>31</v>
      </c>
      <c r="D10249" s="3" t="s">
        <v>32</v>
      </c>
      <c r="E10249" s="4" t="s">
        <v>22</v>
      </c>
      <c r="F10249" s="4" t="s">
        <v>51872</v>
      </c>
      <c r="G10249" s="4" t="s">
        <v>51873</v>
      </c>
      <c r="H10249" s="3" t="s">
        <v>50910</v>
      </c>
      <c r="I10249" s="3" t="s">
        <v>51874</v>
      </c>
      <c r="J10249" s="3" t="s">
        <v>51875</v>
      </c>
      <c r="K10249" s="3" t="s">
        <v>51876</v>
      </c>
      <c r="L10249" s="3"/>
      <c r="M10249" s="4"/>
      <c r="N10249" s="3" t="s">
        <v>37</v>
      </c>
      <c r="O10249" s="3" t="s">
        <v>52</v>
      </c>
      <c r="P10249" s="5">
        <v>11</v>
      </c>
      <c r="Q10249" s="5">
        <v>120</v>
      </c>
      <c r="R10249" s="5">
        <v>11</v>
      </c>
      <c r="S10249" s="5">
        <v>118</v>
      </c>
    </row>
    <row r="10250" spans="1:19" ht="28" x14ac:dyDescent="0.15">
      <c r="A10250" s="2">
        <f>HYPERLINK("https://open-school.uspishnemisto.com.ua/school/530205/", 530205)</f>
        <v>530205</v>
      </c>
      <c r="B10250" s="3" t="s">
        <v>51877</v>
      </c>
      <c r="C10250" s="3" t="s">
        <v>31</v>
      </c>
      <c r="D10250" s="3" t="s">
        <v>32</v>
      </c>
      <c r="E10250" s="4" t="s">
        <v>22</v>
      </c>
      <c r="F10250" s="4" t="s">
        <v>51878</v>
      </c>
      <c r="G10250" s="4" t="s">
        <v>51879</v>
      </c>
      <c r="H10250" s="3" t="s">
        <v>50910</v>
      </c>
      <c r="I10250" s="3" t="s">
        <v>31875</v>
      </c>
      <c r="J10250" s="3" t="s">
        <v>51880</v>
      </c>
      <c r="K10250" s="3" t="s">
        <v>51881</v>
      </c>
      <c r="L10250" s="3"/>
      <c r="M10250" s="4"/>
      <c r="N10250" s="3" t="s">
        <v>37</v>
      </c>
      <c r="O10250" s="3" t="s">
        <v>52</v>
      </c>
      <c r="P10250" s="5">
        <v>11</v>
      </c>
      <c r="Q10250" s="5">
        <v>128</v>
      </c>
      <c r="R10250" s="5">
        <v>10</v>
      </c>
      <c r="S10250" s="5">
        <v>128</v>
      </c>
    </row>
    <row r="10251" spans="1:19" ht="28" x14ac:dyDescent="0.15">
      <c r="A10251" s="2">
        <f>HYPERLINK("https://open-school.uspishnemisto.com.ua/school/530206/", 530206)</f>
        <v>530206</v>
      </c>
      <c r="B10251" s="3" t="s">
        <v>51882</v>
      </c>
      <c r="C10251" s="3" t="s">
        <v>31</v>
      </c>
      <c r="D10251" s="3" t="s">
        <v>32</v>
      </c>
      <c r="E10251" s="4" t="s">
        <v>22</v>
      </c>
      <c r="F10251" s="4" t="s">
        <v>51883</v>
      </c>
      <c r="G10251" s="4" t="s">
        <v>51884</v>
      </c>
      <c r="H10251" s="3" t="s">
        <v>50910</v>
      </c>
      <c r="I10251" s="3" t="s">
        <v>51885</v>
      </c>
      <c r="J10251" s="3" t="s">
        <v>49158</v>
      </c>
      <c r="K10251" s="3" t="s">
        <v>51886</v>
      </c>
      <c r="L10251" s="3"/>
      <c r="M10251" s="4"/>
      <c r="N10251" s="3" t="s">
        <v>37</v>
      </c>
      <c r="O10251" s="3" t="s">
        <v>52</v>
      </c>
      <c r="P10251" s="5">
        <v>11</v>
      </c>
      <c r="Q10251" s="5">
        <v>99</v>
      </c>
      <c r="R10251" s="5">
        <v>11</v>
      </c>
      <c r="S10251" s="5">
        <v>100</v>
      </c>
    </row>
    <row r="10252" spans="1:19" ht="28" x14ac:dyDescent="0.15">
      <c r="A10252" s="2">
        <f>HYPERLINK("https://open-school.uspishnemisto.com.ua/school/530207/", 530207)</f>
        <v>530207</v>
      </c>
      <c r="B10252" s="3" t="s">
        <v>51887</v>
      </c>
      <c r="C10252" s="3" t="s">
        <v>31</v>
      </c>
      <c r="D10252" s="3" t="s">
        <v>175</v>
      </c>
      <c r="E10252" s="4" t="s">
        <v>22</v>
      </c>
      <c r="F10252" s="4" t="s">
        <v>51888</v>
      </c>
      <c r="G10252" s="4" t="s">
        <v>51889</v>
      </c>
      <c r="H10252" s="3" t="s">
        <v>50910</v>
      </c>
      <c r="I10252" s="3" t="s">
        <v>51890</v>
      </c>
      <c r="J10252" s="3" t="s">
        <v>51891</v>
      </c>
      <c r="K10252" s="3" t="s">
        <v>51892</v>
      </c>
      <c r="L10252" s="3"/>
      <c r="M10252" s="4"/>
      <c r="N10252" s="3" t="s">
        <v>37</v>
      </c>
      <c r="O10252" s="3" t="s">
        <v>52</v>
      </c>
      <c r="P10252" s="5">
        <v>4</v>
      </c>
      <c r="Q10252" s="5">
        <v>35</v>
      </c>
      <c r="R10252" s="5">
        <v>3</v>
      </c>
      <c r="S10252" s="5">
        <v>35</v>
      </c>
    </row>
    <row r="10253" spans="1:19" ht="56" x14ac:dyDescent="0.15">
      <c r="A10253" s="2">
        <f>HYPERLINK("https://open-school.uspishnemisto.com.ua/school/530208/", 530208)</f>
        <v>530208</v>
      </c>
      <c r="B10253" s="3" t="s">
        <v>51893</v>
      </c>
      <c r="C10253" s="3" t="s">
        <v>54</v>
      </c>
      <c r="D10253" s="3" t="s">
        <v>32</v>
      </c>
      <c r="E10253" s="4" t="s">
        <v>22</v>
      </c>
      <c r="F10253" s="4" t="s">
        <v>51894</v>
      </c>
      <c r="G10253" s="4" t="s">
        <v>51895</v>
      </c>
      <c r="H10253" s="3" t="s">
        <v>50910</v>
      </c>
      <c r="I10253" s="3" t="s">
        <v>51896</v>
      </c>
      <c r="J10253" s="3" t="s">
        <v>51897</v>
      </c>
      <c r="K10253" s="3" t="s">
        <v>51898</v>
      </c>
      <c r="L10253" s="3" t="s">
        <v>51899</v>
      </c>
      <c r="M10253" s="4"/>
      <c r="N10253" s="3" t="s">
        <v>37</v>
      </c>
      <c r="O10253" s="3" t="s">
        <v>52</v>
      </c>
      <c r="P10253" s="5">
        <v>8</v>
      </c>
      <c r="Q10253" s="5">
        <v>67</v>
      </c>
      <c r="R10253" s="5">
        <v>9</v>
      </c>
      <c r="S10253" s="5">
        <v>70</v>
      </c>
    </row>
    <row r="10254" spans="1:19" ht="28" x14ac:dyDescent="0.15">
      <c r="A10254" s="2">
        <f>HYPERLINK("https://open-school.uspishnemisto.com.ua/school/530209/", 530209)</f>
        <v>530209</v>
      </c>
      <c r="B10254" s="3" t="s">
        <v>51900</v>
      </c>
      <c r="C10254" s="3" t="s">
        <v>31</v>
      </c>
      <c r="D10254" s="3" t="s">
        <v>32</v>
      </c>
      <c r="E10254" s="4" t="s">
        <v>22</v>
      </c>
      <c r="F10254" s="4" t="s">
        <v>51901</v>
      </c>
      <c r="G10254" s="4" t="s">
        <v>51902</v>
      </c>
      <c r="H10254" s="3" t="s">
        <v>50910</v>
      </c>
      <c r="I10254" s="3" t="s">
        <v>51903</v>
      </c>
      <c r="J10254" s="3" t="s">
        <v>6840</v>
      </c>
      <c r="K10254" s="3" t="s">
        <v>51904</v>
      </c>
      <c r="L10254" s="3"/>
      <c r="M10254" s="4"/>
      <c r="N10254" s="3" t="s">
        <v>37</v>
      </c>
      <c r="O10254" s="3" t="s">
        <v>52</v>
      </c>
      <c r="P10254" s="5">
        <v>11</v>
      </c>
      <c r="Q10254" s="5">
        <v>107</v>
      </c>
      <c r="R10254" s="5">
        <v>11</v>
      </c>
      <c r="S10254" s="5">
        <v>99</v>
      </c>
    </row>
    <row r="10255" spans="1:19" ht="28" x14ac:dyDescent="0.15">
      <c r="A10255" s="2">
        <f>HYPERLINK("https://open-school.uspishnemisto.com.ua/school/530210/", 530210)</f>
        <v>530210</v>
      </c>
      <c r="B10255" s="3" t="s">
        <v>51905</v>
      </c>
      <c r="C10255" s="3" t="s">
        <v>31</v>
      </c>
      <c r="D10255" s="3" t="s">
        <v>32</v>
      </c>
      <c r="E10255" s="4" t="s">
        <v>22</v>
      </c>
      <c r="F10255" s="4" t="s">
        <v>51906</v>
      </c>
      <c r="G10255" s="4" t="s">
        <v>51907</v>
      </c>
      <c r="H10255" s="3" t="s">
        <v>50910</v>
      </c>
      <c r="I10255" s="3" t="s">
        <v>51908</v>
      </c>
      <c r="J10255" s="3" t="s">
        <v>634</v>
      </c>
      <c r="K10255" s="3" t="s">
        <v>51909</v>
      </c>
      <c r="L10255" s="3"/>
      <c r="M10255" s="4"/>
      <c r="N10255" s="3" t="s">
        <v>37</v>
      </c>
      <c r="O10255" s="3" t="s">
        <v>52</v>
      </c>
      <c r="P10255" s="5">
        <v>11</v>
      </c>
      <c r="Q10255" s="5">
        <v>95</v>
      </c>
      <c r="R10255" s="5">
        <v>11</v>
      </c>
      <c r="S10255" s="5">
        <v>90</v>
      </c>
    </row>
    <row r="10256" spans="1:19" ht="28" x14ac:dyDescent="0.15">
      <c r="A10256" s="2">
        <f>HYPERLINK("https://open-school.uspishnemisto.com.ua/school/530211/", 530211)</f>
        <v>530211</v>
      </c>
      <c r="B10256" s="3" t="s">
        <v>51910</v>
      </c>
      <c r="C10256" s="3" t="s">
        <v>31</v>
      </c>
      <c r="D10256" s="3" t="s">
        <v>32</v>
      </c>
      <c r="E10256" s="4" t="s">
        <v>22</v>
      </c>
      <c r="F10256" s="4" t="s">
        <v>51911</v>
      </c>
      <c r="G10256" s="4" t="s">
        <v>51912</v>
      </c>
      <c r="H10256" s="3" t="s">
        <v>50910</v>
      </c>
      <c r="I10256" s="3" t="s">
        <v>4683</v>
      </c>
      <c r="J10256" s="3" t="s">
        <v>51913</v>
      </c>
      <c r="K10256" s="3"/>
      <c r="L10256" s="3"/>
      <c r="M10256" s="4"/>
      <c r="N10256" s="3" t="s">
        <v>37</v>
      </c>
      <c r="O10256" s="3" t="s">
        <v>52</v>
      </c>
      <c r="P10256" s="5">
        <v>4</v>
      </c>
      <c r="Q10256" s="5">
        <v>33</v>
      </c>
      <c r="R10256" s="5">
        <v>4</v>
      </c>
      <c r="S10256" s="5">
        <v>31</v>
      </c>
    </row>
    <row r="10257" spans="1:19" ht="28" x14ac:dyDescent="0.15">
      <c r="A10257" s="2">
        <f>HYPERLINK("https://open-school.uspishnemisto.com.ua/school/530212/", 530212)</f>
        <v>530212</v>
      </c>
      <c r="B10257" s="3" t="s">
        <v>51914</v>
      </c>
      <c r="C10257" s="3" t="s">
        <v>31</v>
      </c>
      <c r="D10257" s="3" t="s">
        <v>175</v>
      </c>
      <c r="E10257" s="4" t="s">
        <v>22</v>
      </c>
      <c r="F10257" s="4" t="s">
        <v>51915</v>
      </c>
      <c r="G10257" s="4" t="s">
        <v>51916</v>
      </c>
      <c r="H10257" s="3" t="s">
        <v>50910</v>
      </c>
      <c r="I10257" s="3" t="s">
        <v>12351</v>
      </c>
      <c r="J10257" s="3" t="s">
        <v>51917</v>
      </c>
      <c r="K10257" s="3" t="s">
        <v>51918</v>
      </c>
      <c r="L10257" s="3"/>
      <c r="M10257" s="4"/>
      <c r="N10257" s="3" t="s">
        <v>37</v>
      </c>
      <c r="O10257" s="3" t="s">
        <v>52</v>
      </c>
      <c r="P10257" s="5">
        <v>8</v>
      </c>
      <c r="Q10257" s="5">
        <v>55</v>
      </c>
      <c r="R10257" s="5">
        <v>7</v>
      </c>
      <c r="S10257" s="5">
        <v>54</v>
      </c>
    </row>
    <row r="10258" spans="1:19" ht="28" x14ac:dyDescent="0.15">
      <c r="A10258" s="2">
        <f>HYPERLINK("https://open-school.uspishnemisto.com.ua/school/530213/", 530213)</f>
        <v>530213</v>
      </c>
      <c r="B10258" s="3" t="s">
        <v>51919</v>
      </c>
      <c r="C10258" s="3" t="s">
        <v>40</v>
      </c>
      <c r="D10258" s="3" t="s">
        <v>32</v>
      </c>
      <c r="E10258" s="4" t="s">
        <v>22</v>
      </c>
      <c r="F10258" s="4" t="s">
        <v>51920</v>
      </c>
      <c r="G10258" s="4" t="s">
        <v>51921</v>
      </c>
      <c r="H10258" s="3" t="s">
        <v>50910</v>
      </c>
      <c r="I10258" s="3" t="s">
        <v>51922</v>
      </c>
      <c r="J10258" s="3" t="s">
        <v>51923</v>
      </c>
      <c r="K10258" s="3" t="s">
        <v>51924</v>
      </c>
      <c r="L10258" s="3" t="s">
        <v>51925</v>
      </c>
      <c r="M10258" s="4"/>
      <c r="N10258" s="3" t="s">
        <v>37</v>
      </c>
      <c r="O10258" s="3" t="s">
        <v>70</v>
      </c>
      <c r="P10258" s="5">
        <v>22</v>
      </c>
      <c r="Q10258" s="5">
        <v>431</v>
      </c>
      <c r="R10258" s="5">
        <v>22</v>
      </c>
      <c r="S10258" s="5">
        <v>427</v>
      </c>
    </row>
    <row r="10259" spans="1:19" ht="28" x14ac:dyDescent="0.15">
      <c r="A10259" s="2">
        <f>HYPERLINK("https://open-school.uspishnemisto.com.ua/school/530214/", 530214)</f>
        <v>530214</v>
      </c>
      <c r="B10259" s="3" t="s">
        <v>51926</v>
      </c>
      <c r="C10259" s="3" t="s">
        <v>31</v>
      </c>
      <c r="D10259" s="3" t="s">
        <v>32</v>
      </c>
      <c r="E10259" s="4" t="s">
        <v>22</v>
      </c>
      <c r="F10259" s="4" t="s">
        <v>51920</v>
      </c>
      <c r="G10259" s="4" t="s">
        <v>51921</v>
      </c>
      <c r="H10259" s="3" t="s">
        <v>50910</v>
      </c>
      <c r="I10259" s="3" t="s">
        <v>51922</v>
      </c>
      <c r="J10259" s="3" t="s">
        <v>51927</v>
      </c>
      <c r="K10259" s="3" t="s">
        <v>51928</v>
      </c>
      <c r="L10259" s="3" t="s">
        <v>51929</v>
      </c>
      <c r="M10259" s="4"/>
      <c r="N10259" s="3" t="s">
        <v>37</v>
      </c>
      <c r="O10259" s="3" t="s">
        <v>38</v>
      </c>
      <c r="P10259" s="5">
        <v>10</v>
      </c>
      <c r="Q10259" s="5">
        <v>152</v>
      </c>
      <c r="R10259" s="5">
        <v>10</v>
      </c>
      <c r="S10259" s="5">
        <v>159</v>
      </c>
    </row>
    <row r="10260" spans="1:19" ht="28" x14ac:dyDescent="0.15">
      <c r="A10260" s="2">
        <f>HYPERLINK("https://open-school.uspishnemisto.com.ua/school/530215/", 530215)</f>
        <v>530215</v>
      </c>
      <c r="B10260" s="3" t="s">
        <v>51930</v>
      </c>
      <c r="C10260" s="3" t="s">
        <v>31</v>
      </c>
      <c r="D10260" s="3" t="s">
        <v>32</v>
      </c>
      <c r="E10260" s="4" t="s">
        <v>22</v>
      </c>
      <c r="F10260" s="4" t="s">
        <v>51920</v>
      </c>
      <c r="G10260" s="4" t="s">
        <v>51921</v>
      </c>
      <c r="H10260" s="3" t="s">
        <v>50910</v>
      </c>
      <c r="I10260" s="3" t="s">
        <v>51922</v>
      </c>
      <c r="J10260" s="3" t="s">
        <v>51931</v>
      </c>
      <c r="K10260" s="3" t="s">
        <v>51932</v>
      </c>
      <c r="L10260" s="3"/>
      <c r="M10260" s="4"/>
      <c r="N10260" s="3" t="s">
        <v>37</v>
      </c>
      <c r="O10260" s="3" t="s">
        <v>38</v>
      </c>
      <c r="P10260" s="5">
        <v>11</v>
      </c>
      <c r="Q10260" s="5">
        <v>161</v>
      </c>
      <c r="R10260" s="5">
        <v>11</v>
      </c>
      <c r="S10260" s="5">
        <v>153</v>
      </c>
    </row>
    <row r="10261" spans="1:19" ht="28" x14ac:dyDescent="0.15">
      <c r="A10261" s="2">
        <f>HYPERLINK("https://open-school.uspishnemisto.com.ua/school/530216/", 530216)</f>
        <v>530216</v>
      </c>
      <c r="B10261" s="3" t="s">
        <v>51933</v>
      </c>
      <c r="C10261" s="3" t="s">
        <v>31</v>
      </c>
      <c r="D10261" s="3" t="s">
        <v>32</v>
      </c>
      <c r="E10261" s="4" t="s">
        <v>22</v>
      </c>
      <c r="F10261" s="4" t="s">
        <v>51920</v>
      </c>
      <c r="G10261" s="4" t="s">
        <v>51921</v>
      </c>
      <c r="H10261" s="3" t="s">
        <v>50910</v>
      </c>
      <c r="I10261" s="3" t="s">
        <v>51922</v>
      </c>
      <c r="J10261" s="3" t="s">
        <v>51934</v>
      </c>
      <c r="K10261" s="3" t="s">
        <v>51935</v>
      </c>
      <c r="L10261" s="3"/>
      <c r="M10261" s="4"/>
      <c r="N10261" s="3" t="s">
        <v>37</v>
      </c>
      <c r="O10261" s="3" t="s">
        <v>38</v>
      </c>
      <c r="P10261" s="5">
        <v>22</v>
      </c>
      <c r="Q10261" s="5">
        <v>505</v>
      </c>
      <c r="R10261" s="5">
        <v>22</v>
      </c>
      <c r="S10261" s="5">
        <v>499</v>
      </c>
    </row>
    <row r="10262" spans="1:19" ht="28" x14ac:dyDescent="0.15">
      <c r="A10262" s="2">
        <f>HYPERLINK("https://open-school.uspishnemisto.com.ua/school/530217/", 530217)</f>
        <v>530217</v>
      </c>
      <c r="B10262" s="3" t="s">
        <v>51936</v>
      </c>
      <c r="C10262" s="3" t="s">
        <v>31</v>
      </c>
      <c r="D10262" s="3" t="s">
        <v>175</v>
      </c>
      <c r="E10262" s="4" t="s">
        <v>22</v>
      </c>
      <c r="F10262" s="4" t="s">
        <v>4325</v>
      </c>
      <c r="G10262" s="4" t="s">
        <v>51937</v>
      </c>
      <c r="H10262" s="3" t="s">
        <v>50910</v>
      </c>
      <c r="I10262" s="3" t="s">
        <v>1291</v>
      </c>
      <c r="J10262" s="3" t="s">
        <v>51938</v>
      </c>
      <c r="K10262" s="3" t="s">
        <v>51939</v>
      </c>
      <c r="L10262" s="3"/>
      <c r="M10262" s="4"/>
      <c r="N10262" s="3" t="s">
        <v>37</v>
      </c>
      <c r="O10262" s="3" t="s">
        <v>38</v>
      </c>
      <c r="P10262" s="5">
        <v>5</v>
      </c>
      <c r="Q10262" s="5">
        <v>38</v>
      </c>
      <c r="R10262" s="5">
        <v>5</v>
      </c>
      <c r="S10262" s="5">
        <v>38</v>
      </c>
    </row>
    <row r="10263" spans="1:19" ht="28" x14ac:dyDescent="0.15">
      <c r="A10263" s="2">
        <f>HYPERLINK("https://open-school.uspishnemisto.com.ua/school/530218/", 530218)</f>
        <v>530218</v>
      </c>
      <c r="B10263" s="3" t="s">
        <v>51940</v>
      </c>
      <c r="C10263" s="3" t="s">
        <v>31</v>
      </c>
      <c r="D10263" s="3" t="s">
        <v>175</v>
      </c>
      <c r="E10263" s="4" t="s">
        <v>22</v>
      </c>
      <c r="F10263" s="4" t="s">
        <v>51941</v>
      </c>
      <c r="G10263" s="4" t="s">
        <v>51942</v>
      </c>
      <c r="H10263" s="3" t="s">
        <v>50910</v>
      </c>
      <c r="I10263" s="3" t="s">
        <v>24992</v>
      </c>
      <c r="J10263" s="3" t="s">
        <v>45216</v>
      </c>
      <c r="K10263" s="3" t="s">
        <v>51943</v>
      </c>
      <c r="L10263" s="3"/>
      <c r="M10263" s="4"/>
      <c r="N10263" s="3" t="s">
        <v>37</v>
      </c>
      <c r="O10263" s="3" t="s">
        <v>52</v>
      </c>
      <c r="P10263" s="5">
        <v>9</v>
      </c>
      <c r="Q10263" s="5">
        <v>61</v>
      </c>
      <c r="R10263" s="5">
        <v>9</v>
      </c>
      <c r="S10263" s="5">
        <v>61</v>
      </c>
    </row>
    <row r="10264" spans="1:19" ht="28" x14ac:dyDescent="0.15">
      <c r="A10264" s="2">
        <f>HYPERLINK("https://open-school.uspishnemisto.com.ua/school/530219/", 530219)</f>
        <v>530219</v>
      </c>
      <c r="B10264" s="3" t="s">
        <v>51944</v>
      </c>
      <c r="C10264" s="3" t="s">
        <v>31</v>
      </c>
      <c r="D10264" s="3" t="s">
        <v>32</v>
      </c>
      <c r="E10264" s="4" t="s">
        <v>22</v>
      </c>
      <c r="F10264" s="4" t="s">
        <v>51945</v>
      </c>
      <c r="G10264" s="4" t="s">
        <v>51946</v>
      </c>
      <c r="H10264" s="3" t="s">
        <v>50910</v>
      </c>
      <c r="I10264" s="3" t="s">
        <v>51947</v>
      </c>
      <c r="J10264" s="3" t="s">
        <v>51948</v>
      </c>
      <c r="K10264" s="3"/>
      <c r="L10264" s="3" t="s">
        <v>51949</v>
      </c>
      <c r="M10264" s="4"/>
      <c r="N10264" s="3" t="s">
        <v>37</v>
      </c>
      <c r="O10264" s="3" t="s">
        <v>52</v>
      </c>
      <c r="P10264" s="5">
        <v>9</v>
      </c>
      <c r="Q10264" s="5">
        <v>64</v>
      </c>
      <c r="R10264" s="5">
        <v>10</v>
      </c>
      <c r="S10264" s="5">
        <v>64</v>
      </c>
    </row>
    <row r="10265" spans="1:19" ht="28" x14ac:dyDescent="0.15">
      <c r="A10265" s="2">
        <f>HYPERLINK("https://open-school.uspishnemisto.com.ua/school/530220/", 530220)</f>
        <v>530220</v>
      </c>
      <c r="B10265" s="3" t="s">
        <v>51950</v>
      </c>
      <c r="C10265" s="3" t="s">
        <v>31</v>
      </c>
      <c r="D10265" s="3" t="s">
        <v>32</v>
      </c>
      <c r="E10265" s="4" t="s">
        <v>22</v>
      </c>
      <c r="F10265" s="4" t="s">
        <v>51951</v>
      </c>
      <c r="G10265" s="4" t="s">
        <v>51952</v>
      </c>
      <c r="H10265" s="3" t="s">
        <v>50910</v>
      </c>
      <c r="I10265" s="3" t="s">
        <v>51953</v>
      </c>
      <c r="J10265" s="3" t="s">
        <v>51954</v>
      </c>
      <c r="K10265" s="3" t="s">
        <v>51955</v>
      </c>
      <c r="L10265" s="3" t="s">
        <v>51956</v>
      </c>
      <c r="M10265" s="4"/>
      <c r="N10265" s="3" t="s">
        <v>37</v>
      </c>
      <c r="O10265" s="3" t="s">
        <v>38</v>
      </c>
      <c r="P10265" s="5">
        <v>9</v>
      </c>
      <c r="Q10265" s="5">
        <v>68</v>
      </c>
      <c r="R10265" s="5">
        <v>9</v>
      </c>
      <c r="S10265" s="5">
        <v>61</v>
      </c>
    </row>
    <row r="10266" spans="1:19" ht="28" x14ac:dyDescent="0.15">
      <c r="A10266" s="2">
        <f>HYPERLINK("https://open-school.uspishnemisto.com.ua/school/530221/", 530221)</f>
        <v>530221</v>
      </c>
      <c r="B10266" s="3" t="s">
        <v>51957</v>
      </c>
      <c r="C10266" s="3" t="s">
        <v>31</v>
      </c>
      <c r="D10266" s="3" t="s">
        <v>32</v>
      </c>
      <c r="E10266" s="4" t="s">
        <v>22</v>
      </c>
      <c r="F10266" s="4" t="s">
        <v>51958</v>
      </c>
      <c r="G10266" s="4" t="s">
        <v>51959</v>
      </c>
      <c r="H10266" s="3" t="s">
        <v>50910</v>
      </c>
      <c r="I10266" s="3" t="s">
        <v>51960</v>
      </c>
      <c r="J10266" s="3" t="s">
        <v>51961</v>
      </c>
      <c r="K10266" s="3" t="s">
        <v>51962</v>
      </c>
      <c r="L10266" s="3"/>
      <c r="M10266" s="4"/>
      <c r="N10266" s="3" t="s">
        <v>37</v>
      </c>
      <c r="O10266" s="3" t="s">
        <v>38</v>
      </c>
      <c r="P10266" s="5">
        <v>10</v>
      </c>
      <c r="Q10266" s="5">
        <v>72</v>
      </c>
      <c r="R10266" s="5">
        <v>10</v>
      </c>
      <c r="S10266" s="5">
        <v>70</v>
      </c>
    </row>
    <row r="10267" spans="1:19" ht="42" x14ac:dyDescent="0.15">
      <c r="A10267" s="2">
        <f>HYPERLINK("https://open-school.uspishnemisto.com.ua/school/530222/", 530222)</f>
        <v>530222</v>
      </c>
      <c r="B10267" s="3" t="s">
        <v>51963</v>
      </c>
      <c r="C10267" s="3" t="s">
        <v>181</v>
      </c>
      <c r="D10267" s="3" t="s">
        <v>175</v>
      </c>
      <c r="E10267" s="4" t="s">
        <v>22</v>
      </c>
      <c r="F10267" s="4" t="s">
        <v>51958</v>
      </c>
      <c r="G10267" s="4" t="s">
        <v>51959</v>
      </c>
      <c r="H10267" s="3" t="s">
        <v>50910</v>
      </c>
      <c r="I10267" s="3" t="s">
        <v>51960</v>
      </c>
      <c r="J10267" s="3" t="s">
        <v>51964</v>
      </c>
      <c r="K10267" s="3" t="s">
        <v>51965</v>
      </c>
      <c r="L10267" s="3"/>
      <c r="M10267" s="4" t="s">
        <v>51966</v>
      </c>
      <c r="N10267" s="3" t="s">
        <v>37</v>
      </c>
      <c r="O10267" s="3"/>
      <c r="P10267" s="5">
        <v>11</v>
      </c>
      <c r="Q10267" s="5">
        <v>81</v>
      </c>
      <c r="R10267" s="5">
        <v>11</v>
      </c>
      <c r="S10267" s="5">
        <v>80</v>
      </c>
    </row>
    <row r="10268" spans="1:19" ht="28" x14ac:dyDescent="0.15">
      <c r="A10268" s="2">
        <f>HYPERLINK("https://open-school.uspishnemisto.com.ua/school/530223/", 530223)</f>
        <v>530223</v>
      </c>
      <c r="B10268" s="3" t="s">
        <v>51967</v>
      </c>
      <c r="C10268" s="3" t="s">
        <v>31</v>
      </c>
      <c r="D10268" s="3" t="s">
        <v>175</v>
      </c>
      <c r="E10268" s="4" t="s">
        <v>22</v>
      </c>
      <c r="F10268" s="4" t="s">
        <v>51968</v>
      </c>
      <c r="G10268" s="4" t="s">
        <v>51969</v>
      </c>
      <c r="H10268" s="3" t="s">
        <v>50910</v>
      </c>
      <c r="I10268" s="3" t="s">
        <v>51970</v>
      </c>
      <c r="J10268" s="3" t="s">
        <v>51971</v>
      </c>
      <c r="K10268" s="3" t="s">
        <v>51972</v>
      </c>
      <c r="L10268" s="3"/>
      <c r="M10268" s="4"/>
      <c r="N10268" s="3" t="s">
        <v>37</v>
      </c>
      <c r="O10268" s="3" t="s">
        <v>38</v>
      </c>
      <c r="P10268" s="5">
        <v>4</v>
      </c>
      <c r="Q10268" s="5">
        <v>39</v>
      </c>
      <c r="R10268" s="5">
        <v>3</v>
      </c>
      <c r="S10268" s="5">
        <v>36</v>
      </c>
    </row>
    <row r="10269" spans="1:19" ht="42" x14ac:dyDescent="0.15">
      <c r="A10269" s="2">
        <f>HYPERLINK("https://open-school.uspishnemisto.com.ua/school/530224/", 530224)</f>
        <v>530224</v>
      </c>
      <c r="B10269" s="3" t="s">
        <v>51973</v>
      </c>
      <c r="C10269" s="3" t="s">
        <v>31</v>
      </c>
      <c r="D10269" s="3" t="s">
        <v>32</v>
      </c>
      <c r="E10269" s="4" t="s">
        <v>22</v>
      </c>
      <c r="F10269" s="4" t="s">
        <v>51974</v>
      </c>
      <c r="G10269" s="4" t="s">
        <v>51975</v>
      </c>
      <c r="H10269" s="3" t="s">
        <v>50910</v>
      </c>
      <c r="I10269" s="3" t="s">
        <v>440</v>
      </c>
      <c r="J10269" s="3" t="s">
        <v>51976</v>
      </c>
      <c r="K10269" s="3" t="s">
        <v>51977</v>
      </c>
      <c r="L10269" s="3"/>
      <c r="M10269" s="4"/>
      <c r="N10269" s="3" t="s">
        <v>37</v>
      </c>
      <c r="O10269" s="3" t="s">
        <v>52</v>
      </c>
      <c r="P10269" s="5">
        <v>9</v>
      </c>
      <c r="Q10269" s="5">
        <v>55</v>
      </c>
      <c r="R10269" s="5">
        <v>9</v>
      </c>
      <c r="S10269" s="5">
        <v>58</v>
      </c>
    </row>
    <row r="10270" spans="1:19" ht="28" x14ac:dyDescent="0.15">
      <c r="A10270" s="2">
        <f>HYPERLINK("https://open-school.uspishnemisto.com.ua/school/530225/", 530225)</f>
        <v>530225</v>
      </c>
      <c r="B10270" s="3" t="s">
        <v>51978</v>
      </c>
      <c r="C10270" s="3" t="s">
        <v>31</v>
      </c>
      <c r="D10270" s="3" t="s">
        <v>32</v>
      </c>
      <c r="E10270" s="4" t="s">
        <v>22</v>
      </c>
      <c r="F10270" s="4" t="s">
        <v>51979</v>
      </c>
      <c r="G10270" s="4" t="s">
        <v>51980</v>
      </c>
      <c r="H10270" s="3" t="s">
        <v>50910</v>
      </c>
      <c r="I10270" s="3" t="s">
        <v>51981</v>
      </c>
      <c r="J10270" s="3" t="s">
        <v>1770</v>
      </c>
      <c r="K10270" s="3" t="s">
        <v>51982</v>
      </c>
      <c r="L10270" s="3"/>
      <c r="M10270" s="4"/>
      <c r="N10270" s="3" t="s">
        <v>37</v>
      </c>
      <c r="O10270" s="3" t="s">
        <v>46</v>
      </c>
      <c r="P10270" s="5">
        <v>10</v>
      </c>
      <c r="Q10270" s="5">
        <v>84</v>
      </c>
      <c r="R10270" s="5">
        <v>10</v>
      </c>
      <c r="S10270" s="5">
        <v>73</v>
      </c>
    </row>
    <row r="10271" spans="1:19" ht="28" x14ac:dyDescent="0.15">
      <c r="A10271" s="2">
        <f>HYPERLINK("https://open-school.uspishnemisto.com.ua/school/530226/", 530226)</f>
        <v>530226</v>
      </c>
      <c r="B10271" s="3" t="s">
        <v>51983</v>
      </c>
      <c r="C10271" s="3" t="s">
        <v>31</v>
      </c>
      <c r="D10271" s="3" t="s">
        <v>32</v>
      </c>
      <c r="E10271" s="4" t="s">
        <v>22</v>
      </c>
      <c r="F10271" s="4" t="s">
        <v>51984</v>
      </c>
      <c r="G10271" s="4" t="s">
        <v>51985</v>
      </c>
      <c r="H10271" s="3" t="s">
        <v>50910</v>
      </c>
      <c r="I10271" s="3" t="s">
        <v>51986</v>
      </c>
      <c r="J10271" s="3" t="s">
        <v>2139</v>
      </c>
      <c r="K10271" s="3" t="s">
        <v>51987</v>
      </c>
      <c r="L10271" s="3"/>
      <c r="M10271" s="4"/>
      <c r="N10271" s="3" t="s">
        <v>37</v>
      </c>
      <c r="O10271" s="3" t="s">
        <v>46</v>
      </c>
      <c r="P10271" s="5">
        <v>8</v>
      </c>
      <c r="Q10271" s="5">
        <v>44</v>
      </c>
      <c r="R10271" s="5">
        <v>8</v>
      </c>
      <c r="S10271" s="5">
        <v>45</v>
      </c>
    </row>
    <row r="10272" spans="1:19" ht="28" x14ac:dyDescent="0.15">
      <c r="A10272" s="2">
        <f>HYPERLINK("https://open-school.uspishnemisto.com.ua/school/530227/", 530227)</f>
        <v>530227</v>
      </c>
      <c r="B10272" s="3" t="s">
        <v>51988</v>
      </c>
      <c r="C10272" s="3" t="s">
        <v>31</v>
      </c>
      <c r="D10272" s="3" t="s">
        <v>32</v>
      </c>
      <c r="E10272" s="4" t="s">
        <v>22</v>
      </c>
      <c r="F10272" s="4" t="s">
        <v>51989</v>
      </c>
      <c r="G10272" s="4" t="s">
        <v>51990</v>
      </c>
      <c r="H10272" s="3" t="s">
        <v>50910</v>
      </c>
      <c r="I10272" s="3" t="s">
        <v>6991</v>
      </c>
      <c r="J10272" s="3" t="s">
        <v>35903</v>
      </c>
      <c r="K10272" s="3" t="s">
        <v>51991</v>
      </c>
      <c r="L10272" s="3"/>
      <c r="M10272" s="4"/>
      <c r="N10272" s="3" t="s">
        <v>37</v>
      </c>
      <c r="O10272" s="3" t="s">
        <v>38</v>
      </c>
      <c r="P10272" s="5">
        <v>8</v>
      </c>
      <c r="Q10272" s="5">
        <v>64</v>
      </c>
      <c r="R10272" s="5">
        <v>6</v>
      </c>
      <c r="S10272" s="5">
        <v>51</v>
      </c>
    </row>
    <row r="10273" spans="1:19" ht="28" x14ac:dyDescent="0.15">
      <c r="A10273" s="2">
        <f>HYPERLINK("https://open-school.uspishnemisto.com.ua/school/530228/", 530228)</f>
        <v>530228</v>
      </c>
      <c r="B10273" s="3" t="s">
        <v>51992</v>
      </c>
      <c r="C10273" s="3" t="s">
        <v>31</v>
      </c>
      <c r="D10273" s="3" t="s">
        <v>32</v>
      </c>
      <c r="E10273" s="4" t="s">
        <v>22</v>
      </c>
      <c r="F10273" s="4" t="s">
        <v>51993</v>
      </c>
      <c r="G10273" s="4" t="s">
        <v>51994</v>
      </c>
      <c r="H10273" s="3" t="s">
        <v>50910</v>
      </c>
      <c r="I10273" s="3" t="s">
        <v>51995</v>
      </c>
      <c r="J10273" s="3" t="s">
        <v>51996</v>
      </c>
      <c r="K10273" s="3" t="s">
        <v>51997</v>
      </c>
      <c r="L10273" s="3"/>
      <c r="M10273" s="4"/>
      <c r="N10273" s="3" t="s">
        <v>37</v>
      </c>
      <c r="O10273" s="3" t="s">
        <v>46</v>
      </c>
      <c r="P10273" s="5">
        <v>10</v>
      </c>
      <c r="Q10273" s="5">
        <v>95</v>
      </c>
      <c r="R10273" s="5">
        <v>10</v>
      </c>
      <c r="S10273" s="5">
        <v>90</v>
      </c>
    </row>
    <row r="10274" spans="1:19" ht="28" x14ac:dyDescent="0.15">
      <c r="A10274" s="2">
        <f>HYPERLINK("https://open-school.uspishnemisto.com.ua/school/530230/", 530230)</f>
        <v>530230</v>
      </c>
      <c r="B10274" s="3" t="s">
        <v>51998</v>
      </c>
      <c r="C10274" s="3" t="s">
        <v>31</v>
      </c>
      <c r="D10274" s="3" t="s">
        <v>32</v>
      </c>
      <c r="E10274" s="4" t="s">
        <v>22</v>
      </c>
      <c r="F10274" s="4" t="s">
        <v>51999</v>
      </c>
      <c r="G10274" s="4" t="s">
        <v>52000</v>
      </c>
      <c r="H10274" s="3" t="s">
        <v>50910</v>
      </c>
      <c r="I10274" s="3" t="s">
        <v>1439</v>
      </c>
      <c r="J10274" s="3" t="s">
        <v>11336</v>
      </c>
      <c r="K10274" s="3" t="s">
        <v>52001</v>
      </c>
      <c r="L10274" s="3" t="s">
        <v>52002</v>
      </c>
      <c r="M10274" s="4"/>
      <c r="N10274" s="3" t="s">
        <v>37</v>
      </c>
      <c r="O10274" s="3" t="s">
        <v>52</v>
      </c>
      <c r="P10274" s="5">
        <v>9</v>
      </c>
      <c r="Q10274" s="5">
        <v>63</v>
      </c>
      <c r="R10274" s="5">
        <v>10</v>
      </c>
      <c r="S10274" s="5">
        <v>68</v>
      </c>
    </row>
    <row r="10275" spans="1:19" ht="28" x14ac:dyDescent="0.15">
      <c r="A10275" s="2">
        <f>HYPERLINK("https://open-school.uspishnemisto.com.ua/school/530231/", 530231)</f>
        <v>530231</v>
      </c>
      <c r="B10275" s="3" t="s">
        <v>52003</v>
      </c>
      <c r="C10275" s="3" t="s">
        <v>31</v>
      </c>
      <c r="D10275" s="3" t="s">
        <v>32</v>
      </c>
      <c r="E10275" s="4" t="s">
        <v>22</v>
      </c>
      <c r="F10275" s="4" t="s">
        <v>52004</v>
      </c>
      <c r="G10275" s="4" t="s">
        <v>52005</v>
      </c>
      <c r="H10275" s="3" t="s">
        <v>50910</v>
      </c>
      <c r="I10275" s="3" t="s">
        <v>52006</v>
      </c>
      <c r="J10275" s="3" t="s">
        <v>52007</v>
      </c>
      <c r="K10275" s="3" t="s">
        <v>52008</v>
      </c>
      <c r="L10275" s="3" t="s">
        <v>52009</v>
      </c>
      <c r="M10275" s="4"/>
      <c r="N10275" s="3" t="s">
        <v>37</v>
      </c>
      <c r="O10275" s="3" t="s">
        <v>38</v>
      </c>
      <c r="P10275" s="5">
        <v>9</v>
      </c>
      <c r="Q10275" s="5">
        <v>62</v>
      </c>
      <c r="R10275" s="5">
        <v>10</v>
      </c>
      <c r="S10275" s="5">
        <v>70</v>
      </c>
    </row>
    <row r="10276" spans="1:19" ht="70" x14ac:dyDescent="0.15">
      <c r="A10276" s="2">
        <f>HYPERLINK("https://open-school.uspishnemisto.com.ua/school/530232/", 530232)</f>
        <v>530232</v>
      </c>
      <c r="B10276" s="3" t="s">
        <v>52010</v>
      </c>
      <c r="C10276" s="3" t="s">
        <v>54</v>
      </c>
      <c r="D10276" s="3" t="s">
        <v>32</v>
      </c>
      <c r="E10276" s="4" t="s">
        <v>22</v>
      </c>
      <c r="F10276" s="4" t="s">
        <v>52011</v>
      </c>
      <c r="G10276" s="4" t="s">
        <v>52012</v>
      </c>
      <c r="H10276" s="3" t="s">
        <v>50910</v>
      </c>
      <c r="I10276" s="3" t="s">
        <v>52013</v>
      </c>
      <c r="J10276" s="3" t="s">
        <v>4822</v>
      </c>
      <c r="K10276" s="3" t="s">
        <v>52014</v>
      </c>
      <c r="L10276" s="3" t="s">
        <v>52015</v>
      </c>
      <c r="M10276" s="4"/>
      <c r="N10276" s="3" t="s">
        <v>37</v>
      </c>
      <c r="O10276" s="3" t="s">
        <v>70</v>
      </c>
      <c r="P10276" s="5">
        <v>31</v>
      </c>
      <c r="Q10276" s="5">
        <v>648</v>
      </c>
      <c r="R10276" s="5">
        <v>27</v>
      </c>
      <c r="S10276" s="5">
        <v>602</v>
      </c>
    </row>
    <row r="10277" spans="1:19" ht="28" x14ac:dyDescent="0.15">
      <c r="A10277" s="2">
        <f>HYPERLINK("https://open-school.uspishnemisto.com.ua/school/530233/", 530233)</f>
        <v>530233</v>
      </c>
      <c r="B10277" s="3" t="s">
        <v>52016</v>
      </c>
      <c r="C10277" s="3" t="s">
        <v>31</v>
      </c>
      <c r="D10277" s="3" t="s">
        <v>32</v>
      </c>
      <c r="E10277" s="4" t="s">
        <v>22</v>
      </c>
      <c r="F10277" s="4" t="s">
        <v>52011</v>
      </c>
      <c r="G10277" s="4" t="s">
        <v>52012</v>
      </c>
      <c r="H10277" s="3" t="s">
        <v>50910</v>
      </c>
      <c r="I10277" s="3" t="s">
        <v>52013</v>
      </c>
      <c r="J10277" s="3" t="s">
        <v>52017</v>
      </c>
      <c r="K10277" s="3" t="s">
        <v>52018</v>
      </c>
      <c r="L10277" s="3" t="s">
        <v>52019</v>
      </c>
      <c r="M10277" s="4"/>
      <c r="N10277" s="3" t="s">
        <v>37</v>
      </c>
      <c r="O10277" s="3" t="s">
        <v>46</v>
      </c>
      <c r="P10277" s="5">
        <v>14</v>
      </c>
      <c r="Q10277" s="5">
        <v>263</v>
      </c>
      <c r="R10277" s="5">
        <v>13</v>
      </c>
      <c r="S10277" s="5">
        <v>241</v>
      </c>
    </row>
    <row r="10278" spans="1:19" ht="28" x14ac:dyDescent="0.15">
      <c r="A10278" s="2">
        <f>HYPERLINK("https://open-school.uspishnemisto.com.ua/school/530235/", 530235)</f>
        <v>530235</v>
      </c>
      <c r="B10278" s="3" t="s">
        <v>52020</v>
      </c>
      <c r="C10278" s="3" t="s">
        <v>31</v>
      </c>
      <c r="D10278" s="3" t="s">
        <v>175</v>
      </c>
      <c r="E10278" s="4" t="s">
        <v>22</v>
      </c>
      <c r="F10278" s="4" t="s">
        <v>52021</v>
      </c>
      <c r="G10278" s="4" t="s">
        <v>52022</v>
      </c>
      <c r="H10278" s="3" t="s">
        <v>50910</v>
      </c>
      <c r="I10278" s="3" t="s">
        <v>51467</v>
      </c>
      <c r="J10278" s="3" t="s">
        <v>1360</v>
      </c>
      <c r="K10278" s="3" t="s">
        <v>52023</v>
      </c>
      <c r="L10278" s="3"/>
      <c r="M10278" s="4"/>
      <c r="N10278" s="3" t="s">
        <v>37</v>
      </c>
      <c r="O10278" s="3" t="s">
        <v>46</v>
      </c>
      <c r="P10278" s="5">
        <v>6</v>
      </c>
      <c r="Q10278" s="5">
        <v>55</v>
      </c>
      <c r="R10278" s="5">
        <v>5</v>
      </c>
      <c r="S10278" s="5">
        <v>51</v>
      </c>
    </row>
    <row r="10279" spans="1:19" ht="28" x14ac:dyDescent="0.15">
      <c r="A10279" s="2">
        <f>HYPERLINK("https://open-school.uspishnemisto.com.ua/school/530236/", 530236)</f>
        <v>530236</v>
      </c>
      <c r="B10279" s="3" t="s">
        <v>52024</v>
      </c>
      <c r="C10279" s="3" t="s">
        <v>31</v>
      </c>
      <c r="D10279" s="3" t="s">
        <v>32</v>
      </c>
      <c r="E10279" s="4" t="s">
        <v>22</v>
      </c>
      <c r="F10279" s="4" t="s">
        <v>52025</v>
      </c>
      <c r="G10279" s="4" t="s">
        <v>52026</v>
      </c>
      <c r="H10279" s="3" t="s">
        <v>50910</v>
      </c>
      <c r="I10279" s="3" t="s">
        <v>52027</v>
      </c>
      <c r="J10279" s="3" t="s">
        <v>792</v>
      </c>
      <c r="K10279" s="3" t="s">
        <v>52028</v>
      </c>
      <c r="L10279" s="3" t="s">
        <v>52029</v>
      </c>
      <c r="M10279" s="4"/>
      <c r="N10279" s="3" t="s">
        <v>37</v>
      </c>
      <c r="O10279" s="3" t="s">
        <v>38</v>
      </c>
      <c r="P10279" s="5">
        <v>11</v>
      </c>
      <c r="Q10279" s="5">
        <v>146</v>
      </c>
      <c r="R10279" s="5">
        <v>11</v>
      </c>
      <c r="S10279" s="5">
        <v>139</v>
      </c>
    </row>
    <row r="10280" spans="1:19" ht="28" x14ac:dyDescent="0.15">
      <c r="A10280" s="2">
        <f>HYPERLINK("https://open-school.uspishnemisto.com.ua/school/530237/", 530237)</f>
        <v>530237</v>
      </c>
      <c r="B10280" s="3" t="s">
        <v>52030</v>
      </c>
      <c r="C10280" s="3" t="s">
        <v>31</v>
      </c>
      <c r="D10280" s="3" t="s">
        <v>32</v>
      </c>
      <c r="E10280" s="4" t="s">
        <v>22</v>
      </c>
      <c r="F10280" s="4" t="s">
        <v>52031</v>
      </c>
      <c r="G10280" s="4" t="s">
        <v>52032</v>
      </c>
      <c r="H10280" s="3" t="s">
        <v>50910</v>
      </c>
      <c r="I10280" s="3" t="s">
        <v>51602</v>
      </c>
      <c r="J10280" s="3" t="s">
        <v>52033</v>
      </c>
      <c r="K10280" s="3" t="s">
        <v>52034</v>
      </c>
      <c r="L10280" s="3" t="s">
        <v>52035</v>
      </c>
      <c r="M10280" s="4"/>
      <c r="N10280" s="3" t="s">
        <v>37</v>
      </c>
      <c r="O10280" s="3" t="s">
        <v>46</v>
      </c>
      <c r="P10280" s="5">
        <v>10</v>
      </c>
      <c r="Q10280" s="5">
        <v>118</v>
      </c>
      <c r="R10280" s="5">
        <v>10</v>
      </c>
      <c r="S10280" s="5">
        <v>116</v>
      </c>
    </row>
    <row r="10281" spans="1:19" ht="28" x14ac:dyDescent="0.15">
      <c r="A10281" s="2">
        <f>HYPERLINK("https://open-school.uspishnemisto.com.ua/school/530238/", 530238)</f>
        <v>530238</v>
      </c>
      <c r="B10281" s="3" t="s">
        <v>52036</v>
      </c>
      <c r="C10281" s="3" t="s">
        <v>31</v>
      </c>
      <c r="D10281" s="3" t="s">
        <v>32</v>
      </c>
      <c r="E10281" s="4" t="s">
        <v>22</v>
      </c>
      <c r="F10281" s="4" t="s">
        <v>52037</v>
      </c>
      <c r="G10281" s="4" t="s">
        <v>52038</v>
      </c>
      <c r="H10281" s="3" t="s">
        <v>50910</v>
      </c>
      <c r="I10281" s="3" t="s">
        <v>52039</v>
      </c>
      <c r="J10281" s="3" t="s">
        <v>1999</v>
      </c>
      <c r="K10281" s="3" t="s">
        <v>52040</v>
      </c>
      <c r="L10281" s="3" t="s">
        <v>52041</v>
      </c>
      <c r="M10281" s="4"/>
      <c r="N10281" s="3" t="s">
        <v>37</v>
      </c>
      <c r="O10281" s="3" t="s">
        <v>46</v>
      </c>
      <c r="P10281" s="5">
        <v>6</v>
      </c>
      <c r="Q10281" s="5">
        <v>64</v>
      </c>
      <c r="R10281" s="5">
        <v>6</v>
      </c>
      <c r="S10281" s="5">
        <v>63</v>
      </c>
    </row>
    <row r="10282" spans="1:19" ht="28" x14ac:dyDescent="0.15">
      <c r="A10282" s="2">
        <f>HYPERLINK("https://open-school.uspishnemisto.com.ua/school/530239/", 530239)</f>
        <v>530239</v>
      </c>
      <c r="B10282" s="3" t="s">
        <v>52042</v>
      </c>
      <c r="C10282" s="3" t="s">
        <v>31</v>
      </c>
      <c r="D10282" s="3" t="s">
        <v>32</v>
      </c>
      <c r="E10282" s="4" t="s">
        <v>22</v>
      </c>
      <c r="F10282" s="4" t="s">
        <v>52043</v>
      </c>
      <c r="G10282" s="4" t="s">
        <v>52044</v>
      </c>
      <c r="H10282" s="3" t="s">
        <v>50910</v>
      </c>
      <c r="I10282" s="3" t="s">
        <v>52045</v>
      </c>
      <c r="J10282" s="3" t="s">
        <v>52046</v>
      </c>
      <c r="K10282" s="3" t="s">
        <v>52047</v>
      </c>
      <c r="L10282" s="3" t="s">
        <v>52048</v>
      </c>
      <c r="M10282" s="4"/>
      <c r="N10282" s="3" t="s">
        <v>37</v>
      </c>
      <c r="O10282" s="3" t="s">
        <v>46</v>
      </c>
      <c r="P10282" s="5">
        <v>10</v>
      </c>
      <c r="Q10282" s="5">
        <v>65</v>
      </c>
      <c r="R10282" s="5">
        <v>10</v>
      </c>
      <c r="S10282" s="5">
        <v>69</v>
      </c>
    </row>
    <row r="10283" spans="1:19" ht="28" x14ac:dyDescent="0.15">
      <c r="A10283" s="2">
        <f>HYPERLINK("https://open-school.uspishnemisto.com.ua/school/530240/", 530240)</f>
        <v>530240</v>
      </c>
      <c r="B10283" s="3" t="s">
        <v>52049</v>
      </c>
      <c r="C10283" s="3" t="s">
        <v>31</v>
      </c>
      <c r="D10283" s="3" t="s">
        <v>32</v>
      </c>
      <c r="E10283" s="4" t="s">
        <v>22</v>
      </c>
      <c r="F10283" s="4" t="s">
        <v>52050</v>
      </c>
      <c r="G10283" s="4" t="s">
        <v>52051</v>
      </c>
      <c r="H10283" s="3" t="s">
        <v>50910</v>
      </c>
      <c r="I10283" s="3" t="s">
        <v>52052</v>
      </c>
      <c r="J10283" s="3" t="s">
        <v>526</v>
      </c>
      <c r="K10283" s="3" t="s">
        <v>52053</v>
      </c>
      <c r="L10283" s="3"/>
      <c r="M10283" s="4"/>
      <c r="N10283" s="3" t="s">
        <v>37</v>
      </c>
      <c r="O10283" s="3" t="s">
        <v>618</v>
      </c>
      <c r="P10283" s="5">
        <v>11</v>
      </c>
      <c r="Q10283" s="5">
        <v>119</v>
      </c>
      <c r="R10283" s="5">
        <v>11</v>
      </c>
      <c r="S10283" s="5">
        <v>112</v>
      </c>
    </row>
    <row r="10284" spans="1:19" ht="42" x14ac:dyDescent="0.15">
      <c r="A10284" s="2">
        <f>HYPERLINK("https://open-school.uspishnemisto.com.ua/school/530242/", 530242)</f>
        <v>530242</v>
      </c>
      <c r="B10284" s="3" t="s">
        <v>52054</v>
      </c>
      <c r="C10284" s="3" t="s">
        <v>31</v>
      </c>
      <c r="D10284" s="3" t="s">
        <v>32</v>
      </c>
      <c r="E10284" s="4" t="s">
        <v>22</v>
      </c>
      <c r="F10284" s="4" t="s">
        <v>52055</v>
      </c>
      <c r="G10284" s="4" t="s">
        <v>52056</v>
      </c>
      <c r="H10284" s="3" t="s">
        <v>50910</v>
      </c>
      <c r="I10284" s="3" t="s">
        <v>52057</v>
      </c>
      <c r="J10284" s="3" t="s">
        <v>52058</v>
      </c>
      <c r="K10284" s="3" t="s">
        <v>52059</v>
      </c>
      <c r="L10284" s="3" t="s">
        <v>52060</v>
      </c>
      <c r="M10284" s="4"/>
      <c r="N10284" s="3" t="s">
        <v>37</v>
      </c>
      <c r="O10284" s="3" t="s">
        <v>46</v>
      </c>
      <c r="P10284" s="5">
        <v>12</v>
      </c>
      <c r="Q10284" s="5">
        <v>239</v>
      </c>
      <c r="R10284" s="5">
        <v>12</v>
      </c>
      <c r="S10284" s="5">
        <v>232</v>
      </c>
    </row>
    <row r="10285" spans="1:19" ht="28" x14ac:dyDescent="0.15">
      <c r="A10285" s="2">
        <f>HYPERLINK("https://open-school.uspishnemisto.com.ua/school/530243/", 530243)</f>
        <v>530243</v>
      </c>
      <c r="B10285" s="3" t="s">
        <v>52061</v>
      </c>
      <c r="C10285" s="3" t="s">
        <v>181</v>
      </c>
      <c r="D10285" s="3" t="s">
        <v>175</v>
      </c>
      <c r="E10285" s="4" t="s">
        <v>22</v>
      </c>
      <c r="F10285" s="4" t="s">
        <v>52055</v>
      </c>
      <c r="G10285" s="4" t="s">
        <v>52062</v>
      </c>
      <c r="H10285" s="3" t="s">
        <v>50910</v>
      </c>
      <c r="I10285" s="3" t="s">
        <v>688</v>
      </c>
      <c r="J10285" s="3" t="s">
        <v>52063</v>
      </c>
      <c r="K10285" s="3" t="s">
        <v>52064</v>
      </c>
      <c r="L10285" s="3"/>
      <c r="M10285" s="4" t="s">
        <v>52065</v>
      </c>
      <c r="N10285" s="3" t="s">
        <v>37</v>
      </c>
      <c r="O10285" s="3" t="s">
        <v>52</v>
      </c>
      <c r="P10285" s="5">
        <v>9</v>
      </c>
      <c r="Q10285" s="5">
        <v>84</v>
      </c>
      <c r="R10285" s="5">
        <v>9</v>
      </c>
      <c r="S10285" s="5">
        <v>90</v>
      </c>
    </row>
    <row r="10286" spans="1:19" ht="28" x14ac:dyDescent="0.15">
      <c r="A10286" s="2">
        <f>HYPERLINK("https://open-school.uspishnemisto.com.ua/school/530244/", 530244)</f>
        <v>530244</v>
      </c>
      <c r="B10286" s="3" t="s">
        <v>52066</v>
      </c>
      <c r="C10286" s="3" t="s">
        <v>31</v>
      </c>
      <c r="D10286" s="3" t="s">
        <v>32</v>
      </c>
      <c r="E10286" s="4" t="s">
        <v>22</v>
      </c>
      <c r="F10286" s="4" t="s">
        <v>52067</v>
      </c>
      <c r="G10286" s="4" t="s">
        <v>52068</v>
      </c>
      <c r="H10286" s="3" t="s">
        <v>50910</v>
      </c>
      <c r="I10286" s="3" t="s">
        <v>7089</v>
      </c>
      <c r="J10286" s="3" t="s">
        <v>726</v>
      </c>
      <c r="K10286" s="3" t="s">
        <v>52069</v>
      </c>
      <c r="L10286" s="3"/>
      <c r="M10286" s="4"/>
      <c r="N10286" s="3" t="s">
        <v>37</v>
      </c>
      <c r="O10286" s="3" t="s">
        <v>112</v>
      </c>
      <c r="P10286" s="5">
        <v>8</v>
      </c>
      <c r="Q10286" s="5">
        <v>65</v>
      </c>
      <c r="R10286" s="5">
        <v>8</v>
      </c>
      <c r="S10286" s="5">
        <v>66</v>
      </c>
    </row>
    <row r="10287" spans="1:19" ht="28" x14ac:dyDescent="0.15">
      <c r="A10287" s="2">
        <f>HYPERLINK("https://open-school.uspishnemisto.com.ua/school/530245/", 530245)</f>
        <v>530245</v>
      </c>
      <c r="B10287" s="3" t="s">
        <v>52070</v>
      </c>
      <c r="C10287" s="3" t="s">
        <v>31</v>
      </c>
      <c r="D10287" s="3" t="s">
        <v>175</v>
      </c>
      <c r="E10287" s="4" t="s">
        <v>22</v>
      </c>
      <c r="F10287" s="4" t="s">
        <v>52071</v>
      </c>
      <c r="G10287" s="4" t="s">
        <v>52072</v>
      </c>
      <c r="H10287" s="3" t="s">
        <v>50910</v>
      </c>
      <c r="I10287" s="3" t="s">
        <v>52073</v>
      </c>
      <c r="J10287" s="3" t="s">
        <v>52074</v>
      </c>
      <c r="K10287" s="3" t="s">
        <v>52075</v>
      </c>
      <c r="L10287" s="3"/>
      <c r="M10287" s="4"/>
      <c r="N10287" s="3" t="s">
        <v>37</v>
      </c>
      <c r="O10287" s="3" t="s">
        <v>52</v>
      </c>
      <c r="P10287" s="5">
        <v>0</v>
      </c>
      <c r="Q10287" s="5">
        <v>0</v>
      </c>
      <c r="R10287" s="5">
        <v>8</v>
      </c>
      <c r="S10287" s="5">
        <v>61</v>
      </c>
    </row>
    <row r="10288" spans="1:19" ht="28" x14ac:dyDescent="0.15">
      <c r="A10288" s="2">
        <f>HYPERLINK("https://open-school.uspishnemisto.com.ua/school/530246/", 530246)</f>
        <v>530246</v>
      </c>
      <c r="B10288" s="3" t="s">
        <v>52076</v>
      </c>
      <c r="C10288" s="3" t="s">
        <v>244</v>
      </c>
      <c r="D10288" s="3" t="s">
        <v>32</v>
      </c>
      <c r="E10288" s="4" t="s">
        <v>22</v>
      </c>
      <c r="F10288" s="4" t="s">
        <v>52071</v>
      </c>
      <c r="G10288" s="4" t="s">
        <v>52072</v>
      </c>
      <c r="H10288" s="3" t="s">
        <v>50910</v>
      </c>
      <c r="I10288" s="3" t="s">
        <v>52073</v>
      </c>
      <c r="J10288" s="3" t="s">
        <v>52077</v>
      </c>
      <c r="K10288" s="3"/>
      <c r="L10288" s="3"/>
      <c r="M10288" s="4"/>
      <c r="N10288" s="3" t="s">
        <v>37</v>
      </c>
      <c r="O10288" s="3" t="s">
        <v>46</v>
      </c>
      <c r="P10288" s="5">
        <v>21</v>
      </c>
      <c r="Q10288" s="5">
        <v>468</v>
      </c>
      <c r="R10288" s="5">
        <v>20</v>
      </c>
      <c r="S10288" s="5">
        <v>454</v>
      </c>
    </row>
    <row r="10289" spans="1:19" ht="42" x14ac:dyDescent="0.15">
      <c r="A10289" s="2">
        <f>HYPERLINK("https://open-school.uspishnemisto.com.ua/school/530247/", 530247)</f>
        <v>530247</v>
      </c>
      <c r="B10289" s="3" t="s">
        <v>52078</v>
      </c>
      <c r="C10289" s="3" t="s">
        <v>244</v>
      </c>
      <c r="D10289" s="3" t="s">
        <v>32</v>
      </c>
      <c r="E10289" s="4" t="s">
        <v>22</v>
      </c>
      <c r="F10289" s="4" t="s">
        <v>52071</v>
      </c>
      <c r="G10289" s="4" t="s">
        <v>52072</v>
      </c>
      <c r="H10289" s="3" t="s">
        <v>50910</v>
      </c>
      <c r="I10289" s="3" t="s">
        <v>52073</v>
      </c>
      <c r="J10289" s="3" t="s">
        <v>52079</v>
      </c>
      <c r="K10289" s="3"/>
      <c r="L10289" s="3"/>
      <c r="M10289" s="4"/>
      <c r="N10289" s="3" t="s">
        <v>37</v>
      </c>
      <c r="O10289" s="3" t="s">
        <v>46</v>
      </c>
      <c r="P10289" s="5">
        <v>39</v>
      </c>
      <c r="Q10289" s="5">
        <v>658</v>
      </c>
      <c r="R10289" s="5">
        <v>38</v>
      </c>
      <c r="S10289" s="5">
        <v>597</v>
      </c>
    </row>
    <row r="10290" spans="1:19" ht="42" x14ac:dyDescent="0.15">
      <c r="A10290" s="2">
        <f>HYPERLINK("https://open-school.uspishnemisto.com.ua/school/530248/", 530248)</f>
        <v>530248</v>
      </c>
      <c r="B10290" s="3" t="s">
        <v>52080</v>
      </c>
      <c r="C10290" s="3" t="s">
        <v>4989</v>
      </c>
      <c r="D10290" s="3" t="s">
        <v>32</v>
      </c>
      <c r="E10290" s="4" t="s">
        <v>253</v>
      </c>
      <c r="F10290" s="4" t="s">
        <v>52081</v>
      </c>
      <c r="G10290" s="4" t="s">
        <v>52082</v>
      </c>
      <c r="H10290" s="3" t="s">
        <v>50910</v>
      </c>
      <c r="I10290" s="3" t="s">
        <v>52083</v>
      </c>
      <c r="J10290" s="3" t="s">
        <v>52084</v>
      </c>
      <c r="K10290" s="3" t="s">
        <v>52085</v>
      </c>
      <c r="L10290" s="3"/>
      <c r="M10290" s="4" t="s">
        <v>52086</v>
      </c>
      <c r="N10290" s="3" t="s">
        <v>37</v>
      </c>
      <c r="O10290" s="3" t="s">
        <v>52</v>
      </c>
      <c r="P10290" s="5">
        <v>11</v>
      </c>
      <c r="Q10290" s="5">
        <v>221</v>
      </c>
      <c r="R10290" s="5">
        <v>11</v>
      </c>
      <c r="S10290" s="5">
        <v>213</v>
      </c>
    </row>
    <row r="10291" spans="1:19" ht="28" x14ac:dyDescent="0.15">
      <c r="A10291" s="2">
        <f>HYPERLINK("https://open-school.uspishnemisto.com.ua/school/530249/", 530249)</f>
        <v>530249</v>
      </c>
      <c r="B10291" s="3" t="s">
        <v>52087</v>
      </c>
      <c r="C10291" s="3" t="s">
        <v>244</v>
      </c>
      <c r="D10291" s="3" t="s">
        <v>32</v>
      </c>
      <c r="E10291" s="4" t="s">
        <v>22</v>
      </c>
      <c r="F10291" s="4" t="s">
        <v>52081</v>
      </c>
      <c r="G10291" s="4" t="s">
        <v>52082</v>
      </c>
      <c r="H10291" s="3" t="s">
        <v>50910</v>
      </c>
      <c r="I10291" s="3" t="s">
        <v>52083</v>
      </c>
      <c r="J10291" s="3" t="s">
        <v>2378</v>
      </c>
      <c r="K10291" s="3" t="s">
        <v>52088</v>
      </c>
      <c r="L10291" s="3"/>
      <c r="M10291" s="4"/>
      <c r="N10291" s="3" t="s">
        <v>37</v>
      </c>
      <c r="O10291" s="3" t="s">
        <v>52</v>
      </c>
      <c r="P10291" s="5">
        <v>20</v>
      </c>
      <c r="Q10291" s="5">
        <v>383</v>
      </c>
      <c r="R10291" s="5">
        <v>19</v>
      </c>
      <c r="S10291" s="5">
        <v>385</v>
      </c>
    </row>
    <row r="10292" spans="1:19" ht="28" x14ac:dyDescent="0.15">
      <c r="A10292" s="2">
        <f>HYPERLINK("https://open-school.uspishnemisto.com.ua/school/530250/", 530250)</f>
        <v>530250</v>
      </c>
      <c r="B10292" s="3" t="s">
        <v>52089</v>
      </c>
      <c r="C10292" s="3" t="s">
        <v>31</v>
      </c>
      <c r="D10292" s="3" t="s">
        <v>175</v>
      </c>
      <c r="E10292" s="4" t="s">
        <v>22</v>
      </c>
      <c r="F10292" s="4" t="s">
        <v>52090</v>
      </c>
      <c r="G10292" s="4" t="s">
        <v>52091</v>
      </c>
      <c r="H10292" s="3" t="s">
        <v>50910</v>
      </c>
      <c r="I10292" s="3" t="s">
        <v>52092</v>
      </c>
      <c r="J10292" s="3" t="s">
        <v>5884</v>
      </c>
      <c r="K10292" s="3" t="s">
        <v>52093</v>
      </c>
      <c r="L10292" s="3" t="s">
        <v>52094</v>
      </c>
      <c r="M10292" s="4"/>
      <c r="N10292" s="3" t="s">
        <v>37</v>
      </c>
      <c r="O10292" s="3" t="s">
        <v>618</v>
      </c>
      <c r="P10292" s="5">
        <v>1</v>
      </c>
      <c r="Q10292" s="5">
        <v>27</v>
      </c>
      <c r="R10292" s="5">
        <v>2</v>
      </c>
      <c r="S10292" s="5">
        <v>27</v>
      </c>
    </row>
    <row r="10293" spans="1:19" ht="28" x14ac:dyDescent="0.15">
      <c r="A10293" s="2">
        <f>HYPERLINK("https://open-school.uspishnemisto.com.ua/school/530251/", 530251)</f>
        <v>530251</v>
      </c>
      <c r="B10293" s="3" t="s">
        <v>52095</v>
      </c>
      <c r="C10293" s="3" t="s">
        <v>31</v>
      </c>
      <c r="D10293" s="3" t="s">
        <v>32</v>
      </c>
      <c r="E10293" s="4" t="s">
        <v>22</v>
      </c>
      <c r="F10293" s="4" t="s">
        <v>52096</v>
      </c>
      <c r="G10293" s="4" t="s">
        <v>52097</v>
      </c>
      <c r="H10293" s="3" t="s">
        <v>50910</v>
      </c>
      <c r="I10293" s="3" t="s">
        <v>7007</v>
      </c>
      <c r="J10293" s="3" t="s">
        <v>22078</v>
      </c>
      <c r="K10293" s="3" t="s">
        <v>52098</v>
      </c>
      <c r="L10293" s="3"/>
      <c r="M10293" s="4"/>
      <c r="N10293" s="3" t="s">
        <v>37</v>
      </c>
      <c r="O10293" s="3" t="s">
        <v>46</v>
      </c>
      <c r="P10293" s="5">
        <v>11</v>
      </c>
      <c r="Q10293" s="5">
        <v>85</v>
      </c>
      <c r="R10293" s="5">
        <v>11</v>
      </c>
      <c r="S10293" s="5">
        <v>82</v>
      </c>
    </row>
    <row r="10294" spans="1:19" ht="28" x14ac:dyDescent="0.15">
      <c r="A10294" s="2">
        <f>HYPERLINK("https://open-school.uspishnemisto.com.ua/school/530252/", 530252)</f>
        <v>530252</v>
      </c>
      <c r="B10294" s="3" t="s">
        <v>52099</v>
      </c>
      <c r="C10294" s="3" t="s">
        <v>244</v>
      </c>
      <c r="D10294" s="3" t="s">
        <v>32</v>
      </c>
      <c r="E10294" s="4" t="s">
        <v>22</v>
      </c>
      <c r="F10294" s="4" t="s">
        <v>52100</v>
      </c>
      <c r="G10294" s="4" t="s">
        <v>52101</v>
      </c>
      <c r="H10294" s="3" t="s">
        <v>50910</v>
      </c>
      <c r="I10294" s="3" t="s">
        <v>52102</v>
      </c>
      <c r="J10294" s="3" t="s">
        <v>52103</v>
      </c>
      <c r="K10294" s="3" t="s">
        <v>52104</v>
      </c>
      <c r="L10294" s="3"/>
      <c r="M10294" s="4"/>
      <c r="N10294" s="3" t="s">
        <v>37</v>
      </c>
      <c r="O10294" s="3" t="s">
        <v>52</v>
      </c>
      <c r="P10294" s="5">
        <v>11</v>
      </c>
      <c r="Q10294" s="5">
        <v>133</v>
      </c>
      <c r="R10294" s="5">
        <v>11</v>
      </c>
      <c r="S10294" s="5">
        <v>141</v>
      </c>
    </row>
    <row r="10295" spans="1:19" ht="56" x14ac:dyDescent="0.15">
      <c r="A10295" s="2">
        <f>HYPERLINK("https://open-school.uspishnemisto.com.ua/school/530253/", 530253)</f>
        <v>530253</v>
      </c>
      <c r="B10295" s="3" t="s">
        <v>52105</v>
      </c>
      <c r="C10295" s="3" t="s">
        <v>31</v>
      </c>
      <c r="D10295" s="3" t="s">
        <v>60</v>
      </c>
      <c r="E10295" s="4" t="s">
        <v>22</v>
      </c>
      <c r="F10295" s="4" t="s">
        <v>52106</v>
      </c>
      <c r="G10295" s="4" t="s">
        <v>52107</v>
      </c>
      <c r="H10295" s="3" t="s">
        <v>50910</v>
      </c>
      <c r="I10295" s="3" t="s">
        <v>3512</v>
      </c>
      <c r="J10295" s="3" t="s">
        <v>1354</v>
      </c>
      <c r="K10295" s="3" t="s">
        <v>52108</v>
      </c>
      <c r="L10295" s="3"/>
      <c r="M10295" s="4"/>
      <c r="N10295" s="3"/>
      <c r="O10295" s="3"/>
      <c r="P10295" s="5">
        <v>0</v>
      </c>
      <c r="Q10295" s="5">
        <v>0</v>
      </c>
      <c r="R10295" s="5"/>
      <c r="S10295" s="5"/>
    </row>
    <row r="10296" spans="1:19" ht="56" x14ac:dyDescent="0.15">
      <c r="A10296" s="2">
        <f>HYPERLINK("https://open-school.uspishnemisto.com.ua/school/530254/", 530254)</f>
        <v>530254</v>
      </c>
      <c r="B10296" s="3" t="s">
        <v>52109</v>
      </c>
      <c r="C10296" s="3" t="s">
        <v>31</v>
      </c>
      <c r="D10296" s="3" t="s">
        <v>175</v>
      </c>
      <c r="E10296" s="4" t="s">
        <v>22</v>
      </c>
      <c r="F10296" s="4" t="s">
        <v>52110</v>
      </c>
      <c r="G10296" s="4" t="s">
        <v>52111</v>
      </c>
      <c r="H10296" s="3" t="s">
        <v>50910</v>
      </c>
      <c r="I10296" s="3" t="s">
        <v>34727</v>
      </c>
      <c r="J10296" s="3" t="s">
        <v>4557</v>
      </c>
      <c r="K10296" s="3" t="s">
        <v>52112</v>
      </c>
      <c r="L10296" s="3"/>
      <c r="M10296" s="4"/>
      <c r="N10296" s="3"/>
      <c r="O10296" s="3"/>
      <c r="P10296" s="5">
        <v>0</v>
      </c>
      <c r="Q10296" s="5">
        <v>0</v>
      </c>
      <c r="R10296" s="5"/>
      <c r="S10296" s="5"/>
    </row>
    <row r="10297" spans="1:19" ht="28" x14ac:dyDescent="0.15">
      <c r="A10297" s="2">
        <f>HYPERLINK("https://open-school.uspishnemisto.com.ua/school/530255/", 530255)</f>
        <v>530255</v>
      </c>
      <c r="B10297" s="3" t="s">
        <v>52113</v>
      </c>
      <c r="C10297" s="3" t="s">
        <v>31</v>
      </c>
      <c r="D10297" s="3" t="s">
        <v>32</v>
      </c>
      <c r="E10297" s="4" t="s">
        <v>22</v>
      </c>
      <c r="F10297" s="4" t="s">
        <v>52114</v>
      </c>
      <c r="G10297" s="4" t="s">
        <v>52115</v>
      </c>
      <c r="H10297" s="3" t="s">
        <v>50910</v>
      </c>
      <c r="I10297" s="3" t="s">
        <v>52116</v>
      </c>
      <c r="J10297" s="3" t="s">
        <v>52117</v>
      </c>
      <c r="K10297" s="3" t="s">
        <v>52118</v>
      </c>
      <c r="L10297" s="3" t="s">
        <v>52119</v>
      </c>
      <c r="M10297" s="4"/>
      <c r="N10297" s="3" t="s">
        <v>37</v>
      </c>
      <c r="O10297" s="3" t="s">
        <v>46</v>
      </c>
      <c r="P10297" s="5">
        <v>11</v>
      </c>
      <c r="Q10297" s="5">
        <v>116</v>
      </c>
      <c r="R10297" s="5">
        <v>11</v>
      </c>
      <c r="S10297" s="5">
        <v>106</v>
      </c>
    </row>
    <row r="10298" spans="1:19" ht="28" x14ac:dyDescent="0.15">
      <c r="A10298" s="2">
        <f>HYPERLINK("https://open-school.uspishnemisto.com.ua/school/530256/", 530256)</f>
        <v>530256</v>
      </c>
      <c r="B10298" s="3" t="s">
        <v>52120</v>
      </c>
      <c r="C10298" s="3" t="s">
        <v>31</v>
      </c>
      <c r="D10298" s="3" t="s">
        <v>32</v>
      </c>
      <c r="E10298" s="4" t="s">
        <v>22</v>
      </c>
      <c r="F10298" s="4" t="s">
        <v>52121</v>
      </c>
      <c r="G10298" s="4" t="s">
        <v>52122</v>
      </c>
      <c r="H10298" s="3" t="s">
        <v>50910</v>
      </c>
      <c r="I10298" s="3" t="s">
        <v>52123</v>
      </c>
      <c r="J10298" s="3" t="s">
        <v>52124</v>
      </c>
      <c r="K10298" s="3" t="s">
        <v>52125</v>
      </c>
      <c r="L10298" s="3" t="s">
        <v>52126</v>
      </c>
      <c r="M10298" s="4"/>
      <c r="N10298" s="3" t="s">
        <v>37</v>
      </c>
      <c r="O10298" s="3" t="s">
        <v>52</v>
      </c>
      <c r="P10298" s="5">
        <v>4</v>
      </c>
      <c r="Q10298" s="5">
        <v>37</v>
      </c>
      <c r="R10298" s="5">
        <v>5</v>
      </c>
      <c r="S10298" s="5">
        <v>40</v>
      </c>
    </row>
    <row r="10299" spans="1:19" ht="28" x14ac:dyDescent="0.15">
      <c r="A10299" s="2">
        <f>HYPERLINK("https://open-school.uspishnemisto.com.ua/school/530257/", 530257)</f>
        <v>530257</v>
      </c>
      <c r="B10299" s="3" t="s">
        <v>52127</v>
      </c>
      <c r="C10299" s="3" t="s">
        <v>31</v>
      </c>
      <c r="D10299" s="3" t="s">
        <v>32</v>
      </c>
      <c r="E10299" s="4" t="s">
        <v>22</v>
      </c>
      <c r="F10299" s="4" t="s">
        <v>52128</v>
      </c>
      <c r="G10299" s="4" t="s">
        <v>52129</v>
      </c>
      <c r="H10299" s="3" t="s">
        <v>50910</v>
      </c>
      <c r="I10299" s="3" t="s">
        <v>52130</v>
      </c>
      <c r="J10299" s="3" t="s">
        <v>52131</v>
      </c>
      <c r="K10299" s="3" t="s">
        <v>52132</v>
      </c>
      <c r="L10299" s="3"/>
      <c r="M10299" s="4"/>
      <c r="N10299" s="3" t="s">
        <v>37</v>
      </c>
      <c r="O10299" s="3" t="s">
        <v>52</v>
      </c>
      <c r="P10299" s="5">
        <v>6</v>
      </c>
      <c r="Q10299" s="5">
        <v>54</v>
      </c>
      <c r="R10299" s="5">
        <v>8</v>
      </c>
      <c r="S10299" s="5">
        <v>65</v>
      </c>
    </row>
    <row r="10300" spans="1:19" ht="28" x14ac:dyDescent="0.15">
      <c r="A10300" s="2">
        <f>HYPERLINK("https://open-school.uspishnemisto.com.ua/school/530258/", 530258)</f>
        <v>530258</v>
      </c>
      <c r="B10300" s="3" t="s">
        <v>52133</v>
      </c>
      <c r="C10300" s="3" t="s">
        <v>31</v>
      </c>
      <c r="D10300" s="3" t="s">
        <v>32</v>
      </c>
      <c r="E10300" s="4" t="s">
        <v>22</v>
      </c>
      <c r="F10300" s="4" t="s">
        <v>52134</v>
      </c>
      <c r="G10300" s="4" t="s">
        <v>52135</v>
      </c>
      <c r="H10300" s="3" t="s">
        <v>50910</v>
      </c>
      <c r="I10300" s="3" t="s">
        <v>52136</v>
      </c>
      <c r="J10300" s="3" t="s">
        <v>52137</v>
      </c>
      <c r="K10300" s="3" t="s">
        <v>52138</v>
      </c>
      <c r="L10300" s="3"/>
      <c r="M10300" s="4"/>
      <c r="N10300" s="3" t="s">
        <v>37</v>
      </c>
      <c r="O10300" s="3" t="s">
        <v>52</v>
      </c>
      <c r="P10300" s="5">
        <v>11</v>
      </c>
      <c r="Q10300" s="5">
        <v>104</v>
      </c>
      <c r="R10300" s="5">
        <v>11</v>
      </c>
      <c r="S10300" s="5">
        <v>104</v>
      </c>
    </row>
    <row r="10301" spans="1:19" ht="42" x14ac:dyDescent="0.15">
      <c r="A10301" s="2">
        <f>HYPERLINK("https://open-school.uspishnemisto.com.ua/school/530259/", 530259)</f>
        <v>530259</v>
      </c>
      <c r="B10301" s="3" t="s">
        <v>52139</v>
      </c>
      <c r="C10301" s="3" t="s">
        <v>54</v>
      </c>
      <c r="D10301" s="3" t="s">
        <v>60</v>
      </c>
      <c r="E10301" s="4" t="s">
        <v>22</v>
      </c>
      <c r="F10301" s="4" t="s">
        <v>52140</v>
      </c>
      <c r="G10301" s="4" t="s">
        <v>52141</v>
      </c>
      <c r="H10301" s="3" t="s">
        <v>50910</v>
      </c>
      <c r="I10301" s="3" t="s">
        <v>2900</v>
      </c>
      <c r="J10301" s="3" t="s">
        <v>3244</v>
      </c>
      <c r="K10301" s="3" t="s">
        <v>52142</v>
      </c>
      <c r="L10301" s="3"/>
      <c r="M10301" s="4"/>
      <c r="N10301" s="3" t="s">
        <v>37</v>
      </c>
      <c r="O10301" s="3" t="s">
        <v>52</v>
      </c>
      <c r="P10301" s="5">
        <v>1</v>
      </c>
      <c r="Q10301" s="5">
        <v>12</v>
      </c>
      <c r="R10301" s="5">
        <v>1</v>
      </c>
      <c r="S10301" s="5">
        <v>10</v>
      </c>
    </row>
    <row r="10302" spans="1:19" ht="28" x14ac:dyDescent="0.15">
      <c r="A10302" s="2">
        <f>HYPERLINK("https://open-school.uspishnemisto.com.ua/school/530260/", 530260)</f>
        <v>530260</v>
      </c>
      <c r="B10302" s="3" t="s">
        <v>52143</v>
      </c>
      <c r="C10302" s="3" t="s">
        <v>31</v>
      </c>
      <c r="D10302" s="3" t="s">
        <v>175</v>
      </c>
      <c r="E10302" s="4" t="s">
        <v>22</v>
      </c>
      <c r="F10302" s="4" t="s">
        <v>52144</v>
      </c>
      <c r="G10302" s="4" t="s">
        <v>52145</v>
      </c>
      <c r="H10302" s="3" t="s">
        <v>50910</v>
      </c>
      <c r="I10302" s="3" t="s">
        <v>52146</v>
      </c>
      <c r="J10302" s="3" t="s">
        <v>52147</v>
      </c>
      <c r="K10302" s="3" t="s">
        <v>52148</v>
      </c>
      <c r="L10302" s="3" t="s">
        <v>52149</v>
      </c>
      <c r="M10302" s="4"/>
      <c r="N10302" s="3" t="s">
        <v>37</v>
      </c>
      <c r="O10302" s="3" t="s">
        <v>46</v>
      </c>
      <c r="P10302" s="5">
        <v>6</v>
      </c>
      <c r="Q10302" s="5">
        <v>60</v>
      </c>
      <c r="R10302" s="5">
        <v>6</v>
      </c>
      <c r="S10302" s="5">
        <v>54</v>
      </c>
    </row>
    <row r="10303" spans="1:19" ht="28" x14ac:dyDescent="0.15">
      <c r="A10303" s="2">
        <f>HYPERLINK("https://open-school.uspishnemisto.com.ua/school/530261/", 530261)</f>
        <v>530261</v>
      </c>
      <c r="B10303" s="3" t="s">
        <v>52150</v>
      </c>
      <c r="C10303" s="3" t="s">
        <v>31</v>
      </c>
      <c r="D10303" s="3" t="s">
        <v>175</v>
      </c>
      <c r="E10303" s="4" t="s">
        <v>22</v>
      </c>
      <c r="F10303" s="4" t="s">
        <v>52151</v>
      </c>
      <c r="G10303" s="4" t="s">
        <v>52152</v>
      </c>
      <c r="H10303" s="3" t="s">
        <v>50910</v>
      </c>
      <c r="I10303" s="3" t="s">
        <v>12001</v>
      </c>
      <c r="J10303" s="3" t="s">
        <v>28871</v>
      </c>
      <c r="K10303" s="3" t="s">
        <v>11720</v>
      </c>
      <c r="L10303" s="3"/>
      <c r="M10303" s="4"/>
      <c r="N10303" s="3" t="s">
        <v>37</v>
      </c>
      <c r="O10303" s="3" t="s">
        <v>46</v>
      </c>
      <c r="P10303" s="5">
        <v>6</v>
      </c>
      <c r="Q10303" s="5">
        <v>53</v>
      </c>
      <c r="R10303" s="5">
        <v>7</v>
      </c>
      <c r="S10303" s="5">
        <v>59</v>
      </c>
    </row>
    <row r="10304" spans="1:19" ht="28" x14ac:dyDescent="0.15">
      <c r="A10304" s="2">
        <f>HYPERLINK("https://open-school.uspishnemisto.com.ua/school/530262/", 530262)</f>
        <v>530262</v>
      </c>
      <c r="B10304" s="3" t="s">
        <v>52153</v>
      </c>
      <c r="C10304" s="3" t="s">
        <v>31</v>
      </c>
      <c r="D10304" s="3" t="s">
        <v>60</v>
      </c>
      <c r="E10304" s="4" t="s">
        <v>22</v>
      </c>
      <c r="F10304" s="4" t="s">
        <v>52151</v>
      </c>
      <c r="G10304" s="4" t="s">
        <v>52154</v>
      </c>
      <c r="H10304" s="3" t="s">
        <v>50910</v>
      </c>
      <c r="I10304" s="3" t="s">
        <v>52155</v>
      </c>
      <c r="J10304" s="3" t="s">
        <v>52156</v>
      </c>
      <c r="K10304" s="3"/>
      <c r="L10304" s="3"/>
      <c r="M10304" s="4"/>
      <c r="N10304" s="3" t="s">
        <v>37</v>
      </c>
      <c r="O10304" s="3" t="s">
        <v>46</v>
      </c>
      <c r="P10304" s="5">
        <v>0</v>
      </c>
      <c r="Q10304" s="5">
        <v>4</v>
      </c>
      <c r="R10304" s="5">
        <v>0</v>
      </c>
      <c r="S10304" s="5">
        <v>5</v>
      </c>
    </row>
    <row r="10305" spans="1:19" ht="28" x14ac:dyDescent="0.15">
      <c r="A10305" s="2">
        <f>HYPERLINK("https://open-school.uspishnemisto.com.ua/school/530263/", 530263)</f>
        <v>530263</v>
      </c>
      <c r="B10305" s="3" t="s">
        <v>52157</v>
      </c>
      <c r="C10305" s="3" t="s">
        <v>31</v>
      </c>
      <c r="D10305" s="3" t="s">
        <v>60</v>
      </c>
      <c r="E10305" s="4" t="s">
        <v>22</v>
      </c>
      <c r="F10305" s="4" t="s">
        <v>52158</v>
      </c>
      <c r="G10305" s="4" t="s">
        <v>52159</v>
      </c>
      <c r="H10305" s="3" t="s">
        <v>50910</v>
      </c>
      <c r="I10305" s="3" t="s">
        <v>2202</v>
      </c>
      <c r="J10305" s="3" t="s">
        <v>16202</v>
      </c>
      <c r="K10305" s="3" t="s">
        <v>52160</v>
      </c>
      <c r="L10305" s="3"/>
      <c r="M10305" s="4"/>
      <c r="N10305" s="3" t="s">
        <v>37</v>
      </c>
      <c r="O10305" s="3" t="s">
        <v>52</v>
      </c>
      <c r="P10305" s="5">
        <v>2</v>
      </c>
      <c r="Q10305" s="5">
        <v>18</v>
      </c>
      <c r="R10305" s="5">
        <v>1</v>
      </c>
      <c r="S10305" s="5">
        <v>17</v>
      </c>
    </row>
    <row r="10306" spans="1:19" ht="28" x14ac:dyDescent="0.15">
      <c r="A10306" s="2">
        <f>HYPERLINK("https://open-school.uspishnemisto.com.ua/school/530264/", 530264)</f>
        <v>530264</v>
      </c>
      <c r="B10306" s="3" t="s">
        <v>52161</v>
      </c>
      <c r="C10306" s="3" t="s">
        <v>31</v>
      </c>
      <c r="D10306" s="3" t="s">
        <v>60</v>
      </c>
      <c r="E10306" s="4" t="s">
        <v>22</v>
      </c>
      <c r="F10306" s="4" t="s">
        <v>52162</v>
      </c>
      <c r="G10306" s="4" t="s">
        <v>52163</v>
      </c>
      <c r="H10306" s="3" t="s">
        <v>50910</v>
      </c>
      <c r="I10306" s="3" t="s">
        <v>52164</v>
      </c>
      <c r="J10306" s="3" t="s">
        <v>52165</v>
      </c>
      <c r="K10306" s="3" t="s">
        <v>52166</v>
      </c>
      <c r="L10306" s="3" t="s">
        <v>52167</v>
      </c>
      <c r="M10306" s="4"/>
      <c r="N10306" s="3" t="s">
        <v>37</v>
      </c>
      <c r="O10306" s="3" t="s">
        <v>52</v>
      </c>
      <c r="P10306" s="5">
        <v>1</v>
      </c>
      <c r="Q10306" s="5">
        <v>10</v>
      </c>
      <c r="R10306" s="5">
        <v>1</v>
      </c>
      <c r="S10306" s="5">
        <v>11</v>
      </c>
    </row>
    <row r="10307" spans="1:19" ht="28" x14ac:dyDescent="0.15">
      <c r="A10307" s="2">
        <f>HYPERLINK("https://open-school.uspishnemisto.com.ua/school/530265/", 530265)</f>
        <v>530265</v>
      </c>
      <c r="B10307" s="3" t="s">
        <v>52168</v>
      </c>
      <c r="C10307" s="3" t="s">
        <v>31</v>
      </c>
      <c r="D10307" s="3" t="s">
        <v>32</v>
      </c>
      <c r="E10307" s="4" t="s">
        <v>22</v>
      </c>
      <c r="F10307" s="4" t="s">
        <v>52169</v>
      </c>
      <c r="G10307" s="4" t="s">
        <v>52170</v>
      </c>
      <c r="H10307" s="3" t="s">
        <v>50910</v>
      </c>
      <c r="I10307" s="3" t="s">
        <v>52171</v>
      </c>
      <c r="J10307" s="3" t="s">
        <v>52172</v>
      </c>
      <c r="K10307" s="3" t="s">
        <v>52173</v>
      </c>
      <c r="L10307" s="3" t="s">
        <v>52174</v>
      </c>
      <c r="M10307" s="4"/>
      <c r="N10307" s="3" t="s">
        <v>37</v>
      </c>
      <c r="O10307" s="3" t="s">
        <v>52</v>
      </c>
      <c r="P10307" s="5">
        <v>11</v>
      </c>
      <c r="Q10307" s="5">
        <v>105</v>
      </c>
      <c r="R10307" s="5">
        <v>11</v>
      </c>
      <c r="S10307" s="5">
        <v>106</v>
      </c>
    </row>
    <row r="10308" spans="1:19" ht="28" x14ac:dyDescent="0.15">
      <c r="A10308" s="2">
        <f>HYPERLINK("https://open-school.uspishnemisto.com.ua/school/530266/", 530266)</f>
        <v>530266</v>
      </c>
      <c r="B10308" s="3" t="s">
        <v>52175</v>
      </c>
      <c r="C10308" s="3" t="s">
        <v>31</v>
      </c>
      <c r="D10308" s="3" t="s">
        <v>32</v>
      </c>
      <c r="E10308" s="4" t="s">
        <v>22</v>
      </c>
      <c r="F10308" s="4" t="s">
        <v>52176</v>
      </c>
      <c r="G10308" s="4" t="s">
        <v>52177</v>
      </c>
      <c r="H10308" s="3" t="s">
        <v>50910</v>
      </c>
      <c r="I10308" s="3" t="s">
        <v>52178</v>
      </c>
      <c r="J10308" s="3" t="s">
        <v>14725</v>
      </c>
      <c r="K10308" s="3" t="s">
        <v>52179</v>
      </c>
      <c r="L10308" s="3" t="s">
        <v>52180</v>
      </c>
      <c r="M10308" s="4"/>
      <c r="N10308" s="3" t="s">
        <v>37</v>
      </c>
      <c r="O10308" s="3" t="s">
        <v>52</v>
      </c>
      <c r="P10308" s="5">
        <v>6</v>
      </c>
      <c r="Q10308" s="5">
        <v>54</v>
      </c>
      <c r="R10308" s="5">
        <v>6</v>
      </c>
      <c r="S10308" s="5">
        <v>48</v>
      </c>
    </row>
    <row r="10309" spans="1:19" ht="56" x14ac:dyDescent="0.15">
      <c r="A10309" s="2">
        <f>HYPERLINK("https://open-school.uspishnemisto.com.ua/school/530267/", 530267)</f>
        <v>530267</v>
      </c>
      <c r="B10309" s="3" t="s">
        <v>52181</v>
      </c>
      <c r="C10309" s="3" t="s">
        <v>54</v>
      </c>
      <c r="D10309" s="3" t="s">
        <v>32</v>
      </c>
      <c r="E10309" s="4" t="s">
        <v>22</v>
      </c>
      <c r="F10309" s="4" t="s">
        <v>52182</v>
      </c>
      <c r="G10309" s="4" t="s">
        <v>52183</v>
      </c>
      <c r="H10309" s="3" t="s">
        <v>50910</v>
      </c>
      <c r="I10309" s="3" t="s">
        <v>48586</v>
      </c>
      <c r="J10309" s="3" t="s">
        <v>1636</v>
      </c>
      <c r="K10309" s="3" t="s">
        <v>52184</v>
      </c>
      <c r="L10309" s="3" t="s">
        <v>52185</v>
      </c>
      <c r="M10309" s="4"/>
      <c r="N10309" s="3" t="s">
        <v>37</v>
      </c>
      <c r="O10309" s="3" t="s">
        <v>52</v>
      </c>
      <c r="P10309" s="5">
        <v>8</v>
      </c>
      <c r="Q10309" s="5">
        <v>74</v>
      </c>
      <c r="R10309" s="5">
        <v>10</v>
      </c>
      <c r="S10309" s="5">
        <v>72</v>
      </c>
    </row>
    <row r="10310" spans="1:19" ht="28" x14ac:dyDescent="0.15">
      <c r="A10310" s="2">
        <f>HYPERLINK("https://open-school.uspishnemisto.com.ua/school/530268/", 530268)</f>
        <v>530268</v>
      </c>
      <c r="B10310" s="3" t="s">
        <v>52186</v>
      </c>
      <c r="C10310" s="3" t="s">
        <v>31</v>
      </c>
      <c r="D10310" s="3" t="s">
        <v>32</v>
      </c>
      <c r="E10310" s="4" t="s">
        <v>22</v>
      </c>
      <c r="F10310" s="4" t="s">
        <v>52187</v>
      </c>
      <c r="G10310" s="4" t="s">
        <v>52188</v>
      </c>
      <c r="H10310" s="3" t="s">
        <v>50910</v>
      </c>
      <c r="I10310" s="3" t="s">
        <v>1439</v>
      </c>
      <c r="J10310" s="3" t="s">
        <v>7166</v>
      </c>
      <c r="K10310" s="3" t="s">
        <v>52189</v>
      </c>
      <c r="L10310" s="3"/>
      <c r="M10310" s="4"/>
      <c r="N10310" s="3" t="s">
        <v>37</v>
      </c>
      <c r="O10310" s="3" t="s">
        <v>46</v>
      </c>
      <c r="P10310" s="5">
        <v>9</v>
      </c>
      <c r="Q10310" s="5">
        <v>72</v>
      </c>
      <c r="R10310" s="5">
        <v>10</v>
      </c>
      <c r="S10310" s="5">
        <v>71</v>
      </c>
    </row>
    <row r="10311" spans="1:19" ht="28" x14ac:dyDescent="0.15">
      <c r="A10311" s="2">
        <f>HYPERLINK("https://open-school.uspishnemisto.com.ua/school/530269/", 530269)</f>
        <v>530269</v>
      </c>
      <c r="B10311" s="3" t="s">
        <v>52190</v>
      </c>
      <c r="C10311" s="3" t="s">
        <v>31</v>
      </c>
      <c r="D10311" s="3" t="s">
        <v>175</v>
      </c>
      <c r="E10311" s="4" t="s">
        <v>22</v>
      </c>
      <c r="F10311" s="4" t="s">
        <v>52191</v>
      </c>
      <c r="G10311" s="4" t="s">
        <v>52192</v>
      </c>
      <c r="H10311" s="3" t="s">
        <v>50910</v>
      </c>
      <c r="I10311" s="3" t="s">
        <v>52193</v>
      </c>
      <c r="J10311" s="3" t="s">
        <v>23076</v>
      </c>
      <c r="K10311" s="3"/>
      <c r="L10311" s="3"/>
      <c r="M10311" s="4"/>
      <c r="N10311" s="3" t="s">
        <v>37</v>
      </c>
      <c r="O10311" s="3" t="s">
        <v>52</v>
      </c>
      <c r="P10311" s="5">
        <v>7</v>
      </c>
      <c r="Q10311" s="5">
        <v>52</v>
      </c>
      <c r="R10311" s="5">
        <v>7</v>
      </c>
      <c r="S10311" s="5">
        <v>52</v>
      </c>
    </row>
    <row r="10312" spans="1:19" ht="28" x14ac:dyDescent="0.15">
      <c r="A10312" s="2">
        <f>HYPERLINK("https://open-school.uspishnemisto.com.ua/school/530270/", 530270)</f>
        <v>530270</v>
      </c>
      <c r="B10312" s="3" t="s">
        <v>52194</v>
      </c>
      <c r="C10312" s="3" t="s">
        <v>31</v>
      </c>
      <c r="D10312" s="3" t="s">
        <v>175</v>
      </c>
      <c r="E10312" s="4" t="s">
        <v>22</v>
      </c>
      <c r="F10312" s="4" t="s">
        <v>52195</v>
      </c>
      <c r="G10312" s="4" t="s">
        <v>52196</v>
      </c>
      <c r="H10312" s="3" t="s">
        <v>50910</v>
      </c>
      <c r="I10312" s="3" t="s">
        <v>52197</v>
      </c>
      <c r="J10312" s="3" t="s">
        <v>1209</v>
      </c>
      <c r="K10312" s="3" t="s">
        <v>52198</v>
      </c>
      <c r="L10312" s="3"/>
      <c r="M10312" s="4"/>
      <c r="N10312" s="3" t="s">
        <v>37</v>
      </c>
      <c r="O10312" s="3" t="s">
        <v>46</v>
      </c>
      <c r="P10312" s="5">
        <v>0</v>
      </c>
      <c r="Q10312" s="5">
        <v>15</v>
      </c>
      <c r="R10312" s="5">
        <v>1</v>
      </c>
      <c r="S10312" s="5">
        <v>26</v>
      </c>
    </row>
    <row r="10313" spans="1:19" ht="28" x14ac:dyDescent="0.15">
      <c r="A10313" s="2">
        <f>HYPERLINK("https://open-school.uspishnemisto.com.ua/school/530271/", 530271)</f>
        <v>530271</v>
      </c>
      <c r="B10313" s="3" t="s">
        <v>52199</v>
      </c>
      <c r="C10313" s="3" t="s">
        <v>31</v>
      </c>
      <c r="D10313" s="3" t="s">
        <v>175</v>
      </c>
      <c r="E10313" s="4" t="s">
        <v>22</v>
      </c>
      <c r="F10313" s="4" t="s">
        <v>52200</v>
      </c>
      <c r="G10313" s="4" t="s">
        <v>52201</v>
      </c>
      <c r="H10313" s="3" t="s">
        <v>50910</v>
      </c>
      <c r="I10313" s="3" t="s">
        <v>52202</v>
      </c>
      <c r="J10313" s="3"/>
      <c r="K10313" s="3"/>
      <c r="L10313" s="3"/>
      <c r="M10313" s="4"/>
      <c r="N10313" s="3"/>
      <c r="O10313" s="3"/>
      <c r="P10313" s="5">
        <v>0</v>
      </c>
      <c r="Q10313" s="5">
        <v>0</v>
      </c>
      <c r="R10313" s="5"/>
      <c r="S10313" s="5"/>
    </row>
    <row r="10314" spans="1:19" ht="28" x14ac:dyDescent="0.15">
      <c r="A10314" s="2">
        <f>HYPERLINK("https://open-school.uspishnemisto.com.ua/school/530272/", 530272)</f>
        <v>530272</v>
      </c>
      <c r="B10314" s="3" t="s">
        <v>52203</v>
      </c>
      <c r="C10314" s="3" t="s">
        <v>31</v>
      </c>
      <c r="D10314" s="3" t="s">
        <v>32</v>
      </c>
      <c r="E10314" s="4" t="s">
        <v>22</v>
      </c>
      <c r="F10314" s="4" t="s">
        <v>52204</v>
      </c>
      <c r="G10314" s="4" t="s">
        <v>52205</v>
      </c>
      <c r="H10314" s="3" t="s">
        <v>50910</v>
      </c>
      <c r="I10314" s="3" t="s">
        <v>52206</v>
      </c>
      <c r="J10314" s="3" t="s">
        <v>8049</v>
      </c>
      <c r="K10314" s="3" t="s">
        <v>52207</v>
      </c>
      <c r="L10314" s="3"/>
      <c r="M10314" s="4"/>
      <c r="N10314" s="3" t="s">
        <v>37</v>
      </c>
      <c r="O10314" s="3" t="s">
        <v>52</v>
      </c>
      <c r="P10314" s="5">
        <v>7</v>
      </c>
      <c r="Q10314" s="5">
        <v>61</v>
      </c>
      <c r="R10314" s="5">
        <v>9</v>
      </c>
      <c r="S10314" s="5">
        <v>64</v>
      </c>
    </row>
    <row r="10315" spans="1:19" ht="28" x14ac:dyDescent="0.15">
      <c r="A10315" s="2">
        <f>HYPERLINK("https://open-school.uspishnemisto.com.ua/school/530273/", 530273)</f>
        <v>530273</v>
      </c>
      <c r="B10315" s="3" t="s">
        <v>52208</v>
      </c>
      <c r="C10315" s="3" t="s">
        <v>31</v>
      </c>
      <c r="D10315" s="3" t="s">
        <v>32</v>
      </c>
      <c r="E10315" s="4" t="s">
        <v>22</v>
      </c>
      <c r="F10315" s="4" t="s">
        <v>52209</v>
      </c>
      <c r="G10315" s="4" t="s">
        <v>52210</v>
      </c>
      <c r="H10315" s="3" t="s">
        <v>50910</v>
      </c>
      <c r="I10315" s="3" t="s">
        <v>15610</v>
      </c>
      <c r="J10315" s="3" t="s">
        <v>3064</v>
      </c>
      <c r="K10315" s="3" t="s">
        <v>52211</v>
      </c>
      <c r="L10315" s="3" t="s">
        <v>52212</v>
      </c>
      <c r="M10315" s="4"/>
      <c r="N10315" s="3" t="s">
        <v>37</v>
      </c>
      <c r="O10315" s="3" t="s">
        <v>46</v>
      </c>
      <c r="P10315" s="5">
        <v>9</v>
      </c>
      <c r="Q10315" s="5">
        <v>63</v>
      </c>
      <c r="R10315" s="5">
        <v>9</v>
      </c>
      <c r="S10315" s="5">
        <v>73</v>
      </c>
    </row>
    <row r="10316" spans="1:19" ht="28" x14ac:dyDescent="0.15">
      <c r="A10316" s="2">
        <f>HYPERLINK("https://open-school.uspishnemisto.com.ua/school/530274/", 530274)</f>
        <v>530274</v>
      </c>
      <c r="B10316" s="3" t="s">
        <v>52213</v>
      </c>
      <c r="C10316" s="3" t="s">
        <v>40</v>
      </c>
      <c r="D10316" s="3" t="s">
        <v>32</v>
      </c>
      <c r="E10316" s="4" t="s">
        <v>22</v>
      </c>
      <c r="F10316" s="4" t="s">
        <v>52214</v>
      </c>
      <c r="G10316" s="4" t="s">
        <v>52215</v>
      </c>
      <c r="H10316" s="3" t="s">
        <v>50910</v>
      </c>
      <c r="I10316" s="3" t="s">
        <v>35682</v>
      </c>
      <c r="J10316" s="3" t="s">
        <v>52216</v>
      </c>
      <c r="K10316" s="3" t="s">
        <v>52217</v>
      </c>
      <c r="L10316" s="3" t="s">
        <v>52218</v>
      </c>
      <c r="M10316" s="4"/>
      <c r="N10316" s="3" t="s">
        <v>37</v>
      </c>
      <c r="O10316" s="3" t="s">
        <v>38</v>
      </c>
      <c r="P10316" s="5">
        <v>21</v>
      </c>
      <c r="Q10316" s="5">
        <v>527</v>
      </c>
      <c r="R10316" s="5">
        <v>21</v>
      </c>
      <c r="S10316" s="5">
        <v>532</v>
      </c>
    </row>
    <row r="10317" spans="1:19" ht="28" x14ac:dyDescent="0.15">
      <c r="A10317" s="2">
        <f>HYPERLINK("https://open-school.uspishnemisto.com.ua/school/530275/", 530275)</f>
        <v>530275</v>
      </c>
      <c r="B10317" s="3" t="s">
        <v>52219</v>
      </c>
      <c r="C10317" s="3" t="s">
        <v>31</v>
      </c>
      <c r="D10317" s="3" t="s">
        <v>32</v>
      </c>
      <c r="E10317" s="4" t="s">
        <v>22</v>
      </c>
      <c r="F10317" s="4" t="s">
        <v>52220</v>
      </c>
      <c r="G10317" s="4" t="s">
        <v>52215</v>
      </c>
      <c r="H10317" s="3" t="s">
        <v>50910</v>
      </c>
      <c r="I10317" s="3" t="s">
        <v>35682</v>
      </c>
      <c r="J10317" s="3" t="s">
        <v>52221</v>
      </c>
      <c r="K10317" s="3" t="s">
        <v>52222</v>
      </c>
      <c r="L10317" s="3" t="s">
        <v>52223</v>
      </c>
      <c r="M10317" s="4"/>
      <c r="N10317" s="3" t="s">
        <v>37</v>
      </c>
      <c r="O10317" s="3" t="s">
        <v>38</v>
      </c>
      <c r="P10317" s="5">
        <v>18</v>
      </c>
      <c r="Q10317" s="5">
        <v>335</v>
      </c>
      <c r="R10317" s="5">
        <v>17</v>
      </c>
      <c r="S10317" s="5">
        <v>321</v>
      </c>
    </row>
    <row r="10318" spans="1:19" ht="28" x14ac:dyDescent="0.15">
      <c r="A10318" s="2">
        <f>HYPERLINK("https://open-school.uspishnemisto.com.ua/school/530276/", 530276)</f>
        <v>530276</v>
      </c>
      <c r="B10318" s="3" t="s">
        <v>52224</v>
      </c>
      <c r="C10318" s="3" t="s">
        <v>31</v>
      </c>
      <c r="D10318" s="3" t="s">
        <v>32</v>
      </c>
      <c r="E10318" s="4" t="s">
        <v>22</v>
      </c>
      <c r="F10318" s="4" t="s">
        <v>52214</v>
      </c>
      <c r="G10318" s="4" t="s">
        <v>52215</v>
      </c>
      <c r="H10318" s="3" t="s">
        <v>50910</v>
      </c>
      <c r="I10318" s="3" t="s">
        <v>35682</v>
      </c>
      <c r="J10318" s="3" t="s">
        <v>52225</v>
      </c>
      <c r="K10318" s="3" t="s">
        <v>52226</v>
      </c>
      <c r="L10318" s="3" t="s">
        <v>52227</v>
      </c>
      <c r="M10318" s="4"/>
      <c r="N10318" s="3" t="s">
        <v>37</v>
      </c>
      <c r="O10318" s="3" t="s">
        <v>38</v>
      </c>
      <c r="P10318" s="5">
        <v>22</v>
      </c>
      <c r="Q10318" s="5">
        <v>580</v>
      </c>
      <c r="R10318" s="5">
        <v>22</v>
      </c>
      <c r="S10318" s="5">
        <v>594</v>
      </c>
    </row>
    <row r="10319" spans="1:19" ht="28" x14ac:dyDescent="0.15">
      <c r="A10319" s="2">
        <f>HYPERLINK("https://open-school.uspishnemisto.com.ua/school/530277/", 530277)</f>
        <v>530277</v>
      </c>
      <c r="B10319" s="3" t="s">
        <v>52228</v>
      </c>
      <c r="C10319" s="3" t="s">
        <v>31</v>
      </c>
      <c r="D10319" s="3" t="s">
        <v>32</v>
      </c>
      <c r="E10319" s="4" t="s">
        <v>22</v>
      </c>
      <c r="F10319" s="4" t="s">
        <v>52214</v>
      </c>
      <c r="G10319" s="4" t="s">
        <v>52215</v>
      </c>
      <c r="H10319" s="3" t="s">
        <v>50910</v>
      </c>
      <c r="I10319" s="3" t="s">
        <v>35682</v>
      </c>
      <c r="J10319" s="3" t="s">
        <v>52229</v>
      </c>
      <c r="K10319" s="3" t="s">
        <v>52230</v>
      </c>
      <c r="L10319" s="3"/>
      <c r="M10319" s="4"/>
      <c r="N10319" s="3" t="s">
        <v>37</v>
      </c>
      <c r="O10319" s="3" t="s">
        <v>38</v>
      </c>
      <c r="P10319" s="5">
        <v>11</v>
      </c>
      <c r="Q10319" s="5">
        <v>187</v>
      </c>
      <c r="R10319" s="5">
        <v>11</v>
      </c>
      <c r="S10319" s="5">
        <v>185</v>
      </c>
    </row>
    <row r="10320" spans="1:19" ht="56" x14ac:dyDescent="0.15">
      <c r="A10320" s="2">
        <f>HYPERLINK("https://open-school.uspishnemisto.com.ua/school/530278/", 530278)</f>
        <v>530278</v>
      </c>
      <c r="B10320" s="3" t="s">
        <v>52231</v>
      </c>
      <c r="C10320" s="3" t="s">
        <v>54</v>
      </c>
      <c r="D10320" s="3" t="s">
        <v>32</v>
      </c>
      <c r="E10320" s="4" t="s">
        <v>22</v>
      </c>
      <c r="F10320" s="4" t="s">
        <v>52232</v>
      </c>
      <c r="G10320" s="4" t="s">
        <v>52233</v>
      </c>
      <c r="H10320" s="3" t="s">
        <v>50910</v>
      </c>
      <c r="I10320" s="3" t="s">
        <v>52234</v>
      </c>
      <c r="J10320" s="3" t="s">
        <v>52235</v>
      </c>
      <c r="K10320" s="3" t="s">
        <v>52236</v>
      </c>
      <c r="L10320" s="3" t="s">
        <v>52237</v>
      </c>
      <c r="M10320" s="4"/>
      <c r="N10320" s="3" t="s">
        <v>37</v>
      </c>
      <c r="O10320" s="3" t="s">
        <v>52</v>
      </c>
      <c r="P10320" s="5">
        <v>9</v>
      </c>
      <c r="Q10320" s="5">
        <v>74</v>
      </c>
      <c r="R10320" s="5">
        <v>9</v>
      </c>
      <c r="S10320" s="5">
        <v>73</v>
      </c>
    </row>
    <row r="10321" spans="1:19" ht="28" x14ac:dyDescent="0.15">
      <c r="A10321" s="2">
        <f>HYPERLINK("https://open-school.uspishnemisto.com.ua/school/530279/", 530279)</f>
        <v>530279</v>
      </c>
      <c r="B10321" s="3" t="s">
        <v>52238</v>
      </c>
      <c r="C10321" s="3" t="s">
        <v>181</v>
      </c>
      <c r="D10321" s="3" t="s">
        <v>175</v>
      </c>
      <c r="E10321" s="4" t="s">
        <v>22</v>
      </c>
      <c r="F10321" s="4" t="s">
        <v>52239</v>
      </c>
      <c r="G10321" s="4" t="s">
        <v>52240</v>
      </c>
      <c r="H10321" s="3" t="s">
        <v>50910</v>
      </c>
      <c r="I10321" s="3" t="s">
        <v>12816</v>
      </c>
      <c r="J10321" s="3" t="s">
        <v>11194</v>
      </c>
      <c r="K10321" s="3" t="s">
        <v>52241</v>
      </c>
      <c r="L10321" s="3"/>
      <c r="M10321" s="4" t="s">
        <v>52242</v>
      </c>
      <c r="N10321" s="3" t="s">
        <v>37</v>
      </c>
      <c r="O10321" s="3" t="s">
        <v>52</v>
      </c>
      <c r="P10321" s="5">
        <v>11</v>
      </c>
      <c r="Q10321" s="5">
        <v>88</v>
      </c>
      <c r="R10321" s="5">
        <v>12</v>
      </c>
      <c r="S10321" s="5">
        <v>83</v>
      </c>
    </row>
    <row r="10322" spans="1:19" ht="56" x14ac:dyDescent="0.15">
      <c r="A10322" s="2">
        <f>HYPERLINK("https://open-school.uspishnemisto.com.ua/school/530280/", 530280)</f>
        <v>530280</v>
      </c>
      <c r="B10322" s="3" t="s">
        <v>52243</v>
      </c>
      <c r="C10322" s="3" t="s">
        <v>54</v>
      </c>
      <c r="D10322" s="3" t="s">
        <v>32</v>
      </c>
      <c r="E10322" s="4" t="s">
        <v>22</v>
      </c>
      <c r="F10322" s="4" t="s">
        <v>52239</v>
      </c>
      <c r="G10322" s="4" t="s">
        <v>52240</v>
      </c>
      <c r="H10322" s="3" t="s">
        <v>50910</v>
      </c>
      <c r="I10322" s="3" t="s">
        <v>12816</v>
      </c>
      <c r="J10322" s="3" t="s">
        <v>52244</v>
      </c>
      <c r="K10322" s="3" t="s">
        <v>52245</v>
      </c>
      <c r="L10322" s="3"/>
      <c r="M10322" s="4"/>
      <c r="N10322" s="3" t="s">
        <v>37</v>
      </c>
      <c r="O10322" s="3" t="s">
        <v>38</v>
      </c>
      <c r="P10322" s="5">
        <v>11</v>
      </c>
      <c r="Q10322" s="5">
        <v>102</v>
      </c>
      <c r="R10322" s="5">
        <v>10</v>
      </c>
      <c r="S10322" s="5">
        <v>98</v>
      </c>
    </row>
    <row r="10323" spans="1:19" ht="28" x14ac:dyDescent="0.15">
      <c r="A10323" s="2">
        <f>HYPERLINK("https://open-school.uspishnemisto.com.ua/school/530281/", 530281)</f>
        <v>530281</v>
      </c>
      <c r="B10323" s="3" t="s">
        <v>52246</v>
      </c>
      <c r="C10323" s="3" t="s">
        <v>31</v>
      </c>
      <c r="D10323" s="3" t="s">
        <v>175</v>
      </c>
      <c r="E10323" s="4" t="s">
        <v>22</v>
      </c>
      <c r="F10323" s="4"/>
      <c r="G10323" s="4" t="s">
        <v>52247</v>
      </c>
      <c r="H10323" s="3" t="s">
        <v>50910</v>
      </c>
      <c r="I10323" s="3" t="s">
        <v>52248</v>
      </c>
      <c r="J10323" s="3"/>
      <c r="K10323" s="3" t="s">
        <v>52249</v>
      </c>
      <c r="L10323" s="3"/>
      <c r="M10323" s="4"/>
      <c r="N10323" s="3" t="s">
        <v>37</v>
      </c>
      <c r="O10323" s="3" t="s">
        <v>112</v>
      </c>
      <c r="P10323" s="5">
        <v>8</v>
      </c>
      <c r="Q10323" s="5">
        <v>68</v>
      </c>
      <c r="R10323" s="5">
        <v>9</v>
      </c>
      <c r="S10323" s="5">
        <v>74</v>
      </c>
    </row>
    <row r="10324" spans="1:19" ht="56" x14ac:dyDescent="0.15">
      <c r="A10324" s="2">
        <f>HYPERLINK("https://open-school.uspishnemisto.com.ua/school/530282/", 530282)</f>
        <v>530282</v>
      </c>
      <c r="B10324" s="3" t="s">
        <v>52250</v>
      </c>
      <c r="C10324" s="3" t="s">
        <v>54</v>
      </c>
      <c r="D10324" s="3" t="s">
        <v>32</v>
      </c>
      <c r="E10324" s="4" t="s">
        <v>22</v>
      </c>
      <c r="F10324" s="4" t="s">
        <v>52251</v>
      </c>
      <c r="G10324" s="4" t="s">
        <v>52252</v>
      </c>
      <c r="H10324" s="3" t="s">
        <v>50910</v>
      </c>
      <c r="I10324" s="3" t="s">
        <v>52253</v>
      </c>
      <c r="J10324" s="3" t="s">
        <v>3173</v>
      </c>
      <c r="K10324" s="3"/>
      <c r="L10324" s="3"/>
      <c r="M10324" s="4"/>
      <c r="N10324" s="3" t="s">
        <v>37</v>
      </c>
      <c r="O10324" s="3" t="s">
        <v>38</v>
      </c>
      <c r="P10324" s="5">
        <v>8</v>
      </c>
      <c r="Q10324" s="5">
        <v>81</v>
      </c>
      <c r="R10324" s="5">
        <v>10</v>
      </c>
      <c r="S10324" s="5">
        <v>91</v>
      </c>
    </row>
    <row r="10325" spans="1:19" ht="56" x14ac:dyDescent="0.15">
      <c r="A10325" s="2">
        <f>HYPERLINK("https://open-school.uspishnemisto.com.ua/school/530283/", 530283)</f>
        <v>530283</v>
      </c>
      <c r="B10325" s="3" t="s">
        <v>52254</v>
      </c>
      <c r="C10325" s="3" t="s">
        <v>54</v>
      </c>
      <c r="D10325" s="3" t="s">
        <v>32</v>
      </c>
      <c r="E10325" s="4" t="s">
        <v>22</v>
      </c>
      <c r="F10325" s="4" t="s">
        <v>52255</v>
      </c>
      <c r="G10325" s="4" t="s">
        <v>52256</v>
      </c>
      <c r="H10325" s="3" t="s">
        <v>50910</v>
      </c>
      <c r="I10325" s="3" t="s">
        <v>52257</v>
      </c>
      <c r="J10325" s="3" t="s">
        <v>52258</v>
      </c>
      <c r="K10325" s="3" t="s">
        <v>52259</v>
      </c>
      <c r="L10325" s="3" t="s">
        <v>52260</v>
      </c>
      <c r="M10325" s="4"/>
      <c r="N10325" s="3" t="s">
        <v>37</v>
      </c>
      <c r="O10325" s="3" t="s">
        <v>70</v>
      </c>
      <c r="P10325" s="5">
        <v>10</v>
      </c>
      <c r="Q10325" s="5">
        <v>83</v>
      </c>
      <c r="R10325" s="5">
        <v>10</v>
      </c>
      <c r="S10325" s="5">
        <v>80</v>
      </c>
    </row>
    <row r="10326" spans="1:19" ht="28" x14ac:dyDescent="0.15">
      <c r="A10326" s="2">
        <f>HYPERLINK("https://open-school.uspishnemisto.com.ua/school/530284/", 530284)</f>
        <v>530284</v>
      </c>
      <c r="B10326" s="3" t="s">
        <v>52261</v>
      </c>
      <c r="C10326" s="3" t="s">
        <v>31</v>
      </c>
      <c r="D10326" s="3" t="s">
        <v>32</v>
      </c>
      <c r="E10326" s="4" t="s">
        <v>22</v>
      </c>
      <c r="F10326" s="4" t="s">
        <v>52262</v>
      </c>
      <c r="G10326" s="4" t="s">
        <v>52263</v>
      </c>
      <c r="H10326" s="3" t="s">
        <v>50910</v>
      </c>
      <c r="I10326" s="3" t="s">
        <v>52264</v>
      </c>
      <c r="J10326" s="3" t="s">
        <v>1636</v>
      </c>
      <c r="K10326" s="3" t="s">
        <v>52265</v>
      </c>
      <c r="L10326" s="3"/>
      <c r="M10326" s="4"/>
      <c r="N10326" s="3" t="s">
        <v>37</v>
      </c>
      <c r="O10326" s="3" t="s">
        <v>721</v>
      </c>
      <c r="P10326" s="5">
        <v>19</v>
      </c>
      <c r="Q10326" s="5">
        <v>344</v>
      </c>
      <c r="R10326" s="5">
        <v>19</v>
      </c>
      <c r="S10326" s="5">
        <v>334</v>
      </c>
    </row>
    <row r="10327" spans="1:19" ht="28" x14ac:dyDescent="0.15">
      <c r="A10327" s="2">
        <f>HYPERLINK("https://open-school.uspishnemisto.com.ua/school/530285/", 530285)</f>
        <v>530285</v>
      </c>
      <c r="B10327" s="3" t="s">
        <v>52266</v>
      </c>
      <c r="C10327" s="3" t="s">
        <v>31</v>
      </c>
      <c r="D10327" s="3" t="s">
        <v>32</v>
      </c>
      <c r="E10327" s="4" t="s">
        <v>22</v>
      </c>
      <c r="F10327" s="4" t="s">
        <v>52267</v>
      </c>
      <c r="G10327" s="4" t="s">
        <v>52268</v>
      </c>
      <c r="H10327" s="3" t="s">
        <v>50910</v>
      </c>
      <c r="I10327" s="3" t="s">
        <v>52269</v>
      </c>
      <c r="J10327" s="3" t="s">
        <v>2372</v>
      </c>
      <c r="K10327" s="3" t="s">
        <v>52270</v>
      </c>
      <c r="L10327" s="3"/>
      <c r="M10327" s="4"/>
      <c r="N10327" s="3" t="s">
        <v>37</v>
      </c>
      <c r="O10327" s="3" t="s">
        <v>38</v>
      </c>
      <c r="P10327" s="5">
        <v>11</v>
      </c>
      <c r="Q10327" s="5">
        <v>114</v>
      </c>
      <c r="R10327" s="5">
        <v>11</v>
      </c>
      <c r="S10327" s="5">
        <v>118</v>
      </c>
    </row>
    <row r="10328" spans="1:19" ht="56" x14ac:dyDescent="0.15">
      <c r="A10328" s="2">
        <f>HYPERLINK("https://open-school.uspishnemisto.com.ua/school/530286/", 530286)</f>
        <v>530286</v>
      </c>
      <c r="B10328" s="3" t="s">
        <v>52271</v>
      </c>
      <c r="C10328" s="3" t="s">
        <v>54</v>
      </c>
      <c r="D10328" s="3" t="s">
        <v>32</v>
      </c>
      <c r="E10328" s="4" t="s">
        <v>22</v>
      </c>
      <c r="F10328" s="4" t="s">
        <v>52272</v>
      </c>
      <c r="G10328" s="4" t="s">
        <v>52273</v>
      </c>
      <c r="H10328" s="3" t="s">
        <v>50910</v>
      </c>
      <c r="I10328" s="3" t="s">
        <v>16036</v>
      </c>
      <c r="J10328" s="3" t="s">
        <v>52274</v>
      </c>
      <c r="K10328" s="3" t="s">
        <v>52275</v>
      </c>
      <c r="L10328" s="3"/>
      <c r="M10328" s="4"/>
      <c r="N10328" s="3" t="s">
        <v>37</v>
      </c>
      <c r="O10328" s="3" t="s">
        <v>618</v>
      </c>
      <c r="P10328" s="5">
        <v>11</v>
      </c>
      <c r="Q10328" s="5">
        <v>94</v>
      </c>
      <c r="R10328" s="5">
        <v>11</v>
      </c>
      <c r="S10328" s="5">
        <v>82</v>
      </c>
    </row>
    <row r="10329" spans="1:19" ht="56" x14ac:dyDescent="0.15">
      <c r="A10329" s="2">
        <f>HYPERLINK("https://open-school.uspishnemisto.com.ua/school/530287/", 530287)</f>
        <v>530287</v>
      </c>
      <c r="B10329" s="3" t="s">
        <v>52276</v>
      </c>
      <c r="C10329" s="3" t="s">
        <v>54</v>
      </c>
      <c r="D10329" s="3" t="s">
        <v>175</v>
      </c>
      <c r="E10329" s="4" t="s">
        <v>22</v>
      </c>
      <c r="F10329" s="4" t="s">
        <v>52262</v>
      </c>
      <c r="G10329" s="4" t="s">
        <v>52277</v>
      </c>
      <c r="H10329" s="3" t="s">
        <v>50910</v>
      </c>
      <c r="I10329" s="3" t="s">
        <v>52278</v>
      </c>
      <c r="J10329" s="3" t="s">
        <v>6604</v>
      </c>
      <c r="K10329" s="3" t="s">
        <v>52279</v>
      </c>
      <c r="L10329" s="3" t="s">
        <v>52280</v>
      </c>
      <c r="M10329" s="4"/>
      <c r="N10329" s="3" t="s">
        <v>37</v>
      </c>
      <c r="O10329" s="3" t="s">
        <v>721</v>
      </c>
      <c r="P10329" s="5">
        <v>9</v>
      </c>
      <c r="Q10329" s="5">
        <v>88</v>
      </c>
      <c r="R10329" s="5">
        <v>9</v>
      </c>
      <c r="S10329" s="5">
        <v>85</v>
      </c>
    </row>
    <row r="10330" spans="1:19" ht="56" x14ac:dyDescent="0.15">
      <c r="A10330" s="2">
        <f>HYPERLINK("https://open-school.uspishnemisto.com.ua/school/530288/", 530288)</f>
        <v>530288</v>
      </c>
      <c r="B10330" s="3" t="s">
        <v>52281</v>
      </c>
      <c r="C10330" s="3" t="s">
        <v>54</v>
      </c>
      <c r="D10330" s="3" t="s">
        <v>32</v>
      </c>
      <c r="E10330" s="4" t="s">
        <v>22</v>
      </c>
      <c r="F10330" s="4" t="s">
        <v>52282</v>
      </c>
      <c r="G10330" s="4" t="s">
        <v>52283</v>
      </c>
      <c r="H10330" s="3" t="s">
        <v>50910</v>
      </c>
      <c r="I10330" s="3" t="s">
        <v>2202</v>
      </c>
      <c r="J10330" s="3" t="s">
        <v>52284</v>
      </c>
      <c r="K10330" s="3" t="s">
        <v>52285</v>
      </c>
      <c r="L10330" s="3"/>
      <c r="M10330" s="4"/>
      <c r="N10330" s="3" t="s">
        <v>37</v>
      </c>
      <c r="O10330" s="3" t="s">
        <v>38</v>
      </c>
      <c r="P10330" s="5">
        <v>11</v>
      </c>
      <c r="Q10330" s="5">
        <v>109</v>
      </c>
      <c r="R10330" s="5">
        <v>11</v>
      </c>
      <c r="S10330" s="5">
        <v>108</v>
      </c>
    </row>
    <row r="10331" spans="1:19" ht="56" x14ac:dyDescent="0.15">
      <c r="A10331" s="2">
        <f>HYPERLINK("https://open-school.uspishnemisto.com.ua/school/530289/", 530289)</f>
        <v>530289</v>
      </c>
      <c r="B10331" s="3" t="s">
        <v>52286</v>
      </c>
      <c r="C10331" s="3" t="s">
        <v>54</v>
      </c>
      <c r="D10331" s="3" t="s">
        <v>175</v>
      </c>
      <c r="E10331" s="4" t="s">
        <v>22</v>
      </c>
      <c r="F10331" s="4" t="s">
        <v>52287</v>
      </c>
      <c r="G10331" s="4" t="s">
        <v>52283</v>
      </c>
      <c r="H10331" s="3" t="s">
        <v>50910</v>
      </c>
      <c r="I10331" s="3" t="s">
        <v>2202</v>
      </c>
      <c r="J10331" s="3" t="s">
        <v>18484</v>
      </c>
      <c r="K10331" s="3" t="s">
        <v>52288</v>
      </c>
      <c r="L10331" s="3"/>
      <c r="M10331" s="4"/>
      <c r="N10331" s="3" t="s">
        <v>37</v>
      </c>
      <c r="O10331" s="3" t="s">
        <v>38</v>
      </c>
      <c r="P10331" s="5">
        <v>9</v>
      </c>
      <c r="Q10331" s="5">
        <v>88</v>
      </c>
      <c r="R10331" s="5">
        <v>9</v>
      </c>
      <c r="S10331" s="5">
        <v>86</v>
      </c>
    </row>
    <row r="10332" spans="1:19" ht="56" x14ac:dyDescent="0.15">
      <c r="A10332" s="2">
        <f>HYPERLINK("https://open-school.uspishnemisto.com.ua/school/530290/", 530290)</f>
        <v>530290</v>
      </c>
      <c r="B10332" s="3" t="s">
        <v>52289</v>
      </c>
      <c r="C10332" s="3" t="s">
        <v>54</v>
      </c>
      <c r="D10332" s="3" t="s">
        <v>32</v>
      </c>
      <c r="E10332" s="4" t="s">
        <v>22</v>
      </c>
      <c r="F10332" s="4" t="s">
        <v>52290</v>
      </c>
      <c r="G10332" s="4" t="s">
        <v>52291</v>
      </c>
      <c r="H10332" s="3" t="s">
        <v>50910</v>
      </c>
      <c r="I10332" s="3" t="s">
        <v>4683</v>
      </c>
      <c r="J10332" s="3" t="s">
        <v>17503</v>
      </c>
      <c r="K10332" s="3" t="s">
        <v>52292</v>
      </c>
      <c r="L10332" s="3" t="s">
        <v>52293</v>
      </c>
      <c r="M10332" s="4"/>
      <c r="N10332" s="3" t="s">
        <v>37</v>
      </c>
      <c r="O10332" s="3" t="s">
        <v>70</v>
      </c>
      <c r="P10332" s="5">
        <v>11</v>
      </c>
      <c r="Q10332" s="5">
        <v>127</v>
      </c>
      <c r="R10332" s="5">
        <v>11</v>
      </c>
      <c r="S10332" s="5">
        <v>140</v>
      </c>
    </row>
    <row r="10333" spans="1:19" ht="28" x14ac:dyDescent="0.15">
      <c r="A10333" s="2">
        <f>HYPERLINK("https://open-school.uspishnemisto.com.ua/school/530291/", 530291)</f>
        <v>530291</v>
      </c>
      <c r="B10333" s="3" t="s">
        <v>52294</v>
      </c>
      <c r="C10333" s="3" t="s">
        <v>31</v>
      </c>
      <c r="D10333" s="3" t="s">
        <v>32</v>
      </c>
      <c r="E10333" s="4" t="s">
        <v>22</v>
      </c>
      <c r="F10333" s="4" t="s">
        <v>52295</v>
      </c>
      <c r="G10333" s="4" t="s">
        <v>52296</v>
      </c>
      <c r="H10333" s="3" t="s">
        <v>50910</v>
      </c>
      <c r="I10333" s="3" t="s">
        <v>1308</v>
      </c>
      <c r="J10333" s="3" t="s">
        <v>52297</v>
      </c>
      <c r="K10333" s="3" t="s">
        <v>52298</v>
      </c>
      <c r="L10333" s="3"/>
      <c r="M10333" s="4"/>
      <c r="N10333" s="3" t="s">
        <v>37</v>
      </c>
      <c r="O10333" s="3" t="s">
        <v>38</v>
      </c>
      <c r="P10333" s="5">
        <v>10</v>
      </c>
      <c r="Q10333" s="5">
        <v>172</v>
      </c>
      <c r="R10333" s="5">
        <v>11</v>
      </c>
      <c r="S10333" s="5">
        <v>162</v>
      </c>
    </row>
    <row r="10334" spans="1:19" ht="42" x14ac:dyDescent="0.15">
      <c r="A10334" s="2">
        <f>HYPERLINK("https://open-school.uspishnemisto.com.ua/school/530292/", 530292)</f>
        <v>530292</v>
      </c>
      <c r="B10334" s="3" t="s">
        <v>52299</v>
      </c>
      <c r="C10334" s="3" t="s">
        <v>54</v>
      </c>
      <c r="D10334" s="3" t="s">
        <v>175</v>
      </c>
      <c r="E10334" s="4" t="s">
        <v>22</v>
      </c>
      <c r="F10334" s="4" t="s">
        <v>52300</v>
      </c>
      <c r="G10334" s="4" t="s">
        <v>52301</v>
      </c>
      <c r="H10334" s="3" t="s">
        <v>50910</v>
      </c>
      <c r="I10334" s="3" t="s">
        <v>440</v>
      </c>
      <c r="J10334" s="3" t="s">
        <v>52302</v>
      </c>
      <c r="K10334" s="3" t="s">
        <v>52303</v>
      </c>
      <c r="L10334" s="3"/>
      <c r="M10334" s="4"/>
      <c r="N10334" s="3" t="s">
        <v>37</v>
      </c>
      <c r="O10334" s="3" t="s">
        <v>70</v>
      </c>
      <c r="P10334" s="5">
        <v>6</v>
      </c>
      <c r="Q10334" s="5">
        <v>46</v>
      </c>
      <c r="R10334" s="5">
        <v>7</v>
      </c>
      <c r="S10334" s="5">
        <v>50</v>
      </c>
    </row>
    <row r="10335" spans="1:19" ht="28" x14ac:dyDescent="0.15">
      <c r="A10335" s="2">
        <f>HYPERLINK("https://open-school.uspishnemisto.com.ua/school/530293/", 530293)</f>
        <v>530293</v>
      </c>
      <c r="B10335" s="3" t="s">
        <v>52304</v>
      </c>
      <c r="C10335" s="3" t="s">
        <v>31</v>
      </c>
      <c r="D10335" s="3" t="s">
        <v>175</v>
      </c>
      <c r="E10335" s="4" t="s">
        <v>22</v>
      </c>
      <c r="F10335" s="4" t="s">
        <v>52305</v>
      </c>
      <c r="G10335" s="4" t="s">
        <v>52306</v>
      </c>
      <c r="H10335" s="3" t="s">
        <v>50910</v>
      </c>
      <c r="I10335" s="3" t="s">
        <v>52307</v>
      </c>
      <c r="J10335" s="3" t="s">
        <v>52308</v>
      </c>
      <c r="K10335" s="3" t="s">
        <v>52309</v>
      </c>
      <c r="L10335" s="3"/>
      <c r="M10335" s="4"/>
      <c r="N10335" s="3" t="s">
        <v>37</v>
      </c>
      <c r="O10335" s="3" t="s">
        <v>52</v>
      </c>
      <c r="P10335" s="5">
        <v>9</v>
      </c>
      <c r="Q10335" s="5">
        <v>128</v>
      </c>
      <c r="R10335" s="5">
        <v>9</v>
      </c>
      <c r="S10335" s="5">
        <v>124</v>
      </c>
    </row>
    <row r="10336" spans="1:19" ht="42" x14ac:dyDescent="0.15">
      <c r="A10336" s="2">
        <f>HYPERLINK("https://open-school.uspishnemisto.com.ua/school/530294/", 530294)</f>
        <v>530294</v>
      </c>
      <c r="B10336" s="3" t="s">
        <v>52310</v>
      </c>
      <c r="C10336" s="3" t="s">
        <v>31</v>
      </c>
      <c r="D10336" s="3" t="s">
        <v>32</v>
      </c>
      <c r="E10336" s="4" t="s">
        <v>22</v>
      </c>
      <c r="F10336" s="4" t="s">
        <v>52305</v>
      </c>
      <c r="G10336" s="4" t="s">
        <v>52306</v>
      </c>
      <c r="H10336" s="3" t="s">
        <v>50910</v>
      </c>
      <c r="I10336" s="3" t="s">
        <v>52307</v>
      </c>
      <c r="J10336" s="3" t="s">
        <v>52311</v>
      </c>
      <c r="K10336" s="3" t="s">
        <v>52312</v>
      </c>
      <c r="L10336" s="3" t="s">
        <v>52313</v>
      </c>
      <c r="M10336" s="4"/>
      <c r="N10336" s="3" t="s">
        <v>37</v>
      </c>
      <c r="O10336" s="3" t="s">
        <v>52</v>
      </c>
      <c r="P10336" s="5">
        <v>31</v>
      </c>
      <c r="Q10336" s="5">
        <v>802</v>
      </c>
      <c r="R10336" s="5">
        <v>32</v>
      </c>
      <c r="S10336" s="5">
        <v>788</v>
      </c>
    </row>
    <row r="10337" spans="1:19" ht="28" x14ac:dyDescent="0.15">
      <c r="A10337" s="2">
        <f>HYPERLINK("https://open-school.uspishnemisto.com.ua/school/530295/", 530295)</f>
        <v>530295</v>
      </c>
      <c r="B10337" s="3" t="s">
        <v>52314</v>
      </c>
      <c r="C10337" s="3" t="s">
        <v>181</v>
      </c>
      <c r="D10337" s="3" t="s">
        <v>175</v>
      </c>
      <c r="E10337" s="4" t="s">
        <v>22</v>
      </c>
      <c r="F10337" s="4" t="s">
        <v>52305</v>
      </c>
      <c r="G10337" s="4" t="s">
        <v>52306</v>
      </c>
      <c r="H10337" s="3" t="s">
        <v>50910</v>
      </c>
      <c r="I10337" s="3" t="s">
        <v>52307</v>
      </c>
      <c r="J10337" s="3" t="s">
        <v>52315</v>
      </c>
      <c r="K10337" s="3"/>
      <c r="L10337" s="3"/>
      <c r="M10337" s="4" t="s">
        <v>52316</v>
      </c>
      <c r="N10337" s="3" t="s">
        <v>37</v>
      </c>
      <c r="O10337" s="3" t="s">
        <v>52</v>
      </c>
      <c r="P10337" s="5">
        <v>16</v>
      </c>
      <c r="Q10337" s="5">
        <v>168</v>
      </c>
      <c r="R10337" s="5">
        <v>16</v>
      </c>
      <c r="S10337" s="5">
        <v>169</v>
      </c>
    </row>
    <row r="10338" spans="1:19" ht="28" x14ac:dyDescent="0.15">
      <c r="A10338" s="2">
        <f>HYPERLINK("https://open-school.uspishnemisto.com.ua/school/530296/", 530296)</f>
        <v>530296</v>
      </c>
      <c r="B10338" s="3" t="s">
        <v>52317</v>
      </c>
      <c r="C10338" s="3" t="s">
        <v>54</v>
      </c>
      <c r="D10338" s="3" t="s">
        <v>32</v>
      </c>
      <c r="E10338" s="4" t="s">
        <v>22</v>
      </c>
      <c r="F10338" s="4" t="s">
        <v>52305</v>
      </c>
      <c r="G10338" s="4" t="s">
        <v>52306</v>
      </c>
      <c r="H10338" s="3" t="s">
        <v>50910</v>
      </c>
      <c r="I10338" s="3" t="s">
        <v>52307</v>
      </c>
      <c r="J10338" s="3" t="s">
        <v>52318</v>
      </c>
      <c r="K10338" s="3" t="s">
        <v>52319</v>
      </c>
      <c r="L10338" s="3"/>
      <c r="M10338" s="4"/>
      <c r="N10338" s="3" t="s">
        <v>37</v>
      </c>
      <c r="O10338" s="3" t="s">
        <v>52</v>
      </c>
      <c r="P10338" s="5">
        <v>20</v>
      </c>
      <c r="Q10338" s="5">
        <v>450</v>
      </c>
      <c r="R10338" s="5">
        <v>20</v>
      </c>
      <c r="S10338" s="5">
        <v>454</v>
      </c>
    </row>
    <row r="10339" spans="1:19" ht="56" x14ac:dyDescent="0.15">
      <c r="A10339" s="2">
        <f>HYPERLINK("https://open-school.uspishnemisto.com.ua/school/530297/", 530297)</f>
        <v>530297</v>
      </c>
      <c r="B10339" s="3" t="s">
        <v>52320</v>
      </c>
      <c r="C10339" s="3" t="s">
        <v>31</v>
      </c>
      <c r="D10339" s="3" t="s">
        <v>175</v>
      </c>
      <c r="E10339" s="4" t="s">
        <v>22</v>
      </c>
      <c r="F10339" s="4" t="s">
        <v>52321</v>
      </c>
      <c r="G10339" s="4" t="s">
        <v>52322</v>
      </c>
      <c r="H10339" s="3" t="s">
        <v>50910</v>
      </c>
      <c r="I10339" s="3" t="s">
        <v>52323</v>
      </c>
      <c r="J10339" s="3" t="s">
        <v>52324</v>
      </c>
      <c r="K10339" s="3" t="s">
        <v>52325</v>
      </c>
      <c r="L10339" s="3"/>
      <c r="M10339" s="4"/>
      <c r="N10339" s="3" t="s">
        <v>37</v>
      </c>
      <c r="O10339" s="3" t="s">
        <v>52</v>
      </c>
      <c r="P10339" s="5">
        <v>0</v>
      </c>
      <c r="Q10339" s="5">
        <v>0</v>
      </c>
      <c r="R10339" s="5">
        <v>9</v>
      </c>
      <c r="S10339" s="5">
        <v>101</v>
      </c>
    </row>
    <row r="10340" spans="1:19" ht="56" x14ac:dyDescent="0.15">
      <c r="A10340" s="2">
        <f>HYPERLINK("https://open-school.uspishnemisto.com.ua/school/530298/", 530298)</f>
        <v>530298</v>
      </c>
      <c r="B10340" s="3" t="s">
        <v>52326</v>
      </c>
      <c r="C10340" s="3" t="s">
        <v>31</v>
      </c>
      <c r="D10340" s="3" t="s">
        <v>175</v>
      </c>
      <c r="E10340" s="4" t="s">
        <v>22</v>
      </c>
      <c r="F10340" s="4" t="s">
        <v>52321</v>
      </c>
      <c r="G10340" s="4" t="s">
        <v>52322</v>
      </c>
      <c r="H10340" s="3" t="s">
        <v>50910</v>
      </c>
      <c r="I10340" s="3" t="s">
        <v>52323</v>
      </c>
      <c r="J10340" s="3" t="s">
        <v>52327</v>
      </c>
      <c r="K10340" s="3" t="s">
        <v>52328</v>
      </c>
      <c r="L10340" s="3"/>
      <c r="M10340" s="4"/>
      <c r="N10340" s="3" t="s">
        <v>37</v>
      </c>
      <c r="O10340" s="3" t="s">
        <v>52</v>
      </c>
      <c r="P10340" s="5">
        <v>0</v>
      </c>
      <c r="Q10340" s="5">
        <v>0</v>
      </c>
      <c r="R10340" s="5">
        <v>9</v>
      </c>
      <c r="S10340" s="5">
        <v>58</v>
      </c>
    </row>
    <row r="10341" spans="1:19" ht="42" x14ac:dyDescent="0.15">
      <c r="A10341" s="2">
        <f>HYPERLINK("https://open-school.uspishnemisto.com.ua/school/530299/", 530299)</f>
        <v>530299</v>
      </c>
      <c r="B10341" s="3" t="s">
        <v>52329</v>
      </c>
      <c r="C10341" s="3" t="s">
        <v>31</v>
      </c>
      <c r="D10341" s="3" t="s">
        <v>175</v>
      </c>
      <c r="E10341" s="4" t="s">
        <v>22</v>
      </c>
      <c r="F10341" s="4" t="s">
        <v>52330</v>
      </c>
      <c r="G10341" s="4" t="s">
        <v>52322</v>
      </c>
      <c r="H10341" s="3" t="s">
        <v>50910</v>
      </c>
      <c r="I10341" s="3" t="s">
        <v>52323</v>
      </c>
      <c r="J10341" s="3" t="s">
        <v>6432</v>
      </c>
      <c r="K10341" s="3" t="s">
        <v>52331</v>
      </c>
      <c r="L10341" s="3"/>
      <c r="M10341" s="4"/>
      <c r="N10341" s="3" t="s">
        <v>37</v>
      </c>
      <c r="O10341" s="3" t="s">
        <v>52</v>
      </c>
      <c r="P10341" s="5">
        <v>0</v>
      </c>
      <c r="Q10341" s="5">
        <v>0</v>
      </c>
      <c r="R10341" s="5">
        <v>9</v>
      </c>
      <c r="S10341" s="5">
        <v>75</v>
      </c>
    </row>
    <row r="10342" spans="1:19" ht="42" x14ac:dyDescent="0.15">
      <c r="A10342" s="2">
        <f>HYPERLINK("https://open-school.uspishnemisto.com.ua/school/530300/", 530300)</f>
        <v>530300</v>
      </c>
      <c r="B10342" s="3" t="s">
        <v>52332</v>
      </c>
      <c r="C10342" s="3" t="s">
        <v>31</v>
      </c>
      <c r="D10342" s="3" t="s">
        <v>32</v>
      </c>
      <c r="E10342" s="4" t="s">
        <v>22</v>
      </c>
      <c r="F10342" s="4" t="s">
        <v>52330</v>
      </c>
      <c r="G10342" s="4" t="s">
        <v>52322</v>
      </c>
      <c r="H10342" s="3" t="s">
        <v>50910</v>
      </c>
      <c r="I10342" s="3" t="s">
        <v>52323</v>
      </c>
      <c r="J10342" s="3" t="s">
        <v>7340</v>
      </c>
      <c r="K10342" s="3"/>
      <c r="L10342" s="3" t="s">
        <v>52333</v>
      </c>
      <c r="M10342" s="4"/>
      <c r="N10342" s="3" t="s">
        <v>37</v>
      </c>
      <c r="O10342" s="3" t="s">
        <v>38</v>
      </c>
      <c r="P10342" s="5">
        <v>43</v>
      </c>
      <c r="Q10342" s="5">
        <v>586</v>
      </c>
      <c r="R10342" s="5">
        <v>14</v>
      </c>
      <c r="S10342" s="5">
        <v>301</v>
      </c>
    </row>
    <row r="10343" spans="1:19" ht="28" x14ac:dyDescent="0.15">
      <c r="A10343" s="2">
        <f>HYPERLINK("https://open-school.uspishnemisto.com.ua/school/530301/", 530301)</f>
        <v>530301</v>
      </c>
      <c r="B10343" s="3" t="s">
        <v>52334</v>
      </c>
      <c r="C10343" s="3" t="s">
        <v>31</v>
      </c>
      <c r="D10343" s="3" t="s">
        <v>175</v>
      </c>
      <c r="E10343" s="4" t="s">
        <v>22</v>
      </c>
      <c r="F10343" s="4"/>
      <c r="G10343" s="4" t="s">
        <v>52335</v>
      </c>
      <c r="H10343" s="3" t="s">
        <v>50910</v>
      </c>
      <c r="I10343" s="3" t="s">
        <v>52336</v>
      </c>
      <c r="J10343" s="3" t="s">
        <v>26366</v>
      </c>
      <c r="K10343" s="3" t="s">
        <v>52337</v>
      </c>
      <c r="L10343" s="3"/>
      <c r="M10343" s="4"/>
      <c r="N10343" s="3" t="s">
        <v>37</v>
      </c>
      <c r="O10343" s="3" t="s">
        <v>52</v>
      </c>
      <c r="P10343" s="5">
        <v>5</v>
      </c>
      <c r="Q10343" s="5">
        <v>48</v>
      </c>
      <c r="R10343" s="5">
        <v>8</v>
      </c>
      <c r="S10343" s="5">
        <v>54</v>
      </c>
    </row>
    <row r="10344" spans="1:19" ht="42" x14ac:dyDescent="0.15">
      <c r="A10344" s="2">
        <f>HYPERLINK("https://open-school.uspishnemisto.com.ua/school/530302/", 530302)</f>
        <v>530302</v>
      </c>
      <c r="B10344" s="3" t="s">
        <v>52338</v>
      </c>
      <c r="C10344" s="3" t="s">
        <v>31</v>
      </c>
      <c r="D10344" s="3" t="s">
        <v>32</v>
      </c>
      <c r="E10344" s="4" t="s">
        <v>22</v>
      </c>
      <c r="F10344" s="4" t="s">
        <v>52339</v>
      </c>
      <c r="G10344" s="4" t="s">
        <v>52340</v>
      </c>
      <c r="H10344" s="3" t="s">
        <v>50910</v>
      </c>
      <c r="I10344" s="3" t="s">
        <v>52341</v>
      </c>
      <c r="J10344" s="3" t="s">
        <v>3538</v>
      </c>
      <c r="K10344" s="3" t="s">
        <v>52342</v>
      </c>
      <c r="L10344" s="3" t="s">
        <v>52343</v>
      </c>
      <c r="M10344" s="4"/>
      <c r="N10344" s="3" t="s">
        <v>37</v>
      </c>
      <c r="O10344" s="3" t="s">
        <v>52</v>
      </c>
      <c r="P10344" s="5">
        <v>29</v>
      </c>
      <c r="Q10344" s="5">
        <v>443</v>
      </c>
      <c r="R10344" s="5">
        <v>16</v>
      </c>
      <c r="S10344" s="5">
        <v>338</v>
      </c>
    </row>
    <row r="10345" spans="1:19" ht="56" x14ac:dyDescent="0.15">
      <c r="A10345" s="2">
        <f>HYPERLINK("https://open-school.uspishnemisto.com.ua/school/530303/", 530303)</f>
        <v>530303</v>
      </c>
      <c r="B10345" s="3" t="s">
        <v>52344</v>
      </c>
      <c r="C10345" s="3" t="s">
        <v>31</v>
      </c>
      <c r="D10345" s="3" t="s">
        <v>175</v>
      </c>
      <c r="E10345" s="4" t="s">
        <v>22</v>
      </c>
      <c r="F10345" s="4" t="s">
        <v>52339</v>
      </c>
      <c r="G10345" s="4" t="s">
        <v>52345</v>
      </c>
      <c r="H10345" s="3" t="s">
        <v>50910</v>
      </c>
      <c r="I10345" s="3" t="s">
        <v>52346</v>
      </c>
      <c r="J10345" s="3" t="s">
        <v>13617</v>
      </c>
      <c r="K10345" s="3" t="s">
        <v>52347</v>
      </c>
      <c r="L10345" s="3"/>
      <c r="M10345" s="4"/>
      <c r="N10345" s="3" t="s">
        <v>37</v>
      </c>
      <c r="O10345" s="3" t="s">
        <v>52</v>
      </c>
      <c r="P10345" s="5">
        <v>0</v>
      </c>
      <c r="Q10345" s="5">
        <v>0</v>
      </c>
      <c r="R10345" s="5">
        <v>6</v>
      </c>
      <c r="S10345" s="5">
        <v>49</v>
      </c>
    </row>
    <row r="10346" spans="1:19" ht="28" x14ac:dyDescent="0.15">
      <c r="A10346" s="2">
        <f>HYPERLINK("https://open-school.uspishnemisto.com.ua/school/530304/", 530304)</f>
        <v>530304</v>
      </c>
      <c r="B10346" s="3" t="s">
        <v>52348</v>
      </c>
      <c r="C10346" s="3" t="s">
        <v>31</v>
      </c>
      <c r="D10346" s="3" t="s">
        <v>175</v>
      </c>
      <c r="E10346" s="4" t="s">
        <v>22</v>
      </c>
      <c r="F10346" s="4" t="s">
        <v>52349</v>
      </c>
      <c r="G10346" s="4" t="s">
        <v>52350</v>
      </c>
      <c r="H10346" s="3" t="s">
        <v>50910</v>
      </c>
      <c r="I10346" s="3" t="s">
        <v>1500</v>
      </c>
      <c r="J10346" s="3" t="s">
        <v>297</v>
      </c>
      <c r="K10346" s="3" t="s">
        <v>52351</v>
      </c>
      <c r="L10346" s="3"/>
      <c r="M10346" s="4"/>
      <c r="N10346" s="3" t="s">
        <v>37</v>
      </c>
      <c r="O10346" s="3" t="s">
        <v>46</v>
      </c>
      <c r="P10346" s="5">
        <v>5</v>
      </c>
      <c r="Q10346" s="5">
        <v>43</v>
      </c>
      <c r="R10346" s="5">
        <v>5</v>
      </c>
      <c r="S10346" s="5">
        <v>44</v>
      </c>
    </row>
    <row r="10347" spans="1:19" ht="28" x14ac:dyDescent="0.15">
      <c r="A10347" s="2">
        <f>HYPERLINK("https://open-school.uspishnemisto.com.ua/school/530305/", 530305)</f>
        <v>530305</v>
      </c>
      <c r="B10347" s="3" t="s">
        <v>52352</v>
      </c>
      <c r="C10347" s="3" t="s">
        <v>31</v>
      </c>
      <c r="D10347" s="3" t="s">
        <v>175</v>
      </c>
      <c r="E10347" s="4" t="s">
        <v>22</v>
      </c>
      <c r="F10347" s="4" t="s">
        <v>52353</v>
      </c>
      <c r="G10347" s="4" t="s">
        <v>52354</v>
      </c>
      <c r="H10347" s="3" t="s">
        <v>50910</v>
      </c>
      <c r="I10347" s="3" t="s">
        <v>52355</v>
      </c>
      <c r="J10347" s="3" t="s">
        <v>5671</v>
      </c>
      <c r="K10347" s="3" t="s">
        <v>52356</v>
      </c>
      <c r="L10347" s="3"/>
      <c r="M10347" s="4"/>
      <c r="N10347" s="3" t="s">
        <v>37</v>
      </c>
      <c r="O10347" s="3" t="s">
        <v>618</v>
      </c>
      <c r="P10347" s="5">
        <v>5</v>
      </c>
      <c r="Q10347" s="5">
        <v>51</v>
      </c>
      <c r="R10347" s="5">
        <v>5</v>
      </c>
      <c r="S10347" s="5">
        <v>52</v>
      </c>
    </row>
    <row r="10348" spans="1:19" ht="28" x14ac:dyDescent="0.15">
      <c r="A10348" s="2">
        <f>HYPERLINK("https://open-school.uspishnemisto.com.ua/school/530306/", 530306)</f>
        <v>530306</v>
      </c>
      <c r="B10348" s="3" t="s">
        <v>52357</v>
      </c>
      <c r="C10348" s="3" t="s">
        <v>31</v>
      </c>
      <c r="D10348" s="3" t="s">
        <v>175</v>
      </c>
      <c r="E10348" s="4" t="s">
        <v>22</v>
      </c>
      <c r="F10348" s="4" t="s">
        <v>52358</v>
      </c>
      <c r="G10348" s="4" t="s">
        <v>52359</v>
      </c>
      <c r="H10348" s="3" t="s">
        <v>50910</v>
      </c>
      <c r="I10348" s="3" t="s">
        <v>52360</v>
      </c>
      <c r="J10348" s="3" t="s">
        <v>33037</v>
      </c>
      <c r="K10348" s="3" t="s">
        <v>52361</v>
      </c>
      <c r="L10348" s="3"/>
      <c r="M10348" s="4"/>
      <c r="N10348" s="3" t="s">
        <v>37</v>
      </c>
      <c r="O10348" s="3" t="s">
        <v>46</v>
      </c>
      <c r="P10348" s="5">
        <v>4</v>
      </c>
      <c r="Q10348" s="5">
        <v>27</v>
      </c>
      <c r="R10348" s="5">
        <v>3</v>
      </c>
      <c r="S10348" s="5">
        <v>27</v>
      </c>
    </row>
    <row r="10349" spans="1:19" ht="28" x14ac:dyDescent="0.15">
      <c r="A10349" s="2">
        <f>HYPERLINK("https://open-school.uspishnemisto.com.ua/school/530307/", 530307)</f>
        <v>530307</v>
      </c>
      <c r="B10349" s="3" t="s">
        <v>52362</v>
      </c>
      <c r="C10349" s="3" t="s">
        <v>31</v>
      </c>
      <c r="D10349" s="3" t="s">
        <v>32</v>
      </c>
      <c r="E10349" s="4" t="s">
        <v>22</v>
      </c>
      <c r="F10349" s="4" t="s">
        <v>52363</v>
      </c>
      <c r="G10349" s="4" t="s">
        <v>52364</v>
      </c>
      <c r="H10349" s="3" t="s">
        <v>50910</v>
      </c>
      <c r="I10349" s="3" t="s">
        <v>52365</v>
      </c>
      <c r="J10349" s="3" t="s">
        <v>48154</v>
      </c>
      <c r="K10349" s="3" t="s">
        <v>52366</v>
      </c>
      <c r="L10349" s="3" t="s">
        <v>52367</v>
      </c>
      <c r="M10349" s="4"/>
      <c r="N10349" s="3" t="s">
        <v>37</v>
      </c>
      <c r="O10349" s="3" t="s">
        <v>70</v>
      </c>
      <c r="P10349" s="5">
        <v>11</v>
      </c>
      <c r="Q10349" s="5">
        <v>143</v>
      </c>
      <c r="R10349" s="5">
        <v>11</v>
      </c>
      <c r="S10349" s="5">
        <v>169</v>
      </c>
    </row>
    <row r="10350" spans="1:19" ht="28" x14ac:dyDescent="0.15">
      <c r="A10350" s="2">
        <f>HYPERLINK("https://open-school.uspishnemisto.com.ua/school/530308/", 530308)</f>
        <v>530308</v>
      </c>
      <c r="B10350" s="3" t="s">
        <v>52368</v>
      </c>
      <c r="C10350" s="3" t="s">
        <v>31</v>
      </c>
      <c r="D10350" s="3" t="s">
        <v>60</v>
      </c>
      <c r="E10350" s="4" t="s">
        <v>22</v>
      </c>
      <c r="F10350" s="4" t="s">
        <v>52369</v>
      </c>
      <c r="G10350" s="4" t="s">
        <v>52370</v>
      </c>
      <c r="H10350" s="3" t="s">
        <v>50910</v>
      </c>
      <c r="I10350" s="3" t="s">
        <v>52371</v>
      </c>
      <c r="J10350" s="3" t="s">
        <v>566</v>
      </c>
      <c r="K10350" s="3" t="s">
        <v>52372</v>
      </c>
      <c r="L10350" s="3"/>
      <c r="M10350" s="4"/>
      <c r="N10350" s="3" t="s">
        <v>37</v>
      </c>
      <c r="O10350" s="3" t="s">
        <v>52</v>
      </c>
      <c r="P10350" s="5">
        <v>0</v>
      </c>
      <c r="Q10350" s="5">
        <v>0</v>
      </c>
      <c r="R10350" s="5">
        <v>0</v>
      </c>
      <c r="S10350" s="5">
        <v>7</v>
      </c>
    </row>
    <row r="10351" spans="1:19" ht="56" x14ac:dyDescent="0.15">
      <c r="A10351" s="2">
        <f>HYPERLINK("https://open-school.uspishnemisto.com.ua/school/530309/", 530309)</f>
        <v>530309</v>
      </c>
      <c r="B10351" s="3" t="s">
        <v>52373</v>
      </c>
      <c r="C10351" s="3" t="s">
        <v>31</v>
      </c>
      <c r="D10351" s="3" t="s">
        <v>60</v>
      </c>
      <c r="E10351" s="4" t="s">
        <v>22</v>
      </c>
      <c r="F10351" s="4" t="s">
        <v>52374</v>
      </c>
      <c r="G10351" s="4" t="s">
        <v>52375</v>
      </c>
      <c r="H10351" s="3" t="s">
        <v>50910</v>
      </c>
      <c r="I10351" s="3" t="s">
        <v>51805</v>
      </c>
      <c r="J10351" s="3" t="s">
        <v>52376</v>
      </c>
      <c r="K10351" s="3" t="s">
        <v>52377</v>
      </c>
      <c r="L10351" s="3"/>
      <c r="M10351" s="4"/>
      <c r="N10351" s="3" t="s">
        <v>37</v>
      </c>
      <c r="O10351" s="3" t="s">
        <v>52</v>
      </c>
      <c r="P10351" s="5">
        <v>0</v>
      </c>
      <c r="Q10351" s="5">
        <v>0</v>
      </c>
      <c r="R10351" s="5">
        <v>2</v>
      </c>
      <c r="S10351" s="5">
        <v>19</v>
      </c>
    </row>
    <row r="10352" spans="1:19" ht="28" x14ac:dyDescent="0.15">
      <c r="A10352" s="2">
        <f>HYPERLINK("https://open-school.uspishnemisto.com.ua/school/530310/", 530310)</f>
        <v>530310</v>
      </c>
      <c r="B10352" s="3" t="s">
        <v>52378</v>
      </c>
      <c r="C10352" s="3" t="s">
        <v>31</v>
      </c>
      <c r="D10352" s="3" t="s">
        <v>60</v>
      </c>
      <c r="E10352" s="4" t="s">
        <v>22</v>
      </c>
      <c r="F10352" s="4" t="s">
        <v>52379</v>
      </c>
      <c r="G10352" s="4" t="s">
        <v>52380</v>
      </c>
      <c r="H10352" s="3" t="s">
        <v>50910</v>
      </c>
      <c r="I10352" s="3" t="s">
        <v>52381</v>
      </c>
      <c r="J10352" s="3" t="s">
        <v>52382</v>
      </c>
      <c r="K10352" s="3"/>
      <c r="L10352" s="3"/>
      <c r="M10352" s="4"/>
      <c r="N10352" s="3" t="s">
        <v>37</v>
      </c>
      <c r="O10352" s="3" t="s">
        <v>52</v>
      </c>
      <c r="P10352" s="5">
        <v>1</v>
      </c>
      <c r="Q10352" s="5">
        <v>11</v>
      </c>
      <c r="R10352" s="5">
        <v>1</v>
      </c>
      <c r="S10352" s="5">
        <v>14</v>
      </c>
    </row>
    <row r="10353" spans="1:19" ht="28" x14ac:dyDescent="0.15">
      <c r="A10353" s="2">
        <f>HYPERLINK("https://open-school.uspishnemisto.com.ua/school/530311/", 530311)</f>
        <v>530311</v>
      </c>
      <c r="B10353" s="3" t="s">
        <v>52383</v>
      </c>
      <c r="C10353" s="3" t="s">
        <v>31</v>
      </c>
      <c r="D10353" s="3" t="s">
        <v>32</v>
      </c>
      <c r="E10353" s="4" t="s">
        <v>22</v>
      </c>
      <c r="F10353" s="4" t="s">
        <v>52384</v>
      </c>
      <c r="G10353" s="4" t="s">
        <v>52385</v>
      </c>
      <c r="H10353" s="3" t="s">
        <v>50910</v>
      </c>
      <c r="I10353" s="3" t="s">
        <v>883</v>
      </c>
      <c r="J10353" s="3" t="s">
        <v>18837</v>
      </c>
      <c r="K10353" s="3" t="s">
        <v>52386</v>
      </c>
      <c r="L10353" s="3"/>
      <c r="M10353" s="4"/>
      <c r="N10353" s="3" t="s">
        <v>37</v>
      </c>
      <c r="O10353" s="3" t="s">
        <v>52</v>
      </c>
      <c r="P10353" s="5">
        <v>11</v>
      </c>
      <c r="Q10353" s="5">
        <v>115</v>
      </c>
      <c r="R10353" s="5">
        <v>11</v>
      </c>
      <c r="S10353" s="5">
        <v>120</v>
      </c>
    </row>
    <row r="10354" spans="1:19" ht="28" x14ac:dyDescent="0.15">
      <c r="A10354" s="2">
        <f>HYPERLINK("https://open-school.uspishnemisto.com.ua/school/530312/", 530312)</f>
        <v>530312</v>
      </c>
      <c r="B10354" s="3" t="s">
        <v>52387</v>
      </c>
      <c r="C10354" s="3" t="s">
        <v>31</v>
      </c>
      <c r="D10354" s="3" t="s">
        <v>175</v>
      </c>
      <c r="E10354" s="4" t="s">
        <v>22</v>
      </c>
      <c r="F10354" s="4" t="s">
        <v>52388</v>
      </c>
      <c r="G10354" s="4" t="s">
        <v>52389</v>
      </c>
      <c r="H10354" s="3" t="s">
        <v>50910</v>
      </c>
      <c r="I10354" s="3" t="s">
        <v>52390</v>
      </c>
      <c r="J10354" s="3" t="s">
        <v>52391</v>
      </c>
      <c r="K10354" s="3"/>
      <c r="L10354" s="3"/>
      <c r="M10354" s="4"/>
      <c r="N10354" s="3" t="s">
        <v>37</v>
      </c>
      <c r="O10354" s="3" t="s">
        <v>46</v>
      </c>
      <c r="P10354" s="5">
        <v>5</v>
      </c>
      <c r="Q10354" s="5">
        <v>39</v>
      </c>
      <c r="R10354" s="5">
        <v>6</v>
      </c>
      <c r="S10354" s="5">
        <v>43</v>
      </c>
    </row>
    <row r="10355" spans="1:19" ht="28" x14ac:dyDescent="0.15">
      <c r="A10355" s="2">
        <f>HYPERLINK("https://open-school.uspishnemisto.com.ua/school/530313/", 530313)</f>
        <v>530313</v>
      </c>
      <c r="B10355" s="3" t="s">
        <v>52392</v>
      </c>
      <c r="C10355" s="3" t="s">
        <v>31</v>
      </c>
      <c r="D10355" s="3" t="s">
        <v>175</v>
      </c>
      <c r="E10355" s="4" t="s">
        <v>22</v>
      </c>
      <c r="F10355" s="4" t="s">
        <v>52393</v>
      </c>
      <c r="G10355" s="4" t="s">
        <v>52394</v>
      </c>
      <c r="H10355" s="3" t="s">
        <v>50910</v>
      </c>
      <c r="I10355" s="3" t="s">
        <v>36664</v>
      </c>
      <c r="J10355" s="3" t="s">
        <v>2384</v>
      </c>
      <c r="K10355" s="3" t="s">
        <v>52395</v>
      </c>
      <c r="L10355" s="3"/>
      <c r="M10355" s="4"/>
      <c r="N10355" s="3" t="s">
        <v>37</v>
      </c>
      <c r="O10355" s="3" t="s">
        <v>70</v>
      </c>
      <c r="P10355" s="5">
        <v>4</v>
      </c>
      <c r="Q10355" s="5">
        <v>32</v>
      </c>
      <c r="R10355" s="5">
        <v>4</v>
      </c>
      <c r="S10355" s="5">
        <v>28</v>
      </c>
    </row>
    <row r="10356" spans="1:19" ht="56" x14ac:dyDescent="0.15">
      <c r="A10356" s="2">
        <f>HYPERLINK("https://open-school.uspishnemisto.com.ua/school/530314/", 530314)</f>
        <v>530314</v>
      </c>
      <c r="B10356" s="3" t="s">
        <v>52396</v>
      </c>
      <c r="C10356" s="3" t="s">
        <v>54</v>
      </c>
      <c r="D10356" s="3" t="s">
        <v>60</v>
      </c>
      <c r="E10356" s="4" t="s">
        <v>22</v>
      </c>
      <c r="F10356" s="4" t="s">
        <v>52397</v>
      </c>
      <c r="G10356" s="4" t="s">
        <v>52398</v>
      </c>
      <c r="H10356" s="3" t="s">
        <v>50910</v>
      </c>
      <c r="I10356" s="3" t="s">
        <v>35330</v>
      </c>
      <c r="J10356" s="3" t="s">
        <v>1348</v>
      </c>
      <c r="K10356" s="3" t="s">
        <v>52399</v>
      </c>
      <c r="L10356" s="3"/>
      <c r="M10356" s="4"/>
      <c r="N10356" s="3" t="s">
        <v>37</v>
      </c>
      <c r="O10356" s="3" t="s">
        <v>618</v>
      </c>
      <c r="P10356" s="5">
        <v>0</v>
      </c>
      <c r="Q10356" s="5">
        <v>7</v>
      </c>
      <c r="R10356" s="5">
        <v>0</v>
      </c>
      <c r="S10356" s="5">
        <v>8</v>
      </c>
    </row>
    <row r="10357" spans="1:19" ht="28" x14ac:dyDescent="0.15">
      <c r="A10357" s="2">
        <f>HYPERLINK("https://open-school.uspishnemisto.com.ua/school/530315/", 530315)</f>
        <v>530315</v>
      </c>
      <c r="B10357" s="3" t="s">
        <v>52400</v>
      </c>
      <c r="C10357" s="3" t="s">
        <v>31</v>
      </c>
      <c r="D10357" s="3" t="s">
        <v>175</v>
      </c>
      <c r="E10357" s="4" t="s">
        <v>22</v>
      </c>
      <c r="F10357" s="4" t="s">
        <v>52401</v>
      </c>
      <c r="G10357" s="4" t="s">
        <v>52402</v>
      </c>
      <c r="H10357" s="3" t="s">
        <v>50910</v>
      </c>
      <c r="I10357" s="3" t="s">
        <v>52403</v>
      </c>
      <c r="J10357" s="3" t="s">
        <v>7166</v>
      </c>
      <c r="K10357" s="3" t="s">
        <v>52404</v>
      </c>
      <c r="L10357" s="3"/>
      <c r="M10357" s="4"/>
      <c r="N10357" s="3" t="s">
        <v>37</v>
      </c>
      <c r="O10357" s="3" t="s">
        <v>52</v>
      </c>
      <c r="P10357" s="5">
        <v>2</v>
      </c>
      <c r="Q10357" s="5">
        <v>29</v>
      </c>
      <c r="R10357" s="5">
        <v>2</v>
      </c>
      <c r="S10357" s="5">
        <v>30</v>
      </c>
    </row>
    <row r="10358" spans="1:19" ht="28" x14ac:dyDescent="0.15">
      <c r="A10358" s="2">
        <f>HYPERLINK("https://open-school.uspishnemisto.com.ua/school/530316/", 530316)</f>
        <v>530316</v>
      </c>
      <c r="B10358" s="3" t="s">
        <v>52405</v>
      </c>
      <c r="C10358" s="3" t="s">
        <v>31</v>
      </c>
      <c r="D10358" s="3" t="s">
        <v>175</v>
      </c>
      <c r="E10358" s="4" t="s">
        <v>22</v>
      </c>
      <c r="F10358" s="4" t="s">
        <v>52406</v>
      </c>
      <c r="G10358" s="4" t="s">
        <v>52407</v>
      </c>
      <c r="H10358" s="3" t="s">
        <v>50910</v>
      </c>
      <c r="I10358" s="3" t="s">
        <v>4005</v>
      </c>
      <c r="J10358" s="3" t="s">
        <v>3047</v>
      </c>
      <c r="K10358" s="3" t="s">
        <v>52408</v>
      </c>
      <c r="L10358" s="3"/>
      <c r="M10358" s="4"/>
      <c r="N10358" s="3" t="s">
        <v>37</v>
      </c>
      <c r="O10358" s="3" t="s">
        <v>52</v>
      </c>
      <c r="P10358" s="5">
        <v>5</v>
      </c>
      <c r="Q10358" s="5">
        <v>45</v>
      </c>
      <c r="R10358" s="5">
        <v>4</v>
      </c>
      <c r="S10358" s="5">
        <v>42</v>
      </c>
    </row>
    <row r="10359" spans="1:19" ht="28" x14ac:dyDescent="0.15">
      <c r="A10359" s="2">
        <f>HYPERLINK("https://open-school.uspishnemisto.com.ua/school/530317/", 530317)</f>
        <v>530317</v>
      </c>
      <c r="B10359" s="3" t="s">
        <v>52409</v>
      </c>
      <c r="C10359" s="3" t="s">
        <v>31</v>
      </c>
      <c r="D10359" s="3" t="s">
        <v>175</v>
      </c>
      <c r="E10359" s="4" t="s">
        <v>22</v>
      </c>
      <c r="F10359" s="4" t="s">
        <v>52410</v>
      </c>
      <c r="G10359" s="4" t="s">
        <v>52411</v>
      </c>
      <c r="H10359" s="3" t="s">
        <v>50910</v>
      </c>
      <c r="I10359" s="3" t="s">
        <v>52412</v>
      </c>
      <c r="J10359" s="3" t="s">
        <v>26379</v>
      </c>
      <c r="K10359" s="3" t="s">
        <v>52413</v>
      </c>
      <c r="L10359" s="3"/>
      <c r="M10359" s="4"/>
      <c r="N10359" s="3" t="s">
        <v>37</v>
      </c>
      <c r="O10359" s="3" t="s">
        <v>38</v>
      </c>
      <c r="P10359" s="5">
        <v>5</v>
      </c>
      <c r="Q10359" s="5">
        <v>42</v>
      </c>
      <c r="R10359" s="5">
        <v>5</v>
      </c>
      <c r="S10359" s="5">
        <v>45</v>
      </c>
    </row>
    <row r="10360" spans="1:19" ht="28" x14ac:dyDescent="0.15">
      <c r="A10360" s="2">
        <f>HYPERLINK("https://open-school.uspishnemisto.com.ua/school/530318/", 530318)</f>
        <v>530318</v>
      </c>
      <c r="B10360" s="3" t="s">
        <v>52414</v>
      </c>
      <c r="C10360" s="3" t="s">
        <v>31</v>
      </c>
      <c r="D10360" s="3" t="s">
        <v>175</v>
      </c>
      <c r="E10360" s="4" t="s">
        <v>22</v>
      </c>
      <c r="F10360" s="4" t="s">
        <v>52415</v>
      </c>
      <c r="G10360" s="4" t="s">
        <v>52416</v>
      </c>
      <c r="H10360" s="3" t="s">
        <v>50910</v>
      </c>
      <c r="I10360" s="3" t="s">
        <v>3537</v>
      </c>
      <c r="J10360" s="3" t="s">
        <v>6479</v>
      </c>
      <c r="K10360" s="3" t="s">
        <v>52417</v>
      </c>
      <c r="L10360" s="3"/>
      <c r="M10360" s="4"/>
      <c r="N10360" s="3" t="s">
        <v>37</v>
      </c>
      <c r="O10360" s="3" t="s">
        <v>52</v>
      </c>
      <c r="P10360" s="5">
        <v>0</v>
      </c>
      <c r="Q10360" s="5">
        <v>0</v>
      </c>
      <c r="R10360" s="5">
        <v>3</v>
      </c>
      <c r="S10360" s="5">
        <v>31</v>
      </c>
    </row>
    <row r="10361" spans="1:19" ht="28" x14ac:dyDescent="0.15">
      <c r="A10361" s="2">
        <f>HYPERLINK("https://open-school.uspishnemisto.com.ua/school/530319/", 530319)</f>
        <v>530319</v>
      </c>
      <c r="B10361" s="3" t="s">
        <v>52418</v>
      </c>
      <c r="C10361" s="3" t="s">
        <v>31</v>
      </c>
      <c r="D10361" s="3" t="s">
        <v>175</v>
      </c>
      <c r="E10361" s="4" t="s">
        <v>22</v>
      </c>
      <c r="F10361" s="4" t="s">
        <v>52419</v>
      </c>
      <c r="G10361" s="4" t="s">
        <v>52420</v>
      </c>
      <c r="H10361" s="3" t="s">
        <v>50910</v>
      </c>
      <c r="I10361" s="3" t="s">
        <v>52421</v>
      </c>
      <c r="J10361" s="3"/>
      <c r="K10361" s="3"/>
      <c r="L10361" s="3"/>
      <c r="M10361" s="4"/>
      <c r="N10361" s="3" t="s">
        <v>37</v>
      </c>
      <c r="O10361" s="3" t="s">
        <v>52</v>
      </c>
      <c r="P10361" s="5">
        <v>0</v>
      </c>
      <c r="Q10361" s="5">
        <v>0</v>
      </c>
      <c r="R10361" s="5">
        <v>1</v>
      </c>
      <c r="S10361" s="5">
        <v>27</v>
      </c>
    </row>
    <row r="10362" spans="1:19" ht="28" x14ac:dyDescent="0.15">
      <c r="A10362" s="2">
        <f>HYPERLINK("https://open-school.uspishnemisto.com.ua/school/530320/", 530320)</f>
        <v>530320</v>
      </c>
      <c r="B10362" s="3" t="s">
        <v>52422</v>
      </c>
      <c r="C10362" s="3" t="s">
        <v>31</v>
      </c>
      <c r="D10362" s="3" t="s">
        <v>32</v>
      </c>
      <c r="E10362" s="4" t="s">
        <v>22</v>
      </c>
      <c r="F10362" s="4" t="s">
        <v>52423</v>
      </c>
      <c r="G10362" s="4" t="s">
        <v>52424</v>
      </c>
      <c r="H10362" s="3" t="s">
        <v>50910</v>
      </c>
      <c r="I10362" s="3" t="s">
        <v>31758</v>
      </c>
      <c r="J10362" s="3" t="s">
        <v>4425</v>
      </c>
      <c r="K10362" s="3" t="s">
        <v>52425</v>
      </c>
      <c r="L10362" s="3"/>
      <c r="M10362" s="4"/>
      <c r="N10362" s="3" t="s">
        <v>37</v>
      </c>
      <c r="O10362" s="3" t="s">
        <v>38</v>
      </c>
      <c r="P10362" s="5">
        <v>11</v>
      </c>
      <c r="Q10362" s="5">
        <v>129</v>
      </c>
      <c r="R10362" s="5">
        <v>11</v>
      </c>
      <c r="S10362" s="5">
        <v>128</v>
      </c>
    </row>
    <row r="10363" spans="1:19" ht="28" x14ac:dyDescent="0.15">
      <c r="A10363" s="2">
        <f>HYPERLINK("https://open-school.uspishnemisto.com.ua/school/530321/", 530321)</f>
        <v>530321</v>
      </c>
      <c r="B10363" s="3" t="s">
        <v>52426</v>
      </c>
      <c r="C10363" s="3" t="s">
        <v>31</v>
      </c>
      <c r="D10363" s="3" t="s">
        <v>175</v>
      </c>
      <c r="E10363" s="4" t="s">
        <v>22</v>
      </c>
      <c r="F10363" s="4" t="s">
        <v>52427</v>
      </c>
      <c r="G10363" s="4" t="s">
        <v>52428</v>
      </c>
      <c r="H10363" s="3" t="s">
        <v>50910</v>
      </c>
      <c r="I10363" s="3" t="s">
        <v>52429</v>
      </c>
      <c r="J10363" s="3" t="s">
        <v>52430</v>
      </c>
      <c r="K10363" s="3" t="s">
        <v>52431</v>
      </c>
      <c r="L10363" s="3" t="s">
        <v>52432</v>
      </c>
      <c r="M10363" s="4"/>
      <c r="N10363" s="3" t="s">
        <v>37</v>
      </c>
      <c r="O10363" s="3" t="s">
        <v>52</v>
      </c>
      <c r="P10363" s="5">
        <v>6</v>
      </c>
      <c r="Q10363" s="5">
        <v>39</v>
      </c>
      <c r="R10363" s="5">
        <v>6</v>
      </c>
      <c r="S10363" s="5">
        <v>39</v>
      </c>
    </row>
    <row r="10364" spans="1:19" ht="28" x14ac:dyDescent="0.15">
      <c r="A10364" s="2">
        <f>HYPERLINK("https://open-school.uspishnemisto.com.ua/school/530322/", 530322)</f>
        <v>530322</v>
      </c>
      <c r="B10364" s="3" t="s">
        <v>52433</v>
      </c>
      <c r="C10364" s="3" t="s">
        <v>31</v>
      </c>
      <c r="D10364" s="3" t="s">
        <v>32</v>
      </c>
      <c r="E10364" s="4" t="s">
        <v>22</v>
      </c>
      <c r="F10364" s="4" t="s">
        <v>52434</v>
      </c>
      <c r="G10364" s="4" t="s">
        <v>52435</v>
      </c>
      <c r="H10364" s="3" t="s">
        <v>50910</v>
      </c>
      <c r="I10364" s="3" t="s">
        <v>52436</v>
      </c>
      <c r="J10364" s="3" t="s">
        <v>52437</v>
      </c>
      <c r="K10364" s="3" t="s">
        <v>52438</v>
      </c>
      <c r="L10364" s="3" t="s">
        <v>52439</v>
      </c>
      <c r="M10364" s="4"/>
      <c r="N10364" s="3" t="s">
        <v>37</v>
      </c>
      <c r="O10364" s="3" t="s">
        <v>38</v>
      </c>
      <c r="P10364" s="5">
        <v>11</v>
      </c>
      <c r="Q10364" s="5">
        <v>121</v>
      </c>
      <c r="R10364" s="5">
        <v>10</v>
      </c>
      <c r="S10364" s="5">
        <v>120</v>
      </c>
    </row>
    <row r="10365" spans="1:19" ht="28" x14ac:dyDescent="0.15">
      <c r="A10365" s="2">
        <f>HYPERLINK("https://open-school.uspishnemisto.com.ua/school/530323/", 530323)</f>
        <v>530323</v>
      </c>
      <c r="B10365" s="3" t="s">
        <v>52440</v>
      </c>
      <c r="C10365" s="3" t="s">
        <v>31</v>
      </c>
      <c r="D10365" s="3" t="s">
        <v>32</v>
      </c>
      <c r="E10365" s="4" t="s">
        <v>22</v>
      </c>
      <c r="F10365" s="4" t="s">
        <v>52441</v>
      </c>
      <c r="G10365" s="4" t="s">
        <v>52442</v>
      </c>
      <c r="H10365" s="3" t="s">
        <v>50910</v>
      </c>
      <c r="I10365" s="3" t="s">
        <v>52443</v>
      </c>
      <c r="J10365" s="3" t="s">
        <v>5264</v>
      </c>
      <c r="K10365" s="3"/>
      <c r="L10365" s="3"/>
      <c r="M10365" s="4"/>
      <c r="N10365" s="3" t="s">
        <v>37</v>
      </c>
      <c r="O10365" s="3" t="s">
        <v>52</v>
      </c>
      <c r="P10365" s="5">
        <v>11</v>
      </c>
      <c r="Q10365" s="5">
        <v>109</v>
      </c>
      <c r="R10365" s="5">
        <v>11</v>
      </c>
      <c r="S10365" s="5">
        <v>105</v>
      </c>
    </row>
    <row r="10366" spans="1:19" ht="42" x14ac:dyDescent="0.15">
      <c r="A10366" s="2">
        <f>HYPERLINK("https://open-school.uspishnemisto.com.ua/school/530324/", 530324)</f>
        <v>530324</v>
      </c>
      <c r="B10366" s="3" t="s">
        <v>52444</v>
      </c>
      <c r="C10366" s="3" t="s">
        <v>31</v>
      </c>
      <c r="D10366" s="3" t="s">
        <v>32</v>
      </c>
      <c r="E10366" s="4" t="s">
        <v>22</v>
      </c>
      <c r="F10366" s="4" t="s">
        <v>52445</v>
      </c>
      <c r="G10366" s="4" t="s">
        <v>52446</v>
      </c>
      <c r="H10366" s="3" t="s">
        <v>50910</v>
      </c>
      <c r="I10366" s="3" t="s">
        <v>11515</v>
      </c>
      <c r="J10366" s="3" t="s">
        <v>52447</v>
      </c>
      <c r="K10366" s="3" t="s">
        <v>52448</v>
      </c>
      <c r="L10366" s="3" t="s">
        <v>52449</v>
      </c>
      <c r="M10366" s="4"/>
      <c r="N10366" s="3" t="s">
        <v>37</v>
      </c>
      <c r="O10366" s="3" t="s">
        <v>52</v>
      </c>
      <c r="P10366" s="5">
        <v>12</v>
      </c>
      <c r="Q10366" s="5">
        <v>179</v>
      </c>
      <c r="R10366" s="5">
        <v>12</v>
      </c>
      <c r="S10366" s="5">
        <v>185</v>
      </c>
    </row>
    <row r="10367" spans="1:19" ht="56" x14ac:dyDescent="0.15">
      <c r="A10367" s="2">
        <f>HYPERLINK("https://open-school.uspishnemisto.com.ua/school/530325/", 530325)</f>
        <v>530325</v>
      </c>
      <c r="B10367" s="3" t="s">
        <v>52450</v>
      </c>
      <c r="C10367" s="3" t="s">
        <v>31</v>
      </c>
      <c r="D10367" s="3" t="s">
        <v>175</v>
      </c>
      <c r="E10367" s="4" t="s">
        <v>22</v>
      </c>
      <c r="F10367" s="4" t="s">
        <v>52321</v>
      </c>
      <c r="G10367" s="4" t="s">
        <v>52451</v>
      </c>
      <c r="H10367" s="3" t="s">
        <v>50910</v>
      </c>
      <c r="I10367" s="3" t="s">
        <v>52452</v>
      </c>
      <c r="J10367" s="3" t="s">
        <v>16925</v>
      </c>
      <c r="K10367" s="3" t="s">
        <v>52453</v>
      </c>
      <c r="L10367" s="3"/>
      <c r="M10367" s="4"/>
      <c r="N10367" s="3" t="s">
        <v>37</v>
      </c>
      <c r="O10367" s="3" t="s">
        <v>52</v>
      </c>
      <c r="P10367" s="5">
        <v>0</v>
      </c>
      <c r="Q10367" s="5">
        <v>0</v>
      </c>
      <c r="R10367" s="5">
        <v>2</v>
      </c>
      <c r="S10367" s="5">
        <v>29</v>
      </c>
    </row>
    <row r="10368" spans="1:19" ht="28" x14ac:dyDescent="0.15">
      <c r="A10368" s="2">
        <f>HYPERLINK("https://open-school.uspishnemisto.com.ua/school/530326/", 530326)</f>
        <v>530326</v>
      </c>
      <c r="B10368" s="3" t="s">
        <v>52454</v>
      </c>
      <c r="C10368" s="3" t="s">
        <v>31</v>
      </c>
      <c r="D10368" s="3" t="s">
        <v>32</v>
      </c>
      <c r="E10368" s="4" t="s">
        <v>22</v>
      </c>
      <c r="F10368" s="4" t="s">
        <v>52455</v>
      </c>
      <c r="G10368" s="4" t="s">
        <v>52456</v>
      </c>
      <c r="H10368" s="3" t="s">
        <v>50910</v>
      </c>
      <c r="I10368" s="3" t="s">
        <v>52457</v>
      </c>
      <c r="J10368" s="3" t="s">
        <v>52458</v>
      </c>
      <c r="K10368" s="3" t="s">
        <v>52459</v>
      </c>
      <c r="L10368" s="3"/>
      <c r="M10368" s="4"/>
      <c r="N10368" s="3" t="s">
        <v>37</v>
      </c>
      <c r="O10368" s="3" t="s">
        <v>70</v>
      </c>
      <c r="P10368" s="5">
        <v>11</v>
      </c>
      <c r="Q10368" s="5">
        <v>106</v>
      </c>
      <c r="R10368" s="5">
        <v>11</v>
      </c>
      <c r="S10368" s="5">
        <v>106</v>
      </c>
    </row>
    <row r="10369" spans="1:19" ht="28" x14ac:dyDescent="0.15">
      <c r="A10369" s="2">
        <f>HYPERLINK("https://open-school.uspishnemisto.com.ua/school/530327/", 530327)</f>
        <v>530327</v>
      </c>
      <c r="B10369" s="3" t="s">
        <v>52460</v>
      </c>
      <c r="C10369" s="3" t="s">
        <v>31</v>
      </c>
      <c r="D10369" s="3" t="s">
        <v>32</v>
      </c>
      <c r="E10369" s="4" t="s">
        <v>22</v>
      </c>
      <c r="F10369" s="4" t="s">
        <v>52461</v>
      </c>
      <c r="G10369" s="4" t="s">
        <v>52462</v>
      </c>
      <c r="H10369" s="3" t="s">
        <v>50910</v>
      </c>
      <c r="I10369" s="3" t="s">
        <v>52463</v>
      </c>
      <c r="J10369" s="3" t="s">
        <v>52464</v>
      </c>
      <c r="K10369" s="3" t="s">
        <v>52465</v>
      </c>
      <c r="L10369" s="3"/>
      <c r="M10369" s="4"/>
      <c r="N10369" s="3" t="s">
        <v>37</v>
      </c>
      <c r="O10369" s="3" t="s">
        <v>38</v>
      </c>
      <c r="P10369" s="5">
        <v>23</v>
      </c>
      <c r="Q10369" s="5">
        <v>497</v>
      </c>
      <c r="R10369" s="5">
        <v>22</v>
      </c>
      <c r="S10369" s="5">
        <v>475</v>
      </c>
    </row>
    <row r="10370" spans="1:19" ht="28" x14ac:dyDescent="0.15">
      <c r="A10370" s="2">
        <f>HYPERLINK("https://open-school.uspishnemisto.com.ua/school/530328/", 530328)</f>
        <v>530328</v>
      </c>
      <c r="B10370" s="3" t="s">
        <v>52466</v>
      </c>
      <c r="C10370" s="3" t="s">
        <v>31</v>
      </c>
      <c r="D10370" s="3" t="s">
        <v>32</v>
      </c>
      <c r="E10370" s="4" t="s">
        <v>22</v>
      </c>
      <c r="F10370" s="4" t="s">
        <v>52467</v>
      </c>
      <c r="G10370" s="4" t="s">
        <v>52468</v>
      </c>
      <c r="H10370" s="3" t="s">
        <v>50910</v>
      </c>
      <c r="I10370" s="3" t="s">
        <v>52469</v>
      </c>
      <c r="J10370" s="3" t="s">
        <v>466</v>
      </c>
      <c r="K10370" s="3" t="s">
        <v>52470</v>
      </c>
      <c r="L10370" s="3" t="s">
        <v>52471</v>
      </c>
      <c r="M10370" s="4"/>
      <c r="N10370" s="3" t="s">
        <v>37</v>
      </c>
      <c r="O10370" s="3" t="s">
        <v>38</v>
      </c>
      <c r="P10370" s="5">
        <v>14</v>
      </c>
      <c r="Q10370" s="5">
        <v>242</v>
      </c>
      <c r="R10370" s="5">
        <v>12</v>
      </c>
      <c r="S10370" s="5">
        <v>215</v>
      </c>
    </row>
    <row r="10371" spans="1:19" ht="28" x14ac:dyDescent="0.15">
      <c r="A10371" s="2">
        <f>HYPERLINK("https://open-school.uspishnemisto.com.ua/school/530329/", 530329)</f>
        <v>530329</v>
      </c>
      <c r="B10371" s="3" t="s">
        <v>52472</v>
      </c>
      <c r="C10371" s="3" t="s">
        <v>31</v>
      </c>
      <c r="D10371" s="3" t="s">
        <v>32</v>
      </c>
      <c r="E10371" s="4" t="s">
        <v>22</v>
      </c>
      <c r="F10371" s="4" t="s">
        <v>52473</v>
      </c>
      <c r="G10371" s="4" t="s">
        <v>52474</v>
      </c>
      <c r="H10371" s="3" t="s">
        <v>50910</v>
      </c>
      <c r="I10371" s="3" t="s">
        <v>52475</v>
      </c>
      <c r="J10371" s="3" t="s">
        <v>52476</v>
      </c>
      <c r="K10371" s="3" t="s">
        <v>52477</v>
      </c>
      <c r="L10371" s="3"/>
      <c r="M10371" s="4"/>
      <c r="N10371" s="3" t="s">
        <v>37</v>
      </c>
      <c r="O10371" s="3" t="s">
        <v>38</v>
      </c>
      <c r="P10371" s="5">
        <v>11</v>
      </c>
      <c r="Q10371" s="5">
        <v>178</v>
      </c>
      <c r="R10371" s="5">
        <v>11</v>
      </c>
      <c r="S10371" s="5">
        <v>163</v>
      </c>
    </row>
    <row r="10372" spans="1:19" ht="28" x14ac:dyDescent="0.15">
      <c r="A10372" s="2">
        <f>HYPERLINK("https://open-school.uspishnemisto.com.ua/school/530330/", 530330)</f>
        <v>530330</v>
      </c>
      <c r="B10372" s="3" t="s">
        <v>52478</v>
      </c>
      <c r="C10372" s="3" t="s">
        <v>31</v>
      </c>
      <c r="D10372" s="3" t="s">
        <v>175</v>
      </c>
      <c r="E10372" s="4" t="s">
        <v>22</v>
      </c>
      <c r="F10372" s="4" t="s">
        <v>52479</v>
      </c>
      <c r="G10372" s="4" t="s">
        <v>52480</v>
      </c>
      <c r="H10372" s="3" t="s">
        <v>50910</v>
      </c>
      <c r="I10372" s="3" t="s">
        <v>1500</v>
      </c>
      <c r="J10372" s="3" t="s">
        <v>52481</v>
      </c>
      <c r="K10372" s="3" t="s">
        <v>52482</v>
      </c>
      <c r="L10372" s="3"/>
      <c r="M10372" s="4"/>
      <c r="N10372" s="3" t="s">
        <v>37</v>
      </c>
      <c r="O10372" s="3" t="s">
        <v>38</v>
      </c>
      <c r="P10372" s="5">
        <v>5</v>
      </c>
      <c r="Q10372" s="5">
        <v>44</v>
      </c>
      <c r="R10372" s="5">
        <v>5</v>
      </c>
      <c r="S10372" s="5">
        <v>44</v>
      </c>
    </row>
    <row r="10373" spans="1:19" ht="28" x14ac:dyDescent="0.15">
      <c r="A10373" s="2">
        <f>HYPERLINK("https://open-school.uspishnemisto.com.ua/school/530331/", 530331)</f>
        <v>530331</v>
      </c>
      <c r="B10373" s="3" t="s">
        <v>52483</v>
      </c>
      <c r="C10373" s="3" t="s">
        <v>31</v>
      </c>
      <c r="D10373" s="3" t="s">
        <v>175</v>
      </c>
      <c r="E10373" s="4" t="s">
        <v>22</v>
      </c>
      <c r="F10373" s="4" t="s">
        <v>48416</v>
      </c>
      <c r="G10373" s="4" t="s">
        <v>52484</v>
      </c>
      <c r="H10373" s="3" t="s">
        <v>50910</v>
      </c>
      <c r="I10373" s="3" t="s">
        <v>52485</v>
      </c>
      <c r="J10373" s="3" t="s">
        <v>466</v>
      </c>
      <c r="K10373" s="3" t="s">
        <v>52486</v>
      </c>
      <c r="L10373" s="3"/>
      <c r="M10373" s="4"/>
      <c r="N10373" s="3" t="s">
        <v>37</v>
      </c>
      <c r="O10373" s="3" t="s">
        <v>112</v>
      </c>
      <c r="P10373" s="5">
        <v>7</v>
      </c>
      <c r="Q10373" s="5">
        <v>45</v>
      </c>
      <c r="R10373" s="5">
        <v>7</v>
      </c>
      <c r="S10373" s="5">
        <v>44</v>
      </c>
    </row>
    <row r="10374" spans="1:19" ht="28" x14ac:dyDescent="0.15">
      <c r="A10374" s="2">
        <f>HYPERLINK("https://open-school.uspishnemisto.com.ua/school/530332/", 530332)</f>
        <v>530332</v>
      </c>
      <c r="B10374" s="3" t="s">
        <v>52487</v>
      </c>
      <c r="C10374" s="3" t="s">
        <v>31</v>
      </c>
      <c r="D10374" s="3" t="s">
        <v>175</v>
      </c>
      <c r="E10374" s="4" t="s">
        <v>22</v>
      </c>
      <c r="F10374" s="4" t="s">
        <v>52488</v>
      </c>
      <c r="G10374" s="4" t="s">
        <v>52489</v>
      </c>
      <c r="H10374" s="3" t="s">
        <v>50910</v>
      </c>
      <c r="I10374" s="3" t="s">
        <v>52490</v>
      </c>
      <c r="J10374" s="3" t="s">
        <v>52491</v>
      </c>
      <c r="K10374" s="3" t="s">
        <v>52492</v>
      </c>
      <c r="L10374" s="3"/>
      <c r="M10374" s="4"/>
      <c r="N10374" s="3" t="s">
        <v>37</v>
      </c>
      <c r="O10374" s="3" t="s">
        <v>38</v>
      </c>
      <c r="P10374" s="5">
        <v>9</v>
      </c>
      <c r="Q10374" s="5">
        <v>132</v>
      </c>
      <c r="R10374" s="5">
        <v>9</v>
      </c>
      <c r="S10374" s="5">
        <v>123</v>
      </c>
    </row>
    <row r="10375" spans="1:19" ht="28" x14ac:dyDescent="0.15">
      <c r="A10375" s="2">
        <f>HYPERLINK("https://open-school.uspishnemisto.com.ua/school/530333/", 530333)</f>
        <v>530333</v>
      </c>
      <c r="B10375" s="3" t="s">
        <v>52493</v>
      </c>
      <c r="C10375" s="3" t="s">
        <v>31</v>
      </c>
      <c r="D10375" s="3" t="s">
        <v>60</v>
      </c>
      <c r="E10375" s="4" t="s">
        <v>22</v>
      </c>
      <c r="F10375" s="4" t="s">
        <v>52494</v>
      </c>
      <c r="G10375" s="4" t="s">
        <v>52495</v>
      </c>
      <c r="H10375" s="3" t="s">
        <v>50910</v>
      </c>
      <c r="I10375" s="3" t="s">
        <v>52496</v>
      </c>
      <c r="J10375" s="3" t="s">
        <v>2253</v>
      </c>
      <c r="K10375" s="3"/>
      <c r="L10375" s="3"/>
      <c r="M10375" s="4"/>
      <c r="N10375" s="3" t="s">
        <v>37</v>
      </c>
      <c r="O10375" s="3" t="s">
        <v>52</v>
      </c>
      <c r="P10375" s="5">
        <v>2</v>
      </c>
      <c r="Q10375" s="5">
        <v>10</v>
      </c>
      <c r="R10375" s="5">
        <v>3</v>
      </c>
      <c r="S10375" s="5">
        <v>18</v>
      </c>
    </row>
    <row r="10376" spans="1:19" ht="28" x14ac:dyDescent="0.15">
      <c r="A10376" s="2">
        <f>HYPERLINK("https://open-school.uspishnemisto.com.ua/school/530334/", 530334)</f>
        <v>530334</v>
      </c>
      <c r="B10376" s="3" t="s">
        <v>52497</v>
      </c>
      <c r="C10376" s="3" t="s">
        <v>31</v>
      </c>
      <c r="D10376" s="3" t="s">
        <v>32</v>
      </c>
      <c r="E10376" s="4" t="s">
        <v>22</v>
      </c>
      <c r="F10376" s="4" t="s">
        <v>52498</v>
      </c>
      <c r="G10376" s="4" t="s">
        <v>52499</v>
      </c>
      <c r="H10376" s="3" t="s">
        <v>50910</v>
      </c>
      <c r="I10376" s="3" t="s">
        <v>52500</v>
      </c>
      <c r="J10376" s="3" t="s">
        <v>52501</v>
      </c>
      <c r="K10376" s="3" t="s">
        <v>52502</v>
      </c>
      <c r="L10376" s="3" t="s">
        <v>52503</v>
      </c>
      <c r="M10376" s="4"/>
      <c r="N10376" s="3" t="s">
        <v>37</v>
      </c>
      <c r="O10376" s="3" t="s">
        <v>721</v>
      </c>
      <c r="P10376" s="5">
        <v>8</v>
      </c>
      <c r="Q10376" s="5">
        <v>83</v>
      </c>
      <c r="R10376" s="5">
        <v>9</v>
      </c>
      <c r="S10376" s="5">
        <v>74</v>
      </c>
    </row>
    <row r="10377" spans="1:19" ht="28" x14ac:dyDescent="0.15">
      <c r="A10377" s="2">
        <f>HYPERLINK("https://open-school.uspishnemisto.com.ua/school/530335/", 530335)</f>
        <v>530335</v>
      </c>
      <c r="B10377" s="3" t="s">
        <v>52504</v>
      </c>
      <c r="C10377" s="3" t="s">
        <v>31</v>
      </c>
      <c r="D10377" s="3" t="s">
        <v>32</v>
      </c>
      <c r="E10377" s="4" t="s">
        <v>22</v>
      </c>
      <c r="F10377" s="4" t="s">
        <v>52505</v>
      </c>
      <c r="G10377" s="4" t="s">
        <v>52506</v>
      </c>
      <c r="H10377" s="3" t="s">
        <v>50910</v>
      </c>
      <c r="I10377" s="3" t="s">
        <v>971</v>
      </c>
      <c r="J10377" s="3" t="s">
        <v>5747</v>
      </c>
      <c r="K10377" s="3" t="s">
        <v>52507</v>
      </c>
      <c r="L10377" s="3"/>
      <c r="M10377" s="4"/>
      <c r="N10377" s="3" t="s">
        <v>37</v>
      </c>
      <c r="O10377" s="3" t="s">
        <v>13272</v>
      </c>
      <c r="P10377" s="5">
        <v>7</v>
      </c>
      <c r="Q10377" s="5">
        <v>66</v>
      </c>
      <c r="R10377" s="5">
        <v>7</v>
      </c>
      <c r="S10377" s="5">
        <v>67</v>
      </c>
    </row>
    <row r="10378" spans="1:19" ht="28" x14ac:dyDescent="0.15">
      <c r="A10378" s="2">
        <f>HYPERLINK("https://open-school.uspishnemisto.com.ua/school/530336/", 530336)</f>
        <v>530336</v>
      </c>
      <c r="B10378" s="3" t="s">
        <v>52508</v>
      </c>
      <c r="C10378" s="3" t="s">
        <v>31</v>
      </c>
      <c r="D10378" s="3" t="s">
        <v>32</v>
      </c>
      <c r="E10378" s="4" t="s">
        <v>22</v>
      </c>
      <c r="F10378" s="4" t="s">
        <v>52494</v>
      </c>
      <c r="G10378" s="4" t="s">
        <v>52509</v>
      </c>
      <c r="H10378" s="3" t="s">
        <v>50910</v>
      </c>
      <c r="I10378" s="3" t="s">
        <v>52510</v>
      </c>
      <c r="J10378" s="3" t="s">
        <v>50024</v>
      </c>
      <c r="K10378" s="3" t="s">
        <v>52511</v>
      </c>
      <c r="L10378" s="3"/>
      <c r="M10378" s="4"/>
      <c r="N10378" s="3" t="s">
        <v>37</v>
      </c>
      <c r="O10378" s="3" t="s">
        <v>38</v>
      </c>
      <c r="P10378" s="5">
        <v>11</v>
      </c>
      <c r="Q10378" s="5">
        <v>96</v>
      </c>
      <c r="R10378" s="5">
        <v>9</v>
      </c>
      <c r="S10378" s="5">
        <v>81</v>
      </c>
    </row>
    <row r="10379" spans="1:19" ht="28" x14ac:dyDescent="0.15">
      <c r="A10379" s="2">
        <f>HYPERLINK("https://open-school.uspishnemisto.com.ua/school/530337/", 530337)</f>
        <v>530337</v>
      </c>
      <c r="B10379" s="3" t="s">
        <v>52512</v>
      </c>
      <c r="C10379" s="3" t="s">
        <v>31</v>
      </c>
      <c r="D10379" s="3" t="s">
        <v>175</v>
      </c>
      <c r="E10379" s="4" t="s">
        <v>22</v>
      </c>
      <c r="F10379" s="4" t="s">
        <v>52513</v>
      </c>
      <c r="G10379" s="4" t="s">
        <v>52514</v>
      </c>
      <c r="H10379" s="3" t="s">
        <v>50910</v>
      </c>
      <c r="I10379" s="3" t="s">
        <v>17981</v>
      </c>
      <c r="J10379" s="3" t="s">
        <v>52515</v>
      </c>
      <c r="K10379" s="3" t="s">
        <v>52516</v>
      </c>
      <c r="L10379" s="3"/>
      <c r="M10379" s="4"/>
      <c r="N10379" s="3" t="s">
        <v>37</v>
      </c>
      <c r="O10379" s="3" t="s">
        <v>38</v>
      </c>
      <c r="P10379" s="5">
        <v>2</v>
      </c>
      <c r="Q10379" s="5">
        <v>28</v>
      </c>
      <c r="R10379" s="5">
        <v>2</v>
      </c>
      <c r="S10379" s="5">
        <v>29</v>
      </c>
    </row>
    <row r="10380" spans="1:19" ht="28" x14ac:dyDescent="0.15">
      <c r="A10380" s="2">
        <f>HYPERLINK("https://open-school.uspishnemisto.com.ua/school/530338/", 530338)</f>
        <v>530338</v>
      </c>
      <c r="B10380" s="3" t="s">
        <v>52517</v>
      </c>
      <c r="C10380" s="3" t="s">
        <v>31</v>
      </c>
      <c r="D10380" s="3" t="s">
        <v>32</v>
      </c>
      <c r="E10380" s="4" t="s">
        <v>22</v>
      </c>
      <c r="F10380" s="4" t="s">
        <v>52467</v>
      </c>
      <c r="G10380" s="4" t="s">
        <v>52518</v>
      </c>
      <c r="H10380" s="3" t="s">
        <v>50910</v>
      </c>
      <c r="I10380" s="3" t="s">
        <v>52519</v>
      </c>
      <c r="J10380" s="3" t="s">
        <v>2329</v>
      </c>
      <c r="K10380" s="3" t="s">
        <v>52520</v>
      </c>
      <c r="L10380" s="3"/>
      <c r="M10380" s="4"/>
      <c r="N10380" s="3" t="s">
        <v>37</v>
      </c>
      <c r="O10380" s="3" t="s">
        <v>38</v>
      </c>
      <c r="P10380" s="5">
        <v>7</v>
      </c>
      <c r="Q10380" s="5">
        <v>68</v>
      </c>
      <c r="R10380" s="5">
        <v>8</v>
      </c>
      <c r="S10380" s="5">
        <v>75</v>
      </c>
    </row>
    <row r="10381" spans="1:19" ht="28" x14ac:dyDescent="0.15">
      <c r="A10381" s="2">
        <f>HYPERLINK("https://open-school.uspishnemisto.com.ua/school/530339/", 530339)</f>
        <v>530339</v>
      </c>
      <c r="B10381" s="3" t="s">
        <v>52521</v>
      </c>
      <c r="C10381" s="3" t="s">
        <v>31</v>
      </c>
      <c r="D10381" s="3" t="s">
        <v>32</v>
      </c>
      <c r="E10381" s="4" t="s">
        <v>22</v>
      </c>
      <c r="F10381" s="4" t="s">
        <v>52522</v>
      </c>
      <c r="G10381" s="4" t="s">
        <v>52523</v>
      </c>
      <c r="H10381" s="3" t="s">
        <v>50910</v>
      </c>
      <c r="I10381" s="3" t="s">
        <v>52524</v>
      </c>
      <c r="J10381" s="3" t="s">
        <v>52525</v>
      </c>
      <c r="K10381" s="3" t="s">
        <v>52526</v>
      </c>
      <c r="L10381" s="3"/>
      <c r="M10381" s="4"/>
      <c r="N10381" s="3" t="s">
        <v>37</v>
      </c>
      <c r="O10381" s="3" t="s">
        <v>112</v>
      </c>
      <c r="P10381" s="5">
        <v>10</v>
      </c>
      <c r="Q10381" s="5">
        <v>105</v>
      </c>
      <c r="R10381" s="5">
        <v>9</v>
      </c>
      <c r="S10381" s="5">
        <v>97</v>
      </c>
    </row>
    <row r="10382" spans="1:19" ht="28" x14ac:dyDescent="0.15">
      <c r="A10382" s="2">
        <f>HYPERLINK("https://open-school.uspishnemisto.com.ua/school/530340/", 530340)</f>
        <v>530340</v>
      </c>
      <c r="B10382" s="3" t="s">
        <v>52527</v>
      </c>
      <c r="C10382" s="3" t="s">
        <v>40</v>
      </c>
      <c r="D10382" s="3" t="s">
        <v>32</v>
      </c>
      <c r="E10382" s="4" t="s">
        <v>22</v>
      </c>
      <c r="F10382" s="4" t="s">
        <v>52528</v>
      </c>
      <c r="G10382" s="4" t="s">
        <v>52529</v>
      </c>
      <c r="H10382" s="3" t="s">
        <v>50910</v>
      </c>
      <c r="I10382" s="3" t="s">
        <v>52530</v>
      </c>
      <c r="J10382" s="3" t="s">
        <v>52531</v>
      </c>
      <c r="K10382" s="3" t="s">
        <v>52532</v>
      </c>
      <c r="L10382" s="3"/>
      <c r="M10382" s="4"/>
      <c r="N10382" s="3" t="s">
        <v>37</v>
      </c>
      <c r="O10382" s="3" t="s">
        <v>70</v>
      </c>
      <c r="P10382" s="5">
        <v>30</v>
      </c>
      <c r="Q10382" s="5">
        <v>728</v>
      </c>
      <c r="R10382" s="5">
        <v>29</v>
      </c>
      <c r="S10382" s="5">
        <v>701</v>
      </c>
    </row>
    <row r="10383" spans="1:19" ht="28" x14ac:dyDescent="0.15">
      <c r="A10383" s="2">
        <f>HYPERLINK("https://open-school.uspishnemisto.com.ua/school/530341/", 530341)</f>
        <v>530341</v>
      </c>
      <c r="B10383" s="3" t="s">
        <v>52533</v>
      </c>
      <c r="C10383" s="3" t="s">
        <v>31</v>
      </c>
      <c r="D10383" s="3" t="s">
        <v>60</v>
      </c>
      <c r="E10383" s="4" t="s">
        <v>22</v>
      </c>
      <c r="F10383" s="4" t="s">
        <v>52528</v>
      </c>
      <c r="G10383" s="4" t="s">
        <v>52529</v>
      </c>
      <c r="H10383" s="3" t="s">
        <v>50910</v>
      </c>
      <c r="I10383" s="3" t="s">
        <v>52530</v>
      </c>
      <c r="J10383" s="3" t="s">
        <v>52534</v>
      </c>
      <c r="K10383" s="3" t="s">
        <v>52535</v>
      </c>
      <c r="L10383" s="3"/>
      <c r="M10383" s="4"/>
      <c r="N10383" s="3" t="s">
        <v>37</v>
      </c>
      <c r="O10383" s="3" t="s">
        <v>52</v>
      </c>
      <c r="P10383" s="5">
        <v>4</v>
      </c>
      <c r="Q10383" s="5">
        <v>26</v>
      </c>
      <c r="R10383" s="5">
        <v>4</v>
      </c>
      <c r="S10383" s="5">
        <v>26</v>
      </c>
    </row>
    <row r="10384" spans="1:19" ht="28" x14ac:dyDescent="0.15">
      <c r="A10384" s="2">
        <f>HYPERLINK("https://open-school.uspishnemisto.com.ua/school/530342/", 530342)</f>
        <v>530342</v>
      </c>
      <c r="B10384" s="3" t="s">
        <v>52536</v>
      </c>
      <c r="C10384" s="3" t="s">
        <v>31</v>
      </c>
      <c r="D10384" s="3" t="s">
        <v>32</v>
      </c>
      <c r="E10384" s="4" t="s">
        <v>22</v>
      </c>
      <c r="F10384" s="4" t="s">
        <v>52528</v>
      </c>
      <c r="G10384" s="4" t="s">
        <v>52529</v>
      </c>
      <c r="H10384" s="3" t="s">
        <v>50910</v>
      </c>
      <c r="I10384" s="3" t="s">
        <v>52530</v>
      </c>
      <c r="J10384" s="3" t="s">
        <v>52537</v>
      </c>
      <c r="K10384" s="3" t="s">
        <v>52538</v>
      </c>
      <c r="L10384" s="3"/>
      <c r="M10384" s="4"/>
      <c r="N10384" s="3" t="s">
        <v>37</v>
      </c>
      <c r="O10384" s="3" t="s">
        <v>38</v>
      </c>
      <c r="P10384" s="5">
        <v>11</v>
      </c>
      <c r="Q10384" s="5">
        <v>197</v>
      </c>
      <c r="R10384" s="5">
        <v>11</v>
      </c>
      <c r="S10384" s="5">
        <v>197</v>
      </c>
    </row>
    <row r="10385" spans="1:19" ht="28" x14ac:dyDescent="0.15">
      <c r="A10385" s="2">
        <f>HYPERLINK("https://open-school.uspishnemisto.com.ua/school/530343/", 530343)</f>
        <v>530343</v>
      </c>
      <c r="B10385" s="3" t="s">
        <v>52539</v>
      </c>
      <c r="C10385" s="3" t="s">
        <v>31</v>
      </c>
      <c r="D10385" s="3" t="s">
        <v>32</v>
      </c>
      <c r="E10385" s="4" t="s">
        <v>22</v>
      </c>
      <c r="F10385" s="4" t="s">
        <v>52528</v>
      </c>
      <c r="G10385" s="4" t="s">
        <v>52529</v>
      </c>
      <c r="H10385" s="3" t="s">
        <v>50910</v>
      </c>
      <c r="I10385" s="3" t="s">
        <v>52530</v>
      </c>
      <c r="J10385" s="3" t="s">
        <v>52540</v>
      </c>
      <c r="K10385" s="3" t="s">
        <v>52541</v>
      </c>
      <c r="L10385" s="3" t="s">
        <v>52542</v>
      </c>
      <c r="M10385" s="4"/>
      <c r="N10385" s="3" t="s">
        <v>37</v>
      </c>
      <c r="O10385" s="3" t="s">
        <v>38</v>
      </c>
      <c r="P10385" s="5">
        <v>19</v>
      </c>
      <c r="Q10385" s="5">
        <v>345</v>
      </c>
      <c r="R10385" s="5">
        <v>19</v>
      </c>
      <c r="S10385" s="5">
        <v>354</v>
      </c>
    </row>
    <row r="10386" spans="1:19" ht="28" x14ac:dyDescent="0.15">
      <c r="A10386" s="2">
        <f>HYPERLINK("https://open-school.uspishnemisto.com.ua/school/530344/", 530344)</f>
        <v>530344</v>
      </c>
      <c r="B10386" s="3" t="s">
        <v>52543</v>
      </c>
      <c r="C10386" s="3" t="s">
        <v>31</v>
      </c>
      <c r="D10386" s="3" t="s">
        <v>32</v>
      </c>
      <c r="E10386" s="4" t="s">
        <v>22</v>
      </c>
      <c r="F10386" s="4" t="s">
        <v>52544</v>
      </c>
      <c r="G10386" s="4" t="s">
        <v>52545</v>
      </c>
      <c r="H10386" s="3" t="s">
        <v>50910</v>
      </c>
      <c r="I10386" s="3" t="s">
        <v>52546</v>
      </c>
      <c r="J10386" s="3" t="s">
        <v>5955</v>
      </c>
      <c r="K10386" s="3" t="s">
        <v>52547</v>
      </c>
      <c r="L10386" s="3"/>
      <c r="M10386" s="4"/>
      <c r="N10386" s="3" t="s">
        <v>37</v>
      </c>
      <c r="O10386" s="3" t="s">
        <v>38</v>
      </c>
      <c r="P10386" s="5">
        <v>11</v>
      </c>
      <c r="Q10386" s="5">
        <v>103</v>
      </c>
      <c r="R10386" s="5">
        <v>10</v>
      </c>
      <c r="S10386" s="5">
        <v>106</v>
      </c>
    </row>
    <row r="10387" spans="1:19" ht="28" x14ac:dyDescent="0.15">
      <c r="A10387" s="2">
        <f>HYPERLINK("https://open-school.uspishnemisto.com.ua/school/530345/", 530345)</f>
        <v>530345</v>
      </c>
      <c r="B10387" s="3" t="s">
        <v>52548</v>
      </c>
      <c r="C10387" s="3" t="s">
        <v>31</v>
      </c>
      <c r="D10387" s="3" t="s">
        <v>32</v>
      </c>
      <c r="E10387" s="4" t="s">
        <v>22</v>
      </c>
      <c r="F10387" s="4" t="s">
        <v>52549</v>
      </c>
      <c r="G10387" s="4" t="s">
        <v>52550</v>
      </c>
      <c r="H10387" s="3" t="s">
        <v>50910</v>
      </c>
      <c r="I10387" s="3" t="s">
        <v>52551</v>
      </c>
      <c r="J10387" s="3" t="s">
        <v>52552</v>
      </c>
      <c r="K10387" s="3" t="s">
        <v>52553</v>
      </c>
      <c r="L10387" s="3"/>
      <c r="M10387" s="4"/>
      <c r="N10387" s="3" t="s">
        <v>37</v>
      </c>
      <c r="O10387" s="3" t="s">
        <v>38</v>
      </c>
      <c r="P10387" s="5">
        <v>11</v>
      </c>
      <c r="Q10387" s="5">
        <v>211</v>
      </c>
      <c r="R10387" s="5">
        <v>11</v>
      </c>
      <c r="S10387" s="5">
        <v>220</v>
      </c>
    </row>
    <row r="10388" spans="1:19" ht="28" x14ac:dyDescent="0.15">
      <c r="A10388" s="2">
        <f>HYPERLINK("https://open-school.uspishnemisto.com.ua/school/530346/", 530346)</f>
        <v>530346</v>
      </c>
      <c r="B10388" s="3" t="s">
        <v>52554</v>
      </c>
      <c r="C10388" s="3" t="s">
        <v>31</v>
      </c>
      <c r="D10388" s="3" t="s">
        <v>32</v>
      </c>
      <c r="E10388" s="4" t="s">
        <v>22</v>
      </c>
      <c r="F10388" s="4" t="s">
        <v>52555</v>
      </c>
      <c r="G10388" s="4" t="s">
        <v>52556</v>
      </c>
      <c r="H10388" s="3" t="s">
        <v>50910</v>
      </c>
      <c r="I10388" s="3" t="s">
        <v>52557</v>
      </c>
      <c r="J10388" s="3" t="s">
        <v>3393</v>
      </c>
      <c r="K10388" s="3" t="s">
        <v>52558</v>
      </c>
      <c r="L10388" s="3"/>
      <c r="M10388" s="4"/>
      <c r="N10388" s="3" t="s">
        <v>37</v>
      </c>
      <c r="O10388" s="3" t="s">
        <v>52</v>
      </c>
      <c r="P10388" s="5">
        <v>8</v>
      </c>
      <c r="Q10388" s="5">
        <v>63</v>
      </c>
      <c r="R10388" s="5">
        <v>7</v>
      </c>
      <c r="S10388" s="5">
        <v>65</v>
      </c>
    </row>
    <row r="10389" spans="1:19" ht="28" x14ac:dyDescent="0.15">
      <c r="A10389" s="2">
        <f>HYPERLINK("https://open-school.uspishnemisto.com.ua/school/530347/", 530347)</f>
        <v>530347</v>
      </c>
      <c r="B10389" s="3" t="s">
        <v>52559</v>
      </c>
      <c r="C10389" s="3" t="s">
        <v>54</v>
      </c>
      <c r="D10389" s="3"/>
      <c r="E10389" s="4" t="s">
        <v>22</v>
      </c>
      <c r="F10389" s="4" t="s">
        <v>52560</v>
      </c>
      <c r="G10389" s="4" t="s">
        <v>52561</v>
      </c>
      <c r="H10389" s="3" t="s">
        <v>50910</v>
      </c>
      <c r="I10389" s="3" t="s">
        <v>52562</v>
      </c>
      <c r="J10389" s="3" t="s">
        <v>25161</v>
      </c>
      <c r="K10389" s="3" t="s">
        <v>52563</v>
      </c>
      <c r="L10389" s="3"/>
      <c r="M10389" s="4"/>
      <c r="N10389" s="3" t="s">
        <v>37</v>
      </c>
      <c r="O10389" s="3" t="s">
        <v>52</v>
      </c>
      <c r="P10389" s="5">
        <v>3</v>
      </c>
      <c r="Q10389" s="5">
        <v>25</v>
      </c>
      <c r="R10389" s="5">
        <v>3</v>
      </c>
      <c r="S10389" s="5">
        <v>26</v>
      </c>
    </row>
    <row r="10390" spans="1:19" ht="28" x14ac:dyDescent="0.15">
      <c r="A10390" s="2">
        <f>HYPERLINK("https://open-school.uspishnemisto.com.ua/school/530348/", 530348)</f>
        <v>530348</v>
      </c>
      <c r="B10390" s="3" t="s">
        <v>52564</v>
      </c>
      <c r="C10390" s="3" t="s">
        <v>31</v>
      </c>
      <c r="D10390" s="3" t="s">
        <v>32</v>
      </c>
      <c r="E10390" s="4" t="s">
        <v>22</v>
      </c>
      <c r="F10390" s="4" t="s">
        <v>52565</v>
      </c>
      <c r="G10390" s="4" t="s">
        <v>52566</v>
      </c>
      <c r="H10390" s="3" t="s">
        <v>50910</v>
      </c>
      <c r="I10390" s="3" t="s">
        <v>52567</v>
      </c>
      <c r="J10390" s="3" t="s">
        <v>297</v>
      </c>
      <c r="K10390" s="3" t="s">
        <v>52568</v>
      </c>
      <c r="L10390" s="3"/>
      <c r="M10390" s="4"/>
      <c r="N10390" s="3" t="s">
        <v>37</v>
      </c>
      <c r="O10390" s="3" t="s">
        <v>70</v>
      </c>
      <c r="P10390" s="5">
        <v>7</v>
      </c>
      <c r="Q10390" s="5">
        <v>46</v>
      </c>
      <c r="R10390" s="5">
        <v>6</v>
      </c>
      <c r="S10390" s="5">
        <v>50</v>
      </c>
    </row>
    <row r="10391" spans="1:19" ht="28" x14ac:dyDescent="0.15">
      <c r="A10391" s="2">
        <f>HYPERLINK("https://open-school.uspishnemisto.com.ua/school/530349/", 530349)</f>
        <v>530349</v>
      </c>
      <c r="B10391" s="3" t="s">
        <v>52569</v>
      </c>
      <c r="C10391" s="3" t="s">
        <v>54</v>
      </c>
      <c r="D10391" s="3" t="s">
        <v>60</v>
      </c>
      <c r="E10391" s="4" t="s">
        <v>22</v>
      </c>
      <c r="F10391" s="4" t="s">
        <v>52570</v>
      </c>
      <c r="G10391" s="4" t="s">
        <v>52571</v>
      </c>
      <c r="H10391" s="3" t="s">
        <v>50910</v>
      </c>
      <c r="I10391" s="3" t="s">
        <v>52572</v>
      </c>
      <c r="J10391" s="3" t="s">
        <v>52573</v>
      </c>
      <c r="K10391" s="3" t="s">
        <v>52574</v>
      </c>
      <c r="L10391" s="3"/>
      <c r="M10391" s="4"/>
      <c r="N10391" s="3" t="s">
        <v>37</v>
      </c>
      <c r="O10391" s="3" t="s">
        <v>52</v>
      </c>
      <c r="P10391" s="5">
        <v>0</v>
      </c>
      <c r="Q10391" s="5">
        <v>6</v>
      </c>
      <c r="R10391" s="5">
        <v>0</v>
      </c>
      <c r="S10391" s="5">
        <v>9</v>
      </c>
    </row>
    <row r="10392" spans="1:19" ht="28" x14ac:dyDescent="0.15">
      <c r="A10392" s="2">
        <f>HYPERLINK("https://open-school.uspishnemisto.com.ua/school/530350/", 530350)</f>
        <v>530350</v>
      </c>
      <c r="B10392" s="3" t="s">
        <v>52575</v>
      </c>
      <c r="C10392" s="3" t="s">
        <v>31</v>
      </c>
      <c r="D10392" s="3" t="s">
        <v>32</v>
      </c>
      <c r="E10392" s="4" t="s">
        <v>22</v>
      </c>
      <c r="F10392" s="4" t="s">
        <v>52560</v>
      </c>
      <c r="G10392" s="4" t="s">
        <v>52576</v>
      </c>
      <c r="H10392" s="3" t="s">
        <v>50910</v>
      </c>
      <c r="I10392" s="3" t="s">
        <v>52577</v>
      </c>
      <c r="J10392" s="3" t="s">
        <v>3244</v>
      </c>
      <c r="K10392" s="3" t="s">
        <v>52578</v>
      </c>
      <c r="L10392" s="3" t="s">
        <v>52579</v>
      </c>
      <c r="M10392" s="4"/>
      <c r="N10392" s="3" t="s">
        <v>37</v>
      </c>
      <c r="O10392" s="3" t="s">
        <v>38</v>
      </c>
      <c r="P10392" s="5">
        <v>11</v>
      </c>
      <c r="Q10392" s="5">
        <v>106</v>
      </c>
      <c r="R10392" s="5">
        <v>11</v>
      </c>
      <c r="S10392" s="5">
        <v>103</v>
      </c>
    </row>
    <row r="10393" spans="1:19" ht="28" x14ac:dyDescent="0.15">
      <c r="A10393" s="2">
        <f>HYPERLINK("https://open-school.uspishnemisto.com.ua/school/530352/", 530352)</f>
        <v>530352</v>
      </c>
      <c r="B10393" s="3" t="s">
        <v>52580</v>
      </c>
      <c r="C10393" s="3" t="s">
        <v>54</v>
      </c>
      <c r="D10393" s="3" t="s">
        <v>32</v>
      </c>
      <c r="E10393" s="4" t="s">
        <v>22</v>
      </c>
      <c r="F10393" s="4" t="s">
        <v>52581</v>
      </c>
      <c r="G10393" s="4" t="s">
        <v>52582</v>
      </c>
      <c r="H10393" s="3" t="s">
        <v>50910</v>
      </c>
      <c r="I10393" s="3" t="s">
        <v>52583</v>
      </c>
      <c r="J10393" s="3" t="s">
        <v>45898</v>
      </c>
      <c r="K10393" s="3" t="s">
        <v>52584</v>
      </c>
      <c r="L10393" s="3" t="s">
        <v>52585</v>
      </c>
      <c r="M10393" s="4"/>
      <c r="N10393" s="3" t="s">
        <v>37</v>
      </c>
      <c r="O10393" s="3" t="s">
        <v>38</v>
      </c>
      <c r="P10393" s="5">
        <v>17</v>
      </c>
      <c r="Q10393" s="5">
        <v>334</v>
      </c>
      <c r="R10393" s="5">
        <v>16</v>
      </c>
      <c r="S10393" s="5">
        <v>319</v>
      </c>
    </row>
    <row r="10394" spans="1:19" ht="28" x14ac:dyDescent="0.15">
      <c r="A10394" s="2">
        <f>HYPERLINK("https://open-school.uspishnemisto.com.ua/school/530353/", 530353)</f>
        <v>530353</v>
      </c>
      <c r="B10394" s="3" t="s">
        <v>52586</v>
      </c>
      <c r="C10394" s="3" t="s">
        <v>31</v>
      </c>
      <c r="D10394" s="3" t="s">
        <v>175</v>
      </c>
      <c r="E10394" s="4" t="s">
        <v>22</v>
      </c>
      <c r="F10394" s="4" t="s">
        <v>52587</v>
      </c>
      <c r="G10394" s="4" t="s">
        <v>52588</v>
      </c>
      <c r="H10394" s="3" t="s">
        <v>50910</v>
      </c>
      <c r="I10394" s="3" t="s">
        <v>52589</v>
      </c>
      <c r="J10394" s="3" t="s">
        <v>52590</v>
      </c>
      <c r="K10394" s="3" t="s">
        <v>52591</v>
      </c>
      <c r="L10394" s="3"/>
      <c r="M10394" s="4"/>
      <c r="N10394" s="3" t="s">
        <v>37</v>
      </c>
      <c r="O10394" s="3" t="s">
        <v>38</v>
      </c>
      <c r="P10394" s="5">
        <v>9</v>
      </c>
      <c r="Q10394" s="5">
        <v>125</v>
      </c>
      <c r="R10394" s="5">
        <v>9</v>
      </c>
      <c r="S10394" s="5">
        <v>110</v>
      </c>
    </row>
    <row r="10395" spans="1:19" ht="28" x14ac:dyDescent="0.15">
      <c r="A10395" s="2">
        <f>HYPERLINK("https://open-school.uspishnemisto.com.ua/school/530354/", 530354)</f>
        <v>530354</v>
      </c>
      <c r="B10395" s="3" t="s">
        <v>52592</v>
      </c>
      <c r="C10395" s="3" t="s">
        <v>31</v>
      </c>
      <c r="D10395" s="3" t="s">
        <v>32</v>
      </c>
      <c r="E10395" s="4" t="s">
        <v>22</v>
      </c>
      <c r="F10395" s="4" t="s">
        <v>52593</v>
      </c>
      <c r="G10395" s="4" t="s">
        <v>52594</v>
      </c>
      <c r="H10395" s="3" t="s">
        <v>50910</v>
      </c>
      <c r="I10395" s="3" t="s">
        <v>2977</v>
      </c>
      <c r="J10395" s="3" t="s">
        <v>52595</v>
      </c>
      <c r="K10395" s="3" t="s">
        <v>52596</v>
      </c>
      <c r="L10395" s="3"/>
      <c r="M10395" s="4"/>
      <c r="N10395" s="3" t="s">
        <v>37</v>
      </c>
      <c r="O10395" s="3" t="s">
        <v>38</v>
      </c>
      <c r="P10395" s="5">
        <v>7</v>
      </c>
      <c r="Q10395" s="5">
        <v>53</v>
      </c>
      <c r="R10395" s="5">
        <v>8</v>
      </c>
      <c r="S10395" s="5">
        <v>63</v>
      </c>
    </row>
    <row r="10396" spans="1:19" ht="42" x14ac:dyDescent="0.15">
      <c r="A10396" s="2">
        <f>HYPERLINK("https://open-school.uspishnemisto.com.ua/school/530355/", 530355)</f>
        <v>530355</v>
      </c>
      <c r="B10396" s="3" t="s">
        <v>52597</v>
      </c>
      <c r="C10396" s="3" t="s">
        <v>54</v>
      </c>
      <c r="D10396" s="3" t="s">
        <v>175</v>
      </c>
      <c r="E10396" s="4" t="s">
        <v>22</v>
      </c>
      <c r="F10396" s="4" t="s">
        <v>52598</v>
      </c>
      <c r="G10396" s="4" t="s">
        <v>52599</v>
      </c>
      <c r="H10396" s="3" t="s">
        <v>50910</v>
      </c>
      <c r="I10396" s="3" t="s">
        <v>52600</v>
      </c>
      <c r="J10396" s="3" t="s">
        <v>31687</v>
      </c>
      <c r="K10396" s="3" t="s">
        <v>52601</v>
      </c>
      <c r="L10396" s="3"/>
      <c r="M10396" s="4"/>
      <c r="N10396" s="3" t="s">
        <v>37</v>
      </c>
      <c r="O10396" s="3" t="s">
        <v>38</v>
      </c>
      <c r="P10396" s="5">
        <v>8</v>
      </c>
      <c r="Q10396" s="5">
        <v>57</v>
      </c>
      <c r="R10396" s="5">
        <v>8</v>
      </c>
      <c r="S10396" s="5">
        <v>56</v>
      </c>
    </row>
    <row r="10397" spans="1:19" ht="42" x14ac:dyDescent="0.15">
      <c r="A10397" s="2">
        <f>HYPERLINK("https://open-school.uspishnemisto.com.ua/school/530356/", 530356)</f>
        <v>530356</v>
      </c>
      <c r="B10397" s="3" t="s">
        <v>52602</v>
      </c>
      <c r="C10397" s="3" t="s">
        <v>31</v>
      </c>
      <c r="D10397" s="3" t="s">
        <v>32</v>
      </c>
      <c r="E10397" s="4" t="s">
        <v>22</v>
      </c>
      <c r="F10397" s="4" t="s">
        <v>52603</v>
      </c>
      <c r="G10397" s="4" t="s">
        <v>52604</v>
      </c>
      <c r="H10397" s="3" t="s">
        <v>50910</v>
      </c>
      <c r="I10397" s="3" t="s">
        <v>52605</v>
      </c>
      <c r="J10397" s="3" t="s">
        <v>52606</v>
      </c>
      <c r="K10397" s="3" t="s">
        <v>52607</v>
      </c>
      <c r="L10397" s="3"/>
      <c r="M10397" s="4"/>
      <c r="N10397" s="3" t="s">
        <v>37</v>
      </c>
      <c r="O10397" s="3" t="s">
        <v>38</v>
      </c>
      <c r="P10397" s="5">
        <v>11</v>
      </c>
      <c r="Q10397" s="5">
        <v>220</v>
      </c>
      <c r="R10397" s="5">
        <v>11</v>
      </c>
      <c r="S10397" s="5">
        <v>224</v>
      </c>
    </row>
    <row r="10398" spans="1:19" ht="28" x14ac:dyDescent="0.15">
      <c r="A10398" s="2">
        <f>HYPERLINK("https://open-school.uspishnemisto.com.ua/school/530357/", 530357)</f>
        <v>530357</v>
      </c>
      <c r="B10398" s="3" t="s">
        <v>52608</v>
      </c>
      <c r="C10398" s="3" t="s">
        <v>31</v>
      </c>
      <c r="D10398" s="3" t="s">
        <v>32</v>
      </c>
      <c r="E10398" s="4" t="s">
        <v>22</v>
      </c>
      <c r="F10398" s="4" t="s">
        <v>52609</v>
      </c>
      <c r="G10398" s="4" t="s">
        <v>52610</v>
      </c>
      <c r="H10398" s="3" t="s">
        <v>50910</v>
      </c>
      <c r="I10398" s="3" t="s">
        <v>2491</v>
      </c>
      <c r="J10398" s="3" t="s">
        <v>12378</v>
      </c>
      <c r="K10398" s="3" t="s">
        <v>52611</v>
      </c>
      <c r="L10398" s="3"/>
      <c r="M10398" s="4"/>
      <c r="N10398" s="3" t="s">
        <v>37</v>
      </c>
      <c r="O10398" s="3" t="s">
        <v>38</v>
      </c>
      <c r="P10398" s="5">
        <v>14</v>
      </c>
      <c r="Q10398" s="5">
        <v>263</v>
      </c>
      <c r="R10398" s="5">
        <v>12</v>
      </c>
      <c r="S10398" s="5">
        <v>248</v>
      </c>
    </row>
    <row r="10399" spans="1:19" ht="42" x14ac:dyDescent="0.15">
      <c r="A10399" s="2">
        <f>HYPERLINK("https://open-school.uspishnemisto.com.ua/school/530358/", 530358)</f>
        <v>530358</v>
      </c>
      <c r="B10399" s="3" t="s">
        <v>52612</v>
      </c>
      <c r="C10399" s="3" t="s">
        <v>31</v>
      </c>
      <c r="D10399" s="3" t="s">
        <v>175</v>
      </c>
      <c r="E10399" s="4" t="s">
        <v>22</v>
      </c>
      <c r="F10399" s="4" t="s">
        <v>52613</v>
      </c>
      <c r="G10399" s="4" t="s">
        <v>52614</v>
      </c>
      <c r="H10399" s="3" t="s">
        <v>50910</v>
      </c>
      <c r="I10399" s="3" t="s">
        <v>52615</v>
      </c>
      <c r="J10399" s="3" t="s">
        <v>10957</v>
      </c>
      <c r="K10399" s="3" t="s">
        <v>52616</v>
      </c>
      <c r="L10399" s="3"/>
      <c r="M10399" s="4"/>
      <c r="N10399" s="3" t="s">
        <v>37</v>
      </c>
      <c r="O10399" s="3" t="s">
        <v>38</v>
      </c>
      <c r="P10399" s="5">
        <v>8</v>
      </c>
      <c r="Q10399" s="5">
        <v>68</v>
      </c>
      <c r="R10399" s="5">
        <v>8</v>
      </c>
      <c r="S10399" s="5">
        <v>65</v>
      </c>
    </row>
    <row r="10400" spans="1:19" ht="42" x14ac:dyDescent="0.15">
      <c r="A10400" s="2">
        <f>HYPERLINK("https://open-school.uspishnemisto.com.ua/school/530359/", 530359)</f>
        <v>530359</v>
      </c>
      <c r="B10400" s="3" t="s">
        <v>52617</v>
      </c>
      <c r="C10400" s="3" t="s">
        <v>54</v>
      </c>
      <c r="D10400" s="3" t="s">
        <v>32</v>
      </c>
      <c r="E10400" s="4" t="s">
        <v>22</v>
      </c>
      <c r="F10400" s="4" t="s">
        <v>52618</v>
      </c>
      <c r="G10400" s="4" t="s">
        <v>52619</v>
      </c>
      <c r="H10400" s="3" t="s">
        <v>50910</v>
      </c>
      <c r="I10400" s="3" t="s">
        <v>16036</v>
      </c>
      <c r="J10400" s="3" t="s">
        <v>52620</v>
      </c>
      <c r="K10400" s="3" t="s">
        <v>52621</v>
      </c>
      <c r="L10400" s="3"/>
      <c r="M10400" s="4"/>
      <c r="N10400" s="3" t="s">
        <v>37</v>
      </c>
      <c r="O10400" s="3" t="s">
        <v>38</v>
      </c>
      <c r="P10400" s="5">
        <v>11</v>
      </c>
      <c r="Q10400" s="5">
        <v>150</v>
      </c>
      <c r="R10400" s="5">
        <v>11</v>
      </c>
      <c r="S10400" s="5">
        <v>141</v>
      </c>
    </row>
    <row r="10401" spans="1:19" ht="28" x14ac:dyDescent="0.15">
      <c r="A10401" s="2">
        <f>HYPERLINK("https://open-school.uspishnemisto.com.ua/school/530360/", 530360)</f>
        <v>530360</v>
      </c>
      <c r="B10401" s="3" t="s">
        <v>52622</v>
      </c>
      <c r="C10401" s="3" t="s">
        <v>31</v>
      </c>
      <c r="D10401" s="3" t="s">
        <v>32</v>
      </c>
      <c r="E10401" s="4" t="s">
        <v>22</v>
      </c>
      <c r="F10401" s="4" t="s">
        <v>52623</v>
      </c>
      <c r="G10401" s="4" t="s">
        <v>52624</v>
      </c>
      <c r="H10401" s="3" t="s">
        <v>50910</v>
      </c>
      <c r="I10401" s="3" t="s">
        <v>34819</v>
      </c>
      <c r="J10401" s="3" t="s">
        <v>52625</v>
      </c>
      <c r="K10401" s="3" t="s">
        <v>52626</v>
      </c>
      <c r="L10401" s="3"/>
      <c r="M10401" s="4"/>
      <c r="N10401" s="3" t="s">
        <v>37</v>
      </c>
      <c r="O10401" s="3" t="s">
        <v>38</v>
      </c>
      <c r="P10401" s="5">
        <v>11</v>
      </c>
      <c r="Q10401" s="5">
        <v>131</v>
      </c>
      <c r="R10401" s="5">
        <v>11</v>
      </c>
      <c r="S10401" s="5">
        <v>123</v>
      </c>
    </row>
    <row r="10402" spans="1:19" ht="42" x14ac:dyDescent="0.15">
      <c r="A10402" s="2">
        <f>HYPERLINK("https://open-school.uspishnemisto.com.ua/school/530361/", 530361)</f>
        <v>530361</v>
      </c>
      <c r="B10402" s="3" t="s">
        <v>52627</v>
      </c>
      <c r="C10402" s="3" t="s">
        <v>188</v>
      </c>
      <c r="D10402" s="3" t="s">
        <v>32</v>
      </c>
      <c r="E10402" s="4" t="s">
        <v>22</v>
      </c>
      <c r="F10402" s="4" t="s">
        <v>52628</v>
      </c>
      <c r="G10402" s="4" t="s">
        <v>52629</v>
      </c>
      <c r="H10402" s="3" t="s">
        <v>50910</v>
      </c>
      <c r="I10402" s="3" t="s">
        <v>36380</v>
      </c>
      <c r="J10402" s="3" t="s">
        <v>3440</v>
      </c>
      <c r="K10402" s="3" t="s">
        <v>52630</v>
      </c>
      <c r="L10402" s="3" t="s">
        <v>52631</v>
      </c>
      <c r="M10402" s="4"/>
      <c r="N10402" s="3" t="s">
        <v>37</v>
      </c>
      <c r="O10402" s="3" t="s">
        <v>38</v>
      </c>
      <c r="P10402" s="5">
        <v>12</v>
      </c>
      <c r="Q10402" s="5">
        <v>191</v>
      </c>
      <c r="R10402" s="5">
        <v>12</v>
      </c>
      <c r="S10402" s="5">
        <v>200</v>
      </c>
    </row>
    <row r="10403" spans="1:19" ht="28" x14ac:dyDescent="0.15">
      <c r="A10403" s="2">
        <f>HYPERLINK("https://open-school.uspishnemisto.com.ua/school/530362/", 530362)</f>
        <v>530362</v>
      </c>
      <c r="B10403" s="3" t="s">
        <v>52632</v>
      </c>
      <c r="C10403" s="3" t="s">
        <v>40</v>
      </c>
      <c r="D10403" s="3" t="s">
        <v>32</v>
      </c>
      <c r="E10403" s="4" t="s">
        <v>22</v>
      </c>
      <c r="F10403" s="4" t="s">
        <v>52633</v>
      </c>
      <c r="G10403" s="4" t="s">
        <v>52634</v>
      </c>
      <c r="H10403" s="3" t="s">
        <v>50910</v>
      </c>
      <c r="I10403" s="3" t="s">
        <v>5947</v>
      </c>
      <c r="J10403" s="3" t="s">
        <v>466</v>
      </c>
      <c r="K10403" s="3" t="s">
        <v>52635</v>
      </c>
      <c r="L10403" s="3" t="s">
        <v>52636</v>
      </c>
      <c r="M10403" s="4"/>
      <c r="N10403" s="3" t="s">
        <v>37</v>
      </c>
      <c r="O10403" s="3" t="s">
        <v>38</v>
      </c>
      <c r="P10403" s="5">
        <v>18</v>
      </c>
      <c r="Q10403" s="5">
        <v>360</v>
      </c>
      <c r="R10403" s="5">
        <v>18</v>
      </c>
      <c r="S10403" s="5">
        <v>352</v>
      </c>
    </row>
    <row r="10404" spans="1:19" ht="42" x14ac:dyDescent="0.15">
      <c r="A10404" s="2">
        <f>HYPERLINK("https://open-school.uspishnemisto.com.ua/school/530363/", 530363)</f>
        <v>530363</v>
      </c>
      <c r="B10404" s="3" t="s">
        <v>52637</v>
      </c>
      <c r="C10404" s="3" t="s">
        <v>54</v>
      </c>
      <c r="D10404" s="3" t="s">
        <v>175</v>
      </c>
      <c r="E10404" s="4" t="s">
        <v>22</v>
      </c>
      <c r="F10404" s="4" t="s">
        <v>52638</v>
      </c>
      <c r="G10404" s="4" t="s">
        <v>52639</v>
      </c>
      <c r="H10404" s="3" t="s">
        <v>50910</v>
      </c>
      <c r="I10404" s="3" t="s">
        <v>52640</v>
      </c>
      <c r="J10404" s="3" t="s">
        <v>52641</v>
      </c>
      <c r="K10404" s="3" t="s">
        <v>52642</v>
      </c>
      <c r="L10404" s="3"/>
      <c r="M10404" s="4"/>
      <c r="N10404" s="3" t="s">
        <v>37</v>
      </c>
      <c r="O10404" s="3" t="s">
        <v>38</v>
      </c>
      <c r="P10404" s="5">
        <v>9</v>
      </c>
      <c r="Q10404" s="5">
        <v>150</v>
      </c>
      <c r="R10404" s="5">
        <v>9</v>
      </c>
      <c r="S10404" s="5">
        <v>149</v>
      </c>
    </row>
    <row r="10405" spans="1:19" ht="28" x14ac:dyDescent="0.15">
      <c r="A10405" s="2">
        <f>HYPERLINK("https://open-school.uspishnemisto.com.ua/school/530364/", 530364)</f>
        <v>530364</v>
      </c>
      <c r="B10405" s="3" t="s">
        <v>52643</v>
      </c>
      <c r="C10405" s="3" t="s">
        <v>31</v>
      </c>
      <c r="D10405" s="3" t="s">
        <v>32</v>
      </c>
      <c r="E10405" s="4" t="s">
        <v>22</v>
      </c>
      <c r="F10405" s="4" t="s">
        <v>52644</v>
      </c>
      <c r="G10405" s="4" t="s">
        <v>52645</v>
      </c>
      <c r="H10405" s="3" t="s">
        <v>50910</v>
      </c>
      <c r="I10405" s="3" t="s">
        <v>1392</v>
      </c>
      <c r="J10405" s="3" t="s">
        <v>4537</v>
      </c>
      <c r="K10405" s="3" t="s">
        <v>52646</v>
      </c>
      <c r="L10405" s="3"/>
      <c r="M10405" s="4"/>
      <c r="N10405" s="3" t="s">
        <v>37</v>
      </c>
      <c r="O10405" s="3" t="s">
        <v>70</v>
      </c>
      <c r="P10405" s="5">
        <v>10</v>
      </c>
      <c r="Q10405" s="5">
        <v>95</v>
      </c>
      <c r="R10405" s="5">
        <v>9</v>
      </c>
      <c r="S10405" s="5">
        <v>98</v>
      </c>
    </row>
    <row r="10406" spans="1:19" ht="28" x14ac:dyDescent="0.15">
      <c r="A10406" s="2">
        <f>HYPERLINK("https://open-school.uspishnemisto.com.ua/school/530365/", 530365)</f>
        <v>530365</v>
      </c>
      <c r="B10406" s="3" t="s">
        <v>52647</v>
      </c>
      <c r="C10406" s="3" t="s">
        <v>31</v>
      </c>
      <c r="D10406" s="3" t="s">
        <v>175</v>
      </c>
      <c r="E10406" s="4" t="s">
        <v>22</v>
      </c>
      <c r="F10406" s="4" t="s">
        <v>52648</v>
      </c>
      <c r="G10406" s="4" t="s">
        <v>52649</v>
      </c>
      <c r="H10406" s="3" t="s">
        <v>50910</v>
      </c>
      <c r="I10406" s="3" t="s">
        <v>52650</v>
      </c>
      <c r="J10406" s="3" t="s">
        <v>45966</v>
      </c>
      <c r="K10406" s="3"/>
      <c r="L10406" s="3"/>
      <c r="M10406" s="4"/>
      <c r="N10406" s="3" t="s">
        <v>37</v>
      </c>
      <c r="O10406" s="3" t="s">
        <v>38</v>
      </c>
      <c r="P10406" s="5">
        <v>9</v>
      </c>
      <c r="Q10406" s="5">
        <v>101</v>
      </c>
      <c r="R10406" s="5">
        <v>9</v>
      </c>
      <c r="S10406" s="5">
        <v>90</v>
      </c>
    </row>
    <row r="10407" spans="1:19" ht="42" x14ac:dyDescent="0.15">
      <c r="A10407" s="2">
        <f>HYPERLINK("https://open-school.uspishnemisto.com.ua/school/530366/", 530366)</f>
        <v>530366</v>
      </c>
      <c r="B10407" s="3" t="s">
        <v>52651</v>
      </c>
      <c r="C10407" s="3" t="s">
        <v>31</v>
      </c>
      <c r="D10407" s="3" t="s">
        <v>32</v>
      </c>
      <c r="E10407" s="4" t="s">
        <v>22</v>
      </c>
      <c r="F10407" s="4" t="s">
        <v>52652</v>
      </c>
      <c r="G10407" s="4" t="s">
        <v>52653</v>
      </c>
      <c r="H10407" s="3" t="s">
        <v>50910</v>
      </c>
      <c r="I10407" s="3" t="s">
        <v>25951</v>
      </c>
      <c r="J10407" s="3" t="s">
        <v>7495</v>
      </c>
      <c r="K10407" s="3" t="s">
        <v>52654</v>
      </c>
      <c r="L10407" s="3"/>
      <c r="M10407" s="4"/>
      <c r="N10407" s="3" t="s">
        <v>37</v>
      </c>
      <c r="O10407" s="3" t="s">
        <v>70</v>
      </c>
      <c r="P10407" s="5">
        <v>10</v>
      </c>
      <c r="Q10407" s="5">
        <v>106</v>
      </c>
      <c r="R10407" s="5">
        <v>10</v>
      </c>
      <c r="S10407" s="5">
        <v>110</v>
      </c>
    </row>
    <row r="10408" spans="1:19" ht="70" x14ac:dyDescent="0.15">
      <c r="A10408" s="2">
        <f>HYPERLINK("https://open-school.uspishnemisto.com.ua/school/530367/", 530367)</f>
        <v>530367</v>
      </c>
      <c r="B10408" s="3" t="s">
        <v>52655</v>
      </c>
      <c r="C10408" s="3" t="s">
        <v>54</v>
      </c>
      <c r="D10408" s="3" t="s">
        <v>32</v>
      </c>
      <c r="E10408" s="4" t="s">
        <v>22</v>
      </c>
      <c r="F10408" s="4" t="s">
        <v>52656</v>
      </c>
      <c r="G10408" s="4" t="s">
        <v>52657</v>
      </c>
      <c r="H10408" s="3" t="s">
        <v>50910</v>
      </c>
      <c r="I10408" s="3" t="s">
        <v>33585</v>
      </c>
      <c r="J10408" s="3" t="s">
        <v>52658</v>
      </c>
      <c r="K10408" s="3" t="s">
        <v>52659</v>
      </c>
      <c r="L10408" s="3"/>
      <c r="M10408" s="4"/>
      <c r="N10408" s="3" t="s">
        <v>37</v>
      </c>
      <c r="O10408" s="3" t="s">
        <v>38</v>
      </c>
      <c r="P10408" s="5">
        <v>9</v>
      </c>
      <c r="Q10408" s="5">
        <v>122</v>
      </c>
      <c r="R10408" s="5">
        <v>10</v>
      </c>
      <c r="S10408" s="5">
        <v>120</v>
      </c>
    </row>
    <row r="10409" spans="1:19" ht="28" x14ac:dyDescent="0.15">
      <c r="A10409" s="2">
        <f>HYPERLINK("https://open-school.uspishnemisto.com.ua/school/530368/", 530368)</f>
        <v>530368</v>
      </c>
      <c r="B10409" s="3" t="s">
        <v>52660</v>
      </c>
      <c r="C10409" s="3" t="s">
        <v>31</v>
      </c>
      <c r="D10409" s="3" t="s">
        <v>32</v>
      </c>
      <c r="E10409" s="4" t="s">
        <v>22</v>
      </c>
      <c r="F10409" s="4" t="s">
        <v>52661</v>
      </c>
      <c r="G10409" s="4" t="s">
        <v>52662</v>
      </c>
      <c r="H10409" s="3" t="s">
        <v>50910</v>
      </c>
      <c r="I10409" s="3" t="s">
        <v>52663</v>
      </c>
      <c r="J10409" s="3" t="s">
        <v>466</v>
      </c>
      <c r="K10409" s="3" t="s">
        <v>52664</v>
      </c>
      <c r="L10409" s="3" t="s">
        <v>52665</v>
      </c>
      <c r="M10409" s="4"/>
      <c r="N10409" s="3" t="s">
        <v>37</v>
      </c>
      <c r="O10409" s="3" t="s">
        <v>38</v>
      </c>
      <c r="P10409" s="5">
        <v>10</v>
      </c>
      <c r="Q10409" s="5">
        <v>80</v>
      </c>
      <c r="R10409" s="5">
        <v>11</v>
      </c>
      <c r="S10409" s="5">
        <v>92</v>
      </c>
    </row>
    <row r="10410" spans="1:19" ht="56" x14ac:dyDescent="0.15">
      <c r="A10410" s="2">
        <f>HYPERLINK("https://open-school.uspishnemisto.com.ua/school/530369/", 530369)</f>
        <v>530369</v>
      </c>
      <c r="B10410" s="3" t="s">
        <v>52666</v>
      </c>
      <c r="C10410" s="3" t="s">
        <v>54</v>
      </c>
      <c r="D10410" s="3" t="s">
        <v>175</v>
      </c>
      <c r="E10410" s="4" t="s">
        <v>22</v>
      </c>
      <c r="F10410" s="4" t="s">
        <v>52667</v>
      </c>
      <c r="G10410" s="4" t="s">
        <v>52668</v>
      </c>
      <c r="H10410" s="3" t="s">
        <v>50910</v>
      </c>
      <c r="I10410" s="3" t="s">
        <v>52669</v>
      </c>
      <c r="J10410" s="3" t="s">
        <v>25057</v>
      </c>
      <c r="K10410" s="3" t="s">
        <v>52670</v>
      </c>
      <c r="L10410" s="3"/>
      <c r="M10410" s="4"/>
      <c r="N10410" s="3" t="s">
        <v>37</v>
      </c>
      <c r="O10410" s="3" t="s">
        <v>38</v>
      </c>
      <c r="P10410" s="5">
        <v>9</v>
      </c>
      <c r="Q10410" s="5">
        <v>82</v>
      </c>
      <c r="R10410" s="5">
        <v>9</v>
      </c>
      <c r="S10410" s="5">
        <v>82</v>
      </c>
    </row>
    <row r="10411" spans="1:19" ht="42" x14ac:dyDescent="0.15">
      <c r="A10411" s="2">
        <f>HYPERLINK("https://open-school.uspishnemisto.com.ua/school/530370/", 530370)</f>
        <v>530370</v>
      </c>
      <c r="B10411" s="3" t="s">
        <v>52671</v>
      </c>
      <c r="C10411" s="3" t="s">
        <v>31</v>
      </c>
      <c r="D10411" s="3" t="s">
        <v>32</v>
      </c>
      <c r="E10411" s="4" t="s">
        <v>22</v>
      </c>
      <c r="F10411" s="4" t="s">
        <v>52672</v>
      </c>
      <c r="G10411" s="4" t="s">
        <v>52673</v>
      </c>
      <c r="H10411" s="3" t="s">
        <v>50910</v>
      </c>
      <c r="I10411" s="3" t="s">
        <v>52674</v>
      </c>
      <c r="J10411" s="3" t="s">
        <v>1140</v>
      </c>
      <c r="K10411" s="3" t="s">
        <v>52675</v>
      </c>
      <c r="L10411" s="3" t="s">
        <v>52676</v>
      </c>
      <c r="M10411" s="4"/>
      <c r="N10411" s="3" t="s">
        <v>37</v>
      </c>
      <c r="O10411" s="3" t="s">
        <v>38</v>
      </c>
      <c r="P10411" s="5">
        <v>11</v>
      </c>
      <c r="Q10411" s="5">
        <v>154</v>
      </c>
      <c r="R10411" s="5">
        <v>11</v>
      </c>
      <c r="S10411" s="5">
        <v>144</v>
      </c>
    </row>
    <row r="10412" spans="1:19" ht="28" x14ac:dyDescent="0.15">
      <c r="A10412" s="2">
        <f>HYPERLINK("https://open-school.uspishnemisto.com.ua/school/530371/", 530371)</f>
        <v>530371</v>
      </c>
      <c r="B10412" s="3" t="s">
        <v>52677</v>
      </c>
      <c r="C10412" s="3" t="s">
        <v>54</v>
      </c>
      <c r="D10412" s="3" t="s">
        <v>175</v>
      </c>
      <c r="E10412" s="4" t="s">
        <v>22</v>
      </c>
      <c r="F10412" s="4" t="s">
        <v>52678</v>
      </c>
      <c r="G10412" s="4" t="s">
        <v>52679</v>
      </c>
      <c r="H10412" s="3" t="s">
        <v>50910</v>
      </c>
      <c r="I10412" s="3" t="s">
        <v>52680</v>
      </c>
      <c r="J10412" s="3" t="s">
        <v>52681</v>
      </c>
      <c r="K10412" s="3" t="s">
        <v>52682</v>
      </c>
      <c r="L10412" s="3"/>
      <c r="M10412" s="4"/>
      <c r="N10412" s="3" t="s">
        <v>37</v>
      </c>
      <c r="O10412" s="3" t="s">
        <v>38</v>
      </c>
      <c r="P10412" s="5">
        <v>9</v>
      </c>
      <c r="Q10412" s="5">
        <v>77</v>
      </c>
      <c r="R10412" s="5">
        <v>9</v>
      </c>
      <c r="S10412" s="5">
        <v>69</v>
      </c>
    </row>
    <row r="10413" spans="1:19" ht="28" x14ac:dyDescent="0.15">
      <c r="A10413" s="2">
        <f>HYPERLINK("https://open-school.uspishnemisto.com.ua/school/530372/", 530372)</f>
        <v>530372</v>
      </c>
      <c r="B10413" s="3" t="s">
        <v>52683</v>
      </c>
      <c r="C10413" s="3" t="s">
        <v>40</v>
      </c>
      <c r="D10413" s="3" t="s">
        <v>32</v>
      </c>
      <c r="E10413" s="4" t="s">
        <v>22</v>
      </c>
      <c r="F10413" s="4" t="s">
        <v>52684</v>
      </c>
      <c r="G10413" s="4" t="s">
        <v>52685</v>
      </c>
      <c r="H10413" s="3" t="s">
        <v>50910</v>
      </c>
      <c r="I10413" s="3" t="s">
        <v>52686</v>
      </c>
      <c r="J10413" s="3" t="s">
        <v>52687</v>
      </c>
      <c r="K10413" s="3" t="s">
        <v>52688</v>
      </c>
      <c r="L10413" s="3"/>
      <c r="M10413" s="4"/>
      <c r="N10413" s="3" t="s">
        <v>37</v>
      </c>
      <c r="O10413" s="3" t="s">
        <v>123</v>
      </c>
      <c r="P10413" s="5">
        <v>33</v>
      </c>
      <c r="Q10413" s="5">
        <v>739</v>
      </c>
      <c r="R10413" s="5">
        <v>33</v>
      </c>
      <c r="S10413" s="5">
        <v>734</v>
      </c>
    </row>
    <row r="10414" spans="1:19" ht="28" x14ac:dyDescent="0.15">
      <c r="A10414" s="2">
        <f>HYPERLINK("https://open-school.uspishnemisto.com.ua/school/530373/", 530373)</f>
        <v>530373</v>
      </c>
      <c r="B10414" s="3" t="s">
        <v>52689</v>
      </c>
      <c r="C10414" s="3" t="s">
        <v>31</v>
      </c>
      <c r="D10414" s="3" t="s">
        <v>32</v>
      </c>
      <c r="E10414" s="4" t="s">
        <v>22</v>
      </c>
      <c r="F10414" s="4" t="s">
        <v>52684</v>
      </c>
      <c r="G10414" s="4" t="s">
        <v>52685</v>
      </c>
      <c r="H10414" s="3" t="s">
        <v>50910</v>
      </c>
      <c r="I10414" s="3" t="s">
        <v>52686</v>
      </c>
      <c r="J10414" s="3" t="s">
        <v>554</v>
      </c>
      <c r="K10414" s="3" t="s">
        <v>52690</v>
      </c>
      <c r="L10414" s="3" t="s">
        <v>52691</v>
      </c>
      <c r="M10414" s="4"/>
      <c r="N10414" s="3" t="s">
        <v>37</v>
      </c>
      <c r="O10414" s="3" t="s">
        <v>46</v>
      </c>
      <c r="P10414" s="5">
        <v>16</v>
      </c>
      <c r="Q10414" s="5">
        <v>313</v>
      </c>
      <c r="R10414" s="5">
        <v>15</v>
      </c>
      <c r="S10414" s="5">
        <v>288</v>
      </c>
    </row>
    <row r="10415" spans="1:19" ht="28" x14ac:dyDescent="0.15">
      <c r="A10415" s="2">
        <f>HYPERLINK("https://open-school.uspishnemisto.com.ua/school/530374/", 530374)</f>
        <v>530374</v>
      </c>
      <c r="B10415" s="3" t="s">
        <v>52692</v>
      </c>
      <c r="C10415" s="3" t="s">
        <v>31</v>
      </c>
      <c r="D10415" s="3" t="s">
        <v>32</v>
      </c>
      <c r="E10415" s="4" t="s">
        <v>22</v>
      </c>
      <c r="F10415" s="4" t="s">
        <v>52684</v>
      </c>
      <c r="G10415" s="4" t="s">
        <v>52685</v>
      </c>
      <c r="H10415" s="3" t="s">
        <v>50910</v>
      </c>
      <c r="I10415" s="3" t="s">
        <v>52686</v>
      </c>
      <c r="J10415" s="3" t="s">
        <v>25660</v>
      </c>
      <c r="K10415" s="3" t="s">
        <v>52693</v>
      </c>
      <c r="L10415" s="3" t="s">
        <v>52694</v>
      </c>
      <c r="M10415" s="4"/>
      <c r="N10415" s="3" t="s">
        <v>37</v>
      </c>
      <c r="O10415" s="3" t="s">
        <v>52</v>
      </c>
      <c r="P10415" s="5">
        <v>11</v>
      </c>
      <c r="Q10415" s="5">
        <v>237</v>
      </c>
      <c r="R10415" s="5">
        <v>11</v>
      </c>
      <c r="S10415" s="5">
        <v>242</v>
      </c>
    </row>
    <row r="10416" spans="1:19" ht="28" x14ac:dyDescent="0.15">
      <c r="A10416" s="2">
        <f>HYPERLINK("https://open-school.uspishnemisto.com.ua/school/530375/", 530375)</f>
        <v>530375</v>
      </c>
      <c r="B10416" s="3" t="s">
        <v>52695</v>
      </c>
      <c r="C10416" s="3" t="s">
        <v>20</v>
      </c>
      <c r="D10416" s="3" t="s">
        <v>19078</v>
      </c>
      <c r="E10416" s="4" t="s">
        <v>22</v>
      </c>
      <c r="F10416" s="4" t="s">
        <v>52696</v>
      </c>
      <c r="G10416" s="4" t="s">
        <v>52697</v>
      </c>
      <c r="H10416" s="3" t="s">
        <v>50910</v>
      </c>
      <c r="I10416" s="3" t="s">
        <v>39383</v>
      </c>
      <c r="J10416" s="3" t="s">
        <v>52698</v>
      </c>
      <c r="K10416" s="3" t="s">
        <v>52699</v>
      </c>
      <c r="L10416" s="3"/>
      <c r="M10416" s="4"/>
      <c r="N10416" s="3"/>
      <c r="O10416" s="3"/>
      <c r="P10416" s="5">
        <v>0</v>
      </c>
      <c r="Q10416" s="5">
        <v>0</v>
      </c>
      <c r="R10416" s="5"/>
      <c r="S10416" s="5"/>
    </row>
    <row r="10417" spans="1:19" ht="28" x14ac:dyDescent="0.15">
      <c r="A10417" s="2">
        <f>HYPERLINK("https://open-school.uspishnemisto.com.ua/school/530376/", 530376)</f>
        <v>530376</v>
      </c>
      <c r="B10417" s="3" t="s">
        <v>52700</v>
      </c>
      <c r="C10417" s="3" t="s">
        <v>31</v>
      </c>
      <c r="D10417" s="3" t="s">
        <v>32</v>
      </c>
      <c r="E10417" s="4" t="s">
        <v>22</v>
      </c>
      <c r="F10417" s="4" t="s">
        <v>52696</v>
      </c>
      <c r="G10417" s="4" t="s">
        <v>52697</v>
      </c>
      <c r="H10417" s="3" t="s">
        <v>50910</v>
      </c>
      <c r="I10417" s="3" t="s">
        <v>39383</v>
      </c>
      <c r="J10417" s="3" t="s">
        <v>466</v>
      </c>
      <c r="K10417" s="3" t="s">
        <v>52701</v>
      </c>
      <c r="L10417" s="3" t="s">
        <v>52702</v>
      </c>
      <c r="M10417" s="4"/>
      <c r="N10417" s="3" t="s">
        <v>37</v>
      </c>
      <c r="O10417" s="3" t="s">
        <v>46</v>
      </c>
      <c r="P10417" s="5">
        <v>21</v>
      </c>
      <c r="Q10417" s="5">
        <v>461</v>
      </c>
      <c r="R10417" s="5">
        <v>21</v>
      </c>
      <c r="S10417" s="5">
        <v>466</v>
      </c>
    </row>
    <row r="10418" spans="1:19" ht="28" x14ac:dyDescent="0.15">
      <c r="A10418" s="2">
        <f>HYPERLINK("https://open-school.uspishnemisto.com.ua/school/530377/", 530377)</f>
        <v>530377</v>
      </c>
      <c r="B10418" s="3" t="s">
        <v>52703</v>
      </c>
      <c r="C10418" s="3" t="s">
        <v>31</v>
      </c>
      <c r="D10418" s="3" t="s">
        <v>32</v>
      </c>
      <c r="E10418" s="4" t="s">
        <v>22</v>
      </c>
      <c r="F10418" s="4" t="s">
        <v>52696</v>
      </c>
      <c r="G10418" s="4" t="s">
        <v>52697</v>
      </c>
      <c r="H10418" s="3" t="s">
        <v>50910</v>
      </c>
      <c r="I10418" s="3" t="s">
        <v>39383</v>
      </c>
      <c r="J10418" s="3" t="s">
        <v>52704</v>
      </c>
      <c r="K10418" s="3" t="s">
        <v>52705</v>
      </c>
      <c r="L10418" s="3"/>
      <c r="M10418" s="4"/>
      <c r="N10418" s="3" t="s">
        <v>37</v>
      </c>
      <c r="O10418" s="3" t="s">
        <v>52</v>
      </c>
      <c r="P10418" s="5">
        <v>12</v>
      </c>
      <c r="Q10418" s="5">
        <v>247</v>
      </c>
      <c r="R10418" s="5">
        <v>13</v>
      </c>
      <c r="S10418" s="5">
        <v>255</v>
      </c>
    </row>
    <row r="10419" spans="1:19" ht="28" x14ac:dyDescent="0.15">
      <c r="A10419" s="2">
        <f>HYPERLINK("https://open-school.uspishnemisto.com.ua/school/530378/", 530378)</f>
        <v>530378</v>
      </c>
      <c r="B10419" s="3" t="s">
        <v>52706</v>
      </c>
      <c r="C10419" s="3" t="s">
        <v>31</v>
      </c>
      <c r="D10419" s="3" t="s">
        <v>32</v>
      </c>
      <c r="E10419" s="4" t="s">
        <v>22</v>
      </c>
      <c r="F10419" s="4" t="s">
        <v>52707</v>
      </c>
      <c r="G10419" s="4" t="s">
        <v>52708</v>
      </c>
      <c r="H10419" s="3" t="s">
        <v>50910</v>
      </c>
      <c r="I10419" s="3" t="s">
        <v>52709</v>
      </c>
      <c r="J10419" s="3" t="s">
        <v>52710</v>
      </c>
      <c r="K10419" s="3" t="s">
        <v>52711</v>
      </c>
      <c r="L10419" s="3"/>
      <c r="M10419" s="4"/>
      <c r="N10419" s="3" t="s">
        <v>37</v>
      </c>
      <c r="O10419" s="3" t="s">
        <v>46</v>
      </c>
      <c r="P10419" s="5">
        <v>10</v>
      </c>
      <c r="Q10419" s="5">
        <v>96</v>
      </c>
      <c r="R10419" s="5">
        <v>10</v>
      </c>
      <c r="S10419" s="5">
        <v>86</v>
      </c>
    </row>
    <row r="10420" spans="1:19" ht="28" x14ac:dyDescent="0.15">
      <c r="A10420" s="2">
        <f>HYPERLINK("https://open-school.uspishnemisto.com.ua/school/530380/", 530380)</f>
        <v>530380</v>
      </c>
      <c r="B10420" s="3" t="s">
        <v>52712</v>
      </c>
      <c r="C10420" s="3" t="s">
        <v>31</v>
      </c>
      <c r="D10420" s="3" t="s">
        <v>175</v>
      </c>
      <c r="E10420" s="4" t="s">
        <v>22</v>
      </c>
      <c r="F10420" s="4" t="s">
        <v>52713</v>
      </c>
      <c r="G10420" s="4" t="s">
        <v>52714</v>
      </c>
      <c r="H10420" s="3" t="s">
        <v>50910</v>
      </c>
      <c r="I10420" s="3" t="s">
        <v>52715</v>
      </c>
      <c r="J10420" s="3" t="s">
        <v>52716</v>
      </c>
      <c r="K10420" s="3" t="s">
        <v>52717</v>
      </c>
      <c r="L10420" s="3"/>
      <c r="M10420" s="4"/>
      <c r="N10420" s="3" t="s">
        <v>37</v>
      </c>
      <c r="O10420" s="3" t="s">
        <v>52</v>
      </c>
      <c r="P10420" s="5">
        <v>9</v>
      </c>
      <c r="Q10420" s="5">
        <v>71</v>
      </c>
      <c r="R10420" s="5">
        <v>9</v>
      </c>
      <c r="S10420" s="5">
        <v>68</v>
      </c>
    </row>
    <row r="10421" spans="1:19" ht="42" x14ac:dyDescent="0.15">
      <c r="A10421" s="2">
        <f>HYPERLINK("https://open-school.uspishnemisto.com.ua/school/530381/", 530381)</f>
        <v>530381</v>
      </c>
      <c r="B10421" s="3" t="s">
        <v>52718</v>
      </c>
      <c r="C10421" s="3" t="s">
        <v>54</v>
      </c>
      <c r="D10421" s="3" t="s">
        <v>32</v>
      </c>
      <c r="E10421" s="4" t="s">
        <v>22</v>
      </c>
      <c r="F10421" s="4" t="s">
        <v>52719</v>
      </c>
      <c r="G10421" s="4" t="s">
        <v>52720</v>
      </c>
      <c r="H10421" s="3" t="s">
        <v>50910</v>
      </c>
      <c r="I10421" s="3" t="s">
        <v>52721</v>
      </c>
      <c r="J10421" s="3" t="s">
        <v>466</v>
      </c>
      <c r="K10421" s="3" t="s">
        <v>52722</v>
      </c>
      <c r="L10421" s="3"/>
      <c r="M10421" s="4"/>
      <c r="N10421" s="3" t="s">
        <v>37</v>
      </c>
      <c r="O10421" s="3" t="s">
        <v>618</v>
      </c>
      <c r="P10421" s="5">
        <v>9</v>
      </c>
      <c r="Q10421" s="5">
        <v>70</v>
      </c>
      <c r="R10421" s="5">
        <v>9</v>
      </c>
      <c r="S10421" s="5">
        <v>74</v>
      </c>
    </row>
    <row r="10422" spans="1:19" ht="28" x14ac:dyDescent="0.15">
      <c r="A10422" s="2">
        <f>HYPERLINK("https://open-school.uspishnemisto.com.ua/school/530382/", 530382)</f>
        <v>530382</v>
      </c>
      <c r="B10422" s="3" t="s">
        <v>52723</v>
      </c>
      <c r="C10422" s="3" t="s">
        <v>31</v>
      </c>
      <c r="D10422" s="3" t="s">
        <v>175</v>
      </c>
      <c r="E10422" s="4" t="s">
        <v>22</v>
      </c>
      <c r="F10422" s="4" t="s">
        <v>52724</v>
      </c>
      <c r="G10422" s="4" t="s">
        <v>52725</v>
      </c>
      <c r="H10422" s="3" t="s">
        <v>50910</v>
      </c>
      <c r="I10422" s="3" t="s">
        <v>52726</v>
      </c>
      <c r="J10422" s="3" t="s">
        <v>7905</v>
      </c>
      <c r="K10422" s="3" t="s">
        <v>52727</v>
      </c>
      <c r="L10422" s="3"/>
      <c r="M10422" s="4"/>
      <c r="N10422" s="3" t="s">
        <v>37</v>
      </c>
      <c r="O10422" s="3" t="s">
        <v>46</v>
      </c>
      <c r="P10422" s="5">
        <v>2</v>
      </c>
      <c r="Q10422" s="5">
        <v>25</v>
      </c>
      <c r="R10422" s="5">
        <v>2</v>
      </c>
      <c r="S10422" s="5">
        <v>25</v>
      </c>
    </row>
    <row r="10423" spans="1:19" ht="28" x14ac:dyDescent="0.15">
      <c r="A10423" s="2">
        <f>HYPERLINK("https://open-school.uspishnemisto.com.ua/school/530383/", 530383)</f>
        <v>530383</v>
      </c>
      <c r="B10423" s="3" t="s">
        <v>52728</v>
      </c>
      <c r="C10423" s="3" t="s">
        <v>31</v>
      </c>
      <c r="D10423" s="3" t="s">
        <v>32</v>
      </c>
      <c r="E10423" s="4" t="s">
        <v>22</v>
      </c>
      <c r="F10423" s="4" t="s">
        <v>52729</v>
      </c>
      <c r="G10423" s="4" t="s">
        <v>52730</v>
      </c>
      <c r="H10423" s="3" t="s">
        <v>50910</v>
      </c>
      <c r="I10423" s="3" t="s">
        <v>52731</v>
      </c>
      <c r="J10423" s="3" t="s">
        <v>52732</v>
      </c>
      <c r="K10423" s="3" t="s">
        <v>52733</v>
      </c>
      <c r="L10423" s="3" t="s">
        <v>52734</v>
      </c>
      <c r="M10423" s="4"/>
      <c r="N10423" s="3" t="s">
        <v>37</v>
      </c>
      <c r="O10423" s="3" t="s">
        <v>46</v>
      </c>
      <c r="P10423" s="5">
        <v>12</v>
      </c>
      <c r="Q10423" s="5">
        <v>230</v>
      </c>
      <c r="R10423" s="5">
        <v>12</v>
      </c>
      <c r="S10423" s="5">
        <v>219</v>
      </c>
    </row>
    <row r="10424" spans="1:19" ht="28" x14ac:dyDescent="0.15">
      <c r="A10424" s="2">
        <f>HYPERLINK("https://open-school.uspishnemisto.com.ua/school/530384/", 530384)</f>
        <v>530384</v>
      </c>
      <c r="B10424" s="3" t="s">
        <v>52735</v>
      </c>
      <c r="C10424" s="3" t="s">
        <v>31</v>
      </c>
      <c r="D10424" s="3" t="s">
        <v>32</v>
      </c>
      <c r="E10424" s="4" t="s">
        <v>22</v>
      </c>
      <c r="F10424" s="4" t="s">
        <v>52736</v>
      </c>
      <c r="G10424" s="4" t="s">
        <v>52737</v>
      </c>
      <c r="H10424" s="3" t="s">
        <v>50910</v>
      </c>
      <c r="I10424" s="3" t="s">
        <v>52738</v>
      </c>
      <c r="J10424" s="3" t="s">
        <v>2745</v>
      </c>
      <c r="K10424" s="3" t="s">
        <v>52739</v>
      </c>
      <c r="L10424" s="3"/>
      <c r="M10424" s="4"/>
      <c r="N10424" s="3" t="s">
        <v>37</v>
      </c>
      <c r="O10424" s="3" t="s">
        <v>52</v>
      </c>
      <c r="P10424" s="5">
        <v>11</v>
      </c>
      <c r="Q10424" s="5">
        <v>94</v>
      </c>
      <c r="R10424" s="5">
        <v>10</v>
      </c>
      <c r="S10424" s="5">
        <v>88</v>
      </c>
    </row>
    <row r="10425" spans="1:19" ht="28" x14ac:dyDescent="0.15">
      <c r="A10425" s="2">
        <f>HYPERLINK("https://open-school.uspishnemisto.com.ua/school/530385/", 530385)</f>
        <v>530385</v>
      </c>
      <c r="B10425" s="3" t="s">
        <v>52740</v>
      </c>
      <c r="C10425" s="3" t="s">
        <v>31</v>
      </c>
      <c r="D10425" s="3" t="s">
        <v>175</v>
      </c>
      <c r="E10425" s="4" t="s">
        <v>22</v>
      </c>
      <c r="F10425" s="4" t="s">
        <v>52684</v>
      </c>
      <c r="G10425" s="4" t="s">
        <v>52741</v>
      </c>
      <c r="H10425" s="3" t="s">
        <v>50910</v>
      </c>
      <c r="I10425" s="3" t="s">
        <v>52742</v>
      </c>
      <c r="J10425" s="3"/>
      <c r="K10425" s="3" t="s">
        <v>52743</v>
      </c>
      <c r="L10425" s="3"/>
      <c r="M10425" s="4"/>
      <c r="N10425" s="3" t="s">
        <v>37</v>
      </c>
      <c r="O10425" s="3" t="s">
        <v>52</v>
      </c>
      <c r="P10425" s="5">
        <v>6</v>
      </c>
      <c r="Q10425" s="5">
        <v>37</v>
      </c>
      <c r="R10425" s="5">
        <v>5</v>
      </c>
      <c r="S10425" s="5">
        <v>34</v>
      </c>
    </row>
    <row r="10426" spans="1:19" ht="28" x14ac:dyDescent="0.15">
      <c r="A10426" s="2">
        <f>HYPERLINK("https://open-school.uspishnemisto.com.ua/school/530386/", 530386)</f>
        <v>530386</v>
      </c>
      <c r="B10426" s="3" t="s">
        <v>52744</v>
      </c>
      <c r="C10426" s="3" t="s">
        <v>31</v>
      </c>
      <c r="D10426" s="3" t="s">
        <v>32</v>
      </c>
      <c r="E10426" s="4" t="s">
        <v>22</v>
      </c>
      <c r="F10426" s="4" t="s">
        <v>52745</v>
      </c>
      <c r="G10426" s="4" t="s">
        <v>52746</v>
      </c>
      <c r="H10426" s="3" t="s">
        <v>50910</v>
      </c>
      <c r="I10426" s="3" t="s">
        <v>52747</v>
      </c>
      <c r="J10426" s="3" t="s">
        <v>52748</v>
      </c>
      <c r="K10426" s="3"/>
      <c r="L10426" s="3"/>
      <c r="M10426" s="4"/>
      <c r="N10426" s="3" t="s">
        <v>37</v>
      </c>
      <c r="O10426" s="3" t="s">
        <v>46</v>
      </c>
      <c r="P10426" s="5">
        <v>7</v>
      </c>
      <c r="Q10426" s="5">
        <v>60</v>
      </c>
      <c r="R10426" s="5">
        <v>8</v>
      </c>
      <c r="S10426" s="5">
        <v>70</v>
      </c>
    </row>
    <row r="10427" spans="1:19" ht="28" x14ac:dyDescent="0.15">
      <c r="A10427" s="2">
        <f>HYPERLINK("https://open-school.uspishnemisto.com.ua/school/530387/", 530387)</f>
        <v>530387</v>
      </c>
      <c r="B10427" s="3" t="s">
        <v>52749</v>
      </c>
      <c r="C10427" s="3" t="s">
        <v>31</v>
      </c>
      <c r="D10427" s="3" t="s">
        <v>32</v>
      </c>
      <c r="E10427" s="4" t="s">
        <v>22</v>
      </c>
      <c r="F10427" s="4" t="s">
        <v>52750</v>
      </c>
      <c r="G10427" s="4" t="s">
        <v>52751</v>
      </c>
      <c r="H10427" s="3" t="s">
        <v>50910</v>
      </c>
      <c r="I10427" s="3" t="s">
        <v>52752</v>
      </c>
      <c r="J10427" s="3" t="s">
        <v>52753</v>
      </c>
      <c r="K10427" s="3" t="s">
        <v>52754</v>
      </c>
      <c r="L10427" s="3" t="s">
        <v>52755</v>
      </c>
      <c r="M10427" s="4"/>
      <c r="N10427" s="3" t="s">
        <v>37</v>
      </c>
      <c r="O10427" s="3" t="s">
        <v>618</v>
      </c>
      <c r="P10427" s="5">
        <v>7</v>
      </c>
      <c r="Q10427" s="5">
        <v>49</v>
      </c>
      <c r="R10427" s="5">
        <v>8</v>
      </c>
      <c r="S10427" s="5">
        <v>52</v>
      </c>
    </row>
    <row r="10428" spans="1:19" ht="28" x14ac:dyDescent="0.15">
      <c r="A10428" s="2">
        <f>HYPERLINK("https://open-school.uspishnemisto.com.ua/school/530388/", 530388)</f>
        <v>530388</v>
      </c>
      <c r="B10428" s="3" t="s">
        <v>52756</v>
      </c>
      <c r="C10428" s="3" t="s">
        <v>31</v>
      </c>
      <c r="D10428" s="3" t="s">
        <v>175</v>
      </c>
      <c r="E10428" s="4" t="s">
        <v>22</v>
      </c>
      <c r="F10428" s="4" t="s">
        <v>52757</v>
      </c>
      <c r="G10428" s="4" t="s">
        <v>52758</v>
      </c>
      <c r="H10428" s="3" t="s">
        <v>50910</v>
      </c>
      <c r="I10428" s="3" t="s">
        <v>52759</v>
      </c>
      <c r="J10428" s="3" t="s">
        <v>52760</v>
      </c>
      <c r="K10428" s="3" t="s">
        <v>52761</v>
      </c>
      <c r="L10428" s="3"/>
      <c r="M10428" s="4"/>
      <c r="N10428" s="3" t="s">
        <v>37</v>
      </c>
      <c r="O10428" s="3" t="s">
        <v>618</v>
      </c>
      <c r="P10428" s="5">
        <v>4</v>
      </c>
      <c r="Q10428" s="5">
        <v>33</v>
      </c>
      <c r="R10428" s="5">
        <v>4</v>
      </c>
      <c r="S10428" s="5">
        <v>29</v>
      </c>
    </row>
    <row r="10429" spans="1:19" ht="28" x14ac:dyDescent="0.15">
      <c r="A10429" s="2">
        <f>HYPERLINK("https://open-school.uspishnemisto.com.ua/school/530389/", 530389)</f>
        <v>530389</v>
      </c>
      <c r="B10429" s="3" t="s">
        <v>52762</v>
      </c>
      <c r="C10429" s="3" t="s">
        <v>31</v>
      </c>
      <c r="D10429" s="3" t="s">
        <v>32</v>
      </c>
      <c r="E10429" s="4" t="s">
        <v>22</v>
      </c>
      <c r="F10429" s="4" t="s">
        <v>52763</v>
      </c>
      <c r="G10429" s="4" t="s">
        <v>52764</v>
      </c>
      <c r="H10429" s="3" t="s">
        <v>50910</v>
      </c>
      <c r="I10429" s="3" t="s">
        <v>17777</v>
      </c>
      <c r="J10429" s="3" t="s">
        <v>2841</v>
      </c>
      <c r="K10429" s="3" t="s">
        <v>52765</v>
      </c>
      <c r="L10429" s="3"/>
      <c r="M10429" s="4"/>
      <c r="N10429" s="3" t="s">
        <v>37</v>
      </c>
      <c r="O10429" s="3" t="s">
        <v>38</v>
      </c>
      <c r="P10429" s="5">
        <v>10</v>
      </c>
      <c r="Q10429" s="5">
        <v>108</v>
      </c>
      <c r="R10429" s="5">
        <v>11</v>
      </c>
      <c r="S10429" s="5">
        <v>120</v>
      </c>
    </row>
    <row r="10430" spans="1:19" ht="28" x14ac:dyDescent="0.15">
      <c r="A10430" s="2">
        <f>HYPERLINK("https://open-school.uspishnemisto.com.ua/school/530390/", 530390)</f>
        <v>530390</v>
      </c>
      <c r="B10430" s="3" t="s">
        <v>52766</v>
      </c>
      <c r="C10430" s="3" t="s">
        <v>31</v>
      </c>
      <c r="D10430" s="3" t="s">
        <v>32</v>
      </c>
      <c r="E10430" s="4" t="s">
        <v>22</v>
      </c>
      <c r="F10430" s="4" t="s">
        <v>52767</v>
      </c>
      <c r="G10430" s="4" t="s">
        <v>52768</v>
      </c>
      <c r="H10430" s="3" t="s">
        <v>50910</v>
      </c>
      <c r="I10430" s="3" t="s">
        <v>17799</v>
      </c>
      <c r="J10430" s="3" t="s">
        <v>1719</v>
      </c>
      <c r="K10430" s="3" t="s">
        <v>52769</v>
      </c>
      <c r="L10430" s="3" t="s">
        <v>52770</v>
      </c>
      <c r="M10430" s="4"/>
      <c r="N10430" s="3" t="s">
        <v>37</v>
      </c>
      <c r="O10430" s="3" t="s">
        <v>46</v>
      </c>
      <c r="P10430" s="5">
        <v>10</v>
      </c>
      <c r="Q10430" s="5">
        <v>169</v>
      </c>
      <c r="R10430" s="5">
        <v>11</v>
      </c>
      <c r="S10430" s="5">
        <v>177</v>
      </c>
    </row>
    <row r="10431" spans="1:19" ht="28" x14ac:dyDescent="0.15">
      <c r="A10431" s="2">
        <f>HYPERLINK("https://open-school.uspishnemisto.com.ua/school/530391/", 530391)</f>
        <v>530391</v>
      </c>
      <c r="B10431" s="3" t="s">
        <v>52771</v>
      </c>
      <c r="C10431" s="3" t="s">
        <v>31</v>
      </c>
      <c r="D10431" s="3" t="s">
        <v>32</v>
      </c>
      <c r="E10431" s="4" t="s">
        <v>22</v>
      </c>
      <c r="F10431" s="4" t="s">
        <v>52772</v>
      </c>
      <c r="G10431" s="4" t="s">
        <v>52773</v>
      </c>
      <c r="H10431" s="3" t="s">
        <v>50910</v>
      </c>
      <c r="I10431" s="3" t="s">
        <v>52774</v>
      </c>
      <c r="J10431" s="3" t="s">
        <v>466</v>
      </c>
      <c r="K10431" s="3" t="s">
        <v>52775</v>
      </c>
      <c r="L10431" s="3"/>
      <c r="M10431" s="4"/>
      <c r="N10431" s="3" t="s">
        <v>37</v>
      </c>
      <c r="O10431" s="3" t="s">
        <v>52</v>
      </c>
      <c r="P10431" s="5">
        <v>6</v>
      </c>
      <c r="Q10431" s="5">
        <v>60</v>
      </c>
      <c r="R10431" s="5">
        <v>7</v>
      </c>
      <c r="S10431" s="5">
        <v>63</v>
      </c>
    </row>
    <row r="10432" spans="1:19" ht="56" x14ac:dyDescent="0.15">
      <c r="A10432" s="2">
        <f>HYPERLINK("https://open-school.uspishnemisto.com.ua/school/530392/", 530392)</f>
        <v>530392</v>
      </c>
      <c r="B10432" s="3" t="s">
        <v>52776</v>
      </c>
      <c r="C10432" s="3" t="s">
        <v>54</v>
      </c>
      <c r="D10432" s="3" t="s">
        <v>175</v>
      </c>
      <c r="E10432" s="4" t="s">
        <v>22</v>
      </c>
      <c r="F10432" s="4" t="s">
        <v>52777</v>
      </c>
      <c r="G10432" s="4" t="s">
        <v>52778</v>
      </c>
      <c r="H10432" s="3" t="s">
        <v>50910</v>
      </c>
      <c r="I10432" s="3" t="s">
        <v>52779</v>
      </c>
      <c r="J10432" s="3" t="s">
        <v>52430</v>
      </c>
      <c r="K10432" s="3" t="s">
        <v>52780</v>
      </c>
      <c r="L10432" s="3"/>
      <c r="M10432" s="4"/>
      <c r="N10432" s="3" t="s">
        <v>37</v>
      </c>
      <c r="O10432" s="3" t="s">
        <v>46</v>
      </c>
      <c r="P10432" s="5">
        <v>1</v>
      </c>
      <c r="Q10432" s="5">
        <v>21</v>
      </c>
      <c r="R10432" s="5">
        <v>1</v>
      </c>
      <c r="S10432" s="5">
        <v>17</v>
      </c>
    </row>
    <row r="10433" spans="1:19" ht="28" x14ac:dyDescent="0.15">
      <c r="A10433" s="2">
        <f>HYPERLINK("https://open-school.uspishnemisto.com.ua/school/530393/", 530393)</f>
        <v>530393</v>
      </c>
      <c r="B10433" s="3" t="s">
        <v>52781</v>
      </c>
      <c r="C10433" s="3" t="s">
        <v>31</v>
      </c>
      <c r="D10433" s="3" t="s">
        <v>32</v>
      </c>
      <c r="E10433" s="4" t="s">
        <v>22</v>
      </c>
      <c r="F10433" s="4" t="s">
        <v>52782</v>
      </c>
      <c r="G10433" s="4" t="s">
        <v>52783</v>
      </c>
      <c r="H10433" s="3" t="s">
        <v>50910</v>
      </c>
      <c r="I10433" s="3" t="s">
        <v>52784</v>
      </c>
      <c r="J10433" s="3"/>
      <c r="K10433" s="3" t="s">
        <v>52785</v>
      </c>
      <c r="L10433" s="3" t="s">
        <v>52786</v>
      </c>
      <c r="M10433" s="4"/>
      <c r="N10433" s="3" t="s">
        <v>37</v>
      </c>
      <c r="O10433" s="3" t="s">
        <v>618</v>
      </c>
      <c r="P10433" s="5">
        <v>2</v>
      </c>
      <c r="Q10433" s="5">
        <v>33</v>
      </c>
      <c r="R10433" s="5">
        <v>2</v>
      </c>
      <c r="S10433" s="5">
        <v>36</v>
      </c>
    </row>
    <row r="10434" spans="1:19" ht="28" x14ac:dyDescent="0.15">
      <c r="A10434" s="2">
        <f>HYPERLINK("https://open-school.uspishnemisto.com.ua/school/530394/", 530394)</f>
        <v>530394</v>
      </c>
      <c r="B10434" s="3" t="s">
        <v>52787</v>
      </c>
      <c r="C10434" s="3" t="s">
        <v>31</v>
      </c>
      <c r="D10434" s="3" t="s">
        <v>32</v>
      </c>
      <c r="E10434" s="4" t="s">
        <v>22</v>
      </c>
      <c r="F10434" s="4" t="s">
        <v>52788</v>
      </c>
      <c r="G10434" s="4" t="s">
        <v>52789</v>
      </c>
      <c r="H10434" s="3" t="s">
        <v>50910</v>
      </c>
      <c r="I10434" s="3" t="s">
        <v>52790</v>
      </c>
      <c r="J10434" s="3" t="s">
        <v>52791</v>
      </c>
      <c r="K10434" s="3" t="s">
        <v>52792</v>
      </c>
      <c r="L10434" s="3"/>
      <c r="M10434" s="4"/>
      <c r="N10434" s="3" t="s">
        <v>37</v>
      </c>
      <c r="O10434" s="3" t="s">
        <v>38</v>
      </c>
      <c r="P10434" s="5">
        <v>15</v>
      </c>
      <c r="Q10434" s="5">
        <v>246</v>
      </c>
      <c r="R10434" s="5">
        <v>16</v>
      </c>
      <c r="S10434" s="5">
        <v>258</v>
      </c>
    </row>
    <row r="10435" spans="1:19" ht="28" x14ac:dyDescent="0.15">
      <c r="A10435" s="2">
        <f>HYPERLINK("https://open-school.uspishnemisto.com.ua/school/530395/", 530395)</f>
        <v>530395</v>
      </c>
      <c r="B10435" s="3" t="s">
        <v>52793</v>
      </c>
      <c r="C10435" s="3" t="s">
        <v>31</v>
      </c>
      <c r="D10435" s="3" t="s">
        <v>32</v>
      </c>
      <c r="E10435" s="4" t="s">
        <v>22</v>
      </c>
      <c r="F10435" s="4" t="s">
        <v>52794</v>
      </c>
      <c r="G10435" s="4" t="s">
        <v>52795</v>
      </c>
      <c r="H10435" s="3" t="s">
        <v>50910</v>
      </c>
      <c r="I10435" s="3" t="s">
        <v>52796</v>
      </c>
      <c r="J10435" s="3" t="s">
        <v>792</v>
      </c>
      <c r="K10435" s="3" t="s">
        <v>52797</v>
      </c>
      <c r="L10435" s="3"/>
      <c r="M10435" s="4"/>
      <c r="N10435" s="3" t="s">
        <v>37</v>
      </c>
      <c r="O10435" s="3" t="s">
        <v>52</v>
      </c>
      <c r="P10435" s="5">
        <v>10</v>
      </c>
      <c r="Q10435" s="5">
        <v>73</v>
      </c>
      <c r="R10435" s="5">
        <v>9</v>
      </c>
      <c r="S10435" s="5">
        <v>69</v>
      </c>
    </row>
    <row r="10436" spans="1:19" ht="28" x14ac:dyDescent="0.15">
      <c r="A10436" s="2">
        <f>HYPERLINK("https://open-school.uspishnemisto.com.ua/school/530396/", 530396)</f>
        <v>530396</v>
      </c>
      <c r="B10436" s="3" t="s">
        <v>52798</v>
      </c>
      <c r="C10436" s="3" t="s">
        <v>31</v>
      </c>
      <c r="D10436" s="3" t="s">
        <v>175</v>
      </c>
      <c r="E10436" s="4" t="s">
        <v>22</v>
      </c>
      <c r="F10436" s="4" t="s">
        <v>52799</v>
      </c>
      <c r="G10436" s="4" t="s">
        <v>52800</v>
      </c>
      <c r="H10436" s="3" t="s">
        <v>50910</v>
      </c>
      <c r="I10436" s="3" t="s">
        <v>41858</v>
      </c>
      <c r="J10436" s="3" t="s">
        <v>1636</v>
      </c>
      <c r="K10436" s="3" t="s">
        <v>52801</v>
      </c>
      <c r="L10436" s="3"/>
      <c r="M10436" s="4"/>
      <c r="N10436" s="3" t="s">
        <v>37</v>
      </c>
      <c r="O10436" s="3" t="s">
        <v>618</v>
      </c>
      <c r="P10436" s="5">
        <v>3</v>
      </c>
      <c r="Q10436" s="5">
        <v>28</v>
      </c>
      <c r="R10436" s="5">
        <v>2</v>
      </c>
      <c r="S10436" s="5">
        <v>26</v>
      </c>
    </row>
    <row r="10437" spans="1:19" ht="28" x14ac:dyDescent="0.15">
      <c r="A10437" s="2">
        <f>HYPERLINK("https://open-school.uspishnemisto.com.ua/school/530397/", 530397)</f>
        <v>530397</v>
      </c>
      <c r="B10437" s="3" t="s">
        <v>52802</v>
      </c>
      <c r="C10437" s="3" t="s">
        <v>31</v>
      </c>
      <c r="D10437" s="3" t="s">
        <v>32</v>
      </c>
      <c r="E10437" s="4" t="s">
        <v>22</v>
      </c>
      <c r="F10437" s="4" t="s">
        <v>52803</v>
      </c>
      <c r="G10437" s="4" t="s">
        <v>52804</v>
      </c>
      <c r="H10437" s="3" t="s">
        <v>50910</v>
      </c>
      <c r="I10437" s="3" t="s">
        <v>52805</v>
      </c>
      <c r="J10437" s="3" t="s">
        <v>52806</v>
      </c>
      <c r="K10437" s="3"/>
      <c r="L10437" s="3"/>
      <c r="M10437" s="4"/>
      <c r="N10437" s="3" t="s">
        <v>37</v>
      </c>
      <c r="O10437" s="3" t="s">
        <v>52</v>
      </c>
      <c r="P10437" s="5">
        <v>4</v>
      </c>
      <c r="Q10437" s="5">
        <v>37</v>
      </c>
      <c r="R10437" s="5">
        <v>4</v>
      </c>
      <c r="S10437" s="5">
        <v>35</v>
      </c>
    </row>
    <row r="10438" spans="1:19" ht="28" x14ac:dyDescent="0.15">
      <c r="A10438" s="2">
        <f>HYPERLINK("https://open-school.uspishnemisto.com.ua/school/530398/", 530398)</f>
        <v>530398</v>
      </c>
      <c r="B10438" s="3" t="s">
        <v>52807</v>
      </c>
      <c r="C10438" s="3" t="s">
        <v>31</v>
      </c>
      <c r="D10438" s="3" t="s">
        <v>32</v>
      </c>
      <c r="E10438" s="4" t="s">
        <v>22</v>
      </c>
      <c r="F10438" s="4" t="s">
        <v>52808</v>
      </c>
      <c r="G10438" s="4" t="s">
        <v>52809</v>
      </c>
      <c r="H10438" s="3" t="s">
        <v>50910</v>
      </c>
      <c r="I10438" s="3" t="s">
        <v>52810</v>
      </c>
      <c r="J10438" s="3" t="s">
        <v>52811</v>
      </c>
      <c r="K10438" s="3" t="s">
        <v>52812</v>
      </c>
      <c r="L10438" s="3"/>
      <c r="M10438" s="4"/>
      <c r="N10438" s="3" t="s">
        <v>37</v>
      </c>
      <c r="O10438" s="3" t="s">
        <v>52</v>
      </c>
      <c r="P10438" s="5">
        <v>11</v>
      </c>
      <c r="Q10438" s="5">
        <v>93</v>
      </c>
      <c r="R10438" s="5">
        <v>11</v>
      </c>
      <c r="S10438" s="5">
        <v>95</v>
      </c>
    </row>
    <row r="10439" spans="1:19" ht="42" x14ac:dyDescent="0.15">
      <c r="A10439" s="2">
        <f>HYPERLINK("https://open-school.uspishnemisto.com.ua/school/530399/", 530399)</f>
        <v>530399</v>
      </c>
      <c r="B10439" s="3" t="s">
        <v>52813</v>
      </c>
      <c r="C10439" s="3" t="s">
        <v>181</v>
      </c>
      <c r="D10439" s="3" t="s">
        <v>175</v>
      </c>
      <c r="E10439" s="4" t="s">
        <v>22</v>
      </c>
      <c r="F10439" s="4" t="s">
        <v>52808</v>
      </c>
      <c r="G10439" s="4" t="s">
        <v>52809</v>
      </c>
      <c r="H10439" s="3" t="s">
        <v>50910</v>
      </c>
      <c r="I10439" s="3" t="s">
        <v>52810</v>
      </c>
      <c r="J10439" s="3" t="s">
        <v>52814</v>
      </c>
      <c r="K10439" s="3" t="s">
        <v>52815</v>
      </c>
      <c r="L10439" s="3"/>
      <c r="M10439" s="4" t="s">
        <v>52816</v>
      </c>
      <c r="N10439" s="3" t="s">
        <v>37</v>
      </c>
      <c r="O10439" s="3"/>
      <c r="P10439" s="5">
        <v>11</v>
      </c>
      <c r="Q10439" s="5">
        <v>89</v>
      </c>
      <c r="R10439" s="5">
        <v>11</v>
      </c>
      <c r="S10439" s="5">
        <v>87</v>
      </c>
    </row>
    <row r="10440" spans="1:19" ht="42" x14ac:dyDescent="0.15">
      <c r="A10440" s="2">
        <f>HYPERLINK("https://open-school.uspishnemisto.com.ua/school/530400/", 530400)</f>
        <v>530400</v>
      </c>
      <c r="B10440" s="3" t="s">
        <v>52817</v>
      </c>
      <c r="C10440" s="3" t="s">
        <v>54</v>
      </c>
      <c r="D10440" s="3" t="s">
        <v>60</v>
      </c>
      <c r="E10440" s="4" t="s">
        <v>22</v>
      </c>
      <c r="F10440" s="4" t="s">
        <v>52818</v>
      </c>
      <c r="G10440" s="4" t="s">
        <v>52819</v>
      </c>
      <c r="H10440" s="3" t="s">
        <v>50910</v>
      </c>
      <c r="I10440" s="3" t="s">
        <v>725</v>
      </c>
      <c r="J10440" s="3" t="s">
        <v>15835</v>
      </c>
      <c r="K10440" s="3" t="s">
        <v>52820</v>
      </c>
      <c r="L10440" s="3"/>
      <c r="M10440" s="4" t="s">
        <v>52821</v>
      </c>
      <c r="N10440" s="3" t="s">
        <v>37</v>
      </c>
      <c r="O10440" s="3" t="s">
        <v>52</v>
      </c>
      <c r="P10440" s="5">
        <v>1</v>
      </c>
      <c r="Q10440" s="5">
        <v>17</v>
      </c>
      <c r="R10440" s="5">
        <v>1</v>
      </c>
      <c r="S10440" s="5">
        <v>13</v>
      </c>
    </row>
    <row r="10441" spans="1:19" ht="28" x14ac:dyDescent="0.15">
      <c r="A10441" s="2">
        <f>HYPERLINK("https://open-school.uspishnemisto.com.ua/school/530401/", 530401)</f>
        <v>530401</v>
      </c>
      <c r="B10441" s="3" t="s">
        <v>52822</v>
      </c>
      <c r="C10441" s="3" t="s">
        <v>31</v>
      </c>
      <c r="D10441" s="3" t="s">
        <v>32</v>
      </c>
      <c r="E10441" s="4" t="s">
        <v>22</v>
      </c>
      <c r="F10441" s="4" t="s">
        <v>52823</v>
      </c>
      <c r="G10441" s="4" t="s">
        <v>52824</v>
      </c>
      <c r="H10441" s="3" t="s">
        <v>50910</v>
      </c>
      <c r="I10441" s="3" t="s">
        <v>52825</v>
      </c>
      <c r="J10441" s="3" t="s">
        <v>52826</v>
      </c>
      <c r="K10441" s="3" t="s">
        <v>52827</v>
      </c>
      <c r="L10441" s="3" t="s">
        <v>52828</v>
      </c>
      <c r="M10441" s="4" t="s">
        <v>52829</v>
      </c>
      <c r="N10441" s="3" t="s">
        <v>37</v>
      </c>
      <c r="O10441" s="3" t="s">
        <v>38</v>
      </c>
      <c r="P10441" s="5">
        <v>11</v>
      </c>
      <c r="Q10441" s="5">
        <v>111</v>
      </c>
      <c r="R10441" s="5">
        <v>11</v>
      </c>
      <c r="S10441" s="5">
        <v>108</v>
      </c>
    </row>
    <row r="10442" spans="1:19" ht="28" x14ac:dyDescent="0.15">
      <c r="A10442" s="2">
        <f>HYPERLINK("https://open-school.uspishnemisto.com.ua/school/530402/", 530402)</f>
        <v>530402</v>
      </c>
      <c r="B10442" s="3" t="s">
        <v>52830</v>
      </c>
      <c r="C10442" s="3" t="s">
        <v>188</v>
      </c>
      <c r="D10442" s="3" t="s">
        <v>32</v>
      </c>
      <c r="E10442" s="4" t="s">
        <v>22</v>
      </c>
      <c r="F10442" s="4" t="s">
        <v>52831</v>
      </c>
      <c r="G10442" s="4" t="s">
        <v>52832</v>
      </c>
      <c r="H10442" s="3" t="s">
        <v>50910</v>
      </c>
      <c r="I10442" s="3" t="s">
        <v>52833</v>
      </c>
      <c r="J10442" s="3" t="s">
        <v>52834</v>
      </c>
      <c r="K10442" s="3" t="s">
        <v>52835</v>
      </c>
      <c r="L10442" s="3"/>
      <c r="M10442" s="4" t="s">
        <v>52836</v>
      </c>
      <c r="N10442" s="3" t="s">
        <v>37</v>
      </c>
      <c r="O10442" s="3" t="s">
        <v>70</v>
      </c>
      <c r="P10442" s="5">
        <v>11</v>
      </c>
      <c r="Q10442" s="5">
        <v>147</v>
      </c>
      <c r="R10442" s="5">
        <v>11</v>
      </c>
      <c r="S10442" s="5">
        <v>135</v>
      </c>
    </row>
    <row r="10443" spans="1:19" ht="28" x14ac:dyDescent="0.15">
      <c r="A10443" s="2">
        <f>HYPERLINK("https://open-school.uspishnemisto.com.ua/school/530403/", 530403)</f>
        <v>530403</v>
      </c>
      <c r="B10443" s="3" t="s">
        <v>52837</v>
      </c>
      <c r="C10443" s="3" t="s">
        <v>31</v>
      </c>
      <c r="D10443" s="3" t="s">
        <v>32</v>
      </c>
      <c r="E10443" s="4" t="s">
        <v>22</v>
      </c>
      <c r="F10443" s="4" t="s">
        <v>52838</v>
      </c>
      <c r="G10443" s="4" t="s">
        <v>52839</v>
      </c>
      <c r="H10443" s="3" t="s">
        <v>50910</v>
      </c>
      <c r="I10443" s="3" t="s">
        <v>52840</v>
      </c>
      <c r="J10443" s="3" t="s">
        <v>13165</v>
      </c>
      <c r="K10443" s="3" t="s">
        <v>52841</v>
      </c>
      <c r="L10443" s="3" t="s">
        <v>52842</v>
      </c>
      <c r="M10443" s="4" t="s">
        <v>52843</v>
      </c>
      <c r="N10443" s="3" t="s">
        <v>37</v>
      </c>
      <c r="O10443" s="3" t="s">
        <v>38</v>
      </c>
      <c r="P10443" s="5">
        <v>11</v>
      </c>
      <c r="Q10443" s="5">
        <v>162</v>
      </c>
      <c r="R10443" s="5">
        <v>11</v>
      </c>
      <c r="S10443" s="5">
        <v>147</v>
      </c>
    </row>
    <row r="10444" spans="1:19" ht="28" x14ac:dyDescent="0.15">
      <c r="A10444" s="2">
        <f>HYPERLINK("https://open-school.uspishnemisto.com.ua/school/530404/", 530404)</f>
        <v>530404</v>
      </c>
      <c r="B10444" s="3" t="s">
        <v>52844</v>
      </c>
      <c r="C10444" s="3" t="s">
        <v>31</v>
      </c>
      <c r="D10444" s="3" t="s">
        <v>175</v>
      </c>
      <c r="E10444" s="4" t="s">
        <v>22</v>
      </c>
      <c r="F10444" s="4" t="s">
        <v>52845</v>
      </c>
      <c r="G10444" s="4" t="s">
        <v>52846</v>
      </c>
      <c r="H10444" s="3" t="s">
        <v>50910</v>
      </c>
      <c r="I10444" s="3" t="s">
        <v>17799</v>
      </c>
      <c r="J10444" s="3" t="s">
        <v>52847</v>
      </c>
      <c r="K10444" s="3" t="s">
        <v>52848</v>
      </c>
      <c r="L10444" s="3" t="s">
        <v>52849</v>
      </c>
      <c r="M10444" s="4" t="s">
        <v>52850</v>
      </c>
      <c r="N10444" s="3" t="s">
        <v>37</v>
      </c>
      <c r="O10444" s="3" t="s">
        <v>38</v>
      </c>
      <c r="P10444" s="5">
        <v>6</v>
      </c>
      <c r="Q10444" s="5">
        <v>48</v>
      </c>
      <c r="R10444" s="5">
        <v>5</v>
      </c>
      <c r="S10444" s="5">
        <v>45</v>
      </c>
    </row>
    <row r="10445" spans="1:19" ht="28" x14ac:dyDescent="0.15">
      <c r="A10445" s="2">
        <f>HYPERLINK("https://open-school.uspishnemisto.com.ua/school/530405/", 530405)</f>
        <v>530405</v>
      </c>
      <c r="B10445" s="3" t="s">
        <v>52851</v>
      </c>
      <c r="C10445" s="3" t="s">
        <v>31</v>
      </c>
      <c r="D10445" s="3" t="s">
        <v>32</v>
      </c>
      <c r="E10445" s="4" t="s">
        <v>22</v>
      </c>
      <c r="F10445" s="4" t="s">
        <v>52852</v>
      </c>
      <c r="G10445" s="4" t="s">
        <v>52853</v>
      </c>
      <c r="H10445" s="3" t="s">
        <v>50910</v>
      </c>
      <c r="I10445" s="3" t="s">
        <v>52854</v>
      </c>
      <c r="J10445" s="3" t="s">
        <v>52855</v>
      </c>
      <c r="K10445" s="3" t="s">
        <v>52856</v>
      </c>
      <c r="L10445" s="3" t="s">
        <v>52857</v>
      </c>
      <c r="M10445" s="4" t="s">
        <v>52858</v>
      </c>
      <c r="N10445" s="3" t="s">
        <v>37</v>
      </c>
      <c r="O10445" s="3" t="s">
        <v>38</v>
      </c>
      <c r="P10445" s="5">
        <v>11</v>
      </c>
      <c r="Q10445" s="5">
        <v>112</v>
      </c>
      <c r="R10445" s="5">
        <v>11</v>
      </c>
      <c r="S10445" s="5">
        <v>117</v>
      </c>
    </row>
    <row r="10446" spans="1:19" ht="28" x14ac:dyDescent="0.15">
      <c r="A10446" s="2">
        <f>HYPERLINK("https://open-school.uspishnemisto.com.ua/school/530406/", 530406)</f>
        <v>530406</v>
      </c>
      <c r="B10446" s="3" t="s">
        <v>52859</v>
      </c>
      <c r="C10446" s="3" t="s">
        <v>31</v>
      </c>
      <c r="D10446" s="3" t="s">
        <v>175</v>
      </c>
      <c r="E10446" s="4" t="s">
        <v>22</v>
      </c>
      <c r="F10446" s="4" t="s">
        <v>52860</v>
      </c>
      <c r="G10446" s="4" t="s">
        <v>52861</v>
      </c>
      <c r="H10446" s="3" t="s">
        <v>50910</v>
      </c>
      <c r="I10446" s="3" t="s">
        <v>52862</v>
      </c>
      <c r="J10446" s="3" t="s">
        <v>52863</v>
      </c>
      <c r="K10446" s="3" t="s">
        <v>52864</v>
      </c>
      <c r="L10446" s="3"/>
      <c r="M10446" s="4" t="s">
        <v>52865</v>
      </c>
      <c r="N10446" s="3" t="s">
        <v>37</v>
      </c>
      <c r="O10446" s="3" t="s">
        <v>38</v>
      </c>
      <c r="P10446" s="5">
        <v>6</v>
      </c>
      <c r="Q10446" s="5">
        <v>45</v>
      </c>
      <c r="R10446" s="5">
        <v>6</v>
      </c>
      <c r="S10446" s="5">
        <v>42</v>
      </c>
    </row>
    <row r="10447" spans="1:19" ht="28" x14ac:dyDescent="0.15">
      <c r="A10447" s="2">
        <f>HYPERLINK("https://open-school.uspishnemisto.com.ua/school/530407/", 530407)</f>
        <v>530407</v>
      </c>
      <c r="B10447" s="3" t="s">
        <v>52866</v>
      </c>
      <c r="C10447" s="3" t="s">
        <v>31</v>
      </c>
      <c r="D10447" s="3" t="s">
        <v>32</v>
      </c>
      <c r="E10447" s="4" t="s">
        <v>22</v>
      </c>
      <c r="F10447" s="4" t="s">
        <v>52867</v>
      </c>
      <c r="G10447" s="4" t="s">
        <v>52868</v>
      </c>
      <c r="H10447" s="3" t="s">
        <v>50910</v>
      </c>
      <c r="I10447" s="3" t="s">
        <v>52869</v>
      </c>
      <c r="J10447" s="3" t="s">
        <v>52870</v>
      </c>
      <c r="K10447" s="3" t="s">
        <v>52871</v>
      </c>
      <c r="L10447" s="3"/>
      <c r="M10447" s="4" t="s">
        <v>52872</v>
      </c>
      <c r="N10447" s="3" t="s">
        <v>37</v>
      </c>
      <c r="O10447" s="3" t="s">
        <v>38</v>
      </c>
      <c r="P10447" s="5">
        <v>8</v>
      </c>
      <c r="Q10447" s="5">
        <v>51</v>
      </c>
      <c r="R10447" s="5">
        <v>8</v>
      </c>
      <c r="S10447" s="5">
        <v>49</v>
      </c>
    </row>
    <row r="10448" spans="1:19" ht="28" x14ac:dyDescent="0.15">
      <c r="A10448" s="2">
        <f>HYPERLINK("https://open-school.uspishnemisto.com.ua/school/530408/", 530408)</f>
        <v>530408</v>
      </c>
      <c r="B10448" s="3" t="s">
        <v>52873</v>
      </c>
      <c r="C10448" s="3" t="s">
        <v>54</v>
      </c>
      <c r="D10448" s="3" t="s">
        <v>32</v>
      </c>
      <c r="E10448" s="4" t="s">
        <v>22</v>
      </c>
      <c r="F10448" s="4" t="s">
        <v>52874</v>
      </c>
      <c r="G10448" s="4" t="s">
        <v>52875</v>
      </c>
      <c r="H10448" s="3" t="s">
        <v>50910</v>
      </c>
      <c r="I10448" s="3" t="s">
        <v>52876</v>
      </c>
      <c r="J10448" s="3" t="s">
        <v>52877</v>
      </c>
      <c r="K10448" s="3" t="s">
        <v>52878</v>
      </c>
      <c r="L10448" s="3"/>
      <c r="M10448" s="4" t="s">
        <v>52879</v>
      </c>
      <c r="N10448" s="3" t="s">
        <v>37</v>
      </c>
      <c r="O10448" s="3" t="s">
        <v>38</v>
      </c>
      <c r="P10448" s="5">
        <v>11</v>
      </c>
      <c r="Q10448" s="5">
        <v>97</v>
      </c>
      <c r="R10448" s="5">
        <v>11</v>
      </c>
      <c r="S10448" s="5">
        <v>94</v>
      </c>
    </row>
    <row r="10449" spans="1:19" ht="28" x14ac:dyDescent="0.15">
      <c r="A10449" s="2">
        <f>HYPERLINK("https://open-school.uspishnemisto.com.ua/school/530409/", 530409)</f>
        <v>530409</v>
      </c>
      <c r="B10449" s="3" t="s">
        <v>52880</v>
      </c>
      <c r="C10449" s="3" t="s">
        <v>31</v>
      </c>
      <c r="D10449" s="3" t="s">
        <v>32</v>
      </c>
      <c r="E10449" s="4" t="s">
        <v>22</v>
      </c>
      <c r="F10449" s="4" t="s">
        <v>52881</v>
      </c>
      <c r="G10449" s="4" t="s">
        <v>52882</v>
      </c>
      <c r="H10449" s="3" t="s">
        <v>50910</v>
      </c>
      <c r="I10449" s="3" t="s">
        <v>52747</v>
      </c>
      <c r="J10449" s="3" t="s">
        <v>52883</v>
      </c>
      <c r="K10449" s="3" t="s">
        <v>52884</v>
      </c>
      <c r="L10449" s="3"/>
      <c r="M10449" s="4" t="s">
        <v>52885</v>
      </c>
      <c r="N10449" s="3" t="s">
        <v>37</v>
      </c>
      <c r="O10449" s="3" t="s">
        <v>38</v>
      </c>
      <c r="P10449" s="5">
        <v>11</v>
      </c>
      <c r="Q10449" s="5">
        <v>79</v>
      </c>
      <c r="R10449" s="5">
        <v>11</v>
      </c>
      <c r="S10449" s="5">
        <v>85</v>
      </c>
    </row>
    <row r="10450" spans="1:19" ht="42" x14ac:dyDescent="0.15">
      <c r="A10450" s="2">
        <f>HYPERLINK("https://open-school.uspishnemisto.com.ua/school/530410/", 530410)</f>
        <v>530410</v>
      </c>
      <c r="B10450" s="3" t="s">
        <v>52886</v>
      </c>
      <c r="C10450" s="3" t="s">
        <v>31</v>
      </c>
      <c r="D10450" s="3" t="s">
        <v>32</v>
      </c>
      <c r="E10450" s="4" t="s">
        <v>22</v>
      </c>
      <c r="F10450" s="4" t="s">
        <v>52887</v>
      </c>
      <c r="G10450" s="4" t="s">
        <v>52888</v>
      </c>
      <c r="H10450" s="3" t="s">
        <v>50910</v>
      </c>
      <c r="I10450" s="3" t="s">
        <v>52889</v>
      </c>
      <c r="J10450" s="3" t="s">
        <v>52890</v>
      </c>
      <c r="K10450" s="3" t="s">
        <v>52891</v>
      </c>
      <c r="L10450" s="3"/>
      <c r="M10450" s="4" t="s">
        <v>52892</v>
      </c>
      <c r="N10450" s="3" t="s">
        <v>37</v>
      </c>
      <c r="O10450" s="3" t="s">
        <v>38</v>
      </c>
      <c r="P10450" s="5">
        <v>11</v>
      </c>
      <c r="Q10450" s="5">
        <v>127</v>
      </c>
      <c r="R10450" s="5">
        <v>11</v>
      </c>
      <c r="S10450" s="5">
        <v>125</v>
      </c>
    </row>
    <row r="10451" spans="1:19" ht="28" x14ac:dyDescent="0.15">
      <c r="A10451" s="2">
        <f>HYPERLINK("https://open-school.uspishnemisto.com.ua/school/530411/", 530411)</f>
        <v>530411</v>
      </c>
      <c r="B10451" s="3" t="s">
        <v>52893</v>
      </c>
      <c r="C10451" s="3" t="s">
        <v>31</v>
      </c>
      <c r="D10451" s="3" t="s">
        <v>32</v>
      </c>
      <c r="E10451" s="4" t="s">
        <v>22</v>
      </c>
      <c r="F10451" s="4" t="s">
        <v>52894</v>
      </c>
      <c r="G10451" s="4" t="s">
        <v>52895</v>
      </c>
      <c r="H10451" s="3" t="s">
        <v>50910</v>
      </c>
      <c r="I10451" s="3" t="s">
        <v>52896</v>
      </c>
      <c r="J10451" s="3" t="s">
        <v>2052</v>
      </c>
      <c r="K10451" s="3" t="s">
        <v>52897</v>
      </c>
      <c r="L10451" s="3"/>
      <c r="M10451" s="4" t="s">
        <v>52898</v>
      </c>
      <c r="N10451" s="3" t="s">
        <v>37</v>
      </c>
      <c r="O10451" s="3" t="s">
        <v>70</v>
      </c>
      <c r="P10451" s="5">
        <v>11</v>
      </c>
      <c r="Q10451" s="5">
        <v>84</v>
      </c>
      <c r="R10451" s="5">
        <v>10</v>
      </c>
      <c r="S10451" s="5">
        <v>80</v>
      </c>
    </row>
    <row r="10452" spans="1:19" ht="28" x14ac:dyDescent="0.15">
      <c r="A10452" s="2">
        <f>HYPERLINK("https://open-school.uspishnemisto.com.ua/school/530412/", 530412)</f>
        <v>530412</v>
      </c>
      <c r="B10452" s="3" t="s">
        <v>52899</v>
      </c>
      <c r="C10452" s="3" t="s">
        <v>31</v>
      </c>
      <c r="D10452" s="3" t="s">
        <v>32</v>
      </c>
      <c r="E10452" s="4" t="s">
        <v>22</v>
      </c>
      <c r="F10452" s="4" t="s">
        <v>52900</v>
      </c>
      <c r="G10452" s="4" t="s">
        <v>52901</v>
      </c>
      <c r="H10452" s="3" t="s">
        <v>50910</v>
      </c>
      <c r="I10452" s="3" t="s">
        <v>52902</v>
      </c>
      <c r="J10452" s="3" t="s">
        <v>28919</v>
      </c>
      <c r="K10452" s="3" t="s">
        <v>52903</v>
      </c>
      <c r="L10452" s="3"/>
      <c r="M10452" s="4" t="s">
        <v>52904</v>
      </c>
      <c r="N10452" s="3" t="s">
        <v>37</v>
      </c>
      <c r="O10452" s="3" t="s">
        <v>38</v>
      </c>
      <c r="P10452" s="5">
        <v>5</v>
      </c>
      <c r="Q10452" s="5">
        <v>34</v>
      </c>
      <c r="R10452" s="5">
        <v>6</v>
      </c>
      <c r="S10452" s="5">
        <v>45</v>
      </c>
    </row>
    <row r="10453" spans="1:19" ht="28" x14ac:dyDescent="0.15">
      <c r="A10453" s="2">
        <f>HYPERLINK("https://open-school.uspishnemisto.com.ua/school/530413/", 530413)</f>
        <v>530413</v>
      </c>
      <c r="B10453" s="3" t="s">
        <v>52905</v>
      </c>
      <c r="C10453" s="3" t="s">
        <v>31</v>
      </c>
      <c r="D10453" s="3" t="s">
        <v>175</v>
      </c>
      <c r="E10453" s="4" t="s">
        <v>22</v>
      </c>
      <c r="F10453" s="4" t="s">
        <v>52906</v>
      </c>
      <c r="G10453" s="4" t="s">
        <v>52907</v>
      </c>
      <c r="H10453" s="3" t="s">
        <v>50910</v>
      </c>
      <c r="I10453" s="3" t="s">
        <v>2079</v>
      </c>
      <c r="J10453" s="3" t="s">
        <v>5432</v>
      </c>
      <c r="K10453" s="3" t="s">
        <v>52908</v>
      </c>
      <c r="L10453" s="3" t="s">
        <v>52909</v>
      </c>
      <c r="M10453" s="4" t="s">
        <v>52910</v>
      </c>
      <c r="N10453" s="3" t="s">
        <v>37</v>
      </c>
      <c r="O10453" s="3" t="s">
        <v>38</v>
      </c>
      <c r="P10453" s="5">
        <v>8</v>
      </c>
      <c r="Q10453" s="5">
        <v>57</v>
      </c>
      <c r="R10453" s="5">
        <v>7</v>
      </c>
      <c r="S10453" s="5">
        <v>54</v>
      </c>
    </row>
    <row r="10454" spans="1:19" ht="42" x14ac:dyDescent="0.15">
      <c r="A10454" s="2">
        <f>HYPERLINK("https://open-school.uspishnemisto.com.ua/school/530414/", 530414)</f>
        <v>530414</v>
      </c>
      <c r="B10454" s="3" t="s">
        <v>52911</v>
      </c>
      <c r="C10454" s="3" t="s">
        <v>31</v>
      </c>
      <c r="D10454" s="3" t="s">
        <v>32</v>
      </c>
      <c r="E10454" s="4" t="s">
        <v>22</v>
      </c>
      <c r="F10454" s="4" t="s">
        <v>52912</v>
      </c>
      <c r="G10454" s="4" t="s">
        <v>52913</v>
      </c>
      <c r="H10454" s="3" t="s">
        <v>50910</v>
      </c>
      <c r="I10454" s="3" t="s">
        <v>52914</v>
      </c>
      <c r="J10454" s="3" t="s">
        <v>52117</v>
      </c>
      <c r="K10454" s="3" t="s">
        <v>52915</v>
      </c>
      <c r="L10454" s="3" t="s">
        <v>52916</v>
      </c>
      <c r="M10454" s="4" t="s">
        <v>52917</v>
      </c>
      <c r="N10454" s="3" t="s">
        <v>37</v>
      </c>
      <c r="O10454" s="3" t="s">
        <v>38</v>
      </c>
      <c r="P10454" s="5">
        <v>10</v>
      </c>
      <c r="Q10454" s="5">
        <v>124</v>
      </c>
      <c r="R10454" s="5">
        <v>11</v>
      </c>
      <c r="S10454" s="5">
        <v>121</v>
      </c>
    </row>
    <row r="10455" spans="1:19" ht="28" x14ac:dyDescent="0.15">
      <c r="A10455" s="2">
        <f>HYPERLINK("https://open-school.uspishnemisto.com.ua/school/530415/", 530415)</f>
        <v>530415</v>
      </c>
      <c r="B10455" s="3" t="s">
        <v>52918</v>
      </c>
      <c r="C10455" s="3" t="s">
        <v>31</v>
      </c>
      <c r="D10455" s="3" t="s">
        <v>32</v>
      </c>
      <c r="E10455" s="4" t="s">
        <v>22</v>
      </c>
      <c r="F10455" s="4" t="s">
        <v>3878</v>
      </c>
      <c r="G10455" s="4" t="s">
        <v>52919</v>
      </c>
      <c r="H10455" s="3" t="s">
        <v>50910</v>
      </c>
      <c r="I10455" s="3" t="s">
        <v>17940</v>
      </c>
      <c r="J10455" s="3" t="s">
        <v>52920</v>
      </c>
      <c r="K10455" s="3" t="s">
        <v>52921</v>
      </c>
      <c r="L10455" s="3"/>
      <c r="M10455" s="4" t="s">
        <v>52922</v>
      </c>
      <c r="N10455" s="3" t="s">
        <v>37</v>
      </c>
      <c r="O10455" s="3" t="s">
        <v>38</v>
      </c>
      <c r="P10455" s="5">
        <v>10</v>
      </c>
      <c r="Q10455" s="5">
        <v>83</v>
      </c>
      <c r="R10455" s="5">
        <v>10</v>
      </c>
      <c r="S10455" s="5">
        <v>91</v>
      </c>
    </row>
    <row r="10456" spans="1:19" ht="28" x14ac:dyDescent="0.15">
      <c r="A10456" s="2">
        <f>HYPERLINK("https://open-school.uspishnemisto.com.ua/school/530416/", 530416)</f>
        <v>530416</v>
      </c>
      <c r="B10456" s="3" t="s">
        <v>52923</v>
      </c>
      <c r="C10456" s="3" t="s">
        <v>31</v>
      </c>
      <c r="D10456" s="3" t="s">
        <v>32</v>
      </c>
      <c r="E10456" s="4" t="s">
        <v>22</v>
      </c>
      <c r="F10456" s="4" t="s">
        <v>52924</v>
      </c>
      <c r="G10456" s="4" t="s">
        <v>52925</v>
      </c>
      <c r="H10456" s="3" t="s">
        <v>50910</v>
      </c>
      <c r="I10456" s="3" t="s">
        <v>52926</v>
      </c>
      <c r="J10456" s="3" t="s">
        <v>52927</v>
      </c>
      <c r="K10456" s="3" t="s">
        <v>52928</v>
      </c>
      <c r="L10456" s="3"/>
      <c r="M10456" s="4" t="s">
        <v>52929</v>
      </c>
      <c r="N10456" s="3" t="s">
        <v>37</v>
      </c>
      <c r="O10456" s="3" t="s">
        <v>38</v>
      </c>
      <c r="P10456" s="5">
        <v>11</v>
      </c>
      <c r="Q10456" s="5">
        <v>190</v>
      </c>
      <c r="R10456" s="5">
        <v>11</v>
      </c>
      <c r="S10456" s="5">
        <v>195</v>
      </c>
    </row>
    <row r="10457" spans="1:19" ht="42" x14ac:dyDescent="0.15">
      <c r="A10457" s="2">
        <f>HYPERLINK("https://open-school.uspishnemisto.com.ua/school/530417/", 530417)</f>
        <v>530417</v>
      </c>
      <c r="B10457" s="3" t="s">
        <v>52930</v>
      </c>
      <c r="C10457" s="3" t="s">
        <v>31</v>
      </c>
      <c r="D10457" s="3" t="s">
        <v>32</v>
      </c>
      <c r="E10457" s="4" t="s">
        <v>22</v>
      </c>
      <c r="F10457" s="4" t="s">
        <v>52931</v>
      </c>
      <c r="G10457" s="4" t="s">
        <v>52932</v>
      </c>
      <c r="H10457" s="3" t="s">
        <v>50910</v>
      </c>
      <c r="I10457" s="3" t="s">
        <v>48728</v>
      </c>
      <c r="J10457" s="3" t="s">
        <v>52933</v>
      </c>
      <c r="K10457" s="3" t="s">
        <v>52934</v>
      </c>
      <c r="L10457" s="3"/>
      <c r="M10457" s="4" t="s">
        <v>52935</v>
      </c>
      <c r="N10457" s="3" t="s">
        <v>37</v>
      </c>
      <c r="O10457" s="3" t="s">
        <v>38</v>
      </c>
      <c r="P10457" s="5">
        <v>11</v>
      </c>
      <c r="Q10457" s="5">
        <v>118</v>
      </c>
      <c r="R10457" s="5">
        <v>11</v>
      </c>
      <c r="S10457" s="5">
        <v>120</v>
      </c>
    </row>
    <row r="10458" spans="1:19" ht="28" x14ac:dyDescent="0.15">
      <c r="A10458" s="2">
        <f>HYPERLINK("https://open-school.uspishnemisto.com.ua/school/530418/", 530418)</f>
        <v>530418</v>
      </c>
      <c r="B10458" s="3" t="s">
        <v>52936</v>
      </c>
      <c r="C10458" s="3" t="s">
        <v>31</v>
      </c>
      <c r="D10458" s="3" t="s">
        <v>32</v>
      </c>
      <c r="E10458" s="4" t="s">
        <v>22</v>
      </c>
      <c r="F10458" s="4" t="s">
        <v>52937</v>
      </c>
      <c r="G10458" s="4" t="s">
        <v>52938</v>
      </c>
      <c r="H10458" s="3" t="s">
        <v>50910</v>
      </c>
      <c r="I10458" s="3" t="s">
        <v>52939</v>
      </c>
      <c r="J10458" s="3" t="s">
        <v>946</v>
      </c>
      <c r="K10458" s="3" t="s">
        <v>52940</v>
      </c>
      <c r="L10458" s="3" t="s">
        <v>52941</v>
      </c>
      <c r="M10458" s="4" t="s">
        <v>52942</v>
      </c>
      <c r="N10458" s="3" t="s">
        <v>37</v>
      </c>
      <c r="O10458" s="3" t="s">
        <v>38</v>
      </c>
      <c r="P10458" s="5">
        <v>8</v>
      </c>
      <c r="Q10458" s="5">
        <v>65</v>
      </c>
      <c r="R10458" s="5">
        <v>9</v>
      </c>
      <c r="S10458" s="5">
        <v>59</v>
      </c>
    </row>
    <row r="10459" spans="1:19" ht="42" x14ac:dyDescent="0.15">
      <c r="A10459" s="2">
        <f>HYPERLINK("https://open-school.uspishnemisto.com.ua/school/530419/", 530419)</f>
        <v>530419</v>
      </c>
      <c r="B10459" s="3" t="s">
        <v>52943</v>
      </c>
      <c r="C10459" s="3" t="s">
        <v>31</v>
      </c>
      <c r="D10459" s="3" t="s">
        <v>32</v>
      </c>
      <c r="E10459" s="4" t="s">
        <v>22</v>
      </c>
      <c r="F10459" s="4" t="s">
        <v>52944</v>
      </c>
      <c r="G10459" s="4" t="s">
        <v>52945</v>
      </c>
      <c r="H10459" s="3" t="s">
        <v>50910</v>
      </c>
      <c r="I10459" s="3" t="s">
        <v>52946</v>
      </c>
      <c r="J10459" s="3" t="s">
        <v>52947</v>
      </c>
      <c r="K10459" s="3" t="s">
        <v>52948</v>
      </c>
      <c r="L10459" s="3"/>
      <c r="M10459" s="4" t="s">
        <v>52949</v>
      </c>
      <c r="N10459" s="3" t="s">
        <v>37</v>
      </c>
      <c r="O10459" s="3" t="s">
        <v>38</v>
      </c>
      <c r="P10459" s="5">
        <v>21</v>
      </c>
      <c r="Q10459" s="5">
        <v>432</v>
      </c>
      <c r="R10459" s="5">
        <v>20</v>
      </c>
      <c r="S10459" s="5">
        <v>422</v>
      </c>
    </row>
    <row r="10460" spans="1:19" ht="42" x14ac:dyDescent="0.15">
      <c r="A10460" s="2">
        <f>HYPERLINK("https://open-school.uspishnemisto.com.ua/school/530420/", 530420)</f>
        <v>530420</v>
      </c>
      <c r="B10460" s="3" t="s">
        <v>52950</v>
      </c>
      <c r="C10460" s="3" t="s">
        <v>31</v>
      </c>
      <c r="D10460" s="3" t="s">
        <v>32</v>
      </c>
      <c r="E10460" s="4" t="s">
        <v>22</v>
      </c>
      <c r="F10460" s="4" t="s">
        <v>52951</v>
      </c>
      <c r="G10460" s="4" t="s">
        <v>52952</v>
      </c>
      <c r="H10460" s="3" t="s">
        <v>50910</v>
      </c>
      <c r="I10460" s="3" t="s">
        <v>52953</v>
      </c>
      <c r="J10460" s="3" t="s">
        <v>17503</v>
      </c>
      <c r="K10460" s="3" t="s">
        <v>52954</v>
      </c>
      <c r="L10460" s="3"/>
      <c r="M10460" s="4" t="s">
        <v>52955</v>
      </c>
      <c r="N10460" s="3" t="s">
        <v>37</v>
      </c>
      <c r="O10460" s="3" t="s">
        <v>38</v>
      </c>
      <c r="P10460" s="5">
        <v>11</v>
      </c>
      <c r="Q10460" s="5">
        <v>135</v>
      </c>
      <c r="R10460" s="5">
        <v>11</v>
      </c>
      <c r="S10460" s="5">
        <v>127</v>
      </c>
    </row>
    <row r="10461" spans="1:19" ht="28" x14ac:dyDescent="0.15">
      <c r="A10461" s="2">
        <f>HYPERLINK("https://open-school.uspishnemisto.com.ua/school/530421/", 530421)</f>
        <v>530421</v>
      </c>
      <c r="B10461" s="3" t="s">
        <v>52956</v>
      </c>
      <c r="C10461" s="3" t="s">
        <v>31</v>
      </c>
      <c r="D10461" s="3" t="s">
        <v>32</v>
      </c>
      <c r="E10461" s="4" t="s">
        <v>22</v>
      </c>
      <c r="F10461" s="4" t="s">
        <v>52957</v>
      </c>
      <c r="G10461" s="4" t="s">
        <v>52958</v>
      </c>
      <c r="H10461" s="3" t="s">
        <v>50910</v>
      </c>
      <c r="I10461" s="3" t="s">
        <v>52959</v>
      </c>
      <c r="J10461" s="3" t="s">
        <v>5948</v>
      </c>
      <c r="K10461" s="3" t="s">
        <v>52960</v>
      </c>
      <c r="L10461" s="3"/>
      <c r="M10461" s="4" t="s">
        <v>52961</v>
      </c>
      <c r="N10461" s="3" t="s">
        <v>37</v>
      </c>
      <c r="O10461" s="3" t="s">
        <v>38</v>
      </c>
      <c r="P10461" s="5">
        <v>4</v>
      </c>
      <c r="Q10461" s="5">
        <v>34</v>
      </c>
      <c r="R10461" s="5">
        <v>5</v>
      </c>
      <c r="S10461" s="5">
        <v>43</v>
      </c>
    </row>
    <row r="10462" spans="1:19" ht="28" x14ac:dyDescent="0.15">
      <c r="A10462" s="2">
        <f>HYPERLINK("https://open-school.uspishnemisto.com.ua/school/530422/", 530422)</f>
        <v>530422</v>
      </c>
      <c r="B10462" s="3" t="s">
        <v>52962</v>
      </c>
      <c r="C10462" s="3" t="s">
        <v>20</v>
      </c>
      <c r="D10462" s="3" t="s">
        <v>21</v>
      </c>
      <c r="E10462" s="4" t="s">
        <v>22</v>
      </c>
      <c r="F10462" s="4" t="s">
        <v>52963</v>
      </c>
      <c r="G10462" s="4" t="s">
        <v>52964</v>
      </c>
      <c r="H10462" s="3" t="s">
        <v>50910</v>
      </c>
      <c r="I10462" s="3" t="s">
        <v>52965</v>
      </c>
      <c r="J10462" s="3" t="s">
        <v>52966</v>
      </c>
      <c r="K10462" s="3" t="s">
        <v>52967</v>
      </c>
      <c r="L10462" s="3"/>
      <c r="M10462" s="4"/>
      <c r="N10462" s="3"/>
      <c r="O10462" s="3"/>
      <c r="P10462" s="5">
        <v>0</v>
      </c>
      <c r="Q10462" s="5">
        <v>0</v>
      </c>
      <c r="R10462" s="5"/>
      <c r="S10462" s="5"/>
    </row>
    <row r="10463" spans="1:19" ht="28" x14ac:dyDescent="0.15">
      <c r="A10463" s="2">
        <f>HYPERLINK("https://open-school.uspishnemisto.com.ua/school/530423/", 530423)</f>
        <v>530423</v>
      </c>
      <c r="B10463" s="3" t="s">
        <v>52968</v>
      </c>
      <c r="C10463" s="3" t="s">
        <v>244</v>
      </c>
      <c r="D10463" s="3" t="s">
        <v>32</v>
      </c>
      <c r="E10463" s="4" t="s">
        <v>22</v>
      </c>
      <c r="F10463" s="4" t="s">
        <v>52963</v>
      </c>
      <c r="G10463" s="4" t="s">
        <v>52964</v>
      </c>
      <c r="H10463" s="3" t="s">
        <v>50910</v>
      </c>
      <c r="I10463" s="3" t="s">
        <v>52965</v>
      </c>
      <c r="J10463" s="3" t="s">
        <v>52969</v>
      </c>
      <c r="K10463" s="3" t="s">
        <v>52970</v>
      </c>
      <c r="L10463" s="3"/>
      <c r="M10463" s="4"/>
      <c r="N10463" s="3" t="s">
        <v>37</v>
      </c>
      <c r="O10463" s="3" t="s">
        <v>52</v>
      </c>
      <c r="P10463" s="5">
        <v>16</v>
      </c>
      <c r="Q10463" s="5">
        <v>291</v>
      </c>
      <c r="R10463" s="5">
        <v>16</v>
      </c>
      <c r="S10463" s="5">
        <v>292</v>
      </c>
    </row>
    <row r="10464" spans="1:19" ht="56" x14ac:dyDescent="0.15">
      <c r="A10464" s="2">
        <f>HYPERLINK("https://open-school.uspishnemisto.com.ua/school/530424/", 530424)</f>
        <v>530424</v>
      </c>
      <c r="B10464" s="3" t="s">
        <v>52971</v>
      </c>
      <c r="C10464" s="3" t="s">
        <v>54</v>
      </c>
      <c r="D10464" s="3" t="s">
        <v>175</v>
      </c>
      <c r="E10464" s="4" t="s">
        <v>22</v>
      </c>
      <c r="F10464" s="4" t="s">
        <v>52972</v>
      </c>
      <c r="G10464" s="4" t="s">
        <v>52973</v>
      </c>
      <c r="H10464" s="3" t="s">
        <v>50910</v>
      </c>
      <c r="I10464" s="3" t="s">
        <v>52974</v>
      </c>
      <c r="J10464" s="3" t="s">
        <v>1001</v>
      </c>
      <c r="K10464" s="3"/>
      <c r="L10464" s="3"/>
      <c r="M10464" s="4"/>
      <c r="N10464" s="3" t="s">
        <v>37</v>
      </c>
      <c r="O10464" s="3" t="s">
        <v>38</v>
      </c>
      <c r="P10464" s="5">
        <v>2</v>
      </c>
      <c r="Q10464" s="5">
        <v>25</v>
      </c>
      <c r="R10464" s="5">
        <v>3</v>
      </c>
      <c r="S10464" s="5">
        <v>25</v>
      </c>
    </row>
    <row r="10465" spans="1:19" ht="28" x14ac:dyDescent="0.15">
      <c r="A10465" s="2">
        <f>HYPERLINK("https://open-school.uspishnemisto.com.ua/school/530425/", 530425)</f>
        <v>530425</v>
      </c>
      <c r="B10465" s="3" t="s">
        <v>52975</v>
      </c>
      <c r="C10465" s="3" t="s">
        <v>31</v>
      </c>
      <c r="D10465" s="3" t="s">
        <v>175</v>
      </c>
      <c r="E10465" s="4" t="s">
        <v>22</v>
      </c>
      <c r="F10465" s="4" t="s">
        <v>52976</v>
      </c>
      <c r="G10465" s="4" t="s">
        <v>52977</v>
      </c>
      <c r="H10465" s="3" t="s">
        <v>50910</v>
      </c>
      <c r="I10465" s="3" t="s">
        <v>4594</v>
      </c>
      <c r="J10465" s="3" t="s">
        <v>532</v>
      </c>
      <c r="K10465" s="3" t="s">
        <v>52978</v>
      </c>
      <c r="L10465" s="3"/>
      <c r="M10465" s="4"/>
      <c r="N10465" s="3" t="s">
        <v>37</v>
      </c>
      <c r="O10465" s="3" t="s">
        <v>52</v>
      </c>
      <c r="P10465" s="5">
        <v>8</v>
      </c>
      <c r="Q10465" s="5">
        <v>51</v>
      </c>
      <c r="R10465" s="5">
        <v>7</v>
      </c>
      <c r="S10465" s="5">
        <v>50</v>
      </c>
    </row>
    <row r="10466" spans="1:19" ht="28" x14ac:dyDescent="0.15">
      <c r="A10466" s="2">
        <f>HYPERLINK("https://open-school.uspishnemisto.com.ua/school/530426/", 530426)</f>
        <v>530426</v>
      </c>
      <c r="B10466" s="3" t="s">
        <v>52979</v>
      </c>
      <c r="C10466" s="3" t="s">
        <v>31</v>
      </c>
      <c r="D10466" s="3" t="s">
        <v>175</v>
      </c>
      <c r="E10466" s="4" t="s">
        <v>22</v>
      </c>
      <c r="F10466" s="4" t="s">
        <v>52980</v>
      </c>
      <c r="G10466" s="4" t="s">
        <v>52981</v>
      </c>
      <c r="H10466" s="3" t="s">
        <v>50910</v>
      </c>
      <c r="I10466" s="3" t="s">
        <v>52982</v>
      </c>
      <c r="J10466" s="3" t="s">
        <v>13230</v>
      </c>
      <c r="K10466" s="3" t="s">
        <v>52983</v>
      </c>
      <c r="L10466" s="3"/>
      <c r="M10466" s="4"/>
      <c r="N10466" s="3" t="s">
        <v>37</v>
      </c>
      <c r="O10466" s="3" t="s">
        <v>38</v>
      </c>
      <c r="P10466" s="5">
        <v>8</v>
      </c>
      <c r="Q10466" s="5">
        <v>58</v>
      </c>
      <c r="R10466" s="5">
        <v>7</v>
      </c>
      <c r="S10466" s="5">
        <v>48</v>
      </c>
    </row>
    <row r="10467" spans="1:19" ht="28" x14ac:dyDescent="0.15">
      <c r="A10467" s="2">
        <f>HYPERLINK("https://open-school.uspishnemisto.com.ua/school/530427/", 530427)</f>
        <v>530427</v>
      </c>
      <c r="B10467" s="3" t="s">
        <v>52984</v>
      </c>
      <c r="C10467" s="3" t="s">
        <v>31</v>
      </c>
      <c r="D10467" s="3" t="s">
        <v>32</v>
      </c>
      <c r="E10467" s="4" t="s">
        <v>22</v>
      </c>
      <c r="F10467" s="4" t="s">
        <v>52985</v>
      </c>
      <c r="G10467" s="4" t="s">
        <v>52986</v>
      </c>
      <c r="H10467" s="3" t="s">
        <v>50910</v>
      </c>
      <c r="I10467" s="3" t="s">
        <v>11923</v>
      </c>
      <c r="J10467" s="3" t="s">
        <v>17237</v>
      </c>
      <c r="K10467" s="3" t="s">
        <v>52987</v>
      </c>
      <c r="L10467" s="3" t="s">
        <v>52988</v>
      </c>
      <c r="M10467" s="4"/>
      <c r="N10467" s="3" t="s">
        <v>37</v>
      </c>
      <c r="O10467" s="3" t="s">
        <v>52</v>
      </c>
      <c r="P10467" s="5">
        <v>7</v>
      </c>
      <c r="Q10467" s="5">
        <v>59</v>
      </c>
      <c r="R10467" s="5">
        <v>7</v>
      </c>
      <c r="S10467" s="5">
        <v>61</v>
      </c>
    </row>
    <row r="10468" spans="1:19" ht="56" x14ac:dyDescent="0.15">
      <c r="A10468" s="2">
        <f>HYPERLINK("https://open-school.uspishnemisto.com.ua/school/530429/", 530429)</f>
        <v>530429</v>
      </c>
      <c r="B10468" s="3" t="s">
        <v>52989</v>
      </c>
      <c r="C10468" s="3" t="s">
        <v>54</v>
      </c>
      <c r="D10468" s="3" t="s">
        <v>32</v>
      </c>
      <c r="E10468" s="4" t="s">
        <v>22</v>
      </c>
      <c r="F10468" s="4" t="s">
        <v>52990</v>
      </c>
      <c r="G10468" s="4" t="s">
        <v>52991</v>
      </c>
      <c r="H10468" s="3" t="s">
        <v>50910</v>
      </c>
      <c r="I10468" s="3" t="s">
        <v>52992</v>
      </c>
      <c r="J10468" s="3" t="s">
        <v>2253</v>
      </c>
      <c r="K10468" s="3" t="s">
        <v>52993</v>
      </c>
      <c r="L10468" s="3"/>
      <c r="M10468" s="4"/>
      <c r="N10468" s="3" t="s">
        <v>37</v>
      </c>
      <c r="O10468" s="3" t="s">
        <v>2740</v>
      </c>
      <c r="P10468" s="5">
        <v>11</v>
      </c>
      <c r="Q10468" s="5">
        <v>159</v>
      </c>
      <c r="R10468" s="5">
        <v>11</v>
      </c>
      <c r="S10468" s="5">
        <v>162</v>
      </c>
    </row>
    <row r="10469" spans="1:19" ht="28" x14ac:dyDescent="0.15">
      <c r="A10469" s="2">
        <f>HYPERLINK("https://open-school.uspishnemisto.com.ua/school/530430/", 530430)</f>
        <v>530430</v>
      </c>
      <c r="B10469" s="3" t="s">
        <v>52994</v>
      </c>
      <c r="C10469" s="3" t="s">
        <v>31</v>
      </c>
      <c r="D10469" s="3" t="s">
        <v>32</v>
      </c>
      <c r="E10469" s="4" t="s">
        <v>22</v>
      </c>
      <c r="F10469" s="4" t="s">
        <v>52995</v>
      </c>
      <c r="G10469" s="4" t="s">
        <v>52996</v>
      </c>
      <c r="H10469" s="3" t="s">
        <v>50910</v>
      </c>
      <c r="I10469" s="3" t="s">
        <v>52997</v>
      </c>
      <c r="J10469" s="3" t="s">
        <v>2841</v>
      </c>
      <c r="K10469" s="3" t="s">
        <v>52998</v>
      </c>
      <c r="L10469" s="3"/>
      <c r="M10469" s="4"/>
      <c r="N10469" s="3" t="s">
        <v>37</v>
      </c>
      <c r="O10469" s="3" t="s">
        <v>38</v>
      </c>
      <c r="P10469" s="5">
        <v>11</v>
      </c>
      <c r="Q10469" s="5">
        <v>107</v>
      </c>
      <c r="R10469" s="5">
        <v>10</v>
      </c>
      <c r="S10469" s="5">
        <v>91</v>
      </c>
    </row>
    <row r="10470" spans="1:19" ht="42" x14ac:dyDescent="0.15">
      <c r="A10470" s="2">
        <f>HYPERLINK("https://open-school.uspishnemisto.com.ua/school/530432/", 530432)</f>
        <v>530432</v>
      </c>
      <c r="B10470" s="3" t="s">
        <v>52999</v>
      </c>
      <c r="C10470" s="3" t="s">
        <v>31</v>
      </c>
      <c r="D10470" s="3" t="s">
        <v>32</v>
      </c>
      <c r="E10470" s="4" t="s">
        <v>22</v>
      </c>
      <c r="F10470" s="4" t="s">
        <v>53000</v>
      </c>
      <c r="G10470" s="4" t="s">
        <v>53001</v>
      </c>
      <c r="H10470" s="3" t="s">
        <v>50910</v>
      </c>
      <c r="I10470" s="3" t="s">
        <v>688</v>
      </c>
      <c r="J10470" s="3" t="s">
        <v>53002</v>
      </c>
      <c r="K10470" s="3" t="s">
        <v>53003</v>
      </c>
      <c r="L10470" s="3"/>
      <c r="M10470" s="4"/>
      <c r="N10470" s="3" t="s">
        <v>37</v>
      </c>
      <c r="O10470" s="3" t="s">
        <v>70</v>
      </c>
      <c r="P10470" s="5">
        <v>11</v>
      </c>
      <c r="Q10470" s="5">
        <v>211</v>
      </c>
      <c r="R10470" s="5">
        <v>11</v>
      </c>
      <c r="S10470" s="5">
        <v>188</v>
      </c>
    </row>
    <row r="10471" spans="1:19" ht="56" x14ac:dyDescent="0.15">
      <c r="A10471" s="2">
        <f>HYPERLINK("https://open-school.uspishnemisto.com.ua/school/530433/", 530433)</f>
        <v>530433</v>
      </c>
      <c r="B10471" s="3" t="s">
        <v>53004</v>
      </c>
      <c r="C10471" s="3" t="s">
        <v>54</v>
      </c>
      <c r="D10471" s="3" t="s">
        <v>32</v>
      </c>
      <c r="E10471" s="4" t="s">
        <v>22</v>
      </c>
      <c r="F10471" s="4" t="s">
        <v>53005</v>
      </c>
      <c r="G10471" s="4" t="s">
        <v>53006</v>
      </c>
      <c r="H10471" s="3" t="s">
        <v>50910</v>
      </c>
      <c r="I10471" s="3" t="s">
        <v>53007</v>
      </c>
      <c r="J10471" s="3" t="s">
        <v>53008</v>
      </c>
      <c r="K10471" s="3" t="s">
        <v>53009</v>
      </c>
      <c r="L10471" s="3"/>
      <c r="M10471" s="4"/>
      <c r="N10471" s="3" t="s">
        <v>37</v>
      </c>
      <c r="O10471" s="3" t="s">
        <v>38</v>
      </c>
      <c r="P10471" s="5">
        <v>11</v>
      </c>
      <c r="Q10471" s="5">
        <v>80</v>
      </c>
      <c r="R10471" s="5">
        <v>11</v>
      </c>
      <c r="S10471" s="5">
        <v>87</v>
      </c>
    </row>
    <row r="10472" spans="1:19" ht="56" x14ac:dyDescent="0.15">
      <c r="A10472" s="2">
        <f>HYPERLINK("https://open-school.uspishnemisto.com.ua/school/530434/", 530434)</f>
        <v>530434</v>
      </c>
      <c r="B10472" s="3" t="s">
        <v>53010</v>
      </c>
      <c r="C10472" s="3" t="s">
        <v>54</v>
      </c>
      <c r="D10472" s="3" t="s">
        <v>32</v>
      </c>
      <c r="E10472" s="4" t="s">
        <v>22</v>
      </c>
      <c r="F10472" s="4" t="s">
        <v>53011</v>
      </c>
      <c r="G10472" s="4" t="s">
        <v>53012</v>
      </c>
      <c r="H10472" s="3" t="s">
        <v>50910</v>
      </c>
      <c r="I10472" s="3" t="s">
        <v>53013</v>
      </c>
      <c r="J10472" s="3" t="s">
        <v>42551</v>
      </c>
      <c r="K10472" s="3" t="s">
        <v>53014</v>
      </c>
      <c r="L10472" s="3"/>
      <c r="M10472" s="4"/>
      <c r="N10472" s="3" t="s">
        <v>37</v>
      </c>
      <c r="O10472" s="3" t="s">
        <v>38</v>
      </c>
      <c r="P10472" s="5">
        <v>11</v>
      </c>
      <c r="Q10472" s="5">
        <v>105</v>
      </c>
      <c r="R10472" s="5">
        <v>11</v>
      </c>
      <c r="S10472" s="5">
        <v>88</v>
      </c>
    </row>
    <row r="10473" spans="1:19" ht="56" x14ac:dyDescent="0.15">
      <c r="A10473" s="2">
        <f>HYPERLINK("https://open-school.uspishnemisto.com.ua/school/530435/", 530435)</f>
        <v>530435</v>
      </c>
      <c r="B10473" s="3" t="s">
        <v>53015</v>
      </c>
      <c r="C10473" s="3" t="s">
        <v>54</v>
      </c>
      <c r="D10473" s="3" t="s">
        <v>175</v>
      </c>
      <c r="E10473" s="4" t="s">
        <v>22</v>
      </c>
      <c r="F10473" s="4" t="s">
        <v>53016</v>
      </c>
      <c r="G10473" s="4" t="s">
        <v>53017</v>
      </c>
      <c r="H10473" s="3" t="s">
        <v>50910</v>
      </c>
      <c r="I10473" s="3" t="s">
        <v>53018</v>
      </c>
      <c r="J10473" s="3" t="s">
        <v>53019</v>
      </c>
      <c r="K10473" s="3" t="s">
        <v>53020</v>
      </c>
      <c r="L10473" s="3"/>
      <c r="M10473" s="4"/>
      <c r="N10473" s="3" t="s">
        <v>37</v>
      </c>
      <c r="O10473" s="3" t="s">
        <v>52</v>
      </c>
      <c r="P10473" s="5">
        <v>5</v>
      </c>
      <c r="Q10473" s="5">
        <v>47</v>
      </c>
      <c r="R10473" s="5">
        <v>5</v>
      </c>
      <c r="S10473" s="5">
        <v>48</v>
      </c>
    </row>
    <row r="10474" spans="1:19" ht="28" x14ac:dyDescent="0.15">
      <c r="A10474" s="2">
        <f>HYPERLINK("https://open-school.uspishnemisto.com.ua/school/530436/", 530436)</f>
        <v>530436</v>
      </c>
      <c r="B10474" s="3" t="s">
        <v>53021</v>
      </c>
      <c r="C10474" s="3" t="s">
        <v>31</v>
      </c>
      <c r="D10474" s="3" t="s">
        <v>32</v>
      </c>
      <c r="E10474" s="4" t="s">
        <v>22</v>
      </c>
      <c r="F10474" s="4" t="s">
        <v>53022</v>
      </c>
      <c r="G10474" s="4" t="s">
        <v>53023</v>
      </c>
      <c r="H10474" s="3" t="s">
        <v>50910</v>
      </c>
      <c r="I10474" s="3" t="s">
        <v>53024</v>
      </c>
      <c r="J10474" s="3" t="s">
        <v>2145</v>
      </c>
      <c r="K10474" s="3" t="s">
        <v>53025</v>
      </c>
      <c r="L10474" s="3"/>
      <c r="M10474" s="4"/>
      <c r="N10474" s="3" t="s">
        <v>37</v>
      </c>
      <c r="O10474" s="3" t="s">
        <v>70</v>
      </c>
      <c r="P10474" s="5">
        <v>17</v>
      </c>
      <c r="Q10474" s="5">
        <v>339</v>
      </c>
      <c r="R10474" s="5">
        <v>17</v>
      </c>
      <c r="S10474" s="5">
        <v>333</v>
      </c>
    </row>
    <row r="10475" spans="1:19" ht="42" x14ac:dyDescent="0.15">
      <c r="A10475" s="2">
        <f>HYPERLINK("https://open-school.uspishnemisto.com.ua/school/530437/", 530437)</f>
        <v>530437</v>
      </c>
      <c r="B10475" s="3" t="s">
        <v>53026</v>
      </c>
      <c r="C10475" s="3" t="s">
        <v>54</v>
      </c>
      <c r="D10475" s="3" t="s">
        <v>175</v>
      </c>
      <c r="E10475" s="4" t="s">
        <v>22</v>
      </c>
      <c r="F10475" s="4" t="s">
        <v>53027</v>
      </c>
      <c r="G10475" s="4" t="s">
        <v>53028</v>
      </c>
      <c r="H10475" s="3" t="s">
        <v>50910</v>
      </c>
      <c r="I10475" s="3" t="s">
        <v>15335</v>
      </c>
      <c r="J10475" s="3" t="s">
        <v>42845</v>
      </c>
      <c r="K10475" s="3" t="s">
        <v>53029</v>
      </c>
      <c r="L10475" s="3" t="s">
        <v>53030</v>
      </c>
      <c r="M10475" s="4"/>
      <c r="N10475" s="3" t="s">
        <v>37</v>
      </c>
      <c r="O10475" s="3" t="s">
        <v>52</v>
      </c>
      <c r="P10475" s="5">
        <v>1</v>
      </c>
      <c r="Q10475" s="5">
        <v>30</v>
      </c>
      <c r="R10475" s="5">
        <v>2</v>
      </c>
      <c r="S10475" s="5">
        <v>33</v>
      </c>
    </row>
    <row r="10476" spans="1:19" ht="28" x14ac:dyDescent="0.15">
      <c r="A10476" s="2">
        <f>HYPERLINK("https://open-school.uspishnemisto.com.ua/school/530438/", 530438)</f>
        <v>530438</v>
      </c>
      <c r="B10476" s="3" t="s">
        <v>53031</v>
      </c>
      <c r="C10476" s="3" t="s">
        <v>31</v>
      </c>
      <c r="D10476" s="3" t="s">
        <v>32</v>
      </c>
      <c r="E10476" s="4" t="s">
        <v>22</v>
      </c>
      <c r="F10476" s="4" t="s">
        <v>53032</v>
      </c>
      <c r="G10476" s="4" t="s">
        <v>53033</v>
      </c>
      <c r="H10476" s="3" t="s">
        <v>50910</v>
      </c>
      <c r="I10476" s="3" t="s">
        <v>53034</v>
      </c>
      <c r="J10476" s="3" t="s">
        <v>53035</v>
      </c>
      <c r="K10476" s="3" t="s">
        <v>53036</v>
      </c>
      <c r="L10476" s="3"/>
      <c r="M10476" s="4"/>
      <c r="N10476" s="3" t="s">
        <v>37</v>
      </c>
      <c r="O10476" s="3" t="s">
        <v>2740</v>
      </c>
      <c r="P10476" s="5">
        <v>11</v>
      </c>
      <c r="Q10476" s="5">
        <v>137</v>
      </c>
      <c r="R10476" s="5">
        <v>11</v>
      </c>
      <c r="S10476" s="5">
        <v>145</v>
      </c>
    </row>
    <row r="10477" spans="1:19" ht="28" x14ac:dyDescent="0.15">
      <c r="A10477" s="2">
        <f>HYPERLINK("https://open-school.uspishnemisto.com.ua/school/530439/", 530439)</f>
        <v>530439</v>
      </c>
      <c r="B10477" s="3" t="s">
        <v>53037</v>
      </c>
      <c r="C10477" s="3" t="s">
        <v>31</v>
      </c>
      <c r="D10477" s="3" t="s">
        <v>32</v>
      </c>
      <c r="E10477" s="4" t="s">
        <v>22</v>
      </c>
      <c r="F10477" s="4" t="s">
        <v>53038</v>
      </c>
      <c r="G10477" s="4" t="s">
        <v>53039</v>
      </c>
      <c r="H10477" s="3" t="s">
        <v>50910</v>
      </c>
      <c r="I10477" s="3" t="s">
        <v>53040</v>
      </c>
      <c r="J10477" s="3" t="s">
        <v>5606</v>
      </c>
      <c r="K10477" s="3" t="s">
        <v>53041</v>
      </c>
      <c r="L10477" s="3"/>
      <c r="M10477" s="4"/>
      <c r="N10477" s="3" t="s">
        <v>37</v>
      </c>
      <c r="O10477" s="3" t="s">
        <v>38</v>
      </c>
      <c r="P10477" s="5">
        <v>13</v>
      </c>
      <c r="Q10477" s="5">
        <v>237</v>
      </c>
      <c r="R10477" s="5">
        <v>15</v>
      </c>
      <c r="S10477" s="5">
        <v>262</v>
      </c>
    </row>
    <row r="10478" spans="1:19" ht="28" x14ac:dyDescent="0.15">
      <c r="A10478" s="2">
        <f>HYPERLINK("https://open-school.uspishnemisto.com.ua/school/530440/", 530440)</f>
        <v>530440</v>
      </c>
      <c r="B10478" s="3" t="s">
        <v>53042</v>
      </c>
      <c r="C10478" s="3" t="s">
        <v>54</v>
      </c>
      <c r="D10478" s="3" t="s">
        <v>32</v>
      </c>
      <c r="E10478" s="4" t="s">
        <v>22</v>
      </c>
      <c r="F10478" s="4" t="s">
        <v>53043</v>
      </c>
      <c r="G10478" s="4" t="s">
        <v>53044</v>
      </c>
      <c r="H10478" s="3" t="s">
        <v>50910</v>
      </c>
      <c r="I10478" s="3" t="s">
        <v>52323</v>
      </c>
      <c r="J10478" s="3" t="s">
        <v>3146</v>
      </c>
      <c r="K10478" s="3" t="s">
        <v>53045</v>
      </c>
      <c r="L10478" s="3"/>
      <c r="M10478" s="4"/>
      <c r="N10478" s="3" t="s">
        <v>37</v>
      </c>
      <c r="O10478" s="3" t="s">
        <v>46</v>
      </c>
      <c r="P10478" s="5">
        <v>9</v>
      </c>
      <c r="Q10478" s="5">
        <v>67</v>
      </c>
      <c r="R10478" s="5">
        <v>8</v>
      </c>
      <c r="S10478" s="5">
        <v>57</v>
      </c>
    </row>
    <row r="10479" spans="1:19" ht="28" x14ac:dyDescent="0.15">
      <c r="A10479" s="2">
        <f>HYPERLINK("https://open-school.uspishnemisto.com.ua/school/530441/", 530441)</f>
        <v>530441</v>
      </c>
      <c r="B10479" s="3" t="s">
        <v>53046</v>
      </c>
      <c r="C10479" s="3" t="s">
        <v>54</v>
      </c>
      <c r="D10479" s="3" t="s">
        <v>32</v>
      </c>
      <c r="E10479" s="4" t="s">
        <v>22</v>
      </c>
      <c r="F10479" s="4" t="s">
        <v>53047</v>
      </c>
      <c r="G10479" s="4" t="s">
        <v>53048</v>
      </c>
      <c r="H10479" s="3" t="s">
        <v>50910</v>
      </c>
      <c r="I10479" s="3" t="s">
        <v>53049</v>
      </c>
      <c r="J10479" s="3" t="s">
        <v>53050</v>
      </c>
      <c r="K10479" s="3" t="s">
        <v>53051</v>
      </c>
      <c r="L10479" s="3"/>
      <c r="M10479" s="4"/>
      <c r="N10479" s="3" t="s">
        <v>37</v>
      </c>
      <c r="O10479" s="3" t="s">
        <v>52</v>
      </c>
      <c r="P10479" s="5">
        <v>6</v>
      </c>
      <c r="Q10479" s="5">
        <v>56</v>
      </c>
      <c r="R10479" s="5">
        <v>5</v>
      </c>
      <c r="S10479" s="5">
        <v>49</v>
      </c>
    </row>
    <row r="10480" spans="1:19" ht="28" x14ac:dyDescent="0.15">
      <c r="A10480" s="2">
        <f>HYPERLINK("https://open-school.uspishnemisto.com.ua/school/530442/", 530442)</f>
        <v>530442</v>
      </c>
      <c r="B10480" s="3" t="s">
        <v>53052</v>
      </c>
      <c r="C10480" s="3" t="s">
        <v>31</v>
      </c>
      <c r="D10480" s="3" t="s">
        <v>32</v>
      </c>
      <c r="E10480" s="4" t="s">
        <v>22</v>
      </c>
      <c r="F10480" s="4" t="s">
        <v>53053</v>
      </c>
      <c r="G10480" s="4" t="s">
        <v>53054</v>
      </c>
      <c r="H10480" s="3" t="s">
        <v>50910</v>
      </c>
      <c r="I10480" s="3" t="s">
        <v>53055</v>
      </c>
      <c r="J10480" s="3" t="s">
        <v>53056</v>
      </c>
      <c r="K10480" s="3" t="s">
        <v>53057</v>
      </c>
      <c r="L10480" s="3"/>
      <c r="M10480" s="4"/>
      <c r="N10480" s="3" t="s">
        <v>37</v>
      </c>
      <c r="O10480" s="3" t="s">
        <v>46</v>
      </c>
      <c r="P10480" s="5">
        <v>6</v>
      </c>
      <c r="Q10480" s="5">
        <v>47</v>
      </c>
      <c r="R10480" s="5">
        <v>6</v>
      </c>
      <c r="S10480" s="5">
        <v>52</v>
      </c>
    </row>
    <row r="10481" spans="1:19" ht="42" x14ac:dyDescent="0.15">
      <c r="A10481" s="2">
        <f>HYPERLINK("https://open-school.uspishnemisto.com.ua/school/530443/", 530443)</f>
        <v>530443</v>
      </c>
      <c r="B10481" s="3" t="s">
        <v>53058</v>
      </c>
      <c r="C10481" s="3" t="s">
        <v>2634</v>
      </c>
      <c r="D10481" s="3" t="s">
        <v>32</v>
      </c>
      <c r="E10481" s="4" t="s">
        <v>22</v>
      </c>
      <c r="F10481" s="4" t="s">
        <v>53059</v>
      </c>
      <c r="G10481" s="4" t="s">
        <v>53060</v>
      </c>
      <c r="H10481" s="3" t="s">
        <v>50910</v>
      </c>
      <c r="I10481" s="3" t="s">
        <v>53061</v>
      </c>
      <c r="J10481" s="3" t="s">
        <v>53062</v>
      </c>
      <c r="K10481" s="3" t="s">
        <v>53063</v>
      </c>
      <c r="L10481" s="3"/>
      <c r="M10481" s="4" t="s">
        <v>53064</v>
      </c>
      <c r="N10481" s="3" t="s">
        <v>37</v>
      </c>
      <c r="O10481" s="3" t="s">
        <v>52</v>
      </c>
      <c r="P10481" s="5">
        <v>11</v>
      </c>
      <c r="Q10481" s="5">
        <v>151</v>
      </c>
      <c r="R10481" s="5">
        <v>11</v>
      </c>
      <c r="S10481" s="5">
        <v>129</v>
      </c>
    </row>
    <row r="10482" spans="1:19" ht="42" x14ac:dyDescent="0.15">
      <c r="A10482" s="2">
        <f>HYPERLINK("https://open-school.uspishnemisto.com.ua/school/530444/", 530444)</f>
        <v>530444</v>
      </c>
      <c r="B10482" s="3" t="s">
        <v>53065</v>
      </c>
      <c r="C10482" s="3" t="s">
        <v>31</v>
      </c>
      <c r="D10482" s="3" t="s">
        <v>32</v>
      </c>
      <c r="E10482" s="4" t="s">
        <v>22</v>
      </c>
      <c r="F10482" s="4" t="s">
        <v>53059</v>
      </c>
      <c r="G10482" s="4" t="s">
        <v>53060</v>
      </c>
      <c r="H10482" s="3" t="s">
        <v>50910</v>
      </c>
      <c r="I10482" s="3" t="s">
        <v>53061</v>
      </c>
      <c r="J10482" s="3" t="s">
        <v>35108</v>
      </c>
      <c r="K10482" s="3" t="s">
        <v>53066</v>
      </c>
      <c r="L10482" s="3" t="s">
        <v>53067</v>
      </c>
      <c r="M10482" s="4"/>
      <c r="N10482" s="3" t="s">
        <v>37</v>
      </c>
      <c r="O10482" s="3" t="s">
        <v>38</v>
      </c>
      <c r="P10482" s="5">
        <v>15</v>
      </c>
      <c r="Q10482" s="5">
        <v>291</v>
      </c>
      <c r="R10482" s="5">
        <v>15</v>
      </c>
      <c r="S10482" s="5">
        <v>285</v>
      </c>
    </row>
    <row r="10483" spans="1:19" ht="28" x14ac:dyDescent="0.15">
      <c r="A10483" s="2">
        <f>HYPERLINK("https://open-school.uspishnemisto.com.ua/school/530445/", 530445)</f>
        <v>530445</v>
      </c>
      <c r="B10483" s="3" t="s">
        <v>53068</v>
      </c>
      <c r="C10483" s="3" t="s">
        <v>244</v>
      </c>
      <c r="D10483" s="3" t="s">
        <v>32</v>
      </c>
      <c r="E10483" s="4" t="s">
        <v>22</v>
      </c>
      <c r="F10483" s="4" t="s">
        <v>53069</v>
      </c>
      <c r="G10483" s="4" t="s">
        <v>53070</v>
      </c>
      <c r="H10483" s="3" t="s">
        <v>50910</v>
      </c>
      <c r="I10483" s="3" t="s">
        <v>53071</v>
      </c>
      <c r="J10483" s="3" t="s">
        <v>53072</v>
      </c>
      <c r="K10483" s="3" t="s">
        <v>53073</v>
      </c>
      <c r="L10483" s="3" t="s">
        <v>53074</v>
      </c>
      <c r="M10483" s="4"/>
      <c r="N10483" s="3" t="s">
        <v>37</v>
      </c>
      <c r="O10483" s="3" t="s">
        <v>721</v>
      </c>
      <c r="P10483" s="5">
        <v>10</v>
      </c>
      <c r="Q10483" s="5">
        <v>107</v>
      </c>
      <c r="R10483" s="5">
        <v>10</v>
      </c>
      <c r="S10483" s="5">
        <v>103</v>
      </c>
    </row>
    <row r="10484" spans="1:19" ht="28" x14ac:dyDescent="0.15">
      <c r="A10484" s="2">
        <f>HYPERLINK("https://open-school.uspishnemisto.com.ua/school/530446/", 530446)</f>
        <v>530446</v>
      </c>
      <c r="B10484" s="3" t="s">
        <v>53075</v>
      </c>
      <c r="C10484" s="3" t="s">
        <v>31</v>
      </c>
      <c r="D10484" s="3" t="s">
        <v>32</v>
      </c>
      <c r="E10484" s="4" t="s">
        <v>22</v>
      </c>
      <c r="F10484" s="4" t="s">
        <v>53076</v>
      </c>
      <c r="G10484" s="4" t="s">
        <v>53077</v>
      </c>
      <c r="H10484" s="3" t="s">
        <v>50910</v>
      </c>
      <c r="I10484" s="3" t="s">
        <v>34101</v>
      </c>
      <c r="J10484" s="3" t="s">
        <v>27354</v>
      </c>
      <c r="K10484" s="3" t="s">
        <v>53078</v>
      </c>
      <c r="L10484" s="3"/>
      <c r="M10484" s="4"/>
      <c r="N10484" s="3" t="s">
        <v>37</v>
      </c>
      <c r="O10484" s="3" t="s">
        <v>38</v>
      </c>
      <c r="P10484" s="5">
        <v>11</v>
      </c>
      <c r="Q10484" s="5">
        <v>108</v>
      </c>
      <c r="R10484" s="5">
        <v>11</v>
      </c>
      <c r="S10484" s="5">
        <v>119</v>
      </c>
    </row>
    <row r="10485" spans="1:19" ht="28" x14ac:dyDescent="0.15">
      <c r="A10485" s="2">
        <f>HYPERLINK("https://open-school.uspishnemisto.com.ua/school/530447/", 530447)</f>
        <v>530447</v>
      </c>
      <c r="B10485" s="3" t="s">
        <v>53079</v>
      </c>
      <c r="C10485" s="3" t="s">
        <v>54</v>
      </c>
      <c r="D10485" s="3" t="s">
        <v>32</v>
      </c>
      <c r="E10485" s="4" t="s">
        <v>22</v>
      </c>
      <c r="F10485" s="4" t="s">
        <v>53080</v>
      </c>
      <c r="G10485" s="4" t="s">
        <v>53081</v>
      </c>
      <c r="H10485" s="3" t="s">
        <v>50910</v>
      </c>
      <c r="I10485" s="3" t="s">
        <v>21887</v>
      </c>
      <c r="J10485" s="3" t="s">
        <v>53082</v>
      </c>
      <c r="K10485" s="3" t="s">
        <v>53083</v>
      </c>
      <c r="L10485" s="3"/>
      <c r="M10485" s="4"/>
      <c r="N10485" s="3" t="s">
        <v>37</v>
      </c>
      <c r="O10485" s="3" t="s">
        <v>38</v>
      </c>
      <c r="P10485" s="5">
        <v>7</v>
      </c>
      <c r="Q10485" s="5">
        <v>59</v>
      </c>
      <c r="R10485" s="5">
        <v>8</v>
      </c>
      <c r="S10485" s="5">
        <v>58</v>
      </c>
    </row>
    <row r="10486" spans="1:19" ht="28" x14ac:dyDescent="0.15">
      <c r="A10486" s="2">
        <f>HYPERLINK("https://open-school.uspishnemisto.com.ua/school/530448/", 530448)</f>
        <v>530448</v>
      </c>
      <c r="B10486" s="3" t="s">
        <v>53084</v>
      </c>
      <c r="C10486" s="3" t="s">
        <v>31</v>
      </c>
      <c r="D10486" s="3" t="s">
        <v>32</v>
      </c>
      <c r="E10486" s="4" t="s">
        <v>22</v>
      </c>
      <c r="F10486" s="4" t="s">
        <v>53085</v>
      </c>
      <c r="G10486" s="4" t="s">
        <v>53086</v>
      </c>
      <c r="H10486" s="3" t="s">
        <v>50910</v>
      </c>
      <c r="I10486" s="3" t="s">
        <v>53087</v>
      </c>
      <c r="J10486" s="3" t="s">
        <v>3544</v>
      </c>
      <c r="K10486" s="3" t="s">
        <v>53088</v>
      </c>
      <c r="L10486" s="3" t="s">
        <v>53089</v>
      </c>
      <c r="M10486" s="4"/>
      <c r="N10486" s="3" t="s">
        <v>37</v>
      </c>
      <c r="O10486" s="3" t="s">
        <v>38</v>
      </c>
      <c r="P10486" s="5">
        <v>9</v>
      </c>
      <c r="Q10486" s="5">
        <v>72</v>
      </c>
      <c r="R10486" s="5">
        <v>11</v>
      </c>
      <c r="S10486" s="5">
        <v>69</v>
      </c>
    </row>
    <row r="10487" spans="1:19" ht="28" x14ac:dyDescent="0.15">
      <c r="A10487" s="2">
        <f>HYPERLINK("https://open-school.uspishnemisto.com.ua/school/530449/", 530449)</f>
        <v>530449</v>
      </c>
      <c r="B10487" s="3" t="s">
        <v>53090</v>
      </c>
      <c r="C10487" s="3" t="s">
        <v>31</v>
      </c>
      <c r="D10487" s="3" t="s">
        <v>32</v>
      </c>
      <c r="E10487" s="4" t="s">
        <v>22</v>
      </c>
      <c r="F10487" s="4" t="s">
        <v>53091</v>
      </c>
      <c r="G10487" s="4" t="s">
        <v>53092</v>
      </c>
      <c r="H10487" s="3" t="s">
        <v>50910</v>
      </c>
      <c r="I10487" s="3" t="s">
        <v>53093</v>
      </c>
      <c r="J10487" s="3" t="s">
        <v>53094</v>
      </c>
      <c r="K10487" s="3" t="s">
        <v>53095</v>
      </c>
      <c r="L10487" s="3"/>
      <c r="M10487" s="4"/>
      <c r="N10487" s="3" t="s">
        <v>37</v>
      </c>
      <c r="O10487" s="3" t="s">
        <v>46</v>
      </c>
      <c r="P10487" s="5">
        <v>11</v>
      </c>
      <c r="Q10487" s="5">
        <v>111</v>
      </c>
      <c r="R10487" s="5">
        <v>11</v>
      </c>
      <c r="S10487" s="5">
        <v>105</v>
      </c>
    </row>
    <row r="10488" spans="1:19" ht="28" x14ac:dyDescent="0.15">
      <c r="A10488" s="2">
        <f>HYPERLINK("https://open-school.uspishnemisto.com.ua/school/530450/", 530450)</f>
        <v>530450</v>
      </c>
      <c r="B10488" s="3" t="s">
        <v>53096</v>
      </c>
      <c r="C10488" s="3" t="s">
        <v>31</v>
      </c>
      <c r="D10488" s="3" t="s">
        <v>32</v>
      </c>
      <c r="E10488" s="4" t="s">
        <v>22</v>
      </c>
      <c r="F10488" s="4" t="s">
        <v>53097</v>
      </c>
      <c r="G10488" s="4" t="s">
        <v>53098</v>
      </c>
      <c r="H10488" s="3" t="s">
        <v>50910</v>
      </c>
      <c r="I10488" s="3" t="s">
        <v>53099</v>
      </c>
      <c r="J10488" s="3" t="s">
        <v>4678</v>
      </c>
      <c r="K10488" s="3" t="s">
        <v>53100</v>
      </c>
      <c r="L10488" s="3"/>
      <c r="M10488" s="4"/>
      <c r="N10488" s="3" t="s">
        <v>37</v>
      </c>
      <c r="O10488" s="3" t="s">
        <v>70</v>
      </c>
      <c r="P10488" s="5">
        <v>6</v>
      </c>
      <c r="Q10488" s="5">
        <v>65</v>
      </c>
      <c r="R10488" s="5">
        <v>7</v>
      </c>
      <c r="S10488" s="5">
        <v>62</v>
      </c>
    </row>
    <row r="10489" spans="1:19" ht="28" x14ac:dyDescent="0.15">
      <c r="A10489" s="2">
        <f>HYPERLINK("https://open-school.uspishnemisto.com.ua/school/530451/", 530451)</f>
        <v>530451</v>
      </c>
      <c r="B10489" s="3" t="s">
        <v>53101</v>
      </c>
      <c r="C10489" s="3" t="s">
        <v>31</v>
      </c>
      <c r="D10489" s="3" t="s">
        <v>32</v>
      </c>
      <c r="E10489" s="4" t="s">
        <v>22</v>
      </c>
      <c r="F10489" s="4" t="s">
        <v>53102</v>
      </c>
      <c r="G10489" s="4" t="s">
        <v>53103</v>
      </c>
      <c r="H10489" s="3" t="s">
        <v>50910</v>
      </c>
      <c r="I10489" s="3" t="s">
        <v>53104</v>
      </c>
      <c r="J10489" s="3" t="s">
        <v>30417</v>
      </c>
      <c r="K10489" s="3" t="s">
        <v>53105</v>
      </c>
      <c r="L10489" s="3"/>
      <c r="M10489" s="4"/>
      <c r="N10489" s="3" t="s">
        <v>37</v>
      </c>
      <c r="O10489" s="3" t="s">
        <v>112</v>
      </c>
      <c r="P10489" s="5">
        <v>7</v>
      </c>
      <c r="Q10489" s="5">
        <v>49</v>
      </c>
      <c r="R10489" s="5">
        <v>8</v>
      </c>
      <c r="S10489" s="5">
        <v>50</v>
      </c>
    </row>
    <row r="10490" spans="1:19" ht="28" x14ac:dyDescent="0.15">
      <c r="A10490" s="2">
        <f>HYPERLINK("https://open-school.uspishnemisto.com.ua/school/530452/", 530452)</f>
        <v>530452</v>
      </c>
      <c r="B10490" s="3" t="s">
        <v>53106</v>
      </c>
      <c r="C10490" s="3" t="s">
        <v>31</v>
      </c>
      <c r="D10490" s="3" t="s">
        <v>32</v>
      </c>
      <c r="E10490" s="4" t="s">
        <v>22</v>
      </c>
      <c r="F10490" s="4" t="s">
        <v>53107</v>
      </c>
      <c r="G10490" s="4" t="s">
        <v>53108</v>
      </c>
      <c r="H10490" s="3" t="s">
        <v>50910</v>
      </c>
      <c r="I10490" s="3" t="s">
        <v>53109</v>
      </c>
      <c r="J10490" s="3" t="s">
        <v>1946</v>
      </c>
      <c r="K10490" s="3" t="s">
        <v>53110</v>
      </c>
      <c r="L10490" s="3" t="s">
        <v>53111</v>
      </c>
      <c r="M10490" s="4"/>
      <c r="N10490" s="3" t="s">
        <v>37</v>
      </c>
      <c r="O10490" s="3" t="s">
        <v>38</v>
      </c>
      <c r="P10490" s="5">
        <v>10</v>
      </c>
      <c r="Q10490" s="5">
        <v>122</v>
      </c>
      <c r="R10490" s="5">
        <v>10</v>
      </c>
      <c r="S10490" s="5">
        <v>128</v>
      </c>
    </row>
    <row r="10491" spans="1:19" ht="42" x14ac:dyDescent="0.15">
      <c r="A10491" s="2">
        <f>HYPERLINK("https://open-school.uspishnemisto.com.ua/school/530453/", 530453)</f>
        <v>530453</v>
      </c>
      <c r="B10491" s="3" t="s">
        <v>53112</v>
      </c>
      <c r="C10491" s="3" t="s">
        <v>54</v>
      </c>
      <c r="D10491" s="3" t="s">
        <v>32</v>
      </c>
      <c r="E10491" s="4" t="s">
        <v>22</v>
      </c>
      <c r="F10491" s="4" t="s">
        <v>53113</v>
      </c>
      <c r="G10491" s="4" t="s">
        <v>53114</v>
      </c>
      <c r="H10491" s="3" t="s">
        <v>50910</v>
      </c>
      <c r="I10491" s="3" t="s">
        <v>53115</v>
      </c>
      <c r="J10491" s="3" t="s">
        <v>27841</v>
      </c>
      <c r="K10491" s="3" t="s">
        <v>53116</v>
      </c>
      <c r="L10491" s="3" t="s">
        <v>53117</v>
      </c>
      <c r="M10491" s="4"/>
      <c r="N10491" s="3" t="s">
        <v>37</v>
      </c>
      <c r="O10491" s="3" t="s">
        <v>38</v>
      </c>
      <c r="P10491" s="5">
        <v>4</v>
      </c>
      <c r="Q10491" s="5">
        <v>33</v>
      </c>
      <c r="R10491" s="5">
        <v>6</v>
      </c>
      <c r="S10491" s="5">
        <v>54</v>
      </c>
    </row>
    <row r="10492" spans="1:19" ht="28" x14ac:dyDescent="0.15">
      <c r="A10492" s="2">
        <f>HYPERLINK("https://open-school.uspishnemisto.com.ua/school/530454/", 530454)</f>
        <v>530454</v>
      </c>
      <c r="B10492" s="3" t="s">
        <v>53118</v>
      </c>
      <c r="C10492" s="3" t="s">
        <v>31</v>
      </c>
      <c r="D10492" s="3" t="s">
        <v>32</v>
      </c>
      <c r="E10492" s="4" t="s">
        <v>22</v>
      </c>
      <c r="F10492" s="4" t="s">
        <v>53119</v>
      </c>
      <c r="G10492" s="4" t="s">
        <v>53120</v>
      </c>
      <c r="H10492" s="3" t="s">
        <v>50910</v>
      </c>
      <c r="I10492" s="3" t="s">
        <v>2202</v>
      </c>
      <c r="J10492" s="3" t="s">
        <v>52391</v>
      </c>
      <c r="K10492" s="3" t="s">
        <v>53121</v>
      </c>
      <c r="L10492" s="3"/>
      <c r="M10492" s="4"/>
      <c r="N10492" s="3" t="s">
        <v>37</v>
      </c>
      <c r="O10492" s="3" t="s">
        <v>46</v>
      </c>
      <c r="P10492" s="5">
        <v>11</v>
      </c>
      <c r="Q10492" s="5">
        <v>113</v>
      </c>
      <c r="R10492" s="5">
        <v>11</v>
      </c>
      <c r="S10492" s="5">
        <v>114</v>
      </c>
    </row>
    <row r="10493" spans="1:19" ht="28" x14ac:dyDescent="0.15">
      <c r="A10493" s="2">
        <f>HYPERLINK("https://open-school.uspishnemisto.com.ua/school/530455/", 530455)</f>
        <v>530455</v>
      </c>
      <c r="B10493" s="3" t="s">
        <v>53122</v>
      </c>
      <c r="C10493" s="3" t="s">
        <v>31</v>
      </c>
      <c r="D10493" s="3" t="s">
        <v>32</v>
      </c>
      <c r="E10493" s="4" t="s">
        <v>22</v>
      </c>
      <c r="F10493" s="4" t="s">
        <v>53123</v>
      </c>
      <c r="G10493" s="4" t="s">
        <v>53124</v>
      </c>
      <c r="H10493" s="3" t="s">
        <v>50910</v>
      </c>
      <c r="I10493" s="3" t="s">
        <v>3676</v>
      </c>
      <c r="J10493" s="3" t="s">
        <v>6468</v>
      </c>
      <c r="K10493" s="3" t="s">
        <v>53125</v>
      </c>
      <c r="L10493" s="3" t="s">
        <v>53126</v>
      </c>
      <c r="M10493" s="4"/>
      <c r="N10493" s="3" t="s">
        <v>37</v>
      </c>
      <c r="O10493" s="3" t="s">
        <v>38</v>
      </c>
      <c r="P10493" s="5">
        <v>11</v>
      </c>
      <c r="Q10493" s="5">
        <v>75</v>
      </c>
      <c r="R10493" s="5">
        <v>11</v>
      </c>
      <c r="S10493" s="5">
        <v>81</v>
      </c>
    </row>
    <row r="10494" spans="1:19" ht="42" x14ac:dyDescent="0.15">
      <c r="A10494" s="2">
        <f>HYPERLINK("https://open-school.uspishnemisto.com.ua/school/530456/", 530456)</f>
        <v>530456</v>
      </c>
      <c r="B10494" s="3" t="s">
        <v>53127</v>
      </c>
      <c r="C10494" s="3" t="s">
        <v>31</v>
      </c>
      <c r="D10494" s="3" t="s">
        <v>32</v>
      </c>
      <c r="E10494" s="4" t="s">
        <v>22</v>
      </c>
      <c r="F10494" s="4" t="s">
        <v>53128</v>
      </c>
      <c r="G10494" s="4" t="s">
        <v>53129</v>
      </c>
      <c r="H10494" s="3" t="s">
        <v>50910</v>
      </c>
      <c r="I10494" s="3" t="s">
        <v>17180</v>
      </c>
      <c r="J10494" s="3" t="s">
        <v>7647</v>
      </c>
      <c r="K10494" s="3" t="s">
        <v>53130</v>
      </c>
      <c r="L10494" s="3" t="s">
        <v>53131</v>
      </c>
      <c r="M10494" s="4"/>
      <c r="N10494" s="3" t="s">
        <v>37</v>
      </c>
      <c r="O10494" s="3" t="s">
        <v>38</v>
      </c>
      <c r="P10494" s="5">
        <v>11</v>
      </c>
      <c r="Q10494" s="5">
        <v>186</v>
      </c>
      <c r="R10494" s="5">
        <v>11</v>
      </c>
      <c r="S10494" s="5">
        <v>200</v>
      </c>
    </row>
    <row r="10495" spans="1:19" ht="28" x14ac:dyDescent="0.15">
      <c r="A10495" s="2">
        <f>HYPERLINK("https://open-school.uspishnemisto.com.ua/school/530457/", 530457)</f>
        <v>530457</v>
      </c>
      <c r="B10495" s="3" t="s">
        <v>53132</v>
      </c>
      <c r="C10495" s="3" t="s">
        <v>54</v>
      </c>
      <c r="D10495" s="3" t="s">
        <v>32</v>
      </c>
      <c r="E10495" s="4" t="s">
        <v>22</v>
      </c>
      <c r="F10495" s="4" t="s">
        <v>53133</v>
      </c>
      <c r="G10495" s="4" t="s">
        <v>53134</v>
      </c>
      <c r="H10495" s="3" t="s">
        <v>50910</v>
      </c>
      <c r="I10495" s="3" t="s">
        <v>53135</v>
      </c>
      <c r="J10495" s="3" t="s">
        <v>50157</v>
      </c>
      <c r="K10495" s="3" t="s">
        <v>53136</v>
      </c>
      <c r="L10495" s="3" t="s">
        <v>53137</v>
      </c>
      <c r="M10495" s="4"/>
      <c r="N10495" s="3" t="s">
        <v>37</v>
      </c>
      <c r="O10495" s="3" t="s">
        <v>112</v>
      </c>
      <c r="P10495" s="5">
        <v>7</v>
      </c>
      <c r="Q10495" s="5">
        <v>50</v>
      </c>
      <c r="R10495" s="5">
        <v>6</v>
      </c>
      <c r="S10495" s="5">
        <v>47</v>
      </c>
    </row>
    <row r="10496" spans="1:19" ht="28" x14ac:dyDescent="0.15">
      <c r="A10496" s="2">
        <f>HYPERLINK("https://open-school.uspishnemisto.com.ua/school/530458/", 530458)</f>
        <v>530458</v>
      </c>
      <c r="B10496" s="3" t="s">
        <v>53138</v>
      </c>
      <c r="C10496" s="3" t="s">
        <v>31</v>
      </c>
      <c r="D10496" s="3" t="s">
        <v>32</v>
      </c>
      <c r="E10496" s="4" t="s">
        <v>22</v>
      </c>
      <c r="F10496" s="4" t="s">
        <v>53139</v>
      </c>
      <c r="G10496" s="4" t="s">
        <v>53140</v>
      </c>
      <c r="H10496" s="3" t="s">
        <v>50910</v>
      </c>
      <c r="I10496" s="3" t="s">
        <v>53141</v>
      </c>
      <c r="J10496" s="3" t="s">
        <v>53142</v>
      </c>
      <c r="K10496" s="3" t="s">
        <v>53143</v>
      </c>
      <c r="L10496" s="3"/>
      <c r="M10496" s="4"/>
      <c r="N10496" s="3" t="s">
        <v>37</v>
      </c>
      <c r="O10496" s="3" t="s">
        <v>70</v>
      </c>
      <c r="P10496" s="5">
        <v>11</v>
      </c>
      <c r="Q10496" s="5">
        <v>115</v>
      </c>
      <c r="R10496" s="5">
        <v>11</v>
      </c>
      <c r="S10496" s="5">
        <v>126</v>
      </c>
    </row>
    <row r="10497" spans="1:19" ht="28" x14ac:dyDescent="0.15">
      <c r="A10497" s="2">
        <f>HYPERLINK("https://open-school.uspishnemisto.com.ua/school/530459/", 530459)</f>
        <v>530459</v>
      </c>
      <c r="B10497" s="3" t="s">
        <v>53144</v>
      </c>
      <c r="C10497" s="3" t="s">
        <v>54</v>
      </c>
      <c r="D10497" s="3" t="s">
        <v>32</v>
      </c>
      <c r="E10497" s="4" t="s">
        <v>22</v>
      </c>
      <c r="F10497" s="4" t="s">
        <v>53145</v>
      </c>
      <c r="G10497" s="4" t="s">
        <v>53146</v>
      </c>
      <c r="H10497" s="3" t="s">
        <v>50910</v>
      </c>
      <c r="I10497" s="3" t="s">
        <v>53147</v>
      </c>
      <c r="J10497" s="3" t="s">
        <v>2687</v>
      </c>
      <c r="K10497" s="3" t="s">
        <v>53148</v>
      </c>
      <c r="L10497" s="3"/>
      <c r="M10497" s="4" t="s">
        <v>53149</v>
      </c>
      <c r="N10497" s="3" t="s">
        <v>37</v>
      </c>
      <c r="O10497" s="3" t="s">
        <v>70</v>
      </c>
      <c r="P10497" s="5">
        <v>34</v>
      </c>
      <c r="Q10497" s="5">
        <v>880</v>
      </c>
      <c r="R10497" s="5">
        <v>33</v>
      </c>
      <c r="S10497" s="5">
        <v>862</v>
      </c>
    </row>
    <row r="10498" spans="1:19" ht="28" x14ac:dyDescent="0.15">
      <c r="A10498" s="2">
        <f>HYPERLINK("https://open-school.uspishnemisto.com.ua/school/530460/", 530460)</f>
        <v>530460</v>
      </c>
      <c r="B10498" s="3" t="s">
        <v>53150</v>
      </c>
      <c r="C10498" s="3" t="s">
        <v>54</v>
      </c>
      <c r="D10498" s="3" t="s">
        <v>175</v>
      </c>
      <c r="E10498" s="4" t="s">
        <v>22</v>
      </c>
      <c r="F10498" s="4" t="s">
        <v>53151</v>
      </c>
      <c r="G10498" s="4" t="s">
        <v>53152</v>
      </c>
      <c r="H10498" s="3" t="s">
        <v>50910</v>
      </c>
      <c r="I10498" s="3" t="s">
        <v>3790</v>
      </c>
      <c r="J10498" s="3" t="s">
        <v>53153</v>
      </c>
      <c r="K10498" s="3"/>
      <c r="L10498" s="3"/>
      <c r="M10498" s="4"/>
      <c r="N10498" s="3" t="s">
        <v>37</v>
      </c>
      <c r="O10498" s="3" t="s">
        <v>38</v>
      </c>
      <c r="P10498" s="5">
        <v>5</v>
      </c>
      <c r="Q10498" s="5">
        <v>38</v>
      </c>
      <c r="R10498" s="5">
        <v>5</v>
      </c>
      <c r="S10498" s="5">
        <v>37</v>
      </c>
    </row>
    <row r="10499" spans="1:19" ht="28" x14ac:dyDescent="0.15">
      <c r="A10499" s="2">
        <f>HYPERLINK("https://open-school.uspishnemisto.com.ua/school/530461/", 530461)</f>
        <v>530461</v>
      </c>
      <c r="B10499" s="3" t="s">
        <v>53154</v>
      </c>
      <c r="C10499" s="3" t="s">
        <v>31</v>
      </c>
      <c r="D10499" s="3" t="s">
        <v>32</v>
      </c>
      <c r="E10499" s="4" t="s">
        <v>22</v>
      </c>
      <c r="F10499" s="4" t="s">
        <v>53155</v>
      </c>
      <c r="G10499" s="4" t="s">
        <v>53156</v>
      </c>
      <c r="H10499" s="3" t="s">
        <v>50910</v>
      </c>
      <c r="I10499" s="3" t="s">
        <v>53157</v>
      </c>
      <c r="J10499" s="3" t="s">
        <v>1001</v>
      </c>
      <c r="K10499" s="3" t="s">
        <v>53158</v>
      </c>
      <c r="L10499" s="3"/>
      <c r="M10499" s="4"/>
      <c r="N10499" s="3" t="s">
        <v>37</v>
      </c>
      <c r="O10499" s="3" t="s">
        <v>38</v>
      </c>
      <c r="P10499" s="5">
        <v>8</v>
      </c>
      <c r="Q10499" s="5">
        <v>67</v>
      </c>
      <c r="R10499" s="5">
        <v>7</v>
      </c>
      <c r="S10499" s="5">
        <v>65</v>
      </c>
    </row>
    <row r="10500" spans="1:19" ht="28" x14ac:dyDescent="0.15">
      <c r="A10500" s="2">
        <f>HYPERLINK("https://open-school.uspishnemisto.com.ua/school/530462/", 530462)</f>
        <v>530462</v>
      </c>
      <c r="B10500" s="3" t="s">
        <v>53159</v>
      </c>
      <c r="C10500" s="3" t="s">
        <v>31</v>
      </c>
      <c r="D10500" s="3" t="s">
        <v>175</v>
      </c>
      <c r="E10500" s="4" t="s">
        <v>22</v>
      </c>
      <c r="F10500" s="4" t="s">
        <v>53160</v>
      </c>
      <c r="G10500" s="4" t="s">
        <v>53161</v>
      </c>
      <c r="H10500" s="3" t="s">
        <v>50910</v>
      </c>
      <c r="I10500" s="3" t="s">
        <v>53162</v>
      </c>
      <c r="J10500" s="3" t="s">
        <v>53163</v>
      </c>
      <c r="K10500" s="3" t="s">
        <v>53164</v>
      </c>
      <c r="L10500" s="3"/>
      <c r="M10500" s="4"/>
      <c r="N10500" s="3" t="s">
        <v>37</v>
      </c>
      <c r="O10500" s="3" t="s">
        <v>52</v>
      </c>
      <c r="P10500" s="5">
        <v>0</v>
      </c>
      <c r="Q10500" s="5">
        <v>0</v>
      </c>
      <c r="R10500" s="5">
        <v>5</v>
      </c>
      <c r="S10500" s="5">
        <v>41</v>
      </c>
    </row>
    <row r="10501" spans="1:19" ht="28" x14ac:dyDescent="0.15">
      <c r="A10501" s="2">
        <f>HYPERLINK("https://open-school.uspishnemisto.com.ua/school/530463/", 530463)</f>
        <v>530463</v>
      </c>
      <c r="B10501" s="3" t="s">
        <v>53165</v>
      </c>
      <c r="C10501" s="3" t="s">
        <v>31</v>
      </c>
      <c r="D10501" s="3" t="s">
        <v>60</v>
      </c>
      <c r="E10501" s="4" t="s">
        <v>22</v>
      </c>
      <c r="F10501" s="4" t="s">
        <v>53166</v>
      </c>
      <c r="G10501" s="4" t="s">
        <v>53167</v>
      </c>
      <c r="H10501" s="3" t="s">
        <v>50910</v>
      </c>
      <c r="I10501" s="3" t="s">
        <v>53168</v>
      </c>
      <c r="J10501" s="3" t="s">
        <v>53169</v>
      </c>
      <c r="K10501" s="3" t="s">
        <v>53170</v>
      </c>
      <c r="L10501" s="3"/>
      <c r="M10501" s="4"/>
      <c r="N10501" s="3" t="s">
        <v>37</v>
      </c>
      <c r="O10501" s="3" t="s">
        <v>38</v>
      </c>
      <c r="P10501" s="5">
        <v>0</v>
      </c>
      <c r="Q10501" s="5">
        <v>10</v>
      </c>
      <c r="R10501" s="5">
        <v>0</v>
      </c>
      <c r="S10501" s="5">
        <v>10</v>
      </c>
    </row>
    <row r="10502" spans="1:19" ht="56" x14ac:dyDescent="0.15">
      <c r="A10502" s="2">
        <f>HYPERLINK("https://open-school.uspishnemisto.com.ua/school/530464/", 530464)</f>
        <v>530464</v>
      </c>
      <c r="B10502" s="3" t="s">
        <v>53171</v>
      </c>
      <c r="C10502" s="3" t="s">
        <v>54</v>
      </c>
      <c r="D10502" s="3"/>
      <c r="E10502" s="4" t="s">
        <v>22</v>
      </c>
      <c r="F10502" s="4" t="s">
        <v>53172</v>
      </c>
      <c r="G10502" s="4" t="s">
        <v>53173</v>
      </c>
      <c r="H10502" s="3" t="s">
        <v>50910</v>
      </c>
      <c r="I10502" s="3" t="s">
        <v>53174</v>
      </c>
      <c r="J10502" s="3" t="s">
        <v>447</v>
      </c>
      <c r="K10502" s="3" t="s">
        <v>53175</v>
      </c>
      <c r="L10502" s="3"/>
      <c r="M10502" s="4"/>
      <c r="N10502" s="3" t="s">
        <v>37</v>
      </c>
      <c r="O10502" s="3" t="s">
        <v>38</v>
      </c>
      <c r="P10502" s="5">
        <v>9</v>
      </c>
      <c r="Q10502" s="5">
        <v>84</v>
      </c>
      <c r="R10502" s="5">
        <v>8</v>
      </c>
      <c r="S10502" s="5">
        <v>78</v>
      </c>
    </row>
    <row r="10503" spans="1:19" ht="42" x14ac:dyDescent="0.15">
      <c r="A10503" s="2">
        <f>HYPERLINK("https://open-school.uspishnemisto.com.ua/school/530465/", 530465)</f>
        <v>530465</v>
      </c>
      <c r="B10503" s="3" t="s">
        <v>53176</v>
      </c>
      <c r="C10503" s="3" t="s">
        <v>31</v>
      </c>
      <c r="D10503" s="3" t="s">
        <v>175</v>
      </c>
      <c r="E10503" s="4" t="s">
        <v>22</v>
      </c>
      <c r="F10503" s="4" t="s">
        <v>53145</v>
      </c>
      <c r="G10503" s="4" t="s">
        <v>53177</v>
      </c>
      <c r="H10503" s="3" t="s">
        <v>50910</v>
      </c>
      <c r="I10503" s="3" t="s">
        <v>53178</v>
      </c>
      <c r="J10503" s="3" t="s">
        <v>1636</v>
      </c>
      <c r="K10503" s="3" t="s">
        <v>53179</v>
      </c>
      <c r="L10503" s="3"/>
      <c r="M10503" s="4"/>
      <c r="N10503" s="3" t="s">
        <v>37</v>
      </c>
      <c r="O10503" s="3" t="s">
        <v>38</v>
      </c>
      <c r="P10503" s="5">
        <v>8</v>
      </c>
      <c r="Q10503" s="5">
        <v>76</v>
      </c>
      <c r="R10503" s="5">
        <v>8</v>
      </c>
      <c r="S10503" s="5">
        <v>73</v>
      </c>
    </row>
    <row r="10504" spans="1:19" ht="28" x14ac:dyDescent="0.15">
      <c r="A10504" s="2">
        <f>HYPERLINK("https://open-school.uspishnemisto.com.ua/school/530466/", 530466)</f>
        <v>530466</v>
      </c>
      <c r="B10504" s="3" t="s">
        <v>53180</v>
      </c>
      <c r="C10504" s="3" t="s">
        <v>31</v>
      </c>
      <c r="D10504" s="3" t="s">
        <v>32</v>
      </c>
      <c r="E10504" s="4" t="s">
        <v>22</v>
      </c>
      <c r="F10504" s="4" t="s">
        <v>53181</v>
      </c>
      <c r="G10504" s="4" t="s">
        <v>53182</v>
      </c>
      <c r="H10504" s="3" t="s">
        <v>50910</v>
      </c>
      <c r="I10504" s="3" t="s">
        <v>53183</v>
      </c>
      <c r="J10504" s="3" t="s">
        <v>447</v>
      </c>
      <c r="K10504" s="3"/>
      <c r="L10504" s="3"/>
      <c r="M10504" s="4"/>
      <c r="N10504" s="3" t="s">
        <v>37</v>
      </c>
      <c r="O10504" s="3" t="s">
        <v>38</v>
      </c>
      <c r="P10504" s="5">
        <v>10</v>
      </c>
      <c r="Q10504" s="5">
        <v>89</v>
      </c>
      <c r="R10504" s="5">
        <v>11</v>
      </c>
      <c r="S10504" s="5">
        <v>86</v>
      </c>
    </row>
    <row r="10505" spans="1:19" ht="28" x14ac:dyDescent="0.15">
      <c r="A10505" s="2">
        <f>HYPERLINK("https://open-school.uspishnemisto.com.ua/school/530467/", 530467)</f>
        <v>530467</v>
      </c>
      <c r="B10505" s="3" t="s">
        <v>53184</v>
      </c>
      <c r="C10505" s="3" t="s">
        <v>31</v>
      </c>
      <c r="D10505" s="3" t="s">
        <v>32</v>
      </c>
      <c r="E10505" s="4" t="s">
        <v>22</v>
      </c>
      <c r="F10505" s="4" t="s">
        <v>53185</v>
      </c>
      <c r="G10505" s="4" t="s">
        <v>53186</v>
      </c>
      <c r="H10505" s="3" t="s">
        <v>50910</v>
      </c>
      <c r="I10505" s="3" t="s">
        <v>53187</v>
      </c>
      <c r="J10505" s="3" t="s">
        <v>53188</v>
      </c>
      <c r="K10505" s="3" t="s">
        <v>53189</v>
      </c>
      <c r="L10505" s="3" t="s">
        <v>53190</v>
      </c>
      <c r="M10505" s="4"/>
      <c r="N10505" s="3" t="s">
        <v>37</v>
      </c>
      <c r="O10505" s="3" t="s">
        <v>70</v>
      </c>
      <c r="P10505" s="5">
        <v>8</v>
      </c>
      <c r="Q10505" s="5">
        <v>50</v>
      </c>
      <c r="R10505" s="5">
        <v>8</v>
      </c>
      <c r="S10505" s="5">
        <v>52</v>
      </c>
    </row>
    <row r="10506" spans="1:19" ht="28" x14ac:dyDescent="0.15">
      <c r="A10506" s="2">
        <f>HYPERLINK("https://open-school.uspishnemisto.com.ua/school/530468/", 530468)</f>
        <v>530468</v>
      </c>
      <c r="B10506" s="3" t="s">
        <v>53191</v>
      </c>
      <c r="C10506" s="3" t="s">
        <v>31</v>
      </c>
      <c r="D10506" s="3" t="s">
        <v>32</v>
      </c>
      <c r="E10506" s="4" t="s">
        <v>22</v>
      </c>
      <c r="F10506" s="4" t="s">
        <v>53192</v>
      </c>
      <c r="G10506" s="4" t="s">
        <v>53193</v>
      </c>
      <c r="H10506" s="3" t="s">
        <v>50910</v>
      </c>
      <c r="I10506" s="3" t="s">
        <v>53194</v>
      </c>
      <c r="J10506" s="3" t="s">
        <v>49700</v>
      </c>
      <c r="K10506" s="3" t="s">
        <v>53195</v>
      </c>
      <c r="L10506" s="3"/>
      <c r="M10506" s="4"/>
      <c r="N10506" s="3" t="s">
        <v>37</v>
      </c>
      <c r="O10506" s="3" t="s">
        <v>38</v>
      </c>
      <c r="P10506" s="5">
        <v>8</v>
      </c>
      <c r="Q10506" s="5">
        <v>68</v>
      </c>
      <c r="R10506" s="5">
        <v>9</v>
      </c>
      <c r="S10506" s="5">
        <v>71</v>
      </c>
    </row>
    <row r="10507" spans="1:19" ht="28" x14ac:dyDescent="0.15">
      <c r="A10507" s="2">
        <f>HYPERLINK("https://open-school.uspishnemisto.com.ua/school/530469/", 530469)</f>
        <v>530469</v>
      </c>
      <c r="B10507" s="3" t="s">
        <v>53196</v>
      </c>
      <c r="C10507" s="3" t="s">
        <v>31</v>
      </c>
      <c r="D10507" s="3" t="s">
        <v>175</v>
      </c>
      <c r="E10507" s="4" t="s">
        <v>22</v>
      </c>
      <c r="F10507" s="4" t="s">
        <v>53197</v>
      </c>
      <c r="G10507" s="4" t="s">
        <v>53198</v>
      </c>
      <c r="H10507" s="3" t="s">
        <v>50910</v>
      </c>
      <c r="I10507" s="3" t="s">
        <v>53199</v>
      </c>
      <c r="J10507" s="3" t="s">
        <v>53200</v>
      </c>
      <c r="K10507" s="3" t="s">
        <v>53201</v>
      </c>
      <c r="L10507" s="3"/>
      <c r="M10507" s="4"/>
      <c r="N10507" s="3" t="s">
        <v>37</v>
      </c>
      <c r="O10507" s="3" t="s">
        <v>38</v>
      </c>
      <c r="P10507" s="5">
        <v>11</v>
      </c>
      <c r="Q10507" s="5">
        <v>130</v>
      </c>
      <c r="R10507" s="5">
        <v>11</v>
      </c>
      <c r="S10507" s="5">
        <v>132</v>
      </c>
    </row>
    <row r="10508" spans="1:19" ht="56" x14ac:dyDescent="0.15">
      <c r="A10508" s="2">
        <f>HYPERLINK("https://open-school.uspishnemisto.com.ua/school/530470/", 530470)</f>
        <v>530470</v>
      </c>
      <c r="B10508" s="3" t="s">
        <v>53202</v>
      </c>
      <c r="C10508" s="3" t="s">
        <v>54</v>
      </c>
      <c r="D10508" s="3" t="s">
        <v>175</v>
      </c>
      <c r="E10508" s="4" t="s">
        <v>22</v>
      </c>
      <c r="F10508" s="4" t="s">
        <v>53203</v>
      </c>
      <c r="G10508" s="4" t="s">
        <v>53204</v>
      </c>
      <c r="H10508" s="3" t="s">
        <v>50910</v>
      </c>
      <c r="I10508" s="3" t="s">
        <v>53205</v>
      </c>
      <c r="J10508" s="3" t="s">
        <v>878</v>
      </c>
      <c r="K10508" s="3" t="s">
        <v>53206</v>
      </c>
      <c r="L10508" s="3"/>
      <c r="M10508" s="4"/>
      <c r="N10508" s="3" t="s">
        <v>37</v>
      </c>
      <c r="O10508" s="3" t="s">
        <v>38</v>
      </c>
      <c r="P10508" s="5">
        <v>4</v>
      </c>
      <c r="Q10508" s="5">
        <v>28</v>
      </c>
      <c r="R10508" s="5">
        <v>4</v>
      </c>
      <c r="S10508" s="5">
        <v>32</v>
      </c>
    </row>
    <row r="10509" spans="1:19" ht="28" x14ac:dyDescent="0.15">
      <c r="A10509" s="2">
        <f>HYPERLINK("https://open-school.uspishnemisto.com.ua/school/530471/", 530471)</f>
        <v>530471</v>
      </c>
      <c r="B10509" s="3" t="s">
        <v>53207</v>
      </c>
      <c r="C10509" s="3" t="s">
        <v>31</v>
      </c>
      <c r="D10509" s="3" t="s">
        <v>32</v>
      </c>
      <c r="E10509" s="4" t="s">
        <v>22</v>
      </c>
      <c r="F10509" s="4" t="s">
        <v>53208</v>
      </c>
      <c r="G10509" s="4" t="s">
        <v>53209</v>
      </c>
      <c r="H10509" s="3" t="s">
        <v>50910</v>
      </c>
      <c r="I10509" s="3" t="s">
        <v>53210</v>
      </c>
      <c r="J10509" s="3" t="s">
        <v>2052</v>
      </c>
      <c r="K10509" s="3" t="s">
        <v>53211</v>
      </c>
      <c r="L10509" s="3" t="s">
        <v>53212</v>
      </c>
      <c r="M10509" s="4"/>
      <c r="N10509" s="3" t="s">
        <v>37</v>
      </c>
      <c r="O10509" s="3" t="s">
        <v>70</v>
      </c>
      <c r="P10509" s="5">
        <v>10</v>
      </c>
      <c r="Q10509" s="5">
        <v>100</v>
      </c>
      <c r="R10509" s="5">
        <v>10</v>
      </c>
      <c r="S10509" s="5">
        <v>85</v>
      </c>
    </row>
    <row r="10510" spans="1:19" ht="42" x14ac:dyDescent="0.15">
      <c r="A10510" s="2">
        <f>HYPERLINK("https://open-school.uspishnemisto.com.ua/school/530472/", 530472)</f>
        <v>530472</v>
      </c>
      <c r="B10510" s="3" t="s">
        <v>53213</v>
      </c>
      <c r="C10510" s="3" t="s">
        <v>31</v>
      </c>
      <c r="D10510" s="3" t="s">
        <v>32</v>
      </c>
      <c r="E10510" s="4" t="s">
        <v>22</v>
      </c>
      <c r="F10510" s="4" t="s">
        <v>53214</v>
      </c>
      <c r="G10510" s="4" t="s">
        <v>53215</v>
      </c>
      <c r="H10510" s="3" t="s">
        <v>50910</v>
      </c>
      <c r="I10510" s="3" t="s">
        <v>53216</v>
      </c>
      <c r="J10510" s="3" t="s">
        <v>53217</v>
      </c>
      <c r="K10510" s="3" t="s">
        <v>53218</v>
      </c>
      <c r="L10510" s="3"/>
      <c r="M10510" s="4"/>
      <c r="N10510" s="3" t="s">
        <v>37</v>
      </c>
      <c r="O10510" s="3" t="s">
        <v>38</v>
      </c>
      <c r="P10510" s="5">
        <v>11</v>
      </c>
      <c r="Q10510" s="5">
        <v>155</v>
      </c>
      <c r="R10510" s="5">
        <v>11</v>
      </c>
      <c r="S10510" s="5">
        <v>152</v>
      </c>
    </row>
    <row r="10511" spans="1:19" ht="28" x14ac:dyDescent="0.15">
      <c r="A10511" s="2">
        <f>HYPERLINK("https://open-school.uspishnemisto.com.ua/school/530473/", 530473)</f>
        <v>530473</v>
      </c>
      <c r="B10511" s="3" t="s">
        <v>53219</v>
      </c>
      <c r="C10511" s="3" t="s">
        <v>31</v>
      </c>
      <c r="D10511" s="3" t="s">
        <v>32</v>
      </c>
      <c r="E10511" s="4" t="s">
        <v>22</v>
      </c>
      <c r="F10511" s="4" t="s">
        <v>53220</v>
      </c>
      <c r="G10511" s="4" t="s">
        <v>53221</v>
      </c>
      <c r="H10511" s="3" t="s">
        <v>50910</v>
      </c>
      <c r="I10511" s="3" t="s">
        <v>53222</v>
      </c>
      <c r="J10511" s="3" t="s">
        <v>53223</v>
      </c>
      <c r="K10511" s="3" t="s">
        <v>53224</v>
      </c>
      <c r="L10511" s="3"/>
      <c r="M10511" s="4"/>
      <c r="N10511" s="3" t="s">
        <v>37</v>
      </c>
      <c r="O10511" s="3" t="s">
        <v>38</v>
      </c>
      <c r="P10511" s="5">
        <v>9</v>
      </c>
      <c r="Q10511" s="5">
        <v>78</v>
      </c>
      <c r="R10511" s="5">
        <v>9</v>
      </c>
      <c r="S10511" s="5">
        <v>72</v>
      </c>
    </row>
    <row r="10512" spans="1:19" ht="42" x14ac:dyDescent="0.15">
      <c r="A10512" s="2">
        <f>HYPERLINK("https://open-school.uspishnemisto.com.ua/school/530474/", 530474)</f>
        <v>530474</v>
      </c>
      <c r="B10512" s="3" t="s">
        <v>53225</v>
      </c>
      <c r="C10512" s="3" t="s">
        <v>31</v>
      </c>
      <c r="D10512" s="3" t="s">
        <v>32</v>
      </c>
      <c r="E10512" s="4" t="s">
        <v>22</v>
      </c>
      <c r="F10512" s="4" t="s">
        <v>53226</v>
      </c>
      <c r="G10512" s="4" t="s">
        <v>53227</v>
      </c>
      <c r="H10512" s="3" t="s">
        <v>50910</v>
      </c>
      <c r="I10512" s="3" t="s">
        <v>53228</v>
      </c>
      <c r="J10512" s="3" t="s">
        <v>53229</v>
      </c>
      <c r="K10512" s="3" t="s">
        <v>36953</v>
      </c>
      <c r="L10512" s="3" t="s">
        <v>53230</v>
      </c>
      <c r="M10512" s="4"/>
      <c r="N10512" s="3" t="s">
        <v>37</v>
      </c>
      <c r="O10512" s="3" t="s">
        <v>38</v>
      </c>
      <c r="P10512" s="5">
        <v>9</v>
      </c>
      <c r="Q10512" s="5">
        <v>83</v>
      </c>
      <c r="R10512" s="5">
        <v>8</v>
      </c>
      <c r="S10512" s="5">
        <v>70</v>
      </c>
    </row>
    <row r="10513" spans="1:19" ht="28" x14ac:dyDescent="0.15">
      <c r="A10513" s="2">
        <f>HYPERLINK("https://open-school.uspishnemisto.com.ua/school/530475/", 530475)</f>
        <v>530475</v>
      </c>
      <c r="B10513" s="3" t="s">
        <v>53231</v>
      </c>
      <c r="C10513" s="3" t="s">
        <v>31</v>
      </c>
      <c r="D10513" s="3" t="s">
        <v>32</v>
      </c>
      <c r="E10513" s="4" t="s">
        <v>22</v>
      </c>
      <c r="F10513" s="4" t="s">
        <v>53232</v>
      </c>
      <c r="G10513" s="4" t="s">
        <v>53233</v>
      </c>
      <c r="H10513" s="3" t="s">
        <v>50910</v>
      </c>
      <c r="I10513" s="3" t="s">
        <v>53234</v>
      </c>
      <c r="J10513" s="3" t="s">
        <v>53235</v>
      </c>
      <c r="K10513" s="3" t="s">
        <v>53236</v>
      </c>
      <c r="L10513" s="3" t="s">
        <v>53237</v>
      </c>
      <c r="M10513" s="4"/>
      <c r="N10513" s="3" t="s">
        <v>37</v>
      </c>
      <c r="O10513" s="3" t="s">
        <v>38</v>
      </c>
      <c r="P10513" s="5">
        <v>11</v>
      </c>
      <c r="Q10513" s="5">
        <v>178</v>
      </c>
      <c r="R10513" s="5">
        <v>11</v>
      </c>
      <c r="S10513" s="5">
        <v>163</v>
      </c>
    </row>
    <row r="10514" spans="1:19" ht="42" x14ac:dyDescent="0.15">
      <c r="A10514" s="2">
        <f>HYPERLINK("https://open-school.uspishnemisto.com.ua/school/530476/", 530476)</f>
        <v>530476</v>
      </c>
      <c r="B10514" s="3" t="s">
        <v>53238</v>
      </c>
      <c r="C10514" s="3" t="s">
        <v>31</v>
      </c>
      <c r="D10514" s="3" t="s">
        <v>60</v>
      </c>
      <c r="E10514" s="4" t="s">
        <v>22</v>
      </c>
      <c r="F10514" s="4" t="s">
        <v>53239</v>
      </c>
      <c r="G10514" s="4" t="s">
        <v>53240</v>
      </c>
      <c r="H10514" s="3" t="s">
        <v>50910</v>
      </c>
      <c r="I10514" s="3" t="s">
        <v>987</v>
      </c>
      <c r="J10514" s="3" t="s">
        <v>53241</v>
      </c>
      <c r="K10514" s="3" t="s">
        <v>53242</v>
      </c>
      <c r="L10514" s="3"/>
      <c r="M10514" s="4"/>
      <c r="N10514" s="3" t="s">
        <v>37</v>
      </c>
      <c r="O10514" s="3" t="s">
        <v>52</v>
      </c>
      <c r="P10514" s="5">
        <v>1</v>
      </c>
      <c r="Q10514" s="5">
        <v>8</v>
      </c>
      <c r="R10514" s="5">
        <v>0</v>
      </c>
      <c r="S10514" s="5">
        <v>5</v>
      </c>
    </row>
    <row r="10515" spans="1:19" ht="56" x14ac:dyDescent="0.15">
      <c r="A10515" s="2">
        <f>HYPERLINK("https://open-school.uspishnemisto.com.ua/school/530477/", 530477)</f>
        <v>530477</v>
      </c>
      <c r="B10515" s="3" t="s">
        <v>53243</v>
      </c>
      <c r="C10515" s="3" t="s">
        <v>54</v>
      </c>
      <c r="D10515" s="3" t="s">
        <v>175</v>
      </c>
      <c r="E10515" s="4" t="s">
        <v>22</v>
      </c>
      <c r="F10515" s="4" t="s">
        <v>53214</v>
      </c>
      <c r="G10515" s="4" t="s">
        <v>53244</v>
      </c>
      <c r="H10515" s="3" t="s">
        <v>50910</v>
      </c>
      <c r="I10515" s="3" t="s">
        <v>3409</v>
      </c>
      <c r="J10515" s="3" t="s">
        <v>53245</v>
      </c>
      <c r="K10515" s="3" t="s">
        <v>53246</v>
      </c>
      <c r="L10515" s="3"/>
      <c r="M10515" s="4"/>
      <c r="N10515" s="3" t="s">
        <v>37</v>
      </c>
      <c r="O10515" s="3" t="s">
        <v>38</v>
      </c>
      <c r="P10515" s="5">
        <v>8</v>
      </c>
      <c r="Q10515" s="5">
        <v>56</v>
      </c>
      <c r="R10515" s="5">
        <v>7</v>
      </c>
      <c r="S10515" s="5">
        <v>51</v>
      </c>
    </row>
    <row r="10516" spans="1:19" ht="42" x14ac:dyDescent="0.15">
      <c r="A10516" s="2">
        <f>HYPERLINK("https://open-school.uspishnemisto.com.ua/school/530478/", 530478)</f>
        <v>530478</v>
      </c>
      <c r="B10516" s="3" t="s">
        <v>53247</v>
      </c>
      <c r="C10516" s="3" t="s">
        <v>54</v>
      </c>
      <c r="D10516" s="3" t="s">
        <v>32</v>
      </c>
      <c r="E10516" s="4" t="s">
        <v>22</v>
      </c>
      <c r="F10516" s="4" t="s">
        <v>53248</v>
      </c>
      <c r="G10516" s="4" t="s">
        <v>53249</v>
      </c>
      <c r="H10516" s="3" t="s">
        <v>50910</v>
      </c>
      <c r="I10516" s="3" t="s">
        <v>53250</v>
      </c>
      <c r="J10516" s="3" t="s">
        <v>53251</v>
      </c>
      <c r="K10516" s="3" t="s">
        <v>53252</v>
      </c>
      <c r="L10516" s="3" t="s">
        <v>53253</v>
      </c>
      <c r="M10516" s="4"/>
      <c r="N10516" s="3" t="s">
        <v>37</v>
      </c>
      <c r="O10516" s="3" t="s">
        <v>38</v>
      </c>
      <c r="P10516" s="5">
        <v>9</v>
      </c>
      <c r="Q10516" s="5">
        <v>67</v>
      </c>
      <c r="R10516" s="5">
        <v>7</v>
      </c>
      <c r="S10516" s="5">
        <v>60</v>
      </c>
    </row>
    <row r="10517" spans="1:19" ht="42" x14ac:dyDescent="0.15">
      <c r="A10517" s="2">
        <f>HYPERLINK("https://open-school.uspishnemisto.com.ua/school/530479/", 530479)</f>
        <v>530479</v>
      </c>
      <c r="B10517" s="3" t="s">
        <v>53254</v>
      </c>
      <c r="C10517" s="3" t="s">
        <v>31</v>
      </c>
      <c r="D10517" s="3" t="s">
        <v>32</v>
      </c>
      <c r="E10517" s="4" t="s">
        <v>22</v>
      </c>
      <c r="F10517" s="4" t="s">
        <v>53255</v>
      </c>
      <c r="G10517" s="4" t="s">
        <v>53256</v>
      </c>
      <c r="H10517" s="3" t="s">
        <v>50910</v>
      </c>
      <c r="I10517" s="3" t="s">
        <v>53257</v>
      </c>
      <c r="J10517" s="3" t="s">
        <v>53258</v>
      </c>
      <c r="K10517" s="3" t="s">
        <v>53259</v>
      </c>
      <c r="L10517" s="3" t="s">
        <v>53260</v>
      </c>
      <c r="M10517" s="4"/>
      <c r="N10517" s="3" t="s">
        <v>37</v>
      </c>
      <c r="O10517" s="3" t="s">
        <v>2740</v>
      </c>
      <c r="P10517" s="5">
        <v>11</v>
      </c>
      <c r="Q10517" s="5">
        <v>101</v>
      </c>
      <c r="R10517" s="5">
        <v>11</v>
      </c>
      <c r="S10517" s="5">
        <v>98</v>
      </c>
    </row>
    <row r="10518" spans="1:19" ht="42" x14ac:dyDescent="0.15">
      <c r="A10518" s="2">
        <f>HYPERLINK("https://open-school.uspishnemisto.com.ua/school/530480/", 530480)</f>
        <v>530480</v>
      </c>
      <c r="B10518" s="3" t="s">
        <v>53261</v>
      </c>
      <c r="C10518" s="3" t="s">
        <v>31</v>
      </c>
      <c r="D10518" s="3" t="s">
        <v>32</v>
      </c>
      <c r="E10518" s="4" t="s">
        <v>22</v>
      </c>
      <c r="F10518" s="4" t="s">
        <v>53262</v>
      </c>
      <c r="G10518" s="4" t="s">
        <v>53263</v>
      </c>
      <c r="H10518" s="3" t="s">
        <v>50910</v>
      </c>
      <c r="I10518" s="3" t="s">
        <v>53264</v>
      </c>
      <c r="J10518" s="3" t="s">
        <v>792</v>
      </c>
      <c r="K10518" s="3" t="s">
        <v>53265</v>
      </c>
      <c r="L10518" s="3" t="s">
        <v>53266</v>
      </c>
      <c r="M10518" s="4"/>
      <c r="N10518" s="3" t="s">
        <v>37</v>
      </c>
      <c r="O10518" s="3" t="s">
        <v>38</v>
      </c>
      <c r="P10518" s="5">
        <v>24</v>
      </c>
      <c r="Q10518" s="5">
        <v>384</v>
      </c>
      <c r="R10518" s="5">
        <v>16</v>
      </c>
      <c r="S10518" s="5">
        <v>293</v>
      </c>
    </row>
    <row r="10519" spans="1:19" ht="56" x14ac:dyDescent="0.15">
      <c r="A10519" s="2">
        <f>HYPERLINK("https://open-school.uspishnemisto.com.ua/school/530481/", 530481)</f>
        <v>530481</v>
      </c>
      <c r="B10519" s="3" t="s">
        <v>53267</v>
      </c>
      <c r="C10519" s="3" t="s">
        <v>31</v>
      </c>
      <c r="D10519" s="3"/>
      <c r="E10519" s="4" t="s">
        <v>22</v>
      </c>
      <c r="F10519" s="4" t="s">
        <v>53262</v>
      </c>
      <c r="G10519" s="4" t="s">
        <v>53268</v>
      </c>
      <c r="H10519" s="3" t="s">
        <v>50910</v>
      </c>
      <c r="I10519" s="3" t="s">
        <v>39316</v>
      </c>
      <c r="J10519" s="3" t="s">
        <v>53269</v>
      </c>
      <c r="K10519" s="3" t="s">
        <v>53270</v>
      </c>
      <c r="L10519" s="3" t="s">
        <v>53271</v>
      </c>
      <c r="M10519" s="4"/>
      <c r="N10519" s="3" t="s">
        <v>37</v>
      </c>
      <c r="O10519" s="3" t="s">
        <v>52</v>
      </c>
      <c r="P10519" s="5">
        <v>0</v>
      </c>
      <c r="Q10519" s="5">
        <v>0</v>
      </c>
      <c r="R10519" s="5">
        <v>5</v>
      </c>
      <c r="S10519" s="5">
        <v>44</v>
      </c>
    </row>
    <row r="10520" spans="1:19" ht="28" x14ac:dyDescent="0.15">
      <c r="A10520" s="2">
        <f>HYPERLINK("https://open-school.uspishnemisto.com.ua/school/530482/", 530482)</f>
        <v>530482</v>
      </c>
      <c r="B10520" s="3" t="s">
        <v>53272</v>
      </c>
      <c r="C10520" s="3" t="s">
        <v>31</v>
      </c>
      <c r="D10520" s="3" t="s">
        <v>32</v>
      </c>
      <c r="E10520" s="4" t="s">
        <v>22</v>
      </c>
      <c r="F10520" s="4" t="s">
        <v>53273</v>
      </c>
      <c r="G10520" s="4" t="s">
        <v>53274</v>
      </c>
      <c r="H10520" s="3" t="s">
        <v>50910</v>
      </c>
      <c r="I10520" s="3" t="s">
        <v>53275</v>
      </c>
      <c r="J10520" s="3" t="s">
        <v>18318</v>
      </c>
      <c r="K10520" s="3" t="s">
        <v>53276</v>
      </c>
      <c r="L10520" s="3"/>
      <c r="M10520" s="4"/>
      <c r="N10520" s="3" t="s">
        <v>37</v>
      </c>
      <c r="O10520" s="3" t="s">
        <v>46</v>
      </c>
      <c r="P10520" s="5">
        <v>11</v>
      </c>
      <c r="Q10520" s="5">
        <v>119</v>
      </c>
      <c r="R10520" s="5">
        <v>11</v>
      </c>
      <c r="S10520" s="5">
        <v>125</v>
      </c>
    </row>
    <row r="10521" spans="1:19" ht="42" x14ac:dyDescent="0.15">
      <c r="A10521" s="2">
        <f>HYPERLINK("https://open-school.uspishnemisto.com.ua/school/530483/", 530483)</f>
        <v>530483</v>
      </c>
      <c r="B10521" s="3" t="s">
        <v>53277</v>
      </c>
      <c r="C10521" s="3" t="s">
        <v>2634</v>
      </c>
      <c r="D10521" s="3" t="s">
        <v>175</v>
      </c>
      <c r="E10521" s="4" t="s">
        <v>22</v>
      </c>
      <c r="F10521" s="4" t="s">
        <v>53273</v>
      </c>
      <c r="G10521" s="4" t="s">
        <v>53278</v>
      </c>
      <c r="H10521" s="3" t="s">
        <v>50910</v>
      </c>
      <c r="I10521" s="3" t="s">
        <v>4594</v>
      </c>
      <c r="J10521" s="3" t="s">
        <v>1393</v>
      </c>
      <c r="K10521" s="3" t="s">
        <v>53279</v>
      </c>
      <c r="L10521" s="3"/>
      <c r="M10521" s="4" t="s">
        <v>53280</v>
      </c>
      <c r="N10521" s="3" t="s">
        <v>37</v>
      </c>
      <c r="O10521" s="3" t="s">
        <v>46</v>
      </c>
      <c r="P10521" s="5">
        <v>9</v>
      </c>
      <c r="Q10521" s="5">
        <v>80</v>
      </c>
      <c r="R10521" s="5">
        <v>7</v>
      </c>
      <c r="S10521" s="5">
        <v>64</v>
      </c>
    </row>
    <row r="10522" spans="1:19" ht="56" x14ac:dyDescent="0.15">
      <c r="A10522" s="2">
        <f>HYPERLINK("https://open-school.uspishnemisto.com.ua/school/530484/", 530484)</f>
        <v>530484</v>
      </c>
      <c r="B10522" s="3" t="s">
        <v>53281</v>
      </c>
      <c r="C10522" s="3" t="s">
        <v>54</v>
      </c>
      <c r="D10522" s="3" t="s">
        <v>32</v>
      </c>
      <c r="E10522" s="4" t="s">
        <v>22</v>
      </c>
      <c r="F10522" s="4" t="s">
        <v>53282</v>
      </c>
      <c r="G10522" s="4" t="s">
        <v>53283</v>
      </c>
      <c r="H10522" s="3" t="s">
        <v>50910</v>
      </c>
      <c r="I10522" s="3" t="s">
        <v>53284</v>
      </c>
      <c r="J10522" s="3" t="s">
        <v>36632</v>
      </c>
      <c r="K10522" s="3" t="s">
        <v>53285</v>
      </c>
      <c r="L10522" s="3" t="s">
        <v>53286</v>
      </c>
      <c r="M10522" s="4"/>
      <c r="N10522" s="3" t="s">
        <v>37</v>
      </c>
      <c r="O10522" s="3" t="s">
        <v>52</v>
      </c>
      <c r="P10522" s="5">
        <v>2</v>
      </c>
      <c r="Q10522" s="5">
        <v>29</v>
      </c>
      <c r="R10522" s="5">
        <v>2</v>
      </c>
      <c r="S10522" s="5">
        <v>26</v>
      </c>
    </row>
    <row r="10523" spans="1:19" ht="28" x14ac:dyDescent="0.15">
      <c r="A10523" s="2">
        <f>HYPERLINK("https://open-school.uspishnemisto.com.ua/school/530485/", 530485)</f>
        <v>530485</v>
      </c>
      <c r="B10523" s="3" t="s">
        <v>53287</v>
      </c>
      <c r="C10523" s="3" t="s">
        <v>31</v>
      </c>
      <c r="D10523" s="3" t="s">
        <v>175</v>
      </c>
      <c r="E10523" s="4" t="s">
        <v>22</v>
      </c>
      <c r="F10523" s="4" t="s">
        <v>53288</v>
      </c>
      <c r="G10523" s="4" t="s">
        <v>53289</v>
      </c>
      <c r="H10523" s="3" t="s">
        <v>50910</v>
      </c>
      <c r="I10523" s="3" t="s">
        <v>53290</v>
      </c>
      <c r="J10523" s="3" t="s">
        <v>53291</v>
      </c>
      <c r="K10523" s="3" t="s">
        <v>53292</v>
      </c>
      <c r="L10523" s="3"/>
      <c r="M10523" s="4"/>
      <c r="N10523" s="3" t="s">
        <v>37</v>
      </c>
      <c r="O10523" s="3" t="s">
        <v>38</v>
      </c>
      <c r="P10523" s="5">
        <v>7</v>
      </c>
      <c r="Q10523" s="5">
        <v>43</v>
      </c>
      <c r="R10523" s="5">
        <v>7</v>
      </c>
      <c r="S10523" s="5">
        <v>41</v>
      </c>
    </row>
    <row r="10524" spans="1:19" ht="28" x14ac:dyDescent="0.15">
      <c r="A10524" s="2">
        <f>HYPERLINK("https://open-school.uspishnemisto.com.ua/school/530486/", 530486)</f>
        <v>530486</v>
      </c>
      <c r="B10524" s="3" t="s">
        <v>53293</v>
      </c>
      <c r="C10524" s="3" t="s">
        <v>31</v>
      </c>
      <c r="D10524" s="3" t="s">
        <v>32</v>
      </c>
      <c r="E10524" s="4" t="s">
        <v>22</v>
      </c>
      <c r="F10524" s="4" t="s">
        <v>53294</v>
      </c>
      <c r="G10524" s="4" t="s">
        <v>53295</v>
      </c>
      <c r="H10524" s="3" t="s">
        <v>50910</v>
      </c>
      <c r="I10524" s="3" t="s">
        <v>53296</v>
      </c>
      <c r="J10524" s="3" t="s">
        <v>3173</v>
      </c>
      <c r="K10524" s="3" t="s">
        <v>53297</v>
      </c>
      <c r="L10524" s="3" t="s">
        <v>53298</v>
      </c>
      <c r="M10524" s="4"/>
      <c r="N10524" s="3" t="s">
        <v>37</v>
      </c>
      <c r="O10524" s="3" t="s">
        <v>38</v>
      </c>
      <c r="P10524" s="5">
        <v>11</v>
      </c>
      <c r="Q10524" s="5">
        <v>111</v>
      </c>
      <c r="R10524" s="5">
        <v>11</v>
      </c>
      <c r="S10524" s="5">
        <v>117</v>
      </c>
    </row>
    <row r="10525" spans="1:19" ht="42" x14ac:dyDescent="0.15">
      <c r="A10525" s="2">
        <f>HYPERLINK("https://open-school.uspishnemisto.com.ua/school/530487/", 530487)</f>
        <v>530487</v>
      </c>
      <c r="B10525" s="3" t="s">
        <v>53299</v>
      </c>
      <c r="C10525" s="3" t="s">
        <v>31</v>
      </c>
      <c r="D10525" s="3" t="s">
        <v>175</v>
      </c>
      <c r="E10525" s="4" t="s">
        <v>22</v>
      </c>
      <c r="F10525" s="4" t="s">
        <v>53300</v>
      </c>
      <c r="G10525" s="4" t="s">
        <v>53301</v>
      </c>
      <c r="H10525" s="3" t="s">
        <v>50910</v>
      </c>
      <c r="I10525" s="3" t="s">
        <v>53302</v>
      </c>
      <c r="J10525" s="3" t="s">
        <v>2745</v>
      </c>
      <c r="K10525" s="3" t="s">
        <v>53303</v>
      </c>
      <c r="L10525" s="3"/>
      <c r="M10525" s="4"/>
      <c r="N10525" s="3" t="s">
        <v>37</v>
      </c>
      <c r="O10525" s="3" t="s">
        <v>38</v>
      </c>
      <c r="P10525" s="5">
        <v>2</v>
      </c>
      <c r="Q10525" s="5">
        <v>29</v>
      </c>
      <c r="R10525" s="5">
        <v>2</v>
      </c>
      <c r="S10525" s="5">
        <v>29</v>
      </c>
    </row>
    <row r="10526" spans="1:19" ht="42" x14ac:dyDescent="0.15">
      <c r="A10526" s="2">
        <f>HYPERLINK("https://open-school.uspishnemisto.com.ua/school/530488/", 530488)</f>
        <v>530488</v>
      </c>
      <c r="B10526" s="3" t="s">
        <v>53304</v>
      </c>
      <c r="C10526" s="3" t="s">
        <v>31</v>
      </c>
      <c r="D10526" s="3" t="s">
        <v>32</v>
      </c>
      <c r="E10526" s="4" t="s">
        <v>22</v>
      </c>
      <c r="F10526" s="4" t="s">
        <v>53305</v>
      </c>
      <c r="G10526" s="4" t="s">
        <v>53306</v>
      </c>
      <c r="H10526" s="3" t="s">
        <v>50910</v>
      </c>
      <c r="I10526" s="3" t="s">
        <v>53307</v>
      </c>
      <c r="J10526" s="3" t="s">
        <v>2465</v>
      </c>
      <c r="K10526" s="3" t="s">
        <v>53308</v>
      </c>
      <c r="L10526" s="3"/>
      <c r="M10526" s="4"/>
      <c r="N10526" s="3" t="s">
        <v>37</v>
      </c>
      <c r="O10526" s="3" t="s">
        <v>721</v>
      </c>
      <c r="P10526" s="5">
        <v>24</v>
      </c>
      <c r="Q10526" s="5">
        <v>430</v>
      </c>
      <c r="R10526" s="5">
        <v>20</v>
      </c>
      <c r="S10526" s="5">
        <v>393</v>
      </c>
    </row>
    <row r="10527" spans="1:19" ht="28" x14ac:dyDescent="0.15">
      <c r="A10527" s="2">
        <f>HYPERLINK("https://open-school.uspishnemisto.com.ua/school/530489/", 530489)</f>
        <v>530489</v>
      </c>
      <c r="B10527" s="3" t="s">
        <v>53309</v>
      </c>
      <c r="C10527" s="3" t="s">
        <v>31</v>
      </c>
      <c r="D10527" s="3" t="s">
        <v>32</v>
      </c>
      <c r="E10527" s="4" t="s">
        <v>22</v>
      </c>
      <c r="F10527" s="4" t="s">
        <v>53310</v>
      </c>
      <c r="G10527" s="4" t="s">
        <v>53311</v>
      </c>
      <c r="H10527" s="3" t="s">
        <v>50910</v>
      </c>
      <c r="I10527" s="3" t="s">
        <v>53312</v>
      </c>
      <c r="J10527" s="3" t="s">
        <v>53313</v>
      </c>
      <c r="K10527" s="3" t="s">
        <v>53314</v>
      </c>
      <c r="L10527" s="3" t="s">
        <v>53315</v>
      </c>
      <c r="M10527" s="4"/>
      <c r="N10527" s="3" t="s">
        <v>37</v>
      </c>
      <c r="O10527" s="3" t="s">
        <v>38</v>
      </c>
      <c r="P10527" s="5">
        <v>16</v>
      </c>
      <c r="Q10527" s="5">
        <v>265</v>
      </c>
      <c r="R10527" s="5">
        <v>12</v>
      </c>
      <c r="S10527" s="5">
        <v>215</v>
      </c>
    </row>
    <row r="10528" spans="1:19" ht="28" x14ac:dyDescent="0.15">
      <c r="A10528" s="2">
        <f>HYPERLINK("https://open-school.uspishnemisto.com.ua/school/530490/", 530490)</f>
        <v>530490</v>
      </c>
      <c r="B10528" s="3" t="s">
        <v>53316</v>
      </c>
      <c r="C10528" s="3" t="s">
        <v>31</v>
      </c>
      <c r="D10528" s="3" t="s">
        <v>175</v>
      </c>
      <c r="E10528" s="4" t="s">
        <v>22</v>
      </c>
      <c r="F10528" s="4" t="s">
        <v>53317</v>
      </c>
      <c r="G10528" s="4" t="s">
        <v>53318</v>
      </c>
      <c r="H10528" s="3" t="s">
        <v>50910</v>
      </c>
      <c r="I10528" s="3" t="s">
        <v>53319</v>
      </c>
      <c r="J10528" s="3" t="s">
        <v>53320</v>
      </c>
      <c r="K10528" s="3" t="s">
        <v>53321</v>
      </c>
      <c r="L10528" s="3"/>
      <c r="M10528" s="4"/>
      <c r="N10528" s="3" t="s">
        <v>37</v>
      </c>
      <c r="O10528" s="3" t="s">
        <v>52</v>
      </c>
      <c r="P10528" s="5">
        <v>0</v>
      </c>
      <c r="Q10528" s="5">
        <v>0</v>
      </c>
      <c r="R10528" s="5">
        <v>5</v>
      </c>
      <c r="S10528" s="5">
        <v>40</v>
      </c>
    </row>
    <row r="10529" spans="1:19" ht="28" x14ac:dyDescent="0.15">
      <c r="A10529" s="2">
        <f>HYPERLINK("https://open-school.uspishnemisto.com.ua/school/530491/", 530491)</f>
        <v>530491</v>
      </c>
      <c r="B10529" s="3" t="s">
        <v>53322</v>
      </c>
      <c r="C10529" s="3" t="s">
        <v>31</v>
      </c>
      <c r="D10529" s="3" t="s">
        <v>32</v>
      </c>
      <c r="E10529" s="4" t="s">
        <v>22</v>
      </c>
      <c r="F10529" s="4" t="s">
        <v>53323</v>
      </c>
      <c r="G10529" s="4" t="s">
        <v>53324</v>
      </c>
      <c r="H10529" s="3" t="s">
        <v>50910</v>
      </c>
      <c r="I10529" s="3" t="s">
        <v>53325</v>
      </c>
      <c r="J10529" s="3" t="s">
        <v>53326</v>
      </c>
      <c r="K10529" s="3" t="s">
        <v>53327</v>
      </c>
      <c r="L10529" s="3"/>
      <c r="M10529" s="4"/>
      <c r="N10529" s="3" t="s">
        <v>37</v>
      </c>
      <c r="O10529" s="3" t="s">
        <v>38</v>
      </c>
      <c r="P10529" s="5">
        <v>11</v>
      </c>
      <c r="Q10529" s="5">
        <v>108</v>
      </c>
      <c r="R10529" s="5">
        <v>11</v>
      </c>
      <c r="S10529" s="5">
        <v>118</v>
      </c>
    </row>
    <row r="10530" spans="1:19" ht="42" x14ac:dyDescent="0.15">
      <c r="A10530" s="2">
        <f>HYPERLINK("https://open-school.uspishnemisto.com.ua/school/530492/", 530492)</f>
        <v>530492</v>
      </c>
      <c r="B10530" s="3" t="s">
        <v>53328</v>
      </c>
      <c r="C10530" s="3" t="s">
        <v>31</v>
      </c>
      <c r="D10530" s="3" t="s">
        <v>32</v>
      </c>
      <c r="E10530" s="4" t="s">
        <v>22</v>
      </c>
      <c r="F10530" s="4" t="s">
        <v>53329</v>
      </c>
      <c r="G10530" s="4" t="s">
        <v>53330</v>
      </c>
      <c r="H10530" s="3" t="s">
        <v>50910</v>
      </c>
      <c r="I10530" s="3" t="s">
        <v>53331</v>
      </c>
      <c r="J10530" s="3" t="s">
        <v>53332</v>
      </c>
      <c r="K10530" s="3" t="s">
        <v>53333</v>
      </c>
      <c r="L10530" s="3"/>
      <c r="M10530" s="4"/>
      <c r="N10530" s="3" t="s">
        <v>37</v>
      </c>
      <c r="O10530" s="3" t="s">
        <v>38</v>
      </c>
      <c r="P10530" s="5">
        <v>11</v>
      </c>
      <c r="Q10530" s="5">
        <v>81</v>
      </c>
      <c r="R10530" s="5">
        <v>11</v>
      </c>
      <c r="S10530" s="5">
        <v>84</v>
      </c>
    </row>
    <row r="10531" spans="1:19" ht="28" x14ac:dyDescent="0.15">
      <c r="A10531" s="2">
        <f>HYPERLINK("https://open-school.uspishnemisto.com.ua/school/530493/", 530493)</f>
        <v>530493</v>
      </c>
      <c r="B10531" s="3" t="s">
        <v>53334</v>
      </c>
      <c r="C10531" s="3" t="s">
        <v>31</v>
      </c>
      <c r="D10531" s="3" t="s">
        <v>32</v>
      </c>
      <c r="E10531" s="4" t="s">
        <v>22</v>
      </c>
      <c r="F10531" s="4"/>
      <c r="G10531" s="4" t="s">
        <v>53335</v>
      </c>
      <c r="H10531" s="3" t="s">
        <v>50910</v>
      </c>
      <c r="I10531" s="3" t="s">
        <v>53336</v>
      </c>
      <c r="J10531" s="3" t="s">
        <v>53337</v>
      </c>
      <c r="K10531" s="3" t="s">
        <v>53338</v>
      </c>
      <c r="L10531" s="3"/>
      <c r="M10531" s="4"/>
      <c r="N10531" s="3" t="s">
        <v>37</v>
      </c>
      <c r="O10531" s="3" t="s">
        <v>38</v>
      </c>
      <c r="P10531" s="5">
        <v>4</v>
      </c>
      <c r="Q10531" s="5">
        <v>37</v>
      </c>
      <c r="R10531" s="5">
        <v>4</v>
      </c>
      <c r="S10531" s="5">
        <v>40</v>
      </c>
    </row>
    <row r="10532" spans="1:19" ht="28" x14ac:dyDescent="0.15">
      <c r="A10532" s="2">
        <f>HYPERLINK("https://open-school.uspishnemisto.com.ua/school/530494/", 530494)</f>
        <v>530494</v>
      </c>
      <c r="B10532" s="3" t="s">
        <v>53339</v>
      </c>
      <c r="C10532" s="3" t="s">
        <v>31</v>
      </c>
      <c r="D10532" s="3" t="s">
        <v>175</v>
      </c>
      <c r="E10532" s="4" t="s">
        <v>22</v>
      </c>
      <c r="F10532" s="4" t="s">
        <v>53340</v>
      </c>
      <c r="G10532" s="4" t="s">
        <v>53341</v>
      </c>
      <c r="H10532" s="3" t="s">
        <v>50910</v>
      </c>
      <c r="I10532" s="3" t="s">
        <v>53342</v>
      </c>
      <c r="J10532" s="3" t="s">
        <v>53343</v>
      </c>
      <c r="K10532" s="3" t="s">
        <v>53344</v>
      </c>
      <c r="L10532" s="3"/>
      <c r="M10532" s="4"/>
      <c r="N10532" s="3" t="s">
        <v>37</v>
      </c>
      <c r="O10532" s="3" t="s">
        <v>38</v>
      </c>
      <c r="P10532" s="5">
        <v>7</v>
      </c>
      <c r="Q10532" s="5">
        <v>59</v>
      </c>
      <c r="R10532" s="5">
        <v>6</v>
      </c>
      <c r="S10532" s="5">
        <v>55</v>
      </c>
    </row>
    <row r="10533" spans="1:19" ht="28" x14ac:dyDescent="0.15">
      <c r="A10533" s="2">
        <f>HYPERLINK("https://open-school.uspishnemisto.com.ua/school/530495/", 530495)</f>
        <v>530495</v>
      </c>
      <c r="B10533" s="3" t="s">
        <v>53345</v>
      </c>
      <c r="C10533" s="3" t="s">
        <v>31</v>
      </c>
      <c r="D10533" s="3" t="s">
        <v>32</v>
      </c>
      <c r="E10533" s="4" t="s">
        <v>22</v>
      </c>
      <c r="F10533" s="4" t="s">
        <v>53346</v>
      </c>
      <c r="G10533" s="4" t="s">
        <v>53347</v>
      </c>
      <c r="H10533" s="3" t="s">
        <v>50910</v>
      </c>
      <c r="I10533" s="3" t="s">
        <v>53348</v>
      </c>
      <c r="J10533" s="3" t="s">
        <v>7956</v>
      </c>
      <c r="K10533" s="3" t="s">
        <v>53349</v>
      </c>
      <c r="L10533" s="3"/>
      <c r="M10533" s="4"/>
      <c r="N10533" s="3" t="s">
        <v>37</v>
      </c>
      <c r="O10533" s="3" t="s">
        <v>38</v>
      </c>
      <c r="P10533" s="5">
        <v>8</v>
      </c>
      <c r="Q10533" s="5">
        <v>58</v>
      </c>
      <c r="R10533" s="5">
        <v>9</v>
      </c>
      <c r="S10533" s="5">
        <v>60</v>
      </c>
    </row>
    <row r="10534" spans="1:19" ht="28" x14ac:dyDescent="0.15">
      <c r="A10534" s="2">
        <f>HYPERLINK("https://open-school.uspishnemisto.com.ua/school/530496/", 530496)</f>
        <v>530496</v>
      </c>
      <c r="B10534" s="3" t="s">
        <v>53350</v>
      </c>
      <c r="C10534" s="3" t="s">
        <v>31</v>
      </c>
      <c r="D10534" s="3" t="s">
        <v>32</v>
      </c>
      <c r="E10534" s="4" t="s">
        <v>22</v>
      </c>
      <c r="F10534" s="4" t="s">
        <v>53351</v>
      </c>
      <c r="G10534" s="4" t="s">
        <v>53352</v>
      </c>
      <c r="H10534" s="3" t="s">
        <v>50910</v>
      </c>
      <c r="I10534" s="3" t="s">
        <v>12579</v>
      </c>
      <c r="J10534" s="3" t="s">
        <v>1636</v>
      </c>
      <c r="K10534" s="3" t="s">
        <v>53353</v>
      </c>
      <c r="L10534" s="3"/>
      <c r="M10534" s="4"/>
      <c r="N10534" s="3" t="s">
        <v>37</v>
      </c>
      <c r="O10534" s="3" t="s">
        <v>38</v>
      </c>
      <c r="P10534" s="5">
        <v>11</v>
      </c>
      <c r="Q10534" s="5">
        <v>169</v>
      </c>
      <c r="R10534" s="5">
        <v>11</v>
      </c>
      <c r="S10534" s="5">
        <v>163</v>
      </c>
    </row>
    <row r="10535" spans="1:19" ht="28" x14ac:dyDescent="0.15">
      <c r="A10535" s="2">
        <f>HYPERLINK("https://open-school.uspishnemisto.com.ua/school/530497/", 530497)</f>
        <v>530497</v>
      </c>
      <c r="B10535" s="3" t="s">
        <v>53354</v>
      </c>
      <c r="C10535" s="3" t="s">
        <v>31</v>
      </c>
      <c r="D10535" s="3" t="s">
        <v>175</v>
      </c>
      <c r="E10535" s="4" t="s">
        <v>22</v>
      </c>
      <c r="F10535" s="4" t="s">
        <v>53355</v>
      </c>
      <c r="G10535" s="4" t="s">
        <v>53356</v>
      </c>
      <c r="H10535" s="3" t="s">
        <v>50910</v>
      </c>
      <c r="I10535" s="3" t="s">
        <v>53357</v>
      </c>
      <c r="J10535" s="3" t="s">
        <v>53358</v>
      </c>
      <c r="K10535" s="3" t="s">
        <v>53359</v>
      </c>
      <c r="L10535" s="3"/>
      <c r="M10535" s="4"/>
      <c r="N10535" s="3" t="s">
        <v>37</v>
      </c>
      <c r="O10535" s="3" t="s">
        <v>38</v>
      </c>
      <c r="P10535" s="5">
        <v>8</v>
      </c>
      <c r="Q10535" s="5">
        <v>73</v>
      </c>
      <c r="R10535" s="5">
        <v>9</v>
      </c>
      <c r="S10535" s="5">
        <v>66</v>
      </c>
    </row>
    <row r="10536" spans="1:19" ht="42" x14ac:dyDescent="0.15">
      <c r="A10536" s="2">
        <f>HYPERLINK("https://open-school.uspishnemisto.com.ua/school/530498/", 530498)</f>
        <v>530498</v>
      </c>
      <c r="B10536" s="3" t="s">
        <v>53360</v>
      </c>
      <c r="C10536" s="3" t="s">
        <v>31</v>
      </c>
      <c r="D10536" s="3" t="s">
        <v>32</v>
      </c>
      <c r="E10536" s="4" t="s">
        <v>22</v>
      </c>
      <c r="F10536" s="4" t="s">
        <v>53355</v>
      </c>
      <c r="G10536" s="4" t="s">
        <v>53356</v>
      </c>
      <c r="H10536" s="3" t="s">
        <v>50910</v>
      </c>
      <c r="I10536" s="3" t="s">
        <v>53357</v>
      </c>
      <c r="J10536" s="3" t="s">
        <v>1348</v>
      </c>
      <c r="K10536" s="3" t="s">
        <v>53361</v>
      </c>
      <c r="L10536" s="3" t="s">
        <v>53362</v>
      </c>
      <c r="M10536" s="4"/>
      <c r="N10536" s="3" t="s">
        <v>37</v>
      </c>
      <c r="O10536" s="3" t="s">
        <v>38</v>
      </c>
      <c r="P10536" s="5">
        <v>11</v>
      </c>
      <c r="Q10536" s="5">
        <v>184</v>
      </c>
      <c r="R10536" s="5">
        <v>11</v>
      </c>
      <c r="S10536" s="5">
        <v>181</v>
      </c>
    </row>
    <row r="10537" spans="1:19" ht="28" x14ac:dyDescent="0.15">
      <c r="A10537" s="2">
        <f>HYPERLINK("https://open-school.uspishnemisto.com.ua/school/530499/", 530499)</f>
        <v>530499</v>
      </c>
      <c r="B10537" s="3" t="s">
        <v>53363</v>
      </c>
      <c r="C10537" s="3" t="s">
        <v>31</v>
      </c>
      <c r="D10537" s="3" t="s">
        <v>32</v>
      </c>
      <c r="E10537" s="4" t="s">
        <v>22</v>
      </c>
      <c r="F10537" s="4" t="s">
        <v>53364</v>
      </c>
      <c r="G10537" s="4" t="s">
        <v>53365</v>
      </c>
      <c r="H10537" s="3" t="s">
        <v>50910</v>
      </c>
      <c r="I10537" s="3" t="s">
        <v>53366</v>
      </c>
      <c r="J10537" s="3" t="s">
        <v>1946</v>
      </c>
      <c r="K10537" s="3" t="s">
        <v>53367</v>
      </c>
      <c r="L10537" s="3" t="s">
        <v>53368</v>
      </c>
      <c r="M10537" s="4"/>
      <c r="N10537" s="3" t="s">
        <v>37</v>
      </c>
      <c r="O10537" s="3" t="s">
        <v>52</v>
      </c>
      <c r="P10537" s="5">
        <v>2</v>
      </c>
      <c r="Q10537" s="5">
        <v>31</v>
      </c>
      <c r="R10537" s="5">
        <v>4</v>
      </c>
      <c r="S10537" s="5">
        <v>39</v>
      </c>
    </row>
    <row r="10538" spans="1:19" ht="28" x14ac:dyDescent="0.15">
      <c r="A10538" s="2">
        <f>HYPERLINK("https://open-school.uspishnemisto.com.ua/school/530500/", 530500)</f>
        <v>530500</v>
      </c>
      <c r="B10538" s="3" t="s">
        <v>53369</v>
      </c>
      <c r="C10538" s="3" t="s">
        <v>31</v>
      </c>
      <c r="D10538" s="3" t="s">
        <v>175</v>
      </c>
      <c r="E10538" s="4" t="s">
        <v>22</v>
      </c>
      <c r="F10538" s="4" t="s">
        <v>53370</v>
      </c>
      <c r="G10538" s="4" t="s">
        <v>53371</v>
      </c>
      <c r="H10538" s="3" t="s">
        <v>50910</v>
      </c>
      <c r="I10538" s="3" t="s">
        <v>53372</v>
      </c>
      <c r="J10538" s="3" t="s">
        <v>1348</v>
      </c>
      <c r="K10538" s="3" t="s">
        <v>53373</v>
      </c>
      <c r="L10538" s="3"/>
      <c r="M10538" s="4"/>
      <c r="N10538" s="3" t="s">
        <v>37</v>
      </c>
      <c r="O10538" s="3" t="s">
        <v>52</v>
      </c>
      <c r="P10538" s="5">
        <v>0</v>
      </c>
      <c r="Q10538" s="5">
        <v>0</v>
      </c>
      <c r="R10538" s="5">
        <v>1</v>
      </c>
      <c r="S10538" s="5">
        <v>25</v>
      </c>
    </row>
    <row r="10539" spans="1:19" ht="28" x14ac:dyDescent="0.15">
      <c r="A10539" s="2">
        <f>HYPERLINK("https://open-school.uspishnemisto.com.ua/school/530501/", 530501)</f>
        <v>530501</v>
      </c>
      <c r="B10539" s="3" t="s">
        <v>53374</v>
      </c>
      <c r="C10539" s="3" t="s">
        <v>31</v>
      </c>
      <c r="D10539" s="3" t="s">
        <v>175</v>
      </c>
      <c r="E10539" s="4" t="s">
        <v>22</v>
      </c>
      <c r="F10539" s="4" t="s">
        <v>53375</v>
      </c>
      <c r="G10539" s="4" t="s">
        <v>53376</v>
      </c>
      <c r="H10539" s="3" t="s">
        <v>50910</v>
      </c>
      <c r="I10539" s="3" t="s">
        <v>53377</v>
      </c>
      <c r="J10539" s="3" t="s">
        <v>53378</v>
      </c>
      <c r="K10539" s="3" t="s">
        <v>53379</v>
      </c>
      <c r="L10539" s="3"/>
      <c r="M10539" s="4"/>
      <c r="N10539" s="3" t="s">
        <v>37</v>
      </c>
      <c r="O10539" s="3" t="s">
        <v>38</v>
      </c>
      <c r="P10539" s="5">
        <v>7</v>
      </c>
      <c r="Q10539" s="5">
        <v>51</v>
      </c>
      <c r="R10539" s="5">
        <v>7</v>
      </c>
      <c r="S10539" s="5">
        <v>53</v>
      </c>
    </row>
    <row r="10540" spans="1:19" ht="28" x14ac:dyDescent="0.15">
      <c r="A10540" s="2">
        <f>HYPERLINK("https://open-school.uspishnemisto.com.ua/school/530502/", 530502)</f>
        <v>530502</v>
      </c>
      <c r="B10540" s="3" t="s">
        <v>53380</v>
      </c>
      <c r="C10540" s="3" t="s">
        <v>31</v>
      </c>
      <c r="D10540" s="3" t="s">
        <v>32</v>
      </c>
      <c r="E10540" s="4" t="s">
        <v>22</v>
      </c>
      <c r="F10540" s="4" t="s">
        <v>53381</v>
      </c>
      <c r="G10540" s="4" t="s">
        <v>53382</v>
      </c>
      <c r="H10540" s="3" t="s">
        <v>50910</v>
      </c>
      <c r="I10540" s="3" t="s">
        <v>53383</v>
      </c>
      <c r="J10540" s="3" t="s">
        <v>53384</v>
      </c>
      <c r="K10540" s="3" t="s">
        <v>53385</v>
      </c>
      <c r="L10540" s="3"/>
      <c r="M10540" s="4"/>
      <c r="N10540" s="3" t="s">
        <v>37</v>
      </c>
      <c r="O10540" s="3" t="s">
        <v>52</v>
      </c>
      <c r="P10540" s="5">
        <v>3</v>
      </c>
      <c r="Q10540" s="5">
        <v>38</v>
      </c>
      <c r="R10540" s="5">
        <v>3</v>
      </c>
      <c r="S10540" s="5">
        <v>37</v>
      </c>
    </row>
    <row r="10541" spans="1:19" ht="28" x14ac:dyDescent="0.15">
      <c r="A10541" s="2">
        <f>HYPERLINK("https://open-school.uspishnemisto.com.ua/school/530503/", 530503)</f>
        <v>530503</v>
      </c>
      <c r="B10541" s="3" t="s">
        <v>53386</v>
      </c>
      <c r="C10541" s="3" t="s">
        <v>31</v>
      </c>
      <c r="D10541" s="3" t="s">
        <v>175</v>
      </c>
      <c r="E10541" s="4" t="s">
        <v>22</v>
      </c>
      <c r="F10541" s="4" t="s">
        <v>53387</v>
      </c>
      <c r="G10541" s="4" t="s">
        <v>53388</v>
      </c>
      <c r="H10541" s="3" t="s">
        <v>50910</v>
      </c>
      <c r="I10541" s="3" t="s">
        <v>3676</v>
      </c>
      <c r="J10541" s="3" t="s">
        <v>53389</v>
      </c>
      <c r="K10541" s="3" t="s">
        <v>53390</v>
      </c>
      <c r="L10541" s="3"/>
      <c r="M10541" s="4"/>
      <c r="N10541" s="3" t="s">
        <v>37</v>
      </c>
      <c r="O10541" s="3" t="s">
        <v>38</v>
      </c>
      <c r="P10541" s="5">
        <v>6</v>
      </c>
      <c r="Q10541" s="5">
        <v>50</v>
      </c>
      <c r="R10541" s="5">
        <v>5</v>
      </c>
      <c r="S10541" s="5">
        <v>47</v>
      </c>
    </row>
    <row r="10542" spans="1:19" ht="28" x14ac:dyDescent="0.15">
      <c r="A10542" s="2">
        <f>HYPERLINK("https://open-school.uspishnemisto.com.ua/school/530504/", 530504)</f>
        <v>530504</v>
      </c>
      <c r="B10542" s="3" t="s">
        <v>53391</v>
      </c>
      <c r="C10542" s="3" t="s">
        <v>31</v>
      </c>
      <c r="D10542" s="3" t="s">
        <v>175</v>
      </c>
      <c r="E10542" s="4" t="s">
        <v>22</v>
      </c>
      <c r="F10542" s="4" t="s">
        <v>53392</v>
      </c>
      <c r="G10542" s="4" t="s">
        <v>53393</v>
      </c>
      <c r="H10542" s="3" t="s">
        <v>50910</v>
      </c>
      <c r="I10542" s="3" t="s">
        <v>53394</v>
      </c>
      <c r="J10542" s="3" t="s">
        <v>53395</v>
      </c>
      <c r="K10542" s="3" t="s">
        <v>53396</v>
      </c>
      <c r="L10542" s="3"/>
      <c r="M10542" s="4"/>
      <c r="N10542" s="3" t="s">
        <v>37</v>
      </c>
      <c r="O10542" s="3" t="s">
        <v>38</v>
      </c>
      <c r="P10542" s="5">
        <v>5</v>
      </c>
      <c r="Q10542" s="5">
        <v>42</v>
      </c>
      <c r="R10542" s="5">
        <v>3</v>
      </c>
      <c r="S10542" s="5">
        <v>33</v>
      </c>
    </row>
    <row r="10543" spans="1:19" ht="28" x14ac:dyDescent="0.15">
      <c r="A10543" s="2">
        <f>HYPERLINK("https://open-school.uspishnemisto.com.ua/school/530505/", 530505)</f>
        <v>530505</v>
      </c>
      <c r="B10543" s="3" t="s">
        <v>53397</v>
      </c>
      <c r="C10543" s="3" t="s">
        <v>31</v>
      </c>
      <c r="D10543" s="3" t="s">
        <v>32</v>
      </c>
      <c r="E10543" s="4" t="s">
        <v>22</v>
      </c>
      <c r="F10543" s="4" t="s">
        <v>53398</v>
      </c>
      <c r="G10543" s="4" t="s">
        <v>53399</v>
      </c>
      <c r="H10543" s="3" t="s">
        <v>50910</v>
      </c>
      <c r="I10543" s="3" t="s">
        <v>53400</v>
      </c>
      <c r="J10543" s="3" t="s">
        <v>2047</v>
      </c>
      <c r="K10543" s="3" t="s">
        <v>53401</v>
      </c>
      <c r="L10543" s="3"/>
      <c r="M10543" s="4"/>
      <c r="N10543" s="3" t="s">
        <v>37</v>
      </c>
      <c r="O10543" s="3" t="s">
        <v>38</v>
      </c>
      <c r="P10543" s="5">
        <v>10</v>
      </c>
      <c r="Q10543" s="5">
        <v>74</v>
      </c>
      <c r="R10543" s="5">
        <v>10</v>
      </c>
      <c r="S10543" s="5">
        <v>80</v>
      </c>
    </row>
    <row r="10544" spans="1:19" ht="28" x14ac:dyDescent="0.15">
      <c r="A10544" s="2">
        <f>HYPERLINK("https://open-school.uspishnemisto.com.ua/school/530506/", 530506)</f>
        <v>530506</v>
      </c>
      <c r="B10544" s="3" t="s">
        <v>53402</v>
      </c>
      <c r="C10544" s="3" t="s">
        <v>31</v>
      </c>
      <c r="D10544" s="3" t="s">
        <v>175</v>
      </c>
      <c r="E10544" s="4" t="s">
        <v>22</v>
      </c>
      <c r="F10544" s="4" t="s">
        <v>53403</v>
      </c>
      <c r="G10544" s="4" t="s">
        <v>53404</v>
      </c>
      <c r="H10544" s="3" t="s">
        <v>50910</v>
      </c>
      <c r="I10544" s="3" t="s">
        <v>53405</v>
      </c>
      <c r="J10544" s="3" t="s">
        <v>53406</v>
      </c>
      <c r="K10544" s="3" t="s">
        <v>53407</v>
      </c>
      <c r="L10544" s="3"/>
      <c r="M10544" s="4"/>
      <c r="N10544" s="3" t="s">
        <v>37</v>
      </c>
      <c r="O10544" s="3" t="s">
        <v>38</v>
      </c>
      <c r="P10544" s="5">
        <v>3</v>
      </c>
      <c r="Q10544" s="5">
        <v>31</v>
      </c>
      <c r="R10544" s="5">
        <v>3</v>
      </c>
      <c r="S10544" s="5">
        <v>29</v>
      </c>
    </row>
    <row r="10545" spans="1:19" ht="28" x14ac:dyDescent="0.15">
      <c r="A10545" s="2">
        <f>HYPERLINK("https://open-school.uspishnemisto.com.ua/school/530507/", 530507)</f>
        <v>530507</v>
      </c>
      <c r="B10545" s="3" t="s">
        <v>53408</v>
      </c>
      <c r="C10545" s="3" t="s">
        <v>31</v>
      </c>
      <c r="D10545" s="3" t="s">
        <v>32</v>
      </c>
      <c r="E10545" s="4" t="s">
        <v>22</v>
      </c>
      <c r="F10545" s="4" t="s">
        <v>53409</v>
      </c>
      <c r="G10545" s="4" t="s">
        <v>53410</v>
      </c>
      <c r="H10545" s="3" t="s">
        <v>50910</v>
      </c>
      <c r="I10545" s="3" t="s">
        <v>53411</v>
      </c>
      <c r="J10545" s="3" t="s">
        <v>7277</v>
      </c>
      <c r="K10545" s="3" t="s">
        <v>53412</v>
      </c>
      <c r="L10545" s="3"/>
      <c r="M10545" s="4"/>
      <c r="N10545" s="3" t="s">
        <v>37</v>
      </c>
      <c r="O10545" s="3" t="s">
        <v>38</v>
      </c>
      <c r="P10545" s="5">
        <v>11</v>
      </c>
      <c r="Q10545" s="5">
        <v>130</v>
      </c>
      <c r="R10545" s="5">
        <v>11</v>
      </c>
      <c r="S10545" s="5">
        <v>130</v>
      </c>
    </row>
    <row r="10546" spans="1:19" ht="28" x14ac:dyDescent="0.15">
      <c r="A10546" s="2">
        <f>HYPERLINK("https://open-school.uspishnemisto.com.ua/school/530508/", 530508)</f>
        <v>530508</v>
      </c>
      <c r="B10546" s="3" t="s">
        <v>53413</v>
      </c>
      <c r="C10546" s="3" t="s">
        <v>31</v>
      </c>
      <c r="D10546" s="3" t="s">
        <v>175</v>
      </c>
      <c r="E10546" s="4" t="s">
        <v>22</v>
      </c>
      <c r="F10546" s="4" t="s">
        <v>53414</v>
      </c>
      <c r="G10546" s="4" t="s">
        <v>53415</v>
      </c>
      <c r="H10546" s="3" t="s">
        <v>50910</v>
      </c>
      <c r="I10546" s="3" t="s">
        <v>52959</v>
      </c>
      <c r="J10546" s="3" t="s">
        <v>53416</v>
      </c>
      <c r="K10546" s="3" t="s">
        <v>53417</v>
      </c>
      <c r="L10546" s="3"/>
      <c r="M10546" s="4"/>
      <c r="N10546" s="3" t="s">
        <v>37</v>
      </c>
      <c r="O10546" s="3" t="s">
        <v>52</v>
      </c>
      <c r="P10546" s="5">
        <v>0</v>
      </c>
      <c r="Q10546" s="5">
        <v>0</v>
      </c>
      <c r="R10546" s="5">
        <v>2</v>
      </c>
      <c r="S10546" s="5">
        <v>28</v>
      </c>
    </row>
    <row r="10547" spans="1:19" ht="28" x14ac:dyDescent="0.15">
      <c r="A10547" s="2">
        <f>HYPERLINK("https://open-school.uspishnemisto.com.ua/school/530509/", 530509)</f>
        <v>530509</v>
      </c>
      <c r="B10547" s="3" t="s">
        <v>53418</v>
      </c>
      <c r="C10547" s="3" t="s">
        <v>31</v>
      </c>
      <c r="D10547" s="3" t="s">
        <v>32</v>
      </c>
      <c r="E10547" s="4" t="s">
        <v>22</v>
      </c>
      <c r="F10547" s="4" t="s">
        <v>53419</v>
      </c>
      <c r="G10547" s="4" t="s">
        <v>53420</v>
      </c>
      <c r="H10547" s="3" t="s">
        <v>50910</v>
      </c>
      <c r="I10547" s="3" t="s">
        <v>53421</v>
      </c>
      <c r="J10547" s="3" t="s">
        <v>466</v>
      </c>
      <c r="K10547" s="3" t="s">
        <v>53422</v>
      </c>
      <c r="L10547" s="3"/>
      <c r="M10547" s="4"/>
      <c r="N10547" s="3" t="s">
        <v>37</v>
      </c>
      <c r="O10547" s="3" t="s">
        <v>38</v>
      </c>
      <c r="P10547" s="5">
        <v>10</v>
      </c>
      <c r="Q10547" s="5">
        <v>83</v>
      </c>
      <c r="R10547" s="5">
        <v>11</v>
      </c>
      <c r="S10547" s="5">
        <v>88</v>
      </c>
    </row>
    <row r="10548" spans="1:19" ht="28" x14ac:dyDescent="0.15">
      <c r="A10548" s="2">
        <f>HYPERLINK("https://open-school.uspishnemisto.com.ua/school/530510/", 530510)</f>
        <v>530510</v>
      </c>
      <c r="B10548" s="3" t="s">
        <v>53423</v>
      </c>
      <c r="C10548" s="3" t="s">
        <v>31</v>
      </c>
      <c r="D10548" s="3" t="s">
        <v>32</v>
      </c>
      <c r="E10548" s="4" t="s">
        <v>22</v>
      </c>
      <c r="F10548" s="4" t="s">
        <v>53424</v>
      </c>
      <c r="G10548" s="4" t="s">
        <v>53425</v>
      </c>
      <c r="H10548" s="3" t="s">
        <v>50910</v>
      </c>
      <c r="I10548" s="3" t="s">
        <v>31194</v>
      </c>
      <c r="J10548" s="3" t="s">
        <v>53426</v>
      </c>
      <c r="K10548" s="3" t="s">
        <v>53427</v>
      </c>
      <c r="L10548" s="3"/>
      <c r="M10548" s="4"/>
      <c r="N10548" s="3" t="s">
        <v>37</v>
      </c>
      <c r="O10548" s="3" t="s">
        <v>38</v>
      </c>
      <c r="P10548" s="5">
        <v>9</v>
      </c>
      <c r="Q10548" s="5">
        <v>59</v>
      </c>
      <c r="R10548" s="5">
        <v>10</v>
      </c>
      <c r="S10548" s="5">
        <v>63</v>
      </c>
    </row>
    <row r="10549" spans="1:19" ht="28" x14ac:dyDescent="0.15">
      <c r="A10549" s="2">
        <f>HYPERLINK("https://open-school.uspishnemisto.com.ua/school/530511/", 530511)</f>
        <v>530511</v>
      </c>
      <c r="B10549" s="3" t="s">
        <v>53428</v>
      </c>
      <c r="C10549" s="3" t="s">
        <v>31</v>
      </c>
      <c r="D10549" s="3" t="s">
        <v>175</v>
      </c>
      <c r="E10549" s="4" t="s">
        <v>22</v>
      </c>
      <c r="F10549" s="4" t="s">
        <v>53429</v>
      </c>
      <c r="G10549" s="4" t="s">
        <v>53430</v>
      </c>
      <c r="H10549" s="3" t="s">
        <v>50910</v>
      </c>
      <c r="I10549" s="3" t="s">
        <v>53431</v>
      </c>
      <c r="J10549" s="3" t="s">
        <v>53432</v>
      </c>
      <c r="K10549" s="3" t="s">
        <v>53433</v>
      </c>
      <c r="L10549" s="3"/>
      <c r="M10549" s="4"/>
      <c r="N10549" s="3" t="s">
        <v>37</v>
      </c>
      <c r="O10549" s="3" t="s">
        <v>38</v>
      </c>
      <c r="P10549" s="5">
        <v>9</v>
      </c>
      <c r="Q10549" s="5">
        <v>146</v>
      </c>
      <c r="R10549" s="5">
        <v>9</v>
      </c>
      <c r="S10549" s="5">
        <v>149</v>
      </c>
    </row>
    <row r="10550" spans="1:19" ht="28" x14ac:dyDescent="0.15">
      <c r="A10550" s="2">
        <f>HYPERLINK("https://open-school.uspishnemisto.com.ua/school/530512/", 530512)</f>
        <v>530512</v>
      </c>
      <c r="B10550" s="3" t="s">
        <v>53434</v>
      </c>
      <c r="C10550" s="3" t="s">
        <v>31</v>
      </c>
      <c r="D10550" s="3" t="s">
        <v>32</v>
      </c>
      <c r="E10550" s="4" t="s">
        <v>22</v>
      </c>
      <c r="F10550" s="4" t="s">
        <v>53429</v>
      </c>
      <c r="G10550" s="4" t="s">
        <v>53430</v>
      </c>
      <c r="H10550" s="3" t="s">
        <v>50910</v>
      </c>
      <c r="I10550" s="3" t="s">
        <v>53431</v>
      </c>
      <c r="J10550" s="3" t="s">
        <v>53435</v>
      </c>
      <c r="K10550" s="3" t="s">
        <v>53436</v>
      </c>
      <c r="L10550" s="3"/>
      <c r="M10550" s="4"/>
      <c r="N10550" s="3" t="s">
        <v>37</v>
      </c>
      <c r="O10550" s="3" t="s">
        <v>38</v>
      </c>
      <c r="P10550" s="5">
        <v>21</v>
      </c>
      <c r="Q10550" s="5">
        <v>559</v>
      </c>
      <c r="R10550" s="5">
        <v>21</v>
      </c>
      <c r="S10550" s="5">
        <v>548</v>
      </c>
    </row>
    <row r="10551" spans="1:19" ht="42" x14ac:dyDescent="0.15">
      <c r="A10551" s="2">
        <f>HYPERLINK("https://open-school.uspishnemisto.com.ua/school/530513/", 530513)</f>
        <v>530513</v>
      </c>
      <c r="B10551" s="3" t="s">
        <v>53437</v>
      </c>
      <c r="C10551" s="3" t="s">
        <v>31</v>
      </c>
      <c r="D10551" s="3" t="s">
        <v>32</v>
      </c>
      <c r="E10551" s="4" t="s">
        <v>22</v>
      </c>
      <c r="F10551" s="4" t="s">
        <v>53429</v>
      </c>
      <c r="G10551" s="4" t="s">
        <v>53430</v>
      </c>
      <c r="H10551" s="3" t="s">
        <v>50910</v>
      </c>
      <c r="I10551" s="3" t="s">
        <v>53431</v>
      </c>
      <c r="J10551" s="3" t="s">
        <v>53438</v>
      </c>
      <c r="K10551" s="3" t="s">
        <v>53439</v>
      </c>
      <c r="L10551" s="3" t="s">
        <v>53440</v>
      </c>
      <c r="M10551" s="4" t="s">
        <v>53441</v>
      </c>
      <c r="N10551" s="3" t="s">
        <v>37</v>
      </c>
      <c r="O10551" s="3" t="s">
        <v>38</v>
      </c>
      <c r="P10551" s="5">
        <v>25</v>
      </c>
      <c r="Q10551" s="5">
        <v>496</v>
      </c>
      <c r="R10551" s="5">
        <v>22</v>
      </c>
      <c r="S10551" s="5">
        <v>490</v>
      </c>
    </row>
    <row r="10552" spans="1:19" ht="28" x14ac:dyDescent="0.15">
      <c r="A10552" s="2">
        <f>HYPERLINK("https://open-school.uspishnemisto.com.ua/school/530514/", 530514)</f>
        <v>530514</v>
      </c>
      <c r="B10552" s="3" t="s">
        <v>53442</v>
      </c>
      <c r="C10552" s="3" t="s">
        <v>188</v>
      </c>
      <c r="D10552" s="3" t="s">
        <v>32</v>
      </c>
      <c r="E10552" s="4" t="s">
        <v>22</v>
      </c>
      <c r="F10552" s="4" t="s">
        <v>53429</v>
      </c>
      <c r="G10552" s="4" t="s">
        <v>53430</v>
      </c>
      <c r="H10552" s="3" t="s">
        <v>50910</v>
      </c>
      <c r="I10552" s="3" t="s">
        <v>53431</v>
      </c>
      <c r="J10552" s="3" t="s">
        <v>53443</v>
      </c>
      <c r="K10552" s="3" t="s">
        <v>53444</v>
      </c>
      <c r="L10552" s="3"/>
      <c r="M10552" s="4"/>
      <c r="N10552" s="3" t="s">
        <v>37</v>
      </c>
      <c r="O10552" s="3" t="s">
        <v>38</v>
      </c>
      <c r="P10552" s="5">
        <v>31</v>
      </c>
      <c r="Q10552" s="5">
        <v>780</v>
      </c>
      <c r="R10552" s="5">
        <v>30</v>
      </c>
      <c r="S10552" s="5">
        <v>766</v>
      </c>
    </row>
    <row r="10553" spans="1:19" ht="28" x14ac:dyDescent="0.15">
      <c r="A10553" s="2">
        <f>HYPERLINK("https://open-school.uspishnemisto.com.ua/school/530515/", 530515)</f>
        <v>530515</v>
      </c>
      <c r="B10553" s="3" t="s">
        <v>53445</v>
      </c>
      <c r="C10553" s="3" t="s">
        <v>31</v>
      </c>
      <c r="D10553" s="3" t="s">
        <v>60</v>
      </c>
      <c r="E10553" s="4" t="s">
        <v>22</v>
      </c>
      <c r="F10553" s="4" t="s">
        <v>53446</v>
      </c>
      <c r="G10553" s="4" t="s">
        <v>53447</v>
      </c>
      <c r="H10553" s="3" t="s">
        <v>50910</v>
      </c>
      <c r="I10553" s="3" t="s">
        <v>1291</v>
      </c>
      <c r="J10553" s="3" t="s">
        <v>1348</v>
      </c>
      <c r="K10553" s="3" t="s">
        <v>53448</v>
      </c>
      <c r="L10553" s="3"/>
      <c r="M10553" s="4"/>
      <c r="N10553" s="3" t="s">
        <v>37</v>
      </c>
      <c r="O10553" s="3" t="s">
        <v>52</v>
      </c>
      <c r="P10553" s="5">
        <v>0</v>
      </c>
      <c r="Q10553" s="5">
        <v>0</v>
      </c>
      <c r="R10553" s="5">
        <v>2</v>
      </c>
      <c r="S10553" s="5">
        <v>19</v>
      </c>
    </row>
    <row r="10554" spans="1:19" ht="28" x14ac:dyDescent="0.15">
      <c r="A10554" s="2">
        <f>HYPERLINK("https://open-school.uspishnemisto.com.ua/school/530516/", 530516)</f>
        <v>530516</v>
      </c>
      <c r="B10554" s="3" t="s">
        <v>53449</v>
      </c>
      <c r="C10554" s="3" t="s">
        <v>31</v>
      </c>
      <c r="D10554" s="3" t="s">
        <v>32</v>
      </c>
      <c r="E10554" s="4" t="s">
        <v>22</v>
      </c>
      <c r="F10554" s="4" t="s">
        <v>53450</v>
      </c>
      <c r="G10554" s="4" t="s">
        <v>53451</v>
      </c>
      <c r="H10554" s="3" t="s">
        <v>50910</v>
      </c>
      <c r="I10554" s="3" t="s">
        <v>53452</v>
      </c>
      <c r="J10554" s="3" t="s">
        <v>53453</v>
      </c>
      <c r="K10554" s="3" t="s">
        <v>53454</v>
      </c>
      <c r="L10554" s="3"/>
      <c r="M10554" s="4"/>
      <c r="N10554" s="3" t="s">
        <v>37</v>
      </c>
      <c r="O10554" s="3" t="s">
        <v>38</v>
      </c>
      <c r="P10554" s="5">
        <v>10</v>
      </c>
      <c r="Q10554" s="5">
        <v>140</v>
      </c>
      <c r="R10554" s="5">
        <v>10</v>
      </c>
      <c r="S10554" s="5">
        <v>134</v>
      </c>
    </row>
    <row r="10555" spans="1:19" ht="28" x14ac:dyDescent="0.15">
      <c r="A10555" s="2">
        <f>HYPERLINK("https://open-school.uspishnemisto.com.ua/school/530518/", 530518)</f>
        <v>530518</v>
      </c>
      <c r="B10555" s="3" t="s">
        <v>53455</v>
      </c>
      <c r="C10555" s="3" t="s">
        <v>31</v>
      </c>
      <c r="D10555" s="3" t="s">
        <v>32</v>
      </c>
      <c r="E10555" s="4" t="s">
        <v>22</v>
      </c>
      <c r="F10555" s="4" t="s">
        <v>53456</v>
      </c>
      <c r="G10555" s="4" t="s">
        <v>53457</v>
      </c>
      <c r="H10555" s="3" t="s">
        <v>50910</v>
      </c>
      <c r="I10555" s="3" t="s">
        <v>53458</v>
      </c>
      <c r="J10555" s="3" t="s">
        <v>53459</v>
      </c>
      <c r="K10555" s="3" t="s">
        <v>53460</v>
      </c>
      <c r="L10555" s="3"/>
      <c r="M10555" s="4"/>
      <c r="N10555" s="3" t="s">
        <v>37</v>
      </c>
      <c r="O10555" s="3" t="s">
        <v>38</v>
      </c>
      <c r="P10555" s="5">
        <v>11</v>
      </c>
      <c r="Q10555" s="5">
        <v>129</v>
      </c>
      <c r="R10555" s="5">
        <v>11</v>
      </c>
      <c r="S10555" s="5">
        <v>124</v>
      </c>
    </row>
    <row r="10556" spans="1:19" ht="28" x14ac:dyDescent="0.15">
      <c r="A10556" s="2">
        <f>HYPERLINK("https://open-school.uspishnemisto.com.ua/school/530519/", 530519)</f>
        <v>530519</v>
      </c>
      <c r="B10556" s="3" t="s">
        <v>53461</v>
      </c>
      <c r="C10556" s="3" t="s">
        <v>31</v>
      </c>
      <c r="D10556" s="3" t="s">
        <v>175</v>
      </c>
      <c r="E10556" s="4" t="s">
        <v>22</v>
      </c>
      <c r="F10556" s="4" t="s">
        <v>53462</v>
      </c>
      <c r="G10556" s="4" t="s">
        <v>53463</v>
      </c>
      <c r="H10556" s="3" t="s">
        <v>50910</v>
      </c>
      <c r="I10556" s="3" t="s">
        <v>53464</v>
      </c>
      <c r="J10556" s="3" t="s">
        <v>53465</v>
      </c>
      <c r="K10556" s="3" t="s">
        <v>53466</v>
      </c>
      <c r="L10556" s="3"/>
      <c r="M10556" s="4"/>
      <c r="N10556" s="3" t="s">
        <v>37</v>
      </c>
      <c r="O10556" s="3" t="s">
        <v>38</v>
      </c>
      <c r="P10556" s="5">
        <v>7</v>
      </c>
      <c r="Q10556" s="5">
        <v>43</v>
      </c>
      <c r="R10556" s="5">
        <v>8</v>
      </c>
      <c r="S10556" s="5">
        <v>47</v>
      </c>
    </row>
    <row r="10557" spans="1:19" ht="28" x14ac:dyDescent="0.15">
      <c r="A10557" s="2">
        <f>HYPERLINK("https://open-school.uspishnemisto.com.ua/school/530520/", 530520)</f>
        <v>530520</v>
      </c>
      <c r="B10557" s="3" t="s">
        <v>53467</v>
      </c>
      <c r="C10557" s="3" t="s">
        <v>31</v>
      </c>
      <c r="D10557" s="3" t="s">
        <v>32</v>
      </c>
      <c r="E10557" s="4" t="s">
        <v>22</v>
      </c>
      <c r="F10557" s="4" t="s">
        <v>53468</v>
      </c>
      <c r="G10557" s="4" t="s">
        <v>53469</v>
      </c>
      <c r="H10557" s="3" t="s">
        <v>50910</v>
      </c>
      <c r="I10557" s="3" t="s">
        <v>53470</v>
      </c>
      <c r="J10557" s="3" t="s">
        <v>2372</v>
      </c>
      <c r="K10557" s="3" t="s">
        <v>53471</v>
      </c>
      <c r="L10557" s="3"/>
      <c r="M10557" s="4"/>
      <c r="N10557" s="3" t="s">
        <v>37</v>
      </c>
      <c r="O10557" s="3" t="s">
        <v>2740</v>
      </c>
      <c r="P10557" s="5">
        <v>11</v>
      </c>
      <c r="Q10557" s="5">
        <v>101</v>
      </c>
      <c r="R10557" s="5">
        <v>11</v>
      </c>
      <c r="S10557" s="5">
        <v>102</v>
      </c>
    </row>
    <row r="10558" spans="1:19" ht="28" x14ac:dyDescent="0.15">
      <c r="A10558" s="2">
        <f>HYPERLINK("https://open-school.uspishnemisto.com.ua/school/530521/", 530521)</f>
        <v>530521</v>
      </c>
      <c r="B10558" s="3" t="s">
        <v>53472</v>
      </c>
      <c r="C10558" s="3" t="s">
        <v>31</v>
      </c>
      <c r="D10558" s="3" t="s">
        <v>32</v>
      </c>
      <c r="E10558" s="4" t="s">
        <v>22</v>
      </c>
      <c r="F10558" s="4" t="s">
        <v>53473</v>
      </c>
      <c r="G10558" s="4" t="s">
        <v>53474</v>
      </c>
      <c r="H10558" s="3" t="s">
        <v>50910</v>
      </c>
      <c r="I10558" s="3" t="s">
        <v>17219</v>
      </c>
      <c r="J10558" s="3" t="s">
        <v>53475</v>
      </c>
      <c r="K10558" s="3" t="s">
        <v>53476</v>
      </c>
      <c r="L10558" s="3"/>
      <c r="M10558" s="4"/>
      <c r="N10558" s="3" t="s">
        <v>37</v>
      </c>
      <c r="O10558" s="3" t="s">
        <v>38</v>
      </c>
      <c r="P10558" s="5">
        <v>9</v>
      </c>
      <c r="Q10558" s="5">
        <v>60</v>
      </c>
      <c r="R10558" s="5">
        <v>9</v>
      </c>
      <c r="S10558" s="5">
        <v>64</v>
      </c>
    </row>
    <row r="10559" spans="1:19" ht="28" x14ac:dyDescent="0.15">
      <c r="A10559" s="2">
        <f>HYPERLINK("https://open-school.uspishnemisto.com.ua/school/530522/", 530522)</f>
        <v>530522</v>
      </c>
      <c r="B10559" s="3" t="s">
        <v>53477</v>
      </c>
      <c r="C10559" s="3" t="s">
        <v>31</v>
      </c>
      <c r="D10559" s="3" t="s">
        <v>32</v>
      </c>
      <c r="E10559" s="4" t="s">
        <v>22</v>
      </c>
      <c r="F10559" s="4" t="s">
        <v>53478</v>
      </c>
      <c r="G10559" s="4" t="s">
        <v>53479</v>
      </c>
      <c r="H10559" s="3" t="s">
        <v>50910</v>
      </c>
      <c r="I10559" s="3" t="s">
        <v>53480</v>
      </c>
      <c r="J10559" s="3" t="s">
        <v>53481</v>
      </c>
      <c r="K10559" s="3" t="s">
        <v>53482</v>
      </c>
      <c r="L10559" s="3" t="s">
        <v>53483</v>
      </c>
      <c r="M10559" s="4"/>
      <c r="N10559" s="3" t="s">
        <v>37</v>
      </c>
      <c r="O10559" s="3" t="s">
        <v>38</v>
      </c>
      <c r="P10559" s="5">
        <v>11</v>
      </c>
      <c r="Q10559" s="5">
        <v>124</v>
      </c>
      <c r="R10559" s="5">
        <v>11</v>
      </c>
      <c r="S10559" s="5">
        <v>124</v>
      </c>
    </row>
    <row r="10560" spans="1:19" ht="28" x14ac:dyDescent="0.15">
      <c r="A10560" s="2">
        <f>HYPERLINK("https://open-school.uspishnemisto.com.ua/school/530523/", 530523)</f>
        <v>530523</v>
      </c>
      <c r="B10560" s="3" t="s">
        <v>53484</v>
      </c>
      <c r="C10560" s="3" t="s">
        <v>31</v>
      </c>
      <c r="D10560" s="3" t="s">
        <v>175</v>
      </c>
      <c r="E10560" s="4" t="s">
        <v>22</v>
      </c>
      <c r="F10560" s="4" t="s">
        <v>53485</v>
      </c>
      <c r="G10560" s="4" t="s">
        <v>53486</v>
      </c>
      <c r="H10560" s="3" t="s">
        <v>50910</v>
      </c>
      <c r="I10560" s="3" t="s">
        <v>53487</v>
      </c>
      <c r="J10560" s="3" t="s">
        <v>53488</v>
      </c>
      <c r="K10560" s="3" t="s">
        <v>53489</v>
      </c>
      <c r="L10560" s="3"/>
      <c r="M10560" s="4"/>
      <c r="N10560" s="3" t="s">
        <v>37</v>
      </c>
      <c r="O10560" s="3" t="s">
        <v>38</v>
      </c>
      <c r="P10560" s="5">
        <v>4</v>
      </c>
      <c r="Q10560" s="5">
        <v>32</v>
      </c>
      <c r="R10560" s="5">
        <v>4</v>
      </c>
      <c r="S10560" s="5">
        <v>31</v>
      </c>
    </row>
    <row r="10561" spans="1:19" ht="28" x14ac:dyDescent="0.15">
      <c r="A10561" s="2">
        <f>HYPERLINK("https://open-school.uspishnemisto.com.ua/school/530524/", 530524)</f>
        <v>530524</v>
      </c>
      <c r="B10561" s="3" t="s">
        <v>53490</v>
      </c>
      <c r="C10561" s="3" t="s">
        <v>31</v>
      </c>
      <c r="D10561" s="3" t="s">
        <v>175</v>
      </c>
      <c r="E10561" s="4" t="s">
        <v>22</v>
      </c>
      <c r="F10561" s="4" t="s">
        <v>53491</v>
      </c>
      <c r="G10561" s="4" t="s">
        <v>53492</v>
      </c>
      <c r="H10561" s="3" t="s">
        <v>50910</v>
      </c>
      <c r="I10561" s="3" t="s">
        <v>53493</v>
      </c>
      <c r="J10561" s="3" t="s">
        <v>10850</v>
      </c>
      <c r="K10561" s="3" t="s">
        <v>53494</v>
      </c>
      <c r="L10561" s="3"/>
      <c r="M10561" s="4"/>
      <c r="N10561" s="3" t="s">
        <v>37</v>
      </c>
      <c r="O10561" s="3" t="s">
        <v>38</v>
      </c>
      <c r="P10561" s="5">
        <v>7</v>
      </c>
      <c r="Q10561" s="5">
        <v>41</v>
      </c>
      <c r="R10561" s="5">
        <v>7</v>
      </c>
      <c r="S10561" s="5">
        <v>43</v>
      </c>
    </row>
    <row r="10562" spans="1:19" ht="28" x14ac:dyDescent="0.15">
      <c r="A10562" s="2">
        <f>HYPERLINK("https://open-school.uspishnemisto.com.ua/school/530525/", 530525)</f>
        <v>530525</v>
      </c>
      <c r="B10562" s="3" t="s">
        <v>53495</v>
      </c>
      <c r="C10562" s="3" t="s">
        <v>31</v>
      </c>
      <c r="D10562" s="3" t="s">
        <v>175</v>
      </c>
      <c r="E10562" s="4" t="s">
        <v>22</v>
      </c>
      <c r="F10562" s="4" t="s">
        <v>53496</v>
      </c>
      <c r="G10562" s="4" t="s">
        <v>53497</v>
      </c>
      <c r="H10562" s="3" t="s">
        <v>50910</v>
      </c>
      <c r="I10562" s="3" t="s">
        <v>53498</v>
      </c>
      <c r="J10562" s="3" t="s">
        <v>22663</v>
      </c>
      <c r="K10562" s="3" t="s">
        <v>53499</v>
      </c>
      <c r="L10562" s="3" t="s">
        <v>53500</v>
      </c>
      <c r="M10562" s="4"/>
      <c r="N10562" s="3" t="s">
        <v>37</v>
      </c>
      <c r="O10562" s="3" t="s">
        <v>38</v>
      </c>
      <c r="P10562" s="5">
        <v>3</v>
      </c>
      <c r="Q10562" s="5">
        <v>27</v>
      </c>
      <c r="R10562" s="5">
        <v>4</v>
      </c>
      <c r="S10562" s="5">
        <v>32</v>
      </c>
    </row>
    <row r="10563" spans="1:19" ht="42" x14ac:dyDescent="0.15">
      <c r="A10563" s="2">
        <f>HYPERLINK("https://open-school.uspishnemisto.com.ua/school/530526/", 530526)</f>
        <v>530526</v>
      </c>
      <c r="B10563" s="3" t="s">
        <v>53501</v>
      </c>
      <c r="C10563" s="3" t="s">
        <v>31</v>
      </c>
      <c r="D10563" s="3" t="s">
        <v>175</v>
      </c>
      <c r="E10563" s="4" t="s">
        <v>22</v>
      </c>
      <c r="F10563" s="4" t="s">
        <v>53502</v>
      </c>
      <c r="G10563" s="4" t="s">
        <v>53503</v>
      </c>
      <c r="H10563" s="3" t="s">
        <v>50910</v>
      </c>
      <c r="I10563" s="3" t="s">
        <v>53504</v>
      </c>
      <c r="J10563" s="3" t="s">
        <v>53505</v>
      </c>
      <c r="K10563" s="3" t="s">
        <v>53506</v>
      </c>
      <c r="L10563" s="3"/>
      <c r="M10563" s="4"/>
      <c r="N10563" s="3" t="s">
        <v>37</v>
      </c>
      <c r="O10563" s="3" t="s">
        <v>52</v>
      </c>
      <c r="P10563" s="5">
        <v>0</v>
      </c>
      <c r="Q10563" s="5">
        <v>0</v>
      </c>
      <c r="R10563" s="5">
        <v>8</v>
      </c>
      <c r="S10563" s="5">
        <v>58</v>
      </c>
    </row>
    <row r="10564" spans="1:19" ht="28" x14ac:dyDescent="0.15">
      <c r="A10564" s="2">
        <f>HYPERLINK("https://open-school.uspishnemisto.com.ua/school/530527/", 530527)</f>
        <v>530527</v>
      </c>
      <c r="B10564" s="3" t="s">
        <v>53507</v>
      </c>
      <c r="C10564" s="3" t="s">
        <v>31</v>
      </c>
      <c r="D10564" s="3" t="s">
        <v>32</v>
      </c>
      <c r="E10564" s="4" t="s">
        <v>22</v>
      </c>
      <c r="F10564" s="4" t="s">
        <v>53508</v>
      </c>
      <c r="G10564" s="4" t="s">
        <v>53509</v>
      </c>
      <c r="H10564" s="3" t="s">
        <v>50910</v>
      </c>
      <c r="I10564" s="3" t="s">
        <v>11549</v>
      </c>
      <c r="J10564" s="3" t="s">
        <v>53510</v>
      </c>
      <c r="K10564" s="3" t="s">
        <v>53511</v>
      </c>
      <c r="L10564" s="3"/>
      <c r="M10564" s="4"/>
      <c r="N10564" s="3" t="s">
        <v>37</v>
      </c>
      <c r="O10564" s="3" t="s">
        <v>38</v>
      </c>
      <c r="P10564" s="5">
        <v>19</v>
      </c>
      <c r="Q10564" s="5">
        <v>180</v>
      </c>
      <c r="R10564" s="5">
        <v>11</v>
      </c>
      <c r="S10564" s="5">
        <v>123</v>
      </c>
    </row>
    <row r="10565" spans="1:19" ht="28" x14ac:dyDescent="0.15">
      <c r="A10565" s="2">
        <f>HYPERLINK("https://open-school.uspishnemisto.com.ua/school/530528/", 530528)</f>
        <v>530528</v>
      </c>
      <c r="B10565" s="3" t="s">
        <v>53512</v>
      </c>
      <c r="C10565" s="3" t="s">
        <v>31</v>
      </c>
      <c r="D10565" s="3" t="s">
        <v>32</v>
      </c>
      <c r="E10565" s="4" t="s">
        <v>22</v>
      </c>
      <c r="F10565" s="4" t="s">
        <v>53513</v>
      </c>
      <c r="G10565" s="4" t="s">
        <v>53514</v>
      </c>
      <c r="H10565" s="3" t="s">
        <v>50910</v>
      </c>
      <c r="I10565" s="3" t="s">
        <v>12579</v>
      </c>
      <c r="J10565" s="3" t="s">
        <v>44152</v>
      </c>
      <c r="K10565" s="3" t="s">
        <v>53515</v>
      </c>
      <c r="L10565" s="3"/>
      <c r="M10565" s="4"/>
      <c r="N10565" s="3" t="s">
        <v>37</v>
      </c>
      <c r="O10565" s="3" t="s">
        <v>38</v>
      </c>
      <c r="P10565" s="5">
        <v>9</v>
      </c>
      <c r="Q10565" s="5">
        <v>77</v>
      </c>
      <c r="R10565" s="5">
        <v>9</v>
      </c>
      <c r="S10565" s="5">
        <v>66</v>
      </c>
    </row>
    <row r="10566" spans="1:19" ht="28" x14ac:dyDescent="0.15">
      <c r="A10566" s="2">
        <f>HYPERLINK("https://open-school.uspishnemisto.com.ua/school/530529/", 530529)</f>
        <v>530529</v>
      </c>
      <c r="B10566" s="3" t="s">
        <v>53516</v>
      </c>
      <c r="C10566" s="3" t="s">
        <v>31</v>
      </c>
      <c r="D10566" s="3" t="s">
        <v>32</v>
      </c>
      <c r="E10566" s="4" t="s">
        <v>22</v>
      </c>
      <c r="F10566" s="4" t="s">
        <v>53517</v>
      </c>
      <c r="G10566" s="4" t="s">
        <v>53518</v>
      </c>
      <c r="H10566" s="3" t="s">
        <v>50910</v>
      </c>
      <c r="I10566" s="3" t="s">
        <v>53519</v>
      </c>
      <c r="J10566" s="3" t="s">
        <v>792</v>
      </c>
      <c r="K10566" s="3" t="s">
        <v>53520</v>
      </c>
      <c r="L10566" s="3"/>
      <c r="M10566" s="4"/>
      <c r="N10566" s="3" t="s">
        <v>37</v>
      </c>
      <c r="O10566" s="3" t="s">
        <v>52</v>
      </c>
      <c r="P10566" s="5">
        <v>11</v>
      </c>
      <c r="Q10566" s="5">
        <v>127</v>
      </c>
      <c r="R10566" s="5">
        <v>11</v>
      </c>
      <c r="S10566" s="5">
        <v>111</v>
      </c>
    </row>
    <row r="10567" spans="1:19" ht="28" x14ac:dyDescent="0.15">
      <c r="A10567" s="2">
        <f>HYPERLINK("https://open-school.uspishnemisto.com.ua/school/530530/", 530530)</f>
        <v>530530</v>
      </c>
      <c r="B10567" s="3" t="s">
        <v>53521</v>
      </c>
      <c r="C10567" s="3" t="s">
        <v>54</v>
      </c>
      <c r="D10567" s="3" t="s">
        <v>32</v>
      </c>
      <c r="E10567" s="4" t="s">
        <v>22</v>
      </c>
      <c r="F10567" s="4" t="s">
        <v>53522</v>
      </c>
      <c r="G10567" s="4" t="s">
        <v>53523</v>
      </c>
      <c r="H10567" s="3" t="s">
        <v>50910</v>
      </c>
      <c r="I10567" s="3" t="s">
        <v>53524</v>
      </c>
      <c r="J10567" s="3" t="s">
        <v>53525</v>
      </c>
      <c r="K10567" s="3" t="s">
        <v>53526</v>
      </c>
      <c r="L10567" s="3"/>
      <c r="M10567" s="4"/>
      <c r="N10567" s="3" t="s">
        <v>37</v>
      </c>
      <c r="O10567" s="3" t="s">
        <v>52</v>
      </c>
      <c r="P10567" s="5">
        <v>5</v>
      </c>
      <c r="Q10567" s="5">
        <v>49</v>
      </c>
      <c r="R10567" s="5">
        <v>7</v>
      </c>
      <c r="S10567" s="5">
        <v>53</v>
      </c>
    </row>
    <row r="10568" spans="1:19" ht="28" x14ac:dyDescent="0.15">
      <c r="A10568" s="2">
        <f>HYPERLINK("https://open-school.uspishnemisto.com.ua/school/530531/", 530531)</f>
        <v>530531</v>
      </c>
      <c r="B10568" s="3" t="s">
        <v>53527</v>
      </c>
      <c r="C10568" s="3" t="s">
        <v>31</v>
      </c>
      <c r="D10568" s="3" t="s">
        <v>32</v>
      </c>
      <c r="E10568" s="4" t="s">
        <v>22</v>
      </c>
      <c r="F10568" s="4" t="s">
        <v>53528</v>
      </c>
      <c r="G10568" s="4" t="s">
        <v>53529</v>
      </c>
      <c r="H10568" s="3" t="s">
        <v>50910</v>
      </c>
      <c r="I10568" s="3" t="s">
        <v>53530</v>
      </c>
      <c r="J10568" s="3" t="s">
        <v>3604</v>
      </c>
      <c r="K10568" s="3"/>
      <c r="L10568" s="3"/>
      <c r="M10568" s="4"/>
      <c r="N10568" s="3" t="s">
        <v>37</v>
      </c>
      <c r="O10568" s="3" t="s">
        <v>52</v>
      </c>
      <c r="P10568" s="5">
        <v>3</v>
      </c>
      <c r="Q10568" s="5">
        <v>32</v>
      </c>
      <c r="R10568" s="5">
        <v>4</v>
      </c>
      <c r="S10568" s="5">
        <v>39</v>
      </c>
    </row>
    <row r="10569" spans="1:19" ht="28" x14ac:dyDescent="0.15">
      <c r="A10569" s="2">
        <f>HYPERLINK("https://open-school.uspishnemisto.com.ua/school/530532/", 530532)</f>
        <v>530532</v>
      </c>
      <c r="B10569" s="3" t="s">
        <v>53531</v>
      </c>
      <c r="C10569" s="3" t="s">
        <v>31</v>
      </c>
      <c r="D10569" s="3" t="s">
        <v>32</v>
      </c>
      <c r="E10569" s="4" t="s">
        <v>22</v>
      </c>
      <c r="F10569" s="4" t="s">
        <v>53532</v>
      </c>
      <c r="G10569" s="4" t="s">
        <v>53533</v>
      </c>
      <c r="H10569" s="3" t="s">
        <v>50910</v>
      </c>
      <c r="I10569" s="3" t="s">
        <v>1500</v>
      </c>
      <c r="J10569" s="3" t="s">
        <v>466</v>
      </c>
      <c r="K10569" s="3" t="s">
        <v>53534</v>
      </c>
      <c r="L10569" s="3"/>
      <c r="M10569" s="4"/>
      <c r="N10569" s="3" t="s">
        <v>37</v>
      </c>
      <c r="O10569" s="3" t="s">
        <v>618</v>
      </c>
      <c r="P10569" s="5">
        <v>7</v>
      </c>
      <c r="Q10569" s="5">
        <v>57</v>
      </c>
      <c r="R10569" s="5">
        <v>6</v>
      </c>
      <c r="S10569" s="5">
        <v>53</v>
      </c>
    </row>
    <row r="10570" spans="1:19" ht="28" x14ac:dyDescent="0.15">
      <c r="A10570" s="2">
        <f>HYPERLINK("https://open-school.uspishnemisto.com.ua/school/530533/", 530533)</f>
        <v>530533</v>
      </c>
      <c r="B10570" s="3" t="s">
        <v>53535</v>
      </c>
      <c r="C10570" s="3" t="s">
        <v>54</v>
      </c>
      <c r="D10570" s="3" t="s">
        <v>32</v>
      </c>
      <c r="E10570" s="4" t="s">
        <v>22</v>
      </c>
      <c r="F10570" s="4" t="s">
        <v>53536</v>
      </c>
      <c r="G10570" s="4" t="s">
        <v>53537</v>
      </c>
      <c r="H10570" s="3" t="s">
        <v>50910</v>
      </c>
      <c r="I10570" s="3" t="s">
        <v>53538</v>
      </c>
      <c r="J10570" s="3" t="s">
        <v>6332</v>
      </c>
      <c r="K10570" s="3"/>
      <c r="L10570" s="3"/>
      <c r="M10570" s="4"/>
      <c r="N10570" s="3" t="s">
        <v>37</v>
      </c>
      <c r="O10570" s="3" t="s">
        <v>52</v>
      </c>
      <c r="P10570" s="5">
        <v>11</v>
      </c>
      <c r="Q10570" s="5">
        <v>167</v>
      </c>
      <c r="R10570" s="5">
        <v>11</v>
      </c>
      <c r="S10570" s="5">
        <v>168</v>
      </c>
    </row>
    <row r="10571" spans="1:19" ht="28" x14ac:dyDescent="0.15">
      <c r="A10571" s="2">
        <f>HYPERLINK("https://open-school.uspishnemisto.com.ua/school/530534/", 530534)</f>
        <v>530534</v>
      </c>
      <c r="B10571" s="3" t="s">
        <v>53539</v>
      </c>
      <c r="C10571" s="3" t="s">
        <v>31</v>
      </c>
      <c r="D10571" s="3" t="s">
        <v>60</v>
      </c>
      <c r="E10571" s="4" t="s">
        <v>22</v>
      </c>
      <c r="F10571" s="4" t="s">
        <v>53540</v>
      </c>
      <c r="G10571" s="4" t="s">
        <v>53541</v>
      </c>
      <c r="H10571" s="3" t="s">
        <v>50910</v>
      </c>
      <c r="I10571" s="3" t="s">
        <v>53542</v>
      </c>
      <c r="J10571" s="3" t="s">
        <v>7564</v>
      </c>
      <c r="K10571" s="3" t="s">
        <v>53543</v>
      </c>
      <c r="L10571" s="3"/>
      <c r="M10571" s="4"/>
      <c r="N10571" s="3" t="s">
        <v>37</v>
      </c>
      <c r="O10571" s="3" t="s">
        <v>52</v>
      </c>
      <c r="P10571" s="5">
        <v>0</v>
      </c>
      <c r="Q10571" s="5">
        <v>7</v>
      </c>
      <c r="R10571" s="5">
        <v>2</v>
      </c>
      <c r="S10571" s="5">
        <v>13</v>
      </c>
    </row>
    <row r="10572" spans="1:19" ht="28" x14ac:dyDescent="0.15">
      <c r="A10572" s="2">
        <f>HYPERLINK("https://open-school.uspishnemisto.com.ua/school/530535/", 530535)</f>
        <v>530535</v>
      </c>
      <c r="B10572" s="3" t="s">
        <v>53544</v>
      </c>
      <c r="C10572" s="3" t="s">
        <v>54</v>
      </c>
      <c r="D10572" s="3" t="s">
        <v>32</v>
      </c>
      <c r="E10572" s="4" t="s">
        <v>22</v>
      </c>
      <c r="F10572" s="4" t="s">
        <v>53545</v>
      </c>
      <c r="G10572" s="4" t="s">
        <v>53546</v>
      </c>
      <c r="H10572" s="3" t="s">
        <v>50910</v>
      </c>
      <c r="I10572" s="3" t="s">
        <v>53547</v>
      </c>
      <c r="J10572" s="3" t="s">
        <v>53548</v>
      </c>
      <c r="K10572" s="3" t="s">
        <v>53549</v>
      </c>
      <c r="L10572" s="3"/>
      <c r="M10572" s="4"/>
      <c r="N10572" s="3" t="s">
        <v>37</v>
      </c>
      <c r="O10572" s="3" t="s">
        <v>52</v>
      </c>
      <c r="P10572" s="5">
        <v>11</v>
      </c>
      <c r="Q10572" s="5">
        <v>159</v>
      </c>
      <c r="R10572" s="5">
        <v>11</v>
      </c>
      <c r="S10572" s="5">
        <v>147</v>
      </c>
    </row>
    <row r="10573" spans="1:19" ht="28" x14ac:dyDescent="0.15">
      <c r="A10573" s="2">
        <f>HYPERLINK("https://open-school.uspishnemisto.com.ua/school/530536/", 530536)</f>
        <v>530536</v>
      </c>
      <c r="B10573" s="3" t="s">
        <v>53550</v>
      </c>
      <c r="C10573" s="3" t="s">
        <v>54</v>
      </c>
      <c r="D10573" s="3" t="s">
        <v>32</v>
      </c>
      <c r="E10573" s="4" t="s">
        <v>22</v>
      </c>
      <c r="F10573" s="4" t="s">
        <v>53551</v>
      </c>
      <c r="G10573" s="4" t="s">
        <v>53552</v>
      </c>
      <c r="H10573" s="3" t="s">
        <v>50910</v>
      </c>
      <c r="I10573" s="3" t="s">
        <v>53553</v>
      </c>
      <c r="J10573" s="3" t="s">
        <v>25057</v>
      </c>
      <c r="K10573" s="3" t="s">
        <v>53554</v>
      </c>
      <c r="L10573" s="3"/>
      <c r="M10573" s="4"/>
      <c r="N10573" s="3" t="s">
        <v>37</v>
      </c>
      <c r="O10573" s="3" t="s">
        <v>52</v>
      </c>
      <c r="P10573" s="5">
        <v>10</v>
      </c>
      <c r="Q10573" s="5">
        <v>137</v>
      </c>
      <c r="R10573" s="5">
        <v>11</v>
      </c>
      <c r="S10573" s="5">
        <v>137</v>
      </c>
    </row>
    <row r="10574" spans="1:19" ht="28" x14ac:dyDescent="0.15">
      <c r="A10574" s="2">
        <f>HYPERLINK("https://open-school.uspishnemisto.com.ua/school/530537/", 530537)</f>
        <v>530537</v>
      </c>
      <c r="B10574" s="3" t="s">
        <v>53555</v>
      </c>
      <c r="C10574" s="3" t="s">
        <v>54</v>
      </c>
      <c r="D10574" s="3" t="s">
        <v>32</v>
      </c>
      <c r="E10574" s="4" t="s">
        <v>22</v>
      </c>
      <c r="F10574" s="4" t="s">
        <v>53556</v>
      </c>
      <c r="G10574" s="4" t="s">
        <v>53557</v>
      </c>
      <c r="H10574" s="3" t="s">
        <v>50910</v>
      </c>
      <c r="I10574" s="3" t="s">
        <v>53558</v>
      </c>
      <c r="J10574" s="3" t="s">
        <v>297</v>
      </c>
      <c r="K10574" s="3" t="s">
        <v>53559</v>
      </c>
      <c r="L10574" s="3"/>
      <c r="M10574" s="4"/>
      <c r="N10574" s="3" t="s">
        <v>37</v>
      </c>
      <c r="O10574" s="3" t="s">
        <v>52</v>
      </c>
      <c r="P10574" s="5">
        <v>11</v>
      </c>
      <c r="Q10574" s="5">
        <v>157</v>
      </c>
      <c r="R10574" s="5">
        <v>11</v>
      </c>
      <c r="S10574" s="5">
        <v>152</v>
      </c>
    </row>
    <row r="10575" spans="1:19" ht="28" x14ac:dyDescent="0.15">
      <c r="A10575" s="2">
        <f>HYPERLINK("https://open-school.uspishnemisto.com.ua/school/530538/", 530538)</f>
        <v>530538</v>
      </c>
      <c r="B10575" s="3" t="s">
        <v>53560</v>
      </c>
      <c r="C10575" s="3" t="s">
        <v>31</v>
      </c>
      <c r="D10575" s="3" t="s">
        <v>60</v>
      </c>
      <c r="E10575" s="4" t="s">
        <v>22</v>
      </c>
      <c r="F10575" s="4" t="s">
        <v>53561</v>
      </c>
      <c r="G10575" s="4" t="s">
        <v>53562</v>
      </c>
      <c r="H10575" s="3" t="s">
        <v>50910</v>
      </c>
      <c r="I10575" s="3" t="s">
        <v>2857</v>
      </c>
      <c r="J10575" s="3" t="s">
        <v>53563</v>
      </c>
      <c r="K10575" s="3" t="s">
        <v>53564</v>
      </c>
      <c r="L10575" s="3"/>
      <c r="M10575" s="4"/>
      <c r="N10575" s="3" t="s">
        <v>37</v>
      </c>
      <c r="O10575" s="3" t="s">
        <v>52</v>
      </c>
      <c r="P10575" s="5">
        <v>5</v>
      </c>
      <c r="Q10575" s="5">
        <v>98</v>
      </c>
      <c r="R10575" s="5">
        <v>5</v>
      </c>
      <c r="S10575" s="5">
        <v>103</v>
      </c>
    </row>
    <row r="10576" spans="1:19" ht="28" x14ac:dyDescent="0.15">
      <c r="A10576" s="2">
        <f>HYPERLINK("https://open-school.uspishnemisto.com.ua/school/530539/", 530539)</f>
        <v>530539</v>
      </c>
      <c r="B10576" s="3" t="s">
        <v>53565</v>
      </c>
      <c r="C10576" s="3" t="s">
        <v>20356</v>
      </c>
      <c r="D10576" s="3" t="s">
        <v>32</v>
      </c>
      <c r="E10576" s="4" t="s">
        <v>22</v>
      </c>
      <c r="F10576" s="4" t="s">
        <v>53561</v>
      </c>
      <c r="G10576" s="4" t="s">
        <v>53562</v>
      </c>
      <c r="H10576" s="3" t="s">
        <v>50910</v>
      </c>
      <c r="I10576" s="3" t="s">
        <v>2857</v>
      </c>
      <c r="J10576" s="3" t="s">
        <v>53566</v>
      </c>
      <c r="K10576" s="3" t="s">
        <v>53567</v>
      </c>
      <c r="L10576" s="3" t="s">
        <v>53568</v>
      </c>
      <c r="M10576" s="4" t="s">
        <v>53569</v>
      </c>
      <c r="N10576" s="3" t="s">
        <v>37</v>
      </c>
      <c r="O10576" s="3" t="s">
        <v>46</v>
      </c>
      <c r="P10576" s="5">
        <v>10</v>
      </c>
      <c r="Q10576" s="5">
        <v>205</v>
      </c>
      <c r="R10576" s="5">
        <v>10</v>
      </c>
      <c r="S10576" s="5">
        <v>202</v>
      </c>
    </row>
    <row r="10577" spans="1:19" ht="28" x14ac:dyDescent="0.15">
      <c r="A10577" s="2">
        <f>HYPERLINK("https://open-school.uspishnemisto.com.ua/school/530540/", 530540)</f>
        <v>530540</v>
      </c>
      <c r="B10577" s="3" t="s">
        <v>53570</v>
      </c>
      <c r="C10577" s="3" t="s">
        <v>31</v>
      </c>
      <c r="D10577" s="3" t="s">
        <v>60</v>
      </c>
      <c r="E10577" s="4" t="s">
        <v>22</v>
      </c>
      <c r="F10577" s="4" t="s">
        <v>53571</v>
      </c>
      <c r="G10577" s="4" t="s">
        <v>53572</v>
      </c>
      <c r="H10577" s="3" t="s">
        <v>50910</v>
      </c>
      <c r="I10577" s="3" t="s">
        <v>19289</v>
      </c>
      <c r="J10577" s="3" t="s">
        <v>878</v>
      </c>
      <c r="K10577" s="3"/>
      <c r="L10577" s="3"/>
      <c r="M10577" s="4"/>
      <c r="N10577" s="3" t="s">
        <v>37</v>
      </c>
      <c r="O10577" s="3" t="s">
        <v>52</v>
      </c>
      <c r="P10577" s="5">
        <v>3</v>
      </c>
      <c r="Q10577" s="5">
        <v>18</v>
      </c>
      <c r="R10577" s="5">
        <v>3</v>
      </c>
      <c r="S10577" s="5">
        <v>18</v>
      </c>
    </row>
    <row r="10578" spans="1:19" ht="28" x14ac:dyDescent="0.15">
      <c r="A10578" s="2">
        <f>HYPERLINK("https://open-school.uspishnemisto.com.ua/school/530541/", 530541)</f>
        <v>530541</v>
      </c>
      <c r="B10578" s="3" t="s">
        <v>53573</v>
      </c>
      <c r="C10578" s="3" t="s">
        <v>31</v>
      </c>
      <c r="D10578" s="3" t="s">
        <v>175</v>
      </c>
      <c r="E10578" s="4" t="s">
        <v>22</v>
      </c>
      <c r="F10578" s="4" t="s">
        <v>53571</v>
      </c>
      <c r="G10578" s="4" t="s">
        <v>53574</v>
      </c>
      <c r="H10578" s="3" t="s">
        <v>50910</v>
      </c>
      <c r="I10578" s="3" t="s">
        <v>53575</v>
      </c>
      <c r="J10578" s="3" t="s">
        <v>38807</v>
      </c>
      <c r="K10578" s="3" t="s">
        <v>53576</v>
      </c>
      <c r="L10578" s="3"/>
      <c r="M10578" s="4"/>
      <c r="N10578" s="3" t="s">
        <v>37</v>
      </c>
      <c r="O10578" s="3" t="s">
        <v>46</v>
      </c>
      <c r="P10578" s="5">
        <v>6</v>
      </c>
      <c r="Q10578" s="5">
        <v>47</v>
      </c>
      <c r="R10578" s="5">
        <v>4</v>
      </c>
      <c r="S10578" s="5">
        <v>45</v>
      </c>
    </row>
    <row r="10579" spans="1:19" ht="28" x14ac:dyDescent="0.15">
      <c r="A10579" s="2">
        <f>HYPERLINK("https://open-school.uspishnemisto.com.ua/school/530542/", 530542)</f>
        <v>530542</v>
      </c>
      <c r="B10579" s="3" t="s">
        <v>53577</v>
      </c>
      <c r="C10579" s="3" t="s">
        <v>54</v>
      </c>
      <c r="D10579" s="3" t="s">
        <v>32</v>
      </c>
      <c r="E10579" s="4" t="s">
        <v>22</v>
      </c>
      <c r="F10579" s="4" t="s">
        <v>53578</v>
      </c>
      <c r="G10579" s="4" t="s">
        <v>53579</v>
      </c>
      <c r="H10579" s="3" t="s">
        <v>50910</v>
      </c>
      <c r="I10579" s="3" t="s">
        <v>53580</v>
      </c>
      <c r="J10579" s="3" t="s">
        <v>10957</v>
      </c>
      <c r="K10579" s="3" t="s">
        <v>53581</v>
      </c>
      <c r="L10579" s="3"/>
      <c r="M10579" s="4"/>
      <c r="N10579" s="3" t="s">
        <v>37</v>
      </c>
      <c r="O10579" s="3" t="s">
        <v>52</v>
      </c>
      <c r="P10579" s="5">
        <v>11</v>
      </c>
      <c r="Q10579" s="5">
        <v>127</v>
      </c>
      <c r="R10579" s="5">
        <v>11</v>
      </c>
      <c r="S10579" s="5">
        <v>117</v>
      </c>
    </row>
    <row r="10580" spans="1:19" ht="28" x14ac:dyDescent="0.15">
      <c r="A10580" s="2">
        <f>HYPERLINK("https://open-school.uspishnemisto.com.ua/school/530543/", 530543)</f>
        <v>530543</v>
      </c>
      <c r="B10580" s="3" t="s">
        <v>53582</v>
      </c>
      <c r="C10580" s="3" t="s">
        <v>31</v>
      </c>
      <c r="D10580" s="3" t="s">
        <v>32</v>
      </c>
      <c r="E10580" s="4" t="s">
        <v>22</v>
      </c>
      <c r="F10580" s="4" t="s">
        <v>53583</v>
      </c>
      <c r="G10580" s="4" t="s">
        <v>53584</v>
      </c>
      <c r="H10580" s="3" t="s">
        <v>50910</v>
      </c>
      <c r="I10580" s="3" t="s">
        <v>53585</v>
      </c>
      <c r="J10580" s="3" t="s">
        <v>1868</v>
      </c>
      <c r="K10580" s="3" t="s">
        <v>53586</v>
      </c>
      <c r="L10580" s="3"/>
      <c r="M10580" s="4"/>
      <c r="N10580" s="3" t="s">
        <v>37</v>
      </c>
      <c r="O10580" s="3" t="s">
        <v>46</v>
      </c>
      <c r="P10580" s="5">
        <v>11</v>
      </c>
      <c r="Q10580" s="5">
        <v>84</v>
      </c>
      <c r="R10580" s="5">
        <v>11</v>
      </c>
      <c r="S10580" s="5">
        <v>87</v>
      </c>
    </row>
    <row r="10581" spans="1:19" ht="28" x14ac:dyDescent="0.15">
      <c r="A10581" s="2">
        <f>HYPERLINK("https://open-school.uspishnemisto.com.ua/school/530544/", 530544)</f>
        <v>530544</v>
      </c>
      <c r="B10581" s="3" t="s">
        <v>53587</v>
      </c>
      <c r="C10581" s="3" t="s">
        <v>31</v>
      </c>
      <c r="D10581" s="3" t="s">
        <v>175</v>
      </c>
      <c r="E10581" s="4" t="s">
        <v>22</v>
      </c>
      <c r="F10581" s="4" t="s">
        <v>53588</v>
      </c>
      <c r="G10581" s="4" t="s">
        <v>53589</v>
      </c>
      <c r="H10581" s="3" t="s">
        <v>50910</v>
      </c>
      <c r="I10581" s="3" t="s">
        <v>1033</v>
      </c>
      <c r="J10581" s="3" t="s">
        <v>53590</v>
      </c>
      <c r="K10581" s="3" t="s">
        <v>53591</v>
      </c>
      <c r="L10581" s="3"/>
      <c r="M10581" s="4"/>
      <c r="N10581" s="3" t="s">
        <v>37</v>
      </c>
      <c r="O10581" s="3" t="s">
        <v>52</v>
      </c>
      <c r="P10581" s="5">
        <v>3</v>
      </c>
      <c r="Q10581" s="5">
        <v>29</v>
      </c>
      <c r="R10581" s="5">
        <v>2</v>
      </c>
      <c r="S10581" s="5">
        <v>26</v>
      </c>
    </row>
    <row r="10582" spans="1:19" ht="28" x14ac:dyDescent="0.15">
      <c r="A10582" s="2">
        <f>HYPERLINK("https://open-school.uspishnemisto.com.ua/school/530545/", 530545)</f>
        <v>530545</v>
      </c>
      <c r="B10582" s="3" t="s">
        <v>53592</v>
      </c>
      <c r="C10582" s="3" t="s">
        <v>54</v>
      </c>
      <c r="D10582" s="3" t="s">
        <v>32</v>
      </c>
      <c r="E10582" s="4" t="s">
        <v>22</v>
      </c>
      <c r="F10582" s="4" t="s">
        <v>53593</v>
      </c>
      <c r="G10582" s="4" t="s">
        <v>53594</v>
      </c>
      <c r="H10582" s="3" t="s">
        <v>50910</v>
      </c>
      <c r="I10582" s="3" t="s">
        <v>53595</v>
      </c>
      <c r="J10582" s="3" t="s">
        <v>53596</v>
      </c>
      <c r="K10582" s="3" t="s">
        <v>53597</v>
      </c>
      <c r="L10582" s="3" t="s">
        <v>53598</v>
      </c>
      <c r="M10582" s="4"/>
      <c r="N10582" s="3" t="s">
        <v>37</v>
      </c>
      <c r="O10582" s="3" t="s">
        <v>52</v>
      </c>
      <c r="P10582" s="5">
        <v>14</v>
      </c>
      <c r="Q10582" s="5">
        <v>256</v>
      </c>
      <c r="R10582" s="5">
        <v>14</v>
      </c>
      <c r="S10582" s="5">
        <v>261</v>
      </c>
    </row>
    <row r="10583" spans="1:19" ht="28" x14ac:dyDescent="0.15">
      <c r="A10583" s="2">
        <f>HYPERLINK("https://open-school.uspishnemisto.com.ua/school/530546/", 530546)</f>
        <v>530546</v>
      </c>
      <c r="B10583" s="3" t="s">
        <v>53599</v>
      </c>
      <c r="C10583" s="3" t="s">
        <v>54</v>
      </c>
      <c r="D10583" s="3" t="s">
        <v>32</v>
      </c>
      <c r="E10583" s="4" t="s">
        <v>22</v>
      </c>
      <c r="F10583" s="4" t="s">
        <v>53600</v>
      </c>
      <c r="G10583" s="4" t="s">
        <v>53601</v>
      </c>
      <c r="H10583" s="3" t="s">
        <v>50910</v>
      </c>
      <c r="I10583" s="3" t="s">
        <v>53602</v>
      </c>
      <c r="J10583" s="3" t="s">
        <v>53603</v>
      </c>
      <c r="K10583" s="3" t="s">
        <v>53604</v>
      </c>
      <c r="L10583" s="3"/>
      <c r="M10583" s="4"/>
      <c r="N10583" s="3" t="s">
        <v>37</v>
      </c>
      <c r="O10583" s="3" t="s">
        <v>52</v>
      </c>
      <c r="P10583" s="5">
        <v>16</v>
      </c>
      <c r="Q10583" s="5">
        <v>247</v>
      </c>
      <c r="R10583" s="5">
        <v>16</v>
      </c>
      <c r="S10583" s="5">
        <v>301</v>
      </c>
    </row>
    <row r="10584" spans="1:19" ht="28" x14ac:dyDescent="0.15">
      <c r="A10584" s="2">
        <f>HYPERLINK("https://open-school.uspishnemisto.com.ua/school/530547/", 530547)</f>
        <v>530547</v>
      </c>
      <c r="B10584" s="3" t="s">
        <v>53605</v>
      </c>
      <c r="C10584" s="3" t="s">
        <v>31</v>
      </c>
      <c r="D10584" s="3" t="s">
        <v>60</v>
      </c>
      <c r="E10584" s="4" t="s">
        <v>22</v>
      </c>
      <c r="F10584" s="4" t="s">
        <v>53606</v>
      </c>
      <c r="G10584" s="4" t="s">
        <v>53607</v>
      </c>
      <c r="H10584" s="3" t="s">
        <v>50910</v>
      </c>
      <c r="I10584" s="3" t="s">
        <v>53608</v>
      </c>
      <c r="J10584" s="3" t="s">
        <v>17954</v>
      </c>
      <c r="K10584" s="3" t="s">
        <v>53609</v>
      </c>
      <c r="L10584" s="3"/>
      <c r="M10584" s="4"/>
      <c r="N10584" s="3" t="s">
        <v>37</v>
      </c>
      <c r="O10584" s="3" t="s">
        <v>52</v>
      </c>
      <c r="P10584" s="5">
        <v>0</v>
      </c>
      <c r="Q10584" s="5">
        <v>7</v>
      </c>
      <c r="R10584" s="5">
        <v>0</v>
      </c>
      <c r="S10584" s="5">
        <v>5</v>
      </c>
    </row>
    <row r="10585" spans="1:19" ht="28" x14ac:dyDescent="0.15">
      <c r="A10585" s="2">
        <f>HYPERLINK("https://open-school.uspishnemisto.com.ua/school/530548/", 530548)</f>
        <v>530548</v>
      </c>
      <c r="B10585" s="3" t="s">
        <v>53610</v>
      </c>
      <c r="C10585" s="3" t="s">
        <v>31</v>
      </c>
      <c r="D10585" s="3" t="s">
        <v>60</v>
      </c>
      <c r="E10585" s="4" t="s">
        <v>22</v>
      </c>
      <c r="F10585" s="4" t="s">
        <v>53606</v>
      </c>
      <c r="G10585" s="4" t="s">
        <v>53611</v>
      </c>
      <c r="H10585" s="3" t="s">
        <v>50910</v>
      </c>
      <c r="I10585" s="3" t="s">
        <v>11718</v>
      </c>
      <c r="J10585" s="3" t="s">
        <v>1451</v>
      </c>
      <c r="K10585" s="3" t="s">
        <v>53612</v>
      </c>
      <c r="L10585" s="3"/>
      <c r="M10585" s="4"/>
      <c r="N10585" s="3" t="s">
        <v>37</v>
      </c>
      <c r="O10585" s="3" t="s">
        <v>52</v>
      </c>
      <c r="P10585" s="5">
        <v>0</v>
      </c>
      <c r="Q10585" s="5">
        <v>3</v>
      </c>
      <c r="R10585" s="5">
        <v>0</v>
      </c>
      <c r="S10585" s="5">
        <v>3</v>
      </c>
    </row>
    <row r="10586" spans="1:19" ht="28" x14ac:dyDescent="0.15">
      <c r="A10586" s="2">
        <f>HYPERLINK("https://open-school.uspishnemisto.com.ua/school/530549/", 530549)</f>
        <v>530549</v>
      </c>
      <c r="B10586" s="3" t="s">
        <v>53613</v>
      </c>
      <c r="C10586" s="3" t="s">
        <v>181</v>
      </c>
      <c r="D10586" s="3" t="s">
        <v>60</v>
      </c>
      <c r="E10586" s="4" t="s">
        <v>22</v>
      </c>
      <c r="F10586" s="4" t="s">
        <v>53614</v>
      </c>
      <c r="G10586" s="4" t="s">
        <v>53615</v>
      </c>
      <c r="H10586" s="3" t="s">
        <v>50910</v>
      </c>
      <c r="I10586" s="3" t="s">
        <v>15354</v>
      </c>
      <c r="J10586" s="3" t="s">
        <v>53616</v>
      </c>
      <c r="K10586" s="3" t="s">
        <v>53617</v>
      </c>
      <c r="L10586" s="3"/>
      <c r="M10586" s="4" t="s">
        <v>53618</v>
      </c>
      <c r="N10586" s="3" t="s">
        <v>37</v>
      </c>
      <c r="O10586" s="3"/>
      <c r="P10586" s="5">
        <v>10</v>
      </c>
      <c r="Q10586" s="5">
        <v>86</v>
      </c>
      <c r="R10586" s="5">
        <v>10</v>
      </c>
      <c r="S10586" s="5">
        <v>93</v>
      </c>
    </row>
    <row r="10587" spans="1:19" ht="28" x14ac:dyDescent="0.15">
      <c r="A10587" s="2">
        <f>HYPERLINK("https://open-school.uspishnemisto.com.ua/school/530550/", 530550)</f>
        <v>530550</v>
      </c>
      <c r="B10587" s="3" t="s">
        <v>53619</v>
      </c>
      <c r="C10587" s="3" t="s">
        <v>31</v>
      </c>
      <c r="D10587" s="3" t="s">
        <v>175</v>
      </c>
      <c r="E10587" s="4" t="s">
        <v>22</v>
      </c>
      <c r="F10587" s="4" t="s">
        <v>53614</v>
      </c>
      <c r="G10587" s="4" t="s">
        <v>53620</v>
      </c>
      <c r="H10587" s="3" t="s">
        <v>50910</v>
      </c>
      <c r="I10587" s="3" t="s">
        <v>53621</v>
      </c>
      <c r="J10587" s="3" t="s">
        <v>15380</v>
      </c>
      <c r="K10587" s="3"/>
      <c r="L10587" s="3"/>
      <c r="M10587" s="4"/>
      <c r="N10587" s="3" t="s">
        <v>37</v>
      </c>
      <c r="O10587" s="3" t="s">
        <v>52</v>
      </c>
      <c r="P10587" s="5">
        <v>9</v>
      </c>
      <c r="Q10587" s="5">
        <v>112</v>
      </c>
      <c r="R10587" s="5">
        <v>9</v>
      </c>
      <c r="S10587" s="5">
        <v>107</v>
      </c>
    </row>
    <row r="10588" spans="1:19" ht="28" x14ac:dyDescent="0.15">
      <c r="A10588" s="2">
        <f>HYPERLINK("https://open-school.uspishnemisto.com.ua/school/530551/", 530551)</f>
        <v>530551</v>
      </c>
      <c r="B10588" s="3" t="s">
        <v>53622</v>
      </c>
      <c r="C10588" s="3" t="s">
        <v>31</v>
      </c>
      <c r="D10588" s="3" t="s">
        <v>60</v>
      </c>
      <c r="E10588" s="4" t="s">
        <v>22</v>
      </c>
      <c r="F10588" s="4" t="s">
        <v>53623</v>
      </c>
      <c r="G10588" s="4" t="s">
        <v>53624</v>
      </c>
      <c r="H10588" s="3" t="s">
        <v>50910</v>
      </c>
      <c r="I10588" s="3" t="s">
        <v>53625</v>
      </c>
      <c r="J10588" s="3" t="s">
        <v>53626</v>
      </c>
      <c r="K10588" s="3" t="s">
        <v>53627</v>
      </c>
      <c r="L10588" s="3"/>
      <c r="M10588" s="4"/>
      <c r="N10588" s="3" t="s">
        <v>37</v>
      </c>
      <c r="O10588" s="3" t="s">
        <v>52</v>
      </c>
      <c r="P10588" s="5">
        <v>1</v>
      </c>
      <c r="Q10588" s="5">
        <v>14</v>
      </c>
      <c r="R10588" s="5">
        <v>2</v>
      </c>
      <c r="S10588" s="5">
        <v>19</v>
      </c>
    </row>
    <row r="10589" spans="1:19" ht="28" x14ac:dyDescent="0.15">
      <c r="A10589" s="2">
        <f>HYPERLINK("https://open-school.uspishnemisto.com.ua/school/530552/", 530552)</f>
        <v>530552</v>
      </c>
      <c r="B10589" s="3" t="s">
        <v>44902</v>
      </c>
      <c r="C10589" s="3" t="s">
        <v>31</v>
      </c>
      <c r="D10589" s="3" t="s">
        <v>32</v>
      </c>
      <c r="E10589" s="4" t="s">
        <v>22</v>
      </c>
      <c r="F10589" s="4" t="s">
        <v>53628</v>
      </c>
      <c r="G10589" s="4" t="s">
        <v>53629</v>
      </c>
      <c r="H10589" s="3" t="s">
        <v>50910</v>
      </c>
      <c r="I10589" s="3" t="s">
        <v>2900</v>
      </c>
      <c r="J10589" s="3" t="s">
        <v>53630</v>
      </c>
      <c r="K10589" s="3" t="s">
        <v>53631</v>
      </c>
      <c r="L10589" s="3"/>
      <c r="M10589" s="4"/>
      <c r="N10589" s="3" t="s">
        <v>37</v>
      </c>
      <c r="O10589" s="3" t="s">
        <v>46</v>
      </c>
      <c r="P10589" s="5">
        <v>11</v>
      </c>
      <c r="Q10589" s="5">
        <v>149</v>
      </c>
      <c r="R10589" s="5">
        <v>11</v>
      </c>
      <c r="S10589" s="5">
        <v>143</v>
      </c>
    </row>
    <row r="10590" spans="1:19" ht="28" x14ac:dyDescent="0.15">
      <c r="A10590" s="2">
        <f>HYPERLINK("https://open-school.uspishnemisto.com.ua/school/530553/", 530553)</f>
        <v>530553</v>
      </c>
      <c r="B10590" s="3" t="s">
        <v>53632</v>
      </c>
      <c r="C10590" s="3" t="s">
        <v>31</v>
      </c>
      <c r="D10590" s="3" t="s">
        <v>32</v>
      </c>
      <c r="E10590" s="4" t="s">
        <v>22</v>
      </c>
      <c r="F10590" s="4" t="s">
        <v>53633</v>
      </c>
      <c r="G10590" s="4" t="s">
        <v>53634</v>
      </c>
      <c r="H10590" s="3" t="s">
        <v>50910</v>
      </c>
      <c r="I10590" s="3" t="s">
        <v>53635</v>
      </c>
      <c r="J10590" s="3" t="s">
        <v>53636</v>
      </c>
      <c r="K10590" s="3" t="s">
        <v>53637</v>
      </c>
      <c r="L10590" s="3"/>
      <c r="M10590" s="4"/>
      <c r="N10590" s="3" t="s">
        <v>37</v>
      </c>
      <c r="O10590" s="3" t="s">
        <v>52</v>
      </c>
      <c r="P10590" s="5">
        <v>11</v>
      </c>
      <c r="Q10590" s="5">
        <v>91</v>
      </c>
      <c r="R10590" s="5">
        <v>11</v>
      </c>
      <c r="S10590" s="5">
        <v>96</v>
      </c>
    </row>
    <row r="10591" spans="1:19" ht="28" x14ac:dyDescent="0.15">
      <c r="A10591" s="2">
        <f>HYPERLINK("https://open-school.uspishnemisto.com.ua/school/530554/", 530554)</f>
        <v>530554</v>
      </c>
      <c r="B10591" s="3" t="s">
        <v>53638</v>
      </c>
      <c r="C10591" s="3" t="s">
        <v>54</v>
      </c>
      <c r="D10591" s="3" t="s">
        <v>32</v>
      </c>
      <c r="E10591" s="4" t="s">
        <v>22</v>
      </c>
      <c r="F10591" s="4" t="s">
        <v>53639</v>
      </c>
      <c r="G10591" s="4" t="s">
        <v>53640</v>
      </c>
      <c r="H10591" s="3" t="s">
        <v>50910</v>
      </c>
      <c r="I10591" s="3" t="s">
        <v>15426</v>
      </c>
      <c r="J10591" s="3" t="s">
        <v>53641</v>
      </c>
      <c r="K10591" s="3" t="s">
        <v>53642</v>
      </c>
      <c r="L10591" s="3" t="s">
        <v>53643</v>
      </c>
      <c r="M10591" s="4"/>
      <c r="N10591" s="3" t="s">
        <v>37</v>
      </c>
      <c r="O10591" s="3" t="s">
        <v>52</v>
      </c>
      <c r="P10591" s="5">
        <v>11</v>
      </c>
      <c r="Q10591" s="5">
        <v>137</v>
      </c>
      <c r="R10591" s="5">
        <v>10</v>
      </c>
      <c r="S10591" s="5">
        <v>121</v>
      </c>
    </row>
    <row r="10592" spans="1:19" ht="28" x14ac:dyDescent="0.15">
      <c r="A10592" s="2">
        <f>HYPERLINK("https://open-school.uspishnemisto.com.ua/school/530555/", 530555)</f>
        <v>530555</v>
      </c>
      <c r="B10592" s="3" t="s">
        <v>53644</v>
      </c>
      <c r="C10592" s="3" t="s">
        <v>31</v>
      </c>
      <c r="D10592" s="3" t="s">
        <v>175</v>
      </c>
      <c r="E10592" s="4" t="s">
        <v>22</v>
      </c>
      <c r="F10592" s="4" t="s">
        <v>53645</v>
      </c>
      <c r="G10592" s="4" t="s">
        <v>53646</v>
      </c>
      <c r="H10592" s="3" t="s">
        <v>50910</v>
      </c>
      <c r="I10592" s="3" t="s">
        <v>53647</v>
      </c>
      <c r="J10592" s="3" t="s">
        <v>53648</v>
      </c>
      <c r="K10592" s="3"/>
      <c r="L10592" s="3"/>
      <c r="M10592" s="4"/>
      <c r="N10592" s="3" t="s">
        <v>37</v>
      </c>
      <c r="O10592" s="3" t="s">
        <v>52</v>
      </c>
      <c r="P10592" s="5">
        <v>6</v>
      </c>
      <c r="Q10592" s="5">
        <v>50</v>
      </c>
      <c r="R10592" s="5">
        <v>8</v>
      </c>
      <c r="S10592" s="5">
        <v>57</v>
      </c>
    </row>
    <row r="10593" spans="1:19" ht="28" x14ac:dyDescent="0.15">
      <c r="A10593" s="2">
        <f>HYPERLINK("https://open-school.uspishnemisto.com.ua/school/530556/", 530556)</f>
        <v>530556</v>
      </c>
      <c r="B10593" s="3" t="s">
        <v>53649</v>
      </c>
      <c r="C10593" s="3" t="s">
        <v>54</v>
      </c>
      <c r="D10593" s="3" t="s">
        <v>32</v>
      </c>
      <c r="E10593" s="4" t="s">
        <v>22</v>
      </c>
      <c r="F10593" s="4" t="s">
        <v>53650</v>
      </c>
      <c r="G10593" s="4" t="s">
        <v>53651</v>
      </c>
      <c r="H10593" s="3" t="s">
        <v>50910</v>
      </c>
      <c r="I10593" s="3" t="s">
        <v>53652</v>
      </c>
      <c r="J10593" s="3" t="s">
        <v>578</v>
      </c>
      <c r="K10593" s="3" t="s">
        <v>53653</v>
      </c>
      <c r="L10593" s="3"/>
      <c r="M10593" s="4"/>
      <c r="N10593" s="3" t="s">
        <v>37</v>
      </c>
      <c r="O10593" s="3" t="s">
        <v>52</v>
      </c>
      <c r="P10593" s="5">
        <v>16</v>
      </c>
      <c r="Q10593" s="5">
        <v>338</v>
      </c>
      <c r="R10593" s="5">
        <v>16</v>
      </c>
      <c r="S10593" s="5">
        <v>325</v>
      </c>
    </row>
    <row r="10594" spans="1:19" ht="28" x14ac:dyDescent="0.15">
      <c r="A10594" s="2">
        <f>HYPERLINK("https://open-school.uspishnemisto.com.ua/school/530557/", 530557)</f>
        <v>530557</v>
      </c>
      <c r="B10594" s="3" t="s">
        <v>53654</v>
      </c>
      <c r="C10594" s="3" t="s">
        <v>31</v>
      </c>
      <c r="D10594" s="3" t="s">
        <v>60</v>
      </c>
      <c r="E10594" s="4" t="s">
        <v>22</v>
      </c>
      <c r="F10594" s="4" t="s">
        <v>53650</v>
      </c>
      <c r="G10594" s="4" t="s">
        <v>53655</v>
      </c>
      <c r="H10594" s="3" t="s">
        <v>50910</v>
      </c>
      <c r="I10594" s="3" t="s">
        <v>8210</v>
      </c>
      <c r="J10594" s="3" t="s">
        <v>3745</v>
      </c>
      <c r="K10594" s="3" t="s">
        <v>53656</v>
      </c>
      <c r="L10594" s="3"/>
      <c r="M10594" s="4"/>
      <c r="N10594" s="3" t="s">
        <v>37</v>
      </c>
      <c r="O10594" s="3" t="s">
        <v>52</v>
      </c>
      <c r="P10594" s="5">
        <v>1</v>
      </c>
      <c r="Q10594" s="5">
        <v>13</v>
      </c>
      <c r="R10594" s="5">
        <v>1</v>
      </c>
      <c r="S10594" s="5">
        <v>15</v>
      </c>
    </row>
    <row r="10595" spans="1:19" ht="28" x14ac:dyDescent="0.15">
      <c r="A10595" s="2">
        <f>HYPERLINK("https://open-school.uspishnemisto.com.ua/school/530558/", 530558)</f>
        <v>530558</v>
      </c>
      <c r="B10595" s="3" t="s">
        <v>53657</v>
      </c>
      <c r="C10595" s="3" t="s">
        <v>54</v>
      </c>
      <c r="D10595" s="3" t="s">
        <v>32</v>
      </c>
      <c r="E10595" s="4" t="s">
        <v>22</v>
      </c>
      <c r="F10595" s="4" t="s">
        <v>53658</v>
      </c>
      <c r="G10595" s="4" t="s">
        <v>53659</v>
      </c>
      <c r="H10595" s="3" t="s">
        <v>50910</v>
      </c>
      <c r="I10595" s="3" t="s">
        <v>53660</v>
      </c>
      <c r="J10595" s="3" t="s">
        <v>43406</v>
      </c>
      <c r="K10595" s="3"/>
      <c r="L10595" s="3"/>
      <c r="M10595" s="4"/>
      <c r="N10595" s="3" t="s">
        <v>37</v>
      </c>
      <c r="O10595" s="3" t="s">
        <v>52</v>
      </c>
      <c r="P10595" s="5">
        <v>11</v>
      </c>
      <c r="Q10595" s="5">
        <v>218</v>
      </c>
      <c r="R10595" s="5">
        <v>11</v>
      </c>
      <c r="S10595" s="5">
        <v>218</v>
      </c>
    </row>
    <row r="10596" spans="1:19" ht="28" x14ac:dyDescent="0.15">
      <c r="A10596" s="2">
        <f>HYPERLINK("https://open-school.uspishnemisto.com.ua/school/530559/", 530559)</f>
        <v>530559</v>
      </c>
      <c r="B10596" s="3" t="s">
        <v>53661</v>
      </c>
      <c r="C10596" s="3" t="s">
        <v>31</v>
      </c>
      <c r="D10596" s="3" t="s">
        <v>32</v>
      </c>
      <c r="E10596" s="4" t="s">
        <v>22</v>
      </c>
      <c r="F10596" s="4" t="s">
        <v>53662</v>
      </c>
      <c r="G10596" s="4" t="s">
        <v>53663</v>
      </c>
      <c r="H10596" s="3" t="s">
        <v>50910</v>
      </c>
      <c r="I10596" s="3" t="s">
        <v>565</v>
      </c>
      <c r="J10596" s="3" t="s">
        <v>19306</v>
      </c>
      <c r="K10596" s="3" t="s">
        <v>53664</v>
      </c>
      <c r="L10596" s="3"/>
      <c r="M10596" s="4"/>
      <c r="N10596" s="3" t="s">
        <v>37</v>
      </c>
      <c r="O10596" s="3" t="s">
        <v>52</v>
      </c>
      <c r="P10596" s="5">
        <v>19</v>
      </c>
      <c r="Q10596" s="5">
        <v>382</v>
      </c>
      <c r="R10596" s="5">
        <v>18</v>
      </c>
      <c r="S10596" s="5">
        <v>363</v>
      </c>
    </row>
    <row r="10597" spans="1:19" ht="28" x14ac:dyDescent="0.15">
      <c r="A10597" s="2">
        <f>HYPERLINK("https://open-school.uspishnemisto.com.ua/school/530560/", 530560)</f>
        <v>530560</v>
      </c>
      <c r="B10597" s="3" t="s">
        <v>53665</v>
      </c>
      <c r="C10597" s="3" t="s">
        <v>54</v>
      </c>
      <c r="D10597" s="3" t="s">
        <v>32</v>
      </c>
      <c r="E10597" s="4" t="s">
        <v>22</v>
      </c>
      <c r="F10597" s="4" t="s">
        <v>53666</v>
      </c>
      <c r="G10597" s="4" t="s">
        <v>53667</v>
      </c>
      <c r="H10597" s="3" t="s">
        <v>50910</v>
      </c>
      <c r="I10597" s="3" t="s">
        <v>53668</v>
      </c>
      <c r="J10597" s="3" t="s">
        <v>2417</v>
      </c>
      <c r="K10597" s="3" t="s">
        <v>53669</v>
      </c>
      <c r="L10597" s="3"/>
      <c r="M10597" s="4"/>
      <c r="N10597" s="3" t="s">
        <v>37</v>
      </c>
      <c r="O10597" s="3" t="s">
        <v>52</v>
      </c>
      <c r="P10597" s="5">
        <v>10</v>
      </c>
      <c r="Q10597" s="5">
        <v>126</v>
      </c>
      <c r="R10597" s="5">
        <v>10</v>
      </c>
      <c r="S10597" s="5">
        <v>128</v>
      </c>
    </row>
    <row r="10598" spans="1:19" ht="28" x14ac:dyDescent="0.15">
      <c r="A10598" s="2">
        <f>HYPERLINK("https://open-school.uspishnemisto.com.ua/school/530561/", 530561)</f>
        <v>530561</v>
      </c>
      <c r="B10598" s="3" t="s">
        <v>53670</v>
      </c>
      <c r="C10598" s="3" t="s">
        <v>31</v>
      </c>
      <c r="D10598" s="3" t="s">
        <v>175</v>
      </c>
      <c r="E10598" s="4" t="s">
        <v>22</v>
      </c>
      <c r="F10598" s="4" t="s">
        <v>53671</v>
      </c>
      <c r="G10598" s="4" t="s">
        <v>53672</v>
      </c>
      <c r="H10598" s="3" t="s">
        <v>50910</v>
      </c>
      <c r="I10598" s="3" t="s">
        <v>53673</v>
      </c>
      <c r="J10598" s="3" t="s">
        <v>15432</v>
      </c>
      <c r="K10598" s="3"/>
      <c r="L10598" s="3" t="s">
        <v>53674</v>
      </c>
      <c r="M10598" s="4"/>
      <c r="N10598" s="3" t="s">
        <v>37</v>
      </c>
      <c r="O10598" s="3" t="s">
        <v>618</v>
      </c>
      <c r="P10598" s="5">
        <v>7</v>
      </c>
      <c r="Q10598" s="5">
        <v>57</v>
      </c>
      <c r="R10598" s="5">
        <v>8</v>
      </c>
      <c r="S10598" s="5">
        <v>61</v>
      </c>
    </row>
    <row r="10599" spans="1:19" ht="28" x14ac:dyDescent="0.15">
      <c r="A10599" s="2">
        <f>HYPERLINK("https://open-school.uspishnemisto.com.ua/school/530562/", 530562)</f>
        <v>530562</v>
      </c>
      <c r="B10599" s="3" t="s">
        <v>53675</v>
      </c>
      <c r="C10599" s="3" t="s">
        <v>54</v>
      </c>
      <c r="D10599" s="3" t="s">
        <v>32</v>
      </c>
      <c r="E10599" s="4" t="s">
        <v>22</v>
      </c>
      <c r="F10599" s="4" t="s">
        <v>51064</v>
      </c>
      <c r="G10599" s="4" t="s">
        <v>53676</v>
      </c>
      <c r="H10599" s="3" t="s">
        <v>50910</v>
      </c>
      <c r="I10599" s="3" t="s">
        <v>45539</v>
      </c>
      <c r="J10599" s="3" t="s">
        <v>297</v>
      </c>
      <c r="K10599" s="3" t="s">
        <v>53677</v>
      </c>
      <c r="L10599" s="3"/>
      <c r="M10599" s="4"/>
      <c r="N10599" s="3" t="s">
        <v>37</v>
      </c>
      <c r="O10599" s="3" t="s">
        <v>52</v>
      </c>
      <c r="P10599" s="5">
        <v>12</v>
      </c>
      <c r="Q10599" s="5">
        <v>173</v>
      </c>
      <c r="R10599" s="5">
        <v>11</v>
      </c>
      <c r="S10599" s="5">
        <v>168</v>
      </c>
    </row>
    <row r="10600" spans="1:19" ht="28" x14ac:dyDescent="0.15">
      <c r="A10600" s="2">
        <f>HYPERLINK("https://open-school.uspishnemisto.com.ua/school/530563/", 530563)</f>
        <v>530563</v>
      </c>
      <c r="B10600" s="3" t="s">
        <v>53678</v>
      </c>
      <c r="C10600" s="3" t="s">
        <v>31</v>
      </c>
      <c r="D10600" s="3" t="s">
        <v>32</v>
      </c>
      <c r="E10600" s="4" t="s">
        <v>22</v>
      </c>
      <c r="F10600" s="4" t="s">
        <v>53679</v>
      </c>
      <c r="G10600" s="4" t="s">
        <v>53680</v>
      </c>
      <c r="H10600" s="3" t="s">
        <v>50910</v>
      </c>
      <c r="I10600" s="3" t="s">
        <v>31532</v>
      </c>
      <c r="J10600" s="3" t="s">
        <v>53681</v>
      </c>
      <c r="K10600" s="3" t="s">
        <v>53682</v>
      </c>
      <c r="L10600" s="3"/>
      <c r="M10600" s="4"/>
      <c r="N10600" s="3" t="s">
        <v>37</v>
      </c>
      <c r="O10600" s="3" t="s">
        <v>52</v>
      </c>
      <c r="P10600" s="5">
        <v>11</v>
      </c>
      <c r="Q10600" s="5">
        <v>99</v>
      </c>
      <c r="R10600" s="5">
        <v>11</v>
      </c>
      <c r="S10600" s="5">
        <v>96</v>
      </c>
    </row>
    <row r="10601" spans="1:19" ht="28" x14ac:dyDescent="0.15">
      <c r="A10601" s="2">
        <f>HYPERLINK("https://open-school.uspishnemisto.com.ua/school/530564/", 530564)</f>
        <v>530564</v>
      </c>
      <c r="B10601" s="3" t="s">
        <v>53683</v>
      </c>
      <c r="C10601" s="3" t="s">
        <v>40</v>
      </c>
      <c r="D10601" s="3" t="s">
        <v>32</v>
      </c>
      <c r="E10601" s="4" t="s">
        <v>22</v>
      </c>
      <c r="F10601" s="4" t="s">
        <v>53684</v>
      </c>
      <c r="G10601" s="4" t="s">
        <v>53685</v>
      </c>
      <c r="H10601" s="3" t="s">
        <v>50910</v>
      </c>
      <c r="I10601" s="3" t="s">
        <v>53686</v>
      </c>
      <c r="J10601" s="3" t="s">
        <v>2719</v>
      </c>
      <c r="K10601" s="3" t="s">
        <v>53687</v>
      </c>
      <c r="L10601" s="3" t="s">
        <v>53688</v>
      </c>
      <c r="M10601" s="4"/>
      <c r="N10601" s="3" t="s">
        <v>37</v>
      </c>
      <c r="O10601" s="3" t="s">
        <v>52</v>
      </c>
      <c r="P10601" s="5">
        <v>29</v>
      </c>
      <c r="Q10601" s="5">
        <v>670</v>
      </c>
      <c r="R10601" s="5">
        <v>27</v>
      </c>
      <c r="S10601" s="5">
        <v>594</v>
      </c>
    </row>
    <row r="10602" spans="1:19" ht="28" x14ac:dyDescent="0.15">
      <c r="A10602" s="2">
        <f>HYPERLINK("https://open-school.uspishnemisto.com.ua/school/530565/", 530565)</f>
        <v>530565</v>
      </c>
      <c r="B10602" s="3" t="s">
        <v>53689</v>
      </c>
      <c r="C10602" s="3" t="s">
        <v>40</v>
      </c>
      <c r="D10602" s="3" t="s">
        <v>32</v>
      </c>
      <c r="E10602" s="4" t="s">
        <v>22</v>
      </c>
      <c r="F10602" s="4" t="s">
        <v>53690</v>
      </c>
      <c r="G10602" s="4" t="s">
        <v>53691</v>
      </c>
      <c r="H10602" s="3" t="s">
        <v>50910</v>
      </c>
      <c r="I10602" s="3" t="s">
        <v>53692</v>
      </c>
      <c r="J10602" s="3" t="s">
        <v>53693</v>
      </c>
      <c r="K10602" s="3" t="s">
        <v>53694</v>
      </c>
      <c r="L10602" s="3" t="s">
        <v>53695</v>
      </c>
      <c r="M10602" s="4"/>
      <c r="N10602" s="3" t="s">
        <v>37</v>
      </c>
      <c r="O10602" s="3" t="s">
        <v>70</v>
      </c>
      <c r="P10602" s="5">
        <v>25</v>
      </c>
      <c r="Q10602" s="5">
        <v>520</v>
      </c>
      <c r="R10602" s="5">
        <v>24</v>
      </c>
      <c r="S10602" s="5">
        <v>495</v>
      </c>
    </row>
    <row r="10603" spans="1:19" ht="28" x14ac:dyDescent="0.15">
      <c r="A10603" s="2">
        <f>HYPERLINK("https://open-school.uspishnemisto.com.ua/school/530566/", 530566)</f>
        <v>530566</v>
      </c>
      <c r="B10603" s="3" t="s">
        <v>53696</v>
      </c>
      <c r="C10603" s="3" t="s">
        <v>31</v>
      </c>
      <c r="D10603" s="3" t="s">
        <v>60</v>
      </c>
      <c r="E10603" s="4" t="s">
        <v>22</v>
      </c>
      <c r="F10603" s="4" t="s">
        <v>53690</v>
      </c>
      <c r="G10603" s="4" t="s">
        <v>53691</v>
      </c>
      <c r="H10603" s="3" t="s">
        <v>50910</v>
      </c>
      <c r="I10603" s="3" t="s">
        <v>53692</v>
      </c>
      <c r="J10603" s="3" t="s">
        <v>53697</v>
      </c>
      <c r="K10603" s="3" t="s">
        <v>53698</v>
      </c>
      <c r="L10603" s="3" t="s">
        <v>53699</v>
      </c>
      <c r="M10603" s="4"/>
      <c r="N10603" s="3" t="s">
        <v>37</v>
      </c>
      <c r="O10603" s="3" t="s">
        <v>52</v>
      </c>
      <c r="P10603" s="5">
        <v>15</v>
      </c>
      <c r="Q10603" s="5">
        <v>412</v>
      </c>
      <c r="R10603" s="5">
        <v>15</v>
      </c>
      <c r="S10603" s="5">
        <v>392</v>
      </c>
    </row>
    <row r="10604" spans="1:19" ht="28" x14ac:dyDescent="0.15">
      <c r="A10604" s="2">
        <f>HYPERLINK("https://open-school.uspishnemisto.com.ua/school/530567/", 530567)</f>
        <v>530567</v>
      </c>
      <c r="B10604" s="3" t="s">
        <v>53700</v>
      </c>
      <c r="C10604" s="3" t="s">
        <v>31</v>
      </c>
      <c r="D10604" s="3" t="s">
        <v>175</v>
      </c>
      <c r="E10604" s="4" t="s">
        <v>22</v>
      </c>
      <c r="F10604" s="4" t="s">
        <v>53690</v>
      </c>
      <c r="G10604" s="4" t="s">
        <v>53691</v>
      </c>
      <c r="H10604" s="3" t="s">
        <v>50910</v>
      </c>
      <c r="I10604" s="3" t="s">
        <v>53692</v>
      </c>
      <c r="J10604" s="3" t="s">
        <v>1410</v>
      </c>
      <c r="K10604" s="3" t="s">
        <v>53701</v>
      </c>
      <c r="L10604" s="3"/>
      <c r="M10604" s="4"/>
      <c r="N10604" s="3" t="s">
        <v>37</v>
      </c>
      <c r="O10604" s="3" t="s">
        <v>52</v>
      </c>
      <c r="P10604" s="5">
        <v>9</v>
      </c>
      <c r="Q10604" s="5">
        <v>148</v>
      </c>
      <c r="R10604" s="5">
        <v>9</v>
      </c>
      <c r="S10604" s="5">
        <v>140</v>
      </c>
    </row>
    <row r="10605" spans="1:19" ht="42" x14ac:dyDescent="0.15">
      <c r="A10605" s="2">
        <f>HYPERLINK("https://open-school.uspishnemisto.com.ua/school/530568/", 530568)</f>
        <v>530568</v>
      </c>
      <c r="B10605" s="3" t="s">
        <v>53702</v>
      </c>
      <c r="C10605" s="3" t="s">
        <v>54</v>
      </c>
      <c r="D10605" s="3" t="s">
        <v>60</v>
      </c>
      <c r="E10605" s="4" t="s">
        <v>22</v>
      </c>
      <c r="F10605" s="4" t="s">
        <v>53703</v>
      </c>
      <c r="G10605" s="4" t="s">
        <v>53691</v>
      </c>
      <c r="H10605" s="3" t="s">
        <v>50910</v>
      </c>
      <c r="I10605" s="3" t="s">
        <v>53692</v>
      </c>
      <c r="J10605" s="3" t="s">
        <v>53704</v>
      </c>
      <c r="K10605" s="3" t="s">
        <v>53705</v>
      </c>
      <c r="L10605" s="3"/>
      <c r="M10605" s="4"/>
      <c r="N10605" s="3" t="s">
        <v>37</v>
      </c>
      <c r="O10605" s="3" t="s">
        <v>52</v>
      </c>
      <c r="P10605" s="5">
        <v>1</v>
      </c>
      <c r="Q10605" s="5">
        <v>13</v>
      </c>
      <c r="R10605" s="5">
        <v>0</v>
      </c>
      <c r="S10605" s="5">
        <v>9</v>
      </c>
    </row>
    <row r="10606" spans="1:19" ht="28" x14ac:dyDescent="0.15">
      <c r="A10606" s="2">
        <f>HYPERLINK("https://open-school.uspishnemisto.com.ua/school/530569/", 530569)</f>
        <v>530569</v>
      </c>
      <c r="B10606" s="3" t="s">
        <v>53706</v>
      </c>
      <c r="C10606" s="3" t="s">
        <v>31</v>
      </c>
      <c r="D10606" s="3" t="s">
        <v>175</v>
      </c>
      <c r="E10606" s="4" t="s">
        <v>22</v>
      </c>
      <c r="F10606" s="4" t="s">
        <v>53707</v>
      </c>
      <c r="G10606" s="4" t="s">
        <v>53708</v>
      </c>
      <c r="H10606" s="3" t="s">
        <v>50910</v>
      </c>
      <c r="I10606" s="3" t="s">
        <v>53709</v>
      </c>
      <c r="J10606" s="3" t="s">
        <v>634</v>
      </c>
      <c r="K10606" s="3" t="s">
        <v>53710</v>
      </c>
      <c r="L10606" s="3" t="s">
        <v>53711</v>
      </c>
      <c r="M10606" s="4"/>
      <c r="N10606" s="3" t="s">
        <v>37</v>
      </c>
      <c r="O10606" s="3" t="s">
        <v>52</v>
      </c>
      <c r="P10606" s="5">
        <v>3</v>
      </c>
      <c r="Q10606" s="5">
        <v>36</v>
      </c>
      <c r="R10606" s="5">
        <v>2</v>
      </c>
      <c r="S10606" s="5">
        <v>32</v>
      </c>
    </row>
    <row r="10607" spans="1:19" ht="28" x14ac:dyDescent="0.15">
      <c r="A10607" s="2">
        <f>HYPERLINK("https://open-school.uspishnemisto.com.ua/school/530570/", 530570)</f>
        <v>530570</v>
      </c>
      <c r="B10607" s="3" t="s">
        <v>53712</v>
      </c>
      <c r="C10607" s="3" t="s">
        <v>31</v>
      </c>
      <c r="D10607" s="3" t="s">
        <v>32</v>
      </c>
      <c r="E10607" s="4" t="s">
        <v>22</v>
      </c>
      <c r="F10607" s="4" t="s">
        <v>53713</v>
      </c>
      <c r="G10607" s="4" t="s">
        <v>53714</v>
      </c>
      <c r="H10607" s="3" t="s">
        <v>50910</v>
      </c>
      <c r="I10607" s="3" t="s">
        <v>1314</v>
      </c>
      <c r="J10607" s="3" t="s">
        <v>53715</v>
      </c>
      <c r="K10607" s="3" t="s">
        <v>53716</v>
      </c>
      <c r="L10607" s="3"/>
      <c r="M10607" s="4"/>
      <c r="N10607" s="3" t="s">
        <v>37</v>
      </c>
      <c r="O10607" s="3" t="s">
        <v>46</v>
      </c>
      <c r="P10607" s="5">
        <v>10</v>
      </c>
      <c r="Q10607" s="5">
        <v>98</v>
      </c>
      <c r="R10607" s="5">
        <v>10</v>
      </c>
      <c r="S10607" s="5">
        <v>109</v>
      </c>
    </row>
    <row r="10608" spans="1:19" ht="42" x14ac:dyDescent="0.15">
      <c r="A10608" s="2">
        <f>HYPERLINK("https://open-school.uspishnemisto.com.ua/school/530571/", 530571)</f>
        <v>530571</v>
      </c>
      <c r="B10608" s="3" t="s">
        <v>53717</v>
      </c>
      <c r="C10608" s="3" t="s">
        <v>31</v>
      </c>
      <c r="D10608" s="3" t="s">
        <v>32</v>
      </c>
      <c r="E10608" s="4" t="s">
        <v>22</v>
      </c>
      <c r="F10608" s="4" t="s">
        <v>53718</v>
      </c>
      <c r="G10608" s="4" t="s">
        <v>53719</v>
      </c>
      <c r="H10608" s="3" t="s">
        <v>50910</v>
      </c>
      <c r="I10608" s="3" t="s">
        <v>12001</v>
      </c>
      <c r="J10608" s="3" t="s">
        <v>53720</v>
      </c>
      <c r="K10608" s="3" t="s">
        <v>53721</v>
      </c>
      <c r="L10608" s="3" t="s">
        <v>53722</v>
      </c>
      <c r="M10608" s="4"/>
      <c r="N10608" s="3" t="s">
        <v>37</v>
      </c>
      <c r="O10608" s="3" t="s">
        <v>46</v>
      </c>
      <c r="P10608" s="5">
        <v>15</v>
      </c>
      <c r="Q10608" s="5">
        <v>292</v>
      </c>
      <c r="R10608" s="5">
        <v>15</v>
      </c>
      <c r="S10608" s="5">
        <v>295</v>
      </c>
    </row>
    <row r="10609" spans="1:19" ht="28" x14ac:dyDescent="0.15">
      <c r="A10609" s="2">
        <f>HYPERLINK("https://open-school.uspishnemisto.com.ua/school/530572/", 530572)</f>
        <v>530572</v>
      </c>
      <c r="B10609" s="3" t="s">
        <v>53723</v>
      </c>
      <c r="C10609" s="3" t="s">
        <v>31</v>
      </c>
      <c r="D10609" s="3" t="s">
        <v>32</v>
      </c>
      <c r="E10609" s="4" t="s">
        <v>22</v>
      </c>
      <c r="F10609" s="4" t="s">
        <v>53724</v>
      </c>
      <c r="G10609" s="4" t="s">
        <v>53725</v>
      </c>
      <c r="H10609" s="3" t="s">
        <v>50910</v>
      </c>
      <c r="I10609" s="3" t="s">
        <v>53726</v>
      </c>
      <c r="J10609" s="3" t="s">
        <v>53727</v>
      </c>
      <c r="K10609" s="3" t="s">
        <v>53728</v>
      </c>
      <c r="L10609" s="3" t="s">
        <v>53729</v>
      </c>
      <c r="M10609" s="4"/>
      <c r="N10609" s="3" t="s">
        <v>37</v>
      </c>
      <c r="O10609" s="3" t="s">
        <v>52</v>
      </c>
      <c r="P10609" s="5">
        <v>9</v>
      </c>
      <c r="Q10609" s="5">
        <v>74</v>
      </c>
      <c r="R10609" s="5">
        <v>9</v>
      </c>
      <c r="S10609" s="5">
        <v>76</v>
      </c>
    </row>
    <row r="10610" spans="1:19" ht="42" x14ac:dyDescent="0.15">
      <c r="A10610" s="2">
        <f>HYPERLINK("https://open-school.uspishnemisto.com.ua/school/530573/", 530573)</f>
        <v>530573</v>
      </c>
      <c r="B10610" s="3" t="s">
        <v>53730</v>
      </c>
      <c r="C10610" s="3" t="s">
        <v>54</v>
      </c>
      <c r="D10610" s="3" t="s">
        <v>175</v>
      </c>
      <c r="E10610" s="4" t="s">
        <v>22</v>
      </c>
      <c r="F10610" s="4" t="s">
        <v>53731</v>
      </c>
      <c r="G10610" s="4" t="s">
        <v>53732</v>
      </c>
      <c r="H10610" s="3" t="s">
        <v>50910</v>
      </c>
      <c r="I10610" s="3" t="s">
        <v>53733</v>
      </c>
      <c r="J10610" s="3" t="s">
        <v>53734</v>
      </c>
      <c r="K10610" s="3" t="s">
        <v>53735</v>
      </c>
      <c r="L10610" s="3"/>
      <c r="M10610" s="4"/>
      <c r="N10610" s="3" t="s">
        <v>37</v>
      </c>
      <c r="O10610" s="3" t="s">
        <v>46</v>
      </c>
      <c r="P10610" s="5">
        <v>4</v>
      </c>
      <c r="Q10610" s="5">
        <v>39</v>
      </c>
      <c r="R10610" s="5">
        <v>5</v>
      </c>
      <c r="S10610" s="5">
        <v>41</v>
      </c>
    </row>
    <row r="10611" spans="1:19" ht="28" x14ac:dyDescent="0.15">
      <c r="A10611" s="2">
        <f>HYPERLINK("https://open-school.uspishnemisto.com.ua/school/530574/", 530574)</f>
        <v>530574</v>
      </c>
      <c r="B10611" s="3" t="s">
        <v>53736</v>
      </c>
      <c r="C10611" s="3" t="s">
        <v>31</v>
      </c>
      <c r="D10611" s="3" t="s">
        <v>175</v>
      </c>
      <c r="E10611" s="4" t="s">
        <v>22</v>
      </c>
      <c r="F10611" s="4" t="s">
        <v>53737</v>
      </c>
      <c r="G10611" s="4" t="s">
        <v>53738</v>
      </c>
      <c r="H10611" s="3" t="s">
        <v>50910</v>
      </c>
      <c r="I10611" s="3" t="s">
        <v>53739</v>
      </c>
      <c r="J10611" s="3" t="s">
        <v>466</v>
      </c>
      <c r="K10611" s="3" t="s">
        <v>53740</v>
      </c>
      <c r="L10611" s="3" t="s">
        <v>53741</v>
      </c>
      <c r="M10611" s="4"/>
      <c r="N10611" s="3" t="s">
        <v>37</v>
      </c>
      <c r="O10611" s="3" t="s">
        <v>52</v>
      </c>
      <c r="P10611" s="5">
        <v>4</v>
      </c>
      <c r="Q10611" s="5">
        <v>41</v>
      </c>
      <c r="R10611" s="5">
        <v>4</v>
      </c>
      <c r="S10611" s="5">
        <v>37</v>
      </c>
    </row>
    <row r="10612" spans="1:19" ht="42" x14ac:dyDescent="0.15">
      <c r="A10612" s="2">
        <f>HYPERLINK("https://open-school.uspishnemisto.com.ua/school/530575/", 530575)</f>
        <v>530575</v>
      </c>
      <c r="B10612" s="3" t="s">
        <v>53742</v>
      </c>
      <c r="C10612" s="3" t="s">
        <v>54</v>
      </c>
      <c r="D10612" s="3" t="s">
        <v>175</v>
      </c>
      <c r="E10612" s="4" t="s">
        <v>22</v>
      </c>
      <c r="F10612" s="4" t="s">
        <v>53743</v>
      </c>
      <c r="G10612" s="4" t="s">
        <v>53744</v>
      </c>
      <c r="H10612" s="3" t="s">
        <v>50910</v>
      </c>
      <c r="I10612" s="3" t="s">
        <v>53745</v>
      </c>
      <c r="J10612" s="3" t="s">
        <v>53746</v>
      </c>
      <c r="K10612" s="3" t="s">
        <v>53747</v>
      </c>
      <c r="L10612" s="3" t="s">
        <v>53748</v>
      </c>
      <c r="M10612" s="4"/>
      <c r="N10612" s="3" t="s">
        <v>37</v>
      </c>
      <c r="O10612" s="3" t="s">
        <v>618</v>
      </c>
      <c r="P10612" s="5">
        <v>3</v>
      </c>
      <c r="Q10612" s="5">
        <v>43</v>
      </c>
      <c r="R10612" s="5">
        <v>7</v>
      </c>
      <c r="S10612" s="5">
        <v>52</v>
      </c>
    </row>
    <row r="10613" spans="1:19" ht="42" x14ac:dyDescent="0.15">
      <c r="A10613" s="2">
        <f>HYPERLINK("https://open-school.uspishnemisto.com.ua/school/530576/", 530576)</f>
        <v>530576</v>
      </c>
      <c r="B10613" s="3" t="s">
        <v>53749</v>
      </c>
      <c r="C10613" s="3" t="s">
        <v>54</v>
      </c>
      <c r="D10613" s="3" t="s">
        <v>175</v>
      </c>
      <c r="E10613" s="4" t="s">
        <v>22</v>
      </c>
      <c r="F10613" s="4" t="s">
        <v>53750</v>
      </c>
      <c r="G10613" s="4" t="s">
        <v>53751</v>
      </c>
      <c r="H10613" s="3" t="s">
        <v>50910</v>
      </c>
      <c r="I10613" s="3" t="s">
        <v>53752</v>
      </c>
      <c r="J10613" s="3" t="s">
        <v>2826</v>
      </c>
      <c r="K10613" s="3" t="s">
        <v>53753</v>
      </c>
      <c r="L10613" s="3" t="s">
        <v>53754</v>
      </c>
      <c r="M10613" s="4"/>
      <c r="N10613" s="3" t="s">
        <v>37</v>
      </c>
      <c r="O10613" s="3" t="s">
        <v>52</v>
      </c>
      <c r="P10613" s="5">
        <v>2</v>
      </c>
      <c r="Q10613" s="5">
        <v>30</v>
      </c>
      <c r="R10613" s="5">
        <v>2</v>
      </c>
      <c r="S10613" s="5">
        <v>31</v>
      </c>
    </row>
    <row r="10614" spans="1:19" ht="42" x14ac:dyDescent="0.15">
      <c r="A10614" s="2">
        <f>HYPERLINK("https://open-school.uspishnemisto.com.ua/school/530577/", 530577)</f>
        <v>530577</v>
      </c>
      <c r="B10614" s="3" t="s">
        <v>53755</v>
      </c>
      <c r="C10614" s="3" t="s">
        <v>54</v>
      </c>
      <c r="D10614" s="3" t="s">
        <v>175</v>
      </c>
      <c r="E10614" s="4" t="s">
        <v>22</v>
      </c>
      <c r="F10614" s="4" t="s">
        <v>53756</v>
      </c>
      <c r="G10614" s="4" t="s">
        <v>53757</v>
      </c>
      <c r="H10614" s="3" t="s">
        <v>50910</v>
      </c>
      <c r="I10614" s="3" t="s">
        <v>53758</v>
      </c>
      <c r="J10614" s="3" t="s">
        <v>651</v>
      </c>
      <c r="K10614" s="3" t="s">
        <v>53759</v>
      </c>
      <c r="L10614" s="3"/>
      <c r="M10614" s="4"/>
      <c r="N10614" s="3" t="s">
        <v>37</v>
      </c>
      <c r="O10614" s="3" t="s">
        <v>52</v>
      </c>
      <c r="P10614" s="5">
        <v>4</v>
      </c>
      <c r="Q10614" s="5">
        <v>37</v>
      </c>
      <c r="R10614" s="5">
        <v>4</v>
      </c>
      <c r="S10614" s="5">
        <v>41</v>
      </c>
    </row>
    <row r="10615" spans="1:19" ht="28" x14ac:dyDescent="0.15">
      <c r="A10615" s="2">
        <f>HYPERLINK("https://open-school.uspishnemisto.com.ua/school/530578/", 530578)</f>
        <v>530578</v>
      </c>
      <c r="B10615" s="3" t="s">
        <v>53760</v>
      </c>
      <c r="C10615" s="3" t="s">
        <v>31</v>
      </c>
      <c r="D10615" s="3" t="s">
        <v>32</v>
      </c>
      <c r="E10615" s="4" t="s">
        <v>22</v>
      </c>
      <c r="F10615" s="4" t="s">
        <v>53761</v>
      </c>
      <c r="G10615" s="4" t="s">
        <v>53762</v>
      </c>
      <c r="H10615" s="3" t="s">
        <v>50910</v>
      </c>
      <c r="I10615" s="3" t="s">
        <v>53763</v>
      </c>
      <c r="J10615" s="3" t="s">
        <v>34814</v>
      </c>
      <c r="K10615" s="3" t="s">
        <v>53764</v>
      </c>
      <c r="L10615" s="3"/>
      <c r="M10615" s="4"/>
      <c r="N10615" s="3" t="s">
        <v>37</v>
      </c>
      <c r="O10615" s="3" t="s">
        <v>52</v>
      </c>
      <c r="P10615" s="5">
        <v>10</v>
      </c>
      <c r="Q10615" s="5">
        <v>90</v>
      </c>
      <c r="R10615" s="5">
        <v>10</v>
      </c>
      <c r="S10615" s="5">
        <v>82</v>
      </c>
    </row>
    <row r="10616" spans="1:19" ht="42" x14ac:dyDescent="0.15">
      <c r="A10616" s="2">
        <f>HYPERLINK("https://open-school.uspishnemisto.com.ua/school/530579/", 530579)</f>
        <v>530579</v>
      </c>
      <c r="B10616" s="3" t="s">
        <v>53765</v>
      </c>
      <c r="C10616" s="3" t="s">
        <v>54</v>
      </c>
      <c r="D10616" s="3" t="s">
        <v>175</v>
      </c>
      <c r="E10616" s="4" t="s">
        <v>22</v>
      </c>
      <c r="F10616" s="4" t="s">
        <v>53766</v>
      </c>
      <c r="G10616" s="4" t="s">
        <v>53767</v>
      </c>
      <c r="H10616" s="3" t="s">
        <v>50910</v>
      </c>
      <c r="I10616" s="3" t="s">
        <v>53768</v>
      </c>
      <c r="J10616" s="3" t="s">
        <v>792</v>
      </c>
      <c r="K10616" s="3" t="s">
        <v>11740</v>
      </c>
      <c r="L10616" s="3"/>
      <c r="M10616" s="4"/>
      <c r="N10616" s="3" t="s">
        <v>37</v>
      </c>
      <c r="O10616" s="3" t="s">
        <v>52</v>
      </c>
      <c r="P10616" s="5">
        <v>7</v>
      </c>
      <c r="Q10616" s="5">
        <v>49</v>
      </c>
      <c r="R10616" s="5">
        <v>7</v>
      </c>
      <c r="S10616" s="5">
        <v>52</v>
      </c>
    </row>
    <row r="10617" spans="1:19" ht="28" x14ac:dyDescent="0.15">
      <c r="A10617" s="2">
        <f>HYPERLINK("https://open-school.uspishnemisto.com.ua/school/530580/", 530580)</f>
        <v>530580</v>
      </c>
      <c r="B10617" s="3" t="s">
        <v>53769</v>
      </c>
      <c r="C10617" s="3" t="s">
        <v>31</v>
      </c>
      <c r="D10617" s="3" t="s">
        <v>60</v>
      </c>
      <c r="E10617" s="4" t="s">
        <v>22</v>
      </c>
      <c r="F10617" s="4" t="s">
        <v>53770</v>
      </c>
      <c r="G10617" s="4" t="s">
        <v>53771</v>
      </c>
      <c r="H10617" s="3" t="s">
        <v>50910</v>
      </c>
      <c r="I10617" s="3" t="s">
        <v>53772</v>
      </c>
      <c r="J10617" s="3" t="s">
        <v>18747</v>
      </c>
      <c r="K10617" s="3" t="s">
        <v>53773</v>
      </c>
      <c r="L10617" s="3"/>
      <c r="M10617" s="4"/>
      <c r="N10617" s="3" t="s">
        <v>37</v>
      </c>
      <c r="O10617" s="3" t="s">
        <v>52</v>
      </c>
      <c r="P10617" s="5">
        <v>0</v>
      </c>
      <c r="Q10617" s="5">
        <v>9</v>
      </c>
      <c r="R10617" s="5">
        <v>0</v>
      </c>
      <c r="S10617" s="5">
        <v>11</v>
      </c>
    </row>
    <row r="10618" spans="1:19" ht="28" x14ac:dyDescent="0.15">
      <c r="A10618" s="2">
        <f>HYPERLINK("https://open-school.uspishnemisto.com.ua/school/530581/", 530581)</f>
        <v>530581</v>
      </c>
      <c r="B10618" s="3" t="s">
        <v>53774</v>
      </c>
      <c r="C10618" s="3" t="s">
        <v>31</v>
      </c>
      <c r="D10618" s="3" t="s">
        <v>175</v>
      </c>
      <c r="E10618" s="4" t="s">
        <v>22</v>
      </c>
      <c r="F10618" s="4" t="s">
        <v>53775</v>
      </c>
      <c r="G10618" s="4" t="s">
        <v>53776</v>
      </c>
      <c r="H10618" s="3" t="s">
        <v>50910</v>
      </c>
      <c r="I10618" s="3" t="s">
        <v>53777</v>
      </c>
      <c r="J10618" s="3" t="s">
        <v>53778</v>
      </c>
      <c r="K10618" s="3" t="s">
        <v>51541</v>
      </c>
      <c r="L10618" s="3"/>
      <c r="M10618" s="4"/>
      <c r="N10618" s="3" t="s">
        <v>37</v>
      </c>
      <c r="O10618" s="3" t="s">
        <v>52</v>
      </c>
      <c r="P10618" s="5">
        <v>8</v>
      </c>
      <c r="Q10618" s="5">
        <v>50</v>
      </c>
      <c r="R10618" s="5">
        <v>8</v>
      </c>
      <c r="S10618" s="5">
        <v>53</v>
      </c>
    </row>
    <row r="10619" spans="1:19" ht="42" x14ac:dyDescent="0.15">
      <c r="A10619" s="2">
        <f>HYPERLINK("https://open-school.uspishnemisto.com.ua/school/530582/", 530582)</f>
        <v>530582</v>
      </c>
      <c r="B10619" s="3" t="s">
        <v>53779</v>
      </c>
      <c r="C10619" s="3" t="s">
        <v>54</v>
      </c>
      <c r="D10619" s="3" t="s">
        <v>175</v>
      </c>
      <c r="E10619" s="4" t="s">
        <v>22</v>
      </c>
      <c r="F10619" s="4" t="s">
        <v>53780</v>
      </c>
      <c r="G10619" s="4" t="s">
        <v>53781</v>
      </c>
      <c r="H10619" s="3" t="s">
        <v>50910</v>
      </c>
      <c r="I10619" s="3" t="s">
        <v>53782</v>
      </c>
      <c r="J10619" s="3" t="s">
        <v>4029</v>
      </c>
      <c r="K10619" s="3" t="s">
        <v>53783</v>
      </c>
      <c r="L10619" s="3"/>
      <c r="M10619" s="4"/>
      <c r="N10619" s="3" t="s">
        <v>37</v>
      </c>
      <c r="O10619" s="3" t="s">
        <v>46</v>
      </c>
      <c r="P10619" s="5">
        <v>5</v>
      </c>
      <c r="Q10619" s="5">
        <v>32</v>
      </c>
      <c r="R10619" s="5">
        <v>4</v>
      </c>
      <c r="S10619" s="5">
        <v>29</v>
      </c>
    </row>
    <row r="10620" spans="1:19" ht="42" x14ac:dyDescent="0.15">
      <c r="A10620" s="2">
        <f>HYPERLINK("https://open-school.uspishnemisto.com.ua/school/530583/", 530583)</f>
        <v>530583</v>
      </c>
      <c r="B10620" s="3" t="s">
        <v>53784</v>
      </c>
      <c r="C10620" s="3" t="s">
        <v>31</v>
      </c>
      <c r="D10620" s="3" t="s">
        <v>32</v>
      </c>
      <c r="E10620" s="4" t="s">
        <v>22</v>
      </c>
      <c r="F10620" s="4" t="s">
        <v>53785</v>
      </c>
      <c r="G10620" s="4" t="s">
        <v>53786</v>
      </c>
      <c r="H10620" s="3" t="s">
        <v>50910</v>
      </c>
      <c r="I10620" s="3" t="s">
        <v>5947</v>
      </c>
      <c r="J10620" s="3" t="s">
        <v>6432</v>
      </c>
      <c r="K10620" s="3" t="s">
        <v>53787</v>
      </c>
      <c r="L10620" s="3" t="s">
        <v>53788</v>
      </c>
      <c r="M10620" s="4"/>
      <c r="N10620" s="3" t="s">
        <v>37</v>
      </c>
      <c r="O10620" s="3" t="s">
        <v>52</v>
      </c>
      <c r="P10620" s="5">
        <v>11</v>
      </c>
      <c r="Q10620" s="5">
        <v>121</v>
      </c>
      <c r="R10620" s="5">
        <v>11</v>
      </c>
      <c r="S10620" s="5">
        <v>122</v>
      </c>
    </row>
    <row r="10621" spans="1:19" ht="28" x14ac:dyDescent="0.15">
      <c r="A10621" s="2">
        <f>HYPERLINK("https://open-school.uspishnemisto.com.ua/school/530584/", 530584)</f>
        <v>530584</v>
      </c>
      <c r="B10621" s="3" t="s">
        <v>53789</v>
      </c>
      <c r="C10621" s="3" t="s">
        <v>31</v>
      </c>
      <c r="D10621" s="3" t="s">
        <v>32</v>
      </c>
      <c r="E10621" s="4" t="s">
        <v>22</v>
      </c>
      <c r="F10621" s="4" t="s">
        <v>53790</v>
      </c>
      <c r="G10621" s="4" t="s">
        <v>53791</v>
      </c>
      <c r="H10621" s="3" t="s">
        <v>50910</v>
      </c>
      <c r="I10621" s="3" t="s">
        <v>22540</v>
      </c>
      <c r="J10621" s="3" t="s">
        <v>53792</v>
      </c>
      <c r="K10621" s="3" t="s">
        <v>53793</v>
      </c>
      <c r="L10621" s="3" t="s">
        <v>53794</v>
      </c>
      <c r="M10621" s="4"/>
      <c r="N10621" s="3" t="s">
        <v>37</v>
      </c>
      <c r="O10621" s="3" t="s">
        <v>52</v>
      </c>
      <c r="P10621" s="5">
        <v>11</v>
      </c>
      <c r="Q10621" s="5">
        <v>62</v>
      </c>
      <c r="R10621" s="5">
        <v>10</v>
      </c>
      <c r="S10621" s="5">
        <v>63</v>
      </c>
    </row>
    <row r="10622" spans="1:19" ht="42" x14ac:dyDescent="0.15">
      <c r="A10622" s="2">
        <f>HYPERLINK("https://open-school.uspishnemisto.com.ua/school/530585/", 530585)</f>
        <v>530585</v>
      </c>
      <c r="B10622" s="3" t="s">
        <v>53795</v>
      </c>
      <c r="C10622" s="3" t="s">
        <v>54</v>
      </c>
      <c r="D10622" s="3" t="s">
        <v>175</v>
      </c>
      <c r="E10622" s="4" t="s">
        <v>22</v>
      </c>
      <c r="F10622" s="4" t="s">
        <v>53796</v>
      </c>
      <c r="G10622" s="4" t="s">
        <v>53797</v>
      </c>
      <c r="H10622" s="3" t="s">
        <v>50910</v>
      </c>
      <c r="I10622" s="3" t="s">
        <v>30007</v>
      </c>
      <c r="J10622" s="3" t="s">
        <v>7166</v>
      </c>
      <c r="K10622" s="3" t="s">
        <v>53798</v>
      </c>
      <c r="L10622" s="3" t="s">
        <v>53799</v>
      </c>
      <c r="M10622" s="4"/>
      <c r="N10622" s="3" t="s">
        <v>37</v>
      </c>
      <c r="O10622" s="3" t="s">
        <v>618</v>
      </c>
      <c r="P10622" s="5">
        <v>6</v>
      </c>
      <c r="Q10622" s="5">
        <v>46</v>
      </c>
      <c r="R10622" s="5">
        <v>5</v>
      </c>
      <c r="S10622" s="5">
        <v>42</v>
      </c>
    </row>
    <row r="10623" spans="1:19" ht="28" x14ac:dyDescent="0.15">
      <c r="A10623" s="2">
        <f>HYPERLINK("https://open-school.uspishnemisto.com.ua/school/530586/", 530586)</f>
        <v>530586</v>
      </c>
      <c r="B10623" s="3" t="s">
        <v>53800</v>
      </c>
      <c r="C10623" s="3" t="s">
        <v>31</v>
      </c>
      <c r="D10623" s="3" t="s">
        <v>32</v>
      </c>
      <c r="E10623" s="4" t="s">
        <v>22</v>
      </c>
      <c r="F10623" s="4" t="s">
        <v>53801</v>
      </c>
      <c r="G10623" s="4" t="s">
        <v>53802</v>
      </c>
      <c r="H10623" s="3" t="s">
        <v>50910</v>
      </c>
      <c r="I10623" s="3" t="s">
        <v>53803</v>
      </c>
      <c r="J10623" s="3" t="s">
        <v>16428</v>
      </c>
      <c r="K10623" s="3" t="s">
        <v>53804</v>
      </c>
      <c r="L10623" s="3" t="s">
        <v>53805</v>
      </c>
      <c r="M10623" s="4"/>
      <c r="N10623" s="3" t="s">
        <v>37</v>
      </c>
      <c r="O10623" s="3" t="s">
        <v>52</v>
      </c>
      <c r="P10623" s="5">
        <v>8</v>
      </c>
      <c r="Q10623" s="5">
        <v>58</v>
      </c>
      <c r="R10623" s="5">
        <v>7</v>
      </c>
      <c r="S10623" s="5">
        <v>53</v>
      </c>
    </row>
    <row r="10624" spans="1:19" ht="28" x14ac:dyDescent="0.15">
      <c r="A10624" s="2">
        <f>HYPERLINK("https://open-school.uspishnemisto.com.ua/school/530587/", 530587)</f>
        <v>530587</v>
      </c>
      <c r="B10624" s="3" t="s">
        <v>53806</v>
      </c>
      <c r="C10624" s="3" t="s">
        <v>31</v>
      </c>
      <c r="D10624" s="3" t="s">
        <v>32</v>
      </c>
      <c r="E10624" s="4" t="s">
        <v>22</v>
      </c>
      <c r="F10624" s="4" t="s">
        <v>53807</v>
      </c>
      <c r="G10624" s="4" t="s">
        <v>53808</v>
      </c>
      <c r="H10624" s="3" t="s">
        <v>50910</v>
      </c>
      <c r="I10624" s="3" t="s">
        <v>35113</v>
      </c>
      <c r="J10624" s="3" t="s">
        <v>554</v>
      </c>
      <c r="K10624" s="3" t="s">
        <v>53809</v>
      </c>
      <c r="L10624" s="3" t="s">
        <v>53810</v>
      </c>
      <c r="M10624" s="4"/>
      <c r="N10624" s="3" t="s">
        <v>37</v>
      </c>
      <c r="O10624" s="3" t="s">
        <v>46</v>
      </c>
      <c r="P10624" s="5">
        <v>7</v>
      </c>
      <c r="Q10624" s="5">
        <v>55</v>
      </c>
      <c r="R10624" s="5">
        <v>7</v>
      </c>
      <c r="S10624" s="5">
        <v>63</v>
      </c>
    </row>
    <row r="10625" spans="1:19" ht="42" x14ac:dyDescent="0.15">
      <c r="A10625" s="2">
        <f>HYPERLINK("https://open-school.uspishnemisto.com.ua/school/530588/", 530588)</f>
        <v>530588</v>
      </c>
      <c r="B10625" s="3" t="s">
        <v>53811</v>
      </c>
      <c r="C10625" s="3" t="s">
        <v>31</v>
      </c>
      <c r="D10625" s="3" t="s">
        <v>32</v>
      </c>
      <c r="E10625" s="4" t="s">
        <v>22</v>
      </c>
      <c r="F10625" s="4" t="s">
        <v>53812</v>
      </c>
      <c r="G10625" s="4" t="s">
        <v>53813</v>
      </c>
      <c r="H10625" s="3" t="s">
        <v>50910</v>
      </c>
      <c r="I10625" s="3" t="s">
        <v>11064</v>
      </c>
      <c r="J10625" s="3" t="s">
        <v>1798</v>
      </c>
      <c r="K10625" s="3" t="s">
        <v>53814</v>
      </c>
      <c r="L10625" s="3" t="s">
        <v>53815</v>
      </c>
      <c r="M10625" s="4"/>
      <c r="N10625" s="3" t="s">
        <v>37</v>
      </c>
      <c r="O10625" s="3" t="s">
        <v>46</v>
      </c>
      <c r="P10625" s="5">
        <v>10</v>
      </c>
      <c r="Q10625" s="5">
        <v>96</v>
      </c>
      <c r="R10625" s="5">
        <v>11</v>
      </c>
      <c r="S10625" s="5">
        <v>102</v>
      </c>
    </row>
    <row r="10626" spans="1:19" ht="42" x14ac:dyDescent="0.15">
      <c r="A10626" s="2">
        <f>HYPERLINK("https://open-school.uspishnemisto.com.ua/school/530589/", 530589)</f>
        <v>530589</v>
      </c>
      <c r="B10626" s="3" t="s">
        <v>53816</v>
      </c>
      <c r="C10626" s="3" t="s">
        <v>54</v>
      </c>
      <c r="D10626" s="3" t="s">
        <v>175</v>
      </c>
      <c r="E10626" s="4" t="s">
        <v>22</v>
      </c>
      <c r="F10626" s="4" t="s">
        <v>53817</v>
      </c>
      <c r="G10626" s="4" t="s">
        <v>53818</v>
      </c>
      <c r="H10626" s="3" t="s">
        <v>50910</v>
      </c>
      <c r="I10626" s="3" t="s">
        <v>33782</v>
      </c>
      <c r="J10626" s="3" t="s">
        <v>53819</v>
      </c>
      <c r="K10626" s="3" t="s">
        <v>53820</v>
      </c>
      <c r="L10626" s="3" t="s">
        <v>53821</v>
      </c>
      <c r="M10626" s="4"/>
      <c r="N10626" s="3" t="s">
        <v>37</v>
      </c>
      <c r="O10626" s="3" t="s">
        <v>46</v>
      </c>
      <c r="P10626" s="5">
        <v>3</v>
      </c>
      <c r="Q10626" s="5">
        <v>28</v>
      </c>
      <c r="R10626" s="5">
        <v>3</v>
      </c>
      <c r="S10626" s="5">
        <v>29</v>
      </c>
    </row>
    <row r="10627" spans="1:19" ht="28" x14ac:dyDescent="0.15">
      <c r="A10627" s="2">
        <f>HYPERLINK("https://open-school.uspishnemisto.com.ua/school/530590/", 530590)</f>
        <v>530590</v>
      </c>
      <c r="B10627" s="3" t="s">
        <v>53822</v>
      </c>
      <c r="C10627" s="3" t="s">
        <v>31</v>
      </c>
      <c r="D10627" s="3" t="s">
        <v>175</v>
      </c>
      <c r="E10627" s="4" t="s">
        <v>22</v>
      </c>
      <c r="F10627" s="4" t="s">
        <v>53823</v>
      </c>
      <c r="G10627" s="4" t="s">
        <v>53824</v>
      </c>
      <c r="H10627" s="3" t="s">
        <v>50910</v>
      </c>
      <c r="I10627" s="3" t="s">
        <v>15610</v>
      </c>
      <c r="J10627" s="3" t="s">
        <v>878</v>
      </c>
      <c r="K10627" s="3" t="s">
        <v>53825</v>
      </c>
      <c r="L10627" s="3"/>
      <c r="M10627" s="4"/>
      <c r="N10627" s="3" t="s">
        <v>37</v>
      </c>
      <c r="O10627" s="3" t="s">
        <v>52</v>
      </c>
      <c r="P10627" s="5">
        <v>4</v>
      </c>
      <c r="Q10627" s="5">
        <v>37</v>
      </c>
      <c r="R10627" s="5">
        <v>5</v>
      </c>
      <c r="S10627" s="5">
        <v>39</v>
      </c>
    </row>
    <row r="10628" spans="1:19" ht="42" x14ac:dyDescent="0.15">
      <c r="A10628" s="2">
        <f>HYPERLINK("https://open-school.uspishnemisto.com.ua/school/530591/", 530591)</f>
        <v>530591</v>
      </c>
      <c r="B10628" s="3" t="s">
        <v>53826</v>
      </c>
      <c r="C10628" s="3" t="s">
        <v>7651</v>
      </c>
      <c r="D10628" s="3"/>
      <c r="E10628" s="4" t="s">
        <v>22</v>
      </c>
      <c r="F10628" s="4"/>
      <c r="G10628" s="4" t="s">
        <v>53827</v>
      </c>
      <c r="H10628" s="3" t="s">
        <v>50910</v>
      </c>
      <c r="I10628" s="3" t="s">
        <v>11605</v>
      </c>
      <c r="J10628" s="3"/>
      <c r="K10628" s="3"/>
      <c r="L10628" s="3"/>
      <c r="M10628" s="4"/>
      <c r="N10628" s="3"/>
      <c r="O10628" s="3"/>
      <c r="P10628" s="5">
        <v>0</v>
      </c>
      <c r="Q10628" s="5">
        <v>0</v>
      </c>
      <c r="R10628" s="5"/>
      <c r="S10628" s="5"/>
    </row>
    <row r="10629" spans="1:19" ht="28" x14ac:dyDescent="0.15">
      <c r="A10629" s="2">
        <f>HYPERLINK("https://open-school.uspishnemisto.com.ua/school/530592/", 530592)</f>
        <v>530592</v>
      </c>
      <c r="B10629" s="3" t="s">
        <v>53828</v>
      </c>
      <c r="C10629" s="3" t="s">
        <v>54</v>
      </c>
      <c r="D10629" s="3" t="s">
        <v>32</v>
      </c>
      <c r="E10629" s="4" t="s">
        <v>22</v>
      </c>
      <c r="F10629" s="4" t="s">
        <v>53829</v>
      </c>
      <c r="G10629" s="4" t="s">
        <v>53827</v>
      </c>
      <c r="H10629" s="3" t="s">
        <v>50910</v>
      </c>
      <c r="I10629" s="3" t="s">
        <v>11605</v>
      </c>
      <c r="J10629" s="3" t="s">
        <v>53830</v>
      </c>
      <c r="K10629" s="3" t="s">
        <v>53831</v>
      </c>
      <c r="L10629" s="3" t="s">
        <v>53832</v>
      </c>
      <c r="M10629" s="4"/>
      <c r="N10629" s="3" t="s">
        <v>37</v>
      </c>
      <c r="O10629" s="3" t="s">
        <v>70</v>
      </c>
      <c r="P10629" s="5">
        <v>19</v>
      </c>
      <c r="Q10629" s="5">
        <v>336</v>
      </c>
      <c r="R10629" s="5">
        <v>19</v>
      </c>
      <c r="S10629" s="5">
        <v>327</v>
      </c>
    </row>
    <row r="10630" spans="1:19" ht="28" x14ac:dyDescent="0.15">
      <c r="A10630" s="2">
        <f>HYPERLINK("https://open-school.uspishnemisto.com.ua/school/530593/", 530593)</f>
        <v>530593</v>
      </c>
      <c r="B10630" s="3" t="s">
        <v>53833</v>
      </c>
      <c r="C10630" s="3" t="s">
        <v>54</v>
      </c>
      <c r="D10630" s="3" t="s">
        <v>32</v>
      </c>
      <c r="E10630" s="4" t="s">
        <v>22</v>
      </c>
      <c r="F10630" s="4" t="s">
        <v>53829</v>
      </c>
      <c r="G10630" s="4" t="s">
        <v>53827</v>
      </c>
      <c r="H10630" s="3" t="s">
        <v>50910</v>
      </c>
      <c r="I10630" s="3" t="s">
        <v>11605</v>
      </c>
      <c r="J10630" s="3" t="s">
        <v>5394</v>
      </c>
      <c r="K10630" s="3" t="s">
        <v>53834</v>
      </c>
      <c r="L10630" s="3" t="s">
        <v>53835</v>
      </c>
      <c r="M10630" s="4"/>
      <c r="N10630" s="3" t="s">
        <v>37</v>
      </c>
      <c r="O10630" s="3" t="s">
        <v>70</v>
      </c>
      <c r="P10630" s="5">
        <v>22</v>
      </c>
      <c r="Q10630" s="5">
        <v>429</v>
      </c>
      <c r="R10630" s="5">
        <v>22</v>
      </c>
      <c r="S10630" s="5">
        <v>449</v>
      </c>
    </row>
    <row r="10631" spans="1:19" ht="28" x14ac:dyDescent="0.15">
      <c r="A10631" s="2">
        <f>HYPERLINK("https://open-school.uspishnemisto.com.ua/school/530594/", 530594)</f>
        <v>530594</v>
      </c>
      <c r="B10631" s="3" t="s">
        <v>53836</v>
      </c>
      <c r="C10631" s="3" t="s">
        <v>31</v>
      </c>
      <c r="D10631" s="3" t="s">
        <v>32</v>
      </c>
      <c r="E10631" s="4" t="s">
        <v>22</v>
      </c>
      <c r="F10631" s="4" t="s">
        <v>53837</v>
      </c>
      <c r="G10631" s="4" t="s">
        <v>53838</v>
      </c>
      <c r="H10631" s="3" t="s">
        <v>50910</v>
      </c>
      <c r="I10631" s="3" t="s">
        <v>53839</v>
      </c>
      <c r="J10631" s="3" t="s">
        <v>3112</v>
      </c>
      <c r="K10631" s="3" t="s">
        <v>53840</v>
      </c>
      <c r="L10631" s="3" t="s">
        <v>53841</v>
      </c>
      <c r="M10631" s="4"/>
      <c r="N10631" s="3" t="s">
        <v>37</v>
      </c>
      <c r="O10631" s="3" t="s">
        <v>38</v>
      </c>
      <c r="P10631" s="5">
        <v>10</v>
      </c>
      <c r="Q10631" s="5">
        <v>72</v>
      </c>
      <c r="R10631" s="5">
        <v>9</v>
      </c>
      <c r="S10631" s="5">
        <v>76</v>
      </c>
    </row>
    <row r="10632" spans="1:19" ht="28" x14ac:dyDescent="0.15">
      <c r="A10632" s="2">
        <f>HYPERLINK("https://open-school.uspishnemisto.com.ua/school/530595/", 530595)</f>
        <v>530595</v>
      </c>
      <c r="B10632" s="3" t="s">
        <v>53842</v>
      </c>
      <c r="C10632" s="3" t="s">
        <v>31</v>
      </c>
      <c r="D10632" s="3" t="s">
        <v>32</v>
      </c>
      <c r="E10632" s="4" t="s">
        <v>22</v>
      </c>
      <c r="F10632" s="4" t="s">
        <v>53843</v>
      </c>
      <c r="G10632" s="4" t="s">
        <v>53844</v>
      </c>
      <c r="H10632" s="3" t="s">
        <v>50910</v>
      </c>
      <c r="I10632" s="3" t="s">
        <v>3790</v>
      </c>
      <c r="J10632" s="3" t="s">
        <v>1792</v>
      </c>
      <c r="K10632" s="3" t="s">
        <v>53845</v>
      </c>
      <c r="L10632" s="3"/>
      <c r="M10632" s="4"/>
      <c r="N10632" s="3" t="s">
        <v>37</v>
      </c>
      <c r="O10632" s="3" t="s">
        <v>70</v>
      </c>
      <c r="P10632" s="5">
        <v>11</v>
      </c>
      <c r="Q10632" s="5">
        <v>99</v>
      </c>
      <c r="R10632" s="5">
        <v>11</v>
      </c>
      <c r="S10632" s="5">
        <v>88</v>
      </c>
    </row>
    <row r="10633" spans="1:19" ht="28" x14ac:dyDescent="0.15">
      <c r="A10633" s="2">
        <f>HYPERLINK("https://open-school.uspishnemisto.com.ua/school/530596/", 530596)</f>
        <v>530596</v>
      </c>
      <c r="B10633" s="3" t="s">
        <v>53846</v>
      </c>
      <c r="C10633" s="3" t="s">
        <v>31</v>
      </c>
      <c r="D10633" s="3" t="s">
        <v>175</v>
      </c>
      <c r="E10633" s="4" t="s">
        <v>22</v>
      </c>
      <c r="F10633" s="4" t="s">
        <v>53847</v>
      </c>
      <c r="G10633" s="4" t="s">
        <v>53848</v>
      </c>
      <c r="H10633" s="3" t="s">
        <v>50910</v>
      </c>
      <c r="I10633" s="3" t="s">
        <v>1500</v>
      </c>
      <c r="J10633" s="3" t="s">
        <v>39695</v>
      </c>
      <c r="K10633" s="3" t="s">
        <v>53849</v>
      </c>
      <c r="L10633" s="3"/>
      <c r="M10633" s="4"/>
      <c r="N10633" s="3" t="s">
        <v>37</v>
      </c>
      <c r="O10633" s="3" t="s">
        <v>38</v>
      </c>
      <c r="P10633" s="5">
        <v>6</v>
      </c>
      <c r="Q10633" s="5">
        <v>42</v>
      </c>
      <c r="R10633" s="5">
        <v>5</v>
      </c>
      <c r="S10633" s="5">
        <v>43</v>
      </c>
    </row>
    <row r="10634" spans="1:19" ht="28" x14ac:dyDescent="0.15">
      <c r="A10634" s="2">
        <f>HYPERLINK("https://open-school.uspishnemisto.com.ua/school/530597/", 530597)</f>
        <v>530597</v>
      </c>
      <c r="B10634" s="3" t="s">
        <v>53850</v>
      </c>
      <c r="C10634" s="3" t="s">
        <v>31</v>
      </c>
      <c r="D10634" s="3" t="s">
        <v>32</v>
      </c>
      <c r="E10634" s="4" t="s">
        <v>22</v>
      </c>
      <c r="F10634" s="4" t="s">
        <v>53851</v>
      </c>
      <c r="G10634" s="4" t="s">
        <v>53852</v>
      </c>
      <c r="H10634" s="3" t="s">
        <v>50910</v>
      </c>
      <c r="I10634" s="3" t="s">
        <v>53853</v>
      </c>
      <c r="J10634" s="3" t="s">
        <v>53854</v>
      </c>
      <c r="K10634" s="3"/>
      <c r="L10634" s="3"/>
      <c r="M10634" s="4"/>
      <c r="N10634" s="3" t="s">
        <v>37</v>
      </c>
      <c r="O10634" s="3" t="s">
        <v>38</v>
      </c>
      <c r="P10634" s="5">
        <v>11</v>
      </c>
      <c r="Q10634" s="5">
        <v>148</v>
      </c>
      <c r="R10634" s="5">
        <v>11</v>
      </c>
      <c r="S10634" s="5">
        <v>144</v>
      </c>
    </row>
    <row r="10635" spans="1:19" ht="42" x14ac:dyDescent="0.15">
      <c r="A10635" s="2">
        <f>HYPERLINK("https://open-school.uspishnemisto.com.ua/school/530598/", 530598)</f>
        <v>530598</v>
      </c>
      <c r="B10635" s="3" t="s">
        <v>53855</v>
      </c>
      <c r="C10635" s="3" t="s">
        <v>31</v>
      </c>
      <c r="D10635" s="3" t="s">
        <v>175</v>
      </c>
      <c r="E10635" s="4" t="s">
        <v>22</v>
      </c>
      <c r="F10635" s="4" t="s">
        <v>53851</v>
      </c>
      <c r="G10635" s="4" t="s">
        <v>53856</v>
      </c>
      <c r="H10635" s="3" t="s">
        <v>50910</v>
      </c>
      <c r="I10635" s="3" t="s">
        <v>53857</v>
      </c>
      <c r="J10635" s="3" t="s">
        <v>53858</v>
      </c>
      <c r="K10635" s="3"/>
      <c r="L10635" s="3"/>
      <c r="M10635" s="4"/>
      <c r="N10635" s="3" t="s">
        <v>37</v>
      </c>
      <c r="O10635" s="3" t="s">
        <v>38</v>
      </c>
      <c r="P10635" s="5">
        <v>3</v>
      </c>
      <c r="Q10635" s="5">
        <v>30</v>
      </c>
      <c r="R10635" s="5">
        <v>1</v>
      </c>
      <c r="S10635" s="5">
        <v>33</v>
      </c>
    </row>
    <row r="10636" spans="1:19" ht="28" x14ac:dyDescent="0.15">
      <c r="A10636" s="2">
        <f>HYPERLINK("https://open-school.uspishnemisto.com.ua/school/530599/", 530599)</f>
        <v>530599</v>
      </c>
      <c r="B10636" s="3" t="s">
        <v>53859</v>
      </c>
      <c r="C10636" s="3" t="s">
        <v>31</v>
      </c>
      <c r="D10636" s="3" t="s">
        <v>32</v>
      </c>
      <c r="E10636" s="4" t="s">
        <v>22</v>
      </c>
      <c r="F10636" s="4" t="s">
        <v>53860</v>
      </c>
      <c r="G10636" s="4" t="s">
        <v>53861</v>
      </c>
      <c r="H10636" s="3" t="s">
        <v>50910</v>
      </c>
      <c r="I10636" s="3" t="s">
        <v>53862</v>
      </c>
      <c r="J10636" s="3" t="s">
        <v>53863</v>
      </c>
      <c r="K10636" s="3" t="s">
        <v>53864</v>
      </c>
      <c r="L10636" s="3"/>
      <c r="M10636" s="4"/>
      <c r="N10636" s="3" t="s">
        <v>37</v>
      </c>
      <c r="O10636" s="3" t="s">
        <v>70</v>
      </c>
      <c r="P10636" s="5">
        <v>8</v>
      </c>
      <c r="Q10636" s="5">
        <v>69</v>
      </c>
      <c r="R10636" s="5">
        <v>8</v>
      </c>
      <c r="S10636" s="5">
        <v>74</v>
      </c>
    </row>
    <row r="10637" spans="1:19" ht="28" x14ac:dyDescent="0.15">
      <c r="A10637" s="2">
        <f>HYPERLINK("https://open-school.uspishnemisto.com.ua/school/530601/", 530601)</f>
        <v>530601</v>
      </c>
      <c r="B10637" s="3" t="s">
        <v>53865</v>
      </c>
      <c r="C10637" s="3" t="s">
        <v>31</v>
      </c>
      <c r="D10637" s="3" t="s">
        <v>32</v>
      </c>
      <c r="E10637" s="4" t="s">
        <v>22</v>
      </c>
      <c r="F10637" s="4" t="s">
        <v>53866</v>
      </c>
      <c r="G10637" s="4" t="s">
        <v>53867</v>
      </c>
      <c r="H10637" s="3" t="s">
        <v>50910</v>
      </c>
      <c r="I10637" s="3" t="s">
        <v>53868</v>
      </c>
      <c r="J10637" s="3" t="s">
        <v>3244</v>
      </c>
      <c r="K10637" s="3" t="s">
        <v>53869</v>
      </c>
      <c r="L10637" s="3" t="s">
        <v>53870</v>
      </c>
      <c r="M10637" s="4"/>
      <c r="N10637" s="3" t="s">
        <v>37</v>
      </c>
      <c r="O10637" s="3" t="s">
        <v>70</v>
      </c>
      <c r="P10637" s="5">
        <v>10</v>
      </c>
      <c r="Q10637" s="5">
        <v>79</v>
      </c>
      <c r="R10637" s="5">
        <v>10</v>
      </c>
      <c r="S10637" s="5">
        <v>89</v>
      </c>
    </row>
    <row r="10638" spans="1:19" ht="28" x14ac:dyDescent="0.15">
      <c r="A10638" s="2">
        <f>HYPERLINK("https://open-school.uspishnemisto.com.ua/school/530602/", 530602)</f>
        <v>530602</v>
      </c>
      <c r="B10638" s="3" t="s">
        <v>53871</v>
      </c>
      <c r="C10638" s="3" t="s">
        <v>31</v>
      </c>
      <c r="D10638" s="3" t="s">
        <v>175</v>
      </c>
      <c r="E10638" s="4" t="s">
        <v>22</v>
      </c>
      <c r="F10638" s="4" t="s">
        <v>53872</v>
      </c>
      <c r="G10638" s="4" t="s">
        <v>53873</v>
      </c>
      <c r="H10638" s="3" t="s">
        <v>50910</v>
      </c>
      <c r="I10638" s="3" t="s">
        <v>883</v>
      </c>
      <c r="J10638" s="3" t="s">
        <v>24445</v>
      </c>
      <c r="K10638" s="3" t="s">
        <v>53874</v>
      </c>
      <c r="L10638" s="3"/>
      <c r="M10638" s="4"/>
      <c r="N10638" s="3" t="s">
        <v>37</v>
      </c>
      <c r="O10638" s="3" t="s">
        <v>70</v>
      </c>
      <c r="P10638" s="5">
        <v>4</v>
      </c>
      <c r="Q10638" s="5">
        <v>34</v>
      </c>
      <c r="R10638" s="5">
        <v>3</v>
      </c>
      <c r="S10638" s="5">
        <v>30</v>
      </c>
    </row>
    <row r="10639" spans="1:19" ht="42" x14ac:dyDescent="0.15">
      <c r="A10639" s="2">
        <f>HYPERLINK("https://open-school.uspishnemisto.com.ua/school/530603/", 530603)</f>
        <v>530603</v>
      </c>
      <c r="B10639" s="3" t="s">
        <v>53875</v>
      </c>
      <c r="C10639" s="3" t="s">
        <v>31</v>
      </c>
      <c r="D10639" s="3" t="s">
        <v>32</v>
      </c>
      <c r="E10639" s="4" t="s">
        <v>22</v>
      </c>
      <c r="F10639" s="4" t="s">
        <v>53876</v>
      </c>
      <c r="G10639" s="4" t="s">
        <v>53877</v>
      </c>
      <c r="H10639" s="3" t="s">
        <v>50910</v>
      </c>
      <c r="I10639" s="3" t="s">
        <v>53878</v>
      </c>
      <c r="J10639" s="3" t="s">
        <v>2498</v>
      </c>
      <c r="K10639" s="3"/>
      <c r="L10639" s="3"/>
      <c r="M10639" s="4"/>
      <c r="N10639" s="3" t="s">
        <v>37</v>
      </c>
      <c r="O10639" s="3" t="s">
        <v>38</v>
      </c>
      <c r="P10639" s="5">
        <v>9</v>
      </c>
      <c r="Q10639" s="5">
        <v>71</v>
      </c>
      <c r="R10639" s="5">
        <v>9</v>
      </c>
      <c r="S10639" s="5">
        <v>75</v>
      </c>
    </row>
    <row r="10640" spans="1:19" ht="28" x14ac:dyDescent="0.15">
      <c r="A10640" s="2">
        <f>HYPERLINK("https://open-school.uspishnemisto.com.ua/school/530604/", 530604)</f>
        <v>530604</v>
      </c>
      <c r="B10640" s="3" t="s">
        <v>53879</v>
      </c>
      <c r="C10640" s="3" t="s">
        <v>31</v>
      </c>
      <c r="D10640" s="3" t="s">
        <v>60</v>
      </c>
      <c r="E10640" s="4" t="s">
        <v>22</v>
      </c>
      <c r="F10640" s="4" t="s">
        <v>53880</v>
      </c>
      <c r="G10640" s="4" t="s">
        <v>53881</v>
      </c>
      <c r="H10640" s="3" t="s">
        <v>50910</v>
      </c>
      <c r="I10640" s="3" t="s">
        <v>53882</v>
      </c>
      <c r="J10640" s="3" t="s">
        <v>53883</v>
      </c>
      <c r="K10640" s="3"/>
      <c r="L10640" s="3"/>
      <c r="M10640" s="4"/>
      <c r="N10640" s="3" t="s">
        <v>37</v>
      </c>
      <c r="O10640" s="3" t="s">
        <v>52</v>
      </c>
      <c r="P10640" s="5">
        <v>1</v>
      </c>
      <c r="Q10640" s="5">
        <v>10</v>
      </c>
      <c r="R10640" s="5">
        <v>1</v>
      </c>
      <c r="S10640" s="5">
        <v>7</v>
      </c>
    </row>
    <row r="10641" spans="1:19" ht="28" x14ac:dyDescent="0.15">
      <c r="A10641" s="2">
        <f>HYPERLINK("https://open-school.uspishnemisto.com.ua/school/530605/", 530605)</f>
        <v>530605</v>
      </c>
      <c r="B10641" s="3" t="s">
        <v>53884</v>
      </c>
      <c r="C10641" s="3" t="s">
        <v>31</v>
      </c>
      <c r="D10641" s="3" t="s">
        <v>32</v>
      </c>
      <c r="E10641" s="4" t="s">
        <v>22</v>
      </c>
      <c r="F10641" s="4" t="s">
        <v>53885</v>
      </c>
      <c r="G10641" s="4" t="s">
        <v>53886</v>
      </c>
      <c r="H10641" s="3" t="s">
        <v>50910</v>
      </c>
      <c r="I10641" s="3" t="s">
        <v>53887</v>
      </c>
      <c r="J10641" s="3" t="s">
        <v>53888</v>
      </c>
      <c r="K10641" s="3" t="s">
        <v>53889</v>
      </c>
      <c r="L10641" s="3" t="s">
        <v>53890</v>
      </c>
      <c r="M10641" s="4"/>
      <c r="N10641" s="3" t="s">
        <v>37</v>
      </c>
      <c r="O10641" s="3" t="s">
        <v>38</v>
      </c>
      <c r="P10641" s="5">
        <v>11</v>
      </c>
      <c r="Q10641" s="5">
        <v>206</v>
      </c>
      <c r="R10641" s="5">
        <v>11</v>
      </c>
      <c r="S10641" s="5">
        <v>185</v>
      </c>
    </row>
    <row r="10642" spans="1:19" ht="28" x14ac:dyDescent="0.15">
      <c r="A10642" s="2">
        <f>HYPERLINK("https://open-school.uspishnemisto.com.ua/school/530606/", 530606)</f>
        <v>530606</v>
      </c>
      <c r="B10642" s="3" t="s">
        <v>53891</v>
      </c>
      <c r="C10642" s="3" t="s">
        <v>31</v>
      </c>
      <c r="D10642" s="3" t="s">
        <v>175</v>
      </c>
      <c r="E10642" s="4" t="s">
        <v>22</v>
      </c>
      <c r="F10642" s="4" t="s">
        <v>53892</v>
      </c>
      <c r="G10642" s="4" t="s">
        <v>53893</v>
      </c>
      <c r="H10642" s="3" t="s">
        <v>50910</v>
      </c>
      <c r="I10642" s="3" t="s">
        <v>11739</v>
      </c>
      <c r="J10642" s="3" t="s">
        <v>700</v>
      </c>
      <c r="K10642" s="3" t="s">
        <v>53894</v>
      </c>
      <c r="L10642" s="3"/>
      <c r="M10642" s="4"/>
      <c r="N10642" s="3" t="s">
        <v>37</v>
      </c>
      <c r="O10642" s="3" t="s">
        <v>38</v>
      </c>
      <c r="P10642" s="5">
        <v>4</v>
      </c>
      <c r="Q10642" s="5">
        <v>30</v>
      </c>
      <c r="R10642" s="5">
        <v>4</v>
      </c>
      <c r="S10642" s="5">
        <v>26</v>
      </c>
    </row>
    <row r="10643" spans="1:19" ht="28" x14ac:dyDescent="0.15">
      <c r="A10643" s="2">
        <f>HYPERLINK("https://open-school.uspishnemisto.com.ua/school/530607/", 530607)</f>
        <v>530607</v>
      </c>
      <c r="B10643" s="3" t="s">
        <v>53895</v>
      </c>
      <c r="C10643" s="3" t="s">
        <v>31</v>
      </c>
      <c r="D10643" s="3" t="s">
        <v>32</v>
      </c>
      <c r="E10643" s="4" t="s">
        <v>22</v>
      </c>
      <c r="F10643" s="4" t="s">
        <v>53896</v>
      </c>
      <c r="G10643" s="4" t="s">
        <v>53897</v>
      </c>
      <c r="H10643" s="3" t="s">
        <v>50910</v>
      </c>
      <c r="I10643" s="3" t="s">
        <v>53898</v>
      </c>
      <c r="J10643" s="3" t="s">
        <v>3047</v>
      </c>
      <c r="K10643" s="3" t="s">
        <v>53899</v>
      </c>
      <c r="L10643" s="3"/>
      <c r="M10643" s="4"/>
      <c r="N10643" s="3" t="s">
        <v>37</v>
      </c>
      <c r="O10643" s="3" t="s">
        <v>70</v>
      </c>
      <c r="P10643" s="5">
        <v>6</v>
      </c>
      <c r="Q10643" s="5">
        <v>52</v>
      </c>
      <c r="R10643" s="5">
        <v>6</v>
      </c>
      <c r="S10643" s="5">
        <v>57</v>
      </c>
    </row>
    <row r="10644" spans="1:19" ht="28" x14ac:dyDescent="0.15">
      <c r="A10644" s="2">
        <f>HYPERLINK("https://open-school.uspishnemisto.com.ua/school/530608/", 530608)</f>
        <v>530608</v>
      </c>
      <c r="B10644" s="3" t="s">
        <v>53900</v>
      </c>
      <c r="C10644" s="3" t="s">
        <v>31</v>
      </c>
      <c r="D10644" s="3" t="s">
        <v>175</v>
      </c>
      <c r="E10644" s="4" t="s">
        <v>22</v>
      </c>
      <c r="F10644" s="4" t="s">
        <v>53901</v>
      </c>
      <c r="G10644" s="4" t="s">
        <v>53902</v>
      </c>
      <c r="H10644" s="3" t="s">
        <v>50910</v>
      </c>
      <c r="I10644" s="3" t="s">
        <v>16099</v>
      </c>
      <c r="J10644" s="3" t="s">
        <v>53903</v>
      </c>
      <c r="K10644" s="3"/>
      <c r="L10644" s="3"/>
      <c r="M10644" s="4"/>
      <c r="N10644" s="3" t="s">
        <v>37</v>
      </c>
      <c r="O10644" s="3" t="s">
        <v>112</v>
      </c>
      <c r="P10644" s="5">
        <v>4</v>
      </c>
      <c r="Q10644" s="5">
        <v>32</v>
      </c>
      <c r="R10644" s="5">
        <v>4</v>
      </c>
      <c r="S10644" s="5">
        <v>31</v>
      </c>
    </row>
    <row r="10645" spans="1:19" ht="28" x14ac:dyDescent="0.15">
      <c r="A10645" s="2">
        <f>HYPERLINK("https://open-school.uspishnemisto.com.ua/school/530609/", 530609)</f>
        <v>530609</v>
      </c>
      <c r="B10645" s="3" t="s">
        <v>53904</v>
      </c>
      <c r="C10645" s="3" t="s">
        <v>31</v>
      </c>
      <c r="D10645" s="3" t="s">
        <v>175</v>
      </c>
      <c r="E10645" s="4" t="s">
        <v>22</v>
      </c>
      <c r="F10645" s="4" t="s">
        <v>53905</v>
      </c>
      <c r="G10645" s="4" t="s">
        <v>53906</v>
      </c>
      <c r="H10645" s="3" t="s">
        <v>50910</v>
      </c>
      <c r="I10645" s="3" t="s">
        <v>53907</v>
      </c>
      <c r="J10645" s="3" t="s">
        <v>53908</v>
      </c>
      <c r="K10645" s="3"/>
      <c r="L10645" s="3"/>
      <c r="M10645" s="4"/>
      <c r="N10645" s="3" t="s">
        <v>37</v>
      </c>
      <c r="O10645" s="3" t="s">
        <v>70</v>
      </c>
      <c r="P10645" s="5">
        <v>4</v>
      </c>
      <c r="Q10645" s="5">
        <v>37</v>
      </c>
      <c r="R10645" s="5">
        <v>5</v>
      </c>
      <c r="S10645" s="5">
        <v>40</v>
      </c>
    </row>
    <row r="10646" spans="1:19" ht="42" x14ac:dyDescent="0.15">
      <c r="A10646" s="2">
        <f>HYPERLINK("https://open-school.uspishnemisto.com.ua/school/530610/", 530610)</f>
        <v>530610</v>
      </c>
      <c r="B10646" s="3" t="s">
        <v>53909</v>
      </c>
      <c r="C10646" s="3" t="s">
        <v>31</v>
      </c>
      <c r="D10646" s="3" t="s">
        <v>32</v>
      </c>
      <c r="E10646" s="4" t="s">
        <v>22</v>
      </c>
      <c r="F10646" s="4" t="s">
        <v>53910</v>
      </c>
      <c r="G10646" s="4" t="s">
        <v>53911</v>
      </c>
      <c r="H10646" s="3" t="s">
        <v>50910</v>
      </c>
      <c r="I10646" s="3" t="s">
        <v>1033</v>
      </c>
      <c r="J10646" s="3" t="s">
        <v>23336</v>
      </c>
      <c r="K10646" s="3" t="s">
        <v>53912</v>
      </c>
      <c r="L10646" s="3"/>
      <c r="M10646" s="4"/>
      <c r="N10646" s="3" t="s">
        <v>37</v>
      </c>
      <c r="O10646" s="3" t="s">
        <v>38</v>
      </c>
      <c r="P10646" s="5">
        <v>9</v>
      </c>
      <c r="Q10646" s="5">
        <v>59</v>
      </c>
      <c r="R10646" s="5">
        <v>10</v>
      </c>
      <c r="S10646" s="5">
        <v>67</v>
      </c>
    </row>
    <row r="10647" spans="1:19" ht="28" x14ac:dyDescent="0.15">
      <c r="A10647" s="2">
        <f>HYPERLINK("https://open-school.uspishnemisto.com.ua/school/530611/", 530611)</f>
        <v>530611</v>
      </c>
      <c r="B10647" s="3" t="s">
        <v>53913</v>
      </c>
      <c r="C10647" s="3" t="s">
        <v>31</v>
      </c>
      <c r="D10647" s="3" t="s">
        <v>175</v>
      </c>
      <c r="E10647" s="4" t="s">
        <v>22</v>
      </c>
      <c r="F10647" s="4" t="s">
        <v>53914</v>
      </c>
      <c r="G10647" s="4" t="s">
        <v>53915</v>
      </c>
      <c r="H10647" s="3" t="s">
        <v>50910</v>
      </c>
      <c r="I10647" s="3" t="s">
        <v>53916</v>
      </c>
      <c r="J10647" s="3" t="s">
        <v>1513</v>
      </c>
      <c r="K10647" s="3" t="s">
        <v>53917</v>
      </c>
      <c r="L10647" s="3"/>
      <c r="M10647" s="4"/>
      <c r="N10647" s="3" t="s">
        <v>37</v>
      </c>
      <c r="O10647" s="3" t="s">
        <v>38</v>
      </c>
      <c r="P10647" s="5">
        <v>0</v>
      </c>
      <c r="Q10647" s="5">
        <v>26</v>
      </c>
      <c r="R10647" s="5">
        <v>0</v>
      </c>
      <c r="S10647" s="5">
        <v>26</v>
      </c>
    </row>
    <row r="10648" spans="1:19" ht="28" x14ac:dyDescent="0.15">
      <c r="A10648" s="2">
        <f>HYPERLINK("https://open-school.uspishnemisto.com.ua/school/530612/", 530612)</f>
        <v>530612</v>
      </c>
      <c r="B10648" s="3" t="s">
        <v>53918</v>
      </c>
      <c r="C10648" s="3" t="s">
        <v>31</v>
      </c>
      <c r="D10648" s="3" t="s">
        <v>60</v>
      </c>
      <c r="E10648" s="4" t="s">
        <v>22</v>
      </c>
      <c r="F10648" s="4" t="s">
        <v>53919</v>
      </c>
      <c r="G10648" s="4" t="s">
        <v>53920</v>
      </c>
      <c r="H10648" s="3" t="s">
        <v>50910</v>
      </c>
      <c r="I10648" s="3" t="s">
        <v>2296</v>
      </c>
      <c r="J10648" s="3" t="s">
        <v>53921</v>
      </c>
      <c r="K10648" s="3" t="s">
        <v>53922</v>
      </c>
      <c r="L10648" s="3"/>
      <c r="M10648" s="4"/>
      <c r="N10648" s="3" t="s">
        <v>37</v>
      </c>
      <c r="O10648" s="3"/>
      <c r="P10648" s="5">
        <v>0</v>
      </c>
      <c r="Q10648" s="5">
        <v>0</v>
      </c>
      <c r="R10648" s="5">
        <v>4</v>
      </c>
      <c r="S10648" s="5">
        <v>9</v>
      </c>
    </row>
    <row r="10649" spans="1:19" ht="28" x14ac:dyDescent="0.15">
      <c r="A10649" s="2">
        <f>HYPERLINK("https://open-school.uspishnemisto.com.ua/school/530613/", 530613)</f>
        <v>530613</v>
      </c>
      <c r="B10649" s="3" t="s">
        <v>53923</v>
      </c>
      <c r="C10649" s="3" t="s">
        <v>31</v>
      </c>
      <c r="D10649" s="3" t="s">
        <v>32</v>
      </c>
      <c r="E10649" s="4" t="s">
        <v>22</v>
      </c>
      <c r="F10649" s="4" t="s">
        <v>53924</v>
      </c>
      <c r="G10649" s="4" t="s">
        <v>53925</v>
      </c>
      <c r="H10649" s="3" t="s">
        <v>50910</v>
      </c>
      <c r="I10649" s="3" t="s">
        <v>32113</v>
      </c>
      <c r="J10649" s="3" t="s">
        <v>6042</v>
      </c>
      <c r="K10649" s="3" t="s">
        <v>53926</v>
      </c>
      <c r="L10649" s="3" t="s">
        <v>53927</v>
      </c>
      <c r="M10649" s="4"/>
      <c r="N10649" s="3" t="s">
        <v>37</v>
      </c>
      <c r="O10649" s="3" t="s">
        <v>38</v>
      </c>
      <c r="P10649" s="5">
        <v>11</v>
      </c>
      <c r="Q10649" s="5">
        <v>152</v>
      </c>
      <c r="R10649" s="5">
        <v>11</v>
      </c>
      <c r="S10649" s="5">
        <v>145</v>
      </c>
    </row>
    <row r="10650" spans="1:19" ht="28" x14ac:dyDescent="0.15">
      <c r="A10650" s="2">
        <f>HYPERLINK("https://open-school.uspishnemisto.com.ua/school/530614/", 530614)</f>
        <v>530614</v>
      </c>
      <c r="B10650" s="3" t="s">
        <v>53928</v>
      </c>
      <c r="C10650" s="3" t="s">
        <v>31</v>
      </c>
      <c r="D10650" s="3" t="s">
        <v>60</v>
      </c>
      <c r="E10650" s="4" t="s">
        <v>22</v>
      </c>
      <c r="F10650" s="4" t="s">
        <v>53929</v>
      </c>
      <c r="G10650" s="4" t="s">
        <v>53930</v>
      </c>
      <c r="H10650" s="3" t="s">
        <v>50910</v>
      </c>
      <c r="I10650" s="3" t="s">
        <v>12297</v>
      </c>
      <c r="J10650" s="3" t="s">
        <v>7057</v>
      </c>
      <c r="K10650" s="3" t="s">
        <v>53931</v>
      </c>
      <c r="L10650" s="3"/>
      <c r="M10650" s="4"/>
      <c r="N10650" s="3" t="s">
        <v>37</v>
      </c>
      <c r="O10650" s="3" t="s">
        <v>52</v>
      </c>
      <c r="P10650" s="5">
        <v>0</v>
      </c>
      <c r="Q10650" s="5">
        <v>7</v>
      </c>
      <c r="R10650" s="5">
        <v>2</v>
      </c>
      <c r="S10650" s="5">
        <v>10</v>
      </c>
    </row>
    <row r="10651" spans="1:19" ht="28" x14ac:dyDescent="0.15">
      <c r="A10651" s="2">
        <f>HYPERLINK("https://open-school.uspishnemisto.com.ua/school/530615/", 530615)</f>
        <v>530615</v>
      </c>
      <c r="B10651" s="3" t="s">
        <v>53932</v>
      </c>
      <c r="C10651" s="3" t="s">
        <v>31</v>
      </c>
      <c r="D10651" s="3" t="s">
        <v>32</v>
      </c>
      <c r="E10651" s="4" t="s">
        <v>22</v>
      </c>
      <c r="F10651" s="4" t="s">
        <v>53933</v>
      </c>
      <c r="G10651" s="4" t="s">
        <v>53934</v>
      </c>
      <c r="H10651" s="3" t="s">
        <v>50910</v>
      </c>
      <c r="I10651" s="3" t="s">
        <v>53935</v>
      </c>
      <c r="J10651" s="3" t="s">
        <v>44799</v>
      </c>
      <c r="K10651" s="3"/>
      <c r="L10651" s="3"/>
      <c r="M10651" s="4"/>
      <c r="N10651" s="3" t="s">
        <v>37</v>
      </c>
      <c r="O10651" s="3" t="s">
        <v>70</v>
      </c>
      <c r="P10651" s="5">
        <v>7</v>
      </c>
      <c r="Q10651" s="5">
        <v>58</v>
      </c>
      <c r="R10651" s="5">
        <v>8</v>
      </c>
      <c r="S10651" s="5">
        <v>63</v>
      </c>
    </row>
    <row r="10652" spans="1:19" ht="28" x14ac:dyDescent="0.15">
      <c r="A10652" s="2">
        <f>HYPERLINK("https://open-school.uspishnemisto.com.ua/school/530616/", 530616)</f>
        <v>530616</v>
      </c>
      <c r="B10652" s="3" t="s">
        <v>53936</v>
      </c>
      <c r="C10652" s="3" t="s">
        <v>40</v>
      </c>
      <c r="D10652" s="3" t="s">
        <v>32</v>
      </c>
      <c r="E10652" s="4" t="s">
        <v>22</v>
      </c>
      <c r="F10652" s="4" t="s">
        <v>53937</v>
      </c>
      <c r="G10652" s="4" t="s">
        <v>53938</v>
      </c>
      <c r="H10652" s="3" t="s">
        <v>50910</v>
      </c>
      <c r="I10652" s="3" t="s">
        <v>53939</v>
      </c>
      <c r="J10652" s="3" t="s">
        <v>53940</v>
      </c>
      <c r="K10652" s="3" t="s">
        <v>53941</v>
      </c>
      <c r="L10652" s="3" t="s">
        <v>53942</v>
      </c>
      <c r="M10652" s="4"/>
      <c r="N10652" s="3" t="s">
        <v>37</v>
      </c>
      <c r="O10652" s="3" t="s">
        <v>70</v>
      </c>
      <c r="P10652" s="5">
        <v>30</v>
      </c>
      <c r="Q10652" s="5">
        <v>642</v>
      </c>
      <c r="R10652" s="5">
        <v>30</v>
      </c>
      <c r="S10652" s="5">
        <v>615</v>
      </c>
    </row>
    <row r="10653" spans="1:19" ht="28" x14ac:dyDescent="0.15">
      <c r="A10653" s="2">
        <f>HYPERLINK("https://open-school.uspishnemisto.com.ua/school/530617/", 530617)</f>
        <v>530617</v>
      </c>
      <c r="B10653" s="3" t="s">
        <v>53943</v>
      </c>
      <c r="C10653" s="3" t="s">
        <v>244</v>
      </c>
      <c r="D10653" s="3" t="s">
        <v>32</v>
      </c>
      <c r="E10653" s="4" t="s">
        <v>22</v>
      </c>
      <c r="F10653" s="4" t="s">
        <v>53937</v>
      </c>
      <c r="G10653" s="4" t="s">
        <v>53938</v>
      </c>
      <c r="H10653" s="3" t="s">
        <v>50910</v>
      </c>
      <c r="I10653" s="3" t="s">
        <v>53939</v>
      </c>
      <c r="J10653" s="3" t="s">
        <v>53944</v>
      </c>
      <c r="K10653" s="3" t="s">
        <v>53945</v>
      </c>
      <c r="L10653" s="3"/>
      <c r="M10653" s="4"/>
      <c r="N10653" s="3" t="s">
        <v>37</v>
      </c>
      <c r="O10653" s="3" t="s">
        <v>70</v>
      </c>
      <c r="P10653" s="5">
        <v>11</v>
      </c>
      <c r="Q10653" s="5">
        <v>197</v>
      </c>
      <c r="R10653" s="5">
        <v>11</v>
      </c>
      <c r="S10653" s="5">
        <v>197</v>
      </c>
    </row>
    <row r="10654" spans="1:19" ht="28" x14ac:dyDescent="0.15">
      <c r="A10654" s="2">
        <f>HYPERLINK("https://open-school.uspishnemisto.com.ua/school/530618/", 530618)</f>
        <v>530618</v>
      </c>
      <c r="B10654" s="3" t="s">
        <v>53946</v>
      </c>
      <c r="C10654" s="3" t="s">
        <v>244</v>
      </c>
      <c r="D10654" s="3" t="s">
        <v>32</v>
      </c>
      <c r="E10654" s="4" t="s">
        <v>22</v>
      </c>
      <c r="F10654" s="4" t="s">
        <v>53937</v>
      </c>
      <c r="G10654" s="4" t="s">
        <v>53938</v>
      </c>
      <c r="H10654" s="3" t="s">
        <v>50910</v>
      </c>
      <c r="I10654" s="3" t="s">
        <v>53939</v>
      </c>
      <c r="J10654" s="3" t="s">
        <v>53947</v>
      </c>
      <c r="K10654" s="3" t="s">
        <v>53948</v>
      </c>
      <c r="L10654" s="3" t="s">
        <v>53949</v>
      </c>
      <c r="M10654" s="4"/>
      <c r="N10654" s="3" t="s">
        <v>37</v>
      </c>
      <c r="O10654" s="3" t="s">
        <v>70</v>
      </c>
      <c r="P10654" s="5">
        <v>18</v>
      </c>
      <c r="Q10654" s="5">
        <v>310</v>
      </c>
      <c r="R10654" s="5">
        <v>18</v>
      </c>
      <c r="S10654" s="5">
        <v>309</v>
      </c>
    </row>
    <row r="10655" spans="1:19" ht="56" x14ac:dyDescent="0.15">
      <c r="A10655" s="2">
        <f>HYPERLINK("https://open-school.uspishnemisto.com.ua/school/530619/", 530619)</f>
        <v>530619</v>
      </c>
      <c r="B10655" s="3" t="s">
        <v>53950</v>
      </c>
      <c r="C10655" s="3" t="s">
        <v>54</v>
      </c>
      <c r="D10655" s="3" t="s">
        <v>32</v>
      </c>
      <c r="E10655" s="4" t="s">
        <v>22</v>
      </c>
      <c r="F10655" s="4" t="s">
        <v>53937</v>
      </c>
      <c r="G10655" s="4" t="s">
        <v>53938</v>
      </c>
      <c r="H10655" s="3" t="s">
        <v>50910</v>
      </c>
      <c r="I10655" s="3" t="s">
        <v>53939</v>
      </c>
      <c r="J10655" s="3" t="s">
        <v>53951</v>
      </c>
      <c r="K10655" s="3" t="s">
        <v>53952</v>
      </c>
      <c r="L10655" s="3"/>
      <c r="M10655" s="4"/>
      <c r="N10655" s="3" t="s">
        <v>37</v>
      </c>
      <c r="O10655" s="3" t="s">
        <v>38</v>
      </c>
      <c r="P10655" s="5">
        <v>11</v>
      </c>
      <c r="Q10655" s="5">
        <v>148</v>
      </c>
      <c r="R10655" s="5">
        <v>11</v>
      </c>
      <c r="S10655" s="5">
        <v>140</v>
      </c>
    </row>
    <row r="10656" spans="1:19" ht="28" x14ac:dyDescent="0.15">
      <c r="A10656" s="2">
        <f>HYPERLINK("https://open-school.uspishnemisto.com.ua/school/530620/", 530620)</f>
        <v>530620</v>
      </c>
      <c r="B10656" s="3" t="s">
        <v>53953</v>
      </c>
      <c r="C10656" s="3" t="s">
        <v>31</v>
      </c>
      <c r="D10656" s="3" t="s">
        <v>32</v>
      </c>
      <c r="E10656" s="4" t="s">
        <v>22</v>
      </c>
      <c r="F10656" s="4" t="s">
        <v>53954</v>
      </c>
      <c r="G10656" s="4" t="s">
        <v>53955</v>
      </c>
      <c r="H10656" s="3" t="s">
        <v>50910</v>
      </c>
      <c r="I10656" s="3" t="s">
        <v>4594</v>
      </c>
      <c r="J10656" s="3" t="s">
        <v>5492</v>
      </c>
      <c r="K10656" s="3" t="s">
        <v>53956</v>
      </c>
      <c r="L10656" s="3" t="s">
        <v>53957</v>
      </c>
      <c r="M10656" s="4"/>
      <c r="N10656" s="3" t="s">
        <v>37</v>
      </c>
      <c r="O10656" s="3" t="s">
        <v>38</v>
      </c>
      <c r="P10656" s="5">
        <v>11</v>
      </c>
      <c r="Q10656" s="5">
        <v>108</v>
      </c>
      <c r="R10656" s="5">
        <v>10</v>
      </c>
      <c r="S10656" s="5">
        <v>104</v>
      </c>
    </row>
    <row r="10657" spans="1:19" ht="28" x14ac:dyDescent="0.15">
      <c r="A10657" s="2">
        <f>HYPERLINK("https://open-school.uspishnemisto.com.ua/school/530621/", 530621)</f>
        <v>530621</v>
      </c>
      <c r="B10657" s="3" t="s">
        <v>53958</v>
      </c>
      <c r="C10657" s="3" t="s">
        <v>31</v>
      </c>
      <c r="D10657" s="3" t="s">
        <v>32</v>
      </c>
      <c r="E10657" s="4" t="s">
        <v>22</v>
      </c>
      <c r="F10657" s="4" t="s">
        <v>53959</v>
      </c>
      <c r="G10657" s="4" t="s">
        <v>53960</v>
      </c>
      <c r="H10657" s="3" t="s">
        <v>50910</v>
      </c>
      <c r="I10657" s="3" t="s">
        <v>47938</v>
      </c>
      <c r="J10657" s="3" t="s">
        <v>20228</v>
      </c>
      <c r="K10657" s="3" t="s">
        <v>53961</v>
      </c>
      <c r="L10657" s="3"/>
      <c r="M10657" s="4"/>
      <c r="N10657" s="3" t="s">
        <v>37</v>
      </c>
      <c r="O10657" s="3" t="s">
        <v>38</v>
      </c>
      <c r="P10657" s="5">
        <v>11</v>
      </c>
      <c r="Q10657" s="5">
        <v>166</v>
      </c>
      <c r="R10657" s="5">
        <v>11</v>
      </c>
      <c r="S10657" s="5">
        <v>157</v>
      </c>
    </row>
    <row r="10658" spans="1:19" ht="42" x14ac:dyDescent="0.15">
      <c r="A10658" s="2">
        <f>HYPERLINK("https://open-school.uspishnemisto.com.ua/school/530622/", 530622)</f>
        <v>530622</v>
      </c>
      <c r="B10658" s="3" t="s">
        <v>53962</v>
      </c>
      <c r="C10658" s="3" t="s">
        <v>31</v>
      </c>
      <c r="D10658" s="3" t="s">
        <v>60</v>
      </c>
      <c r="E10658" s="4" t="s">
        <v>22</v>
      </c>
      <c r="F10658" s="4" t="s">
        <v>53963</v>
      </c>
      <c r="G10658" s="4" t="s">
        <v>53964</v>
      </c>
      <c r="H10658" s="3" t="s">
        <v>50910</v>
      </c>
      <c r="I10658" s="3" t="s">
        <v>53965</v>
      </c>
      <c r="J10658" s="3" t="s">
        <v>27991</v>
      </c>
      <c r="K10658" s="3" t="s">
        <v>53966</v>
      </c>
      <c r="L10658" s="3" t="s">
        <v>53967</v>
      </c>
      <c r="M10658" s="4"/>
      <c r="N10658" s="3" t="s">
        <v>37</v>
      </c>
      <c r="O10658" s="3" t="s">
        <v>52</v>
      </c>
      <c r="P10658" s="5">
        <v>0</v>
      </c>
      <c r="Q10658" s="5">
        <v>9</v>
      </c>
      <c r="R10658" s="5">
        <v>0</v>
      </c>
      <c r="S10658" s="5">
        <v>6</v>
      </c>
    </row>
    <row r="10659" spans="1:19" ht="42" x14ac:dyDescent="0.15">
      <c r="A10659" s="2">
        <f>HYPERLINK("https://open-school.uspishnemisto.com.ua/school/530623/", 530623)</f>
        <v>530623</v>
      </c>
      <c r="B10659" s="3" t="s">
        <v>53968</v>
      </c>
      <c r="C10659" s="3" t="s">
        <v>54</v>
      </c>
      <c r="D10659" s="3" t="s">
        <v>60</v>
      </c>
      <c r="E10659" s="4" t="s">
        <v>22</v>
      </c>
      <c r="F10659" s="4" t="s">
        <v>53969</v>
      </c>
      <c r="G10659" s="4" t="s">
        <v>53970</v>
      </c>
      <c r="H10659" s="3" t="s">
        <v>50910</v>
      </c>
      <c r="I10659" s="3" t="s">
        <v>53971</v>
      </c>
      <c r="J10659" s="3" t="s">
        <v>1360</v>
      </c>
      <c r="K10659" s="3"/>
      <c r="L10659" s="3"/>
      <c r="M10659" s="4"/>
      <c r="N10659" s="3" t="s">
        <v>37</v>
      </c>
      <c r="O10659" s="3" t="s">
        <v>52</v>
      </c>
      <c r="P10659" s="5">
        <v>3</v>
      </c>
      <c r="Q10659" s="5">
        <v>23</v>
      </c>
      <c r="R10659" s="5">
        <v>4</v>
      </c>
      <c r="S10659" s="5">
        <v>30</v>
      </c>
    </row>
    <row r="10660" spans="1:19" ht="42" x14ac:dyDescent="0.15">
      <c r="A10660" s="2">
        <f>HYPERLINK("https://open-school.uspishnemisto.com.ua/school/530624/", 530624)</f>
        <v>530624</v>
      </c>
      <c r="B10660" s="3" t="s">
        <v>53972</v>
      </c>
      <c r="C10660" s="3" t="s">
        <v>31</v>
      </c>
      <c r="D10660" s="3" t="s">
        <v>175</v>
      </c>
      <c r="E10660" s="4" t="s">
        <v>22</v>
      </c>
      <c r="F10660" s="4" t="s">
        <v>53973</v>
      </c>
      <c r="G10660" s="4" t="s">
        <v>53974</v>
      </c>
      <c r="H10660" s="3" t="s">
        <v>50910</v>
      </c>
      <c r="I10660" s="3" t="s">
        <v>53975</v>
      </c>
      <c r="J10660" s="3" t="s">
        <v>53976</v>
      </c>
      <c r="K10660" s="3" t="s">
        <v>53977</v>
      </c>
      <c r="L10660" s="3" t="s">
        <v>53978</v>
      </c>
      <c r="M10660" s="4"/>
      <c r="N10660" s="3" t="s">
        <v>37</v>
      </c>
      <c r="O10660" s="3" t="s">
        <v>38</v>
      </c>
      <c r="P10660" s="5">
        <v>9</v>
      </c>
      <c r="Q10660" s="5">
        <v>89</v>
      </c>
      <c r="R10660" s="5">
        <v>9</v>
      </c>
      <c r="S10660" s="5">
        <v>88</v>
      </c>
    </row>
    <row r="10661" spans="1:19" ht="42" x14ac:dyDescent="0.15">
      <c r="A10661" s="2">
        <f>HYPERLINK("https://open-school.uspishnemisto.com.ua/school/530625/", 530625)</f>
        <v>530625</v>
      </c>
      <c r="B10661" s="3" t="s">
        <v>53979</v>
      </c>
      <c r="C10661" s="3" t="s">
        <v>31</v>
      </c>
      <c r="D10661" s="3" t="s">
        <v>175</v>
      </c>
      <c r="E10661" s="4" t="s">
        <v>22</v>
      </c>
      <c r="F10661" s="4" t="s">
        <v>53980</v>
      </c>
      <c r="G10661" s="4" t="s">
        <v>53981</v>
      </c>
      <c r="H10661" s="3" t="s">
        <v>50910</v>
      </c>
      <c r="I10661" s="3" t="s">
        <v>17894</v>
      </c>
      <c r="J10661" s="3" t="s">
        <v>53982</v>
      </c>
      <c r="K10661" s="3" t="s">
        <v>53983</v>
      </c>
      <c r="L10661" s="3" t="s">
        <v>53984</v>
      </c>
      <c r="M10661" s="4"/>
      <c r="N10661" s="3" t="s">
        <v>37</v>
      </c>
      <c r="O10661" s="3" t="s">
        <v>38</v>
      </c>
      <c r="P10661" s="5">
        <v>4</v>
      </c>
      <c r="Q10661" s="5">
        <v>40</v>
      </c>
      <c r="R10661" s="5">
        <v>5</v>
      </c>
      <c r="S10661" s="5">
        <v>42</v>
      </c>
    </row>
    <row r="10662" spans="1:19" ht="28" x14ac:dyDescent="0.15">
      <c r="A10662" s="2">
        <f>HYPERLINK("https://open-school.uspishnemisto.com.ua/school/530626/", 530626)</f>
        <v>530626</v>
      </c>
      <c r="B10662" s="3" t="s">
        <v>53985</v>
      </c>
      <c r="C10662" s="3" t="s">
        <v>31</v>
      </c>
      <c r="D10662" s="3" t="s">
        <v>32</v>
      </c>
      <c r="E10662" s="4" t="s">
        <v>22</v>
      </c>
      <c r="F10662" s="4" t="s">
        <v>53986</v>
      </c>
      <c r="G10662" s="4" t="s">
        <v>53987</v>
      </c>
      <c r="H10662" s="3" t="s">
        <v>50910</v>
      </c>
      <c r="I10662" s="3" t="s">
        <v>37294</v>
      </c>
      <c r="J10662" s="3" t="s">
        <v>2169</v>
      </c>
      <c r="K10662" s="3" t="s">
        <v>53988</v>
      </c>
      <c r="L10662" s="3" t="s">
        <v>53989</v>
      </c>
      <c r="M10662" s="4"/>
      <c r="N10662" s="3" t="s">
        <v>37</v>
      </c>
      <c r="O10662" s="3" t="s">
        <v>38</v>
      </c>
      <c r="P10662" s="5">
        <v>10</v>
      </c>
      <c r="Q10662" s="5">
        <v>92</v>
      </c>
      <c r="R10662" s="5">
        <v>11</v>
      </c>
      <c r="S10662" s="5">
        <v>100</v>
      </c>
    </row>
    <row r="10663" spans="1:19" ht="42" x14ac:dyDescent="0.15">
      <c r="A10663" s="2">
        <f>HYPERLINK("https://open-school.uspishnemisto.com.ua/school/530627/", 530627)</f>
        <v>530627</v>
      </c>
      <c r="B10663" s="3" t="s">
        <v>53990</v>
      </c>
      <c r="C10663" s="3" t="s">
        <v>31</v>
      </c>
      <c r="D10663" s="3" t="s">
        <v>175</v>
      </c>
      <c r="E10663" s="4" t="s">
        <v>22</v>
      </c>
      <c r="F10663" s="4" t="s">
        <v>53991</v>
      </c>
      <c r="G10663" s="4" t="s">
        <v>53992</v>
      </c>
      <c r="H10663" s="3" t="s">
        <v>50910</v>
      </c>
      <c r="I10663" s="3" t="s">
        <v>53993</v>
      </c>
      <c r="J10663" s="3" t="s">
        <v>53994</v>
      </c>
      <c r="K10663" s="3" t="s">
        <v>53995</v>
      </c>
      <c r="L10663" s="3" t="s">
        <v>53996</v>
      </c>
      <c r="M10663" s="4"/>
      <c r="N10663" s="3" t="s">
        <v>37</v>
      </c>
      <c r="O10663" s="3" t="s">
        <v>38</v>
      </c>
      <c r="P10663" s="5">
        <v>1</v>
      </c>
      <c r="Q10663" s="5">
        <v>27</v>
      </c>
      <c r="R10663" s="5">
        <v>4</v>
      </c>
      <c r="S10663" s="5">
        <v>34</v>
      </c>
    </row>
    <row r="10664" spans="1:19" ht="28" x14ac:dyDescent="0.15">
      <c r="A10664" s="2">
        <f>HYPERLINK("https://open-school.uspishnemisto.com.ua/school/530628/", 530628)</f>
        <v>530628</v>
      </c>
      <c r="B10664" s="3" t="s">
        <v>53997</v>
      </c>
      <c r="C10664" s="3" t="s">
        <v>40</v>
      </c>
      <c r="D10664" s="3" t="s">
        <v>32</v>
      </c>
      <c r="E10664" s="4" t="s">
        <v>22</v>
      </c>
      <c r="F10664" s="4" t="s">
        <v>53998</v>
      </c>
      <c r="G10664" s="4" t="s">
        <v>53999</v>
      </c>
      <c r="H10664" s="3" t="s">
        <v>50910</v>
      </c>
      <c r="I10664" s="3" t="s">
        <v>54000</v>
      </c>
      <c r="J10664" s="3" t="s">
        <v>54001</v>
      </c>
      <c r="K10664" s="3" t="s">
        <v>54002</v>
      </c>
      <c r="L10664" s="3" t="s">
        <v>54003</v>
      </c>
      <c r="M10664" s="4"/>
      <c r="N10664" s="3" t="s">
        <v>37</v>
      </c>
      <c r="O10664" s="3" t="s">
        <v>38</v>
      </c>
      <c r="P10664" s="5">
        <v>11</v>
      </c>
      <c r="Q10664" s="5">
        <v>132</v>
      </c>
      <c r="R10664" s="5">
        <v>11</v>
      </c>
      <c r="S10664" s="5">
        <v>134</v>
      </c>
    </row>
    <row r="10665" spans="1:19" ht="28" x14ac:dyDescent="0.15">
      <c r="A10665" s="2">
        <f>HYPERLINK("https://open-school.uspishnemisto.com.ua/school/530629/", 530629)</f>
        <v>530629</v>
      </c>
      <c r="B10665" s="3" t="s">
        <v>54004</v>
      </c>
      <c r="C10665" s="3" t="s">
        <v>54</v>
      </c>
      <c r="D10665" s="3" t="s">
        <v>32</v>
      </c>
      <c r="E10665" s="4" t="s">
        <v>22</v>
      </c>
      <c r="F10665" s="4" t="s">
        <v>54005</v>
      </c>
      <c r="G10665" s="4" t="s">
        <v>54006</v>
      </c>
      <c r="H10665" s="3" t="s">
        <v>50910</v>
      </c>
      <c r="I10665" s="3" t="s">
        <v>54007</v>
      </c>
      <c r="J10665" s="3" t="s">
        <v>17325</v>
      </c>
      <c r="K10665" s="3" t="s">
        <v>54008</v>
      </c>
      <c r="L10665" s="3" t="s">
        <v>54009</v>
      </c>
      <c r="M10665" s="4"/>
      <c r="N10665" s="3" t="s">
        <v>37</v>
      </c>
      <c r="O10665" s="3" t="s">
        <v>38</v>
      </c>
      <c r="P10665" s="5">
        <v>11</v>
      </c>
      <c r="Q10665" s="5">
        <v>109</v>
      </c>
      <c r="R10665" s="5">
        <v>11</v>
      </c>
      <c r="S10665" s="5">
        <v>113</v>
      </c>
    </row>
    <row r="10666" spans="1:19" ht="28" x14ac:dyDescent="0.15">
      <c r="A10666" s="2">
        <f>HYPERLINK("https://open-school.uspishnemisto.com.ua/school/530630/", 530630)</f>
        <v>530630</v>
      </c>
      <c r="B10666" s="3" t="s">
        <v>54010</v>
      </c>
      <c r="C10666" s="3" t="s">
        <v>54</v>
      </c>
      <c r="D10666" s="3" t="s">
        <v>32</v>
      </c>
      <c r="E10666" s="4" t="s">
        <v>22</v>
      </c>
      <c r="F10666" s="4" t="s">
        <v>54011</v>
      </c>
      <c r="G10666" s="4" t="s">
        <v>54012</v>
      </c>
      <c r="H10666" s="3" t="s">
        <v>50910</v>
      </c>
      <c r="I10666" s="3" t="s">
        <v>12579</v>
      </c>
      <c r="J10666" s="3" t="s">
        <v>54013</v>
      </c>
      <c r="K10666" s="3" t="s">
        <v>54014</v>
      </c>
      <c r="L10666" s="3" t="s">
        <v>54015</v>
      </c>
      <c r="M10666" s="4"/>
      <c r="N10666" s="3" t="s">
        <v>37</v>
      </c>
      <c r="O10666" s="3" t="s">
        <v>38</v>
      </c>
      <c r="P10666" s="5">
        <v>10</v>
      </c>
      <c r="Q10666" s="5">
        <v>79</v>
      </c>
      <c r="R10666" s="5">
        <v>10</v>
      </c>
      <c r="S10666" s="5">
        <v>81</v>
      </c>
    </row>
    <row r="10667" spans="1:19" ht="42" x14ac:dyDescent="0.15">
      <c r="A10667" s="2">
        <f>HYPERLINK("https://open-school.uspishnemisto.com.ua/school/530631/", 530631)</f>
        <v>530631</v>
      </c>
      <c r="B10667" s="3" t="s">
        <v>54016</v>
      </c>
      <c r="C10667" s="3" t="s">
        <v>31</v>
      </c>
      <c r="D10667" s="3" t="s">
        <v>32</v>
      </c>
      <c r="E10667" s="4" t="s">
        <v>22</v>
      </c>
      <c r="F10667" s="4" t="s">
        <v>54017</v>
      </c>
      <c r="G10667" s="4" t="s">
        <v>54018</v>
      </c>
      <c r="H10667" s="3" t="s">
        <v>50910</v>
      </c>
      <c r="I10667" s="3" t="s">
        <v>54019</v>
      </c>
      <c r="J10667" s="3" t="s">
        <v>8007</v>
      </c>
      <c r="K10667" s="3" t="s">
        <v>54020</v>
      </c>
      <c r="L10667" s="3" t="s">
        <v>54021</v>
      </c>
      <c r="M10667" s="4"/>
      <c r="N10667" s="3" t="s">
        <v>37</v>
      </c>
      <c r="O10667" s="3" t="s">
        <v>70</v>
      </c>
      <c r="P10667" s="5">
        <v>10</v>
      </c>
      <c r="Q10667" s="5">
        <v>153</v>
      </c>
      <c r="R10667" s="5">
        <v>11</v>
      </c>
      <c r="S10667" s="5">
        <v>150</v>
      </c>
    </row>
    <row r="10668" spans="1:19" ht="28" x14ac:dyDescent="0.15">
      <c r="A10668" s="2">
        <f>HYPERLINK("https://open-school.uspishnemisto.com.ua/school/530632/", 530632)</f>
        <v>530632</v>
      </c>
      <c r="B10668" s="3" t="s">
        <v>54022</v>
      </c>
      <c r="C10668" s="3" t="s">
        <v>31</v>
      </c>
      <c r="D10668" s="3" t="s">
        <v>32</v>
      </c>
      <c r="E10668" s="4" t="s">
        <v>22</v>
      </c>
      <c r="F10668" s="4" t="s">
        <v>54023</v>
      </c>
      <c r="G10668" s="4" t="s">
        <v>54024</v>
      </c>
      <c r="H10668" s="3" t="s">
        <v>50910</v>
      </c>
      <c r="I10668" s="3" t="s">
        <v>54025</v>
      </c>
      <c r="J10668" s="3" t="s">
        <v>18837</v>
      </c>
      <c r="K10668" s="3" t="s">
        <v>54026</v>
      </c>
      <c r="L10668" s="3"/>
      <c r="M10668" s="4"/>
      <c r="N10668" s="3" t="s">
        <v>37</v>
      </c>
      <c r="O10668" s="3" t="s">
        <v>70</v>
      </c>
      <c r="P10668" s="5">
        <v>8</v>
      </c>
      <c r="Q10668" s="5">
        <v>80</v>
      </c>
      <c r="R10668" s="5">
        <v>8</v>
      </c>
      <c r="S10668" s="5">
        <v>81</v>
      </c>
    </row>
    <row r="10669" spans="1:19" ht="42" x14ac:dyDescent="0.15">
      <c r="A10669" s="2">
        <f>HYPERLINK("https://open-school.uspishnemisto.com.ua/school/530633/", 530633)</f>
        <v>530633</v>
      </c>
      <c r="B10669" s="3" t="s">
        <v>54027</v>
      </c>
      <c r="C10669" s="3" t="s">
        <v>31</v>
      </c>
      <c r="D10669" s="3" t="s">
        <v>175</v>
      </c>
      <c r="E10669" s="4" t="s">
        <v>22</v>
      </c>
      <c r="F10669" s="4" t="s">
        <v>54028</v>
      </c>
      <c r="G10669" s="4" t="s">
        <v>54029</v>
      </c>
      <c r="H10669" s="3" t="s">
        <v>50910</v>
      </c>
      <c r="I10669" s="3" t="s">
        <v>1439</v>
      </c>
      <c r="J10669" s="3" t="s">
        <v>1348</v>
      </c>
      <c r="K10669" s="3" t="s">
        <v>54030</v>
      </c>
      <c r="L10669" s="3" t="s">
        <v>54031</v>
      </c>
      <c r="M10669" s="4"/>
      <c r="N10669" s="3" t="s">
        <v>37</v>
      </c>
      <c r="O10669" s="3" t="s">
        <v>52</v>
      </c>
      <c r="P10669" s="5">
        <v>8</v>
      </c>
      <c r="Q10669" s="5">
        <v>58</v>
      </c>
      <c r="R10669" s="5">
        <v>7</v>
      </c>
      <c r="S10669" s="5">
        <v>54</v>
      </c>
    </row>
    <row r="10670" spans="1:19" ht="28" x14ac:dyDescent="0.15">
      <c r="A10670" s="2">
        <f>HYPERLINK("https://open-school.uspishnemisto.com.ua/school/530634/", 530634)</f>
        <v>530634</v>
      </c>
      <c r="B10670" s="3" t="s">
        <v>54032</v>
      </c>
      <c r="C10670" s="3" t="s">
        <v>31</v>
      </c>
      <c r="D10670" s="3" t="s">
        <v>175</v>
      </c>
      <c r="E10670" s="4" t="s">
        <v>22</v>
      </c>
      <c r="F10670" s="4" t="s">
        <v>54033</v>
      </c>
      <c r="G10670" s="4" t="s">
        <v>54034</v>
      </c>
      <c r="H10670" s="3" t="s">
        <v>50910</v>
      </c>
      <c r="I10670" s="3" t="s">
        <v>54035</v>
      </c>
      <c r="J10670" s="3" t="s">
        <v>54036</v>
      </c>
      <c r="K10670" s="3" t="s">
        <v>54037</v>
      </c>
      <c r="L10670" s="3"/>
      <c r="M10670" s="4"/>
      <c r="N10670" s="3" t="s">
        <v>37</v>
      </c>
      <c r="O10670" s="3" t="s">
        <v>70</v>
      </c>
      <c r="P10670" s="5">
        <v>4</v>
      </c>
      <c r="Q10670" s="5">
        <v>40</v>
      </c>
      <c r="R10670" s="5">
        <v>5</v>
      </c>
      <c r="S10670" s="5">
        <v>49</v>
      </c>
    </row>
    <row r="10671" spans="1:19" ht="28" x14ac:dyDescent="0.15">
      <c r="A10671" s="2">
        <f>HYPERLINK("https://open-school.uspishnemisto.com.ua/school/530635/", 530635)</f>
        <v>530635</v>
      </c>
      <c r="B10671" s="3" t="s">
        <v>54038</v>
      </c>
      <c r="C10671" s="3" t="s">
        <v>31</v>
      </c>
      <c r="D10671" s="3" t="s">
        <v>175</v>
      </c>
      <c r="E10671" s="4" t="s">
        <v>22</v>
      </c>
      <c r="F10671" s="4" t="s">
        <v>54039</v>
      </c>
      <c r="G10671" s="4" t="s">
        <v>54040</v>
      </c>
      <c r="H10671" s="3" t="s">
        <v>50910</v>
      </c>
      <c r="I10671" s="3" t="s">
        <v>54041</v>
      </c>
      <c r="J10671" s="3" t="s">
        <v>27991</v>
      </c>
      <c r="K10671" s="3" t="s">
        <v>54042</v>
      </c>
      <c r="L10671" s="3"/>
      <c r="M10671" s="4"/>
      <c r="N10671" s="3" t="s">
        <v>37</v>
      </c>
      <c r="O10671" s="3" t="s">
        <v>38</v>
      </c>
      <c r="P10671" s="5">
        <v>5</v>
      </c>
      <c r="Q10671" s="5">
        <v>44</v>
      </c>
      <c r="R10671" s="5">
        <v>5</v>
      </c>
      <c r="S10671" s="5">
        <v>46</v>
      </c>
    </row>
    <row r="10672" spans="1:19" ht="42" x14ac:dyDescent="0.15">
      <c r="A10672" s="2">
        <f>HYPERLINK("https://open-school.uspishnemisto.com.ua/school/530636/", 530636)</f>
        <v>530636</v>
      </c>
      <c r="B10672" s="3" t="s">
        <v>54043</v>
      </c>
      <c r="C10672" s="3" t="s">
        <v>31</v>
      </c>
      <c r="D10672" s="3" t="s">
        <v>32</v>
      </c>
      <c r="E10672" s="4" t="s">
        <v>22</v>
      </c>
      <c r="F10672" s="4" t="s">
        <v>54044</v>
      </c>
      <c r="G10672" s="4" t="s">
        <v>54045</v>
      </c>
      <c r="H10672" s="3" t="s">
        <v>50910</v>
      </c>
      <c r="I10672" s="3" t="s">
        <v>54046</v>
      </c>
      <c r="J10672" s="3" t="s">
        <v>33853</v>
      </c>
      <c r="K10672" s="3" t="s">
        <v>54047</v>
      </c>
      <c r="L10672" s="3"/>
      <c r="M10672" s="4"/>
      <c r="N10672" s="3" t="s">
        <v>37</v>
      </c>
      <c r="O10672" s="3" t="s">
        <v>38</v>
      </c>
      <c r="P10672" s="5">
        <v>11</v>
      </c>
      <c r="Q10672" s="5">
        <v>97</v>
      </c>
      <c r="R10672" s="5">
        <v>11</v>
      </c>
      <c r="S10672" s="5">
        <v>103</v>
      </c>
    </row>
    <row r="10673" spans="1:19" ht="28" x14ac:dyDescent="0.15">
      <c r="A10673" s="2">
        <f>HYPERLINK("https://open-school.uspishnemisto.com.ua/school/530637/", 530637)</f>
        <v>530637</v>
      </c>
      <c r="B10673" s="3" t="s">
        <v>54048</v>
      </c>
      <c r="C10673" s="3" t="s">
        <v>31</v>
      </c>
      <c r="D10673" s="3" t="s">
        <v>32</v>
      </c>
      <c r="E10673" s="4" t="s">
        <v>22</v>
      </c>
      <c r="F10673" s="4" t="s">
        <v>54049</v>
      </c>
      <c r="G10673" s="4" t="s">
        <v>54050</v>
      </c>
      <c r="H10673" s="3" t="s">
        <v>50910</v>
      </c>
      <c r="I10673" s="3" t="s">
        <v>54051</v>
      </c>
      <c r="J10673" s="3" t="s">
        <v>10957</v>
      </c>
      <c r="K10673" s="3" t="s">
        <v>54052</v>
      </c>
      <c r="L10673" s="3" t="s">
        <v>54053</v>
      </c>
      <c r="M10673" s="4"/>
      <c r="N10673" s="3" t="s">
        <v>37</v>
      </c>
      <c r="O10673" s="3" t="s">
        <v>70</v>
      </c>
      <c r="P10673" s="5">
        <v>11</v>
      </c>
      <c r="Q10673" s="5">
        <v>109</v>
      </c>
      <c r="R10673" s="5">
        <v>11</v>
      </c>
      <c r="S10673" s="5">
        <v>109</v>
      </c>
    </row>
    <row r="10674" spans="1:19" ht="28" x14ac:dyDescent="0.15">
      <c r="A10674" s="2">
        <f>HYPERLINK("https://open-school.uspishnemisto.com.ua/school/530638/", 530638)</f>
        <v>530638</v>
      </c>
      <c r="B10674" s="3" t="s">
        <v>54054</v>
      </c>
      <c r="C10674" s="3" t="s">
        <v>31</v>
      </c>
      <c r="D10674" s="3" t="s">
        <v>32</v>
      </c>
      <c r="E10674" s="4" t="s">
        <v>22</v>
      </c>
      <c r="F10674" s="4" t="s">
        <v>54055</v>
      </c>
      <c r="G10674" s="4" t="s">
        <v>54056</v>
      </c>
      <c r="H10674" s="3" t="s">
        <v>50910</v>
      </c>
      <c r="I10674" s="3" t="s">
        <v>54057</v>
      </c>
      <c r="J10674" s="3" t="s">
        <v>1588</v>
      </c>
      <c r="K10674" s="3" t="s">
        <v>54058</v>
      </c>
      <c r="L10674" s="3"/>
      <c r="M10674" s="4"/>
      <c r="N10674" s="3" t="s">
        <v>37</v>
      </c>
      <c r="O10674" s="3" t="s">
        <v>38</v>
      </c>
      <c r="P10674" s="5">
        <v>11</v>
      </c>
      <c r="Q10674" s="5">
        <v>125</v>
      </c>
      <c r="R10674" s="5">
        <v>11</v>
      </c>
      <c r="S10674" s="5">
        <v>128</v>
      </c>
    </row>
    <row r="10675" spans="1:19" ht="28" x14ac:dyDescent="0.15">
      <c r="A10675" s="2">
        <f>HYPERLINK("https://open-school.uspishnemisto.com.ua/school/530639/", 530639)</f>
        <v>530639</v>
      </c>
      <c r="B10675" s="3" t="s">
        <v>54059</v>
      </c>
      <c r="C10675" s="3" t="s">
        <v>31</v>
      </c>
      <c r="D10675" s="3" t="s">
        <v>60</v>
      </c>
      <c r="E10675" s="4" t="s">
        <v>22</v>
      </c>
      <c r="F10675" s="4" t="s">
        <v>54060</v>
      </c>
      <c r="G10675" s="4" t="s">
        <v>54061</v>
      </c>
      <c r="H10675" s="3" t="s">
        <v>50910</v>
      </c>
      <c r="I10675" s="3" t="s">
        <v>54062</v>
      </c>
      <c r="J10675" s="3" t="s">
        <v>946</v>
      </c>
      <c r="K10675" s="3" t="s">
        <v>54063</v>
      </c>
      <c r="L10675" s="3"/>
      <c r="M10675" s="4"/>
      <c r="N10675" s="3" t="s">
        <v>37</v>
      </c>
      <c r="O10675" s="3" t="s">
        <v>52</v>
      </c>
      <c r="P10675" s="5">
        <v>2</v>
      </c>
      <c r="Q10675" s="5">
        <v>15</v>
      </c>
      <c r="R10675" s="5">
        <v>3</v>
      </c>
      <c r="S10675" s="5">
        <v>23</v>
      </c>
    </row>
    <row r="10676" spans="1:19" ht="28" x14ac:dyDescent="0.15">
      <c r="A10676" s="2">
        <f>HYPERLINK("https://open-school.uspishnemisto.com.ua/school/530640/", 530640)</f>
        <v>530640</v>
      </c>
      <c r="B10676" s="3" t="s">
        <v>54064</v>
      </c>
      <c r="C10676" s="3" t="s">
        <v>31</v>
      </c>
      <c r="D10676" s="3" t="s">
        <v>32</v>
      </c>
      <c r="E10676" s="4" t="s">
        <v>22</v>
      </c>
      <c r="F10676" s="4" t="s">
        <v>54065</v>
      </c>
      <c r="G10676" s="4" t="s">
        <v>54066</v>
      </c>
      <c r="H10676" s="3" t="s">
        <v>50910</v>
      </c>
      <c r="I10676" s="3" t="s">
        <v>54067</v>
      </c>
      <c r="J10676" s="3" t="s">
        <v>11043</v>
      </c>
      <c r="K10676" s="3" t="s">
        <v>54068</v>
      </c>
      <c r="L10676" s="3"/>
      <c r="M10676" s="4"/>
      <c r="N10676" s="3" t="s">
        <v>37</v>
      </c>
      <c r="O10676" s="3" t="s">
        <v>38</v>
      </c>
      <c r="P10676" s="5">
        <v>19</v>
      </c>
      <c r="Q10676" s="5">
        <v>370</v>
      </c>
      <c r="R10676" s="5">
        <v>20</v>
      </c>
      <c r="S10676" s="5">
        <v>368</v>
      </c>
    </row>
    <row r="10677" spans="1:19" ht="56" x14ac:dyDescent="0.15">
      <c r="A10677" s="2">
        <f>HYPERLINK("https://open-school.uspishnemisto.com.ua/school/530641/", 530641)</f>
        <v>530641</v>
      </c>
      <c r="B10677" s="3" t="s">
        <v>54069</v>
      </c>
      <c r="C10677" s="3" t="s">
        <v>31</v>
      </c>
      <c r="D10677" s="3" t="s">
        <v>60</v>
      </c>
      <c r="E10677" s="4" t="s">
        <v>22</v>
      </c>
      <c r="F10677" s="4" t="s">
        <v>54070</v>
      </c>
      <c r="G10677" s="4" t="s">
        <v>54071</v>
      </c>
      <c r="H10677" s="3" t="s">
        <v>50910</v>
      </c>
      <c r="I10677" s="3" t="s">
        <v>3744</v>
      </c>
      <c r="J10677" s="3" t="s">
        <v>54072</v>
      </c>
      <c r="K10677" s="3" t="s">
        <v>54073</v>
      </c>
      <c r="L10677" s="3"/>
      <c r="M10677" s="4"/>
      <c r="N10677" s="3" t="s">
        <v>37</v>
      </c>
      <c r="O10677" s="3" t="s">
        <v>52</v>
      </c>
      <c r="P10677" s="5">
        <v>0</v>
      </c>
      <c r="Q10677" s="5">
        <v>11</v>
      </c>
      <c r="R10677" s="5">
        <v>0</v>
      </c>
      <c r="S10677" s="5">
        <v>20</v>
      </c>
    </row>
    <row r="10678" spans="1:19" ht="42" x14ac:dyDescent="0.15">
      <c r="A10678" s="2">
        <f>HYPERLINK("https://open-school.uspishnemisto.com.ua/school/530642/", 530642)</f>
        <v>530642</v>
      </c>
      <c r="B10678" s="3" t="s">
        <v>54074</v>
      </c>
      <c r="C10678" s="3" t="s">
        <v>54</v>
      </c>
      <c r="D10678" s="3" t="s">
        <v>32</v>
      </c>
      <c r="E10678" s="4" t="s">
        <v>22</v>
      </c>
      <c r="F10678" s="4" t="s">
        <v>54075</v>
      </c>
      <c r="G10678" s="4" t="s">
        <v>54076</v>
      </c>
      <c r="H10678" s="3" t="s">
        <v>50910</v>
      </c>
      <c r="I10678" s="3" t="s">
        <v>54077</v>
      </c>
      <c r="J10678" s="3" t="s">
        <v>54078</v>
      </c>
      <c r="K10678" s="3" t="s">
        <v>54079</v>
      </c>
      <c r="L10678" s="3"/>
      <c r="M10678" s="4"/>
      <c r="N10678" s="3" t="s">
        <v>37</v>
      </c>
      <c r="O10678" s="3" t="s">
        <v>52</v>
      </c>
      <c r="P10678" s="5">
        <v>11</v>
      </c>
      <c r="Q10678" s="5">
        <v>109</v>
      </c>
      <c r="R10678" s="5">
        <v>11</v>
      </c>
      <c r="S10678" s="5">
        <v>100</v>
      </c>
    </row>
    <row r="10679" spans="1:19" ht="28" x14ac:dyDescent="0.15">
      <c r="A10679" s="2">
        <f>HYPERLINK("https://open-school.uspishnemisto.com.ua/school/530643/", 530643)</f>
        <v>530643</v>
      </c>
      <c r="B10679" s="3" t="s">
        <v>54080</v>
      </c>
      <c r="C10679" s="3" t="s">
        <v>31</v>
      </c>
      <c r="D10679" s="3" t="s">
        <v>32</v>
      </c>
      <c r="E10679" s="4" t="s">
        <v>22</v>
      </c>
      <c r="F10679" s="4" t="s">
        <v>54081</v>
      </c>
      <c r="G10679" s="4" t="s">
        <v>54082</v>
      </c>
      <c r="H10679" s="3" t="s">
        <v>50910</v>
      </c>
      <c r="I10679" s="3" t="s">
        <v>54083</v>
      </c>
      <c r="J10679" s="3" t="s">
        <v>466</v>
      </c>
      <c r="K10679" s="3" t="s">
        <v>54084</v>
      </c>
      <c r="L10679" s="3"/>
      <c r="M10679" s="4"/>
      <c r="N10679" s="3" t="s">
        <v>37</v>
      </c>
      <c r="O10679" s="3" t="s">
        <v>46</v>
      </c>
      <c r="P10679" s="5">
        <v>10</v>
      </c>
      <c r="Q10679" s="5">
        <v>92</v>
      </c>
      <c r="R10679" s="5">
        <v>10</v>
      </c>
      <c r="S10679" s="5">
        <v>93</v>
      </c>
    </row>
    <row r="10680" spans="1:19" ht="42" x14ac:dyDescent="0.15">
      <c r="A10680" s="2">
        <f>HYPERLINK("https://open-school.uspishnemisto.com.ua/school/530644/", 530644)</f>
        <v>530644</v>
      </c>
      <c r="B10680" s="3" t="s">
        <v>54085</v>
      </c>
      <c r="C10680" s="3" t="s">
        <v>31</v>
      </c>
      <c r="D10680" s="3" t="s">
        <v>32</v>
      </c>
      <c r="E10680" s="4" t="s">
        <v>22</v>
      </c>
      <c r="F10680" s="4" t="s">
        <v>54086</v>
      </c>
      <c r="G10680" s="4" t="s">
        <v>54087</v>
      </c>
      <c r="H10680" s="3" t="s">
        <v>50910</v>
      </c>
      <c r="I10680" s="3" t="s">
        <v>54088</v>
      </c>
      <c r="J10680" s="3" t="s">
        <v>634</v>
      </c>
      <c r="K10680" s="3" t="s">
        <v>54089</v>
      </c>
      <c r="L10680" s="3" t="s">
        <v>54090</v>
      </c>
      <c r="M10680" s="4"/>
      <c r="N10680" s="3" t="s">
        <v>37</v>
      </c>
      <c r="O10680" s="3" t="s">
        <v>38</v>
      </c>
      <c r="P10680" s="5">
        <v>11</v>
      </c>
      <c r="Q10680" s="5">
        <v>134</v>
      </c>
      <c r="R10680" s="5">
        <v>10</v>
      </c>
      <c r="S10680" s="5">
        <v>127</v>
      </c>
    </row>
    <row r="10681" spans="1:19" ht="28" x14ac:dyDescent="0.15">
      <c r="A10681" s="2">
        <f>HYPERLINK("https://open-school.uspishnemisto.com.ua/school/530645/", 530645)</f>
        <v>530645</v>
      </c>
      <c r="B10681" s="3" t="s">
        <v>54091</v>
      </c>
      <c r="C10681" s="3" t="s">
        <v>31</v>
      </c>
      <c r="D10681" s="3" t="s">
        <v>175</v>
      </c>
      <c r="E10681" s="4" t="s">
        <v>22</v>
      </c>
      <c r="F10681" s="4" t="s">
        <v>54092</v>
      </c>
      <c r="G10681" s="4" t="s">
        <v>54093</v>
      </c>
      <c r="H10681" s="3" t="s">
        <v>50910</v>
      </c>
      <c r="I10681" s="3" t="s">
        <v>54094</v>
      </c>
      <c r="J10681" s="3" t="s">
        <v>54095</v>
      </c>
      <c r="K10681" s="3" t="s">
        <v>54096</v>
      </c>
      <c r="L10681" s="3"/>
      <c r="M10681" s="4"/>
      <c r="N10681" s="3" t="s">
        <v>37</v>
      </c>
      <c r="O10681" s="3" t="s">
        <v>46</v>
      </c>
      <c r="P10681" s="5">
        <v>5</v>
      </c>
      <c r="Q10681" s="5">
        <v>33</v>
      </c>
      <c r="R10681" s="5">
        <v>4</v>
      </c>
      <c r="S10681" s="5">
        <v>29</v>
      </c>
    </row>
    <row r="10682" spans="1:19" ht="56" x14ac:dyDescent="0.15">
      <c r="A10682" s="2">
        <f>HYPERLINK("https://open-school.uspishnemisto.com.ua/school/530646/", 530646)</f>
        <v>530646</v>
      </c>
      <c r="B10682" s="3" t="s">
        <v>54097</v>
      </c>
      <c r="C10682" s="3" t="s">
        <v>54</v>
      </c>
      <c r="D10682" s="3" t="s">
        <v>175</v>
      </c>
      <c r="E10682" s="4" t="s">
        <v>22</v>
      </c>
      <c r="F10682" s="4" t="s">
        <v>54098</v>
      </c>
      <c r="G10682" s="4" t="s">
        <v>54099</v>
      </c>
      <c r="H10682" s="3" t="s">
        <v>50910</v>
      </c>
      <c r="I10682" s="3" t="s">
        <v>54100</v>
      </c>
      <c r="J10682" s="3" t="s">
        <v>54101</v>
      </c>
      <c r="K10682" s="3" t="s">
        <v>54102</v>
      </c>
      <c r="L10682" s="3"/>
      <c r="M10682" s="4"/>
      <c r="N10682" s="3" t="s">
        <v>37</v>
      </c>
      <c r="O10682" s="3" t="s">
        <v>38</v>
      </c>
      <c r="P10682" s="5">
        <v>2</v>
      </c>
      <c r="Q10682" s="5">
        <v>27</v>
      </c>
      <c r="R10682" s="5">
        <v>4</v>
      </c>
      <c r="S10682" s="5">
        <v>31</v>
      </c>
    </row>
    <row r="10683" spans="1:19" ht="56" x14ac:dyDescent="0.15">
      <c r="A10683" s="2">
        <f>HYPERLINK("https://open-school.uspishnemisto.com.ua/school/530647/", 530647)</f>
        <v>530647</v>
      </c>
      <c r="B10683" s="3" t="s">
        <v>54103</v>
      </c>
      <c r="C10683" s="3" t="s">
        <v>54</v>
      </c>
      <c r="D10683" s="3" t="s">
        <v>32</v>
      </c>
      <c r="E10683" s="4" t="s">
        <v>22</v>
      </c>
      <c r="F10683" s="4" t="s">
        <v>54104</v>
      </c>
      <c r="G10683" s="4" t="s">
        <v>54105</v>
      </c>
      <c r="H10683" s="3" t="s">
        <v>50910</v>
      </c>
      <c r="I10683" s="3" t="s">
        <v>54106</v>
      </c>
      <c r="J10683" s="3" t="s">
        <v>2417</v>
      </c>
      <c r="K10683" s="3" t="s">
        <v>54107</v>
      </c>
      <c r="L10683" s="3"/>
      <c r="M10683" s="4"/>
      <c r="N10683" s="3" t="s">
        <v>37</v>
      </c>
      <c r="O10683" s="3" t="s">
        <v>46</v>
      </c>
      <c r="P10683" s="5">
        <v>9</v>
      </c>
      <c r="Q10683" s="5">
        <v>80</v>
      </c>
      <c r="R10683" s="5">
        <v>9</v>
      </c>
      <c r="S10683" s="5">
        <v>89</v>
      </c>
    </row>
    <row r="10684" spans="1:19" ht="28" x14ac:dyDescent="0.15">
      <c r="A10684" s="2">
        <f>HYPERLINK("https://open-school.uspishnemisto.com.ua/school/530648/", 530648)</f>
        <v>530648</v>
      </c>
      <c r="B10684" s="3" t="s">
        <v>54108</v>
      </c>
      <c r="C10684" s="3" t="s">
        <v>31</v>
      </c>
      <c r="D10684" s="3" t="s">
        <v>175</v>
      </c>
      <c r="E10684" s="4" t="s">
        <v>22</v>
      </c>
      <c r="F10684" s="4" t="s">
        <v>54065</v>
      </c>
      <c r="G10684" s="4" t="s">
        <v>54109</v>
      </c>
      <c r="H10684" s="3" t="s">
        <v>50910</v>
      </c>
      <c r="I10684" s="3" t="s">
        <v>54110</v>
      </c>
      <c r="J10684" s="3" t="s">
        <v>54111</v>
      </c>
      <c r="K10684" s="3" t="s">
        <v>54112</v>
      </c>
      <c r="L10684" s="3" t="s">
        <v>54113</v>
      </c>
      <c r="M10684" s="4"/>
      <c r="N10684" s="3" t="s">
        <v>37</v>
      </c>
      <c r="O10684" s="3" t="s">
        <v>46</v>
      </c>
      <c r="P10684" s="5">
        <v>5</v>
      </c>
      <c r="Q10684" s="5">
        <v>38</v>
      </c>
      <c r="R10684" s="5">
        <v>3</v>
      </c>
      <c r="S10684" s="5">
        <v>35</v>
      </c>
    </row>
    <row r="10685" spans="1:19" ht="56" x14ac:dyDescent="0.15">
      <c r="A10685" s="2">
        <f>HYPERLINK("https://open-school.uspishnemisto.com.ua/school/530649/", 530649)</f>
        <v>530649</v>
      </c>
      <c r="B10685" s="3" t="s">
        <v>54114</v>
      </c>
      <c r="C10685" s="3" t="s">
        <v>54</v>
      </c>
      <c r="D10685" s="3" t="s">
        <v>175</v>
      </c>
      <c r="E10685" s="4" t="s">
        <v>22</v>
      </c>
      <c r="F10685" s="4" t="s">
        <v>54065</v>
      </c>
      <c r="G10685" s="4" t="s">
        <v>54115</v>
      </c>
      <c r="H10685" s="3" t="s">
        <v>50910</v>
      </c>
      <c r="I10685" s="3" t="s">
        <v>54116</v>
      </c>
      <c r="J10685" s="3" t="s">
        <v>54117</v>
      </c>
      <c r="K10685" s="3" t="s">
        <v>54118</v>
      </c>
      <c r="L10685" s="3"/>
      <c r="M10685" s="4"/>
      <c r="N10685" s="3" t="s">
        <v>37</v>
      </c>
      <c r="O10685" s="3" t="s">
        <v>46</v>
      </c>
      <c r="P10685" s="5">
        <v>1</v>
      </c>
      <c r="Q10685" s="5">
        <v>16</v>
      </c>
      <c r="R10685" s="5">
        <v>3</v>
      </c>
      <c r="S10685" s="5">
        <v>25</v>
      </c>
    </row>
    <row r="10686" spans="1:19" ht="28" x14ac:dyDescent="0.15">
      <c r="A10686" s="2">
        <f>HYPERLINK("https://open-school.uspishnemisto.com.ua/school/530650/", 530650)</f>
        <v>530650</v>
      </c>
      <c r="B10686" s="3" t="s">
        <v>54119</v>
      </c>
      <c r="C10686" s="3" t="s">
        <v>31</v>
      </c>
      <c r="D10686" s="3" t="s">
        <v>32</v>
      </c>
      <c r="E10686" s="4" t="s">
        <v>22</v>
      </c>
      <c r="F10686" s="4" t="s">
        <v>54120</v>
      </c>
      <c r="G10686" s="4" t="s">
        <v>54121</v>
      </c>
      <c r="H10686" s="3" t="s">
        <v>50910</v>
      </c>
      <c r="I10686" s="3" t="s">
        <v>54122</v>
      </c>
      <c r="J10686" s="3" t="s">
        <v>297</v>
      </c>
      <c r="K10686" s="3"/>
      <c r="L10686" s="3"/>
      <c r="M10686" s="4"/>
      <c r="N10686" s="3" t="s">
        <v>37</v>
      </c>
      <c r="O10686" s="3" t="s">
        <v>38</v>
      </c>
      <c r="P10686" s="5">
        <v>32</v>
      </c>
      <c r="Q10686" s="5">
        <v>665</v>
      </c>
      <c r="R10686" s="5">
        <v>33</v>
      </c>
      <c r="S10686" s="5">
        <v>671</v>
      </c>
    </row>
    <row r="10687" spans="1:19" ht="42" x14ac:dyDescent="0.15">
      <c r="A10687" s="2">
        <f>HYPERLINK("https://open-school.uspishnemisto.com.ua/school/530651/", 530651)</f>
        <v>530651</v>
      </c>
      <c r="B10687" s="3" t="s">
        <v>54123</v>
      </c>
      <c r="C10687" s="3" t="s">
        <v>31</v>
      </c>
      <c r="D10687" s="3" t="s">
        <v>175</v>
      </c>
      <c r="E10687" s="4" t="s">
        <v>22</v>
      </c>
      <c r="F10687" s="4" t="s">
        <v>54124</v>
      </c>
      <c r="G10687" s="4" t="s">
        <v>54125</v>
      </c>
      <c r="H10687" s="3" t="s">
        <v>50910</v>
      </c>
      <c r="I10687" s="3" t="s">
        <v>11147</v>
      </c>
      <c r="J10687" s="3" t="s">
        <v>634</v>
      </c>
      <c r="K10687" s="3" t="s">
        <v>54126</v>
      </c>
      <c r="L10687" s="3"/>
      <c r="M10687" s="4"/>
      <c r="N10687" s="3"/>
      <c r="O10687" s="3"/>
      <c r="P10687" s="5">
        <v>0</v>
      </c>
      <c r="Q10687" s="5">
        <v>0</v>
      </c>
      <c r="R10687" s="5"/>
      <c r="S10687" s="5"/>
    </row>
    <row r="10688" spans="1:19" ht="56" x14ac:dyDescent="0.15">
      <c r="A10688" s="2">
        <f>HYPERLINK("https://open-school.uspishnemisto.com.ua/school/530652/", 530652)</f>
        <v>530652</v>
      </c>
      <c r="B10688" s="3" t="s">
        <v>54127</v>
      </c>
      <c r="C10688" s="3" t="s">
        <v>31</v>
      </c>
      <c r="D10688" s="3" t="s">
        <v>175</v>
      </c>
      <c r="E10688" s="4" t="s">
        <v>22</v>
      </c>
      <c r="F10688" s="4" t="s">
        <v>54128</v>
      </c>
      <c r="G10688" s="4" t="s">
        <v>54129</v>
      </c>
      <c r="H10688" s="3" t="s">
        <v>50910</v>
      </c>
      <c r="I10688" s="3" t="s">
        <v>26243</v>
      </c>
      <c r="J10688" s="3" t="s">
        <v>54130</v>
      </c>
      <c r="K10688" s="3" t="s">
        <v>54131</v>
      </c>
      <c r="L10688" s="3"/>
      <c r="M10688" s="4"/>
      <c r="N10688" s="3"/>
      <c r="O10688" s="3"/>
      <c r="P10688" s="5">
        <v>0</v>
      </c>
      <c r="Q10688" s="5">
        <v>0</v>
      </c>
      <c r="R10688" s="5"/>
      <c r="S10688" s="5"/>
    </row>
    <row r="10689" spans="1:19" ht="42" x14ac:dyDescent="0.15">
      <c r="A10689" s="2">
        <f>HYPERLINK("https://open-school.uspishnemisto.com.ua/school/530653/", 530653)</f>
        <v>530653</v>
      </c>
      <c r="B10689" s="3" t="s">
        <v>54132</v>
      </c>
      <c r="C10689" s="3" t="s">
        <v>31</v>
      </c>
      <c r="D10689" s="3" t="s">
        <v>32</v>
      </c>
      <c r="E10689" s="4" t="s">
        <v>22</v>
      </c>
      <c r="F10689" s="4" t="s">
        <v>54133</v>
      </c>
      <c r="G10689" s="4" t="s">
        <v>54134</v>
      </c>
      <c r="H10689" s="3" t="s">
        <v>50910</v>
      </c>
      <c r="I10689" s="3" t="s">
        <v>54135</v>
      </c>
      <c r="J10689" s="3" t="s">
        <v>2826</v>
      </c>
      <c r="K10689" s="3" t="s">
        <v>54136</v>
      </c>
      <c r="L10689" s="3" t="s">
        <v>54137</v>
      </c>
      <c r="M10689" s="4"/>
      <c r="N10689" s="3" t="s">
        <v>37</v>
      </c>
      <c r="O10689" s="3" t="s">
        <v>52</v>
      </c>
      <c r="P10689" s="5">
        <v>19</v>
      </c>
      <c r="Q10689" s="5">
        <v>413</v>
      </c>
      <c r="R10689" s="5">
        <v>19</v>
      </c>
      <c r="S10689" s="5">
        <v>403</v>
      </c>
    </row>
    <row r="10690" spans="1:19" ht="28" x14ac:dyDescent="0.15">
      <c r="A10690" s="2">
        <f>HYPERLINK("https://open-school.uspishnemisto.com.ua/school/530654/", 530654)</f>
        <v>530654</v>
      </c>
      <c r="B10690" s="3" t="s">
        <v>54138</v>
      </c>
      <c r="C10690" s="3" t="s">
        <v>31</v>
      </c>
      <c r="D10690" s="3" t="s">
        <v>32</v>
      </c>
      <c r="E10690" s="4" t="s">
        <v>22</v>
      </c>
      <c r="F10690" s="4" t="s">
        <v>54139</v>
      </c>
      <c r="G10690" s="4" t="s">
        <v>54140</v>
      </c>
      <c r="H10690" s="3" t="s">
        <v>50910</v>
      </c>
      <c r="I10690" s="3" t="s">
        <v>1500</v>
      </c>
      <c r="J10690" s="3" t="s">
        <v>664</v>
      </c>
      <c r="K10690" s="3" t="s">
        <v>54141</v>
      </c>
      <c r="L10690" s="3"/>
      <c r="M10690" s="4"/>
      <c r="N10690" s="3" t="s">
        <v>37</v>
      </c>
      <c r="O10690" s="3" t="s">
        <v>38</v>
      </c>
      <c r="P10690" s="5">
        <v>11</v>
      </c>
      <c r="Q10690" s="5">
        <v>102</v>
      </c>
      <c r="R10690" s="5">
        <v>11</v>
      </c>
      <c r="S10690" s="5">
        <v>96</v>
      </c>
    </row>
    <row r="10691" spans="1:19" ht="28" x14ac:dyDescent="0.15">
      <c r="A10691" s="2">
        <f>HYPERLINK("https://open-school.uspishnemisto.com.ua/school/530655/", 530655)</f>
        <v>530655</v>
      </c>
      <c r="B10691" s="3" t="s">
        <v>54142</v>
      </c>
      <c r="C10691" s="3" t="s">
        <v>31</v>
      </c>
      <c r="D10691" s="3" t="s">
        <v>32</v>
      </c>
      <c r="E10691" s="4" t="s">
        <v>22</v>
      </c>
      <c r="F10691" s="4" t="s">
        <v>54143</v>
      </c>
      <c r="G10691" s="4" t="s">
        <v>54144</v>
      </c>
      <c r="H10691" s="3" t="s">
        <v>50910</v>
      </c>
      <c r="I10691" s="3" t="s">
        <v>34769</v>
      </c>
      <c r="J10691" s="3" t="s">
        <v>54145</v>
      </c>
      <c r="K10691" s="3" t="s">
        <v>54146</v>
      </c>
      <c r="L10691" s="3"/>
      <c r="M10691" s="4"/>
      <c r="N10691" s="3" t="s">
        <v>37</v>
      </c>
      <c r="O10691" s="3" t="s">
        <v>70</v>
      </c>
      <c r="P10691" s="5">
        <v>10</v>
      </c>
      <c r="Q10691" s="5">
        <v>91</v>
      </c>
      <c r="R10691" s="5">
        <v>10</v>
      </c>
      <c r="S10691" s="5">
        <v>83</v>
      </c>
    </row>
    <row r="10692" spans="1:19" ht="28" x14ac:dyDescent="0.15">
      <c r="A10692" s="2">
        <f>HYPERLINK("https://open-school.uspishnemisto.com.ua/school/530656/", 530656)</f>
        <v>530656</v>
      </c>
      <c r="B10692" s="3" t="s">
        <v>54147</v>
      </c>
      <c r="C10692" s="3" t="s">
        <v>31</v>
      </c>
      <c r="D10692" s="3" t="s">
        <v>32</v>
      </c>
      <c r="E10692" s="4" t="s">
        <v>22</v>
      </c>
      <c r="F10692" s="4" t="s">
        <v>54148</v>
      </c>
      <c r="G10692" s="4" t="s">
        <v>54149</v>
      </c>
      <c r="H10692" s="3" t="s">
        <v>50910</v>
      </c>
      <c r="I10692" s="3" t="s">
        <v>54150</v>
      </c>
      <c r="J10692" s="3" t="s">
        <v>18747</v>
      </c>
      <c r="K10692" s="3" t="s">
        <v>54151</v>
      </c>
      <c r="L10692" s="3"/>
      <c r="M10692" s="4"/>
      <c r="N10692" s="3" t="s">
        <v>37</v>
      </c>
      <c r="O10692" s="3" t="s">
        <v>38</v>
      </c>
      <c r="P10692" s="5">
        <v>10</v>
      </c>
      <c r="Q10692" s="5">
        <v>76</v>
      </c>
      <c r="R10692" s="5">
        <v>9</v>
      </c>
      <c r="S10692" s="5">
        <v>77</v>
      </c>
    </row>
    <row r="10693" spans="1:19" ht="28" x14ac:dyDescent="0.15">
      <c r="A10693" s="2">
        <f>HYPERLINK("https://open-school.uspishnemisto.com.ua/school/530657/", 530657)</f>
        <v>530657</v>
      </c>
      <c r="B10693" s="3" t="s">
        <v>54152</v>
      </c>
      <c r="C10693" s="3" t="s">
        <v>31</v>
      </c>
      <c r="D10693" s="3" t="s">
        <v>60</v>
      </c>
      <c r="E10693" s="4" t="s">
        <v>22</v>
      </c>
      <c r="F10693" s="4" t="s">
        <v>54153</v>
      </c>
      <c r="G10693" s="4" t="s">
        <v>54154</v>
      </c>
      <c r="H10693" s="3" t="s">
        <v>50910</v>
      </c>
      <c r="I10693" s="3" t="s">
        <v>54155</v>
      </c>
      <c r="J10693" s="3" t="s">
        <v>54156</v>
      </c>
      <c r="K10693" s="3"/>
      <c r="L10693" s="3"/>
      <c r="M10693" s="4"/>
      <c r="N10693" s="3" t="s">
        <v>37</v>
      </c>
      <c r="O10693" s="3" t="s">
        <v>52</v>
      </c>
      <c r="P10693" s="5">
        <v>0</v>
      </c>
      <c r="Q10693" s="5">
        <v>0</v>
      </c>
      <c r="R10693" s="5">
        <v>0</v>
      </c>
      <c r="S10693" s="5">
        <v>6</v>
      </c>
    </row>
    <row r="10694" spans="1:19" ht="28" x14ac:dyDescent="0.15">
      <c r="A10694" s="2">
        <f>HYPERLINK("https://open-school.uspishnemisto.com.ua/school/530658/", 530658)</f>
        <v>530658</v>
      </c>
      <c r="B10694" s="3" t="s">
        <v>54157</v>
      </c>
      <c r="C10694" s="3" t="s">
        <v>31</v>
      </c>
      <c r="D10694" s="3" t="s">
        <v>32</v>
      </c>
      <c r="E10694" s="4" t="s">
        <v>22</v>
      </c>
      <c r="F10694" s="4" t="s">
        <v>54158</v>
      </c>
      <c r="G10694" s="4" t="s">
        <v>54159</v>
      </c>
      <c r="H10694" s="3" t="s">
        <v>50910</v>
      </c>
      <c r="I10694" s="3" t="s">
        <v>54160</v>
      </c>
      <c r="J10694" s="3" t="s">
        <v>30258</v>
      </c>
      <c r="K10694" s="3" t="s">
        <v>54161</v>
      </c>
      <c r="L10694" s="3"/>
      <c r="M10694" s="4"/>
      <c r="N10694" s="3" t="s">
        <v>37</v>
      </c>
      <c r="O10694" s="3" t="s">
        <v>70</v>
      </c>
      <c r="P10694" s="5">
        <v>9</v>
      </c>
      <c r="Q10694" s="5">
        <v>66</v>
      </c>
      <c r="R10694" s="5">
        <v>8</v>
      </c>
      <c r="S10694" s="5">
        <v>61</v>
      </c>
    </row>
    <row r="10695" spans="1:19" ht="42" x14ac:dyDescent="0.15">
      <c r="A10695" s="2">
        <f>HYPERLINK("https://open-school.uspishnemisto.com.ua/school/530659/", 530659)</f>
        <v>530659</v>
      </c>
      <c r="B10695" s="3" t="s">
        <v>54162</v>
      </c>
      <c r="C10695" s="3" t="s">
        <v>31</v>
      </c>
      <c r="D10695" s="3" t="s">
        <v>175</v>
      </c>
      <c r="E10695" s="4" t="s">
        <v>22</v>
      </c>
      <c r="F10695" s="4" t="s">
        <v>54163</v>
      </c>
      <c r="G10695" s="4" t="s">
        <v>54164</v>
      </c>
      <c r="H10695" s="3" t="s">
        <v>50910</v>
      </c>
      <c r="I10695" s="3" t="s">
        <v>36433</v>
      </c>
      <c r="J10695" s="3" t="s">
        <v>54165</v>
      </c>
      <c r="K10695" s="3" t="s">
        <v>54166</v>
      </c>
      <c r="L10695" s="3"/>
      <c r="M10695" s="4"/>
      <c r="N10695" s="3" t="s">
        <v>37</v>
      </c>
      <c r="O10695" s="3" t="s">
        <v>70</v>
      </c>
      <c r="P10695" s="5">
        <v>6</v>
      </c>
      <c r="Q10695" s="5">
        <v>40</v>
      </c>
      <c r="R10695" s="5">
        <v>6</v>
      </c>
      <c r="S10695" s="5">
        <v>38</v>
      </c>
    </row>
    <row r="10696" spans="1:19" ht="28" x14ac:dyDescent="0.15">
      <c r="A10696" s="2">
        <f>HYPERLINK("https://open-school.uspishnemisto.com.ua/school/530660/", 530660)</f>
        <v>530660</v>
      </c>
      <c r="B10696" s="3" t="s">
        <v>54167</v>
      </c>
      <c r="C10696" s="3" t="s">
        <v>31</v>
      </c>
      <c r="D10696" s="3" t="s">
        <v>32</v>
      </c>
      <c r="E10696" s="4" t="s">
        <v>22</v>
      </c>
      <c r="F10696" s="4" t="s">
        <v>54168</v>
      </c>
      <c r="G10696" s="4" t="s">
        <v>54169</v>
      </c>
      <c r="H10696" s="3" t="s">
        <v>50910</v>
      </c>
      <c r="I10696" s="3" t="s">
        <v>54170</v>
      </c>
      <c r="J10696" s="3" t="s">
        <v>54171</v>
      </c>
      <c r="K10696" s="3" t="s">
        <v>54172</v>
      </c>
      <c r="L10696" s="3" t="s">
        <v>54173</v>
      </c>
      <c r="M10696" s="4"/>
      <c r="N10696" s="3" t="s">
        <v>37</v>
      </c>
      <c r="O10696" s="3" t="s">
        <v>38</v>
      </c>
      <c r="P10696" s="5">
        <v>10</v>
      </c>
      <c r="Q10696" s="5">
        <v>126</v>
      </c>
      <c r="R10696" s="5">
        <v>10</v>
      </c>
      <c r="S10696" s="5">
        <v>116</v>
      </c>
    </row>
    <row r="10697" spans="1:19" ht="28" x14ac:dyDescent="0.15">
      <c r="A10697" s="2">
        <f>HYPERLINK("https://open-school.uspishnemisto.com.ua/school/530661/", 530661)</f>
        <v>530661</v>
      </c>
      <c r="B10697" s="3" t="s">
        <v>54174</v>
      </c>
      <c r="C10697" s="3" t="s">
        <v>31</v>
      </c>
      <c r="D10697" s="3" t="s">
        <v>175</v>
      </c>
      <c r="E10697" s="4" t="s">
        <v>22</v>
      </c>
      <c r="F10697" s="4" t="s">
        <v>54175</v>
      </c>
      <c r="G10697" s="4" t="s">
        <v>54176</v>
      </c>
      <c r="H10697" s="3" t="s">
        <v>50910</v>
      </c>
      <c r="I10697" s="3" t="s">
        <v>54177</v>
      </c>
      <c r="J10697" s="3" t="s">
        <v>54178</v>
      </c>
      <c r="K10697" s="3" t="s">
        <v>54179</v>
      </c>
      <c r="L10697" s="3"/>
      <c r="M10697" s="4"/>
      <c r="N10697" s="3" t="s">
        <v>37</v>
      </c>
      <c r="O10697" s="3" t="s">
        <v>112</v>
      </c>
      <c r="P10697" s="5">
        <v>8</v>
      </c>
      <c r="Q10697" s="5">
        <v>62</v>
      </c>
      <c r="R10697" s="5">
        <v>8</v>
      </c>
      <c r="S10697" s="5">
        <v>59</v>
      </c>
    </row>
    <row r="10698" spans="1:19" ht="28" x14ac:dyDescent="0.15">
      <c r="A10698" s="2">
        <f>HYPERLINK("https://open-school.uspishnemisto.com.ua/school/530662/", 530662)</f>
        <v>530662</v>
      </c>
      <c r="B10698" s="3" t="s">
        <v>54180</v>
      </c>
      <c r="C10698" s="3" t="s">
        <v>31</v>
      </c>
      <c r="D10698" s="3" t="s">
        <v>175</v>
      </c>
      <c r="E10698" s="4" t="s">
        <v>22</v>
      </c>
      <c r="F10698" s="4"/>
      <c r="G10698" s="4" t="s">
        <v>54181</v>
      </c>
      <c r="H10698" s="3" t="s">
        <v>50910</v>
      </c>
      <c r="I10698" s="3" t="s">
        <v>54182</v>
      </c>
      <c r="J10698" s="3" t="s">
        <v>54183</v>
      </c>
      <c r="K10698" s="3" t="s">
        <v>54184</v>
      </c>
      <c r="L10698" s="3"/>
      <c r="M10698" s="4"/>
      <c r="N10698" s="3" t="s">
        <v>37</v>
      </c>
      <c r="O10698" s="3" t="s">
        <v>38</v>
      </c>
      <c r="P10698" s="5">
        <v>9</v>
      </c>
      <c r="Q10698" s="5">
        <v>70</v>
      </c>
      <c r="R10698" s="5">
        <v>9</v>
      </c>
      <c r="S10698" s="5">
        <v>74</v>
      </c>
    </row>
    <row r="10699" spans="1:19" ht="28" x14ac:dyDescent="0.15">
      <c r="A10699" s="2">
        <f>HYPERLINK("https://open-school.uspishnemisto.com.ua/school/530664/", 530664)</f>
        <v>530664</v>
      </c>
      <c r="B10699" s="3" t="s">
        <v>54185</v>
      </c>
      <c r="C10699" s="3" t="s">
        <v>31</v>
      </c>
      <c r="D10699" s="3" t="s">
        <v>32</v>
      </c>
      <c r="E10699" s="4" t="s">
        <v>22</v>
      </c>
      <c r="F10699" s="4" t="s">
        <v>54186</v>
      </c>
      <c r="G10699" s="4" t="s">
        <v>54187</v>
      </c>
      <c r="H10699" s="3" t="s">
        <v>50910</v>
      </c>
      <c r="I10699" s="3" t="s">
        <v>54188</v>
      </c>
      <c r="J10699" s="3" t="s">
        <v>1668</v>
      </c>
      <c r="K10699" s="3" t="s">
        <v>54189</v>
      </c>
      <c r="L10699" s="3"/>
      <c r="M10699" s="4"/>
      <c r="N10699" s="3" t="s">
        <v>37</v>
      </c>
      <c r="O10699" s="3" t="s">
        <v>38</v>
      </c>
      <c r="P10699" s="5">
        <v>11</v>
      </c>
      <c r="Q10699" s="5">
        <v>155</v>
      </c>
      <c r="R10699" s="5">
        <v>11</v>
      </c>
      <c r="S10699" s="5">
        <v>167</v>
      </c>
    </row>
    <row r="10700" spans="1:19" ht="28" x14ac:dyDescent="0.15">
      <c r="A10700" s="2">
        <f>HYPERLINK("https://open-school.uspishnemisto.com.ua/school/530665/", 530665)</f>
        <v>530665</v>
      </c>
      <c r="B10700" s="3" t="s">
        <v>54190</v>
      </c>
      <c r="C10700" s="3" t="s">
        <v>31</v>
      </c>
      <c r="D10700" s="3" t="s">
        <v>32</v>
      </c>
      <c r="E10700" s="4" t="s">
        <v>22</v>
      </c>
      <c r="F10700" s="4" t="s">
        <v>54191</v>
      </c>
      <c r="G10700" s="4" t="s">
        <v>54192</v>
      </c>
      <c r="H10700" s="3" t="s">
        <v>50910</v>
      </c>
      <c r="I10700" s="3" t="s">
        <v>12478</v>
      </c>
      <c r="J10700" s="3" t="s">
        <v>761</v>
      </c>
      <c r="K10700" s="3" t="s">
        <v>54193</v>
      </c>
      <c r="L10700" s="3" t="s">
        <v>54194</v>
      </c>
      <c r="M10700" s="4"/>
      <c r="N10700" s="3" t="s">
        <v>37</v>
      </c>
      <c r="O10700" s="3" t="s">
        <v>38</v>
      </c>
      <c r="P10700" s="5">
        <v>11</v>
      </c>
      <c r="Q10700" s="5">
        <v>127</v>
      </c>
      <c r="R10700" s="5">
        <v>11</v>
      </c>
      <c r="S10700" s="5">
        <v>124</v>
      </c>
    </row>
    <row r="10701" spans="1:19" ht="28" x14ac:dyDescent="0.15">
      <c r="A10701" s="2">
        <f>HYPERLINK("https://open-school.uspishnemisto.com.ua/school/530666/", 530666)</f>
        <v>530666</v>
      </c>
      <c r="B10701" s="3" t="s">
        <v>54195</v>
      </c>
      <c r="C10701" s="3" t="s">
        <v>31</v>
      </c>
      <c r="D10701" s="3" t="s">
        <v>175</v>
      </c>
      <c r="E10701" s="4" t="s">
        <v>22</v>
      </c>
      <c r="F10701" s="4" t="s">
        <v>54196</v>
      </c>
      <c r="G10701" s="4" t="s">
        <v>54197</v>
      </c>
      <c r="H10701" s="3" t="s">
        <v>50910</v>
      </c>
      <c r="I10701" s="3" t="s">
        <v>54198</v>
      </c>
      <c r="J10701" s="3" t="s">
        <v>10823</v>
      </c>
      <c r="K10701" s="3" t="s">
        <v>54199</v>
      </c>
      <c r="L10701" s="3"/>
      <c r="M10701" s="4"/>
      <c r="N10701" s="3" t="s">
        <v>37</v>
      </c>
      <c r="O10701" s="3" t="s">
        <v>38</v>
      </c>
      <c r="P10701" s="5">
        <v>6</v>
      </c>
      <c r="Q10701" s="5">
        <v>54</v>
      </c>
      <c r="R10701" s="5">
        <v>6</v>
      </c>
      <c r="S10701" s="5">
        <v>57</v>
      </c>
    </row>
    <row r="10702" spans="1:19" ht="28" x14ac:dyDescent="0.15">
      <c r="A10702" s="2">
        <f>HYPERLINK("https://open-school.uspishnemisto.com.ua/school/530667/", 530667)</f>
        <v>530667</v>
      </c>
      <c r="B10702" s="3" t="s">
        <v>54200</v>
      </c>
      <c r="C10702" s="3" t="s">
        <v>31</v>
      </c>
      <c r="D10702" s="3" t="s">
        <v>32</v>
      </c>
      <c r="E10702" s="4" t="s">
        <v>22</v>
      </c>
      <c r="F10702" s="4" t="s">
        <v>54201</v>
      </c>
      <c r="G10702" s="4" t="s">
        <v>54202</v>
      </c>
      <c r="H10702" s="3" t="s">
        <v>50910</v>
      </c>
      <c r="I10702" s="3" t="s">
        <v>54203</v>
      </c>
      <c r="J10702" s="3" t="s">
        <v>2191</v>
      </c>
      <c r="K10702" s="3" t="s">
        <v>54204</v>
      </c>
      <c r="L10702" s="3"/>
      <c r="M10702" s="4"/>
      <c r="N10702" s="3" t="s">
        <v>37</v>
      </c>
      <c r="O10702" s="3" t="s">
        <v>38</v>
      </c>
      <c r="P10702" s="5">
        <v>10</v>
      </c>
      <c r="Q10702" s="5">
        <v>95</v>
      </c>
      <c r="R10702" s="5">
        <v>10</v>
      </c>
      <c r="S10702" s="5">
        <v>91</v>
      </c>
    </row>
    <row r="10703" spans="1:19" ht="28" x14ac:dyDescent="0.15">
      <c r="A10703" s="2">
        <f>HYPERLINK("https://open-school.uspishnemisto.com.ua/school/530668/", 530668)</f>
        <v>530668</v>
      </c>
      <c r="B10703" s="3" t="s">
        <v>54205</v>
      </c>
      <c r="C10703" s="3" t="s">
        <v>20356</v>
      </c>
      <c r="D10703" s="3" t="s">
        <v>32</v>
      </c>
      <c r="E10703" s="4" t="s">
        <v>22</v>
      </c>
      <c r="F10703" s="4" t="s">
        <v>54206</v>
      </c>
      <c r="G10703" s="4" t="s">
        <v>54207</v>
      </c>
      <c r="H10703" s="3" t="s">
        <v>50910</v>
      </c>
      <c r="I10703" s="3" t="s">
        <v>54046</v>
      </c>
      <c r="J10703" s="3" t="s">
        <v>54208</v>
      </c>
      <c r="K10703" s="3" t="s">
        <v>54209</v>
      </c>
      <c r="L10703" s="3"/>
      <c r="M10703" s="4" t="s">
        <v>54210</v>
      </c>
      <c r="N10703" s="3" t="s">
        <v>37</v>
      </c>
      <c r="O10703" s="3" t="s">
        <v>70</v>
      </c>
      <c r="P10703" s="5">
        <v>14</v>
      </c>
      <c r="Q10703" s="5">
        <v>347</v>
      </c>
      <c r="R10703" s="5">
        <v>14</v>
      </c>
      <c r="S10703" s="5">
        <v>352</v>
      </c>
    </row>
    <row r="10704" spans="1:19" ht="28" x14ac:dyDescent="0.15">
      <c r="A10704" s="2">
        <f>HYPERLINK("https://open-school.uspishnemisto.com.ua/school/530669/", 530669)</f>
        <v>530669</v>
      </c>
      <c r="B10704" s="3" t="s">
        <v>54211</v>
      </c>
      <c r="C10704" s="3" t="s">
        <v>244</v>
      </c>
      <c r="D10704" s="3" t="s">
        <v>32</v>
      </c>
      <c r="E10704" s="4" t="s">
        <v>22</v>
      </c>
      <c r="F10704" s="4" t="s">
        <v>54206</v>
      </c>
      <c r="G10704" s="4" t="s">
        <v>54207</v>
      </c>
      <c r="H10704" s="3" t="s">
        <v>50910</v>
      </c>
      <c r="I10704" s="3" t="s">
        <v>54046</v>
      </c>
      <c r="J10704" s="3" t="s">
        <v>54212</v>
      </c>
      <c r="K10704" s="3" t="s">
        <v>54213</v>
      </c>
      <c r="L10704" s="3" t="s">
        <v>54214</v>
      </c>
      <c r="M10704" s="4" t="s">
        <v>54215</v>
      </c>
      <c r="N10704" s="3" t="s">
        <v>37</v>
      </c>
      <c r="O10704" s="3" t="s">
        <v>70</v>
      </c>
      <c r="P10704" s="5">
        <v>45</v>
      </c>
      <c r="Q10704" s="5">
        <v>576</v>
      </c>
      <c r="R10704" s="5">
        <v>43</v>
      </c>
      <c r="S10704" s="5">
        <v>563</v>
      </c>
    </row>
    <row r="10705" spans="1:19" ht="56" x14ac:dyDescent="0.15">
      <c r="A10705" s="2">
        <f>HYPERLINK("https://open-school.uspishnemisto.com.ua/school/530670/", 530670)</f>
        <v>530670</v>
      </c>
      <c r="B10705" s="3" t="s">
        <v>54216</v>
      </c>
      <c r="C10705" s="3" t="s">
        <v>31</v>
      </c>
      <c r="D10705" s="3" t="s">
        <v>175</v>
      </c>
      <c r="E10705" s="4" t="s">
        <v>22</v>
      </c>
      <c r="F10705" s="4" t="s">
        <v>54217</v>
      </c>
      <c r="G10705" s="4" t="s">
        <v>54218</v>
      </c>
      <c r="H10705" s="3" t="s">
        <v>50910</v>
      </c>
      <c r="I10705" s="3" t="s">
        <v>16806</v>
      </c>
      <c r="J10705" s="3" t="s">
        <v>3440</v>
      </c>
      <c r="K10705" s="3" t="s">
        <v>54219</v>
      </c>
      <c r="L10705" s="3"/>
      <c r="M10705" s="4"/>
      <c r="N10705" s="3"/>
      <c r="O10705" s="3"/>
      <c r="P10705" s="5">
        <v>0</v>
      </c>
      <c r="Q10705" s="5">
        <v>0</v>
      </c>
      <c r="R10705" s="5"/>
      <c r="S10705" s="5"/>
    </row>
    <row r="10706" spans="1:19" ht="56" x14ac:dyDescent="0.15">
      <c r="A10706" s="2">
        <f>HYPERLINK("https://open-school.uspishnemisto.com.ua/school/530671/", 530671)</f>
        <v>530671</v>
      </c>
      <c r="B10706" s="3" t="s">
        <v>54220</v>
      </c>
      <c r="C10706" s="3" t="s">
        <v>54</v>
      </c>
      <c r="D10706" s="3" t="s">
        <v>32</v>
      </c>
      <c r="E10706" s="4" t="s">
        <v>22</v>
      </c>
      <c r="F10706" s="4" t="s">
        <v>54221</v>
      </c>
      <c r="G10706" s="4" t="s">
        <v>54222</v>
      </c>
      <c r="H10706" s="3" t="s">
        <v>50910</v>
      </c>
      <c r="I10706" s="3" t="s">
        <v>54223</v>
      </c>
      <c r="J10706" s="3" t="s">
        <v>6432</v>
      </c>
      <c r="K10706" s="3" t="s">
        <v>54224</v>
      </c>
      <c r="L10706" s="3"/>
      <c r="M10706" s="4"/>
      <c r="N10706" s="3" t="s">
        <v>37</v>
      </c>
      <c r="O10706" s="3" t="s">
        <v>52</v>
      </c>
      <c r="P10706" s="5">
        <v>11</v>
      </c>
      <c r="Q10706" s="5">
        <v>106</v>
      </c>
      <c r="R10706" s="5">
        <v>11</v>
      </c>
      <c r="S10706" s="5">
        <v>107</v>
      </c>
    </row>
    <row r="10707" spans="1:19" ht="28" x14ac:dyDescent="0.15">
      <c r="A10707" s="2">
        <f>HYPERLINK("https://open-school.uspishnemisto.com.ua/school/530672/", 530672)</f>
        <v>530672</v>
      </c>
      <c r="B10707" s="3" t="s">
        <v>54225</v>
      </c>
      <c r="C10707" s="3" t="s">
        <v>31</v>
      </c>
      <c r="D10707" s="3" t="s">
        <v>175</v>
      </c>
      <c r="E10707" s="4" t="s">
        <v>22</v>
      </c>
      <c r="F10707" s="4" t="s">
        <v>54226</v>
      </c>
      <c r="G10707" s="4" t="s">
        <v>54227</v>
      </c>
      <c r="H10707" s="3" t="s">
        <v>50910</v>
      </c>
      <c r="I10707" s="3" t="s">
        <v>54228</v>
      </c>
      <c r="J10707" s="3" t="s">
        <v>54229</v>
      </c>
      <c r="K10707" s="3" t="s">
        <v>54230</v>
      </c>
      <c r="L10707" s="3"/>
      <c r="M10707" s="4"/>
      <c r="N10707" s="3"/>
      <c r="O10707" s="3"/>
      <c r="P10707" s="5">
        <v>0</v>
      </c>
      <c r="Q10707" s="5">
        <v>0</v>
      </c>
      <c r="R10707" s="5"/>
      <c r="S10707" s="5"/>
    </row>
    <row r="10708" spans="1:19" ht="28" x14ac:dyDescent="0.15">
      <c r="A10708" s="2">
        <f>HYPERLINK("https://open-school.uspishnemisto.com.ua/school/530673/", 530673)</f>
        <v>530673</v>
      </c>
      <c r="B10708" s="3" t="s">
        <v>54231</v>
      </c>
      <c r="C10708" s="3" t="s">
        <v>31</v>
      </c>
      <c r="D10708" s="3" t="s">
        <v>32</v>
      </c>
      <c r="E10708" s="4" t="s">
        <v>22</v>
      </c>
      <c r="F10708" s="4" t="s">
        <v>54232</v>
      </c>
      <c r="G10708" s="4" t="s">
        <v>54233</v>
      </c>
      <c r="H10708" s="3" t="s">
        <v>50910</v>
      </c>
      <c r="I10708" s="3" t="s">
        <v>54234</v>
      </c>
      <c r="J10708" s="3" t="s">
        <v>1792</v>
      </c>
      <c r="K10708" s="3"/>
      <c r="L10708" s="3"/>
      <c r="M10708" s="4"/>
      <c r="N10708" s="3" t="s">
        <v>37</v>
      </c>
      <c r="O10708" s="3" t="s">
        <v>52</v>
      </c>
      <c r="P10708" s="5">
        <v>11</v>
      </c>
      <c r="Q10708" s="5">
        <v>167</v>
      </c>
      <c r="R10708" s="5">
        <v>11</v>
      </c>
      <c r="S10708" s="5">
        <v>172</v>
      </c>
    </row>
    <row r="10709" spans="1:19" ht="28" x14ac:dyDescent="0.15">
      <c r="A10709" s="2">
        <f>HYPERLINK("https://open-school.uspishnemisto.com.ua/school/530674/", 530674)</f>
        <v>530674</v>
      </c>
      <c r="B10709" s="3" t="s">
        <v>54235</v>
      </c>
      <c r="C10709" s="3" t="s">
        <v>31</v>
      </c>
      <c r="D10709" s="3" t="s">
        <v>32</v>
      </c>
      <c r="E10709" s="4" t="s">
        <v>22</v>
      </c>
      <c r="F10709" s="4" t="s">
        <v>54236</v>
      </c>
      <c r="G10709" s="4" t="s">
        <v>54237</v>
      </c>
      <c r="H10709" s="3" t="s">
        <v>50910</v>
      </c>
      <c r="I10709" s="3" t="s">
        <v>51483</v>
      </c>
      <c r="J10709" s="3" t="s">
        <v>54238</v>
      </c>
      <c r="K10709" s="3" t="s">
        <v>54239</v>
      </c>
      <c r="L10709" s="3" t="s">
        <v>54240</v>
      </c>
      <c r="M10709" s="4"/>
      <c r="N10709" s="3" t="s">
        <v>37</v>
      </c>
      <c r="O10709" s="3" t="s">
        <v>46</v>
      </c>
      <c r="P10709" s="5">
        <v>11</v>
      </c>
      <c r="Q10709" s="5">
        <v>102</v>
      </c>
      <c r="R10709" s="5">
        <v>11</v>
      </c>
      <c r="S10709" s="5">
        <v>106</v>
      </c>
    </row>
    <row r="10710" spans="1:19" ht="28" x14ac:dyDescent="0.15">
      <c r="A10710" s="2">
        <f>HYPERLINK("https://open-school.uspishnemisto.com.ua/school/530675/", 530675)</f>
        <v>530675</v>
      </c>
      <c r="B10710" s="3" t="s">
        <v>54241</v>
      </c>
      <c r="C10710" s="3" t="s">
        <v>31</v>
      </c>
      <c r="D10710" s="3" t="s">
        <v>32</v>
      </c>
      <c r="E10710" s="4" t="s">
        <v>22</v>
      </c>
      <c r="F10710" s="4" t="s">
        <v>54242</v>
      </c>
      <c r="G10710" s="4" t="s">
        <v>54243</v>
      </c>
      <c r="H10710" s="3" t="s">
        <v>50910</v>
      </c>
      <c r="I10710" s="3" t="s">
        <v>54244</v>
      </c>
      <c r="J10710" s="3" t="s">
        <v>48154</v>
      </c>
      <c r="K10710" s="3" t="s">
        <v>54245</v>
      </c>
      <c r="L10710" s="3" t="s">
        <v>54246</v>
      </c>
      <c r="M10710" s="4"/>
      <c r="N10710" s="3" t="s">
        <v>37</v>
      </c>
      <c r="O10710" s="3" t="s">
        <v>70</v>
      </c>
      <c r="P10710" s="5">
        <v>10</v>
      </c>
      <c r="Q10710" s="5">
        <v>77</v>
      </c>
      <c r="R10710" s="5">
        <v>10</v>
      </c>
      <c r="S10710" s="5">
        <v>77</v>
      </c>
    </row>
    <row r="10711" spans="1:19" ht="28" x14ac:dyDescent="0.15">
      <c r="A10711" s="2">
        <f>HYPERLINK("https://open-school.uspishnemisto.com.ua/school/530676/", 530676)</f>
        <v>530676</v>
      </c>
      <c r="B10711" s="3" t="s">
        <v>54247</v>
      </c>
      <c r="C10711" s="3" t="s">
        <v>31</v>
      </c>
      <c r="D10711" s="3" t="s">
        <v>32</v>
      </c>
      <c r="E10711" s="4" t="s">
        <v>22</v>
      </c>
      <c r="F10711" s="4" t="s">
        <v>51829</v>
      </c>
      <c r="G10711" s="4" t="s">
        <v>54248</v>
      </c>
      <c r="H10711" s="3" t="s">
        <v>50910</v>
      </c>
      <c r="I10711" s="3" t="s">
        <v>2857</v>
      </c>
      <c r="J10711" s="3" t="s">
        <v>634</v>
      </c>
      <c r="K10711" s="3" t="s">
        <v>54249</v>
      </c>
      <c r="L10711" s="3"/>
      <c r="M10711" s="4"/>
      <c r="N10711" s="3" t="s">
        <v>37</v>
      </c>
      <c r="O10711" s="3" t="s">
        <v>46</v>
      </c>
      <c r="P10711" s="5">
        <v>7</v>
      </c>
      <c r="Q10711" s="5">
        <v>57</v>
      </c>
      <c r="R10711" s="5">
        <v>9</v>
      </c>
      <c r="S10711" s="5">
        <v>60</v>
      </c>
    </row>
    <row r="10712" spans="1:19" ht="28" x14ac:dyDescent="0.15">
      <c r="A10712" s="2">
        <f>HYPERLINK("https://open-school.uspishnemisto.com.ua/school/530677/", 530677)</f>
        <v>530677</v>
      </c>
      <c r="B10712" s="3" t="s">
        <v>54250</v>
      </c>
      <c r="C10712" s="3" t="s">
        <v>31</v>
      </c>
      <c r="D10712" s="3" t="s">
        <v>60</v>
      </c>
      <c r="E10712" s="4" t="s">
        <v>22</v>
      </c>
      <c r="F10712" s="4" t="s">
        <v>54251</v>
      </c>
      <c r="G10712" s="4" t="s">
        <v>54252</v>
      </c>
      <c r="H10712" s="3" t="s">
        <v>50910</v>
      </c>
      <c r="I10712" s="3" t="s">
        <v>12001</v>
      </c>
      <c r="J10712" s="3" t="s">
        <v>54253</v>
      </c>
      <c r="K10712" s="3" t="s">
        <v>54254</v>
      </c>
      <c r="L10712" s="3"/>
      <c r="M10712" s="4"/>
      <c r="N10712" s="3" t="s">
        <v>37</v>
      </c>
      <c r="O10712" s="3" t="s">
        <v>52</v>
      </c>
      <c r="P10712" s="5">
        <v>0</v>
      </c>
      <c r="Q10712" s="5">
        <v>13</v>
      </c>
      <c r="R10712" s="5">
        <v>1</v>
      </c>
      <c r="S10712" s="5">
        <v>14</v>
      </c>
    </row>
    <row r="10713" spans="1:19" ht="42" x14ac:dyDescent="0.15">
      <c r="A10713" s="2">
        <f>HYPERLINK("https://open-school.uspishnemisto.com.ua/school/530678/", 530678)</f>
        <v>530678</v>
      </c>
      <c r="B10713" s="3" t="s">
        <v>54255</v>
      </c>
      <c r="C10713" s="3" t="s">
        <v>31</v>
      </c>
      <c r="D10713" s="3" t="s">
        <v>175</v>
      </c>
      <c r="E10713" s="4" t="s">
        <v>22</v>
      </c>
      <c r="F10713" s="4" t="s">
        <v>54256</v>
      </c>
      <c r="G10713" s="4" t="s">
        <v>54257</v>
      </c>
      <c r="H10713" s="3" t="s">
        <v>50910</v>
      </c>
      <c r="I10713" s="3" t="s">
        <v>54258</v>
      </c>
      <c r="J10713" s="3" t="s">
        <v>7704</v>
      </c>
      <c r="K10713" s="3" t="s">
        <v>54259</v>
      </c>
      <c r="L10713" s="3"/>
      <c r="M10713" s="4"/>
      <c r="N10713" s="3"/>
      <c r="O10713" s="3"/>
      <c r="P10713" s="5">
        <v>0</v>
      </c>
      <c r="Q10713" s="5">
        <v>0</v>
      </c>
      <c r="R10713" s="5"/>
      <c r="S10713" s="5"/>
    </row>
    <row r="10714" spans="1:19" ht="56" x14ac:dyDescent="0.15">
      <c r="A10714" s="2">
        <f>HYPERLINK("https://open-school.uspishnemisto.com.ua/school/530679/", 530679)</f>
        <v>530679</v>
      </c>
      <c r="B10714" s="3" t="s">
        <v>54260</v>
      </c>
      <c r="C10714" s="3" t="s">
        <v>54</v>
      </c>
      <c r="D10714" s="3" t="s">
        <v>32</v>
      </c>
      <c r="E10714" s="4" t="s">
        <v>22</v>
      </c>
      <c r="F10714" s="4" t="s">
        <v>54261</v>
      </c>
      <c r="G10714" s="4" t="s">
        <v>54262</v>
      </c>
      <c r="H10714" s="3" t="s">
        <v>50910</v>
      </c>
      <c r="I10714" s="3" t="s">
        <v>54263</v>
      </c>
      <c r="J10714" s="3" t="s">
        <v>5303</v>
      </c>
      <c r="K10714" s="3" t="s">
        <v>54264</v>
      </c>
      <c r="L10714" s="3"/>
      <c r="M10714" s="4"/>
      <c r="N10714" s="3" t="s">
        <v>37</v>
      </c>
      <c r="O10714" s="3" t="s">
        <v>46</v>
      </c>
      <c r="P10714" s="5">
        <v>10</v>
      </c>
      <c r="Q10714" s="5">
        <v>83</v>
      </c>
      <c r="R10714" s="5">
        <v>10</v>
      </c>
      <c r="S10714" s="5">
        <v>95</v>
      </c>
    </row>
    <row r="10715" spans="1:19" ht="42" x14ac:dyDescent="0.15">
      <c r="A10715" s="2">
        <f>HYPERLINK("https://open-school.uspishnemisto.com.ua/school/530680/", 530680)</f>
        <v>530680</v>
      </c>
      <c r="B10715" s="3" t="s">
        <v>54265</v>
      </c>
      <c r="C10715" s="3" t="s">
        <v>54</v>
      </c>
      <c r="D10715" s="3" t="s">
        <v>32</v>
      </c>
      <c r="E10715" s="4" t="s">
        <v>22</v>
      </c>
      <c r="F10715" s="4" t="s">
        <v>54266</v>
      </c>
      <c r="G10715" s="4" t="s">
        <v>54267</v>
      </c>
      <c r="H10715" s="3" t="s">
        <v>50910</v>
      </c>
      <c r="I10715" s="3" t="s">
        <v>25951</v>
      </c>
      <c r="J10715" s="3" t="s">
        <v>54268</v>
      </c>
      <c r="K10715" s="3" t="s">
        <v>54269</v>
      </c>
      <c r="L10715" s="3"/>
      <c r="M10715" s="4"/>
      <c r="N10715" s="3" t="s">
        <v>37</v>
      </c>
      <c r="O10715" s="3" t="s">
        <v>52</v>
      </c>
      <c r="P10715" s="5">
        <v>8</v>
      </c>
      <c r="Q10715" s="5">
        <v>68</v>
      </c>
      <c r="R10715" s="5">
        <v>10</v>
      </c>
      <c r="S10715" s="5">
        <v>70</v>
      </c>
    </row>
    <row r="10716" spans="1:19" ht="56" x14ac:dyDescent="0.15">
      <c r="A10716" s="2">
        <f>HYPERLINK("https://open-school.uspishnemisto.com.ua/school/530681/", 530681)</f>
        <v>530681</v>
      </c>
      <c r="B10716" s="3" t="s">
        <v>54270</v>
      </c>
      <c r="C10716" s="3" t="s">
        <v>54</v>
      </c>
      <c r="D10716" s="3" t="s">
        <v>32</v>
      </c>
      <c r="E10716" s="4" t="s">
        <v>22</v>
      </c>
      <c r="F10716" s="4" t="s">
        <v>54271</v>
      </c>
      <c r="G10716" s="4" t="s">
        <v>54272</v>
      </c>
      <c r="H10716" s="3" t="s">
        <v>50910</v>
      </c>
      <c r="I10716" s="3" t="s">
        <v>54273</v>
      </c>
      <c r="J10716" s="3" t="s">
        <v>22017</v>
      </c>
      <c r="K10716" s="3" t="s">
        <v>54274</v>
      </c>
      <c r="L10716" s="3" t="s">
        <v>54275</v>
      </c>
      <c r="M10716" s="4"/>
      <c r="N10716" s="3" t="s">
        <v>37</v>
      </c>
      <c r="O10716" s="3" t="s">
        <v>52</v>
      </c>
      <c r="P10716" s="5">
        <v>11</v>
      </c>
      <c r="Q10716" s="5">
        <v>152</v>
      </c>
      <c r="R10716" s="5">
        <v>11</v>
      </c>
      <c r="S10716" s="5">
        <v>150</v>
      </c>
    </row>
    <row r="10717" spans="1:19" ht="42" x14ac:dyDescent="0.15">
      <c r="A10717" s="2">
        <f>HYPERLINK("https://open-school.uspishnemisto.com.ua/school/530682/", 530682)</f>
        <v>530682</v>
      </c>
      <c r="B10717" s="3" t="s">
        <v>54276</v>
      </c>
      <c r="C10717" s="3" t="s">
        <v>54</v>
      </c>
      <c r="D10717" s="3" t="s">
        <v>60</v>
      </c>
      <c r="E10717" s="4" t="s">
        <v>22</v>
      </c>
      <c r="F10717" s="4" t="s">
        <v>54277</v>
      </c>
      <c r="G10717" s="4" t="s">
        <v>54278</v>
      </c>
      <c r="H10717" s="3" t="s">
        <v>50910</v>
      </c>
      <c r="I10717" s="3" t="s">
        <v>54279</v>
      </c>
      <c r="J10717" s="3" t="s">
        <v>18645</v>
      </c>
      <c r="K10717" s="3" t="s">
        <v>54280</v>
      </c>
      <c r="L10717" s="3"/>
      <c r="M10717" s="4"/>
      <c r="N10717" s="3" t="s">
        <v>37</v>
      </c>
      <c r="O10717" s="3" t="s">
        <v>52</v>
      </c>
      <c r="P10717" s="5">
        <v>2</v>
      </c>
      <c r="Q10717" s="5">
        <v>16</v>
      </c>
      <c r="R10717" s="5">
        <v>2</v>
      </c>
      <c r="S10717" s="5">
        <v>18</v>
      </c>
    </row>
    <row r="10718" spans="1:19" ht="42" x14ac:dyDescent="0.15">
      <c r="A10718" s="2">
        <f>HYPERLINK("https://open-school.uspishnemisto.com.ua/school/530683/", 530683)</f>
        <v>530683</v>
      </c>
      <c r="B10718" s="3" t="s">
        <v>54281</v>
      </c>
      <c r="C10718" s="3" t="s">
        <v>31</v>
      </c>
      <c r="D10718" s="3" t="s">
        <v>32</v>
      </c>
      <c r="E10718" s="4" t="s">
        <v>22</v>
      </c>
      <c r="F10718" s="4" t="s">
        <v>54282</v>
      </c>
      <c r="G10718" s="4" t="s">
        <v>54283</v>
      </c>
      <c r="H10718" s="3" t="s">
        <v>50910</v>
      </c>
      <c r="I10718" s="3" t="s">
        <v>54284</v>
      </c>
      <c r="J10718" s="3" t="s">
        <v>4425</v>
      </c>
      <c r="K10718" s="3" t="s">
        <v>54285</v>
      </c>
      <c r="L10718" s="3"/>
      <c r="M10718" s="4"/>
      <c r="N10718" s="3" t="s">
        <v>37</v>
      </c>
      <c r="O10718" s="3" t="s">
        <v>38</v>
      </c>
      <c r="P10718" s="5">
        <v>13</v>
      </c>
      <c r="Q10718" s="5">
        <v>254</v>
      </c>
      <c r="R10718" s="5">
        <v>13</v>
      </c>
      <c r="S10718" s="5">
        <v>262</v>
      </c>
    </row>
    <row r="10719" spans="1:19" ht="28" x14ac:dyDescent="0.15">
      <c r="A10719" s="2">
        <f>HYPERLINK("https://open-school.uspishnemisto.com.ua/school/560001/", 560001)</f>
        <v>560001</v>
      </c>
      <c r="B10719" s="3" t="s">
        <v>54286</v>
      </c>
      <c r="C10719" s="3" t="s">
        <v>31</v>
      </c>
      <c r="D10719" s="3" t="s">
        <v>32</v>
      </c>
      <c r="E10719" s="4" t="s">
        <v>22</v>
      </c>
      <c r="F10719" s="4" t="s">
        <v>54287</v>
      </c>
      <c r="G10719" s="4" t="s">
        <v>54288</v>
      </c>
      <c r="H10719" s="3" t="s">
        <v>54289</v>
      </c>
      <c r="I10719" s="3" t="s">
        <v>2744</v>
      </c>
      <c r="J10719" s="3" t="s">
        <v>54290</v>
      </c>
      <c r="K10719" s="3" t="s">
        <v>54291</v>
      </c>
      <c r="L10719" s="3" t="s">
        <v>54292</v>
      </c>
      <c r="M10719" s="4"/>
      <c r="N10719" s="3" t="s">
        <v>37</v>
      </c>
      <c r="O10719" s="3" t="s">
        <v>32140</v>
      </c>
      <c r="P10719" s="5">
        <v>36</v>
      </c>
      <c r="Q10719" s="5">
        <v>1061</v>
      </c>
      <c r="R10719" s="5">
        <v>34</v>
      </c>
      <c r="S10719" s="5">
        <v>1006</v>
      </c>
    </row>
    <row r="10720" spans="1:19" ht="28" x14ac:dyDescent="0.15">
      <c r="A10720" s="2">
        <f>HYPERLINK("https://open-school.uspishnemisto.com.ua/school/560002/", 560002)</f>
        <v>560002</v>
      </c>
      <c r="B10720" s="3" t="s">
        <v>54293</v>
      </c>
      <c r="C10720" s="3" t="s">
        <v>181</v>
      </c>
      <c r="D10720" s="3" t="s">
        <v>60</v>
      </c>
      <c r="E10720" s="4" t="s">
        <v>22</v>
      </c>
      <c r="F10720" s="4" t="s">
        <v>54294</v>
      </c>
      <c r="G10720" s="4" t="s">
        <v>54288</v>
      </c>
      <c r="H10720" s="3" t="s">
        <v>54289</v>
      </c>
      <c r="I10720" s="3" t="s">
        <v>2744</v>
      </c>
      <c r="J10720" s="3" t="s">
        <v>54295</v>
      </c>
      <c r="K10720" s="3" t="s">
        <v>54296</v>
      </c>
      <c r="L10720" s="3"/>
      <c r="M10720" s="4" t="s">
        <v>54297</v>
      </c>
      <c r="N10720" s="3" t="s">
        <v>37</v>
      </c>
      <c r="O10720" s="3" t="s">
        <v>52</v>
      </c>
      <c r="P10720" s="5">
        <v>4</v>
      </c>
      <c r="Q10720" s="5">
        <v>51</v>
      </c>
      <c r="R10720" s="5">
        <v>4</v>
      </c>
      <c r="S10720" s="5">
        <v>47</v>
      </c>
    </row>
    <row r="10721" spans="1:19" ht="28" x14ac:dyDescent="0.15">
      <c r="A10721" s="2">
        <f>HYPERLINK("https://open-school.uspishnemisto.com.ua/school/560003/", 560003)</f>
        <v>560003</v>
      </c>
      <c r="B10721" s="3" t="s">
        <v>54298</v>
      </c>
      <c r="C10721" s="3" t="s">
        <v>293</v>
      </c>
      <c r="D10721" s="3" t="s">
        <v>21</v>
      </c>
      <c r="E10721" s="4" t="s">
        <v>22</v>
      </c>
      <c r="F10721" s="4" t="s">
        <v>54299</v>
      </c>
      <c r="G10721" s="4" t="s">
        <v>54288</v>
      </c>
      <c r="H10721" s="3" t="s">
        <v>54289</v>
      </c>
      <c r="I10721" s="3" t="s">
        <v>2744</v>
      </c>
      <c r="J10721" s="3" t="s">
        <v>54300</v>
      </c>
      <c r="K10721" s="3" t="s">
        <v>54301</v>
      </c>
      <c r="L10721" s="3" t="s">
        <v>54302</v>
      </c>
      <c r="M10721" s="4" t="s">
        <v>54303</v>
      </c>
      <c r="N10721" s="3" t="s">
        <v>37</v>
      </c>
      <c r="O10721" s="3" t="s">
        <v>46</v>
      </c>
      <c r="P10721" s="5">
        <v>21</v>
      </c>
      <c r="Q10721" s="5">
        <v>607</v>
      </c>
      <c r="R10721" s="5">
        <v>21</v>
      </c>
      <c r="S10721" s="5">
        <v>604</v>
      </c>
    </row>
    <row r="10722" spans="1:19" ht="28" x14ac:dyDescent="0.15">
      <c r="A10722" s="2">
        <f>HYPERLINK("https://open-school.uspishnemisto.com.ua/school/560004/", 560004)</f>
        <v>560004</v>
      </c>
      <c r="B10722" s="3" t="s">
        <v>54304</v>
      </c>
      <c r="C10722" s="3" t="s">
        <v>20</v>
      </c>
      <c r="D10722" s="3" t="s">
        <v>21</v>
      </c>
      <c r="E10722" s="4" t="s">
        <v>22</v>
      </c>
      <c r="F10722" s="4"/>
      <c r="G10722" s="4" t="s">
        <v>54288</v>
      </c>
      <c r="H10722" s="3" t="s">
        <v>54289</v>
      </c>
      <c r="I10722" s="3" t="s">
        <v>2744</v>
      </c>
      <c r="J10722" s="3" t="s">
        <v>54305</v>
      </c>
      <c r="K10722" s="3" t="s">
        <v>54306</v>
      </c>
      <c r="L10722" s="3"/>
      <c r="M10722" s="4"/>
      <c r="N10722" s="3"/>
      <c r="O10722" s="3"/>
      <c r="P10722" s="5">
        <v>0</v>
      </c>
      <c r="Q10722" s="5">
        <v>0</v>
      </c>
      <c r="R10722" s="5"/>
      <c r="S10722" s="5"/>
    </row>
    <row r="10723" spans="1:19" ht="28" x14ac:dyDescent="0.15">
      <c r="A10723" s="2">
        <f>HYPERLINK("https://open-school.uspishnemisto.com.ua/school/560005/", 560005)</f>
        <v>560005</v>
      </c>
      <c r="B10723" s="3" t="s">
        <v>54307</v>
      </c>
      <c r="C10723" s="3" t="s">
        <v>40</v>
      </c>
      <c r="D10723" s="3" t="s">
        <v>32</v>
      </c>
      <c r="E10723" s="4" t="s">
        <v>22</v>
      </c>
      <c r="F10723" s="4" t="s">
        <v>54308</v>
      </c>
      <c r="G10723" s="4" t="s">
        <v>54288</v>
      </c>
      <c r="H10723" s="3" t="s">
        <v>54289</v>
      </c>
      <c r="I10723" s="3" t="s">
        <v>2744</v>
      </c>
      <c r="J10723" s="3" t="s">
        <v>54309</v>
      </c>
      <c r="K10723" s="3" t="s">
        <v>54310</v>
      </c>
      <c r="L10723" s="3"/>
      <c r="M10723" s="4"/>
      <c r="N10723" s="3" t="s">
        <v>37</v>
      </c>
      <c r="O10723" s="3" t="s">
        <v>1081</v>
      </c>
      <c r="P10723" s="5">
        <v>27</v>
      </c>
      <c r="Q10723" s="5">
        <v>786</v>
      </c>
      <c r="R10723" s="5">
        <v>26</v>
      </c>
      <c r="S10723" s="5">
        <v>723</v>
      </c>
    </row>
    <row r="10724" spans="1:19" ht="28" x14ac:dyDescent="0.15">
      <c r="A10724" s="2">
        <f>HYPERLINK("https://open-school.uspishnemisto.com.ua/school/560006/", 560006)</f>
        <v>560006</v>
      </c>
      <c r="B10724" s="3" t="s">
        <v>54311</v>
      </c>
      <c r="C10724" s="3" t="s">
        <v>40</v>
      </c>
      <c r="D10724" s="3" t="s">
        <v>32</v>
      </c>
      <c r="E10724" s="4" t="s">
        <v>22</v>
      </c>
      <c r="F10724" s="4" t="s">
        <v>54312</v>
      </c>
      <c r="G10724" s="4" t="s">
        <v>54288</v>
      </c>
      <c r="H10724" s="3" t="s">
        <v>54289</v>
      </c>
      <c r="I10724" s="3" t="s">
        <v>2744</v>
      </c>
      <c r="J10724" s="3" t="s">
        <v>54313</v>
      </c>
      <c r="K10724" s="3" t="s">
        <v>54314</v>
      </c>
      <c r="L10724" s="3"/>
      <c r="M10724" s="4" t="s">
        <v>54315</v>
      </c>
      <c r="N10724" s="3" t="s">
        <v>37</v>
      </c>
      <c r="O10724" s="3" t="s">
        <v>46</v>
      </c>
      <c r="P10724" s="5">
        <v>34</v>
      </c>
      <c r="Q10724" s="5">
        <v>1060</v>
      </c>
      <c r="R10724" s="5">
        <v>33</v>
      </c>
      <c r="S10724" s="5">
        <v>1025</v>
      </c>
    </row>
    <row r="10725" spans="1:19" ht="28" x14ac:dyDescent="0.15">
      <c r="A10725" s="2">
        <f>HYPERLINK("https://open-school.uspishnemisto.com.ua/school/560007/", 560007)</f>
        <v>560007</v>
      </c>
      <c r="B10725" s="3" t="s">
        <v>54316</v>
      </c>
      <c r="C10725" s="3" t="s">
        <v>31</v>
      </c>
      <c r="D10725" s="3" t="s">
        <v>32</v>
      </c>
      <c r="E10725" s="4" t="s">
        <v>22</v>
      </c>
      <c r="F10725" s="4" t="s">
        <v>54287</v>
      </c>
      <c r="G10725" s="4" t="s">
        <v>54288</v>
      </c>
      <c r="H10725" s="3" t="s">
        <v>54289</v>
      </c>
      <c r="I10725" s="3" t="s">
        <v>2744</v>
      </c>
      <c r="J10725" s="3" t="s">
        <v>54317</v>
      </c>
      <c r="K10725" s="3" t="s">
        <v>54318</v>
      </c>
      <c r="L10725" s="3"/>
      <c r="M10725" s="4"/>
      <c r="N10725" s="3" t="s">
        <v>37</v>
      </c>
      <c r="O10725" s="3" t="s">
        <v>8857</v>
      </c>
      <c r="P10725" s="5">
        <v>39</v>
      </c>
      <c r="Q10725" s="5">
        <v>1146</v>
      </c>
      <c r="R10725" s="5">
        <v>39</v>
      </c>
      <c r="S10725" s="5">
        <v>1084</v>
      </c>
    </row>
    <row r="10726" spans="1:19" ht="28" x14ac:dyDescent="0.15">
      <c r="A10726" s="2">
        <f>HYPERLINK("https://open-school.uspishnemisto.com.ua/school/560008/", 560008)</f>
        <v>560008</v>
      </c>
      <c r="B10726" s="3" t="s">
        <v>54319</v>
      </c>
      <c r="C10726" s="3" t="s">
        <v>31</v>
      </c>
      <c r="D10726" s="3" t="s">
        <v>32</v>
      </c>
      <c r="E10726" s="4" t="s">
        <v>22</v>
      </c>
      <c r="F10726" s="4" t="s">
        <v>54320</v>
      </c>
      <c r="G10726" s="4" t="s">
        <v>54288</v>
      </c>
      <c r="H10726" s="3" t="s">
        <v>54289</v>
      </c>
      <c r="I10726" s="3" t="s">
        <v>2744</v>
      </c>
      <c r="J10726" s="3" t="s">
        <v>54321</v>
      </c>
      <c r="K10726" s="3" t="s">
        <v>54322</v>
      </c>
      <c r="L10726" s="3" t="s">
        <v>54323</v>
      </c>
      <c r="M10726" s="4"/>
      <c r="N10726" s="3" t="s">
        <v>37</v>
      </c>
      <c r="O10726" s="3" t="s">
        <v>52</v>
      </c>
      <c r="P10726" s="5">
        <v>42</v>
      </c>
      <c r="Q10726" s="5">
        <v>1193</v>
      </c>
      <c r="R10726" s="5">
        <v>38</v>
      </c>
      <c r="S10726" s="5">
        <v>1099</v>
      </c>
    </row>
    <row r="10727" spans="1:19" ht="28" x14ac:dyDescent="0.15">
      <c r="A10727" s="2">
        <f>HYPERLINK("https://open-school.uspishnemisto.com.ua/school/560009/", 560009)</f>
        <v>560009</v>
      </c>
      <c r="B10727" s="3" t="s">
        <v>54324</v>
      </c>
      <c r="C10727" s="3" t="s">
        <v>31</v>
      </c>
      <c r="D10727" s="3" t="s">
        <v>32</v>
      </c>
      <c r="E10727" s="4" t="s">
        <v>22</v>
      </c>
      <c r="F10727" s="4" t="s">
        <v>54325</v>
      </c>
      <c r="G10727" s="4" t="s">
        <v>54288</v>
      </c>
      <c r="H10727" s="3" t="s">
        <v>54289</v>
      </c>
      <c r="I10727" s="3" t="s">
        <v>2744</v>
      </c>
      <c r="J10727" s="3" t="s">
        <v>54326</v>
      </c>
      <c r="K10727" s="3" t="s">
        <v>54327</v>
      </c>
      <c r="L10727" s="3" t="s">
        <v>54328</v>
      </c>
      <c r="M10727" s="4"/>
      <c r="N10727" s="3" t="s">
        <v>37</v>
      </c>
      <c r="O10727" s="3" t="s">
        <v>237</v>
      </c>
      <c r="P10727" s="5">
        <v>16</v>
      </c>
      <c r="Q10727" s="5">
        <v>406</v>
      </c>
      <c r="R10727" s="5">
        <v>15</v>
      </c>
      <c r="S10727" s="5">
        <v>392</v>
      </c>
    </row>
    <row r="10728" spans="1:19" ht="28" x14ac:dyDescent="0.15">
      <c r="A10728" s="2">
        <f>HYPERLINK("https://open-school.uspishnemisto.com.ua/school/560010/", 560010)</f>
        <v>560010</v>
      </c>
      <c r="B10728" s="3" t="s">
        <v>54329</v>
      </c>
      <c r="C10728" s="3" t="s">
        <v>31</v>
      </c>
      <c r="D10728" s="3" t="s">
        <v>32</v>
      </c>
      <c r="E10728" s="4" t="s">
        <v>22</v>
      </c>
      <c r="F10728" s="4" t="s">
        <v>54330</v>
      </c>
      <c r="G10728" s="4" t="s">
        <v>54288</v>
      </c>
      <c r="H10728" s="3" t="s">
        <v>54289</v>
      </c>
      <c r="I10728" s="3" t="s">
        <v>2744</v>
      </c>
      <c r="J10728" s="3" t="s">
        <v>54331</v>
      </c>
      <c r="K10728" s="3" t="s">
        <v>54332</v>
      </c>
      <c r="L10728" s="3"/>
      <c r="M10728" s="4"/>
      <c r="N10728" s="3" t="s">
        <v>37</v>
      </c>
      <c r="O10728" s="3" t="s">
        <v>46</v>
      </c>
      <c r="P10728" s="5">
        <v>19</v>
      </c>
      <c r="Q10728" s="5">
        <v>444</v>
      </c>
      <c r="R10728" s="5">
        <v>18</v>
      </c>
      <c r="S10728" s="5">
        <v>413</v>
      </c>
    </row>
    <row r="10729" spans="1:19" ht="28" x14ac:dyDescent="0.15">
      <c r="A10729" s="2">
        <f>HYPERLINK("https://open-school.uspishnemisto.com.ua/school/560011/", 560011)</f>
        <v>560011</v>
      </c>
      <c r="B10729" s="3" t="s">
        <v>54333</v>
      </c>
      <c r="C10729" s="3" t="s">
        <v>31</v>
      </c>
      <c r="D10729" s="3" t="s">
        <v>32</v>
      </c>
      <c r="E10729" s="4" t="s">
        <v>22</v>
      </c>
      <c r="F10729" s="4" t="s">
        <v>9410</v>
      </c>
      <c r="G10729" s="4" t="s">
        <v>54288</v>
      </c>
      <c r="H10729" s="3" t="s">
        <v>54289</v>
      </c>
      <c r="I10729" s="3" t="s">
        <v>2744</v>
      </c>
      <c r="J10729" s="3" t="s">
        <v>54334</v>
      </c>
      <c r="K10729" s="3" t="s">
        <v>54335</v>
      </c>
      <c r="L10729" s="3"/>
      <c r="M10729" s="4"/>
      <c r="N10729" s="3" t="s">
        <v>37</v>
      </c>
      <c r="O10729" s="3" t="s">
        <v>52</v>
      </c>
      <c r="P10729" s="5">
        <v>25</v>
      </c>
      <c r="Q10729" s="5">
        <v>654</v>
      </c>
      <c r="R10729" s="5">
        <v>25</v>
      </c>
      <c r="S10729" s="5">
        <v>630</v>
      </c>
    </row>
    <row r="10730" spans="1:19" ht="28" x14ac:dyDescent="0.15">
      <c r="A10730" s="2">
        <f>HYPERLINK("https://open-school.uspishnemisto.com.ua/school/560012/", 560012)</f>
        <v>560012</v>
      </c>
      <c r="B10730" s="3" t="s">
        <v>54336</v>
      </c>
      <c r="C10730" s="3" t="s">
        <v>31</v>
      </c>
      <c r="D10730" s="3" t="s">
        <v>32</v>
      </c>
      <c r="E10730" s="4" t="s">
        <v>22</v>
      </c>
      <c r="F10730" s="4" t="s">
        <v>54330</v>
      </c>
      <c r="G10730" s="4" t="s">
        <v>54288</v>
      </c>
      <c r="H10730" s="3" t="s">
        <v>54289</v>
      </c>
      <c r="I10730" s="3" t="s">
        <v>2744</v>
      </c>
      <c r="J10730" s="3" t="s">
        <v>54337</v>
      </c>
      <c r="K10730" s="3" t="s">
        <v>54338</v>
      </c>
      <c r="L10730" s="3" t="s">
        <v>54339</v>
      </c>
      <c r="M10730" s="4"/>
      <c r="N10730" s="3" t="s">
        <v>37</v>
      </c>
      <c r="O10730" s="3" t="s">
        <v>46</v>
      </c>
      <c r="P10730" s="5">
        <v>27</v>
      </c>
      <c r="Q10730" s="5">
        <v>776</v>
      </c>
      <c r="R10730" s="5">
        <v>26</v>
      </c>
      <c r="S10730" s="5">
        <v>746</v>
      </c>
    </row>
    <row r="10731" spans="1:19" ht="28" x14ac:dyDescent="0.15">
      <c r="A10731" s="2">
        <f>HYPERLINK("https://open-school.uspishnemisto.com.ua/school/560013/", 560013)</f>
        <v>560013</v>
      </c>
      <c r="B10731" s="3" t="s">
        <v>54340</v>
      </c>
      <c r="C10731" s="3" t="s">
        <v>31</v>
      </c>
      <c r="D10731" s="3" t="s">
        <v>32</v>
      </c>
      <c r="E10731" s="4" t="s">
        <v>22</v>
      </c>
      <c r="F10731" s="4" t="s">
        <v>9410</v>
      </c>
      <c r="G10731" s="4" t="s">
        <v>54288</v>
      </c>
      <c r="H10731" s="3" t="s">
        <v>54289</v>
      </c>
      <c r="I10731" s="3" t="s">
        <v>2744</v>
      </c>
      <c r="J10731" s="3" t="s">
        <v>54341</v>
      </c>
      <c r="K10731" s="3" t="s">
        <v>54342</v>
      </c>
      <c r="L10731" s="3"/>
      <c r="M10731" s="4"/>
      <c r="N10731" s="3" t="s">
        <v>37</v>
      </c>
      <c r="O10731" s="3" t="s">
        <v>52</v>
      </c>
      <c r="P10731" s="5">
        <v>19</v>
      </c>
      <c r="Q10731" s="5">
        <v>552</v>
      </c>
      <c r="R10731" s="5">
        <v>19</v>
      </c>
      <c r="S10731" s="5">
        <v>536</v>
      </c>
    </row>
    <row r="10732" spans="1:19" ht="28" x14ac:dyDescent="0.15">
      <c r="A10732" s="2">
        <f>HYPERLINK("https://open-school.uspishnemisto.com.ua/school/560014/", 560014)</f>
        <v>560014</v>
      </c>
      <c r="B10732" s="3" t="s">
        <v>54343</v>
      </c>
      <c r="C10732" s="3" t="s">
        <v>31</v>
      </c>
      <c r="D10732" s="3" t="s">
        <v>32</v>
      </c>
      <c r="E10732" s="4" t="s">
        <v>22</v>
      </c>
      <c r="F10732" s="4" t="s">
        <v>54308</v>
      </c>
      <c r="G10732" s="4" t="s">
        <v>54288</v>
      </c>
      <c r="H10732" s="3" t="s">
        <v>54289</v>
      </c>
      <c r="I10732" s="3" t="s">
        <v>2744</v>
      </c>
      <c r="J10732" s="3" t="s">
        <v>52131</v>
      </c>
      <c r="K10732" s="3" t="s">
        <v>54344</v>
      </c>
      <c r="L10732" s="3" t="s">
        <v>54345</v>
      </c>
      <c r="M10732" s="4"/>
      <c r="N10732" s="3" t="s">
        <v>37</v>
      </c>
      <c r="O10732" s="3" t="s">
        <v>1081</v>
      </c>
      <c r="P10732" s="5">
        <v>40</v>
      </c>
      <c r="Q10732" s="5">
        <v>1239</v>
      </c>
      <c r="R10732" s="5">
        <v>38</v>
      </c>
      <c r="S10732" s="5">
        <v>1165</v>
      </c>
    </row>
    <row r="10733" spans="1:19" ht="28" x14ac:dyDescent="0.15">
      <c r="A10733" s="2">
        <f>HYPERLINK("https://open-school.uspishnemisto.com.ua/school/560015/", 560015)</f>
        <v>560015</v>
      </c>
      <c r="B10733" s="3" t="s">
        <v>54346</v>
      </c>
      <c r="C10733" s="3" t="s">
        <v>31</v>
      </c>
      <c r="D10733" s="3" t="s">
        <v>32</v>
      </c>
      <c r="E10733" s="4" t="s">
        <v>22</v>
      </c>
      <c r="F10733" s="4" t="s">
        <v>54308</v>
      </c>
      <c r="G10733" s="4" t="s">
        <v>54288</v>
      </c>
      <c r="H10733" s="3" t="s">
        <v>54289</v>
      </c>
      <c r="I10733" s="3" t="s">
        <v>2744</v>
      </c>
      <c r="J10733" s="3" t="s">
        <v>54347</v>
      </c>
      <c r="K10733" s="3" t="s">
        <v>54348</v>
      </c>
      <c r="L10733" s="3"/>
      <c r="M10733" s="4"/>
      <c r="N10733" s="3" t="s">
        <v>37</v>
      </c>
      <c r="O10733" s="3" t="s">
        <v>2740</v>
      </c>
      <c r="P10733" s="5">
        <v>38</v>
      </c>
      <c r="Q10733" s="5">
        <v>1072</v>
      </c>
      <c r="R10733" s="5">
        <v>38</v>
      </c>
      <c r="S10733" s="5">
        <v>1069</v>
      </c>
    </row>
    <row r="10734" spans="1:19" ht="28" x14ac:dyDescent="0.15">
      <c r="A10734" s="2">
        <f>HYPERLINK("https://open-school.uspishnemisto.com.ua/school/560016/", 560016)</f>
        <v>560016</v>
      </c>
      <c r="B10734" s="3" t="s">
        <v>54349</v>
      </c>
      <c r="C10734" s="3" t="s">
        <v>31</v>
      </c>
      <c r="D10734" s="3" t="s">
        <v>32</v>
      </c>
      <c r="E10734" s="4" t="s">
        <v>22</v>
      </c>
      <c r="F10734" s="4" t="s">
        <v>54350</v>
      </c>
      <c r="G10734" s="4" t="s">
        <v>54288</v>
      </c>
      <c r="H10734" s="3" t="s">
        <v>54289</v>
      </c>
      <c r="I10734" s="3" t="s">
        <v>2744</v>
      </c>
      <c r="J10734" s="3" t="s">
        <v>54351</v>
      </c>
      <c r="K10734" s="3"/>
      <c r="L10734" s="3"/>
      <c r="M10734" s="4"/>
      <c r="N10734" s="3" t="s">
        <v>37</v>
      </c>
      <c r="O10734" s="3" t="s">
        <v>46</v>
      </c>
      <c r="P10734" s="5">
        <v>46</v>
      </c>
      <c r="Q10734" s="5">
        <v>1315</v>
      </c>
      <c r="R10734" s="5">
        <v>45</v>
      </c>
      <c r="S10734" s="5">
        <v>1282</v>
      </c>
    </row>
    <row r="10735" spans="1:19" ht="28" x14ac:dyDescent="0.15">
      <c r="A10735" s="2">
        <f>HYPERLINK("https://open-school.uspishnemisto.com.ua/school/560017/", 560017)</f>
        <v>560017</v>
      </c>
      <c r="B10735" s="3" t="s">
        <v>54352</v>
      </c>
      <c r="C10735" s="3" t="s">
        <v>31</v>
      </c>
      <c r="D10735" s="3" t="s">
        <v>32</v>
      </c>
      <c r="E10735" s="4" t="s">
        <v>22</v>
      </c>
      <c r="F10735" s="4" t="s">
        <v>54353</v>
      </c>
      <c r="G10735" s="4" t="s">
        <v>54288</v>
      </c>
      <c r="H10735" s="3" t="s">
        <v>54289</v>
      </c>
      <c r="I10735" s="3" t="s">
        <v>2744</v>
      </c>
      <c r="J10735" s="3" t="s">
        <v>54354</v>
      </c>
      <c r="K10735" s="3" t="s">
        <v>54355</v>
      </c>
      <c r="L10735" s="3" t="s">
        <v>54356</v>
      </c>
      <c r="M10735" s="4"/>
      <c r="N10735" s="3" t="s">
        <v>37</v>
      </c>
      <c r="O10735" s="3" t="s">
        <v>52</v>
      </c>
      <c r="P10735" s="5">
        <v>25</v>
      </c>
      <c r="Q10735" s="5">
        <v>559</v>
      </c>
      <c r="R10735" s="5">
        <v>24</v>
      </c>
      <c r="S10735" s="5">
        <v>522</v>
      </c>
    </row>
    <row r="10736" spans="1:19" ht="28" x14ac:dyDescent="0.15">
      <c r="A10736" s="2">
        <f>HYPERLINK("https://open-school.uspishnemisto.com.ua/school/560018/", 560018)</f>
        <v>560018</v>
      </c>
      <c r="B10736" s="3" t="s">
        <v>54357</v>
      </c>
      <c r="C10736" s="3" t="s">
        <v>31</v>
      </c>
      <c r="D10736" s="3" t="s">
        <v>32</v>
      </c>
      <c r="E10736" s="4" t="s">
        <v>22</v>
      </c>
      <c r="F10736" s="4" t="s">
        <v>54294</v>
      </c>
      <c r="G10736" s="4" t="s">
        <v>54288</v>
      </c>
      <c r="H10736" s="3" t="s">
        <v>54289</v>
      </c>
      <c r="I10736" s="3" t="s">
        <v>2744</v>
      </c>
      <c r="J10736" s="3" t="s">
        <v>54358</v>
      </c>
      <c r="K10736" s="3" t="s">
        <v>54359</v>
      </c>
      <c r="L10736" s="3" t="s">
        <v>54360</v>
      </c>
      <c r="M10736" s="4"/>
      <c r="N10736" s="3" t="s">
        <v>37</v>
      </c>
      <c r="O10736" s="3" t="s">
        <v>2740</v>
      </c>
      <c r="P10736" s="5">
        <v>40</v>
      </c>
      <c r="Q10736" s="5">
        <v>1085</v>
      </c>
      <c r="R10736" s="5">
        <v>38</v>
      </c>
      <c r="S10736" s="5">
        <v>1045</v>
      </c>
    </row>
    <row r="10737" spans="1:19" ht="28" x14ac:dyDescent="0.15">
      <c r="A10737" s="2">
        <f>HYPERLINK("https://open-school.uspishnemisto.com.ua/school/560019/", 560019)</f>
        <v>560019</v>
      </c>
      <c r="B10737" s="3" t="s">
        <v>54361</v>
      </c>
      <c r="C10737" s="3" t="s">
        <v>31</v>
      </c>
      <c r="D10737" s="3" t="s">
        <v>32</v>
      </c>
      <c r="E10737" s="4" t="s">
        <v>22</v>
      </c>
      <c r="F10737" s="4" t="s">
        <v>54320</v>
      </c>
      <c r="G10737" s="4" t="s">
        <v>54288</v>
      </c>
      <c r="H10737" s="3" t="s">
        <v>54289</v>
      </c>
      <c r="I10737" s="3" t="s">
        <v>2744</v>
      </c>
      <c r="J10737" s="3" t="s">
        <v>54362</v>
      </c>
      <c r="K10737" s="3" t="s">
        <v>54363</v>
      </c>
      <c r="L10737" s="3" t="s">
        <v>54364</v>
      </c>
      <c r="M10737" s="4"/>
      <c r="N10737" s="3" t="s">
        <v>37</v>
      </c>
      <c r="O10737" s="3" t="s">
        <v>46</v>
      </c>
      <c r="P10737" s="5">
        <v>46</v>
      </c>
      <c r="Q10737" s="5">
        <v>1353</v>
      </c>
      <c r="R10737" s="5">
        <v>46</v>
      </c>
      <c r="S10737" s="5">
        <v>1363</v>
      </c>
    </row>
    <row r="10738" spans="1:19" ht="28" x14ac:dyDescent="0.15">
      <c r="A10738" s="2">
        <f>HYPERLINK("https://open-school.uspishnemisto.com.ua/school/560020/", 560020)</f>
        <v>560020</v>
      </c>
      <c r="B10738" s="3" t="s">
        <v>54365</v>
      </c>
      <c r="C10738" s="3" t="s">
        <v>31</v>
      </c>
      <c r="D10738" s="3" t="s">
        <v>32</v>
      </c>
      <c r="E10738" s="4" t="s">
        <v>22</v>
      </c>
      <c r="F10738" s="4" t="s">
        <v>54312</v>
      </c>
      <c r="G10738" s="4" t="s">
        <v>54288</v>
      </c>
      <c r="H10738" s="3" t="s">
        <v>54289</v>
      </c>
      <c r="I10738" s="3" t="s">
        <v>2744</v>
      </c>
      <c r="J10738" s="3" t="s">
        <v>54366</v>
      </c>
      <c r="K10738" s="3" t="s">
        <v>54367</v>
      </c>
      <c r="L10738" s="3" t="s">
        <v>54368</v>
      </c>
      <c r="M10738" s="4"/>
      <c r="N10738" s="3" t="s">
        <v>37</v>
      </c>
      <c r="O10738" s="3" t="s">
        <v>46</v>
      </c>
      <c r="P10738" s="5">
        <v>20</v>
      </c>
      <c r="Q10738" s="5">
        <v>546</v>
      </c>
      <c r="R10738" s="5">
        <v>20</v>
      </c>
      <c r="S10738" s="5">
        <v>524</v>
      </c>
    </row>
    <row r="10739" spans="1:19" ht="28" x14ac:dyDescent="0.15">
      <c r="A10739" s="2">
        <f>HYPERLINK("https://open-school.uspishnemisto.com.ua/school/560021/", 560021)</f>
        <v>560021</v>
      </c>
      <c r="B10739" s="3" t="s">
        <v>54369</v>
      </c>
      <c r="C10739" s="3" t="s">
        <v>31</v>
      </c>
      <c r="D10739" s="3" t="s">
        <v>32</v>
      </c>
      <c r="E10739" s="4" t="s">
        <v>22</v>
      </c>
      <c r="F10739" s="4" t="s">
        <v>54370</v>
      </c>
      <c r="G10739" s="4" t="s">
        <v>54288</v>
      </c>
      <c r="H10739" s="3" t="s">
        <v>54289</v>
      </c>
      <c r="I10739" s="3" t="s">
        <v>2744</v>
      </c>
      <c r="J10739" s="3" t="s">
        <v>54371</v>
      </c>
      <c r="K10739" s="3" t="s">
        <v>54372</v>
      </c>
      <c r="L10739" s="3" t="s">
        <v>54373</v>
      </c>
      <c r="M10739" s="4"/>
      <c r="N10739" s="3" t="s">
        <v>37</v>
      </c>
      <c r="O10739" s="3" t="s">
        <v>237</v>
      </c>
      <c r="P10739" s="5">
        <v>18</v>
      </c>
      <c r="Q10739" s="5">
        <v>402</v>
      </c>
      <c r="R10739" s="5">
        <v>17</v>
      </c>
      <c r="S10739" s="5">
        <v>382</v>
      </c>
    </row>
    <row r="10740" spans="1:19" ht="28" x14ac:dyDescent="0.15">
      <c r="A10740" s="2">
        <f>HYPERLINK("https://open-school.uspishnemisto.com.ua/school/560022/", 560022)</f>
        <v>560022</v>
      </c>
      <c r="B10740" s="3" t="s">
        <v>54374</v>
      </c>
      <c r="C10740" s="3" t="s">
        <v>31</v>
      </c>
      <c r="D10740" s="3" t="s">
        <v>32</v>
      </c>
      <c r="E10740" s="4" t="s">
        <v>22</v>
      </c>
      <c r="F10740" s="4" t="s">
        <v>54312</v>
      </c>
      <c r="G10740" s="4" t="s">
        <v>54288</v>
      </c>
      <c r="H10740" s="3" t="s">
        <v>54289</v>
      </c>
      <c r="I10740" s="3" t="s">
        <v>2744</v>
      </c>
      <c r="J10740" s="3" t="s">
        <v>54375</v>
      </c>
      <c r="K10740" s="3" t="s">
        <v>54376</v>
      </c>
      <c r="L10740" s="3" t="s">
        <v>54377</v>
      </c>
      <c r="M10740" s="4"/>
      <c r="N10740" s="3" t="s">
        <v>37</v>
      </c>
      <c r="O10740" s="3" t="s">
        <v>52</v>
      </c>
      <c r="P10740" s="5">
        <v>15</v>
      </c>
      <c r="Q10740" s="5">
        <v>351</v>
      </c>
      <c r="R10740" s="5">
        <v>15</v>
      </c>
      <c r="S10740" s="5">
        <v>344</v>
      </c>
    </row>
    <row r="10741" spans="1:19" ht="28" x14ac:dyDescent="0.15">
      <c r="A10741" s="2">
        <f>HYPERLINK("https://open-school.uspishnemisto.com.ua/school/560023/", 560023)</f>
        <v>560023</v>
      </c>
      <c r="B10741" s="3" t="s">
        <v>54378</v>
      </c>
      <c r="C10741" s="3" t="s">
        <v>31</v>
      </c>
      <c r="D10741" s="3" t="s">
        <v>32</v>
      </c>
      <c r="E10741" s="4" t="s">
        <v>22</v>
      </c>
      <c r="F10741" s="4" t="s">
        <v>54350</v>
      </c>
      <c r="G10741" s="4" t="s">
        <v>54288</v>
      </c>
      <c r="H10741" s="3" t="s">
        <v>54289</v>
      </c>
      <c r="I10741" s="3" t="s">
        <v>2744</v>
      </c>
      <c r="J10741" s="3" t="s">
        <v>54379</v>
      </c>
      <c r="K10741" s="3" t="s">
        <v>54380</v>
      </c>
      <c r="L10741" s="3" t="s">
        <v>54381</v>
      </c>
      <c r="M10741" s="4"/>
      <c r="N10741" s="3" t="s">
        <v>37</v>
      </c>
      <c r="O10741" s="3" t="s">
        <v>46</v>
      </c>
      <c r="P10741" s="5">
        <v>35</v>
      </c>
      <c r="Q10741" s="5">
        <v>881</v>
      </c>
      <c r="R10741" s="5">
        <v>34</v>
      </c>
      <c r="S10741" s="5">
        <v>852</v>
      </c>
    </row>
    <row r="10742" spans="1:19" ht="42" x14ac:dyDescent="0.15">
      <c r="A10742" s="2">
        <f>HYPERLINK("https://open-school.uspishnemisto.com.ua/school/560024/", 560024)</f>
        <v>560024</v>
      </c>
      <c r="B10742" s="3" t="s">
        <v>54382</v>
      </c>
      <c r="C10742" s="3" t="s">
        <v>31</v>
      </c>
      <c r="D10742" s="3" t="s">
        <v>175</v>
      </c>
      <c r="E10742" s="4" t="s">
        <v>22</v>
      </c>
      <c r="F10742" s="4" t="s">
        <v>54299</v>
      </c>
      <c r="G10742" s="4" t="s">
        <v>54288</v>
      </c>
      <c r="H10742" s="3" t="s">
        <v>54289</v>
      </c>
      <c r="I10742" s="3" t="s">
        <v>2744</v>
      </c>
      <c r="J10742" s="3" t="s">
        <v>27766</v>
      </c>
      <c r="K10742" s="3" t="s">
        <v>54383</v>
      </c>
      <c r="L10742" s="3"/>
      <c r="M10742" s="4"/>
      <c r="N10742" s="3" t="s">
        <v>37</v>
      </c>
      <c r="O10742" s="3" t="s">
        <v>52</v>
      </c>
      <c r="P10742" s="5">
        <v>10</v>
      </c>
      <c r="Q10742" s="5">
        <v>212</v>
      </c>
      <c r="R10742" s="5">
        <v>10</v>
      </c>
      <c r="S10742" s="5">
        <v>208</v>
      </c>
    </row>
    <row r="10743" spans="1:19" ht="28" x14ac:dyDescent="0.15">
      <c r="A10743" s="2">
        <f>HYPERLINK("https://open-school.uspishnemisto.com.ua/school/560025/", 560025)</f>
        <v>560025</v>
      </c>
      <c r="B10743" s="3" t="s">
        <v>54384</v>
      </c>
      <c r="C10743" s="3" t="s">
        <v>40</v>
      </c>
      <c r="D10743" s="3" t="s">
        <v>32</v>
      </c>
      <c r="E10743" s="4" t="s">
        <v>22</v>
      </c>
      <c r="F10743" s="4" t="s">
        <v>54287</v>
      </c>
      <c r="G10743" s="4" t="s">
        <v>54288</v>
      </c>
      <c r="H10743" s="3" t="s">
        <v>54289</v>
      </c>
      <c r="I10743" s="3" t="s">
        <v>2744</v>
      </c>
      <c r="J10743" s="3" t="s">
        <v>54385</v>
      </c>
      <c r="K10743" s="3" t="s">
        <v>54386</v>
      </c>
      <c r="L10743" s="3" t="s">
        <v>54387</v>
      </c>
      <c r="M10743" s="4" t="s">
        <v>54388</v>
      </c>
      <c r="N10743" s="3" t="s">
        <v>37</v>
      </c>
      <c r="O10743" s="3" t="s">
        <v>2776</v>
      </c>
      <c r="P10743" s="5">
        <v>21</v>
      </c>
      <c r="Q10743" s="5">
        <v>593</v>
      </c>
      <c r="R10743" s="5">
        <v>20</v>
      </c>
      <c r="S10743" s="5">
        <v>558</v>
      </c>
    </row>
    <row r="10744" spans="1:19" ht="28" x14ac:dyDescent="0.15">
      <c r="A10744" s="2">
        <f>HYPERLINK("https://open-school.uspishnemisto.com.ua/school/560026/", 560026)</f>
        <v>560026</v>
      </c>
      <c r="B10744" s="3" t="s">
        <v>54389</v>
      </c>
      <c r="C10744" s="3" t="s">
        <v>244</v>
      </c>
      <c r="D10744" s="3" t="s">
        <v>32</v>
      </c>
      <c r="E10744" s="4" t="s">
        <v>22</v>
      </c>
      <c r="F10744" s="4" t="s">
        <v>54299</v>
      </c>
      <c r="G10744" s="4" t="s">
        <v>54288</v>
      </c>
      <c r="H10744" s="3" t="s">
        <v>54289</v>
      </c>
      <c r="I10744" s="3" t="s">
        <v>2744</v>
      </c>
      <c r="J10744" s="3" t="s">
        <v>54390</v>
      </c>
      <c r="K10744" s="3" t="s">
        <v>54391</v>
      </c>
      <c r="L10744" s="3" t="s">
        <v>54392</v>
      </c>
      <c r="M10744" s="4" t="s">
        <v>54393</v>
      </c>
      <c r="N10744" s="3" t="s">
        <v>37</v>
      </c>
      <c r="O10744" s="3" t="s">
        <v>46</v>
      </c>
      <c r="P10744" s="5">
        <v>12</v>
      </c>
      <c r="Q10744" s="5">
        <v>356</v>
      </c>
      <c r="R10744" s="5">
        <v>11</v>
      </c>
      <c r="S10744" s="5">
        <v>304</v>
      </c>
    </row>
    <row r="10745" spans="1:19" ht="28" x14ac:dyDescent="0.15">
      <c r="A10745" s="2">
        <f>HYPERLINK("https://open-school.uspishnemisto.com.ua/school/560027/", 560027)</f>
        <v>560027</v>
      </c>
      <c r="B10745" s="3" t="s">
        <v>54394</v>
      </c>
      <c r="C10745" s="3" t="s">
        <v>244</v>
      </c>
      <c r="D10745" s="3" t="s">
        <v>32</v>
      </c>
      <c r="E10745" s="4" t="s">
        <v>22</v>
      </c>
      <c r="F10745" s="4" t="s">
        <v>54395</v>
      </c>
      <c r="G10745" s="4" t="s">
        <v>54288</v>
      </c>
      <c r="H10745" s="3" t="s">
        <v>54289</v>
      </c>
      <c r="I10745" s="3" t="s">
        <v>2744</v>
      </c>
      <c r="J10745" s="3" t="s">
        <v>15964</v>
      </c>
      <c r="K10745" s="3" t="s">
        <v>54396</v>
      </c>
      <c r="L10745" s="3" t="s">
        <v>54397</v>
      </c>
      <c r="M10745" s="4"/>
      <c r="N10745" s="3" t="s">
        <v>37</v>
      </c>
      <c r="O10745" s="3" t="s">
        <v>2776</v>
      </c>
      <c r="P10745" s="5">
        <v>36</v>
      </c>
      <c r="Q10745" s="5">
        <v>1055</v>
      </c>
      <c r="R10745" s="5">
        <v>36</v>
      </c>
      <c r="S10745" s="5">
        <v>1031</v>
      </c>
    </row>
    <row r="10746" spans="1:19" ht="28" x14ac:dyDescent="0.15">
      <c r="A10746" s="2">
        <f>HYPERLINK("https://open-school.uspishnemisto.com.ua/school/560028/", 560028)</f>
        <v>560028</v>
      </c>
      <c r="B10746" s="3" t="s">
        <v>54398</v>
      </c>
      <c r="C10746" s="3" t="s">
        <v>40</v>
      </c>
      <c r="D10746" s="3" t="s">
        <v>32</v>
      </c>
      <c r="E10746" s="4" t="s">
        <v>22</v>
      </c>
      <c r="F10746" s="4" t="s">
        <v>54299</v>
      </c>
      <c r="G10746" s="4" t="s">
        <v>54288</v>
      </c>
      <c r="H10746" s="3" t="s">
        <v>54289</v>
      </c>
      <c r="I10746" s="3" t="s">
        <v>2744</v>
      </c>
      <c r="J10746" s="3" t="s">
        <v>54399</v>
      </c>
      <c r="K10746" s="3" t="s">
        <v>54400</v>
      </c>
      <c r="L10746" s="3" t="s">
        <v>54401</v>
      </c>
      <c r="M10746" s="4" t="s">
        <v>54402</v>
      </c>
      <c r="N10746" s="3" t="s">
        <v>37</v>
      </c>
      <c r="O10746" s="3" t="s">
        <v>123</v>
      </c>
      <c r="P10746" s="5">
        <v>14</v>
      </c>
      <c r="Q10746" s="5">
        <v>408</v>
      </c>
      <c r="R10746" s="5">
        <v>14</v>
      </c>
      <c r="S10746" s="5">
        <v>412</v>
      </c>
    </row>
    <row r="10747" spans="1:19" ht="28" x14ac:dyDescent="0.15">
      <c r="A10747" s="2">
        <f>HYPERLINK("https://open-school.uspishnemisto.com.ua/school/560029/", 560029)</f>
        <v>560029</v>
      </c>
      <c r="B10747" s="3" t="s">
        <v>54403</v>
      </c>
      <c r="C10747" s="3" t="s">
        <v>188</v>
      </c>
      <c r="D10747" s="3" t="s">
        <v>32</v>
      </c>
      <c r="E10747" s="4" t="s">
        <v>22</v>
      </c>
      <c r="F10747" s="4" t="s">
        <v>54353</v>
      </c>
      <c r="G10747" s="4" t="s">
        <v>54288</v>
      </c>
      <c r="H10747" s="3" t="s">
        <v>54289</v>
      </c>
      <c r="I10747" s="3" t="s">
        <v>2744</v>
      </c>
      <c r="J10747" s="3" t="s">
        <v>54404</v>
      </c>
      <c r="K10747" s="3" t="s">
        <v>54405</v>
      </c>
      <c r="L10747" s="3" t="s">
        <v>54406</v>
      </c>
      <c r="M10747" s="4"/>
      <c r="N10747" s="3" t="s">
        <v>37</v>
      </c>
      <c r="O10747" s="3" t="s">
        <v>52</v>
      </c>
      <c r="P10747" s="5">
        <v>8</v>
      </c>
      <c r="Q10747" s="5">
        <v>220</v>
      </c>
      <c r="R10747" s="5">
        <v>8</v>
      </c>
      <c r="S10747" s="5">
        <v>232</v>
      </c>
    </row>
    <row r="10748" spans="1:19" ht="56" x14ac:dyDescent="0.15">
      <c r="A10748" s="2">
        <f>HYPERLINK("https://open-school.uspishnemisto.com.ua/school/560030/", 560030)</f>
        <v>560030</v>
      </c>
      <c r="B10748" s="3" t="s">
        <v>54407</v>
      </c>
      <c r="C10748" s="3" t="s">
        <v>54</v>
      </c>
      <c r="D10748" s="3" t="s">
        <v>32</v>
      </c>
      <c r="E10748" s="4" t="s">
        <v>22</v>
      </c>
      <c r="F10748" s="4" t="s">
        <v>54408</v>
      </c>
      <c r="G10748" s="4" t="s">
        <v>54288</v>
      </c>
      <c r="H10748" s="3" t="s">
        <v>54289</v>
      </c>
      <c r="I10748" s="3" t="s">
        <v>2744</v>
      </c>
      <c r="J10748" s="3" t="s">
        <v>54409</v>
      </c>
      <c r="K10748" s="3" t="s">
        <v>54410</v>
      </c>
      <c r="L10748" s="3" t="s">
        <v>54411</v>
      </c>
      <c r="M10748" s="4"/>
      <c r="N10748" s="3" t="s">
        <v>37</v>
      </c>
      <c r="O10748" s="3" t="s">
        <v>52</v>
      </c>
      <c r="P10748" s="5">
        <v>19</v>
      </c>
      <c r="Q10748" s="5">
        <v>449</v>
      </c>
      <c r="R10748" s="5">
        <v>16</v>
      </c>
      <c r="S10748" s="5">
        <v>381</v>
      </c>
    </row>
    <row r="10749" spans="1:19" ht="42" x14ac:dyDescent="0.15">
      <c r="A10749" s="2">
        <f>HYPERLINK("https://open-school.uspishnemisto.com.ua/school/560031/", 560031)</f>
        <v>560031</v>
      </c>
      <c r="B10749" s="3" t="s">
        <v>54412</v>
      </c>
      <c r="C10749" s="3" t="s">
        <v>54</v>
      </c>
      <c r="D10749" s="3" t="s">
        <v>32</v>
      </c>
      <c r="E10749" s="4" t="s">
        <v>22</v>
      </c>
      <c r="F10749" s="4" t="s">
        <v>54413</v>
      </c>
      <c r="G10749" s="4" t="s">
        <v>54288</v>
      </c>
      <c r="H10749" s="3" t="s">
        <v>54289</v>
      </c>
      <c r="I10749" s="3" t="s">
        <v>2744</v>
      </c>
      <c r="J10749" s="3" t="s">
        <v>54414</v>
      </c>
      <c r="K10749" s="3" t="s">
        <v>54415</v>
      </c>
      <c r="L10749" s="3" t="s">
        <v>54416</v>
      </c>
      <c r="M10749" s="4"/>
      <c r="N10749" s="3" t="s">
        <v>37</v>
      </c>
      <c r="O10749" s="3" t="s">
        <v>46</v>
      </c>
      <c r="P10749" s="5">
        <v>19</v>
      </c>
      <c r="Q10749" s="5">
        <v>363</v>
      </c>
      <c r="R10749" s="5">
        <v>18</v>
      </c>
      <c r="S10749" s="5">
        <v>353</v>
      </c>
    </row>
    <row r="10750" spans="1:19" ht="42" x14ac:dyDescent="0.15">
      <c r="A10750" s="2">
        <f>HYPERLINK("https://open-school.uspishnemisto.com.ua/school/560032/", 560032)</f>
        <v>560032</v>
      </c>
      <c r="B10750" s="3" t="s">
        <v>54417</v>
      </c>
      <c r="C10750" s="3" t="s">
        <v>54</v>
      </c>
      <c r="D10750" s="3" t="s">
        <v>32</v>
      </c>
      <c r="E10750" s="4" t="s">
        <v>22</v>
      </c>
      <c r="F10750" s="4" t="s">
        <v>54350</v>
      </c>
      <c r="G10750" s="4" t="s">
        <v>54288</v>
      </c>
      <c r="H10750" s="3" t="s">
        <v>54289</v>
      </c>
      <c r="I10750" s="3" t="s">
        <v>2744</v>
      </c>
      <c r="J10750" s="3" t="s">
        <v>54418</v>
      </c>
      <c r="K10750" s="3" t="s">
        <v>54419</v>
      </c>
      <c r="L10750" s="3" t="s">
        <v>54420</v>
      </c>
      <c r="M10750" s="4"/>
      <c r="N10750" s="3" t="s">
        <v>37</v>
      </c>
      <c r="O10750" s="3" t="s">
        <v>2740</v>
      </c>
      <c r="P10750" s="5">
        <v>39</v>
      </c>
      <c r="Q10750" s="5">
        <v>1113</v>
      </c>
      <c r="R10750" s="5">
        <v>36</v>
      </c>
      <c r="S10750" s="5">
        <v>1038</v>
      </c>
    </row>
    <row r="10751" spans="1:19" ht="28" x14ac:dyDescent="0.15">
      <c r="A10751" s="2">
        <f>HYPERLINK("https://open-school.uspishnemisto.com.ua/school/560033/", 560033)</f>
        <v>560033</v>
      </c>
      <c r="B10751" s="3" t="s">
        <v>54421</v>
      </c>
      <c r="C10751" s="3" t="s">
        <v>54</v>
      </c>
      <c r="D10751" s="3" t="s">
        <v>32</v>
      </c>
      <c r="E10751" s="4" t="s">
        <v>22</v>
      </c>
      <c r="F10751" s="4" t="s">
        <v>54299</v>
      </c>
      <c r="G10751" s="4" t="s">
        <v>54288</v>
      </c>
      <c r="H10751" s="3" t="s">
        <v>54289</v>
      </c>
      <c r="I10751" s="3" t="s">
        <v>2744</v>
      </c>
      <c r="J10751" s="3" t="s">
        <v>22902</v>
      </c>
      <c r="K10751" s="3" t="s">
        <v>54422</v>
      </c>
      <c r="L10751" s="3"/>
      <c r="M10751" s="4"/>
      <c r="N10751" s="3" t="s">
        <v>37</v>
      </c>
      <c r="O10751" s="3" t="s">
        <v>237</v>
      </c>
      <c r="P10751" s="5">
        <v>27</v>
      </c>
      <c r="Q10751" s="5">
        <v>779</v>
      </c>
      <c r="R10751" s="5">
        <v>28</v>
      </c>
      <c r="S10751" s="5">
        <v>755</v>
      </c>
    </row>
    <row r="10752" spans="1:19" ht="42" x14ac:dyDescent="0.15">
      <c r="A10752" s="2">
        <f>HYPERLINK("https://open-school.uspishnemisto.com.ua/school/560034/", 560034)</f>
        <v>560034</v>
      </c>
      <c r="B10752" s="3" t="s">
        <v>54423</v>
      </c>
      <c r="C10752" s="3" t="s">
        <v>54</v>
      </c>
      <c r="D10752" s="3" t="s">
        <v>32</v>
      </c>
      <c r="E10752" s="4" t="s">
        <v>22</v>
      </c>
      <c r="F10752" s="4" t="s">
        <v>54294</v>
      </c>
      <c r="G10752" s="4" t="s">
        <v>54288</v>
      </c>
      <c r="H10752" s="3" t="s">
        <v>54289</v>
      </c>
      <c r="I10752" s="3" t="s">
        <v>2744</v>
      </c>
      <c r="J10752" s="3" t="s">
        <v>54424</v>
      </c>
      <c r="K10752" s="3" t="s">
        <v>54425</v>
      </c>
      <c r="L10752" s="3"/>
      <c r="M10752" s="4"/>
      <c r="N10752" s="3" t="s">
        <v>37</v>
      </c>
      <c r="O10752" s="3" t="s">
        <v>139</v>
      </c>
      <c r="P10752" s="5">
        <v>34</v>
      </c>
      <c r="Q10752" s="5">
        <v>932</v>
      </c>
      <c r="R10752" s="5">
        <v>32</v>
      </c>
      <c r="S10752" s="5">
        <v>837</v>
      </c>
    </row>
    <row r="10753" spans="1:19" ht="28" x14ac:dyDescent="0.15">
      <c r="A10753" s="2">
        <f>HYPERLINK("https://open-school.uspishnemisto.com.ua/school/560035/", 560035)</f>
        <v>560035</v>
      </c>
      <c r="B10753" s="3" t="s">
        <v>54426</v>
      </c>
      <c r="C10753" s="3" t="s">
        <v>54</v>
      </c>
      <c r="D10753" s="3" t="s">
        <v>60</v>
      </c>
      <c r="E10753" s="4" t="s">
        <v>22</v>
      </c>
      <c r="F10753" s="4" t="s">
        <v>54427</v>
      </c>
      <c r="G10753" s="4" t="s">
        <v>54288</v>
      </c>
      <c r="H10753" s="3" t="s">
        <v>54289</v>
      </c>
      <c r="I10753" s="3" t="s">
        <v>2744</v>
      </c>
      <c r="J10753" s="3" t="s">
        <v>54428</v>
      </c>
      <c r="K10753" s="3" t="s">
        <v>54429</v>
      </c>
      <c r="L10753" s="3"/>
      <c r="M10753" s="4"/>
      <c r="N10753" s="3" t="s">
        <v>37</v>
      </c>
      <c r="O10753" s="3" t="s">
        <v>52</v>
      </c>
      <c r="P10753" s="5">
        <v>3</v>
      </c>
      <c r="Q10753" s="5">
        <v>94</v>
      </c>
      <c r="R10753" s="5">
        <v>4</v>
      </c>
      <c r="S10753" s="5">
        <v>129</v>
      </c>
    </row>
    <row r="10754" spans="1:19" ht="42" x14ac:dyDescent="0.15">
      <c r="A10754" s="2">
        <f>HYPERLINK("https://open-school.uspishnemisto.com.ua/school/560036/", 560036)</f>
        <v>560036</v>
      </c>
      <c r="B10754" s="3" t="s">
        <v>54430</v>
      </c>
      <c r="C10754" s="3" t="s">
        <v>54</v>
      </c>
      <c r="D10754" s="3" t="s">
        <v>32</v>
      </c>
      <c r="E10754" s="4" t="s">
        <v>22</v>
      </c>
      <c r="F10754" s="4" t="s">
        <v>54431</v>
      </c>
      <c r="G10754" s="4" t="s">
        <v>54288</v>
      </c>
      <c r="H10754" s="3" t="s">
        <v>54289</v>
      </c>
      <c r="I10754" s="3" t="s">
        <v>2744</v>
      </c>
      <c r="J10754" s="3" t="s">
        <v>54432</v>
      </c>
      <c r="K10754" s="3" t="s">
        <v>54433</v>
      </c>
      <c r="L10754" s="3"/>
      <c r="M10754" s="4"/>
      <c r="N10754" s="3" t="s">
        <v>37</v>
      </c>
      <c r="O10754" s="3" t="s">
        <v>237</v>
      </c>
      <c r="P10754" s="5">
        <v>56</v>
      </c>
      <c r="Q10754" s="5">
        <v>1748</v>
      </c>
      <c r="R10754" s="5">
        <v>58</v>
      </c>
      <c r="S10754" s="5">
        <v>1756</v>
      </c>
    </row>
    <row r="10755" spans="1:19" ht="28" x14ac:dyDescent="0.15">
      <c r="A10755" s="2">
        <f>HYPERLINK("https://open-school.uspishnemisto.com.ua/school/560037/", 560037)</f>
        <v>560037</v>
      </c>
      <c r="B10755" s="3" t="s">
        <v>54434</v>
      </c>
      <c r="C10755" s="3" t="s">
        <v>54</v>
      </c>
      <c r="D10755" s="3" t="s">
        <v>32</v>
      </c>
      <c r="E10755" s="4" t="s">
        <v>22</v>
      </c>
      <c r="F10755" s="4" t="s">
        <v>54431</v>
      </c>
      <c r="G10755" s="4" t="s">
        <v>54288</v>
      </c>
      <c r="H10755" s="3" t="s">
        <v>54289</v>
      </c>
      <c r="I10755" s="3" t="s">
        <v>2744</v>
      </c>
      <c r="J10755" s="3" t="s">
        <v>54399</v>
      </c>
      <c r="K10755" s="3"/>
      <c r="L10755" s="3" t="s">
        <v>54435</v>
      </c>
      <c r="M10755" s="4"/>
      <c r="N10755" s="3" t="s">
        <v>37</v>
      </c>
      <c r="O10755" s="3" t="s">
        <v>123</v>
      </c>
      <c r="P10755" s="5">
        <v>44</v>
      </c>
      <c r="Q10755" s="5">
        <v>1324</v>
      </c>
      <c r="R10755" s="5">
        <v>43</v>
      </c>
      <c r="S10755" s="5">
        <v>1232</v>
      </c>
    </row>
    <row r="10756" spans="1:19" ht="28" x14ac:dyDescent="0.15">
      <c r="A10756" s="2">
        <f>HYPERLINK("https://open-school.uspishnemisto.com.ua/school/560038/", 560038)</f>
        <v>560038</v>
      </c>
      <c r="B10756" s="3" t="s">
        <v>54436</v>
      </c>
      <c r="C10756" s="3" t="s">
        <v>54</v>
      </c>
      <c r="D10756" s="3" t="s">
        <v>60</v>
      </c>
      <c r="E10756" s="4" t="s">
        <v>22</v>
      </c>
      <c r="F10756" s="4" t="s">
        <v>54287</v>
      </c>
      <c r="G10756" s="4" t="s">
        <v>54288</v>
      </c>
      <c r="H10756" s="3" t="s">
        <v>54289</v>
      </c>
      <c r="I10756" s="3" t="s">
        <v>2744</v>
      </c>
      <c r="J10756" s="3" t="s">
        <v>54437</v>
      </c>
      <c r="K10756" s="3" t="s">
        <v>54438</v>
      </c>
      <c r="L10756" s="3" t="s">
        <v>54439</v>
      </c>
      <c r="M10756" s="4" t="s">
        <v>54440</v>
      </c>
      <c r="N10756" s="3" t="s">
        <v>37</v>
      </c>
      <c r="O10756" s="3" t="s">
        <v>52</v>
      </c>
      <c r="P10756" s="5">
        <v>1</v>
      </c>
      <c r="Q10756" s="5">
        <v>21</v>
      </c>
      <c r="R10756" s="5">
        <v>2</v>
      </c>
      <c r="S10756" s="5">
        <v>57</v>
      </c>
    </row>
    <row r="10757" spans="1:19" ht="42" x14ac:dyDescent="0.15">
      <c r="A10757" s="2">
        <f>HYPERLINK("https://open-school.uspishnemisto.com.ua/school/560039/", 560039)</f>
        <v>560039</v>
      </c>
      <c r="B10757" s="3" t="s">
        <v>54441</v>
      </c>
      <c r="C10757" s="3" t="s">
        <v>174</v>
      </c>
      <c r="D10757" s="3" t="s">
        <v>175</v>
      </c>
      <c r="E10757" s="4" t="s">
        <v>22</v>
      </c>
      <c r="F10757" s="4" t="s">
        <v>54350</v>
      </c>
      <c r="G10757" s="4" t="s">
        <v>54288</v>
      </c>
      <c r="H10757" s="3" t="s">
        <v>54289</v>
      </c>
      <c r="I10757" s="3" t="s">
        <v>2744</v>
      </c>
      <c r="J10757" s="3" t="s">
        <v>54442</v>
      </c>
      <c r="K10757" s="3" t="s">
        <v>54443</v>
      </c>
      <c r="L10757" s="3" t="s">
        <v>54444</v>
      </c>
      <c r="M10757" s="4" t="s">
        <v>54445</v>
      </c>
      <c r="N10757" s="3" t="s">
        <v>37</v>
      </c>
      <c r="O10757" s="3" t="s">
        <v>52</v>
      </c>
      <c r="P10757" s="5">
        <v>19</v>
      </c>
      <c r="Q10757" s="5">
        <v>178</v>
      </c>
      <c r="R10757" s="5">
        <v>17</v>
      </c>
      <c r="S10757" s="5">
        <v>163</v>
      </c>
    </row>
    <row r="10758" spans="1:19" ht="28" x14ac:dyDescent="0.15">
      <c r="A10758" s="2">
        <f>HYPERLINK("https://open-school.uspishnemisto.com.ua/school/560040/", 560040)</f>
        <v>560040</v>
      </c>
      <c r="B10758" s="3" t="s">
        <v>54446</v>
      </c>
      <c r="C10758" s="3" t="s">
        <v>188</v>
      </c>
      <c r="D10758" s="3" t="s">
        <v>32</v>
      </c>
      <c r="E10758" s="4" t="s">
        <v>22</v>
      </c>
      <c r="F10758" s="4" t="s">
        <v>54353</v>
      </c>
      <c r="G10758" s="4" t="s">
        <v>54288</v>
      </c>
      <c r="H10758" s="3" t="s">
        <v>54289</v>
      </c>
      <c r="I10758" s="3" t="s">
        <v>2744</v>
      </c>
      <c r="J10758" s="3" t="s">
        <v>54447</v>
      </c>
      <c r="K10758" s="3" t="s">
        <v>54448</v>
      </c>
      <c r="L10758" s="3"/>
      <c r="M10758" s="4" t="s">
        <v>54449</v>
      </c>
      <c r="N10758" s="3" t="s">
        <v>37</v>
      </c>
      <c r="O10758" s="3" t="s">
        <v>52</v>
      </c>
      <c r="P10758" s="5">
        <v>8</v>
      </c>
      <c r="Q10758" s="5">
        <v>237</v>
      </c>
      <c r="R10758" s="5">
        <v>8</v>
      </c>
      <c r="S10758" s="5">
        <v>231</v>
      </c>
    </row>
    <row r="10759" spans="1:19" ht="28" x14ac:dyDescent="0.15">
      <c r="A10759" s="2">
        <f>HYPERLINK("https://open-school.uspishnemisto.com.ua/school/560041/", 560041)</f>
        <v>560041</v>
      </c>
      <c r="B10759" s="3" t="s">
        <v>54450</v>
      </c>
      <c r="C10759" s="3" t="s">
        <v>40</v>
      </c>
      <c r="D10759" s="3" t="s">
        <v>32</v>
      </c>
      <c r="E10759" s="4" t="s">
        <v>22</v>
      </c>
      <c r="F10759" s="4" t="s">
        <v>54451</v>
      </c>
      <c r="G10759" s="4" t="s">
        <v>54452</v>
      </c>
      <c r="H10759" s="3" t="s">
        <v>54289</v>
      </c>
      <c r="I10759" s="3" t="s">
        <v>54453</v>
      </c>
      <c r="J10759" s="3" t="s">
        <v>54454</v>
      </c>
      <c r="K10759" s="3" t="s">
        <v>54455</v>
      </c>
      <c r="L10759" s="3"/>
      <c r="M10759" s="4"/>
      <c r="N10759" s="3" t="s">
        <v>37</v>
      </c>
      <c r="O10759" s="3" t="s">
        <v>46</v>
      </c>
      <c r="P10759" s="5">
        <v>20</v>
      </c>
      <c r="Q10759" s="5">
        <v>550</v>
      </c>
      <c r="R10759" s="5">
        <v>20</v>
      </c>
      <c r="S10759" s="5">
        <v>520</v>
      </c>
    </row>
    <row r="10760" spans="1:19" ht="28" x14ac:dyDescent="0.15">
      <c r="A10760" s="2">
        <f>HYPERLINK("https://open-school.uspishnemisto.com.ua/school/560042/", 560042)</f>
        <v>560042</v>
      </c>
      <c r="B10760" s="3" t="s">
        <v>54456</v>
      </c>
      <c r="C10760" s="3" t="s">
        <v>31</v>
      </c>
      <c r="D10760" s="3" t="s">
        <v>32</v>
      </c>
      <c r="E10760" s="4" t="s">
        <v>22</v>
      </c>
      <c r="F10760" s="4" t="s">
        <v>54457</v>
      </c>
      <c r="G10760" s="4" t="s">
        <v>54452</v>
      </c>
      <c r="H10760" s="3" t="s">
        <v>54289</v>
      </c>
      <c r="I10760" s="3" t="s">
        <v>54453</v>
      </c>
      <c r="J10760" s="3" t="s">
        <v>610</v>
      </c>
      <c r="K10760" s="3" t="s">
        <v>54458</v>
      </c>
      <c r="L10760" s="3"/>
      <c r="M10760" s="4"/>
      <c r="N10760" s="3" t="s">
        <v>37</v>
      </c>
      <c r="O10760" s="3" t="s">
        <v>1081</v>
      </c>
      <c r="P10760" s="5">
        <v>22</v>
      </c>
      <c r="Q10760" s="5">
        <v>574</v>
      </c>
      <c r="R10760" s="5">
        <v>22</v>
      </c>
      <c r="S10760" s="5">
        <v>543</v>
      </c>
    </row>
    <row r="10761" spans="1:19" ht="28" x14ac:dyDescent="0.15">
      <c r="A10761" s="2">
        <f>HYPERLINK("https://open-school.uspishnemisto.com.ua/school/560043/", 560043)</f>
        <v>560043</v>
      </c>
      <c r="B10761" s="3" t="s">
        <v>54459</v>
      </c>
      <c r="C10761" s="3" t="s">
        <v>31</v>
      </c>
      <c r="D10761" s="3" t="s">
        <v>32</v>
      </c>
      <c r="E10761" s="4" t="s">
        <v>22</v>
      </c>
      <c r="F10761" s="4" t="s">
        <v>54451</v>
      </c>
      <c r="G10761" s="4" t="s">
        <v>54452</v>
      </c>
      <c r="H10761" s="3" t="s">
        <v>54289</v>
      </c>
      <c r="I10761" s="3" t="s">
        <v>54453</v>
      </c>
      <c r="J10761" s="3" t="s">
        <v>54460</v>
      </c>
      <c r="K10761" s="3" t="s">
        <v>54461</v>
      </c>
      <c r="L10761" s="3"/>
      <c r="M10761" s="4"/>
      <c r="N10761" s="3" t="s">
        <v>37</v>
      </c>
      <c r="O10761" s="3" t="s">
        <v>6354</v>
      </c>
      <c r="P10761" s="5">
        <v>34</v>
      </c>
      <c r="Q10761" s="5">
        <v>876</v>
      </c>
      <c r="R10761" s="5">
        <v>33</v>
      </c>
      <c r="S10761" s="5">
        <v>859</v>
      </c>
    </row>
    <row r="10762" spans="1:19" ht="28" x14ac:dyDescent="0.15">
      <c r="A10762" s="2">
        <f>HYPERLINK("https://open-school.uspishnemisto.com.ua/school/560044/", 560044)</f>
        <v>560044</v>
      </c>
      <c r="B10762" s="3" t="s">
        <v>54462</v>
      </c>
      <c r="C10762" s="3" t="s">
        <v>31</v>
      </c>
      <c r="D10762" s="3" t="s">
        <v>32</v>
      </c>
      <c r="E10762" s="4" t="s">
        <v>22</v>
      </c>
      <c r="F10762" s="4" t="s">
        <v>54463</v>
      </c>
      <c r="G10762" s="4" t="s">
        <v>54452</v>
      </c>
      <c r="H10762" s="3" t="s">
        <v>54289</v>
      </c>
      <c r="I10762" s="3" t="s">
        <v>54453</v>
      </c>
      <c r="J10762" s="3" t="s">
        <v>6677</v>
      </c>
      <c r="K10762" s="3" t="s">
        <v>54464</v>
      </c>
      <c r="L10762" s="3" t="s">
        <v>54465</v>
      </c>
      <c r="M10762" s="4"/>
      <c r="N10762" s="3" t="s">
        <v>37</v>
      </c>
      <c r="O10762" s="3" t="s">
        <v>6354</v>
      </c>
      <c r="P10762" s="5">
        <v>21</v>
      </c>
      <c r="Q10762" s="5">
        <v>519</v>
      </c>
      <c r="R10762" s="5">
        <v>21</v>
      </c>
      <c r="S10762" s="5">
        <v>506</v>
      </c>
    </row>
    <row r="10763" spans="1:19" ht="28" x14ac:dyDescent="0.15">
      <c r="A10763" s="2">
        <f>HYPERLINK("https://open-school.uspishnemisto.com.ua/school/560045/", 560045)</f>
        <v>560045</v>
      </c>
      <c r="B10763" s="3" t="s">
        <v>54466</v>
      </c>
      <c r="C10763" s="3" t="s">
        <v>31</v>
      </c>
      <c r="D10763" s="3"/>
      <c r="E10763" s="4" t="s">
        <v>22</v>
      </c>
      <c r="F10763" s="4"/>
      <c r="G10763" s="4" t="s">
        <v>54452</v>
      </c>
      <c r="H10763" s="3" t="s">
        <v>54289</v>
      </c>
      <c r="I10763" s="3" t="s">
        <v>54453</v>
      </c>
      <c r="J10763" s="3"/>
      <c r="K10763" s="3"/>
      <c r="L10763" s="3"/>
      <c r="M10763" s="4"/>
      <c r="N10763" s="3"/>
      <c r="O10763" s="3"/>
      <c r="P10763" s="5">
        <v>0</v>
      </c>
      <c r="Q10763" s="5">
        <v>0</v>
      </c>
      <c r="R10763" s="5"/>
      <c r="S10763" s="5"/>
    </row>
    <row r="10764" spans="1:19" ht="42" x14ac:dyDescent="0.15">
      <c r="A10764" s="2">
        <f>HYPERLINK("https://open-school.uspishnemisto.com.ua/school/560046/", 560046)</f>
        <v>560046</v>
      </c>
      <c r="B10764" s="3" t="s">
        <v>54467</v>
      </c>
      <c r="C10764" s="3" t="s">
        <v>244</v>
      </c>
      <c r="D10764" s="3" t="s">
        <v>32</v>
      </c>
      <c r="E10764" s="4" t="s">
        <v>22</v>
      </c>
      <c r="F10764" s="4" t="s">
        <v>54451</v>
      </c>
      <c r="G10764" s="4" t="s">
        <v>54452</v>
      </c>
      <c r="H10764" s="3" t="s">
        <v>54289</v>
      </c>
      <c r="I10764" s="3" t="s">
        <v>54453</v>
      </c>
      <c r="J10764" s="3" t="s">
        <v>14683</v>
      </c>
      <c r="K10764" s="3" t="s">
        <v>54468</v>
      </c>
      <c r="L10764" s="3" t="s">
        <v>54469</v>
      </c>
      <c r="M10764" s="4"/>
      <c r="N10764" s="3" t="s">
        <v>37</v>
      </c>
      <c r="O10764" s="3" t="s">
        <v>46</v>
      </c>
      <c r="P10764" s="5">
        <v>20</v>
      </c>
      <c r="Q10764" s="5">
        <v>500</v>
      </c>
      <c r="R10764" s="5">
        <v>20</v>
      </c>
      <c r="S10764" s="5">
        <v>493</v>
      </c>
    </row>
    <row r="10765" spans="1:19" ht="42" x14ac:dyDescent="0.15">
      <c r="A10765" s="2">
        <f>HYPERLINK("https://open-school.uspishnemisto.com.ua/school/560047/", 560047)</f>
        <v>560047</v>
      </c>
      <c r="B10765" s="3" t="s">
        <v>54470</v>
      </c>
      <c r="C10765" s="3" t="s">
        <v>54</v>
      </c>
      <c r="D10765" s="3" t="s">
        <v>60</v>
      </c>
      <c r="E10765" s="4" t="s">
        <v>22</v>
      </c>
      <c r="F10765" s="4" t="s">
        <v>54457</v>
      </c>
      <c r="G10765" s="4" t="s">
        <v>54452</v>
      </c>
      <c r="H10765" s="3" t="s">
        <v>54289</v>
      </c>
      <c r="I10765" s="3" t="s">
        <v>54453</v>
      </c>
      <c r="J10765" s="3" t="s">
        <v>54471</v>
      </c>
      <c r="K10765" s="3" t="s">
        <v>54472</v>
      </c>
      <c r="L10765" s="3"/>
      <c r="M10765" s="4"/>
      <c r="N10765" s="3" t="s">
        <v>37</v>
      </c>
      <c r="O10765" s="3" t="s">
        <v>52</v>
      </c>
      <c r="P10765" s="5">
        <v>16</v>
      </c>
      <c r="Q10765" s="5">
        <v>512</v>
      </c>
      <c r="R10765" s="5">
        <v>16</v>
      </c>
      <c r="S10765" s="5">
        <v>494</v>
      </c>
    </row>
    <row r="10766" spans="1:19" ht="28" x14ac:dyDescent="0.15">
      <c r="A10766" s="2">
        <f>HYPERLINK("https://open-school.uspishnemisto.com.ua/school/560048/", 560048)</f>
        <v>560048</v>
      </c>
      <c r="B10766" s="3" t="s">
        <v>54473</v>
      </c>
      <c r="C10766" s="3" t="s">
        <v>54</v>
      </c>
      <c r="D10766" s="3" t="s">
        <v>32</v>
      </c>
      <c r="E10766" s="4" t="s">
        <v>22</v>
      </c>
      <c r="F10766" s="4" t="s">
        <v>54474</v>
      </c>
      <c r="G10766" s="4" t="s">
        <v>54452</v>
      </c>
      <c r="H10766" s="3" t="s">
        <v>54289</v>
      </c>
      <c r="I10766" s="3" t="s">
        <v>54453</v>
      </c>
      <c r="J10766" s="3" t="s">
        <v>54475</v>
      </c>
      <c r="K10766" s="3" t="s">
        <v>54476</v>
      </c>
      <c r="L10766" s="3"/>
      <c r="M10766" s="4"/>
      <c r="N10766" s="3" t="s">
        <v>37</v>
      </c>
      <c r="O10766" s="3" t="s">
        <v>46</v>
      </c>
      <c r="P10766" s="5">
        <v>20</v>
      </c>
      <c r="Q10766" s="5">
        <v>469</v>
      </c>
      <c r="R10766" s="5">
        <v>20</v>
      </c>
      <c r="S10766" s="5">
        <v>454</v>
      </c>
    </row>
    <row r="10767" spans="1:19" ht="28" x14ac:dyDescent="0.15">
      <c r="A10767" s="2">
        <f>HYPERLINK("https://open-school.uspishnemisto.com.ua/school/560049/", 560049)</f>
        <v>560049</v>
      </c>
      <c r="B10767" s="3" t="s">
        <v>54477</v>
      </c>
      <c r="C10767" s="3" t="s">
        <v>31</v>
      </c>
      <c r="D10767" s="3" t="s">
        <v>32</v>
      </c>
      <c r="E10767" s="4" t="s">
        <v>22</v>
      </c>
      <c r="F10767" s="4" t="s">
        <v>54457</v>
      </c>
      <c r="G10767" s="4" t="s">
        <v>54452</v>
      </c>
      <c r="H10767" s="3" t="s">
        <v>54289</v>
      </c>
      <c r="I10767" s="3" t="s">
        <v>54453</v>
      </c>
      <c r="J10767" s="3" t="s">
        <v>54478</v>
      </c>
      <c r="K10767" s="3" t="s">
        <v>54479</v>
      </c>
      <c r="L10767" s="3"/>
      <c r="M10767" s="4"/>
      <c r="N10767" s="3" t="s">
        <v>37</v>
      </c>
      <c r="O10767" s="3" t="s">
        <v>46</v>
      </c>
      <c r="P10767" s="5">
        <v>19</v>
      </c>
      <c r="Q10767" s="5">
        <v>416</v>
      </c>
      <c r="R10767" s="5">
        <v>19</v>
      </c>
      <c r="S10767" s="5">
        <v>396</v>
      </c>
    </row>
    <row r="10768" spans="1:19" ht="42" x14ac:dyDescent="0.15">
      <c r="A10768" s="2">
        <f>HYPERLINK("https://open-school.uspishnemisto.com.ua/school/560050/", 560050)</f>
        <v>560050</v>
      </c>
      <c r="B10768" s="3" t="s">
        <v>54480</v>
      </c>
      <c r="C10768" s="3" t="s">
        <v>181</v>
      </c>
      <c r="D10768" s="3" t="s">
        <v>175</v>
      </c>
      <c r="E10768" s="4" t="s">
        <v>22</v>
      </c>
      <c r="F10768" s="4" t="s">
        <v>54457</v>
      </c>
      <c r="G10768" s="4" t="s">
        <v>54452</v>
      </c>
      <c r="H10768" s="3" t="s">
        <v>54289</v>
      </c>
      <c r="I10768" s="3" t="s">
        <v>54453</v>
      </c>
      <c r="J10768" s="3" t="s">
        <v>54481</v>
      </c>
      <c r="K10768" s="3" t="s">
        <v>54482</v>
      </c>
      <c r="L10768" s="3"/>
      <c r="M10768" s="4" t="s">
        <v>54483</v>
      </c>
      <c r="N10768" s="3" t="s">
        <v>37</v>
      </c>
      <c r="O10768" s="3"/>
      <c r="P10768" s="5">
        <v>11</v>
      </c>
      <c r="Q10768" s="5">
        <v>81</v>
      </c>
      <c r="R10768" s="5">
        <v>11</v>
      </c>
      <c r="S10768" s="5">
        <v>79</v>
      </c>
    </row>
    <row r="10769" spans="1:19" ht="28" x14ac:dyDescent="0.15">
      <c r="A10769" s="2">
        <f>HYPERLINK("https://open-school.uspishnemisto.com.ua/school/560051/", 560051)</f>
        <v>560051</v>
      </c>
      <c r="B10769" s="3" t="s">
        <v>54484</v>
      </c>
      <c r="C10769" s="3" t="s">
        <v>40</v>
      </c>
      <c r="D10769" s="3" t="s">
        <v>32</v>
      </c>
      <c r="E10769" s="4" t="s">
        <v>22</v>
      </c>
      <c r="F10769" s="4" t="s">
        <v>54485</v>
      </c>
      <c r="G10769" s="4" t="s">
        <v>54486</v>
      </c>
      <c r="H10769" s="3" t="s">
        <v>54289</v>
      </c>
      <c r="I10769" s="3" t="s">
        <v>54487</v>
      </c>
      <c r="J10769" s="3" t="s">
        <v>54488</v>
      </c>
      <c r="K10769" s="3" t="s">
        <v>54489</v>
      </c>
      <c r="L10769" s="3" t="s">
        <v>54490</v>
      </c>
      <c r="M10769" s="4"/>
      <c r="N10769" s="3" t="s">
        <v>37</v>
      </c>
      <c r="O10769" s="3" t="s">
        <v>70</v>
      </c>
      <c r="P10769" s="5">
        <v>16</v>
      </c>
      <c r="Q10769" s="5">
        <v>364</v>
      </c>
      <c r="R10769" s="5">
        <v>16</v>
      </c>
      <c r="S10769" s="5">
        <v>372</v>
      </c>
    </row>
    <row r="10770" spans="1:19" ht="28" x14ac:dyDescent="0.15">
      <c r="A10770" s="2">
        <f>HYPERLINK("https://open-school.uspishnemisto.com.ua/school/560052/", 560052)</f>
        <v>560052</v>
      </c>
      <c r="B10770" s="3" t="s">
        <v>54491</v>
      </c>
      <c r="C10770" s="3" t="s">
        <v>31</v>
      </c>
      <c r="D10770" s="3" t="s">
        <v>32</v>
      </c>
      <c r="E10770" s="4" t="s">
        <v>22</v>
      </c>
      <c r="F10770" s="4" t="s">
        <v>54485</v>
      </c>
      <c r="G10770" s="4" t="s">
        <v>54486</v>
      </c>
      <c r="H10770" s="3" t="s">
        <v>54289</v>
      </c>
      <c r="I10770" s="3" t="s">
        <v>54487</v>
      </c>
      <c r="J10770" s="3" t="s">
        <v>54492</v>
      </c>
      <c r="K10770" s="3" t="s">
        <v>54493</v>
      </c>
      <c r="L10770" s="3" t="s">
        <v>54494</v>
      </c>
      <c r="M10770" s="4"/>
      <c r="N10770" s="3" t="s">
        <v>37</v>
      </c>
      <c r="O10770" s="3" t="s">
        <v>46</v>
      </c>
      <c r="P10770" s="5">
        <v>30</v>
      </c>
      <c r="Q10770" s="5">
        <v>776</v>
      </c>
      <c r="R10770" s="5">
        <v>29</v>
      </c>
      <c r="S10770" s="5">
        <v>740</v>
      </c>
    </row>
    <row r="10771" spans="1:19" ht="28" x14ac:dyDescent="0.15">
      <c r="A10771" s="2">
        <f>HYPERLINK("https://open-school.uspishnemisto.com.ua/school/560053/", 560053)</f>
        <v>560053</v>
      </c>
      <c r="B10771" s="3" t="s">
        <v>54495</v>
      </c>
      <c r="C10771" s="3" t="s">
        <v>31</v>
      </c>
      <c r="D10771" s="3" t="s">
        <v>32</v>
      </c>
      <c r="E10771" s="4" t="s">
        <v>22</v>
      </c>
      <c r="F10771" s="4" t="s">
        <v>54485</v>
      </c>
      <c r="G10771" s="4" t="s">
        <v>54486</v>
      </c>
      <c r="H10771" s="3" t="s">
        <v>54289</v>
      </c>
      <c r="I10771" s="3" t="s">
        <v>54487</v>
      </c>
      <c r="J10771" s="3" t="s">
        <v>54496</v>
      </c>
      <c r="K10771" s="3" t="s">
        <v>54497</v>
      </c>
      <c r="L10771" s="3" t="s">
        <v>54498</v>
      </c>
      <c r="M10771" s="4"/>
      <c r="N10771" s="3" t="s">
        <v>37</v>
      </c>
      <c r="O10771" s="3" t="s">
        <v>46</v>
      </c>
      <c r="P10771" s="5">
        <v>27</v>
      </c>
      <c r="Q10771" s="5">
        <v>688</v>
      </c>
      <c r="R10771" s="5">
        <v>27</v>
      </c>
      <c r="S10771" s="5">
        <v>687</v>
      </c>
    </row>
    <row r="10772" spans="1:19" ht="28" x14ac:dyDescent="0.15">
      <c r="A10772" s="2">
        <f>HYPERLINK("https://open-school.uspishnemisto.com.ua/school/560054/", 560054)</f>
        <v>560054</v>
      </c>
      <c r="B10772" s="3" t="s">
        <v>54499</v>
      </c>
      <c r="C10772" s="3" t="s">
        <v>31</v>
      </c>
      <c r="D10772" s="3" t="s">
        <v>32</v>
      </c>
      <c r="E10772" s="4" t="s">
        <v>22</v>
      </c>
      <c r="F10772" s="4" t="s">
        <v>54485</v>
      </c>
      <c r="G10772" s="4" t="s">
        <v>54486</v>
      </c>
      <c r="H10772" s="3" t="s">
        <v>54289</v>
      </c>
      <c r="I10772" s="3" t="s">
        <v>54487</v>
      </c>
      <c r="J10772" s="3" t="s">
        <v>54500</v>
      </c>
      <c r="K10772" s="3" t="s">
        <v>54501</v>
      </c>
      <c r="L10772" s="3" t="s">
        <v>54502</v>
      </c>
      <c r="M10772" s="4"/>
      <c r="N10772" s="3" t="s">
        <v>37</v>
      </c>
      <c r="O10772" s="3" t="s">
        <v>70</v>
      </c>
      <c r="P10772" s="5">
        <v>48</v>
      </c>
      <c r="Q10772" s="5">
        <v>1317</v>
      </c>
      <c r="R10772" s="5">
        <v>48</v>
      </c>
      <c r="S10772" s="5">
        <v>1305</v>
      </c>
    </row>
    <row r="10773" spans="1:19" ht="28" x14ac:dyDescent="0.15">
      <c r="A10773" s="2">
        <f>HYPERLINK("https://open-school.uspishnemisto.com.ua/school/560055/", 560055)</f>
        <v>560055</v>
      </c>
      <c r="B10773" s="3" t="s">
        <v>54503</v>
      </c>
      <c r="C10773" s="3" t="s">
        <v>31</v>
      </c>
      <c r="D10773" s="3" t="s">
        <v>32</v>
      </c>
      <c r="E10773" s="4" t="s">
        <v>22</v>
      </c>
      <c r="F10773" s="4" t="s">
        <v>54485</v>
      </c>
      <c r="G10773" s="4" t="s">
        <v>54486</v>
      </c>
      <c r="H10773" s="3" t="s">
        <v>54289</v>
      </c>
      <c r="I10773" s="3" t="s">
        <v>54487</v>
      </c>
      <c r="J10773" s="3" t="s">
        <v>54504</v>
      </c>
      <c r="K10773" s="3" t="s">
        <v>54505</v>
      </c>
      <c r="L10773" s="3" t="s">
        <v>54506</v>
      </c>
      <c r="M10773" s="4"/>
      <c r="N10773" s="3" t="s">
        <v>37</v>
      </c>
      <c r="O10773" s="3" t="s">
        <v>52</v>
      </c>
      <c r="P10773" s="5">
        <v>50</v>
      </c>
      <c r="Q10773" s="5">
        <v>1315</v>
      </c>
      <c r="R10773" s="5">
        <v>50</v>
      </c>
      <c r="S10773" s="5">
        <v>1319</v>
      </c>
    </row>
    <row r="10774" spans="1:19" ht="28" x14ac:dyDescent="0.15">
      <c r="A10774" s="2">
        <f>HYPERLINK("https://open-school.uspishnemisto.com.ua/school/560056/", 560056)</f>
        <v>560056</v>
      </c>
      <c r="B10774" s="3" t="s">
        <v>54507</v>
      </c>
      <c r="C10774" s="3" t="s">
        <v>31</v>
      </c>
      <c r="D10774" s="3" t="s">
        <v>32</v>
      </c>
      <c r="E10774" s="4" t="s">
        <v>22</v>
      </c>
      <c r="F10774" s="4" t="s">
        <v>54485</v>
      </c>
      <c r="G10774" s="4" t="s">
        <v>54486</v>
      </c>
      <c r="H10774" s="3" t="s">
        <v>54289</v>
      </c>
      <c r="I10774" s="3" t="s">
        <v>54487</v>
      </c>
      <c r="J10774" s="3" t="s">
        <v>54508</v>
      </c>
      <c r="K10774" s="3" t="s">
        <v>54509</v>
      </c>
      <c r="L10774" s="3" t="s">
        <v>54510</v>
      </c>
      <c r="M10774" s="4"/>
      <c r="N10774" s="3" t="s">
        <v>37</v>
      </c>
      <c r="O10774" s="3" t="s">
        <v>52</v>
      </c>
      <c r="P10774" s="5">
        <v>26</v>
      </c>
      <c r="Q10774" s="5">
        <v>612</v>
      </c>
      <c r="R10774" s="5">
        <v>25</v>
      </c>
      <c r="S10774" s="5">
        <v>593</v>
      </c>
    </row>
    <row r="10775" spans="1:19" ht="28" x14ac:dyDescent="0.15">
      <c r="A10775" s="2">
        <f>HYPERLINK("https://open-school.uspishnemisto.com.ua/school/560057/", 560057)</f>
        <v>560057</v>
      </c>
      <c r="B10775" s="3" t="s">
        <v>54511</v>
      </c>
      <c r="C10775" s="3" t="s">
        <v>54</v>
      </c>
      <c r="D10775" s="3" t="s">
        <v>60</v>
      </c>
      <c r="E10775" s="4" t="s">
        <v>22</v>
      </c>
      <c r="F10775" s="4" t="s">
        <v>54485</v>
      </c>
      <c r="G10775" s="4" t="s">
        <v>54486</v>
      </c>
      <c r="H10775" s="3" t="s">
        <v>54289</v>
      </c>
      <c r="I10775" s="3" t="s">
        <v>54487</v>
      </c>
      <c r="J10775" s="3" t="s">
        <v>54512</v>
      </c>
      <c r="K10775" s="3" t="s">
        <v>54513</v>
      </c>
      <c r="L10775" s="3" t="s">
        <v>54514</v>
      </c>
      <c r="M10775" s="4"/>
      <c r="N10775" s="3" t="s">
        <v>37</v>
      </c>
      <c r="O10775" s="3" t="s">
        <v>52</v>
      </c>
      <c r="P10775" s="5">
        <v>4</v>
      </c>
      <c r="Q10775" s="5">
        <v>97</v>
      </c>
      <c r="R10775" s="5">
        <v>4</v>
      </c>
      <c r="S10775" s="5">
        <v>106</v>
      </c>
    </row>
    <row r="10776" spans="1:19" ht="42" x14ac:dyDescent="0.15">
      <c r="A10776" s="2">
        <f>HYPERLINK("https://open-school.uspishnemisto.com.ua/school/560058/", 560058)</f>
        <v>560058</v>
      </c>
      <c r="B10776" s="3" t="s">
        <v>54515</v>
      </c>
      <c r="C10776" s="3" t="s">
        <v>54</v>
      </c>
      <c r="D10776" s="3" t="s">
        <v>60</v>
      </c>
      <c r="E10776" s="4" t="s">
        <v>22</v>
      </c>
      <c r="F10776" s="4" t="s">
        <v>54485</v>
      </c>
      <c r="G10776" s="4" t="s">
        <v>54486</v>
      </c>
      <c r="H10776" s="3" t="s">
        <v>54289</v>
      </c>
      <c r="I10776" s="3" t="s">
        <v>54487</v>
      </c>
      <c r="J10776" s="3" t="s">
        <v>54516</v>
      </c>
      <c r="K10776" s="3" t="s">
        <v>54517</v>
      </c>
      <c r="L10776" s="3" t="s">
        <v>54518</v>
      </c>
      <c r="M10776" s="4"/>
      <c r="N10776" s="3" t="s">
        <v>37</v>
      </c>
      <c r="O10776" s="3" t="s">
        <v>52</v>
      </c>
      <c r="P10776" s="5">
        <v>7</v>
      </c>
      <c r="Q10776" s="5">
        <v>177</v>
      </c>
      <c r="R10776" s="5">
        <v>7</v>
      </c>
      <c r="S10776" s="5">
        <v>180</v>
      </c>
    </row>
    <row r="10777" spans="1:19" ht="42" x14ac:dyDescent="0.15">
      <c r="A10777" s="2">
        <f>HYPERLINK("https://open-school.uspishnemisto.com.ua/school/560059/", 560059)</f>
        <v>560059</v>
      </c>
      <c r="B10777" s="3" t="s">
        <v>54519</v>
      </c>
      <c r="C10777" s="3" t="s">
        <v>181</v>
      </c>
      <c r="D10777" s="3" t="s">
        <v>32</v>
      </c>
      <c r="E10777" s="4" t="s">
        <v>22</v>
      </c>
      <c r="F10777" s="4" t="s">
        <v>54520</v>
      </c>
      <c r="G10777" s="4" t="s">
        <v>54521</v>
      </c>
      <c r="H10777" s="3" t="s">
        <v>54289</v>
      </c>
      <c r="I10777" s="3" t="s">
        <v>54522</v>
      </c>
      <c r="J10777" s="3" t="s">
        <v>54523</v>
      </c>
      <c r="K10777" s="3" t="s">
        <v>54524</v>
      </c>
      <c r="L10777" s="3" t="s">
        <v>54525</v>
      </c>
      <c r="M10777" s="4" t="s">
        <v>54526</v>
      </c>
      <c r="N10777" s="3" t="s">
        <v>37</v>
      </c>
      <c r="O10777" s="3" t="s">
        <v>52</v>
      </c>
      <c r="P10777" s="5">
        <v>16</v>
      </c>
      <c r="Q10777" s="5">
        <v>94</v>
      </c>
      <c r="R10777" s="5">
        <v>17</v>
      </c>
      <c r="S10777" s="5">
        <v>95</v>
      </c>
    </row>
    <row r="10778" spans="1:19" ht="42" x14ac:dyDescent="0.15">
      <c r="A10778" s="2">
        <f>HYPERLINK("https://open-school.uspishnemisto.com.ua/school/560060/", 560060)</f>
        <v>560060</v>
      </c>
      <c r="B10778" s="3" t="s">
        <v>54527</v>
      </c>
      <c r="C10778" s="3" t="s">
        <v>181</v>
      </c>
      <c r="D10778" s="3" t="s">
        <v>175</v>
      </c>
      <c r="E10778" s="4" t="s">
        <v>22</v>
      </c>
      <c r="F10778" s="4" t="s">
        <v>54520</v>
      </c>
      <c r="G10778" s="4" t="s">
        <v>54521</v>
      </c>
      <c r="H10778" s="3" t="s">
        <v>54289</v>
      </c>
      <c r="I10778" s="3" t="s">
        <v>54522</v>
      </c>
      <c r="J10778" s="3" t="s">
        <v>54528</v>
      </c>
      <c r="K10778" s="3"/>
      <c r="L10778" s="3" t="s">
        <v>54529</v>
      </c>
      <c r="M10778" s="4" t="s">
        <v>54530</v>
      </c>
      <c r="N10778" s="3" t="s">
        <v>37</v>
      </c>
      <c r="O10778" s="3" t="s">
        <v>52</v>
      </c>
      <c r="P10778" s="5">
        <v>12</v>
      </c>
      <c r="Q10778" s="5">
        <v>93</v>
      </c>
      <c r="R10778" s="5">
        <v>12</v>
      </c>
      <c r="S10778" s="5">
        <v>92</v>
      </c>
    </row>
    <row r="10779" spans="1:19" ht="42" x14ac:dyDescent="0.15">
      <c r="A10779" s="2">
        <f>HYPERLINK("https://open-school.uspishnemisto.com.ua/school/560061/", 560061)</f>
        <v>560061</v>
      </c>
      <c r="B10779" s="3" t="s">
        <v>54531</v>
      </c>
      <c r="C10779" s="3" t="s">
        <v>48</v>
      </c>
      <c r="D10779" s="3" t="s">
        <v>32</v>
      </c>
      <c r="E10779" s="4" t="s">
        <v>22</v>
      </c>
      <c r="F10779" s="4" t="s">
        <v>54532</v>
      </c>
      <c r="G10779" s="4" t="s">
        <v>54521</v>
      </c>
      <c r="H10779" s="3" t="s">
        <v>54289</v>
      </c>
      <c r="I10779" s="3" t="s">
        <v>54522</v>
      </c>
      <c r="J10779" s="3" t="s">
        <v>54533</v>
      </c>
      <c r="K10779" s="3" t="s">
        <v>54534</v>
      </c>
      <c r="L10779" s="3" t="s">
        <v>54535</v>
      </c>
      <c r="M10779" s="4" t="s">
        <v>54536</v>
      </c>
      <c r="N10779" s="3" t="s">
        <v>37</v>
      </c>
      <c r="O10779" s="3" t="s">
        <v>52</v>
      </c>
      <c r="P10779" s="5">
        <v>6</v>
      </c>
      <c r="Q10779" s="5">
        <v>137</v>
      </c>
      <c r="R10779" s="5">
        <v>6</v>
      </c>
      <c r="S10779" s="5">
        <v>137</v>
      </c>
    </row>
    <row r="10780" spans="1:19" ht="28" x14ac:dyDescent="0.15">
      <c r="A10780" s="2">
        <f>HYPERLINK("https://open-school.uspishnemisto.com.ua/school/560062/", 560062)</f>
        <v>560062</v>
      </c>
      <c r="B10780" s="3" t="s">
        <v>54537</v>
      </c>
      <c r="C10780" s="3" t="s">
        <v>31</v>
      </c>
      <c r="D10780" s="3" t="s">
        <v>32</v>
      </c>
      <c r="E10780" s="4" t="s">
        <v>22</v>
      </c>
      <c r="F10780" s="4" t="s">
        <v>54532</v>
      </c>
      <c r="G10780" s="4" t="s">
        <v>54521</v>
      </c>
      <c r="H10780" s="3" t="s">
        <v>54289</v>
      </c>
      <c r="I10780" s="3" t="s">
        <v>54522</v>
      </c>
      <c r="J10780" s="3" t="s">
        <v>54538</v>
      </c>
      <c r="K10780" s="3" t="s">
        <v>54539</v>
      </c>
      <c r="L10780" s="3" t="s">
        <v>54540</v>
      </c>
      <c r="M10780" s="4"/>
      <c r="N10780" s="3" t="s">
        <v>37</v>
      </c>
      <c r="O10780" s="3" t="s">
        <v>139</v>
      </c>
      <c r="P10780" s="5">
        <v>31</v>
      </c>
      <c r="Q10780" s="5">
        <v>697</v>
      </c>
      <c r="R10780" s="5">
        <v>31</v>
      </c>
      <c r="S10780" s="5">
        <v>695</v>
      </c>
    </row>
    <row r="10781" spans="1:19" ht="28" x14ac:dyDescent="0.15">
      <c r="A10781" s="2">
        <f>HYPERLINK("https://open-school.uspishnemisto.com.ua/school/560063/", 560063)</f>
        <v>560063</v>
      </c>
      <c r="B10781" s="3" t="s">
        <v>54541</v>
      </c>
      <c r="C10781" s="3" t="s">
        <v>31</v>
      </c>
      <c r="D10781" s="3" t="s">
        <v>32</v>
      </c>
      <c r="E10781" s="4" t="s">
        <v>22</v>
      </c>
      <c r="F10781" s="4" t="s">
        <v>54532</v>
      </c>
      <c r="G10781" s="4" t="s">
        <v>54521</v>
      </c>
      <c r="H10781" s="3" t="s">
        <v>54289</v>
      </c>
      <c r="I10781" s="3" t="s">
        <v>54522</v>
      </c>
      <c r="J10781" s="3" t="s">
        <v>54542</v>
      </c>
      <c r="K10781" s="3" t="s">
        <v>54543</v>
      </c>
      <c r="L10781" s="3"/>
      <c r="M10781" s="4"/>
      <c r="N10781" s="3" t="s">
        <v>37</v>
      </c>
      <c r="O10781" s="3" t="s">
        <v>139</v>
      </c>
      <c r="P10781" s="5">
        <v>11</v>
      </c>
      <c r="Q10781" s="5">
        <v>223</v>
      </c>
      <c r="R10781" s="5">
        <v>11</v>
      </c>
      <c r="S10781" s="5">
        <v>211</v>
      </c>
    </row>
    <row r="10782" spans="1:19" ht="42" x14ac:dyDescent="0.15">
      <c r="A10782" s="2">
        <f>HYPERLINK("https://open-school.uspishnemisto.com.ua/school/560064/", 560064)</f>
        <v>560064</v>
      </c>
      <c r="B10782" s="3" t="s">
        <v>54544</v>
      </c>
      <c r="C10782" s="3" t="s">
        <v>54</v>
      </c>
      <c r="D10782" s="3" t="s">
        <v>32</v>
      </c>
      <c r="E10782" s="4" t="s">
        <v>22</v>
      </c>
      <c r="F10782" s="4" t="s">
        <v>54532</v>
      </c>
      <c r="G10782" s="4" t="s">
        <v>54521</v>
      </c>
      <c r="H10782" s="3" t="s">
        <v>54289</v>
      </c>
      <c r="I10782" s="3" t="s">
        <v>54522</v>
      </c>
      <c r="J10782" s="3" t="s">
        <v>54545</v>
      </c>
      <c r="K10782" s="3" t="s">
        <v>54546</v>
      </c>
      <c r="L10782" s="3"/>
      <c r="M10782" s="4"/>
      <c r="N10782" s="3" t="s">
        <v>37</v>
      </c>
      <c r="O10782" s="3" t="s">
        <v>1081</v>
      </c>
      <c r="P10782" s="5">
        <v>19</v>
      </c>
      <c r="Q10782" s="5">
        <v>461</v>
      </c>
      <c r="R10782" s="5">
        <v>18</v>
      </c>
      <c r="S10782" s="5">
        <v>432</v>
      </c>
    </row>
    <row r="10783" spans="1:19" ht="28" x14ac:dyDescent="0.15">
      <c r="A10783" s="2">
        <f>HYPERLINK("https://open-school.uspishnemisto.com.ua/school/560065/", 560065)</f>
        <v>560065</v>
      </c>
      <c r="B10783" s="3" t="s">
        <v>54547</v>
      </c>
      <c r="C10783" s="3" t="s">
        <v>40</v>
      </c>
      <c r="D10783" s="3" t="s">
        <v>32</v>
      </c>
      <c r="E10783" s="4" t="s">
        <v>22</v>
      </c>
      <c r="F10783" s="4" t="s">
        <v>54548</v>
      </c>
      <c r="G10783" s="4" t="s">
        <v>54549</v>
      </c>
      <c r="H10783" s="3" t="s">
        <v>54289</v>
      </c>
      <c r="I10783" s="3" t="s">
        <v>54550</v>
      </c>
      <c r="J10783" s="3" t="s">
        <v>34674</v>
      </c>
      <c r="K10783" s="3" t="s">
        <v>54551</v>
      </c>
      <c r="L10783" s="3" t="s">
        <v>54552</v>
      </c>
      <c r="M10783" s="4" t="s">
        <v>54553</v>
      </c>
      <c r="N10783" s="3" t="s">
        <v>37</v>
      </c>
      <c r="O10783" s="3" t="s">
        <v>46</v>
      </c>
      <c r="P10783" s="5">
        <v>18</v>
      </c>
      <c r="Q10783" s="5">
        <v>450</v>
      </c>
      <c r="R10783" s="5">
        <v>18</v>
      </c>
      <c r="S10783" s="5">
        <v>428</v>
      </c>
    </row>
    <row r="10784" spans="1:19" ht="28" x14ac:dyDescent="0.15">
      <c r="A10784" s="2">
        <f>HYPERLINK("https://open-school.uspishnemisto.com.ua/school/560066/", 560066)</f>
        <v>560066</v>
      </c>
      <c r="B10784" s="3" t="s">
        <v>54554</v>
      </c>
      <c r="C10784" s="3" t="s">
        <v>31</v>
      </c>
      <c r="D10784" s="3" t="s">
        <v>32</v>
      </c>
      <c r="E10784" s="4" t="s">
        <v>22</v>
      </c>
      <c r="F10784" s="4" t="s">
        <v>54548</v>
      </c>
      <c r="G10784" s="4" t="s">
        <v>54549</v>
      </c>
      <c r="H10784" s="3" t="s">
        <v>54289</v>
      </c>
      <c r="I10784" s="3" t="s">
        <v>54550</v>
      </c>
      <c r="J10784" s="3" t="s">
        <v>54555</v>
      </c>
      <c r="K10784" s="3" t="s">
        <v>54556</v>
      </c>
      <c r="L10784" s="3" t="s">
        <v>54557</v>
      </c>
      <c r="M10784" s="4" t="s">
        <v>54558</v>
      </c>
      <c r="N10784" s="3" t="s">
        <v>37</v>
      </c>
      <c r="O10784" s="3" t="s">
        <v>237</v>
      </c>
      <c r="P10784" s="5">
        <v>35</v>
      </c>
      <c r="Q10784" s="5">
        <v>861</v>
      </c>
      <c r="R10784" s="5">
        <v>33</v>
      </c>
      <c r="S10784" s="5">
        <v>824</v>
      </c>
    </row>
    <row r="10785" spans="1:19" ht="42" x14ac:dyDescent="0.15">
      <c r="A10785" s="2">
        <f>HYPERLINK("https://open-school.uspishnemisto.com.ua/school/560067/", 560067)</f>
        <v>560067</v>
      </c>
      <c r="B10785" s="3" t="s">
        <v>54559</v>
      </c>
      <c r="C10785" s="3" t="s">
        <v>54</v>
      </c>
      <c r="D10785" s="3" t="s">
        <v>32</v>
      </c>
      <c r="E10785" s="4" t="s">
        <v>22</v>
      </c>
      <c r="F10785" s="4" t="s">
        <v>54548</v>
      </c>
      <c r="G10785" s="4" t="s">
        <v>54549</v>
      </c>
      <c r="H10785" s="3" t="s">
        <v>54289</v>
      </c>
      <c r="I10785" s="3" t="s">
        <v>54550</v>
      </c>
      <c r="J10785" s="3" t="s">
        <v>54560</v>
      </c>
      <c r="K10785" s="3" t="s">
        <v>54561</v>
      </c>
      <c r="L10785" s="3" t="s">
        <v>54562</v>
      </c>
      <c r="M10785" s="4" t="s">
        <v>54563</v>
      </c>
      <c r="N10785" s="3" t="s">
        <v>37</v>
      </c>
      <c r="O10785" s="3" t="s">
        <v>46</v>
      </c>
      <c r="P10785" s="5">
        <v>18</v>
      </c>
      <c r="Q10785" s="5">
        <v>375</v>
      </c>
      <c r="R10785" s="5">
        <v>18</v>
      </c>
      <c r="S10785" s="5">
        <v>378</v>
      </c>
    </row>
    <row r="10786" spans="1:19" ht="42" x14ac:dyDescent="0.15">
      <c r="A10786" s="2">
        <f>HYPERLINK("https://open-school.uspishnemisto.com.ua/school/560068/", 560068)</f>
        <v>560068</v>
      </c>
      <c r="B10786" s="3" t="s">
        <v>54564</v>
      </c>
      <c r="C10786" s="3" t="s">
        <v>54</v>
      </c>
      <c r="D10786" s="3" t="s">
        <v>60</v>
      </c>
      <c r="E10786" s="4" t="s">
        <v>22</v>
      </c>
      <c r="F10786" s="4" t="s">
        <v>54548</v>
      </c>
      <c r="G10786" s="4" t="s">
        <v>54549</v>
      </c>
      <c r="H10786" s="3" t="s">
        <v>54289</v>
      </c>
      <c r="I10786" s="3" t="s">
        <v>54550</v>
      </c>
      <c r="J10786" s="3" t="s">
        <v>27079</v>
      </c>
      <c r="K10786" s="3" t="s">
        <v>54565</v>
      </c>
      <c r="L10786" s="3" t="s">
        <v>54566</v>
      </c>
      <c r="M10786" s="4" t="s">
        <v>54567</v>
      </c>
      <c r="N10786" s="3" t="s">
        <v>37</v>
      </c>
      <c r="O10786" s="3" t="s">
        <v>52</v>
      </c>
      <c r="P10786" s="5">
        <v>12</v>
      </c>
      <c r="Q10786" s="5">
        <v>336</v>
      </c>
      <c r="R10786" s="5">
        <v>12</v>
      </c>
      <c r="S10786" s="5">
        <v>341</v>
      </c>
    </row>
    <row r="10787" spans="1:19" ht="56" x14ac:dyDescent="0.15">
      <c r="A10787" s="2">
        <f>HYPERLINK("https://open-school.uspishnemisto.com.ua/school/560069/", 560069)</f>
        <v>560069</v>
      </c>
      <c r="B10787" s="3" t="s">
        <v>54568</v>
      </c>
      <c r="C10787" s="3" t="s">
        <v>54</v>
      </c>
      <c r="D10787" s="3" t="s">
        <v>32</v>
      </c>
      <c r="E10787" s="4" t="s">
        <v>22</v>
      </c>
      <c r="F10787" s="4" t="s">
        <v>54548</v>
      </c>
      <c r="G10787" s="4" t="s">
        <v>54549</v>
      </c>
      <c r="H10787" s="3" t="s">
        <v>54289</v>
      </c>
      <c r="I10787" s="3" t="s">
        <v>54550</v>
      </c>
      <c r="J10787" s="3" t="s">
        <v>54569</v>
      </c>
      <c r="K10787" s="3" t="s">
        <v>54570</v>
      </c>
      <c r="L10787" s="3" t="s">
        <v>54571</v>
      </c>
      <c r="M10787" s="4" t="s">
        <v>54572</v>
      </c>
      <c r="N10787" s="3" t="s">
        <v>37</v>
      </c>
      <c r="O10787" s="3" t="s">
        <v>46</v>
      </c>
      <c r="P10787" s="5">
        <v>15</v>
      </c>
      <c r="Q10787" s="5">
        <v>291</v>
      </c>
      <c r="R10787" s="5">
        <v>14</v>
      </c>
      <c r="S10787" s="5">
        <v>258</v>
      </c>
    </row>
    <row r="10788" spans="1:19" ht="42" x14ac:dyDescent="0.15">
      <c r="A10788" s="2">
        <f>HYPERLINK("https://open-school.uspishnemisto.com.ua/school/560070/", 560070)</f>
        <v>560070</v>
      </c>
      <c r="B10788" s="3" t="s">
        <v>54573</v>
      </c>
      <c r="C10788" s="3" t="s">
        <v>48</v>
      </c>
      <c r="D10788" s="3" t="s">
        <v>32</v>
      </c>
      <c r="E10788" s="4" t="s">
        <v>22</v>
      </c>
      <c r="F10788" s="4" t="s">
        <v>54548</v>
      </c>
      <c r="G10788" s="4" t="s">
        <v>54549</v>
      </c>
      <c r="H10788" s="3" t="s">
        <v>54289</v>
      </c>
      <c r="I10788" s="3" t="s">
        <v>54550</v>
      </c>
      <c r="J10788" s="3" t="s">
        <v>54574</v>
      </c>
      <c r="K10788" s="3"/>
      <c r="L10788" s="3"/>
      <c r="M10788" s="4" t="s">
        <v>54575</v>
      </c>
      <c r="N10788" s="3" t="s">
        <v>37</v>
      </c>
      <c r="O10788" s="3" t="s">
        <v>52</v>
      </c>
      <c r="P10788" s="5">
        <v>6</v>
      </c>
      <c r="Q10788" s="5">
        <v>98</v>
      </c>
      <c r="R10788" s="5">
        <v>8</v>
      </c>
      <c r="S10788" s="5">
        <v>123</v>
      </c>
    </row>
    <row r="10789" spans="1:19" ht="42" x14ac:dyDescent="0.15">
      <c r="A10789" s="2">
        <f>HYPERLINK("https://open-school.uspishnemisto.com.ua/school/560071/", 560071)</f>
        <v>560071</v>
      </c>
      <c r="B10789" s="3" t="s">
        <v>54576</v>
      </c>
      <c r="C10789" s="3" t="s">
        <v>54</v>
      </c>
      <c r="D10789" s="3" t="s">
        <v>32</v>
      </c>
      <c r="E10789" s="4" t="s">
        <v>22</v>
      </c>
      <c r="F10789" s="4" t="s">
        <v>54577</v>
      </c>
      <c r="G10789" s="4" t="s">
        <v>54578</v>
      </c>
      <c r="H10789" s="3" t="s">
        <v>54289</v>
      </c>
      <c r="I10789" s="3" t="s">
        <v>15878</v>
      </c>
      <c r="J10789" s="3" t="s">
        <v>3538</v>
      </c>
      <c r="K10789" s="3" t="s">
        <v>54579</v>
      </c>
      <c r="L10789" s="3" t="s">
        <v>54580</v>
      </c>
      <c r="M10789" s="4" t="s">
        <v>54581</v>
      </c>
      <c r="N10789" s="3" t="s">
        <v>37</v>
      </c>
      <c r="O10789" s="3" t="s">
        <v>46</v>
      </c>
      <c r="P10789" s="5">
        <v>20</v>
      </c>
      <c r="Q10789" s="5">
        <v>476</v>
      </c>
      <c r="R10789" s="5">
        <v>20</v>
      </c>
      <c r="S10789" s="5">
        <v>468</v>
      </c>
    </row>
    <row r="10790" spans="1:19" ht="42" x14ac:dyDescent="0.15">
      <c r="A10790" s="2">
        <f>HYPERLINK("https://open-school.uspishnemisto.com.ua/school/560072/", 560072)</f>
        <v>560072</v>
      </c>
      <c r="B10790" s="3" t="s">
        <v>54582</v>
      </c>
      <c r="C10790" s="3" t="s">
        <v>54</v>
      </c>
      <c r="D10790" s="3" t="s">
        <v>32</v>
      </c>
      <c r="E10790" s="4" t="s">
        <v>22</v>
      </c>
      <c r="F10790" s="4" t="s">
        <v>54583</v>
      </c>
      <c r="G10790" s="4" t="s">
        <v>54584</v>
      </c>
      <c r="H10790" s="3" t="s">
        <v>54289</v>
      </c>
      <c r="I10790" s="3" t="s">
        <v>54585</v>
      </c>
      <c r="J10790" s="3" t="s">
        <v>54586</v>
      </c>
      <c r="K10790" s="3" t="s">
        <v>54587</v>
      </c>
      <c r="L10790" s="3" t="s">
        <v>54588</v>
      </c>
      <c r="M10790" s="4" t="s">
        <v>54589</v>
      </c>
      <c r="N10790" s="3" t="s">
        <v>37</v>
      </c>
      <c r="O10790" s="3" t="s">
        <v>46</v>
      </c>
      <c r="P10790" s="5">
        <v>22</v>
      </c>
      <c r="Q10790" s="5">
        <v>473</v>
      </c>
      <c r="R10790" s="5">
        <v>23</v>
      </c>
      <c r="S10790" s="5">
        <v>472</v>
      </c>
    </row>
    <row r="10791" spans="1:19" ht="28" x14ac:dyDescent="0.15">
      <c r="A10791" s="2">
        <f>HYPERLINK("https://open-school.uspishnemisto.com.ua/school/560073/", 560073)</f>
        <v>560073</v>
      </c>
      <c r="B10791" s="3" t="s">
        <v>54590</v>
      </c>
      <c r="C10791" s="3" t="s">
        <v>31</v>
      </c>
      <c r="D10791" s="3" t="s">
        <v>175</v>
      </c>
      <c r="E10791" s="4" t="s">
        <v>22</v>
      </c>
      <c r="F10791" s="4" t="s">
        <v>54591</v>
      </c>
      <c r="G10791" s="4" t="s">
        <v>54592</v>
      </c>
      <c r="H10791" s="3" t="s">
        <v>54289</v>
      </c>
      <c r="I10791" s="3" t="s">
        <v>54593</v>
      </c>
      <c r="J10791" s="3" t="s">
        <v>6364</v>
      </c>
      <c r="K10791" s="3"/>
      <c r="L10791" s="3"/>
      <c r="M10791" s="4"/>
      <c r="N10791" s="3" t="s">
        <v>37</v>
      </c>
      <c r="O10791" s="3" t="s">
        <v>618</v>
      </c>
      <c r="P10791" s="5">
        <v>9</v>
      </c>
      <c r="Q10791" s="5">
        <v>178</v>
      </c>
      <c r="R10791" s="5">
        <v>9</v>
      </c>
      <c r="S10791" s="5">
        <v>182</v>
      </c>
    </row>
    <row r="10792" spans="1:19" ht="28" x14ac:dyDescent="0.15">
      <c r="A10792" s="2">
        <f>HYPERLINK("https://open-school.uspishnemisto.com.ua/school/560074/", 560074)</f>
        <v>560074</v>
      </c>
      <c r="B10792" s="3" t="s">
        <v>54594</v>
      </c>
      <c r="C10792" s="3" t="s">
        <v>31</v>
      </c>
      <c r="D10792" s="3" t="s">
        <v>175</v>
      </c>
      <c r="E10792" s="4" t="s">
        <v>22</v>
      </c>
      <c r="F10792" s="4" t="s">
        <v>54595</v>
      </c>
      <c r="G10792" s="4" t="s">
        <v>54596</v>
      </c>
      <c r="H10792" s="3" t="s">
        <v>54289</v>
      </c>
      <c r="I10792" s="3" t="s">
        <v>54597</v>
      </c>
      <c r="J10792" s="3" t="s">
        <v>54598</v>
      </c>
      <c r="K10792" s="3" t="s">
        <v>54599</v>
      </c>
      <c r="L10792" s="3" t="s">
        <v>54600</v>
      </c>
      <c r="M10792" s="4"/>
      <c r="N10792" s="3" t="s">
        <v>37</v>
      </c>
      <c r="O10792" s="3" t="s">
        <v>46</v>
      </c>
      <c r="P10792" s="5">
        <v>10</v>
      </c>
      <c r="Q10792" s="5">
        <v>212</v>
      </c>
      <c r="R10792" s="5">
        <v>10</v>
      </c>
      <c r="S10792" s="5">
        <v>217</v>
      </c>
    </row>
    <row r="10793" spans="1:19" ht="28" x14ac:dyDescent="0.15">
      <c r="A10793" s="2">
        <f>HYPERLINK("https://open-school.uspishnemisto.com.ua/school/560075/", 560075)</f>
        <v>560075</v>
      </c>
      <c r="B10793" s="3" t="s">
        <v>54601</v>
      </c>
      <c r="C10793" s="3" t="s">
        <v>31</v>
      </c>
      <c r="D10793" s="3" t="s">
        <v>175</v>
      </c>
      <c r="E10793" s="4" t="s">
        <v>22</v>
      </c>
      <c r="F10793" s="4" t="s">
        <v>54602</v>
      </c>
      <c r="G10793" s="4" t="s">
        <v>54603</v>
      </c>
      <c r="H10793" s="3" t="s">
        <v>54289</v>
      </c>
      <c r="I10793" s="3" t="s">
        <v>54604</v>
      </c>
      <c r="J10793" s="3" t="s">
        <v>54605</v>
      </c>
      <c r="K10793" s="3" t="s">
        <v>54606</v>
      </c>
      <c r="L10793" s="3" t="s">
        <v>54607</v>
      </c>
      <c r="M10793" s="4"/>
      <c r="N10793" s="3" t="s">
        <v>37</v>
      </c>
      <c r="O10793" s="3" t="s">
        <v>52</v>
      </c>
      <c r="P10793" s="5">
        <v>9</v>
      </c>
      <c r="Q10793" s="5">
        <v>107</v>
      </c>
      <c r="R10793" s="5">
        <v>9</v>
      </c>
      <c r="S10793" s="5">
        <v>102</v>
      </c>
    </row>
    <row r="10794" spans="1:19" ht="28" x14ac:dyDescent="0.15">
      <c r="A10794" s="2">
        <f>HYPERLINK("https://open-school.uspishnemisto.com.ua/school/560076/", 560076)</f>
        <v>560076</v>
      </c>
      <c r="B10794" s="3" t="s">
        <v>54608</v>
      </c>
      <c r="C10794" s="3" t="s">
        <v>31</v>
      </c>
      <c r="D10794" s="3" t="s">
        <v>175</v>
      </c>
      <c r="E10794" s="4" t="s">
        <v>22</v>
      </c>
      <c r="F10794" s="4" t="s">
        <v>54609</v>
      </c>
      <c r="G10794" s="4" t="s">
        <v>54610</v>
      </c>
      <c r="H10794" s="3" t="s">
        <v>54289</v>
      </c>
      <c r="I10794" s="3" t="s">
        <v>17844</v>
      </c>
      <c r="J10794" s="3" t="s">
        <v>7480</v>
      </c>
      <c r="K10794" s="3" t="s">
        <v>54611</v>
      </c>
      <c r="L10794" s="3" t="s">
        <v>54612</v>
      </c>
      <c r="M10794" s="4"/>
      <c r="N10794" s="3" t="s">
        <v>37</v>
      </c>
      <c r="O10794" s="3" t="s">
        <v>46</v>
      </c>
      <c r="P10794" s="5">
        <v>9</v>
      </c>
      <c r="Q10794" s="5">
        <v>152</v>
      </c>
      <c r="R10794" s="5">
        <v>9</v>
      </c>
      <c r="S10794" s="5">
        <v>145</v>
      </c>
    </row>
    <row r="10795" spans="1:19" ht="56" x14ac:dyDescent="0.15">
      <c r="A10795" s="2">
        <f>HYPERLINK("https://open-school.uspishnemisto.com.ua/school/560077/", 560077)</f>
        <v>560077</v>
      </c>
      <c r="B10795" s="3" t="s">
        <v>54613</v>
      </c>
      <c r="C10795" s="3" t="s">
        <v>54</v>
      </c>
      <c r="D10795" s="3" t="s">
        <v>32</v>
      </c>
      <c r="E10795" s="4" t="s">
        <v>22</v>
      </c>
      <c r="F10795" s="4" t="s">
        <v>54614</v>
      </c>
      <c r="G10795" s="4" t="s">
        <v>54615</v>
      </c>
      <c r="H10795" s="3" t="s">
        <v>54289</v>
      </c>
      <c r="I10795" s="3" t="s">
        <v>54616</v>
      </c>
      <c r="J10795" s="3" t="s">
        <v>54617</v>
      </c>
      <c r="K10795" s="3" t="s">
        <v>54618</v>
      </c>
      <c r="L10795" s="3" t="s">
        <v>54619</v>
      </c>
      <c r="M10795" s="4" t="s">
        <v>54620</v>
      </c>
      <c r="N10795" s="3" t="s">
        <v>37</v>
      </c>
      <c r="O10795" s="3" t="s">
        <v>46</v>
      </c>
      <c r="P10795" s="5">
        <v>21</v>
      </c>
      <c r="Q10795" s="5">
        <v>442</v>
      </c>
      <c r="R10795" s="5">
        <v>20</v>
      </c>
      <c r="S10795" s="5">
        <v>424</v>
      </c>
    </row>
    <row r="10796" spans="1:19" ht="28" x14ac:dyDescent="0.15">
      <c r="A10796" s="2">
        <f>HYPERLINK("https://open-school.uspishnemisto.com.ua/school/560078/", 560078)</f>
        <v>560078</v>
      </c>
      <c r="B10796" s="3" t="s">
        <v>54621</v>
      </c>
      <c r="C10796" s="3" t="s">
        <v>31</v>
      </c>
      <c r="D10796" s="3" t="s">
        <v>175</v>
      </c>
      <c r="E10796" s="4" t="s">
        <v>22</v>
      </c>
      <c r="F10796" s="4" t="s">
        <v>54622</v>
      </c>
      <c r="G10796" s="4" t="s">
        <v>54623</v>
      </c>
      <c r="H10796" s="3" t="s">
        <v>54289</v>
      </c>
      <c r="I10796" s="3" t="s">
        <v>54624</v>
      </c>
      <c r="J10796" s="3" t="s">
        <v>12604</v>
      </c>
      <c r="K10796" s="3" t="s">
        <v>54625</v>
      </c>
      <c r="L10796" s="3" t="s">
        <v>54626</v>
      </c>
      <c r="M10796" s="4"/>
      <c r="N10796" s="3" t="s">
        <v>37</v>
      </c>
      <c r="O10796" s="3" t="s">
        <v>46</v>
      </c>
      <c r="P10796" s="5">
        <v>9</v>
      </c>
      <c r="Q10796" s="5">
        <v>99</v>
      </c>
      <c r="R10796" s="5">
        <v>9</v>
      </c>
      <c r="S10796" s="5">
        <v>96</v>
      </c>
    </row>
    <row r="10797" spans="1:19" ht="28" x14ac:dyDescent="0.15">
      <c r="A10797" s="2">
        <f>HYPERLINK("https://open-school.uspishnemisto.com.ua/school/560079/", 560079)</f>
        <v>560079</v>
      </c>
      <c r="B10797" s="3" t="s">
        <v>54627</v>
      </c>
      <c r="C10797" s="3" t="s">
        <v>31</v>
      </c>
      <c r="D10797" s="3" t="s">
        <v>175</v>
      </c>
      <c r="E10797" s="4" t="s">
        <v>22</v>
      </c>
      <c r="F10797" s="4" t="s">
        <v>54628</v>
      </c>
      <c r="G10797" s="4" t="s">
        <v>54629</v>
      </c>
      <c r="H10797" s="3" t="s">
        <v>54289</v>
      </c>
      <c r="I10797" s="3" t="s">
        <v>54630</v>
      </c>
      <c r="J10797" s="3" t="s">
        <v>54631</v>
      </c>
      <c r="K10797" s="3" t="s">
        <v>54632</v>
      </c>
      <c r="L10797" s="3"/>
      <c r="M10797" s="4"/>
      <c r="N10797" s="3" t="s">
        <v>37</v>
      </c>
      <c r="O10797" s="3" t="s">
        <v>46</v>
      </c>
      <c r="P10797" s="5">
        <v>2</v>
      </c>
      <c r="Q10797" s="5">
        <v>33</v>
      </c>
      <c r="R10797" s="5">
        <v>3</v>
      </c>
      <c r="S10797" s="5">
        <v>34</v>
      </c>
    </row>
    <row r="10798" spans="1:19" ht="56" x14ac:dyDescent="0.15">
      <c r="A10798" s="2">
        <f>HYPERLINK("https://open-school.uspishnemisto.com.ua/school/560080/", 560080)</f>
        <v>560080</v>
      </c>
      <c r="B10798" s="3" t="s">
        <v>54633</v>
      </c>
      <c r="C10798" s="3" t="s">
        <v>54</v>
      </c>
      <c r="D10798" s="3" t="s">
        <v>32</v>
      </c>
      <c r="E10798" s="4" t="s">
        <v>22</v>
      </c>
      <c r="F10798" s="4" t="s">
        <v>54634</v>
      </c>
      <c r="G10798" s="4" t="s">
        <v>54635</v>
      </c>
      <c r="H10798" s="3" t="s">
        <v>54289</v>
      </c>
      <c r="I10798" s="3" t="s">
        <v>54636</v>
      </c>
      <c r="J10798" s="3" t="s">
        <v>7581</v>
      </c>
      <c r="K10798" s="3"/>
      <c r="L10798" s="3"/>
      <c r="M10798" s="4" t="s">
        <v>54637</v>
      </c>
      <c r="N10798" s="3" t="s">
        <v>37</v>
      </c>
      <c r="O10798" s="3" t="s">
        <v>46</v>
      </c>
      <c r="P10798" s="5">
        <v>24</v>
      </c>
      <c r="Q10798" s="5">
        <v>535</v>
      </c>
      <c r="R10798" s="5">
        <v>23</v>
      </c>
      <c r="S10798" s="5">
        <v>520</v>
      </c>
    </row>
    <row r="10799" spans="1:19" ht="28" x14ac:dyDescent="0.15">
      <c r="A10799" s="2">
        <f>HYPERLINK("https://open-school.uspishnemisto.com.ua/school/560081/", 560081)</f>
        <v>560081</v>
      </c>
      <c r="B10799" s="3" t="s">
        <v>54638</v>
      </c>
      <c r="C10799" s="3" t="s">
        <v>31</v>
      </c>
      <c r="D10799" s="3" t="s">
        <v>32</v>
      </c>
      <c r="E10799" s="4" t="s">
        <v>22</v>
      </c>
      <c r="F10799" s="4" t="s">
        <v>54639</v>
      </c>
      <c r="G10799" s="4" t="s">
        <v>54640</v>
      </c>
      <c r="H10799" s="3" t="s">
        <v>54289</v>
      </c>
      <c r="I10799" s="3" t="s">
        <v>54641</v>
      </c>
      <c r="J10799" s="3" t="s">
        <v>466</v>
      </c>
      <c r="K10799" s="3" t="s">
        <v>54642</v>
      </c>
      <c r="L10799" s="3" t="s">
        <v>54643</v>
      </c>
      <c r="M10799" s="4"/>
      <c r="N10799" s="3" t="s">
        <v>37</v>
      </c>
      <c r="O10799" s="3" t="s">
        <v>46</v>
      </c>
      <c r="P10799" s="5">
        <v>11</v>
      </c>
      <c r="Q10799" s="5">
        <v>97</v>
      </c>
      <c r="R10799" s="5">
        <v>11</v>
      </c>
      <c r="S10799" s="5">
        <v>98</v>
      </c>
    </row>
    <row r="10800" spans="1:19" ht="28" x14ac:dyDescent="0.15">
      <c r="A10800" s="2">
        <f>HYPERLINK("https://open-school.uspishnemisto.com.ua/school/560082/", 560082)</f>
        <v>560082</v>
      </c>
      <c r="B10800" s="3" t="s">
        <v>54644</v>
      </c>
      <c r="C10800" s="3" t="s">
        <v>31</v>
      </c>
      <c r="D10800" s="3" t="s">
        <v>32</v>
      </c>
      <c r="E10800" s="4" t="s">
        <v>22</v>
      </c>
      <c r="F10800" s="4" t="s">
        <v>54645</v>
      </c>
      <c r="G10800" s="4" t="s">
        <v>54646</v>
      </c>
      <c r="H10800" s="3" t="s">
        <v>54289</v>
      </c>
      <c r="I10800" s="3" t="s">
        <v>2422</v>
      </c>
      <c r="J10800" s="3" t="s">
        <v>566</v>
      </c>
      <c r="K10800" s="3" t="s">
        <v>54647</v>
      </c>
      <c r="L10800" s="3" t="s">
        <v>54648</v>
      </c>
      <c r="M10800" s="4" t="s">
        <v>54649</v>
      </c>
      <c r="N10800" s="3" t="s">
        <v>37</v>
      </c>
      <c r="O10800" s="3" t="s">
        <v>46</v>
      </c>
      <c r="P10800" s="5">
        <v>22</v>
      </c>
      <c r="Q10800" s="5">
        <v>580</v>
      </c>
      <c r="R10800" s="5">
        <v>21</v>
      </c>
      <c r="S10800" s="5">
        <v>530</v>
      </c>
    </row>
    <row r="10801" spans="1:19" ht="28" x14ac:dyDescent="0.15">
      <c r="A10801" s="2">
        <f>HYPERLINK("https://open-school.uspishnemisto.com.ua/school/560083/", 560083)</f>
        <v>560083</v>
      </c>
      <c r="B10801" s="3" t="s">
        <v>54650</v>
      </c>
      <c r="C10801" s="3" t="s">
        <v>31</v>
      </c>
      <c r="D10801" s="3" t="s">
        <v>32</v>
      </c>
      <c r="E10801" s="4" t="s">
        <v>22</v>
      </c>
      <c r="F10801" s="4" t="s">
        <v>54651</v>
      </c>
      <c r="G10801" s="4" t="s">
        <v>54652</v>
      </c>
      <c r="H10801" s="3" t="s">
        <v>54289</v>
      </c>
      <c r="I10801" s="3" t="s">
        <v>3387</v>
      </c>
      <c r="J10801" s="3" t="s">
        <v>466</v>
      </c>
      <c r="K10801" s="3" t="s">
        <v>54653</v>
      </c>
      <c r="L10801" s="3" t="s">
        <v>54654</v>
      </c>
      <c r="M10801" s="4"/>
      <c r="N10801" s="3" t="s">
        <v>37</v>
      </c>
      <c r="O10801" s="3" t="s">
        <v>46</v>
      </c>
      <c r="P10801" s="5">
        <v>13</v>
      </c>
      <c r="Q10801" s="5">
        <v>240</v>
      </c>
      <c r="R10801" s="5">
        <v>12</v>
      </c>
      <c r="S10801" s="5">
        <v>238</v>
      </c>
    </row>
    <row r="10802" spans="1:19" ht="28" x14ac:dyDescent="0.15">
      <c r="A10802" s="2">
        <f>HYPERLINK("https://open-school.uspishnemisto.com.ua/school/560084/", 560084)</f>
        <v>560084</v>
      </c>
      <c r="B10802" s="3" t="s">
        <v>54655</v>
      </c>
      <c r="C10802" s="3" t="s">
        <v>31</v>
      </c>
      <c r="D10802" s="3" t="s">
        <v>175</v>
      </c>
      <c r="E10802" s="4" t="s">
        <v>22</v>
      </c>
      <c r="F10802" s="4" t="s">
        <v>54656</v>
      </c>
      <c r="G10802" s="4" t="s">
        <v>54657</v>
      </c>
      <c r="H10802" s="3" t="s">
        <v>54289</v>
      </c>
      <c r="I10802" s="3" t="s">
        <v>10849</v>
      </c>
      <c r="J10802" s="3" t="s">
        <v>824</v>
      </c>
      <c r="K10802" s="3" t="s">
        <v>54658</v>
      </c>
      <c r="L10802" s="3"/>
      <c r="M10802" s="4"/>
      <c r="N10802" s="3" t="s">
        <v>37</v>
      </c>
      <c r="O10802" s="3" t="s">
        <v>46</v>
      </c>
      <c r="P10802" s="5">
        <v>10</v>
      </c>
      <c r="Q10802" s="5">
        <v>218</v>
      </c>
      <c r="R10802" s="5">
        <v>10</v>
      </c>
      <c r="S10802" s="5">
        <v>213</v>
      </c>
    </row>
    <row r="10803" spans="1:19" ht="28" x14ac:dyDescent="0.15">
      <c r="A10803" s="2">
        <f>HYPERLINK("https://open-school.uspishnemisto.com.ua/school/560085/", 560085)</f>
        <v>560085</v>
      </c>
      <c r="B10803" s="3" t="s">
        <v>54659</v>
      </c>
      <c r="C10803" s="3" t="s">
        <v>31</v>
      </c>
      <c r="D10803" s="3" t="s">
        <v>175</v>
      </c>
      <c r="E10803" s="4" t="s">
        <v>22</v>
      </c>
      <c r="F10803" s="4" t="s">
        <v>54660</v>
      </c>
      <c r="G10803" s="4" t="s">
        <v>54661</v>
      </c>
      <c r="H10803" s="3" t="s">
        <v>54289</v>
      </c>
      <c r="I10803" s="3" t="s">
        <v>54662</v>
      </c>
      <c r="J10803" s="3" t="s">
        <v>3738</v>
      </c>
      <c r="K10803" s="3" t="s">
        <v>54663</v>
      </c>
      <c r="L10803" s="3" t="s">
        <v>54664</v>
      </c>
      <c r="M10803" s="4"/>
      <c r="N10803" s="3" t="s">
        <v>37</v>
      </c>
      <c r="O10803" s="3" t="s">
        <v>46</v>
      </c>
      <c r="P10803" s="5">
        <v>8</v>
      </c>
      <c r="Q10803" s="5">
        <v>89</v>
      </c>
      <c r="R10803" s="5">
        <v>8</v>
      </c>
      <c r="S10803" s="5">
        <v>89</v>
      </c>
    </row>
    <row r="10804" spans="1:19" ht="28" x14ac:dyDescent="0.15">
      <c r="A10804" s="2">
        <f>HYPERLINK("https://open-school.uspishnemisto.com.ua/school/560086/", 560086)</f>
        <v>560086</v>
      </c>
      <c r="B10804" s="3" t="s">
        <v>54665</v>
      </c>
      <c r="C10804" s="3" t="s">
        <v>31</v>
      </c>
      <c r="D10804" s="3" t="s">
        <v>32</v>
      </c>
      <c r="E10804" s="4" t="s">
        <v>22</v>
      </c>
      <c r="F10804" s="4" t="s">
        <v>54666</v>
      </c>
      <c r="G10804" s="4" t="s">
        <v>54667</v>
      </c>
      <c r="H10804" s="3" t="s">
        <v>54289</v>
      </c>
      <c r="I10804" s="3" t="s">
        <v>54668</v>
      </c>
      <c r="J10804" s="3" t="s">
        <v>54669</v>
      </c>
      <c r="K10804" s="3" t="s">
        <v>54670</v>
      </c>
      <c r="L10804" s="3"/>
      <c r="M10804" s="4"/>
      <c r="N10804" s="3" t="s">
        <v>37</v>
      </c>
      <c r="O10804" s="3" t="s">
        <v>46</v>
      </c>
      <c r="P10804" s="5">
        <v>12</v>
      </c>
      <c r="Q10804" s="5">
        <v>223</v>
      </c>
      <c r="R10804" s="5">
        <v>13</v>
      </c>
      <c r="S10804" s="5">
        <v>223</v>
      </c>
    </row>
    <row r="10805" spans="1:19" ht="28" x14ac:dyDescent="0.15">
      <c r="A10805" s="2">
        <f>HYPERLINK("https://open-school.uspishnemisto.com.ua/school/560087/", 560087)</f>
        <v>560087</v>
      </c>
      <c r="B10805" s="3" t="s">
        <v>54671</v>
      </c>
      <c r="C10805" s="3" t="s">
        <v>31</v>
      </c>
      <c r="D10805" s="3" t="s">
        <v>32</v>
      </c>
      <c r="E10805" s="4" t="s">
        <v>22</v>
      </c>
      <c r="F10805" s="4" t="s">
        <v>54672</v>
      </c>
      <c r="G10805" s="4" t="s">
        <v>54673</v>
      </c>
      <c r="H10805" s="3" t="s">
        <v>54289</v>
      </c>
      <c r="I10805" s="3" t="s">
        <v>54674</v>
      </c>
      <c r="J10805" s="3" t="s">
        <v>634</v>
      </c>
      <c r="K10805" s="3" t="s">
        <v>54675</v>
      </c>
      <c r="L10805" s="3"/>
      <c r="M10805" s="4"/>
      <c r="N10805" s="3" t="s">
        <v>37</v>
      </c>
      <c r="O10805" s="3" t="s">
        <v>46</v>
      </c>
      <c r="P10805" s="5">
        <v>20</v>
      </c>
      <c r="Q10805" s="5">
        <v>413</v>
      </c>
      <c r="R10805" s="5">
        <v>20</v>
      </c>
      <c r="S10805" s="5">
        <v>392</v>
      </c>
    </row>
    <row r="10806" spans="1:19" ht="28" x14ac:dyDescent="0.15">
      <c r="A10806" s="2">
        <f>HYPERLINK("https://open-school.uspishnemisto.com.ua/school/560088/", 560088)</f>
        <v>560088</v>
      </c>
      <c r="B10806" s="3" t="s">
        <v>54676</v>
      </c>
      <c r="C10806" s="3" t="s">
        <v>31</v>
      </c>
      <c r="D10806" s="3" t="s">
        <v>32</v>
      </c>
      <c r="E10806" s="4" t="s">
        <v>22</v>
      </c>
      <c r="F10806" s="4" t="s">
        <v>54628</v>
      </c>
      <c r="G10806" s="4" t="s">
        <v>54677</v>
      </c>
      <c r="H10806" s="3" t="s">
        <v>54289</v>
      </c>
      <c r="I10806" s="3" t="s">
        <v>10829</v>
      </c>
      <c r="J10806" s="3" t="s">
        <v>54678</v>
      </c>
      <c r="K10806" s="3" t="s">
        <v>54679</v>
      </c>
      <c r="L10806" s="3" t="s">
        <v>54680</v>
      </c>
      <c r="M10806" s="4" t="s">
        <v>54681</v>
      </c>
      <c r="N10806" s="3" t="s">
        <v>37</v>
      </c>
      <c r="O10806" s="3" t="s">
        <v>46</v>
      </c>
      <c r="P10806" s="5">
        <v>11</v>
      </c>
      <c r="Q10806" s="5">
        <v>215</v>
      </c>
      <c r="R10806" s="5">
        <v>13</v>
      </c>
      <c r="S10806" s="5">
        <v>217</v>
      </c>
    </row>
    <row r="10807" spans="1:19" ht="28" x14ac:dyDescent="0.15">
      <c r="A10807" s="2">
        <f>HYPERLINK("https://open-school.uspishnemisto.com.ua/school/560089/", 560089)</f>
        <v>560089</v>
      </c>
      <c r="B10807" s="3" t="s">
        <v>54682</v>
      </c>
      <c r="C10807" s="3" t="s">
        <v>31</v>
      </c>
      <c r="D10807" s="3" t="s">
        <v>175</v>
      </c>
      <c r="E10807" s="4" t="s">
        <v>22</v>
      </c>
      <c r="F10807" s="4" t="s">
        <v>54683</v>
      </c>
      <c r="G10807" s="4" t="s">
        <v>54684</v>
      </c>
      <c r="H10807" s="3" t="s">
        <v>54289</v>
      </c>
      <c r="I10807" s="3" t="s">
        <v>54685</v>
      </c>
      <c r="J10807" s="3" t="s">
        <v>466</v>
      </c>
      <c r="K10807" s="3" t="s">
        <v>54686</v>
      </c>
      <c r="L10807" s="3" t="s">
        <v>54687</v>
      </c>
      <c r="M10807" s="4"/>
      <c r="N10807" s="3" t="s">
        <v>37</v>
      </c>
      <c r="O10807" s="3" t="s">
        <v>46</v>
      </c>
      <c r="P10807" s="5">
        <v>9</v>
      </c>
      <c r="Q10807" s="5">
        <v>80</v>
      </c>
      <c r="R10807" s="5">
        <v>9</v>
      </c>
      <c r="S10807" s="5">
        <v>84</v>
      </c>
    </row>
    <row r="10808" spans="1:19" ht="28" x14ac:dyDescent="0.15">
      <c r="A10808" s="2">
        <f>HYPERLINK("https://open-school.uspishnemisto.com.ua/school/560090/", 560090)</f>
        <v>560090</v>
      </c>
      <c r="B10808" s="3" t="s">
        <v>54688</v>
      </c>
      <c r="C10808" s="3" t="s">
        <v>31</v>
      </c>
      <c r="D10808" s="3" t="s">
        <v>32</v>
      </c>
      <c r="E10808" s="4" t="s">
        <v>22</v>
      </c>
      <c r="F10808" s="4" t="s">
        <v>54689</v>
      </c>
      <c r="G10808" s="4" t="s">
        <v>54690</v>
      </c>
      <c r="H10808" s="3" t="s">
        <v>54289</v>
      </c>
      <c r="I10808" s="3" t="s">
        <v>54691</v>
      </c>
      <c r="J10808" s="3" t="s">
        <v>466</v>
      </c>
      <c r="K10808" s="3" t="s">
        <v>54692</v>
      </c>
      <c r="L10808" s="3" t="s">
        <v>54693</v>
      </c>
      <c r="M10808" s="4" t="s">
        <v>54694</v>
      </c>
      <c r="N10808" s="3" t="s">
        <v>37</v>
      </c>
      <c r="O10808" s="3" t="s">
        <v>52</v>
      </c>
      <c r="P10808" s="5">
        <v>19</v>
      </c>
      <c r="Q10808" s="5">
        <v>389</v>
      </c>
      <c r="R10808" s="5">
        <v>19</v>
      </c>
      <c r="S10808" s="5">
        <v>393</v>
      </c>
    </row>
    <row r="10809" spans="1:19" ht="28" x14ac:dyDescent="0.15">
      <c r="A10809" s="2">
        <f>HYPERLINK("https://open-school.uspishnemisto.com.ua/school/560091/", 560091)</f>
        <v>560091</v>
      </c>
      <c r="B10809" s="3" t="s">
        <v>54695</v>
      </c>
      <c r="C10809" s="3" t="s">
        <v>31</v>
      </c>
      <c r="D10809" s="3" t="s">
        <v>32</v>
      </c>
      <c r="E10809" s="4" t="s">
        <v>22</v>
      </c>
      <c r="F10809" s="4" t="s">
        <v>54696</v>
      </c>
      <c r="G10809" s="4" t="s">
        <v>54697</v>
      </c>
      <c r="H10809" s="3" t="s">
        <v>54289</v>
      </c>
      <c r="I10809" s="3" t="s">
        <v>54698</v>
      </c>
      <c r="J10809" s="3" t="s">
        <v>54699</v>
      </c>
      <c r="K10809" s="3" t="s">
        <v>54700</v>
      </c>
      <c r="L10809" s="3" t="s">
        <v>54701</v>
      </c>
      <c r="M10809" s="4"/>
      <c r="N10809" s="3" t="s">
        <v>37</v>
      </c>
      <c r="O10809" s="3" t="s">
        <v>52</v>
      </c>
      <c r="P10809" s="5">
        <v>12</v>
      </c>
      <c r="Q10809" s="5">
        <v>206</v>
      </c>
      <c r="R10809" s="5">
        <v>11</v>
      </c>
      <c r="S10809" s="5">
        <v>196</v>
      </c>
    </row>
    <row r="10810" spans="1:19" ht="28" x14ac:dyDescent="0.15">
      <c r="A10810" s="2">
        <f>HYPERLINK("https://open-school.uspishnemisto.com.ua/school/560092/", 560092)</f>
        <v>560092</v>
      </c>
      <c r="B10810" s="3" t="s">
        <v>54702</v>
      </c>
      <c r="C10810" s="3" t="s">
        <v>31</v>
      </c>
      <c r="D10810" s="3" t="s">
        <v>32</v>
      </c>
      <c r="E10810" s="4" t="s">
        <v>22</v>
      </c>
      <c r="F10810" s="4" t="s">
        <v>54703</v>
      </c>
      <c r="G10810" s="4" t="s">
        <v>54704</v>
      </c>
      <c r="H10810" s="3" t="s">
        <v>54289</v>
      </c>
      <c r="I10810" s="3" t="s">
        <v>54705</v>
      </c>
      <c r="J10810" s="3" t="s">
        <v>5606</v>
      </c>
      <c r="K10810" s="3" t="s">
        <v>54706</v>
      </c>
      <c r="L10810" s="3"/>
      <c r="M10810" s="4" t="s">
        <v>54707</v>
      </c>
      <c r="N10810" s="3" t="s">
        <v>37</v>
      </c>
      <c r="O10810" s="3" t="s">
        <v>46</v>
      </c>
      <c r="P10810" s="5">
        <v>12</v>
      </c>
      <c r="Q10810" s="5">
        <v>149</v>
      </c>
      <c r="R10810" s="5">
        <v>11</v>
      </c>
      <c r="S10810" s="5">
        <v>141</v>
      </c>
    </row>
    <row r="10811" spans="1:19" ht="42" x14ac:dyDescent="0.15">
      <c r="A10811" s="2">
        <f>HYPERLINK("https://open-school.uspishnemisto.com.ua/school/560093/", 560093)</f>
        <v>560093</v>
      </c>
      <c r="B10811" s="3" t="s">
        <v>54708</v>
      </c>
      <c r="C10811" s="3" t="s">
        <v>54</v>
      </c>
      <c r="D10811" s="3" t="s">
        <v>32</v>
      </c>
      <c r="E10811" s="4" t="s">
        <v>22</v>
      </c>
      <c r="F10811" s="4" t="s">
        <v>54709</v>
      </c>
      <c r="G10811" s="4" t="s">
        <v>54710</v>
      </c>
      <c r="H10811" s="3" t="s">
        <v>54289</v>
      </c>
      <c r="I10811" s="3" t="s">
        <v>54711</v>
      </c>
      <c r="J10811" s="3" t="s">
        <v>6800</v>
      </c>
      <c r="K10811" s="3" t="s">
        <v>54712</v>
      </c>
      <c r="L10811" s="3" t="s">
        <v>54713</v>
      </c>
      <c r="M10811" s="4" t="s">
        <v>54714</v>
      </c>
      <c r="N10811" s="3" t="s">
        <v>37</v>
      </c>
      <c r="O10811" s="3" t="s">
        <v>123</v>
      </c>
      <c r="P10811" s="5">
        <v>20</v>
      </c>
      <c r="Q10811" s="5">
        <v>369</v>
      </c>
      <c r="R10811" s="5">
        <v>19</v>
      </c>
      <c r="S10811" s="5">
        <v>379</v>
      </c>
    </row>
    <row r="10812" spans="1:19" ht="28" x14ac:dyDescent="0.15">
      <c r="A10812" s="2">
        <f>HYPERLINK("https://open-school.uspishnemisto.com.ua/school/560094/", 560094)</f>
        <v>560094</v>
      </c>
      <c r="B10812" s="3" t="s">
        <v>54715</v>
      </c>
      <c r="C10812" s="3" t="s">
        <v>31</v>
      </c>
      <c r="D10812" s="3" t="s">
        <v>32</v>
      </c>
      <c r="E10812" s="4" t="s">
        <v>22</v>
      </c>
      <c r="F10812" s="4" t="s">
        <v>54716</v>
      </c>
      <c r="G10812" s="4" t="s">
        <v>54717</v>
      </c>
      <c r="H10812" s="3" t="s">
        <v>54289</v>
      </c>
      <c r="I10812" s="3" t="s">
        <v>8169</v>
      </c>
      <c r="J10812" s="3" t="s">
        <v>466</v>
      </c>
      <c r="K10812" s="3" t="s">
        <v>54718</v>
      </c>
      <c r="L10812" s="3" t="s">
        <v>54719</v>
      </c>
      <c r="M10812" s="4"/>
      <c r="N10812" s="3" t="s">
        <v>37</v>
      </c>
      <c r="O10812" s="3" t="s">
        <v>46</v>
      </c>
      <c r="P10812" s="5">
        <v>12</v>
      </c>
      <c r="Q10812" s="5">
        <v>250</v>
      </c>
      <c r="R10812" s="5">
        <v>12</v>
      </c>
      <c r="S10812" s="5">
        <v>266</v>
      </c>
    </row>
    <row r="10813" spans="1:19" ht="28" x14ac:dyDescent="0.15">
      <c r="A10813" s="2">
        <f>HYPERLINK("https://open-school.uspishnemisto.com.ua/school/560095/", 560095)</f>
        <v>560095</v>
      </c>
      <c r="B10813" s="3" t="s">
        <v>54720</v>
      </c>
      <c r="C10813" s="3" t="s">
        <v>31</v>
      </c>
      <c r="D10813" s="3" t="s">
        <v>32</v>
      </c>
      <c r="E10813" s="4" t="s">
        <v>22</v>
      </c>
      <c r="F10813" s="4" t="s">
        <v>54721</v>
      </c>
      <c r="G10813" s="4" t="s">
        <v>54722</v>
      </c>
      <c r="H10813" s="3" t="s">
        <v>54289</v>
      </c>
      <c r="I10813" s="3" t="s">
        <v>40544</v>
      </c>
      <c r="J10813" s="3" t="s">
        <v>54723</v>
      </c>
      <c r="K10813" s="3" t="s">
        <v>54724</v>
      </c>
      <c r="L10813" s="3" t="s">
        <v>54725</v>
      </c>
      <c r="M10813" s="4"/>
      <c r="N10813" s="3" t="s">
        <v>37</v>
      </c>
      <c r="O10813" s="3" t="s">
        <v>52</v>
      </c>
      <c r="P10813" s="5">
        <v>16</v>
      </c>
      <c r="Q10813" s="5">
        <v>322</v>
      </c>
      <c r="R10813" s="5">
        <v>15</v>
      </c>
      <c r="S10813" s="5">
        <v>315</v>
      </c>
    </row>
    <row r="10814" spans="1:19" ht="42" x14ac:dyDescent="0.15">
      <c r="A10814" s="2">
        <f>HYPERLINK("https://open-school.uspishnemisto.com.ua/school/560096/", 560096)</f>
        <v>560096</v>
      </c>
      <c r="B10814" s="3" t="s">
        <v>54726</v>
      </c>
      <c r="C10814" s="3" t="s">
        <v>54</v>
      </c>
      <c r="D10814" s="3" t="s">
        <v>32</v>
      </c>
      <c r="E10814" s="4" t="s">
        <v>22</v>
      </c>
      <c r="F10814" s="4" t="s">
        <v>54727</v>
      </c>
      <c r="G10814" s="4" t="s">
        <v>54728</v>
      </c>
      <c r="H10814" s="3" t="s">
        <v>54289</v>
      </c>
      <c r="I10814" s="3" t="s">
        <v>54729</v>
      </c>
      <c r="J10814" s="3" t="s">
        <v>54730</v>
      </c>
      <c r="K10814" s="3" t="s">
        <v>54731</v>
      </c>
      <c r="L10814" s="3"/>
      <c r="M10814" s="4" t="s">
        <v>54732</v>
      </c>
      <c r="N10814" s="3" t="s">
        <v>37</v>
      </c>
      <c r="O10814" s="3" t="s">
        <v>46</v>
      </c>
      <c r="P10814" s="5">
        <v>25</v>
      </c>
      <c r="Q10814" s="5">
        <v>482</v>
      </c>
      <c r="R10814" s="5">
        <v>25</v>
      </c>
      <c r="S10814" s="5">
        <v>479</v>
      </c>
    </row>
    <row r="10815" spans="1:19" ht="28" x14ac:dyDescent="0.15">
      <c r="A10815" s="2">
        <f>HYPERLINK("https://open-school.uspishnemisto.com.ua/school/560097/", 560097)</f>
        <v>560097</v>
      </c>
      <c r="B10815" s="3" t="s">
        <v>54733</v>
      </c>
      <c r="C10815" s="3" t="s">
        <v>31</v>
      </c>
      <c r="D10815" s="3" t="s">
        <v>175</v>
      </c>
      <c r="E10815" s="4" t="s">
        <v>22</v>
      </c>
      <c r="F10815" s="4" t="s">
        <v>54734</v>
      </c>
      <c r="G10815" s="4" t="s">
        <v>54735</v>
      </c>
      <c r="H10815" s="3" t="s">
        <v>54289</v>
      </c>
      <c r="I10815" s="3" t="s">
        <v>54736</v>
      </c>
      <c r="J10815" s="3" t="s">
        <v>54737</v>
      </c>
      <c r="K10815" s="3" t="s">
        <v>54738</v>
      </c>
      <c r="L10815" s="3"/>
      <c r="M10815" s="4"/>
      <c r="N10815" s="3" t="s">
        <v>37</v>
      </c>
      <c r="O10815" s="3" t="s">
        <v>46</v>
      </c>
      <c r="P10815" s="5">
        <v>10</v>
      </c>
      <c r="Q10815" s="5">
        <v>197</v>
      </c>
      <c r="R10815" s="5">
        <v>10</v>
      </c>
      <c r="S10815" s="5">
        <v>190</v>
      </c>
    </row>
    <row r="10816" spans="1:19" ht="28" x14ac:dyDescent="0.15">
      <c r="A10816" s="2">
        <f>HYPERLINK("https://open-school.uspishnemisto.com.ua/school/560098/", 560098)</f>
        <v>560098</v>
      </c>
      <c r="B10816" s="3" t="s">
        <v>54739</v>
      </c>
      <c r="C10816" s="3" t="s">
        <v>31</v>
      </c>
      <c r="D10816" s="3" t="s">
        <v>175</v>
      </c>
      <c r="E10816" s="4" t="s">
        <v>22</v>
      </c>
      <c r="F10816" s="4" t="s">
        <v>54727</v>
      </c>
      <c r="G10816" s="4" t="s">
        <v>54740</v>
      </c>
      <c r="H10816" s="3" t="s">
        <v>54289</v>
      </c>
      <c r="I10816" s="3" t="s">
        <v>54741</v>
      </c>
      <c r="J10816" s="3" t="s">
        <v>54742</v>
      </c>
      <c r="K10816" s="3"/>
      <c r="L10816" s="3"/>
      <c r="M10816" s="4"/>
      <c r="N10816" s="3" t="s">
        <v>37</v>
      </c>
      <c r="O10816" s="3" t="s">
        <v>46</v>
      </c>
      <c r="P10816" s="5">
        <v>9</v>
      </c>
      <c r="Q10816" s="5">
        <v>89</v>
      </c>
      <c r="R10816" s="5">
        <v>9</v>
      </c>
      <c r="S10816" s="5">
        <v>93</v>
      </c>
    </row>
    <row r="10817" spans="1:19" ht="28" x14ac:dyDescent="0.15">
      <c r="A10817" s="2">
        <f>HYPERLINK("https://open-school.uspishnemisto.com.ua/school/560099/", 560099)</f>
        <v>560099</v>
      </c>
      <c r="B10817" s="3" t="s">
        <v>54743</v>
      </c>
      <c r="C10817" s="3" t="s">
        <v>31</v>
      </c>
      <c r="D10817" s="3" t="s">
        <v>32</v>
      </c>
      <c r="E10817" s="4" t="s">
        <v>22</v>
      </c>
      <c r="F10817" s="4" t="s">
        <v>54744</v>
      </c>
      <c r="G10817" s="4" t="s">
        <v>54745</v>
      </c>
      <c r="H10817" s="3" t="s">
        <v>54289</v>
      </c>
      <c r="I10817" s="3" t="s">
        <v>54746</v>
      </c>
      <c r="J10817" s="3" t="s">
        <v>54747</v>
      </c>
      <c r="K10817" s="3" t="s">
        <v>54748</v>
      </c>
      <c r="L10817" s="3"/>
      <c r="M10817" s="4"/>
      <c r="N10817" s="3" t="s">
        <v>37</v>
      </c>
      <c r="O10817" s="3" t="s">
        <v>46</v>
      </c>
      <c r="P10817" s="5">
        <v>19</v>
      </c>
      <c r="Q10817" s="5">
        <v>352</v>
      </c>
      <c r="R10817" s="5">
        <v>19</v>
      </c>
      <c r="S10817" s="5">
        <v>350</v>
      </c>
    </row>
    <row r="10818" spans="1:19" ht="28" x14ac:dyDescent="0.15">
      <c r="A10818" s="2">
        <f>HYPERLINK("https://open-school.uspishnemisto.com.ua/school/560100/", 560100)</f>
        <v>560100</v>
      </c>
      <c r="B10818" s="3" t="s">
        <v>54749</v>
      </c>
      <c r="C10818" s="3" t="s">
        <v>31</v>
      </c>
      <c r="D10818" s="3" t="s">
        <v>32</v>
      </c>
      <c r="E10818" s="4" t="s">
        <v>22</v>
      </c>
      <c r="F10818" s="4" t="s">
        <v>54750</v>
      </c>
      <c r="G10818" s="4" t="s">
        <v>54751</v>
      </c>
      <c r="H10818" s="3" t="s">
        <v>54289</v>
      </c>
      <c r="I10818" s="3" t="s">
        <v>54752</v>
      </c>
      <c r="J10818" s="3" t="s">
        <v>7538</v>
      </c>
      <c r="K10818" s="3" t="s">
        <v>54753</v>
      </c>
      <c r="L10818" s="3"/>
      <c r="M10818" s="4"/>
      <c r="N10818" s="3" t="s">
        <v>37</v>
      </c>
      <c r="O10818" s="3" t="s">
        <v>46</v>
      </c>
      <c r="P10818" s="5">
        <v>19</v>
      </c>
      <c r="Q10818" s="5">
        <v>394</v>
      </c>
      <c r="R10818" s="5">
        <v>19</v>
      </c>
      <c r="S10818" s="5">
        <v>381</v>
      </c>
    </row>
    <row r="10819" spans="1:19" ht="56" x14ac:dyDescent="0.15">
      <c r="A10819" s="2">
        <f>HYPERLINK("https://open-school.uspishnemisto.com.ua/school/560101/", 560101)</f>
        <v>560101</v>
      </c>
      <c r="B10819" s="3" t="s">
        <v>54754</v>
      </c>
      <c r="C10819" s="3" t="s">
        <v>54</v>
      </c>
      <c r="D10819" s="3" t="s">
        <v>32</v>
      </c>
      <c r="E10819" s="4" t="s">
        <v>22</v>
      </c>
      <c r="F10819" s="4" t="s">
        <v>54750</v>
      </c>
      <c r="G10819" s="4" t="s">
        <v>54755</v>
      </c>
      <c r="H10819" s="3" t="s">
        <v>54289</v>
      </c>
      <c r="I10819" s="3" t="s">
        <v>54756</v>
      </c>
      <c r="J10819" s="3" t="s">
        <v>54757</v>
      </c>
      <c r="K10819" s="3" t="s">
        <v>54758</v>
      </c>
      <c r="L10819" s="3" t="s">
        <v>54759</v>
      </c>
      <c r="M10819" s="4" t="s">
        <v>54760</v>
      </c>
      <c r="N10819" s="3" t="s">
        <v>37</v>
      </c>
      <c r="O10819" s="3" t="s">
        <v>46</v>
      </c>
      <c r="P10819" s="5">
        <v>12</v>
      </c>
      <c r="Q10819" s="5">
        <v>176</v>
      </c>
      <c r="R10819" s="5">
        <v>11</v>
      </c>
      <c r="S10819" s="5">
        <v>162</v>
      </c>
    </row>
    <row r="10820" spans="1:19" ht="28" x14ac:dyDescent="0.15">
      <c r="A10820" s="2">
        <f>HYPERLINK("https://open-school.uspishnemisto.com.ua/school/560102/", 560102)</f>
        <v>560102</v>
      </c>
      <c r="B10820" s="3" t="s">
        <v>54761</v>
      </c>
      <c r="C10820" s="3" t="s">
        <v>31</v>
      </c>
      <c r="D10820" s="3" t="s">
        <v>175</v>
      </c>
      <c r="E10820" s="4" t="s">
        <v>22</v>
      </c>
      <c r="F10820" s="4" t="s">
        <v>54762</v>
      </c>
      <c r="G10820" s="4" t="s">
        <v>54763</v>
      </c>
      <c r="H10820" s="3" t="s">
        <v>54289</v>
      </c>
      <c r="I10820" s="3" t="s">
        <v>54764</v>
      </c>
      <c r="J10820" s="3" t="s">
        <v>54765</v>
      </c>
      <c r="K10820" s="3" t="s">
        <v>54766</v>
      </c>
      <c r="L10820" s="3"/>
      <c r="M10820" s="4"/>
      <c r="N10820" s="3" t="s">
        <v>37</v>
      </c>
      <c r="O10820" s="3" t="s">
        <v>46</v>
      </c>
      <c r="P10820" s="5">
        <v>8</v>
      </c>
      <c r="Q10820" s="5">
        <v>59</v>
      </c>
      <c r="R10820" s="5">
        <v>7</v>
      </c>
      <c r="S10820" s="5">
        <v>55</v>
      </c>
    </row>
    <row r="10821" spans="1:19" ht="28" x14ac:dyDescent="0.15">
      <c r="A10821" s="2">
        <f>HYPERLINK("https://open-school.uspishnemisto.com.ua/school/560103/", 560103)</f>
        <v>560103</v>
      </c>
      <c r="B10821" s="3" t="s">
        <v>54767</v>
      </c>
      <c r="C10821" s="3" t="s">
        <v>31</v>
      </c>
      <c r="D10821" s="3" t="s">
        <v>175</v>
      </c>
      <c r="E10821" s="4" t="s">
        <v>22</v>
      </c>
      <c r="F10821" s="4" t="s">
        <v>54768</v>
      </c>
      <c r="G10821" s="4" t="s">
        <v>54769</v>
      </c>
      <c r="H10821" s="3" t="s">
        <v>54289</v>
      </c>
      <c r="I10821" s="3" t="s">
        <v>54770</v>
      </c>
      <c r="J10821" s="3" t="s">
        <v>54771</v>
      </c>
      <c r="K10821" s="3" t="s">
        <v>54772</v>
      </c>
      <c r="L10821" s="3" t="s">
        <v>54773</v>
      </c>
      <c r="M10821" s="4"/>
      <c r="N10821" s="3" t="s">
        <v>37</v>
      </c>
      <c r="O10821" s="3" t="s">
        <v>46</v>
      </c>
      <c r="P10821" s="5">
        <v>9</v>
      </c>
      <c r="Q10821" s="5">
        <v>109</v>
      </c>
      <c r="R10821" s="5">
        <v>9</v>
      </c>
      <c r="S10821" s="5">
        <v>104</v>
      </c>
    </row>
    <row r="10822" spans="1:19" ht="28" x14ac:dyDescent="0.15">
      <c r="A10822" s="2">
        <f>HYPERLINK("https://open-school.uspishnemisto.com.ua/school/560104/", 560104)</f>
        <v>560104</v>
      </c>
      <c r="B10822" s="3" t="s">
        <v>54774</v>
      </c>
      <c r="C10822" s="3" t="s">
        <v>31</v>
      </c>
      <c r="D10822" s="3" t="s">
        <v>175</v>
      </c>
      <c r="E10822" s="4" t="s">
        <v>22</v>
      </c>
      <c r="F10822" s="4" t="s">
        <v>54775</v>
      </c>
      <c r="G10822" s="4" t="s">
        <v>54776</v>
      </c>
      <c r="H10822" s="3" t="s">
        <v>54289</v>
      </c>
      <c r="I10822" s="3" t="s">
        <v>54777</v>
      </c>
      <c r="J10822" s="3" t="s">
        <v>566</v>
      </c>
      <c r="K10822" s="3" t="s">
        <v>54778</v>
      </c>
      <c r="L10822" s="3"/>
      <c r="M10822" s="4"/>
      <c r="N10822" s="3" t="s">
        <v>37</v>
      </c>
      <c r="O10822" s="3" t="s">
        <v>52</v>
      </c>
      <c r="P10822" s="5">
        <v>10</v>
      </c>
      <c r="Q10822" s="5">
        <v>208</v>
      </c>
      <c r="R10822" s="5">
        <v>10</v>
      </c>
      <c r="S10822" s="5">
        <v>208</v>
      </c>
    </row>
    <row r="10823" spans="1:19" ht="28" x14ac:dyDescent="0.15">
      <c r="A10823" s="2">
        <f>HYPERLINK("https://open-school.uspishnemisto.com.ua/school/560105/", 560105)</f>
        <v>560105</v>
      </c>
      <c r="B10823" s="3" t="s">
        <v>54779</v>
      </c>
      <c r="C10823" s="3" t="s">
        <v>31</v>
      </c>
      <c r="D10823" s="3" t="s">
        <v>32</v>
      </c>
      <c r="E10823" s="4" t="s">
        <v>22</v>
      </c>
      <c r="F10823" s="4" t="s">
        <v>54780</v>
      </c>
      <c r="G10823" s="4" t="s">
        <v>54781</v>
      </c>
      <c r="H10823" s="3" t="s">
        <v>54289</v>
      </c>
      <c r="I10823" s="3" t="s">
        <v>54782</v>
      </c>
      <c r="J10823" s="3" t="s">
        <v>3393</v>
      </c>
      <c r="K10823" s="3" t="s">
        <v>54783</v>
      </c>
      <c r="L10823" s="3" t="s">
        <v>54784</v>
      </c>
      <c r="M10823" s="4" t="s">
        <v>54785</v>
      </c>
      <c r="N10823" s="3" t="s">
        <v>37</v>
      </c>
      <c r="O10823" s="3" t="s">
        <v>46</v>
      </c>
      <c r="P10823" s="5">
        <v>24</v>
      </c>
      <c r="Q10823" s="5">
        <v>584</v>
      </c>
      <c r="R10823" s="5">
        <v>23</v>
      </c>
      <c r="S10823" s="5">
        <v>568</v>
      </c>
    </row>
    <row r="10824" spans="1:19" ht="56" x14ac:dyDescent="0.15">
      <c r="A10824" s="2">
        <f>HYPERLINK("https://open-school.uspishnemisto.com.ua/school/560106/", 560106)</f>
        <v>560106</v>
      </c>
      <c r="B10824" s="3" t="s">
        <v>54786</v>
      </c>
      <c r="C10824" s="3" t="s">
        <v>54</v>
      </c>
      <c r="D10824" s="3" t="s">
        <v>32</v>
      </c>
      <c r="E10824" s="4" t="s">
        <v>22</v>
      </c>
      <c r="F10824" s="4" t="s">
        <v>54780</v>
      </c>
      <c r="G10824" s="4" t="s">
        <v>54781</v>
      </c>
      <c r="H10824" s="3" t="s">
        <v>54289</v>
      </c>
      <c r="I10824" s="3" t="s">
        <v>54782</v>
      </c>
      <c r="J10824" s="3" t="s">
        <v>54787</v>
      </c>
      <c r="K10824" s="3" t="s">
        <v>54788</v>
      </c>
      <c r="L10824" s="3"/>
      <c r="M10824" s="4"/>
      <c r="N10824" s="3" t="s">
        <v>37</v>
      </c>
      <c r="O10824" s="3" t="s">
        <v>52</v>
      </c>
      <c r="P10824" s="5">
        <v>11</v>
      </c>
      <c r="Q10824" s="5">
        <v>203</v>
      </c>
      <c r="R10824" s="5">
        <v>11</v>
      </c>
      <c r="S10824" s="5">
        <v>204</v>
      </c>
    </row>
    <row r="10825" spans="1:19" ht="28" x14ac:dyDescent="0.15">
      <c r="A10825" s="2">
        <f>HYPERLINK("https://open-school.uspishnemisto.com.ua/school/560107/", 560107)</f>
        <v>560107</v>
      </c>
      <c r="B10825" s="3" t="s">
        <v>54789</v>
      </c>
      <c r="C10825" s="3" t="s">
        <v>2128</v>
      </c>
      <c r="D10825" s="3" t="s">
        <v>32</v>
      </c>
      <c r="E10825" s="4" t="s">
        <v>22</v>
      </c>
      <c r="F10825" s="4" t="s">
        <v>54780</v>
      </c>
      <c r="G10825" s="4" t="s">
        <v>54781</v>
      </c>
      <c r="H10825" s="3" t="s">
        <v>54289</v>
      </c>
      <c r="I10825" s="3" t="s">
        <v>54782</v>
      </c>
      <c r="J10825" s="3" t="s">
        <v>7340</v>
      </c>
      <c r="K10825" s="3" t="s">
        <v>54790</v>
      </c>
      <c r="L10825" s="3" t="s">
        <v>54791</v>
      </c>
      <c r="M10825" s="4" t="s">
        <v>54792</v>
      </c>
      <c r="N10825" s="3" t="s">
        <v>37</v>
      </c>
      <c r="O10825" s="3" t="s">
        <v>237</v>
      </c>
      <c r="P10825" s="5">
        <v>38</v>
      </c>
      <c r="Q10825" s="5">
        <v>845</v>
      </c>
      <c r="R10825" s="5">
        <v>37</v>
      </c>
      <c r="S10825" s="5">
        <v>826</v>
      </c>
    </row>
    <row r="10826" spans="1:19" ht="28" x14ac:dyDescent="0.15">
      <c r="A10826" s="2">
        <f>HYPERLINK("https://open-school.uspishnemisto.com.ua/school/560108/", 560108)</f>
        <v>560108</v>
      </c>
      <c r="B10826" s="3" t="s">
        <v>54793</v>
      </c>
      <c r="C10826" s="3" t="s">
        <v>31</v>
      </c>
      <c r="D10826" s="3" t="s">
        <v>32</v>
      </c>
      <c r="E10826" s="4" t="s">
        <v>22</v>
      </c>
      <c r="F10826" s="4" t="s">
        <v>54794</v>
      </c>
      <c r="G10826" s="4" t="s">
        <v>54795</v>
      </c>
      <c r="H10826" s="3" t="s">
        <v>54289</v>
      </c>
      <c r="I10826" s="3" t="s">
        <v>54796</v>
      </c>
      <c r="J10826" s="3" t="s">
        <v>54797</v>
      </c>
      <c r="K10826" s="3" t="s">
        <v>54798</v>
      </c>
      <c r="L10826" s="3"/>
      <c r="M10826" s="4" t="s">
        <v>54799</v>
      </c>
      <c r="N10826" s="3" t="s">
        <v>37</v>
      </c>
      <c r="O10826" s="3" t="s">
        <v>46</v>
      </c>
      <c r="P10826" s="5">
        <v>20</v>
      </c>
      <c r="Q10826" s="5">
        <v>377</v>
      </c>
      <c r="R10826" s="5">
        <v>19</v>
      </c>
      <c r="S10826" s="5">
        <v>344</v>
      </c>
    </row>
    <row r="10827" spans="1:19" ht="28" x14ac:dyDescent="0.15">
      <c r="A10827" s="2">
        <f>HYPERLINK("https://open-school.uspishnemisto.com.ua/school/560109/", 560109)</f>
        <v>560109</v>
      </c>
      <c r="B10827" s="3" t="s">
        <v>54800</v>
      </c>
      <c r="C10827" s="3" t="s">
        <v>31</v>
      </c>
      <c r="D10827" s="3" t="s">
        <v>21</v>
      </c>
      <c r="E10827" s="4" t="s">
        <v>22</v>
      </c>
      <c r="F10827" s="4" t="s">
        <v>54794</v>
      </c>
      <c r="G10827" s="4" t="s">
        <v>54795</v>
      </c>
      <c r="H10827" s="3" t="s">
        <v>54289</v>
      </c>
      <c r="I10827" s="3" t="s">
        <v>54796</v>
      </c>
      <c r="J10827" s="3" t="s">
        <v>54801</v>
      </c>
      <c r="K10827" s="3" t="s">
        <v>54802</v>
      </c>
      <c r="L10827" s="3"/>
      <c r="M10827" s="4"/>
      <c r="N10827" s="3" t="s">
        <v>37</v>
      </c>
      <c r="O10827" s="3" t="s">
        <v>46</v>
      </c>
      <c r="P10827" s="5">
        <v>7</v>
      </c>
      <c r="Q10827" s="5">
        <v>80</v>
      </c>
      <c r="R10827" s="5">
        <v>7</v>
      </c>
      <c r="S10827" s="5">
        <v>85</v>
      </c>
    </row>
    <row r="10828" spans="1:19" ht="28" x14ac:dyDescent="0.15">
      <c r="A10828" s="2">
        <f>HYPERLINK("https://open-school.uspishnemisto.com.ua/school/560110/", 560110)</f>
        <v>560110</v>
      </c>
      <c r="B10828" s="3" t="s">
        <v>54803</v>
      </c>
      <c r="C10828" s="3" t="s">
        <v>54</v>
      </c>
      <c r="D10828" s="3" t="s">
        <v>60</v>
      </c>
      <c r="E10828" s="4" t="s">
        <v>22</v>
      </c>
      <c r="F10828" s="4" t="s">
        <v>54794</v>
      </c>
      <c r="G10828" s="4" t="s">
        <v>54795</v>
      </c>
      <c r="H10828" s="3" t="s">
        <v>54289</v>
      </c>
      <c r="I10828" s="3" t="s">
        <v>54796</v>
      </c>
      <c r="J10828" s="3" t="s">
        <v>22568</v>
      </c>
      <c r="K10828" s="3" t="s">
        <v>54804</v>
      </c>
      <c r="L10828" s="3"/>
      <c r="M10828" s="4" t="s">
        <v>54805</v>
      </c>
      <c r="N10828" s="3" t="s">
        <v>37</v>
      </c>
      <c r="O10828" s="3" t="s">
        <v>52</v>
      </c>
      <c r="P10828" s="5">
        <v>4</v>
      </c>
      <c r="Q10828" s="5">
        <v>68</v>
      </c>
      <c r="R10828" s="5">
        <v>4</v>
      </c>
      <c r="S10828" s="5">
        <v>75</v>
      </c>
    </row>
    <row r="10829" spans="1:19" ht="28" x14ac:dyDescent="0.15">
      <c r="A10829" s="2">
        <f>HYPERLINK("https://open-school.uspishnemisto.com.ua/school/560111/", 560111)</f>
        <v>560111</v>
      </c>
      <c r="B10829" s="3" t="s">
        <v>54806</v>
      </c>
      <c r="C10829" s="3" t="s">
        <v>31</v>
      </c>
      <c r="D10829" s="3" t="s">
        <v>32</v>
      </c>
      <c r="E10829" s="4" t="s">
        <v>22</v>
      </c>
      <c r="F10829" s="4" t="s">
        <v>54807</v>
      </c>
      <c r="G10829" s="4" t="s">
        <v>54808</v>
      </c>
      <c r="H10829" s="3" t="s">
        <v>54289</v>
      </c>
      <c r="I10829" s="3" t="s">
        <v>3481</v>
      </c>
      <c r="J10829" s="3" t="s">
        <v>634</v>
      </c>
      <c r="K10829" s="3" t="s">
        <v>54809</v>
      </c>
      <c r="L10829" s="3" t="s">
        <v>54810</v>
      </c>
      <c r="M10829" s="4" t="s">
        <v>54811</v>
      </c>
      <c r="N10829" s="3" t="s">
        <v>37</v>
      </c>
      <c r="O10829" s="3" t="s">
        <v>46</v>
      </c>
      <c r="P10829" s="5">
        <v>20</v>
      </c>
      <c r="Q10829" s="5">
        <v>344</v>
      </c>
      <c r="R10829" s="5">
        <v>18</v>
      </c>
      <c r="S10829" s="5">
        <v>331</v>
      </c>
    </row>
    <row r="10830" spans="1:19" ht="42" x14ac:dyDescent="0.15">
      <c r="A10830" s="2">
        <f>HYPERLINK("https://open-school.uspishnemisto.com.ua/school/560112/", 560112)</f>
        <v>560112</v>
      </c>
      <c r="B10830" s="3" t="s">
        <v>54812</v>
      </c>
      <c r="C10830" s="3" t="s">
        <v>54</v>
      </c>
      <c r="D10830" s="3" t="s">
        <v>175</v>
      </c>
      <c r="E10830" s="4" t="s">
        <v>22</v>
      </c>
      <c r="F10830" s="4" t="s">
        <v>54813</v>
      </c>
      <c r="G10830" s="4" t="s">
        <v>54814</v>
      </c>
      <c r="H10830" s="3" t="s">
        <v>54289</v>
      </c>
      <c r="I10830" s="3" t="s">
        <v>54815</v>
      </c>
      <c r="J10830" s="3" t="s">
        <v>54816</v>
      </c>
      <c r="K10830" s="3" t="s">
        <v>54817</v>
      </c>
      <c r="L10830" s="3"/>
      <c r="M10830" s="4" t="s">
        <v>54818</v>
      </c>
      <c r="N10830" s="3" t="s">
        <v>37</v>
      </c>
      <c r="O10830" s="3" t="s">
        <v>46</v>
      </c>
      <c r="P10830" s="5">
        <v>9</v>
      </c>
      <c r="Q10830" s="5">
        <v>95</v>
      </c>
      <c r="R10830" s="5">
        <v>9</v>
      </c>
      <c r="S10830" s="5">
        <v>89</v>
      </c>
    </row>
    <row r="10831" spans="1:19" ht="56" x14ac:dyDescent="0.15">
      <c r="A10831" s="2">
        <f>HYPERLINK("https://open-school.uspishnemisto.com.ua/school/560113/", 560113)</f>
        <v>560113</v>
      </c>
      <c r="B10831" s="3" t="s">
        <v>54819</v>
      </c>
      <c r="C10831" s="3" t="s">
        <v>54</v>
      </c>
      <c r="D10831" s="3" t="s">
        <v>32</v>
      </c>
      <c r="E10831" s="4" t="s">
        <v>22</v>
      </c>
      <c r="F10831" s="4" t="s">
        <v>54820</v>
      </c>
      <c r="G10831" s="4" t="s">
        <v>54821</v>
      </c>
      <c r="H10831" s="3" t="s">
        <v>54289</v>
      </c>
      <c r="I10831" s="3" t="s">
        <v>41624</v>
      </c>
      <c r="J10831" s="3" t="s">
        <v>54822</v>
      </c>
      <c r="K10831" s="3" t="s">
        <v>54823</v>
      </c>
      <c r="L10831" s="3"/>
      <c r="M10831" s="4"/>
      <c r="N10831" s="3" t="s">
        <v>37</v>
      </c>
      <c r="O10831" s="3" t="s">
        <v>46</v>
      </c>
      <c r="P10831" s="5">
        <v>15</v>
      </c>
      <c r="Q10831" s="5">
        <v>173</v>
      </c>
      <c r="R10831" s="5">
        <v>15</v>
      </c>
      <c r="S10831" s="5">
        <v>170</v>
      </c>
    </row>
    <row r="10832" spans="1:19" ht="56" x14ac:dyDescent="0.15">
      <c r="A10832" s="2">
        <f>HYPERLINK("https://open-school.uspishnemisto.com.ua/school/560114/", 560114)</f>
        <v>560114</v>
      </c>
      <c r="B10832" s="3" t="s">
        <v>54824</v>
      </c>
      <c r="C10832" s="3" t="s">
        <v>54</v>
      </c>
      <c r="D10832" s="3" t="s">
        <v>32</v>
      </c>
      <c r="E10832" s="4" t="s">
        <v>22</v>
      </c>
      <c r="F10832" s="4" t="s">
        <v>54825</v>
      </c>
      <c r="G10832" s="4" t="s">
        <v>54826</v>
      </c>
      <c r="H10832" s="3" t="s">
        <v>54289</v>
      </c>
      <c r="I10832" s="3" t="s">
        <v>54827</v>
      </c>
      <c r="J10832" s="3" t="s">
        <v>54828</v>
      </c>
      <c r="K10832" s="3" t="s">
        <v>54829</v>
      </c>
      <c r="L10832" s="3" t="s">
        <v>54830</v>
      </c>
      <c r="M10832" s="4" t="s">
        <v>54831</v>
      </c>
      <c r="N10832" s="3" t="s">
        <v>37</v>
      </c>
      <c r="O10832" s="3" t="s">
        <v>618</v>
      </c>
      <c r="P10832" s="5">
        <v>11</v>
      </c>
      <c r="Q10832" s="5">
        <v>58</v>
      </c>
      <c r="R10832" s="5">
        <v>11</v>
      </c>
      <c r="S10832" s="5">
        <v>60</v>
      </c>
    </row>
    <row r="10833" spans="1:19" ht="56" x14ac:dyDescent="0.15">
      <c r="A10833" s="2">
        <f>HYPERLINK("https://open-school.uspishnemisto.com.ua/school/560115/", 560115)</f>
        <v>560115</v>
      </c>
      <c r="B10833" s="3" t="s">
        <v>54832</v>
      </c>
      <c r="C10833" s="3" t="s">
        <v>54</v>
      </c>
      <c r="D10833" s="3" t="s">
        <v>32</v>
      </c>
      <c r="E10833" s="4" t="s">
        <v>22</v>
      </c>
      <c r="F10833" s="4" t="s">
        <v>54833</v>
      </c>
      <c r="G10833" s="4" t="s">
        <v>54834</v>
      </c>
      <c r="H10833" s="3" t="s">
        <v>54289</v>
      </c>
      <c r="I10833" s="3" t="s">
        <v>54835</v>
      </c>
      <c r="J10833" s="3" t="s">
        <v>718</v>
      </c>
      <c r="K10833" s="3"/>
      <c r="L10833" s="3"/>
      <c r="M10833" s="4" t="s">
        <v>54836</v>
      </c>
      <c r="N10833" s="3" t="s">
        <v>37</v>
      </c>
      <c r="O10833" s="3" t="s">
        <v>70</v>
      </c>
      <c r="P10833" s="5">
        <v>25</v>
      </c>
      <c r="Q10833" s="5">
        <v>501</v>
      </c>
      <c r="R10833" s="5">
        <v>25</v>
      </c>
      <c r="S10833" s="5">
        <v>513</v>
      </c>
    </row>
    <row r="10834" spans="1:19" ht="56" x14ac:dyDescent="0.15">
      <c r="A10834" s="2">
        <f>HYPERLINK("https://open-school.uspishnemisto.com.ua/school/560116/", 560116)</f>
        <v>560116</v>
      </c>
      <c r="B10834" s="3" t="s">
        <v>54837</v>
      </c>
      <c r="C10834" s="3" t="s">
        <v>54</v>
      </c>
      <c r="D10834" s="3" t="s">
        <v>175</v>
      </c>
      <c r="E10834" s="4" t="s">
        <v>22</v>
      </c>
      <c r="F10834" s="4" t="s">
        <v>54833</v>
      </c>
      <c r="G10834" s="4" t="s">
        <v>54838</v>
      </c>
      <c r="H10834" s="3" t="s">
        <v>54289</v>
      </c>
      <c r="I10834" s="3" t="s">
        <v>6991</v>
      </c>
      <c r="J10834" s="3" t="s">
        <v>1636</v>
      </c>
      <c r="K10834" s="3" t="s">
        <v>54839</v>
      </c>
      <c r="L10834" s="3"/>
      <c r="M10834" s="4" t="s">
        <v>54840</v>
      </c>
      <c r="N10834" s="3" t="s">
        <v>37</v>
      </c>
      <c r="O10834" s="3" t="s">
        <v>46</v>
      </c>
      <c r="P10834" s="5">
        <v>9</v>
      </c>
      <c r="Q10834" s="5">
        <v>98</v>
      </c>
      <c r="R10834" s="5">
        <v>9</v>
      </c>
      <c r="S10834" s="5">
        <v>91</v>
      </c>
    </row>
    <row r="10835" spans="1:19" ht="42" x14ac:dyDescent="0.15">
      <c r="A10835" s="2">
        <f>HYPERLINK("https://open-school.uspishnemisto.com.ua/school/560117/", 560117)</f>
        <v>560117</v>
      </c>
      <c r="B10835" s="3" t="s">
        <v>54841</v>
      </c>
      <c r="C10835" s="3" t="s">
        <v>54</v>
      </c>
      <c r="D10835" s="3" t="s">
        <v>175</v>
      </c>
      <c r="E10835" s="4" t="s">
        <v>22</v>
      </c>
      <c r="F10835" s="4" t="s">
        <v>54842</v>
      </c>
      <c r="G10835" s="4" t="s">
        <v>54843</v>
      </c>
      <c r="H10835" s="3" t="s">
        <v>54289</v>
      </c>
      <c r="I10835" s="3" t="s">
        <v>16845</v>
      </c>
      <c r="J10835" s="3" t="s">
        <v>634</v>
      </c>
      <c r="K10835" s="3" t="s">
        <v>54844</v>
      </c>
      <c r="L10835" s="3" t="s">
        <v>54845</v>
      </c>
      <c r="M10835" s="4" t="s">
        <v>54846</v>
      </c>
      <c r="N10835" s="3" t="s">
        <v>37</v>
      </c>
      <c r="O10835" s="3" t="s">
        <v>52</v>
      </c>
      <c r="P10835" s="5">
        <v>9</v>
      </c>
      <c r="Q10835" s="5">
        <v>177</v>
      </c>
      <c r="R10835" s="5">
        <v>9</v>
      </c>
      <c r="S10835" s="5">
        <v>170</v>
      </c>
    </row>
    <row r="10836" spans="1:19" ht="28" x14ac:dyDescent="0.15">
      <c r="A10836" s="2">
        <f>HYPERLINK("https://open-school.uspishnemisto.com.ua/school/560118/", 560118)</f>
        <v>560118</v>
      </c>
      <c r="B10836" s="3" t="s">
        <v>54847</v>
      </c>
      <c r="C10836" s="3" t="s">
        <v>54</v>
      </c>
      <c r="D10836" s="3" t="s">
        <v>32</v>
      </c>
      <c r="E10836" s="4" t="s">
        <v>22</v>
      </c>
      <c r="F10836" s="4" t="s">
        <v>54848</v>
      </c>
      <c r="G10836" s="4" t="s">
        <v>54849</v>
      </c>
      <c r="H10836" s="3" t="s">
        <v>54289</v>
      </c>
      <c r="I10836" s="3" t="s">
        <v>54850</v>
      </c>
      <c r="J10836" s="3" t="s">
        <v>13549</v>
      </c>
      <c r="K10836" s="3" t="s">
        <v>54851</v>
      </c>
      <c r="L10836" s="3"/>
      <c r="M10836" s="4" t="s">
        <v>54852</v>
      </c>
      <c r="N10836" s="3" t="s">
        <v>37</v>
      </c>
      <c r="O10836" s="3" t="s">
        <v>38</v>
      </c>
      <c r="P10836" s="5">
        <v>17</v>
      </c>
      <c r="Q10836" s="5">
        <v>314</v>
      </c>
      <c r="R10836" s="5">
        <v>16</v>
      </c>
      <c r="S10836" s="5">
        <v>322</v>
      </c>
    </row>
    <row r="10837" spans="1:19" ht="28" x14ac:dyDescent="0.15">
      <c r="A10837" s="2">
        <f>HYPERLINK("https://open-school.uspishnemisto.com.ua/school/560119/", 560119)</f>
        <v>560119</v>
      </c>
      <c r="B10837" s="3" t="s">
        <v>54853</v>
      </c>
      <c r="C10837" s="3" t="s">
        <v>31</v>
      </c>
      <c r="D10837" s="3" t="s">
        <v>32</v>
      </c>
      <c r="E10837" s="4" t="s">
        <v>22</v>
      </c>
      <c r="F10837" s="4" t="s">
        <v>54854</v>
      </c>
      <c r="G10837" s="4" t="s">
        <v>54855</v>
      </c>
      <c r="H10837" s="3" t="s">
        <v>54289</v>
      </c>
      <c r="I10837" s="3" t="s">
        <v>54856</v>
      </c>
      <c r="J10837" s="3" t="s">
        <v>54857</v>
      </c>
      <c r="K10837" s="3" t="s">
        <v>54858</v>
      </c>
      <c r="L10837" s="3"/>
      <c r="M10837" s="4"/>
      <c r="N10837" s="3" t="s">
        <v>37</v>
      </c>
      <c r="O10837" s="3" t="s">
        <v>52</v>
      </c>
      <c r="P10837" s="5">
        <v>12</v>
      </c>
      <c r="Q10837" s="5">
        <v>217</v>
      </c>
      <c r="R10837" s="5">
        <v>12</v>
      </c>
      <c r="S10837" s="5">
        <v>220</v>
      </c>
    </row>
    <row r="10838" spans="1:19" ht="42" x14ac:dyDescent="0.15">
      <c r="A10838" s="2">
        <f>HYPERLINK("https://open-school.uspishnemisto.com.ua/school/560120/", 560120)</f>
        <v>560120</v>
      </c>
      <c r="B10838" s="3" t="s">
        <v>54859</v>
      </c>
      <c r="C10838" s="3" t="s">
        <v>54</v>
      </c>
      <c r="D10838" s="3" t="s">
        <v>175</v>
      </c>
      <c r="E10838" s="4" t="s">
        <v>22</v>
      </c>
      <c r="F10838" s="4" t="s">
        <v>54854</v>
      </c>
      <c r="G10838" s="4" t="s">
        <v>54860</v>
      </c>
      <c r="H10838" s="3" t="s">
        <v>54289</v>
      </c>
      <c r="I10838" s="3" t="s">
        <v>54861</v>
      </c>
      <c r="J10838" s="3" t="s">
        <v>54862</v>
      </c>
      <c r="K10838" s="3" t="s">
        <v>54863</v>
      </c>
      <c r="L10838" s="3"/>
      <c r="M10838" s="4"/>
      <c r="N10838" s="3" t="s">
        <v>37</v>
      </c>
      <c r="O10838" s="3" t="s">
        <v>52</v>
      </c>
      <c r="P10838" s="5">
        <v>9</v>
      </c>
      <c r="Q10838" s="5">
        <v>126</v>
      </c>
      <c r="R10838" s="5">
        <v>9</v>
      </c>
      <c r="S10838" s="5">
        <v>117</v>
      </c>
    </row>
    <row r="10839" spans="1:19" ht="28" x14ac:dyDescent="0.15">
      <c r="A10839" s="2">
        <f>HYPERLINK("https://open-school.uspishnemisto.com.ua/school/560121/", 560121)</f>
        <v>560121</v>
      </c>
      <c r="B10839" s="3" t="s">
        <v>54864</v>
      </c>
      <c r="C10839" s="3" t="s">
        <v>31</v>
      </c>
      <c r="D10839" s="3" t="s">
        <v>32</v>
      </c>
      <c r="E10839" s="4" t="s">
        <v>22</v>
      </c>
      <c r="F10839" s="4" t="s">
        <v>54865</v>
      </c>
      <c r="G10839" s="4" t="s">
        <v>54866</v>
      </c>
      <c r="H10839" s="3" t="s">
        <v>54289</v>
      </c>
      <c r="I10839" s="3" t="s">
        <v>54867</v>
      </c>
      <c r="J10839" s="3" t="s">
        <v>49065</v>
      </c>
      <c r="K10839" s="3" t="s">
        <v>54868</v>
      </c>
      <c r="L10839" s="3"/>
      <c r="M10839" s="4" t="s">
        <v>54869</v>
      </c>
      <c r="N10839" s="3" t="s">
        <v>37</v>
      </c>
      <c r="O10839" s="3" t="s">
        <v>52</v>
      </c>
      <c r="P10839" s="5">
        <v>32</v>
      </c>
      <c r="Q10839" s="5">
        <v>660</v>
      </c>
      <c r="R10839" s="5">
        <v>31</v>
      </c>
      <c r="S10839" s="5">
        <v>653</v>
      </c>
    </row>
    <row r="10840" spans="1:19" ht="56" x14ac:dyDescent="0.15">
      <c r="A10840" s="2">
        <f>HYPERLINK("https://open-school.uspishnemisto.com.ua/school/560122/", 560122)</f>
        <v>560122</v>
      </c>
      <c r="B10840" s="3" t="s">
        <v>54870</v>
      </c>
      <c r="C10840" s="3" t="s">
        <v>54</v>
      </c>
      <c r="D10840" s="3" t="s">
        <v>175</v>
      </c>
      <c r="E10840" s="4" t="s">
        <v>22</v>
      </c>
      <c r="F10840" s="4" t="s">
        <v>54871</v>
      </c>
      <c r="G10840" s="4" t="s">
        <v>54872</v>
      </c>
      <c r="H10840" s="3" t="s">
        <v>54289</v>
      </c>
      <c r="I10840" s="3" t="s">
        <v>54873</v>
      </c>
      <c r="J10840" s="3" t="s">
        <v>54874</v>
      </c>
      <c r="K10840" s="3" t="s">
        <v>54875</v>
      </c>
      <c r="L10840" s="3" t="s">
        <v>54876</v>
      </c>
      <c r="M10840" s="4" t="s">
        <v>54877</v>
      </c>
      <c r="N10840" s="3" t="s">
        <v>37</v>
      </c>
      <c r="O10840" s="3" t="s">
        <v>46</v>
      </c>
      <c r="P10840" s="5">
        <v>18</v>
      </c>
      <c r="Q10840" s="5">
        <v>358</v>
      </c>
      <c r="R10840" s="5">
        <v>18</v>
      </c>
      <c r="S10840" s="5">
        <v>359</v>
      </c>
    </row>
    <row r="10841" spans="1:19" ht="56" x14ac:dyDescent="0.15">
      <c r="A10841" s="2">
        <f>HYPERLINK("https://open-school.uspishnemisto.com.ua/school/560123/", 560123)</f>
        <v>560123</v>
      </c>
      <c r="B10841" s="3" t="s">
        <v>54878</v>
      </c>
      <c r="C10841" s="3" t="s">
        <v>54</v>
      </c>
      <c r="D10841" s="3" t="s">
        <v>32</v>
      </c>
      <c r="E10841" s="4" t="s">
        <v>22</v>
      </c>
      <c r="F10841" s="4" t="s">
        <v>54879</v>
      </c>
      <c r="G10841" s="4" t="s">
        <v>54880</v>
      </c>
      <c r="H10841" s="3" t="s">
        <v>54289</v>
      </c>
      <c r="I10841" s="3" t="s">
        <v>18934</v>
      </c>
      <c r="J10841" s="3" t="s">
        <v>54881</v>
      </c>
      <c r="K10841" s="3" t="s">
        <v>54882</v>
      </c>
      <c r="L10841" s="3"/>
      <c r="M10841" s="4" t="s">
        <v>54883</v>
      </c>
      <c r="N10841" s="3" t="s">
        <v>37</v>
      </c>
      <c r="O10841" s="3" t="s">
        <v>46</v>
      </c>
      <c r="P10841" s="5">
        <v>21</v>
      </c>
      <c r="Q10841" s="5">
        <v>401</v>
      </c>
      <c r="R10841" s="5">
        <v>20</v>
      </c>
      <c r="S10841" s="5">
        <v>395</v>
      </c>
    </row>
    <row r="10842" spans="1:19" ht="56" x14ac:dyDescent="0.15">
      <c r="A10842" s="2">
        <f>HYPERLINK("https://open-school.uspishnemisto.com.ua/school/560124/", 560124)</f>
        <v>560124</v>
      </c>
      <c r="B10842" s="3" t="s">
        <v>54884</v>
      </c>
      <c r="C10842" s="3" t="s">
        <v>54</v>
      </c>
      <c r="D10842" s="3" t="s">
        <v>175</v>
      </c>
      <c r="E10842" s="4" t="s">
        <v>22</v>
      </c>
      <c r="F10842" s="4" t="s">
        <v>54879</v>
      </c>
      <c r="G10842" s="4" t="s">
        <v>54885</v>
      </c>
      <c r="H10842" s="3" t="s">
        <v>54289</v>
      </c>
      <c r="I10842" s="3" t="s">
        <v>54886</v>
      </c>
      <c r="J10842" s="3" t="s">
        <v>466</v>
      </c>
      <c r="K10842" s="3" t="s">
        <v>54887</v>
      </c>
      <c r="L10842" s="3"/>
      <c r="M10842" s="4" t="s">
        <v>54888</v>
      </c>
      <c r="N10842" s="3" t="s">
        <v>37</v>
      </c>
      <c r="O10842" s="3" t="s">
        <v>52</v>
      </c>
      <c r="P10842" s="5">
        <v>9</v>
      </c>
      <c r="Q10842" s="5">
        <v>127</v>
      </c>
      <c r="R10842" s="5">
        <v>9</v>
      </c>
      <c r="S10842" s="5">
        <v>118</v>
      </c>
    </row>
    <row r="10843" spans="1:19" ht="42" x14ac:dyDescent="0.15">
      <c r="A10843" s="2">
        <f>HYPERLINK("https://open-school.uspishnemisto.com.ua/school/560125/", 560125)</f>
        <v>560125</v>
      </c>
      <c r="B10843" s="3" t="s">
        <v>54889</v>
      </c>
      <c r="C10843" s="3" t="s">
        <v>54</v>
      </c>
      <c r="D10843" s="3" t="s">
        <v>175</v>
      </c>
      <c r="E10843" s="4" t="s">
        <v>22</v>
      </c>
      <c r="F10843" s="4" t="s">
        <v>54879</v>
      </c>
      <c r="G10843" s="4" t="s">
        <v>54890</v>
      </c>
      <c r="H10843" s="3" t="s">
        <v>54289</v>
      </c>
      <c r="I10843" s="3" t="s">
        <v>54891</v>
      </c>
      <c r="J10843" s="3" t="s">
        <v>54892</v>
      </c>
      <c r="K10843" s="3" t="s">
        <v>54893</v>
      </c>
      <c r="L10843" s="3"/>
      <c r="M10843" s="4" t="s">
        <v>54894</v>
      </c>
      <c r="N10843" s="3" t="s">
        <v>37</v>
      </c>
      <c r="O10843" s="3" t="s">
        <v>52</v>
      </c>
      <c r="P10843" s="5">
        <v>9</v>
      </c>
      <c r="Q10843" s="5">
        <v>106</v>
      </c>
      <c r="R10843" s="5">
        <v>9</v>
      </c>
      <c r="S10843" s="5">
        <v>105</v>
      </c>
    </row>
    <row r="10844" spans="1:19" ht="56" x14ac:dyDescent="0.15">
      <c r="A10844" s="2">
        <f>HYPERLINK("https://open-school.uspishnemisto.com.ua/school/560126/", 560126)</f>
        <v>560126</v>
      </c>
      <c r="B10844" s="3" t="s">
        <v>54895</v>
      </c>
      <c r="C10844" s="3" t="s">
        <v>54</v>
      </c>
      <c r="D10844" s="3" t="s">
        <v>32</v>
      </c>
      <c r="E10844" s="4" t="s">
        <v>22</v>
      </c>
      <c r="F10844" s="4" t="s">
        <v>54896</v>
      </c>
      <c r="G10844" s="4" t="s">
        <v>54897</v>
      </c>
      <c r="H10844" s="3" t="s">
        <v>54289</v>
      </c>
      <c r="I10844" s="3" t="s">
        <v>54898</v>
      </c>
      <c r="J10844" s="3" t="s">
        <v>54899</v>
      </c>
      <c r="K10844" s="3" t="s">
        <v>54900</v>
      </c>
      <c r="L10844" s="3"/>
      <c r="M10844" s="4" t="s">
        <v>54901</v>
      </c>
      <c r="N10844" s="3" t="s">
        <v>37</v>
      </c>
      <c r="O10844" s="3" t="s">
        <v>46</v>
      </c>
      <c r="P10844" s="5">
        <v>19</v>
      </c>
      <c r="Q10844" s="5">
        <v>346</v>
      </c>
      <c r="R10844" s="5">
        <v>18</v>
      </c>
      <c r="S10844" s="5">
        <v>347</v>
      </c>
    </row>
    <row r="10845" spans="1:19" ht="28" x14ac:dyDescent="0.15">
      <c r="A10845" s="2">
        <f>HYPERLINK("https://open-school.uspishnemisto.com.ua/school/560127/", 560127)</f>
        <v>560127</v>
      </c>
      <c r="B10845" s="3" t="s">
        <v>54902</v>
      </c>
      <c r="C10845" s="3" t="s">
        <v>31</v>
      </c>
      <c r="D10845" s="3" t="s">
        <v>175</v>
      </c>
      <c r="E10845" s="4" t="s">
        <v>22</v>
      </c>
      <c r="F10845" s="4" t="s">
        <v>54903</v>
      </c>
      <c r="G10845" s="4" t="s">
        <v>54904</v>
      </c>
      <c r="H10845" s="3" t="s">
        <v>54289</v>
      </c>
      <c r="I10845" s="3" t="s">
        <v>54905</v>
      </c>
      <c r="J10845" s="3" t="s">
        <v>54906</v>
      </c>
      <c r="K10845" s="3" t="s">
        <v>54907</v>
      </c>
      <c r="L10845" s="3"/>
      <c r="M10845" s="4" t="s">
        <v>54908</v>
      </c>
      <c r="N10845" s="3" t="s">
        <v>37</v>
      </c>
      <c r="O10845" s="3" t="s">
        <v>70</v>
      </c>
      <c r="P10845" s="5">
        <v>9</v>
      </c>
      <c r="Q10845" s="5">
        <v>102</v>
      </c>
      <c r="R10845" s="5">
        <v>9</v>
      </c>
      <c r="S10845" s="5">
        <v>103</v>
      </c>
    </row>
    <row r="10846" spans="1:19" ht="28" x14ac:dyDescent="0.15">
      <c r="A10846" s="2">
        <f>HYPERLINK("https://open-school.uspishnemisto.com.ua/school/560128/", 560128)</f>
        <v>560128</v>
      </c>
      <c r="B10846" s="3" t="s">
        <v>54909</v>
      </c>
      <c r="C10846" s="3" t="s">
        <v>31</v>
      </c>
      <c r="D10846" s="3" t="s">
        <v>32</v>
      </c>
      <c r="E10846" s="4" t="s">
        <v>22</v>
      </c>
      <c r="F10846" s="4" t="s">
        <v>54910</v>
      </c>
      <c r="G10846" s="4" t="s">
        <v>54911</v>
      </c>
      <c r="H10846" s="3" t="s">
        <v>54289</v>
      </c>
      <c r="I10846" s="3" t="s">
        <v>7236</v>
      </c>
      <c r="J10846" s="3" t="s">
        <v>54912</v>
      </c>
      <c r="K10846" s="3" t="s">
        <v>54913</v>
      </c>
      <c r="L10846" s="3"/>
      <c r="M10846" s="4" t="s">
        <v>54914</v>
      </c>
      <c r="N10846" s="3" t="s">
        <v>37</v>
      </c>
      <c r="O10846" s="3" t="s">
        <v>46</v>
      </c>
      <c r="P10846" s="5">
        <v>11</v>
      </c>
      <c r="Q10846" s="5">
        <v>167</v>
      </c>
      <c r="R10846" s="5">
        <v>11</v>
      </c>
      <c r="S10846" s="5">
        <v>169</v>
      </c>
    </row>
    <row r="10847" spans="1:19" ht="28" x14ac:dyDescent="0.15">
      <c r="A10847" s="2">
        <f>HYPERLINK("https://open-school.uspishnemisto.com.ua/school/560129/", 560129)</f>
        <v>560129</v>
      </c>
      <c r="B10847" s="3" t="s">
        <v>54915</v>
      </c>
      <c r="C10847" s="3" t="s">
        <v>31</v>
      </c>
      <c r="D10847" s="3" t="s">
        <v>32</v>
      </c>
      <c r="E10847" s="4" t="s">
        <v>22</v>
      </c>
      <c r="F10847" s="4" t="s">
        <v>54916</v>
      </c>
      <c r="G10847" s="4" t="s">
        <v>54917</v>
      </c>
      <c r="H10847" s="3" t="s">
        <v>54289</v>
      </c>
      <c r="I10847" s="3" t="s">
        <v>54918</v>
      </c>
      <c r="J10847" s="3" t="s">
        <v>54919</v>
      </c>
      <c r="K10847" s="3" t="s">
        <v>54920</v>
      </c>
      <c r="L10847" s="3"/>
      <c r="M10847" s="4"/>
      <c r="N10847" s="3" t="s">
        <v>37</v>
      </c>
      <c r="O10847" s="3" t="s">
        <v>52</v>
      </c>
      <c r="P10847" s="5">
        <v>14</v>
      </c>
      <c r="Q10847" s="5">
        <v>196</v>
      </c>
      <c r="R10847" s="5">
        <v>15</v>
      </c>
      <c r="S10847" s="5">
        <v>198</v>
      </c>
    </row>
    <row r="10848" spans="1:19" ht="56" x14ac:dyDescent="0.15">
      <c r="A10848" s="2">
        <f>HYPERLINK("https://open-school.uspishnemisto.com.ua/school/560130/", 560130)</f>
        <v>560130</v>
      </c>
      <c r="B10848" s="3" t="s">
        <v>54921</v>
      </c>
      <c r="C10848" s="3" t="s">
        <v>54</v>
      </c>
      <c r="D10848" s="3" t="s">
        <v>32</v>
      </c>
      <c r="E10848" s="4" t="s">
        <v>22</v>
      </c>
      <c r="F10848" s="4" t="s">
        <v>54922</v>
      </c>
      <c r="G10848" s="4" t="s">
        <v>54923</v>
      </c>
      <c r="H10848" s="3" t="s">
        <v>54289</v>
      </c>
      <c r="I10848" s="3" t="s">
        <v>54924</v>
      </c>
      <c r="J10848" s="3" t="s">
        <v>54925</v>
      </c>
      <c r="K10848" s="3" t="s">
        <v>54926</v>
      </c>
      <c r="L10848" s="3"/>
      <c r="M10848" s="4" t="s">
        <v>54927</v>
      </c>
      <c r="N10848" s="3" t="s">
        <v>37</v>
      </c>
      <c r="O10848" s="3" t="s">
        <v>52</v>
      </c>
      <c r="P10848" s="5">
        <v>27</v>
      </c>
      <c r="Q10848" s="5">
        <v>648</v>
      </c>
      <c r="R10848" s="5">
        <v>25</v>
      </c>
      <c r="S10848" s="5">
        <v>622</v>
      </c>
    </row>
    <row r="10849" spans="1:19" ht="56" x14ac:dyDescent="0.15">
      <c r="A10849" s="2">
        <f>HYPERLINK("https://open-school.uspishnemisto.com.ua/school/560131/", 560131)</f>
        <v>560131</v>
      </c>
      <c r="B10849" s="3" t="s">
        <v>54928</v>
      </c>
      <c r="C10849" s="3" t="s">
        <v>54</v>
      </c>
      <c r="D10849" s="3" t="s">
        <v>32</v>
      </c>
      <c r="E10849" s="4" t="s">
        <v>22</v>
      </c>
      <c r="F10849" s="4" t="s">
        <v>54929</v>
      </c>
      <c r="G10849" s="4" t="s">
        <v>54930</v>
      </c>
      <c r="H10849" s="3" t="s">
        <v>54289</v>
      </c>
      <c r="I10849" s="3" t="s">
        <v>34917</v>
      </c>
      <c r="J10849" s="3" t="s">
        <v>2226</v>
      </c>
      <c r="K10849" s="3" t="s">
        <v>54931</v>
      </c>
      <c r="L10849" s="3" t="s">
        <v>54932</v>
      </c>
      <c r="M10849" s="4" t="s">
        <v>54933</v>
      </c>
      <c r="N10849" s="3" t="s">
        <v>37</v>
      </c>
      <c r="O10849" s="3" t="s">
        <v>70</v>
      </c>
      <c r="P10849" s="5">
        <v>11</v>
      </c>
      <c r="Q10849" s="5">
        <v>91</v>
      </c>
      <c r="R10849" s="5">
        <v>11</v>
      </c>
      <c r="S10849" s="5">
        <v>105</v>
      </c>
    </row>
    <row r="10850" spans="1:19" ht="28" x14ac:dyDescent="0.15">
      <c r="A10850" s="2">
        <f>HYPERLINK("https://open-school.uspishnemisto.com.ua/school/560132/", 560132)</f>
        <v>560132</v>
      </c>
      <c r="B10850" s="3" t="s">
        <v>54934</v>
      </c>
      <c r="C10850" s="3" t="s">
        <v>31</v>
      </c>
      <c r="D10850" s="3" t="s">
        <v>175</v>
      </c>
      <c r="E10850" s="4" t="s">
        <v>22</v>
      </c>
      <c r="F10850" s="4" t="s">
        <v>54929</v>
      </c>
      <c r="G10850" s="4" t="s">
        <v>54935</v>
      </c>
      <c r="H10850" s="3" t="s">
        <v>54289</v>
      </c>
      <c r="I10850" s="3" t="s">
        <v>5477</v>
      </c>
      <c r="J10850" s="3" t="s">
        <v>634</v>
      </c>
      <c r="K10850" s="3" t="s">
        <v>54936</v>
      </c>
      <c r="L10850" s="3" t="s">
        <v>54937</v>
      </c>
      <c r="M10850" s="4" t="s">
        <v>54938</v>
      </c>
      <c r="N10850" s="3" t="s">
        <v>37</v>
      </c>
      <c r="O10850" s="3" t="s">
        <v>46</v>
      </c>
      <c r="P10850" s="5">
        <v>9</v>
      </c>
      <c r="Q10850" s="5">
        <v>112</v>
      </c>
      <c r="R10850" s="5">
        <v>9</v>
      </c>
      <c r="S10850" s="5">
        <v>110</v>
      </c>
    </row>
    <row r="10851" spans="1:19" ht="28" x14ac:dyDescent="0.15">
      <c r="A10851" s="2">
        <f>HYPERLINK("https://open-school.uspishnemisto.com.ua/school/560133/", 560133)</f>
        <v>560133</v>
      </c>
      <c r="B10851" s="3" t="s">
        <v>54939</v>
      </c>
      <c r="C10851" s="3" t="s">
        <v>31</v>
      </c>
      <c r="D10851" s="3" t="s">
        <v>175</v>
      </c>
      <c r="E10851" s="4" t="s">
        <v>22</v>
      </c>
      <c r="F10851" s="4" t="s">
        <v>54940</v>
      </c>
      <c r="G10851" s="4" t="s">
        <v>54941</v>
      </c>
      <c r="H10851" s="3" t="s">
        <v>54289</v>
      </c>
      <c r="I10851" s="3" t="s">
        <v>54942</v>
      </c>
      <c r="J10851" s="3" t="s">
        <v>54943</v>
      </c>
      <c r="K10851" s="3" t="s">
        <v>54944</v>
      </c>
      <c r="L10851" s="3"/>
      <c r="M10851" s="4"/>
      <c r="N10851" s="3" t="s">
        <v>37</v>
      </c>
      <c r="O10851" s="3" t="s">
        <v>46</v>
      </c>
      <c r="P10851" s="5">
        <v>9</v>
      </c>
      <c r="Q10851" s="5">
        <v>132</v>
      </c>
      <c r="R10851" s="5">
        <v>9</v>
      </c>
      <c r="S10851" s="5">
        <v>129</v>
      </c>
    </row>
    <row r="10852" spans="1:19" ht="42" x14ac:dyDescent="0.15">
      <c r="A10852" s="2">
        <f>HYPERLINK("https://open-school.uspishnemisto.com.ua/school/560134/", 560134)</f>
        <v>560134</v>
      </c>
      <c r="B10852" s="3" t="s">
        <v>54945</v>
      </c>
      <c r="C10852" s="3" t="s">
        <v>54</v>
      </c>
      <c r="D10852" s="3" t="s">
        <v>175</v>
      </c>
      <c r="E10852" s="4" t="s">
        <v>22</v>
      </c>
      <c r="F10852" s="4" t="s">
        <v>54940</v>
      </c>
      <c r="G10852" s="4" t="s">
        <v>54946</v>
      </c>
      <c r="H10852" s="3" t="s">
        <v>54289</v>
      </c>
      <c r="I10852" s="3" t="s">
        <v>17292</v>
      </c>
      <c r="J10852" s="3" t="s">
        <v>54947</v>
      </c>
      <c r="K10852" s="3" t="s">
        <v>54948</v>
      </c>
      <c r="L10852" s="3" t="s">
        <v>54949</v>
      </c>
      <c r="M10852" s="4" t="s">
        <v>54950</v>
      </c>
      <c r="N10852" s="3" t="s">
        <v>37</v>
      </c>
      <c r="O10852" s="3" t="s">
        <v>46</v>
      </c>
      <c r="P10852" s="5">
        <v>7</v>
      </c>
      <c r="Q10852" s="5">
        <v>41</v>
      </c>
      <c r="R10852" s="5">
        <v>7</v>
      </c>
      <c r="S10852" s="5">
        <v>39</v>
      </c>
    </row>
    <row r="10853" spans="1:19" ht="28" x14ac:dyDescent="0.15">
      <c r="A10853" s="2">
        <f>HYPERLINK("https://open-school.uspishnemisto.com.ua/school/560135/", 560135)</f>
        <v>560135</v>
      </c>
      <c r="B10853" s="3" t="s">
        <v>54951</v>
      </c>
      <c r="C10853" s="3" t="s">
        <v>31</v>
      </c>
      <c r="D10853" s="3" t="s">
        <v>32</v>
      </c>
      <c r="E10853" s="4" t="s">
        <v>22</v>
      </c>
      <c r="F10853" s="4" t="s">
        <v>54952</v>
      </c>
      <c r="G10853" s="4" t="s">
        <v>54953</v>
      </c>
      <c r="H10853" s="3" t="s">
        <v>54289</v>
      </c>
      <c r="I10853" s="3" t="s">
        <v>54954</v>
      </c>
      <c r="J10853" s="3" t="s">
        <v>54955</v>
      </c>
      <c r="K10853" s="3" t="s">
        <v>54956</v>
      </c>
      <c r="L10853" s="3"/>
      <c r="M10853" s="4"/>
      <c r="N10853" s="3" t="s">
        <v>37</v>
      </c>
      <c r="O10853" s="3" t="s">
        <v>38</v>
      </c>
      <c r="P10853" s="5">
        <v>15</v>
      </c>
      <c r="Q10853" s="5">
        <v>153</v>
      </c>
      <c r="R10853" s="5">
        <v>15</v>
      </c>
      <c r="S10853" s="5">
        <v>157</v>
      </c>
    </row>
    <row r="10854" spans="1:19" ht="28" x14ac:dyDescent="0.15">
      <c r="A10854" s="2">
        <f>HYPERLINK("https://open-school.uspishnemisto.com.ua/school/560136/", 560136)</f>
        <v>560136</v>
      </c>
      <c r="B10854" s="3" t="s">
        <v>54957</v>
      </c>
      <c r="C10854" s="3" t="s">
        <v>54</v>
      </c>
      <c r="D10854" s="3" t="s">
        <v>32</v>
      </c>
      <c r="E10854" s="4" t="s">
        <v>22</v>
      </c>
      <c r="F10854" s="4" t="s">
        <v>54958</v>
      </c>
      <c r="G10854" s="4" t="s">
        <v>54959</v>
      </c>
      <c r="H10854" s="3" t="s">
        <v>54289</v>
      </c>
      <c r="I10854" s="3" t="s">
        <v>54960</v>
      </c>
      <c r="J10854" s="3" t="s">
        <v>54961</v>
      </c>
      <c r="K10854" s="3" t="s">
        <v>54962</v>
      </c>
      <c r="L10854" s="3"/>
      <c r="M10854" s="4" t="s">
        <v>54963</v>
      </c>
      <c r="N10854" s="3" t="s">
        <v>37</v>
      </c>
      <c r="O10854" s="3" t="s">
        <v>46</v>
      </c>
      <c r="P10854" s="5">
        <v>26</v>
      </c>
      <c r="Q10854" s="5">
        <v>544</v>
      </c>
      <c r="R10854" s="5">
        <v>26</v>
      </c>
      <c r="S10854" s="5">
        <v>524</v>
      </c>
    </row>
    <row r="10855" spans="1:19" ht="42" x14ac:dyDescent="0.15">
      <c r="A10855" s="2">
        <f>HYPERLINK("https://open-school.uspishnemisto.com.ua/school/560137/", 560137)</f>
        <v>560137</v>
      </c>
      <c r="B10855" s="3" t="s">
        <v>54964</v>
      </c>
      <c r="C10855" s="3" t="s">
        <v>54</v>
      </c>
      <c r="D10855" s="3" t="s">
        <v>32</v>
      </c>
      <c r="E10855" s="4" t="s">
        <v>22</v>
      </c>
      <c r="F10855" s="4" t="s">
        <v>54965</v>
      </c>
      <c r="G10855" s="4" t="s">
        <v>54966</v>
      </c>
      <c r="H10855" s="3" t="s">
        <v>54289</v>
      </c>
      <c r="I10855" s="3" t="s">
        <v>17940</v>
      </c>
      <c r="J10855" s="3" t="s">
        <v>466</v>
      </c>
      <c r="K10855" s="3" t="s">
        <v>54967</v>
      </c>
      <c r="L10855" s="3" t="s">
        <v>54968</v>
      </c>
      <c r="M10855" s="4" t="s">
        <v>54969</v>
      </c>
      <c r="N10855" s="3" t="s">
        <v>37</v>
      </c>
      <c r="O10855" s="3" t="s">
        <v>52</v>
      </c>
      <c r="P10855" s="5">
        <v>11</v>
      </c>
      <c r="Q10855" s="5">
        <v>78</v>
      </c>
      <c r="R10855" s="5">
        <v>10</v>
      </c>
      <c r="S10855" s="5">
        <v>66</v>
      </c>
    </row>
    <row r="10856" spans="1:19" ht="28" x14ac:dyDescent="0.15">
      <c r="A10856" s="2">
        <f>HYPERLINK("https://open-school.uspishnemisto.com.ua/school/560138/", 560138)</f>
        <v>560138</v>
      </c>
      <c r="B10856" s="3" t="s">
        <v>54970</v>
      </c>
      <c r="C10856" s="3" t="s">
        <v>54</v>
      </c>
      <c r="D10856" s="3" t="s">
        <v>175</v>
      </c>
      <c r="E10856" s="4" t="s">
        <v>22</v>
      </c>
      <c r="F10856" s="4" t="s">
        <v>54971</v>
      </c>
      <c r="G10856" s="4" t="s">
        <v>54972</v>
      </c>
      <c r="H10856" s="3" t="s">
        <v>54289</v>
      </c>
      <c r="I10856" s="3" t="s">
        <v>5443</v>
      </c>
      <c r="J10856" s="3" t="s">
        <v>1161</v>
      </c>
      <c r="K10856" s="3" t="s">
        <v>54973</v>
      </c>
      <c r="L10856" s="3"/>
      <c r="M10856" s="4" t="s">
        <v>54974</v>
      </c>
      <c r="N10856" s="3" t="s">
        <v>37</v>
      </c>
      <c r="O10856" s="3" t="s">
        <v>70</v>
      </c>
      <c r="P10856" s="5">
        <v>10</v>
      </c>
      <c r="Q10856" s="5">
        <v>188</v>
      </c>
      <c r="R10856" s="5">
        <v>10</v>
      </c>
      <c r="S10856" s="5">
        <v>184</v>
      </c>
    </row>
    <row r="10857" spans="1:19" ht="28" x14ac:dyDescent="0.15">
      <c r="A10857" s="2">
        <f>HYPERLINK("https://open-school.uspishnemisto.com.ua/school/560139/", 560139)</f>
        <v>560139</v>
      </c>
      <c r="B10857" s="3" t="s">
        <v>54975</v>
      </c>
      <c r="C10857" s="3" t="s">
        <v>31</v>
      </c>
      <c r="D10857" s="3" t="s">
        <v>32</v>
      </c>
      <c r="E10857" s="4" t="s">
        <v>22</v>
      </c>
      <c r="F10857" s="4" t="s">
        <v>54976</v>
      </c>
      <c r="G10857" s="4" t="s">
        <v>54977</v>
      </c>
      <c r="H10857" s="3" t="s">
        <v>54289</v>
      </c>
      <c r="I10857" s="3" t="s">
        <v>6238</v>
      </c>
      <c r="J10857" s="3" t="s">
        <v>1668</v>
      </c>
      <c r="K10857" s="3" t="s">
        <v>54978</v>
      </c>
      <c r="L10857" s="3" t="s">
        <v>54979</v>
      </c>
      <c r="M10857" s="4" t="s">
        <v>54980</v>
      </c>
      <c r="N10857" s="3" t="s">
        <v>37</v>
      </c>
      <c r="O10857" s="3" t="s">
        <v>52</v>
      </c>
      <c r="P10857" s="5">
        <v>12</v>
      </c>
      <c r="Q10857" s="5">
        <v>215</v>
      </c>
      <c r="R10857" s="5">
        <v>12</v>
      </c>
      <c r="S10857" s="5">
        <v>209</v>
      </c>
    </row>
    <row r="10858" spans="1:19" ht="28" x14ac:dyDescent="0.15">
      <c r="A10858" s="2">
        <f>HYPERLINK("https://open-school.uspishnemisto.com.ua/school/560140/", 560140)</f>
        <v>560140</v>
      </c>
      <c r="B10858" s="3" t="s">
        <v>54981</v>
      </c>
      <c r="C10858" s="3" t="s">
        <v>31</v>
      </c>
      <c r="D10858" s="3" t="s">
        <v>32</v>
      </c>
      <c r="E10858" s="4" t="s">
        <v>22</v>
      </c>
      <c r="F10858" s="4" t="s">
        <v>54982</v>
      </c>
      <c r="G10858" s="4" t="s">
        <v>54983</v>
      </c>
      <c r="H10858" s="3" t="s">
        <v>54289</v>
      </c>
      <c r="I10858" s="3" t="s">
        <v>5976</v>
      </c>
      <c r="J10858" s="3" t="s">
        <v>466</v>
      </c>
      <c r="K10858" s="3" t="s">
        <v>54984</v>
      </c>
      <c r="L10858" s="3"/>
      <c r="M10858" s="4" t="s">
        <v>54985</v>
      </c>
      <c r="N10858" s="3" t="s">
        <v>37</v>
      </c>
      <c r="O10858" s="3" t="s">
        <v>70</v>
      </c>
      <c r="P10858" s="5">
        <v>29</v>
      </c>
      <c r="Q10858" s="5">
        <v>534</v>
      </c>
      <c r="R10858" s="5">
        <v>29</v>
      </c>
      <c r="S10858" s="5">
        <v>496</v>
      </c>
    </row>
    <row r="10859" spans="1:19" ht="28" x14ac:dyDescent="0.15">
      <c r="A10859" s="2">
        <f>HYPERLINK("https://open-school.uspishnemisto.com.ua/school/560141/", 560141)</f>
        <v>560141</v>
      </c>
      <c r="B10859" s="3" t="s">
        <v>54986</v>
      </c>
      <c r="C10859" s="3" t="s">
        <v>20</v>
      </c>
      <c r="D10859" s="3" t="s">
        <v>21</v>
      </c>
      <c r="E10859" s="4" t="s">
        <v>22</v>
      </c>
      <c r="F10859" s="4" t="s">
        <v>54987</v>
      </c>
      <c r="G10859" s="4" t="s">
        <v>54988</v>
      </c>
      <c r="H10859" s="3" t="s">
        <v>54289</v>
      </c>
      <c r="I10859" s="3" t="s">
        <v>54989</v>
      </c>
      <c r="J10859" s="3" t="s">
        <v>17949</v>
      </c>
      <c r="K10859" s="3" t="s">
        <v>54990</v>
      </c>
      <c r="L10859" s="3"/>
      <c r="M10859" s="4" t="s">
        <v>54991</v>
      </c>
      <c r="N10859" s="3"/>
      <c r="O10859" s="3"/>
      <c r="P10859" s="5">
        <v>0</v>
      </c>
      <c r="Q10859" s="5">
        <v>0</v>
      </c>
      <c r="R10859" s="5"/>
      <c r="S10859" s="5"/>
    </row>
    <row r="10860" spans="1:19" ht="28" x14ac:dyDescent="0.15">
      <c r="A10860" s="2">
        <f>HYPERLINK("https://open-school.uspishnemisto.com.ua/school/560142/", 560142)</f>
        <v>560142</v>
      </c>
      <c r="B10860" s="3" t="s">
        <v>54992</v>
      </c>
      <c r="C10860" s="3" t="s">
        <v>54</v>
      </c>
      <c r="D10860" s="3" t="s">
        <v>175</v>
      </c>
      <c r="E10860" s="4" t="s">
        <v>22</v>
      </c>
      <c r="F10860" s="4" t="s">
        <v>54993</v>
      </c>
      <c r="G10860" s="4" t="s">
        <v>54994</v>
      </c>
      <c r="H10860" s="3" t="s">
        <v>54289</v>
      </c>
      <c r="I10860" s="3" t="s">
        <v>54995</v>
      </c>
      <c r="J10860" s="3" t="s">
        <v>54996</v>
      </c>
      <c r="K10860" s="3" t="s">
        <v>54997</v>
      </c>
      <c r="L10860" s="3"/>
      <c r="M10860" s="4" t="s">
        <v>54998</v>
      </c>
      <c r="N10860" s="3" t="s">
        <v>37</v>
      </c>
      <c r="O10860" s="3" t="s">
        <v>52</v>
      </c>
      <c r="P10860" s="5">
        <v>13</v>
      </c>
      <c r="Q10860" s="5">
        <v>282</v>
      </c>
      <c r="R10860" s="5">
        <v>12</v>
      </c>
      <c r="S10860" s="5">
        <v>268</v>
      </c>
    </row>
    <row r="10861" spans="1:19" ht="56" x14ac:dyDescent="0.15">
      <c r="A10861" s="2">
        <f>HYPERLINK("https://open-school.uspishnemisto.com.ua/school/560143/", 560143)</f>
        <v>560143</v>
      </c>
      <c r="B10861" s="3" t="s">
        <v>54999</v>
      </c>
      <c r="C10861" s="3" t="s">
        <v>54</v>
      </c>
      <c r="D10861" s="3" t="s">
        <v>32</v>
      </c>
      <c r="E10861" s="4" t="s">
        <v>22</v>
      </c>
      <c r="F10861" s="4" t="s">
        <v>55000</v>
      </c>
      <c r="G10861" s="4" t="s">
        <v>55001</v>
      </c>
      <c r="H10861" s="3" t="s">
        <v>54289</v>
      </c>
      <c r="I10861" s="3" t="s">
        <v>55002</v>
      </c>
      <c r="J10861" s="3" t="s">
        <v>18484</v>
      </c>
      <c r="K10861" s="3" t="s">
        <v>55003</v>
      </c>
      <c r="L10861" s="3" t="s">
        <v>55004</v>
      </c>
      <c r="M10861" s="4" t="s">
        <v>55005</v>
      </c>
      <c r="N10861" s="3" t="s">
        <v>37</v>
      </c>
      <c r="O10861" s="3" t="s">
        <v>52</v>
      </c>
      <c r="P10861" s="5">
        <v>11</v>
      </c>
      <c r="Q10861" s="5">
        <v>201</v>
      </c>
      <c r="R10861" s="5">
        <v>11</v>
      </c>
      <c r="S10861" s="5">
        <v>207</v>
      </c>
    </row>
    <row r="10862" spans="1:19" ht="28" x14ac:dyDescent="0.15">
      <c r="A10862" s="2">
        <f>HYPERLINK("https://open-school.uspishnemisto.com.ua/school/560144/", 560144)</f>
        <v>560144</v>
      </c>
      <c r="B10862" s="3" t="s">
        <v>55006</v>
      </c>
      <c r="C10862" s="3" t="s">
        <v>31</v>
      </c>
      <c r="D10862" s="3" t="s">
        <v>32</v>
      </c>
      <c r="E10862" s="4" t="s">
        <v>22</v>
      </c>
      <c r="F10862" s="4" t="s">
        <v>55007</v>
      </c>
      <c r="G10862" s="4" t="s">
        <v>55008</v>
      </c>
      <c r="H10862" s="3" t="s">
        <v>54289</v>
      </c>
      <c r="I10862" s="3" t="s">
        <v>55009</v>
      </c>
      <c r="J10862" s="3" t="s">
        <v>55010</v>
      </c>
      <c r="K10862" s="3" t="s">
        <v>55011</v>
      </c>
      <c r="L10862" s="3"/>
      <c r="M10862" s="4"/>
      <c r="N10862" s="3" t="s">
        <v>37</v>
      </c>
      <c r="O10862" s="3" t="s">
        <v>46</v>
      </c>
      <c r="P10862" s="5">
        <v>15</v>
      </c>
      <c r="Q10862" s="5">
        <v>280</v>
      </c>
      <c r="R10862" s="5">
        <v>14</v>
      </c>
      <c r="S10862" s="5">
        <v>264</v>
      </c>
    </row>
    <row r="10863" spans="1:19" ht="56" x14ac:dyDescent="0.15">
      <c r="A10863" s="2">
        <f>HYPERLINK("https://open-school.uspishnemisto.com.ua/school/560145/", 560145)</f>
        <v>560145</v>
      </c>
      <c r="B10863" s="3" t="s">
        <v>55012</v>
      </c>
      <c r="C10863" s="3" t="s">
        <v>54</v>
      </c>
      <c r="D10863" s="3" t="s">
        <v>32</v>
      </c>
      <c r="E10863" s="4" t="s">
        <v>22</v>
      </c>
      <c r="F10863" s="4" t="s">
        <v>55013</v>
      </c>
      <c r="G10863" s="4" t="s">
        <v>55014</v>
      </c>
      <c r="H10863" s="3" t="s">
        <v>54289</v>
      </c>
      <c r="I10863" s="3" t="s">
        <v>55015</v>
      </c>
      <c r="J10863" s="3" t="s">
        <v>55016</v>
      </c>
      <c r="K10863" s="3" t="s">
        <v>55017</v>
      </c>
      <c r="L10863" s="3"/>
      <c r="M10863" s="4" t="s">
        <v>55018</v>
      </c>
      <c r="N10863" s="3" t="s">
        <v>37</v>
      </c>
      <c r="O10863" s="3" t="s">
        <v>46</v>
      </c>
      <c r="P10863" s="5">
        <v>24</v>
      </c>
      <c r="Q10863" s="5">
        <v>377</v>
      </c>
      <c r="R10863" s="5">
        <v>25</v>
      </c>
      <c r="S10863" s="5">
        <v>380</v>
      </c>
    </row>
    <row r="10864" spans="1:19" ht="28" x14ac:dyDescent="0.15">
      <c r="A10864" s="2">
        <f>HYPERLINK("https://open-school.uspishnemisto.com.ua/school/560146/", 560146)</f>
        <v>560146</v>
      </c>
      <c r="B10864" s="3" t="s">
        <v>55019</v>
      </c>
      <c r="C10864" s="3" t="s">
        <v>31</v>
      </c>
      <c r="D10864" s="3" t="s">
        <v>32</v>
      </c>
      <c r="E10864" s="4" t="s">
        <v>22</v>
      </c>
      <c r="F10864" s="4" t="s">
        <v>55020</v>
      </c>
      <c r="G10864" s="4" t="s">
        <v>55021</v>
      </c>
      <c r="H10864" s="3" t="s">
        <v>54289</v>
      </c>
      <c r="I10864" s="3" t="s">
        <v>55022</v>
      </c>
      <c r="J10864" s="3" t="s">
        <v>2584</v>
      </c>
      <c r="K10864" s="3" t="s">
        <v>55023</v>
      </c>
      <c r="L10864" s="3" t="s">
        <v>55024</v>
      </c>
      <c r="M10864" s="4" t="s">
        <v>55025</v>
      </c>
      <c r="N10864" s="3" t="s">
        <v>37</v>
      </c>
      <c r="O10864" s="3" t="s">
        <v>70</v>
      </c>
      <c r="P10864" s="5">
        <v>10</v>
      </c>
      <c r="Q10864" s="5">
        <v>117</v>
      </c>
      <c r="R10864" s="5">
        <v>10</v>
      </c>
      <c r="S10864" s="5">
        <v>104</v>
      </c>
    </row>
    <row r="10865" spans="1:19" ht="56" x14ac:dyDescent="0.15">
      <c r="A10865" s="2">
        <f>HYPERLINK("https://open-school.uspishnemisto.com.ua/school/560147/", 560147)</f>
        <v>560147</v>
      </c>
      <c r="B10865" s="3" t="s">
        <v>55026</v>
      </c>
      <c r="C10865" s="3" t="s">
        <v>54</v>
      </c>
      <c r="D10865" s="3" t="s">
        <v>32</v>
      </c>
      <c r="E10865" s="4" t="s">
        <v>22</v>
      </c>
      <c r="F10865" s="4" t="s">
        <v>55027</v>
      </c>
      <c r="G10865" s="4" t="s">
        <v>55028</v>
      </c>
      <c r="H10865" s="3" t="s">
        <v>54289</v>
      </c>
      <c r="I10865" s="3" t="s">
        <v>55029</v>
      </c>
      <c r="J10865" s="3" t="s">
        <v>5256</v>
      </c>
      <c r="K10865" s="3" t="s">
        <v>55030</v>
      </c>
      <c r="L10865" s="3"/>
      <c r="M10865" s="4" t="s">
        <v>55031</v>
      </c>
      <c r="N10865" s="3" t="s">
        <v>37</v>
      </c>
      <c r="O10865" s="3" t="s">
        <v>46</v>
      </c>
      <c r="P10865" s="5">
        <v>22</v>
      </c>
      <c r="Q10865" s="5">
        <v>496</v>
      </c>
      <c r="R10865" s="5">
        <v>21</v>
      </c>
      <c r="S10865" s="5">
        <v>467</v>
      </c>
    </row>
    <row r="10866" spans="1:19" ht="28" x14ac:dyDescent="0.15">
      <c r="A10866" s="2">
        <f>HYPERLINK("https://open-school.uspishnemisto.com.ua/school/560148/", 560148)</f>
        <v>560148</v>
      </c>
      <c r="B10866" s="3" t="s">
        <v>55032</v>
      </c>
      <c r="C10866" s="3" t="s">
        <v>54</v>
      </c>
      <c r="D10866" s="3" t="s">
        <v>32</v>
      </c>
      <c r="E10866" s="4" t="s">
        <v>22</v>
      </c>
      <c r="F10866" s="4" t="s">
        <v>55033</v>
      </c>
      <c r="G10866" s="4" t="s">
        <v>55034</v>
      </c>
      <c r="H10866" s="3" t="s">
        <v>54289</v>
      </c>
      <c r="I10866" s="3" t="s">
        <v>55035</v>
      </c>
      <c r="J10866" s="3" t="s">
        <v>4537</v>
      </c>
      <c r="K10866" s="3" t="s">
        <v>55036</v>
      </c>
      <c r="L10866" s="3"/>
      <c r="M10866" s="4" t="s">
        <v>55037</v>
      </c>
      <c r="N10866" s="3" t="s">
        <v>37</v>
      </c>
      <c r="O10866" s="3" t="s">
        <v>46</v>
      </c>
      <c r="P10866" s="5">
        <v>11</v>
      </c>
      <c r="Q10866" s="5">
        <v>195</v>
      </c>
      <c r="R10866" s="5">
        <v>11</v>
      </c>
      <c r="S10866" s="5">
        <v>208</v>
      </c>
    </row>
    <row r="10867" spans="1:19" ht="42" x14ac:dyDescent="0.15">
      <c r="A10867" s="2">
        <f>HYPERLINK("https://open-school.uspishnemisto.com.ua/school/560149/", 560149)</f>
        <v>560149</v>
      </c>
      <c r="B10867" s="3" t="s">
        <v>55038</v>
      </c>
      <c r="C10867" s="3" t="s">
        <v>31</v>
      </c>
      <c r="D10867" s="3" t="s">
        <v>32</v>
      </c>
      <c r="E10867" s="4" t="s">
        <v>22</v>
      </c>
      <c r="F10867" s="4" t="s">
        <v>55039</v>
      </c>
      <c r="G10867" s="4" t="s">
        <v>55040</v>
      </c>
      <c r="H10867" s="3" t="s">
        <v>54289</v>
      </c>
      <c r="I10867" s="3" t="s">
        <v>55041</v>
      </c>
      <c r="J10867" s="3" t="s">
        <v>13409</v>
      </c>
      <c r="K10867" s="3" t="s">
        <v>55042</v>
      </c>
      <c r="L10867" s="3"/>
      <c r="M10867" s="4" t="s">
        <v>55043</v>
      </c>
      <c r="N10867" s="3" t="s">
        <v>37</v>
      </c>
      <c r="O10867" s="3" t="s">
        <v>46</v>
      </c>
      <c r="P10867" s="5">
        <v>21</v>
      </c>
      <c r="Q10867" s="5">
        <v>437</v>
      </c>
      <c r="R10867" s="5">
        <v>19</v>
      </c>
      <c r="S10867" s="5">
        <v>428</v>
      </c>
    </row>
    <row r="10868" spans="1:19" ht="28" x14ac:dyDescent="0.15">
      <c r="A10868" s="2">
        <f>HYPERLINK("https://open-school.uspishnemisto.com.ua/school/560150/", 560150)</f>
        <v>560150</v>
      </c>
      <c r="B10868" s="3" t="s">
        <v>55044</v>
      </c>
      <c r="C10868" s="3" t="s">
        <v>40</v>
      </c>
      <c r="D10868" s="3" t="s">
        <v>32</v>
      </c>
      <c r="E10868" s="4" t="s">
        <v>22</v>
      </c>
      <c r="F10868" s="4" t="s">
        <v>55039</v>
      </c>
      <c r="G10868" s="4" t="s">
        <v>55040</v>
      </c>
      <c r="H10868" s="3" t="s">
        <v>54289</v>
      </c>
      <c r="I10868" s="3" t="s">
        <v>55041</v>
      </c>
      <c r="J10868" s="3" t="s">
        <v>5878</v>
      </c>
      <c r="K10868" s="3"/>
      <c r="L10868" s="3" t="s">
        <v>55045</v>
      </c>
      <c r="M10868" s="4" t="s">
        <v>55046</v>
      </c>
      <c r="N10868" s="3" t="s">
        <v>37</v>
      </c>
      <c r="O10868" s="3" t="s">
        <v>129</v>
      </c>
      <c r="P10868" s="5">
        <v>11</v>
      </c>
      <c r="Q10868" s="5">
        <v>354</v>
      </c>
      <c r="R10868" s="5">
        <v>11</v>
      </c>
      <c r="S10868" s="5">
        <v>351</v>
      </c>
    </row>
    <row r="10869" spans="1:19" ht="42" x14ac:dyDescent="0.15">
      <c r="A10869" s="2">
        <f>HYPERLINK("https://open-school.uspishnemisto.com.ua/school/560151/", 560151)</f>
        <v>560151</v>
      </c>
      <c r="B10869" s="3" t="s">
        <v>55047</v>
      </c>
      <c r="C10869" s="3" t="s">
        <v>31</v>
      </c>
      <c r="D10869" s="3" t="s">
        <v>32</v>
      </c>
      <c r="E10869" s="4" t="s">
        <v>22</v>
      </c>
      <c r="F10869" s="4" t="s">
        <v>55048</v>
      </c>
      <c r="G10869" s="4" t="s">
        <v>55049</v>
      </c>
      <c r="H10869" s="3" t="s">
        <v>54289</v>
      </c>
      <c r="I10869" s="3" t="s">
        <v>1488</v>
      </c>
      <c r="J10869" s="3" t="s">
        <v>55050</v>
      </c>
      <c r="K10869" s="3" t="s">
        <v>55051</v>
      </c>
      <c r="L10869" s="3"/>
      <c r="M10869" s="4" t="s">
        <v>55052</v>
      </c>
      <c r="N10869" s="3" t="s">
        <v>37</v>
      </c>
      <c r="O10869" s="3" t="s">
        <v>46</v>
      </c>
      <c r="P10869" s="5">
        <v>16</v>
      </c>
      <c r="Q10869" s="5">
        <v>339</v>
      </c>
      <c r="R10869" s="5">
        <v>15</v>
      </c>
      <c r="S10869" s="5">
        <v>318</v>
      </c>
    </row>
    <row r="10870" spans="1:19" ht="56" x14ac:dyDescent="0.15">
      <c r="A10870" s="2">
        <f>HYPERLINK("https://open-school.uspishnemisto.com.ua/school/560152/", 560152)</f>
        <v>560152</v>
      </c>
      <c r="B10870" s="3" t="s">
        <v>55053</v>
      </c>
      <c r="C10870" s="3" t="s">
        <v>54</v>
      </c>
      <c r="D10870" s="3" t="s">
        <v>32</v>
      </c>
      <c r="E10870" s="4" t="s">
        <v>22</v>
      </c>
      <c r="F10870" s="4" t="s">
        <v>55054</v>
      </c>
      <c r="G10870" s="4" t="s">
        <v>55055</v>
      </c>
      <c r="H10870" s="3" t="s">
        <v>54289</v>
      </c>
      <c r="I10870" s="3" t="s">
        <v>55056</v>
      </c>
      <c r="J10870" s="3" t="s">
        <v>55057</v>
      </c>
      <c r="K10870" s="3" t="s">
        <v>55058</v>
      </c>
      <c r="L10870" s="3"/>
      <c r="M10870" s="4" t="s">
        <v>55059</v>
      </c>
      <c r="N10870" s="3" t="s">
        <v>37</v>
      </c>
      <c r="O10870" s="3" t="s">
        <v>52</v>
      </c>
      <c r="P10870" s="5">
        <v>9</v>
      </c>
      <c r="Q10870" s="5">
        <v>88</v>
      </c>
      <c r="R10870" s="5">
        <v>9</v>
      </c>
      <c r="S10870" s="5">
        <v>84</v>
      </c>
    </row>
    <row r="10871" spans="1:19" ht="70" x14ac:dyDescent="0.15">
      <c r="A10871" s="2">
        <f>HYPERLINK("https://open-school.uspishnemisto.com.ua/school/560153/", 560153)</f>
        <v>560153</v>
      </c>
      <c r="B10871" s="3" t="s">
        <v>55060</v>
      </c>
      <c r="C10871" s="3" t="s">
        <v>54</v>
      </c>
      <c r="D10871" s="3" t="s">
        <v>32</v>
      </c>
      <c r="E10871" s="4" t="s">
        <v>22</v>
      </c>
      <c r="F10871" s="4" t="s">
        <v>55061</v>
      </c>
      <c r="G10871" s="4" t="s">
        <v>55062</v>
      </c>
      <c r="H10871" s="3" t="s">
        <v>54289</v>
      </c>
      <c r="I10871" s="3" t="s">
        <v>55063</v>
      </c>
      <c r="J10871" s="3" t="s">
        <v>3370</v>
      </c>
      <c r="K10871" s="3" t="s">
        <v>55064</v>
      </c>
      <c r="L10871" s="3" t="s">
        <v>55065</v>
      </c>
      <c r="M10871" s="4" t="s">
        <v>55066</v>
      </c>
      <c r="N10871" s="3" t="s">
        <v>37</v>
      </c>
      <c r="O10871" s="3" t="s">
        <v>46</v>
      </c>
      <c r="P10871" s="5">
        <v>13</v>
      </c>
      <c r="Q10871" s="5">
        <v>283</v>
      </c>
      <c r="R10871" s="5">
        <v>13</v>
      </c>
      <c r="S10871" s="5">
        <v>265</v>
      </c>
    </row>
    <row r="10872" spans="1:19" ht="56" x14ac:dyDescent="0.15">
      <c r="A10872" s="2">
        <f>HYPERLINK("https://open-school.uspishnemisto.com.ua/school/560154/", 560154)</f>
        <v>560154</v>
      </c>
      <c r="B10872" s="3" t="s">
        <v>55067</v>
      </c>
      <c r="C10872" s="3" t="s">
        <v>54</v>
      </c>
      <c r="D10872" s="3" t="s">
        <v>175</v>
      </c>
      <c r="E10872" s="4" t="s">
        <v>22</v>
      </c>
      <c r="F10872" s="4" t="s">
        <v>55068</v>
      </c>
      <c r="G10872" s="4" t="s">
        <v>55069</v>
      </c>
      <c r="H10872" s="3" t="s">
        <v>54289</v>
      </c>
      <c r="I10872" s="3" t="s">
        <v>55070</v>
      </c>
      <c r="J10872" s="3" t="s">
        <v>55071</v>
      </c>
      <c r="K10872" s="3" t="s">
        <v>55072</v>
      </c>
      <c r="L10872" s="3"/>
      <c r="M10872" s="4"/>
      <c r="N10872" s="3" t="s">
        <v>37</v>
      </c>
      <c r="O10872" s="3" t="s">
        <v>52</v>
      </c>
      <c r="P10872" s="5">
        <v>9</v>
      </c>
      <c r="Q10872" s="5">
        <v>102</v>
      </c>
      <c r="R10872" s="5">
        <v>9</v>
      </c>
      <c r="S10872" s="5">
        <v>97</v>
      </c>
    </row>
    <row r="10873" spans="1:19" ht="56" x14ac:dyDescent="0.15">
      <c r="A10873" s="2">
        <f>HYPERLINK("https://open-school.uspishnemisto.com.ua/school/560155/", 560155)</f>
        <v>560155</v>
      </c>
      <c r="B10873" s="3" t="s">
        <v>55073</v>
      </c>
      <c r="C10873" s="3" t="s">
        <v>54</v>
      </c>
      <c r="D10873" s="3" t="s">
        <v>32</v>
      </c>
      <c r="E10873" s="4" t="s">
        <v>22</v>
      </c>
      <c r="F10873" s="4" t="s">
        <v>55074</v>
      </c>
      <c r="G10873" s="4" t="s">
        <v>55075</v>
      </c>
      <c r="H10873" s="3" t="s">
        <v>54289</v>
      </c>
      <c r="I10873" s="3" t="s">
        <v>55076</v>
      </c>
      <c r="J10873" s="3" t="s">
        <v>55077</v>
      </c>
      <c r="K10873" s="3" t="s">
        <v>55078</v>
      </c>
      <c r="L10873" s="3" t="s">
        <v>55079</v>
      </c>
      <c r="M10873" s="4" t="s">
        <v>55080</v>
      </c>
      <c r="N10873" s="3" t="s">
        <v>37</v>
      </c>
      <c r="O10873" s="3" t="s">
        <v>52</v>
      </c>
      <c r="P10873" s="5">
        <v>9</v>
      </c>
      <c r="Q10873" s="5">
        <v>87</v>
      </c>
      <c r="R10873" s="5">
        <v>10</v>
      </c>
      <c r="S10873" s="5">
        <v>94</v>
      </c>
    </row>
    <row r="10874" spans="1:19" ht="56" x14ac:dyDescent="0.15">
      <c r="A10874" s="2">
        <f>HYPERLINK("https://open-school.uspishnemisto.com.ua/school/560156/", 560156)</f>
        <v>560156</v>
      </c>
      <c r="B10874" s="3" t="s">
        <v>55081</v>
      </c>
      <c r="C10874" s="3" t="s">
        <v>54</v>
      </c>
      <c r="D10874" s="3" t="s">
        <v>32</v>
      </c>
      <c r="E10874" s="4" t="s">
        <v>22</v>
      </c>
      <c r="F10874" s="4" t="s">
        <v>55082</v>
      </c>
      <c r="G10874" s="4" t="s">
        <v>55083</v>
      </c>
      <c r="H10874" s="3" t="s">
        <v>54289</v>
      </c>
      <c r="I10874" s="3" t="s">
        <v>55084</v>
      </c>
      <c r="J10874" s="3" t="s">
        <v>1360</v>
      </c>
      <c r="K10874" s="3" t="s">
        <v>55085</v>
      </c>
      <c r="L10874" s="3" t="s">
        <v>55086</v>
      </c>
      <c r="M10874" s="4" t="s">
        <v>55087</v>
      </c>
      <c r="N10874" s="3" t="s">
        <v>37</v>
      </c>
      <c r="O10874" s="3" t="s">
        <v>139</v>
      </c>
      <c r="P10874" s="5">
        <v>11</v>
      </c>
      <c r="Q10874" s="5">
        <v>202</v>
      </c>
      <c r="R10874" s="5">
        <v>11</v>
      </c>
      <c r="S10874" s="5">
        <v>182</v>
      </c>
    </row>
    <row r="10875" spans="1:19" ht="42" x14ac:dyDescent="0.15">
      <c r="A10875" s="2">
        <f>HYPERLINK("https://open-school.uspishnemisto.com.ua/school/560157/", 560157)</f>
        <v>560157</v>
      </c>
      <c r="B10875" s="3" t="s">
        <v>55088</v>
      </c>
      <c r="C10875" s="3" t="s">
        <v>31</v>
      </c>
      <c r="D10875" s="3" t="s">
        <v>175</v>
      </c>
      <c r="E10875" s="4" t="s">
        <v>22</v>
      </c>
      <c r="F10875" s="4" t="s">
        <v>55089</v>
      </c>
      <c r="G10875" s="4" t="s">
        <v>55090</v>
      </c>
      <c r="H10875" s="3" t="s">
        <v>54289</v>
      </c>
      <c r="I10875" s="3" t="s">
        <v>55091</v>
      </c>
      <c r="J10875" s="3" t="s">
        <v>55092</v>
      </c>
      <c r="K10875" s="3" t="s">
        <v>55093</v>
      </c>
      <c r="L10875" s="3"/>
      <c r="M10875" s="4"/>
      <c r="N10875" s="3" t="s">
        <v>37</v>
      </c>
      <c r="O10875" s="3" t="s">
        <v>52</v>
      </c>
      <c r="P10875" s="5">
        <v>9</v>
      </c>
      <c r="Q10875" s="5">
        <v>60</v>
      </c>
      <c r="R10875" s="5">
        <v>9</v>
      </c>
      <c r="S10875" s="5">
        <v>65</v>
      </c>
    </row>
    <row r="10876" spans="1:19" ht="56" x14ac:dyDescent="0.15">
      <c r="A10876" s="2">
        <f>HYPERLINK("https://open-school.uspishnemisto.com.ua/school/560158/", 560158)</f>
        <v>560158</v>
      </c>
      <c r="B10876" s="3" t="s">
        <v>55094</v>
      </c>
      <c r="C10876" s="3" t="s">
        <v>54</v>
      </c>
      <c r="D10876" s="3" t="s">
        <v>175</v>
      </c>
      <c r="E10876" s="4" t="s">
        <v>22</v>
      </c>
      <c r="F10876" s="4" t="s">
        <v>55095</v>
      </c>
      <c r="G10876" s="4" t="s">
        <v>55096</v>
      </c>
      <c r="H10876" s="3" t="s">
        <v>54289</v>
      </c>
      <c r="I10876" s="3" t="s">
        <v>55097</v>
      </c>
      <c r="J10876" s="3" t="s">
        <v>2417</v>
      </c>
      <c r="K10876" s="3" t="s">
        <v>55098</v>
      </c>
      <c r="L10876" s="3"/>
      <c r="M10876" s="4"/>
      <c r="N10876" s="3" t="s">
        <v>37</v>
      </c>
      <c r="O10876" s="3" t="s">
        <v>52</v>
      </c>
      <c r="P10876" s="5">
        <v>9</v>
      </c>
      <c r="Q10876" s="5">
        <v>106</v>
      </c>
      <c r="R10876" s="5">
        <v>9</v>
      </c>
      <c r="S10876" s="5">
        <v>110</v>
      </c>
    </row>
    <row r="10877" spans="1:19" ht="56" x14ac:dyDescent="0.15">
      <c r="A10877" s="2">
        <f>HYPERLINK("https://open-school.uspishnemisto.com.ua/school/560159/", 560159)</f>
        <v>560159</v>
      </c>
      <c r="B10877" s="3" t="s">
        <v>55099</v>
      </c>
      <c r="C10877" s="3" t="s">
        <v>54</v>
      </c>
      <c r="D10877" s="3" t="s">
        <v>175</v>
      </c>
      <c r="E10877" s="4" t="s">
        <v>22</v>
      </c>
      <c r="F10877" s="4" t="s">
        <v>55100</v>
      </c>
      <c r="G10877" s="4" t="s">
        <v>55101</v>
      </c>
      <c r="H10877" s="3" t="s">
        <v>54289</v>
      </c>
      <c r="I10877" s="3" t="s">
        <v>55102</v>
      </c>
      <c r="J10877" s="3" t="s">
        <v>15992</v>
      </c>
      <c r="K10877" s="3" t="s">
        <v>55103</v>
      </c>
      <c r="L10877" s="3"/>
      <c r="M10877" s="4"/>
      <c r="N10877" s="3" t="s">
        <v>37</v>
      </c>
      <c r="O10877" s="3" t="s">
        <v>52</v>
      </c>
      <c r="P10877" s="5">
        <v>7</v>
      </c>
      <c r="Q10877" s="5">
        <v>52</v>
      </c>
      <c r="R10877" s="5">
        <v>8</v>
      </c>
      <c r="S10877" s="5">
        <v>58</v>
      </c>
    </row>
    <row r="10878" spans="1:19" ht="56" x14ac:dyDescent="0.15">
      <c r="A10878" s="2">
        <f>HYPERLINK("https://open-school.uspishnemisto.com.ua/school/560160/", 560160)</f>
        <v>560160</v>
      </c>
      <c r="B10878" s="3" t="s">
        <v>55104</v>
      </c>
      <c r="C10878" s="3" t="s">
        <v>54</v>
      </c>
      <c r="D10878" s="3" t="s">
        <v>32</v>
      </c>
      <c r="E10878" s="4" t="s">
        <v>22</v>
      </c>
      <c r="F10878" s="4" t="s">
        <v>55105</v>
      </c>
      <c r="G10878" s="4" t="s">
        <v>55106</v>
      </c>
      <c r="H10878" s="3" t="s">
        <v>54289</v>
      </c>
      <c r="I10878" s="3" t="s">
        <v>55107</v>
      </c>
      <c r="J10878" s="3" t="s">
        <v>2555</v>
      </c>
      <c r="K10878" s="3"/>
      <c r="L10878" s="3"/>
      <c r="M10878" s="4"/>
      <c r="N10878" s="3" t="s">
        <v>37</v>
      </c>
      <c r="O10878" s="3" t="s">
        <v>52</v>
      </c>
      <c r="P10878" s="5">
        <v>10</v>
      </c>
      <c r="Q10878" s="5">
        <v>83</v>
      </c>
      <c r="R10878" s="5">
        <v>10</v>
      </c>
      <c r="S10878" s="5">
        <v>80</v>
      </c>
    </row>
    <row r="10879" spans="1:19" ht="28" x14ac:dyDescent="0.15">
      <c r="A10879" s="2">
        <f>HYPERLINK("https://open-school.uspishnemisto.com.ua/school/560161/", 560161)</f>
        <v>560161</v>
      </c>
      <c r="B10879" s="3" t="s">
        <v>55108</v>
      </c>
      <c r="C10879" s="3" t="s">
        <v>54</v>
      </c>
      <c r="D10879" s="3" t="s">
        <v>175</v>
      </c>
      <c r="E10879" s="4" t="s">
        <v>22</v>
      </c>
      <c r="F10879" s="4" t="s">
        <v>55109</v>
      </c>
      <c r="G10879" s="4" t="s">
        <v>55110</v>
      </c>
      <c r="H10879" s="3" t="s">
        <v>54289</v>
      </c>
      <c r="I10879" s="3" t="s">
        <v>55111</v>
      </c>
      <c r="J10879" s="3" t="s">
        <v>792</v>
      </c>
      <c r="K10879" s="3" t="s">
        <v>47021</v>
      </c>
      <c r="L10879" s="3"/>
      <c r="M10879" s="4"/>
      <c r="N10879" s="3" t="s">
        <v>37</v>
      </c>
      <c r="O10879" s="3" t="s">
        <v>52</v>
      </c>
      <c r="P10879" s="5">
        <v>2</v>
      </c>
      <c r="Q10879" s="5">
        <v>26</v>
      </c>
      <c r="R10879" s="5">
        <v>2</v>
      </c>
      <c r="S10879" s="5">
        <v>26</v>
      </c>
    </row>
    <row r="10880" spans="1:19" ht="56" x14ac:dyDescent="0.15">
      <c r="A10880" s="2">
        <f>HYPERLINK("https://open-school.uspishnemisto.com.ua/school/560162/", 560162)</f>
        <v>560162</v>
      </c>
      <c r="B10880" s="3" t="s">
        <v>55112</v>
      </c>
      <c r="C10880" s="3" t="s">
        <v>54</v>
      </c>
      <c r="D10880" s="3" t="s">
        <v>175</v>
      </c>
      <c r="E10880" s="4" t="s">
        <v>22</v>
      </c>
      <c r="F10880" s="4" t="s">
        <v>55113</v>
      </c>
      <c r="G10880" s="4" t="s">
        <v>55114</v>
      </c>
      <c r="H10880" s="3" t="s">
        <v>54289</v>
      </c>
      <c r="I10880" s="3" t="s">
        <v>55115</v>
      </c>
      <c r="J10880" s="3" t="s">
        <v>55116</v>
      </c>
      <c r="K10880" s="3"/>
      <c r="L10880" s="3"/>
      <c r="M10880" s="4"/>
      <c r="N10880" s="3" t="s">
        <v>37</v>
      </c>
      <c r="O10880" s="3" t="s">
        <v>46</v>
      </c>
      <c r="P10880" s="5">
        <v>2</v>
      </c>
      <c r="Q10880" s="5">
        <v>26</v>
      </c>
      <c r="R10880" s="5">
        <v>3</v>
      </c>
      <c r="S10880" s="5">
        <v>27</v>
      </c>
    </row>
    <row r="10881" spans="1:19" ht="42" x14ac:dyDescent="0.15">
      <c r="A10881" s="2">
        <f>HYPERLINK("https://open-school.uspishnemisto.com.ua/school/560163/", 560163)</f>
        <v>560163</v>
      </c>
      <c r="B10881" s="3" t="s">
        <v>55117</v>
      </c>
      <c r="C10881" s="3" t="s">
        <v>31</v>
      </c>
      <c r="D10881" s="3" t="s">
        <v>175</v>
      </c>
      <c r="E10881" s="4" t="s">
        <v>22</v>
      </c>
      <c r="F10881" s="4"/>
      <c r="G10881" s="4" t="s">
        <v>55118</v>
      </c>
      <c r="H10881" s="3" t="s">
        <v>54289</v>
      </c>
      <c r="I10881" s="3" t="s">
        <v>34917</v>
      </c>
      <c r="J10881" s="3" t="s">
        <v>55119</v>
      </c>
      <c r="K10881" s="3" t="s">
        <v>55120</v>
      </c>
      <c r="L10881" s="3"/>
      <c r="M10881" s="4"/>
      <c r="N10881" s="3" t="s">
        <v>37</v>
      </c>
      <c r="O10881" s="3" t="s">
        <v>52</v>
      </c>
      <c r="P10881" s="5">
        <v>8</v>
      </c>
      <c r="Q10881" s="5">
        <v>54</v>
      </c>
      <c r="R10881" s="5">
        <v>8</v>
      </c>
      <c r="S10881" s="5">
        <v>57</v>
      </c>
    </row>
    <row r="10882" spans="1:19" ht="28" x14ac:dyDescent="0.15">
      <c r="A10882" s="2">
        <f>HYPERLINK("https://open-school.uspishnemisto.com.ua/school/560164/", 560164)</f>
        <v>560164</v>
      </c>
      <c r="B10882" s="3" t="s">
        <v>55121</v>
      </c>
      <c r="C10882" s="3" t="s">
        <v>54</v>
      </c>
      <c r="D10882" s="3" t="s">
        <v>60</v>
      </c>
      <c r="E10882" s="4" t="s">
        <v>22</v>
      </c>
      <c r="F10882" s="4" t="s">
        <v>55122</v>
      </c>
      <c r="G10882" s="4" t="s">
        <v>55123</v>
      </c>
      <c r="H10882" s="3" t="s">
        <v>54289</v>
      </c>
      <c r="I10882" s="3" t="s">
        <v>55124</v>
      </c>
      <c r="J10882" s="3" t="s">
        <v>55125</v>
      </c>
      <c r="K10882" s="3" t="s">
        <v>55126</v>
      </c>
      <c r="L10882" s="3"/>
      <c r="M10882" s="4"/>
      <c r="N10882" s="3" t="s">
        <v>37</v>
      </c>
      <c r="O10882" s="3" t="s">
        <v>52</v>
      </c>
      <c r="P10882" s="5">
        <v>4</v>
      </c>
      <c r="Q10882" s="5">
        <v>24</v>
      </c>
      <c r="R10882" s="5">
        <v>4</v>
      </c>
      <c r="S10882" s="5">
        <v>23</v>
      </c>
    </row>
    <row r="10883" spans="1:19" ht="42" x14ac:dyDescent="0.15">
      <c r="A10883" s="2">
        <f>HYPERLINK("https://open-school.uspishnemisto.com.ua/school/560165/", 560165)</f>
        <v>560165</v>
      </c>
      <c r="B10883" s="3" t="s">
        <v>55127</v>
      </c>
      <c r="C10883" s="3" t="s">
        <v>54</v>
      </c>
      <c r="D10883" s="3" t="s">
        <v>175</v>
      </c>
      <c r="E10883" s="4" t="s">
        <v>22</v>
      </c>
      <c r="F10883" s="4" t="s">
        <v>55128</v>
      </c>
      <c r="G10883" s="4" t="s">
        <v>55129</v>
      </c>
      <c r="H10883" s="3" t="s">
        <v>54289</v>
      </c>
      <c r="I10883" s="3" t="s">
        <v>7819</v>
      </c>
      <c r="J10883" s="3" t="s">
        <v>55130</v>
      </c>
      <c r="K10883" s="3"/>
      <c r="L10883" s="3"/>
      <c r="M10883" s="4"/>
      <c r="N10883" s="3" t="s">
        <v>37</v>
      </c>
      <c r="O10883" s="3" t="s">
        <v>2740</v>
      </c>
      <c r="P10883" s="5">
        <v>6</v>
      </c>
      <c r="Q10883" s="5">
        <v>46</v>
      </c>
      <c r="R10883" s="5">
        <v>6</v>
      </c>
      <c r="S10883" s="5">
        <v>45</v>
      </c>
    </row>
    <row r="10884" spans="1:19" ht="28" x14ac:dyDescent="0.15">
      <c r="A10884" s="2">
        <f>HYPERLINK("https://open-school.uspishnemisto.com.ua/school/560166/", 560166)</f>
        <v>560166</v>
      </c>
      <c r="B10884" s="3" t="s">
        <v>55131</v>
      </c>
      <c r="C10884" s="3" t="s">
        <v>31</v>
      </c>
      <c r="D10884" s="3" t="s">
        <v>32</v>
      </c>
      <c r="E10884" s="4" t="s">
        <v>22</v>
      </c>
      <c r="F10884" s="4" t="s">
        <v>55132</v>
      </c>
      <c r="G10884" s="4" t="s">
        <v>55133</v>
      </c>
      <c r="H10884" s="3" t="s">
        <v>54289</v>
      </c>
      <c r="I10884" s="3" t="s">
        <v>55134</v>
      </c>
      <c r="J10884" s="3" t="s">
        <v>55135</v>
      </c>
      <c r="K10884" s="3" t="s">
        <v>55136</v>
      </c>
      <c r="L10884" s="3"/>
      <c r="M10884" s="4" t="s">
        <v>55137</v>
      </c>
      <c r="N10884" s="3" t="s">
        <v>37</v>
      </c>
      <c r="O10884" s="3" t="s">
        <v>52</v>
      </c>
      <c r="P10884" s="5">
        <v>11</v>
      </c>
      <c r="Q10884" s="5">
        <v>111</v>
      </c>
      <c r="R10884" s="5">
        <v>11</v>
      </c>
      <c r="S10884" s="5">
        <v>113</v>
      </c>
    </row>
    <row r="10885" spans="1:19" ht="42" x14ac:dyDescent="0.15">
      <c r="A10885" s="2">
        <f>HYPERLINK("https://open-school.uspishnemisto.com.ua/school/560167/", 560167)</f>
        <v>560167</v>
      </c>
      <c r="B10885" s="3" t="s">
        <v>55138</v>
      </c>
      <c r="C10885" s="3" t="s">
        <v>54</v>
      </c>
      <c r="D10885" s="3" t="s">
        <v>175</v>
      </c>
      <c r="E10885" s="4" t="s">
        <v>22</v>
      </c>
      <c r="F10885" s="4" t="s">
        <v>55139</v>
      </c>
      <c r="G10885" s="4" t="s">
        <v>55140</v>
      </c>
      <c r="H10885" s="3" t="s">
        <v>54289</v>
      </c>
      <c r="I10885" s="3" t="s">
        <v>19337</v>
      </c>
      <c r="J10885" s="3" t="s">
        <v>8232</v>
      </c>
      <c r="K10885" s="3" t="s">
        <v>55141</v>
      </c>
      <c r="L10885" s="3"/>
      <c r="M10885" s="4"/>
      <c r="N10885" s="3" t="s">
        <v>37</v>
      </c>
      <c r="O10885" s="3" t="s">
        <v>2740</v>
      </c>
      <c r="P10885" s="5">
        <v>7</v>
      </c>
      <c r="Q10885" s="5">
        <v>46</v>
      </c>
      <c r="R10885" s="5">
        <v>8</v>
      </c>
      <c r="S10885" s="5">
        <v>49</v>
      </c>
    </row>
    <row r="10886" spans="1:19" ht="56" x14ac:dyDescent="0.15">
      <c r="A10886" s="2">
        <f>HYPERLINK("https://open-school.uspishnemisto.com.ua/school/560168/", 560168)</f>
        <v>560168</v>
      </c>
      <c r="B10886" s="3" t="s">
        <v>55142</v>
      </c>
      <c r="C10886" s="3" t="s">
        <v>54</v>
      </c>
      <c r="D10886" s="3" t="s">
        <v>175</v>
      </c>
      <c r="E10886" s="4" t="s">
        <v>22</v>
      </c>
      <c r="F10886" s="4" t="s">
        <v>55143</v>
      </c>
      <c r="G10886" s="4" t="s">
        <v>55144</v>
      </c>
      <c r="H10886" s="3" t="s">
        <v>54289</v>
      </c>
      <c r="I10886" s="3" t="s">
        <v>55145</v>
      </c>
      <c r="J10886" s="3" t="s">
        <v>55146</v>
      </c>
      <c r="K10886" s="3" t="s">
        <v>55147</v>
      </c>
      <c r="L10886" s="3"/>
      <c r="M10886" s="4"/>
      <c r="N10886" s="3" t="s">
        <v>37</v>
      </c>
      <c r="O10886" s="3" t="s">
        <v>52</v>
      </c>
      <c r="P10886" s="5">
        <v>7</v>
      </c>
      <c r="Q10886" s="5">
        <v>60</v>
      </c>
      <c r="R10886" s="5">
        <v>9</v>
      </c>
      <c r="S10886" s="5">
        <v>66</v>
      </c>
    </row>
    <row r="10887" spans="1:19" ht="28" x14ac:dyDescent="0.15">
      <c r="A10887" s="2">
        <f>HYPERLINK("https://open-school.uspishnemisto.com.ua/school/560169/", 560169)</f>
        <v>560169</v>
      </c>
      <c r="B10887" s="3" t="s">
        <v>55148</v>
      </c>
      <c r="C10887" s="3" t="s">
        <v>54</v>
      </c>
      <c r="D10887" s="3" t="s">
        <v>60</v>
      </c>
      <c r="E10887" s="4" t="s">
        <v>22</v>
      </c>
      <c r="F10887" s="4" t="s">
        <v>55139</v>
      </c>
      <c r="G10887" s="4" t="s">
        <v>55149</v>
      </c>
      <c r="H10887" s="3" t="s">
        <v>54289</v>
      </c>
      <c r="I10887" s="3" t="s">
        <v>55150</v>
      </c>
      <c r="J10887" s="3" t="s">
        <v>55151</v>
      </c>
      <c r="K10887" s="3"/>
      <c r="L10887" s="3"/>
      <c r="M10887" s="4"/>
      <c r="N10887" s="3" t="s">
        <v>37</v>
      </c>
      <c r="O10887" s="3" t="s">
        <v>52</v>
      </c>
      <c r="P10887" s="5">
        <v>1</v>
      </c>
      <c r="Q10887" s="5">
        <v>14</v>
      </c>
      <c r="R10887" s="5">
        <v>0</v>
      </c>
      <c r="S10887" s="5">
        <v>10</v>
      </c>
    </row>
    <row r="10888" spans="1:19" ht="56" x14ac:dyDescent="0.15">
      <c r="A10888" s="2">
        <f>HYPERLINK("https://open-school.uspishnemisto.com.ua/school/560170/", 560170)</f>
        <v>560170</v>
      </c>
      <c r="B10888" s="3" t="s">
        <v>55152</v>
      </c>
      <c r="C10888" s="3" t="s">
        <v>54</v>
      </c>
      <c r="D10888" s="3" t="s">
        <v>175</v>
      </c>
      <c r="E10888" s="4" t="s">
        <v>22</v>
      </c>
      <c r="F10888" s="4" t="s">
        <v>55153</v>
      </c>
      <c r="G10888" s="4" t="s">
        <v>55154</v>
      </c>
      <c r="H10888" s="3" t="s">
        <v>54289</v>
      </c>
      <c r="I10888" s="3" t="s">
        <v>55155</v>
      </c>
      <c r="J10888" s="3" t="s">
        <v>554</v>
      </c>
      <c r="K10888" s="3" t="s">
        <v>55156</v>
      </c>
      <c r="L10888" s="3"/>
      <c r="M10888" s="4"/>
      <c r="N10888" s="3" t="s">
        <v>37</v>
      </c>
      <c r="O10888" s="3" t="s">
        <v>618</v>
      </c>
      <c r="P10888" s="5">
        <v>6</v>
      </c>
      <c r="Q10888" s="5">
        <v>49</v>
      </c>
      <c r="R10888" s="5">
        <v>5</v>
      </c>
      <c r="S10888" s="5">
        <v>46</v>
      </c>
    </row>
    <row r="10889" spans="1:19" ht="56" x14ac:dyDescent="0.15">
      <c r="A10889" s="2">
        <f>HYPERLINK("https://open-school.uspishnemisto.com.ua/school/560171/", 560171)</f>
        <v>560171</v>
      </c>
      <c r="B10889" s="3" t="s">
        <v>55157</v>
      </c>
      <c r="C10889" s="3" t="s">
        <v>54</v>
      </c>
      <c r="D10889" s="3" t="s">
        <v>32</v>
      </c>
      <c r="E10889" s="4" t="s">
        <v>22</v>
      </c>
      <c r="F10889" s="4" t="s">
        <v>55158</v>
      </c>
      <c r="G10889" s="4" t="s">
        <v>55159</v>
      </c>
      <c r="H10889" s="3" t="s">
        <v>54289</v>
      </c>
      <c r="I10889" s="3" t="s">
        <v>2359</v>
      </c>
      <c r="J10889" s="3" t="s">
        <v>55160</v>
      </c>
      <c r="K10889" s="3" t="s">
        <v>55161</v>
      </c>
      <c r="L10889" s="3" t="s">
        <v>55162</v>
      </c>
      <c r="M10889" s="4"/>
      <c r="N10889" s="3" t="s">
        <v>37</v>
      </c>
      <c r="O10889" s="3" t="s">
        <v>52</v>
      </c>
      <c r="P10889" s="5">
        <v>8</v>
      </c>
      <c r="Q10889" s="5">
        <v>62</v>
      </c>
      <c r="R10889" s="5">
        <v>8</v>
      </c>
      <c r="S10889" s="5">
        <v>58</v>
      </c>
    </row>
    <row r="10890" spans="1:19" ht="28" x14ac:dyDescent="0.15">
      <c r="A10890" s="2">
        <f>HYPERLINK("https://open-school.uspishnemisto.com.ua/school/560172/", 560172)</f>
        <v>560172</v>
      </c>
      <c r="B10890" s="3" t="s">
        <v>55163</v>
      </c>
      <c r="C10890" s="3" t="s">
        <v>54</v>
      </c>
      <c r="D10890" s="3" t="s">
        <v>32</v>
      </c>
      <c r="E10890" s="4" t="s">
        <v>22</v>
      </c>
      <c r="F10890" s="4" t="s">
        <v>55164</v>
      </c>
      <c r="G10890" s="4" t="s">
        <v>55165</v>
      </c>
      <c r="H10890" s="3" t="s">
        <v>54289</v>
      </c>
      <c r="I10890" s="3" t="s">
        <v>5431</v>
      </c>
      <c r="J10890" s="3" t="s">
        <v>55166</v>
      </c>
      <c r="K10890" s="3" t="s">
        <v>55167</v>
      </c>
      <c r="L10890" s="3"/>
      <c r="M10890" s="4" t="s">
        <v>55168</v>
      </c>
      <c r="N10890" s="3" t="s">
        <v>37</v>
      </c>
      <c r="O10890" s="3" t="s">
        <v>52</v>
      </c>
      <c r="P10890" s="5">
        <v>10</v>
      </c>
      <c r="Q10890" s="5">
        <v>86</v>
      </c>
      <c r="R10890" s="5">
        <v>10</v>
      </c>
      <c r="S10890" s="5">
        <v>83</v>
      </c>
    </row>
    <row r="10891" spans="1:19" ht="42" x14ac:dyDescent="0.15">
      <c r="A10891" s="2">
        <f>HYPERLINK("https://open-school.uspishnemisto.com.ua/school/560173/", 560173)</f>
        <v>560173</v>
      </c>
      <c r="B10891" s="3" t="s">
        <v>55169</v>
      </c>
      <c r="C10891" s="3" t="s">
        <v>31</v>
      </c>
      <c r="D10891" s="3" t="s">
        <v>32</v>
      </c>
      <c r="E10891" s="4" t="s">
        <v>22</v>
      </c>
      <c r="F10891" s="4" t="s">
        <v>13873</v>
      </c>
      <c r="G10891" s="4" t="s">
        <v>55170</v>
      </c>
      <c r="H10891" s="3" t="s">
        <v>54289</v>
      </c>
      <c r="I10891" s="3" t="s">
        <v>55171</v>
      </c>
      <c r="J10891" s="3" t="s">
        <v>501</v>
      </c>
      <c r="K10891" s="3" t="s">
        <v>55172</v>
      </c>
      <c r="L10891" s="3"/>
      <c r="M10891" s="4"/>
      <c r="N10891" s="3" t="s">
        <v>37</v>
      </c>
      <c r="O10891" s="3" t="s">
        <v>52</v>
      </c>
      <c r="P10891" s="5">
        <v>11</v>
      </c>
      <c r="Q10891" s="5">
        <v>93</v>
      </c>
      <c r="R10891" s="5">
        <v>11</v>
      </c>
      <c r="S10891" s="5">
        <v>94</v>
      </c>
    </row>
    <row r="10892" spans="1:19" ht="42" x14ac:dyDescent="0.15">
      <c r="A10892" s="2">
        <f>HYPERLINK("https://open-school.uspishnemisto.com.ua/school/560174/", 560174)</f>
        <v>560174</v>
      </c>
      <c r="B10892" s="3" t="s">
        <v>55173</v>
      </c>
      <c r="C10892" s="3" t="s">
        <v>31</v>
      </c>
      <c r="D10892" s="3" t="s">
        <v>175</v>
      </c>
      <c r="E10892" s="4" t="s">
        <v>22</v>
      </c>
      <c r="F10892" s="4" t="s">
        <v>13873</v>
      </c>
      <c r="G10892" s="4" t="s">
        <v>55174</v>
      </c>
      <c r="H10892" s="3" t="s">
        <v>54289</v>
      </c>
      <c r="I10892" s="3" t="s">
        <v>55175</v>
      </c>
      <c r="J10892" s="3" t="s">
        <v>55176</v>
      </c>
      <c r="K10892" s="3" t="s">
        <v>55177</v>
      </c>
      <c r="L10892" s="3"/>
      <c r="M10892" s="4"/>
      <c r="N10892" s="3" t="s">
        <v>37</v>
      </c>
      <c r="O10892" s="3" t="s">
        <v>46</v>
      </c>
      <c r="P10892" s="5">
        <v>4</v>
      </c>
      <c r="Q10892" s="5">
        <v>39</v>
      </c>
      <c r="R10892" s="5">
        <v>4</v>
      </c>
      <c r="S10892" s="5">
        <v>35</v>
      </c>
    </row>
    <row r="10893" spans="1:19" ht="56" x14ac:dyDescent="0.15">
      <c r="A10893" s="2">
        <f>HYPERLINK("https://open-school.uspishnemisto.com.ua/school/560175/", 560175)</f>
        <v>560175</v>
      </c>
      <c r="B10893" s="3" t="s">
        <v>55178</v>
      </c>
      <c r="C10893" s="3" t="s">
        <v>54</v>
      </c>
      <c r="D10893" s="3" t="s">
        <v>32</v>
      </c>
      <c r="E10893" s="4" t="s">
        <v>22</v>
      </c>
      <c r="F10893" s="4" t="s">
        <v>55179</v>
      </c>
      <c r="G10893" s="4" t="s">
        <v>55180</v>
      </c>
      <c r="H10893" s="3" t="s">
        <v>54289</v>
      </c>
      <c r="I10893" s="3" t="s">
        <v>55181</v>
      </c>
      <c r="J10893" s="3" t="s">
        <v>55182</v>
      </c>
      <c r="K10893" s="3" t="s">
        <v>55183</v>
      </c>
      <c r="L10893" s="3"/>
      <c r="M10893" s="4" t="s">
        <v>55184</v>
      </c>
      <c r="N10893" s="3" t="s">
        <v>37</v>
      </c>
      <c r="O10893" s="3" t="s">
        <v>52</v>
      </c>
      <c r="P10893" s="5">
        <v>11</v>
      </c>
      <c r="Q10893" s="5">
        <v>88</v>
      </c>
      <c r="R10893" s="5">
        <v>11</v>
      </c>
      <c r="S10893" s="5">
        <v>92</v>
      </c>
    </row>
    <row r="10894" spans="1:19" ht="28" x14ac:dyDescent="0.15">
      <c r="A10894" s="2">
        <f>HYPERLINK("https://open-school.uspishnemisto.com.ua/school/560176/", 560176)</f>
        <v>560176</v>
      </c>
      <c r="B10894" s="3" t="s">
        <v>55185</v>
      </c>
      <c r="C10894" s="3" t="s">
        <v>54</v>
      </c>
      <c r="D10894" s="3" t="s">
        <v>175</v>
      </c>
      <c r="E10894" s="4" t="s">
        <v>22</v>
      </c>
      <c r="F10894" s="4" t="s">
        <v>55179</v>
      </c>
      <c r="G10894" s="4" t="s">
        <v>55186</v>
      </c>
      <c r="H10894" s="3" t="s">
        <v>54289</v>
      </c>
      <c r="I10894" s="3" t="s">
        <v>11923</v>
      </c>
      <c r="J10894" s="3" t="s">
        <v>55187</v>
      </c>
      <c r="K10894" s="3" t="s">
        <v>52473</v>
      </c>
      <c r="L10894" s="3" t="s">
        <v>55188</v>
      </c>
      <c r="M10894" s="4"/>
      <c r="N10894" s="3" t="s">
        <v>37</v>
      </c>
      <c r="O10894" s="3" t="s">
        <v>52</v>
      </c>
      <c r="P10894" s="5">
        <v>5</v>
      </c>
      <c r="Q10894" s="5">
        <v>46</v>
      </c>
      <c r="R10894" s="5">
        <v>6</v>
      </c>
      <c r="S10894" s="5">
        <v>48</v>
      </c>
    </row>
    <row r="10895" spans="1:19" ht="56" x14ac:dyDescent="0.15">
      <c r="A10895" s="2">
        <f>HYPERLINK("https://open-school.uspishnemisto.com.ua/school/560177/", 560177)</f>
        <v>560177</v>
      </c>
      <c r="B10895" s="3" t="s">
        <v>55189</v>
      </c>
      <c r="C10895" s="3" t="s">
        <v>54</v>
      </c>
      <c r="D10895" s="3" t="s">
        <v>32</v>
      </c>
      <c r="E10895" s="4" t="s">
        <v>22</v>
      </c>
      <c r="F10895" s="4" t="s">
        <v>55190</v>
      </c>
      <c r="G10895" s="4" t="s">
        <v>55191</v>
      </c>
      <c r="H10895" s="3" t="s">
        <v>54289</v>
      </c>
      <c r="I10895" s="3" t="s">
        <v>18131</v>
      </c>
      <c r="J10895" s="3" t="s">
        <v>1636</v>
      </c>
      <c r="K10895" s="3" t="s">
        <v>55192</v>
      </c>
      <c r="L10895" s="3"/>
      <c r="M10895" s="4" t="s">
        <v>55193</v>
      </c>
      <c r="N10895" s="3" t="s">
        <v>37</v>
      </c>
      <c r="O10895" s="3" t="s">
        <v>52</v>
      </c>
      <c r="P10895" s="5">
        <v>3</v>
      </c>
      <c r="Q10895" s="5">
        <v>44</v>
      </c>
      <c r="R10895" s="5">
        <v>6</v>
      </c>
      <c r="S10895" s="5">
        <v>54</v>
      </c>
    </row>
    <row r="10896" spans="1:19" ht="42" x14ac:dyDescent="0.15">
      <c r="A10896" s="2">
        <f>HYPERLINK("https://open-school.uspishnemisto.com.ua/school/560178/", 560178)</f>
        <v>560178</v>
      </c>
      <c r="B10896" s="3" t="s">
        <v>55194</v>
      </c>
      <c r="C10896" s="3" t="s">
        <v>54</v>
      </c>
      <c r="D10896" s="3" t="s">
        <v>32</v>
      </c>
      <c r="E10896" s="4" t="s">
        <v>22</v>
      </c>
      <c r="F10896" s="4" t="s">
        <v>55195</v>
      </c>
      <c r="G10896" s="4" t="s">
        <v>55196</v>
      </c>
      <c r="H10896" s="3" t="s">
        <v>54289</v>
      </c>
      <c r="I10896" s="3" t="s">
        <v>55197</v>
      </c>
      <c r="J10896" s="3" t="s">
        <v>466</v>
      </c>
      <c r="K10896" s="3" t="s">
        <v>55198</v>
      </c>
      <c r="L10896" s="3" t="s">
        <v>55199</v>
      </c>
      <c r="M10896" s="4" t="s">
        <v>55200</v>
      </c>
      <c r="N10896" s="3" t="s">
        <v>37</v>
      </c>
      <c r="O10896" s="3" t="s">
        <v>46</v>
      </c>
      <c r="P10896" s="5">
        <v>11</v>
      </c>
      <c r="Q10896" s="5">
        <v>88</v>
      </c>
      <c r="R10896" s="5">
        <v>11</v>
      </c>
      <c r="S10896" s="5">
        <v>82</v>
      </c>
    </row>
    <row r="10897" spans="1:19" ht="42" x14ac:dyDescent="0.15">
      <c r="A10897" s="2">
        <f>HYPERLINK("https://open-school.uspishnemisto.com.ua/school/560179/", 560179)</f>
        <v>560179</v>
      </c>
      <c r="B10897" s="3" t="s">
        <v>55201</v>
      </c>
      <c r="C10897" s="3" t="s">
        <v>31</v>
      </c>
      <c r="D10897" s="3" t="s">
        <v>32</v>
      </c>
      <c r="E10897" s="4" t="s">
        <v>22</v>
      </c>
      <c r="F10897" s="4" t="s">
        <v>55202</v>
      </c>
      <c r="G10897" s="4" t="s">
        <v>55203</v>
      </c>
      <c r="H10897" s="3" t="s">
        <v>54289</v>
      </c>
      <c r="I10897" s="3" t="s">
        <v>55204</v>
      </c>
      <c r="J10897" s="3" t="s">
        <v>55205</v>
      </c>
      <c r="K10897" s="3" t="s">
        <v>55206</v>
      </c>
      <c r="L10897" s="3" t="s">
        <v>55207</v>
      </c>
      <c r="M10897" s="4" t="s">
        <v>55208</v>
      </c>
      <c r="N10897" s="3" t="s">
        <v>37</v>
      </c>
      <c r="O10897" s="3" t="s">
        <v>52</v>
      </c>
      <c r="P10897" s="5">
        <v>11</v>
      </c>
      <c r="Q10897" s="5">
        <v>198</v>
      </c>
      <c r="R10897" s="5">
        <v>11</v>
      </c>
      <c r="S10897" s="5">
        <v>182</v>
      </c>
    </row>
    <row r="10898" spans="1:19" ht="28" x14ac:dyDescent="0.15">
      <c r="A10898" s="2">
        <f>HYPERLINK("https://open-school.uspishnemisto.com.ua/school/560180/", 560180)</f>
        <v>560180</v>
      </c>
      <c r="B10898" s="3" t="s">
        <v>55209</v>
      </c>
      <c r="C10898" s="3" t="s">
        <v>31</v>
      </c>
      <c r="D10898" s="3" t="s">
        <v>32</v>
      </c>
      <c r="E10898" s="4" t="s">
        <v>22</v>
      </c>
      <c r="F10898" s="4" t="s">
        <v>55122</v>
      </c>
      <c r="G10898" s="4" t="s">
        <v>55210</v>
      </c>
      <c r="H10898" s="3" t="s">
        <v>54289</v>
      </c>
      <c r="I10898" s="3" t="s">
        <v>55211</v>
      </c>
      <c r="J10898" s="3" t="s">
        <v>466</v>
      </c>
      <c r="K10898" s="3" t="s">
        <v>55212</v>
      </c>
      <c r="L10898" s="3" t="s">
        <v>55213</v>
      </c>
      <c r="M10898" s="4" t="s">
        <v>55214</v>
      </c>
      <c r="N10898" s="3" t="s">
        <v>37</v>
      </c>
      <c r="O10898" s="3" t="s">
        <v>52</v>
      </c>
      <c r="P10898" s="5">
        <v>11</v>
      </c>
      <c r="Q10898" s="5">
        <v>115</v>
      </c>
      <c r="R10898" s="5">
        <v>10</v>
      </c>
      <c r="S10898" s="5">
        <v>115</v>
      </c>
    </row>
    <row r="10899" spans="1:19" ht="28" x14ac:dyDescent="0.15">
      <c r="A10899" s="2">
        <f>HYPERLINK("https://open-school.uspishnemisto.com.ua/school/560181/", 560181)</f>
        <v>560181</v>
      </c>
      <c r="B10899" s="3" t="s">
        <v>55215</v>
      </c>
      <c r="C10899" s="3" t="s">
        <v>54</v>
      </c>
      <c r="D10899" s="3" t="s">
        <v>60</v>
      </c>
      <c r="E10899" s="4" t="s">
        <v>22</v>
      </c>
      <c r="F10899" s="4" t="s">
        <v>55122</v>
      </c>
      <c r="G10899" s="4" t="s">
        <v>55216</v>
      </c>
      <c r="H10899" s="3" t="s">
        <v>54289</v>
      </c>
      <c r="I10899" s="3" t="s">
        <v>55217</v>
      </c>
      <c r="J10899" s="3" t="s">
        <v>55218</v>
      </c>
      <c r="K10899" s="3"/>
      <c r="L10899" s="3"/>
      <c r="M10899" s="4"/>
      <c r="N10899" s="3" t="s">
        <v>37</v>
      </c>
      <c r="O10899" s="3" t="s">
        <v>52</v>
      </c>
      <c r="P10899" s="5">
        <v>4</v>
      </c>
      <c r="Q10899" s="5">
        <v>23</v>
      </c>
      <c r="R10899" s="5">
        <v>4</v>
      </c>
      <c r="S10899" s="5">
        <v>22</v>
      </c>
    </row>
    <row r="10900" spans="1:19" ht="28" x14ac:dyDescent="0.15">
      <c r="A10900" s="2">
        <f>HYPERLINK("https://open-school.uspishnemisto.com.ua/school/560182/", 560182)</f>
        <v>560182</v>
      </c>
      <c r="B10900" s="3" t="s">
        <v>55219</v>
      </c>
      <c r="C10900" s="3" t="s">
        <v>181</v>
      </c>
      <c r="D10900" s="3" t="s">
        <v>175</v>
      </c>
      <c r="E10900" s="4" t="s">
        <v>22</v>
      </c>
      <c r="F10900" s="4" t="s">
        <v>55220</v>
      </c>
      <c r="G10900" s="4" t="s">
        <v>55221</v>
      </c>
      <c r="H10900" s="3" t="s">
        <v>54289</v>
      </c>
      <c r="I10900" s="3" t="s">
        <v>55222</v>
      </c>
      <c r="J10900" s="3" t="s">
        <v>55223</v>
      </c>
      <c r="K10900" s="3" t="s">
        <v>55224</v>
      </c>
      <c r="L10900" s="3" t="s">
        <v>55225</v>
      </c>
      <c r="M10900" s="4" t="s">
        <v>55226</v>
      </c>
      <c r="N10900" s="3" t="s">
        <v>37</v>
      </c>
      <c r="O10900" s="3" t="s">
        <v>52</v>
      </c>
      <c r="P10900" s="5">
        <v>18</v>
      </c>
      <c r="Q10900" s="5">
        <v>156</v>
      </c>
      <c r="R10900" s="5">
        <v>18</v>
      </c>
      <c r="S10900" s="5">
        <v>180</v>
      </c>
    </row>
    <row r="10901" spans="1:19" ht="28" x14ac:dyDescent="0.15">
      <c r="A10901" s="2">
        <f>HYPERLINK("https://open-school.uspishnemisto.com.ua/school/560183/", 560183)</f>
        <v>560183</v>
      </c>
      <c r="B10901" s="3" t="s">
        <v>55227</v>
      </c>
      <c r="C10901" s="3" t="s">
        <v>31</v>
      </c>
      <c r="D10901" s="3" t="s">
        <v>32</v>
      </c>
      <c r="E10901" s="4" t="s">
        <v>22</v>
      </c>
      <c r="F10901" s="4" t="s">
        <v>55220</v>
      </c>
      <c r="G10901" s="4" t="s">
        <v>55221</v>
      </c>
      <c r="H10901" s="3" t="s">
        <v>54289</v>
      </c>
      <c r="I10901" s="3" t="s">
        <v>55222</v>
      </c>
      <c r="J10901" s="3" t="s">
        <v>55228</v>
      </c>
      <c r="K10901" s="3" t="s">
        <v>55229</v>
      </c>
      <c r="L10901" s="3" t="s">
        <v>55230</v>
      </c>
      <c r="M10901" s="4" t="s">
        <v>55231</v>
      </c>
      <c r="N10901" s="3" t="s">
        <v>37</v>
      </c>
      <c r="O10901" s="3" t="s">
        <v>2740</v>
      </c>
      <c r="P10901" s="5">
        <v>20</v>
      </c>
      <c r="Q10901" s="5">
        <v>353</v>
      </c>
      <c r="R10901" s="5">
        <v>20</v>
      </c>
      <c r="S10901" s="5">
        <v>353</v>
      </c>
    </row>
    <row r="10902" spans="1:19" ht="42" x14ac:dyDescent="0.15">
      <c r="A10902" s="2">
        <f>HYPERLINK("https://open-school.uspishnemisto.com.ua/school/560184/", 560184)</f>
        <v>560184</v>
      </c>
      <c r="B10902" s="3" t="s">
        <v>55232</v>
      </c>
      <c r="C10902" s="3" t="s">
        <v>31</v>
      </c>
      <c r="D10902" s="3" t="s">
        <v>175</v>
      </c>
      <c r="E10902" s="4" t="s">
        <v>22</v>
      </c>
      <c r="F10902" s="4" t="s">
        <v>55233</v>
      </c>
      <c r="G10902" s="4" t="s">
        <v>55234</v>
      </c>
      <c r="H10902" s="3" t="s">
        <v>54289</v>
      </c>
      <c r="I10902" s="3" t="s">
        <v>4683</v>
      </c>
      <c r="J10902" s="3" t="s">
        <v>466</v>
      </c>
      <c r="K10902" s="3" t="s">
        <v>55235</v>
      </c>
      <c r="L10902" s="3" t="s">
        <v>55236</v>
      </c>
      <c r="M10902" s="4"/>
      <c r="N10902" s="3" t="s">
        <v>37</v>
      </c>
      <c r="O10902" s="3" t="s">
        <v>52</v>
      </c>
      <c r="P10902" s="5">
        <v>4</v>
      </c>
      <c r="Q10902" s="5">
        <v>41</v>
      </c>
      <c r="R10902" s="5">
        <v>5</v>
      </c>
      <c r="S10902" s="5">
        <v>46</v>
      </c>
    </row>
    <row r="10903" spans="1:19" ht="42" x14ac:dyDescent="0.15">
      <c r="A10903" s="2">
        <f>HYPERLINK("https://open-school.uspishnemisto.com.ua/school/560185/", 560185)</f>
        <v>560185</v>
      </c>
      <c r="B10903" s="3" t="s">
        <v>55237</v>
      </c>
      <c r="C10903" s="3" t="s">
        <v>54</v>
      </c>
      <c r="D10903" s="3" t="s">
        <v>32</v>
      </c>
      <c r="E10903" s="4" t="s">
        <v>22</v>
      </c>
      <c r="F10903" s="4" t="s">
        <v>55238</v>
      </c>
      <c r="G10903" s="4" t="s">
        <v>55239</v>
      </c>
      <c r="H10903" s="3" t="s">
        <v>54289</v>
      </c>
      <c r="I10903" s="3" t="s">
        <v>1314</v>
      </c>
      <c r="J10903" s="3" t="s">
        <v>55240</v>
      </c>
      <c r="K10903" s="3" t="s">
        <v>55241</v>
      </c>
      <c r="L10903" s="3"/>
      <c r="M10903" s="4"/>
      <c r="N10903" s="3" t="s">
        <v>37</v>
      </c>
      <c r="O10903" s="3" t="s">
        <v>2740</v>
      </c>
      <c r="P10903" s="5">
        <v>26</v>
      </c>
      <c r="Q10903" s="5">
        <v>508</v>
      </c>
      <c r="R10903" s="5">
        <v>25</v>
      </c>
      <c r="S10903" s="5">
        <v>492</v>
      </c>
    </row>
    <row r="10904" spans="1:19" ht="28" x14ac:dyDescent="0.15">
      <c r="A10904" s="2">
        <f>HYPERLINK("https://open-school.uspishnemisto.com.ua/school/560186/", 560186)</f>
        <v>560186</v>
      </c>
      <c r="B10904" s="3" t="s">
        <v>55242</v>
      </c>
      <c r="C10904" s="3" t="s">
        <v>54</v>
      </c>
      <c r="D10904" s="3" t="s">
        <v>32</v>
      </c>
      <c r="E10904" s="4" t="s">
        <v>22</v>
      </c>
      <c r="F10904" s="4" t="s">
        <v>55243</v>
      </c>
      <c r="G10904" s="4" t="s">
        <v>55244</v>
      </c>
      <c r="H10904" s="3" t="s">
        <v>54289</v>
      </c>
      <c r="I10904" s="3" t="s">
        <v>55245</v>
      </c>
      <c r="J10904" s="3" t="s">
        <v>55246</v>
      </c>
      <c r="K10904" s="3" t="s">
        <v>55247</v>
      </c>
      <c r="L10904" s="3"/>
      <c r="M10904" s="4"/>
      <c r="N10904" s="3" t="s">
        <v>37</v>
      </c>
      <c r="O10904" s="3" t="s">
        <v>2740</v>
      </c>
      <c r="P10904" s="5">
        <v>10</v>
      </c>
      <c r="Q10904" s="5">
        <v>129</v>
      </c>
      <c r="R10904" s="5">
        <v>11</v>
      </c>
      <c r="S10904" s="5">
        <v>132</v>
      </c>
    </row>
    <row r="10905" spans="1:19" ht="28" x14ac:dyDescent="0.15">
      <c r="A10905" s="2">
        <f>HYPERLINK("https://open-school.uspishnemisto.com.ua/school/560187/", 560187)</f>
        <v>560187</v>
      </c>
      <c r="B10905" s="3" t="s">
        <v>55248</v>
      </c>
      <c r="C10905" s="3" t="s">
        <v>31</v>
      </c>
      <c r="D10905" s="3" t="s">
        <v>32</v>
      </c>
      <c r="E10905" s="4" t="s">
        <v>22</v>
      </c>
      <c r="F10905" s="4" t="s">
        <v>55249</v>
      </c>
      <c r="G10905" s="4" t="s">
        <v>55250</v>
      </c>
      <c r="H10905" s="3" t="s">
        <v>54289</v>
      </c>
      <c r="I10905" s="3" t="s">
        <v>55251</v>
      </c>
      <c r="J10905" s="3" t="s">
        <v>45923</v>
      </c>
      <c r="K10905" s="3" t="s">
        <v>55252</v>
      </c>
      <c r="L10905" s="3"/>
      <c r="M10905" s="4"/>
      <c r="N10905" s="3" t="s">
        <v>37</v>
      </c>
      <c r="O10905" s="3" t="s">
        <v>2740</v>
      </c>
      <c r="P10905" s="5">
        <v>10</v>
      </c>
      <c r="Q10905" s="5">
        <v>94</v>
      </c>
      <c r="R10905" s="5">
        <v>11</v>
      </c>
      <c r="S10905" s="5">
        <v>97</v>
      </c>
    </row>
    <row r="10906" spans="1:19" ht="28" x14ac:dyDescent="0.15">
      <c r="A10906" s="2">
        <f>HYPERLINK("https://open-school.uspishnemisto.com.ua/school/560188/", 560188)</f>
        <v>560188</v>
      </c>
      <c r="B10906" s="3" t="s">
        <v>55253</v>
      </c>
      <c r="C10906" s="3" t="s">
        <v>31</v>
      </c>
      <c r="D10906" s="3" t="s">
        <v>60</v>
      </c>
      <c r="E10906" s="4" t="s">
        <v>22</v>
      </c>
      <c r="F10906" s="4" t="s">
        <v>55249</v>
      </c>
      <c r="G10906" s="4" t="s">
        <v>55254</v>
      </c>
      <c r="H10906" s="3" t="s">
        <v>54289</v>
      </c>
      <c r="I10906" s="3" t="s">
        <v>55255</v>
      </c>
      <c r="J10906" s="3" t="s">
        <v>55256</v>
      </c>
      <c r="K10906" s="3" t="s">
        <v>55257</v>
      </c>
      <c r="L10906" s="3"/>
      <c r="M10906" s="4"/>
      <c r="N10906" s="3" t="s">
        <v>37</v>
      </c>
      <c r="O10906" s="3" t="s">
        <v>52</v>
      </c>
      <c r="P10906" s="5">
        <v>0</v>
      </c>
      <c r="Q10906" s="5">
        <v>8</v>
      </c>
      <c r="R10906" s="5">
        <v>0</v>
      </c>
      <c r="S10906" s="5">
        <v>8</v>
      </c>
    </row>
    <row r="10907" spans="1:19" ht="42" x14ac:dyDescent="0.15">
      <c r="A10907" s="2">
        <f>HYPERLINK("https://open-school.uspishnemisto.com.ua/school/560189/", 560189)</f>
        <v>560189</v>
      </c>
      <c r="B10907" s="3" t="s">
        <v>55258</v>
      </c>
      <c r="C10907" s="3" t="s">
        <v>31</v>
      </c>
      <c r="D10907" s="3" t="s">
        <v>32</v>
      </c>
      <c r="E10907" s="4" t="s">
        <v>22</v>
      </c>
      <c r="F10907" s="4" t="s">
        <v>55259</v>
      </c>
      <c r="G10907" s="4" t="s">
        <v>55260</v>
      </c>
      <c r="H10907" s="3" t="s">
        <v>54289</v>
      </c>
      <c r="I10907" s="3" t="s">
        <v>55261</v>
      </c>
      <c r="J10907" s="3" t="s">
        <v>946</v>
      </c>
      <c r="K10907" s="3"/>
      <c r="L10907" s="3"/>
      <c r="M10907" s="4"/>
      <c r="N10907" s="3" t="s">
        <v>37</v>
      </c>
      <c r="O10907" s="3" t="s">
        <v>52</v>
      </c>
      <c r="P10907" s="5">
        <v>11</v>
      </c>
      <c r="Q10907" s="5">
        <v>186</v>
      </c>
      <c r="R10907" s="5">
        <v>11</v>
      </c>
      <c r="S10907" s="5">
        <v>192</v>
      </c>
    </row>
    <row r="10908" spans="1:19" ht="28" x14ac:dyDescent="0.15">
      <c r="A10908" s="2">
        <f>HYPERLINK("https://open-school.uspishnemisto.com.ua/school/560190/", 560190)</f>
        <v>560190</v>
      </c>
      <c r="B10908" s="3" t="s">
        <v>55262</v>
      </c>
      <c r="C10908" s="3" t="s">
        <v>31</v>
      </c>
      <c r="D10908" s="3" t="s">
        <v>175</v>
      </c>
      <c r="E10908" s="4" t="s">
        <v>22</v>
      </c>
      <c r="F10908" s="4" t="s">
        <v>55263</v>
      </c>
      <c r="G10908" s="4" t="s">
        <v>55264</v>
      </c>
      <c r="H10908" s="3" t="s">
        <v>54289</v>
      </c>
      <c r="I10908" s="3" t="s">
        <v>55265</v>
      </c>
      <c r="J10908" s="3" t="s">
        <v>15410</v>
      </c>
      <c r="K10908" s="3" t="s">
        <v>55266</v>
      </c>
      <c r="L10908" s="3"/>
      <c r="M10908" s="4"/>
      <c r="N10908" s="3" t="s">
        <v>37</v>
      </c>
      <c r="O10908" s="3" t="s">
        <v>52</v>
      </c>
      <c r="P10908" s="5">
        <v>2</v>
      </c>
      <c r="Q10908" s="5">
        <v>27</v>
      </c>
      <c r="R10908" s="5">
        <v>3</v>
      </c>
      <c r="S10908" s="5">
        <v>31</v>
      </c>
    </row>
    <row r="10909" spans="1:19" ht="28" x14ac:dyDescent="0.15">
      <c r="A10909" s="2">
        <f>HYPERLINK("https://open-school.uspishnemisto.com.ua/school/560191/", 560191)</f>
        <v>560191</v>
      </c>
      <c r="B10909" s="3" t="s">
        <v>55267</v>
      </c>
      <c r="C10909" s="3" t="s">
        <v>31</v>
      </c>
      <c r="D10909" s="3" t="s">
        <v>175</v>
      </c>
      <c r="E10909" s="4" t="s">
        <v>22</v>
      </c>
      <c r="F10909" s="4" t="s">
        <v>55268</v>
      </c>
      <c r="G10909" s="4" t="s">
        <v>55269</v>
      </c>
      <c r="H10909" s="3" t="s">
        <v>54289</v>
      </c>
      <c r="I10909" s="3" t="s">
        <v>55270</v>
      </c>
      <c r="J10909" s="3" t="s">
        <v>55271</v>
      </c>
      <c r="K10909" s="3" t="s">
        <v>55272</v>
      </c>
      <c r="L10909" s="3" t="s">
        <v>55273</v>
      </c>
      <c r="M10909" s="4"/>
      <c r="N10909" s="3" t="s">
        <v>37</v>
      </c>
      <c r="O10909" s="3" t="s">
        <v>52</v>
      </c>
      <c r="P10909" s="5">
        <v>2</v>
      </c>
      <c r="Q10909" s="5">
        <v>31</v>
      </c>
      <c r="R10909" s="5">
        <v>2</v>
      </c>
      <c r="S10909" s="5">
        <v>33</v>
      </c>
    </row>
    <row r="10910" spans="1:19" ht="28" x14ac:dyDescent="0.15">
      <c r="A10910" s="2">
        <f>HYPERLINK("https://open-school.uspishnemisto.com.ua/school/560192/", 560192)</f>
        <v>560192</v>
      </c>
      <c r="B10910" s="3" t="s">
        <v>55274</v>
      </c>
      <c r="C10910" s="3" t="s">
        <v>31</v>
      </c>
      <c r="D10910" s="3" t="s">
        <v>32</v>
      </c>
      <c r="E10910" s="4" t="s">
        <v>22</v>
      </c>
      <c r="F10910" s="4" t="s">
        <v>55275</v>
      </c>
      <c r="G10910" s="4" t="s">
        <v>55276</v>
      </c>
      <c r="H10910" s="3" t="s">
        <v>54289</v>
      </c>
      <c r="I10910" s="3" t="s">
        <v>55277</v>
      </c>
      <c r="J10910" s="3" t="s">
        <v>55278</v>
      </c>
      <c r="K10910" s="3" t="s">
        <v>55279</v>
      </c>
      <c r="L10910" s="3" t="s">
        <v>55280</v>
      </c>
      <c r="M10910" s="4"/>
      <c r="N10910" s="3" t="s">
        <v>37</v>
      </c>
      <c r="O10910" s="3" t="s">
        <v>52</v>
      </c>
      <c r="P10910" s="5">
        <v>11</v>
      </c>
      <c r="Q10910" s="5">
        <v>122</v>
      </c>
      <c r="R10910" s="5">
        <v>10</v>
      </c>
      <c r="S10910" s="5">
        <v>120</v>
      </c>
    </row>
    <row r="10911" spans="1:19" ht="28" x14ac:dyDescent="0.15">
      <c r="A10911" s="2">
        <f>HYPERLINK("https://open-school.uspishnemisto.com.ua/school/560193/", 560193)</f>
        <v>560193</v>
      </c>
      <c r="B10911" s="3" t="s">
        <v>55281</v>
      </c>
      <c r="C10911" s="3" t="s">
        <v>31</v>
      </c>
      <c r="D10911" s="3" t="s">
        <v>60</v>
      </c>
      <c r="E10911" s="4" t="s">
        <v>22</v>
      </c>
      <c r="F10911" s="4" t="s">
        <v>55282</v>
      </c>
      <c r="G10911" s="4" t="s">
        <v>55283</v>
      </c>
      <c r="H10911" s="3" t="s">
        <v>54289</v>
      </c>
      <c r="I10911" s="3" t="s">
        <v>5240</v>
      </c>
      <c r="J10911" s="3" t="s">
        <v>2191</v>
      </c>
      <c r="K10911" s="3" t="s">
        <v>55284</v>
      </c>
      <c r="L10911" s="3"/>
      <c r="M10911" s="4"/>
      <c r="N10911" s="3" t="s">
        <v>37</v>
      </c>
      <c r="O10911" s="3" t="s">
        <v>52</v>
      </c>
      <c r="P10911" s="5">
        <v>4</v>
      </c>
      <c r="Q10911" s="5">
        <v>28</v>
      </c>
      <c r="R10911" s="5">
        <v>4</v>
      </c>
      <c r="S10911" s="5">
        <v>23</v>
      </c>
    </row>
    <row r="10912" spans="1:19" ht="28" x14ac:dyDescent="0.15">
      <c r="A10912" s="2">
        <f>HYPERLINK("https://open-school.uspishnemisto.com.ua/school/560194/", 560194)</f>
        <v>560194</v>
      </c>
      <c r="B10912" s="3" t="s">
        <v>55285</v>
      </c>
      <c r="C10912" s="3" t="s">
        <v>31</v>
      </c>
      <c r="D10912" s="3" t="s">
        <v>32</v>
      </c>
      <c r="E10912" s="4" t="s">
        <v>22</v>
      </c>
      <c r="F10912" s="4" t="s">
        <v>55282</v>
      </c>
      <c r="G10912" s="4" t="s">
        <v>55286</v>
      </c>
      <c r="H10912" s="3" t="s">
        <v>54289</v>
      </c>
      <c r="I10912" s="3" t="s">
        <v>55287</v>
      </c>
      <c r="J10912" s="3" t="s">
        <v>55288</v>
      </c>
      <c r="K10912" s="3" t="s">
        <v>55289</v>
      </c>
      <c r="L10912" s="3"/>
      <c r="M10912" s="4"/>
      <c r="N10912" s="3" t="s">
        <v>37</v>
      </c>
      <c r="O10912" s="3" t="s">
        <v>52</v>
      </c>
      <c r="P10912" s="5">
        <v>13</v>
      </c>
      <c r="Q10912" s="5">
        <v>225</v>
      </c>
      <c r="R10912" s="5">
        <v>12</v>
      </c>
      <c r="S10912" s="5">
        <v>218</v>
      </c>
    </row>
    <row r="10913" spans="1:19" ht="28" x14ac:dyDescent="0.15">
      <c r="A10913" s="2">
        <f>HYPERLINK("https://open-school.uspishnemisto.com.ua/school/560196/", 560196)</f>
        <v>560196</v>
      </c>
      <c r="B10913" s="3" t="s">
        <v>55290</v>
      </c>
      <c r="C10913" s="3" t="s">
        <v>31</v>
      </c>
      <c r="D10913" s="3" t="s">
        <v>60</v>
      </c>
      <c r="E10913" s="4" t="s">
        <v>22</v>
      </c>
      <c r="F10913" s="4" t="s">
        <v>55291</v>
      </c>
      <c r="G10913" s="4" t="s">
        <v>55292</v>
      </c>
      <c r="H10913" s="3" t="s">
        <v>54289</v>
      </c>
      <c r="I10913" s="3" t="s">
        <v>55293</v>
      </c>
      <c r="J10913" s="3" t="s">
        <v>55294</v>
      </c>
      <c r="K10913" s="3" t="s">
        <v>55257</v>
      </c>
      <c r="L10913" s="3"/>
      <c r="M10913" s="4"/>
      <c r="N10913" s="3" t="s">
        <v>37</v>
      </c>
      <c r="O10913" s="3" t="s">
        <v>52</v>
      </c>
      <c r="P10913" s="5">
        <v>4</v>
      </c>
      <c r="Q10913" s="5">
        <v>34</v>
      </c>
      <c r="R10913" s="5">
        <v>3</v>
      </c>
      <c r="S10913" s="5">
        <v>29</v>
      </c>
    </row>
    <row r="10914" spans="1:19" ht="28" x14ac:dyDescent="0.15">
      <c r="A10914" s="2">
        <f>HYPERLINK("https://open-school.uspishnemisto.com.ua/school/560197/", 560197)</f>
        <v>560197</v>
      </c>
      <c r="B10914" s="3" t="s">
        <v>55295</v>
      </c>
      <c r="C10914" s="3" t="s">
        <v>31</v>
      </c>
      <c r="D10914" s="3" t="s">
        <v>32</v>
      </c>
      <c r="E10914" s="4" t="s">
        <v>22</v>
      </c>
      <c r="F10914" s="4" t="s">
        <v>55296</v>
      </c>
      <c r="G10914" s="4" t="s">
        <v>55297</v>
      </c>
      <c r="H10914" s="3" t="s">
        <v>54289</v>
      </c>
      <c r="I10914" s="3" t="s">
        <v>6991</v>
      </c>
      <c r="J10914" s="3" t="s">
        <v>55298</v>
      </c>
      <c r="K10914" s="3" t="s">
        <v>55299</v>
      </c>
      <c r="L10914" s="3"/>
      <c r="M10914" s="4"/>
      <c r="N10914" s="3" t="s">
        <v>37</v>
      </c>
      <c r="O10914" s="3" t="s">
        <v>52</v>
      </c>
      <c r="P10914" s="5">
        <v>8</v>
      </c>
      <c r="Q10914" s="5">
        <v>76</v>
      </c>
      <c r="R10914" s="5">
        <v>8</v>
      </c>
      <c r="S10914" s="5">
        <v>84</v>
      </c>
    </row>
    <row r="10915" spans="1:19" ht="28" x14ac:dyDescent="0.15">
      <c r="A10915" s="2">
        <f>HYPERLINK("https://open-school.uspishnemisto.com.ua/school/560198/", 560198)</f>
        <v>560198</v>
      </c>
      <c r="B10915" s="3" t="s">
        <v>55300</v>
      </c>
      <c r="C10915" s="3" t="s">
        <v>31</v>
      </c>
      <c r="D10915" s="3" t="s">
        <v>60</v>
      </c>
      <c r="E10915" s="4" t="s">
        <v>22</v>
      </c>
      <c r="F10915" s="4" t="s">
        <v>55301</v>
      </c>
      <c r="G10915" s="4" t="s">
        <v>55302</v>
      </c>
      <c r="H10915" s="3" t="s">
        <v>54289</v>
      </c>
      <c r="I10915" s="3" t="s">
        <v>55303</v>
      </c>
      <c r="J10915" s="3"/>
      <c r="K10915" s="3" t="s">
        <v>55257</v>
      </c>
      <c r="L10915" s="3"/>
      <c r="M10915" s="4"/>
      <c r="N10915" s="3" t="s">
        <v>37</v>
      </c>
      <c r="O10915" s="3" t="s">
        <v>52</v>
      </c>
      <c r="P10915" s="5">
        <v>1</v>
      </c>
      <c r="Q10915" s="5">
        <v>7</v>
      </c>
      <c r="R10915" s="5">
        <v>1</v>
      </c>
      <c r="S10915" s="5">
        <v>11</v>
      </c>
    </row>
    <row r="10916" spans="1:19" ht="28" x14ac:dyDescent="0.15">
      <c r="A10916" s="2">
        <f>HYPERLINK("https://open-school.uspishnemisto.com.ua/school/560199/", 560199)</f>
        <v>560199</v>
      </c>
      <c r="B10916" s="3" t="s">
        <v>55304</v>
      </c>
      <c r="C10916" s="3" t="s">
        <v>31</v>
      </c>
      <c r="D10916" s="3" t="s">
        <v>32</v>
      </c>
      <c r="E10916" s="4" t="s">
        <v>22</v>
      </c>
      <c r="F10916" s="4" t="s">
        <v>55301</v>
      </c>
      <c r="G10916" s="4" t="s">
        <v>55305</v>
      </c>
      <c r="H10916" s="3" t="s">
        <v>54289</v>
      </c>
      <c r="I10916" s="3" t="s">
        <v>55306</v>
      </c>
      <c r="J10916" s="3" t="s">
        <v>29282</v>
      </c>
      <c r="K10916" s="3" t="s">
        <v>55307</v>
      </c>
      <c r="L10916" s="3"/>
      <c r="M10916" s="4"/>
      <c r="N10916" s="3" t="s">
        <v>37</v>
      </c>
      <c r="O10916" s="3" t="s">
        <v>52</v>
      </c>
      <c r="P10916" s="5">
        <v>11</v>
      </c>
      <c r="Q10916" s="5">
        <v>176</v>
      </c>
      <c r="R10916" s="5">
        <v>11</v>
      </c>
      <c r="S10916" s="5">
        <v>169</v>
      </c>
    </row>
    <row r="10917" spans="1:19" ht="28" x14ac:dyDescent="0.15">
      <c r="A10917" s="2">
        <f>HYPERLINK("https://open-school.uspishnemisto.com.ua/school/560200/", 560200)</f>
        <v>560200</v>
      </c>
      <c r="B10917" s="3" t="s">
        <v>55308</v>
      </c>
      <c r="C10917" s="3" t="s">
        <v>31</v>
      </c>
      <c r="D10917" s="3" t="s">
        <v>32</v>
      </c>
      <c r="E10917" s="4" t="s">
        <v>22</v>
      </c>
      <c r="F10917" s="4" t="s">
        <v>55309</v>
      </c>
      <c r="G10917" s="4" t="s">
        <v>55310</v>
      </c>
      <c r="H10917" s="3" t="s">
        <v>54289</v>
      </c>
      <c r="I10917" s="3" t="s">
        <v>55311</v>
      </c>
      <c r="J10917" s="3" t="s">
        <v>4442</v>
      </c>
      <c r="K10917" s="3" t="s">
        <v>55312</v>
      </c>
      <c r="L10917" s="3"/>
      <c r="M10917" s="4"/>
      <c r="N10917" s="3" t="s">
        <v>37</v>
      </c>
      <c r="O10917" s="3" t="s">
        <v>46</v>
      </c>
      <c r="P10917" s="5">
        <v>28</v>
      </c>
      <c r="Q10917" s="5">
        <v>531</v>
      </c>
      <c r="R10917" s="5">
        <v>20</v>
      </c>
      <c r="S10917" s="5">
        <v>460</v>
      </c>
    </row>
    <row r="10918" spans="1:19" ht="28" x14ac:dyDescent="0.15">
      <c r="A10918" s="2">
        <f>HYPERLINK("https://open-school.uspishnemisto.com.ua/school/560201/", 560201)</f>
        <v>560201</v>
      </c>
      <c r="B10918" s="3" t="s">
        <v>55313</v>
      </c>
      <c r="C10918" s="3" t="s">
        <v>31</v>
      </c>
      <c r="D10918" s="3" t="s">
        <v>175</v>
      </c>
      <c r="E10918" s="4" t="s">
        <v>22</v>
      </c>
      <c r="F10918" s="4" t="s">
        <v>55314</v>
      </c>
      <c r="G10918" s="4" t="s">
        <v>55315</v>
      </c>
      <c r="H10918" s="3" t="s">
        <v>54289</v>
      </c>
      <c r="I10918" s="3" t="s">
        <v>55316</v>
      </c>
      <c r="J10918" s="3" t="s">
        <v>55317</v>
      </c>
      <c r="K10918" s="3" t="s">
        <v>55318</v>
      </c>
      <c r="L10918" s="3"/>
      <c r="M10918" s="4"/>
      <c r="N10918" s="3" t="s">
        <v>37</v>
      </c>
      <c r="O10918" s="3" t="s">
        <v>46</v>
      </c>
      <c r="P10918" s="5">
        <v>9</v>
      </c>
      <c r="Q10918" s="5">
        <v>116</v>
      </c>
      <c r="R10918" s="5">
        <v>8</v>
      </c>
      <c r="S10918" s="5">
        <v>110</v>
      </c>
    </row>
    <row r="10919" spans="1:19" ht="28" x14ac:dyDescent="0.15">
      <c r="A10919" s="2">
        <f>HYPERLINK("https://open-school.uspishnemisto.com.ua/school/560202/", 560202)</f>
        <v>560202</v>
      </c>
      <c r="B10919" s="3" t="s">
        <v>55319</v>
      </c>
      <c r="C10919" s="3" t="s">
        <v>31</v>
      </c>
      <c r="D10919" s="3" t="s">
        <v>175</v>
      </c>
      <c r="E10919" s="4" t="s">
        <v>22</v>
      </c>
      <c r="F10919" s="4" t="s">
        <v>55320</v>
      </c>
      <c r="G10919" s="4" t="s">
        <v>55321</v>
      </c>
      <c r="H10919" s="3" t="s">
        <v>54289</v>
      </c>
      <c r="I10919" s="3" t="s">
        <v>39493</v>
      </c>
      <c r="J10919" s="3" t="s">
        <v>55322</v>
      </c>
      <c r="K10919" s="3" t="s">
        <v>55323</v>
      </c>
      <c r="L10919" s="3"/>
      <c r="M10919" s="4"/>
      <c r="N10919" s="3" t="s">
        <v>37</v>
      </c>
      <c r="O10919" s="3" t="s">
        <v>618</v>
      </c>
      <c r="P10919" s="5">
        <v>7</v>
      </c>
      <c r="Q10919" s="5">
        <v>52</v>
      </c>
      <c r="R10919" s="5">
        <v>6</v>
      </c>
      <c r="S10919" s="5">
        <v>52</v>
      </c>
    </row>
    <row r="10920" spans="1:19" ht="28" x14ac:dyDescent="0.15">
      <c r="A10920" s="2">
        <f>HYPERLINK("https://open-school.uspishnemisto.com.ua/school/560203/", 560203)</f>
        <v>560203</v>
      </c>
      <c r="B10920" s="3" t="s">
        <v>55324</v>
      </c>
      <c r="C10920" s="3" t="s">
        <v>40</v>
      </c>
      <c r="D10920" s="3" t="s">
        <v>32</v>
      </c>
      <c r="E10920" s="4" t="s">
        <v>22</v>
      </c>
      <c r="F10920" s="4" t="s">
        <v>55325</v>
      </c>
      <c r="G10920" s="4" t="s">
        <v>55326</v>
      </c>
      <c r="H10920" s="3" t="s">
        <v>54289</v>
      </c>
      <c r="I10920" s="3" t="s">
        <v>55327</v>
      </c>
      <c r="J10920" s="3" t="s">
        <v>466</v>
      </c>
      <c r="K10920" s="3" t="s">
        <v>55328</v>
      </c>
      <c r="L10920" s="3"/>
      <c r="M10920" s="4"/>
      <c r="N10920" s="3" t="s">
        <v>37</v>
      </c>
      <c r="O10920" s="3" t="s">
        <v>721</v>
      </c>
      <c r="P10920" s="5">
        <v>7</v>
      </c>
      <c r="Q10920" s="5">
        <v>133</v>
      </c>
      <c r="R10920" s="5">
        <v>7</v>
      </c>
      <c r="S10920" s="5">
        <v>126</v>
      </c>
    </row>
    <row r="10921" spans="1:19" ht="28" x14ac:dyDescent="0.15">
      <c r="A10921" s="2">
        <f>HYPERLINK("https://open-school.uspishnemisto.com.ua/school/560204/", 560204)</f>
        <v>560204</v>
      </c>
      <c r="B10921" s="3" t="s">
        <v>55329</v>
      </c>
      <c r="C10921" s="3" t="s">
        <v>54</v>
      </c>
      <c r="D10921" s="3" t="s">
        <v>60</v>
      </c>
      <c r="E10921" s="4" t="s">
        <v>22</v>
      </c>
      <c r="F10921" s="4" t="s">
        <v>54457</v>
      </c>
      <c r="G10921" s="4" t="s">
        <v>55326</v>
      </c>
      <c r="H10921" s="3" t="s">
        <v>54289</v>
      </c>
      <c r="I10921" s="3" t="s">
        <v>55327</v>
      </c>
      <c r="J10921" s="3" t="s">
        <v>634</v>
      </c>
      <c r="K10921" s="3" t="s">
        <v>55330</v>
      </c>
      <c r="L10921" s="3" t="s">
        <v>55331</v>
      </c>
      <c r="M10921" s="4"/>
      <c r="N10921" s="3" t="s">
        <v>37</v>
      </c>
      <c r="O10921" s="3" t="s">
        <v>52</v>
      </c>
      <c r="P10921" s="5">
        <v>5</v>
      </c>
      <c r="Q10921" s="5">
        <v>103</v>
      </c>
      <c r="R10921" s="5">
        <v>5</v>
      </c>
      <c r="S10921" s="5">
        <v>99</v>
      </c>
    </row>
    <row r="10922" spans="1:19" ht="28" x14ac:dyDescent="0.15">
      <c r="A10922" s="2">
        <f>HYPERLINK("https://open-school.uspishnemisto.com.ua/school/560205/", 560205)</f>
        <v>560205</v>
      </c>
      <c r="B10922" s="3" t="s">
        <v>55332</v>
      </c>
      <c r="C10922" s="3" t="s">
        <v>31</v>
      </c>
      <c r="D10922" s="3" t="s">
        <v>32</v>
      </c>
      <c r="E10922" s="4" t="s">
        <v>22</v>
      </c>
      <c r="F10922" s="4" t="s">
        <v>55333</v>
      </c>
      <c r="G10922" s="4" t="s">
        <v>55334</v>
      </c>
      <c r="H10922" s="3" t="s">
        <v>54289</v>
      </c>
      <c r="I10922" s="3" t="s">
        <v>5179</v>
      </c>
      <c r="J10922" s="3" t="s">
        <v>566</v>
      </c>
      <c r="K10922" s="3" t="s">
        <v>55335</v>
      </c>
      <c r="L10922" s="3" t="s">
        <v>55336</v>
      </c>
      <c r="M10922" s="4"/>
      <c r="N10922" s="3" t="s">
        <v>37</v>
      </c>
      <c r="O10922" s="3" t="s">
        <v>266</v>
      </c>
      <c r="P10922" s="5">
        <v>20</v>
      </c>
      <c r="Q10922" s="5">
        <v>306</v>
      </c>
      <c r="R10922" s="5">
        <v>18</v>
      </c>
      <c r="S10922" s="5">
        <v>314</v>
      </c>
    </row>
    <row r="10923" spans="1:19" ht="42" x14ac:dyDescent="0.15">
      <c r="A10923" s="2">
        <f>HYPERLINK("https://open-school.uspishnemisto.com.ua/school/560206/", 560206)</f>
        <v>560206</v>
      </c>
      <c r="B10923" s="3" t="s">
        <v>55337</v>
      </c>
      <c r="C10923" s="3" t="s">
        <v>2634</v>
      </c>
      <c r="D10923" s="3" t="s">
        <v>32</v>
      </c>
      <c r="E10923" s="4" t="s">
        <v>22</v>
      </c>
      <c r="F10923" s="4" t="s">
        <v>55333</v>
      </c>
      <c r="G10923" s="4" t="s">
        <v>55334</v>
      </c>
      <c r="H10923" s="3" t="s">
        <v>54289</v>
      </c>
      <c r="I10923" s="3" t="s">
        <v>5179</v>
      </c>
      <c r="J10923" s="3" t="s">
        <v>634</v>
      </c>
      <c r="K10923" s="3" t="s">
        <v>55338</v>
      </c>
      <c r="L10923" s="3" t="s">
        <v>55339</v>
      </c>
      <c r="M10923" s="4" t="s">
        <v>55340</v>
      </c>
      <c r="N10923" s="3" t="s">
        <v>37</v>
      </c>
      <c r="O10923" s="3" t="s">
        <v>46</v>
      </c>
      <c r="P10923" s="5">
        <v>11</v>
      </c>
      <c r="Q10923" s="5">
        <v>113</v>
      </c>
      <c r="R10923" s="5">
        <v>11</v>
      </c>
      <c r="S10923" s="5">
        <v>105</v>
      </c>
    </row>
    <row r="10924" spans="1:19" ht="56" x14ac:dyDescent="0.15">
      <c r="A10924" s="2">
        <f>HYPERLINK("https://open-school.uspishnemisto.com.ua/school/560207/", 560207)</f>
        <v>560207</v>
      </c>
      <c r="B10924" s="3" t="s">
        <v>55341</v>
      </c>
      <c r="C10924" s="3" t="s">
        <v>54</v>
      </c>
      <c r="D10924" s="3"/>
      <c r="E10924" s="4" t="s">
        <v>22</v>
      </c>
      <c r="F10924" s="4" t="s">
        <v>55333</v>
      </c>
      <c r="G10924" s="4" t="s">
        <v>55342</v>
      </c>
      <c r="H10924" s="3" t="s">
        <v>54289</v>
      </c>
      <c r="I10924" s="3" t="s">
        <v>55343</v>
      </c>
      <c r="J10924" s="3" t="s">
        <v>501</v>
      </c>
      <c r="K10924" s="3" t="s">
        <v>55344</v>
      </c>
      <c r="L10924" s="3"/>
      <c r="M10924" s="4"/>
      <c r="N10924" s="3" t="s">
        <v>37</v>
      </c>
      <c r="O10924" s="3" t="s">
        <v>70</v>
      </c>
      <c r="P10924" s="5">
        <v>9</v>
      </c>
      <c r="Q10924" s="5">
        <v>58</v>
      </c>
      <c r="R10924" s="5">
        <v>9</v>
      </c>
      <c r="S10924" s="5">
        <v>59</v>
      </c>
    </row>
    <row r="10925" spans="1:19" ht="28" x14ac:dyDescent="0.15">
      <c r="A10925" s="2">
        <f>HYPERLINK("https://open-school.uspishnemisto.com.ua/school/560208/", 560208)</f>
        <v>560208</v>
      </c>
      <c r="B10925" s="3" t="s">
        <v>55345</v>
      </c>
      <c r="C10925" s="3" t="s">
        <v>31</v>
      </c>
      <c r="D10925" s="3" t="s">
        <v>175</v>
      </c>
      <c r="E10925" s="4" t="s">
        <v>22</v>
      </c>
      <c r="F10925" s="4" t="s">
        <v>55346</v>
      </c>
      <c r="G10925" s="4" t="s">
        <v>55347</v>
      </c>
      <c r="H10925" s="3" t="s">
        <v>54289</v>
      </c>
      <c r="I10925" s="3" t="s">
        <v>55348</v>
      </c>
      <c r="J10925" s="3" t="s">
        <v>12604</v>
      </c>
      <c r="K10925" s="3" t="s">
        <v>55349</v>
      </c>
      <c r="L10925" s="3"/>
      <c r="M10925" s="4"/>
      <c r="N10925" s="3" t="s">
        <v>37</v>
      </c>
      <c r="O10925" s="3" t="s">
        <v>46</v>
      </c>
      <c r="P10925" s="5">
        <v>9</v>
      </c>
      <c r="Q10925" s="5">
        <v>60</v>
      </c>
      <c r="R10925" s="5">
        <v>9</v>
      </c>
      <c r="S10925" s="5">
        <v>66</v>
      </c>
    </row>
    <row r="10926" spans="1:19" ht="28" x14ac:dyDescent="0.15">
      <c r="A10926" s="2">
        <f>HYPERLINK("https://open-school.uspishnemisto.com.ua/school/560209/", 560209)</f>
        <v>560209</v>
      </c>
      <c r="B10926" s="3" t="s">
        <v>55350</v>
      </c>
      <c r="C10926" s="3" t="s">
        <v>31</v>
      </c>
      <c r="D10926" s="3" t="s">
        <v>175</v>
      </c>
      <c r="E10926" s="4" t="s">
        <v>22</v>
      </c>
      <c r="F10926" s="4" t="s">
        <v>55351</v>
      </c>
      <c r="G10926" s="4" t="s">
        <v>55352</v>
      </c>
      <c r="H10926" s="3" t="s">
        <v>54289</v>
      </c>
      <c r="I10926" s="3" t="s">
        <v>55353</v>
      </c>
      <c r="J10926" s="3" t="s">
        <v>554</v>
      </c>
      <c r="K10926" s="3" t="s">
        <v>55354</v>
      </c>
      <c r="L10926" s="3" t="s">
        <v>55355</v>
      </c>
      <c r="M10926" s="4"/>
      <c r="N10926" s="3" t="s">
        <v>37</v>
      </c>
      <c r="O10926" s="3" t="s">
        <v>46</v>
      </c>
      <c r="P10926" s="5">
        <v>9</v>
      </c>
      <c r="Q10926" s="5">
        <v>114</v>
      </c>
      <c r="R10926" s="5">
        <v>9</v>
      </c>
      <c r="S10926" s="5">
        <v>116</v>
      </c>
    </row>
    <row r="10927" spans="1:19" ht="28" x14ac:dyDescent="0.15">
      <c r="A10927" s="2">
        <f>HYPERLINK("https://open-school.uspishnemisto.com.ua/school/560210/", 560210)</f>
        <v>560210</v>
      </c>
      <c r="B10927" s="3" t="s">
        <v>55356</v>
      </c>
      <c r="C10927" s="3" t="s">
        <v>54</v>
      </c>
      <c r="D10927" s="3" t="s">
        <v>60</v>
      </c>
      <c r="E10927" s="4" t="s">
        <v>22</v>
      </c>
      <c r="F10927" s="4" t="s">
        <v>55357</v>
      </c>
      <c r="G10927" s="4" t="s">
        <v>55358</v>
      </c>
      <c r="H10927" s="3" t="s">
        <v>54289</v>
      </c>
      <c r="I10927" s="3" t="s">
        <v>55359</v>
      </c>
      <c r="J10927" s="3" t="s">
        <v>55360</v>
      </c>
      <c r="K10927" s="3" t="s">
        <v>55361</v>
      </c>
      <c r="L10927" s="3"/>
      <c r="M10927" s="4"/>
      <c r="N10927" s="3" t="s">
        <v>37</v>
      </c>
      <c r="O10927" s="3" t="s">
        <v>52</v>
      </c>
      <c r="P10927" s="5">
        <v>4</v>
      </c>
      <c r="Q10927" s="5">
        <v>26</v>
      </c>
      <c r="R10927" s="5">
        <v>4</v>
      </c>
      <c r="S10927" s="5">
        <v>27</v>
      </c>
    </row>
    <row r="10928" spans="1:19" ht="28" x14ac:dyDescent="0.15">
      <c r="A10928" s="2">
        <f>HYPERLINK("https://open-school.uspishnemisto.com.ua/school/560211/", 560211)</f>
        <v>560211</v>
      </c>
      <c r="B10928" s="3" t="s">
        <v>55274</v>
      </c>
      <c r="C10928" s="3" t="s">
        <v>31</v>
      </c>
      <c r="D10928" s="3" t="s">
        <v>32</v>
      </c>
      <c r="E10928" s="4" t="s">
        <v>22</v>
      </c>
      <c r="F10928" s="4" t="s">
        <v>55362</v>
      </c>
      <c r="G10928" s="4" t="s">
        <v>55363</v>
      </c>
      <c r="H10928" s="3" t="s">
        <v>54289</v>
      </c>
      <c r="I10928" s="3" t="s">
        <v>55364</v>
      </c>
      <c r="J10928" s="3" t="s">
        <v>466</v>
      </c>
      <c r="K10928" s="3" t="s">
        <v>55365</v>
      </c>
      <c r="L10928" s="3"/>
      <c r="M10928" s="4" t="s">
        <v>55366</v>
      </c>
      <c r="N10928" s="3" t="s">
        <v>37</v>
      </c>
      <c r="O10928" s="3" t="s">
        <v>70</v>
      </c>
      <c r="P10928" s="5">
        <v>11</v>
      </c>
      <c r="Q10928" s="5">
        <v>145</v>
      </c>
      <c r="R10928" s="5">
        <v>11</v>
      </c>
      <c r="S10928" s="5">
        <v>156</v>
      </c>
    </row>
    <row r="10929" spans="1:19" ht="28" x14ac:dyDescent="0.15">
      <c r="A10929" s="2">
        <f>HYPERLINK("https://open-school.uspishnemisto.com.ua/school/560212/", 560212)</f>
        <v>560212</v>
      </c>
      <c r="B10929" s="3" t="s">
        <v>55367</v>
      </c>
      <c r="C10929" s="3" t="s">
        <v>31</v>
      </c>
      <c r="D10929" s="3" t="s">
        <v>175</v>
      </c>
      <c r="E10929" s="4" t="s">
        <v>22</v>
      </c>
      <c r="F10929" s="4" t="s">
        <v>55362</v>
      </c>
      <c r="G10929" s="4" t="s">
        <v>55368</v>
      </c>
      <c r="H10929" s="3" t="s">
        <v>54289</v>
      </c>
      <c r="I10929" s="3" t="s">
        <v>55369</v>
      </c>
      <c r="J10929" s="3" t="s">
        <v>55370</v>
      </c>
      <c r="K10929" s="3" t="s">
        <v>55371</v>
      </c>
      <c r="L10929" s="3"/>
      <c r="M10929" s="4"/>
      <c r="N10929" s="3" t="s">
        <v>37</v>
      </c>
      <c r="O10929" s="3" t="s">
        <v>46</v>
      </c>
      <c r="P10929" s="5">
        <v>9</v>
      </c>
      <c r="Q10929" s="5">
        <v>63</v>
      </c>
      <c r="R10929" s="5">
        <v>7</v>
      </c>
      <c r="S10929" s="5">
        <v>54</v>
      </c>
    </row>
    <row r="10930" spans="1:19" ht="28" x14ac:dyDescent="0.15">
      <c r="A10930" s="2">
        <f>HYPERLINK("https://open-school.uspishnemisto.com.ua/school/560213/", 560213)</f>
        <v>560213</v>
      </c>
      <c r="B10930" s="3" t="s">
        <v>55372</v>
      </c>
      <c r="C10930" s="3" t="s">
        <v>31</v>
      </c>
      <c r="D10930" s="3" t="s">
        <v>175</v>
      </c>
      <c r="E10930" s="4" t="s">
        <v>22</v>
      </c>
      <c r="F10930" s="4" t="s">
        <v>55373</v>
      </c>
      <c r="G10930" s="4" t="s">
        <v>55374</v>
      </c>
      <c r="H10930" s="3" t="s">
        <v>54289</v>
      </c>
      <c r="I10930" s="3" t="s">
        <v>18965</v>
      </c>
      <c r="J10930" s="3" t="s">
        <v>55375</v>
      </c>
      <c r="K10930" s="3" t="s">
        <v>55376</v>
      </c>
      <c r="L10930" s="3"/>
      <c r="M10930" s="4"/>
      <c r="N10930" s="3" t="s">
        <v>37</v>
      </c>
      <c r="O10930" s="3" t="s">
        <v>46</v>
      </c>
      <c r="P10930" s="5">
        <v>5</v>
      </c>
      <c r="Q10930" s="5">
        <v>45</v>
      </c>
      <c r="R10930" s="5">
        <v>8</v>
      </c>
      <c r="S10930" s="5">
        <v>50</v>
      </c>
    </row>
    <row r="10931" spans="1:19" ht="42" x14ac:dyDescent="0.15">
      <c r="A10931" s="2">
        <f>HYPERLINK("https://open-school.uspishnemisto.com.ua/school/560215/", 560215)</f>
        <v>560215</v>
      </c>
      <c r="B10931" s="3" t="s">
        <v>55377</v>
      </c>
      <c r="C10931" s="3" t="s">
        <v>54</v>
      </c>
      <c r="D10931" s="3" t="s">
        <v>32</v>
      </c>
      <c r="E10931" s="4" t="s">
        <v>22</v>
      </c>
      <c r="F10931" s="4" t="s">
        <v>55378</v>
      </c>
      <c r="G10931" s="4" t="s">
        <v>55379</v>
      </c>
      <c r="H10931" s="3" t="s">
        <v>54289</v>
      </c>
      <c r="I10931" s="3" t="s">
        <v>55380</v>
      </c>
      <c r="J10931" s="3" t="s">
        <v>1192</v>
      </c>
      <c r="K10931" s="3" t="s">
        <v>55381</v>
      </c>
      <c r="L10931" s="3"/>
      <c r="M10931" s="4"/>
      <c r="N10931" s="3" t="s">
        <v>37</v>
      </c>
      <c r="O10931" s="3" t="s">
        <v>70</v>
      </c>
      <c r="P10931" s="5">
        <v>10</v>
      </c>
      <c r="Q10931" s="5">
        <v>100</v>
      </c>
      <c r="R10931" s="5">
        <v>11</v>
      </c>
      <c r="S10931" s="5">
        <v>102</v>
      </c>
    </row>
    <row r="10932" spans="1:19" ht="28" x14ac:dyDescent="0.15">
      <c r="A10932" s="2">
        <f>HYPERLINK("https://open-school.uspishnemisto.com.ua/school/560216/", 560216)</f>
        <v>560216</v>
      </c>
      <c r="B10932" s="3" t="s">
        <v>55382</v>
      </c>
      <c r="C10932" s="3" t="s">
        <v>31</v>
      </c>
      <c r="D10932" s="3" t="s">
        <v>60</v>
      </c>
      <c r="E10932" s="4" t="s">
        <v>22</v>
      </c>
      <c r="F10932" s="4" t="s">
        <v>54457</v>
      </c>
      <c r="G10932" s="4" t="s">
        <v>55383</v>
      </c>
      <c r="H10932" s="3" t="s">
        <v>54289</v>
      </c>
      <c r="I10932" s="3" t="s">
        <v>55384</v>
      </c>
      <c r="J10932" s="3" t="s">
        <v>12836</v>
      </c>
      <c r="K10932" s="3"/>
      <c r="L10932" s="3"/>
      <c r="M10932" s="4"/>
      <c r="N10932" s="3" t="s">
        <v>37</v>
      </c>
      <c r="O10932" s="3" t="s">
        <v>52</v>
      </c>
      <c r="P10932" s="5">
        <v>3</v>
      </c>
      <c r="Q10932" s="5">
        <v>25</v>
      </c>
      <c r="R10932" s="5">
        <v>2</v>
      </c>
      <c r="S10932" s="5">
        <v>21</v>
      </c>
    </row>
    <row r="10933" spans="1:19" ht="28" x14ac:dyDescent="0.15">
      <c r="A10933" s="2">
        <f>HYPERLINK("https://open-school.uspishnemisto.com.ua/school/560217/", 560217)</f>
        <v>560217</v>
      </c>
      <c r="B10933" s="3" t="s">
        <v>55385</v>
      </c>
      <c r="C10933" s="3" t="s">
        <v>31</v>
      </c>
      <c r="D10933" s="3" t="s">
        <v>32</v>
      </c>
      <c r="E10933" s="4" t="s">
        <v>22</v>
      </c>
      <c r="F10933" s="4" t="s">
        <v>55386</v>
      </c>
      <c r="G10933" s="4" t="s">
        <v>55387</v>
      </c>
      <c r="H10933" s="3" t="s">
        <v>54289</v>
      </c>
      <c r="I10933" s="3" t="s">
        <v>53431</v>
      </c>
      <c r="J10933" s="3" t="s">
        <v>554</v>
      </c>
      <c r="K10933" s="3"/>
      <c r="L10933" s="3"/>
      <c r="M10933" s="4"/>
      <c r="N10933" s="3" t="s">
        <v>37</v>
      </c>
      <c r="O10933" s="3" t="s">
        <v>70</v>
      </c>
      <c r="P10933" s="5">
        <v>11</v>
      </c>
      <c r="Q10933" s="5">
        <v>112</v>
      </c>
      <c r="R10933" s="5">
        <v>11</v>
      </c>
      <c r="S10933" s="5">
        <v>111</v>
      </c>
    </row>
    <row r="10934" spans="1:19" ht="28" x14ac:dyDescent="0.15">
      <c r="A10934" s="2">
        <f>HYPERLINK("https://open-school.uspishnemisto.com.ua/school/560218/", 560218)</f>
        <v>560218</v>
      </c>
      <c r="B10934" s="3" t="s">
        <v>55388</v>
      </c>
      <c r="C10934" s="3" t="s">
        <v>20</v>
      </c>
      <c r="D10934" s="3" t="s">
        <v>19078</v>
      </c>
      <c r="E10934" s="4" t="s">
        <v>22</v>
      </c>
      <c r="F10934" s="4" t="s">
        <v>55389</v>
      </c>
      <c r="G10934" s="4" t="s">
        <v>55390</v>
      </c>
      <c r="H10934" s="3" t="s">
        <v>54289</v>
      </c>
      <c r="I10934" s="3" t="s">
        <v>55391</v>
      </c>
      <c r="J10934" s="3" t="s">
        <v>2136</v>
      </c>
      <c r="K10934" s="3" t="s">
        <v>55392</v>
      </c>
      <c r="L10934" s="3"/>
      <c r="M10934" s="4"/>
      <c r="N10934" s="3"/>
      <c r="O10934" s="3"/>
      <c r="P10934" s="5">
        <v>0</v>
      </c>
      <c r="Q10934" s="5">
        <v>0</v>
      </c>
      <c r="R10934" s="5"/>
      <c r="S10934" s="5"/>
    </row>
    <row r="10935" spans="1:19" ht="42" x14ac:dyDescent="0.15">
      <c r="A10935" s="2">
        <f>HYPERLINK("https://open-school.uspishnemisto.com.ua/school/560219/", 560219)</f>
        <v>560219</v>
      </c>
      <c r="B10935" s="3" t="s">
        <v>55393</v>
      </c>
      <c r="C10935" s="3" t="s">
        <v>31</v>
      </c>
      <c r="D10935" s="3" t="s">
        <v>32</v>
      </c>
      <c r="E10935" s="4" t="s">
        <v>22</v>
      </c>
      <c r="F10935" s="4" t="s">
        <v>55389</v>
      </c>
      <c r="G10935" s="4" t="s">
        <v>55390</v>
      </c>
      <c r="H10935" s="3" t="s">
        <v>54289</v>
      </c>
      <c r="I10935" s="3" t="s">
        <v>55391</v>
      </c>
      <c r="J10935" s="3" t="s">
        <v>2136</v>
      </c>
      <c r="K10935" s="3" t="s">
        <v>55394</v>
      </c>
      <c r="L10935" s="3"/>
      <c r="M10935" s="4" t="s">
        <v>55395</v>
      </c>
      <c r="N10935" s="3" t="s">
        <v>37</v>
      </c>
      <c r="O10935" s="3" t="s">
        <v>46</v>
      </c>
      <c r="P10935" s="5">
        <v>21</v>
      </c>
      <c r="Q10935" s="5">
        <v>361</v>
      </c>
      <c r="R10935" s="5">
        <v>16</v>
      </c>
      <c r="S10935" s="5">
        <v>309</v>
      </c>
    </row>
    <row r="10936" spans="1:19" ht="56" x14ac:dyDescent="0.15">
      <c r="A10936" s="2">
        <f>HYPERLINK("https://open-school.uspishnemisto.com.ua/school/560220/", 560220)</f>
        <v>560220</v>
      </c>
      <c r="B10936" s="3" t="s">
        <v>55396</v>
      </c>
      <c r="C10936" s="3" t="s">
        <v>54</v>
      </c>
      <c r="D10936" s="3" t="s">
        <v>60</v>
      </c>
      <c r="E10936" s="4" t="s">
        <v>22</v>
      </c>
      <c r="F10936" s="4" t="s">
        <v>55389</v>
      </c>
      <c r="G10936" s="4" t="s">
        <v>55397</v>
      </c>
      <c r="H10936" s="3" t="s">
        <v>54289</v>
      </c>
      <c r="I10936" s="3" t="s">
        <v>55398</v>
      </c>
      <c r="J10936" s="3" t="s">
        <v>25366</v>
      </c>
      <c r="K10936" s="3" t="s">
        <v>55399</v>
      </c>
      <c r="L10936" s="3"/>
      <c r="M10936" s="4"/>
      <c r="N10936" s="3" t="s">
        <v>37</v>
      </c>
      <c r="O10936" s="3" t="s">
        <v>46</v>
      </c>
      <c r="P10936" s="5">
        <v>1</v>
      </c>
      <c r="Q10936" s="5">
        <v>17</v>
      </c>
      <c r="R10936" s="5">
        <v>1</v>
      </c>
      <c r="S10936" s="5">
        <v>15</v>
      </c>
    </row>
    <row r="10937" spans="1:19" ht="28" x14ac:dyDescent="0.15">
      <c r="A10937" s="2">
        <f>HYPERLINK("https://open-school.uspishnemisto.com.ua/school/560222/", 560222)</f>
        <v>560222</v>
      </c>
      <c r="B10937" s="3" t="s">
        <v>55400</v>
      </c>
      <c r="C10937" s="3" t="s">
        <v>31</v>
      </c>
      <c r="D10937" s="3" t="s">
        <v>175</v>
      </c>
      <c r="E10937" s="4" t="s">
        <v>22</v>
      </c>
      <c r="F10937" s="4" t="s">
        <v>55401</v>
      </c>
      <c r="G10937" s="4" t="s">
        <v>55402</v>
      </c>
      <c r="H10937" s="3" t="s">
        <v>54289</v>
      </c>
      <c r="I10937" s="3" t="s">
        <v>55403</v>
      </c>
      <c r="J10937" s="3" t="s">
        <v>55404</v>
      </c>
      <c r="K10937" s="3"/>
      <c r="L10937" s="3"/>
      <c r="M10937" s="4"/>
      <c r="N10937" s="3" t="s">
        <v>37</v>
      </c>
      <c r="O10937" s="3" t="s">
        <v>2740</v>
      </c>
      <c r="P10937" s="5">
        <v>9</v>
      </c>
      <c r="Q10937" s="5">
        <v>99</v>
      </c>
      <c r="R10937" s="5">
        <v>9</v>
      </c>
      <c r="S10937" s="5">
        <v>96</v>
      </c>
    </row>
    <row r="10938" spans="1:19" ht="28" x14ac:dyDescent="0.15">
      <c r="A10938" s="2">
        <f>HYPERLINK("https://open-school.uspishnemisto.com.ua/school/560223/", 560223)</f>
        <v>560223</v>
      </c>
      <c r="B10938" s="3" t="s">
        <v>55405</v>
      </c>
      <c r="C10938" s="3" t="s">
        <v>31</v>
      </c>
      <c r="D10938" s="3" t="s">
        <v>32</v>
      </c>
      <c r="E10938" s="4" t="s">
        <v>22</v>
      </c>
      <c r="F10938" s="4" t="s">
        <v>55406</v>
      </c>
      <c r="G10938" s="4" t="s">
        <v>55407</v>
      </c>
      <c r="H10938" s="3" t="s">
        <v>54289</v>
      </c>
      <c r="I10938" s="3" t="s">
        <v>8067</v>
      </c>
      <c r="J10938" s="3" t="s">
        <v>5632</v>
      </c>
      <c r="K10938" s="3" t="s">
        <v>55408</v>
      </c>
      <c r="L10938" s="3"/>
      <c r="M10938" s="4" t="s">
        <v>55409</v>
      </c>
      <c r="N10938" s="3" t="s">
        <v>37</v>
      </c>
      <c r="O10938" s="3" t="s">
        <v>46</v>
      </c>
      <c r="P10938" s="5">
        <v>11</v>
      </c>
      <c r="Q10938" s="5">
        <v>152</v>
      </c>
      <c r="R10938" s="5">
        <v>11</v>
      </c>
      <c r="S10938" s="5">
        <v>156</v>
      </c>
    </row>
    <row r="10939" spans="1:19" ht="28" x14ac:dyDescent="0.15">
      <c r="A10939" s="2">
        <f>HYPERLINK("https://open-school.uspishnemisto.com.ua/school/560224/", 560224)</f>
        <v>560224</v>
      </c>
      <c r="B10939" s="3" t="s">
        <v>55410</v>
      </c>
      <c r="C10939" s="3" t="s">
        <v>31</v>
      </c>
      <c r="D10939" s="3" t="s">
        <v>175</v>
      </c>
      <c r="E10939" s="4" t="s">
        <v>22</v>
      </c>
      <c r="F10939" s="4" t="s">
        <v>55411</v>
      </c>
      <c r="G10939" s="4" t="s">
        <v>55412</v>
      </c>
      <c r="H10939" s="3" t="s">
        <v>54289</v>
      </c>
      <c r="I10939" s="3" t="s">
        <v>55413</v>
      </c>
      <c r="J10939" s="3" t="s">
        <v>634</v>
      </c>
      <c r="K10939" s="3" t="s">
        <v>55414</v>
      </c>
      <c r="L10939" s="3"/>
      <c r="M10939" s="4"/>
      <c r="N10939" s="3" t="s">
        <v>37</v>
      </c>
      <c r="O10939" s="3" t="s">
        <v>46</v>
      </c>
      <c r="P10939" s="5">
        <v>9</v>
      </c>
      <c r="Q10939" s="5">
        <v>82</v>
      </c>
      <c r="R10939" s="5">
        <v>9</v>
      </c>
      <c r="S10939" s="5">
        <v>78</v>
      </c>
    </row>
    <row r="10940" spans="1:19" ht="28" x14ac:dyDescent="0.15">
      <c r="A10940" s="2">
        <f>HYPERLINK("https://open-school.uspishnemisto.com.ua/school/560225/", 560225)</f>
        <v>560225</v>
      </c>
      <c r="B10940" s="3" t="s">
        <v>55415</v>
      </c>
      <c r="C10940" s="3" t="s">
        <v>54</v>
      </c>
      <c r="D10940" s="3" t="s">
        <v>60</v>
      </c>
      <c r="E10940" s="4" t="s">
        <v>22</v>
      </c>
      <c r="F10940" s="4" t="s">
        <v>55416</v>
      </c>
      <c r="G10940" s="4" t="s">
        <v>55417</v>
      </c>
      <c r="H10940" s="3" t="s">
        <v>54289</v>
      </c>
      <c r="I10940" s="3" t="s">
        <v>55418</v>
      </c>
      <c r="J10940" s="3" t="s">
        <v>6677</v>
      </c>
      <c r="K10940" s="3" t="s">
        <v>55419</v>
      </c>
      <c r="L10940" s="3"/>
      <c r="M10940" s="4"/>
      <c r="N10940" s="3" t="s">
        <v>37</v>
      </c>
      <c r="O10940" s="3" t="s">
        <v>52</v>
      </c>
      <c r="P10940" s="5">
        <v>2</v>
      </c>
      <c r="Q10940" s="5">
        <v>21</v>
      </c>
      <c r="R10940" s="5">
        <v>1</v>
      </c>
      <c r="S10940" s="5">
        <v>16</v>
      </c>
    </row>
    <row r="10941" spans="1:19" ht="42" x14ac:dyDescent="0.15">
      <c r="A10941" s="2">
        <f>HYPERLINK("https://open-school.uspishnemisto.com.ua/school/560226/", 560226)</f>
        <v>560226</v>
      </c>
      <c r="B10941" s="3" t="s">
        <v>55420</v>
      </c>
      <c r="C10941" s="3" t="s">
        <v>54</v>
      </c>
      <c r="D10941" s="3" t="s">
        <v>60</v>
      </c>
      <c r="E10941" s="4" t="s">
        <v>22</v>
      </c>
      <c r="F10941" s="4" t="s">
        <v>55411</v>
      </c>
      <c r="G10941" s="4" t="s">
        <v>55421</v>
      </c>
      <c r="H10941" s="3" t="s">
        <v>54289</v>
      </c>
      <c r="I10941" s="3" t="s">
        <v>55422</v>
      </c>
      <c r="J10941" s="3" t="s">
        <v>55423</v>
      </c>
      <c r="K10941" s="3" t="s">
        <v>55424</v>
      </c>
      <c r="L10941" s="3"/>
      <c r="M10941" s="4"/>
      <c r="N10941" s="3" t="s">
        <v>37</v>
      </c>
      <c r="O10941" s="3" t="s">
        <v>52</v>
      </c>
      <c r="P10941" s="5">
        <v>2</v>
      </c>
      <c r="Q10941" s="5">
        <v>13</v>
      </c>
      <c r="R10941" s="5">
        <v>1</v>
      </c>
      <c r="S10941" s="5">
        <v>11</v>
      </c>
    </row>
    <row r="10942" spans="1:19" ht="28" x14ac:dyDescent="0.15">
      <c r="A10942" s="2">
        <f>HYPERLINK("https://open-school.uspishnemisto.com.ua/school/560227/", 560227)</f>
        <v>560227</v>
      </c>
      <c r="B10942" s="3" t="s">
        <v>55425</v>
      </c>
      <c r="C10942" s="3" t="s">
        <v>31</v>
      </c>
      <c r="D10942" s="3" t="s">
        <v>175</v>
      </c>
      <c r="E10942" s="4" t="s">
        <v>22</v>
      </c>
      <c r="F10942" s="4" t="s">
        <v>55426</v>
      </c>
      <c r="G10942" s="4" t="s">
        <v>55427</v>
      </c>
      <c r="H10942" s="3" t="s">
        <v>54289</v>
      </c>
      <c r="I10942" s="3" t="s">
        <v>55428</v>
      </c>
      <c r="J10942" s="3" t="s">
        <v>55429</v>
      </c>
      <c r="K10942" s="3" t="s">
        <v>55430</v>
      </c>
      <c r="L10942" s="3"/>
      <c r="M10942" s="4"/>
      <c r="N10942" s="3" t="s">
        <v>37</v>
      </c>
      <c r="O10942" s="3" t="s">
        <v>46</v>
      </c>
      <c r="P10942" s="5">
        <v>8</v>
      </c>
      <c r="Q10942" s="5">
        <v>49</v>
      </c>
      <c r="R10942" s="5">
        <v>7</v>
      </c>
      <c r="S10942" s="5">
        <v>49</v>
      </c>
    </row>
    <row r="10943" spans="1:19" ht="28" x14ac:dyDescent="0.15">
      <c r="A10943" s="2">
        <f>HYPERLINK("https://open-school.uspishnemisto.com.ua/school/560228/", 560228)</f>
        <v>560228</v>
      </c>
      <c r="B10943" s="3" t="s">
        <v>55431</v>
      </c>
      <c r="C10943" s="3" t="s">
        <v>31</v>
      </c>
      <c r="D10943" s="3" t="s">
        <v>32</v>
      </c>
      <c r="E10943" s="4" t="s">
        <v>22</v>
      </c>
      <c r="F10943" s="4" t="s">
        <v>55432</v>
      </c>
      <c r="G10943" s="4" t="s">
        <v>55433</v>
      </c>
      <c r="H10943" s="3" t="s">
        <v>54289</v>
      </c>
      <c r="I10943" s="3" t="s">
        <v>55434</v>
      </c>
      <c r="J10943" s="3" t="s">
        <v>55435</v>
      </c>
      <c r="K10943" s="3" t="s">
        <v>55436</v>
      </c>
      <c r="L10943" s="3"/>
      <c r="M10943" s="4" t="s">
        <v>55437</v>
      </c>
      <c r="N10943" s="3" t="s">
        <v>37</v>
      </c>
      <c r="O10943" s="3" t="s">
        <v>46</v>
      </c>
      <c r="P10943" s="5">
        <v>11</v>
      </c>
      <c r="Q10943" s="5">
        <v>114</v>
      </c>
      <c r="R10943" s="5">
        <v>11</v>
      </c>
      <c r="S10943" s="5">
        <v>113</v>
      </c>
    </row>
    <row r="10944" spans="1:19" ht="28" x14ac:dyDescent="0.15">
      <c r="A10944" s="2">
        <f>HYPERLINK("https://open-school.uspishnemisto.com.ua/school/560229/", 560229)</f>
        <v>560229</v>
      </c>
      <c r="B10944" s="3" t="s">
        <v>55438</v>
      </c>
      <c r="C10944" s="3" t="s">
        <v>31</v>
      </c>
      <c r="D10944" s="3" t="s">
        <v>32</v>
      </c>
      <c r="E10944" s="4" t="s">
        <v>22</v>
      </c>
      <c r="F10944" s="4" t="s">
        <v>55439</v>
      </c>
      <c r="G10944" s="4" t="s">
        <v>55440</v>
      </c>
      <c r="H10944" s="3" t="s">
        <v>54289</v>
      </c>
      <c r="I10944" s="3" t="s">
        <v>13072</v>
      </c>
      <c r="J10944" s="3" t="s">
        <v>634</v>
      </c>
      <c r="K10944" s="3" t="s">
        <v>55441</v>
      </c>
      <c r="L10944" s="3" t="s">
        <v>55442</v>
      </c>
      <c r="M10944" s="4"/>
      <c r="N10944" s="3" t="s">
        <v>37</v>
      </c>
      <c r="O10944" s="3" t="s">
        <v>38</v>
      </c>
      <c r="P10944" s="5">
        <v>12</v>
      </c>
      <c r="Q10944" s="5">
        <v>185</v>
      </c>
      <c r="R10944" s="5">
        <v>12</v>
      </c>
      <c r="S10944" s="5">
        <v>180</v>
      </c>
    </row>
    <row r="10945" spans="1:19" ht="28" x14ac:dyDescent="0.15">
      <c r="A10945" s="2">
        <f>HYPERLINK("https://open-school.uspishnemisto.com.ua/school/560230/", 560230)</f>
        <v>560230</v>
      </c>
      <c r="B10945" s="3" t="s">
        <v>55443</v>
      </c>
      <c r="C10945" s="3" t="s">
        <v>31</v>
      </c>
      <c r="D10945" s="3" t="s">
        <v>175</v>
      </c>
      <c r="E10945" s="4" t="s">
        <v>22</v>
      </c>
      <c r="F10945" s="4" t="s">
        <v>55444</v>
      </c>
      <c r="G10945" s="4" t="s">
        <v>55445</v>
      </c>
      <c r="H10945" s="3" t="s">
        <v>54289</v>
      </c>
      <c r="I10945" s="3" t="s">
        <v>55446</v>
      </c>
      <c r="J10945" s="3" t="s">
        <v>1636</v>
      </c>
      <c r="K10945" s="3" t="s">
        <v>55447</v>
      </c>
      <c r="L10945" s="3"/>
      <c r="M10945" s="4"/>
      <c r="N10945" s="3" t="s">
        <v>37</v>
      </c>
      <c r="O10945" s="3" t="s">
        <v>38</v>
      </c>
      <c r="P10945" s="5">
        <v>9</v>
      </c>
      <c r="Q10945" s="5">
        <v>77</v>
      </c>
      <c r="R10945" s="5">
        <v>9</v>
      </c>
      <c r="S10945" s="5">
        <v>80</v>
      </c>
    </row>
    <row r="10946" spans="1:19" ht="28" x14ac:dyDescent="0.15">
      <c r="A10946" s="2">
        <f>HYPERLINK("https://open-school.uspishnemisto.com.ua/school/560231/", 560231)</f>
        <v>560231</v>
      </c>
      <c r="B10946" s="3" t="s">
        <v>55448</v>
      </c>
      <c r="C10946" s="3" t="s">
        <v>31</v>
      </c>
      <c r="D10946" s="3" t="s">
        <v>175</v>
      </c>
      <c r="E10946" s="4" t="s">
        <v>22</v>
      </c>
      <c r="F10946" s="4" t="s">
        <v>55449</v>
      </c>
      <c r="G10946" s="4" t="s">
        <v>55450</v>
      </c>
      <c r="H10946" s="3" t="s">
        <v>54289</v>
      </c>
      <c r="I10946" s="3" t="s">
        <v>5168</v>
      </c>
      <c r="J10946" s="3" t="s">
        <v>634</v>
      </c>
      <c r="K10946" s="3" t="s">
        <v>55451</v>
      </c>
      <c r="L10946" s="3"/>
      <c r="M10946" s="4"/>
      <c r="N10946" s="3" t="s">
        <v>37</v>
      </c>
      <c r="O10946" s="3" t="s">
        <v>38</v>
      </c>
      <c r="P10946" s="5">
        <v>7</v>
      </c>
      <c r="Q10946" s="5">
        <v>58</v>
      </c>
      <c r="R10946" s="5">
        <v>6</v>
      </c>
      <c r="S10946" s="5">
        <v>62</v>
      </c>
    </row>
    <row r="10947" spans="1:19" ht="28" x14ac:dyDescent="0.15">
      <c r="A10947" s="2">
        <f>HYPERLINK("https://open-school.uspishnemisto.com.ua/school/560232/", 560232)</f>
        <v>560232</v>
      </c>
      <c r="B10947" s="3" t="s">
        <v>55452</v>
      </c>
      <c r="C10947" s="3" t="s">
        <v>54</v>
      </c>
      <c r="D10947" s="3" t="s">
        <v>60</v>
      </c>
      <c r="E10947" s="4" t="s">
        <v>22</v>
      </c>
      <c r="F10947" s="4" t="s">
        <v>55426</v>
      </c>
      <c r="G10947" s="4" t="s">
        <v>55453</v>
      </c>
      <c r="H10947" s="3" t="s">
        <v>54289</v>
      </c>
      <c r="I10947" s="3" t="s">
        <v>30416</v>
      </c>
      <c r="J10947" s="3" t="s">
        <v>27802</v>
      </c>
      <c r="K10947" s="3" t="s">
        <v>55454</v>
      </c>
      <c r="L10947" s="3"/>
      <c r="M10947" s="4"/>
      <c r="N10947" s="3" t="s">
        <v>37</v>
      </c>
      <c r="O10947" s="3" t="s">
        <v>46</v>
      </c>
      <c r="P10947" s="5">
        <v>0</v>
      </c>
      <c r="Q10947" s="5">
        <v>10</v>
      </c>
      <c r="R10947" s="5">
        <v>0</v>
      </c>
      <c r="S10947" s="5">
        <v>7</v>
      </c>
    </row>
    <row r="10948" spans="1:19" ht="28" x14ac:dyDescent="0.15">
      <c r="A10948" s="2">
        <f>HYPERLINK("https://open-school.uspishnemisto.com.ua/school/560233/", 560233)</f>
        <v>560233</v>
      </c>
      <c r="B10948" s="3" t="s">
        <v>55455</v>
      </c>
      <c r="C10948" s="3" t="s">
        <v>31</v>
      </c>
      <c r="D10948" s="3" t="s">
        <v>175</v>
      </c>
      <c r="E10948" s="4" t="s">
        <v>22</v>
      </c>
      <c r="F10948" s="4" t="s">
        <v>55333</v>
      </c>
      <c r="G10948" s="4" t="s">
        <v>55456</v>
      </c>
      <c r="H10948" s="3" t="s">
        <v>54289</v>
      </c>
      <c r="I10948" s="3" t="s">
        <v>55457</v>
      </c>
      <c r="J10948" s="3" t="s">
        <v>55458</v>
      </c>
      <c r="K10948" s="3"/>
      <c r="L10948" s="3" t="s">
        <v>55459</v>
      </c>
      <c r="M10948" s="4"/>
      <c r="N10948" s="3" t="s">
        <v>37</v>
      </c>
      <c r="O10948" s="3" t="s">
        <v>38</v>
      </c>
      <c r="P10948" s="5">
        <v>8</v>
      </c>
      <c r="Q10948" s="5">
        <v>49</v>
      </c>
      <c r="R10948" s="5">
        <v>7</v>
      </c>
      <c r="S10948" s="5">
        <v>46</v>
      </c>
    </row>
    <row r="10949" spans="1:19" ht="28" x14ac:dyDescent="0.15">
      <c r="A10949" s="2">
        <f>HYPERLINK("https://open-school.uspishnemisto.com.ua/school/560234/", 560234)</f>
        <v>560234</v>
      </c>
      <c r="B10949" s="3" t="s">
        <v>55460</v>
      </c>
      <c r="C10949" s="3" t="s">
        <v>31</v>
      </c>
      <c r="D10949" s="3" t="s">
        <v>175</v>
      </c>
      <c r="E10949" s="4" t="s">
        <v>22</v>
      </c>
      <c r="F10949" s="4" t="s">
        <v>55461</v>
      </c>
      <c r="G10949" s="4" t="s">
        <v>55462</v>
      </c>
      <c r="H10949" s="3" t="s">
        <v>54289</v>
      </c>
      <c r="I10949" s="3" t="s">
        <v>5437</v>
      </c>
      <c r="J10949" s="3" t="s">
        <v>634</v>
      </c>
      <c r="K10949" s="3" t="s">
        <v>55463</v>
      </c>
      <c r="L10949" s="3"/>
      <c r="M10949" s="4"/>
      <c r="N10949" s="3" t="s">
        <v>37</v>
      </c>
      <c r="O10949" s="3" t="s">
        <v>38</v>
      </c>
      <c r="P10949" s="5">
        <v>9</v>
      </c>
      <c r="Q10949" s="5">
        <v>141</v>
      </c>
      <c r="R10949" s="5">
        <v>9</v>
      </c>
      <c r="S10949" s="5">
        <v>141</v>
      </c>
    </row>
    <row r="10950" spans="1:19" ht="28" x14ac:dyDescent="0.15">
      <c r="A10950" s="2">
        <f>HYPERLINK("https://open-school.uspishnemisto.com.ua/school/560235/", 560235)</f>
        <v>560235</v>
      </c>
      <c r="B10950" s="3" t="s">
        <v>55464</v>
      </c>
      <c r="C10950" s="3" t="s">
        <v>31</v>
      </c>
      <c r="D10950" s="3" t="s">
        <v>32</v>
      </c>
      <c r="E10950" s="4" t="s">
        <v>22</v>
      </c>
      <c r="F10950" s="4" t="s">
        <v>55465</v>
      </c>
      <c r="G10950" s="4" t="s">
        <v>55466</v>
      </c>
      <c r="H10950" s="3" t="s">
        <v>54289</v>
      </c>
      <c r="I10950" s="3" t="s">
        <v>55467</v>
      </c>
      <c r="J10950" s="3" t="s">
        <v>1770</v>
      </c>
      <c r="K10950" s="3" t="s">
        <v>55468</v>
      </c>
      <c r="L10950" s="3" t="s">
        <v>55469</v>
      </c>
      <c r="M10950" s="4"/>
      <c r="N10950" s="3" t="s">
        <v>37</v>
      </c>
      <c r="O10950" s="3" t="s">
        <v>52</v>
      </c>
      <c r="P10950" s="5">
        <v>10</v>
      </c>
      <c r="Q10950" s="5">
        <v>123</v>
      </c>
      <c r="R10950" s="5">
        <v>11</v>
      </c>
      <c r="S10950" s="5">
        <v>121</v>
      </c>
    </row>
    <row r="10951" spans="1:19" ht="42" x14ac:dyDescent="0.15">
      <c r="A10951" s="2">
        <f>HYPERLINK("https://open-school.uspishnemisto.com.ua/school/560236/", 560236)</f>
        <v>560236</v>
      </c>
      <c r="B10951" s="3" t="s">
        <v>55470</v>
      </c>
      <c r="C10951" s="3" t="s">
        <v>54</v>
      </c>
      <c r="D10951" s="3" t="s">
        <v>175</v>
      </c>
      <c r="E10951" s="4" t="s">
        <v>22</v>
      </c>
      <c r="F10951" s="4" t="s">
        <v>55471</v>
      </c>
      <c r="G10951" s="4" t="s">
        <v>55472</v>
      </c>
      <c r="H10951" s="3" t="s">
        <v>54289</v>
      </c>
      <c r="I10951" s="3" t="s">
        <v>55473</v>
      </c>
      <c r="J10951" s="3" t="s">
        <v>447</v>
      </c>
      <c r="K10951" s="3" t="s">
        <v>55474</v>
      </c>
      <c r="L10951" s="3" t="s">
        <v>55475</v>
      </c>
      <c r="M10951" s="4"/>
      <c r="N10951" s="3" t="s">
        <v>37</v>
      </c>
      <c r="O10951" s="3" t="s">
        <v>46</v>
      </c>
      <c r="P10951" s="5">
        <v>9</v>
      </c>
      <c r="Q10951" s="5">
        <v>56</v>
      </c>
      <c r="R10951" s="5">
        <v>7</v>
      </c>
      <c r="S10951" s="5">
        <v>53</v>
      </c>
    </row>
    <row r="10952" spans="1:19" ht="42" x14ac:dyDescent="0.15">
      <c r="A10952" s="2">
        <f>HYPERLINK("https://open-school.uspishnemisto.com.ua/school/560237/", 560237)</f>
        <v>560237</v>
      </c>
      <c r="B10952" s="3" t="s">
        <v>55476</v>
      </c>
      <c r="C10952" s="3" t="s">
        <v>54</v>
      </c>
      <c r="D10952" s="3" t="s">
        <v>32</v>
      </c>
      <c r="E10952" s="4" t="s">
        <v>22</v>
      </c>
      <c r="F10952" s="4" t="s">
        <v>55477</v>
      </c>
      <c r="G10952" s="4" t="s">
        <v>55478</v>
      </c>
      <c r="H10952" s="3" t="s">
        <v>54289</v>
      </c>
      <c r="I10952" s="3" t="s">
        <v>35363</v>
      </c>
      <c r="J10952" s="3" t="s">
        <v>3106</v>
      </c>
      <c r="K10952" s="3" t="s">
        <v>55479</v>
      </c>
      <c r="L10952" s="3"/>
      <c r="M10952" s="4" t="s">
        <v>55480</v>
      </c>
      <c r="N10952" s="3" t="s">
        <v>37</v>
      </c>
      <c r="O10952" s="3" t="s">
        <v>129</v>
      </c>
      <c r="P10952" s="5">
        <v>14</v>
      </c>
      <c r="Q10952" s="5">
        <v>164</v>
      </c>
      <c r="R10952" s="5">
        <v>12</v>
      </c>
      <c r="S10952" s="5">
        <v>141</v>
      </c>
    </row>
    <row r="10953" spans="1:19" ht="28" x14ac:dyDescent="0.15">
      <c r="A10953" s="2">
        <f>HYPERLINK("https://open-school.uspishnemisto.com.ua/school/560238/", 560238)</f>
        <v>560238</v>
      </c>
      <c r="B10953" s="3" t="s">
        <v>55481</v>
      </c>
      <c r="C10953" s="3" t="s">
        <v>54</v>
      </c>
      <c r="D10953" s="3" t="s">
        <v>175</v>
      </c>
      <c r="E10953" s="4" t="s">
        <v>22</v>
      </c>
      <c r="F10953" s="4" t="s">
        <v>54457</v>
      </c>
      <c r="G10953" s="4" t="s">
        <v>55482</v>
      </c>
      <c r="H10953" s="3" t="s">
        <v>54289</v>
      </c>
      <c r="I10953" s="3" t="s">
        <v>55483</v>
      </c>
      <c r="J10953" s="3" t="s">
        <v>2820</v>
      </c>
      <c r="K10953" s="3"/>
      <c r="L10953" s="3"/>
      <c r="M10953" s="4"/>
      <c r="N10953" s="3" t="s">
        <v>37</v>
      </c>
      <c r="O10953" s="3" t="s">
        <v>46</v>
      </c>
      <c r="P10953" s="5">
        <v>9</v>
      </c>
      <c r="Q10953" s="5">
        <v>53</v>
      </c>
      <c r="R10953" s="5">
        <v>9</v>
      </c>
      <c r="S10953" s="5">
        <v>52</v>
      </c>
    </row>
    <row r="10954" spans="1:19" ht="42" x14ac:dyDescent="0.15">
      <c r="A10954" s="2">
        <f>HYPERLINK("https://open-school.uspishnemisto.com.ua/school/560239/", 560239)</f>
        <v>560239</v>
      </c>
      <c r="B10954" s="3" t="s">
        <v>55484</v>
      </c>
      <c r="C10954" s="3" t="s">
        <v>54</v>
      </c>
      <c r="D10954" s="3" t="s">
        <v>175</v>
      </c>
      <c r="E10954" s="4" t="s">
        <v>22</v>
      </c>
      <c r="F10954" s="4" t="s">
        <v>54474</v>
      </c>
      <c r="G10954" s="4" t="s">
        <v>55485</v>
      </c>
      <c r="H10954" s="3" t="s">
        <v>54289</v>
      </c>
      <c r="I10954" s="3" t="s">
        <v>3581</v>
      </c>
      <c r="J10954" s="3" t="s">
        <v>1140</v>
      </c>
      <c r="K10954" s="3"/>
      <c r="L10954" s="3"/>
      <c r="M10954" s="4"/>
      <c r="N10954" s="3" t="s">
        <v>37</v>
      </c>
      <c r="O10954" s="3" t="s">
        <v>46</v>
      </c>
      <c r="P10954" s="5">
        <v>3</v>
      </c>
      <c r="Q10954" s="5">
        <v>32</v>
      </c>
      <c r="R10954" s="5">
        <v>4</v>
      </c>
      <c r="S10954" s="5">
        <v>34</v>
      </c>
    </row>
    <row r="10955" spans="1:19" ht="28" x14ac:dyDescent="0.15">
      <c r="A10955" s="2">
        <f>HYPERLINK("https://open-school.uspishnemisto.com.ua/school/560240/", 560240)</f>
        <v>560240</v>
      </c>
      <c r="B10955" s="3" t="s">
        <v>55486</v>
      </c>
      <c r="C10955" s="3" t="s">
        <v>31</v>
      </c>
      <c r="D10955" s="3" t="s">
        <v>32</v>
      </c>
      <c r="E10955" s="4" t="s">
        <v>22</v>
      </c>
      <c r="F10955" s="4" t="s">
        <v>54474</v>
      </c>
      <c r="G10955" s="4" t="s">
        <v>55487</v>
      </c>
      <c r="H10955" s="3" t="s">
        <v>54289</v>
      </c>
      <c r="I10955" s="3" t="s">
        <v>5965</v>
      </c>
      <c r="J10955" s="3" t="s">
        <v>55488</v>
      </c>
      <c r="K10955" s="3" t="s">
        <v>55489</v>
      </c>
      <c r="L10955" s="3" t="s">
        <v>55490</v>
      </c>
      <c r="M10955" s="4"/>
      <c r="N10955" s="3" t="s">
        <v>37</v>
      </c>
      <c r="O10955" s="3" t="s">
        <v>46</v>
      </c>
      <c r="P10955" s="5">
        <v>11</v>
      </c>
      <c r="Q10955" s="5">
        <v>72</v>
      </c>
      <c r="R10955" s="5">
        <v>11</v>
      </c>
      <c r="S10955" s="5">
        <v>77</v>
      </c>
    </row>
    <row r="10956" spans="1:19" ht="28" x14ac:dyDescent="0.15">
      <c r="A10956" s="2">
        <f>HYPERLINK("https://open-school.uspishnemisto.com.ua/school/560241/", 560241)</f>
        <v>560241</v>
      </c>
      <c r="B10956" s="3" t="s">
        <v>55491</v>
      </c>
      <c r="C10956" s="3" t="s">
        <v>31</v>
      </c>
      <c r="D10956" s="3" t="s">
        <v>32</v>
      </c>
      <c r="E10956" s="4" t="s">
        <v>22</v>
      </c>
      <c r="F10956" s="4" t="s">
        <v>43951</v>
      </c>
      <c r="G10956" s="4" t="s">
        <v>55492</v>
      </c>
      <c r="H10956" s="3" t="s">
        <v>54289</v>
      </c>
      <c r="I10956" s="3" t="s">
        <v>55493</v>
      </c>
      <c r="J10956" s="3" t="s">
        <v>3399</v>
      </c>
      <c r="K10956" s="3" t="s">
        <v>55494</v>
      </c>
      <c r="L10956" s="3"/>
      <c r="M10956" s="4"/>
      <c r="N10956" s="3" t="s">
        <v>37</v>
      </c>
      <c r="O10956" s="3" t="s">
        <v>46</v>
      </c>
      <c r="P10956" s="5">
        <v>11</v>
      </c>
      <c r="Q10956" s="5">
        <v>129</v>
      </c>
      <c r="R10956" s="5">
        <v>11</v>
      </c>
      <c r="S10956" s="5">
        <v>133</v>
      </c>
    </row>
    <row r="10957" spans="1:19" ht="28" x14ac:dyDescent="0.15">
      <c r="A10957" s="2">
        <f>HYPERLINK("https://open-school.uspishnemisto.com.ua/school/560242/", 560242)</f>
        <v>560242</v>
      </c>
      <c r="B10957" s="3" t="s">
        <v>55495</v>
      </c>
      <c r="C10957" s="3" t="s">
        <v>31</v>
      </c>
      <c r="D10957" s="3" t="s">
        <v>32</v>
      </c>
      <c r="E10957" s="4" t="s">
        <v>22</v>
      </c>
      <c r="F10957" s="4" t="s">
        <v>55496</v>
      </c>
      <c r="G10957" s="4" t="s">
        <v>55497</v>
      </c>
      <c r="H10957" s="3" t="s">
        <v>54289</v>
      </c>
      <c r="I10957" s="3" t="s">
        <v>55498</v>
      </c>
      <c r="J10957" s="3" t="s">
        <v>39264</v>
      </c>
      <c r="K10957" s="3" t="s">
        <v>55499</v>
      </c>
      <c r="L10957" s="3"/>
      <c r="M10957" s="4"/>
      <c r="N10957" s="3" t="s">
        <v>37</v>
      </c>
      <c r="O10957" s="3" t="s">
        <v>46</v>
      </c>
      <c r="P10957" s="5">
        <v>12</v>
      </c>
      <c r="Q10957" s="5">
        <v>203</v>
      </c>
      <c r="R10957" s="5">
        <v>11</v>
      </c>
      <c r="S10957" s="5">
        <v>200</v>
      </c>
    </row>
    <row r="10958" spans="1:19" ht="28" x14ac:dyDescent="0.15">
      <c r="A10958" s="2">
        <f>HYPERLINK("https://open-school.uspishnemisto.com.ua/school/560243/", 560243)</f>
        <v>560243</v>
      </c>
      <c r="B10958" s="3" t="s">
        <v>55500</v>
      </c>
      <c r="C10958" s="3" t="s">
        <v>31</v>
      </c>
      <c r="D10958" s="3" t="s">
        <v>175</v>
      </c>
      <c r="E10958" s="4" t="s">
        <v>22</v>
      </c>
      <c r="F10958" s="4" t="s">
        <v>55501</v>
      </c>
      <c r="G10958" s="4" t="s">
        <v>55502</v>
      </c>
      <c r="H10958" s="3" t="s">
        <v>54289</v>
      </c>
      <c r="I10958" s="3" t="s">
        <v>55503</v>
      </c>
      <c r="J10958" s="3" t="s">
        <v>2191</v>
      </c>
      <c r="K10958" s="3" t="s">
        <v>55504</v>
      </c>
      <c r="L10958" s="3"/>
      <c r="M10958" s="4"/>
      <c r="N10958" s="3" t="s">
        <v>37</v>
      </c>
      <c r="O10958" s="3" t="s">
        <v>46</v>
      </c>
      <c r="P10958" s="5">
        <v>9</v>
      </c>
      <c r="Q10958" s="5">
        <v>113</v>
      </c>
      <c r="R10958" s="5">
        <v>9</v>
      </c>
      <c r="S10958" s="5">
        <v>106</v>
      </c>
    </row>
    <row r="10959" spans="1:19" ht="28" x14ac:dyDescent="0.15">
      <c r="A10959" s="2">
        <f>HYPERLINK("https://open-school.uspishnemisto.com.ua/school/560246/", 560246)</f>
        <v>560246</v>
      </c>
      <c r="B10959" s="3" t="s">
        <v>55505</v>
      </c>
      <c r="C10959" s="3" t="s">
        <v>31</v>
      </c>
      <c r="D10959" s="3" t="s">
        <v>32</v>
      </c>
      <c r="E10959" s="4" t="s">
        <v>22</v>
      </c>
      <c r="F10959" s="4" t="s">
        <v>55506</v>
      </c>
      <c r="G10959" s="4" t="s">
        <v>55507</v>
      </c>
      <c r="H10959" s="3" t="s">
        <v>54289</v>
      </c>
      <c r="I10959" s="3" t="s">
        <v>55508</v>
      </c>
      <c r="J10959" s="3" t="s">
        <v>33399</v>
      </c>
      <c r="K10959" s="3" t="s">
        <v>55509</v>
      </c>
      <c r="L10959" s="3"/>
      <c r="M10959" s="4"/>
      <c r="N10959" s="3" t="s">
        <v>37</v>
      </c>
      <c r="O10959" s="3" t="s">
        <v>46</v>
      </c>
      <c r="P10959" s="5">
        <v>11</v>
      </c>
      <c r="Q10959" s="5">
        <v>104</v>
      </c>
      <c r="R10959" s="5">
        <v>11</v>
      </c>
      <c r="S10959" s="5">
        <v>113</v>
      </c>
    </row>
    <row r="10960" spans="1:19" ht="28" x14ac:dyDescent="0.15">
      <c r="A10960" s="2">
        <f>HYPERLINK("https://open-school.uspishnemisto.com.ua/school/560247/", 560247)</f>
        <v>560247</v>
      </c>
      <c r="B10960" s="3" t="s">
        <v>55510</v>
      </c>
      <c r="C10960" s="3" t="s">
        <v>31</v>
      </c>
      <c r="D10960" s="3" t="s">
        <v>32</v>
      </c>
      <c r="E10960" s="4" t="s">
        <v>22</v>
      </c>
      <c r="F10960" s="4" t="s">
        <v>55511</v>
      </c>
      <c r="G10960" s="4" t="s">
        <v>55512</v>
      </c>
      <c r="H10960" s="3" t="s">
        <v>54289</v>
      </c>
      <c r="I10960" s="3" t="s">
        <v>5836</v>
      </c>
      <c r="J10960" s="3" t="s">
        <v>55513</v>
      </c>
      <c r="K10960" s="3" t="s">
        <v>55514</v>
      </c>
      <c r="L10960" s="3"/>
      <c r="M10960" s="4"/>
      <c r="N10960" s="3" t="s">
        <v>37</v>
      </c>
      <c r="O10960" s="3" t="s">
        <v>70</v>
      </c>
      <c r="P10960" s="5">
        <v>17</v>
      </c>
      <c r="Q10960" s="5">
        <v>283</v>
      </c>
      <c r="R10960" s="5">
        <v>16</v>
      </c>
      <c r="S10960" s="5">
        <v>274</v>
      </c>
    </row>
    <row r="10961" spans="1:19" ht="28" x14ac:dyDescent="0.15">
      <c r="A10961" s="2">
        <f>HYPERLINK("https://open-school.uspishnemisto.com.ua/school/560248/", 560248)</f>
        <v>560248</v>
      </c>
      <c r="B10961" s="3" t="s">
        <v>55515</v>
      </c>
      <c r="C10961" s="3" t="s">
        <v>31</v>
      </c>
      <c r="D10961" s="3" t="s">
        <v>32</v>
      </c>
      <c r="E10961" s="4" t="s">
        <v>22</v>
      </c>
      <c r="F10961" s="4" t="s">
        <v>55511</v>
      </c>
      <c r="G10961" s="4" t="s">
        <v>55512</v>
      </c>
      <c r="H10961" s="3" t="s">
        <v>54289</v>
      </c>
      <c r="I10961" s="3" t="s">
        <v>5836</v>
      </c>
      <c r="J10961" s="3" t="s">
        <v>55516</v>
      </c>
      <c r="K10961" s="3" t="s">
        <v>55517</v>
      </c>
      <c r="L10961" s="3"/>
      <c r="M10961" s="4"/>
      <c r="N10961" s="3" t="s">
        <v>37</v>
      </c>
      <c r="O10961" s="3" t="s">
        <v>46</v>
      </c>
      <c r="P10961" s="5">
        <v>21</v>
      </c>
      <c r="Q10961" s="5">
        <v>442</v>
      </c>
      <c r="R10961" s="5">
        <v>20</v>
      </c>
      <c r="S10961" s="5">
        <v>428</v>
      </c>
    </row>
    <row r="10962" spans="1:19" ht="28" x14ac:dyDescent="0.15">
      <c r="A10962" s="2">
        <f>HYPERLINK("https://open-school.uspishnemisto.com.ua/school/560249/", 560249)</f>
        <v>560249</v>
      </c>
      <c r="B10962" s="3" t="s">
        <v>55518</v>
      </c>
      <c r="C10962" s="3" t="s">
        <v>54</v>
      </c>
      <c r="D10962" s="3" t="s">
        <v>32</v>
      </c>
      <c r="E10962" s="4" t="s">
        <v>22</v>
      </c>
      <c r="F10962" s="4" t="s">
        <v>55511</v>
      </c>
      <c r="G10962" s="4" t="s">
        <v>55512</v>
      </c>
      <c r="H10962" s="3" t="s">
        <v>54289</v>
      </c>
      <c r="I10962" s="3" t="s">
        <v>5836</v>
      </c>
      <c r="J10962" s="3" t="s">
        <v>55519</v>
      </c>
      <c r="K10962" s="3" t="s">
        <v>55520</v>
      </c>
      <c r="L10962" s="3"/>
      <c r="M10962" s="4"/>
      <c r="N10962" s="3" t="s">
        <v>37</v>
      </c>
      <c r="O10962" s="3" t="s">
        <v>46</v>
      </c>
      <c r="P10962" s="5">
        <v>23</v>
      </c>
      <c r="Q10962" s="5">
        <v>541</v>
      </c>
      <c r="R10962" s="5">
        <v>24</v>
      </c>
      <c r="S10962" s="5">
        <v>550</v>
      </c>
    </row>
    <row r="10963" spans="1:19" ht="28" x14ac:dyDescent="0.15">
      <c r="A10963" s="2">
        <f>HYPERLINK("https://open-school.uspishnemisto.com.ua/school/560250/", 560250)</f>
        <v>560250</v>
      </c>
      <c r="B10963" s="3" t="s">
        <v>55521</v>
      </c>
      <c r="C10963" s="3" t="s">
        <v>31</v>
      </c>
      <c r="D10963" s="3" t="s">
        <v>32</v>
      </c>
      <c r="E10963" s="4" t="s">
        <v>22</v>
      </c>
      <c r="F10963" s="4" t="s">
        <v>55522</v>
      </c>
      <c r="G10963" s="4" t="s">
        <v>55523</v>
      </c>
      <c r="H10963" s="3" t="s">
        <v>54289</v>
      </c>
      <c r="I10963" s="3" t="s">
        <v>55524</v>
      </c>
      <c r="J10963" s="3" t="s">
        <v>55525</v>
      </c>
      <c r="K10963" s="3" t="s">
        <v>55526</v>
      </c>
      <c r="L10963" s="3" t="s">
        <v>55527</v>
      </c>
      <c r="M10963" s="4"/>
      <c r="N10963" s="3" t="s">
        <v>37</v>
      </c>
      <c r="O10963" s="3" t="s">
        <v>38</v>
      </c>
      <c r="P10963" s="5">
        <v>11</v>
      </c>
      <c r="Q10963" s="5">
        <v>178</v>
      </c>
      <c r="R10963" s="5">
        <v>11</v>
      </c>
      <c r="S10963" s="5">
        <v>185</v>
      </c>
    </row>
    <row r="10964" spans="1:19" ht="42" x14ac:dyDescent="0.15">
      <c r="A10964" s="2">
        <f>HYPERLINK("https://open-school.uspishnemisto.com.ua/school/560251/", 560251)</f>
        <v>560251</v>
      </c>
      <c r="B10964" s="3" t="s">
        <v>55528</v>
      </c>
      <c r="C10964" s="3" t="s">
        <v>54</v>
      </c>
      <c r="D10964" s="3" t="s">
        <v>32</v>
      </c>
      <c r="E10964" s="4" t="s">
        <v>22</v>
      </c>
      <c r="F10964" s="4" t="s">
        <v>55529</v>
      </c>
      <c r="G10964" s="4" t="s">
        <v>55530</v>
      </c>
      <c r="H10964" s="3" t="s">
        <v>54289</v>
      </c>
      <c r="I10964" s="3" t="s">
        <v>7597</v>
      </c>
      <c r="J10964" s="3" t="s">
        <v>5644</v>
      </c>
      <c r="K10964" s="3" t="s">
        <v>55531</v>
      </c>
      <c r="L10964" s="3"/>
      <c r="M10964" s="4"/>
      <c r="N10964" s="3" t="s">
        <v>37</v>
      </c>
      <c r="O10964" s="3" t="s">
        <v>38</v>
      </c>
      <c r="P10964" s="5">
        <v>10</v>
      </c>
      <c r="Q10964" s="5">
        <v>111</v>
      </c>
      <c r="R10964" s="5">
        <v>9</v>
      </c>
      <c r="S10964" s="5">
        <v>98</v>
      </c>
    </row>
    <row r="10965" spans="1:19" ht="28" x14ac:dyDescent="0.15">
      <c r="A10965" s="2">
        <f>HYPERLINK("https://open-school.uspishnemisto.com.ua/school/560252/", 560252)</f>
        <v>560252</v>
      </c>
      <c r="B10965" s="3" t="s">
        <v>55532</v>
      </c>
      <c r="C10965" s="3" t="s">
        <v>54</v>
      </c>
      <c r="D10965" s="3" t="s">
        <v>175</v>
      </c>
      <c r="E10965" s="4" t="s">
        <v>22</v>
      </c>
      <c r="F10965" s="4" t="s">
        <v>55533</v>
      </c>
      <c r="G10965" s="4" t="s">
        <v>55534</v>
      </c>
      <c r="H10965" s="3" t="s">
        <v>54289</v>
      </c>
      <c r="I10965" s="3" t="s">
        <v>2404</v>
      </c>
      <c r="J10965" s="3" t="s">
        <v>55535</v>
      </c>
      <c r="K10965" s="3"/>
      <c r="L10965" s="3"/>
      <c r="M10965" s="4"/>
      <c r="N10965" s="3" t="s">
        <v>37</v>
      </c>
      <c r="O10965" s="3" t="s">
        <v>46</v>
      </c>
      <c r="P10965" s="5">
        <v>9</v>
      </c>
      <c r="Q10965" s="5">
        <v>91</v>
      </c>
      <c r="R10965" s="5">
        <v>9</v>
      </c>
      <c r="S10965" s="5">
        <v>89</v>
      </c>
    </row>
    <row r="10966" spans="1:19" ht="70" x14ac:dyDescent="0.15">
      <c r="A10966" s="2">
        <f>HYPERLINK("https://open-school.uspishnemisto.com.ua/school/560253/", 560253)</f>
        <v>560253</v>
      </c>
      <c r="B10966" s="3" t="s">
        <v>55536</v>
      </c>
      <c r="C10966" s="3" t="s">
        <v>54</v>
      </c>
      <c r="D10966" s="3" t="s">
        <v>32</v>
      </c>
      <c r="E10966" s="4" t="s">
        <v>22</v>
      </c>
      <c r="F10966" s="4" t="s">
        <v>55537</v>
      </c>
      <c r="G10966" s="4" t="s">
        <v>55538</v>
      </c>
      <c r="H10966" s="3" t="s">
        <v>54289</v>
      </c>
      <c r="I10966" s="3" t="s">
        <v>55539</v>
      </c>
      <c r="J10966" s="3" t="s">
        <v>1636</v>
      </c>
      <c r="K10966" s="3" t="s">
        <v>55540</v>
      </c>
      <c r="L10966" s="3" t="s">
        <v>55541</v>
      </c>
      <c r="M10966" s="4"/>
      <c r="N10966" s="3" t="s">
        <v>37</v>
      </c>
      <c r="O10966" s="3" t="s">
        <v>70</v>
      </c>
      <c r="P10966" s="5">
        <v>11</v>
      </c>
      <c r="Q10966" s="5">
        <v>71</v>
      </c>
      <c r="R10966" s="5">
        <v>11</v>
      </c>
      <c r="S10966" s="5">
        <v>81</v>
      </c>
    </row>
    <row r="10967" spans="1:19" ht="42" x14ac:dyDescent="0.15">
      <c r="A10967" s="2">
        <f>HYPERLINK("https://open-school.uspishnemisto.com.ua/school/560254/", 560254)</f>
        <v>560254</v>
      </c>
      <c r="B10967" s="3" t="s">
        <v>55542</v>
      </c>
      <c r="C10967" s="3" t="s">
        <v>54</v>
      </c>
      <c r="D10967" s="3" t="s">
        <v>32</v>
      </c>
      <c r="E10967" s="4" t="s">
        <v>22</v>
      </c>
      <c r="F10967" s="4" t="s">
        <v>55543</v>
      </c>
      <c r="G10967" s="4" t="s">
        <v>55544</v>
      </c>
      <c r="H10967" s="3" t="s">
        <v>54289</v>
      </c>
      <c r="I10967" s="3" t="s">
        <v>55545</v>
      </c>
      <c r="J10967" s="3" t="s">
        <v>1636</v>
      </c>
      <c r="K10967" s="3" t="s">
        <v>55546</v>
      </c>
      <c r="L10967" s="3"/>
      <c r="M10967" s="4"/>
      <c r="N10967" s="3" t="s">
        <v>37</v>
      </c>
      <c r="O10967" s="3" t="s">
        <v>46</v>
      </c>
      <c r="P10967" s="5">
        <v>18</v>
      </c>
      <c r="Q10967" s="5">
        <v>313</v>
      </c>
      <c r="R10967" s="5">
        <v>17</v>
      </c>
      <c r="S10967" s="5">
        <v>300</v>
      </c>
    </row>
    <row r="10968" spans="1:19" ht="70" x14ac:dyDescent="0.15">
      <c r="A10968" s="2">
        <f>HYPERLINK("https://open-school.uspishnemisto.com.ua/school/560255/", 560255)</f>
        <v>560255</v>
      </c>
      <c r="B10968" s="3" t="s">
        <v>55547</v>
      </c>
      <c r="C10968" s="3" t="s">
        <v>54</v>
      </c>
      <c r="D10968" s="3" t="s">
        <v>32</v>
      </c>
      <c r="E10968" s="4" t="s">
        <v>22</v>
      </c>
      <c r="F10968" s="4" t="s">
        <v>55548</v>
      </c>
      <c r="G10968" s="4" t="s">
        <v>55549</v>
      </c>
      <c r="H10968" s="3" t="s">
        <v>54289</v>
      </c>
      <c r="I10968" s="3" t="s">
        <v>55550</v>
      </c>
      <c r="J10968" s="3" t="s">
        <v>55551</v>
      </c>
      <c r="K10968" s="3" t="s">
        <v>55552</v>
      </c>
      <c r="L10968" s="3" t="s">
        <v>55553</v>
      </c>
      <c r="M10968" s="4"/>
      <c r="N10968" s="3" t="s">
        <v>37</v>
      </c>
      <c r="O10968" s="3" t="s">
        <v>38</v>
      </c>
      <c r="P10968" s="5">
        <v>11</v>
      </c>
      <c r="Q10968" s="5">
        <v>160</v>
      </c>
      <c r="R10968" s="5">
        <v>12</v>
      </c>
      <c r="S10968" s="5">
        <v>160</v>
      </c>
    </row>
    <row r="10969" spans="1:19" ht="28" x14ac:dyDescent="0.15">
      <c r="A10969" s="2">
        <f>HYPERLINK("https://open-school.uspishnemisto.com.ua/school/560256/", 560256)</f>
        <v>560256</v>
      </c>
      <c r="B10969" s="3" t="s">
        <v>55554</v>
      </c>
      <c r="C10969" s="3" t="s">
        <v>31</v>
      </c>
      <c r="D10969" s="3" t="s">
        <v>32</v>
      </c>
      <c r="E10969" s="4" t="s">
        <v>22</v>
      </c>
      <c r="F10969" s="4" t="s">
        <v>55555</v>
      </c>
      <c r="G10969" s="4" t="s">
        <v>55556</v>
      </c>
      <c r="H10969" s="3" t="s">
        <v>54289</v>
      </c>
      <c r="I10969" s="3" t="s">
        <v>7387</v>
      </c>
      <c r="J10969" s="3" t="s">
        <v>55557</v>
      </c>
      <c r="K10969" s="3" t="s">
        <v>55558</v>
      </c>
      <c r="L10969" s="3" t="s">
        <v>55559</v>
      </c>
      <c r="M10969" s="4"/>
      <c r="N10969" s="3" t="s">
        <v>37</v>
      </c>
      <c r="O10969" s="3" t="s">
        <v>70</v>
      </c>
      <c r="P10969" s="5">
        <v>11</v>
      </c>
      <c r="Q10969" s="5">
        <v>181</v>
      </c>
      <c r="R10969" s="5">
        <v>11</v>
      </c>
      <c r="S10969" s="5">
        <v>186</v>
      </c>
    </row>
    <row r="10970" spans="1:19" ht="42" x14ac:dyDescent="0.15">
      <c r="A10970" s="2">
        <f>HYPERLINK("https://open-school.uspishnemisto.com.ua/school/560257/", 560257)</f>
        <v>560257</v>
      </c>
      <c r="B10970" s="3" t="s">
        <v>55560</v>
      </c>
      <c r="C10970" s="3" t="s">
        <v>54</v>
      </c>
      <c r="D10970" s="3" t="s">
        <v>175</v>
      </c>
      <c r="E10970" s="4" t="s">
        <v>22</v>
      </c>
      <c r="F10970" s="4" t="s">
        <v>55561</v>
      </c>
      <c r="G10970" s="4" t="s">
        <v>55562</v>
      </c>
      <c r="H10970" s="3" t="s">
        <v>54289</v>
      </c>
      <c r="I10970" s="3" t="s">
        <v>3046</v>
      </c>
      <c r="J10970" s="3" t="s">
        <v>55563</v>
      </c>
      <c r="K10970" s="3" t="s">
        <v>55564</v>
      </c>
      <c r="L10970" s="3"/>
      <c r="M10970" s="4"/>
      <c r="N10970" s="3" t="s">
        <v>37</v>
      </c>
      <c r="O10970" s="3" t="s">
        <v>46</v>
      </c>
      <c r="P10970" s="5">
        <v>8</v>
      </c>
      <c r="Q10970" s="5">
        <v>61</v>
      </c>
      <c r="R10970" s="5">
        <v>8</v>
      </c>
      <c r="S10970" s="5">
        <v>64</v>
      </c>
    </row>
    <row r="10971" spans="1:19" ht="42" x14ac:dyDescent="0.15">
      <c r="A10971" s="2">
        <f>HYPERLINK("https://open-school.uspishnemisto.com.ua/school/560258/", 560258)</f>
        <v>560258</v>
      </c>
      <c r="B10971" s="3" t="s">
        <v>55565</v>
      </c>
      <c r="C10971" s="3" t="s">
        <v>54</v>
      </c>
      <c r="D10971" s="3" t="s">
        <v>175</v>
      </c>
      <c r="E10971" s="4" t="s">
        <v>22</v>
      </c>
      <c r="F10971" s="4" t="s">
        <v>55566</v>
      </c>
      <c r="G10971" s="4" t="s">
        <v>55567</v>
      </c>
      <c r="H10971" s="3" t="s">
        <v>54289</v>
      </c>
      <c r="I10971" s="3" t="s">
        <v>55568</v>
      </c>
      <c r="J10971" s="3" t="s">
        <v>55569</v>
      </c>
      <c r="K10971" s="3" t="s">
        <v>55570</v>
      </c>
      <c r="L10971" s="3"/>
      <c r="M10971" s="4" t="s">
        <v>55571</v>
      </c>
      <c r="N10971" s="3" t="s">
        <v>37</v>
      </c>
      <c r="O10971" s="3" t="s">
        <v>46</v>
      </c>
      <c r="P10971" s="5">
        <v>9</v>
      </c>
      <c r="Q10971" s="5">
        <v>158</v>
      </c>
      <c r="R10971" s="5">
        <v>9</v>
      </c>
      <c r="S10971" s="5">
        <v>167</v>
      </c>
    </row>
    <row r="10972" spans="1:19" ht="28" x14ac:dyDescent="0.15">
      <c r="A10972" s="2">
        <f>HYPERLINK("https://open-school.uspishnemisto.com.ua/school/560259/", 560259)</f>
        <v>560259</v>
      </c>
      <c r="B10972" s="3" t="s">
        <v>55572</v>
      </c>
      <c r="C10972" s="3" t="s">
        <v>54</v>
      </c>
      <c r="D10972" s="3" t="s">
        <v>32</v>
      </c>
      <c r="E10972" s="4" t="s">
        <v>22</v>
      </c>
      <c r="F10972" s="4" t="s">
        <v>55573</v>
      </c>
      <c r="G10972" s="4" t="s">
        <v>55574</v>
      </c>
      <c r="H10972" s="3" t="s">
        <v>54289</v>
      </c>
      <c r="I10972" s="3" t="s">
        <v>3357</v>
      </c>
      <c r="J10972" s="3" t="s">
        <v>1747</v>
      </c>
      <c r="K10972" s="3" t="s">
        <v>55575</v>
      </c>
      <c r="L10972" s="3"/>
      <c r="M10972" s="4"/>
      <c r="N10972" s="3" t="s">
        <v>37</v>
      </c>
      <c r="O10972" s="3" t="s">
        <v>38</v>
      </c>
      <c r="P10972" s="5">
        <v>16</v>
      </c>
      <c r="Q10972" s="5">
        <v>277</v>
      </c>
      <c r="R10972" s="5">
        <v>16</v>
      </c>
      <c r="S10972" s="5">
        <v>277</v>
      </c>
    </row>
    <row r="10973" spans="1:19" ht="28" x14ac:dyDescent="0.15">
      <c r="A10973" s="2">
        <f>HYPERLINK("https://open-school.uspishnemisto.com.ua/school/560260/", 560260)</f>
        <v>560260</v>
      </c>
      <c r="B10973" s="3" t="s">
        <v>55576</v>
      </c>
      <c r="C10973" s="3" t="s">
        <v>54</v>
      </c>
      <c r="D10973" s="3" t="s">
        <v>32</v>
      </c>
      <c r="E10973" s="4" t="s">
        <v>22</v>
      </c>
      <c r="F10973" s="4" t="s">
        <v>55577</v>
      </c>
      <c r="G10973" s="4" t="s">
        <v>55578</v>
      </c>
      <c r="H10973" s="3" t="s">
        <v>54289</v>
      </c>
      <c r="I10973" s="3" t="s">
        <v>7404</v>
      </c>
      <c r="J10973" s="3" t="s">
        <v>55579</v>
      </c>
      <c r="K10973" s="3" t="s">
        <v>55580</v>
      </c>
      <c r="L10973" s="3"/>
      <c r="M10973" s="4"/>
      <c r="N10973" s="3" t="s">
        <v>37</v>
      </c>
      <c r="O10973" s="3" t="s">
        <v>70</v>
      </c>
      <c r="P10973" s="5">
        <v>14</v>
      </c>
      <c r="Q10973" s="5">
        <v>251</v>
      </c>
      <c r="R10973" s="5">
        <v>14</v>
      </c>
      <c r="S10973" s="5">
        <v>250</v>
      </c>
    </row>
    <row r="10974" spans="1:19" ht="42" x14ac:dyDescent="0.15">
      <c r="A10974" s="2">
        <f>HYPERLINK("https://open-school.uspishnemisto.com.ua/school/560261/", 560261)</f>
        <v>560261</v>
      </c>
      <c r="B10974" s="3" t="s">
        <v>55581</v>
      </c>
      <c r="C10974" s="3" t="s">
        <v>54</v>
      </c>
      <c r="D10974" s="3" t="s">
        <v>175</v>
      </c>
      <c r="E10974" s="4" t="s">
        <v>22</v>
      </c>
      <c r="F10974" s="4" t="s">
        <v>55577</v>
      </c>
      <c r="G10974" s="4" t="s">
        <v>55582</v>
      </c>
      <c r="H10974" s="3" t="s">
        <v>54289</v>
      </c>
      <c r="I10974" s="3" t="s">
        <v>55583</v>
      </c>
      <c r="J10974" s="3" t="s">
        <v>55584</v>
      </c>
      <c r="K10974" s="3"/>
      <c r="L10974" s="3"/>
      <c r="M10974" s="4"/>
      <c r="N10974" s="3" t="s">
        <v>37</v>
      </c>
      <c r="O10974" s="3" t="s">
        <v>38</v>
      </c>
      <c r="P10974" s="5">
        <v>9</v>
      </c>
      <c r="Q10974" s="5">
        <v>104</v>
      </c>
      <c r="R10974" s="5">
        <v>9</v>
      </c>
      <c r="S10974" s="5">
        <v>107</v>
      </c>
    </row>
    <row r="10975" spans="1:19" ht="28" x14ac:dyDescent="0.15">
      <c r="A10975" s="2">
        <f>HYPERLINK("https://open-school.uspishnemisto.com.ua/school/560262/", 560262)</f>
        <v>560262</v>
      </c>
      <c r="B10975" s="3" t="s">
        <v>55585</v>
      </c>
      <c r="C10975" s="3" t="s">
        <v>54</v>
      </c>
      <c r="D10975" s="3" t="s">
        <v>175</v>
      </c>
      <c r="E10975" s="4" t="s">
        <v>22</v>
      </c>
      <c r="F10975" s="4" t="s">
        <v>55586</v>
      </c>
      <c r="G10975" s="4" t="s">
        <v>55587</v>
      </c>
      <c r="H10975" s="3" t="s">
        <v>54289</v>
      </c>
      <c r="I10975" s="3" t="s">
        <v>500</v>
      </c>
      <c r="J10975" s="3" t="s">
        <v>55588</v>
      </c>
      <c r="K10975" s="3" t="s">
        <v>55589</v>
      </c>
      <c r="L10975" s="3"/>
      <c r="M10975" s="4"/>
      <c r="N10975" s="3" t="s">
        <v>37</v>
      </c>
      <c r="O10975" s="3" t="s">
        <v>70</v>
      </c>
      <c r="P10975" s="5">
        <v>7</v>
      </c>
      <c r="Q10975" s="5">
        <v>49</v>
      </c>
      <c r="R10975" s="5">
        <v>6</v>
      </c>
      <c r="S10975" s="5">
        <v>40</v>
      </c>
    </row>
    <row r="10976" spans="1:19" ht="42" x14ac:dyDescent="0.15">
      <c r="A10976" s="2">
        <f>HYPERLINK("https://open-school.uspishnemisto.com.ua/school/560263/", 560263)</f>
        <v>560263</v>
      </c>
      <c r="B10976" s="3" t="s">
        <v>55590</v>
      </c>
      <c r="C10976" s="3" t="s">
        <v>54</v>
      </c>
      <c r="D10976" s="3" t="s">
        <v>32</v>
      </c>
      <c r="E10976" s="4" t="s">
        <v>22</v>
      </c>
      <c r="F10976" s="4" t="s">
        <v>55591</v>
      </c>
      <c r="G10976" s="4" t="s">
        <v>55592</v>
      </c>
      <c r="H10976" s="3" t="s">
        <v>54289</v>
      </c>
      <c r="I10976" s="3" t="s">
        <v>55593</v>
      </c>
      <c r="J10976" s="3" t="s">
        <v>18253</v>
      </c>
      <c r="K10976" s="3" t="s">
        <v>55594</v>
      </c>
      <c r="L10976" s="3"/>
      <c r="M10976" s="4"/>
      <c r="N10976" s="3" t="s">
        <v>37</v>
      </c>
      <c r="O10976" s="3" t="s">
        <v>46</v>
      </c>
      <c r="P10976" s="5">
        <v>10</v>
      </c>
      <c r="Q10976" s="5">
        <v>61</v>
      </c>
      <c r="R10976" s="5">
        <v>10</v>
      </c>
      <c r="S10976" s="5">
        <v>69</v>
      </c>
    </row>
    <row r="10977" spans="1:19" ht="28" x14ac:dyDescent="0.15">
      <c r="A10977" s="2">
        <f>HYPERLINK("https://open-school.uspishnemisto.com.ua/school/560264/", 560264)</f>
        <v>560264</v>
      </c>
      <c r="B10977" s="3" t="s">
        <v>55595</v>
      </c>
      <c r="C10977" s="3" t="s">
        <v>31</v>
      </c>
      <c r="D10977" s="3" t="s">
        <v>32</v>
      </c>
      <c r="E10977" s="4" t="s">
        <v>22</v>
      </c>
      <c r="F10977" s="4" t="s">
        <v>15913</v>
      </c>
      <c r="G10977" s="4" t="s">
        <v>55596</v>
      </c>
      <c r="H10977" s="3" t="s">
        <v>54289</v>
      </c>
      <c r="I10977" s="3" t="s">
        <v>55597</v>
      </c>
      <c r="J10977" s="3" t="s">
        <v>1636</v>
      </c>
      <c r="K10977" s="3" t="s">
        <v>55598</v>
      </c>
      <c r="L10977" s="3" t="s">
        <v>55599</v>
      </c>
      <c r="M10977" s="4"/>
      <c r="N10977" s="3" t="s">
        <v>37</v>
      </c>
      <c r="O10977" s="3" t="s">
        <v>38</v>
      </c>
      <c r="P10977" s="5">
        <v>11</v>
      </c>
      <c r="Q10977" s="5">
        <v>148</v>
      </c>
      <c r="R10977" s="5">
        <v>11</v>
      </c>
      <c r="S10977" s="5">
        <v>149</v>
      </c>
    </row>
    <row r="10978" spans="1:19" ht="28" x14ac:dyDescent="0.15">
      <c r="A10978" s="2">
        <f>HYPERLINK("https://open-school.uspishnemisto.com.ua/school/560265/", 560265)</f>
        <v>560265</v>
      </c>
      <c r="B10978" s="3" t="s">
        <v>55600</v>
      </c>
      <c r="C10978" s="3" t="s">
        <v>31</v>
      </c>
      <c r="D10978" s="3" t="s">
        <v>175</v>
      </c>
      <c r="E10978" s="4" t="s">
        <v>22</v>
      </c>
      <c r="F10978" s="4" t="s">
        <v>55601</v>
      </c>
      <c r="G10978" s="4" t="s">
        <v>55602</v>
      </c>
      <c r="H10978" s="3" t="s">
        <v>54289</v>
      </c>
      <c r="I10978" s="3" t="s">
        <v>37595</v>
      </c>
      <c r="J10978" s="3" t="s">
        <v>7242</v>
      </c>
      <c r="K10978" s="3" t="s">
        <v>55603</v>
      </c>
      <c r="L10978" s="3"/>
      <c r="M10978" s="4"/>
      <c r="N10978" s="3" t="s">
        <v>37</v>
      </c>
      <c r="O10978" s="3" t="s">
        <v>70</v>
      </c>
      <c r="P10978" s="5">
        <v>9</v>
      </c>
      <c r="Q10978" s="5">
        <v>85</v>
      </c>
      <c r="R10978" s="5">
        <v>9</v>
      </c>
      <c r="S10978" s="5">
        <v>84</v>
      </c>
    </row>
    <row r="10979" spans="1:19" ht="42" x14ac:dyDescent="0.15">
      <c r="A10979" s="2">
        <f>HYPERLINK("https://open-school.uspishnemisto.com.ua/school/560266/", 560266)</f>
        <v>560266</v>
      </c>
      <c r="B10979" s="3" t="s">
        <v>55604</v>
      </c>
      <c r="C10979" s="3" t="s">
        <v>54</v>
      </c>
      <c r="D10979" s="3" t="s">
        <v>32</v>
      </c>
      <c r="E10979" s="4" t="s">
        <v>22</v>
      </c>
      <c r="F10979" s="4" t="s">
        <v>55605</v>
      </c>
      <c r="G10979" s="4" t="s">
        <v>55606</v>
      </c>
      <c r="H10979" s="3" t="s">
        <v>54289</v>
      </c>
      <c r="I10979" s="3" t="s">
        <v>55607</v>
      </c>
      <c r="J10979" s="3" t="s">
        <v>9314</v>
      </c>
      <c r="K10979" s="3" t="s">
        <v>55608</v>
      </c>
      <c r="L10979" s="3"/>
      <c r="M10979" s="4"/>
      <c r="N10979" s="3" t="s">
        <v>37</v>
      </c>
      <c r="O10979" s="3" t="s">
        <v>52</v>
      </c>
      <c r="P10979" s="5">
        <v>11</v>
      </c>
      <c r="Q10979" s="5">
        <v>123</v>
      </c>
      <c r="R10979" s="5">
        <v>11</v>
      </c>
      <c r="S10979" s="5">
        <v>125</v>
      </c>
    </row>
    <row r="10980" spans="1:19" ht="56" x14ac:dyDescent="0.15">
      <c r="A10980" s="2">
        <f>HYPERLINK("https://open-school.uspishnemisto.com.ua/school/560267/", 560267)</f>
        <v>560267</v>
      </c>
      <c r="B10980" s="3" t="s">
        <v>55609</v>
      </c>
      <c r="C10980" s="3" t="s">
        <v>54</v>
      </c>
      <c r="D10980" s="3" t="s">
        <v>32</v>
      </c>
      <c r="E10980" s="4" t="s">
        <v>22</v>
      </c>
      <c r="F10980" s="4" t="s">
        <v>55610</v>
      </c>
      <c r="G10980" s="4" t="s">
        <v>55611</v>
      </c>
      <c r="H10980" s="3" t="s">
        <v>54289</v>
      </c>
      <c r="I10980" s="3" t="s">
        <v>55612</v>
      </c>
      <c r="J10980" s="3" t="s">
        <v>55613</v>
      </c>
      <c r="K10980" s="3"/>
      <c r="L10980" s="3"/>
      <c r="M10980" s="4" t="s">
        <v>55614</v>
      </c>
      <c r="N10980" s="3" t="s">
        <v>37</v>
      </c>
      <c r="O10980" s="3" t="s">
        <v>38</v>
      </c>
      <c r="P10980" s="5">
        <v>15</v>
      </c>
      <c r="Q10980" s="5">
        <v>265</v>
      </c>
      <c r="R10980" s="5">
        <v>15</v>
      </c>
      <c r="S10980" s="5">
        <v>270</v>
      </c>
    </row>
    <row r="10981" spans="1:19" ht="42" x14ac:dyDescent="0.15">
      <c r="A10981" s="2">
        <f>HYPERLINK("https://open-school.uspishnemisto.com.ua/school/560268/", 560268)</f>
        <v>560268</v>
      </c>
      <c r="B10981" s="3" t="s">
        <v>55615</v>
      </c>
      <c r="C10981" s="3" t="s">
        <v>54</v>
      </c>
      <c r="D10981" s="3" t="s">
        <v>32</v>
      </c>
      <c r="E10981" s="4" t="s">
        <v>22</v>
      </c>
      <c r="F10981" s="4" t="s">
        <v>55616</v>
      </c>
      <c r="G10981" s="4" t="s">
        <v>55617</v>
      </c>
      <c r="H10981" s="3" t="s">
        <v>54289</v>
      </c>
      <c r="I10981" s="3" t="s">
        <v>55618</v>
      </c>
      <c r="J10981" s="3" t="s">
        <v>792</v>
      </c>
      <c r="K10981" s="3" t="s">
        <v>55619</v>
      </c>
      <c r="L10981" s="3"/>
      <c r="M10981" s="4"/>
      <c r="N10981" s="3" t="s">
        <v>37</v>
      </c>
      <c r="O10981" s="3" t="s">
        <v>46</v>
      </c>
      <c r="P10981" s="5">
        <v>11</v>
      </c>
      <c r="Q10981" s="5">
        <v>103</v>
      </c>
      <c r="R10981" s="5">
        <v>11</v>
      </c>
      <c r="S10981" s="5">
        <v>104</v>
      </c>
    </row>
    <row r="10982" spans="1:19" ht="28" x14ac:dyDescent="0.15">
      <c r="A10982" s="2">
        <f>HYPERLINK("https://open-school.uspishnemisto.com.ua/school/560269/", 560269)</f>
        <v>560269</v>
      </c>
      <c r="B10982" s="3" t="s">
        <v>55620</v>
      </c>
      <c r="C10982" s="3" t="s">
        <v>31</v>
      </c>
      <c r="D10982" s="3" t="s">
        <v>175</v>
      </c>
      <c r="E10982" s="4" t="s">
        <v>22</v>
      </c>
      <c r="F10982" s="4" t="s">
        <v>55616</v>
      </c>
      <c r="G10982" s="4" t="s">
        <v>55621</v>
      </c>
      <c r="H10982" s="3" t="s">
        <v>54289</v>
      </c>
      <c r="I10982" s="3" t="s">
        <v>55622</v>
      </c>
      <c r="J10982" s="3" t="s">
        <v>1360</v>
      </c>
      <c r="K10982" s="3" t="s">
        <v>55623</v>
      </c>
      <c r="L10982" s="3"/>
      <c r="M10982" s="4"/>
      <c r="N10982" s="3" t="s">
        <v>37</v>
      </c>
      <c r="O10982" s="3" t="s">
        <v>46</v>
      </c>
      <c r="P10982" s="5">
        <v>7</v>
      </c>
      <c r="Q10982" s="5">
        <v>44</v>
      </c>
      <c r="R10982" s="5">
        <v>8</v>
      </c>
      <c r="S10982" s="5">
        <v>46</v>
      </c>
    </row>
    <row r="10983" spans="1:19" ht="56" x14ac:dyDescent="0.15">
      <c r="A10983" s="2">
        <f>HYPERLINK("https://open-school.uspishnemisto.com.ua/school/560270/", 560270)</f>
        <v>560270</v>
      </c>
      <c r="B10983" s="3" t="s">
        <v>55624</v>
      </c>
      <c r="C10983" s="3" t="s">
        <v>54</v>
      </c>
      <c r="D10983" s="3" t="s">
        <v>175</v>
      </c>
      <c r="E10983" s="4" t="s">
        <v>22</v>
      </c>
      <c r="F10983" s="4" t="s">
        <v>55625</v>
      </c>
      <c r="G10983" s="4" t="s">
        <v>55626</v>
      </c>
      <c r="H10983" s="3" t="s">
        <v>54289</v>
      </c>
      <c r="I10983" s="3" t="s">
        <v>55627</v>
      </c>
      <c r="J10983" s="3" t="s">
        <v>3363</v>
      </c>
      <c r="K10983" s="3" t="s">
        <v>55628</v>
      </c>
      <c r="L10983" s="3"/>
      <c r="M10983" s="4"/>
      <c r="N10983" s="3" t="s">
        <v>37</v>
      </c>
      <c r="O10983" s="3" t="s">
        <v>52</v>
      </c>
      <c r="P10983" s="5">
        <v>6</v>
      </c>
      <c r="Q10983" s="5">
        <v>52</v>
      </c>
      <c r="R10983" s="5">
        <v>6</v>
      </c>
      <c r="S10983" s="5">
        <v>54</v>
      </c>
    </row>
    <row r="10984" spans="1:19" ht="42" x14ac:dyDescent="0.15">
      <c r="A10984" s="2">
        <f>HYPERLINK("https://open-school.uspishnemisto.com.ua/school/560271/", 560271)</f>
        <v>560271</v>
      </c>
      <c r="B10984" s="3" t="s">
        <v>55629</v>
      </c>
      <c r="C10984" s="3" t="s">
        <v>54</v>
      </c>
      <c r="D10984" s="3" t="s">
        <v>32</v>
      </c>
      <c r="E10984" s="4" t="s">
        <v>22</v>
      </c>
      <c r="F10984" s="4" t="s">
        <v>55630</v>
      </c>
      <c r="G10984" s="4" t="s">
        <v>55631</v>
      </c>
      <c r="H10984" s="3" t="s">
        <v>54289</v>
      </c>
      <c r="I10984" s="3" t="s">
        <v>55632</v>
      </c>
      <c r="J10984" s="3" t="s">
        <v>55633</v>
      </c>
      <c r="K10984" s="3" t="s">
        <v>55634</v>
      </c>
      <c r="L10984" s="3"/>
      <c r="M10984" s="4"/>
      <c r="N10984" s="3" t="s">
        <v>37</v>
      </c>
      <c r="O10984" s="3" t="s">
        <v>46</v>
      </c>
      <c r="P10984" s="5">
        <v>11</v>
      </c>
      <c r="Q10984" s="5">
        <v>170</v>
      </c>
      <c r="R10984" s="5">
        <v>11</v>
      </c>
      <c r="S10984" s="5">
        <v>164</v>
      </c>
    </row>
    <row r="10985" spans="1:19" ht="56" x14ac:dyDescent="0.15">
      <c r="A10985" s="2">
        <f>HYPERLINK("https://open-school.uspishnemisto.com.ua/school/560272/", 560272)</f>
        <v>560272</v>
      </c>
      <c r="B10985" s="3" t="s">
        <v>55635</v>
      </c>
      <c r="C10985" s="3" t="s">
        <v>54</v>
      </c>
      <c r="D10985" s="3" t="s">
        <v>32</v>
      </c>
      <c r="E10985" s="4" t="s">
        <v>22</v>
      </c>
      <c r="F10985" s="4" t="s">
        <v>55636</v>
      </c>
      <c r="G10985" s="4" t="s">
        <v>55637</v>
      </c>
      <c r="H10985" s="3" t="s">
        <v>54289</v>
      </c>
      <c r="I10985" s="3" t="s">
        <v>55638</v>
      </c>
      <c r="J10985" s="3" t="s">
        <v>566</v>
      </c>
      <c r="K10985" s="3" t="s">
        <v>55639</v>
      </c>
      <c r="L10985" s="3"/>
      <c r="M10985" s="4" t="s">
        <v>55640</v>
      </c>
      <c r="N10985" s="3" t="s">
        <v>37</v>
      </c>
      <c r="O10985" s="3" t="s">
        <v>46</v>
      </c>
      <c r="P10985" s="5">
        <v>21</v>
      </c>
      <c r="Q10985" s="5">
        <v>426</v>
      </c>
      <c r="R10985" s="5">
        <v>21</v>
      </c>
      <c r="S10985" s="5">
        <v>429</v>
      </c>
    </row>
    <row r="10986" spans="1:19" ht="28" x14ac:dyDescent="0.15">
      <c r="A10986" s="2">
        <f>HYPERLINK("https://open-school.uspishnemisto.com.ua/school/560273/", 560273)</f>
        <v>560273</v>
      </c>
      <c r="B10986" s="3" t="s">
        <v>55641</v>
      </c>
      <c r="C10986" s="3" t="s">
        <v>54</v>
      </c>
      <c r="D10986" s="3" t="s">
        <v>175</v>
      </c>
      <c r="E10986" s="4" t="s">
        <v>22</v>
      </c>
      <c r="F10986" s="4" t="s">
        <v>55642</v>
      </c>
      <c r="G10986" s="4" t="s">
        <v>55643</v>
      </c>
      <c r="H10986" s="3" t="s">
        <v>54289</v>
      </c>
      <c r="I10986" s="3" t="s">
        <v>55644</v>
      </c>
      <c r="J10986" s="3" t="s">
        <v>946</v>
      </c>
      <c r="K10986" s="3"/>
      <c r="L10986" s="3"/>
      <c r="M10986" s="4" t="s">
        <v>55645</v>
      </c>
      <c r="N10986" s="3" t="s">
        <v>37</v>
      </c>
      <c r="O10986" s="3" t="s">
        <v>52</v>
      </c>
      <c r="P10986" s="5">
        <v>12</v>
      </c>
      <c r="Q10986" s="5">
        <v>186</v>
      </c>
      <c r="R10986" s="5">
        <v>11</v>
      </c>
      <c r="S10986" s="5">
        <v>181</v>
      </c>
    </row>
    <row r="10987" spans="1:19" ht="42" x14ac:dyDescent="0.15">
      <c r="A10987" s="2">
        <f>HYPERLINK("https://open-school.uspishnemisto.com.ua/school/560274/", 560274)</f>
        <v>560274</v>
      </c>
      <c r="B10987" s="3" t="s">
        <v>55646</v>
      </c>
      <c r="C10987" s="3" t="s">
        <v>54</v>
      </c>
      <c r="D10987" s="3" t="s">
        <v>32</v>
      </c>
      <c r="E10987" s="4" t="s">
        <v>22</v>
      </c>
      <c r="F10987" s="4" t="s">
        <v>55647</v>
      </c>
      <c r="G10987" s="4" t="s">
        <v>55648</v>
      </c>
      <c r="H10987" s="3" t="s">
        <v>54289</v>
      </c>
      <c r="I10987" s="3" t="s">
        <v>55649</v>
      </c>
      <c r="J10987" s="3" t="s">
        <v>466</v>
      </c>
      <c r="K10987" s="3" t="s">
        <v>55650</v>
      </c>
      <c r="L10987" s="3" t="s">
        <v>55651</v>
      </c>
      <c r="M10987" s="4"/>
      <c r="N10987" s="3" t="s">
        <v>37</v>
      </c>
      <c r="O10987" s="3" t="s">
        <v>46</v>
      </c>
      <c r="P10987" s="5">
        <v>17</v>
      </c>
      <c r="Q10987" s="5">
        <v>301</v>
      </c>
      <c r="R10987" s="5">
        <v>17</v>
      </c>
      <c r="S10987" s="5">
        <v>302</v>
      </c>
    </row>
    <row r="10988" spans="1:19" ht="28" x14ac:dyDescent="0.15">
      <c r="A10988" s="2">
        <f>HYPERLINK("https://open-school.uspishnemisto.com.ua/school/560275/", 560275)</f>
        <v>560275</v>
      </c>
      <c r="B10988" s="3" t="s">
        <v>55652</v>
      </c>
      <c r="C10988" s="3" t="s">
        <v>31</v>
      </c>
      <c r="D10988" s="3" t="s">
        <v>175</v>
      </c>
      <c r="E10988" s="4" t="s">
        <v>22</v>
      </c>
      <c r="F10988" s="4" t="s">
        <v>55647</v>
      </c>
      <c r="G10988" s="4" t="s">
        <v>55653</v>
      </c>
      <c r="H10988" s="3" t="s">
        <v>54289</v>
      </c>
      <c r="I10988" s="3" t="s">
        <v>55654</v>
      </c>
      <c r="J10988" s="3" t="s">
        <v>7495</v>
      </c>
      <c r="K10988" s="3" t="s">
        <v>55655</v>
      </c>
      <c r="L10988" s="3"/>
      <c r="M10988" s="4"/>
      <c r="N10988" s="3" t="s">
        <v>37</v>
      </c>
      <c r="O10988" s="3" t="s">
        <v>46</v>
      </c>
      <c r="P10988" s="5">
        <v>8</v>
      </c>
      <c r="Q10988" s="5">
        <v>88</v>
      </c>
      <c r="R10988" s="5">
        <v>8</v>
      </c>
      <c r="S10988" s="5">
        <v>84</v>
      </c>
    </row>
    <row r="10989" spans="1:19" ht="42" x14ac:dyDescent="0.15">
      <c r="A10989" s="2">
        <f>HYPERLINK("https://open-school.uspishnemisto.com.ua/school/560276/", 560276)</f>
        <v>560276</v>
      </c>
      <c r="B10989" s="3" t="s">
        <v>55656</v>
      </c>
      <c r="C10989" s="3" t="s">
        <v>54</v>
      </c>
      <c r="D10989" s="3" t="s">
        <v>32</v>
      </c>
      <c r="E10989" s="4" t="s">
        <v>22</v>
      </c>
      <c r="F10989" s="4" t="s">
        <v>55657</v>
      </c>
      <c r="G10989" s="4" t="s">
        <v>55658</v>
      </c>
      <c r="H10989" s="3" t="s">
        <v>54289</v>
      </c>
      <c r="I10989" s="3" t="s">
        <v>8386</v>
      </c>
      <c r="J10989" s="3" t="s">
        <v>3112</v>
      </c>
      <c r="K10989" s="3" t="s">
        <v>55659</v>
      </c>
      <c r="L10989" s="3"/>
      <c r="M10989" s="4" t="s">
        <v>55660</v>
      </c>
      <c r="N10989" s="3" t="s">
        <v>37</v>
      </c>
      <c r="O10989" s="3" t="s">
        <v>38</v>
      </c>
      <c r="P10989" s="5">
        <v>14</v>
      </c>
      <c r="Q10989" s="5">
        <v>250</v>
      </c>
      <c r="R10989" s="5">
        <v>13</v>
      </c>
      <c r="S10989" s="5">
        <v>246</v>
      </c>
    </row>
    <row r="10990" spans="1:19" ht="42" x14ac:dyDescent="0.15">
      <c r="A10990" s="2">
        <f>HYPERLINK("https://open-school.uspishnemisto.com.ua/school/560277/", 560277)</f>
        <v>560277</v>
      </c>
      <c r="B10990" s="3" t="s">
        <v>55661</v>
      </c>
      <c r="C10990" s="3" t="s">
        <v>54</v>
      </c>
      <c r="D10990" s="3" t="s">
        <v>32</v>
      </c>
      <c r="E10990" s="4" t="s">
        <v>22</v>
      </c>
      <c r="F10990" s="4" t="s">
        <v>55662</v>
      </c>
      <c r="G10990" s="4" t="s">
        <v>55663</v>
      </c>
      <c r="H10990" s="3" t="s">
        <v>54289</v>
      </c>
      <c r="I10990" s="3" t="s">
        <v>55664</v>
      </c>
      <c r="J10990" s="3" t="s">
        <v>55665</v>
      </c>
      <c r="K10990" s="3" t="s">
        <v>55666</v>
      </c>
      <c r="L10990" s="3"/>
      <c r="M10990" s="4"/>
      <c r="N10990" s="3" t="s">
        <v>37</v>
      </c>
      <c r="O10990" s="3" t="s">
        <v>52</v>
      </c>
      <c r="P10990" s="5">
        <v>13</v>
      </c>
      <c r="Q10990" s="5">
        <v>276</v>
      </c>
      <c r="R10990" s="5">
        <v>14</v>
      </c>
      <c r="S10990" s="5">
        <v>284</v>
      </c>
    </row>
    <row r="10991" spans="1:19" ht="56" x14ac:dyDescent="0.15">
      <c r="A10991" s="2">
        <f>HYPERLINK("https://open-school.uspishnemisto.com.ua/school/560278/", 560278)</f>
        <v>560278</v>
      </c>
      <c r="B10991" s="3" t="s">
        <v>55667</v>
      </c>
      <c r="C10991" s="3" t="s">
        <v>54</v>
      </c>
      <c r="D10991" s="3" t="s">
        <v>32</v>
      </c>
      <c r="E10991" s="4" t="s">
        <v>22</v>
      </c>
      <c r="F10991" s="4" t="s">
        <v>55668</v>
      </c>
      <c r="G10991" s="4" t="s">
        <v>55669</v>
      </c>
      <c r="H10991" s="3" t="s">
        <v>54289</v>
      </c>
      <c r="I10991" s="3" t="s">
        <v>55670</v>
      </c>
      <c r="J10991" s="3" t="s">
        <v>8122</v>
      </c>
      <c r="K10991" s="3" t="s">
        <v>55671</v>
      </c>
      <c r="L10991" s="3"/>
      <c r="M10991" s="4"/>
      <c r="N10991" s="3" t="s">
        <v>37</v>
      </c>
      <c r="O10991" s="3" t="s">
        <v>46</v>
      </c>
      <c r="P10991" s="5">
        <v>7</v>
      </c>
      <c r="Q10991" s="5">
        <v>59</v>
      </c>
      <c r="R10991" s="5">
        <v>7</v>
      </c>
      <c r="S10991" s="5">
        <v>64</v>
      </c>
    </row>
    <row r="10992" spans="1:19" ht="28" x14ac:dyDescent="0.15">
      <c r="A10992" s="2">
        <f>HYPERLINK("https://open-school.uspishnemisto.com.ua/school/560279/", 560279)</f>
        <v>560279</v>
      </c>
      <c r="B10992" s="3" t="s">
        <v>55672</v>
      </c>
      <c r="C10992" s="3" t="s">
        <v>31</v>
      </c>
      <c r="D10992" s="3" t="s">
        <v>32</v>
      </c>
      <c r="E10992" s="4" t="s">
        <v>22</v>
      </c>
      <c r="F10992" s="4" t="s">
        <v>55673</v>
      </c>
      <c r="G10992" s="4" t="s">
        <v>55674</v>
      </c>
      <c r="H10992" s="3" t="s">
        <v>54289</v>
      </c>
      <c r="I10992" s="3" t="s">
        <v>55675</v>
      </c>
      <c r="J10992" s="3" t="s">
        <v>29445</v>
      </c>
      <c r="K10992" s="3"/>
      <c r="L10992" s="3"/>
      <c r="M10992" s="4"/>
      <c r="N10992" s="3" t="s">
        <v>37</v>
      </c>
      <c r="O10992" s="3" t="s">
        <v>46</v>
      </c>
      <c r="P10992" s="5">
        <v>11</v>
      </c>
      <c r="Q10992" s="5">
        <v>76</v>
      </c>
      <c r="R10992" s="5">
        <v>10</v>
      </c>
      <c r="S10992" s="5">
        <v>79</v>
      </c>
    </row>
    <row r="10993" spans="1:19" ht="42" x14ac:dyDescent="0.15">
      <c r="A10993" s="2">
        <f>HYPERLINK("https://open-school.uspishnemisto.com.ua/school/560280/", 560280)</f>
        <v>560280</v>
      </c>
      <c r="B10993" s="3" t="s">
        <v>55676</v>
      </c>
      <c r="C10993" s="3" t="s">
        <v>54</v>
      </c>
      <c r="D10993" s="3" t="s">
        <v>32</v>
      </c>
      <c r="E10993" s="4" t="s">
        <v>22</v>
      </c>
      <c r="F10993" s="4" t="s">
        <v>55677</v>
      </c>
      <c r="G10993" s="4" t="s">
        <v>55678</v>
      </c>
      <c r="H10993" s="3" t="s">
        <v>54289</v>
      </c>
      <c r="I10993" s="3" t="s">
        <v>55679</v>
      </c>
      <c r="J10993" s="3" t="s">
        <v>55680</v>
      </c>
      <c r="K10993" s="3"/>
      <c r="L10993" s="3"/>
      <c r="M10993" s="4"/>
      <c r="N10993" s="3" t="s">
        <v>37</v>
      </c>
      <c r="O10993" s="3" t="s">
        <v>38</v>
      </c>
      <c r="P10993" s="5">
        <v>10</v>
      </c>
      <c r="Q10993" s="5">
        <v>143</v>
      </c>
      <c r="R10993" s="5">
        <v>9</v>
      </c>
      <c r="S10993" s="5">
        <v>135</v>
      </c>
    </row>
    <row r="10994" spans="1:19" ht="56" x14ac:dyDescent="0.15">
      <c r="A10994" s="2">
        <f>HYPERLINK("https://open-school.uspishnemisto.com.ua/school/560281/", 560281)</f>
        <v>560281</v>
      </c>
      <c r="B10994" s="3" t="s">
        <v>55681</v>
      </c>
      <c r="C10994" s="3" t="s">
        <v>54</v>
      </c>
      <c r="D10994" s="3" t="s">
        <v>32</v>
      </c>
      <c r="E10994" s="4" t="s">
        <v>22</v>
      </c>
      <c r="F10994" s="4" t="s">
        <v>55682</v>
      </c>
      <c r="G10994" s="4" t="s">
        <v>55683</v>
      </c>
      <c r="H10994" s="3" t="s">
        <v>54289</v>
      </c>
      <c r="I10994" s="3" t="s">
        <v>55684</v>
      </c>
      <c r="J10994" s="3" t="s">
        <v>5432</v>
      </c>
      <c r="K10994" s="3" t="s">
        <v>55685</v>
      </c>
      <c r="L10994" s="3"/>
      <c r="M10994" s="4" t="s">
        <v>55686</v>
      </c>
      <c r="N10994" s="3" t="s">
        <v>37</v>
      </c>
      <c r="O10994" s="3" t="s">
        <v>52</v>
      </c>
      <c r="P10994" s="5">
        <v>9</v>
      </c>
      <c r="Q10994" s="5">
        <v>102</v>
      </c>
      <c r="R10994" s="5">
        <v>10</v>
      </c>
      <c r="S10994" s="5">
        <v>100</v>
      </c>
    </row>
    <row r="10995" spans="1:19" ht="42" x14ac:dyDescent="0.15">
      <c r="A10995" s="2">
        <f>HYPERLINK("https://open-school.uspishnemisto.com.ua/school/560282/", 560282)</f>
        <v>560282</v>
      </c>
      <c r="B10995" s="3" t="s">
        <v>55687</v>
      </c>
      <c r="C10995" s="3" t="s">
        <v>54</v>
      </c>
      <c r="D10995" s="3" t="s">
        <v>175</v>
      </c>
      <c r="E10995" s="4" t="s">
        <v>22</v>
      </c>
      <c r="F10995" s="4" t="s">
        <v>55688</v>
      </c>
      <c r="G10995" s="4" t="s">
        <v>55689</v>
      </c>
      <c r="H10995" s="3" t="s">
        <v>54289</v>
      </c>
      <c r="I10995" s="3" t="s">
        <v>55690</v>
      </c>
      <c r="J10995" s="3" t="s">
        <v>466</v>
      </c>
      <c r="K10995" s="3" t="s">
        <v>55691</v>
      </c>
      <c r="L10995" s="3"/>
      <c r="M10995" s="4" t="s">
        <v>55692</v>
      </c>
      <c r="N10995" s="3" t="s">
        <v>37</v>
      </c>
      <c r="O10995" s="3" t="s">
        <v>52</v>
      </c>
      <c r="P10995" s="5">
        <v>8</v>
      </c>
      <c r="Q10995" s="5">
        <v>71</v>
      </c>
      <c r="R10995" s="5">
        <v>9</v>
      </c>
      <c r="S10995" s="5">
        <v>69</v>
      </c>
    </row>
    <row r="10996" spans="1:19" ht="28" x14ac:dyDescent="0.15">
      <c r="A10996" s="2">
        <f>HYPERLINK("https://open-school.uspishnemisto.com.ua/school/560283/", 560283)</f>
        <v>560283</v>
      </c>
      <c r="B10996" s="3" t="s">
        <v>55693</v>
      </c>
      <c r="C10996" s="3" t="s">
        <v>31</v>
      </c>
      <c r="D10996" s="3" t="s">
        <v>175</v>
      </c>
      <c r="E10996" s="4" t="s">
        <v>22</v>
      </c>
      <c r="F10996" s="4" t="s">
        <v>55694</v>
      </c>
      <c r="G10996" s="4" t="s">
        <v>55695</v>
      </c>
      <c r="H10996" s="3" t="s">
        <v>54289</v>
      </c>
      <c r="I10996" s="3" t="s">
        <v>3784</v>
      </c>
      <c r="J10996" s="3" t="s">
        <v>55696</v>
      </c>
      <c r="K10996" s="3"/>
      <c r="L10996" s="3"/>
      <c r="M10996" s="4"/>
      <c r="N10996" s="3" t="s">
        <v>37</v>
      </c>
      <c r="O10996" s="3" t="s">
        <v>52</v>
      </c>
      <c r="P10996" s="5">
        <v>9</v>
      </c>
      <c r="Q10996" s="5">
        <v>110</v>
      </c>
      <c r="R10996" s="5">
        <v>9</v>
      </c>
      <c r="S10996" s="5">
        <v>115</v>
      </c>
    </row>
    <row r="10997" spans="1:19" ht="42" x14ac:dyDescent="0.15">
      <c r="A10997" s="2">
        <f>HYPERLINK("https://open-school.uspishnemisto.com.ua/school/560284/", 560284)</f>
        <v>560284</v>
      </c>
      <c r="B10997" s="3" t="s">
        <v>55697</v>
      </c>
      <c r="C10997" s="3" t="s">
        <v>31</v>
      </c>
      <c r="D10997" s="3" t="s">
        <v>32</v>
      </c>
      <c r="E10997" s="4" t="s">
        <v>22</v>
      </c>
      <c r="F10997" s="4" t="s">
        <v>55694</v>
      </c>
      <c r="G10997" s="4" t="s">
        <v>55695</v>
      </c>
      <c r="H10997" s="3" t="s">
        <v>54289</v>
      </c>
      <c r="I10997" s="3" t="s">
        <v>3784</v>
      </c>
      <c r="J10997" s="3" t="s">
        <v>55698</v>
      </c>
      <c r="K10997" s="3" t="s">
        <v>55699</v>
      </c>
      <c r="L10997" s="3" t="s">
        <v>55700</v>
      </c>
      <c r="M10997" s="4"/>
      <c r="N10997" s="3" t="s">
        <v>37</v>
      </c>
      <c r="O10997" s="3" t="s">
        <v>52</v>
      </c>
      <c r="P10997" s="5">
        <v>16</v>
      </c>
      <c r="Q10997" s="5">
        <v>364</v>
      </c>
      <c r="R10997" s="5">
        <v>15</v>
      </c>
      <c r="S10997" s="5">
        <v>317</v>
      </c>
    </row>
    <row r="10998" spans="1:19" ht="42" x14ac:dyDescent="0.15">
      <c r="A10998" s="2">
        <f>HYPERLINK("https://open-school.uspishnemisto.com.ua/school/560285/", 560285)</f>
        <v>560285</v>
      </c>
      <c r="B10998" s="3" t="s">
        <v>55701</v>
      </c>
      <c r="C10998" s="3" t="s">
        <v>54</v>
      </c>
      <c r="D10998" s="3" t="s">
        <v>32</v>
      </c>
      <c r="E10998" s="4" t="s">
        <v>22</v>
      </c>
      <c r="F10998" s="4" t="s">
        <v>55694</v>
      </c>
      <c r="G10998" s="4" t="s">
        <v>55695</v>
      </c>
      <c r="H10998" s="3" t="s">
        <v>54289</v>
      </c>
      <c r="I10998" s="3" t="s">
        <v>3784</v>
      </c>
      <c r="J10998" s="3" t="s">
        <v>55702</v>
      </c>
      <c r="K10998" s="3" t="s">
        <v>55703</v>
      </c>
      <c r="L10998" s="3"/>
      <c r="M10998" s="4"/>
      <c r="N10998" s="3" t="s">
        <v>37</v>
      </c>
      <c r="O10998" s="3" t="s">
        <v>52</v>
      </c>
      <c r="P10998" s="5">
        <v>26</v>
      </c>
      <c r="Q10998" s="5">
        <v>601</v>
      </c>
      <c r="R10998" s="5">
        <v>26</v>
      </c>
      <c r="S10998" s="5">
        <v>597</v>
      </c>
    </row>
    <row r="10999" spans="1:19" ht="28" x14ac:dyDescent="0.15">
      <c r="A10999" s="2">
        <f>HYPERLINK("https://open-school.uspishnemisto.com.ua/school/560286/", 560286)</f>
        <v>560286</v>
      </c>
      <c r="B10999" s="3" t="s">
        <v>55704</v>
      </c>
      <c r="C10999" s="3" t="s">
        <v>31</v>
      </c>
      <c r="D10999" s="3" t="s">
        <v>175</v>
      </c>
      <c r="E10999" s="4" t="s">
        <v>22</v>
      </c>
      <c r="F10999" s="4" t="s">
        <v>55705</v>
      </c>
      <c r="G10999" s="4" t="s">
        <v>55706</v>
      </c>
      <c r="H10999" s="3" t="s">
        <v>54289</v>
      </c>
      <c r="I10999" s="3" t="s">
        <v>7941</v>
      </c>
      <c r="J10999" s="3" t="s">
        <v>5145</v>
      </c>
      <c r="K10999" s="3" t="s">
        <v>55707</v>
      </c>
      <c r="L10999" s="3"/>
      <c r="M10999" s="4"/>
      <c r="N10999" s="3" t="s">
        <v>37</v>
      </c>
      <c r="O10999" s="3" t="s">
        <v>52</v>
      </c>
      <c r="P10999" s="5">
        <v>6</v>
      </c>
      <c r="Q10999" s="5">
        <v>64</v>
      </c>
      <c r="R10999" s="5">
        <v>8</v>
      </c>
      <c r="S10999" s="5">
        <v>62</v>
      </c>
    </row>
    <row r="11000" spans="1:19" ht="28" x14ac:dyDescent="0.15">
      <c r="A11000" s="2">
        <f>HYPERLINK("https://open-school.uspishnemisto.com.ua/school/560287/", 560287)</f>
        <v>560287</v>
      </c>
      <c r="B11000" s="3" t="s">
        <v>55708</v>
      </c>
      <c r="C11000" s="3" t="s">
        <v>31</v>
      </c>
      <c r="D11000" s="3" t="s">
        <v>32</v>
      </c>
      <c r="E11000" s="4" t="s">
        <v>22</v>
      </c>
      <c r="F11000" s="4" t="s">
        <v>55709</v>
      </c>
      <c r="G11000" s="4" t="s">
        <v>55710</v>
      </c>
      <c r="H11000" s="3" t="s">
        <v>54289</v>
      </c>
      <c r="I11000" s="3" t="s">
        <v>42866</v>
      </c>
      <c r="J11000" s="3" t="s">
        <v>466</v>
      </c>
      <c r="K11000" s="3" t="s">
        <v>55711</v>
      </c>
      <c r="L11000" s="3" t="s">
        <v>55712</v>
      </c>
      <c r="M11000" s="4"/>
      <c r="N11000" s="3" t="s">
        <v>37</v>
      </c>
      <c r="O11000" s="3" t="s">
        <v>46</v>
      </c>
      <c r="P11000" s="5">
        <v>23</v>
      </c>
      <c r="Q11000" s="5">
        <v>587</v>
      </c>
      <c r="R11000" s="5">
        <v>23</v>
      </c>
      <c r="S11000" s="5">
        <v>576</v>
      </c>
    </row>
    <row r="11001" spans="1:19" ht="28" x14ac:dyDescent="0.15">
      <c r="A11001" s="2">
        <f>HYPERLINK("https://open-school.uspishnemisto.com.ua/school/560288/", 560288)</f>
        <v>560288</v>
      </c>
      <c r="B11001" s="3" t="s">
        <v>55713</v>
      </c>
      <c r="C11001" s="3" t="s">
        <v>31</v>
      </c>
      <c r="D11001" s="3" t="s">
        <v>32</v>
      </c>
      <c r="E11001" s="4" t="s">
        <v>22</v>
      </c>
      <c r="F11001" s="4" t="s">
        <v>55714</v>
      </c>
      <c r="G11001" s="4" t="s">
        <v>55715</v>
      </c>
      <c r="H11001" s="3" t="s">
        <v>54289</v>
      </c>
      <c r="I11001" s="3" t="s">
        <v>36373</v>
      </c>
      <c r="J11001" s="3" t="s">
        <v>466</v>
      </c>
      <c r="K11001" s="3" t="s">
        <v>55716</v>
      </c>
      <c r="L11001" s="3"/>
      <c r="M11001" s="4"/>
      <c r="N11001" s="3" t="s">
        <v>37</v>
      </c>
      <c r="O11001" s="3" t="s">
        <v>52</v>
      </c>
      <c r="P11001" s="5">
        <v>11</v>
      </c>
      <c r="Q11001" s="5">
        <v>207</v>
      </c>
      <c r="R11001" s="5">
        <v>11</v>
      </c>
      <c r="S11001" s="5">
        <v>197</v>
      </c>
    </row>
    <row r="11002" spans="1:19" ht="28" x14ac:dyDescent="0.15">
      <c r="A11002" s="2">
        <f>HYPERLINK("https://open-school.uspishnemisto.com.ua/school/560289/", 560289)</f>
        <v>560289</v>
      </c>
      <c r="B11002" s="3" t="s">
        <v>55717</v>
      </c>
      <c r="C11002" s="3" t="s">
        <v>31</v>
      </c>
      <c r="D11002" s="3" t="s">
        <v>32</v>
      </c>
      <c r="E11002" s="4" t="s">
        <v>22</v>
      </c>
      <c r="F11002" s="4" t="s">
        <v>55718</v>
      </c>
      <c r="G11002" s="4" t="s">
        <v>55719</v>
      </c>
      <c r="H11002" s="3" t="s">
        <v>54289</v>
      </c>
      <c r="I11002" s="3" t="s">
        <v>55720</v>
      </c>
      <c r="J11002" s="3" t="s">
        <v>1946</v>
      </c>
      <c r="K11002" s="3" t="s">
        <v>55721</v>
      </c>
      <c r="L11002" s="3"/>
      <c r="M11002" s="4"/>
      <c r="N11002" s="3" t="s">
        <v>37</v>
      </c>
      <c r="O11002" s="3" t="s">
        <v>52</v>
      </c>
      <c r="P11002" s="5">
        <v>10</v>
      </c>
      <c r="Q11002" s="5">
        <v>154</v>
      </c>
      <c r="R11002" s="5">
        <v>10</v>
      </c>
      <c r="S11002" s="5">
        <v>150</v>
      </c>
    </row>
    <row r="11003" spans="1:19" ht="28" x14ac:dyDescent="0.15">
      <c r="A11003" s="2">
        <f>HYPERLINK("https://open-school.uspishnemisto.com.ua/school/560290/", 560290)</f>
        <v>560290</v>
      </c>
      <c r="B11003" s="3" t="s">
        <v>55722</v>
      </c>
      <c r="C11003" s="3" t="s">
        <v>31</v>
      </c>
      <c r="D11003" s="3" t="s">
        <v>175</v>
      </c>
      <c r="E11003" s="4" t="s">
        <v>22</v>
      </c>
      <c r="F11003" s="4" t="s">
        <v>55718</v>
      </c>
      <c r="G11003" s="4" t="s">
        <v>55723</v>
      </c>
      <c r="H11003" s="3" t="s">
        <v>54289</v>
      </c>
      <c r="I11003" s="3" t="s">
        <v>55724</v>
      </c>
      <c r="J11003" s="3" t="s">
        <v>55725</v>
      </c>
      <c r="K11003" s="3"/>
      <c r="L11003" s="3"/>
      <c r="M11003" s="4"/>
      <c r="N11003" s="3" t="s">
        <v>37</v>
      </c>
      <c r="O11003" s="3" t="s">
        <v>618</v>
      </c>
      <c r="P11003" s="5">
        <v>9</v>
      </c>
      <c r="Q11003" s="5">
        <v>145</v>
      </c>
      <c r="R11003" s="5">
        <v>9</v>
      </c>
      <c r="S11003" s="5">
        <v>135</v>
      </c>
    </row>
    <row r="11004" spans="1:19" ht="28" x14ac:dyDescent="0.15">
      <c r="A11004" s="2">
        <f>HYPERLINK("https://open-school.uspishnemisto.com.ua/school/560291/", 560291)</f>
        <v>560291</v>
      </c>
      <c r="B11004" s="3" t="s">
        <v>55726</v>
      </c>
      <c r="C11004" s="3" t="s">
        <v>31</v>
      </c>
      <c r="D11004" s="3" t="s">
        <v>175</v>
      </c>
      <c r="E11004" s="4" t="s">
        <v>22</v>
      </c>
      <c r="F11004" s="4" t="s">
        <v>55718</v>
      </c>
      <c r="G11004" s="4" t="s">
        <v>55727</v>
      </c>
      <c r="H11004" s="3" t="s">
        <v>54289</v>
      </c>
      <c r="I11004" s="3" t="s">
        <v>37985</v>
      </c>
      <c r="J11004" s="3" t="s">
        <v>946</v>
      </c>
      <c r="K11004" s="3" t="s">
        <v>55728</v>
      </c>
      <c r="L11004" s="3"/>
      <c r="M11004" s="4"/>
      <c r="N11004" s="3" t="s">
        <v>37</v>
      </c>
      <c r="O11004" s="3" t="s">
        <v>618</v>
      </c>
      <c r="P11004" s="5">
        <v>8</v>
      </c>
      <c r="Q11004" s="5">
        <v>59</v>
      </c>
      <c r="R11004" s="5">
        <v>7</v>
      </c>
      <c r="S11004" s="5">
        <v>55</v>
      </c>
    </row>
    <row r="11005" spans="1:19" ht="28" x14ac:dyDescent="0.15">
      <c r="A11005" s="2">
        <f>HYPERLINK("https://open-school.uspishnemisto.com.ua/school/560292/", 560292)</f>
        <v>560292</v>
      </c>
      <c r="B11005" s="3" t="s">
        <v>55729</v>
      </c>
      <c r="C11005" s="3" t="s">
        <v>31</v>
      </c>
      <c r="D11005" s="3" t="s">
        <v>32</v>
      </c>
      <c r="E11005" s="4" t="s">
        <v>22</v>
      </c>
      <c r="F11005" s="4" t="s">
        <v>55730</v>
      </c>
      <c r="G11005" s="4" t="s">
        <v>55731</v>
      </c>
      <c r="H11005" s="3" t="s">
        <v>54289</v>
      </c>
      <c r="I11005" s="3" t="s">
        <v>55732</v>
      </c>
      <c r="J11005" s="3" t="s">
        <v>25260</v>
      </c>
      <c r="K11005" s="3" t="s">
        <v>55733</v>
      </c>
      <c r="L11005" s="3"/>
      <c r="M11005" s="4"/>
      <c r="N11005" s="3" t="s">
        <v>37</v>
      </c>
      <c r="O11005" s="3" t="s">
        <v>52</v>
      </c>
      <c r="P11005" s="5">
        <v>20</v>
      </c>
      <c r="Q11005" s="5">
        <v>377</v>
      </c>
      <c r="R11005" s="5">
        <v>20</v>
      </c>
      <c r="S11005" s="5">
        <v>385</v>
      </c>
    </row>
    <row r="11006" spans="1:19" ht="28" x14ac:dyDescent="0.15">
      <c r="A11006" s="2">
        <f>HYPERLINK("https://open-school.uspishnemisto.com.ua/school/560293/", 560293)</f>
        <v>560293</v>
      </c>
      <c r="B11006" s="3" t="s">
        <v>55734</v>
      </c>
      <c r="C11006" s="3" t="s">
        <v>31</v>
      </c>
      <c r="D11006" s="3" t="s">
        <v>175</v>
      </c>
      <c r="E11006" s="4" t="s">
        <v>22</v>
      </c>
      <c r="F11006" s="4" t="s">
        <v>55735</v>
      </c>
      <c r="G11006" s="4" t="s">
        <v>55736</v>
      </c>
      <c r="H11006" s="3" t="s">
        <v>54289</v>
      </c>
      <c r="I11006" s="3" t="s">
        <v>55737</v>
      </c>
      <c r="J11006" s="3" t="s">
        <v>1673</v>
      </c>
      <c r="K11006" s="3" t="s">
        <v>55738</v>
      </c>
      <c r="L11006" s="3"/>
      <c r="M11006" s="4"/>
      <c r="N11006" s="3" t="s">
        <v>37</v>
      </c>
      <c r="O11006" s="3" t="s">
        <v>52</v>
      </c>
      <c r="P11006" s="5">
        <v>9</v>
      </c>
      <c r="Q11006" s="5">
        <v>112</v>
      </c>
      <c r="R11006" s="5">
        <v>9</v>
      </c>
      <c r="S11006" s="5">
        <v>112</v>
      </c>
    </row>
    <row r="11007" spans="1:19" ht="42" x14ac:dyDescent="0.15">
      <c r="A11007" s="2">
        <f>HYPERLINK("https://open-school.uspishnemisto.com.ua/school/560294/", 560294)</f>
        <v>560294</v>
      </c>
      <c r="B11007" s="3" t="s">
        <v>55739</v>
      </c>
      <c r="C11007" s="3" t="s">
        <v>31</v>
      </c>
      <c r="D11007" s="3" t="s">
        <v>32</v>
      </c>
      <c r="E11007" s="4" t="s">
        <v>22</v>
      </c>
      <c r="F11007" s="4" t="s">
        <v>55740</v>
      </c>
      <c r="G11007" s="4" t="s">
        <v>55741</v>
      </c>
      <c r="H11007" s="3" t="s">
        <v>54289</v>
      </c>
      <c r="I11007" s="3" t="s">
        <v>55742</v>
      </c>
      <c r="J11007" s="3" t="s">
        <v>37590</v>
      </c>
      <c r="K11007" s="3"/>
      <c r="L11007" s="3"/>
      <c r="M11007" s="4" t="s">
        <v>55743</v>
      </c>
      <c r="N11007" s="3" t="s">
        <v>37</v>
      </c>
      <c r="O11007" s="3" t="s">
        <v>52</v>
      </c>
      <c r="P11007" s="5">
        <v>10</v>
      </c>
      <c r="Q11007" s="5">
        <v>106</v>
      </c>
      <c r="R11007" s="5">
        <v>9</v>
      </c>
      <c r="S11007" s="5">
        <v>106</v>
      </c>
    </row>
    <row r="11008" spans="1:19" ht="28" x14ac:dyDescent="0.15">
      <c r="A11008" s="2">
        <f>HYPERLINK("https://open-school.uspishnemisto.com.ua/school/560295/", 560295)</f>
        <v>560295</v>
      </c>
      <c r="B11008" s="3" t="s">
        <v>55744</v>
      </c>
      <c r="C11008" s="3" t="s">
        <v>31</v>
      </c>
      <c r="D11008" s="3" t="s">
        <v>32</v>
      </c>
      <c r="E11008" s="4" t="s">
        <v>22</v>
      </c>
      <c r="F11008" s="4" t="s">
        <v>55745</v>
      </c>
      <c r="G11008" s="4" t="s">
        <v>55746</v>
      </c>
      <c r="H11008" s="3" t="s">
        <v>54289</v>
      </c>
      <c r="I11008" s="3" t="s">
        <v>55747</v>
      </c>
      <c r="J11008" s="3" t="s">
        <v>55748</v>
      </c>
      <c r="K11008" s="3"/>
      <c r="L11008" s="3"/>
      <c r="M11008" s="4"/>
      <c r="N11008" s="3" t="s">
        <v>37</v>
      </c>
      <c r="O11008" s="3" t="s">
        <v>46</v>
      </c>
      <c r="P11008" s="5">
        <v>18</v>
      </c>
      <c r="Q11008" s="5">
        <v>372</v>
      </c>
      <c r="R11008" s="5">
        <v>18</v>
      </c>
      <c r="S11008" s="5">
        <v>373</v>
      </c>
    </row>
    <row r="11009" spans="1:19" ht="28" x14ac:dyDescent="0.15">
      <c r="A11009" s="2">
        <f>HYPERLINK("https://open-school.uspishnemisto.com.ua/school/560296/", 560296)</f>
        <v>560296</v>
      </c>
      <c r="B11009" s="3" t="s">
        <v>55749</v>
      </c>
      <c r="C11009" s="3" t="s">
        <v>31</v>
      </c>
      <c r="D11009" s="3" t="s">
        <v>175</v>
      </c>
      <c r="E11009" s="4" t="s">
        <v>22</v>
      </c>
      <c r="F11009" s="4" t="s">
        <v>55750</v>
      </c>
      <c r="G11009" s="4" t="s">
        <v>55751</v>
      </c>
      <c r="H11009" s="3" t="s">
        <v>54289</v>
      </c>
      <c r="I11009" s="3" t="s">
        <v>55752</v>
      </c>
      <c r="J11009" s="3" t="s">
        <v>55753</v>
      </c>
      <c r="K11009" s="3" t="s">
        <v>55754</v>
      </c>
      <c r="L11009" s="3"/>
      <c r="M11009" s="4"/>
      <c r="N11009" s="3" t="s">
        <v>37</v>
      </c>
      <c r="O11009" s="3" t="s">
        <v>618</v>
      </c>
      <c r="P11009" s="5">
        <v>9</v>
      </c>
      <c r="Q11009" s="5">
        <v>62</v>
      </c>
      <c r="R11009" s="5">
        <v>9</v>
      </c>
      <c r="S11009" s="5">
        <v>63</v>
      </c>
    </row>
    <row r="11010" spans="1:19" ht="42" x14ac:dyDescent="0.15">
      <c r="A11010" s="2">
        <f>HYPERLINK("https://open-school.uspishnemisto.com.ua/school/560297/", 560297)</f>
        <v>560297</v>
      </c>
      <c r="B11010" s="3" t="s">
        <v>55755</v>
      </c>
      <c r="C11010" s="3" t="s">
        <v>31</v>
      </c>
      <c r="D11010" s="3" t="s">
        <v>32</v>
      </c>
      <c r="E11010" s="4" t="s">
        <v>22</v>
      </c>
      <c r="F11010" s="4" t="s">
        <v>55756</v>
      </c>
      <c r="G11010" s="4" t="s">
        <v>55757</v>
      </c>
      <c r="H11010" s="3" t="s">
        <v>54289</v>
      </c>
      <c r="I11010" s="3" t="s">
        <v>55758</v>
      </c>
      <c r="J11010" s="3" t="s">
        <v>1636</v>
      </c>
      <c r="K11010" s="3" t="s">
        <v>55759</v>
      </c>
      <c r="L11010" s="3"/>
      <c r="M11010" s="4" t="s">
        <v>55760</v>
      </c>
      <c r="N11010" s="3" t="s">
        <v>37</v>
      </c>
      <c r="O11010" s="3" t="s">
        <v>46</v>
      </c>
      <c r="P11010" s="5">
        <v>16</v>
      </c>
      <c r="Q11010" s="5">
        <v>290</v>
      </c>
      <c r="R11010" s="5">
        <v>17</v>
      </c>
      <c r="S11010" s="5">
        <v>291</v>
      </c>
    </row>
    <row r="11011" spans="1:19" ht="42" x14ac:dyDescent="0.15">
      <c r="A11011" s="2">
        <f>HYPERLINK("https://open-school.uspishnemisto.com.ua/school/560298/", 560298)</f>
        <v>560298</v>
      </c>
      <c r="B11011" s="3" t="s">
        <v>55761</v>
      </c>
      <c r="C11011" s="3" t="s">
        <v>31</v>
      </c>
      <c r="D11011" s="3" t="s">
        <v>32</v>
      </c>
      <c r="E11011" s="4" t="s">
        <v>22</v>
      </c>
      <c r="F11011" s="4" t="s">
        <v>55762</v>
      </c>
      <c r="G11011" s="4" t="s">
        <v>55763</v>
      </c>
      <c r="H11011" s="3" t="s">
        <v>54289</v>
      </c>
      <c r="I11011" s="3" t="s">
        <v>55764</v>
      </c>
      <c r="J11011" s="3" t="s">
        <v>5832</v>
      </c>
      <c r="K11011" s="3"/>
      <c r="L11011" s="3"/>
      <c r="M11011" s="4" t="s">
        <v>55765</v>
      </c>
      <c r="N11011" s="3" t="s">
        <v>37</v>
      </c>
      <c r="O11011" s="3" t="s">
        <v>46</v>
      </c>
      <c r="P11011" s="5">
        <v>11</v>
      </c>
      <c r="Q11011" s="5">
        <v>143</v>
      </c>
      <c r="R11011" s="5">
        <v>11</v>
      </c>
      <c r="S11011" s="5">
        <v>141</v>
      </c>
    </row>
    <row r="11012" spans="1:19" ht="42" x14ac:dyDescent="0.15">
      <c r="A11012" s="2">
        <f>HYPERLINK("https://open-school.uspishnemisto.com.ua/school/560299/", 560299)</f>
        <v>560299</v>
      </c>
      <c r="B11012" s="3" t="s">
        <v>55766</v>
      </c>
      <c r="C11012" s="3" t="s">
        <v>31</v>
      </c>
      <c r="D11012" s="3" t="s">
        <v>175</v>
      </c>
      <c r="E11012" s="4" t="s">
        <v>22</v>
      </c>
      <c r="F11012" s="4" t="s">
        <v>55767</v>
      </c>
      <c r="G11012" s="4" t="s">
        <v>55768</v>
      </c>
      <c r="H11012" s="3" t="s">
        <v>54289</v>
      </c>
      <c r="I11012" s="3" t="s">
        <v>55769</v>
      </c>
      <c r="J11012" s="3" t="s">
        <v>6598</v>
      </c>
      <c r="K11012" s="3" t="s">
        <v>55770</v>
      </c>
      <c r="L11012" s="3"/>
      <c r="M11012" s="4" t="s">
        <v>55771</v>
      </c>
      <c r="N11012" s="3" t="s">
        <v>37</v>
      </c>
      <c r="O11012" s="3" t="s">
        <v>618</v>
      </c>
      <c r="P11012" s="5">
        <v>9</v>
      </c>
      <c r="Q11012" s="5">
        <v>54</v>
      </c>
      <c r="R11012" s="5">
        <v>9</v>
      </c>
      <c r="S11012" s="5">
        <v>54</v>
      </c>
    </row>
    <row r="11013" spans="1:19" ht="28" x14ac:dyDescent="0.15">
      <c r="A11013" s="2">
        <f>HYPERLINK("https://open-school.uspishnemisto.com.ua/school/560300/", 560300)</f>
        <v>560300</v>
      </c>
      <c r="B11013" s="3" t="s">
        <v>55772</v>
      </c>
      <c r="C11013" s="3" t="s">
        <v>31</v>
      </c>
      <c r="D11013" s="3" t="s">
        <v>32</v>
      </c>
      <c r="E11013" s="4" t="s">
        <v>22</v>
      </c>
      <c r="F11013" s="4" t="s">
        <v>55773</v>
      </c>
      <c r="G11013" s="4" t="s">
        <v>55774</v>
      </c>
      <c r="H11013" s="3" t="s">
        <v>54289</v>
      </c>
      <c r="I11013" s="3" t="s">
        <v>55775</v>
      </c>
      <c r="J11013" s="3" t="s">
        <v>36572</v>
      </c>
      <c r="K11013" s="3" t="s">
        <v>55776</v>
      </c>
      <c r="L11013" s="3"/>
      <c r="M11013" s="4"/>
      <c r="N11013" s="3" t="s">
        <v>37</v>
      </c>
      <c r="O11013" s="3" t="s">
        <v>52</v>
      </c>
      <c r="P11013" s="5">
        <v>11</v>
      </c>
      <c r="Q11013" s="5">
        <v>147</v>
      </c>
      <c r="R11013" s="5">
        <v>11</v>
      </c>
      <c r="S11013" s="5">
        <v>139</v>
      </c>
    </row>
    <row r="11014" spans="1:19" ht="28" x14ac:dyDescent="0.15">
      <c r="A11014" s="2">
        <f>HYPERLINK("https://open-school.uspishnemisto.com.ua/school/560301/", 560301)</f>
        <v>560301</v>
      </c>
      <c r="B11014" s="3" t="s">
        <v>55777</v>
      </c>
      <c r="C11014" s="3" t="s">
        <v>31</v>
      </c>
      <c r="D11014" s="3" t="s">
        <v>32</v>
      </c>
      <c r="E11014" s="4" t="s">
        <v>22</v>
      </c>
      <c r="F11014" s="4" t="s">
        <v>55778</v>
      </c>
      <c r="G11014" s="4" t="s">
        <v>55779</v>
      </c>
      <c r="H11014" s="3" t="s">
        <v>54289</v>
      </c>
      <c r="I11014" s="3" t="s">
        <v>55780</v>
      </c>
      <c r="J11014" s="3" t="s">
        <v>1513</v>
      </c>
      <c r="K11014" s="3" t="s">
        <v>55781</v>
      </c>
      <c r="L11014" s="3"/>
      <c r="M11014" s="4"/>
      <c r="N11014" s="3" t="s">
        <v>37</v>
      </c>
      <c r="O11014" s="3" t="s">
        <v>52</v>
      </c>
      <c r="P11014" s="5">
        <v>11</v>
      </c>
      <c r="Q11014" s="5">
        <v>110</v>
      </c>
      <c r="R11014" s="5">
        <v>11</v>
      </c>
      <c r="S11014" s="5">
        <v>122</v>
      </c>
    </row>
    <row r="11015" spans="1:19" ht="28" x14ac:dyDescent="0.15">
      <c r="A11015" s="2">
        <f>HYPERLINK("https://open-school.uspishnemisto.com.ua/school/560302/", 560302)</f>
        <v>560302</v>
      </c>
      <c r="B11015" s="3" t="s">
        <v>55782</v>
      </c>
      <c r="C11015" s="3" t="s">
        <v>31</v>
      </c>
      <c r="D11015" s="3" t="s">
        <v>32</v>
      </c>
      <c r="E11015" s="4" t="s">
        <v>22</v>
      </c>
      <c r="F11015" s="4"/>
      <c r="G11015" s="4" t="s">
        <v>55783</v>
      </c>
      <c r="H11015" s="3" t="s">
        <v>54289</v>
      </c>
      <c r="I11015" s="3" t="s">
        <v>55784</v>
      </c>
      <c r="J11015" s="3" t="s">
        <v>12466</v>
      </c>
      <c r="K11015" s="3" t="s">
        <v>55785</v>
      </c>
      <c r="L11015" s="3"/>
      <c r="M11015" s="4"/>
      <c r="N11015" s="3" t="s">
        <v>37</v>
      </c>
      <c r="O11015" s="3" t="s">
        <v>618</v>
      </c>
      <c r="P11015" s="5">
        <v>11</v>
      </c>
      <c r="Q11015" s="5">
        <v>137</v>
      </c>
      <c r="R11015" s="5">
        <v>11</v>
      </c>
      <c r="S11015" s="5">
        <v>127</v>
      </c>
    </row>
    <row r="11016" spans="1:19" ht="42" x14ac:dyDescent="0.15">
      <c r="A11016" s="2">
        <f>HYPERLINK("https://open-school.uspishnemisto.com.ua/school/560303/", 560303)</f>
        <v>560303</v>
      </c>
      <c r="B11016" s="3" t="s">
        <v>55786</v>
      </c>
      <c r="C11016" s="3" t="s">
        <v>31</v>
      </c>
      <c r="D11016" s="3" t="s">
        <v>32</v>
      </c>
      <c r="E11016" s="4" t="s">
        <v>22</v>
      </c>
      <c r="F11016" s="4" t="s">
        <v>55787</v>
      </c>
      <c r="G11016" s="4" t="s">
        <v>55788</v>
      </c>
      <c r="H11016" s="3" t="s">
        <v>54289</v>
      </c>
      <c r="I11016" s="3" t="s">
        <v>55789</v>
      </c>
      <c r="J11016" s="3" t="s">
        <v>55790</v>
      </c>
      <c r="K11016" s="3" t="s">
        <v>55791</v>
      </c>
      <c r="L11016" s="3"/>
      <c r="M11016" s="4" t="s">
        <v>55792</v>
      </c>
      <c r="N11016" s="3" t="s">
        <v>37</v>
      </c>
      <c r="O11016" s="3" t="s">
        <v>52</v>
      </c>
      <c r="P11016" s="5">
        <v>10</v>
      </c>
      <c r="Q11016" s="5">
        <v>69</v>
      </c>
      <c r="R11016" s="5">
        <v>10</v>
      </c>
      <c r="S11016" s="5">
        <v>72</v>
      </c>
    </row>
    <row r="11017" spans="1:19" ht="28" x14ac:dyDescent="0.15">
      <c r="A11017" s="2">
        <f>HYPERLINK("https://open-school.uspishnemisto.com.ua/school/560304/", 560304)</f>
        <v>560304</v>
      </c>
      <c r="B11017" s="3" t="s">
        <v>55793</v>
      </c>
      <c r="C11017" s="3" t="s">
        <v>31</v>
      </c>
      <c r="D11017" s="3" t="s">
        <v>32</v>
      </c>
      <c r="E11017" s="4" t="s">
        <v>22</v>
      </c>
      <c r="F11017" s="4" t="s">
        <v>55794</v>
      </c>
      <c r="G11017" s="4" t="s">
        <v>55795</v>
      </c>
      <c r="H11017" s="3" t="s">
        <v>54289</v>
      </c>
      <c r="I11017" s="3" t="s">
        <v>55796</v>
      </c>
      <c r="J11017" s="3" t="s">
        <v>30395</v>
      </c>
      <c r="K11017" s="3" t="s">
        <v>55797</v>
      </c>
      <c r="L11017" s="3"/>
      <c r="M11017" s="4"/>
      <c r="N11017" s="3" t="s">
        <v>37</v>
      </c>
      <c r="O11017" s="3" t="s">
        <v>52</v>
      </c>
      <c r="P11017" s="5">
        <v>12</v>
      </c>
      <c r="Q11017" s="5">
        <v>283</v>
      </c>
      <c r="R11017" s="5">
        <v>12</v>
      </c>
      <c r="S11017" s="5">
        <v>280</v>
      </c>
    </row>
    <row r="11018" spans="1:19" ht="28" x14ac:dyDescent="0.15">
      <c r="A11018" s="2">
        <f>HYPERLINK("https://open-school.uspishnemisto.com.ua/school/560305/", 560305)</f>
        <v>560305</v>
      </c>
      <c r="B11018" s="3" t="s">
        <v>55798</v>
      </c>
      <c r="C11018" s="3" t="s">
        <v>31</v>
      </c>
      <c r="D11018" s="3" t="s">
        <v>175</v>
      </c>
      <c r="E11018" s="4" t="s">
        <v>22</v>
      </c>
      <c r="F11018" s="4" t="s">
        <v>55799</v>
      </c>
      <c r="G11018" s="4" t="s">
        <v>55800</v>
      </c>
      <c r="H11018" s="3" t="s">
        <v>54289</v>
      </c>
      <c r="I11018" s="3" t="s">
        <v>55801</v>
      </c>
      <c r="J11018" s="3" t="s">
        <v>2226</v>
      </c>
      <c r="K11018" s="3" t="s">
        <v>55802</v>
      </c>
      <c r="L11018" s="3"/>
      <c r="M11018" s="4"/>
      <c r="N11018" s="3" t="s">
        <v>37</v>
      </c>
      <c r="O11018" s="3" t="s">
        <v>46</v>
      </c>
      <c r="P11018" s="5">
        <v>12</v>
      </c>
      <c r="Q11018" s="5">
        <v>115</v>
      </c>
      <c r="R11018" s="5">
        <v>12</v>
      </c>
      <c r="S11018" s="5">
        <v>118</v>
      </c>
    </row>
    <row r="11019" spans="1:19" ht="28" x14ac:dyDescent="0.15">
      <c r="A11019" s="2">
        <f>HYPERLINK("https://open-school.uspishnemisto.com.ua/school/560306/", 560306)</f>
        <v>560306</v>
      </c>
      <c r="B11019" s="3" t="s">
        <v>55803</v>
      </c>
      <c r="C11019" s="3" t="s">
        <v>31</v>
      </c>
      <c r="D11019" s="3" t="s">
        <v>175</v>
      </c>
      <c r="E11019" s="4" t="s">
        <v>22</v>
      </c>
      <c r="F11019" s="4" t="s">
        <v>55804</v>
      </c>
      <c r="G11019" s="4" t="s">
        <v>55805</v>
      </c>
      <c r="H11019" s="3" t="s">
        <v>54289</v>
      </c>
      <c r="I11019" s="3" t="s">
        <v>7819</v>
      </c>
      <c r="J11019" s="3" t="s">
        <v>40487</v>
      </c>
      <c r="K11019" s="3" t="s">
        <v>55806</v>
      </c>
      <c r="L11019" s="3"/>
      <c r="M11019" s="4"/>
      <c r="N11019" s="3" t="s">
        <v>37</v>
      </c>
      <c r="O11019" s="3" t="s">
        <v>52</v>
      </c>
      <c r="P11019" s="5">
        <v>9</v>
      </c>
      <c r="Q11019" s="5">
        <v>84</v>
      </c>
      <c r="R11019" s="5">
        <v>9</v>
      </c>
      <c r="S11019" s="5">
        <v>79</v>
      </c>
    </row>
    <row r="11020" spans="1:19" ht="28" x14ac:dyDescent="0.15">
      <c r="A11020" s="2">
        <f>HYPERLINK("https://open-school.uspishnemisto.com.ua/school/560307/", 560307)</f>
        <v>560307</v>
      </c>
      <c r="B11020" s="3" t="s">
        <v>55807</v>
      </c>
      <c r="C11020" s="3" t="s">
        <v>31</v>
      </c>
      <c r="D11020" s="3" t="s">
        <v>175</v>
      </c>
      <c r="E11020" s="4" t="s">
        <v>22</v>
      </c>
      <c r="F11020" s="4" t="s">
        <v>55808</v>
      </c>
      <c r="G11020" s="4" t="s">
        <v>55809</v>
      </c>
      <c r="H11020" s="3" t="s">
        <v>54289</v>
      </c>
      <c r="I11020" s="3" t="s">
        <v>55810</v>
      </c>
      <c r="J11020" s="3" t="s">
        <v>23136</v>
      </c>
      <c r="K11020" s="3" t="s">
        <v>55811</v>
      </c>
      <c r="L11020" s="3"/>
      <c r="M11020" s="4"/>
      <c r="N11020" s="3" t="s">
        <v>37</v>
      </c>
      <c r="O11020" s="3" t="s">
        <v>52</v>
      </c>
      <c r="P11020" s="5">
        <v>8</v>
      </c>
      <c r="Q11020" s="5">
        <v>72</v>
      </c>
      <c r="R11020" s="5">
        <v>8</v>
      </c>
      <c r="S11020" s="5">
        <v>69</v>
      </c>
    </row>
    <row r="11021" spans="1:19" ht="28" x14ac:dyDescent="0.15">
      <c r="A11021" s="2">
        <f>HYPERLINK("https://open-school.uspishnemisto.com.ua/school/560308/", 560308)</f>
        <v>560308</v>
      </c>
      <c r="B11021" s="3" t="s">
        <v>55812</v>
      </c>
      <c r="C11021" s="3" t="s">
        <v>31</v>
      </c>
      <c r="D11021" s="3" t="s">
        <v>32</v>
      </c>
      <c r="E11021" s="4" t="s">
        <v>22</v>
      </c>
      <c r="F11021" s="4" t="s">
        <v>55813</v>
      </c>
      <c r="G11021" s="4" t="s">
        <v>55814</v>
      </c>
      <c r="H11021" s="3" t="s">
        <v>54289</v>
      </c>
      <c r="I11021" s="3" t="s">
        <v>55815</v>
      </c>
      <c r="J11021" s="3" t="s">
        <v>19629</v>
      </c>
      <c r="K11021" s="3" t="s">
        <v>55816</v>
      </c>
      <c r="L11021" s="3"/>
      <c r="M11021" s="4"/>
      <c r="N11021" s="3" t="s">
        <v>37</v>
      </c>
      <c r="O11021" s="3" t="s">
        <v>46</v>
      </c>
      <c r="P11021" s="5">
        <v>4</v>
      </c>
      <c r="Q11021" s="5">
        <v>44</v>
      </c>
      <c r="R11021" s="5">
        <v>4</v>
      </c>
      <c r="S11021" s="5">
        <v>42</v>
      </c>
    </row>
    <row r="11022" spans="1:19" ht="28" x14ac:dyDescent="0.15">
      <c r="A11022" s="2">
        <f>HYPERLINK("https://open-school.uspishnemisto.com.ua/school/560309/", 560309)</f>
        <v>560309</v>
      </c>
      <c r="B11022" s="3" t="s">
        <v>55817</v>
      </c>
      <c r="C11022" s="3" t="s">
        <v>31</v>
      </c>
      <c r="D11022" s="3" t="s">
        <v>32</v>
      </c>
      <c r="E11022" s="4" t="s">
        <v>22</v>
      </c>
      <c r="F11022" s="4" t="s">
        <v>55818</v>
      </c>
      <c r="G11022" s="4" t="s">
        <v>55819</v>
      </c>
      <c r="H11022" s="3" t="s">
        <v>54289</v>
      </c>
      <c r="I11022" s="3" t="s">
        <v>55820</v>
      </c>
      <c r="J11022" s="3" t="s">
        <v>610</v>
      </c>
      <c r="K11022" s="3" t="s">
        <v>55821</v>
      </c>
      <c r="L11022" s="3"/>
      <c r="M11022" s="4"/>
      <c r="N11022" s="3" t="s">
        <v>37</v>
      </c>
      <c r="O11022" s="3" t="s">
        <v>52</v>
      </c>
      <c r="P11022" s="5">
        <v>22</v>
      </c>
      <c r="Q11022" s="5">
        <v>436</v>
      </c>
      <c r="R11022" s="5">
        <v>23</v>
      </c>
      <c r="S11022" s="5">
        <v>444</v>
      </c>
    </row>
    <row r="11023" spans="1:19" ht="28" x14ac:dyDescent="0.15">
      <c r="A11023" s="2">
        <f>HYPERLINK("https://open-school.uspishnemisto.com.ua/school/560310/", 560310)</f>
        <v>560310</v>
      </c>
      <c r="B11023" s="3" t="s">
        <v>55822</v>
      </c>
      <c r="C11023" s="3" t="s">
        <v>31</v>
      </c>
      <c r="D11023" s="3" t="s">
        <v>175</v>
      </c>
      <c r="E11023" s="4" t="s">
        <v>22</v>
      </c>
      <c r="F11023" s="4" t="s">
        <v>55818</v>
      </c>
      <c r="G11023" s="4" t="s">
        <v>55823</v>
      </c>
      <c r="H11023" s="3" t="s">
        <v>54289</v>
      </c>
      <c r="I11023" s="3" t="s">
        <v>55824</v>
      </c>
      <c r="J11023" s="3" t="s">
        <v>55825</v>
      </c>
      <c r="K11023" s="3" t="s">
        <v>55826</v>
      </c>
      <c r="L11023" s="3"/>
      <c r="M11023" s="4"/>
      <c r="N11023" s="3" t="s">
        <v>37</v>
      </c>
      <c r="O11023" s="3" t="s">
        <v>2740</v>
      </c>
      <c r="P11023" s="5">
        <v>6</v>
      </c>
      <c r="Q11023" s="5">
        <v>49</v>
      </c>
      <c r="R11023" s="5">
        <v>5</v>
      </c>
      <c r="S11023" s="5">
        <v>44</v>
      </c>
    </row>
    <row r="11024" spans="1:19" ht="28" x14ac:dyDescent="0.15">
      <c r="A11024" s="2">
        <f>HYPERLINK("https://open-school.uspishnemisto.com.ua/school/560311/", 560311)</f>
        <v>560311</v>
      </c>
      <c r="B11024" s="3" t="s">
        <v>55827</v>
      </c>
      <c r="C11024" s="3" t="s">
        <v>40</v>
      </c>
      <c r="D11024" s="3" t="s">
        <v>32</v>
      </c>
      <c r="E11024" s="4" t="s">
        <v>22</v>
      </c>
      <c r="F11024" s="4" t="s">
        <v>55828</v>
      </c>
      <c r="G11024" s="4" t="s">
        <v>55829</v>
      </c>
      <c r="H11024" s="3" t="s">
        <v>54289</v>
      </c>
      <c r="I11024" s="3" t="s">
        <v>55830</v>
      </c>
      <c r="J11024" s="3" t="s">
        <v>55831</v>
      </c>
      <c r="K11024" s="3" t="s">
        <v>55832</v>
      </c>
      <c r="L11024" s="3" t="s">
        <v>55833</v>
      </c>
      <c r="M11024" s="4" t="s">
        <v>55834</v>
      </c>
      <c r="N11024" s="3" t="s">
        <v>37</v>
      </c>
      <c r="O11024" s="3" t="s">
        <v>237</v>
      </c>
      <c r="P11024" s="5">
        <v>18</v>
      </c>
      <c r="Q11024" s="5">
        <v>470</v>
      </c>
      <c r="R11024" s="5">
        <v>18</v>
      </c>
      <c r="S11024" s="5">
        <v>459</v>
      </c>
    </row>
    <row r="11025" spans="1:19" ht="28" x14ac:dyDescent="0.15">
      <c r="A11025" s="2">
        <f>HYPERLINK("https://open-school.uspishnemisto.com.ua/school/560312/", 560312)</f>
        <v>560312</v>
      </c>
      <c r="B11025" s="3" t="s">
        <v>55835</v>
      </c>
      <c r="C11025" s="3" t="s">
        <v>31</v>
      </c>
      <c r="D11025" s="3" t="s">
        <v>60</v>
      </c>
      <c r="E11025" s="4" t="s">
        <v>22</v>
      </c>
      <c r="F11025" s="4" t="s">
        <v>55836</v>
      </c>
      <c r="G11025" s="4" t="s">
        <v>55829</v>
      </c>
      <c r="H11025" s="3" t="s">
        <v>54289</v>
      </c>
      <c r="I11025" s="3" t="s">
        <v>55830</v>
      </c>
      <c r="J11025" s="3" t="s">
        <v>1482</v>
      </c>
      <c r="K11025" s="3" t="s">
        <v>55837</v>
      </c>
      <c r="L11025" s="3"/>
      <c r="M11025" s="4" t="s">
        <v>55838</v>
      </c>
      <c r="N11025" s="3" t="s">
        <v>37</v>
      </c>
      <c r="O11025" s="3" t="s">
        <v>52</v>
      </c>
      <c r="P11025" s="5">
        <v>12</v>
      </c>
      <c r="Q11025" s="5">
        <v>323</v>
      </c>
      <c r="R11025" s="5">
        <v>12</v>
      </c>
      <c r="S11025" s="5">
        <v>307</v>
      </c>
    </row>
    <row r="11026" spans="1:19" ht="28" x14ac:dyDescent="0.15">
      <c r="A11026" s="2">
        <f>HYPERLINK("https://open-school.uspishnemisto.com.ua/school/560313/", 560313)</f>
        <v>560313</v>
      </c>
      <c r="B11026" s="3" t="s">
        <v>55839</v>
      </c>
      <c r="C11026" s="3" t="s">
        <v>31</v>
      </c>
      <c r="D11026" s="3" t="s">
        <v>32</v>
      </c>
      <c r="E11026" s="4" t="s">
        <v>22</v>
      </c>
      <c r="F11026" s="4" t="s">
        <v>55828</v>
      </c>
      <c r="G11026" s="4" t="s">
        <v>55829</v>
      </c>
      <c r="H11026" s="3" t="s">
        <v>54289</v>
      </c>
      <c r="I11026" s="3" t="s">
        <v>55830</v>
      </c>
      <c r="J11026" s="3" t="s">
        <v>55840</v>
      </c>
      <c r="K11026" s="3"/>
      <c r="L11026" s="3"/>
      <c r="M11026" s="4" t="s">
        <v>55841</v>
      </c>
      <c r="N11026" s="3" t="s">
        <v>37</v>
      </c>
      <c r="O11026" s="3" t="s">
        <v>52</v>
      </c>
      <c r="P11026" s="5">
        <v>20</v>
      </c>
      <c r="Q11026" s="5">
        <v>368</v>
      </c>
      <c r="R11026" s="5">
        <v>20</v>
      </c>
      <c r="S11026" s="5">
        <v>368</v>
      </c>
    </row>
    <row r="11027" spans="1:19" ht="28" x14ac:dyDescent="0.15">
      <c r="A11027" s="2">
        <f>HYPERLINK("https://open-school.uspishnemisto.com.ua/school/560314/", 560314)</f>
        <v>560314</v>
      </c>
      <c r="B11027" s="3" t="s">
        <v>55842</v>
      </c>
      <c r="C11027" s="3" t="s">
        <v>31</v>
      </c>
      <c r="D11027" s="3" t="s">
        <v>32</v>
      </c>
      <c r="E11027" s="4" t="s">
        <v>22</v>
      </c>
      <c r="F11027" s="4" t="s">
        <v>55843</v>
      </c>
      <c r="G11027" s="4" t="s">
        <v>55829</v>
      </c>
      <c r="H11027" s="3" t="s">
        <v>54289</v>
      </c>
      <c r="I11027" s="3" t="s">
        <v>55830</v>
      </c>
      <c r="J11027" s="3" t="s">
        <v>55844</v>
      </c>
      <c r="K11027" s="3" t="s">
        <v>55845</v>
      </c>
      <c r="L11027" s="3"/>
      <c r="M11027" s="4" t="s">
        <v>55846</v>
      </c>
      <c r="N11027" s="3" t="s">
        <v>37</v>
      </c>
      <c r="O11027" s="3" t="s">
        <v>266</v>
      </c>
      <c r="P11027" s="5">
        <v>18</v>
      </c>
      <c r="Q11027" s="5">
        <v>364</v>
      </c>
      <c r="R11027" s="5">
        <v>17</v>
      </c>
      <c r="S11027" s="5">
        <v>341</v>
      </c>
    </row>
    <row r="11028" spans="1:19" ht="28" x14ac:dyDescent="0.15">
      <c r="A11028" s="2">
        <f>HYPERLINK("https://open-school.uspishnemisto.com.ua/school/560315/", 560315)</f>
        <v>560315</v>
      </c>
      <c r="B11028" s="3" t="s">
        <v>55847</v>
      </c>
      <c r="C11028" s="3" t="s">
        <v>31</v>
      </c>
      <c r="D11028" s="3" t="s">
        <v>32</v>
      </c>
      <c r="E11028" s="4" t="s">
        <v>22</v>
      </c>
      <c r="F11028" s="4" t="s">
        <v>55848</v>
      </c>
      <c r="G11028" s="4" t="s">
        <v>55829</v>
      </c>
      <c r="H11028" s="3" t="s">
        <v>54289</v>
      </c>
      <c r="I11028" s="3" t="s">
        <v>55830</v>
      </c>
      <c r="J11028" s="3" t="s">
        <v>55849</v>
      </c>
      <c r="K11028" s="3" t="s">
        <v>55850</v>
      </c>
      <c r="L11028" s="3"/>
      <c r="M11028" s="4" t="s">
        <v>55851</v>
      </c>
      <c r="N11028" s="3" t="s">
        <v>37</v>
      </c>
      <c r="O11028" s="3" t="s">
        <v>52</v>
      </c>
      <c r="P11028" s="5">
        <v>20</v>
      </c>
      <c r="Q11028" s="5">
        <v>486</v>
      </c>
      <c r="R11028" s="5">
        <v>20</v>
      </c>
      <c r="S11028" s="5">
        <v>498</v>
      </c>
    </row>
    <row r="11029" spans="1:19" ht="28" x14ac:dyDescent="0.15">
      <c r="A11029" s="2">
        <f>HYPERLINK("https://open-school.uspishnemisto.com.ua/school/560316/", 560316)</f>
        <v>560316</v>
      </c>
      <c r="B11029" s="3" t="s">
        <v>55852</v>
      </c>
      <c r="C11029" s="3" t="s">
        <v>31</v>
      </c>
      <c r="D11029" s="3" t="s">
        <v>32</v>
      </c>
      <c r="E11029" s="4" t="s">
        <v>22</v>
      </c>
      <c r="F11029" s="4" t="s">
        <v>55828</v>
      </c>
      <c r="G11029" s="4" t="s">
        <v>55829</v>
      </c>
      <c r="H11029" s="3" t="s">
        <v>54289</v>
      </c>
      <c r="I11029" s="3" t="s">
        <v>55830</v>
      </c>
      <c r="J11029" s="3" t="s">
        <v>3363</v>
      </c>
      <c r="K11029" s="3" t="s">
        <v>55853</v>
      </c>
      <c r="L11029" s="3"/>
      <c r="M11029" s="4" t="s">
        <v>55854</v>
      </c>
      <c r="N11029" s="3" t="s">
        <v>37</v>
      </c>
      <c r="O11029" s="3" t="s">
        <v>46</v>
      </c>
      <c r="P11029" s="5">
        <v>22</v>
      </c>
      <c r="Q11029" s="5">
        <v>568</v>
      </c>
      <c r="R11029" s="5">
        <v>23</v>
      </c>
      <c r="S11029" s="5">
        <v>552</v>
      </c>
    </row>
    <row r="11030" spans="1:19" ht="28" x14ac:dyDescent="0.15">
      <c r="A11030" s="2">
        <f>HYPERLINK("https://open-school.uspishnemisto.com.ua/school/560317/", 560317)</f>
        <v>560317</v>
      </c>
      <c r="B11030" s="3" t="s">
        <v>55855</v>
      </c>
      <c r="C11030" s="3" t="s">
        <v>31</v>
      </c>
      <c r="D11030" s="3" t="s">
        <v>32</v>
      </c>
      <c r="E11030" s="4" t="s">
        <v>22</v>
      </c>
      <c r="F11030" s="4" t="s">
        <v>55836</v>
      </c>
      <c r="G11030" s="4" t="s">
        <v>55829</v>
      </c>
      <c r="H11030" s="3" t="s">
        <v>54289</v>
      </c>
      <c r="I11030" s="3" t="s">
        <v>55830</v>
      </c>
      <c r="J11030" s="3" t="s">
        <v>1451</v>
      </c>
      <c r="K11030" s="3" t="s">
        <v>55856</v>
      </c>
      <c r="L11030" s="3"/>
      <c r="M11030" s="4" t="s">
        <v>55857</v>
      </c>
      <c r="N11030" s="3" t="s">
        <v>37</v>
      </c>
      <c r="O11030" s="3" t="s">
        <v>266</v>
      </c>
      <c r="P11030" s="5">
        <v>34</v>
      </c>
      <c r="Q11030" s="5">
        <v>883</v>
      </c>
      <c r="R11030" s="5">
        <v>33</v>
      </c>
      <c r="S11030" s="5">
        <v>835</v>
      </c>
    </row>
    <row r="11031" spans="1:19" ht="28" x14ac:dyDescent="0.15">
      <c r="A11031" s="2">
        <f>HYPERLINK("https://open-school.uspishnemisto.com.ua/school/560318/", 560318)</f>
        <v>560318</v>
      </c>
      <c r="B11031" s="3" t="s">
        <v>55858</v>
      </c>
      <c r="C11031" s="3" t="s">
        <v>181</v>
      </c>
      <c r="D11031" s="3" t="s">
        <v>175</v>
      </c>
      <c r="E11031" s="4" t="s">
        <v>22</v>
      </c>
      <c r="F11031" s="4" t="s">
        <v>55859</v>
      </c>
      <c r="G11031" s="4" t="s">
        <v>55860</v>
      </c>
      <c r="H11031" s="3" t="s">
        <v>54289</v>
      </c>
      <c r="I11031" s="3" t="s">
        <v>55861</v>
      </c>
      <c r="J11031" s="3" t="s">
        <v>55862</v>
      </c>
      <c r="K11031" s="3" t="s">
        <v>55863</v>
      </c>
      <c r="L11031" s="3" t="s">
        <v>55864</v>
      </c>
      <c r="M11031" s="4" t="s">
        <v>55865</v>
      </c>
      <c r="N11031" s="3" t="s">
        <v>37</v>
      </c>
      <c r="O11031" s="3" t="s">
        <v>52</v>
      </c>
      <c r="P11031" s="5">
        <v>17</v>
      </c>
      <c r="Q11031" s="5">
        <v>157</v>
      </c>
      <c r="R11031" s="5">
        <v>17</v>
      </c>
      <c r="S11031" s="5">
        <v>155</v>
      </c>
    </row>
    <row r="11032" spans="1:19" ht="28" x14ac:dyDescent="0.15">
      <c r="A11032" s="2">
        <f>HYPERLINK("https://open-school.uspishnemisto.com.ua/school/560319/", 560319)</f>
        <v>560319</v>
      </c>
      <c r="B11032" s="3" t="s">
        <v>55866</v>
      </c>
      <c r="C11032" s="3" t="s">
        <v>54</v>
      </c>
      <c r="D11032" s="3" t="s">
        <v>32</v>
      </c>
      <c r="E11032" s="4" t="s">
        <v>22</v>
      </c>
      <c r="F11032" s="4" t="s">
        <v>55867</v>
      </c>
      <c r="G11032" s="4" t="s">
        <v>55860</v>
      </c>
      <c r="H11032" s="3" t="s">
        <v>54289</v>
      </c>
      <c r="I11032" s="3" t="s">
        <v>55861</v>
      </c>
      <c r="J11032" s="3" t="s">
        <v>55868</v>
      </c>
      <c r="K11032" s="3" t="s">
        <v>55869</v>
      </c>
      <c r="L11032" s="3"/>
      <c r="M11032" s="4" t="s">
        <v>55870</v>
      </c>
      <c r="N11032" s="3" t="s">
        <v>37</v>
      </c>
      <c r="O11032" s="3" t="s">
        <v>46</v>
      </c>
      <c r="P11032" s="5">
        <v>21</v>
      </c>
      <c r="Q11032" s="5">
        <v>478</v>
      </c>
      <c r="R11032" s="5">
        <v>21</v>
      </c>
      <c r="S11032" s="5">
        <v>472</v>
      </c>
    </row>
    <row r="11033" spans="1:19" ht="56" x14ac:dyDescent="0.15">
      <c r="A11033" s="2">
        <f>HYPERLINK("https://open-school.uspishnemisto.com.ua/school/560320/", 560320)</f>
        <v>560320</v>
      </c>
      <c r="B11033" s="3" t="s">
        <v>55871</v>
      </c>
      <c r="C11033" s="3" t="s">
        <v>54</v>
      </c>
      <c r="D11033" s="3" t="s">
        <v>32</v>
      </c>
      <c r="E11033" s="4" t="s">
        <v>22</v>
      </c>
      <c r="F11033" s="4" t="s">
        <v>55872</v>
      </c>
      <c r="G11033" s="4" t="s">
        <v>55873</v>
      </c>
      <c r="H11033" s="3" t="s">
        <v>54289</v>
      </c>
      <c r="I11033" s="3" t="s">
        <v>6373</v>
      </c>
      <c r="J11033" s="3" t="s">
        <v>55874</v>
      </c>
      <c r="K11033" s="3"/>
      <c r="L11033" s="3"/>
      <c r="M11033" s="4" t="s">
        <v>55875</v>
      </c>
      <c r="N11033" s="3" t="s">
        <v>37</v>
      </c>
      <c r="O11033" s="3" t="s">
        <v>70</v>
      </c>
      <c r="P11033" s="5">
        <v>11</v>
      </c>
      <c r="Q11033" s="5">
        <v>129</v>
      </c>
      <c r="R11033" s="5">
        <v>11</v>
      </c>
      <c r="S11033" s="5">
        <v>122</v>
      </c>
    </row>
    <row r="11034" spans="1:19" ht="28" x14ac:dyDescent="0.15">
      <c r="A11034" s="2">
        <f>HYPERLINK("https://open-school.uspishnemisto.com.ua/school/560321/", 560321)</f>
        <v>560321</v>
      </c>
      <c r="B11034" s="3" t="s">
        <v>55876</v>
      </c>
      <c r="C11034" s="3" t="s">
        <v>31</v>
      </c>
      <c r="D11034" s="3" t="s">
        <v>60</v>
      </c>
      <c r="E11034" s="4" t="s">
        <v>22</v>
      </c>
      <c r="F11034" s="4" t="s">
        <v>55877</v>
      </c>
      <c r="G11034" s="4" t="s">
        <v>55878</v>
      </c>
      <c r="H11034" s="3" t="s">
        <v>54289</v>
      </c>
      <c r="I11034" s="3" t="s">
        <v>55879</v>
      </c>
      <c r="J11034" s="3" t="s">
        <v>55880</v>
      </c>
      <c r="K11034" s="3" t="s">
        <v>55881</v>
      </c>
      <c r="L11034" s="3"/>
      <c r="M11034" s="4"/>
      <c r="N11034" s="3" t="s">
        <v>37</v>
      </c>
      <c r="O11034" s="3" t="s">
        <v>52</v>
      </c>
      <c r="P11034" s="5">
        <v>4</v>
      </c>
      <c r="Q11034" s="5">
        <v>32</v>
      </c>
      <c r="R11034" s="5">
        <v>3</v>
      </c>
      <c r="S11034" s="5">
        <v>24</v>
      </c>
    </row>
    <row r="11035" spans="1:19" ht="28" x14ac:dyDescent="0.15">
      <c r="A11035" s="2">
        <f>HYPERLINK("https://open-school.uspishnemisto.com.ua/school/560322/", 560322)</f>
        <v>560322</v>
      </c>
      <c r="B11035" s="3" t="s">
        <v>55882</v>
      </c>
      <c r="C11035" s="3" t="s">
        <v>31</v>
      </c>
      <c r="D11035" s="3" t="s">
        <v>60</v>
      </c>
      <c r="E11035" s="4" t="s">
        <v>22</v>
      </c>
      <c r="F11035" s="4" t="s">
        <v>55883</v>
      </c>
      <c r="G11035" s="4" t="s">
        <v>55884</v>
      </c>
      <c r="H11035" s="3" t="s">
        <v>54289</v>
      </c>
      <c r="I11035" s="3" t="s">
        <v>55885</v>
      </c>
      <c r="J11035" s="3" t="s">
        <v>28384</v>
      </c>
      <c r="K11035" s="3" t="s">
        <v>55886</v>
      </c>
      <c r="L11035" s="3"/>
      <c r="M11035" s="4"/>
      <c r="N11035" s="3" t="s">
        <v>37</v>
      </c>
      <c r="O11035" s="3" t="s">
        <v>52</v>
      </c>
      <c r="P11035" s="5">
        <v>1</v>
      </c>
      <c r="Q11035" s="5">
        <v>13</v>
      </c>
      <c r="R11035" s="5">
        <v>1</v>
      </c>
      <c r="S11035" s="5">
        <v>15</v>
      </c>
    </row>
    <row r="11036" spans="1:19" ht="28" x14ac:dyDescent="0.15">
      <c r="A11036" s="2">
        <f>HYPERLINK("https://open-school.uspishnemisto.com.ua/school/560323/", 560323)</f>
        <v>560323</v>
      </c>
      <c r="B11036" s="3" t="s">
        <v>55887</v>
      </c>
      <c r="C11036" s="3" t="s">
        <v>31</v>
      </c>
      <c r="D11036" s="3" t="s">
        <v>32</v>
      </c>
      <c r="E11036" s="4" t="s">
        <v>22</v>
      </c>
      <c r="F11036" s="4" t="s">
        <v>55888</v>
      </c>
      <c r="G11036" s="4" t="s">
        <v>55889</v>
      </c>
      <c r="H11036" s="3" t="s">
        <v>54289</v>
      </c>
      <c r="I11036" s="3" t="s">
        <v>55890</v>
      </c>
      <c r="J11036" s="3" t="s">
        <v>55891</v>
      </c>
      <c r="K11036" s="3" t="s">
        <v>55892</v>
      </c>
      <c r="L11036" s="3"/>
      <c r="M11036" s="4" t="s">
        <v>55893</v>
      </c>
      <c r="N11036" s="3" t="s">
        <v>37</v>
      </c>
      <c r="O11036" s="3" t="s">
        <v>52</v>
      </c>
      <c r="P11036" s="5">
        <v>10</v>
      </c>
      <c r="Q11036" s="5">
        <v>71</v>
      </c>
      <c r="R11036" s="5">
        <v>10</v>
      </c>
      <c r="S11036" s="5">
        <v>65</v>
      </c>
    </row>
    <row r="11037" spans="1:19" ht="28" x14ac:dyDescent="0.15">
      <c r="A11037" s="2">
        <f>HYPERLINK("https://open-school.uspishnemisto.com.ua/school/560324/", 560324)</f>
        <v>560324</v>
      </c>
      <c r="B11037" s="3" t="s">
        <v>55894</v>
      </c>
      <c r="C11037" s="3" t="s">
        <v>31</v>
      </c>
      <c r="D11037" s="3" t="s">
        <v>32</v>
      </c>
      <c r="E11037" s="4" t="s">
        <v>22</v>
      </c>
      <c r="F11037" s="4" t="s">
        <v>55895</v>
      </c>
      <c r="G11037" s="4" t="s">
        <v>55896</v>
      </c>
      <c r="H11037" s="3" t="s">
        <v>54289</v>
      </c>
      <c r="I11037" s="3" t="s">
        <v>55897</v>
      </c>
      <c r="J11037" s="3" t="s">
        <v>55898</v>
      </c>
      <c r="K11037" s="3" t="s">
        <v>55899</v>
      </c>
      <c r="L11037" s="3"/>
      <c r="M11037" s="4" t="s">
        <v>55900</v>
      </c>
      <c r="N11037" s="3" t="s">
        <v>37</v>
      </c>
      <c r="O11037" s="3" t="s">
        <v>52</v>
      </c>
      <c r="P11037" s="5">
        <v>11</v>
      </c>
      <c r="Q11037" s="5">
        <v>91</v>
      </c>
      <c r="R11037" s="5">
        <v>11</v>
      </c>
      <c r="S11037" s="5">
        <v>98</v>
      </c>
    </row>
    <row r="11038" spans="1:19" ht="28" x14ac:dyDescent="0.15">
      <c r="A11038" s="2">
        <f>HYPERLINK("https://open-school.uspishnemisto.com.ua/school/560325/", 560325)</f>
        <v>560325</v>
      </c>
      <c r="B11038" s="3" t="s">
        <v>55901</v>
      </c>
      <c r="C11038" s="3" t="s">
        <v>31</v>
      </c>
      <c r="D11038" s="3" t="s">
        <v>32</v>
      </c>
      <c r="E11038" s="4" t="s">
        <v>22</v>
      </c>
      <c r="F11038" s="4" t="s">
        <v>55902</v>
      </c>
      <c r="G11038" s="4" t="s">
        <v>55903</v>
      </c>
      <c r="H11038" s="3" t="s">
        <v>54289</v>
      </c>
      <c r="I11038" s="3" t="s">
        <v>1826</v>
      </c>
      <c r="J11038" s="3" t="s">
        <v>6598</v>
      </c>
      <c r="K11038" s="3" t="s">
        <v>55904</v>
      </c>
      <c r="L11038" s="3" t="s">
        <v>55905</v>
      </c>
      <c r="M11038" s="4" t="s">
        <v>55906</v>
      </c>
      <c r="N11038" s="3" t="s">
        <v>37</v>
      </c>
      <c r="O11038" s="3" t="s">
        <v>46</v>
      </c>
      <c r="P11038" s="5">
        <v>11</v>
      </c>
      <c r="Q11038" s="5">
        <v>203</v>
      </c>
      <c r="R11038" s="5">
        <v>11</v>
      </c>
      <c r="S11038" s="5">
        <v>195</v>
      </c>
    </row>
    <row r="11039" spans="1:19" ht="42" x14ac:dyDescent="0.15">
      <c r="A11039" s="2">
        <f>HYPERLINK("https://open-school.uspishnemisto.com.ua/school/560326/", 560326)</f>
        <v>560326</v>
      </c>
      <c r="B11039" s="3" t="s">
        <v>55907</v>
      </c>
      <c r="C11039" s="3" t="s">
        <v>54</v>
      </c>
      <c r="D11039" s="3" t="s">
        <v>32</v>
      </c>
      <c r="E11039" s="4" t="s">
        <v>22</v>
      </c>
      <c r="F11039" s="4" t="s">
        <v>55908</v>
      </c>
      <c r="G11039" s="4" t="s">
        <v>55909</v>
      </c>
      <c r="H11039" s="3" t="s">
        <v>54289</v>
      </c>
      <c r="I11039" s="3" t="s">
        <v>55910</v>
      </c>
      <c r="J11039" s="3" t="s">
        <v>466</v>
      </c>
      <c r="K11039" s="3" t="s">
        <v>55911</v>
      </c>
      <c r="L11039" s="3"/>
      <c r="M11039" s="4" t="s">
        <v>55912</v>
      </c>
      <c r="N11039" s="3" t="s">
        <v>37</v>
      </c>
      <c r="O11039" s="3" t="s">
        <v>52</v>
      </c>
      <c r="P11039" s="5">
        <v>11</v>
      </c>
      <c r="Q11039" s="5">
        <v>114</v>
      </c>
      <c r="R11039" s="5">
        <v>10</v>
      </c>
      <c r="S11039" s="5">
        <v>111</v>
      </c>
    </row>
    <row r="11040" spans="1:19" ht="28" x14ac:dyDescent="0.15">
      <c r="A11040" s="2">
        <f>HYPERLINK("https://open-school.uspishnemisto.com.ua/school/560327/", 560327)</f>
        <v>560327</v>
      </c>
      <c r="B11040" s="3" t="s">
        <v>55913</v>
      </c>
      <c r="C11040" s="3" t="s">
        <v>31</v>
      </c>
      <c r="D11040" s="3" t="s">
        <v>60</v>
      </c>
      <c r="E11040" s="4" t="s">
        <v>22</v>
      </c>
      <c r="F11040" s="4" t="s">
        <v>55914</v>
      </c>
      <c r="G11040" s="4" t="s">
        <v>55915</v>
      </c>
      <c r="H11040" s="3" t="s">
        <v>54289</v>
      </c>
      <c r="I11040" s="3" t="s">
        <v>55916</v>
      </c>
      <c r="J11040" s="3" t="s">
        <v>28925</v>
      </c>
      <c r="K11040" s="3" t="s">
        <v>55917</v>
      </c>
      <c r="L11040" s="3"/>
      <c r="M11040" s="4"/>
      <c r="N11040" s="3" t="s">
        <v>37</v>
      </c>
      <c r="O11040" s="3" t="s">
        <v>52</v>
      </c>
      <c r="P11040" s="5">
        <v>1</v>
      </c>
      <c r="Q11040" s="5">
        <v>16</v>
      </c>
      <c r="R11040" s="5">
        <v>1</v>
      </c>
      <c r="S11040" s="5">
        <v>15</v>
      </c>
    </row>
    <row r="11041" spans="1:19" ht="28" x14ac:dyDescent="0.15">
      <c r="A11041" s="2">
        <f>HYPERLINK("https://open-school.uspishnemisto.com.ua/school/560328/", 560328)</f>
        <v>560328</v>
      </c>
      <c r="B11041" s="3" t="s">
        <v>55918</v>
      </c>
      <c r="C11041" s="3" t="s">
        <v>31</v>
      </c>
      <c r="D11041" s="3" t="s">
        <v>32</v>
      </c>
      <c r="E11041" s="4" t="s">
        <v>22</v>
      </c>
      <c r="F11041" s="4" t="s">
        <v>55919</v>
      </c>
      <c r="G11041" s="4" t="s">
        <v>55920</v>
      </c>
      <c r="H11041" s="3" t="s">
        <v>54289</v>
      </c>
      <c r="I11041" s="3" t="s">
        <v>55348</v>
      </c>
      <c r="J11041" s="3" t="s">
        <v>55921</v>
      </c>
      <c r="K11041" s="3" t="s">
        <v>55922</v>
      </c>
      <c r="L11041" s="3"/>
      <c r="M11041" s="4" t="s">
        <v>55923</v>
      </c>
      <c r="N11041" s="3" t="s">
        <v>37</v>
      </c>
      <c r="O11041" s="3" t="s">
        <v>52</v>
      </c>
      <c r="P11041" s="5">
        <v>22</v>
      </c>
      <c r="Q11041" s="5">
        <v>530</v>
      </c>
      <c r="R11041" s="5">
        <v>23</v>
      </c>
      <c r="S11041" s="5">
        <v>529</v>
      </c>
    </row>
    <row r="11042" spans="1:19" ht="28" x14ac:dyDescent="0.15">
      <c r="A11042" s="2">
        <f>HYPERLINK("https://open-school.uspishnemisto.com.ua/school/560329/", 560329)</f>
        <v>560329</v>
      </c>
      <c r="B11042" s="3" t="s">
        <v>55924</v>
      </c>
      <c r="C11042" s="3" t="s">
        <v>31</v>
      </c>
      <c r="D11042" s="3" t="s">
        <v>32</v>
      </c>
      <c r="E11042" s="4" t="s">
        <v>22</v>
      </c>
      <c r="F11042" s="4" t="s">
        <v>55925</v>
      </c>
      <c r="G11042" s="4" t="s">
        <v>55926</v>
      </c>
      <c r="H11042" s="3" t="s">
        <v>54289</v>
      </c>
      <c r="I11042" s="3" t="s">
        <v>55927</v>
      </c>
      <c r="J11042" s="3" t="s">
        <v>634</v>
      </c>
      <c r="K11042" s="3" t="s">
        <v>55928</v>
      </c>
      <c r="L11042" s="3"/>
      <c r="M11042" s="4" t="s">
        <v>55929</v>
      </c>
      <c r="N11042" s="3" t="s">
        <v>37</v>
      </c>
      <c r="O11042" s="3" t="s">
        <v>52</v>
      </c>
      <c r="P11042" s="5">
        <v>11</v>
      </c>
      <c r="Q11042" s="5">
        <v>148</v>
      </c>
      <c r="R11042" s="5">
        <v>11</v>
      </c>
      <c r="S11042" s="5">
        <v>155</v>
      </c>
    </row>
    <row r="11043" spans="1:19" ht="28" x14ac:dyDescent="0.15">
      <c r="A11043" s="2">
        <f>HYPERLINK("https://open-school.uspishnemisto.com.ua/school/560330/", 560330)</f>
        <v>560330</v>
      </c>
      <c r="B11043" s="3" t="s">
        <v>55930</v>
      </c>
      <c r="C11043" s="3" t="s">
        <v>31</v>
      </c>
      <c r="D11043" s="3" t="s">
        <v>175</v>
      </c>
      <c r="E11043" s="4" t="s">
        <v>22</v>
      </c>
      <c r="F11043" s="4" t="s">
        <v>55931</v>
      </c>
      <c r="G11043" s="4" t="s">
        <v>55932</v>
      </c>
      <c r="H11043" s="3" t="s">
        <v>54289</v>
      </c>
      <c r="I11043" s="3" t="s">
        <v>55933</v>
      </c>
      <c r="J11043" s="3" t="s">
        <v>55934</v>
      </c>
      <c r="K11043" s="3" t="s">
        <v>55935</v>
      </c>
      <c r="L11043" s="3" t="s">
        <v>55936</v>
      </c>
      <c r="M11043" s="4" t="s">
        <v>55937</v>
      </c>
      <c r="N11043" s="3" t="s">
        <v>37</v>
      </c>
      <c r="O11043" s="3" t="s">
        <v>52</v>
      </c>
      <c r="P11043" s="5">
        <v>9</v>
      </c>
      <c r="Q11043" s="5">
        <v>126</v>
      </c>
      <c r="R11043" s="5">
        <v>9</v>
      </c>
      <c r="S11043" s="5">
        <v>114</v>
      </c>
    </row>
    <row r="11044" spans="1:19" ht="28" x14ac:dyDescent="0.15">
      <c r="A11044" s="2">
        <f>HYPERLINK("https://open-school.uspishnemisto.com.ua/school/560331/", 560331)</f>
        <v>560331</v>
      </c>
      <c r="B11044" s="3" t="s">
        <v>55938</v>
      </c>
      <c r="C11044" s="3" t="s">
        <v>31</v>
      </c>
      <c r="D11044" s="3" t="s">
        <v>175</v>
      </c>
      <c r="E11044" s="4" t="s">
        <v>22</v>
      </c>
      <c r="F11044" s="4" t="s">
        <v>55939</v>
      </c>
      <c r="G11044" s="4" t="s">
        <v>55940</v>
      </c>
      <c r="H11044" s="3" t="s">
        <v>54289</v>
      </c>
      <c r="I11044" s="3" t="s">
        <v>55941</v>
      </c>
      <c r="J11044" s="3" t="s">
        <v>55942</v>
      </c>
      <c r="K11044" s="3" t="s">
        <v>55943</v>
      </c>
      <c r="L11044" s="3"/>
      <c r="M11044" s="4" t="s">
        <v>55944</v>
      </c>
      <c r="N11044" s="3" t="s">
        <v>37</v>
      </c>
      <c r="O11044" s="3" t="s">
        <v>52</v>
      </c>
      <c r="P11044" s="5">
        <v>2</v>
      </c>
      <c r="Q11044" s="5">
        <v>28</v>
      </c>
      <c r="R11044" s="5">
        <v>1</v>
      </c>
      <c r="S11044" s="5">
        <v>27</v>
      </c>
    </row>
    <row r="11045" spans="1:19" ht="28" x14ac:dyDescent="0.15">
      <c r="A11045" s="2">
        <f>HYPERLINK("https://open-school.uspishnemisto.com.ua/school/560332/", 560332)</f>
        <v>560332</v>
      </c>
      <c r="B11045" s="3" t="s">
        <v>55945</v>
      </c>
      <c r="C11045" s="3" t="s">
        <v>31</v>
      </c>
      <c r="D11045" s="3" t="s">
        <v>175</v>
      </c>
      <c r="E11045" s="4" t="s">
        <v>22</v>
      </c>
      <c r="F11045" s="4" t="s">
        <v>55946</v>
      </c>
      <c r="G11045" s="4" t="s">
        <v>55947</v>
      </c>
      <c r="H11045" s="3" t="s">
        <v>54289</v>
      </c>
      <c r="I11045" s="3" t="s">
        <v>55948</v>
      </c>
      <c r="J11045" s="3" t="s">
        <v>55949</v>
      </c>
      <c r="K11045" s="3" t="s">
        <v>55950</v>
      </c>
      <c r="L11045" s="3"/>
      <c r="M11045" s="4" t="s">
        <v>55951</v>
      </c>
      <c r="N11045" s="3" t="s">
        <v>37</v>
      </c>
      <c r="O11045" s="3" t="s">
        <v>52</v>
      </c>
      <c r="P11045" s="5">
        <v>6</v>
      </c>
      <c r="Q11045" s="5">
        <v>49</v>
      </c>
      <c r="R11045" s="5">
        <v>5</v>
      </c>
      <c r="S11045" s="5">
        <v>48</v>
      </c>
    </row>
    <row r="11046" spans="1:19" ht="28" x14ac:dyDescent="0.15">
      <c r="A11046" s="2">
        <f>HYPERLINK("https://open-school.uspishnemisto.com.ua/school/560333/", 560333)</f>
        <v>560333</v>
      </c>
      <c r="B11046" s="3" t="s">
        <v>55952</v>
      </c>
      <c r="C11046" s="3" t="s">
        <v>31</v>
      </c>
      <c r="D11046" s="3" t="s">
        <v>175</v>
      </c>
      <c r="E11046" s="4" t="s">
        <v>22</v>
      </c>
      <c r="F11046" s="4" t="s">
        <v>55953</v>
      </c>
      <c r="G11046" s="4" t="s">
        <v>55954</v>
      </c>
      <c r="H11046" s="3" t="s">
        <v>54289</v>
      </c>
      <c r="I11046" s="3" t="s">
        <v>55955</v>
      </c>
      <c r="J11046" s="3" t="s">
        <v>55956</v>
      </c>
      <c r="K11046" s="3" t="s">
        <v>55957</v>
      </c>
      <c r="L11046" s="3"/>
      <c r="M11046" s="4" t="s">
        <v>55958</v>
      </c>
      <c r="N11046" s="3" t="s">
        <v>37</v>
      </c>
      <c r="O11046" s="3" t="s">
        <v>52</v>
      </c>
      <c r="P11046" s="5">
        <v>9</v>
      </c>
      <c r="Q11046" s="5">
        <v>85</v>
      </c>
      <c r="R11046" s="5">
        <v>9</v>
      </c>
      <c r="S11046" s="5">
        <v>79</v>
      </c>
    </row>
    <row r="11047" spans="1:19" ht="56" x14ac:dyDescent="0.15">
      <c r="A11047" s="2">
        <f>HYPERLINK("https://open-school.uspishnemisto.com.ua/school/560334/", 560334)</f>
        <v>560334</v>
      </c>
      <c r="B11047" s="3" t="s">
        <v>55959</v>
      </c>
      <c r="C11047" s="3" t="s">
        <v>54</v>
      </c>
      <c r="D11047" s="3" t="s">
        <v>175</v>
      </c>
      <c r="E11047" s="4" t="s">
        <v>22</v>
      </c>
      <c r="F11047" s="4" t="s">
        <v>55960</v>
      </c>
      <c r="G11047" s="4" t="s">
        <v>55961</v>
      </c>
      <c r="H11047" s="3" t="s">
        <v>54289</v>
      </c>
      <c r="I11047" s="3" t="s">
        <v>5383</v>
      </c>
      <c r="J11047" s="3" t="s">
        <v>1636</v>
      </c>
      <c r="K11047" s="3" t="s">
        <v>55962</v>
      </c>
      <c r="L11047" s="3"/>
      <c r="M11047" s="4" t="s">
        <v>55963</v>
      </c>
      <c r="N11047" s="3" t="s">
        <v>37</v>
      </c>
      <c r="O11047" s="3" t="s">
        <v>52</v>
      </c>
      <c r="P11047" s="5">
        <v>4</v>
      </c>
      <c r="Q11047" s="5">
        <v>44</v>
      </c>
      <c r="R11047" s="5">
        <v>3</v>
      </c>
      <c r="S11047" s="5">
        <v>39</v>
      </c>
    </row>
    <row r="11048" spans="1:19" ht="28" x14ac:dyDescent="0.15">
      <c r="A11048" s="2">
        <f>HYPERLINK("https://open-school.uspishnemisto.com.ua/school/560335/", 560335)</f>
        <v>560335</v>
      </c>
      <c r="B11048" s="3" t="s">
        <v>55964</v>
      </c>
      <c r="C11048" s="3" t="s">
        <v>31</v>
      </c>
      <c r="D11048" s="3" t="s">
        <v>175</v>
      </c>
      <c r="E11048" s="4" t="s">
        <v>22</v>
      </c>
      <c r="F11048" s="4" t="s">
        <v>55965</v>
      </c>
      <c r="G11048" s="4" t="s">
        <v>55966</v>
      </c>
      <c r="H11048" s="3" t="s">
        <v>54289</v>
      </c>
      <c r="I11048" s="3" t="s">
        <v>55967</v>
      </c>
      <c r="J11048" s="3" t="s">
        <v>1636</v>
      </c>
      <c r="K11048" s="3" t="s">
        <v>55968</v>
      </c>
      <c r="L11048" s="3"/>
      <c r="M11048" s="4" t="s">
        <v>55969</v>
      </c>
      <c r="N11048" s="3" t="s">
        <v>37</v>
      </c>
      <c r="O11048" s="3" t="s">
        <v>38</v>
      </c>
      <c r="P11048" s="5">
        <v>8</v>
      </c>
      <c r="Q11048" s="5">
        <v>45</v>
      </c>
      <c r="R11048" s="5">
        <v>8</v>
      </c>
      <c r="S11048" s="5">
        <v>47</v>
      </c>
    </row>
    <row r="11049" spans="1:19" ht="28" x14ac:dyDescent="0.15">
      <c r="A11049" s="2">
        <f>HYPERLINK("https://open-school.uspishnemisto.com.ua/school/560336/", 560336)</f>
        <v>560336</v>
      </c>
      <c r="B11049" s="3" t="s">
        <v>55970</v>
      </c>
      <c r="C11049" s="3" t="s">
        <v>31</v>
      </c>
      <c r="D11049" s="3" t="s">
        <v>175</v>
      </c>
      <c r="E11049" s="4" t="s">
        <v>22</v>
      </c>
      <c r="F11049" s="4" t="s">
        <v>55971</v>
      </c>
      <c r="G11049" s="4" t="s">
        <v>55972</v>
      </c>
      <c r="H11049" s="3" t="s">
        <v>54289</v>
      </c>
      <c r="I11049" s="3" t="s">
        <v>55973</v>
      </c>
      <c r="J11049" s="3" t="s">
        <v>1360</v>
      </c>
      <c r="K11049" s="3" t="s">
        <v>55974</v>
      </c>
      <c r="L11049" s="3"/>
      <c r="M11049" s="4" t="s">
        <v>55975</v>
      </c>
      <c r="N11049" s="3" t="s">
        <v>37</v>
      </c>
      <c r="O11049" s="3" t="s">
        <v>38</v>
      </c>
      <c r="P11049" s="5">
        <v>2</v>
      </c>
      <c r="Q11049" s="5">
        <v>33</v>
      </c>
      <c r="R11049" s="5">
        <v>2</v>
      </c>
      <c r="S11049" s="5">
        <v>34</v>
      </c>
    </row>
    <row r="11050" spans="1:19" ht="28" x14ac:dyDescent="0.15">
      <c r="A11050" s="2">
        <f>HYPERLINK("https://open-school.uspishnemisto.com.ua/school/560337/", 560337)</f>
        <v>560337</v>
      </c>
      <c r="B11050" s="3" t="s">
        <v>55976</v>
      </c>
      <c r="C11050" s="3" t="s">
        <v>31</v>
      </c>
      <c r="D11050" s="3" t="s">
        <v>175</v>
      </c>
      <c r="E11050" s="4" t="s">
        <v>22</v>
      </c>
      <c r="F11050" s="4" t="s">
        <v>55883</v>
      </c>
      <c r="G11050" s="4" t="s">
        <v>55977</v>
      </c>
      <c r="H11050" s="3" t="s">
        <v>54289</v>
      </c>
      <c r="I11050" s="3" t="s">
        <v>34129</v>
      </c>
      <c r="J11050" s="3" t="s">
        <v>1348</v>
      </c>
      <c r="K11050" s="3"/>
      <c r="L11050" s="3"/>
      <c r="M11050" s="4" t="s">
        <v>55978</v>
      </c>
      <c r="N11050" s="3" t="s">
        <v>37</v>
      </c>
      <c r="O11050" s="3" t="s">
        <v>46</v>
      </c>
      <c r="P11050" s="5">
        <v>9</v>
      </c>
      <c r="Q11050" s="5">
        <v>90</v>
      </c>
      <c r="R11050" s="5">
        <v>9</v>
      </c>
      <c r="S11050" s="5">
        <v>90</v>
      </c>
    </row>
    <row r="11051" spans="1:19" ht="28" x14ac:dyDescent="0.15">
      <c r="A11051" s="2">
        <f>HYPERLINK("https://open-school.uspishnemisto.com.ua/school/560338/", 560338)</f>
        <v>560338</v>
      </c>
      <c r="B11051" s="3" t="s">
        <v>55979</v>
      </c>
      <c r="C11051" s="3" t="s">
        <v>31</v>
      </c>
      <c r="D11051" s="3" t="s">
        <v>32</v>
      </c>
      <c r="E11051" s="4" t="s">
        <v>22</v>
      </c>
      <c r="F11051" s="4" t="s">
        <v>55980</v>
      </c>
      <c r="G11051" s="4" t="s">
        <v>55981</v>
      </c>
      <c r="H11051" s="3" t="s">
        <v>54289</v>
      </c>
      <c r="I11051" s="3" t="s">
        <v>43044</v>
      </c>
      <c r="J11051" s="3" t="s">
        <v>55982</v>
      </c>
      <c r="K11051" s="3" t="s">
        <v>55983</v>
      </c>
      <c r="L11051" s="3"/>
      <c r="M11051" s="4" t="s">
        <v>55984</v>
      </c>
      <c r="N11051" s="3" t="s">
        <v>37</v>
      </c>
      <c r="O11051" s="3" t="s">
        <v>52</v>
      </c>
      <c r="P11051" s="5">
        <v>10</v>
      </c>
      <c r="Q11051" s="5">
        <v>97</v>
      </c>
      <c r="R11051" s="5">
        <v>10</v>
      </c>
      <c r="S11051" s="5">
        <v>99</v>
      </c>
    </row>
    <row r="11052" spans="1:19" ht="28" x14ac:dyDescent="0.15">
      <c r="A11052" s="2">
        <f>HYPERLINK("https://open-school.uspishnemisto.com.ua/school/560339/", 560339)</f>
        <v>560339</v>
      </c>
      <c r="B11052" s="3" t="s">
        <v>55985</v>
      </c>
      <c r="C11052" s="3" t="s">
        <v>31</v>
      </c>
      <c r="D11052" s="3" t="s">
        <v>60</v>
      </c>
      <c r="E11052" s="4" t="s">
        <v>22</v>
      </c>
      <c r="F11052" s="4" t="s">
        <v>55980</v>
      </c>
      <c r="G11052" s="4" t="s">
        <v>55986</v>
      </c>
      <c r="H11052" s="3" t="s">
        <v>54289</v>
      </c>
      <c r="I11052" s="3" t="s">
        <v>55987</v>
      </c>
      <c r="J11052" s="3" t="s">
        <v>21823</v>
      </c>
      <c r="K11052" s="3" t="s">
        <v>55988</v>
      </c>
      <c r="L11052" s="3"/>
      <c r="M11052" s="4"/>
      <c r="N11052" s="3" t="s">
        <v>37</v>
      </c>
      <c r="O11052" s="3" t="s">
        <v>52</v>
      </c>
      <c r="P11052" s="5">
        <v>1</v>
      </c>
      <c r="Q11052" s="5">
        <v>18</v>
      </c>
      <c r="R11052" s="5">
        <v>2</v>
      </c>
      <c r="S11052" s="5">
        <v>21</v>
      </c>
    </row>
    <row r="11053" spans="1:19" ht="28" x14ac:dyDescent="0.15">
      <c r="A11053" s="2">
        <f>HYPERLINK("https://open-school.uspishnemisto.com.ua/school/560340/", 560340)</f>
        <v>560340</v>
      </c>
      <c r="B11053" s="3" t="s">
        <v>55989</v>
      </c>
      <c r="C11053" s="3" t="s">
        <v>54</v>
      </c>
      <c r="D11053" s="3" t="s">
        <v>32</v>
      </c>
      <c r="E11053" s="4" t="s">
        <v>22</v>
      </c>
      <c r="F11053" s="4" t="s">
        <v>55990</v>
      </c>
      <c r="G11053" s="4" t="s">
        <v>55991</v>
      </c>
      <c r="H11053" s="3" t="s">
        <v>54289</v>
      </c>
      <c r="I11053" s="3" t="s">
        <v>55992</v>
      </c>
      <c r="J11053" s="3" t="s">
        <v>2191</v>
      </c>
      <c r="K11053" s="3" t="s">
        <v>55993</v>
      </c>
      <c r="L11053" s="3"/>
      <c r="M11053" s="4" t="s">
        <v>55994</v>
      </c>
      <c r="N11053" s="3" t="s">
        <v>37</v>
      </c>
      <c r="O11053" s="3" t="s">
        <v>52</v>
      </c>
      <c r="P11053" s="5">
        <v>9</v>
      </c>
      <c r="Q11053" s="5">
        <v>85</v>
      </c>
      <c r="R11053" s="5">
        <v>10</v>
      </c>
      <c r="S11053" s="5">
        <v>97</v>
      </c>
    </row>
    <row r="11054" spans="1:19" ht="28" x14ac:dyDescent="0.15">
      <c r="A11054" s="2">
        <f>HYPERLINK("https://open-school.uspishnemisto.com.ua/school/560341/", 560341)</f>
        <v>560341</v>
      </c>
      <c r="B11054" s="3" t="s">
        <v>55995</v>
      </c>
      <c r="C11054" s="3" t="s">
        <v>31</v>
      </c>
      <c r="D11054" s="3" t="s">
        <v>60</v>
      </c>
      <c r="E11054" s="4" t="s">
        <v>22</v>
      </c>
      <c r="F11054" s="4" t="s">
        <v>55996</v>
      </c>
      <c r="G11054" s="4" t="s">
        <v>55997</v>
      </c>
      <c r="H11054" s="3" t="s">
        <v>54289</v>
      </c>
      <c r="I11054" s="3" t="s">
        <v>55998</v>
      </c>
      <c r="J11054" s="3" t="s">
        <v>5264</v>
      </c>
      <c r="K11054" s="3" t="s">
        <v>55999</v>
      </c>
      <c r="L11054" s="3"/>
      <c r="M11054" s="4" t="s">
        <v>56000</v>
      </c>
      <c r="N11054" s="3" t="s">
        <v>37</v>
      </c>
      <c r="O11054" s="3" t="s">
        <v>52</v>
      </c>
      <c r="P11054" s="5">
        <v>0</v>
      </c>
      <c r="Q11054" s="5">
        <v>5</v>
      </c>
      <c r="R11054" s="5">
        <v>0</v>
      </c>
      <c r="S11054" s="5">
        <v>10</v>
      </c>
    </row>
    <row r="11055" spans="1:19" ht="28" x14ac:dyDescent="0.15">
      <c r="A11055" s="2">
        <f>HYPERLINK("https://open-school.uspishnemisto.com.ua/school/560342/", 560342)</f>
        <v>560342</v>
      </c>
      <c r="B11055" s="3" t="s">
        <v>56001</v>
      </c>
      <c r="C11055" s="3" t="s">
        <v>31</v>
      </c>
      <c r="D11055" s="3" t="s">
        <v>32</v>
      </c>
      <c r="E11055" s="4" t="s">
        <v>22</v>
      </c>
      <c r="F11055" s="4" t="s">
        <v>56002</v>
      </c>
      <c r="G11055" s="4" t="s">
        <v>56003</v>
      </c>
      <c r="H11055" s="3" t="s">
        <v>54289</v>
      </c>
      <c r="I11055" s="3" t="s">
        <v>56004</v>
      </c>
      <c r="J11055" s="3" t="s">
        <v>466</v>
      </c>
      <c r="K11055" s="3" t="s">
        <v>56005</v>
      </c>
      <c r="L11055" s="3"/>
      <c r="M11055" s="4" t="s">
        <v>56006</v>
      </c>
      <c r="N11055" s="3" t="s">
        <v>37</v>
      </c>
      <c r="O11055" s="3" t="s">
        <v>52</v>
      </c>
      <c r="P11055" s="5">
        <v>11</v>
      </c>
      <c r="Q11055" s="5">
        <v>103</v>
      </c>
      <c r="R11055" s="5">
        <v>11</v>
      </c>
      <c r="S11055" s="5">
        <v>102</v>
      </c>
    </row>
    <row r="11056" spans="1:19" ht="28" x14ac:dyDescent="0.15">
      <c r="A11056" s="2">
        <f>HYPERLINK("https://open-school.uspishnemisto.com.ua/school/560343/", 560343)</f>
        <v>560343</v>
      </c>
      <c r="B11056" s="3" t="s">
        <v>56007</v>
      </c>
      <c r="C11056" s="3" t="s">
        <v>31</v>
      </c>
      <c r="D11056" s="3" t="s">
        <v>175</v>
      </c>
      <c r="E11056" s="4" t="s">
        <v>22</v>
      </c>
      <c r="F11056" s="4" t="s">
        <v>56008</v>
      </c>
      <c r="G11056" s="4" t="s">
        <v>56009</v>
      </c>
      <c r="H11056" s="3" t="s">
        <v>54289</v>
      </c>
      <c r="I11056" s="3" t="s">
        <v>41236</v>
      </c>
      <c r="J11056" s="3" t="s">
        <v>56010</v>
      </c>
      <c r="K11056" s="3"/>
      <c r="L11056" s="3" t="s">
        <v>56011</v>
      </c>
      <c r="M11056" s="4" t="s">
        <v>56012</v>
      </c>
      <c r="N11056" s="3" t="s">
        <v>37</v>
      </c>
      <c r="O11056" s="3" t="s">
        <v>52</v>
      </c>
      <c r="P11056" s="5">
        <v>8</v>
      </c>
      <c r="Q11056" s="5">
        <v>63</v>
      </c>
      <c r="R11056" s="5">
        <v>8</v>
      </c>
      <c r="S11056" s="5">
        <v>65</v>
      </c>
    </row>
    <row r="11057" spans="1:19" ht="28" x14ac:dyDescent="0.15">
      <c r="A11057" s="2">
        <f>HYPERLINK("https://open-school.uspishnemisto.com.ua/school/560344/", 560344)</f>
        <v>560344</v>
      </c>
      <c r="B11057" s="3" t="s">
        <v>56013</v>
      </c>
      <c r="C11057" s="3" t="s">
        <v>31</v>
      </c>
      <c r="D11057" s="3" t="s">
        <v>32</v>
      </c>
      <c r="E11057" s="4" t="s">
        <v>22</v>
      </c>
      <c r="F11057" s="4" t="s">
        <v>56014</v>
      </c>
      <c r="G11057" s="4" t="s">
        <v>56015</v>
      </c>
      <c r="H11057" s="3" t="s">
        <v>54289</v>
      </c>
      <c r="I11057" s="3" t="s">
        <v>56016</v>
      </c>
      <c r="J11057" s="3" t="s">
        <v>56017</v>
      </c>
      <c r="K11057" s="3" t="s">
        <v>56018</v>
      </c>
      <c r="L11057" s="3"/>
      <c r="M11057" s="4" t="s">
        <v>56019</v>
      </c>
      <c r="N11057" s="3" t="s">
        <v>37</v>
      </c>
      <c r="O11057" s="3" t="s">
        <v>52</v>
      </c>
      <c r="P11057" s="5">
        <v>12</v>
      </c>
      <c r="Q11057" s="5">
        <v>250</v>
      </c>
      <c r="R11057" s="5">
        <v>12</v>
      </c>
      <c r="S11057" s="5">
        <v>238</v>
      </c>
    </row>
    <row r="11058" spans="1:19" ht="28" x14ac:dyDescent="0.15">
      <c r="A11058" s="2">
        <f>HYPERLINK("https://open-school.uspishnemisto.com.ua/school/560345/", 560345)</f>
        <v>560345</v>
      </c>
      <c r="B11058" s="3" t="s">
        <v>56020</v>
      </c>
      <c r="C11058" s="3" t="s">
        <v>31</v>
      </c>
      <c r="D11058" s="3" t="s">
        <v>60</v>
      </c>
      <c r="E11058" s="4" t="s">
        <v>22</v>
      </c>
      <c r="F11058" s="4" t="s">
        <v>56014</v>
      </c>
      <c r="G11058" s="4" t="s">
        <v>56021</v>
      </c>
      <c r="H11058" s="3" t="s">
        <v>54289</v>
      </c>
      <c r="I11058" s="3" t="s">
        <v>5865</v>
      </c>
      <c r="J11058" s="3" t="s">
        <v>19218</v>
      </c>
      <c r="K11058" s="3" t="s">
        <v>56022</v>
      </c>
      <c r="L11058" s="3"/>
      <c r="M11058" s="4"/>
      <c r="N11058" s="3" t="s">
        <v>37</v>
      </c>
      <c r="O11058" s="3" t="s">
        <v>52</v>
      </c>
      <c r="P11058" s="5">
        <v>0</v>
      </c>
      <c r="Q11058" s="5">
        <v>13</v>
      </c>
      <c r="R11058" s="5">
        <v>3</v>
      </c>
      <c r="S11058" s="5">
        <v>18</v>
      </c>
    </row>
    <row r="11059" spans="1:19" ht="28" x14ac:dyDescent="0.15">
      <c r="A11059" s="2">
        <f>HYPERLINK("https://open-school.uspishnemisto.com.ua/school/560346/", 560346)</f>
        <v>560346</v>
      </c>
      <c r="B11059" s="3" t="s">
        <v>56023</v>
      </c>
      <c r="C11059" s="3" t="s">
        <v>31</v>
      </c>
      <c r="D11059" s="3" t="s">
        <v>60</v>
      </c>
      <c r="E11059" s="4" t="s">
        <v>22</v>
      </c>
      <c r="F11059" s="4" t="s">
        <v>56024</v>
      </c>
      <c r="G11059" s="4" t="s">
        <v>56025</v>
      </c>
      <c r="H11059" s="3" t="s">
        <v>54289</v>
      </c>
      <c r="I11059" s="3" t="s">
        <v>56026</v>
      </c>
      <c r="J11059" s="3" t="s">
        <v>39196</v>
      </c>
      <c r="K11059" s="3" t="s">
        <v>56027</v>
      </c>
      <c r="L11059" s="3"/>
      <c r="M11059" s="4"/>
      <c r="N11059" s="3" t="s">
        <v>37</v>
      </c>
      <c r="O11059" s="3" t="s">
        <v>52</v>
      </c>
      <c r="P11059" s="5">
        <v>4</v>
      </c>
      <c r="Q11059" s="5">
        <v>56</v>
      </c>
      <c r="R11059" s="5">
        <v>4</v>
      </c>
      <c r="S11059" s="5">
        <v>60</v>
      </c>
    </row>
    <row r="11060" spans="1:19" ht="28" x14ac:dyDescent="0.15">
      <c r="A11060" s="2">
        <f>HYPERLINK("https://open-school.uspishnemisto.com.ua/school/560347/", 560347)</f>
        <v>560347</v>
      </c>
      <c r="B11060" s="3" t="s">
        <v>56028</v>
      </c>
      <c r="C11060" s="3" t="s">
        <v>31</v>
      </c>
      <c r="D11060" s="3" t="s">
        <v>32</v>
      </c>
      <c r="E11060" s="4" t="s">
        <v>22</v>
      </c>
      <c r="F11060" s="4" t="s">
        <v>56024</v>
      </c>
      <c r="G11060" s="4" t="s">
        <v>56025</v>
      </c>
      <c r="H11060" s="3" t="s">
        <v>54289</v>
      </c>
      <c r="I11060" s="3" t="s">
        <v>56026</v>
      </c>
      <c r="J11060" s="3" t="s">
        <v>56029</v>
      </c>
      <c r="K11060" s="3" t="s">
        <v>56030</v>
      </c>
      <c r="L11060" s="3"/>
      <c r="M11060" s="4" t="s">
        <v>56031</v>
      </c>
      <c r="N11060" s="3" t="s">
        <v>37</v>
      </c>
      <c r="O11060" s="3" t="s">
        <v>46</v>
      </c>
      <c r="P11060" s="5">
        <v>26</v>
      </c>
      <c r="Q11060" s="5">
        <v>583</v>
      </c>
      <c r="R11060" s="5">
        <v>25</v>
      </c>
      <c r="S11060" s="5">
        <v>581</v>
      </c>
    </row>
    <row r="11061" spans="1:19" ht="28" x14ac:dyDescent="0.15">
      <c r="A11061" s="2">
        <f>HYPERLINK("https://open-school.uspishnemisto.com.ua/school/560348/", 560348)</f>
        <v>560348</v>
      </c>
      <c r="B11061" s="3" t="s">
        <v>56032</v>
      </c>
      <c r="C11061" s="3" t="s">
        <v>31</v>
      </c>
      <c r="D11061" s="3" t="s">
        <v>32</v>
      </c>
      <c r="E11061" s="4" t="s">
        <v>22</v>
      </c>
      <c r="F11061" s="4" t="s">
        <v>56024</v>
      </c>
      <c r="G11061" s="4" t="s">
        <v>56025</v>
      </c>
      <c r="H11061" s="3" t="s">
        <v>54289</v>
      </c>
      <c r="I11061" s="3" t="s">
        <v>56026</v>
      </c>
      <c r="J11061" s="3" t="s">
        <v>53636</v>
      </c>
      <c r="K11061" s="3"/>
      <c r="L11061" s="3"/>
      <c r="M11061" s="4" t="s">
        <v>56033</v>
      </c>
      <c r="N11061" s="3" t="s">
        <v>37</v>
      </c>
      <c r="O11061" s="3" t="s">
        <v>46</v>
      </c>
      <c r="P11061" s="5">
        <v>18</v>
      </c>
      <c r="Q11061" s="5">
        <v>372</v>
      </c>
      <c r="R11061" s="5">
        <v>18</v>
      </c>
      <c r="S11061" s="5">
        <v>381</v>
      </c>
    </row>
    <row r="11062" spans="1:19" ht="42" x14ac:dyDescent="0.15">
      <c r="A11062" s="2">
        <f>HYPERLINK("https://open-school.uspishnemisto.com.ua/school/560349/", 560349)</f>
        <v>560349</v>
      </c>
      <c r="B11062" s="3" t="s">
        <v>56034</v>
      </c>
      <c r="C11062" s="3" t="s">
        <v>54</v>
      </c>
      <c r="D11062" s="3" t="s">
        <v>32</v>
      </c>
      <c r="E11062" s="4" t="s">
        <v>22</v>
      </c>
      <c r="F11062" s="4" t="s">
        <v>56024</v>
      </c>
      <c r="G11062" s="4" t="s">
        <v>56025</v>
      </c>
      <c r="H11062" s="3" t="s">
        <v>54289</v>
      </c>
      <c r="I11062" s="3" t="s">
        <v>56026</v>
      </c>
      <c r="J11062" s="3" t="s">
        <v>56035</v>
      </c>
      <c r="K11062" s="3" t="s">
        <v>56036</v>
      </c>
      <c r="L11062" s="3"/>
      <c r="M11062" s="4" t="s">
        <v>56037</v>
      </c>
      <c r="N11062" s="3" t="s">
        <v>37</v>
      </c>
      <c r="O11062" s="3" t="s">
        <v>46</v>
      </c>
      <c r="P11062" s="5">
        <v>7</v>
      </c>
      <c r="Q11062" s="5">
        <v>126</v>
      </c>
      <c r="R11062" s="5">
        <v>8</v>
      </c>
      <c r="S11062" s="5">
        <v>121</v>
      </c>
    </row>
    <row r="11063" spans="1:19" ht="42" x14ac:dyDescent="0.15">
      <c r="A11063" s="2">
        <f>HYPERLINK("https://open-school.uspishnemisto.com.ua/school/560350/", 560350)</f>
        <v>560350</v>
      </c>
      <c r="B11063" s="3" t="s">
        <v>56038</v>
      </c>
      <c r="C11063" s="3" t="s">
        <v>54</v>
      </c>
      <c r="D11063" s="3" t="s">
        <v>175</v>
      </c>
      <c r="E11063" s="4" t="s">
        <v>22</v>
      </c>
      <c r="F11063" s="4" t="s">
        <v>56039</v>
      </c>
      <c r="G11063" s="4" t="s">
        <v>56040</v>
      </c>
      <c r="H11063" s="3" t="s">
        <v>54289</v>
      </c>
      <c r="I11063" s="3" t="s">
        <v>3790</v>
      </c>
      <c r="J11063" s="3" t="s">
        <v>1348</v>
      </c>
      <c r="K11063" s="3" t="s">
        <v>56041</v>
      </c>
      <c r="L11063" s="3"/>
      <c r="M11063" s="4" t="s">
        <v>56042</v>
      </c>
      <c r="N11063" s="3" t="s">
        <v>37</v>
      </c>
      <c r="O11063" s="3" t="s">
        <v>46</v>
      </c>
      <c r="P11063" s="5">
        <v>9</v>
      </c>
      <c r="Q11063" s="5">
        <v>98</v>
      </c>
      <c r="R11063" s="5">
        <v>9</v>
      </c>
      <c r="S11063" s="5">
        <v>88</v>
      </c>
    </row>
    <row r="11064" spans="1:19" ht="28" x14ac:dyDescent="0.15">
      <c r="A11064" s="2">
        <f>HYPERLINK("https://open-school.uspishnemisto.com.ua/school/560351/", 560351)</f>
        <v>560351</v>
      </c>
      <c r="B11064" s="3" t="s">
        <v>56043</v>
      </c>
      <c r="C11064" s="3" t="s">
        <v>31</v>
      </c>
      <c r="D11064" s="3" t="s">
        <v>175</v>
      </c>
      <c r="E11064" s="4" t="s">
        <v>22</v>
      </c>
      <c r="F11064" s="4"/>
      <c r="G11064" s="4" t="s">
        <v>56044</v>
      </c>
      <c r="H11064" s="3" t="s">
        <v>54289</v>
      </c>
      <c r="I11064" s="3" t="s">
        <v>39273</v>
      </c>
      <c r="J11064" s="3"/>
      <c r="K11064" s="3" t="s">
        <v>56045</v>
      </c>
      <c r="L11064" s="3"/>
      <c r="M11064" s="4" t="s">
        <v>56046</v>
      </c>
      <c r="N11064" s="3" t="s">
        <v>37</v>
      </c>
      <c r="O11064" s="3" t="s">
        <v>46</v>
      </c>
      <c r="P11064" s="5">
        <v>6</v>
      </c>
      <c r="Q11064" s="5">
        <v>61</v>
      </c>
      <c r="R11064" s="5">
        <v>7</v>
      </c>
      <c r="S11064" s="5">
        <v>63</v>
      </c>
    </row>
    <row r="11065" spans="1:19" ht="56" x14ac:dyDescent="0.15">
      <c r="A11065" s="2">
        <f>HYPERLINK("https://open-school.uspishnemisto.com.ua/school/560352/", 560352)</f>
        <v>560352</v>
      </c>
      <c r="B11065" s="3" t="s">
        <v>56047</v>
      </c>
      <c r="C11065" s="3" t="s">
        <v>54</v>
      </c>
      <c r="D11065" s="3" t="s">
        <v>32</v>
      </c>
      <c r="E11065" s="4" t="s">
        <v>22</v>
      </c>
      <c r="F11065" s="4" t="s">
        <v>56048</v>
      </c>
      <c r="G11065" s="4" t="s">
        <v>56049</v>
      </c>
      <c r="H11065" s="3" t="s">
        <v>54289</v>
      </c>
      <c r="I11065" s="3" t="s">
        <v>56050</v>
      </c>
      <c r="J11065" s="3" t="s">
        <v>466</v>
      </c>
      <c r="K11065" s="3" t="s">
        <v>56051</v>
      </c>
      <c r="L11065" s="3"/>
      <c r="M11065" s="4" t="s">
        <v>56052</v>
      </c>
      <c r="N11065" s="3" t="s">
        <v>37</v>
      </c>
      <c r="O11065" s="3" t="s">
        <v>46</v>
      </c>
      <c r="P11065" s="5">
        <v>11</v>
      </c>
      <c r="Q11065" s="5">
        <v>97</v>
      </c>
      <c r="R11065" s="5">
        <v>11</v>
      </c>
      <c r="S11065" s="5">
        <v>89</v>
      </c>
    </row>
    <row r="11066" spans="1:19" ht="28" x14ac:dyDescent="0.15">
      <c r="A11066" s="2">
        <f>HYPERLINK("https://open-school.uspishnemisto.com.ua/school/560353/", 560353)</f>
        <v>560353</v>
      </c>
      <c r="B11066" s="3" t="s">
        <v>56053</v>
      </c>
      <c r="C11066" s="3" t="s">
        <v>54</v>
      </c>
      <c r="D11066" s="3" t="s">
        <v>32</v>
      </c>
      <c r="E11066" s="4" t="s">
        <v>22</v>
      </c>
      <c r="F11066" s="4" t="s">
        <v>56054</v>
      </c>
      <c r="G11066" s="4" t="s">
        <v>56055</v>
      </c>
      <c r="H11066" s="3" t="s">
        <v>54289</v>
      </c>
      <c r="I11066" s="3" t="s">
        <v>56056</v>
      </c>
      <c r="J11066" s="3" t="s">
        <v>792</v>
      </c>
      <c r="K11066" s="3" t="s">
        <v>56057</v>
      </c>
      <c r="L11066" s="3" t="s">
        <v>56058</v>
      </c>
      <c r="M11066" s="4" t="s">
        <v>56059</v>
      </c>
      <c r="N11066" s="3" t="s">
        <v>37</v>
      </c>
      <c r="O11066" s="3" t="s">
        <v>123</v>
      </c>
      <c r="P11066" s="5">
        <v>18</v>
      </c>
      <c r="Q11066" s="5">
        <v>338</v>
      </c>
      <c r="R11066" s="5">
        <v>17</v>
      </c>
      <c r="S11066" s="5">
        <v>321</v>
      </c>
    </row>
    <row r="11067" spans="1:19" ht="42" x14ac:dyDescent="0.15">
      <c r="A11067" s="2">
        <f>HYPERLINK("https://open-school.uspishnemisto.com.ua/school/560354/", 560354)</f>
        <v>560354</v>
      </c>
      <c r="B11067" s="3" t="s">
        <v>56060</v>
      </c>
      <c r="C11067" s="3" t="s">
        <v>181</v>
      </c>
      <c r="D11067" s="3" t="s">
        <v>175</v>
      </c>
      <c r="E11067" s="4" t="s">
        <v>22</v>
      </c>
      <c r="F11067" s="4" t="s">
        <v>56054</v>
      </c>
      <c r="G11067" s="4" t="s">
        <v>56055</v>
      </c>
      <c r="H11067" s="3" t="s">
        <v>54289</v>
      </c>
      <c r="I11067" s="3" t="s">
        <v>56056</v>
      </c>
      <c r="J11067" s="3" t="s">
        <v>28001</v>
      </c>
      <c r="K11067" s="3" t="s">
        <v>56061</v>
      </c>
      <c r="L11067" s="3"/>
      <c r="M11067" s="4" t="s">
        <v>56062</v>
      </c>
      <c r="N11067" s="3" t="s">
        <v>37</v>
      </c>
      <c r="O11067" s="3"/>
      <c r="P11067" s="5">
        <v>10</v>
      </c>
      <c r="Q11067" s="5">
        <v>67</v>
      </c>
      <c r="R11067" s="5">
        <v>10</v>
      </c>
      <c r="S11067" s="5">
        <v>72</v>
      </c>
    </row>
    <row r="11068" spans="1:19" ht="42" x14ac:dyDescent="0.15">
      <c r="A11068" s="2">
        <f>HYPERLINK("https://open-school.uspishnemisto.com.ua/school/560355/", 560355)</f>
        <v>560355</v>
      </c>
      <c r="B11068" s="3" t="s">
        <v>56063</v>
      </c>
      <c r="C11068" s="3" t="s">
        <v>54</v>
      </c>
      <c r="D11068" s="3" t="s">
        <v>60</v>
      </c>
      <c r="E11068" s="4" t="s">
        <v>22</v>
      </c>
      <c r="F11068" s="4" t="s">
        <v>56054</v>
      </c>
      <c r="G11068" s="4" t="s">
        <v>56064</v>
      </c>
      <c r="H11068" s="3" t="s">
        <v>54289</v>
      </c>
      <c r="I11068" s="3" t="s">
        <v>56065</v>
      </c>
      <c r="J11068" s="3" t="s">
        <v>56066</v>
      </c>
      <c r="K11068" s="3" t="s">
        <v>56067</v>
      </c>
      <c r="L11068" s="3"/>
      <c r="M11068" s="4"/>
      <c r="N11068" s="3" t="s">
        <v>37</v>
      </c>
      <c r="O11068" s="3" t="s">
        <v>618</v>
      </c>
      <c r="P11068" s="5">
        <v>1</v>
      </c>
      <c r="Q11068" s="5">
        <v>13</v>
      </c>
      <c r="R11068" s="5">
        <v>0</v>
      </c>
      <c r="S11068" s="5">
        <v>12</v>
      </c>
    </row>
    <row r="11069" spans="1:19" ht="56" x14ac:dyDescent="0.15">
      <c r="A11069" s="2">
        <f>HYPERLINK("https://open-school.uspishnemisto.com.ua/school/560356/", 560356)</f>
        <v>560356</v>
      </c>
      <c r="B11069" s="3" t="s">
        <v>56068</v>
      </c>
      <c r="C11069" s="3" t="s">
        <v>54</v>
      </c>
      <c r="D11069" s="3" t="s">
        <v>60</v>
      </c>
      <c r="E11069" s="4" t="s">
        <v>22</v>
      </c>
      <c r="F11069" s="4" t="s">
        <v>56054</v>
      </c>
      <c r="G11069" s="4" t="s">
        <v>56069</v>
      </c>
      <c r="H11069" s="3" t="s">
        <v>54289</v>
      </c>
      <c r="I11069" s="3" t="s">
        <v>30359</v>
      </c>
      <c r="J11069" s="3" t="s">
        <v>56070</v>
      </c>
      <c r="K11069" s="3" t="s">
        <v>56071</v>
      </c>
      <c r="L11069" s="3"/>
      <c r="M11069" s="4"/>
      <c r="N11069" s="3" t="s">
        <v>37</v>
      </c>
      <c r="O11069" s="3" t="s">
        <v>618</v>
      </c>
      <c r="P11069" s="5">
        <v>0</v>
      </c>
      <c r="Q11069" s="5">
        <v>12</v>
      </c>
      <c r="R11069" s="5">
        <v>0</v>
      </c>
      <c r="S11069" s="5">
        <v>12</v>
      </c>
    </row>
    <row r="11070" spans="1:19" ht="28" x14ac:dyDescent="0.15">
      <c r="A11070" s="2">
        <f>HYPERLINK("https://open-school.uspishnemisto.com.ua/school/560357/", 560357)</f>
        <v>560357</v>
      </c>
      <c r="B11070" s="3" t="s">
        <v>56072</v>
      </c>
      <c r="C11070" s="3" t="s">
        <v>31</v>
      </c>
      <c r="D11070" s="3" t="s">
        <v>32</v>
      </c>
      <c r="E11070" s="4" t="s">
        <v>22</v>
      </c>
      <c r="F11070" s="4" t="s">
        <v>56073</v>
      </c>
      <c r="G11070" s="4" t="s">
        <v>56074</v>
      </c>
      <c r="H11070" s="3" t="s">
        <v>54289</v>
      </c>
      <c r="I11070" s="3" t="s">
        <v>46201</v>
      </c>
      <c r="J11070" s="3" t="s">
        <v>56075</v>
      </c>
      <c r="K11070" s="3" t="s">
        <v>56076</v>
      </c>
      <c r="L11070" s="3"/>
      <c r="M11070" s="4" t="s">
        <v>56077</v>
      </c>
      <c r="N11070" s="3" t="s">
        <v>37</v>
      </c>
      <c r="O11070" s="3" t="s">
        <v>46</v>
      </c>
      <c r="P11070" s="5">
        <v>10</v>
      </c>
      <c r="Q11070" s="5">
        <v>98</v>
      </c>
      <c r="R11070" s="5">
        <v>11</v>
      </c>
      <c r="S11070" s="5">
        <v>102</v>
      </c>
    </row>
    <row r="11071" spans="1:19" ht="28" x14ac:dyDescent="0.15">
      <c r="A11071" s="2">
        <f>HYPERLINK("https://open-school.uspishnemisto.com.ua/school/560358/", 560358)</f>
        <v>560358</v>
      </c>
      <c r="B11071" s="3" t="s">
        <v>56078</v>
      </c>
      <c r="C11071" s="3" t="s">
        <v>31</v>
      </c>
      <c r="D11071" s="3" t="s">
        <v>175</v>
      </c>
      <c r="E11071" s="4" t="s">
        <v>22</v>
      </c>
      <c r="F11071" s="4" t="s">
        <v>56079</v>
      </c>
      <c r="G11071" s="4" t="s">
        <v>56080</v>
      </c>
      <c r="H11071" s="3" t="s">
        <v>54289</v>
      </c>
      <c r="I11071" s="3" t="s">
        <v>56081</v>
      </c>
      <c r="J11071" s="3" t="s">
        <v>56082</v>
      </c>
      <c r="K11071" s="3" t="s">
        <v>56083</v>
      </c>
      <c r="L11071" s="3"/>
      <c r="M11071" s="4" t="s">
        <v>56084</v>
      </c>
      <c r="N11071" s="3" t="s">
        <v>37</v>
      </c>
      <c r="O11071" s="3" t="s">
        <v>46</v>
      </c>
      <c r="P11071" s="5">
        <v>9</v>
      </c>
      <c r="Q11071" s="5">
        <v>75</v>
      </c>
      <c r="R11071" s="5">
        <v>9</v>
      </c>
      <c r="S11071" s="5">
        <v>77</v>
      </c>
    </row>
    <row r="11072" spans="1:19" ht="28" x14ac:dyDescent="0.15">
      <c r="A11072" s="2">
        <f>HYPERLINK("https://open-school.uspishnemisto.com.ua/school/560359/", 560359)</f>
        <v>560359</v>
      </c>
      <c r="B11072" s="3" t="s">
        <v>56085</v>
      </c>
      <c r="C11072" s="3" t="s">
        <v>31</v>
      </c>
      <c r="D11072" s="3" t="s">
        <v>32</v>
      </c>
      <c r="E11072" s="4" t="s">
        <v>22</v>
      </c>
      <c r="F11072" s="4" t="s">
        <v>56086</v>
      </c>
      <c r="G11072" s="4" t="s">
        <v>56087</v>
      </c>
      <c r="H11072" s="3" t="s">
        <v>54289</v>
      </c>
      <c r="I11072" s="3" t="s">
        <v>56088</v>
      </c>
      <c r="J11072" s="3" t="s">
        <v>792</v>
      </c>
      <c r="K11072" s="3" t="s">
        <v>56089</v>
      </c>
      <c r="L11072" s="3" t="s">
        <v>56090</v>
      </c>
      <c r="M11072" s="4" t="s">
        <v>56091</v>
      </c>
      <c r="N11072" s="3" t="s">
        <v>37</v>
      </c>
      <c r="O11072" s="3" t="s">
        <v>46</v>
      </c>
      <c r="P11072" s="5">
        <v>11</v>
      </c>
      <c r="Q11072" s="5">
        <v>164</v>
      </c>
      <c r="R11072" s="5">
        <v>11</v>
      </c>
      <c r="S11072" s="5">
        <v>159</v>
      </c>
    </row>
    <row r="11073" spans="1:19" ht="42" x14ac:dyDescent="0.15">
      <c r="A11073" s="2">
        <f>HYPERLINK("https://open-school.uspishnemisto.com.ua/school/560360/", 560360)</f>
        <v>560360</v>
      </c>
      <c r="B11073" s="3" t="s">
        <v>56092</v>
      </c>
      <c r="C11073" s="3" t="s">
        <v>54</v>
      </c>
      <c r="D11073" s="3" t="s">
        <v>60</v>
      </c>
      <c r="E11073" s="4" t="s">
        <v>22</v>
      </c>
      <c r="F11073" s="4" t="s">
        <v>56086</v>
      </c>
      <c r="G11073" s="4" t="s">
        <v>56093</v>
      </c>
      <c r="H11073" s="3" t="s">
        <v>54289</v>
      </c>
      <c r="I11073" s="3" t="s">
        <v>1803</v>
      </c>
      <c r="J11073" s="3" t="s">
        <v>761</v>
      </c>
      <c r="K11073" s="3" t="s">
        <v>56094</v>
      </c>
      <c r="L11073" s="3"/>
      <c r="M11073" s="4"/>
      <c r="N11073" s="3" t="s">
        <v>37</v>
      </c>
      <c r="O11073" s="3" t="s">
        <v>52</v>
      </c>
      <c r="P11073" s="5">
        <v>0</v>
      </c>
      <c r="Q11073" s="5">
        <v>12</v>
      </c>
      <c r="R11073" s="5">
        <v>0</v>
      </c>
      <c r="S11073" s="5">
        <v>16</v>
      </c>
    </row>
    <row r="11074" spans="1:19" ht="56" x14ac:dyDescent="0.15">
      <c r="A11074" s="2">
        <f>HYPERLINK("https://open-school.uspishnemisto.com.ua/school/560361/", 560361)</f>
        <v>560361</v>
      </c>
      <c r="B11074" s="3" t="s">
        <v>56095</v>
      </c>
      <c r="C11074" s="3" t="s">
        <v>54</v>
      </c>
      <c r="D11074" s="3" t="s">
        <v>175</v>
      </c>
      <c r="E11074" s="4" t="s">
        <v>22</v>
      </c>
      <c r="F11074" s="4" t="s">
        <v>56096</v>
      </c>
      <c r="G11074" s="4" t="s">
        <v>56097</v>
      </c>
      <c r="H11074" s="3" t="s">
        <v>54289</v>
      </c>
      <c r="I11074" s="3" t="s">
        <v>56098</v>
      </c>
      <c r="J11074" s="3" t="s">
        <v>27248</v>
      </c>
      <c r="K11074" s="3" t="s">
        <v>56099</v>
      </c>
      <c r="L11074" s="3"/>
      <c r="M11074" s="4" t="s">
        <v>56100</v>
      </c>
      <c r="N11074" s="3" t="s">
        <v>37</v>
      </c>
      <c r="O11074" s="3" t="s">
        <v>46</v>
      </c>
      <c r="P11074" s="5">
        <v>9</v>
      </c>
      <c r="Q11074" s="5">
        <v>82</v>
      </c>
      <c r="R11074" s="5">
        <v>9</v>
      </c>
      <c r="S11074" s="5">
        <v>86</v>
      </c>
    </row>
    <row r="11075" spans="1:19" ht="42" x14ac:dyDescent="0.15">
      <c r="A11075" s="2">
        <f>HYPERLINK("https://open-school.uspishnemisto.com.ua/school/560362/", 560362)</f>
        <v>560362</v>
      </c>
      <c r="B11075" s="3" t="s">
        <v>56101</v>
      </c>
      <c r="C11075" s="3" t="s">
        <v>54</v>
      </c>
      <c r="D11075" s="3" t="s">
        <v>175</v>
      </c>
      <c r="E11075" s="4" t="s">
        <v>22</v>
      </c>
      <c r="F11075" s="4" t="s">
        <v>56102</v>
      </c>
      <c r="G11075" s="4" t="s">
        <v>56103</v>
      </c>
      <c r="H11075" s="3" t="s">
        <v>54289</v>
      </c>
      <c r="I11075" s="3" t="s">
        <v>56104</v>
      </c>
      <c r="J11075" s="3" t="s">
        <v>3494</v>
      </c>
      <c r="K11075" s="3" t="s">
        <v>56105</v>
      </c>
      <c r="L11075" s="3"/>
      <c r="M11075" s="4" t="s">
        <v>56106</v>
      </c>
      <c r="N11075" s="3" t="s">
        <v>37</v>
      </c>
      <c r="O11075" s="3" t="s">
        <v>46</v>
      </c>
      <c r="P11075" s="5">
        <v>4</v>
      </c>
      <c r="Q11075" s="5">
        <v>36</v>
      </c>
      <c r="R11075" s="5">
        <v>5</v>
      </c>
      <c r="S11075" s="5">
        <v>39</v>
      </c>
    </row>
    <row r="11076" spans="1:19" ht="28" x14ac:dyDescent="0.15">
      <c r="A11076" s="2">
        <f>HYPERLINK("https://open-school.uspishnemisto.com.ua/school/560363/", 560363)</f>
        <v>560363</v>
      </c>
      <c r="B11076" s="3" t="s">
        <v>56107</v>
      </c>
      <c r="C11076" s="3" t="s">
        <v>31</v>
      </c>
      <c r="D11076" s="3" t="s">
        <v>60</v>
      </c>
      <c r="E11076" s="4" t="s">
        <v>22</v>
      </c>
      <c r="F11076" s="4" t="s">
        <v>56108</v>
      </c>
      <c r="G11076" s="4" t="s">
        <v>56109</v>
      </c>
      <c r="H11076" s="3" t="s">
        <v>54289</v>
      </c>
      <c r="I11076" s="3" t="s">
        <v>7094</v>
      </c>
      <c r="J11076" s="3" t="s">
        <v>35824</v>
      </c>
      <c r="K11076" s="3" t="s">
        <v>56110</v>
      </c>
      <c r="L11076" s="3"/>
      <c r="M11076" s="4"/>
      <c r="N11076" s="3" t="s">
        <v>37</v>
      </c>
      <c r="O11076" s="3" t="s">
        <v>52</v>
      </c>
      <c r="P11076" s="5">
        <v>3</v>
      </c>
      <c r="Q11076" s="5">
        <v>20</v>
      </c>
      <c r="R11076" s="5">
        <v>2</v>
      </c>
      <c r="S11076" s="5">
        <v>19</v>
      </c>
    </row>
    <row r="11077" spans="1:19" ht="28" x14ac:dyDescent="0.15">
      <c r="A11077" s="2">
        <f>HYPERLINK("https://open-school.uspishnemisto.com.ua/school/560364/", 560364)</f>
        <v>560364</v>
      </c>
      <c r="B11077" s="3" t="s">
        <v>56111</v>
      </c>
      <c r="C11077" s="3" t="s">
        <v>31</v>
      </c>
      <c r="D11077" s="3" t="s">
        <v>175</v>
      </c>
      <c r="E11077" s="4" t="s">
        <v>22</v>
      </c>
      <c r="F11077" s="4" t="s">
        <v>56112</v>
      </c>
      <c r="G11077" s="4" t="s">
        <v>56113</v>
      </c>
      <c r="H11077" s="3" t="s">
        <v>54289</v>
      </c>
      <c r="I11077" s="3" t="s">
        <v>883</v>
      </c>
      <c r="J11077" s="3" t="s">
        <v>946</v>
      </c>
      <c r="K11077" s="3"/>
      <c r="L11077" s="3"/>
      <c r="M11077" s="4"/>
      <c r="N11077" s="3" t="s">
        <v>37</v>
      </c>
      <c r="O11077" s="3" t="s">
        <v>46</v>
      </c>
      <c r="P11077" s="5">
        <v>6</v>
      </c>
      <c r="Q11077" s="5">
        <v>54</v>
      </c>
      <c r="R11077" s="5">
        <v>7</v>
      </c>
      <c r="S11077" s="5">
        <v>64</v>
      </c>
    </row>
    <row r="11078" spans="1:19" ht="56" x14ac:dyDescent="0.15">
      <c r="A11078" s="2">
        <f>HYPERLINK("https://open-school.uspishnemisto.com.ua/school/560365/", 560365)</f>
        <v>560365</v>
      </c>
      <c r="B11078" s="3" t="s">
        <v>56114</v>
      </c>
      <c r="C11078" s="3" t="s">
        <v>54</v>
      </c>
      <c r="D11078" s="3" t="s">
        <v>175</v>
      </c>
      <c r="E11078" s="4" t="s">
        <v>22</v>
      </c>
      <c r="F11078" s="4" t="s">
        <v>56115</v>
      </c>
      <c r="G11078" s="4" t="s">
        <v>56116</v>
      </c>
      <c r="H11078" s="3" t="s">
        <v>54289</v>
      </c>
      <c r="I11078" s="3" t="s">
        <v>56117</v>
      </c>
      <c r="J11078" s="3" t="s">
        <v>2687</v>
      </c>
      <c r="K11078" s="3" t="s">
        <v>56118</v>
      </c>
      <c r="L11078" s="3"/>
      <c r="M11078" s="4" t="s">
        <v>56119</v>
      </c>
      <c r="N11078" s="3" t="s">
        <v>37</v>
      </c>
      <c r="O11078" s="3" t="s">
        <v>46</v>
      </c>
      <c r="P11078" s="5">
        <v>9</v>
      </c>
      <c r="Q11078" s="5">
        <v>69</v>
      </c>
      <c r="R11078" s="5">
        <v>9</v>
      </c>
      <c r="S11078" s="5">
        <v>65</v>
      </c>
    </row>
    <row r="11079" spans="1:19" ht="56" x14ac:dyDescent="0.15">
      <c r="A11079" s="2">
        <f>HYPERLINK("https://open-school.uspishnemisto.com.ua/school/560366/", 560366)</f>
        <v>560366</v>
      </c>
      <c r="B11079" s="3" t="s">
        <v>56120</v>
      </c>
      <c r="C11079" s="3" t="s">
        <v>54</v>
      </c>
      <c r="D11079" s="3" t="s">
        <v>32</v>
      </c>
      <c r="E11079" s="4" t="s">
        <v>22</v>
      </c>
      <c r="F11079" s="4" t="s">
        <v>56121</v>
      </c>
      <c r="G11079" s="4" t="s">
        <v>56122</v>
      </c>
      <c r="H11079" s="3" t="s">
        <v>54289</v>
      </c>
      <c r="I11079" s="3" t="s">
        <v>56123</v>
      </c>
      <c r="J11079" s="3" t="s">
        <v>56124</v>
      </c>
      <c r="K11079" s="3" t="s">
        <v>56125</v>
      </c>
      <c r="L11079" s="3"/>
      <c r="M11079" s="4" t="s">
        <v>56126</v>
      </c>
      <c r="N11079" s="3" t="s">
        <v>37</v>
      </c>
      <c r="O11079" s="3" t="s">
        <v>46</v>
      </c>
      <c r="P11079" s="5">
        <v>9</v>
      </c>
      <c r="Q11079" s="5">
        <v>125</v>
      </c>
      <c r="R11079" s="5">
        <v>10</v>
      </c>
      <c r="S11079" s="5">
        <v>125</v>
      </c>
    </row>
    <row r="11080" spans="1:19" ht="28" x14ac:dyDescent="0.15">
      <c r="A11080" s="2">
        <f>HYPERLINK("https://open-school.uspishnemisto.com.ua/school/560367/", 560367)</f>
        <v>560367</v>
      </c>
      <c r="B11080" s="3" t="s">
        <v>56127</v>
      </c>
      <c r="C11080" s="3" t="s">
        <v>31</v>
      </c>
      <c r="D11080" s="3" t="s">
        <v>32</v>
      </c>
      <c r="E11080" s="4" t="s">
        <v>22</v>
      </c>
      <c r="F11080" s="4" t="s">
        <v>56128</v>
      </c>
      <c r="G11080" s="4" t="s">
        <v>56129</v>
      </c>
      <c r="H11080" s="3" t="s">
        <v>54289</v>
      </c>
      <c r="I11080" s="3" t="s">
        <v>56130</v>
      </c>
      <c r="J11080" s="3" t="s">
        <v>56131</v>
      </c>
      <c r="K11080" s="3" t="s">
        <v>56132</v>
      </c>
      <c r="L11080" s="3"/>
      <c r="M11080" s="4" t="s">
        <v>56133</v>
      </c>
      <c r="N11080" s="3" t="s">
        <v>37</v>
      </c>
      <c r="O11080" s="3" t="s">
        <v>46</v>
      </c>
      <c r="P11080" s="5">
        <v>10</v>
      </c>
      <c r="Q11080" s="5">
        <v>155</v>
      </c>
      <c r="R11080" s="5">
        <v>11</v>
      </c>
      <c r="S11080" s="5">
        <v>149</v>
      </c>
    </row>
    <row r="11081" spans="1:19" ht="28" x14ac:dyDescent="0.15">
      <c r="A11081" s="2">
        <f>HYPERLINK("https://open-school.uspishnemisto.com.ua/school/560368/", 560368)</f>
        <v>560368</v>
      </c>
      <c r="B11081" s="3" t="s">
        <v>56134</v>
      </c>
      <c r="C11081" s="3" t="s">
        <v>31</v>
      </c>
      <c r="D11081" s="3" t="s">
        <v>32</v>
      </c>
      <c r="E11081" s="4" t="s">
        <v>22</v>
      </c>
      <c r="F11081" s="4" t="s">
        <v>56135</v>
      </c>
      <c r="G11081" s="4" t="s">
        <v>56136</v>
      </c>
      <c r="H11081" s="3" t="s">
        <v>54289</v>
      </c>
      <c r="I11081" s="3" t="s">
        <v>2718</v>
      </c>
      <c r="J11081" s="3" t="s">
        <v>56137</v>
      </c>
      <c r="K11081" s="3" t="s">
        <v>56138</v>
      </c>
      <c r="L11081" s="3"/>
      <c r="M11081" s="4" t="s">
        <v>56139</v>
      </c>
      <c r="N11081" s="3" t="s">
        <v>37</v>
      </c>
      <c r="O11081" s="3" t="s">
        <v>46</v>
      </c>
      <c r="P11081" s="5">
        <v>11</v>
      </c>
      <c r="Q11081" s="5">
        <v>158</v>
      </c>
      <c r="R11081" s="5">
        <v>11</v>
      </c>
      <c r="S11081" s="5">
        <v>158</v>
      </c>
    </row>
    <row r="11082" spans="1:19" ht="56" x14ac:dyDescent="0.15">
      <c r="A11082" s="2">
        <f>HYPERLINK("https://open-school.uspishnemisto.com.ua/school/560369/", 560369)</f>
        <v>560369</v>
      </c>
      <c r="B11082" s="3" t="s">
        <v>56140</v>
      </c>
      <c r="C11082" s="3" t="s">
        <v>54</v>
      </c>
      <c r="D11082" s="3" t="s">
        <v>32</v>
      </c>
      <c r="E11082" s="4" t="s">
        <v>22</v>
      </c>
      <c r="F11082" s="4" t="s">
        <v>56141</v>
      </c>
      <c r="G11082" s="4" t="s">
        <v>56142</v>
      </c>
      <c r="H11082" s="3" t="s">
        <v>54289</v>
      </c>
      <c r="I11082" s="3" t="s">
        <v>56143</v>
      </c>
      <c r="J11082" s="3" t="s">
        <v>27428</v>
      </c>
      <c r="K11082" s="3"/>
      <c r="L11082" s="3"/>
      <c r="M11082" s="4" t="s">
        <v>56144</v>
      </c>
      <c r="N11082" s="3" t="s">
        <v>37</v>
      </c>
      <c r="O11082" s="3" t="s">
        <v>123</v>
      </c>
      <c r="P11082" s="5">
        <v>11</v>
      </c>
      <c r="Q11082" s="5">
        <v>124</v>
      </c>
      <c r="R11082" s="5">
        <v>11</v>
      </c>
      <c r="S11082" s="5">
        <v>131</v>
      </c>
    </row>
    <row r="11083" spans="1:19" ht="28" x14ac:dyDescent="0.15">
      <c r="A11083" s="2">
        <f>HYPERLINK("https://open-school.uspishnemisto.com.ua/school/560370/", 560370)</f>
        <v>560370</v>
      </c>
      <c r="B11083" s="3" t="s">
        <v>56145</v>
      </c>
      <c r="C11083" s="3" t="s">
        <v>31</v>
      </c>
      <c r="D11083" s="3" t="s">
        <v>60</v>
      </c>
      <c r="E11083" s="4" t="s">
        <v>22</v>
      </c>
      <c r="F11083" s="4" t="s">
        <v>56141</v>
      </c>
      <c r="G11083" s="4" t="s">
        <v>56146</v>
      </c>
      <c r="H11083" s="3" t="s">
        <v>54289</v>
      </c>
      <c r="I11083" s="3" t="s">
        <v>56147</v>
      </c>
      <c r="J11083" s="3" t="s">
        <v>4550</v>
      </c>
      <c r="K11083" s="3" t="s">
        <v>56148</v>
      </c>
      <c r="L11083" s="3"/>
      <c r="M11083" s="4"/>
      <c r="N11083" s="3" t="s">
        <v>37</v>
      </c>
      <c r="O11083" s="3" t="s">
        <v>52</v>
      </c>
      <c r="P11083" s="5">
        <v>1</v>
      </c>
      <c r="Q11083" s="5">
        <v>11</v>
      </c>
      <c r="R11083" s="5">
        <v>1</v>
      </c>
      <c r="S11083" s="5">
        <v>10</v>
      </c>
    </row>
    <row r="11084" spans="1:19" ht="28" x14ac:dyDescent="0.15">
      <c r="A11084" s="2">
        <f>HYPERLINK("https://open-school.uspishnemisto.com.ua/school/560371/", 560371)</f>
        <v>560371</v>
      </c>
      <c r="B11084" s="3" t="s">
        <v>56149</v>
      </c>
      <c r="C11084" s="3" t="s">
        <v>31</v>
      </c>
      <c r="D11084" s="3" t="s">
        <v>32</v>
      </c>
      <c r="E11084" s="4" t="s">
        <v>22</v>
      </c>
      <c r="F11084" s="4" t="s">
        <v>56150</v>
      </c>
      <c r="G11084" s="4" t="s">
        <v>56151</v>
      </c>
      <c r="H11084" s="3" t="s">
        <v>54289</v>
      </c>
      <c r="I11084" s="3" t="s">
        <v>56152</v>
      </c>
      <c r="J11084" s="3" t="s">
        <v>2080</v>
      </c>
      <c r="K11084" s="3" t="s">
        <v>56153</v>
      </c>
      <c r="L11084" s="3"/>
      <c r="M11084" s="4" t="s">
        <v>56154</v>
      </c>
      <c r="N11084" s="3" t="s">
        <v>37</v>
      </c>
      <c r="O11084" s="3" t="s">
        <v>46</v>
      </c>
      <c r="P11084" s="5">
        <v>19</v>
      </c>
      <c r="Q11084" s="5">
        <v>357</v>
      </c>
      <c r="R11084" s="5">
        <v>19</v>
      </c>
      <c r="S11084" s="5">
        <v>350</v>
      </c>
    </row>
    <row r="11085" spans="1:19" ht="42" x14ac:dyDescent="0.15">
      <c r="A11085" s="2">
        <f>HYPERLINK("https://open-school.uspishnemisto.com.ua/school/560372/", 560372)</f>
        <v>560372</v>
      </c>
      <c r="B11085" s="3" t="s">
        <v>56155</v>
      </c>
      <c r="C11085" s="3" t="s">
        <v>54</v>
      </c>
      <c r="D11085" s="3" t="s">
        <v>175</v>
      </c>
      <c r="E11085" s="4" t="s">
        <v>22</v>
      </c>
      <c r="F11085" s="4" t="s">
        <v>56156</v>
      </c>
      <c r="G11085" s="4" t="s">
        <v>56157</v>
      </c>
      <c r="H11085" s="3" t="s">
        <v>54289</v>
      </c>
      <c r="I11085" s="3" t="s">
        <v>41379</v>
      </c>
      <c r="J11085" s="3" t="s">
        <v>56158</v>
      </c>
      <c r="K11085" s="3" t="s">
        <v>56159</v>
      </c>
      <c r="L11085" s="3"/>
      <c r="M11085" s="4" t="s">
        <v>56160</v>
      </c>
      <c r="N11085" s="3" t="s">
        <v>37</v>
      </c>
      <c r="O11085" s="3" t="s">
        <v>46</v>
      </c>
      <c r="P11085" s="5">
        <v>8</v>
      </c>
      <c r="Q11085" s="5">
        <v>73</v>
      </c>
      <c r="R11085" s="5">
        <v>8</v>
      </c>
      <c r="S11085" s="5">
        <v>73</v>
      </c>
    </row>
    <row r="11086" spans="1:19" ht="42" x14ac:dyDescent="0.15">
      <c r="A11086" s="2">
        <f>HYPERLINK("https://open-school.uspishnemisto.com.ua/school/560373/", 560373)</f>
        <v>560373</v>
      </c>
      <c r="B11086" s="3" t="s">
        <v>56161</v>
      </c>
      <c r="C11086" s="3" t="s">
        <v>54</v>
      </c>
      <c r="D11086" s="3" t="s">
        <v>32</v>
      </c>
      <c r="E11086" s="4" t="s">
        <v>22</v>
      </c>
      <c r="F11086" s="4" t="s">
        <v>56156</v>
      </c>
      <c r="G11086" s="4" t="s">
        <v>56162</v>
      </c>
      <c r="H11086" s="3" t="s">
        <v>54289</v>
      </c>
      <c r="I11086" s="3" t="s">
        <v>56163</v>
      </c>
      <c r="J11086" s="3" t="s">
        <v>5606</v>
      </c>
      <c r="K11086" s="3"/>
      <c r="L11086" s="3"/>
      <c r="M11086" s="4" t="s">
        <v>56164</v>
      </c>
      <c r="N11086" s="3" t="s">
        <v>37</v>
      </c>
      <c r="O11086" s="3" t="s">
        <v>46</v>
      </c>
      <c r="P11086" s="5">
        <v>11</v>
      </c>
      <c r="Q11086" s="5">
        <v>82</v>
      </c>
      <c r="R11086" s="5">
        <v>11</v>
      </c>
      <c r="S11086" s="5">
        <v>82</v>
      </c>
    </row>
    <row r="11087" spans="1:19" ht="28" x14ac:dyDescent="0.15">
      <c r="A11087" s="2">
        <f>HYPERLINK("https://open-school.uspishnemisto.com.ua/school/560374/", 560374)</f>
        <v>560374</v>
      </c>
      <c r="B11087" s="3" t="s">
        <v>56165</v>
      </c>
      <c r="C11087" s="3" t="s">
        <v>54</v>
      </c>
      <c r="D11087" s="3" t="s">
        <v>175</v>
      </c>
      <c r="E11087" s="4" t="s">
        <v>22</v>
      </c>
      <c r="F11087" s="4"/>
      <c r="G11087" s="4" t="s">
        <v>56166</v>
      </c>
      <c r="H11087" s="3" t="s">
        <v>54289</v>
      </c>
      <c r="I11087" s="3" t="s">
        <v>56167</v>
      </c>
      <c r="J11087" s="3"/>
      <c r="K11087" s="3" t="s">
        <v>56168</v>
      </c>
      <c r="L11087" s="3"/>
      <c r="M11087" s="4" t="s">
        <v>56169</v>
      </c>
      <c r="N11087" s="3" t="s">
        <v>37</v>
      </c>
      <c r="O11087" s="3" t="s">
        <v>52</v>
      </c>
      <c r="P11087" s="5">
        <v>7</v>
      </c>
      <c r="Q11087" s="5">
        <v>44</v>
      </c>
      <c r="R11087" s="5">
        <v>6</v>
      </c>
      <c r="S11087" s="5">
        <v>39</v>
      </c>
    </row>
    <row r="11088" spans="1:19" ht="42" x14ac:dyDescent="0.15">
      <c r="A11088" s="2">
        <f>HYPERLINK("https://open-school.uspishnemisto.com.ua/school/560375/", 560375)</f>
        <v>560375</v>
      </c>
      <c r="B11088" s="3" t="s">
        <v>56170</v>
      </c>
      <c r="C11088" s="3" t="s">
        <v>54</v>
      </c>
      <c r="D11088" s="3" t="s">
        <v>175</v>
      </c>
      <c r="E11088" s="4" t="s">
        <v>22</v>
      </c>
      <c r="F11088" s="4" t="s">
        <v>56171</v>
      </c>
      <c r="G11088" s="4" t="s">
        <v>56172</v>
      </c>
      <c r="H11088" s="3" t="s">
        <v>54289</v>
      </c>
      <c r="I11088" s="3" t="s">
        <v>56173</v>
      </c>
      <c r="J11088" s="3" t="s">
        <v>466</v>
      </c>
      <c r="K11088" s="3" t="s">
        <v>56174</v>
      </c>
      <c r="L11088" s="3"/>
      <c r="M11088" s="4" t="s">
        <v>56175</v>
      </c>
      <c r="N11088" s="3" t="s">
        <v>37</v>
      </c>
      <c r="O11088" s="3" t="s">
        <v>46</v>
      </c>
      <c r="P11088" s="5">
        <v>5</v>
      </c>
      <c r="Q11088" s="5">
        <v>49</v>
      </c>
      <c r="R11088" s="5">
        <v>5</v>
      </c>
      <c r="S11088" s="5">
        <v>47</v>
      </c>
    </row>
    <row r="11089" spans="1:19" ht="56" x14ac:dyDescent="0.15">
      <c r="A11089" s="2">
        <f>HYPERLINK("https://open-school.uspishnemisto.com.ua/school/560376/", 560376)</f>
        <v>560376</v>
      </c>
      <c r="B11089" s="3" t="s">
        <v>56176</v>
      </c>
      <c r="C11089" s="3" t="s">
        <v>54</v>
      </c>
      <c r="D11089" s="3" t="s">
        <v>175</v>
      </c>
      <c r="E11089" s="4" t="s">
        <v>22</v>
      </c>
      <c r="F11089" s="4" t="s">
        <v>56177</v>
      </c>
      <c r="G11089" s="4" t="s">
        <v>56178</v>
      </c>
      <c r="H11089" s="3" t="s">
        <v>54289</v>
      </c>
      <c r="I11089" s="3" t="s">
        <v>29582</v>
      </c>
      <c r="J11089" s="3" t="s">
        <v>2384</v>
      </c>
      <c r="K11089" s="3" t="s">
        <v>56179</v>
      </c>
      <c r="L11089" s="3" t="s">
        <v>56180</v>
      </c>
      <c r="M11089" s="4" t="s">
        <v>56181</v>
      </c>
      <c r="N11089" s="3" t="s">
        <v>37</v>
      </c>
      <c r="O11089" s="3" t="s">
        <v>46</v>
      </c>
      <c r="P11089" s="5">
        <v>7</v>
      </c>
      <c r="Q11089" s="5">
        <v>74</v>
      </c>
      <c r="R11089" s="5">
        <v>8</v>
      </c>
      <c r="S11089" s="5">
        <v>70</v>
      </c>
    </row>
    <row r="11090" spans="1:19" ht="42" x14ac:dyDescent="0.15">
      <c r="A11090" s="2">
        <f>HYPERLINK("https://open-school.uspishnemisto.com.ua/school/560377/", 560377)</f>
        <v>560377</v>
      </c>
      <c r="B11090" s="3" t="s">
        <v>56182</v>
      </c>
      <c r="C11090" s="3" t="s">
        <v>54</v>
      </c>
      <c r="D11090" s="3" t="s">
        <v>175</v>
      </c>
      <c r="E11090" s="4" t="s">
        <v>22</v>
      </c>
      <c r="F11090" s="4" t="s">
        <v>56183</v>
      </c>
      <c r="G11090" s="4" t="s">
        <v>56184</v>
      </c>
      <c r="H11090" s="3" t="s">
        <v>54289</v>
      </c>
      <c r="I11090" s="3" t="s">
        <v>39512</v>
      </c>
      <c r="J11090" s="3" t="s">
        <v>946</v>
      </c>
      <c r="K11090" s="3" t="s">
        <v>56185</v>
      </c>
      <c r="L11090" s="3"/>
      <c r="M11090" s="4" t="s">
        <v>56186</v>
      </c>
      <c r="N11090" s="3" t="s">
        <v>37</v>
      </c>
      <c r="O11090" s="3" t="s">
        <v>46</v>
      </c>
      <c r="P11090" s="5">
        <v>7</v>
      </c>
      <c r="Q11090" s="5">
        <v>58</v>
      </c>
      <c r="R11090" s="5">
        <v>7</v>
      </c>
      <c r="S11090" s="5">
        <v>49</v>
      </c>
    </row>
    <row r="11091" spans="1:19" ht="42" x14ac:dyDescent="0.15">
      <c r="A11091" s="2">
        <f>HYPERLINK("https://open-school.uspishnemisto.com.ua/school/560378/", 560378)</f>
        <v>560378</v>
      </c>
      <c r="B11091" s="3" t="s">
        <v>56187</v>
      </c>
      <c r="C11091" s="3" t="s">
        <v>54</v>
      </c>
      <c r="D11091" s="3" t="s">
        <v>175</v>
      </c>
      <c r="E11091" s="4" t="s">
        <v>22</v>
      </c>
      <c r="F11091" s="4" t="s">
        <v>56188</v>
      </c>
      <c r="G11091" s="4" t="s">
        <v>56189</v>
      </c>
      <c r="H11091" s="3" t="s">
        <v>54289</v>
      </c>
      <c r="I11091" s="3" t="s">
        <v>56190</v>
      </c>
      <c r="J11091" s="3" t="s">
        <v>2978</v>
      </c>
      <c r="K11091" s="3" t="s">
        <v>56191</v>
      </c>
      <c r="L11091" s="3"/>
      <c r="M11091" s="4" t="s">
        <v>56192</v>
      </c>
      <c r="N11091" s="3" t="s">
        <v>37</v>
      </c>
      <c r="O11091" s="3" t="s">
        <v>46</v>
      </c>
      <c r="P11091" s="5">
        <v>9</v>
      </c>
      <c r="Q11091" s="5">
        <v>73</v>
      </c>
      <c r="R11091" s="5">
        <v>9</v>
      </c>
      <c r="S11091" s="5">
        <v>71</v>
      </c>
    </row>
    <row r="11092" spans="1:19" ht="28" x14ac:dyDescent="0.15">
      <c r="A11092" s="2">
        <f>HYPERLINK("https://open-school.uspishnemisto.com.ua/school/560379/", 560379)</f>
        <v>560379</v>
      </c>
      <c r="B11092" s="3" t="s">
        <v>56193</v>
      </c>
      <c r="C11092" s="3" t="s">
        <v>31</v>
      </c>
      <c r="D11092" s="3" t="s">
        <v>32</v>
      </c>
      <c r="E11092" s="4" t="s">
        <v>22</v>
      </c>
      <c r="F11092" s="4" t="s">
        <v>56194</v>
      </c>
      <c r="G11092" s="4" t="s">
        <v>56195</v>
      </c>
      <c r="H11092" s="3" t="s">
        <v>54289</v>
      </c>
      <c r="I11092" s="3" t="s">
        <v>766</v>
      </c>
      <c r="J11092" s="3" t="s">
        <v>56196</v>
      </c>
      <c r="K11092" s="3" t="s">
        <v>56197</v>
      </c>
      <c r="L11092" s="3"/>
      <c r="M11092" s="4" t="s">
        <v>56198</v>
      </c>
      <c r="N11092" s="3" t="s">
        <v>37</v>
      </c>
      <c r="O11092" s="3" t="s">
        <v>46</v>
      </c>
      <c r="P11092" s="5">
        <v>11</v>
      </c>
      <c r="Q11092" s="5">
        <v>114</v>
      </c>
      <c r="R11092" s="5">
        <v>10</v>
      </c>
      <c r="S11092" s="5">
        <v>112</v>
      </c>
    </row>
    <row r="11093" spans="1:19" ht="28" x14ac:dyDescent="0.15">
      <c r="A11093" s="2">
        <f>HYPERLINK("https://open-school.uspishnemisto.com.ua/school/560380/", 560380)</f>
        <v>560380</v>
      </c>
      <c r="B11093" s="3" t="s">
        <v>56199</v>
      </c>
      <c r="C11093" s="3" t="s">
        <v>31</v>
      </c>
      <c r="D11093" s="3" t="s">
        <v>60</v>
      </c>
      <c r="E11093" s="4" t="s">
        <v>22</v>
      </c>
      <c r="F11093" s="4" t="s">
        <v>56194</v>
      </c>
      <c r="G11093" s="4" t="s">
        <v>56200</v>
      </c>
      <c r="H11093" s="3" t="s">
        <v>54289</v>
      </c>
      <c r="I11093" s="3" t="s">
        <v>56201</v>
      </c>
      <c r="J11093" s="3" t="s">
        <v>933</v>
      </c>
      <c r="K11093" s="3" t="s">
        <v>56202</v>
      </c>
      <c r="L11093" s="3"/>
      <c r="M11093" s="4"/>
      <c r="N11093" s="3" t="s">
        <v>37</v>
      </c>
      <c r="O11093" s="3" t="s">
        <v>618</v>
      </c>
      <c r="P11093" s="5">
        <v>0</v>
      </c>
      <c r="Q11093" s="5">
        <v>13</v>
      </c>
      <c r="R11093" s="5">
        <v>2</v>
      </c>
      <c r="S11093" s="5">
        <v>12</v>
      </c>
    </row>
    <row r="11094" spans="1:19" ht="28" x14ac:dyDescent="0.15">
      <c r="A11094" s="2">
        <f>HYPERLINK("https://open-school.uspishnemisto.com.ua/school/560381/", 560381)</f>
        <v>560381</v>
      </c>
      <c r="B11094" s="3" t="s">
        <v>56203</v>
      </c>
      <c r="C11094" s="3" t="s">
        <v>31</v>
      </c>
      <c r="D11094" s="3" t="s">
        <v>175</v>
      </c>
      <c r="E11094" s="4" t="s">
        <v>22</v>
      </c>
      <c r="F11094" s="4" t="s">
        <v>56204</v>
      </c>
      <c r="G11094" s="4" t="s">
        <v>56205</v>
      </c>
      <c r="H11094" s="3" t="s">
        <v>54289</v>
      </c>
      <c r="I11094" s="3" t="s">
        <v>56206</v>
      </c>
      <c r="J11094" s="3" t="s">
        <v>10965</v>
      </c>
      <c r="K11094" s="3" t="s">
        <v>56207</v>
      </c>
      <c r="L11094" s="3"/>
      <c r="M11094" s="4" t="s">
        <v>56208</v>
      </c>
      <c r="N11094" s="3" t="s">
        <v>37</v>
      </c>
      <c r="O11094" s="3" t="s">
        <v>46</v>
      </c>
      <c r="P11094" s="5">
        <v>7</v>
      </c>
      <c r="Q11094" s="5">
        <v>53</v>
      </c>
      <c r="R11094" s="5">
        <v>9</v>
      </c>
      <c r="S11094" s="5">
        <v>56</v>
      </c>
    </row>
    <row r="11095" spans="1:19" ht="28" x14ac:dyDescent="0.15">
      <c r="A11095" s="2">
        <f>HYPERLINK("https://open-school.uspishnemisto.com.ua/school/560382/", 560382)</f>
        <v>560382</v>
      </c>
      <c r="B11095" s="3" t="s">
        <v>56209</v>
      </c>
      <c r="C11095" s="3" t="s">
        <v>31</v>
      </c>
      <c r="D11095" s="3" t="s">
        <v>175</v>
      </c>
      <c r="E11095" s="4" t="s">
        <v>22</v>
      </c>
      <c r="F11095" s="4" t="s">
        <v>56210</v>
      </c>
      <c r="G11095" s="4" t="s">
        <v>56211</v>
      </c>
      <c r="H11095" s="3" t="s">
        <v>54289</v>
      </c>
      <c r="I11095" s="3" t="s">
        <v>56212</v>
      </c>
      <c r="J11095" s="3" t="s">
        <v>878</v>
      </c>
      <c r="K11095" s="3"/>
      <c r="L11095" s="3"/>
      <c r="M11095" s="4" t="s">
        <v>56213</v>
      </c>
      <c r="N11095" s="3" t="s">
        <v>37</v>
      </c>
      <c r="O11095" s="3" t="s">
        <v>46</v>
      </c>
      <c r="P11095" s="5">
        <v>7</v>
      </c>
      <c r="Q11095" s="5">
        <v>60</v>
      </c>
      <c r="R11095" s="5">
        <v>7</v>
      </c>
      <c r="S11095" s="5">
        <v>57</v>
      </c>
    </row>
    <row r="11096" spans="1:19" ht="28" x14ac:dyDescent="0.15">
      <c r="A11096" s="2">
        <f>HYPERLINK("https://open-school.uspishnemisto.com.ua/school/560383/", 560383)</f>
        <v>560383</v>
      </c>
      <c r="B11096" s="3" t="s">
        <v>56214</v>
      </c>
      <c r="C11096" s="3" t="s">
        <v>31</v>
      </c>
      <c r="D11096" s="3" t="s">
        <v>175</v>
      </c>
      <c r="E11096" s="4" t="s">
        <v>22</v>
      </c>
      <c r="F11096" s="4" t="s">
        <v>56210</v>
      </c>
      <c r="G11096" s="4" t="s">
        <v>56215</v>
      </c>
      <c r="H11096" s="3" t="s">
        <v>54289</v>
      </c>
      <c r="I11096" s="3" t="s">
        <v>56216</v>
      </c>
      <c r="J11096" s="3" t="s">
        <v>56217</v>
      </c>
      <c r="K11096" s="3" t="s">
        <v>56218</v>
      </c>
      <c r="L11096" s="3"/>
      <c r="M11096" s="4" t="s">
        <v>56219</v>
      </c>
      <c r="N11096" s="3" t="s">
        <v>37</v>
      </c>
      <c r="O11096" s="3" t="s">
        <v>46</v>
      </c>
      <c r="P11096" s="5">
        <v>2</v>
      </c>
      <c r="Q11096" s="5">
        <v>28</v>
      </c>
      <c r="R11096" s="5">
        <v>2</v>
      </c>
      <c r="S11096" s="5">
        <v>30</v>
      </c>
    </row>
    <row r="11097" spans="1:19" ht="42" x14ac:dyDescent="0.15">
      <c r="A11097" s="2">
        <f>HYPERLINK("https://open-school.uspishnemisto.com.ua/school/560384/", 560384)</f>
        <v>560384</v>
      </c>
      <c r="B11097" s="3" t="s">
        <v>56220</v>
      </c>
      <c r="C11097" s="3" t="s">
        <v>181</v>
      </c>
      <c r="D11097" s="3" t="s">
        <v>175</v>
      </c>
      <c r="E11097" s="4" t="s">
        <v>22</v>
      </c>
      <c r="F11097" s="4" t="s">
        <v>56221</v>
      </c>
      <c r="G11097" s="4" t="s">
        <v>56222</v>
      </c>
      <c r="H11097" s="3" t="s">
        <v>54289</v>
      </c>
      <c r="I11097" s="3" t="s">
        <v>56223</v>
      </c>
      <c r="J11097" s="3" t="s">
        <v>56224</v>
      </c>
      <c r="K11097" s="3" t="s">
        <v>56225</v>
      </c>
      <c r="L11097" s="3" t="s">
        <v>56226</v>
      </c>
      <c r="M11097" s="4" t="s">
        <v>56227</v>
      </c>
      <c r="N11097" s="3" t="s">
        <v>37</v>
      </c>
      <c r="O11097" s="3" t="s">
        <v>52</v>
      </c>
      <c r="P11097" s="5">
        <v>20</v>
      </c>
      <c r="Q11097" s="5">
        <v>125</v>
      </c>
      <c r="R11097" s="5">
        <v>20</v>
      </c>
      <c r="S11097" s="5">
        <v>122</v>
      </c>
    </row>
    <row r="11098" spans="1:19" ht="42" x14ac:dyDescent="0.15">
      <c r="A11098" s="2">
        <f>HYPERLINK("https://open-school.uspishnemisto.com.ua/school/560385/", 560385)</f>
        <v>560385</v>
      </c>
      <c r="B11098" s="3" t="s">
        <v>56228</v>
      </c>
      <c r="C11098" s="3" t="s">
        <v>48</v>
      </c>
      <c r="D11098" s="3" t="s">
        <v>32</v>
      </c>
      <c r="E11098" s="4" t="s">
        <v>22</v>
      </c>
      <c r="F11098" s="4" t="s">
        <v>56221</v>
      </c>
      <c r="G11098" s="4" t="s">
        <v>56222</v>
      </c>
      <c r="H11098" s="3" t="s">
        <v>54289</v>
      </c>
      <c r="I11098" s="3" t="s">
        <v>56223</v>
      </c>
      <c r="J11098" s="3" t="s">
        <v>28061</v>
      </c>
      <c r="K11098" s="3" t="s">
        <v>56229</v>
      </c>
      <c r="L11098" s="3" t="s">
        <v>56230</v>
      </c>
      <c r="M11098" s="4" t="s">
        <v>56231</v>
      </c>
      <c r="N11098" s="3" t="s">
        <v>37</v>
      </c>
      <c r="O11098" s="3" t="s">
        <v>123</v>
      </c>
      <c r="P11098" s="5">
        <v>10</v>
      </c>
      <c r="Q11098" s="5">
        <v>231</v>
      </c>
      <c r="R11098" s="5">
        <v>10</v>
      </c>
      <c r="S11098" s="5">
        <v>233</v>
      </c>
    </row>
    <row r="11099" spans="1:19" ht="28" x14ac:dyDescent="0.15">
      <c r="A11099" s="2">
        <f>HYPERLINK("https://open-school.uspishnemisto.com.ua/school/560386/", 560386)</f>
        <v>560386</v>
      </c>
      <c r="B11099" s="3" t="s">
        <v>56232</v>
      </c>
      <c r="C11099" s="3" t="s">
        <v>31</v>
      </c>
      <c r="D11099" s="3" t="s">
        <v>32</v>
      </c>
      <c r="E11099" s="4" t="s">
        <v>22</v>
      </c>
      <c r="F11099" s="4" t="s">
        <v>56221</v>
      </c>
      <c r="G11099" s="4" t="s">
        <v>56222</v>
      </c>
      <c r="H11099" s="3" t="s">
        <v>54289</v>
      </c>
      <c r="I11099" s="3" t="s">
        <v>56223</v>
      </c>
      <c r="J11099" s="3" t="s">
        <v>27253</v>
      </c>
      <c r="K11099" s="3" t="s">
        <v>56233</v>
      </c>
      <c r="L11099" s="3"/>
      <c r="M11099" s="4"/>
      <c r="N11099" s="3" t="s">
        <v>37</v>
      </c>
      <c r="O11099" s="3" t="s">
        <v>52</v>
      </c>
      <c r="P11099" s="5">
        <v>29</v>
      </c>
      <c r="Q11099" s="5">
        <v>718</v>
      </c>
      <c r="R11099" s="5">
        <v>28</v>
      </c>
      <c r="S11099" s="5">
        <v>698</v>
      </c>
    </row>
    <row r="11100" spans="1:19" ht="28" x14ac:dyDescent="0.15">
      <c r="A11100" s="2">
        <f>HYPERLINK("https://open-school.uspishnemisto.com.ua/school/560387/", 560387)</f>
        <v>560387</v>
      </c>
      <c r="B11100" s="3" t="s">
        <v>56234</v>
      </c>
      <c r="C11100" s="3" t="s">
        <v>31</v>
      </c>
      <c r="D11100" s="3" t="s">
        <v>60</v>
      </c>
      <c r="E11100" s="4" t="s">
        <v>22</v>
      </c>
      <c r="F11100" s="4" t="s">
        <v>56221</v>
      </c>
      <c r="G11100" s="4" t="s">
        <v>56222</v>
      </c>
      <c r="H11100" s="3" t="s">
        <v>54289</v>
      </c>
      <c r="I11100" s="3" t="s">
        <v>56223</v>
      </c>
      <c r="J11100" s="3" t="s">
        <v>56235</v>
      </c>
      <c r="K11100" s="3" t="s">
        <v>56236</v>
      </c>
      <c r="L11100" s="3"/>
      <c r="M11100" s="4"/>
      <c r="N11100" s="3" t="s">
        <v>37</v>
      </c>
      <c r="O11100" s="3" t="s">
        <v>52</v>
      </c>
      <c r="P11100" s="5">
        <v>4</v>
      </c>
      <c r="Q11100" s="5">
        <v>57</v>
      </c>
      <c r="R11100" s="5">
        <v>4</v>
      </c>
      <c r="S11100" s="5">
        <v>62</v>
      </c>
    </row>
    <row r="11101" spans="1:19" ht="28" x14ac:dyDescent="0.15">
      <c r="A11101" s="2">
        <f>HYPERLINK("https://open-school.uspishnemisto.com.ua/school/560388/", 560388)</f>
        <v>560388</v>
      </c>
      <c r="B11101" s="3" t="s">
        <v>56237</v>
      </c>
      <c r="C11101" s="3" t="s">
        <v>31</v>
      </c>
      <c r="D11101" s="3" t="s">
        <v>175</v>
      </c>
      <c r="E11101" s="4" t="s">
        <v>22</v>
      </c>
      <c r="F11101" s="4" t="s">
        <v>56221</v>
      </c>
      <c r="G11101" s="4" t="s">
        <v>56222</v>
      </c>
      <c r="H11101" s="3" t="s">
        <v>54289</v>
      </c>
      <c r="I11101" s="3" t="s">
        <v>56223</v>
      </c>
      <c r="J11101" s="3" t="s">
        <v>11097</v>
      </c>
      <c r="K11101" s="3" t="s">
        <v>56238</v>
      </c>
      <c r="L11101" s="3" t="s">
        <v>56239</v>
      </c>
      <c r="M11101" s="4"/>
      <c r="N11101" s="3" t="s">
        <v>37</v>
      </c>
      <c r="O11101" s="3" t="s">
        <v>52</v>
      </c>
      <c r="P11101" s="5">
        <v>17</v>
      </c>
      <c r="Q11101" s="5">
        <v>387</v>
      </c>
      <c r="R11101" s="5">
        <v>17</v>
      </c>
      <c r="S11101" s="5">
        <v>379</v>
      </c>
    </row>
    <row r="11102" spans="1:19" ht="28" x14ac:dyDescent="0.15">
      <c r="A11102" s="2">
        <f>HYPERLINK("https://open-school.uspishnemisto.com.ua/school/560389/", 560389)</f>
        <v>560389</v>
      </c>
      <c r="B11102" s="3" t="s">
        <v>56240</v>
      </c>
      <c r="C11102" s="3" t="s">
        <v>31</v>
      </c>
      <c r="D11102" s="3" t="s">
        <v>32</v>
      </c>
      <c r="E11102" s="4" t="s">
        <v>22</v>
      </c>
      <c r="F11102" s="4" t="s">
        <v>56221</v>
      </c>
      <c r="G11102" s="4" t="s">
        <v>56222</v>
      </c>
      <c r="H11102" s="3" t="s">
        <v>54289</v>
      </c>
      <c r="I11102" s="3" t="s">
        <v>56223</v>
      </c>
      <c r="J11102" s="3" t="s">
        <v>56241</v>
      </c>
      <c r="K11102" s="3" t="s">
        <v>56242</v>
      </c>
      <c r="L11102" s="3"/>
      <c r="M11102" s="4" t="s">
        <v>56243</v>
      </c>
      <c r="N11102" s="3" t="s">
        <v>37</v>
      </c>
      <c r="O11102" s="3" t="s">
        <v>52</v>
      </c>
      <c r="P11102" s="5">
        <v>20</v>
      </c>
      <c r="Q11102" s="5">
        <v>448</v>
      </c>
      <c r="R11102" s="5">
        <v>21</v>
      </c>
      <c r="S11102" s="5">
        <v>442</v>
      </c>
    </row>
    <row r="11103" spans="1:19" ht="28" x14ac:dyDescent="0.15">
      <c r="A11103" s="2">
        <f>HYPERLINK("https://open-school.uspishnemisto.com.ua/school/560390/", 560390)</f>
        <v>560390</v>
      </c>
      <c r="B11103" s="3" t="s">
        <v>56244</v>
      </c>
      <c r="C11103" s="3" t="s">
        <v>31</v>
      </c>
      <c r="D11103" s="3" t="s">
        <v>32</v>
      </c>
      <c r="E11103" s="4" t="s">
        <v>22</v>
      </c>
      <c r="F11103" s="4" t="s">
        <v>56221</v>
      </c>
      <c r="G11103" s="4" t="s">
        <v>56222</v>
      </c>
      <c r="H11103" s="3" t="s">
        <v>54289</v>
      </c>
      <c r="I11103" s="3" t="s">
        <v>56223</v>
      </c>
      <c r="J11103" s="3" t="s">
        <v>56245</v>
      </c>
      <c r="K11103" s="3" t="s">
        <v>56246</v>
      </c>
      <c r="L11103" s="3" t="s">
        <v>56247</v>
      </c>
      <c r="M11103" s="4"/>
      <c r="N11103" s="3" t="s">
        <v>37</v>
      </c>
      <c r="O11103" s="3" t="s">
        <v>46</v>
      </c>
      <c r="P11103" s="5">
        <v>20</v>
      </c>
      <c r="Q11103" s="5">
        <v>522</v>
      </c>
      <c r="R11103" s="5">
        <v>20</v>
      </c>
      <c r="S11103" s="5">
        <v>499</v>
      </c>
    </row>
    <row r="11104" spans="1:19" ht="28" x14ac:dyDescent="0.15">
      <c r="A11104" s="2">
        <f>HYPERLINK("https://open-school.uspishnemisto.com.ua/school/560391/", 560391)</f>
        <v>560391</v>
      </c>
      <c r="B11104" s="3" t="s">
        <v>56248</v>
      </c>
      <c r="C11104" s="3" t="s">
        <v>31</v>
      </c>
      <c r="D11104" s="3" t="s">
        <v>32</v>
      </c>
      <c r="E11104" s="4" t="s">
        <v>22</v>
      </c>
      <c r="F11104" s="4" t="s">
        <v>56221</v>
      </c>
      <c r="G11104" s="4" t="s">
        <v>56222</v>
      </c>
      <c r="H11104" s="3" t="s">
        <v>54289</v>
      </c>
      <c r="I11104" s="3" t="s">
        <v>56223</v>
      </c>
      <c r="J11104" s="3" t="s">
        <v>56249</v>
      </c>
      <c r="K11104" s="3" t="s">
        <v>56250</v>
      </c>
      <c r="L11104" s="3" t="s">
        <v>56251</v>
      </c>
      <c r="M11104" s="4" t="s">
        <v>56252</v>
      </c>
      <c r="N11104" s="3" t="s">
        <v>37</v>
      </c>
      <c r="O11104" s="3" t="s">
        <v>2740</v>
      </c>
      <c r="P11104" s="5">
        <v>30</v>
      </c>
      <c r="Q11104" s="5">
        <v>693</v>
      </c>
      <c r="R11104" s="5">
        <v>30</v>
      </c>
      <c r="S11104" s="5">
        <v>695</v>
      </c>
    </row>
    <row r="11105" spans="1:19" ht="28" x14ac:dyDescent="0.15">
      <c r="A11105" s="2">
        <f>HYPERLINK("https://open-school.uspishnemisto.com.ua/school/560392/", 560392)</f>
        <v>560392</v>
      </c>
      <c r="B11105" s="3" t="s">
        <v>56253</v>
      </c>
      <c r="C11105" s="3" t="s">
        <v>31</v>
      </c>
      <c r="D11105" s="3" t="s">
        <v>32</v>
      </c>
      <c r="E11105" s="4" t="s">
        <v>22</v>
      </c>
      <c r="F11105" s="4" t="s">
        <v>56221</v>
      </c>
      <c r="G11105" s="4" t="s">
        <v>56222</v>
      </c>
      <c r="H11105" s="3" t="s">
        <v>54289</v>
      </c>
      <c r="I11105" s="3" t="s">
        <v>56223</v>
      </c>
      <c r="J11105" s="3" t="s">
        <v>56254</v>
      </c>
      <c r="K11105" s="3" t="s">
        <v>56255</v>
      </c>
      <c r="L11105" s="3"/>
      <c r="M11105" s="4"/>
      <c r="N11105" s="3" t="s">
        <v>37</v>
      </c>
      <c r="O11105" s="3" t="s">
        <v>2740</v>
      </c>
      <c r="P11105" s="5">
        <v>30</v>
      </c>
      <c r="Q11105" s="5">
        <v>801</v>
      </c>
      <c r="R11105" s="5">
        <v>30</v>
      </c>
      <c r="S11105" s="5">
        <v>785</v>
      </c>
    </row>
    <row r="11106" spans="1:19" ht="56" x14ac:dyDescent="0.15">
      <c r="A11106" s="2">
        <f>HYPERLINK("https://open-school.uspishnemisto.com.ua/school/560393/", 560393)</f>
        <v>560393</v>
      </c>
      <c r="B11106" s="3" t="s">
        <v>56256</v>
      </c>
      <c r="C11106" s="3" t="s">
        <v>54</v>
      </c>
      <c r="D11106" s="3" t="s">
        <v>32</v>
      </c>
      <c r="E11106" s="4" t="s">
        <v>22</v>
      </c>
      <c r="F11106" s="4" t="s">
        <v>56221</v>
      </c>
      <c r="G11106" s="4" t="s">
        <v>56222</v>
      </c>
      <c r="H11106" s="3" t="s">
        <v>54289</v>
      </c>
      <c r="I11106" s="3" t="s">
        <v>56223</v>
      </c>
      <c r="J11106" s="3" t="s">
        <v>56257</v>
      </c>
      <c r="K11106" s="3" t="s">
        <v>56258</v>
      </c>
      <c r="L11106" s="3"/>
      <c r="M11106" s="4"/>
      <c r="N11106" s="3" t="s">
        <v>37</v>
      </c>
      <c r="O11106" s="3" t="s">
        <v>2740</v>
      </c>
      <c r="P11106" s="5">
        <v>21</v>
      </c>
      <c r="Q11106" s="5">
        <v>470</v>
      </c>
      <c r="R11106" s="5">
        <v>19</v>
      </c>
      <c r="S11106" s="5">
        <v>414</v>
      </c>
    </row>
    <row r="11107" spans="1:19" ht="28" x14ac:dyDescent="0.15">
      <c r="A11107" s="2">
        <f>HYPERLINK("https://open-school.uspishnemisto.com.ua/school/560394/", 560394)</f>
        <v>560394</v>
      </c>
      <c r="B11107" s="3" t="s">
        <v>56259</v>
      </c>
      <c r="C11107" s="3" t="s">
        <v>31</v>
      </c>
      <c r="D11107" s="3" t="s">
        <v>32</v>
      </c>
      <c r="E11107" s="4" t="s">
        <v>22</v>
      </c>
      <c r="F11107" s="4" t="s">
        <v>56260</v>
      </c>
      <c r="G11107" s="4" t="s">
        <v>56261</v>
      </c>
      <c r="H11107" s="3" t="s">
        <v>54289</v>
      </c>
      <c r="I11107" s="3" t="s">
        <v>56262</v>
      </c>
      <c r="J11107" s="3" t="s">
        <v>56263</v>
      </c>
      <c r="K11107" s="3" t="s">
        <v>56264</v>
      </c>
      <c r="L11107" s="3"/>
      <c r="M11107" s="4" t="s">
        <v>56265</v>
      </c>
      <c r="N11107" s="3" t="s">
        <v>37</v>
      </c>
      <c r="O11107" s="3" t="s">
        <v>52</v>
      </c>
      <c r="P11107" s="5">
        <v>11</v>
      </c>
      <c r="Q11107" s="5">
        <v>136</v>
      </c>
      <c r="R11107" s="5">
        <v>11</v>
      </c>
      <c r="S11107" s="5">
        <v>134</v>
      </c>
    </row>
    <row r="11108" spans="1:19" ht="28" x14ac:dyDescent="0.15">
      <c r="A11108" s="2">
        <f>HYPERLINK("https://open-school.uspishnemisto.com.ua/school/560395/", 560395)</f>
        <v>560395</v>
      </c>
      <c r="B11108" s="3" t="s">
        <v>56266</v>
      </c>
      <c r="C11108" s="3" t="s">
        <v>31</v>
      </c>
      <c r="D11108" s="3" t="s">
        <v>175</v>
      </c>
      <c r="E11108" s="4" t="s">
        <v>22</v>
      </c>
      <c r="F11108" s="4" t="s">
        <v>56267</v>
      </c>
      <c r="G11108" s="4" t="s">
        <v>56268</v>
      </c>
      <c r="H11108" s="3" t="s">
        <v>54289</v>
      </c>
      <c r="I11108" s="3" t="s">
        <v>56269</v>
      </c>
      <c r="J11108" s="3" t="s">
        <v>2978</v>
      </c>
      <c r="K11108" s="3" t="s">
        <v>56270</v>
      </c>
      <c r="L11108" s="3"/>
      <c r="M11108" s="4"/>
      <c r="N11108" s="3" t="s">
        <v>37</v>
      </c>
      <c r="O11108" s="3" t="s">
        <v>2740</v>
      </c>
      <c r="P11108" s="5">
        <v>5</v>
      </c>
      <c r="Q11108" s="5">
        <v>56</v>
      </c>
      <c r="R11108" s="5">
        <v>6</v>
      </c>
      <c r="S11108" s="5">
        <v>53</v>
      </c>
    </row>
    <row r="11109" spans="1:19" ht="28" x14ac:dyDescent="0.15">
      <c r="A11109" s="2">
        <f>HYPERLINK("https://open-school.uspishnemisto.com.ua/school/560396/", 560396)</f>
        <v>560396</v>
      </c>
      <c r="B11109" s="3" t="s">
        <v>56271</v>
      </c>
      <c r="C11109" s="3" t="s">
        <v>31</v>
      </c>
      <c r="D11109" s="3" t="s">
        <v>32</v>
      </c>
      <c r="E11109" s="4" t="s">
        <v>22</v>
      </c>
      <c r="F11109" s="4" t="s">
        <v>56272</v>
      </c>
      <c r="G11109" s="4" t="s">
        <v>56273</v>
      </c>
      <c r="H11109" s="3" t="s">
        <v>54289</v>
      </c>
      <c r="I11109" s="3" t="s">
        <v>56274</v>
      </c>
      <c r="J11109" s="3" t="s">
        <v>56275</v>
      </c>
      <c r="K11109" s="3" t="s">
        <v>56276</v>
      </c>
      <c r="L11109" s="3"/>
      <c r="M11109" s="4"/>
      <c r="N11109" s="3" t="s">
        <v>37</v>
      </c>
      <c r="O11109" s="3" t="s">
        <v>52</v>
      </c>
      <c r="P11109" s="5">
        <v>11</v>
      </c>
      <c r="Q11109" s="5">
        <v>138</v>
      </c>
      <c r="R11109" s="5">
        <v>11</v>
      </c>
      <c r="S11109" s="5">
        <v>138</v>
      </c>
    </row>
    <row r="11110" spans="1:19" ht="28" x14ac:dyDescent="0.15">
      <c r="A11110" s="2">
        <f>HYPERLINK("https://open-school.uspishnemisto.com.ua/school/560397/", 560397)</f>
        <v>560397</v>
      </c>
      <c r="B11110" s="3" t="s">
        <v>56277</v>
      </c>
      <c r="C11110" s="3" t="s">
        <v>31</v>
      </c>
      <c r="D11110" s="3" t="s">
        <v>60</v>
      </c>
      <c r="E11110" s="4" t="s">
        <v>22</v>
      </c>
      <c r="F11110" s="4" t="s">
        <v>56278</v>
      </c>
      <c r="G11110" s="4" t="s">
        <v>56279</v>
      </c>
      <c r="H11110" s="3" t="s">
        <v>54289</v>
      </c>
      <c r="I11110" s="3" t="s">
        <v>56280</v>
      </c>
      <c r="J11110" s="3" t="s">
        <v>34839</v>
      </c>
      <c r="K11110" s="3"/>
      <c r="L11110" s="3"/>
      <c r="M11110" s="4"/>
      <c r="N11110" s="3" t="s">
        <v>37</v>
      </c>
      <c r="O11110" s="3" t="s">
        <v>52</v>
      </c>
      <c r="P11110" s="5">
        <v>3</v>
      </c>
      <c r="Q11110" s="5">
        <v>22</v>
      </c>
      <c r="R11110" s="5">
        <v>3</v>
      </c>
      <c r="S11110" s="5">
        <v>29</v>
      </c>
    </row>
    <row r="11111" spans="1:19" ht="28" x14ac:dyDescent="0.15">
      <c r="A11111" s="2">
        <f>HYPERLINK("https://open-school.uspishnemisto.com.ua/school/560398/", 560398)</f>
        <v>560398</v>
      </c>
      <c r="B11111" s="3" t="s">
        <v>56281</v>
      </c>
      <c r="C11111" s="3" t="s">
        <v>31</v>
      </c>
      <c r="D11111" s="3" t="s">
        <v>32</v>
      </c>
      <c r="E11111" s="4" t="s">
        <v>22</v>
      </c>
      <c r="F11111" s="4" t="s">
        <v>56282</v>
      </c>
      <c r="G11111" s="4" t="s">
        <v>56283</v>
      </c>
      <c r="H11111" s="3" t="s">
        <v>54289</v>
      </c>
      <c r="I11111" s="3" t="s">
        <v>56284</v>
      </c>
      <c r="J11111" s="3" t="s">
        <v>56285</v>
      </c>
      <c r="K11111" s="3" t="s">
        <v>56286</v>
      </c>
      <c r="L11111" s="3"/>
      <c r="M11111" s="4"/>
      <c r="N11111" s="3" t="s">
        <v>37</v>
      </c>
      <c r="O11111" s="3" t="s">
        <v>52</v>
      </c>
      <c r="P11111" s="5">
        <v>11</v>
      </c>
      <c r="Q11111" s="5">
        <v>97</v>
      </c>
      <c r="R11111" s="5">
        <v>10</v>
      </c>
      <c r="S11111" s="5">
        <v>96</v>
      </c>
    </row>
    <row r="11112" spans="1:19" ht="28" x14ac:dyDescent="0.15">
      <c r="A11112" s="2">
        <f>HYPERLINK("https://open-school.uspishnemisto.com.ua/school/560399/", 560399)</f>
        <v>560399</v>
      </c>
      <c r="B11112" s="3" t="s">
        <v>56287</v>
      </c>
      <c r="C11112" s="3" t="s">
        <v>31</v>
      </c>
      <c r="D11112" s="3" t="s">
        <v>175</v>
      </c>
      <c r="E11112" s="4" t="s">
        <v>22</v>
      </c>
      <c r="F11112" s="4" t="s">
        <v>56288</v>
      </c>
      <c r="G11112" s="4" t="s">
        <v>56289</v>
      </c>
      <c r="H11112" s="3" t="s">
        <v>54289</v>
      </c>
      <c r="I11112" s="3" t="s">
        <v>5531</v>
      </c>
      <c r="J11112" s="3" t="s">
        <v>56290</v>
      </c>
      <c r="K11112" s="3" t="s">
        <v>56291</v>
      </c>
      <c r="L11112" s="3"/>
      <c r="M11112" s="4"/>
      <c r="N11112" s="3" t="s">
        <v>37</v>
      </c>
      <c r="O11112" s="3" t="s">
        <v>52</v>
      </c>
      <c r="P11112" s="5">
        <v>7</v>
      </c>
      <c r="Q11112" s="5">
        <v>59</v>
      </c>
      <c r="R11112" s="5">
        <v>6</v>
      </c>
      <c r="S11112" s="5">
        <v>55</v>
      </c>
    </row>
    <row r="11113" spans="1:19" ht="28" x14ac:dyDescent="0.15">
      <c r="A11113" s="2">
        <f>HYPERLINK("https://open-school.uspishnemisto.com.ua/school/560400/", 560400)</f>
        <v>560400</v>
      </c>
      <c r="B11113" s="3" t="s">
        <v>56292</v>
      </c>
      <c r="C11113" s="3" t="s">
        <v>31</v>
      </c>
      <c r="D11113" s="3" t="s">
        <v>32</v>
      </c>
      <c r="E11113" s="4" t="s">
        <v>22</v>
      </c>
      <c r="F11113" s="4" t="s">
        <v>56293</v>
      </c>
      <c r="G11113" s="4" t="s">
        <v>56294</v>
      </c>
      <c r="H11113" s="3" t="s">
        <v>54289</v>
      </c>
      <c r="I11113" s="3" t="s">
        <v>7703</v>
      </c>
      <c r="J11113" s="3" t="s">
        <v>3393</v>
      </c>
      <c r="K11113" s="3" t="s">
        <v>56295</v>
      </c>
      <c r="L11113" s="3" t="s">
        <v>56296</v>
      </c>
      <c r="M11113" s="4"/>
      <c r="N11113" s="3" t="s">
        <v>37</v>
      </c>
      <c r="O11113" s="3" t="s">
        <v>52</v>
      </c>
      <c r="P11113" s="5">
        <v>11</v>
      </c>
      <c r="Q11113" s="5">
        <v>104</v>
      </c>
      <c r="R11113" s="5">
        <v>11</v>
      </c>
      <c r="S11113" s="5">
        <v>100</v>
      </c>
    </row>
    <row r="11114" spans="1:19" ht="42" x14ac:dyDescent="0.15">
      <c r="A11114" s="2">
        <f>HYPERLINK("https://open-school.uspishnemisto.com.ua/school/560401/", 560401)</f>
        <v>560401</v>
      </c>
      <c r="B11114" s="3" t="s">
        <v>56297</v>
      </c>
      <c r="C11114" s="3" t="s">
        <v>31</v>
      </c>
      <c r="D11114" s="3" t="s">
        <v>32</v>
      </c>
      <c r="E11114" s="4" t="s">
        <v>22</v>
      </c>
      <c r="F11114" s="4" t="s">
        <v>56298</v>
      </c>
      <c r="G11114" s="4" t="s">
        <v>56299</v>
      </c>
      <c r="H11114" s="3" t="s">
        <v>54289</v>
      </c>
      <c r="I11114" s="3" t="s">
        <v>56300</v>
      </c>
      <c r="J11114" s="3" t="s">
        <v>56301</v>
      </c>
      <c r="K11114" s="3" t="s">
        <v>56302</v>
      </c>
      <c r="L11114" s="3" t="s">
        <v>56303</v>
      </c>
      <c r="M11114" s="4" t="s">
        <v>56304</v>
      </c>
      <c r="N11114" s="3" t="s">
        <v>37</v>
      </c>
      <c r="O11114" s="3" t="s">
        <v>52</v>
      </c>
      <c r="P11114" s="5">
        <v>15</v>
      </c>
      <c r="Q11114" s="5">
        <v>290</v>
      </c>
      <c r="R11114" s="5">
        <v>16</v>
      </c>
      <c r="S11114" s="5">
        <v>290</v>
      </c>
    </row>
    <row r="11115" spans="1:19" ht="42" x14ac:dyDescent="0.15">
      <c r="A11115" s="2">
        <f>HYPERLINK("https://open-school.uspishnemisto.com.ua/school/560402/", 560402)</f>
        <v>560402</v>
      </c>
      <c r="B11115" s="3" t="s">
        <v>56305</v>
      </c>
      <c r="C11115" s="3" t="s">
        <v>31</v>
      </c>
      <c r="D11115" s="3" t="s">
        <v>175</v>
      </c>
      <c r="E11115" s="4" t="s">
        <v>22</v>
      </c>
      <c r="F11115" s="4" t="s">
        <v>56306</v>
      </c>
      <c r="G11115" s="4" t="s">
        <v>56307</v>
      </c>
      <c r="H11115" s="3" t="s">
        <v>54289</v>
      </c>
      <c r="I11115" s="3" t="s">
        <v>56308</v>
      </c>
      <c r="J11115" s="3" t="s">
        <v>56309</v>
      </c>
      <c r="K11115" s="3" t="s">
        <v>56310</v>
      </c>
      <c r="L11115" s="3"/>
      <c r="M11115" s="4"/>
      <c r="N11115" s="3" t="s">
        <v>37</v>
      </c>
      <c r="O11115" s="3" t="s">
        <v>52</v>
      </c>
      <c r="P11115" s="5">
        <v>7</v>
      </c>
      <c r="Q11115" s="5">
        <v>61</v>
      </c>
      <c r="R11115" s="5">
        <v>7</v>
      </c>
      <c r="S11115" s="5">
        <v>53</v>
      </c>
    </row>
    <row r="11116" spans="1:19" ht="28" x14ac:dyDescent="0.15">
      <c r="A11116" s="2">
        <f>HYPERLINK("https://open-school.uspishnemisto.com.ua/school/560403/", 560403)</f>
        <v>560403</v>
      </c>
      <c r="B11116" s="3" t="s">
        <v>56311</v>
      </c>
      <c r="C11116" s="3" t="s">
        <v>31</v>
      </c>
      <c r="D11116" s="3" t="s">
        <v>32</v>
      </c>
      <c r="E11116" s="4" t="s">
        <v>22</v>
      </c>
      <c r="F11116" s="4" t="s">
        <v>56312</v>
      </c>
      <c r="G11116" s="4" t="s">
        <v>56313</v>
      </c>
      <c r="H11116" s="3" t="s">
        <v>54289</v>
      </c>
      <c r="I11116" s="3" t="s">
        <v>56314</v>
      </c>
      <c r="J11116" s="3" t="s">
        <v>56315</v>
      </c>
      <c r="K11116" s="3"/>
      <c r="L11116" s="3"/>
      <c r="M11116" s="4" t="s">
        <v>56316</v>
      </c>
      <c r="N11116" s="3" t="s">
        <v>37</v>
      </c>
      <c r="O11116" s="3" t="s">
        <v>52</v>
      </c>
      <c r="P11116" s="5">
        <v>11</v>
      </c>
      <c r="Q11116" s="5">
        <v>182</v>
      </c>
      <c r="R11116" s="5">
        <v>11</v>
      </c>
      <c r="S11116" s="5">
        <v>173</v>
      </c>
    </row>
    <row r="11117" spans="1:19" ht="28" x14ac:dyDescent="0.15">
      <c r="A11117" s="2">
        <f>HYPERLINK("https://open-school.uspishnemisto.com.ua/school/560404/", 560404)</f>
        <v>560404</v>
      </c>
      <c r="B11117" s="3" t="s">
        <v>56317</v>
      </c>
      <c r="C11117" s="3" t="s">
        <v>31</v>
      </c>
      <c r="D11117" s="3" t="s">
        <v>175</v>
      </c>
      <c r="E11117" s="4" t="s">
        <v>22</v>
      </c>
      <c r="F11117" s="4" t="s">
        <v>56312</v>
      </c>
      <c r="G11117" s="4" t="s">
        <v>56318</v>
      </c>
      <c r="H11117" s="3" t="s">
        <v>54289</v>
      </c>
      <c r="I11117" s="3" t="s">
        <v>56319</v>
      </c>
      <c r="J11117" s="3" t="s">
        <v>26348</v>
      </c>
      <c r="K11117" s="3" t="s">
        <v>56320</v>
      </c>
      <c r="L11117" s="3" t="s">
        <v>56321</v>
      </c>
      <c r="M11117" s="4"/>
      <c r="N11117" s="3" t="s">
        <v>37</v>
      </c>
      <c r="O11117" s="3" t="s">
        <v>52</v>
      </c>
      <c r="P11117" s="5">
        <v>4</v>
      </c>
      <c r="Q11117" s="5">
        <v>33</v>
      </c>
      <c r="R11117" s="5">
        <v>5</v>
      </c>
      <c r="S11117" s="5">
        <v>37</v>
      </c>
    </row>
    <row r="11118" spans="1:19" ht="28" x14ac:dyDescent="0.15">
      <c r="A11118" s="2">
        <f>HYPERLINK("https://open-school.uspishnemisto.com.ua/school/560405/", 560405)</f>
        <v>560405</v>
      </c>
      <c r="B11118" s="3" t="s">
        <v>56322</v>
      </c>
      <c r="C11118" s="3" t="s">
        <v>31</v>
      </c>
      <c r="D11118" s="3" t="s">
        <v>32</v>
      </c>
      <c r="E11118" s="4" t="s">
        <v>22</v>
      </c>
      <c r="F11118" s="4" t="s">
        <v>56323</v>
      </c>
      <c r="G11118" s="4" t="s">
        <v>56324</v>
      </c>
      <c r="H11118" s="3" t="s">
        <v>54289</v>
      </c>
      <c r="I11118" s="3" t="s">
        <v>56325</v>
      </c>
      <c r="J11118" s="3" t="s">
        <v>56326</v>
      </c>
      <c r="K11118" s="3" t="s">
        <v>56327</v>
      </c>
      <c r="L11118" s="3" t="s">
        <v>56328</v>
      </c>
      <c r="M11118" s="4" t="s">
        <v>56329</v>
      </c>
      <c r="N11118" s="3" t="s">
        <v>37</v>
      </c>
      <c r="O11118" s="3" t="s">
        <v>46</v>
      </c>
      <c r="P11118" s="5">
        <v>15</v>
      </c>
      <c r="Q11118" s="5">
        <v>259</v>
      </c>
      <c r="R11118" s="5">
        <v>16</v>
      </c>
      <c r="S11118" s="5">
        <v>259</v>
      </c>
    </row>
    <row r="11119" spans="1:19" ht="28" x14ac:dyDescent="0.15">
      <c r="A11119" s="2">
        <f>HYPERLINK("https://open-school.uspishnemisto.com.ua/school/560406/", 560406)</f>
        <v>560406</v>
      </c>
      <c r="B11119" s="3" t="s">
        <v>56330</v>
      </c>
      <c r="C11119" s="3" t="s">
        <v>31</v>
      </c>
      <c r="D11119" s="3" t="s">
        <v>175</v>
      </c>
      <c r="E11119" s="4" t="s">
        <v>22</v>
      </c>
      <c r="F11119" s="4" t="s">
        <v>56331</v>
      </c>
      <c r="G11119" s="4" t="s">
        <v>56332</v>
      </c>
      <c r="H11119" s="3" t="s">
        <v>54289</v>
      </c>
      <c r="I11119" s="3" t="s">
        <v>6142</v>
      </c>
      <c r="J11119" s="3" t="s">
        <v>6042</v>
      </c>
      <c r="K11119" s="3" t="s">
        <v>56333</v>
      </c>
      <c r="L11119" s="3"/>
      <c r="M11119" s="4"/>
      <c r="N11119" s="3" t="s">
        <v>37</v>
      </c>
      <c r="O11119" s="3" t="s">
        <v>52</v>
      </c>
      <c r="P11119" s="5">
        <v>8</v>
      </c>
      <c r="Q11119" s="5">
        <v>103</v>
      </c>
      <c r="R11119" s="5">
        <v>9</v>
      </c>
      <c r="S11119" s="5">
        <v>100</v>
      </c>
    </row>
    <row r="11120" spans="1:19" ht="28" x14ac:dyDescent="0.15">
      <c r="A11120" s="2">
        <f>HYPERLINK("https://open-school.uspishnemisto.com.ua/school/560407/", 560407)</f>
        <v>560407</v>
      </c>
      <c r="B11120" s="3" t="s">
        <v>56334</v>
      </c>
      <c r="C11120" s="3" t="s">
        <v>31</v>
      </c>
      <c r="D11120" s="3" t="s">
        <v>32</v>
      </c>
      <c r="E11120" s="4" t="s">
        <v>22</v>
      </c>
      <c r="F11120" s="4" t="s">
        <v>56335</v>
      </c>
      <c r="G11120" s="4" t="s">
        <v>56336</v>
      </c>
      <c r="H11120" s="3" t="s">
        <v>54289</v>
      </c>
      <c r="I11120" s="3" t="s">
        <v>56337</v>
      </c>
      <c r="J11120" s="3" t="s">
        <v>13549</v>
      </c>
      <c r="K11120" s="3" t="s">
        <v>56338</v>
      </c>
      <c r="L11120" s="3" t="s">
        <v>56339</v>
      </c>
      <c r="M11120" s="4" t="s">
        <v>56340</v>
      </c>
      <c r="N11120" s="3" t="s">
        <v>37</v>
      </c>
      <c r="O11120" s="3" t="s">
        <v>52</v>
      </c>
      <c r="P11120" s="5">
        <v>15</v>
      </c>
      <c r="Q11120" s="5">
        <v>315</v>
      </c>
      <c r="R11120" s="5">
        <v>15</v>
      </c>
      <c r="S11120" s="5">
        <v>302</v>
      </c>
    </row>
    <row r="11121" spans="1:19" ht="28" x14ac:dyDescent="0.15">
      <c r="A11121" s="2">
        <f>HYPERLINK("https://open-school.uspishnemisto.com.ua/school/560408/", 560408)</f>
        <v>560408</v>
      </c>
      <c r="B11121" s="3" t="s">
        <v>56341</v>
      </c>
      <c r="C11121" s="3" t="s">
        <v>31</v>
      </c>
      <c r="D11121" s="3" t="s">
        <v>175</v>
      </c>
      <c r="E11121" s="4" t="s">
        <v>22</v>
      </c>
      <c r="F11121" s="4" t="s">
        <v>56335</v>
      </c>
      <c r="G11121" s="4" t="s">
        <v>56342</v>
      </c>
      <c r="H11121" s="3" t="s">
        <v>54289</v>
      </c>
      <c r="I11121" s="3" t="s">
        <v>43126</v>
      </c>
      <c r="J11121" s="3" t="s">
        <v>5394</v>
      </c>
      <c r="K11121" s="3" t="s">
        <v>56343</v>
      </c>
      <c r="L11121" s="3"/>
      <c r="M11121" s="4"/>
      <c r="N11121" s="3" t="s">
        <v>37</v>
      </c>
      <c r="O11121" s="3" t="s">
        <v>52</v>
      </c>
      <c r="P11121" s="5">
        <v>9</v>
      </c>
      <c r="Q11121" s="5">
        <v>70</v>
      </c>
      <c r="R11121" s="5">
        <v>9</v>
      </c>
      <c r="S11121" s="5">
        <v>76</v>
      </c>
    </row>
    <row r="11122" spans="1:19" ht="28" x14ac:dyDescent="0.15">
      <c r="A11122" s="2">
        <f>HYPERLINK("https://open-school.uspishnemisto.com.ua/school/560409/", 560409)</f>
        <v>560409</v>
      </c>
      <c r="B11122" s="3" t="s">
        <v>56344</v>
      </c>
      <c r="C11122" s="3" t="s">
        <v>31</v>
      </c>
      <c r="D11122" s="3" t="s">
        <v>32</v>
      </c>
      <c r="E11122" s="4" t="s">
        <v>22</v>
      </c>
      <c r="F11122" s="4" t="s">
        <v>56345</v>
      </c>
      <c r="G11122" s="4" t="s">
        <v>56346</v>
      </c>
      <c r="H11122" s="3" t="s">
        <v>54289</v>
      </c>
      <c r="I11122" s="3" t="s">
        <v>56347</v>
      </c>
      <c r="J11122" s="3" t="s">
        <v>56348</v>
      </c>
      <c r="K11122" s="3" t="s">
        <v>56349</v>
      </c>
      <c r="L11122" s="3"/>
      <c r="M11122" s="4"/>
      <c r="N11122" s="3" t="s">
        <v>37</v>
      </c>
      <c r="O11122" s="3" t="s">
        <v>2740</v>
      </c>
      <c r="P11122" s="5">
        <v>9</v>
      </c>
      <c r="Q11122" s="5">
        <v>81</v>
      </c>
      <c r="R11122" s="5">
        <v>10</v>
      </c>
      <c r="S11122" s="5">
        <v>87</v>
      </c>
    </row>
    <row r="11123" spans="1:19" ht="28" x14ac:dyDescent="0.15">
      <c r="A11123" s="2">
        <f>HYPERLINK("https://open-school.uspishnemisto.com.ua/school/560410/", 560410)</f>
        <v>560410</v>
      </c>
      <c r="B11123" s="3" t="s">
        <v>56350</v>
      </c>
      <c r="C11123" s="3" t="s">
        <v>31</v>
      </c>
      <c r="D11123" s="3" t="s">
        <v>175</v>
      </c>
      <c r="E11123" s="4" t="s">
        <v>22</v>
      </c>
      <c r="F11123" s="4" t="s">
        <v>56351</v>
      </c>
      <c r="G11123" s="4" t="s">
        <v>56352</v>
      </c>
      <c r="H11123" s="3" t="s">
        <v>54289</v>
      </c>
      <c r="I11123" s="3" t="s">
        <v>56353</v>
      </c>
      <c r="J11123" s="3" t="s">
        <v>2820</v>
      </c>
      <c r="K11123" s="3" t="s">
        <v>56354</v>
      </c>
      <c r="L11123" s="3"/>
      <c r="M11123" s="4"/>
      <c r="N11123" s="3" t="s">
        <v>37</v>
      </c>
      <c r="O11123" s="3" t="s">
        <v>52</v>
      </c>
      <c r="P11123" s="5">
        <v>9</v>
      </c>
      <c r="Q11123" s="5">
        <v>132</v>
      </c>
      <c r="R11123" s="5">
        <v>9</v>
      </c>
      <c r="S11123" s="5">
        <v>130</v>
      </c>
    </row>
    <row r="11124" spans="1:19" ht="28" x14ac:dyDescent="0.15">
      <c r="A11124" s="2">
        <f>HYPERLINK("https://open-school.uspishnemisto.com.ua/school/560411/", 560411)</f>
        <v>560411</v>
      </c>
      <c r="B11124" s="3" t="s">
        <v>56355</v>
      </c>
      <c r="C11124" s="3" t="s">
        <v>31</v>
      </c>
      <c r="D11124" s="3" t="s">
        <v>175</v>
      </c>
      <c r="E11124" s="4" t="s">
        <v>22</v>
      </c>
      <c r="F11124" s="4" t="s">
        <v>56356</v>
      </c>
      <c r="G11124" s="4" t="s">
        <v>56357</v>
      </c>
      <c r="H11124" s="3" t="s">
        <v>54289</v>
      </c>
      <c r="I11124" s="3" t="s">
        <v>56358</v>
      </c>
      <c r="J11124" s="3" t="s">
        <v>56359</v>
      </c>
      <c r="K11124" s="3"/>
      <c r="L11124" s="3"/>
      <c r="M11124" s="4"/>
      <c r="N11124" s="3" t="s">
        <v>37</v>
      </c>
      <c r="O11124" s="3" t="s">
        <v>52</v>
      </c>
      <c r="P11124" s="5">
        <v>9</v>
      </c>
      <c r="Q11124" s="5">
        <v>92</v>
      </c>
      <c r="R11124" s="5">
        <v>9</v>
      </c>
      <c r="S11124" s="5">
        <v>86</v>
      </c>
    </row>
    <row r="11125" spans="1:19" ht="28" x14ac:dyDescent="0.15">
      <c r="A11125" s="2">
        <f>HYPERLINK("https://open-school.uspishnemisto.com.ua/school/560412/", 560412)</f>
        <v>560412</v>
      </c>
      <c r="B11125" s="3" t="s">
        <v>56360</v>
      </c>
      <c r="C11125" s="3" t="s">
        <v>31</v>
      </c>
      <c r="D11125" s="3" t="s">
        <v>32</v>
      </c>
      <c r="E11125" s="4" t="s">
        <v>22</v>
      </c>
      <c r="F11125" s="4" t="s">
        <v>56361</v>
      </c>
      <c r="G11125" s="4" t="s">
        <v>56362</v>
      </c>
      <c r="H11125" s="3" t="s">
        <v>54289</v>
      </c>
      <c r="I11125" s="3" t="s">
        <v>56363</v>
      </c>
      <c r="J11125" s="3" t="s">
        <v>56364</v>
      </c>
      <c r="K11125" s="3" t="s">
        <v>56365</v>
      </c>
      <c r="L11125" s="3"/>
      <c r="M11125" s="4" t="s">
        <v>56366</v>
      </c>
      <c r="N11125" s="3" t="s">
        <v>37</v>
      </c>
      <c r="O11125" s="3" t="s">
        <v>2740</v>
      </c>
      <c r="P11125" s="5">
        <v>11</v>
      </c>
      <c r="Q11125" s="5">
        <v>109</v>
      </c>
      <c r="R11125" s="5">
        <v>11</v>
      </c>
      <c r="S11125" s="5">
        <v>113</v>
      </c>
    </row>
    <row r="11126" spans="1:19" ht="28" x14ac:dyDescent="0.15">
      <c r="A11126" s="2">
        <f>HYPERLINK("https://open-school.uspishnemisto.com.ua/school/560413/", 560413)</f>
        <v>560413</v>
      </c>
      <c r="B11126" s="3" t="s">
        <v>56367</v>
      </c>
      <c r="C11126" s="3" t="s">
        <v>31</v>
      </c>
      <c r="D11126" s="3" t="s">
        <v>32</v>
      </c>
      <c r="E11126" s="4" t="s">
        <v>22</v>
      </c>
      <c r="F11126" s="4" t="s">
        <v>56368</v>
      </c>
      <c r="G11126" s="4" t="s">
        <v>56369</v>
      </c>
      <c r="H11126" s="3" t="s">
        <v>54289</v>
      </c>
      <c r="I11126" s="3" t="s">
        <v>56370</v>
      </c>
      <c r="J11126" s="3" t="s">
        <v>56371</v>
      </c>
      <c r="K11126" s="3" t="s">
        <v>56372</v>
      </c>
      <c r="L11126" s="3"/>
      <c r="M11126" s="4"/>
      <c r="N11126" s="3" t="s">
        <v>37</v>
      </c>
      <c r="O11126" s="3" t="s">
        <v>2740</v>
      </c>
      <c r="P11126" s="5">
        <v>10</v>
      </c>
      <c r="Q11126" s="5">
        <v>80</v>
      </c>
      <c r="R11126" s="5">
        <v>9</v>
      </c>
      <c r="S11126" s="5">
        <v>81</v>
      </c>
    </row>
    <row r="11127" spans="1:19" ht="28" x14ac:dyDescent="0.15">
      <c r="A11127" s="2">
        <f>HYPERLINK("https://open-school.uspishnemisto.com.ua/school/560414/", 560414)</f>
        <v>560414</v>
      </c>
      <c r="B11127" s="3" t="s">
        <v>56373</v>
      </c>
      <c r="C11127" s="3" t="s">
        <v>31</v>
      </c>
      <c r="D11127" s="3" t="s">
        <v>32</v>
      </c>
      <c r="E11127" s="4" t="s">
        <v>22</v>
      </c>
      <c r="F11127" s="4" t="s">
        <v>56374</v>
      </c>
      <c r="G11127" s="4" t="s">
        <v>56375</v>
      </c>
      <c r="H11127" s="3" t="s">
        <v>54289</v>
      </c>
      <c r="I11127" s="3" t="s">
        <v>56376</v>
      </c>
      <c r="J11127" s="3" t="s">
        <v>56377</v>
      </c>
      <c r="K11127" s="3" t="s">
        <v>56378</v>
      </c>
      <c r="L11127" s="3"/>
      <c r="M11127" s="4" t="s">
        <v>56379</v>
      </c>
      <c r="N11127" s="3" t="s">
        <v>37</v>
      </c>
      <c r="O11127" s="3" t="s">
        <v>52</v>
      </c>
      <c r="P11127" s="5">
        <v>15</v>
      </c>
      <c r="Q11127" s="5">
        <v>233</v>
      </c>
      <c r="R11127" s="5">
        <v>14</v>
      </c>
      <c r="S11127" s="5">
        <v>217</v>
      </c>
    </row>
    <row r="11128" spans="1:19" ht="28" x14ac:dyDescent="0.15">
      <c r="A11128" s="2">
        <f>HYPERLINK("https://open-school.uspishnemisto.com.ua/school/560415/", 560415)</f>
        <v>560415</v>
      </c>
      <c r="B11128" s="3" t="s">
        <v>56380</v>
      </c>
      <c r="C11128" s="3" t="s">
        <v>31</v>
      </c>
      <c r="D11128" s="3" t="s">
        <v>32</v>
      </c>
      <c r="E11128" s="4" t="s">
        <v>22</v>
      </c>
      <c r="F11128" s="4" t="s">
        <v>56381</v>
      </c>
      <c r="G11128" s="4" t="s">
        <v>56382</v>
      </c>
      <c r="H11128" s="3" t="s">
        <v>54289</v>
      </c>
      <c r="I11128" s="3" t="s">
        <v>1889</v>
      </c>
      <c r="J11128" s="3" t="s">
        <v>56383</v>
      </c>
      <c r="K11128" s="3" t="s">
        <v>56384</v>
      </c>
      <c r="L11128" s="3"/>
      <c r="M11128" s="4" t="s">
        <v>56385</v>
      </c>
      <c r="N11128" s="3" t="s">
        <v>37</v>
      </c>
      <c r="O11128" s="3" t="s">
        <v>52</v>
      </c>
      <c r="P11128" s="5">
        <v>10</v>
      </c>
      <c r="Q11128" s="5">
        <v>161</v>
      </c>
      <c r="R11128" s="5">
        <v>10</v>
      </c>
      <c r="S11128" s="5">
        <v>164</v>
      </c>
    </row>
    <row r="11129" spans="1:19" ht="28" x14ac:dyDescent="0.15">
      <c r="A11129" s="2">
        <f>HYPERLINK("https://open-school.uspishnemisto.com.ua/school/560416/", 560416)</f>
        <v>560416</v>
      </c>
      <c r="B11129" s="3" t="s">
        <v>56386</v>
      </c>
      <c r="C11129" s="3" t="s">
        <v>31</v>
      </c>
      <c r="D11129" s="3" t="s">
        <v>175</v>
      </c>
      <c r="E11129" s="4" t="s">
        <v>22</v>
      </c>
      <c r="F11129" s="4" t="s">
        <v>56387</v>
      </c>
      <c r="G11129" s="4" t="s">
        <v>56388</v>
      </c>
      <c r="H11129" s="3" t="s">
        <v>54289</v>
      </c>
      <c r="I11129" s="3" t="s">
        <v>56389</v>
      </c>
      <c r="J11129" s="3" t="s">
        <v>50560</v>
      </c>
      <c r="K11129" s="3" t="s">
        <v>56390</v>
      </c>
      <c r="L11129" s="3" t="s">
        <v>56391</v>
      </c>
      <c r="M11129" s="4"/>
      <c r="N11129" s="3" t="s">
        <v>37</v>
      </c>
      <c r="O11129" s="3" t="s">
        <v>52</v>
      </c>
      <c r="P11129" s="5">
        <v>6</v>
      </c>
      <c r="Q11129" s="5">
        <v>54</v>
      </c>
      <c r="R11129" s="5">
        <v>6</v>
      </c>
      <c r="S11129" s="5">
        <v>49</v>
      </c>
    </row>
    <row r="11130" spans="1:19" ht="28" x14ac:dyDescent="0.15">
      <c r="A11130" s="2">
        <f>HYPERLINK("https://open-school.uspishnemisto.com.ua/school/560417/", 560417)</f>
        <v>560417</v>
      </c>
      <c r="B11130" s="3" t="s">
        <v>56392</v>
      </c>
      <c r="C11130" s="3" t="s">
        <v>31</v>
      </c>
      <c r="D11130" s="3" t="s">
        <v>175</v>
      </c>
      <c r="E11130" s="4" t="s">
        <v>22</v>
      </c>
      <c r="F11130" s="4" t="s">
        <v>56393</v>
      </c>
      <c r="G11130" s="4" t="s">
        <v>56394</v>
      </c>
      <c r="H11130" s="3" t="s">
        <v>54289</v>
      </c>
      <c r="I11130" s="3" t="s">
        <v>56395</v>
      </c>
      <c r="J11130" s="3" t="s">
        <v>3884</v>
      </c>
      <c r="K11130" s="3"/>
      <c r="L11130" s="3" t="s">
        <v>56396</v>
      </c>
      <c r="M11130" s="4"/>
      <c r="N11130" s="3" t="s">
        <v>37</v>
      </c>
      <c r="O11130" s="3" t="s">
        <v>52</v>
      </c>
      <c r="P11130" s="5">
        <v>5</v>
      </c>
      <c r="Q11130" s="5">
        <v>45</v>
      </c>
      <c r="R11130" s="5">
        <v>5</v>
      </c>
      <c r="S11130" s="5">
        <v>47</v>
      </c>
    </row>
    <row r="11131" spans="1:19" ht="28" x14ac:dyDescent="0.15">
      <c r="A11131" s="2">
        <f>HYPERLINK("https://open-school.uspishnemisto.com.ua/school/560418/", 560418)</f>
        <v>560418</v>
      </c>
      <c r="B11131" s="3" t="s">
        <v>56397</v>
      </c>
      <c r="C11131" s="3" t="s">
        <v>31</v>
      </c>
      <c r="D11131" s="3" t="s">
        <v>32</v>
      </c>
      <c r="E11131" s="4" t="s">
        <v>22</v>
      </c>
      <c r="F11131" s="4" t="s">
        <v>56398</v>
      </c>
      <c r="G11131" s="4" t="s">
        <v>56399</v>
      </c>
      <c r="H11131" s="3" t="s">
        <v>54289</v>
      </c>
      <c r="I11131" s="3" t="s">
        <v>56400</v>
      </c>
      <c r="J11131" s="3" t="s">
        <v>1198</v>
      </c>
      <c r="K11131" s="3" t="s">
        <v>56401</v>
      </c>
      <c r="L11131" s="3" t="s">
        <v>56402</v>
      </c>
      <c r="M11131" s="4"/>
      <c r="N11131" s="3" t="s">
        <v>37</v>
      </c>
      <c r="O11131" s="3" t="s">
        <v>52</v>
      </c>
      <c r="P11131" s="5">
        <v>14</v>
      </c>
      <c r="Q11131" s="5">
        <v>170</v>
      </c>
      <c r="R11131" s="5">
        <v>13</v>
      </c>
      <c r="S11131" s="5">
        <v>150</v>
      </c>
    </row>
    <row r="11132" spans="1:19" ht="28" x14ac:dyDescent="0.15">
      <c r="A11132" s="2">
        <f>HYPERLINK("https://open-school.uspishnemisto.com.ua/school/560419/", 560419)</f>
        <v>560419</v>
      </c>
      <c r="B11132" s="3" t="s">
        <v>56403</v>
      </c>
      <c r="C11132" s="3" t="s">
        <v>31</v>
      </c>
      <c r="D11132" s="3" t="s">
        <v>175</v>
      </c>
      <c r="E11132" s="4" t="s">
        <v>22</v>
      </c>
      <c r="F11132" s="4" t="s">
        <v>56404</v>
      </c>
      <c r="G11132" s="4" t="s">
        <v>56405</v>
      </c>
      <c r="H11132" s="3" t="s">
        <v>54289</v>
      </c>
      <c r="I11132" s="3" t="s">
        <v>56406</v>
      </c>
      <c r="J11132" s="3" t="s">
        <v>42280</v>
      </c>
      <c r="K11132" s="3" t="s">
        <v>56407</v>
      </c>
      <c r="L11132" s="3"/>
      <c r="M11132" s="4"/>
      <c r="N11132" s="3" t="s">
        <v>37</v>
      </c>
      <c r="O11132" s="3" t="s">
        <v>52</v>
      </c>
      <c r="P11132" s="5">
        <v>1</v>
      </c>
      <c r="Q11132" s="5">
        <v>28</v>
      </c>
      <c r="R11132" s="5">
        <v>1</v>
      </c>
      <c r="S11132" s="5">
        <v>27</v>
      </c>
    </row>
    <row r="11133" spans="1:19" ht="28" x14ac:dyDescent="0.15">
      <c r="A11133" s="2">
        <f>HYPERLINK("https://open-school.uspishnemisto.com.ua/school/560420/", 560420)</f>
        <v>560420</v>
      </c>
      <c r="B11133" s="3" t="s">
        <v>56408</v>
      </c>
      <c r="C11133" s="3" t="s">
        <v>31</v>
      </c>
      <c r="D11133" s="3" t="s">
        <v>32</v>
      </c>
      <c r="E11133" s="4" t="s">
        <v>22</v>
      </c>
      <c r="F11133" s="4" t="s">
        <v>56409</v>
      </c>
      <c r="G11133" s="4" t="s">
        <v>56410</v>
      </c>
      <c r="H11133" s="3" t="s">
        <v>54289</v>
      </c>
      <c r="I11133" s="3" t="s">
        <v>56411</v>
      </c>
      <c r="J11133" s="3" t="s">
        <v>56412</v>
      </c>
      <c r="K11133" s="3"/>
      <c r="L11133" s="3"/>
      <c r="M11133" s="4" t="s">
        <v>56413</v>
      </c>
      <c r="N11133" s="3" t="s">
        <v>37</v>
      </c>
      <c r="O11133" s="3" t="s">
        <v>2740</v>
      </c>
      <c r="P11133" s="5">
        <v>14</v>
      </c>
      <c r="Q11133" s="5">
        <v>220</v>
      </c>
      <c r="R11133" s="5">
        <v>15</v>
      </c>
      <c r="S11133" s="5">
        <v>215</v>
      </c>
    </row>
    <row r="11134" spans="1:19" ht="42" x14ac:dyDescent="0.15">
      <c r="A11134" s="2">
        <f>HYPERLINK("https://open-school.uspishnemisto.com.ua/school/560421/", 560421)</f>
        <v>560421</v>
      </c>
      <c r="B11134" s="3" t="s">
        <v>56414</v>
      </c>
      <c r="C11134" s="3" t="s">
        <v>31</v>
      </c>
      <c r="D11134" s="3" t="s">
        <v>32</v>
      </c>
      <c r="E11134" s="4" t="s">
        <v>22</v>
      </c>
      <c r="F11134" s="4" t="s">
        <v>56415</v>
      </c>
      <c r="G11134" s="4" t="s">
        <v>56416</v>
      </c>
      <c r="H11134" s="3" t="s">
        <v>54289</v>
      </c>
      <c r="I11134" s="3" t="s">
        <v>56417</v>
      </c>
      <c r="J11134" s="3" t="s">
        <v>27354</v>
      </c>
      <c r="K11134" s="3" t="s">
        <v>56418</v>
      </c>
      <c r="L11134" s="3" t="s">
        <v>56419</v>
      </c>
      <c r="M11134" s="4"/>
      <c r="N11134" s="3" t="s">
        <v>37</v>
      </c>
      <c r="O11134" s="3" t="s">
        <v>52</v>
      </c>
      <c r="P11134" s="5">
        <v>16</v>
      </c>
      <c r="Q11134" s="5">
        <v>290</v>
      </c>
      <c r="R11134" s="5">
        <v>15</v>
      </c>
      <c r="S11134" s="5">
        <v>280</v>
      </c>
    </row>
    <row r="11135" spans="1:19" ht="28" x14ac:dyDescent="0.15">
      <c r="A11135" s="2">
        <f>HYPERLINK("https://open-school.uspishnemisto.com.ua/school/560422/", 560422)</f>
        <v>560422</v>
      </c>
      <c r="B11135" s="3" t="s">
        <v>56420</v>
      </c>
      <c r="C11135" s="3" t="s">
        <v>31</v>
      </c>
      <c r="D11135" s="3" t="s">
        <v>32</v>
      </c>
      <c r="E11135" s="4" t="s">
        <v>22</v>
      </c>
      <c r="F11135" s="4" t="s">
        <v>56421</v>
      </c>
      <c r="G11135" s="4" t="s">
        <v>56422</v>
      </c>
      <c r="H11135" s="3" t="s">
        <v>54289</v>
      </c>
      <c r="I11135" s="3" t="s">
        <v>56423</v>
      </c>
      <c r="J11135" s="3" t="s">
        <v>25678</v>
      </c>
      <c r="K11135" s="3" t="s">
        <v>56424</v>
      </c>
      <c r="L11135" s="3" t="s">
        <v>56425</v>
      </c>
      <c r="M11135" s="4"/>
      <c r="N11135" s="3" t="s">
        <v>37</v>
      </c>
      <c r="O11135" s="3" t="s">
        <v>52</v>
      </c>
      <c r="P11135" s="5">
        <v>15</v>
      </c>
      <c r="Q11135" s="5">
        <v>185</v>
      </c>
      <c r="R11135" s="5">
        <v>15</v>
      </c>
      <c r="S11135" s="5">
        <v>188</v>
      </c>
    </row>
    <row r="11136" spans="1:19" ht="28" x14ac:dyDescent="0.15">
      <c r="A11136" s="2">
        <f>HYPERLINK("https://open-school.uspishnemisto.com.ua/school/560423/", 560423)</f>
        <v>560423</v>
      </c>
      <c r="B11136" s="3" t="s">
        <v>56426</v>
      </c>
      <c r="C11136" s="3" t="s">
        <v>31</v>
      </c>
      <c r="D11136" s="3" t="s">
        <v>175</v>
      </c>
      <c r="E11136" s="4" t="s">
        <v>22</v>
      </c>
      <c r="F11136" s="4" t="s">
        <v>56427</v>
      </c>
      <c r="G11136" s="4" t="s">
        <v>56428</v>
      </c>
      <c r="H11136" s="3" t="s">
        <v>54289</v>
      </c>
      <c r="I11136" s="3" t="s">
        <v>56429</v>
      </c>
      <c r="J11136" s="3" t="s">
        <v>56430</v>
      </c>
      <c r="K11136" s="3" t="s">
        <v>56431</v>
      </c>
      <c r="L11136" s="3"/>
      <c r="M11136" s="4"/>
      <c r="N11136" s="3" t="s">
        <v>37</v>
      </c>
      <c r="O11136" s="3" t="s">
        <v>52</v>
      </c>
      <c r="P11136" s="5">
        <v>8</v>
      </c>
      <c r="Q11136" s="5">
        <v>55</v>
      </c>
      <c r="R11136" s="5">
        <v>7</v>
      </c>
      <c r="S11136" s="5">
        <v>56</v>
      </c>
    </row>
    <row r="11137" spans="1:19" ht="28" x14ac:dyDescent="0.15">
      <c r="A11137" s="2">
        <f>HYPERLINK("https://open-school.uspishnemisto.com.ua/school/560424/", 560424)</f>
        <v>560424</v>
      </c>
      <c r="B11137" s="3" t="s">
        <v>56432</v>
      </c>
      <c r="C11137" s="3" t="s">
        <v>40</v>
      </c>
      <c r="D11137" s="3" t="s">
        <v>32</v>
      </c>
      <c r="E11137" s="4" t="s">
        <v>22</v>
      </c>
      <c r="F11137" s="4" t="s">
        <v>56433</v>
      </c>
      <c r="G11137" s="4" t="s">
        <v>56434</v>
      </c>
      <c r="H11137" s="3" t="s">
        <v>54289</v>
      </c>
      <c r="I11137" s="3" t="s">
        <v>56435</v>
      </c>
      <c r="J11137" s="3" t="s">
        <v>56436</v>
      </c>
      <c r="K11137" s="3" t="s">
        <v>56437</v>
      </c>
      <c r="L11137" s="3" t="s">
        <v>56438</v>
      </c>
      <c r="M11137" s="4"/>
      <c r="N11137" s="3" t="s">
        <v>37</v>
      </c>
      <c r="O11137" s="3" t="s">
        <v>2740</v>
      </c>
      <c r="P11137" s="5">
        <v>16</v>
      </c>
      <c r="Q11137" s="5">
        <v>362</v>
      </c>
      <c r="R11137" s="5">
        <v>18</v>
      </c>
      <c r="S11137" s="5">
        <v>339</v>
      </c>
    </row>
    <row r="11138" spans="1:19" ht="28" x14ac:dyDescent="0.15">
      <c r="A11138" s="2">
        <f>HYPERLINK("https://open-school.uspishnemisto.com.ua/school/560425/", 560425)</f>
        <v>560425</v>
      </c>
      <c r="B11138" s="3" t="s">
        <v>56439</v>
      </c>
      <c r="C11138" s="3" t="s">
        <v>31</v>
      </c>
      <c r="D11138" s="3" t="s">
        <v>32</v>
      </c>
      <c r="E11138" s="4" t="s">
        <v>22</v>
      </c>
      <c r="F11138" s="4" t="s">
        <v>56433</v>
      </c>
      <c r="G11138" s="4" t="s">
        <v>56434</v>
      </c>
      <c r="H11138" s="3" t="s">
        <v>54289</v>
      </c>
      <c r="I11138" s="3" t="s">
        <v>56435</v>
      </c>
      <c r="J11138" s="3" t="s">
        <v>55166</v>
      </c>
      <c r="K11138" s="3" t="s">
        <v>56440</v>
      </c>
      <c r="L11138" s="3" t="s">
        <v>56441</v>
      </c>
      <c r="M11138" s="4" t="s">
        <v>56442</v>
      </c>
      <c r="N11138" s="3" t="s">
        <v>37</v>
      </c>
      <c r="O11138" s="3" t="s">
        <v>2776</v>
      </c>
      <c r="P11138" s="5">
        <v>31</v>
      </c>
      <c r="Q11138" s="5">
        <v>449</v>
      </c>
      <c r="R11138" s="5">
        <v>18</v>
      </c>
      <c r="S11138" s="5">
        <v>325</v>
      </c>
    </row>
    <row r="11139" spans="1:19" ht="28" x14ac:dyDescent="0.15">
      <c r="A11139" s="2">
        <f>HYPERLINK("https://open-school.uspishnemisto.com.ua/school/560426/", 560426)</f>
        <v>560426</v>
      </c>
      <c r="B11139" s="3" t="s">
        <v>56443</v>
      </c>
      <c r="C11139" s="3" t="s">
        <v>31</v>
      </c>
      <c r="D11139" s="3" t="s">
        <v>32</v>
      </c>
      <c r="E11139" s="4" t="s">
        <v>22</v>
      </c>
      <c r="F11139" s="4" t="s">
        <v>56433</v>
      </c>
      <c r="G11139" s="4" t="s">
        <v>56434</v>
      </c>
      <c r="H11139" s="3" t="s">
        <v>54289</v>
      </c>
      <c r="I11139" s="3" t="s">
        <v>56435</v>
      </c>
      <c r="J11139" s="3" t="s">
        <v>56444</v>
      </c>
      <c r="K11139" s="3" t="s">
        <v>56445</v>
      </c>
      <c r="L11139" s="3"/>
      <c r="M11139" s="4"/>
      <c r="N11139" s="3" t="s">
        <v>37</v>
      </c>
      <c r="O11139" s="3" t="s">
        <v>721</v>
      </c>
      <c r="P11139" s="5">
        <v>20</v>
      </c>
      <c r="Q11139" s="5">
        <v>438</v>
      </c>
      <c r="R11139" s="5">
        <v>22</v>
      </c>
      <c r="S11139" s="5">
        <v>427</v>
      </c>
    </row>
    <row r="11140" spans="1:19" ht="28" x14ac:dyDescent="0.15">
      <c r="A11140" s="2">
        <f>HYPERLINK("https://open-school.uspishnemisto.com.ua/school/560427/", 560427)</f>
        <v>560427</v>
      </c>
      <c r="B11140" s="3" t="s">
        <v>56446</v>
      </c>
      <c r="C11140" s="3" t="s">
        <v>31</v>
      </c>
      <c r="D11140" s="3" t="s">
        <v>32</v>
      </c>
      <c r="E11140" s="4" t="s">
        <v>22</v>
      </c>
      <c r="F11140" s="4" t="s">
        <v>56447</v>
      </c>
      <c r="G11140" s="4" t="s">
        <v>56448</v>
      </c>
      <c r="H11140" s="3" t="s">
        <v>54289</v>
      </c>
      <c r="I11140" s="3" t="s">
        <v>42299</v>
      </c>
      <c r="J11140" s="3" t="s">
        <v>634</v>
      </c>
      <c r="K11140" s="3" t="s">
        <v>56449</v>
      </c>
      <c r="L11140" s="3"/>
      <c r="M11140" s="4"/>
      <c r="N11140" s="3" t="s">
        <v>37</v>
      </c>
      <c r="O11140" s="3" t="s">
        <v>2740</v>
      </c>
      <c r="P11140" s="5">
        <v>11</v>
      </c>
      <c r="Q11140" s="5">
        <v>103</v>
      </c>
      <c r="R11140" s="5">
        <v>10</v>
      </c>
      <c r="S11140" s="5">
        <v>102</v>
      </c>
    </row>
    <row r="11141" spans="1:19" ht="28" x14ac:dyDescent="0.15">
      <c r="A11141" s="2">
        <f>HYPERLINK("https://open-school.uspishnemisto.com.ua/school/560428/", 560428)</f>
        <v>560428</v>
      </c>
      <c r="B11141" s="3" t="s">
        <v>56450</v>
      </c>
      <c r="C11141" s="3" t="s">
        <v>31</v>
      </c>
      <c r="D11141" s="3" t="s">
        <v>32</v>
      </c>
      <c r="E11141" s="4" t="s">
        <v>22</v>
      </c>
      <c r="F11141" s="4" t="s">
        <v>56451</v>
      </c>
      <c r="G11141" s="4" t="s">
        <v>56452</v>
      </c>
      <c r="H11141" s="3" t="s">
        <v>54289</v>
      </c>
      <c r="I11141" s="3" t="s">
        <v>56453</v>
      </c>
      <c r="J11141" s="3" t="s">
        <v>1636</v>
      </c>
      <c r="K11141" s="3" t="s">
        <v>56454</v>
      </c>
      <c r="L11141" s="3" t="s">
        <v>56455</v>
      </c>
      <c r="M11141" s="4"/>
      <c r="N11141" s="3" t="s">
        <v>37</v>
      </c>
      <c r="O11141" s="3" t="s">
        <v>2740</v>
      </c>
      <c r="P11141" s="5">
        <v>11</v>
      </c>
      <c r="Q11141" s="5">
        <v>177</v>
      </c>
      <c r="R11141" s="5">
        <v>11</v>
      </c>
      <c r="S11141" s="5">
        <v>173</v>
      </c>
    </row>
    <row r="11142" spans="1:19" ht="42" x14ac:dyDescent="0.15">
      <c r="A11142" s="2">
        <f>HYPERLINK("https://open-school.uspishnemisto.com.ua/school/560429/", 560429)</f>
        <v>560429</v>
      </c>
      <c r="B11142" s="3" t="s">
        <v>56456</v>
      </c>
      <c r="C11142" s="3" t="s">
        <v>31</v>
      </c>
      <c r="D11142" s="3" t="s">
        <v>175</v>
      </c>
      <c r="E11142" s="4" t="s">
        <v>22</v>
      </c>
      <c r="F11142" s="4" t="s">
        <v>56457</v>
      </c>
      <c r="G11142" s="4" t="s">
        <v>56458</v>
      </c>
      <c r="H11142" s="3" t="s">
        <v>54289</v>
      </c>
      <c r="I11142" s="3" t="s">
        <v>56459</v>
      </c>
      <c r="J11142" s="3" t="s">
        <v>694</v>
      </c>
      <c r="K11142" s="3" t="s">
        <v>56460</v>
      </c>
      <c r="L11142" s="3" t="s">
        <v>56461</v>
      </c>
      <c r="M11142" s="4" t="s">
        <v>56462</v>
      </c>
      <c r="N11142" s="3" t="s">
        <v>37</v>
      </c>
      <c r="O11142" s="3" t="s">
        <v>46</v>
      </c>
      <c r="P11142" s="5">
        <v>0</v>
      </c>
      <c r="Q11142" s="5">
        <v>0</v>
      </c>
      <c r="R11142" s="5">
        <v>8</v>
      </c>
      <c r="S11142" s="5">
        <v>67</v>
      </c>
    </row>
    <row r="11143" spans="1:19" ht="28" x14ac:dyDescent="0.15">
      <c r="A11143" s="2">
        <f>HYPERLINK("https://open-school.uspishnemisto.com.ua/school/560430/", 560430)</f>
        <v>560430</v>
      </c>
      <c r="B11143" s="3" t="s">
        <v>56463</v>
      </c>
      <c r="C11143" s="3" t="s">
        <v>31</v>
      </c>
      <c r="D11143" s="3" t="s">
        <v>32</v>
      </c>
      <c r="E11143" s="4" t="s">
        <v>22</v>
      </c>
      <c r="F11143" s="4" t="s">
        <v>56464</v>
      </c>
      <c r="G11143" s="4" t="s">
        <v>56465</v>
      </c>
      <c r="H11143" s="3" t="s">
        <v>54289</v>
      </c>
      <c r="I11143" s="3" t="s">
        <v>2900</v>
      </c>
      <c r="J11143" s="3" t="s">
        <v>56466</v>
      </c>
      <c r="K11143" s="3" t="s">
        <v>56467</v>
      </c>
      <c r="L11143" s="3"/>
      <c r="M11143" s="4"/>
      <c r="N11143" s="3" t="s">
        <v>37</v>
      </c>
      <c r="O11143" s="3" t="s">
        <v>46</v>
      </c>
      <c r="P11143" s="5">
        <v>12</v>
      </c>
      <c r="Q11143" s="5">
        <v>127</v>
      </c>
      <c r="R11143" s="5">
        <v>10</v>
      </c>
      <c r="S11143" s="5">
        <v>73</v>
      </c>
    </row>
    <row r="11144" spans="1:19" ht="28" x14ac:dyDescent="0.15">
      <c r="A11144" s="2">
        <f>HYPERLINK("https://open-school.uspishnemisto.com.ua/school/560431/", 560431)</f>
        <v>560431</v>
      </c>
      <c r="B11144" s="3" t="s">
        <v>56468</v>
      </c>
      <c r="C11144" s="3" t="s">
        <v>31</v>
      </c>
      <c r="D11144" s="3" t="s">
        <v>175</v>
      </c>
      <c r="E11144" s="4" t="s">
        <v>22</v>
      </c>
      <c r="F11144" s="4" t="s">
        <v>56469</v>
      </c>
      <c r="G11144" s="4" t="s">
        <v>56470</v>
      </c>
      <c r="H11144" s="3" t="s">
        <v>54289</v>
      </c>
      <c r="I11144" s="3" t="s">
        <v>56471</v>
      </c>
      <c r="J11144" s="3" t="s">
        <v>56472</v>
      </c>
      <c r="K11144" s="3" t="s">
        <v>56473</v>
      </c>
      <c r="L11144" s="3"/>
      <c r="M11144" s="4" t="s">
        <v>56474</v>
      </c>
      <c r="N11144" s="3" t="s">
        <v>37</v>
      </c>
      <c r="O11144" s="3" t="s">
        <v>38</v>
      </c>
      <c r="P11144" s="5">
        <v>9</v>
      </c>
      <c r="Q11144" s="5">
        <v>86</v>
      </c>
      <c r="R11144" s="5">
        <v>9</v>
      </c>
      <c r="S11144" s="5">
        <v>92</v>
      </c>
    </row>
    <row r="11145" spans="1:19" ht="28" x14ac:dyDescent="0.15">
      <c r="A11145" s="2">
        <f>HYPERLINK("https://open-school.uspishnemisto.com.ua/school/560432/", 560432)</f>
        <v>560432</v>
      </c>
      <c r="B11145" s="3" t="s">
        <v>56475</v>
      </c>
      <c r="C11145" s="3" t="s">
        <v>31</v>
      </c>
      <c r="D11145" s="3" t="s">
        <v>175</v>
      </c>
      <c r="E11145" s="4" t="s">
        <v>22</v>
      </c>
      <c r="F11145" s="4" t="s">
        <v>56476</v>
      </c>
      <c r="G11145" s="4" t="s">
        <v>56477</v>
      </c>
      <c r="H11145" s="3" t="s">
        <v>54289</v>
      </c>
      <c r="I11145" s="3" t="s">
        <v>56478</v>
      </c>
      <c r="J11145" s="3" t="s">
        <v>32717</v>
      </c>
      <c r="K11145" s="3" t="s">
        <v>56479</v>
      </c>
      <c r="L11145" s="3"/>
      <c r="M11145" s="4" t="s">
        <v>56480</v>
      </c>
      <c r="N11145" s="3" t="s">
        <v>37</v>
      </c>
      <c r="O11145" s="3" t="s">
        <v>52</v>
      </c>
      <c r="P11145" s="5">
        <v>9</v>
      </c>
      <c r="Q11145" s="5">
        <v>88</v>
      </c>
      <c r="R11145" s="5">
        <v>9</v>
      </c>
      <c r="S11145" s="5">
        <v>88</v>
      </c>
    </row>
    <row r="11146" spans="1:19" ht="28" x14ac:dyDescent="0.15">
      <c r="A11146" s="2">
        <f>HYPERLINK("https://open-school.uspishnemisto.com.ua/school/560433/", 560433)</f>
        <v>560433</v>
      </c>
      <c r="B11146" s="3" t="s">
        <v>56481</v>
      </c>
      <c r="C11146" s="3" t="s">
        <v>31</v>
      </c>
      <c r="D11146" s="3" t="s">
        <v>32</v>
      </c>
      <c r="E11146" s="4" t="s">
        <v>22</v>
      </c>
      <c r="F11146" s="4" t="s">
        <v>56482</v>
      </c>
      <c r="G11146" s="4" t="s">
        <v>56483</v>
      </c>
      <c r="H11146" s="3" t="s">
        <v>54289</v>
      </c>
      <c r="I11146" s="3" t="s">
        <v>56484</v>
      </c>
      <c r="J11146" s="3" t="s">
        <v>1857</v>
      </c>
      <c r="K11146" s="3" t="s">
        <v>56485</v>
      </c>
      <c r="L11146" s="3"/>
      <c r="M11146" s="4"/>
      <c r="N11146" s="3" t="s">
        <v>37</v>
      </c>
      <c r="O11146" s="3" t="s">
        <v>52</v>
      </c>
      <c r="P11146" s="5">
        <v>8</v>
      </c>
      <c r="Q11146" s="5">
        <v>69</v>
      </c>
      <c r="R11146" s="5">
        <v>9</v>
      </c>
      <c r="S11146" s="5">
        <v>70</v>
      </c>
    </row>
    <row r="11147" spans="1:19" ht="56" x14ac:dyDescent="0.15">
      <c r="A11147" s="2">
        <f>HYPERLINK("https://open-school.uspishnemisto.com.ua/school/560434/", 560434)</f>
        <v>560434</v>
      </c>
      <c r="B11147" s="3" t="s">
        <v>56486</v>
      </c>
      <c r="C11147" s="3" t="s">
        <v>54</v>
      </c>
      <c r="D11147" s="3" t="s">
        <v>32</v>
      </c>
      <c r="E11147" s="4" t="s">
        <v>22</v>
      </c>
      <c r="F11147" s="4" t="s">
        <v>56487</v>
      </c>
      <c r="G11147" s="4" t="s">
        <v>56488</v>
      </c>
      <c r="H11147" s="3" t="s">
        <v>54289</v>
      </c>
      <c r="I11147" s="3" t="s">
        <v>56489</v>
      </c>
      <c r="J11147" s="3" t="s">
        <v>56490</v>
      </c>
      <c r="K11147" s="3" t="s">
        <v>56491</v>
      </c>
      <c r="L11147" s="3"/>
      <c r="M11147" s="4" t="s">
        <v>56492</v>
      </c>
      <c r="N11147" s="3" t="s">
        <v>37</v>
      </c>
      <c r="O11147" s="3" t="s">
        <v>46</v>
      </c>
      <c r="P11147" s="5">
        <v>28</v>
      </c>
      <c r="Q11147" s="5">
        <v>326</v>
      </c>
      <c r="R11147" s="5">
        <v>11</v>
      </c>
      <c r="S11147" s="5">
        <v>183</v>
      </c>
    </row>
    <row r="11148" spans="1:19" ht="42" x14ac:dyDescent="0.15">
      <c r="A11148" s="2">
        <f>HYPERLINK("https://open-school.uspishnemisto.com.ua/school/560435/", 560435)</f>
        <v>560435</v>
      </c>
      <c r="B11148" s="3" t="s">
        <v>56493</v>
      </c>
      <c r="C11148" s="3" t="s">
        <v>31</v>
      </c>
      <c r="D11148" s="3" t="s">
        <v>175</v>
      </c>
      <c r="E11148" s="4" t="s">
        <v>22</v>
      </c>
      <c r="F11148" s="4" t="s">
        <v>56494</v>
      </c>
      <c r="G11148" s="4" t="s">
        <v>56495</v>
      </c>
      <c r="H11148" s="3" t="s">
        <v>54289</v>
      </c>
      <c r="I11148" s="3" t="s">
        <v>56496</v>
      </c>
      <c r="J11148" s="3" t="s">
        <v>56497</v>
      </c>
      <c r="K11148" s="3"/>
      <c r="L11148" s="3"/>
      <c r="M11148" s="4" t="s">
        <v>56498</v>
      </c>
      <c r="N11148" s="3" t="s">
        <v>37</v>
      </c>
      <c r="O11148" s="3" t="s">
        <v>52</v>
      </c>
      <c r="P11148" s="5">
        <v>0</v>
      </c>
      <c r="Q11148" s="5">
        <v>0</v>
      </c>
      <c r="R11148" s="5">
        <v>4</v>
      </c>
      <c r="S11148" s="5">
        <v>49</v>
      </c>
    </row>
    <row r="11149" spans="1:19" ht="28" x14ac:dyDescent="0.15">
      <c r="A11149" s="2">
        <f>HYPERLINK("https://open-school.uspishnemisto.com.ua/school/560436/", 560436)</f>
        <v>560436</v>
      </c>
      <c r="B11149" s="3" t="s">
        <v>56499</v>
      </c>
      <c r="C11149" s="3" t="s">
        <v>31</v>
      </c>
      <c r="D11149" s="3" t="s">
        <v>175</v>
      </c>
      <c r="E11149" s="4" t="s">
        <v>22</v>
      </c>
      <c r="F11149" s="4" t="s">
        <v>56500</v>
      </c>
      <c r="G11149" s="4" t="s">
        <v>56501</v>
      </c>
      <c r="H11149" s="3" t="s">
        <v>54289</v>
      </c>
      <c r="I11149" s="3" t="s">
        <v>6722</v>
      </c>
      <c r="J11149" s="3" t="s">
        <v>610</v>
      </c>
      <c r="K11149" s="3" t="s">
        <v>56502</v>
      </c>
      <c r="L11149" s="3"/>
      <c r="M11149" s="4"/>
      <c r="N11149" s="3" t="s">
        <v>37</v>
      </c>
      <c r="O11149" s="3" t="s">
        <v>52</v>
      </c>
      <c r="P11149" s="5">
        <v>7</v>
      </c>
      <c r="Q11149" s="5">
        <v>53</v>
      </c>
      <c r="R11149" s="5">
        <v>8</v>
      </c>
      <c r="S11149" s="5">
        <v>53</v>
      </c>
    </row>
    <row r="11150" spans="1:19" ht="42" x14ac:dyDescent="0.15">
      <c r="A11150" s="2">
        <f>HYPERLINK("https://open-school.uspishnemisto.com.ua/school/560437/", 560437)</f>
        <v>560437</v>
      </c>
      <c r="B11150" s="3" t="s">
        <v>56503</v>
      </c>
      <c r="C11150" s="3" t="s">
        <v>31</v>
      </c>
      <c r="D11150" s="3" t="s">
        <v>175</v>
      </c>
      <c r="E11150" s="4" t="s">
        <v>22</v>
      </c>
      <c r="F11150" s="4" t="s">
        <v>56504</v>
      </c>
      <c r="G11150" s="4" t="s">
        <v>56505</v>
      </c>
      <c r="H11150" s="3" t="s">
        <v>54289</v>
      </c>
      <c r="I11150" s="3" t="s">
        <v>16614</v>
      </c>
      <c r="J11150" s="3" t="s">
        <v>56506</v>
      </c>
      <c r="K11150" s="3" t="s">
        <v>56507</v>
      </c>
      <c r="L11150" s="3"/>
      <c r="M11150" s="4"/>
      <c r="N11150" s="3" t="s">
        <v>37</v>
      </c>
      <c r="O11150" s="3" t="s">
        <v>52</v>
      </c>
      <c r="P11150" s="5">
        <v>9</v>
      </c>
      <c r="Q11150" s="5">
        <v>63</v>
      </c>
      <c r="R11150" s="5">
        <v>8</v>
      </c>
      <c r="S11150" s="5">
        <v>61</v>
      </c>
    </row>
    <row r="11151" spans="1:19" ht="28" x14ac:dyDescent="0.15">
      <c r="A11151" s="2">
        <f>HYPERLINK("https://open-school.uspishnemisto.com.ua/school/560438/", 560438)</f>
        <v>560438</v>
      </c>
      <c r="B11151" s="3" t="s">
        <v>56508</v>
      </c>
      <c r="C11151" s="3" t="s">
        <v>31</v>
      </c>
      <c r="D11151" s="3" t="s">
        <v>32</v>
      </c>
      <c r="E11151" s="4" t="s">
        <v>22</v>
      </c>
      <c r="F11151" s="4" t="s">
        <v>56509</v>
      </c>
      <c r="G11151" s="4" t="s">
        <v>56510</v>
      </c>
      <c r="H11151" s="3" t="s">
        <v>54289</v>
      </c>
      <c r="I11151" s="3" t="s">
        <v>56511</v>
      </c>
      <c r="J11151" s="3" t="s">
        <v>1001</v>
      </c>
      <c r="K11151" s="3"/>
      <c r="L11151" s="3"/>
      <c r="M11151" s="4"/>
      <c r="N11151" s="3" t="s">
        <v>37</v>
      </c>
      <c r="O11151" s="3" t="s">
        <v>52</v>
      </c>
      <c r="P11151" s="5">
        <v>11</v>
      </c>
      <c r="Q11151" s="5">
        <v>115</v>
      </c>
      <c r="R11151" s="5">
        <v>10</v>
      </c>
      <c r="S11151" s="5">
        <v>103</v>
      </c>
    </row>
    <row r="11152" spans="1:19" ht="28" x14ac:dyDescent="0.15">
      <c r="A11152" s="2">
        <f>HYPERLINK("https://open-school.uspishnemisto.com.ua/school/560439/", 560439)</f>
        <v>560439</v>
      </c>
      <c r="B11152" s="3" t="s">
        <v>56512</v>
      </c>
      <c r="C11152" s="3" t="s">
        <v>31</v>
      </c>
      <c r="D11152" s="3" t="s">
        <v>32</v>
      </c>
      <c r="E11152" s="4" t="s">
        <v>22</v>
      </c>
      <c r="F11152" s="4" t="s">
        <v>56513</v>
      </c>
      <c r="G11152" s="4" t="s">
        <v>56514</v>
      </c>
      <c r="H11152" s="3" t="s">
        <v>54289</v>
      </c>
      <c r="I11152" s="3" t="s">
        <v>7563</v>
      </c>
      <c r="J11152" s="3" t="s">
        <v>56515</v>
      </c>
      <c r="K11152" s="3" t="s">
        <v>56516</v>
      </c>
      <c r="L11152" s="3"/>
      <c r="M11152" s="4" t="s">
        <v>56517</v>
      </c>
      <c r="N11152" s="3" t="s">
        <v>37</v>
      </c>
      <c r="O11152" s="3" t="s">
        <v>52</v>
      </c>
      <c r="P11152" s="5">
        <v>11</v>
      </c>
      <c r="Q11152" s="5">
        <v>119</v>
      </c>
      <c r="R11152" s="5">
        <v>11</v>
      </c>
      <c r="S11152" s="5">
        <v>125</v>
      </c>
    </row>
    <row r="11153" spans="1:19" ht="42" x14ac:dyDescent="0.15">
      <c r="A11153" s="2">
        <f>HYPERLINK("https://open-school.uspishnemisto.com.ua/school/560440/", 560440)</f>
        <v>560440</v>
      </c>
      <c r="B11153" s="3" t="s">
        <v>56518</v>
      </c>
      <c r="C11153" s="3" t="s">
        <v>54</v>
      </c>
      <c r="D11153" s="3" t="s">
        <v>32</v>
      </c>
      <c r="E11153" s="4" t="s">
        <v>22</v>
      </c>
      <c r="F11153" s="4" t="s">
        <v>56519</v>
      </c>
      <c r="G11153" s="4" t="s">
        <v>56520</v>
      </c>
      <c r="H11153" s="3" t="s">
        <v>54289</v>
      </c>
      <c r="I11153" s="3" t="s">
        <v>56521</v>
      </c>
      <c r="J11153" s="3" t="s">
        <v>10908</v>
      </c>
      <c r="K11153" s="3" t="s">
        <v>56522</v>
      </c>
      <c r="L11153" s="3"/>
      <c r="M11153" s="4"/>
      <c r="N11153" s="3" t="s">
        <v>37</v>
      </c>
      <c r="O11153" s="3" t="s">
        <v>2740</v>
      </c>
      <c r="P11153" s="5">
        <v>21</v>
      </c>
      <c r="Q11153" s="5">
        <v>468</v>
      </c>
      <c r="R11153" s="5">
        <v>21</v>
      </c>
      <c r="S11153" s="5">
        <v>473</v>
      </c>
    </row>
    <row r="11154" spans="1:19" ht="42" x14ac:dyDescent="0.15">
      <c r="A11154" s="2">
        <f>HYPERLINK("https://open-school.uspishnemisto.com.ua/school/560441/", 560441)</f>
        <v>560441</v>
      </c>
      <c r="B11154" s="3" t="s">
        <v>56523</v>
      </c>
      <c r="C11154" s="3" t="s">
        <v>31</v>
      </c>
      <c r="D11154" s="3" t="s">
        <v>175</v>
      </c>
      <c r="E11154" s="4" t="s">
        <v>22</v>
      </c>
      <c r="F11154" s="4" t="s">
        <v>56524</v>
      </c>
      <c r="G11154" s="4" t="s">
        <v>56525</v>
      </c>
      <c r="H11154" s="3" t="s">
        <v>54289</v>
      </c>
      <c r="I11154" s="3" t="s">
        <v>56526</v>
      </c>
      <c r="J11154" s="3" t="s">
        <v>566</v>
      </c>
      <c r="K11154" s="3" t="s">
        <v>56527</v>
      </c>
      <c r="L11154" s="3"/>
      <c r="M11154" s="4"/>
      <c r="N11154" s="3" t="s">
        <v>37</v>
      </c>
      <c r="O11154" s="3" t="s">
        <v>52</v>
      </c>
      <c r="P11154" s="5">
        <v>0</v>
      </c>
      <c r="Q11154" s="5">
        <v>0</v>
      </c>
      <c r="R11154" s="5">
        <v>6</v>
      </c>
      <c r="S11154" s="5">
        <v>47</v>
      </c>
    </row>
    <row r="11155" spans="1:19" ht="28" x14ac:dyDescent="0.15">
      <c r="A11155" s="2">
        <f>HYPERLINK("https://open-school.uspishnemisto.com.ua/school/560442/", 560442)</f>
        <v>560442</v>
      </c>
      <c r="B11155" s="3" t="s">
        <v>56528</v>
      </c>
      <c r="C11155" s="3" t="s">
        <v>31</v>
      </c>
      <c r="D11155" s="3" t="s">
        <v>175</v>
      </c>
      <c r="E11155" s="4" t="s">
        <v>22</v>
      </c>
      <c r="F11155" s="4" t="s">
        <v>56529</v>
      </c>
      <c r="G11155" s="4" t="s">
        <v>56530</v>
      </c>
      <c r="H11155" s="3" t="s">
        <v>54289</v>
      </c>
      <c r="I11155" s="3" t="s">
        <v>56531</v>
      </c>
      <c r="J11155" s="3" t="s">
        <v>2329</v>
      </c>
      <c r="K11155" s="3"/>
      <c r="L11155" s="3"/>
      <c r="M11155" s="4" t="s">
        <v>56532</v>
      </c>
      <c r="N11155" s="3" t="s">
        <v>37</v>
      </c>
      <c r="O11155" s="3" t="s">
        <v>46</v>
      </c>
      <c r="P11155" s="5">
        <v>0</v>
      </c>
      <c r="Q11155" s="5">
        <v>0</v>
      </c>
      <c r="R11155" s="5">
        <v>9</v>
      </c>
      <c r="S11155" s="5">
        <v>70</v>
      </c>
    </row>
    <row r="11156" spans="1:19" ht="56" x14ac:dyDescent="0.15">
      <c r="A11156" s="2">
        <f>HYPERLINK("https://open-school.uspishnemisto.com.ua/school/560443/", 560443)</f>
        <v>560443</v>
      </c>
      <c r="B11156" s="3" t="s">
        <v>56533</v>
      </c>
      <c r="C11156" s="3" t="s">
        <v>54</v>
      </c>
      <c r="D11156" s="3" t="s">
        <v>32</v>
      </c>
      <c r="E11156" s="4" t="s">
        <v>22</v>
      </c>
      <c r="F11156" s="4" t="s">
        <v>56534</v>
      </c>
      <c r="G11156" s="4" t="s">
        <v>56535</v>
      </c>
      <c r="H11156" s="3" t="s">
        <v>54289</v>
      </c>
      <c r="I11156" s="3" t="s">
        <v>56536</v>
      </c>
      <c r="J11156" s="3" t="s">
        <v>55050</v>
      </c>
      <c r="K11156" s="3" t="s">
        <v>56537</v>
      </c>
      <c r="L11156" s="3" t="s">
        <v>56538</v>
      </c>
      <c r="M11156" s="4"/>
      <c r="N11156" s="3" t="s">
        <v>37</v>
      </c>
      <c r="O11156" s="3" t="s">
        <v>38</v>
      </c>
      <c r="P11156" s="5">
        <v>14</v>
      </c>
      <c r="Q11156" s="5">
        <v>245</v>
      </c>
      <c r="R11156" s="5">
        <v>13</v>
      </c>
      <c r="S11156" s="5">
        <v>237</v>
      </c>
    </row>
    <row r="11157" spans="1:19" ht="42" x14ac:dyDescent="0.15">
      <c r="A11157" s="2">
        <f>HYPERLINK("https://open-school.uspishnemisto.com.ua/school/560444/", 560444)</f>
        <v>560444</v>
      </c>
      <c r="B11157" s="3" t="s">
        <v>56539</v>
      </c>
      <c r="C11157" s="3" t="s">
        <v>31</v>
      </c>
      <c r="D11157" s="3" t="s">
        <v>175</v>
      </c>
      <c r="E11157" s="4" t="s">
        <v>22</v>
      </c>
      <c r="F11157" s="4" t="s">
        <v>56540</v>
      </c>
      <c r="G11157" s="4" t="s">
        <v>56541</v>
      </c>
      <c r="H11157" s="3" t="s">
        <v>54289</v>
      </c>
      <c r="I11157" s="3" t="s">
        <v>56542</v>
      </c>
      <c r="J11157" s="3" t="s">
        <v>56543</v>
      </c>
      <c r="K11157" s="3" t="s">
        <v>56544</v>
      </c>
      <c r="L11157" s="3"/>
      <c r="M11157" s="4" t="s">
        <v>56545</v>
      </c>
      <c r="N11157" s="3" t="s">
        <v>37</v>
      </c>
      <c r="O11157" s="3" t="s">
        <v>52</v>
      </c>
      <c r="P11157" s="5">
        <v>4</v>
      </c>
      <c r="Q11157" s="5">
        <v>34</v>
      </c>
      <c r="R11157" s="5">
        <v>4</v>
      </c>
      <c r="S11157" s="5">
        <v>42</v>
      </c>
    </row>
    <row r="11158" spans="1:19" ht="28" x14ac:dyDescent="0.15">
      <c r="A11158" s="2">
        <f>HYPERLINK("https://open-school.uspishnemisto.com.ua/school/560445/", 560445)</f>
        <v>560445</v>
      </c>
      <c r="B11158" s="3" t="s">
        <v>56546</v>
      </c>
      <c r="C11158" s="3" t="s">
        <v>31</v>
      </c>
      <c r="D11158" s="3" t="s">
        <v>175</v>
      </c>
      <c r="E11158" s="4" t="s">
        <v>22</v>
      </c>
      <c r="F11158" s="4" t="s">
        <v>56547</v>
      </c>
      <c r="G11158" s="4" t="s">
        <v>56548</v>
      </c>
      <c r="H11158" s="3" t="s">
        <v>54289</v>
      </c>
      <c r="I11158" s="3" t="s">
        <v>1740</v>
      </c>
      <c r="J11158" s="3" t="s">
        <v>56549</v>
      </c>
      <c r="K11158" s="3" t="s">
        <v>56550</v>
      </c>
      <c r="L11158" s="3"/>
      <c r="M11158" s="4"/>
      <c r="N11158" s="3" t="s">
        <v>37</v>
      </c>
      <c r="O11158" s="3" t="s">
        <v>38</v>
      </c>
      <c r="P11158" s="5">
        <v>9</v>
      </c>
      <c r="Q11158" s="5">
        <v>69</v>
      </c>
      <c r="R11158" s="5">
        <v>9</v>
      </c>
      <c r="S11158" s="5">
        <v>73</v>
      </c>
    </row>
    <row r="11159" spans="1:19" ht="28" x14ac:dyDescent="0.15">
      <c r="A11159" s="2">
        <f>HYPERLINK("https://open-school.uspishnemisto.com.ua/school/560446/", 560446)</f>
        <v>560446</v>
      </c>
      <c r="B11159" s="3" t="s">
        <v>56551</v>
      </c>
      <c r="C11159" s="3" t="s">
        <v>31</v>
      </c>
      <c r="D11159" s="3" t="s">
        <v>32</v>
      </c>
      <c r="E11159" s="4" t="s">
        <v>22</v>
      </c>
      <c r="F11159" s="4" t="s">
        <v>56552</v>
      </c>
      <c r="G11159" s="4" t="s">
        <v>56553</v>
      </c>
      <c r="H11159" s="3" t="s">
        <v>54289</v>
      </c>
      <c r="I11159" s="3" t="s">
        <v>6904</v>
      </c>
      <c r="J11159" s="3" t="s">
        <v>34942</v>
      </c>
      <c r="K11159" s="3" t="s">
        <v>56554</v>
      </c>
      <c r="L11159" s="3"/>
      <c r="M11159" s="4"/>
      <c r="N11159" s="3" t="s">
        <v>37</v>
      </c>
      <c r="O11159" s="3" t="s">
        <v>2740</v>
      </c>
      <c r="P11159" s="5">
        <v>11</v>
      </c>
      <c r="Q11159" s="5">
        <v>106</v>
      </c>
      <c r="R11159" s="5">
        <v>11</v>
      </c>
      <c r="S11159" s="5">
        <v>107</v>
      </c>
    </row>
    <row r="11160" spans="1:19" ht="28" x14ac:dyDescent="0.15">
      <c r="A11160" s="2">
        <f>HYPERLINK("https://open-school.uspishnemisto.com.ua/school/560447/", 560447)</f>
        <v>560447</v>
      </c>
      <c r="B11160" s="3" t="s">
        <v>56555</v>
      </c>
      <c r="C11160" s="3" t="s">
        <v>31</v>
      </c>
      <c r="D11160" s="3" t="s">
        <v>175</v>
      </c>
      <c r="E11160" s="4" t="s">
        <v>22</v>
      </c>
      <c r="F11160" s="4" t="s">
        <v>56556</v>
      </c>
      <c r="G11160" s="4" t="s">
        <v>56557</v>
      </c>
      <c r="H11160" s="3" t="s">
        <v>54289</v>
      </c>
      <c r="I11160" s="3" t="s">
        <v>56558</v>
      </c>
      <c r="J11160" s="3" t="s">
        <v>1719</v>
      </c>
      <c r="K11160" s="3" t="s">
        <v>56559</v>
      </c>
      <c r="L11160" s="3"/>
      <c r="M11160" s="4"/>
      <c r="N11160" s="3" t="s">
        <v>37</v>
      </c>
      <c r="O11160" s="3" t="s">
        <v>46</v>
      </c>
      <c r="P11160" s="5">
        <v>0</v>
      </c>
      <c r="Q11160" s="5">
        <v>0</v>
      </c>
      <c r="R11160" s="5">
        <v>9</v>
      </c>
      <c r="S11160" s="5">
        <v>93</v>
      </c>
    </row>
    <row r="11161" spans="1:19" ht="28" x14ac:dyDescent="0.15">
      <c r="A11161" s="2">
        <f>HYPERLINK("https://open-school.uspishnemisto.com.ua/school/560448/", 560448)</f>
        <v>560448</v>
      </c>
      <c r="B11161" s="3" t="s">
        <v>56560</v>
      </c>
      <c r="C11161" s="3" t="s">
        <v>31</v>
      </c>
      <c r="D11161" s="3" t="s">
        <v>32</v>
      </c>
      <c r="E11161" s="4" t="s">
        <v>22</v>
      </c>
      <c r="F11161" s="4" t="s">
        <v>56561</v>
      </c>
      <c r="G11161" s="4" t="s">
        <v>56562</v>
      </c>
      <c r="H11161" s="3" t="s">
        <v>54289</v>
      </c>
      <c r="I11161" s="3" t="s">
        <v>56563</v>
      </c>
      <c r="J11161" s="3" t="s">
        <v>56564</v>
      </c>
      <c r="K11161" s="3" t="s">
        <v>56565</v>
      </c>
      <c r="L11161" s="3" t="s">
        <v>56566</v>
      </c>
      <c r="M11161" s="4" t="s">
        <v>56567</v>
      </c>
      <c r="N11161" s="3" t="s">
        <v>37</v>
      </c>
      <c r="O11161" s="3" t="s">
        <v>52</v>
      </c>
      <c r="P11161" s="5">
        <v>11</v>
      </c>
      <c r="Q11161" s="5">
        <v>149</v>
      </c>
      <c r="R11161" s="5">
        <v>11</v>
      </c>
      <c r="S11161" s="5">
        <v>155</v>
      </c>
    </row>
    <row r="11162" spans="1:19" ht="28" x14ac:dyDescent="0.15">
      <c r="A11162" s="2">
        <f>HYPERLINK("https://open-school.uspishnemisto.com.ua/school/560449/", 560449)</f>
        <v>560449</v>
      </c>
      <c r="B11162" s="3" t="s">
        <v>56568</v>
      </c>
      <c r="C11162" s="3" t="s">
        <v>31</v>
      </c>
      <c r="D11162" s="3" t="s">
        <v>32</v>
      </c>
      <c r="E11162" s="4" t="s">
        <v>22</v>
      </c>
      <c r="F11162" s="4" t="s">
        <v>56569</v>
      </c>
      <c r="G11162" s="4" t="s">
        <v>56570</v>
      </c>
      <c r="H11162" s="3" t="s">
        <v>54289</v>
      </c>
      <c r="I11162" s="3" t="s">
        <v>56571</v>
      </c>
      <c r="J11162" s="3" t="s">
        <v>297</v>
      </c>
      <c r="K11162" s="3" t="s">
        <v>56572</v>
      </c>
      <c r="L11162" s="3" t="s">
        <v>56573</v>
      </c>
      <c r="M11162" s="4"/>
      <c r="N11162" s="3" t="s">
        <v>37</v>
      </c>
      <c r="O11162" s="3" t="s">
        <v>2740</v>
      </c>
      <c r="P11162" s="5">
        <v>10</v>
      </c>
      <c r="Q11162" s="5">
        <v>135</v>
      </c>
      <c r="R11162" s="5">
        <v>10</v>
      </c>
      <c r="S11162" s="5">
        <v>133</v>
      </c>
    </row>
    <row r="11163" spans="1:19" ht="56" x14ac:dyDescent="0.15">
      <c r="A11163" s="2">
        <f>HYPERLINK("https://open-school.uspishnemisto.com.ua/school/560450/", 560450)</f>
        <v>560450</v>
      </c>
      <c r="B11163" s="3" t="s">
        <v>56574</v>
      </c>
      <c r="C11163" s="3" t="s">
        <v>54</v>
      </c>
      <c r="D11163" s="3" t="s">
        <v>32</v>
      </c>
      <c r="E11163" s="4" t="s">
        <v>22</v>
      </c>
      <c r="F11163" s="4" t="s">
        <v>56575</v>
      </c>
      <c r="G11163" s="4" t="s">
        <v>56576</v>
      </c>
      <c r="H11163" s="3" t="s">
        <v>54289</v>
      </c>
      <c r="I11163" s="3" t="s">
        <v>27990</v>
      </c>
      <c r="J11163" s="3" t="s">
        <v>3421</v>
      </c>
      <c r="K11163" s="3" t="s">
        <v>56577</v>
      </c>
      <c r="L11163" s="3" t="s">
        <v>56578</v>
      </c>
      <c r="M11163" s="4"/>
      <c r="N11163" s="3" t="s">
        <v>37</v>
      </c>
      <c r="O11163" s="3" t="s">
        <v>38</v>
      </c>
      <c r="P11163" s="5">
        <v>9</v>
      </c>
      <c r="Q11163" s="5">
        <v>69</v>
      </c>
      <c r="R11163" s="5">
        <v>8</v>
      </c>
      <c r="S11163" s="5">
        <v>71</v>
      </c>
    </row>
    <row r="11164" spans="1:19" ht="42" x14ac:dyDescent="0.15">
      <c r="A11164" s="2">
        <f>HYPERLINK("https://open-school.uspishnemisto.com.ua/school/560451/", 560451)</f>
        <v>560451</v>
      </c>
      <c r="B11164" s="3" t="s">
        <v>56579</v>
      </c>
      <c r="C11164" s="3" t="s">
        <v>31</v>
      </c>
      <c r="D11164" s="3" t="s">
        <v>32</v>
      </c>
      <c r="E11164" s="4" t="s">
        <v>22</v>
      </c>
      <c r="F11164" s="4" t="s">
        <v>56580</v>
      </c>
      <c r="G11164" s="4" t="s">
        <v>56581</v>
      </c>
      <c r="H11164" s="3" t="s">
        <v>54289</v>
      </c>
      <c r="I11164" s="3" t="s">
        <v>56004</v>
      </c>
      <c r="J11164" s="3" t="s">
        <v>7647</v>
      </c>
      <c r="K11164" s="3" t="s">
        <v>56582</v>
      </c>
      <c r="L11164" s="3" t="s">
        <v>56583</v>
      </c>
      <c r="M11164" s="4"/>
      <c r="N11164" s="3" t="s">
        <v>37</v>
      </c>
      <c r="O11164" s="3" t="s">
        <v>52</v>
      </c>
      <c r="P11164" s="5">
        <v>11</v>
      </c>
      <c r="Q11164" s="5">
        <v>136</v>
      </c>
      <c r="R11164" s="5">
        <v>11</v>
      </c>
      <c r="S11164" s="5">
        <v>130</v>
      </c>
    </row>
    <row r="11165" spans="1:19" ht="42" x14ac:dyDescent="0.15">
      <c r="A11165" s="2">
        <f>HYPERLINK("https://open-school.uspishnemisto.com.ua/school/560452/", 560452)</f>
        <v>560452</v>
      </c>
      <c r="B11165" s="3" t="s">
        <v>56584</v>
      </c>
      <c r="C11165" s="3" t="s">
        <v>31</v>
      </c>
      <c r="D11165" s="3" t="s">
        <v>32</v>
      </c>
      <c r="E11165" s="4" t="s">
        <v>22</v>
      </c>
      <c r="F11165" s="4" t="s">
        <v>56585</v>
      </c>
      <c r="G11165" s="4" t="s">
        <v>56586</v>
      </c>
      <c r="H11165" s="3" t="s">
        <v>54289</v>
      </c>
      <c r="I11165" s="3" t="s">
        <v>56587</v>
      </c>
      <c r="J11165" s="3" t="s">
        <v>3363</v>
      </c>
      <c r="K11165" s="3" t="s">
        <v>56588</v>
      </c>
      <c r="L11165" s="3"/>
      <c r="M11165" s="4" t="s">
        <v>56589</v>
      </c>
      <c r="N11165" s="3" t="s">
        <v>37</v>
      </c>
      <c r="O11165" s="3" t="s">
        <v>46</v>
      </c>
      <c r="P11165" s="5">
        <v>13</v>
      </c>
      <c r="Q11165" s="5">
        <v>237</v>
      </c>
      <c r="R11165" s="5">
        <v>12</v>
      </c>
      <c r="S11165" s="5">
        <v>230</v>
      </c>
    </row>
    <row r="11166" spans="1:19" ht="28" x14ac:dyDescent="0.15">
      <c r="A11166" s="2">
        <f>HYPERLINK("https://open-school.uspishnemisto.com.ua/school/560453/", 560453)</f>
        <v>560453</v>
      </c>
      <c r="B11166" s="3" t="s">
        <v>56590</v>
      </c>
      <c r="C11166" s="3" t="s">
        <v>31</v>
      </c>
      <c r="D11166" s="3" t="s">
        <v>175</v>
      </c>
      <c r="E11166" s="4" t="s">
        <v>22</v>
      </c>
      <c r="F11166" s="4" t="s">
        <v>56591</v>
      </c>
      <c r="G11166" s="4" t="s">
        <v>56592</v>
      </c>
      <c r="H11166" s="3" t="s">
        <v>54289</v>
      </c>
      <c r="I11166" s="3" t="s">
        <v>56593</v>
      </c>
      <c r="J11166" s="3" t="s">
        <v>1857</v>
      </c>
      <c r="K11166" s="3" t="s">
        <v>56594</v>
      </c>
      <c r="L11166" s="3"/>
      <c r="M11166" s="4"/>
      <c r="N11166" s="3" t="s">
        <v>37</v>
      </c>
      <c r="O11166" s="3" t="s">
        <v>2740</v>
      </c>
      <c r="P11166" s="5">
        <v>10</v>
      </c>
      <c r="Q11166" s="5">
        <v>104</v>
      </c>
      <c r="R11166" s="5">
        <v>9</v>
      </c>
      <c r="S11166" s="5">
        <v>84</v>
      </c>
    </row>
    <row r="11167" spans="1:19" ht="42" x14ac:dyDescent="0.15">
      <c r="A11167" s="2">
        <f>HYPERLINK("https://open-school.uspishnemisto.com.ua/school/560454/", 560454)</f>
        <v>560454</v>
      </c>
      <c r="B11167" s="3" t="s">
        <v>56595</v>
      </c>
      <c r="C11167" s="3" t="s">
        <v>54</v>
      </c>
      <c r="D11167" s="3" t="s">
        <v>32</v>
      </c>
      <c r="E11167" s="4" t="s">
        <v>22</v>
      </c>
      <c r="F11167" s="4" t="s">
        <v>56596</v>
      </c>
      <c r="G11167" s="4" t="s">
        <v>56597</v>
      </c>
      <c r="H11167" s="3" t="s">
        <v>54289</v>
      </c>
      <c r="I11167" s="3" t="s">
        <v>56598</v>
      </c>
      <c r="J11167" s="3" t="s">
        <v>1857</v>
      </c>
      <c r="K11167" s="3" t="s">
        <v>56599</v>
      </c>
      <c r="L11167" s="3"/>
      <c r="M11167" s="4"/>
      <c r="N11167" s="3" t="s">
        <v>37</v>
      </c>
      <c r="O11167" s="3" t="s">
        <v>52</v>
      </c>
      <c r="P11167" s="5">
        <v>14</v>
      </c>
      <c r="Q11167" s="5">
        <v>159</v>
      </c>
      <c r="R11167" s="5">
        <v>14</v>
      </c>
      <c r="S11167" s="5">
        <v>152</v>
      </c>
    </row>
    <row r="11168" spans="1:19" ht="28" x14ac:dyDescent="0.15">
      <c r="A11168" s="2">
        <f>HYPERLINK("https://open-school.uspishnemisto.com.ua/school/560455/", 560455)</f>
        <v>560455</v>
      </c>
      <c r="B11168" s="3" t="s">
        <v>56600</v>
      </c>
      <c r="C11168" s="3" t="s">
        <v>31</v>
      </c>
      <c r="D11168" s="3" t="s">
        <v>175</v>
      </c>
      <c r="E11168" s="4" t="s">
        <v>22</v>
      </c>
      <c r="F11168" s="4" t="s">
        <v>56596</v>
      </c>
      <c r="G11168" s="4" t="s">
        <v>56601</v>
      </c>
      <c r="H11168" s="3" t="s">
        <v>54289</v>
      </c>
      <c r="I11168" s="3" t="s">
        <v>56602</v>
      </c>
      <c r="J11168" s="3" t="s">
        <v>15828</v>
      </c>
      <c r="K11168" s="3" t="s">
        <v>56603</v>
      </c>
      <c r="L11168" s="3"/>
      <c r="M11168" s="4" t="s">
        <v>56604</v>
      </c>
      <c r="N11168" s="3" t="s">
        <v>37</v>
      </c>
      <c r="O11168" s="3" t="s">
        <v>38</v>
      </c>
      <c r="P11168" s="5">
        <v>5</v>
      </c>
      <c r="Q11168" s="5">
        <v>39</v>
      </c>
      <c r="R11168" s="5">
        <v>5</v>
      </c>
      <c r="S11168" s="5">
        <v>34</v>
      </c>
    </row>
    <row r="11169" spans="1:19" ht="42" x14ac:dyDescent="0.15">
      <c r="A11169" s="2">
        <f>HYPERLINK("https://open-school.uspishnemisto.com.ua/school/560456/", 560456)</f>
        <v>560456</v>
      </c>
      <c r="B11169" s="3" t="s">
        <v>56605</v>
      </c>
      <c r="C11169" s="3" t="s">
        <v>54</v>
      </c>
      <c r="D11169" s="3" t="s">
        <v>32</v>
      </c>
      <c r="E11169" s="4" t="s">
        <v>22</v>
      </c>
      <c r="F11169" s="4" t="s">
        <v>56606</v>
      </c>
      <c r="G11169" s="4" t="s">
        <v>56607</v>
      </c>
      <c r="H11169" s="3" t="s">
        <v>54289</v>
      </c>
      <c r="I11169" s="3" t="s">
        <v>6373</v>
      </c>
      <c r="J11169" s="3" t="s">
        <v>56608</v>
      </c>
      <c r="K11169" s="3" t="s">
        <v>56609</v>
      </c>
      <c r="L11169" s="3"/>
      <c r="M11169" s="4"/>
      <c r="N11169" s="3" t="s">
        <v>37</v>
      </c>
      <c r="O11169" s="3" t="s">
        <v>52</v>
      </c>
      <c r="P11169" s="5">
        <v>11</v>
      </c>
      <c r="Q11169" s="5">
        <v>105</v>
      </c>
      <c r="R11169" s="5">
        <v>10</v>
      </c>
      <c r="S11169" s="5">
        <v>105</v>
      </c>
    </row>
    <row r="11170" spans="1:19" ht="28" x14ac:dyDescent="0.15">
      <c r="A11170" s="2">
        <f>HYPERLINK("https://open-school.uspishnemisto.com.ua/school/560457/", 560457)</f>
        <v>560457</v>
      </c>
      <c r="B11170" s="3" t="s">
        <v>56610</v>
      </c>
      <c r="C11170" s="3" t="s">
        <v>31</v>
      </c>
      <c r="D11170" s="3" t="s">
        <v>60</v>
      </c>
      <c r="E11170" s="4" t="s">
        <v>22</v>
      </c>
      <c r="F11170" s="4" t="s">
        <v>56611</v>
      </c>
      <c r="G11170" s="4" t="s">
        <v>56612</v>
      </c>
      <c r="H11170" s="3" t="s">
        <v>54289</v>
      </c>
      <c r="I11170" s="3" t="s">
        <v>56613</v>
      </c>
      <c r="J11170" s="3" t="s">
        <v>7662</v>
      </c>
      <c r="K11170" s="3" t="s">
        <v>56614</v>
      </c>
      <c r="L11170" s="3"/>
      <c r="M11170" s="4"/>
      <c r="N11170" s="3" t="s">
        <v>37</v>
      </c>
      <c r="O11170" s="3" t="s">
        <v>52</v>
      </c>
      <c r="P11170" s="5">
        <v>0</v>
      </c>
      <c r="Q11170" s="5">
        <v>8</v>
      </c>
      <c r="R11170" s="5">
        <v>1</v>
      </c>
      <c r="S11170" s="5">
        <v>14</v>
      </c>
    </row>
    <row r="11171" spans="1:19" ht="56" x14ac:dyDescent="0.15">
      <c r="A11171" s="2">
        <f>HYPERLINK("https://open-school.uspishnemisto.com.ua/school/560458/", 560458)</f>
        <v>560458</v>
      </c>
      <c r="B11171" s="3" t="s">
        <v>56615</v>
      </c>
      <c r="C11171" s="3" t="s">
        <v>54</v>
      </c>
      <c r="D11171" s="3" t="s">
        <v>175</v>
      </c>
      <c r="E11171" s="4" t="s">
        <v>22</v>
      </c>
      <c r="F11171" s="4" t="s">
        <v>56611</v>
      </c>
      <c r="G11171" s="4" t="s">
        <v>56616</v>
      </c>
      <c r="H11171" s="3" t="s">
        <v>54289</v>
      </c>
      <c r="I11171" s="3" t="s">
        <v>56617</v>
      </c>
      <c r="J11171" s="3" t="s">
        <v>718</v>
      </c>
      <c r="K11171" s="3" t="s">
        <v>56618</v>
      </c>
      <c r="L11171" s="3"/>
      <c r="M11171" s="4"/>
      <c r="N11171" s="3" t="s">
        <v>37</v>
      </c>
      <c r="O11171" s="3" t="s">
        <v>52</v>
      </c>
      <c r="P11171" s="5">
        <v>5</v>
      </c>
      <c r="Q11171" s="5">
        <v>40</v>
      </c>
      <c r="R11171" s="5">
        <v>5</v>
      </c>
      <c r="S11171" s="5">
        <v>38</v>
      </c>
    </row>
    <row r="11172" spans="1:19" ht="28" x14ac:dyDescent="0.15">
      <c r="A11172" s="2">
        <f>HYPERLINK("https://open-school.uspishnemisto.com.ua/school/560459/", 560459)</f>
        <v>560459</v>
      </c>
      <c r="B11172" s="3" t="s">
        <v>56619</v>
      </c>
      <c r="C11172" s="3" t="s">
        <v>31</v>
      </c>
      <c r="D11172" s="3" t="s">
        <v>32</v>
      </c>
      <c r="E11172" s="4" t="s">
        <v>22</v>
      </c>
      <c r="F11172" s="4" t="s">
        <v>56620</v>
      </c>
      <c r="G11172" s="4" t="s">
        <v>56621</v>
      </c>
      <c r="H11172" s="3" t="s">
        <v>54289</v>
      </c>
      <c r="I11172" s="3" t="s">
        <v>56622</v>
      </c>
      <c r="J11172" s="3" t="s">
        <v>2384</v>
      </c>
      <c r="K11172" s="3" t="s">
        <v>56623</v>
      </c>
      <c r="L11172" s="3" t="s">
        <v>56624</v>
      </c>
      <c r="M11172" s="4"/>
      <c r="N11172" s="3" t="s">
        <v>37</v>
      </c>
      <c r="O11172" s="3" t="s">
        <v>38</v>
      </c>
      <c r="P11172" s="5">
        <v>11</v>
      </c>
      <c r="Q11172" s="5">
        <v>148</v>
      </c>
      <c r="R11172" s="5">
        <v>10</v>
      </c>
      <c r="S11172" s="5">
        <v>146</v>
      </c>
    </row>
    <row r="11173" spans="1:19" ht="42" x14ac:dyDescent="0.15">
      <c r="A11173" s="2">
        <f>HYPERLINK("https://open-school.uspishnemisto.com.ua/school/560460/", 560460)</f>
        <v>560460</v>
      </c>
      <c r="B11173" s="3" t="s">
        <v>56625</v>
      </c>
      <c r="C11173" s="3" t="s">
        <v>54</v>
      </c>
      <c r="D11173" s="3" t="s">
        <v>175</v>
      </c>
      <c r="E11173" s="4" t="s">
        <v>22</v>
      </c>
      <c r="F11173" s="4" t="s">
        <v>56626</v>
      </c>
      <c r="G11173" s="4" t="s">
        <v>56627</v>
      </c>
      <c r="H11173" s="3" t="s">
        <v>54289</v>
      </c>
      <c r="I11173" s="3" t="s">
        <v>56628</v>
      </c>
      <c r="J11173" s="3" t="s">
        <v>566</v>
      </c>
      <c r="K11173" s="3" t="s">
        <v>56629</v>
      </c>
      <c r="L11173" s="3"/>
      <c r="M11173" s="4"/>
      <c r="N11173" s="3" t="s">
        <v>37</v>
      </c>
      <c r="O11173" s="3" t="s">
        <v>38</v>
      </c>
      <c r="P11173" s="5">
        <v>9</v>
      </c>
      <c r="Q11173" s="5">
        <v>63</v>
      </c>
      <c r="R11173" s="5">
        <v>8</v>
      </c>
      <c r="S11173" s="5">
        <v>59</v>
      </c>
    </row>
    <row r="11174" spans="1:19" ht="42" x14ac:dyDescent="0.15">
      <c r="A11174" s="2">
        <f>HYPERLINK("https://open-school.uspishnemisto.com.ua/school/560461/", 560461)</f>
        <v>560461</v>
      </c>
      <c r="B11174" s="3" t="s">
        <v>56630</v>
      </c>
      <c r="C11174" s="3" t="s">
        <v>54</v>
      </c>
      <c r="D11174" s="3" t="s">
        <v>32</v>
      </c>
      <c r="E11174" s="4" t="s">
        <v>22</v>
      </c>
      <c r="F11174" s="4" t="s">
        <v>56631</v>
      </c>
      <c r="G11174" s="4" t="s">
        <v>56632</v>
      </c>
      <c r="H11174" s="3" t="s">
        <v>54289</v>
      </c>
      <c r="I11174" s="3" t="s">
        <v>56633</v>
      </c>
      <c r="J11174" s="3" t="s">
        <v>1747</v>
      </c>
      <c r="K11174" s="3" t="s">
        <v>56634</v>
      </c>
      <c r="L11174" s="3"/>
      <c r="M11174" s="4"/>
      <c r="N11174" s="3" t="s">
        <v>37</v>
      </c>
      <c r="O11174" s="3" t="s">
        <v>52</v>
      </c>
      <c r="P11174" s="5">
        <v>8</v>
      </c>
      <c r="Q11174" s="5">
        <v>61</v>
      </c>
      <c r="R11174" s="5">
        <v>9</v>
      </c>
      <c r="S11174" s="5">
        <v>62</v>
      </c>
    </row>
    <row r="11175" spans="1:19" ht="28" x14ac:dyDescent="0.15">
      <c r="A11175" s="2">
        <f>HYPERLINK("https://open-school.uspishnemisto.com.ua/school/560462/", 560462)</f>
        <v>560462</v>
      </c>
      <c r="B11175" s="3" t="s">
        <v>56635</v>
      </c>
      <c r="C11175" s="3" t="s">
        <v>31</v>
      </c>
      <c r="D11175" s="3" t="s">
        <v>32</v>
      </c>
      <c r="E11175" s="4" t="s">
        <v>22</v>
      </c>
      <c r="F11175" s="4" t="s">
        <v>56636</v>
      </c>
      <c r="G11175" s="4" t="s">
        <v>56637</v>
      </c>
      <c r="H11175" s="3" t="s">
        <v>54289</v>
      </c>
      <c r="I11175" s="3" t="s">
        <v>6106</v>
      </c>
      <c r="J11175" s="3" t="s">
        <v>8348</v>
      </c>
      <c r="K11175" s="3" t="s">
        <v>56638</v>
      </c>
      <c r="L11175" s="3" t="s">
        <v>56639</v>
      </c>
      <c r="M11175" s="4" t="s">
        <v>56640</v>
      </c>
      <c r="N11175" s="3" t="s">
        <v>37</v>
      </c>
      <c r="O11175" s="3" t="s">
        <v>52</v>
      </c>
      <c r="P11175" s="5">
        <v>11</v>
      </c>
      <c r="Q11175" s="5">
        <v>134</v>
      </c>
      <c r="R11175" s="5">
        <v>11</v>
      </c>
      <c r="S11175" s="5">
        <v>139</v>
      </c>
    </row>
    <row r="11176" spans="1:19" ht="42" x14ac:dyDescent="0.15">
      <c r="A11176" s="2">
        <f>HYPERLINK("https://open-school.uspishnemisto.com.ua/school/560463/", 560463)</f>
        <v>560463</v>
      </c>
      <c r="B11176" s="3" t="s">
        <v>56641</v>
      </c>
      <c r="C11176" s="3" t="s">
        <v>54</v>
      </c>
      <c r="D11176" s="3" t="s">
        <v>175</v>
      </c>
      <c r="E11176" s="4" t="s">
        <v>22</v>
      </c>
      <c r="F11176" s="4" t="s">
        <v>56636</v>
      </c>
      <c r="G11176" s="4" t="s">
        <v>56642</v>
      </c>
      <c r="H11176" s="3" t="s">
        <v>54289</v>
      </c>
      <c r="I11176" s="3" t="s">
        <v>56643</v>
      </c>
      <c r="J11176" s="3" t="s">
        <v>466</v>
      </c>
      <c r="K11176" s="3" t="s">
        <v>56644</v>
      </c>
      <c r="L11176" s="3" t="s">
        <v>56645</v>
      </c>
      <c r="M11176" s="4"/>
      <c r="N11176" s="3" t="s">
        <v>37</v>
      </c>
      <c r="O11176" s="3" t="s">
        <v>52</v>
      </c>
      <c r="P11176" s="5">
        <v>7</v>
      </c>
      <c r="Q11176" s="5">
        <v>50</v>
      </c>
      <c r="R11176" s="5">
        <v>7</v>
      </c>
      <c r="S11176" s="5">
        <v>53</v>
      </c>
    </row>
    <row r="11177" spans="1:19" ht="28" x14ac:dyDescent="0.15">
      <c r="A11177" s="2">
        <f>HYPERLINK("https://open-school.uspishnemisto.com.ua/school/560464/", 560464)</f>
        <v>560464</v>
      </c>
      <c r="B11177" s="3" t="s">
        <v>56646</v>
      </c>
      <c r="C11177" s="3" t="s">
        <v>54</v>
      </c>
      <c r="D11177" s="3" t="s">
        <v>32</v>
      </c>
      <c r="E11177" s="4" t="s">
        <v>22</v>
      </c>
      <c r="F11177" s="4" t="s">
        <v>56647</v>
      </c>
      <c r="G11177" s="4" t="s">
        <v>56648</v>
      </c>
      <c r="H11177" s="3" t="s">
        <v>54289</v>
      </c>
      <c r="I11177" s="3" t="s">
        <v>56649</v>
      </c>
      <c r="J11177" s="3" t="s">
        <v>4658</v>
      </c>
      <c r="K11177" s="3"/>
      <c r="L11177" s="3" t="s">
        <v>56650</v>
      </c>
      <c r="M11177" s="4"/>
      <c r="N11177" s="3" t="s">
        <v>37</v>
      </c>
      <c r="O11177" s="3" t="s">
        <v>52</v>
      </c>
      <c r="P11177" s="5">
        <v>10</v>
      </c>
      <c r="Q11177" s="5">
        <v>134</v>
      </c>
      <c r="R11177" s="5">
        <v>11</v>
      </c>
      <c r="S11177" s="5">
        <v>122</v>
      </c>
    </row>
    <row r="11178" spans="1:19" ht="28" x14ac:dyDescent="0.15">
      <c r="A11178" s="2">
        <f>HYPERLINK("https://open-school.uspishnemisto.com.ua/school/560465/", 560465)</f>
        <v>560465</v>
      </c>
      <c r="B11178" s="3" t="s">
        <v>56651</v>
      </c>
      <c r="C11178" s="3" t="s">
        <v>31</v>
      </c>
      <c r="D11178" s="3" t="s">
        <v>60</v>
      </c>
      <c r="E11178" s="4" t="s">
        <v>22</v>
      </c>
      <c r="F11178" s="4" t="s">
        <v>56647</v>
      </c>
      <c r="G11178" s="4" t="s">
        <v>56652</v>
      </c>
      <c r="H11178" s="3" t="s">
        <v>54289</v>
      </c>
      <c r="I11178" s="3" t="s">
        <v>56653</v>
      </c>
      <c r="J11178" s="3" t="s">
        <v>1348</v>
      </c>
      <c r="K11178" s="3" t="s">
        <v>56654</v>
      </c>
      <c r="L11178" s="3"/>
      <c r="M11178" s="4"/>
      <c r="N11178" s="3" t="s">
        <v>37</v>
      </c>
      <c r="O11178" s="3" t="s">
        <v>52</v>
      </c>
      <c r="P11178" s="5">
        <v>3</v>
      </c>
      <c r="Q11178" s="5">
        <v>24</v>
      </c>
      <c r="R11178" s="5">
        <v>3</v>
      </c>
      <c r="S11178" s="5">
        <v>20</v>
      </c>
    </row>
    <row r="11179" spans="1:19" ht="56" x14ac:dyDescent="0.15">
      <c r="A11179" s="2">
        <f>HYPERLINK("https://open-school.uspishnemisto.com.ua/school/560466/", 560466)</f>
        <v>560466</v>
      </c>
      <c r="B11179" s="3" t="s">
        <v>56655</v>
      </c>
      <c r="C11179" s="3" t="s">
        <v>54</v>
      </c>
      <c r="D11179" s="3" t="s">
        <v>32</v>
      </c>
      <c r="E11179" s="4" t="s">
        <v>22</v>
      </c>
      <c r="F11179" s="4" t="s">
        <v>56656</v>
      </c>
      <c r="G11179" s="4" t="s">
        <v>56657</v>
      </c>
      <c r="H11179" s="3" t="s">
        <v>54289</v>
      </c>
      <c r="I11179" s="3" t="s">
        <v>12323</v>
      </c>
      <c r="J11179" s="3" t="s">
        <v>56658</v>
      </c>
      <c r="K11179" s="3" t="s">
        <v>56659</v>
      </c>
      <c r="L11179" s="3" t="s">
        <v>56660</v>
      </c>
      <c r="M11179" s="4" t="s">
        <v>56661</v>
      </c>
      <c r="N11179" s="3" t="s">
        <v>37</v>
      </c>
      <c r="O11179" s="3" t="s">
        <v>52</v>
      </c>
      <c r="P11179" s="5">
        <v>11</v>
      </c>
      <c r="Q11179" s="5">
        <v>202</v>
      </c>
      <c r="R11179" s="5">
        <v>11</v>
      </c>
      <c r="S11179" s="5">
        <v>181</v>
      </c>
    </row>
    <row r="11180" spans="1:19" ht="42" x14ac:dyDescent="0.15">
      <c r="A11180" s="2">
        <f>HYPERLINK("https://open-school.uspishnemisto.com.ua/school/560467/", 560467)</f>
        <v>560467</v>
      </c>
      <c r="B11180" s="3" t="s">
        <v>56662</v>
      </c>
      <c r="C11180" s="3" t="s">
        <v>54</v>
      </c>
      <c r="D11180" s="3" t="s">
        <v>60</v>
      </c>
      <c r="E11180" s="4" t="s">
        <v>22</v>
      </c>
      <c r="F11180" s="4" t="s">
        <v>56656</v>
      </c>
      <c r="G11180" s="4" t="s">
        <v>56663</v>
      </c>
      <c r="H11180" s="3" t="s">
        <v>54289</v>
      </c>
      <c r="I11180" s="3" t="s">
        <v>1883</v>
      </c>
      <c r="J11180" s="3" t="s">
        <v>56664</v>
      </c>
      <c r="K11180" s="3" t="s">
        <v>56665</v>
      </c>
      <c r="L11180" s="3"/>
      <c r="M11180" s="4"/>
      <c r="N11180" s="3" t="s">
        <v>37</v>
      </c>
      <c r="O11180" s="3" t="s">
        <v>52</v>
      </c>
      <c r="P11180" s="5">
        <v>1</v>
      </c>
      <c r="Q11180" s="5">
        <v>6</v>
      </c>
      <c r="R11180" s="5">
        <v>5</v>
      </c>
      <c r="S11180" s="5">
        <v>38</v>
      </c>
    </row>
    <row r="11181" spans="1:19" ht="42" x14ac:dyDescent="0.15">
      <c r="A11181" s="2">
        <f>HYPERLINK("https://open-school.uspishnemisto.com.ua/school/560468/", 560468)</f>
        <v>560468</v>
      </c>
      <c r="B11181" s="3" t="s">
        <v>56666</v>
      </c>
      <c r="C11181" s="3" t="s">
        <v>54</v>
      </c>
      <c r="D11181" s="3" t="s">
        <v>175</v>
      </c>
      <c r="E11181" s="4" t="s">
        <v>22</v>
      </c>
      <c r="F11181" s="4" t="s">
        <v>56667</v>
      </c>
      <c r="G11181" s="4" t="s">
        <v>56668</v>
      </c>
      <c r="H11181" s="3" t="s">
        <v>54289</v>
      </c>
      <c r="I11181" s="3" t="s">
        <v>5627</v>
      </c>
      <c r="J11181" s="3" t="s">
        <v>28919</v>
      </c>
      <c r="K11181" s="3" t="s">
        <v>56669</v>
      </c>
      <c r="L11181" s="3"/>
      <c r="M11181" s="4"/>
      <c r="N11181" s="3" t="s">
        <v>37</v>
      </c>
      <c r="O11181" s="3" t="s">
        <v>52</v>
      </c>
      <c r="P11181" s="5">
        <v>7</v>
      </c>
      <c r="Q11181" s="5">
        <v>45</v>
      </c>
      <c r="R11181" s="5">
        <v>8</v>
      </c>
      <c r="S11181" s="5">
        <v>51</v>
      </c>
    </row>
    <row r="11182" spans="1:19" ht="28" x14ac:dyDescent="0.15">
      <c r="A11182" s="2">
        <f>HYPERLINK("https://open-school.uspishnemisto.com.ua/school/560469/", 560469)</f>
        <v>560469</v>
      </c>
      <c r="B11182" s="3" t="s">
        <v>56670</v>
      </c>
      <c r="C11182" s="3" t="s">
        <v>31</v>
      </c>
      <c r="D11182" s="3" t="s">
        <v>32</v>
      </c>
      <c r="E11182" s="4" t="s">
        <v>22</v>
      </c>
      <c r="F11182" s="4" t="s">
        <v>56671</v>
      </c>
      <c r="G11182" s="4" t="s">
        <v>56672</v>
      </c>
      <c r="H11182" s="3" t="s">
        <v>54289</v>
      </c>
      <c r="I11182" s="3" t="s">
        <v>56673</v>
      </c>
      <c r="J11182" s="3" t="s">
        <v>1636</v>
      </c>
      <c r="K11182" s="3"/>
      <c r="L11182" s="3" t="s">
        <v>56674</v>
      </c>
      <c r="M11182" s="4"/>
      <c r="N11182" s="3" t="s">
        <v>37</v>
      </c>
      <c r="O11182" s="3" t="s">
        <v>52</v>
      </c>
      <c r="P11182" s="5">
        <v>12</v>
      </c>
      <c r="Q11182" s="5">
        <v>232</v>
      </c>
      <c r="R11182" s="5">
        <v>13</v>
      </c>
      <c r="S11182" s="5">
        <v>243</v>
      </c>
    </row>
    <row r="11183" spans="1:19" ht="28" x14ac:dyDescent="0.15">
      <c r="A11183" s="2">
        <f>HYPERLINK("https://open-school.uspishnemisto.com.ua/school/560470/", 560470)</f>
        <v>560470</v>
      </c>
      <c r="B11183" s="3" t="s">
        <v>56675</v>
      </c>
      <c r="C11183" s="3" t="s">
        <v>54</v>
      </c>
      <c r="D11183" s="3" t="s">
        <v>32</v>
      </c>
      <c r="E11183" s="4" t="s">
        <v>22</v>
      </c>
      <c r="F11183" s="4" t="s">
        <v>56676</v>
      </c>
      <c r="G11183" s="4" t="s">
        <v>56677</v>
      </c>
      <c r="H11183" s="3" t="s">
        <v>54289</v>
      </c>
      <c r="I11183" s="3" t="s">
        <v>6138</v>
      </c>
      <c r="J11183" s="3" t="s">
        <v>878</v>
      </c>
      <c r="K11183" s="3" t="s">
        <v>56678</v>
      </c>
      <c r="L11183" s="3"/>
      <c r="M11183" s="4"/>
      <c r="N11183" s="3" t="s">
        <v>37</v>
      </c>
      <c r="O11183" s="3" t="s">
        <v>52</v>
      </c>
      <c r="P11183" s="5">
        <v>11</v>
      </c>
      <c r="Q11183" s="5">
        <v>129</v>
      </c>
      <c r="R11183" s="5">
        <v>11</v>
      </c>
      <c r="S11183" s="5">
        <v>126</v>
      </c>
    </row>
    <row r="11184" spans="1:19" ht="28" x14ac:dyDescent="0.15">
      <c r="A11184" s="2">
        <f>HYPERLINK("https://open-school.uspishnemisto.com.ua/school/560471/", 560471)</f>
        <v>560471</v>
      </c>
      <c r="B11184" s="3" t="s">
        <v>56679</v>
      </c>
      <c r="C11184" s="3" t="s">
        <v>31</v>
      </c>
      <c r="D11184" s="3" t="s">
        <v>175</v>
      </c>
      <c r="E11184" s="4" t="s">
        <v>22</v>
      </c>
      <c r="F11184" s="4" t="s">
        <v>56671</v>
      </c>
      <c r="G11184" s="4" t="s">
        <v>56680</v>
      </c>
      <c r="H11184" s="3" t="s">
        <v>54289</v>
      </c>
      <c r="I11184" s="3" t="s">
        <v>56681</v>
      </c>
      <c r="J11184" s="3" t="s">
        <v>28925</v>
      </c>
      <c r="K11184" s="3" t="s">
        <v>56682</v>
      </c>
      <c r="L11184" s="3"/>
      <c r="M11184" s="4"/>
      <c r="N11184" s="3" t="s">
        <v>37</v>
      </c>
      <c r="O11184" s="3" t="s">
        <v>52</v>
      </c>
      <c r="P11184" s="5">
        <v>7</v>
      </c>
      <c r="Q11184" s="5">
        <v>49</v>
      </c>
      <c r="R11184" s="5">
        <v>7</v>
      </c>
      <c r="S11184" s="5">
        <v>54</v>
      </c>
    </row>
    <row r="11185" spans="1:19" ht="28" x14ac:dyDescent="0.15">
      <c r="A11185" s="2">
        <f>HYPERLINK("https://open-school.uspishnemisto.com.ua/school/560472/", 560472)</f>
        <v>560472</v>
      </c>
      <c r="B11185" s="3" t="s">
        <v>56683</v>
      </c>
      <c r="C11185" s="3" t="s">
        <v>31</v>
      </c>
      <c r="D11185" s="3" t="s">
        <v>175</v>
      </c>
      <c r="E11185" s="4" t="s">
        <v>22</v>
      </c>
      <c r="F11185" s="4" t="s">
        <v>56676</v>
      </c>
      <c r="G11185" s="4" t="s">
        <v>56684</v>
      </c>
      <c r="H11185" s="3" t="s">
        <v>54289</v>
      </c>
      <c r="I11185" s="3" t="s">
        <v>54685</v>
      </c>
      <c r="J11185" s="3" t="s">
        <v>28925</v>
      </c>
      <c r="K11185" s="3" t="s">
        <v>56685</v>
      </c>
      <c r="L11185" s="3"/>
      <c r="M11185" s="4"/>
      <c r="N11185" s="3" t="s">
        <v>37</v>
      </c>
      <c r="O11185" s="3" t="s">
        <v>52</v>
      </c>
      <c r="P11185" s="5">
        <v>3</v>
      </c>
      <c r="Q11185" s="5">
        <v>40</v>
      </c>
      <c r="R11185" s="5">
        <v>4</v>
      </c>
      <c r="S11185" s="5">
        <v>40</v>
      </c>
    </row>
    <row r="11186" spans="1:19" ht="56" x14ac:dyDescent="0.15">
      <c r="A11186" s="2">
        <f>HYPERLINK("https://open-school.uspishnemisto.com.ua/school/560473/", 560473)</f>
        <v>560473</v>
      </c>
      <c r="B11186" s="3" t="s">
        <v>56686</v>
      </c>
      <c r="C11186" s="3" t="s">
        <v>54</v>
      </c>
      <c r="D11186" s="3" t="s">
        <v>32</v>
      </c>
      <c r="E11186" s="4" t="s">
        <v>22</v>
      </c>
      <c r="F11186" s="4" t="s">
        <v>56687</v>
      </c>
      <c r="G11186" s="4" t="s">
        <v>56688</v>
      </c>
      <c r="H11186" s="3" t="s">
        <v>54289</v>
      </c>
      <c r="I11186" s="3" t="s">
        <v>56689</v>
      </c>
      <c r="J11186" s="3" t="s">
        <v>56690</v>
      </c>
      <c r="K11186" s="3" t="s">
        <v>56691</v>
      </c>
      <c r="L11186" s="3"/>
      <c r="M11186" s="4"/>
      <c r="N11186" s="3" t="s">
        <v>37</v>
      </c>
      <c r="O11186" s="3" t="s">
        <v>52</v>
      </c>
      <c r="P11186" s="5">
        <v>9</v>
      </c>
      <c r="Q11186" s="5">
        <v>65</v>
      </c>
      <c r="R11186" s="5">
        <v>9</v>
      </c>
      <c r="S11186" s="5">
        <v>65</v>
      </c>
    </row>
    <row r="11187" spans="1:19" ht="42" x14ac:dyDescent="0.15">
      <c r="A11187" s="2">
        <f>HYPERLINK("https://open-school.uspishnemisto.com.ua/school/560474/", 560474)</f>
        <v>560474</v>
      </c>
      <c r="B11187" s="3" t="s">
        <v>56692</v>
      </c>
      <c r="C11187" s="3" t="s">
        <v>54</v>
      </c>
      <c r="D11187" s="3" t="s">
        <v>60</v>
      </c>
      <c r="E11187" s="4" t="s">
        <v>22</v>
      </c>
      <c r="F11187" s="4" t="s">
        <v>56647</v>
      </c>
      <c r="G11187" s="4" t="s">
        <v>56693</v>
      </c>
      <c r="H11187" s="3" t="s">
        <v>54289</v>
      </c>
      <c r="I11187" s="3" t="s">
        <v>56694</v>
      </c>
      <c r="J11187" s="3" t="s">
        <v>11022</v>
      </c>
      <c r="K11187" s="3" t="s">
        <v>56695</v>
      </c>
      <c r="L11187" s="3"/>
      <c r="M11187" s="4"/>
      <c r="N11187" s="3" t="s">
        <v>37</v>
      </c>
      <c r="O11187" s="3" t="s">
        <v>52</v>
      </c>
      <c r="P11187" s="5">
        <v>0</v>
      </c>
      <c r="Q11187" s="5">
        <v>6</v>
      </c>
      <c r="R11187" s="5">
        <v>3</v>
      </c>
      <c r="S11187" s="5">
        <v>28</v>
      </c>
    </row>
    <row r="11188" spans="1:19" ht="28" x14ac:dyDescent="0.15">
      <c r="A11188" s="2">
        <f>HYPERLINK("https://open-school.uspishnemisto.com.ua/school/560475/", 560475)</f>
        <v>560475</v>
      </c>
      <c r="B11188" s="3" t="s">
        <v>56696</v>
      </c>
      <c r="C11188" s="3" t="s">
        <v>31</v>
      </c>
      <c r="D11188" s="3" t="s">
        <v>60</v>
      </c>
      <c r="E11188" s="4" t="s">
        <v>22</v>
      </c>
      <c r="F11188" s="4" t="s">
        <v>56647</v>
      </c>
      <c r="G11188" s="4" t="s">
        <v>56697</v>
      </c>
      <c r="H11188" s="3" t="s">
        <v>54289</v>
      </c>
      <c r="I11188" s="3" t="s">
        <v>56698</v>
      </c>
      <c r="J11188" s="3" t="s">
        <v>56699</v>
      </c>
      <c r="K11188" s="3" t="s">
        <v>56700</v>
      </c>
      <c r="L11188" s="3"/>
      <c r="M11188" s="4"/>
      <c r="N11188" s="3" t="s">
        <v>37</v>
      </c>
      <c r="O11188" s="3" t="s">
        <v>52</v>
      </c>
      <c r="P11188" s="5">
        <v>0</v>
      </c>
      <c r="Q11188" s="5">
        <v>16</v>
      </c>
      <c r="R11188" s="5">
        <v>1</v>
      </c>
      <c r="S11188" s="5">
        <v>17</v>
      </c>
    </row>
    <row r="11189" spans="1:19" ht="56" x14ac:dyDescent="0.15">
      <c r="A11189" s="2">
        <f>HYPERLINK("https://open-school.uspishnemisto.com.ua/school/560476/", 560476)</f>
        <v>560476</v>
      </c>
      <c r="B11189" s="3" t="s">
        <v>56701</v>
      </c>
      <c r="C11189" s="3" t="s">
        <v>54</v>
      </c>
      <c r="D11189" s="3" t="s">
        <v>32</v>
      </c>
      <c r="E11189" s="4" t="s">
        <v>22</v>
      </c>
      <c r="F11189" s="4" t="s">
        <v>56702</v>
      </c>
      <c r="G11189" s="4" t="s">
        <v>56703</v>
      </c>
      <c r="H11189" s="3" t="s">
        <v>54289</v>
      </c>
      <c r="I11189" s="3" t="s">
        <v>56704</v>
      </c>
      <c r="J11189" s="3" t="s">
        <v>56705</v>
      </c>
      <c r="K11189" s="3"/>
      <c r="L11189" s="3" t="s">
        <v>56706</v>
      </c>
      <c r="M11189" s="4" t="s">
        <v>56707</v>
      </c>
      <c r="N11189" s="3" t="s">
        <v>37</v>
      </c>
      <c r="O11189" s="3" t="s">
        <v>139</v>
      </c>
      <c r="P11189" s="5">
        <v>20</v>
      </c>
      <c r="Q11189" s="5">
        <v>365</v>
      </c>
      <c r="R11189" s="5">
        <v>19</v>
      </c>
      <c r="S11189" s="5">
        <v>342</v>
      </c>
    </row>
    <row r="11190" spans="1:19" ht="56" x14ac:dyDescent="0.15">
      <c r="A11190" s="2">
        <f>HYPERLINK("https://open-school.uspishnemisto.com.ua/school/560477/", 560477)</f>
        <v>560477</v>
      </c>
      <c r="B11190" s="3" t="s">
        <v>56708</v>
      </c>
      <c r="C11190" s="3" t="s">
        <v>54</v>
      </c>
      <c r="D11190" s="3" t="s">
        <v>32</v>
      </c>
      <c r="E11190" s="4" t="s">
        <v>22</v>
      </c>
      <c r="F11190" s="4" t="s">
        <v>56709</v>
      </c>
      <c r="G11190" s="4" t="s">
        <v>56703</v>
      </c>
      <c r="H11190" s="3" t="s">
        <v>54289</v>
      </c>
      <c r="I11190" s="3" t="s">
        <v>56704</v>
      </c>
      <c r="J11190" s="3" t="s">
        <v>19218</v>
      </c>
      <c r="K11190" s="3" t="s">
        <v>56710</v>
      </c>
      <c r="L11190" s="3" t="s">
        <v>56711</v>
      </c>
      <c r="M11190" s="4" t="s">
        <v>56712</v>
      </c>
      <c r="N11190" s="3" t="s">
        <v>37</v>
      </c>
      <c r="O11190" s="3" t="s">
        <v>139</v>
      </c>
      <c r="P11190" s="5">
        <v>17</v>
      </c>
      <c r="Q11190" s="5">
        <v>329</v>
      </c>
      <c r="R11190" s="5">
        <v>17</v>
      </c>
      <c r="S11190" s="5">
        <v>321</v>
      </c>
    </row>
    <row r="11191" spans="1:19" ht="42" x14ac:dyDescent="0.15">
      <c r="A11191" s="2">
        <f>HYPERLINK("https://open-school.uspishnemisto.com.ua/school/560478/", 560478)</f>
        <v>560478</v>
      </c>
      <c r="B11191" s="3" t="s">
        <v>56713</v>
      </c>
      <c r="C11191" s="3" t="s">
        <v>54</v>
      </c>
      <c r="D11191" s="3" t="s">
        <v>60</v>
      </c>
      <c r="E11191" s="4" t="s">
        <v>22</v>
      </c>
      <c r="F11191" s="4" t="s">
        <v>56709</v>
      </c>
      <c r="G11191" s="4" t="s">
        <v>56714</v>
      </c>
      <c r="H11191" s="3" t="s">
        <v>54289</v>
      </c>
      <c r="I11191" s="3" t="s">
        <v>56715</v>
      </c>
      <c r="J11191" s="3" t="s">
        <v>56716</v>
      </c>
      <c r="K11191" s="3"/>
      <c r="L11191" s="3"/>
      <c r="M11191" s="4"/>
      <c r="N11191" s="3" t="s">
        <v>37</v>
      </c>
      <c r="O11191" s="3" t="s">
        <v>52</v>
      </c>
      <c r="P11191" s="5">
        <v>1</v>
      </c>
      <c r="Q11191" s="5">
        <v>13</v>
      </c>
      <c r="R11191" s="5">
        <v>1</v>
      </c>
      <c r="S11191" s="5">
        <v>27</v>
      </c>
    </row>
    <row r="11192" spans="1:19" ht="28" x14ac:dyDescent="0.15">
      <c r="A11192" s="2">
        <f>HYPERLINK("https://open-school.uspishnemisto.com.ua/school/560479/", 560479)</f>
        <v>560479</v>
      </c>
      <c r="B11192" s="3" t="s">
        <v>56717</v>
      </c>
      <c r="C11192" s="3" t="s">
        <v>54</v>
      </c>
      <c r="D11192" s="3" t="s">
        <v>175</v>
      </c>
      <c r="E11192" s="4" t="s">
        <v>22</v>
      </c>
      <c r="F11192" s="4" t="s">
        <v>56718</v>
      </c>
      <c r="G11192" s="4" t="s">
        <v>56719</v>
      </c>
      <c r="H11192" s="3" t="s">
        <v>54289</v>
      </c>
      <c r="I11192" s="3" t="s">
        <v>56720</v>
      </c>
      <c r="J11192" s="3" t="s">
        <v>56721</v>
      </c>
      <c r="K11192" s="3" t="s">
        <v>56722</v>
      </c>
      <c r="L11192" s="3"/>
      <c r="M11192" s="4"/>
      <c r="N11192" s="3" t="s">
        <v>37</v>
      </c>
      <c r="O11192" s="3" t="s">
        <v>266</v>
      </c>
      <c r="P11192" s="5">
        <v>7</v>
      </c>
      <c r="Q11192" s="5">
        <v>45</v>
      </c>
      <c r="R11192" s="5">
        <v>6</v>
      </c>
      <c r="S11192" s="5">
        <v>41</v>
      </c>
    </row>
    <row r="11193" spans="1:19" ht="42" x14ac:dyDescent="0.15">
      <c r="A11193" s="2">
        <f>HYPERLINK("https://open-school.uspishnemisto.com.ua/school/560480/", 560480)</f>
        <v>560480</v>
      </c>
      <c r="B11193" s="3" t="s">
        <v>56723</v>
      </c>
      <c r="C11193" s="3" t="s">
        <v>31</v>
      </c>
      <c r="D11193" s="3" t="s">
        <v>60</v>
      </c>
      <c r="E11193" s="4" t="s">
        <v>22</v>
      </c>
      <c r="F11193" s="4" t="s">
        <v>56724</v>
      </c>
      <c r="G11193" s="4" t="s">
        <v>56725</v>
      </c>
      <c r="H11193" s="3" t="s">
        <v>54289</v>
      </c>
      <c r="I11193" s="3" t="s">
        <v>56726</v>
      </c>
      <c r="J11193" s="3" t="s">
        <v>56727</v>
      </c>
      <c r="K11193" s="3"/>
      <c r="L11193" s="3"/>
      <c r="M11193" s="4"/>
      <c r="N11193" s="3" t="s">
        <v>37</v>
      </c>
      <c r="O11193" s="3" t="s">
        <v>52</v>
      </c>
      <c r="P11193" s="5">
        <v>4</v>
      </c>
      <c r="Q11193" s="5">
        <v>55</v>
      </c>
      <c r="R11193" s="5">
        <v>4</v>
      </c>
      <c r="S11193" s="5">
        <v>53</v>
      </c>
    </row>
    <row r="11194" spans="1:19" ht="28" x14ac:dyDescent="0.15">
      <c r="A11194" s="2">
        <f>HYPERLINK("https://open-school.uspishnemisto.com.ua/school/560481/", 560481)</f>
        <v>560481</v>
      </c>
      <c r="B11194" s="3" t="s">
        <v>56728</v>
      </c>
      <c r="C11194" s="3" t="s">
        <v>31</v>
      </c>
      <c r="D11194" s="3" t="s">
        <v>32</v>
      </c>
      <c r="E11194" s="4" t="s">
        <v>22</v>
      </c>
      <c r="F11194" s="4" t="s">
        <v>56729</v>
      </c>
      <c r="G11194" s="4" t="s">
        <v>56730</v>
      </c>
      <c r="H11194" s="3" t="s">
        <v>54289</v>
      </c>
      <c r="I11194" s="3" t="s">
        <v>22540</v>
      </c>
      <c r="J11194" s="3" t="s">
        <v>56731</v>
      </c>
      <c r="K11194" s="3" t="s">
        <v>56732</v>
      </c>
      <c r="L11194" s="3"/>
      <c r="M11194" s="4"/>
      <c r="N11194" s="3" t="s">
        <v>37</v>
      </c>
      <c r="O11194" s="3" t="s">
        <v>139</v>
      </c>
      <c r="P11194" s="5">
        <v>11</v>
      </c>
      <c r="Q11194" s="5">
        <v>181</v>
      </c>
      <c r="R11194" s="5">
        <v>11</v>
      </c>
      <c r="S11194" s="5">
        <v>189</v>
      </c>
    </row>
    <row r="11195" spans="1:19" ht="42" x14ac:dyDescent="0.15">
      <c r="A11195" s="2">
        <f>HYPERLINK("https://open-school.uspishnemisto.com.ua/school/560482/", 560482)</f>
        <v>560482</v>
      </c>
      <c r="B11195" s="3" t="s">
        <v>56733</v>
      </c>
      <c r="C11195" s="3" t="s">
        <v>54</v>
      </c>
      <c r="D11195" s="3" t="s">
        <v>175</v>
      </c>
      <c r="E11195" s="4" t="s">
        <v>22</v>
      </c>
      <c r="F11195" s="4" t="s">
        <v>56667</v>
      </c>
      <c r="G11195" s="4" t="s">
        <v>56734</v>
      </c>
      <c r="H11195" s="3" t="s">
        <v>54289</v>
      </c>
      <c r="I11195" s="3" t="s">
        <v>56735</v>
      </c>
      <c r="J11195" s="3" t="s">
        <v>466</v>
      </c>
      <c r="K11195" s="3" t="s">
        <v>56736</v>
      </c>
      <c r="L11195" s="3"/>
      <c r="M11195" s="4"/>
      <c r="N11195" s="3" t="s">
        <v>37</v>
      </c>
      <c r="O11195" s="3" t="s">
        <v>52</v>
      </c>
      <c r="P11195" s="5">
        <v>7</v>
      </c>
      <c r="Q11195" s="5">
        <v>54</v>
      </c>
      <c r="R11195" s="5">
        <v>8</v>
      </c>
      <c r="S11195" s="5">
        <v>55</v>
      </c>
    </row>
    <row r="11196" spans="1:19" ht="28" x14ac:dyDescent="0.15">
      <c r="A11196" s="2">
        <f>HYPERLINK("https://open-school.uspishnemisto.com.ua/school/560483/", 560483)</f>
        <v>560483</v>
      </c>
      <c r="B11196" s="3" t="s">
        <v>56737</v>
      </c>
      <c r="C11196" s="3" t="s">
        <v>31</v>
      </c>
      <c r="D11196" s="3" t="s">
        <v>32</v>
      </c>
      <c r="E11196" s="4" t="s">
        <v>22</v>
      </c>
      <c r="F11196" s="4" t="s">
        <v>56738</v>
      </c>
      <c r="G11196" s="4" t="s">
        <v>56739</v>
      </c>
      <c r="H11196" s="3" t="s">
        <v>54289</v>
      </c>
      <c r="I11196" s="3" t="s">
        <v>56740</v>
      </c>
      <c r="J11196" s="3" t="s">
        <v>12217</v>
      </c>
      <c r="K11196" s="3" t="s">
        <v>56741</v>
      </c>
      <c r="L11196" s="3"/>
      <c r="M11196" s="4"/>
      <c r="N11196" s="3" t="s">
        <v>37</v>
      </c>
      <c r="O11196" s="3" t="s">
        <v>52</v>
      </c>
      <c r="P11196" s="5">
        <v>10</v>
      </c>
      <c r="Q11196" s="5">
        <v>137</v>
      </c>
      <c r="R11196" s="5">
        <v>11</v>
      </c>
      <c r="S11196" s="5">
        <v>139</v>
      </c>
    </row>
    <row r="11197" spans="1:19" ht="42" x14ac:dyDescent="0.15">
      <c r="A11197" s="2">
        <f>HYPERLINK("https://open-school.uspishnemisto.com.ua/school/560484/", 560484)</f>
        <v>560484</v>
      </c>
      <c r="B11197" s="3" t="s">
        <v>56742</v>
      </c>
      <c r="C11197" s="3" t="s">
        <v>54</v>
      </c>
      <c r="D11197" s="3" t="s">
        <v>32</v>
      </c>
      <c r="E11197" s="4" t="s">
        <v>22</v>
      </c>
      <c r="F11197" s="4" t="s">
        <v>56743</v>
      </c>
      <c r="G11197" s="4" t="s">
        <v>56744</v>
      </c>
      <c r="H11197" s="3" t="s">
        <v>54289</v>
      </c>
      <c r="I11197" s="3" t="s">
        <v>56745</v>
      </c>
      <c r="J11197" s="3" t="s">
        <v>56746</v>
      </c>
      <c r="K11197" s="3" t="s">
        <v>56747</v>
      </c>
      <c r="L11197" s="3"/>
      <c r="M11197" s="4"/>
      <c r="N11197" s="3" t="s">
        <v>37</v>
      </c>
      <c r="O11197" s="3" t="s">
        <v>52</v>
      </c>
      <c r="P11197" s="5">
        <v>10</v>
      </c>
      <c r="Q11197" s="5">
        <v>95</v>
      </c>
      <c r="R11197" s="5">
        <v>11</v>
      </c>
      <c r="S11197" s="5">
        <v>96</v>
      </c>
    </row>
    <row r="11198" spans="1:19" ht="28" x14ac:dyDescent="0.15">
      <c r="A11198" s="2">
        <f>HYPERLINK("https://open-school.uspishnemisto.com.ua/school/560485/", 560485)</f>
        <v>560485</v>
      </c>
      <c r="B11198" s="3" t="s">
        <v>56748</v>
      </c>
      <c r="C11198" s="3" t="s">
        <v>54</v>
      </c>
      <c r="D11198" s="3" t="s">
        <v>175</v>
      </c>
      <c r="E11198" s="4" t="s">
        <v>22</v>
      </c>
      <c r="F11198" s="4" t="s">
        <v>56749</v>
      </c>
      <c r="G11198" s="4" t="s">
        <v>56750</v>
      </c>
      <c r="H11198" s="3" t="s">
        <v>54289</v>
      </c>
      <c r="I11198" s="3" t="s">
        <v>56751</v>
      </c>
      <c r="J11198" s="3" t="s">
        <v>56752</v>
      </c>
      <c r="K11198" s="3" t="s">
        <v>56753</v>
      </c>
      <c r="L11198" s="3"/>
      <c r="M11198" s="4"/>
      <c r="N11198" s="3" t="s">
        <v>37</v>
      </c>
      <c r="O11198" s="3" t="s">
        <v>52</v>
      </c>
      <c r="P11198" s="5">
        <v>5</v>
      </c>
      <c r="Q11198" s="5">
        <v>45</v>
      </c>
      <c r="R11198" s="5">
        <v>5</v>
      </c>
      <c r="S11198" s="5">
        <v>47</v>
      </c>
    </row>
    <row r="11199" spans="1:19" ht="28" x14ac:dyDescent="0.15">
      <c r="A11199" s="2">
        <f>HYPERLINK("https://open-school.uspishnemisto.com.ua/school/560486/", 560486)</f>
        <v>560486</v>
      </c>
      <c r="B11199" s="3" t="s">
        <v>56754</v>
      </c>
      <c r="C11199" s="3" t="s">
        <v>31</v>
      </c>
      <c r="D11199" s="3" t="s">
        <v>175</v>
      </c>
      <c r="E11199" s="4" t="s">
        <v>22</v>
      </c>
      <c r="F11199" s="4" t="s">
        <v>56755</v>
      </c>
      <c r="G11199" s="4" t="s">
        <v>56756</v>
      </c>
      <c r="H11199" s="3" t="s">
        <v>54289</v>
      </c>
      <c r="I11199" s="3" t="s">
        <v>10789</v>
      </c>
      <c r="J11199" s="3" t="s">
        <v>56757</v>
      </c>
      <c r="K11199" s="3" t="s">
        <v>56758</v>
      </c>
      <c r="L11199" s="3"/>
      <c r="M11199" s="4"/>
      <c r="N11199" s="3" t="s">
        <v>37</v>
      </c>
      <c r="O11199" s="3" t="s">
        <v>139</v>
      </c>
      <c r="P11199" s="5">
        <v>9</v>
      </c>
      <c r="Q11199" s="5">
        <v>88</v>
      </c>
      <c r="R11199" s="5">
        <v>9</v>
      </c>
      <c r="S11199" s="5">
        <v>88</v>
      </c>
    </row>
    <row r="11200" spans="1:19" ht="28" x14ac:dyDescent="0.15">
      <c r="A11200" s="2">
        <f>HYPERLINK("https://open-school.uspishnemisto.com.ua/school/560487/", 560487)</f>
        <v>560487</v>
      </c>
      <c r="B11200" s="3" t="s">
        <v>56759</v>
      </c>
      <c r="C11200" s="3" t="s">
        <v>31</v>
      </c>
      <c r="D11200" s="3" t="s">
        <v>32</v>
      </c>
      <c r="E11200" s="4" t="s">
        <v>22</v>
      </c>
      <c r="F11200" s="4" t="s">
        <v>56760</v>
      </c>
      <c r="G11200" s="4" t="s">
        <v>56761</v>
      </c>
      <c r="H11200" s="3" t="s">
        <v>54289</v>
      </c>
      <c r="I11200" s="3" t="s">
        <v>6744</v>
      </c>
      <c r="J11200" s="3" t="s">
        <v>466</v>
      </c>
      <c r="K11200" s="3" t="s">
        <v>56762</v>
      </c>
      <c r="L11200" s="3"/>
      <c r="M11200" s="4" t="s">
        <v>56763</v>
      </c>
      <c r="N11200" s="3" t="s">
        <v>37</v>
      </c>
      <c r="O11200" s="3" t="s">
        <v>266</v>
      </c>
      <c r="P11200" s="5">
        <v>11</v>
      </c>
      <c r="Q11200" s="5">
        <v>205</v>
      </c>
      <c r="R11200" s="5">
        <v>11</v>
      </c>
      <c r="S11200" s="5">
        <v>196</v>
      </c>
    </row>
    <row r="11201" spans="1:19" ht="28" x14ac:dyDescent="0.15">
      <c r="A11201" s="2">
        <f>HYPERLINK("https://open-school.uspishnemisto.com.ua/school/560488/", 560488)</f>
        <v>560488</v>
      </c>
      <c r="B11201" s="3" t="s">
        <v>56764</v>
      </c>
      <c r="C11201" s="3" t="s">
        <v>54</v>
      </c>
      <c r="D11201" s="3" t="s">
        <v>32</v>
      </c>
      <c r="E11201" s="4" t="s">
        <v>22</v>
      </c>
      <c r="F11201" s="4" t="s">
        <v>56765</v>
      </c>
      <c r="G11201" s="4" t="s">
        <v>56766</v>
      </c>
      <c r="H11201" s="3" t="s">
        <v>54289</v>
      </c>
      <c r="I11201" s="3" t="s">
        <v>56767</v>
      </c>
      <c r="J11201" s="3" t="s">
        <v>36203</v>
      </c>
      <c r="K11201" s="3" t="s">
        <v>56768</v>
      </c>
      <c r="L11201" s="3"/>
      <c r="M11201" s="4"/>
      <c r="N11201" s="3" t="s">
        <v>37</v>
      </c>
      <c r="O11201" s="3" t="s">
        <v>46</v>
      </c>
      <c r="P11201" s="5">
        <v>42</v>
      </c>
      <c r="Q11201" s="5">
        <v>1044</v>
      </c>
      <c r="R11201" s="5">
        <v>40</v>
      </c>
      <c r="S11201" s="5">
        <v>990</v>
      </c>
    </row>
    <row r="11202" spans="1:19" ht="28" x14ac:dyDescent="0.15">
      <c r="A11202" s="2">
        <f>HYPERLINK("https://open-school.uspishnemisto.com.ua/school/560489/", 560489)</f>
        <v>560489</v>
      </c>
      <c r="B11202" s="3" t="s">
        <v>56769</v>
      </c>
      <c r="C11202" s="3" t="s">
        <v>31</v>
      </c>
      <c r="D11202" s="3" t="s">
        <v>32</v>
      </c>
      <c r="E11202" s="4" t="s">
        <v>22</v>
      </c>
      <c r="F11202" s="4" t="s">
        <v>56770</v>
      </c>
      <c r="G11202" s="4" t="s">
        <v>56771</v>
      </c>
      <c r="H11202" s="3" t="s">
        <v>54289</v>
      </c>
      <c r="I11202" s="3" t="s">
        <v>56772</v>
      </c>
      <c r="J11202" s="3" t="s">
        <v>20864</v>
      </c>
      <c r="K11202" s="3" t="s">
        <v>56773</v>
      </c>
      <c r="L11202" s="3"/>
      <c r="M11202" s="4"/>
      <c r="N11202" s="3" t="s">
        <v>37</v>
      </c>
      <c r="O11202" s="3" t="s">
        <v>139</v>
      </c>
      <c r="P11202" s="5">
        <v>17</v>
      </c>
      <c r="Q11202" s="5">
        <v>329</v>
      </c>
      <c r="R11202" s="5">
        <v>16</v>
      </c>
      <c r="S11202" s="5">
        <v>307</v>
      </c>
    </row>
    <row r="11203" spans="1:19" ht="28" x14ac:dyDescent="0.15">
      <c r="A11203" s="2">
        <f>HYPERLINK("https://open-school.uspishnemisto.com.ua/school/560490/", 560490)</f>
        <v>560490</v>
      </c>
      <c r="B11203" s="3" t="s">
        <v>56774</v>
      </c>
      <c r="C11203" s="3" t="s">
        <v>54</v>
      </c>
      <c r="D11203" s="3" t="s">
        <v>32</v>
      </c>
      <c r="E11203" s="4" t="s">
        <v>22</v>
      </c>
      <c r="F11203" s="4" t="s">
        <v>56775</v>
      </c>
      <c r="G11203" s="4" t="s">
        <v>56771</v>
      </c>
      <c r="H11203" s="3" t="s">
        <v>54289</v>
      </c>
      <c r="I11203" s="3" t="s">
        <v>56772</v>
      </c>
      <c r="J11203" s="3" t="s">
        <v>56776</v>
      </c>
      <c r="K11203" s="3" t="s">
        <v>56777</v>
      </c>
      <c r="L11203" s="3"/>
      <c r="M11203" s="4"/>
      <c r="N11203" s="3" t="s">
        <v>37</v>
      </c>
      <c r="O11203" s="3" t="s">
        <v>46</v>
      </c>
      <c r="P11203" s="5">
        <v>27</v>
      </c>
      <c r="Q11203" s="5">
        <v>545</v>
      </c>
      <c r="R11203" s="5">
        <v>26</v>
      </c>
      <c r="S11203" s="5">
        <v>530</v>
      </c>
    </row>
    <row r="11204" spans="1:19" ht="42" x14ac:dyDescent="0.15">
      <c r="A11204" s="2">
        <f>HYPERLINK("https://open-school.uspishnemisto.com.ua/school/560491/", 560491)</f>
        <v>560491</v>
      </c>
      <c r="B11204" s="3" t="s">
        <v>56778</v>
      </c>
      <c r="C11204" s="3" t="s">
        <v>181</v>
      </c>
      <c r="D11204" s="3" t="s">
        <v>32</v>
      </c>
      <c r="E11204" s="4" t="s">
        <v>22</v>
      </c>
      <c r="F11204" s="4" t="s">
        <v>56775</v>
      </c>
      <c r="G11204" s="4" t="s">
        <v>56771</v>
      </c>
      <c r="H11204" s="3" t="s">
        <v>54289</v>
      </c>
      <c r="I11204" s="3" t="s">
        <v>56772</v>
      </c>
      <c r="J11204" s="3" t="s">
        <v>3370</v>
      </c>
      <c r="K11204" s="3"/>
      <c r="L11204" s="3" t="s">
        <v>56779</v>
      </c>
      <c r="M11204" s="4" t="s">
        <v>56780</v>
      </c>
      <c r="N11204" s="3" t="s">
        <v>37</v>
      </c>
      <c r="O11204" s="3" t="s">
        <v>52</v>
      </c>
      <c r="P11204" s="5">
        <v>19</v>
      </c>
      <c r="Q11204" s="5">
        <v>194</v>
      </c>
      <c r="R11204" s="5">
        <v>19</v>
      </c>
      <c r="S11204" s="5">
        <v>189</v>
      </c>
    </row>
    <row r="11205" spans="1:19" ht="42" x14ac:dyDescent="0.15">
      <c r="A11205" s="2">
        <f>HYPERLINK("https://open-school.uspishnemisto.com.ua/school/560492/", 560492)</f>
        <v>560492</v>
      </c>
      <c r="B11205" s="3" t="s">
        <v>56781</v>
      </c>
      <c r="C11205" s="3" t="s">
        <v>181</v>
      </c>
      <c r="D11205" s="3" t="s">
        <v>175</v>
      </c>
      <c r="E11205" s="4" t="s">
        <v>22</v>
      </c>
      <c r="F11205" s="4" t="s">
        <v>56775</v>
      </c>
      <c r="G11205" s="4" t="s">
        <v>56771</v>
      </c>
      <c r="H11205" s="3" t="s">
        <v>54289</v>
      </c>
      <c r="I11205" s="3" t="s">
        <v>56772</v>
      </c>
      <c r="J11205" s="3" t="s">
        <v>56782</v>
      </c>
      <c r="K11205" s="3" t="s">
        <v>56783</v>
      </c>
      <c r="L11205" s="3" t="s">
        <v>56784</v>
      </c>
      <c r="M11205" s="4" t="s">
        <v>56785</v>
      </c>
      <c r="N11205" s="3" t="s">
        <v>37</v>
      </c>
      <c r="O11205" s="3"/>
      <c r="P11205" s="5">
        <v>12</v>
      </c>
      <c r="Q11205" s="5">
        <v>89</v>
      </c>
      <c r="R11205" s="5">
        <v>11</v>
      </c>
      <c r="S11205" s="5">
        <v>94</v>
      </c>
    </row>
    <row r="11206" spans="1:19" ht="42" x14ac:dyDescent="0.15">
      <c r="A11206" s="2">
        <f>HYPERLINK("https://open-school.uspishnemisto.com.ua/school/560493/", 560493)</f>
        <v>560493</v>
      </c>
      <c r="B11206" s="3" t="s">
        <v>56786</v>
      </c>
      <c r="C11206" s="3" t="s">
        <v>2634</v>
      </c>
      <c r="D11206" s="3" t="s">
        <v>32</v>
      </c>
      <c r="E11206" s="4" t="s">
        <v>22</v>
      </c>
      <c r="F11206" s="4" t="s">
        <v>56770</v>
      </c>
      <c r="G11206" s="4" t="s">
        <v>56771</v>
      </c>
      <c r="H11206" s="3" t="s">
        <v>54289</v>
      </c>
      <c r="I11206" s="3" t="s">
        <v>56772</v>
      </c>
      <c r="J11206" s="3" t="s">
        <v>56787</v>
      </c>
      <c r="K11206" s="3"/>
      <c r="L11206" s="3" t="s">
        <v>56788</v>
      </c>
      <c r="M11206" s="4" t="s">
        <v>56789</v>
      </c>
      <c r="N11206" s="3" t="s">
        <v>37</v>
      </c>
      <c r="O11206" s="3" t="s">
        <v>266</v>
      </c>
      <c r="P11206" s="5">
        <v>12</v>
      </c>
      <c r="Q11206" s="5">
        <v>270</v>
      </c>
      <c r="R11206" s="5">
        <v>11</v>
      </c>
      <c r="S11206" s="5">
        <v>242</v>
      </c>
    </row>
    <row r="11207" spans="1:19" ht="28" x14ac:dyDescent="0.15">
      <c r="A11207" s="2">
        <f>HYPERLINK("https://open-school.uspishnemisto.com.ua/school/560494/", 560494)</f>
        <v>560494</v>
      </c>
      <c r="B11207" s="3" t="s">
        <v>56790</v>
      </c>
      <c r="C11207" s="3" t="s">
        <v>54</v>
      </c>
      <c r="D11207" s="3" t="s">
        <v>32</v>
      </c>
      <c r="E11207" s="4" t="s">
        <v>22</v>
      </c>
      <c r="F11207" s="4" t="s">
        <v>56791</v>
      </c>
      <c r="G11207" s="4" t="s">
        <v>56792</v>
      </c>
      <c r="H11207" s="3" t="s">
        <v>54289</v>
      </c>
      <c r="I11207" s="3" t="s">
        <v>56793</v>
      </c>
      <c r="J11207" s="3" t="s">
        <v>11336</v>
      </c>
      <c r="K11207" s="3" t="s">
        <v>56794</v>
      </c>
      <c r="L11207" s="3" t="s">
        <v>56795</v>
      </c>
      <c r="M11207" s="4"/>
      <c r="N11207" s="3" t="s">
        <v>37</v>
      </c>
      <c r="O11207" s="3" t="s">
        <v>237</v>
      </c>
      <c r="P11207" s="5">
        <v>22</v>
      </c>
      <c r="Q11207" s="5">
        <v>529</v>
      </c>
      <c r="R11207" s="5">
        <v>22</v>
      </c>
      <c r="S11207" s="5">
        <v>518</v>
      </c>
    </row>
    <row r="11208" spans="1:19" ht="28" x14ac:dyDescent="0.15">
      <c r="A11208" s="2">
        <f>HYPERLINK("https://open-school.uspishnemisto.com.ua/school/560495/", 560495)</f>
        <v>560495</v>
      </c>
      <c r="B11208" s="3" t="s">
        <v>56796</v>
      </c>
      <c r="C11208" s="3" t="s">
        <v>293</v>
      </c>
      <c r="D11208" s="3" t="s">
        <v>32</v>
      </c>
      <c r="E11208" s="4" t="s">
        <v>22</v>
      </c>
      <c r="F11208" s="4" t="s">
        <v>56797</v>
      </c>
      <c r="G11208" s="4" t="s">
        <v>56798</v>
      </c>
      <c r="H11208" s="3" t="s">
        <v>54289</v>
      </c>
      <c r="I11208" s="3" t="s">
        <v>34562</v>
      </c>
      <c r="J11208" s="3" t="s">
        <v>56799</v>
      </c>
      <c r="K11208" s="3" t="s">
        <v>56800</v>
      </c>
      <c r="L11208" s="3" t="s">
        <v>56801</v>
      </c>
      <c r="M11208" s="4" t="s">
        <v>56802</v>
      </c>
      <c r="N11208" s="3" t="s">
        <v>37</v>
      </c>
      <c r="O11208" s="3" t="s">
        <v>52</v>
      </c>
      <c r="P11208" s="5">
        <v>11</v>
      </c>
      <c r="Q11208" s="5">
        <v>72</v>
      </c>
      <c r="R11208" s="5">
        <v>11</v>
      </c>
      <c r="S11208" s="5">
        <v>41</v>
      </c>
    </row>
    <row r="11209" spans="1:19" ht="28" x14ac:dyDescent="0.15">
      <c r="A11209" s="2">
        <f>HYPERLINK("https://open-school.uspishnemisto.com.ua/school/560496/", 560496)</f>
        <v>560496</v>
      </c>
      <c r="B11209" s="3" t="s">
        <v>56803</v>
      </c>
      <c r="C11209" s="3" t="s">
        <v>31</v>
      </c>
      <c r="D11209" s="3" t="s">
        <v>32</v>
      </c>
      <c r="E11209" s="4" t="s">
        <v>22</v>
      </c>
      <c r="F11209" s="4" t="s">
        <v>56797</v>
      </c>
      <c r="G11209" s="4" t="s">
        <v>56798</v>
      </c>
      <c r="H11209" s="3" t="s">
        <v>54289</v>
      </c>
      <c r="I11209" s="3" t="s">
        <v>34562</v>
      </c>
      <c r="J11209" s="3" t="s">
        <v>56804</v>
      </c>
      <c r="K11209" s="3" t="s">
        <v>56805</v>
      </c>
      <c r="L11209" s="3" t="s">
        <v>56806</v>
      </c>
      <c r="M11209" s="4"/>
      <c r="N11209" s="3" t="s">
        <v>37</v>
      </c>
      <c r="O11209" s="3" t="s">
        <v>52</v>
      </c>
      <c r="P11209" s="5">
        <v>20</v>
      </c>
      <c r="Q11209" s="5">
        <v>439</v>
      </c>
      <c r="R11209" s="5">
        <v>20</v>
      </c>
      <c r="S11209" s="5">
        <v>454</v>
      </c>
    </row>
    <row r="11210" spans="1:19" ht="28" x14ac:dyDescent="0.15">
      <c r="A11210" s="2">
        <f>HYPERLINK("https://open-school.uspishnemisto.com.ua/school/560497/", 560497)</f>
        <v>560497</v>
      </c>
      <c r="B11210" s="3" t="s">
        <v>56807</v>
      </c>
      <c r="C11210" s="3" t="s">
        <v>54</v>
      </c>
      <c r="D11210" s="3" t="s">
        <v>32</v>
      </c>
      <c r="E11210" s="4" t="s">
        <v>22</v>
      </c>
      <c r="F11210" s="4" t="s">
        <v>56808</v>
      </c>
      <c r="G11210" s="4" t="s">
        <v>56809</v>
      </c>
      <c r="H11210" s="3" t="s">
        <v>54289</v>
      </c>
      <c r="I11210" s="3" t="s">
        <v>56810</v>
      </c>
      <c r="J11210" s="3" t="s">
        <v>56811</v>
      </c>
      <c r="K11210" s="3" t="s">
        <v>56812</v>
      </c>
      <c r="L11210" s="3"/>
      <c r="M11210" s="4"/>
      <c r="N11210" s="3" t="s">
        <v>37</v>
      </c>
      <c r="O11210" s="3" t="s">
        <v>52</v>
      </c>
      <c r="P11210" s="5">
        <v>10</v>
      </c>
      <c r="Q11210" s="5">
        <v>188</v>
      </c>
      <c r="R11210" s="5">
        <v>11</v>
      </c>
      <c r="S11210" s="5">
        <v>192</v>
      </c>
    </row>
    <row r="11211" spans="1:19" ht="28" x14ac:dyDescent="0.15">
      <c r="A11211" s="2">
        <f>HYPERLINK("https://open-school.uspishnemisto.com.ua/school/560498/", 560498)</f>
        <v>560498</v>
      </c>
      <c r="B11211" s="3" t="s">
        <v>56813</v>
      </c>
      <c r="C11211" s="3" t="s">
        <v>31</v>
      </c>
      <c r="D11211" s="3" t="s">
        <v>32</v>
      </c>
      <c r="E11211" s="4" t="s">
        <v>22</v>
      </c>
      <c r="F11211" s="4" t="s">
        <v>56814</v>
      </c>
      <c r="G11211" s="4" t="s">
        <v>56815</v>
      </c>
      <c r="H11211" s="3" t="s">
        <v>54289</v>
      </c>
      <c r="I11211" s="3" t="s">
        <v>19447</v>
      </c>
      <c r="J11211" s="3" t="s">
        <v>56816</v>
      </c>
      <c r="K11211" s="3" t="s">
        <v>56817</v>
      </c>
      <c r="L11211" s="3"/>
      <c r="M11211" s="4"/>
      <c r="N11211" s="3" t="s">
        <v>37</v>
      </c>
      <c r="O11211" s="3" t="s">
        <v>52</v>
      </c>
      <c r="P11211" s="5">
        <v>21</v>
      </c>
      <c r="Q11211" s="5">
        <v>429</v>
      </c>
      <c r="R11211" s="5">
        <v>21</v>
      </c>
      <c r="S11211" s="5">
        <v>419</v>
      </c>
    </row>
    <row r="11212" spans="1:19" ht="28" x14ac:dyDescent="0.15">
      <c r="A11212" s="2">
        <f>HYPERLINK("https://open-school.uspishnemisto.com.ua/school/560499/", 560499)</f>
        <v>560499</v>
      </c>
      <c r="B11212" s="3" t="s">
        <v>56818</v>
      </c>
      <c r="C11212" s="3" t="s">
        <v>31</v>
      </c>
      <c r="D11212" s="3" t="s">
        <v>175</v>
      </c>
      <c r="E11212" s="4" t="s">
        <v>22</v>
      </c>
      <c r="F11212" s="4" t="s">
        <v>56814</v>
      </c>
      <c r="G11212" s="4" t="s">
        <v>56819</v>
      </c>
      <c r="H11212" s="3" t="s">
        <v>54289</v>
      </c>
      <c r="I11212" s="3" t="s">
        <v>56820</v>
      </c>
      <c r="J11212" s="3" t="s">
        <v>38019</v>
      </c>
      <c r="K11212" s="3" t="s">
        <v>56821</v>
      </c>
      <c r="L11212" s="3"/>
      <c r="M11212" s="4"/>
      <c r="N11212" s="3" t="s">
        <v>37</v>
      </c>
      <c r="O11212" s="3" t="s">
        <v>52</v>
      </c>
      <c r="P11212" s="5">
        <v>6</v>
      </c>
      <c r="Q11212" s="5">
        <v>46</v>
      </c>
      <c r="R11212" s="5">
        <v>4</v>
      </c>
      <c r="S11212" s="5">
        <v>40</v>
      </c>
    </row>
    <row r="11213" spans="1:19" ht="28" x14ac:dyDescent="0.15">
      <c r="A11213" s="2">
        <f>HYPERLINK("https://open-school.uspishnemisto.com.ua/school/560500/", 560500)</f>
        <v>560500</v>
      </c>
      <c r="B11213" s="3" t="s">
        <v>56822</v>
      </c>
      <c r="C11213" s="3" t="s">
        <v>31</v>
      </c>
      <c r="D11213" s="3" t="s">
        <v>175</v>
      </c>
      <c r="E11213" s="4" t="s">
        <v>22</v>
      </c>
      <c r="F11213" s="4" t="s">
        <v>56823</v>
      </c>
      <c r="G11213" s="4" t="s">
        <v>56824</v>
      </c>
      <c r="H11213" s="3" t="s">
        <v>54289</v>
      </c>
      <c r="I11213" s="3" t="s">
        <v>56825</v>
      </c>
      <c r="J11213" s="3" t="s">
        <v>878</v>
      </c>
      <c r="K11213" s="3" t="s">
        <v>56826</v>
      </c>
      <c r="L11213" s="3" t="s">
        <v>56827</v>
      </c>
      <c r="M11213" s="4"/>
      <c r="N11213" s="3" t="s">
        <v>37</v>
      </c>
      <c r="O11213" s="3" t="s">
        <v>52</v>
      </c>
      <c r="P11213" s="5">
        <v>9</v>
      </c>
      <c r="Q11213" s="5">
        <v>128</v>
      </c>
      <c r="R11213" s="5">
        <v>9</v>
      </c>
      <c r="S11213" s="5">
        <v>130</v>
      </c>
    </row>
    <row r="11214" spans="1:19" ht="28" x14ac:dyDescent="0.15">
      <c r="A11214" s="2">
        <f>HYPERLINK("https://open-school.uspishnemisto.com.ua/school/560501/", 560501)</f>
        <v>560501</v>
      </c>
      <c r="B11214" s="3" t="s">
        <v>56828</v>
      </c>
      <c r="C11214" s="3" t="s">
        <v>31</v>
      </c>
      <c r="D11214" s="3" t="s">
        <v>60</v>
      </c>
      <c r="E11214" s="4" t="s">
        <v>22</v>
      </c>
      <c r="F11214" s="4" t="s">
        <v>56823</v>
      </c>
      <c r="G11214" s="4" t="s">
        <v>56829</v>
      </c>
      <c r="H11214" s="3" t="s">
        <v>54289</v>
      </c>
      <c r="I11214" s="3" t="s">
        <v>16907</v>
      </c>
      <c r="J11214" s="3" t="s">
        <v>56830</v>
      </c>
      <c r="K11214" s="3" t="s">
        <v>56831</v>
      </c>
      <c r="L11214" s="3"/>
      <c r="M11214" s="4"/>
      <c r="N11214" s="3" t="s">
        <v>37</v>
      </c>
      <c r="O11214" s="3" t="s">
        <v>52</v>
      </c>
      <c r="P11214" s="5">
        <v>2</v>
      </c>
      <c r="Q11214" s="5">
        <v>12</v>
      </c>
      <c r="R11214" s="5">
        <v>1</v>
      </c>
      <c r="S11214" s="5">
        <v>10</v>
      </c>
    </row>
    <row r="11215" spans="1:19" ht="28" x14ac:dyDescent="0.15">
      <c r="A11215" s="2">
        <f>HYPERLINK("https://open-school.uspishnemisto.com.ua/school/560502/", 560502)</f>
        <v>560502</v>
      </c>
      <c r="B11215" s="3" t="s">
        <v>56832</v>
      </c>
      <c r="C11215" s="3" t="s">
        <v>31</v>
      </c>
      <c r="D11215" s="3" t="s">
        <v>32</v>
      </c>
      <c r="E11215" s="4" t="s">
        <v>22</v>
      </c>
      <c r="F11215" s="4" t="s">
        <v>56833</v>
      </c>
      <c r="G11215" s="4" t="s">
        <v>56834</v>
      </c>
      <c r="H11215" s="3" t="s">
        <v>54289</v>
      </c>
      <c r="I11215" s="3" t="s">
        <v>56835</v>
      </c>
      <c r="J11215" s="3" t="s">
        <v>56836</v>
      </c>
      <c r="K11215" s="3" t="s">
        <v>56837</v>
      </c>
      <c r="L11215" s="3"/>
      <c r="M11215" s="4"/>
      <c r="N11215" s="3" t="s">
        <v>37</v>
      </c>
      <c r="O11215" s="3" t="s">
        <v>52</v>
      </c>
      <c r="P11215" s="5">
        <v>11</v>
      </c>
      <c r="Q11215" s="5">
        <v>207</v>
      </c>
      <c r="R11215" s="5">
        <v>11</v>
      </c>
      <c r="S11215" s="5">
        <v>191</v>
      </c>
    </row>
    <row r="11216" spans="1:19" ht="28" x14ac:dyDescent="0.15">
      <c r="A11216" s="2">
        <f>HYPERLINK("https://open-school.uspishnemisto.com.ua/school/560503/", 560503)</f>
        <v>560503</v>
      </c>
      <c r="B11216" s="3" t="s">
        <v>56838</v>
      </c>
      <c r="C11216" s="3" t="s">
        <v>31</v>
      </c>
      <c r="D11216" s="3" t="s">
        <v>60</v>
      </c>
      <c r="E11216" s="4" t="s">
        <v>22</v>
      </c>
      <c r="F11216" s="4" t="s">
        <v>56839</v>
      </c>
      <c r="G11216" s="4" t="s">
        <v>56840</v>
      </c>
      <c r="H11216" s="3" t="s">
        <v>54289</v>
      </c>
      <c r="I11216" s="3" t="s">
        <v>56841</v>
      </c>
      <c r="J11216" s="3" t="s">
        <v>56842</v>
      </c>
      <c r="K11216" s="3" t="s">
        <v>56843</v>
      </c>
      <c r="L11216" s="3"/>
      <c r="M11216" s="4"/>
      <c r="N11216" s="3" t="s">
        <v>37</v>
      </c>
      <c r="O11216" s="3" t="s">
        <v>52</v>
      </c>
      <c r="P11216" s="5">
        <v>4</v>
      </c>
      <c r="Q11216" s="5">
        <v>29</v>
      </c>
      <c r="R11216" s="5">
        <v>3</v>
      </c>
      <c r="S11216" s="5">
        <v>27</v>
      </c>
    </row>
    <row r="11217" spans="1:19" ht="28" x14ac:dyDescent="0.15">
      <c r="A11217" s="2">
        <f>HYPERLINK("https://open-school.uspishnemisto.com.ua/school/560504/", 560504)</f>
        <v>560504</v>
      </c>
      <c r="B11217" s="3" t="s">
        <v>56844</v>
      </c>
      <c r="C11217" s="3" t="s">
        <v>54</v>
      </c>
      <c r="D11217" s="3" t="s">
        <v>32</v>
      </c>
      <c r="E11217" s="4" t="s">
        <v>22</v>
      </c>
      <c r="F11217" s="4" t="s">
        <v>56845</v>
      </c>
      <c r="G11217" s="4" t="s">
        <v>56846</v>
      </c>
      <c r="H11217" s="3" t="s">
        <v>54289</v>
      </c>
      <c r="I11217" s="3" t="s">
        <v>56847</v>
      </c>
      <c r="J11217" s="3" t="s">
        <v>56848</v>
      </c>
      <c r="K11217" s="3" t="s">
        <v>56849</v>
      </c>
      <c r="L11217" s="3"/>
      <c r="M11217" s="4"/>
      <c r="N11217" s="3" t="s">
        <v>37</v>
      </c>
      <c r="O11217" s="3" t="s">
        <v>46</v>
      </c>
      <c r="P11217" s="5">
        <v>21</v>
      </c>
      <c r="Q11217" s="5">
        <v>331</v>
      </c>
      <c r="R11217" s="5">
        <v>20</v>
      </c>
      <c r="S11217" s="5">
        <v>316</v>
      </c>
    </row>
    <row r="11218" spans="1:19" ht="28" x14ac:dyDescent="0.15">
      <c r="A11218" s="2">
        <f>HYPERLINK("https://open-school.uspishnemisto.com.ua/school/560505/", 560505)</f>
        <v>560505</v>
      </c>
      <c r="B11218" s="3" t="s">
        <v>56850</v>
      </c>
      <c r="C11218" s="3" t="s">
        <v>54</v>
      </c>
      <c r="D11218" s="3" t="s">
        <v>175</v>
      </c>
      <c r="E11218" s="4" t="s">
        <v>22</v>
      </c>
      <c r="F11218" s="4" t="s">
        <v>56851</v>
      </c>
      <c r="G11218" s="4" t="s">
        <v>56852</v>
      </c>
      <c r="H11218" s="3" t="s">
        <v>54289</v>
      </c>
      <c r="I11218" s="3" t="s">
        <v>56853</v>
      </c>
      <c r="J11218" s="3" t="s">
        <v>634</v>
      </c>
      <c r="K11218" s="3" t="s">
        <v>56854</v>
      </c>
      <c r="L11218" s="3"/>
      <c r="M11218" s="4"/>
      <c r="N11218" s="3" t="s">
        <v>37</v>
      </c>
      <c r="O11218" s="3" t="s">
        <v>52</v>
      </c>
      <c r="P11218" s="5">
        <v>0</v>
      </c>
      <c r="Q11218" s="5">
        <v>0</v>
      </c>
      <c r="R11218" s="5">
        <v>7</v>
      </c>
      <c r="S11218" s="5">
        <v>65</v>
      </c>
    </row>
    <row r="11219" spans="1:19" ht="28" x14ac:dyDescent="0.15">
      <c r="A11219" s="2">
        <f>HYPERLINK("https://open-school.uspishnemisto.com.ua/school/560506/", 560506)</f>
        <v>560506</v>
      </c>
      <c r="B11219" s="3" t="s">
        <v>56855</v>
      </c>
      <c r="C11219" s="3" t="s">
        <v>181</v>
      </c>
      <c r="D11219" s="3" t="s">
        <v>60</v>
      </c>
      <c r="E11219" s="4" t="s">
        <v>22</v>
      </c>
      <c r="F11219" s="4" t="s">
        <v>56851</v>
      </c>
      <c r="G11219" s="4" t="s">
        <v>56856</v>
      </c>
      <c r="H11219" s="3" t="s">
        <v>54289</v>
      </c>
      <c r="I11219" s="3" t="s">
        <v>56857</v>
      </c>
      <c r="J11219" s="3" t="s">
        <v>56858</v>
      </c>
      <c r="K11219" s="3" t="s">
        <v>56859</v>
      </c>
      <c r="L11219" s="3"/>
      <c r="M11219" s="4" t="s">
        <v>56860</v>
      </c>
      <c r="N11219" s="3" t="s">
        <v>37</v>
      </c>
      <c r="O11219" s="3"/>
      <c r="P11219" s="5">
        <v>3</v>
      </c>
      <c r="Q11219" s="5">
        <v>27</v>
      </c>
      <c r="R11219" s="5">
        <v>3</v>
      </c>
      <c r="S11219" s="5">
        <v>25</v>
      </c>
    </row>
    <row r="11220" spans="1:19" ht="28" x14ac:dyDescent="0.15">
      <c r="A11220" s="2">
        <f>HYPERLINK("https://open-school.uspishnemisto.com.ua/school/560507/", 560507)</f>
        <v>560507</v>
      </c>
      <c r="B11220" s="3" t="s">
        <v>56861</v>
      </c>
      <c r="C11220" s="3" t="s">
        <v>31</v>
      </c>
      <c r="D11220" s="3" t="s">
        <v>32</v>
      </c>
      <c r="E11220" s="4" t="s">
        <v>22</v>
      </c>
      <c r="F11220" s="4" t="s">
        <v>56862</v>
      </c>
      <c r="G11220" s="4" t="s">
        <v>56863</v>
      </c>
      <c r="H11220" s="3" t="s">
        <v>54289</v>
      </c>
      <c r="I11220" s="3" t="s">
        <v>2422</v>
      </c>
      <c r="J11220" s="3" t="s">
        <v>56864</v>
      </c>
      <c r="K11220" s="3" t="s">
        <v>56865</v>
      </c>
      <c r="L11220" s="3" t="s">
        <v>56866</v>
      </c>
      <c r="M11220" s="4"/>
      <c r="N11220" s="3" t="s">
        <v>37</v>
      </c>
      <c r="O11220" s="3" t="s">
        <v>46</v>
      </c>
      <c r="P11220" s="5">
        <v>15</v>
      </c>
      <c r="Q11220" s="5">
        <v>257</v>
      </c>
      <c r="R11220" s="5">
        <v>14</v>
      </c>
      <c r="S11220" s="5">
        <v>239</v>
      </c>
    </row>
    <row r="11221" spans="1:19" ht="28" x14ac:dyDescent="0.15">
      <c r="A11221" s="2">
        <f>HYPERLINK("https://open-school.uspishnemisto.com.ua/school/560508/", 560508)</f>
        <v>560508</v>
      </c>
      <c r="B11221" s="3" t="s">
        <v>56867</v>
      </c>
      <c r="C11221" s="3" t="s">
        <v>31</v>
      </c>
      <c r="D11221" s="3" t="s">
        <v>32</v>
      </c>
      <c r="E11221" s="4" t="s">
        <v>22</v>
      </c>
      <c r="F11221" s="4" t="s">
        <v>56868</v>
      </c>
      <c r="G11221" s="4" t="s">
        <v>56869</v>
      </c>
      <c r="H11221" s="3" t="s">
        <v>54289</v>
      </c>
      <c r="I11221" s="3" t="s">
        <v>1506</v>
      </c>
      <c r="J11221" s="3" t="s">
        <v>56870</v>
      </c>
      <c r="K11221" s="3" t="s">
        <v>56871</v>
      </c>
      <c r="L11221" s="3"/>
      <c r="M11221" s="4"/>
      <c r="N11221" s="3" t="s">
        <v>37</v>
      </c>
      <c r="O11221" s="3" t="s">
        <v>46</v>
      </c>
      <c r="P11221" s="5">
        <v>22</v>
      </c>
      <c r="Q11221" s="5">
        <v>450</v>
      </c>
      <c r="R11221" s="5">
        <v>20</v>
      </c>
      <c r="S11221" s="5">
        <v>435</v>
      </c>
    </row>
    <row r="11222" spans="1:19" ht="28" x14ac:dyDescent="0.15">
      <c r="A11222" s="2">
        <f>HYPERLINK("https://open-school.uspishnemisto.com.ua/school/560509/", 560509)</f>
        <v>560509</v>
      </c>
      <c r="B11222" s="3" t="s">
        <v>56872</v>
      </c>
      <c r="C11222" s="3" t="s">
        <v>31</v>
      </c>
      <c r="D11222" s="3" t="s">
        <v>175</v>
      </c>
      <c r="E11222" s="4" t="s">
        <v>22</v>
      </c>
      <c r="F11222" s="4" t="s">
        <v>56873</v>
      </c>
      <c r="G11222" s="4" t="s">
        <v>56874</v>
      </c>
      <c r="H11222" s="3" t="s">
        <v>54289</v>
      </c>
      <c r="I11222" s="3" t="s">
        <v>5877</v>
      </c>
      <c r="J11222" s="3" t="s">
        <v>25230</v>
      </c>
      <c r="K11222" s="3" t="s">
        <v>56875</v>
      </c>
      <c r="L11222" s="3"/>
      <c r="M11222" s="4"/>
      <c r="N11222" s="3" t="s">
        <v>37</v>
      </c>
      <c r="O11222" s="3" t="s">
        <v>52</v>
      </c>
      <c r="P11222" s="5">
        <v>9</v>
      </c>
      <c r="Q11222" s="5">
        <v>178</v>
      </c>
      <c r="R11222" s="5">
        <v>9</v>
      </c>
      <c r="S11222" s="5">
        <v>179</v>
      </c>
    </row>
    <row r="11223" spans="1:19" ht="28" x14ac:dyDescent="0.15">
      <c r="A11223" s="2">
        <f>HYPERLINK("https://open-school.uspishnemisto.com.ua/school/560511/", 560511)</f>
        <v>560511</v>
      </c>
      <c r="B11223" s="3" t="s">
        <v>56876</v>
      </c>
      <c r="C11223" s="3" t="s">
        <v>31</v>
      </c>
      <c r="D11223" s="3" t="s">
        <v>32</v>
      </c>
      <c r="E11223" s="4" t="s">
        <v>22</v>
      </c>
      <c r="F11223" s="4" t="s">
        <v>56877</v>
      </c>
      <c r="G11223" s="4" t="s">
        <v>56878</v>
      </c>
      <c r="H11223" s="3" t="s">
        <v>54289</v>
      </c>
      <c r="I11223" s="3" t="s">
        <v>56879</v>
      </c>
      <c r="J11223" s="3" t="s">
        <v>56880</v>
      </c>
      <c r="K11223" s="3" t="s">
        <v>56881</v>
      </c>
      <c r="L11223" s="3"/>
      <c r="M11223" s="4"/>
      <c r="N11223" s="3" t="s">
        <v>37</v>
      </c>
      <c r="O11223" s="3" t="s">
        <v>52</v>
      </c>
      <c r="P11223" s="5">
        <v>11</v>
      </c>
      <c r="Q11223" s="5">
        <v>140</v>
      </c>
      <c r="R11223" s="5">
        <v>10</v>
      </c>
      <c r="S11223" s="5">
        <v>130</v>
      </c>
    </row>
    <row r="11224" spans="1:19" ht="56" x14ac:dyDescent="0.15">
      <c r="A11224" s="2">
        <f>HYPERLINK("https://open-school.uspishnemisto.com.ua/school/560512/", 560512)</f>
        <v>560512</v>
      </c>
      <c r="B11224" s="3" t="s">
        <v>56882</v>
      </c>
      <c r="C11224" s="3" t="s">
        <v>54</v>
      </c>
      <c r="D11224" s="3" t="s">
        <v>32</v>
      </c>
      <c r="E11224" s="4" t="s">
        <v>22</v>
      </c>
      <c r="F11224" s="4" t="s">
        <v>56883</v>
      </c>
      <c r="G11224" s="4" t="s">
        <v>56884</v>
      </c>
      <c r="H11224" s="3" t="s">
        <v>54289</v>
      </c>
      <c r="I11224" s="3" t="s">
        <v>56885</v>
      </c>
      <c r="J11224" s="3" t="s">
        <v>56886</v>
      </c>
      <c r="K11224" s="3" t="s">
        <v>56887</v>
      </c>
      <c r="L11224" s="3"/>
      <c r="M11224" s="4"/>
      <c r="N11224" s="3" t="s">
        <v>37</v>
      </c>
      <c r="O11224" s="3" t="s">
        <v>52</v>
      </c>
      <c r="P11224" s="5">
        <v>21</v>
      </c>
      <c r="Q11224" s="5">
        <v>272</v>
      </c>
      <c r="R11224" s="5">
        <v>11</v>
      </c>
      <c r="S11224" s="5">
        <v>151</v>
      </c>
    </row>
    <row r="11225" spans="1:19" ht="28" x14ac:dyDescent="0.15">
      <c r="A11225" s="2">
        <f>HYPERLINK("https://open-school.uspishnemisto.com.ua/school/560513/", 560513)</f>
        <v>560513</v>
      </c>
      <c r="B11225" s="3" t="s">
        <v>56888</v>
      </c>
      <c r="C11225" s="3" t="s">
        <v>31</v>
      </c>
      <c r="D11225" s="3" t="s">
        <v>175</v>
      </c>
      <c r="E11225" s="4" t="s">
        <v>22</v>
      </c>
      <c r="F11225" s="4" t="s">
        <v>56883</v>
      </c>
      <c r="G11225" s="4" t="s">
        <v>56889</v>
      </c>
      <c r="H11225" s="3" t="s">
        <v>54289</v>
      </c>
      <c r="I11225" s="3" t="s">
        <v>56890</v>
      </c>
      <c r="J11225" s="3" t="s">
        <v>56891</v>
      </c>
      <c r="K11225" s="3" t="s">
        <v>56892</v>
      </c>
      <c r="L11225" s="3"/>
      <c r="M11225" s="4"/>
      <c r="N11225" s="3" t="s">
        <v>37</v>
      </c>
      <c r="O11225" s="3" t="s">
        <v>52</v>
      </c>
      <c r="P11225" s="5">
        <v>0</v>
      </c>
      <c r="Q11225" s="5">
        <v>0</v>
      </c>
      <c r="R11225" s="5">
        <v>5</v>
      </c>
      <c r="S11225" s="5">
        <v>33</v>
      </c>
    </row>
    <row r="11226" spans="1:19" ht="28" x14ac:dyDescent="0.15">
      <c r="A11226" s="2">
        <f>HYPERLINK("https://open-school.uspishnemisto.com.ua/school/560514/", 560514)</f>
        <v>560514</v>
      </c>
      <c r="B11226" s="3" t="s">
        <v>56893</v>
      </c>
      <c r="C11226" s="3" t="s">
        <v>31</v>
      </c>
      <c r="D11226" s="3" t="s">
        <v>32</v>
      </c>
      <c r="E11226" s="4" t="s">
        <v>22</v>
      </c>
      <c r="F11226" s="4" t="s">
        <v>56894</v>
      </c>
      <c r="G11226" s="4" t="s">
        <v>56895</v>
      </c>
      <c r="H11226" s="3" t="s">
        <v>54289</v>
      </c>
      <c r="I11226" s="3" t="s">
        <v>56896</v>
      </c>
      <c r="J11226" s="3" t="s">
        <v>634</v>
      </c>
      <c r="K11226" s="3" t="s">
        <v>56897</v>
      </c>
      <c r="L11226" s="3"/>
      <c r="M11226" s="4"/>
      <c r="N11226" s="3" t="s">
        <v>37</v>
      </c>
      <c r="O11226" s="3" t="s">
        <v>46</v>
      </c>
      <c r="P11226" s="5">
        <v>13</v>
      </c>
      <c r="Q11226" s="5">
        <v>211</v>
      </c>
      <c r="R11226" s="5">
        <v>11</v>
      </c>
      <c r="S11226" s="5">
        <v>179</v>
      </c>
    </row>
    <row r="11227" spans="1:19" ht="28" x14ac:dyDescent="0.15">
      <c r="A11227" s="2">
        <f>HYPERLINK("https://open-school.uspishnemisto.com.ua/school/560515/", 560515)</f>
        <v>560515</v>
      </c>
      <c r="B11227" s="3" t="s">
        <v>56898</v>
      </c>
      <c r="C11227" s="3" t="s">
        <v>31</v>
      </c>
      <c r="D11227" s="3" t="s">
        <v>60</v>
      </c>
      <c r="E11227" s="4" t="s">
        <v>22</v>
      </c>
      <c r="F11227" s="4" t="s">
        <v>56894</v>
      </c>
      <c r="G11227" s="4" t="s">
        <v>56899</v>
      </c>
      <c r="H11227" s="3" t="s">
        <v>54289</v>
      </c>
      <c r="I11227" s="3" t="s">
        <v>56900</v>
      </c>
      <c r="J11227" s="3" t="s">
        <v>56901</v>
      </c>
      <c r="K11227" s="3" t="s">
        <v>56902</v>
      </c>
      <c r="L11227" s="3"/>
      <c r="M11227" s="4"/>
      <c r="N11227" s="3" t="s">
        <v>37</v>
      </c>
      <c r="O11227" s="3" t="s">
        <v>52</v>
      </c>
      <c r="P11227" s="5">
        <v>0</v>
      </c>
      <c r="Q11227" s="5">
        <v>0</v>
      </c>
      <c r="R11227" s="5">
        <v>0</v>
      </c>
      <c r="S11227" s="5">
        <v>11</v>
      </c>
    </row>
    <row r="11228" spans="1:19" ht="28" x14ac:dyDescent="0.15">
      <c r="A11228" s="2">
        <f>HYPERLINK("https://open-school.uspishnemisto.com.ua/school/560516/", 560516)</f>
        <v>560516</v>
      </c>
      <c r="B11228" s="3" t="s">
        <v>56903</v>
      </c>
      <c r="C11228" s="3" t="s">
        <v>31</v>
      </c>
      <c r="D11228" s="3" t="s">
        <v>60</v>
      </c>
      <c r="E11228" s="4" t="s">
        <v>22</v>
      </c>
      <c r="F11228" s="4" t="s">
        <v>56770</v>
      </c>
      <c r="G11228" s="4" t="s">
        <v>56904</v>
      </c>
      <c r="H11228" s="3" t="s">
        <v>54289</v>
      </c>
      <c r="I11228" s="3" t="s">
        <v>56905</v>
      </c>
      <c r="J11228" s="3" t="s">
        <v>56906</v>
      </c>
      <c r="K11228" s="3" t="s">
        <v>56907</v>
      </c>
      <c r="L11228" s="3"/>
      <c r="M11228" s="4"/>
      <c r="N11228" s="3" t="s">
        <v>37</v>
      </c>
      <c r="O11228" s="3" t="s">
        <v>52</v>
      </c>
      <c r="P11228" s="5">
        <v>0</v>
      </c>
      <c r="Q11228" s="5">
        <v>0</v>
      </c>
      <c r="R11228" s="5">
        <v>2</v>
      </c>
      <c r="S11228" s="5">
        <v>17</v>
      </c>
    </row>
    <row r="11229" spans="1:19" ht="28" x14ac:dyDescent="0.15">
      <c r="A11229" s="2">
        <f>HYPERLINK("https://open-school.uspishnemisto.com.ua/school/560517/", 560517)</f>
        <v>560517</v>
      </c>
      <c r="B11229" s="3" t="s">
        <v>56908</v>
      </c>
      <c r="C11229" s="3" t="s">
        <v>31</v>
      </c>
      <c r="D11229" s="3" t="s">
        <v>32</v>
      </c>
      <c r="E11229" s="4" t="s">
        <v>22</v>
      </c>
      <c r="F11229" s="4" t="s">
        <v>56909</v>
      </c>
      <c r="G11229" s="4" t="s">
        <v>56910</v>
      </c>
      <c r="H11229" s="3" t="s">
        <v>54289</v>
      </c>
      <c r="I11229" s="3" t="s">
        <v>6846</v>
      </c>
      <c r="J11229" s="3" t="s">
        <v>13745</v>
      </c>
      <c r="K11229" s="3" t="s">
        <v>56911</v>
      </c>
      <c r="L11229" s="3"/>
      <c r="M11229" s="4"/>
      <c r="N11229" s="3" t="s">
        <v>37</v>
      </c>
      <c r="O11229" s="3" t="s">
        <v>52</v>
      </c>
      <c r="P11229" s="5">
        <v>11</v>
      </c>
      <c r="Q11229" s="5">
        <v>171</v>
      </c>
      <c r="R11229" s="5">
        <v>11</v>
      </c>
      <c r="S11229" s="5">
        <v>175</v>
      </c>
    </row>
    <row r="11230" spans="1:19" ht="28" x14ac:dyDescent="0.15">
      <c r="A11230" s="2">
        <f>HYPERLINK("https://open-school.uspishnemisto.com.ua/school/560518/", 560518)</f>
        <v>560518</v>
      </c>
      <c r="B11230" s="3" t="s">
        <v>56912</v>
      </c>
      <c r="C11230" s="3" t="s">
        <v>54</v>
      </c>
      <c r="D11230" s="3" t="s">
        <v>32</v>
      </c>
      <c r="E11230" s="4" t="s">
        <v>22</v>
      </c>
      <c r="F11230" s="4" t="s">
        <v>56913</v>
      </c>
      <c r="G11230" s="4" t="s">
        <v>56914</v>
      </c>
      <c r="H11230" s="3" t="s">
        <v>54289</v>
      </c>
      <c r="I11230" s="3" t="s">
        <v>5129</v>
      </c>
      <c r="J11230" s="3" t="s">
        <v>34282</v>
      </c>
      <c r="K11230" s="3" t="s">
        <v>56915</v>
      </c>
      <c r="L11230" s="3"/>
      <c r="M11230" s="4"/>
      <c r="N11230" s="3" t="s">
        <v>37</v>
      </c>
      <c r="O11230" s="3" t="s">
        <v>46</v>
      </c>
      <c r="P11230" s="5">
        <v>30</v>
      </c>
      <c r="Q11230" s="5">
        <v>726</v>
      </c>
      <c r="R11230" s="5">
        <v>30</v>
      </c>
      <c r="S11230" s="5">
        <v>733</v>
      </c>
    </row>
    <row r="11231" spans="1:19" ht="28" x14ac:dyDescent="0.15">
      <c r="A11231" s="2">
        <f>HYPERLINK("https://open-school.uspishnemisto.com.ua/school/560519/", 560519)</f>
        <v>560519</v>
      </c>
      <c r="B11231" s="3" t="s">
        <v>56916</v>
      </c>
      <c r="C11231" s="3" t="s">
        <v>31</v>
      </c>
      <c r="D11231" s="3" t="s">
        <v>32</v>
      </c>
      <c r="E11231" s="4" t="s">
        <v>22</v>
      </c>
      <c r="F11231" s="4" t="s">
        <v>56917</v>
      </c>
      <c r="G11231" s="4" t="s">
        <v>56918</v>
      </c>
      <c r="H11231" s="3" t="s">
        <v>54289</v>
      </c>
      <c r="I11231" s="3" t="s">
        <v>56919</v>
      </c>
      <c r="J11231" s="3" t="s">
        <v>554</v>
      </c>
      <c r="K11231" s="3" t="s">
        <v>56920</v>
      </c>
      <c r="L11231" s="3"/>
      <c r="M11231" s="4"/>
      <c r="N11231" s="3" t="s">
        <v>37</v>
      </c>
      <c r="O11231" s="3" t="s">
        <v>52</v>
      </c>
      <c r="P11231" s="5">
        <v>9</v>
      </c>
      <c r="Q11231" s="5">
        <v>117</v>
      </c>
      <c r="R11231" s="5">
        <v>10</v>
      </c>
      <c r="S11231" s="5">
        <v>111</v>
      </c>
    </row>
    <row r="11232" spans="1:19" ht="28" x14ac:dyDescent="0.15">
      <c r="A11232" s="2">
        <f>HYPERLINK("https://open-school.uspishnemisto.com.ua/school/560520/", 560520)</f>
        <v>560520</v>
      </c>
      <c r="B11232" s="3" t="s">
        <v>56921</v>
      </c>
      <c r="C11232" s="3" t="s">
        <v>31</v>
      </c>
      <c r="D11232" s="3" t="s">
        <v>175</v>
      </c>
      <c r="E11232" s="4" t="s">
        <v>22</v>
      </c>
      <c r="F11232" s="4" t="s">
        <v>56922</v>
      </c>
      <c r="G11232" s="4" t="s">
        <v>56923</v>
      </c>
      <c r="H11232" s="3" t="s">
        <v>54289</v>
      </c>
      <c r="I11232" s="3" t="s">
        <v>56924</v>
      </c>
      <c r="J11232" s="3" t="s">
        <v>4833</v>
      </c>
      <c r="K11232" s="3" t="s">
        <v>56925</v>
      </c>
      <c r="L11232" s="3" t="s">
        <v>56926</v>
      </c>
      <c r="M11232" s="4"/>
      <c r="N11232" s="3" t="s">
        <v>37</v>
      </c>
      <c r="O11232" s="3" t="s">
        <v>52</v>
      </c>
      <c r="P11232" s="5">
        <v>8</v>
      </c>
      <c r="Q11232" s="5">
        <v>88</v>
      </c>
      <c r="R11232" s="5">
        <v>8</v>
      </c>
      <c r="S11232" s="5">
        <v>87</v>
      </c>
    </row>
    <row r="11233" spans="1:19" ht="28" x14ac:dyDescent="0.15">
      <c r="A11233" s="2">
        <f>HYPERLINK("https://open-school.uspishnemisto.com.ua/school/560521/", 560521)</f>
        <v>560521</v>
      </c>
      <c r="B11233" s="3" t="s">
        <v>56927</v>
      </c>
      <c r="C11233" s="3" t="s">
        <v>31</v>
      </c>
      <c r="D11233" s="3" t="s">
        <v>60</v>
      </c>
      <c r="E11233" s="4" t="s">
        <v>22</v>
      </c>
      <c r="F11233" s="4" t="s">
        <v>56928</v>
      </c>
      <c r="G11233" s="4" t="s">
        <v>56929</v>
      </c>
      <c r="H11233" s="3" t="s">
        <v>54289</v>
      </c>
      <c r="I11233" s="3" t="s">
        <v>29705</v>
      </c>
      <c r="J11233" s="3" t="s">
        <v>634</v>
      </c>
      <c r="K11233" s="3" t="s">
        <v>56930</v>
      </c>
      <c r="L11233" s="3"/>
      <c r="M11233" s="4"/>
      <c r="N11233" s="3" t="s">
        <v>37</v>
      </c>
      <c r="O11233" s="3" t="s">
        <v>52</v>
      </c>
      <c r="P11233" s="5">
        <v>3</v>
      </c>
      <c r="Q11233" s="5">
        <v>21</v>
      </c>
      <c r="R11233" s="5">
        <v>2</v>
      </c>
      <c r="S11233" s="5">
        <v>19</v>
      </c>
    </row>
    <row r="11234" spans="1:19" ht="28" x14ac:dyDescent="0.15">
      <c r="A11234" s="2">
        <f>HYPERLINK("https://open-school.uspishnemisto.com.ua/school/560522/", 560522)</f>
        <v>560522</v>
      </c>
      <c r="B11234" s="3" t="s">
        <v>56931</v>
      </c>
      <c r="C11234" s="3" t="s">
        <v>31</v>
      </c>
      <c r="D11234" s="3" t="s">
        <v>175</v>
      </c>
      <c r="E11234" s="4" t="s">
        <v>22</v>
      </c>
      <c r="F11234" s="4" t="s">
        <v>56770</v>
      </c>
      <c r="G11234" s="4" t="s">
        <v>56932</v>
      </c>
      <c r="H11234" s="3" t="s">
        <v>54289</v>
      </c>
      <c r="I11234" s="3" t="s">
        <v>5309</v>
      </c>
      <c r="J11234" s="3" t="s">
        <v>20910</v>
      </c>
      <c r="K11234" s="3" t="s">
        <v>56933</v>
      </c>
      <c r="L11234" s="3"/>
      <c r="M11234" s="4"/>
      <c r="N11234" s="3" t="s">
        <v>37</v>
      </c>
      <c r="O11234" s="3" t="s">
        <v>52</v>
      </c>
      <c r="P11234" s="5">
        <v>7</v>
      </c>
      <c r="Q11234" s="5">
        <v>58</v>
      </c>
      <c r="R11234" s="5">
        <v>7</v>
      </c>
      <c r="S11234" s="5">
        <v>53</v>
      </c>
    </row>
    <row r="11235" spans="1:19" ht="28" x14ac:dyDescent="0.15">
      <c r="A11235" s="2">
        <f>HYPERLINK("https://open-school.uspishnemisto.com.ua/school/560523/", 560523)</f>
        <v>560523</v>
      </c>
      <c r="B11235" s="3" t="s">
        <v>56934</v>
      </c>
      <c r="C11235" s="3" t="s">
        <v>31</v>
      </c>
      <c r="D11235" s="3" t="s">
        <v>32</v>
      </c>
      <c r="E11235" s="4" t="s">
        <v>22</v>
      </c>
      <c r="F11235" s="4" t="s">
        <v>56935</v>
      </c>
      <c r="G11235" s="4" t="s">
        <v>56936</v>
      </c>
      <c r="H11235" s="3" t="s">
        <v>54289</v>
      </c>
      <c r="I11235" s="3" t="s">
        <v>19276</v>
      </c>
      <c r="J11235" s="3" t="s">
        <v>56937</v>
      </c>
      <c r="K11235" s="3" t="s">
        <v>56938</v>
      </c>
      <c r="L11235" s="3" t="s">
        <v>56939</v>
      </c>
      <c r="M11235" s="4"/>
      <c r="N11235" s="3" t="s">
        <v>37</v>
      </c>
      <c r="O11235" s="3" t="s">
        <v>52</v>
      </c>
      <c r="P11235" s="5">
        <v>19</v>
      </c>
      <c r="Q11235" s="5">
        <v>319</v>
      </c>
      <c r="R11235" s="5">
        <v>19</v>
      </c>
      <c r="S11235" s="5">
        <v>309</v>
      </c>
    </row>
    <row r="11236" spans="1:19" ht="28" x14ac:dyDescent="0.15">
      <c r="A11236" s="2">
        <f>HYPERLINK("https://open-school.uspishnemisto.com.ua/school/560525/", 560525)</f>
        <v>560525</v>
      </c>
      <c r="B11236" s="3" t="s">
        <v>56940</v>
      </c>
      <c r="C11236" s="3" t="s">
        <v>31</v>
      </c>
      <c r="D11236" s="3" t="s">
        <v>32</v>
      </c>
      <c r="E11236" s="4" t="s">
        <v>22</v>
      </c>
      <c r="F11236" s="4" t="s">
        <v>56941</v>
      </c>
      <c r="G11236" s="4" t="s">
        <v>56942</v>
      </c>
      <c r="H11236" s="3" t="s">
        <v>54289</v>
      </c>
      <c r="I11236" s="3" t="s">
        <v>56943</v>
      </c>
      <c r="J11236" s="3" t="s">
        <v>56944</v>
      </c>
      <c r="K11236" s="3" t="s">
        <v>56945</v>
      </c>
      <c r="L11236" s="3" t="s">
        <v>56946</v>
      </c>
      <c r="M11236" s="4"/>
      <c r="N11236" s="3" t="s">
        <v>37</v>
      </c>
      <c r="O11236" s="3" t="s">
        <v>46</v>
      </c>
      <c r="P11236" s="5">
        <v>20</v>
      </c>
      <c r="Q11236" s="5">
        <v>394</v>
      </c>
      <c r="R11236" s="5">
        <v>19</v>
      </c>
      <c r="S11236" s="5">
        <v>374</v>
      </c>
    </row>
    <row r="11237" spans="1:19" ht="56" x14ac:dyDescent="0.15">
      <c r="A11237" s="2">
        <f>HYPERLINK("https://open-school.uspishnemisto.com.ua/school/560526/", 560526)</f>
        <v>560526</v>
      </c>
      <c r="B11237" s="3" t="s">
        <v>56947</v>
      </c>
      <c r="C11237" s="3" t="s">
        <v>54</v>
      </c>
      <c r="D11237" s="3" t="s">
        <v>32</v>
      </c>
      <c r="E11237" s="4" t="s">
        <v>22</v>
      </c>
      <c r="F11237" s="4" t="s">
        <v>56948</v>
      </c>
      <c r="G11237" s="4" t="s">
        <v>56949</v>
      </c>
      <c r="H11237" s="3" t="s">
        <v>54289</v>
      </c>
      <c r="I11237" s="3" t="s">
        <v>42137</v>
      </c>
      <c r="J11237" s="3" t="s">
        <v>2191</v>
      </c>
      <c r="K11237" s="3" t="s">
        <v>56950</v>
      </c>
      <c r="L11237" s="3"/>
      <c r="M11237" s="4"/>
      <c r="N11237" s="3" t="s">
        <v>37</v>
      </c>
      <c r="O11237" s="3" t="s">
        <v>139</v>
      </c>
      <c r="P11237" s="5">
        <v>11</v>
      </c>
      <c r="Q11237" s="5">
        <v>158</v>
      </c>
      <c r="R11237" s="5">
        <v>12</v>
      </c>
      <c r="S11237" s="5">
        <v>148</v>
      </c>
    </row>
    <row r="11238" spans="1:19" ht="28" x14ac:dyDescent="0.15">
      <c r="A11238" s="2">
        <f>HYPERLINK("https://open-school.uspishnemisto.com.ua/school/560527/", 560527)</f>
        <v>560527</v>
      </c>
      <c r="B11238" s="3" t="s">
        <v>56951</v>
      </c>
      <c r="C11238" s="3" t="s">
        <v>31</v>
      </c>
      <c r="D11238" s="3" t="s">
        <v>60</v>
      </c>
      <c r="E11238" s="4" t="s">
        <v>22</v>
      </c>
      <c r="F11238" s="4" t="s">
        <v>56948</v>
      </c>
      <c r="G11238" s="4" t="s">
        <v>56952</v>
      </c>
      <c r="H11238" s="3" t="s">
        <v>54289</v>
      </c>
      <c r="I11238" s="3" t="s">
        <v>56953</v>
      </c>
      <c r="J11238" s="3" t="s">
        <v>664</v>
      </c>
      <c r="K11238" s="3" t="s">
        <v>56954</v>
      </c>
      <c r="L11238" s="3"/>
      <c r="M11238" s="4"/>
      <c r="N11238" s="3" t="s">
        <v>37</v>
      </c>
      <c r="O11238" s="3" t="s">
        <v>52</v>
      </c>
      <c r="P11238" s="5">
        <v>2</v>
      </c>
      <c r="Q11238" s="5">
        <v>23</v>
      </c>
      <c r="R11238" s="5">
        <v>2</v>
      </c>
      <c r="S11238" s="5">
        <v>20</v>
      </c>
    </row>
    <row r="11239" spans="1:19" ht="28" x14ac:dyDescent="0.15">
      <c r="A11239" s="2">
        <f>HYPERLINK("https://open-school.uspishnemisto.com.ua/school/560528/", 560528)</f>
        <v>560528</v>
      </c>
      <c r="B11239" s="3" t="s">
        <v>56955</v>
      </c>
      <c r="C11239" s="3" t="s">
        <v>31</v>
      </c>
      <c r="D11239" s="3" t="s">
        <v>32</v>
      </c>
      <c r="E11239" s="4" t="s">
        <v>22</v>
      </c>
      <c r="F11239" s="4" t="s">
        <v>56956</v>
      </c>
      <c r="G11239" s="4" t="s">
        <v>56957</v>
      </c>
      <c r="H11239" s="3" t="s">
        <v>54289</v>
      </c>
      <c r="I11239" s="3" t="s">
        <v>56958</v>
      </c>
      <c r="J11239" s="3" t="s">
        <v>56959</v>
      </c>
      <c r="K11239" s="3" t="s">
        <v>56960</v>
      </c>
      <c r="L11239" s="3"/>
      <c r="M11239" s="4"/>
      <c r="N11239" s="3" t="s">
        <v>37</v>
      </c>
      <c r="O11239" s="3" t="s">
        <v>52</v>
      </c>
      <c r="P11239" s="5">
        <v>11</v>
      </c>
      <c r="Q11239" s="5">
        <v>165</v>
      </c>
      <c r="R11239" s="5">
        <v>10</v>
      </c>
      <c r="S11239" s="5">
        <v>156</v>
      </c>
    </row>
    <row r="11240" spans="1:19" ht="28" x14ac:dyDescent="0.15">
      <c r="A11240" s="2">
        <f>HYPERLINK("https://open-school.uspishnemisto.com.ua/school/560529/", 560529)</f>
        <v>560529</v>
      </c>
      <c r="B11240" s="3" t="s">
        <v>56961</v>
      </c>
      <c r="C11240" s="3" t="s">
        <v>31</v>
      </c>
      <c r="D11240" s="3" t="s">
        <v>175</v>
      </c>
      <c r="E11240" s="4" t="s">
        <v>22</v>
      </c>
      <c r="F11240" s="4" t="s">
        <v>56956</v>
      </c>
      <c r="G11240" s="4" t="s">
        <v>56962</v>
      </c>
      <c r="H11240" s="3" t="s">
        <v>54289</v>
      </c>
      <c r="I11240" s="3" t="s">
        <v>56963</v>
      </c>
      <c r="J11240" s="3" t="s">
        <v>56964</v>
      </c>
      <c r="K11240" s="3" t="s">
        <v>56965</v>
      </c>
      <c r="L11240" s="3"/>
      <c r="M11240" s="4"/>
      <c r="N11240" s="3" t="s">
        <v>37</v>
      </c>
      <c r="O11240" s="3" t="s">
        <v>52</v>
      </c>
      <c r="P11240" s="5">
        <v>5</v>
      </c>
      <c r="Q11240" s="5">
        <v>36</v>
      </c>
      <c r="R11240" s="5">
        <v>5</v>
      </c>
      <c r="S11240" s="5">
        <v>37</v>
      </c>
    </row>
    <row r="11241" spans="1:19" ht="56" x14ac:dyDescent="0.15">
      <c r="A11241" s="2">
        <f>HYPERLINK("https://open-school.uspishnemisto.com.ua/school/560530/", 560530)</f>
        <v>560530</v>
      </c>
      <c r="B11241" s="3" t="s">
        <v>56966</v>
      </c>
      <c r="C11241" s="3" t="s">
        <v>54</v>
      </c>
      <c r="D11241" s="3" t="s">
        <v>60</v>
      </c>
      <c r="E11241" s="4" t="s">
        <v>22</v>
      </c>
      <c r="F11241" s="4" t="s">
        <v>56967</v>
      </c>
      <c r="G11241" s="4" t="s">
        <v>56968</v>
      </c>
      <c r="H11241" s="3" t="s">
        <v>54289</v>
      </c>
      <c r="I11241" s="3" t="s">
        <v>5531</v>
      </c>
      <c r="J11241" s="3" t="s">
        <v>56969</v>
      </c>
      <c r="K11241" s="3" t="s">
        <v>56970</v>
      </c>
      <c r="L11241" s="3"/>
      <c r="M11241" s="4"/>
      <c r="N11241" s="3" t="s">
        <v>37</v>
      </c>
      <c r="O11241" s="3" t="s">
        <v>52</v>
      </c>
      <c r="P11241" s="5">
        <v>4</v>
      </c>
      <c r="Q11241" s="5">
        <v>25</v>
      </c>
      <c r="R11241" s="5">
        <v>3</v>
      </c>
      <c r="S11241" s="5">
        <v>23</v>
      </c>
    </row>
    <row r="11242" spans="1:19" ht="28" x14ac:dyDescent="0.15">
      <c r="A11242" s="2">
        <f>HYPERLINK("https://open-school.uspishnemisto.com.ua/school/560531/", 560531)</f>
        <v>560531</v>
      </c>
      <c r="B11242" s="3" t="s">
        <v>56971</v>
      </c>
      <c r="C11242" s="3" t="s">
        <v>31</v>
      </c>
      <c r="D11242" s="3" t="s">
        <v>32</v>
      </c>
      <c r="E11242" s="4" t="s">
        <v>22</v>
      </c>
      <c r="F11242" s="4" t="s">
        <v>56972</v>
      </c>
      <c r="G11242" s="4" t="s">
        <v>56973</v>
      </c>
      <c r="H11242" s="3" t="s">
        <v>54289</v>
      </c>
      <c r="I11242" s="3" t="s">
        <v>56974</v>
      </c>
      <c r="J11242" s="3" t="s">
        <v>56975</v>
      </c>
      <c r="K11242" s="3" t="s">
        <v>56976</v>
      </c>
      <c r="L11242" s="3" t="s">
        <v>56977</v>
      </c>
      <c r="M11242" s="4"/>
      <c r="N11242" s="3" t="s">
        <v>37</v>
      </c>
      <c r="O11242" s="3" t="s">
        <v>52</v>
      </c>
      <c r="P11242" s="5">
        <v>13</v>
      </c>
      <c r="Q11242" s="5">
        <v>234</v>
      </c>
      <c r="R11242" s="5">
        <v>11</v>
      </c>
      <c r="S11242" s="5">
        <v>221</v>
      </c>
    </row>
    <row r="11243" spans="1:19" ht="28" x14ac:dyDescent="0.15">
      <c r="A11243" s="2">
        <f>HYPERLINK("https://open-school.uspishnemisto.com.ua/school/560532/", 560532)</f>
        <v>560532</v>
      </c>
      <c r="B11243" s="3" t="s">
        <v>56978</v>
      </c>
      <c r="C11243" s="3" t="s">
        <v>31</v>
      </c>
      <c r="D11243" s="3" t="s">
        <v>175</v>
      </c>
      <c r="E11243" s="4" t="s">
        <v>22</v>
      </c>
      <c r="F11243" s="4" t="s">
        <v>56972</v>
      </c>
      <c r="G11243" s="4" t="s">
        <v>56979</v>
      </c>
      <c r="H11243" s="3" t="s">
        <v>54289</v>
      </c>
      <c r="I11243" s="3" t="s">
        <v>56980</v>
      </c>
      <c r="J11243" s="3" t="s">
        <v>37940</v>
      </c>
      <c r="K11243" s="3" t="s">
        <v>56981</v>
      </c>
      <c r="L11243" s="3"/>
      <c r="M11243" s="4"/>
      <c r="N11243" s="3" t="s">
        <v>37</v>
      </c>
      <c r="O11243" s="3" t="s">
        <v>52</v>
      </c>
      <c r="P11243" s="5">
        <v>9</v>
      </c>
      <c r="Q11243" s="5">
        <v>75</v>
      </c>
      <c r="R11243" s="5">
        <v>8</v>
      </c>
      <c r="S11243" s="5">
        <v>76</v>
      </c>
    </row>
    <row r="11244" spans="1:19" ht="28" x14ac:dyDescent="0.15">
      <c r="A11244" s="2">
        <f>HYPERLINK("https://open-school.uspishnemisto.com.ua/school/560533/", 560533)</f>
        <v>560533</v>
      </c>
      <c r="B11244" s="3" t="s">
        <v>56982</v>
      </c>
      <c r="C11244" s="3" t="s">
        <v>31</v>
      </c>
      <c r="D11244" s="3" t="s">
        <v>32</v>
      </c>
      <c r="E11244" s="4" t="s">
        <v>22</v>
      </c>
      <c r="F11244" s="4" t="s">
        <v>56983</v>
      </c>
      <c r="G11244" s="4" t="s">
        <v>56984</v>
      </c>
      <c r="H11244" s="3" t="s">
        <v>54289</v>
      </c>
      <c r="I11244" s="3" t="s">
        <v>56985</v>
      </c>
      <c r="J11244" s="3" t="s">
        <v>56986</v>
      </c>
      <c r="K11244" s="3" t="s">
        <v>56987</v>
      </c>
      <c r="L11244" s="3"/>
      <c r="M11244" s="4"/>
      <c r="N11244" s="3" t="s">
        <v>37</v>
      </c>
      <c r="O11244" s="3" t="s">
        <v>52</v>
      </c>
      <c r="P11244" s="5">
        <v>18</v>
      </c>
      <c r="Q11244" s="5">
        <v>396</v>
      </c>
      <c r="R11244" s="5">
        <v>18</v>
      </c>
      <c r="S11244" s="5">
        <v>373</v>
      </c>
    </row>
    <row r="11245" spans="1:19" ht="28" x14ac:dyDescent="0.15">
      <c r="A11245" s="2">
        <f>HYPERLINK("https://open-school.uspishnemisto.com.ua/school/560534/", 560534)</f>
        <v>560534</v>
      </c>
      <c r="B11245" s="3" t="s">
        <v>56988</v>
      </c>
      <c r="C11245" s="3" t="s">
        <v>31</v>
      </c>
      <c r="D11245" s="3" t="s">
        <v>32</v>
      </c>
      <c r="E11245" s="4" t="s">
        <v>22</v>
      </c>
      <c r="F11245" s="4" t="s">
        <v>56989</v>
      </c>
      <c r="G11245" s="4" t="s">
        <v>56990</v>
      </c>
      <c r="H11245" s="3" t="s">
        <v>54289</v>
      </c>
      <c r="I11245" s="3" t="s">
        <v>56991</v>
      </c>
      <c r="J11245" s="3" t="s">
        <v>792</v>
      </c>
      <c r="K11245" s="3" t="s">
        <v>56992</v>
      </c>
      <c r="L11245" s="3"/>
      <c r="M11245" s="4"/>
      <c r="N11245" s="3" t="s">
        <v>37</v>
      </c>
      <c r="O11245" s="3" t="s">
        <v>46</v>
      </c>
      <c r="P11245" s="5">
        <v>11</v>
      </c>
      <c r="Q11245" s="5">
        <v>140</v>
      </c>
      <c r="R11245" s="5">
        <v>11</v>
      </c>
      <c r="S11245" s="5">
        <v>140</v>
      </c>
    </row>
    <row r="11246" spans="1:19" ht="28" x14ac:dyDescent="0.15">
      <c r="A11246" s="2">
        <f>HYPERLINK("https://open-school.uspishnemisto.com.ua/school/560535/", 560535)</f>
        <v>560535</v>
      </c>
      <c r="B11246" s="3" t="s">
        <v>56993</v>
      </c>
      <c r="C11246" s="3" t="s">
        <v>31</v>
      </c>
      <c r="D11246" s="3" t="s">
        <v>175</v>
      </c>
      <c r="E11246" s="4" t="s">
        <v>22</v>
      </c>
      <c r="F11246" s="4" t="s">
        <v>56994</v>
      </c>
      <c r="G11246" s="4" t="s">
        <v>56995</v>
      </c>
      <c r="H11246" s="3" t="s">
        <v>54289</v>
      </c>
      <c r="I11246" s="3" t="s">
        <v>56996</v>
      </c>
      <c r="J11246" s="3" t="s">
        <v>56997</v>
      </c>
      <c r="K11246" s="3" t="s">
        <v>56998</v>
      </c>
      <c r="L11246" s="3"/>
      <c r="M11246" s="4"/>
      <c r="N11246" s="3" t="s">
        <v>37</v>
      </c>
      <c r="O11246" s="3" t="s">
        <v>46</v>
      </c>
      <c r="P11246" s="5">
        <v>5</v>
      </c>
      <c r="Q11246" s="5">
        <v>36</v>
      </c>
      <c r="R11246" s="5">
        <v>4</v>
      </c>
      <c r="S11246" s="5">
        <v>35</v>
      </c>
    </row>
    <row r="11247" spans="1:19" ht="56" x14ac:dyDescent="0.15">
      <c r="A11247" s="2">
        <f>HYPERLINK("https://open-school.uspishnemisto.com.ua/school/560536/", 560536)</f>
        <v>560536</v>
      </c>
      <c r="B11247" s="3" t="s">
        <v>56999</v>
      </c>
      <c r="C11247" s="3" t="s">
        <v>54</v>
      </c>
      <c r="D11247" s="3" t="s">
        <v>175</v>
      </c>
      <c r="E11247" s="4" t="s">
        <v>22</v>
      </c>
      <c r="F11247" s="4" t="s">
        <v>57000</v>
      </c>
      <c r="G11247" s="4" t="s">
        <v>57001</v>
      </c>
      <c r="H11247" s="3" t="s">
        <v>54289</v>
      </c>
      <c r="I11247" s="3" t="s">
        <v>57002</v>
      </c>
      <c r="J11247" s="3" t="s">
        <v>466</v>
      </c>
      <c r="K11247" s="3" t="s">
        <v>57003</v>
      </c>
      <c r="L11247" s="3" t="s">
        <v>57004</v>
      </c>
      <c r="M11247" s="4"/>
      <c r="N11247" s="3" t="s">
        <v>37</v>
      </c>
      <c r="O11247" s="3" t="s">
        <v>46</v>
      </c>
      <c r="P11247" s="5">
        <v>9</v>
      </c>
      <c r="Q11247" s="5">
        <v>99</v>
      </c>
      <c r="R11247" s="5">
        <v>9</v>
      </c>
      <c r="S11247" s="5">
        <v>97</v>
      </c>
    </row>
    <row r="11248" spans="1:19" ht="56" x14ac:dyDescent="0.15">
      <c r="A11248" s="2">
        <f>HYPERLINK("https://open-school.uspishnemisto.com.ua/school/560537/", 560537)</f>
        <v>560537</v>
      </c>
      <c r="B11248" s="3" t="s">
        <v>57005</v>
      </c>
      <c r="C11248" s="3" t="s">
        <v>54</v>
      </c>
      <c r="D11248" s="3" t="s">
        <v>32</v>
      </c>
      <c r="E11248" s="4" t="s">
        <v>22</v>
      </c>
      <c r="F11248" s="4" t="s">
        <v>57006</v>
      </c>
      <c r="G11248" s="4" t="s">
        <v>57007</v>
      </c>
      <c r="H11248" s="3" t="s">
        <v>54289</v>
      </c>
      <c r="I11248" s="3" t="s">
        <v>57008</v>
      </c>
      <c r="J11248" s="3" t="s">
        <v>4822</v>
      </c>
      <c r="K11248" s="3" t="s">
        <v>57009</v>
      </c>
      <c r="L11248" s="3" t="s">
        <v>57010</v>
      </c>
      <c r="M11248" s="4" t="s">
        <v>57011</v>
      </c>
      <c r="N11248" s="3" t="s">
        <v>37</v>
      </c>
      <c r="O11248" s="3" t="s">
        <v>52</v>
      </c>
      <c r="P11248" s="5">
        <v>19</v>
      </c>
      <c r="Q11248" s="5">
        <v>401</v>
      </c>
      <c r="R11248" s="5">
        <v>17</v>
      </c>
      <c r="S11248" s="5">
        <v>367</v>
      </c>
    </row>
    <row r="11249" spans="1:19" ht="56" x14ac:dyDescent="0.15">
      <c r="A11249" s="2">
        <f>HYPERLINK("https://open-school.uspishnemisto.com.ua/school/560538/", 560538)</f>
        <v>560538</v>
      </c>
      <c r="B11249" s="3" t="s">
        <v>57012</v>
      </c>
      <c r="C11249" s="3" t="s">
        <v>54</v>
      </c>
      <c r="D11249" s="3" t="s">
        <v>32</v>
      </c>
      <c r="E11249" s="4" t="s">
        <v>22</v>
      </c>
      <c r="F11249" s="4" t="s">
        <v>57013</v>
      </c>
      <c r="G11249" s="4" t="s">
        <v>57014</v>
      </c>
      <c r="H11249" s="3" t="s">
        <v>54289</v>
      </c>
      <c r="I11249" s="3" t="s">
        <v>57015</v>
      </c>
      <c r="J11249" s="3" t="s">
        <v>2745</v>
      </c>
      <c r="K11249" s="3" t="s">
        <v>57016</v>
      </c>
      <c r="L11249" s="3" t="s">
        <v>57017</v>
      </c>
      <c r="M11249" s="4"/>
      <c r="N11249" s="3" t="s">
        <v>37</v>
      </c>
      <c r="O11249" s="3" t="s">
        <v>46</v>
      </c>
      <c r="P11249" s="5">
        <v>20</v>
      </c>
      <c r="Q11249" s="5">
        <v>397</v>
      </c>
      <c r="R11249" s="5">
        <v>20</v>
      </c>
      <c r="S11249" s="5">
        <v>402</v>
      </c>
    </row>
    <row r="11250" spans="1:19" ht="28" x14ac:dyDescent="0.15">
      <c r="A11250" s="2">
        <f>HYPERLINK("https://open-school.uspishnemisto.com.ua/school/560539/", 560539)</f>
        <v>560539</v>
      </c>
      <c r="B11250" s="3" t="s">
        <v>57018</v>
      </c>
      <c r="C11250" s="3" t="s">
        <v>31</v>
      </c>
      <c r="D11250" s="3" t="s">
        <v>175</v>
      </c>
      <c r="E11250" s="4" t="s">
        <v>22</v>
      </c>
      <c r="F11250" s="4" t="s">
        <v>57019</v>
      </c>
      <c r="G11250" s="4" t="s">
        <v>57020</v>
      </c>
      <c r="H11250" s="3" t="s">
        <v>54289</v>
      </c>
      <c r="I11250" s="3" t="s">
        <v>57021</v>
      </c>
      <c r="J11250" s="3" t="s">
        <v>3363</v>
      </c>
      <c r="K11250" s="3" t="s">
        <v>57022</v>
      </c>
      <c r="L11250" s="3"/>
      <c r="M11250" s="4"/>
      <c r="N11250" s="3" t="s">
        <v>37</v>
      </c>
      <c r="O11250" s="3" t="s">
        <v>52</v>
      </c>
      <c r="P11250" s="5">
        <v>6</v>
      </c>
      <c r="Q11250" s="5">
        <v>52</v>
      </c>
      <c r="R11250" s="5">
        <v>5</v>
      </c>
      <c r="S11250" s="5">
        <v>46</v>
      </c>
    </row>
    <row r="11251" spans="1:19" ht="28" x14ac:dyDescent="0.15">
      <c r="A11251" s="2">
        <f>HYPERLINK("https://open-school.uspishnemisto.com.ua/school/560540/", 560540)</f>
        <v>560540</v>
      </c>
      <c r="B11251" s="3" t="s">
        <v>57023</v>
      </c>
      <c r="C11251" s="3" t="s">
        <v>31</v>
      </c>
      <c r="D11251" s="3" t="s">
        <v>60</v>
      </c>
      <c r="E11251" s="4" t="s">
        <v>22</v>
      </c>
      <c r="F11251" s="4" t="s">
        <v>57019</v>
      </c>
      <c r="G11251" s="4" t="s">
        <v>57024</v>
      </c>
      <c r="H11251" s="3" t="s">
        <v>54289</v>
      </c>
      <c r="I11251" s="3" t="s">
        <v>54741</v>
      </c>
      <c r="J11251" s="3" t="s">
        <v>19629</v>
      </c>
      <c r="K11251" s="3" t="s">
        <v>57025</v>
      </c>
      <c r="L11251" s="3"/>
      <c r="M11251" s="4"/>
      <c r="N11251" s="3" t="s">
        <v>37</v>
      </c>
      <c r="O11251" s="3" t="s">
        <v>52</v>
      </c>
      <c r="P11251" s="5">
        <v>4</v>
      </c>
      <c r="Q11251" s="5">
        <v>25</v>
      </c>
      <c r="R11251" s="5">
        <v>4</v>
      </c>
      <c r="S11251" s="5">
        <v>23</v>
      </c>
    </row>
    <row r="11252" spans="1:19" ht="28" x14ac:dyDescent="0.15">
      <c r="A11252" s="2">
        <f>HYPERLINK("https://open-school.uspishnemisto.com.ua/school/560541/", 560541)</f>
        <v>560541</v>
      </c>
      <c r="B11252" s="3" t="s">
        <v>57026</v>
      </c>
      <c r="C11252" s="3" t="s">
        <v>31</v>
      </c>
      <c r="D11252" s="3" t="s">
        <v>32</v>
      </c>
      <c r="E11252" s="4" t="s">
        <v>22</v>
      </c>
      <c r="F11252" s="4" t="s">
        <v>57027</v>
      </c>
      <c r="G11252" s="4" t="s">
        <v>57028</v>
      </c>
      <c r="H11252" s="3" t="s">
        <v>54289</v>
      </c>
      <c r="I11252" s="3" t="s">
        <v>57029</v>
      </c>
      <c r="J11252" s="3" t="s">
        <v>5998</v>
      </c>
      <c r="K11252" s="3" t="s">
        <v>57030</v>
      </c>
      <c r="L11252" s="3" t="s">
        <v>57031</v>
      </c>
      <c r="M11252" s="4"/>
      <c r="N11252" s="3" t="s">
        <v>37</v>
      </c>
      <c r="O11252" s="3" t="s">
        <v>52</v>
      </c>
      <c r="P11252" s="5">
        <v>14</v>
      </c>
      <c r="Q11252" s="5">
        <v>283</v>
      </c>
      <c r="R11252" s="5">
        <v>14</v>
      </c>
      <c r="S11252" s="5">
        <v>291</v>
      </c>
    </row>
    <row r="11253" spans="1:19" ht="28" x14ac:dyDescent="0.15">
      <c r="A11253" s="2">
        <f>HYPERLINK("https://open-school.uspishnemisto.com.ua/school/560542/", 560542)</f>
        <v>560542</v>
      </c>
      <c r="B11253" s="3" t="s">
        <v>57032</v>
      </c>
      <c r="C11253" s="3" t="s">
        <v>31</v>
      </c>
      <c r="D11253" s="3" t="s">
        <v>175</v>
      </c>
      <c r="E11253" s="4" t="s">
        <v>22</v>
      </c>
      <c r="F11253" s="4" t="s">
        <v>57033</v>
      </c>
      <c r="G11253" s="4" t="s">
        <v>57034</v>
      </c>
      <c r="H11253" s="3" t="s">
        <v>54289</v>
      </c>
      <c r="I11253" s="3" t="s">
        <v>57035</v>
      </c>
      <c r="J11253" s="3" t="s">
        <v>57036</v>
      </c>
      <c r="K11253" s="3" t="s">
        <v>57037</v>
      </c>
      <c r="L11253" s="3"/>
      <c r="M11253" s="4"/>
      <c r="N11253" s="3" t="s">
        <v>37</v>
      </c>
      <c r="O11253" s="3" t="s">
        <v>52</v>
      </c>
      <c r="P11253" s="5">
        <v>6</v>
      </c>
      <c r="Q11253" s="5">
        <v>43</v>
      </c>
      <c r="R11253" s="5">
        <v>5</v>
      </c>
      <c r="S11253" s="5">
        <v>43</v>
      </c>
    </row>
    <row r="11254" spans="1:19" ht="28" x14ac:dyDescent="0.15">
      <c r="A11254" s="2">
        <f>HYPERLINK("https://open-school.uspishnemisto.com.ua/school/560543/", 560543)</f>
        <v>560543</v>
      </c>
      <c r="B11254" s="3" t="s">
        <v>57038</v>
      </c>
      <c r="C11254" s="3" t="s">
        <v>31</v>
      </c>
      <c r="D11254" s="3" t="s">
        <v>175</v>
      </c>
      <c r="E11254" s="4" t="s">
        <v>22</v>
      </c>
      <c r="F11254" s="4" t="s">
        <v>57033</v>
      </c>
      <c r="G11254" s="4" t="s">
        <v>57039</v>
      </c>
      <c r="H11254" s="3" t="s">
        <v>54289</v>
      </c>
      <c r="I11254" s="3" t="s">
        <v>57040</v>
      </c>
      <c r="J11254" s="3" t="s">
        <v>1868</v>
      </c>
      <c r="K11254" s="3" t="s">
        <v>57041</v>
      </c>
      <c r="L11254" s="3"/>
      <c r="M11254" s="4"/>
      <c r="N11254" s="3" t="s">
        <v>37</v>
      </c>
      <c r="O11254" s="3" t="s">
        <v>52</v>
      </c>
      <c r="P11254" s="5">
        <v>8</v>
      </c>
      <c r="Q11254" s="5">
        <v>52</v>
      </c>
      <c r="R11254" s="5">
        <v>7</v>
      </c>
      <c r="S11254" s="5">
        <v>46</v>
      </c>
    </row>
    <row r="11255" spans="1:19" ht="42" x14ac:dyDescent="0.15">
      <c r="A11255" s="2">
        <f>HYPERLINK("https://open-school.uspishnemisto.com.ua/school/560544/", 560544)</f>
        <v>560544</v>
      </c>
      <c r="B11255" s="3" t="s">
        <v>57042</v>
      </c>
      <c r="C11255" s="3" t="s">
        <v>31</v>
      </c>
      <c r="D11255" s="3" t="s">
        <v>32</v>
      </c>
      <c r="E11255" s="4" t="s">
        <v>22</v>
      </c>
      <c r="F11255" s="4" t="s">
        <v>57043</v>
      </c>
      <c r="G11255" s="4" t="s">
        <v>57044</v>
      </c>
      <c r="H11255" s="3" t="s">
        <v>54289</v>
      </c>
      <c r="I11255" s="3" t="s">
        <v>33585</v>
      </c>
      <c r="J11255" s="3" t="s">
        <v>57045</v>
      </c>
      <c r="K11255" s="3" t="s">
        <v>57046</v>
      </c>
      <c r="L11255" s="3"/>
      <c r="M11255" s="4"/>
      <c r="N11255" s="3" t="s">
        <v>37</v>
      </c>
      <c r="O11255" s="3" t="s">
        <v>52</v>
      </c>
      <c r="P11255" s="5">
        <v>33</v>
      </c>
      <c r="Q11255" s="5">
        <v>746</v>
      </c>
      <c r="R11255" s="5">
        <v>32</v>
      </c>
      <c r="S11255" s="5">
        <v>702</v>
      </c>
    </row>
    <row r="11256" spans="1:19" ht="42" x14ac:dyDescent="0.15">
      <c r="A11256" s="2">
        <f>HYPERLINK("https://open-school.uspishnemisto.com.ua/school/560545/", 560545)</f>
        <v>560545</v>
      </c>
      <c r="B11256" s="3" t="s">
        <v>57047</v>
      </c>
      <c r="C11256" s="3" t="s">
        <v>54</v>
      </c>
      <c r="D11256" s="3" t="s">
        <v>32</v>
      </c>
      <c r="E11256" s="4" t="s">
        <v>22</v>
      </c>
      <c r="F11256" s="4" t="s">
        <v>57043</v>
      </c>
      <c r="G11256" s="4" t="s">
        <v>57044</v>
      </c>
      <c r="H11256" s="3" t="s">
        <v>54289</v>
      </c>
      <c r="I11256" s="3" t="s">
        <v>33585</v>
      </c>
      <c r="J11256" s="3" t="s">
        <v>8218</v>
      </c>
      <c r="K11256" s="3" t="s">
        <v>57048</v>
      </c>
      <c r="L11256" s="3"/>
      <c r="M11256" s="4" t="s">
        <v>57049</v>
      </c>
      <c r="N11256" s="3" t="s">
        <v>37</v>
      </c>
      <c r="O11256" s="3" t="s">
        <v>46</v>
      </c>
      <c r="P11256" s="5">
        <v>25</v>
      </c>
      <c r="Q11256" s="5">
        <v>621</v>
      </c>
      <c r="R11256" s="5">
        <v>25</v>
      </c>
      <c r="S11256" s="5">
        <v>615</v>
      </c>
    </row>
    <row r="11257" spans="1:19" ht="28" x14ac:dyDescent="0.15">
      <c r="A11257" s="2">
        <f>HYPERLINK("https://open-school.uspishnemisto.com.ua/school/560546/", 560546)</f>
        <v>560546</v>
      </c>
      <c r="B11257" s="3" t="s">
        <v>57050</v>
      </c>
      <c r="C11257" s="3" t="s">
        <v>31</v>
      </c>
      <c r="D11257" s="3" t="s">
        <v>175</v>
      </c>
      <c r="E11257" s="4" t="s">
        <v>22</v>
      </c>
      <c r="F11257" s="4" t="s">
        <v>57051</v>
      </c>
      <c r="G11257" s="4" t="s">
        <v>57052</v>
      </c>
      <c r="H11257" s="3" t="s">
        <v>54289</v>
      </c>
      <c r="I11257" s="3" t="s">
        <v>57053</v>
      </c>
      <c r="J11257" s="3" t="s">
        <v>57054</v>
      </c>
      <c r="K11257" s="3" t="s">
        <v>57055</v>
      </c>
      <c r="L11257" s="3" t="s">
        <v>57056</v>
      </c>
      <c r="M11257" s="4" t="s">
        <v>57057</v>
      </c>
      <c r="N11257" s="3" t="s">
        <v>37</v>
      </c>
      <c r="O11257" s="3" t="s">
        <v>52</v>
      </c>
      <c r="P11257" s="5">
        <v>8</v>
      </c>
      <c r="Q11257" s="5">
        <v>53</v>
      </c>
      <c r="R11257" s="5">
        <v>8</v>
      </c>
      <c r="S11257" s="5">
        <v>53</v>
      </c>
    </row>
    <row r="11258" spans="1:19" ht="42" x14ac:dyDescent="0.15">
      <c r="A11258" s="2">
        <f>HYPERLINK("https://open-school.uspishnemisto.com.ua/school/560547/", 560547)</f>
        <v>560547</v>
      </c>
      <c r="B11258" s="3" t="s">
        <v>57058</v>
      </c>
      <c r="C11258" s="3" t="s">
        <v>54</v>
      </c>
      <c r="D11258" s="3" t="s">
        <v>32</v>
      </c>
      <c r="E11258" s="4" t="s">
        <v>22</v>
      </c>
      <c r="F11258" s="4" t="s">
        <v>57059</v>
      </c>
      <c r="G11258" s="4" t="s">
        <v>57052</v>
      </c>
      <c r="H11258" s="3" t="s">
        <v>54289</v>
      </c>
      <c r="I11258" s="3" t="s">
        <v>57053</v>
      </c>
      <c r="J11258" s="3" t="s">
        <v>57060</v>
      </c>
      <c r="K11258" s="3" t="s">
        <v>57061</v>
      </c>
      <c r="L11258" s="3"/>
      <c r="M11258" s="4" t="s">
        <v>57062</v>
      </c>
      <c r="N11258" s="3" t="s">
        <v>37</v>
      </c>
      <c r="O11258" s="3" t="s">
        <v>52</v>
      </c>
      <c r="P11258" s="5">
        <v>15</v>
      </c>
      <c r="Q11258" s="5">
        <v>294</v>
      </c>
      <c r="R11258" s="5">
        <v>16</v>
      </c>
      <c r="S11258" s="5">
        <v>298</v>
      </c>
    </row>
    <row r="11259" spans="1:19" ht="28" x14ac:dyDescent="0.15">
      <c r="A11259" s="2">
        <f>HYPERLINK("https://open-school.uspishnemisto.com.ua/school/560548/", 560548)</f>
        <v>560548</v>
      </c>
      <c r="B11259" s="3" t="s">
        <v>57063</v>
      </c>
      <c r="C11259" s="3" t="s">
        <v>31</v>
      </c>
      <c r="D11259" s="3" t="s">
        <v>32</v>
      </c>
      <c r="E11259" s="4" t="s">
        <v>22</v>
      </c>
      <c r="F11259" s="4" t="s">
        <v>57064</v>
      </c>
      <c r="G11259" s="4" t="s">
        <v>57065</v>
      </c>
      <c r="H11259" s="3" t="s">
        <v>54289</v>
      </c>
      <c r="I11259" s="3" t="s">
        <v>57066</v>
      </c>
      <c r="J11259" s="3" t="s">
        <v>3266</v>
      </c>
      <c r="K11259" s="3" t="s">
        <v>57067</v>
      </c>
      <c r="L11259" s="3"/>
      <c r="M11259" s="4"/>
      <c r="N11259" s="3" t="s">
        <v>37</v>
      </c>
      <c r="O11259" s="3" t="s">
        <v>52</v>
      </c>
      <c r="P11259" s="5">
        <v>16</v>
      </c>
      <c r="Q11259" s="5">
        <v>283</v>
      </c>
      <c r="R11259" s="5">
        <v>16</v>
      </c>
      <c r="S11259" s="5">
        <v>275</v>
      </c>
    </row>
    <row r="11260" spans="1:19" ht="28" x14ac:dyDescent="0.15">
      <c r="A11260" s="2">
        <f>HYPERLINK("https://open-school.uspishnemisto.com.ua/school/560549/", 560549)</f>
        <v>560549</v>
      </c>
      <c r="B11260" s="3" t="s">
        <v>57068</v>
      </c>
      <c r="C11260" s="3" t="s">
        <v>31</v>
      </c>
      <c r="D11260" s="3" t="s">
        <v>175</v>
      </c>
      <c r="E11260" s="4" t="s">
        <v>22</v>
      </c>
      <c r="F11260" s="4" t="s">
        <v>57069</v>
      </c>
      <c r="G11260" s="4" t="s">
        <v>57070</v>
      </c>
      <c r="H11260" s="3" t="s">
        <v>54289</v>
      </c>
      <c r="I11260" s="3" t="s">
        <v>57071</v>
      </c>
      <c r="J11260" s="3" t="s">
        <v>57072</v>
      </c>
      <c r="K11260" s="3" t="s">
        <v>57073</v>
      </c>
      <c r="L11260" s="3"/>
      <c r="M11260" s="4" t="s">
        <v>57074</v>
      </c>
      <c r="N11260" s="3" t="s">
        <v>37</v>
      </c>
      <c r="O11260" s="3" t="s">
        <v>52</v>
      </c>
      <c r="P11260" s="5">
        <v>9</v>
      </c>
      <c r="Q11260" s="5">
        <v>81</v>
      </c>
      <c r="R11260" s="5">
        <v>9</v>
      </c>
      <c r="S11260" s="5">
        <v>81</v>
      </c>
    </row>
    <row r="11261" spans="1:19" ht="56" x14ac:dyDescent="0.15">
      <c r="A11261" s="2">
        <f>HYPERLINK("https://open-school.uspishnemisto.com.ua/school/560550/", 560550)</f>
        <v>560550</v>
      </c>
      <c r="B11261" s="3" t="s">
        <v>57075</v>
      </c>
      <c r="C11261" s="3" t="s">
        <v>54</v>
      </c>
      <c r="D11261" s="3" t="s">
        <v>32</v>
      </c>
      <c r="E11261" s="4" t="s">
        <v>22</v>
      </c>
      <c r="F11261" s="4" t="s">
        <v>57076</v>
      </c>
      <c r="G11261" s="4" t="s">
        <v>57077</v>
      </c>
      <c r="H11261" s="3" t="s">
        <v>54289</v>
      </c>
      <c r="I11261" s="3" t="s">
        <v>12558</v>
      </c>
      <c r="J11261" s="3" t="s">
        <v>466</v>
      </c>
      <c r="K11261" s="3" t="s">
        <v>57078</v>
      </c>
      <c r="L11261" s="3" t="s">
        <v>57079</v>
      </c>
      <c r="M11261" s="4" t="s">
        <v>57080</v>
      </c>
      <c r="N11261" s="3" t="s">
        <v>37</v>
      </c>
      <c r="O11261" s="3" t="s">
        <v>46</v>
      </c>
      <c r="P11261" s="5">
        <v>37</v>
      </c>
      <c r="Q11261" s="5">
        <v>846</v>
      </c>
      <c r="R11261" s="5">
        <v>34</v>
      </c>
      <c r="S11261" s="5">
        <v>805</v>
      </c>
    </row>
    <row r="11262" spans="1:19" ht="28" x14ac:dyDescent="0.15">
      <c r="A11262" s="2">
        <f>HYPERLINK("https://open-school.uspishnemisto.com.ua/school/560551/", 560551)</f>
        <v>560551</v>
      </c>
      <c r="B11262" s="3" t="s">
        <v>57081</v>
      </c>
      <c r="C11262" s="3" t="s">
        <v>54</v>
      </c>
      <c r="D11262" s="3" t="s">
        <v>175</v>
      </c>
      <c r="E11262" s="4" t="s">
        <v>22</v>
      </c>
      <c r="F11262" s="4" t="s">
        <v>57076</v>
      </c>
      <c r="G11262" s="4" t="s">
        <v>57082</v>
      </c>
      <c r="H11262" s="3" t="s">
        <v>54289</v>
      </c>
      <c r="I11262" s="3" t="s">
        <v>7236</v>
      </c>
      <c r="J11262" s="3" t="s">
        <v>4319</v>
      </c>
      <c r="K11262" s="3" t="s">
        <v>57083</v>
      </c>
      <c r="L11262" s="3" t="s">
        <v>57084</v>
      </c>
      <c r="M11262" s="4" t="s">
        <v>57085</v>
      </c>
      <c r="N11262" s="3" t="s">
        <v>37</v>
      </c>
      <c r="O11262" s="3" t="s">
        <v>52</v>
      </c>
      <c r="P11262" s="5">
        <v>9</v>
      </c>
      <c r="Q11262" s="5">
        <v>113</v>
      </c>
      <c r="R11262" s="5">
        <v>9</v>
      </c>
      <c r="S11262" s="5">
        <v>113</v>
      </c>
    </row>
    <row r="11263" spans="1:19" ht="28" x14ac:dyDescent="0.15">
      <c r="A11263" s="2">
        <f>HYPERLINK("https://open-school.uspishnemisto.com.ua/school/560552/", 560552)</f>
        <v>560552</v>
      </c>
      <c r="B11263" s="3" t="s">
        <v>57086</v>
      </c>
      <c r="C11263" s="3" t="s">
        <v>31</v>
      </c>
      <c r="D11263" s="3" t="s">
        <v>32</v>
      </c>
      <c r="E11263" s="4" t="s">
        <v>22</v>
      </c>
      <c r="F11263" s="4" t="s">
        <v>57087</v>
      </c>
      <c r="G11263" s="4" t="s">
        <v>57088</v>
      </c>
      <c r="H11263" s="3" t="s">
        <v>54289</v>
      </c>
      <c r="I11263" s="3" t="s">
        <v>57089</v>
      </c>
      <c r="J11263" s="3" t="s">
        <v>466</v>
      </c>
      <c r="K11263" s="3" t="s">
        <v>57090</v>
      </c>
      <c r="L11263" s="3"/>
      <c r="M11263" s="4"/>
      <c r="N11263" s="3" t="s">
        <v>37</v>
      </c>
      <c r="O11263" s="3" t="s">
        <v>46</v>
      </c>
      <c r="P11263" s="5">
        <v>16</v>
      </c>
      <c r="Q11263" s="5">
        <v>305</v>
      </c>
      <c r="R11263" s="5">
        <v>16</v>
      </c>
      <c r="S11263" s="5">
        <v>291</v>
      </c>
    </row>
    <row r="11264" spans="1:19" ht="28" x14ac:dyDescent="0.15">
      <c r="A11264" s="2">
        <f>HYPERLINK("https://open-school.uspishnemisto.com.ua/school/560553/", 560553)</f>
        <v>560553</v>
      </c>
      <c r="B11264" s="3" t="s">
        <v>57091</v>
      </c>
      <c r="C11264" s="3" t="s">
        <v>31</v>
      </c>
      <c r="D11264" s="3" t="s">
        <v>32</v>
      </c>
      <c r="E11264" s="4" t="s">
        <v>22</v>
      </c>
      <c r="F11264" s="4" t="s">
        <v>55051</v>
      </c>
      <c r="G11264" s="4" t="s">
        <v>57092</v>
      </c>
      <c r="H11264" s="3" t="s">
        <v>54289</v>
      </c>
      <c r="I11264" s="3" t="s">
        <v>52546</v>
      </c>
      <c r="J11264" s="3" t="s">
        <v>5264</v>
      </c>
      <c r="K11264" s="3" t="s">
        <v>57093</v>
      </c>
      <c r="L11264" s="3" t="s">
        <v>57094</v>
      </c>
      <c r="M11264" s="4" t="s">
        <v>57095</v>
      </c>
      <c r="N11264" s="3" t="s">
        <v>37</v>
      </c>
      <c r="O11264" s="3" t="s">
        <v>46</v>
      </c>
      <c r="P11264" s="5">
        <v>11</v>
      </c>
      <c r="Q11264" s="5">
        <v>163</v>
      </c>
      <c r="R11264" s="5">
        <v>11</v>
      </c>
      <c r="S11264" s="5">
        <v>168</v>
      </c>
    </row>
    <row r="11265" spans="1:19" ht="28" x14ac:dyDescent="0.15">
      <c r="A11265" s="2">
        <f>HYPERLINK("https://open-school.uspishnemisto.com.ua/school/560554/", 560554)</f>
        <v>560554</v>
      </c>
      <c r="B11265" s="3" t="s">
        <v>57096</v>
      </c>
      <c r="C11265" s="3" t="s">
        <v>31</v>
      </c>
      <c r="D11265" s="3" t="s">
        <v>175</v>
      </c>
      <c r="E11265" s="4" t="s">
        <v>22</v>
      </c>
      <c r="F11265" s="4" t="s">
        <v>57097</v>
      </c>
      <c r="G11265" s="4" t="s">
        <v>57098</v>
      </c>
      <c r="H11265" s="3" t="s">
        <v>54289</v>
      </c>
      <c r="I11265" s="3" t="s">
        <v>57099</v>
      </c>
      <c r="J11265" s="3" t="s">
        <v>5632</v>
      </c>
      <c r="K11265" s="3" t="s">
        <v>57100</v>
      </c>
      <c r="L11265" s="3"/>
      <c r="M11265" s="4"/>
      <c r="N11265" s="3" t="s">
        <v>37</v>
      </c>
      <c r="O11265" s="3" t="s">
        <v>52</v>
      </c>
      <c r="P11265" s="5">
        <v>9</v>
      </c>
      <c r="Q11265" s="5">
        <v>104</v>
      </c>
      <c r="R11265" s="5">
        <v>9</v>
      </c>
      <c r="S11265" s="5">
        <v>104</v>
      </c>
    </row>
    <row r="11266" spans="1:19" ht="28" x14ac:dyDescent="0.15">
      <c r="A11266" s="2">
        <f>HYPERLINK("https://open-school.uspishnemisto.com.ua/school/560555/", 560555)</f>
        <v>560555</v>
      </c>
      <c r="B11266" s="3" t="s">
        <v>57101</v>
      </c>
      <c r="C11266" s="3" t="s">
        <v>31</v>
      </c>
      <c r="D11266" s="3" t="s">
        <v>32</v>
      </c>
      <c r="E11266" s="4" t="s">
        <v>22</v>
      </c>
      <c r="F11266" s="4" t="s">
        <v>57102</v>
      </c>
      <c r="G11266" s="4" t="s">
        <v>57103</v>
      </c>
      <c r="H11266" s="3" t="s">
        <v>54289</v>
      </c>
      <c r="I11266" s="3" t="s">
        <v>42866</v>
      </c>
      <c r="J11266" s="3" t="s">
        <v>1636</v>
      </c>
      <c r="K11266" s="3" t="s">
        <v>57104</v>
      </c>
      <c r="L11266" s="3"/>
      <c r="M11266" s="4"/>
      <c r="N11266" s="3" t="s">
        <v>37</v>
      </c>
      <c r="O11266" s="3" t="s">
        <v>46</v>
      </c>
      <c r="P11266" s="5">
        <v>20</v>
      </c>
      <c r="Q11266" s="5">
        <v>374</v>
      </c>
      <c r="R11266" s="5">
        <v>18</v>
      </c>
      <c r="S11266" s="5">
        <v>364</v>
      </c>
    </row>
    <row r="11267" spans="1:19" ht="28" x14ac:dyDescent="0.15">
      <c r="A11267" s="2">
        <f>HYPERLINK("https://open-school.uspishnemisto.com.ua/school/560556/", 560556)</f>
        <v>560556</v>
      </c>
      <c r="B11267" s="3" t="s">
        <v>57105</v>
      </c>
      <c r="C11267" s="3" t="s">
        <v>31</v>
      </c>
      <c r="D11267" s="3" t="s">
        <v>175</v>
      </c>
      <c r="E11267" s="4" t="s">
        <v>22</v>
      </c>
      <c r="F11267" s="4" t="s">
        <v>57106</v>
      </c>
      <c r="G11267" s="4" t="s">
        <v>57107</v>
      </c>
      <c r="H11267" s="3" t="s">
        <v>54289</v>
      </c>
      <c r="I11267" s="3" t="s">
        <v>57108</v>
      </c>
      <c r="J11267" s="3" t="s">
        <v>57109</v>
      </c>
      <c r="K11267" s="3" t="s">
        <v>57110</v>
      </c>
      <c r="L11267" s="3" t="s">
        <v>57111</v>
      </c>
      <c r="M11267" s="4" t="s">
        <v>57112</v>
      </c>
      <c r="N11267" s="3" t="s">
        <v>37</v>
      </c>
      <c r="O11267" s="3" t="s">
        <v>46</v>
      </c>
      <c r="P11267" s="5">
        <v>9</v>
      </c>
      <c r="Q11267" s="5">
        <v>78</v>
      </c>
      <c r="R11267" s="5">
        <v>9</v>
      </c>
      <c r="S11267" s="5">
        <v>84</v>
      </c>
    </row>
    <row r="11268" spans="1:19" ht="42" x14ac:dyDescent="0.15">
      <c r="A11268" s="2">
        <f>HYPERLINK("https://open-school.uspishnemisto.com.ua/school/560557/", 560557)</f>
        <v>560557</v>
      </c>
      <c r="B11268" s="3" t="s">
        <v>57113</v>
      </c>
      <c r="C11268" s="3" t="s">
        <v>54</v>
      </c>
      <c r="D11268" s="3" t="s">
        <v>32</v>
      </c>
      <c r="E11268" s="4" t="s">
        <v>22</v>
      </c>
      <c r="F11268" s="4" t="s">
        <v>57114</v>
      </c>
      <c r="G11268" s="4" t="s">
        <v>57115</v>
      </c>
      <c r="H11268" s="3" t="s">
        <v>54289</v>
      </c>
      <c r="I11268" s="3" t="s">
        <v>57116</v>
      </c>
      <c r="J11268" s="3" t="s">
        <v>2555</v>
      </c>
      <c r="K11268" s="3" t="s">
        <v>57117</v>
      </c>
      <c r="L11268" s="3" t="s">
        <v>57118</v>
      </c>
      <c r="M11268" s="4"/>
      <c r="N11268" s="3" t="s">
        <v>37</v>
      </c>
      <c r="O11268" s="3" t="s">
        <v>52</v>
      </c>
      <c r="P11268" s="5">
        <v>15</v>
      </c>
      <c r="Q11268" s="5">
        <v>256</v>
      </c>
      <c r="R11268" s="5">
        <v>15</v>
      </c>
      <c r="S11268" s="5">
        <v>268</v>
      </c>
    </row>
    <row r="11269" spans="1:19" ht="42" x14ac:dyDescent="0.15">
      <c r="A11269" s="2">
        <f>HYPERLINK("https://open-school.uspishnemisto.com.ua/school/560558/", 560558)</f>
        <v>560558</v>
      </c>
      <c r="B11269" s="3" t="s">
        <v>57119</v>
      </c>
      <c r="C11269" s="3" t="s">
        <v>54</v>
      </c>
      <c r="D11269" s="3" t="s">
        <v>32</v>
      </c>
      <c r="E11269" s="4" t="s">
        <v>22</v>
      </c>
      <c r="F11269" s="4" t="s">
        <v>57120</v>
      </c>
      <c r="G11269" s="4" t="s">
        <v>57121</v>
      </c>
      <c r="H11269" s="3" t="s">
        <v>54289</v>
      </c>
      <c r="I11269" s="3" t="s">
        <v>57122</v>
      </c>
      <c r="J11269" s="3" t="s">
        <v>3064</v>
      </c>
      <c r="K11269" s="3" t="s">
        <v>57123</v>
      </c>
      <c r="L11269" s="3"/>
      <c r="M11269" s="4"/>
      <c r="N11269" s="3" t="s">
        <v>37</v>
      </c>
      <c r="O11269" s="3" t="s">
        <v>46</v>
      </c>
      <c r="P11269" s="5">
        <v>11</v>
      </c>
      <c r="Q11269" s="5">
        <v>108</v>
      </c>
      <c r="R11269" s="5">
        <v>0</v>
      </c>
      <c r="S11269" s="5">
        <v>103</v>
      </c>
    </row>
    <row r="11270" spans="1:19" ht="42" x14ac:dyDescent="0.15">
      <c r="A11270" s="2">
        <f>HYPERLINK("https://open-school.uspishnemisto.com.ua/school/560559/", 560559)</f>
        <v>560559</v>
      </c>
      <c r="B11270" s="3" t="s">
        <v>57124</v>
      </c>
      <c r="C11270" s="3" t="s">
        <v>54</v>
      </c>
      <c r="D11270" s="3" t="s">
        <v>32</v>
      </c>
      <c r="E11270" s="4" t="s">
        <v>22</v>
      </c>
      <c r="F11270" s="4" t="s">
        <v>57125</v>
      </c>
      <c r="G11270" s="4" t="s">
        <v>57126</v>
      </c>
      <c r="H11270" s="3" t="s">
        <v>54289</v>
      </c>
      <c r="I11270" s="3" t="s">
        <v>57127</v>
      </c>
      <c r="J11270" s="3" t="s">
        <v>57128</v>
      </c>
      <c r="K11270" s="3" t="s">
        <v>57129</v>
      </c>
      <c r="L11270" s="3"/>
      <c r="M11270" s="4" t="s">
        <v>57130</v>
      </c>
      <c r="N11270" s="3" t="s">
        <v>37</v>
      </c>
      <c r="O11270" s="3" t="s">
        <v>52</v>
      </c>
      <c r="P11270" s="5">
        <v>38</v>
      </c>
      <c r="Q11270" s="5">
        <v>931</v>
      </c>
      <c r="R11270" s="5">
        <v>36</v>
      </c>
      <c r="S11270" s="5">
        <v>880</v>
      </c>
    </row>
    <row r="11271" spans="1:19" ht="42" x14ac:dyDescent="0.15">
      <c r="A11271" s="2">
        <f>HYPERLINK("https://open-school.uspishnemisto.com.ua/school/560560/", 560560)</f>
        <v>560560</v>
      </c>
      <c r="B11271" s="3" t="s">
        <v>57131</v>
      </c>
      <c r="C11271" s="3" t="s">
        <v>54</v>
      </c>
      <c r="D11271" s="3" t="s">
        <v>32</v>
      </c>
      <c r="E11271" s="4" t="s">
        <v>22</v>
      </c>
      <c r="F11271" s="4" t="s">
        <v>57125</v>
      </c>
      <c r="G11271" s="4" t="s">
        <v>57132</v>
      </c>
      <c r="H11271" s="3" t="s">
        <v>54289</v>
      </c>
      <c r="I11271" s="3" t="s">
        <v>54453</v>
      </c>
      <c r="J11271" s="3" t="s">
        <v>878</v>
      </c>
      <c r="K11271" s="3" t="s">
        <v>57133</v>
      </c>
      <c r="L11271" s="3" t="s">
        <v>57134</v>
      </c>
      <c r="M11271" s="4" t="s">
        <v>57135</v>
      </c>
      <c r="N11271" s="3" t="s">
        <v>37</v>
      </c>
      <c r="O11271" s="3" t="s">
        <v>46</v>
      </c>
      <c r="P11271" s="5">
        <v>11</v>
      </c>
      <c r="Q11271" s="5">
        <v>205</v>
      </c>
      <c r="R11271" s="5">
        <v>11</v>
      </c>
      <c r="S11271" s="5">
        <v>200</v>
      </c>
    </row>
    <row r="11272" spans="1:19" ht="42" x14ac:dyDescent="0.15">
      <c r="A11272" s="2">
        <f>HYPERLINK("https://open-school.uspishnemisto.com.ua/school/560561/", 560561)</f>
        <v>560561</v>
      </c>
      <c r="B11272" s="3" t="s">
        <v>57136</v>
      </c>
      <c r="C11272" s="3" t="s">
        <v>54</v>
      </c>
      <c r="D11272" s="3" t="s">
        <v>32</v>
      </c>
      <c r="E11272" s="4" t="s">
        <v>22</v>
      </c>
      <c r="F11272" s="4" t="s">
        <v>57137</v>
      </c>
      <c r="G11272" s="4" t="s">
        <v>57138</v>
      </c>
      <c r="H11272" s="3" t="s">
        <v>54289</v>
      </c>
      <c r="I11272" s="3" t="s">
        <v>57139</v>
      </c>
      <c r="J11272" s="3" t="s">
        <v>15190</v>
      </c>
      <c r="K11272" s="3" t="s">
        <v>57140</v>
      </c>
      <c r="L11272" s="3" t="s">
        <v>57141</v>
      </c>
      <c r="M11272" s="4"/>
      <c r="N11272" s="3" t="s">
        <v>37</v>
      </c>
      <c r="O11272" s="3" t="s">
        <v>46</v>
      </c>
      <c r="P11272" s="5">
        <v>28</v>
      </c>
      <c r="Q11272" s="5">
        <v>618</v>
      </c>
      <c r="R11272" s="5">
        <v>28</v>
      </c>
      <c r="S11272" s="5">
        <v>605</v>
      </c>
    </row>
    <row r="11273" spans="1:19" ht="28" x14ac:dyDescent="0.15">
      <c r="A11273" s="2">
        <f>HYPERLINK("https://open-school.uspishnemisto.com.ua/school/560562/", 560562)</f>
        <v>560562</v>
      </c>
      <c r="B11273" s="3" t="s">
        <v>57142</v>
      </c>
      <c r="C11273" s="3" t="s">
        <v>31</v>
      </c>
      <c r="D11273" s="3" t="s">
        <v>32</v>
      </c>
      <c r="E11273" s="4" t="s">
        <v>22</v>
      </c>
      <c r="F11273" s="4" t="s">
        <v>57125</v>
      </c>
      <c r="G11273" s="4" t="s">
        <v>57143</v>
      </c>
      <c r="H11273" s="3" t="s">
        <v>54289</v>
      </c>
      <c r="I11273" s="3" t="s">
        <v>57144</v>
      </c>
      <c r="J11273" s="3" t="s">
        <v>12836</v>
      </c>
      <c r="K11273" s="3" t="s">
        <v>57145</v>
      </c>
      <c r="L11273" s="3"/>
      <c r="M11273" s="4" t="s">
        <v>57146</v>
      </c>
      <c r="N11273" s="3" t="s">
        <v>37</v>
      </c>
      <c r="O11273" s="3" t="s">
        <v>46</v>
      </c>
      <c r="P11273" s="5">
        <v>17</v>
      </c>
      <c r="Q11273" s="5">
        <v>307</v>
      </c>
      <c r="R11273" s="5">
        <v>16</v>
      </c>
      <c r="S11273" s="5">
        <v>295</v>
      </c>
    </row>
    <row r="11274" spans="1:19" ht="56" x14ac:dyDescent="0.15">
      <c r="A11274" s="2">
        <f>HYPERLINK("https://open-school.uspishnemisto.com.ua/school/560563/", 560563)</f>
        <v>560563</v>
      </c>
      <c r="B11274" s="3" t="s">
        <v>57147</v>
      </c>
      <c r="C11274" s="3" t="s">
        <v>54</v>
      </c>
      <c r="D11274" s="3" t="s">
        <v>32</v>
      </c>
      <c r="E11274" s="4" t="s">
        <v>22</v>
      </c>
      <c r="F11274" s="4" t="s">
        <v>57148</v>
      </c>
      <c r="G11274" s="4" t="s">
        <v>57149</v>
      </c>
      <c r="H11274" s="3" t="s">
        <v>54289</v>
      </c>
      <c r="I11274" s="3" t="s">
        <v>25064</v>
      </c>
      <c r="J11274" s="3" t="s">
        <v>466</v>
      </c>
      <c r="K11274" s="3" t="s">
        <v>57150</v>
      </c>
      <c r="L11274" s="3" t="s">
        <v>57151</v>
      </c>
      <c r="M11274" s="4" t="s">
        <v>57152</v>
      </c>
      <c r="N11274" s="3" t="s">
        <v>37</v>
      </c>
      <c r="O11274" s="3" t="s">
        <v>52</v>
      </c>
      <c r="P11274" s="5">
        <v>12</v>
      </c>
      <c r="Q11274" s="5">
        <v>229</v>
      </c>
      <c r="R11274" s="5">
        <v>12</v>
      </c>
      <c r="S11274" s="5">
        <v>241</v>
      </c>
    </row>
    <row r="11275" spans="1:19" ht="28" x14ac:dyDescent="0.15">
      <c r="A11275" s="2">
        <f>HYPERLINK("https://open-school.uspishnemisto.com.ua/school/560564/", 560564)</f>
        <v>560564</v>
      </c>
      <c r="B11275" s="3" t="s">
        <v>57153</v>
      </c>
      <c r="C11275" s="3" t="s">
        <v>31</v>
      </c>
      <c r="D11275" s="3" t="s">
        <v>175</v>
      </c>
      <c r="E11275" s="4" t="s">
        <v>22</v>
      </c>
      <c r="F11275" s="4" t="s">
        <v>57148</v>
      </c>
      <c r="G11275" s="4" t="s">
        <v>57154</v>
      </c>
      <c r="H11275" s="3" t="s">
        <v>54289</v>
      </c>
      <c r="I11275" s="3" t="s">
        <v>57155</v>
      </c>
      <c r="J11275" s="3" t="s">
        <v>1636</v>
      </c>
      <c r="K11275" s="3" t="s">
        <v>57156</v>
      </c>
      <c r="L11275" s="3" t="s">
        <v>57157</v>
      </c>
      <c r="M11275" s="4" t="s">
        <v>57158</v>
      </c>
      <c r="N11275" s="3" t="s">
        <v>37</v>
      </c>
      <c r="O11275" s="3" t="s">
        <v>52</v>
      </c>
      <c r="P11275" s="5">
        <v>9</v>
      </c>
      <c r="Q11275" s="5">
        <v>77</v>
      </c>
      <c r="R11275" s="5">
        <v>9</v>
      </c>
      <c r="S11275" s="5">
        <v>77</v>
      </c>
    </row>
    <row r="11276" spans="1:19" ht="28" x14ac:dyDescent="0.15">
      <c r="A11276" s="2">
        <f>HYPERLINK("https://open-school.uspishnemisto.com.ua/school/560565/", 560565)</f>
        <v>560565</v>
      </c>
      <c r="B11276" s="3" t="s">
        <v>57159</v>
      </c>
      <c r="C11276" s="3" t="s">
        <v>31</v>
      </c>
      <c r="D11276" s="3" t="s">
        <v>32</v>
      </c>
      <c r="E11276" s="4" t="s">
        <v>22</v>
      </c>
      <c r="F11276" s="4" t="s">
        <v>57160</v>
      </c>
      <c r="G11276" s="4" t="s">
        <v>57161</v>
      </c>
      <c r="H11276" s="3" t="s">
        <v>54289</v>
      </c>
      <c r="I11276" s="3" t="s">
        <v>5877</v>
      </c>
      <c r="J11276" s="3" t="s">
        <v>4728</v>
      </c>
      <c r="K11276" s="3" t="s">
        <v>57162</v>
      </c>
      <c r="L11276" s="3"/>
      <c r="M11276" s="4"/>
      <c r="N11276" s="3" t="s">
        <v>37</v>
      </c>
      <c r="O11276" s="3" t="s">
        <v>46</v>
      </c>
      <c r="P11276" s="5">
        <v>30</v>
      </c>
      <c r="Q11276" s="5">
        <v>727</v>
      </c>
      <c r="R11276" s="5">
        <v>30</v>
      </c>
      <c r="S11276" s="5">
        <v>699</v>
      </c>
    </row>
    <row r="11277" spans="1:19" ht="28" x14ac:dyDescent="0.15">
      <c r="A11277" s="2">
        <f>HYPERLINK("https://open-school.uspishnemisto.com.ua/school/560566/", 560566)</f>
        <v>560566</v>
      </c>
      <c r="B11277" s="3" t="s">
        <v>57163</v>
      </c>
      <c r="C11277" s="3" t="s">
        <v>31</v>
      </c>
      <c r="D11277" s="3" t="s">
        <v>32</v>
      </c>
      <c r="E11277" s="4" t="s">
        <v>22</v>
      </c>
      <c r="F11277" s="4" t="s">
        <v>57164</v>
      </c>
      <c r="G11277" s="4" t="s">
        <v>57165</v>
      </c>
      <c r="H11277" s="3" t="s">
        <v>54289</v>
      </c>
      <c r="I11277" s="3" t="s">
        <v>57166</v>
      </c>
      <c r="J11277" s="3" t="s">
        <v>16756</v>
      </c>
      <c r="K11277" s="3" t="s">
        <v>57167</v>
      </c>
      <c r="L11277" s="3" t="s">
        <v>57168</v>
      </c>
      <c r="M11277" s="4"/>
      <c r="N11277" s="3" t="s">
        <v>37</v>
      </c>
      <c r="O11277" s="3" t="s">
        <v>2740</v>
      </c>
      <c r="P11277" s="5">
        <v>14</v>
      </c>
      <c r="Q11277" s="5">
        <v>243</v>
      </c>
      <c r="R11277" s="5">
        <v>13</v>
      </c>
      <c r="S11277" s="5">
        <v>236</v>
      </c>
    </row>
    <row r="11278" spans="1:19" ht="28" x14ac:dyDescent="0.15">
      <c r="A11278" s="2">
        <f>HYPERLINK("https://open-school.uspishnemisto.com.ua/school/560567/", 560567)</f>
        <v>560567</v>
      </c>
      <c r="B11278" s="3" t="s">
        <v>57169</v>
      </c>
      <c r="C11278" s="3" t="s">
        <v>31</v>
      </c>
      <c r="D11278" s="3" t="s">
        <v>175</v>
      </c>
      <c r="E11278" s="4" t="s">
        <v>22</v>
      </c>
      <c r="F11278" s="4" t="s">
        <v>57170</v>
      </c>
      <c r="G11278" s="4" t="s">
        <v>57171</v>
      </c>
      <c r="H11278" s="3" t="s">
        <v>54289</v>
      </c>
      <c r="I11278" s="3" t="s">
        <v>57172</v>
      </c>
      <c r="J11278" s="3" t="s">
        <v>57173</v>
      </c>
      <c r="K11278" s="3"/>
      <c r="L11278" s="3"/>
      <c r="M11278" s="4" t="s">
        <v>57174</v>
      </c>
      <c r="N11278" s="3" t="s">
        <v>37</v>
      </c>
      <c r="O11278" s="3" t="s">
        <v>46</v>
      </c>
      <c r="P11278" s="5">
        <v>9</v>
      </c>
      <c r="Q11278" s="5">
        <v>75</v>
      </c>
      <c r="R11278" s="5">
        <v>9</v>
      </c>
      <c r="S11278" s="5">
        <v>76</v>
      </c>
    </row>
    <row r="11279" spans="1:19" ht="28" x14ac:dyDescent="0.15">
      <c r="A11279" s="2">
        <f>HYPERLINK("https://open-school.uspishnemisto.com.ua/school/560568/", 560568)</f>
        <v>560568</v>
      </c>
      <c r="B11279" s="3" t="s">
        <v>57175</v>
      </c>
      <c r="C11279" s="3" t="s">
        <v>31</v>
      </c>
      <c r="D11279" s="3" t="s">
        <v>32</v>
      </c>
      <c r="E11279" s="4" t="s">
        <v>22</v>
      </c>
      <c r="F11279" s="4" t="s">
        <v>57176</v>
      </c>
      <c r="G11279" s="4" t="s">
        <v>57177</v>
      </c>
      <c r="H11279" s="3" t="s">
        <v>54289</v>
      </c>
      <c r="I11279" s="3" t="s">
        <v>57178</v>
      </c>
      <c r="J11279" s="3" t="s">
        <v>2584</v>
      </c>
      <c r="K11279" s="3" t="s">
        <v>57179</v>
      </c>
      <c r="L11279" s="3" t="s">
        <v>57180</v>
      </c>
      <c r="M11279" s="4" t="s">
        <v>57181</v>
      </c>
      <c r="N11279" s="3" t="s">
        <v>37</v>
      </c>
      <c r="O11279" s="3" t="s">
        <v>52</v>
      </c>
      <c r="P11279" s="5">
        <v>12</v>
      </c>
      <c r="Q11279" s="5">
        <v>169</v>
      </c>
      <c r="R11279" s="5">
        <v>12</v>
      </c>
      <c r="S11279" s="5">
        <v>176</v>
      </c>
    </row>
    <row r="11280" spans="1:19" ht="28" x14ac:dyDescent="0.15">
      <c r="A11280" s="2">
        <f>HYPERLINK("https://open-school.uspishnemisto.com.ua/school/560569/", 560569)</f>
        <v>560569</v>
      </c>
      <c r="B11280" s="3" t="s">
        <v>57182</v>
      </c>
      <c r="C11280" s="3" t="s">
        <v>31</v>
      </c>
      <c r="D11280" s="3" t="s">
        <v>175</v>
      </c>
      <c r="E11280" s="4" t="s">
        <v>22</v>
      </c>
      <c r="F11280" s="4" t="s">
        <v>57183</v>
      </c>
      <c r="G11280" s="4" t="s">
        <v>57184</v>
      </c>
      <c r="H11280" s="3" t="s">
        <v>54289</v>
      </c>
      <c r="I11280" s="3" t="s">
        <v>57185</v>
      </c>
      <c r="J11280" s="3" t="s">
        <v>2601</v>
      </c>
      <c r="K11280" s="3" t="s">
        <v>57186</v>
      </c>
      <c r="L11280" s="3" t="s">
        <v>57187</v>
      </c>
      <c r="M11280" s="4" t="s">
        <v>57188</v>
      </c>
      <c r="N11280" s="3" t="s">
        <v>37</v>
      </c>
      <c r="O11280" s="3" t="s">
        <v>52</v>
      </c>
      <c r="P11280" s="5">
        <v>8</v>
      </c>
      <c r="Q11280" s="5">
        <v>70</v>
      </c>
      <c r="R11280" s="5">
        <v>8</v>
      </c>
      <c r="S11280" s="5">
        <v>65</v>
      </c>
    </row>
    <row r="11281" spans="1:19" ht="28" x14ac:dyDescent="0.15">
      <c r="A11281" s="2">
        <f>HYPERLINK("https://open-school.uspishnemisto.com.ua/school/560570/", 560570)</f>
        <v>560570</v>
      </c>
      <c r="B11281" s="3" t="s">
        <v>57189</v>
      </c>
      <c r="C11281" s="3" t="s">
        <v>54</v>
      </c>
      <c r="D11281" s="3" t="s">
        <v>32</v>
      </c>
      <c r="E11281" s="4" t="s">
        <v>22</v>
      </c>
      <c r="F11281" s="4" t="s">
        <v>57190</v>
      </c>
      <c r="G11281" s="4" t="s">
        <v>57191</v>
      </c>
      <c r="H11281" s="3" t="s">
        <v>54289</v>
      </c>
      <c r="I11281" s="3" t="s">
        <v>33585</v>
      </c>
      <c r="J11281" s="3" t="s">
        <v>57192</v>
      </c>
      <c r="K11281" s="3" t="s">
        <v>57193</v>
      </c>
      <c r="L11281" s="3"/>
      <c r="M11281" s="4"/>
      <c r="N11281" s="3" t="s">
        <v>37</v>
      </c>
      <c r="O11281" s="3" t="s">
        <v>139</v>
      </c>
      <c r="P11281" s="5">
        <v>34</v>
      </c>
      <c r="Q11281" s="5">
        <v>766</v>
      </c>
      <c r="R11281" s="5">
        <v>34</v>
      </c>
      <c r="S11281" s="5">
        <v>737</v>
      </c>
    </row>
    <row r="11282" spans="1:19" ht="28" x14ac:dyDescent="0.15">
      <c r="A11282" s="2">
        <f>HYPERLINK("https://open-school.uspishnemisto.com.ua/school/560571/", 560571)</f>
        <v>560571</v>
      </c>
      <c r="B11282" s="3" t="s">
        <v>57194</v>
      </c>
      <c r="C11282" s="3" t="s">
        <v>31</v>
      </c>
      <c r="D11282" s="3" t="s">
        <v>175</v>
      </c>
      <c r="E11282" s="4" t="s">
        <v>22</v>
      </c>
      <c r="F11282" s="4" t="s">
        <v>57195</v>
      </c>
      <c r="G11282" s="4" t="s">
        <v>57196</v>
      </c>
      <c r="H11282" s="3" t="s">
        <v>54289</v>
      </c>
      <c r="I11282" s="3" t="s">
        <v>57197</v>
      </c>
      <c r="J11282" s="3" t="s">
        <v>1348</v>
      </c>
      <c r="K11282" s="3" t="s">
        <v>57198</v>
      </c>
      <c r="L11282" s="3" t="s">
        <v>57199</v>
      </c>
      <c r="M11282" s="4" t="s">
        <v>57200</v>
      </c>
      <c r="N11282" s="3" t="s">
        <v>37</v>
      </c>
      <c r="O11282" s="3" t="s">
        <v>52</v>
      </c>
      <c r="P11282" s="5">
        <v>9</v>
      </c>
      <c r="Q11282" s="5">
        <v>101</v>
      </c>
      <c r="R11282" s="5">
        <v>9</v>
      </c>
      <c r="S11282" s="5">
        <v>87</v>
      </c>
    </row>
    <row r="11283" spans="1:19" ht="28" x14ac:dyDescent="0.15">
      <c r="A11283" s="2">
        <f>HYPERLINK("https://open-school.uspishnemisto.com.ua/school/560572/", 560572)</f>
        <v>560572</v>
      </c>
      <c r="B11283" s="3" t="s">
        <v>57201</v>
      </c>
      <c r="C11283" s="3" t="s">
        <v>31</v>
      </c>
      <c r="D11283" s="3" t="s">
        <v>32</v>
      </c>
      <c r="E11283" s="4" t="s">
        <v>22</v>
      </c>
      <c r="F11283" s="4" t="s">
        <v>41202</v>
      </c>
      <c r="G11283" s="4" t="s">
        <v>57202</v>
      </c>
      <c r="H11283" s="3" t="s">
        <v>54289</v>
      </c>
      <c r="I11283" s="3" t="s">
        <v>57203</v>
      </c>
      <c r="J11283" s="3" t="s">
        <v>57204</v>
      </c>
      <c r="K11283" s="3" t="s">
        <v>57205</v>
      </c>
      <c r="L11283" s="3"/>
      <c r="M11283" s="4"/>
      <c r="N11283" s="3" t="s">
        <v>37</v>
      </c>
      <c r="O11283" s="3" t="s">
        <v>52</v>
      </c>
      <c r="P11283" s="5">
        <v>11</v>
      </c>
      <c r="Q11283" s="5">
        <v>167</v>
      </c>
      <c r="R11283" s="5">
        <v>11</v>
      </c>
      <c r="S11283" s="5">
        <v>171</v>
      </c>
    </row>
    <row r="11284" spans="1:19" ht="28" x14ac:dyDescent="0.15">
      <c r="A11284" s="2">
        <f>HYPERLINK("https://open-school.uspishnemisto.com.ua/school/560573/", 560573)</f>
        <v>560573</v>
      </c>
      <c r="B11284" s="3" t="s">
        <v>57206</v>
      </c>
      <c r="C11284" s="3" t="s">
        <v>31</v>
      </c>
      <c r="D11284" s="3" t="s">
        <v>175</v>
      </c>
      <c r="E11284" s="4" t="s">
        <v>22</v>
      </c>
      <c r="F11284" s="4" t="s">
        <v>57207</v>
      </c>
      <c r="G11284" s="4" t="s">
        <v>57208</v>
      </c>
      <c r="H11284" s="3" t="s">
        <v>54289</v>
      </c>
      <c r="I11284" s="3" t="s">
        <v>57209</v>
      </c>
      <c r="J11284" s="3" t="s">
        <v>57210</v>
      </c>
      <c r="K11284" s="3" t="s">
        <v>57211</v>
      </c>
      <c r="L11284" s="3"/>
      <c r="M11284" s="4" t="s">
        <v>57212</v>
      </c>
      <c r="N11284" s="3" t="s">
        <v>37</v>
      </c>
      <c r="O11284" s="3" t="s">
        <v>52</v>
      </c>
      <c r="P11284" s="5">
        <v>4</v>
      </c>
      <c r="Q11284" s="5">
        <v>35</v>
      </c>
      <c r="R11284" s="5">
        <v>5</v>
      </c>
      <c r="S11284" s="5">
        <v>41</v>
      </c>
    </row>
    <row r="11285" spans="1:19" ht="28" x14ac:dyDescent="0.15">
      <c r="A11285" s="2">
        <f>HYPERLINK("https://open-school.uspishnemisto.com.ua/school/560574/", 560574)</f>
        <v>560574</v>
      </c>
      <c r="B11285" s="3" t="s">
        <v>57213</v>
      </c>
      <c r="C11285" s="3" t="s">
        <v>31</v>
      </c>
      <c r="D11285" s="3" t="s">
        <v>32</v>
      </c>
      <c r="E11285" s="4" t="s">
        <v>22</v>
      </c>
      <c r="F11285" s="4" t="s">
        <v>57214</v>
      </c>
      <c r="G11285" s="4" t="s">
        <v>57215</v>
      </c>
      <c r="H11285" s="3" t="s">
        <v>54289</v>
      </c>
      <c r="I11285" s="3" t="s">
        <v>57216</v>
      </c>
      <c r="J11285" s="3" t="s">
        <v>3319</v>
      </c>
      <c r="K11285" s="3" t="s">
        <v>57217</v>
      </c>
      <c r="L11285" s="3"/>
      <c r="M11285" s="4" t="s">
        <v>57218</v>
      </c>
      <c r="N11285" s="3" t="s">
        <v>37</v>
      </c>
      <c r="O11285" s="3" t="s">
        <v>52</v>
      </c>
      <c r="P11285" s="5">
        <v>11</v>
      </c>
      <c r="Q11285" s="5">
        <v>216</v>
      </c>
      <c r="R11285" s="5">
        <v>11</v>
      </c>
      <c r="S11285" s="5">
        <v>220</v>
      </c>
    </row>
    <row r="11286" spans="1:19" ht="56" x14ac:dyDescent="0.15">
      <c r="A11286" s="2">
        <f>HYPERLINK("https://open-school.uspishnemisto.com.ua/school/560575/", 560575)</f>
        <v>560575</v>
      </c>
      <c r="B11286" s="3" t="s">
        <v>57219</v>
      </c>
      <c r="C11286" s="3" t="s">
        <v>54</v>
      </c>
      <c r="D11286" s="3" t="s">
        <v>32</v>
      </c>
      <c r="E11286" s="4" t="s">
        <v>22</v>
      </c>
      <c r="F11286" s="4" t="s">
        <v>57120</v>
      </c>
      <c r="G11286" s="4" t="s">
        <v>57220</v>
      </c>
      <c r="H11286" s="3" t="s">
        <v>54289</v>
      </c>
      <c r="I11286" s="3" t="s">
        <v>39977</v>
      </c>
      <c r="J11286" s="3" t="s">
        <v>466</v>
      </c>
      <c r="K11286" s="3"/>
      <c r="L11286" s="3"/>
      <c r="M11286" s="4"/>
      <c r="N11286" s="3" t="s">
        <v>37</v>
      </c>
      <c r="O11286" s="3" t="s">
        <v>52</v>
      </c>
      <c r="P11286" s="5">
        <v>34</v>
      </c>
      <c r="Q11286" s="5">
        <v>858</v>
      </c>
      <c r="R11286" s="5">
        <v>34</v>
      </c>
      <c r="S11286" s="5">
        <v>819</v>
      </c>
    </row>
    <row r="11287" spans="1:19" ht="56" x14ac:dyDescent="0.15">
      <c r="A11287" s="2">
        <f>HYPERLINK("https://open-school.uspishnemisto.com.ua/school/560576/", 560576)</f>
        <v>560576</v>
      </c>
      <c r="B11287" s="3" t="s">
        <v>57221</v>
      </c>
      <c r="C11287" s="3" t="s">
        <v>54</v>
      </c>
      <c r="D11287" s="3" t="s">
        <v>32</v>
      </c>
      <c r="E11287" s="4" t="s">
        <v>22</v>
      </c>
      <c r="F11287" s="4" t="s">
        <v>57222</v>
      </c>
      <c r="G11287" s="4" t="s">
        <v>57223</v>
      </c>
      <c r="H11287" s="3" t="s">
        <v>54289</v>
      </c>
      <c r="I11287" s="3" t="s">
        <v>57224</v>
      </c>
      <c r="J11287" s="3" t="s">
        <v>57225</v>
      </c>
      <c r="K11287" s="3" t="s">
        <v>57226</v>
      </c>
      <c r="L11287" s="3"/>
      <c r="M11287" s="4"/>
      <c r="N11287" s="3" t="s">
        <v>37</v>
      </c>
      <c r="O11287" s="3" t="s">
        <v>52</v>
      </c>
      <c r="P11287" s="5">
        <v>27</v>
      </c>
      <c r="Q11287" s="5">
        <v>610</v>
      </c>
      <c r="R11287" s="5">
        <v>26</v>
      </c>
      <c r="S11287" s="5">
        <v>576</v>
      </c>
    </row>
    <row r="11288" spans="1:19" ht="28" x14ac:dyDescent="0.15">
      <c r="A11288" s="2">
        <f>HYPERLINK("https://open-school.uspishnemisto.com.ua/school/560577/", 560577)</f>
        <v>560577</v>
      </c>
      <c r="B11288" s="3" t="s">
        <v>57227</v>
      </c>
      <c r="C11288" s="3" t="s">
        <v>31</v>
      </c>
      <c r="D11288" s="3" t="s">
        <v>32</v>
      </c>
      <c r="E11288" s="4" t="s">
        <v>22</v>
      </c>
      <c r="F11288" s="4" t="s">
        <v>57228</v>
      </c>
      <c r="G11288" s="4" t="s">
        <v>57229</v>
      </c>
      <c r="H11288" s="3" t="s">
        <v>54289</v>
      </c>
      <c r="I11288" s="3" t="s">
        <v>57053</v>
      </c>
      <c r="J11288" s="3" t="s">
        <v>57230</v>
      </c>
      <c r="K11288" s="3" t="s">
        <v>57231</v>
      </c>
      <c r="L11288" s="3" t="s">
        <v>57232</v>
      </c>
      <c r="M11288" s="4" t="s">
        <v>57233</v>
      </c>
      <c r="N11288" s="3" t="s">
        <v>37</v>
      </c>
      <c r="O11288" s="3" t="s">
        <v>52</v>
      </c>
      <c r="P11288" s="5">
        <v>12</v>
      </c>
      <c r="Q11288" s="5">
        <v>260</v>
      </c>
      <c r="R11288" s="5">
        <v>14</v>
      </c>
      <c r="S11288" s="5">
        <v>259</v>
      </c>
    </row>
    <row r="11289" spans="1:19" ht="42" x14ac:dyDescent="0.15">
      <c r="A11289" s="2">
        <f>HYPERLINK("https://open-school.uspishnemisto.com.ua/school/560578/", 560578)</f>
        <v>560578</v>
      </c>
      <c r="B11289" s="3" t="s">
        <v>57234</v>
      </c>
      <c r="C11289" s="3" t="s">
        <v>54</v>
      </c>
      <c r="D11289" s="3" t="s">
        <v>175</v>
      </c>
      <c r="E11289" s="4" t="s">
        <v>22</v>
      </c>
      <c r="F11289" s="4"/>
      <c r="G11289" s="4" t="s">
        <v>57235</v>
      </c>
      <c r="H11289" s="3" t="s">
        <v>54289</v>
      </c>
      <c r="I11289" s="3" t="s">
        <v>57236</v>
      </c>
      <c r="J11289" s="3" t="s">
        <v>20582</v>
      </c>
      <c r="K11289" s="3" t="s">
        <v>57237</v>
      </c>
      <c r="L11289" s="3"/>
      <c r="M11289" s="4"/>
      <c r="N11289" s="3" t="s">
        <v>37</v>
      </c>
      <c r="O11289" s="3" t="s">
        <v>52</v>
      </c>
      <c r="P11289" s="5">
        <v>9</v>
      </c>
      <c r="Q11289" s="5">
        <v>119</v>
      </c>
      <c r="R11289" s="5">
        <v>9</v>
      </c>
      <c r="S11289" s="5">
        <v>120</v>
      </c>
    </row>
    <row r="11290" spans="1:19" ht="28" x14ac:dyDescent="0.15">
      <c r="A11290" s="2">
        <f>HYPERLINK("https://open-school.uspishnemisto.com.ua/school/560579/", 560579)</f>
        <v>560579</v>
      </c>
      <c r="B11290" s="3" t="s">
        <v>57238</v>
      </c>
      <c r="C11290" s="3" t="s">
        <v>20</v>
      </c>
      <c r="D11290" s="3" t="s">
        <v>19078</v>
      </c>
      <c r="E11290" s="4" t="s">
        <v>22</v>
      </c>
      <c r="F11290" s="4" t="s">
        <v>57239</v>
      </c>
      <c r="G11290" s="4" t="s">
        <v>57240</v>
      </c>
      <c r="H11290" s="3" t="s">
        <v>54289</v>
      </c>
      <c r="I11290" s="3" t="s">
        <v>44290</v>
      </c>
      <c r="J11290" s="3" t="s">
        <v>57241</v>
      </c>
      <c r="K11290" s="3" t="s">
        <v>57242</v>
      </c>
      <c r="L11290" s="3"/>
      <c r="M11290" s="4"/>
      <c r="N11290" s="3"/>
      <c r="O11290" s="3"/>
      <c r="P11290" s="5">
        <v>0</v>
      </c>
      <c r="Q11290" s="5">
        <v>0</v>
      </c>
      <c r="R11290" s="5"/>
      <c r="S11290" s="5"/>
    </row>
    <row r="11291" spans="1:19" ht="28" x14ac:dyDescent="0.15">
      <c r="A11291" s="2">
        <f>HYPERLINK("https://open-school.uspishnemisto.com.ua/school/560580/", 560580)</f>
        <v>560580</v>
      </c>
      <c r="B11291" s="3" t="s">
        <v>57243</v>
      </c>
      <c r="C11291" s="3" t="s">
        <v>40</v>
      </c>
      <c r="D11291" s="3" t="s">
        <v>32</v>
      </c>
      <c r="E11291" s="4" t="s">
        <v>22</v>
      </c>
      <c r="F11291" s="4" t="s">
        <v>57239</v>
      </c>
      <c r="G11291" s="4" t="s">
        <v>57240</v>
      </c>
      <c r="H11291" s="3" t="s">
        <v>54289</v>
      </c>
      <c r="I11291" s="3" t="s">
        <v>44290</v>
      </c>
      <c r="J11291" s="3" t="s">
        <v>57244</v>
      </c>
      <c r="K11291" s="3" t="s">
        <v>57245</v>
      </c>
      <c r="L11291" s="3" t="s">
        <v>57246</v>
      </c>
      <c r="M11291" s="4" t="s">
        <v>57247</v>
      </c>
      <c r="N11291" s="3" t="s">
        <v>37</v>
      </c>
      <c r="O11291" s="3" t="s">
        <v>2776</v>
      </c>
      <c r="P11291" s="5">
        <v>22</v>
      </c>
      <c r="Q11291" s="5">
        <v>526</v>
      </c>
      <c r="R11291" s="5">
        <v>22</v>
      </c>
      <c r="S11291" s="5">
        <v>525</v>
      </c>
    </row>
    <row r="11292" spans="1:19" ht="28" x14ac:dyDescent="0.15">
      <c r="A11292" s="2">
        <f>HYPERLINK("https://open-school.uspishnemisto.com.ua/school/560581/", 560581)</f>
        <v>560581</v>
      </c>
      <c r="B11292" s="3" t="s">
        <v>57248</v>
      </c>
      <c r="C11292" s="3" t="s">
        <v>31</v>
      </c>
      <c r="D11292" s="3" t="s">
        <v>175</v>
      </c>
      <c r="E11292" s="4" t="s">
        <v>22</v>
      </c>
      <c r="F11292" s="4" t="s">
        <v>57239</v>
      </c>
      <c r="G11292" s="4" t="s">
        <v>57240</v>
      </c>
      <c r="H11292" s="3" t="s">
        <v>54289</v>
      </c>
      <c r="I11292" s="3" t="s">
        <v>44290</v>
      </c>
      <c r="J11292" s="3" t="s">
        <v>1216</v>
      </c>
      <c r="K11292" s="3" t="s">
        <v>57249</v>
      </c>
      <c r="L11292" s="3" t="s">
        <v>57250</v>
      </c>
      <c r="M11292" s="4"/>
      <c r="N11292" s="3" t="s">
        <v>37</v>
      </c>
      <c r="O11292" s="3" t="s">
        <v>52</v>
      </c>
      <c r="P11292" s="5">
        <v>14</v>
      </c>
      <c r="Q11292" s="5">
        <v>261</v>
      </c>
      <c r="R11292" s="5">
        <v>13</v>
      </c>
      <c r="S11292" s="5">
        <v>246</v>
      </c>
    </row>
    <row r="11293" spans="1:19" ht="28" x14ac:dyDescent="0.15">
      <c r="A11293" s="2">
        <f>HYPERLINK("https://open-school.uspishnemisto.com.ua/school/560582/", 560582)</f>
        <v>560582</v>
      </c>
      <c r="B11293" s="3" t="s">
        <v>57251</v>
      </c>
      <c r="C11293" s="3" t="s">
        <v>31</v>
      </c>
      <c r="D11293" s="3" t="s">
        <v>175</v>
      </c>
      <c r="E11293" s="4" t="s">
        <v>22</v>
      </c>
      <c r="F11293" s="4" t="s">
        <v>57252</v>
      </c>
      <c r="G11293" s="4" t="s">
        <v>57240</v>
      </c>
      <c r="H11293" s="3" t="s">
        <v>54289</v>
      </c>
      <c r="I11293" s="3" t="s">
        <v>44290</v>
      </c>
      <c r="J11293" s="3" t="s">
        <v>57253</v>
      </c>
      <c r="K11293" s="3" t="s">
        <v>57254</v>
      </c>
      <c r="L11293" s="3" t="s">
        <v>57255</v>
      </c>
      <c r="M11293" s="4"/>
      <c r="N11293" s="3" t="s">
        <v>37</v>
      </c>
      <c r="O11293" s="3" t="s">
        <v>52</v>
      </c>
      <c r="P11293" s="5">
        <v>9</v>
      </c>
      <c r="Q11293" s="5">
        <v>109</v>
      </c>
      <c r="R11293" s="5">
        <v>9</v>
      </c>
      <c r="S11293" s="5">
        <v>115</v>
      </c>
    </row>
    <row r="11294" spans="1:19" ht="28" x14ac:dyDescent="0.15">
      <c r="A11294" s="2">
        <f>HYPERLINK("https://open-school.uspishnemisto.com.ua/school/560583/", 560583)</f>
        <v>560583</v>
      </c>
      <c r="B11294" s="3" t="s">
        <v>57256</v>
      </c>
      <c r="C11294" s="3" t="s">
        <v>31</v>
      </c>
      <c r="D11294" s="3" t="s">
        <v>32</v>
      </c>
      <c r="E11294" s="4" t="s">
        <v>22</v>
      </c>
      <c r="F11294" s="4" t="s">
        <v>57239</v>
      </c>
      <c r="G11294" s="4" t="s">
        <v>57240</v>
      </c>
      <c r="H11294" s="3" t="s">
        <v>54289</v>
      </c>
      <c r="I11294" s="3" t="s">
        <v>44290</v>
      </c>
      <c r="J11294" s="3" t="s">
        <v>57257</v>
      </c>
      <c r="K11294" s="3" t="s">
        <v>57258</v>
      </c>
      <c r="L11294" s="3"/>
      <c r="M11294" s="4"/>
      <c r="N11294" s="3" t="s">
        <v>37</v>
      </c>
      <c r="O11294" s="3" t="s">
        <v>46</v>
      </c>
      <c r="P11294" s="5">
        <v>37</v>
      </c>
      <c r="Q11294" s="5">
        <v>947</v>
      </c>
      <c r="R11294" s="5">
        <v>35</v>
      </c>
      <c r="S11294" s="5">
        <v>933</v>
      </c>
    </row>
    <row r="11295" spans="1:19" ht="28" x14ac:dyDescent="0.15">
      <c r="A11295" s="2">
        <f>HYPERLINK("https://open-school.uspishnemisto.com.ua/school/560584/", 560584)</f>
        <v>560584</v>
      </c>
      <c r="B11295" s="3" t="s">
        <v>57259</v>
      </c>
      <c r="C11295" s="3" t="s">
        <v>31</v>
      </c>
      <c r="D11295" s="3" t="s">
        <v>32</v>
      </c>
      <c r="E11295" s="4" t="s">
        <v>22</v>
      </c>
      <c r="F11295" s="4" t="s">
        <v>57239</v>
      </c>
      <c r="G11295" s="4" t="s">
        <v>57240</v>
      </c>
      <c r="H11295" s="3" t="s">
        <v>54289</v>
      </c>
      <c r="I11295" s="3" t="s">
        <v>44290</v>
      </c>
      <c r="J11295" s="3" t="s">
        <v>34674</v>
      </c>
      <c r="K11295" s="3" t="s">
        <v>57260</v>
      </c>
      <c r="L11295" s="3" t="s">
        <v>57261</v>
      </c>
      <c r="M11295" s="4" t="s">
        <v>57262</v>
      </c>
      <c r="N11295" s="3" t="s">
        <v>37</v>
      </c>
      <c r="O11295" s="3" t="s">
        <v>52</v>
      </c>
      <c r="P11295" s="5">
        <v>23</v>
      </c>
      <c r="Q11295" s="5">
        <v>485</v>
      </c>
      <c r="R11295" s="5">
        <v>23</v>
      </c>
      <c r="S11295" s="5">
        <v>475</v>
      </c>
    </row>
    <row r="11296" spans="1:19" ht="42" x14ac:dyDescent="0.15">
      <c r="A11296" s="2">
        <f>HYPERLINK("https://open-school.uspishnemisto.com.ua/school/560585/", 560585)</f>
        <v>560585</v>
      </c>
      <c r="B11296" s="3" t="s">
        <v>57263</v>
      </c>
      <c r="C11296" s="3" t="s">
        <v>54</v>
      </c>
      <c r="D11296" s="3" t="s">
        <v>32</v>
      </c>
      <c r="E11296" s="4" t="s">
        <v>22</v>
      </c>
      <c r="F11296" s="4" t="s">
        <v>57239</v>
      </c>
      <c r="G11296" s="4" t="s">
        <v>57240</v>
      </c>
      <c r="H11296" s="3" t="s">
        <v>54289</v>
      </c>
      <c r="I11296" s="3" t="s">
        <v>44290</v>
      </c>
      <c r="J11296" s="3" t="s">
        <v>57264</v>
      </c>
      <c r="K11296" s="3" t="s">
        <v>57265</v>
      </c>
      <c r="L11296" s="3" t="s">
        <v>57266</v>
      </c>
      <c r="M11296" s="4" t="s">
        <v>57267</v>
      </c>
      <c r="N11296" s="3" t="s">
        <v>37</v>
      </c>
      <c r="O11296" s="3" t="s">
        <v>139</v>
      </c>
      <c r="P11296" s="5">
        <v>44</v>
      </c>
      <c r="Q11296" s="5">
        <v>1170</v>
      </c>
      <c r="R11296" s="5">
        <v>44</v>
      </c>
      <c r="S11296" s="5">
        <v>1123</v>
      </c>
    </row>
    <row r="11297" spans="1:19" ht="28" x14ac:dyDescent="0.15">
      <c r="A11297" s="2">
        <f>HYPERLINK("https://open-school.uspishnemisto.com.ua/school/560586/", 560586)</f>
        <v>560586</v>
      </c>
      <c r="B11297" s="3" t="s">
        <v>57268</v>
      </c>
      <c r="C11297" s="3" t="s">
        <v>188</v>
      </c>
      <c r="D11297" s="3" t="s">
        <v>32</v>
      </c>
      <c r="E11297" s="4" t="s">
        <v>22</v>
      </c>
      <c r="F11297" s="4" t="s">
        <v>57239</v>
      </c>
      <c r="G11297" s="4" t="s">
        <v>57240</v>
      </c>
      <c r="H11297" s="3" t="s">
        <v>54289</v>
      </c>
      <c r="I11297" s="3" t="s">
        <v>44290</v>
      </c>
      <c r="J11297" s="3" t="s">
        <v>57269</v>
      </c>
      <c r="K11297" s="3" t="s">
        <v>57270</v>
      </c>
      <c r="L11297" s="3" t="s">
        <v>57271</v>
      </c>
      <c r="M11297" s="4"/>
      <c r="N11297" s="3" t="s">
        <v>37</v>
      </c>
      <c r="O11297" s="3" t="s">
        <v>46</v>
      </c>
      <c r="P11297" s="5">
        <v>12</v>
      </c>
      <c r="Q11297" s="5">
        <v>234</v>
      </c>
      <c r="R11297" s="5">
        <v>12</v>
      </c>
      <c r="S11297" s="5">
        <v>226</v>
      </c>
    </row>
    <row r="11298" spans="1:19" ht="28" x14ac:dyDescent="0.15">
      <c r="A11298" s="2">
        <f>HYPERLINK("https://open-school.uspishnemisto.com.ua/school/560587/", 560587)</f>
        <v>560587</v>
      </c>
      <c r="B11298" s="3" t="s">
        <v>57272</v>
      </c>
      <c r="C11298" s="3" t="s">
        <v>244</v>
      </c>
      <c r="D11298" s="3" t="s">
        <v>60</v>
      </c>
      <c r="E11298" s="4" t="s">
        <v>22</v>
      </c>
      <c r="F11298" s="4" t="s">
        <v>57239</v>
      </c>
      <c r="G11298" s="4" t="s">
        <v>57240</v>
      </c>
      <c r="H11298" s="3" t="s">
        <v>54289</v>
      </c>
      <c r="I11298" s="3" t="s">
        <v>44290</v>
      </c>
      <c r="J11298" s="3" t="s">
        <v>57273</v>
      </c>
      <c r="K11298" s="3" t="s">
        <v>57274</v>
      </c>
      <c r="L11298" s="3"/>
      <c r="M11298" s="4"/>
      <c r="N11298" s="3" t="s">
        <v>37</v>
      </c>
      <c r="O11298" s="3" t="s">
        <v>52</v>
      </c>
      <c r="P11298" s="5">
        <v>16</v>
      </c>
      <c r="Q11298" s="5">
        <v>438</v>
      </c>
      <c r="R11298" s="5">
        <v>15</v>
      </c>
      <c r="S11298" s="5">
        <v>406</v>
      </c>
    </row>
    <row r="11299" spans="1:19" ht="42" x14ac:dyDescent="0.15">
      <c r="A11299" s="2">
        <f>HYPERLINK("https://open-school.uspishnemisto.com.ua/school/560588/", 560588)</f>
        <v>560588</v>
      </c>
      <c r="B11299" s="3" t="s">
        <v>57275</v>
      </c>
      <c r="C11299" s="3" t="s">
        <v>54</v>
      </c>
      <c r="D11299" s="3" t="s">
        <v>32</v>
      </c>
      <c r="E11299" s="4" t="s">
        <v>22</v>
      </c>
      <c r="F11299" s="4" t="s">
        <v>57276</v>
      </c>
      <c r="G11299" s="4" t="s">
        <v>57277</v>
      </c>
      <c r="H11299" s="3" t="s">
        <v>54289</v>
      </c>
      <c r="I11299" s="3" t="s">
        <v>57278</v>
      </c>
      <c r="J11299" s="3" t="s">
        <v>57279</v>
      </c>
      <c r="K11299" s="3"/>
      <c r="L11299" s="3"/>
      <c r="M11299" s="4"/>
      <c r="N11299" s="3" t="s">
        <v>37</v>
      </c>
      <c r="O11299" s="3" t="s">
        <v>52</v>
      </c>
      <c r="P11299" s="5">
        <v>34</v>
      </c>
      <c r="Q11299" s="5">
        <v>723</v>
      </c>
      <c r="R11299" s="5">
        <v>35</v>
      </c>
      <c r="S11299" s="5">
        <v>710</v>
      </c>
    </row>
    <row r="11300" spans="1:19" ht="28" x14ac:dyDescent="0.15">
      <c r="A11300" s="2">
        <f>HYPERLINK("https://open-school.uspishnemisto.com.ua/school/560589/", 560589)</f>
        <v>560589</v>
      </c>
      <c r="B11300" s="3" t="s">
        <v>57280</v>
      </c>
      <c r="C11300" s="3" t="s">
        <v>31</v>
      </c>
      <c r="D11300" s="3" t="s">
        <v>175</v>
      </c>
      <c r="E11300" s="4" t="s">
        <v>22</v>
      </c>
      <c r="F11300" s="4" t="s">
        <v>57276</v>
      </c>
      <c r="G11300" s="4" t="s">
        <v>57281</v>
      </c>
      <c r="H11300" s="3" t="s">
        <v>54289</v>
      </c>
      <c r="I11300" s="3" t="s">
        <v>57278</v>
      </c>
      <c r="J11300" s="3" t="s">
        <v>785</v>
      </c>
      <c r="K11300" s="3" t="s">
        <v>57282</v>
      </c>
      <c r="L11300" s="3"/>
      <c r="M11300" s="4"/>
      <c r="N11300" s="3" t="s">
        <v>37</v>
      </c>
      <c r="O11300" s="3" t="s">
        <v>52</v>
      </c>
      <c r="P11300" s="5">
        <v>13</v>
      </c>
      <c r="Q11300" s="5">
        <v>221</v>
      </c>
      <c r="R11300" s="5">
        <v>13</v>
      </c>
      <c r="S11300" s="5">
        <v>216</v>
      </c>
    </row>
    <row r="11301" spans="1:19" ht="28" x14ac:dyDescent="0.15">
      <c r="A11301" s="2">
        <f>HYPERLINK("https://open-school.uspishnemisto.com.ua/school/560590/", 560590)</f>
        <v>560590</v>
      </c>
      <c r="B11301" s="3" t="s">
        <v>57283</v>
      </c>
      <c r="C11301" s="3" t="s">
        <v>31</v>
      </c>
      <c r="D11301" s="3" t="s">
        <v>60</v>
      </c>
      <c r="E11301" s="4" t="s">
        <v>22</v>
      </c>
      <c r="F11301" s="4" t="s">
        <v>57284</v>
      </c>
      <c r="G11301" s="4" t="s">
        <v>57285</v>
      </c>
      <c r="H11301" s="3" t="s">
        <v>54289</v>
      </c>
      <c r="I11301" s="3" t="s">
        <v>57286</v>
      </c>
      <c r="J11301" s="3" t="s">
        <v>57287</v>
      </c>
      <c r="K11301" s="3"/>
      <c r="L11301" s="3"/>
      <c r="M11301" s="4"/>
      <c r="N11301" s="3" t="s">
        <v>37</v>
      </c>
      <c r="O11301" s="3" t="s">
        <v>52</v>
      </c>
      <c r="P11301" s="5">
        <v>4</v>
      </c>
      <c r="Q11301" s="5">
        <v>41</v>
      </c>
      <c r="R11301" s="5">
        <v>4</v>
      </c>
      <c r="S11301" s="5">
        <v>46</v>
      </c>
    </row>
    <row r="11302" spans="1:19" ht="28" x14ac:dyDescent="0.15">
      <c r="A11302" s="2">
        <f>HYPERLINK("https://open-school.uspishnemisto.com.ua/school/560591/", 560591)</f>
        <v>560591</v>
      </c>
      <c r="B11302" s="3" t="s">
        <v>57288</v>
      </c>
      <c r="C11302" s="3" t="s">
        <v>31</v>
      </c>
      <c r="D11302" s="3" t="s">
        <v>32</v>
      </c>
      <c r="E11302" s="4" t="s">
        <v>22</v>
      </c>
      <c r="F11302" s="4" t="s">
        <v>57289</v>
      </c>
      <c r="G11302" s="4" t="s">
        <v>57290</v>
      </c>
      <c r="H11302" s="3" t="s">
        <v>54289</v>
      </c>
      <c r="I11302" s="3" t="s">
        <v>57291</v>
      </c>
      <c r="J11302" s="3" t="s">
        <v>57292</v>
      </c>
      <c r="K11302" s="3" t="s">
        <v>57293</v>
      </c>
      <c r="L11302" s="3"/>
      <c r="M11302" s="4" t="s">
        <v>57294</v>
      </c>
      <c r="N11302" s="3" t="s">
        <v>37</v>
      </c>
      <c r="O11302" s="3" t="s">
        <v>52</v>
      </c>
      <c r="P11302" s="5">
        <v>41</v>
      </c>
      <c r="Q11302" s="5">
        <v>840</v>
      </c>
      <c r="R11302" s="5">
        <v>42</v>
      </c>
      <c r="S11302" s="5">
        <v>852</v>
      </c>
    </row>
    <row r="11303" spans="1:19" ht="28" x14ac:dyDescent="0.15">
      <c r="A11303" s="2">
        <f>HYPERLINK("https://open-school.uspishnemisto.com.ua/school/560592/", 560592)</f>
        <v>560592</v>
      </c>
      <c r="B11303" s="3" t="s">
        <v>57295</v>
      </c>
      <c r="C11303" s="3" t="s">
        <v>31</v>
      </c>
      <c r="D11303" s="3" t="s">
        <v>32</v>
      </c>
      <c r="E11303" s="4" t="s">
        <v>22</v>
      </c>
      <c r="F11303" s="4" t="s">
        <v>57296</v>
      </c>
      <c r="G11303" s="4" t="s">
        <v>57297</v>
      </c>
      <c r="H11303" s="3" t="s">
        <v>54289</v>
      </c>
      <c r="I11303" s="3" t="s">
        <v>57298</v>
      </c>
      <c r="J11303" s="3" t="s">
        <v>946</v>
      </c>
      <c r="K11303" s="3" t="s">
        <v>57299</v>
      </c>
      <c r="L11303" s="3"/>
      <c r="M11303" s="4"/>
      <c r="N11303" s="3" t="s">
        <v>37</v>
      </c>
      <c r="O11303" s="3" t="s">
        <v>52</v>
      </c>
      <c r="P11303" s="5">
        <v>26</v>
      </c>
      <c r="Q11303" s="5">
        <v>510</v>
      </c>
      <c r="R11303" s="5">
        <v>26</v>
      </c>
      <c r="S11303" s="5">
        <v>518</v>
      </c>
    </row>
    <row r="11304" spans="1:19" ht="28" x14ac:dyDescent="0.15">
      <c r="A11304" s="2">
        <f>HYPERLINK("https://open-school.uspishnemisto.com.ua/school/560593/", 560593)</f>
        <v>560593</v>
      </c>
      <c r="B11304" s="3" t="s">
        <v>57300</v>
      </c>
      <c r="C11304" s="3" t="s">
        <v>31</v>
      </c>
      <c r="D11304" s="3" t="s">
        <v>175</v>
      </c>
      <c r="E11304" s="4" t="s">
        <v>22</v>
      </c>
      <c r="F11304" s="4" t="s">
        <v>57296</v>
      </c>
      <c r="G11304" s="4" t="s">
        <v>57301</v>
      </c>
      <c r="H11304" s="3" t="s">
        <v>54289</v>
      </c>
      <c r="I11304" s="3" t="s">
        <v>57302</v>
      </c>
      <c r="J11304" s="3" t="s">
        <v>2584</v>
      </c>
      <c r="K11304" s="3" t="s">
        <v>57303</v>
      </c>
      <c r="L11304" s="3"/>
      <c r="M11304" s="4"/>
      <c r="N11304" s="3" t="s">
        <v>37</v>
      </c>
      <c r="O11304" s="3" t="s">
        <v>52</v>
      </c>
      <c r="P11304" s="5">
        <v>9</v>
      </c>
      <c r="Q11304" s="5">
        <v>103</v>
      </c>
      <c r="R11304" s="5">
        <v>9</v>
      </c>
      <c r="S11304" s="5">
        <v>117</v>
      </c>
    </row>
    <row r="11305" spans="1:19" ht="28" x14ac:dyDescent="0.15">
      <c r="A11305" s="2">
        <f>HYPERLINK("https://open-school.uspishnemisto.com.ua/school/560594/", 560594)</f>
        <v>560594</v>
      </c>
      <c r="B11305" s="3" t="s">
        <v>57304</v>
      </c>
      <c r="C11305" s="3" t="s">
        <v>31</v>
      </c>
      <c r="D11305" s="3" t="s">
        <v>32</v>
      </c>
      <c r="E11305" s="4" t="s">
        <v>22</v>
      </c>
      <c r="F11305" s="4" t="s">
        <v>57305</v>
      </c>
      <c r="G11305" s="4" t="s">
        <v>57306</v>
      </c>
      <c r="H11305" s="3" t="s">
        <v>54289</v>
      </c>
      <c r="I11305" s="3" t="s">
        <v>57307</v>
      </c>
      <c r="J11305" s="3" t="s">
        <v>31719</v>
      </c>
      <c r="K11305" s="3" t="s">
        <v>57308</v>
      </c>
      <c r="L11305" s="3"/>
      <c r="M11305" s="4"/>
      <c r="N11305" s="3" t="s">
        <v>37</v>
      </c>
      <c r="O11305" s="3" t="s">
        <v>46</v>
      </c>
      <c r="P11305" s="5">
        <v>26</v>
      </c>
      <c r="Q11305" s="5">
        <v>537</v>
      </c>
      <c r="R11305" s="5">
        <v>25</v>
      </c>
      <c r="S11305" s="5">
        <v>531</v>
      </c>
    </row>
    <row r="11306" spans="1:19" ht="28" x14ac:dyDescent="0.15">
      <c r="A11306" s="2">
        <f>HYPERLINK("https://open-school.uspishnemisto.com.ua/school/560595/", 560595)</f>
        <v>560595</v>
      </c>
      <c r="B11306" s="3" t="s">
        <v>57309</v>
      </c>
      <c r="C11306" s="3" t="s">
        <v>31</v>
      </c>
      <c r="D11306" s="3" t="s">
        <v>175</v>
      </c>
      <c r="E11306" s="4" t="s">
        <v>22</v>
      </c>
      <c r="F11306" s="4" t="s">
        <v>57310</v>
      </c>
      <c r="G11306" s="4" t="s">
        <v>57311</v>
      </c>
      <c r="H11306" s="3" t="s">
        <v>54289</v>
      </c>
      <c r="I11306" s="3" t="s">
        <v>4683</v>
      </c>
      <c r="J11306" s="3" t="s">
        <v>466</v>
      </c>
      <c r="K11306" s="3" t="s">
        <v>57312</v>
      </c>
      <c r="L11306" s="3" t="s">
        <v>57313</v>
      </c>
      <c r="M11306" s="4"/>
      <c r="N11306" s="3" t="s">
        <v>37</v>
      </c>
      <c r="O11306" s="3" t="s">
        <v>52</v>
      </c>
      <c r="P11306" s="5">
        <v>12</v>
      </c>
      <c r="Q11306" s="5">
        <v>135</v>
      </c>
      <c r="R11306" s="5">
        <v>12</v>
      </c>
      <c r="S11306" s="5">
        <v>130</v>
      </c>
    </row>
    <row r="11307" spans="1:19" ht="28" x14ac:dyDescent="0.15">
      <c r="A11307" s="2">
        <f>HYPERLINK("https://open-school.uspishnemisto.com.ua/school/560596/", 560596)</f>
        <v>560596</v>
      </c>
      <c r="B11307" s="3" t="s">
        <v>57314</v>
      </c>
      <c r="C11307" s="3" t="s">
        <v>31</v>
      </c>
      <c r="D11307" s="3" t="s">
        <v>32</v>
      </c>
      <c r="E11307" s="4" t="s">
        <v>22</v>
      </c>
      <c r="F11307" s="4" t="s">
        <v>57315</v>
      </c>
      <c r="G11307" s="4" t="s">
        <v>57316</v>
      </c>
      <c r="H11307" s="3" t="s">
        <v>54289</v>
      </c>
      <c r="I11307" s="3" t="s">
        <v>57317</v>
      </c>
      <c r="J11307" s="3" t="s">
        <v>57318</v>
      </c>
      <c r="K11307" s="3" t="s">
        <v>57319</v>
      </c>
      <c r="L11307" s="3" t="s">
        <v>57320</v>
      </c>
      <c r="M11307" s="4"/>
      <c r="N11307" s="3" t="s">
        <v>37</v>
      </c>
      <c r="O11307" s="3" t="s">
        <v>52</v>
      </c>
      <c r="P11307" s="5">
        <v>22</v>
      </c>
      <c r="Q11307" s="5">
        <v>435</v>
      </c>
      <c r="R11307" s="5">
        <v>23</v>
      </c>
      <c r="S11307" s="5">
        <v>438</v>
      </c>
    </row>
    <row r="11308" spans="1:19" ht="28" x14ac:dyDescent="0.15">
      <c r="A11308" s="2">
        <f>HYPERLINK("https://open-school.uspishnemisto.com.ua/school/560597/", 560597)</f>
        <v>560597</v>
      </c>
      <c r="B11308" s="3" t="s">
        <v>57321</v>
      </c>
      <c r="C11308" s="3" t="s">
        <v>31</v>
      </c>
      <c r="D11308" s="3" t="s">
        <v>175</v>
      </c>
      <c r="E11308" s="4" t="s">
        <v>22</v>
      </c>
      <c r="F11308" s="4" t="s">
        <v>57322</v>
      </c>
      <c r="G11308" s="4" t="s">
        <v>57323</v>
      </c>
      <c r="H11308" s="3" t="s">
        <v>54289</v>
      </c>
      <c r="I11308" s="3" t="s">
        <v>57324</v>
      </c>
      <c r="J11308" s="3" t="s">
        <v>57325</v>
      </c>
      <c r="K11308" s="3" t="s">
        <v>57326</v>
      </c>
      <c r="L11308" s="3"/>
      <c r="M11308" s="4"/>
      <c r="N11308" s="3" t="s">
        <v>37</v>
      </c>
      <c r="O11308" s="3" t="s">
        <v>618</v>
      </c>
      <c r="P11308" s="5">
        <v>10</v>
      </c>
      <c r="Q11308" s="5">
        <v>193</v>
      </c>
      <c r="R11308" s="5">
        <v>10</v>
      </c>
      <c r="S11308" s="5">
        <v>189</v>
      </c>
    </row>
    <row r="11309" spans="1:19" ht="42" x14ac:dyDescent="0.15">
      <c r="A11309" s="2">
        <f>HYPERLINK("https://open-school.uspishnemisto.com.ua/school/560598/", 560598)</f>
        <v>560598</v>
      </c>
      <c r="B11309" s="3" t="s">
        <v>57327</v>
      </c>
      <c r="C11309" s="3" t="s">
        <v>31</v>
      </c>
      <c r="D11309" s="3" t="s">
        <v>175</v>
      </c>
      <c r="E11309" s="4" t="s">
        <v>22</v>
      </c>
      <c r="F11309" s="4" t="s">
        <v>57328</v>
      </c>
      <c r="G11309" s="4" t="s">
        <v>57329</v>
      </c>
      <c r="H11309" s="3" t="s">
        <v>54289</v>
      </c>
      <c r="I11309" s="3" t="s">
        <v>5871</v>
      </c>
      <c r="J11309" s="3" t="s">
        <v>761</v>
      </c>
      <c r="K11309" s="3" t="s">
        <v>57330</v>
      </c>
      <c r="L11309" s="3" t="s">
        <v>57331</v>
      </c>
      <c r="M11309" s="4"/>
      <c r="N11309" s="3" t="s">
        <v>37</v>
      </c>
      <c r="O11309" s="3" t="s">
        <v>52</v>
      </c>
      <c r="P11309" s="5">
        <v>9</v>
      </c>
      <c r="Q11309" s="5">
        <v>85</v>
      </c>
      <c r="R11309" s="5">
        <v>9</v>
      </c>
      <c r="S11309" s="5">
        <v>77</v>
      </c>
    </row>
    <row r="11310" spans="1:19" ht="42" x14ac:dyDescent="0.15">
      <c r="A11310" s="2">
        <f>HYPERLINK("https://open-school.uspishnemisto.com.ua/school/560599/", 560599)</f>
        <v>560599</v>
      </c>
      <c r="B11310" s="3" t="s">
        <v>57332</v>
      </c>
      <c r="C11310" s="3" t="s">
        <v>31</v>
      </c>
      <c r="D11310" s="3" t="s">
        <v>32</v>
      </c>
      <c r="E11310" s="4" t="s">
        <v>22</v>
      </c>
      <c r="F11310" s="4" t="s">
        <v>57333</v>
      </c>
      <c r="G11310" s="4" t="s">
        <v>57334</v>
      </c>
      <c r="H11310" s="3" t="s">
        <v>54289</v>
      </c>
      <c r="I11310" s="3" t="s">
        <v>5877</v>
      </c>
      <c r="J11310" s="3" t="s">
        <v>57335</v>
      </c>
      <c r="K11310" s="3" t="s">
        <v>57336</v>
      </c>
      <c r="L11310" s="3"/>
      <c r="M11310" s="4"/>
      <c r="N11310" s="3" t="s">
        <v>37</v>
      </c>
      <c r="O11310" s="3" t="s">
        <v>52</v>
      </c>
      <c r="P11310" s="5">
        <v>20</v>
      </c>
      <c r="Q11310" s="5">
        <v>455</v>
      </c>
      <c r="R11310" s="5">
        <v>21</v>
      </c>
      <c r="S11310" s="5">
        <v>457</v>
      </c>
    </row>
    <row r="11311" spans="1:19" ht="28" x14ac:dyDescent="0.15">
      <c r="A11311" s="2">
        <f>HYPERLINK("https://open-school.uspishnemisto.com.ua/school/560600/", 560600)</f>
        <v>560600</v>
      </c>
      <c r="B11311" s="3" t="s">
        <v>57337</v>
      </c>
      <c r="C11311" s="3" t="s">
        <v>31</v>
      </c>
      <c r="D11311" s="3" t="s">
        <v>60</v>
      </c>
      <c r="E11311" s="4" t="s">
        <v>22</v>
      </c>
      <c r="F11311" s="4" t="s">
        <v>57333</v>
      </c>
      <c r="G11311" s="4" t="s">
        <v>57338</v>
      </c>
      <c r="H11311" s="3" t="s">
        <v>54289</v>
      </c>
      <c r="I11311" s="3" t="s">
        <v>57339</v>
      </c>
      <c r="J11311" s="3" t="s">
        <v>57340</v>
      </c>
      <c r="K11311" s="3"/>
      <c r="L11311" s="3"/>
      <c r="M11311" s="4"/>
      <c r="N11311" s="3" t="s">
        <v>37</v>
      </c>
      <c r="O11311" s="3" t="s">
        <v>52</v>
      </c>
      <c r="P11311" s="5">
        <v>4</v>
      </c>
      <c r="Q11311" s="5">
        <v>28</v>
      </c>
      <c r="R11311" s="5">
        <v>4</v>
      </c>
      <c r="S11311" s="5">
        <v>33</v>
      </c>
    </row>
    <row r="11312" spans="1:19" ht="28" x14ac:dyDescent="0.15">
      <c r="A11312" s="2">
        <f>HYPERLINK("https://open-school.uspishnemisto.com.ua/school/560601/", 560601)</f>
        <v>560601</v>
      </c>
      <c r="B11312" s="3" t="s">
        <v>57341</v>
      </c>
      <c r="C11312" s="3" t="s">
        <v>31</v>
      </c>
      <c r="D11312" s="3" t="s">
        <v>175</v>
      </c>
      <c r="E11312" s="4" t="s">
        <v>22</v>
      </c>
      <c r="F11312" s="4" t="s">
        <v>57342</v>
      </c>
      <c r="G11312" s="4" t="s">
        <v>57343</v>
      </c>
      <c r="H11312" s="3" t="s">
        <v>54289</v>
      </c>
      <c r="I11312" s="3" t="s">
        <v>2179</v>
      </c>
      <c r="J11312" s="3" t="s">
        <v>2601</v>
      </c>
      <c r="K11312" s="3" t="s">
        <v>57344</v>
      </c>
      <c r="L11312" s="3"/>
      <c r="M11312" s="4"/>
      <c r="N11312" s="3" t="s">
        <v>37</v>
      </c>
      <c r="O11312" s="3" t="s">
        <v>52</v>
      </c>
      <c r="P11312" s="5">
        <v>13</v>
      </c>
      <c r="Q11312" s="5">
        <v>258</v>
      </c>
      <c r="R11312" s="5">
        <v>12</v>
      </c>
      <c r="S11312" s="5">
        <v>251</v>
      </c>
    </row>
    <row r="11313" spans="1:19" ht="28" x14ac:dyDescent="0.15">
      <c r="A11313" s="2">
        <f>HYPERLINK("https://open-school.uspishnemisto.com.ua/school/560602/", 560602)</f>
        <v>560602</v>
      </c>
      <c r="B11313" s="3" t="s">
        <v>57345</v>
      </c>
      <c r="C11313" s="3" t="s">
        <v>31</v>
      </c>
      <c r="D11313" s="3" t="s">
        <v>60</v>
      </c>
      <c r="E11313" s="4" t="s">
        <v>22</v>
      </c>
      <c r="F11313" s="4" t="s">
        <v>57342</v>
      </c>
      <c r="G11313" s="4" t="s">
        <v>57346</v>
      </c>
      <c r="H11313" s="3" t="s">
        <v>54289</v>
      </c>
      <c r="I11313" s="3" t="s">
        <v>3387</v>
      </c>
      <c r="J11313" s="3" t="s">
        <v>22078</v>
      </c>
      <c r="K11313" s="3" t="s">
        <v>57347</v>
      </c>
      <c r="L11313" s="3" t="s">
        <v>57348</v>
      </c>
      <c r="M11313" s="4"/>
      <c r="N11313" s="3" t="s">
        <v>37</v>
      </c>
      <c r="O11313" s="3" t="s">
        <v>52</v>
      </c>
      <c r="P11313" s="5">
        <v>6</v>
      </c>
      <c r="Q11313" s="5">
        <v>98</v>
      </c>
      <c r="R11313" s="5">
        <v>7</v>
      </c>
      <c r="S11313" s="5">
        <v>106</v>
      </c>
    </row>
    <row r="11314" spans="1:19" ht="28" x14ac:dyDescent="0.15">
      <c r="A11314" s="2">
        <f>HYPERLINK("https://open-school.uspishnemisto.com.ua/school/560603/", 560603)</f>
        <v>560603</v>
      </c>
      <c r="B11314" s="3" t="s">
        <v>57349</v>
      </c>
      <c r="C11314" s="3" t="s">
        <v>31</v>
      </c>
      <c r="D11314" s="3" t="s">
        <v>32</v>
      </c>
      <c r="E11314" s="4" t="s">
        <v>22</v>
      </c>
      <c r="F11314" s="4" t="s">
        <v>57350</v>
      </c>
      <c r="G11314" s="4" t="s">
        <v>57351</v>
      </c>
      <c r="H11314" s="3" t="s">
        <v>54289</v>
      </c>
      <c r="I11314" s="3" t="s">
        <v>57352</v>
      </c>
      <c r="J11314" s="3" t="s">
        <v>39352</v>
      </c>
      <c r="K11314" s="3"/>
      <c r="L11314" s="3"/>
      <c r="M11314" s="4"/>
      <c r="N11314" s="3" t="s">
        <v>37</v>
      </c>
      <c r="O11314" s="3" t="s">
        <v>46</v>
      </c>
      <c r="P11314" s="5">
        <v>21</v>
      </c>
      <c r="Q11314" s="5">
        <v>404</v>
      </c>
      <c r="R11314" s="5">
        <v>22</v>
      </c>
      <c r="S11314" s="5">
        <v>412</v>
      </c>
    </row>
    <row r="11315" spans="1:19" ht="28" x14ac:dyDescent="0.15">
      <c r="A11315" s="2">
        <f>HYPERLINK("https://open-school.uspishnemisto.com.ua/school/560604/", 560604)</f>
        <v>560604</v>
      </c>
      <c r="B11315" s="3" t="s">
        <v>57353</v>
      </c>
      <c r="C11315" s="3" t="s">
        <v>31</v>
      </c>
      <c r="D11315" s="3" t="s">
        <v>175</v>
      </c>
      <c r="E11315" s="4" t="s">
        <v>22</v>
      </c>
      <c r="F11315" s="4" t="s">
        <v>57354</v>
      </c>
      <c r="G11315" s="4" t="s">
        <v>57355</v>
      </c>
      <c r="H11315" s="3" t="s">
        <v>54289</v>
      </c>
      <c r="I11315" s="3" t="s">
        <v>57356</v>
      </c>
      <c r="J11315" s="3" t="s">
        <v>37859</v>
      </c>
      <c r="K11315" s="3" t="s">
        <v>57357</v>
      </c>
      <c r="L11315" s="3"/>
      <c r="M11315" s="4"/>
      <c r="N11315" s="3" t="s">
        <v>37</v>
      </c>
      <c r="O11315" s="3" t="s">
        <v>52</v>
      </c>
      <c r="P11315" s="5">
        <v>9</v>
      </c>
      <c r="Q11315" s="5">
        <v>179</v>
      </c>
      <c r="R11315" s="5">
        <v>9</v>
      </c>
      <c r="S11315" s="5">
        <v>173</v>
      </c>
    </row>
    <row r="11316" spans="1:19" ht="28" x14ac:dyDescent="0.15">
      <c r="A11316" s="2">
        <f>HYPERLINK("https://open-school.uspishnemisto.com.ua/school/560605/", 560605)</f>
        <v>560605</v>
      </c>
      <c r="B11316" s="3" t="s">
        <v>57358</v>
      </c>
      <c r="C11316" s="3" t="s">
        <v>31</v>
      </c>
      <c r="D11316" s="3" t="s">
        <v>175</v>
      </c>
      <c r="E11316" s="4" t="s">
        <v>22</v>
      </c>
      <c r="F11316" s="4" t="s">
        <v>57350</v>
      </c>
      <c r="G11316" s="4" t="s">
        <v>57359</v>
      </c>
      <c r="H11316" s="3" t="s">
        <v>54289</v>
      </c>
      <c r="I11316" s="3" t="s">
        <v>57360</v>
      </c>
      <c r="J11316" s="3" t="s">
        <v>37045</v>
      </c>
      <c r="K11316" s="3"/>
      <c r="L11316" s="3"/>
      <c r="M11316" s="4"/>
      <c r="N11316" s="3" t="s">
        <v>37</v>
      </c>
      <c r="O11316" s="3" t="s">
        <v>52</v>
      </c>
      <c r="P11316" s="5">
        <v>9</v>
      </c>
      <c r="Q11316" s="5">
        <v>99</v>
      </c>
      <c r="R11316" s="5">
        <v>9</v>
      </c>
      <c r="S11316" s="5">
        <v>95</v>
      </c>
    </row>
    <row r="11317" spans="1:19" ht="28" x14ac:dyDescent="0.15">
      <c r="A11317" s="2">
        <f>HYPERLINK("https://open-school.uspishnemisto.com.ua/school/560606/", 560606)</f>
        <v>560606</v>
      </c>
      <c r="B11317" s="3" t="s">
        <v>57361</v>
      </c>
      <c r="C11317" s="3" t="s">
        <v>31</v>
      </c>
      <c r="D11317" s="3" t="s">
        <v>32</v>
      </c>
      <c r="E11317" s="4" t="s">
        <v>22</v>
      </c>
      <c r="F11317" s="4" t="s">
        <v>57362</v>
      </c>
      <c r="G11317" s="4" t="s">
        <v>57363</v>
      </c>
      <c r="H11317" s="3" t="s">
        <v>54289</v>
      </c>
      <c r="I11317" s="3" t="s">
        <v>57364</v>
      </c>
      <c r="J11317" s="3" t="s">
        <v>57365</v>
      </c>
      <c r="K11317" s="3" t="s">
        <v>57366</v>
      </c>
      <c r="L11317" s="3"/>
      <c r="M11317" s="4"/>
      <c r="N11317" s="3" t="s">
        <v>37</v>
      </c>
      <c r="O11317" s="3" t="s">
        <v>52</v>
      </c>
      <c r="P11317" s="5">
        <v>25</v>
      </c>
      <c r="Q11317" s="5">
        <v>482</v>
      </c>
      <c r="R11317" s="5">
        <v>26</v>
      </c>
      <c r="S11317" s="5">
        <v>466</v>
      </c>
    </row>
    <row r="11318" spans="1:19" ht="28" x14ac:dyDescent="0.15">
      <c r="A11318" s="2">
        <f>HYPERLINK("https://open-school.uspishnemisto.com.ua/school/560607/", 560607)</f>
        <v>560607</v>
      </c>
      <c r="B11318" s="3" t="s">
        <v>57367</v>
      </c>
      <c r="C11318" s="3" t="s">
        <v>31</v>
      </c>
      <c r="D11318" s="3" t="s">
        <v>175</v>
      </c>
      <c r="E11318" s="4" t="s">
        <v>22</v>
      </c>
      <c r="F11318" s="4" t="s">
        <v>57362</v>
      </c>
      <c r="G11318" s="4" t="s">
        <v>57368</v>
      </c>
      <c r="H11318" s="3" t="s">
        <v>54289</v>
      </c>
      <c r="I11318" s="3" t="s">
        <v>22558</v>
      </c>
      <c r="J11318" s="3" t="s">
        <v>23118</v>
      </c>
      <c r="K11318" s="3" t="s">
        <v>57369</v>
      </c>
      <c r="L11318" s="3"/>
      <c r="M11318" s="4"/>
      <c r="N11318" s="3" t="s">
        <v>37</v>
      </c>
      <c r="O11318" s="3" t="s">
        <v>52</v>
      </c>
      <c r="P11318" s="5">
        <v>9</v>
      </c>
      <c r="Q11318" s="5">
        <v>136</v>
      </c>
      <c r="R11318" s="5">
        <v>9</v>
      </c>
      <c r="S11318" s="5">
        <v>128</v>
      </c>
    </row>
    <row r="11319" spans="1:19" ht="28" x14ac:dyDescent="0.15">
      <c r="A11319" s="2">
        <f>HYPERLINK("https://open-school.uspishnemisto.com.ua/school/560608/", 560608)</f>
        <v>560608</v>
      </c>
      <c r="B11319" s="3" t="s">
        <v>57370</v>
      </c>
      <c r="C11319" s="3" t="s">
        <v>31</v>
      </c>
      <c r="D11319" s="3" t="s">
        <v>175</v>
      </c>
      <c r="E11319" s="4" t="s">
        <v>22</v>
      </c>
      <c r="F11319" s="4" t="s">
        <v>57371</v>
      </c>
      <c r="G11319" s="4" t="s">
        <v>57372</v>
      </c>
      <c r="H11319" s="3" t="s">
        <v>54289</v>
      </c>
      <c r="I11319" s="3" t="s">
        <v>57373</v>
      </c>
      <c r="J11319" s="3" t="s">
        <v>7717</v>
      </c>
      <c r="K11319" s="3" t="s">
        <v>57374</v>
      </c>
      <c r="L11319" s="3"/>
      <c r="M11319" s="4"/>
      <c r="N11319" s="3" t="s">
        <v>37</v>
      </c>
      <c r="O11319" s="3" t="s">
        <v>52</v>
      </c>
      <c r="P11319" s="5">
        <v>9</v>
      </c>
      <c r="Q11319" s="5">
        <v>89</v>
      </c>
      <c r="R11319" s="5">
        <v>9</v>
      </c>
      <c r="S11319" s="5">
        <v>92</v>
      </c>
    </row>
    <row r="11320" spans="1:19" ht="28" x14ac:dyDescent="0.15">
      <c r="A11320" s="2">
        <f>HYPERLINK("https://open-school.uspishnemisto.com.ua/school/560609/", 560609)</f>
        <v>560609</v>
      </c>
      <c r="B11320" s="3" t="s">
        <v>57375</v>
      </c>
      <c r="C11320" s="3" t="s">
        <v>31</v>
      </c>
      <c r="D11320" s="3" t="s">
        <v>175</v>
      </c>
      <c r="E11320" s="4" t="s">
        <v>22</v>
      </c>
      <c r="F11320" s="4" t="s">
        <v>57376</v>
      </c>
      <c r="G11320" s="4" t="s">
        <v>57377</v>
      </c>
      <c r="H11320" s="3" t="s">
        <v>54289</v>
      </c>
      <c r="I11320" s="3" t="s">
        <v>27446</v>
      </c>
      <c r="J11320" s="3" t="s">
        <v>554</v>
      </c>
      <c r="K11320" s="3"/>
      <c r="L11320" s="3" t="s">
        <v>57378</v>
      </c>
      <c r="M11320" s="4"/>
      <c r="N11320" s="3" t="s">
        <v>37</v>
      </c>
      <c r="O11320" s="3" t="s">
        <v>46</v>
      </c>
      <c r="P11320" s="5">
        <v>1</v>
      </c>
      <c r="Q11320" s="5">
        <v>21</v>
      </c>
      <c r="R11320" s="5">
        <v>3</v>
      </c>
      <c r="S11320" s="5">
        <v>27</v>
      </c>
    </row>
    <row r="11321" spans="1:19" ht="28" x14ac:dyDescent="0.15">
      <c r="A11321" s="2">
        <f>HYPERLINK("https://open-school.uspishnemisto.com.ua/school/560610/", 560610)</f>
        <v>560610</v>
      </c>
      <c r="B11321" s="3" t="s">
        <v>57379</v>
      </c>
      <c r="C11321" s="3" t="s">
        <v>31</v>
      </c>
      <c r="D11321" s="3" t="s">
        <v>32</v>
      </c>
      <c r="E11321" s="4" t="s">
        <v>22</v>
      </c>
      <c r="F11321" s="4" t="s">
        <v>57380</v>
      </c>
      <c r="G11321" s="4" t="s">
        <v>57381</v>
      </c>
      <c r="H11321" s="3" t="s">
        <v>54289</v>
      </c>
      <c r="I11321" s="3" t="s">
        <v>57382</v>
      </c>
      <c r="J11321" s="3" t="s">
        <v>700</v>
      </c>
      <c r="K11321" s="3" t="s">
        <v>57383</v>
      </c>
      <c r="L11321" s="3" t="s">
        <v>57384</v>
      </c>
      <c r="M11321" s="4"/>
      <c r="N11321" s="3" t="s">
        <v>37</v>
      </c>
      <c r="O11321" s="3" t="s">
        <v>52</v>
      </c>
      <c r="P11321" s="5">
        <v>11</v>
      </c>
      <c r="Q11321" s="5">
        <v>196</v>
      </c>
      <c r="R11321" s="5">
        <v>11</v>
      </c>
      <c r="S11321" s="5">
        <v>186</v>
      </c>
    </row>
    <row r="11322" spans="1:19" ht="28" x14ac:dyDescent="0.15">
      <c r="A11322" s="2">
        <f>HYPERLINK("https://open-school.uspishnemisto.com.ua/school/560611/", 560611)</f>
        <v>560611</v>
      </c>
      <c r="B11322" s="3" t="s">
        <v>57385</v>
      </c>
      <c r="C11322" s="3" t="s">
        <v>31</v>
      </c>
      <c r="D11322" s="3" t="s">
        <v>175</v>
      </c>
      <c r="E11322" s="4" t="s">
        <v>22</v>
      </c>
      <c r="F11322" s="4" t="s">
        <v>57380</v>
      </c>
      <c r="G11322" s="4" t="s">
        <v>57386</v>
      </c>
      <c r="H11322" s="3" t="s">
        <v>54289</v>
      </c>
      <c r="I11322" s="3" t="s">
        <v>57387</v>
      </c>
      <c r="J11322" s="3" t="s">
        <v>1946</v>
      </c>
      <c r="K11322" s="3" t="s">
        <v>57388</v>
      </c>
      <c r="L11322" s="3"/>
      <c r="M11322" s="4"/>
      <c r="N11322" s="3" t="s">
        <v>37</v>
      </c>
      <c r="O11322" s="3" t="s">
        <v>52</v>
      </c>
      <c r="P11322" s="5">
        <v>7</v>
      </c>
      <c r="Q11322" s="5">
        <v>50</v>
      </c>
      <c r="R11322" s="5">
        <v>6</v>
      </c>
      <c r="S11322" s="5">
        <v>43</v>
      </c>
    </row>
    <row r="11323" spans="1:19" ht="28" x14ac:dyDescent="0.15">
      <c r="A11323" s="2">
        <f>HYPERLINK("https://open-school.uspishnemisto.com.ua/school/560612/", 560612)</f>
        <v>560612</v>
      </c>
      <c r="B11323" s="3" t="s">
        <v>57389</v>
      </c>
      <c r="C11323" s="3" t="s">
        <v>31</v>
      </c>
      <c r="D11323" s="3" t="s">
        <v>175</v>
      </c>
      <c r="E11323" s="4" t="s">
        <v>22</v>
      </c>
      <c r="F11323" s="4" t="s">
        <v>57380</v>
      </c>
      <c r="G11323" s="4" t="s">
        <v>57390</v>
      </c>
      <c r="H11323" s="3" t="s">
        <v>54289</v>
      </c>
      <c r="I11323" s="3" t="s">
        <v>440</v>
      </c>
      <c r="J11323" s="3" t="s">
        <v>1417</v>
      </c>
      <c r="K11323" s="3" t="s">
        <v>57391</v>
      </c>
      <c r="L11323" s="3" t="s">
        <v>57392</v>
      </c>
      <c r="M11323" s="4"/>
      <c r="N11323" s="3" t="s">
        <v>37</v>
      </c>
      <c r="O11323" s="3" t="s">
        <v>618</v>
      </c>
      <c r="P11323" s="5">
        <v>7</v>
      </c>
      <c r="Q11323" s="5">
        <v>53</v>
      </c>
      <c r="R11323" s="5">
        <v>6</v>
      </c>
      <c r="S11323" s="5">
        <v>52</v>
      </c>
    </row>
    <row r="11324" spans="1:19" ht="28" x14ac:dyDescent="0.15">
      <c r="A11324" s="2">
        <f>HYPERLINK("https://open-school.uspishnemisto.com.ua/school/560613/", 560613)</f>
        <v>560613</v>
      </c>
      <c r="B11324" s="3" t="s">
        <v>57393</v>
      </c>
      <c r="C11324" s="3" t="s">
        <v>31</v>
      </c>
      <c r="D11324" s="3" t="s">
        <v>32</v>
      </c>
      <c r="E11324" s="4" t="s">
        <v>22</v>
      </c>
      <c r="F11324" s="4" t="s">
        <v>57394</v>
      </c>
      <c r="G11324" s="4" t="s">
        <v>57395</v>
      </c>
      <c r="H11324" s="3" t="s">
        <v>54289</v>
      </c>
      <c r="I11324" s="3" t="s">
        <v>57396</v>
      </c>
      <c r="J11324" s="3" t="s">
        <v>5955</v>
      </c>
      <c r="K11324" s="3" t="s">
        <v>57397</v>
      </c>
      <c r="L11324" s="3"/>
      <c r="M11324" s="4"/>
      <c r="N11324" s="3" t="s">
        <v>37</v>
      </c>
      <c r="O11324" s="3" t="s">
        <v>52</v>
      </c>
      <c r="P11324" s="5">
        <v>17</v>
      </c>
      <c r="Q11324" s="5">
        <v>318</v>
      </c>
      <c r="R11324" s="5">
        <v>17</v>
      </c>
      <c r="S11324" s="5">
        <v>310</v>
      </c>
    </row>
    <row r="11325" spans="1:19" ht="28" x14ac:dyDescent="0.15">
      <c r="A11325" s="2">
        <f>HYPERLINK("https://open-school.uspishnemisto.com.ua/school/560614/", 560614)</f>
        <v>560614</v>
      </c>
      <c r="B11325" s="3" t="s">
        <v>57398</v>
      </c>
      <c r="C11325" s="3" t="s">
        <v>31</v>
      </c>
      <c r="D11325" s="3" t="s">
        <v>175</v>
      </c>
      <c r="E11325" s="4" t="s">
        <v>22</v>
      </c>
      <c r="F11325" s="4" t="s">
        <v>57399</v>
      </c>
      <c r="G11325" s="4" t="s">
        <v>57400</v>
      </c>
      <c r="H11325" s="3" t="s">
        <v>54289</v>
      </c>
      <c r="I11325" s="3" t="s">
        <v>57401</v>
      </c>
      <c r="J11325" s="3" t="s">
        <v>28128</v>
      </c>
      <c r="K11325" s="3" t="s">
        <v>57402</v>
      </c>
      <c r="L11325" s="3"/>
      <c r="M11325" s="4"/>
      <c r="N11325" s="3" t="s">
        <v>37</v>
      </c>
      <c r="O11325" s="3" t="s">
        <v>52</v>
      </c>
      <c r="P11325" s="5">
        <v>9</v>
      </c>
      <c r="Q11325" s="5">
        <v>151</v>
      </c>
      <c r="R11325" s="5">
        <v>9</v>
      </c>
      <c r="S11325" s="5">
        <v>155</v>
      </c>
    </row>
    <row r="11326" spans="1:19" ht="28" x14ac:dyDescent="0.15">
      <c r="A11326" s="2">
        <f>HYPERLINK("https://open-school.uspishnemisto.com.ua/school/560615/", 560615)</f>
        <v>560615</v>
      </c>
      <c r="B11326" s="3" t="s">
        <v>57403</v>
      </c>
      <c r="C11326" s="3" t="s">
        <v>31</v>
      </c>
      <c r="D11326" s="3" t="s">
        <v>60</v>
      </c>
      <c r="E11326" s="4" t="s">
        <v>22</v>
      </c>
      <c r="F11326" s="4" t="s">
        <v>57394</v>
      </c>
      <c r="G11326" s="4" t="s">
        <v>57404</v>
      </c>
      <c r="H11326" s="3" t="s">
        <v>54289</v>
      </c>
      <c r="I11326" s="3" t="s">
        <v>57405</v>
      </c>
      <c r="J11326" s="3" t="s">
        <v>57406</v>
      </c>
      <c r="K11326" s="3"/>
      <c r="L11326" s="3"/>
      <c r="M11326" s="4"/>
      <c r="N11326" s="3" t="s">
        <v>37</v>
      </c>
      <c r="O11326" s="3" t="s">
        <v>52</v>
      </c>
      <c r="P11326" s="5">
        <v>3</v>
      </c>
      <c r="Q11326" s="5">
        <v>27</v>
      </c>
      <c r="R11326" s="5">
        <v>3</v>
      </c>
      <c r="S11326" s="5">
        <v>26</v>
      </c>
    </row>
    <row r="11327" spans="1:19" ht="28" x14ac:dyDescent="0.15">
      <c r="A11327" s="2">
        <f>HYPERLINK("https://open-school.uspishnemisto.com.ua/school/560616/", 560616)</f>
        <v>560616</v>
      </c>
      <c r="B11327" s="3" t="s">
        <v>57407</v>
      </c>
      <c r="C11327" s="3" t="s">
        <v>31</v>
      </c>
      <c r="D11327" s="3" t="s">
        <v>32</v>
      </c>
      <c r="E11327" s="4" t="s">
        <v>22</v>
      </c>
      <c r="F11327" s="4" t="s">
        <v>57408</v>
      </c>
      <c r="G11327" s="4" t="s">
        <v>57409</v>
      </c>
      <c r="H11327" s="3" t="s">
        <v>54289</v>
      </c>
      <c r="I11327" s="3" t="s">
        <v>57410</v>
      </c>
      <c r="J11327" s="3" t="s">
        <v>297</v>
      </c>
      <c r="K11327" s="3" t="s">
        <v>57411</v>
      </c>
      <c r="L11327" s="3" t="s">
        <v>57412</v>
      </c>
      <c r="M11327" s="4"/>
      <c r="N11327" s="3" t="s">
        <v>37</v>
      </c>
      <c r="O11327" s="3" t="s">
        <v>52</v>
      </c>
      <c r="P11327" s="5">
        <v>23</v>
      </c>
      <c r="Q11327" s="5">
        <v>533</v>
      </c>
      <c r="R11327" s="5">
        <v>22</v>
      </c>
      <c r="S11327" s="5">
        <v>511</v>
      </c>
    </row>
    <row r="11328" spans="1:19" ht="28" x14ac:dyDescent="0.15">
      <c r="A11328" s="2">
        <f>HYPERLINK("https://open-school.uspishnemisto.com.ua/school/560617/", 560617)</f>
        <v>560617</v>
      </c>
      <c r="B11328" s="3" t="s">
        <v>57413</v>
      </c>
      <c r="C11328" s="3" t="s">
        <v>31</v>
      </c>
      <c r="D11328" s="3" t="s">
        <v>60</v>
      </c>
      <c r="E11328" s="4" t="s">
        <v>22</v>
      </c>
      <c r="F11328" s="4" t="s">
        <v>57408</v>
      </c>
      <c r="G11328" s="4" t="s">
        <v>57414</v>
      </c>
      <c r="H11328" s="3" t="s">
        <v>54289</v>
      </c>
      <c r="I11328" s="3" t="s">
        <v>12592</v>
      </c>
      <c r="J11328" s="3" t="s">
        <v>57415</v>
      </c>
      <c r="K11328" s="3"/>
      <c r="L11328" s="3" t="s">
        <v>57416</v>
      </c>
      <c r="M11328" s="4"/>
      <c r="N11328" s="3" t="s">
        <v>37</v>
      </c>
      <c r="O11328" s="3" t="s">
        <v>52</v>
      </c>
      <c r="P11328" s="5">
        <v>4</v>
      </c>
      <c r="Q11328" s="5">
        <v>45</v>
      </c>
      <c r="R11328" s="5">
        <v>4</v>
      </c>
      <c r="S11328" s="5">
        <v>48</v>
      </c>
    </row>
    <row r="11329" spans="1:19" ht="28" x14ac:dyDescent="0.15">
      <c r="A11329" s="2">
        <f>HYPERLINK("https://open-school.uspishnemisto.com.ua/school/560618/", 560618)</f>
        <v>560618</v>
      </c>
      <c r="B11329" s="3" t="s">
        <v>57417</v>
      </c>
      <c r="C11329" s="3" t="s">
        <v>31</v>
      </c>
      <c r="D11329" s="3" t="s">
        <v>32</v>
      </c>
      <c r="E11329" s="4" t="s">
        <v>22</v>
      </c>
      <c r="F11329" s="4" t="s">
        <v>57418</v>
      </c>
      <c r="G11329" s="4" t="s">
        <v>57419</v>
      </c>
      <c r="H11329" s="3" t="s">
        <v>54289</v>
      </c>
      <c r="I11329" s="3" t="s">
        <v>57420</v>
      </c>
      <c r="J11329" s="3" t="s">
        <v>1946</v>
      </c>
      <c r="K11329" s="3" t="s">
        <v>57421</v>
      </c>
      <c r="L11329" s="3"/>
      <c r="M11329" s="4"/>
      <c r="N11329" s="3" t="s">
        <v>37</v>
      </c>
      <c r="O11329" s="3" t="s">
        <v>52</v>
      </c>
      <c r="P11329" s="5">
        <v>11</v>
      </c>
      <c r="Q11329" s="5">
        <v>135</v>
      </c>
      <c r="R11329" s="5">
        <v>11</v>
      </c>
      <c r="S11329" s="5">
        <v>132</v>
      </c>
    </row>
    <row r="11330" spans="1:19" ht="28" x14ac:dyDescent="0.15">
      <c r="A11330" s="2">
        <f>HYPERLINK("https://open-school.uspishnemisto.com.ua/school/560619/", 560619)</f>
        <v>560619</v>
      </c>
      <c r="B11330" s="3" t="s">
        <v>57422</v>
      </c>
      <c r="C11330" s="3" t="s">
        <v>31</v>
      </c>
      <c r="D11330" s="3" t="s">
        <v>32</v>
      </c>
      <c r="E11330" s="4" t="s">
        <v>22</v>
      </c>
      <c r="F11330" s="4" t="s">
        <v>57423</v>
      </c>
      <c r="G11330" s="4" t="s">
        <v>57424</v>
      </c>
      <c r="H11330" s="3" t="s">
        <v>54289</v>
      </c>
      <c r="I11330" s="3" t="s">
        <v>57425</v>
      </c>
      <c r="J11330" s="3" t="s">
        <v>13066</v>
      </c>
      <c r="K11330" s="3" t="s">
        <v>57426</v>
      </c>
      <c r="L11330" s="3"/>
      <c r="M11330" s="4"/>
      <c r="N11330" s="3" t="s">
        <v>37</v>
      </c>
      <c r="O11330" s="3" t="s">
        <v>46</v>
      </c>
      <c r="P11330" s="5">
        <v>18</v>
      </c>
      <c r="Q11330" s="5">
        <v>330</v>
      </c>
      <c r="R11330" s="5">
        <v>17</v>
      </c>
      <c r="S11330" s="5">
        <v>311</v>
      </c>
    </row>
    <row r="11331" spans="1:19" ht="28" x14ac:dyDescent="0.15">
      <c r="A11331" s="2">
        <f>HYPERLINK("https://open-school.uspishnemisto.com.ua/school/560620/", 560620)</f>
        <v>560620</v>
      </c>
      <c r="B11331" s="3" t="s">
        <v>57427</v>
      </c>
      <c r="C11331" s="3" t="s">
        <v>31</v>
      </c>
      <c r="D11331" s="3" t="s">
        <v>175</v>
      </c>
      <c r="E11331" s="4" t="s">
        <v>22</v>
      </c>
      <c r="F11331" s="4" t="s">
        <v>57428</v>
      </c>
      <c r="G11331" s="4" t="s">
        <v>57429</v>
      </c>
      <c r="H11331" s="3" t="s">
        <v>54289</v>
      </c>
      <c r="I11331" s="3" t="s">
        <v>54770</v>
      </c>
      <c r="J11331" s="3" t="s">
        <v>20560</v>
      </c>
      <c r="K11331" s="3" t="s">
        <v>57430</v>
      </c>
      <c r="L11331" s="3"/>
      <c r="M11331" s="4"/>
      <c r="N11331" s="3" t="s">
        <v>37</v>
      </c>
      <c r="O11331" s="3" t="s">
        <v>52</v>
      </c>
      <c r="P11331" s="5">
        <v>9</v>
      </c>
      <c r="Q11331" s="5">
        <v>97</v>
      </c>
      <c r="R11331" s="5">
        <v>9</v>
      </c>
      <c r="S11331" s="5">
        <v>97</v>
      </c>
    </row>
    <row r="11332" spans="1:19" ht="28" x14ac:dyDescent="0.15">
      <c r="A11332" s="2">
        <f>HYPERLINK("https://open-school.uspishnemisto.com.ua/school/560621/", 560621)</f>
        <v>560621</v>
      </c>
      <c r="B11332" s="3" t="s">
        <v>57431</v>
      </c>
      <c r="C11332" s="3" t="s">
        <v>31</v>
      </c>
      <c r="D11332" s="3" t="s">
        <v>175</v>
      </c>
      <c r="E11332" s="4" t="s">
        <v>22</v>
      </c>
      <c r="F11332" s="4" t="s">
        <v>57432</v>
      </c>
      <c r="G11332" s="4" t="s">
        <v>57433</v>
      </c>
      <c r="H11332" s="3" t="s">
        <v>54289</v>
      </c>
      <c r="I11332" s="3" t="s">
        <v>2410</v>
      </c>
      <c r="J11332" s="3" t="s">
        <v>53636</v>
      </c>
      <c r="K11332" s="3" t="s">
        <v>57434</v>
      </c>
      <c r="L11332" s="3" t="s">
        <v>57435</v>
      </c>
      <c r="M11332" s="4"/>
      <c r="N11332" s="3" t="s">
        <v>37</v>
      </c>
      <c r="O11332" s="3" t="s">
        <v>46</v>
      </c>
      <c r="P11332" s="5">
        <v>9</v>
      </c>
      <c r="Q11332" s="5">
        <v>155</v>
      </c>
      <c r="R11332" s="5">
        <v>9</v>
      </c>
      <c r="S11332" s="5">
        <v>158</v>
      </c>
    </row>
    <row r="11333" spans="1:19" ht="42" x14ac:dyDescent="0.15">
      <c r="A11333" s="2">
        <f>HYPERLINK("https://open-school.uspishnemisto.com.ua/school/560622/", 560622)</f>
        <v>560622</v>
      </c>
      <c r="B11333" s="3" t="s">
        <v>57436</v>
      </c>
      <c r="C11333" s="3" t="s">
        <v>31</v>
      </c>
      <c r="D11333" s="3" t="s">
        <v>175</v>
      </c>
      <c r="E11333" s="4" t="s">
        <v>22</v>
      </c>
      <c r="F11333" s="4" t="s">
        <v>57437</v>
      </c>
      <c r="G11333" s="4" t="s">
        <v>57438</v>
      </c>
      <c r="H11333" s="3" t="s">
        <v>54289</v>
      </c>
      <c r="I11333" s="3" t="s">
        <v>57439</v>
      </c>
      <c r="J11333" s="3" t="s">
        <v>27315</v>
      </c>
      <c r="K11333" s="3" t="s">
        <v>57440</v>
      </c>
      <c r="L11333" s="3" t="s">
        <v>57441</v>
      </c>
      <c r="M11333" s="4"/>
      <c r="N11333" s="3" t="s">
        <v>37</v>
      </c>
      <c r="O11333" s="3" t="s">
        <v>46</v>
      </c>
      <c r="P11333" s="5">
        <v>15</v>
      </c>
      <c r="Q11333" s="5">
        <v>241</v>
      </c>
      <c r="R11333" s="5">
        <v>14</v>
      </c>
      <c r="S11333" s="5">
        <v>222</v>
      </c>
    </row>
    <row r="11334" spans="1:19" ht="28" x14ac:dyDescent="0.15">
      <c r="A11334" s="2">
        <f>HYPERLINK("https://open-school.uspishnemisto.com.ua/school/560623/", 560623)</f>
        <v>560623</v>
      </c>
      <c r="B11334" s="3" t="s">
        <v>57442</v>
      </c>
      <c r="C11334" s="3" t="s">
        <v>31</v>
      </c>
      <c r="D11334" s="3" t="s">
        <v>32</v>
      </c>
      <c r="E11334" s="4" t="s">
        <v>22</v>
      </c>
      <c r="F11334" s="4" t="s">
        <v>57443</v>
      </c>
      <c r="G11334" s="4" t="s">
        <v>57444</v>
      </c>
      <c r="H11334" s="3" t="s">
        <v>54289</v>
      </c>
      <c r="I11334" s="3" t="s">
        <v>57445</v>
      </c>
      <c r="J11334" s="3" t="s">
        <v>57446</v>
      </c>
      <c r="K11334" s="3" t="s">
        <v>57447</v>
      </c>
      <c r="L11334" s="3"/>
      <c r="M11334" s="4"/>
      <c r="N11334" s="3" t="s">
        <v>37</v>
      </c>
      <c r="O11334" s="3" t="s">
        <v>46</v>
      </c>
      <c r="P11334" s="5">
        <v>20</v>
      </c>
      <c r="Q11334" s="5">
        <v>422</v>
      </c>
      <c r="R11334" s="5">
        <v>21</v>
      </c>
      <c r="S11334" s="5">
        <v>422</v>
      </c>
    </row>
    <row r="11335" spans="1:19" ht="28" x14ac:dyDescent="0.15">
      <c r="A11335" s="2">
        <f>HYPERLINK("https://open-school.uspishnemisto.com.ua/school/560624/", 560624)</f>
        <v>560624</v>
      </c>
      <c r="B11335" s="3" t="s">
        <v>57448</v>
      </c>
      <c r="C11335" s="3" t="s">
        <v>54</v>
      </c>
      <c r="D11335" s="3" t="s">
        <v>60</v>
      </c>
      <c r="E11335" s="4" t="s">
        <v>22</v>
      </c>
      <c r="F11335" s="4" t="s">
        <v>57449</v>
      </c>
      <c r="G11335" s="4" t="s">
        <v>57450</v>
      </c>
      <c r="H11335" s="3" t="s">
        <v>54289</v>
      </c>
      <c r="I11335" s="3" t="s">
        <v>57451</v>
      </c>
      <c r="J11335" s="3" t="s">
        <v>57452</v>
      </c>
      <c r="K11335" s="3"/>
      <c r="L11335" s="3"/>
      <c r="M11335" s="4"/>
      <c r="N11335" s="3" t="s">
        <v>37</v>
      </c>
      <c r="O11335" s="3" t="s">
        <v>52</v>
      </c>
      <c r="P11335" s="5">
        <v>6</v>
      </c>
      <c r="Q11335" s="5">
        <v>114</v>
      </c>
      <c r="R11335" s="5">
        <v>5</v>
      </c>
      <c r="S11335" s="5">
        <v>102</v>
      </c>
    </row>
    <row r="11336" spans="1:19" ht="28" x14ac:dyDescent="0.15">
      <c r="A11336" s="2">
        <f>HYPERLINK("https://open-school.uspishnemisto.com.ua/school/560625/", 560625)</f>
        <v>560625</v>
      </c>
      <c r="B11336" s="3" t="s">
        <v>57453</v>
      </c>
      <c r="C11336" s="3" t="s">
        <v>31</v>
      </c>
      <c r="D11336" s="3" t="s">
        <v>32</v>
      </c>
      <c r="E11336" s="4" t="s">
        <v>22</v>
      </c>
      <c r="F11336" s="4" t="s">
        <v>57449</v>
      </c>
      <c r="G11336" s="4" t="s">
        <v>57450</v>
      </c>
      <c r="H11336" s="3" t="s">
        <v>54289</v>
      </c>
      <c r="I11336" s="3" t="s">
        <v>57451</v>
      </c>
      <c r="J11336" s="3" t="s">
        <v>57454</v>
      </c>
      <c r="K11336" s="3" t="s">
        <v>57455</v>
      </c>
      <c r="L11336" s="3"/>
      <c r="M11336" s="4"/>
      <c r="N11336" s="3" t="s">
        <v>37</v>
      </c>
      <c r="O11336" s="3" t="s">
        <v>52</v>
      </c>
      <c r="P11336" s="5">
        <v>9</v>
      </c>
      <c r="Q11336" s="5">
        <v>179</v>
      </c>
      <c r="R11336" s="5">
        <v>9</v>
      </c>
      <c r="S11336" s="5">
        <v>185</v>
      </c>
    </row>
    <row r="11337" spans="1:19" ht="28" x14ac:dyDescent="0.15">
      <c r="A11337" s="2">
        <f>HYPERLINK("https://open-school.uspishnemisto.com.ua/school/560626/", 560626)</f>
        <v>560626</v>
      </c>
      <c r="B11337" s="3" t="s">
        <v>57456</v>
      </c>
      <c r="C11337" s="3" t="s">
        <v>31</v>
      </c>
      <c r="D11337" s="3" t="s">
        <v>32</v>
      </c>
      <c r="E11337" s="4" t="s">
        <v>22</v>
      </c>
      <c r="F11337" s="4" t="s">
        <v>57457</v>
      </c>
      <c r="G11337" s="4" t="s">
        <v>57458</v>
      </c>
      <c r="H11337" s="3" t="s">
        <v>54289</v>
      </c>
      <c r="I11337" s="3" t="s">
        <v>57459</v>
      </c>
      <c r="J11337" s="3" t="s">
        <v>634</v>
      </c>
      <c r="K11337" s="3" t="s">
        <v>57460</v>
      </c>
      <c r="L11337" s="3"/>
      <c r="M11337" s="4"/>
      <c r="N11337" s="3" t="s">
        <v>37</v>
      </c>
      <c r="O11337" s="3" t="s">
        <v>52</v>
      </c>
      <c r="P11337" s="5">
        <v>16</v>
      </c>
      <c r="Q11337" s="5">
        <v>312</v>
      </c>
      <c r="R11337" s="5">
        <v>16</v>
      </c>
      <c r="S11337" s="5">
        <v>305</v>
      </c>
    </row>
    <row r="11338" spans="1:19" ht="28" x14ac:dyDescent="0.15">
      <c r="A11338" s="2">
        <f>HYPERLINK("https://open-school.uspishnemisto.com.ua/school/560627/", 560627)</f>
        <v>560627</v>
      </c>
      <c r="B11338" s="3" t="s">
        <v>57461</v>
      </c>
      <c r="C11338" s="3" t="s">
        <v>31</v>
      </c>
      <c r="D11338" s="3" t="s">
        <v>60</v>
      </c>
      <c r="E11338" s="4" t="s">
        <v>22</v>
      </c>
      <c r="F11338" s="4" t="s">
        <v>57462</v>
      </c>
      <c r="G11338" s="4" t="s">
        <v>57463</v>
      </c>
      <c r="H11338" s="3" t="s">
        <v>54289</v>
      </c>
      <c r="I11338" s="3" t="s">
        <v>57464</v>
      </c>
      <c r="J11338" s="3" t="s">
        <v>3399</v>
      </c>
      <c r="K11338" s="3"/>
      <c r="L11338" s="3"/>
      <c r="M11338" s="4"/>
      <c r="N11338" s="3" t="s">
        <v>37</v>
      </c>
      <c r="O11338" s="3" t="s">
        <v>52</v>
      </c>
      <c r="P11338" s="5">
        <v>4</v>
      </c>
      <c r="Q11338" s="5">
        <v>74</v>
      </c>
      <c r="R11338" s="5">
        <v>4</v>
      </c>
      <c r="S11338" s="5">
        <v>73</v>
      </c>
    </row>
    <row r="11339" spans="1:19" ht="28" x14ac:dyDescent="0.15">
      <c r="A11339" s="2">
        <f>HYPERLINK("https://open-school.uspishnemisto.com.ua/school/560628/", 560628)</f>
        <v>560628</v>
      </c>
      <c r="B11339" s="3" t="s">
        <v>57465</v>
      </c>
      <c r="C11339" s="3" t="s">
        <v>31</v>
      </c>
      <c r="D11339" s="3" t="s">
        <v>175</v>
      </c>
      <c r="E11339" s="4" t="s">
        <v>22</v>
      </c>
      <c r="F11339" s="4" t="s">
        <v>57466</v>
      </c>
      <c r="G11339" s="4" t="s">
        <v>57467</v>
      </c>
      <c r="H11339" s="3" t="s">
        <v>54289</v>
      </c>
      <c r="I11339" s="3" t="s">
        <v>21333</v>
      </c>
      <c r="J11339" s="3" t="s">
        <v>57468</v>
      </c>
      <c r="K11339" s="3" t="s">
        <v>57469</v>
      </c>
      <c r="L11339" s="3" t="s">
        <v>57470</v>
      </c>
      <c r="M11339" s="4"/>
      <c r="N11339" s="3" t="s">
        <v>37</v>
      </c>
      <c r="O11339" s="3" t="s">
        <v>139</v>
      </c>
      <c r="P11339" s="5">
        <v>14</v>
      </c>
      <c r="Q11339" s="5">
        <v>235</v>
      </c>
      <c r="R11339" s="5">
        <v>13</v>
      </c>
      <c r="S11339" s="5">
        <v>222</v>
      </c>
    </row>
    <row r="11340" spans="1:19" ht="28" x14ac:dyDescent="0.15">
      <c r="A11340" s="2">
        <f>HYPERLINK("https://open-school.uspishnemisto.com.ua/school/560629/", 560629)</f>
        <v>560629</v>
      </c>
      <c r="B11340" s="3" t="s">
        <v>57471</v>
      </c>
      <c r="C11340" s="3" t="s">
        <v>31</v>
      </c>
      <c r="D11340" s="3" t="s">
        <v>32</v>
      </c>
      <c r="E11340" s="4" t="s">
        <v>22</v>
      </c>
      <c r="F11340" s="4" t="s">
        <v>57462</v>
      </c>
      <c r="G11340" s="4" t="s">
        <v>57472</v>
      </c>
      <c r="H11340" s="3" t="s">
        <v>54289</v>
      </c>
      <c r="I11340" s="3" t="s">
        <v>57473</v>
      </c>
      <c r="J11340" s="3" t="s">
        <v>5593</v>
      </c>
      <c r="K11340" s="3" t="s">
        <v>57474</v>
      </c>
      <c r="L11340" s="3"/>
      <c r="M11340" s="4" t="s">
        <v>57475</v>
      </c>
      <c r="N11340" s="3" t="s">
        <v>37</v>
      </c>
      <c r="O11340" s="3" t="s">
        <v>52</v>
      </c>
      <c r="P11340" s="5">
        <v>31</v>
      </c>
      <c r="Q11340" s="5">
        <v>669</v>
      </c>
      <c r="R11340" s="5">
        <v>29</v>
      </c>
      <c r="S11340" s="5">
        <v>662</v>
      </c>
    </row>
    <row r="11341" spans="1:19" ht="28" x14ac:dyDescent="0.15">
      <c r="A11341" s="2">
        <f>HYPERLINK("https://open-school.uspishnemisto.com.ua/school/560630/", 560630)</f>
        <v>560630</v>
      </c>
      <c r="B11341" s="3" t="s">
        <v>57476</v>
      </c>
      <c r="C11341" s="3" t="s">
        <v>31</v>
      </c>
      <c r="D11341" s="3" t="s">
        <v>175</v>
      </c>
      <c r="E11341" s="4" t="s">
        <v>22</v>
      </c>
      <c r="F11341" s="4" t="s">
        <v>57477</v>
      </c>
      <c r="G11341" s="4" t="s">
        <v>57478</v>
      </c>
      <c r="H11341" s="3" t="s">
        <v>54289</v>
      </c>
      <c r="I11341" s="3" t="s">
        <v>57479</v>
      </c>
      <c r="J11341" s="3" t="s">
        <v>15410</v>
      </c>
      <c r="K11341" s="3" t="s">
        <v>57480</v>
      </c>
      <c r="L11341" s="3"/>
      <c r="M11341" s="4"/>
      <c r="N11341" s="3" t="s">
        <v>37</v>
      </c>
      <c r="O11341" s="3" t="s">
        <v>52</v>
      </c>
      <c r="P11341" s="5">
        <v>13</v>
      </c>
      <c r="Q11341" s="5">
        <v>187</v>
      </c>
      <c r="R11341" s="5">
        <v>12</v>
      </c>
      <c r="S11341" s="5">
        <v>179</v>
      </c>
    </row>
    <row r="11342" spans="1:19" ht="28" x14ac:dyDescent="0.15">
      <c r="A11342" s="2">
        <f>HYPERLINK("https://open-school.uspishnemisto.com.ua/school/560631/", 560631)</f>
        <v>560631</v>
      </c>
      <c r="B11342" s="3" t="s">
        <v>57481</v>
      </c>
      <c r="C11342" s="3" t="s">
        <v>31</v>
      </c>
      <c r="D11342" s="3" t="s">
        <v>32</v>
      </c>
      <c r="E11342" s="4" t="s">
        <v>22</v>
      </c>
      <c r="F11342" s="4" t="s">
        <v>57482</v>
      </c>
      <c r="G11342" s="4" t="s">
        <v>57483</v>
      </c>
      <c r="H11342" s="3" t="s">
        <v>54289</v>
      </c>
      <c r="I11342" s="3" t="s">
        <v>57484</v>
      </c>
      <c r="J11342" s="3" t="s">
        <v>57485</v>
      </c>
      <c r="K11342" s="3" t="s">
        <v>57486</v>
      </c>
      <c r="L11342" s="3"/>
      <c r="M11342" s="4"/>
      <c r="N11342" s="3" t="s">
        <v>37</v>
      </c>
      <c r="O11342" s="3" t="s">
        <v>52</v>
      </c>
      <c r="P11342" s="5">
        <v>36</v>
      </c>
      <c r="Q11342" s="5">
        <v>889</v>
      </c>
      <c r="R11342" s="5">
        <v>32</v>
      </c>
      <c r="S11342" s="5">
        <v>759</v>
      </c>
    </row>
    <row r="11343" spans="1:19" ht="28" x14ac:dyDescent="0.15">
      <c r="A11343" s="2">
        <f>HYPERLINK("https://open-school.uspishnemisto.com.ua/school/560632/", 560632)</f>
        <v>560632</v>
      </c>
      <c r="B11343" s="3" t="s">
        <v>57487</v>
      </c>
      <c r="C11343" s="3" t="s">
        <v>31</v>
      </c>
      <c r="D11343" s="3" t="s">
        <v>60</v>
      </c>
      <c r="E11343" s="4" t="s">
        <v>22</v>
      </c>
      <c r="F11343" s="4" t="s">
        <v>57482</v>
      </c>
      <c r="G11343" s="4" t="s">
        <v>57483</v>
      </c>
      <c r="H11343" s="3" t="s">
        <v>54289</v>
      </c>
      <c r="I11343" s="3" t="s">
        <v>57484</v>
      </c>
      <c r="J11343" s="3" t="s">
        <v>639</v>
      </c>
      <c r="K11343" s="3" t="s">
        <v>57488</v>
      </c>
      <c r="L11343" s="3"/>
      <c r="M11343" s="4"/>
      <c r="N11343" s="3" t="s">
        <v>37</v>
      </c>
      <c r="O11343" s="3" t="s">
        <v>52</v>
      </c>
      <c r="P11343" s="5">
        <v>4</v>
      </c>
      <c r="Q11343" s="5">
        <v>80</v>
      </c>
      <c r="R11343" s="5">
        <v>10</v>
      </c>
      <c r="S11343" s="5">
        <v>205</v>
      </c>
    </row>
    <row r="11344" spans="1:19" ht="42" x14ac:dyDescent="0.15">
      <c r="A11344" s="2">
        <f>HYPERLINK("https://open-school.uspishnemisto.com.ua/school/560633/", 560633)</f>
        <v>560633</v>
      </c>
      <c r="B11344" s="3" t="s">
        <v>57489</v>
      </c>
      <c r="C11344" s="3" t="s">
        <v>181</v>
      </c>
      <c r="D11344" s="3" t="s">
        <v>175</v>
      </c>
      <c r="E11344" s="4" t="s">
        <v>22</v>
      </c>
      <c r="F11344" s="4" t="s">
        <v>57490</v>
      </c>
      <c r="G11344" s="4" t="s">
        <v>57491</v>
      </c>
      <c r="H11344" s="3" t="s">
        <v>54289</v>
      </c>
      <c r="I11344" s="3" t="s">
        <v>57492</v>
      </c>
      <c r="J11344" s="3" t="s">
        <v>4792</v>
      </c>
      <c r="K11344" s="3"/>
      <c r="L11344" s="3"/>
      <c r="M11344" s="4" t="s">
        <v>57493</v>
      </c>
      <c r="N11344" s="3" t="s">
        <v>37</v>
      </c>
      <c r="O11344" s="3" t="s">
        <v>52</v>
      </c>
      <c r="P11344" s="5">
        <v>10</v>
      </c>
      <c r="Q11344" s="5">
        <v>108</v>
      </c>
      <c r="R11344" s="5">
        <v>10</v>
      </c>
      <c r="S11344" s="5">
        <v>100</v>
      </c>
    </row>
    <row r="11345" spans="1:19" ht="42" x14ac:dyDescent="0.15">
      <c r="A11345" s="2">
        <f>HYPERLINK("https://open-school.uspishnemisto.com.ua/school/560634/", 560634)</f>
        <v>560634</v>
      </c>
      <c r="B11345" s="3" t="s">
        <v>57494</v>
      </c>
      <c r="C11345" s="3" t="s">
        <v>181</v>
      </c>
      <c r="D11345" s="3" t="s">
        <v>175</v>
      </c>
      <c r="E11345" s="4" t="s">
        <v>22</v>
      </c>
      <c r="F11345" s="4" t="s">
        <v>57490</v>
      </c>
      <c r="G11345" s="4" t="s">
        <v>57491</v>
      </c>
      <c r="H11345" s="3" t="s">
        <v>54289</v>
      </c>
      <c r="I11345" s="3" t="s">
        <v>57492</v>
      </c>
      <c r="J11345" s="3" t="s">
        <v>57495</v>
      </c>
      <c r="K11345" s="3" t="s">
        <v>57496</v>
      </c>
      <c r="L11345" s="3"/>
      <c r="M11345" s="4" t="s">
        <v>57497</v>
      </c>
      <c r="N11345" s="3" t="s">
        <v>37</v>
      </c>
      <c r="O11345" s="3"/>
      <c r="P11345" s="5">
        <v>11</v>
      </c>
      <c r="Q11345" s="5">
        <v>105</v>
      </c>
      <c r="R11345" s="5">
        <v>10</v>
      </c>
      <c r="S11345" s="5">
        <v>97</v>
      </c>
    </row>
    <row r="11346" spans="1:19" ht="42" x14ac:dyDescent="0.15">
      <c r="A11346" s="2">
        <f>HYPERLINK("https://open-school.uspishnemisto.com.ua/school/560635/", 560635)</f>
        <v>560635</v>
      </c>
      <c r="B11346" s="3" t="s">
        <v>57498</v>
      </c>
      <c r="C11346" s="3" t="s">
        <v>31</v>
      </c>
      <c r="D11346" s="3" t="s">
        <v>32</v>
      </c>
      <c r="E11346" s="4" t="s">
        <v>22</v>
      </c>
      <c r="F11346" s="4" t="s">
        <v>57490</v>
      </c>
      <c r="G11346" s="4" t="s">
        <v>57491</v>
      </c>
      <c r="H11346" s="3" t="s">
        <v>54289</v>
      </c>
      <c r="I11346" s="3" t="s">
        <v>57492</v>
      </c>
      <c r="J11346" s="3" t="s">
        <v>2191</v>
      </c>
      <c r="K11346" s="3" t="s">
        <v>57499</v>
      </c>
      <c r="L11346" s="3"/>
      <c r="M11346" s="4"/>
      <c r="N11346" s="3" t="s">
        <v>37</v>
      </c>
      <c r="O11346" s="3" t="s">
        <v>46</v>
      </c>
      <c r="P11346" s="5">
        <v>20</v>
      </c>
      <c r="Q11346" s="5">
        <v>426</v>
      </c>
      <c r="R11346" s="5">
        <v>20</v>
      </c>
      <c r="S11346" s="5">
        <v>413</v>
      </c>
    </row>
    <row r="11347" spans="1:19" ht="56" x14ac:dyDescent="0.15">
      <c r="A11347" s="2">
        <f>HYPERLINK("https://open-school.uspishnemisto.com.ua/school/560636/", 560636)</f>
        <v>560636</v>
      </c>
      <c r="B11347" s="3" t="s">
        <v>57500</v>
      </c>
      <c r="C11347" s="3" t="s">
        <v>54</v>
      </c>
      <c r="D11347" s="3" t="s">
        <v>32</v>
      </c>
      <c r="E11347" s="4" t="s">
        <v>22</v>
      </c>
      <c r="F11347" s="4" t="s">
        <v>57501</v>
      </c>
      <c r="G11347" s="4" t="s">
        <v>57502</v>
      </c>
      <c r="H11347" s="3" t="s">
        <v>54289</v>
      </c>
      <c r="I11347" s="3" t="s">
        <v>57503</v>
      </c>
      <c r="J11347" s="3" t="s">
        <v>792</v>
      </c>
      <c r="K11347" s="3" t="s">
        <v>57504</v>
      </c>
      <c r="L11347" s="3" t="s">
        <v>57505</v>
      </c>
      <c r="M11347" s="4"/>
      <c r="N11347" s="3" t="s">
        <v>37</v>
      </c>
      <c r="O11347" s="3" t="s">
        <v>237</v>
      </c>
      <c r="P11347" s="5">
        <v>35</v>
      </c>
      <c r="Q11347" s="5">
        <v>729</v>
      </c>
      <c r="R11347" s="5">
        <v>35</v>
      </c>
      <c r="S11347" s="5">
        <v>741</v>
      </c>
    </row>
    <row r="11348" spans="1:19" ht="56" x14ac:dyDescent="0.15">
      <c r="A11348" s="2">
        <f>HYPERLINK("https://open-school.uspishnemisto.com.ua/school/560637/", 560637)</f>
        <v>560637</v>
      </c>
      <c r="B11348" s="3" t="s">
        <v>57506</v>
      </c>
      <c r="C11348" s="3" t="s">
        <v>54</v>
      </c>
      <c r="D11348" s="3" t="s">
        <v>32</v>
      </c>
      <c r="E11348" s="4" t="s">
        <v>22</v>
      </c>
      <c r="F11348" s="4" t="s">
        <v>57501</v>
      </c>
      <c r="G11348" s="4" t="s">
        <v>57502</v>
      </c>
      <c r="H11348" s="3" t="s">
        <v>54289</v>
      </c>
      <c r="I11348" s="3" t="s">
        <v>57503</v>
      </c>
      <c r="J11348" s="3" t="s">
        <v>57507</v>
      </c>
      <c r="K11348" s="3" t="s">
        <v>57508</v>
      </c>
      <c r="L11348" s="3" t="s">
        <v>57509</v>
      </c>
      <c r="M11348" s="4"/>
      <c r="N11348" s="3" t="s">
        <v>37</v>
      </c>
      <c r="O11348" s="3" t="s">
        <v>139</v>
      </c>
      <c r="P11348" s="5">
        <v>35</v>
      </c>
      <c r="Q11348" s="5">
        <v>759</v>
      </c>
      <c r="R11348" s="5">
        <v>33</v>
      </c>
      <c r="S11348" s="5">
        <v>728</v>
      </c>
    </row>
    <row r="11349" spans="1:19" ht="56" x14ac:dyDescent="0.15">
      <c r="A11349" s="2">
        <f>HYPERLINK("https://open-school.uspishnemisto.com.ua/school/560638/", 560638)</f>
        <v>560638</v>
      </c>
      <c r="B11349" s="3" t="s">
        <v>57510</v>
      </c>
      <c r="C11349" s="3" t="s">
        <v>31</v>
      </c>
      <c r="D11349" s="3" t="s">
        <v>175</v>
      </c>
      <c r="E11349" s="4" t="s">
        <v>22</v>
      </c>
      <c r="F11349" s="4" t="s">
        <v>57511</v>
      </c>
      <c r="G11349" s="4" t="s">
        <v>57512</v>
      </c>
      <c r="H11349" s="3" t="s">
        <v>54289</v>
      </c>
      <c r="I11349" s="3" t="s">
        <v>57513</v>
      </c>
      <c r="J11349" s="3" t="s">
        <v>57514</v>
      </c>
      <c r="K11349" s="3" t="s">
        <v>57515</v>
      </c>
      <c r="L11349" s="3" t="s">
        <v>57516</v>
      </c>
      <c r="M11349" s="4" t="s">
        <v>57517</v>
      </c>
      <c r="N11349" s="3" t="s">
        <v>37</v>
      </c>
      <c r="O11349" s="3" t="s">
        <v>139</v>
      </c>
      <c r="P11349" s="5">
        <v>0</v>
      </c>
      <c r="Q11349" s="5">
        <v>0</v>
      </c>
      <c r="R11349" s="5">
        <v>10</v>
      </c>
      <c r="S11349" s="5">
        <v>130</v>
      </c>
    </row>
    <row r="11350" spans="1:19" ht="28" x14ac:dyDescent="0.15">
      <c r="A11350" s="2">
        <f>HYPERLINK("https://open-school.uspishnemisto.com.ua/school/560639/", 560639)</f>
        <v>560639</v>
      </c>
      <c r="B11350" s="3" t="s">
        <v>57518</v>
      </c>
      <c r="C11350" s="3" t="s">
        <v>31</v>
      </c>
      <c r="D11350" s="3" t="s">
        <v>60</v>
      </c>
      <c r="E11350" s="4" t="s">
        <v>22</v>
      </c>
      <c r="F11350" s="4" t="s">
        <v>57519</v>
      </c>
      <c r="G11350" s="4" t="s">
        <v>57520</v>
      </c>
      <c r="H11350" s="3" t="s">
        <v>54289</v>
      </c>
      <c r="I11350" s="3" t="s">
        <v>6792</v>
      </c>
      <c r="J11350" s="3" t="s">
        <v>57521</v>
      </c>
      <c r="K11350" s="3" t="s">
        <v>57522</v>
      </c>
      <c r="L11350" s="3" t="s">
        <v>57523</v>
      </c>
      <c r="M11350" s="4"/>
      <c r="N11350" s="3" t="s">
        <v>37</v>
      </c>
      <c r="O11350" s="3" t="s">
        <v>52</v>
      </c>
      <c r="P11350" s="5">
        <v>3</v>
      </c>
      <c r="Q11350" s="5">
        <v>34</v>
      </c>
      <c r="R11350" s="5">
        <v>3</v>
      </c>
      <c r="S11350" s="5">
        <v>26</v>
      </c>
    </row>
    <row r="11351" spans="1:19" ht="42" x14ac:dyDescent="0.15">
      <c r="A11351" s="2">
        <f>HYPERLINK("https://open-school.uspishnemisto.com.ua/school/560640/", 560640)</f>
        <v>560640</v>
      </c>
      <c r="B11351" s="3" t="s">
        <v>57524</v>
      </c>
      <c r="C11351" s="3" t="s">
        <v>31</v>
      </c>
      <c r="D11351" s="3" t="s">
        <v>32</v>
      </c>
      <c r="E11351" s="4" t="s">
        <v>22</v>
      </c>
      <c r="F11351" s="4" t="s">
        <v>57519</v>
      </c>
      <c r="G11351" s="4" t="s">
        <v>57525</v>
      </c>
      <c r="H11351" s="3" t="s">
        <v>54289</v>
      </c>
      <c r="I11351" s="3" t="s">
        <v>3217</v>
      </c>
      <c r="J11351" s="3" t="s">
        <v>26152</v>
      </c>
      <c r="K11351" s="3" t="s">
        <v>57526</v>
      </c>
      <c r="L11351" s="3"/>
      <c r="M11351" s="4" t="s">
        <v>57527</v>
      </c>
      <c r="N11351" s="3" t="s">
        <v>37</v>
      </c>
      <c r="O11351" s="3" t="s">
        <v>139</v>
      </c>
      <c r="P11351" s="5">
        <v>11</v>
      </c>
      <c r="Q11351" s="5">
        <v>149</v>
      </c>
      <c r="R11351" s="5">
        <v>11</v>
      </c>
      <c r="S11351" s="5">
        <v>153</v>
      </c>
    </row>
    <row r="11352" spans="1:19" ht="42" x14ac:dyDescent="0.15">
      <c r="A11352" s="2">
        <f>HYPERLINK("https://open-school.uspishnemisto.com.ua/school/560641/", 560641)</f>
        <v>560641</v>
      </c>
      <c r="B11352" s="3" t="s">
        <v>57528</v>
      </c>
      <c r="C11352" s="3" t="s">
        <v>31</v>
      </c>
      <c r="D11352" s="3" t="s">
        <v>32</v>
      </c>
      <c r="E11352" s="4" t="s">
        <v>22</v>
      </c>
      <c r="F11352" s="4" t="s">
        <v>57529</v>
      </c>
      <c r="G11352" s="4" t="s">
        <v>57530</v>
      </c>
      <c r="H11352" s="3" t="s">
        <v>54289</v>
      </c>
      <c r="I11352" s="3" t="s">
        <v>11543</v>
      </c>
      <c r="J11352" s="3" t="s">
        <v>37940</v>
      </c>
      <c r="K11352" s="3" t="s">
        <v>57531</v>
      </c>
      <c r="L11352" s="3"/>
      <c r="M11352" s="4"/>
      <c r="N11352" s="3" t="s">
        <v>37</v>
      </c>
      <c r="O11352" s="3" t="s">
        <v>46</v>
      </c>
      <c r="P11352" s="5">
        <v>11</v>
      </c>
      <c r="Q11352" s="5">
        <v>121</v>
      </c>
      <c r="R11352" s="5">
        <v>11</v>
      </c>
      <c r="S11352" s="5">
        <v>125</v>
      </c>
    </row>
    <row r="11353" spans="1:19" ht="28" x14ac:dyDescent="0.15">
      <c r="A11353" s="2">
        <f>HYPERLINK("https://open-school.uspishnemisto.com.ua/school/560642/", 560642)</f>
        <v>560642</v>
      </c>
      <c r="B11353" s="3" t="s">
        <v>57532</v>
      </c>
      <c r="C11353" s="3" t="s">
        <v>31</v>
      </c>
      <c r="D11353" s="3" t="s">
        <v>175</v>
      </c>
      <c r="E11353" s="4" t="s">
        <v>22</v>
      </c>
      <c r="F11353" s="4" t="s">
        <v>57533</v>
      </c>
      <c r="G11353" s="4" t="s">
        <v>57534</v>
      </c>
      <c r="H11353" s="3" t="s">
        <v>54289</v>
      </c>
      <c r="I11353" s="3" t="s">
        <v>57535</v>
      </c>
      <c r="J11353" s="3" t="s">
        <v>5632</v>
      </c>
      <c r="K11353" s="3"/>
      <c r="L11353" s="3" t="s">
        <v>57536</v>
      </c>
      <c r="M11353" s="4" t="s">
        <v>57537</v>
      </c>
      <c r="N11353" s="3" t="s">
        <v>37</v>
      </c>
      <c r="O11353" s="3" t="s">
        <v>52</v>
      </c>
      <c r="P11353" s="5">
        <v>5</v>
      </c>
      <c r="Q11353" s="5">
        <v>42</v>
      </c>
      <c r="R11353" s="5">
        <v>5</v>
      </c>
      <c r="S11353" s="5">
        <v>40</v>
      </c>
    </row>
    <row r="11354" spans="1:19" ht="42" x14ac:dyDescent="0.15">
      <c r="A11354" s="2">
        <f>HYPERLINK("https://open-school.uspishnemisto.com.ua/school/560643/", 560643)</f>
        <v>560643</v>
      </c>
      <c r="B11354" s="3" t="s">
        <v>57538</v>
      </c>
      <c r="C11354" s="3" t="s">
        <v>31</v>
      </c>
      <c r="D11354" s="3" t="s">
        <v>175</v>
      </c>
      <c r="E11354" s="4" t="s">
        <v>22</v>
      </c>
      <c r="F11354" s="4" t="s">
        <v>57539</v>
      </c>
      <c r="G11354" s="4" t="s">
        <v>57540</v>
      </c>
      <c r="H11354" s="3" t="s">
        <v>54289</v>
      </c>
      <c r="I11354" s="3" t="s">
        <v>57541</v>
      </c>
      <c r="J11354" s="3" t="s">
        <v>1636</v>
      </c>
      <c r="K11354" s="3" t="s">
        <v>57542</v>
      </c>
      <c r="L11354" s="3"/>
      <c r="M11354" s="4"/>
      <c r="N11354" s="3"/>
      <c r="O11354" s="3"/>
      <c r="P11354" s="5">
        <v>0</v>
      </c>
      <c r="Q11354" s="5">
        <v>0</v>
      </c>
      <c r="R11354" s="5"/>
      <c r="S11354" s="5"/>
    </row>
    <row r="11355" spans="1:19" ht="42" x14ac:dyDescent="0.15">
      <c r="A11355" s="2">
        <f>HYPERLINK("https://open-school.uspishnemisto.com.ua/school/560644/", 560644)</f>
        <v>560644</v>
      </c>
      <c r="B11355" s="3" t="s">
        <v>57543</v>
      </c>
      <c r="C11355" s="3" t="s">
        <v>54</v>
      </c>
      <c r="D11355" s="3" t="s">
        <v>32</v>
      </c>
      <c r="E11355" s="4" t="s">
        <v>22</v>
      </c>
      <c r="F11355" s="4" t="s">
        <v>57539</v>
      </c>
      <c r="G11355" s="4" t="s">
        <v>57544</v>
      </c>
      <c r="H11355" s="3" t="s">
        <v>54289</v>
      </c>
      <c r="I11355" s="3" t="s">
        <v>33233</v>
      </c>
      <c r="J11355" s="3" t="s">
        <v>2476</v>
      </c>
      <c r="K11355" s="3" t="s">
        <v>57545</v>
      </c>
      <c r="L11355" s="3" t="s">
        <v>57546</v>
      </c>
      <c r="M11355" s="4" t="s">
        <v>57547</v>
      </c>
      <c r="N11355" s="3" t="s">
        <v>37</v>
      </c>
      <c r="O11355" s="3" t="s">
        <v>46</v>
      </c>
      <c r="P11355" s="5">
        <v>34</v>
      </c>
      <c r="Q11355" s="5">
        <v>432</v>
      </c>
      <c r="R11355" s="5">
        <v>32</v>
      </c>
      <c r="S11355" s="5">
        <v>423</v>
      </c>
    </row>
    <row r="11356" spans="1:19" ht="42" x14ac:dyDescent="0.15">
      <c r="A11356" s="2">
        <f>HYPERLINK("https://open-school.uspishnemisto.com.ua/school/560645/", 560645)</f>
        <v>560645</v>
      </c>
      <c r="B11356" s="3" t="s">
        <v>57548</v>
      </c>
      <c r="C11356" s="3" t="s">
        <v>31</v>
      </c>
      <c r="D11356" s="3" t="s">
        <v>60</v>
      </c>
      <c r="E11356" s="4" t="s">
        <v>22</v>
      </c>
      <c r="F11356" s="4" t="s">
        <v>57539</v>
      </c>
      <c r="G11356" s="4" t="s">
        <v>57549</v>
      </c>
      <c r="H11356" s="3" t="s">
        <v>54289</v>
      </c>
      <c r="I11356" s="3" t="s">
        <v>57550</v>
      </c>
      <c r="J11356" s="3" t="s">
        <v>6800</v>
      </c>
      <c r="K11356" s="3" t="s">
        <v>57551</v>
      </c>
      <c r="L11356" s="3"/>
      <c r="M11356" s="4"/>
      <c r="N11356" s="3"/>
      <c r="O11356" s="3"/>
      <c r="P11356" s="5">
        <v>0</v>
      </c>
      <c r="Q11356" s="5">
        <v>0</v>
      </c>
      <c r="R11356" s="5"/>
      <c r="S11356" s="5"/>
    </row>
    <row r="11357" spans="1:19" ht="28" x14ac:dyDescent="0.15">
      <c r="A11357" s="2">
        <f>HYPERLINK("https://open-school.uspishnemisto.com.ua/school/560646/", 560646)</f>
        <v>560646</v>
      </c>
      <c r="B11357" s="3" t="s">
        <v>57552</v>
      </c>
      <c r="C11357" s="3" t="s">
        <v>31</v>
      </c>
      <c r="D11357" s="3" t="s">
        <v>32</v>
      </c>
      <c r="E11357" s="4" t="s">
        <v>22</v>
      </c>
      <c r="F11357" s="4" t="s">
        <v>57553</v>
      </c>
      <c r="G11357" s="4" t="s">
        <v>57554</v>
      </c>
      <c r="H11357" s="3" t="s">
        <v>54289</v>
      </c>
      <c r="I11357" s="3" t="s">
        <v>57555</v>
      </c>
      <c r="J11357" s="3" t="s">
        <v>2601</v>
      </c>
      <c r="K11357" s="3" t="s">
        <v>57556</v>
      </c>
      <c r="L11357" s="3"/>
      <c r="M11357" s="4" t="s">
        <v>57557</v>
      </c>
      <c r="N11357" s="3" t="s">
        <v>37</v>
      </c>
      <c r="O11357" s="3" t="s">
        <v>52</v>
      </c>
      <c r="P11357" s="5">
        <v>15</v>
      </c>
      <c r="Q11357" s="5">
        <v>268</v>
      </c>
      <c r="R11357" s="5">
        <v>14</v>
      </c>
      <c r="S11357" s="5">
        <v>249</v>
      </c>
    </row>
    <row r="11358" spans="1:19" ht="28" x14ac:dyDescent="0.15">
      <c r="A11358" s="2">
        <f>HYPERLINK("https://open-school.uspishnemisto.com.ua/school/560647/", 560647)</f>
        <v>560647</v>
      </c>
      <c r="B11358" s="3" t="s">
        <v>57558</v>
      </c>
      <c r="C11358" s="3" t="s">
        <v>31</v>
      </c>
      <c r="D11358" s="3" t="s">
        <v>175</v>
      </c>
      <c r="E11358" s="4" t="s">
        <v>22</v>
      </c>
      <c r="F11358" s="4" t="s">
        <v>57559</v>
      </c>
      <c r="G11358" s="4" t="s">
        <v>57560</v>
      </c>
      <c r="H11358" s="3" t="s">
        <v>54289</v>
      </c>
      <c r="I11358" s="3" t="s">
        <v>15821</v>
      </c>
      <c r="J11358" s="3" t="s">
        <v>14952</v>
      </c>
      <c r="K11358" s="3"/>
      <c r="L11358" s="3" t="s">
        <v>57561</v>
      </c>
      <c r="M11358" s="4"/>
      <c r="N11358" s="3" t="s">
        <v>37</v>
      </c>
      <c r="O11358" s="3" t="s">
        <v>52</v>
      </c>
      <c r="P11358" s="5">
        <v>9</v>
      </c>
      <c r="Q11358" s="5">
        <v>114</v>
      </c>
      <c r="R11358" s="5">
        <v>9</v>
      </c>
      <c r="S11358" s="5">
        <v>119</v>
      </c>
    </row>
    <row r="11359" spans="1:19" ht="42" x14ac:dyDescent="0.15">
      <c r="A11359" s="2">
        <f>HYPERLINK("https://open-school.uspishnemisto.com.ua/school/560648/", 560648)</f>
        <v>560648</v>
      </c>
      <c r="B11359" s="3" t="s">
        <v>57562</v>
      </c>
      <c r="C11359" s="3" t="s">
        <v>31</v>
      </c>
      <c r="D11359" s="3" t="s">
        <v>175</v>
      </c>
      <c r="E11359" s="4" t="s">
        <v>22</v>
      </c>
      <c r="F11359" s="4" t="s">
        <v>57563</v>
      </c>
      <c r="G11359" s="4" t="s">
        <v>57564</v>
      </c>
      <c r="H11359" s="3" t="s">
        <v>54289</v>
      </c>
      <c r="I11359" s="3" t="s">
        <v>688</v>
      </c>
      <c r="J11359" s="3" t="s">
        <v>57565</v>
      </c>
      <c r="K11359" s="3" t="s">
        <v>57566</v>
      </c>
      <c r="L11359" s="3"/>
      <c r="M11359" s="4"/>
      <c r="N11359" s="3" t="s">
        <v>37</v>
      </c>
      <c r="O11359" s="3" t="s">
        <v>52</v>
      </c>
      <c r="P11359" s="5">
        <v>6</v>
      </c>
      <c r="Q11359" s="5">
        <v>60</v>
      </c>
      <c r="R11359" s="5">
        <v>6</v>
      </c>
      <c r="S11359" s="5">
        <v>63</v>
      </c>
    </row>
    <row r="11360" spans="1:19" ht="28" x14ac:dyDescent="0.15">
      <c r="A11360" s="2">
        <f>HYPERLINK("https://open-school.uspishnemisto.com.ua/school/560649/", 560649)</f>
        <v>560649</v>
      </c>
      <c r="B11360" s="3" t="s">
        <v>57567</v>
      </c>
      <c r="C11360" s="3" t="s">
        <v>31</v>
      </c>
      <c r="D11360" s="3" t="s">
        <v>175</v>
      </c>
      <c r="E11360" s="4" t="s">
        <v>22</v>
      </c>
      <c r="F11360" s="4" t="s">
        <v>57568</v>
      </c>
      <c r="G11360" s="4" t="s">
        <v>57569</v>
      </c>
      <c r="H11360" s="3" t="s">
        <v>54289</v>
      </c>
      <c r="I11360" s="3" t="s">
        <v>57570</v>
      </c>
      <c r="J11360" s="3" t="s">
        <v>15862</v>
      </c>
      <c r="K11360" s="3" t="s">
        <v>57571</v>
      </c>
      <c r="L11360" s="3"/>
      <c r="M11360" s="4"/>
      <c r="N11360" s="3" t="s">
        <v>37</v>
      </c>
      <c r="O11360" s="3" t="s">
        <v>52</v>
      </c>
      <c r="P11360" s="5">
        <v>6</v>
      </c>
      <c r="Q11360" s="5">
        <v>51</v>
      </c>
      <c r="R11360" s="5">
        <v>6</v>
      </c>
      <c r="S11360" s="5">
        <v>53</v>
      </c>
    </row>
    <row r="11361" spans="1:19" ht="28" x14ac:dyDescent="0.15">
      <c r="A11361" s="2">
        <f>HYPERLINK("https://open-school.uspishnemisto.com.ua/school/560650/", 560650)</f>
        <v>560650</v>
      </c>
      <c r="B11361" s="3" t="s">
        <v>57572</v>
      </c>
      <c r="C11361" s="3" t="s">
        <v>31</v>
      </c>
      <c r="D11361" s="3" t="s">
        <v>175</v>
      </c>
      <c r="E11361" s="4" t="s">
        <v>22</v>
      </c>
      <c r="F11361" s="4" t="s">
        <v>57573</v>
      </c>
      <c r="G11361" s="4" t="s">
        <v>57574</v>
      </c>
      <c r="H11361" s="3" t="s">
        <v>54289</v>
      </c>
      <c r="I11361" s="3" t="s">
        <v>32067</v>
      </c>
      <c r="J11361" s="3" t="s">
        <v>7474</v>
      </c>
      <c r="K11361" s="3" t="s">
        <v>57575</v>
      </c>
      <c r="L11361" s="3"/>
      <c r="M11361" s="4"/>
      <c r="N11361" s="3" t="s">
        <v>37</v>
      </c>
      <c r="O11361" s="3" t="s">
        <v>52</v>
      </c>
      <c r="P11361" s="5">
        <v>8</v>
      </c>
      <c r="Q11361" s="5">
        <v>50</v>
      </c>
      <c r="R11361" s="5">
        <v>7</v>
      </c>
      <c r="S11361" s="5">
        <v>53</v>
      </c>
    </row>
    <row r="11362" spans="1:19" ht="42" x14ac:dyDescent="0.15">
      <c r="A11362" s="2">
        <f>HYPERLINK("https://open-school.uspishnemisto.com.ua/school/560651/", 560651)</f>
        <v>560651</v>
      </c>
      <c r="B11362" s="3" t="s">
        <v>57576</v>
      </c>
      <c r="C11362" s="3" t="s">
        <v>31</v>
      </c>
      <c r="D11362" s="3" t="s">
        <v>32</v>
      </c>
      <c r="E11362" s="4" t="s">
        <v>22</v>
      </c>
      <c r="F11362" s="4" t="s">
        <v>57577</v>
      </c>
      <c r="G11362" s="4" t="s">
        <v>57578</v>
      </c>
      <c r="H11362" s="3" t="s">
        <v>54289</v>
      </c>
      <c r="I11362" s="3" t="s">
        <v>57579</v>
      </c>
      <c r="J11362" s="3" t="s">
        <v>57580</v>
      </c>
      <c r="K11362" s="3" t="s">
        <v>57581</v>
      </c>
      <c r="L11362" s="3" t="s">
        <v>57582</v>
      </c>
      <c r="M11362" s="4"/>
      <c r="N11362" s="3" t="s">
        <v>37</v>
      </c>
      <c r="O11362" s="3" t="s">
        <v>52</v>
      </c>
      <c r="P11362" s="5">
        <v>10</v>
      </c>
      <c r="Q11362" s="5">
        <v>166</v>
      </c>
      <c r="R11362" s="5">
        <v>11</v>
      </c>
      <c r="S11362" s="5">
        <v>171</v>
      </c>
    </row>
    <row r="11363" spans="1:19" ht="28" x14ac:dyDescent="0.15">
      <c r="A11363" s="2">
        <f>HYPERLINK("https://open-school.uspishnemisto.com.ua/school/560652/", 560652)</f>
        <v>560652</v>
      </c>
      <c r="B11363" s="3" t="s">
        <v>57583</v>
      </c>
      <c r="C11363" s="3" t="s">
        <v>31</v>
      </c>
      <c r="D11363" s="3" t="s">
        <v>32</v>
      </c>
      <c r="E11363" s="4" t="s">
        <v>22</v>
      </c>
      <c r="F11363" s="4" t="s">
        <v>57584</v>
      </c>
      <c r="G11363" s="4" t="s">
        <v>57585</v>
      </c>
      <c r="H11363" s="3" t="s">
        <v>54289</v>
      </c>
      <c r="I11363" s="3" t="s">
        <v>57586</v>
      </c>
      <c r="J11363" s="3" t="s">
        <v>57587</v>
      </c>
      <c r="K11363" s="3" t="s">
        <v>57588</v>
      </c>
      <c r="L11363" s="3"/>
      <c r="M11363" s="4" t="s">
        <v>57589</v>
      </c>
      <c r="N11363" s="3" t="s">
        <v>37</v>
      </c>
      <c r="O11363" s="3" t="s">
        <v>52</v>
      </c>
      <c r="P11363" s="5">
        <v>10</v>
      </c>
      <c r="Q11363" s="5">
        <v>82</v>
      </c>
      <c r="R11363" s="5">
        <v>10</v>
      </c>
      <c r="S11363" s="5">
        <v>83</v>
      </c>
    </row>
    <row r="11364" spans="1:19" ht="56" x14ac:dyDescent="0.15">
      <c r="A11364" s="2">
        <f>HYPERLINK("https://open-school.uspishnemisto.com.ua/school/560653/", 560653)</f>
        <v>560653</v>
      </c>
      <c r="B11364" s="3" t="s">
        <v>57590</v>
      </c>
      <c r="C11364" s="3" t="s">
        <v>54</v>
      </c>
      <c r="D11364" s="3" t="s">
        <v>175</v>
      </c>
      <c r="E11364" s="4" t="s">
        <v>22</v>
      </c>
      <c r="F11364" s="4" t="s">
        <v>57584</v>
      </c>
      <c r="G11364" s="4" t="s">
        <v>57591</v>
      </c>
      <c r="H11364" s="3" t="s">
        <v>54289</v>
      </c>
      <c r="I11364" s="3" t="s">
        <v>33639</v>
      </c>
      <c r="J11364" s="3" t="s">
        <v>57592</v>
      </c>
      <c r="K11364" s="3" t="s">
        <v>57593</v>
      </c>
      <c r="L11364" s="3"/>
      <c r="M11364" s="4"/>
      <c r="N11364" s="3" t="s">
        <v>37</v>
      </c>
      <c r="O11364" s="3" t="s">
        <v>52</v>
      </c>
      <c r="P11364" s="5">
        <v>4</v>
      </c>
      <c r="Q11364" s="5">
        <v>38</v>
      </c>
      <c r="R11364" s="5">
        <v>3</v>
      </c>
      <c r="S11364" s="5">
        <v>38</v>
      </c>
    </row>
    <row r="11365" spans="1:19" ht="42" x14ac:dyDescent="0.15">
      <c r="A11365" s="2">
        <f>HYPERLINK("https://open-school.uspishnemisto.com.ua/school/560654/", 560654)</f>
        <v>560654</v>
      </c>
      <c r="B11365" s="3" t="s">
        <v>57594</v>
      </c>
      <c r="C11365" s="3" t="s">
        <v>31</v>
      </c>
      <c r="D11365" s="3" t="s">
        <v>32</v>
      </c>
      <c r="E11365" s="4" t="s">
        <v>22</v>
      </c>
      <c r="F11365" s="4" t="s">
        <v>57595</v>
      </c>
      <c r="G11365" s="4" t="s">
        <v>57596</v>
      </c>
      <c r="H11365" s="3" t="s">
        <v>54289</v>
      </c>
      <c r="I11365" s="3" t="s">
        <v>57597</v>
      </c>
      <c r="J11365" s="3" t="s">
        <v>634</v>
      </c>
      <c r="K11365" s="3" t="s">
        <v>57598</v>
      </c>
      <c r="L11365" s="3" t="s">
        <v>57599</v>
      </c>
      <c r="M11365" s="4" t="s">
        <v>57600</v>
      </c>
      <c r="N11365" s="3" t="s">
        <v>37</v>
      </c>
      <c r="O11365" s="3" t="s">
        <v>139</v>
      </c>
      <c r="P11365" s="5">
        <v>27</v>
      </c>
      <c r="Q11365" s="5">
        <v>338</v>
      </c>
      <c r="R11365" s="5">
        <v>11</v>
      </c>
      <c r="S11365" s="5">
        <v>165</v>
      </c>
    </row>
    <row r="11366" spans="1:19" ht="42" x14ac:dyDescent="0.15">
      <c r="A11366" s="2">
        <f>HYPERLINK("https://open-school.uspishnemisto.com.ua/school/560655/", 560655)</f>
        <v>560655</v>
      </c>
      <c r="B11366" s="3" t="s">
        <v>57601</v>
      </c>
      <c r="C11366" s="3" t="s">
        <v>31</v>
      </c>
      <c r="D11366" s="3" t="s">
        <v>32</v>
      </c>
      <c r="E11366" s="4" t="s">
        <v>22</v>
      </c>
      <c r="F11366" s="4" t="s">
        <v>57602</v>
      </c>
      <c r="G11366" s="4" t="s">
        <v>57603</v>
      </c>
      <c r="H11366" s="3" t="s">
        <v>54289</v>
      </c>
      <c r="I11366" s="3" t="s">
        <v>57604</v>
      </c>
      <c r="J11366" s="3" t="s">
        <v>57605</v>
      </c>
      <c r="K11366" s="3" t="s">
        <v>57606</v>
      </c>
      <c r="L11366" s="3" t="s">
        <v>57607</v>
      </c>
      <c r="M11366" s="4" t="s">
        <v>57608</v>
      </c>
      <c r="N11366" s="3" t="s">
        <v>37</v>
      </c>
      <c r="O11366" s="3" t="s">
        <v>52</v>
      </c>
      <c r="P11366" s="5">
        <v>0</v>
      </c>
      <c r="Q11366" s="5">
        <v>0</v>
      </c>
      <c r="R11366" s="5">
        <v>6</v>
      </c>
      <c r="S11366" s="5">
        <v>40</v>
      </c>
    </row>
    <row r="11367" spans="1:19" ht="56" x14ac:dyDescent="0.15">
      <c r="A11367" s="2">
        <f>HYPERLINK("https://open-school.uspishnemisto.com.ua/school/560656/", 560656)</f>
        <v>560656</v>
      </c>
      <c r="B11367" s="3" t="s">
        <v>57609</v>
      </c>
      <c r="C11367" s="3" t="s">
        <v>54</v>
      </c>
      <c r="D11367" s="3" t="s">
        <v>32</v>
      </c>
      <c r="E11367" s="4" t="s">
        <v>22</v>
      </c>
      <c r="F11367" s="4" t="s">
        <v>57610</v>
      </c>
      <c r="G11367" s="4" t="s">
        <v>57611</v>
      </c>
      <c r="H11367" s="3" t="s">
        <v>54289</v>
      </c>
      <c r="I11367" s="3" t="s">
        <v>57612</v>
      </c>
      <c r="J11367" s="3" t="s">
        <v>878</v>
      </c>
      <c r="K11367" s="3"/>
      <c r="L11367" s="3" t="s">
        <v>57613</v>
      </c>
      <c r="M11367" s="4" t="s">
        <v>57614</v>
      </c>
      <c r="N11367" s="3" t="s">
        <v>37</v>
      </c>
      <c r="O11367" s="3" t="s">
        <v>52</v>
      </c>
      <c r="P11367" s="5">
        <v>11</v>
      </c>
      <c r="Q11367" s="5">
        <v>141</v>
      </c>
      <c r="R11367" s="5">
        <v>11</v>
      </c>
      <c r="S11367" s="5">
        <v>140</v>
      </c>
    </row>
    <row r="11368" spans="1:19" ht="28" x14ac:dyDescent="0.15">
      <c r="A11368" s="2">
        <f>HYPERLINK("https://open-school.uspishnemisto.com.ua/school/560657/", 560657)</f>
        <v>560657</v>
      </c>
      <c r="B11368" s="3" t="s">
        <v>57615</v>
      </c>
      <c r="C11368" s="3" t="s">
        <v>31</v>
      </c>
      <c r="D11368" s="3" t="s">
        <v>175</v>
      </c>
      <c r="E11368" s="4" t="s">
        <v>22</v>
      </c>
      <c r="F11368" s="4" t="s">
        <v>55039</v>
      </c>
      <c r="G11368" s="4" t="s">
        <v>57616</v>
      </c>
      <c r="H11368" s="3" t="s">
        <v>54289</v>
      </c>
      <c r="I11368" s="3" t="s">
        <v>57617</v>
      </c>
      <c r="J11368" s="3" t="s">
        <v>57618</v>
      </c>
      <c r="K11368" s="3" t="s">
        <v>57619</v>
      </c>
      <c r="L11368" s="3"/>
      <c r="M11368" s="4" t="s">
        <v>57620</v>
      </c>
      <c r="N11368" s="3" t="s">
        <v>37</v>
      </c>
      <c r="O11368" s="3" t="s">
        <v>52</v>
      </c>
      <c r="P11368" s="5">
        <v>9</v>
      </c>
      <c r="Q11368" s="5">
        <v>77</v>
      </c>
      <c r="R11368" s="5">
        <v>9</v>
      </c>
      <c r="S11368" s="5">
        <v>75</v>
      </c>
    </row>
    <row r="11369" spans="1:19" ht="28" x14ac:dyDescent="0.15">
      <c r="A11369" s="2">
        <f>HYPERLINK("https://open-school.uspishnemisto.com.ua/school/560658/", 560658)</f>
        <v>560658</v>
      </c>
      <c r="B11369" s="3" t="s">
        <v>57621</v>
      </c>
      <c r="C11369" s="3" t="s">
        <v>31</v>
      </c>
      <c r="D11369" s="3" t="s">
        <v>32</v>
      </c>
      <c r="E11369" s="4" t="s">
        <v>22</v>
      </c>
      <c r="F11369" s="4" t="s">
        <v>57622</v>
      </c>
      <c r="G11369" s="4" t="s">
        <v>57623</v>
      </c>
      <c r="H11369" s="3" t="s">
        <v>54289</v>
      </c>
      <c r="I11369" s="3" t="s">
        <v>57624</v>
      </c>
      <c r="J11369" s="3" t="s">
        <v>2434</v>
      </c>
      <c r="K11369" s="3" t="s">
        <v>57625</v>
      </c>
      <c r="L11369" s="3"/>
      <c r="M11369" s="4"/>
      <c r="N11369" s="3" t="s">
        <v>37</v>
      </c>
      <c r="O11369" s="3" t="s">
        <v>46</v>
      </c>
      <c r="P11369" s="5">
        <v>10</v>
      </c>
      <c r="Q11369" s="5">
        <v>154</v>
      </c>
      <c r="R11369" s="5">
        <v>11</v>
      </c>
      <c r="S11369" s="5">
        <v>156</v>
      </c>
    </row>
    <row r="11370" spans="1:19" ht="28" x14ac:dyDescent="0.15">
      <c r="A11370" s="2">
        <f>HYPERLINK("https://open-school.uspishnemisto.com.ua/school/560659/", 560659)</f>
        <v>560659</v>
      </c>
      <c r="B11370" s="3" t="s">
        <v>57626</v>
      </c>
      <c r="C11370" s="3" t="s">
        <v>31</v>
      </c>
      <c r="D11370" s="3" t="s">
        <v>32</v>
      </c>
      <c r="E11370" s="4" t="s">
        <v>22</v>
      </c>
      <c r="F11370" s="4" t="s">
        <v>57627</v>
      </c>
      <c r="G11370" s="4" t="s">
        <v>57628</v>
      </c>
      <c r="H11370" s="3" t="s">
        <v>54289</v>
      </c>
      <c r="I11370" s="3" t="s">
        <v>57629</v>
      </c>
      <c r="J11370" s="3" t="s">
        <v>57630</v>
      </c>
      <c r="K11370" s="3" t="s">
        <v>57631</v>
      </c>
      <c r="L11370" s="3"/>
      <c r="M11370" s="4" t="s">
        <v>57632</v>
      </c>
      <c r="N11370" s="3" t="s">
        <v>37</v>
      </c>
      <c r="O11370" s="3" t="s">
        <v>52</v>
      </c>
      <c r="P11370" s="5">
        <v>11</v>
      </c>
      <c r="Q11370" s="5">
        <v>131</v>
      </c>
      <c r="R11370" s="5">
        <v>11</v>
      </c>
      <c r="S11370" s="5">
        <v>129</v>
      </c>
    </row>
    <row r="11371" spans="1:19" ht="28" x14ac:dyDescent="0.15">
      <c r="A11371" s="2">
        <f>HYPERLINK("https://open-school.uspishnemisto.com.ua/school/560660/", 560660)</f>
        <v>560660</v>
      </c>
      <c r="B11371" s="3" t="s">
        <v>57633</v>
      </c>
      <c r="C11371" s="3" t="s">
        <v>31</v>
      </c>
      <c r="D11371" s="3" t="s">
        <v>32</v>
      </c>
      <c r="E11371" s="4" t="s">
        <v>22</v>
      </c>
      <c r="F11371" s="4" t="s">
        <v>57634</v>
      </c>
      <c r="G11371" s="4" t="s">
        <v>57635</v>
      </c>
      <c r="H11371" s="3" t="s">
        <v>54289</v>
      </c>
      <c r="I11371" s="3" t="s">
        <v>57636</v>
      </c>
      <c r="J11371" s="3" t="s">
        <v>57637</v>
      </c>
      <c r="K11371" s="3" t="s">
        <v>57638</v>
      </c>
      <c r="L11371" s="3"/>
      <c r="M11371" s="4" t="s">
        <v>57639</v>
      </c>
      <c r="N11371" s="3" t="s">
        <v>37</v>
      </c>
      <c r="O11371" s="3" t="s">
        <v>52</v>
      </c>
      <c r="P11371" s="5">
        <v>10</v>
      </c>
      <c r="Q11371" s="5">
        <v>77</v>
      </c>
      <c r="R11371" s="5">
        <v>11</v>
      </c>
      <c r="S11371" s="5">
        <v>83</v>
      </c>
    </row>
    <row r="11372" spans="1:19" ht="28" x14ac:dyDescent="0.15">
      <c r="A11372" s="2">
        <f>HYPERLINK("https://open-school.uspishnemisto.com.ua/school/560661/", 560661)</f>
        <v>560661</v>
      </c>
      <c r="B11372" s="3" t="s">
        <v>57640</v>
      </c>
      <c r="C11372" s="3" t="s">
        <v>31</v>
      </c>
      <c r="D11372" s="3" t="s">
        <v>32</v>
      </c>
      <c r="E11372" s="4" t="s">
        <v>22</v>
      </c>
      <c r="F11372" s="4" t="s">
        <v>57641</v>
      </c>
      <c r="G11372" s="4" t="s">
        <v>57642</v>
      </c>
      <c r="H11372" s="3" t="s">
        <v>54289</v>
      </c>
      <c r="I11372" s="3" t="s">
        <v>54741</v>
      </c>
      <c r="J11372" s="3" t="s">
        <v>19694</v>
      </c>
      <c r="K11372" s="3" t="s">
        <v>57643</v>
      </c>
      <c r="L11372" s="3" t="s">
        <v>57644</v>
      </c>
      <c r="M11372" s="4" t="s">
        <v>57645</v>
      </c>
      <c r="N11372" s="3" t="s">
        <v>37</v>
      </c>
      <c r="O11372" s="3" t="s">
        <v>52</v>
      </c>
      <c r="P11372" s="5">
        <v>10</v>
      </c>
      <c r="Q11372" s="5">
        <v>114</v>
      </c>
      <c r="R11372" s="5">
        <v>9</v>
      </c>
      <c r="S11372" s="5">
        <v>95</v>
      </c>
    </row>
    <row r="11373" spans="1:19" ht="42" x14ac:dyDescent="0.15">
      <c r="A11373" s="2">
        <f>HYPERLINK("https://open-school.uspishnemisto.com.ua/school/590001/", 590001)</f>
        <v>590001</v>
      </c>
      <c r="B11373" s="3" t="s">
        <v>57646</v>
      </c>
      <c r="C11373" s="3" t="s">
        <v>48</v>
      </c>
      <c r="D11373" s="3" t="s">
        <v>32</v>
      </c>
      <c r="E11373" s="4" t="s">
        <v>253</v>
      </c>
      <c r="F11373" s="4" t="s">
        <v>57647</v>
      </c>
      <c r="G11373" s="4" t="s">
        <v>57648</v>
      </c>
      <c r="H11373" s="3" t="s">
        <v>57649</v>
      </c>
      <c r="I11373" s="3" t="s">
        <v>57650</v>
      </c>
      <c r="J11373" s="3" t="s">
        <v>57651</v>
      </c>
      <c r="K11373" s="3" t="s">
        <v>57652</v>
      </c>
      <c r="L11373" s="3"/>
      <c r="M11373" s="4" t="s">
        <v>57653</v>
      </c>
      <c r="N11373" s="3" t="s">
        <v>37</v>
      </c>
      <c r="O11373" s="3" t="s">
        <v>52</v>
      </c>
      <c r="P11373" s="5">
        <v>17</v>
      </c>
      <c r="Q11373" s="5">
        <v>451</v>
      </c>
      <c r="R11373" s="5">
        <v>20</v>
      </c>
      <c r="S11373" s="5">
        <v>600</v>
      </c>
    </row>
    <row r="11374" spans="1:19" ht="28" x14ac:dyDescent="0.15">
      <c r="A11374" s="2">
        <f>HYPERLINK("https://open-school.uspishnemisto.com.ua/school/590002/", 590002)</f>
        <v>590002</v>
      </c>
      <c r="B11374" s="3" t="s">
        <v>57654</v>
      </c>
      <c r="C11374" s="3" t="s">
        <v>40</v>
      </c>
      <c r="D11374" s="3" t="s">
        <v>32</v>
      </c>
      <c r="E11374" s="4" t="s">
        <v>22</v>
      </c>
      <c r="F11374" s="4" t="s">
        <v>57655</v>
      </c>
      <c r="G11374" s="4" t="s">
        <v>57648</v>
      </c>
      <c r="H11374" s="3" t="s">
        <v>57649</v>
      </c>
      <c r="I11374" s="3" t="s">
        <v>57650</v>
      </c>
      <c r="J11374" s="3" t="s">
        <v>57656</v>
      </c>
      <c r="K11374" s="3" t="s">
        <v>57657</v>
      </c>
      <c r="L11374" s="3"/>
      <c r="M11374" s="4" t="s">
        <v>57658</v>
      </c>
      <c r="N11374" s="3" t="s">
        <v>128</v>
      </c>
      <c r="O11374" s="3" t="s">
        <v>197</v>
      </c>
      <c r="P11374" s="5">
        <v>29</v>
      </c>
      <c r="Q11374" s="5">
        <v>891</v>
      </c>
      <c r="R11374" s="5">
        <v>28</v>
      </c>
      <c r="S11374" s="5">
        <v>876</v>
      </c>
    </row>
    <row r="11375" spans="1:19" ht="28" x14ac:dyDescent="0.15">
      <c r="A11375" s="2">
        <f>HYPERLINK("https://open-school.uspishnemisto.com.ua/school/590003/", 590003)</f>
        <v>590003</v>
      </c>
      <c r="B11375" s="3" t="s">
        <v>57659</v>
      </c>
      <c r="C11375" s="3" t="s">
        <v>20</v>
      </c>
      <c r="D11375" s="3" t="s">
        <v>21</v>
      </c>
      <c r="E11375" s="4" t="s">
        <v>22</v>
      </c>
      <c r="F11375" s="4" t="s">
        <v>57660</v>
      </c>
      <c r="G11375" s="4" t="s">
        <v>57648</v>
      </c>
      <c r="H11375" s="3" t="s">
        <v>57649</v>
      </c>
      <c r="I11375" s="3" t="s">
        <v>57650</v>
      </c>
      <c r="J11375" s="3" t="s">
        <v>57661</v>
      </c>
      <c r="K11375" s="3"/>
      <c r="L11375" s="3"/>
      <c r="M11375" s="4"/>
      <c r="N11375" s="3"/>
      <c r="O11375" s="3"/>
      <c r="P11375" s="5">
        <v>0</v>
      </c>
      <c r="Q11375" s="5">
        <v>0</v>
      </c>
      <c r="R11375" s="5"/>
      <c r="S11375" s="5"/>
    </row>
    <row r="11376" spans="1:19" ht="28" x14ac:dyDescent="0.15">
      <c r="A11376" s="2">
        <f>HYPERLINK("https://open-school.uspishnemisto.com.ua/school/590004/", 590004)</f>
        <v>590004</v>
      </c>
      <c r="B11376" s="3" t="s">
        <v>57662</v>
      </c>
      <c r="C11376" s="3" t="s">
        <v>31</v>
      </c>
      <c r="D11376" s="3" t="s">
        <v>32</v>
      </c>
      <c r="E11376" s="4" t="s">
        <v>22</v>
      </c>
      <c r="F11376" s="4" t="s">
        <v>57663</v>
      </c>
      <c r="G11376" s="4" t="s">
        <v>57648</v>
      </c>
      <c r="H11376" s="3" t="s">
        <v>57649</v>
      </c>
      <c r="I11376" s="3" t="s">
        <v>57650</v>
      </c>
      <c r="J11376" s="3" t="s">
        <v>57664</v>
      </c>
      <c r="K11376" s="3" t="s">
        <v>57665</v>
      </c>
      <c r="L11376" s="3"/>
      <c r="M11376" s="4" t="s">
        <v>57666</v>
      </c>
      <c r="N11376" s="3" t="s">
        <v>37</v>
      </c>
      <c r="O11376" s="3" t="s">
        <v>2740</v>
      </c>
      <c r="P11376" s="5">
        <v>32</v>
      </c>
      <c r="Q11376" s="5">
        <v>900</v>
      </c>
      <c r="R11376" s="5">
        <v>31</v>
      </c>
      <c r="S11376" s="5">
        <v>868</v>
      </c>
    </row>
    <row r="11377" spans="1:19" ht="28" x14ac:dyDescent="0.15">
      <c r="A11377" s="2">
        <f>HYPERLINK("https://open-school.uspishnemisto.com.ua/school/590005/", 590005)</f>
        <v>590005</v>
      </c>
      <c r="B11377" s="3" t="s">
        <v>57667</v>
      </c>
      <c r="C11377" s="3" t="s">
        <v>31</v>
      </c>
      <c r="D11377" s="3" t="s">
        <v>32</v>
      </c>
      <c r="E11377" s="4" t="s">
        <v>22</v>
      </c>
      <c r="F11377" s="4" t="s">
        <v>57668</v>
      </c>
      <c r="G11377" s="4" t="s">
        <v>57648</v>
      </c>
      <c r="H11377" s="3" t="s">
        <v>57649</v>
      </c>
      <c r="I11377" s="3" t="s">
        <v>57650</v>
      </c>
      <c r="J11377" s="3" t="s">
        <v>57669</v>
      </c>
      <c r="K11377" s="3" t="s">
        <v>57670</v>
      </c>
      <c r="L11377" s="3" t="s">
        <v>57671</v>
      </c>
      <c r="M11377" s="4" t="s">
        <v>57672</v>
      </c>
      <c r="N11377" s="3" t="s">
        <v>37</v>
      </c>
      <c r="O11377" s="3" t="s">
        <v>46</v>
      </c>
      <c r="P11377" s="5">
        <v>35</v>
      </c>
      <c r="Q11377" s="5">
        <v>985</v>
      </c>
      <c r="R11377" s="5">
        <v>34</v>
      </c>
      <c r="S11377" s="5">
        <v>935</v>
      </c>
    </row>
    <row r="11378" spans="1:19" ht="56" x14ac:dyDescent="0.15">
      <c r="A11378" s="2">
        <f>HYPERLINK("https://open-school.uspishnemisto.com.ua/school/590006/", 590006)</f>
        <v>590006</v>
      </c>
      <c r="B11378" s="3" t="s">
        <v>57673</v>
      </c>
      <c r="C11378" s="3" t="s">
        <v>54</v>
      </c>
      <c r="D11378" s="3" t="s">
        <v>32</v>
      </c>
      <c r="E11378" s="4" t="s">
        <v>22</v>
      </c>
      <c r="F11378" s="4" t="s">
        <v>57674</v>
      </c>
      <c r="G11378" s="4" t="s">
        <v>57648</v>
      </c>
      <c r="H11378" s="3" t="s">
        <v>57649</v>
      </c>
      <c r="I11378" s="3" t="s">
        <v>57650</v>
      </c>
      <c r="J11378" s="3" t="s">
        <v>57675</v>
      </c>
      <c r="K11378" s="3" t="s">
        <v>57676</v>
      </c>
      <c r="L11378" s="3"/>
      <c r="M11378" s="4" t="s">
        <v>57677</v>
      </c>
      <c r="N11378" s="3" t="s">
        <v>37</v>
      </c>
      <c r="O11378" s="3" t="s">
        <v>52</v>
      </c>
      <c r="P11378" s="5">
        <v>15</v>
      </c>
      <c r="Q11378" s="5">
        <v>265</v>
      </c>
      <c r="R11378" s="5">
        <v>12</v>
      </c>
      <c r="S11378" s="5">
        <v>237</v>
      </c>
    </row>
    <row r="11379" spans="1:19" ht="42" x14ac:dyDescent="0.15">
      <c r="A11379" s="2">
        <f>HYPERLINK("https://open-school.uspishnemisto.com.ua/school/590007/", 590007)</f>
        <v>590007</v>
      </c>
      <c r="B11379" s="3" t="s">
        <v>57678</v>
      </c>
      <c r="C11379" s="3" t="s">
        <v>31</v>
      </c>
      <c r="D11379" s="3" t="s">
        <v>32</v>
      </c>
      <c r="E11379" s="4" t="s">
        <v>22</v>
      </c>
      <c r="F11379" s="4" t="s">
        <v>57679</v>
      </c>
      <c r="G11379" s="4" t="s">
        <v>57648</v>
      </c>
      <c r="H11379" s="3" t="s">
        <v>57649</v>
      </c>
      <c r="I11379" s="3" t="s">
        <v>57650</v>
      </c>
      <c r="J11379" s="3" t="s">
        <v>57680</v>
      </c>
      <c r="K11379" s="3" t="s">
        <v>57681</v>
      </c>
      <c r="L11379" s="3" t="s">
        <v>57682</v>
      </c>
      <c r="M11379" s="4" t="s">
        <v>57683</v>
      </c>
      <c r="N11379" s="3" t="s">
        <v>37</v>
      </c>
      <c r="O11379" s="3" t="s">
        <v>52</v>
      </c>
      <c r="P11379" s="5">
        <v>26</v>
      </c>
      <c r="Q11379" s="5">
        <v>775</v>
      </c>
      <c r="R11379" s="5">
        <v>27</v>
      </c>
      <c r="S11379" s="5">
        <v>791</v>
      </c>
    </row>
    <row r="11380" spans="1:19" ht="42" x14ac:dyDescent="0.15">
      <c r="A11380" s="2">
        <f>HYPERLINK("https://open-school.uspishnemisto.com.ua/school/590008/", 590008)</f>
        <v>590008</v>
      </c>
      <c r="B11380" s="3" t="s">
        <v>57684</v>
      </c>
      <c r="C11380" s="3" t="s">
        <v>31</v>
      </c>
      <c r="D11380" s="3" t="s">
        <v>32</v>
      </c>
      <c r="E11380" s="4" t="s">
        <v>22</v>
      </c>
      <c r="F11380" s="4" t="s">
        <v>57679</v>
      </c>
      <c r="G11380" s="4" t="s">
        <v>57648</v>
      </c>
      <c r="H11380" s="3" t="s">
        <v>57649</v>
      </c>
      <c r="I11380" s="3" t="s">
        <v>57650</v>
      </c>
      <c r="J11380" s="3" t="s">
        <v>57685</v>
      </c>
      <c r="K11380" s="3" t="s">
        <v>57686</v>
      </c>
      <c r="L11380" s="3"/>
      <c r="M11380" s="4" t="s">
        <v>57687</v>
      </c>
      <c r="N11380" s="3" t="s">
        <v>37</v>
      </c>
      <c r="O11380" s="3" t="s">
        <v>46</v>
      </c>
      <c r="P11380" s="5">
        <v>18</v>
      </c>
      <c r="Q11380" s="5">
        <v>455</v>
      </c>
      <c r="R11380" s="5">
        <v>17</v>
      </c>
      <c r="S11380" s="5">
        <v>427</v>
      </c>
    </row>
    <row r="11381" spans="1:19" ht="42" x14ac:dyDescent="0.15">
      <c r="A11381" s="2">
        <f>HYPERLINK("https://open-school.uspishnemisto.com.ua/school/590009/", 590009)</f>
        <v>590009</v>
      </c>
      <c r="B11381" s="3" t="s">
        <v>57688</v>
      </c>
      <c r="C11381" s="3" t="s">
        <v>31</v>
      </c>
      <c r="D11381" s="3" t="s">
        <v>32</v>
      </c>
      <c r="E11381" s="4" t="s">
        <v>22</v>
      </c>
      <c r="F11381" s="4" t="s">
        <v>57655</v>
      </c>
      <c r="G11381" s="4" t="s">
        <v>57648</v>
      </c>
      <c r="H11381" s="3" t="s">
        <v>57649</v>
      </c>
      <c r="I11381" s="3" t="s">
        <v>57650</v>
      </c>
      <c r="J11381" s="3" t="s">
        <v>57689</v>
      </c>
      <c r="K11381" s="3" t="s">
        <v>57690</v>
      </c>
      <c r="L11381" s="3"/>
      <c r="M11381" s="4" t="s">
        <v>57691</v>
      </c>
      <c r="N11381" s="3" t="s">
        <v>37</v>
      </c>
      <c r="O11381" s="3" t="s">
        <v>52</v>
      </c>
      <c r="P11381" s="5">
        <v>12</v>
      </c>
      <c r="Q11381" s="5">
        <v>307</v>
      </c>
      <c r="R11381" s="5">
        <v>12</v>
      </c>
      <c r="S11381" s="5">
        <v>312</v>
      </c>
    </row>
    <row r="11382" spans="1:19" ht="28" x14ac:dyDescent="0.15">
      <c r="A11382" s="2">
        <f>HYPERLINK("https://open-school.uspishnemisto.com.ua/school/590010/", 590010)</f>
        <v>590010</v>
      </c>
      <c r="B11382" s="3" t="s">
        <v>57692</v>
      </c>
      <c r="C11382" s="3" t="s">
        <v>31</v>
      </c>
      <c r="D11382" s="3" t="s">
        <v>32</v>
      </c>
      <c r="E11382" s="4" t="s">
        <v>22</v>
      </c>
      <c r="F11382" s="4" t="s">
        <v>57693</v>
      </c>
      <c r="G11382" s="4" t="s">
        <v>57648</v>
      </c>
      <c r="H11382" s="3" t="s">
        <v>57649</v>
      </c>
      <c r="I11382" s="3" t="s">
        <v>57650</v>
      </c>
      <c r="J11382" s="3" t="s">
        <v>57694</v>
      </c>
      <c r="K11382" s="3" t="s">
        <v>57695</v>
      </c>
      <c r="L11382" s="3" t="s">
        <v>57696</v>
      </c>
      <c r="M11382" s="4" t="s">
        <v>57697</v>
      </c>
      <c r="N11382" s="3" t="s">
        <v>37</v>
      </c>
      <c r="O11382" s="3" t="s">
        <v>2740</v>
      </c>
      <c r="P11382" s="5">
        <v>39</v>
      </c>
      <c r="Q11382" s="5">
        <v>1100</v>
      </c>
      <c r="R11382" s="5">
        <v>39</v>
      </c>
      <c r="S11382" s="5">
        <v>1079</v>
      </c>
    </row>
    <row r="11383" spans="1:19" ht="28" x14ac:dyDescent="0.15">
      <c r="A11383" s="2">
        <f>HYPERLINK("https://open-school.uspishnemisto.com.ua/school/590011/", 590011)</f>
        <v>590011</v>
      </c>
      <c r="B11383" s="3" t="s">
        <v>57698</v>
      </c>
      <c r="C11383" s="3" t="s">
        <v>31</v>
      </c>
      <c r="D11383" s="3" t="s">
        <v>32</v>
      </c>
      <c r="E11383" s="4" t="s">
        <v>22</v>
      </c>
      <c r="F11383" s="4" t="s">
        <v>57699</v>
      </c>
      <c r="G11383" s="4" t="s">
        <v>57648</v>
      </c>
      <c r="H11383" s="3" t="s">
        <v>57649</v>
      </c>
      <c r="I11383" s="3" t="s">
        <v>57650</v>
      </c>
      <c r="J11383" s="3" t="s">
        <v>57700</v>
      </c>
      <c r="K11383" s="3" t="s">
        <v>57701</v>
      </c>
      <c r="L11383" s="3" t="s">
        <v>57702</v>
      </c>
      <c r="M11383" s="4" t="s">
        <v>57703</v>
      </c>
      <c r="N11383" s="3" t="s">
        <v>37</v>
      </c>
      <c r="O11383" s="3" t="s">
        <v>52</v>
      </c>
      <c r="P11383" s="5">
        <v>19</v>
      </c>
      <c r="Q11383" s="5">
        <v>507</v>
      </c>
      <c r="R11383" s="5">
        <v>19</v>
      </c>
      <c r="S11383" s="5">
        <v>481</v>
      </c>
    </row>
    <row r="11384" spans="1:19" ht="28" x14ac:dyDescent="0.15">
      <c r="A11384" s="2">
        <f>HYPERLINK("https://open-school.uspishnemisto.com.ua/school/590012/", 590012)</f>
        <v>590012</v>
      </c>
      <c r="B11384" s="3" t="s">
        <v>57704</v>
      </c>
      <c r="C11384" s="3" t="s">
        <v>31</v>
      </c>
      <c r="D11384" s="3" t="s">
        <v>32</v>
      </c>
      <c r="E11384" s="4" t="s">
        <v>22</v>
      </c>
      <c r="F11384" s="4" t="s">
        <v>57699</v>
      </c>
      <c r="G11384" s="4" t="s">
        <v>57648</v>
      </c>
      <c r="H11384" s="3" t="s">
        <v>57649</v>
      </c>
      <c r="I11384" s="3" t="s">
        <v>57650</v>
      </c>
      <c r="J11384" s="3" t="s">
        <v>57705</v>
      </c>
      <c r="K11384" s="3" t="s">
        <v>57706</v>
      </c>
      <c r="L11384" s="3" t="s">
        <v>57707</v>
      </c>
      <c r="M11384" s="4" t="s">
        <v>57708</v>
      </c>
      <c r="N11384" s="3" t="s">
        <v>37</v>
      </c>
      <c r="O11384" s="3" t="s">
        <v>46</v>
      </c>
      <c r="P11384" s="5">
        <v>36</v>
      </c>
      <c r="Q11384" s="5">
        <v>1083</v>
      </c>
      <c r="R11384" s="5">
        <v>37</v>
      </c>
      <c r="S11384" s="5">
        <v>1090</v>
      </c>
    </row>
    <row r="11385" spans="1:19" ht="56" x14ac:dyDescent="0.15">
      <c r="A11385" s="2">
        <f>HYPERLINK("https://open-school.uspishnemisto.com.ua/school/590013/", 590013)</f>
        <v>590013</v>
      </c>
      <c r="B11385" s="3" t="s">
        <v>57709</v>
      </c>
      <c r="C11385" s="3" t="s">
        <v>31</v>
      </c>
      <c r="D11385" s="3" t="s">
        <v>32</v>
      </c>
      <c r="E11385" s="4" t="s">
        <v>22</v>
      </c>
      <c r="F11385" s="4" t="s">
        <v>57710</v>
      </c>
      <c r="G11385" s="4" t="s">
        <v>57648</v>
      </c>
      <c r="H11385" s="3" t="s">
        <v>57649</v>
      </c>
      <c r="I11385" s="3" t="s">
        <v>57650</v>
      </c>
      <c r="J11385" s="3" t="s">
        <v>57711</v>
      </c>
      <c r="K11385" s="3" t="s">
        <v>57712</v>
      </c>
      <c r="L11385" s="3" t="s">
        <v>57713</v>
      </c>
      <c r="M11385" s="4" t="s">
        <v>57714</v>
      </c>
      <c r="N11385" s="3" t="s">
        <v>37</v>
      </c>
      <c r="O11385" s="3" t="s">
        <v>52</v>
      </c>
      <c r="P11385" s="5">
        <v>17</v>
      </c>
      <c r="Q11385" s="5">
        <v>473</v>
      </c>
      <c r="R11385" s="5">
        <v>17</v>
      </c>
      <c r="S11385" s="5">
        <v>432</v>
      </c>
    </row>
    <row r="11386" spans="1:19" ht="28" x14ac:dyDescent="0.15">
      <c r="A11386" s="2">
        <f>HYPERLINK("https://open-school.uspishnemisto.com.ua/school/590014/", 590014)</f>
        <v>590014</v>
      </c>
      <c r="B11386" s="3" t="s">
        <v>57715</v>
      </c>
      <c r="C11386" s="3" t="s">
        <v>31</v>
      </c>
      <c r="D11386" s="3" t="s">
        <v>32</v>
      </c>
      <c r="E11386" s="4" t="s">
        <v>22</v>
      </c>
      <c r="F11386" s="4" t="s">
        <v>57716</v>
      </c>
      <c r="G11386" s="4" t="s">
        <v>57648</v>
      </c>
      <c r="H11386" s="3" t="s">
        <v>57649</v>
      </c>
      <c r="I11386" s="3" t="s">
        <v>57650</v>
      </c>
      <c r="J11386" s="3" t="s">
        <v>57717</v>
      </c>
      <c r="K11386" s="3" t="s">
        <v>57718</v>
      </c>
      <c r="L11386" s="3" t="s">
        <v>57719</v>
      </c>
      <c r="M11386" s="4" t="s">
        <v>57720</v>
      </c>
      <c r="N11386" s="3" t="s">
        <v>37</v>
      </c>
      <c r="O11386" s="3" t="s">
        <v>46</v>
      </c>
      <c r="P11386" s="5">
        <v>15</v>
      </c>
      <c r="Q11386" s="5">
        <v>376</v>
      </c>
      <c r="R11386" s="5">
        <v>15</v>
      </c>
      <c r="S11386" s="5">
        <v>361</v>
      </c>
    </row>
    <row r="11387" spans="1:19" ht="28" x14ac:dyDescent="0.15">
      <c r="A11387" s="2">
        <f>HYPERLINK("https://open-school.uspishnemisto.com.ua/school/590015/", 590015)</f>
        <v>590015</v>
      </c>
      <c r="B11387" s="3" t="s">
        <v>57721</v>
      </c>
      <c r="C11387" s="3" t="s">
        <v>31</v>
      </c>
      <c r="D11387" s="3" t="s">
        <v>32</v>
      </c>
      <c r="E11387" s="4" t="s">
        <v>22</v>
      </c>
      <c r="F11387" s="4" t="s">
        <v>57722</v>
      </c>
      <c r="G11387" s="4" t="s">
        <v>57648</v>
      </c>
      <c r="H11387" s="3" t="s">
        <v>57649</v>
      </c>
      <c r="I11387" s="3" t="s">
        <v>57650</v>
      </c>
      <c r="J11387" s="3" t="s">
        <v>57723</v>
      </c>
      <c r="K11387" s="3" t="s">
        <v>57724</v>
      </c>
      <c r="L11387" s="3" t="s">
        <v>57725</v>
      </c>
      <c r="M11387" s="4" t="s">
        <v>57726</v>
      </c>
      <c r="N11387" s="3" t="s">
        <v>37</v>
      </c>
      <c r="O11387" s="3" t="s">
        <v>52</v>
      </c>
      <c r="P11387" s="5">
        <v>38</v>
      </c>
      <c r="Q11387" s="5">
        <v>1156</v>
      </c>
      <c r="R11387" s="5">
        <v>37</v>
      </c>
      <c r="S11387" s="5">
        <v>1084</v>
      </c>
    </row>
    <row r="11388" spans="1:19" ht="28" x14ac:dyDescent="0.15">
      <c r="A11388" s="2">
        <f>HYPERLINK("https://open-school.uspishnemisto.com.ua/school/590016/", 590016)</f>
        <v>590016</v>
      </c>
      <c r="B11388" s="3" t="s">
        <v>57727</v>
      </c>
      <c r="C11388" s="3" t="s">
        <v>31</v>
      </c>
      <c r="D11388" s="3" t="s">
        <v>32</v>
      </c>
      <c r="E11388" s="4" t="s">
        <v>22</v>
      </c>
      <c r="F11388" s="4" t="s">
        <v>57655</v>
      </c>
      <c r="G11388" s="4" t="s">
        <v>57648</v>
      </c>
      <c r="H11388" s="3" t="s">
        <v>57649</v>
      </c>
      <c r="I11388" s="3" t="s">
        <v>57650</v>
      </c>
      <c r="J11388" s="3" t="s">
        <v>57728</v>
      </c>
      <c r="K11388" s="3" t="s">
        <v>57729</v>
      </c>
      <c r="L11388" s="3" t="s">
        <v>57730</v>
      </c>
      <c r="M11388" s="4"/>
      <c r="N11388" s="3" t="s">
        <v>37</v>
      </c>
      <c r="O11388" s="3" t="s">
        <v>52</v>
      </c>
      <c r="P11388" s="5">
        <v>12</v>
      </c>
      <c r="Q11388" s="5">
        <v>268</v>
      </c>
      <c r="R11388" s="5">
        <v>11</v>
      </c>
      <c r="S11388" s="5">
        <v>233</v>
      </c>
    </row>
    <row r="11389" spans="1:19" ht="28" x14ac:dyDescent="0.15">
      <c r="A11389" s="2">
        <f>HYPERLINK("https://open-school.uspishnemisto.com.ua/school/590017/", 590017)</f>
        <v>590017</v>
      </c>
      <c r="B11389" s="3" t="s">
        <v>57731</v>
      </c>
      <c r="C11389" s="3" t="s">
        <v>244</v>
      </c>
      <c r="D11389" s="3" t="s">
        <v>32</v>
      </c>
      <c r="E11389" s="4" t="s">
        <v>22</v>
      </c>
      <c r="F11389" s="4" t="s">
        <v>57732</v>
      </c>
      <c r="G11389" s="4" t="s">
        <v>57648</v>
      </c>
      <c r="H11389" s="3" t="s">
        <v>57649</v>
      </c>
      <c r="I11389" s="3" t="s">
        <v>57650</v>
      </c>
      <c r="J11389" s="3" t="s">
        <v>57733</v>
      </c>
      <c r="K11389" s="3" t="s">
        <v>57734</v>
      </c>
      <c r="L11389" s="3"/>
      <c r="M11389" s="4" t="s">
        <v>57735</v>
      </c>
      <c r="N11389" s="3" t="s">
        <v>37</v>
      </c>
      <c r="O11389" s="3" t="s">
        <v>2740</v>
      </c>
      <c r="P11389" s="5">
        <v>43</v>
      </c>
      <c r="Q11389" s="5">
        <v>1322</v>
      </c>
      <c r="R11389" s="5">
        <v>42</v>
      </c>
      <c r="S11389" s="5">
        <v>1299</v>
      </c>
    </row>
    <row r="11390" spans="1:19" ht="42" x14ac:dyDescent="0.15">
      <c r="A11390" s="2">
        <f>HYPERLINK("https://open-school.uspishnemisto.com.ua/school/590018/", 590018)</f>
        <v>590018</v>
      </c>
      <c r="B11390" s="3" t="s">
        <v>57736</v>
      </c>
      <c r="C11390" s="3" t="s">
        <v>244</v>
      </c>
      <c r="D11390" s="3" t="s">
        <v>32</v>
      </c>
      <c r="E11390" s="4" t="s">
        <v>22</v>
      </c>
      <c r="F11390" s="4" t="s">
        <v>57663</v>
      </c>
      <c r="G11390" s="4" t="s">
        <v>57648</v>
      </c>
      <c r="H11390" s="3" t="s">
        <v>57649</v>
      </c>
      <c r="I11390" s="3" t="s">
        <v>57650</v>
      </c>
      <c r="J11390" s="3" t="s">
        <v>57737</v>
      </c>
      <c r="K11390" s="3" t="s">
        <v>57738</v>
      </c>
      <c r="L11390" s="3" t="s">
        <v>57739</v>
      </c>
      <c r="M11390" s="4" t="s">
        <v>57740</v>
      </c>
      <c r="N11390" s="3" t="s">
        <v>37</v>
      </c>
      <c r="O11390" s="3" t="s">
        <v>46</v>
      </c>
      <c r="P11390" s="5">
        <v>53</v>
      </c>
      <c r="Q11390" s="5">
        <v>1519</v>
      </c>
      <c r="R11390" s="5">
        <v>51</v>
      </c>
      <c r="S11390" s="5">
        <v>1462</v>
      </c>
    </row>
    <row r="11391" spans="1:19" ht="28" x14ac:dyDescent="0.15">
      <c r="A11391" s="2">
        <f>HYPERLINK("https://open-school.uspishnemisto.com.ua/school/590019/", 590019)</f>
        <v>590019</v>
      </c>
      <c r="B11391" s="3" t="s">
        <v>57741</v>
      </c>
      <c r="C11391" s="3" t="s">
        <v>244</v>
      </c>
      <c r="D11391" s="3" t="s">
        <v>32</v>
      </c>
      <c r="E11391" s="4" t="s">
        <v>22</v>
      </c>
      <c r="F11391" s="4" t="s">
        <v>57742</v>
      </c>
      <c r="G11391" s="4" t="s">
        <v>57648</v>
      </c>
      <c r="H11391" s="3" t="s">
        <v>57649</v>
      </c>
      <c r="I11391" s="3" t="s">
        <v>57650</v>
      </c>
      <c r="J11391" s="3" t="s">
        <v>57743</v>
      </c>
      <c r="K11391" s="3" t="s">
        <v>57744</v>
      </c>
      <c r="L11391" s="3"/>
      <c r="M11391" s="4" t="s">
        <v>57745</v>
      </c>
      <c r="N11391" s="3" t="s">
        <v>37</v>
      </c>
      <c r="O11391" s="3" t="s">
        <v>46</v>
      </c>
      <c r="P11391" s="5">
        <v>50</v>
      </c>
      <c r="Q11391" s="5">
        <v>1403</v>
      </c>
      <c r="R11391" s="5">
        <v>50</v>
      </c>
      <c r="S11391" s="5">
        <v>1421</v>
      </c>
    </row>
    <row r="11392" spans="1:19" ht="28" x14ac:dyDescent="0.15">
      <c r="A11392" s="2">
        <f>HYPERLINK("https://open-school.uspishnemisto.com.ua/school/590020/", 590020)</f>
        <v>590020</v>
      </c>
      <c r="B11392" s="3" t="s">
        <v>57746</v>
      </c>
      <c r="C11392" s="3" t="s">
        <v>244</v>
      </c>
      <c r="D11392" s="3" t="s">
        <v>32</v>
      </c>
      <c r="E11392" s="4" t="s">
        <v>22</v>
      </c>
      <c r="F11392" s="4" t="s">
        <v>57679</v>
      </c>
      <c r="G11392" s="4" t="s">
        <v>57648</v>
      </c>
      <c r="H11392" s="3" t="s">
        <v>57649</v>
      </c>
      <c r="I11392" s="3" t="s">
        <v>57650</v>
      </c>
      <c r="J11392" s="3" t="s">
        <v>57747</v>
      </c>
      <c r="K11392" s="3" t="s">
        <v>57748</v>
      </c>
      <c r="L11392" s="3" t="s">
        <v>57749</v>
      </c>
      <c r="M11392" s="4" t="s">
        <v>57750</v>
      </c>
      <c r="N11392" s="3" t="s">
        <v>37</v>
      </c>
      <c r="O11392" s="3" t="s">
        <v>52</v>
      </c>
      <c r="P11392" s="5">
        <v>32</v>
      </c>
      <c r="Q11392" s="5">
        <v>973</v>
      </c>
      <c r="R11392" s="5">
        <v>32</v>
      </c>
      <c r="S11392" s="5">
        <v>944</v>
      </c>
    </row>
    <row r="11393" spans="1:19" ht="28" x14ac:dyDescent="0.15">
      <c r="A11393" s="2">
        <f>HYPERLINK("https://open-school.uspishnemisto.com.ua/school/590021/", 590021)</f>
        <v>590021</v>
      </c>
      <c r="B11393" s="3" t="s">
        <v>57751</v>
      </c>
      <c r="C11393" s="3" t="s">
        <v>244</v>
      </c>
      <c r="D11393" s="3" t="s">
        <v>32</v>
      </c>
      <c r="E11393" s="4" t="s">
        <v>22</v>
      </c>
      <c r="F11393" s="4" t="s">
        <v>57752</v>
      </c>
      <c r="G11393" s="4" t="s">
        <v>57648</v>
      </c>
      <c r="H11393" s="3" t="s">
        <v>57649</v>
      </c>
      <c r="I11393" s="3" t="s">
        <v>57650</v>
      </c>
      <c r="J11393" s="3" t="s">
        <v>57753</v>
      </c>
      <c r="K11393" s="3" t="s">
        <v>57754</v>
      </c>
      <c r="L11393" s="3" t="s">
        <v>57755</v>
      </c>
      <c r="M11393" s="4" t="s">
        <v>57756</v>
      </c>
      <c r="N11393" s="3" t="s">
        <v>37</v>
      </c>
      <c r="O11393" s="3" t="s">
        <v>46</v>
      </c>
      <c r="P11393" s="5">
        <v>34</v>
      </c>
      <c r="Q11393" s="5">
        <v>988</v>
      </c>
      <c r="R11393" s="5">
        <v>33</v>
      </c>
      <c r="S11393" s="5">
        <v>947</v>
      </c>
    </row>
    <row r="11394" spans="1:19" ht="42" x14ac:dyDescent="0.15">
      <c r="A11394" s="2">
        <f>HYPERLINK("https://open-school.uspishnemisto.com.ua/school/590022/", 590022)</f>
        <v>590022</v>
      </c>
      <c r="B11394" s="3" t="s">
        <v>57757</v>
      </c>
      <c r="C11394" s="3" t="s">
        <v>244</v>
      </c>
      <c r="D11394" s="3" t="s">
        <v>32</v>
      </c>
      <c r="E11394" s="4" t="s">
        <v>22</v>
      </c>
      <c r="F11394" s="4" t="s">
        <v>57647</v>
      </c>
      <c r="G11394" s="4" t="s">
        <v>57648</v>
      </c>
      <c r="H11394" s="3" t="s">
        <v>57649</v>
      </c>
      <c r="I11394" s="3" t="s">
        <v>57650</v>
      </c>
      <c r="J11394" s="3" t="s">
        <v>57758</v>
      </c>
      <c r="K11394" s="3" t="s">
        <v>57759</v>
      </c>
      <c r="L11394" s="3" t="s">
        <v>57760</v>
      </c>
      <c r="M11394" s="4"/>
      <c r="N11394" s="3" t="s">
        <v>37</v>
      </c>
      <c r="O11394" s="3" t="s">
        <v>52</v>
      </c>
      <c r="P11394" s="5">
        <v>6</v>
      </c>
      <c r="Q11394" s="5">
        <v>100</v>
      </c>
      <c r="R11394" s="5">
        <v>6</v>
      </c>
      <c r="S11394" s="5">
        <v>104</v>
      </c>
    </row>
    <row r="11395" spans="1:19" ht="42" x14ac:dyDescent="0.15">
      <c r="A11395" s="2">
        <f>HYPERLINK("https://open-school.uspishnemisto.com.ua/school/590023/", 590023)</f>
        <v>590023</v>
      </c>
      <c r="B11395" s="3" t="s">
        <v>57761</v>
      </c>
      <c r="C11395" s="3" t="s">
        <v>54</v>
      </c>
      <c r="D11395" s="3" t="s">
        <v>60</v>
      </c>
      <c r="E11395" s="4" t="s">
        <v>22</v>
      </c>
      <c r="F11395" s="4" t="s">
        <v>57663</v>
      </c>
      <c r="G11395" s="4" t="s">
        <v>57648</v>
      </c>
      <c r="H11395" s="3" t="s">
        <v>57649</v>
      </c>
      <c r="I11395" s="3" t="s">
        <v>57650</v>
      </c>
      <c r="J11395" s="3" t="s">
        <v>57762</v>
      </c>
      <c r="K11395" s="3" t="s">
        <v>57763</v>
      </c>
      <c r="L11395" s="3"/>
      <c r="M11395" s="4" t="s">
        <v>57764</v>
      </c>
      <c r="N11395" s="3" t="s">
        <v>37</v>
      </c>
      <c r="O11395" s="3" t="s">
        <v>52</v>
      </c>
      <c r="P11395" s="5">
        <v>3</v>
      </c>
      <c r="Q11395" s="5">
        <v>97</v>
      </c>
      <c r="R11395" s="5">
        <v>3</v>
      </c>
      <c r="S11395" s="5">
        <v>102</v>
      </c>
    </row>
    <row r="11396" spans="1:19" ht="42" x14ac:dyDescent="0.15">
      <c r="A11396" s="2">
        <f>HYPERLINK("https://open-school.uspishnemisto.com.ua/school/590024/", 590024)</f>
        <v>590024</v>
      </c>
      <c r="B11396" s="3" t="s">
        <v>57765</v>
      </c>
      <c r="C11396" s="3" t="s">
        <v>20356</v>
      </c>
      <c r="D11396" s="3" t="s">
        <v>32</v>
      </c>
      <c r="E11396" s="4" t="s">
        <v>22</v>
      </c>
      <c r="F11396" s="4" t="s">
        <v>57766</v>
      </c>
      <c r="G11396" s="4" t="s">
        <v>57648</v>
      </c>
      <c r="H11396" s="3" t="s">
        <v>57649</v>
      </c>
      <c r="I11396" s="3" t="s">
        <v>57650</v>
      </c>
      <c r="J11396" s="3" t="s">
        <v>57767</v>
      </c>
      <c r="K11396" s="3" t="s">
        <v>57768</v>
      </c>
      <c r="L11396" s="3"/>
      <c r="M11396" s="4" t="s">
        <v>57769</v>
      </c>
      <c r="N11396" s="3" t="s">
        <v>37</v>
      </c>
      <c r="O11396" s="3" t="s">
        <v>46</v>
      </c>
      <c r="P11396" s="5">
        <v>17</v>
      </c>
      <c r="Q11396" s="5">
        <v>370</v>
      </c>
      <c r="R11396" s="5">
        <v>17</v>
      </c>
      <c r="S11396" s="5">
        <v>359</v>
      </c>
    </row>
    <row r="11397" spans="1:19" ht="28" x14ac:dyDescent="0.15">
      <c r="A11397" s="2">
        <f>HYPERLINK("https://open-school.uspishnemisto.com.ua/school/590026/", 590026)</f>
        <v>590026</v>
      </c>
      <c r="B11397" s="3" t="s">
        <v>57770</v>
      </c>
      <c r="C11397" s="3" t="s">
        <v>40</v>
      </c>
      <c r="D11397" s="3" t="s">
        <v>32</v>
      </c>
      <c r="E11397" s="4" t="s">
        <v>41</v>
      </c>
      <c r="F11397" s="4" t="s">
        <v>57679</v>
      </c>
      <c r="G11397" s="4" t="s">
        <v>57648</v>
      </c>
      <c r="H11397" s="3" t="s">
        <v>57649</v>
      </c>
      <c r="I11397" s="3" t="s">
        <v>57650</v>
      </c>
      <c r="J11397" s="3" t="s">
        <v>57771</v>
      </c>
      <c r="K11397" s="3" t="s">
        <v>57772</v>
      </c>
      <c r="L11397" s="3"/>
      <c r="M11397" s="4"/>
      <c r="N11397" s="3" t="s">
        <v>967</v>
      </c>
      <c r="O11397" s="3" t="s">
        <v>46</v>
      </c>
      <c r="P11397" s="5">
        <v>6</v>
      </c>
      <c r="Q11397" s="5">
        <v>83</v>
      </c>
      <c r="R11397" s="5">
        <v>7</v>
      </c>
      <c r="S11397" s="5">
        <v>83</v>
      </c>
    </row>
    <row r="11398" spans="1:19" ht="28" x14ac:dyDescent="0.15">
      <c r="A11398" s="2">
        <f>HYPERLINK("https://open-school.uspishnemisto.com.ua/school/590027/", 590027)</f>
        <v>590027</v>
      </c>
      <c r="B11398" s="3" t="s">
        <v>57773</v>
      </c>
      <c r="C11398" s="3" t="s">
        <v>54</v>
      </c>
      <c r="D11398" s="3" t="s">
        <v>60</v>
      </c>
      <c r="E11398" s="4" t="s">
        <v>41</v>
      </c>
      <c r="F11398" s="4" t="s">
        <v>57679</v>
      </c>
      <c r="G11398" s="4" t="s">
        <v>57648</v>
      </c>
      <c r="H11398" s="3" t="s">
        <v>57649</v>
      </c>
      <c r="I11398" s="3" t="s">
        <v>57650</v>
      </c>
      <c r="J11398" s="3" t="s">
        <v>57771</v>
      </c>
      <c r="K11398" s="3" t="s">
        <v>57774</v>
      </c>
      <c r="L11398" s="3" t="s">
        <v>57775</v>
      </c>
      <c r="M11398" s="4"/>
      <c r="N11398" s="3" t="s">
        <v>128</v>
      </c>
      <c r="O11398" s="3" t="s">
        <v>52</v>
      </c>
      <c r="P11398" s="5">
        <v>6</v>
      </c>
      <c r="Q11398" s="5">
        <v>70</v>
      </c>
      <c r="R11398" s="5">
        <v>5</v>
      </c>
      <c r="S11398" s="5">
        <v>72</v>
      </c>
    </row>
    <row r="11399" spans="1:19" ht="28" x14ac:dyDescent="0.15">
      <c r="A11399" s="2">
        <f>HYPERLINK("https://open-school.uspishnemisto.com.ua/school/590522/", 590522)</f>
        <v>590522</v>
      </c>
      <c r="B11399" s="3" t="s">
        <v>57776</v>
      </c>
      <c r="C11399" s="3" t="s">
        <v>48</v>
      </c>
      <c r="D11399" s="3" t="s">
        <v>32</v>
      </c>
      <c r="E11399" s="4" t="s">
        <v>22</v>
      </c>
      <c r="F11399" s="4" t="s">
        <v>57655</v>
      </c>
      <c r="G11399" s="4" t="s">
        <v>57648</v>
      </c>
      <c r="H11399" s="3" t="s">
        <v>57649</v>
      </c>
      <c r="I11399" s="3" t="s">
        <v>57650</v>
      </c>
      <c r="J11399" s="3" t="s">
        <v>57777</v>
      </c>
      <c r="K11399" s="3" t="s">
        <v>57778</v>
      </c>
      <c r="L11399" s="3"/>
      <c r="M11399" s="4" t="s">
        <v>57779</v>
      </c>
      <c r="N11399" s="3" t="s">
        <v>37</v>
      </c>
      <c r="O11399" s="3" t="s">
        <v>52</v>
      </c>
      <c r="P11399" s="5">
        <v>4</v>
      </c>
      <c r="Q11399" s="5">
        <v>95</v>
      </c>
      <c r="R11399" s="5"/>
      <c r="S11399" s="5"/>
    </row>
    <row r="11400" spans="1:19" ht="28" x14ac:dyDescent="0.15">
      <c r="A11400" s="2">
        <f>HYPERLINK("https://open-school.uspishnemisto.com.ua/school/590028/", 590028)</f>
        <v>590028</v>
      </c>
      <c r="B11400" s="3" t="s">
        <v>57780</v>
      </c>
      <c r="C11400" s="3" t="s">
        <v>31</v>
      </c>
      <c r="D11400" s="3" t="s">
        <v>32</v>
      </c>
      <c r="E11400" s="4" t="s">
        <v>22</v>
      </c>
      <c r="F11400" s="4" t="s">
        <v>57699</v>
      </c>
      <c r="G11400" s="4" t="s">
        <v>57781</v>
      </c>
      <c r="H11400" s="3" t="s">
        <v>57649</v>
      </c>
      <c r="I11400" s="3" t="s">
        <v>57782</v>
      </c>
      <c r="J11400" s="3" t="s">
        <v>57783</v>
      </c>
      <c r="K11400" s="3" t="s">
        <v>57784</v>
      </c>
      <c r="L11400" s="3"/>
      <c r="M11400" s="4" t="s">
        <v>57785</v>
      </c>
      <c r="N11400" s="3" t="s">
        <v>37</v>
      </c>
      <c r="O11400" s="3" t="s">
        <v>52</v>
      </c>
      <c r="P11400" s="5">
        <v>21</v>
      </c>
      <c r="Q11400" s="5">
        <v>595</v>
      </c>
      <c r="R11400" s="5">
        <v>21</v>
      </c>
      <c r="S11400" s="5">
        <v>579</v>
      </c>
    </row>
    <row r="11401" spans="1:19" ht="28" x14ac:dyDescent="0.15">
      <c r="A11401" s="2">
        <f>HYPERLINK("https://open-school.uspishnemisto.com.ua/school/590029/", 590029)</f>
        <v>590029</v>
      </c>
      <c r="B11401" s="3" t="s">
        <v>57786</v>
      </c>
      <c r="C11401" s="3" t="s">
        <v>31</v>
      </c>
      <c r="D11401" s="3" t="s">
        <v>32</v>
      </c>
      <c r="E11401" s="4" t="s">
        <v>22</v>
      </c>
      <c r="F11401" s="4" t="s">
        <v>57742</v>
      </c>
      <c r="G11401" s="4" t="s">
        <v>57781</v>
      </c>
      <c r="H11401" s="3" t="s">
        <v>57649</v>
      </c>
      <c r="I11401" s="3" t="s">
        <v>57782</v>
      </c>
      <c r="J11401" s="3" t="s">
        <v>57787</v>
      </c>
      <c r="K11401" s="3" t="s">
        <v>57788</v>
      </c>
      <c r="L11401" s="3"/>
      <c r="M11401" s="4" t="s">
        <v>57789</v>
      </c>
      <c r="N11401" s="3" t="s">
        <v>37</v>
      </c>
      <c r="O11401" s="3" t="s">
        <v>46</v>
      </c>
      <c r="P11401" s="5">
        <v>51</v>
      </c>
      <c r="Q11401" s="5">
        <v>1462</v>
      </c>
      <c r="R11401" s="5">
        <v>47</v>
      </c>
      <c r="S11401" s="5">
        <v>1348</v>
      </c>
    </row>
    <row r="11402" spans="1:19" ht="28" x14ac:dyDescent="0.15">
      <c r="A11402" s="2">
        <f>HYPERLINK("https://open-school.uspishnemisto.com.ua/school/590030/", 590030)</f>
        <v>590030</v>
      </c>
      <c r="B11402" s="3" t="s">
        <v>57790</v>
      </c>
      <c r="C11402" s="3" t="s">
        <v>31</v>
      </c>
      <c r="D11402" s="3" t="s">
        <v>32</v>
      </c>
      <c r="E11402" s="4" t="s">
        <v>22</v>
      </c>
      <c r="F11402" s="4" t="s">
        <v>57679</v>
      </c>
      <c r="G11402" s="4" t="s">
        <v>57781</v>
      </c>
      <c r="H11402" s="3" t="s">
        <v>57649</v>
      </c>
      <c r="I11402" s="3" t="s">
        <v>57782</v>
      </c>
      <c r="J11402" s="3" t="s">
        <v>57791</v>
      </c>
      <c r="K11402" s="3" t="s">
        <v>57792</v>
      </c>
      <c r="L11402" s="3" t="s">
        <v>57793</v>
      </c>
      <c r="M11402" s="4" t="s">
        <v>57794</v>
      </c>
      <c r="N11402" s="3" t="s">
        <v>37</v>
      </c>
      <c r="O11402" s="3" t="s">
        <v>46</v>
      </c>
      <c r="P11402" s="5">
        <v>18</v>
      </c>
      <c r="Q11402" s="5">
        <v>458</v>
      </c>
      <c r="R11402" s="5">
        <v>18</v>
      </c>
      <c r="S11402" s="5">
        <v>440</v>
      </c>
    </row>
    <row r="11403" spans="1:19" ht="42" x14ac:dyDescent="0.15">
      <c r="A11403" s="2">
        <f>HYPERLINK("https://open-school.uspishnemisto.com.ua/school/590031/", 590031)</f>
        <v>590031</v>
      </c>
      <c r="B11403" s="3" t="s">
        <v>57795</v>
      </c>
      <c r="C11403" s="3" t="s">
        <v>244</v>
      </c>
      <c r="D11403" s="3" t="s">
        <v>32</v>
      </c>
      <c r="E11403" s="4" t="s">
        <v>22</v>
      </c>
      <c r="F11403" s="4" t="s">
        <v>57647</v>
      </c>
      <c r="G11403" s="4" t="s">
        <v>57781</v>
      </c>
      <c r="H11403" s="3" t="s">
        <v>57649</v>
      </c>
      <c r="I11403" s="3" t="s">
        <v>57782</v>
      </c>
      <c r="J11403" s="3" t="s">
        <v>57796</v>
      </c>
      <c r="K11403" s="3" t="s">
        <v>57797</v>
      </c>
      <c r="L11403" s="3"/>
      <c r="M11403" s="4" t="s">
        <v>57798</v>
      </c>
      <c r="N11403" s="3" t="s">
        <v>37</v>
      </c>
      <c r="O11403" s="3" t="s">
        <v>46</v>
      </c>
      <c r="P11403" s="5">
        <v>34</v>
      </c>
      <c r="Q11403" s="5">
        <v>1016</v>
      </c>
      <c r="R11403" s="5">
        <v>33</v>
      </c>
      <c r="S11403" s="5">
        <v>955</v>
      </c>
    </row>
    <row r="11404" spans="1:19" ht="28" x14ac:dyDescent="0.15">
      <c r="A11404" s="2">
        <f>HYPERLINK("https://open-school.uspishnemisto.com.ua/school/590032/", 590032)</f>
        <v>590032</v>
      </c>
      <c r="B11404" s="3" t="s">
        <v>57799</v>
      </c>
      <c r="C11404" s="3" t="s">
        <v>244</v>
      </c>
      <c r="D11404" s="3" t="s">
        <v>32</v>
      </c>
      <c r="E11404" s="4" t="s">
        <v>22</v>
      </c>
      <c r="F11404" s="4" t="s">
        <v>57742</v>
      </c>
      <c r="G11404" s="4" t="s">
        <v>57781</v>
      </c>
      <c r="H11404" s="3" t="s">
        <v>57649</v>
      </c>
      <c r="I11404" s="3" t="s">
        <v>57782</v>
      </c>
      <c r="J11404" s="3" t="s">
        <v>57800</v>
      </c>
      <c r="K11404" s="3" t="s">
        <v>57801</v>
      </c>
      <c r="L11404" s="3" t="s">
        <v>57802</v>
      </c>
      <c r="M11404" s="4" t="s">
        <v>57803</v>
      </c>
      <c r="N11404" s="3" t="s">
        <v>37</v>
      </c>
      <c r="O11404" s="3" t="s">
        <v>52</v>
      </c>
      <c r="P11404" s="5">
        <v>49</v>
      </c>
      <c r="Q11404" s="5">
        <v>1433</v>
      </c>
      <c r="R11404" s="5">
        <v>47</v>
      </c>
      <c r="S11404" s="5">
        <v>1375</v>
      </c>
    </row>
    <row r="11405" spans="1:19" ht="28" x14ac:dyDescent="0.15">
      <c r="A11405" s="2">
        <f>HYPERLINK("https://open-school.uspishnemisto.com.ua/school/590033/", 590033)</f>
        <v>590033</v>
      </c>
      <c r="B11405" s="3" t="s">
        <v>57804</v>
      </c>
      <c r="C11405" s="3" t="s">
        <v>174</v>
      </c>
      <c r="D11405" s="3"/>
      <c r="E11405" s="4" t="s">
        <v>22</v>
      </c>
      <c r="F11405" s="4" t="s">
        <v>57732</v>
      </c>
      <c r="G11405" s="4" t="s">
        <v>57781</v>
      </c>
      <c r="H11405" s="3" t="s">
        <v>57649</v>
      </c>
      <c r="I11405" s="3" t="s">
        <v>57782</v>
      </c>
      <c r="J11405" s="3" t="s">
        <v>57805</v>
      </c>
      <c r="K11405" s="3" t="s">
        <v>57806</v>
      </c>
      <c r="L11405" s="3" t="s">
        <v>57807</v>
      </c>
      <c r="M11405" s="4"/>
      <c r="N11405" s="3" t="s">
        <v>37</v>
      </c>
      <c r="O11405" s="3"/>
      <c r="P11405" s="5">
        <v>11</v>
      </c>
      <c r="Q11405" s="5">
        <v>103</v>
      </c>
      <c r="R11405" s="5">
        <v>11</v>
      </c>
      <c r="S11405" s="5">
        <v>103</v>
      </c>
    </row>
    <row r="11406" spans="1:19" ht="56" x14ac:dyDescent="0.15">
      <c r="A11406" s="2">
        <f>HYPERLINK("https://open-school.uspishnemisto.com.ua/school/590034/", 590034)</f>
        <v>590034</v>
      </c>
      <c r="B11406" s="3" t="s">
        <v>57808</v>
      </c>
      <c r="C11406" s="3" t="s">
        <v>54</v>
      </c>
      <c r="D11406" s="3" t="s">
        <v>60</v>
      </c>
      <c r="E11406" s="4" t="s">
        <v>22</v>
      </c>
      <c r="F11406" s="4" t="s">
        <v>57699</v>
      </c>
      <c r="G11406" s="4" t="s">
        <v>57781</v>
      </c>
      <c r="H11406" s="3" t="s">
        <v>57649</v>
      </c>
      <c r="I11406" s="3" t="s">
        <v>57782</v>
      </c>
      <c r="J11406" s="3" t="s">
        <v>57809</v>
      </c>
      <c r="K11406" s="3" t="s">
        <v>57810</v>
      </c>
      <c r="L11406" s="3" t="s">
        <v>57811</v>
      </c>
      <c r="M11406" s="4" t="s">
        <v>57812</v>
      </c>
      <c r="N11406" s="3" t="s">
        <v>37</v>
      </c>
      <c r="O11406" s="3" t="s">
        <v>52</v>
      </c>
      <c r="P11406" s="5">
        <v>4</v>
      </c>
      <c r="Q11406" s="5">
        <v>132</v>
      </c>
      <c r="R11406" s="5">
        <v>4</v>
      </c>
      <c r="S11406" s="5">
        <v>123</v>
      </c>
    </row>
    <row r="11407" spans="1:19" ht="28" x14ac:dyDescent="0.15">
      <c r="A11407" s="2">
        <f>HYPERLINK("https://open-school.uspishnemisto.com.ua/school/590035/", 590035)</f>
        <v>590035</v>
      </c>
      <c r="B11407" s="3" t="s">
        <v>57813</v>
      </c>
      <c r="C11407" s="3" t="s">
        <v>40</v>
      </c>
      <c r="D11407" s="3" t="s">
        <v>32</v>
      </c>
      <c r="E11407" s="4" t="s">
        <v>22</v>
      </c>
      <c r="F11407" s="4" t="s">
        <v>57679</v>
      </c>
      <c r="G11407" s="4" t="s">
        <v>57814</v>
      </c>
      <c r="H11407" s="3" t="s">
        <v>57649</v>
      </c>
      <c r="I11407" s="3" t="s">
        <v>57815</v>
      </c>
      <c r="J11407" s="3" t="s">
        <v>57680</v>
      </c>
      <c r="K11407" s="3" t="s">
        <v>57816</v>
      </c>
      <c r="L11407" s="3" t="s">
        <v>57817</v>
      </c>
      <c r="M11407" s="4" t="s">
        <v>57818</v>
      </c>
      <c r="N11407" s="3" t="s">
        <v>37</v>
      </c>
      <c r="O11407" s="3" t="s">
        <v>123</v>
      </c>
      <c r="P11407" s="5">
        <v>24</v>
      </c>
      <c r="Q11407" s="5">
        <v>682</v>
      </c>
      <c r="R11407" s="5">
        <v>24</v>
      </c>
      <c r="S11407" s="5">
        <v>630</v>
      </c>
    </row>
    <row r="11408" spans="1:19" ht="28" x14ac:dyDescent="0.15">
      <c r="A11408" s="2">
        <f>HYPERLINK("https://open-school.uspishnemisto.com.ua/school/590036/", 590036)</f>
        <v>590036</v>
      </c>
      <c r="B11408" s="3" t="s">
        <v>57819</v>
      </c>
      <c r="C11408" s="3" t="s">
        <v>31</v>
      </c>
      <c r="D11408" s="3" t="s">
        <v>32</v>
      </c>
      <c r="E11408" s="4" t="s">
        <v>22</v>
      </c>
      <c r="F11408" s="4" t="s">
        <v>57663</v>
      </c>
      <c r="G11408" s="4" t="s">
        <v>57814</v>
      </c>
      <c r="H11408" s="3" t="s">
        <v>57649</v>
      </c>
      <c r="I11408" s="3" t="s">
        <v>57815</v>
      </c>
      <c r="J11408" s="3" t="s">
        <v>57820</v>
      </c>
      <c r="K11408" s="3" t="s">
        <v>57821</v>
      </c>
      <c r="L11408" s="3" t="s">
        <v>57822</v>
      </c>
      <c r="M11408" s="4" t="s">
        <v>57823</v>
      </c>
      <c r="N11408" s="3" t="s">
        <v>128</v>
      </c>
      <c r="O11408" s="3" t="s">
        <v>70</v>
      </c>
      <c r="P11408" s="5">
        <v>38</v>
      </c>
      <c r="Q11408" s="5">
        <v>1069</v>
      </c>
      <c r="R11408" s="5">
        <v>39</v>
      </c>
      <c r="S11408" s="5">
        <v>1054</v>
      </c>
    </row>
    <row r="11409" spans="1:19" ht="42" x14ac:dyDescent="0.15">
      <c r="A11409" s="2">
        <f>HYPERLINK("https://open-school.uspishnemisto.com.ua/school/590037/", 590037)</f>
        <v>590037</v>
      </c>
      <c r="B11409" s="3" t="s">
        <v>57824</v>
      </c>
      <c r="C11409" s="3" t="s">
        <v>244</v>
      </c>
      <c r="D11409" s="3" t="s">
        <v>60</v>
      </c>
      <c r="E11409" s="4" t="s">
        <v>22</v>
      </c>
      <c r="F11409" s="4" t="s">
        <v>57825</v>
      </c>
      <c r="G11409" s="4" t="s">
        <v>57814</v>
      </c>
      <c r="H11409" s="3" t="s">
        <v>57649</v>
      </c>
      <c r="I11409" s="3" t="s">
        <v>57815</v>
      </c>
      <c r="J11409" s="3" t="s">
        <v>10803</v>
      </c>
      <c r="K11409" s="3" t="s">
        <v>57826</v>
      </c>
      <c r="L11409" s="3"/>
      <c r="M11409" s="4" t="s">
        <v>57827</v>
      </c>
      <c r="N11409" s="3" t="s">
        <v>128</v>
      </c>
      <c r="O11409" s="3" t="s">
        <v>52</v>
      </c>
      <c r="P11409" s="5">
        <v>17</v>
      </c>
      <c r="Q11409" s="5">
        <v>566</v>
      </c>
      <c r="R11409" s="5">
        <v>18</v>
      </c>
      <c r="S11409" s="5">
        <v>578</v>
      </c>
    </row>
    <row r="11410" spans="1:19" ht="42" x14ac:dyDescent="0.15">
      <c r="A11410" s="2">
        <f>HYPERLINK("https://open-school.uspishnemisto.com.ua/school/590038/", 590038)</f>
        <v>590038</v>
      </c>
      <c r="B11410" s="3" t="s">
        <v>57828</v>
      </c>
      <c r="C11410" s="3" t="s">
        <v>244</v>
      </c>
      <c r="D11410" s="3" t="s">
        <v>32</v>
      </c>
      <c r="E11410" s="4" t="s">
        <v>22</v>
      </c>
      <c r="F11410" s="4" t="s">
        <v>57674</v>
      </c>
      <c r="G11410" s="4" t="s">
        <v>57814</v>
      </c>
      <c r="H11410" s="3" t="s">
        <v>57649</v>
      </c>
      <c r="I11410" s="3" t="s">
        <v>57815</v>
      </c>
      <c r="J11410" s="3" t="s">
        <v>57829</v>
      </c>
      <c r="K11410" s="3" t="s">
        <v>57830</v>
      </c>
      <c r="L11410" s="3"/>
      <c r="M11410" s="4" t="s">
        <v>57831</v>
      </c>
      <c r="N11410" s="3" t="s">
        <v>37</v>
      </c>
      <c r="O11410" s="3" t="s">
        <v>46</v>
      </c>
      <c r="P11410" s="5">
        <v>71</v>
      </c>
      <c r="Q11410" s="5">
        <v>2030</v>
      </c>
      <c r="R11410" s="5">
        <v>69</v>
      </c>
      <c r="S11410" s="5">
        <v>1987</v>
      </c>
    </row>
    <row r="11411" spans="1:19" ht="56" x14ac:dyDescent="0.15">
      <c r="A11411" s="2">
        <f>HYPERLINK("https://open-school.uspishnemisto.com.ua/school/590039/", 590039)</f>
        <v>590039</v>
      </c>
      <c r="B11411" s="3" t="s">
        <v>57832</v>
      </c>
      <c r="C11411" s="3" t="s">
        <v>54</v>
      </c>
      <c r="D11411" s="3" t="s">
        <v>60</v>
      </c>
      <c r="E11411" s="4" t="s">
        <v>22</v>
      </c>
      <c r="F11411" s="4" t="s">
        <v>57663</v>
      </c>
      <c r="G11411" s="4" t="s">
        <v>57814</v>
      </c>
      <c r="H11411" s="3" t="s">
        <v>57649</v>
      </c>
      <c r="I11411" s="3" t="s">
        <v>57815</v>
      </c>
      <c r="J11411" s="3" t="s">
        <v>57833</v>
      </c>
      <c r="K11411" s="3" t="s">
        <v>57834</v>
      </c>
      <c r="L11411" s="3" t="s">
        <v>57835</v>
      </c>
      <c r="M11411" s="4" t="s">
        <v>57836</v>
      </c>
      <c r="N11411" s="3" t="s">
        <v>37</v>
      </c>
      <c r="O11411" s="3" t="s">
        <v>52</v>
      </c>
      <c r="P11411" s="5">
        <v>7</v>
      </c>
      <c r="Q11411" s="5">
        <v>196</v>
      </c>
      <c r="R11411" s="5">
        <v>7</v>
      </c>
      <c r="S11411" s="5">
        <v>192</v>
      </c>
    </row>
    <row r="11412" spans="1:19" ht="56" x14ac:dyDescent="0.15">
      <c r="A11412" s="2">
        <f>HYPERLINK("https://open-school.uspishnemisto.com.ua/school/590040/", 590040)</f>
        <v>590040</v>
      </c>
      <c r="B11412" s="3" t="s">
        <v>57837</v>
      </c>
      <c r="C11412" s="3" t="s">
        <v>174</v>
      </c>
      <c r="D11412" s="3" t="s">
        <v>60</v>
      </c>
      <c r="E11412" s="4" t="s">
        <v>22</v>
      </c>
      <c r="F11412" s="4" t="s">
        <v>57663</v>
      </c>
      <c r="G11412" s="4" t="s">
        <v>57814</v>
      </c>
      <c r="H11412" s="3" t="s">
        <v>57649</v>
      </c>
      <c r="I11412" s="3" t="s">
        <v>57815</v>
      </c>
      <c r="J11412" s="3" t="s">
        <v>57838</v>
      </c>
      <c r="K11412" s="3" t="s">
        <v>57839</v>
      </c>
      <c r="L11412" s="3"/>
      <c r="M11412" s="4" t="s">
        <v>57840</v>
      </c>
      <c r="N11412" s="3" t="s">
        <v>37</v>
      </c>
      <c r="O11412" s="3" t="s">
        <v>52</v>
      </c>
      <c r="P11412" s="5">
        <v>10</v>
      </c>
      <c r="Q11412" s="5">
        <v>135</v>
      </c>
      <c r="R11412" s="5">
        <v>9</v>
      </c>
      <c r="S11412" s="5">
        <v>126</v>
      </c>
    </row>
    <row r="11413" spans="1:19" ht="56" x14ac:dyDescent="0.15">
      <c r="A11413" s="2">
        <f>HYPERLINK("https://open-school.uspishnemisto.com.ua/school/590041/", 590041)</f>
        <v>590041</v>
      </c>
      <c r="B11413" s="3" t="s">
        <v>57841</v>
      </c>
      <c r="C11413" s="3" t="s">
        <v>174</v>
      </c>
      <c r="D11413" s="3" t="s">
        <v>60</v>
      </c>
      <c r="E11413" s="4" t="s">
        <v>22</v>
      </c>
      <c r="F11413" s="4" t="s">
        <v>57674</v>
      </c>
      <c r="G11413" s="4" t="s">
        <v>57814</v>
      </c>
      <c r="H11413" s="3" t="s">
        <v>57649</v>
      </c>
      <c r="I11413" s="3" t="s">
        <v>57815</v>
      </c>
      <c r="J11413" s="3" t="s">
        <v>57842</v>
      </c>
      <c r="K11413" s="3" t="s">
        <v>57843</v>
      </c>
      <c r="L11413" s="3" t="s">
        <v>57844</v>
      </c>
      <c r="M11413" s="4" t="s">
        <v>57845</v>
      </c>
      <c r="N11413" s="3" t="s">
        <v>37</v>
      </c>
      <c r="O11413" s="3"/>
      <c r="P11413" s="5">
        <v>2</v>
      </c>
      <c r="Q11413" s="5">
        <v>16</v>
      </c>
      <c r="R11413" s="5">
        <v>2</v>
      </c>
      <c r="S11413" s="5">
        <v>20</v>
      </c>
    </row>
    <row r="11414" spans="1:19" ht="56" x14ac:dyDescent="0.15">
      <c r="A11414" s="2">
        <f>HYPERLINK("https://open-school.uspishnemisto.com.ua/school/590042/", 590042)</f>
        <v>590042</v>
      </c>
      <c r="B11414" s="3" t="s">
        <v>57846</v>
      </c>
      <c r="C11414" s="3" t="s">
        <v>54</v>
      </c>
      <c r="D11414" s="3" t="s">
        <v>60</v>
      </c>
      <c r="E11414" s="4" t="s">
        <v>22</v>
      </c>
      <c r="F11414" s="4" t="s">
        <v>57668</v>
      </c>
      <c r="G11414" s="4" t="s">
        <v>57814</v>
      </c>
      <c r="H11414" s="3" t="s">
        <v>57649</v>
      </c>
      <c r="I11414" s="3" t="s">
        <v>57815</v>
      </c>
      <c r="J11414" s="3" t="s">
        <v>57847</v>
      </c>
      <c r="K11414" s="3" t="s">
        <v>57848</v>
      </c>
      <c r="L11414" s="3"/>
      <c r="M11414" s="4" t="s">
        <v>57849</v>
      </c>
      <c r="N11414" s="3" t="s">
        <v>37</v>
      </c>
      <c r="O11414" s="3" t="s">
        <v>52</v>
      </c>
      <c r="P11414" s="5">
        <v>8</v>
      </c>
      <c r="Q11414" s="5">
        <v>248</v>
      </c>
      <c r="R11414" s="5">
        <v>8</v>
      </c>
      <c r="S11414" s="5">
        <v>253</v>
      </c>
    </row>
    <row r="11415" spans="1:19" ht="28" x14ac:dyDescent="0.15">
      <c r="A11415" s="2">
        <f>HYPERLINK("https://open-school.uspishnemisto.com.ua/school/590043/", 590043)</f>
        <v>590043</v>
      </c>
      <c r="B11415" s="3" t="s">
        <v>57850</v>
      </c>
      <c r="C11415" s="3" t="s">
        <v>31</v>
      </c>
      <c r="D11415" s="3" t="s">
        <v>175</v>
      </c>
      <c r="E11415" s="4" t="s">
        <v>22</v>
      </c>
      <c r="F11415" s="4" t="s">
        <v>57851</v>
      </c>
      <c r="G11415" s="4" t="s">
        <v>57852</v>
      </c>
      <c r="H11415" s="3" t="s">
        <v>57649</v>
      </c>
      <c r="I11415" s="3" t="s">
        <v>5947</v>
      </c>
      <c r="J11415" s="3" t="s">
        <v>3538</v>
      </c>
      <c r="K11415" s="3" t="s">
        <v>57853</v>
      </c>
      <c r="L11415" s="3" t="s">
        <v>57854</v>
      </c>
      <c r="M11415" s="4"/>
      <c r="N11415" s="3" t="s">
        <v>37</v>
      </c>
      <c r="O11415" s="3" t="s">
        <v>52</v>
      </c>
      <c r="P11415" s="5">
        <v>9</v>
      </c>
      <c r="Q11415" s="5">
        <v>121</v>
      </c>
      <c r="R11415" s="5">
        <v>9</v>
      </c>
      <c r="S11415" s="5">
        <v>122</v>
      </c>
    </row>
    <row r="11416" spans="1:19" ht="28" x14ac:dyDescent="0.15">
      <c r="A11416" s="2">
        <f>HYPERLINK("https://open-school.uspishnemisto.com.ua/school/590044/", 590044)</f>
        <v>590044</v>
      </c>
      <c r="B11416" s="3" t="s">
        <v>57855</v>
      </c>
      <c r="C11416" s="3" t="s">
        <v>31</v>
      </c>
      <c r="D11416" s="3" t="s">
        <v>175</v>
      </c>
      <c r="E11416" s="4" t="s">
        <v>22</v>
      </c>
      <c r="F11416" s="4" t="s">
        <v>57856</v>
      </c>
      <c r="G11416" s="4" t="s">
        <v>57857</v>
      </c>
      <c r="H11416" s="3" t="s">
        <v>57649</v>
      </c>
      <c r="I11416" s="3" t="s">
        <v>57858</v>
      </c>
      <c r="J11416" s="3" t="s">
        <v>33601</v>
      </c>
      <c r="K11416" s="3" t="s">
        <v>57859</v>
      </c>
      <c r="L11416" s="3" t="s">
        <v>57860</v>
      </c>
      <c r="M11416" s="4"/>
      <c r="N11416" s="3" t="s">
        <v>37</v>
      </c>
      <c r="O11416" s="3" t="s">
        <v>52</v>
      </c>
      <c r="P11416" s="5">
        <v>9</v>
      </c>
      <c r="Q11416" s="5">
        <v>81</v>
      </c>
      <c r="R11416" s="5">
        <v>9</v>
      </c>
      <c r="S11416" s="5">
        <v>78</v>
      </c>
    </row>
    <row r="11417" spans="1:19" ht="28" x14ac:dyDescent="0.15">
      <c r="A11417" s="2">
        <f>HYPERLINK("https://open-school.uspishnemisto.com.ua/school/590045/", 590045)</f>
        <v>590045</v>
      </c>
      <c r="B11417" s="3" t="s">
        <v>57861</v>
      </c>
      <c r="C11417" s="3" t="s">
        <v>40</v>
      </c>
      <c r="D11417" s="3" t="s">
        <v>32</v>
      </c>
      <c r="E11417" s="4" t="s">
        <v>22</v>
      </c>
      <c r="F11417" s="4" t="s">
        <v>57862</v>
      </c>
      <c r="G11417" s="4" t="s">
        <v>57863</v>
      </c>
      <c r="H11417" s="3" t="s">
        <v>57649</v>
      </c>
      <c r="I11417" s="3" t="s">
        <v>57864</v>
      </c>
      <c r="J11417" s="3" t="s">
        <v>57865</v>
      </c>
      <c r="K11417" s="3" t="s">
        <v>57866</v>
      </c>
      <c r="L11417" s="3"/>
      <c r="M11417" s="4"/>
      <c r="N11417" s="3" t="s">
        <v>37</v>
      </c>
      <c r="O11417" s="3" t="s">
        <v>46</v>
      </c>
      <c r="P11417" s="5">
        <v>21</v>
      </c>
      <c r="Q11417" s="5">
        <v>563</v>
      </c>
      <c r="R11417" s="5">
        <v>21</v>
      </c>
      <c r="S11417" s="5">
        <v>542</v>
      </c>
    </row>
    <row r="11418" spans="1:19" ht="28" x14ac:dyDescent="0.15">
      <c r="A11418" s="2">
        <f>HYPERLINK("https://open-school.uspishnemisto.com.ua/school/590046/", 590046)</f>
        <v>590046</v>
      </c>
      <c r="B11418" s="3" t="s">
        <v>57867</v>
      </c>
      <c r="C11418" s="3" t="s">
        <v>31</v>
      </c>
      <c r="D11418" s="3" t="s">
        <v>175</v>
      </c>
      <c r="E11418" s="4" t="s">
        <v>22</v>
      </c>
      <c r="F11418" s="4" t="s">
        <v>57868</v>
      </c>
      <c r="G11418" s="4" t="s">
        <v>57863</v>
      </c>
      <c r="H11418" s="3" t="s">
        <v>57649</v>
      </c>
      <c r="I11418" s="3" t="s">
        <v>57864</v>
      </c>
      <c r="J11418" s="3" t="s">
        <v>57869</v>
      </c>
      <c r="K11418" s="3" t="s">
        <v>57870</v>
      </c>
      <c r="L11418" s="3"/>
      <c r="M11418" s="4"/>
      <c r="N11418" s="3" t="s">
        <v>37</v>
      </c>
      <c r="O11418" s="3" t="s">
        <v>46</v>
      </c>
      <c r="P11418" s="5">
        <v>9</v>
      </c>
      <c r="Q11418" s="5">
        <v>188</v>
      </c>
      <c r="R11418" s="5">
        <v>9</v>
      </c>
      <c r="S11418" s="5">
        <v>183</v>
      </c>
    </row>
    <row r="11419" spans="1:19" ht="28" x14ac:dyDescent="0.15">
      <c r="A11419" s="2">
        <f>HYPERLINK("https://open-school.uspishnemisto.com.ua/school/590047/", 590047)</f>
        <v>590047</v>
      </c>
      <c r="B11419" s="3" t="s">
        <v>57871</v>
      </c>
      <c r="C11419" s="3" t="s">
        <v>31</v>
      </c>
      <c r="D11419" s="3" t="s">
        <v>175</v>
      </c>
      <c r="E11419" s="4" t="s">
        <v>22</v>
      </c>
      <c r="F11419" s="4" t="s">
        <v>57868</v>
      </c>
      <c r="G11419" s="4" t="s">
        <v>57863</v>
      </c>
      <c r="H11419" s="3" t="s">
        <v>57649</v>
      </c>
      <c r="I11419" s="3" t="s">
        <v>57864</v>
      </c>
      <c r="J11419" s="3" t="s">
        <v>54145</v>
      </c>
      <c r="K11419" s="3" t="s">
        <v>57872</v>
      </c>
      <c r="L11419" s="3"/>
      <c r="M11419" s="4"/>
      <c r="N11419" s="3" t="s">
        <v>37</v>
      </c>
      <c r="O11419" s="3" t="s">
        <v>38</v>
      </c>
      <c r="P11419" s="5">
        <v>11</v>
      </c>
      <c r="Q11419" s="5">
        <v>256</v>
      </c>
      <c r="R11419" s="5">
        <v>10</v>
      </c>
      <c r="S11419" s="5">
        <v>236</v>
      </c>
    </row>
    <row r="11420" spans="1:19" ht="28" x14ac:dyDescent="0.15">
      <c r="A11420" s="2">
        <f>HYPERLINK("https://open-school.uspishnemisto.com.ua/school/590048/", 590048)</f>
        <v>590048</v>
      </c>
      <c r="B11420" s="3" t="s">
        <v>57873</v>
      </c>
      <c r="C11420" s="3" t="s">
        <v>31</v>
      </c>
      <c r="D11420" s="3" t="s">
        <v>32</v>
      </c>
      <c r="E11420" s="4" t="s">
        <v>22</v>
      </c>
      <c r="F11420" s="4" t="s">
        <v>57868</v>
      </c>
      <c r="G11420" s="4" t="s">
        <v>57863</v>
      </c>
      <c r="H11420" s="3" t="s">
        <v>57649</v>
      </c>
      <c r="I11420" s="3" t="s">
        <v>57864</v>
      </c>
      <c r="J11420" s="3" t="s">
        <v>664</v>
      </c>
      <c r="K11420" s="3" t="s">
        <v>57874</v>
      </c>
      <c r="L11420" s="3"/>
      <c r="M11420" s="4"/>
      <c r="N11420" s="3" t="s">
        <v>37</v>
      </c>
      <c r="O11420" s="3" t="s">
        <v>38</v>
      </c>
      <c r="P11420" s="5">
        <v>33</v>
      </c>
      <c r="Q11420" s="5">
        <v>902</v>
      </c>
      <c r="R11420" s="5">
        <v>32</v>
      </c>
      <c r="S11420" s="5">
        <v>869</v>
      </c>
    </row>
    <row r="11421" spans="1:19" ht="28" x14ac:dyDescent="0.15">
      <c r="A11421" s="2">
        <f>HYPERLINK("https://open-school.uspishnemisto.com.ua/school/590049/", 590049)</f>
        <v>590049</v>
      </c>
      <c r="B11421" s="3" t="s">
        <v>57875</v>
      </c>
      <c r="C11421" s="3" t="s">
        <v>31</v>
      </c>
      <c r="D11421" s="3" t="s">
        <v>32</v>
      </c>
      <c r="E11421" s="4" t="s">
        <v>22</v>
      </c>
      <c r="F11421" s="4" t="s">
        <v>57868</v>
      </c>
      <c r="G11421" s="4" t="s">
        <v>57863</v>
      </c>
      <c r="H11421" s="3" t="s">
        <v>57649</v>
      </c>
      <c r="I11421" s="3" t="s">
        <v>57864</v>
      </c>
      <c r="J11421" s="3" t="s">
        <v>16884</v>
      </c>
      <c r="K11421" s="3" t="s">
        <v>57876</v>
      </c>
      <c r="L11421" s="3" t="s">
        <v>57877</v>
      </c>
      <c r="M11421" s="4"/>
      <c r="N11421" s="3" t="s">
        <v>37</v>
      </c>
      <c r="O11421" s="3" t="s">
        <v>38</v>
      </c>
      <c r="P11421" s="5">
        <v>11</v>
      </c>
      <c r="Q11421" s="5">
        <v>257</v>
      </c>
      <c r="R11421" s="5">
        <v>11</v>
      </c>
      <c r="S11421" s="5">
        <v>258</v>
      </c>
    </row>
    <row r="11422" spans="1:19" ht="28" x14ac:dyDescent="0.15">
      <c r="A11422" s="2">
        <f>HYPERLINK("https://open-school.uspishnemisto.com.ua/school/590050/", 590050)</f>
        <v>590050</v>
      </c>
      <c r="B11422" s="3" t="s">
        <v>57878</v>
      </c>
      <c r="C11422" s="3" t="s">
        <v>31</v>
      </c>
      <c r="D11422" s="3" t="s">
        <v>32</v>
      </c>
      <c r="E11422" s="4" t="s">
        <v>22</v>
      </c>
      <c r="F11422" s="4" t="s">
        <v>57868</v>
      </c>
      <c r="G11422" s="4" t="s">
        <v>57863</v>
      </c>
      <c r="H11422" s="3" t="s">
        <v>57649</v>
      </c>
      <c r="I11422" s="3" t="s">
        <v>57864</v>
      </c>
      <c r="J11422" s="3" t="s">
        <v>57879</v>
      </c>
      <c r="K11422" s="3" t="s">
        <v>57880</v>
      </c>
      <c r="L11422" s="3" t="s">
        <v>57881</v>
      </c>
      <c r="M11422" s="4"/>
      <c r="N11422" s="3" t="s">
        <v>37</v>
      </c>
      <c r="O11422" s="3" t="s">
        <v>70</v>
      </c>
      <c r="P11422" s="5">
        <v>11</v>
      </c>
      <c r="Q11422" s="5">
        <v>289</v>
      </c>
      <c r="R11422" s="5">
        <v>11</v>
      </c>
      <c r="S11422" s="5">
        <v>285</v>
      </c>
    </row>
    <row r="11423" spans="1:19" ht="28" x14ac:dyDescent="0.15">
      <c r="A11423" s="2">
        <f>HYPERLINK("https://open-school.uspishnemisto.com.ua/school/590051/", 590051)</f>
        <v>590051</v>
      </c>
      <c r="B11423" s="3" t="s">
        <v>57882</v>
      </c>
      <c r="C11423" s="3" t="s">
        <v>31</v>
      </c>
      <c r="D11423" s="3" t="s">
        <v>32</v>
      </c>
      <c r="E11423" s="4" t="s">
        <v>22</v>
      </c>
      <c r="F11423" s="4" t="s">
        <v>57868</v>
      </c>
      <c r="G11423" s="4" t="s">
        <v>57863</v>
      </c>
      <c r="H11423" s="3" t="s">
        <v>57649</v>
      </c>
      <c r="I11423" s="3" t="s">
        <v>57864</v>
      </c>
      <c r="J11423" s="3" t="s">
        <v>57883</v>
      </c>
      <c r="K11423" s="3"/>
      <c r="L11423" s="3"/>
      <c r="M11423" s="4"/>
      <c r="N11423" s="3" t="s">
        <v>37</v>
      </c>
      <c r="O11423" s="3" t="s">
        <v>46</v>
      </c>
      <c r="P11423" s="5">
        <v>19</v>
      </c>
      <c r="Q11423" s="5">
        <v>450</v>
      </c>
      <c r="R11423" s="5">
        <v>20</v>
      </c>
      <c r="S11423" s="5">
        <v>444</v>
      </c>
    </row>
    <row r="11424" spans="1:19" ht="28" x14ac:dyDescent="0.15">
      <c r="A11424" s="2">
        <f>HYPERLINK("https://open-school.uspishnemisto.com.ua/school/590052/", 590052)</f>
        <v>590052</v>
      </c>
      <c r="B11424" s="3" t="s">
        <v>57884</v>
      </c>
      <c r="C11424" s="3" t="s">
        <v>31</v>
      </c>
      <c r="D11424" s="3" t="s">
        <v>32</v>
      </c>
      <c r="E11424" s="4" t="s">
        <v>22</v>
      </c>
      <c r="F11424" s="4" t="s">
        <v>57868</v>
      </c>
      <c r="G11424" s="4" t="s">
        <v>57863</v>
      </c>
      <c r="H11424" s="3" t="s">
        <v>57649</v>
      </c>
      <c r="I11424" s="3" t="s">
        <v>57864</v>
      </c>
      <c r="J11424" s="3" t="s">
        <v>2656</v>
      </c>
      <c r="K11424" s="3"/>
      <c r="L11424" s="3" t="s">
        <v>57885</v>
      </c>
      <c r="M11424" s="4"/>
      <c r="N11424" s="3" t="s">
        <v>37</v>
      </c>
      <c r="O11424" s="3" t="s">
        <v>38</v>
      </c>
      <c r="P11424" s="5">
        <v>25</v>
      </c>
      <c r="Q11424" s="5">
        <v>682</v>
      </c>
      <c r="R11424" s="5">
        <v>25</v>
      </c>
      <c r="S11424" s="5">
        <v>660</v>
      </c>
    </row>
    <row r="11425" spans="1:19" ht="28" x14ac:dyDescent="0.15">
      <c r="A11425" s="2">
        <f>HYPERLINK("https://open-school.uspishnemisto.com.ua/school/590053/", 590053)</f>
        <v>590053</v>
      </c>
      <c r="B11425" s="3" t="s">
        <v>57886</v>
      </c>
      <c r="C11425" s="3" t="s">
        <v>31</v>
      </c>
      <c r="D11425" s="3" t="s">
        <v>32</v>
      </c>
      <c r="E11425" s="4" t="s">
        <v>22</v>
      </c>
      <c r="F11425" s="4" t="s">
        <v>57887</v>
      </c>
      <c r="G11425" s="4" t="s">
        <v>57863</v>
      </c>
      <c r="H11425" s="3" t="s">
        <v>57649</v>
      </c>
      <c r="I11425" s="3" t="s">
        <v>57864</v>
      </c>
      <c r="J11425" s="3" t="s">
        <v>57888</v>
      </c>
      <c r="K11425" s="3" t="s">
        <v>57889</v>
      </c>
      <c r="L11425" s="3" t="s">
        <v>57890</v>
      </c>
      <c r="M11425" s="4"/>
      <c r="N11425" s="3" t="s">
        <v>128</v>
      </c>
      <c r="O11425" s="3" t="s">
        <v>70</v>
      </c>
      <c r="P11425" s="5">
        <v>32</v>
      </c>
      <c r="Q11425" s="5">
        <v>823</v>
      </c>
      <c r="R11425" s="5">
        <v>31</v>
      </c>
      <c r="S11425" s="5">
        <v>809</v>
      </c>
    </row>
    <row r="11426" spans="1:19" ht="28" x14ac:dyDescent="0.15">
      <c r="A11426" s="2">
        <f>HYPERLINK("https://open-school.uspishnemisto.com.ua/school/590054/", 590054)</f>
        <v>590054</v>
      </c>
      <c r="B11426" s="3" t="s">
        <v>57891</v>
      </c>
      <c r="C11426" s="3" t="s">
        <v>31</v>
      </c>
      <c r="D11426" s="3" t="s">
        <v>32</v>
      </c>
      <c r="E11426" s="4" t="s">
        <v>22</v>
      </c>
      <c r="F11426" s="4" t="s">
        <v>57868</v>
      </c>
      <c r="G11426" s="4" t="s">
        <v>57863</v>
      </c>
      <c r="H11426" s="3" t="s">
        <v>57649</v>
      </c>
      <c r="I11426" s="3" t="s">
        <v>57864</v>
      </c>
      <c r="J11426" s="3" t="s">
        <v>57892</v>
      </c>
      <c r="K11426" s="3" t="s">
        <v>57893</v>
      </c>
      <c r="L11426" s="3" t="s">
        <v>57894</v>
      </c>
      <c r="M11426" s="4"/>
      <c r="N11426" s="3" t="s">
        <v>37</v>
      </c>
      <c r="O11426" s="3" t="s">
        <v>38</v>
      </c>
      <c r="P11426" s="5">
        <v>16</v>
      </c>
      <c r="Q11426" s="5">
        <v>365</v>
      </c>
      <c r="R11426" s="5">
        <v>17</v>
      </c>
      <c r="S11426" s="5">
        <v>373</v>
      </c>
    </row>
    <row r="11427" spans="1:19" ht="28" x14ac:dyDescent="0.15">
      <c r="A11427" s="2">
        <f>HYPERLINK("https://open-school.uspishnemisto.com.ua/school/590055/", 590055)</f>
        <v>590055</v>
      </c>
      <c r="B11427" s="3" t="s">
        <v>57895</v>
      </c>
      <c r="C11427" s="3" t="s">
        <v>31</v>
      </c>
      <c r="D11427" s="3" t="s">
        <v>32</v>
      </c>
      <c r="E11427" s="4" t="s">
        <v>22</v>
      </c>
      <c r="F11427" s="4" t="s">
        <v>57896</v>
      </c>
      <c r="G11427" s="4" t="s">
        <v>57897</v>
      </c>
      <c r="H11427" s="3" t="s">
        <v>57649</v>
      </c>
      <c r="I11427" s="3" t="s">
        <v>42924</v>
      </c>
      <c r="J11427" s="3" t="s">
        <v>57898</v>
      </c>
      <c r="K11427" s="3" t="s">
        <v>57899</v>
      </c>
      <c r="L11427" s="3" t="s">
        <v>57900</v>
      </c>
      <c r="M11427" s="4" t="s">
        <v>57901</v>
      </c>
      <c r="N11427" s="3" t="s">
        <v>37</v>
      </c>
      <c r="O11427" s="3" t="s">
        <v>70</v>
      </c>
      <c r="P11427" s="5">
        <v>20</v>
      </c>
      <c r="Q11427" s="5">
        <v>494</v>
      </c>
      <c r="R11427" s="5">
        <v>20</v>
      </c>
      <c r="S11427" s="5">
        <v>492</v>
      </c>
    </row>
    <row r="11428" spans="1:19" ht="28" x14ac:dyDescent="0.15">
      <c r="A11428" s="2">
        <f>HYPERLINK("https://open-school.uspishnemisto.com.ua/school/590056/", 590056)</f>
        <v>590056</v>
      </c>
      <c r="B11428" s="3" t="s">
        <v>57902</v>
      </c>
      <c r="C11428" s="3" t="s">
        <v>31</v>
      </c>
      <c r="D11428" s="3" t="s">
        <v>32</v>
      </c>
      <c r="E11428" s="4" t="s">
        <v>22</v>
      </c>
      <c r="F11428" s="4" t="s">
        <v>57896</v>
      </c>
      <c r="G11428" s="4" t="s">
        <v>57897</v>
      </c>
      <c r="H11428" s="3" t="s">
        <v>57649</v>
      </c>
      <c r="I11428" s="3" t="s">
        <v>42924</v>
      </c>
      <c r="J11428" s="3" t="s">
        <v>57903</v>
      </c>
      <c r="K11428" s="3" t="s">
        <v>57904</v>
      </c>
      <c r="L11428" s="3"/>
      <c r="M11428" s="4" t="s">
        <v>57905</v>
      </c>
      <c r="N11428" s="3" t="s">
        <v>37</v>
      </c>
      <c r="O11428" s="3" t="s">
        <v>38</v>
      </c>
      <c r="P11428" s="5">
        <v>20</v>
      </c>
      <c r="Q11428" s="5">
        <v>484</v>
      </c>
      <c r="R11428" s="5">
        <v>20</v>
      </c>
      <c r="S11428" s="5">
        <v>489</v>
      </c>
    </row>
    <row r="11429" spans="1:19" ht="28" x14ac:dyDescent="0.15">
      <c r="A11429" s="2">
        <f>HYPERLINK("https://open-school.uspishnemisto.com.ua/school/590057/", 590057)</f>
        <v>590057</v>
      </c>
      <c r="B11429" s="3" t="s">
        <v>57906</v>
      </c>
      <c r="C11429" s="3" t="s">
        <v>31</v>
      </c>
      <c r="D11429" s="3" t="s">
        <v>32</v>
      </c>
      <c r="E11429" s="4" t="s">
        <v>22</v>
      </c>
      <c r="F11429" s="4" t="s">
        <v>57896</v>
      </c>
      <c r="G11429" s="4" t="s">
        <v>57897</v>
      </c>
      <c r="H11429" s="3" t="s">
        <v>57649</v>
      </c>
      <c r="I11429" s="3" t="s">
        <v>42924</v>
      </c>
      <c r="J11429" s="3" t="s">
        <v>57907</v>
      </c>
      <c r="K11429" s="3" t="s">
        <v>57908</v>
      </c>
      <c r="L11429" s="3" t="s">
        <v>57909</v>
      </c>
      <c r="M11429" s="4" t="s">
        <v>57910</v>
      </c>
      <c r="N11429" s="3" t="s">
        <v>37</v>
      </c>
      <c r="O11429" s="3" t="s">
        <v>38</v>
      </c>
      <c r="P11429" s="5">
        <v>21</v>
      </c>
      <c r="Q11429" s="5">
        <v>553</v>
      </c>
      <c r="R11429" s="5">
        <v>20</v>
      </c>
      <c r="S11429" s="5">
        <v>523</v>
      </c>
    </row>
    <row r="11430" spans="1:19" ht="28" x14ac:dyDescent="0.15">
      <c r="A11430" s="2">
        <f>HYPERLINK("https://open-school.uspishnemisto.com.ua/school/590058/", 590058)</f>
        <v>590058</v>
      </c>
      <c r="B11430" s="3" t="s">
        <v>57911</v>
      </c>
      <c r="C11430" s="3" t="s">
        <v>31</v>
      </c>
      <c r="D11430" s="3" t="s">
        <v>32</v>
      </c>
      <c r="E11430" s="4" t="s">
        <v>22</v>
      </c>
      <c r="F11430" s="4" t="s">
        <v>57896</v>
      </c>
      <c r="G11430" s="4" t="s">
        <v>57897</v>
      </c>
      <c r="H11430" s="3" t="s">
        <v>57649</v>
      </c>
      <c r="I11430" s="3" t="s">
        <v>42924</v>
      </c>
      <c r="J11430" s="3" t="s">
        <v>57912</v>
      </c>
      <c r="K11430" s="3" t="s">
        <v>57913</v>
      </c>
      <c r="L11430" s="3" t="s">
        <v>57914</v>
      </c>
      <c r="M11430" s="4" t="s">
        <v>57915</v>
      </c>
      <c r="N11430" s="3" t="s">
        <v>37</v>
      </c>
      <c r="O11430" s="3" t="s">
        <v>70</v>
      </c>
      <c r="P11430" s="5">
        <v>31</v>
      </c>
      <c r="Q11430" s="5">
        <v>808</v>
      </c>
      <c r="R11430" s="5">
        <v>31</v>
      </c>
      <c r="S11430" s="5">
        <v>811</v>
      </c>
    </row>
    <row r="11431" spans="1:19" ht="42" x14ac:dyDescent="0.15">
      <c r="A11431" s="2">
        <f>HYPERLINK("https://open-school.uspishnemisto.com.ua/school/590059/", 590059)</f>
        <v>590059</v>
      </c>
      <c r="B11431" s="3" t="s">
        <v>57916</v>
      </c>
      <c r="C11431" s="3" t="s">
        <v>54</v>
      </c>
      <c r="D11431" s="3" t="s">
        <v>175</v>
      </c>
      <c r="E11431" s="4" t="s">
        <v>22</v>
      </c>
      <c r="F11431" s="4" t="s">
        <v>57896</v>
      </c>
      <c r="G11431" s="4" t="s">
        <v>57897</v>
      </c>
      <c r="H11431" s="3" t="s">
        <v>57649</v>
      </c>
      <c r="I11431" s="3" t="s">
        <v>42924</v>
      </c>
      <c r="J11431" s="3" t="s">
        <v>3173</v>
      </c>
      <c r="K11431" s="3" t="s">
        <v>57917</v>
      </c>
      <c r="L11431" s="3" t="s">
        <v>57918</v>
      </c>
      <c r="M11431" s="4"/>
      <c r="N11431" s="3" t="s">
        <v>37</v>
      </c>
      <c r="O11431" s="3" t="s">
        <v>38</v>
      </c>
      <c r="P11431" s="5">
        <v>9</v>
      </c>
      <c r="Q11431" s="5">
        <v>122</v>
      </c>
      <c r="R11431" s="5">
        <v>9</v>
      </c>
      <c r="S11431" s="5">
        <v>131</v>
      </c>
    </row>
    <row r="11432" spans="1:19" ht="42" x14ac:dyDescent="0.15">
      <c r="A11432" s="2">
        <f>HYPERLINK("https://open-school.uspishnemisto.com.ua/school/590060/", 590060)</f>
        <v>590060</v>
      </c>
      <c r="B11432" s="3" t="s">
        <v>57919</v>
      </c>
      <c r="C11432" s="3" t="s">
        <v>54</v>
      </c>
      <c r="D11432" s="3" t="s">
        <v>60</v>
      </c>
      <c r="E11432" s="4" t="s">
        <v>22</v>
      </c>
      <c r="F11432" s="4" t="s">
        <v>57896</v>
      </c>
      <c r="G11432" s="4" t="s">
        <v>57897</v>
      </c>
      <c r="H11432" s="3" t="s">
        <v>57649</v>
      </c>
      <c r="I11432" s="3" t="s">
        <v>42924</v>
      </c>
      <c r="J11432" s="3" t="s">
        <v>57920</v>
      </c>
      <c r="K11432" s="3" t="s">
        <v>57921</v>
      </c>
      <c r="L11432" s="3"/>
      <c r="M11432" s="4"/>
      <c r="N11432" s="3" t="s">
        <v>37</v>
      </c>
      <c r="O11432" s="3" t="s">
        <v>52</v>
      </c>
      <c r="P11432" s="5">
        <v>4</v>
      </c>
      <c r="Q11432" s="5">
        <v>57</v>
      </c>
      <c r="R11432" s="5">
        <v>4</v>
      </c>
      <c r="S11432" s="5">
        <v>54</v>
      </c>
    </row>
    <row r="11433" spans="1:19" ht="42" x14ac:dyDescent="0.15">
      <c r="A11433" s="2">
        <f>HYPERLINK("https://open-school.uspishnemisto.com.ua/school/590061/", 590061)</f>
        <v>590061</v>
      </c>
      <c r="B11433" s="3" t="s">
        <v>57922</v>
      </c>
      <c r="C11433" s="3" t="s">
        <v>293</v>
      </c>
      <c r="D11433" s="3" t="s">
        <v>32</v>
      </c>
      <c r="E11433" s="4" t="s">
        <v>22</v>
      </c>
      <c r="F11433" s="4" t="s">
        <v>57896</v>
      </c>
      <c r="G11433" s="4" t="s">
        <v>57897</v>
      </c>
      <c r="H11433" s="3" t="s">
        <v>57649</v>
      </c>
      <c r="I11433" s="3" t="s">
        <v>42924</v>
      </c>
      <c r="J11433" s="3" t="s">
        <v>57923</v>
      </c>
      <c r="K11433" s="3" t="s">
        <v>57924</v>
      </c>
      <c r="L11433" s="3" t="s">
        <v>57925</v>
      </c>
      <c r="M11433" s="4" t="s">
        <v>57926</v>
      </c>
      <c r="N11433" s="3" t="s">
        <v>37</v>
      </c>
      <c r="O11433" s="3" t="s">
        <v>70</v>
      </c>
      <c r="P11433" s="5">
        <v>16</v>
      </c>
      <c r="Q11433" s="5">
        <v>338</v>
      </c>
      <c r="R11433" s="5">
        <v>16</v>
      </c>
      <c r="S11433" s="5">
        <v>352</v>
      </c>
    </row>
    <row r="11434" spans="1:19" ht="42" x14ac:dyDescent="0.15">
      <c r="A11434" s="2">
        <f>HYPERLINK("https://open-school.uspishnemisto.com.ua/school/590062/", 590062)</f>
        <v>590062</v>
      </c>
      <c r="B11434" s="3" t="s">
        <v>57927</v>
      </c>
      <c r="C11434" s="3" t="s">
        <v>181</v>
      </c>
      <c r="D11434" s="3" t="s">
        <v>32</v>
      </c>
      <c r="E11434" s="4" t="s">
        <v>22</v>
      </c>
      <c r="F11434" s="4" t="s">
        <v>57928</v>
      </c>
      <c r="G11434" s="4" t="s">
        <v>57929</v>
      </c>
      <c r="H11434" s="3" t="s">
        <v>57649</v>
      </c>
      <c r="I11434" s="3" t="s">
        <v>57930</v>
      </c>
      <c r="J11434" s="3" t="s">
        <v>57931</v>
      </c>
      <c r="K11434" s="3" t="s">
        <v>57932</v>
      </c>
      <c r="L11434" s="3"/>
      <c r="M11434" s="4" t="s">
        <v>57933</v>
      </c>
      <c r="N11434" s="3" t="s">
        <v>37</v>
      </c>
      <c r="O11434" s="3" t="s">
        <v>52</v>
      </c>
      <c r="P11434" s="5">
        <v>15</v>
      </c>
      <c r="Q11434" s="5">
        <v>159</v>
      </c>
      <c r="R11434" s="5">
        <v>15</v>
      </c>
      <c r="S11434" s="5">
        <v>155</v>
      </c>
    </row>
    <row r="11435" spans="1:19" ht="28" x14ac:dyDescent="0.15">
      <c r="A11435" s="2">
        <f>HYPERLINK("https://open-school.uspishnemisto.com.ua/school/590063/", 590063)</f>
        <v>590063</v>
      </c>
      <c r="B11435" s="3" t="s">
        <v>57934</v>
      </c>
      <c r="C11435" s="3" t="s">
        <v>2634</v>
      </c>
      <c r="D11435" s="3" t="s">
        <v>175</v>
      </c>
      <c r="E11435" s="4" t="s">
        <v>22</v>
      </c>
      <c r="F11435" s="4" t="s">
        <v>57928</v>
      </c>
      <c r="G11435" s="4" t="s">
        <v>57929</v>
      </c>
      <c r="H11435" s="3" t="s">
        <v>57649</v>
      </c>
      <c r="I11435" s="3" t="s">
        <v>57930</v>
      </c>
      <c r="J11435" s="3" t="s">
        <v>57935</v>
      </c>
      <c r="K11435" s="3" t="s">
        <v>57936</v>
      </c>
      <c r="L11435" s="3"/>
      <c r="M11435" s="4" t="s">
        <v>57937</v>
      </c>
      <c r="N11435" s="3" t="s">
        <v>37</v>
      </c>
      <c r="O11435" s="3" t="s">
        <v>52</v>
      </c>
      <c r="P11435" s="5">
        <v>16</v>
      </c>
      <c r="Q11435" s="5">
        <v>238</v>
      </c>
      <c r="R11435" s="5">
        <v>16</v>
      </c>
      <c r="S11435" s="5">
        <v>217</v>
      </c>
    </row>
    <row r="11436" spans="1:19" ht="28" x14ac:dyDescent="0.15">
      <c r="A11436" s="2">
        <f>HYPERLINK("https://open-school.uspishnemisto.com.ua/school/590064/", 590064)</f>
        <v>590064</v>
      </c>
      <c r="B11436" s="3" t="s">
        <v>57938</v>
      </c>
      <c r="C11436" s="3" t="s">
        <v>40</v>
      </c>
      <c r="D11436" s="3" t="s">
        <v>32</v>
      </c>
      <c r="E11436" s="4" t="s">
        <v>22</v>
      </c>
      <c r="F11436" s="4" t="s">
        <v>57939</v>
      </c>
      <c r="G11436" s="4" t="s">
        <v>57929</v>
      </c>
      <c r="H11436" s="3" t="s">
        <v>57649</v>
      </c>
      <c r="I11436" s="3" t="s">
        <v>57930</v>
      </c>
      <c r="J11436" s="3" t="s">
        <v>57940</v>
      </c>
      <c r="K11436" s="3" t="s">
        <v>57941</v>
      </c>
      <c r="L11436" s="3" t="s">
        <v>57942</v>
      </c>
      <c r="M11436" s="4"/>
      <c r="N11436" s="3" t="s">
        <v>37</v>
      </c>
      <c r="O11436" s="3" t="s">
        <v>46</v>
      </c>
      <c r="P11436" s="5">
        <v>24</v>
      </c>
      <c r="Q11436" s="5">
        <v>655</v>
      </c>
      <c r="R11436" s="5">
        <v>24</v>
      </c>
      <c r="S11436" s="5">
        <v>653</v>
      </c>
    </row>
    <row r="11437" spans="1:19" ht="28" x14ac:dyDescent="0.15">
      <c r="A11437" s="2">
        <f>HYPERLINK("https://open-school.uspishnemisto.com.ua/school/590065/", 590065)</f>
        <v>590065</v>
      </c>
      <c r="B11437" s="3" t="s">
        <v>57943</v>
      </c>
      <c r="C11437" s="3" t="s">
        <v>31</v>
      </c>
      <c r="D11437" s="3" t="s">
        <v>32</v>
      </c>
      <c r="E11437" s="4" t="s">
        <v>22</v>
      </c>
      <c r="F11437" s="4" t="s">
        <v>57928</v>
      </c>
      <c r="G11437" s="4" t="s">
        <v>57929</v>
      </c>
      <c r="H11437" s="3" t="s">
        <v>57649</v>
      </c>
      <c r="I11437" s="3" t="s">
        <v>57930</v>
      </c>
      <c r="J11437" s="3" t="s">
        <v>57944</v>
      </c>
      <c r="K11437" s="3" t="s">
        <v>57945</v>
      </c>
      <c r="L11437" s="3"/>
      <c r="M11437" s="4"/>
      <c r="N11437" s="3" t="s">
        <v>37</v>
      </c>
      <c r="O11437" s="3" t="s">
        <v>46</v>
      </c>
      <c r="P11437" s="5">
        <v>19</v>
      </c>
      <c r="Q11437" s="5">
        <v>327</v>
      </c>
      <c r="R11437" s="5">
        <v>18</v>
      </c>
      <c r="S11437" s="5">
        <v>325</v>
      </c>
    </row>
    <row r="11438" spans="1:19" ht="28" x14ac:dyDescent="0.15">
      <c r="A11438" s="2">
        <f>HYPERLINK("https://open-school.uspishnemisto.com.ua/school/590066/", 590066)</f>
        <v>590066</v>
      </c>
      <c r="B11438" s="3" t="s">
        <v>57946</v>
      </c>
      <c r="C11438" s="3" t="s">
        <v>31</v>
      </c>
      <c r="D11438" s="3" t="s">
        <v>32</v>
      </c>
      <c r="E11438" s="4" t="s">
        <v>22</v>
      </c>
      <c r="F11438" s="4" t="s">
        <v>57928</v>
      </c>
      <c r="G11438" s="4" t="s">
        <v>57929</v>
      </c>
      <c r="H11438" s="3" t="s">
        <v>57649</v>
      </c>
      <c r="I11438" s="3" t="s">
        <v>57930</v>
      </c>
      <c r="J11438" s="3" t="s">
        <v>57947</v>
      </c>
      <c r="K11438" s="3" t="s">
        <v>57948</v>
      </c>
      <c r="L11438" s="3"/>
      <c r="M11438" s="4"/>
      <c r="N11438" s="3" t="s">
        <v>37</v>
      </c>
      <c r="O11438" s="3" t="s">
        <v>52</v>
      </c>
      <c r="P11438" s="5">
        <v>15</v>
      </c>
      <c r="Q11438" s="5">
        <v>317</v>
      </c>
      <c r="R11438" s="5">
        <v>14</v>
      </c>
      <c r="S11438" s="5">
        <v>313</v>
      </c>
    </row>
    <row r="11439" spans="1:19" ht="42" x14ac:dyDescent="0.15">
      <c r="A11439" s="2">
        <f>HYPERLINK("https://open-school.uspishnemisto.com.ua/school/590067/", 590067)</f>
        <v>590067</v>
      </c>
      <c r="B11439" s="3" t="s">
        <v>57949</v>
      </c>
      <c r="C11439" s="3" t="s">
        <v>31</v>
      </c>
      <c r="D11439" s="3" t="s">
        <v>32</v>
      </c>
      <c r="E11439" s="4" t="s">
        <v>22</v>
      </c>
      <c r="F11439" s="4" t="s">
        <v>57939</v>
      </c>
      <c r="G11439" s="4" t="s">
        <v>57929</v>
      </c>
      <c r="H11439" s="3" t="s">
        <v>57649</v>
      </c>
      <c r="I11439" s="3" t="s">
        <v>57930</v>
      </c>
      <c r="J11439" s="3" t="s">
        <v>38840</v>
      </c>
      <c r="K11439" s="3" t="s">
        <v>57950</v>
      </c>
      <c r="L11439" s="3"/>
      <c r="M11439" s="4"/>
      <c r="N11439" s="3" t="s">
        <v>37</v>
      </c>
      <c r="O11439" s="3" t="s">
        <v>52</v>
      </c>
      <c r="P11439" s="5">
        <v>25</v>
      </c>
      <c r="Q11439" s="5">
        <v>658</v>
      </c>
      <c r="R11439" s="5">
        <v>25</v>
      </c>
      <c r="S11439" s="5">
        <v>668</v>
      </c>
    </row>
    <row r="11440" spans="1:19" ht="28" x14ac:dyDescent="0.15">
      <c r="A11440" s="2">
        <f>HYPERLINK("https://open-school.uspishnemisto.com.ua/school/590068/", 590068)</f>
        <v>590068</v>
      </c>
      <c r="B11440" s="3" t="s">
        <v>57951</v>
      </c>
      <c r="C11440" s="3" t="s">
        <v>31</v>
      </c>
      <c r="D11440" s="3" t="s">
        <v>32</v>
      </c>
      <c r="E11440" s="4" t="s">
        <v>22</v>
      </c>
      <c r="F11440" s="4" t="s">
        <v>57952</v>
      </c>
      <c r="G11440" s="4" t="s">
        <v>57929</v>
      </c>
      <c r="H11440" s="3" t="s">
        <v>57649</v>
      </c>
      <c r="I11440" s="3" t="s">
        <v>57930</v>
      </c>
      <c r="J11440" s="3" t="s">
        <v>57953</v>
      </c>
      <c r="K11440" s="3" t="s">
        <v>57954</v>
      </c>
      <c r="L11440" s="3"/>
      <c r="M11440" s="4"/>
      <c r="N11440" s="3" t="s">
        <v>37</v>
      </c>
      <c r="O11440" s="3" t="s">
        <v>52</v>
      </c>
      <c r="P11440" s="5">
        <v>17</v>
      </c>
      <c r="Q11440" s="5">
        <v>411</v>
      </c>
      <c r="R11440" s="5">
        <v>16</v>
      </c>
      <c r="S11440" s="5">
        <v>402</v>
      </c>
    </row>
    <row r="11441" spans="1:19" ht="28" x14ac:dyDescent="0.15">
      <c r="A11441" s="2">
        <f>HYPERLINK("https://open-school.uspishnemisto.com.ua/school/590069/", 590069)</f>
        <v>590069</v>
      </c>
      <c r="B11441" s="3" t="s">
        <v>57955</v>
      </c>
      <c r="C11441" s="3" t="s">
        <v>31</v>
      </c>
      <c r="D11441" s="3" t="s">
        <v>32</v>
      </c>
      <c r="E11441" s="4" t="s">
        <v>22</v>
      </c>
      <c r="F11441" s="4" t="s">
        <v>57928</v>
      </c>
      <c r="G11441" s="4" t="s">
        <v>57929</v>
      </c>
      <c r="H11441" s="3" t="s">
        <v>57649</v>
      </c>
      <c r="I11441" s="3" t="s">
        <v>57930</v>
      </c>
      <c r="J11441" s="3" t="s">
        <v>57956</v>
      </c>
      <c r="K11441" s="3" t="s">
        <v>57957</v>
      </c>
      <c r="L11441" s="3"/>
      <c r="M11441" s="4"/>
      <c r="N11441" s="3" t="s">
        <v>37</v>
      </c>
      <c r="O11441" s="3" t="s">
        <v>52</v>
      </c>
      <c r="P11441" s="5">
        <v>20</v>
      </c>
      <c r="Q11441" s="5">
        <v>468</v>
      </c>
      <c r="R11441" s="5">
        <v>20</v>
      </c>
      <c r="S11441" s="5">
        <v>465</v>
      </c>
    </row>
    <row r="11442" spans="1:19" ht="42" x14ac:dyDescent="0.15">
      <c r="A11442" s="2">
        <f>HYPERLINK("https://open-school.uspishnemisto.com.ua/school/590070/", 590070)</f>
        <v>590070</v>
      </c>
      <c r="B11442" s="3" t="s">
        <v>57958</v>
      </c>
      <c r="C11442" s="3" t="s">
        <v>31</v>
      </c>
      <c r="D11442" s="3" t="s">
        <v>32</v>
      </c>
      <c r="E11442" s="4" t="s">
        <v>22</v>
      </c>
      <c r="F11442" s="4" t="s">
        <v>57928</v>
      </c>
      <c r="G11442" s="4" t="s">
        <v>57929</v>
      </c>
      <c r="H11442" s="3" t="s">
        <v>57649</v>
      </c>
      <c r="I11442" s="3" t="s">
        <v>57930</v>
      </c>
      <c r="J11442" s="3" t="s">
        <v>57959</v>
      </c>
      <c r="K11442" s="3" t="s">
        <v>57960</v>
      </c>
      <c r="L11442" s="3"/>
      <c r="M11442" s="4"/>
      <c r="N11442" s="3" t="s">
        <v>37</v>
      </c>
      <c r="O11442" s="3" t="s">
        <v>52</v>
      </c>
      <c r="P11442" s="5">
        <v>19</v>
      </c>
      <c r="Q11442" s="5">
        <v>471</v>
      </c>
      <c r="R11442" s="5">
        <v>19</v>
      </c>
      <c r="S11442" s="5">
        <v>477</v>
      </c>
    </row>
    <row r="11443" spans="1:19" ht="28" x14ac:dyDescent="0.15">
      <c r="A11443" s="2">
        <f>HYPERLINK("https://open-school.uspishnemisto.com.ua/school/590071/", 590071)</f>
        <v>590071</v>
      </c>
      <c r="B11443" s="3" t="s">
        <v>57961</v>
      </c>
      <c r="C11443" s="3" t="s">
        <v>244</v>
      </c>
      <c r="D11443" s="3" t="s">
        <v>32</v>
      </c>
      <c r="E11443" s="4" t="s">
        <v>22</v>
      </c>
      <c r="F11443" s="4" t="s">
        <v>57952</v>
      </c>
      <c r="G11443" s="4" t="s">
        <v>57929</v>
      </c>
      <c r="H11443" s="3" t="s">
        <v>57649</v>
      </c>
      <c r="I11443" s="3" t="s">
        <v>57930</v>
      </c>
      <c r="J11443" s="3" t="s">
        <v>57962</v>
      </c>
      <c r="K11443" s="3" t="s">
        <v>57963</v>
      </c>
      <c r="L11443" s="3"/>
      <c r="M11443" s="4"/>
      <c r="N11443" s="3" t="s">
        <v>37</v>
      </c>
      <c r="O11443" s="3" t="s">
        <v>46</v>
      </c>
      <c r="P11443" s="5">
        <v>30</v>
      </c>
      <c r="Q11443" s="5">
        <v>778</v>
      </c>
      <c r="R11443" s="5">
        <v>29</v>
      </c>
      <c r="S11443" s="5">
        <v>746</v>
      </c>
    </row>
    <row r="11444" spans="1:19" ht="28" x14ac:dyDescent="0.15">
      <c r="A11444" s="2">
        <f>HYPERLINK("https://open-school.uspishnemisto.com.ua/school/590072/", 590072)</f>
        <v>590072</v>
      </c>
      <c r="B11444" s="3" t="s">
        <v>57964</v>
      </c>
      <c r="C11444" s="3" t="s">
        <v>244</v>
      </c>
      <c r="D11444" s="3" t="s">
        <v>32</v>
      </c>
      <c r="E11444" s="4" t="s">
        <v>22</v>
      </c>
      <c r="F11444" s="4" t="s">
        <v>57928</v>
      </c>
      <c r="G11444" s="4" t="s">
        <v>57929</v>
      </c>
      <c r="H11444" s="3" t="s">
        <v>57649</v>
      </c>
      <c r="I11444" s="3" t="s">
        <v>57930</v>
      </c>
      <c r="J11444" s="3" t="s">
        <v>57965</v>
      </c>
      <c r="K11444" s="3" t="s">
        <v>57966</v>
      </c>
      <c r="L11444" s="3" t="s">
        <v>57967</v>
      </c>
      <c r="M11444" s="4"/>
      <c r="N11444" s="3" t="s">
        <v>37</v>
      </c>
      <c r="O11444" s="3" t="s">
        <v>46</v>
      </c>
      <c r="P11444" s="5">
        <v>28</v>
      </c>
      <c r="Q11444" s="5">
        <v>711</v>
      </c>
      <c r="R11444" s="5">
        <v>27</v>
      </c>
      <c r="S11444" s="5">
        <v>700</v>
      </c>
    </row>
    <row r="11445" spans="1:19" ht="28" x14ac:dyDescent="0.15">
      <c r="A11445" s="2">
        <f>HYPERLINK("https://open-school.uspishnemisto.com.ua/school/590073/", 590073)</f>
        <v>590073</v>
      </c>
      <c r="B11445" s="3" t="s">
        <v>57968</v>
      </c>
      <c r="C11445" s="3" t="s">
        <v>244</v>
      </c>
      <c r="D11445" s="3" t="s">
        <v>32</v>
      </c>
      <c r="E11445" s="4" t="s">
        <v>22</v>
      </c>
      <c r="F11445" s="4" t="s">
        <v>57969</v>
      </c>
      <c r="G11445" s="4" t="s">
        <v>57929</v>
      </c>
      <c r="H11445" s="3" t="s">
        <v>57649</v>
      </c>
      <c r="I11445" s="3" t="s">
        <v>57930</v>
      </c>
      <c r="J11445" s="3" t="s">
        <v>57970</v>
      </c>
      <c r="K11445" s="3" t="s">
        <v>57971</v>
      </c>
      <c r="L11445" s="3"/>
      <c r="M11445" s="4"/>
      <c r="N11445" s="3" t="s">
        <v>37</v>
      </c>
      <c r="O11445" s="3" t="s">
        <v>46</v>
      </c>
      <c r="P11445" s="5">
        <v>25</v>
      </c>
      <c r="Q11445" s="5">
        <v>617</v>
      </c>
      <c r="R11445" s="5">
        <v>24</v>
      </c>
      <c r="S11445" s="5">
        <v>631</v>
      </c>
    </row>
    <row r="11446" spans="1:19" ht="28" x14ac:dyDescent="0.15">
      <c r="A11446" s="2">
        <f>HYPERLINK("https://open-school.uspishnemisto.com.ua/school/590074/", 590074)</f>
        <v>590074</v>
      </c>
      <c r="B11446" s="3" t="s">
        <v>57972</v>
      </c>
      <c r="C11446" s="3" t="s">
        <v>244</v>
      </c>
      <c r="D11446" s="3" t="s">
        <v>21</v>
      </c>
      <c r="E11446" s="4" t="s">
        <v>22</v>
      </c>
      <c r="F11446" s="4" t="s">
        <v>57928</v>
      </c>
      <c r="G11446" s="4" t="s">
        <v>57929</v>
      </c>
      <c r="H11446" s="3" t="s">
        <v>57649</v>
      </c>
      <c r="I11446" s="3" t="s">
        <v>57930</v>
      </c>
      <c r="J11446" s="3" t="s">
        <v>57973</v>
      </c>
      <c r="K11446" s="3" t="s">
        <v>57974</v>
      </c>
      <c r="L11446" s="3"/>
      <c r="M11446" s="4"/>
      <c r="N11446" s="3" t="s">
        <v>37</v>
      </c>
      <c r="O11446" s="3" t="s">
        <v>123</v>
      </c>
      <c r="P11446" s="5">
        <v>13</v>
      </c>
      <c r="Q11446" s="5">
        <v>288</v>
      </c>
      <c r="R11446" s="5">
        <v>12</v>
      </c>
      <c r="S11446" s="5">
        <v>253</v>
      </c>
    </row>
    <row r="11447" spans="1:19" ht="42" x14ac:dyDescent="0.15">
      <c r="A11447" s="2">
        <f>HYPERLINK("https://open-school.uspishnemisto.com.ua/school/590075/", 590075)</f>
        <v>590075</v>
      </c>
      <c r="B11447" s="3" t="s">
        <v>57975</v>
      </c>
      <c r="C11447" s="3" t="s">
        <v>54</v>
      </c>
      <c r="D11447" s="3" t="s">
        <v>60</v>
      </c>
      <c r="E11447" s="4" t="s">
        <v>22</v>
      </c>
      <c r="F11447" s="4" t="s">
        <v>57928</v>
      </c>
      <c r="G11447" s="4" t="s">
        <v>57929</v>
      </c>
      <c r="H11447" s="3" t="s">
        <v>57649</v>
      </c>
      <c r="I11447" s="3" t="s">
        <v>57930</v>
      </c>
      <c r="J11447" s="3" t="s">
        <v>57976</v>
      </c>
      <c r="K11447" s="3"/>
      <c r="L11447" s="3"/>
      <c r="M11447" s="4"/>
      <c r="N11447" s="3" t="s">
        <v>37</v>
      </c>
      <c r="O11447" s="3" t="s">
        <v>52</v>
      </c>
      <c r="P11447" s="5">
        <v>9</v>
      </c>
      <c r="Q11447" s="5">
        <v>221</v>
      </c>
      <c r="R11447" s="5">
        <v>9</v>
      </c>
      <c r="S11447" s="5">
        <v>231</v>
      </c>
    </row>
    <row r="11448" spans="1:19" ht="42" x14ac:dyDescent="0.15">
      <c r="A11448" s="2">
        <f>HYPERLINK("https://open-school.uspishnemisto.com.ua/school/590076/", 590076)</f>
        <v>590076</v>
      </c>
      <c r="B11448" s="3" t="s">
        <v>57977</v>
      </c>
      <c r="C11448" s="3" t="s">
        <v>54</v>
      </c>
      <c r="D11448" s="3" t="s">
        <v>60</v>
      </c>
      <c r="E11448" s="4" t="s">
        <v>22</v>
      </c>
      <c r="F11448" s="4" t="s">
        <v>57928</v>
      </c>
      <c r="G11448" s="4" t="s">
        <v>57929</v>
      </c>
      <c r="H11448" s="3" t="s">
        <v>57649</v>
      </c>
      <c r="I11448" s="3" t="s">
        <v>57930</v>
      </c>
      <c r="J11448" s="3" t="s">
        <v>57978</v>
      </c>
      <c r="K11448" s="3" t="s">
        <v>57979</v>
      </c>
      <c r="L11448" s="3" t="s">
        <v>57980</v>
      </c>
      <c r="M11448" s="4"/>
      <c r="N11448" s="3" t="s">
        <v>37</v>
      </c>
      <c r="O11448" s="3" t="s">
        <v>52</v>
      </c>
      <c r="P11448" s="5">
        <v>13</v>
      </c>
      <c r="Q11448" s="5">
        <v>393</v>
      </c>
      <c r="R11448" s="5">
        <v>13</v>
      </c>
      <c r="S11448" s="5">
        <v>383</v>
      </c>
    </row>
    <row r="11449" spans="1:19" ht="28" x14ac:dyDescent="0.15">
      <c r="A11449" s="2">
        <f>HYPERLINK("https://open-school.uspishnemisto.com.ua/school/590077/", 590077)</f>
        <v>590077</v>
      </c>
      <c r="B11449" s="3" t="s">
        <v>57981</v>
      </c>
      <c r="C11449" s="3" t="s">
        <v>31</v>
      </c>
      <c r="D11449" s="3" t="s">
        <v>32</v>
      </c>
      <c r="E11449" s="4" t="s">
        <v>22</v>
      </c>
      <c r="F11449" s="4" t="s">
        <v>57982</v>
      </c>
      <c r="G11449" s="4" t="s">
        <v>57983</v>
      </c>
      <c r="H11449" s="3" t="s">
        <v>57649</v>
      </c>
      <c r="I11449" s="3" t="s">
        <v>57984</v>
      </c>
      <c r="J11449" s="3" t="s">
        <v>57985</v>
      </c>
      <c r="K11449" s="3" t="s">
        <v>57986</v>
      </c>
      <c r="L11449" s="3"/>
      <c r="M11449" s="4"/>
      <c r="N11449" s="3" t="s">
        <v>37</v>
      </c>
      <c r="O11449" s="3" t="s">
        <v>52</v>
      </c>
      <c r="P11449" s="5">
        <v>11</v>
      </c>
      <c r="Q11449" s="5">
        <v>184</v>
      </c>
      <c r="R11449" s="5">
        <v>11</v>
      </c>
      <c r="S11449" s="5">
        <v>184</v>
      </c>
    </row>
    <row r="11450" spans="1:19" ht="28" x14ac:dyDescent="0.15">
      <c r="A11450" s="2">
        <f>HYPERLINK("https://open-school.uspishnemisto.com.ua/school/590078/", 590078)</f>
        <v>590078</v>
      </c>
      <c r="B11450" s="3" t="s">
        <v>57987</v>
      </c>
      <c r="C11450" s="3" t="s">
        <v>181</v>
      </c>
      <c r="D11450" s="3" t="s">
        <v>32</v>
      </c>
      <c r="E11450" s="4" t="s">
        <v>22</v>
      </c>
      <c r="F11450" s="4" t="s">
        <v>57988</v>
      </c>
      <c r="G11450" s="4" t="s">
        <v>57989</v>
      </c>
      <c r="H11450" s="3" t="s">
        <v>57649</v>
      </c>
      <c r="I11450" s="3" t="s">
        <v>57990</v>
      </c>
      <c r="J11450" s="3" t="s">
        <v>57991</v>
      </c>
      <c r="K11450" s="3" t="s">
        <v>57992</v>
      </c>
      <c r="L11450" s="3"/>
      <c r="M11450" s="4" t="s">
        <v>57993</v>
      </c>
      <c r="N11450" s="3" t="s">
        <v>37</v>
      </c>
      <c r="O11450" s="3"/>
      <c r="P11450" s="5">
        <v>11</v>
      </c>
      <c r="Q11450" s="5">
        <v>50</v>
      </c>
      <c r="R11450" s="5">
        <v>11</v>
      </c>
      <c r="S11450" s="5">
        <v>47</v>
      </c>
    </row>
    <row r="11451" spans="1:19" ht="28" x14ac:dyDescent="0.15">
      <c r="A11451" s="2">
        <f>HYPERLINK("https://open-school.uspishnemisto.com.ua/school/590079/", 590079)</f>
        <v>590079</v>
      </c>
      <c r="B11451" s="3" t="s">
        <v>57994</v>
      </c>
      <c r="C11451" s="3" t="s">
        <v>20</v>
      </c>
      <c r="D11451" s="3" t="s">
        <v>21</v>
      </c>
      <c r="E11451" s="4" t="s">
        <v>22</v>
      </c>
      <c r="F11451" s="4" t="s">
        <v>57988</v>
      </c>
      <c r="G11451" s="4" t="s">
        <v>57989</v>
      </c>
      <c r="H11451" s="3" t="s">
        <v>57649</v>
      </c>
      <c r="I11451" s="3" t="s">
        <v>57990</v>
      </c>
      <c r="J11451" s="3" t="s">
        <v>57995</v>
      </c>
      <c r="K11451" s="3"/>
      <c r="L11451" s="3"/>
      <c r="M11451" s="4"/>
      <c r="N11451" s="3"/>
      <c r="O11451" s="3"/>
      <c r="P11451" s="5">
        <v>0</v>
      </c>
      <c r="Q11451" s="5">
        <v>0</v>
      </c>
      <c r="R11451" s="5"/>
      <c r="S11451" s="5"/>
    </row>
    <row r="11452" spans="1:19" ht="28" x14ac:dyDescent="0.15">
      <c r="A11452" s="2">
        <f>HYPERLINK("https://open-school.uspishnemisto.com.ua/school/590080/", 590080)</f>
        <v>590080</v>
      </c>
      <c r="B11452" s="3" t="s">
        <v>57996</v>
      </c>
      <c r="C11452" s="3" t="s">
        <v>31</v>
      </c>
      <c r="D11452" s="3" t="s">
        <v>175</v>
      </c>
      <c r="E11452" s="4" t="s">
        <v>22</v>
      </c>
      <c r="F11452" s="4" t="s">
        <v>57988</v>
      </c>
      <c r="G11452" s="4" t="s">
        <v>57989</v>
      </c>
      <c r="H11452" s="3" t="s">
        <v>57649</v>
      </c>
      <c r="I11452" s="3" t="s">
        <v>57990</v>
      </c>
      <c r="J11452" s="3" t="s">
        <v>57995</v>
      </c>
      <c r="K11452" s="3" t="s">
        <v>57997</v>
      </c>
      <c r="L11452" s="3" t="s">
        <v>57998</v>
      </c>
      <c r="M11452" s="4"/>
      <c r="N11452" s="3" t="s">
        <v>37</v>
      </c>
      <c r="O11452" s="3" t="s">
        <v>38</v>
      </c>
      <c r="P11452" s="5">
        <v>9</v>
      </c>
      <c r="Q11452" s="5">
        <v>179</v>
      </c>
      <c r="R11452" s="5">
        <v>9</v>
      </c>
      <c r="S11452" s="5">
        <v>185</v>
      </c>
    </row>
    <row r="11453" spans="1:19" ht="28" x14ac:dyDescent="0.15">
      <c r="A11453" s="2">
        <f>HYPERLINK("https://open-school.uspishnemisto.com.ua/school/590081/", 590081)</f>
        <v>590081</v>
      </c>
      <c r="B11453" s="3" t="s">
        <v>57999</v>
      </c>
      <c r="C11453" s="3" t="s">
        <v>31</v>
      </c>
      <c r="D11453" s="3" t="s">
        <v>32</v>
      </c>
      <c r="E11453" s="4" t="s">
        <v>22</v>
      </c>
      <c r="F11453" s="4" t="s">
        <v>57988</v>
      </c>
      <c r="G11453" s="4" t="s">
        <v>57989</v>
      </c>
      <c r="H11453" s="3" t="s">
        <v>57649</v>
      </c>
      <c r="I11453" s="3" t="s">
        <v>57990</v>
      </c>
      <c r="J11453" s="3" t="s">
        <v>58000</v>
      </c>
      <c r="K11453" s="3" t="s">
        <v>58001</v>
      </c>
      <c r="L11453" s="3"/>
      <c r="M11453" s="4"/>
      <c r="N11453" s="3" t="s">
        <v>37</v>
      </c>
      <c r="O11453" s="3" t="s">
        <v>38</v>
      </c>
      <c r="P11453" s="5">
        <v>15</v>
      </c>
      <c r="Q11453" s="5">
        <v>373</v>
      </c>
      <c r="R11453" s="5">
        <v>16</v>
      </c>
      <c r="S11453" s="5">
        <v>399</v>
      </c>
    </row>
    <row r="11454" spans="1:19" ht="28" x14ac:dyDescent="0.15">
      <c r="A11454" s="2">
        <f>HYPERLINK("https://open-school.uspishnemisto.com.ua/school/590082/", 590082)</f>
        <v>590082</v>
      </c>
      <c r="B11454" s="3" t="s">
        <v>58002</v>
      </c>
      <c r="C11454" s="3" t="s">
        <v>31</v>
      </c>
      <c r="D11454" s="3" t="s">
        <v>32</v>
      </c>
      <c r="E11454" s="4" t="s">
        <v>22</v>
      </c>
      <c r="F11454" s="4" t="s">
        <v>57988</v>
      </c>
      <c r="G11454" s="4" t="s">
        <v>57989</v>
      </c>
      <c r="H11454" s="3" t="s">
        <v>57649</v>
      </c>
      <c r="I11454" s="3" t="s">
        <v>57990</v>
      </c>
      <c r="J11454" s="3" t="s">
        <v>58003</v>
      </c>
      <c r="K11454" s="3" t="s">
        <v>58004</v>
      </c>
      <c r="L11454" s="3"/>
      <c r="M11454" s="4"/>
      <c r="N11454" s="3" t="s">
        <v>37</v>
      </c>
      <c r="O11454" s="3" t="s">
        <v>52</v>
      </c>
      <c r="P11454" s="5">
        <v>11</v>
      </c>
      <c r="Q11454" s="5">
        <v>291</v>
      </c>
      <c r="R11454" s="5">
        <v>11</v>
      </c>
      <c r="S11454" s="5">
        <v>294</v>
      </c>
    </row>
    <row r="11455" spans="1:19" ht="28" x14ac:dyDescent="0.15">
      <c r="A11455" s="2">
        <f>HYPERLINK("https://open-school.uspishnemisto.com.ua/school/590083/", 590083)</f>
        <v>590083</v>
      </c>
      <c r="B11455" s="3" t="s">
        <v>58005</v>
      </c>
      <c r="C11455" s="3" t="s">
        <v>31</v>
      </c>
      <c r="D11455" s="3" t="s">
        <v>32</v>
      </c>
      <c r="E11455" s="4" t="s">
        <v>22</v>
      </c>
      <c r="F11455" s="4" t="s">
        <v>57988</v>
      </c>
      <c r="G11455" s="4" t="s">
        <v>57989</v>
      </c>
      <c r="H11455" s="3" t="s">
        <v>57649</v>
      </c>
      <c r="I11455" s="3" t="s">
        <v>57990</v>
      </c>
      <c r="J11455" s="3" t="s">
        <v>58006</v>
      </c>
      <c r="K11455" s="3" t="s">
        <v>58007</v>
      </c>
      <c r="L11455" s="3" t="s">
        <v>58008</v>
      </c>
      <c r="M11455" s="4"/>
      <c r="N11455" s="3" t="s">
        <v>37</v>
      </c>
      <c r="O11455" s="3" t="s">
        <v>38</v>
      </c>
      <c r="P11455" s="5">
        <v>24</v>
      </c>
      <c r="Q11455" s="5">
        <v>701</v>
      </c>
      <c r="R11455" s="5">
        <v>24</v>
      </c>
      <c r="S11455" s="5">
        <v>694</v>
      </c>
    </row>
    <row r="11456" spans="1:19" ht="28" x14ac:dyDescent="0.15">
      <c r="A11456" s="2">
        <f>HYPERLINK("https://open-school.uspishnemisto.com.ua/school/590084/", 590084)</f>
        <v>590084</v>
      </c>
      <c r="B11456" s="3" t="s">
        <v>58009</v>
      </c>
      <c r="C11456" s="3" t="s">
        <v>31</v>
      </c>
      <c r="D11456" s="3" t="s">
        <v>32</v>
      </c>
      <c r="E11456" s="4" t="s">
        <v>22</v>
      </c>
      <c r="F11456" s="4" t="s">
        <v>57988</v>
      </c>
      <c r="G11456" s="4" t="s">
        <v>57989</v>
      </c>
      <c r="H11456" s="3" t="s">
        <v>57649</v>
      </c>
      <c r="I11456" s="3" t="s">
        <v>57990</v>
      </c>
      <c r="J11456" s="3" t="s">
        <v>58010</v>
      </c>
      <c r="K11456" s="3" t="s">
        <v>58011</v>
      </c>
      <c r="L11456" s="3" t="s">
        <v>58012</v>
      </c>
      <c r="M11456" s="4"/>
      <c r="N11456" s="3" t="s">
        <v>37</v>
      </c>
      <c r="O11456" s="3" t="s">
        <v>38</v>
      </c>
      <c r="P11456" s="5">
        <v>10</v>
      </c>
      <c r="Q11456" s="5">
        <v>305</v>
      </c>
      <c r="R11456" s="5">
        <v>10</v>
      </c>
      <c r="S11456" s="5">
        <v>282</v>
      </c>
    </row>
    <row r="11457" spans="1:19" ht="28" x14ac:dyDescent="0.15">
      <c r="A11457" s="2">
        <f>HYPERLINK("https://open-school.uspishnemisto.com.ua/school/590085/", 590085)</f>
        <v>590085</v>
      </c>
      <c r="B11457" s="3" t="s">
        <v>58013</v>
      </c>
      <c r="C11457" s="3" t="s">
        <v>244</v>
      </c>
      <c r="D11457" s="3" t="s">
        <v>32</v>
      </c>
      <c r="E11457" s="4" t="s">
        <v>22</v>
      </c>
      <c r="F11457" s="4" t="s">
        <v>57988</v>
      </c>
      <c r="G11457" s="4" t="s">
        <v>57989</v>
      </c>
      <c r="H11457" s="3" t="s">
        <v>57649</v>
      </c>
      <c r="I11457" s="3" t="s">
        <v>57990</v>
      </c>
      <c r="J11457" s="3" t="s">
        <v>58014</v>
      </c>
      <c r="K11457" s="3" t="s">
        <v>58015</v>
      </c>
      <c r="L11457" s="3"/>
      <c r="M11457" s="4"/>
      <c r="N11457" s="3" t="s">
        <v>37</v>
      </c>
      <c r="O11457" s="3" t="s">
        <v>70</v>
      </c>
      <c r="P11457" s="5">
        <v>21</v>
      </c>
      <c r="Q11457" s="5">
        <v>642</v>
      </c>
      <c r="R11457" s="5">
        <v>21</v>
      </c>
      <c r="S11457" s="5">
        <v>626</v>
      </c>
    </row>
    <row r="11458" spans="1:19" ht="28" x14ac:dyDescent="0.15">
      <c r="A11458" s="2">
        <f>HYPERLINK("https://open-school.uspishnemisto.com.ua/school/590086/", 590086)</f>
        <v>590086</v>
      </c>
      <c r="B11458" s="3" t="s">
        <v>58016</v>
      </c>
      <c r="C11458" s="3" t="s">
        <v>31</v>
      </c>
      <c r="D11458" s="3" t="s">
        <v>32</v>
      </c>
      <c r="E11458" s="4" t="s">
        <v>22</v>
      </c>
      <c r="F11458" s="4" t="s">
        <v>58017</v>
      </c>
      <c r="G11458" s="4" t="s">
        <v>58018</v>
      </c>
      <c r="H11458" s="3" t="s">
        <v>57649</v>
      </c>
      <c r="I11458" s="3" t="s">
        <v>58019</v>
      </c>
      <c r="J11458" s="3" t="s">
        <v>58020</v>
      </c>
      <c r="K11458" s="3" t="s">
        <v>58021</v>
      </c>
      <c r="L11458" s="3"/>
      <c r="M11458" s="4"/>
      <c r="N11458" s="3" t="s">
        <v>37</v>
      </c>
      <c r="O11458" s="3" t="s">
        <v>38</v>
      </c>
      <c r="P11458" s="5">
        <v>18</v>
      </c>
      <c r="Q11458" s="5">
        <v>315</v>
      </c>
      <c r="R11458" s="5">
        <v>17</v>
      </c>
      <c r="S11458" s="5">
        <v>320</v>
      </c>
    </row>
    <row r="11459" spans="1:19" ht="28" x14ac:dyDescent="0.15">
      <c r="A11459" s="2">
        <f>HYPERLINK("https://open-school.uspishnemisto.com.ua/school/590087/", 590087)</f>
        <v>590087</v>
      </c>
      <c r="B11459" s="3" t="s">
        <v>58022</v>
      </c>
      <c r="C11459" s="3" t="s">
        <v>31</v>
      </c>
      <c r="D11459" s="3" t="s">
        <v>175</v>
      </c>
      <c r="E11459" s="4" t="s">
        <v>22</v>
      </c>
      <c r="F11459" s="4" t="s">
        <v>58023</v>
      </c>
      <c r="G11459" s="4" t="s">
        <v>58018</v>
      </c>
      <c r="H11459" s="3" t="s">
        <v>57649</v>
      </c>
      <c r="I11459" s="3" t="s">
        <v>58019</v>
      </c>
      <c r="J11459" s="3" t="s">
        <v>58024</v>
      </c>
      <c r="K11459" s="3"/>
      <c r="L11459" s="3"/>
      <c r="M11459" s="4"/>
      <c r="N11459" s="3" t="s">
        <v>37</v>
      </c>
      <c r="O11459" s="3" t="s">
        <v>38</v>
      </c>
      <c r="P11459" s="5">
        <v>9</v>
      </c>
      <c r="Q11459" s="5">
        <v>148</v>
      </c>
      <c r="R11459" s="5">
        <v>9</v>
      </c>
      <c r="S11459" s="5">
        <v>155</v>
      </c>
    </row>
    <row r="11460" spans="1:19" ht="28" x14ac:dyDescent="0.15">
      <c r="A11460" s="2">
        <f>HYPERLINK("https://open-school.uspishnemisto.com.ua/school/590088/", 590088)</f>
        <v>590088</v>
      </c>
      <c r="B11460" s="3" t="s">
        <v>58025</v>
      </c>
      <c r="C11460" s="3" t="s">
        <v>31</v>
      </c>
      <c r="D11460" s="3" t="s">
        <v>175</v>
      </c>
      <c r="E11460" s="4" t="s">
        <v>22</v>
      </c>
      <c r="F11460" s="4" t="s">
        <v>58026</v>
      </c>
      <c r="G11460" s="4" t="s">
        <v>58018</v>
      </c>
      <c r="H11460" s="3" t="s">
        <v>57649</v>
      </c>
      <c r="I11460" s="3" t="s">
        <v>58019</v>
      </c>
      <c r="J11460" s="3" t="s">
        <v>58027</v>
      </c>
      <c r="K11460" s="3" t="s">
        <v>58028</v>
      </c>
      <c r="L11460" s="3"/>
      <c r="M11460" s="4"/>
      <c r="N11460" s="3" t="s">
        <v>37</v>
      </c>
      <c r="O11460" s="3" t="s">
        <v>38</v>
      </c>
      <c r="P11460" s="5">
        <v>9</v>
      </c>
      <c r="Q11460" s="5">
        <v>223</v>
      </c>
      <c r="R11460" s="5">
        <v>9</v>
      </c>
      <c r="S11460" s="5">
        <v>213</v>
      </c>
    </row>
    <row r="11461" spans="1:19" ht="28" x14ac:dyDescent="0.15">
      <c r="A11461" s="2">
        <f>HYPERLINK("https://open-school.uspishnemisto.com.ua/school/590089/", 590089)</f>
        <v>590089</v>
      </c>
      <c r="B11461" s="3" t="s">
        <v>58029</v>
      </c>
      <c r="C11461" s="3" t="s">
        <v>31</v>
      </c>
      <c r="D11461" s="3" t="s">
        <v>32</v>
      </c>
      <c r="E11461" s="4" t="s">
        <v>22</v>
      </c>
      <c r="F11461" s="4" t="s">
        <v>58030</v>
      </c>
      <c r="G11461" s="4" t="s">
        <v>58018</v>
      </c>
      <c r="H11461" s="3" t="s">
        <v>57649</v>
      </c>
      <c r="I11461" s="3" t="s">
        <v>58019</v>
      </c>
      <c r="J11461" s="3" t="s">
        <v>58031</v>
      </c>
      <c r="K11461" s="3" t="s">
        <v>58032</v>
      </c>
      <c r="L11461" s="3" t="s">
        <v>58033</v>
      </c>
      <c r="M11461" s="4"/>
      <c r="N11461" s="3" t="s">
        <v>37</v>
      </c>
      <c r="O11461" s="3" t="s">
        <v>38</v>
      </c>
      <c r="P11461" s="5">
        <v>28</v>
      </c>
      <c r="Q11461" s="5">
        <v>699</v>
      </c>
      <c r="R11461" s="5">
        <v>27</v>
      </c>
      <c r="S11461" s="5">
        <v>687</v>
      </c>
    </row>
    <row r="11462" spans="1:19" ht="28" x14ac:dyDescent="0.15">
      <c r="A11462" s="2">
        <f>HYPERLINK("https://open-school.uspishnemisto.com.ua/school/590090/", 590090)</f>
        <v>590090</v>
      </c>
      <c r="B11462" s="3" t="s">
        <v>58034</v>
      </c>
      <c r="C11462" s="3" t="s">
        <v>31</v>
      </c>
      <c r="D11462" s="3" t="s">
        <v>32</v>
      </c>
      <c r="E11462" s="4" t="s">
        <v>22</v>
      </c>
      <c r="F11462" s="4" t="s">
        <v>58035</v>
      </c>
      <c r="G11462" s="4" t="s">
        <v>58018</v>
      </c>
      <c r="H11462" s="3" t="s">
        <v>57649</v>
      </c>
      <c r="I11462" s="3" t="s">
        <v>58019</v>
      </c>
      <c r="J11462" s="3" t="s">
        <v>58036</v>
      </c>
      <c r="K11462" s="3" t="s">
        <v>58037</v>
      </c>
      <c r="L11462" s="3"/>
      <c r="M11462" s="4"/>
      <c r="N11462" s="3" t="s">
        <v>37</v>
      </c>
      <c r="O11462" s="3" t="s">
        <v>38</v>
      </c>
      <c r="P11462" s="5">
        <v>21</v>
      </c>
      <c r="Q11462" s="5">
        <v>451</v>
      </c>
      <c r="R11462" s="5">
        <v>21</v>
      </c>
      <c r="S11462" s="5">
        <v>457</v>
      </c>
    </row>
    <row r="11463" spans="1:19" ht="28" x14ac:dyDescent="0.15">
      <c r="A11463" s="2">
        <f>HYPERLINK("https://open-school.uspishnemisto.com.ua/school/590091/", 590091)</f>
        <v>590091</v>
      </c>
      <c r="B11463" s="3" t="s">
        <v>58038</v>
      </c>
      <c r="C11463" s="3" t="s">
        <v>31</v>
      </c>
      <c r="D11463" s="3" t="s">
        <v>32</v>
      </c>
      <c r="E11463" s="4" t="s">
        <v>22</v>
      </c>
      <c r="F11463" s="4" t="s">
        <v>58039</v>
      </c>
      <c r="G11463" s="4" t="s">
        <v>58018</v>
      </c>
      <c r="H11463" s="3" t="s">
        <v>57649</v>
      </c>
      <c r="I11463" s="3" t="s">
        <v>58019</v>
      </c>
      <c r="J11463" s="3" t="s">
        <v>58040</v>
      </c>
      <c r="K11463" s="3" t="s">
        <v>58041</v>
      </c>
      <c r="L11463" s="3"/>
      <c r="M11463" s="4"/>
      <c r="N11463" s="3" t="s">
        <v>37</v>
      </c>
      <c r="O11463" s="3" t="s">
        <v>38</v>
      </c>
      <c r="P11463" s="5">
        <v>21</v>
      </c>
      <c r="Q11463" s="5">
        <v>559</v>
      </c>
      <c r="R11463" s="5">
        <v>20</v>
      </c>
      <c r="S11463" s="5">
        <v>538</v>
      </c>
    </row>
    <row r="11464" spans="1:19" ht="28" x14ac:dyDescent="0.15">
      <c r="A11464" s="2">
        <f>HYPERLINK("https://open-school.uspishnemisto.com.ua/school/590092/", 590092)</f>
        <v>590092</v>
      </c>
      <c r="B11464" s="3" t="s">
        <v>58042</v>
      </c>
      <c r="C11464" s="3" t="s">
        <v>31</v>
      </c>
      <c r="D11464" s="3" t="s">
        <v>32</v>
      </c>
      <c r="E11464" s="4" t="s">
        <v>22</v>
      </c>
      <c r="F11464" s="4" t="s">
        <v>58026</v>
      </c>
      <c r="G11464" s="4" t="s">
        <v>58018</v>
      </c>
      <c r="H11464" s="3" t="s">
        <v>57649</v>
      </c>
      <c r="I11464" s="3" t="s">
        <v>58019</v>
      </c>
      <c r="J11464" s="3" t="s">
        <v>58043</v>
      </c>
      <c r="K11464" s="3" t="s">
        <v>58044</v>
      </c>
      <c r="L11464" s="3"/>
      <c r="M11464" s="4"/>
      <c r="N11464" s="3" t="s">
        <v>37</v>
      </c>
      <c r="O11464" s="3" t="s">
        <v>46</v>
      </c>
      <c r="P11464" s="5">
        <v>31</v>
      </c>
      <c r="Q11464" s="5">
        <v>730</v>
      </c>
      <c r="R11464" s="5">
        <v>31</v>
      </c>
      <c r="S11464" s="5">
        <v>738</v>
      </c>
    </row>
    <row r="11465" spans="1:19" ht="42" x14ac:dyDescent="0.15">
      <c r="A11465" s="2">
        <f>HYPERLINK("https://open-school.uspishnemisto.com.ua/school/590093/", 590093)</f>
        <v>590093</v>
      </c>
      <c r="B11465" s="3" t="s">
        <v>58045</v>
      </c>
      <c r="C11465" s="3" t="s">
        <v>244</v>
      </c>
      <c r="D11465" s="3" t="s">
        <v>32</v>
      </c>
      <c r="E11465" s="4" t="s">
        <v>22</v>
      </c>
      <c r="F11465" s="4" t="s">
        <v>58030</v>
      </c>
      <c r="G11465" s="4" t="s">
        <v>58018</v>
      </c>
      <c r="H11465" s="3" t="s">
        <v>57649</v>
      </c>
      <c r="I11465" s="3" t="s">
        <v>58019</v>
      </c>
      <c r="J11465" s="3" t="s">
        <v>51681</v>
      </c>
      <c r="K11465" s="3" t="s">
        <v>58046</v>
      </c>
      <c r="L11465" s="3" t="s">
        <v>58047</v>
      </c>
      <c r="M11465" s="4"/>
      <c r="N11465" s="3" t="s">
        <v>37</v>
      </c>
      <c r="O11465" s="3" t="s">
        <v>70</v>
      </c>
      <c r="P11465" s="5">
        <v>22</v>
      </c>
      <c r="Q11465" s="5">
        <v>456</v>
      </c>
      <c r="R11465" s="5">
        <v>22</v>
      </c>
      <c r="S11465" s="5">
        <v>463</v>
      </c>
    </row>
    <row r="11466" spans="1:19" ht="42" x14ac:dyDescent="0.15">
      <c r="A11466" s="2">
        <f>HYPERLINK("https://open-school.uspishnemisto.com.ua/school/590094/", 590094)</f>
        <v>590094</v>
      </c>
      <c r="B11466" s="3" t="s">
        <v>58048</v>
      </c>
      <c r="C11466" s="3" t="s">
        <v>244</v>
      </c>
      <c r="D11466" s="3" t="s">
        <v>32</v>
      </c>
      <c r="E11466" s="4" t="s">
        <v>22</v>
      </c>
      <c r="F11466" s="4" t="s">
        <v>58030</v>
      </c>
      <c r="G11466" s="4" t="s">
        <v>58018</v>
      </c>
      <c r="H11466" s="3" t="s">
        <v>57649</v>
      </c>
      <c r="I11466" s="3" t="s">
        <v>58019</v>
      </c>
      <c r="J11466" s="3" t="s">
        <v>58049</v>
      </c>
      <c r="K11466" s="3" t="s">
        <v>58050</v>
      </c>
      <c r="L11466" s="3" t="s">
        <v>58051</v>
      </c>
      <c r="M11466" s="4"/>
      <c r="N11466" s="3" t="s">
        <v>37</v>
      </c>
      <c r="O11466" s="3" t="s">
        <v>197</v>
      </c>
      <c r="P11466" s="5">
        <v>38</v>
      </c>
      <c r="Q11466" s="5">
        <v>883</v>
      </c>
      <c r="R11466" s="5">
        <v>37</v>
      </c>
      <c r="S11466" s="5">
        <v>831</v>
      </c>
    </row>
    <row r="11467" spans="1:19" ht="56" x14ac:dyDescent="0.15">
      <c r="A11467" s="2">
        <f>HYPERLINK("https://open-school.uspishnemisto.com.ua/school/590095/", 590095)</f>
        <v>590095</v>
      </c>
      <c r="B11467" s="3" t="s">
        <v>58052</v>
      </c>
      <c r="C11467" s="3" t="s">
        <v>7271</v>
      </c>
      <c r="D11467" s="3" t="s">
        <v>32</v>
      </c>
      <c r="E11467" s="4" t="s">
        <v>22</v>
      </c>
      <c r="F11467" s="4" t="s">
        <v>20922</v>
      </c>
      <c r="G11467" s="4" t="s">
        <v>58053</v>
      </c>
      <c r="H11467" s="3" t="s">
        <v>57649</v>
      </c>
      <c r="I11467" s="3" t="s">
        <v>58054</v>
      </c>
      <c r="J11467" s="3" t="s">
        <v>7820</v>
      </c>
      <c r="K11467" s="3" t="s">
        <v>58055</v>
      </c>
      <c r="L11467" s="3"/>
      <c r="M11467" s="4"/>
      <c r="N11467" s="3"/>
      <c r="O11467" s="3"/>
      <c r="P11467" s="5">
        <v>0</v>
      </c>
      <c r="Q11467" s="5">
        <v>0</v>
      </c>
      <c r="R11467" s="5">
        <v>0</v>
      </c>
      <c r="S11467" s="5">
        <v>0</v>
      </c>
    </row>
    <row r="11468" spans="1:19" ht="42" x14ac:dyDescent="0.15">
      <c r="A11468" s="2">
        <f>HYPERLINK("https://open-school.uspishnemisto.com.ua/school/590096/", 590096)</f>
        <v>590096</v>
      </c>
      <c r="B11468" s="3" t="s">
        <v>58056</v>
      </c>
      <c r="C11468" s="3" t="s">
        <v>31</v>
      </c>
      <c r="D11468" s="3" t="s">
        <v>32</v>
      </c>
      <c r="E11468" s="4" t="s">
        <v>22</v>
      </c>
      <c r="F11468" s="4" t="s">
        <v>58057</v>
      </c>
      <c r="G11468" s="4" t="s">
        <v>58053</v>
      </c>
      <c r="H11468" s="3" t="s">
        <v>57649</v>
      </c>
      <c r="I11468" s="3" t="s">
        <v>58054</v>
      </c>
      <c r="J11468" s="3" t="s">
        <v>58058</v>
      </c>
      <c r="K11468" s="3" t="s">
        <v>58059</v>
      </c>
      <c r="L11468" s="3" t="s">
        <v>58060</v>
      </c>
      <c r="M11468" s="4"/>
      <c r="N11468" s="3" t="s">
        <v>37</v>
      </c>
      <c r="O11468" s="3" t="s">
        <v>38</v>
      </c>
      <c r="P11468" s="5">
        <v>19</v>
      </c>
      <c r="Q11468" s="5">
        <v>454</v>
      </c>
      <c r="R11468" s="5">
        <v>19</v>
      </c>
      <c r="S11468" s="5">
        <v>437</v>
      </c>
    </row>
    <row r="11469" spans="1:19" ht="42" x14ac:dyDescent="0.15">
      <c r="A11469" s="2">
        <f>HYPERLINK("https://open-school.uspishnemisto.com.ua/school/590097/", 590097)</f>
        <v>590097</v>
      </c>
      <c r="B11469" s="3" t="s">
        <v>58061</v>
      </c>
      <c r="C11469" s="3" t="s">
        <v>20</v>
      </c>
      <c r="D11469" s="3" t="s">
        <v>21</v>
      </c>
      <c r="E11469" s="4" t="s">
        <v>22</v>
      </c>
      <c r="F11469" s="4" t="s">
        <v>58062</v>
      </c>
      <c r="G11469" s="4" t="s">
        <v>58053</v>
      </c>
      <c r="H11469" s="3" t="s">
        <v>57649</v>
      </c>
      <c r="I11469" s="3" t="s">
        <v>58054</v>
      </c>
      <c r="J11469" s="3" t="s">
        <v>54574</v>
      </c>
      <c r="K11469" s="3" t="s">
        <v>58063</v>
      </c>
      <c r="L11469" s="3" t="s">
        <v>58064</v>
      </c>
      <c r="M11469" s="4"/>
      <c r="N11469" s="3"/>
      <c r="O11469" s="3"/>
      <c r="P11469" s="5">
        <v>0</v>
      </c>
      <c r="Q11469" s="5">
        <v>0</v>
      </c>
      <c r="R11469" s="5"/>
      <c r="S11469" s="5"/>
    </row>
    <row r="11470" spans="1:19" ht="42" x14ac:dyDescent="0.15">
      <c r="A11470" s="2">
        <f>HYPERLINK("https://open-school.uspishnemisto.com.ua/school/590098/", 590098)</f>
        <v>590098</v>
      </c>
      <c r="B11470" s="3" t="s">
        <v>58065</v>
      </c>
      <c r="C11470" s="3" t="s">
        <v>31</v>
      </c>
      <c r="D11470" s="3" t="s">
        <v>32</v>
      </c>
      <c r="E11470" s="4" t="s">
        <v>22</v>
      </c>
      <c r="F11470" s="4" t="s">
        <v>58062</v>
      </c>
      <c r="G11470" s="4" t="s">
        <v>58053</v>
      </c>
      <c r="H11470" s="3" t="s">
        <v>57649</v>
      </c>
      <c r="I11470" s="3" t="s">
        <v>58054</v>
      </c>
      <c r="J11470" s="3" t="s">
        <v>54574</v>
      </c>
      <c r="K11470" s="3" t="s">
        <v>58066</v>
      </c>
      <c r="L11470" s="3" t="s">
        <v>58067</v>
      </c>
      <c r="M11470" s="4"/>
      <c r="N11470" s="3" t="s">
        <v>37</v>
      </c>
      <c r="O11470" s="3" t="s">
        <v>52</v>
      </c>
      <c r="P11470" s="5">
        <v>11</v>
      </c>
      <c r="Q11470" s="5">
        <v>257</v>
      </c>
      <c r="R11470" s="5">
        <v>11</v>
      </c>
      <c r="S11470" s="5">
        <v>246</v>
      </c>
    </row>
    <row r="11471" spans="1:19" ht="42" x14ac:dyDescent="0.15">
      <c r="A11471" s="2">
        <f>HYPERLINK("https://open-school.uspishnemisto.com.ua/school/590099/", 590099)</f>
        <v>590099</v>
      </c>
      <c r="B11471" s="3" t="s">
        <v>58068</v>
      </c>
      <c r="C11471" s="3" t="s">
        <v>31</v>
      </c>
      <c r="D11471" s="3" t="s">
        <v>32</v>
      </c>
      <c r="E11471" s="4" t="s">
        <v>22</v>
      </c>
      <c r="F11471" s="4" t="s">
        <v>58062</v>
      </c>
      <c r="G11471" s="4" t="s">
        <v>58053</v>
      </c>
      <c r="H11471" s="3" t="s">
        <v>57649</v>
      </c>
      <c r="I11471" s="3" t="s">
        <v>58054</v>
      </c>
      <c r="J11471" s="3" t="s">
        <v>19164</v>
      </c>
      <c r="K11471" s="3" t="s">
        <v>58069</v>
      </c>
      <c r="L11471" s="3" t="s">
        <v>58070</v>
      </c>
      <c r="M11471" s="4"/>
      <c r="N11471" s="3" t="s">
        <v>37</v>
      </c>
      <c r="O11471" s="3" t="s">
        <v>38</v>
      </c>
      <c r="P11471" s="5">
        <v>20</v>
      </c>
      <c r="Q11471" s="5">
        <v>550</v>
      </c>
      <c r="R11471" s="5">
        <v>20</v>
      </c>
      <c r="S11471" s="5">
        <v>552</v>
      </c>
    </row>
    <row r="11472" spans="1:19" ht="42" x14ac:dyDescent="0.15">
      <c r="A11472" s="2">
        <f>HYPERLINK("https://open-school.uspishnemisto.com.ua/school/590100/", 590100)</f>
        <v>590100</v>
      </c>
      <c r="B11472" s="3" t="s">
        <v>58071</v>
      </c>
      <c r="C11472" s="3" t="s">
        <v>31</v>
      </c>
      <c r="D11472" s="3" t="s">
        <v>32</v>
      </c>
      <c r="E11472" s="4" t="s">
        <v>22</v>
      </c>
      <c r="F11472" s="4" t="s">
        <v>58062</v>
      </c>
      <c r="G11472" s="4" t="s">
        <v>58053</v>
      </c>
      <c r="H11472" s="3" t="s">
        <v>57649</v>
      </c>
      <c r="I11472" s="3" t="s">
        <v>58054</v>
      </c>
      <c r="J11472" s="3" t="s">
        <v>31888</v>
      </c>
      <c r="K11472" s="3" t="s">
        <v>58072</v>
      </c>
      <c r="L11472" s="3"/>
      <c r="M11472" s="4"/>
      <c r="N11472" s="3" t="s">
        <v>128</v>
      </c>
      <c r="O11472" s="3" t="s">
        <v>38</v>
      </c>
      <c r="P11472" s="5">
        <v>22</v>
      </c>
      <c r="Q11472" s="5">
        <v>556</v>
      </c>
      <c r="R11472" s="5">
        <v>23</v>
      </c>
      <c r="S11472" s="5">
        <v>527</v>
      </c>
    </row>
    <row r="11473" spans="1:19" ht="42" x14ac:dyDescent="0.15">
      <c r="A11473" s="2">
        <f>HYPERLINK("https://open-school.uspishnemisto.com.ua/school/590101/", 590101)</f>
        <v>590101</v>
      </c>
      <c r="B11473" s="3" t="s">
        <v>58073</v>
      </c>
      <c r="C11473" s="3" t="s">
        <v>31</v>
      </c>
      <c r="D11473" s="3" t="s">
        <v>32</v>
      </c>
      <c r="E11473" s="4" t="s">
        <v>22</v>
      </c>
      <c r="F11473" s="4" t="s">
        <v>20922</v>
      </c>
      <c r="G11473" s="4" t="s">
        <v>58053</v>
      </c>
      <c r="H11473" s="3" t="s">
        <v>57649</v>
      </c>
      <c r="I11473" s="3" t="s">
        <v>58054</v>
      </c>
      <c r="J11473" s="3" t="s">
        <v>58074</v>
      </c>
      <c r="K11473" s="3" t="s">
        <v>58075</v>
      </c>
      <c r="L11473" s="3"/>
      <c r="M11473" s="4"/>
      <c r="N11473" s="3" t="s">
        <v>37</v>
      </c>
      <c r="O11473" s="3" t="s">
        <v>38</v>
      </c>
      <c r="P11473" s="5">
        <v>16</v>
      </c>
      <c r="Q11473" s="5">
        <v>342</v>
      </c>
      <c r="R11473" s="5">
        <v>15</v>
      </c>
      <c r="S11473" s="5">
        <v>346</v>
      </c>
    </row>
    <row r="11474" spans="1:19" ht="42" x14ac:dyDescent="0.15">
      <c r="A11474" s="2">
        <f>HYPERLINK("https://open-school.uspishnemisto.com.ua/school/590102/", 590102)</f>
        <v>590102</v>
      </c>
      <c r="B11474" s="3" t="s">
        <v>58076</v>
      </c>
      <c r="C11474" s="3" t="s">
        <v>244</v>
      </c>
      <c r="D11474" s="3" t="s">
        <v>60</v>
      </c>
      <c r="E11474" s="4" t="s">
        <v>22</v>
      </c>
      <c r="F11474" s="4" t="s">
        <v>58062</v>
      </c>
      <c r="G11474" s="4" t="s">
        <v>58053</v>
      </c>
      <c r="H11474" s="3" t="s">
        <v>57649</v>
      </c>
      <c r="I11474" s="3" t="s">
        <v>58054</v>
      </c>
      <c r="J11474" s="3" t="s">
        <v>58077</v>
      </c>
      <c r="K11474" s="3" t="s">
        <v>58078</v>
      </c>
      <c r="L11474" s="3" t="s">
        <v>58079</v>
      </c>
      <c r="M11474" s="4"/>
      <c r="N11474" s="3" t="s">
        <v>37</v>
      </c>
      <c r="O11474" s="3" t="s">
        <v>46</v>
      </c>
      <c r="P11474" s="5">
        <v>12</v>
      </c>
      <c r="Q11474" s="5">
        <v>336</v>
      </c>
      <c r="R11474" s="5">
        <v>12</v>
      </c>
      <c r="S11474" s="5">
        <v>339</v>
      </c>
    </row>
    <row r="11475" spans="1:19" ht="42" x14ac:dyDescent="0.15">
      <c r="A11475" s="2">
        <f>HYPERLINK("https://open-school.uspishnemisto.com.ua/school/590103/", 590103)</f>
        <v>590103</v>
      </c>
      <c r="B11475" s="3" t="s">
        <v>58080</v>
      </c>
      <c r="C11475" s="3" t="s">
        <v>244</v>
      </c>
      <c r="D11475" s="3" t="s">
        <v>32</v>
      </c>
      <c r="E11475" s="4" t="s">
        <v>22</v>
      </c>
      <c r="F11475" s="4" t="s">
        <v>58062</v>
      </c>
      <c r="G11475" s="4" t="s">
        <v>58053</v>
      </c>
      <c r="H11475" s="3" t="s">
        <v>57649</v>
      </c>
      <c r="I11475" s="3" t="s">
        <v>58054</v>
      </c>
      <c r="J11475" s="3" t="s">
        <v>58081</v>
      </c>
      <c r="K11475" s="3" t="s">
        <v>58082</v>
      </c>
      <c r="L11475" s="3" t="s">
        <v>58083</v>
      </c>
      <c r="M11475" s="4"/>
      <c r="N11475" s="3" t="s">
        <v>37</v>
      </c>
      <c r="O11475" s="3" t="s">
        <v>721</v>
      </c>
      <c r="P11475" s="5">
        <v>39</v>
      </c>
      <c r="Q11475" s="5">
        <v>1029</v>
      </c>
      <c r="R11475" s="5">
        <v>40</v>
      </c>
      <c r="S11475" s="5">
        <v>1026</v>
      </c>
    </row>
    <row r="11476" spans="1:19" ht="42" x14ac:dyDescent="0.15">
      <c r="A11476" s="2">
        <f>HYPERLINK("https://open-school.uspishnemisto.com.ua/school/590104/", 590104)</f>
        <v>590104</v>
      </c>
      <c r="B11476" s="3" t="s">
        <v>58084</v>
      </c>
      <c r="C11476" s="3" t="s">
        <v>174</v>
      </c>
      <c r="D11476" s="3" t="s">
        <v>175</v>
      </c>
      <c r="E11476" s="4" t="s">
        <v>22</v>
      </c>
      <c r="F11476" s="4" t="s">
        <v>58062</v>
      </c>
      <c r="G11476" s="4" t="s">
        <v>58053</v>
      </c>
      <c r="H11476" s="3" t="s">
        <v>57649</v>
      </c>
      <c r="I11476" s="3" t="s">
        <v>58054</v>
      </c>
      <c r="J11476" s="3" t="s">
        <v>30748</v>
      </c>
      <c r="K11476" s="3" t="s">
        <v>58085</v>
      </c>
      <c r="L11476" s="3"/>
      <c r="M11476" s="4"/>
      <c r="N11476" s="3" t="s">
        <v>37</v>
      </c>
      <c r="O11476" s="3" t="s">
        <v>52</v>
      </c>
      <c r="P11476" s="5">
        <v>10</v>
      </c>
      <c r="Q11476" s="5">
        <v>91</v>
      </c>
      <c r="R11476" s="5">
        <v>10</v>
      </c>
      <c r="S11476" s="5">
        <v>93</v>
      </c>
    </row>
    <row r="11477" spans="1:19" ht="70" x14ac:dyDescent="0.15">
      <c r="A11477" s="2">
        <f>HYPERLINK("https://open-school.uspishnemisto.com.ua/school/590105/", 590105)</f>
        <v>590105</v>
      </c>
      <c r="B11477" s="3" t="s">
        <v>58086</v>
      </c>
      <c r="C11477" s="3" t="s">
        <v>54</v>
      </c>
      <c r="D11477" s="3" t="s">
        <v>32</v>
      </c>
      <c r="E11477" s="4" t="s">
        <v>22</v>
      </c>
      <c r="F11477" s="4" t="s">
        <v>58062</v>
      </c>
      <c r="G11477" s="4" t="s">
        <v>58053</v>
      </c>
      <c r="H11477" s="3" t="s">
        <v>57649</v>
      </c>
      <c r="I11477" s="3" t="s">
        <v>58054</v>
      </c>
      <c r="J11477" s="3" t="s">
        <v>634</v>
      </c>
      <c r="K11477" s="3" t="s">
        <v>58087</v>
      </c>
      <c r="L11477" s="3"/>
      <c r="M11477" s="4"/>
      <c r="N11477" s="3" t="s">
        <v>37</v>
      </c>
      <c r="O11477" s="3" t="s">
        <v>38</v>
      </c>
      <c r="P11477" s="5">
        <v>11</v>
      </c>
      <c r="Q11477" s="5">
        <v>188</v>
      </c>
      <c r="R11477" s="5">
        <v>11</v>
      </c>
      <c r="S11477" s="5">
        <v>164</v>
      </c>
    </row>
    <row r="11478" spans="1:19" ht="42" x14ac:dyDescent="0.15">
      <c r="A11478" s="2">
        <f>HYPERLINK("https://open-school.uspishnemisto.com.ua/school/590106/", 590106)</f>
        <v>590106</v>
      </c>
      <c r="B11478" s="3" t="s">
        <v>58088</v>
      </c>
      <c r="C11478" s="3" t="s">
        <v>54</v>
      </c>
      <c r="D11478" s="3" t="s">
        <v>32</v>
      </c>
      <c r="E11478" s="4" t="s">
        <v>22</v>
      </c>
      <c r="F11478" s="4" t="s">
        <v>58062</v>
      </c>
      <c r="G11478" s="4" t="s">
        <v>58053</v>
      </c>
      <c r="H11478" s="3" t="s">
        <v>57649</v>
      </c>
      <c r="I11478" s="3" t="s">
        <v>58054</v>
      </c>
      <c r="J11478" s="3" t="s">
        <v>58089</v>
      </c>
      <c r="K11478" s="3" t="s">
        <v>58090</v>
      </c>
      <c r="L11478" s="3" t="s">
        <v>58091</v>
      </c>
      <c r="M11478" s="4"/>
      <c r="N11478" s="3" t="s">
        <v>37</v>
      </c>
      <c r="O11478" s="3" t="s">
        <v>52</v>
      </c>
      <c r="P11478" s="5">
        <v>33</v>
      </c>
      <c r="Q11478" s="5">
        <v>913</v>
      </c>
      <c r="R11478" s="5">
        <v>33</v>
      </c>
      <c r="S11478" s="5">
        <v>900</v>
      </c>
    </row>
    <row r="11479" spans="1:19" ht="42" x14ac:dyDescent="0.15">
      <c r="A11479" s="2">
        <f>HYPERLINK("https://open-school.uspishnemisto.com.ua/school/590107/", 590107)</f>
        <v>590107</v>
      </c>
      <c r="B11479" s="3" t="s">
        <v>58092</v>
      </c>
      <c r="C11479" s="3" t="s">
        <v>31</v>
      </c>
      <c r="D11479" s="3" t="s">
        <v>32</v>
      </c>
      <c r="E11479" s="4" t="s">
        <v>22</v>
      </c>
      <c r="F11479" s="4" t="s">
        <v>58062</v>
      </c>
      <c r="G11479" s="4" t="s">
        <v>58053</v>
      </c>
      <c r="H11479" s="3" t="s">
        <v>57649</v>
      </c>
      <c r="I11479" s="3" t="s">
        <v>58054</v>
      </c>
      <c r="J11479" s="3" t="s">
        <v>58093</v>
      </c>
      <c r="K11479" s="3" t="s">
        <v>58094</v>
      </c>
      <c r="L11479" s="3" t="s">
        <v>58095</v>
      </c>
      <c r="M11479" s="4"/>
      <c r="N11479" s="3" t="s">
        <v>37</v>
      </c>
      <c r="O11479" s="3" t="s">
        <v>38</v>
      </c>
      <c r="P11479" s="5">
        <v>25</v>
      </c>
      <c r="Q11479" s="5">
        <v>640</v>
      </c>
      <c r="R11479" s="5">
        <v>25</v>
      </c>
      <c r="S11479" s="5">
        <v>663</v>
      </c>
    </row>
    <row r="11480" spans="1:19" ht="70" x14ac:dyDescent="0.15">
      <c r="A11480" s="2">
        <f>HYPERLINK("https://open-school.uspishnemisto.com.ua/school/590108/", 590108)</f>
        <v>590108</v>
      </c>
      <c r="B11480" s="3" t="s">
        <v>58096</v>
      </c>
      <c r="C11480" s="3" t="s">
        <v>54</v>
      </c>
      <c r="D11480" s="3" t="s">
        <v>32</v>
      </c>
      <c r="E11480" s="4" t="s">
        <v>22</v>
      </c>
      <c r="F11480" s="4" t="s">
        <v>58062</v>
      </c>
      <c r="G11480" s="4" t="s">
        <v>58053</v>
      </c>
      <c r="H11480" s="3" t="s">
        <v>57649</v>
      </c>
      <c r="I11480" s="3" t="s">
        <v>58054</v>
      </c>
      <c r="J11480" s="3" t="s">
        <v>58097</v>
      </c>
      <c r="K11480" s="3" t="s">
        <v>58098</v>
      </c>
      <c r="L11480" s="3" t="s">
        <v>58099</v>
      </c>
      <c r="M11480" s="4"/>
      <c r="N11480" s="3" t="s">
        <v>37</v>
      </c>
      <c r="O11480" s="3" t="s">
        <v>52</v>
      </c>
      <c r="P11480" s="5">
        <v>11</v>
      </c>
      <c r="Q11480" s="5">
        <v>216</v>
      </c>
      <c r="R11480" s="5">
        <v>11</v>
      </c>
      <c r="S11480" s="5">
        <v>207</v>
      </c>
    </row>
    <row r="11481" spans="1:19" ht="28" x14ac:dyDescent="0.15">
      <c r="A11481" s="2">
        <f>HYPERLINK("https://open-school.uspishnemisto.com.ua/school/590109/", 590109)</f>
        <v>590109</v>
      </c>
      <c r="B11481" s="3" t="s">
        <v>58100</v>
      </c>
      <c r="C11481" s="3" t="s">
        <v>40</v>
      </c>
      <c r="D11481" s="3" t="s">
        <v>32</v>
      </c>
      <c r="E11481" s="4" t="s">
        <v>22</v>
      </c>
      <c r="F11481" s="4" t="s">
        <v>58062</v>
      </c>
      <c r="G11481" s="4" t="s">
        <v>58053</v>
      </c>
      <c r="H11481" s="3" t="s">
        <v>57649</v>
      </c>
      <c r="I11481" s="3" t="s">
        <v>58054</v>
      </c>
      <c r="J11481" s="3" t="s">
        <v>58101</v>
      </c>
      <c r="K11481" s="3" t="s">
        <v>58102</v>
      </c>
      <c r="L11481" s="3" t="s">
        <v>58103</v>
      </c>
      <c r="M11481" s="4"/>
      <c r="N11481" s="3" t="s">
        <v>37</v>
      </c>
      <c r="O11481" s="3" t="s">
        <v>46</v>
      </c>
      <c r="P11481" s="5">
        <v>15</v>
      </c>
      <c r="Q11481" s="5">
        <v>429</v>
      </c>
      <c r="R11481" s="5">
        <v>15</v>
      </c>
      <c r="S11481" s="5">
        <v>429</v>
      </c>
    </row>
    <row r="11482" spans="1:19" ht="28" x14ac:dyDescent="0.15">
      <c r="A11482" s="2">
        <f>HYPERLINK("https://open-school.uspishnemisto.com.ua/school/590110/", 590110)</f>
        <v>590110</v>
      </c>
      <c r="B11482" s="3" t="s">
        <v>58104</v>
      </c>
      <c r="C11482" s="3" t="s">
        <v>293</v>
      </c>
      <c r="D11482" s="3" t="s">
        <v>32</v>
      </c>
      <c r="E11482" s="4" t="s">
        <v>22</v>
      </c>
      <c r="F11482" s="4" t="s">
        <v>58062</v>
      </c>
      <c r="G11482" s="4" t="s">
        <v>58053</v>
      </c>
      <c r="H11482" s="3" t="s">
        <v>57649</v>
      </c>
      <c r="I11482" s="3" t="s">
        <v>58054</v>
      </c>
      <c r="J11482" s="3" t="s">
        <v>57865</v>
      </c>
      <c r="K11482" s="3" t="s">
        <v>58105</v>
      </c>
      <c r="L11482" s="3" t="s">
        <v>58106</v>
      </c>
      <c r="M11482" s="4" t="s">
        <v>58107</v>
      </c>
      <c r="N11482" s="3" t="s">
        <v>37</v>
      </c>
      <c r="O11482" s="3" t="s">
        <v>46</v>
      </c>
      <c r="P11482" s="5">
        <v>11</v>
      </c>
      <c r="Q11482" s="5">
        <v>214</v>
      </c>
      <c r="R11482" s="5">
        <v>10</v>
      </c>
      <c r="S11482" s="5">
        <v>191</v>
      </c>
    </row>
    <row r="11483" spans="1:19" ht="28" x14ac:dyDescent="0.15">
      <c r="A11483" s="2">
        <f>HYPERLINK("https://open-school.uspishnemisto.com.ua/school/590111/", 590111)</f>
        <v>590111</v>
      </c>
      <c r="B11483" s="3" t="s">
        <v>58108</v>
      </c>
      <c r="C11483" s="3" t="s">
        <v>244</v>
      </c>
      <c r="D11483" s="3" t="s">
        <v>32</v>
      </c>
      <c r="E11483" s="4" t="s">
        <v>22</v>
      </c>
      <c r="F11483" s="4" t="s">
        <v>58109</v>
      </c>
      <c r="G11483" s="4" t="s">
        <v>58110</v>
      </c>
      <c r="H11483" s="3" t="s">
        <v>57649</v>
      </c>
      <c r="I11483" s="3" t="s">
        <v>58111</v>
      </c>
      <c r="J11483" s="3" t="s">
        <v>6677</v>
      </c>
      <c r="K11483" s="3" t="s">
        <v>58112</v>
      </c>
      <c r="L11483" s="3" t="s">
        <v>58113</v>
      </c>
      <c r="M11483" s="4"/>
      <c r="N11483" s="3" t="s">
        <v>37</v>
      </c>
      <c r="O11483" s="3" t="s">
        <v>52</v>
      </c>
      <c r="P11483" s="5">
        <v>11</v>
      </c>
      <c r="Q11483" s="5">
        <v>168</v>
      </c>
      <c r="R11483" s="5">
        <v>11</v>
      </c>
      <c r="S11483" s="5">
        <v>184</v>
      </c>
    </row>
    <row r="11484" spans="1:19" ht="56" x14ac:dyDescent="0.15">
      <c r="A11484" s="2">
        <f>HYPERLINK("https://open-school.uspishnemisto.com.ua/school/590112/", 590112)</f>
        <v>590112</v>
      </c>
      <c r="B11484" s="3" t="s">
        <v>58114</v>
      </c>
      <c r="C11484" s="3" t="s">
        <v>54</v>
      </c>
      <c r="D11484" s="3" t="s">
        <v>175</v>
      </c>
      <c r="E11484" s="4" t="s">
        <v>22</v>
      </c>
      <c r="F11484" s="4" t="s">
        <v>58115</v>
      </c>
      <c r="G11484" s="4" t="s">
        <v>58116</v>
      </c>
      <c r="H11484" s="3" t="s">
        <v>57649</v>
      </c>
      <c r="I11484" s="3" t="s">
        <v>58117</v>
      </c>
      <c r="J11484" s="3" t="s">
        <v>466</v>
      </c>
      <c r="K11484" s="3" t="s">
        <v>58118</v>
      </c>
      <c r="L11484" s="3" t="s">
        <v>58119</v>
      </c>
      <c r="M11484" s="4"/>
      <c r="N11484" s="3" t="s">
        <v>37</v>
      </c>
      <c r="O11484" s="3" t="s">
        <v>38</v>
      </c>
      <c r="P11484" s="5">
        <v>3</v>
      </c>
      <c r="Q11484" s="5">
        <v>29</v>
      </c>
      <c r="R11484" s="5">
        <v>1</v>
      </c>
      <c r="S11484" s="5">
        <v>26</v>
      </c>
    </row>
    <row r="11485" spans="1:19" ht="56" x14ac:dyDescent="0.15">
      <c r="A11485" s="2">
        <f>HYPERLINK("https://open-school.uspishnemisto.com.ua/school/590113/", 590113)</f>
        <v>590113</v>
      </c>
      <c r="B11485" s="3" t="s">
        <v>58120</v>
      </c>
      <c r="C11485" s="3" t="s">
        <v>54</v>
      </c>
      <c r="D11485" s="3" t="s">
        <v>32</v>
      </c>
      <c r="E11485" s="4" t="s">
        <v>22</v>
      </c>
      <c r="F11485" s="4" t="s">
        <v>58121</v>
      </c>
      <c r="G11485" s="4" t="s">
        <v>58122</v>
      </c>
      <c r="H11485" s="3" t="s">
        <v>57649</v>
      </c>
      <c r="I11485" s="3" t="s">
        <v>58123</v>
      </c>
      <c r="J11485" s="3" t="s">
        <v>40261</v>
      </c>
      <c r="K11485" s="3" t="s">
        <v>58124</v>
      </c>
      <c r="L11485" s="3"/>
      <c r="M11485" s="4"/>
      <c r="N11485" s="3" t="s">
        <v>37</v>
      </c>
      <c r="O11485" s="3" t="s">
        <v>38</v>
      </c>
      <c r="P11485" s="5">
        <v>6</v>
      </c>
      <c r="Q11485" s="5">
        <v>62</v>
      </c>
      <c r="R11485" s="5">
        <v>7</v>
      </c>
      <c r="S11485" s="5">
        <v>67</v>
      </c>
    </row>
    <row r="11486" spans="1:19" ht="56" x14ac:dyDescent="0.15">
      <c r="A11486" s="2">
        <f>HYPERLINK("https://open-school.uspishnemisto.com.ua/school/590114/", 590114)</f>
        <v>590114</v>
      </c>
      <c r="B11486" s="3" t="s">
        <v>58125</v>
      </c>
      <c r="C11486" s="3" t="s">
        <v>54</v>
      </c>
      <c r="D11486" s="3" t="s">
        <v>32</v>
      </c>
      <c r="E11486" s="4" t="s">
        <v>22</v>
      </c>
      <c r="F11486" s="4" t="s">
        <v>58126</v>
      </c>
      <c r="G11486" s="4" t="s">
        <v>58127</v>
      </c>
      <c r="H11486" s="3" t="s">
        <v>57649</v>
      </c>
      <c r="I11486" s="3" t="s">
        <v>3512</v>
      </c>
      <c r="J11486" s="3" t="s">
        <v>58128</v>
      </c>
      <c r="K11486" s="3" t="s">
        <v>58129</v>
      </c>
      <c r="L11486" s="3"/>
      <c r="M11486" s="4"/>
      <c r="N11486" s="3" t="s">
        <v>37</v>
      </c>
      <c r="O11486" s="3" t="s">
        <v>38</v>
      </c>
      <c r="P11486" s="5">
        <v>7</v>
      </c>
      <c r="Q11486" s="5">
        <v>93</v>
      </c>
      <c r="R11486" s="5">
        <v>9</v>
      </c>
      <c r="S11486" s="5">
        <v>105</v>
      </c>
    </row>
    <row r="11487" spans="1:19" ht="28" x14ac:dyDescent="0.15">
      <c r="A11487" s="2">
        <f>HYPERLINK("https://open-school.uspishnemisto.com.ua/school/590115/", 590115)</f>
        <v>590115</v>
      </c>
      <c r="B11487" s="3" t="s">
        <v>58130</v>
      </c>
      <c r="C11487" s="3" t="s">
        <v>54</v>
      </c>
      <c r="D11487" s="3" t="s">
        <v>175</v>
      </c>
      <c r="E11487" s="4" t="s">
        <v>22</v>
      </c>
      <c r="F11487" s="4" t="s">
        <v>58131</v>
      </c>
      <c r="G11487" s="4" t="s">
        <v>58132</v>
      </c>
      <c r="H11487" s="3" t="s">
        <v>57649</v>
      </c>
      <c r="I11487" s="3" t="s">
        <v>58133</v>
      </c>
      <c r="J11487" s="3" t="s">
        <v>23076</v>
      </c>
      <c r="K11487" s="3" t="s">
        <v>58134</v>
      </c>
      <c r="L11487" s="3"/>
      <c r="M11487" s="4"/>
      <c r="N11487" s="3" t="s">
        <v>37</v>
      </c>
      <c r="O11487" s="3" t="s">
        <v>52</v>
      </c>
      <c r="P11487" s="5">
        <v>0</v>
      </c>
      <c r="Q11487" s="5">
        <v>0</v>
      </c>
      <c r="R11487" s="5">
        <v>5</v>
      </c>
      <c r="S11487" s="5">
        <v>37</v>
      </c>
    </row>
    <row r="11488" spans="1:19" ht="56" x14ac:dyDescent="0.15">
      <c r="A11488" s="2">
        <f>HYPERLINK("https://open-school.uspishnemisto.com.ua/school/590116/", 590116)</f>
        <v>590116</v>
      </c>
      <c r="B11488" s="3" t="s">
        <v>58135</v>
      </c>
      <c r="C11488" s="3" t="s">
        <v>54</v>
      </c>
      <c r="D11488" s="3" t="s">
        <v>175</v>
      </c>
      <c r="E11488" s="4" t="s">
        <v>22</v>
      </c>
      <c r="F11488" s="4" t="s">
        <v>58136</v>
      </c>
      <c r="G11488" s="4" t="s">
        <v>58137</v>
      </c>
      <c r="H11488" s="3" t="s">
        <v>57649</v>
      </c>
      <c r="I11488" s="3" t="s">
        <v>58138</v>
      </c>
      <c r="J11488" s="3" t="s">
        <v>3173</v>
      </c>
      <c r="K11488" s="3" t="s">
        <v>58139</v>
      </c>
      <c r="L11488" s="3"/>
      <c r="M11488" s="4"/>
      <c r="N11488" s="3" t="s">
        <v>37</v>
      </c>
      <c r="O11488" s="3" t="s">
        <v>38</v>
      </c>
      <c r="P11488" s="5">
        <v>2</v>
      </c>
      <c r="Q11488" s="5">
        <v>27</v>
      </c>
      <c r="R11488" s="5">
        <v>2</v>
      </c>
      <c r="S11488" s="5">
        <v>26</v>
      </c>
    </row>
    <row r="11489" spans="1:19" ht="42" x14ac:dyDescent="0.15">
      <c r="A11489" s="2">
        <f>HYPERLINK("https://open-school.uspishnemisto.com.ua/school/590117/", 590117)</f>
        <v>590117</v>
      </c>
      <c r="B11489" s="3" t="s">
        <v>58140</v>
      </c>
      <c r="C11489" s="3" t="s">
        <v>31</v>
      </c>
      <c r="D11489" s="3" t="s">
        <v>32</v>
      </c>
      <c r="E11489" s="4" t="s">
        <v>22</v>
      </c>
      <c r="F11489" s="4" t="s">
        <v>58141</v>
      </c>
      <c r="G11489" s="4" t="s">
        <v>58142</v>
      </c>
      <c r="H11489" s="3" t="s">
        <v>57649</v>
      </c>
      <c r="I11489" s="3" t="s">
        <v>58143</v>
      </c>
      <c r="J11489" s="3" t="s">
        <v>58144</v>
      </c>
      <c r="K11489" s="3" t="s">
        <v>58145</v>
      </c>
      <c r="L11489" s="3"/>
      <c r="M11489" s="4"/>
      <c r="N11489" s="3" t="s">
        <v>37</v>
      </c>
      <c r="O11489" s="3" t="s">
        <v>38</v>
      </c>
      <c r="P11489" s="5">
        <v>14</v>
      </c>
      <c r="Q11489" s="5">
        <v>202</v>
      </c>
      <c r="R11489" s="5">
        <v>11</v>
      </c>
      <c r="S11489" s="5">
        <v>169</v>
      </c>
    </row>
    <row r="11490" spans="1:19" ht="42" x14ac:dyDescent="0.15">
      <c r="A11490" s="2">
        <f>HYPERLINK("https://open-school.uspishnemisto.com.ua/school/590118/", 590118)</f>
        <v>590118</v>
      </c>
      <c r="B11490" s="3" t="s">
        <v>58146</v>
      </c>
      <c r="C11490" s="3" t="s">
        <v>181</v>
      </c>
      <c r="D11490" s="3" t="s">
        <v>175</v>
      </c>
      <c r="E11490" s="4" t="s">
        <v>22</v>
      </c>
      <c r="F11490" s="4" t="s">
        <v>58141</v>
      </c>
      <c r="G11490" s="4" t="s">
        <v>58142</v>
      </c>
      <c r="H11490" s="3" t="s">
        <v>57649</v>
      </c>
      <c r="I11490" s="3" t="s">
        <v>58143</v>
      </c>
      <c r="J11490" s="3" t="s">
        <v>58147</v>
      </c>
      <c r="K11490" s="3" t="s">
        <v>58148</v>
      </c>
      <c r="L11490" s="3"/>
      <c r="M11490" s="4" t="s">
        <v>58149</v>
      </c>
      <c r="N11490" s="3" t="s">
        <v>37</v>
      </c>
      <c r="O11490" s="3"/>
      <c r="P11490" s="5">
        <v>4</v>
      </c>
      <c r="Q11490" s="5">
        <v>17</v>
      </c>
      <c r="R11490" s="5">
        <v>7</v>
      </c>
      <c r="S11490" s="5">
        <v>35</v>
      </c>
    </row>
    <row r="11491" spans="1:19" ht="56" x14ac:dyDescent="0.15">
      <c r="A11491" s="2">
        <f>HYPERLINK("https://open-school.uspishnemisto.com.ua/school/590119/", 590119)</f>
        <v>590119</v>
      </c>
      <c r="B11491" s="3" t="s">
        <v>58150</v>
      </c>
      <c r="C11491" s="3" t="s">
        <v>54</v>
      </c>
      <c r="D11491" s="3" t="s">
        <v>32</v>
      </c>
      <c r="E11491" s="4" t="s">
        <v>22</v>
      </c>
      <c r="F11491" s="4" t="s">
        <v>58151</v>
      </c>
      <c r="G11491" s="4" t="s">
        <v>58152</v>
      </c>
      <c r="H11491" s="3" t="s">
        <v>57649</v>
      </c>
      <c r="I11491" s="3" t="s">
        <v>58153</v>
      </c>
      <c r="J11491" s="3" t="s">
        <v>58154</v>
      </c>
      <c r="K11491" s="3" t="s">
        <v>58155</v>
      </c>
      <c r="L11491" s="3"/>
      <c r="M11491" s="4"/>
      <c r="N11491" s="3" t="s">
        <v>37</v>
      </c>
      <c r="O11491" s="3" t="s">
        <v>112</v>
      </c>
      <c r="P11491" s="5">
        <v>4</v>
      </c>
      <c r="Q11491" s="5">
        <v>38</v>
      </c>
      <c r="R11491" s="5">
        <v>4</v>
      </c>
      <c r="S11491" s="5">
        <v>39</v>
      </c>
    </row>
    <row r="11492" spans="1:19" ht="28" x14ac:dyDescent="0.15">
      <c r="A11492" s="2">
        <f>HYPERLINK("https://open-school.uspishnemisto.com.ua/school/590120/", 590120)</f>
        <v>590120</v>
      </c>
      <c r="B11492" s="3" t="s">
        <v>58156</v>
      </c>
      <c r="C11492" s="3" t="s">
        <v>31</v>
      </c>
      <c r="D11492" s="3" t="s">
        <v>32</v>
      </c>
      <c r="E11492" s="4" t="s">
        <v>22</v>
      </c>
      <c r="F11492" s="4" t="s">
        <v>58157</v>
      </c>
      <c r="G11492" s="4" t="s">
        <v>58158</v>
      </c>
      <c r="H11492" s="3" t="s">
        <v>57649</v>
      </c>
      <c r="I11492" s="3" t="s">
        <v>58159</v>
      </c>
      <c r="J11492" s="3" t="s">
        <v>58160</v>
      </c>
      <c r="K11492" s="3" t="s">
        <v>58161</v>
      </c>
      <c r="L11492" s="3"/>
      <c r="M11492" s="4"/>
      <c r="N11492" s="3" t="s">
        <v>37</v>
      </c>
      <c r="O11492" s="3" t="s">
        <v>38</v>
      </c>
      <c r="P11492" s="5">
        <v>13</v>
      </c>
      <c r="Q11492" s="5">
        <v>178</v>
      </c>
      <c r="R11492" s="5">
        <v>12</v>
      </c>
      <c r="S11492" s="5">
        <v>171</v>
      </c>
    </row>
    <row r="11493" spans="1:19" ht="42" x14ac:dyDescent="0.15">
      <c r="A11493" s="2">
        <f>HYPERLINK("https://open-school.uspishnemisto.com.ua/school/590121/", 590121)</f>
        <v>590121</v>
      </c>
      <c r="B11493" s="3" t="s">
        <v>58162</v>
      </c>
      <c r="C11493" s="3" t="s">
        <v>54</v>
      </c>
      <c r="D11493" s="3" t="s">
        <v>60</v>
      </c>
      <c r="E11493" s="4" t="s">
        <v>22</v>
      </c>
      <c r="F11493" s="4" t="s">
        <v>58163</v>
      </c>
      <c r="G11493" s="4" t="s">
        <v>58164</v>
      </c>
      <c r="H11493" s="3" t="s">
        <v>57649</v>
      </c>
      <c r="I11493" s="3" t="s">
        <v>58165</v>
      </c>
      <c r="J11493" s="3" t="s">
        <v>58166</v>
      </c>
      <c r="K11493" s="3" t="s">
        <v>58167</v>
      </c>
      <c r="L11493" s="3"/>
      <c r="M11493" s="4"/>
      <c r="N11493" s="3" t="s">
        <v>37</v>
      </c>
      <c r="O11493" s="3" t="s">
        <v>52</v>
      </c>
      <c r="P11493" s="5">
        <v>0</v>
      </c>
      <c r="Q11493" s="5">
        <v>7</v>
      </c>
      <c r="R11493" s="5">
        <v>0</v>
      </c>
      <c r="S11493" s="5">
        <v>7</v>
      </c>
    </row>
    <row r="11494" spans="1:19" ht="42" x14ac:dyDescent="0.15">
      <c r="A11494" s="2">
        <f>HYPERLINK("https://open-school.uspishnemisto.com.ua/school/590122/", 590122)</f>
        <v>590122</v>
      </c>
      <c r="B11494" s="3" t="s">
        <v>58168</v>
      </c>
      <c r="C11494" s="3" t="s">
        <v>31</v>
      </c>
      <c r="D11494" s="3" t="s">
        <v>32</v>
      </c>
      <c r="E11494" s="4" t="s">
        <v>22</v>
      </c>
      <c r="F11494" s="4" t="s">
        <v>58169</v>
      </c>
      <c r="G11494" s="4" t="s">
        <v>58170</v>
      </c>
      <c r="H11494" s="3" t="s">
        <v>57649</v>
      </c>
      <c r="I11494" s="3" t="s">
        <v>58171</v>
      </c>
      <c r="J11494" s="3" t="s">
        <v>58172</v>
      </c>
      <c r="K11494" s="3" t="s">
        <v>58173</v>
      </c>
      <c r="L11494" s="3"/>
      <c r="M11494" s="4"/>
      <c r="N11494" s="3" t="s">
        <v>37</v>
      </c>
      <c r="O11494" s="3" t="s">
        <v>38</v>
      </c>
      <c r="P11494" s="5">
        <v>9</v>
      </c>
      <c r="Q11494" s="5">
        <v>87</v>
      </c>
      <c r="R11494" s="5">
        <v>8</v>
      </c>
      <c r="S11494" s="5">
        <v>79</v>
      </c>
    </row>
    <row r="11495" spans="1:19" ht="42" x14ac:dyDescent="0.15">
      <c r="A11495" s="2">
        <f>HYPERLINK("https://open-school.uspishnemisto.com.ua/school/590123/", 590123)</f>
        <v>590123</v>
      </c>
      <c r="B11495" s="3" t="s">
        <v>58174</v>
      </c>
      <c r="C11495" s="3" t="s">
        <v>54</v>
      </c>
      <c r="D11495" s="3" t="s">
        <v>175</v>
      </c>
      <c r="E11495" s="4" t="s">
        <v>22</v>
      </c>
      <c r="F11495" s="4" t="s">
        <v>58175</v>
      </c>
      <c r="G11495" s="4" t="s">
        <v>58176</v>
      </c>
      <c r="H11495" s="3" t="s">
        <v>57649</v>
      </c>
      <c r="I11495" s="3" t="s">
        <v>38131</v>
      </c>
      <c r="J11495" s="3" t="s">
        <v>58177</v>
      </c>
      <c r="K11495" s="3" t="s">
        <v>58178</v>
      </c>
      <c r="L11495" s="3"/>
      <c r="M11495" s="4"/>
      <c r="N11495" s="3" t="s">
        <v>37</v>
      </c>
      <c r="O11495" s="3" t="s">
        <v>38</v>
      </c>
      <c r="P11495" s="5">
        <v>1</v>
      </c>
      <c r="Q11495" s="5">
        <v>29</v>
      </c>
      <c r="R11495" s="5">
        <v>2</v>
      </c>
      <c r="S11495" s="5">
        <v>40</v>
      </c>
    </row>
    <row r="11496" spans="1:19" ht="42" x14ac:dyDescent="0.15">
      <c r="A11496" s="2">
        <f>HYPERLINK("https://open-school.uspishnemisto.com.ua/school/590124/", 590124)</f>
        <v>590124</v>
      </c>
      <c r="B11496" s="3" t="s">
        <v>58179</v>
      </c>
      <c r="C11496" s="3" t="s">
        <v>54</v>
      </c>
      <c r="D11496" s="3" t="s">
        <v>175</v>
      </c>
      <c r="E11496" s="4" t="s">
        <v>22</v>
      </c>
      <c r="F11496" s="4" t="s">
        <v>58180</v>
      </c>
      <c r="G11496" s="4" t="s">
        <v>58181</v>
      </c>
      <c r="H11496" s="3" t="s">
        <v>57649</v>
      </c>
      <c r="I11496" s="3" t="s">
        <v>58182</v>
      </c>
      <c r="J11496" s="3" t="s">
        <v>58183</v>
      </c>
      <c r="K11496" s="3"/>
      <c r="L11496" s="3"/>
      <c r="M11496" s="4"/>
      <c r="N11496" s="3" t="s">
        <v>37</v>
      </c>
      <c r="O11496" s="3" t="s">
        <v>38</v>
      </c>
      <c r="P11496" s="5">
        <v>5</v>
      </c>
      <c r="Q11496" s="5">
        <v>47</v>
      </c>
      <c r="R11496" s="5">
        <v>7</v>
      </c>
      <c r="S11496" s="5">
        <v>48</v>
      </c>
    </row>
    <row r="11497" spans="1:19" ht="28" x14ac:dyDescent="0.15">
      <c r="A11497" s="2">
        <f>HYPERLINK("https://open-school.uspishnemisto.com.ua/school/590125/", 590125)</f>
        <v>590125</v>
      </c>
      <c r="B11497" s="3" t="s">
        <v>58184</v>
      </c>
      <c r="C11497" s="3" t="s">
        <v>31</v>
      </c>
      <c r="D11497" s="3" t="s">
        <v>32</v>
      </c>
      <c r="E11497" s="4" t="s">
        <v>22</v>
      </c>
      <c r="F11497" s="4" t="s">
        <v>58185</v>
      </c>
      <c r="G11497" s="4" t="s">
        <v>58186</v>
      </c>
      <c r="H11497" s="3" t="s">
        <v>57649</v>
      </c>
      <c r="I11497" s="3" t="s">
        <v>58187</v>
      </c>
      <c r="J11497" s="3" t="s">
        <v>58188</v>
      </c>
      <c r="K11497" s="3" t="s">
        <v>58189</v>
      </c>
      <c r="L11497" s="3" t="s">
        <v>58190</v>
      </c>
      <c r="M11497" s="4"/>
      <c r="N11497" s="3" t="s">
        <v>37</v>
      </c>
      <c r="O11497" s="3" t="s">
        <v>38</v>
      </c>
      <c r="P11497" s="5">
        <v>11</v>
      </c>
      <c r="Q11497" s="5">
        <v>138</v>
      </c>
      <c r="R11497" s="5">
        <v>11</v>
      </c>
      <c r="S11497" s="5">
        <v>143</v>
      </c>
    </row>
    <row r="11498" spans="1:19" ht="42" x14ac:dyDescent="0.15">
      <c r="A11498" s="2">
        <f>HYPERLINK("https://open-school.uspishnemisto.com.ua/school/590126/", 590126)</f>
        <v>590126</v>
      </c>
      <c r="B11498" s="3" t="s">
        <v>58191</v>
      </c>
      <c r="C11498" s="3" t="s">
        <v>54</v>
      </c>
      <c r="D11498" s="3" t="s">
        <v>175</v>
      </c>
      <c r="E11498" s="4" t="s">
        <v>22</v>
      </c>
      <c r="F11498" s="4" t="s">
        <v>58192</v>
      </c>
      <c r="G11498" s="4" t="s">
        <v>58193</v>
      </c>
      <c r="H11498" s="3" t="s">
        <v>57649</v>
      </c>
      <c r="I11498" s="3" t="s">
        <v>58194</v>
      </c>
      <c r="J11498" s="3" t="s">
        <v>566</v>
      </c>
      <c r="K11498" s="3" t="s">
        <v>58195</v>
      </c>
      <c r="L11498" s="3"/>
      <c r="M11498" s="4"/>
      <c r="N11498" s="3" t="s">
        <v>37</v>
      </c>
      <c r="O11498" s="3" t="s">
        <v>38</v>
      </c>
      <c r="P11498" s="5">
        <v>4</v>
      </c>
      <c r="Q11498" s="5">
        <v>30</v>
      </c>
      <c r="R11498" s="5">
        <v>3</v>
      </c>
      <c r="S11498" s="5">
        <v>30</v>
      </c>
    </row>
    <row r="11499" spans="1:19" ht="56" x14ac:dyDescent="0.15">
      <c r="A11499" s="2">
        <f>HYPERLINK("https://open-school.uspishnemisto.com.ua/school/590127/", 590127)</f>
        <v>590127</v>
      </c>
      <c r="B11499" s="3" t="s">
        <v>58196</v>
      </c>
      <c r="C11499" s="3" t="s">
        <v>54</v>
      </c>
      <c r="D11499" s="3" t="s">
        <v>32</v>
      </c>
      <c r="E11499" s="4" t="s">
        <v>22</v>
      </c>
      <c r="F11499" s="4" t="s">
        <v>58197</v>
      </c>
      <c r="G11499" s="4" t="s">
        <v>58198</v>
      </c>
      <c r="H11499" s="3" t="s">
        <v>57649</v>
      </c>
      <c r="I11499" s="3" t="s">
        <v>58199</v>
      </c>
      <c r="J11499" s="3" t="s">
        <v>466</v>
      </c>
      <c r="K11499" s="3" t="s">
        <v>58200</v>
      </c>
      <c r="L11499" s="3"/>
      <c r="M11499" s="4"/>
      <c r="N11499" s="3" t="s">
        <v>37</v>
      </c>
      <c r="O11499" s="3" t="s">
        <v>70</v>
      </c>
      <c r="P11499" s="5">
        <v>11</v>
      </c>
      <c r="Q11499" s="5">
        <v>113</v>
      </c>
      <c r="R11499" s="5">
        <v>11</v>
      </c>
      <c r="S11499" s="5">
        <v>119</v>
      </c>
    </row>
    <row r="11500" spans="1:19" ht="56" x14ac:dyDescent="0.15">
      <c r="A11500" s="2">
        <f>HYPERLINK("https://open-school.uspishnemisto.com.ua/school/590128/", 590128)</f>
        <v>590128</v>
      </c>
      <c r="B11500" s="3" t="s">
        <v>58201</v>
      </c>
      <c r="C11500" s="3" t="s">
        <v>54</v>
      </c>
      <c r="D11500" s="3" t="s">
        <v>175</v>
      </c>
      <c r="E11500" s="4" t="s">
        <v>22</v>
      </c>
      <c r="F11500" s="4" t="s">
        <v>58126</v>
      </c>
      <c r="G11500" s="4" t="s">
        <v>58202</v>
      </c>
      <c r="H11500" s="3" t="s">
        <v>57649</v>
      </c>
      <c r="I11500" s="3" t="s">
        <v>3409</v>
      </c>
      <c r="J11500" s="3" t="s">
        <v>58203</v>
      </c>
      <c r="K11500" s="3" t="s">
        <v>58204</v>
      </c>
      <c r="L11500" s="3"/>
      <c r="M11500" s="4"/>
      <c r="N11500" s="3" t="s">
        <v>37</v>
      </c>
      <c r="O11500" s="3" t="s">
        <v>38</v>
      </c>
      <c r="P11500" s="5">
        <v>6</v>
      </c>
      <c r="Q11500" s="5">
        <v>52</v>
      </c>
      <c r="R11500" s="5">
        <v>5</v>
      </c>
      <c r="S11500" s="5">
        <v>45</v>
      </c>
    </row>
    <row r="11501" spans="1:19" ht="56" x14ac:dyDescent="0.15">
      <c r="A11501" s="2">
        <f>HYPERLINK("https://open-school.uspishnemisto.com.ua/school/590129/", 590129)</f>
        <v>590129</v>
      </c>
      <c r="B11501" s="3" t="s">
        <v>58205</v>
      </c>
      <c r="C11501" s="3" t="s">
        <v>54</v>
      </c>
      <c r="D11501" s="3" t="s">
        <v>32</v>
      </c>
      <c r="E11501" s="4" t="s">
        <v>22</v>
      </c>
      <c r="F11501" s="4" t="s">
        <v>58206</v>
      </c>
      <c r="G11501" s="4" t="s">
        <v>58207</v>
      </c>
      <c r="H11501" s="3" t="s">
        <v>57649</v>
      </c>
      <c r="I11501" s="3" t="s">
        <v>50686</v>
      </c>
      <c r="J11501" s="3" t="s">
        <v>466</v>
      </c>
      <c r="K11501" s="3" t="s">
        <v>58208</v>
      </c>
      <c r="L11501" s="3" t="s">
        <v>58209</v>
      </c>
      <c r="M11501" s="4"/>
      <c r="N11501" s="3" t="s">
        <v>37</v>
      </c>
      <c r="O11501" s="3" t="s">
        <v>70</v>
      </c>
      <c r="P11501" s="5">
        <v>8</v>
      </c>
      <c r="Q11501" s="5">
        <v>50</v>
      </c>
      <c r="R11501" s="5">
        <v>7</v>
      </c>
      <c r="S11501" s="5">
        <v>56</v>
      </c>
    </row>
    <row r="11502" spans="1:19" ht="56" x14ac:dyDescent="0.15">
      <c r="A11502" s="2">
        <f>HYPERLINK("https://open-school.uspishnemisto.com.ua/school/590130/", 590130)</f>
        <v>590130</v>
      </c>
      <c r="B11502" s="3" t="s">
        <v>58210</v>
      </c>
      <c r="C11502" s="3" t="s">
        <v>54</v>
      </c>
      <c r="D11502" s="3" t="s">
        <v>32</v>
      </c>
      <c r="E11502" s="4" t="s">
        <v>22</v>
      </c>
      <c r="F11502" s="4" t="s">
        <v>58211</v>
      </c>
      <c r="G11502" s="4" t="s">
        <v>58212</v>
      </c>
      <c r="H11502" s="3" t="s">
        <v>57649</v>
      </c>
      <c r="I11502" s="3" t="s">
        <v>15335</v>
      </c>
      <c r="J11502" s="3" t="s">
        <v>58213</v>
      </c>
      <c r="K11502" s="3" t="s">
        <v>58214</v>
      </c>
      <c r="L11502" s="3"/>
      <c r="M11502" s="4"/>
      <c r="N11502" s="3" t="s">
        <v>37</v>
      </c>
      <c r="O11502" s="3" t="s">
        <v>38</v>
      </c>
      <c r="P11502" s="5">
        <v>11</v>
      </c>
      <c r="Q11502" s="5">
        <v>96</v>
      </c>
      <c r="R11502" s="5">
        <v>11</v>
      </c>
      <c r="S11502" s="5">
        <v>98</v>
      </c>
    </row>
    <row r="11503" spans="1:19" ht="42" x14ac:dyDescent="0.15">
      <c r="A11503" s="2">
        <f>HYPERLINK("https://open-school.uspishnemisto.com.ua/school/590131/", 590131)</f>
        <v>590131</v>
      </c>
      <c r="B11503" s="3" t="s">
        <v>58215</v>
      </c>
      <c r="C11503" s="3" t="s">
        <v>54</v>
      </c>
      <c r="D11503" s="3" t="s">
        <v>60</v>
      </c>
      <c r="E11503" s="4" t="s">
        <v>22</v>
      </c>
      <c r="F11503" s="4" t="s">
        <v>57868</v>
      </c>
      <c r="G11503" s="4" t="s">
        <v>58216</v>
      </c>
      <c r="H11503" s="3" t="s">
        <v>57649</v>
      </c>
      <c r="I11503" s="3" t="s">
        <v>1021</v>
      </c>
      <c r="J11503" s="3" t="s">
        <v>19901</v>
      </c>
      <c r="K11503" s="3" t="s">
        <v>58217</v>
      </c>
      <c r="L11503" s="3"/>
      <c r="M11503" s="4"/>
      <c r="N11503" s="3" t="s">
        <v>37</v>
      </c>
      <c r="O11503" s="3" t="s">
        <v>52</v>
      </c>
      <c r="P11503" s="5">
        <v>0</v>
      </c>
      <c r="Q11503" s="5">
        <v>3</v>
      </c>
      <c r="R11503" s="5">
        <v>1</v>
      </c>
      <c r="S11503" s="5">
        <v>8</v>
      </c>
    </row>
    <row r="11504" spans="1:19" ht="28" x14ac:dyDescent="0.15">
      <c r="A11504" s="2">
        <f>HYPERLINK("https://open-school.uspishnemisto.com.ua/school/590132/", 590132)</f>
        <v>590132</v>
      </c>
      <c r="B11504" s="3" t="s">
        <v>58218</v>
      </c>
      <c r="C11504" s="3" t="s">
        <v>31</v>
      </c>
      <c r="D11504" s="3" t="s">
        <v>32</v>
      </c>
      <c r="E11504" s="4" t="s">
        <v>22</v>
      </c>
      <c r="F11504" s="4" t="s">
        <v>58219</v>
      </c>
      <c r="G11504" s="4" t="s">
        <v>58220</v>
      </c>
      <c r="H11504" s="3" t="s">
        <v>57649</v>
      </c>
      <c r="I11504" s="3" t="s">
        <v>58221</v>
      </c>
      <c r="J11504" s="3" t="s">
        <v>58222</v>
      </c>
      <c r="K11504" s="3" t="s">
        <v>58223</v>
      </c>
      <c r="L11504" s="3"/>
      <c r="M11504" s="4"/>
      <c r="N11504" s="3" t="s">
        <v>37</v>
      </c>
      <c r="O11504" s="3" t="s">
        <v>38</v>
      </c>
      <c r="P11504" s="5">
        <v>11</v>
      </c>
      <c r="Q11504" s="5">
        <v>153</v>
      </c>
      <c r="R11504" s="5">
        <v>12</v>
      </c>
      <c r="S11504" s="5">
        <v>154</v>
      </c>
    </row>
    <row r="11505" spans="1:19" ht="28" x14ac:dyDescent="0.15">
      <c r="A11505" s="2">
        <f>HYPERLINK("https://open-school.uspishnemisto.com.ua/school/590133/", 590133)</f>
        <v>590133</v>
      </c>
      <c r="B11505" s="3" t="s">
        <v>58224</v>
      </c>
      <c r="C11505" s="3" t="s">
        <v>31</v>
      </c>
      <c r="D11505" s="3" t="s">
        <v>32</v>
      </c>
      <c r="E11505" s="4" t="s">
        <v>22</v>
      </c>
      <c r="F11505" s="4" t="s">
        <v>58225</v>
      </c>
      <c r="G11505" s="4" t="s">
        <v>58226</v>
      </c>
      <c r="H11505" s="3" t="s">
        <v>57649</v>
      </c>
      <c r="I11505" s="3" t="s">
        <v>11783</v>
      </c>
      <c r="J11505" s="3" t="s">
        <v>58227</v>
      </c>
      <c r="K11505" s="3" t="s">
        <v>58228</v>
      </c>
      <c r="L11505" s="3"/>
      <c r="M11505" s="4"/>
      <c r="N11505" s="3" t="s">
        <v>37</v>
      </c>
      <c r="O11505" s="3" t="s">
        <v>38</v>
      </c>
      <c r="P11505" s="5">
        <v>11</v>
      </c>
      <c r="Q11505" s="5">
        <v>158</v>
      </c>
      <c r="R11505" s="5">
        <v>11</v>
      </c>
      <c r="S11505" s="5">
        <v>147</v>
      </c>
    </row>
    <row r="11506" spans="1:19" ht="42" x14ac:dyDescent="0.15">
      <c r="A11506" s="2">
        <f>HYPERLINK("https://open-school.uspishnemisto.com.ua/school/590134/", 590134)</f>
        <v>590134</v>
      </c>
      <c r="B11506" s="3" t="s">
        <v>58229</v>
      </c>
      <c r="C11506" s="3" t="s">
        <v>54</v>
      </c>
      <c r="D11506" s="3" t="s">
        <v>175</v>
      </c>
      <c r="E11506" s="4" t="s">
        <v>22</v>
      </c>
      <c r="F11506" s="4" t="s">
        <v>58230</v>
      </c>
      <c r="G11506" s="4" t="s">
        <v>58231</v>
      </c>
      <c r="H11506" s="3" t="s">
        <v>57649</v>
      </c>
      <c r="I11506" s="3" t="s">
        <v>2328</v>
      </c>
      <c r="J11506" s="3" t="s">
        <v>58232</v>
      </c>
      <c r="K11506" s="3" t="s">
        <v>58233</v>
      </c>
      <c r="L11506" s="3"/>
      <c r="M11506" s="4"/>
      <c r="N11506" s="3" t="s">
        <v>37</v>
      </c>
      <c r="O11506" s="3" t="s">
        <v>38</v>
      </c>
      <c r="P11506" s="5">
        <v>0</v>
      </c>
      <c r="Q11506" s="5">
        <v>14</v>
      </c>
      <c r="R11506" s="5">
        <v>0</v>
      </c>
      <c r="S11506" s="5">
        <v>15</v>
      </c>
    </row>
    <row r="11507" spans="1:19" ht="42" x14ac:dyDescent="0.15">
      <c r="A11507" s="2">
        <f>HYPERLINK("https://open-school.uspishnemisto.com.ua/school/590135/", 590135)</f>
        <v>590135</v>
      </c>
      <c r="B11507" s="3" t="s">
        <v>58234</v>
      </c>
      <c r="C11507" s="3" t="s">
        <v>31</v>
      </c>
      <c r="D11507" s="3" t="s">
        <v>32</v>
      </c>
      <c r="E11507" s="4" t="s">
        <v>22</v>
      </c>
      <c r="F11507" s="4" t="s">
        <v>58235</v>
      </c>
      <c r="G11507" s="4" t="s">
        <v>58236</v>
      </c>
      <c r="H11507" s="3" t="s">
        <v>57649</v>
      </c>
      <c r="I11507" s="3" t="s">
        <v>1646</v>
      </c>
      <c r="J11507" s="3" t="s">
        <v>58237</v>
      </c>
      <c r="K11507" s="3" t="s">
        <v>58238</v>
      </c>
      <c r="L11507" s="3"/>
      <c r="M11507" s="4"/>
      <c r="N11507" s="3" t="s">
        <v>37</v>
      </c>
      <c r="O11507" s="3" t="s">
        <v>70</v>
      </c>
      <c r="P11507" s="5">
        <v>21</v>
      </c>
      <c r="Q11507" s="5">
        <v>501</v>
      </c>
      <c r="R11507" s="5">
        <v>22</v>
      </c>
      <c r="S11507" s="5">
        <v>507</v>
      </c>
    </row>
    <row r="11508" spans="1:19" ht="42" x14ac:dyDescent="0.15">
      <c r="A11508" s="2">
        <f>HYPERLINK("https://open-school.uspishnemisto.com.ua/school/590136/", 590136)</f>
        <v>590136</v>
      </c>
      <c r="B11508" s="3" t="s">
        <v>58239</v>
      </c>
      <c r="C11508" s="3" t="s">
        <v>293</v>
      </c>
      <c r="D11508" s="3" t="s">
        <v>32</v>
      </c>
      <c r="E11508" s="4" t="s">
        <v>22</v>
      </c>
      <c r="F11508" s="4" t="s">
        <v>58235</v>
      </c>
      <c r="G11508" s="4" t="s">
        <v>58236</v>
      </c>
      <c r="H11508" s="3" t="s">
        <v>57649</v>
      </c>
      <c r="I11508" s="3" t="s">
        <v>1646</v>
      </c>
      <c r="J11508" s="3" t="s">
        <v>58240</v>
      </c>
      <c r="K11508" s="3" t="s">
        <v>58241</v>
      </c>
      <c r="L11508" s="3" t="s">
        <v>58242</v>
      </c>
      <c r="M11508" s="4" t="s">
        <v>58243</v>
      </c>
      <c r="N11508" s="3" t="s">
        <v>37</v>
      </c>
      <c r="O11508" s="3" t="s">
        <v>38</v>
      </c>
      <c r="P11508" s="5">
        <v>11</v>
      </c>
      <c r="Q11508" s="5">
        <v>171</v>
      </c>
      <c r="R11508" s="5">
        <v>11</v>
      </c>
      <c r="S11508" s="5">
        <v>165</v>
      </c>
    </row>
    <row r="11509" spans="1:19" ht="28" x14ac:dyDescent="0.15">
      <c r="A11509" s="2">
        <f>HYPERLINK("https://open-school.uspishnemisto.com.ua/school/590137/", 590137)</f>
        <v>590137</v>
      </c>
      <c r="B11509" s="3" t="s">
        <v>58244</v>
      </c>
      <c r="C11509" s="3" t="s">
        <v>244</v>
      </c>
      <c r="D11509" s="3" t="s">
        <v>32</v>
      </c>
      <c r="E11509" s="4" t="s">
        <v>22</v>
      </c>
      <c r="F11509" s="4" t="s">
        <v>58235</v>
      </c>
      <c r="G11509" s="4" t="s">
        <v>58236</v>
      </c>
      <c r="H11509" s="3" t="s">
        <v>57649</v>
      </c>
      <c r="I11509" s="3" t="s">
        <v>1646</v>
      </c>
      <c r="J11509" s="3" t="s">
        <v>58245</v>
      </c>
      <c r="K11509" s="3" t="s">
        <v>58246</v>
      </c>
      <c r="L11509" s="3" t="s">
        <v>58247</v>
      </c>
      <c r="M11509" s="4"/>
      <c r="N11509" s="3" t="s">
        <v>37</v>
      </c>
      <c r="O11509" s="3" t="s">
        <v>46</v>
      </c>
      <c r="P11509" s="5">
        <v>21</v>
      </c>
      <c r="Q11509" s="5">
        <v>444</v>
      </c>
      <c r="R11509" s="5">
        <v>20</v>
      </c>
      <c r="S11509" s="5">
        <v>433</v>
      </c>
    </row>
    <row r="11510" spans="1:19" ht="56" x14ac:dyDescent="0.15">
      <c r="A11510" s="2">
        <f>HYPERLINK("https://open-school.uspishnemisto.com.ua/school/590138/", 590138)</f>
        <v>590138</v>
      </c>
      <c r="B11510" s="3" t="s">
        <v>58248</v>
      </c>
      <c r="C11510" s="3" t="s">
        <v>54</v>
      </c>
      <c r="D11510" s="3" t="s">
        <v>32</v>
      </c>
      <c r="E11510" s="4" t="s">
        <v>22</v>
      </c>
      <c r="F11510" s="4" t="s">
        <v>58235</v>
      </c>
      <c r="G11510" s="4" t="s">
        <v>58236</v>
      </c>
      <c r="H11510" s="3" t="s">
        <v>57649</v>
      </c>
      <c r="I11510" s="3" t="s">
        <v>1646</v>
      </c>
      <c r="J11510" s="3" t="s">
        <v>24976</v>
      </c>
      <c r="K11510" s="3" t="s">
        <v>58249</v>
      </c>
      <c r="L11510" s="3"/>
      <c r="M11510" s="4"/>
      <c r="N11510" s="3" t="s">
        <v>37</v>
      </c>
      <c r="O11510" s="3" t="s">
        <v>38</v>
      </c>
      <c r="P11510" s="5">
        <v>11</v>
      </c>
      <c r="Q11510" s="5">
        <v>184</v>
      </c>
      <c r="R11510" s="5">
        <v>11</v>
      </c>
      <c r="S11510" s="5">
        <v>174</v>
      </c>
    </row>
    <row r="11511" spans="1:19" ht="42" x14ac:dyDescent="0.15">
      <c r="A11511" s="2">
        <f>HYPERLINK("https://open-school.uspishnemisto.com.ua/school/590139/", 590139)</f>
        <v>590139</v>
      </c>
      <c r="B11511" s="3" t="s">
        <v>58250</v>
      </c>
      <c r="C11511" s="3" t="s">
        <v>54</v>
      </c>
      <c r="D11511" s="3" t="s">
        <v>32</v>
      </c>
      <c r="E11511" s="4" t="s">
        <v>22</v>
      </c>
      <c r="F11511" s="4" t="s">
        <v>58251</v>
      </c>
      <c r="G11511" s="4" t="s">
        <v>58236</v>
      </c>
      <c r="H11511" s="3" t="s">
        <v>57649</v>
      </c>
      <c r="I11511" s="3" t="s">
        <v>1646</v>
      </c>
      <c r="J11511" s="3" t="s">
        <v>58252</v>
      </c>
      <c r="K11511" s="3" t="s">
        <v>58253</v>
      </c>
      <c r="L11511" s="3"/>
      <c r="M11511" s="4"/>
      <c r="N11511" s="3" t="s">
        <v>37</v>
      </c>
      <c r="O11511" s="3" t="s">
        <v>38</v>
      </c>
      <c r="P11511" s="5">
        <v>11</v>
      </c>
      <c r="Q11511" s="5">
        <v>174</v>
      </c>
      <c r="R11511" s="5">
        <v>11</v>
      </c>
      <c r="S11511" s="5">
        <v>162</v>
      </c>
    </row>
    <row r="11512" spans="1:19" ht="28" x14ac:dyDescent="0.15">
      <c r="A11512" s="2">
        <f>HYPERLINK("https://open-school.uspishnemisto.com.ua/school/590140/", 590140)</f>
        <v>590140</v>
      </c>
      <c r="B11512" s="3" t="s">
        <v>58254</v>
      </c>
      <c r="C11512" s="3" t="s">
        <v>31</v>
      </c>
      <c r="D11512" s="3" t="s">
        <v>32</v>
      </c>
      <c r="E11512" s="4" t="s">
        <v>22</v>
      </c>
      <c r="F11512" s="4" t="s">
        <v>58255</v>
      </c>
      <c r="G11512" s="4" t="s">
        <v>58256</v>
      </c>
      <c r="H11512" s="3" t="s">
        <v>57649</v>
      </c>
      <c r="I11512" s="3" t="s">
        <v>58257</v>
      </c>
      <c r="J11512" s="3" t="s">
        <v>952</v>
      </c>
      <c r="K11512" s="3" t="s">
        <v>58258</v>
      </c>
      <c r="L11512" s="3"/>
      <c r="M11512" s="4"/>
      <c r="N11512" s="3" t="s">
        <v>37</v>
      </c>
      <c r="O11512" s="3" t="s">
        <v>38</v>
      </c>
      <c r="P11512" s="5">
        <v>13</v>
      </c>
      <c r="Q11512" s="5">
        <v>249</v>
      </c>
      <c r="R11512" s="5">
        <v>12</v>
      </c>
      <c r="S11512" s="5">
        <v>241</v>
      </c>
    </row>
    <row r="11513" spans="1:19" ht="56" x14ac:dyDescent="0.15">
      <c r="A11513" s="2">
        <f>HYPERLINK("https://open-school.uspishnemisto.com.ua/school/590141/", 590141)</f>
        <v>590141</v>
      </c>
      <c r="B11513" s="3" t="s">
        <v>58259</v>
      </c>
      <c r="C11513" s="3" t="s">
        <v>54</v>
      </c>
      <c r="D11513" s="3" t="s">
        <v>175</v>
      </c>
      <c r="E11513" s="4" t="s">
        <v>22</v>
      </c>
      <c r="F11513" s="4" t="s">
        <v>58255</v>
      </c>
      <c r="G11513" s="4" t="s">
        <v>58256</v>
      </c>
      <c r="H11513" s="3" t="s">
        <v>57649</v>
      </c>
      <c r="I11513" s="3" t="s">
        <v>58257</v>
      </c>
      <c r="J11513" s="3" t="s">
        <v>58260</v>
      </c>
      <c r="K11513" s="3" t="s">
        <v>58261</v>
      </c>
      <c r="L11513" s="3" t="s">
        <v>58262</v>
      </c>
      <c r="M11513" s="4"/>
      <c r="N11513" s="3" t="s">
        <v>37</v>
      </c>
      <c r="O11513" s="3" t="s">
        <v>38</v>
      </c>
      <c r="P11513" s="5">
        <v>7</v>
      </c>
      <c r="Q11513" s="5">
        <v>69</v>
      </c>
      <c r="R11513" s="5">
        <v>7</v>
      </c>
      <c r="S11513" s="5">
        <v>57</v>
      </c>
    </row>
    <row r="11514" spans="1:19" ht="56" x14ac:dyDescent="0.15">
      <c r="A11514" s="2">
        <f>HYPERLINK("https://open-school.uspishnemisto.com.ua/school/590142/", 590142)</f>
        <v>590142</v>
      </c>
      <c r="B11514" s="3" t="s">
        <v>58263</v>
      </c>
      <c r="C11514" s="3" t="s">
        <v>54</v>
      </c>
      <c r="D11514" s="3" t="s">
        <v>32</v>
      </c>
      <c r="E11514" s="4" t="s">
        <v>22</v>
      </c>
      <c r="F11514" s="4" t="s">
        <v>58255</v>
      </c>
      <c r="G11514" s="4" t="s">
        <v>58256</v>
      </c>
      <c r="H11514" s="3" t="s">
        <v>57649</v>
      </c>
      <c r="I11514" s="3" t="s">
        <v>58257</v>
      </c>
      <c r="J11514" s="3" t="s">
        <v>792</v>
      </c>
      <c r="K11514" s="3" t="s">
        <v>58264</v>
      </c>
      <c r="L11514" s="3" t="s">
        <v>58265</v>
      </c>
      <c r="M11514" s="4"/>
      <c r="N11514" s="3" t="s">
        <v>37</v>
      </c>
      <c r="O11514" s="3" t="s">
        <v>38</v>
      </c>
      <c r="P11514" s="5">
        <v>10</v>
      </c>
      <c r="Q11514" s="5">
        <v>141</v>
      </c>
      <c r="R11514" s="5">
        <v>10</v>
      </c>
      <c r="S11514" s="5">
        <v>155</v>
      </c>
    </row>
    <row r="11515" spans="1:19" ht="42" x14ac:dyDescent="0.15">
      <c r="A11515" s="2">
        <f>HYPERLINK("https://open-school.uspishnemisto.com.ua/school/590143/", 590143)</f>
        <v>590143</v>
      </c>
      <c r="B11515" s="3" t="s">
        <v>58266</v>
      </c>
      <c r="C11515" s="3" t="s">
        <v>244</v>
      </c>
      <c r="D11515" s="3" t="s">
        <v>32</v>
      </c>
      <c r="E11515" s="4" t="s">
        <v>22</v>
      </c>
      <c r="F11515" s="4" t="s">
        <v>58267</v>
      </c>
      <c r="G11515" s="4" t="s">
        <v>58268</v>
      </c>
      <c r="H11515" s="3" t="s">
        <v>57649</v>
      </c>
      <c r="I11515" s="3" t="s">
        <v>1740</v>
      </c>
      <c r="J11515" s="3" t="s">
        <v>3393</v>
      </c>
      <c r="K11515" s="3" t="s">
        <v>58269</v>
      </c>
      <c r="L11515" s="3"/>
      <c r="M11515" s="4" t="s">
        <v>58270</v>
      </c>
      <c r="N11515" s="3" t="s">
        <v>37</v>
      </c>
      <c r="O11515" s="3" t="s">
        <v>70</v>
      </c>
      <c r="P11515" s="5">
        <v>22</v>
      </c>
      <c r="Q11515" s="5">
        <v>495</v>
      </c>
      <c r="R11515" s="5">
        <v>22</v>
      </c>
      <c r="S11515" s="5">
        <v>510</v>
      </c>
    </row>
    <row r="11516" spans="1:19" ht="42" x14ac:dyDescent="0.15">
      <c r="A11516" s="2">
        <f>HYPERLINK("https://open-school.uspishnemisto.com.ua/school/590144/", 590144)</f>
        <v>590144</v>
      </c>
      <c r="B11516" s="3" t="s">
        <v>58271</v>
      </c>
      <c r="C11516" s="3" t="s">
        <v>31</v>
      </c>
      <c r="D11516" s="3" t="s">
        <v>175</v>
      </c>
      <c r="E11516" s="4" t="s">
        <v>22</v>
      </c>
      <c r="F11516" s="4" t="s">
        <v>58272</v>
      </c>
      <c r="G11516" s="4" t="s">
        <v>58273</v>
      </c>
      <c r="H11516" s="3" t="s">
        <v>57649</v>
      </c>
      <c r="I11516" s="3" t="s">
        <v>58274</v>
      </c>
      <c r="J11516" s="3" t="s">
        <v>946</v>
      </c>
      <c r="K11516" s="3"/>
      <c r="L11516" s="3"/>
      <c r="M11516" s="4"/>
      <c r="N11516" s="3"/>
      <c r="O11516" s="3"/>
      <c r="P11516" s="5">
        <v>0</v>
      </c>
      <c r="Q11516" s="5">
        <v>0</v>
      </c>
      <c r="R11516" s="5"/>
      <c r="S11516" s="5"/>
    </row>
    <row r="11517" spans="1:19" ht="42" x14ac:dyDescent="0.15">
      <c r="A11517" s="2">
        <f>HYPERLINK("https://open-school.uspishnemisto.com.ua/school/590145/", 590145)</f>
        <v>590145</v>
      </c>
      <c r="B11517" s="3" t="s">
        <v>58275</v>
      </c>
      <c r="C11517" s="3" t="s">
        <v>181</v>
      </c>
      <c r="D11517" s="3" t="s">
        <v>32</v>
      </c>
      <c r="E11517" s="4" t="s">
        <v>22</v>
      </c>
      <c r="F11517" s="4" t="s">
        <v>58276</v>
      </c>
      <c r="G11517" s="4" t="s">
        <v>58277</v>
      </c>
      <c r="H11517" s="3" t="s">
        <v>57649</v>
      </c>
      <c r="I11517" s="3" t="s">
        <v>33531</v>
      </c>
      <c r="J11517" s="3" t="s">
        <v>58278</v>
      </c>
      <c r="K11517" s="3" t="s">
        <v>58279</v>
      </c>
      <c r="L11517" s="3"/>
      <c r="M11517" s="4" t="s">
        <v>58280</v>
      </c>
      <c r="N11517" s="3" t="s">
        <v>37</v>
      </c>
      <c r="O11517" s="3" t="s">
        <v>52</v>
      </c>
      <c r="P11517" s="5">
        <v>15</v>
      </c>
      <c r="Q11517" s="5">
        <v>112</v>
      </c>
      <c r="R11517" s="5">
        <v>15</v>
      </c>
      <c r="S11517" s="5">
        <v>110</v>
      </c>
    </row>
    <row r="11518" spans="1:19" ht="56" x14ac:dyDescent="0.15">
      <c r="A11518" s="2">
        <f>HYPERLINK("https://open-school.uspishnemisto.com.ua/school/590146/", 590146)</f>
        <v>590146</v>
      </c>
      <c r="B11518" s="3" t="s">
        <v>58281</v>
      </c>
      <c r="C11518" s="3" t="s">
        <v>54</v>
      </c>
      <c r="D11518" s="3" t="s">
        <v>32</v>
      </c>
      <c r="E11518" s="4" t="s">
        <v>22</v>
      </c>
      <c r="F11518" s="4" t="s">
        <v>58276</v>
      </c>
      <c r="G11518" s="4" t="s">
        <v>58277</v>
      </c>
      <c r="H11518" s="3" t="s">
        <v>57649</v>
      </c>
      <c r="I11518" s="3" t="s">
        <v>33531</v>
      </c>
      <c r="J11518" s="3" t="s">
        <v>58282</v>
      </c>
      <c r="K11518" s="3" t="s">
        <v>58283</v>
      </c>
      <c r="L11518" s="3" t="s">
        <v>58284</v>
      </c>
      <c r="M11518" s="4"/>
      <c r="N11518" s="3" t="s">
        <v>37</v>
      </c>
      <c r="O11518" s="3" t="s">
        <v>70</v>
      </c>
      <c r="P11518" s="5">
        <v>11</v>
      </c>
      <c r="Q11518" s="5">
        <v>170</v>
      </c>
      <c r="R11518" s="5">
        <v>11</v>
      </c>
      <c r="S11518" s="5">
        <v>169</v>
      </c>
    </row>
    <row r="11519" spans="1:19" ht="28" x14ac:dyDescent="0.15">
      <c r="A11519" s="2">
        <f>HYPERLINK("https://open-school.uspishnemisto.com.ua/school/590147/", 590147)</f>
        <v>590147</v>
      </c>
      <c r="B11519" s="3" t="s">
        <v>58285</v>
      </c>
      <c r="C11519" s="3" t="s">
        <v>31</v>
      </c>
      <c r="D11519" s="3" t="s">
        <v>32</v>
      </c>
      <c r="E11519" s="4" t="s">
        <v>22</v>
      </c>
      <c r="F11519" s="4" t="s">
        <v>58286</v>
      </c>
      <c r="G11519" s="4" t="s">
        <v>58287</v>
      </c>
      <c r="H11519" s="3" t="s">
        <v>57649</v>
      </c>
      <c r="I11519" s="3" t="s">
        <v>58288</v>
      </c>
      <c r="J11519" s="3" t="s">
        <v>58289</v>
      </c>
      <c r="K11519" s="3" t="s">
        <v>58290</v>
      </c>
      <c r="L11519" s="3" t="s">
        <v>58291</v>
      </c>
      <c r="M11519" s="4"/>
      <c r="N11519" s="3" t="s">
        <v>37</v>
      </c>
      <c r="O11519" s="3" t="s">
        <v>38</v>
      </c>
      <c r="P11519" s="5">
        <v>8</v>
      </c>
      <c r="Q11519" s="5">
        <v>56</v>
      </c>
      <c r="R11519" s="5">
        <v>9</v>
      </c>
      <c r="S11519" s="5">
        <v>68</v>
      </c>
    </row>
    <row r="11520" spans="1:19" ht="42" x14ac:dyDescent="0.15">
      <c r="A11520" s="2">
        <f>HYPERLINK("https://open-school.uspishnemisto.com.ua/school/590148/", 590148)</f>
        <v>590148</v>
      </c>
      <c r="B11520" s="3" t="s">
        <v>58292</v>
      </c>
      <c r="C11520" s="3" t="s">
        <v>31</v>
      </c>
      <c r="D11520" s="3" t="s">
        <v>175</v>
      </c>
      <c r="E11520" s="4" t="s">
        <v>22</v>
      </c>
      <c r="F11520" s="4" t="s">
        <v>58293</v>
      </c>
      <c r="G11520" s="4" t="s">
        <v>58294</v>
      </c>
      <c r="H11520" s="3" t="s">
        <v>57649</v>
      </c>
      <c r="I11520" s="3" t="s">
        <v>31802</v>
      </c>
      <c r="J11520" s="3" t="s">
        <v>37590</v>
      </c>
      <c r="K11520" s="3" t="s">
        <v>58295</v>
      </c>
      <c r="L11520" s="3"/>
      <c r="M11520" s="4"/>
      <c r="N11520" s="3" t="s">
        <v>37</v>
      </c>
      <c r="O11520" s="3" t="s">
        <v>52</v>
      </c>
      <c r="P11520" s="5">
        <v>1</v>
      </c>
      <c r="Q11520" s="5">
        <v>25</v>
      </c>
      <c r="R11520" s="5">
        <v>1</v>
      </c>
      <c r="S11520" s="5">
        <v>25</v>
      </c>
    </row>
    <row r="11521" spans="1:19" ht="56" x14ac:dyDescent="0.15">
      <c r="A11521" s="2">
        <f>HYPERLINK("https://open-school.uspishnemisto.com.ua/school/590149/", 590149)</f>
        <v>590149</v>
      </c>
      <c r="B11521" s="3" t="s">
        <v>58296</v>
      </c>
      <c r="C11521" s="3" t="s">
        <v>54</v>
      </c>
      <c r="D11521" s="3" t="s">
        <v>32</v>
      </c>
      <c r="E11521" s="4" t="s">
        <v>22</v>
      </c>
      <c r="F11521" s="4" t="s">
        <v>58297</v>
      </c>
      <c r="G11521" s="4" t="s">
        <v>58298</v>
      </c>
      <c r="H11521" s="3" t="s">
        <v>57649</v>
      </c>
      <c r="I11521" s="3" t="s">
        <v>58299</v>
      </c>
      <c r="J11521" s="3" t="s">
        <v>53778</v>
      </c>
      <c r="K11521" s="3" t="s">
        <v>58300</v>
      </c>
      <c r="L11521" s="3"/>
      <c r="M11521" s="4"/>
      <c r="N11521" s="3" t="s">
        <v>37</v>
      </c>
      <c r="O11521" s="3" t="s">
        <v>70</v>
      </c>
      <c r="P11521" s="5">
        <v>5</v>
      </c>
      <c r="Q11521" s="5">
        <v>46</v>
      </c>
      <c r="R11521" s="5">
        <v>4</v>
      </c>
      <c r="S11521" s="5">
        <v>45</v>
      </c>
    </row>
    <row r="11522" spans="1:19" ht="28" x14ac:dyDescent="0.15">
      <c r="A11522" s="2">
        <f>HYPERLINK("https://open-school.uspishnemisto.com.ua/school/590150/", 590150)</f>
        <v>590150</v>
      </c>
      <c r="B11522" s="3" t="s">
        <v>58301</v>
      </c>
      <c r="C11522" s="3" t="s">
        <v>31</v>
      </c>
      <c r="D11522" s="3" t="s">
        <v>32</v>
      </c>
      <c r="E11522" s="4" t="s">
        <v>22</v>
      </c>
      <c r="F11522" s="4" t="s">
        <v>58302</v>
      </c>
      <c r="G11522" s="4" t="s">
        <v>58303</v>
      </c>
      <c r="H11522" s="3" t="s">
        <v>57649</v>
      </c>
      <c r="I11522" s="3" t="s">
        <v>57307</v>
      </c>
      <c r="J11522" s="3" t="s">
        <v>1451</v>
      </c>
      <c r="K11522" s="3" t="s">
        <v>58304</v>
      </c>
      <c r="L11522" s="3"/>
      <c r="M11522" s="4"/>
      <c r="N11522" s="3" t="s">
        <v>37</v>
      </c>
      <c r="O11522" s="3" t="s">
        <v>38</v>
      </c>
      <c r="P11522" s="5">
        <v>9</v>
      </c>
      <c r="Q11522" s="5">
        <v>105</v>
      </c>
      <c r="R11522" s="5">
        <v>10</v>
      </c>
      <c r="S11522" s="5">
        <v>100</v>
      </c>
    </row>
    <row r="11523" spans="1:19" ht="28" x14ac:dyDescent="0.15">
      <c r="A11523" s="2">
        <f>HYPERLINK("https://open-school.uspishnemisto.com.ua/school/590151/", 590151)</f>
        <v>590151</v>
      </c>
      <c r="B11523" s="3" t="s">
        <v>58305</v>
      </c>
      <c r="C11523" s="3" t="s">
        <v>31</v>
      </c>
      <c r="D11523" s="3" t="s">
        <v>175</v>
      </c>
      <c r="E11523" s="4" t="s">
        <v>22</v>
      </c>
      <c r="F11523" s="4" t="s">
        <v>58306</v>
      </c>
      <c r="G11523" s="4" t="s">
        <v>58307</v>
      </c>
      <c r="H11523" s="3" t="s">
        <v>57649</v>
      </c>
      <c r="I11523" s="3" t="s">
        <v>58308</v>
      </c>
      <c r="J11523" s="3" t="s">
        <v>30464</v>
      </c>
      <c r="K11523" s="3" t="s">
        <v>58309</v>
      </c>
      <c r="L11523" s="3"/>
      <c r="M11523" s="4"/>
      <c r="N11523" s="3" t="s">
        <v>37</v>
      </c>
      <c r="O11523" s="3" t="s">
        <v>38</v>
      </c>
      <c r="P11523" s="5">
        <v>8</v>
      </c>
      <c r="Q11523" s="5">
        <v>60</v>
      </c>
      <c r="R11523" s="5">
        <v>8</v>
      </c>
      <c r="S11523" s="5">
        <v>60</v>
      </c>
    </row>
    <row r="11524" spans="1:19" ht="28" x14ac:dyDescent="0.15">
      <c r="A11524" s="2">
        <f>HYPERLINK("https://open-school.uspishnemisto.com.ua/school/590152/", 590152)</f>
        <v>590152</v>
      </c>
      <c r="B11524" s="3" t="s">
        <v>58310</v>
      </c>
      <c r="C11524" s="3" t="s">
        <v>31</v>
      </c>
      <c r="D11524" s="3" t="s">
        <v>175</v>
      </c>
      <c r="E11524" s="4" t="s">
        <v>22</v>
      </c>
      <c r="F11524" s="4" t="s">
        <v>58311</v>
      </c>
      <c r="G11524" s="4" t="s">
        <v>58312</v>
      </c>
      <c r="H11524" s="3" t="s">
        <v>57649</v>
      </c>
      <c r="I11524" s="3" t="s">
        <v>36298</v>
      </c>
      <c r="J11524" s="3" t="s">
        <v>58313</v>
      </c>
      <c r="K11524" s="3" t="s">
        <v>58314</v>
      </c>
      <c r="L11524" s="3"/>
      <c r="M11524" s="4"/>
      <c r="N11524" s="3" t="s">
        <v>37</v>
      </c>
      <c r="O11524" s="3" t="s">
        <v>46</v>
      </c>
      <c r="P11524" s="5">
        <v>4</v>
      </c>
      <c r="Q11524" s="5">
        <v>42</v>
      </c>
      <c r="R11524" s="5">
        <v>3</v>
      </c>
      <c r="S11524" s="5">
        <v>40</v>
      </c>
    </row>
    <row r="11525" spans="1:19" ht="56" x14ac:dyDescent="0.15">
      <c r="A11525" s="2">
        <f>HYPERLINK("https://open-school.uspishnemisto.com.ua/school/590153/", 590153)</f>
        <v>590153</v>
      </c>
      <c r="B11525" s="3" t="s">
        <v>58315</v>
      </c>
      <c r="C11525" s="3" t="s">
        <v>54</v>
      </c>
      <c r="D11525" s="3" t="s">
        <v>32</v>
      </c>
      <c r="E11525" s="4" t="s">
        <v>22</v>
      </c>
      <c r="F11525" s="4" t="s">
        <v>58316</v>
      </c>
      <c r="G11525" s="4" t="s">
        <v>58317</v>
      </c>
      <c r="H11525" s="3" t="s">
        <v>57649</v>
      </c>
      <c r="I11525" s="3" t="s">
        <v>58318</v>
      </c>
      <c r="J11525" s="3" t="s">
        <v>12674</v>
      </c>
      <c r="K11525" s="3" t="s">
        <v>58319</v>
      </c>
      <c r="L11525" s="3" t="s">
        <v>58320</v>
      </c>
      <c r="M11525" s="4"/>
      <c r="N11525" s="3" t="s">
        <v>37</v>
      </c>
      <c r="O11525" s="3" t="s">
        <v>112</v>
      </c>
      <c r="P11525" s="5">
        <v>1</v>
      </c>
      <c r="Q11525" s="5">
        <v>33</v>
      </c>
      <c r="R11525" s="5">
        <v>2</v>
      </c>
      <c r="S11525" s="5">
        <v>32</v>
      </c>
    </row>
    <row r="11526" spans="1:19" ht="56" x14ac:dyDescent="0.15">
      <c r="A11526" s="2">
        <f>HYPERLINK("https://open-school.uspishnemisto.com.ua/school/590154/", 590154)</f>
        <v>590154</v>
      </c>
      <c r="B11526" s="3" t="s">
        <v>58321</v>
      </c>
      <c r="C11526" s="3" t="s">
        <v>54</v>
      </c>
      <c r="D11526" s="3" t="s">
        <v>175</v>
      </c>
      <c r="E11526" s="4" t="s">
        <v>22</v>
      </c>
      <c r="F11526" s="4" t="s">
        <v>58322</v>
      </c>
      <c r="G11526" s="4" t="s">
        <v>58323</v>
      </c>
      <c r="H11526" s="3" t="s">
        <v>57649</v>
      </c>
      <c r="I11526" s="3" t="s">
        <v>58324</v>
      </c>
      <c r="J11526" s="3" t="s">
        <v>297</v>
      </c>
      <c r="K11526" s="3" t="s">
        <v>58325</v>
      </c>
      <c r="L11526" s="3"/>
      <c r="M11526" s="4"/>
      <c r="N11526" s="3" t="s">
        <v>37</v>
      </c>
      <c r="O11526" s="3" t="s">
        <v>38</v>
      </c>
      <c r="P11526" s="5">
        <v>3</v>
      </c>
      <c r="Q11526" s="5">
        <v>29</v>
      </c>
      <c r="R11526" s="5">
        <v>1</v>
      </c>
      <c r="S11526" s="5">
        <v>25</v>
      </c>
    </row>
    <row r="11527" spans="1:19" ht="28" x14ac:dyDescent="0.15">
      <c r="A11527" s="2">
        <f>HYPERLINK("https://open-school.uspishnemisto.com.ua/school/590155/", 590155)</f>
        <v>590155</v>
      </c>
      <c r="B11527" s="3" t="s">
        <v>58326</v>
      </c>
      <c r="C11527" s="3" t="s">
        <v>31</v>
      </c>
      <c r="D11527" s="3" t="s">
        <v>175</v>
      </c>
      <c r="E11527" s="4" t="s">
        <v>22</v>
      </c>
      <c r="F11527" s="4" t="s">
        <v>58327</v>
      </c>
      <c r="G11527" s="4" t="s">
        <v>58328</v>
      </c>
      <c r="H11527" s="3" t="s">
        <v>57649</v>
      </c>
      <c r="I11527" s="3" t="s">
        <v>58329</v>
      </c>
      <c r="J11527" s="3" t="s">
        <v>466</v>
      </c>
      <c r="K11527" s="3" t="s">
        <v>58330</v>
      </c>
      <c r="L11527" s="3"/>
      <c r="M11527" s="4"/>
      <c r="N11527" s="3" t="s">
        <v>37</v>
      </c>
      <c r="O11527" s="3" t="s">
        <v>38</v>
      </c>
      <c r="P11527" s="5">
        <v>0</v>
      </c>
      <c r="Q11527" s="5">
        <v>27</v>
      </c>
      <c r="R11527" s="5">
        <v>2</v>
      </c>
      <c r="S11527" s="5">
        <v>29</v>
      </c>
    </row>
    <row r="11528" spans="1:19" ht="56" x14ac:dyDescent="0.15">
      <c r="A11528" s="2">
        <f>HYPERLINK("https://open-school.uspishnemisto.com.ua/school/590156/", 590156)</f>
        <v>590156</v>
      </c>
      <c r="B11528" s="3" t="s">
        <v>58331</v>
      </c>
      <c r="C11528" s="3" t="s">
        <v>54</v>
      </c>
      <c r="D11528" s="3" t="s">
        <v>32</v>
      </c>
      <c r="E11528" s="4" t="s">
        <v>22</v>
      </c>
      <c r="F11528" s="4" t="s">
        <v>58332</v>
      </c>
      <c r="G11528" s="4" t="s">
        <v>58333</v>
      </c>
      <c r="H11528" s="3" t="s">
        <v>57649</v>
      </c>
      <c r="I11528" s="3" t="s">
        <v>58334</v>
      </c>
      <c r="J11528" s="3" t="s">
        <v>58335</v>
      </c>
      <c r="K11528" s="3" t="s">
        <v>58336</v>
      </c>
      <c r="L11528" s="3"/>
      <c r="M11528" s="4"/>
      <c r="N11528" s="3" t="s">
        <v>37</v>
      </c>
      <c r="O11528" s="3" t="s">
        <v>38</v>
      </c>
      <c r="P11528" s="5">
        <v>11</v>
      </c>
      <c r="Q11528" s="5">
        <v>82</v>
      </c>
      <c r="R11528" s="5">
        <v>11</v>
      </c>
      <c r="S11528" s="5">
        <v>84</v>
      </c>
    </row>
    <row r="11529" spans="1:19" ht="28" x14ac:dyDescent="0.15">
      <c r="A11529" s="2">
        <f>HYPERLINK("https://open-school.uspishnemisto.com.ua/school/590157/", 590157)</f>
        <v>590157</v>
      </c>
      <c r="B11529" s="3" t="s">
        <v>58337</v>
      </c>
      <c r="C11529" s="3" t="s">
        <v>31</v>
      </c>
      <c r="D11529" s="3" t="s">
        <v>32</v>
      </c>
      <c r="E11529" s="4" t="s">
        <v>22</v>
      </c>
      <c r="F11529" s="4" t="s">
        <v>58338</v>
      </c>
      <c r="G11529" s="4" t="s">
        <v>58339</v>
      </c>
      <c r="H11529" s="3" t="s">
        <v>57649</v>
      </c>
      <c r="I11529" s="3" t="s">
        <v>58340</v>
      </c>
      <c r="J11529" s="3" t="s">
        <v>58341</v>
      </c>
      <c r="K11529" s="3"/>
      <c r="L11529" s="3"/>
      <c r="M11529" s="4"/>
      <c r="N11529" s="3" t="s">
        <v>37</v>
      </c>
      <c r="O11529" s="3" t="s">
        <v>46</v>
      </c>
      <c r="P11529" s="5">
        <v>5</v>
      </c>
      <c r="Q11529" s="5">
        <v>44</v>
      </c>
      <c r="R11529" s="5">
        <v>6</v>
      </c>
      <c r="S11529" s="5">
        <v>47</v>
      </c>
    </row>
    <row r="11530" spans="1:19" ht="42" x14ac:dyDescent="0.15">
      <c r="A11530" s="2">
        <f>HYPERLINK("https://open-school.uspishnemisto.com.ua/school/590158/", 590158)</f>
        <v>590158</v>
      </c>
      <c r="B11530" s="3" t="s">
        <v>58342</v>
      </c>
      <c r="C11530" s="3" t="s">
        <v>31</v>
      </c>
      <c r="D11530" s="3" t="s">
        <v>32</v>
      </c>
      <c r="E11530" s="4" t="s">
        <v>22</v>
      </c>
      <c r="F11530" s="4" t="s">
        <v>58343</v>
      </c>
      <c r="G11530" s="4" t="s">
        <v>58344</v>
      </c>
      <c r="H11530" s="3" t="s">
        <v>57649</v>
      </c>
      <c r="I11530" s="3" t="s">
        <v>3537</v>
      </c>
      <c r="J11530" s="3" t="s">
        <v>466</v>
      </c>
      <c r="K11530" s="3" t="s">
        <v>58345</v>
      </c>
      <c r="L11530" s="3" t="s">
        <v>58346</v>
      </c>
      <c r="M11530" s="4"/>
      <c r="N11530" s="3" t="s">
        <v>37</v>
      </c>
      <c r="O11530" s="3" t="s">
        <v>38</v>
      </c>
      <c r="P11530" s="5">
        <v>5</v>
      </c>
      <c r="Q11530" s="5">
        <v>48</v>
      </c>
      <c r="R11530" s="5">
        <v>5</v>
      </c>
      <c r="S11530" s="5">
        <v>47</v>
      </c>
    </row>
    <row r="11531" spans="1:19" ht="28" x14ac:dyDescent="0.15">
      <c r="A11531" s="2">
        <f>HYPERLINK("https://open-school.uspishnemisto.com.ua/school/590160/", 590160)</f>
        <v>590160</v>
      </c>
      <c r="B11531" s="3" t="s">
        <v>58347</v>
      </c>
      <c r="C11531" s="3" t="s">
        <v>54</v>
      </c>
      <c r="D11531" s="3" t="s">
        <v>32</v>
      </c>
      <c r="E11531" s="4" t="s">
        <v>22</v>
      </c>
      <c r="F11531" s="4" t="s">
        <v>58348</v>
      </c>
      <c r="G11531" s="4" t="s">
        <v>58349</v>
      </c>
      <c r="H11531" s="3" t="s">
        <v>57649</v>
      </c>
      <c r="I11531" s="3" t="s">
        <v>58350</v>
      </c>
      <c r="J11531" s="3" t="s">
        <v>28925</v>
      </c>
      <c r="K11531" s="3" t="s">
        <v>58351</v>
      </c>
      <c r="L11531" s="3"/>
      <c r="M11531" s="4"/>
      <c r="N11531" s="3" t="s">
        <v>37</v>
      </c>
      <c r="O11531" s="3" t="s">
        <v>618</v>
      </c>
      <c r="P11531" s="5">
        <v>2</v>
      </c>
      <c r="Q11531" s="5">
        <v>25</v>
      </c>
      <c r="R11531" s="5">
        <v>2</v>
      </c>
      <c r="S11531" s="5">
        <v>26</v>
      </c>
    </row>
    <row r="11532" spans="1:19" ht="56" x14ac:dyDescent="0.15">
      <c r="A11532" s="2">
        <f>HYPERLINK("https://open-school.uspishnemisto.com.ua/school/590161/", 590161)</f>
        <v>590161</v>
      </c>
      <c r="B11532" s="3" t="s">
        <v>58352</v>
      </c>
      <c r="C11532" s="3" t="s">
        <v>54</v>
      </c>
      <c r="D11532" s="3" t="s">
        <v>32</v>
      </c>
      <c r="E11532" s="4" t="s">
        <v>22</v>
      </c>
      <c r="F11532" s="4" t="s">
        <v>58353</v>
      </c>
      <c r="G11532" s="4" t="s">
        <v>58354</v>
      </c>
      <c r="H11532" s="3" t="s">
        <v>57649</v>
      </c>
      <c r="I11532" s="3" t="s">
        <v>1587</v>
      </c>
      <c r="J11532" s="3" t="s">
        <v>58355</v>
      </c>
      <c r="K11532" s="3" t="s">
        <v>58356</v>
      </c>
      <c r="L11532" s="3" t="s">
        <v>58357</v>
      </c>
      <c r="M11532" s="4"/>
      <c r="N11532" s="3" t="s">
        <v>37</v>
      </c>
      <c r="O11532" s="3" t="s">
        <v>70</v>
      </c>
      <c r="P11532" s="5">
        <v>10</v>
      </c>
      <c r="Q11532" s="5">
        <v>80</v>
      </c>
      <c r="R11532" s="5">
        <v>9</v>
      </c>
      <c r="S11532" s="5">
        <v>80</v>
      </c>
    </row>
    <row r="11533" spans="1:19" ht="28" x14ac:dyDescent="0.15">
      <c r="A11533" s="2">
        <f>HYPERLINK("https://open-school.uspishnemisto.com.ua/school/590162/", 590162)</f>
        <v>590162</v>
      </c>
      <c r="B11533" s="3" t="s">
        <v>58358</v>
      </c>
      <c r="C11533" s="3" t="s">
        <v>54</v>
      </c>
      <c r="D11533" s="3" t="s">
        <v>32</v>
      </c>
      <c r="E11533" s="4" t="s">
        <v>22</v>
      </c>
      <c r="F11533" s="4" t="s">
        <v>58359</v>
      </c>
      <c r="G11533" s="4" t="s">
        <v>58360</v>
      </c>
      <c r="H11533" s="3" t="s">
        <v>57649</v>
      </c>
      <c r="I11533" s="3" t="s">
        <v>41379</v>
      </c>
      <c r="J11533" s="3" t="s">
        <v>3393</v>
      </c>
      <c r="K11533" s="3" t="s">
        <v>58361</v>
      </c>
      <c r="L11533" s="3"/>
      <c r="M11533" s="4"/>
      <c r="N11533" s="3" t="s">
        <v>37</v>
      </c>
      <c r="O11533" s="3" t="s">
        <v>38</v>
      </c>
      <c r="P11533" s="5">
        <v>11</v>
      </c>
      <c r="Q11533" s="5">
        <v>89</v>
      </c>
      <c r="R11533" s="5">
        <v>10</v>
      </c>
      <c r="S11533" s="5">
        <v>82</v>
      </c>
    </row>
    <row r="11534" spans="1:19" ht="56" x14ac:dyDescent="0.15">
      <c r="A11534" s="2">
        <f>HYPERLINK("https://open-school.uspishnemisto.com.ua/school/590163/", 590163)</f>
        <v>590163</v>
      </c>
      <c r="B11534" s="3" t="s">
        <v>58362</v>
      </c>
      <c r="C11534" s="3" t="s">
        <v>54</v>
      </c>
      <c r="D11534" s="3" t="s">
        <v>32</v>
      </c>
      <c r="E11534" s="4" t="s">
        <v>22</v>
      </c>
      <c r="F11534" s="4" t="s">
        <v>58363</v>
      </c>
      <c r="G11534" s="4" t="s">
        <v>58364</v>
      </c>
      <c r="H11534" s="3" t="s">
        <v>57649</v>
      </c>
      <c r="I11534" s="3" t="s">
        <v>58365</v>
      </c>
      <c r="J11534" s="3" t="s">
        <v>634</v>
      </c>
      <c r="K11534" s="3" t="s">
        <v>58366</v>
      </c>
      <c r="L11534" s="3"/>
      <c r="M11534" s="4"/>
      <c r="N11534" s="3" t="s">
        <v>37</v>
      </c>
      <c r="O11534" s="3" t="s">
        <v>46</v>
      </c>
      <c r="P11534" s="5">
        <v>7</v>
      </c>
      <c r="Q11534" s="5">
        <v>63</v>
      </c>
      <c r="R11534" s="5">
        <v>8</v>
      </c>
      <c r="S11534" s="5">
        <v>66</v>
      </c>
    </row>
    <row r="11535" spans="1:19" ht="56" x14ac:dyDescent="0.15">
      <c r="A11535" s="2">
        <f>HYPERLINK("https://open-school.uspishnemisto.com.ua/school/590164/", 590164)</f>
        <v>590164</v>
      </c>
      <c r="B11535" s="3" t="s">
        <v>58367</v>
      </c>
      <c r="C11535" s="3" t="s">
        <v>54</v>
      </c>
      <c r="D11535" s="3" t="s">
        <v>32</v>
      </c>
      <c r="E11535" s="4" t="s">
        <v>22</v>
      </c>
      <c r="F11535" s="4" t="s">
        <v>58368</v>
      </c>
      <c r="G11535" s="4" t="s">
        <v>58369</v>
      </c>
      <c r="H11535" s="3" t="s">
        <v>57649</v>
      </c>
      <c r="I11535" s="3" t="s">
        <v>58370</v>
      </c>
      <c r="J11535" s="3" t="s">
        <v>5145</v>
      </c>
      <c r="K11535" s="3" t="s">
        <v>58371</v>
      </c>
      <c r="L11535" s="3"/>
      <c r="M11535" s="4"/>
      <c r="N11535" s="3" t="s">
        <v>37</v>
      </c>
      <c r="O11535" s="3" t="s">
        <v>52</v>
      </c>
      <c r="P11535" s="5">
        <v>2</v>
      </c>
      <c r="Q11535" s="5">
        <v>34</v>
      </c>
      <c r="R11535" s="5">
        <v>2</v>
      </c>
      <c r="S11535" s="5">
        <v>37</v>
      </c>
    </row>
    <row r="11536" spans="1:19" ht="56" x14ac:dyDescent="0.15">
      <c r="A11536" s="2">
        <f>HYPERLINK("https://open-school.uspishnemisto.com.ua/school/590165/", 590165)</f>
        <v>590165</v>
      </c>
      <c r="B11536" s="3" t="s">
        <v>58372</v>
      </c>
      <c r="C11536" s="3" t="s">
        <v>54</v>
      </c>
      <c r="D11536" s="3" t="s">
        <v>32</v>
      </c>
      <c r="E11536" s="4" t="s">
        <v>22</v>
      </c>
      <c r="F11536" s="4" t="s">
        <v>58373</v>
      </c>
      <c r="G11536" s="4" t="s">
        <v>58374</v>
      </c>
      <c r="H11536" s="3" t="s">
        <v>57649</v>
      </c>
      <c r="I11536" s="3" t="s">
        <v>58375</v>
      </c>
      <c r="J11536" s="3" t="s">
        <v>58376</v>
      </c>
      <c r="K11536" s="3" t="s">
        <v>58377</v>
      </c>
      <c r="L11536" s="3"/>
      <c r="M11536" s="4"/>
      <c r="N11536" s="3" t="s">
        <v>37</v>
      </c>
      <c r="O11536" s="3" t="s">
        <v>70</v>
      </c>
      <c r="P11536" s="5">
        <v>3</v>
      </c>
      <c r="Q11536" s="5">
        <v>35</v>
      </c>
      <c r="R11536" s="5">
        <v>4</v>
      </c>
      <c r="S11536" s="5">
        <v>37</v>
      </c>
    </row>
    <row r="11537" spans="1:19" ht="56" x14ac:dyDescent="0.15">
      <c r="A11537" s="2">
        <f>HYPERLINK("https://open-school.uspishnemisto.com.ua/school/590166/", 590166)</f>
        <v>590166</v>
      </c>
      <c r="B11537" s="3" t="s">
        <v>58378</v>
      </c>
      <c r="C11537" s="3" t="s">
        <v>54</v>
      </c>
      <c r="D11537" s="3" t="s">
        <v>32</v>
      </c>
      <c r="E11537" s="4" t="s">
        <v>22</v>
      </c>
      <c r="F11537" s="4" t="s">
        <v>58379</v>
      </c>
      <c r="G11537" s="4" t="s">
        <v>58380</v>
      </c>
      <c r="H11537" s="3" t="s">
        <v>57649</v>
      </c>
      <c r="I11537" s="3" t="s">
        <v>41637</v>
      </c>
      <c r="J11537" s="3" t="s">
        <v>1636</v>
      </c>
      <c r="K11537" s="3" t="s">
        <v>58381</v>
      </c>
      <c r="L11537" s="3"/>
      <c r="M11537" s="4"/>
      <c r="N11537" s="3" t="s">
        <v>37</v>
      </c>
      <c r="O11537" s="3" t="s">
        <v>46</v>
      </c>
      <c r="P11537" s="5">
        <v>7</v>
      </c>
      <c r="Q11537" s="5">
        <v>63</v>
      </c>
      <c r="R11537" s="5">
        <v>7</v>
      </c>
      <c r="S11537" s="5">
        <v>62</v>
      </c>
    </row>
    <row r="11538" spans="1:19" ht="28" x14ac:dyDescent="0.15">
      <c r="A11538" s="2">
        <f>HYPERLINK("https://open-school.uspishnemisto.com.ua/school/590167/", 590167)</f>
        <v>590167</v>
      </c>
      <c r="B11538" s="3" t="s">
        <v>58382</v>
      </c>
      <c r="C11538" s="3" t="s">
        <v>31</v>
      </c>
      <c r="D11538" s="3" t="s">
        <v>175</v>
      </c>
      <c r="E11538" s="4" t="s">
        <v>22</v>
      </c>
      <c r="F11538" s="4" t="s">
        <v>58383</v>
      </c>
      <c r="G11538" s="4" t="s">
        <v>58384</v>
      </c>
      <c r="H11538" s="3" t="s">
        <v>57649</v>
      </c>
      <c r="I11538" s="3" t="s">
        <v>58385</v>
      </c>
      <c r="J11538" s="3" t="s">
        <v>7495</v>
      </c>
      <c r="K11538" s="3" t="s">
        <v>58386</v>
      </c>
      <c r="L11538" s="3"/>
      <c r="M11538" s="4"/>
      <c r="N11538" s="3" t="s">
        <v>37</v>
      </c>
      <c r="O11538" s="3" t="s">
        <v>38</v>
      </c>
      <c r="P11538" s="5">
        <v>2</v>
      </c>
      <c r="Q11538" s="5">
        <v>26</v>
      </c>
      <c r="R11538" s="5">
        <v>2</v>
      </c>
      <c r="S11538" s="5">
        <v>25</v>
      </c>
    </row>
    <row r="11539" spans="1:19" ht="28" x14ac:dyDescent="0.15">
      <c r="A11539" s="2">
        <f>HYPERLINK("https://open-school.uspishnemisto.com.ua/school/590168/", 590168)</f>
        <v>590168</v>
      </c>
      <c r="B11539" s="3" t="s">
        <v>58387</v>
      </c>
      <c r="C11539" s="3" t="s">
        <v>31</v>
      </c>
      <c r="D11539" s="3" t="s">
        <v>32</v>
      </c>
      <c r="E11539" s="4" t="s">
        <v>22</v>
      </c>
      <c r="F11539" s="4" t="s">
        <v>58388</v>
      </c>
      <c r="G11539" s="4" t="s">
        <v>58389</v>
      </c>
      <c r="H11539" s="3" t="s">
        <v>57649</v>
      </c>
      <c r="I11539" s="3" t="s">
        <v>58390</v>
      </c>
      <c r="J11539" s="3" t="s">
        <v>1348</v>
      </c>
      <c r="K11539" s="3" t="s">
        <v>58391</v>
      </c>
      <c r="L11539" s="3" t="s">
        <v>58392</v>
      </c>
      <c r="M11539" s="4"/>
      <c r="N11539" s="3" t="s">
        <v>37</v>
      </c>
      <c r="O11539" s="3" t="s">
        <v>70</v>
      </c>
      <c r="P11539" s="5">
        <v>11</v>
      </c>
      <c r="Q11539" s="5">
        <v>222</v>
      </c>
      <c r="R11539" s="5">
        <v>11</v>
      </c>
      <c r="S11539" s="5">
        <v>217</v>
      </c>
    </row>
    <row r="11540" spans="1:19" ht="28" x14ac:dyDescent="0.15">
      <c r="A11540" s="2">
        <f>HYPERLINK("https://open-school.uspishnemisto.com.ua/school/590169/", 590169)</f>
        <v>590169</v>
      </c>
      <c r="B11540" s="3" t="s">
        <v>58393</v>
      </c>
      <c r="C11540" s="3" t="s">
        <v>244</v>
      </c>
      <c r="D11540" s="3" t="s">
        <v>32</v>
      </c>
      <c r="E11540" s="4" t="s">
        <v>22</v>
      </c>
      <c r="F11540" s="4" t="s">
        <v>58388</v>
      </c>
      <c r="G11540" s="4" t="s">
        <v>58389</v>
      </c>
      <c r="H11540" s="3" t="s">
        <v>57649</v>
      </c>
      <c r="I11540" s="3" t="s">
        <v>58390</v>
      </c>
      <c r="J11540" s="3" t="s">
        <v>58394</v>
      </c>
      <c r="K11540" s="3" t="s">
        <v>58395</v>
      </c>
      <c r="L11540" s="3"/>
      <c r="M11540" s="4"/>
      <c r="N11540" s="3" t="s">
        <v>37</v>
      </c>
      <c r="O11540" s="3" t="s">
        <v>46</v>
      </c>
      <c r="P11540" s="5">
        <v>21</v>
      </c>
      <c r="Q11540" s="5">
        <v>431</v>
      </c>
      <c r="R11540" s="5">
        <v>20</v>
      </c>
      <c r="S11540" s="5">
        <v>430</v>
      </c>
    </row>
    <row r="11541" spans="1:19" ht="42" x14ac:dyDescent="0.15">
      <c r="A11541" s="2">
        <f>HYPERLINK("https://open-school.uspishnemisto.com.ua/school/590170/", 590170)</f>
        <v>590170</v>
      </c>
      <c r="B11541" s="3" t="s">
        <v>58396</v>
      </c>
      <c r="C11541" s="3" t="s">
        <v>244</v>
      </c>
      <c r="D11541" s="3" t="s">
        <v>32</v>
      </c>
      <c r="E11541" s="4" t="s">
        <v>22</v>
      </c>
      <c r="F11541" s="4" t="s">
        <v>58388</v>
      </c>
      <c r="G11541" s="4" t="s">
        <v>58389</v>
      </c>
      <c r="H11541" s="3" t="s">
        <v>57649</v>
      </c>
      <c r="I11541" s="3" t="s">
        <v>58390</v>
      </c>
      <c r="J11541" s="3" t="s">
        <v>2384</v>
      </c>
      <c r="K11541" s="3" t="s">
        <v>58397</v>
      </c>
      <c r="L11541" s="3"/>
      <c r="M11541" s="4"/>
      <c r="N11541" s="3" t="s">
        <v>37</v>
      </c>
      <c r="O11541" s="3" t="s">
        <v>70</v>
      </c>
      <c r="P11541" s="5">
        <v>14</v>
      </c>
      <c r="Q11541" s="5">
        <v>293</v>
      </c>
      <c r="R11541" s="5">
        <v>14</v>
      </c>
      <c r="S11541" s="5">
        <v>298</v>
      </c>
    </row>
    <row r="11542" spans="1:19" ht="42" x14ac:dyDescent="0.15">
      <c r="A11542" s="2">
        <f>HYPERLINK("https://open-school.uspishnemisto.com.ua/school/590171/", 590171)</f>
        <v>590171</v>
      </c>
      <c r="B11542" s="3" t="s">
        <v>58398</v>
      </c>
      <c r="C11542" s="3" t="s">
        <v>54</v>
      </c>
      <c r="D11542" s="3" t="s">
        <v>60</v>
      </c>
      <c r="E11542" s="4" t="s">
        <v>22</v>
      </c>
      <c r="F11542" s="4" t="s">
        <v>58399</v>
      </c>
      <c r="G11542" s="4" t="s">
        <v>58400</v>
      </c>
      <c r="H11542" s="3" t="s">
        <v>57649</v>
      </c>
      <c r="I11542" s="3" t="s">
        <v>1291</v>
      </c>
      <c r="J11542" s="3" t="s">
        <v>58401</v>
      </c>
      <c r="K11542" s="3" t="s">
        <v>58402</v>
      </c>
      <c r="L11542" s="3"/>
      <c r="M11542" s="4"/>
      <c r="N11542" s="3" t="s">
        <v>37</v>
      </c>
      <c r="O11542" s="3" t="s">
        <v>52</v>
      </c>
      <c r="P11542" s="5">
        <v>0</v>
      </c>
      <c r="Q11542" s="5">
        <v>6</v>
      </c>
      <c r="R11542" s="5">
        <v>0</v>
      </c>
      <c r="S11542" s="5">
        <v>5</v>
      </c>
    </row>
    <row r="11543" spans="1:19" ht="42" x14ac:dyDescent="0.15">
      <c r="A11543" s="2">
        <f>HYPERLINK("https://open-school.uspishnemisto.com.ua/school/590172/", 590172)</f>
        <v>590172</v>
      </c>
      <c r="B11543" s="3" t="s">
        <v>58403</v>
      </c>
      <c r="C11543" s="3" t="s">
        <v>54</v>
      </c>
      <c r="D11543" s="3" t="s">
        <v>175</v>
      </c>
      <c r="E11543" s="4" t="s">
        <v>22</v>
      </c>
      <c r="F11543" s="4" t="s">
        <v>58404</v>
      </c>
      <c r="G11543" s="4" t="s">
        <v>58405</v>
      </c>
      <c r="H11543" s="3" t="s">
        <v>57649</v>
      </c>
      <c r="I11543" s="3" t="s">
        <v>58406</v>
      </c>
      <c r="J11543" s="3" t="s">
        <v>2253</v>
      </c>
      <c r="K11543" s="3" t="s">
        <v>58407</v>
      </c>
      <c r="L11543" s="3"/>
      <c r="M11543" s="4"/>
      <c r="N11543" s="3" t="s">
        <v>37</v>
      </c>
      <c r="O11543" s="3" t="s">
        <v>52</v>
      </c>
      <c r="P11543" s="5">
        <v>3</v>
      </c>
      <c r="Q11543" s="5">
        <v>30</v>
      </c>
      <c r="R11543" s="5">
        <v>5</v>
      </c>
      <c r="S11543" s="5">
        <v>37</v>
      </c>
    </row>
    <row r="11544" spans="1:19" ht="56" x14ac:dyDescent="0.15">
      <c r="A11544" s="2">
        <f>HYPERLINK("https://open-school.uspishnemisto.com.ua/school/590173/", 590173)</f>
        <v>590173</v>
      </c>
      <c r="B11544" s="3" t="s">
        <v>58408</v>
      </c>
      <c r="C11544" s="3" t="s">
        <v>54</v>
      </c>
      <c r="D11544" s="3" t="s">
        <v>32</v>
      </c>
      <c r="E11544" s="4" t="s">
        <v>22</v>
      </c>
      <c r="F11544" s="4" t="s">
        <v>58409</v>
      </c>
      <c r="G11544" s="4" t="s">
        <v>58410</v>
      </c>
      <c r="H11544" s="3" t="s">
        <v>57649</v>
      </c>
      <c r="I11544" s="3" t="s">
        <v>26292</v>
      </c>
      <c r="J11544" s="3" t="s">
        <v>2191</v>
      </c>
      <c r="K11544" s="3" t="s">
        <v>58411</v>
      </c>
      <c r="L11544" s="3" t="s">
        <v>58412</v>
      </c>
      <c r="M11544" s="4"/>
      <c r="N11544" s="3" t="s">
        <v>37</v>
      </c>
      <c r="O11544" s="3" t="s">
        <v>46</v>
      </c>
      <c r="P11544" s="5">
        <v>1</v>
      </c>
      <c r="Q11544" s="5">
        <v>31</v>
      </c>
      <c r="R11544" s="5">
        <v>3</v>
      </c>
      <c r="S11544" s="5">
        <v>37</v>
      </c>
    </row>
    <row r="11545" spans="1:19" ht="56" x14ac:dyDescent="0.15">
      <c r="A11545" s="2">
        <f>HYPERLINK("https://open-school.uspishnemisto.com.ua/school/590174/", 590174)</f>
        <v>590174</v>
      </c>
      <c r="B11545" s="3" t="s">
        <v>58413</v>
      </c>
      <c r="C11545" s="3" t="s">
        <v>54</v>
      </c>
      <c r="D11545" s="3" t="s">
        <v>32</v>
      </c>
      <c r="E11545" s="4" t="s">
        <v>22</v>
      </c>
      <c r="F11545" s="4" t="s">
        <v>58414</v>
      </c>
      <c r="G11545" s="4" t="s">
        <v>58415</v>
      </c>
      <c r="H11545" s="3" t="s">
        <v>57649</v>
      </c>
      <c r="I11545" s="3" t="s">
        <v>58416</v>
      </c>
      <c r="J11545" s="3" t="s">
        <v>58417</v>
      </c>
      <c r="K11545" s="3" t="s">
        <v>58418</v>
      </c>
      <c r="L11545" s="3"/>
      <c r="M11545" s="4"/>
      <c r="N11545" s="3" t="s">
        <v>37</v>
      </c>
      <c r="O11545" s="3" t="s">
        <v>52</v>
      </c>
      <c r="P11545" s="5">
        <v>8</v>
      </c>
      <c r="Q11545" s="5">
        <v>70</v>
      </c>
      <c r="R11545" s="5">
        <v>8</v>
      </c>
      <c r="S11545" s="5">
        <v>70</v>
      </c>
    </row>
    <row r="11546" spans="1:19" ht="28" x14ac:dyDescent="0.15">
      <c r="A11546" s="2">
        <f>HYPERLINK("https://open-school.uspishnemisto.com.ua/school/590175/", 590175)</f>
        <v>590175</v>
      </c>
      <c r="B11546" s="3" t="s">
        <v>58419</v>
      </c>
      <c r="C11546" s="3" t="s">
        <v>54</v>
      </c>
      <c r="D11546" s="3" t="s">
        <v>19078</v>
      </c>
      <c r="E11546" s="4" t="s">
        <v>22</v>
      </c>
      <c r="F11546" s="4" t="s">
        <v>58420</v>
      </c>
      <c r="G11546" s="4" t="s">
        <v>58421</v>
      </c>
      <c r="H11546" s="3" t="s">
        <v>57649</v>
      </c>
      <c r="I11546" s="3" t="s">
        <v>638</v>
      </c>
      <c r="J11546" s="3" t="s">
        <v>58422</v>
      </c>
      <c r="K11546" s="3" t="s">
        <v>58423</v>
      </c>
      <c r="L11546" s="3"/>
      <c r="M11546" s="4"/>
      <c r="N11546" s="3" t="s">
        <v>37</v>
      </c>
      <c r="O11546" s="3" t="s">
        <v>52</v>
      </c>
      <c r="P11546" s="5">
        <v>3</v>
      </c>
      <c r="Q11546" s="5">
        <v>36</v>
      </c>
      <c r="R11546" s="5">
        <v>3</v>
      </c>
      <c r="S11546" s="5">
        <v>35</v>
      </c>
    </row>
    <row r="11547" spans="1:19" ht="28" x14ac:dyDescent="0.15">
      <c r="A11547" s="2">
        <f>HYPERLINK("https://open-school.uspishnemisto.com.ua/school/590176/", 590176)</f>
        <v>590176</v>
      </c>
      <c r="B11547" s="3" t="s">
        <v>58424</v>
      </c>
      <c r="C11547" s="3" t="s">
        <v>31</v>
      </c>
      <c r="D11547" s="3" t="s">
        <v>175</v>
      </c>
      <c r="E11547" s="4" t="s">
        <v>22</v>
      </c>
      <c r="F11547" s="4" t="s">
        <v>58425</v>
      </c>
      <c r="G11547" s="4" t="s">
        <v>58426</v>
      </c>
      <c r="H11547" s="3" t="s">
        <v>57649</v>
      </c>
      <c r="I11547" s="3" t="s">
        <v>32422</v>
      </c>
      <c r="J11547" s="3" t="s">
        <v>58427</v>
      </c>
      <c r="K11547" s="3" t="s">
        <v>58428</v>
      </c>
      <c r="L11547" s="3"/>
      <c r="M11547" s="4"/>
      <c r="N11547" s="3" t="s">
        <v>37</v>
      </c>
      <c r="O11547" s="3" t="s">
        <v>52</v>
      </c>
      <c r="P11547" s="5">
        <v>7</v>
      </c>
      <c r="Q11547" s="5">
        <v>45</v>
      </c>
      <c r="R11547" s="5">
        <v>7</v>
      </c>
      <c r="S11547" s="5">
        <v>44</v>
      </c>
    </row>
    <row r="11548" spans="1:19" ht="56" x14ac:dyDescent="0.15">
      <c r="A11548" s="2">
        <f>HYPERLINK("https://open-school.uspishnemisto.com.ua/school/590177/", 590177)</f>
        <v>590177</v>
      </c>
      <c r="B11548" s="3" t="s">
        <v>58429</v>
      </c>
      <c r="C11548" s="3" t="s">
        <v>54</v>
      </c>
      <c r="D11548" s="3" t="s">
        <v>175</v>
      </c>
      <c r="E11548" s="4" t="s">
        <v>22</v>
      </c>
      <c r="F11548" s="4" t="s">
        <v>58430</v>
      </c>
      <c r="G11548" s="4" t="s">
        <v>58431</v>
      </c>
      <c r="H11548" s="3" t="s">
        <v>57649</v>
      </c>
      <c r="I11548" s="3" t="s">
        <v>58432</v>
      </c>
      <c r="J11548" s="3" t="s">
        <v>1348</v>
      </c>
      <c r="K11548" s="3" t="s">
        <v>46844</v>
      </c>
      <c r="L11548" s="3"/>
      <c r="M11548" s="4"/>
      <c r="N11548" s="3" t="s">
        <v>37</v>
      </c>
      <c r="O11548" s="3" t="s">
        <v>52</v>
      </c>
      <c r="P11548" s="5">
        <v>5</v>
      </c>
      <c r="Q11548" s="5">
        <v>42</v>
      </c>
      <c r="R11548" s="5">
        <v>7</v>
      </c>
      <c r="S11548" s="5">
        <v>50</v>
      </c>
    </row>
    <row r="11549" spans="1:19" ht="42" x14ac:dyDescent="0.15">
      <c r="A11549" s="2">
        <f>HYPERLINK("https://open-school.uspishnemisto.com.ua/school/590178/", 590178)</f>
        <v>590178</v>
      </c>
      <c r="B11549" s="3" t="s">
        <v>58433</v>
      </c>
      <c r="C11549" s="3" t="s">
        <v>31</v>
      </c>
      <c r="D11549" s="3" t="s">
        <v>175</v>
      </c>
      <c r="E11549" s="4" t="s">
        <v>22</v>
      </c>
      <c r="F11549" s="4" t="s">
        <v>58434</v>
      </c>
      <c r="G11549" s="4" t="s">
        <v>58435</v>
      </c>
      <c r="H11549" s="3" t="s">
        <v>57649</v>
      </c>
      <c r="I11549" s="3" t="s">
        <v>688</v>
      </c>
      <c r="J11549" s="3" t="s">
        <v>466</v>
      </c>
      <c r="K11549" s="3" t="s">
        <v>58436</v>
      </c>
      <c r="L11549" s="3"/>
      <c r="M11549" s="4"/>
      <c r="N11549" s="3" t="s">
        <v>37</v>
      </c>
      <c r="O11549" s="3" t="s">
        <v>46</v>
      </c>
      <c r="P11549" s="5">
        <v>7</v>
      </c>
      <c r="Q11549" s="5">
        <v>46</v>
      </c>
      <c r="R11549" s="5">
        <v>7</v>
      </c>
      <c r="S11549" s="5">
        <v>46</v>
      </c>
    </row>
    <row r="11550" spans="1:19" ht="56" x14ac:dyDescent="0.15">
      <c r="A11550" s="2">
        <f>HYPERLINK("https://open-school.uspishnemisto.com.ua/school/590179/", 590179)</f>
        <v>590179</v>
      </c>
      <c r="B11550" s="3" t="s">
        <v>58437</v>
      </c>
      <c r="C11550" s="3" t="s">
        <v>54</v>
      </c>
      <c r="D11550" s="3" t="s">
        <v>175</v>
      </c>
      <c r="E11550" s="4" t="s">
        <v>22</v>
      </c>
      <c r="F11550" s="4" t="s">
        <v>58438</v>
      </c>
      <c r="G11550" s="4" t="s">
        <v>58439</v>
      </c>
      <c r="H11550" s="3" t="s">
        <v>57649</v>
      </c>
      <c r="I11550" s="3" t="s">
        <v>1740</v>
      </c>
      <c r="J11550" s="3" t="s">
        <v>792</v>
      </c>
      <c r="K11550" s="3" t="s">
        <v>58440</v>
      </c>
      <c r="L11550" s="3"/>
      <c r="M11550" s="4"/>
      <c r="N11550" s="3" t="s">
        <v>37</v>
      </c>
      <c r="O11550" s="3" t="s">
        <v>618</v>
      </c>
      <c r="P11550" s="5">
        <v>4</v>
      </c>
      <c r="Q11550" s="5">
        <v>43</v>
      </c>
      <c r="R11550" s="5">
        <v>4</v>
      </c>
      <c r="S11550" s="5">
        <v>46</v>
      </c>
    </row>
    <row r="11551" spans="1:19" ht="28" x14ac:dyDescent="0.15">
      <c r="A11551" s="2">
        <f>HYPERLINK("https://open-school.uspishnemisto.com.ua/school/590180/", 590180)</f>
        <v>590180</v>
      </c>
      <c r="B11551" s="3" t="s">
        <v>58441</v>
      </c>
      <c r="C11551" s="3" t="s">
        <v>31</v>
      </c>
      <c r="D11551" s="3" t="s">
        <v>32</v>
      </c>
      <c r="E11551" s="4" t="s">
        <v>22</v>
      </c>
      <c r="F11551" s="4" t="s">
        <v>58442</v>
      </c>
      <c r="G11551" s="4" t="s">
        <v>58443</v>
      </c>
      <c r="H11551" s="3" t="s">
        <v>57649</v>
      </c>
      <c r="I11551" s="3" t="s">
        <v>17799</v>
      </c>
      <c r="J11551" s="3" t="s">
        <v>792</v>
      </c>
      <c r="K11551" s="3" t="s">
        <v>58444</v>
      </c>
      <c r="L11551" s="3" t="s">
        <v>58445</v>
      </c>
      <c r="M11551" s="4"/>
      <c r="N11551" s="3" t="s">
        <v>37</v>
      </c>
      <c r="O11551" s="3" t="s">
        <v>52</v>
      </c>
      <c r="P11551" s="5">
        <v>7</v>
      </c>
      <c r="Q11551" s="5">
        <v>60</v>
      </c>
      <c r="R11551" s="5">
        <v>7</v>
      </c>
      <c r="S11551" s="5">
        <v>65</v>
      </c>
    </row>
    <row r="11552" spans="1:19" ht="42" x14ac:dyDescent="0.15">
      <c r="A11552" s="2">
        <f>HYPERLINK("https://open-school.uspishnemisto.com.ua/school/590181/", 590181)</f>
        <v>590181</v>
      </c>
      <c r="B11552" s="3" t="s">
        <v>58446</v>
      </c>
      <c r="C11552" s="3" t="s">
        <v>31</v>
      </c>
      <c r="D11552" s="3" t="s">
        <v>32</v>
      </c>
      <c r="E11552" s="4" t="s">
        <v>22</v>
      </c>
      <c r="F11552" s="4" t="s">
        <v>58447</v>
      </c>
      <c r="G11552" s="4" t="s">
        <v>58448</v>
      </c>
      <c r="H11552" s="3" t="s">
        <v>57649</v>
      </c>
      <c r="I11552" s="3" t="s">
        <v>19024</v>
      </c>
      <c r="J11552" s="3" t="s">
        <v>58449</v>
      </c>
      <c r="K11552" s="3" t="s">
        <v>58450</v>
      </c>
      <c r="L11552" s="3" t="s">
        <v>58451</v>
      </c>
      <c r="M11552" s="4"/>
      <c r="N11552" s="3" t="s">
        <v>37</v>
      </c>
      <c r="O11552" s="3" t="s">
        <v>52</v>
      </c>
      <c r="P11552" s="5">
        <v>9</v>
      </c>
      <c r="Q11552" s="5">
        <v>78</v>
      </c>
      <c r="R11552" s="5">
        <v>9</v>
      </c>
      <c r="S11552" s="5">
        <v>76</v>
      </c>
    </row>
    <row r="11553" spans="1:19" ht="56" x14ac:dyDescent="0.15">
      <c r="A11553" s="2">
        <f>HYPERLINK("https://open-school.uspishnemisto.com.ua/school/590182/", 590182)</f>
        <v>590182</v>
      </c>
      <c r="B11553" s="3" t="s">
        <v>58452</v>
      </c>
      <c r="C11553" s="3" t="s">
        <v>54</v>
      </c>
      <c r="D11553" s="3" t="s">
        <v>32</v>
      </c>
      <c r="E11553" s="4" t="s">
        <v>22</v>
      </c>
      <c r="F11553" s="4" t="s">
        <v>58453</v>
      </c>
      <c r="G11553" s="4" t="s">
        <v>58448</v>
      </c>
      <c r="H11553" s="3" t="s">
        <v>57649</v>
      </c>
      <c r="I11553" s="3" t="s">
        <v>19024</v>
      </c>
      <c r="J11553" s="3" t="s">
        <v>58454</v>
      </c>
      <c r="K11553" s="3" t="s">
        <v>58455</v>
      </c>
      <c r="L11553" s="3" t="s">
        <v>58456</v>
      </c>
      <c r="M11553" s="4"/>
      <c r="N11553" s="3" t="s">
        <v>37</v>
      </c>
      <c r="O11553" s="3" t="s">
        <v>70</v>
      </c>
      <c r="P11553" s="5">
        <v>10</v>
      </c>
      <c r="Q11553" s="5">
        <v>117</v>
      </c>
      <c r="R11553" s="5">
        <v>11</v>
      </c>
      <c r="S11553" s="5">
        <v>138</v>
      </c>
    </row>
    <row r="11554" spans="1:19" ht="56" x14ac:dyDescent="0.15">
      <c r="A11554" s="2">
        <f>HYPERLINK("https://open-school.uspishnemisto.com.ua/school/590183/", 590183)</f>
        <v>590183</v>
      </c>
      <c r="B11554" s="3" t="s">
        <v>58457</v>
      </c>
      <c r="C11554" s="3" t="s">
        <v>54</v>
      </c>
      <c r="D11554" s="3" t="s">
        <v>32</v>
      </c>
      <c r="E11554" s="4" t="s">
        <v>22</v>
      </c>
      <c r="F11554" s="4" t="s">
        <v>58458</v>
      </c>
      <c r="G11554" s="4" t="s">
        <v>58459</v>
      </c>
      <c r="H11554" s="3" t="s">
        <v>57649</v>
      </c>
      <c r="I11554" s="3" t="s">
        <v>33881</v>
      </c>
      <c r="J11554" s="3" t="s">
        <v>58460</v>
      </c>
      <c r="K11554" s="3" t="s">
        <v>58461</v>
      </c>
      <c r="L11554" s="3" t="s">
        <v>58462</v>
      </c>
      <c r="M11554" s="4"/>
      <c r="N11554" s="3" t="s">
        <v>37</v>
      </c>
      <c r="O11554" s="3" t="s">
        <v>52</v>
      </c>
      <c r="P11554" s="5">
        <v>2</v>
      </c>
      <c r="Q11554" s="5">
        <v>32</v>
      </c>
      <c r="R11554" s="5">
        <v>3</v>
      </c>
      <c r="S11554" s="5">
        <v>32</v>
      </c>
    </row>
    <row r="11555" spans="1:19" ht="56" x14ac:dyDescent="0.15">
      <c r="A11555" s="2">
        <f>HYPERLINK("https://open-school.uspishnemisto.com.ua/school/590184/", 590184)</f>
        <v>590184</v>
      </c>
      <c r="B11555" s="3" t="s">
        <v>58463</v>
      </c>
      <c r="C11555" s="3" t="s">
        <v>54</v>
      </c>
      <c r="D11555" s="3" t="s">
        <v>175</v>
      </c>
      <c r="E11555" s="4" t="s">
        <v>22</v>
      </c>
      <c r="F11555" s="4" t="s">
        <v>58464</v>
      </c>
      <c r="G11555" s="4" t="s">
        <v>58465</v>
      </c>
      <c r="H11555" s="3" t="s">
        <v>57649</v>
      </c>
      <c r="I11555" s="3" t="s">
        <v>1033</v>
      </c>
      <c r="J11555" s="3" t="s">
        <v>627</v>
      </c>
      <c r="K11555" s="3" t="s">
        <v>58466</v>
      </c>
      <c r="L11555" s="3"/>
      <c r="M11555" s="4"/>
      <c r="N11555" s="3" t="s">
        <v>37</v>
      </c>
      <c r="O11555" s="3" t="s">
        <v>52</v>
      </c>
      <c r="P11555" s="5">
        <v>4</v>
      </c>
      <c r="Q11555" s="5">
        <v>35</v>
      </c>
      <c r="R11555" s="5">
        <v>5</v>
      </c>
      <c r="S11555" s="5">
        <v>39</v>
      </c>
    </row>
    <row r="11556" spans="1:19" ht="42" x14ac:dyDescent="0.15">
      <c r="A11556" s="2">
        <f>HYPERLINK("https://open-school.uspishnemisto.com.ua/school/590185/", 590185)</f>
        <v>590185</v>
      </c>
      <c r="B11556" s="3" t="s">
        <v>58467</v>
      </c>
      <c r="C11556" s="3" t="s">
        <v>31</v>
      </c>
      <c r="D11556" s="3" t="s">
        <v>175</v>
      </c>
      <c r="E11556" s="4" t="s">
        <v>22</v>
      </c>
      <c r="F11556" s="4" t="s">
        <v>58468</v>
      </c>
      <c r="G11556" s="4" t="s">
        <v>58469</v>
      </c>
      <c r="H11556" s="3" t="s">
        <v>57649</v>
      </c>
      <c r="I11556" s="3" t="s">
        <v>58470</v>
      </c>
      <c r="J11556" s="3" t="s">
        <v>54874</v>
      </c>
      <c r="K11556" s="3" t="s">
        <v>58471</v>
      </c>
      <c r="L11556" s="3"/>
      <c r="M11556" s="4"/>
      <c r="N11556" s="3" t="s">
        <v>37</v>
      </c>
      <c r="O11556" s="3" t="s">
        <v>46</v>
      </c>
      <c r="P11556" s="5">
        <v>3</v>
      </c>
      <c r="Q11556" s="5">
        <v>31</v>
      </c>
      <c r="R11556" s="5">
        <v>4</v>
      </c>
      <c r="S11556" s="5">
        <v>37</v>
      </c>
    </row>
    <row r="11557" spans="1:19" ht="42" x14ac:dyDescent="0.15">
      <c r="A11557" s="2">
        <f>HYPERLINK("https://open-school.uspishnemisto.com.ua/school/590186/", 590186)</f>
        <v>590186</v>
      </c>
      <c r="B11557" s="3" t="s">
        <v>58472</v>
      </c>
      <c r="C11557" s="3" t="s">
        <v>31</v>
      </c>
      <c r="D11557" s="3" t="s">
        <v>32</v>
      </c>
      <c r="E11557" s="4" t="s">
        <v>22</v>
      </c>
      <c r="F11557" s="4" t="s">
        <v>58473</v>
      </c>
      <c r="G11557" s="4" t="s">
        <v>58474</v>
      </c>
      <c r="H11557" s="3" t="s">
        <v>57649</v>
      </c>
      <c r="I11557" s="3" t="s">
        <v>36391</v>
      </c>
      <c r="J11557" s="3" t="s">
        <v>466</v>
      </c>
      <c r="K11557" s="3" t="s">
        <v>58475</v>
      </c>
      <c r="L11557" s="3" t="s">
        <v>58476</v>
      </c>
      <c r="M11557" s="4"/>
      <c r="N11557" s="3" t="s">
        <v>37</v>
      </c>
      <c r="O11557" s="3" t="s">
        <v>52</v>
      </c>
      <c r="P11557" s="5">
        <v>11</v>
      </c>
      <c r="Q11557" s="5">
        <v>135</v>
      </c>
      <c r="R11557" s="5">
        <v>11</v>
      </c>
      <c r="S11557" s="5">
        <v>146</v>
      </c>
    </row>
    <row r="11558" spans="1:19" ht="56" x14ac:dyDescent="0.15">
      <c r="A11558" s="2">
        <f>HYPERLINK("https://open-school.uspishnemisto.com.ua/school/590187/", 590187)</f>
        <v>590187</v>
      </c>
      <c r="B11558" s="3" t="s">
        <v>58477</v>
      </c>
      <c r="C11558" s="3" t="s">
        <v>54</v>
      </c>
      <c r="D11558" s="3" t="s">
        <v>32</v>
      </c>
      <c r="E11558" s="4" t="s">
        <v>22</v>
      </c>
      <c r="F11558" s="4" t="s">
        <v>58478</v>
      </c>
      <c r="G11558" s="4" t="s">
        <v>58479</v>
      </c>
      <c r="H11558" s="3" t="s">
        <v>57649</v>
      </c>
      <c r="I11558" s="3" t="s">
        <v>58480</v>
      </c>
      <c r="J11558" s="3" t="s">
        <v>24024</v>
      </c>
      <c r="K11558" s="3" t="s">
        <v>58481</v>
      </c>
      <c r="L11558" s="3"/>
      <c r="M11558" s="4"/>
      <c r="N11558" s="3" t="s">
        <v>37</v>
      </c>
      <c r="O11558" s="3" t="s">
        <v>52</v>
      </c>
      <c r="P11558" s="5">
        <v>5</v>
      </c>
      <c r="Q11558" s="5">
        <v>38</v>
      </c>
      <c r="R11558" s="5">
        <v>7</v>
      </c>
      <c r="S11558" s="5">
        <v>44</v>
      </c>
    </row>
    <row r="11559" spans="1:19" ht="42" x14ac:dyDescent="0.15">
      <c r="A11559" s="2">
        <f>HYPERLINK("https://open-school.uspishnemisto.com.ua/school/590188/", 590188)</f>
        <v>590188</v>
      </c>
      <c r="B11559" s="3" t="s">
        <v>58482</v>
      </c>
      <c r="C11559" s="3" t="s">
        <v>31</v>
      </c>
      <c r="D11559" s="3" t="s">
        <v>32</v>
      </c>
      <c r="E11559" s="4" t="s">
        <v>22</v>
      </c>
      <c r="F11559" s="4" t="s">
        <v>58483</v>
      </c>
      <c r="G11559" s="4" t="s">
        <v>58484</v>
      </c>
      <c r="H11559" s="3" t="s">
        <v>57649</v>
      </c>
      <c r="I11559" s="3" t="s">
        <v>33162</v>
      </c>
      <c r="J11559" s="3" t="s">
        <v>447</v>
      </c>
      <c r="K11559" s="3" t="s">
        <v>58485</v>
      </c>
      <c r="L11559" s="3" t="s">
        <v>58486</v>
      </c>
      <c r="M11559" s="4"/>
      <c r="N11559" s="3" t="s">
        <v>37</v>
      </c>
      <c r="O11559" s="3" t="s">
        <v>52</v>
      </c>
      <c r="P11559" s="5">
        <v>11</v>
      </c>
      <c r="Q11559" s="5">
        <v>134</v>
      </c>
      <c r="R11559" s="5">
        <v>10</v>
      </c>
      <c r="S11559" s="5">
        <v>121</v>
      </c>
    </row>
    <row r="11560" spans="1:19" ht="42" x14ac:dyDescent="0.15">
      <c r="A11560" s="2">
        <f>HYPERLINK("https://open-school.uspishnemisto.com.ua/school/590189/", 590189)</f>
        <v>590189</v>
      </c>
      <c r="B11560" s="3" t="s">
        <v>58487</v>
      </c>
      <c r="C11560" s="3" t="s">
        <v>31</v>
      </c>
      <c r="D11560" s="3" t="s">
        <v>32</v>
      </c>
      <c r="E11560" s="4" t="s">
        <v>22</v>
      </c>
      <c r="F11560" s="4" t="s">
        <v>58488</v>
      </c>
      <c r="G11560" s="4" t="s">
        <v>58489</v>
      </c>
      <c r="H11560" s="3" t="s">
        <v>57649</v>
      </c>
      <c r="I11560" s="3" t="s">
        <v>58490</v>
      </c>
      <c r="J11560" s="3" t="s">
        <v>58491</v>
      </c>
      <c r="K11560" s="3" t="s">
        <v>58492</v>
      </c>
      <c r="L11560" s="3" t="s">
        <v>58493</v>
      </c>
      <c r="M11560" s="4"/>
      <c r="N11560" s="3" t="s">
        <v>37</v>
      </c>
      <c r="O11560" s="3" t="s">
        <v>618</v>
      </c>
      <c r="P11560" s="5">
        <v>4</v>
      </c>
      <c r="Q11560" s="5">
        <v>44</v>
      </c>
      <c r="R11560" s="5">
        <v>4</v>
      </c>
      <c r="S11560" s="5">
        <v>45</v>
      </c>
    </row>
    <row r="11561" spans="1:19" ht="70" x14ac:dyDescent="0.15">
      <c r="A11561" s="2">
        <f>HYPERLINK("https://open-school.uspishnemisto.com.ua/school/590190/", 590190)</f>
        <v>590190</v>
      </c>
      <c r="B11561" s="3" t="s">
        <v>58494</v>
      </c>
      <c r="C11561" s="3" t="s">
        <v>54</v>
      </c>
      <c r="D11561" s="3" t="s">
        <v>32</v>
      </c>
      <c r="E11561" s="4" t="s">
        <v>22</v>
      </c>
      <c r="F11561" s="4" t="s">
        <v>58495</v>
      </c>
      <c r="G11561" s="4" t="s">
        <v>58496</v>
      </c>
      <c r="H11561" s="3" t="s">
        <v>57649</v>
      </c>
      <c r="I11561" s="3" t="s">
        <v>58497</v>
      </c>
      <c r="J11561" s="3" t="s">
        <v>14649</v>
      </c>
      <c r="K11561" s="3" t="s">
        <v>58498</v>
      </c>
      <c r="L11561" s="3" t="s">
        <v>58499</v>
      </c>
      <c r="M11561" s="4"/>
      <c r="N11561" s="3" t="s">
        <v>37</v>
      </c>
      <c r="O11561" s="3" t="s">
        <v>52</v>
      </c>
      <c r="P11561" s="5">
        <v>10</v>
      </c>
      <c r="Q11561" s="5">
        <v>112</v>
      </c>
      <c r="R11561" s="5">
        <v>11</v>
      </c>
      <c r="S11561" s="5">
        <v>111</v>
      </c>
    </row>
    <row r="11562" spans="1:19" ht="42" x14ac:dyDescent="0.15">
      <c r="A11562" s="2">
        <f>HYPERLINK("https://open-school.uspishnemisto.com.ua/school/590191/", 590191)</f>
        <v>590191</v>
      </c>
      <c r="B11562" s="3" t="s">
        <v>58500</v>
      </c>
      <c r="C11562" s="3" t="s">
        <v>244</v>
      </c>
      <c r="D11562" s="3" t="s">
        <v>32</v>
      </c>
      <c r="E11562" s="4" t="s">
        <v>22</v>
      </c>
      <c r="F11562" s="4" t="s">
        <v>58501</v>
      </c>
      <c r="G11562" s="4" t="s">
        <v>58502</v>
      </c>
      <c r="H11562" s="3" t="s">
        <v>57649</v>
      </c>
      <c r="I11562" s="3" t="s">
        <v>58503</v>
      </c>
      <c r="J11562" s="3" t="s">
        <v>3393</v>
      </c>
      <c r="K11562" s="3" t="s">
        <v>58504</v>
      </c>
      <c r="L11562" s="3"/>
      <c r="M11562" s="4"/>
      <c r="N11562" s="3" t="s">
        <v>37</v>
      </c>
      <c r="O11562" s="3" t="s">
        <v>70</v>
      </c>
      <c r="P11562" s="5">
        <v>34</v>
      </c>
      <c r="Q11562" s="5">
        <v>529</v>
      </c>
      <c r="R11562" s="5">
        <v>22</v>
      </c>
      <c r="S11562" s="5">
        <v>469</v>
      </c>
    </row>
    <row r="11563" spans="1:19" ht="42" x14ac:dyDescent="0.15">
      <c r="A11563" s="2">
        <f>HYPERLINK("https://open-school.uspishnemisto.com.ua/school/590192/", 590192)</f>
        <v>590192</v>
      </c>
      <c r="B11563" s="3" t="s">
        <v>58505</v>
      </c>
      <c r="C11563" s="3" t="s">
        <v>31</v>
      </c>
      <c r="D11563" s="3" t="s">
        <v>32</v>
      </c>
      <c r="E11563" s="4" t="s">
        <v>22</v>
      </c>
      <c r="F11563" s="4" t="s">
        <v>58506</v>
      </c>
      <c r="G11563" s="4" t="s">
        <v>58507</v>
      </c>
      <c r="H11563" s="3" t="s">
        <v>57649</v>
      </c>
      <c r="I11563" s="3" t="s">
        <v>58508</v>
      </c>
      <c r="J11563" s="3" t="s">
        <v>58509</v>
      </c>
      <c r="K11563" s="3" t="s">
        <v>58510</v>
      </c>
      <c r="L11563" s="3"/>
      <c r="M11563" s="4"/>
      <c r="N11563" s="3" t="s">
        <v>37</v>
      </c>
      <c r="O11563" s="3" t="s">
        <v>38</v>
      </c>
      <c r="P11563" s="5">
        <v>13</v>
      </c>
      <c r="Q11563" s="5">
        <v>264</v>
      </c>
      <c r="R11563" s="5">
        <v>11</v>
      </c>
      <c r="S11563" s="5">
        <v>217</v>
      </c>
    </row>
    <row r="11564" spans="1:19" ht="42" x14ac:dyDescent="0.15">
      <c r="A11564" s="2">
        <f>HYPERLINK("https://open-school.uspishnemisto.com.ua/school/590193/", 590193)</f>
        <v>590193</v>
      </c>
      <c r="B11564" s="3" t="s">
        <v>58511</v>
      </c>
      <c r="C11564" s="3" t="s">
        <v>31</v>
      </c>
      <c r="D11564" s="3" t="s">
        <v>32</v>
      </c>
      <c r="E11564" s="4" t="s">
        <v>22</v>
      </c>
      <c r="F11564" s="4" t="s">
        <v>58512</v>
      </c>
      <c r="G11564" s="4" t="s">
        <v>58507</v>
      </c>
      <c r="H11564" s="3" t="s">
        <v>57649</v>
      </c>
      <c r="I11564" s="3" t="s">
        <v>58508</v>
      </c>
      <c r="J11564" s="3" t="s">
        <v>17309</v>
      </c>
      <c r="K11564" s="3" t="s">
        <v>58513</v>
      </c>
      <c r="L11564" s="3"/>
      <c r="M11564" s="4"/>
      <c r="N11564" s="3" t="s">
        <v>37</v>
      </c>
      <c r="O11564" s="3" t="s">
        <v>38</v>
      </c>
      <c r="P11564" s="5">
        <v>11</v>
      </c>
      <c r="Q11564" s="5">
        <v>130</v>
      </c>
      <c r="R11564" s="5">
        <v>11</v>
      </c>
      <c r="S11564" s="5">
        <v>136</v>
      </c>
    </row>
    <row r="11565" spans="1:19" ht="28" x14ac:dyDescent="0.15">
      <c r="A11565" s="2">
        <f>HYPERLINK("https://open-school.uspishnemisto.com.ua/school/590194/", 590194)</f>
        <v>590194</v>
      </c>
      <c r="B11565" s="3" t="s">
        <v>58514</v>
      </c>
      <c r="C11565" s="3" t="s">
        <v>54</v>
      </c>
      <c r="D11565" s="3" t="s">
        <v>175</v>
      </c>
      <c r="E11565" s="4" t="s">
        <v>22</v>
      </c>
      <c r="F11565" s="4" t="s">
        <v>58515</v>
      </c>
      <c r="G11565" s="4" t="s">
        <v>58516</v>
      </c>
      <c r="H11565" s="3" t="s">
        <v>57649</v>
      </c>
      <c r="I11565" s="3" t="s">
        <v>10822</v>
      </c>
      <c r="J11565" s="3" t="s">
        <v>58517</v>
      </c>
      <c r="K11565" s="3" t="s">
        <v>58518</v>
      </c>
      <c r="L11565" s="3"/>
      <c r="M11565" s="4"/>
      <c r="N11565" s="3" t="s">
        <v>967</v>
      </c>
      <c r="O11565" s="3" t="s">
        <v>52</v>
      </c>
      <c r="P11565" s="5">
        <v>4</v>
      </c>
      <c r="Q11565" s="5">
        <v>37</v>
      </c>
      <c r="R11565" s="5">
        <v>7</v>
      </c>
      <c r="S11565" s="5">
        <v>35</v>
      </c>
    </row>
    <row r="11566" spans="1:19" ht="42" x14ac:dyDescent="0.15">
      <c r="A11566" s="2">
        <f>HYPERLINK("https://open-school.uspishnemisto.com.ua/school/590195/", 590195)</f>
        <v>590195</v>
      </c>
      <c r="B11566" s="3" t="s">
        <v>58519</v>
      </c>
      <c r="C11566" s="3" t="s">
        <v>54</v>
      </c>
      <c r="D11566" s="3" t="s">
        <v>175</v>
      </c>
      <c r="E11566" s="4" t="s">
        <v>22</v>
      </c>
      <c r="F11566" s="4" t="s">
        <v>58520</v>
      </c>
      <c r="G11566" s="4" t="s">
        <v>58521</v>
      </c>
      <c r="H11566" s="3" t="s">
        <v>57649</v>
      </c>
      <c r="I11566" s="3" t="s">
        <v>58522</v>
      </c>
      <c r="J11566" s="3" t="s">
        <v>6394</v>
      </c>
      <c r="K11566" s="3" t="s">
        <v>58523</v>
      </c>
      <c r="L11566" s="3"/>
      <c r="M11566" s="4"/>
      <c r="N11566" s="3" t="s">
        <v>37</v>
      </c>
      <c r="O11566" s="3" t="s">
        <v>52</v>
      </c>
      <c r="P11566" s="5">
        <v>0</v>
      </c>
      <c r="Q11566" s="5">
        <v>0</v>
      </c>
      <c r="R11566" s="5">
        <v>6</v>
      </c>
      <c r="S11566" s="5">
        <v>31</v>
      </c>
    </row>
    <row r="11567" spans="1:19" ht="56" x14ac:dyDescent="0.15">
      <c r="A11567" s="2">
        <f>HYPERLINK("https://open-school.uspishnemisto.com.ua/school/590196/", 590196)</f>
        <v>590196</v>
      </c>
      <c r="B11567" s="3" t="s">
        <v>58524</v>
      </c>
      <c r="C11567" s="3" t="s">
        <v>54</v>
      </c>
      <c r="D11567" s="3" t="s">
        <v>175</v>
      </c>
      <c r="E11567" s="4" t="s">
        <v>22</v>
      </c>
      <c r="F11567" s="4" t="s">
        <v>58525</v>
      </c>
      <c r="G11567" s="4" t="s">
        <v>58526</v>
      </c>
      <c r="H11567" s="3" t="s">
        <v>57649</v>
      </c>
      <c r="I11567" s="3" t="s">
        <v>58527</v>
      </c>
      <c r="J11567" s="3" t="s">
        <v>1868</v>
      </c>
      <c r="K11567" s="3" t="s">
        <v>58528</v>
      </c>
      <c r="L11567" s="3"/>
      <c r="M11567" s="4"/>
      <c r="N11567" s="3" t="s">
        <v>37</v>
      </c>
      <c r="O11567" s="3" t="s">
        <v>52</v>
      </c>
      <c r="P11567" s="5">
        <v>0</v>
      </c>
      <c r="Q11567" s="5">
        <v>0</v>
      </c>
      <c r="R11567" s="5">
        <v>2</v>
      </c>
      <c r="S11567" s="5">
        <v>20</v>
      </c>
    </row>
    <row r="11568" spans="1:19" ht="56" x14ac:dyDescent="0.15">
      <c r="A11568" s="2">
        <f>HYPERLINK("https://open-school.uspishnemisto.com.ua/school/590197/", 590197)</f>
        <v>590197</v>
      </c>
      <c r="B11568" s="3" t="s">
        <v>58529</v>
      </c>
      <c r="C11568" s="3" t="s">
        <v>54</v>
      </c>
      <c r="D11568" s="3" t="s">
        <v>175</v>
      </c>
      <c r="E11568" s="4" t="s">
        <v>22</v>
      </c>
      <c r="F11568" s="4" t="s">
        <v>58530</v>
      </c>
      <c r="G11568" s="4" t="s">
        <v>58531</v>
      </c>
      <c r="H11568" s="3" t="s">
        <v>57649</v>
      </c>
      <c r="I11568" s="3" t="s">
        <v>1291</v>
      </c>
      <c r="J11568" s="3" t="s">
        <v>58532</v>
      </c>
      <c r="K11568" s="3" t="s">
        <v>58533</v>
      </c>
      <c r="L11568" s="3" t="s">
        <v>58534</v>
      </c>
      <c r="M11568" s="4"/>
      <c r="N11568" s="3" t="s">
        <v>37</v>
      </c>
      <c r="O11568" s="3"/>
      <c r="P11568" s="5">
        <v>0</v>
      </c>
      <c r="Q11568" s="5">
        <v>0</v>
      </c>
      <c r="R11568" s="5">
        <v>3</v>
      </c>
      <c r="S11568" s="5">
        <v>20</v>
      </c>
    </row>
    <row r="11569" spans="1:19" ht="28" x14ac:dyDescent="0.15">
      <c r="A11569" s="2">
        <f>HYPERLINK("https://open-school.uspishnemisto.com.ua/school/590198/", 590198)</f>
        <v>590198</v>
      </c>
      <c r="B11569" s="3" t="s">
        <v>58535</v>
      </c>
      <c r="C11569" s="3" t="s">
        <v>54</v>
      </c>
      <c r="D11569" s="3" t="s">
        <v>32</v>
      </c>
      <c r="E11569" s="4" t="s">
        <v>22</v>
      </c>
      <c r="F11569" s="4" t="s">
        <v>58536</v>
      </c>
      <c r="G11569" s="4" t="s">
        <v>58537</v>
      </c>
      <c r="H11569" s="3" t="s">
        <v>57649</v>
      </c>
      <c r="I11569" s="3" t="s">
        <v>22796</v>
      </c>
      <c r="J11569" s="3" t="s">
        <v>1999</v>
      </c>
      <c r="K11569" s="3" t="s">
        <v>58538</v>
      </c>
      <c r="L11569" s="3" t="s">
        <v>58539</v>
      </c>
      <c r="M11569" s="4"/>
      <c r="N11569" s="3" t="s">
        <v>967</v>
      </c>
      <c r="O11569" s="3" t="s">
        <v>52</v>
      </c>
      <c r="P11569" s="5">
        <v>8</v>
      </c>
      <c r="Q11569" s="5">
        <v>64</v>
      </c>
      <c r="R11569" s="5">
        <v>9</v>
      </c>
      <c r="S11569" s="5">
        <v>64</v>
      </c>
    </row>
    <row r="11570" spans="1:19" ht="42" x14ac:dyDescent="0.15">
      <c r="A11570" s="2">
        <f>HYPERLINK("https://open-school.uspishnemisto.com.ua/school/590199/", 590199)</f>
        <v>590199</v>
      </c>
      <c r="B11570" s="3" t="s">
        <v>58540</v>
      </c>
      <c r="C11570" s="3" t="s">
        <v>181</v>
      </c>
      <c r="D11570" s="3"/>
      <c r="E11570" s="4" t="s">
        <v>22</v>
      </c>
      <c r="F11570" s="4" t="s">
        <v>58541</v>
      </c>
      <c r="G11570" s="4" t="s">
        <v>58542</v>
      </c>
      <c r="H11570" s="3" t="s">
        <v>57649</v>
      </c>
      <c r="I11570" s="3" t="s">
        <v>883</v>
      </c>
      <c r="J11570" s="3" t="s">
        <v>6460</v>
      </c>
      <c r="K11570" s="3" t="s">
        <v>58543</v>
      </c>
      <c r="L11570" s="3"/>
      <c r="M11570" s="4" t="s">
        <v>58544</v>
      </c>
      <c r="N11570" s="3" t="s">
        <v>37</v>
      </c>
      <c r="O11570" s="3" t="s">
        <v>52</v>
      </c>
      <c r="P11570" s="5">
        <v>6</v>
      </c>
      <c r="Q11570" s="5">
        <v>50</v>
      </c>
      <c r="R11570" s="5">
        <v>6</v>
      </c>
      <c r="S11570" s="5">
        <v>44</v>
      </c>
    </row>
    <row r="11571" spans="1:19" ht="70" x14ac:dyDescent="0.15">
      <c r="A11571" s="2">
        <f>HYPERLINK("https://open-school.uspishnemisto.com.ua/school/590200/", 590200)</f>
        <v>590200</v>
      </c>
      <c r="B11571" s="3" t="s">
        <v>58545</v>
      </c>
      <c r="C11571" s="3" t="s">
        <v>54</v>
      </c>
      <c r="D11571" s="3" t="s">
        <v>32</v>
      </c>
      <c r="E11571" s="4" t="s">
        <v>22</v>
      </c>
      <c r="F11571" s="4" t="s">
        <v>58546</v>
      </c>
      <c r="G11571" s="4" t="s">
        <v>58547</v>
      </c>
      <c r="H11571" s="3" t="s">
        <v>57649</v>
      </c>
      <c r="I11571" s="3" t="s">
        <v>58548</v>
      </c>
      <c r="J11571" s="3" t="s">
        <v>58549</v>
      </c>
      <c r="K11571" s="3" t="s">
        <v>58550</v>
      </c>
      <c r="L11571" s="3"/>
      <c r="M11571" s="4"/>
      <c r="N11571" s="3" t="s">
        <v>967</v>
      </c>
      <c r="O11571" s="3" t="s">
        <v>52</v>
      </c>
      <c r="P11571" s="5">
        <v>6</v>
      </c>
      <c r="Q11571" s="5">
        <v>51</v>
      </c>
      <c r="R11571" s="5">
        <v>10</v>
      </c>
      <c r="S11571" s="5">
        <v>60</v>
      </c>
    </row>
    <row r="11572" spans="1:19" ht="42" x14ac:dyDescent="0.15">
      <c r="A11572" s="2">
        <f>HYPERLINK("https://open-school.uspishnemisto.com.ua/school/590201/", 590201)</f>
        <v>590201</v>
      </c>
      <c r="B11572" s="3" t="s">
        <v>58551</v>
      </c>
      <c r="C11572" s="3" t="s">
        <v>54</v>
      </c>
      <c r="D11572" s="3" t="s">
        <v>175</v>
      </c>
      <c r="E11572" s="4" t="s">
        <v>22</v>
      </c>
      <c r="F11572" s="4" t="s">
        <v>58552</v>
      </c>
      <c r="G11572" s="4" t="s">
        <v>58553</v>
      </c>
      <c r="H11572" s="3" t="s">
        <v>57649</v>
      </c>
      <c r="I11572" s="3" t="s">
        <v>2202</v>
      </c>
      <c r="J11572" s="3" t="s">
        <v>58554</v>
      </c>
      <c r="K11572" s="3" t="s">
        <v>58555</v>
      </c>
      <c r="L11572" s="3"/>
      <c r="M11572" s="4"/>
      <c r="N11572" s="3" t="s">
        <v>37</v>
      </c>
      <c r="O11572" s="3" t="s">
        <v>52</v>
      </c>
      <c r="P11572" s="5">
        <v>0</v>
      </c>
      <c r="Q11572" s="5">
        <v>0</v>
      </c>
      <c r="R11572" s="5">
        <v>6</v>
      </c>
      <c r="S11572" s="5">
        <v>37</v>
      </c>
    </row>
    <row r="11573" spans="1:19" ht="42" x14ac:dyDescent="0.15">
      <c r="A11573" s="2">
        <f>HYPERLINK("https://open-school.uspishnemisto.com.ua/school/590202/", 590202)</f>
        <v>590202</v>
      </c>
      <c r="B11573" s="3" t="s">
        <v>58556</v>
      </c>
      <c r="C11573" s="3" t="s">
        <v>31</v>
      </c>
      <c r="D11573" s="3" t="s">
        <v>32</v>
      </c>
      <c r="E11573" s="4" t="s">
        <v>22</v>
      </c>
      <c r="F11573" s="4" t="s">
        <v>58557</v>
      </c>
      <c r="G11573" s="4" t="s">
        <v>58558</v>
      </c>
      <c r="H11573" s="3" t="s">
        <v>57649</v>
      </c>
      <c r="I11573" s="3" t="s">
        <v>58559</v>
      </c>
      <c r="J11573" s="3" t="s">
        <v>32629</v>
      </c>
      <c r="K11573" s="3" t="s">
        <v>58560</v>
      </c>
      <c r="L11573" s="3"/>
      <c r="M11573" s="4"/>
      <c r="N11573" s="3" t="s">
        <v>37</v>
      </c>
      <c r="O11573" s="3" t="s">
        <v>38</v>
      </c>
      <c r="P11573" s="5">
        <v>10</v>
      </c>
      <c r="Q11573" s="5">
        <v>103</v>
      </c>
      <c r="R11573" s="5">
        <v>11</v>
      </c>
      <c r="S11573" s="5">
        <v>107</v>
      </c>
    </row>
    <row r="11574" spans="1:19" ht="56" x14ac:dyDescent="0.15">
      <c r="A11574" s="2">
        <f>HYPERLINK("https://open-school.uspishnemisto.com.ua/school/590203/", 590203)</f>
        <v>590203</v>
      </c>
      <c r="B11574" s="3" t="s">
        <v>58561</v>
      </c>
      <c r="C11574" s="3" t="s">
        <v>54</v>
      </c>
      <c r="D11574" s="3" t="s">
        <v>32</v>
      </c>
      <c r="E11574" s="4" t="s">
        <v>22</v>
      </c>
      <c r="F11574" s="4" t="s">
        <v>58562</v>
      </c>
      <c r="G11574" s="4" t="s">
        <v>58563</v>
      </c>
      <c r="H11574" s="3" t="s">
        <v>57649</v>
      </c>
      <c r="I11574" s="3" t="s">
        <v>58564</v>
      </c>
      <c r="J11574" s="3" t="s">
        <v>2372</v>
      </c>
      <c r="K11574" s="3" t="s">
        <v>58565</v>
      </c>
      <c r="L11574" s="3"/>
      <c r="M11574" s="4"/>
      <c r="N11574" s="3" t="s">
        <v>967</v>
      </c>
      <c r="O11574" s="3" t="s">
        <v>52</v>
      </c>
      <c r="P11574" s="5">
        <v>4</v>
      </c>
      <c r="Q11574" s="5">
        <v>49</v>
      </c>
      <c r="R11574" s="5">
        <v>8</v>
      </c>
      <c r="S11574" s="5">
        <v>47</v>
      </c>
    </row>
    <row r="11575" spans="1:19" ht="42" x14ac:dyDescent="0.15">
      <c r="A11575" s="2">
        <f>HYPERLINK("https://open-school.uspishnemisto.com.ua/school/590204/", 590204)</f>
        <v>590204</v>
      </c>
      <c r="B11575" s="3" t="s">
        <v>58566</v>
      </c>
      <c r="C11575" s="3" t="s">
        <v>54</v>
      </c>
      <c r="D11575" s="3" t="s">
        <v>32</v>
      </c>
      <c r="E11575" s="4" t="s">
        <v>22</v>
      </c>
      <c r="F11575" s="4" t="s">
        <v>58567</v>
      </c>
      <c r="G11575" s="4" t="s">
        <v>58568</v>
      </c>
      <c r="H11575" s="3" t="s">
        <v>57649</v>
      </c>
      <c r="I11575" s="3" t="s">
        <v>1439</v>
      </c>
      <c r="J11575" s="3" t="s">
        <v>58569</v>
      </c>
      <c r="K11575" s="3" t="s">
        <v>58570</v>
      </c>
      <c r="L11575" s="3"/>
      <c r="M11575" s="4"/>
      <c r="N11575" s="3" t="s">
        <v>967</v>
      </c>
      <c r="O11575" s="3" t="s">
        <v>52</v>
      </c>
      <c r="P11575" s="5">
        <v>6</v>
      </c>
      <c r="Q11575" s="5">
        <v>48</v>
      </c>
      <c r="R11575" s="5">
        <v>9</v>
      </c>
      <c r="S11575" s="5">
        <v>50</v>
      </c>
    </row>
    <row r="11576" spans="1:19" ht="42" x14ac:dyDescent="0.15">
      <c r="A11576" s="2">
        <f>HYPERLINK("https://open-school.uspishnemisto.com.ua/school/590205/", 590205)</f>
        <v>590205</v>
      </c>
      <c r="B11576" s="3" t="s">
        <v>58571</v>
      </c>
      <c r="C11576" s="3" t="s">
        <v>31</v>
      </c>
      <c r="D11576" s="3" t="s">
        <v>32</v>
      </c>
      <c r="E11576" s="4" t="s">
        <v>22</v>
      </c>
      <c r="F11576" s="4" t="s">
        <v>58572</v>
      </c>
      <c r="G11576" s="4" t="s">
        <v>58573</v>
      </c>
      <c r="H11576" s="3" t="s">
        <v>57649</v>
      </c>
      <c r="I11576" s="3" t="s">
        <v>58574</v>
      </c>
      <c r="J11576" s="3" t="s">
        <v>58575</v>
      </c>
      <c r="K11576" s="3" t="s">
        <v>58576</v>
      </c>
      <c r="L11576" s="3" t="s">
        <v>58577</v>
      </c>
      <c r="M11576" s="4"/>
      <c r="N11576" s="3" t="s">
        <v>37</v>
      </c>
      <c r="O11576" s="3" t="s">
        <v>38</v>
      </c>
      <c r="P11576" s="5">
        <v>9</v>
      </c>
      <c r="Q11576" s="5">
        <v>64</v>
      </c>
      <c r="R11576" s="5">
        <v>10</v>
      </c>
      <c r="S11576" s="5">
        <v>67</v>
      </c>
    </row>
    <row r="11577" spans="1:19" ht="42" x14ac:dyDescent="0.15">
      <c r="A11577" s="2">
        <f>HYPERLINK("https://open-school.uspishnemisto.com.ua/school/590206/", 590206)</f>
        <v>590206</v>
      </c>
      <c r="B11577" s="3" t="s">
        <v>58578</v>
      </c>
      <c r="C11577" s="3" t="s">
        <v>31</v>
      </c>
      <c r="D11577" s="3" t="s">
        <v>32</v>
      </c>
      <c r="E11577" s="4" t="s">
        <v>22</v>
      </c>
      <c r="F11577" s="4" t="s">
        <v>58579</v>
      </c>
      <c r="G11577" s="4" t="s">
        <v>58580</v>
      </c>
      <c r="H11577" s="3" t="s">
        <v>57649</v>
      </c>
      <c r="I11577" s="3" t="s">
        <v>58581</v>
      </c>
      <c r="J11577" s="3" t="s">
        <v>58582</v>
      </c>
      <c r="K11577" s="3" t="s">
        <v>58583</v>
      </c>
      <c r="L11577" s="3"/>
      <c r="M11577" s="4"/>
      <c r="N11577" s="3" t="s">
        <v>37</v>
      </c>
      <c r="O11577" s="3" t="s">
        <v>52</v>
      </c>
      <c r="P11577" s="5">
        <v>11</v>
      </c>
      <c r="Q11577" s="5">
        <v>104</v>
      </c>
      <c r="R11577" s="5">
        <v>11</v>
      </c>
      <c r="S11577" s="5">
        <v>101</v>
      </c>
    </row>
    <row r="11578" spans="1:19" ht="28" x14ac:dyDescent="0.15">
      <c r="A11578" s="2">
        <f>HYPERLINK("https://open-school.uspishnemisto.com.ua/school/590207/", 590207)</f>
        <v>590207</v>
      </c>
      <c r="B11578" s="3" t="s">
        <v>58584</v>
      </c>
      <c r="C11578" s="3" t="s">
        <v>31</v>
      </c>
      <c r="D11578" s="3" t="s">
        <v>32</v>
      </c>
      <c r="E11578" s="4" t="s">
        <v>22</v>
      </c>
      <c r="F11578" s="4" t="s">
        <v>58585</v>
      </c>
      <c r="G11578" s="4" t="s">
        <v>58586</v>
      </c>
      <c r="H11578" s="3" t="s">
        <v>57649</v>
      </c>
      <c r="I11578" s="3" t="s">
        <v>58587</v>
      </c>
      <c r="J11578" s="3" t="s">
        <v>4544</v>
      </c>
      <c r="K11578" s="3" t="s">
        <v>58588</v>
      </c>
      <c r="L11578" s="3"/>
      <c r="M11578" s="4"/>
      <c r="N11578" s="3" t="s">
        <v>37</v>
      </c>
      <c r="O11578" s="3" t="s">
        <v>38</v>
      </c>
      <c r="P11578" s="5">
        <v>11</v>
      </c>
      <c r="Q11578" s="5">
        <v>113</v>
      </c>
      <c r="R11578" s="5">
        <v>10</v>
      </c>
      <c r="S11578" s="5">
        <v>106</v>
      </c>
    </row>
    <row r="11579" spans="1:19" ht="42" x14ac:dyDescent="0.15">
      <c r="A11579" s="2">
        <f>HYPERLINK("https://open-school.uspishnemisto.com.ua/school/590208/", 590208)</f>
        <v>590208</v>
      </c>
      <c r="B11579" s="3" t="s">
        <v>58589</v>
      </c>
      <c r="C11579" s="3" t="s">
        <v>181</v>
      </c>
      <c r="D11579" s="3" t="s">
        <v>32</v>
      </c>
      <c r="E11579" s="4" t="s">
        <v>22</v>
      </c>
      <c r="F11579" s="4" t="s">
        <v>58590</v>
      </c>
      <c r="G11579" s="4" t="s">
        <v>58591</v>
      </c>
      <c r="H11579" s="3" t="s">
        <v>57649</v>
      </c>
      <c r="I11579" s="3" t="s">
        <v>58592</v>
      </c>
      <c r="J11579" s="3" t="s">
        <v>58593</v>
      </c>
      <c r="K11579" s="3" t="s">
        <v>58594</v>
      </c>
      <c r="L11579" s="3"/>
      <c r="M11579" s="4" t="s">
        <v>58595</v>
      </c>
      <c r="N11579" s="3" t="s">
        <v>128</v>
      </c>
      <c r="O11579" s="3" t="s">
        <v>52</v>
      </c>
      <c r="P11579" s="5">
        <v>14</v>
      </c>
      <c r="Q11579" s="5">
        <v>90</v>
      </c>
      <c r="R11579" s="5">
        <v>13</v>
      </c>
      <c r="S11579" s="5">
        <v>100</v>
      </c>
    </row>
    <row r="11580" spans="1:19" ht="28" x14ac:dyDescent="0.15">
      <c r="A11580" s="2">
        <f>HYPERLINK("https://open-school.uspishnemisto.com.ua/school/590209/", 590209)</f>
        <v>590209</v>
      </c>
      <c r="B11580" s="3" t="s">
        <v>58596</v>
      </c>
      <c r="C11580" s="3" t="s">
        <v>31</v>
      </c>
      <c r="D11580" s="3" t="s">
        <v>32</v>
      </c>
      <c r="E11580" s="4" t="s">
        <v>22</v>
      </c>
      <c r="F11580" s="4" t="s">
        <v>58590</v>
      </c>
      <c r="G11580" s="4" t="s">
        <v>58591</v>
      </c>
      <c r="H11580" s="3" t="s">
        <v>57649</v>
      </c>
      <c r="I11580" s="3" t="s">
        <v>58592</v>
      </c>
      <c r="J11580" s="3" t="s">
        <v>634</v>
      </c>
      <c r="K11580" s="3" t="s">
        <v>58597</v>
      </c>
      <c r="L11580" s="3"/>
      <c r="M11580" s="4"/>
      <c r="N11580" s="3" t="s">
        <v>37</v>
      </c>
      <c r="O11580" s="3" t="s">
        <v>38</v>
      </c>
      <c r="P11580" s="5">
        <v>10</v>
      </c>
      <c r="Q11580" s="5">
        <v>110</v>
      </c>
      <c r="R11580" s="5">
        <v>10</v>
      </c>
      <c r="S11580" s="5">
        <v>102</v>
      </c>
    </row>
    <row r="11581" spans="1:19" ht="42" x14ac:dyDescent="0.15">
      <c r="A11581" s="2">
        <f>HYPERLINK("https://open-school.uspishnemisto.com.ua/school/590210/", 590210)</f>
        <v>590210</v>
      </c>
      <c r="B11581" s="3" t="s">
        <v>58598</v>
      </c>
      <c r="C11581" s="3" t="s">
        <v>54</v>
      </c>
      <c r="D11581" s="3" t="s">
        <v>32</v>
      </c>
      <c r="E11581" s="4" t="s">
        <v>22</v>
      </c>
      <c r="F11581" s="4" t="s">
        <v>58599</v>
      </c>
      <c r="G11581" s="4" t="s">
        <v>58600</v>
      </c>
      <c r="H11581" s="3" t="s">
        <v>57649</v>
      </c>
      <c r="I11581" s="3" t="s">
        <v>58601</v>
      </c>
      <c r="J11581" s="3" t="s">
        <v>58602</v>
      </c>
      <c r="K11581" s="3" t="s">
        <v>58603</v>
      </c>
      <c r="L11581" s="3"/>
      <c r="M11581" s="4" t="s">
        <v>58604</v>
      </c>
      <c r="N11581" s="3" t="s">
        <v>37</v>
      </c>
      <c r="O11581" s="3" t="s">
        <v>70</v>
      </c>
      <c r="P11581" s="5">
        <v>13</v>
      </c>
      <c r="Q11581" s="5">
        <v>168</v>
      </c>
      <c r="R11581" s="5">
        <v>10</v>
      </c>
      <c r="S11581" s="5">
        <v>121</v>
      </c>
    </row>
    <row r="11582" spans="1:19" ht="42" x14ac:dyDescent="0.15">
      <c r="A11582" s="2">
        <f>HYPERLINK("https://open-school.uspishnemisto.com.ua/school/590211/", 590211)</f>
        <v>590211</v>
      </c>
      <c r="B11582" s="3" t="s">
        <v>58605</v>
      </c>
      <c r="C11582" s="3" t="s">
        <v>54</v>
      </c>
      <c r="D11582" s="3" t="s">
        <v>175</v>
      </c>
      <c r="E11582" s="4" t="s">
        <v>22</v>
      </c>
      <c r="F11582" s="4" t="s">
        <v>58606</v>
      </c>
      <c r="G11582" s="4" t="s">
        <v>58607</v>
      </c>
      <c r="H11582" s="3" t="s">
        <v>57649</v>
      </c>
      <c r="I11582" s="3" t="s">
        <v>58608</v>
      </c>
      <c r="J11582" s="3" t="s">
        <v>58609</v>
      </c>
      <c r="K11582" s="3"/>
      <c r="L11582" s="3"/>
      <c r="M11582" s="4"/>
      <c r="N11582" s="3" t="s">
        <v>37</v>
      </c>
      <c r="O11582" s="3" t="s">
        <v>38</v>
      </c>
      <c r="P11582" s="5">
        <v>0</v>
      </c>
      <c r="Q11582" s="5">
        <v>13</v>
      </c>
      <c r="R11582" s="5">
        <v>1</v>
      </c>
      <c r="S11582" s="5">
        <v>19</v>
      </c>
    </row>
    <row r="11583" spans="1:19" ht="56" x14ac:dyDescent="0.15">
      <c r="A11583" s="2">
        <f>HYPERLINK("https://open-school.uspishnemisto.com.ua/school/590212/", 590212)</f>
        <v>590212</v>
      </c>
      <c r="B11583" s="3" t="s">
        <v>58610</v>
      </c>
      <c r="C11583" s="3" t="s">
        <v>54</v>
      </c>
      <c r="D11583" s="3" t="s">
        <v>175</v>
      </c>
      <c r="E11583" s="4" t="s">
        <v>22</v>
      </c>
      <c r="F11583" s="4" t="s">
        <v>58611</v>
      </c>
      <c r="G11583" s="4" t="s">
        <v>58612</v>
      </c>
      <c r="H11583" s="3" t="s">
        <v>57649</v>
      </c>
      <c r="I11583" s="3" t="s">
        <v>58613</v>
      </c>
      <c r="J11583" s="3" t="s">
        <v>1192</v>
      </c>
      <c r="K11583" s="3" t="s">
        <v>58614</v>
      </c>
      <c r="L11583" s="3"/>
      <c r="M11583" s="4"/>
      <c r="N11583" s="3" t="s">
        <v>37</v>
      </c>
      <c r="O11583" s="3" t="s">
        <v>38</v>
      </c>
      <c r="P11583" s="5">
        <v>1</v>
      </c>
      <c r="Q11583" s="5">
        <v>25</v>
      </c>
      <c r="R11583" s="5">
        <v>1</v>
      </c>
      <c r="S11583" s="5">
        <v>25</v>
      </c>
    </row>
    <row r="11584" spans="1:19" ht="56" x14ac:dyDescent="0.15">
      <c r="A11584" s="2">
        <f>HYPERLINK("https://open-school.uspishnemisto.com.ua/school/590213/", 590213)</f>
        <v>590213</v>
      </c>
      <c r="B11584" s="3" t="s">
        <v>58615</v>
      </c>
      <c r="C11584" s="3" t="s">
        <v>54</v>
      </c>
      <c r="D11584" s="3" t="s">
        <v>32</v>
      </c>
      <c r="E11584" s="4" t="s">
        <v>22</v>
      </c>
      <c r="F11584" s="4" t="s">
        <v>58616</v>
      </c>
      <c r="G11584" s="4" t="s">
        <v>58617</v>
      </c>
      <c r="H11584" s="3" t="s">
        <v>57649</v>
      </c>
      <c r="I11584" s="3" t="s">
        <v>58618</v>
      </c>
      <c r="J11584" s="3" t="s">
        <v>58619</v>
      </c>
      <c r="K11584" s="3" t="s">
        <v>58620</v>
      </c>
      <c r="L11584" s="3" t="s">
        <v>58621</v>
      </c>
      <c r="M11584" s="4" t="s">
        <v>58622</v>
      </c>
      <c r="N11584" s="3" t="s">
        <v>37</v>
      </c>
      <c r="O11584" s="3" t="s">
        <v>38</v>
      </c>
      <c r="P11584" s="5">
        <v>12</v>
      </c>
      <c r="Q11584" s="5">
        <v>118</v>
      </c>
      <c r="R11584" s="5">
        <v>8</v>
      </c>
      <c r="S11584" s="5">
        <v>87</v>
      </c>
    </row>
    <row r="11585" spans="1:19" ht="56" x14ac:dyDescent="0.15">
      <c r="A11585" s="2">
        <f>HYPERLINK("https://open-school.uspishnemisto.com.ua/school/590214/", 590214)</f>
        <v>590214</v>
      </c>
      <c r="B11585" s="3" t="s">
        <v>58623</v>
      </c>
      <c r="C11585" s="3" t="s">
        <v>54</v>
      </c>
      <c r="D11585" s="3" t="s">
        <v>32</v>
      </c>
      <c r="E11585" s="4" t="s">
        <v>22</v>
      </c>
      <c r="F11585" s="4" t="s">
        <v>58624</v>
      </c>
      <c r="G11585" s="4" t="s">
        <v>58625</v>
      </c>
      <c r="H11585" s="3" t="s">
        <v>57649</v>
      </c>
      <c r="I11585" s="3" t="s">
        <v>58626</v>
      </c>
      <c r="J11585" s="3" t="s">
        <v>58627</v>
      </c>
      <c r="K11585" s="3" t="s">
        <v>58628</v>
      </c>
      <c r="L11585" s="3"/>
      <c r="M11585" s="4"/>
      <c r="N11585" s="3" t="s">
        <v>37</v>
      </c>
      <c r="O11585" s="3" t="s">
        <v>38</v>
      </c>
      <c r="P11585" s="5">
        <v>9</v>
      </c>
      <c r="Q11585" s="5">
        <v>68</v>
      </c>
      <c r="R11585" s="5">
        <v>8</v>
      </c>
      <c r="S11585" s="5">
        <v>67</v>
      </c>
    </row>
    <row r="11586" spans="1:19" ht="56" x14ac:dyDescent="0.15">
      <c r="A11586" s="2">
        <f>HYPERLINK("https://open-school.uspishnemisto.com.ua/school/590215/", 590215)</f>
        <v>590215</v>
      </c>
      <c r="B11586" s="3" t="s">
        <v>58629</v>
      </c>
      <c r="C11586" s="3" t="s">
        <v>54</v>
      </c>
      <c r="D11586" s="3" t="s">
        <v>175</v>
      </c>
      <c r="E11586" s="4" t="s">
        <v>22</v>
      </c>
      <c r="F11586" s="4" t="s">
        <v>58616</v>
      </c>
      <c r="G11586" s="4" t="s">
        <v>58630</v>
      </c>
      <c r="H11586" s="3" t="s">
        <v>57649</v>
      </c>
      <c r="I11586" s="3" t="s">
        <v>58631</v>
      </c>
      <c r="J11586" s="3" t="s">
        <v>6666</v>
      </c>
      <c r="K11586" s="3" t="s">
        <v>58632</v>
      </c>
      <c r="L11586" s="3"/>
      <c r="M11586" s="4"/>
      <c r="N11586" s="3" t="s">
        <v>37</v>
      </c>
      <c r="O11586" s="3" t="s">
        <v>52</v>
      </c>
      <c r="P11586" s="5">
        <v>0</v>
      </c>
      <c r="Q11586" s="5">
        <v>0</v>
      </c>
      <c r="R11586" s="5">
        <v>3</v>
      </c>
      <c r="S11586" s="5">
        <v>27</v>
      </c>
    </row>
    <row r="11587" spans="1:19" ht="56" x14ac:dyDescent="0.15">
      <c r="A11587" s="2">
        <f>HYPERLINK("https://open-school.uspishnemisto.com.ua/school/590216/", 590216)</f>
        <v>590216</v>
      </c>
      <c r="B11587" s="3" t="s">
        <v>58633</v>
      </c>
      <c r="C11587" s="3" t="s">
        <v>54</v>
      </c>
      <c r="D11587" s="3" t="s">
        <v>32</v>
      </c>
      <c r="E11587" s="4" t="s">
        <v>22</v>
      </c>
      <c r="F11587" s="4" t="s">
        <v>58634</v>
      </c>
      <c r="G11587" s="4" t="s">
        <v>58635</v>
      </c>
      <c r="H11587" s="3" t="s">
        <v>57649</v>
      </c>
      <c r="I11587" s="3" t="s">
        <v>58636</v>
      </c>
      <c r="J11587" s="3" t="s">
        <v>1999</v>
      </c>
      <c r="K11587" s="3" t="s">
        <v>58637</v>
      </c>
      <c r="L11587" s="3"/>
      <c r="M11587" s="4"/>
      <c r="N11587" s="3" t="s">
        <v>37</v>
      </c>
      <c r="O11587" s="3" t="s">
        <v>38</v>
      </c>
      <c r="P11587" s="5">
        <v>2</v>
      </c>
      <c r="Q11587" s="5">
        <v>36</v>
      </c>
      <c r="R11587" s="5">
        <v>4</v>
      </c>
      <c r="S11587" s="5">
        <v>41</v>
      </c>
    </row>
    <row r="11588" spans="1:19" ht="56" x14ac:dyDescent="0.15">
      <c r="A11588" s="2">
        <f>HYPERLINK("https://open-school.uspishnemisto.com.ua/school/590217/", 590217)</f>
        <v>590217</v>
      </c>
      <c r="B11588" s="3" t="s">
        <v>58638</v>
      </c>
      <c r="C11588" s="3" t="s">
        <v>54</v>
      </c>
      <c r="D11588" s="3" t="s">
        <v>175</v>
      </c>
      <c r="E11588" s="4" t="s">
        <v>22</v>
      </c>
      <c r="F11588" s="4" t="s">
        <v>58639</v>
      </c>
      <c r="G11588" s="4" t="s">
        <v>58640</v>
      </c>
      <c r="H11588" s="3" t="s">
        <v>57649</v>
      </c>
      <c r="I11588" s="3" t="s">
        <v>58641</v>
      </c>
      <c r="J11588" s="3" t="s">
        <v>2757</v>
      </c>
      <c r="K11588" s="3" t="s">
        <v>58642</v>
      </c>
      <c r="L11588" s="3"/>
      <c r="M11588" s="4"/>
      <c r="N11588" s="3" t="s">
        <v>37</v>
      </c>
      <c r="O11588" s="3" t="s">
        <v>38</v>
      </c>
      <c r="P11588" s="5">
        <v>2</v>
      </c>
      <c r="Q11588" s="5">
        <v>30</v>
      </c>
      <c r="R11588" s="5">
        <v>2</v>
      </c>
      <c r="S11588" s="5">
        <v>31</v>
      </c>
    </row>
    <row r="11589" spans="1:19" ht="56" x14ac:dyDescent="0.15">
      <c r="A11589" s="2">
        <f>HYPERLINK("https://open-school.uspishnemisto.com.ua/school/590218/", 590218)</f>
        <v>590218</v>
      </c>
      <c r="B11589" s="3" t="s">
        <v>58643</v>
      </c>
      <c r="C11589" s="3" t="s">
        <v>54</v>
      </c>
      <c r="D11589" s="3" t="s">
        <v>175</v>
      </c>
      <c r="E11589" s="4" t="s">
        <v>22</v>
      </c>
      <c r="F11589" s="4" t="s">
        <v>58644</v>
      </c>
      <c r="G11589" s="4" t="s">
        <v>58645</v>
      </c>
      <c r="H11589" s="3" t="s">
        <v>57649</v>
      </c>
      <c r="I11589" s="3" t="s">
        <v>12875</v>
      </c>
      <c r="J11589" s="3" t="s">
        <v>58646</v>
      </c>
      <c r="K11589" s="3" t="s">
        <v>58647</v>
      </c>
      <c r="L11589" s="3"/>
      <c r="M11589" s="4" t="s">
        <v>58648</v>
      </c>
      <c r="N11589" s="3" t="s">
        <v>37</v>
      </c>
      <c r="O11589" s="3" t="s">
        <v>38</v>
      </c>
      <c r="P11589" s="5">
        <v>7</v>
      </c>
      <c r="Q11589" s="5">
        <v>57</v>
      </c>
      <c r="R11589" s="5">
        <v>7</v>
      </c>
      <c r="S11589" s="5">
        <v>48</v>
      </c>
    </row>
    <row r="11590" spans="1:19" ht="56" x14ac:dyDescent="0.15">
      <c r="A11590" s="2">
        <f>HYPERLINK("https://open-school.uspishnemisto.com.ua/school/590219/", 590219)</f>
        <v>590219</v>
      </c>
      <c r="B11590" s="3" t="s">
        <v>58649</v>
      </c>
      <c r="C11590" s="3" t="s">
        <v>54</v>
      </c>
      <c r="D11590" s="3" t="s">
        <v>175</v>
      </c>
      <c r="E11590" s="4" t="s">
        <v>22</v>
      </c>
      <c r="F11590" s="4" t="s">
        <v>58650</v>
      </c>
      <c r="G11590" s="4" t="s">
        <v>58651</v>
      </c>
      <c r="H11590" s="3" t="s">
        <v>57649</v>
      </c>
      <c r="I11590" s="3" t="s">
        <v>1752</v>
      </c>
      <c r="J11590" s="3" t="s">
        <v>58652</v>
      </c>
      <c r="K11590" s="3" t="s">
        <v>58653</v>
      </c>
      <c r="L11590" s="3"/>
      <c r="M11590" s="4"/>
      <c r="N11590" s="3" t="s">
        <v>37</v>
      </c>
      <c r="O11590" s="3" t="s">
        <v>38</v>
      </c>
      <c r="P11590" s="5">
        <v>8</v>
      </c>
      <c r="Q11590" s="5">
        <v>64</v>
      </c>
      <c r="R11590" s="5">
        <v>9</v>
      </c>
      <c r="S11590" s="5">
        <v>68</v>
      </c>
    </row>
    <row r="11591" spans="1:19" ht="56" x14ac:dyDescent="0.15">
      <c r="A11591" s="2">
        <f>HYPERLINK("https://open-school.uspishnemisto.com.ua/school/590220/", 590220)</f>
        <v>590220</v>
      </c>
      <c r="B11591" s="3" t="s">
        <v>58654</v>
      </c>
      <c r="C11591" s="3" t="s">
        <v>54</v>
      </c>
      <c r="D11591" s="3" t="s">
        <v>32</v>
      </c>
      <c r="E11591" s="4" t="s">
        <v>22</v>
      </c>
      <c r="F11591" s="4" t="s">
        <v>58655</v>
      </c>
      <c r="G11591" s="4" t="s">
        <v>58656</v>
      </c>
      <c r="H11591" s="3" t="s">
        <v>57649</v>
      </c>
      <c r="I11591" s="3" t="s">
        <v>58657</v>
      </c>
      <c r="J11591" s="3" t="s">
        <v>1348</v>
      </c>
      <c r="K11591" s="3" t="s">
        <v>58658</v>
      </c>
      <c r="L11591" s="3"/>
      <c r="M11591" s="4"/>
      <c r="N11591" s="3" t="s">
        <v>37</v>
      </c>
      <c r="O11591" s="3" t="s">
        <v>38</v>
      </c>
      <c r="P11591" s="5">
        <v>8</v>
      </c>
      <c r="Q11591" s="5">
        <v>82</v>
      </c>
      <c r="R11591" s="5">
        <v>7</v>
      </c>
      <c r="S11591" s="5">
        <v>82</v>
      </c>
    </row>
    <row r="11592" spans="1:19" ht="56" x14ac:dyDescent="0.15">
      <c r="A11592" s="2">
        <f>HYPERLINK("https://open-school.uspishnemisto.com.ua/school/590221/", 590221)</f>
        <v>590221</v>
      </c>
      <c r="B11592" s="3" t="s">
        <v>58659</v>
      </c>
      <c r="C11592" s="3" t="s">
        <v>54</v>
      </c>
      <c r="D11592" s="3" t="s">
        <v>32</v>
      </c>
      <c r="E11592" s="4" t="s">
        <v>22</v>
      </c>
      <c r="F11592" s="4" t="s">
        <v>58660</v>
      </c>
      <c r="G11592" s="4" t="s">
        <v>58661</v>
      </c>
      <c r="H11592" s="3" t="s">
        <v>57649</v>
      </c>
      <c r="I11592" s="3" t="s">
        <v>58662</v>
      </c>
      <c r="J11592" s="3" t="s">
        <v>1078</v>
      </c>
      <c r="K11592" s="3" t="s">
        <v>58663</v>
      </c>
      <c r="L11592" s="3"/>
      <c r="M11592" s="4"/>
      <c r="N11592" s="3" t="s">
        <v>37</v>
      </c>
      <c r="O11592" s="3" t="s">
        <v>38</v>
      </c>
      <c r="P11592" s="5">
        <v>3</v>
      </c>
      <c r="Q11592" s="5">
        <v>28</v>
      </c>
      <c r="R11592" s="5">
        <v>4</v>
      </c>
      <c r="S11592" s="5">
        <v>32</v>
      </c>
    </row>
    <row r="11593" spans="1:19" ht="56" x14ac:dyDescent="0.15">
      <c r="A11593" s="2">
        <f>HYPERLINK("https://open-school.uspishnemisto.com.ua/school/590222/", 590222)</f>
        <v>590222</v>
      </c>
      <c r="B11593" s="3" t="s">
        <v>58664</v>
      </c>
      <c r="C11593" s="3" t="s">
        <v>54</v>
      </c>
      <c r="D11593" s="3" t="s">
        <v>32</v>
      </c>
      <c r="E11593" s="4" t="s">
        <v>22</v>
      </c>
      <c r="F11593" s="4" t="s">
        <v>58665</v>
      </c>
      <c r="G11593" s="4" t="s">
        <v>58666</v>
      </c>
      <c r="H11593" s="3" t="s">
        <v>57649</v>
      </c>
      <c r="I11593" s="3" t="s">
        <v>58667</v>
      </c>
      <c r="J11593" s="3" t="s">
        <v>58668</v>
      </c>
      <c r="K11593" s="3" t="s">
        <v>58669</v>
      </c>
      <c r="L11593" s="3"/>
      <c r="M11593" s="4"/>
      <c r="N11593" s="3" t="s">
        <v>37</v>
      </c>
      <c r="O11593" s="3" t="s">
        <v>38</v>
      </c>
      <c r="P11593" s="5">
        <v>3</v>
      </c>
      <c r="Q11593" s="5">
        <v>34</v>
      </c>
      <c r="R11593" s="5">
        <v>3</v>
      </c>
      <c r="S11593" s="5">
        <v>36</v>
      </c>
    </row>
    <row r="11594" spans="1:19" ht="56" x14ac:dyDescent="0.15">
      <c r="A11594" s="2">
        <f>HYPERLINK("https://open-school.uspishnemisto.com.ua/school/590223/", 590223)</f>
        <v>590223</v>
      </c>
      <c r="B11594" s="3" t="s">
        <v>58670</v>
      </c>
      <c r="C11594" s="3" t="s">
        <v>54</v>
      </c>
      <c r="D11594" s="3" t="s">
        <v>32</v>
      </c>
      <c r="E11594" s="4" t="s">
        <v>22</v>
      </c>
      <c r="F11594" s="4" t="s">
        <v>58671</v>
      </c>
      <c r="G11594" s="4" t="s">
        <v>58672</v>
      </c>
      <c r="H11594" s="3" t="s">
        <v>57649</v>
      </c>
      <c r="I11594" s="3" t="s">
        <v>964</v>
      </c>
      <c r="J11594" s="3" t="s">
        <v>6677</v>
      </c>
      <c r="K11594" s="3" t="s">
        <v>58673</v>
      </c>
      <c r="L11594" s="3"/>
      <c r="M11594" s="4"/>
      <c r="N11594" s="3" t="s">
        <v>37</v>
      </c>
      <c r="O11594" s="3" t="s">
        <v>38</v>
      </c>
      <c r="P11594" s="5">
        <v>9</v>
      </c>
      <c r="Q11594" s="5">
        <v>81</v>
      </c>
      <c r="R11594" s="5">
        <v>10</v>
      </c>
      <c r="S11594" s="5">
        <v>74</v>
      </c>
    </row>
    <row r="11595" spans="1:19" ht="56" x14ac:dyDescent="0.15">
      <c r="A11595" s="2">
        <f>HYPERLINK("https://open-school.uspishnemisto.com.ua/school/590224/", 590224)</f>
        <v>590224</v>
      </c>
      <c r="B11595" s="3" t="s">
        <v>58674</v>
      </c>
      <c r="C11595" s="3" t="s">
        <v>54</v>
      </c>
      <c r="D11595" s="3" t="s">
        <v>32</v>
      </c>
      <c r="E11595" s="4" t="s">
        <v>22</v>
      </c>
      <c r="F11595" s="4" t="s">
        <v>58675</v>
      </c>
      <c r="G11595" s="4" t="s">
        <v>58676</v>
      </c>
      <c r="H11595" s="3" t="s">
        <v>57649</v>
      </c>
      <c r="I11595" s="3" t="s">
        <v>58677</v>
      </c>
      <c r="J11595" s="3" t="s">
        <v>3370</v>
      </c>
      <c r="K11595" s="3"/>
      <c r="L11595" s="3"/>
      <c r="M11595" s="4" t="s">
        <v>58678</v>
      </c>
      <c r="N11595" s="3" t="s">
        <v>37</v>
      </c>
      <c r="O11595" s="3" t="s">
        <v>38</v>
      </c>
      <c r="P11595" s="5">
        <v>9</v>
      </c>
      <c r="Q11595" s="5">
        <v>91</v>
      </c>
      <c r="R11595" s="5">
        <v>9</v>
      </c>
      <c r="S11595" s="5">
        <v>88</v>
      </c>
    </row>
    <row r="11596" spans="1:19" ht="42" x14ac:dyDescent="0.15">
      <c r="A11596" s="2">
        <f>HYPERLINK("https://open-school.uspishnemisto.com.ua/school/590225/", 590225)</f>
        <v>590225</v>
      </c>
      <c r="B11596" s="3" t="s">
        <v>58679</v>
      </c>
      <c r="C11596" s="3" t="s">
        <v>54</v>
      </c>
      <c r="D11596" s="3" t="s">
        <v>32</v>
      </c>
      <c r="E11596" s="4" t="s">
        <v>22</v>
      </c>
      <c r="F11596" s="4" t="s">
        <v>58680</v>
      </c>
      <c r="G11596" s="4" t="s">
        <v>58681</v>
      </c>
      <c r="H11596" s="3" t="s">
        <v>57649</v>
      </c>
      <c r="I11596" s="3" t="s">
        <v>58682</v>
      </c>
      <c r="J11596" s="3" t="s">
        <v>634</v>
      </c>
      <c r="K11596" s="3" t="s">
        <v>58683</v>
      </c>
      <c r="L11596" s="3"/>
      <c r="M11596" s="4"/>
      <c r="N11596" s="3" t="s">
        <v>37</v>
      </c>
      <c r="O11596" s="3" t="s">
        <v>38</v>
      </c>
      <c r="P11596" s="5">
        <v>5</v>
      </c>
      <c r="Q11596" s="5">
        <v>45</v>
      </c>
      <c r="R11596" s="5">
        <v>6</v>
      </c>
      <c r="S11596" s="5">
        <v>46</v>
      </c>
    </row>
    <row r="11597" spans="1:19" ht="56" x14ac:dyDescent="0.15">
      <c r="A11597" s="2">
        <f>HYPERLINK("https://open-school.uspishnemisto.com.ua/school/590226/", 590226)</f>
        <v>590226</v>
      </c>
      <c r="B11597" s="3" t="s">
        <v>58684</v>
      </c>
      <c r="C11597" s="3" t="s">
        <v>54</v>
      </c>
      <c r="D11597" s="3" t="s">
        <v>32</v>
      </c>
      <c r="E11597" s="4" t="s">
        <v>22</v>
      </c>
      <c r="F11597" s="4" t="s">
        <v>58685</v>
      </c>
      <c r="G11597" s="4" t="s">
        <v>58686</v>
      </c>
      <c r="H11597" s="3" t="s">
        <v>57649</v>
      </c>
      <c r="I11597" s="3" t="s">
        <v>5965</v>
      </c>
      <c r="J11597" s="3" t="s">
        <v>24550</v>
      </c>
      <c r="K11597" s="3" t="s">
        <v>58687</v>
      </c>
      <c r="L11597" s="3"/>
      <c r="M11597" s="4"/>
      <c r="N11597" s="3" t="s">
        <v>37</v>
      </c>
      <c r="O11597" s="3" t="s">
        <v>38</v>
      </c>
      <c r="P11597" s="5">
        <v>8</v>
      </c>
      <c r="Q11597" s="5">
        <v>75</v>
      </c>
      <c r="R11597" s="5">
        <v>8</v>
      </c>
      <c r="S11597" s="5">
        <v>70</v>
      </c>
    </row>
    <row r="11598" spans="1:19" ht="56" x14ac:dyDescent="0.15">
      <c r="A11598" s="2">
        <f>HYPERLINK("https://open-school.uspishnemisto.com.ua/school/590227/", 590227)</f>
        <v>590227</v>
      </c>
      <c r="B11598" s="3" t="s">
        <v>58688</v>
      </c>
      <c r="C11598" s="3" t="s">
        <v>54</v>
      </c>
      <c r="D11598" s="3" t="s">
        <v>32</v>
      </c>
      <c r="E11598" s="4" t="s">
        <v>22</v>
      </c>
      <c r="F11598" s="4" t="s">
        <v>58689</v>
      </c>
      <c r="G11598" s="4" t="s">
        <v>58690</v>
      </c>
      <c r="H11598" s="3" t="s">
        <v>57649</v>
      </c>
      <c r="I11598" s="3" t="s">
        <v>58691</v>
      </c>
      <c r="J11598" s="3" t="s">
        <v>10830</v>
      </c>
      <c r="K11598" s="3" t="s">
        <v>58692</v>
      </c>
      <c r="L11598" s="3" t="s">
        <v>58693</v>
      </c>
      <c r="M11598" s="4"/>
      <c r="N11598" s="3" t="s">
        <v>37</v>
      </c>
      <c r="O11598" s="3" t="s">
        <v>38</v>
      </c>
      <c r="P11598" s="5">
        <v>5</v>
      </c>
      <c r="Q11598" s="5">
        <v>39</v>
      </c>
      <c r="R11598" s="5">
        <v>5</v>
      </c>
      <c r="S11598" s="5">
        <v>37</v>
      </c>
    </row>
    <row r="11599" spans="1:19" ht="56" x14ac:dyDescent="0.15">
      <c r="A11599" s="2">
        <f>HYPERLINK("https://open-school.uspishnemisto.com.ua/school/590228/", 590228)</f>
        <v>590228</v>
      </c>
      <c r="B11599" s="3" t="s">
        <v>58694</v>
      </c>
      <c r="C11599" s="3" t="s">
        <v>54</v>
      </c>
      <c r="D11599" s="3" t="s">
        <v>32</v>
      </c>
      <c r="E11599" s="4" t="s">
        <v>22</v>
      </c>
      <c r="F11599" s="4" t="s">
        <v>58695</v>
      </c>
      <c r="G11599" s="4" t="s">
        <v>58696</v>
      </c>
      <c r="H11599" s="3" t="s">
        <v>57649</v>
      </c>
      <c r="I11599" s="3" t="s">
        <v>29821</v>
      </c>
      <c r="J11599" s="3" t="s">
        <v>58697</v>
      </c>
      <c r="K11599" s="3" t="s">
        <v>58698</v>
      </c>
      <c r="L11599" s="3"/>
      <c r="M11599" s="4"/>
      <c r="N11599" s="3" t="s">
        <v>37</v>
      </c>
      <c r="O11599" s="3" t="s">
        <v>38</v>
      </c>
      <c r="P11599" s="5">
        <v>5</v>
      </c>
      <c r="Q11599" s="5">
        <v>46</v>
      </c>
      <c r="R11599" s="5">
        <v>6</v>
      </c>
      <c r="S11599" s="5">
        <v>51</v>
      </c>
    </row>
    <row r="11600" spans="1:19" ht="56" x14ac:dyDescent="0.15">
      <c r="A11600" s="2">
        <f>HYPERLINK("https://open-school.uspishnemisto.com.ua/school/590230/", 590230)</f>
        <v>590230</v>
      </c>
      <c r="B11600" s="3" t="s">
        <v>58699</v>
      </c>
      <c r="C11600" s="3" t="s">
        <v>54</v>
      </c>
      <c r="D11600" s="3" t="s">
        <v>32</v>
      </c>
      <c r="E11600" s="4" t="s">
        <v>22</v>
      </c>
      <c r="F11600" s="4" t="s">
        <v>58700</v>
      </c>
      <c r="G11600" s="4" t="s">
        <v>58701</v>
      </c>
      <c r="H11600" s="3" t="s">
        <v>57649</v>
      </c>
      <c r="I11600" s="3" t="s">
        <v>58702</v>
      </c>
      <c r="J11600" s="3" t="s">
        <v>58703</v>
      </c>
      <c r="K11600" s="3" t="s">
        <v>58704</v>
      </c>
      <c r="L11600" s="3"/>
      <c r="M11600" s="4"/>
      <c r="N11600" s="3" t="s">
        <v>37</v>
      </c>
      <c r="O11600" s="3" t="s">
        <v>38</v>
      </c>
      <c r="P11600" s="5">
        <v>6</v>
      </c>
      <c r="Q11600" s="5">
        <v>46</v>
      </c>
      <c r="R11600" s="5">
        <v>5</v>
      </c>
      <c r="S11600" s="5">
        <v>46</v>
      </c>
    </row>
    <row r="11601" spans="1:19" ht="56" x14ac:dyDescent="0.15">
      <c r="A11601" s="2">
        <f>HYPERLINK("https://open-school.uspishnemisto.com.ua/school/590232/", 590232)</f>
        <v>590232</v>
      </c>
      <c r="B11601" s="3" t="s">
        <v>58705</v>
      </c>
      <c r="C11601" s="3" t="s">
        <v>54</v>
      </c>
      <c r="D11601" s="3" t="s">
        <v>175</v>
      </c>
      <c r="E11601" s="4" t="s">
        <v>22</v>
      </c>
      <c r="F11601" s="4" t="s">
        <v>58706</v>
      </c>
      <c r="G11601" s="4" t="s">
        <v>58707</v>
      </c>
      <c r="H11601" s="3" t="s">
        <v>57649</v>
      </c>
      <c r="I11601" s="3" t="s">
        <v>41003</v>
      </c>
      <c r="J11601" s="3" t="s">
        <v>58708</v>
      </c>
      <c r="K11601" s="3" t="s">
        <v>58709</v>
      </c>
      <c r="L11601" s="3"/>
      <c r="M11601" s="4"/>
      <c r="N11601" s="3" t="s">
        <v>37</v>
      </c>
      <c r="O11601" s="3" t="s">
        <v>618</v>
      </c>
      <c r="P11601" s="5">
        <v>0</v>
      </c>
      <c r="Q11601" s="5">
        <v>0</v>
      </c>
      <c r="R11601" s="5">
        <v>2</v>
      </c>
      <c r="S11601" s="5">
        <v>28</v>
      </c>
    </row>
    <row r="11602" spans="1:19" ht="56" x14ac:dyDescent="0.15">
      <c r="A11602" s="2">
        <f>HYPERLINK("https://open-school.uspishnemisto.com.ua/school/590233/", 590233)</f>
        <v>590233</v>
      </c>
      <c r="B11602" s="3" t="s">
        <v>58710</v>
      </c>
      <c r="C11602" s="3" t="s">
        <v>54</v>
      </c>
      <c r="D11602" s="3" t="s">
        <v>32</v>
      </c>
      <c r="E11602" s="4" t="s">
        <v>22</v>
      </c>
      <c r="F11602" s="4" t="s">
        <v>58711</v>
      </c>
      <c r="G11602" s="4" t="s">
        <v>58712</v>
      </c>
      <c r="H11602" s="3" t="s">
        <v>57649</v>
      </c>
      <c r="I11602" s="3" t="s">
        <v>11064</v>
      </c>
      <c r="J11602" s="3" t="s">
        <v>58713</v>
      </c>
      <c r="K11602" s="3"/>
      <c r="L11602" s="3"/>
      <c r="M11602" s="4" t="s">
        <v>58714</v>
      </c>
      <c r="N11602" s="3" t="s">
        <v>37</v>
      </c>
      <c r="O11602" s="3" t="s">
        <v>38</v>
      </c>
      <c r="P11602" s="5">
        <v>8</v>
      </c>
      <c r="Q11602" s="5">
        <v>79</v>
      </c>
      <c r="R11602" s="5">
        <v>9</v>
      </c>
      <c r="S11602" s="5">
        <v>83</v>
      </c>
    </row>
    <row r="11603" spans="1:19" ht="42" x14ac:dyDescent="0.15">
      <c r="A11603" s="2">
        <f>HYPERLINK("https://open-school.uspishnemisto.com.ua/school/590234/", 590234)</f>
        <v>590234</v>
      </c>
      <c r="B11603" s="3" t="s">
        <v>58715</v>
      </c>
      <c r="C11603" s="3" t="s">
        <v>54</v>
      </c>
      <c r="D11603" s="3" t="s">
        <v>175</v>
      </c>
      <c r="E11603" s="4" t="s">
        <v>22</v>
      </c>
      <c r="F11603" s="4" t="s">
        <v>58716</v>
      </c>
      <c r="G11603" s="4" t="s">
        <v>58717</v>
      </c>
      <c r="H11603" s="3" t="s">
        <v>57649</v>
      </c>
      <c r="I11603" s="3" t="s">
        <v>58718</v>
      </c>
      <c r="J11603" s="3" t="s">
        <v>952</v>
      </c>
      <c r="K11603" s="3" t="s">
        <v>58719</v>
      </c>
      <c r="L11603" s="3"/>
      <c r="M11603" s="4"/>
      <c r="N11603" s="3" t="s">
        <v>37</v>
      </c>
      <c r="O11603" s="3" t="s">
        <v>38</v>
      </c>
      <c r="P11603" s="5">
        <v>0</v>
      </c>
      <c r="Q11603" s="5">
        <v>17</v>
      </c>
      <c r="R11603" s="5">
        <v>0</v>
      </c>
      <c r="S11603" s="5">
        <v>14</v>
      </c>
    </row>
    <row r="11604" spans="1:19" ht="56" x14ac:dyDescent="0.15">
      <c r="A11604" s="2">
        <f>HYPERLINK("https://open-school.uspishnemisto.com.ua/school/590235/", 590235)</f>
        <v>590235</v>
      </c>
      <c r="B11604" s="3" t="s">
        <v>58720</v>
      </c>
      <c r="C11604" s="3" t="s">
        <v>54</v>
      </c>
      <c r="D11604" s="3" t="s">
        <v>32</v>
      </c>
      <c r="E11604" s="4" t="s">
        <v>22</v>
      </c>
      <c r="F11604" s="4" t="s">
        <v>58721</v>
      </c>
      <c r="G11604" s="4" t="s">
        <v>58722</v>
      </c>
      <c r="H11604" s="3" t="s">
        <v>57649</v>
      </c>
      <c r="I11604" s="3" t="s">
        <v>58723</v>
      </c>
      <c r="J11604" s="3" t="s">
        <v>58724</v>
      </c>
      <c r="K11604" s="3" t="s">
        <v>58725</v>
      </c>
      <c r="L11604" s="3"/>
      <c r="M11604" s="4"/>
      <c r="N11604" s="3" t="s">
        <v>37</v>
      </c>
      <c r="O11604" s="3" t="s">
        <v>52</v>
      </c>
      <c r="P11604" s="5">
        <v>10</v>
      </c>
      <c r="Q11604" s="5">
        <v>203</v>
      </c>
      <c r="R11604" s="5">
        <v>11</v>
      </c>
      <c r="S11604" s="5">
        <v>213</v>
      </c>
    </row>
    <row r="11605" spans="1:19" ht="56" x14ac:dyDescent="0.15">
      <c r="A11605" s="2">
        <f>HYPERLINK("https://open-school.uspishnemisto.com.ua/school/590236/", 590236)</f>
        <v>590236</v>
      </c>
      <c r="B11605" s="3" t="s">
        <v>58726</v>
      </c>
      <c r="C11605" s="3" t="s">
        <v>54</v>
      </c>
      <c r="D11605" s="3" t="s">
        <v>32</v>
      </c>
      <c r="E11605" s="4" t="s">
        <v>22</v>
      </c>
      <c r="F11605" s="4" t="s">
        <v>58727</v>
      </c>
      <c r="G11605" s="4" t="s">
        <v>58728</v>
      </c>
      <c r="H11605" s="3" t="s">
        <v>57649</v>
      </c>
      <c r="I11605" s="3" t="s">
        <v>58729</v>
      </c>
      <c r="J11605" s="3" t="s">
        <v>3440</v>
      </c>
      <c r="K11605" s="3" t="s">
        <v>58730</v>
      </c>
      <c r="L11605" s="3"/>
      <c r="M11605" s="4"/>
      <c r="N11605" s="3" t="s">
        <v>37</v>
      </c>
      <c r="O11605" s="3" t="s">
        <v>52</v>
      </c>
      <c r="P11605" s="5">
        <v>2</v>
      </c>
      <c r="Q11605" s="5">
        <v>29</v>
      </c>
      <c r="R11605" s="5">
        <v>3</v>
      </c>
      <c r="S11605" s="5">
        <v>29</v>
      </c>
    </row>
    <row r="11606" spans="1:19" ht="56" x14ac:dyDescent="0.15">
      <c r="A11606" s="2">
        <f>HYPERLINK("https://open-school.uspishnemisto.com.ua/school/590237/", 590237)</f>
        <v>590237</v>
      </c>
      <c r="B11606" s="3" t="s">
        <v>58731</v>
      </c>
      <c r="C11606" s="3" t="s">
        <v>54</v>
      </c>
      <c r="D11606" s="3" t="s">
        <v>32</v>
      </c>
      <c r="E11606" s="4" t="s">
        <v>22</v>
      </c>
      <c r="F11606" s="4" t="s">
        <v>58732</v>
      </c>
      <c r="G11606" s="4" t="s">
        <v>58733</v>
      </c>
      <c r="H11606" s="3" t="s">
        <v>57649</v>
      </c>
      <c r="I11606" s="3" t="s">
        <v>58734</v>
      </c>
      <c r="J11606" s="3" t="s">
        <v>58735</v>
      </c>
      <c r="K11606" s="3" t="s">
        <v>58736</v>
      </c>
      <c r="L11606" s="3"/>
      <c r="M11606" s="4"/>
      <c r="N11606" s="3" t="s">
        <v>37</v>
      </c>
      <c r="O11606" s="3" t="s">
        <v>52</v>
      </c>
      <c r="P11606" s="5">
        <v>10</v>
      </c>
      <c r="Q11606" s="5">
        <v>142</v>
      </c>
      <c r="R11606" s="5">
        <v>11</v>
      </c>
      <c r="S11606" s="5">
        <v>134</v>
      </c>
    </row>
    <row r="11607" spans="1:19" ht="56" x14ac:dyDescent="0.15">
      <c r="A11607" s="2">
        <f>HYPERLINK("https://open-school.uspishnemisto.com.ua/school/590238/", 590238)</f>
        <v>590238</v>
      </c>
      <c r="B11607" s="3" t="s">
        <v>58737</v>
      </c>
      <c r="C11607" s="3" t="s">
        <v>54</v>
      </c>
      <c r="D11607" s="3" t="s">
        <v>32</v>
      </c>
      <c r="E11607" s="4" t="s">
        <v>22</v>
      </c>
      <c r="F11607" s="4" t="s">
        <v>58738</v>
      </c>
      <c r="G11607" s="4" t="s">
        <v>58739</v>
      </c>
      <c r="H11607" s="3" t="s">
        <v>57649</v>
      </c>
      <c r="I11607" s="3" t="s">
        <v>58740</v>
      </c>
      <c r="J11607" s="3" t="s">
        <v>58741</v>
      </c>
      <c r="K11607" s="3" t="s">
        <v>58742</v>
      </c>
      <c r="L11607" s="3" t="s">
        <v>58743</v>
      </c>
      <c r="M11607" s="4"/>
      <c r="N11607" s="3" t="s">
        <v>37</v>
      </c>
      <c r="O11607" s="3" t="s">
        <v>52</v>
      </c>
      <c r="P11607" s="5">
        <v>10</v>
      </c>
      <c r="Q11607" s="5">
        <v>82</v>
      </c>
      <c r="R11607" s="5">
        <v>10</v>
      </c>
      <c r="S11607" s="5">
        <v>87</v>
      </c>
    </row>
    <row r="11608" spans="1:19" ht="42" x14ac:dyDescent="0.15">
      <c r="A11608" s="2">
        <f>HYPERLINK("https://open-school.uspishnemisto.com.ua/school/590239/", 590239)</f>
        <v>590239</v>
      </c>
      <c r="B11608" s="3" t="s">
        <v>58744</v>
      </c>
      <c r="C11608" s="3" t="s">
        <v>54</v>
      </c>
      <c r="D11608" s="3" t="s">
        <v>175</v>
      </c>
      <c r="E11608" s="4" t="s">
        <v>22</v>
      </c>
      <c r="F11608" s="4" t="s">
        <v>58745</v>
      </c>
      <c r="G11608" s="4" t="s">
        <v>58746</v>
      </c>
      <c r="H11608" s="3" t="s">
        <v>57649</v>
      </c>
      <c r="I11608" s="3" t="s">
        <v>58747</v>
      </c>
      <c r="J11608" s="3" t="s">
        <v>2329</v>
      </c>
      <c r="K11608" s="3" t="s">
        <v>58748</v>
      </c>
      <c r="L11608" s="3"/>
      <c r="M11608" s="4"/>
      <c r="N11608" s="3" t="s">
        <v>37</v>
      </c>
      <c r="O11608" s="3" t="s">
        <v>52</v>
      </c>
      <c r="P11608" s="5">
        <v>7</v>
      </c>
      <c r="Q11608" s="5">
        <v>81</v>
      </c>
      <c r="R11608" s="5">
        <v>7</v>
      </c>
      <c r="S11608" s="5">
        <v>70</v>
      </c>
    </row>
    <row r="11609" spans="1:19" ht="56" x14ac:dyDescent="0.15">
      <c r="A11609" s="2">
        <f>HYPERLINK("https://open-school.uspishnemisto.com.ua/school/590240/", 590240)</f>
        <v>590240</v>
      </c>
      <c r="B11609" s="3" t="s">
        <v>58749</v>
      </c>
      <c r="C11609" s="3" t="s">
        <v>54</v>
      </c>
      <c r="D11609" s="3" t="s">
        <v>32</v>
      </c>
      <c r="E11609" s="4" t="s">
        <v>22</v>
      </c>
      <c r="F11609" s="4" t="s">
        <v>58750</v>
      </c>
      <c r="G11609" s="4" t="s">
        <v>58751</v>
      </c>
      <c r="H11609" s="3" t="s">
        <v>57649</v>
      </c>
      <c r="I11609" s="3" t="s">
        <v>58133</v>
      </c>
      <c r="J11609" s="3" t="s">
        <v>58752</v>
      </c>
      <c r="K11609" s="3"/>
      <c r="L11609" s="3"/>
      <c r="M11609" s="4"/>
      <c r="N11609" s="3" t="s">
        <v>37</v>
      </c>
      <c r="O11609" s="3" t="s">
        <v>52</v>
      </c>
      <c r="P11609" s="5">
        <v>3</v>
      </c>
      <c r="Q11609" s="5">
        <v>28</v>
      </c>
      <c r="R11609" s="5">
        <v>4</v>
      </c>
      <c r="S11609" s="5">
        <v>34</v>
      </c>
    </row>
    <row r="11610" spans="1:19" ht="56" x14ac:dyDescent="0.15">
      <c r="A11610" s="2">
        <f>HYPERLINK("https://open-school.uspishnemisto.com.ua/school/590241/", 590241)</f>
        <v>590241</v>
      </c>
      <c r="B11610" s="3" t="s">
        <v>58753</v>
      </c>
      <c r="C11610" s="3" t="s">
        <v>54</v>
      </c>
      <c r="D11610" s="3" t="s">
        <v>32</v>
      </c>
      <c r="E11610" s="4" t="s">
        <v>22</v>
      </c>
      <c r="F11610" s="4" t="s">
        <v>58754</v>
      </c>
      <c r="G11610" s="4" t="s">
        <v>58755</v>
      </c>
      <c r="H11610" s="3" t="s">
        <v>57649</v>
      </c>
      <c r="I11610" s="3" t="s">
        <v>1109</v>
      </c>
      <c r="J11610" s="3" t="s">
        <v>17341</v>
      </c>
      <c r="K11610" s="3" t="s">
        <v>58756</v>
      </c>
      <c r="L11610" s="3"/>
      <c r="M11610" s="4"/>
      <c r="N11610" s="3" t="s">
        <v>37</v>
      </c>
      <c r="O11610" s="3" t="s">
        <v>52</v>
      </c>
      <c r="P11610" s="5">
        <v>6</v>
      </c>
      <c r="Q11610" s="5">
        <v>58</v>
      </c>
      <c r="R11610" s="5">
        <v>6</v>
      </c>
      <c r="S11610" s="5">
        <v>58</v>
      </c>
    </row>
    <row r="11611" spans="1:19" ht="56" x14ac:dyDescent="0.15">
      <c r="A11611" s="2">
        <f>HYPERLINK("https://open-school.uspishnemisto.com.ua/school/590242/", 590242)</f>
        <v>590242</v>
      </c>
      <c r="B11611" s="3" t="s">
        <v>58757</v>
      </c>
      <c r="C11611" s="3" t="s">
        <v>54</v>
      </c>
      <c r="D11611" s="3" t="s">
        <v>32</v>
      </c>
      <c r="E11611" s="4" t="s">
        <v>22</v>
      </c>
      <c r="F11611" s="4" t="s">
        <v>58758</v>
      </c>
      <c r="G11611" s="4" t="s">
        <v>58759</v>
      </c>
      <c r="H11611" s="3" t="s">
        <v>57649</v>
      </c>
      <c r="I11611" s="3" t="s">
        <v>58760</v>
      </c>
      <c r="J11611" s="3" t="s">
        <v>58761</v>
      </c>
      <c r="K11611" s="3" t="s">
        <v>58762</v>
      </c>
      <c r="L11611" s="3"/>
      <c r="M11611" s="4"/>
      <c r="N11611" s="3" t="s">
        <v>37</v>
      </c>
      <c r="O11611" s="3" t="s">
        <v>52</v>
      </c>
      <c r="P11611" s="5">
        <v>2</v>
      </c>
      <c r="Q11611" s="5">
        <v>25</v>
      </c>
      <c r="R11611" s="5">
        <v>3</v>
      </c>
      <c r="S11611" s="5">
        <v>26</v>
      </c>
    </row>
    <row r="11612" spans="1:19" ht="56" x14ac:dyDescent="0.15">
      <c r="A11612" s="2">
        <f>HYPERLINK("https://open-school.uspishnemisto.com.ua/school/590243/", 590243)</f>
        <v>590243</v>
      </c>
      <c r="B11612" s="3" t="s">
        <v>58763</v>
      </c>
      <c r="C11612" s="3" t="s">
        <v>54</v>
      </c>
      <c r="D11612" s="3" t="s">
        <v>32</v>
      </c>
      <c r="E11612" s="4" t="s">
        <v>22</v>
      </c>
      <c r="F11612" s="4" t="s">
        <v>58764</v>
      </c>
      <c r="G11612" s="4" t="s">
        <v>58765</v>
      </c>
      <c r="H11612" s="3" t="s">
        <v>57649</v>
      </c>
      <c r="I11612" s="3" t="s">
        <v>58766</v>
      </c>
      <c r="J11612" s="3" t="s">
        <v>58767</v>
      </c>
      <c r="K11612" s="3"/>
      <c r="L11612" s="3"/>
      <c r="M11612" s="4"/>
      <c r="N11612" s="3" t="s">
        <v>37</v>
      </c>
      <c r="O11612" s="3" t="s">
        <v>46</v>
      </c>
      <c r="P11612" s="5">
        <v>4</v>
      </c>
      <c r="Q11612" s="5">
        <v>39</v>
      </c>
      <c r="R11612" s="5">
        <v>3</v>
      </c>
      <c r="S11612" s="5">
        <v>40</v>
      </c>
    </row>
    <row r="11613" spans="1:19" ht="56" x14ac:dyDescent="0.15">
      <c r="A11613" s="2">
        <f>HYPERLINK("https://open-school.uspishnemisto.com.ua/school/590244/", 590244)</f>
        <v>590244</v>
      </c>
      <c r="B11613" s="3" t="s">
        <v>58768</v>
      </c>
      <c r="C11613" s="3" t="s">
        <v>54</v>
      </c>
      <c r="D11613" s="3" t="s">
        <v>32</v>
      </c>
      <c r="E11613" s="4" t="s">
        <v>22</v>
      </c>
      <c r="F11613" s="4" t="s">
        <v>58769</v>
      </c>
      <c r="G11613" s="4" t="s">
        <v>58770</v>
      </c>
      <c r="H11613" s="3" t="s">
        <v>57649</v>
      </c>
      <c r="I11613" s="3" t="s">
        <v>4198</v>
      </c>
      <c r="J11613" s="3" t="s">
        <v>58771</v>
      </c>
      <c r="K11613" s="3" t="s">
        <v>58772</v>
      </c>
      <c r="L11613" s="3"/>
      <c r="M11613" s="4"/>
      <c r="N11613" s="3" t="s">
        <v>37</v>
      </c>
      <c r="O11613" s="3" t="s">
        <v>52</v>
      </c>
      <c r="P11613" s="5">
        <v>7</v>
      </c>
      <c r="Q11613" s="5">
        <v>57</v>
      </c>
      <c r="R11613" s="5">
        <v>8</v>
      </c>
      <c r="S11613" s="5">
        <v>64</v>
      </c>
    </row>
    <row r="11614" spans="1:19" ht="56" x14ac:dyDescent="0.15">
      <c r="A11614" s="2">
        <f>HYPERLINK("https://open-school.uspishnemisto.com.ua/school/590245/", 590245)</f>
        <v>590245</v>
      </c>
      <c r="B11614" s="3" t="s">
        <v>58773</v>
      </c>
      <c r="C11614" s="3" t="s">
        <v>54</v>
      </c>
      <c r="D11614" s="3" t="s">
        <v>175</v>
      </c>
      <c r="E11614" s="4" t="s">
        <v>22</v>
      </c>
      <c r="F11614" s="4" t="s">
        <v>58774</v>
      </c>
      <c r="G11614" s="4" t="s">
        <v>58775</v>
      </c>
      <c r="H11614" s="3" t="s">
        <v>57649</v>
      </c>
      <c r="I11614" s="3" t="s">
        <v>58776</v>
      </c>
      <c r="J11614" s="3" t="s">
        <v>1946</v>
      </c>
      <c r="K11614" s="3" t="s">
        <v>58777</v>
      </c>
      <c r="L11614" s="3"/>
      <c r="M11614" s="4"/>
      <c r="N11614" s="3" t="s">
        <v>37</v>
      </c>
      <c r="O11614" s="3" t="s">
        <v>52</v>
      </c>
      <c r="P11614" s="5">
        <v>2</v>
      </c>
      <c r="Q11614" s="5">
        <v>25</v>
      </c>
      <c r="R11614" s="5">
        <v>2</v>
      </c>
      <c r="S11614" s="5">
        <v>25</v>
      </c>
    </row>
    <row r="11615" spans="1:19" ht="42" x14ac:dyDescent="0.15">
      <c r="A11615" s="2">
        <f>HYPERLINK("https://open-school.uspishnemisto.com.ua/school/590246/", 590246)</f>
        <v>590246</v>
      </c>
      <c r="B11615" s="3" t="s">
        <v>58778</v>
      </c>
      <c r="C11615" s="3" t="s">
        <v>54</v>
      </c>
      <c r="D11615" s="3" t="s">
        <v>32</v>
      </c>
      <c r="E11615" s="4" t="s">
        <v>22</v>
      </c>
      <c r="F11615" s="4" t="s">
        <v>58779</v>
      </c>
      <c r="G11615" s="4" t="s">
        <v>58780</v>
      </c>
      <c r="H11615" s="3" t="s">
        <v>57649</v>
      </c>
      <c r="I11615" s="3" t="s">
        <v>36452</v>
      </c>
      <c r="J11615" s="3" t="s">
        <v>58781</v>
      </c>
      <c r="K11615" s="3"/>
      <c r="L11615" s="3"/>
      <c r="M11615" s="4"/>
      <c r="N11615" s="3" t="s">
        <v>37</v>
      </c>
      <c r="O11615" s="3" t="s">
        <v>52</v>
      </c>
      <c r="P11615" s="5">
        <v>11</v>
      </c>
      <c r="Q11615" s="5">
        <v>109</v>
      </c>
      <c r="R11615" s="5">
        <v>11</v>
      </c>
      <c r="S11615" s="5">
        <v>102</v>
      </c>
    </row>
    <row r="11616" spans="1:19" ht="56" x14ac:dyDescent="0.15">
      <c r="A11616" s="2">
        <f>HYPERLINK("https://open-school.uspishnemisto.com.ua/school/590247/", 590247)</f>
        <v>590247</v>
      </c>
      <c r="B11616" s="3" t="s">
        <v>58782</v>
      </c>
      <c r="C11616" s="3" t="s">
        <v>54</v>
      </c>
      <c r="D11616" s="3" t="s">
        <v>32</v>
      </c>
      <c r="E11616" s="4" t="s">
        <v>22</v>
      </c>
      <c r="F11616" s="4" t="s">
        <v>58783</v>
      </c>
      <c r="G11616" s="4" t="s">
        <v>58784</v>
      </c>
      <c r="H11616" s="3" t="s">
        <v>57649</v>
      </c>
      <c r="I11616" s="3" t="s">
        <v>50090</v>
      </c>
      <c r="J11616" s="3" t="s">
        <v>2372</v>
      </c>
      <c r="K11616" s="3" t="s">
        <v>58785</v>
      </c>
      <c r="L11616" s="3" t="s">
        <v>58786</v>
      </c>
      <c r="M11616" s="4"/>
      <c r="N11616" s="3" t="s">
        <v>37</v>
      </c>
      <c r="O11616" s="3" t="s">
        <v>52</v>
      </c>
      <c r="P11616" s="5">
        <v>2</v>
      </c>
      <c r="Q11616" s="5">
        <v>29</v>
      </c>
      <c r="R11616" s="5">
        <v>2</v>
      </c>
      <c r="S11616" s="5">
        <v>27</v>
      </c>
    </row>
    <row r="11617" spans="1:19" ht="42" x14ac:dyDescent="0.15">
      <c r="A11617" s="2">
        <f>HYPERLINK("https://open-school.uspishnemisto.com.ua/school/590248/", 590248)</f>
        <v>590248</v>
      </c>
      <c r="B11617" s="3" t="s">
        <v>58787</v>
      </c>
      <c r="C11617" s="3" t="s">
        <v>54</v>
      </c>
      <c r="D11617" s="3" t="s">
        <v>175</v>
      </c>
      <c r="E11617" s="4" t="s">
        <v>22</v>
      </c>
      <c r="F11617" s="4" t="s">
        <v>58788</v>
      </c>
      <c r="G11617" s="4" t="s">
        <v>58789</v>
      </c>
      <c r="H11617" s="3" t="s">
        <v>57649</v>
      </c>
      <c r="I11617" s="3" t="s">
        <v>58790</v>
      </c>
      <c r="J11617" s="3" t="s">
        <v>58791</v>
      </c>
      <c r="K11617" s="3" t="s">
        <v>58792</v>
      </c>
      <c r="L11617" s="3" t="s">
        <v>58793</v>
      </c>
      <c r="M11617" s="4"/>
      <c r="N11617" s="3" t="s">
        <v>37</v>
      </c>
      <c r="O11617" s="3" t="s">
        <v>52</v>
      </c>
      <c r="P11617" s="5">
        <v>3</v>
      </c>
      <c r="Q11617" s="5">
        <v>36</v>
      </c>
      <c r="R11617" s="5">
        <v>3</v>
      </c>
      <c r="S11617" s="5">
        <v>33</v>
      </c>
    </row>
    <row r="11618" spans="1:19" ht="56" x14ac:dyDescent="0.15">
      <c r="A11618" s="2">
        <f>HYPERLINK("https://open-school.uspishnemisto.com.ua/school/590249/", 590249)</f>
        <v>590249</v>
      </c>
      <c r="B11618" s="3" t="s">
        <v>58794</v>
      </c>
      <c r="C11618" s="3" t="s">
        <v>54</v>
      </c>
      <c r="D11618" s="3" t="s">
        <v>175</v>
      </c>
      <c r="E11618" s="4" t="s">
        <v>22</v>
      </c>
      <c r="F11618" s="4" t="s">
        <v>58795</v>
      </c>
      <c r="G11618" s="4" t="s">
        <v>58796</v>
      </c>
      <c r="H11618" s="3" t="s">
        <v>57649</v>
      </c>
      <c r="I11618" s="3" t="s">
        <v>58797</v>
      </c>
      <c r="J11618" s="3" t="s">
        <v>1348</v>
      </c>
      <c r="K11618" s="3" t="s">
        <v>58798</v>
      </c>
      <c r="L11618" s="3"/>
      <c r="M11618" s="4"/>
      <c r="N11618" s="3" t="s">
        <v>37</v>
      </c>
      <c r="O11618" s="3" t="s">
        <v>52</v>
      </c>
      <c r="P11618" s="5">
        <v>2</v>
      </c>
      <c r="Q11618" s="5">
        <v>26</v>
      </c>
      <c r="R11618" s="5">
        <v>2</v>
      </c>
      <c r="S11618" s="5">
        <v>28</v>
      </c>
    </row>
    <row r="11619" spans="1:19" ht="42" x14ac:dyDescent="0.15">
      <c r="A11619" s="2">
        <f>HYPERLINK("https://open-school.uspishnemisto.com.ua/school/590250/", 590250)</f>
        <v>590250</v>
      </c>
      <c r="B11619" s="3" t="s">
        <v>58799</v>
      </c>
      <c r="C11619" s="3" t="s">
        <v>54</v>
      </c>
      <c r="D11619" s="3" t="s">
        <v>175</v>
      </c>
      <c r="E11619" s="4" t="s">
        <v>22</v>
      </c>
      <c r="F11619" s="4" t="s">
        <v>58800</v>
      </c>
      <c r="G11619" s="4" t="s">
        <v>58801</v>
      </c>
      <c r="H11619" s="3" t="s">
        <v>57649</v>
      </c>
      <c r="I11619" s="3" t="s">
        <v>2202</v>
      </c>
      <c r="J11619" s="3" t="s">
        <v>58802</v>
      </c>
      <c r="K11619" s="3" t="s">
        <v>58803</v>
      </c>
      <c r="L11619" s="3"/>
      <c r="M11619" s="4"/>
      <c r="N11619" s="3" t="s">
        <v>37</v>
      </c>
      <c r="O11619" s="3" t="s">
        <v>52</v>
      </c>
      <c r="P11619" s="5">
        <v>7</v>
      </c>
      <c r="Q11619" s="5">
        <v>61</v>
      </c>
      <c r="R11619" s="5">
        <v>6</v>
      </c>
      <c r="S11619" s="5">
        <v>51</v>
      </c>
    </row>
    <row r="11620" spans="1:19" ht="42" x14ac:dyDescent="0.15">
      <c r="A11620" s="2">
        <f>HYPERLINK("https://open-school.uspishnemisto.com.ua/school/590251/", 590251)</f>
        <v>590251</v>
      </c>
      <c r="B11620" s="3" t="s">
        <v>58804</v>
      </c>
      <c r="C11620" s="3" t="s">
        <v>54</v>
      </c>
      <c r="D11620" s="3" t="s">
        <v>32</v>
      </c>
      <c r="E11620" s="4" t="s">
        <v>22</v>
      </c>
      <c r="F11620" s="4" t="s">
        <v>58800</v>
      </c>
      <c r="G11620" s="4" t="s">
        <v>58801</v>
      </c>
      <c r="H11620" s="3" t="s">
        <v>57649</v>
      </c>
      <c r="I11620" s="3" t="s">
        <v>2202</v>
      </c>
      <c r="J11620" s="3" t="s">
        <v>58805</v>
      </c>
      <c r="K11620" s="3" t="s">
        <v>58806</v>
      </c>
      <c r="L11620" s="3"/>
      <c r="M11620" s="4"/>
      <c r="N11620" s="3" t="s">
        <v>37</v>
      </c>
      <c r="O11620" s="3" t="s">
        <v>52</v>
      </c>
      <c r="P11620" s="5">
        <v>10</v>
      </c>
      <c r="Q11620" s="5">
        <v>149</v>
      </c>
      <c r="R11620" s="5">
        <v>11</v>
      </c>
      <c r="S11620" s="5">
        <v>150</v>
      </c>
    </row>
    <row r="11621" spans="1:19" ht="56" x14ac:dyDescent="0.15">
      <c r="A11621" s="2">
        <f>HYPERLINK("https://open-school.uspishnemisto.com.ua/school/590252/", 590252)</f>
        <v>590252</v>
      </c>
      <c r="B11621" s="3" t="s">
        <v>58807</v>
      </c>
      <c r="C11621" s="3" t="s">
        <v>54</v>
      </c>
      <c r="D11621" s="3" t="s">
        <v>32</v>
      </c>
      <c r="E11621" s="4" t="s">
        <v>22</v>
      </c>
      <c r="F11621" s="4" t="s">
        <v>58808</v>
      </c>
      <c r="G11621" s="4" t="s">
        <v>58809</v>
      </c>
      <c r="H11621" s="3" t="s">
        <v>57649</v>
      </c>
      <c r="I11621" s="3" t="s">
        <v>58810</v>
      </c>
      <c r="J11621" s="3" t="s">
        <v>13165</v>
      </c>
      <c r="K11621" s="3" t="s">
        <v>58811</v>
      </c>
      <c r="L11621" s="3"/>
      <c r="M11621" s="4"/>
      <c r="N11621" s="3" t="s">
        <v>37</v>
      </c>
      <c r="O11621" s="3" t="s">
        <v>52</v>
      </c>
      <c r="P11621" s="5">
        <v>7</v>
      </c>
      <c r="Q11621" s="5">
        <v>51</v>
      </c>
      <c r="R11621" s="5">
        <v>7</v>
      </c>
      <c r="S11621" s="5">
        <v>48</v>
      </c>
    </row>
    <row r="11622" spans="1:19" ht="56" x14ac:dyDescent="0.15">
      <c r="A11622" s="2">
        <f>HYPERLINK("https://open-school.uspishnemisto.com.ua/school/590253/", 590253)</f>
        <v>590253</v>
      </c>
      <c r="B11622" s="3" t="s">
        <v>58812</v>
      </c>
      <c r="C11622" s="3" t="s">
        <v>54</v>
      </c>
      <c r="D11622" s="3" t="s">
        <v>32</v>
      </c>
      <c r="E11622" s="4" t="s">
        <v>22</v>
      </c>
      <c r="F11622" s="4" t="s">
        <v>58813</v>
      </c>
      <c r="G11622" s="4" t="s">
        <v>58814</v>
      </c>
      <c r="H11622" s="3" t="s">
        <v>57649</v>
      </c>
      <c r="I11622" s="3" t="s">
        <v>58815</v>
      </c>
      <c r="J11622" s="3" t="s">
        <v>5394</v>
      </c>
      <c r="K11622" s="3" t="s">
        <v>58816</v>
      </c>
      <c r="L11622" s="3"/>
      <c r="M11622" s="4"/>
      <c r="N11622" s="3" t="s">
        <v>37</v>
      </c>
      <c r="O11622" s="3" t="s">
        <v>52</v>
      </c>
      <c r="P11622" s="5">
        <v>8</v>
      </c>
      <c r="Q11622" s="5">
        <v>70</v>
      </c>
      <c r="R11622" s="5">
        <v>8</v>
      </c>
      <c r="S11622" s="5">
        <v>70</v>
      </c>
    </row>
    <row r="11623" spans="1:19" ht="56" x14ac:dyDescent="0.15">
      <c r="A11623" s="2">
        <f>HYPERLINK("https://open-school.uspishnemisto.com.ua/school/590254/", 590254)</f>
        <v>590254</v>
      </c>
      <c r="B11623" s="3" t="s">
        <v>58817</v>
      </c>
      <c r="C11623" s="3" t="s">
        <v>54</v>
      </c>
      <c r="D11623" s="3" t="s">
        <v>32</v>
      </c>
      <c r="E11623" s="4" t="s">
        <v>22</v>
      </c>
      <c r="F11623" s="4" t="s">
        <v>58818</v>
      </c>
      <c r="G11623" s="4" t="s">
        <v>58819</v>
      </c>
      <c r="H11623" s="3" t="s">
        <v>57649</v>
      </c>
      <c r="I11623" s="3" t="s">
        <v>58820</v>
      </c>
      <c r="J11623" s="3" t="s">
        <v>13409</v>
      </c>
      <c r="K11623" s="3" t="s">
        <v>58821</v>
      </c>
      <c r="L11623" s="3"/>
      <c r="M11623" s="4"/>
      <c r="N11623" s="3" t="s">
        <v>37</v>
      </c>
      <c r="O11623" s="3" t="s">
        <v>52</v>
      </c>
      <c r="P11623" s="5">
        <v>4</v>
      </c>
      <c r="Q11623" s="5">
        <v>43</v>
      </c>
      <c r="R11623" s="5">
        <v>5</v>
      </c>
      <c r="S11623" s="5">
        <v>45</v>
      </c>
    </row>
    <row r="11624" spans="1:19" ht="56" x14ac:dyDescent="0.15">
      <c r="A11624" s="2">
        <f>HYPERLINK("https://open-school.uspishnemisto.com.ua/school/590255/", 590255)</f>
        <v>590255</v>
      </c>
      <c r="B11624" s="3" t="s">
        <v>58822</v>
      </c>
      <c r="C11624" s="3" t="s">
        <v>54</v>
      </c>
      <c r="D11624" s="3" t="s">
        <v>32</v>
      </c>
      <c r="E11624" s="4" t="s">
        <v>22</v>
      </c>
      <c r="F11624" s="4" t="s">
        <v>58823</v>
      </c>
      <c r="G11624" s="4" t="s">
        <v>58824</v>
      </c>
      <c r="H11624" s="3" t="s">
        <v>57649</v>
      </c>
      <c r="I11624" s="3" t="s">
        <v>5965</v>
      </c>
      <c r="J11624" s="3" t="s">
        <v>466</v>
      </c>
      <c r="K11624" s="3" t="s">
        <v>58825</v>
      </c>
      <c r="L11624" s="3"/>
      <c r="M11624" s="4"/>
      <c r="N11624" s="3" t="s">
        <v>37</v>
      </c>
      <c r="O11624" s="3" t="s">
        <v>52</v>
      </c>
      <c r="P11624" s="5">
        <v>8</v>
      </c>
      <c r="Q11624" s="5">
        <v>84</v>
      </c>
      <c r="R11624" s="5">
        <v>8</v>
      </c>
      <c r="S11624" s="5">
        <v>84</v>
      </c>
    </row>
    <row r="11625" spans="1:19" ht="56" x14ac:dyDescent="0.15">
      <c r="A11625" s="2">
        <f>HYPERLINK("https://open-school.uspishnemisto.com.ua/school/590256/", 590256)</f>
        <v>590256</v>
      </c>
      <c r="B11625" s="3" t="s">
        <v>58826</v>
      </c>
      <c r="C11625" s="3" t="s">
        <v>54</v>
      </c>
      <c r="D11625" s="3" t="s">
        <v>32</v>
      </c>
      <c r="E11625" s="4" t="s">
        <v>22</v>
      </c>
      <c r="F11625" s="4" t="s">
        <v>58827</v>
      </c>
      <c r="G11625" s="4" t="s">
        <v>58828</v>
      </c>
      <c r="H11625" s="3" t="s">
        <v>57649</v>
      </c>
      <c r="I11625" s="3" t="s">
        <v>753</v>
      </c>
      <c r="J11625" s="3" t="s">
        <v>58829</v>
      </c>
      <c r="K11625" s="3"/>
      <c r="L11625" s="3"/>
      <c r="M11625" s="4"/>
      <c r="N11625" s="3" t="s">
        <v>37</v>
      </c>
      <c r="O11625" s="3" t="s">
        <v>52</v>
      </c>
      <c r="P11625" s="5">
        <v>1</v>
      </c>
      <c r="Q11625" s="5">
        <v>25</v>
      </c>
      <c r="R11625" s="5">
        <v>2</v>
      </c>
      <c r="S11625" s="5">
        <v>30</v>
      </c>
    </row>
    <row r="11626" spans="1:19" ht="56" x14ac:dyDescent="0.15">
      <c r="A11626" s="2">
        <f>HYPERLINK("https://open-school.uspishnemisto.com.ua/school/590257/", 590257)</f>
        <v>590257</v>
      </c>
      <c r="B11626" s="3" t="s">
        <v>58830</v>
      </c>
      <c r="C11626" s="3" t="s">
        <v>54</v>
      </c>
      <c r="D11626" s="3" t="s">
        <v>175</v>
      </c>
      <c r="E11626" s="4" t="s">
        <v>22</v>
      </c>
      <c r="F11626" s="4" t="s">
        <v>58831</v>
      </c>
      <c r="G11626" s="4" t="s">
        <v>58832</v>
      </c>
      <c r="H11626" s="3" t="s">
        <v>57649</v>
      </c>
      <c r="I11626" s="3" t="s">
        <v>58833</v>
      </c>
      <c r="J11626" s="3" t="s">
        <v>58834</v>
      </c>
      <c r="K11626" s="3"/>
      <c r="L11626" s="3"/>
      <c r="M11626" s="4"/>
      <c r="N11626" s="3" t="s">
        <v>37</v>
      </c>
      <c r="O11626" s="3" t="s">
        <v>52</v>
      </c>
      <c r="P11626" s="5">
        <v>0</v>
      </c>
      <c r="Q11626" s="5">
        <v>11</v>
      </c>
      <c r="R11626" s="5">
        <v>0</v>
      </c>
      <c r="S11626" s="5">
        <v>9</v>
      </c>
    </row>
    <row r="11627" spans="1:19" ht="56" x14ac:dyDescent="0.15">
      <c r="A11627" s="2">
        <f>HYPERLINK("https://open-school.uspishnemisto.com.ua/school/590258/", 590258)</f>
        <v>590258</v>
      </c>
      <c r="B11627" s="3" t="s">
        <v>58835</v>
      </c>
      <c r="C11627" s="3" t="s">
        <v>54</v>
      </c>
      <c r="D11627" s="3" t="s">
        <v>175</v>
      </c>
      <c r="E11627" s="4" t="s">
        <v>22</v>
      </c>
      <c r="F11627" s="4" t="s">
        <v>58836</v>
      </c>
      <c r="G11627" s="4" t="s">
        <v>58837</v>
      </c>
      <c r="H11627" s="3" t="s">
        <v>57649</v>
      </c>
      <c r="I11627" s="3" t="s">
        <v>58838</v>
      </c>
      <c r="J11627" s="3" t="s">
        <v>58839</v>
      </c>
      <c r="K11627" s="3" t="s">
        <v>58840</v>
      </c>
      <c r="L11627" s="3"/>
      <c r="M11627" s="4"/>
      <c r="N11627" s="3" t="s">
        <v>37</v>
      </c>
      <c r="O11627" s="3" t="s">
        <v>52</v>
      </c>
      <c r="P11627" s="5">
        <v>5</v>
      </c>
      <c r="Q11627" s="5">
        <v>41</v>
      </c>
      <c r="R11627" s="5">
        <v>4</v>
      </c>
      <c r="S11627" s="5">
        <v>34</v>
      </c>
    </row>
    <row r="11628" spans="1:19" ht="56" x14ac:dyDescent="0.15">
      <c r="A11628" s="2">
        <f>HYPERLINK("https://open-school.uspishnemisto.com.ua/school/590259/", 590259)</f>
        <v>590259</v>
      </c>
      <c r="B11628" s="3" t="s">
        <v>58841</v>
      </c>
      <c r="C11628" s="3" t="s">
        <v>54</v>
      </c>
      <c r="D11628" s="3" t="s">
        <v>32</v>
      </c>
      <c r="E11628" s="4" t="s">
        <v>22</v>
      </c>
      <c r="F11628" s="4" t="s">
        <v>58842</v>
      </c>
      <c r="G11628" s="4" t="s">
        <v>58843</v>
      </c>
      <c r="H11628" s="3" t="s">
        <v>57649</v>
      </c>
      <c r="I11628" s="3" t="s">
        <v>11064</v>
      </c>
      <c r="J11628" s="3" t="s">
        <v>13183</v>
      </c>
      <c r="K11628" s="3" t="s">
        <v>58844</v>
      </c>
      <c r="L11628" s="3"/>
      <c r="M11628" s="4"/>
      <c r="N11628" s="3" t="s">
        <v>37</v>
      </c>
      <c r="O11628" s="3" t="s">
        <v>52</v>
      </c>
      <c r="P11628" s="5">
        <v>5</v>
      </c>
      <c r="Q11628" s="5">
        <v>44</v>
      </c>
      <c r="R11628" s="5">
        <v>5</v>
      </c>
      <c r="S11628" s="5">
        <v>46</v>
      </c>
    </row>
    <row r="11629" spans="1:19" ht="56" x14ac:dyDescent="0.15">
      <c r="A11629" s="2">
        <f>HYPERLINK("https://open-school.uspishnemisto.com.ua/school/590260/", 590260)</f>
        <v>590260</v>
      </c>
      <c r="B11629" s="3" t="s">
        <v>58845</v>
      </c>
      <c r="C11629" s="3" t="s">
        <v>54</v>
      </c>
      <c r="D11629" s="3" t="s">
        <v>32</v>
      </c>
      <c r="E11629" s="4" t="s">
        <v>22</v>
      </c>
      <c r="F11629" s="4" t="s">
        <v>58846</v>
      </c>
      <c r="G11629" s="4" t="s">
        <v>58847</v>
      </c>
      <c r="H11629" s="3" t="s">
        <v>57649</v>
      </c>
      <c r="I11629" s="3" t="s">
        <v>58848</v>
      </c>
      <c r="J11629" s="3" t="s">
        <v>1348</v>
      </c>
      <c r="K11629" s="3" t="s">
        <v>58849</v>
      </c>
      <c r="L11629" s="3"/>
      <c r="M11629" s="4"/>
      <c r="N11629" s="3" t="s">
        <v>37</v>
      </c>
      <c r="O11629" s="3" t="s">
        <v>52</v>
      </c>
      <c r="P11629" s="5">
        <v>3</v>
      </c>
      <c r="Q11629" s="5">
        <v>25</v>
      </c>
      <c r="R11629" s="5">
        <v>2</v>
      </c>
      <c r="S11629" s="5">
        <v>27</v>
      </c>
    </row>
    <row r="11630" spans="1:19" ht="42" x14ac:dyDescent="0.15">
      <c r="A11630" s="2">
        <f>HYPERLINK("https://open-school.uspishnemisto.com.ua/school/590261/", 590261)</f>
        <v>590261</v>
      </c>
      <c r="B11630" s="3" t="s">
        <v>58850</v>
      </c>
      <c r="C11630" s="3" t="s">
        <v>54</v>
      </c>
      <c r="D11630" s="3" t="s">
        <v>32</v>
      </c>
      <c r="E11630" s="4" t="s">
        <v>22</v>
      </c>
      <c r="F11630" s="4" t="s">
        <v>58851</v>
      </c>
      <c r="G11630" s="4" t="s">
        <v>58852</v>
      </c>
      <c r="H11630" s="3" t="s">
        <v>57649</v>
      </c>
      <c r="I11630" s="3" t="s">
        <v>1797</v>
      </c>
      <c r="J11630" s="3" t="s">
        <v>58853</v>
      </c>
      <c r="K11630" s="3" t="s">
        <v>58854</v>
      </c>
      <c r="L11630" s="3"/>
      <c r="M11630" s="4"/>
      <c r="N11630" s="3" t="s">
        <v>37</v>
      </c>
      <c r="O11630" s="3" t="s">
        <v>52</v>
      </c>
      <c r="P11630" s="5">
        <v>9</v>
      </c>
      <c r="Q11630" s="5">
        <v>70</v>
      </c>
      <c r="R11630" s="5">
        <v>9</v>
      </c>
      <c r="S11630" s="5">
        <v>74</v>
      </c>
    </row>
    <row r="11631" spans="1:19" ht="28" x14ac:dyDescent="0.15">
      <c r="A11631" s="2">
        <f>HYPERLINK("https://open-school.uspishnemisto.com.ua/school/590262/", 590262)</f>
        <v>590262</v>
      </c>
      <c r="B11631" s="3" t="s">
        <v>58855</v>
      </c>
      <c r="C11631" s="3" t="s">
        <v>20</v>
      </c>
      <c r="D11631" s="3" t="s">
        <v>21</v>
      </c>
      <c r="E11631" s="4" t="s">
        <v>22</v>
      </c>
      <c r="F11631" s="4" t="s">
        <v>58856</v>
      </c>
      <c r="G11631" s="4" t="s">
        <v>58857</v>
      </c>
      <c r="H11631" s="3" t="s">
        <v>57649</v>
      </c>
      <c r="I11631" s="3" t="s">
        <v>45092</v>
      </c>
      <c r="J11631" s="3" t="s">
        <v>3415</v>
      </c>
      <c r="K11631" s="3" t="s">
        <v>58858</v>
      </c>
      <c r="L11631" s="3"/>
      <c r="M11631" s="4"/>
      <c r="N11631" s="3"/>
      <c r="O11631" s="3"/>
      <c r="P11631" s="5">
        <v>0</v>
      </c>
      <c r="Q11631" s="5">
        <v>0</v>
      </c>
      <c r="R11631" s="5"/>
      <c r="S11631" s="5"/>
    </row>
    <row r="11632" spans="1:19" ht="28" x14ac:dyDescent="0.15">
      <c r="A11632" s="2">
        <f>HYPERLINK("https://open-school.uspishnemisto.com.ua/school/590263/", 590263)</f>
        <v>590263</v>
      </c>
      <c r="B11632" s="3" t="s">
        <v>58859</v>
      </c>
      <c r="C11632" s="3" t="s">
        <v>40</v>
      </c>
      <c r="D11632" s="3" t="s">
        <v>32</v>
      </c>
      <c r="E11632" s="4" t="s">
        <v>22</v>
      </c>
      <c r="F11632" s="4" t="s">
        <v>58856</v>
      </c>
      <c r="G11632" s="4" t="s">
        <v>58857</v>
      </c>
      <c r="H11632" s="3" t="s">
        <v>57649</v>
      </c>
      <c r="I11632" s="3" t="s">
        <v>45092</v>
      </c>
      <c r="J11632" s="3" t="s">
        <v>57865</v>
      </c>
      <c r="K11632" s="3" t="s">
        <v>58860</v>
      </c>
      <c r="L11632" s="3"/>
      <c r="M11632" s="4"/>
      <c r="N11632" s="3" t="s">
        <v>37</v>
      </c>
      <c r="O11632" s="3" t="s">
        <v>70</v>
      </c>
      <c r="P11632" s="5">
        <v>11</v>
      </c>
      <c r="Q11632" s="5">
        <v>212</v>
      </c>
      <c r="R11632" s="5">
        <v>11</v>
      </c>
      <c r="S11632" s="5">
        <v>222</v>
      </c>
    </row>
    <row r="11633" spans="1:19" ht="28" x14ac:dyDescent="0.15">
      <c r="A11633" s="2">
        <f>HYPERLINK("https://open-school.uspishnemisto.com.ua/school/590264/", 590264)</f>
        <v>590264</v>
      </c>
      <c r="B11633" s="3" t="s">
        <v>58861</v>
      </c>
      <c r="C11633" s="3" t="s">
        <v>31</v>
      </c>
      <c r="D11633" s="3" t="s">
        <v>32</v>
      </c>
      <c r="E11633" s="4" t="s">
        <v>22</v>
      </c>
      <c r="F11633" s="4" t="s">
        <v>58856</v>
      </c>
      <c r="G11633" s="4" t="s">
        <v>58857</v>
      </c>
      <c r="H11633" s="3" t="s">
        <v>57649</v>
      </c>
      <c r="I11633" s="3" t="s">
        <v>45092</v>
      </c>
      <c r="J11633" s="3" t="s">
        <v>58862</v>
      </c>
      <c r="K11633" s="3" t="s">
        <v>58863</v>
      </c>
      <c r="L11633" s="3"/>
      <c r="M11633" s="4"/>
      <c r="N11633" s="3" t="s">
        <v>37</v>
      </c>
      <c r="O11633" s="3" t="s">
        <v>70</v>
      </c>
      <c r="P11633" s="5">
        <v>34</v>
      </c>
      <c r="Q11633" s="5">
        <v>710</v>
      </c>
      <c r="R11633" s="5">
        <v>29</v>
      </c>
      <c r="S11633" s="5">
        <v>642</v>
      </c>
    </row>
    <row r="11634" spans="1:19" ht="42" x14ac:dyDescent="0.15">
      <c r="A11634" s="2">
        <f>HYPERLINK("https://open-school.uspishnemisto.com.ua/school/590265/", 590265)</f>
        <v>590265</v>
      </c>
      <c r="B11634" s="3" t="s">
        <v>58864</v>
      </c>
      <c r="C11634" s="3" t="s">
        <v>54</v>
      </c>
      <c r="D11634" s="3"/>
      <c r="E11634" s="4" t="s">
        <v>22</v>
      </c>
      <c r="F11634" s="4" t="s">
        <v>58856</v>
      </c>
      <c r="G11634" s="4" t="s">
        <v>58857</v>
      </c>
      <c r="H11634" s="3" t="s">
        <v>57649</v>
      </c>
      <c r="I11634" s="3" t="s">
        <v>45092</v>
      </c>
      <c r="J11634" s="3" t="s">
        <v>58865</v>
      </c>
      <c r="K11634" s="3" t="s">
        <v>58866</v>
      </c>
      <c r="L11634" s="3"/>
      <c r="M11634" s="4"/>
      <c r="N11634" s="3" t="s">
        <v>37</v>
      </c>
      <c r="O11634" s="3" t="s">
        <v>52</v>
      </c>
      <c r="P11634" s="5">
        <v>0</v>
      </c>
      <c r="Q11634" s="5">
        <v>0</v>
      </c>
      <c r="R11634" s="5">
        <v>4</v>
      </c>
      <c r="S11634" s="5">
        <v>47</v>
      </c>
    </row>
    <row r="11635" spans="1:19" ht="28" x14ac:dyDescent="0.15">
      <c r="A11635" s="2">
        <f>HYPERLINK("https://open-school.uspishnemisto.com.ua/school/590266/", 590266)</f>
        <v>590266</v>
      </c>
      <c r="B11635" s="3" t="s">
        <v>58867</v>
      </c>
      <c r="C11635" s="3" t="s">
        <v>54</v>
      </c>
      <c r="D11635" s="3"/>
      <c r="E11635" s="4" t="s">
        <v>22</v>
      </c>
      <c r="F11635" s="4" t="s">
        <v>58868</v>
      </c>
      <c r="G11635" s="4" t="s">
        <v>58869</v>
      </c>
      <c r="H11635" s="3" t="s">
        <v>57649</v>
      </c>
      <c r="I11635" s="3" t="s">
        <v>58870</v>
      </c>
      <c r="J11635" s="3" t="s">
        <v>58871</v>
      </c>
      <c r="K11635" s="3" t="s">
        <v>58872</v>
      </c>
      <c r="L11635" s="3"/>
      <c r="M11635" s="4"/>
      <c r="N11635" s="3" t="s">
        <v>37</v>
      </c>
      <c r="O11635" s="3" t="s">
        <v>52</v>
      </c>
      <c r="P11635" s="5">
        <v>0</v>
      </c>
      <c r="Q11635" s="5">
        <v>0</v>
      </c>
      <c r="R11635" s="5">
        <v>3</v>
      </c>
      <c r="S11635" s="5">
        <v>21</v>
      </c>
    </row>
    <row r="11636" spans="1:19" ht="28" x14ac:dyDescent="0.15">
      <c r="A11636" s="2">
        <f>HYPERLINK("https://open-school.uspishnemisto.com.ua/school/590267/", 590267)</f>
        <v>590267</v>
      </c>
      <c r="B11636" s="3" t="s">
        <v>58873</v>
      </c>
      <c r="C11636" s="3" t="s">
        <v>31</v>
      </c>
      <c r="D11636" s="3" t="s">
        <v>32</v>
      </c>
      <c r="E11636" s="4" t="s">
        <v>22</v>
      </c>
      <c r="F11636" s="4" t="s">
        <v>58874</v>
      </c>
      <c r="G11636" s="4" t="s">
        <v>58875</v>
      </c>
      <c r="H11636" s="3" t="s">
        <v>57649</v>
      </c>
      <c r="I11636" s="3" t="s">
        <v>58876</v>
      </c>
      <c r="J11636" s="3" t="s">
        <v>58877</v>
      </c>
      <c r="K11636" s="3" t="s">
        <v>58878</v>
      </c>
      <c r="L11636" s="3"/>
      <c r="M11636" s="4"/>
      <c r="N11636" s="3" t="s">
        <v>37</v>
      </c>
      <c r="O11636" s="3" t="s">
        <v>38</v>
      </c>
      <c r="P11636" s="5">
        <v>11</v>
      </c>
      <c r="Q11636" s="5">
        <v>218</v>
      </c>
      <c r="R11636" s="5">
        <v>11</v>
      </c>
      <c r="S11636" s="5">
        <v>216</v>
      </c>
    </row>
    <row r="11637" spans="1:19" ht="42" x14ac:dyDescent="0.15">
      <c r="A11637" s="2">
        <f>HYPERLINK("https://open-school.uspishnemisto.com.ua/school/590268/", 590268)</f>
        <v>590268</v>
      </c>
      <c r="B11637" s="3" t="s">
        <v>58879</v>
      </c>
      <c r="C11637" s="3" t="s">
        <v>31</v>
      </c>
      <c r="D11637" s="3" t="s">
        <v>60</v>
      </c>
      <c r="E11637" s="4" t="s">
        <v>22</v>
      </c>
      <c r="F11637" s="4" t="s">
        <v>58874</v>
      </c>
      <c r="G11637" s="4" t="s">
        <v>58880</v>
      </c>
      <c r="H11637" s="3" t="s">
        <v>57649</v>
      </c>
      <c r="I11637" s="3" t="s">
        <v>58881</v>
      </c>
      <c r="J11637" s="3" t="s">
        <v>58882</v>
      </c>
      <c r="K11637" s="3" t="s">
        <v>58883</v>
      </c>
      <c r="L11637" s="3"/>
      <c r="M11637" s="4"/>
      <c r="N11637" s="3" t="s">
        <v>37</v>
      </c>
      <c r="O11637" s="3" t="s">
        <v>52</v>
      </c>
      <c r="P11637" s="5">
        <v>0</v>
      </c>
      <c r="Q11637" s="5">
        <v>0</v>
      </c>
      <c r="R11637" s="5">
        <v>0</v>
      </c>
      <c r="S11637" s="5">
        <v>11</v>
      </c>
    </row>
    <row r="11638" spans="1:19" ht="28" x14ac:dyDescent="0.15">
      <c r="A11638" s="2">
        <f>HYPERLINK("https://open-school.uspishnemisto.com.ua/school/590269/", 590269)</f>
        <v>590269</v>
      </c>
      <c r="B11638" s="3" t="s">
        <v>58884</v>
      </c>
      <c r="C11638" s="3" t="s">
        <v>54</v>
      </c>
      <c r="D11638" s="3" t="s">
        <v>32</v>
      </c>
      <c r="E11638" s="4" t="s">
        <v>22</v>
      </c>
      <c r="F11638" s="4" t="s">
        <v>58885</v>
      </c>
      <c r="G11638" s="4" t="s">
        <v>58886</v>
      </c>
      <c r="H11638" s="3" t="s">
        <v>57649</v>
      </c>
      <c r="I11638" s="3" t="s">
        <v>58887</v>
      </c>
      <c r="J11638" s="3" t="s">
        <v>2191</v>
      </c>
      <c r="K11638" s="3" t="s">
        <v>58888</v>
      </c>
      <c r="L11638" s="3"/>
      <c r="M11638" s="4"/>
      <c r="N11638" s="3" t="s">
        <v>37</v>
      </c>
      <c r="O11638" s="3" t="s">
        <v>52</v>
      </c>
      <c r="P11638" s="5">
        <v>1</v>
      </c>
      <c r="Q11638" s="5">
        <v>18</v>
      </c>
      <c r="R11638" s="5">
        <v>2</v>
      </c>
      <c r="S11638" s="5">
        <v>25</v>
      </c>
    </row>
    <row r="11639" spans="1:19" ht="28" x14ac:dyDescent="0.15">
      <c r="A11639" s="2">
        <f>HYPERLINK("https://open-school.uspishnemisto.com.ua/school/590270/", 590270)</f>
        <v>590270</v>
      </c>
      <c r="B11639" s="3" t="s">
        <v>58889</v>
      </c>
      <c r="C11639" s="3" t="s">
        <v>31</v>
      </c>
      <c r="D11639" s="3" t="s">
        <v>32</v>
      </c>
      <c r="E11639" s="4" t="s">
        <v>22</v>
      </c>
      <c r="F11639" s="4" t="s">
        <v>58890</v>
      </c>
      <c r="G11639" s="4" t="s">
        <v>58891</v>
      </c>
      <c r="H11639" s="3" t="s">
        <v>57649</v>
      </c>
      <c r="I11639" s="3" t="s">
        <v>58892</v>
      </c>
      <c r="J11639" s="3" t="s">
        <v>58893</v>
      </c>
      <c r="K11639" s="3" t="s">
        <v>58894</v>
      </c>
      <c r="L11639" s="3"/>
      <c r="M11639" s="4"/>
      <c r="N11639" s="3" t="s">
        <v>37</v>
      </c>
      <c r="O11639" s="3" t="s">
        <v>38</v>
      </c>
      <c r="P11639" s="5">
        <v>11</v>
      </c>
      <c r="Q11639" s="5">
        <v>136</v>
      </c>
      <c r="R11639" s="5">
        <v>11</v>
      </c>
      <c r="S11639" s="5">
        <v>132</v>
      </c>
    </row>
    <row r="11640" spans="1:19" ht="42" x14ac:dyDescent="0.15">
      <c r="A11640" s="2">
        <f>HYPERLINK("https://open-school.uspishnemisto.com.ua/school/590271/", 590271)</f>
        <v>590271</v>
      </c>
      <c r="B11640" s="3" t="s">
        <v>58895</v>
      </c>
      <c r="C11640" s="3" t="s">
        <v>54</v>
      </c>
      <c r="D11640" s="3" t="s">
        <v>60</v>
      </c>
      <c r="E11640" s="4" t="s">
        <v>22</v>
      </c>
      <c r="F11640" s="4" t="s">
        <v>58890</v>
      </c>
      <c r="G11640" s="4" t="s">
        <v>58896</v>
      </c>
      <c r="H11640" s="3" t="s">
        <v>57649</v>
      </c>
      <c r="I11640" s="3" t="s">
        <v>58897</v>
      </c>
      <c r="J11640" s="3" t="s">
        <v>58898</v>
      </c>
      <c r="K11640" s="3" t="s">
        <v>58899</v>
      </c>
      <c r="L11640" s="3"/>
      <c r="M11640" s="4"/>
      <c r="N11640" s="3" t="s">
        <v>37</v>
      </c>
      <c r="O11640" s="3" t="s">
        <v>38</v>
      </c>
      <c r="P11640" s="5">
        <v>2</v>
      </c>
      <c r="Q11640" s="5">
        <v>15</v>
      </c>
      <c r="R11640" s="5">
        <v>1</v>
      </c>
      <c r="S11640" s="5">
        <v>14</v>
      </c>
    </row>
    <row r="11641" spans="1:19" ht="28" x14ac:dyDescent="0.15">
      <c r="A11641" s="2">
        <f>HYPERLINK("https://open-school.uspishnemisto.com.ua/school/590272/", 590272)</f>
        <v>590272</v>
      </c>
      <c r="B11641" s="3" t="s">
        <v>58900</v>
      </c>
      <c r="C11641" s="3" t="s">
        <v>54</v>
      </c>
      <c r="D11641" s="3" t="s">
        <v>175</v>
      </c>
      <c r="E11641" s="4" t="s">
        <v>22</v>
      </c>
      <c r="F11641" s="4" t="s">
        <v>58901</v>
      </c>
      <c r="G11641" s="4" t="s">
        <v>58902</v>
      </c>
      <c r="H11641" s="3" t="s">
        <v>57649</v>
      </c>
      <c r="I11641" s="3" t="s">
        <v>58903</v>
      </c>
      <c r="J11641" s="3" t="s">
        <v>40657</v>
      </c>
      <c r="K11641" s="3" t="s">
        <v>58904</v>
      </c>
      <c r="L11641" s="3"/>
      <c r="M11641" s="4"/>
      <c r="N11641" s="3" t="s">
        <v>37</v>
      </c>
      <c r="O11641" s="3" t="s">
        <v>38</v>
      </c>
      <c r="P11641" s="5">
        <v>6</v>
      </c>
      <c r="Q11641" s="5">
        <v>46</v>
      </c>
      <c r="R11641" s="5">
        <v>7</v>
      </c>
      <c r="S11641" s="5">
        <v>48</v>
      </c>
    </row>
    <row r="11642" spans="1:19" ht="56" x14ac:dyDescent="0.15">
      <c r="A11642" s="2">
        <f>HYPERLINK("https://open-school.uspishnemisto.com.ua/school/590273/", 590273)</f>
        <v>590273</v>
      </c>
      <c r="B11642" s="3" t="s">
        <v>58905</v>
      </c>
      <c r="C11642" s="3" t="s">
        <v>54</v>
      </c>
      <c r="D11642" s="3" t="s">
        <v>175</v>
      </c>
      <c r="E11642" s="4" t="s">
        <v>22</v>
      </c>
      <c r="F11642" s="4" t="s">
        <v>58906</v>
      </c>
      <c r="G11642" s="4" t="s">
        <v>58907</v>
      </c>
      <c r="H11642" s="3" t="s">
        <v>57649</v>
      </c>
      <c r="I11642" s="3" t="s">
        <v>58908</v>
      </c>
      <c r="J11642" s="3" t="s">
        <v>58909</v>
      </c>
      <c r="K11642" s="3" t="s">
        <v>58910</v>
      </c>
      <c r="L11642" s="3" t="s">
        <v>58911</v>
      </c>
      <c r="M11642" s="4"/>
      <c r="N11642" s="3" t="s">
        <v>37</v>
      </c>
      <c r="O11642" s="3" t="s">
        <v>52</v>
      </c>
      <c r="P11642" s="5">
        <v>0</v>
      </c>
      <c r="Q11642" s="5">
        <v>0</v>
      </c>
      <c r="R11642" s="5">
        <v>4</v>
      </c>
      <c r="S11642" s="5">
        <v>33</v>
      </c>
    </row>
    <row r="11643" spans="1:19" ht="56" x14ac:dyDescent="0.15">
      <c r="A11643" s="2">
        <f>HYPERLINK("https://open-school.uspishnemisto.com.ua/school/590274/", 590274)</f>
        <v>590274</v>
      </c>
      <c r="B11643" s="3" t="s">
        <v>58912</v>
      </c>
      <c r="C11643" s="3" t="s">
        <v>54</v>
      </c>
      <c r="D11643" s="3" t="s">
        <v>175</v>
      </c>
      <c r="E11643" s="4" t="s">
        <v>22</v>
      </c>
      <c r="F11643" s="4" t="s">
        <v>58913</v>
      </c>
      <c r="G11643" s="4" t="s">
        <v>58914</v>
      </c>
      <c r="H11643" s="3" t="s">
        <v>57649</v>
      </c>
      <c r="I11643" s="3" t="s">
        <v>58915</v>
      </c>
      <c r="J11643" s="3" t="s">
        <v>58916</v>
      </c>
      <c r="K11643" s="3" t="s">
        <v>58917</v>
      </c>
      <c r="L11643" s="3"/>
      <c r="M11643" s="4"/>
      <c r="N11643" s="3" t="s">
        <v>37</v>
      </c>
      <c r="O11643" s="3" t="s">
        <v>52</v>
      </c>
      <c r="P11643" s="5">
        <v>0</v>
      </c>
      <c r="Q11643" s="5">
        <v>0</v>
      </c>
      <c r="R11643" s="5">
        <v>7</v>
      </c>
      <c r="S11643" s="5">
        <v>44</v>
      </c>
    </row>
    <row r="11644" spans="1:19" ht="56" x14ac:dyDescent="0.15">
      <c r="A11644" s="2">
        <f>HYPERLINK("https://open-school.uspishnemisto.com.ua/school/590275/", 590275)</f>
        <v>590275</v>
      </c>
      <c r="B11644" s="3" t="s">
        <v>58918</v>
      </c>
      <c r="C11644" s="3" t="s">
        <v>54</v>
      </c>
      <c r="D11644" s="3" t="s">
        <v>175</v>
      </c>
      <c r="E11644" s="4" t="s">
        <v>22</v>
      </c>
      <c r="F11644" s="4" t="s">
        <v>58919</v>
      </c>
      <c r="G11644" s="4" t="s">
        <v>58920</v>
      </c>
      <c r="H11644" s="3" t="s">
        <v>57649</v>
      </c>
      <c r="I11644" s="3" t="s">
        <v>58921</v>
      </c>
      <c r="J11644" s="3" t="s">
        <v>58922</v>
      </c>
      <c r="K11644" s="3" t="s">
        <v>58923</v>
      </c>
      <c r="L11644" s="3"/>
      <c r="M11644" s="4"/>
      <c r="N11644" s="3" t="s">
        <v>37</v>
      </c>
      <c r="O11644" s="3" t="s">
        <v>52</v>
      </c>
      <c r="P11644" s="5">
        <v>0</v>
      </c>
      <c r="Q11644" s="5">
        <v>0</v>
      </c>
      <c r="R11644" s="5">
        <v>5</v>
      </c>
      <c r="S11644" s="5">
        <v>47</v>
      </c>
    </row>
    <row r="11645" spans="1:19" ht="28" x14ac:dyDescent="0.15">
      <c r="A11645" s="2">
        <f>HYPERLINK("https://open-school.uspishnemisto.com.ua/school/590276/", 590276)</f>
        <v>590276</v>
      </c>
      <c r="B11645" s="3" t="s">
        <v>58924</v>
      </c>
      <c r="C11645" s="3" t="s">
        <v>54</v>
      </c>
      <c r="D11645" s="3" t="s">
        <v>32</v>
      </c>
      <c r="E11645" s="4" t="s">
        <v>22</v>
      </c>
      <c r="F11645" s="4" t="s">
        <v>58925</v>
      </c>
      <c r="G11645" s="4" t="s">
        <v>58926</v>
      </c>
      <c r="H11645" s="3" t="s">
        <v>57649</v>
      </c>
      <c r="I11645" s="3" t="s">
        <v>58927</v>
      </c>
      <c r="J11645" s="3" t="s">
        <v>58928</v>
      </c>
      <c r="K11645" s="3" t="s">
        <v>58929</v>
      </c>
      <c r="L11645" s="3" t="s">
        <v>58930</v>
      </c>
      <c r="M11645" s="4"/>
      <c r="N11645" s="3" t="s">
        <v>37</v>
      </c>
      <c r="O11645" s="3" t="s">
        <v>46</v>
      </c>
      <c r="P11645" s="5">
        <v>9</v>
      </c>
      <c r="Q11645" s="5">
        <v>66</v>
      </c>
      <c r="R11645" s="5">
        <v>7</v>
      </c>
      <c r="S11645" s="5">
        <v>62</v>
      </c>
    </row>
    <row r="11646" spans="1:19" ht="56" x14ac:dyDescent="0.15">
      <c r="A11646" s="2">
        <f>HYPERLINK("https://open-school.uspishnemisto.com.ua/school/590277/", 590277)</f>
        <v>590277</v>
      </c>
      <c r="B11646" s="3" t="s">
        <v>58931</v>
      </c>
      <c r="C11646" s="3" t="s">
        <v>54</v>
      </c>
      <c r="D11646" s="3" t="s">
        <v>32</v>
      </c>
      <c r="E11646" s="4" t="s">
        <v>22</v>
      </c>
      <c r="F11646" s="4" t="s">
        <v>58932</v>
      </c>
      <c r="G11646" s="4" t="s">
        <v>58933</v>
      </c>
      <c r="H11646" s="3" t="s">
        <v>57649</v>
      </c>
      <c r="I11646" s="3" t="s">
        <v>58934</v>
      </c>
      <c r="J11646" s="3" t="s">
        <v>58935</v>
      </c>
      <c r="K11646" s="3" t="s">
        <v>58936</v>
      </c>
      <c r="L11646" s="3"/>
      <c r="M11646" s="4"/>
      <c r="N11646" s="3" t="s">
        <v>37</v>
      </c>
      <c r="O11646" s="3" t="s">
        <v>52</v>
      </c>
      <c r="P11646" s="5">
        <v>25</v>
      </c>
      <c r="Q11646" s="5">
        <v>349</v>
      </c>
      <c r="R11646" s="5">
        <v>11</v>
      </c>
      <c r="S11646" s="5">
        <v>232</v>
      </c>
    </row>
    <row r="11647" spans="1:19" ht="28" x14ac:dyDescent="0.15">
      <c r="A11647" s="2">
        <f>HYPERLINK("https://open-school.uspishnemisto.com.ua/school/590278/", 590278)</f>
        <v>590278</v>
      </c>
      <c r="B11647" s="3" t="s">
        <v>58937</v>
      </c>
      <c r="C11647" s="3" t="s">
        <v>54</v>
      </c>
      <c r="D11647" s="3" t="s">
        <v>32</v>
      </c>
      <c r="E11647" s="4" t="s">
        <v>22</v>
      </c>
      <c r="F11647" s="4" t="s">
        <v>58938</v>
      </c>
      <c r="G11647" s="4" t="s">
        <v>58939</v>
      </c>
      <c r="H11647" s="3" t="s">
        <v>57649</v>
      </c>
      <c r="I11647" s="3" t="s">
        <v>58940</v>
      </c>
      <c r="J11647" s="3" t="s">
        <v>58941</v>
      </c>
      <c r="K11647" s="3" t="s">
        <v>58942</v>
      </c>
      <c r="L11647" s="3"/>
      <c r="M11647" s="4"/>
      <c r="N11647" s="3" t="s">
        <v>37</v>
      </c>
      <c r="O11647" s="3" t="s">
        <v>70</v>
      </c>
      <c r="P11647" s="5">
        <v>11</v>
      </c>
      <c r="Q11647" s="5">
        <v>125</v>
      </c>
      <c r="R11647" s="5">
        <v>11</v>
      </c>
      <c r="S11647" s="5">
        <v>126</v>
      </c>
    </row>
    <row r="11648" spans="1:19" ht="28" x14ac:dyDescent="0.15">
      <c r="A11648" s="2">
        <f>HYPERLINK("https://open-school.uspishnemisto.com.ua/school/590279/", 590279)</f>
        <v>590279</v>
      </c>
      <c r="B11648" s="3" t="s">
        <v>58943</v>
      </c>
      <c r="C11648" s="3" t="s">
        <v>31</v>
      </c>
      <c r="D11648" s="3" t="s">
        <v>175</v>
      </c>
      <c r="E11648" s="4" t="s">
        <v>22</v>
      </c>
      <c r="F11648" s="4" t="s">
        <v>58944</v>
      </c>
      <c r="G11648" s="4" t="s">
        <v>58945</v>
      </c>
      <c r="H11648" s="3" t="s">
        <v>57649</v>
      </c>
      <c r="I11648" s="3" t="s">
        <v>11588</v>
      </c>
      <c r="J11648" s="3" t="s">
        <v>58946</v>
      </c>
      <c r="K11648" s="3" t="s">
        <v>58947</v>
      </c>
      <c r="L11648" s="3" t="s">
        <v>58948</v>
      </c>
      <c r="M11648" s="4"/>
      <c r="N11648" s="3" t="s">
        <v>37</v>
      </c>
      <c r="O11648" s="3" t="s">
        <v>38</v>
      </c>
      <c r="P11648" s="5">
        <v>7</v>
      </c>
      <c r="Q11648" s="5">
        <v>44</v>
      </c>
      <c r="R11648" s="5">
        <v>8</v>
      </c>
      <c r="S11648" s="5">
        <v>52</v>
      </c>
    </row>
    <row r="11649" spans="1:19" ht="28" x14ac:dyDescent="0.15">
      <c r="A11649" s="2">
        <f>HYPERLINK("https://open-school.uspishnemisto.com.ua/school/590280/", 590280)</f>
        <v>590280</v>
      </c>
      <c r="B11649" s="3" t="s">
        <v>58949</v>
      </c>
      <c r="C11649" s="3" t="s">
        <v>54</v>
      </c>
      <c r="D11649" s="3" t="s">
        <v>32</v>
      </c>
      <c r="E11649" s="4" t="s">
        <v>22</v>
      </c>
      <c r="F11649" s="4" t="s">
        <v>58950</v>
      </c>
      <c r="G11649" s="4" t="s">
        <v>58951</v>
      </c>
      <c r="H11649" s="3" t="s">
        <v>57649</v>
      </c>
      <c r="I11649" s="3" t="s">
        <v>17580</v>
      </c>
      <c r="J11649" s="3" t="s">
        <v>58952</v>
      </c>
      <c r="K11649" s="3" t="s">
        <v>58953</v>
      </c>
      <c r="L11649" s="3"/>
      <c r="M11649" s="4"/>
      <c r="N11649" s="3" t="s">
        <v>37</v>
      </c>
      <c r="O11649" s="3" t="s">
        <v>38</v>
      </c>
      <c r="P11649" s="5">
        <v>10</v>
      </c>
      <c r="Q11649" s="5">
        <v>82</v>
      </c>
      <c r="R11649" s="5">
        <v>9</v>
      </c>
      <c r="S11649" s="5">
        <v>83</v>
      </c>
    </row>
    <row r="11650" spans="1:19" ht="28" x14ac:dyDescent="0.15">
      <c r="A11650" s="2">
        <f>HYPERLINK("https://open-school.uspishnemisto.com.ua/school/590281/", 590281)</f>
        <v>590281</v>
      </c>
      <c r="B11650" s="3" t="s">
        <v>58954</v>
      </c>
      <c r="C11650" s="3" t="s">
        <v>31</v>
      </c>
      <c r="D11650" s="3" t="s">
        <v>32</v>
      </c>
      <c r="E11650" s="4" t="s">
        <v>22</v>
      </c>
      <c r="F11650" s="4" t="s">
        <v>58955</v>
      </c>
      <c r="G11650" s="4" t="s">
        <v>58956</v>
      </c>
      <c r="H11650" s="3" t="s">
        <v>57649</v>
      </c>
      <c r="I11650" s="3" t="s">
        <v>58957</v>
      </c>
      <c r="J11650" s="3" t="s">
        <v>58958</v>
      </c>
      <c r="K11650" s="3" t="s">
        <v>58959</v>
      </c>
      <c r="L11650" s="3"/>
      <c r="M11650" s="4"/>
      <c r="N11650" s="3" t="s">
        <v>37</v>
      </c>
      <c r="O11650" s="3" t="s">
        <v>38</v>
      </c>
      <c r="P11650" s="5">
        <v>10</v>
      </c>
      <c r="Q11650" s="5">
        <v>170</v>
      </c>
      <c r="R11650" s="5">
        <v>11</v>
      </c>
      <c r="S11650" s="5">
        <v>174</v>
      </c>
    </row>
    <row r="11651" spans="1:19" ht="56" x14ac:dyDescent="0.15">
      <c r="A11651" s="2">
        <f>HYPERLINK("https://open-school.uspishnemisto.com.ua/school/590282/", 590282)</f>
        <v>590282</v>
      </c>
      <c r="B11651" s="3" t="s">
        <v>58960</v>
      </c>
      <c r="C11651" s="3" t="s">
        <v>54</v>
      </c>
      <c r="D11651" s="3" t="s">
        <v>32</v>
      </c>
      <c r="E11651" s="4" t="s">
        <v>22</v>
      </c>
      <c r="F11651" s="4" t="s">
        <v>58961</v>
      </c>
      <c r="G11651" s="4" t="s">
        <v>58962</v>
      </c>
      <c r="H11651" s="3" t="s">
        <v>57649</v>
      </c>
      <c r="I11651" s="3" t="s">
        <v>48134</v>
      </c>
      <c r="J11651" s="3" t="s">
        <v>58963</v>
      </c>
      <c r="K11651" s="3" t="s">
        <v>58964</v>
      </c>
      <c r="L11651" s="3"/>
      <c r="M11651" s="4"/>
      <c r="N11651" s="3" t="s">
        <v>37</v>
      </c>
      <c r="O11651" s="3" t="s">
        <v>38</v>
      </c>
      <c r="P11651" s="5">
        <v>2</v>
      </c>
      <c r="Q11651" s="5">
        <v>32</v>
      </c>
      <c r="R11651" s="5">
        <v>3</v>
      </c>
      <c r="S11651" s="5">
        <v>34</v>
      </c>
    </row>
    <row r="11652" spans="1:19" ht="28" x14ac:dyDescent="0.15">
      <c r="A11652" s="2">
        <f>HYPERLINK("https://open-school.uspishnemisto.com.ua/school/590283/", 590283)</f>
        <v>590283</v>
      </c>
      <c r="B11652" s="3" t="s">
        <v>58965</v>
      </c>
      <c r="C11652" s="3" t="s">
        <v>31</v>
      </c>
      <c r="D11652" s="3" t="s">
        <v>32</v>
      </c>
      <c r="E11652" s="4" t="s">
        <v>22</v>
      </c>
      <c r="F11652" s="4" t="s">
        <v>58966</v>
      </c>
      <c r="G11652" s="4" t="s">
        <v>58967</v>
      </c>
      <c r="H11652" s="3" t="s">
        <v>57649</v>
      </c>
      <c r="I11652" s="3" t="s">
        <v>12802</v>
      </c>
      <c r="J11652" s="3" t="s">
        <v>58968</v>
      </c>
      <c r="K11652" s="3" t="s">
        <v>58969</v>
      </c>
      <c r="L11652" s="3"/>
      <c r="M11652" s="4"/>
      <c r="N11652" s="3" t="s">
        <v>37</v>
      </c>
      <c r="O11652" s="3" t="s">
        <v>38</v>
      </c>
      <c r="P11652" s="5">
        <v>11</v>
      </c>
      <c r="Q11652" s="5">
        <v>107</v>
      </c>
      <c r="R11652" s="5">
        <v>11</v>
      </c>
      <c r="S11652" s="5">
        <v>103</v>
      </c>
    </row>
    <row r="11653" spans="1:19" ht="28" x14ac:dyDescent="0.15">
      <c r="A11653" s="2">
        <f>HYPERLINK("https://open-school.uspishnemisto.com.ua/school/590284/", 590284)</f>
        <v>590284</v>
      </c>
      <c r="B11653" s="3" t="s">
        <v>58970</v>
      </c>
      <c r="C11653" s="3" t="s">
        <v>31</v>
      </c>
      <c r="D11653" s="3" t="s">
        <v>175</v>
      </c>
      <c r="E11653" s="4" t="s">
        <v>22</v>
      </c>
      <c r="F11653" s="4" t="s">
        <v>58971</v>
      </c>
      <c r="G11653" s="4" t="s">
        <v>58972</v>
      </c>
      <c r="H11653" s="3" t="s">
        <v>57649</v>
      </c>
      <c r="I11653" s="3" t="s">
        <v>58973</v>
      </c>
      <c r="J11653" s="3" t="s">
        <v>58974</v>
      </c>
      <c r="K11653" s="3" t="s">
        <v>58975</v>
      </c>
      <c r="L11653" s="3"/>
      <c r="M11653" s="4"/>
      <c r="N11653" s="3" t="s">
        <v>967</v>
      </c>
      <c r="O11653" s="3" t="s">
        <v>52</v>
      </c>
      <c r="P11653" s="5">
        <v>1</v>
      </c>
      <c r="Q11653" s="5">
        <v>24</v>
      </c>
      <c r="R11653" s="5">
        <v>3</v>
      </c>
      <c r="S11653" s="5">
        <v>32</v>
      </c>
    </row>
    <row r="11654" spans="1:19" ht="28" x14ac:dyDescent="0.15">
      <c r="A11654" s="2">
        <f>HYPERLINK("https://open-school.uspishnemisto.com.ua/school/590285/", 590285)</f>
        <v>590285</v>
      </c>
      <c r="B11654" s="3" t="s">
        <v>58976</v>
      </c>
      <c r="C11654" s="3" t="s">
        <v>54</v>
      </c>
      <c r="D11654" s="3" t="s">
        <v>175</v>
      </c>
      <c r="E11654" s="4" t="s">
        <v>22</v>
      </c>
      <c r="F11654" s="4" t="s">
        <v>58977</v>
      </c>
      <c r="G11654" s="4" t="s">
        <v>58978</v>
      </c>
      <c r="H11654" s="3" t="s">
        <v>57649</v>
      </c>
      <c r="I11654" s="3" t="s">
        <v>39493</v>
      </c>
      <c r="J11654" s="3" t="s">
        <v>3173</v>
      </c>
      <c r="K11654" s="3" t="s">
        <v>58979</v>
      </c>
      <c r="L11654" s="3"/>
      <c r="M11654" s="4"/>
      <c r="N11654" s="3" t="s">
        <v>37</v>
      </c>
      <c r="O11654" s="3" t="s">
        <v>38</v>
      </c>
      <c r="P11654" s="5">
        <v>4</v>
      </c>
      <c r="Q11654" s="5">
        <v>30</v>
      </c>
      <c r="R11654" s="5">
        <v>4</v>
      </c>
      <c r="S11654" s="5">
        <v>34</v>
      </c>
    </row>
    <row r="11655" spans="1:19" ht="28" x14ac:dyDescent="0.15">
      <c r="A11655" s="2">
        <f>HYPERLINK("https://open-school.uspishnemisto.com.ua/school/590286/", 590286)</f>
        <v>590286</v>
      </c>
      <c r="B11655" s="3" t="s">
        <v>58980</v>
      </c>
      <c r="C11655" s="3" t="s">
        <v>31</v>
      </c>
      <c r="D11655" s="3" t="s">
        <v>32</v>
      </c>
      <c r="E11655" s="4" t="s">
        <v>22</v>
      </c>
      <c r="F11655" s="4" t="s">
        <v>58981</v>
      </c>
      <c r="G11655" s="4" t="s">
        <v>58982</v>
      </c>
      <c r="H11655" s="3" t="s">
        <v>57649</v>
      </c>
      <c r="I11655" s="3" t="s">
        <v>5208</v>
      </c>
      <c r="J11655" s="3" t="s">
        <v>1078</v>
      </c>
      <c r="K11655" s="3" t="s">
        <v>58983</v>
      </c>
      <c r="L11655" s="3"/>
      <c r="M11655" s="4"/>
      <c r="N11655" s="3" t="s">
        <v>37</v>
      </c>
      <c r="O11655" s="3" t="s">
        <v>38</v>
      </c>
      <c r="P11655" s="5">
        <v>6</v>
      </c>
      <c r="Q11655" s="5">
        <v>50</v>
      </c>
      <c r="R11655" s="5">
        <v>5</v>
      </c>
      <c r="S11655" s="5">
        <v>50</v>
      </c>
    </row>
    <row r="11656" spans="1:19" ht="28" x14ac:dyDescent="0.15">
      <c r="A11656" s="2">
        <f>HYPERLINK("https://open-school.uspishnemisto.com.ua/school/590287/", 590287)</f>
        <v>590287</v>
      </c>
      <c r="B11656" s="3" t="s">
        <v>58984</v>
      </c>
      <c r="C11656" s="3" t="s">
        <v>54</v>
      </c>
      <c r="D11656" s="3" t="s">
        <v>32</v>
      </c>
      <c r="E11656" s="4" t="s">
        <v>22</v>
      </c>
      <c r="F11656" s="4" t="s">
        <v>58985</v>
      </c>
      <c r="G11656" s="4" t="s">
        <v>58986</v>
      </c>
      <c r="H11656" s="3" t="s">
        <v>57649</v>
      </c>
      <c r="I11656" s="3" t="s">
        <v>11783</v>
      </c>
      <c r="J11656" s="3" t="s">
        <v>58987</v>
      </c>
      <c r="K11656" s="3" t="s">
        <v>58988</v>
      </c>
      <c r="L11656" s="3"/>
      <c r="M11656" s="4"/>
      <c r="N11656" s="3" t="s">
        <v>37</v>
      </c>
      <c r="O11656" s="3" t="s">
        <v>52</v>
      </c>
      <c r="P11656" s="5">
        <v>10</v>
      </c>
      <c r="Q11656" s="5">
        <v>84</v>
      </c>
      <c r="R11656" s="5">
        <v>10</v>
      </c>
      <c r="S11656" s="5">
        <v>80</v>
      </c>
    </row>
    <row r="11657" spans="1:19" ht="28" x14ac:dyDescent="0.15">
      <c r="A11657" s="2">
        <f>HYPERLINK("https://open-school.uspishnemisto.com.ua/school/590288/", 590288)</f>
        <v>590288</v>
      </c>
      <c r="B11657" s="3" t="s">
        <v>58989</v>
      </c>
      <c r="C11657" s="3" t="s">
        <v>20</v>
      </c>
      <c r="D11657" s="3" t="s">
        <v>21</v>
      </c>
      <c r="E11657" s="4" t="s">
        <v>22</v>
      </c>
      <c r="F11657" s="4" t="s">
        <v>58990</v>
      </c>
      <c r="G11657" s="4" t="s">
        <v>58991</v>
      </c>
      <c r="H11657" s="3" t="s">
        <v>57649</v>
      </c>
      <c r="I11657" s="3" t="s">
        <v>58992</v>
      </c>
      <c r="J11657" s="3" t="s">
        <v>58993</v>
      </c>
      <c r="K11657" s="3" t="s">
        <v>58994</v>
      </c>
      <c r="L11657" s="3"/>
      <c r="M11657" s="4"/>
      <c r="N11657" s="3"/>
      <c r="O11657" s="3"/>
      <c r="P11657" s="5">
        <v>0</v>
      </c>
      <c r="Q11657" s="5">
        <v>0</v>
      </c>
      <c r="R11657" s="5"/>
      <c r="S11657" s="5"/>
    </row>
    <row r="11658" spans="1:19" ht="28" x14ac:dyDescent="0.15">
      <c r="A11658" s="2">
        <f>HYPERLINK("https://open-school.uspishnemisto.com.ua/school/590289/", 590289)</f>
        <v>590289</v>
      </c>
      <c r="B11658" s="3" t="s">
        <v>58995</v>
      </c>
      <c r="C11658" s="3" t="s">
        <v>31</v>
      </c>
      <c r="D11658" s="3" t="s">
        <v>175</v>
      </c>
      <c r="E11658" s="4" t="s">
        <v>22</v>
      </c>
      <c r="F11658" s="4" t="s">
        <v>58990</v>
      </c>
      <c r="G11658" s="4" t="s">
        <v>58991</v>
      </c>
      <c r="H11658" s="3" t="s">
        <v>57649</v>
      </c>
      <c r="I11658" s="3" t="s">
        <v>58992</v>
      </c>
      <c r="J11658" s="3" t="s">
        <v>58996</v>
      </c>
      <c r="K11658" s="3" t="s">
        <v>58997</v>
      </c>
      <c r="L11658" s="3" t="s">
        <v>58998</v>
      </c>
      <c r="M11658" s="4"/>
      <c r="N11658" s="3" t="s">
        <v>37</v>
      </c>
      <c r="O11658" s="3" t="s">
        <v>38</v>
      </c>
      <c r="P11658" s="5">
        <v>6</v>
      </c>
      <c r="Q11658" s="5">
        <v>48</v>
      </c>
      <c r="R11658" s="5">
        <v>7</v>
      </c>
      <c r="S11658" s="5">
        <v>48</v>
      </c>
    </row>
    <row r="11659" spans="1:19" ht="28" x14ac:dyDescent="0.15">
      <c r="A11659" s="2">
        <f>HYPERLINK("https://open-school.uspishnemisto.com.ua/school/590290/", 590290)</f>
        <v>590290</v>
      </c>
      <c r="B11659" s="3" t="s">
        <v>58999</v>
      </c>
      <c r="C11659" s="3" t="s">
        <v>31</v>
      </c>
      <c r="D11659" s="3" t="s">
        <v>32</v>
      </c>
      <c r="E11659" s="4" t="s">
        <v>22</v>
      </c>
      <c r="F11659" s="4" t="s">
        <v>58990</v>
      </c>
      <c r="G11659" s="4" t="s">
        <v>58991</v>
      </c>
      <c r="H11659" s="3" t="s">
        <v>57649</v>
      </c>
      <c r="I11659" s="3" t="s">
        <v>58992</v>
      </c>
      <c r="J11659" s="3" t="s">
        <v>59000</v>
      </c>
      <c r="K11659" s="3" t="s">
        <v>59001</v>
      </c>
      <c r="L11659" s="3" t="s">
        <v>59002</v>
      </c>
      <c r="M11659" s="4"/>
      <c r="N11659" s="3" t="s">
        <v>37</v>
      </c>
      <c r="O11659" s="3" t="s">
        <v>38</v>
      </c>
      <c r="P11659" s="5">
        <v>17</v>
      </c>
      <c r="Q11659" s="5">
        <v>400</v>
      </c>
      <c r="R11659" s="5">
        <v>18</v>
      </c>
      <c r="S11659" s="5">
        <v>400</v>
      </c>
    </row>
    <row r="11660" spans="1:19" ht="28" x14ac:dyDescent="0.15">
      <c r="A11660" s="2">
        <f>HYPERLINK("https://open-school.uspishnemisto.com.ua/school/590291/", 590291)</f>
        <v>590291</v>
      </c>
      <c r="B11660" s="3" t="s">
        <v>59003</v>
      </c>
      <c r="C11660" s="3" t="s">
        <v>31</v>
      </c>
      <c r="D11660" s="3" t="s">
        <v>32</v>
      </c>
      <c r="E11660" s="4" t="s">
        <v>22</v>
      </c>
      <c r="F11660" s="4" t="s">
        <v>58990</v>
      </c>
      <c r="G11660" s="4" t="s">
        <v>58991</v>
      </c>
      <c r="H11660" s="3" t="s">
        <v>57649</v>
      </c>
      <c r="I11660" s="3" t="s">
        <v>58992</v>
      </c>
      <c r="J11660" s="3" t="s">
        <v>59004</v>
      </c>
      <c r="K11660" s="3" t="s">
        <v>59005</v>
      </c>
      <c r="L11660" s="3" t="s">
        <v>59006</v>
      </c>
      <c r="M11660" s="4"/>
      <c r="N11660" s="3" t="s">
        <v>37</v>
      </c>
      <c r="O11660" s="3" t="s">
        <v>52</v>
      </c>
      <c r="P11660" s="5">
        <v>12</v>
      </c>
      <c r="Q11660" s="5">
        <v>270</v>
      </c>
      <c r="R11660" s="5">
        <v>11</v>
      </c>
      <c r="S11660" s="5">
        <v>259</v>
      </c>
    </row>
    <row r="11661" spans="1:19" ht="28" x14ac:dyDescent="0.15">
      <c r="A11661" s="2">
        <f>HYPERLINK("https://open-school.uspishnemisto.com.ua/school/590292/", 590292)</f>
        <v>590292</v>
      </c>
      <c r="B11661" s="3" t="s">
        <v>59007</v>
      </c>
      <c r="C11661" s="3" t="s">
        <v>244</v>
      </c>
      <c r="D11661" s="3" t="s">
        <v>32</v>
      </c>
      <c r="E11661" s="4" t="s">
        <v>22</v>
      </c>
      <c r="F11661" s="4" t="s">
        <v>58990</v>
      </c>
      <c r="G11661" s="4" t="s">
        <v>58991</v>
      </c>
      <c r="H11661" s="3" t="s">
        <v>57649</v>
      </c>
      <c r="I11661" s="3" t="s">
        <v>58992</v>
      </c>
      <c r="J11661" s="3" t="s">
        <v>59008</v>
      </c>
      <c r="K11661" s="3" t="s">
        <v>59009</v>
      </c>
      <c r="L11661" s="3" t="s">
        <v>59010</v>
      </c>
      <c r="M11661" s="4"/>
      <c r="N11661" s="3" t="s">
        <v>37</v>
      </c>
      <c r="O11661" s="3" t="s">
        <v>70</v>
      </c>
      <c r="P11661" s="5">
        <v>28</v>
      </c>
      <c r="Q11661" s="5">
        <v>633</v>
      </c>
      <c r="R11661" s="5">
        <v>28</v>
      </c>
      <c r="S11661" s="5">
        <v>615</v>
      </c>
    </row>
    <row r="11662" spans="1:19" ht="28" x14ac:dyDescent="0.15">
      <c r="A11662" s="2">
        <f>HYPERLINK("https://open-school.uspishnemisto.com.ua/school/590293/", 590293)</f>
        <v>590293</v>
      </c>
      <c r="B11662" s="3" t="s">
        <v>59011</v>
      </c>
      <c r="C11662" s="3" t="s">
        <v>244</v>
      </c>
      <c r="D11662" s="3" t="s">
        <v>32</v>
      </c>
      <c r="E11662" s="4" t="s">
        <v>22</v>
      </c>
      <c r="F11662" s="4" t="s">
        <v>58990</v>
      </c>
      <c r="G11662" s="4" t="s">
        <v>58991</v>
      </c>
      <c r="H11662" s="3" t="s">
        <v>57649</v>
      </c>
      <c r="I11662" s="3" t="s">
        <v>58992</v>
      </c>
      <c r="J11662" s="3" t="s">
        <v>59012</v>
      </c>
      <c r="K11662" s="3" t="s">
        <v>59013</v>
      </c>
      <c r="L11662" s="3" t="s">
        <v>59014</v>
      </c>
      <c r="M11662" s="4"/>
      <c r="N11662" s="3" t="s">
        <v>37</v>
      </c>
      <c r="O11662" s="3" t="s">
        <v>2740</v>
      </c>
      <c r="P11662" s="5">
        <v>25</v>
      </c>
      <c r="Q11662" s="5">
        <v>471</v>
      </c>
      <c r="R11662" s="5">
        <v>25</v>
      </c>
      <c r="S11662" s="5">
        <v>490</v>
      </c>
    </row>
    <row r="11663" spans="1:19" ht="56" x14ac:dyDescent="0.15">
      <c r="A11663" s="2">
        <f>HYPERLINK("https://open-school.uspishnemisto.com.ua/school/590294/", 590294)</f>
        <v>590294</v>
      </c>
      <c r="B11663" s="3" t="s">
        <v>59015</v>
      </c>
      <c r="C11663" s="3" t="s">
        <v>54</v>
      </c>
      <c r="D11663" s="3" t="s">
        <v>60</v>
      </c>
      <c r="E11663" s="4" t="s">
        <v>22</v>
      </c>
      <c r="F11663" s="4" t="s">
        <v>58990</v>
      </c>
      <c r="G11663" s="4" t="s">
        <v>58991</v>
      </c>
      <c r="H11663" s="3" t="s">
        <v>57649</v>
      </c>
      <c r="I11663" s="3" t="s">
        <v>58992</v>
      </c>
      <c r="J11663" s="3" t="s">
        <v>59016</v>
      </c>
      <c r="K11663" s="3" t="s">
        <v>59017</v>
      </c>
      <c r="L11663" s="3"/>
      <c r="M11663" s="4"/>
      <c r="N11663" s="3" t="s">
        <v>37</v>
      </c>
      <c r="O11663" s="3" t="s">
        <v>52</v>
      </c>
      <c r="P11663" s="5">
        <v>4</v>
      </c>
      <c r="Q11663" s="5">
        <v>48</v>
      </c>
      <c r="R11663" s="5">
        <v>4</v>
      </c>
      <c r="S11663" s="5">
        <v>44</v>
      </c>
    </row>
    <row r="11664" spans="1:19" ht="56" x14ac:dyDescent="0.15">
      <c r="A11664" s="2">
        <f>HYPERLINK("https://open-school.uspishnemisto.com.ua/school/590295/", 590295)</f>
        <v>590295</v>
      </c>
      <c r="B11664" s="3" t="s">
        <v>59018</v>
      </c>
      <c r="C11664" s="3" t="s">
        <v>54</v>
      </c>
      <c r="D11664" s="3" t="s">
        <v>32</v>
      </c>
      <c r="E11664" s="4" t="s">
        <v>22</v>
      </c>
      <c r="F11664" s="4" t="s">
        <v>58990</v>
      </c>
      <c r="G11664" s="4" t="s">
        <v>58991</v>
      </c>
      <c r="H11664" s="3" t="s">
        <v>57649</v>
      </c>
      <c r="I11664" s="3" t="s">
        <v>58992</v>
      </c>
      <c r="J11664" s="3" t="s">
        <v>59019</v>
      </c>
      <c r="K11664" s="3" t="s">
        <v>59020</v>
      </c>
      <c r="L11664" s="3" t="s">
        <v>59021</v>
      </c>
      <c r="M11664" s="4"/>
      <c r="N11664" s="3" t="s">
        <v>37</v>
      </c>
      <c r="O11664" s="3" t="s">
        <v>38</v>
      </c>
      <c r="P11664" s="5">
        <v>11</v>
      </c>
      <c r="Q11664" s="5">
        <v>160</v>
      </c>
      <c r="R11664" s="5">
        <v>10</v>
      </c>
      <c r="S11664" s="5">
        <v>155</v>
      </c>
    </row>
    <row r="11665" spans="1:19" ht="28" x14ac:dyDescent="0.15">
      <c r="A11665" s="2">
        <f>HYPERLINK("https://open-school.uspishnemisto.com.ua/school/590296/", 590296)</f>
        <v>590296</v>
      </c>
      <c r="B11665" s="3" t="s">
        <v>59022</v>
      </c>
      <c r="C11665" s="3" t="s">
        <v>31</v>
      </c>
      <c r="D11665" s="3" t="s">
        <v>32</v>
      </c>
      <c r="E11665" s="4" t="s">
        <v>22</v>
      </c>
      <c r="F11665" s="4" t="s">
        <v>59023</v>
      </c>
      <c r="G11665" s="4" t="s">
        <v>59024</v>
      </c>
      <c r="H11665" s="3" t="s">
        <v>57649</v>
      </c>
      <c r="I11665" s="3" t="s">
        <v>59025</v>
      </c>
      <c r="J11665" s="3" t="s">
        <v>59026</v>
      </c>
      <c r="K11665" s="3" t="s">
        <v>59027</v>
      </c>
      <c r="L11665" s="3"/>
      <c r="M11665" s="4"/>
      <c r="N11665" s="3" t="s">
        <v>37</v>
      </c>
      <c r="O11665" s="3" t="s">
        <v>52</v>
      </c>
      <c r="P11665" s="5">
        <v>9</v>
      </c>
      <c r="Q11665" s="5">
        <v>122</v>
      </c>
      <c r="R11665" s="5">
        <v>11</v>
      </c>
      <c r="S11665" s="5">
        <v>119</v>
      </c>
    </row>
    <row r="11666" spans="1:19" ht="56" x14ac:dyDescent="0.15">
      <c r="A11666" s="2">
        <f>HYPERLINK("https://open-school.uspishnemisto.com.ua/school/590297/", 590297)</f>
        <v>590297</v>
      </c>
      <c r="B11666" s="3" t="s">
        <v>59028</v>
      </c>
      <c r="C11666" s="3" t="s">
        <v>54</v>
      </c>
      <c r="D11666" s="3" t="s">
        <v>60</v>
      </c>
      <c r="E11666" s="4" t="s">
        <v>22</v>
      </c>
      <c r="F11666" s="4" t="s">
        <v>59029</v>
      </c>
      <c r="G11666" s="4" t="s">
        <v>59030</v>
      </c>
      <c r="H11666" s="3" t="s">
        <v>57649</v>
      </c>
      <c r="I11666" s="3" t="s">
        <v>59031</v>
      </c>
      <c r="J11666" s="3" t="s">
        <v>3393</v>
      </c>
      <c r="K11666" s="3" t="s">
        <v>59032</v>
      </c>
      <c r="L11666" s="3"/>
      <c r="M11666" s="4"/>
      <c r="N11666" s="3" t="s">
        <v>37</v>
      </c>
      <c r="O11666" s="3" t="s">
        <v>52</v>
      </c>
      <c r="P11666" s="5">
        <v>0</v>
      </c>
      <c r="Q11666" s="5">
        <v>3</v>
      </c>
      <c r="R11666" s="5">
        <v>0</v>
      </c>
      <c r="S11666" s="5">
        <v>4</v>
      </c>
    </row>
    <row r="11667" spans="1:19" ht="56" x14ac:dyDescent="0.15">
      <c r="A11667" s="2">
        <f>HYPERLINK("https://open-school.uspishnemisto.com.ua/school/590298/", 590298)</f>
        <v>590298</v>
      </c>
      <c r="B11667" s="3" t="s">
        <v>59033</v>
      </c>
      <c r="C11667" s="3" t="s">
        <v>54</v>
      </c>
      <c r="D11667" s="3" t="s">
        <v>175</v>
      </c>
      <c r="E11667" s="4" t="s">
        <v>22</v>
      </c>
      <c r="F11667" s="4" t="s">
        <v>59034</v>
      </c>
      <c r="G11667" s="4" t="s">
        <v>59035</v>
      </c>
      <c r="H11667" s="3" t="s">
        <v>57649</v>
      </c>
      <c r="I11667" s="3" t="s">
        <v>59036</v>
      </c>
      <c r="J11667" s="3" t="s">
        <v>59037</v>
      </c>
      <c r="K11667" s="3" t="s">
        <v>59038</v>
      </c>
      <c r="L11667" s="3"/>
      <c r="M11667" s="4"/>
      <c r="N11667" s="3" t="s">
        <v>37</v>
      </c>
      <c r="O11667" s="3" t="s">
        <v>52</v>
      </c>
      <c r="P11667" s="5">
        <v>3</v>
      </c>
      <c r="Q11667" s="5">
        <v>35</v>
      </c>
      <c r="R11667" s="5">
        <v>3</v>
      </c>
      <c r="S11667" s="5">
        <v>31</v>
      </c>
    </row>
    <row r="11668" spans="1:19" ht="56" x14ac:dyDescent="0.15">
      <c r="A11668" s="2">
        <f>HYPERLINK("https://open-school.uspishnemisto.com.ua/school/590299/", 590299)</f>
        <v>590299</v>
      </c>
      <c r="B11668" s="3" t="s">
        <v>59039</v>
      </c>
      <c r="C11668" s="3" t="s">
        <v>54</v>
      </c>
      <c r="D11668" s="3" t="s">
        <v>32</v>
      </c>
      <c r="E11668" s="4" t="s">
        <v>22</v>
      </c>
      <c r="F11668" s="4" t="s">
        <v>59040</v>
      </c>
      <c r="G11668" s="4" t="s">
        <v>59041</v>
      </c>
      <c r="H11668" s="3" t="s">
        <v>57649</v>
      </c>
      <c r="I11668" s="3" t="s">
        <v>16959</v>
      </c>
      <c r="J11668" s="3" t="s">
        <v>21284</v>
      </c>
      <c r="K11668" s="3" t="s">
        <v>59042</v>
      </c>
      <c r="L11668" s="3"/>
      <c r="M11668" s="4"/>
      <c r="N11668" s="3" t="s">
        <v>37</v>
      </c>
      <c r="O11668" s="3" t="s">
        <v>38</v>
      </c>
      <c r="P11668" s="5">
        <v>6</v>
      </c>
      <c r="Q11668" s="5">
        <v>47</v>
      </c>
      <c r="R11668" s="5">
        <v>6</v>
      </c>
      <c r="S11668" s="5">
        <v>44</v>
      </c>
    </row>
    <row r="11669" spans="1:19" ht="56" x14ac:dyDescent="0.15">
      <c r="A11669" s="2">
        <f>HYPERLINK("https://open-school.uspishnemisto.com.ua/school/590300/", 590300)</f>
        <v>590300</v>
      </c>
      <c r="B11669" s="3" t="s">
        <v>59043</v>
      </c>
      <c r="C11669" s="3" t="s">
        <v>54</v>
      </c>
      <c r="D11669" s="3" t="s">
        <v>60</v>
      </c>
      <c r="E11669" s="4" t="s">
        <v>22</v>
      </c>
      <c r="F11669" s="4" t="s">
        <v>58990</v>
      </c>
      <c r="G11669" s="4" t="s">
        <v>59044</v>
      </c>
      <c r="H11669" s="3" t="s">
        <v>57649</v>
      </c>
      <c r="I11669" s="3" t="s">
        <v>59045</v>
      </c>
      <c r="J11669" s="3" t="s">
        <v>5884</v>
      </c>
      <c r="K11669" s="3" t="s">
        <v>59046</v>
      </c>
      <c r="L11669" s="3"/>
      <c r="M11669" s="4"/>
      <c r="N11669" s="3" t="s">
        <v>37</v>
      </c>
      <c r="O11669" s="3" t="s">
        <v>52</v>
      </c>
      <c r="P11669" s="5">
        <v>0</v>
      </c>
      <c r="Q11669" s="5">
        <v>2</v>
      </c>
      <c r="R11669" s="5">
        <v>0</v>
      </c>
      <c r="S11669" s="5">
        <v>2</v>
      </c>
    </row>
    <row r="11670" spans="1:19" ht="28" x14ac:dyDescent="0.15">
      <c r="A11670" s="2">
        <f>HYPERLINK("https://open-school.uspishnemisto.com.ua/school/590301/", 590301)</f>
        <v>590301</v>
      </c>
      <c r="B11670" s="3" t="s">
        <v>59047</v>
      </c>
      <c r="C11670" s="3" t="s">
        <v>31</v>
      </c>
      <c r="D11670" s="3" t="s">
        <v>32</v>
      </c>
      <c r="E11670" s="4" t="s">
        <v>22</v>
      </c>
      <c r="F11670" s="4" t="s">
        <v>59048</v>
      </c>
      <c r="G11670" s="4" t="s">
        <v>59049</v>
      </c>
      <c r="H11670" s="3" t="s">
        <v>57649</v>
      </c>
      <c r="I11670" s="3" t="s">
        <v>1109</v>
      </c>
      <c r="J11670" s="3" t="s">
        <v>7581</v>
      </c>
      <c r="K11670" s="3" t="s">
        <v>59050</v>
      </c>
      <c r="L11670" s="3"/>
      <c r="M11670" s="4"/>
      <c r="N11670" s="3" t="s">
        <v>37</v>
      </c>
      <c r="O11670" s="3" t="s">
        <v>46</v>
      </c>
      <c r="P11670" s="5">
        <v>10</v>
      </c>
      <c r="Q11670" s="5">
        <v>75</v>
      </c>
      <c r="R11670" s="5">
        <v>8</v>
      </c>
      <c r="S11670" s="5">
        <v>69</v>
      </c>
    </row>
    <row r="11671" spans="1:19" ht="56" x14ac:dyDescent="0.15">
      <c r="A11671" s="2">
        <f>HYPERLINK("https://open-school.uspishnemisto.com.ua/school/590302/", 590302)</f>
        <v>590302</v>
      </c>
      <c r="B11671" s="3" t="s">
        <v>59051</v>
      </c>
      <c r="C11671" s="3" t="s">
        <v>54</v>
      </c>
      <c r="D11671" s="3" t="s">
        <v>175</v>
      </c>
      <c r="E11671" s="4" t="s">
        <v>22</v>
      </c>
      <c r="F11671" s="4" t="s">
        <v>59052</v>
      </c>
      <c r="G11671" s="4" t="s">
        <v>59053</v>
      </c>
      <c r="H11671" s="3" t="s">
        <v>57649</v>
      </c>
      <c r="I11671" s="3" t="s">
        <v>59054</v>
      </c>
      <c r="J11671" s="3" t="s">
        <v>59055</v>
      </c>
      <c r="K11671" s="3" t="s">
        <v>59056</v>
      </c>
      <c r="L11671" s="3"/>
      <c r="M11671" s="4"/>
      <c r="N11671" s="3" t="s">
        <v>37</v>
      </c>
      <c r="O11671" s="3" t="s">
        <v>70</v>
      </c>
      <c r="P11671" s="5">
        <v>3</v>
      </c>
      <c r="Q11671" s="5">
        <v>38</v>
      </c>
      <c r="R11671" s="5">
        <v>3</v>
      </c>
      <c r="S11671" s="5">
        <v>32</v>
      </c>
    </row>
    <row r="11672" spans="1:19" ht="28" x14ac:dyDescent="0.15">
      <c r="A11672" s="2">
        <f>HYPERLINK("https://open-school.uspishnemisto.com.ua/school/590303/", 590303)</f>
        <v>590303</v>
      </c>
      <c r="B11672" s="3" t="s">
        <v>59057</v>
      </c>
      <c r="C11672" s="3" t="s">
        <v>31</v>
      </c>
      <c r="D11672" s="3" t="s">
        <v>32</v>
      </c>
      <c r="E11672" s="4" t="s">
        <v>22</v>
      </c>
      <c r="F11672" s="4" t="s">
        <v>59058</v>
      </c>
      <c r="G11672" s="4" t="s">
        <v>59059</v>
      </c>
      <c r="H11672" s="3" t="s">
        <v>57649</v>
      </c>
      <c r="I11672" s="3" t="s">
        <v>59060</v>
      </c>
      <c r="J11672" s="3" t="s">
        <v>59061</v>
      </c>
      <c r="K11672" s="3" t="s">
        <v>59062</v>
      </c>
      <c r="L11672" s="3"/>
      <c r="M11672" s="4"/>
      <c r="N11672" s="3" t="s">
        <v>37</v>
      </c>
      <c r="O11672" s="3" t="s">
        <v>38</v>
      </c>
      <c r="P11672" s="5">
        <v>10</v>
      </c>
      <c r="Q11672" s="5">
        <v>71</v>
      </c>
      <c r="R11672" s="5">
        <v>10</v>
      </c>
      <c r="S11672" s="5">
        <v>68</v>
      </c>
    </row>
    <row r="11673" spans="1:19" ht="56" x14ac:dyDescent="0.15">
      <c r="A11673" s="2">
        <f>HYPERLINK("https://open-school.uspishnemisto.com.ua/school/590304/", 590304)</f>
        <v>590304</v>
      </c>
      <c r="B11673" s="3" t="s">
        <v>59063</v>
      </c>
      <c r="C11673" s="3" t="s">
        <v>54</v>
      </c>
      <c r="D11673" s="3" t="s">
        <v>60</v>
      </c>
      <c r="E11673" s="4" t="s">
        <v>22</v>
      </c>
      <c r="F11673" s="4" t="s">
        <v>59064</v>
      </c>
      <c r="G11673" s="4" t="s">
        <v>59065</v>
      </c>
      <c r="H11673" s="3" t="s">
        <v>57649</v>
      </c>
      <c r="I11673" s="3" t="s">
        <v>59066</v>
      </c>
      <c r="J11673" s="3" t="s">
        <v>59067</v>
      </c>
      <c r="K11673" s="3" t="s">
        <v>59068</v>
      </c>
      <c r="L11673" s="3"/>
      <c r="M11673" s="4"/>
      <c r="N11673" s="3" t="s">
        <v>37</v>
      </c>
      <c r="O11673" s="3" t="s">
        <v>618</v>
      </c>
      <c r="P11673" s="5">
        <v>0</v>
      </c>
      <c r="Q11673" s="5">
        <v>0</v>
      </c>
      <c r="R11673" s="5">
        <v>0</v>
      </c>
      <c r="S11673" s="5">
        <v>5</v>
      </c>
    </row>
    <row r="11674" spans="1:19" ht="42" x14ac:dyDescent="0.15">
      <c r="A11674" s="2">
        <f>HYPERLINK("https://open-school.uspishnemisto.com.ua/school/590305/", 590305)</f>
        <v>590305</v>
      </c>
      <c r="B11674" s="3" t="s">
        <v>59069</v>
      </c>
      <c r="C11674" s="3" t="s">
        <v>54</v>
      </c>
      <c r="D11674" s="3" t="s">
        <v>32</v>
      </c>
      <c r="E11674" s="4" t="s">
        <v>22</v>
      </c>
      <c r="F11674" s="4" t="s">
        <v>59070</v>
      </c>
      <c r="G11674" s="4" t="s">
        <v>59071</v>
      </c>
      <c r="H11674" s="3" t="s">
        <v>57649</v>
      </c>
      <c r="I11674" s="3" t="s">
        <v>17369</v>
      </c>
      <c r="J11674" s="3" t="s">
        <v>6535</v>
      </c>
      <c r="K11674" s="3" t="s">
        <v>59072</v>
      </c>
      <c r="L11674" s="3"/>
      <c r="M11674" s="4"/>
      <c r="N11674" s="3" t="s">
        <v>37</v>
      </c>
      <c r="O11674" s="3" t="s">
        <v>46</v>
      </c>
      <c r="P11674" s="5">
        <v>5</v>
      </c>
      <c r="Q11674" s="5">
        <v>39</v>
      </c>
      <c r="R11674" s="5">
        <v>4</v>
      </c>
      <c r="S11674" s="5">
        <v>32</v>
      </c>
    </row>
    <row r="11675" spans="1:19" ht="28" x14ac:dyDescent="0.15">
      <c r="A11675" s="2">
        <f>HYPERLINK("https://open-school.uspishnemisto.com.ua/school/590306/", 590306)</f>
        <v>590306</v>
      </c>
      <c r="B11675" s="3" t="s">
        <v>59073</v>
      </c>
      <c r="C11675" s="3" t="s">
        <v>31</v>
      </c>
      <c r="D11675" s="3" t="s">
        <v>32</v>
      </c>
      <c r="E11675" s="4" t="s">
        <v>22</v>
      </c>
      <c r="F11675" s="4" t="s">
        <v>59074</v>
      </c>
      <c r="G11675" s="4" t="s">
        <v>59075</v>
      </c>
      <c r="H11675" s="3" t="s">
        <v>57649</v>
      </c>
      <c r="I11675" s="3" t="s">
        <v>12265</v>
      </c>
      <c r="J11675" s="3" t="s">
        <v>59076</v>
      </c>
      <c r="K11675" s="3" t="s">
        <v>59077</v>
      </c>
      <c r="L11675" s="3"/>
      <c r="M11675" s="4"/>
      <c r="N11675" s="3" t="s">
        <v>37</v>
      </c>
      <c r="O11675" s="3" t="s">
        <v>52</v>
      </c>
      <c r="P11675" s="5">
        <v>7</v>
      </c>
      <c r="Q11675" s="5">
        <v>62</v>
      </c>
      <c r="R11675" s="5">
        <v>7</v>
      </c>
      <c r="S11675" s="5">
        <v>64</v>
      </c>
    </row>
    <row r="11676" spans="1:19" ht="56" x14ac:dyDescent="0.15">
      <c r="A11676" s="2">
        <f>HYPERLINK("https://open-school.uspishnemisto.com.ua/school/590307/", 590307)</f>
        <v>590307</v>
      </c>
      <c r="B11676" s="3" t="s">
        <v>59078</v>
      </c>
      <c r="C11676" s="3" t="s">
        <v>54</v>
      </c>
      <c r="D11676" s="3" t="s">
        <v>32</v>
      </c>
      <c r="E11676" s="4" t="s">
        <v>22</v>
      </c>
      <c r="F11676" s="4" t="s">
        <v>59079</v>
      </c>
      <c r="G11676" s="4" t="s">
        <v>59080</v>
      </c>
      <c r="H11676" s="3" t="s">
        <v>57649</v>
      </c>
      <c r="I11676" s="3" t="s">
        <v>59081</v>
      </c>
      <c r="J11676" s="3" t="s">
        <v>3994</v>
      </c>
      <c r="K11676" s="3" t="s">
        <v>59082</v>
      </c>
      <c r="L11676" s="3"/>
      <c r="M11676" s="4"/>
      <c r="N11676" s="3" t="s">
        <v>37</v>
      </c>
      <c r="O11676" s="3" t="s">
        <v>38</v>
      </c>
      <c r="P11676" s="5">
        <v>2</v>
      </c>
      <c r="Q11676" s="5">
        <v>29</v>
      </c>
      <c r="R11676" s="5">
        <v>3</v>
      </c>
      <c r="S11676" s="5">
        <v>39</v>
      </c>
    </row>
    <row r="11677" spans="1:19" ht="56" x14ac:dyDescent="0.15">
      <c r="A11677" s="2">
        <f>HYPERLINK("https://open-school.uspishnemisto.com.ua/school/590308/", 590308)</f>
        <v>590308</v>
      </c>
      <c r="B11677" s="3" t="s">
        <v>59083</v>
      </c>
      <c r="C11677" s="3" t="s">
        <v>54</v>
      </c>
      <c r="D11677" s="3" t="s">
        <v>175</v>
      </c>
      <c r="E11677" s="4" t="s">
        <v>22</v>
      </c>
      <c r="F11677" s="4" t="s">
        <v>59084</v>
      </c>
      <c r="G11677" s="4" t="s">
        <v>59085</v>
      </c>
      <c r="H11677" s="3" t="s">
        <v>57649</v>
      </c>
      <c r="I11677" s="3" t="s">
        <v>59086</v>
      </c>
      <c r="J11677" s="3" t="s">
        <v>297</v>
      </c>
      <c r="K11677" s="3" t="s">
        <v>59087</v>
      </c>
      <c r="L11677" s="3"/>
      <c r="M11677" s="4"/>
      <c r="N11677" s="3" t="s">
        <v>37</v>
      </c>
      <c r="O11677" s="3" t="s">
        <v>38</v>
      </c>
      <c r="P11677" s="5">
        <v>2</v>
      </c>
      <c r="Q11677" s="5">
        <v>34</v>
      </c>
      <c r="R11677" s="5">
        <v>2</v>
      </c>
      <c r="S11677" s="5">
        <v>30</v>
      </c>
    </row>
    <row r="11678" spans="1:19" ht="28" x14ac:dyDescent="0.15">
      <c r="A11678" s="2">
        <f>HYPERLINK("https://open-school.uspishnemisto.com.ua/school/590309/", 590309)</f>
        <v>590309</v>
      </c>
      <c r="B11678" s="3" t="s">
        <v>59088</v>
      </c>
      <c r="C11678" s="3" t="s">
        <v>31</v>
      </c>
      <c r="D11678" s="3" t="s">
        <v>32</v>
      </c>
      <c r="E11678" s="4" t="s">
        <v>22</v>
      </c>
      <c r="F11678" s="4" t="s">
        <v>59089</v>
      </c>
      <c r="G11678" s="4" t="s">
        <v>59090</v>
      </c>
      <c r="H11678" s="3" t="s">
        <v>57649</v>
      </c>
      <c r="I11678" s="3" t="s">
        <v>59091</v>
      </c>
      <c r="J11678" s="3" t="s">
        <v>59092</v>
      </c>
      <c r="K11678" s="3" t="s">
        <v>59093</v>
      </c>
      <c r="L11678" s="3"/>
      <c r="M11678" s="4"/>
      <c r="N11678" s="3" t="s">
        <v>37</v>
      </c>
      <c r="O11678" s="3" t="s">
        <v>52</v>
      </c>
      <c r="P11678" s="5">
        <v>10</v>
      </c>
      <c r="Q11678" s="5">
        <v>90</v>
      </c>
      <c r="R11678" s="5">
        <v>10</v>
      </c>
      <c r="S11678" s="5">
        <v>83</v>
      </c>
    </row>
    <row r="11679" spans="1:19" ht="28" x14ac:dyDescent="0.15">
      <c r="A11679" s="2">
        <f>HYPERLINK("https://open-school.uspishnemisto.com.ua/school/590310/", 590310)</f>
        <v>590310</v>
      </c>
      <c r="B11679" s="3" t="s">
        <v>59094</v>
      </c>
      <c r="C11679" s="3" t="s">
        <v>31</v>
      </c>
      <c r="D11679" s="3" t="s">
        <v>32</v>
      </c>
      <c r="E11679" s="4" t="s">
        <v>22</v>
      </c>
      <c r="F11679" s="4" t="s">
        <v>59095</v>
      </c>
      <c r="G11679" s="4" t="s">
        <v>59096</v>
      </c>
      <c r="H11679" s="3" t="s">
        <v>57649</v>
      </c>
      <c r="I11679" s="3" t="s">
        <v>59097</v>
      </c>
      <c r="J11679" s="3" t="s">
        <v>3683</v>
      </c>
      <c r="K11679" s="3" t="s">
        <v>59098</v>
      </c>
      <c r="L11679" s="3"/>
      <c r="M11679" s="4"/>
      <c r="N11679" s="3" t="s">
        <v>37</v>
      </c>
      <c r="O11679" s="3" t="s">
        <v>38</v>
      </c>
      <c r="P11679" s="5">
        <v>10</v>
      </c>
      <c r="Q11679" s="5">
        <v>90</v>
      </c>
      <c r="R11679" s="5">
        <v>11</v>
      </c>
      <c r="S11679" s="5">
        <v>92</v>
      </c>
    </row>
    <row r="11680" spans="1:19" ht="28" x14ac:dyDescent="0.15">
      <c r="A11680" s="2">
        <f>HYPERLINK("https://open-school.uspishnemisto.com.ua/school/590311/", 590311)</f>
        <v>590311</v>
      </c>
      <c r="B11680" s="3" t="s">
        <v>59099</v>
      </c>
      <c r="C11680" s="3" t="s">
        <v>31</v>
      </c>
      <c r="D11680" s="3" t="s">
        <v>175</v>
      </c>
      <c r="E11680" s="4" t="s">
        <v>22</v>
      </c>
      <c r="F11680" s="4" t="s">
        <v>59100</v>
      </c>
      <c r="G11680" s="4" t="s">
        <v>59101</v>
      </c>
      <c r="H11680" s="3" t="s">
        <v>57649</v>
      </c>
      <c r="I11680" s="3" t="s">
        <v>59102</v>
      </c>
      <c r="J11680" s="3" t="s">
        <v>59103</v>
      </c>
      <c r="K11680" s="3" t="s">
        <v>59104</v>
      </c>
      <c r="L11680" s="3" t="s">
        <v>59105</v>
      </c>
      <c r="M11680" s="4"/>
      <c r="N11680" s="3" t="s">
        <v>37</v>
      </c>
      <c r="O11680" s="3" t="s">
        <v>38</v>
      </c>
      <c r="P11680" s="5">
        <v>6</v>
      </c>
      <c r="Q11680" s="5">
        <v>55</v>
      </c>
      <c r="R11680" s="5">
        <v>7</v>
      </c>
      <c r="S11680" s="5">
        <v>51</v>
      </c>
    </row>
    <row r="11681" spans="1:19" ht="28" x14ac:dyDescent="0.15">
      <c r="A11681" s="2">
        <f>HYPERLINK("https://open-school.uspishnemisto.com.ua/school/590312/", 590312)</f>
        <v>590312</v>
      </c>
      <c r="B11681" s="3" t="s">
        <v>59106</v>
      </c>
      <c r="C11681" s="3" t="s">
        <v>31</v>
      </c>
      <c r="D11681" s="3" t="s">
        <v>32</v>
      </c>
      <c r="E11681" s="4" t="s">
        <v>22</v>
      </c>
      <c r="F11681" s="4" t="s">
        <v>59107</v>
      </c>
      <c r="G11681" s="4" t="s">
        <v>59108</v>
      </c>
      <c r="H11681" s="3" t="s">
        <v>57649</v>
      </c>
      <c r="I11681" s="3" t="s">
        <v>39734</v>
      </c>
      <c r="J11681" s="3" t="s">
        <v>59109</v>
      </c>
      <c r="K11681" s="3" t="s">
        <v>59110</v>
      </c>
      <c r="L11681" s="3" t="s">
        <v>59111</v>
      </c>
      <c r="M11681" s="4"/>
      <c r="N11681" s="3" t="s">
        <v>37</v>
      </c>
      <c r="O11681" s="3" t="s">
        <v>38</v>
      </c>
      <c r="P11681" s="5">
        <v>10</v>
      </c>
      <c r="Q11681" s="5">
        <v>78</v>
      </c>
      <c r="R11681" s="5">
        <v>10</v>
      </c>
      <c r="S11681" s="5">
        <v>84</v>
      </c>
    </row>
    <row r="11682" spans="1:19" ht="56" x14ac:dyDescent="0.15">
      <c r="A11682" s="2">
        <f>HYPERLINK("https://open-school.uspishnemisto.com.ua/school/590313/", 590313)</f>
        <v>590313</v>
      </c>
      <c r="B11682" s="3" t="s">
        <v>59112</v>
      </c>
      <c r="C11682" s="3" t="s">
        <v>54</v>
      </c>
      <c r="D11682" s="3" t="s">
        <v>32</v>
      </c>
      <c r="E11682" s="4" t="s">
        <v>22</v>
      </c>
      <c r="F11682" s="4" t="s">
        <v>59113</v>
      </c>
      <c r="G11682" s="4" t="s">
        <v>59114</v>
      </c>
      <c r="H11682" s="3" t="s">
        <v>57649</v>
      </c>
      <c r="I11682" s="3" t="s">
        <v>59115</v>
      </c>
      <c r="J11682" s="3" t="s">
        <v>59116</v>
      </c>
      <c r="K11682" s="3" t="s">
        <v>59117</v>
      </c>
      <c r="L11682" s="3" t="s">
        <v>59118</v>
      </c>
      <c r="M11682" s="4"/>
      <c r="N11682" s="3" t="s">
        <v>37</v>
      </c>
      <c r="O11682" s="3" t="s">
        <v>38</v>
      </c>
      <c r="P11682" s="5">
        <v>5</v>
      </c>
      <c r="Q11682" s="5">
        <v>44</v>
      </c>
      <c r="R11682" s="5">
        <v>5</v>
      </c>
      <c r="S11682" s="5">
        <v>44</v>
      </c>
    </row>
    <row r="11683" spans="1:19" ht="42" x14ac:dyDescent="0.15">
      <c r="A11683" s="2">
        <f>HYPERLINK("https://open-school.uspishnemisto.com.ua/school/590314/", 590314)</f>
        <v>590314</v>
      </c>
      <c r="B11683" s="3" t="s">
        <v>59119</v>
      </c>
      <c r="C11683" s="3" t="s">
        <v>54</v>
      </c>
      <c r="D11683" s="3" t="s">
        <v>175</v>
      </c>
      <c r="E11683" s="4" t="s">
        <v>22</v>
      </c>
      <c r="F11683" s="4" t="s">
        <v>59120</v>
      </c>
      <c r="G11683" s="4" t="s">
        <v>59121</v>
      </c>
      <c r="H11683" s="3" t="s">
        <v>57649</v>
      </c>
      <c r="I11683" s="3" t="s">
        <v>4696</v>
      </c>
      <c r="J11683" s="3" t="s">
        <v>59122</v>
      </c>
      <c r="K11683" s="3" t="s">
        <v>59123</v>
      </c>
      <c r="L11683" s="3"/>
      <c r="M11683" s="4"/>
      <c r="N11683" s="3" t="s">
        <v>37</v>
      </c>
      <c r="O11683" s="3" t="s">
        <v>38</v>
      </c>
      <c r="P11683" s="5">
        <v>1</v>
      </c>
      <c r="Q11683" s="5">
        <v>18</v>
      </c>
      <c r="R11683" s="5">
        <v>2</v>
      </c>
      <c r="S11683" s="5">
        <v>25</v>
      </c>
    </row>
    <row r="11684" spans="1:19" ht="28" x14ac:dyDescent="0.15">
      <c r="A11684" s="2">
        <f>HYPERLINK("https://open-school.uspishnemisto.com.ua/school/590315/", 590315)</f>
        <v>590315</v>
      </c>
      <c r="B11684" s="3" t="s">
        <v>59124</v>
      </c>
      <c r="C11684" s="3" t="s">
        <v>31</v>
      </c>
      <c r="D11684" s="3" t="s">
        <v>32</v>
      </c>
      <c r="E11684" s="4" t="s">
        <v>22</v>
      </c>
      <c r="F11684" s="4" t="s">
        <v>59125</v>
      </c>
      <c r="G11684" s="4" t="s">
        <v>59126</v>
      </c>
      <c r="H11684" s="3" t="s">
        <v>57649</v>
      </c>
      <c r="I11684" s="3" t="s">
        <v>59127</v>
      </c>
      <c r="J11684" s="3" t="s">
        <v>32837</v>
      </c>
      <c r="K11684" s="3" t="s">
        <v>59128</v>
      </c>
      <c r="L11684" s="3" t="s">
        <v>59129</v>
      </c>
      <c r="M11684" s="4"/>
      <c r="N11684" s="3" t="s">
        <v>37</v>
      </c>
      <c r="O11684" s="3" t="s">
        <v>52</v>
      </c>
      <c r="P11684" s="5">
        <v>4</v>
      </c>
      <c r="Q11684" s="5">
        <v>41</v>
      </c>
      <c r="R11684" s="5">
        <v>3</v>
      </c>
      <c r="S11684" s="5">
        <v>35</v>
      </c>
    </row>
    <row r="11685" spans="1:19" ht="42" x14ac:dyDescent="0.15">
      <c r="A11685" s="2">
        <f>HYPERLINK("https://open-school.uspishnemisto.com.ua/school/590316/", 590316)</f>
        <v>590316</v>
      </c>
      <c r="B11685" s="3" t="s">
        <v>59130</v>
      </c>
      <c r="C11685" s="3" t="s">
        <v>54</v>
      </c>
      <c r="D11685" s="3" t="s">
        <v>60</v>
      </c>
      <c r="E11685" s="4" t="s">
        <v>22</v>
      </c>
      <c r="F11685" s="4" t="s">
        <v>59131</v>
      </c>
      <c r="G11685" s="4" t="s">
        <v>59132</v>
      </c>
      <c r="H11685" s="3" t="s">
        <v>57649</v>
      </c>
      <c r="I11685" s="3" t="s">
        <v>59133</v>
      </c>
      <c r="J11685" s="3" t="s">
        <v>59134</v>
      </c>
      <c r="K11685" s="3" t="s">
        <v>59135</v>
      </c>
      <c r="L11685" s="3" t="s">
        <v>59136</v>
      </c>
      <c r="M11685" s="4"/>
      <c r="N11685" s="3" t="s">
        <v>37</v>
      </c>
      <c r="O11685" s="3" t="s">
        <v>52</v>
      </c>
      <c r="P11685" s="5">
        <v>0</v>
      </c>
      <c r="Q11685" s="5">
        <v>0</v>
      </c>
      <c r="R11685" s="5">
        <v>3</v>
      </c>
      <c r="S11685" s="5">
        <v>28</v>
      </c>
    </row>
    <row r="11686" spans="1:19" ht="42" x14ac:dyDescent="0.15">
      <c r="A11686" s="2">
        <f>HYPERLINK("https://open-school.uspishnemisto.com.ua/school/590317/", 590317)</f>
        <v>590317</v>
      </c>
      <c r="B11686" s="3" t="s">
        <v>59137</v>
      </c>
      <c r="C11686" s="3" t="s">
        <v>54</v>
      </c>
      <c r="D11686" s="3" t="s">
        <v>60</v>
      </c>
      <c r="E11686" s="4" t="s">
        <v>22</v>
      </c>
      <c r="F11686" s="4" t="s">
        <v>59138</v>
      </c>
      <c r="G11686" s="4" t="s">
        <v>59139</v>
      </c>
      <c r="H11686" s="3" t="s">
        <v>57649</v>
      </c>
      <c r="I11686" s="3" t="s">
        <v>59140</v>
      </c>
      <c r="J11686" s="3" t="s">
        <v>28919</v>
      </c>
      <c r="K11686" s="3" t="s">
        <v>59141</v>
      </c>
      <c r="L11686" s="3"/>
      <c r="M11686" s="4"/>
      <c r="N11686" s="3" t="s">
        <v>37</v>
      </c>
      <c r="O11686" s="3" t="s">
        <v>52</v>
      </c>
      <c r="P11686" s="5">
        <v>0</v>
      </c>
      <c r="Q11686" s="5">
        <v>2</v>
      </c>
      <c r="R11686" s="5">
        <v>0</v>
      </c>
      <c r="S11686" s="5">
        <v>2</v>
      </c>
    </row>
    <row r="11687" spans="1:19" ht="56" x14ac:dyDescent="0.15">
      <c r="A11687" s="2">
        <f>HYPERLINK("https://open-school.uspishnemisto.com.ua/school/590318/", 590318)</f>
        <v>590318</v>
      </c>
      <c r="B11687" s="3" t="s">
        <v>59142</v>
      </c>
      <c r="C11687" s="3" t="s">
        <v>54</v>
      </c>
      <c r="D11687" s="3" t="s">
        <v>32</v>
      </c>
      <c r="E11687" s="4" t="s">
        <v>22</v>
      </c>
      <c r="F11687" s="4" t="s">
        <v>59143</v>
      </c>
      <c r="G11687" s="4" t="s">
        <v>59144</v>
      </c>
      <c r="H11687" s="3" t="s">
        <v>57649</v>
      </c>
      <c r="I11687" s="3" t="s">
        <v>59145</v>
      </c>
      <c r="J11687" s="3" t="s">
        <v>42449</v>
      </c>
      <c r="K11687" s="3" t="s">
        <v>59146</v>
      </c>
      <c r="L11687" s="3"/>
      <c r="M11687" s="4"/>
      <c r="N11687" s="3" t="s">
        <v>37</v>
      </c>
      <c r="O11687" s="3" t="s">
        <v>70</v>
      </c>
      <c r="P11687" s="5">
        <v>10</v>
      </c>
      <c r="Q11687" s="5">
        <v>179</v>
      </c>
      <c r="R11687" s="5">
        <v>11</v>
      </c>
      <c r="S11687" s="5">
        <v>189</v>
      </c>
    </row>
    <row r="11688" spans="1:19" ht="28" x14ac:dyDescent="0.15">
      <c r="A11688" s="2">
        <f>HYPERLINK("https://open-school.uspishnemisto.com.ua/school/590319/", 590319)</f>
        <v>590319</v>
      </c>
      <c r="B11688" s="3" t="s">
        <v>59147</v>
      </c>
      <c r="C11688" s="3" t="s">
        <v>31</v>
      </c>
      <c r="D11688" s="3" t="s">
        <v>32</v>
      </c>
      <c r="E11688" s="4" t="s">
        <v>22</v>
      </c>
      <c r="F11688" s="4" t="s">
        <v>59148</v>
      </c>
      <c r="G11688" s="4" t="s">
        <v>59149</v>
      </c>
      <c r="H11688" s="3" t="s">
        <v>57649</v>
      </c>
      <c r="I11688" s="3" t="s">
        <v>1500</v>
      </c>
      <c r="J11688" s="3" t="s">
        <v>59150</v>
      </c>
      <c r="K11688" s="3" t="s">
        <v>59151</v>
      </c>
      <c r="L11688" s="3"/>
      <c r="M11688" s="4"/>
      <c r="N11688" s="3" t="s">
        <v>37</v>
      </c>
      <c r="O11688" s="3" t="s">
        <v>38</v>
      </c>
      <c r="P11688" s="5">
        <v>8</v>
      </c>
      <c r="Q11688" s="5">
        <v>67</v>
      </c>
      <c r="R11688" s="5">
        <v>7</v>
      </c>
      <c r="S11688" s="5">
        <v>70</v>
      </c>
    </row>
    <row r="11689" spans="1:19" ht="56" x14ac:dyDescent="0.15">
      <c r="A11689" s="2">
        <f>HYPERLINK("https://open-school.uspishnemisto.com.ua/school/590320/", 590320)</f>
        <v>590320</v>
      </c>
      <c r="B11689" s="3" t="s">
        <v>59152</v>
      </c>
      <c r="C11689" s="3" t="s">
        <v>54</v>
      </c>
      <c r="D11689" s="3" t="s">
        <v>175</v>
      </c>
      <c r="E11689" s="4" t="s">
        <v>22</v>
      </c>
      <c r="F11689" s="4" t="s">
        <v>59153</v>
      </c>
      <c r="G11689" s="4" t="s">
        <v>59154</v>
      </c>
      <c r="H11689" s="3" t="s">
        <v>57649</v>
      </c>
      <c r="I11689" s="3" t="s">
        <v>59155</v>
      </c>
      <c r="J11689" s="3" t="s">
        <v>43803</v>
      </c>
      <c r="K11689" s="3" t="s">
        <v>59156</v>
      </c>
      <c r="L11689" s="3"/>
      <c r="M11689" s="4"/>
      <c r="N11689" s="3" t="s">
        <v>37</v>
      </c>
      <c r="O11689" s="3" t="s">
        <v>38</v>
      </c>
      <c r="P11689" s="5">
        <v>7</v>
      </c>
      <c r="Q11689" s="5">
        <v>58</v>
      </c>
      <c r="R11689" s="5">
        <v>8</v>
      </c>
      <c r="S11689" s="5">
        <v>57</v>
      </c>
    </row>
    <row r="11690" spans="1:19" ht="56" x14ac:dyDescent="0.15">
      <c r="A11690" s="2">
        <f>HYPERLINK("https://open-school.uspishnemisto.com.ua/school/590321/", 590321)</f>
        <v>590321</v>
      </c>
      <c r="B11690" s="3" t="s">
        <v>59157</v>
      </c>
      <c r="C11690" s="3" t="s">
        <v>54</v>
      </c>
      <c r="D11690" s="3" t="s">
        <v>32</v>
      </c>
      <c r="E11690" s="4" t="s">
        <v>22</v>
      </c>
      <c r="F11690" s="4" t="s">
        <v>59158</v>
      </c>
      <c r="G11690" s="4" t="s">
        <v>59159</v>
      </c>
      <c r="H11690" s="3" t="s">
        <v>57649</v>
      </c>
      <c r="I11690" s="3" t="s">
        <v>58257</v>
      </c>
      <c r="J11690" s="3" t="s">
        <v>58909</v>
      </c>
      <c r="K11690" s="3" t="s">
        <v>59160</v>
      </c>
      <c r="L11690" s="3"/>
      <c r="M11690" s="4"/>
      <c r="N11690" s="3" t="s">
        <v>37</v>
      </c>
      <c r="O11690" s="3" t="s">
        <v>38</v>
      </c>
      <c r="P11690" s="5">
        <v>11</v>
      </c>
      <c r="Q11690" s="5">
        <v>148</v>
      </c>
      <c r="R11690" s="5">
        <v>11</v>
      </c>
      <c r="S11690" s="5">
        <v>123</v>
      </c>
    </row>
    <row r="11691" spans="1:19" ht="28" x14ac:dyDescent="0.15">
      <c r="A11691" s="2">
        <f>HYPERLINK("https://open-school.uspishnemisto.com.ua/school/590322/", 590322)</f>
        <v>590322</v>
      </c>
      <c r="B11691" s="3" t="s">
        <v>59161</v>
      </c>
      <c r="C11691" s="3" t="s">
        <v>31</v>
      </c>
      <c r="D11691" s="3" t="s">
        <v>32</v>
      </c>
      <c r="E11691" s="4" t="s">
        <v>22</v>
      </c>
      <c r="F11691" s="4" t="s">
        <v>59162</v>
      </c>
      <c r="G11691" s="4" t="s">
        <v>59163</v>
      </c>
      <c r="H11691" s="3" t="s">
        <v>57649</v>
      </c>
      <c r="I11691" s="3" t="s">
        <v>12141</v>
      </c>
      <c r="J11691" s="3" t="s">
        <v>634</v>
      </c>
      <c r="K11691" s="3" t="s">
        <v>59164</v>
      </c>
      <c r="L11691" s="3"/>
      <c r="M11691" s="4"/>
      <c r="N11691" s="3" t="s">
        <v>37</v>
      </c>
      <c r="O11691" s="3" t="s">
        <v>70</v>
      </c>
      <c r="P11691" s="5">
        <v>11</v>
      </c>
      <c r="Q11691" s="5">
        <v>111</v>
      </c>
      <c r="R11691" s="5">
        <v>11</v>
      </c>
      <c r="S11691" s="5">
        <v>115</v>
      </c>
    </row>
    <row r="11692" spans="1:19" ht="56" x14ac:dyDescent="0.15">
      <c r="A11692" s="2">
        <f>HYPERLINK("https://open-school.uspishnemisto.com.ua/school/590323/", 590323)</f>
        <v>590323</v>
      </c>
      <c r="B11692" s="3" t="s">
        <v>59165</v>
      </c>
      <c r="C11692" s="3" t="s">
        <v>54</v>
      </c>
      <c r="D11692" s="3" t="s">
        <v>32</v>
      </c>
      <c r="E11692" s="4" t="s">
        <v>22</v>
      </c>
      <c r="F11692" s="4" t="s">
        <v>59166</v>
      </c>
      <c r="G11692" s="4" t="s">
        <v>59167</v>
      </c>
      <c r="H11692" s="3" t="s">
        <v>57649</v>
      </c>
      <c r="I11692" s="3" t="s">
        <v>59168</v>
      </c>
      <c r="J11692" s="3" t="s">
        <v>59169</v>
      </c>
      <c r="K11692" s="3" t="s">
        <v>59170</v>
      </c>
      <c r="L11692" s="3" t="s">
        <v>59171</v>
      </c>
      <c r="M11692" s="4"/>
      <c r="N11692" s="3" t="s">
        <v>37</v>
      </c>
      <c r="O11692" s="3" t="s">
        <v>70</v>
      </c>
      <c r="P11692" s="5">
        <v>8</v>
      </c>
      <c r="Q11692" s="5">
        <v>61</v>
      </c>
      <c r="R11692" s="5">
        <v>5</v>
      </c>
      <c r="S11692" s="5">
        <v>49</v>
      </c>
    </row>
    <row r="11693" spans="1:19" ht="56" x14ac:dyDescent="0.15">
      <c r="A11693" s="2">
        <f>HYPERLINK("https://open-school.uspishnemisto.com.ua/school/590324/", 590324)</f>
        <v>590324</v>
      </c>
      <c r="B11693" s="3" t="s">
        <v>59172</v>
      </c>
      <c r="C11693" s="3" t="s">
        <v>54</v>
      </c>
      <c r="D11693" s="3" t="s">
        <v>32</v>
      </c>
      <c r="E11693" s="4" t="s">
        <v>22</v>
      </c>
      <c r="F11693" s="4" t="s">
        <v>59173</v>
      </c>
      <c r="G11693" s="4" t="s">
        <v>59174</v>
      </c>
      <c r="H11693" s="3" t="s">
        <v>57649</v>
      </c>
      <c r="I11693" s="3" t="s">
        <v>59175</v>
      </c>
      <c r="J11693" s="3" t="s">
        <v>59176</v>
      </c>
      <c r="K11693" s="3" t="s">
        <v>59177</v>
      </c>
      <c r="L11693" s="3"/>
      <c r="M11693" s="4"/>
      <c r="N11693" s="3" t="s">
        <v>37</v>
      </c>
      <c r="O11693" s="3" t="s">
        <v>52</v>
      </c>
      <c r="P11693" s="5">
        <v>1</v>
      </c>
      <c r="Q11693" s="5">
        <v>32</v>
      </c>
      <c r="R11693" s="5">
        <v>1</v>
      </c>
      <c r="S11693" s="5">
        <v>31</v>
      </c>
    </row>
    <row r="11694" spans="1:19" ht="42" x14ac:dyDescent="0.15">
      <c r="A11694" s="2">
        <f>HYPERLINK("https://open-school.uspishnemisto.com.ua/school/590325/", 590325)</f>
        <v>590325</v>
      </c>
      <c r="B11694" s="3" t="s">
        <v>59178</v>
      </c>
      <c r="C11694" s="3" t="s">
        <v>54</v>
      </c>
      <c r="D11694" s="3" t="s">
        <v>60</v>
      </c>
      <c r="E11694" s="4" t="s">
        <v>22</v>
      </c>
      <c r="F11694" s="4" t="s">
        <v>59179</v>
      </c>
      <c r="G11694" s="4" t="s">
        <v>59180</v>
      </c>
      <c r="H11694" s="3" t="s">
        <v>57649</v>
      </c>
      <c r="I11694" s="3" t="s">
        <v>12592</v>
      </c>
      <c r="J11694" s="3" t="s">
        <v>59181</v>
      </c>
      <c r="K11694" s="3"/>
      <c r="L11694" s="3" t="s">
        <v>59182</v>
      </c>
      <c r="M11694" s="4"/>
      <c r="N11694" s="3" t="s">
        <v>37</v>
      </c>
      <c r="O11694" s="3" t="s">
        <v>52</v>
      </c>
      <c r="P11694" s="5">
        <v>0</v>
      </c>
      <c r="Q11694" s="5">
        <v>5</v>
      </c>
      <c r="R11694" s="5">
        <v>2</v>
      </c>
      <c r="S11694" s="5">
        <v>26</v>
      </c>
    </row>
    <row r="11695" spans="1:19" ht="56" x14ac:dyDescent="0.15">
      <c r="A11695" s="2">
        <f>HYPERLINK("https://open-school.uspishnemisto.com.ua/school/590326/", 590326)</f>
        <v>590326</v>
      </c>
      <c r="B11695" s="3" t="s">
        <v>59183</v>
      </c>
      <c r="C11695" s="3" t="s">
        <v>54</v>
      </c>
      <c r="D11695" s="3" t="s">
        <v>60</v>
      </c>
      <c r="E11695" s="4" t="s">
        <v>22</v>
      </c>
      <c r="F11695" s="4" t="s">
        <v>59184</v>
      </c>
      <c r="G11695" s="4" t="s">
        <v>59185</v>
      </c>
      <c r="H11695" s="3" t="s">
        <v>57649</v>
      </c>
      <c r="I11695" s="3" t="s">
        <v>59186</v>
      </c>
      <c r="J11695" s="3" t="s">
        <v>59187</v>
      </c>
      <c r="K11695" s="3" t="s">
        <v>59188</v>
      </c>
      <c r="L11695" s="3"/>
      <c r="M11695" s="4"/>
      <c r="N11695" s="3" t="s">
        <v>37</v>
      </c>
      <c r="O11695" s="3" t="s">
        <v>52</v>
      </c>
      <c r="P11695" s="5">
        <v>0</v>
      </c>
      <c r="Q11695" s="5">
        <v>9</v>
      </c>
      <c r="R11695" s="5">
        <v>0</v>
      </c>
      <c r="S11695" s="5">
        <v>8</v>
      </c>
    </row>
    <row r="11696" spans="1:19" ht="56" x14ac:dyDescent="0.15">
      <c r="A11696" s="2">
        <f>HYPERLINK("https://open-school.uspishnemisto.com.ua/school/590327/", 590327)</f>
        <v>590327</v>
      </c>
      <c r="B11696" s="3" t="s">
        <v>59189</v>
      </c>
      <c r="C11696" s="3" t="s">
        <v>54</v>
      </c>
      <c r="D11696" s="3" t="s">
        <v>32</v>
      </c>
      <c r="E11696" s="4" t="s">
        <v>22</v>
      </c>
      <c r="F11696" s="4" t="s">
        <v>59190</v>
      </c>
      <c r="G11696" s="4" t="s">
        <v>59191</v>
      </c>
      <c r="H11696" s="3" t="s">
        <v>57649</v>
      </c>
      <c r="I11696" s="3" t="s">
        <v>59192</v>
      </c>
      <c r="J11696" s="3" t="s">
        <v>25465</v>
      </c>
      <c r="K11696" s="3" t="s">
        <v>59193</v>
      </c>
      <c r="L11696" s="3"/>
      <c r="M11696" s="4"/>
      <c r="N11696" s="3" t="s">
        <v>37</v>
      </c>
      <c r="O11696" s="3" t="s">
        <v>38</v>
      </c>
      <c r="P11696" s="5">
        <v>9</v>
      </c>
      <c r="Q11696" s="5">
        <v>82</v>
      </c>
      <c r="R11696" s="5">
        <v>8</v>
      </c>
      <c r="S11696" s="5">
        <v>76</v>
      </c>
    </row>
    <row r="11697" spans="1:19" ht="28" x14ac:dyDescent="0.15">
      <c r="A11697" s="2">
        <f>HYPERLINK("https://open-school.uspishnemisto.com.ua/school/590328/", 590328)</f>
        <v>590328</v>
      </c>
      <c r="B11697" s="3" t="s">
        <v>59194</v>
      </c>
      <c r="C11697" s="3" t="s">
        <v>31</v>
      </c>
      <c r="D11697" s="3" t="s">
        <v>32</v>
      </c>
      <c r="E11697" s="4" t="s">
        <v>22</v>
      </c>
      <c r="F11697" s="4" t="s">
        <v>59195</v>
      </c>
      <c r="G11697" s="4" t="s">
        <v>59196</v>
      </c>
      <c r="H11697" s="3" t="s">
        <v>57649</v>
      </c>
      <c r="I11697" s="3" t="s">
        <v>12323</v>
      </c>
      <c r="J11697" s="3" t="s">
        <v>2372</v>
      </c>
      <c r="K11697" s="3" t="s">
        <v>59197</v>
      </c>
      <c r="L11697" s="3" t="s">
        <v>59198</v>
      </c>
      <c r="M11697" s="4"/>
      <c r="N11697" s="3" t="s">
        <v>37</v>
      </c>
      <c r="O11697" s="3" t="s">
        <v>38</v>
      </c>
      <c r="P11697" s="5">
        <v>10</v>
      </c>
      <c r="Q11697" s="5">
        <v>90</v>
      </c>
      <c r="R11697" s="5">
        <v>10</v>
      </c>
      <c r="S11697" s="5">
        <v>89</v>
      </c>
    </row>
    <row r="11698" spans="1:19" ht="28" x14ac:dyDescent="0.15">
      <c r="A11698" s="2">
        <f>HYPERLINK("https://open-school.uspishnemisto.com.ua/school/590329/", 590329)</f>
        <v>590329</v>
      </c>
      <c r="B11698" s="3" t="s">
        <v>59199</v>
      </c>
      <c r="C11698" s="3" t="s">
        <v>31</v>
      </c>
      <c r="D11698" s="3" t="s">
        <v>32</v>
      </c>
      <c r="E11698" s="4" t="s">
        <v>22</v>
      </c>
      <c r="F11698" s="4" t="s">
        <v>59200</v>
      </c>
      <c r="G11698" s="4" t="s">
        <v>59201</v>
      </c>
      <c r="H11698" s="3" t="s">
        <v>57649</v>
      </c>
      <c r="I11698" s="3" t="s">
        <v>688</v>
      </c>
      <c r="J11698" s="3" t="s">
        <v>59202</v>
      </c>
      <c r="K11698" s="3" t="s">
        <v>59203</v>
      </c>
      <c r="L11698" s="3" t="s">
        <v>59204</v>
      </c>
      <c r="M11698" s="4"/>
      <c r="N11698" s="3" t="s">
        <v>37</v>
      </c>
      <c r="O11698" s="3" t="s">
        <v>38</v>
      </c>
      <c r="P11698" s="5">
        <v>11</v>
      </c>
      <c r="Q11698" s="5">
        <v>89</v>
      </c>
      <c r="R11698" s="5">
        <v>11</v>
      </c>
      <c r="S11698" s="5">
        <v>96</v>
      </c>
    </row>
    <row r="11699" spans="1:19" ht="56" x14ac:dyDescent="0.15">
      <c r="A11699" s="2">
        <f>HYPERLINK("https://open-school.uspishnemisto.com.ua/school/590330/", 590330)</f>
        <v>590330</v>
      </c>
      <c r="B11699" s="3" t="s">
        <v>59205</v>
      </c>
      <c r="C11699" s="3" t="s">
        <v>54</v>
      </c>
      <c r="D11699" s="3" t="s">
        <v>32</v>
      </c>
      <c r="E11699" s="4" t="s">
        <v>22</v>
      </c>
      <c r="F11699" s="4" t="s">
        <v>59206</v>
      </c>
      <c r="G11699" s="4" t="s">
        <v>59207</v>
      </c>
      <c r="H11699" s="3" t="s">
        <v>57649</v>
      </c>
      <c r="I11699" s="3" t="s">
        <v>59208</v>
      </c>
      <c r="J11699" s="3" t="s">
        <v>7304</v>
      </c>
      <c r="K11699" s="3" t="s">
        <v>59209</v>
      </c>
      <c r="L11699" s="3"/>
      <c r="M11699" s="4"/>
      <c r="N11699" s="3" t="s">
        <v>37</v>
      </c>
      <c r="O11699" s="3" t="s">
        <v>112</v>
      </c>
      <c r="P11699" s="5">
        <v>9</v>
      </c>
      <c r="Q11699" s="5">
        <v>59</v>
      </c>
      <c r="R11699" s="5">
        <v>8</v>
      </c>
      <c r="S11699" s="5">
        <v>58</v>
      </c>
    </row>
    <row r="11700" spans="1:19" ht="56" x14ac:dyDescent="0.15">
      <c r="A11700" s="2">
        <f>HYPERLINK("https://open-school.uspishnemisto.com.ua/school/590331/", 590331)</f>
        <v>590331</v>
      </c>
      <c r="B11700" s="3" t="s">
        <v>59210</v>
      </c>
      <c r="C11700" s="3" t="s">
        <v>54</v>
      </c>
      <c r="D11700" s="3" t="s">
        <v>32</v>
      </c>
      <c r="E11700" s="4" t="s">
        <v>22</v>
      </c>
      <c r="F11700" s="4" t="s">
        <v>59211</v>
      </c>
      <c r="G11700" s="4" t="s">
        <v>59212</v>
      </c>
      <c r="H11700" s="3" t="s">
        <v>57649</v>
      </c>
      <c r="I11700" s="3" t="s">
        <v>37514</v>
      </c>
      <c r="J11700" s="3" t="s">
        <v>7495</v>
      </c>
      <c r="K11700" s="3" t="s">
        <v>59213</v>
      </c>
      <c r="L11700" s="3" t="s">
        <v>59214</v>
      </c>
      <c r="M11700" s="4"/>
      <c r="N11700" s="3" t="s">
        <v>37</v>
      </c>
      <c r="O11700" s="3" t="s">
        <v>112</v>
      </c>
      <c r="P11700" s="5">
        <v>9</v>
      </c>
      <c r="Q11700" s="5">
        <v>76</v>
      </c>
      <c r="R11700" s="5">
        <v>7</v>
      </c>
      <c r="S11700" s="5">
        <v>72</v>
      </c>
    </row>
    <row r="11701" spans="1:19" ht="56" x14ac:dyDescent="0.15">
      <c r="A11701" s="2">
        <f>HYPERLINK("https://open-school.uspishnemisto.com.ua/school/590333/", 590333)</f>
        <v>590333</v>
      </c>
      <c r="B11701" s="3" t="s">
        <v>59215</v>
      </c>
      <c r="C11701" s="3" t="s">
        <v>54</v>
      </c>
      <c r="D11701" s="3" t="s">
        <v>32</v>
      </c>
      <c r="E11701" s="4" t="s">
        <v>22</v>
      </c>
      <c r="F11701" s="4" t="s">
        <v>59216</v>
      </c>
      <c r="G11701" s="4" t="s">
        <v>59217</v>
      </c>
      <c r="H11701" s="3" t="s">
        <v>57649</v>
      </c>
      <c r="I11701" s="3" t="s">
        <v>59218</v>
      </c>
      <c r="J11701" s="3" t="s">
        <v>466</v>
      </c>
      <c r="K11701" s="3" t="s">
        <v>59219</v>
      </c>
      <c r="L11701" s="3"/>
      <c r="M11701" s="4"/>
      <c r="N11701" s="3" t="s">
        <v>37</v>
      </c>
      <c r="O11701" s="3" t="s">
        <v>38</v>
      </c>
      <c r="P11701" s="5">
        <v>7</v>
      </c>
      <c r="Q11701" s="5">
        <v>50</v>
      </c>
      <c r="R11701" s="5">
        <v>7</v>
      </c>
      <c r="S11701" s="5">
        <v>52</v>
      </c>
    </row>
    <row r="11702" spans="1:19" ht="56" x14ac:dyDescent="0.15">
      <c r="A11702" s="2">
        <f>HYPERLINK("https://open-school.uspishnemisto.com.ua/school/590334/", 590334)</f>
        <v>590334</v>
      </c>
      <c r="B11702" s="3" t="s">
        <v>59220</v>
      </c>
      <c r="C11702" s="3" t="s">
        <v>54</v>
      </c>
      <c r="D11702" s="3" t="s">
        <v>32</v>
      </c>
      <c r="E11702" s="4" t="s">
        <v>22</v>
      </c>
      <c r="F11702" s="4" t="s">
        <v>59221</v>
      </c>
      <c r="G11702" s="4" t="s">
        <v>59222</v>
      </c>
      <c r="H11702" s="3" t="s">
        <v>57649</v>
      </c>
      <c r="I11702" s="3" t="s">
        <v>59223</v>
      </c>
      <c r="J11702" s="3" t="s">
        <v>59224</v>
      </c>
      <c r="K11702" s="3" t="s">
        <v>59225</v>
      </c>
      <c r="L11702" s="3" t="s">
        <v>59226</v>
      </c>
      <c r="M11702" s="4"/>
      <c r="N11702" s="3" t="s">
        <v>37</v>
      </c>
      <c r="O11702" s="3" t="s">
        <v>38</v>
      </c>
      <c r="P11702" s="5">
        <v>9</v>
      </c>
      <c r="Q11702" s="5">
        <v>70</v>
      </c>
      <c r="R11702" s="5">
        <v>10</v>
      </c>
      <c r="S11702" s="5">
        <v>81</v>
      </c>
    </row>
    <row r="11703" spans="1:19" ht="42" x14ac:dyDescent="0.15">
      <c r="A11703" s="2">
        <f>HYPERLINK("https://open-school.uspishnemisto.com.ua/school/590335/", 590335)</f>
        <v>590335</v>
      </c>
      <c r="B11703" s="3" t="s">
        <v>59227</v>
      </c>
      <c r="C11703" s="3" t="s">
        <v>54</v>
      </c>
      <c r="D11703" s="3" t="s">
        <v>60</v>
      </c>
      <c r="E11703" s="4" t="s">
        <v>22</v>
      </c>
      <c r="F11703" s="4" t="s">
        <v>59228</v>
      </c>
      <c r="G11703" s="4" t="s">
        <v>59229</v>
      </c>
      <c r="H11703" s="3" t="s">
        <v>57649</v>
      </c>
      <c r="I11703" s="3" t="s">
        <v>59230</v>
      </c>
      <c r="J11703" s="3" t="s">
        <v>59231</v>
      </c>
      <c r="K11703" s="3" t="s">
        <v>59232</v>
      </c>
      <c r="L11703" s="3"/>
      <c r="M11703" s="4"/>
      <c r="N11703" s="3" t="s">
        <v>37</v>
      </c>
      <c r="O11703" s="3" t="s">
        <v>52</v>
      </c>
      <c r="P11703" s="5">
        <v>1</v>
      </c>
      <c r="Q11703" s="5">
        <v>14</v>
      </c>
      <c r="R11703" s="5">
        <v>2</v>
      </c>
      <c r="S11703" s="5">
        <v>30</v>
      </c>
    </row>
    <row r="11704" spans="1:19" ht="42" x14ac:dyDescent="0.15">
      <c r="A11704" s="2">
        <f>HYPERLINK("https://open-school.uspishnemisto.com.ua/school/590336/", 590336)</f>
        <v>590336</v>
      </c>
      <c r="B11704" s="3" t="s">
        <v>59233</v>
      </c>
      <c r="C11704" s="3" t="s">
        <v>181</v>
      </c>
      <c r="D11704" s="3" t="s">
        <v>175</v>
      </c>
      <c r="E11704" s="4" t="s">
        <v>22</v>
      </c>
      <c r="F11704" s="4" t="s">
        <v>59234</v>
      </c>
      <c r="G11704" s="4" t="s">
        <v>59235</v>
      </c>
      <c r="H11704" s="3" t="s">
        <v>57649</v>
      </c>
      <c r="I11704" s="3" t="s">
        <v>59236</v>
      </c>
      <c r="J11704" s="3" t="s">
        <v>2434</v>
      </c>
      <c r="K11704" s="3" t="s">
        <v>59237</v>
      </c>
      <c r="L11704" s="3" t="s">
        <v>59238</v>
      </c>
      <c r="M11704" s="4" t="s">
        <v>59239</v>
      </c>
      <c r="N11704" s="3" t="s">
        <v>37</v>
      </c>
      <c r="O11704" s="3" t="s">
        <v>52</v>
      </c>
      <c r="P11704" s="5">
        <v>12</v>
      </c>
      <c r="Q11704" s="5">
        <v>93</v>
      </c>
      <c r="R11704" s="5">
        <v>10</v>
      </c>
      <c r="S11704" s="5">
        <v>90</v>
      </c>
    </row>
    <row r="11705" spans="1:19" ht="42" x14ac:dyDescent="0.15">
      <c r="A11705" s="2">
        <f>HYPERLINK("https://open-school.uspishnemisto.com.ua/school/590337/", 590337)</f>
        <v>590337</v>
      </c>
      <c r="B11705" s="3" t="s">
        <v>59240</v>
      </c>
      <c r="C11705" s="3" t="s">
        <v>54</v>
      </c>
      <c r="D11705" s="3" t="s">
        <v>175</v>
      </c>
      <c r="E11705" s="4" t="s">
        <v>22</v>
      </c>
      <c r="F11705" s="4" t="s">
        <v>59234</v>
      </c>
      <c r="G11705" s="4" t="s">
        <v>59235</v>
      </c>
      <c r="H11705" s="3" t="s">
        <v>57649</v>
      </c>
      <c r="I11705" s="3" t="s">
        <v>59236</v>
      </c>
      <c r="J11705" s="3" t="s">
        <v>2191</v>
      </c>
      <c r="K11705" s="3" t="s">
        <v>59241</v>
      </c>
      <c r="L11705" s="3"/>
      <c r="M11705" s="4"/>
      <c r="N11705" s="3" t="s">
        <v>37</v>
      </c>
      <c r="O11705" s="3" t="s">
        <v>38</v>
      </c>
      <c r="P11705" s="5">
        <v>7</v>
      </c>
      <c r="Q11705" s="5">
        <v>56</v>
      </c>
      <c r="R11705" s="5">
        <v>8</v>
      </c>
      <c r="S11705" s="5">
        <v>59</v>
      </c>
    </row>
    <row r="11706" spans="1:19" ht="42" x14ac:dyDescent="0.15">
      <c r="A11706" s="2">
        <f>HYPERLINK("https://open-school.uspishnemisto.com.ua/school/590338/", 590338)</f>
        <v>590338</v>
      </c>
      <c r="B11706" s="3" t="s">
        <v>59242</v>
      </c>
      <c r="C11706" s="3" t="s">
        <v>244</v>
      </c>
      <c r="D11706" s="3" t="s">
        <v>32</v>
      </c>
      <c r="E11706" s="4" t="s">
        <v>22</v>
      </c>
      <c r="F11706" s="4" t="s">
        <v>59243</v>
      </c>
      <c r="G11706" s="4" t="s">
        <v>59244</v>
      </c>
      <c r="H11706" s="3" t="s">
        <v>57649</v>
      </c>
      <c r="I11706" s="3" t="s">
        <v>59245</v>
      </c>
      <c r="J11706" s="3" t="s">
        <v>38660</v>
      </c>
      <c r="K11706" s="3" t="s">
        <v>59246</v>
      </c>
      <c r="L11706" s="3" t="s">
        <v>59247</v>
      </c>
      <c r="M11706" s="4"/>
      <c r="N11706" s="3" t="s">
        <v>37</v>
      </c>
      <c r="O11706" s="3" t="s">
        <v>46</v>
      </c>
      <c r="P11706" s="5">
        <v>27</v>
      </c>
      <c r="Q11706" s="5">
        <v>497</v>
      </c>
      <c r="R11706" s="5">
        <v>24</v>
      </c>
      <c r="S11706" s="5">
        <v>465</v>
      </c>
    </row>
    <row r="11707" spans="1:19" ht="56" x14ac:dyDescent="0.15">
      <c r="A11707" s="2">
        <f>HYPERLINK("https://open-school.uspishnemisto.com.ua/school/590339/", 590339)</f>
        <v>590339</v>
      </c>
      <c r="B11707" s="3" t="s">
        <v>59248</v>
      </c>
      <c r="C11707" s="3" t="s">
        <v>54</v>
      </c>
      <c r="D11707" s="3" t="s">
        <v>32</v>
      </c>
      <c r="E11707" s="4" t="s">
        <v>22</v>
      </c>
      <c r="F11707" s="4" t="s">
        <v>59249</v>
      </c>
      <c r="G11707" s="4" t="s">
        <v>59250</v>
      </c>
      <c r="H11707" s="3" t="s">
        <v>57649</v>
      </c>
      <c r="I11707" s="3" t="s">
        <v>51467</v>
      </c>
      <c r="J11707" s="3" t="s">
        <v>1612</v>
      </c>
      <c r="K11707" s="3"/>
      <c r="L11707" s="3" t="s">
        <v>59251</v>
      </c>
      <c r="M11707" s="4"/>
      <c r="N11707" s="3" t="s">
        <v>37</v>
      </c>
      <c r="O11707" s="3" t="s">
        <v>52</v>
      </c>
      <c r="P11707" s="5">
        <v>5</v>
      </c>
      <c r="Q11707" s="5">
        <v>36</v>
      </c>
      <c r="R11707" s="5">
        <v>7</v>
      </c>
      <c r="S11707" s="5">
        <v>47</v>
      </c>
    </row>
    <row r="11708" spans="1:19" ht="56" x14ac:dyDescent="0.15">
      <c r="A11708" s="2">
        <f>HYPERLINK("https://open-school.uspishnemisto.com.ua/school/590340/", 590340)</f>
        <v>590340</v>
      </c>
      <c r="B11708" s="3" t="s">
        <v>59252</v>
      </c>
      <c r="C11708" s="3" t="s">
        <v>54</v>
      </c>
      <c r="D11708" s="3" t="s">
        <v>32</v>
      </c>
      <c r="E11708" s="4" t="s">
        <v>22</v>
      </c>
      <c r="F11708" s="4" t="s">
        <v>59253</v>
      </c>
      <c r="G11708" s="4" t="s">
        <v>59254</v>
      </c>
      <c r="H11708" s="3" t="s">
        <v>57649</v>
      </c>
      <c r="I11708" s="3" t="s">
        <v>59255</v>
      </c>
      <c r="J11708" s="3" t="s">
        <v>1360</v>
      </c>
      <c r="K11708" s="3" t="s">
        <v>59256</v>
      </c>
      <c r="L11708" s="3" t="s">
        <v>59257</v>
      </c>
      <c r="M11708" s="4"/>
      <c r="N11708" s="3" t="s">
        <v>37</v>
      </c>
      <c r="O11708" s="3" t="s">
        <v>52</v>
      </c>
      <c r="P11708" s="5">
        <v>9</v>
      </c>
      <c r="Q11708" s="5">
        <v>79</v>
      </c>
      <c r="R11708" s="5">
        <v>9</v>
      </c>
      <c r="S11708" s="5">
        <v>80</v>
      </c>
    </row>
    <row r="11709" spans="1:19" ht="28" x14ac:dyDescent="0.15">
      <c r="A11709" s="2">
        <f>HYPERLINK("https://open-school.uspishnemisto.com.ua/school/590341/", 590341)</f>
        <v>590341</v>
      </c>
      <c r="B11709" s="3" t="s">
        <v>59258</v>
      </c>
      <c r="C11709" s="3" t="s">
        <v>31</v>
      </c>
      <c r="D11709" s="3" t="s">
        <v>32</v>
      </c>
      <c r="E11709" s="4" t="s">
        <v>22</v>
      </c>
      <c r="F11709" s="4" t="s">
        <v>59259</v>
      </c>
      <c r="G11709" s="4" t="s">
        <v>59260</v>
      </c>
      <c r="H11709" s="3" t="s">
        <v>57649</v>
      </c>
      <c r="I11709" s="3" t="s">
        <v>16845</v>
      </c>
      <c r="J11709" s="3" t="s">
        <v>58909</v>
      </c>
      <c r="K11709" s="3" t="s">
        <v>59261</v>
      </c>
      <c r="L11709" s="3" t="s">
        <v>59262</v>
      </c>
      <c r="M11709" s="4"/>
      <c r="N11709" s="3" t="s">
        <v>37</v>
      </c>
      <c r="O11709" s="3" t="s">
        <v>52</v>
      </c>
      <c r="P11709" s="5">
        <v>11</v>
      </c>
      <c r="Q11709" s="5">
        <v>110</v>
      </c>
      <c r="R11709" s="5">
        <v>11</v>
      </c>
      <c r="S11709" s="5">
        <v>106</v>
      </c>
    </row>
    <row r="11710" spans="1:19" ht="28" x14ac:dyDescent="0.15">
      <c r="A11710" s="2">
        <f>HYPERLINK("https://open-school.uspishnemisto.com.ua/school/590342/", 590342)</f>
        <v>590342</v>
      </c>
      <c r="B11710" s="3" t="s">
        <v>59263</v>
      </c>
      <c r="C11710" s="3" t="s">
        <v>31</v>
      </c>
      <c r="D11710" s="3" t="s">
        <v>175</v>
      </c>
      <c r="E11710" s="4" t="s">
        <v>22</v>
      </c>
      <c r="F11710" s="4" t="s">
        <v>59264</v>
      </c>
      <c r="G11710" s="4" t="s">
        <v>59265</v>
      </c>
      <c r="H11710" s="3" t="s">
        <v>57649</v>
      </c>
      <c r="I11710" s="3" t="s">
        <v>59266</v>
      </c>
      <c r="J11710" s="3" t="s">
        <v>59267</v>
      </c>
      <c r="K11710" s="3" t="s">
        <v>59268</v>
      </c>
      <c r="L11710" s="3" t="s">
        <v>59269</v>
      </c>
      <c r="M11710" s="4"/>
      <c r="N11710" s="3" t="s">
        <v>37</v>
      </c>
      <c r="O11710" s="3" t="s">
        <v>52</v>
      </c>
      <c r="P11710" s="5">
        <v>6</v>
      </c>
      <c r="Q11710" s="5">
        <v>38</v>
      </c>
      <c r="R11710" s="5">
        <v>3</v>
      </c>
      <c r="S11710" s="5">
        <v>39</v>
      </c>
    </row>
    <row r="11711" spans="1:19" ht="28" x14ac:dyDescent="0.15">
      <c r="A11711" s="2">
        <f>HYPERLINK("https://open-school.uspishnemisto.com.ua/school/590343/", 590343)</f>
        <v>590343</v>
      </c>
      <c r="B11711" s="3" t="s">
        <v>59270</v>
      </c>
      <c r="C11711" s="3" t="s">
        <v>31</v>
      </c>
      <c r="D11711" s="3" t="s">
        <v>32</v>
      </c>
      <c r="E11711" s="4" t="s">
        <v>22</v>
      </c>
      <c r="F11711" s="4" t="s">
        <v>59271</v>
      </c>
      <c r="G11711" s="4" t="s">
        <v>59272</v>
      </c>
      <c r="H11711" s="3" t="s">
        <v>57649</v>
      </c>
      <c r="I11711" s="3" t="s">
        <v>34308</v>
      </c>
      <c r="J11711" s="3" t="s">
        <v>59273</v>
      </c>
      <c r="K11711" s="3" t="s">
        <v>59274</v>
      </c>
      <c r="L11711" s="3" t="s">
        <v>59275</v>
      </c>
      <c r="M11711" s="4"/>
      <c r="N11711" s="3" t="s">
        <v>37</v>
      </c>
      <c r="O11711" s="3" t="s">
        <v>52</v>
      </c>
      <c r="P11711" s="5">
        <v>3</v>
      </c>
      <c r="Q11711" s="5">
        <v>33</v>
      </c>
      <c r="R11711" s="5">
        <v>4</v>
      </c>
      <c r="S11711" s="5">
        <v>40</v>
      </c>
    </row>
    <row r="11712" spans="1:19" ht="28" x14ac:dyDescent="0.15">
      <c r="A11712" s="2">
        <f>HYPERLINK("https://open-school.uspishnemisto.com.ua/school/590344/", 590344)</f>
        <v>590344</v>
      </c>
      <c r="B11712" s="3" t="s">
        <v>59276</v>
      </c>
      <c r="C11712" s="3" t="s">
        <v>54</v>
      </c>
      <c r="D11712" s="3" t="s">
        <v>32</v>
      </c>
      <c r="E11712" s="4" t="s">
        <v>22</v>
      </c>
      <c r="F11712" s="4" t="s">
        <v>59277</v>
      </c>
      <c r="G11712" s="4" t="s">
        <v>59278</v>
      </c>
      <c r="H11712" s="3" t="s">
        <v>57649</v>
      </c>
      <c r="I11712" s="3" t="s">
        <v>59279</v>
      </c>
      <c r="J11712" s="3" t="s">
        <v>59280</v>
      </c>
      <c r="K11712" s="3" t="s">
        <v>59281</v>
      </c>
      <c r="L11712" s="3" t="s">
        <v>59282</v>
      </c>
      <c r="M11712" s="4"/>
      <c r="N11712" s="3" t="s">
        <v>37</v>
      </c>
      <c r="O11712" s="3" t="s">
        <v>52</v>
      </c>
      <c r="P11712" s="5">
        <v>7</v>
      </c>
      <c r="Q11712" s="5">
        <v>64</v>
      </c>
      <c r="R11712" s="5">
        <v>8</v>
      </c>
      <c r="S11712" s="5">
        <v>73</v>
      </c>
    </row>
    <row r="11713" spans="1:19" ht="28" x14ac:dyDescent="0.15">
      <c r="A11713" s="2">
        <f>HYPERLINK("https://open-school.uspishnemisto.com.ua/school/590346/", 590346)</f>
        <v>590346</v>
      </c>
      <c r="B11713" s="3" t="s">
        <v>59283</v>
      </c>
      <c r="C11713" s="3" t="s">
        <v>54</v>
      </c>
      <c r="D11713" s="3" t="s">
        <v>32</v>
      </c>
      <c r="E11713" s="4" t="s">
        <v>22</v>
      </c>
      <c r="F11713" s="4" t="s">
        <v>59284</v>
      </c>
      <c r="G11713" s="4" t="s">
        <v>59285</v>
      </c>
      <c r="H11713" s="3" t="s">
        <v>57649</v>
      </c>
      <c r="I11713" s="3" t="s">
        <v>59286</v>
      </c>
      <c r="J11713" s="3" t="s">
        <v>59287</v>
      </c>
      <c r="K11713" s="3" t="s">
        <v>59288</v>
      </c>
      <c r="L11713" s="3" t="s">
        <v>59289</v>
      </c>
      <c r="M11713" s="4"/>
      <c r="N11713" s="3" t="s">
        <v>37</v>
      </c>
      <c r="O11713" s="3" t="s">
        <v>52</v>
      </c>
      <c r="P11713" s="5">
        <v>4</v>
      </c>
      <c r="Q11713" s="5">
        <v>43</v>
      </c>
      <c r="R11713" s="5">
        <v>4</v>
      </c>
      <c r="S11713" s="5">
        <v>42</v>
      </c>
    </row>
    <row r="11714" spans="1:19" ht="28" x14ac:dyDescent="0.15">
      <c r="A11714" s="2">
        <f>HYPERLINK("https://open-school.uspishnemisto.com.ua/school/590347/", 590347)</f>
        <v>590347</v>
      </c>
      <c r="B11714" s="3" t="s">
        <v>59290</v>
      </c>
      <c r="C11714" s="3" t="s">
        <v>31</v>
      </c>
      <c r="D11714" s="3" t="s">
        <v>175</v>
      </c>
      <c r="E11714" s="4" t="s">
        <v>22</v>
      </c>
      <c r="F11714" s="4" t="s">
        <v>59291</v>
      </c>
      <c r="G11714" s="4" t="s">
        <v>59292</v>
      </c>
      <c r="H11714" s="3" t="s">
        <v>57649</v>
      </c>
      <c r="I11714" s="3" t="s">
        <v>12106</v>
      </c>
      <c r="J11714" s="3" t="s">
        <v>3393</v>
      </c>
      <c r="K11714" s="3" t="s">
        <v>59293</v>
      </c>
      <c r="L11714" s="3" t="s">
        <v>59294</v>
      </c>
      <c r="M11714" s="4"/>
      <c r="N11714" s="3" t="s">
        <v>37</v>
      </c>
      <c r="O11714" s="3" t="s">
        <v>52</v>
      </c>
      <c r="P11714" s="5">
        <v>5</v>
      </c>
      <c r="Q11714" s="5">
        <v>43</v>
      </c>
      <c r="R11714" s="5">
        <v>4</v>
      </c>
      <c r="S11714" s="5">
        <v>38</v>
      </c>
    </row>
    <row r="11715" spans="1:19" ht="28" x14ac:dyDescent="0.15">
      <c r="A11715" s="2">
        <f>HYPERLINK("https://open-school.uspishnemisto.com.ua/school/590348/", 590348)</f>
        <v>590348</v>
      </c>
      <c r="B11715" s="3" t="s">
        <v>59295</v>
      </c>
      <c r="C11715" s="3" t="s">
        <v>31</v>
      </c>
      <c r="D11715" s="3" t="s">
        <v>32</v>
      </c>
      <c r="E11715" s="4" t="s">
        <v>22</v>
      </c>
      <c r="F11715" s="4" t="s">
        <v>59296</v>
      </c>
      <c r="G11715" s="4" t="s">
        <v>59297</v>
      </c>
      <c r="H11715" s="3" t="s">
        <v>57649</v>
      </c>
      <c r="I11715" s="3" t="s">
        <v>59298</v>
      </c>
      <c r="J11715" s="3" t="s">
        <v>566</v>
      </c>
      <c r="K11715" s="3" t="s">
        <v>59299</v>
      </c>
      <c r="L11715" s="3" t="s">
        <v>59300</v>
      </c>
      <c r="M11715" s="4"/>
      <c r="N11715" s="3" t="s">
        <v>37</v>
      </c>
      <c r="O11715" s="3" t="s">
        <v>52</v>
      </c>
      <c r="P11715" s="5">
        <v>4</v>
      </c>
      <c r="Q11715" s="5">
        <v>32</v>
      </c>
      <c r="R11715" s="5">
        <v>5</v>
      </c>
      <c r="S11715" s="5">
        <v>34</v>
      </c>
    </row>
    <row r="11716" spans="1:19" ht="28" x14ac:dyDescent="0.15">
      <c r="A11716" s="2">
        <f>HYPERLINK("https://open-school.uspishnemisto.com.ua/school/590349/", 590349)</f>
        <v>590349</v>
      </c>
      <c r="B11716" s="3" t="s">
        <v>59301</v>
      </c>
      <c r="C11716" s="3" t="s">
        <v>31</v>
      </c>
      <c r="D11716" s="3" t="s">
        <v>175</v>
      </c>
      <c r="E11716" s="4" t="s">
        <v>22</v>
      </c>
      <c r="F11716" s="4" t="s">
        <v>59302</v>
      </c>
      <c r="G11716" s="4" t="s">
        <v>59303</v>
      </c>
      <c r="H11716" s="3" t="s">
        <v>57649</v>
      </c>
      <c r="I11716" s="3" t="s">
        <v>59304</v>
      </c>
      <c r="J11716" s="3" t="s">
        <v>17051</v>
      </c>
      <c r="K11716" s="3" t="s">
        <v>59305</v>
      </c>
      <c r="L11716" s="3" t="s">
        <v>59306</v>
      </c>
      <c r="M11716" s="4"/>
      <c r="N11716" s="3" t="s">
        <v>37</v>
      </c>
      <c r="O11716" s="3" t="s">
        <v>52</v>
      </c>
      <c r="P11716" s="5">
        <v>3</v>
      </c>
      <c r="Q11716" s="5">
        <v>32</v>
      </c>
      <c r="R11716" s="5">
        <v>2</v>
      </c>
      <c r="S11716" s="5">
        <v>36</v>
      </c>
    </row>
    <row r="11717" spans="1:19" ht="28" x14ac:dyDescent="0.15">
      <c r="A11717" s="2">
        <f>HYPERLINK("https://open-school.uspishnemisto.com.ua/school/590350/", 590350)</f>
        <v>590350</v>
      </c>
      <c r="B11717" s="3" t="s">
        <v>59307</v>
      </c>
      <c r="C11717" s="3" t="s">
        <v>54</v>
      </c>
      <c r="D11717" s="3" t="s">
        <v>32</v>
      </c>
      <c r="E11717" s="4" t="s">
        <v>22</v>
      </c>
      <c r="F11717" s="4" t="s">
        <v>59308</v>
      </c>
      <c r="G11717" s="4" t="s">
        <v>59309</v>
      </c>
      <c r="H11717" s="3" t="s">
        <v>57649</v>
      </c>
      <c r="I11717" s="3" t="s">
        <v>59310</v>
      </c>
      <c r="J11717" s="3" t="s">
        <v>466</v>
      </c>
      <c r="K11717" s="3" t="s">
        <v>59311</v>
      </c>
      <c r="L11717" s="3" t="s">
        <v>59312</v>
      </c>
      <c r="M11717" s="4"/>
      <c r="N11717" s="3" t="s">
        <v>37</v>
      </c>
      <c r="O11717" s="3" t="s">
        <v>52</v>
      </c>
      <c r="P11717" s="5">
        <v>5</v>
      </c>
      <c r="Q11717" s="5">
        <v>40</v>
      </c>
      <c r="R11717" s="5">
        <v>5</v>
      </c>
      <c r="S11717" s="5">
        <v>48</v>
      </c>
    </row>
    <row r="11718" spans="1:19" ht="56" x14ac:dyDescent="0.15">
      <c r="A11718" s="2">
        <f>HYPERLINK("https://open-school.uspishnemisto.com.ua/school/590351/", 590351)</f>
        <v>590351</v>
      </c>
      <c r="B11718" s="3" t="s">
        <v>59313</v>
      </c>
      <c r="C11718" s="3" t="s">
        <v>54</v>
      </c>
      <c r="D11718" s="3" t="s">
        <v>32</v>
      </c>
      <c r="E11718" s="4" t="s">
        <v>22</v>
      </c>
      <c r="F11718" s="4" t="s">
        <v>59314</v>
      </c>
      <c r="G11718" s="4" t="s">
        <v>59315</v>
      </c>
      <c r="H11718" s="3" t="s">
        <v>57649</v>
      </c>
      <c r="I11718" s="3" t="s">
        <v>59316</v>
      </c>
      <c r="J11718" s="3" t="s">
        <v>2901</v>
      </c>
      <c r="K11718" s="3" t="s">
        <v>59317</v>
      </c>
      <c r="L11718" s="3" t="s">
        <v>59318</v>
      </c>
      <c r="M11718" s="4"/>
      <c r="N11718" s="3" t="s">
        <v>37</v>
      </c>
      <c r="O11718" s="3" t="s">
        <v>52</v>
      </c>
      <c r="P11718" s="5">
        <v>6</v>
      </c>
      <c r="Q11718" s="5">
        <v>52</v>
      </c>
      <c r="R11718" s="5">
        <v>7</v>
      </c>
      <c r="S11718" s="5">
        <v>54</v>
      </c>
    </row>
    <row r="11719" spans="1:19" ht="28" x14ac:dyDescent="0.15">
      <c r="A11719" s="2">
        <f>HYPERLINK("https://open-school.uspishnemisto.com.ua/school/590352/", 590352)</f>
        <v>590352</v>
      </c>
      <c r="B11719" s="3" t="s">
        <v>59319</v>
      </c>
      <c r="C11719" s="3" t="s">
        <v>31</v>
      </c>
      <c r="D11719" s="3" t="s">
        <v>32</v>
      </c>
      <c r="E11719" s="4" t="s">
        <v>22</v>
      </c>
      <c r="F11719" s="4" t="s">
        <v>59320</v>
      </c>
      <c r="G11719" s="4" t="s">
        <v>59321</v>
      </c>
      <c r="H11719" s="3" t="s">
        <v>57649</v>
      </c>
      <c r="I11719" s="3" t="s">
        <v>11605</v>
      </c>
      <c r="J11719" s="3" t="s">
        <v>466</v>
      </c>
      <c r="K11719" s="3" t="s">
        <v>59322</v>
      </c>
      <c r="L11719" s="3" t="s">
        <v>59323</v>
      </c>
      <c r="M11719" s="4"/>
      <c r="N11719" s="3" t="s">
        <v>37</v>
      </c>
      <c r="O11719" s="3" t="s">
        <v>52</v>
      </c>
      <c r="P11719" s="5">
        <v>6</v>
      </c>
      <c r="Q11719" s="5">
        <v>61</v>
      </c>
      <c r="R11719" s="5">
        <v>4</v>
      </c>
      <c r="S11719" s="5">
        <v>54</v>
      </c>
    </row>
    <row r="11720" spans="1:19" ht="28" x14ac:dyDescent="0.15">
      <c r="A11720" s="2">
        <f>HYPERLINK("https://open-school.uspishnemisto.com.ua/school/590353/", 590353)</f>
        <v>590353</v>
      </c>
      <c r="B11720" s="3" t="s">
        <v>59324</v>
      </c>
      <c r="C11720" s="3" t="s">
        <v>31</v>
      </c>
      <c r="D11720" s="3" t="s">
        <v>32</v>
      </c>
      <c r="E11720" s="4" t="s">
        <v>22</v>
      </c>
      <c r="F11720" s="4" t="s">
        <v>59325</v>
      </c>
      <c r="G11720" s="4" t="s">
        <v>59326</v>
      </c>
      <c r="H11720" s="3" t="s">
        <v>57649</v>
      </c>
      <c r="I11720" s="3" t="s">
        <v>59327</v>
      </c>
      <c r="J11720" s="3" t="s">
        <v>1999</v>
      </c>
      <c r="K11720" s="3" t="s">
        <v>59328</v>
      </c>
      <c r="L11720" s="3" t="s">
        <v>59329</v>
      </c>
      <c r="M11720" s="4"/>
      <c r="N11720" s="3" t="s">
        <v>37</v>
      </c>
      <c r="O11720" s="3" t="s">
        <v>52</v>
      </c>
      <c r="P11720" s="5">
        <v>10</v>
      </c>
      <c r="Q11720" s="5">
        <v>97</v>
      </c>
      <c r="R11720" s="5">
        <v>9</v>
      </c>
      <c r="S11720" s="5">
        <v>99</v>
      </c>
    </row>
    <row r="11721" spans="1:19" ht="28" x14ac:dyDescent="0.15">
      <c r="A11721" s="2">
        <f>HYPERLINK("https://open-school.uspishnemisto.com.ua/school/590354/", 590354)</f>
        <v>590354</v>
      </c>
      <c r="B11721" s="3" t="s">
        <v>59330</v>
      </c>
      <c r="C11721" s="3" t="s">
        <v>54</v>
      </c>
      <c r="D11721" s="3" t="s">
        <v>175</v>
      </c>
      <c r="E11721" s="4" t="s">
        <v>22</v>
      </c>
      <c r="F11721" s="4" t="s">
        <v>59331</v>
      </c>
      <c r="G11721" s="4" t="s">
        <v>59332</v>
      </c>
      <c r="H11721" s="3" t="s">
        <v>57649</v>
      </c>
      <c r="I11721" s="3" t="s">
        <v>59333</v>
      </c>
      <c r="J11721" s="3" t="s">
        <v>59334</v>
      </c>
      <c r="K11721" s="3" t="s">
        <v>59335</v>
      </c>
      <c r="L11721" s="3" t="s">
        <v>59336</v>
      </c>
      <c r="M11721" s="4"/>
      <c r="N11721" s="3" t="s">
        <v>37</v>
      </c>
      <c r="O11721" s="3" t="s">
        <v>52</v>
      </c>
      <c r="P11721" s="5">
        <v>1</v>
      </c>
      <c r="Q11721" s="5">
        <v>27</v>
      </c>
      <c r="R11721" s="5">
        <v>3</v>
      </c>
      <c r="S11721" s="5">
        <v>29</v>
      </c>
    </row>
    <row r="11722" spans="1:19" ht="28" x14ac:dyDescent="0.15">
      <c r="A11722" s="2">
        <f>HYPERLINK("https://open-school.uspishnemisto.com.ua/school/590355/", 590355)</f>
        <v>590355</v>
      </c>
      <c r="B11722" s="3" t="s">
        <v>59337</v>
      </c>
      <c r="C11722" s="3" t="s">
        <v>54</v>
      </c>
      <c r="D11722" s="3" t="s">
        <v>175</v>
      </c>
      <c r="E11722" s="4" t="s">
        <v>22</v>
      </c>
      <c r="F11722" s="4" t="s">
        <v>59338</v>
      </c>
      <c r="G11722" s="4" t="s">
        <v>59339</v>
      </c>
      <c r="H11722" s="3" t="s">
        <v>57649</v>
      </c>
      <c r="I11722" s="3" t="s">
        <v>59340</v>
      </c>
      <c r="J11722" s="3" t="s">
        <v>59341</v>
      </c>
      <c r="K11722" s="3"/>
      <c r="L11722" s="3" t="s">
        <v>59342</v>
      </c>
      <c r="M11722" s="4"/>
      <c r="N11722" s="3" t="s">
        <v>37</v>
      </c>
      <c r="O11722" s="3" t="s">
        <v>52</v>
      </c>
      <c r="P11722" s="5">
        <v>6</v>
      </c>
      <c r="Q11722" s="5">
        <v>45</v>
      </c>
      <c r="R11722" s="5">
        <v>6</v>
      </c>
      <c r="S11722" s="5">
        <v>45</v>
      </c>
    </row>
    <row r="11723" spans="1:19" ht="42" x14ac:dyDescent="0.15">
      <c r="A11723" s="2">
        <f>HYPERLINK("https://open-school.uspishnemisto.com.ua/school/590356/", 590356)</f>
        <v>590356</v>
      </c>
      <c r="B11723" s="3" t="s">
        <v>59343</v>
      </c>
      <c r="C11723" s="3" t="s">
        <v>244</v>
      </c>
      <c r="D11723" s="3" t="s">
        <v>32</v>
      </c>
      <c r="E11723" s="4" t="s">
        <v>22</v>
      </c>
      <c r="F11723" s="4" t="s">
        <v>59344</v>
      </c>
      <c r="G11723" s="4" t="s">
        <v>59345</v>
      </c>
      <c r="H11723" s="3" t="s">
        <v>57649</v>
      </c>
      <c r="I11723" s="3" t="s">
        <v>59346</v>
      </c>
      <c r="J11723" s="3" t="s">
        <v>59347</v>
      </c>
      <c r="K11723" s="3" t="s">
        <v>59348</v>
      </c>
      <c r="L11723" s="3"/>
      <c r="M11723" s="4" t="s">
        <v>59349</v>
      </c>
      <c r="N11723" s="3" t="s">
        <v>37</v>
      </c>
      <c r="O11723" s="3" t="s">
        <v>52</v>
      </c>
      <c r="P11723" s="5">
        <v>32</v>
      </c>
      <c r="Q11723" s="5">
        <v>645</v>
      </c>
      <c r="R11723" s="5">
        <v>36</v>
      </c>
      <c r="S11723" s="5">
        <v>649</v>
      </c>
    </row>
    <row r="11724" spans="1:19" ht="28" x14ac:dyDescent="0.15">
      <c r="A11724" s="2">
        <f>HYPERLINK("https://open-school.uspishnemisto.com.ua/school/590357/", 590357)</f>
        <v>590357</v>
      </c>
      <c r="B11724" s="3" t="s">
        <v>59350</v>
      </c>
      <c r="C11724" s="3" t="s">
        <v>31</v>
      </c>
      <c r="D11724" s="3" t="s">
        <v>32</v>
      </c>
      <c r="E11724" s="4" t="s">
        <v>22</v>
      </c>
      <c r="F11724" s="4" t="s">
        <v>59351</v>
      </c>
      <c r="G11724" s="4" t="s">
        <v>59352</v>
      </c>
      <c r="H11724" s="3" t="s">
        <v>57649</v>
      </c>
      <c r="I11724" s="3" t="s">
        <v>15911</v>
      </c>
      <c r="J11724" s="3" t="s">
        <v>634</v>
      </c>
      <c r="K11724" s="3" t="s">
        <v>59353</v>
      </c>
      <c r="L11724" s="3"/>
      <c r="M11724" s="4"/>
      <c r="N11724" s="3" t="s">
        <v>37</v>
      </c>
      <c r="O11724" s="3" t="s">
        <v>52</v>
      </c>
      <c r="P11724" s="5">
        <v>11</v>
      </c>
      <c r="Q11724" s="5">
        <v>259</v>
      </c>
      <c r="R11724" s="5">
        <v>11</v>
      </c>
      <c r="S11724" s="5">
        <v>269</v>
      </c>
    </row>
    <row r="11725" spans="1:19" ht="56" x14ac:dyDescent="0.15">
      <c r="A11725" s="2">
        <f>HYPERLINK("https://open-school.uspishnemisto.com.ua/school/590358/", 590358)</f>
        <v>590358</v>
      </c>
      <c r="B11725" s="3" t="s">
        <v>59354</v>
      </c>
      <c r="C11725" s="3" t="s">
        <v>54</v>
      </c>
      <c r="D11725" s="3" t="s">
        <v>32</v>
      </c>
      <c r="E11725" s="4" t="s">
        <v>22</v>
      </c>
      <c r="F11725" s="4" t="s">
        <v>59355</v>
      </c>
      <c r="G11725" s="4" t="s">
        <v>59356</v>
      </c>
      <c r="H11725" s="3" t="s">
        <v>57649</v>
      </c>
      <c r="I11725" s="3" t="s">
        <v>27379</v>
      </c>
      <c r="J11725" s="3" t="s">
        <v>627</v>
      </c>
      <c r="K11725" s="3" t="s">
        <v>59357</v>
      </c>
      <c r="L11725" s="3"/>
      <c r="M11725" s="4"/>
      <c r="N11725" s="3" t="s">
        <v>37</v>
      </c>
      <c r="O11725" s="3" t="s">
        <v>46</v>
      </c>
      <c r="P11725" s="5">
        <v>3</v>
      </c>
      <c r="Q11725" s="5">
        <v>33</v>
      </c>
      <c r="R11725" s="5">
        <v>2</v>
      </c>
      <c r="S11725" s="5">
        <v>26</v>
      </c>
    </row>
    <row r="11726" spans="1:19" ht="56" x14ac:dyDescent="0.15">
      <c r="A11726" s="2">
        <f>HYPERLINK("https://open-school.uspishnemisto.com.ua/school/590359/", 590359)</f>
        <v>590359</v>
      </c>
      <c r="B11726" s="3" t="s">
        <v>59358</v>
      </c>
      <c r="C11726" s="3" t="s">
        <v>54</v>
      </c>
      <c r="D11726" s="3" t="s">
        <v>175</v>
      </c>
      <c r="E11726" s="4" t="s">
        <v>22</v>
      </c>
      <c r="F11726" s="4" t="s">
        <v>59359</v>
      </c>
      <c r="G11726" s="4" t="s">
        <v>59360</v>
      </c>
      <c r="H11726" s="3" t="s">
        <v>57649</v>
      </c>
      <c r="I11726" s="3" t="s">
        <v>59361</v>
      </c>
      <c r="J11726" s="3" t="s">
        <v>59362</v>
      </c>
      <c r="K11726" s="3" t="s">
        <v>59363</v>
      </c>
      <c r="L11726" s="3"/>
      <c r="M11726" s="4"/>
      <c r="N11726" s="3" t="s">
        <v>37</v>
      </c>
      <c r="O11726" s="3" t="s">
        <v>52</v>
      </c>
      <c r="P11726" s="5">
        <v>0</v>
      </c>
      <c r="Q11726" s="5">
        <v>0</v>
      </c>
      <c r="R11726" s="5">
        <v>2</v>
      </c>
      <c r="S11726" s="5">
        <v>27</v>
      </c>
    </row>
    <row r="11727" spans="1:19" ht="28" x14ac:dyDescent="0.15">
      <c r="A11727" s="2">
        <f>HYPERLINK("https://open-school.uspishnemisto.com.ua/school/590361/", 590361)</f>
        <v>590361</v>
      </c>
      <c r="B11727" s="3" t="s">
        <v>59364</v>
      </c>
      <c r="C11727" s="3" t="s">
        <v>31</v>
      </c>
      <c r="D11727" s="3" t="s">
        <v>175</v>
      </c>
      <c r="E11727" s="4" t="s">
        <v>22</v>
      </c>
      <c r="F11727" s="4" t="s">
        <v>59365</v>
      </c>
      <c r="G11727" s="4" t="s">
        <v>59366</v>
      </c>
      <c r="H11727" s="3" t="s">
        <v>57649</v>
      </c>
      <c r="I11727" s="3" t="s">
        <v>59367</v>
      </c>
      <c r="J11727" s="3" t="s">
        <v>59368</v>
      </c>
      <c r="K11727" s="3" t="s">
        <v>59369</v>
      </c>
      <c r="L11727" s="3"/>
      <c r="M11727" s="4"/>
      <c r="N11727" s="3"/>
      <c r="O11727" s="3"/>
      <c r="P11727" s="5">
        <v>0</v>
      </c>
      <c r="Q11727" s="5">
        <v>0</v>
      </c>
      <c r="R11727" s="5"/>
      <c r="S11727" s="5"/>
    </row>
    <row r="11728" spans="1:19" ht="42" x14ac:dyDescent="0.15">
      <c r="A11728" s="2">
        <f>HYPERLINK("https://open-school.uspishnemisto.com.ua/school/590362/", 590362)</f>
        <v>590362</v>
      </c>
      <c r="B11728" s="3" t="s">
        <v>59370</v>
      </c>
      <c r="C11728" s="3" t="s">
        <v>54</v>
      </c>
      <c r="D11728" s="3"/>
      <c r="E11728" s="4" t="s">
        <v>22</v>
      </c>
      <c r="F11728" s="4" t="s">
        <v>59371</v>
      </c>
      <c r="G11728" s="4" t="s">
        <v>59372</v>
      </c>
      <c r="H11728" s="3" t="s">
        <v>57649</v>
      </c>
      <c r="I11728" s="3" t="s">
        <v>59373</v>
      </c>
      <c r="J11728" s="3" t="s">
        <v>59374</v>
      </c>
      <c r="K11728" s="3" t="s">
        <v>59375</v>
      </c>
      <c r="L11728" s="3"/>
      <c r="M11728" s="4"/>
      <c r="N11728" s="3" t="s">
        <v>37</v>
      </c>
      <c r="O11728" s="3" t="s">
        <v>52</v>
      </c>
      <c r="P11728" s="5">
        <v>0</v>
      </c>
      <c r="Q11728" s="5">
        <v>0</v>
      </c>
      <c r="R11728" s="5">
        <v>2</v>
      </c>
      <c r="S11728" s="5">
        <v>32</v>
      </c>
    </row>
    <row r="11729" spans="1:19" ht="28" x14ac:dyDescent="0.15">
      <c r="A11729" s="2">
        <f>HYPERLINK("https://open-school.uspishnemisto.com.ua/school/590363/", 590363)</f>
        <v>590363</v>
      </c>
      <c r="B11729" s="3" t="s">
        <v>59376</v>
      </c>
      <c r="C11729" s="3" t="s">
        <v>31</v>
      </c>
      <c r="D11729" s="3" t="s">
        <v>32</v>
      </c>
      <c r="E11729" s="4" t="s">
        <v>22</v>
      </c>
      <c r="F11729" s="4" t="s">
        <v>59377</v>
      </c>
      <c r="G11729" s="4" t="s">
        <v>59378</v>
      </c>
      <c r="H11729" s="3" t="s">
        <v>57649</v>
      </c>
      <c r="I11729" s="3" t="s">
        <v>59379</v>
      </c>
      <c r="J11729" s="3" t="s">
        <v>59380</v>
      </c>
      <c r="K11729" s="3" t="s">
        <v>59381</v>
      </c>
      <c r="L11729" s="3"/>
      <c r="M11729" s="4"/>
      <c r="N11729" s="3" t="s">
        <v>37</v>
      </c>
      <c r="O11729" s="3" t="s">
        <v>52</v>
      </c>
      <c r="P11729" s="5">
        <v>11</v>
      </c>
      <c r="Q11729" s="5">
        <v>199</v>
      </c>
      <c r="R11729" s="5">
        <v>11</v>
      </c>
      <c r="S11729" s="5">
        <v>207</v>
      </c>
    </row>
    <row r="11730" spans="1:19" ht="28" x14ac:dyDescent="0.15">
      <c r="A11730" s="2">
        <f>HYPERLINK("https://open-school.uspishnemisto.com.ua/school/590364/", 590364)</f>
        <v>590364</v>
      </c>
      <c r="B11730" s="3" t="s">
        <v>59382</v>
      </c>
      <c r="C11730" s="3" t="s">
        <v>31</v>
      </c>
      <c r="D11730" s="3" t="s">
        <v>32</v>
      </c>
      <c r="E11730" s="4" t="s">
        <v>22</v>
      </c>
      <c r="F11730" s="4" t="s">
        <v>59383</v>
      </c>
      <c r="G11730" s="4" t="s">
        <v>59384</v>
      </c>
      <c r="H11730" s="3" t="s">
        <v>57649</v>
      </c>
      <c r="I11730" s="3" t="s">
        <v>59385</v>
      </c>
      <c r="J11730" s="3" t="s">
        <v>34060</v>
      </c>
      <c r="K11730" s="3" t="s">
        <v>59386</v>
      </c>
      <c r="L11730" s="3"/>
      <c r="M11730" s="4"/>
      <c r="N11730" s="3"/>
      <c r="O11730" s="3"/>
      <c r="P11730" s="5">
        <v>0</v>
      </c>
      <c r="Q11730" s="5">
        <v>0</v>
      </c>
      <c r="R11730" s="5"/>
      <c r="S11730" s="5"/>
    </row>
    <row r="11731" spans="1:19" ht="28" x14ac:dyDescent="0.15">
      <c r="A11731" s="2">
        <f>HYPERLINK("https://open-school.uspishnemisto.com.ua/school/590365/", 590365)</f>
        <v>590365</v>
      </c>
      <c r="B11731" s="3" t="s">
        <v>59387</v>
      </c>
      <c r="C11731" s="3" t="s">
        <v>54</v>
      </c>
      <c r="D11731" s="3" t="s">
        <v>175</v>
      </c>
      <c r="E11731" s="4" t="s">
        <v>22</v>
      </c>
      <c r="F11731" s="4" t="s">
        <v>59388</v>
      </c>
      <c r="G11731" s="4" t="s">
        <v>59389</v>
      </c>
      <c r="H11731" s="3" t="s">
        <v>57649</v>
      </c>
      <c r="I11731" s="3" t="s">
        <v>59390</v>
      </c>
      <c r="J11731" s="3" t="s">
        <v>1348</v>
      </c>
      <c r="K11731" s="3" t="s">
        <v>59391</v>
      </c>
      <c r="L11731" s="3"/>
      <c r="M11731" s="4"/>
      <c r="N11731" s="3"/>
      <c r="O11731" s="3"/>
      <c r="P11731" s="5">
        <v>0</v>
      </c>
      <c r="Q11731" s="5">
        <v>0</v>
      </c>
      <c r="R11731" s="5"/>
      <c r="S11731" s="5"/>
    </row>
    <row r="11732" spans="1:19" ht="28" x14ac:dyDescent="0.15">
      <c r="A11732" s="2">
        <f>HYPERLINK("https://open-school.uspishnemisto.com.ua/school/590366/", 590366)</f>
        <v>590366</v>
      </c>
      <c r="B11732" s="3" t="s">
        <v>59392</v>
      </c>
      <c r="C11732" s="3" t="s">
        <v>31</v>
      </c>
      <c r="D11732" s="3" t="s">
        <v>32</v>
      </c>
      <c r="E11732" s="4" t="s">
        <v>22</v>
      </c>
      <c r="F11732" s="4" t="s">
        <v>59393</v>
      </c>
      <c r="G11732" s="4" t="s">
        <v>59394</v>
      </c>
      <c r="H11732" s="3" t="s">
        <v>57649</v>
      </c>
      <c r="I11732" s="3" t="s">
        <v>59395</v>
      </c>
      <c r="J11732" s="3" t="s">
        <v>59396</v>
      </c>
      <c r="K11732" s="3" t="s">
        <v>59397</v>
      </c>
      <c r="L11732" s="3"/>
      <c r="M11732" s="4"/>
      <c r="N11732" s="3" t="s">
        <v>37</v>
      </c>
      <c r="O11732" s="3" t="s">
        <v>52</v>
      </c>
      <c r="P11732" s="5">
        <v>17</v>
      </c>
      <c r="Q11732" s="5">
        <v>272</v>
      </c>
      <c r="R11732" s="5">
        <v>11</v>
      </c>
      <c r="S11732" s="5">
        <v>189</v>
      </c>
    </row>
    <row r="11733" spans="1:19" ht="56" x14ac:dyDescent="0.15">
      <c r="A11733" s="2">
        <f>HYPERLINK("https://open-school.uspishnemisto.com.ua/school/590367/", 590367)</f>
        <v>590367</v>
      </c>
      <c r="B11733" s="3" t="s">
        <v>59398</v>
      </c>
      <c r="C11733" s="3" t="s">
        <v>54</v>
      </c>
      <c r="D11733" s="3" t="s">
        <v>32</v>
      </c>
      <c r="E11733" s="4" t="s">
        <v>22</v>
      </c>
      <c r="F11733" s="4" t="s">
        <v>59399</v>
      </c>
      <c r="G11733" s="4" t="s">
        <v>59400</v>
      </c>
      <c r="H11733" s="3" t="s">
        <v>57649</v>
      </c>
      <c r="I11733" s="3" t="s">
        <v>34237</v>
      </c>
      <c r="J11733" s="3" t="s">
        <v>700</v>
      </c>
      <c r="K11733" s="3" t="s">
        <v>13467</v>
      </c>
      <c r="L11733" s="3" t="s">
        <v>59401</v>
      </c>
      <c r="M11733" s="4"/>
      <c r="N11733" s="3" t="s">
        <v>37</v>
      </c>
      <c r="O11733" s="3" t="s">
        <v>52</v>
      </c>
      <c r="P11733" s="5">
        <v>2</v>
      </c>
      <c r="Q11733" s="5">
        <v>30</v>
      </c>
      <c r="R11733" s="5">
        <v>2</v>
      </c>
      <c r="S11733" s="5">
        <v>35</v>
      </c>
    </row>
    <row r="11734" spans="1:19" ht="28" x14ac:dyDescent="0.15">
      <c r="A11734" s="2">
        <f>HYPERLINK("https://open-school.uspishnemisto.com.ua/school/590368/", 590368)</f>
        <v>590368</v>
      </c>
      <c r="B11734" s="3" t="s">
        <v>59402</v>
      </c>
      <c r="C11734" s="3" t="s">
        <v>293</v>
      </c>
      <c r="D11734" s="3" t="s">
        <v>32</v>
      </c>
      <c r="E11734" s="4" t="s">
        <v>22</v>
      </c>
      <c r="F11734" s="4" t="s">
        <v>59403</v>
      </c>
      <c r="G11734" s="4" t="s">
        <v>59404</v>
      </c>
      <c r="H11734" s="3" t="s">
        <v>57649</v>
      </c>
      <c r="I11734" s="3" t="s">
        <v>59405</v>
      </c>
      <c r="J11734" s="3" t="s">
        <v>726</v>
      </c>
      <c r="K11734" s="3" t="s">
        <v>59406</v>
      </c>
      <c r="L11734" s="3"/>
      <c r="M11734" s="4"/>
      <c r="N11734" s="3"/>
      <c r="O11734" s="3"/>
      <c r="P11734" s="5">
        <v>0</v>
      </c>
      <c r="Q11734" s="5">
        <v>0</v>
      </c>
      <c r="R11734" s="5"/>
      <c r="S11734" s="5"/>
    </row>
    <row r="11735" spans="1:19" ht="56" x14ac:dyDescent="0.15">
      <c r="A11735" s="2">
        <f>HYPERLINK("https://open-school.uspishnemisto.com.ua/school/590369/", 590369)</f>
        <v>590369</v>
      </c>
      <c r="B11735" s="3" t="s">
        <v>59407</v>
      </c>
      <c r="C11735" s="3" t="s">
        <v>54</v>
      </c>
      <c r="D11735" s="3" t="s">
        <v>32</v>
      </c>
      <c r="E11735" s="4" t="s">
        <v>22</v>
      </c>
      <c r="F11735" s="4" t="s">
        <v>59403</v>
      </c>
      <c r="G11735" s="4" t="s">
        <v>59404</v>
      </c>
      <c r="H11735" s="3" t="s">
        <v>57649</v>
      </c>
      <c r="I11735" s="3" t="s">
        <v>59405</v>
      </c>
      <c r="J11735" s="3" t="s">
        <v>18291</v>
      </c>
      <c r="K11735" s="3" t="s">
        <v>59408</v>
      </c>
      <c r="L11735" s="3" t="s">
        <v>59409</v>
      </c>
      <c r="M11735" s="4"/>
      <c r="N11735" s="3" t="s">
        <v>37</v>
      </c>
      <c r="O11735" s="3" t="s">
        <v>52</v>
      </c>
      <c r="P11735" s="5">
        <v>10</v>
      </c>
      <c r="Q11735" s="5">
        <v>94</v>
      </c>
      <c r="R11735" s="5">
        <v>11</v>
      </c>
      <c r="S11735" s="5">
        <v>98</v>
      </c>
    </row>
    <row r="11736" spans="1:19" ht="28" x14ac:dyDescent="0.15">
      <c r="A11736" s="2">
        <f>HYPERLINK("https://open-school.uspishnemisto.com.ua/school/590370/", 590370)</f>
        <v>590370</v>
      </c>
      <c r="B11736" s="3" t="s">
        <v>59410</v>
      </c>
      <c r="C11736" s="3" t="s">
        <v>54</v>
      </c>
      <c r="D11736" s="3" t="s">
        <v>32</v>
      </c>
      <c r="E11736" s="4" t="s">
        <v>22</v>
      </c>
      <c r="F11736" s="4" t="s">
        <v>59411</v>
      </c>
      <c r="G11736" s="4" t="s">
        <v>59412</v>
      </c>
      <c r="H11736" s="3" t="s">
        <v>57649</v>
      </c>
      <c r="I11736" s="3" t="s">
        <v>33162</v>
      </c>
      <c r="J11736" s="3" t="s">
        <v>59413</v>
      </c>
      <c r="K11736" s="3" t="s">
        <v>59414</v>
      </c>
      <c r="L11736" s="3"/>
      <c r="M11736" s="4"/>
      <c r="N11736" s="3"/>
      <c r="O11736" s="3"/>
      <c r="P11736" s="5">
        <v>0</v>
      </c>
      <c r="Q11736" s="5">
        <v>0</v>
      </c>
      <c r="R11736" s="5"/>
      <c r="S11736" s="5"/>
    </row>
    <row r="11737" spans="1:19" ht="28" x14ac:dyDescent="0.15">
      <c r="A11737" s="2">
        <f>HYPERLINK("https://open-school.uspishnemisto.com.ua/school/590371/", 590371)</f>
        <v>590371</v>
      </c>
      <c r="B11737" s="3" t="s">
        <v>59415</v>
      </c>
      <c r="C11737" s="3" t="s">
        <v>293</v>
      </c>
      <c r="D11737" s="3" t="s">
        <v>175</v>
      </c>
      <c r="E11737" s="4" t="s">
        <v>22</v>
      </c>
      <c r="F11737" s="4" t="s">
        <v>59416</v>
      </c>
      <c r="G11737" s="4" t="s">
        <v>59417</v>
      </c>
      <c r="H11737" s="3" t="s">
        <v>57649</v>
      </c>
      <c r="I11737" s="3" t="s">
        <v>59418</v>
      </c>
      <c r="J11737" s="3" t="s">
        <v>59419</v>
      </c>
      <c r="K11737" s="3"/>
      <c r="L11737" s="3" t="s">
        <v>59420</v>
      </c>
      <c r="M11737" s="4" t="s">
        <v>59421</v>
      </c>
      <c r="N11737" s="3" t="s">
        <v>37</v>
      </c>
      <c r="O11737" s="3" t="s">
        <v>38</v>
      </c>
      <c r="P11737" s="5">
        <v>9</v>
      </c>
      <c r="Q11737" s="5">
        <v>172</v>
      </c>
      <c r="R11737" s="5">
        <v>9</v>
      </c>
      <c r="S11737" s="5">
        <v>159</v>
      </c>
    </row>
    <row r="11738" spans="1:19" ht="42" x14ac:dyDescent="0.15">
      <c r="A11738" s="2">
        <f>HYPERLINK("https://open-school.uspishnemisto.com.ua/school/590372/", 590372)</f>
        <v>590372</v>
      </c>
      <c r="B11738" s="3" t="s">
        <v>59422</v>
      </c>
      <c r="C11738" s="3" t="s">
        <v>31</v>
      </c>
      <c r="D11738" s="3" t="s">
        <v>32</v>
      </c>
      <c r="E11738" s="4" t="s">
        <v>22</v>
      </c>
      <c r="F11738" s="4" t="s">
        <v>59416</v>
      </c>
      <c r="G11738" s="4" t="s">
        <v>59417</v>
      </c>
      <c r="H11738" s="3" t="s">
        <v>57649</v>
      </c>
      <c r="I11738" s="3" t="s">
        <v>59418</v>
      </c>
      <c r="J11738" s="3" t="s">
        <v>59423</v>
      </c>
      <c r="K11738" s="3" t="s">
        <v>59424</v>
      </c>
      <c r="L11738" s="3"/>
      <c r="M11738" s="4" t="s">
        <v>59425</v>
      </c>
      <c r="N11738" s="3" t="s">
        <v>128</v>
      </c>
      <c r="O11738" s="3" t="s">
        <v>38</v>
      </c>
      <c r="P11738" s="5">
        <v>27</v>
      </c>
      <c r="Q11738" s="5">
        <v>558</v>
      </c>
      <c r="R11738" s="5">
        <v>27</v>
      </c>
      <c r="S11738" s="5">
        <v>571</v>
      </c>
    </row>
    <row r="11739" spans="1:19" ht="28" x14ac:dyDescent="0.15">
      <c r="A11739" s="2">
        <f>HYPERLINK("https://open-school.uspishnemisto.com.ua/school/590373/", 590373)</f>
        <v>590373</v>
      </c>
      <c r="B11739" s="3" t="s">
        <v>59426</v>
      </c>
      <c r="C11739" s="3" t="s">
        <v>31</v>
      </c>
      <c r="D11739" s="3" t="s">
        <v>32</v>
      </c>
      <c r="E11739" s="4" t="s">
        <v>22</v>
      </c>
      <c r="F11739" s="4" t="s">
        <v>59416</v>
      </c>
      <c r="G11739" s="4" t="s">
        <v>59417</v>
      </c>
      <c r="H11739" s="3" t="s">
        <v>57649</v>
      </c>
      <c r="I11739" s="3" t="s">
        <v>59418</v>
      </c>
      <c r="J11739" s="3" t="s">
        <v>59427</v>
      </c>
      <c r="K11739" s="3" t="s">
        <v>59428</v>
      </c>
      <c r="L11739" s="3" t="s">
        <v>59429</v>
      </c>
      <c r="M11739" s="4" t="s">
        <v>59430</v>
      </c>
      <c r="N11739" s="3" t="s">
        <v>37</v>
      </c>
      <c r="O11739" s="3" t="s">
        <v>38</v>
      </c>
      <c r="P11739" s="5">
        <v>20</v>
      </c>
      <c r="Q11739" s="5">
        <v>503</v>
      </c>
      <c r="R11739" s="5">
        <v>20</v>
      </c>
      <c r="S11739" s="5">
        <v>487</v>
      </c>
    </row>
    <row r="11740" spans="1:19" ht="56" x14ac:dyDescent="0.15">
      <c r="A11740" s="2">
        <f>HYPERLINK("https://open-school.uspishnemisto.com.ua/school/590374/", 590374)</f>
        <v>590374</v>
      </c>
      <c r="B11740" s="3" t="s">
        <v>59431</v>
      </c>
      <c r="C11740" s="3" t="s">
        <v>54</v>
      </c>
      <c r="D11740" s="3" t="s">
        <v>32</v>
      </c>
      <c r="E11740" s="4" t="s">
        <v>22</v>
      </c>
      <c r="F11740" s="4" t="s">
        <v>59416</v>
      </c>
      <c r="G11740" s="4" t="s">
        <v>59417</v>
      </c>
      <c r="H11740" s="3" t="s">
        <v>57649</v>
      </c>
      <c r="I11740" s="3" t="s">
        <v>59418</v>
      </c>
      <c r="J11740" s="3" t="s">
        <v>59432</v>
      </c>
      <c r="K11740" s="3" t="s">
        <v>59433</v>
      </c>
      <c r="L11740" s="3" t="s">
        <v>59434</v>
      </c>
      <c r="M11740" s="4" t="s">
        <v>59435</v>
      </c>
      <c r="N11740" s="3" t="s">
        <v>128</v>
      </c>
      <c r="O11740" s="3" t="s">
        <v>38</v>
      </c>
      <c r="P11740" s="5">
        <v>11</v>
      </c>
      <c r="Q11740" s="5">
        <v>140</v>
      </c>
      <c r="R11740" s="5">
        <v>10</v>
      </c>
      <c r="S11740" s="5">
        <v>148</v>
      </c>
    </row>
    <row r="11741" spans="1:19" ht="42" x14ac:dyDescent="0.15">
      <c r="A11741" s="2">
        <f>HYPERLINK("https://open-school.uspishnemisto.com.ua/school/590375/", 590375)</f>
        <v>590375</v>
      </c>
      <c r="B11741" s="3" t="s">
        <v>59436</v>
      </c>
      <c r="C11741" s="3" t="s">
        <v>54</v>
      </c>
      <c r="D11741" s="3" t="s">
        <v>60</v>
      </c>
      <c r="E11741" s="4" t="s">
        <v>22</v>
      </c>
      <c r="F11741" s="4" t="s">
        <v>59437</v>
      </c>
      <c r="G11741" s="4" t="s">
        <v>59438</v>
      </c>
      <c r="H11741" s="3" t="s">
        <v>57649</v>
      </c>
      <c r="I11741" s="3" t="s">
        <v>59439</v>
      </c>
      <c r="J11741" s="3" t="s">
        <v>761</v>
      </c>
      <c r="K11741" s="3" t="s">
        <v>59440</v>
      </c>
      <c r="L11741" s="3"/>
      <c r="M11741" s="4"/>
      <c r="N11741" s="3" t="s">
        <v>37</v>
      </c>
      <c r="O11741" s="3" t="s">
        <v>38</v>
      </c>
      <c r="P11741" s="5">
        <v>0</v>
      </c>
      <c r="Q11741" s="5">
        <v>5</v>
      </c>
      <c r="R11741" s="5">
        <v>0</v>
      </c>
      <c r="S11741" s="5">
        <v>6</v>
      </c>
    </row>
    <row r="11742" spans="1:19" ht="56" x14ac:dyDescent="0.15">
      <c r="A11742" s="2">
        <f>HYPERLINK("https://open-school.uspishnemisto.com.ua/school/590376/", 590376)</f>
        <v>590376</v>
      </c>
      <c r="B11742" s="3" t="s">
        <v>59441</v>
      </c>
      <c r="C11742" s="3" t="s">
        <v>54</v>
      </c>
      <c r="D11742" s="3" t="s">
        <v>175</v>
      </c>
      <c r="E11742" s="4" t="s">
        <v>22</v>
      </c>
      <c r="F11742" s="4" t="s">
        <v>59442</v>
      </c>
      <c r="G11742" s="4" t="s">
        <v>59443</v>
      </c>
      <c r="H11742" s="3" t="s">
        <v>57649</v>
      </c>
      <c r="I11742" s="3" t="s">
        <v>6822</v>
      </c>
      <c r="J11742" s="3" t="s">
        <v>466</v>
      </c>
      <c r="K11742" s="3" t="s">
        <v>59444</v>
      </c>
      <c r="L11742" s="3"/>
      <c r="M11742" s="4"/>
      <c r="N11742" s="3" t="s">
        <v>37</v>
      </c>
      <c r="O11742" s="3" t="s">
        <v>70</v>
      </c>
      <c r="P11742" s="5">
        <v>3</v>
      </c>
      <c r="Q11742" s="5">
        <v>25</v>
      </c>
      <c r="R11742" s="5">
        <v>3</v>
      </c>
      <c r="S11742" s="5">
        <v>26</v>
      </c>
    </row>
    <row r="11743" spans="1:19" ht="56" x14ac:dyDescent="0.15">
      <c r="A11743" s="2">
        <f>HYPERLINK("https://open-school.uspishnemisto.com.ua/school/590377/", 590377)</f>
        <v>590377</v>
      </c>
      <c r="B11743" s="3" t="s">
        <v>59445</v>
      </c>
      <c r="C11743" s="3" t="s">
        <v>31</v>
      </c>
      <c r="D11743" s="3" t="s">
        <v>175</v>
      </c>
      <c r="E11743" s="4" t="s">
        <v>22</v>
      </c>
      <c r="F11743" s="4" t="s">
        <v>59446</v>
      </c>
      <c r="G11743" s="4" t="s">
        <v>59447</v>
      </c>
      <c r="H11743" s="3" t="s">
        <v>57649</v>
      </c>
      <c r="I11743" s="3" t="s">
        <v>59448</v>
      </c>
      <c r="J11743" s="3" t="s">
        <v>59449</v>
      </c>
      <c r="K11743" s="3" t="s">
        <v>59450</v>
      </c>
      <c r="L11743" s="3"/>
      <c r="M11743" s="4"/>
      <c r="N11743" s="3" t="s">
        <v>37</v>
      </c>
      <c r="O11743" s="3" t="s">
        <v>38</v>
      </c>
      <c r="P11743" s="5">
        <v>4</v>
      </c>
      <c r="Q11743" s="5">
        <v>39</v>
      </c>
      <c r="R11743" s="5">
        <v>3</v>
      </c>
      <c r="S11743" s="5">
        <v>39</v>
      </c>
    </row>
    <row r="11744" spans="1:19" ht="42" x14ac:dyDescent="0.15">
      <c r="A11744" s="2">
        <f>HYPERLINK("https://open-school.uspishnemisto.com.ua/school/590378/", 590378)</f>
        <v>590378</v>
      </c>
      <c r="B11744" s="3" t="s">
        <v>59451</v>
      </c>
      <c r="C11744" s="3" t="s">
        <v>54</v>
      </c>
      <c r="D11744" s="3" t="s">
        <v>175</v>
      </c>
      <c r="E11744" s="4" t="s">
        <v>22</v>
      </c>
      <c r="F11744" s="4" t="s">
        <v>59452</v>
      </c>
      <c r="G11744" s="4" t="s">
        <v>59453</v>
      </c>
      <c r="H11744" s="3" t="s">
        <v>57649</v>
      </c>
      <c r="I11744" s="3" t="s">
        <v>59454</v>
      </c>
      <c r="J11744" s="3" t="s">
        <v>59455</v>
      </c>
      <c r="K11744" s="3" t="s">
        <v>59456</v>
      </c>
      <c r="L11744" s="3"/>
      <c r="M11744" s="4"/>
      <c r="N11744" s="3" t="s">
        <v>37</v>
      </c>
      <c r="O11744" s="3" t="s">
        <v>38</v>
      </c>
      <c r="P11744" s="5">
        <v>3</v>
      </c>
      <c r="Q11744" s="5">
        <v>41</v>
      </c>
      <c r="R11744" s="5">
        <v>4</v>
      </c>
      <c r="S11744" s="5">
        <v>44</v>
      </c>
    </row>
    <row r="11745" spans="1:19" ht="42" x14ac:dyDescent="0.15">
      <c r="A11745" s="2">
        <f>HYPERLINK("https://open-school.uspishnemisto.com.ua/school/590379/", 590379)</f>
        <v>590379</v>
      </c>
      <c r="B11745" s="3" t="s">
        <v>59457</v>
      </c>
      <c r="C11745" s="3" t="s">
        <v>54</v>
      </c>
      <c r="D11745" s="3" t="s">
        <v>175</v>
      </c>
      <c r="E11745" s="4" t="s">
        <v>22</v>
      </c>
      <c r="F11745" s="4" t="s">
        <v>59458</v>
      </c>
      <c r="G11745" s="4" t="s">
        <v>59459</v>
      </c>
      <c r="H11745" s="3" t="s">
        <v>57649</v>
      </c>
      <c r="I11745" s="3" t="s">
        <v>59460</v>
      </c>
      <c r="J11745" s="3" t="s">
        <v>59461</v>
      </c>
      <c r="K11745" s="3" t="s">
        <v>59462</v>
      </c>
      <c r="L11745" s="3"/>
      <c r="M11745" s="4"/>
      <c r="N11745" s="3" t="s">
        <v>37</v>
      </c>
      <c r="O11745" s="3" t="s">
        <v>38</v>
      </c>
      <c r="P11745" s="5">
        <v>2</v>
      </c>
      <c r="Q11745" s="5">
        <v>30</v>
      </c>
      <c r="R11745" s="5">
        <v>3</v>
      </c>
      <c r="S11745" s="5">
        <v>26</v>
      </c>
    </row>
    <row r="11746" spans="1:19" ht="56" x14ac:dyDescent="0.15">
      <c r="A11746" s="2">
        <f>HYPERLINK("https://open-school.uspishnemisto.com.ua/school/590380/", 590380)</f>
        <v>590380</v>
      </c>
      <c r="B11746" s="3" t="s">
        <v>59463</v>
      </c>
      <c r="C11746" s="3" t="s">
        <v>54</v>
      </c>
      <c r="D11746" s="3" t="s">
        <v>32</v>
      </c>
      <c r="E11746" s="4" t="s">
        <v>22</v>
      </c>
      <c r="F11746" s="4" t="s">
        <v>59464</v>
      </c>
      <c r="G11746" s="4" t="s">
        <v>59465</v>
      </c>
      <c r="H11746" s="3" t="s">
        <v>57649</v>
      </c>
      <c r="I11746" s="3" t="s">
        <v>59466</v>
      </c>
      <c r="J11746" s="3" t="s">
        <v>1798</v>
      </c>
      <c r="K11746" s="3" t="s">
        <v>59467</v>
      </c>
      <c r="L11746" s="3"/>
      <c r="M11746" s="4"/>
      <c r="N11746" s="3" t="s">
        <v>37</v>
      </c>
      <c r="O11746" s="3" t="s">
        <v>38</v>
      </c>
      <c r="P11746" s="5">
        <v>5</v>
      </c>
      <c r="Q11746" s="5">
        <v>55</v>
      </c>
      <c r="R11746" s="5">
        <v>6</v>
      </c>
      <c r="S11746" s="5">
        <v>55</v>
      </c>
    </row>
    <row r="11747" spans="1:19" ht="42" x14ac:dyDescent="0.15">
      <c r="A11747" s="2">
        <f>HYPERLINK("https://open-school.uspishnemisto.com.ua/school/590381/", 590381)</f>
        <v>590381</v>
      </c>
      <c r="B11747" s="3" t="s">
        <v>59468</v>
      </c>
      <c r="C11747" s="3" t="s">
        <v>54</v>
      </c>
      <c r="D11747" s="3" t="s">
        <v>60</v>
      </c>
      <c r="E11747" s="4" t="s">
        <v>22</v>
      </c>
      <c r="F11747" s="4" t="s">
        <v>59469</v>
      </c>
      <c r="G11747" s="4" t="s">
        <v>59470</v>
      </c>
      <c r="H11747" s="3" t="s">
        <v>57649</v>
      </c>
      <c r="I11747" s="3" t="s">
        <v>59471</v>
      </c>
      <c r="J11747" s="3" t="s">
        <v>59472</v>
      </c>
      <c r="K11747" s="3" t="s">
        <v>59473</v>
      </c>
      <c r="L11747" s="3"/>
      <c r="M11747" s="4"/>
      <c r="N11747" s="3" t="s">
        <v>37</v>
      </c>
      <c r="O11747" s="3" t="s">
        <v>618</v>
      </c>
      <c r="P11747" s="5">
        <v>0</v>
      </c>
      <c r="Q11747" s="5">
        <v>4</v>
      </c>
      <c r="R11747" s="5">
        <v>0</v>
      </c>
      <c r="S11747" s="5">
        <v>4</v>
      </c>
    </row>
    <row r="11748" spans="1:19" ht="56" x14ac:dyDescent="0.15">
      <c r="A11748" s="2">
        <f>HYPERLINK("https://open-school.uspishnemisto.com.ua/school/590382/", 590382)</f>
        <v>590382</v>
      </c>
      <c r="B11748" s="3" t="s">
        <v>59474</v>
      </c>
      <c r="C11748" s="3" t="s">
        <v>54</v>
      </c>
      <c r="D11748" s="3" t="s">
        <v>175</v>
      </c>
      <c r="E11748" s="4" t="s">
        <v>22</v>
      </c>
      <c r="F11748" s="4" t="s">
        <v>59475</v>
      </c>
      <c r="G11748" s="4" t="s">
        <v>59476</v>
      </c>
      <c r="H11748" s="3" t="s">
        <v>57649</v>
      </c>
      <c r="I11748" s="3" t="s">
        <v>54756</v>
      </c>
      <c r="J11748" s="3" t="s">
        <v>3858</v>
      </c>
      <c r="K11748" s="3" t="s">
        <v>59477</v>
      </c>
      <c r="L11748" s="3" t="s">
        <v>59478</v>
      </c>
      <c r="M11748" s="4"/>
      <c r="N11748" s="3" t="s">
        <v>37</v>
      </c>
      <c r="O11748" s="3" t="s">
        <v>38</v>
      </c>
      <c r="P11748" s="5">
        <v>4</v>
      </c>
      <c r="Q11748" s="5">
        <v>36</v>
      </c>
      <c r="R11748" s="5">
        <v>4</v>
      </c>
      <c r="S11748" s="5">
        <v>37</v>
      </c>
    </row>
    <row r="11749" spans="1:19" ht="56" x14ac:dyDescent="0.15">
      <c r="A11749" s="2">
        <f>HYPERLINK("https://open-school.uspishnemisto.com.ua/school/590383/", 590383)</f>
        <v>590383</v>
      </c>
      <c r="B11749" s="3" t="s">
        <v>59479</v>
      </c>
      <c r="C11749" s="3" t="s">
        <v>54</v>
      </c>
      <c r="D11749" s="3" t="s">
        <v>32</v>
      </c>
      <c r="E11749" s="4" t="s">
        <v>22</v>
      </c>
      <c r="F11749" s="4" t="s">
        <v>59480</v>
      </c>
      <c r="G11749" s="4" t="s">
        <v>59481</v>
      </c>
      <c r="H11749" s="3" t="s">
        <v>57649</v>
      </c>
      <c r="I11749" s="3" t="s">
        <v>59482</v>
      </c>
      <c r="J11749" s="3" t="s">
        <v>59483</v>
      </c>
      <c r="K11749" s="3" t="s">
        <v>59484</v>
      </c>
      <c r="L11749" s="3"/>
      <c r="M11749" s="4"/>
      <c r="N11749" s="3" t="s">
        <v>37</v>
      </c>
      <c r="O11749" s="3" t="s">
        <v>38</v>
      </c>
      <c r="P11749" s="5">
        <v>11</v>
      </c>
      <c r="Q11749" s="5">
        <v>104</v>
      </c>
      <c r="R11749" s="5">
        <v>11</v>
      </c>
      <c r="S11749" s="5">
        <v>100</v>
      </c>
    </row>
    <row r="11750" spans="1:19" ht="56" x14ac:dyDescent="0.15">
      <c r="A11750" s="2">
        <f>HYPERLINK("https://open-school.uspishnemisto.com.ua/school/590384/", 590384)</f>
        <v>590384</v>
      </c>
      <c r="B11750" s="3" t="s">
        <v>59485</v>
      </c>
      <c r="C11750" s="3" t="s">
        <v>54</v>
      </c>
      <c r="D11750" s="3" t="s">
        <v>175</v>
      </c>
      <c r="E11750" s="4" t="s">
        <v>22</v>
      </c>
      <c r="F11750" s="4" t="s">
        <v>59486</v>
      </c>
      <c r="G11750" s="4" t="s">
        <v>59487</v>
      </c>
      <c r="H11750" s="3" t="s">
        <v>57649</v>
      </c>
      <c r="I11750" s="3" t="s">
        <v>3784</v>
      </c>
      <c r="J11750" s="3" t="s">
        <v>28268</v>
      </c>
      <c r="K11750" s="3" t="s">
        <v>59488</v>
      </c>
      <c r="L11750" s="3"/>
      <c r="M11750" s="4"/>
      <c r="N11750" s="3" t="s">
        <v>37</v>
      </c>
      <c r="O11750" s="3" t="s">
        <v>38</v>
      </c>
      <c r="P11750" s="5">
        <v>5</v>
      </c>
      <c r="Q11750" s="5">
        <v>33</v>
      </c>
      <c r="R11750" s="5">
        <v>4</v>
      </c>
      <c r="S11750" s="5">
        <v>29</v>
      </c>
    </row>
    <row r="11751" spans="1:19" ht="28" x14ac:dyDescent="0.15">
      <c r="A11751" s="2">
        <f>HYPERLINK("https://open-school.uspishnemisto.com.ua/school/590385/", 590385)</f>
        <v>590385</v>
      </c>
      <c r="B11751" s="3" t="s">
        <v>59489</v>
      </c>
      <c r="C11751" s="3" t="s">
        <v>31</v>
      </c>
      <c r="D11751" s="3" t="s">
        <v>175</v>
      </c>
      <c r="E11751" s="4" t="s">
        <v>22</v>
      </c>
      <c r="F11751" s="4" t="s">
        <v>59490</v>
      </c>
      <c r="G11751" s="4" t="s">
        <v>59491</v>
      </c>
      <c r="H11751" s="3" t="s">
        <v>57649</v>
      </c>
      <c r="I11751" s="3" t="s">
        <v>59492</v>
      </c>
      <c r="J11751" s="3" t="s">
        <v>466</v>
      </c>
      <c r="K11751" s="3" t="s">
        <v>59493</v>
      </c>
      <c r="L11751" s="3"/>
      <c r="M11751" s="4"/>
      <c r="N11751" s="3" t="s">
        <v>37</v>
      </c>
      <c r="O11751" s="3" t="s">
        <v>618</v>
      </c>
      <c r="P11751" s="5">
        <v>1</v>
      </c>
      <c r="Q11751" s="5">
        <v>21</v>
      </c>
      <c r="R11751" s="5">
        <v>2</v>
      </c>
      <c r="S11751" s="5">
        <v>25</v>
      </c>
    </row>
    <row r="11752" spans="1:19" ht="56" x14ac:dyDescent="0.15">
      <c r="A11752" s="2">
        <f>HYPERLINK("https://open-school.uspishnemisto.com.ua/school/590386/", 590386)</f>
        <v>590386</v>
      </c>
      <c r="B11752" s="3" t="s">
        <v>59494</v>
      </c>
      <c r="C11752" s="3" t="s">
        <v>54</v>
      </c>
      <c r="D11752" s="3" t="s">
        <v>32</v>
      </c>
      <c r="E11752" s="4" t="s">
        <v>22</v>
      </c>
      <c r="F11752" s="4" t="s">
        <v>59495</v>
      </c>
      <c r="G11752" s="4" t="s">
        <v>59496</v>
      </c>
      <c r="H11752" s="3" t="s">
        <v>57649</v>
      </c>
      <c r="I11752" s="3" t="s">
        <v>59497</v>
      </c>
      <c r="J11752" s="3" t="s">
        <v>466</v>
      </c>
      <c r="K11752" s="3" t="s">
        <v>59498</v>
      </c>
      <c r="L11752" s="3" t="s">
        <v>59499</v>
      </c>
      <c r="M11752" s="4"/>
      <c r="N11752" s="3" t="s">
        <v>37</v>
      </c>
      <c r="O11752" s="3" t="s">
        <v>38</v>
      </c>
      <c r="P11752" s="5">
        <v>6</v>
      </c>
      <c r="Q11752" s="5">
        <v>48</v>
      </c>
      <c r="R11752" s="5">
        <v>7</v>
      </c>
      <c r="S11752" s="5">
        <v>51</v>
      </c>
    </row>
    <row r="11753" spans="1:19" ht="56" x14ac:dyDescent="0.15">
      <c r="A11753" s="2">
        <f>HYPERLINK("https://open-school.uspishnemisto.com.ua/school/590387/", 590387)</f>
        <v>590387</v>
      </c>
      <c r="B11753" s="3" t="s">
        <v>59500</v>
      </c>
      <c r="C11753" s="3" t="s">
        <v>54</v>
      </c>
      <c r="D11753" s="3" t="s">
        <v>175</v>
      </c>
      <c r="E11753" s="4" t="s">
        <v>22</v>
      </c>
      <c r="F11753" s="4" t="s">
        <v>59501</v>
      </c>
      <c r="G11753" s="4" t="s">
        <v>59502</v>
      </c>
      <c r="H11753" s="3" t="s">
        <v>57649</v>
      </c>
      <c r="I11753" s="3" t="s">
        <v>4677</v>
      </c>
      <c r="J11753" s="3" t="s">
        <v>1719</v>
      </c>
      <c r="K11753" s="3" t="s">
        <v>59503</v>
      </c>
      <c r="L11753" s="3"/>
      <c r="M11753" s="4"/>
      <c r="N11753" s="3" t="s">
        <v>37</v>
      </c>
      <c r="O11753" s="3" t="s">
        <v>70</v>
      </c>
      <c r="P11753" s="5">
        <v>5</v>
      </c>
      <c r="Q11753" s="5">
        <v>47</v>
      </c>
      <c r="R11753" s="5">
        <v>6</v>
      </c>
      <c r="S11753" s="5">
        <v>51</v>
      </c>
    </row>
    <row r="11754" spans="1:19" ht="42" x14ac:dyDescent="0.15">
      <c r="A11754" s="2">
        <f>HYPERLINK("https://open-school.uspishnemisto.com.ua/school/590388/", 590388)</f>
        <v>590388</v>
      </c>
      <c r="B11754" s="3" t="s">
        <v>59504</v>
      </c>
      <c r="C11754" s="3" t="s">
        <v>54</v>
      </c>
      <c r="D11754" s="3" t="s">
        <v>32</v>
      </c>
      <c r="E11754" s="4" t="s">
        <v>22</v>
      </c>
      <c r="F11754" s="4" t="s">
        <v>59505</v>
      </c>
      <c r="G11754" s="4" t="s">
        <v>59506</v>
      </c>
      <c r="H11754" s="3" t="s">
        <v>57649</v>
      </c>
      <c r="I11754" s="3" t="s">
        <v>59507</v>
      </c>
      <c r="J11754" s="3" t="s">
        <v>59508</v>
      </c>
      <c r="K11754" s="3" t="s">
        <v>59509</v>
      </c>
      <c r="L11754" s="3"/>
      <c r="M11754" s="4"/>
      <c r="N11754" s="3" t="s">
        <v>37</v>
      </c>
      <c r="O11754" s="3" t="s">
        <v>38</v>
      </c>
      <c r="P11754" s="5">
        <v>8</v>
      </c>
      <c r="Q11754" s="5">
        <v>70</v>
      </c>
      <c r="R11754" s="5">
        <v>8</v>
      </c>
      <c r="S11754" s="5">
        <v>77</v>
      </c>
    </row>
    <row r="11755" spans="1:19" ht="28" x14ac:dyDescent="0.15">
      <c r="A11755" s="2">
        <f>HYPERLINK("https://open-school.uspishnemisto.com.ua/school/590389/", 590389)</f>
        <v>590389</v>
      </c>
      <c r="B11755" s="3" t="s">
        <v>59510</v>
      </c>
      <c r="C11755" s="3" t="s">
        <v>31</v>
      </c>
      <c r="D11755" s="3" t="s">
        <v>32</v>
      </c>
      <c r="E11755" s="4" t="s">
        <v>22</v>
      </c>
      <c r="F11755" s="4" t="s">
        <v>59511</v>
      </c>
      <c r="G11755" s="4" t="s">
        <v>59512</v>
      </c>
      <c r="H11755" s="3" t="s">
        <v>57649</v>
      </c>
      <c r="I11755" s="3" t="s">
        <v>59513</v>
      </c>
      <c r="J11755" s="3" t="s">
        <v>26621</v>
      </c>
      <c r="K11755" s="3" t="s">
        <v>59514</v>
      </c>
      <c r="L11755" s="3"/>
      <c r="M11755" s="4"/>
      <c r="N11755" s="3" t="s">
        <v>37</v>
      </c>
      <c r="O11755" s="3" t="s">
        <v>38</v>
      </c>
      <c r="P11755" s="5">
        <v>9</v>
      </c>
      <c r="Q11755" s="5">
        <v>68</v>
      </c>
      <c r="R11755" s="5">
        <v>9</v>
      </c>
      <c r="S11755" s="5">
        <v>66</v>
      </c>
    </row>
    <row r="11756" spans="1:19" ht="56" x14ac:dyDescent="0.15">
      <c r="A11756" s="2">
        <f>HYPERLINK("https://open-school.uspishnemisto.com.ua/school/590390/", 590390)</f>
        <v>590390</v>
      </c>
      <c r="B11756" s="3" t="s">
        <v>59515</v>
      </c>
      <c r="C11756" s="3" t="s">
        <v>54</v>
      </c>
      <c r="D11756" s="3" t="s">
        <v>32</v>
      </c>
      <c r="E11756" s="4" t="s">
        <v>22</v>
      </c>
      <c r="F11756" s="4" t="s">
        <v>59516</v>
      </c>
      <c r="G11756" s="4" t="s">
        <v>59517</v>
      </c>
      <c r="H11756" s="3" t="s">
        <v>57649</v>
      </c>
      <c r="I11756" s="3" t="s">
        <v>4594</v>
      </c>
      <c r="J11756" s="3" t="s">
        <v>59518</v>
      </c>
      <c r="K11756" s="3" t="s">
        <v>59519</v>
      </c>
      <c r="L11756" s="3"/>
      <c r="M11756" s="4"/>
      <c r="N11756" s="3" t="s">
        <v>37</v>
      </c>
      <c r="O11756" s="3" t="s">
        <v>52</v>
      </c>
      <c r="P11756" s="5">
        <v>0</v>
      </c>
      <c r="Q11756" s="5">
        <v>28</v>
      </c>
      <c r="R11756" s="5">
        <v>4</v>
      </c>
      <c r="S11756" s="5">
        <v>36</v>
      </c>
    </row>
    <row r="11757" spans="1:19" ht="28" x14ac:dyDescent="0.15">
      <c r="A11757" s="2">
        <f>HYPERLINK("https://open-school.uspishnemisto.com.ua/school/590391/", 590391)</f>
        <v>590391</v>
      </c>
      <c r="B11757" s="3" t="s">
        <v>59520</v>
      </c>
      <c r="C11757" s="3" t="s">
        <v>31</v>
      </c>
      <c r="D11757" s="3" t="s">
        <v>32</v>
      </c>
      <c r="E11757" s="4" t="s">
        <v>22</v>
      </c>
      <c r="F11757" s="4" t="s">
        <v>59521</v>
      </c>
      <c r="G11757" s="4" t="s">
        <v>59522</v>
      </c>
      <c r="H11757" s="3" t="s">
        <v>57649</v>
      </c>
      <c r="I11757" s="3" t="s">
        <v>16953</v>
      </c>
      <c r="J11757" s="3" t="s">
        <v>12690</v>
      </c>
      <c r="K11757" s="3" t="s">
        <v>59523</v>
      </c>
      <c r="L11757" s="3"/>
      <c r="M11757" s="4"/>
      <c r="N11757" s="3" t="s">
        <v>37</v>
      </c>
      <c r="O11757" s="3" t="s">
        <v>38</v>
      </c>
      <c r="P11757" s="5">
        <v>10</v>
      </c>
      <c r="Q11757" s="5">
        <v>168</v>
      </c>
      <c r="R11757" s="5">
        <v>10</v>
      </c>
      <c r="S11757" s="5">
        <v>167</v>
      </c>
    </row>
    <row r="11758" spans="1:19" ht="28" x14ac:dyDescent="0.15">
      <c r="A11758" s="2">
        <f>HYPERLINK("https://open-school.uspishnemisto.com.ua/school/590392/", 590392)</f>
        <v>590392</v>
      </c>
      <c r="B11758" s="3" t="s">
        <v>59524</v>
      </c>
      <c r="C11758" s="3" t="s">
        <v>31</v>
      </c>
      <c r="D11758" s="3" t="s">
        <v>175</v>
      </c>
      <c r="E11758" s="4" t="s">
        <v>22</v>
      </c>
      <c r="F11758" s="4" t="s">
        <v>59525</v>
      </c>
      <c r="G11758" s="4" t="s">
        <v>59526</v>
      </c>
      <c r="H11758" s="3" t="s">
        <v>57649</v>
      </c>
      <c r="I11758" s="3" t="s">
        <v>59527</v>
      </c>
      <c r="J11758" s="3" t="s">
        <v>59528</v>
      </c>
      <c r="K11758" s="3" t="s">
        <v>59529</v>
      </c>
      <c r="L11758" s="3"/>
      <c r="M11758" s="4"/>
      <c r="N11758" s="3" t="s">
        <v>37</v>
      </c>
      <c r="O11758" s="3" t="s">
        <v>38</v>
      </c>
      <c r="P11758" s="5">
        <v>4</v>
      </c>
      <c r="Q11758" s="5">
        <v>37</v>
      </c>
      <c r="R11758" s="5">
        <v>4</v>
      </c>
      <c r="S11758" s="5">
        <v>38</v>
      </c>
    </row>
    <row r="11759" spans="1:19" ht="28" x14ac:dyDescent="0.15">
      <c r="A11759" s="2">
        <f>HYPERLINK("https://open-school.uspishnemisto.com.ua/school/590393/", 590393)</f>
        <v>590393</v>
      </c>
      <c r="B11759" s="3" t="s">
        <v>59530</v>
      </c>
      <c r="C11759" s="3" t="s">
        <v>31</v>
      </c>
      <c r="D11759" s="3" t="s">
        <v>32</v>
      </c>
      <c r="E11759" s="4" t="s">
        <v>22</v>
      </c>
      <c r="F11759" s="4" t="s">
        <v>59531</v>
      </c>
      <c r="G11759" s="4" t="s">
        <v>59532</v>
      </c>
      <c r="H11759" s="3" t="s">
        <v>57649</v>
      </c>
      <c r="I11759" s="3" t="s">
        <v>41868</v>
      </c>
      <c r="J11759" s="3" t="s">
        <v>59533</v>
      </c>
      <c r="K11759" s="3" t="s">
        <v>59534</v>
      </c>
      <c r="L11759" s="3"/>
      <c r="M11759" s="4"/>
      <c r="N11759" s="3" t="s">
        <v>37</v>
      </c>
      <c r="O11759" s="3" t="s">
        <v>52</v>
      </c>
      <c r="P11759" s="5">
        <v>3</v>
      </c>
      <c r="Q11759" s="5">
        <v>31</v>
      </c>
      <c r="R11759" s="5">
        <v>3</v>
      </c>
      <c r="S11759" s="5">
        <v>38</v>
      </c>
    </row>
    <row r="11760" spans="1:19" ht="28" x14ac:dyDescent="0.15">
      <c r="A11760" s="2">
        <f>HYPERLINK("https://open-school.uspishnemisto.com.ua/school/590394/", 590394)</f>
        <v>590394</v>
      </c>
      <c r="B11760" s="3" t="s">
        <v>59535</v>
      </c>
      <c r="C11760" s="3" t="s">
        <v>31</v>
      </c>
      <c r="D11760" s="3" t="s">
        <v>175</v>
      </c>
      <c r="E11760" s="4" t="s">
        <v>22</v>
      </c>
      <c r="F11760" s="4" t="s">
        <v>59536</v>
      </c>
      <c r="G11760" s="4" t="s">
        <v>59537</v>
      </c>
      <c r="H11760" s="3" t="s">
        <v>57649</v>
      </c>
      <c r="I11760" s="3" t="s">
        <v>39144</v>
      </c>
      <c r="J11760" s="3" t="s">
        <v>59538</v>
      </c>
      <c r="K11760" s="3" t="s">
        <v>59539</v>
      </c>
      <c r="L11760" s="3"/>
      <c r="M11760" s="4"/>
      <c r="N11760" s="3" t="s">
        <v>37</v>
      </c>
      <c r="O11760" s="3" t="s">
        <v>38</v>
      </c>
      <c r="P11760" s="5">
        <v>3</v>
      </c>
      <c r="Q11760" s="5">
        <v>35</v>
      </c>
      <c r="R11760" s="5">
        <v>3</v>
      </c>
      <c r="S11760" s="5">
        <v>30</v>
      </c>
    </row>
    <row r="11761" spans="1:19" ht="28" x14ac:dyDescent="0.15">
      <c r="A11761" s="2">
        <f>HYPERLINK("https://open-school.uspishnemisto.com.ua/school/590395/", 590395)</f>
        <v>590395</v>
      </c>
      <c r="B11761" s="3" t="s">
        <v>59540</v>
      </c>
      <c r="C11761" s="3" t="s">
        <v>31</v>
      </c>
      <c r="D11761" s="3" t="s">
        <v>32</v>
      </c>
      <c r="E11761" s="4" t="s">
        <v>22</v>
      </c>
      <c r="F11761" s="4" t="s">
        <v>59541</v>
      </c>
      <c r="G11761" s="4" t="s">
        <v>59542</v>
      </c>
      <c r="H11761" s="3" t="s">
        <v>57649</v>
      </c>
      <c r="I11761" s="3" t="s">
        <v>59543</v>
      </c>
      <c r="J11761" s="3" t="s">
        <v>1798</v>
      </c>
      <c r="K11761" s="3" t="s">
        <v>59544</v>
      </c>
      <c r="L11761" s="3"/>
      <c r="M11761" s="4"/>
      <c r="N11761" s="3" t="s">
        <v>37</v>
      </c>
      <c r="O11761" s="3" t="s">
        <v>38</v>
      </c>
      <c r="P11761" s="5">
        <v>11</v>
      </c>
      <c r="Q11761" s="5">
        <v>96</v>
      </c>
      <c r="R11761" s="5">
        <v>11</v>
      </c>
      <c r="S11761" s="5">
        <v>98</v>
      </c>
    </row>
    <row r="11762" spans="1:19" ht="28" x14ac:dyDescent="0.15">
      <c r="A11762" s="2">
        <f>HYPERLINK("https://open-school.uspishnemisto.com.ua/school/590396/", 590396)</f>
        <v>590396</v>
      </c>
      <c r="B11762" s="3" t="s">
        <v>59545</v>
      </c>
      <c r="C11762" s="3" t="s">
        <v>31</v>
      </c>
      <c r="D11762" s="3" t="s">
        <v>32</v>
      </c>
      <c r="E11762" s="4" t="s">
        <v>22</v>
      </c>
      <c r="F11762" s="4" t="s">
        <v>59546</v>
      </c>
      <c r="G11762" s="4" t="s">
        <v>59547</v>
      </c>
      <c r="H11762" s="3" t="s">
        <v>57649</v>
      </c>
      <c r="I11762" s="3" t="s">
        <v>31802</v>
      </c>
      <c r="J11762" s="3" t="s">
        <v>56029</v>
      </c>
      <c r="K11762" s="3" t="s">
        <v>59548</v>
      </c>
      <c r="L11762" s="3"/>
      <c r="M11762" s="4"/>
      <c r="N11762" s="3" t="s">
        <v>37</v>
      </c>
      <c r="O11762" s="3" t="s">
        <v>52</v>
      </c>
      <c r="P11762" s="5">
        <v>11</v>
      </c>
      <c r="Q11762" s="5">
        <v>114</v>
      </c>
      <c r="R11762" s="5">
        <v>11</v>
      </c>
      <c r="S11762" s="5">
        <v>122</v>
      </c>
    </row>
    <row r="11763" spans="1:19" ht="28" x14ac:dyDescent="0.15">
      <c r="A11763" s="2">
        <f>HYPERLINK("https://open-school.uspishnemisto.com.ua/school/590397/", 590397)</f>
        <v>590397</v>
      </c>
      <c r="B11763" s="3" t="s">
        <v>59549</v>
      </c>
      <c r="C11763" s="3" t="s">
        <v>31</v>
      </c>
      <c r="D11763" s="3" t="s">
        <v>175</v>
      </c>
      <c r="E11763" s="4" t="s">
        <v>22</v>
      </c>
      <c r="F11763" s="4" t="s">
        <v>59550</v>
      </c>
      <c r="G11763" s="4" t="s">
        <v>59551</v>
      </c>
      <c r="H11763" s="3" t="s">
        <v>57649</v>
      </c>
      <c r="I11763" s="3" t="s">
        <v>1500</v>
      </c>
      <c r="J11763" s="3" t="s">
        <v>6394</v>
      </c>
      <c r="K11763" s="3" t="s">
        <v>59552</v>
      </c>
      <c r="L11763" s="3"/>
      <c r="M11763" s="4"/>
      <c r="N11763" s="3" t="s">
        <v>37</v>
      </c>
      <c r="O11763" s="3" t="s">
        <v>38</v>
      </c>
      <c r="P11763" s="5">
        <v>7</v>
      </c>
      <c r="Q11763" s="5">
        <v>46</v>
      </c>
      <c r="R11763" s="5">
        <v>7</v>
      </c>
      <c r="S11763" s="5">
        <v>48</v>
      </c>
    </row>
    <row r="11764" spans="1:19" ht="28" x14ac:dyDescent="0.15">
      <c r="A11764" s="2">
        <f>HYPERLINK("https://open-school.uspishnemisto.com.ua/school/590398/", 590398)</f>
        <v>590398</v>
      </c>
      <c r="B11764" s="3" t="s">
        <v>59553</v>
      </c>
      <c r="C11764" s="3" t="s">
        <v>31</v>
      </c>
      <c r="D11764" s="3" t="s">
        <v>32</v>
      </c>
      <c r="E11764" s="4" t="s">
        <v>22</v>
      </c>
      <c r="F11764" s="4" t="s">
        <v>59554</v>
      </c>
      <c r="G11764" s="4" t="s">
        <v>59555</v>
      </c>
      <c r="H11764" s="3" t="s">
        <v>57649</v>
      </c>
      <c r="I11764" s="3" t="s">
        <v>59556</v>
      </c>
      <c r="J11764" s="3" t="s">
        <v>10830</v>
      </c>
      <c r="K11764" s="3" t="s">
        <v>59557</v>
      </c>
      <c r="L11764" s="3"/>
      <c r="M11764" s="4"/>
      <c r="N11764" s="3" t="s">
        <v>37</v>
      </c>
      <c r="O11764" s="3" t="s">
        <v>38</v>
      </c>
      <c r="P11764" s="5">
        <v>11</v>
      </c>
      <c r="Q11764" s="5">
        <v>151</v>
      </c>
      <c r="R11764" s="5">
        <v>10</v>
      </c>
      <c r="S11764" s="5">
        <v>149</v>
      </c>
    </row>
    <row r="11765" spans="1:19" ht="28" x14ac:dyDescent="0.15">
      <c r="A11765" s="2">
        <f>HYPERLINK("https://open-school.uspishnemisto.com.ua/school/590399/", 590399)</f>
        <v>590399</v>
      </c>
      <c r="B11765" s="3" t="s">
        <v>59558</v>
      </c>
      <c r="C11765" s="3" t="s">
        <v>54</v>
      </c>
      <c r="D11765" s="3" t="s">
        <v>32</v>
      </c>
      <c r="E11765" s="4" t="s">
        <v>22</v>
      </c>
      <c r="F11765" s="4" t="s">
        <v>59559</v>
      </c>
      <c r="G11765" s="4" t="s">
        <v>59560</v>
      </c>
      <c r="H11765" s="3" t="s">
        <v>57649</v>
      </c>
      <c r="I11765" s="3" t="s">
        <v>59561</v>
      </c>
      <c r="J11765" s="3" t="s">
        <v>694</v>
      </c>
      <c r="K11765" s="3" t="s">
        <v>59562</v>
      </c>
      <c r="L11765" s="3"/>
      <c r="M11765" s="4"/>
      <c r="N11765" s="3" t="s">
        <v>37</v>
      </c>
      <c r="O11765" s="3" t="s">
        <v>112</v>
      </c>
      <c r="P11765" s="5">
        <v>1</v>
      </c>
      <c r="Q11765" s="5">
        <v>25</v>
      </c>
      <c r="R11765" s="5">
        <v>2</v>
      </c>
      <c r="S11765" s="5">
        <v>30</v>
      </c>
    </row>
    <row r="11766" spans="1:19" ht="28" x14ac:dyDescent="0.15">
      <c r="A11766" s="2">
        <f>HYPERLINK("https://open-school.uspishnemisto.com.ua/school/590400/", 590400)</f>
        <v>590400</v>
      </c>
      <c r="B11766" s="3" t="s">
        <v>59563</v>
      </c>
      <c r="C11766" s="3" t="s">
        <v>31</v>
      </c>
      <c r="D11766" s="3" t="s">
        <v>32</v>
      </c>
      <c r="E11766" s="4" t="s">
        <v>22</v>
      </c>
      <c r="F11766" s="4" t="s">
        <v>59564</v>
      </c>
      <c r="G11766" s="4" t="s">
        <v>59565</v>
      </c>
      <c r="H11766" s="3" t="s">
        <v>57649</v>
      </c>
      <c r="I11766" s="3" t="s">
        <v>1826</v>
      </c>
      <c r="J11766" s="3" t="s">
        <v>59566</v>
      </c>
      <c r="K11766" s="3" t="s">
        <v>59567</v>
      </c>
      <c r="L11766" s="3"/>
      <c r="M11766" s="4"/>
      <c r="N11766" s="3" t="s">
        <v>37</v>
      </c>
      <c r="O11766" s="3" t="s">
        <v>38</v>
      </c>
      <c r="P11766" s="5">
        <v>11</v>
      </c>
      <c r="Q11766" s="5">
        <v>135</v>
      </c>
      <c r="R11766" s="5">
        <v>11</v>
      </c>
      <c r="S11766" s="5">
        <v>150</v>
      </c>
    </row>
    <row r="11767" spans="1:19" ht="42" x14ac:dyDescent="0.15">
      <c r="A11767" s="2">
        <f>HYPERLINK("https://open-school.uspishnemisto.com.ua/school/590401/", 590401)</f>
        <v>590401</v>
      </c>
      <c r="B11767" s="3" t="s">
        <v>59568</v>
      </c>
      <c r="C11767" s="3" t="s">
        <v>181</v>
      </c>
      <c r="D11767" s="3" t="s">
        <v>32</v>
      </c>
      <c r="E11767" s="4" t="s">
        <v>22</v>
      </c>
      <c r="F11767" s="4" t="s">
        <v>59564</v>
      </c>
      <c r="G11767" s="4" t="s">
        <v>59565</v>
      </c>
      <c r="H11767" s="3" t="s">
        <v>57649</v>
      </c>
      <c r="I11767" s="3" t="s">
        <v>1826</v>
      </c>
      <c r="J11767" s="3" t="s">
        <v>49214</v>
      </c>
      <c r="K11767" s="3" t="s">
        <v>59569</v>
      </c>
      <c r="L11767" s="3"/>
      <c r="M11767" s="4" t="s">
        <v>59570</v>
      </c>
      <c r="N11767" s="3" t="s">
        <v>37</v>
      </c>
      <c r="O11767" s="3" t="s">
        <v>52</v>
      </c>
      <c r="P11767" s="5">
        <v>13</v>
      </c>
      <c r="Q11767" s="5">
        <v>96</v>
      </c>
      <c r="R11767" s="5">
        <v>12</v>
      </c>
      <c r="S11767" s="5">
        <v>92</v>
      </c>
    </row>
    <row r="11768" spans="1:19" ht="28" x14ac:dyDescent="0.15">
      <c r="A11768" s="2">
        <f>HYPERLINK("https://open-school.uspishnemisto.com.ua/school/590402/", 590402)</f>
        <v>590402</v>
      </c>
      <c r="B11768" s="3" t="s">
        <v>59571</v>
      </c>
      <c r="C11768" s="3" t="s">
        <v>54</v>
      </c>
      <c r="D11768" s="3" t="s">
        <v>32</v>
      </c>
      <c r="E11768" s="4" t="s">
        <v>22</v>
      </c>
      <c r="F11768" s="4" t="s">
        <v>59572</v>
      </c>
      <c r="G11768" s="4" t="s">
        <v>59573</v>
      </c>
      <c r="H11768" s="3" t="s">
        <v>57649</v>
      </c>
      <c r="I11768" s="3" t="s">
        <v>12585</v>
      </c>
      <c r="J11768" s="3" t="s">
        <v>4678</v>
      </c>
      <c r="K11768" s="3" t="s">
        <v>59574</v>
      </c>
      <c r="L11768" s="3"/>
      <c r="M11768" s="4"/>
      <c r="N11768" s="3" t="s">
        <v>37</v>
      </c>
      <c r="O11768" s="3" t="s">
        <v>38</v>
      </c>
      <c r="P11768" s="5">
        <v>6</v>
      </c>
      <c r="Q11768" s="5">
        <v>48</v>
      </c>
      <c r="R11768" s="5">
        <v>5</v>
      </c>
      <c r="S11768" s="5">
        <v>48</v>
      </c>
    </row>
    <row r="11769" spans="1:19" ht="56" x14ac:dyDescent="0.15">
      <c r="A11769" s="2">
        <f>HYPERLINK("https://open-school.uspishnemisto.com.ua/school/590403/", 590403)</f>
        <v>590403</v>
      </c>
      <c r="B11769" s="3" t="s">
        <v>59575</v>
      </c>
      <c r="C11769" s="3" t="s">
        <v>54</v>
      </c>
      <c r="D11769" s="3" t="s">
        <v>32</v>
      </c>
      <c r="E11769" s="4" t="s">
        <v>22</v>
      </c>
      <c r="F11769" s="4" t="s">
        <v>59576</v>
      </c>
      <c r="G11769" s="4" t="s">
        <v>59577</v>
      </c>
      <c r="H11769" s="3" t="s">
        <v>57649</v>
      </c>
      <c r="I11769" s="3" t="s">
        <v>7089</v>
      </c>
      <c r="J11769" s="3" t="s">
        <v>17722</v>
      </c>
      <c r="K11769" s="3" t="s">
        <v>59578</v>
      </c>
      <c r="L11769" s="3"/>
      <c r="M11769" s="4"/>
      <c r="N11769" s="3" t="s">
        <v>37</v>
      </c>
      <c r="O11769" s="3" t="s">
        <v>38</v>
      </c>
      <c r="P11769" s="5">
        <v>8</v>
      </c>
      <c r="Q11769" s="5">
        <v>75</v>
      </c>
      <c r="R11769" s="5">
        <v>8</v>
      </c>
      <c r="S11769" s="5">
        <v>75</v>
      </c>
    </row>
    <row r="11770" spans="1:19" ht="28" x14ac:dyDescent="0.15">
      <c r="A11770" s="2">
        <f>HYPERLINK("https://open-school.uspishnemisto.com.ua/school/590404/", 590404)</f>
        <v>590404</v>
      </c>
      <c r="B11770" s="3" t="s">
        <v>59579</v>
      </c>
      <c r="C11770" s="3" t="s">
        <v>31</v>
      </c>
      <c r="D11770" s="3" t="s">
        <v>32</v>
      </c>
      <c r="E11770" s="4" t="s">
        <v>22</v>
      </c>
      <c r="F11770" s="4" t="s">
        <v>59580</v>
      </c>
      <c r="G11770" s="4" t="s">
        <v>59581</v>
      </c>
      <c r="H11770" s="3" t="s">
        <v>57649</v>
      </c>
      <c r="I11770" s="3" t="s">
        <v>31107</v>
      </c>
      <c r="J11770" s="3" t="s">
        <v>59582</v>
      </c>
      <c r="K11770" s="3" t="s">
        <v>59583</v>
      </c>
      <c r="L11770" s="3"/>
      <c r="M11770" s="4"/>
      <c r="N11770" s="3" t="s">
        <v>37</v>
      </c>
      <c r="O11770" s="3" t="s">
        <v>38</v>
      </c>
      <c r="P11770" s="5">
        <v>6</v>
      </c>
      <c r="Q11770" s="5">
        <v>72</v>
      </c>
      <c r="R11770" s="5">
        <v>8</v>
      </c>
      <c r="S11770" s="5">
        <v>79</v>
      </c>
    </row>
    <row r="11771" spans="1:19" ht="28" x14ac:dyDescent="0.15">
      <c r="A11771" s="2">
        <f>HYPERLINK("https://open-school.uspishnemisto.com.ua/school/590405/", 590405)</f>
        <v>590405</v>
      </c>
      <c r="B11771" s="3" t="s">
        <v>59584</v>
      </c>
      <c r="C11771" s="3" t="s">
        <v>31</v>
      </c>
      <c r="D11771" s="3" t="s">
        <v>175</v>
      </c>
      <c r="E11771" s="4" t="s">
        <v>22</v>
      </c>
      <c r="F11771" s="4" t="s">
        <v>58030</v>
      </c>
      <c r="G11771" s="4" t="s">
        <v>59585</v>
      </c>
      <c r="H11771" s="3" t="s">
        <v>57649</v>
      </c>
      <c r="I11771" s="3" t="s">
        <v>59586</v>
      </c>
      <c r="J11771" s="3"/>
      <c r="K11771" s="3" t="s">
        <v>59587</v>
      </c>
      <c r="L11771" s="3"/>
      <c r="M11771" s="4"/>
      <c r="N11771" s="3" t="s">
        <v>37</v>
      </c>
      <c r="O11771" s="3" t="s">
        <v>38</v>
      </c>
      <c r="P11771" s="5">
        <v>8</v>
      </c>
      <c r="Q11771" s="5">
        <v>87</v>
      </c>
      <c r="R11771" s="5">
        <v>8</v>
      </c>
      <c r="S11771" s="5">
        <v>75</v>
      </c>
    </row>
    <row r="11772" spans="1:19" ht="56" x14ac:dyDescent="0.15">
      <c r="A11772" s="2">
        <f>HYPERLINK("https://open-school.uspishnemisto.com.ua/school/590406/", 590406)</f>
        <v>590406</v>
      </c>
      <c r="B11772" s="3" t="s">
        <v>59588</v>
      </c>
      <c r="C11772" s="3" t="s">
        <v>54</v>
      </c>
      <c r="D11772" s="3" t="s">
        <v>32</v>
      </c>
      <c r="E11772" s="4" t="s">
        <v>22</v>
      </c>
      <c r="F11772" s="4" t="s">
        <v>59589</v>
      </c>
      <c r="G11772" s="4" t="s">
        <v>59590</v>
      </c>
      <c r="H11772" s="3" t="s">
        <v>57649</v>
      </c>
      <c r="I11772" s="3" t="s">
        <v>59591</v>
      </c>
      <c r="J11772" s="3" t="s">
        <v>59592</v>
      </c>
      <c r="K11772" s="3" t="s">
        <v>59593</v>
      </c>
      <c r="L11772" s="3"/>
      <c r="M11772" s="4"/>
      <c r="N11772" s="3" t="s">
        <v>37</v>
      </c>
      <c r="O11772" s="3" t="s">
        <v>38</v>
      </c>
      <c r="P11772" s="5">
        <v>6</v>
      </c>
      <c r="Q11772" s="5">
        <v>67</v>
      </c>
      <c r="R11772" s="5">
        <v>7</v>
      </c>
      <c r="S11772" s="5">
        <v>69</v>
      </c>
    </row>
    <row r="11773" spans="1:19" ht="28" x14ac:dyDescent="0.15">
      <c r="A11773" s="2">
        <f>HYPERLINK("https://open-school.uspishnemisto.com.ua/school/590407/", 590407)</f>
        <v>590407</v>
      </c>
      <c r="B11773" s="3" t="s">
        <v>59594</v>
      </c>
      <c r="C11773" s="3" t="s">
        <v>31</v>
      </c>
      <c r="D11773" s="3" t="s">
        <v>32</v>
      </c>
      <c r="E11773" s="4" t="s">
        <v>22</v>
      </c>
      <c r="F11773" s="4" t="s">
        <v>59595</v>
      </c>
      <c r="G11773" s="4" t="s">
        <v>59596</v>
      </c>
      <c r="H11773" s="3" t="s">
        <v>57649</v>
      </c>
      <c r="I11773" s="3" t="s">
        <v>1740</v>
      </c>
      <c r="J11773" s="3" t="s">
        <v>2820</v>
      </c>
      <c r="K11773" s="3" t="s">
        <v>59597</v>
      </c>
      <c r="L11773" s="3"/>
      <c r="M11773" s="4"/>
      <c r="N11773" s="3" t="s">
        <v>37</v>
      </c>
      <c r="O11773" s="3" t="s">
        <v>38</v>
      </c>
      <c r="P11773" s="5">
        <v>10</v>
      </c>
      <c r="Q11773" s="5">
        <v>83</v>
      </c>
      <c r="R11773" s="5">
        <v>10</v>
      </c>
      <c r="S11773" s="5">
        <v>80</v>
      </c>
    </row>
    <row r="11774" spans="1:19" ht="28" x14ac:dyDescent="0.15">
      <c r="A11774" s="2">
        <f>HYPERLINK("https://open-school.uspishnemisto.com.ua/school/590408/", 590408)</f>
        <v>590408</v>
      </c>
      <c r="B11774" s="3" t="s">
        <v>59598</v>
      </c>
      <c r="C11774" s="3" t="s">
        <v>31</v>
      </c>
      <c r="D11774" s="3" t="s">
        <v>175</v>
      </c>
      <c r="E11774" s="4" t="s">
        <v>22</v>
      </c>
      <c r="F11774" s="4" t="s">
        <v>59599</v>
      </c>
      <c r="G11774" s="4" t="s">
        <v>59600</v>
      </c>
      <c r="H11774" s="3" t="s">
        <v>57649</v>
      </c>
      <c r="I11774" s="3" t="s">
        <v>1803</v>
      </c>
      <c r="J11774" s="3" t="s">
        <v>3370</v>
      </c>
      <c r="K11774" s="3" t="s">
        <v>59601</v>
      </c>
      <c r="L11774" s="3"/>
      <c r="M11774" s="4"/>
      <c r="N11774" s="3" t="s">
        <v>37</v>
      </c>
      <c r="O11774" s="3" t="s">
        <v>38</v>
      </c>
      <c r="P11774" s="5">
        <v>1</v>
      </c>
      <c r="Q11774" s="5">
        <v>25</v>
      </c>
      <c r="R11774" s="5">
        <v>1</v>
      </c>
      <c r="S11774" s="5">
        <v>26</v>
      </c>
    </row>
    <row r="11775" spans="1:19" ht="28" x14ac:dyDescent="0.15">
      <c r="A11775" s="2">
        <f>HYPERLINK("https://open-school.uspishnemisto.com.ua/school/590409/", 590409)</f>
        <v>590409</v>
      </c>
      <c r="B11775" s="3" t="s">
        <v>59602</v>
      </c>
      <c r="C11775" s="3" t="s">
        <v>31</v>
      </c>
      <c r="D11775" s="3" t="s">
        <v>175</v>
      </c>
      <c r="E11775" s="4" t="s">
        <v>22</v>
      </c>
      <c r="F11775" s="4" t="s">
        <v>59603</v>
      </c>
      <c r="G11775" s="4" t="s">
        <v>59604</v>
      </c>
      <c r="H11775" s="3" t="s">
        <v>57649</v>
      </c>
      <c r="I11775" s="3" t="s">
        <v>59605</v>
      </c>
      <c r="J11775" s="3" t="s">
        <v>17711</v>
      </c>
      <c r="K11775" s="3" t="s">
        <v>59606</v>
      </c>
      <c r="L11775" s="3"/>
      <c r="M11775" s="4"/>
      <c r="N11775" s="3" t="s">
        <v>37</v>
      </c>
      <c r="O11775" s="3" t="s">
        <v>46</v>
      </c>
      <c r="P11775" s="5">
        <v>1</v>
      </c>
      <c r="Q11775" s="5">
        <v>27</v>
      </c>
      <c r="R11775" s="5">
        <v>0</v>
      </c>
      <c r="S11775" s="5">
        <v>26</v>
      </c>
    </row>
    <row r="11776" spans="1:19" ht="28" x14ac:dyDescent="0.15">
      <c r="A11776" s="2">
        <f>HYPERLINK("https://open-school.uspishnemisto.com.ua/school/590410/", 590410)</f>
        <v>590410</v>
      </c>
      <c r="B11776" s="3" t="s">
        <v>59607</v>
      </c>
      <c r="C11776" s="3" t="s">
        <v>31</v>
      </c>
      <c r="D11776" s="3" t="s">
        <v>32</v>
      </c>
      <c r="E11776" s="4" t="s">
        <v>22</v>
      </c>
      <c r="F11776" s="4" t="s">
        <v>59608</v>
      </c>
      <c r="G11776" s="4" t="s">
        <v>59609</v>
      </c>
      <c r="H11776" s="3" t="s">
        <v>57649</v>
      </c>
      <c r="I11776" s="3" t="s">
        <v>59610</v>
      </c>
      <c r="J11776" s="3" t="s">
        <v>59611</v>
      </c>
      <c r="K11776" s="3" t="s">
        <v>59612</v>
      </c>
      <c r="L11776" s="3"/>
      <c r="M11776" s="4"/>
      <c r="N11776" s="3" t="s">
        <v>37</v>
      </c>
      <c r="O11776" s="3" t="s">
        <v>38</v>
      </c>
      <c r="P11776" s="5">
        <v>8</v>
      </c>
      <c r="Q11776" s="5">
        <v>81</v>
      </c>
      <c r="R11776" s="5">
        <v>9</v>
      </c>
      <c r="S11776" s="5">
        <v>77</v>
      </c>
    </row>
    <row r="11777" spans="1:19" ht="28" x14ac:dyDescent="0.15">
      <c r="A11777" s="2">
        <f>HYPERLINK("https://open-school.uspishnemisto.com.ua/school/590411/", 590411)</f>
        <v>590411</v>
      </c>
      <c r="B11777" s="3" t="s">
        <v>59613</v>
      </c>
      <c r="C11777" s="3" t="s">
        <v>20</v>
      </c>
      <c r="D11777" s="3" t="s">
        <v>19078</v>
      </c>
      <c r="E11777" s="4" t="s">
        <v>22</v>
      </c>
      <c r="F11777" s="4" t="s">
        <v>59614</v>
      </c>
      <c r="G11777" s="4" t="s">
        <v>59615</v>
      </c>
      <c r="H11777" s="3" t="s">
        <v>57649</v>
      </c>
      <c r="I11777" s="3" t="s">
        <v>59616</v>
      </c>
      <c r="J11777" s="3" t="s">
        <v>59617</v>
      </c>
      <c r="K11777" s="3" t="s">
        <v>59618</v>
      </c>
      <c r="L11777" s="3"/>
      <c r="M11777" s="4"/>
      <c r="N11777" s="3"/>
      <c r="O11777" s="3"/>
      <c r="P11777" s="5">
        <v>0</v>
      </c>
      <c r="Q11777" s="5">
        <v>0</v>
      </c>
      <c r="R11777" s="5"/>
      <c r="S11777" s="5"/>
    </row>
    <row r="11778" spans="1:19" ht="28" x14ac:dyDescent="0.15">
      <c r="A11778" s="2">
        <f>HYPERLINK("https://open-school.uspishnemisto.com.ua/school/590412/", 590412)</f>
        <v>590412</v>
      </c>
      <c r="B11778" s="3" t="s">
        <v>59619</v>
      </c>
      <c r="C11778" s="3" t="s">
        <v>31</v>
      </c>
      <c r="D11778" s="3" t="s">
        <v>32</v>
      </c>
      <c r="E11778" s="4" t="s">
        <v>22</v>
      </c>
      <c r="F11778" s="4" t="s">
        <v>59614</v>
      </c>
      <c r="G11778" s="4" t="s">
        <v>59615</v>
      </c>
      <c r="H11778" s="3" t="s">
        <v>57649</v>
      </c>
      <c r="I11778" s="3" t="s">
        <v>59616</v>
      </c>
      <c r="J11778" s="3" t="s">
        <v>59620</v>
      </c>
      <c r="K11778" s="3" t="s">
        <v>59621</v>
      </c>
      <c r="L11778" s="3"/>
      <c r="M11778" s="4"/>
      <c r="N11778" s="3" t="s">
        <v>37</v>
      </c>
      <c r="O11778" s="3" t="s">
        <v>38</v>
      </c>
      <c r="P11778" s="5">
        <v>10</v>
      </c>
      <c r="Q11778" s="5">
        <v>132</v>
      </c>
      <c r="R11778" s="5">
        <v>10</v>
      </c>
      <c r="S11778" s="5">
        <v>134</v>
      </c>
    </row>
    <row r="11779" spans="1:19" ht="28" x14ac:dyDescent="0.15">
      <c r="A11779" s="2">
        <f>HYPERLINK("https://open-school.uspishnemisto.com.ua/school/590413/", 590413)</f>
        <v>590413</v>
      </c>
      <c r="B11779" s="3" t="s">
        <v>59622</v>
      </c>
      <c r="C11779" s="3" t="s">
        <v>31</v>
      </c>
      <c r="D11779" s="3" t="s">
        <v>32</v>
      </c>
      <c r="E11779" s="4" t="s">
        <v>22</v>
      </c>
      <c r="F11779" s="4" t="s">
        <v>59623</v>
      </c>
      <c r="G11779" s="4" t="s">
        <v>59624</v>
      </c>
      <c r="H11779" s="3" t="s">
        <v>57649</v>
      </c>
      <c r="I11779" s="3" t="s">
        <v>59625</v>
      </c>
      <c r="J11779" s="3" t="s">
        <v>59626</v>
      </c>
      <c r="K11779" s="3" t="s">
        <v>59627</v>
      </c>
      <c r="L11779" s="3"/>
      <c r="M11779" s="4"/>
      <c r="N11779" s="3" t="s">
        <v>37</v>
      </c>
      <c r="O11779" s="3" t="s">
        <v>38</v>
      </c>
      <c r="P11779" s="5">
        <v>8</v>
      </c>
      <c r="Q11779" s="5">
        <v>97</v>
      </c>
      <c r="R11779" s="5">
        <v>7</v>
      </c>
      <c r="S11779" s="5">
        <v>98</v>
      </c>
    </row>
    <row r="11780" spans="1:19" ht="56" x14ac:dyDescent="0.15">
      <c r="A11780" s="2">
        <f>HYPERLINK("https://open-school.uspishnemisto.com.ua/school/590414/", 590414)</f>
        <v>590414</v>
      </c>
      <c r="B11780" s="3" t="s">
        <v>59628</v>
      </c>
      <c r="C11780" s="3" t="s">
        <v>54</v>
      </c>
      <c r="D11780" s="3" t="s">
        <v>32</v>
      </c>
      <c r="E11780" s="4" t="s">
        <v>22</v>
      </c>
      <c r="F11780" s="4" t="s">
        <v>59629</v>
      </c>
      <c r="G11780" s="4" t="s">
        <v>59630</v>
      </c>
      <c r="H11780" s="3" t="s">
        <v>57649</v>
      </c>
      <c r="I11780" s="3" t="s">
        <v>59631</v>
      </c>
      <c r="J11780" s="3" t="s">
        <v>2584</v>
      </c>
      <c r="K11780" s="3" t="s">
        <v>59632</v>
      </c>
      <c r="L11780" s="3"/>
      <c r="M11780" s="4"/>
      <c r="N11780" s="3" t="s">
        <v>37</v>
      </c>
      <c r="O11780" s="3" t="s">
        <v>38</v>
      </c>
      <c r="P11780" s="5">
        <v>10</v>
      </c>
      <c r="Q11780" s="5">
        <v>90</v>
      </c>
      <c r="R11780" s="5">
        <v>9</v>
      </c>
      <c r="S11780" s="5">
        <v>97</v>
      </c>
    </row>
    <row r="11781" spans="1:19" ht="42" x14ac:dyDescent="0.15">
      <c r="A11781" s="2">
        <f>HYPERLINK("https://open-school.uspishnemisto.com.ua/school/590415/", 590415)</f>
        <v>590415</v>
      </c>
      <c r="B11781" s="3" t="s">
        <v>59633</v>
      </c>
      <c r="C11781" s="3" t="s">
        <v>31</v>
      </c>
      <c r="D11781" s="3" t="s">
        <v>32</v>
      </c>
      <c r="E11781" s="4" t="s">
        <v>22</v>
      </c>
      <c r="F11781" s="4" t="s">
        <v>59634</v>
      </c>
      <c r="G11781" s="4" t="s">
        <v>59635</v>
      </c>
      <c r="H11781" s="3" t="s">
        <v>57649</v>
      </c>
      <c r="I11781" s="3" t="s">
        <v>59636</v>
      </c>
      <c r="J11781" s="3" t="s">
        <v>59637</v>
      </c>
      <c r="K11781" s="3" t="s">
        <v>59638</v>
      </c>
      <c r="L11781" s="3"/>
      <c r="M11781" s="4"/>
      <c r="N11781" s="3" t="s">
        <v>37</v>
      </c>
      <c r="O11781" s="3" t="s">
        <v>38</v>
      </c>
      <c r="P11781" s="5">
        <v>9</v>
      </c>
      <c r="Q11781" s="5">
        <v>137</v>
      </c>
      <c r="R11781" s="5">
        <v>10</v>
      </c>
      <c r="S11781" s="5">
        <v>124</v>
      </c>
    </row>
    <row r="11782" spans="1:19" ht="28" x14ac:dyDescent="0.15">
      <c r="A11782" s="2">
        <f>HYPERLINK("https://open-school.uspishnemisto.com.ua/school/590416/", 590416)</f>
        <v>590416</v>
      </c>
      <c r="B11782" s="3" t="s">
        <v>59639</v>
      </c>
      <c r="C11782" s="3" t="s">
        <v>31</v>
      </c>
      <c r="D11782" s="3" t="s">
        <v>175</v>
      </c>
      <c r="E11782" s="4" t="s">
        <v>22</v>
      </c>
      <c r="F11782" s="4" t="s">
        <v>59640</v>
      </c>
      <c r="G11782" s="4" t="s">
        <v>59641</v>
      </c>
      <c r="H11782" s="3" t="s">
        <v>57649</v>
      </c>
      <c r="I11782" s="3" t="s">
        <v>59642</v>
      </c>
      <c r="J11782" s="3" t="s">
        <v>59643</v>
      </c>
      <c r="K11782" s="3" t="s">
        <v>59644</v>
      </c>
      <c r="L11782" s="3"/>
      <c r="M11782" s="4"/>
      <c r="N11782" s="3" t="s">
        <v>37</v>
      </c>
      <c r="O11782" s="3" t="s">
        <v>38</v>
      </c>
      <c r="P11782" s="5">
        <v>9</v>
      </c>
      <c r="Q11782" s="5">
        <v>78</v>
      </c>
      <c r="R11782" s="5">
        <v>9</v>
      </c>
      <c r="S11782" s="5">
        <v>75</v>
      </c>
    </row>
    <row r="11783" spans="1:19" ht="28" x14ac:dyDescent="0.15">
      <c r="A11783" s="2">
        <f>HYPERLINK("https://open-school.uspishnemisto.com.ua/school/590417/", 590417)</f>
        <v>590417</v>
      </c>
      <c r="B11783" s="3" t="s">
        <v>59645</v>
      </c>
      <c r="C11783" s="3" t="s">
        <v>31</v>
      </c>
      <c r="D11783" s="3" t="s">
        <v>32</v>
      </c>
      <c r="E11783" s="4" t="s">
        <v>22</v>
      </c>
      <c r="F11783" s="4" t="s">
        <v>59646</v>
      </c>
      <c r="G11783" s="4" t="s">
        <v>59647</v>
      </c>
      <c r="H11783" s="3" t="s">
        <v>57649</v>
      </c>
      <c r="I11783" s="3" t="s">
        <v>59648</v>
      </c>
      <c r="J11783" s="3" t="s">
        <v>1348</v>
      </c>
      <c r="K11783" s="3" t="s">
        <v>59649</v>
      </c>
      <c r="L11783" s="3"/>
      <c r="M11783" s="4"/>
      <c r="N11783" s="3" t="s">
        <v>37</v>
      </c>
      <c r="O11783" s="3" t="s">
        <v>38</v>
      </c>
      <c r="P11783" s="5">
        <v>10</v>
      </c>
      <c r="Q11783" s="5">
        <v>93</v>
      </c>
      <c r="R11783" s="5">
        <v>11</v>
      </c>
      <c r="S11783" s="5">
        <v>102</v>
      </c>
    </row>
    <row r="11784" spans="1:19" ht="28" x14ac:dyDescent="0.15">
      <c r="A11784" s="2">
        <f>HYPERLINK("https://open-school.uspishnemisto.com.ua/school/590418/", 590418)</f>
        <v>590418</v>
      </c>
      <c r="B11784" s="3" t="s">
        <v>59650</v>
      </c>
      <c r="C11784" s="3" t="s">
        <v>31</v>
      </c>
      <c r="D11784" s="3" t="s">
        <v>32</v>
      </c>
      <c r="E11784" s="4" t="s">
        <v>22</v>
      </c>
      <c r="F11784" s="4" t="s">
        <v>59651</v>
      </c>
      <c r="G11784" s="4" t="s">
        <v>59652</v>
      </c>
      <c r="H11784" s="3" t="s">
        <v>57649</v>
      </c>
      <c r="I11784" s="3" t="s">
        <v>59653</v>
      </c>
      <c r="J11784" s="3" t="s">
        <v>1668</v>
      </c>
      <c r="K11784" s="3" t="s">
        <v>59654</v>
      </c>
      <c r="L11784" s="3"/>
      <c r="M11784" s="4"/>
      <c r="N11784" s="3" t="s">
        <v>37</v>
      </c>
      <c r="O11784" s="3" t="s">
        <v>52</v>
      </c>
      <c r="P11784" s="5">
        <v>6</v>
      </c>
      <c r="Q11784" s="5">
        <v>48</v>
      </c>
      <c r="R11784" s="5">
        <v>6</v>
      </c>
      <c r="S11784" s="5">
        <v>47</v>
      </c>
    </row>
    <row r="11785" spans="1:19" ht="28" x14ac:dyDescent="0.15">
      <c r="A11785" s="2">
        <f>HYPERLINK("https://open-school.uspishnemisto.com.ua/school/590419/", 590419)</f>
        <v>590419</v>
      </c>
      <c r="B11785" s="3" t="s">
        <v>59655</v>
      </c>
      <c r="C11785" s="3" t="s">
        <v>54</v>
      </c>
      <c r="D11785" s="3" t="s">
        <v>32</v>
      </c>
      <c r="E11785" s="4" t="s">
        <v>22</v>
      </c>
      <c r="F11785" s="4" t="s">
        <v>59656</v>
      </c>
      <c r="G11785" s="4" t="s">
        <v>59657</v>
      </c>
      <c r="H11785" s="3" t="s">
        <v>57649</v>
      </c>
      <c r="I11785" s="3" t="s">
        <v>59658</v>
      </c>
      <c r="J11785" s="3" t="s">
        <v>1360</v>
      </c>
      <c r="K11785" s="3" t="s">
        <v>59659</v>
      </c>
      <c r="L11785" s="3"/>
      <c r="M11785" s="4"/>
      <c r="N11785" s="3" t="s">
        <v>37</v>
      </c>
      <c r="O11785" s="3" t="s">
        <v>52</v>
      </c>
      <c r="P11785" s="5">
        <v>7</v>
      </c>
      <c r="Q11785" s="5">
        <v>61</v>
      </c>
      <c r="R11785" s="5">
        <v>8</v>
      </c>
      <c r="S11785" s="5">
        <v>62</v>
      </c>
    </row>
    <row r="11786" spans="1:19" ht="56" x14ac:dyDescent="0.15">
      <c r="A11786" s="2">
        <f>HYPERLINK("https://open-school.uspishnemisto.com.ua/school/590420/", 590420)</f>
        <v>590420</v>
      </c>
      <c r="B11786" s="3" t="s">
        <v>59660</v>
      </c>
      <c r="C11786" s="3" t="s">
        <v>54</v>
      </c>
      <c r="D11786" s="3" t="s">
        <v>32</v>
      </c>
      <c r="E11786" s="4" t="s">
        <v>22</v>
      </c>
      <c r="F11786" s="4" t="s">
        <v>59661</v>
      </c>
      <c r="G11786" s="4" t="s">
        <v>59662</v>
      </c>
      <c r="H11786" s="3" t="s">
        <v>57649</v>
      </c>
      <c r="I11786" s="3" t="s">
        <v>22365</v>
      </c>
      <c r="J11786" s="3" t="s">
        <v>59663</v>
      </c>
      <c r="K11786" s="3" t="s">
        <v>59664</v>
      </c>
      <c r="L11786" s="3" t="s">
        <v>59665</v>
      </c>
      <c r="M11786" s="4"/>
      <c r="N11786" s="3" t="s">
        <v>37</v>
      </c>
      <c r="O11786" s="3" t="s">
        <v>38</v>
      </c>
      <c r="P11786" s="5">
        <v>9</v>
      </c>
      <c r="Q11786" s="5">
        <v>87</v>
      </c>
      <c r="R11786" s="5">
        <v>9</v>
      </c>
      <c r="S11786" s="5">
        <v>76</v>
      </c>
    </row>
    <row r="11787" spans="1:19" ht="28" x14ac:dyDescent="0.15">
      <c r="A11787" s="2">
        <f>HYPERLINK("https://open-school.uspishnemisto.com.ua/school/590421/", 590421)</f>
        <v>590421</v>
      </c>
      <c r="B11787" s="3" t="s">
        <v>59666</v>
      </c>
      <c r="C11787" s="3" t="s">
        <v>31</v>
      </c>
      <c r="D11787" s="3" t="s">
        <v>175</v>
      </c>
      <c r="E11787" s="4" t="s">
        <v>22</v>
      </c>
      <c r="F11787" s="4" t="s">
        <v>59667</v>
      </c>
      <c r="G11787" s="4" t="s">
        <v>59668</v>
      </c>
      <c r="H11787" s="3" t="s">
        <v>57649</v>
      </c>
      <c r="I11787" s="3" t="s">
        <v>59669</v>
      </c>
      <c r="J11787" s="3" t="s">
        <v>59670</v>
      </c>
      <c r="K11787" s="3" t="s">
        <v>59671</v>
      </c>
      <c r="L11787" s="3"/>
      <c r="M11787" s="4"/>
      <c r="N11787" s="3" t="s">
        <v>37</v>
      </c>
      <c r="O11787" s="3" t="s">
        <v>52</v>
      </c>
      <c r="P11787" s="5">
        <v>3</v>
      </c>
      <c r="Q11787" s="5">
        <v>30</v>
      </c>
      <c r="R11787" s="5">
        <v>3</v>
      </c>
      <c r="S11787" s="5">
        <v>32</v>
      </c>
    </row>
    <row r="11788" spans="1:19" ht="28" x14ac:dyDescent="0.15">
      <c r="A11788" s="2">
        <f>HYPERLINK("https://open-school.uspishnemisto.com.ua/school/590422/", 590422)</f>
        <v>590422</v>
      </c>
      <c r="B11788" s="3" t="s">
        <v>59672</v>
      </c>
      <c r="C11788" s="3" t="s">
        <v>54</v>
      </c>
      <c r="D11788" s="3" t="s">
        <v>175</v>
      </c>
      <c r="E11788" s="4" t="s">
        <v>22</v>
      </c>
      <c r="F11788" s="4" t="s">
        <v>59673</v>
      </c>
      <c r="G11788" s="4" t="s">
        <v>59674</v>
      </c>
      <c r="H11788" s="3" t="s">
        <v>57649</v>
      </c>
      <c r="I11788" s="3" t="s">
        <v>59675</v>
      </c>
      <c r="J11788" s="3" t="s">
        <v>1999</v>
      </c>
      <c r="K11788" s="3" t="s">
        <v>59676</v>
      </c>
      <c r="L11788" s="3"/>
      <c r="M11788" s="4"/>
      <c r="N11788" s="3" t="s">
        <v>37</v>
      </c>
      <c r="O11788" s="3" t="s">
        <v>112</v>
      </c>
      <c r="P11788" s="5">
        <v>2</v>
      </c>
      <c r="Q11788" s="5">
        <v>27</v>
      </c>
      <c r="R11788" s="5">
        <v>2</v>
      </c>
      <c r="S11788" s="5">
        <v>27</v>
      </c>
    </row>
    <row r="11789" spans="1:19" ht="28" x14ac:dyDescent="0.15">
      <c r="A11789" s="2">
        <f>HYPERLINK("https://open-school.uspishnemisto.com.ua/school/590423/", 590423)</f>
        <v>590423</v>
      </c>
      <c r="B11789" s="3" t="s">
        <v>59677</v>
      </c>
      <c r="C11789" s="3" t="s">
        <v>31</v>
      </c>
      <c r="D11789" s="3" t="s">
        <v>32</v>
      </c>
      <c r="E11789" s="4" t="s">
        <v>22</v>
      </c>
      <c r="F11789" s="4" t="s">
        <v>59678</v>
      </c>
      <c r="G11789" s="4" t="s">
        <v>59679</v>
      </c>
      <c r="H11789" s="3" t="s">
        <v>57649</v>
      </c>
      <c r="I11789" s="3" t="s">
        <v>59680</v>
      </c>
      <c r="J11789" s="3" t="s">
        <v>3162</v>
      </c>
      <c r="K11789" s="3" t="s">
        <v>59681</v>
      </c>
      <c r="L11789" s="3"/>
      <c r="M11789" s="4"/>
      <c r="N11789" s="3" t="s">
        <v>128</v>
      </c>
      <c r="O11789" s="3" t="s">
        <v>38</v>
      </c>
      <c r="P11789" s="5">
        <v>22</v>
      </c>
      <c r="Q11789" s="5">
        <v>436</v>
      </c>
      <c r="R11789" s="5">
        <v>21</v>
      </c>
      <c r="S11789" s="5">
        <v>438</v>
      </c>
    </row>
    <row r="11790" spans="1:19" ht="28" x14ac:dyDescent="0.15">
      <c r="A11790" s="2">
        <f>HYPERLINK("https://open-school.uspishnemisto.com.ua/school/590424/", 590424)</f>
        <v>590424</v>
      </c>
      <c r="B11790" s="3" t="s">
        <v>59682</v>
      </c>
      <c r="C11790" s="3" t="s">
        <v>31</v>
      </c>
      <c r="D11790" s="3" t="s">
        <v>32</v>
      </c>
      <c r="E11790" s="4" t="s">
        <v>22</v>
      </c>
      <c r="F11790" s="4" t="s">
        <v>59678</v>
      </c>
      <c r="G11790" s="4" t="s">
        <v>59679</v>
      </c>
      <c r="H11790" s="3" t="s">
        <v>57649</v>
      </c>
      <c r="I11790" s="3" t="s">
        <v>59680</v>
      </c>
      <c r="J11790" s="3" t="s">
        <v>8808</v>
      </c>
      <c r="K11790" s="3" t="s">
        <v>59683</v>
      </c>
      <c r="L11790" s="3"/>
      <c r="M11790" s="4"/>
      <c r="N11790" s="3" t="s">
        <v>128</v>
      </c>
      <c r="O11790" s="3" t="s">
        <v>70</v>
      </c>
      <c r="P11790" s="5">
        <v>20</v>
      </c>
      <c r="Q11790" s="5">
        <v>382</v>
      </c>
      <c r="R11790" s="5">
        <v>19</v>
      </c>
      <c r="S11790" s="5">
        <v>355</v>
      </c>
    </row>
    <row r="11791" spans="1:19" ht="42" x14ac:dyDescent="0.15">
      <c r="A11791" s="2">
        <f>HYPERLINK("https://open-school.uspishnemisto.com.ua/school/590425/", 590425)</f>
        <v>590425</v>
      </c>
      <c r="B11791" s="3" t="s">
        <v>59684</v>
      </c>
      <c r="C11791" s="3" t="s">
        <v>31</v>
      </c>
      <c r="D11791" s="3" t="s">
        <v>32</v>
      </c>
      <c r="E11791" s="4" t="s">
        <v>22</v>
      </c>
      <c r="F11791" s="4" t="s">
        <v>59685</v>
      </c>
      <c r="G11791" s="4" t="s">
        <v>59686</v>
      </c>
      <c r="H11791" s="3" t="s">
        <v>57649</v>
      </c>
      <c r="I11791" s="3" t="s">
        <v>59687</v>
      </c>
      <c r="J11791" s="3" t="s">
        <v>2601</v>
      </c>
      <c r="K11791" s="3" t="s">
        <v>59688</v>
      </c>
      <c r="L11791" s="3"/>
      <c r="M11791" s="4"/>
      <c r="N11791" s="3" t="s">
        <v>37</v>
      </c>
      <c r="O11791" s="3" t="s">
        <v>38</v>
      </c>
      <c r="P11791" s="5">
        <v>11</v>
      </c>
      <c r="Q11791" s="5">
        <v>214</v>
      </c>
      <c r="R11791" s="5">
        <v>11</v>
      </c>
      <c r="S11791" s="5">
        <v>194</v>
      </c>
    </row>
    <row r="11792" spans="1:19" ht="56" x14ac:dyDescent="0.15">
      <c r="A11792" s="2">
        <f>HYPERLINK("https://open-school.uspishnemisto.com.ua/school/590426/", 590426)</f>
        <v>590426</v>
      </c>
      <c r="B11792" s="3" t="s">
        <v>59689</v>
      </c>
      <c r="C11792" s="3" t="s">
        <v>54</v>
      </c>
      <c r="D11792" s="3" t="s">
        <v>32</v>
      </c>
      <c r="E11792" s="4" t="s">
        <v>22</v>
      </c>
      <c r="F11792" s="4" t="s">
        <v>59690</v>
      </c>
      <c r="G11792" s="4" t="s">
        <v>59691</v>
      </c>
      <c r="H11792" s="3" t="s">
        <v>57649</v>
      </c>
      <c r="I11792" s="3" t="s">
        <v>12141</v>
      </c>
      <c r="J11792" s="3" t="s">
        <v>59692</v>
      </c>
      <c r="K11792" s="3" t="s">
        <v>59693</v>
      </c>
      <c r="L11792" s="3"/>
      <c r="M11792" s="4"/>
      <c r="N11792" s="3" t="s">
        <v>37</v>
      </c>
      <c r="O11792" s="3" t="s">
        <v>38</v>
      </c>
      <c r="P11792" s="5">
        <v>5</v>
      </c>
      <c r="Q11792" s="5">
        <v>40</v>
      </c>
      <c r="R11792" s="5">
        <v>5</v>
      </c>
      <c r="S11792" s="5">
        <v>40</v>
      </c>
    </row>
    <row r="11793" spans="1:19" ht="56" x14ac:dyDescent="0.15">
      <c r="A11793" s="2">
        <f>HYPERLINK("https://open-school.uspishnemisto.com.ua/school/590427/", 590427)</f>
        <v>590427</v>
      </c>
      <c r="B11793" s="3" t="s">
        <v>59694</v>
      </c>
      <c r="C11793" s="3" t="s">
        <v>54</v>
      </c>
      <c r="D11793" s="3" t="s">
        <v>32</v>
      </c>
      <c r="E11793" s="4" t="s">
        <v>22</v>
      </c>
      <c r="F11793" s="4" t="s">
        <v>59695</v>
      </c>
      <c r="G11793" s="4" t="s">
        <v>59696</v>
      </c>
      <c r="H11793" s="3" t="s">
        <v>57649</v>
      </c>
      <c r="I11793" s="3" t="s">
        <v>59697</v>
      </c>
      <c r="J11793" s="3" t="s">
        <v>59698</v>
      </c>
      <c r="K11793" s="3" t="s">
        <v>59699</v>
      </c>
      <c r="L11793" s="3"/>
      <c r="M11793" s="4"/>
      <c r="N11793" s="3" t="s">
        <v>37</v>
      </c>
      <c r="O11793" s="3" t="s">
        <v>38</v>
      </c>
      <c r="P11793" s="5">
        <v>8</v>
      </c>
      <c r="Q11793" s="5">
        <v>64</v>
      </c>
      <c r="R11793" s="5">
        <v>8</v>
      </c>
      <c r="S11793" s="5">
        <v>63</v>
      </c>
    </row>
    <row r="11794" spans="1:19" ht="56" x14ac:dyDescent="0.15">
      <c r="A11794" s="2">
        <f>HYPERLINK("https://open-school.uspishnemisto.com.ua/school/590428/", 590428)</f>
        <v>590428</v>
      </c>
      <c r="B11794" s="3" t="s">
        <v>59700</v>
      </c>
      <c r="C11794" s="3" t="s">
        <v>54</v>
      </c>
      <c r="D11794" s="3" t="s">
        <v>175</v>
      </c>
      <c r="E11794" s="4" t="s">
        <v>22</v>
      </c>
      <c r="F11794" s="4" t="s">
        <v>59701</v>
      </c>
      <c r="G11794" s="4" t="s">
        <v>59702</v>
      </c>
      <c r="H11794" s="3" t="s">
        <v>57649</v>
      </c>
      <c r="I11794" s="3" t="s">
        <v>59703</v>
      </c>
      <c r="J11794" s="3" t="s">
        <v>946</v>
      </c>
      <c r="K11794" s="3" t="s">
        <v>59704</v>
      </c>
      <c r="L11794" s="3" t="s">
        <v>59705</v>
      </c>
      <c r="M11794" s="4"/>
      <c r="N11794" s="3" t="s">
        <v>37</v>
      </c>
      <c r="O11794" s="3" t="s">
        <v>38</v>
      </c>
      <c r="P11794" s="5">
        <v>2</v>
      </c>
      <c r="Q11794" s="5">
        <v>26</v>
      </c>
      <c r="R11794" s="5">
        <v>4</v>
      </c>
      <c r="S11794" s="5">
        <v>32</v>
      </c>
    </row>
    <row r="11795" spans="1:19" ht="56" x14ac:dyDescent="0.15">
      <c r="A11795" s="2">
        <f>HYPERLINK("https://open-school.uspishnemisto.com.ua/school/590430/", 590430)</f>
        <v>590430</v>
      </c>
      <c r="B11795" s="3" t="s">
        <v>59706</v>
      </c>
      <c r="C11795" s="3" t="s">
        <v>54</v>
      </c>
      <c r="D11795" s="3" t="s">
        <v>175</v>
      </c>
      <c r="E11795" s="4" t="s">
        <v>22</v>
      </c>
      <c r="F11795" s="4" t="s">
        <v>59707</v>
      </c>
      <c r="G11795" s="4" t="s">
        <v>59708</v>
      </c>
      <c r="H11795" s="3" t="s">
        <v>57649</v>
      </c>
      <c r="I11795" s="3" t="s">
        <v>59709</v>
      </c>
      <c r="J11795" s="3" t="s">
        <v>15992</v>
      </c>
      <c r="K11795" s="3" t="s">
        <v>59710</v>
      </c>
      <c r="L11795" s="3"/>
      <c r="M11795" s="4"/>
      <c r="N11795" s="3" t="s">
        <v>37</v>
      </c>
      <c r="O11795" s="3" t="s">
        <v>38</v>
      </c>
      <c r="P11795" s="5">
        <v>4</v>
      </c>
      <c r="Q11795" s="5">
        <v>37</v>
      </c>
      <c r="R11795" s="5">
        <v>3</v>
      </c>
      <c r="S11795" s="5">
        <v>33</v>
      </c>
    </row>
    <row r="11796" spans="1:19" ht="56" x14ac:dyDescent="0.15">
      <c r="A11796" s="2">
        <f>HYPERLINK("https://open-school.uspishnemisto.com.ua/school/590432/", 590432)</f>
        <v>590432</v>
      </c>
      <c r="B11796" s="3" t="s">
        <v>59711</v>
      </c>
      <c r="C11796" s="3" t="s">
        <v>54</v>
      </c>
      <c r="D11796" s="3" t="s">
        <v>32</v>
      </c>
      <c r="E11796" s="4" t="s">
        <v>22</v>
      </c>
      <c r="F11796" s="4" t="s">
        <v>59712</v>
      </c>
      <c r="G11796" s="4" t="s">
        <v>59713</v>
      </c>
      <c r="H11796" s="3" t="s">
        <v>57649</v>
      </c>
      <c r="I11796" s="3" t="s">
        <v>59714</v>
      </c>
      <c r="J11796" s="3" t="s">
        <v>21111</v>
      </c>
      <c r="K11796" s="3" t="s">
        <v>59715</v>
      </c>
      <c r="L11796" s="3" t="s">
        <v>59716</v>
      </c>
      <c r="M11796" s="4"/>
      <c r="N11796" s="3" t="s">
        <v>37</v>
      </c>
      <c r="O11796" s="3" t="s">
        <v>52</v>
      </c>
      <c r="P11796" s="5">
        <v>4</v>
      </c>
      <c r="Q11796" s="5">
        <v>42</v>
      </c>
      <c r="R11796" s="5">
        <v>3</v>
      </c>
      <c r="S11796" s="5">
        <v>35</v>
      </c>
    </row>
    <row r="11797" spans="1:19" ht="56" x14ac:dyDescent="0.15">
      <c r="A11797" s="2">
        <f>HYPERLINK("https://open-school.uspishnemisto.com.ua/school/590434/", 590434)</f>
        <v>590434</v>
      </c>
      <c r="B11797" s="3" t="s">
        <v>59717</v>
      </c>
      <c r="C11797" s="3" t="s">
        <v>54</v>
      </c>
      <c r="D11797" s="3" t="s">
        <v>32</v>
      </c>
      <c r="E11797" s="4" t="s">
        <v>22</v>
      </c>
      <c r="F11797" s="4" t="s">
        <v>59718</v>
      </c>
      <c r="G11797" s="4" t="s">
        <v>59719</v>
      </c>
      <c r="H11797" s="3" t="s">
        <v>57649</v>
      </c>
      <c r="I11797" s="3" t="s">
        <v>59720</v>
      </c>
      <c r="J11797" s="3" t="s">
        <v>28925</v>
      </c>
      <c r="K11797" s="3" t="s">
        <v>59721</v>
      </c>
      <c r="L11797" s="3"/>
      <c r="M11797" s="4"/>
      <c r="N11797" s="3" t="s">
        <v>37</v>
      </c>
      <c r="O11797" s="3" t="s">
        <v>70</v>
      </c>
      <c r="P11797" s="5">
        <v>6</v>
      </c>
      <c r="Q11797" s="5">
        <v>58</v>
      </c>
      <c r="R11797" s="5">
        <v>6</v>
      </c>
      <c r="S11797" s="5">
        <v>58</v>
      </c>
    </row>
    <row r="11798" spans="1:19" ht="56" x14ac:dyDescent="0.15">
      <c r="A11798" s="2">
        <f>HYPERLINK("https://open-school.uspishnemisto.com.ua/school/590435/", 590435)</f>
        <v>590435</v>
      </c>
      <c r="B11798" s="3" t="s">
        <v>59722</v>
      </c>
      <c r="C11798" s="3" t="s">
        <v>54</v>
      </c>
      <c r="D11798" s="3" t="s">
        <v>32</v>
      </c>
      <c r="E11798" s="4" t="s">
        <v>22</v>
      </c>
      <c r="F11798" s="4" t="s">
        <v>59723</v>
      </c>
      <c r="G11798" s="4" t="s">
        <v>59724</v>
      </c>
      <c r="H11798" s="3" t="s">
        <v>57649</v>
      </c>
      <c r="I11798" s="3" t="s">
        <v>59725</v>
      </c>
      <c r="J11798" s="3" t="s">
        <v>17949</v>
      </c>
      <c r="K11798" s="3" t="s">
        <v>59726</v>
      </c>
      <c r="L11798" s="3"/>
      <c r="M11798" s="4"/>
      <c r="N11798" s="3" t="s">
        <v>37</v>
      </c>
      <c r="O11798" s="3" t="s">
        <v>70</v>
      </c>
      <c r="P11798" s="5">
        <v>2</v>
      </c>
      <c r="Q11798" s="5">
        <v>25</v>
      </c>
      <c r="R11798" s="5">
        <v>3</v>
      </c>
      <c r="S11798" s="5">
        <v>25</v>
      </c>
    </row>
    <row r="11799" spans="1:19" ht="56" x14ac:dyDescent="0.15">
      <c r="A11799" s="2">
        <f>HYPERLINK("https://open-school.uspishnemisto.com.ua/school/590437/", 590437)</f>
        <v>590437</v>
      </c>
      <c r="B11799" s="3" t="s">
        <v>59727</v>
      </c>
      <c r="C11799" s="3" t="s">
        <v>54</v>
      </c>
      <c r="D11799" s="3" t="s">
        <v>32</v>
      </c>
      <c r="E11799" s="4" t="s">
        <v>22</v>
      </c>
      <c r="F11799" s="4" t="s">
        <v>59728</v>
      </c>
      <c r="G11799" s="4" t="s">
        <v>59729</v>
      </c>
      <c r="H11799" s="3" t="s">
        <v>57649</v>
      </c>
      <c r="I11799" s="3" t="s">
        <v>8236</v>
      </c>
      <c r="J11799" s="3" t="s">
        <v>59730</v>
      </c>
      <c r="K11799" s="3" t="s">
        <v>59731</v>
      </c>
      <c r="L11799" s="3"/>
      <c r="M11799" s="4"/>
      <c r="N11799" s="3" t="s">
        <v>37</v>
      </c>
      <c r="O11799" s="3" t="s">
        <v>38</v>
      </c>
      <c r="P11799" s="5">
        <v>4</v>
      </c>
      <c r="Q11799" s="5">
        <v>25</v>
      </c>
      <c r="R11799" s="5">
        <v>4</v>
      </c>
      <c r="S11799" s="5">
        <v>25</v>
      </c>
    </row>
    <row r="11800" spans="1:19" ht="56" x14ac:dyDescent="0.15">
      <c r="A11800" s="2">
        <f>HYPERLINK("https://open-school.uspishnemisto.com.ua/school/590438/", 590438)</f>
        <v>590438</v>
      </c>
      <c r="B11800" s="3" t="s">
        <v>59732</v>
      </c>
      <c r="C11800" s="3" t="s">
        <v>54</v>
      </c>
      <c r="D11800" s="3" t="s">
        <v>60</v>
      </c>
      <c r="E11800" s="4" t="s">
        <v>22</v>
      </c>
      <c r="F11800" s="4" t="s">
        <v>59733</v>
      </c>
      <c r="G11800" s="4" t="s">
        <v>59734</v>
      </c>
      <c r="H11800" s="3" t="s">
        <v>57649</v>
      </c>
      <c r="I11800" s="3" t="s">
        <v>59735</v>
      </c>
      <c r="J11800" s="3" t="s">
        <v>479</v>
      </c>
      <c r="K11800" s="3" t="s">
        <v>59736</v>
      </c>
      <c r="L11800" s="3"/>
      <c r="M11800" s="4"/>
      <c r="N11800" s="3" t="s">
        <v>37</v>
      </c>
      <c r="O11800" s="3" t="s">
        <v>52</v>
      </c>
      <c r="P11800" s="5">
        <v>0</v>
      </c>
      <c r="Q11800" s="5">
        <v>0</v>
      </c>
      <c r="R11800" s="5">
        <v>0</v>
      </c>
      <c r="S11800" s="5">
        <v>5</v>
      </c>
    </row>
    <row r="11801" spans="1:19" ht="56" x14ac:dyDescent="0.15">
      <c r="A11801" s="2">
        <f>HYPERLINK("https://open-school.uspishnemisto.com.ua/school/590439/", 590439)</f>
        <v>590439</v>
      </c>
      <c r="B11801" s="3" t="s">
        <v>59737</v>
      </c>
      <c r="C11801" s="3" t="s">
        <v>54</v>
      </c>
      <c r="D11801" s="3" t="s">
        <v>32</v>
      </c>
      <c r="E11801" s="4" t="s">
        <v>22</v>
      </c>
      <c r="F11801" s="4" t="s">
        <v>59738</v>
      </c>
      <c r="G11801" s="4" t="s">
        <v>59739</v>
      </c>
      <c r="H11801" s="3" t="s">
        <v>57649</v>
      </c>
      <c r="I11801" s="3" t="s">
        <v>59740</v>
      </c>
      <c r="J11801" s="3" t="s">
        <v>2226</v>
      </c>
      <c r="K11801" s="3" t="s">
        <v>59741</v>
      </c>
      <c r="L11801" s="3"/>
      <c r="M11801" s="4"/>
      <c r="N11801" s="3" t="s">
        <v>37</v>
      </c>
      <c r="O11801" s="3" t="s">
        <v>38</v>
      </c>
      <c r="P11801" s="5">
        <v>7</v>
      </c>
      <c r="Q11801" s="5">
        <v>48</v>
      </c>
      <c r="R11801" s="5">
        <v>7</v>
      </c>
      <c r="S11801" s="5">
        <v>51</v>
      </c>
    </row>
    <row r="11802" spans="1:19" ht="28" x14ac:dyDescent="0.15">
      <c r="A11802" s="2">
        <f>HYPERLINK("https://open-school.uspishnemisto.com.ua/school/590440/", 590440)</f>
        <v>590440</v>
      </c>
      <c r="B11802" s="3" t="s">
        <v>59742</v>
      </c>
      <c r="C11802" s="3" t="s">
        <v>31</v>
      </c>
      <c r="D11802" s="3" t="s">
        <v>32</v>
      </c>
      <c r="E11802" s="4" t="s">
        <v>22</v>
      </c>
      <c r="F11802" s="4" t="s">
        <v>59743</v>
      </c>
      <c r="G11802" s="4" t="s">
        <v>59744</v>
      </c>
      <c r="H11802" s="3" t="s">
        <v>57649</v>
      </c>
      <c r="I11802" s="3" t="s">
        <v>42928</v>
      </c>
      <c r="J11802" s="3" t="s">
        <v>59745</v>
      </c>
      <c r="K11802" s="3" t="s">
        <v>59746</v>
      </c>
      <c r="L11802" s="3" t="s">
        <v>59747</v>
      </c>
      <c r="M11802" s="4"/>
      <c r="N11802" s="3" t="s">
        <v>37</v>
      </c>
      <c r="O11802" s="3" t="s">
        <v>52</v>
      </c>
      <c r="P11802" s="5">
        <v>11</v>
      </c>
      <c r="Q11802" s="5">
        <v>216</v>
      </c>
      <c r="R11802" s="5">
        <v>11</v>
      </c>
      <c r="S11802" s="5">
        <v>212</v>
      </c>
    </row>
    <row r="11803" spans="1:19" ht="28" x14ac:dyDescent="0.15">
      <c r="A11803" s="2">
        <f>HYPERLINK("https://open-school.uspishnemisto.com.ua/school/590441/", 590441)</f>
        <v>590441</v>
      </c>
      <c r="B11803" s="3" t="s">
        <v>59748</v>
      </c>
      <c r="C11803" s="3" t="s">
        <v>31</v>
      </c>
      <c r="D11803" s="3" t="s">
        <v>32</v>
      </c>
      <c r="E11803" s="4" t="s">
        <v>22</v>
      </c>
      <c r="F11803" s="4" t="s">
        <v>59749</v>
      </c>
      <c r="G11803" s="4" t="s">
        <v>59750</v>
      </c>
      <c r="H11803" s="3" t="s">
        <v>57649</v>
      </c>
      <c r="I11803" s="3" t="s">
        <v>1033</v>
      </c>
      <c r="J11803" s="3" t="s">
        <v>12466</v>
      </c>
      <c r="K11803" s="3" t="s">
        <v>59751</v>
      </c>
      <c r="L11803" s="3" t="s">
        <v>59752</v>
      </c>
      <c r="M11803" s="4"/>
      <c r="N11803" s="3" t="s">
        <v>37</v>
      </c>
      <c r="O11803" s="3" t="s">
        <v>46</v>
      </c>
      <c r="P11803" s="5">
        <v>24</v>
      </c>
      <c r="Q11803" s="5">
        <v>433</v>
      </c>
      <c r="R11803" s="5">
        <v>14</v>
      </c>
      <c r="S11803" s="5">
        <v>281</v>
      </c>
    </row>
    <row r="11804" spans="1:19" ht="28" x14ac:dyDescent="0.15">
      <c r="A11804" s="2">
        <f>HYPERLINK("https://open-school.uspishnemisto.com.ua/school/590442/", 590442)</f>
        <v>590442</v>
      </c>
      <c r="B11804" s="3" t="s">
        <v>59753</v>
      </c>
      <c r="C11804" s="3" t="s">
        <v>31</v>
      </c>
      <c r="D11804" s="3" t="s">
        <v>32</v>
      </c>
      <c r="E11804" s="4" t="s">
        <v>22</v>
      </c>
      <c r="F11804" s="4" t="s">
        <v>59754</v>
      </c>
      <c r="G11804" s="4" t="s">
        <v>59750</v>
      </c>
      <c r="H11804" s="3" t="s">
        <v>57649</v>
      </c>
      <c r="I11804" s="3" t="s">
        <v>1033</v>
      </c>
      <c r="J11804" s="3" t="s">
        <v>1348</v>
      </c>
      <c r="K11804" s="3" t="s">
        <v>59755</v>
      </c>
      <c r="L11804" s="3"/>
      <c r="M11804" s="4"/>
      <c r="N11804" s="3" t="s">
        <v>37</v>
      </c>
      <c r="O11804" s="3" t="s">
        <v>52</v>
      </c>
      <c r="P11804" s="5">
        <v>0</v>
      </c>
      <c r="Q11804" s="5">
        <v>0</v>
      </c>
      <c r="R11804" s="5">
        <v>10</v>
      </c>
      <c r="S11804" s="5">
        <v>150</v>
      </c>
    </row>
    <row r="11805" spans="1:19" ht="28" x14ac:dyDescent="0.15">
      <c r="A11805" s="2">
        <f>HYPERLINK("https://open-school.uspishnemisto.com.ua/school/590443/", 590443)</f>
        <v>590443</v>
      </c>
      <c r="B11805" s="3" t="s">
        <v>59756</v>
      </c>
      <c r="C11805" s="3" t="s">
        <v>244</v>
      </c>
      <c r="D11805" s="3" t="s">
        <v>32</v>
      </c>
      <c r="E11805" s="4" t="s">
        <v>22</v>
      </c>
      <c r="F11805" s="4" t="s">
        <v>59757</v>
      </c>
      <c r="G11805" s="4" t="s">
        <v>59758</v>
      </c>
      <c r="H11805" s="3" t="s">
        <v>57649</v>
      </c>
      <c r="I11805" s="3" t="s">
        <v>59759</v>
      </c>
      <c r="J11805" s="3" t="s">
        <v>554</v>
      </c>
      <c r="K11805" s="3" t="s">
        <v>59760</v>
      </c>
      <c r="L11805" s="3" t="s">
        <v>59761</v>
      </c>
      <c r="M11805" s="4" t="s">
        <v>59762</v>
      </c>
      <c r="N11805" s="3" t="s">
        <v>37</v>
      </c>
      <c r="O11805" s="3" t="s">
        <v>46</v>
      </c>
      <c r="P11805" s="5">
        <v>18</v>
      </c>
      <c r="Q11805" s="5">
        <v>269</v>
      </c>
      <c r="R11805" s="5">
        <v>12</v>
      </c>
      <c r="S11805" s="5">
        <v>207</v>
      </c>
    </row>
    <row r="11806" spans="1:19" ht="70" x14ac:dyDescent="0.15">
      <c r="A11806" s="2">
        <f>HYPERLINK("https://open-school.uspishnemisto.com.ua/school/590444/", 590444)</f>
        <v>590444</v>
      </c>
      <c r="B11806" s="3" t="s">
        <v>59763</v>
      </c>
      <c r="C11806" s="3" t="s">
        <v>54</v>
      </c>
      <c r="D11806" s="3" t="s">
        <v>175</v>
      </c>
      <c r="E11806" s="4" t="s">
        <v>22</v>
      </c>
      <c r="F11806" s="4" t="s">
        <v>59764</v>
      </c>
      <c r="G11806" s="4" t="s">
        <v>59765</v>
      </c>
      <c r="H11806" s="3" t="s">
        <v>57649</v>
      </c>
      <c r="I11806" s="3" t="s">
        <v>987</v>
      </c>
      <c r="J11806" s="3" t="s">
        <v>59766</v>
      </c>
      <c r="K11806" s="3" t="s">
        <v>59767</v>
      </c>
      <c r="L11806" s="3"/>
      <c r="M11806" s="4"/>
      <c r="N11806" s="3" t="s">
        <v>37</v>
      </c>
      <c r="O11806" s="3" t="s">
        <v>52</v>
      </c>
      <c r="P11806" s="5">
        <v>0</v>
      </c>
      <c r="Q11806" s="5">
        <v>0</v>
      </c>
      <c r="R11806" s="5">
        <v>5</v>
      </c>
      <c r="S11806" s="5">
        <v>41</v>
      </c>
    </row>
    <row r="11807" spans="1:19" ht="42" x14ac:dyDescent="0.15">
      <c r="A11807" s="2">
        <f>HYPERLINK("https://open-school.uspishnemisto.com.ua/school/590445/", 590445)</f>
        <v>590445</v>
      </c>
      <c r="B11807" s="3" t="s">
        <v>59768</v>
      </c>
      <c r="C11807" s="3" t="s">
        <v>31</v>
      </c>
      <c r="D11807" s="3" t="s">
        <v>32</v>
      </c>
      <c r="E11807" s="4" t="s">
        <v>22</v>
      </c>
      <c r="F11807" s="4" t="s">
        <v>59769</v>
      </c>
      <c r="G11807" s="4" t="s">
        <v>59770</v>
      </c>
      <c r="H11807" s="3" t="s">
        <v>57649</v>
      </c>
      <c r="I11807" s="3" t="s">
        <v>11964</v>
      </c>
      <c r="J11807" s="3" t="s">
        <v>15190</v>
      </c>
      <c r="K11807" s="3" t="s">
        <v>59771</v>
      </c>
      <c r="L11807" s="3"/>
      <c r="M11807" s="4"/>
      <c r="N11807" s="3" t="s">
        <v>37</v>
      </c>
      <c r="O11807" s="3" t="s">
        <v>52</v>
      </c>
      <c r="P11807" s="5">
        <v>8</v>
      </c>
      <c r="Q11807" s="5">
        <v>59</v>
      </c>
      <c r="R11807" s="5">
        <v>9</v>
      </c>
      <c r="S11807" s="5">
        <v>61</v>
      </c>
    </row>
    <row r="11808" spans="1:19" ht="28" x14ac:dyDescent="0.15">
      <c r="A11808" s="2">
        <f>HYPERLINK("https://open-school.uspishnemisto.com.ua/school/590446/", 590446)</f>
        <v>590446</v>
      </c>
      <c r="B11808" s="3" t="s">
        <v>59772</v>
      </c>
      <c r="C11808" s="3" t="s">
        <v>31</v>
      </c>
      <c r="D11808" s="3" t="s">
        <v>32</v>
      </c>
      <c r="E11808" s="4" t="s">
        <v>22</v>
      </c>
      <c r="F11808" s="4" t="s">
        <v>59773</v>
      </c>
      <c r="G11808" s="4" t="s">
        <v>59774</v>
      </c>
      <c r="H11808" s="3" t="s">
        <v>57649</v>
      </c>
      <c r="I11808" s="3" t="s">
        <v>41868</v>
      </c>
      <c r="J11808" s="3" t="s">
        <v>59775</v>
      </c>
      <c r="K11808" s="3" t="s">
        <v>59776</v>
      </c>
      <c r="L11808" s="3" t="s">
        <v>59777</v>
      </c>
      <c r="M11808" s="4"/>
      <c r="N11808" s="3" t="s">
        <v>37</v>
      </c>
      <c r="O11808" s="3" t="s">
        <v>52</v>
      </c>
      <c r="P11808" s="5">
        <v>10</v>
      </c>
      <c r="Q11808" s="5">
        <v>84</v>
      </c>
      <c r="R11808" s="5">
        <v>9</v>
      </c>
      <c r="S11808" s="5">
        <v>89</v>
      </c>
    </row>
    <row r="11809" spans="1:19" ht="42" x14ac:dyDescent="0.15">
      <c r="A11809" s="2">
        <f>HYPERLINK("https://open-school.uspishnemisto.com.ua/school/590447/", 590447)</f>
        <v>590447</v>
      </c>
      <c r="B11809" s="3" t="s">
        <v>59778</v>
      </c>
      <c r="C11809" s="3" t="s">
        <v>31</v>
      </c>
      <c r="D11809" s="3" t="s">
        <v>32</v>
      </c>
      <c r="E11809" s="4" t="s">
        <v>22</v>
      </c>
      <c r="F11809" s="4" t="s">
        <v>59779</v>
      </c>
      <c r="G11809" s="4" t="s">
        <v>59780</v>
      </c>
      <c r="H11809" s="3" t="s">
        <v>57649</v>
      </c>
      <c r="I11809" s="3" t="s">
        <v>59781</v>
      </c>
      <c r="J11809" s="3" t="s">
        <v>59782</v>
      </c>
      <c r="K11809" s="3" t="s">
        <v>59783</v>
      </c>
      <c r="L11809" s="3"/>
      <c r="M11809" s="4"/>
      <c r="N11809" s="3" t="s">
        <v>37</v>
      </c>
      <c r="O11809" s="3" t="s">
        <v>52</v>
      </c>
      <c r="P11809" s="5">
        <v>10</v>
      </c>
      <c r="Q11809" s="5">
        <v>177</v>
      </c>
      <c r="R11809" s="5">
        <v>9</v>
      </c>
      <c r="S11809" s="5">
        <v>168</v>
      </c>
    </row>
    <row r="11810" spans="1:19" ht="42" x14ac:dyDescent="0.15">
      <c r="A11810" s="2">
        <f>HYPERLINK("https://open-school.uspishnemisto.com.ua/school/590448/", 590448)</f>
        <v>590448</v>
      </c>
      <c r="B11810" s="3" t="s">
        <v>59784</v>
      </c>
      <c r="C11810" s="3" t="s">
        <v>54</v>
      </c>
      <c r="D11810" s="3" t="s">
        <v>60</v>
      </c>
      <c r="E11810" s="4" t="s">
        <v>22</v>
      </c>
      <c r="F11810" s="4" t="s">
        <v>59785</v>
      </c>
      <c r="G11810" s="4" t="s">
        <v>59786</v>
      </c>
      <c r="H11810" s="3" t="s">
        <v>57649</v>
      </c>
      <c r="I11810" s="3" t="s">
        <v>59787</v>
      </c>
      <c r="J11810" s="3" t="s">
        <v>466</v>
      </c>
      <c r="K11810" s="3" t="s">
        <v>59788</v>
      </c>
      <c r="L11810" s="3"/>
      <c r="M11810" s="4"/>
      <c r="N11810" s="3" t="s">
        <v>37</v>
      </c>
      <c r="O11810" s="3" t="s">
        <v>52</v>
      </c>
      <c r="P11810" s="5">
        <v>0</v>
      </c>
      <c r="Q11810" s="5">
        <v>9</v>
      </c>
      <c r="R11810" s="5">
        <v>0</v>
      </c>
      <c r="S11810" s="5">
        <v>7</v>
      </c>
    </row>
    <row r="11811" spans="1:19" ht="56" x14ac:dyDescent="0.15">
      <c r="A11811" s="2">
        <f>HYPERLINK("https://open-school.uspishnemisto.com.ua/school/590449/", 590449)</f>
        <v>590449</v>
      </c>
      <c r="B11811" s="3" t="s">
        <v>59789</v>
      </c>
      <c r="C11811" s="3" t="s">
        <v>54</v>
      </c>
      <c r="D11811" s="3" t="s">
        <v>175</v>
      </c>
      <c r="E11811" s="4" t="s">
        <v>22</v>
      </c>
      <c r="F11811" s="4" t="s">
        <v>59790</v>
      </c>
      <c r="G11811" s="4" t="s">
        <v>59791</v>
      </c>
      <c r="H11811" s="3" t="s">
        <v>57649</v>
      </c>
      <c r="I11811" s="3" t="s">
        <v>11177</v>
      </c>
      <c r="J11811" s="3" t="s">
        <v>878</v>
      </c>
      <c r="K11811" s="3" t="s">
        <v>59792</v>
      </c>
      <c r="L11811" s="3"/>
      <c r="M11811" s="4"/>
      <c r="N11811" s="3" t="s">
        <v>37</v>
      </c>
      <c r="O11811" s="3" t="s">
        <v>52</v>
      </c>
      <c r="P11811" s="5">
        <v>0</v>
      </c>
      <c r="Q11811" s="5">
        <v>0</v>
      </c>
      <c r="R11811" s="5">
        <v>5</v>
      </c>
      <c r="S11811" s="5">
        <v>47</v>
      </c>
    </row>
    <row r="11812" spans="1:19" ht="28" x14ac:dyDescent="0.15">
      <c r="A11812" s="2">
        <f>HYPERLINK("https://open-school.uspishnemisto.com.ua/school/590450/", 590450)</f>
        <v>590450</v>
      </c>
      <c r="B11812" s="3" t="s">
        <v>59793</v>
      </c>
      <c r="C11812" s="3" t="s">
        <v>31</v>
      </c>
      <c r="D11812" s="3" t="s">
        <v>175</v>
      </c>
      <c r="E11812" s="4" t="s">
        <v>22</v>
      </c>
      <c r="F11812" s="4" t="s">
        <v>59794</v>
      </c>
      <c r="G11812" s="4" t="s">
        <v>59795</v>
      </c>
      <c r="H11812" s="3" t="s">
        <v>57649</v>
      </c>
      <c r="I11812" s="3" t="s">
        <v>59796</v>
      </c>
      <c r="J11812" s="3" t="s">
        <v>2446</v>
      </c>
      <c r="K11812" s="3" t="s">
        <v>59797</v>
      </c>
      <c r="L11812" s="3"/>
      <c r="M11812" s="4"/>
      <c r="N11812" s="3" t="s">
        <v>37</v>
      </c>
      <c r="O11812" s="3" t="s">
        <v>52</v>
      </c>
      <c r="P11812" s="5">
        <v>0</v>
      </c>
      <c r="Q11812" s="5">
        <v>0</v>
      </c>
      <c r="R11812" s="5">
        <v>8</v>
      </c>
      <c r="S11812" s="5">
        <v>65</v>
      </c>
    </row>
    <row r="11813" spans="1:19" ht="28" x14ac:dyDescent="0.15">
      <c r="A11813" s="2">
        <f>HYPERLINK("https://open-school.uspishnemisto.com.ua/school/590451/", 590451)</f>
        <v>590451</v>
      </c>
      <c r="B11813" s="3" t="s">
        <v>59798</v>
      </c>
      <c r="C11813" s="3" t="s">
        <v>244</v>
      </c>
      <c r="D11813" s="3" t="s">
        <v>32</v>
      </c>
      <c r="E11813" s="4" t="s">
        <v>22</v>
      </c>
      <c r="F11813" s="4" t="s">
        <v>59799</v>
      </c>
      <c r="G11813" s="4" t="s">
        <v>59800</v>
      </c>
      <c r="H11813" s="3" t="s">
        <v>57649</v>
      </c>
      <c r="I11813" s="3" t="s">
        <v>59801</v>
      </c>
      <c r="J11813" s="3" t="s">
        <v>726</v>
      </c>
      <c r="K11813" s="3" t="s">
        <v>59802</v>
      </c>
      <c r="L11813" s="3"/>
      <c r="M11813" s="4"/>
      <c r="N11813" s="3" t="s">
        <v>37</v>
      </c>
      <c r="O11813" s="3" t="s">
        <v>52</v>
      </c>
      <c r="P11813" s="5">
        <v>24</v>
      </c>
      <c r="Q11813" s="5">
        <v>410</v>
      </c>
      <c r="R11813" s="5">
        <v>17</v>
      </c>
      <c r="S11813" s="5">
        <v>348</v>
      </c>
    </row>
    <row r="11814" spans="1:19" ht="28" x14ac:dyDescent="0.15">
      <c r="A11814" s="2">
        <f>HYPERLINK("https://open-school.uspishnemisto.com.ua/school/590452/", 590452)</f>
        <v>590452</v>
      </c>
      <c r="B11814" s="3" t="s">
        <v>59803</v>
      </c>
      <c r="C11814" s="3" t="s">
        <v>244</v>
      </c>
      <c r="D11814" s="3" t="s">
        <v>32</v>
      </c>
      <c r="E11814" s="4" t="s">
        <v>22</v>
      </c>
      <c r="F11814" s="4" t="s">
        <v>59804</v>
      </c>
      <c r="G11814" s="4" t="s">
        <v>59805</v>
      </c>
      <c r="H11814" s="3" t="s">
        <v>57649</v>
      </c>
      <c r="I11814" s="3" t="s">
        <v>59806</v>
      </c>
      <c r="J11814" s="3" t="s">
        <v>59807</v>
      </c>
      <c r="K11814" s="3" t="s">
        <v>59808</v>
      </c>
      <c r="L11814" s="3" t="s">
        <v>59809</v>
      </c>
      <c r="M11814" s="4" t="s">
        <v>59810</v>
      </c>
      <c r="N11814" s="3" t="s">
        <v>37</v>
      </c>
      <c r="O11814" s="3" t="s">
        <v>46</v>
      </c>
      <c r="P11814" s="5">
        <v>18</v>
      </c>
      <c r="Q11814" s="5">
        <v>321</v>
      </c>
      <c r="R11814" s="5">
        <v>18</v>
      </c>
      <c r="S11814" s="5">
        <v>320</v>
      </c>
    </row>
    <row r="11815" spans="1:19" ht="42" x14ac:dyDescent="0.15">
      <c r="A11815" s="2">
        <f>HYPERLINK("https://open-school.uspishnemisto.com.ua/school/590453/", 590453)</f>
        <v>590453</v>
      </c>
      <c r="B11815" s="3" t="s">
        <v>59811</v>
      </c>
      <c r="C11815" s="3" t="s">
        <v>31</v>
      </c>
      <c r="D11815" s="3" t="s">
        <v>32</v>
      </c>
      <c r="E11815" s="4" t="s">
        <v>22</v>
      </c>
      <c r="F11815" s="4" t="s">
        <v>59812</v>
      </c>
      <c r="G11815" s="4" t="s">
        <v>59813</v>
      </c>
      <c r="H11815" s="3" t="s">
        <v>57649</v>
      </c>
      <c r="I11815" s="3" t="s">
        <v>15667</v>
      </c>
      <c r="J11815" s="3" t="s">
        <v>59814</v>
      </c>
      <c r="K11815" s="3"/>
      <c r="L11815" s="3"/>
      <c r="M11815" s="4"/>
      <c r="N11815" s="3" t="s">
        <v>37</v>
      </c>
      <c r="O11815" s="3" t="s">
        <v>46</v>
      </c>
      <c r="P11815" s="5">
        <v>11</v>
      </c>
      <c r="Q11815" s="5">
        <v>90</v>
      </c>
      <c r="R11815" s="5">
        <v>11</v>
      </c>
      <c r="S11815" s="5">
        <v>92</v>
      </c>
    </row>
    <row r="11816" spans="1:19" ht="42" x14ac:dyDescent="0.15">
      <c r="A11816" s="2">
        <f>HYPERLINK("https://open-school.uspishnemisto.com.ua/school/590454/", 590454)</f>
        <v>590454</v>
      </c>
      <c r="B11816" s="3" t="s">
        <v>59815</v>
      </c>
      <c r="C11816" s="3" t="s">
        <v>54</v>
      </c>
      <c r="D11816" s="3" t="s">
        <v>60</v>
      </c>
      <c r="E11816" s="4" t="s">
        <v>22</v>
      </c>
      <c r="F11816" s="4" t="s">
        <v>59812</v>
      </c>
      <c r="G11816" s="4" t="s">
        <v>59816</v>
      </c>
      <c r="H11816" s="3" t="s">
        <v>57649</v>
      </c>
      <c r="I11816" s="3" t="s">
        <v>15426</v>
      </c>
      <c r="J11816" s="3" t="s">
        <v>3809</v>
      </c>
      <c r="K11816" s="3" t="s">
        <v>59817</v>
      </c>
      <c r="L11816" s="3"/>
      <c r="M11816" s="4"/>
      <c r="N11816" s="3" t="s">
        <v>37</v>
      </c>
      <c r="O11816" s="3" t="s">
        <v>618</v>
      </c>
      <c r="P11816" s="5">
        <v>0</v>
      </c>
      <c r="Q11816" s="5">
        <v>0</v>
      </c>
      <c r="R11816" s="5">
        <v>0</v>
      </c>
      <c r="S11816" s="5">
        <v>6</v>
      </c>
    </row>
    <row r="11817" spans="1:19" ht="42" x14ac:dyDescent="0.15">
      <c r="A11817" s="2">
        <f>HYPERLINK("https://open-school.uspishnemisto.com.ua/school/590455/", 590455)</f>
        <v>590455</v>
      </c>
      <c r="B11817" s="3" t="s">
        <v>59818</v>
      </c>
      <c r="C11817" s="3" t="s">
        <v>181</v>
      </c>
      <c r="D11817" s="3" t="s">
        <v>32</v>
      </c>
      <c r="E11817" s="4" t="s">
        <v>22</v>
      </c>
      <c r="F11817" s="4" t="s">
        <v>59819</v>
      </c>
      <c r="G11817" s="4" t="s">
        <v>59820</v>
      </c>
      <c r="H11817" s="3" t="s">
        <v>57649</v>
      </c>
      <c r="I11817" s="3" t="s">
        <v>59821</v>
      </c>
      <c r="J11817" s="3" t="s">
        <v>3393</v>
      </c>
      <c r="K11817" s="3" t="s">
        <v>59822</v>
      </c>
      <c r="L11817" s="3"/>
      <c r="M11817" s="4" t="s">
        <v>59823</v>
      </c>
      <c r="N11817" s="3" t="s">
        <v>37</v>
      </c>
      <c r="O11817" s="3" t="s">
        <v>52</v>
      </c>
      <c r="P11817" s="5">
        <v>14</v>
      </c>
      <c r="Q11817" s="5">
        <v>84</v>
      </c>
      <c r="R11817" s="5">
        <v>14</v>
      </c>
      <c r="S11817" s="5">
        <v>84</v>
      </c>
    </row>
    <row r="11818" spans="1:19" ht="28" x14ac:dyDescent="0.15">
      <c r="A11818" s="2">
        <f>HYPERLINK("https://open-school.uspishnemisto.com.ua/school/590456/", 590456)</f>
        <v>590456</v>
      </c>
      <c r="B11818" s="3" t="s">
        <v>59824</v>
      </c>
      <c r="C11818" s="3" t="s">
        <v>31</v>
      </c>
      <c r="D11818" s="3" t="s">
        <v>32</v>
      </c>
      <c r="E11818" s="4" t="s">
        <v>22</v>
      </c>
      <c r="F11818" s="4" t="s">
        <v>59819</v>
      </c>
      <c r="G11818" s="4" t="s">
        <v>59820</v>
      </c>
      <c r="H11818" s="3" t="s">
        <v>57649</v>
      </c>
      <c r="I11818" s="3" t="s">
        <v>59821</v>
      </c>
      <c r="J11818" s="3" t="s">
        <v>51954</v>
      </c>
      <c r="K11818" s="3" t="s">
        <v>59825</v>
      </c>
      <c r="L11818" s="3"/>
      <c r="M11818" s="4"/>
      <c r="N11818" s="3" t="s">
        <v>37</v>
      </c>
      <c r="O11818" s="3" t="s">
        <v>52</v>
      </c>
      <c r="P11818" s="5">
        <v>15</v>
      </c>
      <c r="Q11818" s="5">
        <v>294</v>
      </c>
      <c r="R11818" s="5">
        <v>14</v>
      </c>
      <c r="S11818" s="5">
        <v>287</v>
      </c>
    </row>
    <row r="11819" spans="1:19" ht="28" x14ac:dyDescent="0.15">
      <c r="A11819" s="2">
        <f>HYPERLINK("https://open-school.uspishnemisto.com.ua/school/590457/", 590457)</f>
        <v>590457</v>
      </c>
      <c r="B11819" s="3" t="s">
        <v>59826</v>
      </c>
      <c r="C11819" s="3" t="s">
        <v>31</v>
      </c>
      <c r="D11819" s="3" t="s">
        <v>32</v>
      </c>
      <c r="E11819" s="4" t="s">
        <v>22</v>
      </c>
      <c r="F11819" s="4" t="s">
        <v>59827</v>
      </c>
      <c r="G11819" s="4" t="s">
        <v>59828</v>
      </c>
      <c r="H11819" s="3" t="s">
        <v>57649</v>
      </c>
      <c r="I11819" s="3" t="s">
        <v>59829</v>
      </c>
      <c r="J11819" s="3" t="s">
        <v>2191</v>
      </c>
      <c r="K11819" s="3" t="s">
        <v>59830</v>
      </c>
      <c r="L11819" s="3"/>
      <c r="M11819" s="4"/>
      <c r="N11819" s="3" t="s">
        <v>37</v>
      </c>
      <c r="O11819" s="3" t="s">
        <v>52</v>
      </c>
      <c r="P11819" s="5">
        <v>9</v>
      </c>
      <c r="Q11819" s="5">
        <v>86</v>
      </c>
      <c r="R11819" s="5">
        <v>9</v>
      </c>
      <c r="S11819" s="5">
        <v>73</v>
      </c>
    </row>
    <row r="11820" spans="1:19" ht="56" x14ac:dyDescent="0.15">
      <c r="A11820" s="2">
        <f>HYPERLINK("https://open-school.uspishnemisto.com.ua/school/590458/", 590458)</f>
        <v>590458</v>
      </c>
      <c r="B11820" s="3" t="s">
        <v>59831</v>
      </c>
      <c r="C11820" s="3" t="s">
        <v>54</v>
      </c>
      <c r="D11820" s="3" t="s">
        <v>32</v>
      </c>
      <c r="E11820" s="4" t="s">
        <v>22</v>
      </c>
      <c r="F11820" s="4" t="s">
        <v>59832</v>
      </c>
      <c r="G11820" s="4" t="s">
        <v>59833</v>
      </c>
      <c r="H11820" s="3" t="s">
        <v>57649</v>
      </c>
      <c r="I11820" s="3" t="s">
        <v>59834</v>
      </c>
      <c r="J11820" s="3" t="s">
        <v>15992</v>
      </c>
      <c r="K11820" s="3" t="s">
        <v>59835</v>
      </c>
      <c r="L11820" s="3"/>
      <c r="M11820" s="4"/>
      <c r="N11820" s="3" t="s">
        <v>37</v>
      </c>
      <c r="O11820" s="3" t="s">
        <v>46</v>
      </c>
      <c r="P11820" s="5">
        <v>9</v>
      </c>
      <c r="Q11820" s="5">
        <v>66</v>
      </c>
      <c r="R11820" s="5">
        <v>9</v>
      </c>
      <c r="S11820" s="5">
        <v>67</v>
      </c>
    </row>
    <row r="11821" spans="1:19" ht="42" x14ac:dyDescent="0.15">
      <c r="A11821" s="2">
        <f>HYPERLINK("https://open-school.uspishnemisto.com.ua/school/590459/", 590459)</f>
        <v>590459</v>
      </c>
      <c r="B11821" s="3" t="s">
        <v>59836</v>
      </c>
      <c r="C11821" s="3" t="s">
        <v>31</v>
      </c>
      <c r="D11821" s="3" t="s">
        <v>32</v>
      </c>
      <c r="E11821" s="4" t="s">
        <v>22</v>
      </c>
      <c r="F11821" s="4" t="s">
        <v>59837</v>
      </c>
      <c r="G11821" s="4" t="s">
        <v>59838</v>
      </c>
      <c r="H11821" s="3" t="s">
        <v>57649</v>
      </c>
      <c r="I11821" s="3" t="s">
        <v>59839</v>
      </c>
      <c r="J11821" s="3" t="s">
        <v>59840</v>
      </c>
      <c r="K11821" s="3" t="s">
        <v>59841</v>
      </c>
      <c r="L11821" s="3"/>
      <c r="M11821" s="4"/>
      <c r="N11821" s="3" t="s">
        <v>37</v>
      </c>
      <c r="O11821" s="3" t="s">
        <v>52</v>
      </c>
      <c r="P11821" s="5">
        <v>14</v>
      </c>
      <c r="Q11821" s="5">
        <v>261</v>
      </c>
      <c r="R11821" s="5">
        <v>14</v>
      </c>
      <c r="S11821" s="5">
        <v>271</v>
      </c>
    </row>
    <row r="11822" spans="1:19" ht="56" x14ac:dyDescent="0.15">
      <c r="A11822" s="2">
        <f>HYPERLINK("https://open-school.uspishnemisto.com.ua/school/590460/", 590460)</f>
        <v>590460</v>
      </c>
      <c r="B11822" s="3" t="s">
        <v>59842</v>
      </c>
      <c r="C11822" s="3" t="s">
        <v>54</v>
      </c>
      <c r="D11822" s="3" t="s">
        <v>32</v>
      </c>
      <c r="E11822" s="4" t="s">
        <v>22</v>
      </c>
      <c r="F11822" s="4" t="s">
        <v>59843</v>
      </c>
      <c r="G11822" s="4" t="s">
        <v>59844</v>
      </c>
      <c r="H11822" s="3" t="s">
        <v>57649</v>
      </c>
      <c r="I11822" s="3" t="s">
        <v>1740</v>
      </c>
      <c r="J11822" s="3" t="s">
        <v>32886</v>
      </c>
      <c r="K11822" s="3" t="s">
        <v>59845</v>
      </c>
      <c r="L11822" s="3"/>
      <c r="M11822" s="4"/>
      <c r="N11822" s="3" t="s">
        <v>37</v>
      </c>
      <c r="O11822" s="3" t="s">
        <v>52</v>
      </c>
      <c r="P11822" s="5">
        <v>11</v>
      </c>
      <c r="Q11822" s="5">
        <v>126</v>
      </c>
      <c r="R11822" s="5">
        <v>11</v>
      </c>
      <c r="S11822" s="5">
        <v>133</v>
      </c>
    </row>
    <row r="11823" spans="1:19" ht="28" x14ac:dyDescent="0.15">
      <c r="A11823" s="2">
        <f>HYPERLINK("https://open-school.uspishnemisto.com.ua/school/590461/", 590461)</f>
        <v>590461</v>
      </c>
      <c r="B11823" s="3" t="s">
        <v>59846</v>
      </c>
      <c r="C11823" s="3" t="s">
        <v>31</v>
      </c>
      <c r="D11823" s="3" t="s">
        <v>32</v>
      </c>
      <c r="E11823" s="4" t="s">
        <v>22</v>
      </c>
      <c r="F11823" s="4" t="s">
        <v>59847</v>
      </c>
      <c r="G11823" s="4" t="s">
        <v>59848</v>
      </c>
      <c r="H11823" s="3" t="s">
        <v>57649</v>
      </c>
      <c r="I11823" s="3" t="s">
        <v>59849</v>
      </c>
      <c r="J11823" s="3" t="s">
        <v>1636</v>
      </c>
      <c r="K11823" s="3" t="s">
        <v>59850</v>
      </c>
      <c r="L11823" s="3"/>
      <c r="M11823" s="4"/>
      <c r="N11823" s="3" t="s">
        <v>37</v>
      </c>
      <c r="O11823" s="3" t="s">
        <v>52</v>
      </c>
      <c r="P11823" s="5">
        <v>11</v>
      </c>
      <c r="Q11823" s="5">
        <v>93</v>
      </c>
      <c r="R11823" s="5">
        <v>10</v>
      </c>
      <c r="S11823" s="5">
        <v>95</v>
      </c>
    </row>
    <row r="11824" spans="1:19" ht="28" x14ac:dyDescent="0.15">
      <c r="A11824" s="2">
        <f>HYPERLINK("https://open-school.uspishnemisto.com.ua/school/590462/", 590462)</f>
        <v>590462</v>
      </c>
      <c r="B11824" s="3" t="s">
        <v>59851</v>
      </c>
      <c r="C11824" s="3" t="s">
        <v>31</v>
      </c>
      <c r="D11824" s="3" t="s">
        <v>32</v>
      </c>
      <c r="E11824" s="4" t="s">
        <v>22</v>
      </c>
      <c r="F11824" s="4" t="s">
        <v>59852</v>
      </c>
      <c r="G11824" s="4" t="s">
        <v>59853</v>
      </c>
      <c r="H11824" s="3" t="s">
        <v>57649</v>
      </c>
      <c r="I11824" s="3" t="s">
        <v>59854</v>
      </c>
      <c r="J11824" s="3" t="s">
        <v>878</v>
      </c>
      <c r="K11824" s="3" t="s">
        <v>59855</v>
      </c>
      <c r="L11824" s="3"/>
      <c r="M11824" s="4"/>
      <c r="N11824" s="3" t="s">
        <v>37</v>
      </c>
      <c r="O11824" s="3" t="s">
        <v>52</v>
      </c>
      <c r="P11824" s="5">
        <v>11</v>
      </c>
      <c r="Q11824" s="5">
        <v>135</v>
      </c>
      <c r="R11824" s="5">
        <v>11</v>
      </c>
      <c r="S11824" s="5">
        <v>129</v>
      </c>
    </row>
    <row r="11825" spans="1:19" ht="28" x14ac:dyDescent="0.15">
      <c r="A11825" s="2">
        <f>HYPERLINK("https://open-school.uspishnemisto.com.ua/school/590463/", 590463)</f>
        <v>590463</v>
      </c>
      <c r="B11825" s="3" t="s">
        <v>59856</v>
      </c>
      <c r="C11825" s="3" t="s">
        <v>31</v>
      </c>
      <c r="D11825" s="3" t="s">
        <v>32</v>
      </c>
      <c r="E11825" s="4" t="s">
        <v>22</v>
      </c>
      <c r="F11825" s="4" t="s">
        <v>59857</v>
      </c>
      <c r="G11825" s="4" t="s">
        <v>59858</v>
      </c>
      <c r="H11825" s="3" t="s">
        <v>57649</v>
      </c>
      <c r="I11825" s="3" t="s">
        <v>59859</v>
      </c>
      <c r="J11825" s="3" t="s">
        <v>48885</v>
      </c>
      <c r="K11825" s="3" t="s">
        <v>59860</v>
      </c>
      <c r="L11825" s="3"/>
      <c r="M11825" s="4"/>
      <c r="N11825" s="3" t="s">
        <v>37</v>
      </c>
      <c r="O11825" s="3" t="s">
        <v>52</v>
      </c>
      <c r="P11825" s="5">
        <v>10</v>
      </c>
      <c r="Q11825" s="5">
        <v>97</v>
      </c>
      <c r="R11825" s="5">
        <v>10</v>
      </c>
      <c r="S11825" s="5">
        <v>98</v>
      </c>
    </row>
    <row r="11826" spans="1:19" ht="56" x14ac:dyDescent="0.15">
      <c r="A11826" s="2">
        <f>HYPERLINK("https://open-school.uspishnemisto.com.ua/school/590464/", 590464)</f>
        <v>590464</v>
      </c>
      <c r="B11826" s="3" t="s">
        <v>59861</v>
      </c>
      <c r="C11826" s="3" t="s">
        <v>54</v>
      </c>
      <c r="D11826" s="3" t="s">
        <v>32</v>
      </c>
      <c r="E11826" s="4" t="s">
        <v>22</v>
      </c>
      <c r="F11826" s="4" t="s">
        <v>59862</v>
      </c>
      <c r="G11826" s="4" t="s">
        <v>59863</v>
      </c>
      <c r="H11826" s="3" t="s">
        <v>57649</v>
      </c>
      <c r="I11826" s="3" t="s">
        <v>59864</v>
      </c>
      <c r="J11826" s="3" t="s">
        <v>15190</v>
      </c>
      <c r="K11826" s="3" t="s">
        <v>59865</v>
      </c>
      <c r="L11826" s="3" t="s">
        <v>59866</v>
      </c>
      <c r="M11826" s="4"/>
      <c r="N11826" s="3" t="s">
        <v>37</v>
      </c>
      <c r="O11826" s="3" t="s">
        <v>52</v>
      </c>
      <c r="P11826" s="5">
        <v>10</v>
      </c>
      <c r="Q11826" s="5">
        <v>90</v>
      </c>
      <c r="R11826" s="5">
        <v>10</v>
      </c>
      <c r="S11826" s="5">
        <v>89</v>
      </c>
    </row>
    <row r="11827" spans="1:19" ht="28" x14ac:dyDescent="0.15">
      <c r="A11827" s="2">
        <f>HYPERLINK("https://open-school.uspishnemisto.com.ua/school/590465/", 590465)</f>
        <v>590465</v>
      </c>
      <c r="B11827" s="3" t="s">
        <v>59867</v>
      </c>
      <c r="C11827" s="3" t="s">
        <v>31</v>
      </c>
      <c r="D11827" s="3" t="s">
        <v>32</v>
      </c>
      <c r="E11827" s="4" t="s">
        <v>22</v>
      </c>
      <c r="F11827" s="4" t="s">
        <v>59868</v>
      </c>
      <c r="G11827" s="4" t="s">
        <v>59869</v>
      </c>
      <c r="H11827" s="3" t="s">
        <v>57649</v>
      </c>
      <c r="I11827" s="3" t="s">
        <v>59870</v>
      </c>
      <c r="J11827" s="3" t="s">
        <v>946</v>
      </c>
      <c r="K11827" s="3" t="s">
        <v>59871</v>
      </c>
      <c r="L11827" s="3" t="s">
        <v>59872</v>
      </c>
      <c r="M11827" s="4" t="s">
        <v>59873</v>
      </c>
      <c r="N11827" s="3" t="s">
        <v>37</v>
      </c>
      <c r="O11827" s="3" t="s">
        <v>52</v>
      </c>
      <c r="P11827" s="5">
        <v>13</v>
      </c>
      <c r="Q11827" s="5">
        <v>257</v>
      </c>
      <c r="R11827" s="5">
        <v>14</v>
      </c>
      <c r="S11827" s="5">
        <v>252</v>
      </c>
    </row>
    <row r="11828" spans="1:19" ht="42" x14ac:dyDescent="0.15">
      <c r="A11828" s="2">
        <f>HYPERLINK("https://open-school.uspishnemisto.com.ua/school/590466/", 590466)</f>
        <v>590466</v>
      </c>
      <c r="B11828" s="3" t="s">
        <v>59874</v>
      </c>
      <c r="C11828" s="3" t="s">
        <v>31</v>
      </c>
      <c r="D11828" s="3" t="s">
        <v>175</v>
      </c>
      <c r="E11828" s="4" t="s">
        <v>22</v>
      </c>
      <c r="F11828" s="4" t="s">
        <v>59875</v>
      </c>
      <c r="G11828" s="4" t="s">
        <v>59876</v>
      </c>
      <c r="H11828" s="3" t="s">
        <v>57649</v>
      </c>
      <c r="I11828" s="3" t="s">
        <v>1409</v>
      </c>
      <c r="J11828" s="3" t="s">
        <v>59877</v>
      </c>
      <c r="K11828" s="3" t="s">
        <v>59878</v>
      </c>
      <c r="L11828" s="3"/>
      <c r="M11828" s="4"/>
      <c r="N11828" s="3" t="s">
        <v>37</v>
      </c>
      <c r="O11828" s="3" t="s">
        <v>52</v>
      </c>
      <c r="P11828" s="5">
        <v>7</v>
      </c>
      <c r="Q11828" s="5">
        <v>61</v>
      </c>
      <c r="R11828" s="5">
        <v>8</v>
      </c>
      <c r="S11828" s="5">
        <v>63</v>
      </c>
    </row>
    <row r="11829" spans="1:19" ht="28" x14ac:dyDescent="0.15">
      <c r="A11829" s="2">
        <f>HYPERLINK("https://open-school.uspishnemisto.com.ua/school/590467/", 590467)</f>
        <v>590467</v>
      </c>
      <c r="B11829" s="3" t="s">
        <v>59879</v>
      </c>
      <c r="C11829" s="3" t="s">
        <v>31</v>
      </c>
      <c r="D11829" s="3" t="s">
        <v>32</v>
      </c>
      <c r="E11829" s="4" t="s">
        <v>22</v>
      </c>
      <c r="F11829" s="4" t="s">
        <v>59880</v>
      </c>
      <c r="G11829" s="4" t="s">
        <v>59881</v>
      </c>
      <c r="H11829" s="3" t="s">
        <v>57649</v>
      </c>
      <c r="I11829" s="3" t="s">
        <v>59882</v>
      </c>
      <c r="J11829" s="3" t="s">
        <v>792</v>
      </c>
      <c r="K11829" s="3" t="s">
        <v>59883</v>
      </c>
      <c r="L11829" s="3"/>
      <c r="M11829" s="4" t="s">
        <v>59884</v>
      </c>
      <c r="N11829" s="3" t="s">
        <v>37</v>
      </c>
      <c r="O11829" s="3" t="s">
        <v>46</v>
      </c>
      <c r="P11829" s="5">
        <v>18</v>
      </c>
      <c r="Q11829" s="5">
        <v>330</v>
      </c>
      <c r="R11829" s="5">
        <v>18</v>
      </c>
      <c r="S11829" s="5">
        <v>332</v>
      </c>
    </row>
    <row r="11830" spans="1:19" ht="42" x14ac:dyDescent="0.15">
      <c r="A11830" s="2">
        <f>HYPERLINK("https://open-school.uspishnemisto.com.ua/school/590468/", 590468)</f>
        <v>590468</v>
      </c>
      <c r="B11830" s="3" t="s">
        <v>59885</v>
      </c>
      <c r="C11830" s="3" t="s">
        <v>54</v>
      </c>
      <c r="D11830" s="3" t="s">
        <v>32</v>
      </c>
      <c r="E11830" s="4" t="s">
        <v>22</v>
      </c>
      <c r="F11830" s="4" t="s">
        <v>59886</v>
      </c>
      <c r="G11830" s="4" t="s">
        <v>59887</v>
      </c>
      <c r="H11830" s="3" t="s">
        <v>57649</v>
      </c>
      <c r="I11830" s="3" t="s">
        <v>59888</v>
      </c>
      <c r="J11830" s="3" t="s">
        <v>878</v>
      </c>
      <c r="K11830" s="3" t="s">
        <v>59889</v>
      </c>
      <c r="L11830" s="3"/>
      <c r="M11830" s="4"/>
      <c r="N11830" s="3" t="s">
        <v>37</v>
      </c>
      <c r="O11830" s="3" t="s">
        <v>52</v>
      </c>
      <c r="P11830" s="5">
        <v>4</v>
      </c>
      <c r="Q11830" s="5">
        <v>35</v>
      </c>
      <c r="R11830" s="5">
        <v>4</v>
      </c>
      <c r="S11830" s="5">
        <v>43</v>
      </c>
    </row>
    <row r="11831" spans="1:19" ht="56" x14ac:dyDescent="0.15">
      <c r="A11831" s="2">
        <f>HYPERLINK("https://open-school.uspishnemisto.com.ua/school/590469/", 590469)</f>
        <v>590469</v>
      </c>
      <c r="B11831" s="3" t="s">
        <v>59890</v>
      </c>
      <c r="C11831" s="3" t="s">
        <v>54</v>
      </c>
      <c r="D11831" s="3" t="s">
        <v>32</v>
      </c>
      <c r="E11831" s="4" t="s">
        <v>22</v>
      </c>
      <c r="F11831" s="4" t="s">
        <v>59891</v>
      </c>
      <c r="G11831" s="4" t="s">
        <v>59892</v>
      </c>
      <c r="H11831" s="3" t="s">
        <v>57649</v>
      </c>
      <c r="I11831" s="3" t="s">
        <v>59893</v>
      </c>
      <c r="J11831" s="3" t="s">
        <v>4728</v>
      </c>
      <c r="K11831" s="3" t="s">
        <v>59894</v>
      </c>
      <c r="L11831" s="3"/>
      <c r="M11831" s="4"/>
      <c r="N11831" s="3" t="s">
        <v>37</v>
      </c>
      <c r="O11831" s="3" t="s">
        <v>52</v>
      </c>
      <c r="P11831" s="5">
        <v>0</v>
      </c>
      <c r="Q11831" s="5">
        <v>0</v>
      </c>
      <c r="R11831" s="5">
        <v>9</v>
      </c>
      <c r="S11831" s="5">
        <v>81</v>
      </c>
    </row>
    <row r="11832" spans="1:19" ht="42" x14ac:dyDescent="0.15">
      <c r="A11832" s="2">
        <f>HYPERLINK("https://open-school.uspishnemisto.com.ua/school/590470/", 590470)</f>
        <v>590470</v>
      </c>
      <c r="B11832" s="3" t="s">
        <v>59895</v>
      </c>
      <c r="C11832" s="3" t="s">
        <v>31</v>
      </c>
      <c r="D11832" s="3" t="s">
        <v>32</v>
      </c>
      <c r="E11832" s="4" t="s">
        <v>22</v>
      </c>
      <c r="F11832" s="4" t="s">
        <v>59896</v>
      </c>
      <c r="G11832" s="4" t="s">
        <v>59897</v>
      </c>
      <c r="H11832" s="3" t="s">
        <v>57649</v>
      </c>
      <c r="I11832" s="3" t="s">
        <v>52796</v>
      </c>
      <c r="J11832" s="3" t="s">
        <v>14941</v>
      </c>
      <c r="K11832" s="3" t="s">
        <v>59898</v>
      </c>
      <c r="L11832" s="3"/>
      <c r="M11832" s="4"/>
      <c r="N11832" s="3" t="s">
        <v>37</v>
      </c>
      <c r="O11832" s="3" t="s">
        <v>52</v>
      </c>
      <c r="P11832" s="5">
        <v>11</v>
      </c>
      <c r="Q11832" s="5">
        <v>139</v>
      </c>
      <c r="R11832" s="5">
        <v>11</v>
      </c>
      <c r="S11832" s="5">
        <v>132</v>
      </c>
    </row>
    <row r="11833" spans="1:19" ht="42" x14ac:dyDescent="0.15">
      <c r="A11833" s="2">
        <f>HYPERLINK("https://open-school.uspishnemisto.com.ua/school/590471/", 590471)</f>
        <v>590471</v>
      </c>
      <c r="B11833" s="3" t="s">
        <v>59899</v>
      </c>
      <c r="C11833" s="3" t="s">
        <v>31</v>
      </c>
      <c r="D11833" s="3" t="s">
        <v>32</v>
      </c>
      <c r="E11833" s="4" t="s">
        <v>22</v>
      </c>
      <c r="F11833" s="4" t="s">
        <v>59900</v>
      </c>
      <c r="G11833" s="4" t="s">
        <v>59901</v>
      </c>
      <c r="H11833" s="3" t="s">
        <v>57649</v>
      </c>
      <c r="I11833" s="3" t="s">
        <v>39977</v>
      </c>
      <c r="J11833" s="3" t="s">
        <v>59902</v>
      </c>
      <c r="K11833" s="3" t="s">
        <v>59903</v>
      </c>
      <c r="L11833" s="3" t="s">
        <v>59904</v>
      </c>
      <c r="M11833" s="4"/>
      <c r="N11833" s="3" t="s">
        <v>37</v>
      </c>
      <c r="O11833" s="3" t="s">
        <v>52</v>
      </c>
      <c r="P11833" s="5">
        <v>11</v>
      </c>
      <c r="Q11833" s="5">
        <v>158</v>
      </c>
      <c r="R11833" s="5">
        <v>11</v>
      </c>
      <c r="S11833" s="5">
        <v>161</v>
      </c>
    </row>
    <row r="11834" spans="1:19" ht="56" x14ac:dyDescent="0.15">
      <c r="A11834" s="2">
        <f>HYPERLINK("https://open-school.uspishnemisto.com.ua/school/590472/", 590472)</f>
        <v>590472</v>
      </c>
      <c r="B11834" s="3" t="s">
        <v>59905</v>
      </c>
      <c r="C11834" s="3" t="s">
        <v>54</v>
      </c>
      <c r="D11834" s="3" t="s">
        <v>175</v>
      </c>
      <c r="E11834" s="4" t="s">
        <v>22</v>
      </c>
      <c r="F11834" s="4" t="s">
        <v>59906</v>
      </c>
      <c r="G11834" s="4" t="s">
        <v>59907</v>
      </c>
      <c r="H11834" s="3" t="s">
        <v>57649</v>
      </c>
      <c r="I11834" s="3" t="s">
        <v>59908</v>
      </c>
      <c r="J11834" s="3" t="s">
        <v>59909</v>
      </c>
      <c r="K11834" s="3" t="s">
        <v>59910</v>
      </c>
      <c r="L11834" s="3" t="s">
        <v>59911</v>
      </c>
      <c r="M11834" s="4"/>
      <c r="N11834" s="3" t="s">
        <v>37</v>
      </c>
      <c r="O11834" s="3" t="s">
        <v>52</v>
      </c>
      <c r="P11834" s="5">
        <v>0</v>
      </c>
      <c r="Q11834" s="5">
        <v>0</v>
      </c>
      <c r="R11834" s="5">
        <v>4</v>
      </c>
      <c r="S11834" s="5">
        <v>31</v>
      </c>
    </row>
    <row r="11835" spans="1:19" ht="28" x14ac:dyDescent="0.15">
      <c r="A11835" s="2">
        <f>HYPERLINK("https://open-school.uspishnemisto.com.ua/school/590473/", 590473)</f>
        <v>590473</v>
      </c>
      <c r="B11835" s="3" t="s">
        <v>59912</v>
      </c>
      <c r="C11835" s="3" t="s">
        <v>31</v>
      </c>
      <c r="D11835" s="3" t="s">
        <v>32</v>
      </c>
      <c r="E11835" s="4" t="s">
        <v>22</v>
      </c>
      <c r="F11835" s="4" t="s">
        <v>59913</v>
      </c>
      <c r="G11835" s="4" t="s">
        <v>59914</v>
      </c>
      <c r="H11835" s="3" t="s">
        <v>57649</v>
      </c>
      <c r="I11835" s="3" t="s">
        <v>59915</v>
      </c>
      <c r="J11835" s="3" t="s">
        <v>59916</v>
      </c>
      <c r="K11835" s="3" t="s">
        <v>59917</v>
      </c>
      <c r="L11835" s="3"/>
      <c r="M11835" s="4"/>
      <c r="N11835" s="3" t="s">
        <v>37</v>
      </c>
      <c r="O11835" s="3" t="s">
        <v>52</v>
      </c>
      <c r="P11835" s="5">
        <v>10</v>
      </c>
      <c r="Q11835" s="5">
        <v>110</v>
      </c>
      <c r="R11835" s="5">
        <v>11</v>
      </c>
      <c r="S11835" s="5">
        <v>103</v>
      </c>
    </row>
    <row r="11836" spans="1:19" ht="56" x14ac:dyDescent="0.15">
      <c r="A11836" s="2">
        <f>HYPERLINK("https://open-school.uspishnemisto.com.ua/school/590474/", 590474)</f>
        <v>590474</v>
      </c>
      <c r="B11836" s="3" t="s">
        <v>59918</v>
      </c>
      <c r="C11836" s="3" t="s">
        <v>54</v>
      </c>
      <c r="D11836" s="3" t="s">
        <v>32</v>
      </c>
      <c r="E11836" s="4" t="s">
        <v>22</v>
      </c>
      <c r="F11836" s="4" t="s">
        <v>59919</v>
      </c>
      <c r="G11836" s="4" t="s">
        <v>59920</v>
      </c>
      <c r="H11836" s="3" t="s">
        <v>57649</v>
      </c>
      <c r="I11836" s="3" t="s">
        <v>59921</v>
      </c>
      <c r="J11836" s="3" t="s">
        <v>1636</v>
      </c>
      <c r="K11836" s="3" t="s">
        <v>59922</v>
      </c>
      <c r="L11836" s="3"/>
      <c r="M11836" s="4"/>
      <c r="N11836" s="3" t="s">
        <v>37</v>
      </c>
      <c r="O11836" s="3" t="s">
        <v>46</v>
      </c>
      <c r="P11836" s="5">
        <v>6</v>
      </c>
      <c r="Q11836" s="5">
        <v>50</v>
      </c>
      <c r="R11836" s="5">
        <v>6</v>
      </c>
      <c r="S11836" s="5">
        <v>50</v>
      </c>
    </row>
    <row r="11837" spans="1:19" ht="56" x14ac:dyDescent="0.15">
      <c r="A11837" s="2">
        <f>HYPERLINK("https://open-school.uspishnemisto.com.ua/school/590475/", 590475)</f>
        <v>590475</v>
      </c>
      <c r="B11837" s="3" t="s">
        <v>59923</v>
      </c>
      <c r="C11837" s="3" t="s">
        <v>54</v>
      </c>
      <c r="D11837" s="3" t="s">
        <v>175</v>
      </c>
      <c r="E11837" s="4" t="s">
        <v>22</v>
      </c>
      <c r="F11837" s="4" t="s">
        <v>59924</v>
      </c>
      <c r="G11837" s="4" t="s">
        <v>59925</v>
      </c>
      <c r="H11837" s="3" t="s">
        <v>57649</v>
      </c>
      <c r="I11837" s="3" t="s">
        <v>3581</v>
      </c>
      <c r="J11837" s="3" t="s">
        <v>59926</v>
      </c>
      <c r="K11837" s="3" t="s">
        <v>59927</v>
      </c>
      <c r="L11837" s="3"/>
      <c r="M11837" s="4"/>
      <c r="N11837" s="3" t="s">
        <v>37</v>
      </c>
      <c r="O11837" s="3" t="s">
        <v>38</v>
      </c>
      <c r="P11837" s="5">
        <v>9</v>
      </c>
      <c r="Q11837" s="5">
        <v>93</v>
      </c>
      <c r="R11837" s="5">
        <v>9</v>
      </c>
      <c r="S11837" s="5">
        <v>92</v>
      </c>
    </row>
    <row r="11838" spans="1:19" ht="28" x14ac:dyDescent="0.15">
      <c r="A11838" s="2">
        <f>HYPERLINK("https://open-school.uspishnemisto.com.ua/school/590476/", 590476)</f>
        <v>590476</v>
      </c>
      <c r="B11838" s="3" t="s">
        <v>59928</v>
      </c>
      <c r="C11838" s="3" t="s">
        <v>31</v>
      </c>
      <c r="D11838" s="3" t="s">
        <v>32</v>
      </c>
      <c r="E11838" s="4" t="s">
        <v>22</v>
      </c>
      <c r="F11838" s="4" t="s">
        <v>59924</v>
      </c>
      <c r="G11838" s="4" t="s">
        <v>59925</v>
      </c>
      <c r="H11838" s="3" t="s">
        <v>57649</v>
      </c>
      <c r="I11838" s="3" t="s">
        <v>3581</v>
      </c>
      <c r="J11838" s="3" t="s">
        <v>466</v>
      </c>
      <c r="K11838" s="3" t="s">
        <v>59929</v>
      </c>
      <c r="L11838" s="3" t="s">
        <v>59930</v>
      </c>
      <c r="M11838" s="4"/>
      <c r="N11838" s="3" t="s">
        <v>37</v>
      </c>
      <c r="O11838" s="3" t="s">
        <v>38</v>
      </c>
      <c r="P11838" s="5">
        <v>12</v>
      </c>
      <c r="Q11838" s="5">
        <v>245</v>
      </c>
      <c r="R11838" s="5">
        <v>12</v>
      </c>
      <c r="S11838" s="5">
        <v>240</v>
      </c>
    </row>
    <row r="11839" spans="1:19" ht="28" x14ac:dyDescent="0.15">
      <c r="A11839" s="2">
        <f>HYPERLINK("https://open-school.uspishnemisto.com.ua/school/590477/", 590477)</f>
        <v>590477</v>
      </c>
      <c r="B11839" s="3" t="s">
        <v>59931</v>
      </c>
      <c r="C11839" s="3" t="s">
        <v>244</v>
      </c>
      <c r="D11839" s="3" t="s">
        <v>32</v>
      </c>
      <c r="E11839" s="4" t="s">
        <v>22</v>
      </c>
      <c r="F11839" s="4" t="s">
        <v>59924</v>
      </c>
      <c r="G11839" s="4" t="s">
        <v>59925</v>
      </c>
      <c r="H11839" s="3" t="s">
        <v>57649</v>
      </c>
      <c r="I11839" s="3" t="s">
        <v>3581</v>
      </c>
      <c r="J11839" s="3" t="s">
        <v>6042</v>
      </c>
      <c r="K11839" s="3" t="s">
        <v>59932</v>
      </c>
      <c r="L11839" s="3"/>
      <c r="M11839" s="4"/>
      <c r="N11839" s="3" t="s">
        <v>37</v>
      </c>
      <c r="O11839" s="3" t="s">
        <v>38</v>
      </c>
      <c r="P11839" s="5">
        <v>20</v>
      </c>
      <c r="Q11839" s="5">
        <v>495</v>
      </c>
      <c r="R11839" s="5">
        <v>20</v>
      </c>
      <c r="S11839" s="5">
        <v>503</v>
      </c>
    </row>
    <row r="11840" spans="1:19" ht="28" x14ac:dyDescent="0.15">
      <c r="A11840" s="2">
        <f>HYPERLINK("https://open-school.uspishnemisto.com.ua/school/590478/", 590478)</f>
        <v>590478</v>
      </c>
      <c r="B11840" s="3" t="s">
        <v>59933</v>
      </c>
      <c r="C11840" s="3" t="s">
        <v>244</v>
      </c>
      <c r="D11840" s="3" t="s">
        <v>32</v>
      </c>
      <c r="E11840" s="4" t="s">
        <v>22</v>
      </c>
      <c r="F11840" s="4" t="s">
        <v>59924</v>
      </c>
      <c r="G11840" s="4" t="s">
        <v>59925</v>
      </c>
      <c r="H11840" s="3" t="s">
        <v>57649</v>
      </c>
      <c r="I11840" s="3" t="s">
        <v>3581</v>
      </c>
      <c r="J11840" s="3" t="s">
        <v>59934</v>
      </c>
      <c r="K11840" s="3" t="s">
        <v>59935</v>
      </c>
      <c r="L11840" s="3" t="s">
        <v>59936</v>
      </c>
      <c r="M11840" s="4"/>
      <c r="N11840" s="3" t="s">
        <v>37</v>
      </c>
      <c r="O11840" s="3" t="s">
        <v>38</v>
      </c>
      <c r="P11840" s="5">
        <v>11</v>
      </c>
      <c r="Q11840" s="5">
        <v>222</v>
      </c>
      <c r="R11840" s="5">
        <v>11</v>
      </c>
      <c r="S11840" s="5">
        <v>225</v>
      </c>
    </row>
    <row r="11841" spans="1:19" ht="28" x14ac:dyDescent="0.15">
      <c r="A11841" s="2">
        <f>HYPERLINK("https://open-school.uspishnemisto.com.ua/school/590479/", 590479)</f>
        <v>590479</v>
      </c>
      <c r="B11841" s="3" t="s">
        <v>59937</v>
      </c>
      <c r="C11841" s="3" t="s">
        <v>244</v>
      </c>
      <c r="D11841" s="3" t="s">
        <v>32</v>
      </c>
      <c r="E11841" s="4" t="s">
        <v>22</v>
      </c>
      <c r="F11841" s="4" t="s">
        <v>59924</v>
      </c>
      <c r="G11841" s="4" t="s">
        <v>59925</v>
      </c>
      <c r="H11841" s="3" t="s">
        <v>57649</v>
      </c>
      <c r="I11841" s="3" t="s">
        <v>3581</v>
      </c>
      <c r="J11841" s="3" t="s">
        <v>59938</v>
      </c>
      <c r="K11841" s="3" t="s">
        <v>59939</v>
      </c>
      <c r="L11841" s="3" t="s">
        <v>59940</v>
      </c>
      <c r="M11841" s="4"/>
      <c r="N11841" s="3" t="s">
        <v>37</v>
      </c>
      <c r="O11841" s="3" t="s">
        <v>38</v>
      </c>
      <c r="P11841" s="5">
        <v>21</v>
      </c>
      <c r="Q11841" s="5">
        <v>467</v>
      </c>
      <c r="R11841" s="5">
        <v>20</v>
      </c>
      <c r="S11841" s="5">
        <v>461</v>
      </c>
    </row>
    <row r="11842" spans="1:19" ht="28" x14ac:dyDescent="0.15">
      <c r="A11842" s="2">
        <f>HYPERLINK("https://open-school.uspishnemisto.com.ua/school/590480/", 590480)</f>
        <v>590480</v>
      </c>
      <c r="B11842" s="3" t="s">
        <v>59941</v>
      </c>
      <c r="C11842" s="3" t="s">
        <v>244</v>
      </c>
      <c r="D11842" s="3" t="s">
        <v>32</v>
      </c>
      <c r="E11842" s="4" t="s">
        <v>22</v>
      </c>
      <c r="F11842" s="4" t="s">
        <v>59924</v>
      </c>
      <c r="G11842" s="4" t="s">
        <v>59925</v>
      </c>
      <c r="H11842" s="3" t="s">
        <v>57649</v>
      </c>
      <c r="I11842" s="3" t="s">
        <v>3581</v>
      </c>
      <c r="J11842" s="3" t="s">
        <v>1612</v>
      </c>
      <c r="K11842" s="3" t="s">
        <v>59942</v>
      </c>
      <c r="L11842" s="3" t="s">
        <v>59943</v>
      </c>
      <c r="M11842" s="4"/>
      <c r="N11842" s="3" t="s">
        <v>37</v>
      </c>
      <c r="O11842" s="3" t="s">
        <v>38</v>
      </c>
      <c r="P11842" s="5">
        <v>23</v>
      </c>
      <c r="Q11842" s="5">
        <v>528</v>
      </c>
      <c r="R11842" s="5">
        <v>23</v>
      </c>
      <c r="S11842" s="5">
        <v>517</v>
      </c>
    </row>
    <row r="11843" spans="1:19" ht="28" x14ac:dyDescent="0.15">
      <c r="A11843" s="2">
        <f>HYPERLINK("https://open-school.uspishnemisto.com.ua/school/590481/", 590481)</f>
        <v>590481</v>
      </c>
      <c r="B11843" s="3" t="s">
        <v>59944</v>
      </c>
      <c r="C11843" s="3" t="s">
        <v>31</v>
      </c>
      <c r="D11843" s="3" t="s">
        <v>32</v>
      </c>
      <c r="E11843" s="4" t="s">
        <v>22</v>
      </c>
      <c r="F11843" s="4" t="s">
        <v>59945</v>
      </c>
      <c r="G11843" s="4" t="s">
        <v>59946</v>
      </c>
      <c r="H11843" s="3" t="s">
        <v>57649</v>
      </c>
      <c r="I11843" s="3" t="s">
        <v>17844</v>
      </c>
      <c r="J11843" s="3" t="s">
        <v>466</v>
      </c>
      <c r="K11843" s="3" t="s">
        <v>59947</v>
      </c>
      <c r="L11843" s="3" t="s">
        <v>59948</v>
      </c>
      <c r="M11843" s="4"/>
      <c r="N11843" s="3" t="s">
        <v>37</v>
      </c>
      <c r="O11843" s="3" t="s">
        <v>38</v>
      </c>
      <c r="P11843" s="5">
        <v>11</v>
      </c>
      <c r="Q11843" s="5">
        <v>147</v>
      </c>
      <c r="R11843" s="5">
        <v>11</v>
      </c>
      <c r="S11843" s="5">
        <v>136</v>
      </c>
    </row>
    <row r="11844" spans="1:19" ht="56" x14ac:dyDescent="0.15">
      <c r="A11844" s="2">
        <f>HYPERLINK("https://open-school.uspishnemisto.com.ua/school/590482/", 590482)</f>
        <v>590482</v>
      </c>
      <c r="B11844" s="3" t="s">
        <v>59949</v>
      </c>
      <c r="C11844" s="3" t="s">
        <v>54</v>
      </c>
      <c r="D11844" s="3" t="s">
        <v>32</v>
      </c>
      <c r="E11844" s="4" t="s">
        <v>22</v>
      </c>
      <c r="F11844" s="4" t="s">
        <v>59950</v>
      </c>
      <c r="G11844" s="4" t="s">
        <v>59951</v>
      </c>
      <c r="H11844" s="3" t="s">
        <v>57649</v>
      </c>
      <c r="I11844" s="3" t="s">
        <v>59952</v>
      </c>
      <c r="J11844" s="3" t="s">
        <v>59953</v>
      </c>
      <c r="K11844" s="3" t="s">
        <v>59954</v>
      </c>
      <c r="L11844" s="3"/>
      <c r="M11844" s="4" t="s">
        <v>59955</v>
      </c>
      <c r="N11844" s="3" t="s">
        <v>37</v>
      </c>
      <c r="O11844" s="3" t="s">
        <v>70</v>
      </c>
      <c r="P11844" s="5">
        <v>32</v>
      </c>
      <c r="Q11844" s="5">
        <v>436</v>
      </c>
      <c r="R11844" s="5">
        <v>14</v>
      </c>
      <c r="S11844" s="5">
        <v>297</v>
      </c>
    </row>
    <row r="11845" spans="1:19" ht="56" x14ac:dyDescent="0.15">
      <c r="A11845" s="2">
        <f>HYPERLINK("https://open-school.uspishnemisto.com.ua/school/590483/", 590483)</f>
        <v>590483</v>
      </c>
      <c r="B11845" s="3" t="s">
        <v>59956</v>
      </c>
      <c r="C11845" s="3" t="s">
        <v>31</v>
      </c>
      <c r="D11845" s="3" t="s">
        <v>60</v>
      </c>
      <c r="E11845" s="4" t="s">
        <v>22</v>
      </c>
      <c r="F11845" s="4" t="s">
        <v>59957</v>
      </c>
      <c r="G11845" s="4" t="s">
        <v>59958</v>
      </c>
      <c r="H11845" s="3" t="s">
        <v>57649</v>
      </c>
      <c r="I11845" s="3" t="s">
        <v>13713</v>
      </c>
      <c r="J11845" s="3" t="s">
        <v>59959</v>
      </c>
      <c r="K11845" s="3" t="s">
        <v>59960</v>
      </c>
      <c r="L11845" s="3"/>
      <c r="M11845" s="4"/>
      <c r="N11845" s="3" t="s">
        <v>37</v>
      </c>
      <c r="O11845" s="3" t="s">
        <v>52</v>
      </c>
      <c r="P11845" s="5">
        <v>0</v>
      </c>
      <c r="Q11845" s="5">
        <v>0</v>
      </c>
      <c r="R11845" s="5">
        <v>4</v>
      </c>
      <c r="S11845" s="5">
        <v>26</v>
      </c>
    </row>
    <row r="11846" spans="1:19" ht="28" x14ac:dyDescent="0.15">
      <c r="A11846" s="2">
        <f>HYPERLINK("https://open-school.uspishnemisto.com.ua/school/590484/", 590484)</f>
        <v>590484</v>
      </c>
      <c r="B11846" s="3" t="s">
        <v>59961</v>
      </c>
      <c r="C11846" s="3" t="s">
        <v>31</v>
      </c>
      <c r="D11846" s="3" t="s">
        <v>32</v>
      </c>
      <c r="E11846" s="4" t="s">
        <v>22</v>
      </c>
      <c r="F11846" s="4" t="s">
        <v>59962</v>
      </c>
      <c r="G11846" s="4" t="s">
        <v>59963</v>
      </c>
      <c r="H11846" s="3" t="s">
        <v>57649</v>
      </c>
      <c r="I11846" s="3" t="s">
        <v>59964</v>
      </c>
      <c r="J11846" s="3" t="s">
        <v>4612</v>
      </c>
      <c r="K11846" s="3" t="s">
        <v>59965</v>
      </c>
      <c r="L11846" s="3"/>
      <c r="M11846" s="4"/>
      <c r="N11846" s="3" t="s">
        <v>37</v>
      </c>
      <c r="O11846" s="3" t="s">
        <v>52</v>
      </c>
      <c r="P11846" s="5">
        <v>2</v>
      </c>
      <c r="Q11846" s="5">
        <v>30</v>
      </c>
      <c r="R11846" s="5">
        <v>2</v>
      </c>
      <c r="S11846" s="5">
        <v>28</v>
      </c>
    </row>
    <row r="11847" spans="1:19" ht="56" x14ac:dyDescent="0.15">
      <c r="A11847" s="2">
        <f>HYPERLINK("https://open-school.uspishnemisto.com.ua/school/590485/", 590485)</f>
        <v>590485</v>
      </c>
      <c r="B11847" s="3" t="s">
        <v>59966</v>
      </c>
      <c r="C11847" s="3" t="s">
        <v>31</v>
      </c>
      <c r="D11847" s="3" t="s">
        <v>175</v>
      </c>
      <c r="E11847" s="4" t="s">
        <v>22</v>
      </c>
      <c r="F11847" s="4" t="s">
        <v>59967</v>
      </c>
      <c r="G11847" s="4" t="s">
        <v>59968</v>
      </c>
      <c r="H11847" s="3" t="s">
        <v>57649</v>
      </c>
      <c r="I11847" s="3" t="s">
        <v>59969</v>
      </c>
      <c r="J11847" s="3" t="s">
        <v>14959</v>
      </c>
      <c r="K11847" s="3" t="s">
        <v>59970</v>
      </c>
      <c r="L11847" s="3" t="s">
        <v>59971</v>
      </c>
      <c r="M11847" s="4"/>
      <c r="N11847" s="3" t="s">
        <v>37</v>
      </c>
      <c r="O11847" s="3" t="s">
        <v>52</v>
      </c>
      <c r="P11847" s="5">
        <v>0</v>
      </c>
      <c r="Q11847" s="5">
        <v>0</v>
      </c>
      <c r="R11847" s="5">
        <v>11</v>
      </c>
      <c r="S11847" s="5">
        <v>86</v>
      </c>
    </row>
    <row r="11848" spans="1:19" ht="42" x14ac:dyDescent="0.15">
      <c r="A11848" s="2">
        <f>HYPERLINK("https://open-school.uspishnemisto.com.ua/school/590486/", 590486)</f>
        <v>590486</v>
      </c>
      <c r="B11848" s="3" t="s">
        <v>59972</v>
      </c>
      <c r="C11848" s="3" t="s">
        <v>181</v>
      </c>
      <c r="D11848" s="3"/>
      <c r="E11848" s="4" t="s">
        <v>22</v>
      </c>
      <c r="F11848" s="4" t="s">
        <v>59967</v>
      </c>
      <c r="G11848" s="4" t="s">
        <v>59968</v>
      </c>
      <c r="H11848" s="3" t="s">
        <v>57649</v>
      </c>
      <c r="I11848" s="3" t="s">
        <v>59969</v>
      </c>
      <c r="J11848" s="3" t="s">
        <v>14959</v>
      </c>
      <c r="K11848" s="3" t="s">
        <v>59973</v>
      </c>
      <c r="L11848" s="3"/>
      <c r="M11848" s="4" t="s">
        <v>59974</v>
      </c>
      <c r="N11848" s="3" t="s">
        <v>37</v>
      </c>
      <c r="O11848" s="3"/>
      <c r="P11848" s="5">
        <v>3</v>
      </c>
      <c r="Q11848" s="5">
        <v>21</v>
      </c>
      <c r="R11848" s="5">
        <v>5</v>
      </c>
      <c r="S11848" s="5">
        <v>38</v>
      </c>
    </row>
    <row r="11849" spans="1:19" ht="42" x14ac:dyDescent="0.15">
      <c r="A11849" s="2">
        <f>HYPERLINK("https://open-school.uspishnemisto.com.ua/school/590487/", 590487)</f>
        <v>590487</v>
      </c>
      <c r="B11849" s="3" t="s">
        <v>59975</v>
      </c>
      <c r="C11849" s="3" t="s">
        <v>54</v>
      </c>
      <c r="D11849" s="3" t="s">
        <v>60</v>
      </c>
      <c r="E11849" s="4" t="s">
        <v>22</v>
      </c>
      <c r="F11849" s="4" t="s">
        <v>59976</v>
      </c>
      <c r="G11849" s="4" t="s">
        <v>59977</v>
      </c>
      <c r="H11849" s="3" t="s">
        <v>57649</v>
      </c>
      <c r="I11849" s="3" t="s">
        <v>59978</v>
      </c>
      <c r="J11849" s="3" t="s">
        <v>59979</v>
      </c>
      <c r="K11849" s="3" t="s">
        <v>59980</v>
      </c>
      <c r="L11849" s="3" t="s">
        <v>59981</v>
      </c>
      <c r="M11849" s="4"/>
      <c r="N11849" s="3" t="s">
        <v>37</v>
      </c>
      <c r="O11849" s="3" t="s">
        <v>618</v>
      </c>
      <c r="P11849" s="5">
        <v>0</v>
      </c>
      <c r="Q11849" s="5">
        <v>3</v>
      </c>
      <c r="R11849" s="5">
        <v>0</v>
      </c>
      <c r="S11849" s="5">
        <v>2</v>
      </c>
    </row>
    <row r="11850" spans="1:19" ht="56" x14ac:dyDescent="0.15">
      <c r="A11850" s="2">
        <f>HYPERLINK("https://open-school.uspishnemisto.com.ua/school/590488/", 590488)</f>
        <v>590488</v>
      </c>
      <c r="B11850" s="3" t="s">
        <v>59982</v>
      </c>
      <c r="C11850" s="3" t="s">
        <v>31</v>
      </c>
      <c r="D11850" s="3" t="s">
        <v>175</v>
      </c>
      <c r="E11850" s="4" t="s">
        <v>22</v>
      </c>
      <c r="F11850" s="4" t="s">
        <v>59983</v>
      </c>
      <c r="G11850" s="4" t="s">
        <v>59984</v>
      </c>
      <c r="H11850" s="3" t="s">
        <v>57649</v>
      </c>
      <c r="I11850" s="3" t="s">
        <v>59985</v>
      </c>
      <c r="J11850" s="3" t="s">
        <v>16925</v>
      </c>
      <c r="K11850" s="3" t="s">
        <v>59986</v>
      </c>
      <c r="L11850" s="3" t="s">
        <v>59987</v>
      </c>
      <c r="M11850" s="4"/>
      <c r="N11850" s="3" t="s">
        <v>37</v>
      </c>
      <c r="O11850" s="3" t="s">
        <v>618</v>
      </c>
      <c r="P11850" s="5">
        <v>0</v>
      </c>
      <c r="Q11850" s="5">
        <v>0</v>
      </c>
      <c r="R11850" s="5">
        <v>6</v>
      </c>
      <c r="S11850" s="5">
        <v>43</v>
      </c>
    </row>
    <row r="11851" spans="1:19" ht="28" x14ac:dyDescent="0.15">
      <c r="A11851" s="2">
        <f>HYPERLINK("https://open-school.uspishnemisto.com.ua/school/590489/", 590489)</f>
        <v>590489</v>
      </c>
      <c r="B11851" s="3" t="s">
        <v>59988</v>
      </c>
      <c r="C11851" s="3" t="s">
        <v>31</v>
      </c>
      <c r="D11851" s="3" t="s">
        <v>32</v>
      </c>
      <c r="E11851" s="4" t="s">
        <v>22</v>
      </c>
      <c r="F11851" s="4" t="s">
        <v>59989</v>
      </c>
      <c r="G11851" s="4" t="s">
        <v>59990</v>
      </c>
      <c r="H11851" s="3" t="s">
        <v>57649</v>
      </c>
      <c r="I11851" s="3" t="s">
        <v>10829</v>
      </c>
      <c r="J11851" s="3" t="s">
        <v>59991</v>
      </c>
      <c r="K11851" s="3" t="s">
        <v>59992</v>
      </c>
      <c r="L11851" s="3" t="s">
        <v>59993</v>
      </c>
      <c r="M11851" s="4"/>
      <c r="N11851" s="3" t="s">
        <v>37</v>
      </c>
      <c r="O11851" s="3" t="s">
        <v>38</v>
      </c>
      <c r="P11851" s="5">
        <v>10</v>
      </c>
      <c r="Q11851" s="5">
        <v>83</v>
      </c>
      <c r="R11851" s="5">
        <v>11</v>
      </c>
      <c r="S11851" s="5">
        <v>96</v>
      </c>
    </row>
    <row r="11852" spans="1:19" ht="56" x14ac:dyDescent="0.15">
      <c r="A11852" s="2">
        <f>HYPERLINK("https://open-school.uspishnemisto.com.ua/school/590490/", 590490)</f>
        <v>590490</v>
      </c>
      <c r="B11852" s="3" t="s">
        <v>59994</v>
      </c>
      <c r="C11852" s="3" t="s">
        <v>54</v>
      </c>
      <c r="D11852" s="3" t="s">
        <v>175</v>
      </c>
      <c r="E11852" s="4" t="s">
        <v>22</v>
      </c>
      <c r="F11852" s="4" t="s">
        <v>59995</v>
      </c>
      <c r="G11852" s="4" t="s">
        <v>59996</v>
      </c>
      <c r="H11852" s="3" t="s">
        <v>57649</v>
      </c>
      <c r="I11852" s="3" t="s">
        <v>59997</v>
      </c>
      <c r="J11852" s="3" t="s">
        <v>59998</v>
      </c>
      <c r="K11852" s="3" t="s">
        <v>59999</v>
      </c>
      <c r="L11852" s="3" t="s">
        <v>60000</v>
      </c>
      <c r="M11852" s="4"/>
      <c r="N11852" s="3" t="s">
        <v>128</v>
      </c>
      <c r="O11852" s="3" t="s">
        <v>52</v>
      </c>
      <c r="P11852" s="5">
        <v>4</v>
      </c>
      <c r="Q11852" s="5">
        <v>32</v>
      </c>
      <c r="R11852" s="5">
        <v>3</v>
      </c>
      <c r="S11852" s="5">
        <v>27</v>
      </c>
    </row>
    <row r="11853" spans="1:19" ht="56" x14ac:dyDescent="0.15">
      <c r="A11853" s="2">
        <f>HYPERLINK("https://open-school.uspishnemisto.com.ua/school/590491/", 590491)</f>
        <v>590491</v>
      </c>
      <c r="B11853" s="3" t="s">
        <v>60001</v>
      </c>
      <c r="C11853" s="3" t="s">
        <v>54</v>
      </c>
      <c r="D11853" s="3" t="s">
        <v>32</v>
      </c>
      <c r="E11853" s="4" t="s">
        <v>22</v>
      </c>
      <c r="F11853" s="4" t="s">
        <v>60002</v>
      </c>
      <c r="G11853" s="4" t="s">
        <v>60003</v>
      </c>
      <c r="H11853" s="3" t="s">
        <v>57649</v>
      </c>
      <c r="I11853" s="3" t="s">
        <v>60004</v>
      </c>
      <c r="J11853" s="3" t="s">
        <v>60005</v>
      </c>
      <c r="K11853" s="3" t="s">
        <v>60006</v>
      </c>
      <c r="L11853" s="3"/>
      <c r="M11853" s="4"/>
      <c r="N11853" s="3" t="s">
        <v>128</v>
      </c>
      <c r="O11853" s="3" t="s">
        <v>38</v>
      </c>
      <c r="P11853" s="5">
        <v>8</v>
      </c>
      <c r="Q11853" s="5">
        <v>70</v>
      </c>
      <c r="R11853" s="5">
        <v>10</v>
      </c>
      <c r="S11853" s="5">
        <v>72</v>
      </c>
    </row>
    <row r="11854" spans="1:19" ht="28" x14ac:dyDescent="0.15">
      <c r="A11854" s="2">
        <f>HYPERLINK("https://open-school.uspishnemisto.com.ua/school/590492/", 590492)</f>
        <v>590492</v>
      </c>
      <c r="B11854" s="3" t="s">
        <v>60007</v>
      </c>
      <c r="C11854" s="3" t="s">
        <v>31</v>
      </c>
      <c r="D11854" s="3" t="s">
        <v>175</v>
      </c>
      <c r="E11854" s="4" t="s">
        <v>22</v>
      </c>
      <c r="F11854" s="4" t="s">
        <v>60008</v>
      </c>
      <c r="G11854" s="4" t="s">
        <v>60009</v>
      </c>
      <c r="H11854" s="3" t="s">
        <v>57649</v>
      </c>
      <c r="I11854" s="3" t="s">
        <v>60010</v>
      </c>
      <c r="J11854" s="3" t="s">
        <v>25523</v>
      </c>
      <c r="K11854" s="3" t="s">
        <v>60011</v>
      </c>
      <c r="L11854" s="3"/>
      <c r="M11854" s="4"/>
      <c r="N11854" s="3" t="s">
        <v>37</v>
      </c>
      <c r="O11854" s="3" t="s">
        <v>38</v>
      </c>
      <c r="P11854" s="5">
        <v>6</v>
      </c>
      <c r="Q11854" s="5">
        <v>41</v>
      </c>
      <c r="R11854" s="5">
        <v>6</v>
      </c>
      <c r="S11854" s="5">
        <v>44</v>
      </c>
    </row>
    <row r="11855" spans="1:19" ht="28" x14ac:dyDescent="0.15">
      <c r="A11855" s="2">
        <f>HYPERLINK("https://open-school.uspishnemisto.com.ua/school/590493/", 590493)</f>
        <v>590493</v>
      </c>
      <c r="B11855" s="3" t="s">
        <v>60012</v>
      </c>
      <c r="C11855" s="3" t="s">
        <v>31</v>
      </c>
      <c r="D11855" s="3" t="s">
        <v>32</v>
      </c>
      <c r="E11855" s="4" t="s">
        <v>22</v>
      </c>
      <c r="F11855" s="4" t="s">
        <v>60013</v>
      </c>
      <c r="G11855" s="4" t="s">
        <v>60014</v>
      </c>
      <c r="H11855" s="3" t="s">
        <v>57649</v>
      </c>
      <c r="I11855" s="3" t="s">
        <v>60015</v>
      </c>
      <c r="J11855" s="3" t="s">
        <v>60016</v>
      </c>
      <c r="K11855" s="3" t="s">
        <v>60017</v>
      </c>
      <c r="L11855" s="3" t="s">
        <v>60018</v>
      </c>
      <c r="M11855" s="4"/>
      <c r="N11855" s="3" t="s">
        <v>37</v>
      </c>
      <c r="O11855" s="3" t="s">
        <v>38</v>
      </c>
      <c r="P11855" s="5">
        <v>25</v>
      </c>
      <c r="Q11855" s="5">
        <v>505</v>
      </c>
      <c r="R11855" s="5">
        <v>24</v>
      </c>
      <c r="S11855" s="5">
        <v>500</v>
      </c>
    </row>
    <row r="11856" spans="1:19" ht="56" x14ac:dyDescent="0.15">
      <c r="A11856" s="2">
        <f>HYPERLINK("https://open-school.uspishnemisto.com.ua/school/590494/", 590494)</f>
        <v>590494</v>
      </c>
      <c r="B11856" s="3" t="s">
        <v>60019</v>
      </c>
      <c r="C11856" s="3" t="s">
        <v>54</v>
      </c>
      <c r="D11856" s="3" t="s">
        <v>175</v>
      </c>
      <c r="E11856" s="4" t="s">
        <v>22</v>
      </c>
      <c r="F11856" s="4" t="s">
        <v>60020</v>
      </c>
      <c r="G11856" s="4" t="s">
        <v>60014</v>
      </c>
      <c r="H11856" s="3" t="s">
        <v>57649</v>
      </c>
      <c r="I11856" s="3" t="s">
        <v>60015</v>
      </c>
      <c r="J11856" s="3" t="s">
        <v>60021</v>
      </c>
      <c r="K11856" s="3" t="s">
        <v>60022</v>
      </c>
      <c r="L11856" s="3"/>
      <c r="M11856" s="4"/>
      <c r="N11856" s="3" t="s">
        <v>37</v>
      </c>
      <c r="O11856" s="3" t="s">
        <v>38</v>
      </c>
      <c r="P11856" s="5">
        <v>7</v>
      </c>
      <c r="Q11856" s="5">
        <v>49</v>
      </c>
      <c r="R11856" s="5">
        <v>5</v>
      </c>
      <c r="S11856" s="5">
        <v>39</v>
      </c>
    </row>
    <row r="11857" spans="1:19" ht="56" x14ac:dyDescent="0.15">
      <c r="A11857" s="2">
        <f>HYPERLINK("https://open-school.uspishnemisto.com.ua/school/590495/", 590495)</f>
        <v>590495</v>
      </c>
      <c r="B11857" s="3" t="s">
        <v>60023</v>
      </c>
      <c r="C11857" s="3" t="s">
        <v>54</v>
      </c>
      <c r="D11857" s="3" t="s">
        <v>32</v>
      </c>
      <c r="E11857" s="4" t="s">
        <v>22</v>
      </c>
      <c r="F11857" s="4" t="s">
        <v>60024</v>
      </c>
      <c r="G11857" s="4" t="s">
        <v>60025</v>
      </c>
      <c r="H11857" s="3" t="s">
        <v>57649</v>
      </c>
      <c r="I11857" s="3" t="s">
        <v>3790</v>
      </c>
      <c r="J11857" s="3" t="s">
        <v>60026</v>
      </c>
      <c r="K11857" s="3" t="s">
        <v>2738</v>
      </c>
      <c r="L11857" s="3" t="s">
        <v>60027</v>
      </c>
      <c r="M11857" s="4"/>
      <c r="N11857" s="3" t="s">
        <v>37</v>
      </c>
      <c r="O11857" s="3" t="s">
        <v>38</v>
      </c>
      <c r="P11857" s="5">
        <v>9</v>
      </c>
      <c r="Q11857" s="5">
        <v>67</v>
      </c>
      <c r="R11857" s="5">
        <v>11</v>
      </c>
      <c r="S11857" s="5">
        <v>69</v>
      </c>
    </row>
    <row r="11858" spans="1:19" ht="28" x14ac:dyDescent="0.15">
      <c r="A11858" s="2">
        <f>HYPERLINK("https://open-school.uspishnemisto.com.ua/school/590496/", 590496)</f>
        <v>590496</v>
      </c>
      <c r="B11858" s="3" t="s">
        <v>60028</v>
      </c>
      <c r="C11858" s="3" t="s">
        <v>20</v>
      </c>
      <c r="D11858" s="3" t="s">
        <v>19078</v>
      </c>
      <c r="E11858" s="4" t="s">
        <v>22</v>
      </c>
      <c r="F11858" s="4" t="s">
        <v>60029</v>
      </c>
      <c r="G11858" s="4" t="s">
        <v>60030</v>
      </c>
      <c r="H11858" s="3" t="s">
        <v>57649</v>
      </c>
      <c r="I11858" s="3" t="s">
        <v>41858</v>
      </c>
      <c r="J11858" s="3" t="s">
        <v>60031</v>
      </c>
      <c r="K11858" s="3" t="s">
        <v>60032</v>
      </c>
      <c r="L11858" s="3"/>
      <c r="M11858" s="4"/>
      <c r="N11858" s="3"/>
      <c r="O11858" s="3"/>
      <c r="P11858" s="5">
        <v>0</v>
      </c>
      <c r="Q11858" s="5">
        <v>0</v>
      </c>
      <c r="R11858" s="5"/>
      <c r="S11858" s="5"/>
    </row>
    <row r="11859" spans="1:19" ht="28" x14ac:dyDescent="0.15">
      <c r="A11859" s="2">
        <f>HYPERLINK("https://open-school.uspishnemisto.com.ua/school/590498/", 590498)</f>
        <v>590498</v>
      </c>
      <c r="B11859" s="3" t="s">
        <v>60033</v>
      </c>
      <c r="C11859" s="3" t="s">
        <v>54</v>
      </c>
      <c r="D11859" s="3" t="s">
        <v>32</v>
      </c>
      <c r="E11859" s="4" t="s">
        <v>22</v>
      </c>
      <c r="F11859" s="4" t="s">
        <v>60034</v>
      </c>
      <c r="G11859" s="4" t="s">
        <v>60035</v>
      </c>
      <c r="H11859" s="3" t="s">
        <v>57649</v>
      </c>
      <c r="I11859" s="3" t="s">
        <v>60036</v>
      </c>
      <c r="J11859" s="3" t="s">
        <v>60037</v>
      </c>
      <c r="K11859" s="3" t="s">
        <v>60038</v>
      </c>
      <c r="L11859" s="3"/>
      <c r="M11859" s="4"/>
      <c r="N11859" s="3" t="s">
        <v>37</v>
      </c>
      <c r="O11859" s="3" t="s">
        <v>70</v>
      </c>
      <c r="P11859" s="5">
        <v>6</v>
      </c>
      <c r="Q11859" s="5">
        <v>58</v>
      </c>
      <c r="R11859" s="5">
        <v>7</v>
      </c>
      <c r="S11859" s="5">
        <v>49</v>
      </c>
    </row>
    <row r="11860" spans="1:19" ht="56" x14ac:dyDescent="0.15">
      <c r="A11860" s="2">
        <f>HYPERLINK("https://open-school.uspishnemisto.com.ua/school/590499/", 590499)</f>
        <v>590499</v>
      </c>
      <c r="B11860" s="3" t="s">
        <v>60039</v>
      </c>
      <c r="C11860" s="3" t="s">
        <v>54</v>
      </c>
      <c r="D11860" s="3" t="s">
        <v>32</v>
      </c>
      <c r="E11860" s="4" t="s">
        <v>22</v>
      </c>
      <c r="F11860" s="4" t="s">
        <v>60040</v>
      </c>
      <c r="G11860" s="4" t="s">
        <v>60041</v>
      </c>
      <c r="H11860" s="3" t="s">
        <v>57649</v>
      </c>
      <c r="I11860" s="3" t="s">
        <v>60042</v>
      </c>
      <c r="J11860" s="3" t="s">
        <v>60043</v>
      </c>
      <c r="K11860" s="3" t="s">
        <v>60044</v>
      </c>
      <c r="L11860" s="3"/>
      <c r="M11860" s="4"/>
      <c r="N11860" s="3" t="s">
        <v>37</v>
      </c>
      <c r="O11860" s="3" t="s">
        <v>38</v>
      </c>
      <c r="P11860" s="5">
        <v>11</v>
      </c>
      <c r="Q11860" s="5">
        <v>121</v>
      </c>
      <c r="R11860" s="5">
        <v>10</v>
      </c>
      <c r="S11860" s="5">
        <v>119</v>
      </c>
    </row>
    <row r="11861" spans="1:19" ht="56" x14ac:dyDescent="0.15">
      <c r="A11861" s="2">
        <f>HYPERLINK("https://open-school.uspishnemisto.com.ua/school/590500/", 590500)</f>
        <v>590500</v>
      </c>
      <c r="B11861" s="3" t="s">
        <v>60045</v>
      </c>
      <c r="C11861" s="3" t="s">
        <v>54</v>
      </c>
      <c r="D11861" s="3" t="s">
        <v>32</v>
      </c>
      <c r="E11861" s="4" t="s">
        <v>22</v>
      </c>
      <c r="F11861" s="4" t="s">
        <v>60046</v>
      </c>
      <c r="G11861" s="4" t="s">
        <v>60047</v>
      </c>
      <c r="H11861" s="3" t="s">
        <v>57649</v>
      </c>
      <c r="I11861" s="3" t="s">
        <v>60048</v>
      </c>
      <c r="J11861" s="3" t="s">
        <v>60049</v>
      </c>
      <c r="K11861" s="3" t="s">
        <v>60050</v>
      </c>
      <c r="L11861" s="3" t="s">
        <v>60051</v>
      </c>
      <c r="M11861" s="4"/>
      <c r="N11861" s="3" t="s">
        <v>37</v>
      </c>
      <c r="O11861" s="3" t="s">
        <v>38</v>
      </c>
      <c r="P11861" s="5">
        <v>10</v>
      </c>
      <c r="Q11861" s="5">
        <v>79</v>
      </c>
      <c r="R11861" s="5">
        <v>11</v>
      </c>
      <c r="S11861" s="5">
        <v>81</v>
      </c>
    </row>
    <row r="11862" spans="1:19" ht="56" x14ac:dyDescent="0.15">
      <c r="A11862" s="2">
        <f>HYPERLINK("https://open-school.uspishnemisto.com.ua/school/590501/", 590501)</f>
        <v>590501</v>
      </c>
      <c r="B11862" s="3" t="s">
        <v>60052</v>
      </c>
      <c r="C11862" s="3" t="s">
        <v>54</v>
      </c>
      <c r="D11862" s="3" t="s">
        <v>32</v>
      </c>
      <c r="E11862" s="4" t="s">
        <v>22</v>
      </c>
      <c r="F11862" s="4" t="s">
        <v>60053</v>
      </c>
      <c r="G11862" s="4" t="s">
        <v>60054</v>
      </c>
      <c r="H11862" s="3" t="s">
        <v>57649</v>
      </c>
      <c r="I11862" s="3" t="s">
        <v>60055</v>
      </c>
      <c r="J11862" s="3" t="s">
        <v>60056</v>
      </c>
      <c r="K11862" s="3" t="s">
        <v>60057</v>
      </c>
      <c r="L11862" s="3"/>
      <c r="M11862" s="4"/>
      <c r="N11862" s="3" t="s">
        <v>37</v>
      </c>
      <c r="O11862" s="3" t="s">
        <v>38</v>
      </c>
      <c r="P11862" s="5">
        <v>2</v>
      </c>
      <c r="Q11862" s="5">
        <v>25</v>
      </c>
      <c r="R11862" s="5">
        <v>2</v>
      </c>
      <c r="S11862" s="5">
        <v>25</v>
      </c>
    </row>
    <row r="11863" spans="1:19" ht="56" x14ac:dyDescent="0.15">
      <c r="A11863" s="2">
        <f>HYPERLINK("https://open-school.uspishnemisto.com.ua/school/590502/", 590502)</f>
        <v>590502</v>
      </c>
      <c r="B11863" s="3" t="s">
        <v>60058</v>
      </c>
      <c r="C11863" s="3" t="s">
        <v>54</v>
      </c>
      <c r="D11863" s="3" t="s">
        <v>32</v>
      </c>
      <c r="E11863" s="4" t="s">
        <v>22</v>
      </c>
      <c r="F11863" s="4" t="s">
        <v>60059</v>
      </c>
      <c r="G11863" s="4" t="s">
        <v>60060</v>
      </c>
      <c r="H11863" s="3" t="s">
        <v>57649</v>
      </c>
      <c r="I11863" s="3" t="s">
        <v>4774</v>
      </c>
      <c r="J11863" s="3" t="s">
        <v>3047</v>
      </c>
      <c r="K11863" s="3" t="s">
        <v>60061</v>
      </c>
      <c r="L11863" s="3" t="s">
        <v>60062</v>
      </c>
      <c r="M11863" s="4"/>
      <c r="N11863" s="3" t="s">
        <v>37</v>
      </c>
      <c r="O11863" s="3" t="s">
        <v>38</v>
      </c>
      <c r="P11863" s="5">
        <v>10</v>
      </c>
      <c r="Q11863" s="5">
        <v>91</v>
      </c>
      <c r="R11863" s="5">
        <v>10</v>
      </c>
      <c r="S11863" s="5">
        <v>93</v>
      </c>
    </row>
    <row r="11864" spans="1:19" ht="28" x14ac:dyDescent="0.15">
      <c r="A11864" s="2">
        <f>HYPERLINK("https://open-school.uspishnemisto.com.ua/school/590503/", 590503)</f>
        <v>590503</v>
      </c>
      <c r="B11864" s="3" t="s">
        <v>60063</v>
      </c>
      <c r="C11864" s="3" t="s">
        <v>54</v>
      </c>
      <c r="D11864" s="3" t="s">
        <v>32</v>
      </c>
      <c r="E11864" s="4" t="s">
        <v>22</v>
      </c>
      <c r="F11864" s="4" t="s">
        <v>60064</v>
      </c>
      <c r="G11864" s="4" t="s">
        <v>60065</v>
      </c>
      <c r="H11864" s="3" t="s">
        <v>57649</v>
      </c>
      <c r="I11864" s="3" t="s">
        <v>60066</v>
      </c>
      <c r="J11864" s="3" t="s">
        <v>12324</v>
      </c>
      <c r="K11864" s="3" t="s">
        <v>60067</v>
      </c>
      <c r="L11864" s="3"/>
      <c r="M11864" s="4"/>
      <c r="N11864" s="3" t="s">
        <v>37</v>
      </c>
      <c r="O11864" s="3" t="s">
        <v>38</v>
      </c>
      <c r="P11864" s="5">
        <v>10</v>
      </c>
      <c r="Q11864" s="5">
        <v>73</v>
      </c>
      <c r="R11864" s="5">
        <v>10</v>
      </c>
      <c r="S11864" s="5">
        <v>67</v>
      </c>
    </row>
    <row r="11865" spans="1:19" ht="56" x14ac:dyDescent="0.15">
      <c r="A11865" s="2">
        <f>HYPERLINK("https://open-school.uspishnemisto.com.ua/school/590504/", 590504)</f>
        <v>590504</v>
      </c>
      <c r="B11865" s="3" t="s">
        <v>60068</v>
      </c>
      <c r="C11865" s="3" t="s">
        <v>54</v>
      </c>
      <c r="D11865" s="3"/>
      <c r="E11865" s="4" t="s">
        <v>22</v>
      </c>
      <c r="F11865" s="4" t="s">
        <v>60069</v>
      </c>
      <c r="G11865" s="4" t="s">
        <v>60070</v>
      </c>
      <c r="H11865" s="3" t="s">
        <v>57649</v>
      </c>
      <c r="I11865" s="3" t="s">
        <v>60071</v>
      </c>
      <c r="J11865" s="3" t="s">
        <v>31741</v>
      </c>
      <c r="K11865" s="3" t="s">
        <v>60072</v>
      </c>
      <c r="L11865" s="3"/>
      <c r="M11865" s="4"/>
      <c r="N11865" s="3" t="s">
        <v>37</v>
      </c>
      <c r="O11865" s="3" t="s">
        <v>38</v>
      </c>
      <c r="P11865" s="5">
        <v>4</v>
      </c>
      <c r="Q11865" s="5">
        <v>32</v>
      </c>
      <c r="R11865" s="5">
        <v>2</v>
      </c>
      <c r="S11865" s="5">
        <v>29</v>
      </c>
    </row>
    <row r="11866" spans="1:19" ht="42" x14ac:dyDescent="0.15">
      <c r="A11866" s="2">
        <f>HYPERLINK("https://open-school.uspishnemisto.com.ua/school/590505/", 590505)</f>
        <v>590505</v>
      </c>
      <c r="B11866" s="3" t="s">
        <v>60073</v>
      </c>
      <c r="C11866" s="3" t="s">
        <v>54</v>
      </c>
      <c r="D11866" s="3" t="s">
        <v>32</v>
      </c>
      <c r="E11866" s="4" t="s">
        <v>22</v>
      </c>
      <c r="F11866" s="4" t="s">
        <v>60074</v>
      </c>
      <c r="G11866" s="4" t="s">
        <v>60075</v>
      </c>
      <c r="H11866" s="3" t="s">
        <v>57649</v>
      </c>
      <c r="I11866" s="3" t="s">
        <v>60076</v>
      </c>
      <c r="J11866" s="3" t="s">
        <v>60077</v>
      </c>
      <c r="K11866" s="3" t="s">
        <v>60078</v>
      </c>
      <c r="L11866" s="3"/>
      <c r="M11866" s="4"/>
      <c r="N11866" s="3" t="s">
        <v>37</v>
      </c>
      <c r="O11866" s="3" t="s">
        <v>70</v>
      </c>
      <c r="P11866" s="5">
        <v>9</v>
      </c>
      <c r="Q11866" s="5">
        <v>69</v>
      </c>
      <c r="R11866" s="5">
        <v>9</v>
      </c>
      <c r="S11866" s="5">
        <v>60</v>
      </c>
    </row>
    <row r="11867" spans="1:19" ht="56" x14ac:dyDescent="0.15">
      <c r="A11867" s="2">
        <f>HYPERLINK("https://open-school.uspishnemisto.com.ua/school/590506/", 590506)</f>
        <v>590506</v>
      </c>
      <c r="B11867" s="3" t="s">
        <v>60079</v>
      </c>
      <c r="C11867" s="3" t="s">
        <v>54</v>
      </c>
      <c r="D11867" s="3" t="s">
        <v>32</v>
      </c>
      <c r="E11867" s="4" t="s">
        <v>22</v>
      </c>
      <c r="F11867" s="4" t="s">
        <v>60080</v>
      </c>
      <c r="G11867" s="4" t="s">
        <v>60081</v>
      </c>
      <c r="H11867" s="3" t="s">
        <v>57649</v>
      </c>
      <c r="I11867" s="3" t="s">
        <v>60082</v>
      </c>
      <c r="J11867" s="3" t="s">
        <v>297</v>
      </c>
      <c r="K11867" s="3" t="s">
        <v>60083</v>
      </c>
      <c r="L11867" s="3"/>
      <c r="M11867" s="4"/>
      <c r="N11867" s="3" t="s">
        <v>37</v>
      </c>
      <c r="O11867" s="3" t="s">
        <v>38</v>
      </c>
      <c r="P11867" s="5">
        <v>9</v>
      </c>
      <c r="Q11867" s="5">
        <v>65</v>
      </c>
      <c r="R11867" s="5">
        <v>10</v>
      </c>
      <c r="S11867" s="5">
        <v>69</v>
      </c>
    </row>
    <row r="11868" spans="1:19" ht="56" x14ac:dyDescent="0.15">
      <c r="A11868" s="2">
        <f>HYPERLINK("https://open-school.uspishnemisto.com.ua/school/590507/", 590507)</f>
        <v>590507</v>
      </c>
      <c r="B11868" s="3" t="s">
        <v>60084</v>
      </c>
      <c r="C11868" s="3" t="s">
        <v>31</v>
      </c>
      <c r="D11868" s="3" t="s">
        <v>32</v>
      </c>
      <c r="E11868" s="4" t="s">
        <v>22</v>
      </c>
      <c r="F11868" s="4" t="s">
        <v>60085</v>
      </c>
      <c r="G11868" s="4" t="s">
        <v>60086</v>
      </c>
      <c r="H11868" s="3" t="s">
        <v>57649</v>
      </c>
      <c r="I11868" s="3" t="s">
        <v>11543</v>
      </c>
      <c r="J11868" s="3" t="s">
        <v>60087</v>
      </c>
      <c r="K11868" s="3" t="s">
        <v>60088</v>
      </c>
      <c r="L11868" s="3"/>
      <c r="M11868" s="4"/>
      <c r="N11868" s="3" t="s">
        <v>37</v>
      </c>
      <c r="O11868" s="3" t="s">
        <v>46</v>
      </c>
      <c r="P11868" s="5">
        <v>0</v>
      </c>
      <c r="Q11868" s="5">
        <v>0</v>
      </c>
      <c r="R11868" s="5">
        <v>14</v>
      </c>
      <c r="S11868" s="5">
        <v>260</v>
      </c>
    </row>
    <row r="11869" spans="1:19" ht="56" x14ac:dyDescent="0.15">
      <c r="A11869" s="2">
        <f>HYPERLINK("https://open-school.uspishnemisto.com.ua/school/590508/", 590508)</f>
        <v>590508</v>
      </c>
      <c r="B11869" s="3" t="s">
        <v>60089</v>
      </c>
      <c r="C11869" s="3" t="s">
        <v>54</v>
      </c>
      <c r="D11869" s="3" t="s">
        <v>32</v>
      </c>
      <c r="E11869" s="4" t="s">
        <v>22</v>
      </c>
      <c r="F11869" s="4" t="s">
        <v>60085</v>
      </c>
      <c r="G11869" s="4" t="s">
        <v>60086</v>
      </c>
      <c r="H11869" s="3" t="s">
        <v>57649</v>
      </c>
      <c r="I11869" s="3" t="s">
        <v>11543</v>
      </c>
      <c r="J11869" s="3" t="s">
        <v>60090</v>
      </c>
      <c r="K11869" s="3"/>
      <c r="L11869" s="3" t="s">
        <v>60091</v>
      </c>
      <c r="M11869" s="4"/>
      <c r="N11869" s="3" t="s">
        <v>37</v>
      </c>
      <c r="O11869" s="3" t="s">
        <v>70</v>
      </c>
      <c r="P11869" s="5">
        <v>29</v>
      </c>
      <c r="Q11869" s="5">
        <v>517</v>
      </c>
      <c r="R11869" s="5">
        <v>14</v>
      </c>
      <c r="S11869" s="5">
        <v>237</v>
      </c>
    </row>
    <row r="11870" spans="1:19" ht="28" x14ac:dyDescent="0.15">
      <c r="A11870" s="2">
        <f>HYPERLINK("https://open-school.uspishnemisto.com.ua/school/590509/", 590509)</f>
        <v>590509</v>
      </c>
      <c r="B11870" s="3" t="s">
        <v>60092</v>
      </c>
      <c r="C11870" s="3" t="s">
        <v>31</v>
      </c>
      <c r="D11870" s="3" t="s">
        <v>32</v>
      </c>
      <c r="E11870" s="4" t="s">
        <v>22</v>
      </c>
      <c r="F11870" s="4" t="s">
        <v>60093</v>
      </c>
      <c r="G11870" s="4" t="s">
        <v>60094</v>
      </c>
      <c r="H11870" s="3" t="s">
        <v>57649</v>
      </c>
      <c r="I11870" s="3" t="s">
        <v>4708</v>
      </c>
      <c r="J11870" s="3" t="s">
        <v>60095</v>
      </c>
      <c r="K11870" s="3" t="s">
        <v>60096</v>
      </c>
      <c r="L11870" s="3"/>
      <c r="M11870" s="4"/>
      <c r="N11870" s="3" t="s">
        <v>37</v>
      </c>
      <c r="O11870" s="3" t="s">
        <v>38</v>
      </c>
      <c r="P11870" s="5">
        <v>11</v>
      </c>
      <c r="Q11870" s="5">
        <v>228</v>
      </c>
      <c r="R11870" s="5">
        <v>11</v>
      </c>
      <c r="S11870" s="5">
        <v>226</v>
      </c>
    </row>
    <row r="11871" spans="1:19" ht="28" x14ac:dyDescent="0.15">
      <c r="A11871" s="2">
        <f>HYPERLINK("https://open-school.uspishnemisto.com.ua/school/590510/", 590510)</f>
        <v>590510</v>
      </c>
      <c r="B11871" s="3" t="s">
        <v>60097</v>
      </c>
      <c r="C11871" s="3" t="s">
        <v>31</v>
      </c>
      <c r="D11871" s="3" t="s">
        <v>32</v>
      </c>
      <c r="E11871" s="4" t="s">
        <v>22</v>
      </c>
      <c r="F11871" s="4" t="s">
        <v>60093</v>
      </c>
      <c r="G11871" s="4" t="s">
        <v>60094</v>
      </c>
      <c r="H11871" s="3" t="s">
        <v>57649</v>
      </c>
      <c r="I11871" s="3" t="s">
        <v>4708</v>
      </c>
      <c r="J11871" s="3" t="s">
        <v>60098</v>
      </c>
      <c r="K11871" s="3" t="s">
        <v>60099</v>
      </c>
      <c r="L11871" s="3"/>
      <c r="M11871" s="4"/>
      <c r="N11871" s="3" t="s">
        <v>37</v>
      </c>
      <c r="O11871" s="3" t="s">
        <v>38</v>
      </c>
      <c r="P11871" s="5">
        <v>12</v>
      </c>
      <c r="Q11871" s="5">
        <v>278</v>
      </c>
      <c r="R11871" s="5">
        <v>12</v>
      </c>
      <c r="S11871" s="5">
        <v>276</v>
      </c>
    </row>
    <row r="11872" spans="1:19" ht="28" x14ac:dyDescent="0.15">
      <c r="A11872" s="2">
        <f>HYPERLINK("https://open-school.uspishnemisto.com.ua/school/590511/", 590511)</f>
        <v>590511</v>
      </c>
      <c r="B11872" s="3" t="s">
        <v>60100</v>
      </c>
      <c r="C11872" s="3" t="s">
        <v>31</v>
      </c>
      <c r="D11872" s="3" t="s">
        <v>32</v>
      </c>
      <c r="E11872" s="4" t="s">
        <v>22</v>
      </c>
      <c r="F11872" s="4" t="s">
        <v>60101</v>
      </c>
      <c r="G11872" s="4" t="s">
        <v>60102</v>
      </c>
      <c r="H11872" s="3" t="s">
        <v>57649</v>
      </c>
      <c r="I11872" s="3" t="s">
        <v>60103</v>
      </c>
      <c r="J11872" s="3" t="s">
        <v>60104</v>
      </c>
      <c r="K11872" s="3" t="s">
        <v>60105</v>
      </c>
      <c r="L11872" s="3" t="s">
        <v>60106</v>
      </c>
      <c r="M11872" s="4"/>
      <c r="N11872" s="3" t="s">
        <v>37</v>
      </c>
      <c r="O11872" s="3" t="s">
        <v>38</v>
      </c>
      <c r="P11872" s="5">
        <v>6</v>
      </c>
      <c r="Q11872" s="5">
        <v>46</v>
      </c>
      <c r="R11872" s="5">
        <v>7</v>
      </c>
      <c r="S11872" s="5">
        <v>44</v>
      </c>
    </row>
    <row r="11873" spans="1:19" ht="28" x14ac:dyDescent="0.15">
      <c r="A11873" s="2">
        <f>HYPERLINK("https://open-school.uspishnemisto.com.ua/school/590512/", 590512)</f>
        <v>590512</v>
      </c>
      <c r="B11873" s="3" t="s">
        <v>60107</v>
      </c>
      <c r="C11873" s="3" t="s">
        <v>244</v>
      </c>
      <c r="D11873" s="3" t="s">
        <v>32</v>
      </c>
      <c r="E11873" s="4" t="s">
        <v>22</v>
      </c>
      <c r="F11873" s="4" t="s">
        <v>60108</v>
      </c>
      <c r="G11873" s="4" t="s">
        <v>60109</v>
      </c>
      <c r="H11873" s="3" t="s">
        <v>57649</v>
      </c>
      <c r="I11873" s="3" t="s">
        <v>60110</v>
      </c>
      <c r="J11873" s="3" t="s">
        <v>4089</v>
      </c>
      <c r="K11873" s="3" t="s">
        <v>60111</v>
      </c>
      <c r="L11873" s="3"/>
      <c r="M11873" s="4"/>
      <c r="N11873" s="3" t="s">
        <v>37</v>
      </c>
      <c r="O11873" s="3" t="s">
        <v>38</v>
      </c>
      <c r="P11873" s="5">
        <v>11</v>
      </c>
      <c r="Q11873" s="5">
        <v>187</v>
      </c>
      <c r="R11873" s="5">
        <v>12</v>
      </c>
      <c r="S11873" s="5">
        <v>200</v>
      </c>
    </row>
    <row r="11874" spans="1:19" ht="28" x14ac:dyDescent="0.15">
      <c r="A11874" s="2">
        <f>HYPERLINK("https://open-school.uspishnemisto.com.ua/school/590513/", 590513)</f>
        <v>590513</v>
      </c>
      <c r="B11874" s="3" t="s">
        <v>60112</v>
      </c>
      <c r="C11874" s="3" t="s">
        <v>244</v>
      </c>
      <c r="D11874" s="3" t="s">
        <v>32</v>
      </c>
      <c r="E11874" s="4" t="s">
        <v>22</v>
      </c>
      <c r="F11874" s="4" t="s">
        <v>60108</v>
      </c>
      <c r="G11874" s="4" t="s">
        <v>60109</v>
      </c>
      <c r="H11874" s="3" t="s">
        <v>57649</v>
      </c>
      <c r="I11874" s="3" t="s">
        <v>60110</v>
      </c>
      <c r="J11874" s="3" t="s">
        <v>12968</v>
      </c>
      <c r="K11874" s="3" t="s">
        <v>60113</v>
      </c>
      <c r="L11874" s="3"/>
      <c r="M11874" s="4"/>
      <c r="N11874" s="3" t="s">
        <v>37</v>
      </c>
      <c r="O11874" s="3" t="s">
        <v>38</v>
      </c>
      <c r="P11874" s="5">
        <v>19</v>
      </c>
      <c r="Q11874" s="5">
        <v>322</v>
      </c>
      <c r="R11874" s="5">
        <v>19</v>
      </c>
      <c r="S11874" s="5">
        <v>325</v>
      </c>
    </row>
    <row r="11875" spans="1:19" ht="56" x14ac:dyDescent="0.15">
      <c r="A11875" s="2">
        <f>HYPERLINK("https://open-school.uspishnemisto.com.ua/school/590514/", 590514)</f>
        <v>590514</v>
      </c>
      <c r="B11875" s="3" t="s">
        <v>60114</v>
      </c>
      <c r="C11875" s="3" t="s">
        <v>54</v>
      </c>
      <c r="D11875" s="3" t="s">
        <v>32</v>
      </c>
      <c r="E11875" s="4" t="s">
        <v>22</v>
      </c>
      <c r="F11875" s="4" t="s">
        <v>60115</v>
      </c>
      <c r="G11875" s="4" t="s">
        <v>60116</v>
      </c>
      <c r="H11875" s="3" t="s">
        <v>57649</v>
      </c>
      <c r="I11875" s="3" t="s">
        <v>60117</v>
      </c>
      <c r="J11875" s="3" t="s">
        <v>60118</v>
      </c>
      <c r="K11875" s="3" t="s">
        <v>60119</v>
      </c>
      <c r="L11875" s="3" t="s">
        <v>60120</v>
      </c>
      <c r="M11875" s="4"/>
      <c r="N11875" s="3" t="s">
        <v>37</v>
      </c>
      <c r="O11875" s="3" t="s">
        <v>38</v>
      </c>
      <c r="P11875" s="5">
        <v>5</v>
      </c>
      <c r="Q11875" s="5">
        <v>41</v>
      </c>
      <c r="R11875" s="5">
        <v>5</v>
      </c>
      <c r="S11875" s="5">
        <v>52</v>
      </c>
    </row>
    <row r="11876" spans="1:19" ht="56" x14ac:dyDescent="0.15">
      <c r="A11876" s="2">
        <f>HYPERLINK("https://open-school.uspishnemisto.com.ua/school/590515/", 590515)</f>
        <v>590515</v>
      </c>
      <c r="B11876" s="3" t="s">
        <v>60121</v>
      </c>
      <c r="C11876" s="3" t="s">
        <v>54</v>
      </c>
      <c r="D11876" s="3" t="s">
        <v>32</v>
      </c>
      <c r="E11876" s="4" t="s">
        <v>22</v>
      </c>
      <c r="F11876" s="4" t="s">
        <v>60122</v>
      </c>
      <c r="G11876" s="4" t="s">
        <v>60123</v>
      </c>
      <c r="H11876" s="3" t="s">
        <v>57649</v>
      </c>
      <c r="I11876" s="3" t="s">
        <v>31849</v>
      </c>
      <c r="J11876" s="3" t="s">
        <v>60124</v>
      </c>
      <c r="K11876" s="3" t="s">
        <v>60125</v>
      </c>
      <c r="L11876" s="3"/>
      <c r="M11876" s="4"/>
      <c r="N11876" s="3" t="s">
        <v>37</v>
      </c>
      <c r="O11876" s="3" t="s">
        <v>70</v>
      </c>
      <c r="P11876" s="5">
        <v>1</v>
      </c>
      <c r="Q11876" s="5">
        <v>31</v>
      </c>
      <c r="R11876" s="5">
        <v>0</v>
      </c>
      <c r="S11876" s="5">
        <v>27</v>
      </c>
    </row>
    <row r="11877" spans="1:19" ht="28" x14ac:dyDescent="0.15">
      <c r="A11877" s="2">
        <f>HYPERLINK("https://open-school.uspishnemisto.com.ua/school/590516/", 590516)</f>
        <v>590516</v>
      </c>
      <c r="B11877" s="3" t="s">
        <v>60126</v>
      </c>
      <c r="C11877" s="3" t="s">
        <v>31</v>
      </c>
      <c r="D11877" s="3" t="s">
        <v>32</v>
      </c>
      <c r="E11877" s="4" t="s">
        <v>22</v>
      </c>
      <c r="F11877" s="4" t="s">
        <v>60127</v>
      </c>
      <c r="G11877" s="4" t="s">
        <v>60128</v>
      </c>
      <c r="H11877" s="3" t="s">
        <v>57649</v>
      </c>
      <c r="I11877" s="3" t="s">
        <v>60129</v>
      </c>
      <c r="J11877" s="3" t="s">
        <v>6598</v>
      </c>
      <c r="K11877" s="3" t="s">
        <v>60130</v>
      </c>
      <c r="L11877" s="3"/>
      <c r="M11877" s="4"/>
      <c r="N11877" s="3" t="s">
        <v>37</v>
      </c>
      <c r="O11877" s="3" t="s">
        <v>38</v>
      </c>
      <c r="P11877" s="5">
        <v>7</v>
      </c>
      <c r="Q11877" s="5">
        <v>58</v>
      </c>
      <c r="R11877" s="5">
        <v>5</v>
      </c>
      <c r="S11877" s="5">
        <v>46</v>
      </c>
    </row>
    <row r="11878" spans="1:19" ht="42" x14ac:dyDescent="0.15">
      <c r="A11878" s="2">
        <f>HYPERLINK("https://open-school.uspishnemisto.com.ua/school/590517/", 590517)</f>
        <v>590517</v>
      </c>
      <c r="B11878" s="3" t="s">
        <v>60131</v>
      </c>
      <c r="C11878" s="3" t="s">
        <v>54</v>
      </c>
      <c r="D11878" s="3" t="s">
        <v>32</v>
      </c>
      <c r="E11878" s="4" t="s">
        <v>22</v>
      </c>
      <c r="F11878" s="4" t="s">
        <v>60132</v>
      </c>
      <c r="G11878" s="4" t="s">
        <v>60133</v>
      </c>
      <c r="H11878" s="3" t="s">
        <v>57649</v>
      </c>
      <c r="I11878" s="3" t="s">
        <v>3387</v>
      </c>
      <c r="J11878" s="3" t="s">
        <v>7668</v>
      </c>
      <c r="K11878" s="3" t="s">
        <v>60134</v>
      </c>
      <c r="L11878" s="3" t="s">
        <v>60135</v>
      </c>
      <c r="M11878" s="4"/>
      <c r="N11878" s="3" t="s">
        <v>37</v>
      </c>
      <c r="O11878" s="3" t="s">
        <v>38</v>
      </c>
      <c r="P11878" s="5">
        <v>6</v>
      </c>
      <c r="Q11878" s="5">
        <v>53</v>
      </c>
      <c r="R11878" s="5">
        <v>6</v>
      </c>
      <c r="S11878" s="5">
        <v>55</v>
      </c>
    </row>
    <row r="11879" spans="1:19" ht="56" x14ac:dyDescent="0.15">
      <c r="A11879" s="2">
        <f>HYPERLINK("https://open-school.uspishnemisto.com.ua/school/590518/", 590518)</f>
        <v>590518</v>
      </c>
      <c r="B11879" s="3" t="s">
        <v>60136</v>
      </c>
      <c r="C11879" s="3" t="s">
        <v>54</v>
      </c>
      <c r="D11879" s="3" t="s">
        <v>32</v>
      </c>
      <c r="E11879" s="4" t="s">
        <v>22</v>
      </c>
      <c r="F11879" s="4" t="s">
        <v>60137</v>
      </c>
      <c r="G11879" s="4" t="s">
        <v>60138</v>
      </c>
      <c r="H11879" s="3" t="s">
        <v>57649</v>
      </c>
      <c r="I11879" s="3" t="s">
        <v>15426</v>
      </c>
      <c r="J11879" s="3" t="s">
        <v>1348</v>
      </c>
      <c r="K11879" s="3" t="s">
        <v>60139</v>
      </c>
      <c r="L11879" s="3"/>
      <c r="M11879" s="4"/>
      <c r="N11879" s="3" t="s">
        <v>37</v>
      </c>
      <c r="O11879" s="3" t="s">
        <v>38</v>
      </c>
      <c r="P11879" s="5">
        <v>3</v>
      </c>
      <c r="Q11879" s="5">
        <v>37</v>
      </c>
      <c r="R11879" s="5">
        <v>3</v>
      </c>
      <c r="S11879" s="5">
        <v>39</v>
      </c>
    </row>
    <row r="11880" spans="1:19" ht="28" x14ac:dyDescent="0.15">
      <c r="A11880" s="2">
        <f>HYPERLINK("https://open-school.uspishnemisto.com.ua/school/590519/", 590519)</f>
        <v>590519</v>
      </c>
      <c r="B11880" s="3" t="s">
        <v>60140</v>
      </c>
      <c r="C11880" s="3" t="s">
        <v>31</v>
      </c>
      <c r="D11880" s="3" t="s">
        <v>175</v>
      </c>
      <c r="E11880" s="4" t="s">
        <v>22</v>
      </c>
      <c r="F11880" s="4" t="s">
        <v>60141</v>
      </c>
      <c r="G11880" s="4" t="s">
        <v>60142</v>
      </c>
      <c r="H11880" s="3" t="s">
        <v>57649</v>
      </c>
      <c r="I11880" s="3" t="s">
        <v>60143</v>
      </c>
      <c r="J11880" s="3" t="s">
        <v>17470</v>
      </c>
      <c r="K11880" s="3" t="s">
        <v>60144</v>
      </c>
      <c r="L11880" s="3" t="s">
        <v>60145</v>
      </c>
      <c r="M11880" s="4"/>
      <c r="N11880" s="3" t="s">
        <v>37</v>
      </c>
      <c r="O11880" s="3" t="s">
        <v>70</v>
      </c>
      <c r="P11880" s="5">
        <v>3</v>
      </c>
      <c r="Q11880" s="5">
        <v>28</v>
      </c>
      <c r="R11880" s="5">
        <v>4</v>
      </c>
      <c r="S11880" s="5">
        <v>29</v>
      </c>
    </row>
    <row r="11881" spans="1:19" ht="56" x14ac:dyDescent="0.15">
      <c r="A11881" s="2">
        <f>HYPERLINK("https://open-school.uspishnemisto.com.ua/school/590520/", 590520)</f>
        <v>590520</v>
      </c>
      <c r="B11881" s="3" t="s">
        <v>60146</v>
      </c>
      <c r="C11881" s="3" t="s">
        <v>31</v>
      </c>
      <c r="D11881" s="3" t="s">
        <v>175</v>
      </c>
      <c r="E11881" s="4" t="s">
        <v>22</v>
      </c>
      <c r="F11881" s="4" t="s">
        <v>60147</v>
      </c>
      <c r="G11881" s="4" t="s">
        <v>60148</v>
      </c>
      <c r="H11881" s="3" t="s">
        <v>57649</v>
      </c>
      <c r="I11881" s="3" t="s">
        <v>60149</v>
      </c>
      <c r="J11881" s="3" t="s">
        <v>4537</v>
      </c>
      <c r="K11881" s="3"/>
      <c r="L11881" s="3"/>
      <c r="M11881" s="4"/>
      <c r="N11881" s="3" t="s">
        <v>37</v>
      </c>
      <c r="O11881" s="3" t="s">
        <v>52</v>
      </c>
      <c r="P11881" s="5">
        <v>0</v>
      </c>
      <c r="Q11881" s="5">
        <v>0</v>
      </c>
      <c r="R11881" s="5">
        <v>4</v>
      </c>
      <c r="S11881" s="5">
        <v>27</v>
      </c>
    </row>
    <row r="11882" spans="1:19" ht="56" x14ac:dyDescent="0.15">
      <c r="A11882" s="2">
        <f>HYPERLINK("https://open-school.uspishnemisto.com.ua/school/590521/", 590521)</f>
        <v>590521</v>
      </c>
      <c r="B11882" s="3" t="s">
        <v>60150</v>
      </c>
      <c r="C11882" s="3" t="s">
        <v>54</v>
      </c>
      <c r="D11882" s="3" t="s">
        <v>32</v>
      </c>
      <c r="E11882" s="4" t="s">
        <v>22</v>
      </c>
      <c r="F11882" s="4" t="s">
        <v>60151</v>
      </c>
      <c r="G11882" s="4" t="s">
        <v>60152</v>
      </c>
      <c r="H11882" s="3" t="s">
        <v>57649</v>
      </c>
      <c r="I11882" s="3" t="s">
        <v>60153</v>
      </c>
      <c r="J11882" s="3" t="s">
        <v>60154</v>
      </c>
      <c r="K11882" s="3" t="s">
        <v>60155</v>
      </c>
      <c r="L11882" s="3"/>
      <c r="M11882" s="4"/>
      <c r="N11882" s="3" t="s">
        <v>37</v>
      </c>
      <c r="O11882" s="3" t="s">
        <v>38</v>
      </c>
      <c r="P11882" s="5">
        <v>4</v>
      </c>
      <c r="Q11882" s="5">
        <v>48</v>
      </c>
      <c r="R11882" s="5">
        <v>4</v>
      </c>
      <c r="S11882" s="5">
        <v>45</v>
      </c>
    </row>
    <row r="11883" spans="1:19" ht="28" x14ac:dyDescent="0.15">
      <c r="A11883" s="2">
        <f>HYPERLINK("https://open-school.uspishnemisto.com.ua/school/610001/", 610001)</f>
        <v>610001</v>
      </c>
      <c r="B11883" s="3" t="s">
        <v>60156</v>
      </c>
      <c r="C11883" s="3" t="s">
        <v>40</v>
      </c>
      <c r="D11883" s="3" t="s">
        <v>32</v>
      </c>
      <c r="E11883" s="4" t="s">
        <v>22</v>
      </c>
      <c r="F11883" s="4" t="s">
        <v>60157</v>
      </c>
      <c r="G11883" s="4" t="s">
        <v>60158</v>
      </c>
      <c r="H11883" s="3" t="s">
        <v>60159</v>
      </c>
      <c r="I11883" s="3" t="s">
        <v>60160</v>
      </c>
      <c r="J11883" s="3" t="s">
        <v>8994</v>
      </c>
      <c r="K11883" s="3" t="s">
        <v>60161</v>
      </c>
      <c r="L11883" s="3"/>
      <c r="M11883" s="4"/>
      <c r="N11883" s="3" t="s">
        <v>37</v>
      </c>
      <c r="O11883" s="3" t="s">
        <v>237</v>
      </c>
      <c r="P11883" s="5">
        <v>5</v>
      </c>
      <c r="Q11883" s="5">
        <v>125</v>
      </c>
      <c r="R11883" s="5">
        <v>5</v>
      </c>
      <c r="S11883" s="5">
        <v>131</v>
      </c>
    </row>
    <row r="11884" spans="1:19" ht="28" x14ac:dyDescent="0.15">
      <c r="A11884" s="2">
        <f>HYPERLINK("https://open-school.uspishnemisto.com.ua/school/610002/", 610002)</f>
        <v>610002</v>
      </c>
      <c r="B11884" s="3" t="s">
        <v>60162</v>
      </c>
      <c r="C11884" s="3" t="s">
        <v>181</v>
      </c>
      <c r="D11884" s="3" t="s">
        <v>32</v>
      </c>
      <c r="E11884" s="4" t="s">
        <v>22</v>
      </c>
      <c r="F11884" s="4" t="s">
        <v>60163</v>
      </c>
      <c r="G11884" s="4" t="s">
        <v>60158</v>
      </c>
      <c r="H11884" s="3" t="s">
        <v>60159</v>
      </c>
      <c r="I11884" s="3" t="s">
        <v>60160</v>
      </c>
      <c r="J11884" s="3" t="s">
        <v>60164</v>
      </c>
      <c r="K11884" s="3" t="s">
        <v>60165</v>
      </c>
      <c r="L11884" s="3" t="s">
        <v>60166</v>
      </c>
      <c r="M11884" s="4" t="s">
        <v>60167</v>
      </c>
      <c r="N11884" s="3" t="s">
        <v>37</v>
      </c>
      <c r="O11884" s="3"/>
      <c r="P11884" s="5">
        <v>19</v>
      </c>
      <c r="Q11884" s="5">
        <v>133</v>
      </c>
      <c r="R11884" s="5">
        <v>19</v>
      </c>
      <c r="S11884" s="5">
        <v>133</v>
      </c>
    </row>
    <row r="11885" spans="1:19" ht="28" x14ac:dyDescent="0.15">
      <c r="A11885" s="2">
        <f>HYPERLINK("https://open-school.uspishnemisto.com.ua/school/610003/", 610003)</f>
        <v>610003</v>
      </c>
      <c r="B11885" s="3" t="s">
        <v>60168</v>
      </c>
      <c r="C11885" s="3" t="s">
        <v>54</v>
      </c>
      <c r="D11885" s="3" t="s">
        <v>60</v>
      </c>
      <c r="E11885" s="4" t="s">
        <v>22</v>
      </c>
      <c r="F11885" s="4" t="s">
        <v>60169</v>
      </c>
      <c r="G11885" s="4" t="s">
        <v>60158</v>
      </c>
      <c r="H11885" s="3" t="s">
        <v>60159</v>
      </c>
      <c r="I11885" s="3" t="s">
        <v>60160</v>
      </c>
      <c r="J11885" s="3" t="s">
        <v>60170</v>
      </c>
      <c r="K11885" s="3" t="s">
        <v>60171</v>
      </c>
      <c r="L11885" s="3"/>
      <c r="M11885" s="4"/>
      <c r="N11885" s="3" t="s">
        <v>37</v>
      </c>
      <c r="O11885" s="3" t="s">
        <v>52</v>
      </c>
      <c r="P11885" s="5">
        <v>4</v>
      </c>
      <c r="Q11885" s="5">
        <v>103</v>
      </c>
      <c r="R11885" s="5">
        <v>4</v>
      </c>
      <c r="S11885" s="5">
        <v>108</v>
      </c>
    </row>
    <row r="11886" spans="1:19" ht="28" x14ac:dyDescent="0.15">
      <c r="A11886" s="2">
        <f>HYPERLINK("https://open-school.uspishnemisto.com.ua/school/610004/", 610004)</f>
        <v>610004</v>
      </c>
      <c r="B11886" s="3" t="s">
        <v>60172</v>
      </c>
      <c r="C11886" s="3" t="s">
        <v>20</v>
      </c>
      <c r="D11886" s="3" t="s">
        <v>21</v>
      </c>
      <c r="E11886" s="4" t="s">
        <v>22</v>
      </c>
      <c r="F11886" s="4" t="s">
        <v>60173</v>
      </c>
      <c r="G11886" s="4" t="s">
        <v>60158</v>
      </c>
      <c r="H11886" s="3" t="s">
        <v>60159</v>
      </c>
      <c r="I11886" s="3" t="s">
        <v>60160</v>
      </c>
      <c r="J11886" s="3" t="s">
        <v>60174</v>
      </c>
      <c r="K11886" s="3" t="s">
        <v>60175</v>
      </c>
      <c r="L11886" s="3"/>
      <c r="M11886" s="4" t="s">
        <v>60176</v>
      </c>
      <c r="N11886" s="3"/>
      <c r="O11886" s="3"/>
      <c r="P11886" s="5">
        <v>0</v>
      </c>
      <c r="Q11886" s="5">
        <v>0</v>
      </c>
      <c r="R11886" s="5"/>
      <c r="S11886" s="5"/>
    </row>
    <row r="11887" spans="1:19" ht="42" x14ac:dyDescent="0.15">
      <c r="A11887" s="2">
        <f>HYPERLINK("https://open-school.uspishnemisto.com.ua/school/610005/", 610005)</f>
        <v>610005</v>
      </c>
      <c r="B11887" s="3" t="s">
        <v>60177</v>
      </c>
      <c r="C11887" s="3" t="s">
        <v>31</v>
      </c>
      <c r="D11887" s="3" t="s">
        <v>32</v>
      </c>
      <c r="E11887" s="4" t="s">
        <v>22</v>
      </c>
      <c r="F11887" s="4" t="s">
        <v>60178</v>
      </c>
      <c r="G11887" s="4" t="s">
        <v>60158</v>
      </c>
      <c r="H11887" s="3" t="s">
        <v>60159</v>
      </c>
      <c r="I11887" s="3" t="s">
        <v>60160</v>
      </c>
      <c r="J11887" s="3" t="s">
        <v>60179</v>
      </c>
      <c r="K11887" s="3" t="s">
        <v>60180</v>
      </c>
      <c r="L11887" s="3"/>
      <c r="M11887" s="4" t="s">
        <v>60181</v>
      </c>
      <c r="N11887" s="3" t="s">
        <v>37</v>
      </c>
      <c r="O11887" s="3" t="s">
        <v>52</v>
      </c>
      <c r="P11887" s="5">
        <v>28</v>
      </c>
      <c r="Q11887" s="5">
        <v>766</v>
      </c>
      <c r="R11887" s="5">
        <v>27</v>
      </c>
      <c r="S11887" s="5">
        <v>739</v>
      </c>
    </row>
    <row r="11888" spans="1:19" ht="28" x14ac:dyDescent="0.15">
      <c r="A11888" s="2">
        <f>HYPERLINK("https://open-school.uspishnemisto.com.ua/school/610006/", 610006)</f>
        <v>610006</v>
      </c>
      <c r="B11888" s="3" t="s">
        <v>60182</v>
      </c>
      <c r="C11888" s="3" t="s">
        <v>31</v>
      </c>
      <c r="D11888" s="3" t="s">
        <v>32</v>
      </c>
      <c r="E11888" s="4" t="s">
        <v>22</v>
      </c>
      <c r="F11888" s="4" t="s">
        <v>60183</v>
      </c>
      <c r="G11888" s="4" t="s">
        <v>60158</v>
      </c>
      <c r="H11888" s="3" t="s">
        <v>60159</v>
      </c>
      <c r="I11888" s="3" t="s">
        <v>60160</v>
      </c>
      <c r="J11888" s="3" t="s">
        <v>634</v>
      </c>
      <c r="K11888" s="3" t="s">
        <v>60184</v>
      </c>
      <c r="L11888" s="3"/>
      <c r="M11888" s="4" t="s">
        <v>60185</v>
      </c>
      <c r="N11888" s="3" t="s">
        <v>37</v>
      </c>
      <c r="O11888" s="3" t="s">
        <v>237</v>
      </c>
      <c r="P11888" s="5">
        <v>21</v>
      </c>
      <c r="Q11888" s="5">
        <v>601</v>
      </c>
      <c r="R11888" s="5">
        <v>19</v>
      </c>
      <c r="S11888" s="5">
        <v>532</v>
      </c>
    </row>
    <row r="11889" spans="1:19" ht="28" x14ac:dyDescent="0.15">
      <c r="A11889" s="2">
        <f>HYPERLINK("https://open-school.uspishnemisto.com.ua/school/610007/", 610007)</f>
        <v>610007</v>
      </c>
      <c r="B11889" s="3" t="s">
        <v>60186</v>
      </c>
      <c r="C11889" s="3" t="s">
        <v>31</v>
      </c>
      <c r="D11889" s="3" t="s">
        <v>32</v>
      </c>
      <c r="E11889" s="4" t="s">
        <v>22</v>
      </c>
      <c r="F11889" s="4" t="s">
        <v>60173</v>
      </c>
      <c r="G11889" s="4" t="s">
        <v>60158</v>
      </c>
      <c r="H11889" s="3" t="s">
        <v>60159</v>
      </c>
      <c r="I11889" s="3" t="s">
        <v>60160</v>
      </c>
      <c r="J11889" s="3" t="s">
        <v>60187</v>
      </c>
      <c r="K11889" s="3" t="s">
        <v>60188</v>
      </c>
      <c r="L11889" s="3"/>
      <c r="M11889" s="4" t="s">
        <v>60189</v>
      </c>
      <c r="N11889" s="3" t="s">
        <v>37</v>
      </c>
      <c r="O11889" s="3" t="s">
        <v>52</v>
      </c>
      <c r="P11889" s="5">
        <v>21</v>
      </c>
      <c r="Q11889" s="5">
        <v>603</v>
      </c>
      <c r="R11889" s="5">
        <v>21</v>
      </c>
      <c r="S11889" s="5">
        <v>536</v>
      </c>
    </row>
    <row r="11890" spans="1:19" ht="28" x14ac:dyDescent="0.15">
      <c r="A11890" s="2">
        <f>HYPERLINK("https://open-school.uspishnemisto.com.ua/school/610008/", 610008)</f>
        <v>610008</v>
      </c>
      <c r="B11890" s="3" t="s">
        <v>60190</v>
      </c>
      <c r="C11890" s="3" t="s">
        <v>31</v>
      </c>
      <c r="D11890" s="3" t="s">
        <v>32</v>
      </c>
      <c r="E11890" s="4" t="s">
        <v>22</v>
      </c>
      <c r="F11890" s="4" t="s">
        <v>60191</v>
      </c>
      <c r="G11890" s="4" t="s">
        <v>60158</v>
      </c>
      <c r="H11890" s="3" t="s">
        <v>60159</v>
      </c>
      <c r="I11890" s="3" t="s">
        <v>60160</v>
      </c>
      <c r="J11890" s="3" t="s">
        <v>60192</v>
      </c>
      <c r="K11890" s="3" t="s">
        <v>60193</v>
      </c>
      <c r="L11890" s="3" t="s">
        <v>60194</v>
      </c>
      <c r="M11890" s="4" t="s">
        <v>60195</v>
      </c>
      <c r="N11890" s="3" t="s">
        <v>37</v>
      </c>
      <c r="O11890" s="3" t="s">
        <v>46</v>
      </c>
      <c r="P11890" s="5">
        <v>27</v>
      </c>
      <c r="Q11890" s="5">
        <v>770</v>
      </c>
      <c r="R11890" s="5">
        <v>27</v>
      </c>
      <c r="S11890" s="5">
        <v>757</v>
      </c>
    </row>
    <row r="11891" spans="1:19" ht="28" x14ac:dyDescent="0.15">
      <c r="A11891" s="2">
        <f>HYPERLINK("https://open-school.uspishnemisto.com.ua/school/610009/", 610009)</f>
        <v>610009</v>
      </c>
      <c r="B11891" s="3" t="s">
        <v>60196</v>
      </c>
      <c r="C11891" s="3" t="s">
        <v>31</v>
      </c>
      <c r="D11891" s="3" t="s">
        <v>32</v>
      </c>
      <c r="E11891" s="4" t="s">
        <v>22</v>
      </c>
      <c r="F11891" s="4" t="s">
        <v>60191</v>
      </c>
      <c r="G11891" s="4" t="s">
        <v>60158</v>
      </c>
      <c r="H11891" s="3" t="s">
        <v>60159</v>
      </c>
      <c r="I11891" s="3" t="s">
        <v>60160</v>
      </c>
      <c r="J11891" s="3" t="s">
        <v>60197</v>
      </c>
      <c r="K11891" s="3" t="s">
        <v>60198</v>
      </c>
      <c r="L11891" s="3" t="s">
        <v>60199</v>
      </c>
      <c r="M11891" s="4" t="s">
        <v>60200</v>
      </c>
      <c r="N11891" s="3" t="s">
        <v>37</v>
      </c>
      <c r="O11891" s="3" t="s">
        <v>52</v>
      </c>
      <c r="P11891" s="5">
        <v>36</v>
      </c>
      <c r="Q11891" s="5">
        <v>1053</v>
      </c>
      <c r="R11891" s="5">
        <v>34</v>
      </c>
      <c r="S11891" s="5">
        <v>977</v>
      </c>
    </row>
    <row r="11892" spans="1:19" ht="28" x14ac:dyDescent="0.15">
      <c r="A11892" s="2">
        <f>HYPERLINK("https://open-school.uspishnemisto.com.ua/school/610010/", 610010)</f>
        <v>610010</v>
      </c>
      <c r="B11892" s="3" t="s">
        <v>60201</v>
      </c>
      <c r="C11892" s="3" t="s">
        <v>31</v>
      </c>
      <c r="D11892" s="3" t="s">
        <v>32</v>
      </c>
      <c r="E11892" s="4" t="s">
        <v>22</v>
      </c>
      <c r="F11892" s="4" t="s">
        <v>60163</v>
      </c>
      <c r="G11892" s="4" t="s">
        <v>60158</v>
      </c>
      <c r="H11892" s="3" t="s">
        <v>60159</v>
      </c>
      <c r="I11892" s="3" t="s">
        <v>60160</v>
      </c>
      <c r="J11892" s="3" t="s">
        <v>60202</v>
      </c>
      <c r="K11892" s="3" t="s">
        <v>60203</v>
      </c>
      <c r="L11892" s="3"/>
      <c r="M11892" s="4" t="s">
        <v>60204</v>
      </c>
      <c r="N11892" s="3" t="s">
        <v>37</v>
      </c>
      <c r="O11892" s="3" t="s">
        <v>46</v>
      </c>
      <c r="P11892" s="5">
        <v>23</v>
      </c>
      <c r="Q11892" s="5">
        <v>607</v>
      </c>
      <c r="R11892" s="5">
        <v>22</v>
      </c>
      <c r="S11892" s="5">
        <v>594</v>
      </c>
    </row>
    <row r="11893" spans="1:19" ht="28" x14ac:dyDescent="0.15">
      <c r="A11893" s="2">
        <f>HYPERLINK("https://open-school.uspishnemisto.com.ua/school/610011/", 610011)</f>
        <v>610011</v>
      </c>
      <c r="B11893" s="3" t="s">
        <v>60205</v>
      </c>
      <c r="C11893" s="3" t="s">
        <v>31</v>
      </c>
      <c r="D11893" s="3" t="s">
        <v>32</v>
      </c>
      <c r="E11893" s="4" t="s">
        <v>22</v>
      </c>
      <c r="F11893" s="4" t="s">
        <v>60163</v>
      </c>
      <c r="G11893" s="4" t="s">
        <v>60158</v>
      </c>
      <c r="H11893" s="3" t="s">
        <v>60159</v>
      </c>
      <c r="I11893" s="3" t="s">
        <v>60160</v>
      </c>
      <c r="J11893" s="3" t="s">
        <v>60206</v>
      </c>
      <c r="K11893" s="3" t="s">
        <v>60207</v>
      </c>
      <c r="L11893" s="3"/>
      <c r="M11893" s="4" t="s">
        <v>60208</v>
      </c>
      <c r="N11893" s="3" t="s">
        <v>37</v>
      </c>
      <c r="O11893" s="3" t="s">
        <v>52</v>
      </c>
      <c r="P11893" s="5">
        <v>37</v>
      </c>
      <c r="Q11893" s="5">
        <v>1009</v>
      </c>
      <c r="R11893" s="5">
        <v>36</v>
      </c>
      <c r="S11893" s="5">
        <v>978</v>
      </c>
    </row>
    <row r="11894" spans="1:19" ht="28" x14ac:dyDescent="0.15">
      <c r="A11894" s="2">
        <f>HYPERLINK("https://open-school.uspishnemisto.com.ua/school/610012/", 610012)</f>
        <v>610012</v>
      </c>
      <c r="B11894" s="3" t="s">
        <v>60209</v>
      </c>
      <c r="C11894" s="3" t="s">
        <v>31</v>
      </c>
      <c r="D11894" s="3" t="s">
        <v>32</v>
      </c>
      <c r="E11894" s="4" t="s">
        <v>22</v>
      </c>
      <c r="F11894" s="4" t="s">
        <v>60210</v>
      </c>
      <c r="G11894" s="4" t="s">
        <v>60158</v>
      </c>
      <c r="H11894" s="3" t="s">
        <v>60159</v>
      </c>
      <c r="I11894" s="3" t="s">
        <v>60160</v>
      </c>
      <c r="J11894" s="3" t="s">
        <v>60211</v>
      </c>
      <c r="K11894" s="3" t="s">
        <v>60212</v>
      </c>
      <c r="L11894" s="3"/>
      <c r="M11894" s="4" t="s">
        <v>60213</v>
      </c>
      <c r="N11894" s="3" t="s">
        <v>37</v>
      </c>
      <c r="O11894" s="3" t="s">
        <v>52</v>
      </c>
      <c r="P11894" s="5">
        <v>52</v>
      </c>
      <c r="Q11894" s="5">
        <v>1607</v>
      </c>
      <c r="R11894" s="5">
        <v>50</v>
      </c>
      <c r="S11894" s="5">
        <v>1471</v>
      </c>
    </row>
    <row r="11895" spans="1:19" ht="42" x14ac:dyDescent="0.15">
      <c r="A11895" s="2">
        <f>HYPERLINK("https://open-school.uspishnemisto.com.ua/school/610013/", 610013)</f>
        <v>610013</v>
      </c>
      <c r="B11895" s="3" t="s">
        <v>60214</v>
      </c>
      <c r="C11895" s="3" t="s">
        <v>31</v>
      </c>
      <c r="D11895" s="3" t="s">
        <v>32</v>
      </c>
      <c r="E11895" s="4" t="s">
        <v>22</v>
      </c>
      <c r="F11895" s="4" t="s">
        <v>60191</v>
      </c>
      <c r="G11895" s="4" t="s">
        <v>60158</v>
      </c>
      <c r="H11895" s="3" t="s">
        <v>60159</v>
      </c>
      <c r="I11895" s="3" t="s">
        <v>60160</v>
      </c>
      <c r="J11895" s="3" t="s">
        <v>60215</v>
      </c>
      <c r="K11895" s="3" t="s">
        <v>60216</v>
      </c>
      <c r="L11895" s="3"/>
      <c r="M11895" s="4" t="s">
        <v>60217</v>
      </c>
      <c r="N11895" s="3" t="s">
        <v>37</v>
      </c>
      <c r="O11895" s="3" t="s">
        <v>237</v>
      </c>
      <c r="P11895" s="5">
        <v>28</v>
      </c>
      <c r="Q11895" s="5">
        <v>778</v>
      </c>
      <c r="R11895" s="5">
        <v>27</v>
      </c>
      <c r="S11895" s="5">
        <v>728</v>
      </c>
    </row>
    <row r="11896" spans="1:19" ht="28" x14ac:dyDescent="0.15">
      <c r="A11896" s="2">
        <f>HYPERLINK("https://open-school.uspishnemisto.com.ua/school/610014/", 610014)</f>
        <v>610014</v>
      </c>
      <c r="B11896" s="3" t="s">
        <v>60218</v>
      </c>
      <c r="C11896" s="3" t="s">
        <v>31</v>
      </c>
      <c r="D11896" s="3" t="s">
        <v>32</v>
      </c>
      <c r="E11896" s="4" t="s">
        <v>22</v>
      </c>
      <c r="F11896" s="4" t="s">
        <v>60169</v>
      </c>
      <c r="G11896" s="4" t="s">
        <v>60158</v>
      </c>
      <c r="H11896" s="3" t="s">
        <v>60159</v>
      </c>
      <c r="I11896" s="3" t="s">
        <v>60160</v>
      </c>
      <c r="J11896" s="3" t="s">
        <v>60219</v>
      </c>
      <c r="K11896" s="3" t="s">
        <v>60220</v>
      </c>
      <c r="L11896" s="3"/>
      <c r="M11896" s="4" t="s">
        <v>60221</v>
      </c>
      <c r="N11896" s="3" t="s">
        <v>37</v>
      </c>
      <c r="O11896" s="3" t="s">
        <v>52</v>
      </c>
      <c r="P11896" s="5">
        <v>8</v>
      </c>
      <c r="Q11896" s="5">
        <v>89</v>
      </c>
      <c r="R11896" s="5">
        <v>10</v>
      </c>
      <c r="S11896" s="5">
        <v>91</v>
      </c>
    </row>
    <row r="11897" spans="1:19" ht="28" x14ac:dyDescent="0.15">
      <c r="A11897" s="2">
        <f>HYPERLINK("https://open-school.uspishnemisto.com.ua/school/610015/", 610015)</f>
        <v>610015</v>
      </c>
      <c r="B11897" s="3" t="s">
        <v>60222</v>
      </c>
      <c r="C11897" s="3" t="s">
        <v>31</v>
      </c>
      <c r="D11897" s="3" t="s">
        <v>32</v>
      </c>
      <c r="E11897" s="4" t="s">
        <v>22</v>
      </c>
      <c r="F11897" s="4" t="s">
        <v>60223</v>
      </c>
      <c r="G11897" s="4" t="s">
        <v>60158</v>
      </c>
      <c r="H11897" s="3" t="s">
        <v>60159</v>
      </c>
      <c r="I11897" s="3" t="s">
        <v>60160</v>
      </c>
      <c r="J11897" s="3" t="s">
        <v>60224</v>
      </c>
      <c r="K11897" s="3" t="s">
        <v>60225</v>
      </c>
      <c r="L11897" s="3" t="s">
        <v>60226</v>
      </c>
      <c r="M11897" s="4" t="s">
        <v>60227</v>
      </c>
      <c r="N11897" s="3" t="s">
        <v>37</v>
      </c>
      <c r="O11897" s="3" t="s">
        <v>1081</v>
      </c>
      <c r="P11897" s="5">
        <v>35</v>
      </c>
      <c r="Q11897" s="5">
        <v>1023</v>
      </c>
      <c r="R11897" s="5">
        <v>34</v>
      </c>
      <c r="S11897" s="5">
        <v>1000</v>
      </c>
    </row>
    <row r="11898" spans="1:19" ht="42" x14ac:dyDescent="0.15">
      <c r="A11898" s="2">
        <f>HYPERLINK("https://open-school.uspishnemisto.com.ua/school/610016/", 610016)</f>
        <v>610016</v>
      </c>
      <c r="B11898" s="3" t="s">
        <v>60228</v>
      </c>
      <c r="C11898" s="3" t="s">
        <v>31</v>
      </c>
      <c r="D11898" s="3" t="s">
        <v>32</v>
      </c>
      <c r="E11898" s="4" t="s">
        <v>22</v>
      </c>
      <c r="F11898" s="4" t="s">
        <v>60229</v>
      </c>
      <c r="G11898" s="4" t="s">
        <v>60158</v>
      </c>
      <c r="H11898" s="3" t="s">
        <v>60159</v>
      </c>
      <c r="I11898" s="3" t="s">
        <v>60160</v>
      </c>
      <c r="J11898" s="3" t="s">
        <v>60230</v>
      </c>
      <c r="K11898" s="3" t="s">
        <v>60231</v>
      </c>
      <c r="L11898" s="3" t="s">
        <v>60232</v>
      </c>
      <c r="M11898" s="4" t="s">
        <v>60233</v>
      </c>
      <c r="N11898" s="3" t="s">
        <v>37</v>
      </c>
      <c r="O11898" s="3" t="s">
        <v>46</v>
      </c>
      <c r="P11898" s="5">
        <v>22</v>
      </c>
      <c r="Q11898" s="5">
        <v>610</v>
      </c>
      <c r="R11898" s="5">
        <v>20</v>
      </c>
      <c r="S11898" s="5">
        <v>542</v>
      </c>
    </row>
    <row r="11899" spans="1:19" ht="42" x14ac:dyDescent="0.15">
      <c r="A11899" s="2">
        <f>HYPERLINK("https://open-school.uspishnemisto.com.ua/school/610017/", 610017)</f>
        <v>610017</v>
      </c>
      <c r="B11899" s="3" t="s">
        <v>60234</v>
      </c>
      <c r="C11899" s="3" t="s">
        <v>31</v>
      </c>
      <c r="D11899" s="3" t="s">
        <v>32</v>
      </c>
      <c r="E11899" s="4" t="s">
        <v>22</v>
      </c>
      <c r="F11899" s="4" t="s">
        <v>60235</v>
      </c>
      <c r="G11899" s="4" t="s">
        <v>60158</v>
      </c>
      <c r="H11899" s="3" t="s">
        <v>60159</v>
      </c>
      <c r="I11899" s="3" t="s">
        <v>60160</v>
      </c>
      <c r="J11899" s="3" t="s">
        <v>60236</v>
      </c>
      <c r="K11899" s="3" t="s">
        <v>60237</v>
      </c>
      <c r="L11899" s="3" t="s">
        <v>60238</v>
      </c>
      <c r="M11899" s="4" t="s">
        <v>60239</v>
      </c>
      <c r="N11899" s="3" t="s">
        <v>37</v>
      </c>
      <c r="O11899" s="3" t="s">
        <v>46</v>
      </c>
      <c r="P11899" s="5">
        <v>36</v>
      </c>
      <c r="Q11899" s="5">
        <v>1047</v>
      </c>
      <c r="R11899" s="5">
        <v>35</v>
      </c>
      <c r="S11899" s="5">
        <v>1013</v>
      </c>
    </row>
    <row r="11900" spans="1:19" ht="28" x14ac:dyDescent="0.15">
      <c r="A11900" s="2">
        <f>HYPERLINK("https://open-school.uspishnemisto.com.ua/school/610018/", 610018)</f>
        <v>610018</v>
      </c>
      <c r="B11900" s="3" t="s">
        <v>60240</v>
      </c>
      <c r="C11900" s="3" t="s">
        <v>31</v>
      </c>
      <c r="D11900" s="3" t="s">
        <v>32</v>
      </c>
      <c r="E11900" s="4" t="s">
        <v>22</v>
      </c>
      <c r="F11900" s="4" t="s">
        <v>60163</v>
      </c>
      <c r="G11900" s="4" t="s">
        <v>60158</v>
      </c>
      <c r="H11900" s="3" t="s">
        <v>60159</v>
      </c>
      <c r="I11900" s="3" t="s">
        <v>60160</v>
      </c>
      <c r="J11900" s="3" t="s">
        <v>60241</v>
      </c>
      <c r="K11900" s="3" t="s">
        <v>60242</v>
      </c>
      <c r="L11900" s="3"/>
      <c r="M11900" s="4" t="s">
        <v>60243</v>
      </c>
      <c r="N11900" s="3" t="s">
        <v>37</v>
      </c>
      <c r="O11900" s="3" t="s">
        <v>2776</v>
      </c>
      <c r="P11900" s="5">
        <v>35</v>
      </c>
      <c r="Q11900" s="5">
        <v>1130</v>
      </c>
      <c r="R11900" s="5">
        <v>36</v>
      </c>
      <c r="S11900" s="5">
        <v>1101</v>
      </c>
    </row>
    <row r="11901" spans="1:19" ht="28" x14ac:dyDescent="0.15">
      <c r="A11901" s="2">
        <f>HYPERLINK("https://open-school.uspishnemisto.com.ua/school/610019/", 610019)</f>
        <v>610019</v>
      </c>
      <c r="B11901" s="3" t="s">
        <v>60244</v>
      </c>
      <c r="C11901" s="3" t="s">
        <v>31</v>
      </c>
      <c r="D11901" s="3" t="s">
        <v>32</v>
      </c>
      <c r="E11901" s="4" t="s">
        <v>22</v>
      </c>
      <c r="F11901" s="4" t="s">
        <v>60163</v>
      </c>
      <c r="G11901" s="4" t="s">
        <v>60158</v>
      </c>
      <c r="H11901" s="3" t="s">
        <v>60159</v>
      </c>
      <c r="I11901" s="3" t="s">
        <v>60160</v>
      </c>
      <c r="J11901" s="3" t="s">
        <v>60245</v>
      </c>
      <c r="K11901" s="3" t="s">
        <v>60246</v>
      </c>
      <c r="L11901" s="3"/>
      <c r="M11901" s="4" t="s">
        <v>60247</v>
      </c>
      <c r="N11901" s="3" t="s">
        <v>37</v>
      </c>
      <c r="O11901" s="3" t="s">
        <v>46</v>
      </c>
      <c r="P11901" s="5">
        <v>19</v>
      </c>
      <c r="Q11901" s="5">
        <v>500</v>
      </c>
      <c r="R11901" s="5">
        <v>19</v>
      </c>
      <c r="S11901" s="5">
        <v>500</v>
      </c>
    </row>
    <row r="11902" spans="1:19" ht="28" x14ac:dyDescent="0.15">
      <c r="A11902" s="2">
        <f>HYPERLINK("https://open-school.uspishnemisto.com.ua/school/610020/", 610020)</f>
        <v>610020</v>
      </c>
      <c r="B11902" s="3" t="s">
        <v>60248</v>
      </c>
      <c r="C11902" s="3" t="s">
        <v>31</v>
      </c>
      <c r="D11902" s="3" t="s">
        <v>32</v>
      </c>
      <c r="E11902" s="4" t="s">
        <v>22</v>
      </c>
      <c r="F11902" s="4" t="s">
        <v>60249</v>
      </c>
      <c r="G11902" s="4" t="s">
        <v>60158</v>
      </c>
      <c r="H11902" s="3" t="s">
        <v>60159</v>
      </c>
      <c r="I11902" s="3" t="s">
        <v>60160</v>
      </c>
      <c r="J11902" s="3" t="s">
        <v>60250</v>
      </c>
      <c r="K11902" s="3" t="s">
        <v>60251</v>
      </c>
      <c r="L11902" s="3"/>
      <c r="M11902" s="4" t="s">
        <v>60252</v>
      </c>
      <c r="N11902" s="3" t="s">
        <v>37</v>
      </c>
      <c r="O11902" s="3" t="s">
        <v>46</v>
      </c>
      <c r="P11902" s="5">
        <v>38</v>
      </c>
      <c r="Q11902" s="5">
        <v>1078</v>
      </c>
      <c r="R11902" s="5">
        <v>36</v>
      </c>
      <c r="S11902" s="5">
        <v>1035</v>
      </c>
    </row>
    <row r="11903" spans="1:19" ht="28" x14ac:dyDescent="0.15">
      <c r="A11903" s="2">
        <f>HYPERLINK("https://open-school.uspishnemisto.com.ua/school/610021/", 610021)</f>
        <v>610021</v>
      </c>
      <c r="B11903" s="3" t="s">
        <v>60253</v>
      </c>
      <c r="C11903" s="3" t="s">
        <v>31</v>
      </c>
      <c r="D11903" s="3" t="s">
        <v>32</v>
      </c>
      <c r="E11903" s="4" t="s">
        <v>22</v>
      </c>
      <c r="F11903" s="4" t="s">
        <v>60169</v>
      </c>
      <c r="G11903" s="4" t="s">
        <v>60158</v>
      </c>
      <c r="H11903" s="3" t="s">
        <v>60159</v>
      </c>
      <c r="I11903" s="3" t="s">
        <v>60160</v>
      </c>
      <c r="J11903" s="3" t="s">
        <v>60254</v>
      </c>
      <c r="K11903" s="3" t="s">
        <v>60255</v>
      </c>
      <c r="L11903" s="3"/>
      <c r="M11903" s="4" t="s">
        <v>60256</v>
      </c>
      <c r="N11903" s="3" t="s">
        <v>37</v>
      </c>
      <c r="O11903" s="3" t="s">
        <v>52</v>
      </c>
      <c r="P11903" s="5">
        <v>11</v>
      </c>
      <c r="Q11903" s="5">
        <v>172</v>
      </c>
      <c r="R11903" s="5">
        <v>11</v>
      </c>
      <c r="S11903" s="5">
        <v>156</v>
      </c>
    </row>
    <row r="11904" spans="1:19" ht="28" x14ac:dyDescent="0.15">
      <c r="A11904" s="2">
        <f>HYPERLINK("https://open-school.uspishnemisto.com.ua/school/610022/", 610022)</f>
        <v>610022</v>
      </c>
      <c r="B11904" s="3" t="s">
        <v>60257</v>
      </c>
      <c r="C11904" s="3" t="s">
        <v>31</v>
      </c>
      <c r="D11904" s="3" t="s">
        <v>32</v>
      </c>
      <c r="E11904" s="4" t="s">
        <v>22</v>
      </c>
      <c r="F11904" s="4" t="s">
        <v>60157</v>
      </c>
      <c r="G11904" s="4" t="s">
        <v>60158</v>
      </c>
      <c r="H11904" s="3" t="s">
        <v>60159</v>
      </c>
      <c r="I11904" s="3" t="s">
        <v>60160</v>
      </c>
      <c r="J11904" s="3" t="s">
        <v>27428</v>
      </c>
      <c r="K11904" s="3" t="s">
        <v>60258</v>
      </c>
      <c r="L11904" s="3" t="s">
        <v>60259</v>
      </c>
      <c r="M11904" s="4" t="s">
        <v>60260</v>
      </c>
      <c r="N11904" s="3" t="s">
        <v>128</v>
      </c>
      <c r="O11904" s="3" t="s">
        <v>237</v>
      </c>
      <c r="P11904" s="5">
        <v>31</v>
      </c>
      <c r="Q11904" s="5">
        <v>807</v>
      </c>
      <c r="R11904" s="5">
        <v>31</v>
      </c>
      <c r="S11904" s="5">
        <v>757</v>
      </c>
    </row>
    <row r="11905" spans="1:19" ht="28" x14ac:dyDescent="0.15">
      <c r="A11905" s="2">
        <f>HYPERLINK("https://open-school.uspishnemisto.com.ua/school/610023/", 610023)</f>
        <v>610023</v>
      </c>
      <c r="B11905" s="3" t="s">
        <v>60261</v>
      </c>
      <c r="C11905" s="3" t="s">
        <v>31</v>
      </c>
      <c r="D11905" s="3" t="s">
        <v>32</v>
      </c>
      <c r="E11905" s="4" t="s">
        <v>22</v>
      </c>
      <c r="F11905" s="4" t="s">
        <v>60262</v>
      </c>
      <c r="G11905" s="4" t="s">
        <v>60158</v>
      </c>
      <c r="H11905" s="3" t="s">
        <v>60159</v>
      </c>
      <c r="I11905" s="3" t="s">
        <v>60160</v>
      </c>
      <c r="J11905" s="3" t="s">
        <v>60263</v>
      </c>
      <c r="K11905" s="3" t="s">
        <v>60264</v>
      </c>
      <c r="L11905" s="3"/>
      <c r="M11905" s="4" t="s">
        <v>60265</v>
      </c>
      <c r="N11905" s="3" t="s">
        <v>37</v>
      </c>
      <c r="O11905" s="3" t="s">
        <v>46</v>
      </c>
      <c r="P11905" s="5">
        <v>23</v>
      </c>
      <c r="Q11905" s="5">
        <v>592</v>
      </c>
      <c r="R11905" s="5">
        <v>24</v>
      </c>
      <c r="S11905" s="5">
        <v>604</v>
      </c>
    </row>
    <row r="11906" spans="1:19" ht="28" x14ac:dyDescent="0.15">
      <c r="A11906" s="2">
        <f>HYPERLINK("https://open-school.uspishnemisto.com.ua/school/610024/", 610024)</f>
        <v>610024</v>
      </c>
      <c r="B11906" s="3" t="s">
        <v>60266</v>
      </c>
      <c r="C11906" s="3" t="s">
        <v>40</v>
      </c>
      <c r="D11906" s="3" t="s">
        <v>32</v>
      </c>
      <c r="E11906" s="4" t="s">
        <v>22</v>
      </c>
      <c r="F11906" s="4" t="s">
        <v>60249</v>
      </c>
      <c r="G11906" s="4" t="s">
        <v>60158</v>
      </c>
      <c r="H11906" s="3" t="s">
        <v>60159</v>
      </c>
      <c r="I11906" s="3" t="s">
        <v>60160</v>
      </c>
      <c r="J11906" s="3" t="s">
        <v>60267</v>
      </c>
      <c r="K11906" s="3" t="s">
        <v>60268</v>
      </c>
      <c r="L11906" s="3"/>
      <c r="M11906" s="4" t="s">
        <v>60269</v>
      </c>
      <c r="N11906" s="3" t="s">
        <v>37</v>
      </c>
      <c r="O11906" s="3" t="s">
        <v>46</v>
      </c>
      <c r="P11906" s="5">
        <v>21</v>
      </c>
      <c r="Q11906" s="5">
        <v>553</v>
      </c>
      <c r="R11906" s="5">
        <v>21</v>
      </c>
      <c r="S11906" s="5">
        <v>536</v>
      </c>
    </row>
    <row r="11907" spans="1:19" ht="28" x14ac:dyDescent="0.15">
      <c r="A11907" s="2">
        <f>HYPERLINK("https://open-school.uspishnemisto.com.ua/school/610025/", 610025)</f>
        <v>610025</v>
      </c>
      <c r="B11907" s="3" t="s">
        <v>60270</v>
      </c>
      <c r="C11907" s="3" t="s">
        <v>31</v>
      </c>
      <c r="D11907" s="3" t="s">
        <v>32</v>
      </c>
      <c r="E11907" s="4" t="s">
        <v>22</v>
      </c>
      <c r="F11907" s="4" t="s">
        <v>60210</v>
      </c>
      <c r="G11907" s="4" t="s">
        <v>60158</v>
      </c>
      <c r="H11907" s="3" t="s">
        <v>60159</v>
      </c>
      <c r="I11907" s="3" t="s">
        <v>60160</v>
      </c>
      <c r="J11907" s="3" t="s">
        <v>60271</v>
      </c>
      <c r="K11907" s="3" t="s">
        <v>60272</v>
      </c>
      <c r="L11907" s="3"/>
      <c r="M11907" s="4" t="s">
        <v>60273</v>
      </c>
      <c r="N11907" s="3" t="s">
        <v>37</v>
      </c>
      <c r="O11907" s="3" t="s">
        <v>52</v>
      </c>
      <c r="P11907" s="5">
        <v>20</v>
      </c>
      <c r="Q11907" s="5">
        <v>350</v>
      </c>
      <c r="R11907" s="5">
        <v>21</v>
      </c>
      <c r="S11907" s="5">
        <v>351</v>
      </c>
    </row>
    <row r="11908" spans="1:19" ht="42" x14ac:dyDescent="0.15">
      <c r="A11908" s="2">
        <f>HYPERLINK("https://open-school.uspishnemisto.com.ua/school/610026/", 610026)</f>
        <v>610026</v>
      </c>
      <c r="B11908" s="3" t="s">
        <v>60274</v>
      </c>
      <c r="C11908" s="3" t="s">
        <v>244</v>
      </c>
      <c r="D11908" s="3" t="s">
        <v>60</v>
      </c>
      <c r="E11908" s="4" t="s">
        <v>22</v>
      </c>
      <c r="F11908" s="4" t="s">
        <v>60275</v>
      </c>
      <c r="G11908" s="4" t="s">
        <v>60158</v>
      </c>
      <c r="H11908" s="3" t="s">
        <v>60159</v>
      </c>
      <c r="I11908" s="3" t="s">
        <v>60160</v>
      </c>
      <c r="J11908" s="3" t="s">
        <v>60276</v>
      </c>
      <c r="K11908" s="3" t="s">
        <v>60277</v>
      </c>
      <c r="L11908" s="3"/>
      <c r="M11908" s="4" t="s">
        <v>60278</v>
      </c>
      <c r="N11908" s="3" t="s">
        <v>37</v>
      </c>
      <c r="O11908" s="3" t="s">
        <v>52</v>
      </c>
      <c r="P11908" s="5">
        <v>11</v>
      </c>
      <c r="Q11908" s="5">
        <v>342</v>
      </c>
      <c r="R11908" s="5">
        <v>11</v>
      </c>
      <c r="S11908" s="5">
        <v>324</v>
      </c>
    </row>
    <row r="11909" spans="1:19" ht="42" x14ac:dyDescent="0.15">
      <c r="A11909" s="2">
        <f>HYPERLINK("https://open-school.uspishnemisto.com.ua/school/610027/", 610027)</f>
        <v>610027</v>
      </c>
      <c r="B11909" s="3" t="s">
        <v>60279</v>
      </c>
      <c r="C11909" s="3" t="s">
        <v>244</v>
      </c>
      <c r="D11909" s="3" t="s">
        <v>60</v>
      </c>
      <c r="E11909" s="4" t="s">
        <v>22</v>
      </c>
      <c r="F11909" s="4" t="s">
        <v>60280</v>
      </c>
      <c r="G11909" s="4" t="s">
        <v>60158</v>
      </c>
      <c r="H11909" s="3" t="s">
        <v>60159</v>
      </c>
      <c r="I11909" s="3" t="s">
        <v>60160</v>
      </c>
      <c r="J11909" s="3" t="s">
        <v>60281</v>
      </c>
      <c r="K11909" s="3" t="s">
        <v>60282</v>
      </c>
      <c r="L11909" s="3"/>
      <c r="M11909" s="4" t="s">
        <v>60283</v>
      </c>
      <c r="N11909" s="3" t="s">
        <v>37</v>
      </c>
      <c r="O11909" s="3" t="s">
        <v>52</v>
      </c>
      <c r="P11909" s="5">
        <v>13</v>
      </c>
      <c r="Q11909" s="5">
        <v>369</v>
      </c>
      <c r="R11909" s="5">
        <v>13</v>
      </c>
      <c r="S11909" s="5">
        <v>371</v>
      </c>
    </row>
    <row r="11910" spans="1:19" ht="42" x14ac:dyDescent="0.15">
      <c r="A11910" s="2">
        <f>HYPERLINK("https://open-school.uspishnemisto.com.ua/school/610028/", 610028)</f>
        <v>610028</v>
      </c>
      <c r="B11910" s="3" t="s">
        <v>60284</v>
      </c>
      <c r="C11910" s="3" t="s">
        <v>244</v>
      </c>
      <c r="D11910" s="3" t="s">
        <v>32</v>
      </c>
      <c r="E11910" s="4" t="s">
        <v>22</v>
      </c>
      <c r="F11910" s="4" t="s">
        <v>60157</v>
      </c>
      <c r="G11910" s="4" t="s">
        <v>60158</v>
      </c>
      <c r="H11910" s="3" t="s">
        <v>60159</v>
      </c>
      <c r="I11910" s="3" t="s">
        <v>60160</v>
      </c>
      <c r="J11910" s="3" t="s">
        <v>60285</v>
      </c>
      <c r="K11910" s="3" t="s">
        <v>60286</v>
      </c>
      <c r="L11910" s="3"/>
      <c r="M11910" s="4" t="s">
        <v>60287</v>
      </c>
      <c r="N11910" s="3" t="s">
        <v>37</v>
      </c>
      <c r="O11910" s="3" t="s">
        <v>2776</v>
      </c>
      <c r="P11910" s="5">
        <v>27</v>
      </c>
      <c r="Q11910" s="5">
        <v>827</v>
      </c>
      <c r="R11910" s="5">
        <v>28</v>
      </c>
      <c r="S11910" s="5">
        <v>827</v>
      </c>
    </row>
    <row r="11911" spans="1:19" ht="42" x14ac:dyDescent="0.15">
      <c r="A11911" s="2">
        <f>HYPERLINK("https://open-school.uspishnemisto.com.ua/school/610029/", 610029)</f>
        <v>610029</v>
      </c>
      <c r="B11911" s="3" t="s">
        <v>60288</v>
      </c>
      <c r="C11911" s="3" t="s">
        <v>244</v>
      </c>
      <c r="D11911" s="3" t="s">
        <v>32</v>
      </c>
      <c r="E11911" s="4" t="s">
        <v>22</v>
      </c>
      <c r="F11911" s="4" t="s">
        <v>60289</v>
      </c>
      <c r="G11911" s="4" t="s">
        <v>60158</v>
      </c>
      <c r="H11911" s="3" t="s">
        <v>60159</v>
      </c>
      <c r="I11911" s="3" t="s">
        <v>60160</v>
      </c>
      <c r="J11911" s="3" t="s">
        <v>60290</v>
      </c>
      <c r="K11911" s="3" t="s">
        <v>60291</v>
      </c>
      <c r="L11911" s="3"/>
      <c r="M11911" s="4" t="s">
        <v>60292</v>
      </c>
      <c r="N11911" s="3" t="s">
        <v>37</v>
      </c>
      <c r="O11911" s="3" t="s">
        <v>123</v>
      </c>
      <c r="P11911" s="5">
        <v>26</v>
      </c>
      <c r="Q11911" s="5">
        <v>738</v>
      </c>
      <c r="R11911" s="5">
        <v>26</v>
      </c>
      <c r="S11911" s="5">
        <v>731</v>
      </c>
    </row>
    <row r="11912" spans="1:19" ht="42" x14ac:dyDescent="0.15">
      <c r="A11912" s="2">
        <f>HYPERLINK("https://open-school.uspishnemisto.com.ua/school/610030/", 610030)</f>
        <v>610030</v>
      </c>
      <c r="B11912" s="3" t="s">
        <v>60293</v>
      </c>
      <c r="C11912" s="3" t="s">
        <v>244</v>
      </c>
      <c r="D11912" s="3" t="s">
        <v>32</v>
      </c>
      <c r="E11912" s="4" t="s">
        <v>22</v>
      </c>
      <c r="F11912" s="4" t="s">
        <v>60191</v>
      </c>
      <c r="G11912" s="4" t="s">
        <v>60158</v>
      </c>
      <c r="H11912" s="3" t="s">
        <v>60159</v>
      </c>
      <c r="I11912" s="3" t="s">
        <v>60160</v>
      </c>
      <c r="J11912" s="3" t="s">
        <v>60294</v>
      </c>
      <c r="K11912" s="3" t="s">
        <v>60295</v>
      </c>
      <c r="L11912" s="3"/>
      <c r="M11912" s="4" t="s">
        <v>60296</v>
      </c>
      <c r="N11912" s="3" t="s">
        <v>37</v>
      </c>
      <c r="O11912" s="3" t="s">
        <v>46</v>
      </c>
      <c r="P11912" s="5">
        <v>36</v>
      </c>
      <c r="Q11912" s="5">
        <v>1061</v>
      </c>
      <c r="R11912" s="5">
        <v>34</v>
      </c>
      <c r="S11912" s="5">
        <v>1003</v>
      </c>
    </row>
    <row r="11913" spans="1:19" ht="42" x14ac:dyDescent="0.15">
      <c r="A11913" s="2">
        <f>HYPERLINK("https://open-school.uspishnemisto.com.ua/school/610031/", 610031)</f>
        <v>610031</v>
      </c>
      <c r="B11913" s="3" t="s">
        <v>60297</v>
      </c>
      <c r="C11913" s="3" t="s">
        <v>244</v>
      </c>
      <c r="D11913" s="3" t="s">
        <v>32</v>
      </c>
      <c r="E11913" s="4" t="s">
        <v>22</v>
      </c>
      <c r="F11913" s="4" t="s">
        <v>60157</v>
      </c>
      <c r="G11913" s="4" t="s">
        <v>60158</v>
      </c>
      <c r="H11913" s="3" t="s">
        <v>60159</v>
      </c>
      <c r="I11913" s="3" t="s">
        <v>60160</v>
      </c>
      <c r="J11913" s="3" t="s">
        <v>22278</v>
      </c>
      <c r="K11913" s="3" t="s">
        <v>60298</v>
      </c>
      <c r="L11913" s="3" t="s">
        <v>60299</v>
      </c>
      <c r="M11913" s="4" t="s">
        <v>60300</v>
      </c>
      <c r="N11913" s="3" t="s">
        <v>37</v>
      </c>
      <c r="O11913" s="3" t="s">
        <v>123</v>
      </c>
      <c r="P11913" s="5">
        <v>33</v>
      </c>
      <c r="Q11913" s="5">
        <v>1050</v>
      </c>
      <c r="R11913" s="5">
        <v>33</v>
      </c>
      <c r="S11913" s="5">
        <v>1042</v>
      </c>
    </row>
    <row r="11914" spans="1:19" ht="56" x14ac:dyDescent="0.15">
      <c r="A11914" s="2">
        <f>HYPERLINK("https://open-school.uspishnemisto.com.ua/school/610032/", 610032)</f>
        <v>610032</v>
      </c>
      <c r="B11914" s="3" t="s">
        <v>60301</v>
      </c>
      <c r="C11914" s="3" t="s">
        <v>244</v>
      </c>
      <c r="D11914" s="3" t="s">
        <v>32</v>
      </c>
      <c r="E11914" s="4" t="s">
        <v>22</v>
      </c>
      <c r="F11914" s="4" t="s">
        <v>60280</v>
      </c>
      <c r="G11914" s="4" t="s">
        <v>60158</v>
      </c>
      <c r="H11914" s="3" t="s">
        <v>60159</v>
      </c>
      <c r="I11914" s="3" t="s">
        <v>60160</v>
      </c>
      <c r="J11914" s="3" t="s">
        <v>60302</v>
      </c>
      <c r="K11914" s="3" t="s">
        <v>60303</v>
      </c>
      <c r="L11914" s="3" t="s">
        <v>60304</v>
      </c>
      <c r="M11914" s="4" t="s">
        <v>60305</v>
      </c>
      <c r="N11914" s="3" t="s">
        <v>37</v>
      </c>
      <c r="O11914" s="3" t="s">
        <v>46</v>
      </c>
      <c r="P11914" s="5">
        <v>20</v>
      </c>
      <c r="Q11914" s="5">
        <v>558</v>
      </c>
      <c r="R11914" s="5">
        <v>22</v>
      </c>
      <c r="S11914" s="5">
        <v>567</v>
      </c>
    </row>
    <row r="11915" spans="1:19" ht="42" x14ac:dyDescent="0.15">
      <c r="A11915" s="2">
        <f>HYPERLINK("https://open-school.uspishnemisto.com.ua/school/610033/", 610033)</f>
        <v>610033</v>
      </c>
      <c r="B11915" s="3" t="s">
        <v>60306</v>
      </c>
      <c r="C11915" s="3" t="s">
        <v>174</v>
      </c>
      <c r="D11915" s="3" t="s">
        <v>32</v>
      </c>
      <c r="E11915" s="4" t="s">
        <v>22</v>
      </c>
      <c r="F11915" s="4" t="s">
        <v>60249</v>
      </c>
      <c r="G11915" s="4" t="s">
        <v>60158</v>
      </c>
      <c r="H11915" s="3" t="s">
        <v>60159</v>
      </c>
      <c r="I11915" s="3" t="s">
        <v>60160</v>
      </c>
      <c r="J11915" s="3" t="s">
        <v>60307</v>
      </c>
      <c r="K11915" s="3" t="s">
        <v>60308</v>
      </c>
      <c r="L11915" s="3" t="s">
        <v>60309</v>
      </c>
      <c r="M11915" s="4" t="s">
        <v>60310</v>
      </c>
      <c r="N11915" s="3" t="s">
        <v>37</v>
      </c>
      <c r="O11915" s="3"/>
      <c r="P11915" s="5">
        <v>13</v>
      </c>
      <c r="Q11915" s="5">
        <v>96</v>
      </c>
      <c r="R11915" s="5">
        <v>14</v>
      </c>
      <c r="S11915" s="5">
        <v>112</v>
      </c>
    </row>
    <row r="11916" spans="1:19" ht="28" x14ac:dyDescent="0.15">
      <c r="A11916" s="2">
        <f>HYPERLINK("https://open-school.uspishnemisto.com.ua/school/610034/", 610034)</f>
        <v>610034</v>
      </c>
      <c r="B11916" s="3" t="s">
        <v>60311</v>
      </c>
      <c r="C11916" s="3" t="s">
        <v>181</v>
      </c>
      <c r="D11916" s="3" t="s">
        <v>32</v>
      </c>
      <c r="E11916" s="4" t="s">
        <v>22</v>
      </c>
      <c r="F11916" s="4" t="s">
        <v>60262</v>
      </c>
      <c r="G11916" s="4" t="s">
        <v>60158</v>
      </c>
      <c r="H11916" s="3" t="s">
        <v>60159</v>
      </c>
      <c r="I11916" s="3" t="s">
        <v>60160</v>
      </c>
      <c r="J11916" s="3" t="s">
        <v>60312</v>
      </c>
      <c r="K11916" s="3" t="s">
        <v>60313</v>
      </c>
      <c r="L11916" s="3"/>
      <c r="M11916" s="4" t="s">
        <v>60314</v>
      </c>
      <c r="N11916" s="3" t="s">
        <v>37</v>
      </c>
      <c r="O11916" s="3" t="s">
        <v>52</v>
      </c>
      <c r="P11916" s="5">
        <v>21</v>
      </c>
      <c r="Q11916" s="5">
        <v>147</v>
      </c>
      <c r="R11916" s="5">
        <v>20</v>
      </c>
      <c r="S11916" s="5">
        <v>133</v>
      </c>
    </row>
    <row r="11917" spans="1:19" ht="28" x14ac:dyDescent="0.15">
      <c r="A11917" s="2">
        <f>HYPERLINK("https://open-school.uspishnemisto.com.ua/school/610035/", 610035)</f>
        <v>610035</v>
      </c>
      <c r="B11917" s="3" t="s">
        <v>60315</v>
      </c>
      <c r="C11917" s="3" t="s">
        <v>40</v>
      </c>
      <c r="D11917" s="3" t="s">
        <v>32</v>
      </c>
      <c r="E11917" s="4" t="s">
        <v>22</v>
      </c>
      <c r="F11917" s="4" t="s">
        <v>60157</v>
      </c>
      <c r="G11917" s="4" t="s">
        <v>60158</v>
      </c>
      <c r="H11917" s="3" t="s">
        <v>60159</v>
      </c>
      <c r="I11917" s="3" t="s">
        <v>60160</v>
      </c>
      <c r="J11917" s="3" t="s">
        <v>60316</v>
      </c>
      <c r="K11917" s="3" t="s">
        <v>60317</v>
      </c>
      <c r="L11917" s="3" t="s">
        <v>60318</v>
      </c>
      <c r="M11917" s="4" t="s">
        <v>60319</v>
      </c>
      <c r="N11917" s="3" t="s">
        <v>37</v>
      </c>
      <c r="O11917" s="3" t="s">
        <v>2740</v>
      </c>
      <c r="P11917" s="5">
        <v>21</v>
      </c>
      <c r="Q11917" s="5">
        <v>670</v>
      </c>
      <c r="R11917" s="5">
        <v>21</v>
      </c>
      <c r="S11917" s="5">
        <v>666</v>
      </c>
    </row>
    <row r="11918" spans="1:19" ht="28" x14ac:dyDescent="0.15">
      <c r="A11918" s="2">
        <f>HYPERLINK("https://open-school.uspishnemisto.com.ua/school/610036/", 610036)</f>
        <v>610036</v>
      </c>
      <c r="B11918" s="3" t="s">
        <v>60320</v>
      </c>
      <c r="C11918" s="3" t="s">
        <v>54</v>
      </c>
      <c r="D11918" s="3" t="s">
        <v>32</v>
      </c>
      <c r="E11918" s="4" t="s">
        <v>22</v>
      </c>
      <c r="F11918" s="4" t="s">
        <v>60157</v>
      </c>
      <c r="G11918" s="4" t="s">
        <v>60158</v>
      </c>
      <c r="H11918" s="3" t="s">
        <v>60159</v>
      </c>
      <c r="I11918" s="3" t="s">
        <v>60160</v>
      </c>
      <c r="J11918" s="3" t="s">
        <v>60321</v>
      </c>
      <c r="K11918" s="3" t="s">
        <v>60322</v>
      </c>
      <c r="L11918" s="3"/>
      <c r="M11918" s="4" t="s">
        <v>60323</v>
      </c>
      <c r="N11918" s="3" t="s">
        <v>37</v>
      </c>
      <c r="O11918" s="3" t="s">
        <v>46</v>
      </c>
      <c r="P11918" s="5">
        <v>34</v>
      </c>
      <c r="Q11918" s="5">
        <v>1063</v>
      </c>
      <c r="R11918" s="5">
        <v>34</v>
      </c>
      <c r="S11918" s="5">
        <v>1022</v>
      </c>
    </row>
    <row r="11919" spans="1:19" ht="42" x14ac:dyDescent="0.15">
      <c r="A11919" s="2">
        <f>HYPERLINK("https://open-school.uspishnemisto.com.ua/school/610037/", 610037)</f>
        <v>610037</v>
      </c>
      <c r="B11919" s="3" t="s">
        <v>60324</v>
      </c>
      <c r="C11919" s="3" t="s">
        <v>54</v>
      </c>
      <c r="D11919" s="3" t="s">
        <v>32</v>
      </c>
      <c r="E11919" s="4" t="s">
        <v>22</v>
      </c>
      <c r="F11919" s="4" t="s">
        <v>60235</v>
      </c>
      <c r="G11919" s="4" t="s">
        <v>60158</v>
      </c>
      <c r="H11919" s="3" t="s">
        <v>60159</v>
      </c>
      <c r="I11919" s="3" t="s">
        <v>60160</v>
      </c>
      <c r="J11919" s="3" t="s">
        <v>60325</v>
      </c>
      <c r="K11919" s="3" t="s">
        <v>60326</v>
      </c>
      <c r="L11919" s="3"/>
      <c r="M11919" s="4" t="s">
        <v>60327</v>
      </c>
      <c r="N11919" s="3" t="s">
        <v>37</v>
      </c>
      <c r="O11919" s="3" t="s">
        <v>52</v>
      </c>
      <c r="P11919" s="5">
        <v>34</v>
      </c>
      <c r="Q11919" s="5">
        <v>1005</v>
      </c>
      <c r="R11919" s="5">
        <v>33</v>
      </c>
      <c r="S11919" s="5">
        <v>965</v>
      </c>
    </row>
    <row r="11920" spans="1:19" ht="42" x14ac:dyDescent="0.15">
      <c r="A11920" s="2">
        <f>HYPERLINK("https://open-school.uspishnemisto.com.ua/school/610038/", 610038)</f>
        <v>610038</v>
      </c>
      <c r="B11920" s="3" t="s">
        <v>60328</v>
      </c>
      <c r="C11920" s="3" t="s">
        <v>54</v>
      </c>
      <c r="D11920" s="3" t="s">
        <v>32</v>
      </c>
      <c r="E11920" s="4" t="s">
        <v>22</v>
      </c>
      <c r="F11920" s="4" t="s">
        <v>60178</v>
      </c>
      <c r="G11920" s="4" t="s">
        <v>60158</v>
      </c>
      <c r="H11920" s="3" t="s">
        <v>60159</v>
      </c>
      <c r="I11920" s="3" t="s">
        <v>60160</v>
      </c>
      <c r="J11920" s="3" t="s">
        <v>60329</v>
      </c>
      <c r="K11920" s="3" t="s">
        <v>60330</v>
      </c>
      <c r="L11920" s="3" t="s">
        <v>60331</v>
      </c>
      <c r="M11920" s="4" t="s">
        <v>60332</v>
      </c>
      <c r="N11920" s="3" t="s">
        <v>37</v>
      </c>
      <c r="O11920" s="3" t="s">
        <v>52</v>
      </c>
      <c r="P11920" s="5">
        <v>24</v>
      </c>
      <c r="Q11920" s="5">
        <v>652</v>
      </c>
      <c r="R11920" s="5">
        <v>22</v>
      </c>
      <c r="S11920" s="5">
        <v>622</v>
      </c>
    </row>
    <row r="11921" spans="1:19" ht="28" x14ac:dyDescent="0.15">
      <c r="A11921" s="2">
        <f>HYPERLINK("https://open-school.uspishnemisto.com.ua/school/610039/", 610039)</f>
        <v>610039</v>
      </c>
      <c r="B11921" s="3" t="s">
        <v>60333</v>
      </c>
      <c r="C11921" s="3" t="s">
        <v>54</v>
      </c>
      <c r="D11921" s="3" t="s">
        <v>32</v>
      </c>
      <c r="E11921" s="4" t="s">
        <v>22</v>
      </c>
      <c r="F11921" s="4" t="s">
        <v>60334</v>
      </c>
      <c r="G11921" s="4" t="s">
        <v>60158</v>
      </c>
      <c r="H11921" s="3" t="s">
        <v>60159</v>
      </c>
      <c r="I11921" s="3" t="s">
        <v>60160</v>
      </c>
      <c r="J11921" s="3" t="s">
        <v>60335</v>
      </c>
      <c r="K11921" s="3"/>
      <c r="L11921" s="3"/>
      <c r="M11921" s="4" t="s">
        <v>60336</v>
      </c>
      <c r="N11921" s="3" t="s">
        <v>37</v>
      </c>
      <c r="O11921" s="3" t="s">
        <v>52</v>
      </c>
      <c r="P11921" s="5">
        <v>28</v>
      </c>
      <c r="Q11921" s="5">
        <v>697</v>
      </c>
      <c r="R11921" s="5">
        <v>28</v>
      </c>
      <c r="S11921" s="5">
        <v>671</v>
      </c>
    </row>
    <row r="11922" spans="1:19" ht="42" x14ac:dyDescent="0.15">
      <c r="A11922" s="2">
        <f>HYPERLINK("https://open-school.uspishnemisto.com.ua/school/610040/", 610040)</f>
        <v>610040</v>
      </c>
      <c r="B11922" s="3" t="s">
        <v>60337</v>
      </c>
      <c r="C11922" s="3" t="s">
        <v>2128</v>
      </c>
      <c r="D11922" s="3" t="s">
        <v>32</v>
      </c>
      <c r="E11922" s="4" t="s">
        <v>22</v>
      </c>
      <c r="F11922" s="4" t="s">
        <v>60289</v>
      </c>
      <c r="G11922" s="4" t="s">
        <v>60158</v>
      </c>
      <c r="H11922" s="3" t="s">
        <v>60159</v>
      </c>
      <c r="I11922" s="3" t="s">
        <v>60160</v>
      </c>
      <c r="J11922" s="3" t="s">
        <v>60338</v>
      </c>
      <c r="K11922" s="3" t="s">
        <v>60339</v>
      </c>
      <c r="L11922" s="3"/>
      <c r="M11922" s="4" t="s">
        <v>60340</v>
      </c>
      <c r="N11922" s="3" t="s">
        <v>37</v>
      </c>
      <c r="O11922" s="3" t="s">
        <v>237</v>
      </c>
      <c r="P11922" s="5">
        <v>21</v>
      </c>
      <c r="Q11922" s="5">
        <v>509</v>
      </c>
      <c r="R11922" s="5">
        <v>21</v>
      </c>
      <c r="S11922" s="5">
        <v>521</v>
      </c>
    </row>
    <row r="11923" spans="1:19" ht="28" x14ac:dyDescent="0.15">
      <c r="A11923" s="2">
        <f>HYPERLINK("https://open-school.uspishnemisto.com.ua/school/610041/", 610041)</f>
        <v>610041</v>
      </c>
      <c r="B11923" s="3" t="s">
        <v>60341</v>
      </c>
      <c r="C11923" s="3" t="s">
        <v>54</v>
      </c>
      <c r="D11923" s="3" t="s">
        <v>60</v>
      </c>
      <c r="E11923" s="4" t="s">
        <v>22</v>
      </c>
      <c r="F11923" s="4" t="s">
        <v>60157</v>
      </c>
      <c r="G11923" s="4" t="s">
        <v>60158</v>
      </c>
      <c r="H11923" s="3" t="s">
        <v>60159</v>
      </c>
      <c r="I11923" s="3" t="s">
        <v>60160</v>
      </c>
      <c r="J11923" s="3" t="s">
        <v>60342</v>
      </c>
      <c r="K11923" s="3" t="s">
        <v>60343</v>
      </c>
      <c r="L11923" s="3"/>
      <c r="M11923" s="4"/>
      <c r="N11923" s="3" t="s">
        <v>37</v>
      </c>
      <c r="O11923" s="3" t="s">
        <v>52</v>
      </c>
      <c r="P11923" s="5">
        <v>8</v>
      </c>
      <c r="Q11923" s="5">
        <v>245</v>
      </c>
      <c r="R11923" s="5">
        <v>8</v>
      </c>
      <c r="S11923" s="5">
        <v>252</v>
      </c>
    </row>
    <row r="11924" spans="1:19" ht="28" x14ac:dyDescent="0.15">
      <c r="A11924" s="2">
        <f>HYPERLINK("https://open-school.uspishnemisto.com.ua/school/610042/", 610042)</f>
        <v>610042</v>
      </c>
      <c r="B11924" s="3" t="s">
        <v>60344</v>
      </c>
      <c r="C11924" s="3" t="s">
        <v>54</v>
      </c>
      <c r="D11924" s="3" t="s">
        <v>60</v>
      </c>
      <c r="E11924" s="4" t="s">
        <v>22</v>
      </c>
      <c r="F11924" s="4" t="s">
        <v>60163</v>
      </c>
      <c r="G11924" s="4" t="s">
        <v>60158</v>
      </c>
      <c r="H11924" s="3" t="s">
        <v>60159</v>
      </c>
      <c r="I11924" s="3" t="s">
        <v>60160</v>
      </c>
      <c r="J11924" s="3" t="s">
        <v>60345</v>
      </c>
      <c r="K11924" s="3" t="s">
        <v>60346</v>
      </c>
      <c r="L11924" s="3"/>
      <c r="M11924" s="4"/>
      <c r="N11924" s="3" t="s">
        <v>37</v>
      </c>
      <c r="O11924" s="3" t="s">
        <v>52</v>
      </c>
      <c r="P11924" s="5">
        <v>4</v>
      </c>
      <c r="Q11924" s="5">
        <v>89</v>
      </c>
      <c r="R11924" s="5">
        <v>4</v>
      </c>
      <c r="S11924" s="5">
        <v>88</v>
      </c>
    </row>
    <row r="11925" spans="1:19" ht="28" x14ac:dyDescent="0.15">
      <c r="A11925" s="2">
        <f>HYPERLINK("https://open-school.uspishnemisto.com.ua/school/610043/", 610043)</f>
        <v>610043</v>
      </c>
      <c r="B11925" s="3" t="s">
        <v>60347</v>
      </c>
      <c r="C11925" s="3" t="s">
        <v>54</v>
      </c>
      <c r="D11925" s="3" t="s">
        <v>60</v>
      </c>
      <c r="E11925" s="4" t="s">
        <v>22</v>
      </c>
      <c r="F11925" s="4" t="s">
        <v>60163</v>
      </c>
      <c r="G11925" s="4" t="s">
        <v>60158</v>
      </c>
      <c r="H11925" s="3" t="s">
        <v>60159</v>
      </c>
      <c r="I11925" s="3" t="s">
        <v>60160</v>
      </c>
      <c r="J11925" s="3" t="s">
        <v>60348</v>
      </c>
      <c r="K11925" s="3" t="s">
        <v>60349</v>
      </c>
      <c r="L11925" s="3"/>
      <c r="M11925" s="4"/>
      <c r="N11925" s="3" t="s">
        <v>37</v>
      </c>
      <c r="O11925" s="3" t="s">
        <v>52</v>
      </c>
      <c r="P11925" s="5">
        <v>8</v>
      </c>
      <c r="Q11925" s="5">
        <v>256</v>
      </c>
      <c r="R11925" s="5">
        <v>8</v>
      </c>
      <c r="S11925" s="5">
        <v>238</v>
      </c>
    </row>
    <row r="11926" spans="1:19" ht="28" x14ac:dyDescent="0.15">
      <c r="A11926" s="2">
        <f>HYPERLINK("https://open-school.uspishnemisto.com.ua/school/610044/", 610044)</f>
        <v>610044</v>
      </c>
      <c r="B11926" s="3" t="s">
        <v>60350</v>
      </c>
      <c r="C11926" s="3" t="s">
        <v>188</v>
      </c>
      <c r="D11926" s="3" t="s">
        <v>32</v>
      </c>
      <c r="E11926" s="4" t="s">
        <v>22</v>
      </c>
      <c r="F11926" s="4" t="s">
        <v>60235</v>
      </c>
      <c r="G11926" s="4" t="s">
        <v>60158</v>
      </c>
      <c r="H11926" s="3" t="s">
        <v>60159</v>
      </c>
      <c r="I11926" s="3" t="s">
        <v>60160</v>
      </c>
      <c r="J11926" s="3" t="s">
        <v>27619</v>
      </c>
      <c r="K11926" s="3" t="s">
        <v>60351</v>
      </c>
      <c r="L11926" s="3"/>
      <c r="M11926" s="4" t="s">
        <v>60352</v>
      </c>
      <c r="N11926" s="3" t="s">
        <v>37</v>
      </c>
      <c r="O11926" s="3" t="s">
        <v>46</v>
      </c>
      <c r="P11926" s="5">
        <v>4</v>
      </c>
      <c r="Q11926" s="5">
        <v>85</v>
      </c>
      <c r="R11926" s="5">
        <v>4</v>
      </c>
      <c r="S11926" s="5">
        <v>92</v>
      </c>
    </row>
    <row r="11927" spans="1:19" ht="28" x14ac:dyDescent="0.15">
      <c r="A11927" s="2">
        <f>HYPERLINK("https://open-school.uspishnemisto.com.ua/school/610045/", 610045)</f>
        <v>610045</v>
      </c>
      <c r="B11927" s="3" t="s">
        <v>60353</v>
      </c>
      <c r="C11927" s="3" t="s">
        <v>188</v>
      </c>
      <c r="D11927" s="3" t="s">
        <v>32</v>
      </c>
      <c r="E11927" s="4" t="s">
        <v>22</v>
      </c>
      <c r="F11927" s="4" t="s">
        <v>60163</v>
      </c>
      <c r="G11927" s="4" t="s">
        <v>60158</v>
      </c>
      <c r="H11927" s="3" t="s">
        <v>60159</v>
      </c>
      <c r="I11927" s="3" t="s">
        <v>60160</v>
      </c>
      <c r="J11927" s="3" t="s">
        <v>60354</v>
      </c>
      <c r="K11927" s="3" t="s">
        <v>60355</v>
      </c>
      <c r="L11927" s="3"/>
      <c r="M11927" s="4" t="s">
        <v>60356</v>
      </c>
      <c r="N11927" s="3" t="s">
        <v>37</v>
      </c>
      <c r="O11927" s="3" t="s">
        <v>52</v>
      </c>
      <c r="P11927" s="5">
        <v>8</v>
      </c>
      <c r="Q11927" s="5">
        <v>161</v>
      </c>
      <c r="R11927" s="5">
        <v>8</v>
      </c>
      <c r="S11927" s="5">
        <v>175</v>
      </c>
    </row>
    <row r="11928" spans="1:19" ht="28" x14ac:dyDescent="0.15">
      <c r="A11928" s="2">
        <f>HYPERLINK("https://open-school.uspishnemisto.com.ua/school/610046/", 610046)</f>
        <v>610046</v>
      </c>
      <c r="B11928" s="3" t="s">
        <v>60357</v>
      </c>
      <c r="C11928" s="3" t="s">
        <v>40</v>
      </c>
      <c r="D11928" s="3" t="s">
        <v>32</v>
      </c>
      <c r="E11928" s="4" t="s">
        <v>22</v>
      </c>
      <c r="F11928" s="4" t="s">
        <v>60358</v>
      </c>
      <c r="G11928" s="4" t="s">
        <v>60359</v>
      </c>
      <c r="H11928" s="3" t="s">
        <v>60159</v>
      </c>
      <c r="I11928" s="3" t="s">
        <v>60360</v>
      </c>
      <c r="J11928" s="3" t="s">
        <v>28396</v>
      </c>
      <c r="K11928" s="3" t="s">
        <v>60361</v>
      </c>
      <c r="L11928" s="3" t="s">
        <v>60362</v>
      </c>
      <c r="M11928" s="4" t="s">
        <v>60363</v>
      </c>
      <c r="N11928" s="3" t="s">
        <v>37</v>
      </c>
      <c r="O11928" s="3" t="s">
        <v>46</v>
      </c>
      <c r="P11928" s="5">
        <v>19</v>
      </c>
      <c r="Q11928" s="5">
        <v>521</v>
      </c>
      <c r="R11928" s="5">
        <v>19</v>
      </c>
      <c r="S11928" s="5">
        <v>477</v>
      </c>
    </row>
    <row r="11929" spans="1:19" ht="28" x14ac:dyDescent="0.15">
      <c r="A11929" s="2">
        <f>HYPERLINK("https://open-school.uspishnemisto.com.ua/school/610047/", 610047)</f>
        <v>610047</v>
      </c>
      <c r="B11929" s="3" t="s">
        <v>60364</v>
      </c>
      <c r="C11929" s="3" t="s">
        <v>31</v>
      </c>
      <c r="D11929" s="3" t="s">
        <v>32</v>
      </c>
      <c r="E11929" s="4" t="s">
        <v>22</v>
      </c>
      <c r="F11929" s="4" t="s">
        <v>60358</v>
      </c>
      <c r="G11929" s="4" t="s">
        <v>60359</v>
      </c>
      <c r="H11929" s="3" t="s">
        <v>60159</v>
      </c>
      <c r="I11929" s="3" t="s">
        <v>60360</v>
      </c>
      <c r="J11929" s="3" t="s">
        <v>60365</v>
      </c>
      <c r="K11929" s="3" t="s">
        <v>60366</v>
      </c>
      <c r="L11929" s="3"/>
      <c r="M11929" s="4"/>
      <c r="N11929" s="3" t="s">
        <v>37</v>
      </c>
      <c r="O11929" s="3" t="s">
        <v>46</v>
      </c>
      <c r="P11929" s="5">
        <v>18</v>
      </c>
      <c r="Q11929" s="5">
        <v>401</v>
      </c>
      <c r="R11929" s="5">
        <v>17</v>
      </c>
      <c r="S11929" s="5">
        <v>370</v>
      </c>
    </row>
    <row r="11930" spans="1:19" ht="28" x14ac:dyDescent="0.15">
      <c r="A11930" s="2">
        <f>HYPERLINK("https://open-school.uspishnemisto.com.ua/school/610048/", 610048)</f>
        <v>610048</v>
      </c>
      <c r="B11930" s="3" t="s">
        <v>60367</v>
      </c>
      <c r="C11930" s="3" t="s">
        <v>31</v>
      </c>
      <c r="D11930" s="3" t="s">
        <v>32</v>
      </c>
      <c r="E11930" s="4" t="s">
        <v>22</v>
      </c>
      <c r="F11930" s="4" t="s">
        <v>60358</v>
      </c>
      <c r="G11930" s="4" t="s">
        <v>60359</v>
      </c>
      <c r="H11930" s="3" t="s">
        <v>60159</v>
      </c>
      <c r="I11930" s="3" t="s">
        <v>60360</v>
      </c>
      <c r="J11930" s="3" t="s">
        <v>60368</v>
      </c>
      <c r="K11930" s="3" t="s">
        <v>60369</v>
      </c>
      <c r="L11930" s="3" t="s">
        <v>60370</v>
      </c>
      <c r="M11930" s="4"/>
      <c r="N11930" s="3" t="s">
        <v>37</v>
      </c>
      <c r="O11930" s="3" t="s">
        <v>46</v>
      </c>
      <c r="P11930" s="5">
        <v>16</v>
      </c>
      <c r="Q11930" s="5">
        <v>313</v>
      </c>
      <c r="R11930" s="5">
        <v>16</v>
      </c>
      <c r="S11930" s="5">
        <v>311</v>
      </c>
    </row>
    <row r="11931" spans="1:19" ht="28" x14ac:dyDescent="0.15">
      <c r="A11931" s="2">
        <f>HYPERLINK("https://open-school.uspishnemisto.com.ua/school/610049/", 610049)</f>
        <v>610049</v>
      </c>
      <c r="B11931" s="3" t="s">
        <v>60371</v>
      </c>
      <c r="C11931" s="3" t="s">
        <v>31</v>
      </c>
      <c r="D11931" s="3" t="s">
        <v>32</v>
      </c>
      <c r="E11931" s="4" t="s">
        <v>22</v>
      </c>
      <c r="F11931" s="4" t="s">
        <v>60358</v>
      </c>
      <c r="G11931" s="4" t="s">
        <v>60359</v>
      </c>
      <c r="H11931" s="3" t="s">
        <v>60159</v>
      </c>
      <c r="I11931" s="3" t="s">
        <v>60360</v>
      </c>
      <c r="J11931" s="3" t="s">
        <v>20228</v>
      </c>
      <c r="K11931" s="3" t="s">
        <v>60372</v>
      </c>
      <c r="L11931" s="3"/>
      <c r="M11931" s="4"/>
      <c r="N11931" s="3" t="s">
        <v>37</v>
      </c>
      <c r="O11931" s="3" t="s">
        <v>46</v>
      </c>
      <c r="P11931" s="5">
        <v>20</v>
      </c>
      <c r="Q11931" s="5">
        <v>467</v>
      </c>
      <c r="R11931" s="5">
        <v>20</v>
      </c>
      <c r="S11931" s="5">
        <v>471</v>
      </c>
    </row>
    <row r="11932" spans="1:19" ht="28" x14ac:dyDescent="0.15">
      <c r="A11932" s="2">
        <f>HYPERLINK("https://open-school.uspishnemisto.com.ua/school/610050/", 610050)</f>
        <v>610050</v>
      </c>
      <c r="B11932" s="3" t="s">
        <v>60373</v>
      </c>
      <c r="C11932" s="3" t="s">
        <v>293</v>
      </c>
      <c r="D11932" s="3" t="s">
        <v>32</v>
      </c>
      <c r="E11932" s="4" t="s">
        <v>22</v>
      </c>
      <c r="F11932" s="4" t="s">
        <v>60358</v>
      </c>
      <c r="G11932" s="4" t="s">
        <v>60359</v>
      </c>
      <c r="H11932" s="3" t="s">
        <v>60159</v>
      </c>
      <c r="I11932" s="3" t="s">
        <v>60360</v>
      </c>
      <c r="J11932" s="3" t="s">
        <v>28310</v>
      </c>
      <c r="K11932" s="3" t="s">
        <v>60374</v>
      </c>
      <c r="L11932" s="3"/>
      <c r="M11932" s="4" t="s">
        <v>60375</v>
      </c>
      <c r="N11932" s="3" t="s">
        <v>37</v>
      </c>
      <c r="O11932" s="3" t="s">
        <v>46</v>
      </c>
      <c r="P11932" s="5">
        <v>19</v>
      </c>
      <c r="Q11932" s="5">
        <v>398</v>
      </c>
      <c r="R11932" s="5">
        <v>20</v>
      </c>
      <c r="S11932" s="5">
        <v>429</v>
      </c>
    </row>
    <row r="11933" spans="1:19" ht="28" x14ac:dyDescent="0.15">
      <c r="A11933" s="2">
        <f>HYPERLINK("https://open-school.uspishnemisto.com.ua/school/610051/", 610051)</f>
        <v>610051</v>
      </c>
      <c r="B11933" s="3" t="s">
        <v>60376</v>
      </c>
      <c r="C11933" s="3" t="s">
        <v>31</v>
      </c>
      <c r="D11933" s="3" t="s">
        <v>32</v>
      </c>
      <c r="E11933" s="4" t="s">
        <v>22</v>
      </c>
      <c r="F11933" s="4" t="s">
        <v>60358</v>
      </c>
      <c r="G11933" s="4" t="s">
        <v>60359</v>
      </c>
      <c r="H11933" s="3" t="s">
        <v>60159</v>
      </c>
      <c r="I11933" s="3" t="s">
        <v>60360</v>
      </c>
      <c r="J11933" s="3" t="s">
        <v>60377</v>
      </c>
      <c r="K11933" s="3" t="s">
        <v>60378</v>
      </c>
      <c r="L11933" s="3" t="s">
        <v>60379</v>
      </c>
      <c r="M11933" s="4"/>
      <c r="N11933" s="3" t="s">
        <v>37</v>
      </c>
      <c r="O11933" s="3" t="s">
        <v>52</v>
      </c>
      <c r="P11933" s="5">
        <v>33</v>
      </c>
      <c r="Q11933" s="5">
        <v>841</v>
      </c>
      <c r="R11933" s="5">
        <v>33</v>
      </c>
      <c r="S11933" s="5">
        <v>811</v>
      </c>
    </row>
    <row r="11934" spans="1:19" ht="28" x14ac:dyDescent="0.15">
      <c r="A11934" s="2">
        <f>HYPERLINK("https://open-school.uspishnemisto.com.ua/school/610052/", 610052)</f>
        <v>610052</v>
      </c>
      <c r="B11934" s="3" t="s">
        <v>60380</v>
      </c>
      <c r="C11934" s="3" t="s">
        <v>31</v>
      </c>
      <c r="D11934" s="3" t="s">
        <v>32</v>
      </c>
      <c r="E11934" s="4" t="s">
        <v>22</v>
      </c>
      <c r="F11934" s="4" t="s">
        <v>60381</v>
      </c>
      <c r="G11934" s="4" t="s">
        <v>60382</v>
      </c>
      <c r="H11934" s="3" t="s">
        <v>60159</v>
      </c>
      <c r="I11934" s="3" t="s">
        <v>1899</v>
      </c>
      <c r="J11934" s="3" t="s">
        <v>60383</v>
      </c>
      <c r="K11934" s="3" t="s">
        <v>60384</v>
      </c>
      <c r="L11934" s="3"/>
      <c r="M11934" s="4"/>
      <c r="N11934" s="3" t="s">
        <v>37</v>
      </c>
      <c r="O11934" s="3" t="s">
        <v>46</v>
      </c>
      <c r="P11934" s="5">
        <v>33</v>
      </c>
      <c r="Q11934" s="5">
        <v>767</v>
      </c>
      <c r="R11934" s="5">
        <v>34</v>
      </c>
      <c r="S11934" s="5">
        <v>789</v>
      </c>
    </row>
    <row r="11935" spans="1:19" ht="28" x14ac:dyDescent="0.15">
      <c r="A11935" s="2">
        <f>HYPERLINK("https://open-school.uspishnemisto.com.ua/school/610053/", 610053)</f>
        <v>610053</v>
      </c>
      <c r="B11935" s="3" t="s">
        <v>60385</v>
      </c>
      <c r="C11935" s="3" t="s">
        <v>31</v>
      </c>
      <c r="D11935" s="3" t="s">
        <v>32</v>
      </c>
      <c r="E11935" s="4" t="s">
        <v>22</v>
      </c>
      <c r="F11935" s="4" t="s">
        <v>60381</v>
      </c>
      <c r="G11935" s="4" t="s">
        <v>60382</v>
      </c>
      <c r="H11935" s="3" t="s">
        <v>60159</v>
      </c>
      <c r="I11935" s="3" t="s">
        <v>1899</v>
      </c>
      <c r="J11935" s="3" t="s">
        <v>60386</v>
      </c>
      <c r="K11935" s="3" t="s">
        <v>60387</v>
      </c>
      <c r="L11935" s="3" t="s">
        <v>60388</v>
      </c>
      <c r="M11935" s="4"/>
      <c r="N11935" s="3" t="s">
        <v>37</v>
      </c>
      <c r="O11935" s="3" t="s">
        <v>46</v>
      </c>
      <c r="P11935" s="5">
        <v>20</v>
      </c>
      <c r="Q11935" s="5">
        <v>389</v>
      </c>
      <c r="R11935" s="5">
        <v>20</v>
      </c>
      <c r="S11935" s="5">
        <v>397</v>
      </c>
    </row>
    <row r="11936" spans="1:19" ht="28" x14ac:dyDescent="0.15">
      <c r="A11936" s="2">
        <f>HYPERLINK("https://open-school.uspishnemisto.com.ua/school/610054/", 610054)</f>
        <v>610054</v>
      </c>
      <c r="B11936" s="3" t="s">
        <v>60389</v>
      </c>
      <c r="C11936" s="3" t="s">
        <v>31</v>
      </c>
      <c r="D11936" s="3" t="s">
        <v>32</v>
      </c>
      <c r="E11936" s="4" t="s">
        <v>22</v>
      </c>
      <c r="F11936" s="4" t="s">
        <v>60381</v>
      </c>
      <c r="G11936" s="4" t="s">
        <v>60382</v>
      </c>
      <c r="H11936" s="3" t="s">
        <v>60159</v>
      </c>
      <c r="I11936" s="3" t="s">
        <v>1899</v>
      </c>
      <c r="J11936" s="3" t="s">
        <v>17722</v>
      </c>
      <c r="K11936" s="3" t="s">
        <v>60390</v>
      </c>
      <c r="L11936" s="3"/>
      <c r="M11936" s="4"/>
      <c r="N11936" s="3" t="s">
        <v>37</v>
      </c>
      <c r="O11936" s="3" t="s">
        <v>46</v>
      </c>
      <c r="P11936" s="5">
        <v>21</v>
      </c>
      <c r="Q11936" s="5">
        <v>454</v>
      </c>
      <c r="R11936" s="5">
        <v>20</v>
      </c>
      <c r="S11936" s="5">
        <v>457</v>
      </c>
    </row>
    <row r="11937" spans="1:19" ht="42" x14ac:dyDescent="0.15">
      <c r="A11937" s="2">
        <f>HYPERLINK("https://open-school.uspishnemisto.com.ua/school/610055/", 610055)</f>
        <v>610055</v>
      </c>
      <c r="B11937" s="3" t="s">
        <v>60391</v>
      </c>
      <c r="C11937" s="3" t="s">
        <v>293</v>
      </c>
      <c r="D11937" s="3" t="s">
        <v>32</v>
      </c>
      <c r="E11937" s="4" t="s">
        <v>22</v>
      </c>
      <c r="F11937" s="4" t="s">
        <v>60381</v>
      </c>
      <c r="G11937" s="4" t="s">
        <v>60382</v>
      </c>
      <c r="H11937" s="3" t="s">
        <v>60159</v>
      </c>
      <c r="I11937" s="3" t="s">
        <v>1899</v>
      </c>
      <c r="J11937" s="3" t="s">
        <v>60392</v>
      </c>
      <c r="K11937" s="3" t="s">
        <v>60393</v>
      </c>
      <c r="L11937" s="3" t="s">
        <v>60394</v>
      </c>
      <c r="M11937" s="4" t="s">
        <v>60395</v>
      </c>
      <c r="N11937" s="3" t="s">
        <v>37</v>
      </c>
      <c r="O11937" s="3" t="s">
        <v>52</v>
      </c>
      <c r="P11937" s="5">
        <v>3</v>
      </c>
      <c r="Q11937" s="5">
        <v>22</v>
      </c>
      <c r="R11937" s="5">
        <v>4</v>
      </c>
      <c r="S11937" s="5">
        <v>30</v>
      </c>
    </row>
    <row r="11938" spans="1:19" ht="28" x14ac:dyDescent="0.15">
      <c r="A11938" s="2">
        <f>HYPERLINK("https://open-school.uspishnemisto.com.ua/school/610056/", 610056)</f>
        <v>610056</v>
      </c>
      <c r="B11938" s="3" t="s">
        <v>60396</v>
      </c>
      <c r="C11938" s="3" t="s">
        <v>244</v>
      </c>
      <c r="D11938" s="3" t="s">
        <v>60</v>
      </c>
      <c r="E11938" s="4" t="s">
        <v>22</v>
      </c>
      <c r="F11938" s="4" t="s">
        <v>60381</v>
      </c>
      <c r="G11938" s="4" t="s">
        <v>60382</v>
      </c>
      <c r="H11938" s="3" t="s">
        <v>60159</v>
      </c>
      <c r="I11938" s="3" t="s">
        <v>1899</v>
      </c>
      <c r="J11938" s="3" t="s">
        <v>60397</v>
      </c>
      <c r="K11938" s="3" t="s">
        <v>60398</v>
      </c>
      <c r="L11938" s="3"/>
      <c r="M11938" s="4"/>
      <c r="N11938" s="3" t="s">
        <v>37</v>
      </c>
      <c r="O11938" s="3" t="s">
        <v>52</v>
      </c>
      <c r="P11938" s="5">
        <v>5</v>
      </c>
      <c r="Q11938" s="5">
        <v>84</v>
      </c>
      <c r="R11938" s="5">
        <v>5</v>
      </c>
      <c r="S11938" s="5">
        <v>91</v>
      </c>
    </row>
    <row r="11939" spans="1:19" ht="28" x14ac:dyDescent="0.15">
      <c r="A11939" s="2">
        <f>HYPERLINK("https://open-school.uspishnemisto.com.ua/school/610057/", 610057)</f>
        <v>610057</v>
      </c>
      <c r="B11939" s="3" t="s">
        <v>60399</v>
      </c>
      <c r="C11939" s="3" t="s">
        <v>40</v>
      </c>
      <c r="D11939" s="3" t="s">
        <v>32</v>
      </c>
      <c r="E11939" s="4" t="s">
        <v>22</v>
      </c>
      <c r="F11939" s="4" t="s">
        <v>60381</v>
      </c>
      <c r="G11939" s="4" t="s">
        <v>60382</v>
      </c>
      <c r="H11939" s="3" t="s">
        <v>60159</v>
      </c>
      <c r="I11939" s="3" t="s">
        <v>1899</v>
      </c>
      <c r="J11939" s="3" t="s">
        <v>60400</v>
      </c>
      <c r="K11939" s="3" t="s">
        <v>60401</v>
      </c>
      <c r="L11939" s="3" t="s">
        <v>60402</v>
      </c>
      <c r="M11939" s="4"/>
      <c r="N11939" s="3" t="s">
        <v>37</v>
      </c>
      <c r="O11939" s="3" t="s">
        <v>46</v>
      </c>
      <c r="P11939" s="5">
        <v>9</v>
      </c>
      <c r="Q11939" s="5">
        <v>194</v>
      </c>
      <c r="R11939" s="5">
        <v>8</v>
      </c>
      <c r="S11939" s="5">
        <v>186</v>
      </c>
    </row>
    <row r="11940" spans="1:19" ht="28" x14ac:dyDescent="0.15">
      <c r="A11940" s="2">
        <f>HYPERLINK("https://open-school.uspishnemisto.com.ua/school/610059/", 610059)</f>
        <v>610059</v>
      </c>
      <c r="B11940" s="3" t="s">
        <v>60403</v>
      </c>
      <c r="C11940" s="3" t="s">
        <v>31</v>
      </c>
      <c r="D11940" s="3" t="s">
        <v>60</v>
      </c>
      <c r="E11940" s="4" t="s">
        <v>22</v>
      </c>
      <c r="F11940" s="4" t="s">
        <v>60381</v>
      </c>
      <c r="G11940" s="4" t="s">
        <v>60404</v>
      </c>
      <c r="H11940" s="3" t="s">
        <v>60159</v>
      </c>
      <c r="I11940" s="3" t="s">
        <v>32897</v>
      </c>
      <c r="J11940" s="3" t="s">
        <v>60405</v>
      </c>
      <c r="K11940" s="3" t="s">
        <v>60406</v>
      </c>
      <c r="L11940" s="3"/>
      <c r="M11940" s="4"/>
      <c r="N11940" s="3" t="s">
        <v>37</v>
      </c>
      <c r="O11940" s="3" t="s">
        <v>52</v>
      </c>
      <c r="P11940" s="5">
        <v>3</v>
      </c>
      <c r="Q11940" s="5">
        <v>24</v>
      </c>
      <c r="R11940" s="5">
        <v>4</v>
      </c>
      <c r="S11940" s="5">
        <v>23</v>
      </c>
    </row>
    <row r="11941" spans="1:19" ht="28" x14ac:dyDescent="0.15">
      <c r="A11941" s="2">
        <f>HYPERLINK("https://open-school.uspishnemisto.com.ua/school/610060/", 610060)</f>
        <v>610060</v>
      </c>
      <c r="B11941" s="3" t="s">
        <v>60407</v>
      </c>
      <c r="C11941" s="3" t="s">
        <v>31</v>
      </c>
      <c r="D11941" s="3" t="s">
        <v>60</v>
      </c>
      <c r="E11941" s="4" t="s">
        <v>22</v>
      </c>
      <c r="F11941" s="4" t="s">
        <v>60381</v>
      </c>
      <c r="G11941" s="4" t="s">
        <v>60408</v>
      </c>
      <c r="H11941" s="3" t="s">
        <v>60159</v>
      </c>
      <c r="I11941" s="3" t="s">
        <v>60409</v>
      </c>
      <c r="J11941" s="3" t="s">
        <v>60410</v>
      </c>
      <c r="K11941" s="3" t="s">
        <v>60411</v>
      </c>
      <c r="L11941" s="3"/>
      <c r="M11941" s="4"/>
      <c r="N11941" s="3" t="s">
        <v>37</v>
      </c>
      <c r="O11941" s="3" t="s">
        <v>52</v>
      </c>
      <c r="P11941" s="5">
        <v>3</v>
      </c>
      <c r="Q11941" s="5">
        <v>21</v>
      </c>
      <c r="R11941" s="5">
        <v>4</v>
      </c>
      <c r="S11941" s="5">
        <v>25</v>
      </c>
    </row>
    <row r="11942" spans="1:19" ht="28" x14ac:dyDescent="0.15">
      <c r="A11942" s="2">
        <f>HYPERLINK("https://open-school.uspishnemisto.com.ua/school/610061/", 610061)</f>
        <v>610061</v>
      </c>
      <c r="B11942" s="3" t="s">
        <v>60412</v>
      </c>
      <c r="C11942" s="3" t="s">
        <v>31</v>
      </c>
      <c r="D11942" s="3" t="s">
        <v>32</v>
      </c>
      <c r="E11942" s="4" t="s">
        <v>22</v>
      </c>
      <c r="F11942" s="4" t="s">
        <v>60413</v>
      </c>
      <c r="G11942" s="4" t="s">
        <v>60414</v>
      </c>
      <c r="H11942" s="3" t="s">
        <v>60159</v>
      </c>
      <c r="I11942" s="3" t="s">
        <v>7962</v>
      </c>
      <c r="J11942" s="3" t="s">
        <v>60415</v>
      </c>
      <c r="K11942" s="3" t="s">
        <v>60416</v>
      </c>
      <c r="L11942" s="3"/>
      <c r="M11942" s="4" t="s">
        <v>60417</v>
      </c>
      <c r="N11942" s="3" t="s">
        <v>37</v>
      </c>
      <c r="O11942" s="3" t="s">
        <v>46</v>
      </c>
      <c r="P11942" s="5">
        <v>20</v>
      </c>
      <c r="Q11942" s="5">
        <v>427</v>
      </c>
      <c r="R11942" s="5">
        <v>20</v>
      </c>
      <c r="S11942" s="5">
        <v>427</v>
      </c>
    </row>
    <row r="11943" spans="1:19" ht="28" x14ac:dyDescent="0.15">
      <c r="A11943" s="2">
        <f>HYPERLINK("https://open-school.uspishnemisto.com.ua/school/610062/", 610062)</f>
        <v>610062</v>
      </c>
      <c r="B11943" s="3" t="s">
        <v>60418</v>
      </c>
      <c r="C11943" s="3" t="s">
        <v>31</v>
      </c>
      <c r="D11943" s="3" t="s">
        <v>32</v>
      </c>
      <c r="E11943" s="4" t="s">
        <v>22</v>
      </c>
      <c r="F11943" s="4" t="s">
        <v>60413</v>
      </c>
      <c r="G11943" s="4" t="s">
        <v>60414</v>
      </c>
      <c r="H11943" s="3" t="s">
        <v>60159</v>
      </c>
      <c r="I11943" s="3" t="s">
        <v>7962</v>
      </c>
      <c r="J11943" s="3" t="s">
        <v>60419</v>
      </c>
      <c r="K11943" s="3" t="s">
        <v>60420</v>
      </c>
      <c r="L11943" s="3"/>
      <c r="M11943" s="4" t="s">
        <v>60421</v>
      </c>
      <c r="N11943" s="3" t="s">
        <v>37</v>
      </c>
      <c r="O11943" s="3" t="s">
        <v>46</v>
      </c>
      <c r="P11943" s="5">
        <v>17</v>
      </c>
      <c r="Q11943" s="5">
        <v>345</v>
      </c>
      <c r="R11943" s="5">
        <v>18</v>
      </c>
      <c r="S11943" s="5">
        <v>336</v>
      </c>
    </row>
    <row r="11944" spans="1:19" ht="28" x14ac:dyDescent="0.15">
      <c r="A11944" s="2">
        <f>HYPERLINK("https://open-school.uspishnemisto.com.ua/school/610063/", 610063)</f>
        <v>610063</v>
      </c>
      <c r="B11944" s="3" t="s">
        <v>60422</v>
      </c>
      <c r="C11944" s="3" t="s">
        <v>31</v>
      </c>
      <c r="D11944" s="3" t="s">
        <v>32</v>
      </c>
      <c r="E11944" s="4" t="s">
        <v>22</v>
      </c>
      <c r="F11944" s="4" t="s">
        <v>60423</v>
      </c>
      <c r="G11944" s="4" t="s">
        <v>60414</v>
      </c>
      <c r="H11944" s="3" t="s">
        <v>60159</v>
      </c>
      <c r="I11944" s="3" t="s">
        <v>7962</v>
      </c>
      <c r="J11944" s="3" t="s">
        <v>60424</v>
      </c>
      <c r="K11944" s="3" t="s">
        <v>60425</v>
      </c>
      <c r="L11944" s="3" t="s">
        <v>60426</v>
      </c>
      <c r="M11944" s="4" t="s">
        <v>60427</v>
      </c>
      <c r="N11944" s="3" t="s">
        <v>37</v>
      </c>
      <c r="O11944" s="3" t="s">
        <v>46</v>
      </c>
      <c r="P11944" s="5">
        <v>19</v>
      </c>
      <c r="Q11944" s="5">
        <v>386</v>
      </c>
      <c r="R11944" s="5">
        <v>19</v>
      </c>
      <c r="S11944" s="5">
        <v>378</v>
      </c>
    </row>
    <row r="11945" spans="1:19" ht="28" x14ac:dyDescent="0.15">
      <c r="A11945" s="2">
        <f>HYPERLINK("https://open-school.uspishnemisto.com.ua/school/610064/", 610064)</f>
        <v>610064</v>
      </c>
      <c r="B11945" s="3" t="s">
        <v>60428</v>
      </c>
      <c r="C11945" s="3" t="s">
        <v>293</v>
      </c>
      <c r="D11945" s="3" t="s">
        <v>32</v>
      </c>
      <c r="E11945" s="4" t="s">
        <v>22</v>
      </c>
      <c r="F11945" s="4" t="s">
        <v>60429</v>
      </c>
      <c r="G11945" s="4" t="s">
        <v>60414</v>
      </c>
      <c r="H11945" s="3" t="s">
        <v>60159</v>
      </c>
      <c r="I11945" s="3" t="s">
        <v>7962</v>
      </c>
      <c r="J11945" s="3" t="s">
        <v>60430</v>
      </c>
      <c r="K11945" s="3" t="s">
        <v>60431</v>
      </c>
      <c r="L11945" s="3" t="s">
        <v>60432</v>
      </c>
      <c r="M11945" s="4" t="s">
        <v>60433</v>
      </c>
      <c r="N11945" s="3" t="s">
        <v>37</v>
      </c>
      <c r="O11945" s="3" t="s">
        <v>46</v>
      </c>
      <c r="P11945" s="5">
        <v>22</v>
      </c>
      <c r="Q11945" s="5">
        <v>554</v>
      </c>
      <c r="R11945" s="5">
        <v>21</v>
      </c>
      <c r="S11945" s="5">
        <v>530</v>
      </c>
    </row>
    <row r="11946" spans="1:19" ht="28" x14ac:dyDescent="0.15">
      <c r="A11946" s="2">
        <f>HYPERLINK("https://open-school.uspishnemisto.com.ua/school/610065/", 610065)</f>
        <v>610065</v>
      </c>
      <c r="B11946" s="3" t="s">
        <v>60434</v>
      </c>
      <c r="C11946" s="3" t="s">
        <v>244</v>
      </c>
      <c r="D11946" s="3" t="s">
        <v>32</v>
      </c>
      <c r="E11946" s="4" t="s">
        <v>22</v>
      </c>
      <c r="F11946" s="4" t="s">
        <v>60413</v>
      </c>
      <c r="G11946" s="4" t="s">
        <v>60414</v>
      </c>
      <c r="H11946" s="3" t="s">
        <v>60159</v>
      </c>
      <c r="I11946" s="3" t="s">
        <v>7962</v>
      </c>
      <c r="J11946" s="3" t="s">
        <v>60435</v>
      </c>
      <c r="K11946" s="3" t="s">
        <v>60436</v>
      </c>
      <c r="L11946" s="3"/>
      <c r="M11946" s="4" t="s">
        <v>60437</v>
      </c>
      <c r="N11946" s="3" t="s">
        <v>37</v>
      </c>
      <c r="O11946" s="3" t="s">
        <v>46</v>
      </c>
      <c r="P11946" s="5">
        <v>13</v>
      </c>
      <c r="Q11946" s="5">
        <v>259</v>
      </c>
      <c r="R11946" s="5">
        <v>13</v>
      </c>
      <c r="S11946" s="5">
        <v>241</v>
      </c>
    </row>
    <row r="11947" spans="1:19" ht="28" x14ac:dyDescent="0.15">
      <c r="A11947" s="2">
        <f>HYPERLINK("https://open-school.uspishnemisto.com.ua/school/610066/", 610066)</f>
        <v>610066</v>
      </c>
      <c r="B11947" s="3" t="s">
        <v>60438</v>
      </c>
      <c r="C11947" s="3" t="s">
        <v>188</v>
      </c>
      <c r="D11947" s="3" t="s">
        <v>32</v>
      </c>
      <c r="E11947" s="4" t="s">
        <v>22</v>
      </c>
      <c r="F11947" s="4" t="s">
        <v>60413</v>
      </c>
      <c r="G11947" s="4" t="s">
        <v>60414</v>
      </c>
      <c r="H11947" s="3" t="s">
        <v>60159</v>
      </c>
      <c r="I11947" s="3" t="s">
        <v>7962</v>
      </c>
      <c r="J11947" s="3" t="s">
        <v>60439</v>
      </c>
      <c r="K11947" s="3" t="s">
        <v>60440</v>
      </c>
      <c r="L11947" s="3"/>
      <c r="M11947" s="4" t="s">
        <v>60441</v>
      </c>
      <c r="N11947" s="3" t="s">
        <v>37</v>
      </c>
      <c r="O11947" s="3" t="s">
        <v>237</v>
      </c>
      <c r="P11947" s="5">
        <v>12</v>
      </c>
      <c r="Q11947" s="5">
        <v>255</v>
      </c>
      <c r="R11947" s="5">
        <v>12</v>
      </c>
      <c r="S11947" s="5">
        <v>236</v>
      </c>
    </row>
    <row r="11948" spans="1:19" ht="42" x14ac:dyDescent="0.15">
      <c r="A11948" s="2">
        <f>HYPERLINK("https://open-school.uspishnemisto.com.ua/school/610067/", 610067)</f>
        <v>610067</v>
      </c>
      <c r="B11948" s="3" t="s">
        <v>60442</v>
      </c>
      <c r="C11948" s="3" t="s">
        <v>54</v>
      </c>
      <c r="D11948" s="3" t="s">
        <v>32</v>
      </c>
      <c r="E11948" s="4" t="s">
        <v>22</v>
      </c>
      <c r="F11948" s="4" t="s">
        <v>60429</v>
      </c>
      <c r="G11948" s="4" t="s">
        <v>60414</v>
      </c>
      <c r="H11948" s="3" t="s">
        <v>60159</v>
      </c>
      <c r="I11948" s="3" t="s">
        <v>7962</v>
      </c>
      <c r="J11948" s="3" t="s">
        <v>60443</v>
      </c>
      <c r="K11948" s="3" t="s">
        <v>60444</v>
      </c>
      <c r="L11948" s="3"/>
      <c r="M11948" s="4" t="s">
        <v>60445</v>
      </c>
      <c r="N11948" s="3" t="s">
        <v>37</v>
      </c>
      <c r="O11948" s="3" t="s">
        <v>52</v>
      </c>
      <c r="P11948" s="5">
        <v>12</v>
      </c>
      <c r="Q11948" s="5">
        <v>225</v>
      </c>
      <c r="R11948" s="5">
        <v>12</v>
      </c>
      <c r="S11948" s="5">
        <v>231</v>
      </c>
    </row>
    <row r="11949" spans="1:19" ht="56" x14ac:dyDescent="0.15">
      <c r="A11949" s="2">
        <f>HYPERLINK("https://open-school.uspishnemisto.com.ua/school/610069/", 610069)</f>
        <v>610069</v>
      </c>
      <c r="B11949" s="3" t="s">
        <v>60446</v>
      </c>
      <c r="C11949" s="3" t="s">
        <v>54</v>
      </c>
      <c r="D11949" s="3" t="s">
        <v>32</v>
      </c>
      <c r="E11949" s="4" t="s">
        <v>22</v>
      </c>
      <c r="F11949" s="4" t="s">
        <v>60447</v>
      </c>
      <c r="G11949" s="4" t="s">
        <v>60414</v>
      </c>
      <c r="H11949" s="3" t="s">
        <v>60159</v>
      </c>
      <c r="I11949" s="3" t="s">
        <v>7962</v>
      </c>
      <c r="J11949" s="3" t="s">
        <v>60448</v>
      </c>
      <c r="K11949" s="3" t="s">
        <v>60449</v>
      </c>
      <c r="L11949" s="3"/>
      <c r="M11949" s="4" t="s">
        <v>60450</v>
      </c>
      <c r="N11949" s="3" t="s">
        <v>37</v>
      </c>
      <c r="O11949" s="3" t="s">
        <v>46</v>
      </c>
      <c r="P11949" s="5">
        <v>16</v>
      </c>
      <c r="Q11949" s="5">
        <v>305</v>
      </c>
      <c r="R11949" s="5">
        <v>15</v>
      </c>
      <c r="S11949" s="5">
        <v>267</v>
      </c>
    </row>
    <row r="11950" spans="1:19" ht="56" x14ac:dyDescent="0.15">
      <c r="A11950" s="2">
        <f>HYPERLINK("https://open-school.uspishnemisto.com.ua/school/610070/", 610070)</f>
        <v>610070</v>
      </c>
      <c r="B11950" s="3" t="s">
        <v>60451</v>
      </c>
      <c r="C11950" s="3" t="s">
        <v>54</v>
      </c>
      <c r="D11950" s="3" t="s">
        <v>175</v>
      </c>
      <c r="E11950" s="4" t="s">
        <v>22</v>
      </c>
      <c r="F11950" s="4" t="s">
        <v>60452</v>
      </c>
      <c r="G11950" s="4" t="s">
        <v>60453</v>
      </c>
      <c r="H11950" s="3" t="s">
        <v>60159</v>
      </c>
      <c r="I11950" s="3" t="s">
        <v>60454</v>
      </c>
      <c r="J11950" s="3" t="s">
        <v>27802</v>
      </c>
      <c r="K11950" s="3"/>
      <c r="L11950" s="3"/>
      <c r="M11950" s="4"/>
      <c r="N11950" s="3" t="s">
        <v>37</v>
      </c>
      <c r="O11950" s="3" t="s">
        <v>46</v>
      </c>
      <c r="P11950" s="5">
        <v>8</v>
      </c>
      <c r="Q11950" s="5">
        <v>67</v>
      </c>
      <c r="R11950" s="5">
        <v>8</v>
      </c>
      <c r="S11950" s="5">
        <v>63</v>
      </c>
    </row>
    <row r="11951" spans="1:19" ht="42" x14ac:dyDescent="0.15">
      <c r="A11951" s="2">
        <f>HYPERLINK("https://open-school.uspishnemisto.com.ua/school/610071/", 610071)</f>
        <v>610071</v>
      </c>
      <c r="B11951" s="3" t="s">
        <v>60455</v>
      </c>
      <c r="C11951" s="3" t="s">
        <v>54</v>
      </c>
      <c r="D11951" s="3" t="s">
        <v>175</v>
      </c>
      <c r="E11951" s="4" t="s">
        <v>22</v>
      </c>
      <c r="F11951" s="4" t="s">
        <v>60456</v>
      </c>
      <c r="G11951" s="4" t="s">
        <v>60457</v>
      </c>
      <c r="H11951" s="3" t="s">
        <v>60159</v>
      </c>
      <c r="I11951" s="3" t="s">
        <v>60458</v>
      </c>
      <c r="J11951" s="3" t="s">
        <v>60459</v>
      </c>
      <c r="K11951" s="3" t="s">
        <v>60460</v>
      </c>
      <c r="L11951" s="3"/>
      <c r="M11951" s="4"/>
      <c r="N11951" s="3" t="s">
        <v>37</v>
      </c>
      <c r="O11951" s="3" t="s">
        <v>46</v>
      </c>
      <c r="P11951" s="5">
        <v>8</v>
      </c>
      <c r="Q11951" s="5">
        <v>43</v>
      </c>
      <c r="R11951" s="5">
        <v>8</v>
      </c>
      <c r="S11951" s="5">
        <v>43</v>
      </c>
    </row>
    <row r="11952" spans="1:19" ht="56" x14ac:dyDescent="0.15">
      <c r="A11952" s="2">
        <f>HYPERLINK("https://open-school.uspishnemisto.com.ua/school/610072/", 610072)</f>
        <v>610072</v>
      </c>
      <c r="B11952" s="3" t="s">
        <v>60461</v>
      </c>
      <c r="C11952" s="3" t="s">
        <v>54</v>
      </c>
      <c r="D11952" s="3" t="s">
        <v>60</v>
      </c>
      <c r="E11952" s="4" t="s">
        <v>22</v>
      </c>
      <c r="F11952" s="4" t="s">
        <v>60462</v>
      </c>
      <c r="G11952" s="4" t="s">
        <v>60463</v>
      </c>
      <c r="H11952" s="3" t="s">
        <v>60159</v>
      </c>
      <c r="I11952" s="3" t="s">
        <v>60464</v>
      </c>
      <c r="J11952" s="3" t="s">
        <v>60465</v>
      </c>
      <c r="K11952" s="3" t="s">
        <v>60466</v>
      </c>
      <c r="L11952" s="3"/>
      <c r="M11952" s="4"/>
      <c r="N11952" s="3" t="s">
        <v>37</v>
      </c>
      <c r="O11952" s="3" t="s">
        <v>52</v>
      </c>
      <c r="P11952" s="5">
        <v>0</v>
      </c>
      <c r="Q11952" s="5">
        <v>0</v>
      </c>
      <c r="R11952" s="5">
        <v>0</v>
      </c>
      <c r="S11952" s="5">
        <v>10</v>
      </c>
    </row>
    <row r="11953" spans="1:19" ht="28" x14ac:dyDescent="0.15">
      <c r="A11953" s="2">
        <f>HYPERLINK("https://open-school.uspishnemisto.com.ua/school/610073/", 610073)</f>
        <v>610073</v>
      </c>
      <c r="B11953" s="3" t="s">
        <v>60467</v>
      </c>
      <c r="C11953" s="3" t="s">
        <v>31</v>
      </c>
      <c r="D11953" s="3" t="s">
        <v>32</v>
      </c>
      <c r="E11953" s="4" t="s">
        <v>22</v>
      </c>
      <c r="F11953" s="4" t="s">
        <v>60468</v>
      </c>
      <c r="G11953" s="4" t="s">
        <v>60469</v>
      </c>
      <c r="H11953" s="3" t="s">
        <v>60159</v>
      </c>
      <c r="I11953" s="3" t="s">
        <v>30190</v>
      </c>
      <c r="J11953" s="3"/>
      <c r="K11953" s="3" t="s">
        <v>60470</v>
      </c>
      <c r="L11953" s="3"/>
      <c r="M11953" s="4"/>
      <c r="N11953" s="3" t="s">
        <v>37</v>
      </c>
      <c r="O11953" s="3" t="s">
        <v>46</v>
      </c>
      <c r="P11953" s="5">
        <v>10</v>
      </c>
      <c r="Q11953" s="5">
        <v>138</v>
      </c>
      <c r="R11953" s="5">
        <v>11</v>
      </c>
      <c r="S11953" s="5">
        <v>146</v>
      </c>
    </row>
    <row r="11954" spans="1:19" ht="28" x14ac:dyDescent="0.15">
      <c r="A11954" s="2">
        <f>HYPERLINK("https://open-school.uspishnemisto.com.ua/school/610074/", 610074)</f>
        <v>610074</v>
      </c>
      <c r="B11954" s="3" t="s">
        <v>60471</v>
      </c>
      <c r="C11954" s="3" t="s">
        <v>31</v>
      </c>
      <c r="D11954" s="3" t="s">
        <v>60</v>
      </c>
      <c r="E11954" s="4" t="s">
        <v>22</v>
      </c>
      <c r="F11954" s="4" t="s">
        <v>60468</v>
      </c>
      <c r="G11954" s="4" t="s">
        <v>60472</v>
      </c>
      <c r="H11954" s="3" t="s">
        <v>60159</v>
      </c>
      <c r="I11954" s="3" t="s">
        <v>60473</v>
      </c>
      <c r="J11954" s="3"/>
      <c r="K11954" s="3" t="s">
        <v>60470</v>
      </c>
      <c r="L11954" s="3"/>
      <c r="M11954" s="4"/>
      <c r="N11954" s="3" t="s">
        <v>37</v>
      </c>
      <c r="O11954" s="3" t="s">
        <v>52</v>
      </c>
      <c r="P11954" s="5">
        <v>0</v>
      </c>
      <c r="Q11954" s="5">
        <v>10</v>
      </c>
      <c r="R11954" s="5">
        <v>0</v>
      </c>
      <c r="S11954" s="5">
        <v>9</v>
      </c>
    </row>
    <row r="11955" spans="1:19" ht="28" x14ac:dyDescent="0.15">
      <c r="A11955" s="2">
        <f>HYPERLINK("https://open-school.uspishnemisto.com.ua/school/610075/", 610075)</f>
        <v>610075</v>
      </c>
      <c r="B11955" s="3" t="s">
        <v>60474</v>
      </c>
      <c r="C11955" s="3" t="s">
        <v>31</v>
      </c>
      <c r="D11955" s="3" t="s">
        <v>60</v>
      </c>
      <c r="E11955" s="4" t="s">
        <v>22</v>
      </c>
      <c r="F11955" s="4" t="s">
        <v>60468</v>
      </c>
      <c r="G11955" s="4" t="s">
        <v>60475</v>
      </c>
      <c r="H11955" s="3" t="s">
        <v>60159</v>
      </c>
      <c r="I11955" s="3" t="s">
        <v>2404</v>
      </c>
      <c r="J11955" s="3"/>
      <c r="K11955" s="3" t="s">
        <v>60470</v>
      </c>
      <c r="L11955" s="3"/>
      <c r="M11955" s="4"/>
      <c r="N11955" s="3" t="s">
        <v>37</v>
      </c>
      <c r="O11955" s="3" t="s">
        <v>52</v>
      </c>
      <c r="P11955" s="5">
        <v>0</v>
      </c>
      <c r="Q11955" s="5">
        <v>9</v>
      </c>
      <c r="R11955" s="5">
        <v>0</v>
      </c>
      <c r="S11955" s="5">
        <v>11</v>
      </c>
    </row>
    <row r="11956" spans="1:19" ht="42" x14ac:dyDescent="0.15">
      <c r="A11956" s="2">
        <f>HYPERLINK("https://open-school.uspishnemisto.com.ua/school/610076/", 610076)</f>
        <v>610076</v>
      </c>
      <c r="B11956" s="3" t="s">
        <v>60476</v>
      </c>
      <c r="C11956" s="3" t="s">
        <v>31</v>
      </c>
      <c r="D11956" s="3" t="s">
        <v>175</v>
      </c>
      <c r="E11956" s="4" t="s">
        <v>22</v>
      </c>
      <c r="F11956" s="4" t="s">
        <v>60477</v>
      </c>
      <c r="G11956" s="4" t="s">
        <v>60478</v>
      </c>
      <c r="H11956" s="3" t="s">
        <v>60159</v>
      </c>
      <c r="I11956" s="3" t="s">
        <v>6133</v>
      </c>
      <c r="J11956" s="3" t="s">
        <v>1417</v>
      </c>
      <c r="K11956" s="3" t="s">
        <v>60479</v>
      </c>
      <c r="L11956" s="3"/>
      <c r="M11956" s="4"/>
      <c r="N11956" s="3" t="s">
        <v>37</v>
      </c>
      <c r="O11956" s="3" t="s">
        <v>46</v>
      </c>
      <c r="P11956" s="5">
        <v>6</v>
      </c>
      <c r="Q11956" s="5">
        <v>39</v>
      </c>
      <c r="R11956" s="5">
        <v>5</v>
      </c>
      <c r="S11956" s="5">
        <v>37</v>
      </c>
    </row>
    <row r="11957" spans="1:19" ht="42" x14ac:dyDescent="0.15">
      <c r="A11957" s="2">
        <f>HYPERLINK("https://open-school.uspishnemisto.com.ua/school/610077/", 610077)</f>
        <v>610077</v>
      </c>
      <c r="B11957" s="3" t="s">
        <v>60480</v>
      </c>
      <c r="C11957" s="3" t="s">
        <v>54</v>
      </c>
      <c r="D11957" s="3" t="s">
        <v>32</v>
      </c>
      <c r="E11957" s="4" t="s">
        <v>22</v>
      </c>
      <c r="F11957" s="4" t="s">
        <v>60481</v>
      </c>
      <c r="G11957" s="4" t="s">
        <v>60482</v>
      </c>
      <c r="H11957" s="3" t="s">
        <v>60159</v>
      </c>
      <c r="I11957" s="3" t="s">
        <v>60483</v>
      </c>
      <c r="J11957" s="3"/>
      <c r="K11957" s="3" t="s">
        <v>60484</v>
      </c>
      <c r="L11957" s="3"/>
      <c r="M11957" s="4"/>
      <c r="N11957" s="3" t="s">
        <v>37</v>
      </c>
      <c r="O11957" s="3" t="s">
        <v>46</v>
      </c>
      <c r="P11957" s="5">
        <v>10</v>
      </c>
      <c r="Q11957" s="5">
        <v>122</v>
      </c>
      <c r="R11957" s="5">
        <v>10</v>
      </c>
      <c r="S11957" s="5">
        <v>116</v>
      </c>
    </row>
    <row r="11958" spans="1:19" ht="28" x14ac:dyDescent="0.15">
      <c r="A11958" s="2">
        <f>HYPERLINK("https://open-school.uspishnemisto.com.ua/school/610078/", 610078)</f>
        <v>610078</v>
      </c>
      <c r="B11958" s="3" t="s">
        <v>60485</v>
      </c>
      <c r="C11958" s="3" t="s">
        <v>31</v>
      </c>
      <c r="D11958" s="3" t="s">
        <v>32</v>
      </c>
      <c r="E11958" s="4" t="s">
        <v>22</v>
      </c>
      <c r="F11958" s="4" t="s">
        <v>60486</v>
      </c>
      <c r="G11958" s="4" t="s">
        <v>60487</v>
      </c>
      <c r="H11958" s="3" t="s">
        <v>60159</v>
      </c>
      <c r="I11958" s="3" t="s">
        <v>60488</v>
      </c>
      <c r="J11958" s="3" t="s">
        <v>27802</v>
      </c>
      <c r="K11958" s="3" t="s">
        <v>60489</v>
      </c>
      <c r="L11958" s="3"/>
      <c r="M11958" s="4"/>
      <c r="N11958" s="3" t="s">
        <v>37</v>
      </c>
      <c r="O11958" s="3" t="s">
        <v>46</v>
      </c>
      <c r="P11958" s="5">
        <v>11</v>
      </c>
      <c r="Q11958" s="5">
        <v>101</v>
      </c>
      <c r="R11958" s="5">
        <v>11</v>
      </c>
      <c r="S11958" s="5">
        <v>102</v>
      </c>
    </row>
    <row r="11959" spans="1:19" ht="28" x14ac:dyDescent="0.15">
      <c r="A11959" s="2">
        <f>HYPERLINK("https://open-school.uspishnemisto.com.ua/school/610079/", 610079)</f>
        <v>610079</v>
      </c>
      <c r="B11959" s="3" t="s">
        <v>60490</v>
      </c>
      <c r="C11959" s="3" t="s">
        <v>31</v>
      </c>
      <c r="D11959" s="3" t="s">
        <v>60</v>
      </c>
      <c r="E11959" s="4" t="s">
        <v>22</v>
      </c>
      <c r="F11959" s="4" t="s">
        <v>60486</v>
      </c>
      <c r="G11959" s="4" t="s">
        <v>60491</v>
      </c>
      <c r="H11959" s="3" t="s">
        <v>60159</v>
      </c>
      <c r="I11959" s="3" t="s">
        <v>42171</v>
      </c>
      <c r="J11959" s="3"/>
      <c r="K11959" s="3" t="s">
        <v>60492</v>
      </c>
      <c r="L11959" s="3"/>
      <c r="M11959" s="4"/>
      <c r="N11959" s="3" t="s">
        <v>37</v>
      </c>
      <c r="O11959" s="3" t="s">
        <v>618</v>
      </c>
      <c r="P11959" s="5">
        <v>0</v>
      </c>
      <c r="Q11959" s="5">
        <v>6</v>
      </c>
      <c r="R11959" s="5">
        <v>0</v>
      </c>
      <c r="S11959" s="5">
        <v>5</v>
      </c>
    </row>
    <row r="11960" spans="1:19" ht="28" x14ac:dyDescent="0.15">
      <c r="A11960" s="2">
        <f>HYPERLINK("https://open-school.uspishnemisto.com.ua/school/610080/", 610080)</f>
        <v>610080</v>
      </c>
      <c r="B11960" s="3" t="s">
        <v>60493</v>
      </c>
      <c r="C11960" s="3" t="s">
        <v>31</v>
      </c>
      <c r="D11960" s="3" t="s">
        <v>175</v>
      </c>
      <c r="E11960" s="4" t="s">
        <v>22</v>
      </c>
      <c r="F11960" s="4" t="s">
        <v>60494</v>
      </c>
      <c r="G11960" s="4" t="s">
        <v>60495</v>
      </c>
      <c r="H11960" s="3" t="s">
        <v>60159</v>
      </c>
      <c r="I11960" s="3" t="s">
        <v>60496</v>
      </c>
      <c r="J11960" s="3" t="s">
        <v>60497</v>
      </c>
      <c r="K11960" s="3" t="s">
        <v>60498</v>
      </c>
      <c r="L11960" s="3"/>
      <c r="M11960" s="4"/>
      <c r="N11960" s="3" t="s">
        <v>37</v>
      </c>
      <c r="O11960" s="3" t="s">
        <v>46</v>
      </c>
      <c r="P11960" s="5">
        <v>8</v>
      </c>
      <c r="Q11960" s="5">
        <v>71</v>
      </c>
      <c r="R11960" s="5">
        <v>9</v>
      </c>
      <c r="S11960" s="5">
        <v>84</v>
      </c>
    </row>
    <row r="11961" spans="1:19" ht="42" x14ac:dyDescent="0.15">
      <c r="A11961" s="2">
        <f>HYPERLINK("https://open-school.uspishnemisto.com.ua/school/610081/", 610081)</f>
        <v>610081</v>
      </c>
      <c r="B11961" s="3" t="s">
        <v>60499</v>
      </c>
      <c r="C11961" s="3" t="s">
        <v>54</v>
      </c>
      <c r="D11961" s="3" t="s">
        <v>175</v>
      </c>
      <c r="E11961" s="4" t="s">
        <v>22</v>
      </c>
      <c r="F11961" s="4" t="s">
        <v>60500</v>
      </c>
      <c r="G11961" s="4" t="s">
        <v>60501</v>
      </c>
      <c r="H11961" s="3" t="s">
        <v>60159</v>
      </c>
      <c r="I11961" s="3" t="s">
        <v>60502</v>
      </c>
      <c r="J11961" s="3" t="s">
        <v>1417</v>
      </c>
      <c r="K11961" s="3" t="s">
        <v>60503</v>
      </c>
      <c r="L11961" s="3"/>
      <c r="M11961" s="4"/>
      <c r="N11961" s="3" t="s">
        <v>37</v>
      </c>
      <c r="O11961" s="3" t="s">
        <v>46</v>
      </c>
      <c r="P11961" s="5">
        <v>0</v>
      </c>
      <c r="Q11961" s="5">
        <v>0</v>
      </c>
      <c r="R11961" s="5">
        <v>7</v>
      </c>
      <c r="S11961" s="5">
        <v>62</v>
      </c>
    </row>
    <row r="11962" spans="1:19" ht="56" x14ac:dyDescent="0.15">
      <c r="A11962" s="2">
        <f>HYPERLINK("https://open-school.uspishnemisto.com.ua/school/610082/", 610082)</f>
        <v>610082</v>
      </c>
      <c r="B11962" s="3" t="s">
        <v>60504</v>
      </c>
      <c r="C11962" s="3" t="s">
        <v>54</v>
      </c>
      <c r="D11962" s="3" t="s">
        <v>32</v>
      </c>
      <c r="E11962" s="4" t="s">
        <v>22</v>
      </c>
      <c r="F11962" s="4" t="s">
        <v>60505</v>
      </c>
      <c r="G11962" s="4" t="s">
        <v>60506</v>
      </c>
      <c r="H11962" s="3" t="s">
        <v>60159</v>
      </c>
      <c r="I11962" s="3" t="s">
        <v>60507</v>
      </c>
      <c r="J11962" s="3" t="s">
        <v>1417</v>
      </c>
      <c r="K11962" s="3" t="s">
        <v>60508</v>
      </c>
      <c r="L11962" s="3"/>
      <c r="M11962" s="4"/>
      <c r="N11962" s="3" t="s">
        <v>37</v>
      </c>
      <c r="O11962" s="3" t="s">
        <v>52</v>
      </c>
      <c r="P11962" s="5">
        <v>10</v>
      </c>
      <c r="Q11962" s="5">
        <v>78</v>
      </c>
      <c r="R11962" s="5">
        <v>10</v>
      </c>
      <c r="S11962" s="5">
        <v>84</v>
      </c>
    </row>
    <row r="11963" spans="1:19" ht="28" x14ac:dyDescent="0.15">
      <c r="A11963" s="2">
        <f>HYPERLINK("https://open-school.uspishnemisto.com.ua/school/610083/", 610083)</f>
        <v>610083</v>
      </c>
      <c r="B11963" s="3" t="s">
        <v>60509</v>
      </c>
      <c r="C11963" s="3" t="s">
        <v>31</v>
      </c>
      <c r="D11963" s="3" t="s">
        <v>175</v>
      </c>
      <c r="E11963" s="4" t="s">
        <v>22</v>
      </c>
      <c r="F11963" s="4" t="s">
        <v>60510</v>
      </c>
      <c r="G11963" s="4" t="s">
        <v>60511</v>
      </c>
      <c r="H11963" s="3" t="s">
        <v>60159</v>
      </c>
      <c r="I11963" s="3" t="s">
        <v>50532</v>
      </c>
      <c r="J11963" s="3" t="s">
        <v>60512</v>
      </c>
      <c r="K11963" s="3" t="s">
        <v>60513</v>
      </c>
      <c r="L11963" s="3"/>
      <c r="M11963" s="4"/>
      <c r="N11963" s="3" t="s">
        <v>37</v>
      </c>
      <c r="O11963" s="3" t="s">
        <v>46</v>
      </c>
      <c r="P11963" s="5">
        <v>9</v>
      </c>
      <c r="Q11963" s="5">
        <v>58</v>
      </c>
      <c r="R11963" s="5">
        <v>9</v>
      </c>
      <c r="S11963" s="5">
        <v>60</v>
      </c>
    </row>
    <row r="11964" spans="1:19" ht="28" x14ac:dyDescent="0.15">
      <c r="A11964" s="2">
        <f>HYPERLINK("https://open-school.uspishnemisto.com.ua/school/610084/", 610084)</f>
        <v>610084</v>
      </c>
      <c r="B11964" s="3" t="s">
        <v>60514</v>
      </c>
      <c r="C11964" s="3" t="s">
        <v>31</v>
      </c>
      <c r="D11964" s="3" t="s">
        <v>32</v>
      </c>
      <c r="E11964" s="4" t="s">
        <v>22</v>
      </c>
      <c r="F11964" s="4" t="s">
        <v>60515</v>
      </c>
      <c r="G11964" s="4" t="s">
        <v>60516</v>
      </c>
      <c r="H11964" s="3" t="s">
        <v>60159</v>
      </c>
      <c r="I11964" s="3" t="s">
        <v>60517</v>
      </c>
      <c r="J11964" s="3"/>
      <c r="K11964" s="3" t="s">
        <v>60518</v>
      </c>
      <c r="L11964" s="3"/>
      <c r="M11964" s="4"/>
      <c r="N11964" s="3" t="s">
        <v>37</v>
      </c>
      <c r="O11964" s="3" t="s">
        <v>52</v>
      </c>
      <c r="P11964" s="5">
        <v>11</v>
      </c>
      <c r="Q11964" s="5">
        <v>99</v>
      </c>
      <c r="R11964" s="5">
        <v>10</v>
      </c>
      <c r="S11964" s="5">
        <v>108</v>
      </c>
    </row>
    <row r="11965" spans="1:19" ht="28" x14ac:dyDescent="0.15">
      <c r="A11965" s="2">
        <f>HYPERLINK("https://open-school.uspishnemisto.com.ua/school/610085/", 610085)</f>
        <v>610085</v>
      </c>
      <c r="B11965" s="3" t="s">
        <v>60519</v>
      </c>
      <c r="C11965" s="3" t="s">
        <v>31</v>
      </c>
      <c r="D11965" s="3" t="s">
        <v>175</v>
      </c>
      <c r="E11965" s="4" t="s">
        <v>22</v>
      </c>
      <c r="F11965" s="4" t="s">
        <v>60477</v>
      </c>
      <c r="G11965" s="4" t="s">
        <v>60520</v>
      </c>
      <c r="H11965" s="3" t="s">
        <v>60159</v>
      </c>
      <c r="I11965" s="3" t="s">
        <v>41781</v>
      </c>
      <c r="J11965" s="3" t="s">
        <v>60521</v>
      </c>
      <c r="K11965" s="3" t="s">
        <v>60522</v>
      </c>
      <c r="L11965" s="3"/>
      <c r="M11965" s="4"/>
      <c r="N11965" s="3" t="s">
        <v>37</v>
      </c>
      <c r="O11965" s="3" t="s">
        <v>46</v>
      </c>
      <c r="P11965" s="5">
        <v>5</v>
      </c>
      <c r="Q11965" s="5">
        <v>33</v>
      </c>
      <c r="R11965" s="5">
        <v>4</v>
      </c>
      <c r="S11965" s="5">
        <v>28</v>
      </c>
    </row>
    <row r="11966" spans="1:19" ht="56" x14ac:dyDescent="0.15">
      <c r="A11966" s="2">
        <f>HYPERLINK("https://open-school.uspishnemisto.com.ua/school/610086/", 610086)</f>
        <v>610086</v>
      </c>
      <c r="B11966" s="3" t="s">
        <v>60523</v>
      </c>
      <c r="C11966" s="3" t="s">
        <v>54</v>
      </c>
      <c r="D11966" s="3" t="s">
        <v>175</v>
      </c>
      <c r="E11966" s="4" t="s">
        <v>22</v>
      </c>
      <c r="F11966" s="4" t="s">
        <v>60524</v>
      </c>
      <c r="G11966" s="4" t="s">
        <v>60525</v>
      </c>
      <c r="H11966" s="3" t="s">
        <v>60159</v>
      </c>
      <c r="I11966" s="3" t="s">
        <v>29995</v>
      </c>
      <c r="J11966" s="3" t="s">
        <v>3745</v>
      </c>
      <c r="K11966" s="3" t="s">
        <v>60526</v>
      </c>
      <c r="L11966" s="3"/>
      <c r="M11966" s="4"/>
      <c r="N11966" s="3" t="s">
        <v>37</v>
      </c>
      <c r="O11966" s="3" t="s">
        <v>46</v>
      </c>
      <c r="P11966" s="5">
        <v>6</v>
      </c>
      <c r="Q11966" s="5">
        <v>41</v>
      </c>
      <c r="R11966" s="5">
        <v>5</v>
      </c>
      <c r="S11966" s="5">
        <v>36</v>
      </c>
    </row>
    <row r="11967" spans="1:19" ht="28" x14ac:dyDescent="0.15">
      <c r="A11967" s="2">
        <f>HYPERLINK("https://open-school.uspishnemisto.com.ua/school/610087/", 610087)</f>
        <v>610087</v>
      </c>
      <c r="B11967" s="3" t="s">
        <v>60527</v>
      </c>
      <c r="C11967" s="3" t="s">
        <v>31</v>
      </c>
      <c r="D11967" s="3" t="s">
        <v>60</v>
      </c>
      <c r="E11967" s="4" t="s">
        <v>22</v>
      </c>
      <c r="F11967" s="4" t="s">
        <v>60524</v>
      </c>
      <c r="G11967" s="4" t="s">
        <v>60528</v>
      </c>
      <c r="H11967" s="3" t="s">
        <v>60159</v>
      </c>
      <c r="I11967" s="3" t="s">
        <v>60529</v>
      </c>
      <c r="J11967" s="3"/>
      <c r="K11967" s="3" t="s">
        <v>60530</v>
      </c>
      <c r="L11967" s="3"/>
      <c r="M11967" s="4"/>
      <c r="N11967" s="3" t="s">
        <v>37</v>
      </c>
      <c r="O11967" s="3" t="s">
        <v>52</v>
      </c>
      <c r="P11967" s="5">
        <v>0</v>
      </c>
      <c r="Q11967" s="5">
        <v>7</v>
      </c>
      <c r="R11967" s="5">
        <v>4</v>
      </c>
      <c r="S11967" s="5">
        <v>9</v>
      </c>
    </row>
    <row r="11968" spans="1:19" ht="56" x14ac:dyDescent="0.15">
      <c r="A11968" s="2">
        <f>HYPERLINK("https://open-school.uspishnemisto.com.ua/school/610088/", 610088)</f>
        <v>610088</v>
      </c>
      <c r="B11968" s="3" t="s">
        <v>60531</v>
      </c>
      <c r="C11968" s="3" t="s">
        <v>54</v>
      </c>
      <c r="D11968" s="3" t="s">
        <v>60</v>
      </c>
      <c r="E11968" s="4" t="s">
        <v>22</v>
      </c>
      <c r="F11968" s="4" t="s">
        <v>60532</v>
      </c>
      <c r="G11968" s="4" t="s">
        <v>60533</v>
      </c>
      <c r="H11968" s="3" t="s">
        <v>60159</v>
      </c>
      <c r="I11968" s="3" t="s">
        <v>60534</v>
      </c>
      <c r="J11968" s="3"/>
      <c r="K11968" s="3"/>
      <c r="L11968" s="3"/>
      <c r="M11968" s="4"/>
      <c r="N11968" s="3" t="s">
        <v>37</v>
      </c>
      <c r="O11968" s="3" t="s">
        <v>52</v>
      </c>
      <c r="P11968" s="5">
        <v>0</v>
      </c>
      <c r="Q11968" s="5">
        <v>0</v>
      </c>
      <c r="R11968" s="5">
        <v>1</v>
      </c>
      <c r="S11968" s="5">
        <v>12</v>
      </c>
    </row>
    <row r="11969" spans="1:19" ht="28" x14ac:dyDescent="0.15">
      <c r="A11969" s="2">
        <f>HYPERLINK("https://open-school.uspishnemisto.com.ua/school/610089/", 610089)</f>
        <v>610089</v>
      </c>
      <c r="B11969" s="3" t="s">
        <v>60535</v>
      </c>
      <c r="C11969" s="3" t="s">
        <v>31</v>
      </c>
      <c r="D11969" s="3" t="s">
        <v>32</v>
      </c>
      <c r="E11969" s="4" t="s">
        <v>22</v>
      </c>
      <c r="F11969" s="4" t="s">
        <v>60536</v>
      </c>
      <c r="G11969" s="4" t="s">
        <v>60537</v>
      </c>
      <c r="H11969" s="3" t="s">
        <v>60159</v>
      </c>
      <c r="I11969" s="3" t="s">
        <v>60538</v>
      </c>
      <c r="J11969" s="3"/>
      <c r="K11969" s="3" t="s">
        <v>60539</v>
      </c>
      <c r="L11969" s="3"/>
      <c r="M11969" s="4"/>
      <c r="N11969" s="3" t="s">
        <v>37</v>
      </c>
      <c r="O11969" s="3" t="s">
        <v>46</v>
      </c>
      <c r="P11969" s="5">
        <v>17</v>
      </c>
      <c r="Q11969" s="5">
        <v>198</v>
      </c>
      <c r="R11969" s="5">
        <v>11</v>
      </c>
      <c r="S11969" s="5">
        <v>115</v>
      </c>
    </row>
    <row r="11970" spans="1:19" ht="42" x14ac:dyDescent="0.15">
      <c r="A11970" s="2">
        <f>HYPERLINK("https://open-school.uspishnemisto.com.ua/school/610090/", 610090)</f>
        <v>610090</v>
      </c>
      <c r="B11970" s="3" t="s">
        <v>60540</v>
      </c>
      <c r="C11970" s="3" t="s">
        <v>54</v>
      </c>
      <c r="D11970" s="3" t="s">
        <v>175</v>
      </c>
      <c r="E11970" s="4" t="s">
        <v>22</v>
      </c>
      <c r="F11970" s="4" t="s">
        <v>60541</v>
      </c>
      <c r="G11970" s="4" t="s">
        <v>60542</v>
      </c>
      <c r="H11970" s="3" t="s">
        <v>60159</v>
      </c>
      <c r="I11970" s="3" t="s">
        <v>60543</v>
      </c>
      <c r="J11970" s="3" t="s">
        <v>3852</v>
      </c>
      <c r="K11970" s="3" t="s">
        <v>60544</v>
      </c>
      <c r="L11970" s="3"/>
      <c r="M11970" s="4"/>
      <c r="N11970" s="3" t="s">
        <v>37</v>
      </c>
      <c r="O11970" s="3" t="s">
        <v>46</v>
      </c>
      <c r="P11970" s="5">
        <v>7</v>
      </c>
      <c r="Q11970" s="5">
        <v>51</v>
      </c>
      <c r="R11970" s="5">
        <v>6</v>
      </c>
      <c r="S11970" s="5">
        <v>48</v>
      </c>
    </row>
    <row r="11971" spans="1:19" ht="28" x14ac:dyDescent="0.15">
      <c r="A11971" s="2">
        <f>HYPERLINK("https://open-school.uspishnemisto.com.ua/school/610091/", 610091)</f>
        <v>610091</v>
      </c>
      <c r="B11971" s="3" t="s">
        <v>60545</v>
      </c>
      <c r="C11971" s="3" t="s">
        <v>31</v>
      </c>
      <c r="D11971" s="3" t="s">
        <v>60</v>
      </c>
      <c r="E11971" s="4" t="s">
        <v>22</v>
      </c>
      <c r="F11971" s="4" t="s">
        <v>60541</v>
      </c>
      <c r="G11971" s="4" t="s">
        <v>60546</v>
      </c>
      <c r="H11971" s="3" t="s">
        <v>60159</v>
      </c>
      <c r="I11971" s="3" t="s">
        <v>60547</v>
      </c>
      <c r="J11971" s="3" t="s">
        <v>60548</v>
      </c>
      <c r="K11971" s="3"/>
      <c r="L11971" s="3"/>
      <c r="M11971" s="4"/>
      <c r="N11971" s="3" t="s">
        <v>37</v>
      </c>
      <c r="O11971" s="3" t="s">
        <v>618</v>
      </c>
      <c r="P11971" s="5">
        <v>0</v>
      </c>
      <c r="Q11971" s="5">
        <v>9</v>
      </c>
      <c r="R11971" s="5">
        <v>0</v>
      </c>
      <c r="S11971" s="5">
        <v>10</v>
      </c>
    </row>
    <row r="11972" spans="1:19" ht="28" x14ac:dyDescent="0.15">
      <c r="A11972" s="2">
        <f>HYPERLINK("https://open-school.uspishnemisto.com.ua/school/610092/", 610092)</f>
        <v>610092</v>
      </c>
      <c r="B11972" s="3" t="s">
        <v>60549</v>
      </c>
      <c r="C11972" s="3" t="s">
        <v>31</v>
      </c>
      <c r="D11972" s="3" t="s">
        <v>60</v>
      </c>
      <c r="E11972" s="4" t="s">
        <v>22</v>
      </c>
      <c r="F11972" s="4" t="s">
        <v>60541</v>
      </c>
      <c r="G11972" s="4" t="s">
        <v>60550</v>
      </c>
      <c r="H11972" s="3" t="s">
        <v>60159</v>
      </c>
      <c r="I11972" s="3" t="s">
        <v>60551</v>
      </c>
      <c r="J11972" s="3" t="s">
        <v>60552</v>
      </c>
      <c r="K11972" s="3" t="s">
        <v>60553</v>
      </c>
      <c r="L11972" s="3"/>
      <c r="M11972" s="4"/>
      <c r="N11972" s="3" t="s">
        <v>37</v>
      </c>
      <c r="O11972" s="3" t="s">
        <v>52</v>
      </c>
      <c r="P11972" s="5">
        <v>0</v>
      </c>
      <c r="Q11972" s="5">
        <v>7</v>
      </c>
      <c r="R11972" s="5">
        <v>0</v>
      </c>
      <c r="S11972" s="5">
        <v>7</v>
      </c>
    </row>
    <row r="11973" spans="1:19" ht="42" x14ac:dyDescent="0.15">
      <c r="A11973" s="2">
        <f>HYPERLINK("https://open-school.uspishnemisto.com.ua/school/610093/", 610093)</f>
        <v>610093</v>
      </c>
      <c r="B11973" s="3" t="s">
        <v>60554</v>
      </c>
      <c r="C11973" s="3" t="s">
        <v>54</v>
      </c>
      <c r="D11973" s="3" t="s">
        <v>32</v>
      </c>
      <c r="E11973" s="4" t="s">
        <v>22</v>
      </c>
      <c r="F11973" s="4" t="s">
        <v>60555</v>
      </c>
      <c r="G11973" s="4" t="s">
        <v>60556</v>
      </c>
      <c r="H11973" s="3" t="s">
        <v>60159</v>
      </c>
      <c r="I11973" s="3" t="s">
        <v>60557</v>
      </c>
      <c r="J11973" s="3"/>
      <c r="K11973" s="3" t="s">
        <v>60558</v>
      </c>
      <c r="L11973" s="3" t="s">
        <v>60559</v>
      </c>
      <c r="M11973" s="4"/>
      <c r="N11973" s="3" t="s">
        <v>37</v>
      </c>
      <c r="O11973" s="3" t="s">
        <v>46</v>
      </c>
      <c r="P11973" s="5">
        <v>11</v>
      </c>
      <c r="Q11973" s="5">
        <v>111</v>
      </c>
      <c r="R11973" s="5">
        <v>11</v>
      </c>
      <c r="S11973" s="5">
        <v>118</v>
      </c>
    </row>
    <row r="11974" spans="1:19" ht="28" x14ac:dyDescent="0.15">
      <c r="A11974" s="2">
        <f>HYPERLINK("https://open-school.uspishnemisto.com.ua/school/610094/", 610094)</f>
        <v>610094</v>
      </c>
      <c r="B11974" s="3" t="s">
        <v>60560</v>
      </c>
      <c r="C11974" s="3" t="s">
        <v>31</v>
      </c>
      <c r="D11974" s="3" t="s">
        <v>60</v>
      </c>
      <c r="E11974" s="4" t="s">
        <v>22</v>
      </c>
      <c r="F11974" s="4" t="s">
        <v>60561</v>
      </c>
      <c r="G11974" s="4" t="s">
        <v>60562</v>
      </c>
      <c r="H11974" s="3" t="s">
        <v>60159</v>
      </c>
      <c r="I11974" s="3" t="s">
        <v>60563</v>
      </c>
      <c r="J11974" s="3"/>
      <c r="K11974" s="3" t="s">
        <v>60564</v>
      </c>
      <c r="L11974" s="3"/>
      <c r="M11974" s="4"/>
      <c r="N11974" s="3" t="s">
        <v>37</v>
      </c>
      <c r="O11974" s="3" t="s">
        <v>46</v>
      </c>
      <c r="P11974" s="5">
        <v>1</v>
      </c>
      <c r="Q11974" s="5">
        <v>12</v>
      </c>
      <c r="R11974" s="5">
        <v>1</v>
      </c>
      <c r="S11974" s="5">
        <v>11</v>
      </c>
    </row>
    <row r="11975" spans="1:19" ht="56" x14ac:dyDescent="0.15">
      <c r="A11975" s="2">
        <f>HYPERLINK("https://open-school.uspishnemisto.com.ua/school/610095/", 610095)</f>
        <v>610095</v>
      </c>
      <c r="B11975" s="3" t="s">
        <v>60565</v>
      </c>
      <c r="C11975" s="3" t="s">
        <v>54</v>
      </c>
      <c r="D11975" s="3" t="s">
        <v>32</v>
      </c>
      <c r="E11975" s="4" t="s">
        <v>22</v>
      </c>
      <c r="F11975" s="4" t="s">
        <v>60561</v>
      </c>
      <c r="G11975" s="4" t="s">
        <v>60562</v>
      </c>
      <c r="H11975" s="3" t="s">
        <v>60159</v>
      </c>
      <c r="I11975" s="3" t="s">
        <v>60563</v>
      </c>
      <c r="J11975" s="3" t="s">
        <v>1636</v>
      </c>
      <c r="K11975" s="3" t="s">
        <v>60566</v>
      </c>
      <c r="L11975" s="3"/>
      <c r="M11975" s="4"/>
      <c r="N11975" s="3" t="s">
        <v>37</v>
      </c>
      <c r="O11975" s="3" t="s">
        <v>46</v>
      </c>
      <c r="P11975" s="5">
        <v>10</v>
      </c>
      <c r="Q11975" s="5">
        <v>90</v>
      </c>
      <c r="R11975" s="5">
        <v>9</v>
      </c>
      <c r="S11975" s="5">
        <v>88</v>
      </c>
    </row>
    <row r="11976" spans="1:19" ht="28" x14ac:dyDescent="0.15">
      <c r="A11976" s="2">
        <f>HYPERLINK("https://open-school.uspishnemisto.com.ua/school/610096/", 610096)</f>
        <v>610096</v>
      </c>
      <c r="B11976" s="3" t="s">
        <v>60567</v>
      </c>
      <c r="C11976" s="3" t="s">
        <v>31</v>
      </c>
      <c r="D11976" s="3" t="s">
        <v>60</v>
      </c>
      <c r="E11976" s="4" t="s">
        <v>22</v>
      </c>
      <c r="F11976" s="4" t="s">
        <v>60561</v>
      </c>
      <c r="G11976" s="4" t="s">
        <v>60568</v>
      </c>
      <c r="H11976" s="3" t="s">
        <v>60159</v>
      </c>
      <c r="I11976" s="3" t="s">
        <v>5961</v>
      </c>
      <c r="J11976" s="3"/>
      <c r="K11976" s="3"/>
      <c r="L11976" s="3"/>
      <c r="M11976" s="4"/>
      <c r="N11976" s="3" t="s">
        <v>37</v>
      </c>
      <c r="O11976" s="3" t="s">
        <v>46</v>
      </c>
      <c r="P11976" s="5">
        <v>1</v>
      </c>
      <c r="Q11976" s="5">
        <v>16</v>
      </c>
      <c r="R11976" s="5">
        <v>0</v>
      </c>
      <c r="S11976" s="5">
        <v>14</v>
      </c>
    </row>
    <row r="11977" spans="1:19" ht="28" x14ac:dyDescent="0.15">
      <c r="A11977" s="2">
        <f>HYPERLINK("https://open-school.uspishnemisto.com.ua/school/610097/", 610097)</f>
        <v>610097</v>
      </c>
      <c r="B11977" s="3" t="s">
        <v>60569</v>
      </c>
      <c r="C11977" s="3" t="s">
        <v>31</v>
      </c>
      <c r="D11977" s="3" t="s">
        <v>60</v>
      </c>
      <c r="E11977" s="4" t="s">
        <v>22</v>
      </c>
      <c r="F11977" s="4" t="s">
        <v>60477</v>
      </c>
      <c r="G11977" s="4" t="s">
        <v>60570</v>
      </c>
      <c r="H11977" s="3" t="s">
        <v>60159</v>
      </c>
      <c r="I11977" s="3" t="s">
        <v>60571</v>
      </c>
      <c r="J11977" s="3" t="s">
        <v>3146</v>
      </c>
      <c r="K11977" s="3" t="s">
        <v>60572</v>
      </c>
      <c r="L11977" s="3"/>
      <c r="M11977" s="4"/>
      <c r="N11977" s="3" t="s">
        <v>37</v>
      </c>
      <c r="O11977" s="3" t="s">
        <v>52</v>
      </c>
      <c r="P11977" s="5">
        <v>1</v>
      </c>
      <c r="Q11977" s="5">
        <v>16</v>
      </c>
      <c r="R11977" s="5">
        <v>1</v>
      </c>
      <c r="S11977" s="5">
        <v>13</v>
      </c>
    </row>
    <row r="11978" spans="1:19" ht="56" x14ac:dyDescent="0.15">
      <c r="A11978" s="2">
        <f>HYPERLINK("https://open-school.uspishnemisto.com.ua/school/610098/", 610098)</f>
        <v>610098</v>
      </c>
      <c r="B11978" s="3" t="s">
        <v>60573</v>
      </c>
      <c r="C11978" s="3" t="s">
        <v>54</v>
      </c>
      <c r="D11978" s="3" t="s">
        <v>32</v>
      </c>
      <c r="E11978" s="4" t="s">
        <v>22</v>
      </c>
      <c r="F11978" s="4" t="s">
        <v>60574</v>
      </c>
      <c r="G11978" s="4" t="s">
        <v>60575</v>
      </c>
      <c r="H11978" s="3" t="s">
        <v>60159</v>
      </c>
      <c r="I11978" s="3" t="s">
        <v>60576</v>
      </c>
      <c r="J11978" s="3" t="s">
        <v>60577</v>
      </c>
      <c r="K11978" s="3" t="s">
        <v>60578</v>
      </c>
      <c r="L11978" s="3" t="s">
        <v>60579</v>
      </c>
      <c r="M11978" s="4"/>
      <c r="N11978" s="3" t="s">
        <v>37</v>
      </c>
      <c r="O11978" s="3" t="s">
        <v>46</v>
      </c>
      <c r="P11978" s="5">
        <v>7</v>
      </c>
      <c r="Q11978" s="5">
        <v>73</v>
      </c>
      <c r="R11978" s="5">
        <v>6</v>
      </c>
      <c r="S11978" s="5">
        <v>65</v>
      </c>
    </row>
    <row r="11979" spans="1:19" ht="56" x14ac:dyDescent="0.15">
      <c r="A11979" s="2">
        <f>HYPERLINK("https://open-school.uspishnemisto.com.ua/school/610099/", 610099)</f>
        <v>610099</v>
      </c>
      <c r="B11979" s="3" t="s">
        <v>60580</v>
      </c>
      <c r="C11979" s="3" t="s">
        <v>54</v>
      </c>
      <c r="D11979" s="3" t="s">
        <v>32</v>
      </c>
      <c r="E11979" s="4" t="s">
        <v>22</v>
      </c>
      <c r="F11979" s="4" t="s">
        <v>60581</v>
      </c>
      <c r="G11979" s="4" t="s">
        <v>60582</v>
      </c>
      <c r="H11979" s="3" t="s">
        <v>60159</v>
      </c>
      <c r="I11979" s="3" t="s">
        <v>60583</v>
      </c>
      <c r="J11979" s="3" t="s">
        <v>60584</v>
      </c>
      <c r="K11979" s="3" t="s">
        <v>60585</v>
      </c>
      <c r="L11979" s="3"/>
      <c r="M11979" s="4"/>
      <c r="N11979" s="3" t="s">
        <v>37</v>
      </c>
      <c r="O11979" s="3" t="s">
        <v>46</v>
      </c>
      <c r="P11979" s="5">
        <v>10</v>
      </c>
      <c r="Q11979" s="5">
        <v>94</v>
      </c>
      <c r="R11979" s="5">
        <v>11</v>
      </c>
      <c r="S11979" s="5">
        <v>89</v>
      </c>
    </row>
    <row r="11980" spans="1:19" ht="28" x14ac:dyDescent="0.15">
      <c r="A11980" s="2">
        <f>HYPERLINK("https://open-school.uspishnemisto.com.ua/school/610100/", 610100)</f>
        <v>610100</v>
      </c>
      <c r="B11980" s="3" t="s">
        <v>60586</v>
      </c>
      <c r="C11980" s="3" t="s">
        <v>31</v>
      </c>
      <c r="D11980" s="3" t="s">
        <v>175</v>
      </c>
      <c r="E11980" s="4" t="s">
        <v>22</v>
      </c>
      <c r="F11980" s="4" t="s">
        <v>60587</v>
      </c>
      <c r="G11980" s="4" t="s">
        <v>60588</v>
      </c>
      <c r="H11980" s="3" t="s">
        <v>60159</v>
      </c>
      <c r="I11980" s="3" t="s">
        <v>3581</v>
      </c>
      <c r="J11980" s="3" t="s">
        <v>27802</v>
      </c>
      <c r="K11980" s="3" t="s">
        <v>60589</v>
      </c>
      <c r="L11980" s="3" t="s">
        <v>60590</v>
      </c>
      <c r="M11980" s="4"/>
      <c r="N11980" s="3" t="s">
        <v>37</v>
      </c>
      <c r="O11980" s="3" t="s">
        <v>46</v>
      </c>
      <c r="P11980" s="5">
        <v>4</v>
      </c>
      <c r="Q11980" s="5">
        <v>33</v>
      </c>
      <c r="R11980" s="5">
        <v>5</v>
      </c>
      <c r="S11980" s="5">
        <v>37</v>
      </c>
    </row>
    <row r="11981" spans="1:19" ht="56" x14ac:dyDescent="0.15">
      <c r="A11981" s="2">
        <f>HYPERLINK("https://open-school.uspishnemisto.com.ua/school/610101/", 610101)</f>
        <v>610101</v>
      </c>
      <c r="B11981" s="3" t="s">
        <v>60591</v>
      </c>
      <c r="C11981" s="3" t="s">
        <v>54</v>
      </c>
      <c r="D11981" s="3" t="s">
        <v>175</v>
      </c>
      <c r="E11981" s="4" t="s">
        <v>22</v>
      </c>
      <c r="F11981" s="4" t="s">
        <v>60592</v>
      </c>
      <c r="G11981" s="4" t="s">
        <v>60593</v>
      </c>
      <c r="H11981" s="3" t="s">
        <v>60159</v>
      </c>
      <c r="I11981" s="3" t="s">
        <v>60594</v>
      </c>
      <c r="J11981" s="3" t="s">
        <v>60595</v>
      </c>
      <c r="K11981" s="3" t="s">
        <v>60596</v>
      </c>
      <c r="L11981" s="3"/>
      <c r="M11981" s="4"/>
      <c r="N11981" s="3" t="s">
        <v>37</v>
      </c>
      <c r="O11981" s="3" t="s">
        <v>46</v>
      </c>
      <c r="P11981" s="5">
        <v>6</v>
      </c>
      <c r="Q11981" s="5">
        <v>44</v>
      </c>
      <c r="R11981" s="5">
        <v>7</v>
      </c>
      <c r="S11981" s="5">
        <v>49</v>
      </c>
    </row>
    <row r="11982" spans="1:19" ht="28" x14ac:dyDescent="0.15">
      <c r="A11982" s="2">
        <f>HYPERLINK("https://open-school.uspishnemisto.com.ua/school/610102/", 610102)</f>
        <v>610102</v>
      </c>
      <c r="B11982" s="3" t="s">
        <v>60597</v>
      </c>
      <c r="C11982" s="3" t="s">
        <v>31</v>
      </c>
      <c r="D11982" s="3" t="s">
        <v>175</v>
      </c>
      <c r="E11982" s="4" t="s">
        <v>22</v>
      </c>
      <c r="F11982" s="4" t="s">
        <v>60598</v>
      </c>
      <c r="G11982" s="4" t="s">
        <v>60599</v>
      </c>
      <c r="H11982" s="3" t="s">
        <v>60159</v>
      </c>
      <c r="I11982" s="3" t="s">
        <v>60600</v>
      </c>
      <c r="J11982" s="3" t="s">
        <v>12836</v>
      </c>
      <c r="K11982" s="3" t="s">
        <v>60601</v>
      </c>
      <c r="L11982" s="3"/>
      <c r="M11982" s="4"/>
      <c r="N11982" s="3" t="s">
        <v>37</v>
      </c>
      <c r="O11982" s="3" t="s">
        <v>52</v>
      </c>
      <c r="P11982" s="5">
        <v>9</v>
      </c>
      <c r="Q11982" s="5">
        <v>91</v>
      </c>
      <c r="R11982" s="5">
        <v>8</v>
      </c>
      <c r="S11982" s="5">
        <v>85</v>
      </c>
    </row>
    <row r="11983" spans="1:19" ht="28" x14ac:dyDescent="0.15">
      <c r="A11983" s="2">
        <f>HYPERLINK("https://open-school.uspishnemisto.com.ua/school/610103/", 610103)</f>
        <v>610103</v>
      </c>
      <c r="B11983" s="3" t="s">
        <v>60602</v>
      </c>
      <c r="C11983" s="3" t="s">
        <v>31</v>
      </c>
      <c r="D11983" s="3" t="s">
        <v>60</v>
      </c>
      <c r="E11983" s="4" t="s">
        <v>22</v>
      </c>
      <c r="F11983" s="4" t="s">
        <v>60598</v>
      </c>
      <c r="G11983" s="4" t="s">
        <v>60603</v>
      </c>
      <c r="H11983" s="3" t="s">
        <v>60159</v>
      </c>
      <c r="I11983" s="3" t="s">
        <v>3369</v>
      </c>
      <c r="J11983" s="3" t="s">
        <v>1417</v>
      </c>
      <c r="K11983" s="3" t="s">
        <v>60604</v>
      </c>
      <c r="L11983" s="3"/>
      <c r="M11983" s="4"/>
      <c r="N11983" s="3" t="s">
        <v>37</v>
      </c>
      <c r="O11983" s="3" t="s">
        <v>52</v>
      </c>
      <c r="P11983" s="5">
        <v>0</v>
      </c>
      <c r="Q11983" s="5">
        <v>2</v>
      </c>
      <c r="R11983" s="5">
        <v>0</v>
      </c>
      <c r="S11983" s="5">
        <v>6</v>
      </c>
    </row>
    <row r="11984" spans="1:19" ht="28" x14ac:dyDescent="0.15">
      <c r="A11984" s="2">
        <f>HYPERLINK("https://open-school.uspishnemisto.com.ua/school/610104/", 610104)</f>
        <v>610104</v>
      </c>
      <c r="B11984" s="3" t="s">
        <v>60605</v>
      </c>
      <c r="C11984" s="3" t="s">
        <v>31</v>
      </c>
      <c r="D11984" s="3" t="s">
        <v>32</v>
      </c>
      <c r="E11984" s="4" t="s">
        <v>22</v>
      </c>
      <c r="F11984" s="4" t="s">
        <v>60606</v>
      </c>
      <c r="G11984" s="4" t="s">
        <v>60607</v>
      </c>
      <c r="H11984" s="3" t="s">
        <v>60159</v>
      </c>
      <c r="I11984" s="3" t="s">
        <v>19459</v>
      </c>
      <c r="J11984" s="3" t="s">
        <v>60608</v>
      </c>
      <c r="K11984" s="3" t="s">
        <v>60609</v>
      </c>
      <c r="L11984" s="3"/>
      <c r="M11984" s="4"/>
      <c r="N11984" s="3" t="s">
        <v>37</v>
      </c>
      <c r="O11984" s="3" t="s">
        <v>46</v>
      </c>
      <c r="P11984" s="5">
        <v>20</v>
      </c>
      <c r="Q11984" s="5">
        <v>405</v>
      </c>
      <c r="R11984" s="5">
        <v>20</v>
      </c>
      <c r="S11984" s="5">
        <v>400</v>
      </c>
    </row>
    <row r="11985" spans="1:19" ht="28" x14ac:dyDescent="0.15">
      <c r="A11985" s="2">
        <f>HYPERLINK("https://open-school.uspishnemisto.com.ua/school/610105/", 610105)</f>
        <v>610105</v>
      </c>
      <c r="B11985" s="3" t="s">
        <v>60610</v>
      </c>
      <c r="C11985" s="3" t="s">
        <v>31</v>
      </c>
      <c r="D11985" s="3" t="s">
        <v>32</v>
      </c>
      <c r="E11985" s="4" t="s">
        <v>22</v>
      </c>
      <c r="F11985" s="4" t="s">
        <v>60611</v>
      </c>
      <c r="G11985" s="4" t="s">
        <v>60607</v>
      </c>
      <c r="H11985" s="3" t="s">
        <v>60159</v>
      </c>
      <c r="I11985" s="3" t="s">
        <v>19459</v>
      </c>
      <c r="J11985" s="3" t="s">
        <v>60612</v>
      </c>
      <c r="K11985" s="3" t="s">
        <v>60613</v>
      </c>
      <c r="L11985" s="3"/>
      <c r="M11985" s="4"/>
      <c r="N11985" s="3" t="s">
        <v>37</v>
      </c>
      <c r="O11985" s="3" t="s">
        <v>46</v>
      </c>
      <c r="P11985" s="5">
        <v>12</v>
      </c>
      <c r="Q11985" s="5">
        <v>191</v>
      </c>
      <c r="R11985" s="5">
        <v>11</v>
      </c>
      <c r="S11985" s="5">
        <v>188</v>
      </c>
    </row>
    <row r="11986" spans="1:19" ht="42" x14ac:dyDescent="0.15">
      <c r="A11986" s="2">
        <f>HYPERLINK("https://open-school.uspishnemisto.com.ua/school/610106/", 610106)</f>
        <v>610106</v>
      </c>
      <c r="B11986" s="3" t="s">
        <v>60614</v>
      </c>
      <c r="C11986" s="3" t="s">
        <v>54</v>
      </c>
      <c r="D11986" s="3" t="s">
        <v>32</v>
      </c>
      <c r="E11986" s="4" t="s">
        <v>22</v>
      </c>
      <c r="F11986" s="4" t="s">
        <v>60606</v>
      </c>
      <c r="G11986" s="4" t="s">
        <v>60607</v>
      </c>
      <c r="H11986" s="3" t="s">
        <v>60159</v>
      </c>
      <c r="I11986" s="3" t="s">
        <v>19459</v>
      </c>
      <c r="J11986" s="3" t="s">
        <v>27315</v>
      </c>
      <c r="K11986" s="3" t="s">
        <v>60615</v>
      </c>
      <c r="L11986" s="3" t="s">
        <v>60616</v>
      </c>
      <c r="M11986" s="4"/>
      <c r="N11986" s="3" t="s">
        <v>37</v>
      </c>
      <c r="O11986" s="3" t="s">
        <v>46</v>
      </c>
      <c r="P11986" s="5">
        <v>25</v>
      </c>
      <c r="Q11986" s="5">
        <v>527</v>
      </c>
      <c r="R11986" s="5">
        <v>24</v>
      </c>
      <c r="S11986" s="5">
        <v>540</v>
      </c>
    </row>
    <row r="11987" spans="1:19" ht="28" x14ac:dyDescent="0.15">
      <c r="A11987" s="2">
        <f>HYPERLINK("https://open-school.uspishnemisto.com.ua/school/610107/", 610107)</f>
        <v>610107</v>
      </c>
      <c r="B11987" s="3" t="s">
        <v>60617</v>
      </c>
      <c r="C11987" s="3" t="s">
        <v>31</v>
      </c>
      <c r="D11987" s="3" t="s">
        <v>32</v>
      </c>
      <c r="E11987" s="4" t="s">
        <v>22</v>
      </c>
      <c r="F11987" s="4" t="s">
        <v>60618</v>
      </c>
      <c r="G11987" s="4" t="s">
        <v>60619</v>
      </c>
      <c r="H11987" s="3" t="s">
        <v>60159</v>
      </c>
      <c r="I11987" s="3" t="s">
        <v>60620</v>
      </c>
      <c r="J11987" s="3" t="s">
        <v>38956</v>
      </c>
      <c r="K11987" s="3" t="s">
        <v>60621</v>
      </c>
      <c r="L11987" s="3" t="s">
        <v>60622</v>
      </c>
      <c r="M11987" s="4"/>
      <c r="N11987" s="3" t="s">
        <v>37</v>
      </c>
      <c r="O11987" s="3" t="s">
        <v>46</v>
      </c>
      <c r="P11987" s="5">
        <v>21</v>
      </c>
      <c r="Q11987" s="5">
        <v>421</v>
      </c>
      <c r="R11987" s="5">
        <v>21</v>
      </c>
      <c r="S11987" s="5">
        <v>409</v>
      </c>
    </row>
    <row r="11988" spans="1:19" ht="28" x14ac:dyDescent="0.15">
      <c r="A11988" s="2">
        <f>HYPERLINK("https://open-school.uspishnemisto.com.ua/school/610109/", 610109)</f>
        <v>610109</v>
      </c>
      <c r="B11988" s="3" t="s">
        <v>60623</v>
      </c>
      <c r="C11988" s="3" t="s">
        <v>31</v>
      </c>
      <c r="D11988" s="3" t="s">
        <v>175</v>
      </c>
      <c r="E11988" s="4" t="s">
        <v>22</v>
      </c>
      <c r="F11988" s="4" t="s">
        <v>60624</v>
      </c>
      <c r="G11988" s="4" t="s">
        <v>60625</v>
      </c>
      <c r="H11988" s="3" t="s">
        <v>60159</v>
      </c>
      <c r="I11988" s="3" t="s">
        <v>60626</v>
      </c>
      <c r="J11988" s="3" t="s">
        <v>60627</v>
      </c>
      <c r="K11988" s="3" t="s">
        <v>60628</v>
      </c>
      <c r="L11988" s="3" t="s">
        <v>60629</v>
      </c>
      <c r="M11988" s="4"/>
      <c r="N11988" s="3" t="s">
        <v>37</v>
      </c>
      <c r="O11988" s="3" t="s">
        <v>46</v>
      </c>
      <c r="P11988" s="5">
        <v>9</v>
      </c>
      <c r="Q11988" s="5">
        <v>137</v>
      </c>
      <c r="R11988" s="5">
        <v>9</v>
      </c>
      <c r="S11988" s="5">
        <v>127</v>
      </c>
    </row>
    <row r="11989" spans="1:19" ht="56" x14ac:dyDescent="0.15">
      <c r="A11989" s="2">
        <f>HYPERLINK("https://open-school.uspishnemisto.com.ua/school/610110/", 610110)</f>
        <v>610110</v>
      </c>
      <c r="B11989" s="3" t="s">
        <v>60630</v>
      </c>
      <c r="C11989" s="3" t="s">
        <v>54</v>
      </c>
      <c r="D11989" s="3" t="s">
        <v>32</v>
      </c>
      <c r="E11989" s="4" t="s">
        <v>22</v>
      </c>
      <c r="F11989" s="4" t="s">
        <v>60624</v>
      </c>
      <c r="G11989" s="4" t="s">
        <v>60625</v>
      </c>
      <c r="H11989" s="3" t="s">
        <v>60159</v>
      </c>
      <c r="I11989" s="3" t="s">
        <v>60626</v>
      </c>
      <c r="J11989" s="3" t="s">
        <v>1410</v>
      </c>
      <c r="K11989" s="3" t="s">
        <v>60631</v>
      </c>
      <c r="L11989" s="3"/>
      <c r="M11989" s="4"/>
      <c r="N11989" s="3" t="s">
        <v>37</v>
      </c>
      <c r="O11989" s="3" t="s">
        <v>46</v>
      </c>
      <c r="P11989" s="5">
        <v>15</v>
      </c>
      <c r="Q11989" s="5">
        <v>308</v>
      </c>
      <c r="R11989" s="5">
        <v>11</v>
      </c>
      <c r="S11989" s="5">
        <v>257</v>
      </c>
    </row>
    <row r="11990" spans="1:19" ht="28" x14ac:dyDescent="0.15">
      <c r="A11990" s="2">
        <f>HYPERLINK("https://open-school.uspishnemisto.com.ua/school/610111/", 610111)</f>
        <v>610111</v>
      </c>
      <c r="B11990" s="3" t="s">
        <v>60632</v>
      </c>
      <c r="C11990" s="3" t="s">
        <v>31</v>
      </c>
      <c r="D11990" s="3" t="s">
        <v>175</v>
      </c>
      <c r="E11990" s="4" t="s">
        <v>22</v>
      </c>
      <c r="F11990" s="4" t="s">
        <v>60633</v>
      </c>
      <c r="G11990" s="4" t="s">
        <v>60634</v>
      </c>
      <c r="H11990" s="3" t="s">
        <v>60159</v>
      </c>
      <c r="I11990" s="3" t="s">
        <v>60635</v>
      </c>
      <c r="J11990" s="3" t="s">
        <v>60636</v>
      </c>
      <c r="K11990" s="3" t="s">
        <v>60637</v>
      </c>
      <c r="L11990" s="3"/>
      <c r="M11990" s="4"/>
      <c r="N11990" s="3" t="s">
        <v>37</v>
      </c>
      <c r="O11990" s="3" t="s">
        <v>46</v>
      </c>
      <c r="P11990" s="5">
        <v>8</v>
      </c>
      <c r="Q11990" s="5">
        <v>69</v>
      </c>
      <c r="R11990" s="5">
        <v>8</v>
      </c>
      <c r="S11990" s="5">
        <v>75</v>
      </c>
    </row>
    <row r="11991" spans="1:19" ht="42" x14ac:dyDescent="0.15">
      <c r="A11991" s="2">
        <f>HYPERLINK("https://open-school.uspishnemisto.com.ua/school/610112/", 610112)</f>
        <v>610112</v>
      </c>
      <c r="B11991" s="3" t="s">
        <v>60638</v>
      </c>
      <c r="C11991" s="3" t="s">
        <v>31</v>
      </c>
      <c r="D11991" s="3" t="s">
        <v>175</v>
      </c>
      <c r="E11991" s="4" t="s">
        <v>22</v>
      </c>
      <c r="F11991" s="4" t="s">
        <v>60639</v>
      </c>
      <c r="G11991" s="4" t="s">
        <v>60640</v>
      </c>
      <c r="H11991" s="3" t="s">
        <v>60159</v>
      </c>
      <c r="I11991" s="3" t="s">
        <v>31644</v>
      </c>
      <c r="J11991" s="3" t="s">
        <v>60641</v>
      </c>
      <c r="K11991" s="3" t="s">
        <v>60642</v>
      </c>
      <c r="L11991" s="3"/>
      <c r="M11991" s="4"/>
      <c r="N11991" s="3" t="s">
        <v>37</v>
      </c>
      <c r="O11991" s="3" t="s">
        <v>46</v>
      </c>
      <c r="P11991" s="5">
        <v>7</v>
      </c>
      <c r="Q11991" s="5">
        <v>49</v>
      </c>
      <c r="R11991" s="5">
        <v>9</v>
      </c>
      <c r="S11991" s="5">
        <v>55</v>
      </c>
    </row>
    <row r="11992" spans="1:19" ht="28" x14ac:dyDescent="0.15">
      <c r="A11992" s="2">
        <f>HYPERLINK("https://open-school.uspishnemisto.com.ua/school/610113/", 610113)</f>
        <v>610113</v>
      </c>
      <c r="B11992" s="3" t="s">
        <v>60643</v>
      </c>
      <c r="C11992" s="3" t="s">
        <v>31</v>
      </c>
      <c r="D11992" s="3" t="s">
        <v>32</v>
      </c>
      <c r="E11992" s="4" t="s">
        <v>22</v>
      </c>
      <c r="F11992" s="4" t="s">
        <v>60644</v>
      </c>
      <c r="G11992" s="4" t="s">
        <v>60645</v>
      </c>
      <c r="H11992" s="3" t="s">
        <v>60159</v>
      </c>
      <c r="I11992" s="3" t="s">
        <v>60646</v>
      </c>
      <c r="J11992" s="3" t="s">
        <v>60647</v>
      </c>
      <c r="K11992" s="3" t="s">
        <v>60648</v>
      </c>
      <c r="L11992" s="3"/>
      <c r="M11992" s="4"/>
      <c r="N11992" s="3" t="s">
        <v>37</v>
      </c>
      <c r="O11992" s="3" t="s">
        <v>46</v>
      </c>
      <c r="P11992" s="5">
        <v>11</v>
      </c>
      <c r="Q11992" s="5">
        <v>175</v>
      </c>
      <c r="R11992" s="5">
        <v>11</v>
      </c>
      <c r="S11992" s="5">
        <v>150</v>
      </c>
    </row>
    <row r="11993" spans="1:19" ht="28" x14ac:dyDescent="0.15">
      <c r="A11993" s="2">
        <f>HYPERLINK("https://open-school.uspishnemisto.com.ua/school/610114/", 610114)</f>
        <v>610114</v>
      </c>
      <c r="B11993" s="3" t="s">
        <v>60649</v>
      </c>
      <c r="C11993" s="3" t="s">
        <v>31</v>
      </c>
      <c r="D11993" s="3" t="s">
        <v>60</v>
      </c>
      <c r="E11993" s="4" t="s">
        <v>22</v>
      </c>
      <c r="F11993" s="4" t="s">
        <v>60644</v>
      </c>
      <c r="G11993" s="4" t="s">
        <v>60650</v>
      </c>
      <c r="H11993" s="3" t="s">
        <v>60159</v>
      </c>
      <c r="I11993" s="3" t="s">
        <v>41188</v>
      </c>
      <c r="J11993" s="3" t="s">
        <v>60651</v>
      </c>
      <c r="K11993" s="3"/>
      <c r="L11993" s="3"/>
      <c r="M11993" s="4"/>
      <c r="N11993" s="3" t="s">
        <v>37</v>
      </c>
      <c r="O11993" s="3" t="s">
        <v>52</v>
      </c>
      <c r="P11993" s="5">
        <v>0</v>
      </c>
      <c r="Q11993" s="5">
        <v>6</v>
      </c>
      <c r="R11993" s="5">
        <v>0</v>
      </c>
      <c r="S11993" s="5">
        <v>6</v>
      </c>
    </row>
    <row r="11994" spans="1:19" ht="28" x14ac:dyDescent="0.15">
      <c r="A11994" s="2">
        <f>HYPERLINK("https://open-school.uspishnemisto.com.ua/school/610115/", 610115)</f>
        <v>610115</v>
      </c>
      <c r="B11994" s="3" t="s">
        <v>60652</v>
      </c>
      <c r="C11994" s="3" t="s">
        <v>31</v>
      </c>
      <c r="D11994" s="3" t="s">
        <v>60</v>
      </c>
      <c r="E11994" s="4" t="s">
        <v>22</v>
      </c>
      <c r="F11994" s="4" t="s">
        <v>60644</v>
      </c>
      <c r="G11994" s="4" t="s">
        <v>60653</v>
      </c>
      <c r="H11994" s="3" t="s">
        <v>60159</v>
      </c>
      <c r="I11994" s="3" t="s">
        <v>60654</v>
      </c>
      <c r="J11994" s="3" t="s">
        <v>60655</v>
      </c>
      <c r="K11994" s="3"/>
      <c r="L11994" s="3"/>
      <c r="M11994" s="4"/>
      <c r="N11994" s="3" t="s">
        <v>37</v>
      </c>
      <c r="O11994" s="3" t="s">
        <v>52</v>
      </c>
      <c r="P11994" s="5">
        <v>0</v>
      </c>
      <c r="Q11994" s="5">
        <v>8</v>
      </c>
      <c r="R11994" s="5">
        <v>0</v>
      </c>
      <c r="S11994" s="5">
        <v>10</v>
      </c>
    </row>
    <row r="11995" spans="1:19" ht="28" x14ac:dyDescent="0.15">
      <c r="A11995" s="2">
        <f>HYPERLINK("https://open-school.uspishnemisto.com.ua/school/610116/", 610116)</f>
        <v>610116</v>
      </c>
      <c r="B11995" s="3" t="s">
        <v>60656</v>
      </c>
      <c r="C11995" s="3" t="s">
        <v>31</v>
      </c>
      <c r="D11995" s="3" t="s">
        <v>175</v>
      </c>
      <c r="E11995" s="4" t="s">
        <v>22</v>
      </c>
      <c r="F11995" s="4" t="s">
        <v>60657</v>
      </c>
      <c r="G11995" s="4" t="s">
        <v>60658</v>
      </c>
      <c r="H11995" s="3" t="s">
        <v>60159</v>
      </c>
      <c r="I11995" s="3" t="s">
        <v>60659</v>
      </c>
      <c r="J11995" s="3" t="s">
        <v>60660</v>
      </c>
      <c r="K11995" s="3" t="s">
        <v>60661</v>
      </c>
      <c r="L11995" s="3"/>
      <c r="M11995" s="4"/>
      <c r="N11995" s="3" t="s">
        <v>37</v>
      </c>
      <c r="O11995" s="3" t="s">
        <v>46</v>
      </c>
      <c r="P11995" s="5">
        <v>9</v>
      </c>
      <c r="Q11995" s="5">
        <v>65</v>
      </c>
      <c r="R11995" s="5">
        <v>9</v>
      </c>
      <c r="S11995" s="5">
        <v>63</v>
      </c>
    </row>
    <row r="11996" spans="1:19" ht="42" x14ac:dyDescent="0.15">
      <c r="A11996" s="2">
        <f>HYPERLINK("https://open-school.uspishnemisto.com.ua/school/610117/", 610117)</f>
        <v>610117</v>
      </c>
      <c r="B11996" s="3" t="s">
        <v>60662</v>
      </c>
      <c r="C11996" s="3" t="s">
        <v>54</v>
      </c>
      <c r="D11996" s="3" t="s">
        <v>60</v>
      </c>
      <c r="E11996" s="4" t="s">
        <v>22</v>
      </c>
      <c r="F11996" s="4" t="s">
        <v>60663</v>
      </c>
      <c r="G11996" s="4" t="s">
        <v>60664</v>
      </c>
      <c r="H11996" s="3" t="s">
        <v>60159</v>
      </c>
      <c r="I11996" s="3" t="s">
        <v>60665</v>
      </c>
      <c r="J11996" s="3" t="s">
        <v>60666</v>
      </c>
      <c r="K11996" s="3" t="s">
        <v>60667</v>
      </c>
      <c r="L11996" s="3"/>
      <c r="M11996" s="4"/>
      <c r="N11996" s="3" t="s">
        <v>37</v>
      </c>
      <c r="O11996" s="3" t="s">
        <v>52</v>
      </c>
      <c r="P11996" s="5">
        <v>2</v>
      </c>
      <c r="Q11996" s="5">
        <v>15</v>
      </c>
      <c r="R11996" s="5">
        <v>3</v>
      </c>
      <c r="S11996" s="5">
        <v>16</v>
      </c>
    </row>
    <row r="11997" spans="1:19" ht="28" x14ac:dyDescent="0.15">
      <c r="A11997" s="2">
        <f>HYPERLINK("https://open-school.uspishnemisto.com.ua/school/610118/", 610118)</f>
        <v>610118</v>
      </c>
      <c r="B11997" s="3" t="s">
        <v>60668</v>
      </c>
      <c r="C11997" s="3" t="s">
        <v>31</v>
      </c>
      <c r="D11997" s="3" t="s">
        <v>175</v>
      </c>
      <c r="E11997" s="4" t="s">
        <v>22</v>
      </c>
      <c r="F11997" s="4" t="s">
        <v>60669</v>
      </c>
      <c r="G11997" s="4" t="s">
        <v>60670</v>
      </c>
      <c r="H11997" s="3" t="s">
        <v>60159</v>
      </c>
      <c r="I11997" s="3" t="s">
        <v>60671</v>
      </c>
      <c r="J11997" s="3" t="s">
        <v>466</v>
      </c>
      <c r="K11997" s="3" t="s">
        <v>60672</v>
      </c>
      <c r="L11997" s="3"/>
      <c r="M11997" s="4"/>
      <c r="N11997" s="3" t="s">
        <v>37</v>
      </c>
      <c r="O11997" s="3" t="s">
        <v>46</v>
      </c>
      <c r="P11997" s="5">
        <v>9</v>
      </c>
      <c r="Q11997" s="5">
        <v>112</v>
      </c>
      <c r="R11997" s="5">
        <v>9</v>
      </c>
      <c r="S11997" s="5">
        <v>108</v>
      </c>
    </row>
    <row r="11998" spans="1:19" ht="28" x14ac:dyDescent="0.15">
      <c r="A11998" s="2">
        <f>HYPERLINK("https://open-school.uspishnemisto.com.ua/school/610119/", 610119)</f>
        <v>610119</v>
      </c>
      <c r="B11998" s="3" t="s">
        <v>60673</v>
      </c>
      <c r="C11998" s="3" t="s">
        <v>31</v>
      </c>
      <c r="D11998" s="3" t="s">
        <v>32</v>
      </c>
      <c r="E11998" s="4" t="s">
        <v>22</v>
      </c>
      <c r="F11998" s="4" t="s">
        <v>60674</v>
      </c>
      <c r="G11998" s="4" t="s">
        <v>60675</v>
      </c>
      <c r="H11998" s="3" t="s">
        <v>60159</v>
      </c>
      <c r="I11998" s="3" t="s">
        <v>28056</v>
      </c>
      <c r="J11998" s="3" t="s">
        <v>60676</v>
      </c>
      <c r="K11998" s="3" t="s">
        <v>60677</v>
      </c>
      <c r="L11998" s="3"/>
      <c r="M11998" s="4"/>
      <c r="N11998" s="3" t="s">
        <v>37</v>
      </c>
      <c r="O11998" s="3" t="s">
        <v>52</v>
      </c>
      <c r="P11998" s="5">
        <v>8</v>
      </c>
      <c r="Q11998" s="5">
        <v>151</v>
      </c>
      <c r="R11998" s="5">
        <v>9</v>
      </c>
      <c r="S11998" s="5">
        <v>160</v>
      </c>
    </row>
    <row r="11999" spans="1:19" ht="28" x14ac:dyDescent="0.15">
      <c r="A11999" s="2">
        <f>HYPERLINK("https://open-school.uspishnemisto.com.ua/school/610120/", 610120)</f>
        <v>610120</v>
      </c>
      <c r="B11999" s="3" t="s">
        <v>60678</v>
      </c>
      <c r="C11999" s="3" t="s">
        <v>54</v>
      </c>
      <c r="D11999" s="3" t="s">
        <v>60</v>
      </c>
      <c r="E11999" s="4" t="s">
        <v>22</v>
      </c>
      <c r="F11999" s="4" t="s">
        <v>60674</v>
      </c>
      <c r="G11999" s="4" t="s">
        <v>60679</v>
      </c>
      <c r="H11999" s="3" t="s">
        <v>60159</v>
      </c>
      <c r="I11999" s="3" t="s">
        <v>60680</v>
      </c>
      <c r="J11999" s="3" t="s">
        <v>60681</v>
      </c>
      <c r="K11999" s="3" t="s">
        <v>60682</v>
      </c>
      <c r="L11999" s="3"/>
      <c r="M11999" s="4"/>
      <c r="N11999" s="3" t="s">
        <v>37</v>
      </c>
      <c r="O11999" s="3" t="s">
        <v>52</v>
      </c>
      <c r="P11999" s="5">
        <v>1</v>
      </c>
      <c r="Q11999" s="5">
        <v>17</v>
      </c>
      <c r="R11999" s="5">
        <v>2</v>
      </c>
      <c r="S11999" s="5">
        <v>19</v>
      </c>
    </row>
    <row r="12000" spans="1:19" ht="28" x14ac:dyDescent="0.15">
      <c r="A12000" s="2">
        <f>HYPERLINK("https://open-school.uspishnemisto.com.ua/school/610121/", 610121)</f>
        <v>610121</v>
      </c>
      <c r="B12000" s="3" t="s">
        <v>60683</v>
      </c>
      <c r="C12000" s="3" t="s">
        <v>54</v>
      </c>
      <c r="D12000" s="3" t="s">
        <v>60</v>
      </c>
      <c r="E12000" s="4" t="s">
        <v>22</v>
      </c>
      <c r="F12000" s="4" t="s">
        <v>60684</v>
      </c>
      <c r="G12000" s="4" t="s">
        <v>60685</v>
      </c>
      <c r="H12000" s="3" t="s">
        <v>60159</v>
      </c>
      <c r="I12000" s="3" t="s">
        <v>60686</v>
      </c>
      <c r="J12000" s="3" t="s">
        <v>11874</v>
      </c>
      <c r="K12000" s="3" t="s">
        <v>60687</v>
      </c>
      <c r="L12000" s="3"/>
      <c r="M12000" s="4"/>
      <c r="N12000" s="3" t="s">
        <v>37</v>
      </c>
      <c r="O12000" s="3" t="s">
        <v>52</v>
      </c>
      <c r="P12000" s="5">
        <v>2</v>
      </c>
      <c r="Q12000" s="5">
        <v>22</v>
      </c>
      <c r="R12000" s="5">
        <v>3</v>
      </c>
      <c r="S12000" s="5">
        <v>24</v>
      </c>
    </row>
    <row r="12001" spans="1:19" ht="28" x14ac:dyDescent="0.15">
      <c r="A12001" s="2">
        <f>HYPERLINK("https://open-school.uspishnemisto.com.ua/school/610122/", 610122)</f>
        <v>610122</v>
      </c>
      <c r="B12001" s="3" t="s">
        <v>60688</v>
      </c>
      <c r="C12001" s="3" t="s">
        <v>54</v>
      </c>
      <c r="D12001" s="3" t="s">
        <v>60</v>
      </c>
      <c r="E12001" s="4" t="s">
        <v>22</v>
      </c>
      <c r="F12001" s="4" t="s">
        <v>60689</v>
      </c>
      <c r="G12001" s="4" t="s">
        <v>60690</v>
      </c>
      <c r="H12001" s="3" t="s">
        <v>60159</v>
      </c>
      <c r="I12001" s="3" t="s">
        <v>60691</v>
      </c>
      <c r="J12001" s="3" t="s">
        <v>7304</v>
      </c>
      <c r="K12001" s="3" t="s">
        <v>60692</v>
      </c>
      <c r="L12001" s="3"/>
      <c r="M12001" s="4"/>
      <c r="N12001" s="3" t="s">
        <v>37</v>
      </c>
      <c r="O12001" s="3" t="s">
        <v>52</v>
      </c>
      <c r="P12001" s="5">
        <v>3</v>
      </c>
      <c r="Q12001" s="5">
        <v>19</v>
      </c>
      <c r="R12001" s="5">
        <v>4</v>
      </c>
      <c r="S12001" s="5">
        <v>25</v>
      </c>
    </row>
    <row r="12002" spans="1:19" ht="28" x14ac:dyDescent="0.15">
      <c r="A12002" s="2">
        <f>HYPERLINK("https://open-school.uspishnemisto.com.ua/school/610123/", 610123)</f>
        <v>610123</v>
      </c>
      <c r="B12002" s="3" t="s">
        <v>60693</v>
      </c>
      <c r="C12002" s="3" t="s">
        <v>31</v>
      </c>
      <c r="D12002" s="3" t="s">
        <v>60</v>
      </c>
      <c r="E12002" s="4" t="s">
        <v>22</v>
      </c>
      <c r="F12002" s="4" t="s">
        <v>60674</v>
      </c>
      <c r="G12002" s="4" t="s">
        <v>60694</v>
      </c>
      <c r="H12002" s="3" t="s">
        <v>60159</v>
      </c>
      <c r="I12002" s="3" t="s">
        <v>60695</v>
      </c>
      <c r="J12002" s="3" t="s">
        <v>60696</v>
      </c>
      <c r="K12002" s="3" t="s">
        <v>60697</v>
      </c>
      <c r="L12002" s="3"/>
      <c r="M12002" s="4"/>
      <c r="N12002" s="3" t="s">
        <v>37</v>
      </c>
      <c r="O12002" s="3" t="s">
        <v>52</v>
      </c>
      <c r="P12002" s="5">
        <v>0</v>
      </c>
      <c r="Q12002" s="5">
        <v>9</v>
      </c>
      <c r="R12002" s="5">
        <v>0</v>
      </c>
      <c r="S12002" s="5">
        <v>9</v>
      </c>
    </row>
    <row r="12003" spans="1:19" ht="28" x14ac:dyDescent="0.15">
      <c r="A12003" s="2">
        <f>HYPERLINK("https://open-school.uspishnemisto.com.ua/school/610124/", 610124)</f>
        <v>610124</v>
      </c>
      <c r="B12003" s="3" t="s">
        <v>60698</v>
      </c>
      <c r="C12003" s="3" t="s">
        <v>54</v>
      </c>
      <c r="D12003" s="3" t="s">
        <v>60</v>
      </c>
      <c r="E12003" s="4" t="s">
        <v>22</v>
      </c>
      <c r="F12003" s="4" t="s">
        <v>60699</v>
      </c>
      <c r="G12003" s="4" t="s">
        <v>60700</v>
      </c>
      <c r="H12003" s="3" t="s">
        <v>60159</v>
      </c>
      <c r="I12003" s="3" t="s">
        <v>60701</v>
      </c>
      <c r="J12003" s="3" t="s">
        <v>2745</v>
      </c>
      <c r="K12003" s="3"/>
      <c r="L12003" s="3"/>
      <c r="M12003" s="4"/>
      <c r="N12003" s="3" t="s">
        <v>37</v>
      </c>
      <c r="O12003" s="3" t="s">
        <v>52</v>
      </c>
      <c r="P12003" s="5">
        <v>0</v>
      </c>
      <c r="Q12003" s="5">
        <v>0</v>
      </c>
      <c r="R12003" s="5">
        <v>3</v>
      </c>
      <c r="S12003" s="5">
        <v>20</v>
      </c>
    </row>
    <row r="12004" spans="1:19" ht="28" x14ac:dyDescent="0.15">
      <c r="A12004" s="2">
        <f>HYPERLINK("https://open-school.uspishnemisto.com.ua/school/610125/", 610125)</f>
        <v>610125</v>
      </c>
      <c r="B12004" s="3" t="s">
        <v>60702</v>
      </c>
      <c r="C12004" s="3" t="s">
        <v>31</v>
      </c>
      <c r="D12004" s="3" t="s">
        <v>32</v>
      </c>
      <c r="E12004" s="4" t="s">
        <v>22</v>
      </c>
      <c r="F12004" s="4" t="s">
        <v>60703</v>
      </c>
      <c r="G12004" s="4" t="s">
        <v>60704</v>
      </c>
      <c r="H12004" s="3" t="s">
        <v>60159</v>
      </c>
      <c r="I12004" s="3" t="s">
        <v>60705</v>
      </c>
      <c r="J12004" s="3" t="s">
        <v>60706</v>
      </c>
      <c r="K12004" s="3" t="s">
        <v>60707</v>
      </c>
      <c r="L12004" s="3"/>
      <c r="M12004" s="4"/>
      <c r="N12004" s="3" t="s">
        <v>37</v>
      </c>
      <c r="O12004" s="3" t="s">
        <v>2740</v>
      </c>
      <c r="P12004" s="5">
        <v>11</v>
      </c>
      <c r="Q12004" s="5">
        <v>140</v>
      </c>
      <c r="R12004" s="5">
        <v>11</v>
      </c>
      <c r="S12004" s="5">
        <v>154</v>
      </c>
    </row>
    <row r="12005" spans="1:19" ht="28" x14ac:dyDescent="0.15">
      <c r="A12005" s="2">
        <f>HYPERLINK("https://open-school.uspishnemisto.com.ua/school/610126/", 610126)</f>
        <v>610126</v>
      </c>
      <c r="B12005" s="3" t="s">
        <v>60708</v>
      </c>
      <c r="C12005" s="3" t="s">
        <v>31</v>
      </c>
      <c r="D12005" s="3" t="s">
        <v>32</v>
      </c>
      <c r="E12005" s="4" t="s">
        <v>22</v>
      </c>
      <c r="F12005" s="4" t="s">
        <v>60709</v>
      </c>
      <c r="G12005" s="4" t="s">
        <v>60710</v>
      </c>
      <c r="H12005" s="3" t="s">
        <v>60159</v>
      </c>
      <c r="I12005" s="3" t="s">
        <v>3614</v>
      </c>
      <c r="J12005" s="3" t="s">
        <v>60711</v>
      </c>
      <c r="K12005" s="3" t="s">
        <v>60712</v>
      </c>
      <c r="L12005" s="3"/>
      <c r="M12005" s="4"/>
      <c r="N12005" s="3" t="s">
        <v>37</v>
      </c>
      <c r="O12005" s="3" t="s">
        <v>46</v>
      </c>
      <c r="P12005" s="5">
        <v>10</v>
      </c>
      <c r="Q12005" s="5">
        <v>125</v>
      </c>
      <c r="R12005" s="5">
        <v>11</v>
      </c>
      <c r="S12005" s="5">
        <v>127</v>
      </c>
    </row>
    <row r="12006" spans="1:19" ht="28" x14ac:dyDescent="0.15">
      <c r="A12006" s="2">
        <f>HYPERLINK("https://open-school.uspishnemisto.com.ua/school/610127/", 610127)</f>
        <v>610127</v>
      </c>
      <c r="B12006" s="3" t="s">
        <v>60713</v>
      </c>
      <c r="C12006" s="3" t="s">
        <v>31</v>
      </c>
      <c r="D12006" s="3" t="s">
        <v>32</v>
      </c>
      <c r="E12006" s="4" t="s">
        <v>22</v>
      </c>
      <c r="F12006" s="4" t="s">
        <v>60714</v>
      </c>
      <c r="G12006" s="4" t="s">
        <v>60715</v>
      </c>
      <c r="H12006" s="3" t="s">
        <v>60159</v>
      </c>
      <c r="I12006" s="3" t="s">
        <v>60716</v>
      </c>
      <c r="J12006" s="3" t="s">
        <v>20228</v>
      </c>
      <c r="K12006" s="3" t="s">
        <v>60717</v>
      </c>
      <c r="L12006" s="3"/>
      <c r="M12006" s="4"/>
      <c r="N12006" s="3" t="s">
        <v>37</v>
      </c>
      <c r="O12006" s="3" t="s">
        <v>52</v>
      </c>
      <c r="P12006" s="5">
        <v>11</v>
      </c>
      <c r="Q12006" s="5">
        <v>184</v>
      </c>
      <c r="R12006" s="5">
        <v>11</v>
      </c>
      <c r="S12006" s="5">
        <v>182</v>
      </c>
    </row>
    <row r="12007" spans="1:19" ht="28" x14ac:dyDescent="0.15">
      <c r="A12007" s="2">
        <f>HYPERLINK("https://open-school.uspishnemisto.com.ua/school/610128/", 610128)</f>
        <v>610128</v>
      </c>
      <c r="B12007" s="3" t="s">
        <v>60718</v>
      </c>
      <c r="C12007" s="3" t="s">
        <v>31</v>
      </c>
      <c r="D12007" s="3" t="s">
        <v>175</v>
      </c>
      <c r="E12007" s="4" t="s">
        <v>22</v>
      </c>
      <c r="F12007" s="4" t="s">
        <v>60719</v>
      </c>
      <c r="G12007" s="4" t="s">
        <v>60720</v>
      </c>
      <c r="H12007" s="3" t="s">
        <v>60159</v>
      </c>
      <c r="I12007" s="3" t="s">
        <v>60721</v>
      </c>
      <c r="J12007" s="3" t="s">
        <v>60722</v>
      </c>
      <c r="K12007" s="3" t="s">
        <v>60723</v>
      </c>
      <c r="L12007" s="3"/>
      <c r="M12007" s="4"/>
      <c r="N12007" s="3" t="s">
        <v>37</v>
      </c>
      <c r="O12007" s="3" t="s">
        <v>46</v>
      </c>
      <c r="P12007" s="5">
        <v>5</v>
      </c>
      <c r="Q12007" s="5">
        <v>45</v>
      </c>
      <c r="R12007" s="5">
        <v>5</v>
      </c>
      <c r="S12007" s="5">
        <v>47</v>
      </c>
    </row>
    <row r="12008" spans="1:19" ht="28" x14ac:dyDescent="0.15">
      <c r="A12008" s="2">
        <f>HYPERLINK("https://open-school.uspishnemisto.com.ua/school/610129/", 610129)</f>
        <v>610129</v>
      </c>
      <c r="B12008" s="3" t="s">
        <v>60724</v>
      </c>
      <c r="C12008" s="3" t="s">
        <v>31</v>
      </c>
      <c r="D12008" s="3" t="s">
        <v>175</v>
      </c>
      <c r="E12008" s="4" t="s">
        <v>22</v>
      </c>
      <c r="F12008" s="4" t="s">
        <v>60725</v>
      </c>
      <c r="G12008" s="4" t="s">
        <v>60726</v>
      </c>
      <c r="H12008" s="3" t="s">
        <v>60159</v>
      </c>
      <c r="I12008" s="3" t="s">
        <v>60727</v>
      </c>
      <c r="J12008" s="3" t="s">
        <v>1636</v>
      </c>
      <c r="K12008" s="3" t="s">
        <v>60728</v>
      </c>
      <c r="L12008" s="3" t="s">
        <v>60729</v>
      </c>
      <c r="M12008" s="4"/>
      <c r="N12008" s="3" t="s">
        <v>37</v>
      </c>
      <c r="O12008" s="3" t="s">
        <v>46</v>
      </c>
      <c r="P12008" s="5">
        <v>6</v>
      </c>
      <c r="Q12008" s="5">
        <v>46</v>
      </c>
      <c r="R12008" s="5">
        <v>6</v>
      </c>
      <c r="S12008" s="5">
        <v>49</v>
      </c>
    </row>
    <row r="12009" spans="1:19" ht="28" x14ac:dyDescent="0.15">
      <c r="A12009" s="2">
        <f>HYPERLINK("https://open-school.uspishnemisto.com.ua/school/610130/", 610130)</f>
        <v>610130</v>
      </c>
      <c r="B12009" s="3" t="s">
        <v>60730</v>
      </c>
      <c r="C12009" s="3" t="s">
        <v>31</v>
      </c>
      <c r="D12009" s="3" t="s">
        <v>175</v>
      </c>
      <c r="E12009" s="4" t="s">
        <v>22</v>
      </c>
      <c r="F12009" s="4" t="s">
        <v>60731</v>
      </c>
      <c r="G12009" s="4" t="s">
        <v>60732</v>
      </c>
      <c r="H12009" s="3" t="s">
        <v>60159</v>
      </c>
      <c r="I12009" s="3" t="s">
        <v>5865</v>
      </c>
      <c r="J12009" s="3" t="s">
        <v>60733</v>
      </c>
      <c r="K12009" s="3" t="s">
        <v>60734</v>
      </c>
      <c r="L12009" s="3"/>
      <c r="M12009" s="4"/>
      <c r="N12009" s="3" t="s">
        <v>37</v>
      </c>
      <c r="O12009" s="3" t="s">
        <v>52</v>
      </c>
      <c r="P12009" s="5">
        <v>9</v>
      </c>
      <c r="Q12009" s="5">
        <v>61</v>
      </c>
      <c r="R12009" s="5">
        <v>8</v>
      </c>
      <c r="S12009" s="5">
        <v>59</v>
      </c>
    </row>
    <row r="12010" spans="1:19" ht="28" x14ac:dyDescent="0.15">
      <c r="A12010" s="2">
        <f>HYPERLINK("https://open-school.uspishnemisto.com.ua/school/610131/", 610131)</f>
        <v>610131</v>
      </c>
      <c r="B12010" s="3" t="s">
        <v>16731</v>
      </c>
      <c r="C12010" s="3" t="s">
        <v>31</v>
      </c>
      <c r="D12010" s="3" t="s">
        <v>32</v>
      </c>
      <c r="E12010" s="4" t="s">
        <v>22</v>
      </c>
      <c r="F12010" s="4" t="s">
        <v>60735</v>
      </c>
      <c r="G12010" s="4" t="s">
        <v>60736</v>
      </c>
      <c r="H12010" s="3" t="s">
        <v>60159</v>
      </c>
      <c r="I12010" s="3" t="s">
        <v>16734</v>
      </c>
      <c r="J12010" s="3" t="s">
        <v>60737</v>
      </c>
      <c r="K12010" s="3" t="s">
        <v>60738</v>
      </c>
      <c r="L12010" s="3"/>
      <c r="M12010" s="4"/>
      <c r="N12010" s="3" t="s">
        <v>37</v>
      </c>
      <c r="O12010" s="3" t="s">
        <v>46</v>
      </c>
      <c r="P12010" s="5">
        <v>11</v>
      </c>
      <c r="Q12010" s="5">
        <v>199</v>
      </c>
      <c r="R12010" s="5">
        <v>11</v>
      </c>
      <c r="S12010" s="5">
        <v>190</v>
      </c>
    </row>
    <row r="12011" spans="1:19" ht="28" x14ac:dyDescent="0.15">
      <c r="A12011" s="2">
        <f>HYPERLINK("https://open-school.uspishnemisto.com.ua/school/610132/", 610132)</f>
        <v>610132</v>
      </c>
      <c r="B12011" s="3" t="s">
        <v>60739</v>
      </c>
      <c r="C12011" s="3" t="s">
        <v>31</v>
      </c>
      <c r="D12011" s="3" t="s">
        <v>60</v>
      </c>
      <c r="E12011" s="4" t="s">
        <v>22</v>
      </c>
      <c r="F12011" s="4" t="s">
        <v>60740</v>
      </c>
      <c r="G12011" s="4" t="s">
        <v>60741</v>
      </c>
      <c r="H12011" s="3" t="s">
        <v>60159</v>
      </c>
      <c r="I12011" s="3" t="s">
        <v>60742</v>
      </c>
      <c r="J12011" s="3" t="s">
        <v>1348</v>
      </c>
      <c r="K12011" s="3"/>
      <c r="L12011" s="3"/>
      <c r="M12011" s="4"/>
      <c r="N12011" s="3" t="s">
        <v>37</v>
      </c>
      <c r="O12011" s="3" t="s">
        <v>618</v>
      </c>
      <c r="P12011" s="5">
        <v>0</v>
      </c>
      <c r="Q12011" s="5">
        <v>9</v>
      </c>
      <c r="R12011" s="5">
        <v>0</v>
      </c>
      <c r="S12011" s="5">
        <v>9</v>
      </c>
    </row>
    <row r="12012" spans="1:19" ht="28" x14ac:dyDescent="0.15">
      <c r="A12012" s="2">
        <f>HYPERLINK("https://open-school.uspishnemisto.com.ua/school/610133/", 610133)</f>
        <v>610133</v>
      </c>
      <c r="B12012" s="3" t="s">
        <v>60743</v>
      </c>
      <c r="C12012" s="3" t="s">
        <v>31</v>
      </c>
      <c r="D12012" s="3" t="s">
        <v>32</v>
      </c>
      <c r="E12012" s="4" t="s">
        <v>22</v>
      </c>
      <c r="F12012" s="4" t="s">
        <v>60744</v>
      </c>
      <c r="G12012" s="4" t="s">
        <v>60745</v>
      </c>
      <c r="H12012" s="3" t="s">
        <v>60159</v>
      </c>
      <c r="I12012" s="3" t="s">
        <v>60746</v>
      </c>
      <c r="J12012" s="3" t="s">
        <v>16570</v>
      </c>
      <c r="K12012" s="3" t="s">
        <v>60747</v>
      </c>
      <c r="L12012" s="3"/>
      <c r="M12012" s="4"/>
      <c r="N12012" s="3" t="s">
        <v>37</v>
      </c>
      <c r="O12012" s="3" t="s">
        <v>52</v>
      </c>
      <c r="P12012" s="5">
        <v>11</v>
      </c>
      <c r="Q12012" s="5">
        <v>174</v>
      </c>
      <c r="R12012" s="5">
        <v>11</v>
      </c>
      <c r="S12012" s="5">
        <v>173</v>
      </c>
    </row>
    <row r="12013" spans="1:19" ht="42" x14ac:dyDescent="0.15">
      <c r="A12013" s="2">
        <f>HYPERLINK("https://open-school.uspishnemisto.com.ua/school/610134/", 610134)</f>
        <v>610134</v>
      </c>
      <c r="B12013" s="3" t="s">
        <v>60748</v>
      </c>
      <c r="C12013" s="3" t="s">
        <v>54</v>
      </c>
      <c r="D12013" s="3" t="s">
        <v>60</v>
      </c>
      <c r="E12013" s="4" t="s">
        <v>22</v>
      </c>
      <c r="F12013" s="4" t="s">
        <v>60731</v>
      </c>
      <c r="G12013" s="4" t="s">
        <v>60749</v>
      </c>
      <c r="H12013" s="3" t="s">
        <v>60159</v>
      </c>
      <c r="I12013" s="3" t="s">
        <v>60750</v>
      </c>
      <c r="J12013" s="3" t="s">
        <v>297</v>
      </c>
      <c r="K12013" s="3" t="s">
        <v>60751</v>
      </c>
      <c r="L12013" s="3"/>
      <c r="M12013" s="4"/>
      <c r="N12013" s="3" t="s">
        <v>37</v>
      </c>
      <c r="O12013" s="3" t="s">
        <v>618</v>
      </c>
      <c r="P12013" s="5">
        <v>2</v>
      </c>
      <c r="Q12013" s="5">
        <v>14</v>
      </c>
      <c r="R12013" s="5">
        <v>2</v>
      </c>
      <c r="S12013" s="5">
        <v>15</v>
      </c>
    </row>
    <row r="12014" spans="1:19" ht="28" x14ac:dyDescent="0.15">
      <c r="A12014" s="2">
        <f>HYPERLINK("https://open-school.uspishnemisto.com.ua/school/610135/", 610135)</f>
        <v>610135</v>
      </c>
      <c r="B12014" s="3" t="s">
        <v>60752</v>
      </c>
      <c r="C12014" s="3" t="s">
        <v>31</v>
      </c>
      <c r="D12014" s="3" t="s">
        <v>32</v>
      </c>
      <c r="E12014" s="4" t="s">
        <v>22</v>
      </c>
      <c r="F12014" s="4" t="s">
        <v>60753</v>
      </c>
      <c r="G12014" s="4" t="s">
        <v>60754</v>
      </c>
      <c r="H12014" s="3" t="s">
        <v>60159</v>
      </c>
      <c r="I12014" s="3" t="s">
        <v>60755</v>
      </c>
      <c r="J12014" s="3" t="s">
        <v>60756</v>
      </c>
      <c r="K12014" s="3" t="s">
        <v>60757</v>
      </c>
      <c r="L12014" s="3" t="s">
        <v>60758</v>
      </c>
      <c r="M12014" s="4"/>
      <c r="N12014" s="3" t="s">
        <v>37</v>
      </c>
      <c r="O12014" s="3" t="s">
        <v>46</v>
      </c>
      <c r="P12014" s="5">
        <v>10</v>
      </c>
      <c r="Q12014" s="5">
        <v>115</v>
      </c>
      <c r="R12014" s="5">
        <v>11</v>
      </c>
      <c r="S12014" s="5">
        <v>114</v>
      </c>
    </row>
    <row r="12015" spans="1:19" ht="28" x14ac:dyDescent="0.15">
      <c r="A12015" s="2">
        <f>HYPERLINK("https://open-school.uspishnemisto.com.ua/school/610136/", 610136)</f>
        <v>610136</v>
      </c>
      <c r="B12015" s="3" t="s">
        <v>60759</v>
      </c>
      <c r="C12015" s="3" t="s">
        <v>31</v>
      </c>
      <c r="D12015" s="3" t="s">
        <v>175</v>
      </c>
      <c r="E12015" s="4" t="s">
        <v>22</v>
      </c>
      <c r="F12015" s="4" t="s">
        <v>60760</v>
      </c>
      <c r="G12015" s="4" t="s">
        <v>60761</v>
      </c>
      <c r="H12015" s="3" t="s">
        <v>60159</v>
      </c>
      <c r="I12015" s="3" t="s">
        <v>12202</v>
      </c>
      <c r="J12015" s="3" t="s">
        <v>21573</v>
      </c>
      <c r="K12015" s="3" t="s">
        <v>60762</v>
      </c>
      <c r="L12015" s="3"/>
      <c r="M12015" s="4"/>
      <c r="N12015" s="3" t="s">
        <v>37</v>
      </c>
      <c r="O12015" s="3" t="s">
        <v>46</v>
      </c>
      <c r="P12015" s="5">
        <v>8</v>
      </c>
      <c r="Q12015" s="5">
        <v>75</v>
      </c>
      <c r="R12015" s="5">
        <v>9</v>
      </c>
      <c r="S12015" s="5">
        <v>84</v>
      </c>
    </row>
    <row r="12016" spans="1:19" ht="28" x14ac:dyDescent="0.15">
      <c r="A12016" s="2">
        <f>HYPERLINK("https://open-school.uspishnemisto.com.ua/school/610137/", 610137)</f>
        <v>610137</v>
      </c>
      <c r="B12016" s="3" t="s">
        <v>60763</v>
      </c>
      <c r="C12016" s="3" t="s">
        <v>31</v>
      </c>
      <c r="D12016" s="3" t="s">
        <v>32</v>
      </c>
      <c r="E12016" s="4" t="s">
        <v>22</v>
      </c>
      <c r="F12016" s="4" t="s">
        <v>60764</v>
      </c>
      <c r="G12016" s="4" t="s">
        <v>60765</v>
      </c>
      <c r="H12016" s="3" t="s">
        <v>60159</v>
      </c>
      <c r="I12016" s="3" t="s">
        <v>60766</v>
      </c>
      <c r="J12016" s="3" t="s">
        <v>1348</v>
      </c>
      <c r="K12016" s="3" t="s">
        <v>60767</v>
      </c>
      <c r="L12016" s="3"/>
      <c r="M12016" s="4"/>
      <c r="N12016" s="3" t="s">
        <v>37</v>
      </c>
      <c r="O12016" s="3" t="s">
        <v>46</v>
      </c>
      <c r="P12016" s="5">
        <v>11</v>
      </c>
      <c r="Q12016" s="5">
        <v>152</v>
      </c>
      <c r="R12016" s="5">
        <v>11</v>
      </c>
      <c r="S12016" s="5">
        <v>160</v>
      </c>
    </row>
    <row r="12017" spans="1:19" ht="28" x14ac:dyDescent="0.15">
      <c r="A12017" s="2">
        <f>HYPERLINK("https://open-school.uspishnemisto.com.ua/school/610138/", 610138)</f>
        <v>610138</v>
      </c>
      <c r="B12017" s="3" t="s">
        <v>60768</v>
      </c>
      <c r="C12017" s="3" t="s">
        <v>31</v>
      </c>
      <c r="D12017" s="3" t="s">
        <v>32</v>
      </c>
      <c r="E12017" s="4" t="s">
        <v>22</v>
      </c>
      <c r="F12017" s="4" t="s">
        <v>60769</v>
      </c>
      <c r="G12017" s="4" t="s">
        <v>60770</v>
      </c>
      <c r="H12017" s="3" t="s">
        <v>60159</v>
      </c>
      <c r="I12017" s="3" t="s">
        <v>60771</v>
      </c>
      <c r="J12017" s="3" t="s">
        <v>8007</v>
      </c>
      <c r="K12017" s="3" t="s">
        <v>60772</v>
      </c>
      <c r="L12017" s="3"/>
      <c r="M12017" s="4"/>
      <c r="N12017" s="3" t="s">
        <v>37</v>
      </c>
      <c r="O12017" s="3" t="s">
        <v>52</v>
      </c>
      <c r="P12017" s="5">
        <v>11</v>
      </c>
      <c r="Q12017" s="5">
        <v>190</v>
      </c>
      <c r="R12017" s="5">
        <v>10</v>
      </c>
      <c r="S12017" s="5">
        <v>186</v>
      </c>
    </row>
    <row r="12018" spans="1:19" ht="42" x14ac:dyDescent="0.15">
      <c r="A12018" s="2">
        <f>HYPERLINK("https://open-school.uspishnemisto.com.ua/school/610139/", 610139)</f>
        <v>610139</v>
      </c>
      <c r="B12018" s="3" t="s">
        <v>60773</v>
      </c>
      <c r="C12018" s="3" t="s">
        <v>54</v>
      </c>
      <c r="D12018" s="3" t="s">
        <v>60</v>
      </c>
      <c r="E12018" s="4" t="s">
        <v>22</v>
      </c>
      <c r="F12018" s="4" t="s">
        <v>60769</v>
      </c>
      <c r="G12018" s="4" t="s">
        <v>60774</v>
      </c>
      <c r="H12018" s="3" t="s">
        <v>60159</v>
      </c>
      <c r="I12018" s="3" t="s">
        <v>688</v>
      </c>
      <c r="J12018" s="3" t="s">
        <v>60775</v>
      </c>
      <c r="K12018" s="3" t="s">
        <v>60776</v>
      </c>
      <c r="L12018" s="3"/>
      <c r="M12018" s="4"/>
      <c r="N12018" s="3" t="s">
        <v>37</v>
      </c>
      <c r="O12018" s="3" t="s">
        <v>52</v>
      </c>
      <c r="P12018" s="5">
        <v>4</v>
      </c>
      <c r="Q12018" s="5">
        <v>29</v>
      </c>
      <c r="R12018" s="5">
        <v>4</v>
      </c>
      <c r="S12018" s="5">
        <v>30</v>
      </c>
    </row>
    <row r="12019" spans="1:19" ht="28" x14ac:dyDescent="0.15">
      <c r="A12019" s="2">
        <f>HYPERLINK("https://open-school.uspishnemisto.com.ua/school/610140/", 610140)</f>
        <v>610140</v>
      </c>
      <c r="B12019" s="3" t="s">
        <v>60777</v>
      </c>
      <c r="C12019" s="3" t="s">
        <v>31</v>
      </c>
      <c r="D12019" s="3" t="s">
        <v>175</v>
      </c>
      <c r="E12019" s="4" t="s">
        <v>22</v>
      </c>
      <c r="F12019" s="4" t="s">
        <v>60778</v>
      </c>
      <c r="G12019" s="4" t="s">
        <v>60779</v>
      </c>
      <c r="H12019" s="3" t="s">
        <v>60159</v>
      </c>
      <c r="I12019" s="3" t="s">
        <v>60780</v>
      </c>
      <c r="J12019" s="3" t="s">
        <v>60781</v>
      </c>
      <c r="K12019" s="3" t="s">
        <v>60782</v>
      </c>
      <c r="L12019" s="3"/>
      <c r="M12019" s="4"/>
      <c r="N12019" s="3" t="s">
        <v>37</v>
      </c>
      <c r="O12019" s="3" t="s">
        <v>46</v>
      </c>
      <c r="P12019" s="5">
        <v>9</v>
      </c>
      <c r="Q12019" s="5">
        <v>149</v>
      </c>
      <c r="R12019" s="5">
        <v>9</v>
      </c>
      <c r="S12019" s="5">
        <v>140</v>
      </c>
    </row>
    <row r="12020" spans="1:19" ht="28" x14ac:dyDescent="0.15">
      <c r="A12020" s="2">
        <f>HYPERLINK("https://open-school.uspishnemisto.com.ua/school/610141/", 610141)</f>
        <v>610141</v>
      </c>
      <c r="B12020" s="3" t="s">
        <v>60783</v>
      </c>
      <c r="C12020" s="3" t="s">
        <v>31</v>
      </c>
      <c r="D12020" s="3" t="s">
        <v>175</v>
      </c>
      <c r="E12020" s="4" t="s">
        <v>22</v>
      </c>
      <c r="F12020" s="4" t="s">
        <v>60784</v>
      </c>
      <c r="G12020" s="4" t="s">
        <v>60785</v>
      </c>
      <c r="H12020" s="3" t="s">
        <v>60159</v>
      </c>
      <c r="I12020" s="3" t="s">
        <v>60786</v>
      </c>
      <c r="J12020" s="3" t="s">
        <v>16570</v>
      </c>
      <c r="K12020" s="3" t="s">
        <v>60787</v>
      </c>
      <c r="L12020" s="3" t="s">
        <v>60788</v>
      </c>
      <c r="M12020" s="4"/>
      <c r="N12020" s="3" t="s">
        <v>37</v>
      </c>
      <c r="O12020" s="3" t="s">
        <v>46</v>
      </c>
      <c r="P12020" s="5">
        <v>9</v>
      </c>
      <c r="Q12020" s="5">
        <v>92</v>
      </c>
      <c r="R12020" s="5">
        <v>9</v>
      </c>
      <c r="S12020" s="5">
        <v>91</v>
      </c>
    </row>
    <row r="12021" spans="1:19" ht="28" x14ac:dyDescent="0.15">
      <c r="A12021" s="2">
        <f>HYPERLINK("https://open-school.uspishnemisto.com.ua/school/610142/", 610142)</f>
        <v>610142</v>
      </c>
      <c r="B12021" s="3" t="s">
        <v>60789</v>
      </c>
      <c r="C12021" s="3" t="s">
        <v>31</v>
      </c>
      <c r="D12021" s="3" t="s">
        <v>175</v>
      </c>
      <c r="E12021" s="4" t="s">
        <v>22</v>
      </c>
      <c r="F12021" s="4" t="s">
        <v>60606</v>
      </c>
      <c r="G12021" s="4" t="s">
        <v>60790</v>
      </c>
      <c r="H12021" s="3" t="s">
        <v>60159</v>
      </c>
      <c r="I12021" s="3" t="s">
        <v>60791</v>
      </c>
      <c r="J12021" s="3" t="s">
        <v>60792</v>
      </c>
      <c r="K12021" s="3" t="s">
        <v>60793</v>
      </c>
      <c r="L12021" s="3"/>
      <c r="M12021" s="4"/>
      <c r="N12021" s="3" t="s">
        <v>37</v>
      </c>
      <c r="O12021" s="3" t="s">
        <v>46</v>
      </c>
      <c r="P12021" s="5">
        <v>9</v>
      </c>
      <c r="Q12021" s="5">
        <v>103</v>
      </c>
      <c r="R12021" s="5">
        <v>9</v>
      </c>
      <c r="S12021" s="5">
        <v>110</v>
      </c>
    </row>
    <row r="12022" spans="1:19" ht="42" x14ac:dyDescent="0.15">
      <c r="A12022" s="2">
        <f>HYPERLINK("https://open-school.uspishnemisto.com.ua/school/610143/", 610143)</f>
        <v>610143</v>
      </c>
      <c r="B12022" s="3" t="s">
        <v>60794</v>
      </c>
      <c r="C12022" s="3" t="s">
        <v>54</v>
      </c>
      <c r="D12022" s="3" t="s">
        <v>175</v>
      </c>
      <c r="E12022" s="4" t="s">
        <v>22</v>
      </c>
      <c r="F12022" s="4" t="s">
        <v>20054</v>
      </c>
      <c r="G12022" s="4" t="s">
        <v>60795</v>
      </c>
      <c r="H12022" s="3" t="s">
        <v>60159</v>
      </c>
      <c r="I12022" s="3" t="s">
        <v>60796</v>
      </c>
      <c r="J12022" s="3" t="s">
        <v>466</v>
      </c>
      <c r="K12022" s="3" t="s">
        <v>60797</v>
      </c>
      <c r="L12022" s="3"/>
      <c r="M12022" s="4"/>
      <c r="N12022" s="3" t="s">
        <v>37</v>
      </c>
      <c r="O12022" s="3" t="s">
        <v>2740</v>
      </c>
      <c r="P12022" s="5">
        <v>9</v>
      </c>
      <c r="Q12022" s="5">
        <v>73</v>
      </c>
      <c r="R12022" s="5">
        <v>9</v>
      </c>
      <c r="S12022" s="5">
        <v>73</v>
      </c>
    </row>
    <row r="12023" spans="1:19" ht="28" x14ac:dyDescent="0.15">
      <c r="A12023" s="2">
        <f>HYPERLINK("https://open-school.uspishnemisto.com.ua/school/610144/", 610144)</f>
        <v>610144</v>
      </c>
      <c r="B12023" s="3" t="s">
        <v>60798</v>
      </c>
      <c r="C12023" s="3" t="s">
        <v>31</v>
      </c>
      <c r="D12023" s="3" t="s">
        <v>32</v>
      </c>
      <c r="E12023" s="4" t="s">
        <v>22</v>
      </c>
      <c r="F12023" s="4" t="s">
        <v>60799</v>
      </c>
      <c r="G12023" s="4" t="s">
        <v>60800</v>
      </c>
      <c r="H12023" s="3" t="s">
        <v>60159</v>
      </c>
      <c r="I12023" s="3" t="s">
        <v>8368</v>
      </c>
      <c r="J12023" s="3" t="s">
        <v>12559</v>
      </c>
      <c r="K12023" s="3" t="s">
        <v>60801</v>
      </c>
      <c r="L12023" s="3"/>
      <c r="M12023" s="4"/>
      <c r="N12023" s="3" t="s">
        <v>37</v>
      </c>
      <c r="O12023" s="3" t="s">
        <v>46</v>
      </c>
      <c r="P12023" s="5">
        <v>10</v>
      </c>
      <c r="Q12023" s="5">
        <v>162</v>
      </c>
      <c r="R12023" s="5">
        <v>11</v>
      </c>
      <c r="S12023" s="5">
        <v>165</v>
      </c>
    </row>
    <row r="12024" spans="1:19" ht="28" x14ac:dyDescent="0.15">
      <c r="A12024" s="2">
        <f>HYPERLINK("https://open-school.uspishnemisto.com.ua/school/610145/", 610145)</f>
        <v>610145</v>
      </c>
      <c r="B12024" s="3" t="s">
        <v>60802</v>
      </c>
      <c r="C12024" s="3" t="s">
        <v>31</v>
      </c>
      <c r="D12024" s="3" t="s">
        <v>60</v>
      </c>
      <c r="E12024" s="4" t="s">
        <v>22</v>
      </c>
      <c r="F12024" s="4" t="s">
        <v>60799</v>
      </c>
      <c r="G12024" s="4" t="s">
        <v>60803</v>
      </c>
      <c r="H12024" s="3" t="s">
        <v>60159</v>
      </c>
      <c r="I12024" s="3" t="s">
        <v>60804</v>
      </c>
      <c r="J12024" s="3" t="s">
        <v>726</v>
      </c>
      <c r="K12024" s="3" t="s">
        <v>60805</v>
      </c>
      <c r="L12024" s="3"/>
      <c r="M12024" s="4"/>
      <c r="N12024" s="3" t="s">
        <v>37</v>
      </c>
      <c r="O12024" s="3" t="s">
        <v>52</v>
      </c>
      <c r="P12024" s="5">
        <v>0</v>
      </c>
      <c r="Q12024" s="5">
        <v>11</v>
      </c>
      <c r="R12024" s="5">
        <v>0</v>
      </c>
      <c r="S12024" s="5">
        <v>10</v>
      </c>
    </row>
    <row r="12025" spans="1:19" ht="28" x14ac:dyDescent="0.15">
      <c r="A12025" s="2">
        <f>HYPERLINK("https://open-school.uspishnemisto.com.ua/school/610146/", 610146)</f>
        <v>610146</v>
      </c>
      <c r="B12025" s="3" t="s">
        <v>60519</v>
      </c>
      <c r="C12025" s="3" t="s">
        <v>31</v>
      </c>
      <c r="D12025" s="3" t="s">
        <v>175</v>
      </c>
      <c r="E12025" s="4" t="s">
        <v>22</v>
      </c>
      <c r="F12025" s="4" t="s">
        <v>60806</v>
      </c>
      <c r="G12025" s="4" t="s">
        <v>60807</v>
      </c>
      <c r="H12025" s="3" t="s">
        <v>60159</v>
      </c>
      <c r="I12025" s="3" t="s">
        <v>41781</v>
      </c>
      <c r="J12025" s="3" t="s">
        <v>8348</v>
      </c>
      <c r="K12025" s="3" t="s">
        <v>60808</v>
      </c>
      <c r="L12025" s="3"/>
      <c r="M12025" s="4"/>
      <c r="N12025" s="3" t="s">
        <v>37</v>
      </c>
      <c r="O12025" s="3" t="s">
        <v>46</v>
      </c>
      <c r="P12025" s="5">
        <v>9</v>
      </c>
      <c r="Q12025" s="5">
        <v>135</v>
      </c>
      <c r="R12025" s="5">
        <v>9</v>
      </c>
      <c r="S12025" s="5">
        <v>134</v>
      </c>
    </row>
    <row r="12026" spans="1:19" ht="28" x14ac:dyDescent="0.15">
      <c r="A12026" s="2">
        <f>HYPERLINK("https://open-school.uspishnemisto.com.ua/school/610147/", 610147)</f>
        <v>610147</v>
      </c>
      <c r="B12026" s="3" t="s">
        <v>60809</v>
      </c>
      <c r="C12026" s="3" t="s">
        <v>31</v>
      </c>
      <c r="D12026" s="3" t="s">
        <v>175</v>
      </c>
      <c r="E12026" s="4" t="s">
        <v>22</v>
      </c>
      <c r="F12026" s="4" t="s">
        <v>60810</v>
      </c>
      <c r="G12026" s="4" t="s">
        <v>60811</v>
      </c>
      <c r="H12026" s="3" t="s">
        <v>60159</v>
      </c>
      <c r="I12026" s="3" t="s">
        <v>60812</v>
      </c>
      <c r="J12026" s="3" t="s">
        <v>21445</v>
      </c>
      <c r="K12026" s="3" t="s">
        <v>60776</v>
      </c>
      <c r="L12026" s="3"/>
      <c r="M12026" s="4"/>
      <c r="N12026" s="3" t="s">
        <v>37</v>
      </c>
      <c r="O12026" s="3" t="s">
        <v>46</v>
      </c>
      <c r="P12026" s="5">
        <v>9</v>
      </c>
      <c r="Q12026" s="5">
        <v>115</v>
      </c>
      <c r="R12026" s="5">
        <v>9</v>
      </c>
      <c r="S12026" s="5">
        <v>108</v>
      </c>
    </row>
    <row r="12027" spans="1:19" ht="28" x14ac:dyDescent="0.15">
      <c r="A12027" s="2">
        <f>HYPERLINK("https://open-school.uspishnemisto.com.ua/school/610148/", 610148)</f>
        <v>610148</v>
      </c>
      <c r="B12027" s="3" t="s">
        <v>60813</v>
      </c>
      <c r="C12027" s="3" t="s">
        <v>31</v>
      </c>
      <c r="D12027" s="3" t="s">
        <v>175</v>
      </c>
      <c r="E12027" s="4" t="s">
        <v>22</v>
      </c>
      <c r="F12027" s="4" t="s">
        <v>60740</v>
      </c>
      <c r="G12027" s="4" t="s">
        <v>60814</v>
      </c>
      <c r="H12027" s="3" t="s">
        <v>60159</v>
      </c>
      <c r="I12027" s="3" t="s">
        <v>60815</v>
      </c>
      <c r="J12027" s="3" t="s">
        <v>60816</v>
      </c>
      <c r="K12027" s="3" t="s">
        <v>60817</v>
      </c>
      <c r="L12027" s="3"/>
      <c r="M12027" s="4"/>
      <c r="N12027" s="3" t="s">
        <v>37</v>
      </c>
      <c r="O12027" s="3" t="s">
        <v>46</v>
      </c>
      <c r="P12027" s="5">
        <v>4</v>
      </c>
      <c r="Q12027" s="5">
        <v>38</v>
      </c>
      <c r="R12027" s="5">
        <v>5</v>
      </c>
      <c r="S12027" s="5">
        <v>45</v>
      </c>
    </row>
    <row r="12028" spans="1:19" ht="28" x14ac:dyDescent="0.15">
      <c r="A12028" s="2">
        <f>HYPERLINK("https://open-school.uspishnemisto.com.ua/school/610149/", 610149)</f>
        <v>610149</v>
      </c>
      <c r="B12028" s="3" t="s">
        <v>60818</v>
      </c>
      <c r="C12028" s="3" t="s">
        <v>31</v>
      </c>
      <c r="D12028" s="3" t="s">
        <v>175</v>
      </c>
      <c r="E12028" s="4" t="s">
        <v>22</v>
      </c>
      <c r="F12028" s="4" t="s">
        <v>60819</v>
      </c>
      <c r="G12028" s="4" t="s">
        <v>60820</v>
      </c>
      <c r="H12028" s="3" t="s">
        <v>60159</v>
      </c>
      <c r="I12028" s="3" t="s">
        <v>31153</v>
      </c>
      <c r="J12028" s="3" t="s">
        <v>60821</v>
      </c>
      <c r="K12028" s="3" t="s">
        <v>60822</v>
      </c>
      <c r="L12028" s="3"/>
      <c r="M12028" s="4"/>
      <c r="N12028" s="3" t="s">
        <v>37</v>
      </c>
      <c r="O12028" s="3" t="s">
        <v>46</v>
      </c>
      <c r="P12028" s="5">
        <v>8</v>
      </c>
      <c r="Q12028" s="5">
        <v>72</v>
      </c>
      <c r="R12028" s="5">
        <v>8</v>
      </c>
      <c r="S12028" s="5">
        <v>75</v>
      </c>
    </row>
    <row r="12029" spans="1:19" ht="42" x14ac:dyDescent="0.15">
      <c r="A12029" s="2">
        <f>HYPERLINK("https://open-school.uspishnemisto.com.ua/school/610150/", 610150)</f>
        <v>610150</v>
      </c>
      <c r="B12029" s="3" t="s">
        <v>60823</v>
      </c>
      <c r="C12029" s="3" t="s">
        <v>31</v>
      </c>
      <c r="D12029" s="3" t="s">
        <v>60</v>
      </c>
      <c r="E12029" s="4" t="s">
        <v>22</v>
      </c>
      <c r="F12029" s="4" t="s">
        <v>60824</v>
      </c>
      <c r="G12029" s="4" t="s">
        <v>60825</v>
      </c>
      <c r="H12029" s="3" t="s">
        <v>60159</v>
      </c>
      <c r="I12029" s="3" t="s">
        <v>60826</v>
      </c>
      <c r="J12029" s="3" t="s">
        <v>60827</v>
      </c>
      <c r="K12029" s="3" t="s">
        <v>60828</v>
      </c>
      <c r="L12029" s="3"/>
      <c r="M12029" s="4"/>
      <c r="N12029" s="3" t="s">
        <v>37</v>
      </c>
      <c r="O12029" s="3" t="s">
        <v>52</v>
      </c>
      <c r="P12029" s="5">
        <v>0</v>
      </c>
      <c r="Q12029" s="5">
        <v>0</v>
      </c>
      <c r="R12029" s="5">
        <v>3</v>
      </c>
      <c r="S12029" s="5">
        <v>22</v>
      </c>
    </row>
    <row r="12030" spans="1:19" ht="28" x14ac:dyDescent="0.15">
      <c r="A12030" s="2">
        <f>HYPERLINK("https://open-school.uspishnemisto.com.ua/school/610151/", 610151)</f>
        <v>610151</v>
      </c>
      <c r="B12030" s="3" t="s">
        <v>60829</v>
      </c>
      <c r="C12030" s="3" t="s">
        <v>31</v>
      </c>
      <c r="D12030" s="3" t="s">
        <v>32</v>
      </c>
      <c r="E12030" s="4" t="s">
        <v>22</v>
      </c>
      <c r="F12030" s="4" t="s">
        <v>60830</v>
      </c>
      <c r="G12030" s="4" t="s">
        <v>60831</v>
      </c>
      <c r="H12030" s="3" t="s">
        <v>60159</v>
      </c>
      <c r="I12030" s="3" t="s">
        <v>60832</v>
      </c>
      <c r="J12030" s="3" t="s">
        <v>60833</v>
      </c>
      <c r="K12030" s="3" t="s">
        <v>60834</v>
      </c>
      <c r="L12030" s="3" t="s">
        <v>60835</v>
      </c>
      <c r="M12030" s="4"/>
      <c r="N12030" s="3" t="s">
        <v>37</v>
      </c>
      <c r="O12030" s="3" t="s">
        <v>46</v>
      </c>
      <c r="P12030" s="5">
        <v>11</v>
      </c>
      <c r="Q12030" s="5">
        <v>108</v>
      </c>
      <c r="R12030" s="5">
        <v>11</v>
      </c>
      <c r="S12030" s="5">
        <v>117</v>
      </c>
    </row>
    <row r="12031" spans="1:19" ht="28" x14ac:dyDescent="0.15">
      <c r="A12031" s="2">
        <f>HYPERLINK("https://open-school.uspishnemisto.com.ua/school/610152/", 610152)</f>
        <v>610152</v>
      </c>
      <c r="B12031" s="3" t="s">
        <v>60836</v>
      </c>
      <c r="C12031" s="3" t="s">
        <v>31</v>
      </c>
      <c r="D12031" s="3" t="s">
        <v>175</v>
      </c>
      <c r="E12031" s="4" t="s">
        <v>22</v>
      </c>
      <c r="F12031" s="4" t="s">
        <v>60837</v>
      </c>
      <c r="G12031" s="4" t="s">
        <v>60838</v>
      </c>
      <c r="H12031" s="3" t="s">
        <v>60159</v>
      </c>
      <c r="I12031" s="3" t="s">
        <v>27790</v>
      </c>
      <c r="J12031" s="3" t="s">
        <v>60839</v>
      </c>
      <c r="K12031" s="3" t="s">
        <v>60840</v>
      </c>
      <c r="L12031" s="3"/>
      <c r="M12031" s="4"/>
      <c r="N12031" s="3" t="s">
        <v>37</v>
      </c>
      <c r="O12031" s="3" t="s">
        <v>46</v>
      </c>
      <c r="P12031" s="5">
        <v>5</v>
      </c>
      <c r="Q12031" s="5">
        <v>42</v>
      </c>
      <c r="R12031" s="5">
        <v>5</v>
      </c>
      <c r="S12031" s="5">
        <v>43</v>
      </c>
    </row>
    <row r="12032" spans="1:19" ht="28" x14ac:dyDescent="0.15">
      <c r="A12032" s="2">
        <f>HYPERLINK("https://open-school.uspishnemisto.com.ua/school/610153/", 610153)</f>
        <v>610153</v>
      </c>
      <c r="B12032" s="3" t="s">
        <v>60841</v>
      </c>
      <c r="C12032" s="3" t="s">
        <v>31</v>
      </c>
      <c r="D12032" s="3" t="s">
        <v>175</v>
      </c>
      <c r="E12032" s="4" t="s">
        <v>22</v>
      </c>
      <c r="F12032" s="4" t="s">
        <v>60842</v>
      </c>
      <c r="G12032" s="4" t="s">
        <v>60843</v>
      </c>
      <c r="H12032" s="3" t="s">
        <v>60159</v>
      </c>
      <c r="I12032" s="3" t="s">
        <v>60844</v>
      </c>
      <c r="J12032" s="3" t="s">
        <v>60845</v>
      </c>
      <c r="K12032" s="3" t="s">
        <v>60846</v>
      </c>
      <c r="L12032" s="3"/>
      <c r="M12032" s="4"/>
      <c r="N12032" s="3" t="s">
        <v>37</v>
      </c>
      <c r="O12032" s="3" t="s">
        <v>46</v>
      </c>
      <c r="P12032" s="5">
        <v>4</v>
      </c>
      <c r="Q12032" s="5">
        <v>43</v>
      </c>
      <c r="R12032" s="5">
        <v>4</v>
      </c>
      <c r="S12032" s="5">
        <v>45</v>
      </c>
    </row>
    <row r="12033" spans="1:19" ht="42" x14ac:dyDescent="0.15">
      <c r="A12033" s="2">
        <f>HYPERLINK("https://open-school.uspishnemisto.com.ua/school/610154/", 610154)</f>
        <v>610154</v>
      </c>
      <c r="B12033" s="3" t="s">
        <v>60847</v>
      </c>
      <c r="C12033" s="3" t="s">
        <v>54</v>
      </c>
      <c r="D12033" s="3" t="s">
        <v>32</v>
      </c>
      <c r="E12033" s="4" t="s">
        <v>22</v>
      </c>
      <c r="F12033" s="4" t="s">
        <v>60699</v>
      </c>
      <c r="G12033" s="4" t="s">
        <v>60848</v>
      </c>
      <c r="H12033" s="3" t="s">
        <v>60159</v>
      </c>
      <c r="I12033" s="3" t="s">
        <v>60849</v>
      </c>
      <c r="J12033" s="3" t="s">
        <v>60850</v>
      </c>
      <c r="K12033" s="3" t="s">
        <v>60851</v>
      </c>
      <c r="L12033" s="3"/>
      <c r="M12033" s="4"/>
      <c r="N12033" s="3" t="s">
        <v>37</v>
      </c>
      <c r="O12033" s="3" t="s">
        <v>46</v>
      </c>
      <c r="P12033" s="5">
        <v>17</v>
      </c>
      <c r="Q12033" s="5">
        <v>215</v>
      </c>
      <c r="R12033" s="5">
        <v>11</v>
      </c>
      <c r="S12033" s="5">
        <v>168</v>
      </c>
    </row>
    <row r="12034" spans="1:19" ht="84" x14ac:dyDescent="0.15">
      <c r="A12034" s="2">
        <f>HYPERLINK("https://open-school.uspishnemisto.com.ua/school/610155/", 610155)</f>
        <v>610155</v>
      </c>
      <c r="B12034" s="3" t="s">
        <v>60852</v>
      </c>
      <c r="C12034" s="3" t="s">
        <v>31</v>
      </c>
      <c r="D12034" s="3" t="s">
        <v>175</v>
      </c>
      <c r="E12034" s="4" t="s">
        <v>22</v>
      </c>
      <c r="F12034" s="4" t="s">
        <v>60853</v>
      </c>
      <c r="G12034" s="4" t="s">
        <v>60854</v>
      </c>
      <c r="H12034" s="3" t="s">
        <v>60159</v>
      </c>
      <c r="I12034" s="3" t="s">
        <v>60855</v>
      </c>
      <c r="J12034" s="3" t="s">
        <v>1348</v>
      </c>
      <c r="K12034" s="3" t="s">
        <v>60856</v>
      </c>
      <c r="L12034" s="3"/>
      <c r="M12034" s="4"/>
      <c r="N12034" s="3" t="s">
        <v>37</v>
      </c>
      <c r="O12034" s="3" t="s">
        <v>46</v>
      </c>
      <c r="P12034" s="5">
        <v>0</v>
      </c>
      <c r="Q12034" s="5">
        <v>0</v>
      </c>
      <c r="R12034" s="5">
        <v>3</v>
      </c>
      <c r="S12034" s="5">
        <v>37</v>
      </c>
    </row>
    <row r="12035" spans="1:19" ht="28" x14ac:dyDescent="0.15">
      <c r="A12035" s="2">
        <f>HYPERLINK("https://open-school.uspishnemisto.com.ua/school/610156/", 610156)</f>
        <v>610156</v>
      </c>
      <c r="B12035" s="3" t="s">
        <v>60857</v>
      </c>
      <c r="C12035" s="3" t="s">
        <v>31</v>
      </c>
      <c r="D12035" s="3" t="s">
        <v>175</v>
      </c>
      <c r="E12035" s="4" t="s">
        <v>22</v>
      </c>
      <c r="F12035" s="4" t="s">
        <v>60753</v>
      </c>
      <c r="G12035" s="4" t="s">
        <v>60858</v>
      </c>
      <c r="H12035" s="3" t="s">
        <v>60159</v>
      </c>
      <c r="I12035" s="3" t="s">
        <v>60859</v>
      </c>
      <c r="J12035" s="3" t="s">
        <v>60860</v>
      </c>
      <c r="K12035" s="3" t="s">
        <v>60861</v>
      </c>
      <c r="L12035" s="3" t="s">
        <v>60862</v>
      </c>
      <c r="M12035" s="4"/>
      <c r="N12035" s="3" t="s">
        <v>37</v>
      </c>
      <c r="O12035" s="3" t="s">
        <v>46</v>
      </c>
      <c r="P12035" s="5">
        <v>5</v>
      </c>
      <c r="Q12035" s="5">
        <v>43</v>
      </c>
      <c r="R12035" s="5">
        <v>5</v>
      </c>
      <c r="S12035" s="5">
        <v>49</v>
      </c>
    </row>
    <row r="12036" spans="1:19" ht="28" x14ac:dyDescent="0.15">
      <c r="A12036" s="2">
        <f>HYPERLINK("https://open-school.uspishnemisto.com.ua/school/610157/", 610157)</f>
        <v>610157</v>
      </c>
      <c r="B12036" s="3" t="s">
        <v>60863</v>
      </c>
      <c r="C12036" s="3" t="s">
        <v>31</v>
      </c>
      <c r="D12036" s="3" t="s">
        <v>175</v>
      </c>
      <c r="E12036" s="4" t="s">
        <v>22</v>
      </c>
      <c r="F12036" s="4" t="s">
        <v>60864</v>
      </c>
      <c r="G12036" s="4" t="s">
        <v>60865</v>
      </c>
      <c r="H12036" s="3" t="s">
        <v>60159</v>
      </c>
      <c r="I12036" s="3" t="s">
        <v>766</v>
      </c>
      <c r="J12036" s="3" t="s">
        <v>60866</v>
      </c>
      <c r="K12036" s="3" t="s">
        <v>60867</v>
      </c>
      <c r="L12036" s="3"/>
      <c r="M12036" s="4"/>
      <c r="N12036" s="3" t="s">
        <v>37</v>
      </c>
      <c r="O12036" s="3" t="s">
        <v>46</v>
      </c>
      <c r="P12036" s="5">
        <v>9</v>
      </c>
      <c r="Q12036" s="5">
        <v>100</v>
      </c>
      <c r="R12036" s="5">
        <v>9</v>
      </c>
      <c r="S12036" s="5">
        <v>106</v>
      </c>
    </row>
    <row r="12037" spans="1:19" ht="28" x14ac:dyDescent="0.15">
      <c r="A12037" s="2">
        <f>HYPERLINK("https://open-school.uspishnemisto.com.ua/school/610158/", 610158)</f>
        <v>610158</v>
      </c>
      <c r="B12037" s="3" t="s">
        <v>60868</v>
      </c>
      <c r="C12037" s="3" t="s">
        <v>31</v>
      </c>
      <c r="D12037" s="3" t="s">
        <v>175</v>
      </c>
      <c r="E12037" s="4" t="s">
        <v>22</v>
      </c>
      <c r="F12037" s="4" t="s">
        <v>60869</v>
      </c>
      <c r="G12037" s="4" t="s">
        <v>60870</v>
      </c>
      <c r="H12037" s="3" t="s">
        <v>60159</v>
      </c>
      <c r="I12037" s="3" t="s">
        <v>60871</v>
      </c>
      <c r="J12037" s="3" t="s">
        <v>501</v>
      </c>
      <c r="K12037" s="3" t="s">
        <v>60872</v>
      </c>
      <c r="L12037" s="3"/>
      <c r="M12037" s="4"/>
      <c r="N12037" s="3" t="s">
        <v>37</v>
      </c>
      <c r="O12037" s="3" t="s">
        <v>46</v>
      </c>
      <c r="P12037" s="5">
        <v>8</v>
      </c>
      <c r="Q12037" s="5">
        <v>59</v>
      </c>
      <c r="R12037" s="5">
        <v>7</v>
      </c>
      <c r="S12037" s="5">
        <v>54</v>
      </c>
    </row>
    <row r="12038" spans="1:19" ht="56" x14ac:dyDescent="0.15">
      <c r="A12038" s="2">
        <f>HYPERLINK("https://open-school.uspishnemisto.com.ua/school/610159/", 610159)</f>
        <v>610159</v>
      </c>
      <c r="B12038" s="3" t="s">
        <v>60873</v>
      </c>
      <c r="C12038" s="3" t="s">
        <v>54</v>
      </c>
      <c r="D12038" s="3" t="s">
        <v>175</v>
      </c>
      <c r="E12038" s="4" t="s">
        <v>22</v>
      </c>
      <c r="F12038" s="4" t="s">
        <v>60874</v>
      </c>
      <c r="G12038" s="4" t="s">
        <v>60875</v>
      </c>
      <c r="H12038" s="3" t="s">
        <v>60159</v>
      </c>
      <c r="I12038" s="3" t="s">
        <v>60876</v>
      </c>
      <c r="J12038" s="3" t="s">
        <v>60877</v>
      </c>
      <c r="K12038" s="3" t="s">
        <v>60878</v>
      </c>
      <c r="L12038" s="3" t="s">
        <v>60879</v>
      </c>
      <c r="M12038" s="4"/>
      <c r="N12038" s="3" t="s">
        <v>37</v>
      </c>
      <c r="O12038" s="3" t="s">
        <v>46</v>
      </c>
      <c r="P12038" s="5">
        <v>4</v>
      </c>
      <c r="Q12038" s="5">
        <v>46</v>
      </c>
      <c r="R12038" s="5">
        <v>3</v>
      </c>
      <c r="S12038" s="5">
        <v>44</v>
      </c>
    </row>
    <row r="12039" spans="1:19" ht="28" x14ac:dyDescent="0.15">
      <c r="A12039" s="2">
        <f>HYPERLINK("https://open-school.uspishnemisto.com.ua/school/610160/", 610160)</f>
        <v>610160</v>
      </c>
      <c r="B12039" s="3" t="s">
        <v>60880</v>
      </c>
      <c r="C12039" s="3" t="s">
        <v>31</v>
      </c>
      <c r="D12039" s="3" t="s">
        <v>175</v>
      </c>
      <c r="E12039" s="4" t="s">
        <v>22</v>
      </c>
      <c r="F12039" s="4" t="s">
        <v>60881</v>
      </c>
      <c r="G12039" s="4" t="s">
        <v>60882</v>
      </c>
      <c r="H12039" s="3" t="s">
        <v>60159</v>
      </c>
      <c r="I12039" s="3" t="s">
        <v>60883</v>
      </c>
      <c r="J12039" s="3" t="s">
        <v>60884</v>
      </c>
      <c r="K12039" s="3" t="s">
        <v>60885</v>
      </c>
      <c r="L12039" s="3"/>
      <c r="M12039" s="4"/>
      <c r="N12039" s="3" t="s">
        <v>37</v>
      </c>
      <c r="O12039" s="3" t="s">
        <v>46</v>
      </c>
      <c r="P12039" s="5">
        <v>9</v>
      </c>
      <c r="Q12039" s="5">
        <v>160</v>
      </c>
      <c r="R12039" s="5">
        <v>9</v>
      </c>
      <c r="S12039" s="5">
        <v>168</v>
      </c>
    </row>
    <row r="12040" spans="1:19" ht="28" x14ac:dyDescent="0.15">
      <c r="A12040" s="2">
        <f>HYPERLINK("https://open-school.uspishnemisto.com.ua/school/610161/", 610161)</f>
        <v>610161</v>
      </c>
      <c r="B12040" s="3" t="s">
        <v>60886</v>
      </c>
      <c r="C12040" s="3" t="s">
        <v>40</v>
      </c>
      <c r="D12040" s="3" t="s">
        <v>32</v>
      </c>
      <c r="E12040" s="4" t="s">
        <v>22</v>
      </c>
      <c r="F12040" s="4" t="s">
        <v>60887</v>
      </c>
      <c r="G12040" s="4" t="s">
        <v>60888</v>
      </c>
      <c r="H12040" s="3" t="s">
        <v>60159</v>
      </c>
      <c r="I12040" s="3" t="s">
        <v>60889</v>
      </c>
      <c r="J12040" s="3" t="s">
        <v>1636</v>
      </c>
      <c r="K12040" s="3" t="s">
        <v>60890</v>
      </c>
      <c r="L12040" s="3" t="s">
        <v>60891</v>
      </c>
      <c r="M12040" s="4"/>
      <c r="N12040" s="3" t="s">
        <v>37</v>
      </c>
      <c r="O12040" s="3" t="s">
        <v>46</v>
      </c>
      <c r="P12040" s="5">
        <v>13</v>
      </c>
      <c r="Q12040" s="5">
        <v>294</v>
      </c>
      <c r="R12040" s="5">
        <v>13</v>
      </c>
      <c r="S12040" s="5">
        <v>296</v>
      </c>
    </row>
    <row r="12041" spans="1:19" ht="28" x14ac:dyDescent="0.15">
      <c r="A12041" s="2">
        <f>HYPERLINK("https://open-school.uspishnemisto.com.ua/school/610162/", 610162)</f>
        <v>610162</v>
      </c>
      <c r="B12041" s="3" t="s">
        <v>60892</v>
      </c>
      <c r="C12041" s="3" t="s">
        <v>31</v>
      </c>
      <c r="D12041" s="3" t="s">
        <v>60</v>
      </c>
      <c r="E12041" s="4" t="s">
        <v>22</v>
      </c>
      <c r="F12041" s="4" t="s">
        <v>60887</v>
      </c>
      <c r="G12041" s="4" t="s">
        <v>60888</v>
      </c>
      <c r="H12041" s="3" t="s">
        <v>60159</v>
      </c>
      <c r="I12041" s="3" t="s">
        <v>60889</v>
      </c>
      <c r="J12041" s="3" t="s">
        <v>60893</v>
      </c>
      <c r="K12041" s="3" t="s">
        <v>60894</v>
      </c>
      <c r="L12041" s="3"/>
      <c r="M12041" s="4"/>
      <c r="N12041" s="3" t="s">
        <v>37</v>
      </c>
      <c r="O12041" s="3" t="s">
        <v>52</v>
      </c>
      <c r="P12041" s="5">
        <v>4</v>
      </c>
      <c r="Q12041" s="5">
        <v>41</v>
      </c>
      <c r="R12041" s="5">
        <v>4</v>
      </c>
      <c r="S12041" s="5">
        <v>42</v>
      </c>
    </row>
    <row r="12042" spans="1:19" ht="28" x14ac:dyDescent="0.15">
      <c r="A12042" s="2">
        <f>HYPERLINK("https://open-school.uspishnemisto.com.ua/school/610163/", 610163)</f>
        <v>610163</v>
      </c>
      <c r="B12042" s="3" t="s">
        <v>60895</v>
      </c>
      <c r="C12042" s="3" t="s">
        <v>31</v>
      </c>
      <c r="D12042" s="3" t="s">
        <v>60</v>
      </c>
      <c r="E12042" s="4" t="s">
        <v>22</v>
      </c>
      <c r="F12042" s="4" t="s">
        <v>60887</v>
      </c>
      <c r="G12042" s="4" t="s">
        <v>60888</v>
      </c>
      <c r="H12042" s="3" t="s">
        <v>60159</v>
      </c>
      <c r="I12042" s="3" t="s">
        <v>60889</v>
      </c>
      <c r="J12042" s="3" t="s">
        <v>2191</v>
      </c>
      <c r="K12042" s="3" t="s">
        <v>60896</v>
      </c>
      <c r="L12042" s="3"/>
      <c r="M12042" s="4"/>
      <c r="N12042" s="3" t="s">
        <v>37</v>
      </c>
      <c r="O12042" s="3" t="s">
        <v>52</v>
      </c>
      <c r="P12042" s="5">
        <v>8</v>
      </c>
      <c r="Q12042" s="5">
        <v>192</v>
      </c>
      <c r="R12042" s="5">
        <v>8</v>
      </c>
      <c r="S12042" s="5">
        <v>195</v>
      </c>
    </row>
    <row r="12043" spans="1:19" ht="28" x14ac:dyDescent="0.15">
      <c r="A12043" s="2">
        <f>HYPERLINK("https://open-school.uspishnemisto.com.ua/school/610164/", 610164)</f>
        <v>610164</v>
      </c>
      <c r="B12043" s="3" t="s">
        <v>60897</v>
      </c>
      <c r="C12043" s="3" t="s">
        <v>31</v>
      </c>
      <c r="D12043" s="3" t="s">
        <v>175</v>
      </c>
      <c r="E12043" s="4" t="s">
        <v>22</v>
      </c>
      <c r="F12043" s="4" t="s">
        <v>60887</v>
      </c>
      <c r="G12043" s="4" t="s">
        <v>60888</v>
      </c>
      <c r="H12043" s="3" t="s">
        <v>60159</v>
      </c>
      <c r="I12043" s="3" t="s">
        <v>60889</v>
      </c>
      <c r="J12043" s="3" t="s">
        <v>60898</v>
      </c>
      <c r="K12043" s="3" t="s">
        <v>60899</v>
      </c>
      <c r="L12043" s="3"/>
      <c r="M12043" s="4"/>
      <c r="N12043" s="3" t="s">
        <v>37</v>
      </c>
      <c r="O12043" s="3" t="s">
        <v>52</v>
      </c>
      <c r="P12043" s="5">
        <v>9</v>
      </c>
      <c r="Q12043" s="5">
        <v>91</v>
      </c>
      <c r="R12043" s="5">
        <v>8</v>
      </c>
      <c r="S12043" s="5">
        <v>78</v>
      </c>
    </row>
    <row r="12044" spans="1:19" ht="28" x14ac:dyDescent="0.15">
      <c r="A12044" s="2">
        <f>HYPERLINK("https://open-school.uspishnemisto.com.ua/school/610165/", 610165)</f>
        <v>610165</v>
      </c>
      <c r="B12044" s="3" t="s">
        <v>60900</v>
      </c>
      <c r="C12044" s="3" t="s">
        <v>31</v>
      </c>
      <c r="D12044" s="3" t="s">
        <v>32</v>
      </c>
      <c r="E12044" s="4" t="s">
        <v>22</v>
      </c>
      <c r="F12044" s="4" t="s">
        <v>60887</v>
      </c>
      <c r="G12044" s="4" t="s">
        <v>60888</v>
      </c>
      <c r="H12044" s="3" t="s">
        <v>60159</v>
      </c>
      <c r="I12044" s="3" t="s">
        <v>60889</v>
      </c>
      <c r="J12044" s="3" t="s">
        <v>554</v>
      </c>
      <c r="K12044" s="3" t="s">
        <v>60901</v>
      </c>
      <c r="L12044" s="3" t="s">
        <v>60902</v>
      </c>
      <c r="M12044" s="4"/>
      <c r="N12044" s="3" t="s">
        <v>37</v>
      </c>
      <c r="O12044" s="3" t="s">
        <v>52</v>
      </c>
      <c r="P12044" s="5">
        <v>17</v>
      </c>
      <c r="Q12044" s="5">
        <v>314</v>
      </c>
      <c r="R12044" s="5">
        <v>17</v>
      </c>
      <c r="S12044" s="5">
        <v>309</v>
      </c>
    </row>
    <row r="12045" spans="1:19" ht="28" x14ac:dyDescent="0.15">
      <c r="A12045" s="2">
        <f>HYPERLINK("https://open-school.uspishnemisto.com.ua/school/610166/", 610166)</f>
        <v>610166</v>
      </c>
      <c r="B12045" s="3" t="s">
        <v>60903</v>
      </c>
      <c r="C12045" s="3" t="s">
        <v>31</v>
      </c>
      <c r="D12045" s="3" t="s">
        <v>32</v>
      </c>
      <c r="E12045" s="4" t="s">
        <v>22</v>
      </c>
      <c r="F12045" s="4" t="s">
        <v>60887</v>
      </c>
      <c r="G12045" s="4" t="s">
        <v>60888</v>
      </c>
      <c r="H12045" s="3" t="s">
        <v>60159</v>
      </c>
      <c r="I12045" s="3" t="s">
        <v>60889</v>
      </c>
      <c r="J12045" s="3" t="s">
        <v>60904</v>
      </c>
      <c r="K12045" s="3" t="s">
        <v>60905</v>
      </c>
      <c r="L12045" s="3"/>
      <c r="M12045" s="4"/>
      <c r="N12045" s="3" t="s">
        <v>37</v>
      </c>
      <c r="O12045" s="3" t="s">
        <v>46</v>
      </c>
      <c r="P12045" s="5">
        <v>17</v>
      </c>
      <c r="Q12045" s="5">
        <v>319</v>
      </c>
      <c r="R12045" s="5">
        <v>16</v>
      </c>
      <c r="S12045" s="5">
        <v>313</v>
      </c>
    </row>
    <row r="12046" spans="1:19" ht="28" x14ac:dyDescent="0.15">
      <c r="A12046" s="2">
        <f>HYPERLINK("https://open-school.uspishnemisto.com.ua/school/610167/", 610167)</f>
        <v>610167</v>
      </c>
      <c r="B12046" s="3" t="s">
        <v>60906</v>
      </c>
      <c r="C12046" s="3" t="s">
        <v>31</v>
      </c>
      <c r="D12046" s="3" t="s">
        <v>32</v>
      </c>
      <c r="E12046" s="4" t="s">
        <v>22</v>
      </c>
      <c r="F12046" s="4" t="s">
        <v>60887</v>
      </c>
      <c r="G12046" s="4" t="s">
        <v>60888</v>
      </c>
      <c r="H12046" s="3" t="s">
        <v>60159</v>
      </c>
      <c r="I12046" s="3" t="s">
        <v>60889</v>
      </c>
      <c r="J12046" s="3" t="s">
        <v>60907</v>
      </c>
      <c r="K12046" s="3" t="s">
        <v>60908</v>
      </c>
      <c r="L12046" s="3"/>
      <c r="M12046" s="4"/>
      <c r="N12046" s="3" t="s">
        <v>37</v>
      </c>
      <c r="O12046" s="3" t="s">
        <v>52</v>
      </c>
      <c r="P12046" s="5">
        <v>12</v>
      </c>
      <c r="Q12046" s="5">
        <v>222</v>
      </c>
      <c r="R12046" s="5">
        <v>12</v>
      </c>
      <c r="S12046" s="5">
        <v>226</v>
      </c>
    </row>
    <row r="12047" spans="1:19" ht="28" x14ac:dyDescent="0.15">
      <c r="A12047" s="2">
        <f>HYPERLINK("https://open-school.uspishnemisto.com.ua/school/610168/", 610168)</f>
        <v>610168</v>
      </c>
      <c r="B12047" s="3" t="s">
        <v>60909</v>
      </c>
      <c r="C12047" s="3" t="s">
        <v>2128</v>
      </c>
      <c r="D12047" s="3" t="s">
        <v>32</v>
      </c>
      <c r="E12047" s="4" t="s">
        <v>22</v>
      </c>
      <c r="F12047" s="4" t="s">
        <v>60887</v>
      </c>
      <c r="G12047" s="4" t="s">
        <v>60888</v>
      </c>
      <c r="H12047" s="3" t="s">
        <v>60159</v>
      </c>
      <c r="I12047" s="3" t="s">
        <v>60889</v>
      </c>
      <c r="J12047" s="3" t="s">
        <v>60910</v>
      </c>
      <c r="K12047" s="3" t="s">
        <v>60911</v>
      </c>
      <c r="L12047" s="3"/>
      <c r="M12047" s="4"/>
      <c r="N12047" s="3" t="s">
        <v>37</v>
      </c>
      <c r="O12047" s="3" t="s">
        <v>52</v>
      </c>
      <c r="P12047" s="5">
        <v>6</v>
      </c>
      <c r="Q12047" s="5">
        <v>105</v>
      </c>
      <c r="R12047" s="5">
        <v>6</v>
      </c>
      <c r="S12047" s="5">
        <v>91</v>
      </c>
    </row>
    <row r="12048" spans="1:19" ht="28" x14ac:dyDescent="0.15">
      <c r="A12048" s="2">
        <f>HYPERLINK("https://open-school.uspishnemisto.com.ua/school/610169/", 610169)</f>
        <v>610169</v>
      </c>
      <c r="B12048" s="3" t="s">
        <v>60912</v>
      </c>
      <c r="C12048" s="3" t="s">
        <v>188</v>
      </c>
      <c r="D12048" s="3" t="s">
        <v>32</v>
      </c>
      <c r="E12048" s="4" t="s">
        <v>22</v>
      </c>
      <c r="F12048" s="4" t="s">
        <v>60913</v>
      </c>
      <c r="G12048" s="4" t="s">
        <v>60888</v>
      </c>
      <c r="H12048" s="3" t="s">
        <v>60159</v>
      </c>
      <c r="I12048" s="3" t="s">
        <v>60889</v>
      </c>
      <c r="J12048" s="3" t="s">
        <v>60904</v>
      </c>
      <c r="K12048" s="3" t="s">
        <v>60914</v>
      </c>
      <c r="L12048" s="3" t="s">
        <v>60915</v>
      </c>
      <c r="M12048" s="4"/>
      <c r="N12048" s="3" t="s">
        <v>37</v>
      </c>
      <c r="O12048" s="3" t="s">
        <v>46</v>
      </c>
      <c r="P12048" s="5">
        <v>7</v>
      </c>
      <c r="Q12048" s="5">
        <v>122</v>
      </c>
      <c r="R12048" s="5">
        <v>7</v>
      </c>
      <c r="S12048" s="5">
        <v>129</v>
      </c>
    </row>
    <row r="12049" spans="1:19" ht="28" x14ac:dyDescent="0.15">
      <c r="A12049" s="2">
        <f>HYPERLINK("https://open-school.uspishnemisto.com.ua/school/610170/", 610170)</f>
        <v>610170</v>
      </c>
      <c r="B12049" s="3" t="s">
        <v>60916</v>
      </c>
      <c r="C12049" s="3" t="s">
        <v>31</v>
      </c>
      <c r="D12049" s="3" t="s">
        <v>32</v>
      </c>
      <c r="E12049" s="4" t="s">
        <v>22</v>
      </c>
      <c r="F12049" s="4" t="s">
        <v>60917</v>
      </c>
      <c r="G12049" s="4" t="s">
        <v>60918</v>
      </c>
      <c r="H12049" s="3" t="s">
        <v>60159</v>
      </c>
      <c r="I12049" s="3" t="s">
        <v>60919</v>
      </c>
      <c r="J12049" s="3" t="s">
        <v>39264</v>
      </c>
      <c r="K12049" s="3" t="s">
        <v>60920</v>
      </c>
      <c r="L12049" s="3"/>
      <c r="M12049" s="4"/>
      <c r="N12049" s="3" t="s">
        <v>37</v>
      </c>
      <c r="O12049" s="3" t="s">
        <v>52</v>
      </c>
      <c r="P12049" s="5">
        <v>16</v>
      </c>
      <c r="Q12049" s="5">
        <v>289</v>
      </c>
      <c r="R12049" s="5">
        <v>17</v>
      </c>
      <c r="S12049" s="5">
        <v>300</v>
      </c>
    </row>
    <row r="12050" spans="1:19" ht="28" x14ac:dyDescent="0.15">
      <c r="A12050" s="2">
        <f>HYPERLINK("https://open-school.uspishnemisto.com.ua/school/610171/", 610171)</f>
        <v>610171</v>
      </c>
      <c r="B12050" s="3" t="s">
        <v>60921</v>
      </c>
      <c r="C12050" s="3" t="s">
        <v>31</v>
      </c>
      <c r="D12050" s="3" t="s">
        <v>60</v>
      </c>
      <c r="E12050" s="4" t="s">
        <v>22</v>
      </c>
      <c r="F12050" s="4" t="s">
        <v>60922</v>
      </c>
      <c r="G12050" s="4" t="s">
        <v>60923</v>
      </c>
      <c r="H12050" s="3" t="s">
        <v>60159</v>
      </c>
      <c r="I12050" s="3" t="s">
        <v>60924</v>
      </c>
      <c r="J12050" s="3" t="s">
        <v>12836</v>
      </c>
      <c r="K12050" s="3" t="s">
        <v>60925</v>
      </c>
      <c r="L12050" s="3"/>
      <c r="M12050" s="4"/>
      <c r="N12050" s="3" t="s">
        <v>37</v>
      </c>
      <c r="O12050" s="3" t="s">
        <v>52</v>
      </c>
      <c r="P12050" s="5">
        <v>4</v>
      </c>
      <c r="Q12050" s="5">
        <v>32</v>
      </c>
      <c r="R12050" s="5">
        <v>3</v>
      </c>
      <c r="S12050" s="5">
        <v>26</v>
      </c>
    </row>
    <row r="12051" spans="1:19" ht="28" x14ac:dyDescent="0.15">
      <c r="A12051" s="2">
        <f>HYPERLINK("https://open-school.uspishnemisto.com.ua/school/610172/", 610172)</f>
        <v>610172</v>
      </c>
      <c r="B12051" s="3" t="s">
        <v>60926</v>
      </c>
      <c r="C12051" s="3" t="s">
        <v>31</v>
      </c>
      <c r="D12051" s="3" t="s">
        <v>32</v>
      </c>
      <c r="E12051" s="4" t="s">
        <v>22</v>
      </c>
      <c r="F12051" s="4" t="s">
        <v>60927</v>
      </c>
      <c r="G12051" s="4" t="s">
        <v>60928</v>
      </c>
      <c r="H12051" s="3" t="s">
        <v>60159</v>
      </c>
      <c r="I12051" s="3" t="s">
        <v>60929</v>
      </c>
      <c r="J12051" s="3" t="s">
        <v>12836</v>
      </c>
      <c r="K12051" s="3" t="s">
        <v>60930</v>
      </c>
      <c r="L12051" s="3"/>
      <c r="M12051" s="4"/>
      <c r="N12051" s="3" t="s">
        <v>37</v>
      </c>
      <c r="O12051" s="3" t="s">
        <v>52</v>
      </c>
      <c r="P12051" s="5">
        <v>12</v>
      </c>
      <c r="Q12051" s="5">
        <v>256</v>
      </c>
      <c r="R12051" s="5">
        <v>12</v>
      </c>
      <c r="S12051" s="5">
        <v>262</v>
      </c>
    </row>
    <row r="12052" spans="1:19" ht="28" x14ac:dyDescent="0.15">
      <c r="A12052" s="2">
        <f>HYPERLINK("https://open-school.uspishnemisto.com.ua/school/610173/", 610173)</f>
        <v>610173</v>
      </c>
      <c r="B12052" s="3" t="s">
        <v>60931</v>
      </c>
      <c r="C12052" s="3" t="s">
        <v>31</v>
      </c>
      <c r="D12052" s="3" t="s">
        <v>175</v>
      </c>
      <c r="E12052" s="4" t="s">
        <v>22</v>
      </c>
      <c r="F12052" s="4" t="s">
        <v>60932</v>
      </c>
      <c r="G12052" s="4" t="s">
        <v>60933</v>
      </c>
      <c r="H12052" s="3" t="s">
        <v>60159</v>
      </c>
      <c r="I12052" s="3" t="s">
        <v>60934</v>
      </c>
      <c r="J12052" s="3" t="s">
        <v>11022</v>
      </c>
      <c r="K12052" s="3" t="s">
        <v>60935</v>
      </c>
      <c r="L12052" s="3"/>
      <c r="M12052" s="4"/>
      <c r="N12052" s="3" t="s">
        <v>37</v>
      </c>
      <c r="O12052" s="3" t="s">
        <v>52</v>
      </c>
      <c r="P12052" s="5">
        <v>8</v>
      </c>
      <c r="Q12052" s="5">
        <v>54</v>
      </c>
      <c r="R12052" s="5">
        <v>7</v>
      </c>
      <c r="S12052" s="5">
        <v>52</v>
      </c>
    </row>
    <row r="12053" spans="1:19" ht="28" x14ac:dyDescent="0.15">
      <c r="A12053" s="2">
        <f>HYPERLINK("https://open-school.uspishnemisto.com.ua/school/610174/", 610174)</f>
        <v>610174</v>
      </c>
      <c r="B12053" s="3" t="s">
        <v>60936</v>
      </c>
      <c r="C12053" s="3" t="s">
        <v>31</v>
      </c>
      <c r="D12053" s="3" t="s">
        <v>175</v>
      </c>
      <c r="E12053" s="4" t="s">
        <v>22</v>
      </c>
      <c r="F12053" s="4" t="s">
        <v>60937</v>
      </c>
      <c r="G12053" s="4" t="s">
        <v>60938</v>
      </c>
      <c r="H12053" s="3" t="s">
        <v>60159</v>
      </c>
      <c r="I12053" s="3" t="s">
        <v>60939</v>
      </c>
      <c r="J12053" s="3" t="s">
        <v>1417</v>
      </c>
      <c r="K12053" s="3"/>
      <c r="L12053" s="3"/>
      <c r="M12053" s="4"/>
      <c r="N12053" s="3" t="s">
        <v>37</v>
      </c>
      <c r="O12053" s="3" t="s">
        <v>46</v>
      </c>
      <c r="P12053" s="5">
        <v>9</v>
      </c>
      <c r="Q12053" s="5">
        <v>80</v>
      </c>
      <c r="R12053" s="5">
        <v>9</v>
      </c>
      <c r="S12053" s="5">
        <v>78</v>
      </c>
    </row>
    <row r="12054" spans="1:19" ht="28" x14ac:dyDescent="0.15">
      <c r="A12054" s="2">
        <f>HYPERLINK("https://open-school.uspishnemisto.com.ua/school/610175/", 610175)</f>
        <v>610175</v>
      </c>
      <c r="B12054" s="3" t="s">
        <v>60940</v>
      </c>
      <c r="C12054" s="3" t="s">
        <v>31</v>
      </c>
      <c r="D12054" s="3" t="s">
        <v>175</v>
      </c>
      <c r="E12054" s="4" t="s">
        <v>22</v>
      </c>
      <c r="F12054" s="4" t="s">
        <v>60941</v>
      </c>
      <c r="G12054" s="4" t="s">
        <v>60942</v>
      </c>
      <c r="H12054" s="3" t="s">
        <v>60159</v>
      </c>
      <c r="I12054" s="3" t="s">
        <v>60943</v>
      </c>
      <c r="J12054" s="3" t="s">
        <v>60944</v>
      </c>
      <c r="K12054" s="3" t="s">
        <v>60945</v>
      </c>
      <c r="L12054" s="3"/>
      <c r="M12054" s="4"/>
      <c r="N12054" s="3" t="s">
        <v>37</v>
      </c>
      <c r="O12054" s="3" t="s">
        <v>52</v>
      </c>
      <c r="P12054" s="5">
        <v>9</v>
      </c>
      <c r="Q12054" s="5">
        <v>73</v>
      </c>
      <c r="R12054" s="5">
        <v>9</v>
      </c>
      <c r="S12054" s="5">
        <v>79</v>
      </c>
    </row>
    <row r="12055" spans="1:19" ht="28" x14ac:dyDescent="0.15">
      <c r="A12055" s="2">
        <f>HYPERLINK("https://open-school.uspishnemisto.com.ua/school/610176/", 610176)</f>
        <v>610176</v>
      </c>
      <c r="B12055" s="3" t="s">
        <v>60946</v>
      </c>
      <c r="C12055" s="3" t="s">
        <v>31</v>
      </c>
      <c r="D12055" s="3" t="s">
        <v>60</v>
      </c>
      <c r="E12055" s="4" t="s">
        <v>22</v>
      </c>
      <c r="F12055" s="4" t="s">
        <v>60947</v>
      </c>
      <c r="G12055" s="4" t="s">
        <v>60948</v>
      </c>
      <c r="H12055" s="3" t="s">
        <v>60159</v>
      </c>
      <c r="I12055" s="3" t="s">
        <v>60949</v>
      </c>
      <c r="J12055" s="3"/>
      <c r="K12055" s="3"/>
      <c r="L12055" s="3"/>
      <c r="M12055" s="4"/>
      <c r="N12055" s="3" t="s">
        <v>37</v>
      </c>
      <c r="O12055" s="3" t="s">
        <v>52</v>
      </c>
      <c r="P12055" s="5">
        <v>2</v>
      </c>
      <c r="Q12055" s="5">
        <v>23</v>
      </c>
      <c r="R12055" s="5">
        <v>2</v>
      </c>
      <c r="S12055" s="5">
        <v>24</v>
      </c>
    </row>
    <row r="12056" spans="1:19" ht="28" x14ac:dyDescent="0.15">
      <c r="A12056" s="2">
        <f>HYPERLINK("https://open-school.uspishnemisto.com.ua/school/610177/", 610177)</f>
        <v>610177</v>
      </c>
      <c r="B12056" s="3" t="s">
        <v>60950</v>
      </c>
      <c r="C12056" s="3" t="s">
        <v>31</v>
      </c>
      <c r="D12056" s="3" t="s">
        <v>32</v>
      </c>
      <c r="E12056" s="4" t="s">
        <v>22</v>
      </c>
      <c r="F12056" s="4" t="s">
        <v>60951</v>
      </c>
      <c r="G12056" s="4" t="s">
        <v>60952</v>
      </c>
      <c r="H12056" s="3" t="s">
        <v>60159</v>
      </c>
      <c r="I12056" s="3" t="s">
        <v>60953</v>
      </c>
      <c r="J12056" s="3" t="s">
        <v>60954</v>
      </c>
      <c r="K12056" s="3" t="s">
        <v>60955</v>
      </c>
      <c r="L12056" s="3" t="s">
        <v>60956</v>
      </c>
      <c r="M12056" s="4"/>
      <c r="N12056" s="3" t="s">
        <v>37</v>
      </c>
      <c r="O12056" s="3" t="s">
        <v>52</v>
      </c>
      <c r="P12056" s="5">
        <v>11</v>
      </c>
      <c r="Q12056" s="5">
        <v>188</v>
      </c>
      <c r="R12056" s="5">
        <v>11</v>
      </c>
      <c r="S12056" s="5">
        <v>170</v>
      </c>
    </row>
    <row r="12057" spans="1:19" ht="28" x14ac:dyDescent="0.15">
      <c r="A12057" s="2">
        <f>HYPERLINK("https://open-school.uspishnemisto.com.ua/school/610178/", 610178)</f>
        <v>610178</v>
      </c>
      <c r="B12057" s="3" t="s">
        <v>60957</v>
      </c>
      <c r="C12057" s="3" t="s">
        <v>31</v>
      </c>
      <c r="D12057" s="3" t="s">
        <v>32</v>
      </c>
      <c r="E12057" s="4" t="s">
        <v>22</v>
      </c>
      <c r="F12057" s="4" t="s">
        <v>60937</v>
      </c>
      <c r="G12057" s="4" t="s">
        <v>60958</v>
      </c>
      <c r="H12057" s="3" t="s">
        <v>60159</v>
      </c>
      <c r="I12057" s="3" t="s">
        <v>5942</v>
      </c>
      <c r="J12057" s="3" t="s">
        <v>30258</v>
      </c>
      <c r="K12057" s="3" t="s">
        <v>60959</v>
      </c>
      <c r="L12057" s="3"/>
      <c r="M12057" s="4"/>
      <c r="N12057" s="3" t="s">
        <v>37</v>
      </c>
      <c r="O12057" s="3" t="s">
        <v>52</v>
      </c>
      <c r="P12057" s="5">
        <v>11</v>
      </c>
      <c r="Q12057" s="5">
        <v>133</v>
      </c>
      <c r="R12057" s="5">
        <v>11</v>
      </c>
      <c r="S12057" s="5">
        <v>129</v>
      </c>
    </row>
    <row r="12058" spans="1:19" ht="28" x14ac:dyDescent="0.15">
      <c r="A12058" s="2">
        <f>HYPERLINK("https://open-school.uspishnemisto.com.ua/school/610179/", 610179)</f>
        <v>610179</v>
      </c>
      <c r="B12058" s="3" t="s">
        <v>60960</v>
      </c>
      <c r="C12058" s="3" t="s">
        <v>31</v>
      </c>
      <c r="D12058" s="3" t="s">
        <v>175</v>
      </c>
      <c r="E12058" s="4" t="s">
        <v>22</v>
      </c>
      <c r="F12058" s="4" t="s">
        <v>60961</v>
      </c>
      <c r="G12058" s="4" t="s">
        <v>60962</v>
      </c>
      <c r="H12058" s="3" t="s">
        <v>60159</v>
      </c>
      <c r="I12058" s="3" t="s">
        <v>6431</v>
      </c>
      <c r="J12058" s="3" t="s">
        <v>60963</v>
      </c>
      <c r="K12058" s="3" t="s">
        <v>60964</v>
      </c>
      <c r="L12058" s="3" t="s">
        <v>60965</v>
      </c>
      <c r="M12058" s="4"/>
      <c r="N12058" s="3" t="s">
        <v>37</v>
      </c>
      <c r="O12058" s="3" t="s">
        <v>52</v>
      </c>
      <c r="P12058" s="5">
        <v>9</v>
      </c>
      <c r="Q12058" s="5">
        <v>90</v>
      </c>
      <c r="R12058" s="5">
        <v>9</v>
      </c>
      <c r="S12058" s="5">
        <v>93</v>
      </c>
    </row>
    <row r="12059" spans="1:19" ht="28" x14ac:dyDescent="0.15">
      <c r="A12059" s="2">
        <f>HYPERLINK("https://open-school.uspishnemisto.com.ua/school/610180/", 610180)</f>
        <v>610180</v>
      </c>
      <c r="B12059" s="3" t="s">
        <v>60966</v>
      </c>
      <c r="C12059" s="3" t="s">
        <v>31</v>
      </c>
      <c r="D12059" s="3" t="s">
        <v>32</v>
      </c>
      <c r="E12059" s="4" t="s">
        <v>22</v>
      </c>
      <c r="F12059" s="4" t="s">
        <v>60967</v>
      </c>
      <c r="G12059" s="4" t="s">
        <v>60968</v>
      </c>
      <c r="H12059" s="3" t="s">
        <v>60159</v>
      </c>
      <c r="I12059" s="3" t="s">
        <v>60969</v>
      </c>
      <c r="J12059" s="3" t="s">
        <v>43579</v>
      </c>
      <c r="K12059" s="3" t="s">
        <v>60970</v>
      </c>
      <c r="L12059" s="3"/>
      <c r="M12059" s="4"/>
      <c r="N12059" s="3" t="s">
        <v>37</v>
      </c>
      <c r="O12059" s="3" t="s">
        <v>52</v>
      </c>
      <c r="P12059" s="5">
        <v>10</v>
      </c>
      <c r="Q12059" s="5">
        <v>110</v>
      </c>
      <c r="R12059" s="5">
        <v>10</v>
      </c>
      <c r="S12059" s="5">
        <v>109</v>
      </c>
    </row>
    <row r="12060" spans="1:19" ht="28" x14ac:dyDescent="0.15">
      <c r="A12060" s="2">
        <f>HYPERLINK("https://open-school.uspishnemisto.com.ua/school/610181/", 610181)</f>
        <v>610181</v>
      </c>
      <c r="B12060" s="3" t="s">
        <v>60971</v>
      </c>
      <c r="C12060" s="3" t="s">
        <v>31</v>
      </c>
      <c r="D12060" s="3" t="s">
        <v>175</v>
      </c>
      <c r="E12060" s="4" t="s">
        <v>22</v>
      </c>
      <c r="F12060" s="4" t="s">
        <v>60972</v>
      </c>
      <c r="G12060" s="4" t="s">
        <v>60973</v>
      </c>
      <c r="H12060" s="3" t="s">
        <v>60159</v>
      </c>
      <c r="I12060" s="3" t="s">
        <v>60974</v>
      </c>
      <c r="J12060" s="3" t="s">
        <v>634</v>
      </c>
      <c r="K12060" s="3" t="s">
        <v>60975</v>
      </c>
      <c r="L12060" s="3"/>
      <c r="M12060" s="4"/>
      <c r="N12060" s="3" t="s">
        <v>37</v>
      </c>
      <c r="O12060" s="3" t="s">
        <v>46</v>
      </c>
      <c r="P12060" s="5">
        <v>7</v>
      </c>
      <c r="Q12060" s="5">
        <v>48</v>
      </c>
      <c r="R12060" s="5">
        <v>4</v>
      </c>
      <c r="S12060" s="5">
        <v>37</v>
      </c>
    </row>
    <row r="12061" spans="1:19" ht="28" x14ac:dyDescent="0.15">
      <c r="A12061" s="2">
        <f>HYPERLINK("https://open-school.uspishnemisto.com.ua/school/610182/", 610182)</f>
        <v>610182</v>
      </c>
      <c r="B12061" s="3" t="s">
        <v>60976</v>
      </c>
      <c r="C12061" s="3" t="s">
        <v>31</v>
      </c>
      <c r="D12061" s="3" t="s">
        <v>32</v>
      </c>
      <c r="E12061" s="4" t="s">
        <v>22</v>
      </c>
      <c r="F12061" s="4" t="s">
        <v>60977</v>
      </c>
      <c r="G12061" s="4" t="s">
        <v>60978</v>
      </c>
      <c r="H12061" s="3" t="s">
        <v>60159</v>
      </c>
      <c r="I12061" s="3" t="s">
        <v>60979</v>
      </c>
      <c r="J12061" s="3" t="s">
        <v>27315</v>
      </c>
      <c r="K12061" s="3" t="s">
        <v>60980</v>
      </c>
      <c r="L12061" s="3" t="s">
        <v>60981</v>
      </c>
      <c r="M12061" s="4"/>
      <c r="N12061" s="3" t="s">
        <v>37</v>
      </c>
      <c r="O12061" s="3" t="s">
        <v>52</v>
      </c>
      <c r="P12061" s="5">
        <v>20</v>
      </c>
      <c r="Q12061" s="5">
        <v>363</v>
      </c>
      <c r="R12061" s="5">
        <v>20</v>
      </c>
      <c r="S12061" s="5">
        <v>376</v>
      </c>
    </row>
    <row r="12062" spans="1:19" ht="28" x14ac:dyDescent="0.15">
      <c r="A12062" s="2">
        <f>HYPERLINK("https://open-school.uspishnemisto.com.ua/school/610183/", 610183)</f>
        <v>610183</v>
      </c>
      <c r="B12062" s="3" t="s">
        <v>60982</v>
      </c>
      <c r="C12062" s="3" t="s">
        <v>31</v>
      </c>
      <c r="D12062" s="3" t="s">
        <v>175</v>
      </c>
      <c r="E12062" s="4" t="s">
        <v>22</v>
      </c>
      <c r="F12062" s="4" t="s">
        <v>60983</v>
      </c>
      <c r="G12062" s="4" t="s">
        <v>60984</v>
      </c>
      <c r="H12062" s="3" t="s">
        <v>60159</v>
      </c>
      <c r="I12062" s="3" t="s">
        <v>8285</v>
      </c>
      <c r="J12062" s="3" t="s">
        <v>3852</v>
      </c>
      <c r="K12062" s="3" t="s">
        <v>60985</v>
      </c>
      <c r="L12062" s="3"/>
      <c r="M12062" s="4"/>
      <c r="N12062" s="3" t="s">
        <v>37</v>
      </c>
      <c r="O12062" s="3" t="s">
        <v>52</v>
      </c>
      <c r="P12062" s="5">
        <v>9</v>
      </c>
      <c r="Q12062" s="5">
        <v>68</v>
      </c>
      <c r="R12062" s="5">
        <v>9</v>
      </c>
      <c r="S12062" s="5">
        <v>65</v>
      </c>
    </row>
    <row r="12063" spans="1:19" ht="28" x14ac:dyDescent="0.15">
      <c r="A12063" s="2">
        <f>HYPERLINK("https://open-school.uspishnemisto.com.ua/school/610184/", 610184)</f>
        <v>610184</v>
      </c>
      <c r="B12063" s="3" t="s">
        <v>60986</v>
      </c>
      <c r="C12063" s="3" t="s">
        <v>31</v>
      </c>
      <c r="D12063" s="3" t="s">
        <v>32</v>
      </c>
      <c r="E12063" s="4" t="s">
        <v>22</v>
      </c>
      <c r="F12063" s="4" t="s">
        <v>60987</v>
      </c>
      <c r="G12063" s="4" t="s">
        <v>60988</v>
      </c>
      <c r="H12063" s="3" t="s">
        <v>60159</v>
      </c>
      <c r="I12063" s="3" t="s">
        <v>60989</v>
      </c>
      <c r="J12063" s="3" t="s">
        <v>1348</v>
      </c>
      <c r="K12063" s="3" t="s">
        <v>60990</v>
      </c>
      <c r="L12063" s="3"/>
      <c r="M12063" s="4"/>
      <c r="N12063" s="3" t="s">
        <v>37</v>
      </c>
      <c r="O12063" s="3" t="s">
        <v>52</v>
      </c>
      <c r="P12063" s="5">
        <v>11</v>
      </c>
      <c r="Q12063" s="5">
        <v>155</v>
      </c>
      <c r="R12063" s="5">
        <v>11</v>
      </c>
      <c r="S12063" s="5">
        <v>161</v>
      </c>
    </row>
    <row r="12064" spans="1:19" ht="28" x14ac:dyDescent="0.15">
      <c r="A12064" s="2">
        <f>HYPERLINK("https://open-school.uspishnemisto.com.ua/school/610185/", 610185)</f>
        <v>610185</v>
      </c>
      <c r="B12064" s="3" t="s">
        <v>60991</v>
      </c>
      <c r="C12064" s="3" t="s">
        <v>31</v>
      </c>
      <c r="D12064" s="3" t="s">
        <v>60</v>
      </c>
      <c r="E12064" s="4" t="s">
        <v>22</v>
      </c>
      <c r="F12064" s="4" t="s">
        <v>60937</v>
      </c>
      <c r="G12064" s="4" t="s">
        <v>60992</v>
      </c>
      <c r="H12064" s="3" t="s">
        <v>60159</v>
      </c>
      <c r="I12064" s="3" t="s">
        <v>60993</v>
      </c>
      <c r="J12064" s="3" t="s">
        <v>60994</v>
      </c>
      <c r="K12064" s="3" t="s">
        <v>60995</v>
      </c>
      <c r="L12064" s="3"/>
      <c r="M12064" s="4"/>
      <c r="N12064" s="3" t="s">
        <v>37</v>
      </c>
      <c r="O12064" s="3" t="s">
        <v>618</v>
      </c>
      <c r="P12064" s="5">
        <v>1</v>
      </c>
      <c r="Q12064" s="5">
        <v>6</v>
      </c>
      <c r="R12064" s="5">
        <v>1</v>
      </c>
      <c r="S12064" s="5">
        <v>6</v>
      </c>
    </row>
    <row r="12065" spans="1:19" ht="28" x14ac:dyDescent="0.15">
      <c r="A12065" s="2">
        <f>HYPERLINK("https://open-school.uspishnemisto.com.ua/school/610186/", 610186)</f>
        <v>610186</v>
      </c>
      <c r="B12065" s="3" t="s">
        <v>60996</v>
      </c>
      <c r="C12065" s="3" t="s">
        <v>31</v>
      </c>
      <c r="D12065" s="3" t="s">
        <v>175</v>
      </c>
      <c r="E12065" s="4" t="s">
        <v>22</v>
      </c>
      <c r="F12065" s="4" t="s">
        <v>60997</v>
      </c>
      <c r="G12065" s="4" t="s">
        <v>60998</v>
      </c>
      <c r="H12065" s="3" t="s">
        <v>60159</v>
      </c>
      <c r="I12065" s="3" t="s">
        <v>60999</v>
      </c>
      <c r="J12065" s="3" t="s">
        <v>12836</v>
      </c>
      <c r="K12065" s="3" t="s">
        <v>61000</v>
      </c>
      <c r="L12065" s="3"/>
      <c r="M12065" s="4"/>
      <c r="N12065" s="3" t="s">
        <v>37</v>
      </c>
      <c r="O12065" s="3" t="s">
        <v>52</v>
      </c>
      <c r="P12065" s="5">
        <v>17</v>
      </c>
      <c r="Q12065" s="5">
        <v>308</v>
      </c>
      <c r="R12065" s="5">
        <v>17</v>
      </c>
      <c r="S12065" s="5">
        <v>303</v>
      </c>
    </row>
    <row r="12066" spans="1:19" ht="28" x14ac:dyDescent="0.15">
      <c r="A12066" s="2">
        <f>HYPERLINK("https://open-school.uspishnemisto.com.ua/school/610187/", 610187)</f>
        <v>610187</v>
      </c>
      <c r="B12066" s="3" t="s">
        <v>61001</v>
      </c>
      <c r="C12066" s="3" t="s">
        <v>31</v>
      </c>
      <c r="D12066" s="3" t="s">
        <v>60</v>
      </c>
      <c r="E12066" s="4" t="s">
        <v>22</v>
      </c>
      <c r="F12066" s="4" t="s">
        <v>60997</v>
      </c>
      <c r="G12066" s="4" t="s">
        <v>61002</v>
      </c>
      <c r="H12066" s="3" t="s">
        <v>60159</v>
      </c>
      <c r="I12066" s="3" t="s">
        <v>48358</v>
      </c>
      <c r="J12066" s="3" t="s">
        <v>43498</v>
      </c>
      <c r="K12066" s="3" t="s">
        <v>61003</v>
      </c>
      <c r="L12066" s="3"/>
      <c r="M12066" s="4"/>
      <c r="N12066" s="3" t="s">
        <v>37</v>
      </c>
      <c r="O12066" s="3" t="s">
        <v>52</v>
      </c>
      <c r="P12066" s="5">
        <v>4</v>
      </c>
      <c r="Q12066" s="5">
        <v>67</v>
      </c>
      <c r="R12066" s="5">
        <v>4</v>
      </c>
      <c r="S12066" s="5">
        <v>50</v>
      </c>
    </row>
    <row r="12067" spans="1:19" ht="28" x14ac:dyDescent="0.15">
      <c r="A12067" s="2">
        <f>HYPERLINK("https://open-school.uspishnemisto.com.ua/school/610188/", 610188)</f>
        <v>610188</v>
      </c>
      <c r="B12067" s="3" t="s">
        <v>61004</v>
      </c>
      <c r="C12067" s="3" t="s">
        <v>31</v>
      </c>
      <c r="D12067" s="3" t="s">
        <v>175</v>
      </c>
      <c r="E12067" s="4" t="s">
        <v>22</v>
      </c>
      <c r="F12067" s="4" t="s">
        <v>61005</v>
      </c>
      <c r="G12067" s="4" t="s">
        <v>61006</v>
      </c>
      <c r="H12067" s="3" t="s">
        <v>60159</v>
      </c>
      <c r="I12067" s="3" t="s">
        <v>61007</v>
      </c>
      <c r="J12067" s="3" t="s">
        <v>466</v>
      </c>
      <c r="K12067" s="3" t="s">
        <v>61008</v>
      </c>
      <c r="L12067" s="3"/>
      <c r="M12067" s="4"/>
      <c r="N12067" s="3" t="s">
        <v>37</v>
      </c>
      <c r="O12067" s="3" t="s">
        <v>52</v>
      </c>
      <c r="P12067" s="5">
        <v>9</v>
      </c>
      <c r="Q12067" s="5">
        <v>118</v>
      </c>
      <c r="R12067" s="5">
        <v>9</v>
      </c>
      <c r="S12067" s="5">
        <v>113</v>
      </c>
    </row>
    <row r="12068" spans="1:19" ht="28" x14ac:dyDescent="0.15">
      <c r="A12068" s="2">
        <f>HYPERLINK("https://open-school.uspishnemisto.com.ua/school/610189/", 610189)</f>
        <v>610189</v>
      </c>
      <c r="B12068" s="3" t="s">
        <v>61009</v>
      </c>
      <c r="C12068" s="3" t="s">
        <v>31</v>
      </c>
      <c r="D12068" s="3" t="s">
        <v>175</v>
      </c>
      <c r="E12068" s="4" t="s">
        <v>22</v>
      </c>
      <c r="F12068" s="4" t="s">
        <v>61010</v>
      </c>
      <c r="G12068" s="4" t="s">
        <v>61011</v>
      </c>
      <c r="H12068" s="3" t="s">
        <v>60159</v>
      </c>
      <c r="I12068" s="3" t="s">
        <v>61012</v>
      </c>
      <c r="J12068" s="3" t="s">
        <v>466</v>
      </c>
      <c r="K12068" s="3" t="s">
        <v>61013</v>
      </c>
      <c r="L12068" s="3"/>
      <c r="M12068" s="4"/>
      <c r="N12068" s="3" t="s">
        <v>37</v>
      </c>
      <c r="O12068" s="3" t="s">
        <v>52</v>
      </c>
      <c r="P12068" s="5">
        <v>8</v>
      </c>
      <c r="Q12068" s="5">
        <v>87</v>
      </c>
      <c r="R12068" s="5">
        <v>8</v>
      </c>
      <c r="S12068" s="5">
        <v>85</v>
      </c>
    </row>
    <row r="12069" spans="1:19" ht="28" x14ac:dyDescent="0.15">
      <c r="A12069" s="2">
        <f>HYPERLINK("https://open-school.uspishnemisto.com.ua/school/610190/", 610190)</f>
        <v>610190</v>
      </c>
      <c r="B12069" s="3" t="s">
        <v>61014</v>
      </c>
      <c r="C12069" s="3" t="s">
        <v>31</v>
      </c>
      <c r="D12069" s="3" t="s">
        <v>175</v>
      </c>
      <c r="E12069" s="4" t="s">
        <v>22</v>
      </c>
      <c r="F12069" s="4" t="s">
        <v>61015</v>
      </c>
      <c r="G12069" s="4" t="s">
        <v>61016</v>
      </c>
      <c r="H12069" s="3" t="s">
        <v>60159</v>
      </c>
      <c r="I12069" s="3" t="s">
        <v>21917</v>
      </c>
      <c r="J12069" s="3" t="s">
        <v>12836</v>
      </c>
      <c r="K12069" s="3" t="s">
        <v>61017</v>
      </c>
      <c r="L12069" s="3"/>
      <c r="M12069" s="4"/>
      <c r="N12069" s="3" t="s">
        <v>37</v>
      </c>
      <c r="O12069" s="3" t="s">
        <v>52</v>
      </c>
      <c r="P12069" s="5">
        <v>9</v>
      </c>
      <c r="Q12069" s="5">
        <v>132</v>
      </c>
      <c r="R12069" s="5">
        <v>9</v>
      </c>
      <c r="S12069" s="5">
        <v>142</v>
      </c>
    </row>
    <row r="12070" spans="1:19" ht="28" x14ac:dyDescent="0.15">
      <c r="A12070" s="2">
        <f>HYPERLINK("https://open-school.uspishnemisto.com.ua/school/610191/", 610191)</f>
        <v>610191</v>
      </c>
      <c r="B12070" s="3" t="s">
        <v>61018</v>
      </c>
      <c r="C12070" s="3" t="s">
        <v>31</v>
      </c>
      <c r="D12070" s="3" t="s">
        <v>175</v>
      </c>
      <c r="E12070" s="4" t="s">
        <v>22</v>
      </c>
      <c r="F12070" s="4" t="s">
        <v>61019</v>
      </c>
      <c r="G12070" s="4" t="s">
        <v>61020</v>
      </c>
      <c r="H12070" s="3" t="s">
        <v>60159</v>
      </c>
      <c r="I12070" s="3" t="s">
        <v>1740</v>
      </c>
      <c r="J12070" s="3" t="s">
        <v>694</v>
      </c>
      <c r="K12070" s="3" t="s">
        <v>61021</v>
      </c>
      <c r="L12070" s="3"/>
      <c r="M12070" s="4"/>
      <c r="N12070" s="3" t="s">
        <v>37</v>
      </c>
      <c r="O12070" s="3" t="s">
        <v>52</v>
      </c>
      <c r="P12070" s="5">
        <v>6</v>
      </c>
      <c r="Q12070" s="5">
        <v>51</v>
      </c>
      <c r="R12070" s="5">
        <v>6</v>
      </c>
      <c r="S12070" s="5">
        <v>54</v>
      </c>
    </row>
    <row r="12071" spans="1:19" ht="28" x14ac:dyDescent="0.15">
      <c r="A12071" s="2">
        <f>HYPERLINK("https://open-school.uspishnemisto.com.ua/school/610192/", 610192)</f>
        <v>610192</v>
      </c>
      <c r="B12071" s="3" t="s">
        <v>61022</v>
      </c>
      <c r="C12071" s="3" t="s">
        <v>31</v>
      </c>
      <c r="D12071" s="3" t="s">
        <v>60</v>
      </c>
      <c r="E12071" s="4" t="s">
        <v>22</v>
      </c>
      <c r="F12071" s="4" t="s">
        <v>61019</v>
      </c>
      <c r="G12071" s="4" t="s">
        <v>61023</v>
      </c>
      <c r="H12071" s="3" t="s">
        <v>60159</v>
      </c>
      <c r="I12071" s="3" t="s">
        <v>6642</v>
      </c>
      <c r="J12071" s="3" t="s">
        <v>61024</v>
      </c>
      <c r="K12071" s="3" t="s">
        <v>61025</v>
      </c>
      <c r="L12071" s="3"/>
      <c r="M12071" s="4"/>
      <c r="N12071" s="3" t="s">
        <v>37</v>
      </c>
      <c r="O12071" s="3" t="s">
        <v>52</v>
      </c>
      <c r="P12071" s="5">
        <v>0</v>
      </c>
      <c r="Q12071" s="5">
        <v>6</v>
      </c>
      <c r="R12071" s="5">
        <v>0</v>
      </c>
      <c r="S12071" s="5">
        <v>6</v>
      </c>
    </row>
    <row r="12072" spans="1:19" ht="28" x14ac:dyDescent="0.15">
      <c r="A12072" s="2">
        <f>HYPERLINK("https://open-school.uspishnemisto.com.ua/school/610193/", 610193)</f>
        <v>610193</v>
      </c>
      <c r="B12072" s="3" t="s">
        <v>61026</v>
      </c>
      <c r="C12072" s="3" t="s">
        <v>31</v>
      </c>
      <c r="D12072" s="3" t="s">
        <v>60</v>
      </c>
      <c r="E12072" s="4" t="s">
        <v>22</v>
      </c>
      <c r="F12072" s="4" t="s">
        <v>61019</v>
      </c>
      <c r="G12072" s="4" t="s">
        <v>61027</v>
      </c>
      <c r="H12072" s="3" t="s">
        <v>60159</v>
      </c>
      <c r="I12072" s="3" t="s">
        <v>2920</v>
      </c>
      <c r="J12072" s="3" t="s">
        <v>61028</v>
      </c>
      <c r="K12072" s="3" t="s">
        <v>61029</v>
      </c>
      <c r="L12072" s="3"/>
      <c r="M12072" s="4"/>
      <c r="N12072" s="3" t="s">
        <v>37</v>
      </c>
      <c r="O12072" s="3" t="s">
        <v>52</v>
      </c>
      <c r="P12072" s="5">
        <v>0</v>
      </c>
      <c r="Q12072" s="5">
        <v>5</v>
      </c>
      <c r="R12072" s="5">
        <v>0</v>
      </c>
      <c r="S12072" s="5">
        <v>5</v>
      </c>
    </row>
    <row r="12073" spans="1:19" ht="28" x14ac:dyDescent="0.15">
      <c r="A12073" s="2">
        <f>HYPERLINK("https://open-school.uspishnemisto.com.ua/school/610194/", 610194)</f>
        <v>610194</v>
      </c>
      <c r="B12073" s="3" t="s">
        <v>61030</v>
      </c>
      <c r="C12073" s="3" t="s">
        <v>31</v>
      </c>
      <c r="D12073" s="3" t="s">
        <v>175</v>
      </c>
      <c r="E12073" s="4" t="s">
        <v>22</v>
      </c>
      <c r="F12073" s="4" t="s">
        <v>61031</v>
      </c>
      <c r="G12073" s="4" t="s">
        <v>61032</v>
      </c>
      <c r="H12073" s="3" t="s">
        <v>60159</v>
      </c>
      <c r="I12073" s="3" t="s">
        <v>61033</v>
      </c>
      <c r="J12073" s="3" t="s">
        <v>792</v>
      </c>
      <c r="K12073" s="3" t="s">
        <v>61034</v>
      </c>
      <c r="L12073" s="3"/>
      <c r="M12073" s="4"/>
      <c r="N12073" s="3" t="s">
        <v>37</v>
      </c>
      <c r="O12073" s="3" t="s">
        <v>52</v>
      </c>
      <c r="P12073" s="5">
        <v>7</v>
      </c>
      <c r="Q12073" s="5">
        <v>59</v>
      </c>
      <c r="R12073" s="5">
        <v>7</v>
      </c>
      <c r="S12073" s="5">
        <v>56</v>
      </c>
    </row>
    <row r="12074" spans="1:19" ht="28" x14ac:dyDescent="0.15">
      <c r="A12074" s="2">
        <f>HYPERLINK("https://open-school.uspishnemisto.com.ua/school/610195/", 610195)</f>
        <v>610195</v>
      </c>
      <c r="B12074" s="3" t="s">
        <v>60798</v>
      </c>
      <c r="C12074" s="3" t="s">
        <v>31</v>
      </c>
      <c r="D12074" s="3" t="s">
        <v>32</v>
      </c>
      <c r="E12074" s="4" t="s">
        <v>22</v>
      </c>
      <c r="F12074" s="4" t="s">
        <v>61035</v>
      </c>
      <c r="G12074" s="4" t="s">
        <v>61036</v>
      </c>
      <c r="H12074" s="3" t="s">
        <v>60159</v>
      </c>
      <c r="I12074" s="3" t="s">
        <v>8368</v>
      </c>
      <c r="J12074" s="3" t="s">
        <v>6201</v>
      </c>
      <c r="K12074" s="3" t="s">
        <v>61037</v>
      </c>
      <c r="L12074" s="3"/>
      <c r="M12074" s="4"/>
      <c r="N12074" s="3" t="s">
        <v>37</v>
      </c>
      <c r="O12074" s="3" t="s">
        <v>52</v>
      </c>
      <c r="P12074" s="5">
        <v>10</v>
      </c>
      <c r="Q12074" s="5">
        <v>124</v>
      </c>
      <c r="R12074" s="5">
        <v>10</v>
      </c>
      <c r="S12074" s="5">
        <v>131</v>
      </c>
    </row>
    <row r="12075" spans="1:19" ht="28" x14ac:dyDescent="0.15">
      <c r="A12075" s="2">
        <f>HYPERLINK("https://open-school.uspishnemisto.com.ua/school/610196/", 610196)</f>
        <v>610196</v>
      </c>
      <c r="B12075" s="3" t="s">
        <v>61038</v>
      </c>
      <c r="C12075" s="3" t="s">
        <v>31</v>
      </c>
      <c r="D12075" s="3" t="s">
        <v>60</v>
      </c>
      <c r="E12075" s="4" t="s">
        <v>22</v>
      </c>
      <c r="F12075" s="4" t="s">
        <v>61035</v>
      </c>
      <c r="G12075" s="4" t="s">
        <v>61039</v>
      </c>
      <c r="H12075" s="3" t="s">
        <v>60159</v>
      </c>
      <c r="I12075" s="3" t="s">
        <v>61040</v>
      </c>
      <c r="J12075" s="3"/>
      <c r="K12075" s="3" t="s">
        <v>61041</v>
      </c>
      <c r="L12075" s="3"/>
      <c r="M12075" s="4"/>
      <c r="N12075" s="3" t="s">
        <v>37</v>
      </c>
      <c r="O12075" s="3" t="s">
        <v>52</v>
      </c>
      <c r="P12075" s="5">
        <v>1</v>
      </c>
      <c r="Q12075" s="5">
        <v>16</v>
      </c>
      <c r="R12075" s="5">
        <v>2</v>
      </c>
      <c r="S12075" s="5">
        <v>13</v>
      </c>
    </row>
    <row r="12076" spans="1:19" ht="28" x14ac:dyDescent="0.15">
      <c r="A12076" s="2">
        <f>HYPERLINK("https://open-school.uspishnemisto.com.ua/school/610197/", 610197)</f>
        <v>610197</v>
      </c>
      <c r="B12076" s="3" t="s">
        <v>61042</v>
      </c>
      <c r="C12076" s="3" t="s">
        <v>31</v>
      </c>
      <c r="D12076" s="3" t="s">
        <v>32</v>
      </c>
      <c r="E12076" s="4" t="s">
        <v>22</v>
      </c>
      <c r="F12076" s="4" t="s">
        <v>60947</v>
      </c>
      <c r="G12076" s="4" t="s">
        <v>61043</v>
      </c>
      <c r="H12076" s="3" t="s">
        <v>60159</v>
      </c>
      <c r="I12076" s="3" t="s">
        <v>61044</v>
      </c>
      <c r="J12076" s="3"/>
      <c r="K12076" s="3" t="s">
        <v>61045</v>
      </c>
      <c r="L12076" s="3"/>
      <c r="M12076" s="4"/>
      <c r="N12076" s="3" t="s">
        <v>37</v>
      </c>
      <c r="O12076" s="3" t="s">
        <v>46</v>
      </c>
      <c r="P12076" s="5">
        <v>15</v>
      </c>
      <c r="Q12076" s="5">
        <v>277</v>
      </c>
      <c r="R12076" s="5">
        <v>14</v>
      </c>
      <c r="S12076" s="5">
        <v>266</v>
      </c>
    </row>
    <row r="12077" spans="1:19" ht="28" x14ac:dyDescent="0.15">
      <c r="A12077" s="2">
        <f>HYPERLINK("https://open-school.uspishnemisto.com.ua/school/610198/", 610198)</f>
        <v>610198</v>
      </c>
      <c r="B12077" s="3" t="s">
        <v>61046</v>
      </c>
      <c r="C12077" s="3" t="s">
        <v>31</v>
      </c>
      <c r="D12077" s="3" t="s">
        <v>32</v>
      </c>
      <c r="E12077" s="4" t="s">
        <v>22</v>
      </c>
      <c r="F12077" s="4" t="s">
        <v>61047</v>
      </c>
      <c r="G12077" s="4" t="s">
        <v>61048</v>
      </c>
      <c r="H12077" s="3" t="s">
        <v>60159</v>
      </c>
      <c r="I12077" s="3" t="s">
        <v>4012</v>
      </c>
      <c r="J12077" s="3" t="s">
        <v>12559</v>
      </c>
      <c r="K12077" s="3" t="s">
        <v>61049</v>
      </c>
      <c r="L12077" s="3" t="s">
        <v>61050</v>
      </c>
      <c r="M12077" s="4"/>
      <c r="N12077" s="3" t="s">
        <v>37</v>
      </c>
      <c r="O12077" s="3" t="s">
        <v>46</v>
      </c>
      <c r="P12077" s="5">
        <v>10</v>
      </c>
      <c r="Q12077" s="5">
        <v>88</v>
      </c>
      <c r="R12077" s="5">
        <v>10</v>
      </c>
      <c r="S12077" s="5">
        <v>81</v>
      </c>
    </row>
    <row r="12078" spans="1:19" ht="28" x14ac:dyDescent="0.15">
      <c r="A12078" s="2">
        <f>HYPERLINK("https://open-school.uspishnemisto.com.ua/school/610199/", 610199)</f>
        <v>610199</v>
      </c>
      <c r="B12078" s="3" t="s">
        <v>61051</v>
      </c>
      <c r="C12078" s="3" t="s">
        <v>31</v>
      </c>
      <c r="D12078" s="3" t="s">
        <v>60</v>
      </c>
      <c r="E12078" s="4" t="s">
        <v>22</v>
      </c>
      <c r="F12078" s="4" t="s">
        <v>61047</v>
      </c>
      <c r="G12078" s="4" t="s">
        <v>61052</v>
      </c>
      <c r="H12078" s="3" t="s">
        <v>60159</v>
      </c>
      <c r="I12078" s="3" t="s">
        <v>1308</v>
      </c>
      <c r="J12078" s="3" t="s">
        <v>61053</v>
      </c>
      <c r="K12078" s="3" t="s">
        <v>61054</v>
      </c>
      <c r="L12078" s="3"/>
      <c r="M12078" s="4"/>
      <c r="N12078" s="3" t="s">
        <v>37</v>
      </c>
      <c r="O12078" s="3" t="s">
        <v>52</v>
      </c>
      <c r="P12078" s="5">
        <v>2</v>
      </c>
      <c r="Q12078" s="5">
        <v>15</v>
      </c>
      <c r="R12078" s="5">
        <v>2</v>
      </c>
      <c r="S12078" s="5">
        <v>16</v>
      </c>
    </row>
    <row r="12079" spans="1:19" ht="28" x14ac:dyDescent="0.15">
      <c r="A12079" s="2">
        <f>HYPERLINK("https://open-school.uspishnemisto.com.ua/school/610200/", 610200)</f>
        <v>610200</v>
      </c>
      <c r="B12079" s="3" t="s">
        <v>61055</v>
      </c>
      <c r="C12079" s="3" t="s">
        <v>31</v>
      </c>
      <c r="D12079" s="3" t="s">
        <v>175</v>
      </c>
      <c r="E12079" s="4" t="s">
        <v>22</v>
      </c>
      <c r="F12079" s="4" t="s">
        <v>61056</v>
      </c>
      <c r="G12079" s="4" t="s">
        <v>61057</v>
      </c>
      <c r="H12079" s="3" t="s">
        <v>60159</v>
      </c>
      <c r="I12079" s="3" t="s">
        <v>61058</v>
      </c>
      <c r="J12079" s="3" t="s">
        <v>23118</v>
      </c>
      <c r="K12079" s="3" t="s">
        <v>61059</v>
      </c>
      <c r="L12079" s="3"/>
      <c r="M12079" s="4"/>
      <c r="N12079" s="3" t="s">
        <v>37</v>
      </c>
      <c r="O12079" s="3" t="s">
        <v>52</v>
      </c>
      <c r="P12079" s="5">
        <v>9</v>
      </c>
      <c r="Q12079" s="5">
        <v>106</v>
      </c>
      <c r="R12079" s="5">
        <v>9</v>
      </c>
      <c r="S12079" s="5">
        <v>93</v>
      </c>
    </row>
    <row r="12080" spans="1:19" ht="28" x14ac:dyDescent="0.15">
      <c r="A12080" s="2">
        <f>HYPERLINK("https://open-school.uspishnemisto.com.ua/school/610201/", 610201)</f>
        <v>610201</v>
      </c>
      <c r="B12080" s="3" t="s">
        <v>61060</v>
      </c>
      <c r="C12080" s="3" t="s">
        <v>31</v>
      </c>
      <c r="D12080" s="3" t="s">
        <v>175</v>
      </c>
      <c r="E12080" s="4" t="s">
        <v>22</v>
      </c>
      <c r="F12080" s="4" t="s">
        <v>61061</v>
      </c>
      <c r="G12080" s="4" t="s">
        <v>61062</v>
      </c>
      <c r="H12080" s="3" t="s">
        <v>60159</v>
      </c>
      <c r="I12080" s="3" t="s">
        <v>61063</v>
      </c>
      <c r="J12080" s="3" t="s">
        <v>61064</v>
      </c>
      <c r="K12080" s="3" t="s">
        <v>61065</v>
      </c>
      <c r="L12080" s="3"/>
      <c r="M12080" s="4"/>
      <c r="N12080" s="3" t="s">
        <v>37</v>
      </c>
      <c r="O12080" s="3" t="s">
        <v>52</v>
      </c>
      <c r="P12080" s="5">
        <v>9</v>
      </c>
      <c r="Q12080" s="5">
        <v>89</v>
      </c>
      <c r="R12080" s="5">
        <v>9</v>
      </c>
      <c r="S12080" s="5">
        <v>81</v>
      </c>
    </row>
    <row r="12081" spans="1:19" ht="28" x14ac:dyDescent="0.15">
      <c r="A12081" s="2">
        <f>HYPERLINK("https://open-school.uspishnemisto.com.ua/school/610202/", 610202)</f>
        <v>610202</v>
      </c>
      <c r="B12081" s="3" t="s">
        <v>61066</v>
      </c>
      <c r="C12081" s="3" t="s">
        <v>31</v>
      </c>
      <c r="D12081" s="3" t="s">
        <v>175</v>
      </c>
      <c r="E12081" s="4" t="s">
        <v>22</v>
      </c>
      <c r="F12081" s="4" t="s">
        <v>61067</v>
      </c>
      <c r="G12081" s="4" t="s">
        <v>61068</v>
      </c>
      <c r="H12081" s="3" t="s">
        <v>60159</v>
      </c>
      <c r="I12081" s="3" t="s">
        <v>41905</v>
      </c>
      <c r="J12081" s="3" t="s">
        <v>7277</v>
      </c>
      <c r="K12081" s="3" t="s">
        <v>61069</v>
      </c>
      <c r="L12081" s="3" t="s">
        <v>61070</v>
      </c>
      <c r="M12081" s="4"/>
      <c r="N12081" s="3" t="s">
        <v>37</v>
      </c>
      <c r="O12081" s="3" t="s">
        <v>52</v>
      </c>
      <c r="P12081" s="5">
        <v>9</v>
      </c>
      <c r="Q12081" s="5">
        <v>80</v>
      </c>
      <c r="R12081" s="5">
        <v>9</v>
      </c>
      <c r="S12081" s="5">
        <v>82</v>
      </c>
    </row>
    <row r="12082" spans="1:19" ht="28" x14ac:dyDescent="0.15">
      <c r="A12082" s="2">
        <f>HYPERLINK("https://open-school.uspishnemisto.com.ua/school/610203/", 610203)</f>
        <v>610203</v>
      </c>
      <c r="B12082" s="3" t="s">
        <v>61071</v>
      </c>
      <c r="C12082" s="3" t="s">
        <v>31</v>
      </c>
      <c r="D12082" s="3" t="s">
        <v>32</v>
      </c>
      <c r="E12082" s="4" t="s">
        <v>22</v>
      </c>
      <c r="F12082" s="4" t="s">
        <v>61072</v>
      </c>
      <c r="G12082" s="4" t="s">
        <v>61073</v>
      </c>
      <c r="H12082" s="3" t="s">
        <v>60159</v>
      </c>
      <c r="I12082" s="3" t="s">
        <v>61074</v>
      </c>
      <c r="J12082" s="3" t="s">
        <v>792</v>
      </c>
      <c r="K12082" s="3" t="s">
        <v>61075</v>
      </c>
      <c r="L12082" s="3"/>
      <c r="M12082" s="4"/>
      <c r="N12082" s="3" t="s">
        <v>37</v>
      </c>
      <c r="O12082" s="3" t="s">
        <v>52</v>
      </c>
      <c r="P12082" s="5">
        <v>10</v>
      </c>
      <c r="Q12082" s="5">
        <v>116</v>
      </c>
      <c r="R12082" s="5">
        <v>10</v>
      </c>
      <c r="S12082" s="5">
        <v>115</v>
      </c>
    </row>
    <row r="12083" spans="1:19" ht="28" x14ac:dyDescent="0.15">
      <c r="A12083" s="2">
        <f>HYPERLINK("https://open-school.uspishnemisto.com.ua/school/610204/", 610204)</f>
        <v>610204</v>
      </c>
      <c r="B12083" s="3" t="s">
        <v>61076</v>
      </c>
      <c r="C12083" s="3" t="s">
        <v>31</v>
      </c>
      <c r="D12083" s="3" t="s">
        <v>60</v>
      </c>
      <c r="E12083" s="4" t="s">
        <v>22</v>
      </c>
      <c r="F12083" s="4" t="s">
        <v>61077</v>
      </c>
      <c r="G12083" s="4" t="s">
        <v>61078</v>
      </c>
      <c r="H12083" s="3" t="s">
        <v>60159</v>
      </c>
      <c r="I12083" s="3" t="s">
        <v>61079</v>
      </c>
      <c r="J12083" s="3" t="s">
        <v>42845</v>
      </c>
      <c r="K12083" s="3" t="s">
        <v>61080</v>
      </c>
      <c r="L12083" s="3"/>
      <c r="M12083" s="4"/>
      <c r="N12083" s="3" t="s">
        <v>37</v>
      </c>
      <c r="O12083" s="3" t="s">
        <v>52</v>
      </c>
      <c r="P12083" s="5">
        <v>1</v>
      </c>
      <c r="Q12083" s="5">
        <v>14</v>
      </c>
      <c r="R12083" s="5">
        <v>2</v>
      </c>
      <c r="S12083" s="5">
        <v>15</v>
      </c>
    </row>
    <row r="12084" spans="1:19" ht="28" x14ac:dyDescent="0.15">
      <c r="A12084" s="2">
        <f>HYPERLINK("https://open-school.uspishnemisto.com.ua/school/610205/", 610205)</f>
        <v>610205</v>
      </c>
      <c r="B12084" s="3" t="s">
        <v>61081</v>
      </c>
      <c r="C12084" s="3" t="s">
        <v>31</v>
      </c>
      <c r="D12084" s="3" t="s">
        <v>60</v>
      </c>
      <c r="E12084" s="4" t="s">
        <v>22</v>
      </c>
      <c r="F12084" s="4" t="s">
        <v>61077</v>
      </c>
      <c r="G12084" s="4" t="s">
        <v>61082</v>
      </c>
      <c r="H12084" s="3" t="s">
        <v>60159</v>
      </c>
      <c r="I12084" s="3" t="s">
        <v>61083</v>
      </c>
      <c r="J12084" s="3" t="s">
        <v>25480</v>
      </c>
      <c r="K12084" s="3"/>
      <c r="L12084" s="3"/>
      <c r="M12084" s="4"/>
      <c r="N12084" s="3" t="s">
        <v>37</v>
      </c>
      <c r="O12084" s="3" t="s">
        <v>52</v>
      </c>
      <c r="P12084" s="5">
        <v>4</v>
      </c>
      <c r="Q12084" s="5">
        <v>32</v>
      </c>
      <c r="R12084" s="5">
        <v>4</v>
      </c>
      <c r="S12084" s="5">
        <v>31</v>
      </c>
    </row>
    <row r="12085" spans="1:19" ht="28" x14ac:dyDescent="0.15">
      <c r="A12085" s="2">
        <f>HYPERLINK("https://open-school.uspishnemisto.com.ua/school/610206/", 610206)</f>
        <v>610206</v>
      </c>
      <c r="B12085" s="3" t="s">
        <v>61084</v>
      </c>
      <c r="C12085" s="3" t="s">
        <v>31</v>
      </c>
      <c r="D12085" s="3" t="s">
        <v>175</v>
      </c>
      <c r="E12085" s="4" t="s">
        <v>22</v>
      </c>
      <c r="F12085" s="4" t="s">
        <v>61085</v>
      </c>
      <c r="G12085" s="4" t="s">
        <v>61086</v>
      </c>
      <c r="H12085" s="3" t="s">
        <v>60159</v>
      </c>
      <c r="I12085" s="3" t="s">
        <v>61087</v>
      </c>
      <c r="J12085" s="3" t="s">
        <v>12836</v>
      </c>
      <c r="K12085" s="3" t="s">
        <v>61088</v>
      </c>
      <c r="L12085" s="3" t="s">
        <v>61089</v>
      </c>
      <c r="M12085" s="4"/>
      <c r="N12085" s="3" t="s">
        <v>37</v>
      </c>
      <c r="O12085" s="3" t="s">
        <v>52</v>
      </c>
      <c r="P12085" s="5">
        <v>9</v>
      </c>
      <c r="Q12085" s="5">
        <v>110</v>
      </c>
      <c r="R12085" s="5">
        <v>9</v>
      </c>
      <c r="S12085" s="5">
        <v>109</v>
      </c>
    </row>
    <row r="12086" spans="1:19" ht="28" x14ac:dyDescent="0.15">
      <c r="A12086" s="2">
        <f>HYPERLINK("https://open-school.uspishnemisto.com.ua/school/610207/", 610207)</f>
        <v>610207</v>
      </c>
      <c r="B12086" s="3" t="s">
        <v>61090</v>
      </c>
      <c r="C12086" s="3" t="s">
        <v>31</v>
      </c>
      <c r="D12086" s="3" t="s">
        <v>175</v>
      </c>
      <c r="E12086" s="4" t="s">
        <v>22</v>
      </c>
      <c r="F12086" s="4" t="s">
        <v>61091</v>
      </c>
      <c r="G12086" s="4" t="s">
        <v>61092</v>
      </c>
      <c r="H12086" s="3" t="s">
        <v>60159</v>
      </c>
      <c r="I12086" s="3" t="s">
        <v>61093</v>
      </c>
      <c r="J12086" s="3" t="s">
        <v>1417</v>
      </c>
      <c r="K12086" s="3" t="s">
        <v>61094</v>
      </c>
      <c r="L12086" s="3"/>
      <c r="M12086" s="4"/>
      <c r="N12086" s="3" t="s">
        <v>37</v>
      </c>
      <c r="O12086" s="3" t="s">
        <v>46</v>
      </c>
      <c r="P12086" s="5">
        <v>9</v>
      </c>
      <c r="Q12086" s="5">
        <v>136</v>
      </c>
      <c r="R12086" s="5">
        <v>9</v>
      </c>
      <c r="S12086" s="5">
        <v>135</v>
      </c>
    </row>
    <row r="12087" spans="1:19" ht="28" x14ac:dyDescent="0.15">
      <c r="A12087" s="2">
        <f>HYPERLINK("https://open-school.uspishnemisto.com.ua/school/610208/", 610208)</f>
        <v>610208</v>
      </c>
      <c r="B12087" s="3" t="s">
        <v>61095</v>
      </c>
      <c r="C12087" s="3" t="s">
        <v>31</v>
      </c>
      <c r="D12087" s="3" t="s">
        <v>60</v>
      </c>
      <c r="E12087" s="4" t="s">
        <v>22</v>
      </c>
      <c r="F12087" s="4" t="s">
        <v>61096</v>
      </c>
      <c r="G12087" s="4" t="s">
        <v>61097</v>
      </c>
      <c r="H12087" s="3" t="s">
        <v>60159</v>
      </c>
      <c r="I12087" s="3" t="s">
        <v>61098</v>
      </c>
      <c r="J12087" s="3"/>
      <c r="K12087" s="3" t="s">
        <v>61099</v>
      </c>
      <c r="L12087" s="3"/>
      <c r="M12087" s="4"/>
      <c r="N12087" s="3" t="s">
        <v>37</v>
      </c>
      <c r="O12087" s="3" t="s">
        <v>52</v>
      </c>
      <c r="P12087" s="5">
        <v>1</v>
      </c>
      <c r="Q12087" s="5">
        <v>14</v>
      </c>
      <c r="R12087" s="5">
        <v>1</v>
      </c>
      <c r="S12087" s="5">
        <v>16</v>
      </c>
    </row>
    <row r="12088" spans="1:19" ht="28" x14ac:dyDescent="0.15">
      <c r="A12088" s="2">
        <f>HYPERLINK("https://open-school.uspishnemisto.com.ua/school/610209/", 610209)</f>
        <v>610209</v>
      </c>
      <c r="B12088" s="3" t="s">
        <v>61100</v>
      </c>
      <c r="C12088" s="3" t="s">
        <v>31</v>
      </c>
      <c r="D12088" s="3" t="s">
        <v>175</v>
      </c>
      <c r="E12088" s="4" t="s">
        <v>22</v>
      </c>
      <c r="F12088" s="4" t="s">
        <v>61101</v>
      </c>
      <c r="G12088" s="4" t="s">
        <v>61102</v>
      </c>
      <c r="H12088" s="3" t="s">
        <v>60159</v>
      </c>
      <c r="I12088" s="3" t="s">
        <v>43121</v>
      </c>
      <c r="J12088" s="3" t="s">
        <v>12836</v>
      </c>
      <c r="K12088" s="3" t="s">
        <v>61103</v>
      </c>
      <c r="L12088" s="3"/>
      <c r="M12088" s="4"/>
      <c r="N12088" s="3" t="s">
        <v>37</v>
      </c>
      <c r="O12088" s="3" t="s">
        <v>46</v>
      </c>
      <c r="P12088" s="5">
        <v>9</v>
      </c>
      <c r="Q12088" s="5">
        <v>96</v>
      </c>
      <c r="R12088" s="5">
        <v>9</v>
      </c>
      <c r="S12088" s="5">
        <v>89</v>
      </c>
    </row>
    <row r="12089" spans="1:19" ht="28" x14ac:dyDescent="0.15">
      <c r="A12089" s="2">
        <f>HYPERLINK("https://open-school.uspishnemisto.com.ua/school/610210/", 610210)</f>
        <v>610210</v>
      </c>
      <c r="B12089" s="3" t="s">
        <v>61104</v>
      </c>
      <c r="C12089" s="3" t="s">
        <v>31</v>
      </c>
      <c r="D12089" s="3" t="s">
        <v>32</v>
      </c>
      <c r="E12089" s="4" t="s">
        <v>22</v>
      </c>
      <c r="F12089" s="4" t="s">
        <v>60922</v>
      </c>
      <c r="G12089" s="4" t="s">
        <v>61105</v>
      </c>
      <c r="H12089" s="3" t="s">
        <v>60159</v>
      </c>
      <c r="I12089" s="3" t="s">
        <v>61106</v>
      </c>
      <c r="J12089" s="3" t="s">
        <v>10965</v>
      </c>
      <c r="K12089" s="3" t="s">
        <v>61107</v>
      </c>
      <c r="L12089" s="3"/>
      <c r="M12089" s="4"/>
      <c r="N12089" s="3" t="s">
        <v>37</v>
      </c>
      <c r="O12089" s="3" t="s">
        <v>52</v>
      </c>
      <c r="P12089" s="5">
        <v>14</v>
      </c>
      <c r="Q12089" s="5">
        <v>249</v>
      </c>
      <c r="R12089" s="5">
        <v>14</v>
      </c>
      <c r="S12089" s="5">
        <v>246</v>
      </c>
    </row>
    <row r="12090" spans="1:19" ht="28" x14ac:dyDescent="0.15">
      <c r="A12090" s="2">
        <f>HYPERLINK("https://open-school.uspishnemisto.com.ua/school/610211/", 610211)</f>
        <v>610211</v>
      </c>
      <c r="B12090" s="3" t="s">
        <v>61108</v>
      </c>
      <c r="C12090" s="3" t="s">
        <v>31</v>
      </c>
      <c r="D12090" s="3" t="s">
        <v>32</v>
      </c>
      <c r="E12090" s="4" t="s">
        <v>22</v>
      </c>
      <c r="F12090" s="4" t="s">
        <v>61096</v>
      </c>
      <c r="G12090" s="4" t="s">
        <v>61109</v>
      </c>
      <c r="H12090" s="3" t="s">
        <v>60159</v>
      </c>
      <c r="I12090" s="3" t="s">
        <v>19793</v>
      </c>
      <c r="J12090" s="3" t="s">
        <v>634</v>
      </c>
      <c r="K12090" s="3" t="s">
        <v>61110</v>
      </c>
      <c r="L12090" s="3"/>
      <c r="M12090" s="4"/>
      <c r="N12090" s="3" t="s">
        <v>37</v>
      </c>
      <c r="O12090" s="3" t="s">
        <v>46</v>
      </c>
      <c r="P12090" s="5">
        <v>12</v>
      </c>
      <c r="Q12090" s="5">
        <v>245</v>
      </c>
      <c r="R12090" s="5">
        <v>12</v>
      </c>
      <c r="S12090" s="5">
        <v>237</v>
      </c>
    </row>
    <row r="12091" spans="1:19" ht="28" x14ac:dyDescent="0.15">
      <c r="A12091" s="2">
        <f>HYPERLINK("https://open-school.uspishnemisto.com.ua/school/610212/", 610212)</f>
        <v>610212</v>
      </c>
      <c r="B12091" s="3" t="s">
        <v>61111</v>
      </c>
      <c r="C12091" s="3" t="s">
        <v>31</v>
      </c>
      <c r="D12091" s="3" t="s">
        <v>175</v>
      </c>
      <c r="E12091" s="4" t="s">
        <v>22</v>
      </c>
      <c r="F12091" s="4" t="s">
        <v>61112</v>
      </c>
      <c r="G12091" s="4" t="s">
        <v>61113</v>
      </c>
      <c r="H12091" s="3" t="s">
        <v>60159</v>
      </c>
      <c r="I12091" s="3" t="s">
        <v>27975</v>
      </c>
      <c r="J12091" s="3" t="s">
        <v>1636</v>
      </c>
      <c r="K12091" s="3" t="s">
        <v>61114</v>
      </c>
      <c r="L12091" s="3"/>
      <c r="M12091" s="4"/>
      <c r="N12091" s="3" t="s">
        <v>37</v>
      </c>
      <c r="O12091" s="3" t="s">
        <v>52</v>
      </c>
      <c r="P12091" s="5">
        <v>9</v>
      </c>
      <c r="Q12091" s="5">
        <v>114</v>
      </c>
      <c r="R12091" s="5">
        <v>9</v>
      </c>
      <c r="S12091" s="5">
        <v>121</v>
      </c>
    </row>
    <row r="12092" spans="1:19" ht="42" x14ac:dyDescent="0.15">
      <c r="A12092" s="2">
        <f>HYPERLINK("https://open-school.uspishnemisto.com.ua/school/610213/", 610213)</f>
        <v>610213</v>
      </c>
      <c r="B12092" s="3" t="s">
        <v>61115</v>
      </c>
      <c r="C12092" s="3" t="s">
        <v>31</v>
      </c>
      <c r="D12092" s="3" t="s">
        <v>175</v>
      </c>
      <c r="E12092" s="4" t="s">
        <v>22</v>
      </c>
      <c r="F12092" s="4" t="s">
        <v>61116</v>
      </c>
      <c r="G12092" s="4" t="s">
        <v>61117</v>
      </c>
      <c r="H12092" s="3" t="s">
        <v>60159</v>
      </c>
      <c r="I12092" s="3" t="s">
        <v>61118</v>
      </c>
      <c r="J12092" s="3"/>
      <c r="K12092" s="3" t="s">
        <v>61119</v>
      </c>
      <c r="L12092" s="3"/>
      <c r="M12092" s="4"/>
      <c r="N12092" s="3" t="s">
        <v>37</v>
      </c>
      <c r="O12092" s="3" t="s">
        <v>52</v>
      </c>
      <c r="P12092" s="5">
        <v>9</v>
      </c>
      <c r="Q12092" s="5">
        <v>97</v>
      </c>
      <c r="R12092" s="5">
        <v>9</v>
      </c>
      <c r="S12092" s="5">
        <v>94</v>
      </c>
    </row>
    <row r="12093" spans="1:19" ht="28" x14ac:dyDescent="0.15">
      <c r="A12093" s="2">
        <f>HYPERLINK("https://open-school.uspishnemisto.com.ua/school/610214/", 610214)</f>
        <v>610214</v>
      </c>
      <c r="B12093" s="3" t="s">
        <v>61120</v>
      </c>
      <c r="C12093" s="3" t="s">
        <v>31</v>
      </c>
      <c r="D12093" s="3" t="s">
        <v>60</v>
      </c>
      <c r="E12093" s="4" t="s">
        <v>22</v>
      </c>
      <c r="F12093" s="4" t="s">
        <v>61121</v>
      </c>
      <c r="G12093" s="4" t="s">
        <v>61122</v>
      </c>
      <c r="H12093" s="3" t="s">
        <v>60159</v>
      </c>
      <c r="I12093" s="3" t="s">
        <v>61123</v>
      </c>
      <c r="J12093" s="3"/>
      <c r="K12093" s="3" t="s">
        <v>61124</v>
      </c>
      <c r="L12093" s="3"/>
      <c r="M12093" s="4"/>
      <c r="N12093" s="3" t="s">
        <v>37</v>
      </c>
      <c r="O12093" s="3" t="s">
        <v>52</v>
      </c>
      <c r="P12093" s="5">
        <v>2</v>
      </c>
      <c r="Q12093" s="5">
        <v>21</v>
      </c>
      <c r="R12093" s="5">
        <v>2</v>
      </c>
      <c r="S12093" s="5">
        <v>21</v>
      </c>
    </row>
    <row r="12094" spans="1:19" ht="28" x14ac:dyDescent="0.15">
      <c r="A12094" s="2">
        <f>HYPERLINK("https://open-school.uspishnemisto.com.ua/school/610215/", 610215)</f>
        <v>610215</v>
      </c>
      <c r="B12094" s="3" t="s">
        <v>61125</v>
      </c>
      <c r="C12094" s="3" t="s">
        <v>31</v>
      </c>
      <c r="D12094" s="3" t="s">
        <v>32</v>
      </c>
      <c r="E12094" s="4" t="s">
        <v>22</v>
      </c>
      <c r="F12094" s="4" t="s">
        <v>61126</v>
      </c>
      <c r="G12094" s="4" t="s">
        <v>61127</v>
      </c>
      <c r="H12094" s="3" t="s">
        <v>60159</v>
      </c>
      <c r="I12094" s="3" t="s">
        <v>61128</v>
      </c>
      <c r="J12094" s="3" t="s">
        <v>61129</v>
      </c>
      <c r="K12094" s="3" t="s">
        <v>61130</v>
      </c>
      <c r="L12094" s="3"/>
      <c r="M12094" s="4"/>
      <c r="N12094" s="3" t="s">
        <v>37</v>
      </c>
      <c r="O12094" s="3" t="s">
        <v>52</v>
      </c>
      <c r="P12094" s="5">
        <v>28</v>
      </c>
      <c r="Q12094" s="5">
        <v>627</v>
      </c>
      <c r="R12094" s="5">
        <v>26</v>
      </c>
      <c r="S12094" s="5">
        <v>595</v>
      </c>
    </row>
    <row r="12095" spans="1:19" ht="28" x14ac:dyDescent="0.15">
      <c r="A12095" s="2">
        <f>HYPERLINK("https://open-school.uspishnemisto.com.ua/school/610216/", 610216)</f>
        <v>610216</v>
      </c>
      <c r="B12095" s="3" t="s">
        <v>61131</v>
      </c>
      <c r="C12095" s="3" t="s">
        <v>31</v>
      </c>
      <c r="D12095" s="3" t="s">
        <v>60</v>
      </c>
      <c r="E12095" s="4" t="s">
        <v>22</v>
      </c>
      <c r="F12095" s="4" t="s">
        <v>61126</v>
      </c>
      <c r="G12095" s="4" t="s">
        <v>61132</v>
      </c>
      <c r="H12095" s="3" t="s">
        <v>60159</v>
      </c>
      <c r="I12095" s="3" t="s">
        <v>61133</v>
      </c>
      <c r="J12095" s="3"/>
      <c r="K12095" s="3"/>
      <c r="L12095" s="3"/>
      <c r="M12095" s="4"/>
      <c r="N12095" s="3" t="s">
        <v>37</v>
      </c>
      <c r="O12095" s="3" t="s">
        <v>52</v>
      </c>
      <c r="P12095" s="5">
        <v>3</v>
      </c>
      <c r="Q12095" s="5">
        <v>25</v>
      </c>
      <c r="R12095" s="5">
        <v>3</v>
      </c>
      <c r="S12095" s="5">
        <v>24</v>
      </c>
    </row>
    <row r="12096" spans="1:19" ht="28" x14ac:dyDescent="0.15">
      <c r="A12096" s="2">
        <f>HYPERLINK("https://open-school.uspishnemisto.com.ua/school/610217/", 610217)</f>
        <v>610217</v>
      </c>
      <c r="B12096" s="3" t="s">
        <v>61134</v>
      </c>
      <c r="C12096" s="3" t="s">
        <v>31</v>
      </c>
      <c r="D12096" s="3" t="s">
        <v>60</v>
      </c>
      <c r="E12096" s="4" t="s">
        <v>22</v>
      </c>
      <c r="F12096" s="4" t="s">
        <v>61135</v>
      </c>
      <c r="G12096" s="4" t="s">
        <v>61136</v>
      </c>
      <c r="H12096" s="3" t="s">
        <v>60159</v>
      </c>
      <c r="I12096" s="3" t="s">
        <v>61137</v>
      </c>
      <c r="J12096" s="3" t="s">
        <v>12836</v>
      </c>
      <c r="K12096" s="3" t="s">
        <v>61138</v>
      </c>
      <c r="L12096" s="3"/>
      <c r="M12096" s="4"/>
      <c r="N12096" s="3" t="s">
        <v>37</v>
      </c>
      <c r="O12096" s="3" t="s">
        <v>52</v>
      </c>
      <c r="P12096" s="5">
        <v>4</v>
      </c>
      <c r="Q12096" s="5">
        <v>24</v>
      </c>
      <c r="R12096" s="5">
        <v>4</v>
      </c>
      <c r="S12096" s="5">
        <v>28</v>
      </c>
    </row>
    <row r="12097" spans="1:19" ht="28" x14ac:dyDescent="0.15">
      <c r="A12097" s="2">
        <f>HYPERLINK("https://open-school.uspishnemisto.com.ua/school/610218/", 610218)</f>
        <v>610218</v>
      </c>
      <c r="B12097" s="3" t="s">
        <v>61139</v>
      </c>
      <c r="C12097" s="3" t="s">
        <v>31</v>
      </c>
      <c r="D12097" s="3" t="s">
        <v>32</v>
      </c>
      <c r="E12097" s="4" t="s">
        <v>22</v>
      </c>
      <c r="F12097" s="4" t="s">
        <v>61077</v>
      </c>
      <c r="G12097" s="4" t="s">
        <v>61140</v>
      </c>
      <c r="H12097" s="3" t="s">
        <v>60159</v>
      </c>
      <c r="I12097" s="3" t="s">
        <v>61141</v>
      </c>
      <c r="J12097" s="3" t="s">
        <v>466</v>
      </c>
      <c r="K12097" s="3" t="s">
        <v>61142</v>
      </c>
      <c r="L12097" s="3"/>
      <c r="M12097" s="4"/>
      <c r="N12097" s="3" t="s">
        <v>37</v>
      </c>
      <c r="O12097" s="3" t="s">
        <v>52</v>
      </c>
      <c r="P12097" s="5">
        <v>11</v>
      </c>
      <c r="Q12097" s="5">
        <v>146</v>
      </c>
      <c r="R12097" s="5">
        <v>11</v>
      </c>
      <c r="S12097" s="5">
        <v>143</v>
      </c>
    </row>
    <row r="12098" spans="1:19" ht="28" x14ac:dyDescent="0.15">
      <c r="A12098" s="2">
        <f>HYPERLINK("https://open-school.uspishnemisto.com.ua/school/610219/", 610219)</f>
        <v>610219</v>
      </c>
      <c r="B12098" s="3" t="s">
        <v>61143</v>
      </c>
      <c r="C12098" s="3" t="s">
        <v>31</v>
      </c>
      <c r="D12098" s="3" t="s">
        <v>60</v>
      </c>
      <c r="E12098" s="4" t="s">
        <v>22</v>
      </c>
      <c r="F12098" s="4" t="s">
        <v>61144</v>
      </c>
      <c r="G12098" s="4" t="s">
        <v>61145</v>
      </c>
      <c r="H12098" s="3" t="s">
        <v>60159</v>
      </c>
      <c r="I12098" s="3" t="s">
        <v>35353</v>
      </c>
      <c r="J12098" s="3" t="s">
        <v>12836</v>
      </c>
      <c r="K12098" s="3" t="s">
        <v>61146</v>
      </c>
      <c r="L12098" s="3"/>
      <c r="M12098" s="4"/>
      <c r="N12098" s="3" t="s">
        <v>37</v>
      </c>
      <c r="O12098" s="3" t="s">
        <v>52</v>
      </c>
      <c r="P12098" s="5">
        <v>0</v>
      </c>
      <c r="Q12098" s="5">
        <v>12</v>
      </c>
      <c r="R12098" s="5">
        <v>2</v>
      </c>
      <c r="S12098" s="5">
        <v>16</v>
      </c>
    </row>
    <row r="12099" spans="1:19" ht="28" x14ac:dyDescent="0.15">
      <c r="A12099" s="2">
        <f>HYPERLINK("https://open-school.uspishnemisto.com.ua/school/610220/", 610220)</f>
        <v>610220</v>
      </c>
      <c r="B12099" s="3" t="s">
        <v>61147</v>
      </c>
      <c r="C12099" s="3" t="s">
        <v>31</v>
      </c>
      <c r="D12099" s="3" t="s">
        <v>175</v>
      </c>
      <c r="E12099" s="4" t="s">
        <v>22</v>
      </c>
      <c r="F12099" s="4" t="s">
        <v>61148</v>
      </c>
      <c r="G12099" s="4" t="s">
        <v>61149</v>
      </c>
      <c r="H12099" s="3" t="s">
        <v>60159</v>
      </c>
      <c r="I12099" s="3" t="s">
        <v>61150</v>
      </c>
      <c r="J12099" s="3" t="s">
        <v>61151</v>
      </c>
      <c r="K12099" s="3" t="s">
        <v>61152</v>
      </c>
      <c r="L12099" s="3"/>
      <c r="M12099" s="4"/>
      <c r="N12099" s="3" t="s">
        <v>37</v>
      </c>
      <c r="O12099" s="3" t="s">
        <v>52</v>
      </c>
      <c r="P12099" s="5">
        <v>7</v>
      </c>
      <c r="Q12099" s="5">
        <v>64</v>
      </c>
      <c r="R12099" s="5">
        <v>7</v>
      </c>
      <c r="S12099" s="5">
        <v>64</v>
      </c>
    </row>
    <row r="12100" spans="1:19" ht="28" x14ac:dyDescent="0.15">
      <c r="A12100" s="2">
        <f>HYPERLINK("https://open-school.uspishnemisto.com.ua/school/610221/", 610221)</f>
        <v>610221</v>
      </c>
      <c r="B12100" s="3" t="s">
        <v>61153</v>
      </c>
      <c r="C12100" s="3" t="s">
        <v>31</v>
      </c>
      <c r="D12100" s="3" t="s">
        <v>32</v>
      </c>
      <c r="E12100" s="4" t="s">
        <v>22</v>
      </c>
      <c r="F12100" s="4" t="s">
        <v>61154</v>
      </c>
      <c r="G12100" s="4" t="s">
        <v>61155</v>
      </c>
      <c r="H12100" s="3" t="s">
        <v>60159</v>
      </c>
      <c r="I12100" s="3" t="s">
        <v>61156</v>
      </c>
      <c r="J12100" s="3" t="s">
        <v>7480</v>
      </c>
      <c r="K12100" s="3" t="s">
        <v>61157</v>
      </c>
      <c r="L12100" s="3" t="s">
        <v>61158</v>
      </c>
      <c r="M12100" s="4"/>
      <c r="N12100" s="3" t="s">
        <v>37</v>
      </c>
      <c r="O12100" s="3" t="s">
        <v>46</v>
      </c>
      <c r="P12100" s="5">
        <v>20</v>
      </c>
      <c r="Q12100" s="5">
        <v>342</v>
      </c>
      <c r="R12100" s="5">
        <v>19</v>
      </c>
      <c r="S12100" s="5">
        <v>338</v>
      </c>
    </row>
    <row r="12101" spans="1:19" ht="42" x14ac:dyDescent="0.15">
      <c r="A12101" s="2">
        <f>HYPERLINK("https://open-school.uspishnemisto.com.ua/school/610222/", 610222)</f>
        <v>610222</v>
      </c>
      <c r="B12101" s="3" t="s">
        <v>61159</v>
      </c>
      <c r="C12101" s="3" t="s">
        <v>40</v>
      </c>
      <c r="D12101" s="3" t="s">
        <v>32</v>
      </c>
      <c r="E12101" s="4" t="s">
        <v>22</v>
      </c>
      <c r="F12101" s="4" t="s">
        <v>61154</v>
      </c>
      <c r="G12101" s="4" t="s">
        <v>61155</v>
      </c>
      <c r="H12101" s="3" t="s">
        <v>60159</v>
      </c>
      <c r="I12101" s="3" t="s">
        <v>61156</v>
      </c>
      <c r="J12101" s="3" t="s">
        <v>1001</v>
      </c>
      <c r="K12101" s="3" t="s">
        <v>61160</v>
      </c>
      <c r="L12101" s="3" t="s">
        <v>61161</v>
      </c>
      <c r="M12101" s="4"/>
      <c r="N12101" s="3" t="s">
        <v>37</v>
      </c>
      <c r="O12101" s="3" t="s">
        <v>46</v>
      </c>
      <c r="P12101" s="5">
        <v>18</v>
      </c>
      <c r="Q12101" s="5">
        <v>367</v>
      </c>
      <c r="R12101" s="5">
        <v>18</v>
      </c>
      <c r="S12101" s="5">
        <v>367</v>
      </c>
    </row>
    <row r="12102" spans="1:19" ht="56" x14ac:dyDescent="0.15">
      <c r="A12102" s="2">
        <f>HYPERLINK("https://open-school.uspishnemisto.com.ua/school/610223/", 610223)</f>
        <v>610223</v>
      </c>
      <c r="B12102" s="3" t="s">
        <v>61162</v>
      </c>
      <c r="C12102" s="3" t="s">
        <v>54</v>
      </c>
      <c r="D12102" s="3" t="s">
        <v>32</v>
      </c>
      <c r="E12102" s="4" t="s">
        <v>22</v>
      </c>
      <c r="F12102" s="4" t="s">
        <v>61163</v>
      </c>
      <c r="G12102" s="4" t="s">
        <v>61164</v>
      </c>
      <c r="H12102" s="3" t="s">
        <v>60159</v>
      </c>
      <c r="I12102" s="3" t="s">
        <v>61165</v>
      </c>
      <c r="J12102" s="3" t="s">
        <v>61166</v>
      </c>
      <c r="K12102" s="3" t="s">
        <v>61167</v>
      </c>
      <c r="L12102" s="3"/>
      <c r="M12102" s="4"/>
      <c r="N12102" s="3" t="s">
        <v>37</v>
      </c>
      <c r="O12102" s="3" t="s">
        <v>46</v>
      </c>
      <c r="P12102" s="5">
        <v>27</v>
      </c>
      <c r="Q12102" s="5">
        <v>527</v>
      </c>
      <c r="R12102" s="5">
        <v>22</v>
      </c>
      <c r="S12102" s="5">
        <v>471</v>
      </c>
    </row>
    <row r="12103" spans="1:19" ht="28" x14ac:dyDescent="0.15">
      <c r="A12103" s="2">
        <f>HYPERLINK("https://open-school.uspishnemisto.com.ua/school/610224/", 610224)</f>
        <v>610224</v>
      </c>
      <c r="B12103" s="3" t="s">
        <v>61168</v>
      </c>
      <c r="C12103" s="3" t="s">
        <v>40</v>
      </c>
      <c r="D12103" s="3" t="s">
        <v>32</v>
      </c>
      <c r="E12103" s="4" t="s">
        <v>22</v>
      </c>
      <c r="F12103" s="4" t="s">
        <v>61169</v>
      </c>
      <c r="G12103" s="4" t="s">
        <v>61164</v>
      </c>
      <c r="H12103" s="3" t="s">
        <v>60159</v>
      </c>
      <c r="I12103" s="3" t="s">
        <v>61165</v>
      </c>
      <c r="J12103" s="3" t="s">
        <v>61170</v>
      </c>
      <c r="K12103" s="3" t="s">
        <v>61171</v>
      </c>
      <c r="L12103" s="3" t="s">
        <v>61172</v>
      </c>
      <c r="M12103" s="4"/>
      <c r="N12103" s="3" t="s">
        <v>37</v>
      </c>
      <c r="O12103" s="3" t="s">
        <v>46</v>
      </c>
      <c r="P12103" s="5">
        <v>13</v>
      </c>
      <c r="Q12103" s="5">
        <v>253</v>
      </c>
      <c r="R12103" s="5">
        <v>13</v>
      </c>
      <c r="S12103" s="5">
        <v>256</v>
      </c>
    </row>
    <row r="12104" spans="1:19" ht="28" x14ac:dyDescent="0.15">
      <c r="A12104" s="2">
        <f>HYPERLINK("https://open-school.uspishnemisto.com.ua/school/610225/", 610225)</f>
        <v>610225</v>
      </c>
      <c r="B12104" s="3" t="s">
        <v>61173</v>
      </c>
      <c r="C12104" s="3" t="s">
        <v>54</v>
      </c>
      <c r="D12104" s="3" t="s">
        <v>60</v>
      </c>
      <c r="E12104" s="4" t="s">
        <v>22</v>
      </c>
      <c r="F12104" s="4" t="s">
        <v>61163</v>
      </c>
      <c r="G12104" s="4" t="s">
        <v>61174</v>
      </c>
      <c r="H12104" s="3" t="s">
        <v>60159</v>
      </c>
      <c r="I12104" s="3" t="s">
        <v>61175</v>
      </c>
      <c r="J12104" s="3" t="s">
        <v>61176</v>
      </c>
      <c r="K12104" s="3" t="s">
        <v>61177</v>
      </c>
      <c r="L12104" s="3"/>
      <c r="M12104" s="4"/>
      <c r="N12104" s="3" t="s">
        <v>37</v>
      </c>
      <c r="O12104" s="3" t="s">
        <v>52</v>
      </c>
      <c r="P12104" s="5">
        <v>0</v>
      </c>
      <c r="Q12104" s="5">
        <v>0</v>
      </c>
      <c r="R12104" s="5">
        <v>1</v>
      </c>
      <c r="S12104" s="5">
        <v>17</v>
      </c>
    </row>
    <row r="12105" spans="1:19" ht="28" x14ac:dyDescent="0.15">
      <c r="A12105" s="2">
        <f>HYPERLINK("https://open-school.uspishnemisto.com.ua/school/610226/", 610226)</f>
        <v>610226</v>
      </c>
      <c r="B12105" s="3" t="s">
        <v>61178</v>
      </c>
      <c r="C12105" s="3" t="s">
        <v>20</v>
      </c>
      <c r="D12105" s="3" t="s">
        <v>21</v>
      </c>
      <c r="E12105" s="4" t="s">
        <v>22</v>
      </c>
      <c r="F12105" s="4" t="s">
        <v>61179</v>
      </c>
      <c r="G12105" s="4" t="s">
        <v>61180</v>
      </c>
      <c r="H12105" s="3" t="s">
        <v>60159</v>
      </c>
      <c r="I12105" s="3" t="s">
        <v>61181</v>
      </c>
      <c r="J12105" s="3" t="s">
        <v>61182</v>
      </c>
      <c r="K12105" s="3"/>
      <c r="L12105" s="3"/>
      <c r="M12105" s="4"/>
      <c r="N12105" s="3"/>
      <c r="O12105" s="3"/>
      <c r="P12105" s="5">
        <v>0</v>
      </c>
      <c r="Q12105" s="5">
        <v>0</v>
      </c>
      <c r="R12105" s="5"/>
      <c r="S12105" s="5"/>
    </row>
    <row r="12106" spans="1:19" ht="28" x14ac:dyDescent="0.15">
      <c r="A12106" s="2">
        <f>HYPERLINK("https://open-school.uspishnemisto.com.ua/school/610227/", 610227)</f>
        <v>610227</v>
      </c>
      <c r="B12106" s="3" t="s">
        <v>61183</v>
      </c>
      <c r="C12106" s="3" t="s">
        <v>31</v>
      </c>
      <c r="D12106" s="3" t="s">
        <v>32</v>
      </c>
      <c r="E12106" s="4" t="s">
        <v>22</v>
      </c>
      <c r="F12106" s="4" t="s">
        <v>61179</v>
      </c>
      <c r="G12106" s="4" t="s">
        <v>61180</v>
      </c>
      <c r="H12106" s="3" t="s">
        <v>60159</v>
      </c>
      <c r="I12106" s="3" t="s">
        <v>61181</v>
      </c>
      <c r="J12106" s="3" t="s">
        <v>5606</v>
      </c>
      <c r="K12106" s="3" t="s">
        <v>61184</v>
      </c>
      <c r="L12106" s="3" t="s">
        <v>61185</v>
      </c>
      <c r="M12106" s="4"/>
      <c r="N12106" s="3" t="s">
        <v>37</v>
      </c>
      <c r="O12106" s="3" t="s">
        <v>46</v>
      </c>
      <c r="P12106" s="5">
        <v>29</v>
      </c>
      <c r="Q12106" s="5">
        <v>704</v>
      </c>
      <c r="R12106" s="5">
        <v>28</v>
      </c>
      <c r="S12106" s="5">
        <v>685</v>
      </c>
    </row>
    <row r="12107" spans="1:19" ht="28" x14ac:dyDescent="0.15">
      <c r="A12107" s="2">
        <f>HYPERLINK("https://open-school.uspishnemisto.com.ua/school/610228/", 610228)</f>
        <v>610228</v>
      </c>
      <c r="B12107" s="3" t="s">
        <v>61186</v>
      </c>
      <c r="C12107" s="3" t="s">
        <v>2634</v>
      </c>
      <c r="D12107" s="3" t="s">
        <v>32</v>
      </c>
      <c r="E12107" s="4" t="s">
        <v>22</v>
      </c>
      <c r="F12107" s="4" t="s">
        <v>61187</v>
      </c>
      <c r="G12107" s="4" t="s">
        <v>61188</v>
      </c>
      <c r="H12107" s="3" t="s">
        <v>60159</v>
      </c>
      <c r="I12107" s="3" t="s">
        <v>61189</v>
      </c>
      <c r="J12107" s="3" t="s">
        <v>61190</v>
      </c>
      <c r="K12107" s="3" t="s">
        <v>61191</v>
      </c>
      <c r="L12107" s="3"/>
      <c r="M12107" s="4" t="s">
        <v>61192</v>
      </c>
      <c r="N12107" s="3" t="s">
        <v>37</v>
      </c>
      <c r="O12107" s="3" t="s">
        <v>46</v>
      </c>
      <c r="P12107" s="5">
        <v>10</v>
      </c>
      <c r="Q12107" s="5">
        <v>115</v>
      </c>
      <c r="R12107" s="5">
        <v>11</v>
      </c>
      <c r="S12107" s="5">
        <v>115</v>
      </c>
    </row>
    <row r="12108" spans="1:19" ht="28" x14ac:dyDescent="0.15">
      <c r="A12108" s="2">
        <f>HYPERLINK("https://open-school.uspishnemisto.com.ua/school/610229/", 610229)</f>
        <v>610229</v>
      </c>
      <c r="B12108" s="3" t="s">
        <v>61193</v>
      </c>
      <c r="C12108" s="3" t="s">
        <v>31</v>
      </c>
      <c r="D12108" s="3" t="s">
        <v>32</v>
      </c>
      <c r="E12108" s="4" t="s">
        <v>22</v>
      </c>
      <c r="F12108" s="4" t="s">
        <v>61187</v>
      </c>
      <c r="G12108" s="4" t="s">
        <v>61188</v>
      </c>
      <c r="H12108" s="3" t="s">
        <v>60159</v>
      </c>
      <c r="I12108" s="3" t="s">
        <v>61189</v>
      </c>
      <c r="J12108" s="3" t="s">
        <v>61194</v>
      </c>
      <c r="K12108" s="3" t="s">
        <v>61195</v>
      </c>
      <c r="L12108" s="3" t="s">
        <v>61196</v>
      </c>
      <c r="M12108" s="4"/>
      <c r="N12108" s="3" t="s">
        <v>37</v>
      </c>
      <c r="O12108" s="3" t="s">
        <v>123</v>
      </c>
      <c r="P12108" s="5">
        <v>13</v>
      </c>
      <c r="Q12108" s="5">
        <v>258</v>
      </c>
      <c r="R12108" s="5">
        <v>14</v>
      </c>
      <c r="S12108" s="5">
        <v>278</v>
      </c>
    </row>
    <row r="12109" spans="1:19" ht="28" x14ac:dyDescent="0.15">
      <c r="A12109" s="2">
        <f>HYPERLINK("https://open-school.uspishnemisto.com.ua/school/610230/", 610230)</f>
        <v>610230</v>
      </c>
      <c r="B12109" s="3" t="s">
        <v>61197</v>
      </c>
      <c r="C12109" s="3" t="s">
        <v>54</v>
      </c>
      <c r="D12109" s="3" t="s">
        <v>60</v>
      </c>
      <c r="E12109" s="4" t="s">
        <v>22</v>
      </c>
      <c r="F12109" s="4" t="s">
        <v>61198</v>
      </c>
      <c r="G12109" s="4" t="s">
        <v>61199</v>
      </c>
      <c r="H12109" s="3" t="s">
        <v>60159</v>
      </c>
      <c r="I12109" s="3" t="s">
        <v>971</v>
      </c>
      <c r="J12109" s="3" t="s">
        <v>792</v>
      </c>
      <c r="K12109" s="3" t="s">
        <v>61200</v>
      </c>
      <c r="L12109" s="3"/>
      <c r="M12109" s="4"/>
      <c r="N12109" s="3" t="s">
        <v>37</v>
      </c>
      <c r="O12109" s="3" t="s">
        <v>52</v>
      </c>
      <c r="P12109" s="5">
        <v>1</v>
      </c>
      <c r="Q12109" s="5">
        <v>16</v>
      </c>
      <c r="R12109" s="5">
        <v>1</v>
      </c>
      <c r="S12109" s="5">
        <v>12</v>
      </c>
    </row>
    <row r="12110" spans="1:19" ht="42" x14ac:dyDescent="0.15">
      <c r="A12110" s="2">
        <f>HYPERLINK("https://open-school.uspishnemisto.com.ua/school/610231/", 610231)</f>
        <v>610231</v>
      </c>
      <c r="B12110" s="3" t="s">
        <v>61201</v>
      </c>
      <c r="C12110" s="3" t="s">
        <v>244</v>
      </c>
      <c r="D12110" s="3" t="s">
        <v>32</v>
      </c>
      <c r="E12110" s="4" t="s">
        <v>22</v>
      </c>
      <c r="F12110" s="4" t="s">
        <v>61202</v>
      </c>
      <c r="G12110" s="4" t="s">
        <v>61203</v>
      </c>
      <c r="H12110" s="3" t="s">
        <v>60159</v>
      </c>
      <c r="I12110" s="3" t="s">
        <v>61204</v>
      </c>
      <c r="J12110" s="3" t="s">
        <v>61205</v>
      </c>
      <c r="K12110" s="3" t="s">
        <v>61206</v>
      </c>
      <c r="L12110" s="3"/>
      <c r="M12110" s="4"/>
      <c r="N12110" s="3" t="s">
        <v>37</v>
      </c>
      <c r="O12110" s="3" t="s">
        <v>46</v>
      </c>
      <c r="P12110" s="5">
        <v>12</v>
      </c>
      <c r="Q12110" s="5">
        <v>169</v>
      </c>
      <c r="R12110" s="5">
        <v>12</v>
      </c>
      <c r="S12110" s="5">
        <v>181</v>
      </c>
    </row>
    <row r="12111" spans="1:19" ht="28" x14ac:dyDescent="0.15">
      <c r="A12111" s="2">
        <f>HYPERLINK("https://open-school.uspishnemisto.com.ua/school/610232/", 610232)</f>
        <v>610232</v>
      </c>
      <c r="B12111" s="3" t="s">
        <v>61207</v>
      </c>
      <c r="C12111" s="3" t="s">
        <v>31</v>
      </c>
      <c r="D12111" s="3" t="s">
        <v>175</v>
      </c>
      <c r="E12111" s="4" t="s">
        <v>22</v>
      </c>
      <c r="F12111" s="4" t="s">
        <v>61208</v>
      </c>
      <c r="G12111" s="4" t="s">
        <v>61209</v>
      </c>
      <c r="H12111" s="3" t="s">
        <v>60159</v>
      </c>
      <c r="I12111" s="3" t="s">
        <v>61210</v>
      </c>
      <c r="J12111" s="3" t="s">
        <v>61211</v>
      </c>
      <c r="K12111" s="3" t="s">
        <v>61212</v>
      </c>
      <c r="L12111" s="3"/>
      <c r="M12111" s="4"/>
      <c r="N12111" s="3" t="s">
        <v>37</v>
      </c>
      <c r="O12111" s="3" t="s">
        <v>46</v>
      </c>
      <c r="P12111" s="5">
        <v>7</v>
      </c>
      <c r="Q12111" s="5">
        <v>63</v>
      </c>
      <c r="R12111" s="5">
        <v>6</v>
      </c>
      <c r="S12111" s="5">
        <v>57</v>
      </c>
    </row>
    <row r="12112" spans="1:19" ht="28" x14ac:dyDescent="0.15">
      <c r="A12112" s="2">
        <f>HYPERLINK("https://open-school.uspishnemisto.com.ua/school/610233/", 610233)</f>
        <v>610233</v>
      </c>
      <c r="B12112" s="3" t="s">
        <v>61213</v>
      </c>
      <c r="C12112" s="3" t="s">
        <v>31</v>
      </c>
      <c r="D12112" s="3" t="s">
        <v>32</v>
      </c>
      <c r="E12112" s="4" t="s">
        <v>22</v>
      </c>
      <c r="F12112" s="4" t="s">
        <v>61214</v>
      </c>
      <c r="G12112" s="4" t="s">
        <v>61215</v>
      </c>
      <c r="H12112" s="3" t="s">
        <v>60159</v>
      </c>
      <c r="I12112" s="3" t="s">
        <v>18593</v>
      </c>
      <c r="J12112" s="3" t="s">
        <v>61216</v>
      </c>
      <c r="K12112" s="3" t="s">
        <v>61217</v>
      </c>
      <c r="L12112" s="3"/>
      <c r="M12112" s="4"/>
      <c r="N12112" s="3" t="s">
        <v>37</v>
      </c>
      <c r="O12112" s="3" t="s">
        <v>46</v>
      </c>
      <c r="P12112" s="5">
        <v>10</v>
      </c>
      <c r="Q12112" s="5">
        <v>128</v>
      </c>
      <c r="R12112" s="5">
        <v>11</v>
      </c>
      <c r="S12112" s="5">
        <v>130</v>
      </c>
    </row>
    <row r="12113" spans="1:19" ht="28" x14ac:dyDescent="0.15">
      <c r="A12113" s="2">
        <f>HYPERLINK("https://open-school.uspishnemisto.com.ua/school/610234/", 610234)</f>
        <v>610234</v>
      </c>
      <c r="B12113" s="3" t="s">
        <v>61218</v>
      </c>
      <c r="C12113" s="3" t="s">
        <v>54</v>
      </c>
      <c r="D12113" s="3" t="s">
        <v>175</v>
      </c>
      <c r="E12113" s="4" t="s">
        <v>22</v>
      </c>
      <c r="F12113" s="4" t="s">
        <v>61219</v>
      </c>
      <c r="G12113" s="4" t="s">
        <v>61220</v>
      </c>
      <c r="H12113" s="3" t="s">
        <v>60159</v>
      </c>
      <c r="I12113" s="3" t="s">
        <v>61221</v>
      </c>
      <c r="J12113" s="3" t="s">
        <v>15992</v>
      </c>
      <c r="K12113" s="3" t="s">
        <v>61222</v>
      </c>
      <c r="L12113" s="3" t="s">
        <v>61223</v>
      </c>
      <c r="M12113" s="4"/>
      <c r="N12113" s="3" t="s">
        <v>37</v>
      </c>
      <c r="O12113" s="3" t="s">
        <v>618</v>
      </c>
      <c r="P12113" s="5">
        <v>4</v>
      </c>
      <c r="Q12113" s="5">
        <v>38</v>
      </c>
      <c r="R12113" s="5">
        <v>5</v>
      </c>
      <c r="S12113" s="5">
        <v>40</v>
      </c>
    </row>
    <row r="12114" spans="1:19" ht="28" x14ac:dyDescent="0.15">
      <c r="A12114" s="2">
        <f>HYPERLINK("https://open-school.uspishnemisto.com.ua/school/610235/", 610235)</f>
        <v>610235</v>
      </c>
      <c r="B12114" s="3" t="s">
        <v>61224</v>
      </c>
      <c r="C12114" s="3" t="s">
        <v>31</v>
      </c>
      <c r="D12114" s="3" t="s">
        <v>175</v>
      </c>
      <c r="E12114" s="4" t="s">
        <v>22</v>
      </c>
      <c r="F12114" s="4" t="s">
        <v>61225</v>
      </c>
      <c r="G12114" s="4" t="s">
        <v>61226</v>
      </c>
      <c r="H12114" s="3" t="s">
        <v>60159</v>
      </c>
      <c r="I12114" s="3" t="s">
        <v>5477</v>
      </c>
      <c r="J12114" s="3"/>
      <c r="K12114" s="3" t="s">
        <v>61227</v>
      </c>
      <c r="L12114" s="3"/>
      <c r="M12114" s="4"/>
      <c r="N12114" s="3" t="s">
        <v>37</v>
      </c>
      <c r="O12114" s="3" t="s">
        <v>46</v>
      </c>
      <c r="P12114" s="5">
        <v>7</v>
      </c>
      <c r="Q12114" s="5">
        <v>67</v>
      </c>
      <c r="R12114" s="5">
        <v>8</v>
      </c>
      <c r="S12114" s="5">
        <v>71</v>
      </c>
    </row>
    <row r="12115" spans="1:19" ht="42" x14ac:dyDescent="0.15">
      <c r="A12115" s="2">
        <f>HYPERLINK("https://open-school.uspishnemisto.com.ua/school/610236/", 610236)</f>
        <v>610236</v>
      </c>
      <c r="B12115" s="3" t="s">
        <v>61228</v>
      </c>
      <c r="C12115" s="3" t="s">
        <v>54</v>
      </c>
      <c r="D12115" s="3" t="s">
        <v>175</v>
      </c>
      <c r="E12115" s="4" t="s">
        <v>22</v>
      </c>
      <c r="F12115" s="4" t="s">
        <v>61229</v>
      </c>
      <c r="G12115" s="4" t="s">
        <v>61230</v>
      </c>
      <c r="H12115" s="3" t="s">
        <v>60159</v>
      </c>
      <c r="I12115" s="3" t="s">
        <v>61231</v>
      </c>
      <c r="J12115" s="3" t="s">
        <v>61232</v>
      </c>
      <c r="K12115" s="3" t="s">
        <v>61233</v>
      </c>
      <c r="L12115" s="3"/>
      <c r="M12115" s="4"/>
      <c r="N12115" s="3" t="s">
        <v>37</v>
      </c>
      <c r="O12115" s="3" t="s">
        <v>52</v>
      </c>
      <c r="P12115" s="5">
        <v>7</v>
      </c>
      <c r="Q12115" s="5">
        <v>59</v>
      </c>
      <c r="R12115" s="5">
        <v>7</v>
      </c>
      <c r="S12115" s="5">
        <v>60</v>
      </c>
    </row>
    <row r="12116" spans="1:19" ht="28" x14ac:dyDescent="0.15">
      <c r="A12116" s="2">
        <f>HYPERLINK("https://open-school.uspishnemisto.com.ua/school/610237/", 610237)</f>
        <v>610237</v>
      </c>
      <c r="B12116" s="3" t="s">
        <v>61234</v>
      </c>
      <c r="C12116" s="3" t="s">
        <v>31</v>
      </c>
      <c r="D12116" s="3" t="s">
        <v>32</v>
      </c>
      <c r="E12116" s="4" t="s">
        <v>22</v>
      </c>
      <c r="F12116" s="4" t="s">
        <v>61235</v>
      </c>
      <c r="G12116" s="4" t="s">
        <v>61236</v>
      </c>
      <c r="H12116" s="3" t="s">
        <v>60159</v>
      </c>
      <c r="I12116" s="3" t="s">
        <v>61237</v>
      </c>
      <c r="J12116" s="3" t="s">
        <v>946</v>
      </c>
      <c r="K12116" s="3" t="s">
        <v>61238</v>
      </c>
      <c r="L12116" s="3"/>
      <c r="M12116" s="4"/>
      <c r="N12116" s="3" t="s">
        <v>37</v>
      </c>
      <c r="O12116" s="3" t="s">
        <v>46</v>
      </c>
      <c r="P12116" s="5">
        <v>11</v>
      </c>
      <c r="Q12116" s="5">
        <v>143</v>
      </c>
      <c r="R12116" s="5">
        <v>11</v>
      </c>
      <c r="S12116" s="5">
        <v>135</v>
      </c>
    </row>
    <row r="12117" spans="1:19" ht="28" x14ac:dyDescent="0.15">
      <c r="A12117" s="2">
        <f>HYPERLINK("https://open-school.uspishnemisto.com.ua/school/610238/", 610238)</f>
        <v>610238</v>
      </c>
      <c r="B12117" s="3" t="s">
        <v>61239</v>
      </c>
      <c r="C12117" s="3" t="s">
        <v>31</v>
      </c>
      <c r="D12117" s="3" t="s">
        <v>32</v>
      </c>
      <c r="E12117" s="4" t="s">
        <v>22</v>
      </c>
      <c r="F12117" s="4" t="s">
        <v>61240</v>
      </c>
      <c r="G12117" s="4" t="s">
        <v>61241</v>
      </c>
      <c r="H12117" s="3" t="s">
        <v>60159</v>
      </c>
      <c r="I12117" s="3" t="s">
        <v>61242</v>
      </c>
      <c r="J12117" s="3" t="s">
        <v>7263</v>
      </c>
      <c r="K12117" s="3" t="s">
        <v>61243</v>
      </c>
      <c r="L12117" s="3"/>
      <c r="M12117" s="4"/>
      <c r="N12117" s="3" t="s">
        <v>37</v>
      </c>
      <c r="O12117" s="3" t="s">
        <v>46</v>
      </c>
      <c r="P12117" s="5">
        <v>11</v>
      </c>
      <c r="Q12117" s="5">
        <v>112</v>
      </c>
      <c r="R12117" s="5">
        <v>10</v>
      </c>
      <c r="S12117" s="5">
        <v>102</v>
      </c>
    </row>
    <row r="12118" spans="1:19" ht="28" x14ac:dyDescent="0.15">
      <c r="A12118" s="2">
        <f>HYPERLINK("https://open-school.uspishnemisto.com.ua/school/610239/", 610239)</f>
        <v>610239</v>
      </c>
      <c r="B12118" s="3" t="s">
        <v>61244</v>
      </c>
      <c r="C12118" s="3" t="s">
        <v>31</v>
      </c>
      <c r="D12118" s="3" t="s">
        <v>175</v>
      </c>
      <c r="E12118" s="4" t="s">
        <v>22</v>
      </c>
      <c r="F12118" s="4" t="s">
        <v>61245</v>
      </c>
      <c r="G12118" s="4" t="s">
        <v>61246</v>
      </c>
      <c r="H12118" s="3" t="s">
        <v>60159</v>
      </c>
      <c r="I12118" s="3" t="s">
        <v>19517</v>
      </c>
      <c r="J12118" s="3"/>
      <c r="K12118" s="3" t="s">
        <v>61247</v>
      </c>
      <c r="L12118" s="3"/>
      <c r="M12118" s="4"/>
      <c r="N12118" s="3" t="s">
        <v>37</v>
      </c>
      <c r="O12118" s="3" t="s">
        <v>46</v>
      </c>
      <c r="P12118" s="5">
        <v>9</v>
      </c>
      <c r="Q12118" s="5">
        <v>74</v>
      </c>
      <c r="R12118" s="5">
        <v>9</v>
      </c>
      <c r="S12118" s="5">
        <v>74</v>
      </c>
    </row>
    <row r="12119" spans="1:19" ht="28" x14ac:dyDescent="0.15">
      <c r="A12119" s="2">
        <f>HYPERLINK("https://open-school.uspishnemisto.com.ua/school/610240/", 610240)</f>
        <v>610240</v>
      </c>
      <c r="B12119" s="3" t="s">
        <v>61248</v>
      </c>
      <c r="C12119" s="3" t="s">
        <v>31</v>
      </c>
      <c r="D12119" s="3" t="s">
        <v>60</v>
      </c>
      <c r="E12119" s="4" t="s">
        <v>22</v>
      </c>
      <c r="F12119" s="4" t="s">
        <v>61154</v>
      </c>
      <c r="G12119" s="4" t="s">
        <v>61249</v>
      </c>
      <c r="H12119" s="3" t="s">
        <v>60159</v>
      </c>
      <c r="I12119" s="3" t="s">
        <v>61250</v>
      </c>
      <c r="J12119" s="3" t="s">
        <v>1792</v>
      </c>
      <c r="K12119" s="3"/>
      <c r="L12119" s="3"/>
      <c r="M12119" s="4"/>
      <c r="N12119" s="3" t="s">
        <v>37</v>
      </c>
      <c r="O12119" s="3" t="s">
        <v>52</v>
      </c>
      <c r="P12119" s="5">
        <v>0</v>
      </c>
      <c r="Q12119" s="5">
        <v>4</v>
      </c>
      <c r="R12119" s="5">
        <v>0</v>
      </c>
      <c r="S12119" s="5">
        <v>4</v>
      </c>
    </row>
    <row r="12120" spans="1:19" ht="28" x14ac:dyDescent="0.15">
      <c r="A12120" s="2">
        <f>HYPERLINK("https://open-school.uspishnemisto.com.ua/school/610241/", 610241)</f>
        <v>610241</v>
      </c>
      <c r="B12120" s="3" t="s">
        <v>61251</v>
      </c>
      <c r="C12120" s="3" t="s">
        <v>31</v>
      </c>
      <c r="D12120" s="3" t="s">
        <v>32</v>
      </c>
      <c r="E12120" s="4" t="s">
        <v>22</v>
      </c>
      <c r="F12120" s="4" t="s">
        <v>61219</v>
      </c>
      <c r="G12120" s="4" t="s">
        <v>61252</v>
      </c>
      <c r="H12120" s="3" t="s">
        <v>60159</v>
      </c>
      <c r="I12120" s="3" t="s">
        <v>61253</v>
      </c>
      <c r="J12120" s="3" t="s">
        <v>61254</v>
      </c>
      <c r="K12120" s="3" t="s">
        <v>61255</v>
      </c>
      <c r="L12120" s="3"/>
      <c r="M12120" s="4"/>
      <c r="N12120" s="3" t="s">
        <v>37</v>
      </c>
      <c r="O12120" s="3" t="s">
        <v>46</v>
      </c>
      <c r="P12120" s="5">
        <v>11</v>
      </c>
      <c r="Q12120" s="5">
        <v>190</v>
      </c>
      <c r="R12120" s="5">
        <v>10</v>
      </c>
      <c r="S12120" s="5">
        <v>181</v>
      </c>
    </row>
    <row r="12121" spans="1:19" ht="28" x14ac:dyDescent="0.15">
      <c r="A12121" s="2">
        <f>HYPERLINK("https://open-school.uspishnemisto.com.ua/school/610242/", 610242)</f>
        <v>610242</v>
      </c>
      <c r="B12121" s="3" t="s">
        <v>61256</v>
      </c>
      <c r="C12121" s="3" t="s">
        <v>31</v>
      </c>
      <c r="D12121" s="3" t="s">
        <v>32</v>
      </c>
      <c r="E12121" s="4" t="s">
        <v>22</v>
      </c>
      <c r="F12121" s="4" t="s">
        <v>61257</v>
      </c>
      <c r="G12121" s="4" t="s">
        <v>61258</v>
      </c>
      <c r="H12121" s="3" t="s">
        <v>60159</v>
      </c>
      <c r="I12121" s="3" t="s">
        <v>4005</v>
      </c>
      <c r="J12121" s="3" t="s">
        <v>52877</v>
      </c>
      <c r="K12121" s="3" t="s">
        <v>61259</v>
      </c>
      <c r="L12121" s="3"/>
      <c r="M12121" s="4"/>
      <c r="N12121" s="3" t="s">
        <v>37</v>
      </c>
      <c r="O12121" s="3" t="s">
        <v>46</v>
      </c>
      <c r="P12121" s="5">
        <v>9</v>
      </c>
      <c r="Q12121" s="5">
        <v>71</v>
      </c>
      <c r="R12121" s="5">
        <v>10</v>
      </c>
      <c r="S12121" s="5">
        <v>74</v>
      </c>
    </row>
    <row r="12122" spans="1:19" ht="28" x14ac:dyDescent="0.15">
      <c r="A12122" s="2">
        <f>HYPERLINK("https://open-school.uspishnemisto.com.ua/school/610243/", 610243)</f>
        <v>610243</v>
      </c>
      <c r="B12122" s="3" t="s">
        <v>61260</v>
      </c>
      <c r="C12122" s="3" t="s">
        <v>31</v>
      </c>
      <c r="D12122" s="3" t="s">
        <v>175</v>
      </c>
      <c r="E12122" s="4" t="s">
        <v>22</v>
      </c>
      <c r="F12122" s="4" t="s">
        <v>61261</v>
      </c>
      <c r="G12122" s="4" t="s">
        <v>61262</v>
      </c>
      <c r="H12122" s="3" t="s">
        <v>60159</v>
      </c>
      <c r="I12122" s="3" t="s">
        <v>61263</v>
      </c>
      <c r="J12122" s="3" t="s">
        <v>466</v>
      </c>
      <c r="K12122" s="3" t="s">
        <v>61264</v>
      </c>
      <c r="L12122" s="3"/>
      <c r="M12122" s="4"/>
      <c r="N12122" s="3" t="s">
        <v>37</v>
      </c>
      <c r="O12122" s="3" t="s">
        <v>46</v>
      </c>
      <c r="P12122" s="5">
        <v>7</v>
      </c>
      <c r="Q12122" s="5">
        <v>60</v>
      </c>
      <c r="R12122" s="5">
        <v>9</v>
      </c>
      <c r="S12122" s="5">
        <v>60</v>
      </c>
    </row>
    <row r="12123" spans="1:19" ht="28" x14ac:dyDescent="0.15">
      <c r="A12123" s="2">
        <f>HYPERLINK("https://open-school.uspishnemisto.com.ua/school/610244/", 610244)</f>
        <v>610244</v>
      </c>
      <c r="B12123" s="3" t="s">
        <v>61265</v>
      </c>
      <c r="C12123" s="3" t="s">
        <v>31</v>
      </c>
      <c r="D12123" s="3" t="s">
        <v>32</v>
      </c>
      <c r="E12123" s="4" t="s">
        <v>22</v>
      </c>
      <c r="F12123" s="4" t="s">
        <v>61266</v>
      </c>
      <c r="G12123" s="4" t="s">
        <v>61267</v>
      </c>
      <c r="H12123" s="3" t="s">
        <v>60159</v>
      </c>
      <c r="I12123" s="3" t="s">
        <v>61268</v>
      </c>
      <c r="J12123" s="3" t="s">
        <v>466</v>
      </c>
      <c r="K12123" s="3" t="s">
        <v>61269</v>
      </c>
      <c r="L12123" s="3"/>
      <c r="M12123" s="4"/>
      <c r="N12123" s="3" t="s">
        <v>37</v>
      </c>
      <c r="O12123" s="3" t="s">
        <v>46</v>
      </c>
      <c r="P12123" s="5">
        <v>11</v>
      </c>
      <c r="Q12123" s="5">
        <v>170</v>
      </c>
      <c r="R12123" s="5">
        <v>11</v>
      </c>
      <c r="S12123" s="5">
        <v>174</v>
      </c>
    </row>
    <row r="12124" spans="1:19" ht="28" x14ac:dyDescent="0.15">
      <c r="A12124" s="2">
        <f>HYPERLINK("https://open-school.uspishnemisto.com.ua/school/610245/", 610245)</f>
        <v>610245</v>
      </c>
      <c r="B12124" s="3" t="s">
        <v>61270</v>
      </c>
      <c r="C12124" s="3" t="s">
        <v>31</v>
      </c>
      <c r="D12124" s="3" t="s">
        <v>60</v>
      </c>
      <c r="E12124" s="4" t="s">
        <v>22</v>
      </c>
      <c r="F12124" s="4" t="s">
        <v>61271</v>
      </c>
      <c r="G12124" s="4" t="s">
        <v>61272</v>
      </c>
      <c r="H12124" s="3" t="s">
        <v>60159</v>
      </c>
      <c r="I12124" s="3" t="s">
        <v>6494</v>
      </c>
      <c r="J12124" s="3" t="s">
        <v>792</v>
      </c>
      <c r="K12124" s="3" t="s">
        <v>61273</v>
      </c>
      <c r="L12124" s="3"/>
      <c r="M12124" s="4"/>
      <c r="N12124" s="3" t="s">
        <v>37</v>
      </c>
      <c r="O12124" s="3" t="s">
        <v>618</v>
      </c>
      <c r="P12124" s="5">
        <v>0</v>
      </c>
      <c r="Q12124" s="5">
        <v>5</v>
      </c>
      <c r="R12124" s="5">
        <v>0</v>
      </c>
      <c r="S12124" s="5">
        <v>6</v>
      </c>
    </row>
    <row r="12125" spans="1:19" ht="28" x14ac:dyDescent="0.15">
      <c r="A12125" s="2">
        <f>HYPERLINK("https://open-school.uspishnemisto.com.ua/school/610246/", 610246)</f>
        <v>610246</v>
      </c>
      <c r="B12125" s="3" t="s">
        <v>61274</v>
      </c>
      <c r="C12125" s="3" t="s">
        <v>54</v>
      </c>
      <c r="D12125" s="3" t="s">
        <v>60</v>
      </c>
      <c r="E12125" s="4" t="s">
        <v>22</v>
      </c>
      <c r="F12125" s="4" t="s">
        <v>61275</v>
      </c>
      <c r="G12125" s="4" t="s">
        <v>61276</v>
      </c>
      <c r="H12125" s="3" t="s">
        <v>60159</v>
      </c>
      <c r="I12125" s="3" t="s">
        <v>61277</v>
      </c>
      <c r="J12125" s="3" t="s">
        <v>3112</v>
      </c>
      <c r="K12125" s="3" t="s">
        <v>61278</v>
      </c>
      <c r="L12125" s="3"/>
      <c r="M12125" s="4"/>
      <c r="N12125" s="3" t="s">
        <v>37</v>
      </c>
      <c r="O12125" s="3" t="s">
        <v>52</v>
      </c>
      <c r="P12125" s="5">
        <v>1</v>
      </c>
      <c r="Q12125" s="5">
        <v>14</v>
      </c>
      <c r="R12125" s="5">
        <v>1</v>
      </c>
      <c r="S12125" s="5">
        <v>25</v>
      </c>
    </row>
    <row r="12126" spans="1:19" ht="42" x14ac:dyDescent="0.15">
      <c r="A12126" s="2">
        <f>HYPERLINK("https://open-school.uspishnemisto.com.ua/school/610247/", 610247)</f>
        <v>610247</v>
      </c>
      <c r="B12126" s="3" t="s">
        <v>61279</v>
      </c>
      <c r="C12126" s="3" t="s">
        <v>54</v>
      </c>
      <c r="D12126" s="3" t="s">
        <v>32</v>
      </c>
      <c r="E12126" s="4" t="s">
        <v>22</v>
      </c>
      <c r="F12126" s="4" t="s">
        <v>61280</v>
      </c>
      <c r="G12126" s="4" t="s">
        <v>61281</v>
      </c>
      <c r="H12126" s="3" t="s">
        <v>60159</v>
      </c>
      <c r="I12126" s="3" t="s">
        <v>61282</v>
      </c>
      <c r="J12126" s="3" t="s">
        <v>61283</v>
      </c>
      <c r="K12126" s="3" t="s">
        <v>61284</v>
      </c>
      <c r="L12126" s="3"/>
      <c r="M12126" s="4"/>
      <c r="N12126" s="3" t="s">
        <v>37</v>
      </c>
      <c r="O12126" s="3" t="s">
        <v>46</v>
      </c>
      <c r="P12126" s="5">
        <v>4</v>
      </c>
      <c r="Q12126" s="5">
        <v>53</v>
      </c>
      <c r="R12126" s="5">
        <v>5</v>
      </c>
      <c r="S12126" s="5">
        <v>57</v>
      </c>
    </row>
    <row r="12127" spans="1:19" ht="28" x14ac:dyDescent="0.15">
      <c r="A12127" s="2">
        <f>HYPERLINK("https://open-school.uspishnemisto.com.ua/school/610248/", 610248)</f>
        <v>610248</v>
      </c>
      <c r="B12127" s="3" t="s">
        <v>61285</v>
      </c>
      <c r="C12127" s="3" t="s">
        <v>31</v>
      </c>
      <c r="D12127" s="3" t="s">
        <v>60</v>
      </c>
      <c r="E12127" s="4" t="s">
        <v>22</v>
      </c>
      <c r="F12127" s="4" t="s">
        <v>61280</v>
      </c>
      <c r="G12127" s="4" t="s">
        <v>61286</v>
      </c>
      <c r="H12127" s="3" t="s">
        <v>60159</v>
      </c>
      <c r="I12127" s="3" t="s">
        <v>61287</v>
      </c>
      <c r="J12127" s="3" t="s">
        <v>12836</v>
      </c>
      <c r="K12127" s="3" t="s">
        <v>61288</v>
      </c>
      <c r="L12127" s="3"/>
      <c r="M12127" s="4"/>
      <c r="N12127" s="3" t="s">
        <v>37</v>
      </c>
      <c r="O12127" s="3" t="s">
        <v>618</v>
      </c>
      <c r="P12127" s="5">
        <v>0</v>
      </c>
      <c r="Q12127" s="5">
        <v>4</v>
      </c>
      <c r="R12127" s="5">
        <v>0</v>
      </c>
      <c r="S12127" s="5">
        <v>4</v>
      </c>
    </row>
    <row r="12128" spans="1:19" ht="28" x14ac:dyDescent="0.15">
      <c r="A12128" s="2">
        <f>HYPERLINK("https://open-school.uspishnemisto.com.ua/school/610249/", 610249)</f>
        <v>610249</v>
      </c>
      <c r="B12128" s="3" t="s">
        <v>61289</v>
      </c>
      <c r="C12128" s="3" t="s">
        <v>31</v>
      </c>
      <c r="D12128" s="3" t="s">
        <v>32</v>
      </c>
      <c r="E12128" s="4" t="s">
        <v>22</v>
      </c>
      <c r="F12128" s="4" t="s">
        <v>61290</v>
      </c>
      <c r="G12128" s="4" t="s">
        <v>61291</v>
      </c>
      <c r="H12128" s="3" t="s">
        <v>60159</v>
      </c>
      <c r="I12128" s="3" t="s">
        <v>61292</v>
      </c>
      <c r="J12128" s="3" t="s">
        <v>1360</v>
      </c>
      <c r="K12128" s="3" t="s">
        <v>61293</v>
      </c>
      <c r="L12128" s="3"/>
      <c r="M12128" s="4"/>
      <c r="N12128" s="3" t="s">
        <v>37</v>
      </c>
      <c r="O12128" s="3" t="s">
        <v>46</v>
      </c>
      <c r="P12128" s="5">
        <v>11</v>
      </c>
      <c r="Q12128" s="5">
        <v>158</v>
      </c>
      <c r="R12128" s="5">
        <v>11</v>
      </c>
      <c r="S12128" s="5">
        <v>155</v>
      </c>
    </row>
    <row r="12129" spans="1:19" ht="28" x14ac:dyDescent="0.15">
      <c r="A12129" s="2">
        <f>HYPERLINK("https://open-school.uspishnemisto.com.ua/school/610250/", 610250)</f>
        <v>610250</v>
      </c>
      <c r="B12129" s="3" t="s">
        <v>61294</v>
      </c>
      <c r="C12129" s="3" t="s">
        <v>31</v>
      </c>
      <c r="D12129" s="3" t="s">
        <v>175</v>
      </c>
      <c r="E12129" s="4" t="s">
        <v>22</v>
      </c>
      <c r="F12129" s="4" t="s">
        <v>61295</v>
      </c>
      <c r="G12129" s="4" t="s">
        <v>61296</v>
      </c>
      <c r="H12129" s="3" t="s">
        <v>60159</v>
      </c>
      <c r="I12129" s="3" t="s">
        <v>27907</v>
      </c>
      <c r="J12129" s="3" t="s">
        <v>61297</v>
      </c>
      <c r="K12129" s="3" t="s">
        <v>61298</v>
      </c>
      <c r="L12129" s="3"/>
      <c r="M12129" s="4"/>
      <c r="N12129" s="3" t="s">
        <v>37</v>
      </c>
      <c r="O12129" s="3" t="s">
        <v>46</v>
      </c>
      <c r="P12129" s="5">
        <v>9</v>
      </c>
      <c r="Q12129" s="5">
        <v>98</v>
      </c>
      <c r="R12129" s="5">
        <v>9</v>
      </c>
      <c r="S12129" s="5">
        <v>93</v>
      </c>
    </row>
    <row r="12130" spans="1:19" ht="28" x14ac:dyDescent="0.15">
      <c r="A12130" s="2">
        <f>HYPERLINK("https://open-school.uspishnemisto.com.ua/school/610251/", 610251)</f>
        <v>610251</v>
      </c>
      <c r="B12130" s="3" t="s">
        <v>61299</v>
      </c>
      <c r="C12130" s="3" t="s">
        <v>31</v>
      </c>
      <c r="D12130" s="3" t="s">
        <v>175</v>
      </c>
      <c r="E12130" s="4" t="s">
        <v>22</v>
      </c>
      <c r="F12130" s="4" t="s">
        <v>61300</v>
      </c>
      <c r="G12130" s="4" t="s">
        <v>61301</v>
      </c>
      <c r="H12130" s="3" t="s">
        <v>60159</v>
      </c>
      <c r="I12130" s="3" t="s">
        <v>22913</v>
      </c>
      <c r="J12130" s="3" t="s">
        <v>42119</v>
      </c>
      <c r="K12130" s="3" t="s">
        <v>61302</v>
      </c>
      <c r="L12130" s="3" t="s">
        <v>61303</v>
      </c>
      <c r="M12130" s="4"/>
      <c r="N12130" s="3" t="s">
        <v>37</v>
      </c>
      <c r="O12130" s="3" t="s">
        <v>52</v>
      </c>
      <c r="P12130" s="5">
        <v>6</v>
      </c>
      <c r="Q12130" s="5">
        <v>44</v>
      </c>
      <c r="R12130" s="5">
        <v>7</v>
      </c>
      <c r="S12130" s="5">
        <v>52</v>
      </c>
    </row>
    <row r="12131" spans="1:19" ht="28" x14ac:dyDescent="0.15">
      <c r="A12131" s="2">
        <f>HYPERLINK("https://open-school.uspishnemisto.com.ua/school/610252/", 610252)</f>
        <v>610252</v>
      </c>
      <c r="B12131" s="3" t="s">
        <v>61304</v>
      </c>
      <c r="C12131" s="3" t="s">
        <v>31</v>
      </c>
      <c r="D12131" s="3" t="s">
        <v>175</v>
      </c>
      <c r="E12131" s="4" t="s">
        <v>22</v>
      </c>
      <c r="F12131" s="4" t="s">
        <v>61305</v>
      </c>
      <c r="G12131" s="4" t="s">
        <v>61306</v>
      </c>
      <c r="H12131" s="3" t="s">
        <v>60159</v>
      </c>
      <c r="I12131" s="3" t="s">
        <v>61307</v>
      </c>
      <c r="J12131" s="3" t="s">
        <v>53505</v>
      </c>
      <c r="K12131" s="3" t="s">
        <v>61308</v>
      </c>
      <c r="L12131" s="3"/>
      <c r="M12131" s="4"/>
      <c r="N12131" s="3" t="s">
        <v>37</v>
      </c>
      <c r="O12131" s="3" t="s">
        <v>52</v>
      </c>
      <c r="P12131" s="5">
        <v>9</v>
      </c>
      <c r="Q12131" s="5">
        <v>142</v>
      </c>
      <c r="R12131" s="5">
        <v>9</v>
      </c>
      <c r="S12131" s="5">
        <v>136</v>
      </c>
    </row>
    <row r="12132" spans="1:19" ht="28" x14ac:dyDescent="0.15">
      <c r="A12132" s="2">
        <f>HYPERLINK("https://open-school.uspishnemisto.com.ua/school/610253/", 610253)</f>
        <v>610253</v>
      </c>
      <c r="B12132" s="3" t="s">
        <v>61309</v>
      </c>
      <c r="C12132" s="3" t="s">
        <v>31</v>
      </c>
      <c r="D12132" s="3" t="s">
        <v>175</v>
      </c>
      <c r="E12132" s="4" t="s">
        <v>22</v>
      </c>
      <c r="F12132" s="4" t="s">
        <v>61310</v>
      </c>
      <c r="G12132" s="4" t="s">
        <v>61311</v>
      </c>
      <c r="H12132" s="3" t="s">
        <v>60159</v>
      </c>
      <c r="I12132" s="3" t="s">
        <v>61312</v>
      </c>
      <c r="J12132" s="3" t="s">
        <v>7035</v>
      </c>
      <c r="K12132" s="3" t="s">
        <v>61313</v>
      </c>
      <c r="L12132" s="3"/>
      <c r="M12132" s="4"/>
      <c r="N12132" s="3" t="s">
        <v>37</v>
      </c>
      <c r="O12132" s="3" t="s">
        <v>46</v>
      </c>
      <c r="P12132" s="5">
        <v>9</v>
      </c>
      <c r="Q12132" s="5">
        <v>127</v>
      </c>
      <c r="R12132" s="5">
        <v>9</v>
      </c>
      <c r="S12132" s="5">
        <v>135</v>
      </c>
    </row>
    <row r="12133" spans="1:19" ht="28" x14ac:dyDescent="0.15">
      <c r="A12133" s="2">
        <f>HYPERLINK("https://open-school.uspishnemisto.com.ua/school/610254/", 610254)</f>
        <v>610254</v>
      </c>
      <c r="B12133" s="3" t="s">
        <v>61314</v>
      </c>
      <c r="C12133" s="3" t="s">
        <v>31</v>
      </c>
      <c r="D12133" s="3" t="s">
        <v>60</v>
      </c>
      <c r="E12133" s="4" t="s">
        <v>22</v>
      </c>
      <c r="F12133" s="4" t="s">
        <v>61208</v>
      </c>
      <c r="G12133" s="4" t="s">
        <v>61315</v>
      </c>
      <c r="H12133" s="3" t="s">
        <v>60159</v>
      </c>
      <c r="I12133" s="3" t="s">
        <v>61316</v>
      </c>
      <c r="J12133" s="3" t="s">
        <v>61317</v>
      </c>
      <c r="K12133" s="3" t="s">
        <v>61318</v>
      </c>
      <c r="L12133" s="3"/>
      <c r="M12133" s="4"/>
      <c r="N12133" s="3" t="s">
        <v>37</v>
      </c>
      <c r="O12133" s="3" t="s">
        <v>52</v>
      </c>
      <c r="P12133" s="5">
        <v>0</v>
      </c>
      <c r="Q12133" s="5">
        <v>8</v>
      </c>
      <c r="R12133" s="5">
        <v>1</v>
      </c>
      <c r="S12133" s="5">
        <v>9</v>
      </c>
    </row>
    <row r="12134" spans="1:19" ht="28" x14ac:dyDescent="0.15">
      <c r="A12134" s="2">
        <f>HYPERLINK("https://open-school.uspishnemisto.com.ua/school/610255/", 610255)</f>
        <v>610255</v>
      </c>
      <c r="B12134" s="3" t="s">
        <v>61319</v>
      </c>
      <c r="C12134" s="3" t="s">
        <v>31</v>
      </c>
      <c r="D12134" s="3" t="s">
        <v>32</v>
      </c>
      <c r="E12134" s="4" t="s">
        <v>22</v>
      </c>
      <c r="F12134" s="4" t="s">
        <v>61320</v>
      </c>
      <c r="G12134" s="4" t="s">
        <v>61321</v>
      </c>
      <c r="H12134" s="3" t="s">
        <v>60159</v>
      </c>
      <c r="I12134" s="3" t="s">
        <v>61322</v>
      </c>
      <c r="J12134" s="3" t="s">
        <v>61323</v>
      </c>
      <c r="K12134" s="3" t="s">
        <v>61324</v>
      </c>
      <c r="L12134" s="3" t="s">
        <v>61325</v>
      </c>
      <c r="M12134" s="4"/>
      <c r="N12134" s="3" t="s">
        <v>37</v>
      </c>
      <c r="O12134" s="3" t="s">
        <v>46</v>
      </c>
      <c r="P12134" s="5">
        <v>10</v>
      </c>
      <c r="Q12134" s="5">
        <v>123</v>
      </c>
      <c r="R12134" s="5">
        <v>10</v>
      </c>
      <c r="S12134" s="5">
        <v>122</v>
      </c>
    </row>
    <row r="12135" spans="1:19" ht="28" x14ac:dyDescent="0.15">
      <c r="A12135" s="2">
        <f>HYPERLINK("https://open-school.uspishnemisto.com.ua/school/610256/", 610256)</f>
        <v>610256</v>
      </c>
      <c r="B12135" s="3" t="s">
        <v>61326</v>
      </c>
      <c r="C12135" s="3" t="s">
        <v>31</v>
      </c>
      <c r="D12135" s="3" t="s">
        <v>32</v>
      </c>
      <c r="E12135" s="4" t="s">
        <v>22</v>
      </c>
      <c r="F12135" s="4" t="s">
        <v>61327</v>
      </c>
      <c r="G12135" s="4" t="s">
        <v>61328</v>
      </c>
      <c r="H12135" s="3" t="s">
        <v>60159</v>
      </c>
      <c r="I12135" s="3" t="s">
        <v>61329</v>
      </c>
      <c r="J12135" s="3" t="s">
        <v>61330</v>
      </c>
      <c r="K12135" s="3" t="s">
        <v>61331</v>
      </c>
      <c r="L12135" s="3"/>
      <c r="M12135" s="4"/>
      <c r="N12135" s="3" t="s">
        <v>37</v>
      </c>
      <c r="O12135" s="3" t="s">
        <v>2740</v>
      </c>
      <c r="P12135" s="5">
        <v>6</v>
      </c>
      <c r="Q12135" s="5">
        <v>58</v>
      </c>
      <c r="R12135" s="5">
        <v>8</v>
      </c>
      <c r="S12135" s="5">
        <v>62</v>
      </c>
    </row>
    <row r="12136" spans="1:19" ht="28" x14ac:dyDescent="0.15">
      <c r="A12136" s="2">
        <f>HYPERLINK("https://open-school.uspishnemisto.com.ua/school/610257/", 610257)</f>
        <v>610257</v>
      </c>
      <c r="B12136" s="3" t="s">
        <v>61332</v>
      </c>
      <c r="C12136" s="3" t="s">
        <v>31</v>
      </c>
      <c r="D12136" s="3" t="s">
        <v>60</v>
      </c>
      <c r="E12136" s="4" t="s">
        <v>22</v>
      </c>
      <c r="F12136" s="4" t="s">
        <v>61257</v>
      </c>
      <c r="G12136" s="4" t="s">
        <v>61333</v>
      </c>
      <c r="H12136" s="3" t="s">
        <v>60159</v>
      </c>
      <c r="I12136" s="3" t="s">
        <v>61334</v>
      </c>
      <c r="J12136" s="3" t="s">
        <v>61335</v>
      </c>
      <c r="K12136" s="3" t="s">
        <v>61336</v>
      </c>
      <c r="L12136" s="3"/>
      <c r="M12136" s="4"/>
      <c r="N12136" s="3" t="s">
        <v>37</v>
      </c>
      <c r="O12136" s="3" t="s">
        <v>52</v>
      </c>
      <c r="P12136" s="5">
        <v>0</v>
      </c>
      <c r="Q12136" s="5">
        <v>10</v>
      </c>
      <c r="R12136" s="5">
        <v>0</v>
      </c>
      <c r="S12136" s="5">
        <v>11</v>
      </c>
    </row>
    <row r="12137" spans="1:19" ht="28" x14ac:dyDescent="0.15">
      <c r="A12137" s="2">
        <f>HYPERLINK("https://open-school.uspishnemisto.com.ua/school/610258/", 610258)</f>
        <v>610258</v>
      </c>
      <c r="B12137" s="3" t="s">
        <v>61337</v>
      </c>
      <c r="C12137" s="3" t="s">
        <v>31</v>
      </c>
      <c r="D12137" s="3" t="s">
        <v>175</v>
      </c>
      <c r="E12137" s="4" t="s">
        <v>22</v>
      </c>
      <c r="F12137" s="4" t="s">
        <v>61338</v>
      </c>
      <c r="G12137" s="4" t="s">
        <v>61339</v>
      </c>
      <c r="H12137" s="3" t="s">
        <v>60159</v>
      </c>
      <c r="I12137" s="3" t="s">
        <v>61340</v>
      </c>
      <c r="J12137" s="3" t="s">
        <v>634</v>
      </c>
      <c r="K12137" s="3" t="s">
        <v>61341</v>
      </c>
      <c r="L12137" s="3"/>
      <c r="M12137" s="4"/>
      <c r="N12137" s="3" t="s">
        <v>37</v>
      </c>
      <c r="O12137" s="3" t="s">
        <v>46</v>
      </c>
      <c r="P12137" s="5">
        <v>8</v>
      </c>
      <c r="Q12137" s="5">
        <v>58</v>
      </c>
      <c r="R12137" s="5">
        <v>8</v>
      </c>
      <c r="S12137" s="5">
        <v>59</v>
      </c>
    </row>
    <row r="12138" spans="1:19" ht="28" x14ac:dyDescent="0.15">
      <c r="A12138" s="2">
        <f>HYPERLINK("https://open-school.uspishnemisto.com.ua/school/610259/", 610259)</f>
        <v>610259</v>
      </c>
      <c r="B12138" s="3" t="s">
        <v>61342</v>
      </c>
      <c r="C12138" s="3" t="s">
        <v>31</v>
      </c>
      <c r="D12138" s="3" t="s">
        <v>175</v>
      </c>
      <c r="E12138" s="4" t="s">
        <v>22</v>
      </c>
      <c r="F12138" s="4" t="s">
        <v>61343</v>
      </c>
      <c r="G12138" s="4" t="s">
        <v>61344</v>
      </c>
      <c r="H12138" s="3" t="s">
        <v>60159</v>
      </c>
      <c r="I12138" s="3" t="s">
        <v>61345</v>
      </c>
      <c r="J12138" s="3" t="s">
        <v>466</v>
      </c>
      <c r="K12138" s="3" t="s">
        <v>61346</v>
      </c>
      <c r="L12138" s="3" t="s">
        <v>61347</v>
      </c>
      <c r="M12138" s="4"/>
      <c r="N12138" s="3" t="s">
        <v>37</v>
      </c>
      <c r="O12138" s="3" t="s">
        <v>46</v>
      </c>
      <c r="P12138" s="5">
        <v>9</v>
      </c>
      <c r="Q12138" s="5">
        <v>79</v>
      </c>
      <c r="R12138" s="5">
        <v>9</v>
      </c>
      <c r="S12138" s="5">
        <v>85</v>
      </c>
    </row>
    <row r="12139" spans="1:19" ht="28" x14ac:dyDescent="0.15">
      <c r="A12139" s="2">
        <f>HYPERLINK("https://open-school.uspishnemisto.com.ua/school/610260/", 610260)</f>
        <v>610260</v>
      </c>
      <c r="B12139" s="3" t="s">
        <v>61348</v>
      </c>
      <c r="C12139" s="3" t="s">
        <v>31</v>
      </c>
      <c r="D12139" s="3" t="s">
        <v>175</v>
      </c>
      <c r="E12139" s="4" t="s">
        <v>22</v>
      </c>
      <c r="F12139" s="4" t="s">
        <v>61349</v>
      </c>
      <c r="G12139" s="4" t="s">
        <v>61350</v>
      </c>
      <c r="H12139" s="3" t="s">
        <v>60159</v>
      </c>
      <c r="I12139" s="3" t="s">
        <v>61351</v>
      </c>
      <c r="J12139" s="3" t="s">
        <v>45966</v>
      </c>
      <c r="K12139" s="3" t="s">
        <v>61352</v>
      </c>
      <c r="L12139" s="3" t="s">
        <v>61353</v>
      </c>
      <c r="M12139" s="4"/>
      <c r="N12139" s="3" t="s">
        <v>37</v>
      </c>
      <c r="O12139" s="3" t="s">
        <v>46</v>
      </c>
      <c r="P12139" s="5">
        <v>8</v>
      </c>
      <c r="Q12139" s="5">
        <v>68</v>
      </c>
      <c r="R12139" s="5">
        <v>9</v>
      </c>
      <c r="S12139" s="5">
        <v>68</v>
      </c>
    </row>
    <row r="12140" spans="1:19" ht="28" x14ac:dyDescent="0.15">
      <c r="A12140" s="2">
        <f>HYPERLINK("https://open-school.uspishnemisto.com.ua/school/610261/", 610261)</f>
        <v>610261</v>
      </c>
      <c r="B12140" s="3" t="s">
        <v>61354</v>
      </c>
      <c r="C12140" s="3" t="s">
        <v>31</v>
      </c>
      <c r="D12140" s="3" t="s">
        <v>175</v>
      </c>
      <c r="E12140" s="4" t="s">
        <v>22</v>
      </c>
      <c r="F12140" s="4" t="s">
        <v>61355</v>
      </c>
      <c r="G12140" s="4" t="s">
        <v>61356</v>
      </c>
      <c r="H12140" s="3" t="s">
        <v>60159</v>
      </c>
      <c r="I12140" s="3" t="s">
        <v>61357</v>
      </c>
      <c r="J12140" s="3" t="s">
        <v>3393</v>
      </c>
      <c r="K12140" s="3" t="s">
        <v>61358</v>
      </c>
      <c r="L12140" s="3"/>
      <c r="M12140" s="4"/>
      <c r="N12140" s="3" t="s">
        <v>37</v>
      </c>
      <c r="O12140" s="3" t="s">
        <v>46</v>
      </c>
      <c r="P12140" s="5">
        <v>8</v>
      </c>
      <c r="Q12140" s="5">
        <v>62</v>
      </c>
      <c r="R12140" s="5">
        <v>8</v>
      </c>
      <c r="S12140" s="5">
        <v>70</v>
      </c>
    </row>
    <row r="12141" spans="1:19" ht="28" x14ac:dyDescent="0.15">
      <c r="A12141" s="2">
        <f>HYPERLINK("https://open-school.uspishnemisto.com.ua/school/610262/", 610262)</f>
        <v>610262</v>
      </c>
      <c r="B12141" s="3" t="s">
        <v>61359</v>
      </c>
      <c r="C12141" s="3" t="s">
        <v>31</v>
      </c>
      <c r="D12141" s="3" t="s">
        <v>175</v>
      </c>
      <c r="E12141" s="4" t="s">
        <v>22</v>
      </c>
      <c r="F12141" s="4" t="s">
        <v>61360</v>
      </c>
      <c r="G12141" s="4" t="s">
        <v>61361</v>
      </c>
      <c r="H12141" s="3" t="s">
        <v>60159</v>
      </c>
      <c r="I12141" s="3" t="s">
        <v>29821</v>
      </c>
      <c r="J12141" s="3" t="s">
        <v>61362</v>
      </c>
      <c r="K12141" s="3" t="s">
        <v>61363</v>
      </c>
      <c r="L12141" s="3"/>
      <c r="M12141" s="4"/>
      <c r="N12141" s="3" t="s">
        <v>37</v>
      </c>
      <c r="O12141" s="3" t="s">
        <v>52</v>
      </c>
      <c r="P12141" s="5">
        <v>7</v>
      </c>
      <c r="Q12141" s="5">
        <v>46</v>
      </c>
      <c r="R12141" s="5">
        <v>6</v>
      </c>
      <c r="S12141" s="5">
        <v>48</v>
      </c>
    </row>
    <row r="12142" spans="1:19" ht="28" x14ac:dyDescent="0.15">
      <c r="A12142" s="2">
        <f>HYPERLINK("https://open-school.uspishnemisto.com.ua/school/610263/", 610263)</f>
        <v>610263</v>
      </c>
      <c r="B12142" s="3" t="s">
        <v>61364</v>
      </c>
      <c r="C12142" s="3" t="s">
        <v>31</v>
      </c>
      <c r="D12142" s="3" t="s">
        <v>60</v>
      </c>
      <c r="E12142" s="4" t="s">
        <v>22</v>
      </c>
      <c r="F12142" s="4" t="s">
        <v>61365</v>
      </c>
      <c r="G12142" s="4" t="s">
        <v>61366</v>
      </c>
      <c r="H12142" s="3" t="s">
        <v>60159</v>
      </c>
      <c r="I12142" s="3" t="s">
        <v>61367</v>
      </c>
      <c r="J12142" s="3" t="s">
        <v>29662</v>
      </c>
      <c r="K12142" s="3" t="s">
        <v>61368</v>
      </c>
      <c r="L12142" s="3"/>
      <c r="M12142" s="4"/>
      <c r="N12142" s="3" t="s">
        <v>37</v>
      </c>
      <c r="O12142" s="3" t="s">
        <v>52</v>
      </c>
      <c r="P12142" s="5">
        <v>4</v>
      </c>
      <c r="Q12142" s="5">
        <v>44</v>
      </c>
      <c r="R12142" s="5">
        <v>4</v>
      </c>
      <c r="S12142" s="5">
        <v>41</v>
      </c>
    </row>
    <row r="12143" spans="1:19" ht="28" x14ac:dyDescent="0.15">
      <c r="A12143" s="2">
        <f>HYPERLINK("https://open-school.uspishnemisto.com.ua/school/610264/", 610264)</f>
        <v>610264</v>
      </c>
      <c r="B12143" s="3" t="s">
        <v>61369</v>
      </c>
      <c r="C12143" s="3" t="s">
        <v>31</v>
      </c>
      <c r="D12143" s="3" t="s">
        <v>175</v>
      </c>
      <c r="E12143" s="4" t="s">
        <v>22</v>
      </c>
      <c r="F12143" s="4" t="s">
        <v>61370</v>
      </c>
      <c r="G12143" s="4" t="s">
        <v>61371</v>
      </c>
      <c r="H12143" s="3" t="s">
        <v>60159</v>
      </c>
      <c r="I12143" s="3" t="s">
        <v>53916</v>
      </c>
      <c r="J12143" s="3" t="s">
        <v>12836</v>
      </c>
      <c r="K12143" s="3" t="s">
        <v>61372</v>
      </c>
      <c r="L12143" s="3"/>
      <c r="M12143" s="4"/>
      <c r="N12143" s="3" t="s">
        <v>37</v>
      </c>
      <c r="O12143" s="3" t="s">
        <v>2740</v>
      </c>
      <c r="P12143" s="5">
        <v>6</v>
      </c>
      <c r="Q12143" s="5">
        <v>49</v>
      </c>
      <c r="R12143" s="5">
        <v>6</v>
      </c>
      <c r="S12143" s="5">
        <v>50</v>
      </c>
    </row>
    <row r="12144" spans="1:19" ht="28" x14ac:dyDescent="0.15">
      <c r="A12144" s="2">
        <f>HYPERLINK("https://open-school.uspishnemisto.com.ua/school/610265/", 610265)</f>
        <v>610265</v>
      </c>
      <c r="B12144" s="3" t="s">
        <v>61373</v>
      </c>
      <c r="C12144" s="3" t="s">
        <v>31</v>
      </c>
      <c r="D12144" s="3" t="s">
        <v>32</v>
      </c>
      <c r="E12144" s="4" t="s">
        <v>22</v>
      </c>
      <c r="F12144" s="4" t="s">
        <v>61374</v>
      </c>
      <c r="G12144" s="4" t="s">
        <v>61375</v>
      </c>
      <c r="H12144" s="3" t="s">
        <v>60159</v>
      </c>
      <c r="I12144" s="3" t="s">
        <v>61376</v>
      </c>
      <c r="J12144" s="3" t="s">
        <v>61377</v>
      </c>
      <c r="K12144" s="3" t="s">
        <v>61378</v>
      </c>
      <c r="L12144" s="3" t="s">
        <v>61379</v>
      </c>
      <c r="M12144" s="4"/>
      <c r="N12144" s="3" t="s">
        <v>37</v>
      </c>
      <c r="O12144" s="3" t="s">
        <v>46</v>
      </c>
      <c r="P12144" s="5">
        <v>9</v>
      </c>
      <c r="Q12144" s="5">
        <v>114</v>
      </c>
      <c r="R12144" s="5">
        <v>10</v>
      </c>
      <c r="S12144" s="5">
        <v>120</v>
      </c>
    </row>
    <row r="12145" spans="1:19" ht="28" x14ac:dyDescent="0.15">
      <c r="A12145" s="2">
        <f>HYPERLINK("https://open-school.uspishnemisto.com.ua/school/610266/", 610266)</f>
        <v>610266</v>
      </c>
      <c r="B12145" s="3" t="s">
        <v>61380</v>
      </c>
      <c r="C12145" s="3" t="s">
        <v>31</v>
      </c>
      <c r="D12145" s="3" t="s">
        <v>175</v>
      </c>
      <c r="E12145" s="4" t="s">
        <v>22</v>
      </c>
      <c r="F12145" s="4" t="s">
        <v>61271</v>
      </c>
      <c r="G12145" s="4" t="s">
        <v>61381</v>
      </c>
      <c r="H12145" s="3" t="s">
        <v>60159</v>
      </c>
      <c r="I12145" s="3" t="s">
        <v>61382</v>
      </c>
      <c r="J12145" s="3" t="s">
        <v>61383</v>
      </c>
      <c r="K12145" s="3" t="s">
        <v>61384</v>
      </c>
      <c r="L12145" s="3"/>
      <c r="M12145" s="4"/>
      <c r="N12145" s="3" t="s">
        <v>37</v>
      </c>
      <c r="O12145" s="3" t="s">
        <v>46</v>
      </c>
      <c r="P12145" s="5">
        <v>3</v>
      </c>
      <c r="Q12145" s="5">
        <v>36</v>
      </c>
      <c r="R12145" s="5">
        <v>2</v>
      </c>
      <c r="S12145" s="5">
        <v>34</v>
      </c>
    </row>
    <row r="12146" spans="1:19" ht="28" x14ac:dyDescent="0.15">
      <c r="A12146" s="2">
        <f>HYPERLINK("https://open-school.uspishnemisto.com.ua/school/610267/", 610267)</f>
        <v>610267</v>
      </c>
      <c r="B12146" s="3" t="s">
        <v>61385</v>
      </c>
      <c r="C12146" s="3" t="s">
        <v>31</v>
      </c>
      <c r="D12146" s="3" t="s">
        <v>60</v>
      </c>
      <c r="E12146" s="4" t="s">
        <v>22</v>
      </c>
      <c r="F12146" s="4" t="s">
        <v>61386</v>
      </c>
      <c r="G12146" s="4" t="s">
        <v>61387</v>
      </c>
      <c r="H12146" s="3" t="s">
        <v>60159</v>
      </c>
      <c r="I12146" s="3" t="s">
        <v>61388</v>
      </c>
      <c r="J12146" s="3" t="s">
        <v>27802</v>
      </c>
      <c r="K12146" s="3" t="s">
        <v>61389</v>
      </c>
      <c r="L12146" s="3"/>
      <c r="M12146" s="4"/>
      <c r="N12146" s="3" t="s">
        <v>37</v>
      </c>
      <c r="O12146" s="3" t="s">
        <v>52</v>
      </c>
      <c r="P12146" s="5">
        <v>0</v>
      </c>
      <c r="Q12146" s="5">
        <v>0</v>
      </c>
      <c r="R12146" s="5">
        <v>3</v>
      </c>
      <c r="S12146" s="5">
        <v>35</v>
      </c>
    </row>
    <row r="12147" spans="1:19" ht="28" x14ac:dyDescent="0.15">
      <c r="A12147" s="2">
        <f>HYPERLINK("https://open-school.uspishnemisto.com.ua/school/610268/", 610268)</f>
        <v>610268</v>
      </c>
      <c r="B12147" s="3" t="s">
        <v>61390</v>
      </c>
      <c r="C12147" s="3" t="s">
        <v>31</v>
      </c>
      <c r="D12147" s="3" t="s">
        <v>175</v>
      </c>
      <c r="E12147" s="4" t="s">
        <v>22</v>
      </c>
      <c r="F12147" s="4" t="s">
        <v>61391</v>
      </c>
      <c r="G12147" s="4" t="s">
        <v>61392</v>
      </c>
      <c r="H12147" s="3" t="s">
        <v>60159</v>
      </c>
      <c r="I12147" s="3" t="s">
        <v>61393</v>
      </c>
      <c r="J12147" s="3" t="s">
        <v>466</v>
      </c>
      <c r="K12147" s="3" t="s">
        <v>61394</v>
      </c>
      <c r="L12147" s="3" t="s">
        <v>61395</v>
      </c>
      <c r="M12147" s="4"/>
      <c r="N12147" s="3" t="s">
        <v>37</v>
      </c>
      <c r="O12147" s="3" t="s">
        <v>46</v>
      </c>
      <c r="P12147" s="5">
        <v>9</v>
      </c>
      <c r="Q12147" s="5">
        <v>123</v>
      </c>
      <c r="R12147" s="5">
        <v>9</v>
      </c>
      <c r="S12147" s="5">
        <v>135</v>
      </c>
    </row>
    <row r="12148" spans="1:19" ht="28" x14ac:dyDescent="0.15">
      <c r="A12148" s="2">
        <f>HYPERLINK("https://open-school.uspishnemisto.com.ua/school/610269/", 610269)</f>
        <v>610269</v>
      </c>
      <c r="B12148" s="3" t="s">
        <v>61396</v>
      </c>
      <c r="C12148" s="3" t="s">
        <v>31</v>
      </c>
      <c r="D12148" s="3" t="s">
        <v>175</v>
      </c>
      <c r="E12148" s="4" t="s">
        <v>22</v>
      </c>
      <c r="F12148" s="4" t="s">
        <v>61397</v>
      </c>
      <c r="G12148" s="4" t="s">
        <v>61398</v>
      </c>
      <c r="H12148" s="3" t="s">
        <v>60159</v>
      </c>
      <c r="I12148" s="3" t="s">
        <v>61399</v>
      </c>
      <c r="J12148" s="3" t="s">
        <v>61400</v>
      </c>
      <c r="K12148" s="3" t="s">
        <v>61401</v>
      </c>
      <c r="L12148" s="3"/>
      <c r="M12148" s="4"/>
      <c r="N12148" s="3" t="s">
        <v>37</v>
      </c>
      <c r="O12148" s="3" t="s">
        <v>46</v>
      </c>
      <c r="P12148" s="5">
        <v>7</v>
      </c>
      <c r="Q12148" s="5">
        <v>76</v>
      </c>
      <c r="R12148" s="5">
        <v>7</v>
      </c>
      <c r="S12148" s="5">
        <v>72</v>
      </c>
    </row>
    <row r="12149" spans="1:19" ht="28" x14ac:dyDescent="0.15">
      <c r="A12149" s="2">
        <f>HYPERLINK("https://open-school.uspishnemisto.com.ua/school/610270/", 610270)</f>
        <v>610270</v>
      </c>
      <c r="B12149" s="3" t="s">
        <v>61402</v>
      </c>
      <c r="C12149" s="3" t="s">
        <v>31</v>
      </c>
      <c r="D12149" s="3" t="s">
        <v>32</v>
      </c>
      <c r="E12149" s="4" t="s">
        <v>22</v>
      </c>
      <c r="F12149" s="4" t="s">
        <v>61365</v>
      </c>
      <c r="G12149" s="4" t="s">
        <v>61403</v>
      </c>
      <c r="H12149" s="3" t="s">
        <v>60159</v>
      </c>
      <c r="I12149" s="3" t="s">
        <v>22077</v>
      </c>
      <c r="J12149" s="3" t="s">
        <v>61404</v>
      </c>
      <c r="K12149" s="3" t="s">
        <v>61405</v>
      </c>
      <c r="L12149" s="3"/>
      <c r="M12149" s="4"/>
      <c r="N12149" s="3" t="s">
        <v>37</v>
      </c>
      <c r="O12149" s="3" t="s">
        <v>52</v>
      </c>
      <c r="P12149" s="5">
        <v>11</v>
      </c>
      <c r="Q12149" s="5">
        <v>243</v>
      </c>
      <c r="R12149" s="5">
        <v>11</v>
      </c>
      <c r="S12149" s="5">
        <v>232</v>
      </c>
    </row>
    <row r="12150" spans="1:19" ht="28" x14ac:dyDescent="0.15">
      <c r="A12150" s="2">
        <f>HYPERLINK("https://open-school.uspishnemisto.com.ua/school/610272/", 610272)</f>
        <v>610272</v>
      </c>
      <c r="B12150" s="3" t="s">
        <v>61406</v>
      </c>
      <c r="C12150" s="3" t="s">
        <v>31</v>
      </c>
      <c r="D12150" s="3" t="s">
        <v>32</v>
      </c>
      <c r="E12150" s="4" t="s">
        <v>22</v>
      </c>
      <c r="F12150" s="4" t="s">
        <v>61407</v>
      </c>
      <c r="G12150" s="4" t="s">
        <v>61408</v>
      </c>
      <c r="H12150" s="3" t="s">
        <v>60159</v>
      </c>
      <c r="I12150" s="3" t="s">
        <v>61083</v>
      </c>
      <c r="J12150" s="3" t="s">
        <v>61409</v>
      </c>
      <c r="K12150" s="3" t="s">
        <v>61410</v>
      </c>
      <c r="L12150" s="3" t="s">
        <v>61411</v>
      </c>
      <c r="M12150" s="4"/>
      <c r="N12150" s="3" t="s">
        <v>37</v>
      </c>
      <c r="O12150" s="3" t="s">
        <v>46</v>
      </c>
      <c r="P12150" s="5">
        <v>16</v>
      </c>
      <c r="Q12150" s="5">
        <v>333</v>
      </c>
      <c r="R12150" s="5">
        <v>16</v>
      </c>
      <c r="S12150" s="5">
        <v>340</v>
      </c>
    </row>
    <row r="12151" spans="1:19" ht="28" x14ac:dyDescent="0.15">
      <c r="A12151" s="2">
        <f>HYPERLINK("https://open-school.uspishnemisto.com.ua/school/610273/", 610273)</f>
        <v>610273</v>
      </c>
      <c r="B12151" s="3" t="s">
        <v>61412</v>
      </c>
      <c r="C12151" s="3" t="s">
        <v>40</v>
      </c>
      <c r="D12151" s="3" t="s">
        <v>32</v>
      </c>
      <c r="E12151" s="4" t="s">
        <v>22</v>
      </c>
      <c r="F12151" s="4" t="s">
        <v>61407</v>
      </c>
      <c r="G12151" s="4" t="s">
        <v>61408</v>
      </c>
      <c r="H12151" s="3" t="s">
        <v>60159</v>
      </c>
      <c r="I12151" s="3" t="s">
        <v>61083</v>
      </c>
      <c r="J12151" s="3" t="s">
        <v>61413</v>
      </c>
      <c r="K12151" s="3" t="s">
        <v>61414</v>
      </c>
      <c r="L12151" s="3"/>
      <c r="M12151" s="4"/>
      <c r="N12151" s="3" t="s">
        <v>37</v>
      </c>
      <c r="O12151" s="3" t="s">
        <v>237</v>
      </c>
      <c r="P12151" s="5">
        <v>15</v>
      </c>
      <c r="Q12151" s="5">
        <v>383</v>
      </c>
      <c r="R12151" s="5">
        <v>15</v>
      </c>
      <c r="S12151" s="5">
        <v>397</v>
      </c>
    </row>
    <row r="12152" spans="1:19" ht="28" x14ac:dyDescent="0.15">
      <c r="A12152" s="2">
        <f>HYPERLINK("https://open-school.uspishnemisto.com.ua/school/610274/", 610274)</f>
        <v>610274</v>
      </c>
      <c r="B12152" s="3" t="s">
        <v>61415</v>
      </c>
      <c r="C12152" s="3" t="s">
        <v>181</v>
      </c>
      <c r="D12152" s="3" t="s">
        <v>32</v>
      </c>
      <c r="E12152" s="4" t="s">
        <v>22</v>
      </c>
      <c r="F12152" s="4" t="s">
        <v>61407</v>
      </c>
      <c r="G12152" s="4" t="s">
        <v>61408</v>
      </c>
      <c r="H12152" s="3" t="s">
        <v>60159</v>
      </c>
      <c r="I12152" s="3" t="s">
        <v>61083</v>
      </c>
      <c r="J12152" s="3" t="s">
        <v>61416</v>
      </c>
      <c r="K12152" s="3" t="s">
        <v>61417</v>
      </c>
      <c r="L12152" s="3"/>
      <c r="M12152" s="4" t="s">
        <v>61418</v>
      </c>
      <c r="N12152" s="3" t="s">
        <v>37</v>
      </c>
      <c r="O12152" s="3"/>
      <c r="P12152" s="5">
        <v>12</v>
      </c>
      <c r="Q12152" s="5">
        <v>111</v>
      </c>
      <c r="R12152" s="5">
        <v>12</v>
      </c>
      <c r="S12152" s="5">
        <v>102</v>
      </c>
    </row>
    <row r="12153" spans="1:19" ht="28" x14ac:dyDescent="0.15">
      <c r="A12153" s="2">
        <f>HYPERLINK("https://open-school.uspishnemisto.com.ua/school/610275/", 610275)</f>
        <v>610275</v>
      </c>
      <c r="B12153" s="3" t="s">
        <v>61419</v>
      </c>
      <c r="C12153" s="3" t="s">
        <v>7271</v>
      </c>
      <c r="D12153" s="3" t="s">
        <v>175</v>
      </c>
      <c r="E12153" s="4" t="s">
        <v>22</v>
      </c>
      <c r="F12153" s="4" t="s">
        <v>61407</v>
      </c>
      <c r="G12153" s="4" t="s">
        <v>61408</v>
      </c>
      <c r="H12153" s="3" t="s">
        <v>60159</v>
      </c>
      <c r="I12153" s="3" t="s">
        <v>61083</v>
      </c>
      <c r="J12153" s="3" t="s">
        <v>27428</v>
      </c>
      <c r="K12153" s="3" t="s">
        <v>61420</v>
      </c>
      <c r="L12153" s="3"/>
      <c r="M12153" s="4"/>
      <c r="N12153" s="3"/>
      <c r="O12153" s="3"/>
      <c r="P12153" s="5">
        <v>0</v>
      </c>
      <c r="Q12153" s="5">
        <v>0</v>
      </c>
      <c r="R12153" s="5">
        <v>0</v>
      </c>
      <c r="S12153" s="5">
        <v>0</v>
      </c>
    </row>
    <row r="12154" spans="1:19" ht="42" x14ac:dyDescent="0.15">
      <c r="A12154" s="2">
        <f>HYPERLINK("https://open-school.uspishnemisto.com.ua/school/610276/", 610276)</f>
        <v>610276</v>
      </c>
      <c r="B12154" s="3" t="s">
        <v>61421</v>
      </c>
      <c r="C12154" s="3" t="s">
        <v>244</v>
      </c>
      <c r="D12154" s="3" t="s">
        <v>32</v>
      </c>
      <c r="E12154" s="4" t="s">
        <v>22</v>
      </c>
      <c r="F12154" s="4" t="s">
        <v>61407</v>
      </c>
      <c r="G12154" s="4" t="s">
        <v>61408</v>
      </c>
      <c r="H12154" s="3" t="s">
        <v>60159</v>
      </c>
      <c r="I12154" s="3" t="s">
        <v>61083</v>
      </c>
      <c r="J12154" s="3" t="s">
        <v>466</v>
      </c>
      <c r="K12154" s="3" t="s">
        <v>61422</v>
      </c>
      <c r="L12154" s="3"/>
      <c r="M12154" s="4"/>
      <c r="N12154" s="3" t="s">
        <v>37</v>
      </c>
      <c r="O12154" s="3" t="s">
        <v>46</v>
      </c>
      <c r="P12154" s="5">
        <v>33</v>
      </c>
      <c r="Q12154" s="5">
        <v>607</v>
      </c>
      <c r="R12154" s="5">
        <v>22</v>
      </c>
      <c r="S12154" s="5">
        <v>470</v>
      </c>
    </row>
    <row r="12155" spans="1:19" ht="28" x14ac:dyDescent="0.15">
      <c r="A12155" s="2">
        <f>HYPERLINK("https://open-school.uspishnemisto.com.ua/school/610277/", 610277)</f>
        <v>610277</v>
      </c>
      <c r="B12155" s="3" t="s">
        <v>61423</v>
      </c>
      <c r="C12155" s="3" t="s">
        <v>31</v>
      </c>
      <c r="D12155" s="3" t="s">
        <v>32</v>
      </c>
      <c r="E12155" s="4" t="s">
        <v>22</v>
      </c>
      <c r="F12155" s="4" t="s">
        <v>61424</v>
      </c>
      <c r="G12155" s="4" t="s">
        <v>61425</v>
      </c>
      <c r="H12155" s="3" t="s">
        <v>60159</v>
      </c>
      <c r="I12155" s="3" t="s">
        <v>53916</v>
      </c>
      <c r="J12155" s="3" t="s">
        <v>634</v>
      </c>
      <c r="K12155" s="3" t="s">
        <v>61426</v>
      </c>
      <c r="L12155" s="3"/>
      <c r="M12155" s="4"/>
      <c r="N12155" s="3" t="s">
        <v>37</v>
      </c>
      <c r="O12155" s="3" t="s">
        <v>46</v>
      </c>
      <c r="P12155" s="5">
        <v>19</v>
      </c>
      <c r="Q12155" s="5">
        <v>396</v>
      </c>
      <c r="R12155" s="5">
        <v>19</v>
      </c>
      <c r="S12155" s="5">
        <v>416</v>
      </c>
    </row>
    <row r="12156" spans="1:19" ht="28" x14ac:dyDescent="0.15">
      <c r="A12156" s="2">
        <f>HYPERLINK("https://open-school.uspishnemisto.com.ua/school/610278/", 610278)</f>
        <v>610278</v>
      </c>
      <c r="B12156" s="3" t="s">
        <v>61427</v>
      </c>
      <c r="C12156" s="3" t="s">
        <v>31</v>
      </c>
      <c r="D12156" s="3" t="s">
        <v>175</v>
      </c>
      <c r="E12156" s="4" t="s">
        <v>22</v>
      </c>
      <c r="F12156" s="4" t="s">
        <v>61428</v>
      </c>
      <c r="G12156" s="4" t="s">
        <v>61429</v>
      </c>
      <c r="H12156" s="3" t="s">
        <v>60159</v>
      </c>
      <c r="I12156" s="3" t="s">
        <v>61430</v>
      </c>
      <c r="J12156" s="3" t="s">
        <v>1417</v>
      </c>
      <c r="K12156" s="3" t="s">
        <v>61431</v>
      </c>
      <c r="L12156" s="3"/>
      <c r="M12156" s="4"/>
      <c r="N12156" s="3" t="s">
        <v>37</v>
      </c>
      <c r="O12156" s="3" t="s">
        <v>46</v>
      </c>
      <c r="P12156" s="5">
        <v>9</v>
      </c>
      <c r="Q12156" s="5">
        <v>137</v>
      </c>
      <c r="R12156" s="5">
        <v>9</v>
      </c>
      <c r="S12156" s="5">
        <v>136</v>
      </c>
    </row>
    <row r="12157" spans="1:19" ht="28" x14ac:dyDescent="0.15">
      <c r="A12157" s="2">
        <f>HYPERLINK("https://open-school.uspishnemisto.com.ua/school/610279/", 610279)</f>
        <v>610279</v>
      </c>
      <c r="B12157" s="3" t="s">
        <v>61432</v>
      </c>
      <c r="C12157" s="3" t="s">
        <v>31</v>
      </c>
      <c r="D12157" s="3" t="s">
        <v>175</v>
      </c>
      <c r="E12157" s="4" t="s">
        <v>22</v>
      </c>
      <c r="F12157" s="4" t="s">
        <v>61433</v>
      </c>
      <c r="G12157" s="4" t="s">
        <v>61434</v>
      </c>
      <c r="H12157" s="3" t="s">
        <v>60159</v>
      </c>
      <c r="I12157" s="3" t="s">
        <v>61435</v>
      </c>
      <c r="J12157" s="3" t="s">
        <v>12836</v>
      </c>
      <c r="K12157" s="3"/>
      <c r="L12157" s="3"/>
      <c r="M12157" s="4"/>
      <c r="N12157" s="3" t="s">
        <v>37</v>
      </c>
      <c r="O12157" s="3" t="s">
        <v>46</v>
      </c>
      <c r="P12157" s="5">
        <v>6</v>
      </c>
      <c r="Q12157" s="5">
        <v>45</v>
      </c>
      <c r="R12157" s="5">
        <v>7</v>
      </c>
      <c r="S12157" s="5">
        <v>50</v>
      </c>
    </row>
    <row r="12158" spans="1:19" ht="28" x14ac:dyDescent="0.15">
      <c r="A12158" s="2">
        <f>HYPERLINK("https://open-school.uspishnemisto.com.ua/school/610280/", 610280)</f>
        <v>610280</v>
      </c>
      <c r="B12158" s="3" t="s">
        <v>61436</v>
      </c>
      <c r="C12158" s="3" t="s">
        <v>31</v>
      </c>
      <c r="D12158" s="3" t="s">
        <v>175</v>
      </c>
      <c r="E12158" s="4" t="s">
        <v>22</v>
      </c>
      <c r="F12158" s="4" t="s">
        <v>61437</v>
      </c>
      <c r="G12158" s="4" t="s">
        <v>61438</v>
      </c>
      <c r="H12158" s="3" t="s">
        <v>60159</v>
      </c>
      <c r="I12158" s="3" t="s">
        <v>61439</v>
      </c>
      <c r="J12158" s="3" t="s">
        <v>1946</v>
      </c>
      <c r="K12158" s="3" t="s">
        <v>61440</v>
      </c>
      <c r="L12158" s="3"/>
      <c r="M12158" s="4"/>
      <c r="N12158" s="3" t="s">
        <v>37</v>
      </c>
      <c r="O12158" s="3" t="s">
        <v>46</v>
      </c>
      <c r="P12158" s="5">
        <v>9</v>
      </c>
      <c r="Q12158" s="5">
        <v>77</v>
      </c>
      <c r="R12158" s="5">
        <v>9</v>
      </c>
      <c r="S12158" s="5">
        <v>83</v>
      </c>
    </row>
    <row r="12159" spans="1:19" ht="28" x14ac:dyDescent="0.15">
      <c r="A12159" s="2">
        <f>HYPERLINK("https://open-school.uspishnemisto.com.ua/school/610281/", 610281)</f>
        <v>610281</v>
      </c>
      <c r="B12159" s="3" t="s">
        <v>61441</v>
      </c>
      <c r="C12159" s="3" t="s">
        <v>31</v>
      </c>
      <c r="D12159" s="3" t="s">
        <v>175</v>
      </c>
      <c r="E12159" s="4" t="s">
        <v>22</v>
      </c>
      <c r="F12159" s="4" t="s">
        <v>61442</v>
      </c>
      <c r="G12159" s="4" t="s">
        <v>61443</v>
      </c>
      <c r="H12159" s="3" t="s">
        <v>60159</v>
      </c>
      <c r="I12159" s="3" t="s">
        <v>61444</v>
      </c>
      <c r="J12159" s="3"/>
      <c r="K12159" s="3" t="s">
        <v>61445</v>
      </c>
      <c r="L12159" s="3" t="s">
        <v>61446</v>
      </c>
      <c r="M12159" s="4"/>
      <c r="N12159" s="3" t="s">
        <v>37</v>
      </c>
      <c r="O12159" s="3" t="s">
        <v>46</v>
      </c>
      <c r="P12159" s="5">
        <v>7</v>
      </c>
      <c r="Q12159" s="5">
        <v>49</v>
      </c>
      <c r="R12159" s="5">
        <v>7</v>
      </c>
      <c r="S12159" s="5">
        <v>59</v>
      </c>
    </row>
    <row r="12160" spans="1:19" ht="28" x14ac:dyDescent="0.15">
      <c r="A12160" s="2">
        <f>HYPERLINK("https://open-school.uspishnemisto.com.ua/school/610282/", 610282)</f>
        <v>610282</v>
      </c>
      <c r="B12160" s="3" t="s">
        <v>61447</v>
      </c>
      <c r="C12160" s="3" t="s">
        <v>31</v>
      </c>
      <c r="D12160" s="3" t="s">
        <v>60</v>
      </c>
      <c r="E12160" s="4" t="s">
        <v>22</v>
      </c>
      <c r="F12160" s="4" t="s">
        <v>61442</v>
      </c>
      <c r="G12160" s="4" t="s">
        <v>61448</v>
      </c>
      <c r="H12160" s="3" t="s">
        <v>60159</v>
      </c>
      <c r="I12160" s="3" t="s">
        <v>61449</v>
      </c>
      <c r="J12160" s="3" t="s">
        <v>61450</v>
      </c>
      <c r="K12160" s="3" t="s">
        <v>61451</v>
      </c>
      <c r="L12160" s="3"/>
      <c r="M12160" s="4"/>
      <c r="N12160" s="3" t="s">
        <v>37</v>
      </c>
      <c r="O12160" s="3" t="s">
        <v>618</v>
      </c>
      <c r="P12160" s="5">
        <v>1</v>
      </c>
      <c r="Q12160" s="5">
        <v>10</v>
      </c>
      <c r="R12160" s="5">
        <v>1</v>
      </c>
      <c r="S12160" s="5">
        <v>11</v>
      </c>
    </row>
    <row r="12161" spans="1:19" ht="28" x14ac:dyDescent="0.15">
      <c r="A12161" s="2">
        <f>HYPERLINK("https://open-school.uspishnemisto.com.ua/school/610283/", 610283)</f>
        <v>610283</v>
      </c>
      <c r="B12161" s="3" t="s">
        <v>61452</v>
      </c>
      <c r="C12161" s="3" t="s">
        <v>31</v>
      </c>
      <c r="D12161" s="3" t="s">
        <v>175</v>
      </c>
      <c r="E12161" s="4" t="s">
        <v>22</v>
      </c>
      <c r="F12161" s="4" t="s">
        <v>61453</v>
      </c>
      <c r="G12161" s="4" t="s">
        <v>61454</v>
      </c>
      <c r="H12161" s="3" t="s">
        <v>60159</v>
      </c>
      <c r="I12161" s="3" t="s">
        <v>61455</v>
      </c>
      <c r="J12161" s="3" t="s">
        <v>61456</v>
      </c>
      <c r="K12161" s="3" t="s">
        <v>61457</v>
      </c>
      <c r="L12161" s="3"/>
      <c r="M12161" s="4"/>
      <c r="N12161" s="3" t="s">
        <v>37</v>
      </c>
      <c r="O12161" s="3" t="s">
        <v>618</v>
      </c>
      <c r="P12161" s="5">
        <v>8</v>
      </c>
      <c r="Q12161" s="5">
        <v>68</v>
      </c>
      <c r="R12161" s="5">
        <v>8</v>
      </c>
      <c r="S12161" s="5">
        <v>73</v>
      </c>
    </row>
    <row r="12162" spans="1:19" ht="28" x14ac:dyDescent="0.15">
      <c r="A12162" s="2">
        <f>HYPERLINK("https://open-school.uspishnemisto.com.ua/school/610284/", 610284)</f>
        <v>610284</v>
      </c>
      <c r="B12162" s="3" t="s">
        <v>61458</v>
      </c>
      <c r="C12162" s="3" t="s">
        <v>31</v>
      </c>
      <c r="D12162" s="3" t="s">
        <v>175</v>
      </c>
      <c r="E12162" s="4" t="s">
        <v>22</v>
      </c>
      <c r="F12162" s="4" t="s">
        <v>61459</v>
      </c>
      <c r="G12162" s="4" t="s">
        <v>61460</v>
      </c>
      <c r="H12162" s="3" t="s">
        <v>60159</v>
      </c>
      <c r="I12162" s="3" t="s">
        <v>1506</v>
      </c>
      <c r="J12162" s="3" t="s">
        <v>61461</v>
      </c>
      <c r="K12162" s="3"/>
      <c r="L12162" s="3"/>
      <c r="M12162" s="4"/>
      <c r="N12162" s="3" t="s">
        <v>37</v>
      </c>
      <c r="O12162" s="3" t="s">
        <v>52</v>
      </c>
      <c r="P12162" s="5">
        <v>8</v>
      </c>
      <c r="Q12162" s="5">
        <v>64</v>
      </c>
      <c r="R12162" s="5">
        <v>8</v>
      </c>
      <c r="S12162" s="5">
        <v>60</v>
      </c>
    </row>
    <row r="12163" spans="1:19" ht="28" x14ac:dyDescent="0.15">
      <c r="A12163" s="2">
        <f>HYPERLINK("https://open-school.uspishnemisto.com.ua/school/610285/", 610285)</f>
        <v>610285</v>
      </c>
      <c r="B12163" s="3" t="s">
        <v>61462</v>
      </c>
      <c r="C12163" s="3" t="s">
        <v>31</v>
      </c>
      <c r="D12163" s="3" t="s">
        <v>175</v>
      </c>
      <c r="E12163" s="4" t="s">
        <v>22</v>
      </c>
      <c r="F12163" s="4" t="s">
        <v>61463</v>
      </c>
      <c r="G12163" s="4" t="s">
        <v>61464</v>
      </c>
      <c r="H12163" s="3" t="s">
        <v>60159</v>
      </c>
      <c r="I12163" s="3" t="s">
        <v>27309</v>
      </c>
      <c r="J12163" s="3" t="s">
        <v>61465</v>
      </c>
      <c r="K12163" s="3" t="s">
        <v>61466</v>
      </c>
      <c r="L12163" s="3"/>
      <c r="M12163" s="4"/>
      <c r="N12163" s="3" t="s">
        <v>37</v>
      </c>
      <c r="O12163" s="3" t="s">
        <v>46</v>
      </c>
      <c r="P12163" s="5">
        <v>9</v>
      </c>
      <c r="Q12163" s="5">
        <v>83</v>
      </c>
      <c r="R12163" s="5">
        <v>9</v>
      </c>
      <c r="S12163" s="5">
        <v>80</v>
      </c>
    </row>
    <row r="12164" spans="1:19" ht="42" x14ac:dyDescent="0.15">
      <c r="A12164" s="2">
        <f>HYPERLINK("https://open-school.uspishnemisto.com.ua/school/610286/", 610286)</f>
        <v>610286</v>
      </c>
      <c r="B12164" s="3" t="s">
        <v>61467</v>
      </c>
      <c r="C12164" s="3" t="s">
        <v>31</v>
      </c>
      <c r="D12164" s="3" t="s">
        <v>175</v>
      </c>
      <c r="E12164" s="4" t="s">
        <v>22</v>
      </c>
      <c r="F12164" s="4" t="s">
        <v>61468</v>
      </c>
      <c r="G12164" s="4" t="s">
        <v>61469</v>
      </c>
      <c r="H12164" s="3" t="s">
        <v>60159</v>
      </c>
      <c r="I12164" s="3" t="s">
        <v>39852</v>
      </c>
      <c r="J12164" s="3" t="s">
        <v>61470</v>
      </c>
      <c r="K12164" s="3" t="s">
        <v>61471</v>
      </c>
      <c r="L12164" s="3" t="s">
        <v>61472</v>
      </c>
      <c r="M12164" s="4"/>
      <c r="N12164" s="3" t="s">
        <v>37</v>
      </c>
      <c r="O12164" s="3" t="s">
        <v>46</v>
      </c>
      <c r="P12164" s="5">
        <v>0</v>
      </c>
      <c r="Q12164" s="5">
        <v>0</v>
      </c>
      <c r="R12164" s="5">
        <v>7</v>
      </c>
      <c r="S12164" s="5">
        <v>61</v>
      </c>
    </row>
    <row r="12165" spans="1:19" ht="28" x14ac:dyDescent="0.15">
      <c r="A12165" s="2">
        <f>HYPERLINK("https://open-school.uspishnemisto.com.ua/school/610287/", 610287)</f>
        <v>610287</v>
      </c>
      <c r="B12165" s="3" t="s">
        <v>61473</v>
      </c>
      <c r="C12165" s="3" t="s">
        <v>31</v>
      </c>
      <c r="D12165" s="3" t="s">
        <v>32</v>
      </c>
      <c r="E12165" s="4" t="s">
        <v>22</v>
      </c>
      <c r="F12165" s="4" t="s">
        <v>61474</v>
      </c>
      <c r="G12165" s="4" t="s">
        <v>61475</v>
      </c>
      <c r="H12165" s="3" t="s">
        <v>60159</v>
      </c>
      <c r="I12165" s="3" t="s">
        <v>61476</v>
      </c>
      <c r="J12165" s="3" t="s">
        <v>466</v>
      </c>
      <c r="K12165" s="3"/>
      <c r="L12165" s="3"/>
      <c r="M12165" s="4"/>
      <c r="N12165" s="3" t="s">
        <v>37</v>
      </c>
      <c r="O12165" s="3" t="s">
        <v>618</v>
      </c>
      <c r="P12165" s="5">
        <v>10</v>
      </c>
      <c r="Q12165" s="5">
        <v>82</v>
      </c>
      <c r="R12165" s="5">
        <v>8</v>
      </c>
      <c r="S12165" s="5">
        <v>79</v>
      </c>
    </row>
    <row r="12166" spans="1:19" ht="28" x14ac:dyDescent="0.15">
      <c r="A12166" s="2">
        <f>HYPERLINK("https://open-school.uspishnemisto.com.ua/school/610288/", 610288)</f>
        <v>610288</v>
      </c>
      <c r="B12166" s="3" t="s">
        <v>61477</v>
      </c>
      <c r="C12166" s="3" t="s">
        <v>31</v>
      </c>
      <c r="D12166" s="3" t="s">
        <v>175</v>
      </c>
      <c r="E12166" s="4" t="s">
        <v>22</v>
      </c>
      <c r="F12166" s="4" t="s">
        <v>61478</v>
      </c>
      <c r="G12166" s="4" t="s">
        <v>61479</v>
      </c>
      <c r="H12166" s="3" t="s">
        <v>60159</v>
      </c>
      <c r="I12166" s="3" t="s">
        <v>61480</v>
      </c>
      <c r="J12166" s="3"/>
      <c r="K12166" s="3" t="s">
        <v>61481</v>
      </c>
      <c r="L12166" s="3"/>
      <c r="M12166" s="4"/>
      <c r="N12166" s="3" t="s">
        <v>37</v>
      </c>
      <c r="O12166" s="3" t="s">
        <v>618</v>
      </c>
      <c r="P12166" s="5">
        <v>8</v>
      </c>
      <c r="Q12166" s="5">
        <v>70</v>
      </c>
      <c r="R12166" s="5">
        <v>9</v>
      </c>
      <c r="S12166" s="5">
        <v>78</v>
      </c>
    </row>
    <row r="12167" spans="1:19" ht="28" x14ac:dyDescent="0.15">
      <c r="A12167" s="2">
        <f>HYPERLINK("https://open-school.uspishnemisto.com.ua/school/610289/", 610289)</f>
        <v>610289</v>
      </c>
      <c r="B12167" s="3" t="s">
        <v>61482</v>
      </c>
      <c r="C12167" s="3" t="s">
        <v>31</v>
      </c>
      <c r="D12167" s="3" t="s">
        <v>60</v>
      </c>
      <c r="E12167" s="4" t="s">
        <v>22</v>
      </c>
      <c r="F12167" s="4" t="s">
        <v>61442</v>
      </c>
      <c r="G12167" s="4" t="s">
        <v>61483</v>
      </c>
      <c r="H12167" s="3" t="s">
        <v>60159</v>
      </c>
      <c r="I12167" s="3" t="s">
        <v>28056</v>
      </c>
      <c r="J12167" s="3" t="s">
        <v>1222</v>
      </c>
      <c r="K12167" s="3"/>
      <c r="L12167" s="3" t="s">
        <v>61484</v>
      </c>
      <c r="M12167" s="4"/>
      <c r="N12167" s="3" t="s">
        <v>37</v>
      </c>
      <c r="O12167" s="3" t="s">
        <v>618</v>
      </c>
      <c r="P12167" s="5">
        <v>1</v>
      </c>
      <c r="Q12167" s="5">
        <v>12</v>
      </c>
      <c r="R12167" s="5">
        <v>0</v>
      </c>
      <c r="S12167" s="5">
        <v>7</v>
      </c>
    </row>
    <row r="12168" spans="1:19" ht="42" x14ac:dyDescent="0.15">
      <c r="A12168" s="2">
        <f>HYPERLINK("https://open-school.uspishnemisto.com.ua/school/610290/", 610290)</f>
        <v>610290</v>
      </c>
      <c r="B12168" s="3" t="s">
        <v>61485</v>
      </c>
      <c r="C12168" s="3" t="s">
        <v>31</v>
      </c>
      <c r="D12168" s="3" t="s">
        <v>60</v>
      </c>
      <c r="E12168" s="4" t="s">
        <v>22</v>
      </c>
      <c r="F12168" s="4" t="s">
        <v>61486</v>
      </c>
      <c r="G12168" s="4" t="s">
        <v>61487</v>
      </c>
      <c r="H12168" s="3" t="s">
        <v>60159</v>
      </c>
      <c r="I12168" s="3" t="s">
        <v>11029</v>
      </c>
      <c r="J12168" s="3"/>
      <c r="K12168" s="3" t="s">
        <v>61488</v>
      </c>
      <c r="L12168" s="3"/>
      <c r="M12168" s="4"/>
      <c r="N12168" s="3" t="s">
        <v>37</v>
      </c>
      <c r="O12168" s="3" t="s">
        <v>52</v>
      </c>
      <c r="P12168" s="5">
        <v>0</v>
      </c>
      <c r="Q12168" s="5">
        <v>0</v>
      </c>
      <c r="R12168" s="5">
        <v>2</v>
      </c>
      <c r="S12168" s="5">
        <v>31</v>
      </c>
    </row>
    <row r="12169" spans="1:19" ht="42" x14ac:dyDescent="0.15">
      <c r="A12169" s="2">
        <f>HYPERLINK("https://open-school.uspishnemisto.com.ua/school/610291/", 610291)</f>
        <v>610291</v>
      </c>
      <c r="B12169" s="3" t="s">
        <v>61489</v>
      </c>
      <c r="C12169" s="3" t="s">
        <v>31</v>
      </c>
      <c r="D12169" s="3" t="s">
        <v>60</v>
      </c>
      <c r="E12169" s="4" t="s">
        <v>22</v>
      </c>
      <c r="F12169" s="4" t="s">
        <v>61490</v>
      </c>
      <c r="G12169" s="4" t="s">
        <v>61491</v>
      </c>
      <c r="H12169" s="3" t="s">
        <v>60159</v>
      </c>
      <c r="I12169" s="3" t="s">
        <v>61492</v>
      </c>
      <c r="J12169" s="3" t="s">
        <v>61493</v>
      </c>
      <c r="K12169" s="3"/>
      <c r="L12169" s="3" t="s">
        <v>61494</v>
      </c>
      <c r="M12169" s="4"/>
      <c r="N12169" s="3" t="s">
        <v>37</v>
      </c>
      <c r="O12169" s="3" t="s">
        <v>52</v>
      </c>
      <c r="P12169" s="5">
        <v>0</v>
      </c>
      <c r="Q12169" s="5">
        <v>0</v>
      </c>
      <c r="R12169" s="5">
        <v>1</v>
      </c>
      <c r="S12169" s="5">
        <v>11</v>
      </c>
    </row>
    <row r="12170" spans="1:19" ht="28" x14ac:dyDescent="0.15">
      <c r="A12170" s="2">
        <f>HYPERLINK("https://open-school.uspishnemisto.com.ua/school/610292/", 610292)</f>
        <v>610292</v>
      </c>
      <c r="B12170" s="3" t="s">
        <v>61495</v>
      </c>
      <c r="C12170" s="3" t="s">
        <v>31</v>
      </c>
      <c r="D12170" s="3" t="s">
        <v>32</v>
      </c>
      <c r="E12170" s="4" t="s">
        <v>22</v>
      </c>
      <c r="F12170" s="4" t="s">
        <v>61496</v>
      </c>
      <c r="G12170" s="4" t="s">
        <v>61497</v>
      </c>
      <c r="H12170" s="3" t="s">
        <v>60159</v>
      </c>
      <c r="I12170" s="3" t="s">
        <v>1678</v>
      </c>
      <c r="J12170" s="3" t="s">
        <v>61498</v>
      </c>
      <c r="K12170" s="3" t="s">
        <v>61499</v>
      </c>
      <c r="L12170" s="3"/>
      <c r="M12170" s="4"/>
      <c r="N12170" s="3" t="s">
        <v>37</v>
      </c>
      <c r="O12170" s="3" t="s">
        <v>46</v>
      </c>
      <c r="P12170" s="5">
        <v>11</v>
      </c>
      <c r="Q12170" s="5">
        <v>128</v>
      </c>
      <c r="R12170" s="5">
        <v>11</v>
      </c>
      <c r="S12170" s="5">
        <v>127</v>
      </c>
    </row>
    <row r="12171" spans="1:19" ht="28" x14ac:dyDescent="0.15">
      <c r="A12171" s="2">
        <f>HYPERLINK("https://open-school.uspishnemisto.com.ua/school/610293/", 610293)</f>
        <v>610293</v>
      </c>
      <c r="B12171" s="3" t="s">
        <v>61500</v>
      </c>
      <c r="C12171" s="3" t="s">
        <v>31</v>
      </c>
      <c r="D12171" s="3" t="s">
        <v>60</v>
      </c>
      <c r="E12171" s="4" t="s">
        <v>22</v>
      </c>
      <c r="F12171" s="4" t="s">
        <v>61501</v>
      </c>
      <c r="G12171" s="4" t="s">
        <v>61502</v>
      </c>
      <c r="H12171" s="3" t="s">
        <v>60159</v>
      </c>
      <c r="I12171" s="3" t="s">
        <v>26638</v>
      </c>
      <c r="J12171" s="3" t="s">
        <v>2052</v>
      </c>
      <c r="K12171" s="3"/>
      <c r="L12171" s="3"/>
      <c r="M12171" s="4"/>
      <c r="N12171" s="3" t="s">
        <v>37</v>
      </c>
      <c r="O12171" s="3" t="s">
        <v>52</v>
      </c>
      <c r="P12171" s="5">
        <v>1</v>
      </c>
      <c r="Q12171" s="5">
        <v>18</v>
      </c>
      <c r="R12171" s="5">
        <v>2</v>
      </c>
      <c r="S12171" s="5">
        <v>18</v>
      </c>
    </row>
    <row r="12172" spans="1:19" ht="28" x14ac:dyDescent="0.15">
      <c r="A12172" s="2">
        <f>HYPERLINK("https://open-school.uspishnemisto.com.ua/school/610294/", 610294)</f>
        <v>610294</v>
      </c>
      <c r="B12172" s="3" t="s">
        <v>61503</v>
      </c>
      <c r="C12172" s="3" t="s">
        <v>31</v>
      </c>
      <c r="D12172" s="3" t="s">
        <v>175</v>
      </c>
      <c r="E12172" s="4" t="s">
        <v>22</v>
      </c>
      <c r="F12172" s="4" t="s">
        <v>61504</v>
      </c>
      <c r="G12172" s="4" t="s">
        <v>61505</v>
      </c>
      <c r="H12172" s="3" t="s">
        <v>60159</v>
      </c>
      <c r="I12172" s="3" t="s">
        <v>61506</v>
      </c>
      <c r="J12172" s="3" t="s">
        <v>61507</v>
      </c>
      <c r="K12172" s="3" t="s">
        <v>61508</v>
      </c>
      <c r="L12172" s="3"/>
      <c r="M12172" s="4"/>
      <c r="N12172" s="3" t="s">
        <v>37</v>
      </c>
      <c r="O12172" s="3" t="s">
        <v>46</v>
      </c>
      <c r="P12172" s="5">
        <v>8</v>
      </c>
      <c r="Q12172" s="5">
        <v>72</v>
      </c>
      <c r="R12172" s="5">
        <v>8</v>
      </c>
      <c r="S12172" s="5">
        <v>67</v>
      </c>
    </row>
    <row r="12173" spans="1:19" ht="28" x14ac:dyDescent="0.15">
      <c r="A12173" s="2">
        <f>HYPERLINK("https://open-school.uspishnemisto.com.ua/school/610295/", 610295)</f>
        <v>610295</v>
      </c>
      <c r="B12173" s="3" t="s">
        <v>61509</v>
      </c>
      <c r="C12173" s="3" t="s">
        <v>31</v>
      </c>
      <c r="D12173" s="3" t="s">
        <v>32</v>
      </c>
      <c r="E12173" s="4" t="s">
        <v>22</v>
      </c>
      <c r="F12173" s="4" t="s">
        <v>61510</v>
      </c>
      <c r="G12173" s="4" t="s">
        <v>61511</v>
      </c>
      <c r="H12173" s="3" t="s">
        <v>60159</v>
      </c>
      <c r="I12173" s="3" t="s">
        <v>61512</v>
      </c>
      <c r="J12173" s="3" t="s">
        <v>554</v>
      </c>
      <c r="K12173" s="3" t="s">
        <v>61513</v>
      </c>
      <c r="L12173" s="3"/>
      <c r="M12173" s="4"/>
      <c r="N12173" s="3" t="s">
        <v>37</v>
      </c>
      <c r="O12173" s="3" t="s">
        <v>46</v>
      </c>
      <c r="P12173" s="5">
        <v>8</v>
      </c>
      <c r="Q12173" s="5">
        <v>78</v>
      </c>
      <c r="R12173" s="5">
        <v>10</v>
      </c>
      <c r="S12173" s="5">
        <v>88</v>
      </c>
    </row>
    <row r="12174" spans="1:19" ht="28" x14ac:dyDescent="0.15">
      <c r="A12174" s="2">
        <f>HYPERLINK("https://open-school.uspishnemisto.com.ua/school/610296/", 610296)</f>
        <v>610296</v>
      </c>
      <c r="B12174" s="3" t="s">
        <v>61514</v>
      </c>
      <c r="C12174" s="3" t="s">
        <v>31</v>
      </c>
      <c r="D12174" s="3" t="s">
        <v>175</v>
      </c>
      <c r="E12174" s="4" t="s">
        <v>22</v>
      </c>
      <c r="F12174" s="4" t="s">
        <v>61515</v>
      </c>
      <c r="G12174" s="4" t="s">
        <v>61516</v>
      </c>
      <c r="H12174" s="3" t="s">
        <v>60159</v>
      </c>
      <c r="I12174" s="3" t="s">
        <v>61517</v>
      </c>
      <c r="J12174" s="3" t="s">
        <v>466</v>
      </c>
      <c r="K12174" s="3" t="s">
        <v>61518</v>
      </c>
      <c r="L12174" s="3"/>
      <c r="M12174" s="4"/>
      <c r="N12174" s="3" t="s">
        <v>37</v>
      </c>
      <c r="O12174" s="3" t="s">
        <v>618</v>
      </c>
      <c r="P12174" s="5">
        <v>4</v>
      </c>
      <c r="Q12174" s="5">
        <v>40</v>
      </c>
      <c r="R12174" s="5">
        <v>6</v>
      </c>
      <c r="S12174" s="5">
        <v>41</v>
      </c>
    </row>
    <row r="12175" spans="1:19" ht="28" x14ac:dyDescent="0.15">
      <c r="A12175" s="2">
        <f>HYPERLINK("https://open-school.uspishnemisto.com.ua/school/610297/", 610297)</f>
        <v>610297</v>
      </c>
      <c r="B12175" s="3" t="s">
        <v>61519</v>
      </c>
      <c r="C12175" s="3" t="s">
        <v>31</v>
      </c>
      <c r="D12175" s="3" t="s">
        <v>175</v>
      </c>
      <c r="E12175" s="4" t="s">
        <v>22</v>
      </c>
      <c r="F12175" s="4" t="s">
        <v>61520</v>
      </c>
      <c r="G12175" s="4" t="s">
        <v>61521</v>
      </c>
      <c r="H12175" s="3" t="s">
        <v>60159</v>
      </c>
      <c r="I12175" s="3" t="s">
        <v>61522</v>
      </c>
      <c r="J12175" s="3" t="s">
        <v>61523</v>
      </c>
      <c r="K12175" s="3" t="s">
        <v>61524</v>
      </c>
      <c r="L12175" s="3"/>
      <c r="M12175" s="4"/>
      <c r="N12175" s="3" t="s">
        <v>37</v>
      </c>
      <c r="O12175" s="3" t="s">
        <v>46</v>
      </c>
      <c r="P12175" s="5">
        <v>9</v>
      </c>
      <c r="Q12175" s="5">
        <v>92</v>
      </c>
      <c r="R12175" s="5">
        <v>9</v>
      </c>
      <c r="S12175" s="5">
        <v>92</v>
      </c>
    </row>
    <row r="12176" spans="1:19" ht="28" x14ac:dyDescent="0.15">
      <c r="A12176" s="2">
        <f>HYPERLINK("https://open-school.uspishnemisto.com.ua/school/610298/", 610298)</f>
        <v>610298</v>
      </c>
      <c r="B12176" s="3" t="s">
        <v>61525</v>
      </c>
      <c r="C12176" s="3" t="s">
        <v>31</v>
      </c>
      <c r="D12176" s="3" t="s">
        <v>32</v>
      </c>
      <c r="E12176" s="4" t="s">
        <v>22</v>
      </c>
      <c r="F12176" s="4" t="s">
        <v>61526</v>
      </c>
      <c r="G12176" s="4" t="s">
        <v>61527</v>
      </c>
      <c r="H12176" s="3" t="s">
        <v>60159</v>
      </c>
      <c r="I12176" s="3" t="s">
        <v>61528</v>
      </c>
      <c r="J12176" s="3" t="s">
        <v>61529</v>
      </c>
      <c r="K12176" s="3" t="s">
        <v>61530</v>
      </c>
      <c r="L12176" s="3"/>
      <c r="M12176" s="4"/>
      <c r="N12176" s="3" t="s">
        <v>37</v>
      </c>
      <c r="O12176" s="3" t="s">
        <v>52</v>
      </c>
      <c r="P12176" s="5">
        <v>10</v>
      </c>
      <c r="Q12176" s="5">
        <v>81</v>
      </c>
      <c r="R12176" s="5">
        <v>9</v>
      </c>
      <c r="S12176" s="5">
        <v>86</v>
      </c>
    </row>
    <row r="12177" spans="1:19" ht="28" x14ac:dyDescent="0.15">
      <c r="A12177" s="2">
        <f>HYPERLINK("https://open-school.uspishnemisto.com.ua/school/610299/", 610299)</f>
        <v>610299</v>
      </c>
      <c r="B12177" s="3" t="s">
        <v>61531</v>
      </c>
      <c r="C12177" s="3" t="s">
        <v>31</v>
      </c>
      <c r="D12177" s="3" t="s">
        <v>175</v>
      </c>
      <c r="E12177" s="4" t="s">
        <v>22</v>
      </c>
      <c r="F12177" s="4" t="s">
        <v>61532</v>
      </c>
      <c r="G12177" s="4" t="s">
        <v>61533</v>
      </c>
      <c r="H12177" s="3" t="s">
        <v>60159</v>
      </c>
      <c r="I12177" s="3" t="s">
        <v>61534</v>
      </c>
      <c r="J12177" s="3"/>
      <c r="K12177" s="3" t="s">
        <v>61535</v>
      </c>
      <c r="L12177" s="3"/>
      <c r="M12177" s="4"/>
      <c r="N12177" s="3" t="s">
        <v>37</v>
      </c>
      <c r="O12177" s="3" t="s">
        <v>618</v>
      </c>
      <c r="P12177" s="5">
        <v>4</v>
      </c>
      <c r="Q12177" s="5">
        <v>39</v>
      </c>
      <c r="R12177" s="5">
        <v>4</v>
      </c>
      <c r="S12177" s="5">
        <v>39</v>
      </c>
    </row>
    <row r="12178" spans="1:19" ht="28" x14ac:dyDescent="0.15">
      <c r="A12178" s="2">
        <f>HYPERLINK("https://open-school.uspishnemisto.com.ua/school/610300/", 610300)</f>
        <v>610300</v>
      </c>
      <c r="B12178" s="3" t="s">
        <v>61536</v>
      </c>
      <c r="C12178" s="3" t="s">
        <v>31</v>
      </c>
      <c r="D12178" s="3" t="s">
        <v>32</v>
      </c>
      <c r="E12178" s="4" t="s">
        <v>22</v>
      </c>
      <c r="F12178" s="4" t="s">
        <v>61537</v>
      </c>
      <c r="G12178" s="4" t="s">
        <v>61538</v>
      </c>
      <c r="H12178" s="3" t="s">
        <v>60159</v>
      </c>
      <c r="I12178" s="3" t="s">
        <v>61539</v>
      </c>
      <c r="J12178" s="3" t="s">
        <v>8465</v>
      </c>
      <c r="K12178" s="3" t="s">
        <v>61540</v>
      </c>
      <c r="L12178" s="3"/>
      <c r="M12178" s="4"/>
      <c r="N12178" s="3" t="s">
        <v>37</v>
      </c>
      <c r="O12178" s="3" t="s">
        <v>46</v>
      </c>
      <c r="P12178" s="5">
        <v>12</v>
      </c>
      <c r="Q12178" s="5">
        <v>244</v>
      </c>
      <c r="R12178" s="5">
        <v>12</v>
      </c>
      <c r="S12178" s="5">
        <v>242</v>
      </c>
    </row>
    <row r="12179" spans="1:19" ht="28" x14ac:dyDescent="0.15">
      <c r="A12179" s="2">
        <f>HYPERLINK("https://open-school.uspishnemisto.com.ua/school/610302/", 610302)</f>
        <v>610302</v>
      </c>
      <c r="B12179" s="3" t="s">
        <v>61541</v>
      </c>
      <c r="C12179" s="3" t="s">
        <v>31</v>
      </c>
      <c r="D12179" s="3" t="s">
        <v>175</v>
      </c>
      <c r="E12179" s="4" t="s">
        <v>22</v>
      </c>
      <c r="F12179" s="4" t="s">
        <v>61542</v>
      </c>
      <c r="G12179" s="4" t="s">
        <v>61543</v>
      </c>
      <c r="H12179" s="3" t="s">
        <v>60159</v>
      </c>
      <c r="I12179" s="3" t="s">
        <v>35353</v>
      </c>
      <c r="J12179" s="3" t="s">
        <v>3106</v>
      </c>
      <c r="K12179" s="3" t="s">
        <v>61544</v>
      </c>
      <c r="L12179" s="3"/>
      <c r="M12179" s="4"/>
      <c r="N12179" s="3" t="s">
        <v>37</v>
      </c>
      <c r="O12179" s="3" t="s">
        <v>46</v>
      </c>
      <c r="P12179" s="5">
        <v>9</v>
      </c>
      <c r="Q12179" s="5">
        <v>103</v>
      </c>
      <c r="R12179" s="5">
        <v>9</v>
      </c>
      <c r="S12179" s="5">
        <v>104</v>
      </c>
    </row>
    <row r="12180" spans="1:19" ht="28" x14ac:dyDescent="0.15">
      <c r="A12180" s="2">
        <f>HYPERLINK("https://open-school.uspishnemisto.com.ua/school/610303/", 610303)</f>
        <v>610303</v>
      </c>
      <c r="B12180" s="3" t="s">
        <v>61545</v>
      </c>
      <c r="C12180" s="3" t="s">
        <v>31</v>
      </c>
      <c r="D12180" s="3" t="s">
        <v>32</v>
      </c>
      <c r="E12180" s="4" t="s">
        <v>22</v>
      </c>
      <c r="F12180" s="4" t="s">
        <v>61510</v>
      </c>
      <c r="G12180" s="4" t="s">
        <v>61546</v>
      </c>
      <c r="H12180" s="3" t="s">
        <v>60159</v>
      </c>
      <c r="I12180" s="3" t="s">
        <v>61547</v>
      </c>
      <c r="J12180" s="3" t="s">
        <v>6191</v>
      </c>
      <c r="K12180" s="3" t="s">
        <v>61548</v>
      </c>
      <c r="L12180" s="3"/>
      <c r="M12180" s="4"/>
      <c r="N12180" s="3" t="s">
        <v>37</v>
      </c>
      <c r="O12180" s="3" t="s">
        <v>618</v>
      </c>
      <c r="P12180" s="5">
        <v>8</v>
      </c>
      <c r="Q12180" s="5">
        <v>81</v>
      </c>
      <c r="R12180" s="5">
        <v>9</v>
      </c>
      <c r="S12180" s="5">
        <v>83</v>
      </c>
    </row>
    <row r="12181" spans="1:19" ht="28" x14ac:dyDescent="0.15">
      <c r="A12181" s="2">
        <f>HYPERLINK("https://open-school.uspishnemisto.com.ua/school/610304/", 610304)</f>
        <v>610304</v>
      </c>
      <c r="B12181" s="3" t="s">
        <v>61549</v>
      </c>
      <c r="C12181" s="3" t="s">
        <v>31</v>
      </c>
      <c r="D12181" s="3" t="s">
        <v>60</v>
      </c>
      <c r="E12181" s="4" t="s">
        <v>22</v>
      </c>
      <c r="F12181" s="4" t="s">
        <v>61550</v>
      </c>
      <c r="G12181" s="4" t="s">
        <v>61551</v>
      </c>
      <c r="H12181" s="3" t="s">
        <v>60159</v>
      </c>
      <c r="I12181" s="3" t="s">
        <v>61552</v>
      </c>
      <c r="J12181" s="3" t="s">
        <v>27802</v>
      </c>
      <c r="K12181" s="3" t="s">
        <v>61553</v>
      </c>
      <c r="L12181" s="3"/>
      <c r="M12181" s="4"/>
      <c r="N12181" s="3" t="s">
        <v>37</v>
      </c>
      <c r="O12181" s="3" t="s">
        <v>618</v>
      </c>
      <c r="P12181" s="5">
        <v>0</v>
      </c>
      <c r="Q12181" s="5">
        <v>7</v>
      </c>
      <c r="R12181" s="5">
        <v>1</v>
      </c>
      <c r="S12181" s="5">
        <v>10</v>
      </c>
    </row>
    <row r="12182" spans="1:19" ht="28" x14ac:dyDescent="0.15">
      <c r="A12182" s="2">
        <f>HYPERLINK("https://open-school.uspishnemisto.com.ua/school/610305/", 610305)</f>
        <v>610305</v>
      </c>
      <c r="B12182" s="3" t="s">
        <v>61554</v>
      </c>
      <c r="C12182" s="3" t="s">
        <v>31</v>
      </c>
      <c r="D12182" s="3" t="s">
        <v>32</v>
      </c>
      <c r="E12182" s="4" t="s">
        <v>22</v>
      </c>
      <c r="F12182" s="4" t="s">
        <v>61555</v>
      </c>
      <c r="G12182" s="4" t="s">
        <v>61556</v>
      </c>
      <c r="H12182" s="3" t="s">
        <v>60159</v>
      </c>
      <c r="I12182" s="3" t="s">
        <v>31160</v>
      </c>
      <c r="J12182" s="3" t="s">
        <v>60521</v>
      </c>
      <c r="K12182" s="3" t="s">
        <v>61557</v>
      </c>
      <c r="L12182" s="3"/>
      <c r="M12182" s="4"/>
      <c r="N12182" s="3" t="s">
        <v>37</v>
      </c>
      <c r="O12182" s="3" t="s">
        <v>46</v>
      </c>
      <c r="P12182" s="5">
        <v>11</v>
      </c>
      <c r="Q12182" s="5">
        <v>153</v>
      </c>
      <c r="R12182" s="5">
        <v>10</v>
      </c>
      <c r="S12182" s="5">
        <v>143</v>
      </c>
    </row>
    <row r="12183" spans="1:19" ht="28" x14ac:dyDescent="0.15">
      <c r="A12183" s="2">
        <f>HYPERLINK("https://open-school.uspishnemisto.com.ua/school/610306/", 610306)</f>
        <v>610306</v>
      </c>
      <c r="B12183" s="3" t="s">
        <v>61558</v>
      </c>
      <c r="C12183" s="3" t="s">
        <v>31</v>
      </c>
      <c r="D12183" s="3" t="s">
        <v>32</v>
      </c>
      <c r="E12183" s="4" t="s">
        <v>22</v>
      </c>
      <c r="F12183" s="4" t="s">
        <v>61559</v>
      </c>
      <c r="G12183" s="4" t="s">
        <v>61560</v>
      </c>
      <c r="H12183" s="3" t="s">
        <v>60159</v>
      </c>
      <c r="I12183" s="3" t="s">
        <v>2491</v>
      </c>
      <c r="J12183" s="3" t="s">
        <v>946</v>
      </c>
      <c r="K12183" s="3" t="s">
        <v>61561</v>
      </c>
      <c r="L12183" s="3"/>
      <c r="M12183" s="4"/>
      <c r="N12183" s="3" t="s">
        <v>37</v>
      </c>
      <c r="O12183" s="3" t="s">
        <v>618</v>
      </c>
      <c r="P12183" s="5">
        <v>10</v>
      </c>
      <c r="Q12183" s="5">
        <v>86</v>
      </c>
      <c r="R12183" s="5">
        <v>10</v>
      </c>
      <c r="S12183" s="5">
        <v>86</v>
      </c>
    </row>
    <row r="12184" spans="1:19" ht="28" x14ac:dyDescent="0.15">
      <c r="A12184" s="2">
        <f>HYPERLINK("https://open-school.uspishnemisto.com.ua/school/610307/", 610307)</f>
        <v>610307</v>
      </c>
      <c r="B12184" s="3" t="s">
        <v>61562</v>
      </c>
      <c r="C12184" s="3" t="s">
        <v>31</v>
      </c>
      <c r="D12184" s="3" t="s">
        <v>32</v>
      </c>
      <c r="E12184" s="4" t="s">
        <v>22</v>
      </c>
      <c r="F12184" s="4" t="s">
        <v>61563</v>
      </c>
      <c r="G12184" s="4" t="s">
        <v>61564</v>
      </c>
      <c r="H12184" s="3" t="s">
        <v>60159</v>
      </c>
      <c r="I12184" s="3" t="s">
        <v>42197</v>
      </c>
      <c r="J12184" s="3" t="s">
        <v>23136</v>
      </c>
      <c r="K12184" s="3" t="s">
        <v>61565</v>
      </c>
      <c r="L12184" s="3"/>
      <c r="M12184" s="4"/>
      <c r="N12184" s="3" t="s">
        <v>37</v>
      </c>
      <c r="O12184" s="3" t="s">
        <v>46</v>
      </c>
      <c r="P12184" s="5">
        <v>11</v>
      </c>
      <c r="Q12184" s="5">
        <v>110</v>
      </c>
      <c r="R12184" s="5">
        <v>11</v>
      </c>
      <c r="S12184" s="5">
        <v>116</v>
      </c>
    </row>
    <row r="12185" spans="1:19" ht="28" x14ac:dyDescent="0.15">
      <c r="A12185" s="2">
        <f>HYPERLINK("https://open-school.uspishnemisto.com.ua/school/610308/", 610308)</f>
        <v>610308</v>
      </c>
      <c r="B12185" s="3" t="s">
        <v>61566</v>
      </c>
      <c r="C12185" s="3" t="s">
        <v>31</v>
      </c>
      <c r="D12185" s="3" t="s">
        <v>175</v>
      </c>
      <c r="E12185" s="4" t="s">
        <v>22</v>
      </c>
      <c r="F12185" s="4" t="s">
        <v>61567</v>
      </c>
      <c r="G12185" s="4" t="s">
        <v>61568</v>
      </c>
      <c r="H12185" s="3" t="s">
        <v>60159</v>
      </c>
      <c r="I12185" s="3" t="s">
        <v>12922</v>
      </c>
      <c r="J12185" s="3" t="s">
        <v>60521</v>
      </c>
      <c r="K12185" s="3" t="s">
        <v>61569</v>
      </c>
      <c r="L12185" s="3"/>
      <c r="M12185" s="4"/>
      <c r="N12185" s="3" t="s">
        <v>37</v>
      </c>
      <c r="O12185" s="3" t="s">
        <v>618</v>
      </c>
      <c r="P12185" s="5">
        <v>5</v>
      </c>
      <c r="Q12185" s="5">
        <v>36</v>
      </c>
      <c r="R12185" s="5">
        <v>5</v>
      </c>
      <c r="S12185" s="5">
        <v>33</v>
      </c>
    </row>
    <row r="12186" spans="1:19" ht="28" x14ac:dyDescent="0.15">
      <c r="A12186" s="2">
        <f>HYPERLINK("https://open-school.uspishnemisto.com.ua/school/610309/", 610309)</f>
        <v>610309</v>
      </c>
      <c r="B12186" s="3" t="s">
        <v>61570</v>
      </c>
      <c r="C12186" s="3" t="s">
        <v>31</v>
      </c>
      <c r="D12186" s="3" t="s">
        <v>32</v>
      </c>
      <c r="E12186" s="4" t="s">
        <v>22</v>
      </c>
      <c r="F12186" s="4" t="s">
        <v>61571</v>
      </c>
      <c r="G12186" s="4" t="s">
        <v>61572</v>
      </c>
      <c r="H12186" s="3" t="s">
        <v>60159</v>
      </c>
      <c r="I12186" s="3" t="s">
        <v>15713</v>
      </c>
      <c r="J12186" s="3" t="s">
        <v>61573</v>
      </c>
      <c r="K12186" s="3" t="s">
        <v>61574</v>
      </c>
      <c r="L12186" s="3"/>
      <c r="M12186" s="4"/>
      <c r="N12186" s="3" t="s">
        <v>37</v>
      </c>
      <c r="O12186" s="3" t="s">
        <v>46</v>
      </c>
      <c r="P12186" s="5">
        <v>10</v>
      </c>
      <c r="Q12186" s="5">
        <v>103</v>
      </c>
      <c r="R12186" s="5">
        <v>11</v>
      </c>
      <c r="S12186" s="5">
        <v>112</v>
      </c>
    </row>
    <row r="12187" spans="1:19" ht="28" x14ac:dyDescent="0.15">
      <c r="A12187" s="2">
        <f>HYPERLINK("https://open-school.uspishnemisto.com.ua/school/610310/", 610310)</f>
        <v>610310</v>
      </c>
      <c r="B12187" s="3" t="s">
        <v>61575</v>
      </c>
      <c r="C12187" s="3" t="s">
        <v>31</v>
      </c>
      <c r="D12187" s="3" t="s">
        <v>175</v>
      </c>
      <c r="E12187" s="4" t="s">
        <v>22</v>
      </c>
      <c r="F12187" s="4" t="s">
        <v>61576</v>
      </c>
      <c r="G12187" s="4" t="s">
        <v>61577</v>
      </c>
      <c r="H12187" s="3" t="s">
        <v>60159</v>
      </c>
      <c r="I12187" s="3" t="s">
        <v>61578</v>
      </c>
      <c r="J12187" s="3"/>
      <c r="K12187" s="3" t="s">
        <v>61579</v>
      </c>
      <c r="L12187" s="3"/>
      <c r="M12187" s="4"/>
      <c r="N12187" s="3" t="s">
        <v>37</v>
      </c>
      <c r="O12187" s="3" t="s">
        <v>618</v>
      </c>
      <c r="P12187" s="5">
        <v>7</v>
      </c>
      <c r="Q12187" s="5">
        <v>56</v>
      </c>
      <c r="R12187" s="5">
        <v>8</v>
      </c>
      <c r="S12187" s="5">
        <v>63</v>
      </c>
    </row>
    <row r="12188" spans="1:19" ht="28" x14ac:dyDescent="0.15">
      <c r="A12188" s="2">
        <f>HYPERLINK("https://open-school.uspishnemisto.com.ua/school/610311/", 610311)</f>
        <v>610311</v>
      </c>
      <c r="B12188" s="3" t="s">
        <v>61580</v>
      </c>
      <c r="C12188" s="3" t="s">
        <v>31</v>
      </c>
      <c r="D12188" s="3" t="s">
        <v>175</v>
      </c>
      <c r="E12188" s="4" t="s">
        <v>22</v>
      </c>
      <c r="F12188" s="4" t="s">
        <v>61581</v>
      </c>
      <c r="G12188" s="4" t="s">
        <v>61582</v>
      </c>
      <c r="H12188" s="3" t="s">
        <v>60159</v>
      </c>
      <c r="I12188" s="3" t="s">
        <v>61583</v>
      </c>
      <c r="J12188" s="3" t="s">
        <v>2384</v>
      </c>
      <c r="K12188" s="3" t="s">
        <v>61584</v>
      </c>
      <c r="L12188" s="3"/>
      <c r="M12188" s="4"/>
      <c r="N12188" s="3" t="s">
        <v>37</v>
      </c>
      <c r="O12188" s="3" t="s">
        <v>46</v>
      </c>
      <c r="P12188" s="5">
        <v>7</v>
      </c>
      <c r="Q12188" s="5">
        <v>48</v>
      </c>
      <c r="R12188" s="5">
        <v>7</v>
      </c>
      <c r="S12188" s="5">
        <v>46</v>
      </c>
    </row>
    <row r="12189" spans="1:19" ht="28" x14ac:dyDescent="0.15">
      <c r="A12189" s="2">
        <f>HYPERLINK("https://open-school.uspishnemisto.com.ua/school/610312/", 610312)</f>
        <v>610312</v>
      </c>
      <c r="B12189" s="3" t="s">
        <v>61585</v>
      </c>
      <c r="C12189" s="3" t="s">
        <v>31</v>
      </c>
      <c r="D12189" s="3" t="s">
        <v>175</v>
      </c>
      <c r="E12189" s="4" t="s">
        <v>22</v>
      </c>
      <c r="F12189" s="4" t="s">
        <v>61586</v>
      </c>
      <c r="G12189" s="4" t="s">
        <v>61587</v>
      </c>
      <c r="H12189" s="3" t="s">
        <v>60159</v>
      </c>
      <c r="I12189" s="3" t="s">
        <v>61588</v>
      </c>
      <c r="J12189" s="3"/>
      <c r="K12189" s="3"/>
      <c r="L12189" s="3" t="s">
        <v>61589</v>
      </c>
      <c r="M12189" s="4"/>
      <c r="N12189" s="3" t="s">
        <v>37</v>
      </c>
      <c r="O12189" s="3" t="s">
        <v>618</v>
      </c>
      <c r="P12189" s="5">
        <v>4</v>
      </c>
      <c r="Q12189" s="5">
        <v>38</v>
      </c>
      <c r="R12189" s="5">
        <v>5</v>
      </c>
      <c r="S12189" s="5">
        <v>45</v>
      </c>
    </row>
    <row r="12190" spans="1:19" ht="28" x14ac:dyDescent="0.15">
      <c r="A12190" s="2">
        <f>HYPERLINK("https://open-school.uspishnemisto.com.ua/school/610313/", 610313)</f>
        <v>610313</v>
      </c>
      <c r="B12190" s="3" t="s">
        <v>61590</v>
      </c>
      <c r="C12190" s="3" t="s">
        <v>31</v>
      </c>
      <c r="D12190" s="3" t="s">
        <v>175</v>
      </c>
      <c r="E12190" s="4" t="s">
        <v>22</v>
      </c>
      <c r="F12190" s="4" t="s">
        <v>61591</v>
      </c>
      <c r="G12190" s="4" t="s">
        <v>61592</v>
      </c>
      <c r="H12190" s="3" t="s">
        <v>60159</v>
      </c>
      <c r="I12190" s="3" t="s">
        <v>61593</v>
      </c>
      <c r="J12190" s="3" t="s">
        <v>17237</v>
      </c>
      <c r="K12190" s="3" t="s">
        <v>61594</v>
      </c>
      <c r="L12190" s="3"/>
      <c r="M12190" s="4"/>
      <c r="N12190" s="3" t="s">
        <v>37</v>
      </c>
      <c r="O12190" s="3" t="s">
        <v>46</v>
      </c>
      <c r="P12190" s="5">
        <v>9</v>
      </c>
      <c r="Q12190" s="5">
        <v>95</v>
      </c>
      <c r="R12190" s="5">
        <v>9</v>
      </c>
      <c r="S12190" s="5">
        <v>95</v>
      </c>
    </row>
    <row r="12191" spans="1:19" ht="28" x14ac:dyDescent="0.15">
      <c r="A12191" s="2">
        <f>HYPERLINK("https://open-school.uspishnemisto.com.ua/school/610314/", 610314)</f>
        <v>610314</v>
      </c>
      <c r="B12191" s="3" t="s">
        <v>61595</v>
      </c>
      <c r="C12191" s="3" t="s">
        <v>31</v>
      </c>
      <c r="D12191" s="3" t="s">
        <v>60</v>
      </c>
      <c r="E12191" s="4" t="s">
        <v>22</v>
      </c>
      <c r="F12191" s="4" t="s">
        <v>61596</v>
      </c>
      <c r="G12191" s="4" t="s">
        <v>61597</v>
      </c>
      <c r="H12191" s="3" t="s">
        <v>60159</v>
      </c>
      <c r="I12191" s="3" t="s">
        <v>61598</v>
      </c>
      <c r="J12191" s="3" t="s">
        <v>2793</v>
      </c>
      <c r="K12191" s="3" t="s">
        <v>61599</v>
      </c>
      <c r="L12191" s="3"/>
      <c r="M12191" s="4"/>
      <c r="N12191" s="3" t="s">
        <v>37</v>
      </c>
      <c r="O12191" s="3" t="s">
        <v>618</v>
      </c>
      <c r="P12191" s="5">
        <v>2</v>
      </c>
      <c r="Q12191" s="5">
        <v>19</v>
      </c>
      <c r="R12191" s="5">
        <v>2</v>
      </c>
      <c r="S12191" s="5">
        <v>16</v>
      </c>
    </row>
    <row r="12192" spans="1:19" ht="28" x14ac:dyDescent="0.15">
      <c r="A12192" s="2">
        <f>HYPERLINK("https://open-school.uspishnemisto.com.ua/school/610315/", 610315)</f>
        <v>610315</v>
      </c>
      <c r="B12192" s="3" t="s">
        <v>61600</v>
      </c>
      <c r="C12192" s="3" t="s">
        <v>31</v>
      </c>
      <c r="D12192" s="3" t="s">
        <v>32</v>
      </c>
      <c r="E12192" s="4" t="s">
        <v>22</v>
      </c>
      <c r="F12192" s="4" t="s">
        <v>61601</v>
      </c>
      <c r="G12192" s="4" t="s">
        <v>61602</v>
      </c>
      <c r="H12192" s="3" t="s">
        <v>60159</v>
      </c>
      <c r="I12192" s="3" t="s">
        <v>61603</v>
      </c>
      <c r="J12192" s="3" t="s">
        <v>61604</v>
      </c>
      <c r="K12192" s="3" t="s">
        <v>61605</v>
      </c>
      <c r="L12192" s="3"/>
      <c r="M12192" s="4"/>
      <c r="N12192" s="3" t="s">
        <v>37</v>
      </c>
      <c r="O12192" s="3" t="s">
        <v>123</v>
      </c>
      <c r="P12192" s="5">
        <v>29</v>
      </c>
      <c r="Q12192" s="5">
        <v>680</v>
      </c>
      <c r="R12192" s="5">
        <v>28</v>
      </c>
      <c r="S12192" s="5">
        <v>664</v>
      </c>
    </row>
    <row r="12193" spans="1:19" ht="42" x14ac:dyDescent="0.15">
      <c r="A12193" s="2">
        <f>HYPERLINK("https://open-school.uspishnemisto.com.ua/school/610316/", 610316)</f>
        <v>610316</v>
      </c>
      <c r="B12193" s="3" t="s">
        <v>61606</v>
      </c>
      <c r="C12193" s="3" t="s">
        <v>31</v>
      </c>
      <c r="D12193" s="3" t="s">
        <v>32</v>
      </c>
      <c r="E12193" s="4" t="s">
        <v>22</v>
      </c>
      <c r="F12193" s="4" t="s">
        <v>61607</v>
      </c>
      <c r="G12193" s="4" t="s">
        <v>61602</v>
      </c>
      <c r="H12193" s="3" t="s">
        <v>60159</v>
      </c>
      <c r="I12193" s="3" t="s">
        <v>61603</v>
      </c>
      <c r="J12193" s="3" t="s">
        <v>57264</v>
      </c>
      <c r="K12193" s="3" t="s">
        <v>61608</v>
      </c>
      <c r="L12193" s="3"/>
      <c r="M12193" s="4"/>
      <c r="N12193" s="3" t="s">
        <v>37</v>
      </c>
      <c r="O12193" s="3" t="s">
        <v>46</v>
      </c>
      <c r="P12193" s="5">
        <v>25</v>
      </c>
      <c r="Q12193" s="5">
        <v>554</v>
      </c>
      <c r="R12193" s="5">
        <v>24</v>
      </c>
      <c r="S12193" s="5">
        <v>522</v>
      </c>
    </row>
    <row r="12194" spans="1:19" ht="42" x14ac:dyDescent="0.15">
      <c r="A12194" s="2">
        <f>HYPERLINK("https://open-school.uspishnemisto.com.ua/school/610317/", 610317)</f>
        <v>610317</v>
      </c>
      <c r="B12194" s="3" t="s">
        <v>61609</v>
      </c>
      <c r="C12194" s="3" t="s">
        <v>31</v>
      </c>
      <c r="D12194" s="3" t="s">
        <v>32</v>
      </c>
      <c r="E12194" s="4" t="s">
        <v>22</v>
      </c>
      <c r="F12194" s="4" t="s">
        <v>61610</v>
      </c>
      <c r="G12194" s="4" t="s">
        <v>61602</v>
      </c>
      <c r="H12194" s="3" t="s">
        <v>60159</v>
      </c>
      <c r="I12194" s="3" t="s">
        <v>61603</v>
      </c>
      <c r="J12194" s="3" t="s">
        <v>61611</v>
      </c>
      <c r="K12194" s="3" t="s">
        <v>61612</v>
      </c>
      <c r="L12194" s="3" t="s">
        <v>61613</v>
      </c>
      <c r="M12194" s="4"/>
      <c r="N12194" s="3" t="s">
        <v>37</v>
      </c>
      <c r="O12194" s="3" t="s">
        <v>46</v>
      </c>
      <c r="P12194" s="5">
        <v>11</v>
      </c>
      <c r="Q12194" s="5">
        <v>212</v>
      </c>
      <c r="R12194" s="5">
        <v>11</v>
      </c>
      <c r="S12194" s="5">
        <v>223</v>
      </c>
    </row>
    <row r="12195" spans="1:19" ht="28" x14ac:dyDescent="0.15">
      <c r="A12195" s="2">
        <f>HYPERLINK("https://open-school.uspishnemisto.com.ua/school/610318/", 610318)</f>
        <v>610318</v>
      </c>
      <c r="B12195" s="3" t="s">
        <v>61614</v>
      </c>
      <c r="C12195" s="3" t="s">
        <v>2634</v>
      </c>
      <c r="D12195" s="3" t="s">
        <v>32</v>
      </c>
      <c r="E12195" s="4" t="s">
        <v>22</v>
      </c>
      <c r="F12195" s="4" t="s">
        <v>61607</v>
      </c>
      <c r="G12195" s="4" t="s">
        <v>61602</v>
      </c>
      <c r="H12195" s="3" t="s">
        <v>60159</v>
      </c>
      <c r="I12195" s="3" t="s">
        <v>61603</v>
      </c>
      <c r="J12195" s="3" t="s">
        <v>61615</v>
      </c>
      <c r="K12195" s="3" t="s">
        <v>61616</v>
      </c>
      <c r="L12195" s="3" t="s">
        <v>61617</v>
      </c>
      <c r="M12195" s="4" t="s">
        <v>61618</v>
      </c>
      <c r="N12195" s="3" t="s">
        <v>37</v>
      </c>
      <c r="O12195" s="3" t="s">
        <v>46</v>
      </c>
      <c r="P12195" s="5">
        <v>13</v>
      </c>
      <c r="Q12195" s="5">
        <v>183</v>
      </c>
      <c r="R12195" s="5">
        <v>13</v>
      </c>
      <c r="S12195" s="5">
        <v>183</v>
      </c>
    </row>
    <row r="12196" spans="1:19" ht="28" x14ac:dyDescent="0.15">
      <c r="A12196" s="2">
        <f>HYPERLINK("https://open-school.uspishnemisto.com.ua/school/610319/", 610319)</f>
        <v>610319</v>
      </c>
      <c r="B12196" s="3" t="s">
        <v>61619</v>
      </c>
      <c r="C12196" s="3" t="s">
        <v>31</v>
      </c>
      <c r="D12196" s="3" t="s">
        <v>32</v>
      </c>
      <c r="E12196" s="4" t="s">
        <v>22</v>
      </c>
      <c r="F12196" s="4" t="s">
        <v>61620</v>
      </c>
      <c r="G12196" s="4" t="s">
        <v>61621</v>
      </c>
      <c r="H12196" s="3" t="s">
        <v>60159</v>
      </c>
      <c r="I12196" s="3" t="s">
        <v>61622</v>
      </c>
      <c r="J12196" s="3" t="s">
        <v>16593</v>
      </c>
      <c r="K12196" s="3" t="s">
        <v>61623</v>
      </c>
      <c r="L12196" s="3"/>
      <c r="M12196" s="4"/>
      <c r="N12196" s="3" t="s">
        <v>37</v>
      </c>
      <c r="O12196" s="3" t="s">
        <v>46</v>
      </c>
      <c r="P12196" s="5">
        <v>20</v>
      </c>
      <c r="Q12196" s="5">
        <v>368</v>
      </c>
      <c r="R12196" s="5">
        <v>20</v>
      </c>
      <c r="S12196" s="5">
        <v>375</v>
      </c>
    </row>
    <row r="12197" spans="1:19" ht="28" x14ac:dyDescent="0.15">
      <c r="A12197" s="2">
        <f>HYPERLINK("https://open-school.uspishnemisto.com.ua/school/610320/", 610320)</f>
        <v>610320</v>
      </c>
      <c r="B12197" s="3" t="s">
        <v>61624</v>
      </c>
      <c r="C12197" s="3" t="s">
        <v>31</v>
      </c>
      <c r="D12197" s="3" t="s">
        <v>32</v>
      </c>
      <c r="E12197" s="4" t="s">
        <v>22</v>
      </c>
      <c r="F12197" s="4" t="s">
        <v>61620</v>
      </c>
      <c r="G12197" s="4" t="s">
        <v>61625</v>
      </c>
      <c r="H12197" s="3" t="s">
        <v>60159</v>
      </c>
      <c r="I12197" s="3" t="s">
        <v>61626</v>
      </c>
      <c r="J12197" s="3" t="s">
        <v>566</v>
      </c>
      <c r="K12197" s="3" t="s">
        <v>61627</v>
      </c>
      <c r="L12197" s="3"/>
      <c r="M12197" s="4"/>
      <c r="N12197" s="3" t="s">
        <v>37</v>
      </c>
      <c r="O12197" s="3" t="s">
        <v>46</v>
      </c>
      <c r="P12197" s="5">
        <v>11</v>
      </c>
      <c r="Q12197" s="5">
        <v>131</v>
      </c>
      <c r="R12197" s="5">
        <v>11</v>
      </c>
      <c r="S12197" s="5">
        <v>125</v>
      </c>
    </row>
    <row r="12198" spans="1:19" ht="28" x14ac:dyDescent="0.15">
      <c r="A12198" s="2">
        <f>HYPERLINK("https://open-school.uspishnemisto.com.ua/school/610321/", 610321)</f>
        <v>610321</v>
      </c>
      <c r="B12198" s="3" t="s">
        <v>61628</v>
      </c>
      <c r="C12198" s="3" t="s">
        <v>31</v>
      </c>
      <c r="D12198" s="3" t="s">
        <v>32</v>
      </c>
      <c r="E12198" s="4" t="s">
        <v>22</v>
      </c>
      <c r="F12198" s="4" t="s">
        <v>61620</v>
      </c>
      <c r="G12198" s="4" t="s">
        <v>61629</v>
      </c>
      <c r="H12198" s="3" t="s">
        <v>60159</v>
      </c>
      <c r="I12198" s="3" t="s">
        <v>61630</v>
      </c>
      <c r="J12198" s="3" t="s">
        <v>726</v>
      </c>
      <c r="K12198" s="3" t="s">
        <v>61631</v>
      </c>
      <c r="L12198" s="3"/>
      <c r="M12198" s="4"/>
      <c r="N12198" s="3" t="s">
        <v>37</v>
      </c>
      <c r="O12198" s="3" t="s">
        <v>46</v>
      </c>
      <c r="P12198" s="5">
        <v>10</v>
      </c>
      <c r="Q12198" s="5">
        <v>144</v>
      </c>
      <c r="R12198" s="5">
        <v>10</v>
      </c>
      <c r="S12198" s="5">
        <v>150</v>
      </c>
    </row>
    <row r="12199" spans="1:19" ht="28" x14ac:dyDescent="0.15">
      <c r="A12199" s="2">
        <f>HYPERLINK("https://open-school.uspishnemisto.com.ua/school/610322/", 610322)</f>
        <v>610322</v>
      </c>
      <c r="B12199" s="3" t="s">
        <v>61632</v>
      </c>
      <c r="C12199" s="3" t="s">
        <v>31</v>
      </c>
      <c r="D12199" s="3" t="s">
        <v>175</v>
      </c>
      <c r="E12199" s="4" t="s">
        <v>22</v>
      </c>
      <c r="F12199" s="4" t="s">
        <v>61633</v>
      </c>
      <c r="G12199" s="4" t="s">
        <v>61634</v>
      </c>
      <c r="H12199" s="3" t="s">
        <v>60159</v>
      </c>
      <c r="I12199" s="3" t="s">
        <v>61635</v>
      </c>
      <c r="J12199" s="3" t="s">
        <v>1946</v>
      </c>
      <c r="K12199" s="3" t="s">
        <v>61636</v>
      </c>
      <c r="L12199" s="3"/>
      <c r="M12199" s="4"/>
      <c r="N12199" s="3" t="s">
        <v>37</v>
      </c>
      <c r="O12199" s="3" t="s">
        <v>52</v>
      </c>
      <c r="P12199" s="5">
        <v>9</v>
      </c>
      <c r="Q12199" s="5">
        <v>84</v>
      </c>
      <c r="R12199" s="5">
        <v>9</v>
      </c>
      <c r="S12199" s="5">
        <v>80</v>
      </c>
    </row>
    <row r="12200" spans="1:19" ht="42" x14ac:dyDescent="0.15">
      <c r="A12200" s="2">
        <f>HYPERLINK("https://open-school.uspishnemisto.com.ua/school/610323/", 610323)</f>
        <v>610323</v>
      </c>
      <c r="B12200" s="3" t="s">
        <v>61637</v>
      </c>
      <c r="C12200" s="3" t="s">
        <v>31</v>
      </c>
      <c r="D12200" s="3" t="s">
        <v>60</v>
      </c>
      <c r="E12200" s="4" t="s">
        <v>22</v>
      </c>
      <c r="F12200" s="4" t="s">
        <v>61633</v>
      </c>
      <c r="G12200" s="4" t="s">
        <v>61638</v>
      </c>
      <c r="H12200" s="3" t="s">
        <v>60159</v>
      </c>
      <c r="I12200" s="3" t="s">
        <v>61639</v>
      </c>
      <c r="J12200" s="3"/>
      <c r="K12200" s="3" t="s">
        <v>61640</v>
      </c>
      <c r="L12200" s="3"/>
      <c r="M12200" s="4"/>
      <c r="N12200" s="3" t="s">
        <v>37</v>
      </c>
      <c r="O12200" s="3" t="s">
        <v>52</v>
      </c>
      <c r="P12200" s="5">
        <v>1</v>
      </c>
      <c r="Q12200" s="5">
        <v>13</v>
      </c>
      <c r="R12200" s="5">
        <v>1</v>
      </c>
      <c r="S12200" s="5">
        <v>12</v>
      </c>
    </row>
    <row r="12201" spans="1:19" ht="42" x14ac:dyDescent="0.15">
      <c r="A12201" s="2">
        <f>HYPERLINK("https://open-school.uspishnemisto.com.ua/school/610324/", 610324)</f>
        <v>610324</v>
      </c>
      <c r="B12201" s="3" t="s">
        <v>61641</v>
      </c>
      <c r="C12201" s="3" t="s">
        <v>31</v>
      </c>
      <c r="D12201" s="3" t="s">
        <v>32</v>
      </c>
      <c r="E12201" s="4" t="s">
        <v>22</v>
      </c>
      <c r="F12201" s="4" t="s">
        <v>61642</v>
      </c>
      <c r="G12201" s="4" t="s">
        <v>61643</v>
      </c>
      <c r="H12201" s="3" t="s">
        <v>60159</v>
      </c>
      <c r="I12201" s="3" t="s">
        <v>61644</v>
      </c>
      <c r="J12201" s="3" t="s">
        <v>61645</v>
      </c>
      <c r="K12201" s="3" t="s">
        <v>61646</v>
      </c>
      <c r="L12201" s="3" t="s">
        <v>61647</v>
      </c>
      <c r="M12201" s="4"/>
      <c r="N12201" s="3" t="s">
        <v>37</v>
      </c>
      <c r="O12201" s="3" t="s">
        <v>46</v>
      </c>
      <c r="P12201" s="5">
        <v>11</v>
      </c>
      <c r="Q12201" s="5">
        <v>161</v>
      </c>
      <c r="R12201" s="5">
        <v>11</v>
      </c>
      <c r="S12201" s="5">
        <v>171</v>
      </c>
    </row>
    <row r="12202" spans="1:19" ht="42" x14ac:dyDescent="0.15">
      <c r="A12202" s="2">
        <f>HYPERLINK("https://open-school.uspishnemisto.com.ua/school/610325/", 610325)</f>
        <v>610325</v>
      </c>
      <c r="B12202" s="3" t="s">
        <v>61648</v>
      </c>
      <c r="C12202" s="3" t="s">
        <v>31</v>
      </c>
      <c r="D12202" s="3" t="s">
        <v>175</v>
      </c>
      <c r="E12202" s="4" t="s">
        <v>22</v>
      </c>
      <c r="F12202" s="4" t="s">
        <v>61642</v>
      </c>
      <c r="G12202" s="4" t="s">
        <v>61649</v>
      </c>
      <c r="H12202" s="3" t="s">
        <v>60159</v>
      </c>
      <c r="I12202" s="3" t="s">
        <v>61650</v>
      </c>
      <c r="J12202" s="3"/>
      <c r="K12202" s="3" t="s">
        <v>61651</v>
      </c>
      <c r="L12202" s="3"/>
      <c r="M12202" s="4"/>
      <c r="N12202" s="3" t="s">
        <v>37</v>
      </c>
      <c r="O12202" s="3" t="s">
        <v>46</v>
      </c>
      <c r="P12202" s="5">
        <v>8</v>
      </c>
      <c r="Q12202" s="5">
        <v>50</v>
      </c>
      <c r="R12202" s="5">
        <v>8</v>
      </c>
      <c r="S12202" s="5">
        <v>50</v>
      </c>
    </row>
    <row r="12203" spans="1:19" ht="42" x14ac:dyDescent="0.15">
      <c r="A12203" s="2">
        <f>HYPERLINK("https://open-school.uspishnemisto.com.ua/school/610326/", 610326)</f>
        <v>610326</v>
      </c>
      <c r="B12203" s="3" t="s">
        <v>61652</v>
      </c>
      <c r="C12203" s="3" t="s">
        <v>31</v>
      </c>
      <c r="D12203" s="3" t="s">
        <v>60</v>
      </c>
      <c r="E12203" s="4" t="s">
        <v>22</v>
      </c>
      <c r="F12203" s="4" t="s">
        <v>61642</v>
      </c>
      <c r="G12203" s="4" t="s">
        <v>61653</v>
      </c>
      <c r="H12203" s="3" t="s">
        <v>60159</v>
      </c>
      <c r="I12203" s="3" t="s">
        <v>61654</v>
      </c>
      <c r="J12203" s="3" t="s">
        <v>1668</v>
      </c>
      <c r="K12203" s="3"/>
      <c r="L12203" s="3"/>
      <c r="M12203" s="4"/>
      <c r="N12203" s="3" t="s">
        <v>37</v>
      </c>
      <c r="O12203" s="3" t="s">
        <v>618</v>
      </c>
      <c r="P12203" s="5">
        <v>3</v>
      </c>
      <c r="Q12203" s="5">
        <v>27</v>
      </c>
      <c r="R12203" s="5">
        <v>2</v>
      </c>
      <c r="S12203" s="5">
        <v>26</v>
      </c>
    </row>
    <row r="12204" spans="1:19" ht="42" x14ac:dyDescent="0.15">
      <c r="A12204" s="2">
        <f>HYPERLINK("https://open-school.uspishnemisto.com.ua/school/610327/", 610327)</f>
        <v>610327</v>
      </c>
      <c r="B12204" s="3" t="s">
        <v>61655</v>
      </c>
      <c r="C12204" s="3" t="s">
        <v>31</v>
      </c>
      <c r="D12204" s="3" t="s">
        <v>175</v>
      </c>
      <c r="E12204" s="4" t="s">
        <v>22</v>
      </c>
      <c r="F12204" s="4" t="s">
        <v>61656</v>
      </c>
      <c r="G12204" s="4" t="s">
        <v>61657</v>
      </c>
      <c r="H12204" s="3" t="s">
        <v>60159</v>
      </c>
      <c r="I12204" s="3" t="s">
        <v>61658</v>
      </c>
      <c r="J12204" s="3" t="s">
        <v>61659</v>
      </c>
      <c r="K12204" s="3" t="s">
        <v>61660</v>
      </c>
      <c r="L12204" s="3" t="s">
        <v>61661</v>
      </c>
      <c r="M12204" s="4"/>
      <c r="N12204" s="3" t="s">
        <v>37</v>
      </c>
      <c r="O12204" s="3" t="s">
        <v>52</v>
      </c>
      <c r="P12204" s="5">
        <v>9</v>
      </c>
      <c r="Q12204" s="5">
        <v>94</v>
      </c>
      <c r="R12204" s="5">
        <v>9</v>
      </c>
      <c r="S12204" s="5">
        <v>94</v>
      </c>
    </row>
    <row r="12205" spans="1:19" ht="56" x14ac:dyDescent="0.15">
      <c r="A12205" s="2">
        <f>HYPERLINK("https://open-school.uspishnemisto.com.ua/school/610328/", 610328)</f>
        <v>610328</v>
      </c>
      <c r="B12205" s="3" t="s">
        <v>61662</v>
      </c>
      <c r="C12205" s="3" t="s">
        <v>54</v>
      </c>
      <c r="D12205" s="3" t="s">
        <v>32</v>
      </c>
      <c r="E12205" s="4" t="s">
        <v>22</v>
      </c>
      <c r="F12205" s="4" t="s">
        <v>61663</v>
      </c>
      <c r="G12205" s="4" t="s">
        <v>61664</v>
      </c>
      <c r="H12205" s="3" t="s">
        <v>60159</v>
      </c>
      <c r="I12205" s="3" t="s">
        <v>61665</v>
      </c>
      <c r="J12205" s="3" t="s">
        <v>58791</v>
      </c>
      <c r="K12205" s="3"/>
      <c r="L12205" s="3" t="s">
        <v>61666</v>
      </c>
      <c r="M12205" s="4"/>
      <c r="N12205" s="3" t="s">
        <v>37</v>
      </c>
      <c r="O12205" s="3" t="s">
        <v>52</v>
      </c>
      <c r="P12205" s="5">
        <v>11</v>
      </c>
      <c r="Q12205" s="5">
        <v>151</v>
      </c>
      <c r="R12205" s="5">
        <v>11</v>
      </c>
      <c r="S12205" s="5">
        <v>153</v>
      </c>
    </row>
    <row r="12206" spans="1:19" ht="42" x14ac:dyDescent="0.15">
      <c r="A12206" s="2">
        <f>HYPERLINK("https://open-school.uspishnemisto.com.ua/school/610329/", 610329)</f>
        <v>610329</v>
      </c>
      <c r="B12206" s="3" t="s">
        <v>61667</v>
      </c>
      <c r="C12206" s="3" t="s">
        <v>31</v>
      </c>
      <c r="D12206" s="3" t="s">
        <v>175</v>
      </c>
      <c r="E12206" s="4" t="s">
        <v>22</v>
      </c>
      <c r="F12206" s="4" t="s">
        <v>61668</v>
      </c>
      <c r="G12206" s="4" t="s">
        <v>61669</v>
      </c>
      <c r="H12206" s="3" t="s">
        <v>60159</v>
      </c>
      <c r="I12206" s="3" t="s">
        <v>61670</v>
      </c>
      <c r="J12206" s="3" t="s">
        <v>8232</v>
      </c>
      <c r="K12206" s="3" t="s">
        <v>61671</v>
      </c>
      <c r="L12206" s="3"/>
      <c r="M12206" s="4"/>
      <c r="N12206" s="3" t="s">
        <v>37</v>
      </c>
      <c r="O12206" s="3" t="s">
        <v>46</v>
      </c>
      <c r="P12206" s="5">
        <v>9</v>
      </c>
      <c r="Q12206" s="5">
        <v>82</v>
      </c>
      <c r="R12206" s="5">
        <v>9</v>
      </c>
      <c r="S12206" s="5">
        <v>85</v>
      </c>
    </row>
    <row r="12207" spans="1:19" ht="42" x14ac:dyDescent="0.15">
      <c r="A12207" s="2">
        <f>HYPERLINK("https://open-school.uspishnemisto.com.ua/school/610330/", 610330)</f>
        <v>610330</v>
      </c>
      <c r="B12207" s="3" t="s">
        <v>61672</v>
      </c>
      <c r="C12207" s="3" t="s">
        <v>31</v>
      </c>
      <c r="D12207" s="3" t="s">
        <v>32</v>
      </c>
      <c r="E12207" s="4" t="s">
        <v>22</v>
      </c>
      <c r="F12207" s="4" t="s">
        <v>61673</v>
      </c>
      <c r="G12207" s="4" t="s">
        <v>61674</v>
      </c>
      <c r="H12207" s="3" t="s">
        <v>60159</v>
      </c>
      <c r="I12207" s="3" t="s">
        <v>61675</v>
      </c>
      <c r="J12207" s="3" t="s">
        <v>3393</v>
      </c>
      <c r="K12207" s="3" t="s">
        <v>61676</v>
      </c>
      <c r="L12207" s="3"/>
      <c r="M12207" s="4"/>
      <c r="N12207" s="3" t="s">
        <v>37</v>
      </c>
      <c r="O12207" s="3" t="s">
        <v>123</v>
      </c>
      <c r="P12207" s="5">
        <v>13</v>
      </c>
      <c r="Q12207" s="5">
        <v>206</v>
      </c>
      <c r="R12207" s="5">
        <v>12</v>
      </c>
      <c r="S12207" s="5">
        <v>193</v>
      </c>
    </row>
    <row r="12208" spans="1:19" ht="28" x14ac:dyDescent="0.15">
      <c r="A12208" s="2">
        <f>HYPERLINK("https://open-school.uspishnemisto.com.ua/school/610331/", 610331)</f>
        <v>610331</v>
      </c>
      <c r="B12208" s="3" t="s">
        <v>61677</v>
      </c>
      <c r="C12208" s="3" t="s">
        <v>188</v>
      </c>
      <c r="D12208" s="3" t="s">
        <v>21</v>
      </c>
      <c r="E12208" s="4" t="s">
        <v>22</v>
      </c>
      <c r="F12208" s="4" t="s">
        <v>61673</v>
      </c>
      <c r="G12208" s="4" t="s">
        <v>61674</v>
      </c>
      <c r="H12208" s="3" t="s">
        <v>60159</v>
      </c>
      <c r="I12208" s="3" t="s">
        <v>61675</v>
      </c>
      <c r="J12208" s="3" t="s">
        <v>634</v>
      </c>
      <c r="K12208" s="3"/>
      <c r="L12208" s="3"/>
      <c r="M12208" s="4"/>
      <c r="N12208" s="3" t="s">
        <v>37</v>
      </c>
      <c r="O12208" s="3" t="s">
        <v>52</v>
      </c>
      <c r="P12208" s="5">
        <v>4</v>
      </c>
      <c r="Q12208" s="5">
        <v>30</v>
      </c>
      <c r="R12208" s="5">
        <v>4</v>
      </c>
      <c r="S12208" s="5">
        <v>37</v>
      </c>
    </row>
    <row r="12209" spans="1:19" ht="42" x14ac:dyDescent="0.15">
      <c r="A12209" s="2">
        <f>HYPERLINK("https://open-school.uspishnemisto.com.ua/school/610332/", 610332)</f>
        <v>610332</v>
      </c>
      <c r="B12209" s="3" t="s">
        <v>61678</v>
      </c>
      <c r="C12209" s="3" t="s">
        <v>31</v>
      </c>
      <c r="D12209" s="3" t="s">
        <v>175</v>
      </c>
      <c r="E12209" s="4" t="s">
        <v>22</v>
      </c>
      <c r="F12209" s="4" t="s">
        <v>61679</v>
      </c>
      <c r="G12209" s="4" t="s">
        <v>61680</v>
      </c>
      <c r="H12209" s="3" t="s">
        <v>60159</v>
      </c>
      <c r="I12209" s="3" t="s">
        <v>61681</v>
      </c>
      <c r="J12209" s="3" t="s">
        <v>17458</v>
      </c>
      <c r="K12209" s="3" t="s">
        <v>61682</v>
      </c>
      <c r="L12209" s="3"/>
      <c r="M12209" s="4"/>
      <c r="N12209" s="3" t="s">
        <v>37</v>
      </c>
      <c r="O12209" s="3" t="s">
        <v>52</v>
      </c>
      <c r="P12209" s="5">
        <v>5</v>
      </c>
      <c r="Q12209" s="5">
        <v>40</v>
      </c>
      <c r="R12209" s="5">
        <v>4</v>
      </c>
      <c r="S12209" s="5">
        <v>37</v>
      </c>
    </row>
    <row r="12210" spans="1:19" ht="42" x14ac:dyDescent="0.15">
      <c r="A12210" s="2">
        <f>HYPERLINK("https://open-school.uspishnemisto.com.ua/school/610333/", 610333)</f>
        <v>610333</v>
      </c>
      <c r="B12210" s="3" t="s">
        <v>61683</v>
      </c>
      <c r="C12210" s="3" t="s">
        <v>31</v>
      </c>
      <c r="D12210" s="3" t="s">
        <v>32</v>
      </c>
      <c r="E12210" s="4" t="s">
        <v>22</v>
      </c>
      <c r="F12210" s="4" t="s">
        <v>61684</v>
      </c>
      <c r="G12210" s="4" t="s">
        <v>61685</v>
      </c>
      <c r="H12210" s="3" t="s">
        <v>60159</v>
      </c>
      <c r="I12210" s="3" t="s">
        <v>7935</v>
      </c>
      <c r="J12210" s="3" t="s">
        <v>61686</v>
      </c>
      <c r="K12210" s="3" t="s">
        <v>61687</v>
      </c>
      <c r="L12210" s="3"/>
      <c r="M12210" s="4"/>
      <c r="N12210" s="3" t="s">
        <v>37</v>
      </c>
      <c r="O12210" s="3" t="s">
        <v>2740</v>
      </c>
      <c r="P12210" s="5">
        <v>10</v>
      </c>
      <c r="Q12210" s="5">
        <v>136</v>
      </c>
      <c r="R12210" s="5">
        <v>10</v>
      </c>
      <c r="S12210" s="5">
        <v>134</v>
      </c>
    </row>
    <row r="12211" spans="1:19" ht="42" x14ac:dyDescent="0.15">
      <c r="A12211" s="2">
        <f>HYPERLINK("https://open-school.uspishnemisto.com.ua/school/610334/", 610334)</f>
        <v>610334</v>
      </c>
      <c r="B12211" s="3" t="s">
        <v>61688</v>
      </c>
      <c r="C12211" s="3" t="s">
        <v>31</v>
      </c>
      <c r="D12211" s="3" t="s">
        <v>32</v>
      </c>
      <c r="E12211" s="4" t="s">
        <v>22</v>
      </c>
      <c r="F12211" s="4" t="s">
        <v>61689</v>
      </c>
      <c r="G12211" s="4" t="s">
        <v>61690</v>
      </c>
      <c r="H12211" s="3" t="s">
        <v>60159</v>
      </c>
      <c r="I12211" s="3" t="s">
        <v>3357</v>
      </c>
      <c r="J12211" s="3" t="s">
        <v>43541</v>
      </c>
      <c r="K12211" s="3" t="s">
        <v>61691</v>
      </c>
      <c r="L12211" s="3" t="s">
        <v>61692</v>
      </c>
      <c r="M12211" s="4"/>
      <c r="N12211" s="3" t="s">
        <v>37</v>
      </c>
      <c r="O12211" s="3" t="s">
        <v>46</v>
      </c>
      <c r="P12211" s="5">
        <v>11</v>
      </c>
      <c r="Q12211" s="5">
        <v>204</v>
      </c>
      <c r="R12211" s="5">
        <v>11</v>
      </c>
      <c r="S12211" s="5">
        <v>209</v>
      </c>
    </row>
    <row r="12212" spans="1:19" ht="42" x14ac:dyDescent="0.15">
      <c r="A12212" s="2">
        <f>HYPERLINK("https://open-school.uspishnemisto.com.ua/school/610335/", 610335)</f>
        <v>610335</v>
      </c>
      <c r="B12212" s="3" t="s">
        <v>61693</v>
      </c>
      <c r="C12212" s="3" t="s">
        <v>31</v>
      </c>
      <c r="D12212" s="3" t="s">
        <v>175</v>
      </c>
      <c r="E12212" s="4" t="s">
        <v>22</v>
      </c>
      <c r="F12212" s="4" t="s">
        <v>61694</v>
      </c>
      <c r="G12212" s="4" t="s">
        <v>61695</v>
      </c>
      <c r="H12212" s="3" t="s">
        <v>60159</v>
      </c>
      <c r="I12212" s="3" t="s">
        <v>16728</v>
      </c>
      <c r="J12212" s="3" t="s">
        <v>634</v>
      </c>
      <c r="K12212" s="3" t="s">
        <v>61696</v>
      </c>
      <c r="L12212" s="3"/>
      <c r="M12212" s="4"/>
      <c r="N12212" s="3" t="s">
        <v>37</v>
      </c>
      <c r="O12212" s="3" t="s">
        <v>46</v>
      </c>
      <c r="P12212" s="5">
        <v>6</v>
      </c>
      <c r="Q12212" s="5">
        <v>49</v>
      </c>
      <c r="R12212" s="5">
        <v>8</v>
      </c>
      <c r="S12212" s="5">
        <v>57</v>
      </c>
    </row>
    <row r="12213" spans="1:19" ht="42" x14ac:dyDescent="0.15">
      <c r="A12213" s="2">
        <f>HYPERLINK("https://open-school.uspishnemisto.com.ua/school/610336/", 610336)</f>
        <v>610336</v>
      </c>
      <c r="B12213" s="3" t="s">
        <v>61697</v>
      </c>
      <c r="C12213" s="3" t="s">
        <v>31</v>
      </c>
      <c r="D12213" s="3" t="s">
        <v>32</v>
      </c>
      <c r="E12213" s="4" t="s">
        <v>22</v>
      </c>
      <c r="F12213" s="4" t="s">
        <v>61698</v>
      </c>
      <c r="G12213" s="4" t="s">
        <v>61699</v>
      </c>
      <c r="H12213" s="3" t="s">
        <v>60159</v>
      </c>
      <c r="I12213" s="3" t="s">
        <v>2977</v>
      </c>
      <c r="J12213" s="3" t="s">
        <v>61700</v>
      </c>
      <c r="K12213" s="3" t="s">
        <v>61701</v>
      </c>
      <c r="L12213" s="3" t="s">
        <v>61702</v>
      </c>
      <c r="M12213" s="4"/>
      <c r="N12213" s="3" t="s">
        <v>37</v>
      </c>
      <c r="O12213" s="3" t="s">
        <v>46</v>
      </c>
      <c r="P12213" s="5">
        <v>11</v>
      </c>
      <c r="Q12213" s="5">
        <v>152</v>
      </c>
      <c r="R12213" s="5">
        <v>11</v>
      </c>
      <c r="S12213" s="5">
        <v>146</v>
      </c>
    </row>
    <row r="12214" spans="1:19" ht="42" x14ac:dyDescent="0.15">
      <c r="A12214" s="2">
        <f>HYPERLINK("https://open-school.uspishnemisto.com.ua/school/610337/", 610337)</f>
        <v>610337</v>
      </c>
      <c r="B12214" s="3" t="s">
        <v>61703</v>
      </c>
      <c r="C12214" s="3" t="s">
        <v>31</v>
      </c>
      <c r="D12214" s="3" t="s">
        <v>60</v>
      </c>
      <c r="E12214" s="4" t="s">
        <v>22</v>
      </c>
      <c r="F12214" s="4" t="s">
        <v>61698</v>
      </c>
      <c r="G12214" s="4" t="s">
        <v>61704</v>
      </c>
      <c r="H12214" s="3" t="s">
        <v>60159</v>
      </c>
      <c r="I12214" s="3" t="s">
        <v>61705</v>
      </c>
      <c r="J12214" s="3" t="s">
        <v>61706</v>
      </c>
      <c r="K12214" s="3" t="s">
        <v>61707</v>
      </c>
      <c r="L12214" s="3"/>
      <c r="M12214" s="4"/>
      <c r="N12214" s="3" t="s">
        <v>37</v>
      </c>
      <c r="O12214" s="3" t="s">
        <v>52</v>
      </c>
      <c r="P12214" s="5">
        <v>2</v>
      </c>
      <c r="Q12214" s="5">
        <v>21</v>
      </c>
      <c r="R12214" s="5">
        <v>3</v>
      </c>
      <c r="S12214" s="5">
        <v>25</v>
      </c>
    </row>
    <row r="12215" spans="1:19" ht="42" x14ac:dyDescent="0.15">
      <c r="A12215" s="2">
        <f>HYPERLINK("https://open-school.uspishnemisto.com.ua/school/610338/", 610338)</f>
        <v>610338</v>
      </c>
      <c r="B12215" s="3" t="s">
        <v>61708</v>
      </c>
      <c r="C12215" s="3" t="s">
        <v>31</v>
      </c>
      <c r="D12215" s="3" t="s">
        <v>175</v>
      </c>
      <c r="E12215" s="4" t="s">
        <v>22</v>
      </c>
      <c r="F12215" s="4" t="s">
        <v>48954</v>
      </c>
      <c r="G12215" s="4" t="s">
        <v>61709</v>
      </c>
      <c r="H12215" s="3" t="s">
        <v>60159</v>
      </c>
      <c r="I12215" s="3" t="s">
        <v>61710</v>
      </c>
      <c r="J12215" s="3" t="s">
        <v>10965</v>
      </c>
      <c r="K12215" s="3" t="s">
        <v>61711</v>
      </c>
      <c r="L12215" s="3"/>
      <c r="M12215" s="4"/>
      <c r="N12215" s="3" t="s">
        <v>37</v>
      </c>
      <c r="O12215" s="3" t="s">
        <v>52</v>
      </c>
      <c r="P12215" s="5">
        <v>7</v>
      </c>
      <c r="Q12215" s="5">
        <v>51</v>
      </c>
      <c r="R12215" s="5">
        <v>7</v>
      </c>
      <c r="S12215" s="5">
        <v>53</v>
      </c>
    </row>
    <row r="12216" spans="1:19" ht="42" x14ac:dyDescent="0.15">
      <c r="A12216" s="2">
        <f>HYPERLINK("https://open-school.uspishnemisto.com.ua/school/610340/", 610340)</f>
        <v>610340</v>
      </c>
      <c r="B12216" s="3" t="s">
        <v>61712</v>
      </c>
      <c r="C12216" s="3" t="s">
        <v>31</v>
      </c>
      <c r="D12216" s="3" t="s">
        <v>175</v>
      </c>
      <c r="E12216" s="4" t="s">
        <v>22</v>
      </c>
      <c r="F12216" s="4" t="s">
        <v>61713</v>
      </c>
      <c r="G12216" s="4" t="s">
        <v>61714</v>
      </c>
      <c r="H12216" s="3" t="s">
        <v>60159</v>
      </c>
      <c r="I12216" s="3" t="s">
        <v>34308</v>
      </c>
      <c r="J12216" s="3" t="s">
        <v>61715</v>
      </c>
      <c r="K12216" s="3" t="s">
        <v>61716</v>
      </c>
      <c r="L12216" s="3"/>
      <c r="M12216" s="4"/>
      <c r="N12216" s="3" t="s">
        <v>37</v>
      </c>
      <c r="O12216" s="3" t="s">
        <v>52</v>
      </c>
      <c r="P12216" s="5">
        <v>1</v>
      </c>
      <c r="Q12216" s="5">
        <v>25</v>
      </c>
      <c r="R12216" s="5">
        <v>3</v>
      </c>
      <c r="S12216" s="5">
        <v>36</v>
      </c>
    </row>
    <row r="12217" spans="1:19" ht="42" x14ac:dyDescent="0.15">
      <c r="A12217" s="2">
        <f>HYPERLINK("https://open-school.uspishnemisto.com.ua/school/610341/", 610341)</f>
        <v>610341</v>
      </c>
      <c r="B12217" s="3" t="s">
        <v>61717</v>
      </c>
      <c r="C12217" s="3" t="s">
        <v>31</v>
      </c>
      <c r="D12217" s="3" t="s">
        <v>32</v>
      </c>
      <c r="E12217" s="4" t="s">
        <v>22</v>
      </c>
      <c r="F12217" s="4" t="s">
        <v>61718</v>
      </c>
      <c r="G12217" s="4" t="s">
        <v>61719</v>
      </c>
      <c r="H12217" s="3" t="s">
        <v>60159</v>
      </c>
      <c r="I12217" s="3" t="s">
        <v>61720</v>
      </c>
      <c r="J12217" s="3" t="s">
        <v>792</v>
      </c>
      <c r="K12217" s="3" t="s">
        <v>61721</v>
      </c>
      <c r="L12217" s="3"/>
      <c r="M12217" s="4"/>
      <c r="N12217" s="3" t="s">
        <v>37</v>
      </c>
      <c r="O12217" s="3" t="s">
        <v>46</v>
      </c>
      <c r="P12217" s="5">
        <v>6</v>
      </c>
      <c r="Q12217" s="5">
        <v>54</v>
      </c>
      <c r="R12217" s="5">
        <v>6</v>
      </c>
      <c r="S12217" s="5">
        <v>55</v>
      </c>
    </row>
    <row r="12218" spans="1:19" ht="42" x14ac:dyDescent="0.15">
      <c r="A12218" s="2">
        <f>HYPERLINK("https://open-school.uspishnemisto.com.ua/school/610342/", 610342)</f>
        <v>610342</v>
      </c>
      <c r="B12218" s="3" t="s">
        <v>61722</v>
      </c>
      <c r="C12218" s="3" t="s">
        <v>31</v>
      </c>
      <c r="D12218" s="3" t="s">
        <v>175</v>
      </c>
      <c r="E12218" s="4" t="s">
        <v>22</v>
      </c>
      <c r="F12218" s="4" t="s">
        <v>61723</v>
      </c>
      <c r="G12218" s="4" t="s">
        <v>61724</v>
      </c>
      <c r="H12218" s="3" t="s">
        <v>60159</v>
      </c>
      <c r="I12218" s="3" t="s">
        <v>61725</v>
      </c>
      <c r="J12218" s="3" t="s">
        <v>5029</v>
      </c>
      <c r="K12218" s="3" t="s">
        <v>61726</v>
      </c>
      <c r="L12218" s="3"/>
      <c r="M12218" s="4"/>
      <c r="N12218" s="3" t="s">
        <v>37</v>
      </c>
      <c r="O12218" s="3" t="s">
        <v>52</v>
      </c>
      <c r="P12218" s="5">
        <v>8</v>
      </c>
      <c r="Q12218" s="5">
        <v>54</v>
      </c>
      <c r="R12218" s="5">
        <v>8</v>
      </c>
      <c r="S12218" s="5">
        <v>53</v>
      </c>
    </row>
    <row r="12219" spans="1:19" ht="56" x14ac:dyDescent="0.15">
      <c r="A12219" s="2">
        <f>HYPERLINK("https://open-school.uspishnemisto.com.ua/school/610343/", 610343)</f>
        <v>610343</v>
      </c>
      <c r="B12219" s="3" t="s">
        <v>61727</v>
      </c>
      <c r="C12219" s="3" t="s">
        <v>54</v>
      </c>
      <c r="D12219" s="3" t="s">
        <v>32</v>
      </c>
      <c r="E12219" s="4" t="s">
        <v>22</v>
      </c>
      <c r="F12219" s="4" t="s">
        <v>61728</v>
      </c>
      <c r="G12219" s="4" t="s">
        <v>61729</v>
      </c>
      <c r="H12219" s="3" t="s">
        <v>60159</v>
      </c>
      <c r="I12219" s="3" t="s">
        <v>22819</v>
      </c>
      <c r="J12219" s="3" t="s">
        <v>946</v>
      </c>
      <c r="K12219" s="3" t="s">
        <v>61730</v>
      </c>
      <c r="L12219" s="3"/>
      <c r="M12219" s="4"/>
      <c r="N12219" s="3" t="s">
        <v>37</v>
      </c>
      <c r="O12219" s="3" t="s">
        <v>52</v>
      </c>
      <c r="P12219" s="5">
        <v>11</v>
      </c>
      <c r="Q12219" s="5">
        <v>141</v>
      </c>
      <c r="R12219" s="5">
        <v>11</v>
      </c>
      <c r="S12219" s="5">
        <v>141</v>
      </c>
    </row>
    <row r="12220" spans="1:19" ht="42" x14ac:dyDescent="0.15">
      <c r="A12220" s="2">
        <f>HYPERLINK("https://open-school.uspishnemisto.com.ua/school/610344/", 610344)</f>
        <v>610344</v>
      </c>
      <c r="B12220" s="3" t="s">
        <v>61731</v>
      </c>
      <c r="C12220" s="3" t="s">
        <v>31</v>
      </c>
      <c r="D12220" s="3" t="s">
        <v>60</v>
      </c>
      <c r="E12220" s="4" t="s">
        <v>22</v>
      </c>
      <c r="F12220" s="4" t="s">
        <v>61732</v>
      </c>
      <c r="G12220" s="4" t="s">
        <v>61733</v>
      </c>
      <c r="H12220" s="3" t="s">
        <v>60159</v>
      </c>
      <c r="I12220" s="3" t="s">
        <v>61734</v>
      </c>
      <c r="J12220" s="3"/>
      <c r="K12220" s="3" t="s">
        <v>61735</v>
      </c>
      <c r="L12220" s="3"/>
      <c r="M12220" s="4"/>
      <c r="N12220" s="3" t="s">
        <v>37</v>
      </c>
      <c r="O12220" s="3" t="s">
        <v>52</v>
      </c>
      <c r="P12220" s="5">
        <v>3</v>
      </c>
      <c r="Q12220" s="5">
        <v>24</v>
      </c>
      <c r="R12220" s="5">
        <v>3</v>
      </c>
      <c r="S12220" s="5">
        <v>24</v>
      </c>
    </row>
    <row r="12221" spans="1:19" ht="42" x14ac:dyDescent="0.15">
      <c r="A12221" s="2">
        <f>HYPERLINK("https://open-school.uspishnemisto.com.ua/school/610345/", 610345)</f>
        <v>610345</v>
      </c>
      <c r="B12221" s="3" t="s">
        <v>61736</v>
      </c>
      <c r="C12221" s="3" t="s">
        <v>31</v>
      </c>
      <c r="D12221" s="3" t="s">
        <v>175</v>
      </c>
      <c r="E12221" s="4" t="s">
        <v>22</v>
      </c>
      <c r="F12221" s="4" t="s">
        <v>61737</v>
      </c>
      <c r="G12221" s="4" t="s">
        <v>61738</v>
      </c>
      <c r="H12221" s="3" t="s">
        <v>60159</v>
      </c>
      <c r="I12221" s="3" t="s">
        <v>44310</v>
      </c>
      <c r="J12221" s="3" t="s">
        <v>61739</v>
      </c>
      <c r="K12221" s="3" t="s">
        <v>61740</v>
      </c>
      <c r="L12221" s="3"/>
      <c r="M12221" s="4"/>
      <c r="N12221" s="3" t="s">
        <v>37</v>
      </c>
      <c r="O12221" s="3" t="s">
        <v>46</v>
      </c>
      <c r="P12221" s="5">
        <v>8</v>
      </c>
      <c r="Q12221" s="5">
        <v>66</v>
      </c>
      <c r="R12221" s="5">
        <v>8</v>
      </c>
      <c r="S12221" s="5">
        <v>67</v>
      </c>
    </row>
    <row r="12222" spans="1:19" ht="42" x14ac:dyDescent="0.15">
      <c r="A12222" s="2">
        <f>HYPERLINK("https://open-school.uspishnemisto.com.ua/school/610346/", 610346)</f>
        <v>610346</v>
      </c>
      <c r="B12222" s="3" t="s">
        <v>61741</v>
      </c>
      <c r="C12222" s="3" t="s">
        <v>31</v>
      </c>
      <c r="D12222" s="3" t="s">
        <v>175</v>
      </c>
      <c r="E12222" s="4" t="s">
        <v>22</v>
      </c>
      <c r="F12222" s="4" t="s">
        <v>61742</v>
      </c>
      <c r="G12222" s="4" t="s">
        <v>61743</v>
      </c>
      <c r="H12222" s="3" t="s">
        <v>60159</v>
      </c>
      <c r="I12222" s="3" t="s">
        <v>61744</v>
      </c>
      <c r="J12222" s="3" t="s">
        <v>3393</v>
      </c>
      <c r="K12222" s="3" t="s">
        <v>61745</v>
      </c>
      <c r="L12222" s="3"/>
      <c r="M12222" s="4"/>
      <c r="N12222" s="3" t="s">
        <v>37</v>
      </c>
      <c r="O12222" s="3" t="s">
        <v>2740</v>
      </c>
      <c r="P12222" s="5">
        <v>8</v>
      </c>
      <c r="Q12222" s="5">
        <v>58</v>
      </c>
      <c r="R12222" s="5">
        <v>8</v>
      </c>
      <c r="S12222" s="5">
        <v>59</v>
      </c>
    </row>
    <row r="12223" spans="1:19" ht="28" x14ac:dyDescent="0.15">
      <c r="A12223" s="2">
        <f>HYPERLINK("https://open-school.uspishnemisto.com.ua/school/610347/", 610347)</f>
        <v>610347</v>
      </c>
      <c r="B12223" s="3" t="s">
        <v>61746</v>
      </c>
      <c r="C12223" s="3" t="s">
        <v>31</v>
      </c>
      <c r="D12223" s="3" t="s">
        <v>175</v>
      </c>
      <c r="E12223" s="4" t="s">
        <v>22</v>
      </c>
      <c r="F12223" s="4" t="s">
        <v>61747</v>
      </c>
      <c r="G12223" s="4" t="s">
        <v>61748</v>
      </c>
      <c r="H12223" s="3" t="s">
        <v>60159</v>
      </c>
      <c r="I12223" s="3" t="s">
        <v>61749</v>
      </c>
      <c r="J12223" s="3" t="s">
        <v>61750</v>
      </c>
      <c r="K12223" s="3" t="s">
        <v>61751</v>
      </c>
      <c r="L12223" s="3"/>
      <c r="M12223" s="4"/>
      <c r="N12223" s="3" t="s">
        <v>37</v>
      </c>
      <c r="O12223" s="3" t="s">
        <v>52</v>
      </c>
      <c r="P12223" s="5">
        <v>4</v>
      </c>
      <c r="Q12223" s="5">
        <v>44</v>
      </c>
      <c r="R12223" s="5">
        <v>3</v>
      </c>
      <c r="S12223" s="5">
        <v>43</v>
      </c>
    </row>
    <row r="12224" spans="1:19" ht="28" x14ac:dyDescent="0.15">
      <c r="A12224" s="2">
        <f>HYPERLINK("https://open-school.uspishnemisto.com.ua/school/610348/", 610348)</f>
        <v>610348</v>
      </c>
      <c r="B12224" s="3" t="s">
        <v>61752</v>
      </c>
      <c r="C12224" s="3" t="s">
        <v>31</v>
      </c>
      <c r="D12224" s="3" t="s">
        <v>60</v>
      </c>
      <c r="E12224" s="4" t="s">
        <v>22</v>
      </c>
      <c r="F12224" s="4" t="s">
        <v>61753</v>
      </c>
      <c r="G12224" s="4" t="s">
        <v>61754</v>
      </c>
      <c r="H12224" s="3" t="s">
        <v>60159</v>
      </c>
      <c r="I12224" s="3" t="s">
        <v>61755</v>
      </c>
      <c r="J12224" s="3" t="s">
        <v>50722</v>
      </c>
      <c r="K12224" s="3"/>
      <c r="L12224" s="3"/>
      <c r="M12224" s="4"/>
      <c r="N12224" s="3" t="s">
        <v>37</v>
      </c>
      <c r="O12224" s="3" t="s">
        <v>52</v>
      </c>
      <c r="P12224" s="5">
        <v>2</v>
      </c>
      <c r="Q12224" s="5">
        <v>14</v>
      </c>
      <c r="R12224" s="5">
        <v>2</v>
      </c>
      <c r="S12224" s="5">
        <v>18</v>
      </c>
    </row>
    <row r="12225" spans="1:19" ht="42" x14ac:dyDescent="0.15">
      <c r="A12225" s="2">
        <f>HYPERLINK("https://open-school.uspishnemisto.com.ua/school/610349/", 610349)</f>
        <v>610349</v>
      </c>
      <c r="B12225" s="3" t="s">
        <v>61756</v>
      </c>
      <c r="C12225" s="3" t="s">
        <v>31</v>
      </c>
      <c r="D12225" s="3" t="s">
        <v>175</v>
      </c>
      <c r="E12225" s="4" t="s">
        <v>22</v>
      </c>
      <c r="F12225" s="4" t="s">
        <v>61620</v>
      </c>
      <c r="G12225" s="4" t="s">
        <v>61757</v>
      </c>
      <c r="H12225" s="3" t="s">
        <v>60159</v>
      </c>
      <c r="I12225" s="3" t="s">
        <v>61758</v>
      </c>
      <c r="J12225" s="3"/>
      <c r="K12225" s="3" t="s">
        <v>61759</v>
      </c>
      <c r="L12225" s="3" t="s">
        <v>61760</v>
      </c>
      <c r="M12225" s="4"/>
      <c r="N12225" s="3" t="s">
        <v>37</v>
      </c>
      <c r="O12225" s="3" t="s">
        <v>46</v>
      </c>
      <c r="P12225" s="5">
        <v>9</v>
      </c>
      <c r="Q12225" s="5">
        <v>82</v>
      </c>
      <c r="R12225" s="5">
        <v>9</v>
      </c>
      <c r="S12225" s="5">
        <v>80</v>
      </c>
    </row>
    <row r="12226" spans="1:19" ht="42" x14ac:dyDescent="0.15">
      <c r="A12226" s="2">
        <f>HYPERLINK("https://open-school.uspishnemisto.com.ua/school/610350/", 610350)</f>
        <v>610350</v>
      </c>
      <c r="B12226" s="3" t="s">
        <v>61761</v>
      </c>
      <c r="C12226" s="3" t="s">
        <v>31</v>
      </c>
      <c r="D12226" s="3" t="s">
        <v>175</v>
      </c>
      <c r="E12226" s="4" t="s">
        <v>22</v>
      </c>
      <c r="F12226" s="4" t="s">
        <v>61762</v>
      </c>
      <c r="G12226" s="4" t="s">
        <v>61763</v>
      </c>
      <c r="H12226" s="3" t="s">
        <v>60159</v>
      </c>
      <c r="I12226" s="3" t="s">
        <v>16036</v>
      </c>
      <c r="J12226" s="3" t="s">
        <v>61764</v>
      </c>
      <c r="K12226" s="3" t="s">
        <v>61765</v>
      </c>
      <c r="L12226" s="3"/>
      <c r="M12226" s="4"/>
      <c r="N12226" s="3" t="s">
        <v>37</v>
      </c>
      <c r="O12226" s="3" t="s">
        <v>46</v>
      </c>
      <c r="P12226" s="5">
        <v>9</v>
      </c>
      <c r="Q12226" s="5">
        <v>123</v>
      </c>
      <c r="R12226" s="5">
        <v>9</v>
      </c>
      <c r="S12226" s="5">
        <v>113</v>
      </c>
    </row>
    <row r="12227" spans="1:19" ht="42" x14ac:dyDescent="0.15">
      <c r="A12227" s="2">
        <f>HYPERLINK("https://open-school.uspishnemisto.com.ua/school/610351/", 610351)</f>
        <v>610351</v>
      </c>
      <c r="B12227" s="3" t="s">
        <v>61766</v>
      </c>
      <c r="C12227" s="3" t="s">
        <v>31</v>
      </c>
      <c r="D12227" s="3" t="s">
        <v>32</v>
      </c>
      <c r="E12227" s="4" t="s">
        <v>22</v>
      </c>
      <c r="F12227" s="4" t="s">
        <v>61767</v>
      </c>
      <c r="G12227" s="4" t="s">
        <v>61768</v>
      </c>
      <c r="H12227" s="3" t="s">
        <v>60159</v>
      </c>
      <c r="I12227" s="3" t="s">
        <v>61769</v>
      </c>
      <c r="J12227" s="3" t="s">
        <v>34282</v>
      </c>
      <c r="K12227" s="3" t="s">
        <v>61770</v>
      </c>
      <c r="L12227" s="3"/>
      <c r="M12227" s="4"/>
      <c r="N12227" s="3" t="s">
        <v>37</v>
      </c>
      <c r="O12227" s="3" t="s">
        <v>46</v>
      </c>
      <c r="P12227" s="5">
        <v>10</v>
      </c>
      <c r="Q12227" s="5">
        <v>108</v>
      </c>
      <c r="R12227" s="5">
        <v>11</v>
      </c>
      <c r="S12227" s="5">
        <v>117</v>
      </c>
    </row>
    <row r="12228" spans="1:19" ht="28" x14ac:dyDescent="0.15">
      <c r="A12228" s="2">
        <f>HYPERLINK("https://open-school.uspishnemisto.com.ua/school/610354/", 610354)</f>
        <v>610354</v>
      </c>
      <c r="B12228" s="3" t="s">
        <v>61771</v>
      </c>
      <c r="C12228" s="3" t="s">
        <v>31</v>
      </c>
      <c r="D12228" s="3" t="s">
        <v>175</v>
      </c>
      <c r="E12228" s="4" t="s">
        <v>22</v>
      </c>
      <c r="F12228" s="4" t="s">
        <v>61772</v>
      </c>
      <c r="G12228" s="4" t="s">
        <v>61773</v>
      </c>
      <c r="H12228" s="3" t="s">
        <v>60159</v>
      </c>
      <c r="I12228" s="3" t="s">
        <v>27404</v>
      </c>
      <c r="J12228" s="3" t="s">
        <v>61774</v>
      </c>
      <c r="K12228" s="3" t="s">
        <v>61775</v>
      </c>
      <c r="L12228" s="3"/>
      <c r="M12228" s="4"/>
      <c r="N12228" s="3" t="s">
        <v>37</v>
      </c>
      <c r="O12228" s="3" t="s">
        <v>46</v>
      </c>
      <c r="P12228" s="5">
        <v>9</v>
      </c>
      <c r="Q12228" s="5">
        <v>75</v>
      </c>
      <c r="R12228" s="5">
        <v>9</v>
      </c>
      <c r="S12228" s="5">
        <v>74</v>
      </c>
    </row>
    <row r="12229" spans="1:19" ht="56" x14ac:dyDescent="0.15">
      <c r="A12229" s="2">
        <f>HYPERLINK("https://open-school.uspishnemisto.com.ua/school/610355/", 610355)</f>
        <v>610355</v>
      </c>
      <c r="B12229" s="3" t="s">
        <v>61776</v>
      </c>
      <c r="C12229" s="3" t="s">
        <v>54</v>
      </c>
      <c r="D12229" s="3" t="s">
        <v>32</v>
      </c>
      <c r="E12229" s="4" t="s">
        <v>22</v>
      </c>
      <c r="F12229" s="4" t="s">
        <v>61777</v>
      </c>
      <c r="G12229" s="4" t="s">
        <v>61778</v>
      </c>
      <c r="H12229" s="3" t="s">
        <v>60159</v>
      </c>
      <c r="I12229" s="3" t="s">
        <v>61779</v>
      </c>
      <c r="J12229" s="3" t="s">
        <v>2802</v>
      </c>
      <c r="K12229" s="3" t="s">
        <v>61780</v>
      </c>
      <c r="L12229" s="3"/>
      <c r="M12229" s="4"/>
      <c r="N12229" s="3" t="s">
        <v>37</v>
      </c>
      <c r="O12229" s="3" t="s">
        <v>52</v>
      </c>
      <c r="P12229" s="5">
        <v>9</v>
      </c>
      <c r="Q12229" s="5">
        <v>83</v>
      </c>
      <c r="R12229" s="5">
        <v>8</v>
      </c>
      <c r="S12229" s="5">
        <v>71</v>
      </c>
    </row>
    <row r="12230" spans="1:19" ht="28" x14ac:dyDescent="0.15">
      <c r="A12230" s="2">
        <f>HYPERLINK("https://open-school.uspishnemisto.com.ua/school/610356/", 610356)</f>
        <v>610356</v>
      </c>
      <c r="B12230" s="3" t="s">
        <v>61781</v>
      </c>
      <c r="C12230" s="3" t="s">
        <v>31</v>
      </c>
      <c r="D12230" s="3" t="s">
        <v>175</v>
      </c>
      <c r="E12230" s="4" t="s">
        <v>22</v>
      </c>
      <c r="F12230" s="4" t="s">
        <v>61782</v>
      </c>
      <c r="G12230" s="4" t="s">
        <v>61783</v>
      </c>
      <c r="H12230" s="3" t="s">
        <v>60159</v>
      </c>
      <c r="I12230" s="3" t="s">
        <v>33657</v>
      </c>
      <c r="J12230" s="3" t="s">
        <v>61784</v>
      </c>
      <c r="K12230" s="3" t="s">
        <v>61785</v>
      </c>
      <c r="L12230" s="3" t="s">
        <v>61786</v>
      </c>
      <c r="M12230" s="4"/>
      <c r="N12230" s="3" t="s">
        <v>37</v>
      </c>
      <c r="O12230" s="3" t="s">
        <v>52</v>
      </c>
      <c r="P12230" s="5">
        <v>8</v>
      </c>
      <c r="Q12230" s="5">
        <v>74</v>
      </c>
      <c r="R12230" s="5">
        <v>9</v>
      </c>
      <c r="S12230" s="5">
        <v>67</v>
      </c>
    </row>
    <row r="12231" spans="1:19" ht="28" x14ac:dyDescent="0.15">
      <c r="A12231" s="2">
        <f>HYPERLINK("https://open-school.uspishnemisto.com.ua/school/610357/", 610357)</f>
        <v>610357</v>
      </c>
      <c r="B12231" s="3" t="s">
        <v>61787</v>
      </c>
      <c r="C12231" s="3" t="s">
        <v>31</v>
      </c>
      <c r="D12231" s="3" t="s">
        <v>32</v>
      </c>
      <c r="E12231" s="4" t="s">
        <v>22</v>
      </c>
      <c r="F12231" s="4" t="s">
        <v>61620</v>
      </c>
      <c r="G12231" s="4" t="s">
        <v>61788</v>
      </c>
      <c r="H12231" s="3" t="s">
        <v>60159</v>
      </c>
      <c r="I12231" s="3" t="s">
        <v>61789</v>
      </c>
      <c r="J12231" s="3" t="s">
        <v>61790</v>
      </c>
      <c r="K12231" s="3" t="s">
        <v>61791</v>
      </c>
      <c r="L12231" s="3"/>
      <c r="M12231" s="4"/>
      <c r="N12231" s="3" t="s">
        <v>37</v>
      </c>
      <c r="O12231" s="3" t="s">
        <v>46</v>
      </c>
      <c r="P12231" s="5">
        <v>12</v>
      </c>
      <c r="Q12231" s="5">
        <v>234</v>
      </c>
      <c r="R12231" s="5">
        <v>12</v>
      </c>
      <c r="S12231" s="5">
        <v>221</v>
      </c>
    </row>
    <row r="12232" spans="1:19" ht="28" x14ac:dyDescent="0.15">
      <c r="A12232" s="2">
        <f>HYPERLINK("https://open-school.uspishnemisto.com.ua/school/610358/", 610358)</f>
        <v>610358</v>
      </c>
      <c r="B12232" s="3" t="s">
        <v>61792</v>
      </c>
      <c r="C12232" s="3" t="s">
        <v>54</v>
      </c>
      <c r="D12232" s="3" t="s">
        <v>60</v>
      </c>
      <c r="E12232" s="4" t="s">
        <v>22</v>
      </c>
      <c r="F12232" s="4" t="s">
        <v>61793</v>
      </c>
      <c r="G12232" s="4" t="s">
        <v>61794</v>
      </c>
      <c r="H12232" s="3" t="s">
        <v>60159</v>
      </c>
      <c r="I12232" s="3" t="s">
        <v>61795</v>
      </c>
      <c r="J12232" s="3" t="s">
        <v>61796</v>
      </c>
      <c r="K12232" s="3" t="s">
        <v>61797</v>
      </c>
      <c r="L12232" s="3"/>
      <c r="M12232" s="4"/>
      <c r="N12232" s="3" t="s">
        <v>37</v>
      </c>
      <c r="O12232" s="3" t="s">
        <v>52</v>
      </c>
      <c r="P12232" s="5">
        <v>1</v>
      </c>
      <c r="Q12232" s="5">
        <v>13</v>
      </c>
      <c r="R12232" s="5">
        <v>3</v>
      </c>
      <c r="S12232" s="5">
        <v>21</v>
      </c>
    </row>
    <row r="12233" spans="1:19" ht="28" x14ac:dyDescent="0.15">
      <c r="A12233" s="2">
        <f>HYPERLINK("https://open-school.uspishnemisto.com.ua/school/610359/", 610359)</f>
        <v>610359</v>
      </c>
      <c r="B12233" s="3" t="s">
        <v>61798</v>
      </c>
      <c r="C12233" s="3" t="s">
        <v>31</v>
      </c>
      <c r="D12233" s="3" t="s">
        <v>32</v>
      </c>
      <c r="E12233" s="4" t="s">
        <v>22</v>
      </c>
      <c r="F12233" s="4" t="s">
        <v>61799</v>
      </c>
      <c r="G12233" s="4" t="s">
        <v>61800</v>
      </c>
      <c r="H12233" s="3" t="s">
        <v>60159</v>
      </c>
      <c r="I12233" s="3" t="s">
        <v>61801</v>
      </c>
      <c r="J12233" s="3" t="s">
        <v>27315</v>
      </c>
      <c r="K12233" s="3" t="s">
        <v>61802</v>
      </c>
      <c r="L12233" s="3"/>
      <c r="M12233" s="4"/>
      <c r="N12233" s="3" t="s">
        <v>37</v>
      </c>
      <c r="O12233" s="3" t="s">
        <v>52</v>
      </c>
      <c r="P12233" s="5">
        <v>8</v>
      </c>
      <c r="Q12233" s="5">
        <v>87</v>
      </c>
      <c r="R12233" s="5">
        <v>8</v>
      </c>
      <c r="S12233" s="5">
        <v>83</v>
      </c>
    </row>
    <row r="12234" spans="1:19" ht="42" x14ac:dyDescent="0.15">
      <c r="A12234" s="2">
        <f>HYPERLINK("https://open-school.uspishnemisto.com.ua/school/610360/", 610360)</f>
        <v>610360</v>
      </c>
      <c r="B12234" s="3" t="s">
        <v>61803</v>
      </c>
      <c r="C12234" s="3" t="s">
        <v>31</v>
      </c>
      <c r="D12234" s="3" t="s">
        <v>175</v>
      </c>
      <c r="E12234" s="4" t="s">
        <v>22</v>
      </c>
      <c r="F12234" s="4" t="s">
        <v>61799</v>
      </c>
      <c r="G12234" s="4" t="s">
        <v>61804</v>
      </c>
      <c r="H12234" s="3" t="s">
        <v>60159</v>
      </c>
      <c r="I12234" s="3" t="s">
        <v>25849</v>
      </c>
      <c r="J12234" s="3" t="s">
        <v>2785</v>
      </c>
      <c r="K12234" s="3" t="s">
        <v>61805</v>
      </c>
      <c r="L12234" s="3" t="s">
        <v>61806</v>
      </c>
      <c r="M12234" s="4"/>
      <c r="N12234" s="3" t="s">
        <v>37</v>
      </c>
      <c r="O12234" s="3" t="s">
        <v>52</v>
      </c>
      <c r="P12234" s="5">
        <v>8</v>
      </c>
      <c r="Q12234" s="5">
        <v>55</v>
      </c>
      <c r="R12234" s="5">
        <v>7</v>
      </c>
      <c r="S12234" s="5">
        <v>54</v>
      </c>
    </row>
    <row r="12235" spans="1:19" ht="42" x14ac:dyDescent="0.15">
      <c r="A12235" s="2">
        <f>HYPERLINK("https://open-school.uspishnemisto.com.ua/school/610361/", 610361)</f>
        <v>610361</v>
      </c>
      <c r="B12235" s="3" t="s">
        <v>61807</v>
      </c>
      <c r="C12235" s="3" t="s">
        <v>31</v>
      </c>
      <c r="D12235" s="3" t="s">
        <v>32</v>
      </c>
      <c r="E12235" s="4" t="s">
        <v>22</v>
      </c>
      <c r="F12235" s="4" t="s">
        <v>61808</v>
      </c>
      <c r="G12235" s="4" t="s">
        <v>61809</v>
      </c>
      <c r="H12235" s="3" t="s">
        <v>60159</v>
      </c>
      <c r="I12235" s="3" t="s">
        <v>61810</v>
      </c>
      <c r="J12235" s="3" t="s">
        <v>466</v>
      </c>
      <c r="K12235" s="3" t="s">
        <v>61811</v>
      </c>
      <c r="L12235" s="3"/>
      <c r="M12235" s="4"/>
      <c r="N12235" s="3" t="s">
        <v>37</v>
      </c>
      <c r="O12235" s="3" t="s">
        <v>139</v>
      </c>
      <c r="P12235" s="5">
        <v>11</v>
      </c>
      <c r="Q12235" s="5">
        <v>152</v>
      </c>
      <c r="R12235" s="5">
        <v>11</v>
      </c>
      <c r="S12235" s="5">
        <v>159</v>
      </c>
    </row>
    <row r="12236" spans="1:19" ht="28" x14ac:dyDescent="0.15">
      <c r="A12236" s="2">
        <f>HYPERLINK("https://open-school.uspishnemisto.com.ua/school/610362/", 610362)</f>
        <v>610362</v>
      </c>
      <c r="B12236" s="3" t="s">
        <v>61812</v>
      </c>
      <c r="C12236" s="3" t="s">
        <v>31</v>
      </c>
      <c r="D12236" s="3" t="s">
        <v>175</v>
      </c>
      <c r="E12236" s="4" t="s">
        <v>22</v>
      </c>
      <c r="F12236" s="4" t="s">
        <v>61813</v>
      </c>
      <c r="G12236" s="4" t="s">
        <v>61814</v>
      </c>
      <c r="H12236" s="3" t="s">
        <v>60159</v>
      </c>
      <c r="I12236" s="3" t="s">
        <v>61815</v>
      </c>
      <c r="J12236" s="3" t="s">
        <v>61816</v>
      </c>
      <c r="K12236" s="3" t="s">
        <v>61817</v>
      </c>
      <c r="L12236" s="3"/>
      <c r="M12236" s="4"/>
      <c r="N12236" s="3" t="s">
        <v>37</v>
      </c>
      <c r="O12236" s="3" t="s">
        <v>46</v>
      </c>
      <c r="P12236" s="5">
        <v>5</v>
      </c>
      <c r="Q12236" s="5">
        <v>35</v>
      </c>
      <c r="R12236" s="5">
        <v>5</v>
      </c>
      <c r="S12236" s="5">
        <v>33</v>
      </c>
    </row>
    <row r="12237" spans="1:19" ht="42" x14ac:dyDescent="0.15">
      <c r="A12237" s="2">
        <f>HYPERLINK("https://open-school.uspishnemisto.com.ua/school/610363/", 610363)</f>
        <v>610363</v>
      </c>
      <c r="B12237" s="3" t="s">
        <v>61818</v>
      </c>
      <c r="C12237" s="3" t="s">
        <v>31</v>
      </c>
      <c r="D12237" s="3" t="s">
        <v>175</v>
      </c>
      <c r="E12237" s="4" t="s">
        <v>22</v>
      </c>
      <c r="F12237" s="4" t="s">
        <v>61819</v>
      </c>
      <c r="G12237" s="4" t="s">
        <v>61820</v>
      </c>
      <c r="H12237" s="3" t="s">
        <v>60159</v>
      </c>
      <c r="I12237" s="3" t="s">
        <v>61821</v>
      </c>
      <c r="J12237" s="3" t="s">
        <v>2719</v>
      </c>
      <c r="K12237" s="3" t="s">
        <v>61822</v>
      </c>
      <c r="L12237" s="3" t="s">
        <v>61823</v>
      </c>
      <c r="M12237" s="4"/>
      <c r="N12237" s="3" t="s">
        <v>37</v>
      </c>
      <c r="O12237" s="3" t="s">
        <v>52</v>
      </c>
      <c r="P12237" s="5">
        <v>7</v>
      </c>
      <c r="Q12237" s="5">
        <v>58</v>
      </c>
      <c r="R12237" s="5">
        <v>7</v>
      </c>
      <c r="S12237" s="5">
        <v>55</v>
      </c>
    </row>
    <row r="12238" spans="1:19" ht="42" x14ac:dyDescent="0.15">
      <c r="A12238" s="2">
        <f>HYPERLINK("https://open-school.uspishnemisto.com.ua/school/610364/", 610364)</f>
        <v>610364</v>
      </c>
      <c r="B12238" s="3" t="s">
        <v>61824</v>
      </c>
      <c r="C12238" s="3" t="s">
        <v>31</v>
      </c>
      <c r="D12238" s="3" t="s">
        <v>175</v>
      </c>
      <c r="E12238" s="4" t="s">
        <v>22</v>
      </c>
      <c r="F12238" s="4" t="s">
        <v>61819</v>
      </c>
      <c r="G12238" s="4" t="s">
        <v>61825</v>
      </c>
      <c r="H12238" s="3" t="s">
        <v>60159</v>
      </c>
      <c r="I12238" s="3" t="s">
        <v>61826</v>
      </c>
      <c r="J12238" s="3" t="s">
        <v>61827</v>
      </c>
      <c r="K12238" s="3" t="s">
        <v>61828</v>
      </c>
      <c r="L12238" s="3"/>
      <c r="M12238" s="4"/>
      <c r="N12238" s="3" t="s">
        <v>37</v>
      </c>
      <c r="O12238" s="3" t="s">
        <v>46</v>
      </c>
      <c r="P12238" s="5">
        <v>2</v>
      </c>
      <c r="Q12238" s="5">
        <v>28</v>
      </c>
      <c r="R12238" s="5">
        <v>3</v>
      </c>
      <c r="S12238" s="5">
        <v>32</v>
      </c>
    </row>
    <row r="12239" spans="1:19" ht="28" x14ac:dyDescent="0.15">
      <c r="A12239" s="2">
        <f>HYPERLINK("https://open-school.uspishnemisto.com.ua/school/610365/", 610365)</f>
        <v>610365</v>
      </c>
      <c r="B12239" s="3" t="s">
        <v>61829</v>
      </c>
      <c r="C12239" s="3" t="s">
        <v>31</v>
      </c>
      <c r="D12239" s="3" t="s">
        <v>32</v>
      </c>
      <c r="E12239" s="4" t="s">
        <v>22</v>
      </c>
      <c r="F12239" s="4" t="s">
        <v>61830</v>
      </c>
      <c r="G12239" s="4" t="s">
        <v>61831</v>
      </c>
      <c r="H12239" s="3" t="s">
        <v>60159</v>
      </c>
      <c r="I12239" s="3" t="s">
        <v>61832</v>
      </c>
      <c r="J12239" s="3" t="s">
        <v>45564</v>
      </c>
      <c r="K12239" s="3" t="s">
        <v>61833</v>
      </c>
      <c r="L12239" s="3" t="s">
        <v>61834</v>
      </c>
      <c r="M12239" s="4"/>
      <c r="N12239" s="3" t="s">
        <v>37</v>
      </c>
      <c r="O12239" s="3" t="s">
        <v>46</v>
      </c>
      <c r="P12239" s="5">
        <v>24</v>
      </c>
      <c r="Q12239" s="5">
        <v>529</v>
      </c>
      <c r="R12239" s="5">
        <v>24</v>
      </c>
      <c r="S12239" s="5">
        <v>521</v>
      </c>
    </row>
    <row r="12240" spans="1:19" ht="28" x14ac:dyDescent="0.15">
      <c r="A12240" s="2">
        <f>HYPERLINK("https://open-school.uspishnemisto.com.ua/school/610366/", 610366)</f>
        <v>610366</v>
      </c>
      <c r="B12240" s="3" t="s">
        <v>61835</v>
      </c>
      <c r="C12240" s="3" t="s">
        <v>31</v>
      </c>
      <c r="D12240" s="3" t="s">
        <v>32</v>
      </c>
      <c r="E12240" s="4" t="s">
        <v>22</v>
      </c>
      <c r="F12240" s="4" t="s">
        <v>61830</v>
      </c>
      <c r="G12240" s="4" t="s">
        <v>61831</v>
      </c>
      <c r="H12240" s="3" t="s">
        <v>60159</v>
      </c>
      <c r="I12240" s="3" t="s">
        <v>61832</v>
      </c>
      <c r="J12240" s="3" t="s">
        <v>61836</v>
      </c>
      <c r="K12240" s="3" t="s">
        <v>61837</v>
      </c>
      <c r="L12240" s="3" t="s">
        <v>61838</v>
      </c>
      <c r="M12240" s="4"/>
      <c r="N12240" s="3" t="s">
        <v>37</v>
      </c>
      <c r="O12240" s="3" t="s">
        <v>46</v>
      </c>
      <c r="P12240" s="5">
        <v>17</v>
      </c>
      <c r="Q12240" s="5">
        <v>362</v>
      </c>
      <c r="R12240" s="5">
        <v>17</v>
      </c>
      <c r="S12240" s="5">
        <v>338</v>
      </c>
    </row>
    <row r="12241" spans="1:19" ht="42" x14ac:dyDescent="0.15">
      <c r="A12241" s="2">
        <f>HYPERLINK("https://open-school.uspishnemisto.com.ua/school/610367/", 610367)</f>
        <v>610367</v>
      </c>
      <c r="B12241" s="3" t="s">
        <v>61839</v>
      </c>
      <c r="C12241" s="3" t="s">
        <v>40</v>
      </c>
      <c r="D12241" s="3" t="s">
        <v>32</v>
      </c>
      <c r="E12241" s="4" t="s">
        <v>22</v>
      </c>
      <c r="F12241" s="4" t="s">
        <v>61830</v>
      </c>
      <c r="G12241" s="4" t="s">
        <v>61831</v>
      </c>
      <c r="H12241" s="3" t="s">
        <v>60159</v>
      </c>
      <c r="I12241" s="3" t="s">
        <v>61832</v>
      </c>
      <c r="J12241" s="3" t="s">
        <v>61840</v>
      </c>
      <c r="K12241" s="3" t="s">
        <v>61841</v>
      </c>
      <c r="L12241" s="3" t="s">
        <v>61842</v>
      </c>
      <c r="M12241" s="4"/>
      <c r="N12241" s="3" t="s">
        <v>37</v>
      </c>
      <c r="O12241" s="3" t="s">
        <v>46</v>
      </c>
      <c r="P12241" s="5">
        <v>6</v>
      </c>
      <c r="Q12241" s="5">
        <v>119</v>
      </c>
      <c r="R12241" s="5">
        <v>7</v>
      </c>
      <c r="S12241" s="5">
        <v>116</v>
      </c>
    </row>
    <row r="12242" spans="1:19" ht="42" x14ac:dyDescent="0.15">
      <c r="A12242" s="2">
        <f>HYPERLINK("https://open-school.uspishnemisto.com.ua/school/610368/", 610368)</f>
        <v>610368</v>
      </c>
      <c r="B12242" s="3" t="s">
        <v>61843</v>
      </c>
      <c r="C12242" s="3" t="s">
        <v>244</v>
      </c>
      <c r="D12242" s="3" t="s">
        <v>32</v>
      </c>
      <c r="E12242" s="4" t="s">
        <v>22</v>
      </c>
      <c r="F12242" s="4" t="s">
        <v>61844</v>
      </c>
      <c r="G12242" s="4" t="s">
        <v>61845</v>
      </c>
      <c r="H12242" s="3" t="s">
        <v>60159</v>
      </c>
      <c r="I12242" s="3" t="s">
        <v>61846</v>
      </c>
      <c r="J12242" s="3" t="s">
        <v>61847</v>
      </c>
      <c r="K12242" s="3" t="s">
        <v>61848</v>
      </c>
      <c r="L12242" s="3" t="s">
        <v>61849</v>
      </c>
      <c r="M12242" s="4"/>
      <c r="N12242" s="3" t="s">
        <v>37</v>
      </c>
      <c r="O12242" s="3" t="s">
        <v>46</v>
      </c>
      <c r="P12242" s="5">
        <v>27</v>
      </c>
      <c r="Q12242" s="5">
        <v>368</v>
      </c>
      <c r="R12242" s="5">
        <v>18</v>
      </c>
      <c r="S12242" s="5">
        <v>341</v>
      </c>
    </row>
    <row r="12243" spans="1:19" ht="28" x14ac:dyDescent="0.15">
      <c r="A12243" s="2">
        <f>HYPERLINK("https://open-school.uspishnemisto.com.ua/school/610369/", 610369)</f>
        <v>610369</v>
      </c>
      <c r="B12243" s="3" t="s">
        <v>61850</v>
      </c>
      <c r="C12243" s="3" t="s">
        <v>31</v>
      </c>
      <c r="D12243" s="3" t="s">
        <v>175</v>
      </c>
      <c r="E12243" s="4" t="s">
        <v>22</v>
      </c>
      <c r="F12243" s="4" t="s">
        <v>61851</v>
      </c>
      <c r="G12243" s="4" t="s">
        <v>61852</v>
      </c>
      <c r="H12243" s="3" t="s">
        <v>60159</v>
      </c>
      <c r="I12243" s="3" t="s">
        <v>61853</v>
      </c>
      <c r="J12243" s="3" t="s">
        <v>1348</v>
      </c>
      <c r="K12243" s="3" t="s">
        <v>61854</v>
      </c>
      <c r="L12243" s="3"/>
      <c r="M12243" s="4"/>
      <c r="N12243" s="3" t="s">
        <v>37</v>
      </c>
      <c r="O12243" s="3" t="s">
        <v>46</v>
      </c>
      <c r="P12243" s="5">
        <v>9</v>
      </c>
      <c r="Q12243" s="5">
        <v>62</v>
      </c>
      <c r="R12243" s="5">
        <v>9</v>
      </c>
      <c r="S12243" s="5">
        <v>64</v>
      </c>
    </row>
    <row r="12244" spans="1:19" ht="28" x14ac:dyDescent="0.15">
      <c r="A12244" s="2">
        <f>HYPERLINK("https://open-school.uspishnemisto.com.ua/school/610370/", 610370)</f>
        <v>610370</v>
      </c>
      <c r="B12244" s="3" t="s">
        <v>61855</v>
      </c>
      <c r="C12244" s="3" t="s">
        <v>31</v>
      </c>
      <c r="D12244" s="3" t="s">
        <v>175</v>
      </c>
      <c r="E12244" s="4" t="s">
        <v>22</v>
      </c>
      <c r="F12244" s="4" t="s">
        <v>61856</v>
      </c>
      <c r="G12244" s="4" t="s">
        <v>61857</v>
      </c>
      <c r="H12244" s="3" t="s">
        <v>60159</v>
      </c>
      <c r="I12244" s="3" t="s">
        <v>61858</v>
      </c>
      <c r="J12244" s="3" t="s">
        <v>11675</v>
      </c>
      <c r="K12244" s="3" t="s">
        <v>61859</v>
      </c>
      <c r="L12244" s="3"/>
      <c r="M12244" s="4"/>
      <c r="N12244" s="3" t="s">
        <v>37</v>
      </c>
      <c r="O12244" s="3" t="s">
        <v>46</v>
      </c>
      <c r="P12244" s="5">
        <v>5</v>
      </c>
      <c r="Q12244" s="5">
        <v>35</v>
      </c>
      <c r="R12244" s="5">
        <v>5</v>
      </c>
      <c r="S12244" s="5">
        <v>34</v>
      </c>
    </row>
    <row r="12245" spans="1:19" ht="28" x14ac:dyDescent="0.15">
      <c r="A12245" s="2">
        <f>HYPERLINK("https://open-school.uspishnemisto.com.ua/school/610371/", 610371)</f>
        <v>610371</v>
      </c>
      <c r="B12245" s="3" t="s">
        <v>61860</v>
      </c>
      <c r="C12245" s="3" t="s">
        <v>31</v>
      </c>
      <c r="D12245" s="3" t="s">
        <v>60</v>
      </c>
      <c r="E12245" s="4" t="s">
        <v>22</v>
      </c>
      <c r="F12245" s="4" t="s">
        <v>61851</v>
      </c>
      <c r="G12245" s="4" t="s">
        <v>61861</v>
      </c>
      <c r="H12245" s="3" t="s">
        <v>60159</v>
      </c>
      <c r="I12245" s="3" t="s">
        <v>61862</v>
      </c>
      <c r="J12245" s="3" t="s">
        <v>61863</v>
      </c>
      <c r="K12245" s="3" t="s">
        <v>61864</v>
      </c>
      <c r="L12245" s="3"/>
      <c r="M12245" s="4"/>
      <c r="N12245" s="3" t="s">
        <v>37</v>
      </c>
      <c r="O12245" s="3" t="s">
        <v>52</v>
      </c>
      <c r="P12245" s="5">
        <v>1</v>
      </c>
      <c r="Q12245" s="5">
        <v>9</v>
      </c>
      <c r="R12245" s="5">
        <v>1</v>
      </c>
      <c r="S12245" s="5">
        <v>11</v>
      </c>
    </row>
    <row r="12246" spans="1:19" ht="28" x14ac:dyDescent="0.15">
      <c r="A12246" s="2">
        <f>HYPERLINK("https://open-school.uspishnemisto.com.ua/school/610372/", 610372)</f>
        <v>610372</v>
      </c>
      <c r="B12246" s="3" t="s">
        <v>61865</v>
      </c>
      <c r="C12246" s="3" t="s">
        <v>31</v>
      </c>
      <c r="D12246" s="3" t="s">
        <v>175</v>
      </c>
      <c r="E12246" s="4" t="s">
        <v>22</v>
      </c>
      <c r="F12246" s="4" t="s">
        <v>61866</v>
      </c>
      <c r="G12246" s="4" t="s">
        <v>61867</v>
      </c>
      <c r="H12246" s="3" t="s">
        <v>60159</v>
      </c>
      <c r="I12246" s="3" t="s">
        <v>3790</v>
      </c>
      <c r="J12246" s="3" t="s">
        <v>1513</v>
      </c>
      <c r="K12246" s="3" t="s">
        <v>61868</v>
      </c>
      <c r="L12246" s="3"/>
      <c r="M12246" s="4"/>
      <c r="N12246" s="3" t="s">
        <v>37</v>
      </c>
      <c r="O12246" s="3" t="s">
        <v>46</v>
      </c>
      <c r="P12246" s="5">
        <v>5</v>
      </c>
      <c r="Q12246" s="5">
        <v>47</v>
      </c>
      <c r="R12246" s="5">
        <v>5</v>
      </c>
      <c r="S12246" s="5">
        <v>45</v>
      </c>
    </row>
    <row r="12247" spans="1:19" ht="28" x14ac:dyDescent="0.15">
      <c r="A12247" s="2">
        <f>HYPERLINK("https://open-school.uspishnemisto.com.ua/school/610373/", 610373)</f>
        <v>610373</v>
      </c>
      <c r="B12247" s="3" t="s">
        <v>61869</v>
      </c>
      <c r="C12247" s="3" t="s">
        <v>31</v>
      </c>
      <c r="D12247" s="3" t="s">
        <v>60</v>
      </c>
      <c r="E12247" s="4" t="s">
        <v>22</v>
      </c>
      <c r="F12247" s="4" t="s">
        <v>61866</v>
      </c>
      <c r="G12247" s="4" t="s">
        <v>61870</v>
      </c>
      <c r="H12247" s="3" t="s">
        <v>60159</v>
      </c>
      <c r="I12247" s="3" t="s">
        <v>61871</v>
      </c>
      <c r="J12247" s="3" t="s">
        <v>36618</v>
      </c>
      <c r="K12247" s="3" t="s">
        <v>61872</v>
      </c>
      <c r="L12247" s="3"/>
      <c r="M12247" s="4"/>
      <c r="N12247" s="3" t="s">
        <v>37</v>
      </c>
      <c r="O12247" s="3" t="s">
        <v>618</v>
      </c>
      <c r="P12247" s="5">
        <v>0</v>
      </c>
      <c r="Q12247" s="5">
        <v>4</v>
      </c>
      <c r="R12247" s="5">
        <v>0</v>
      </c>
      <c r="S12247" s="5">
        <v>2</v>
      </c>
    </row>
    <row r="12248" spans="1:19" ht="28" x14ac:dyDescent="0.15">
      <c r="A12248" s="2">
        <f>HYPERLINK("https://open-school.uspishnemisto.com.ua/school/610374/", 610374)</f>
        <v>610374</v>
      </c>
      <c r="B12248" s="3" t="s">
        <v>61873</v>
      </c>
      <c r="C12248" s="3" t="s">
        <v>31</v>
      </c>
      <c r="D12248" s="3" t="s">
        <v>60</v>
      </c>
      <c r="E12248" s="4" t="s">
        <v>22</v>
      </c>
      <c r="F12248" s="4" t="s">
        <v>61866</v>
      </c>
      <c r="G12248" s="4" t="s">
        <v>61874</v>
      </c>
      <c r="H12248" s="3" t="s">
        <v>60159</v>
      </c>
      <c r="I12248" s="3" t="s">
        <v>61875</v>
      </c>
      <c r="J12248" s="3" t="s">
        <v>61876</v>
      </c>
      <c r="K12248" s="3" t="s">
        <v>61877</v>
      </c>
      <c r="L12248" s="3"/>
      <c r="M12248" s="4"/>
      <c r="N12248" s="3" t="s">
        <v>37</v>
      </c>
      <c r="O12248" s="3" t="s">
        <v>618</v>
      </c>
      <c r="P12248" s="5">
        <v>1</v>
      </c>
      <c r="Q12248" s="5">
        <v>7</v>
      </c>
      <c r="R12248" s="5">
        <v>0</v>
      </c>
      <c r="S12248" s="5">
        <v>8</v>
      </c>
    </row>
    <row r="12249" spans="1:19" ht="28" x14ac:dyDescent="0.15">
      <c r="A12249" s="2">
        <f>HYPERLINK("https://open-school.uspishnemisto.com.ua/school/610376/", 610376)</f>
        <v>610376</v>
      </c>
      <c r="B12249" s="3" t="s">
        <v>61878</v>
      </c>
      <c r="C12249" s="3" t="s">
        <v>31</v>
      </c>
      <c r="D12249" s="3" t="s">
        <v>60</v>
      </c>
      <c r="E12249" s="4" t="s">
        <v>22</v>
      </c>
      <c r="F12249" s="4" t="s">
        <v>61879</v>
      </c>
      <c r="G12249" s="4" t="s">
        <v>61880</v>
      </c>
      <c r="H12249" s="3" t="s">
        <v>60159</v>
      </c>
      <c r="I12249" s="3" t="s">
        <v>61881</v>
      </c>
      <c r="J12249" s="3"/>
      <c r="K12249" s="3" t="s">
        <v>61882</v>
      </c>
      <c r="L12249" s="3"/>
      <c r="M12249" s="4"/>
      <c r="N12249" s="3" t="s">
        <v>37</v>
      </c>
      <c r="O12249" s="3" t="s">
        <v>52</v>
      </c>
      <c r="P12249" s="5">
        <v>0</v>
      </c>
      <c r="Q12249" s="5">
        <v>9</v>
      </c>
      <c r="R12249" s="5">
        <v>0</v>
      </c>
      <c r="S12249" s="5">
        <v>7</v>
      </c>
    </row>
    <row r="12250" spans="1:19" ht="28" x14ac:dyDescent="0.15">
      <c r="A12250" s="2">
        <f>HYPERLINK("https://open-school.uspishnemisto.com.ua/school/610377/", 610377)</f>
        <v>610377</v>
      </c>
      <c r="B12250" s="3" t="s">
        <v>61883</v>
      </c>
      <c r="C12250" s="3" t="s">
        <v>31</v>
      </c>
      <c r="D12250" s="3" t="s">
        <v>32</v>
      </c>
      <c r="E12250" s="4" t="s">
        <v>22</v>
      </c>
      <c r="F12250" s="4" t="s">
        <v>61884</v>
      </c>
      <c r="G12250" s="4" t="s">
        <v>61885</v>
      </c>
      <c r="H12250" s="3" t="s">
        <v>60159</v>
      </c>
      <c r="I12250" s="3" t="s">
        <v>61886</v>
      </c>
      <c r="J12250" s="3" t="s">
        <v>466</v>
      </c>
      <c r="K12250" s="3" t="s">
        <v>61887</v>
      </c>
      <c r="L12250" s="3"/>
      <c r="M12250" s="4"/>
      <c r="N12250" s="3" t="s">
        <v>37</v>
      </c>
      <c r="O12250" s="3" t="s">
        <v>46</v>
      </c>
      <c r="P12250" s="5">
        <v>6</v>
      </c>
      <c r="Q12250" s="5">
        <v>58</v>
      </c>
      <c r="R12250" s="5">
        <v>7</v>
      </c>
      <c r="S12250" s="5">
        <v>63</v>
      </c>
    </row>
    <row r="12251" spans="1:19" ht="28" x14ac:dyDescent="0.15">
      <c r="A12251" s="2">
        <f>HYPERLINK("https://open-school.uspishnemisto.com.ua/school/610378/", 610378)</f>
        <v>610378</v>
      </c>
      <c r="B12251" s="3" t="s">
        <v>61888</v>
      </c>
      <c r="C12251" s="3" t="s">
        <v>31</v>
      </c>
      <c r="D12251" s="3" t="s">
        <v>60</v>
      </c>
      <c r="E12251" s="4" t="s">
        <v>22</v>
      </c>
      <c r="F12251" s="4" t="s">
        <v>61889</v>
      </c>
      <c r="G12251" s="4" t="s">
        <v>61890</v>
      </c>
      <c r="H12251" s="3" t="s">
        <v>60159</v>
      </c>
      <c r="I12251" s="3" t="s">
        <v>61891</v>
      </c>
      <c r="J12251" s="3" t="s">
        <v>3839</v>
      </c>
      <c r="K12251" s="3" t="s">
        <v>61892</v>
      </c>
      <c r="L12251" s="3"/>
      <c r="M12251" s="4"/>
      <c r="N12251" s="3" t="s">
        <v>37</v>
      </c>
      <c r="O12251" s="3" t="s">
        <v>52</v>
      </c>
      <c r="P12251" s="5">
        <v>0</v>
      </c>
      <c r="Q12251" s="5">
        <v>0</v>
      </c>
      <c r="R12251" s="5">
        <v>4</v>
      </c>
      <c r="S12251" s="5">
        <v>43</v>
      </c>
    </row>
    <row r="12252" spans="1:19" ht="56" x14ac:dyDescent="0.15">
      <c r="A12252" s="2">
        <f>HYPERLINK("https://open-school.uspishnemisto.com.ua/school/610379/", 610379)</f>
        <v>610379</v>
      </c>
      <c r="B12252" s="3" t="s">
        <v>61893</v>
      </c>
      <c r="C12252" s="3" t="s">
        <v>54</v>
      </c>
      <c r="D12252" s="3" t="s">
        <v>32</v>
      </c>
      <c r="E12252" s="4" t="s">
        <v>22</v>
      </c>
      <c r="F12252" s="4" t="s">
        <v>61894</v>
      </c>
      <c r="G12252" s="4" t="s">
        <v>61895</v>
      </c>
      <c r="H12252" s="3" t="s">
        <v>60159</v>
      </c>
      <c r="I12252" s="3" t="s">
        <v>61896</v>
      </c>
      <c r="J12252" s="3" t="s">
        <v>18837</v>
      </c>
      <c r="K12252" s="3" t="s">
        <v>61897</v>
      </c>
      <c r="L12252" s="3" t="s">
        <v>61898</v>
      </c>
      <c r="M12252" s="4"/>
      <c r="N12252" s="3" t="s">
        <v>37</v>
      </c>
      <c r="O12252" s="3" t="s">
        <v>46</v>
      </c>
      <c r="P12252" s="5">
        <v>11</v>
      </c>
      <c r="Q12252" s="5">
        <v>175</v>
      </c>
      <c r="R12252" s="5">
        <v>11</v>
      </c>
      <c r="S12252" s="5">
        <v>179</v>
      </c>
    </row>
    <row r="12253" spans="1:19" ht="28" x14ac:dyDescent="0.15">
      <c r="A12253" s="2">
        <f>HYPERLINK("https://open-school.uspishnemisto.com.ua/school/610380/", 610380)</f>
        <v>610380</v>
      </c>
      <c r="B12253" s="3" t="s">
        <v>61899</v>
      </c>
      <c r="C12253" s="3" t="s">
        <v>31</v>
      </c>
      <c r="D12253" s="3" t="s">
        <v>60</v>
      </c>
      <c r="E12253" s="4" t="s">
        <v>22</v>
      </c>
      <c r="F12253" s="4" t="s">
        <v>61900</v>
      </c>
      <c r="G12253" s="4" t="s">
        <v>61901</v>
      </c>
      <c r="H12253" s="3" t="s">
        <v>60159</v>
      </c>
      <c r="I12253" s="3" t="s">
        <v>61902</v>
      </c>
      <c r="J12253" s="3"/>
      <c r="K12253" s="3"/>
      <c r="L12253" s="3"/>
      <c r="M12253" s="4"/>
      <c r="N12253" s="3" t="s">
        <v>37</v>
      </c>
      <c r="O12253" s="3" t="s">
        <v>52</v>
      </c>
      <c r="P12253" s="5">
        <v>0</v>
      </c>
      <c r="Q12253" s="5">
        <v>7</v>
      </c>
      <c r="R12253" s="5">
        <v>0</v>
      </c>
      <c r="S12253" s="5">
        <v>6</v>
      </c>
    </row>
    <row r="12254" spans="1:19" ht="28" x14ac:dyDescent="0.15">
      <c r="A12254" s="2">
        <f>HYPERLINK("https://open-school.uspishnemisto.com.ua/school/610381/", 610381)</f>
        <v>610381</v>
      </c>
      <c r="B12254" s="3" t="s">
        <v>61903</v>
      </c>
      <c r="C12254" s="3" t="s">
        <v>31</v>
      </c>
      <c r="D12254" s="3" t="s">
        <v>175</v>
      </c>
      <c r="E12254" s="4" t="s">
        <v>22</v>
      </c>
      <c r="F12254" s="4" t="s">
        <v>61904</v>
      </c>
      <c r="G12254" s="4" t="s">
        <v>61905</v>
      </c>
      <c r="H12254" s="3" t="s">
        <v>60159</v>
      </c>
      <c r="I12254" s="3" t="s">
        <v>61906</v>
      </c>
      <c r="J12254" s="3"/>
      <c r="K12254" s="3" t="s">
        <v>61907</v>
      </c>
      <c r="L12254" s="3"/>
      <c r="M12254" s="4"/>
      <c r="N12254" s="3" t="s">
        <v>37</v>
      </c>
      <c r="O12254" s="3" t="s">
        <v>46</v>
      </c>
      <c r="P12254" s="5">
        <v>2</v>
      </c>
      <c r="Q12254" s="5">
        <v>30</v>
      </c>
      <c r="R12254" s="5">
        <v>2</v>
      </c>
      <c r="S12254" s="5">
        <v>37</v>
      </c>
    </row>
    <row r="12255" spans="1:19" ht="28" x14ac:dyDescent="0.15">
      <c r="A12255" s="2">
        <f>HYPERLINK("https://open-school.uspishnemisto.com.ua/school/610382/", 610382)</f>
        <v>610382</v>
      </c>
      <c r="B12255" s="3" t="s">
        <v>61908</v>
      </c>
      <c r="C12255" s="3" t="s">
        <v>31</v>
      </c>
      <c r="D12255" s="3" t="s">
        <v>175</v>
      </c>
      <c r="E12255" s="4" t="s">
        <v>22</v>
      </c>
      <c r="F12255" s="4" t="s">
        <v>61909</v>
      </c>
      <c r="G12255" s="4" t="s">
        <v>61910</v>
      </c>
      <c r="H12255" s="3" t="s">
        <v>60159</v>
      </c>
      <c r="I12255" s="3" t="s">
        <v>61911</v>
      </c>
      <c r="J12255" s="3" t="s">
        <v>61912</v>
      </c>
      <c r="K12255" s="3" t="s">
        <v>61913</v>
      </c>
      <c r="L12255" s="3"/>
      <c r="M12255" s="4"/>
      <c r="N12255" s="3" t="s">
        <v>37</v>
      </c>
      <c r="O12255" s="3" t="s">
        <v>52</v>
      </c>
      <c r="P12255" s="5">
        <v>1</v>
      </c>
      <c r="Q12255" s="5">
        <v>27</v>
      </c>
      <c r="R12255" s="5">
        <v>1</v>
      </c>
      <c r="S12255" s="5">
        <v>30</v>
      </c>
    </row>
    <row r="12256" spans="1:19" ht="28" x14ac:dyDescent="0.15">
      <c r="A12256" s="2">
        <f>HYPERLINK("https://open-school.uspishnemisto.com.ua/school/610383/", 610383)</f>
        <v>610383</v>
      </c>
      <c r="B12256" s="3" t="s">
        <v>61914</v>
      </c>
      <c r="C12256" s="3" t="s">
        <v>31</v>
      </c>
      <c r="D12256" s="3" t="s">
        <v>32</v>
      </c>
      <c r="E12256" s="4" t="s">
        <v>22</v>
      </c>
      <c r="F12256" s="4" t="s">
        <v>61915</v>
      </c>
      <c r="G12256" s="4" t="s">
        <v>61916</v>
      </c>
      <c r="H12256" s="3" t="s">
        <v>60159</v>
      </c>
      <c r="I12256" s="3" t="s">
        <v>41854</v>
      </c>
      <c r="J12256" s="3" t="s">
        <v>4747</v>
      </c>
      <c r="K12256" s="3" t="s">
        <v>61917</v>
      </c>
      <c r="L12256" s="3" t="s">
        <v>61918</v>
      </c>
      <c r="M12256" s="4"/>
      <c r="N12256" s="3" t="s">
        <v>37</v>
      </c>
      <c r="O12256" s="3" t="s">
        <v>46</v>
      </c>
      <c r="P12256" s="5">
        <v>11</v>
      </c>
      <c r="Q12256" s="5">
        <v>142</v>
      </c>
      <c r="R12256" s="5">
        <v>11</v>
      </c>
      <c r="S12256" s="5">
        <v>137</v>
      </c>
    </row>
    <row r="12257" spans="1:19" ht="28" x14ac:dyDescent="0.15">
      <c r="A12257" s="2">
        <f>HYPERLINK("https://open-school.uspishnemisto.com.ua/school/610384/", 610384)</f>
        <v>610384</v>
      </c>
      <c r="B12257" s="3" t="s">
        <v>61919</v>
      </c>
      <c r="C12257" s="3" t="s">
        <v>31</v>
      </c>
      <c r="D12257" s="3" t="s">
        <v>175</v>
      </c>
      <c r="E12257" s="4" t="s">
        <v>22</v>
      </c>
      <c r="F12257" s="4" t="s">
        <v>61879</v>
      </c>
      <c r="G12257" s="4" t="s">
        <v>61920</v>
      </c>
      <c r="H12257" s="3" t="s">
        <v>60159</v>
      </c>
      <c r="I12257" s="3" t="s">
        <v>2977</v>
      </c>
      <c r="J12257" s="3"/>
      <c r="K12257" s="3" t="s">
        <v>61921</v>
      </c>
      <c r="L12257" s="3"/>
      <c r="M12257" s="4"/>
      <c r="N12257" s="3" t="s">
        <v>37</v>
      </c>
      <c r="O12257" s="3" t="s">
        <v>46</v>
      </c>
      <c r="P12257" s="5">
        <v>8</v>
      </c>
      <c r="Q12257" s="5">
        <v>60</v>
      </c>
      <c r="R12257" s="5">
        <v>7</v>
      </c>
      <c r="S12257" s="5">
        <v>54</v>
      </c>
    </row>
    <row r="12258" spans="1:19" ht="28" x14ac:dyDescent="0.15">
      <c r="A12258" s="2">
        <f>HYPERLINK("https://open-school.uspishnemisto.com.ua/school/610385/", 610385)</f>
        <v>610385</v>
      </c>
      <c r="B12258" s="3" t="s">
        <v>61922</v>
      </c>
      <c r="C12258" s="3" t="s">
        <v>31</v>
      </c>
      <c r="D12258" s="3" t="s">
        <v>175</v>
      </c>
      <c r="E12258" s="4" t="s">
        <v>22</v>
      </c>
      <c r="F12258" s="4" t="s">
        <v>61923</v>
      </c>
      <c r="G12258" s="4" t="s">
        <v>61924</v>
      </c>
      <c r="H12258" s="3" t="s">
        <v>60159</v>
      </c>
      <c r="I12258" s="3" t="s">
        <v>61925</v>
      </c>
      <c r="J12258" s="3" t="s">
        <v>6800</v>
      </c>
      <c r="K12258" s="3" t="s">
        <v>61926</v>
      </c>
      <c r="L12258" s="3"/>
      <c r="M12258" s="4"/>
      <c r="N12258" s="3" t="s">
        <v>37</v>
      </c>
      <c r="O12258" s="3" t="s">
        <v>46</v>
      </c>
      <c r="P12258" s="5">
        <v>4</v>
      </c>
      <c r="Q12258" s="5">
        <v>33</v>
      </c>
      <c r="R12258" s="5">
        <v>3</v>
      </c>
      <c r="S12258" s="5">
        <v>32</v>
      </c>
    </row>
    <row r="12259" spans="1:19" ht="28" x14ac:dyDescent="0.15">
      <c r="A12259" s="2">
        <f>HYPERLINK("https://open-school.uspishnemisto.com.ua/school/610386/", 610386)</f>
        <v>610386</v>
      </c>
      <c r="B12259" s="3" t="s">
        <v>61927</v>
      </c>
      <c r="C12259" s="3" t="s">
        <v>31</v>
      </c>
      <c r="D12259" s="3" t="s">
        <v>60</v>
      </c>
      <c r="E12259" s="4" t="s">
        <v>22</v>
      </c>
      <c r="F12259" s="4" t="s">
        <v>61928</v>
      </c>
      <c r="G12259" s="4" t="s">
        <v>61929</v>
      </c>
      <c r="H12259" s="3" t="s">
        <v>60159</v>
      </c>
      <c r="I12259" s="3" t="s">
        <v>1803</v>
      </c>
      <c r="J12259" s="3" t="s">
        <v>7905</v>
      </c>
      <c r="K12259" s="3" t="s">
        <v>61930</v>
      </c>
      <c r="L12259" s="3"/>
      <c r="M12259" s="4"/>
      <c r="N12259" s="3" t="s">
        <v>37</v>
      </c>
      <c r="O12259" s="3" t="s">
        <v>52</v>
      </c>
      <c r="P12259" s="5">
        <v>0</v>
      </c>
      <c r="Q12259" s="5">
        <v>8</v>
      </c>
      <c r="R12259" s="5">
        <v>0</v>
      </c>
      <c r="S12259" s="5">
        <v>8</v>
      </c>
    </row>
    <row r="12260" spans="1:19" ht="28" x14ac:dyDescent="0.15">
      <c r="A12260" s="2">
        <f>HYPERLINK("https://open-school.uspishnemisto.com.ua/school/610387/", 610387)</f>
        <v>610387</v>
      </c>
      <c r="B12260" s="3" t="s">
        <v>61931</v>
      </c>
      <c r="C12260" s="3" t="s">
        <v>31</v>
      </c>
      <c r="D12260" s="3" t="s">
        <v>60</v>
      </c>
      <c r="E12260" s="4" t="s">
        <v>22</v>
      </c>
      <c r="F12260" s="4" t="s">
        <v>61830</v>
      </c>
      <c r="G12260" s="4" t="s">
        <v>61932</v>
      </c>
      <c r="H12260" s="3" t="s">
        <v>60159</v>
      </c>
      <c r="I12260" s="3" t="s">
        <v>22826</v>
      </c>
      <c r="J12260" s="3" t="s">
        <v>61933</v>
      </c>
      <c r="K12260" s="3" t="s">
        <v>61934</v>
      </c>
      <c r="L12260" s="3"/>
      <c r="M12260" s="4"/>
      <c r="N12260" s="3" t="s">
        <v>37</v>
      </c>
      <c r="O12260" s="3" t="s">
        <v>52</v>
      </c>
      <c r="P12260" s="5">
        <v>0</v>
      </c>
      <c r="Q12260" s="5">
        <v>6</v>
      </c>
      <c r="R12260" s="5">
        <v>0</v>
      </c>
      <c r="S12260" s="5">
        <v>8</v>
      </c>
    </row>
    <row r="12261" spans="1:19" ht="28" x14ac:dyDescent="0.15">
      <c r="A12261" s="2">
        <f>HYPERLINK("https://open-school.uspishnemisto.com.ua/school/610388/", 610388)</f>
        <v>610388</v>
      </c>
      <c r="B12261" s="3" t="s">
        <v>61935</v>
      </c>
      <c r="C12261" s="3" t="s">
        <v>31</v>
      </c>
      <c r="D12261" s="3" t="s">
        <v>175</v>
      </c>
      <c r="E12261" s="4" t="s">
        <v>22</v>
      </c>
      <c r="F12261" s="4" t="s">
        <v>61936</v>
      </c>
      <c r="G12261" s="4" t="s">
        <v>61937</v>
      </c>
      <c r="H12261" s="3" t="s">
        <v>60159</v>
      </c>
      <c r="I12261" s="3" t="s">
        <v>42818</v>
      </c>
      <c r="J12261" s="3" t="s">
        <v>61938</v>
      </c>
      <c r="K12261" s="3" t="s">
        <v>61939</v>
      </c>
      <c r="L12261" s="3"/>
      <c r="M12261" s="4"/>
      <c r="N12261" s="3" t="s">
        <v>37</v>
      </c>
      <c r="O12261" s="3" t="s">
        <v>46</v>
      </c>
      <c r="P12261" s="5">
        <v>6</v>
      </c>
      <c r="Q12261" s="5">
        <v>42</v>
      </c>
      <c r="R12261" s="5">
        <v>6</v>
      </c>
      <c r="S12261" s="5">
        <v>45</v>
      </c>
    </row>
    <row r="12262" spans="1:19" ht="28" x14ac:dyDescent="0.15">
      <c r="A12262" s="2">
        <f>HYPERLINK("https://open-school.uspishnemisto.com.ua/school/610389/", 610389)</f>
        <v>610389</v>
      </c>
      <c r="B12262" s="3" t="s">
        <v>61940</v>
      </c>
      <c r="C12262" s="3" t="s">
        <v>31</v>
      </c>
      <c r="D12262" s="3" t="s">
        <v>175</v>
      </c>
      <c r="E12262" s="4" t="s">
        <v>22</v>
      </c>
      <c r="F12262" s="4" t="s">
        <v>61941</v>
      </c>
      <c r="G12262" s="4" t="s">
        <v>61942</v>
      </c>
      <c r="H12262" s="3" t="s">
        <v>60159</v>
      </c>
      <c r="I12262" s="3" t="s">
        <v>61943</v>
      </c>
      <c r="J12262" s="3" t="s">
        <v>1417</v>
      </c>
      <c r="K12262" s="3" t="s">
        <v>61944</v>
      </c>
      <c r="L12262" s="3"/>
      <c r="M12262" s="4"/>
      <c r="N12262" s="3" t="s">
        <v>37</v>
      </c>
      <c r="O12262" s="3" t="s">
        <v>46</v>
      </c>
      <c r="P12262" s="5">
        <v>8</v>
      </c>
      <c r="Q12262" s="5">
        <v>53</v>
      </c>
      <c r="R12262" s="5">
        <v>7</v>
      </c>
      <c r="S12262" s="5">
        <v>53</v>
      </c>
    </row>
    <row r="12263" spans="1:19" ht="28" x14ac:dyDescent="0.15">
      <c r="A12263" s="2">
        <f>HYPERLINK("https://open-school.uspishnemisto.com.ua/school/610390/", 610390)</f>
        <v>610390</v>
      </c>
      <c r="B12263" s="3" t="s">
        <v>61945</v>
      </c>
      <c r="C12263" s="3" t="s">
        <v>31</v>
      </c>
      <c r="D12263" s="3" t="s">
        <v>32</v>
      </c>
      <c r="E12263" s="4" t="s">
        <v>22</v>
      </c>
      <c r="F12263" s="4" t="s">
        <v>61946</v>
      </c>
      <c r="G12263" s="4" t="s">
        <v>61947</v>
      </c>
      <c r="H12263" s="3" t="s">
        <v>60159</v>
      </c>
      <c r="I12263" s="3" t="s">
        <v>61948</v>
      </c>
      <c r="J12263" s="3" t="s">
        <v>7277</v>
      </c>
      <c r="K12263" s="3" t="s">
        <v>61949</v>
      </c>
      <c r="L12263" s="3" t="s">
        <v>61950</v>
      </c>
      <c r="M12263" s="4"/>
      <c r="N12263" s="3" t="s">
        <v>37</v>
      </c>
      <c r="O12263" s="3" t="s">
        <v>46</v>
      </c>
      <c r="P12263" s="5">
        <v>6</v>
      </c>
      <c r="Q12263" s="5">
        <v>64</v>
      </c>
      <c r="R12263" s="5">
        <v>7</v>
      </c>
      <c r="S12263" s="5">
        <v>71</v>
      </c>
    </row>
    <row r="12264" spans="1:19" ht="28" x14ac:dyDescent="0.15">
      <c r="A12264" s="2">
        <f>HYPERLINK("https://open-school.uspishnemisto.com.ua/school/610391/", 610391)</f>
        <v>610391</v>
      </c>
      <c r="B12264" s="3" t="s">
        <v>61951</v>
      </c>
      <c r="C12264" s="3" t="s">
        <v>31</v>
      </c>
      <c r="D12264" s="3" t="s">
        <v>175</v>
      </c>
      <c r="E12264" s="4" t="s">
        <v>22</v>
      </c>
      <c r="F12264" s="4" t="s">
        <v>61952</v>
      </c>
      <c r="G12264" s="4" t="s">
        <v>61953</v>
      </c>
      <c r="H12264" s="3" t="s">
        <v>60159</v>
      </c>
      <c r="I12264" s="3" t="s">
        <v>61954</v>
      </c>
      <c r="J12264" s="3" t="s">
        <v>61955</v>
      </c>
      <c r="K12264" s="3" t="s">
        <v>61956</v>
      </c>
      <c r="L12264" s="3"/>
      <c r="M12264" s="4"/>
      <c r="N12264" s="3" t="s">
        <v>37</v>
      </c>
      <c r="O12264" s="3" t="s">
        <v>46</v>
      </c>
      <c r="P12264" s="5">
        <v>6</v>
      </c>
      <c r="Q12264" s="5">
        <v>41</v>
      </c>
      <c r="R12264" s="5">
        <v>5</v>
      </c>
      <c r="S12264" s="5">
        <v>41</v>
      </c>
    </row>
    <row r="12265" spans="1:19" ht="28" x14ac:dyDescent="0.15">
      <c r="A12265" s="2">
        <f>HYPERLINK("https://open-school.uspishnemisto.com.ua/school/610392/", 610392)</f>
        <v>610392</v>
      </c>
      <c r="B12265" s="3" t="s">
        <v>61957</v>
      </c>
      <c r="C12265" s="3" t="s">
        <v>31</v>
      </c>
      <c r="D12265" s="3" t="s">
        <v>32</v>
      </c>
      <c r="E12265" s="4" t="s">
        <v>22</v>
      </c>
      <c r="F12265" s="4" t="s">
        <v>61958</v>
      </c>
      <c r="G12265" s="4" t="s">
        <v>61959</v>
      </c>
      <c r="H12265" s="3" t="s">
        <v>60159</v>
      </c>
      <c r="I12265" s="3" t="s">
        <v>61960</v>
      </c>
      <c r="J12265" s="3" t="s">
        <v>61961</v>
      </c>
      <c r="K12265" s="3" t="s">
        <v>61962</v>
      </c>
      <c r="L12265" s="3"/>
      <c r="M12265" s="4"/>
      <c r="N12265" s="3" t="s">
        <v>37</v>
      </c>
      <c r="O12265" s="3" t="s">
        <v>46</v>
      </c>
      <c r="P12265" s="5">
        <v>10</v>
      </c>
      <c r="Q12265" s="5">
        <v>98</v>
      </c>
      <c r="R12265" s="5">
        <v>10</v>
      </c>
      <c r="S12265" s="5">
        <v>93</v>
      </c>
    </row>
    <row r="12266" spans="1:19" ht="28" x14ac:dyDescent="0.15">
      <c r="A12266" s="2">
        <f>HYPERLINK("https://open-school.uspishnemisto.com.ua/school/610393/", 610393)</f>
        <v>610393</v>
      </c>
      <c r="B12266" s="3" t="s">
        <v>61963</v>
      </c>
      <c r="C12266" s="3" t="s">
        <v>31</v>
      </c>
      <c r="D12266" s="3" t="s">
        <v>60</v>
      </c>
      <c r="E12266" s="4" t="s">
        <v>22</v>
      </c>
      <c r="F12266" s="4" t="s">
        <v>61958</v>
      </c>
      <c r="G12266" s="4" t="s">
        <v>61964</v>
      </c>
      <c r="H12266" s="3" t="s">
        <v>60159</v>
      </c>
      <c r="I12266" s="3" t="s">
        <v>61965</v>
      </c>
      <c r="J12266" s="3" t="s">
        <v>61966</v>
      </c>
      <c r="K12266" s="3" t="s">
        <v>61967</v>
      </c>
      <c r="L12266" s="3"/>
      <c r="M12266" s="4"/>
      <c r="N12266" s="3" t="s">
        <v>37</v>
      </c>
      <c r="O12266" s="3" t="s">
        <v>52</v>
      </c>
      <c r="P12266" s="5">
        <v>2</v>
      </c>
      <c r="Q12266" s="5">
        <v>15</v>
      </c>
      <c r="R12266" s="5">
        <v>1</v>
      </c>
      <c r="S12266" s="5">
        <v>14</v>
      </c>
    </row>
    <row r="12267" spans="1:19" ht="28" x14ac:dyDescent="0.15">
      <c r="A12267" s="2">
        <f>HYPERLINK("https://open-school.uspishnemisto.com.ua/school/610394/", 610394)</f>
        <v>610394</v>
      </c>
      <c r="B12267" s="3" t="s">
        <v>61968</v>
      </c>
      <c r="C12267" s="3" t="s">
        <v>31</v>
      </c>
      <c r="D12267" s="3" t="s">
        <v>32</v>
      </c>
      <c r="E12267" s="4" t="s">
        <v>22</v>
      </c>
      <c r="F12267" s="4" t="s">
        <v>61969</v>
      </c>
      <c r="G12267" s="4" t="s">
        <v>61970</v>
      </c>
      <c r="H12267" s="3" t="s">
        <v>60159</v>
      </c>
      <c r="I12267" s="3" t="s">
        <v>61971</v>
      </c>
      <c r="J12267" s="3" t="s">
        <v>61972</v>
      </c>
      <c r="K12267" s="3" t="s">
        <v>61973</v>
      </c>
      <c r="L12267" s="3" t="s">
        <v>61974</v>
      </c>
      <c r="M12267" s="4"/>
      <c r="N12267" s="3" t="s">
        <v>37</v>
      </c>
      <c r="O12267" s="3" t="s">
        <v>46</v>
      </c>
      <c r="P12267" s="5">
        <v>10</v>
      </c>
      <c r="Q12267" s="5">
        <v>86</v>
      </c>
      <c r="R12267" s="5">
        <v>10</v>
      </c>
      <c r="S12267" s="5">
        <v>80</v>
      </c>
    </row>
    <row r="12268" spans="1:19" ht="28" x14ac:dyDescent="0.15">
      <c r="A12268" s="2">
        <f>HYPERLINK("https://open-school.uspishnemisto.com.ua/school/610395/", 610395)</f>
        <v>610395</v>
      </c>
      <c r="B12268" s="3" t="s">
        <v>61975</v>
      </c>
      <c r="C12268" s="3" t="s">
        <v>31</v>
      </c>
      <c r="D12268" s="3" t="s">
        <v>60</v>
      </c>
      <c r="E12268" s="4" t="s">
        <v>22</v>
      </c>
      <c r="F12268" s="4" t="s">
        <v>61879</v>
      </c>
      <c r="G12268" s="4" t="s">
        <v>61976</v>
      </c>
      <c r="H12268" s="3" t="s">
        <v>60159</v>
      </c>
      <c r="I12268" s="3" t="s">
        <v>61977</v>
      </c>
      <c r="J12268" s="3" t="s">
        <v>61978</v>
      </c>
      <c r="K12268" s="3" t="s">
        <v>61979</v>
      </c>
      <c r="L12268" s="3"/>
      <c r="M12268" s="4"/>
      <c r="N12268" s="3" t="s">
        <v>37</v>
      </c>
      <c r="O12268" s="3" t="s">
        <v>52</v>
      </c>
      <c r="P12268" s="5">
        <v>2</v>
      </c>
      <c r="Q12268" s="5">
        <v>20</v>
      </c>
      <c r="R12268" s="5">
        <v>2</v>
      </c>
      <c r="S12268" s="5">
        <v>22</v>
      </c>
    </row>
    <row r="12269" spans="1:19" ht="28" x14ac:dyDescent="0.15">
      <c r="A12269" s="2">
        <f>HYPERLINK("https://open-school.uspishnemisto.com.ua/school/610396/", 610396)</f>
        <v>610396</v>
      </c>
      <c r="B12269" s="3" t="s">
        <v>61980</v>
      </c>
      <c r="C12269" s="3" t="s">
        <v>31</v>
      </c>
      <c r="D12269" s="3" t="s">
        <v>175</v>
      </c>
      <c r="E12269" s="4" t="s">
        <v>22</v>
      </c>
      <c r="F12269" s="4" t="s">
        <v>61884</v>
      </c>
      <c r="G12269" s="4" t="s">
        <v>61981</v>
      </c>
      <c r="H12269" s="3" t="s">
        <v>60159</v>
      </c>
      <c r="I12269" s="3" t="s">
        <v>61982</v>
      </c>
      <c r="J12269" s="3" t="s">
        <v>61983</v>
      </c>
      <c r="K12269" s="3" t="s">
        <v>61984</v>
      </c>
      <c r="L12269" s="3"/>
      <c r="M12269" s="4"/>
      <c r="N12269" s="3" t="s">
        <v>37</v>
      </c>
      <c r="O12269" s="3" t="s">
        <v>52</v>
      </c>
      <c r="P12269" s="5">
        <v>1</v>
      </c>
      <c r="Q12269" s="5">
        <v>25</v>
      </c>
      <c r="R12269" s="5">
        <v>1</v>
      </c>
      <c r="S12269" s="5">
        <v>28</v>
      </c>
    </row>
    <row r="12270" spans="1:19" ht="28" x14ac:dyDescent="0.15">
      <c r="A12270" s="2">
        <f>HYPERLINK("https://open-school.uspishnemisto.com.ua/school/610397/", 610397)</f>
        <v>610397</v>
      </c>
      <c r="B12270" s="3" t="s">
        <v>61985</v>
      </c>
      <c r="C12270" s="3" t="s">
        <v>31</v>
      </c>
      <c r="D12270" s="3" t="s">
        <v>32</v>
      </c>
      <c r="E12270" s="4" t="s">
        <v>22</v>
      </c>
      <c r="F12270" s="4" t="s">
        <v>61986</v>
      </c>
      <c r="G12270" s="4" t="s">
        <v>61987</v>
      </c>
      <c r="H12270" s="3" t="s">
        <v>60159</v>
      </c>
      <c r="I12270" s="3" t="s">
        <v>31277</v>
      </c>
      <c r="J12270" s="3" t="s">
        <v>61988</v>
      </c>
      <c r="K12270" s="3" t="s">
        <v>61989</v>
      </c>
      <c r="L12270" s="3" t="s">
        <v>61990</v>
      </c>
      <c r="M12270" s="4"/>
      <c r="N12270" s="3" t="s">
        <v>37</v>
      </c>
      <c r="O12270" s="3" t="s">
        <v>46</v>
      </c>
      <c r="P12270" s="5">
        <v>20</v>
      </c>
      <c r="Q12270" s="5">
        <v>403</v>
      </c>
      <c r="R12270" s="5">
        <v>20</v>
      </c>
      <c r="S12270" s="5">
        <v>407</v>
      </c>
    </row>
    <row r="12271" spans="1:19" ht="28" x14ac:dyDescent="0.15">
      <c r="A12271" s="2">
        <f>HYPERLINK("https://open-school.uspishnemisto.com.ua/school/610398/", 610398)</f>
        <v>610398</v>
      </c>
      <c r="B12271" s="3" t="s">
        <v>61991</v>
      </c>
      <c r="C12271" s="3" t="s">
        <v>31</v>
      </c>
      <c r="D12271" s="3" t="s">
        <v>32</v>
      </c>
      <c r="E12271" s="4" t="s">
        <v>22</v>
      </c>
      <c r="F12271" s="4" t="s">
        <v>61992</v>
      </c>
      <c r="G12271" s="4" t="s">
        <v>61993</v>
      </c>
      <c r="H12271" s="3" t="s">
        <v>60159</v>
      </c>
      <c r="I12271" s="3" t="s">
        <v>61994</v>
      </c>
      <c r="J12271" s="3" t="s">
        <v>61995</v>
      </c>
      <c r="K12271" s="3" t="s">
        <v>61996</v>
      </c>
      <c r="L12271" s="3" t="s">
        <v>61997</v>
      </c>
      <c r="M12271" s="4"/>
      <c r="N12271" s="3" t="s">
        <v>37</v>
      </c>
      <c r="O12271" s="3" t="s">
        <v>46</v>
      </c>
      <c r="P12271" s="5">
        <v>11</v>
      </c>
      <c r="Q12271" s="5">
        <v>115</v>
      </c>
      <c r="R12271" s="5">
        <v>11</v>
      </c>
      <c r="S12271" s="5">
        <v>120</v>
      </c>
    </row>
    <row r="12272" spans="1:19" ht="28" x14ac:dyDescent="0.15">
      <c r="A12272" s="2">
        <f>HYPERLINK("https://open-school.uspishnemisto.com.ua/school/610399/", 610399)</f>
        <v>610399</v>
      </c>
      <c r="B12272" s="3" t="s">
        <v>61998</v>
      </c>
      <c r="C12272" s="3" t="s">
        <v>31</v>
      </c>
      <c r="D12272" s="3" t="s">
        <v>175</v>
      </c>
      <c r="E12272" s="4" t="s">
        <v>22</v>
      </c>
      <c r="F12272" s="4" t="s">
        <v>61999</v>
      </c>
      <c r="G12272" s="4" t="s">
        <v>62000</v>
      </c>
      <c r="H12272" s="3" t="s">
        <v>60159</v>
      </c>
      <c r="I12272" s="3" t="s">
        <v>62001</v>
      </c>
      <c r="J12272" s="3" t="s">
        <v>27807</v>
      </c>
      <c r="K12272" s="3" t="s">
        <v>62002</v>
      </c>
      <c r="L12272" s="3" t="s">
        <v>62003</v>
      </c>
      <c r="M12272" s="4"/>
      <c r="N12272" s="3" t="s">
        <v>37</v>
      </c>
      <c r="O12272" s="3" t="s">
        <v>46</v>
      </c>
      <c r="P12272" s="5">
        <v>7</v>
      </c>
      <c r="Q12272" s="5">
        <v>55</v>
      </c>
      <c r="R12272" s="5">
        <v>7</v>
      </c>
      <c r="S12272" s="5">
        <v>60</v>
      </c>
    </row>
    <row r="12273" spans="1:19" ht="28" x14ac:dyDescent="0.15">
      <c r="A12273" s="2">
        <f>HYPERLINK("https://open-school.uspishnemisto.com.ua/school/610400/", 610400)</f>
        <v>610400</v>
      </c>
      <c r="B12273" s="3" t="s">
        <v>62004</v>
      </c>
      <c r="C12273" s="3" t="s">
        <v>31</v>
      </c>
      <c r="D12273" s="3" t="s">
        <v>60</v>
      </c>
      <c r="E12273" s="4" t="s">
        <v>22</v>
      </c>
      <c r="F12273" s="4" t="s">
        <v>61915</v>
      </c>
      <c r="G12273" s="4" t="s">
        <v>62005</v>
      </c>
      <c r="H12273" s="3" t="s">
        <v>60159</v>
      </c>
      <c r="I12273" s="3" t="s">
        <v>12106</v>
      </c>
      <c r="J12273" s="3"/>
      <c r="K12273" s="3" t="s">
        <v>62006</v>
      </c>
      <c r="L12273" s="3"/>
      <c r="M12273" s="4"/>
      <c r="N12273" s="3" t="s">
        <v>37</v>
      </c>
      <c r="O12273" s="3" t="s">
        <v>52</v>
      </c>
      <c r="P12273" s="5">
        <v>3</v>
      </c>
      <c r="Q12273" s="5">
        <v>20</v>
      </c>
      <c r="R12273" s="5">
        <v>2</v>
      </c>
      <c r="S12273" s="5">
        <v>19</v>
      </c>
    </row>
    <row r="12274" spans="1:19" ht="28" x14ac:dyDescent="0.15">
      <c r="A12274" s="2">
        <f>HYPERLINK("https://open-school.uspishnemisto.com.ua/school/610401/", 610401)</f>
        <v>610401</v>
      </c>
      <c r="B12274" s="3" t="s">
        <v>62007</v>
      </c>
      <c r="C12274" s="3" t="s">
        <v>31</v>
      </c>
      <c r="D12274" s="3" t="s">
        <v>60</v>
      </c>
      <c r="E12274" s="4" t="s">
        <v>22</v>
      </c>
      <c r="F12274" s="4" t="s">
        <v>61915</v>
      </c>
      <c r="G12274" s="4" t="s">
        <v>62008</v>
      </c>
      <c r="H12274" s="3" t="s">
        <v>60159</v>
      </c>
      <c r="I12274" s="3" t="s">
        <v>62009</v>
      </c>
      <c r="J12274" s="3" t="s">
        <v>62010</v>
      </c>
      <c r="K12274" s="3" t="s">
        <v>62011</v>
      </c>
      <c r="L12274" s="3"/>
      <c r="M12274" s="4"/>
      <c r="N12274" s="3" t="s">
        <v>37</v>
      </c>
      <c r="O12274" s="3" t="s">
        <v>52</v>
      </c>
      <c r="P12274" s="5">
        <v>0</v>
      </c>
      <c r="Q12274" s="5">
        <v>10</v>
      </c>
      <c r="R12274" s="5">
        <v>0</v>
      </c>
      <c r="S12274" s="5">
        <v>9</v>
      </c>
    </row>
    <row r="12275" spans="1:19" ht="28" x14ac:dyDescent="0.15">
      <c r="A12275" s="2">
        <f>HYPERLINK("https://open-school.uspishnemisto.com.ua/school/610402/", 610402)</f>
        <v>610402</v>
      </c>
      <c r="B12275" s="3" t="s">
        <v>62012</v>
      </c>
      <c r="C12275" s="3" t="s">
        <v>31</v>
      </c>
      <c r="D12275" s="3" t="s">
        <v>32</v>
      </c>
      <c r="E12275" s="4" t="s">
        <v>22</v>
      </c>
      <c r="F12275" s="4" t="s">
        <v>62013</v>
      </c>
      <c r="G12275" s="4" t="s">
        <v>62014</v>
      </c>
      <c r="H12275" s="3" t="s">
        <v>60159</v>
      </c>
      <c r="I12275" s="3" t="s">
        <v>62015</v>
      </c>
      <c r="J12275" s="3" t="s">
        <v>62016</v>
      </c>
      <c r="K12275" s="3" t="s">
        <v>62017</v>
      </c>
      <c r="L12275" s="3" t="s">
        <v>62018</v>
      </c>
      <c r="M12275" s="4"/>
      <c r="N12275" s="3" t="s">
        <v>37</v>
      </c>
      <c r="O12275" s="3" t="s">
        <v>46</v>
      </c>
      <c r="P12275" s="5">
        <v>11</v>
      </c>
      <c r="Q12275" s="5">
        <v>115</v>
      </c>
      <c r="R12275" s="5">
        <v>11</v>
      </c>
      <c r="S12275" s="5">
        <v>119</v>
      </c>
    </row>
    <row r="12276" spans="1:19" ht="28" x14ac:dyDescent="0.15">
      <c r="A12276" s="2">
        <f>HYPERLINK("https://open-school.uspishnemisto.com.ua/school/610403/", 610403)</f>
        <v>610403</v>
      </c>
      <c r="B12276" s="3" t="s">
        <v>62019</v>
      </c>
      <c r="C12276" s="3" t="s">
        <v>31</v>
      </c>
      <c r="D12276" s="3" t="s">
        <v>60</v>
      </c>
      <c r="E12276" s="4" t="s">
        <v>22</v>
      </c>
      <c r="F12276" s="4" t="s">
        <v>62013</v>
      </c>
      <c r="G12276" s="4" t="s">
        <v>62020</v>
      </c>
      <c r="H12276" s="3" t="s">
        <v>60159</v>
      </c>
      <c r="I12276" s="3" t="s">
        <v>62021</v>
      </c>
      <c r="J12276" s="3" t="s">
        <v>12836</v>
      </c>
      <c r="K12276" s="3" t="s">
        <v>62017</v>
      </c>
      <c r="L12276" s="3"/>
      <c r="M12276" s="4"/>
      <c r="N12276" s="3" t="s">
        <v>37</v>
      </c>
      <c r="O12276" s="3" t="s">
        <v>52</v>
      </c>
      <c r="P12276" s="5">
        <v>1</v>
      </c>
      <c r="Q12276" s="5">
        <v>13</v>
      </c>
      <c r="R12276" s="5">
        <v>1</v>
      </c>
      <c r="S12276" s="5">
        <v>13</v>
      </c>
    </row>
    <row r="12277" spans="1:19" ht="28" x14ac:dyDescent="0.15">
      <c r="A12277" s="2">
        <f>HYPERLINK("https://open-school.uspishnemisto.com.ua/school/610404/", 610404)</f>
        <v>610404</v>
      </c>
      <c r="B12277" s="3" t="s">
        <v>62022</v>
      </c>
      <c r="C12277" s="3" t="s">
        <v>31</v>
      </c>
      <c r="D12277" s="3" t="s">
        <v>32</v>
      </c>
      <c r="E12277" s="4" t="s">
        <v>22</v>
      </c>
      <c r="F12277" s="4" t="s">
        <v>62023</v>
      </c>
      <c r="G12277" s="4" t="s">
        <v>62024</v>
      </c>
      <c r="H12277" s="3" t="s">
        <v>60159</v>
      </c>
      <c r="I12277" s="3" t="s">
        <v>62025</v>
      </c>
      <c r="J12277" s="3" t="s">
        <v>62026</v>
      </c>
      <c r="K12277" s="3" t="s">
        <v>62027</v>
      </c>
      <c r="L12277" s="3" t="s">
        <v>62028</v>
      </c>
      <c r="M12277" s="4"/>
      <c r="N12277" s="3" t="s">
        <v>37</v>
      </c>
      <c r="O12277" s="3" t="s">
        <v>46</v>
      </c>
      <c r="P12277" s="5">
        <v>5</v>
      </c>
      <c r="Q12277" s="5">
        <v>49</v>
      </c>
      <c r="R12277" s="5">
        <v>7</v>
      </c>
      <c r="S12277" s="5">
        <v>55</v>
      </c>
    </row>
    <row r="12278" spans="1:19" ht="28" x14ac:dyDescent="0.15">
      <c r="A12278" s="2">
        <f>HYPERLINK("https://open-school.uspishnemisto.com.ua/school/610405/", 610405)</f>
        <v>610405</v>
      </c>
      <c r="B12278" s="3" t="s">
        <v>62029</v>
      </c>
      <c r="C12278" s="3" t="s">
        <v>31</v>
      </c>
      <c r="D12278" s="3" t="s">
        <v>175</v>
      </c>
      <c r="E12278" s="4" t="s">
        <v>22</v>
      </c>
      <c r="F12278" s="4" t="s">
        <v>62030</v>
      </c>
      <c r="G12278" s="4" t="s">
        <v>62031</v>
      </c>
      <c r="H12278" s="3" t="s">
        <v>60159</v>
      </c>
      <c r="I12278" s="3" t="s">
        <v>62032</v>
      </c>
      <c r="J12278" s="3"/>
      <c r="K12278" s="3"/>
      <c r="L12278" s="3"/>
      <c r="M12278" s="4"/>
      <c r="N12278" s="3" t="s">
        <v>37</v>
      </c>
      <c r="O12278" s="3" t="s">
        <v>46</v>
      </c>
      <c r="P12278" s="5">
        <v>6</v>
      </c>
      <c r="Q12278" s="5">
        <v>53</v>
      </c>
      <c r="R12278" s="5">
        <v>7</v>
      </c>
      <c r="S12278" s="5">
        <v>59</v>
      </c>
    </row>
    <row r="12279" spans="1:19" ht="28" x14ac:dyDescent="0.15">
      <c r="A12279" s="2">
        <f>HYPERLINK("https://open-school.uspishnemisto.com.ua/school/610406/", 610406)</f>
        <v>610406</v>
      </c>
      <c r="B12279" s="3" t="s">
        <v>62033</v>
      </c>
      <c r="C12279" s="3" t="s">
        <v>31</v>
      </c>
      <c r="D12279" s="3" t="s">
        <v>175</v>
      </c>
      <c r="E12279" s="4" t="s">
        <v>22</v>
      </c>
      <c r="F12279" s="4" t="s">
        <v>62034</v>
      </c>
      <c r="G12279" s="4" t="s">
        <v>62035</v>
      </c>
      <c r="H12279" s="3" t="s">
        <v>60159</v>
      </c>
      <c r="I12279" s="3" t="s">
        <v>62036</v>
      </c>
      <c r="J12279" s="3" t="s">
        <v>62037</v>
      </c>
      <c r="K12279" s="3" t="s">
        <v>62038</v>
      </c>
      <c r="L12279" s="3"/>
      <c r="M12279" s="4"/>
      <c r="N12279" s="3" t="s">
        <v>37</v>
      </c>
      <c r="O12279" s="3" t="s">
        <v>46</v>
      </c>
      <c r="P12279" s="5">
        <v>5</v>
      </c>
      <c r="Q12279" s="5">
        <v>44</v>
      </c>
      <c r="R12279" s="5">
        <v>5</v>
      </c>
      <c r="S12279" s="5">
        <v>45</v>
      </c>
    </row>
    <row r="12280" spans="1:19" ht="28" x14ac:dyDescent="0.15">
      <c r="A12280" s="2">
        <f>HYPERLINK("https://open-school.uspishnemisto.com.ua/school/610407/", 610407)</f>
        <v>610407</v>
      </c>
      <c r="B12280" s="3" t="s">
        <v>62039</v>
      </c>
      <c r="C12280" s="3" t="s">
        <v>31</v>
      </c>
      <c r="D12280" s="3" t="s">
        <v>60</v>
      </c>
      <c r="E12280" s="4" t="s">
        <v>22</v>
      </c>
      <c r="F12280" s="4" t="s">
        <v>62040</v>
      </c>
      <c r="G12280" s="4" t="s">
        <v>62041</v>
      </c>
      <c r="H12280" s="3" t="s">
        <v>60159</v>
      </c>
      <c r="I12280" s="3" t="s">
        <v>5947</v>
      </c>
      <c r="J12280" s="3"/>
      <c r="K12280" s="3"/>
      <c r="L12280" s="3"/>
      <c r="M12280" s="4"/>
      <c r="N12280" s="3" t="s">
        <v>37</v>
      </c>
      <c r="O12280" s="3" t="s">
        <v>52</v>
      </c>
      <c r="P12280" s="5">
        <v>0</v>
      </c>
      <c r="Q12280" s="5">
        <v>0</v>
      </c>
      <c r="R12280" s="5">
        <v>0</v>
      </c>
      <c r="S12280" s="5">
        <v>8</v>
      </c>
    </row>
    <row r="12281" spans="1:19" ht="28" x14ac:dyDescent="0.15">
      <c r="A12281" s="2">
        <f>HYPERLINK("https://open-school.uspishnemisto.com.ua/school/610408/", 610408)</f>
        <v>610408</v>
      </c>
      <c r="B12281" s="3" t="s">
        <v>62042</v>
      </c>
      <c r="C12281" s="3" t="s">
        <v>31</v>
      </c>
      <c r="D12281" s="3" t="s">
        <v>175</v>
      </c>
      <c r="E12281" s="4" t="s">
        <v>22</v>
      </c>
      <c r="F12281" s="4" t="s">
        <v>61844</v>
      </c>
      <c r="G12281" s="4" t="s">
        <v>62043</v>
      </c>
      <c r="H12281" s="3" t="s">
        <v>60159</v>
      </c>
      <c r="I12281" s="3" t="s">
        <v>62044</v>
      </c>
      <c r="J12281" s="3" t="s">
        <v>62045</v>
      </c>
      <c r="K12281" s="3" t="s">
        <v>62046</v>
      </c>
      <c r="L12281" s="3"/>
      <c r="M12281" s="4"/>
      <c r="N12281" s="3" t="s">
        <v>37</v>
      </c>
      <c r="O12281" s="3" t="s">
        <v>46</v>
      </c>
      <c r="P12281" s="5">
        <v>9</v>
      </c>
      <c r="Q12281" s="5">
        <v>126</v>
      </c>
      <c r="R12281" s="5">
        <v>9</v>
      </c>
      <c r="S12281" s="5">
        <v>124</v>
      </c>
    </row>
    <row r="12282" spans="1:19" ht="28" x14ac:dyDescent="0.15">
      <c r="A12282" s="2">
        <f>HYPERLINK("https://open-school.uspishnemisto.com.ua/school/610409/", 610409)</f>
        <v>610409</v>
      </c>
      <c r="B12282" s="3" t="s">
        <v>62047</v>
      </c>
      <c r="C12282" s="3" t="s">
        <v>31</v>
      </c>
      <c r="D12282" s="3" t="s">
        <v>175</v>
      </c>
      <c r="E12282" s="4" t="s">
        <v>22</v>
      </c>
      <c r="F12282" s="4" t="s">
        <v>61936</v>
      </c>
      <c r="G12282" s="4" t="s">
        <v>62048</v>
      </c>
      <c r="H12282" s="3" t="s">
        <v>60159</v>
      </c>
      <c r="I12282" s="3" t="s">
        <v>62049</v>
      </c>
      <c r="J12282" s="3" t="s">
        <v>62050</v>
      </c>
      <c r="K12282" s="3" t="s">
        <v>62051</v>
      </c>
      <c r="L12282" s="3"/>
      <c r="M12282" s="4"/>
      <c r="N12282" s="3" t="s">
        <v>37</v>
      </c>
      <c r="O12282" s="3" t="s">
        <v>46</v>
      </c>
      <c r="P12282" s="5">
        <v>1</v>
      </c>
      <c r="Q12282" s="5">
        <v>28</v>
      </c>
      <c r="R12282" s="5">
        <v>1</v>
      </c>
      <c r="S12282" s="5">
        <v>30</v>
      </c>
    </row>
    <row r="12283" spans="1:19" ht="28" x14ac:dyDescent="0.15">
      <c r="A12283" s="2">
        <f>HYPERLINK("https://open-school.uspishnemisto.com.ua/school/610410/", 610410)</f>
        <v>610410</v>
      </c>
      <c r="B12283" s="3" t="s">
        <v>62052</v>
      </c>
      <c r="C12283" s="3" t="s">
        <v>31</v>
      </c>
      <c r="D12283" s="3" t="s">
        <v>175</v>
      </c>
      <c r="E12283" s="4" t="s">
        <v>22</v>
      </c>
      <c r="F12283" s="4" t="s">
        <v>62053</v>
      </c>
      <c r="G12283" s="4" t="s">
        <v>62054</v>
      </c>
      <c r="H12283" s="3" t="s">
        <v>60159</v>
      </c>
      <c r="I12283" s="3" t="s">
        <v>62055</v>
      </c>
      <c r="J12283" s="3" t="s">
        <v>3393</v>
      </c>
      <c r="K12283" s="3" t="s">
        <v>62056</v>
      </c>
      <c r="L12283" s="3"/>
      <c r="M12283" s="4"/>
      <c r="N12283" s="3" t="s">
        <v>37</v>
      </c>
      <c r="O12283" s="3" t="s">
        <v>46</v>
      </c>
      <c r="P12283" s="5">
        <v>6</v>
      </c>
      <c r="Q12283" s="5">
        <v>51</v>
      </c>
      <c r="R12283" s="5">
        <v>7</v>
      </c>
      <c r="S12283" s="5">
        <v>54</v>
      </c>
    </row>
    <row r="12284" spans="1:19" ht="28" x14ac:dyDescent="0.15">
      <c r="A12284" s="2">
        <f>HYPERLINK("https://open-school.uspishnemisto.com.ua/school/610411/", 610411)</f>
        <v>610411</v>
      </c>
      <c r="B12284" s="3" t="s">
        <v>62057</v>
      </c>
      <c r="C12284" s="3" t="s">
        <v>31</v>
      </c>
      <c r="D12284" s="3" t="s">
        <v>175</v>
      </c>
      <c r="E12284" s="4" t="s">
        <v>22</v>
      </c>
      <c r="F12284" s="4" t="s">
        <v>62058</v>
      </c>
      <c r="G12284" s="4" t="s">
        <v>62059</v>
      </c>
      <c r="H12284" s="3" t="s">
        <v>60159</v>
      </c>
      <c r="I12284" s="3" t="s">
        <v>41980</v>
      </c>
      <c r="J12284" s="3"/>
      <c r="K12284" s="3" t="s">
        <v>62060</v>
      </c>
      <c r="L12284" s="3" t="s">
        <v>62061</v>
      </c>
      <c r="M12284" s="4"/>
      <c r="N12284" s="3" t="s">
        <v>37</v>
      </c>
      <c r="O12284" s="3" t="s">
        <v>46</v>
      </c>
      <c r="P12284" s="5">
        <v>4</v>
      </c>
      <c r="Q12284" s="5">
        <v>32</v>
      </c>
      <c r="R12284" s="5">
        <v>5</v>
      </c>
      <c r="S12284" s="5">
        <v>36</v>
      </c>
    </row>
    <row r="12285" spans="1:19" ht="28" x14ac:dyDescent="0.15">
      <c r="A12285" s="2">
        <f>HYPERLINK("https://open-school.uspishnemisto.com.ua/school/610412/", 610412)</f>
        <v>610412</v>
      </c>
      <c r="B12285" s="3" t="s">
        <v>62062</v>
      </c>
      <c r="C12285" s="3" t="s">
        <v>31</v>
      </c>
      <c r="D12285" s="3" t="s">
        <v>60</v>
      </c>
      <c r="E12285" s="4" t="s">
        <v>22</v>
      </c>
      <c r="F12285" s="4" t="s">
        <v>62030</v>
      </c>
      <c r="G12285" s="4" t="s">
        <v>62063</v>
      </c>
      <c r="H12285" s="3" t="s">
        <v>60159</v>
      </c>
      <c r="I12285" s="3" t="s">
        <v>2236</v>
      </c>
      <c r="J12285" s="3" t="s">
        <v>62064</v>
      </c>
      <c r="K12285" s="3"/>
      <c r="L12285" s="3"/>
      <c r="M12285" s="4"/>
      <c r="N12285" s="3" t="s">
        <v>37</v>
      </c>
      <c r="O12285" s="3" t="s">
        <v>618</v>
      </c>
      <c r="P12285" s="5">
        <v>1</v>
      </c>
      <c r="Q12285" s="5">
        <v>8</v>
      </c>
      <c r="R12285" s="5">
        <v>0</v>
      </c>
      <c r="S12285" s="5">
        <v>5</v>
      </c>
    </row>
    <row r="12286" spans="1:19" ht="28" x14ac:dyDescent="0.15">
      <c r="A12286" s="2">
        <f>HYPERLINK("https://open-school.uspishnemisto.com.ua/school/610413/", 610413)</f>
        <v>610413</v>
      </c>
      <c r="B12286" s="3" t="s">
        <v>62065</v>
      </c>
      <c r="C12286" s="3" t="s">
        <v>31</v>
      </c>
      <c r="D12286" s="3" t="s">
        <v>175</v>
      </c>
      <c r="E12286" s="4" t="s">
        <v>22</v>
      </c>
      <c r="F12286" s="4" t="s">
        <v>62066</v>
      </c>
      <c r="G12286" s="4" t="s">
        <v>62067</v>
      </c>
      <c r="H12286" s="3" t="s">
        <v>60159</v>
      </c>
      <c r="I12286" s="3" t="s">
        <v>62068</v>
      </c>
      <c r="J12286" s="3" t="s">
        <v>792</v>
      </c>
      <c r="K12286" s="3" t="s">
        <v>62069</v>
      </c>
      <c r="L12286" s="3"/>
      <c r="M12286" s="4"/>
      <c r="N12286" s="3" t="s">
        <v>37</v>
      </c>
      <c r="O12286" s="3" t="s">
        <v>52</v>
      </c>
      <c r="P12286" s="5">
        <v>8</v>
      </c>
      <c r="Q12286" s="5">
        <v>71</v>
      </c>
      <c r="R12286" s="5">
        <v>9</v>
      </c>
      <c r="S12286" s="5">
        <v>74</v>
      </c>
    </row>
    <row r="12287" spans="1:19" ht="28" x14ac:dyDescent="0.15">
      <c r="A12287" s="2">
        <f>HYPERLINK("https://open-school.uspishnemisto.com.ua/school/610414/", 610414)</f>
        <v>610414</v>
      </c>
      <c r="B12287" s="3" t="s">
        <v>62070</v>
      </c>
      <c r="C12287" s="3" t="s">
        <v>31</v>
      </c>
      <c r="D12287" s="3" t="s">
        <v>32</v>
      </c>
      <c r="E12287" s="4" t="s">
        <v>22</v>
      </c>
      <c r="F12287" s="4" t="s">
        <v>62071</v>
      </c>
      <c r="G12287" s="4" t="s">
        <v>62072</v>
      </c>
      <c r="H12287" s="3" t="s">
        <v>60159</v>
      </c>
      <c r="I12287" s="3" t="s">
        <v>42420</v>
      </c>
      <c r="J12287" s="3" t="s">
        <v>62073</v>
      </c>
      <c r="K12287" s="3" t="s">
        <v>62074</v>
      </c>
      <c r="L12287" s="3" t="s">
        <v>62075</v>
      </c>
      <c r="M12287" s="4"/>
      <c r="N12287" s="3" t="s">
        <v>37</v>
      </c>
      <c r="O12287" s="3" t="s">
        <v>52</v>
      </c>
      <c r="P12287" s="5">
        <v>9</v>
      </c>
      <c r="Q12287" s="5">
        <v>77</v>
      </c>
      <c r="R12287" s="5">
        <v>10</v>
      </c>
      <c r="S12287" s="5">
        <v>84</v>
      </c>
    </row>
    <row r="12288" spans="1:19" ht="28" x14ac:dyDescent="0.15">
      <c r="A12288" s="2">
        <f>HYPERLINK("https://open-school.uspishnemisto.com.ua/school/610415/", 610415)</f>
        <v>610415</v>
      </c>
      <c r="B12288" s="3" t="s">
        <v>62076</v>
      </c>
      <c r="C12288" s="3" t="s">
        <v>31</v>
      </c>
      <c r="D12288" s="3" t="s">
        <v>60</v>
      </c>
      <c r="E12288" s="4" t="s">
        <v>22</v>
      </c>
      <c r="F12288" s="4" t="s">
        <v>62034</v>
      </c>
      <c r="G12288" s="4" t="s">
        <v>62077</v>
      </c>
      <c r="H12288" s="3" t="s">
        <v>60159</v>
      </c>
      <c r="I12288" s="3" t="s">
        <v>62078</v>
      </c>
      <c r="J12288" s="3" t="s">
        <v>62079</v>
      </c>
      <c r="K12288" s="3"/>
      <c r="L12288" s="3"/>
      <c r="M12288" s="4"/>
      <c r="N12288" s="3" t="s">
        <v>37</v>
      </c>
      <c r="O12288" s="3" t="s">
        <v>52</v>
      </c>
      <c r="P12288" s="5">
        <v>0</v>
      </c>
      <c r="Q12288" s="5">
        <v>0</v>
      </c>
      <c r="R12288" s="5">
        <v>3</v>
      </c>
      <c r="S12288" s="5">
        <v>17</v>
      </c>
    </row>
    <row r="12289" spans="1:19" ht="28" x14ac:dyDescent="0.15">
      <c r="A12289" s="2">
        <f>HYPERLINK("https://open-school.uspishnemisto.com.ua/school/610416/", 610416)</f>
        <v>610416</v>
      </c>
      <c r="B12289" s="3" t="s">
        <v>62080</v>
      </c>
      <c r="C12289" s="3" t="s">
        <v>31</v>
      </c>
      <c r="D12289" s="3" t="s">
        <v>175</v>
      </c>
      <c r="E12289" s="4" t="s">
        <v>22</v>
      </c>
      <c r="F12289" s="4" t="s">
        <v>62081</v>
      </c>
      <c r="G12289" s="4" t="s">
        <v>62082</v>
      </c>
      <c r="H12289" s="3" t="s">
        <v>60159</v>
      </c>
      <c r="I12289" s="3" t="s">
        <v>62083</v>
      </c>
      <c r="J12289" s="3" t="s">
        <v>26562</v>
      </c>
      <c r="K12289" s="3" t="s">
        <v>62084</v>
      </c>
      <c r="L12289" s="3"/>
      <c r="M12289" s="4"/>
      <c r="N12289" s="3" t="s">
        <v>37</v>
      </c>
      <c r="O12289" s="3" t="s">
        <v>46</v>
      </c>
      <c r="P12289" s="5">
        <v>9</v>
      </c>
      <c r="Q12289" s="5">
        <v>81</v>
      </c>
      <c r="R12289" s="5">
        <v>9</v>
      </c>
      <c r="S12289" s="5">
        <v>81</v>
      </c>
    </row>
    <row r="12290" spans="1:19" ht="28" x14ac:dyDescent="0.15">
      <c r="A12290" s="2">
        <f>HYPERLINK("https://open-school.uspishnemisto.com.ua/school/610417/", 610417)</f>
        <v>610417</v>
      </c>
      <c r="B12290" s="3" t="s">
        <v>62085</v>
      </c>
      <c r="C12290" s="3" t="s">
        <v>40</v>
      </c>
      <c r="D12290" s="3" t="s">
        <v>32</v>
      </c>
      <c r="E12290" s="4" t="s">
        <v>22</v>
      </c>
      <c r="F12290" s="4" t="s">
        <v>62086</v>
      </c>
      <c r="G12290" s="4" t="s">
        <v>62087</v>
      </c>
      <c r="H12290" s="3" t="s">
        <v>60159</v>
      </c>
      <c r="I12290" s="3" t="s">
        <v>62088</v>
      </c>
      <c r="J12290" s="3" t="s">
        <v>27213</v>
      </c>
      <c r="K12290" s="3" t="s">
        <v>62089</v>
      </c>
      <c r="L12290" s="3"/>
      <c r="M12290" s="4"/>
      <c r="N12290" s="3" t="s">
        <v>37</v>
      </c>
      <c r="O12290" s="3" t="s">
        <v>123</v>
      </c>
      <c r="P12290" s="5">
        <v>12</v>
      </c>
      <c r="Q12290" s="5">
        <v>254</v>
      </c>
      <c r="R12290" s="5">
        <v>12</v>
      </c>
      <c r="S12290" s="5">
        <v>258</v>
      </c>
    </row>
    <row r="12291" spans="1:19" ht="28" x14ac:dyDescent="0.15">
      <c r="A12291" s="2">
        <f>HYPERLINK("https://open-school.uspishnemisto.com.ua/school/610418/", 610418)</f>
        <v>610418</v>
      </c>
      <c r="B12291" s="3" t="s">
        <v>62090</v>
      </c>
      <c r="C12291" s="3" t="s">
        <v>31</v>
      </c>
      <c r="D12291" s="3" t="s">
        <v>32</v>
      </c>
      <c r="E12291" s="4" t="s">
        <v>22</v>
      </c>
      <c r="F12291" s="4" t="s">
        <v>62086</v>
      </c>
      <c r="G12291" s="4" t="s">
        <v>62087</v>
      </c>
      <c r="H12291" s="3" t="s">
        <v>60159</v>
      </c>
      <c r="I12291" s="3" t="s">
        <v>62088</v>
      </c>
      <c r="J12291" s="3" t="s">
        <v>62091</v>
      </c>
      <c r="K12291" s="3" t="s">
        <v>62092</v>
      </c>
      <c r="L12291" s="3"/>
      <c r="M12291" s="4"/>
      <c r="N12291" s="3" t="s">
        <v>37</v>
      </c>
      <c r="O12291" s="3" t="s">
        <v>46</v>
      </c>
      <c r="P12291" s="5">
        <v>27</v>
      </c>
      <c r="Q12291" s="5">
        <v>565</v>
      </c>
      <c r="R12291" s="5">
        <v>26</v>
      </c>
      <c r="S12291" s="5">
        <v>549</v>
      </c>
    </row>
    <row r="12292" spans="1:19" ht="28" x14ac:dyDescent="0.15">
      <c r="A12292" s="2">
        <f>HYPERLINK("https://open-school.uspishnemisto.com.ua/school/610419/", 610419)</f>
        <v>610419</v>
      </c>
      <c r="B12292" s="3" t="s">
        <v>62093</v>
      </c>
      <c r="C12292" s="3" t="s">
        <v>31</v>
      </c>
      <c r="D12292" s="3" t="s">
        <v>32</v>
      </c>
      <c r="E12292" s="4" t="s">
        <v>22</v>
      </c>
      <c r="F12292" s="4" t="s">
        <v>62094</v>
      </c>
      <c r="G12292" s="4" t="s">
        <v>62087</v>
      </c>
      <c r="H12292" s="3" t="s">
        <v>60159</v>
      </c>
      <c r="I12292" s="3" t="s">
        <v>62088</v>
      </c>
      <c r="J12292" s="3" t="s">
        <v>62095</v>
      </c>
      <c r="K12292" s="3" t="s">
        <v>62096</v>
      </c>
      <c r="L12292" s="3" t="s">
        <v>62097</v>
      </c>
      <c r="M12292" s="4"/>
      <c r="N12292" s="3" t="s">
        <v>37</v>
      </c>
      <c r="O12292" s="3" t="s">
        <v>2740</v>
      </c>
      <c r="P12292" s="5">
        <v>13</v>
      </c>
      <c r="Q12292" s="5">
        <v>233</v>
      </c>
      <c r="R12292" s="5">
        <v>13</v>
      </c>
      <c r="S12292" s="5">
        <v>246</v>
      </c>
    </row>
    <row r="12293" spans="1:19" ht="28" x14ac:dyDescent="0.15">
      <c r="A12293" s="2">
        <f>HYPERLINK("https://open-school.uspishnemisto.com.ua/school/610420/", 610420)</f>
        <v>610420</v>
      </c>
      <c r="B12293" s="3" t="s">
        <v>62098</v>
      </c>
      <c r="C12293" s="3" t="s">
        <v>31</v>
      </c>
      <c r="D12293" s="3" t="s">
        <v>32</v>
      </c>
      <c r="E12293" s="4" t="s">
        <v>22</v>
      </c>
      <c r="F12293" s="4" t="s">
        <v>62099</v>
      </c>
      <c r="G12293" s="4" t="s">
        <v>62100</v>
      </c>
      <c r="H12293" s="3" t="s">
        <v>60159</v>
      </c>
      <c r="I12293" s="3" t="s">
        <v>2509</v>
      </c>
      <c r="J12293" s="3" t="s">
        <v>62101</v>
      </c>
      <c r="K12293" s="3" t="s">
        <v>62102</v>
      </c>
      <c r="L12293" s="3"/>
      <c r="M12293" s="4"/>
      <c r="N12293" s="3" t="s">
        <v>37</v>
      </c>
      <c r="O12293" s="3" t="s">
        <v>139</v>
      </c>
      <c r="P12293" s="5">
        <v>13</v>
      </c>
      <c r="Q12293" s="5">
        <v>267</v>
      </c>
      <c r="R12293" s="5">
        <v>13</v>
      </c>
      <c r="S12293" s="5">
        <v>271</v>
      </c>
    </row>
    <row r="12294" spans="1:19" ht="28" x14ac:dyDescent="0.15">
      <c r="A12294" s="2">
        <f>HYPERLINK("https://open-school.uspishnemisto.com.ua/school/610421/", 610421)</f>
        <v>610421</v>
      </c>
      <c r="B12294" s="3" t="s">
        <v>62103</v>
      </c>
      <c r="C12294" s="3" t="s">
        <v>31</v>
      </c>
      <c r="D12294" s="3" t="s">
        <v>175</v>
      </c>
      <c r="E12294" s="4" t="s">
        <v>22</v>
      </c>
      <c r="F12294" s="4" t="s">
        <v>62104</v>
      </c>
      <c r="G12294" s="4" t="s">
        <v>62105</v>
      </c>
      <c r="H12294" s="3" t="s">
        <v>60159</v>
      </c>
      <c r="I12294" s="3" t="s">
        <v>48353</v>
      </c>
      <c r="J12294" s="3" t="s">
        <v>1417</v>
      </c>
      <c r="K12294" s="3" t="s">
        <v>62106</v>
      </c>
      <c r="L12294" s="3"/>
      <c r="M12294" s="4"/>
      <c r="N12294" s="3" t="s">
        <v>37</v>
      </c>
      <c r="O12294" s="3" t="s">
        <v>46</v>
      </c>
      <c r="P12294" s="5">
        <v>2</v>
      </c>
      <c r="Q12294" s="5">
        <v>28</v>
      </c>
      <c r="R12294" s="5">
        <v>2</v>
      </c>
      <c r="S12294" s="5">
        <v>29</v>
      </c>
    </row>
    <row r="12295" spans="1:19" ht="28" x14ac:dyDescent="0.15">
      <c r="A12295" s="2">
        <f>HYPERLINK("https://open-school.uspishnemisto.com.ua/school/610422/", 610422)</f>
        <v>610422</v>
      </c>
      <c r="B12295" s="3" t="s">
        <v>62107</v>
      </c>
      <c r="C12295" s="3" t="s">
        <v>31</v>
      </c>
      <c r="D12295" s="3" t="s">
        <v>60</v>
      </c>
      <c r="E12295" s="4" t="s">
        <v>22</v>
      </c>
      <c r="F12295" s="4" t="s">
        <v>62104</v>
      </c>
      <c r="G12295" s="4" t="s">
        <v>62108</v>
      </c>
      <c r="H12295" s="3" t="s">
        <v>60159</v>
      </c>
      <c r="I12295" s="3" t="s">
        <v>62109</v>
      </c>
      <c r="J12295" s="3"/>
      <c r="K12295" s="3" t="s">
        <v>62110</v>
      </c>
      <c r="L12295" s="3"/>
      <c r="M12295" s="4"/>
      <c r="N12295" s="3" t="s">
        <v>37</v>
      </c>
      <c r="O12295" s="3" t="s">
        <v>618</v>
      </c>
      <c r="P12295" s="5">
        <v>0</v>
      </c>
      <c r="Q12295" s="5">
        <v>4</v>
      </c>
      <c r="R12295" s="5">
        <v>0</v>
      </c>
      <c r="S12295" s="5">
        <v>4</v>
      </c>
    </row>
    <row r="12296" spans="1:19" ht="42" x14ac:dyDescent="0.15">
      <c r="A12296" s="2">
        <f>HYPERLINK("https://open-school.uspishnemisto.com.ua/school/610423/", 610423)</f>
        <v>610423</v>
      </c>
      <c r="B12296" s="3" t="s">
        <v>62111</v>
      </c>
      <c r="C12296" s="3" t="s">
        <v>54</v>
      </c>
      <c r="D12296" s="3" t="s">
        <v>175</v>
      </c>
      <c r="E12296" s="4" t="s">
        <v>22</v>
      </c>
      <c r="F12296" s="4" t="s">
        <v>62112</v>
      </c>
      <c r="G12296" s="4" t="s">
        <v>62113</v>
      </c>
      <c r="H12296" s="3" t="s">
        <v>60159</v>
      </c>
      <c r="I12296" s="3" t="s">
        <v>62114</v>
      </c>
      <c r="J12296" s="3" t="s">
        <v>5394</v>
      </c>
      <c r="K12296" s="3" t="s">
        <v>62115</v>
      </c>
      <c r="L12296" s="3"/>
      <c r="M12296" s="4"/>
      <c r="N12296" s="3" t="s">
        <v>37</v>
      </c>
      <c r="O12296" s="3" t="s">
        <v>52</v>
      </c>
      <c r="P12296" s="5">
        <v>7</v>
      </c>
      <c r="Q12296" s="5">
        <v>47</v>
      </c>
      <c r="R12296" s="5">
        <v>7</v>
      </c>
      <c r="S12296" s="5">
        <v>55</v>
      </c>
    </row>
    <row r="12297" spans="1:19" ht="56" x14ac:dyDescent="0.15">
      <c r="A12297" s="2">
        <f>HYPERLINK("https://open-school.uspishnemisto.com.ua/school/610424/", 610424)</f>
        <v>610424</v>
      </c>
      <c r="B12297" s="3" t="s">
        <v>62116</v>
      </c>
      <c r="C12297" s="3" t="s">
        <v>54</v>
      </c>
      <c r="D12297" s="3" t="s">
        <v>32</v>
      </c>
      <c r="E12297" s="4" t="s">
        <v>22</v>
      </c>
      <c r="F12297" s="4" t="s">
        <v>62117</v>
      </c>
      <c r="G12297" s="4" t="s">
        <v>62118</v>
      </c>
      <c r="H12297" s="3" t="s">
        <v>60159</v>
      </c>
      <c r="I12297" s="3" t="s">
        <v>29876</v>
      </c>
      <c r="J12297" s="3" t="s">
        <v>761</v>
      </c>
      <c r="K12297" s="3" t="s">
        <v>62119</v>
      </c>
      <c r="L12297" s="3"/>
      <c r="M12297" s="4"/>
      <c r="N12297" s="3" t="s">
        <v>37</v>
      </c>
      <c r="O12297" s="3" t="s">
        <v>46</v>
      </c>
      <c r="P12297" s="5">
        <v>5</v>
      </c>
      <c r="Q12297" s="5">
        <v>50</v>
      </c>
      <c r="R12297" s="5">
        <v>5</v>
      </c>
      <c r="S12297" s="5">
        <v>52</v>
      </c>
    </row>
    <row r="12298" spans="1:19" ht="28" x14ac:dyDescent="0.15">
      <c r="A12298" s="2">
        <f>HYPERLINK("https://open-school.uspishnemisto.com.ua/school/610425/", 610425)</f>
        <v>610425</v>
      </c>
      <c r="B12298" s="3" t="s">
        <v>62120</v>
      </c>
      <c r="C12298" s="3" t="s">
        <v>31</v>
      </c>
      <c r="D12298" s="3" t="s">
        <v>175</v>
      </c>
      <c r="E12298" s="4" t="s">
        <v>22</v>
      </c>
      <c r="F12298" s="4"/>
      <c r="G12298" s="4" t="s">
        <v>62121</v>
      </c>
      <c r="H12298" s="3" t="s">
        <v>60159</v>
      </c>
      <c r="I12298" s="3" t="s">
        <v>62122</v>
      </c>
      <c r="J12298" s="3"/>
      <c r="K12298" s="3"/>
      <c r="L12298" s="3"/>
      <c r="M12298" s="4"/>
      <c r="N12298" s="3" t="s">
        <v>37</v>
      </c>
      <c r="O12298" s="3" t="s">
        <v>46</v>
      </c>
      <c r="P12298" s="5">
        <v>3</v>
      </c>
      <c r="Q12298" s="5">
        <v>28</v>
      </c>
      <c r="R12298" s="5">
        <v>3</v>
      </c>
      <c r="S12298" s="5">
        <v>29</v>
      </c>
    </row>
    <row r="12299" spans="1:19" ht="56" x14ac:dyDescent="0.15">
      <c r="A12299" s="2">
        <f>HYPERLINK("https://open-school.uspishnemisto.com.ua/school/610426/", 610426)</f>
        <v>610426</v>
      </c>
      <c r="B12299" s="3" t="s">
        <v>62123</v>
      </c>
      <c r="C12299" s="3" t="s">
        <v>54</v>
      </c>
      <c r="D12299" s="3" t="s">
        <v>175</v>
      </c>
      <c r="E12299" s="4" t="s">
        <v>22</v>
      </c>
      <c r="F12299" s="4" t="s">
        <v>62124</v>
      </c>
      <c r="G12299" s="4" t="s">
        <v>62125</v>
      </c>
      <c r="H12299" s="3" t="s">
        <v>60159</v>
      </c>
      <c r="I12299" s="3" t="s">
        <v>62126</v>
      </c>
      <c r="J12299" s="3"/>
      <c r="K12299" s="3" t="s">
        <v>62127</v>
      </c>
      <c r="L12299" s="3"/>
      <c r="M12299" s="4"/>
      <c r="N12299" s="3" t="s">
        <v>37</v>
      </c>
      <c r="O12299" s="3" t="s">
        <v>46</v>
      </c>
      <c r="P12299" s="5">
        <v>3</v>
      </c>
      <c r="Q12299" s="5">
        <v>26</v>
      </c>
      <c r="R12299" s="5">
        <v>4</v>
      </c>
      <c r="S12299" s="5">
        <v>26</v>
      </c>
    </row>
    <row r="12300" spans="1:19" ht="42" x14ac:dyDescent="0.15">
      <c r="A12300" s="2">
        <f>HYPERLINK("https://open-school.uspishnemisto.com.ua/school/610427/", 610427)</f>
        <v>610427</v>
      </c>
      <c r="B12300" s="3" t="s">
        <v>62128</v>
      </c>
      <c r="C12300" s="3" t="s">
        <v>31</v>
      </c>
      <c r="D12300" s="3" t="s">
        <v>32</v>
      </c>
      <c r="E12300" s="4" t="s">
        <v>22</v>
      </c>
      <c r="F12300" s="4" t="s">
        <v>62129</v>
      </c>
      <c r="G12300" s="4" t="s">
        <v>62130</v>
      </c>
      <c r="H12300" s="3" t="s">
        <v>60159</v>
      </c>
      <c r="I12300" s="3" t="s">
        <v>62131</v>
      </c>
      <c r="J12300" s="3" t="s">
        <v>718</v>
      </c>
      <c r="K12300" s="3" t="s">
        <v>62132</v>
      </c>
      <c r="L12300" s="3"/>
      <c r="M12300" s="4"/>
      <c r="N12300" s="3" t="s">
        <v>37</v>
      </c>
      <c r="O12300" s="3" t="s">
        <v>46</v>
      </c>
      <c r="P12300" s="5">
        <v>10</v>
      </c>
      <c r="Q12300" s="5">
        <v>143</v>
      </c>
      <c r="R12300" s="5">
        <v>10</v>
      </c>
      <c r="S12300" s="5">
        <v>142</v>
      </c>
    </row>
    <row r="12301" spans="1:19" ht="28" x14ac:dyDescent="0.15">
      <c r="A12301" s="2">
        <f>HYPERLINK("https://open-school.uspishnemisto.com.ua/school/610428/", 610428)</f>
        <v>610428</v>
      </c>
      <c r="B12301" s="3" t="s">
        <v>62133</v>
      </c>
      <c r="C12301" s="3" t="s">
        <v>31</v>
      </c>
      <c r="D12301" s="3" t="s">
        <v>175</v>
      </c>
      <c r="E12301" s="4" t="s">
        <v>22</v>
      </c>
      <c r="F12301" s="4" t="s">
        <v>62134</v>
      </c>
      <c r="G12301" s="4" t="s">
        <v>62135</v>
      </c>
      <c r="H12301" s="3" t="s">
        <v>60159</v>
      </c>
      <c r="I12301" s="3" t="s">
        <v>62136</v>
      </c>
      <c r="J12301" s="3" t="s">
        <v>297</v>
      </c>
      <c r="K12301" s="3" t="s">
        <v>62137</v>
      </c>
      <c r="L12301" s="3"/>
      <c r="M12301" s="4"/>
      <c r="N12301" s="3" t="s">
        <v>37</v>
      </c>
      <c r="O12301" s="3" t="s">
        <v>46</v>
      </c>
      <c r="P12301" s="5">
        <v>9</v>
      </c>
      <c r="Q12301" s="5">
        <v>80</v>
      </c>
      <c r="R12301" s="5">
        <v>8</v>
      </c>
      <c r="S12301" s="5">
        <v>72</v>
      </c>
    </row>
    <row r="12302" spans="1:19" ht="42" x14ac:dyDescent="0.15">
      <c r="A12302" s="2">
        <f>HYPERLINK("https://open-school.uspishnemisto.com.ua/school/610429/", 610429)</f>
        <v>610429</v>
      </c>
      <c r="B12302" s="3" t="s">
        <v>62138</v>
      </c>
      <c r="C12302" s="3" t="s">
        <v>54</v>
      </c>
      <c r="D12302" s="3" t="s">
        <v>60</v>
      </c>
      <c r="E12302" s="4" t="s">
        <v>22</v>
      </c>
      <c r="F12302" s="4" t="s">
        <v>62139</v>
      </c>
      <c r="G12302" s="4" t="s">
        <v>62140</v>
      </c>
      <c r="H12302" s="3" t="s">
        <v>60159</v>
      </c>
      <c r="I12302" s="3" t="s">
        <v>33199</v>
      </c>
      <c r="J12302" s="3" t="s">
        <v>28384</v>
      </c>
      <c r="K12302" s="3"/>
      <c r="L12302" s="3"/>
      <c r="M12302" s="4"/>
      <c r="N12302" s="3" t="s">
        <v>37</v>
      </c>
      <c r="O12302" s="3" t="s">
        <v>52</v>
      </c>
      <c r="P12302" s="5">
        <v>0</v>
      </c>
      <c r="Q12302" s="5">
        <v>2</v>
      </c>
      <c r="R12302" s="5">
        <v>0</v>
      </c>
      <c r="S12302" s="5">
        <v>3</v>
      </c>
    </row>
    <row r="12303" spans="1:19" ht="56" x14ac:dyDescent="0.15">
      <c r="A12303" s="2">
        <f>HYPERLINK("https://open-school.uspishnemisto.com.ua/school/610430/", 610430)</f>
        <v>610430</v>
      </c>
      <c r="B12303" s="3" t="s">
        <v>62141</v>
      </c>
      <c r="C12303" s="3" t="s">
        <v>54</v>
      </c>
      <c r="D12303" s="3" t="s">
        <v>60</v>
      </c>
      <c r="E12303" s="4" t="s">
        <v>22</v>
      </c>
      <c r="F12303" s="4" t="s">
        <v>62142</v>
      </c>
      <c r="G12303" s="4" t="s">
        <v>62143</v>
      </c>
      <c r="H12303" s="3" t="s">
        <v>60159</v>
      </c>
      <c r="I12303" s="3" t="s">
        <v>62144</v>
      </c>
      <c r="J12303" s="3" t="s">
        <v>5492</v>
      </c>
      <c r="K12303" s="3" t="s">
        <v>62145</v>
      </c>
      <c r="L12303" s="3"/>
      <c r="M12303" s="4"/>
      <c r="N12303" s="3" t="s">
        <v>37</v>
      </c>
      <c r="O12303" s="3" t="s">
        <v>52</v>
      </c>
      <c r="P12303" s="5">
        <v>1</v>
      </c>
      <c r="Q12303" s="5">
        <v>10</v>
      </c>
      <c r="R12303" s="5">
        <v>1</v>
      </c>
      <c r="S12303" s="5">
        <v>12</v>
      </c>
    </row>
    <row r="12304" spans="1:19" ht="28" x14ac:dyDescent="0.15">
      <c r="A12304" s="2">
        <f>HYPERLINK("https://open-school.uspishnemisto.com.ua/school/610432/", 610432)</f>
        <v>610432</v>
      </c>
      <c r="B12304" s="3" t="s">
        <v>62146</v>
      </c>
      <c r="C12304" s="3" t="s">
        <v>31</v>
      </c>
      <c r="D12304" s="3" t="s">
        <v>32</v>
      </c>
      <c r="E12304" s="4" t="s">
        <v>22</v>
      </c>
      <c r="F12304" s="4" t="s">
        <v>62147</v>
      </c>
      <c r="G12304" s="4" t="s">
        <v>62148</v>
      </c>
      <c r="H12304" s="3" t="s">
        <v>60159</v>
      </c>
      <c r="I12304" s="3" t="s">
        <v>62149</v>
      </c>
      <c r="J12304" s="3" t="s">
        <v>466</v>
      </c>
      <c r="K12304" s="3" t="s">
        <v>62150</v>
      </c>
      <c r="L12304" s="3"/>
      <c r="M12304" s="4"/>
      <c r="N12304" s="3" t="s">
        <v>37</v>
      </c>
      <c r="O12304" s="3" t="s">
        <v>46</v>
      </c>
      <c r="P12304" s="5">
        <v>9</v>
      </c>
      <c r="Q12304" s="5">
        <v>83</v>
      </c>
      <c r="R12304" s="5">
        <v>9</v>
      </c>
      <c r="S12304" s="5">
        <v>79</v>
      </c>
    </row>
    <row r="12305" spans="1:19" ht="28" x14ac:dyDescent="0.15">
      <c r="A12305" s="2">
        <f>HYPERLINK("https://open-school.uspishnemisto.com.ua/school/610433/", 610433)</f>
        <v>610433</v>
      </c>
      <c r="B12305" s="3" t="s">
        <v>62151</v>
      </c>
      <c r="C12305" s="3" t="s">
        <v>31</v>
      </c>
      <c r="D12305" s="3" t="s">
        <v>32</v>
      </c>
      <c r="E12305" s="4" t="s">
        <v>22</v>
      </c>
      <c r="F12305" s="4" t="s">
        <v>62152</v>
      </c>
      <c r="G12305" s="4" t="s">
        <v>62153</v>
      </c>
      <c r="H12305" s="3" t="s">
        <v>60159</v>
      </c>
      <c r="I12305" s="3" t="s">
        <v>2422</v>
      </c>
      <c r="J12305" s="3" t="s">
        <v>554</v>
      </c>
      <c r="K12305" s="3" t="s">
        <v>62154</v>
      </c>
      <c r="L12305" s="3"/>
      <c r="M12305" s="4"/>
      <c r="N12305" s="3" t="s">
        <v>37</v>
      </c>
      <c r="O12305" s="3" t="s">
        <v>46</v>
      </c>
      <c r="P12305" s="5">
        <v>11</v>
      </c>
      <c r="Q12305" s="5">
        <v>176</v>
      </c>
      <c r="R12305" s="5">
        <v>11</v>
      </c>
      <c r="S12305" s="5">
        <v>178</v>
      </c>
    </row>
    <row r="12306" spans="1:19" ht="28" x14ac:dyDescent="0.15">
      <c r="A12306" s="2">
        <f>HYPERLINK("https://open-school.uspishnemisto.com.ua/school/610434/", 610434)</f>
        <v>610434</v>
      </c>
      <c r="B12306" s="3" t="s">
        <v>62155</v>
      </c>
      <c r="C12306" s="3" t="s">
        <v>31</v>
      </c>
      <c r="D12306" s="3" t="s">
        <v>175</v>
      </c>
      <c r="E12306" s="4" t="s">
        <v>22</v>
      </c>
      <c r="F12306" s="4" t="s">
        <v>62156</v>
      </c>
      <c r="G12306" s="4" t="s">
        <v>62157</v>
      </c>
      <c r="H12306" s="3" t="s">
        <v>60159</v>
      </c>
      <c r="I12306" s="3" t="s">
        <v>62158</v>
      </c>
      <c r="J12306" s="3" t="s">
        <v>466</v>
      </c>
      <c r="K12306" s="3" t="s">
        <v>62159</v>
      </c>
      <c r="L12306" s="3"/>
      <c r="M12306" s="4"/>
      <c r="N12306" s="3" t="s">
        <v>37</v>
      </c>
      <c r="O12306" s="3" t="s">
        <v>46</v>
      </c>
      <c r="P12306" s="5">
        <v>9</v>
      </c>
      <c r="Q12306" s="5">
        <v>87</v>
      </c>
      <c r="R12306" s="5">
        <v>9</v>
      </c>
      <c r="S12306" s="5">
        <v>92</v>
      </c>
    </row>
    <row r="12307" spans="1:19" ht="28" x14ac:dyDescent="0.15">
      <c r="A12307" s="2">
        <f>HYPERLINK("https://open-school.uspishnemisto.com.ua/school/610435/", 610435)</f>
        <v>610435</v>
      </c>
      <c r="B12307" s="3" t="s">
        <v>62160</v>
      </c>
      <c r="C12307" s="3" t="s">
        <v>31</v>
      </c>
      <c r="D12307" s="3" t="s">
        <v>175</v>
      </c>
      <c r="E12307" s="4" t="s">
        <v>22</v>
      </c>
      <c r="F12307" s="4"/>
      <c r="G12307" s="4" t="s">
        <v>62161</v>
      </c>
      <c r="H12307" s="3" t="s">
        <v>60159</v>
      </c>
      <c r="I12307" s="3" t="s">
        <v>62162</v>
      </c>
      <c r="J12307" s="3"/>
      <c r="K12307" s="3" t="s">
        <v>62163</v>
      </c>
      <c r="L12307" s="3"/>
      <c r="M12307" s="4"/>
      <c r="N12307" s="3" t="s">
        <v>37</v>
      </c>
      <c r="O12307" s="3" t="s">
        <v>46</v>
      </c>
      <c r="P12307" s="5">
        <v>7</v>
      </c>
      <c r="Q12307" s="5">
        <v>55</v>
      </c>
      <c r="R12307" s="5">
        <v>8</v>
      </c>
      <c r="S12307" s="5">
        <v>57</v>
      </c>
    </row>
    <row r="12308" spans="1:19" ht="28" x14ac:dyDescent="0.15">
      <c r="A12308" s="2">
        <f>HYPERLINK("https://open-school.uspishnemisto.com.ua/school/610436/", 610436)</f>
        <v>610436</v>
      </c>
      <c r="B12308" s="3" t="s">
        <v>62164</v>
      </c>
      <c r="C12308" s="3" t="s">
        <v>31</v>
      </c>
      <c r="D12308" s="3" t="s">
        <v>175</v>
      </c>
      <c r="E12308" s="4" t="s">
        <v>22</v>
      </c>
      <c r="F12308" s="4" t="s">
        <v>62165</v>
      </c>
      <c r="G12308" s="4" t="s">
        <v>62166</v>
      </c>
      <c r="H12308" s="3" t="s">
        <v>60159</v>
      </c>
      <c r="I12308" s="3" t="s">
        <v>62167</v>
      </c>
      <c r="J12308" s="3" t="s">
        <v>62168</v>
      </c>
      <c r="K12308" s="3" t="s">
        <v>62169</v>
      </c>
      <c r="L12308" s="3"/>
      <c r="M12308" s="4"/>
      <c r="N12308" s="3" t="s">
        <v>37</v>
      </c>
      <c r="O12308" s="3" t="s">
        <v>46</v>
      </c>
      <c r="P12308" s="5">
        <v>9</v>
      </c>
      <c r="Q12308" s="5">
        <v>91</v>
      </c>
      <c r="R12308" s="5">
        <v>8</v>
      </c>
      <c r="S12308" s="5">
        <v>84</v>
      </c>
    </row>
    <row r="12309" spans="1:19" ht="28" x14ac:dyDescent="0.15">
      <c r="A12309" s="2">
        <f>HYPERLINK("https://open-school.uspishnemisto.com.ua/school/610437/", 610437)</f>
        <v>610437</v>
      </c>
      <c r="B12309" s="3" t="s">
        <v>62170</v>
      </c>
      <c r="C12309" s="3" t="s">
        <v>31</v>
      </c>
      <c r="D12309" s="3" t="s">
        <v>175</v>
      </c>
      <c r="E12309" s="4" t="s">
        <v>22</v>
      </c>
      <c r="F12309" s="4" t="s">
        <v>62171</v>
      </c>
      <c r="G12309" s="4" t="s">
        <v>62172</v>
      </c>
      <c r="H12309" s="3" t="s">
        <v>60159</v>
      </c>
      <c r="I12309" s="3" t="s">
        <v>62173</v>
      </c>
      <c r="J12309" s="3" t="s">
        <v>561</v>
      </c>
      <c r="K12309" s="3"/>
      <c r="L12309" s="3"/>
      <c r="M12309" s="4"/>
      <c r="N12309" s="3" t="s">
        <v>37</v>
      </c>
      <c r="O12309" s="3" t="s">
        <v>46</v>
      </c>
      <c r="P12309" s="5">
        <v>7</v>
      </c>
      <c r="Q12309" s="5">
        <v>59</v>
      </c>
      <c r="R12309" s="5">
        <v>7</v>
      </c>
      <c r="S12309" s="5">
        <v>60</v>
      </c>
    </row>
    <row r="12310" spans="1:19" ht="28" x14ac:dyDescent="0.15">
      <c r="A12310" s="2">
        <f>HYPERLINK("https://open-school.uspishnemisto.com.ua/school/610438/", 610438)</f>
        <v>610438</v>
      </c>
      <c r="B12310" s="3" t="s">
        <v>62174</v>
      </c>
      <c r="C12310" s="3" t="s">
        <v>31</v>
      </c>
      <c r="D12310" s="3" t="s">
        <v>32</v>
      </c>
      <c r="E12310" s="4" t="s">
        <v>22</v>
      </c>
      <c r="F12310" s="4" t="s">
        <v>62175</v>
      </c>
      <c r="G12310" s="4" t="s">
        <v>62176</v>
      </c>
      <c r="H12310" s="3" t="s">
        <v>60159</v>
      </c>
      <c r="I12310" s="3" t="s">
        <v>42818</v>
      </c>
      <c r="J12310" s="3" t="s">
        <v>55748</v>
      </c>
      <c r="K12310" s="3" t="s">
        <v>62177</v>
      </c>
      <c r="L12310" s="3"/>
      <c r="M12310" s="4"/>
      <c r="N12310" s="3" t="s">
        <v>37</v>
      </c>
      <c r="O12310" s="3" t="s">
        <v>46</v>
      </c>
      <c r="P12310" s="5">
        <v>9</v>
      </c>
      <c r="Q12310" s="5">
        <v>104</v>
      </c>
      <c r="R12310" s="5">
        <v>10</v>
      </c>
      <c r="S12310" s="5">
        <v>120</v>
      </c>
    </row>
    <row r="12311" spans="1:19" ht="28" x14ac:dyDescent="0.15">
      <c r="A12311" s="2">
        <f>HYPERLINK("https://open-school.uspishnemisto.com.ua/school/610440/", 610440)</f>
        <v>610440</v>
      </c>
      <c r="B12311" s="3" t="s">
        <v>62178</v>
      </c>
      <c r="C12311" s="3" t="s">
        <v>31</v>
      </c>
      <c r="D12311" s="3" t="s">
        <v>175</v>
      </c>
      <c r="E12311" s="4" t="s">
        <v>22</v>
      </c>
      <c r="F12311" s="4" t="s">
        <v>62179</v>
      </c>
      <c r="G12311" s="4" t="s">
        <v>62180</v>
      </c>
      <c r="H12311" s="3" t="s">
        <v>60159</v>
      </c>
      <c r="I12311" s="3" t="s">
        <v>6707</v>
      </c>
      <c r="J12311" s="3" t="s">
        <v>15015</v>
      </c>
      <c r="K12311" s="3" t="s">
        <v>62181</v>
      </c>
      <c r="L12311" s="3"/>
      <c r="M12311" s="4"/>
      <c r="N12311" s="3" t="s">
        <v>37</v>
      </c>
      <c r="O12311" s="3" t="s">
        <v>46</v>
      </c>
      <c r="P12311" s="5">
        <v>7</v>
      </c>
      <c r="Q12311" s="5">
        <v>47</v>
      </c>
      <c r="R12311" s="5">
        <v>7</v>
      </c>
      <c r="S12311" s="5">
        <v>48</v>
      </c>
    </row>
    <row r="12312" spans="1:19" ht="28" x14ac:dyDescent="0.15">
      <c r="A12312" s="2">
        <f>HYPERLINK("https://open-school.uspishnemisto.com.ua/school/610441/", 610441)</f>
        <v>610441</v>
      </c>
      <c r="B12312" s="3" t="s">
        <v>62182</v>
      </c>
      <c r="C12312" s="3" t="s">
        <v>31</v>
      </c>
      <c r="D12312" s="3" t="s">
        <v>32</v>
      </c>
      <c r="E12312" s="4" t="s">
        <v>22</v>
      </c>
      <c r="F12312" s="4" t="s">
        <v>62179</v>
      </c>
      <c r="G12312" s="4" t="s">
        <v>62180</v>
      </c>
      <c r="H12312" s="3" t="s">
        <v>60159</v>
      </c>
      <c r="I12312" s="3" t="s">
        <v>6707</v>
      </c>
      <c r="J12312" s="3" t="s">
        <v>25480</v>
      </c>
      <c r="K12312" s="3" t="s">
        <v>62183</v>
      </c>
      <c r="L12312" s="3"/>
      <c r="M12312" s="4"/>
      <c r="N12312" s="3" t="s">
        <v>37</v>
      </c>
      <c r="O12312" s="3" t="s">
        <v>46</v>
      </c>
      <c r="P12312" s="5">
        <v>11</v>
      </c>
      <c r="Q12312" s="5">
        <v>147</v>
      </c>
      <c r="R12312" s="5">
        <v>11</v>
      </c>
      <c r="S12312" s="5">
        <v>151</v>
      </c>
    </row>
    <row r="12313" spans="1:19" ht="28" x14ac:dyDescent="0.15">
      <c r="A12313" s="2">
        <f>HYPERLINK("https://open-school.uspishnemisto.com.ua/school/610443/", 610443)</f>
        <v>610443</v>
      </c>
      <c r="B12313" s="3" t="s">
        <v>62184</v>
      </c>
      <c r="C12313" s="3" t="s">
        <v>31</v>
      </c>
      <c r="D12313" s="3" t="s">
        <v>175</v>
      </c>
      <c r="E12313" s="4" t="s">
        <v>22</v>
      </c>
      <c r="F12313" s="4" t="s">
        <v>62185</v>
      </c>
      <c r="G12313" s="4" t="s">
        <v>62186</v>
      </c>
      <c r="H12313" s="3" t="s">
        <v>60159</v>
      </c>
      <c r="I12313" s="3" t="s">
        <v>19332</v>
      </c>
      <c r="J12313" s="3" t="s">
        <v>62187</v>
      </c>
      <c r="K12313" s="3" t="s">
        <v>62188</v>
      </c>
      <c r="L12313" s="3"/>
      <c r="M12313" s="4"/>
      <c r="N12313" s="3" t="s">
        <v>37</v>
      </c>
      <c r="O12313" s="3" t="s">
        <v>46</v>
      </c>
      <c r="P12313" s="5">
        <v>7</v>
      </c>
      <c r="Q12313" s="5">
        <v>55</v>
      </c>
      <c r="R12313" s="5">
        <v>7</v>
      </c>
      <c r="S12313" s="5">
        <v>58</v>
      </c>
    </row>
    <row r="12314" spans="1:19" ht="28" x14ac:dyDescent="0.15">
      <c r="A12314" s="2">
        <f>HYPERLINK("https://open-school.uspishnemisto.com.ua/school/610444/", 610444)</f>
        <v>610444</v>
      </c>
      <c r="B12314" s="3" t="s">
        <v>62189</v>
      </c>
      <c r="C12314" s="3" t="s">
        <v>31</v>
      </c>
      <c r="D12314" s="3" t="s">
        <v>32</v>
      </c>
      <c r="E12314" s="4" t="s">
        <v>22</v>
      </c>
      <c r="F12314" s="4" t="s">
        <v>62190</v>
      </c>
      <c r="G12314" s="4" t="s">
        <v>62191</v>
      </c>
      <c r="H12314" s="3" t="s">
        <v>60159</v>
      </c>
      <c r="I12314" s="3" t="s">
        <v>1575</v>
      </c>
      <c r="J12314" s="3" t="s">
        <v>28479</v>
      </c>
      <c r="K12314" s="3" t="s">
        <v>62192</v>
      </c>
      <c r="L12314" s="3"/>
      <c r="M12314" s="4"/>
      <c r="N12314" s="3" t="s">
        <v>37</v>
      </c>
      <c r="O12314" s="3" t="s">
        <v>46</v>
      </c>
      <c r="P12314" s="5">
        <v>10</v>
      </c>
      <c r="Q12314" s="5">
        <v>97</v>
      </c>
      <c r="R12314" s="5">
        <v>11</v>
      </c>
      <c r="S12314" s="5">
        <v>103</v>
      </c>
    </row>
    <row r="12315" spans="1:19" ht="28" x14ac:dyDescent="0.15">
      <c r="A12315" s="2">
        <f>HYPERLINK("https://open-school.uspishnemisto.com.ua/school/610445/", 610445)</f>
        <v>610445</v>
      </c>
      <c r="B12315" s="3" t="s">
        <v>62193</v>
      </c>
      <c r="C12315" s="3" t="s">
        <v>31</v>
      </c>
      <c r="D12315" s="3" t="s">
        <v>32</v>
      </c>
      <c r="E12315" s="4" t="s">
        <v>22</v>
      </c>
      <c r="F12315" s="4" t="s">
        <v>62194</v>
      </c>
      <c r="G12315" s="4" t="s">
        <v>62195</v>
      </c>
      <c r="H12315" s="3" t="s">
        <v>60159</v>
      </c>
      <c r="I12315" s="3" t="s">
        <v>62196</v>
      </c>
      <c r="J12315" s="3" t="s">
        <v>62197</v>
      </c>
      <c r="K12315" s="3" t="s">
        <v>62198</v>
      </c>
      <c r="L12315" s="3" t="s">
        <v>62199</v>
      </c>
      <c r="M12315" s="4"/>
      <c r="N12315" s="3" t="s">
        <v>37</v>
      </c>
      <c r="O12315" s="3" t="s">
        <v>52</v>
      </c>
      <c r="P12315" s="5">
        <v>8</v>
      </c>
      <c r="Q12315" s="5">
        <v>65</v>
      </c>
      <c r="R12315" s="5">
        <v>8</v>
      </c>
      <c r="S12315" s="5">
        <v>76</v>
      </c>
    </row>
    <row r="12316" spans="1:19" ht="28" x14ac:dyDescent="0.15">
      <c r="A12316" s="2">
        <f>HYPERLINK("https://open-school.uspishnemisto.com.ua/school/610446/", 610446)</f>
        <v>610446</v>
      </c>
      <c r="B12316" s="3" t="s">
        <v>62200</v>
      </c>
      <c r="C12316" s="3" t="s">
        <v>31</v>
      </c>
      <c r="D12316" s="3" t="s">
        <v>175</v>
      </c>
      <c r="E12316" s="4" t="s">
        <v>22</v>
      </c>
      <c r="F12316" s="4" t="s">
        <v>62201</v>
      </c>
      <c r="G12316" s="4" t="s">
        <v>62202</v>
      </c>
      <c r="H12316" s="3" t="s">
        <v>60159</v>
      </c>
      <c r="I12316" s="3" t="s">
        <v>62203</v>
      </c>
      <c r="J12316" s="3"/>
      <c r="K12316" s="3" t="s">
        <v>62204</v>
      </c>
      <c r="L12316" s="3"/>
      <c r="M12316" s="4"/>
      <c r="N12316" s="3" t="s">
        <v>37</v>
      </c>
      <c r="O12316" s="3" t="s">
        <v>46</v>
      </c>
      <c r="P12316" s="5">
        <v>5</v>
      </c>
      <c r="Q12316" s="5">
        <v>38</v>
      </c>
      <c r="R12316" s="5">
        <v>5</v>
      </c>
      <c r="S12316" s="5">
        <v>38</v>
      </c>
    </row>
    <row r="12317" spans="1:19" ht="42" x14ac:dyDescent="0.15">
      <c r="A12317" s="2">
        <f>HYPERLINK("https://open-school.uspishnemisto.com.ua/school/610447/", 610447)</f>
        <v>610447</v>
      </c>
      <c r="B12317" s="3" t="s">
        <v>62205</v>
      </c>
      <c r="C12317" s="3" t="s">
        <v>54</v>
      </c>
      <c r="D12317" s="3" t="s">
        <v>175</v>
      </c>
      <c r="E12317" s="4" t="s">
        <v>22</v>
      </c>
      <c r="F12317" s="4" t="s">
        <v>62099</v>
      </c>
      <c r="G12317" s="4" t="s">
        <v>62206</v>
      </c>
      <c r="H12317" s="3" t="s">
        <v>60159</v>
      </c>
      <c r="I12317" s="3" t="s">
        <v>62207</v>
      </c>
      <c r="J12317" s="3" t="s">
        <v>62208</v>
      </c>
      <c r="K12317" s="3" t="s">
        <v>62209</v>
      </c>
      <c r="L12317" s="3"/>
      <c r="M12317" s="4"/>
      <c r="N12317" s="3" t="s">
        <v>37</v>
      </c>
      <c r="O12317" s="3" t="s">
        <v>52</v>
      </c>
      <c r="P12317" s="5">
        <v>1</v>
      </c>
      <c r="Q12317" s="5">
        <v>27</v>
      </c>
      <c r="R12317" s="5">
        <v>1</v>
      </c>
      <c r="S12317" s="5">
        <v>27</v>
      </c>
    </row>
    <row r="12318" spans="1:19" ht="28" x14ac:dyDescent="0.15">
      <c r="A12318" s="2">
        <f>HYPERLINK("https://open-school.uspishnemisto.com.ua/school/610448/", 610448)</f>
        <v>610448</v>
      </c>
      <c r="B12318" s="3" t="s">
        <v>62210</v>
      </c>
      <c r="C12318" s="3" t="s">
        <v>31</v>
      </c>
      <c r="D12318" s="3" t="s">
        <v>175</v>
      </c>
      <c r="E12318" s="4" t="s">
        <v>22</v>
      </c>
      <c r="F12318" s="4" t="s">
        <v>62211</v>
      </c>
      <c r="G12318" s="4" t="s">
        <v>62212</v>
      </c>
      <c r="H12318" s="3" t="s">
        <v>60159</v>
      </c>
      <c r="I12318" s="3" t="s">
        <v>62213</v>
      </c>
      <c r="J12318" s="3"/>
      <c r="K12318" s="3" t="s">
        <v>62214</v>
      </c>
      <c r="L12318" s="3"/>
      <c r="M12318" s="4"/>
      <c r="N12318" s="3" t="s">
        <v>37</v>
      </c>
      <c r="O12318" s="3" t="s">
        <v>46</v>
      </c>
      <c r="P12318" s="5">
        <v>8</v>
      </c>
      <c r="Q12318" s="5">
        <v>60</v>
      </c>
      <c r="R12318" s="5">
        <v>8</v>
      </c>
      <c r="S12318" s="5">
        <v>61</v>
      </c>
    </row>
    <row r="12319" spans="1:19" ht="28" x14ac:dyDescent="0.15">
      <c r="A12319" s="2">
        <f>HYPERLINK("https://open-school.uspishnemisto.com.ua/school/610449/", 610449)</f>
        <v>610449</v>
      </c>
      <c r="B12319" s="3" t="s">
        <v>62215</v>
      </c>
      <c r="C12319" s="3" t="s">
        <v>31</v>
      </c>
      <c r="D12319" s="3" t="s">
        <v>32</v>
      </c>
      <c r="E12319" s="4" t="s">
        <v>22</v>
      </c>
      <c r="F12319" s="4" t="s">
        <v>62216</v>
      </c>
      <c r="G12319" s="4" t="s">
        <v>62217</v>
      </c>
      <c r="H12319" s="3" t="s">
        <v>60159</v>
      </c>
      <c r="I12319" s="3" t="s">
        <v>62218</v>
      </c>
      <c r="J12319" s="3" t="s">
        <v>62219</v>
      </c>
      <c r="K12319" s="3" t="s">
        <v>62220</v>
      </c>
      <c r="L12319" s="3"/>
      <c r="M12319" s="4"/>
      <c r="N12319" s="3" t="s">
        <v>37</v>
      </c>
      <c r="O12319" s="3" t="s">
        <v>46</v>
      </c>
      <c r="P12319" s="5">
        <v>9</v>
      </c>
      <c r="Q12319" s="5">
        <v>85</v>
      </c>
      <c r="R12319" s="5">
        <v>9</v>
      </c>
      <c r="S12319" s="5">
        <v>83</v>
      </c>
    </row>
    <row r="12320" spans="1:19" ht="28" x14ac:dyDescent="0.15">
      <c r="A12320" s="2">
        <f>HYPERLINK("https://open-school.uspishnemisto.com.ua/school/610450/", 610450)</f>
        <v>610450</v>
      </c>
      <c r="B12320" s="3" t="s">
        <v>62221</v>
      </c>
      <c r="C12320" s="3" t="s">
        <v>31</v>
      </c>
      <c r="D12320" s="3" t="s">
        <v>32</v>
      </c>
      <c r="E12320" s="4" t="s">
        <v>22</v>
      </c>
      <c r="F12320" s="4" t="s">
        <v>62222</v>
      </c>
      <c r="G12320" s="4" t="s">
        <v>62223</v>
      </c>
      <c r="H12320" s="3" t="s">
        <v>60159</v>
      </c>
      <c r="I12320" s="3" t="s">
        <v>62224</v>
      </c>
      <c r="J12320" s="3" t="s">
        <v>7304</v>
      </c>
      <c r="K12320" s="3" t="s">
        <v>62225</v>
      </c>
      <c r="L12320" s="3" t="s">
        <v>62226</v>
      </c>
      <c r="M12320" s="4"/>
      <c r="N12320" s="3" t="s">
        <v>37</v>
      </c>
      <c r="O12320" s="3" t="s">
        <v>46</v>
      </c>
      <c r="P12320" s="5">
        <v>10</v>
      </c>
      <c r="Q12320" s="5">
        <v>92</v>
      </c>
      <c r="R12320" s="5">
        <v>10</v>
      </c>
      <c r="S12320" s="5">
        <v>97</v>
      </c>
    </row>
    <row r="12321" spans="1:19" ht="28" x14ac:dyDescent="0.15">
      <c r="A12321" s="2">
        <f>HYPERLINK("https://open-school.uspishnemisto.com.ua/school/610451/", 610451)</f>
        <v>610451</v>
      </c>
      <c r="B12321" s="3" t="s">
        <v>62227</v>
      </c>
      <c r="C12321" s="3" t="s">
        <v>31</v>
      </c>
      <c r="D12321" s="3" t="s">
        <v>175</v>
      </c>
      <c r="E12321" s="4" t="s">
        <v>22</v>
      </c>
      <c r="F12321" s="4" t="s">
        <v>62156</v>
      </c>
      <c r="G12321" s="4" t="s">
        <v>62228</v>
      </c>
      <c r="H12321" s="3" t="s">
        <v>60159</v>
      </c>
      <c r="I12321" s="3" t="s">
        <v>62229</v>
      </c>
      <c r="J12321" s="3" t="s">
        <v>62230</v>
      </c>
      <c r="K12321" s="3" t="s">
        <v>62231</v>
      </c>
      <c r="L12321" s="3"/>
      <c r="M12321" s="4"/>
      <c r="N12321" s="3" t="s">
        <v>37</v>
      </c>
      <c r="O12321" s="3" t="s">
        <v>46</v>
      </c>
      <c r="P12321" s="5">
        <v>9</v>
      </c>
      <c r="Q12321" s="5">
        <v>81</v>
      </c>
      <c r="R12321" s="5">
        <v>9</v>
      </c>
      <c r="S12321" s="5">
        <v>77</v>
      </c>
    </row>
    <row r="12322" spans="1:19" ht="28" x14ac:dyDescent="0.15">
      <c r="A12322" s="2">
        <f>HYPERLINK("https://open-school.uspishnemisto.com.ua/school/610452/", 610452)</f>
        <v>610452</v>
      </c>
      <c r="B12322" s="3" t="s">
        <v>62232</v>
      </c>
      <c r="C12322" s="3" t="s">
        <v>31</v>
      </c>
      <c r="D12322" s="3" t="s">
        <v>175</v>
      </c>
      <c r="E12322" s="4" t="s">
        <v>22</v>
      </c>
      <c r="F12322" s="4" t="s">
        <v>62233</v>
      </c>
      <c r="G12322" s="4" t="s">
        <v>62234</v>
      </c>
      <c r="H12322" s="3" t="s">
        <v>60159</v>
      </c>
      <c r="I12322" s="3" t="s">
        <v>62235</v>
      </c>
      <c r="J12322" s="3" t="s">
        <v>1192</v>
      </c>
      <c r="K12322" s="3" t="s">
        <v>62236</v>
      </c>
      <c r="L12322" s="3" t="s">
        <v>62237</v>
      </c>
      <c r="M12322" s="4"/>
      <c r="N12322" s="3" t="s">
        <v>37</v>
      </c>
      <c r="O12322" s="3" t="s">
        <v>46</v>
      </c>
      <c r="P12322" s="5">
        <v>5</v>
      </c>
      <c r="Q12322" s="5">
        <v>47</v>
      </c>
      <c r="R12322" s="5">
        <v>6</v>
      </c>
      <c r="S12322" s="5">
        <v>47</v>
      </c>
    </row>
    <row r="12323" spans="1:19" ht="28" x14ac:dyDescent="0.15">
      <c r="A12323" s="2">
        <f>HYPERLINK("https://open-school.uspishnemisto.com.ua/school/610454/", 610454)</f>
        <v>610454</v>
      </c>
      <c r="B12323" s="3" t="s">
        <v>62238</v>
      </c>
      <c r="C12323" s="3" t="s">
        <v>31</v>
      </c>
      <c r="D12323" s="3" t="s">
        <v>32</v>
      </c>
      <c r="E12323" s="4" t="s">
        <v>22</v>
      </c>
      <c r="F12323" s="4" t="s">
        <v>62239</v>
      </c>
      <c r="G12323" s="4" t="s">
        <v>62240</v>
      </c>
      <c r="H12323" s="3" t="s">
        <v>60159</v>
      </c>
      <c r="I12323" s="3" t="s">
        <v>62241</v>
      </c>
      <c r="J12323" s="3" t="s">
        <v>5394</v>
      </c>
      <c r="K12323" s="3" t="s">
        <v>62242</v>
      </c>
      <c r="L12323" s="3" t="s">
        <v>62243</v>
      </c>
      <c r="M12323" s="4" t="s">
        <v>62244</v>
      </c>
      <c r="N12323" s="3" t="s">
        <v>37</v>
      </c>
      <c r="O12323" s="3" t="s">
        <v>46</v>
      </c>
      <c r="P12323" s="5">
        <v>41</v>
      </c>
      <c r="Q12323" s="5">
        <v>1120</v>
      </c>
      <c r="R12323" s="5">
        <v>39</v>
      </c>
      <c r="S12323" s="5">
        <v>1093</v>
      </c>
    </row>
    <row r="12324" spans="1:19" ht="42" x14ac:dyDescent="0.15">
      <c r="A12324" s="2">
        <f>HYPERLINK("https://open-school.uspishnemisto.com.ua/school/610453/", 610453)</f>
        <v>610453</v>
      </c>
      <c r="B12324" s="3" t="s">
        <v>62245</v>
      </c>
      <c r="C12324" s="3" t="s">
        <v>31</v>
      </c>
      <c r="D12324" s="3" t="s">
        <v>60</v>
      </c>
      <c r="E12324" s="4" t="s">
        <v>22</v>
      </c>
      <c r="F12324" s="4" t="s">
        <v>62239</v>
      </c>
      <c r="G12324" s="4" t="s">
        <v>62246</v>
      </c>
      <c r="H12324" s="3" t="s">
        <v>60159</v>
      </c>
      <c r="I12324" s="3" t="s">
        <v>50727</v>
      </c>
      <c r="J12324" s="3" t="s">
        <v>62247</v>
      </c>
      <c r="K12324" s="3" t="s">
        <v>62248</v>
      </c>
      <c r="L12324" s="3"/>
      <c r="M12324" s="4"/>
      <c r="N12324" s="3" t="s">
        <v>37</v>
      </c>
      <c r="O12324" s="3" t="s">
        <v>52</v>
      </c>
      <c r="P12324" s="5">
        <v>3</v>
      </c>
      <c r="Q12324" s="5">
        <v>28</v>
      </c>
      <c r="R12324" s="5">
        <v>3</v>
      </c>
      <c r="S12324" s="5">
        <v>25</v>
      </c>
    </row>
    <row r="12325" spans="1:19" ht="28" x14ac:dyDescent="0.15">
      <c r="A12325" s="2">
        <f>HYPERLINK("https://open-school.uspishnemisto.com.ua/school/610455/", 610455)</f>
        <v>610455</v>
      </c>
      <c r="B12325" s="3" t="s">
        <v>62249</v>
      </c>
      <c r="C12325" s="3" t="s">
        <v>31</v>
      </c>
      <c r="D12325" s="3" t="s">
        <v>175</v>
      </c>
      <c r="E12325" s="4" t="s">
        <v>22</v>
      </c>
      <c r="F12325" s="4" t="s">
        <v>62250</v>
      </c>
      <c r="G12325" s="4" t="s">
        <v>62251</v>
      </c>
      <c r="H12325" s="3" t="s">
        <v>60159</v>
      </c>
      <c r="I12325" s="3" t="s">
        <v>62252</v>
      </c>
      <c r="J12325" s="3" t="s">
        <v>62253</v>
      </c>
      <c r="K12325" s="3" t="s">
        <v>62254</v>
      </c>
      <c r="L12325" s="3"/>
      <c r="M12325" s="4"/>
      <c r="N12325" s="3" t="s">
        <v>37</v>
      </c>
      <c r="O12325" s="3" t="s">
        <v>46</v>
      </c>
      <c r="P12325" s="5">
        <v>9</v>
      </c>
      <c r="Q12325" s="5">
        <v>53</v>
      </c>
      <c r="R12325" s="5">
        <v>9</v>
      </c>
      <c r="S12325" s="5">
        <v>53</v>
      </c>
    </row>
    <row r="12326" spans="1:19" ht="28" x14ac:dyDescent="0.15">
      <c r="A12326" s="2">
        <f>HYPERLINK("https://open-school.uspishnemisto.com.ua/school/610456/", 610456)</f>
        <v>610456</v>
      </c>
      <c r="B12326" s="3" t="s">
        <v>62255</v>
      </c>
      <c r="C12326" s="3" t="s">
        <v>31</v>
      </c>
      <c r="D12326" s="3" t="s">
        <v>175</v>
      </c>
      <c r="E12326" s="4" t="s">
        <v>22</v>
      </c>
      <c r="F12326" s="4" t="s">
        <v>62250</v>
      </c>
      <c r="G12326" s="4" t="s">
        <v>62256</v>
      </c>
      <c r="H12326" s="3" t="s">
        <v>60159</v>
      </c>
      <c r="I12326" s="3" t="s">
        <v>62257</v>
      </c>
      <c r="J12326" s="3" t="s">
        <v>599</v>
      </c>
      <c r="K12326" s="3" t="s">
        <v>62258</v>
      </c>
      <c r="L12326" s="3"/>
      <c r="M12326" s="4"/>
      <c r="N12326" s="3" t="s">
        <v>37</v>
      </c>
      <c r="O12326" s="3" t="s">
        <v>46</v>
      </c>
      <c r="P12326" s="5">
        <v>9</v>
      </c>
      <c r="Q12326" s="5">
        <v>78</v>
      </c>
      <c r="R12326" s="5">
        <v>9</v>
      </c>
      <c r="S12326" s="5">
        <v>78</v>
      </c>
    </row>
    <row r="12327" spans="1:19" ht="28" x14ac:dyDescent="0.15">
      <c r="A12327" s="2">
        <f>HYPERLINK("https://open-school.uspishnemisto.com.ua/school/610457/", 610457)</f>
        <v>610457</v>
      </c>
      <c r="B12327" s="3" t="s">
        <v>62259</v>
      </c>
      <c r="C12327" s="3" t="s">
        <v>31</v>
      </c>
      <c r="D12327" s="3" t="s">
        <v>32</v>
      </c>
      <c r="E12327" s="4" t="s">
        <v>22</v>
      </c>
      <c r="F12327" s="4" t="s">
        <v>62260</v>
      </c>
      <c r="G12327" s="4" t="s">
        <v>62261</v>
      </c>
      <c r="H12327" s="3" t="s">
        <v>60159</v>
      </c>
      <c r="I12327" s="3" t="s">
        <v>62262</v>
      </c>
      <c r="J12327" s="3" t="s">
        <v>30417</v>
      </c>
      <c r="K12327" s="3" t="s">
        <v>62263</v>
      </c>
      <c r="L12327" s="3"/>
      <c r="M12327" s="4" t="s">
        <v>62264</v>
      </c>
      <c r="N12327" s="3" t="s">
        <v>37</v>
      </c>
      <c r="O12327" s="3" t="s">
        <v>139</v>
      </c>
      <c r="P12327" s="5">
        <v>16</v>
      </c>
      <c r="Q12327" s="5">
        <v>283</v>
      </c>
      <c r="R12327" s="5">
        <v>16</v>
      </c>
      <c r="S12327" s="5">
        <v>293</v>
      </c>
    </row>
    <row r="12328" spans="1:19" ht="42" x14ac:dyDescent="0.15">
      <c r="A12328" s="2">
        <f>HYPERLINK("https://open-school.uspishnemisto.com.ua/school/610458/", 610458)</f>
        <v>610458</v>
      </c>
      <c r="B12328" s="3" t="s">
        <v>62265</v>
      </c>
      <c r="C12328" s="3" t="s">
        <v>31</v>
      </c>
      <c r="D12328" s="3" t="s">
        <v>175</v>
      </c>
      <c r="E12328" s="4" t="s">
        <v>22</v>
      </c>
      <c r="F12328" s="4" t="s">
        <v>62266</v>
      </c>
      <c r="G12328" s="4" t="s">
        <v>62267</v>
      </c>
      <c r="H12328" s="3" t="s">
        <v>60159</v>
      </c>
      <c r="I12328" s="3" t="s">
        <v>7421</v>
      </c>
      <c r="J12328" s="3" t="s">
        <v>5671</v>
      </c>
      <c r="K12328" s="3" t="s">
        <v>62268</v>
      </c>
      <c r="L12328" s="3"/>
      <c r="M12328" s="4"/>
      <c r="N12328" s="3" t="s">
        <v>37</v>
      </c>
      <c r="O12328" s="3" t="s">
        <v>46</v>
      </c>
      <c r="P12328" s="5">
        <v>9</v>
      </c>
      <c r="Q12328" s="5">
        <v>118</v>
      </c>
      <c r="R12328" s="5">
        <v>9</v>
      </c>
      <c r="S12328" s="5">
        <v>128</v>
      </c>
    </row>
    <row r="12329" spans="1:19" ht="28" x14ac:dyDescent="0.15">
      <c r="A12329" s="2">
        <f>HYPERLINK("https://open-school.uspishnemisto.com.ua/school/610459/", 610459)</f>
        <v>610459</v>
      </c>
      <c r="B12329" s="3" t="s">
        <v>62269</v>
      </c>
      <c r="C12329" s="3" t="s">
        <v>31</v>
      </c>
      <c r="D12329" s="3" t="s">
        <v>175</v>
      </c>
      <c r="E12329" s="4" t="s">
        <v>22</v>
      </c>
      <c r="F12329" s="4" t="s">
        <v>62270</v>
      </c>
      <c r="G12329" s="4" t="s">
        <v>62271</v>
      </c>
      <c r="H12329" s="3" t="s">
        <v>60159</v>
      </c>
      <c r="I12329" s="3" t="s">
        <v>3369</v>
      </c>
      <c r="J12329" s="3" t="s">
        <v>27802</v>
      </c>
      <c r="K12329" s="3" t="s">
        <v>62272</v>
      </c>
      <c r="L12329" s="3"/>
      <c r="M12329" s="4"/>
      <c r="N12329" s="3" t="s">
        <v>37</v>
      </c>
      <c r="O12329" s="3" t="s">
        <v>46</v>
      </c>
      <c r="P12329" s="5">
        <v>9</v>
      </c>
      <c r="Q12329" s="5">
        <v>79</v>
      </c>
      <c r="R12329" s="5">
        <v>9</v>
      </c>
      <c r="S12329" s="5">
        <v>87</v>
      </c>
    </row>
    <row r="12330" spans="1:19" ht="28" x14ac:dyDescent="0.15">
      <c r="A12330" s="2">
        <f>HYPERLINK("https://open-school.uspishnemisto.com.ua/school/610460/", 610460)</f>
        <v>610460</v>
      </c>
      <c r="B12330" s="3" t="s">
        <v>62273</v>
      </c>
      <c r="C12330" s="3" t="s">
        <v>31</v>
      </c>
      <c r="D12330" s="3" t="s">
        <v>32</v>
      </c>
      <c r="E12330" s="4" t="s">
        <v>22</v>
      </c>
      <c r="F12330" s="4" t="s">
        <v>62274</v>
      </c>
      <c r="G12330" s="4" t="s">
        <v>62275</v>
      </c>
      <c r="H12330" s="3" t="s">
        <v>60159</v>
      </c>
      <c r="I12330" s="3" t="s">
        <v>62276</v>
      </c>
      <c r="J12330" s="3" t="s">
        <v>62277</v>
      </c>
      <c r="K12330" s="3" t="s">
        <v>62278</v>
      </c>
      <c r="L12330" s="3"/>
      <c r="M12330" s="4"/>
      <c r="N12330" s="3" t="s">
        <v>37</v>
      </c>
      <c r="O12330" s="3" t="s">
        <v>52</v>
      </c>
      <c r="P12330" s="5">
        <v>11</v>
      </c>
      <c r="Q12330" s="5">
        <v>165</v>
      </c>
      <c r="R12330" s="5">
        <v>11</v>
      </c>
      <c r="S12330" s="5">
        <v>157</v>
      </c>
    </row>
    <row r="12331" spans="1:19" ht="28" x14ac:dyDescent="0.15">
      <c r="A12331" s="2">
        <f>HYPERLINK("https://open-school.uspishnemisto.com.ua/school/610461/", 610461)</f>
        <v>610461</v>
      </c>
      <c r="B12331" s="3" t="s">
        <v>62279</v>
      </c>
      <c r="C12331" s="3" t="s">
        <v>54</v>
      </c>
      <c r="D12331" s="3" t="s">
        <v>60</v>
      </c>
      <c r="E12331" s="4" t="s">
        <v>22</v>
      </c>
      <c r="F12331" s="4" t="s">
        <v>60447</v>
      </c>
      <c r="G12331" s="4" t="s">
        <v>62280</v>
      </c>
      <c r="H12331" s="3" t="s">
        <v>60159</v>
      </c>
      <c r="I12331" s="3" t="s">
        <v>62281</v>
      </c>
      <c r="J12331" s="3" t="s">
        <v>62282</v>
      </c>
      <c r="K12331" s="3"/>
      <c r="L12331" s="3"/>
      <c r="M12331" s="4" t="s">
        <v>62283</v>
      </c>
      <c r="N12331" s="3" t="s">
        <v>37</v>
      </c>
      <c r="O12331" s="3" t="s">
        <v>52</v>
      </c>
      <c r="P12331" s="5">
        <v>4</v>
      </c>
      <c r="Q12331" s="5">
        <v>38</v>
      </c>
      <c r="R12331" s="5">
        <v>4</v>
      </c>
      <c r="S12331" s="5">
        <v>33</v>
      </c>
    </row>
    <row r="12332" spans="1:19" ht="28" x14ac:dyDescent="0.15">
      <c r="A12332" s="2">
        <f>HYPERLINK("https://open-school.uspishnemisto.com.ua/school/610462/", 610462)</f>
        <v>610462</v>
      </c>
      <c r="B12332" s="3" t="s">
        <v>62284</v>
      </c>
      <c r="C12332" s="3" t="s">
        <v>31</v>
      </c>
      <c r="D12332" s="3" t="s">
        <v>175</v>
      </c>
      <c r="E12332" s="4" t="s">
        <v>22</v>
      </c>
      <c r="F12332" s="4" t="s">
        <v>62285</v>
      </c>
      <c r="G12332" s="4" t="s">
        <v>62286</v>
      </c>
      <c r="H12332" s="3" t="s">
        <v>60159</v>
      </c>
      <c r="I12332" s="3" t="s">
        <v>62287</v>
      </c>
      <c r="J12332" s="3" t="s">
        <v>2191</v>
      </c>
      <c r="K12332" s="3"/>
      <c r="L12332" s="3"/>
      <c r="M12332" s="4" t="s">
        <v>62288</v>
      </c>
      <c r="N12332" s="3" t="s">
        <v>37</v>
      </c>
      <c r="O12332" s="3" t="s">
        <v>46</v>
      </c>
      <c r="P12332" s="5">
        <v>8</v>
      </c>
      <c r="Q12332" s="5">
        <v>63</v>
      </c>
      <c r="R12332" s="5">
        <v>8</v>
      </c>
      <c r="S12332" s="5">
        <v>68</v>
      </c>
    </row>
    <row r="12333" spans="1:19" ht="42" x14ac:dyDescent="0.15">
      <c r="A12333" s="2">
        <f>HYPERLINK("https://open-school.uspishnemisto.com.ua/school/610463/", 610463)</f>
        <v>610463</v>
      </c>
      <c r="B12333" s="3" t="s">
        <v>62289</v>
      </c>
      <c r="C12333" s="3" t="s">
        <v>54</v>
      </c>
      <c r="D12333" s="3" t="s">
        <v>175</v>
      </c>
      <c r="E12333" s="4" t="s">
        <v>22</v>
      </c>
      <c r="F12333" s="4" t="s">
        <v>62290</v>
      </c>
      <c r="G12333" s="4" t="s">
        <v>62291</v>
      </c>
      <c r="H12333" s="3" t="s">
        <v>60159</v>
      </c>
      <c r="I12333" s="3" t="s">
        <v>39144</v>
      </c>
      <c r="J12333" s="3" t="s">
        <v>62292</v>
      </c>
      <c r="K12333" s="3" t="s">
        <v>62293</v>
      </c>
      <c r="L12333" s="3"/>
      <c r="M12333" s="4"/>
      <c r="N12333" s="3" t="s">
        <v>37</v>
      </c>
      <c r="O12333" s="3" t="s">
        <v>46</v>
      </c>
      <c r="P12333" s="5">
        <v>8</v>
      </c>
      <c r="Q12333" s="5">
        <v>76</v>
      </c>
      <c r="R12333" s="5">
        <v>8</v>
      </c>
      <c r="S12333" s="5">
        <v>77</v>
      </c>
    </row>
    <row r="12334" spans="1:19" ht="28" x14ac:dyDescent="0.15">
      <c r="A12334" s="2">
        <f>HYPERLINK("https://open-school.uspishnemisto.com.ua/school/610464/", 610464)</f>
        <v>610464</v>
      </c>
      <c r="B12334" s="3" t="s">
        <v>62294</v>
      </c>
      <c r="C12334" s="3" t="s">
        <v>31</v>
      </c>
      <c r="D12334" s="3" t="s">
        <v>32</v>
      </c>
      <c r="E12334" s="4" t="s">
        <v>22</v>
      </c>
      <c r="F12334" s="4" t="s">
        <v>62295</v>
      </c>
      <c r="G12334" s="4" t="s">
        <v>62296</v>
      </c>
      <c r="H12334" s="3" t="s">
        <v>60159</v>
      </c>
      <c r="I12334" s="3" t="s">
        <v>62297</v>
      </c>
      <c r="J12334" s="3" t="s">
        <v>634</v>
      </c>
      <c r="K12334" s="3"/>
      <c r="L12334" s="3"/>
      <c r="M12334" s="4"/>
      <c r="N12334" s="3" t="s">
        <v>37</v>
      </c>
      <c r="O12334" s="3" t="s">
        <v>46</v>
      </c>
      <c r="P12334" s="5">
        <v>11</v>
      </c>
      <c r="Q12334" s="5">
        <v>129</v>
      </c>
      <c r="R12334" s="5">
        <v>11</v>
      </c>
      <c r="S12334" s="5">
        <v>121</v>
      </c>
    </row>
    <row r="12335" spans="1:19" ht="42" x14ac:dyDescent="0.15">
      <c r="A12335" s="2">
        <f>HYPERLINK("https://open-school.uspishnemisto.com.ua/school/610465/", 610465)</f>
        <v>610465</v>
      </c>
      <c r="B12335" s="3" t="s">
        <v>62298</v>
      </c>
      <c r="C12335" s="3" t="s">
        <v>31</v>
      </c>
      <c r="D12335" s="3" t="s">
        <v>32</v>
      </c>
      <c r="E12335" s="4" t="s">
        <v>22</v>
      </c>
      <c r="F12335" s="4" t="s">
        <v>62299</v>
      </c>
      <c r="G12335" s="4" t="s">
        <v>62300</v>
      </c>
      <c r="H12335" s="3" t="s">
        <v>60159</v>
      </c>
      <c r="I12335" s="3" t="s">
        <v>62301</v>
      </c>
      <c r="J12335" s="3" t="s">
        <v>62302</v>
      </c>
      <c r="K12335" s="3"/>
      <c r="L12335" s="3" t="s">
        <v>62303</v>
      </c>
      <c r="M12335" s="4"/>
      <c r="N12335" s="3" t="s">
        <v>37</v>
      </c>
      <c r="O12335" s="3" t="s">
        <v>46</v>
      </c>
      <c r="P12335" s="5">
        <v>22</v>
      </c>
      <c r="Q12335" s="5">
        <v>276</v>
      </c>
      <c r="R12335" s="5">
        <v>11</v>
      </c>
      <c r="S12335" s="5">
        <v>176</v>
      </c>
    </row>
    <row r="12336" spans="1:19" ht="42" x14ac:dyDescent="0.15">
      <c r="A12336" s="2">
        <f>HYPERLINK("https://open-school.uspishnemisto.com.ua/school/610466/", 610466)</f>
        <v>610466</v>
      </c>
      <c r="B12336" s="3" t="s">
        <v>62304</v>
      </c>
      <c r="C12336" s="3" t="s">
        <v>31</v>
      </c>
      <c r="D12336" s="3" t="s">
        <v>175</v>
      </c>
      <c r="E12336" s="4" t="s">
        <v>22</v>
      </c>
      <c r="F12336" s="4" t="s">
        <v>62305</v>
      </c>
      <c r="G12336" s="4" t="s">
        <v>62306</v>
      </c>
      <c r="H12336" s="3" t="s">
        <v>60159</v>
      </c>
      <c r="I12336" s="3" t="s">
        <v>62307</v>
      </c>
      <c r="J12336" s="3" t="s">
        <v>36572</v>
      </c>
      <c r="K12336" s="3" t="s">
        <v>62308</v>
      </c>
      <c r="L12336" s="3"/>
      <c r="M12336" s="4"/>
      <c r="N12336" s="3" t="s">
        <v>37</v>
      </c>
      <c r="O12336" s="3" t="s">
        <v>46</v>
      </c>
      <c r="P12336" s="5">
        <v>0</v>
      </c>
      <c r="Q12336" s="5">
        <v>0</v>
      </c>
      <c r="R12336" s="5">
        <v>9</v>
      </c>
      <c r="S12336" s="5">
        <v>84</v>
      </c>
    </row>
    <row r="12337" spans="1:19" ht="28" x14ac:dyDescent="0.15">
      <c r="A12337" s="2">
        <f>HYPERLINK("https://open-school.uspishnemisto.com.ua/school/610467/", 610467)</f>
        <v>610467</v>
      </c>
      <c r="B12337" s="3" t="s">
        <v>62309</v>
      </c>
      <c r="C12337" s="3" t="s">
        <v>31</v>
      </c>
      <c r="D12337" s="3" t="s">
        <v>32</v>
      </c>
      <c r="E12337" s="4" t="s">
        <v>22</v>
      </c>
      <c r="F12337" s="4" t="s">
        <v>62310</v>
      </c>
      <c r="G12337" s="4" t="s">
        <v>62311</v>
      </c>
      <c r="H12337" s="3" t="s">
        <v>60159</v>
      </c>
      <c r="I12337" s="3" t="s">
        <v>41678</v>
      </c>
      <c r="J12337" s="3" t="s">
        <v>3363</v>
      </c>
      <c r="K12337" s="3" t="s">
        <v>62312</v>
      </c>
      <c r="L12337" s="3"/>
      <c r="M12337" s="4"/>
      <c r="N12337" s="3" t="s">
        <v>37</v>
      </c>
      <c r="O12337" s="3" t="s">
        <v>52</v>
      </c>
      <c r="P12337" s="5">
        <v>11</v>
      </c>
      <c r="Q12337" s="5">
        <v>158</v>
      </c>
      <c r="R12337" s="5">
        <v>11</v>
      </c>
      <c r="S12337" s="5">
        <v>141</v>
      </c>
    </row>
    <row r="12338" spans="1:19" ht="28" x14ac:dyDescent="0.15">
      <c r="A12338" s="2">
        <f>HYPERLINK("https://open-school.uspishnemisto.com.ua/school/610468/", 610468)</f>
        <v>610468</v>
      </c>
      <c r="B12338" s="3" t="s">
        <v>62313</v>
      </c>
      <c r="C12338" s="3" t="s">
        <v>31</v>
      </c>
      <c r="D12338" s="3" t="s">
        <v>60</v>
      </c>
      <c r="E12338" s="4" t="s">
        <v>22</v>
      </c>
      <c r="F12338" s="4" t="s">
        <v>62310</v>
      </c>
      <c r="G12338" s="4" t="s">
        <v>62314</v>
      </c>
      <c r="H12338" s="3" t="s">
        <v>60159</v>
      </c>
      <c r="I12338" s="3" t="s">
        <v>3790</v>
      </c>
      <c r="J12338" s="3" t="s">
        <v>62315</v>
      </c>
      <c r="K12338" s="3" t="s">
        <v>62316</v>
      </c>
      <c r="L12338" s="3"/>
      <c r="M12338" s="4"/>
      <c r="N12338" s="3" t="s">
        <v>37</v>
      </c>
      <c r="O12338" s="3" t="s">
        <v>52</v>
      </c>
      <c r="P12338" s="5">
        <v>2</v>
      </c>
      <c r="Q12338" s="5">
        <v>25</v>
      </c>
      <c r="R12338" s="5">
        <v>3</v>
      </c>
      <c r="S12338" s="5">
        <v>31</v>
      </c>
    </row>
    <row r="12339" spans="1:19" ht="28" x14ac:dyDescent="0.15">
      <c r="A12339" s="2">
        <f>HYPERLINK("https://open-school.uspishnemisto.com.ua/school/610469/", 610469)</f>
        <v>610469</v>
      </c>
      <c r="B12339" s="3" t="s">
        <v>62317</v>
      </c>
      <c r="C12339" s="3" t="s">
        <v>31</v>
      </c>
      <c r="D12339" s="3" t="s">
        <v>60</v>
      </c>
      <c r="E12339" s="4" t="s">
        <v>22</v>
      </c>
      <c r="F12339" s="4"/>
      <c r="G12339" s="4" t="s">
        <v>62318</v>
      </c>
      <c r="H12339" s="3" t="s">
        <v>60159</v>
      </c>
      <c r="I12339" s="3" t="s">
        <v>41077</v>
      </c>
      <c r="J12339" s="3"/>
      <c r="K12339" s="3" t="s">
        <v>62319</v>
      </c>
      <c r="L12339" s="3"/>
      <c r="M12339" s="4"/>
      <c r="N12339" s="3" t="s">
        <v>37</v>
      </c>
      <c r="O12339" s="3" t="s">
        <v>52</v>
      </c>
      <c r="P12339" s="5">
        <v>3</v>
      </c>
      <c r="Q12339" s="5">
        <v>22</v>
      </c>
      <c r="R12339" s="5">
        <v>3</v>
      </c>
      <c r="S12339" s="5">
        <v>24</v>
      </c>
    </row>
    <row r="12340" spans="1:19" ht="28" x14ac:dyDescent="0.15">
      <c r="A12340" s="2">
        <f>HYPERLINK("https://open-school.uspishnemisto.com.ua/school/610470/", 610470)</f>
        <v>610470</v>
      </c>
      <c r="B12340" s="3" t="s">
        <v>62320</v>
      </c>
      <c r="C12340" s="3" t="s">
        <v>31</v>
      </c>
      <c r="D12340" s="3" t="s">
        <v>60</v>
      </c>
      <c r="E12340" s="4" t="s">
        <v>22</v>
      </c>
      <c r="F12340" s="4" t="s">
        <v>62310</v>
      </c>
      <c r="G12340" s="4" t="s">
        <v>62321</v>
      </c>
      <c r="H12340" s="3" t="s">
        <v>60159</v>
      </c>
      <c r="I12340" s="3" t="s">
        <v>62322</v>
      </c>
      <c r="J12340" s="3" t="s">
        <v>5948</v>
      </c>
      <c r="K12340" s="3" t="s">
        <v>62323</v>
      </c>
      <c r="L12340" s="3"/>
      <c r="M12340" s="4"/>
      <c r="N12340" s="3" t="s">
        <v>37</v>
      </c>
      <c r="O12340" s="3" t="s">
        <v>52</v>
      </c>
      <c r="P12340" s="5">
        <v>0</v>
      </c>
      <c r="Q12340" s="5">
        <v>11</v>
      </c>
      <c r="R12340" s="5">
        <v>0</v>
      </c>
      <c r="S12340" s="5">
        <v>12</v>
      </c>
    </row>
    <row r="12341" spans="1:19" ht="28" x14ac:dyDescent="0.15">
      <c r="A12341" s="2">
        <f>HYPERLINK("https://open-school.uspishnemisto.com.ua/school/610471/", 610471)</f>
        <v>610471</v>
      </c>
      <c r="B12341" s="3" t="s">
        <v>62324</v>
      </c>
      <c r="C12341" s="3" t="s">
        <v>31</v>
      </c>
      <c r="D12341" s="3" t="s">
        <v>175</v>
      </c>
      <c r="E12341" s="4" t="s">
        <v>22</v>
      </c>
      <c r="F12341" s="4" t="s">
        <v>62325</v>
      </c>
      <c r="G12341" s="4" t="s">
        <v>62326</v>
      </c>
      <c r="H12341" s="3" t="s">
        <v>60159</v>
      </c>
      <c r="I12341" s="3" t="s">
        <v>62327</v>
      </c>
      <c r="J12341" s="3" t="s">
        <v>62328</v>
      </c>
      <c r="K12341" s="3" t="s">
        <v>62329</v>
      </c>
      <c r="L12341" s="3"/>
      <c r="M12341" s="4"/>
      <c r="N12341" s="3" t="s">
        <v>37</v>
      </c>
      <c r="O12341" s="3" t="s">
        <v>46</v>
      </c>
      <c r="P12341" s="5">
        <v>9</v>
      </c>
      <c r="Q12341" s="5">
        <v>97</v>
      </c>
      <c r="R12341" s="5">
        <v>9</v>
      </c>
      <c r="S12341" s="5">
        <v>93</v>
      </c>
    </row>
    <row r="12342" spans="1:19" ht="28" x14ac:dyDescent="0.15">
      <c r="A12342" s="2">
        <f>HYPERLINK("https://open-school.uspishnemisto.com.ua/school/610472/", 610472)</f>
        <v>610472</v>
      </c>
      <c r="B12342" s="3" t="s">
        <v>62330</v>
      </c>
      <c r="C12342" s="3" t="s">
        <v>31</v>
      </c>
      <c r="D12342" s="3" t="s">
        <v>175</v>
      </c>
      <c r="E12342" s="4" t="s">
        <v>22</v>
      </c>
      <c r="F12342" s="4" t="s">
        <v>62331</v>
      </c>
      <c r="G12342" s="4" t="s">
        <v>62332</v>
      </c>
      <c r="H12342" s="3" t="s">
        <v>60159</v>
      </c>
      <c r="I12342" s="3" t="s">
        <v>12592</v>
      </c>
      <c r="J12342" s="3" t="s">
        <v>554</v>
      </c>
      <c r="K12342" s="3" t="s">
        <v>62333</v>
      </c>
      <c r="L12342" s="3"/>
      <c r="M12342" s="4"/>
      <c r="N12342" s="3" t="s">
        <v>37</v>
      </c>
      <c r="O12342" s="3" t="s">
        <v>46</v>
      </c>
      <c r="P12342" s="5">
        <v>6</v>
      </c>
      <c r="Q12342" s="5">
        <v>53</v>
      </c>
      <c r="R12342" s="5">
        <v>6</v>
      </c>
      <c r="S12342" s="5">
        <v>59</v>
      </c>
    </row>
    <row r="12343" spans="1:19" ht="56" x14ac:dyDescent="0.15">
      <c r="A12343" s="2">
        <f>HYPERLINK("https://open-school.uspishnemisto.com.ua/school/610473/", 610473)</f>
        <v>610473</v>
      </c>
      <c r="B12343" s="3" t="s">
        <v>62334</v>
      </c>
      <c r="C12343" s="3" t="s">
        <v>54</v>
      </c>
      <c r="D12343" s="3" t="s">
        <v>60</v>
      </c>
      <c r="E12343" s="4" t="s">
        <v>22</v>
      </c>
      <c r="F12343" s="4" t="s">
        <v>62331</v>
      </c>
      <c r="G12343" s="4" t="s">
        <v>62335</v>
      </c>
      <c r="H12343" s="3" t="s">
        <v>60159</v>
      </c>
      <c r="I12343" s="3" t="s">
        <v>1694</v>
      </c>
      <c r="J12343" s="3" t="s">
        <v>62336</v>
      </c>
      <c r="K12343" s="3"/>
      <c r="L12343" s="3"/>
      <c r="M12343" s="4" t="s">
        <v>62337</v>
      </c>
      <c r="N12343" s="3" t="s">
        <v>37</v>
      </c>
      <c r="O12343" s="3" t="s">
        <v>52</v>
      </c>
      <c r="P12343" s="5">
        <v>0</v>
      </c>
      <c r="Q12343" s="5">
        <v>0</v>
      </c>
      <c r="R12343" s="5">
        <v>2</v>
      </c>
      <c r="S12343" s="5">
        <v>14</v>
      </c>
    </row>
    <row r="12344" spans="1:19" ht="28" x14ac:dyDescent="0.15">
      <c r="A12344" s="2">
        <f>HYPERLINK("https://open-school.uspishnemisto.com.ua/school/610474/", 610474)</f>
        <v>610474</v>
      </c>
      <c r="B12344" s="3" t="s">
        <v>62338</v>
      </c>
      <c r="C12344" s="3" t="s">
        <v>31</v>
      </c>
      <c r="D12344" s="3" t="s">
        <v>175</v>
      </c>
      <c r="E12344" s="4" t="s">
        <v>22</v>
      </c>
      <c r="F12344" s="4" t="s">
        <v>62339</v>
      </c>
      <c r="G12344" s="4" t="s">
        <v>62340</v>
      </c>
      <c r="H12344" s="3" t="s">
        <v>60159</v>
      </c>
      <c r="I12344" s="3" t="s">
        <v>62341</v>
      </c>
      <c r="J12344" s="3" t="s">
        <v>4537</v>
      </c>
      <c r="K12344" s="3" t="s">
        <v>62342</v>
      </c>
      <c r="L12344" s="3"/>
      <c r="M12344" s="4"/>
      <c r="N12344" s="3" t="s">
        <v>37</v>
      </c>
      <c r="O12344" s="3" t="s">
        <v>46</v>
      </c>
      <c r="P12344" s="5">
        <v>9</v>
      </c>
      <c r="Q12344" s="5">
        <v>118</v>
      </c>
      <c r="R12344" s="5">
        <v>9</v>
      </c>
      <c r="S12344" s="5">
        <v>112</v>
      </c>
    </row>
    <row r="12345" spans="1:19" ht="28" x14ac:dyDescent="0.15">
      <c r="A12345" s="2">
        <f>HYPERLINK("https://open-school.uspishnemisto.com.ua/school/610475/", 610475)</f>
        <v>610475</v>
      </c>
      <c r="B12345" s="3" t="s">
        <v>62343</v>
      </c>
      <c r="C12345" s="3" t="s">
        <v>31</v>
      </c>
      <c r="D12345" s="3" t="s">
        <v>175</v>
      </c>
      <c r="E12345" s="4" t="s">
        <v>22</v>
      </c>
      <c r="F12345" s="4" t="s">
        <v>62344</v>
      </c>
      <c r="G12345" s="4" t="s">
        <v>62345</v>
      </c>
      <c r="H12345" s="3" t="s">
        <v>60159</v>
      </c>
      <c r="I12345" s="3" t="s">
        <v>62346</v>
      </c>
      <c r="J12345" s="3" t="s">
        <v>62347</v>
      </c>
      <c r="K12345" s="3" t="s">
        <v>62348</v>
      </c>
      <c r="L12345" s="3"/>
      <c r="M12345" s="4"/>
      <c r="N12345" s="3" t="s">
        <v>37</v>
      </c>
      <c r="O12345" s="3" t="s">
        <v>46</v>
      </c>
      <c r="P12345" s="5">
        <v>9</v>
      </c>
      <c r="Q12345" s="5">
        <v>85</v>
      </c>
      <c r="R12345" s="5">
        <v>9</v>
      </c>
      <c r="S12345" s="5">
        <v>91</v>
      </c>
    </row>
    <row r="12346" spans="1:19" ht="28" x14ac:dyDescent="0.15">
      <c r="A12346" s="2">
        <f>HYPERLINK("https://open-school.uspishnemisto.com.ua/school/610476/", 610476)</f>
        <v>610476</v>
      </c>
      <c r="B12346" s="3" t="s">
        <v>62349</v>
      </c>
      <c r="C12346" s="3" t="s">
        <v>31</v>
      </c>
      <c r="D12346" s="3" t="s">
        <v>32</v>
      </c>
      <c r="E12346" s="4" t="s">
        <v>22</v>
      </c>
      <c r="F12346" s="4" t="s">
        <v>62350</v>
      </c>
      <c r="G12346" s="4" t="s">
        <v>62351</v>
      </c>
      <c r="H12346" s="3" t="s">
        <v>60159</v>
      </c>
      <c r="I12346" s="3" t="s">
        <v>62352</v>
      </c>
      <c r="J12346" s="3" t="s">
        <v>12836</v>
      </c>
      <c r="K12346" s="3" t="s">
        <v>62353</v>
      </c>
      <c r="L12346" s="3"/>
      <c r="M12346" s="4"/>
      <c r="N12346" s="3" t="s">
        <v>37</v>
      </c>
      <c r="O12346" s="3" t="s">
        <v>46</v>
      </c>
      <c r="P12346" s="5">
        <v>14</v>
      </c>
      <c r="Q12346" s="5">
        <v>302</v>
      </c>
      <c r="R12346" s="5">
        <v>15</v>
      </c>
      <c r="S12346" s="5">
        <v>307</v>
      </c>
    </row>
    <row r="12347" spans="1:19" ht="42" x14ac:dyDescent="0.15">
      <c r="A12347" s="2">
        <f>HYPERLINK("https://open-school.uspishnemisto.com.ua/school/610477/", 610477)</f>
        <v>610477</v>
      </c>
      <c r="B12347" s="3" t="s">
        <v>62354</v>
      </c>
      <c r="C12347" s="3" t="s">
        <v>31</v>
      </c>
      <c r="D12347" s="3" t="s">
        <v>32</v>
      </c>
      <c r="E12347" s="4" t="s">
        <v>22</v>
      </c>
      <c r="F12347" s="4" t="s">
        <v>62285</v>
      </c>
      <c r="G12347" s="4" t="s">
        <v>62355</v>
      </c>
      <c r="H12347" s="3" t="s">
        <v>60159</v>
      </c>
      <c r="I12347" s="3" t="s">
        <v>21710</v>
      </c>
      <c r="J12347" s="3" t="s">
        <v>62356</v>
      </c>
      <c r="K12347" s="3" t="s">
        <v>62357</v>
      </c>
      <c r="L12347" s="3" t="s">
        <v>62358</v>
      </c>
      <c r="M12347" s="4" t="s">
        <v>62359</v>
      </c>
      <c r="N12347" s="3" t="s">
        <v>37</v>
      </c>
      <c r="O12347" s="3" t="s">
        <v>46</v>
      </c>
      <c r="P12347" s="5">
        <v>11</v>
      </c>
      <c r="Q12347" s="5">
        <v>171</v>
      </c>
      <c r="R12347" s="5">
        <v>11</v>
      </c>
      <c r="S12347" s="5">
        <v>158</v>
      </c>
    </row>
    <row r="12348" spans="1:19" ht="28" x14ac:dyDescent="0.15">
      <c r="A12348" s="2">
        <f>HYPERLINK("https://open-school.uspishnemisto.com.ua/school/610478/", 610478)</f>
        <v>610478</v>
      </c>
      <c r="B12348" s="3" t="s">
        <v>62360</v>
      </c>
      <c r="C12348" s="3" t="s">
        <v>31</v>
      </c>
      <c r="D12348" s="3" t="s">
        <v>175</v>
      </c>
      <c r="E12348" s="4" t="s">
        <v>22</v>
      </c>
      <c r="F12348" s="4" t="s">
        <v>62361</v>
      </c>
      <c r="G12348" s="4" t="s">
        <v>62362</v>
      </c>
      <c r="H12348" s="3" t="s">
        <v>60159</v>
      </c>
      <c r="I12348" s="3" t="s">
        <v>62363</v>
      </c>
      <c r="J12348" s="3"/>
      <c r="K12348" s="3" t="s">
        <v>62364</v>
      </c>
      <c r="L12348" s="3" t="s">
        <v>62365</v>
      </c>
      <c r="M12348" s="4" t="s">
        <v>62366</v>
      </c>
      <c r="N12348" s="3" t="s">
        <v>37</v>
      </c>
      <c r="O12348" s="3" t="s">
        <v>52</v>
      </c>
      <c r="P12348" s="5">
        <v>7</v>
      </c>
      <c r="Q12348" s="5">
        <v>61</v>
      </c>
      <c r="R12348" s="5">
        <v>7</v>
      </c>
      <c r="S12348" s="5">
        <v>64</v>
      </c>
    </row>
    <row r="12349" spans="1:19" ht="28" x14ac:dyDescent="0.15">
      <c r="A12349" s="2">
        <f>HYPERLINK("https://open-school.uspishnemisto.com.ua/school/610479/", 610479)</f>
        <v>610479</v>
      </c>
      <c r="B12349" s="3" t="s">
        <v>62367</v>
      </c>
      <c r="C12349" s="3" t="s">
        <v>31</v>
      </c>
      <c r="D12349" s="3" t="s">
        <v>175</v>
      </c>
      <c r="E12349" s="4" t="s">
        <v>22</v>
      </c>
      <c r="F12349" s="4" t="s">
        <v>62285</v>
      </c>
      <c r="G12349" s="4" t="s">
        <v>62368</v>
      </c>
      <c r="H12349" s="3" t="s">
        <v>60159</v>
      </c>
      <c r="I12349" s="3" t="s">
        <v>62369</v>
      </c>
      <c r="J12349" s="3" t="s">
        <v>62370</v>
      </c>
      <c r="K12349" s="3" t="s">
        <v>62371</v>
      </c>
      <c r="L12349" s="3"/>
      <c r="M12349" s="4" t="s">
        <v>62372</v>
      </c>
      <c r="N12349" s="3" t="s">
        <v>37</v>
      </c>
      <c r="O12349" s="3" t="s">
        <v>46</v>
      </c>
      <c r="P12349" s="5">
        <v>2</v>
      </c>
      <c r="Q12349" s="5">
        <v>33</v>
      </c>
      <c r="R12349" s="5">
        <v>1</v>
      </c>
      <c r="S12349" s="5">
        <v>28</v>
      </c>
    </row>
    <row r="12350" spans="1:19" ht="28" x14ac:dyDescent="0.15">
      <c r="A12350" s="2">
        <f>HYPERLINK("https://open-school.uspishnemisto.com.ua/school/610480/", 610480)</f>
        <v>610480</v>
      </c>
      <c r="B12350" s="3" t="s">
        <v>62373</v>
      </c>
      <c r="C12350" s="3" t="s">
        <v>31</v>
      </c>
      <c r="D12350" s="3" t="s">
        <v>175</v>
      </c>
      <c r="E12350" s="4" t="s">
        <v>22</v>
      </c>
      <c r="F12350" s="4" t="s">
        <v>62374</v>
      </c>
      <c r="G12350" s="4" t="s">
        <v>62375</v>
      </c>
      <c r="H12350" s="3" t="s">
        <v>60159</v>
      </c>
      <c r="I12350" s="3" t="s">
        <v>32045</v>
      </c>
      <c r="J12350" s="3" t="s">
        <v>62376</v>
      </c>
      <c r="K12350" s="3" t="s">
        <v>62377</v>
      </c>
      <c r="L12350" s="3"/>
      <c r="M12350" s="4"/>
      <c r="N12350" s="3" t="s">
        <v>37</v>
      </c>
      <c r="O12350" s="3" t="s">
        <v>46</v>
      </c>
      <c r="P12350" s="5">
        <v>9</v>
      </c>
      <c r="Q12350" s="5">
        <v>172</v>
      </c>
      <c r="R12350" s="5">
        <v>9</v>
      </c>
      <c r="S12350" s="5">
        <v>158</v>
      </c>
    </row>
    <row r="12351" spans="1:19" ht="28" x14ac:dyDescent="0.15">
      <c r="A12351" s="2">
        <f>HYPERLINK("https://open-school.uspishnemisto.com.ua/school/610481/", 610481)</f>
        <v>610481</v>
      </c>
      <c r="B12351" s="3" t="s">
        <v>62378</v>
      </c>
      <c r="C12351" s="3" t="s">
        <v>31</v>
      </c>
      <c r="D12351" s="3" t="s">
        <v>60</v>
      </c>
      <c r="E12351" s="4" t="s">
        <v>22</v>
      </c>
      <c r="F12351" s="4" t="s">
        <v>62374</v>
      </c>
      <c r="G12351" s="4" t="s">
        <v>62379</v>
      </c>
      <c r="H12351" s="3" t="s">
        <v>60159</v>
      </c>
      <c r="I12351" s="3" t="s">
        <v>56358</v>
      </c>
      <c r="J12351" s="3" t="s">
        <v>16914</v>
      </c>
      <c r="K12351" s="3" t="s">
        <v>62380</v>
      </c>
      <c r="L12351" s="3"/>
      <c r="M12351" s="4"/>
      <c r="N12351" s="3" t="s">
        <v>37</v>
      </c>
      <c r="O12351" s="3" t="s">
        <v>52</v>
      </c>
      <c r="P12351" s="5">
        <v>0</v>
      </c>
      <c r="Q12351" s="5">
        <v>9</v>
      </c>
      <c r="R12351" s="5">
        <v>0</v>
      </c>
      <c r="S12351" s="5">
        <v>8</v>
      </c>
    </row>
    <row r="12352" spans="1:19" ht="28" x14ac:dyDescent="0.15">
      <c r="A12352" s="2">
        <f>HYPERLINK("https://open-school.uspishnemisto.com.ua/school/610482/", 610482)</f>
        <v>610482</v>
      </c>
      <c r="B12352" s="3" t="s">
        <v>62381</v>
      </c>
      <c r="C12352" s="3" t="s">
        <v>31</v>
      </c>
      <c r="D12352" s="3" t="s">
        <v>175</v>
      </c>
      <c r="E12352" s="4" t="s">
        <v>22</v>
      </c>
      <c r="F12352" s="4" t="s">
        <v>62382</v>
      </c>
      <c r="G12352" s="4" t="s">
        <v>62383</v>
      </c>
      <c r="H12352" s="3" t="s">
        <v>60159</v>
      </c>
      <c r="I12352" s="3" t="s">
        <v>61971</v>
      </c>
      <c r="J12352" s="3" t="s">
        <v>36003</v>
      </c>
      <c r="K12352" s="3" t="s">
        <v>62384</v>
      </c>
      <c r="L12352" s="3"/>
      <c r="M12352" s="4"/>
      <c r="N12352" s="3" t="s">
        <v>37</v>
      </c>
      <c r="O12352" s="3" t="s">
        <v>46</v>
      </c>
      <c r="P12352" s="5">
        <v>9</v>
      </c>
      <c r="Q12352" s="5">
        <v>90</v>
      </c>
      <c r="R12352" s="5">
        <v>9</v>
      </c>
      <c r="S12352" s="5">
        <v>96</v>
      </c>
    </row>
    <row r="12353" spans="1:19" ht="28" x14ac:dyDescent="0.15">
      <c r="A12353" s="2">
        <f>HYPERLINK("https://open-school.uspishnemisto.com.ua/school/610483/", 610483)</f>
        <v>610483</v>
      </c>
      <c r="B12353" s="3" t="s">
        <v>62385</v>
      </c>
      <c r="C12353" s="3" t="s">
        <v>31</v>
      </c>
      <c r="D12353" s="3" t="s">
        <v>175</v>
      </c>
      <c r="E12353" s="4" t="s">
        <v>22</v>
      </c>
      <c r="F12353" s="4" t="s">
        <v>62386</v>
      </c>
      <c r="G12353" s="4" t="s">
        <v>62387</v>
      </c>
      <c r="H12353" s="3" t="s">
        <v>60159</v>
      </c>
      <c r="I12353" s="3" t="s">
        <v>22540</v>
      </c>
      <c r="J12353" s="3" t="s">
        <v>20742</v>
      </c>
      <c r="K12353" s="3" t="s">
        <v>62388</v>
      </c>
      <c r="L12353" s="3"/>
      <c r="M12353" s="4"/>
      <c r="N12353" s="3" t="s">
        <v>37</v>
      </c>
      <c r="O12353" s="3" t="s">
        <v>46</v>
      </c>
      <c r="P12353" s="5">
        <v>9</v>
      </c>
      <c r="Q12353" s="5">
        <v>84</v>
      </c>
      <c r="R12353" s="5">
        <v>9</v>
      </c>
      <c r="S12353" s="5">
        <v>79</v>
      </c>
    </row>
    <row r="12354" spans="1:19" ht="28" x14ac:dyDescent="0.15">
      <c r="A12354" s="2">
        <f>HYPERLINK("https://open-school.uspishnemisto.com.ua/school/610484/", 610484)</f>
        <v>610484</v>
      </c>
      <c r="B12354" s="3" t="s">
        <v>62389</v>
      </c>
      <c r="C12354" s="3" t="s">
        <v>31</v>
      </c>
      <c r="D12354" s="3" t="s">
        <v>175</v>
      </c>
      <c r="E12354" s="4" t="s">
        <v>22</v>
      </c>
      <c r="F12354" s="4" t="s">
        <v>62390</v>
      </c>
      <c r="G12354" s="4" t="s">
        <v>62391</v>
      </c>
      <c r="H12354" s="3" t="s">
        <v>60159</v>
      </c>
      <c r="I12354" s="3" t="s">
        <v>553</v>
      </c>
      <c r="J12354" s="3"/>
      <c r="K12354" s="3" t="s">
        <v>62392</v>
      </c>
      <c r="L12354" s="3"/>
      <c r="M12354" s="4"/>
      <c r="N12354" s="3" t="s">
        <v>37</v>
      </c>
      <c r="O12354" s="3" t="s">
        <v>46</v>
      </c>
      <c r="P12354" s="5">
        <v>9</v>
      </c>
      <c r="Q12354" s="5">
        <v>165</v>
      </c>
      <c r="R12354" s="5">
        <v>9</v>
      </c>
      <c r="S12354" s="5">
        <v>154</v>
      </c>
    </row>
    <row r="12355" spans="1:19" ht="56" x14ac:dyDescent="0.15">
      <c r="A12355" s="2">
        <f>HYPERLINK("https://open-school.uspishnemisto.com.ua/school/610486/", 610486)</f>
        <v>610486</v>
      </c>
      <c r="B12355" s="3" t="s">
        <v>62393</v>
      </c>
      <c r="C12355" s="3" t="s">
        <v>54</v>
      </c>
      <c r="D12355" s="3" t="s">
        <v>60</v>
      </c>
      <c r="E12355" s="4" t="s">
        <v>22</v>
      </c>
      <c r="F12355" s="4" t="s">
        <v>62394</v>
      </c>
      <c r="G12355" s="4" t="s">
        <v>62395</v>
      </c>
      <c r="H12355" s="3" t="s">
        <v>60159</v>
      </c>
      <c r="I12355" s="3" t="s">
        <v>62396</v>
      </c>
      <c r="J12355" s="3"/>
      <c r="K12355" s="3" t="s">
        <v>62397</v>
      </c>
      <c r="L12355" s="3"/>
      <c r="M12355" s="4"/>
      <c r="N12355" s="3" t="s">
        <v>37</v>
      </c>
      <c r="O12355" s="3" t="s">
        <v>52</v>
      </c>
      <c r="P12355" s="5">
        <v>2</v>
      </c>
      <c r="Q12355" s="5">
        <v>15</v>
      </c>
      <c r="R12355" s="5">
        <v>2</v>
      </c>
      <c r="S12355" s="5">
        <v>14</v>
      </c>
    </row>
    <row r="12356" spans="1:19" ht="28" x14ac:dyDescent="0.15">
      <c r="A12356" s="2">
        <f>HYPERLINK("https://open-school.uspishnemisto.com.ua/school/610487/", 610487)</f>
        <v>610487</v>
      </c>
      <c r="B12356" s="3" t="s">
        <v>62398</v>
      </c>
      <c r="C12356" s="3" t="s">
        <v>31</v>
      </c>
      <c r="D12356" s="3" t="s">
        <v>175</v>
      </c>
      <c r="E12356" s="4" t="s">
        <v>22</v>
      </c>
      <c r="F12356" s="4" t="s">
        <v>60429</v>
      </c>
      <c r="G12356" s="4" t="s">
        <v>62399</v>
      </c>
      <c r="H12356" s="3" t="s">
        <v>60159</v>
      </c>
      <c r="I12356" s="3" t="s">
        <v>62400</v>
      </c>
      <c r="J12356" s="3" t="s">
        <v>14575</v>
      </c>
      <c r="K12356" s="3" t="s">
        <v>62401</v>
      </c>
      <c r="L12356" s="3" t="s">
        <v>62402</v>
      </c>
      <c r="M12356" s="4"/>
      <c r="N12356" s="3" t="s">
        <v>37</v>
      </c>
      <c r="O12356" s="3" t="s">
        <v>46</v>
      </c>
      <c r="P12356" s="5">
        <v>9</v>
      </c>
      <c r="Q12356" s="5">
        <v>83</v>
      </c>
      <c r="R12356" s="5">
        <v>9</v>
      </c>
      <c r="S12356" s="5">
        <v>83</v>
      </c>
    </row>
    <row r="12357" spans="1:19" ht="28" x14ac:dyDescent="0.15">
      <c r="A12357" s="2">
        <f>HYPERLINK("https://open-school.uspishnemisto.com.ua/school/610488/", 610488)</f>
        <v>610488</v>
      </c>
      <c r="B12357" s="3" t="s">
        <v>62403</v>
      </c>
      <c r="C12357" s="3" t="s">
        <v>31</v>
      </c>
      <c r="D12357" s="3" t="s">
        <v>175</v>
      </c>
      <c r="E12357" s="4" t="s">
        <v>22</v>
      </c>
      <c r="F12357" s="4" t="s">
        <v>62404</v>
      </c>
      <c r="G12357" s="4" t="s">
        <v>62405</v>
      </c>
      <c r="H12357" s="3" t="s">
        <v>60159</v>
      </c>
      <c r="I12357" s="3" t="s">
        <v>22423</v>
      </c>
      <c r="J12357" s="3" t="s">
        <v>62406</v>
      </c>
      <c r="K12357" s="3" t="s">
        <v>62407</v>
      </c>
      <c r="L12357" s="3" t="s">
        <v>62408</v>
      </c>
      <c r="M12357" s="4"/>
      <c r="N12357" s="3" t="s">
        <v>37</v>
      </c>
      <c r="O12357" s="3" t="s">
        <v>52</v>
      </c>
      <c r="P12357" s="5">
        <v>9</v>
      </c>
      <c r="Q12357" s="5">
        <v>104</v>
      </c>
      <c r="R12357" s="5">
        <v>9</v>
      </c>
      <c r="S12357" s="5">
        <v>100</v>
      </c>
    </row>
    <row r="12358" spans="1:19" ht="28" x14ac:dyDescent="0.15">
      <c r="A12358" s="2">
        <f>HYPERLINK("https://open-school.uspishnemisto.com.ua/school/610489/", 610489)</f>
        <v>610489</v>
      </c>
      <c r="B12358" s="3" t="s">
        <v>62409</v>
      </c>
      <c r="C12358" s="3" t="s">
        <v>54</v>
      </c>
      <c r="D12358" s="3" t="s">
        <v>32</v>
      </c>
      <c r="E12358" s="4" t="s">
        <v>22</v>
      </c>
      <c r="F12358" s="4" t="s">
        <v>62410</v>
      </c>
      <c r="G12358" s="4" t="s">
        <v>62411</v>
      </c>
      <c r="H12358" s="3" t="s">
        <v>60159</v>
      </c>
      <c r="I12358" s="3" t="s">
        <v>62412</v>
      </c>
      <c r="J12358" s="3" t="s">
        <v>62413</v>
      </c>
      <c r="K12358" s="3" t="s">
        <v>62414</v>
      </c>
      <c r="L12358" s="3"/>
      <c r="M12358" s="4"/>
      <c r="N12358" s="3" t="s">
        <v>37</v>
      </c>
      <c r="O12358" s="3" t="s">
        <v>52</v>
      </c>
      <c r="P12358" s="5">
        <v>13</v>
      </c>
      <c r="Q12358" s="5">
        <v>248</v>
      </c>
      <c r="R12358" s="5">
        <v>14</v>
      </c>
      <c r="S12358" s="5">
        <v>257</v>
      </c>
    </row>
    <row r="12359" spans="1:19" ht="56" x14ac:dyDescent="0.15">
      <c r="A12359" s="2">
        <f>HYPERLINK("https://open-school.uspishnemisto.com.ua/school/610490/", 610490)</f>
        <v>610490</v>
      </c>
      <c r="B12359" s="3" t="s">
        <v>62415</v>
      </c>
      <c r="C12359" s="3" t="s">
        <v>54</v>
      </c>
      <c r="D12359" s="3" t="s">
        <v>32</v>
      </c>
      <c r="E12359" s="4" t="s">
        <v>22</v>
      </c>
      <c r="F12359" s="4" t="s">
        <v>62416</v>
      </c>
      <c r="G12359" s="4" t="s">
        <v>62417</v>
      </c>
      <c r="H12359" s="3" t="s">
        <v>60159</v>
      </c>
      <c r="I12359" s="3" t="s">
        <v>62418</v>
      </c>
      <c r="J12359" s="3" t="s">
        <v>62419</v>
      </c>
      <c r="K12359" s="3" t="s">
        <v>62420</v>
      </c>
      <c r="L12359" s="3"/>
      <c r="M12359" s="4"/>
      <c r="N12359" s="3" t="s">
        <v>37</v>
      </c>
      <c r="O12359" s="3" t="s">
        <v>46</v>
      </c>
      <c r="P12359" s="5">
        <v>11</v>
      </c>
      <c r="Q12359" s="5">
        <v>171</v>
      </c>
      <c r="R12359" s="5">
        <v>11</v>
      </c>
      <c r="S12359" s="5">
        <v>163</v>
      </c>
    </row>
    <row r="12360" spans="1:19" ht="28" x14ac:dyDescent="0.15">
      <c r="A12360" s="2">
        <f>HYPERLINK("https://open-school.uspishnemisto.com.ua/school/610491/", 610491)</f>
        <v>610491</v>
      </c>
      <c r="B12360" s="3" t="s">
        <v>62421</v>
      </c>
      <c r="C12360" s="3" t="s">
        <v>31</v>
      </c>
      <c r="D12360" s="3" t="s">
        <v>32</v>
      </c>
      <c r="E12360" s="4" t="s">
        <v>22</v>
      </c>
      <c r="F12360" s="4" t="s">
        <v>62422</v>
      </c>
      <c r="G12360" s="4" t="s">
        <v>62423</v>
      </c>
      <c r="H12360" s="3" t="s">
        <v>60159</v>
      </c>
      <c r="I12360" s="3" t="s">
        <v>62424</v>
      </c>
      <c r="J12360" s="3" t="s">
        <v>599</v>
      </c>
      <c r="K12360" s="3" t="s">
        <v>62425</v>
      </c>
      <c r="L12360" s="3"/>
      <c r="M12360" s="4"/>
      <c r="N12360" s="3" t="s">
        <v>37</v>
      </c>
      <c r="O12360" s="3" t="s">
        <v>46</v>
      </c>
      <c r="P12360" s="5">
        <v>11</v>
      </c>
      <c r="Q12360" s="5">
        <v>118</v>
      </c>
      <c r="R12360" s="5">
        <v>11</v>
      </c>
      <c r="S12360" s="5">
        <v>118</v>
      </c>
    </row>
    <row r="12361" spans="1:19" ht="56" x14ac:dyDescent="0.15">
      <c r="A12361" s="2">
        <f>HYPERLINK("https://open-school.uspishnemisto.com.ua/school/610492/", 610492)</f>
        <v>610492</v>
      </c>
      <c r="B12361" s="3" t="s">
        <v>62426</v>
      </c>
      <c r="C12361" s="3" t="s">
        <v>54</v>
      </c>
      <c r="D12361" s="3" t="s">
        <v>32</v>
      </c>
      <c r="E12361" s="4" t="s">
        <v>22</v>
      </c>
      <c r="F12361" s="4" t="s">
        <v>62427</v>
      </c>
      <c r="G12361" s="4" t="s">
        <v>62428</v>
      </c>
      <c r="H12361" s="3" t="s">
        <v>60159</v>
      </c>
      <c r="I12361" s="3" t="s">
        <v>62429</v>
      </c>
      <c r="J12361" s="3" t="s">
        <v>28673</v>
      </c>
      <c r="K12361" s="3" t="s">
        <v>62430</v>
      </c>
      <c r="L12361" s="3"/>
      <c r="M12361" s="4"/>
      <c r="N12361" s="3" t="s">
        <v>37</v>
      </c>
      <c r="O12361" s="3" t="s">
        <v>46</v>
      </c>
      <c r="P12361" s="5">
        <v>11</v>
      </c>
      <c r="Q12361" s="5">
        <v>174</v>
      </c>
      <c r="R12361" s="5">
        <v>11</v>
      </c>
      <c r="S12361" s="5">
        <v>174</v>
      </c>
    </row>
    <row r="12362" spans="1:19" ht="28" x14ac:dyDescent="0.15">
      <c r="A12362" s="2">
        <f>HYPERLINK("https://open-school.uspishnemisto.com.ua/school/610493/", 610493)</f>
        <v>610493</v>
      </c>
      <c r="B12362" s="3" t="s">
        <v>62431</v>
      </c>
      <c r="C12362" s="3" t="s">
        <v>31</v>
      </c>
      <c r="D12362" s="3" t="s">
        <v>175</v>
      </c>
      <c r="E12362" s="4" t="s">
        <v>22</v>
      </c>
      <c r="F12362" s="4" t="s">
        <v>62432</v>
      </c>
      <c r="G12362" s="4" t="s">
        <v>62433</v>
      </c>
      <c r="H12362" s="3" t="s">
        <v>60159</v>
      </c>
      <c r="I12362" s="3" t="s">
        <v>62434</v>
      </c>
      <c r="J12362" s="3" t="s">
        <v>634</v>
      </c>
      <c r="K12362" s="3" t="s">
        <v>62435</v>
      </c>
      <c r="L12362" s="3"/>
      <c r="M12362" s="4" t="s">
        <v>62436</v>
      </c>
      <c r="N12362" s="3" t="s">
        <v>37</v>
      </c>
      <c r="O12362" s="3" t="s">
        <v>46</v>
      </c>
      <c r="P12362" s="5">
        <v>9</v>
      </c>
      <c r="Q12362" s="5">
        <v>158</v>
      </c>
      <c r="R12362" s="5">
        <v>9</v>
      </c>
      <c r="S12362" s="5">
        <v>157</v>
      </c>
    </row>
    <row r="12363" spans="1:19" ht="28" x14ac:dyDescent="0.15">
      <c r="A12363" s="2">
        <f>HYPERLINK("https://open-school.uspishnemisto.com.ua/school/610494/", 610494)</f>
        <v>610494</v>
      </c>
      <c r="B12363" s="3" t="s">
        <v>62437</v>
      </c>
      <c r="C12363" s="3" t="s">
        <v>31</v>
      </c>
      <c r="D12363" s="3" t="s">
        <v>175</v>
      </c>
      <c r="E12363" s="4" t="s">
        <v>22</v>
      </c>
      <c r="F12363" s="4" t="s">
        <v>62438</v>
      </c>
      <c r="G12363" s="4" t="s">
        <v>62439</v>
      </c>
      <c r="H12363" s="3" t="s">
        <v>60159</v>
      </c>
      <c r="I12363" s="3" t="s">
        <v>61583</v>
      </c>
      <c r="J12363" s="3" t="s">
        <v>62440</v>
      </c>
      <c r="K12363" s="3" t="s">
        <v>62441</v>
      </c>
      <c r="L12363" s="3"/>
      <c r="M12363" s="4"/>
      <c r="N12363" s="3" t="s">
        <v>37</v>
      </c>
      <c r="O12363" s="3" t="s">
        <v>46</v>
      </c>
      <c r="P12363" s="5">
        <v>7</v>
      </c>
      <c r="Q12363" s="5">
        <v>41</v>
      </c>
      <c r="R12363" s="5">
        <v>6</v>
      </c>
      <c r="S12363" s="5">
        <v>39</v>
      </c>
    </row>
    <row r="12364" spans="1:19" ht="28" x14ac:dyDescent="0.15">
      <c r="A12364" s="2">
        <f>HYPERLINK("https://open-school.uspishnemisto.com.ua/school/610495/", 610495)</f>
        <v>610495</v>
      </c>
      <c r="B12364" s="3" t="s">
        <v>62442</v>
      </c>
      <c r="C12364" s="3" t="s">
        <v>31</v>
      </c>
      <c r="D12364" s="3" t="s">
        <v>175</v>
      </c>
      <c r="E12364" s="4" t="s">
        <v>22</v>
      </c>
      <c r="F12364" s="4" t="s">
        <v>62438</v>
      </c>
      <c r="G12364" s="4" t="s">
        <v>62443</v>
      </c>
      <c r="H12364" s="3" t="s">
        <v>60159</v>
      </c>
      <c r="I12364" s="3" t="s">
        <v>62444</v>
      </c>
      <c r="J12364" s="3" t="s">
        <v>16005</v>
      </c>
      <c r="K12364" s="3" t="s">
        <v>62445</v>
      </c>
      <c r="L12364" s="3"/>
      <c r="M12364" s="4"/>
      <c r="N12364" s="3" t="s">
        <v>37</v>
      </c>
      <c r="O12364" s="3" t="s">
        <v>46</v>
      </c>
      <c r="P12364" s="5">
        <v>3</v>
      </c>
      <c r="Q12364" s="5">
        <v>36</v>
      </c>
      <c r="R12364" s="5">
        <v>2</v>
      </c>
      <c r="S12364" s="5">
        <v>34</v>
      </c>
    </row>
    <row r="12365" spans="1:19" ht="28" x14ac:dyDescent="0.15">
      <c r="A12365" s="2">
        <f>HYPERLINK("https://open-school.uspishnemisto.com.ua/school/610496/", 610496)</f>
        <v>610496</v>
      </c>
      <c r="B12365" s="3" t="s">
        <v>62446</v>
      </c>
      <c r="C12365" s="3" t="s">
        <v>31</v>
      </c>
      <c r="D12365" s="3" t="s">
        <v>175</v>
      </c>
      <c r="E12365" s="4" t="s">
        <v>22</v>
      </c>
      <c r="F12365" s="4" t="s">
        <v>62325</v>
      </c>
      <c r="G12365" s="4" t="s">
        <v>62447</v>
      </c>
      <c r="H12365" s="3" t="s">
        <v>60159</v>
      </c>
      <c r="I12365" s="3" t="s">
        <v>62448</v>
      </c>
      <c r="J12365" s="3" t="s">
        <v>62449</v>
      </c>
      <c r="K12365" s="3"/>
      <c r="L12365" s="3"/>
      <c r="M12365" s="4"/>
      <c r="N12365" s="3" t="s">
        <v>37</v>
      </c>
      <c r="O12365" s="3" t="s">
        <v>46</v>
      </c>
      <c r="P12365" s="5">
        <v>4</v>
      </c>
      <c r="Q12365" s="5">
        <v>40</v>
      </c>
      <c r="R12365" s="5">
        <v>4</v>
      </c>
      <c r="S12365" s="5">
        <v>33</v>
      </c>
    </row>
    <row r="12366" spans="1:19" ht="28" x14ac:dyDescent="0.15">
      <c r="A12366" s="2">
        <f>HYPERLINK("https://open-school.uspishnemisto.com.ua/school/610497/", 610497)</f>
        <v>610497</v>
      </c>
      <c r="B12366" s="3" t="s">
        <v>62450</v>
      </c>
      <c r="C12366" s="3" t="s">
        <v>31</v>
      </c>
      <c r="D12366" s="3" t="s">
        <v>60</v>
      </c>
      <c r="E12366" s="4" t="s">
        <v>22</v>
      </c>
      <c r="F12366" s="4" t="s">
        <v>60413</v>
      </c>
      <c r="G12366" s="4" t="s">
        <v>62451</v>
      </c>
      <c r="H12366" s="3" t="s">
        <v>60159</v>
      </c>
      <c r="I12366" s="3" t="s">
        <v>62452</v>
      </c>
      <c r="J12366" s="3"/>
      <c r="K12366" s="3" t="s">
        <v>62453</v>
      </c>
      <c r="L12366" s="3"/>
      <c r="M12366" s="4"/>
      <c r="N12366" s="3" t="s">
        <v>37</v>
      </c>
      <c r="O12366" s="3" t="s">
        <v>52</v>
      </c>
      <c r="P12366" s="5">
        <v>4</v>
      </c>
      <c r="Q12366" s="5">
        <v>56</v>
      </c>
      <c r="R12366" s="5">
        <v>4</v>
      </c>
      <c r="S12366" s="5">
        <v>59</v>
      </c>
    </row>
    <row r="12367" spans="1:19" ht="28" x14ac:dyDescent="0.15">
      <c r="A12367" s="2">
        <f>HYPERLINK("https://open-school.uspishnemisto.com.ua/school/610498/", 610498)</f>
        <v>610498</v>
      </c>
      <c r="B12367" s="3" t="s">
        <v>62454</v>
      </c>
      <c r="C12367" s="3" t="s">
        <v>31</v>
      </c>
      <c r="D12367" s="3" t="s">
        <v>175</v>
      </c>
      <c r="E12367" s="4" t="s">
        <v>22</v>
      </c>
      <c r="F12367" s="4" t="s">
        <v>62455</v>
      </c>
      <c r="G12367" s="4" t="s">
        <v>62456</v>
      </c>
      <c r="H12367" s="3" t="s">
        <v>60159</v>
      </c>
      <c r="I12367" s="3" t="s">
        <v>40597</v>
      </c>
      <c r="J12367" s="3" t="s">
        <v>10830</v>
      </c>
      <c r="K12367" s="3" t="s">
        <v>62457</v>
      </c>
      <c r="L12367" s="3" t="s">
        <v>62458</v>
      </c>
      <c r="M12367" s="4"/>
      <c r="N12367" s="3" t="s">
        <v>37</v>
      </c>
      <c r="O12367" s="3" t="s">
        <v>46</v>
      </c>
      <c r="P12367" s="5">
        <v>6</v>
      </c>
      <c r="Q12367" s="5">
        <v>46</v>
      </c>
      <c r="R12367" s="5">
        <v>6</v>
      </c>
      <c r="S12367" s="5">
        <v>49</v>
      </c>
    </row>
    <row r="12368" spans="1:19" ht="56" x14ac:dyDescent="0.15">
      <c r="A12368" s="2">
        <f>HYPERLINK("https://open-school.uspishnemisto.com.ua/school/610499/", 610499)</f>
        <v>610499</v>
      </c>
      <c r="B12368" s="3" t="s">
        <v>62459</v>
      </c>
      <c r="C12368" s="3" t="s">
        <v>54</v>
      </c>
      <c r="D12368" s="3" t="s">
        <v>32</v>
      </c>
      <c r="E12368" s="4" t="s">
        <v>22</v>
      </c>
      <c r="F12368" s="4" t="s">
        <v>62460</v>
      </c>
      <c r="G12368" s="4" t="s">
        <v>62461</v>
      </c>
      <c r="H12368" s="3" t="s">
        <v>60159</v>
      </c>
      <c r="I12368" s="3" t="s">
        <v>60780</v>
      </c>
      <c r="J12368" s="3" t="s">
        <v>792</v>
      </c>
      <c r="K12368" s="3" t="s">
        <v>62462</v>
      </c>
      <c r="L12368" s="3" t="s">
        <v>62463</v>
      </c>
      <c r="M12368" s="4"/>
      <c r="N12368" s="3" t="s">
        <v>37</v>
      </c>
      <c r="O12368" s="3" t="s">
        <v>123</v>
      </c>
      <c r="P12368" s="5">
        <v>34</v>
      </c>
      <c r="Q12368" s="5">
        <v>763</v>
      </c>
      <c r="R12368" s="5">
        <v>33</v>
      </c>
      <c r="S12368" s="5">
        <v>758</v>
      </c>
    </row>
    <row r="12369" spans="1:19" ht="28" x14ac:dyDescent="0.15">
      <c r="A12369" s="2">
        <f>HYPERLINK("https://open-school.uspishnemisto.com.ua/school/610500/", 610500)</f>
        <v>610500</v>
      </c>
      <c r="B12369" s="3" t="s">
        <v>62464</v>
      </c>
      <c r="C12369" s="3" t="s">
        <v>31</v>
      </c>
      <c r="D12369" s="3" t="s">
        <v>32</v>
      </c>
      <c r="E12369" s="4" t="s">
        <v>22</v>
      </c>
      <c r="F12369" s="4" t="s">
        <v>62465</v>
      </c>
      <c r="G12369" s="4" t="s">
        <v>62461</v>
      </c>
      <c r="H12369" s="3" t="s">
        <v>60159</v>
      </c>
      <c r="I12369" s="3" t="s">
        <v>60780</v>
      </c>
      <c r="J12369" s="3" t="s">
        <v>62466</v>
      </c>
      <c r="K12369" s="3" t="s">
        <v>62467</v>
      </c>
      <c r="L12369" s="3"/>
      <c r="M12369" s="4"/>
      <c r="N12369" s="3" t="s">
        <v>37</v>
      </c>
      <c r="O12369" s="3" t="s">
        <v>123</v>
      </c>
      <c r="P12369" s="5">
        <v>33</v>
      </c>
      <c r="Q12369" s="5">
        <v>473</v>
      </c>
      <c r="R12369" s="5">
        <v>21</v>
      </c>
      <c r="S12369" s="5">
        <v>369</v>
      </c>
    </row>
    <row r="12370" spans="1:19" ht="42" x14ac:dyDescent="0.15">
      <c r="A12370" s="2">
        <f>HYPERLINK("https://open-school.uspishnemisto.com.ua/school/610501/", 610501)</f>
        <v>610501</v>
      </c>
      <c r="B12370" s="3" t="s">
        <v>62468</v>
      </c>
      <c r="C12370" s="3" t="s">
        <v>31</v>
      </c>
      <c r="D12370" s="3" t="s">
        <v>60</v>
      </c>
      <c r="E12370" s="4" t="s">
        <v>22</v>
      </c>
      <c r="F12370" s="4" t="s">
        <v>62469</v>
      </c>
      <c r="G12370" s="4" t="s">
        <v>62470</v>
      </c>
      <c r="H12370" s="3" t="s">
        <v>60159</v>
      </c>
      <c r="I12370" s="3" t="s">
        <v>5961</v>
      </c>
      <c r="J12370" s="3" t="s">
        <v>62471</v>
      </c>
      <c r="K12370" s="3" t="s">
        <v>62472</v>
      </c>
      <c r="L12370" s="3"/>
      <c r="M12370" s="4"/>
      <c r="N12370" s="3" t="s">
        <v>37</v>
      </c>
      <c r="O12370" s="3" t="s">
        <v>52</v>
      </c>
      <c r="P12370" s="5">
        <v>0</v>
      </c>
      <c r="Q12370" s="5">
        <v>0</v>
      </c>
      <c r="R12370" s="5">
        <v>0</v>
      </c>
      <c r="S12370" s="5">
        <v>5</v>
      </c>
    </row>
    <row r="12371" spans="1:19" ht="28" x14ac:dyDescent="0.15">
      <c r="A12371" s="2">
        <f>HYPERLINK("https://open-school.uspishnemisto.com.ua/school/610502/", 610502)</f>
        <v>610502</v>
      </c>
      <c r="B12371" s="3" t="s">
        <v>62473</v>
      </c>
      <c r="C12371" s="3" t="s">
        <v>31</v>
      </c>
      <c r="D12371" s="3" t="s">
        <v>175</v>
      </c>
      <c r="E12371" s="4" t="s">
        <v>22</v>
      </c>
      <c r="F12371" s="4" t="s">
        <v>62474</v>
      </c>
      <c r="G12371" s="4" t="s">
        <v>62475</v>
      </c>
      <c r="H12371" s="3" t="s">
        <v>60159</v>
      </c>
      <c r="I12371" s="3" t="s">
        <v>62476</v>
      </c>
      <c r="J12371" s="3" t="s">
        <v>2476</v>
      </c>
      <c r="K12371" s="3" t="s">
        <v>62477</v>
      </c>
      <c r="L12371" s="3" t="s">
        <v>62478</v>
      </c>
      <c r="M12371" s="4"/>
      <c r="N12371" s="3" t="s">
        <v>37</v>
      </c>
      <c r="O12371" s="3" t="s">
        <v>46</v>
      </c>
      <c r="P12371" s="5">
        <v>0</v>
      </c>
      <c r="Q12371" s="5">
        <v>0</v>
      </c>
      <c r="R12371" s="5">
        <v>7</v>
      </c>
      <c r="S12371" s="5">
        <v>70</v>
      </c>
    </row>
    <row r="12372" spans="1:19" ht="28" x14ac:dyDescent="0.15">
      <c r="A12372" s="2">
        <f>HYPERLINK("https://open-school.uspishnemisto.com.ua/school/610503/", 610503)</f>
        <v>610503</v>
      </c>
      <c r="B12372" s="3" t="s">
        <v>62479</v>
      </c>
      <c r="C12372" s="3" t="s">
        <v>31</v>
      </c>
      <c r="D12372" s="3" t="s">
        <v>32</v>
      </c>
      <c r="E12372" s="4" t="s">
        <v>22</v>
      </c>
      <c r="F12372" s="4" t="s">
        <v>62480</v>
      </c>
      <c r="G12372" s="4" t="s">
        <v>62481</v>
      </c>
      <c r="H12372" s="3" t="s">
        <v>60159</v>
      </c>
      <c r="I12372" s="3" t="s">
        <v>48037</v>
      </c>
      <c r="J12372" s="3" t="s">
        <v>566</v>
      </c>
      <c r="K12372" s="3" t="s">
        <v>62482</v>
      </c>
      <c r="L12372" s="3"/>
      <c r="M12372" s="4"/>
      <c r="N12372" s="3" t="s">
        <v>37</v>
      </c>
      <c r="O12372" s="3" t="s">
        <v>46</v>
      </c>
      <c r="P12372" s="5">
        <v>9</v>
      </c>
      <c r="Q12372" s="5">
        <v>87</v>
      </c>
      <c r="R12372" s="5">
        <v>9</v>
      </c>
      <c r="S12372" s="5">
        <v>86</v>
      </c>
    </row>
    <row r="12373" spans="1:19" ht="28" x14ac:dyDescent="0.15">
      <c r="A12373" s="2">
        <f>HYPERLINK("https://open-school.uspishnemisto.com.ua/school/610504/", 610504)</f>
        <v>610504</v>
      </c>
      <c r="B12373" s="3" t="s">
        <v>62483</v>
      </c>
      <c r="C12373" s="3" t="s">
        <v>31</v>
      </c>
      <c r="D12373" s="3" t="s">
        <v>175</v>
      </c>
      <c r="E12373" s="4" t="s">
        <v>22</v>
      </c>
      <c r="F12373" s="4" t="s">
        <v>62484</v>
      </c>
      <c r="G12373" s="4" t="s">
        <v>62485</v>
      </c>
      <c r="H12373" s="3" t="s">
        <v>60159</v>
      </c>
      <c r="I12373" s="3" t="s">
        <v>1940</v>
      </c>
      <c r="J12373" s="3" t="s">
        <v>62486</v>
      </c>
      <c r="K12373" s="3" t="s">
        <v>62487</v>
      </c>
      <c r="L12373" s="3"/>
      <c r="M12373" s="4"/>
      <c r="N12373" s="3" t="s">
        <v>37</v>
      </c>
      <c r="O12373" s="3" t="s">
        <v>123</v>
      </c>
      <c r="P12373" s="5">
        <v>9</v>
      </c>
      <c r="Q12373" s="5">
        <v>97</v>
      </c>
      <c r="R12373" s="5">
        <v>9</v>
      </c>
      <c r="S12373" s="5">
        <v>101</v>
      </c>
    </row>
    <row r="12374" spans="1:19" ht="28" x14ac:dyDescent="0.15">
      <c r="A12374" s="2">
        <f>HYPERLINK("https://open-school.uspishnemisto.com.ua/school/610505/", 610505)</f>
        <v>610505</v>
      </c>
      <c r="B12374" s="3" t="s">
        <v>62488</v>
      </c>
      <c r="C12374" s="3" t="s">
        <v>31</v>
      </c>
      <c r="D12374" s="3" t="s">
        <v>175</v>
      </c>
      <c r="E12374" s="4" t="s">
        <v>22</v>
      </c>
      <c r="F12374" s="4" t="s">
        <v>62480</v>
      </c>
      <c r="G12374" s="4" t="s">
        <v>62489</v>
      </c>
      <c r="H12374" s="3" t="s">
        <v>60159</v>
      </c>
      <c r="I12374" s="3" t="s">
        <v>62490</v>
      </c>
      <c r="J12374" s="3" t="s">
        <v>3319</v>
      </c>
      <c r="K12374" s="3" t="s">
        <v>62491</v>
      </c>
      <c r="L12374" s="3"/>
      <c r="M12374" s="4"/>
      <c r="N12374" s="3" t="s">
        <v>37</v>
      </c>
      <c r="O12374" s="3" t="s">
        <v>46</v>
      </c>
      <c r="P12374" s="5">
        <v>3</v>
      </c>
      <c r="Q12374" s="5">
        <v>36</v>
      </c>
      <c r="R12374" s="5">
        <v>4</v>
      </c>
      <c r="S12374" s="5">
        <v>36</v>
      </c>
    </row>
    <row r="12375" spans="1:19" ht="28" x14ac:dyDescent="0.15">
      <c r="A12375" s="2">
        <f>HYPERLINK("https://open-school.uspishnemisto.com.ua/school/610506/", 610506)</f>
        <v>610506</v>
      </c>
      <c r="B12375" s="3" t="s">
        <v>62492</v>
      </c>
      <c r="C12375" s="3" t="s">
        <v>31</v>
      </c>
      <c r="D12375" s="3" t="s">
        <v>32</v>
      </c>
      <c r="E12375" s="4" t="s">
        <v>22</v>
      </c>
      <c r="F12375" s="4" t="s">
        <v>62493</v>
      </c>
      <c r="G12375" s="4" t="s">
        <v>62494</v>
      </c>
      <c r="H12375" s="3" t="s">
        <v>60159</v>
      </c>
      <c r="I12375" s="3" t="s">
        <v>45841</v>
      </c>
      <c r="J12375" s="3" t="s">
        <v>634</v>
      </c>
      <c r="K12375" s="3" t="s">
        <v>62495</v>
      </c>
      <c r="L12375" s="3"/>
      <c r="M12375" s="4"/>
      <c r="N12375" s="3" t="s">
        <v>37</v>
      </c>
      <c r="O12375" s="3" t="s">
        <v>46</v>
      </c>
      <c r="P12375" s="5">
        <v>11</v>
      </c>
      <c r="Q12375" s="5">
        <v>87</v>
      </c>
      <c r="R12375" s="5">
        <v>11</v>
      </c>
      <c r="S12375" s="5">
        <v>91</v>
      </c>
    </row>
    <row r="12376" spans="1:19" ht="28" x14ac:dyDescent="0.15">
      <c r="A12376" s="2">
        <f>HYPERLINK("https://open-school.uspishnemisto.com.ua/school/610507/", 610507)</f>
        <v>610507</v>
      </c>
      <c r="B12376" s="3" t="s">
        <v>62496</v>
      </c>
      <c r="C12376" s="3" t="s">
        <v>31</v>
      </c>
      <c r="D12376" s="3" t="s">
        <v>175</v>
      </c>
      <c r="E12376" s="4" t="s">
        <v>22</v>
      </c>
      <c r="F12376" s="4" t="s">
        <v>62497</v>
      </c>
      <c r="G12376" s="4" t="s">
        <v>62498</v>
      </c>
      <c r="H12376" s="3" t="s">
        <v>60159</v>
      </c>
      <c r="I12376" s="3" t="s">
        <v>5263</v>
      </c>
      <c r="J12376" s="3" t="s">
        <v>62499</v>
      </c>
      <c r="K12376" s="3" t="s">
        <v>62500</v>
      </c>
      <c r="L12376" s="3"/>
      <c r="M12376" s="4"/>
      <c r="N12376" s="3" t="s">
        <v>37</v>
      </c>
      <c r="O12376" s="3" t="s">
        <v>46</v>
      </c>
      <c r="P12376" s="5">
        <v>0</v>
      </c>
      <c r="Q12376" s="5">
        <v>26</v>
      </c>
      <c r="R12376" s="5">
        <v>1</v>
      </c>
      <c r="S12376" s="5">
        <v>25</v>
      </c>
    </row>
    <row r="12377" spans="1:19" ht="28" x14ac:dyDescent="0.15">
      <c r="A12377" s="2">
        <f>HYPERLINK("https://open-school.uspishnemisto.com.ua/school/610508/", 610508)</f>
        <v>610508</v>
      </c>
      <c r="B12377" s="3" t="s">
        <v>62501</v>
      </c>
      <c r="C12377" s="3" t="s">
        <v>31</v>
      </c>
      <c r="D12377" s="3" t="s">
        <v>60</v>
      </c>
      <c r="E12377" s="4" t="s">
        <v>22</v>
      </c>
      <c r="F12377" s="4" t="s">
        <v>62497</v>
      </c>
      <c r="G12377" s="4" t="s">
        <v>62502</v>
      </c>
      <c r="H12377" s="3" t="s">
        <v>60159</v>
      </c>
      <c r="I12377" s="3" t="s">
        <v>1332</v>
      </c>
      <c r="J12377" s="3" t="s">
        <v>62503</v>
      </c>
      <c r="K12377" s="3" t="s">
        <v>62504</v>
      </c>
      <c r="L12377" s="3"/>
      <c r="M12377" s="4"/>
      <c r="N12377" s="3" t="s">
        <v>37</v>
      </c>
      <c r="O12377" s="3" t="s">
        <v>52</v>
      </c>
      <c r="P12377" s="5">
        <v>0</v>
      </c>
      <c r="Q12377" s="5">
        <v>5</v>
      </c>
      <c r="R12377" s="5">
        <v>0</v>
      </c>
      <c r="S12377" s="5">
        <v>5</v>
      </c>
    </row>
    <row r="12378" spans="1:19" ht="56" x14ac:dyDescent="0.15">
      <c r="A12378" s="2">
        <f>HYPERLINK("https://open-school.uspishnemisto.com.ua/school/610509/", 610509)</f>
        <v>610509</v>
      </c>
      <c r="B12378" s="3" t="s">
        <v>62505</v>
      </c>
      <c r="C12378" s="3" t="s">
        <v>31</v>
      </c>
      <c r="D12378" s="3" t="s">
        <v>32</v>
      </c>
      <c r="E12378" s="4" t="s">
        <v>22</v>
      </c>
      <c r="F12378" s="4" t="s">
        <v>62506</v>
      </c>
      <c r="G12378" s="4" t="s">
        <v>62507</v>
      </c>
      <c r="H12378" s="3" t="s">
        <v>60159</v>
      </c>
      <c r="I12378" s="3" t="s">
        <v>56358</v>
      </c>
      <c r="J12378" s="3" t="s">
        <v>62508</v>
      </c>
      <c r="K12378" s="3" t="s">
        <v>62509</v>
      </c>
      <c r="L12378" s="3"/>
      <c r="M12378" s="4"/>
      <c r="N12378" s="3" t="s">
        <v>37</v>
      </c>
      <c r="O12378" s="3" t="s">
        <v>52</v>
      </c>
      <c r="P12378" s="5">
        <v>11</v>
      </c>
      <c r="Q12378" s="5">
        <v>82</v>
      </c>
      <c r="R12378" s="5">
        <v>10</v>
      </c>
      <c r="S12378" s="5">
        <v>81</v>
      </c>
    </row>
    <row r="12379" spans="1:19" ht="28" x14ac:dyDescent="0.15">
      <c r="A12379" s="2">
        <f>HYPERLINK("https://open-school.uspishnemisto.com.ua/school/610510/", 610510)</f>
        <v>610510</v>
      </c>
      <c r="B12379" s="3" t="s">
        <v>62510</v>
      </c>
      <c r="C12379" s="3" t="s">
        <v>31</v>
      </c>
      <c r="D12379" s="3" t="s">
        <v>32</v>
      </c>
      <c r="E12379" s="4" t="s">
        <v>22</v>
      </c>
      <c r="F12379" s="4" t="s">
        <v>62511</v>
      </c>
      <c r="G12379" s="4" t="s">
        <v>62512</v>
      </c>
      <c r="H12379" s="3" t="s">
        <v>60159</v>
      </c>
      <c r="I12379" s="3" t="s">
        <v>62513</v>
      </c>
      <c r="J12379" s="3" t="s">
        <v>62514</v>
      </c>
      <c r="K12379" s="3" t="s">
        <v>62515</v>
      </c>
      <c r="L12379" s="3"/>
      <c r="M12379" s="4"/>
      <c r="N12379" s="3" t="s">
        <v>37</v>
      </c>
      <c r="O12379" s="3" t="s">
        <v>52</v>
      </c>
      <c r="P12379" s="5">
        <v>11</v>
      </c>
      <c r="Q12379" s="5">
        <v>101</v>
      </c>
      <c r="R12379" s="5">
        <v>11</v>
      </c>
      <c r="S12379" s="5">
        <v>85</v>
      </c>
    </row>
    <row r="12380" spans="1:19" ht="28" x14ac:dyDescent="0.15">
      <c r="A12380" s="2">
        <f>HYPERLINK("https://open-school.uspishnemisto.com.ua/school/610511/", 610511)</f>
        <v>610511</v>
      </c>
      <c r="B12380" s="3" t="s">
        <v>62516</v>
      </c>
      <c r="C12380" s="3" t="s">
        <v>31</v>
      </c>
      <c r="D12380" s="3" t="s">
        <v>175</v>
      </c>
      <c r="E12380" s="4" t="s">
        <v>22</v>
      </c>
      <c r="F12380" s="4" t="s">
        <v>62517</v>
      </c>
      <c r="G12380" s="4" t="s">
        <v>62518</v>
      </c>
      <c r="H12380" s="3" t="s">
        <v>60159</v>
      </c>
      <c r="I12380" s="3" t="s">
        <v>62519</v>
      </c>
      <c r="J12380" s="3" t="s">
        <v>62520</v>
      </c>
      <c r="K12380" s="3" t="s">
        <v>62521</v>
      </c>
      <c r="L12380" s="3"/>
      <c r="M12380" s="4"/>
      <c r="N12380" s="3" t="s">
        <v>37</v>
      </c>
      <c r="O12380" s="3" t="s">
        <v>52</v>
      </c>
      <c r="P12380" s="5">
        <v>5</v>
      </c>
      <c r="Q12380" s="5">
        <v>41</v>
      </c>
      <c r="R12380" s="5">
        <v>5</v>
      </c>
      <c r="S12380" s="5">
        <v>35</v>
      </c>
    </row>
    <row r="12381" spans="1:19" ht="42" x14ac:dyDescent="0.15">
      <c r="A12381" s="2">
        <f>HYPERLINK("https://open-school.uspishnemisto.com.ua/school/610512/", 610512)</f>
        <v>610512</v>
      </c>
      <c r="B12381" s="3" t="s">
        <v>62522</v>
      </c>
      <c r="C12381" s="3" t="s">
        <v>31</v>
      </c>
      <c r="D12381" s="3" t="s">
        <v>175</v>
      </c>
      <c r="E12381" s="4" t="s">
        <v>22</v>
      </c>
      <c r="F12381" s="4" t="s">
        <v>62523</v>
      </c>
      <c r="G12381" s="4" t="s">
        <v>62524</v>
      </c>
      <c r="H12381" s="3" t="s">
        <v>60159</v>
      </c>
      <c r="I12381" s="3" t="s">
        <v>62525</v>
      </c>
      <c r="J12381" s="3" t="s">
        <v>62526</v>
      </c>
      <c r="K12381" s="3" t="s">
        <v>62527</v>
      </c>
      <c r="L12381" s="3"/>
      <c r="M12381" s="4"/>
      <c r="N12381" s="3" t="s">
        <v>37</v>
      </c>
      <c r="O12381" s="3" t="s">
        <v>46</v>
      </c>
      <c r="P12381" s="5">
        <v>6</v>
      </c>
      <c r="Q12381" s="5">
        <v>41</v>
      </c>
      <c r="R12381" s="5">
        <v>6</v>
      </c>
      <c r="S12381" s="5">
        <v>42</v>
      </c>
    </row>
    <row r="12382" spans="1:19" ht="28" x14ac:dyDescent="0.15">
      <c r="A12382" s="2">
        <f>HYPERLINK("https://open-school.uspishnemisto.com.ua/school/610513/", 610513)</f>
        <v>610513</v>
      </c>
      <c r="B12382" s="3" t="s">
        <v>62528</v>
      </c>
      <c r="C12382" s="3" t="s">
        <v>31</v>
      </c>
      <c r="D12382" s="3" t="s">
        <v>32</v>
      </c>
      <c r="E12382" s="4" t="s">
        <v>22</v>
      </c>
      <c r="F12382" s="4" t="s">
        <v>62529</v>
      </c>
      <c r="G12382" s="4" t="s">
        <v>62530</v>
      </c>
      <c r="H12382" s="3" t="s">
        <v>60159</v>
      </c>
      <c r="I12382" s="3" t="s">
        <v>2655</v>
      </c>
      <c r="J12382" s="3" t="s">
        <v>4046</v>
      </c>
      <c r="K12382" s="3" t="s">
        <v>62531</v>
      </c>
      <c r="L12382" s="3"/>
      <c r="M12382" s="4"/>
      <c r="N12382" s="3" t="s">
        <v>37</v>
      </c>
      <c r="O12382" s="3" t="s">
        <v>52</v>
      </c>
      <c r="P12382" s="5">
        <v>10</v>
      </c>
      <c r="Q12382" s="5">
        <v>99</v>
      </c>
      <c r="R12382" s="5">
        <v>10</v>
      </c>
      <c r="S12382" s="5">
        <v>105</v>
      </c>
    </row>
    <row r="12383" spans="1:19" ht="28" x14ac:dyDescent="0.15">
      <c r="A12383" s="2">
        <f>HYPERLINK("https://open-school.uspishnemisto.com.ua/school/610514/", 610514)</f>
        <v>610514</v>
      </c>
      <c r="B12383" s="3" t="s">
        <v>62532</v>
      </c>
      <c r="C12383" s="3" t="s">
        <v>31</v>
      </c>
      <c r="D12383" s="3" t="s">
        <v>175</v>
      </c>
      <c r="E12383" s="4" t="s">
        <v>22</v>
      </c>
      <c r="F12383" s="4" t="s">
        <v>62533</v>
      </c>
      <c r="G12383" s="4" t="s">
        <v>62534</v>
      </c>
      <c r="H12383" s="3" t="s">
        <v>60159</v>
      </c>
      <c r="I12383" s="3" t="s">
        <v>62535</v>
      </c>
      <c r="J12383" s="3" t="s">
        <v>3494</v>
      </c>
      <c r="K12383" s="3" t="s">
        <v>62536</v>
      </c>
      <c r="L12383" s="3" t="s">
        <v>62537</v>
      </c>
      <c r="M12383" s="4"/>
      <c r="N12383" s="3" t="s">
        <v>37</v>
      </c>
      <c r="O12383" s="3" t="s">
        <v>46</v>
      </c>
      <c r="P12383" s="5">
        <v>5</v>
      </c>
      <c r="Q12383" s="5">
        <v>37</v>
      </c>
      <c r="R12383" s="5">
        <v>4</v>
      </c>
      <c r="S12383" s="5">
        <v>35</v>
      </c>
    </row>
    <row r="12384" spans="1:19" ht="28" x14ac:dyDescent="0.15">
      <c r="A12384" s="2">
        <f>HYPERLINK("https://open-school.uspishnemisto.com.ua/school/610515/", 610515)</f>
        <v>610515</v>
      </c>
      <c r="B12384" s="3" t="s">
        <v>62538</v>
      </c>
      <c r="C12384" s="3" t="s">
        <v>31</v>
      </c>
      <c r="D12384" s="3" t="s">
        <v>60</v>
      </c>
      <c r="E12384" s="4" t="s">
        <v>22</v>
      </c>
      <c r="F12384" s="4" t="s">
        <v>62529</v>
      </c>
      <c r="G12384" s="4" t="s">
        <v>62539</v>
      </c>
      <c r="H12384" s="3" t="s">
        <v>60159</v>
      </c>
      <c r="I12384" s="3" t="s">
        <v>62540</v>
      </c>
      <c r="J12384" s="3" t="s">
        <v>1417</v>
      </c>
      <c r="K12384" s="3"/>
      <c r="L12384" s="3"/>
      <c r="M12384" s="4"/>
      <c r="N12384" s="3" t="s">
        <v>37</v>
      </c>
      <c r="O12384" s="3" t="s">
        <v>52</v>
      </c>
      <c r="P12384" s="5">
        <v>1</v>
      </c>
      <c r="Q12384" s="5">
        <v>15</v>
      </c>
      <c r="R12384" s="5">
        <v>1</v>
      </c>
      <c r="S12384" s="5">
        <v>13</v>
      </c>
    </row>
    <row r="12385" spans="1:19" ht="28" x14ac:dyDescent="0.15">
      <c r="A12385" s="2">
        <f>HYPERLINK("https://open-school.uspishnemisto.com.ua/school/610516/", 610516)</f>
        <v>610516</v>
      </c>
      <c r="B12385" s="3" t="s">
        <v>62541</v>
      </c>
      <c r="C12385" s="3" t="s">
        <v>31</v>
      </c>
      <c r="D12385" s="3" t="s">
        <v>32</v>
      </c>
      <c r="E12385" s="4" t="s">
        <v>22</v>
      </c>
      <c r="F12385" s="4" t="s">
        <v>62542</v>
      </c>
      <c r="G12385" s="4" t="s">
        <v>62543</v>
      </c>
      <c r="H12385" s="3" t="s">
        <v>60159</v>
      </c>
      <c r="I12385" s="3" t="s">
        <v>62544</v>
      </c>
      <c r="J12385" s="3" t="s">
        <v>5145</v>
      </c>
      <c r="K12385" s="3" t="s">
        <v>62545</v>
      </c>
      <c r="L12385" s="3"/>
      <c r="M12385" s="4"/>
      <c r="N12385" s="3" t="s">
        <v>37</v>
      </c>
      <c r="O12385" s="3" t="s">
        <v>46</v>
      </c>
      <c r="P12385" s="5">
        <v>11</v>
      </c>
      <c r="Q12385" s="5">
        <v>108</v>
      </c>
      <c r="R12385" s="5">
        <v>11</v>
      </c>
      <c r="S12385" s="5">
        <v>104</v>
      </c>
    </row>
    <row r="12386" spans="1:19" ht="28" x14ac:dyDescent="0.15">
      <c r="A12386" s="2">
        <f>HYPERLINK("https://open-school.uspishnemisto.com.ua/school/610517/", 610517)</f>
        <v>610517</v>
      </c>
      <c r="B12386" s="3" t="s">
        <v>62546</v>
      </c>
      <c r="C12386" s="3" t="s">
        <v>31</v>
      </c>
      <c r="D12386" s="3" t="s">
        <v>60</v>
      </c>
      <c r="E12386" s="4" t="s">
        <v>22</v>
      </c>
      <c r="F12386" s="4" t="s">
        <v>62547</v>
      </c>
      <c r="G12386" s="4" t="s">
        <v>62548</v>
      </c>
      <c r="H12386" s="3" t="s">
        <v>60159</v>
      </c>
      <c r="I12386" s="3" t="s">
        <v>16883</v>
      </c>
      <c r="J12386" s="3" t="s">
        <v>946</v>
      </c>
      <c r="K12386" s="3" t="s">
        <v>62549</v>
      </c>
      <c r="L12386" s="3"/>
      <c r="M12386" s="4"/>
      <c r="N12386" s="3" t="s">
        <v>37</v>
      </c>
      <c r="O12386" s="3" t="s">
        <v>52</v>
      </c>
      <c r="P12386" s="5">
        <v>1</v>
      </c>
      <c r="Q12386" s="5">
        <v>13</v>
      </c>
      <c r="R12386" s="5">
        <v>2</v>
      </c>
      <c r="S12386" s="5">
        <v>14</v>
      </c>
    </row>
    <row r="12387" spans="1:19" ht="28" x14ac:dyDescent="0.15">
      <c r="A12387" s="2">
        <f>HYPERLINK("https://open-school.uspishnemisto.com.ua/school/610518/", 610518)</f>
        <v>610518</v>
      </c>
      <c r="B12387" s="3" t="s">
        <v>62550</v>
      </c>
      <c r="C12387" s="3" t="s">
        <v>31</v>
      </c>
      <c r="D12387" s="3" t="s">
        <v>60</v>
      </c>
      <c r="E12387" s="4" t="s">
        <v>22</v>
      </c>
      <c r="F12387" s="4" t="s">
        <v>62551</v>
      </c>
      <c r="G12387" s="4" t="s">
        <v>62552</v>
      </c>
      <c r="H12387" s="3" t="s">
        <v>60159</v>
      </c>
      <c r="I12387" s="3" t="s">
        <v>62553</v>
      </c>
      <c r="J12387" s="3" t="s">
        <v>2329</v>
      </c>
      <c r="K12387" s="3" t="s">
        <v>62554</v>
      </c>
      <c r="L12387" s="3"/>
      <c r="M12387" s="4"/>
      <c r="N12387" s="3" t="s">
        <v>37</v>
      </c>
      <c r="O12387" s="3" t="s">
        <v>618</v>
      </c>
      <c r="P12387" s="5">
        <v>4</v>
      </c>
      <c r="Q12387" s="5">
        <v>36</v>
      </c>
      <c r="R12387" s="5">
        <v>4</v>
      </c>
      <c r="S12387" s="5">
        <v>32</v>
      </c>
    </row>
    <row r="12388" spans="1:19" ht="28" x14ac:dyDescent="0.15">
      <c r="A12388" s="2">
        <f>HYPERLINK("https://open-school.uspishnemisto.com.ua/school/610519/", 610519)</f>
        <v>610519</v>
      </c>
      <c r="B12388" s="3" t="s">
        <v>62555</v>
      </c>
      <c r="C12388" s="3" t="s">
        <v>31</v>
      </c>
      <c r="D12388" s="3" t="s">
        <v>175</v>
      </c>
      <c r="E12388" s="4" t="s">
        <v>22</v>
      </c>
      <c r="F12388" s="4" t="s">
        <v>62556</v>
      </c>
      <c r="G12388" s="4" t="s">
        <v>62557</v>
      </c>
      <c r="H12388" s="3" t="s">
        <v>60159</v>
      </c>
      <c r="I12388" s="3" t="s">
        <v>62558</v>
      </c>
      <c r="J12388" s="3" t="s">
        <v>2052</v>
      </c>
      <c r="K12388" s="3" t="s">
        <v>62559</v>
      </c>
      <c r="L12388" s="3" t="s">
        <v>62560</v>
      </c>
      <c r="M12388" s="4"/>
      <c r="N12388" s="3" t="s">
        <v>37</v>
      </c>
      <c r="O12388" s="3" t="s">
        <v>46</v>
      </c>
      <c r="P12388" s="5">
        <v>8</v>
      </c>
      <c r="Q12388" s="5">
        <v>61</v>
      </c>
      <c r="R12388" s="5">
        <v>8</v>
      </c>
      <c r="S12388" s="5">
        <v>64</v>
      </c>
    </row>
    <row r="12389" spans="1:19" ht="28" x14ac:dyDescent="0.15">
      <c r="A12389" s="2">
        <f>HYPERLINK("https://open-school.uspishnemisto.com.ua/school/610520/", 610520)</f>
        <v>610520</v>
      </c>
      <c r="B12389" s="3" t="s">
        <v>62561</v>
      </c>
      <c r="C12389" s="3" t="s">
        <v>31</v>
      </c>
      <c r="D12389" s="3" t="s">
        <v>175</v>
      </c>
      <c r="E12389" s="4" t="s">
        <v>22</v>
      </c>
      <c r="F12389" s="4" t="s">
        <v>62562</v>
      </c>
      <c r="G12389" s="4" t="s">
        <v>62563</v>
      </c>
      <c r="H12389" s="3" t="s">
        <v>60159</v>
      </c>
      <c r="I12389" s="3" t="s">
        <v>1694</v>
      </c>
      <c r="J12389" s="3" t="s">
        <v>62564</v>
      </c>
      <c r="K12389" s="3" t="s">
        <v>62565</v>
      </c>
      <c r="L12389" s="3" t="s">
        <v>62566</v>
      </c>
      <c r="M12389" s="4"/>
      <c r="N12389" s="3" t="s">
        <v>37</v>
      </c>
      <c r="O12389" s="3" t="s">
        <v>46</v>
      </c>
      <c r="P12389" s="5">
        <v>9</v>
      </c>
      <c r="Q12389" s="5">
        <v>74</v>
      </c>
      <c r="R12389" s="5">
        <v>9</v>
      </c>
      <c r="S12389" s="5">
        <v>81</v>
      </c>
    </row>
    <row r="12390" spans="1:19" ht="28" x14ac:dyDescent="0.15">
      <c r="A12390" s="2">
        <f>HYPERLINK("https://open-school.uspishnemisto.com.ua/school/610521/", 610521)</f>
        <v>610521</v>
      </c>
      <c r="B12390" s="3" t="s">
        <v>62567</v>
      </c>
      <c r="C12390" s="3" t="s">
        <v>31</v>
      </c>
      <c r="D12390" s="3" t="s">
        <v>175</v>
      </c>
      <c r="E12390" s="4" t="s">
        <v>22</v>
      </c>
      <c r="F12390" s="4" t="s">
        <v>62568</v>
      </c>
      <c r="G12390" s="4" t="s">
        <v>62569</v>
      </c>
      <c r="H12390" s="3" t="s">
        <v>60159</v>
      </c>
      <c r="I12390" s="3" t="s">
        <v>61815</v>
      </c>
      <c r="J12390" s="3" t="s">
        <v>3532</v>
      </c>
      <c r="K12390" s="3" t="s">
        <v>62570</v>
      </c>
      <c r="L12390" s="3"/>
      <c r="M12390" s="4"/>
      <c r="N12390" s="3" t="s">
        <v>37</v>
      </c>
      <c r="O12390" s="3" t="s">
        <v>46</v>
      </c>
      <c r="P12390" s="5">
        <v>1</v>
      </c>
      <c r="Q12390" s="5">
        <v>28</v>
      </c>
      <c r="R12390" s="5">
        <v>2</v>
      </c>
      <c r="S12390" s="5">
        <v>29</v>
      </c>
    </row>
    <row r="12391" spans="1:19" ht="42" x14ac:dyDescent="0.15">
      <c r="A12391" s="2">
        <f>HYPERLINK("https://open-school.uspishnemisto.com.ua/school/610522/", 610522)</f>
        <v>610522</v>
      </c>
      <c r="B12391" s="3" t="s">
        <v>62571</v>
      </c>
      <c r="C12391" s="3" t="s">
        <v>54</v>
      </c>
      <c r="D12391" s="3" t="s">
        <v>60</v>
      </c>
      <c r="E12391" s="4" t="s">
        <v>22</v>
      </c>
      <c r="F12391" s="4" t="s">
        <v>62572</v>
      </c>
      <c r="G12391" s="4" t="s">
        <v>62573</v>
      </c>
      <c r="H12391" s="3" t="s">
        <v>60159</v>
      </c>
      <c r="I12391" s="3" t="s">
        <v>62574</v>
      </c>
      <c r="J12391" s="3" t="s">
        <v>946</v>
      </c>
      <c r="K12391" s="3" t="s">
        <v>62575</v>
      </c>
      <c r="L12391" s="3"/>
      <c r="M12391" s="4"/>
      <c r="N12391" s="3" t="s">
        <v>37</v>
      </c>
      <c r="O12391" s="3" t="s">
        <v>46</v>
      </c>
      <c r="P12391" s="5">
        <v>0</v>
      </c>
      <c r="Q12391" s="5">
        <v>0</v>
      </c>
      <c r="R12391" s="5">
        <v>3</v>
      </c>
      <c r="S12391" s="5">
        <v>22</v>
      </c>
    </row>
    <row r="12392" spans="1:19" ht="28" x14ac:dyDescent="0.15">
      <c r="A12392" s="2">
        <f>HYPERLINK("https://open-school.uspishnemisto.com.ua/school/610523/", 610523)</f>
        <v>610523</v>
      </c>
      <c r="B12392" s="3" t="s">
        <v>62576</v>
      </c>
      <c r="C12392" s="3" t="s">
        <v>31</v>
      </c>
      <c r="D12392" s="3" t="s">
        <v>175</v>
      </c>
      <c r="E12392" s="4" t="s">
        <v>22</v>
      </c>
      <c r="F12392" s="4" t="s">
        <v>62577</v>
      </c>
      <c r="G12392" s="4" t="s">
        <v>62578</v>
      </c>
      <c r="H12392" s="3" t="s">
        <v>60159</v>
      </c>
      <c r="I12392" s="3" t="s">
        <v>21710</v>
      </c>
      <c r="J12392" s="3" t="s">
        <v>566</v>
      </c>
      <c r="K12392" s="3" t="s">
        <v>62579</v>
      </c>
      <c r="L12392" s="3"/>
      <c r="M12392" s="4"/>
      <c r="N12392" s="3" t="s">
        <v>37</v>
      </c>
      <c r="O12392" s="3" t="s">
        <v>46</v>
      </c>
      <c r="P12392" s="5">
        <v>8</v>
      </c>
      <c r="Q12392" s="5">
        <v>62</v>
      </c>
      <c r="R12392" s="5">
        <v>8</v>
      </c>
      <c r="S12392" s="5">
        <v>61</v>
      </c>
    </row>
    <row r="12393" spans="1:19" ht="28" x14ac:dyDescent="0.15">
      <c r="A12393" s="2">
        <f>HYPERLINK("https://open-school.uspishnemisto.com.ua/school/610524/", 610524)</f>
        <v>610524</v>
      </c>
      <c r="B12393" s="3" t="s">
        <v>62580</v>
      </c>
      <c r="C12393" s="3" t="s">
        <v>31</v>
      </c>
      <c r="D12393" s="3" t="s">
        <v>60</v>
      </c>
      <c r="E12393" s="4" t="s">
        <v>22</v>
      </c>
      <c r="F12393" s="4" t="s">
        <v>62568</v>
      </c>
      <c r="G12393" s="4" t="s">
        <v>62581</v>
      </c>
      <c r="H12393" s="3" t="s">
        <v>60159</v>
      </c>
      <c r="I12393" s="3" t="s">
        <v>62582</v>
      </c>
      <c r="J12393" s="3" t="s">
        <v>62583</v>
      </c>
      <c r="K12393" s="3" t="s">
        <v>62584</v>
      </c>
      <c r="L12393" s="3"/>
      <c r="M12393" s="4"/>
      <c r="N12393" s="3" t="s">
        <v>37</v>
      </c>
      <c r="O12393" s="3" t="s">
        <v>52</v>
      </c>
      <c r="P12393" s="5">
        <v>0</v>
      </c>
      <c r="Q12393" s="5">
        <v>8</v>
      </c>
      <c r="R12393" s="5">
        <v>0</v>
      </c>
      <c r="S12393" s="5">
        <v>6</v>
      </c>
    </row>
    <row r="12394" spans="1:19" ht="28" x14ac:dyDescent="0.15">
      <c r="A12394" s="2">
        <f>HYPERLINK("https://open-school.uspishnemisto.com.ua/school/610525/", 610525)</f>
        <v>610525</v>
      </c>
      <c r="B12394" s="3" t="s">
        <v>62585</v>
      </c>
      <c r="C12394" s="3" t="s">
        <v>31</v>
      </c>
      <c r="D12394" s="3" t="s">
        <v>175</v>
      </c>
      <c r="E12394" s="4" t="s">
        <v>22</v>
      </c>
      <c r="F12394" s="4" t="s">
        <v>62586</v>
      </c>
      <c r="G12394" s="4" t="s">
        <v>62587</v>
      </c>
      <c r="H12394" s="3" t="s">
        <v>60159</v>
      </c>
      <c r="I12394" s="3" t="s">
        <v>62588</v>
      </c>
      <c r="J12394" s="3" t="s">
        <v>6899</v>
      </c>
      <c r="K12394" s="3" t="s">
        <v>62589</v>
      </c>
      <c r="L12394" s="3"/>
      <c r="M12394" s="4"/>
      <c r="N12394" s="3" t="s">
        <v>37</v>
      </c>
      <c r="O12394" s="3" t="s">
        <v>46</v>
      </c>
      <c r="P12394" s="5">
        <v>5</v>
      </c>
      <c r="Q12394" s="5">
        <v>39</v>
      </c>
      <c r="R12394" s="5">
        <v>4</v>
      </c>
      <c r="S12394" s="5">
        <v>33</v>
      </c>
    </row>
    <row r="12395" spans="1:19" ht="28" x14ac:dyDescent="0.15">
      <c r="A12395" s="2">
        <f>HYPERLINK("https://open-school.uspishnemisto.com.ua/school/610526/", 610526)</f>
        <v>610526</v>
      </c>
      <c r="B12395" s="3" t="s">
        <v>62590</v>
      </c>
      <c r="C12395" s="3" t="s">
        <v>31</v>
      </c>
      <c r="D12395" s="3" t="s">
        <v>175</v>
      </c>
      <c r="E12395" s="4" t="s">
        <v>22</v>
      </c>
      <c r="F12395" s="4" t="s">
        <v>62591</v>
      </c>
      <c r="G12395" s="4" t="s">
        <v>62592</v>
      </c>
      <c r="H12395" s="3" t="s">
        <v>60159</v>
      </c>
      <c r="I12395" s="3" t="s">
        <v>62593</v>
      </c>
      <c r="J12395" s="3" t="s">
        <v>62594</v>
      </c>
      <c r="K12395" s="3" t="s">
        <v>62595</v>
      </c>
      <c r="L12395" s="3" t="s">
        <v>62596</v>
      </c>
      <c r="M12395" s="4"/>
      <c r="N12395" s="3" t="s">
        <v>37</v>
      </c>
      <c r="O12395" s="3" t="s">
        <v>46</v>
      </c>
      <c r="P12395" s="5">
        <v>5</v>
      </c>
      <c r="Q12395" s="5">
        <v>38</v>
      </c>
      <c r="R12395" s="5">
        <v>6</v>
      </c>
      <c r="S12395" s="5">
        <v>45</v>
      </c>
    </row>
    <row r="12396" spans="1:19" ht="42" x14ac:dyDescent="0.15">
      <c r="A12396" s="2">
        <f>HYPERLINK("https://open-school.uspishnemisto.com.ua/school/610527/", 610527)</f>
        <v>610527</v>
      </c>
      <c r="B12396" s="3" t="s">
        <v>62597</v>
      </c>
      <c r="C12396" s="3" t="s">
        <v>31</v>
      </c>
      <c r="D12396" s="3" t="s">
        <v>175</v>
      </c>
      <c r="E12396" s="4" t="s">
        <v>22</v>
      </c>
      <c r="F12396" s="4" t="s">
        <v>62598</v>
      </c>
      <c r="G12396" s="4" t="s">
        <v>62599</v>
      </c>
      <c r="H12396" s="3" t="s">
        <v>60159</v>
      </c>
      <c r="I12396" s="3" t="s">
        <v>62600</v>
      </c>
      <c r="J12396" s="3" t="s">
        <v>2745</v>
      </c>
      <c r="K12396" s="3" t="s">
        <v>62601</v>
      </c>
      <c r="L12396" s="3"/>
      <c r="M12396" s="4"/>
      <c r="N12396" s="3" t="s">
        <v>37</v>
      </c>
      <c r="O12396" s="3" t="s">
        <v>46</v>
      </c>
      <c r="P12396" s="5">
        <v>8</v>
      </c>
      <c r="Q12396" s="5">
        <v>63</v>
      </c>
      <c r="R12396" s="5">
        <v>8</v>
      </c>
      <c r="S12396" s="5">
        <v>62</v>
      </c>
    </row>
    <row r="12397" spans="1:19" ht="28" x14ac:dyDescent="0.15">
      <c r="A12397" s="2">
        <f>HYPERLINK("https://open-school.uspishnemisto.com.ua/school/610529/", 610529)</f>
        <v>610529</v>
      </c>
      <c r="B12397" s="3" t="s">
        <v>62602</v>
      </c>
      <c r="C12397" s="3" t="s">
        <v>31</v>
      </c>
      <c r="D12397" s="3" t="s">
        <v>32</v>
      </c>
      <c r="E12397" s="4" t="s">
        <v>22</v>
      </c>
      <c r="F12397" s="4" t="s">
        <v>62603</v>
      </c>
      <c r="G12397" s="4" t="s">
        <v>62604</v>
      </c>
      <c r="H12397" s="3" t="s">
        <v>60159</v>
      </c>
      <c r="I12397" s="3" t="s">
        <v>46759</v>
      </c>
      <c r="J12397" s="3" t="s">
        <v>6598</v>
      </c>
      <c r="K12397" s="3" t="s">
        <v>62605</v>
      </c>
      <c r="L12397" s="3"/>
      <c r="M12397" s="4"/>
      <c r="N12397" s="3" t="s">
        <v>37</v>
      </c>
      <c r="O12397" s="3" t="s">
        <v>46</v>
      </c>
      <c r="P12397" s="5">
        <v>11</v>
      </c>
      <c r="Q12397" s="5">
        <v>149</v>
      </c>
      <c r="R12397" s="5">
        <v>11</v>
      </c>
      <c r="S12397" s="5">
        <v>153</v>
      </c>
    </row>
    <row r="12398" spans="1:19" ht="28" x14ac:dyDescent="0.15">
      <c r="A12398" s="2">
        <f>HYPERLINK("https://open-school.uspishnemisto.com.ua/school/610530/", 610530)</f>
        <v>610530</v>
      </c>
      <c r="B12398" s="3" t="s">
        <v>62606</v>
      </c>
      <c r="C12398" s="3" t="s">
        <v>31</v>
      </c>
      <c r="D12398" s="3" t="s">
        <v>175</v>
      </c>
      <c r="E12398" s="4" t="s">
        <v>22</v>
      </c>
      <c r="F12398" s="4" t="s">
        <v>62607</v>
      </c>
      <c r="G12398" s="4" t="s">
        <v>62608</v>
      </c>
      <c r="H12398" s="3" t="s">
        <v>60159</v>
      </c>
      <c r="I12398" s="3" t="s">
        <v>62609</v>
      </c>
      <c r="J12398" s="3" t="s">
        <v>466</v>
      </c>
      <c r="K12398" s="3" t="s">
        <v>62610</v>
      </c>
      <c r="L12398" s="3"/>
      <c r="M12398" s="4"/>
      <c r="N12398" s="3" t="s">
        <v>37</v>
      </c>
      <c r="O12398" s="3" t="s">
        <v>46</v>
      </c>
      <c r="P12398" s="5">
        <v>7</v>
      </c>
      <c r="Q12398" s="5">
        <v>49</v>
      </c>
      <c r="R12398" s="5">
        <v>7</v>
      </c>
      <c r="S12398" s="5">
        <v>50</v>
      </c>
    </row>
    <row r="12399" spans="1:19" ht="28" x14ac:dyDescent="0.15">
      <c r="A12399" s="2">
        <f>HYPERLINK("https://open-school.uspishnemisto.com.ua/school/610531/", 610531)</f>
        <v>610531</v>
      </c>
      <c r="B12399" s="3" t="s">
        <v>62611</v>
      </c>
      <c r="C12399" s="3" t="s">
        <v>31</v>
      </c>
      <c r="D12399" s="3" t="s">
        <v>32</v>
      </c>
      <c r="E12399" s="4" t="s">
        <v>22</v>
      </c>
      <c r="F12399" s="4" t="s">
        <v>62612</v>
      </c>
      <c r="G12399" s="4" t="s">
        <v>62613</v>
      </c>
      <c r="H12399" s="3" t="s">
        <v>60159</v>
      </c>
      <c r="I12399" s="3" t="s">
        <v>62614</v>
      </c>
      <c r="J12399" s="3" t="s">
        <v>792</v>
      </c>
      <c r="K12399" s="3" t="s">
        <v>62615</v>
      </c>
      <c r="L12399" s="3"/>
      <c r="M12399" s="4"/>
      <c r="N12399" s="3" t="s">
        <v>37</v>
      </c>
      <c r="O12399" s="3" t="s">
        <v>46</v>
      </c>
      <c r="P12399" s="5">
        <v>10</v>
      </c>
      <c r="Q12399" s="5">
        <v>131</v>
      </c>
      <c r="R12399" s="5">
        <v>11</v>
      </c>
      <c r="S12399" s="5">
        <v>140</v>
      </c>
    </row>
    <row r="12400" spans="1:19" ht="28" x14ac:dyDescent="0.15">
      <c r="A12400" s="2">
        <f>HYPERLINK("https://open-school.uspishnemisto.com.ua/school/610532/", 610532)</f>
        <v>610532</v>
      </c>
      <c r="B12400" s="3" t="s">
        <v>62616</v>
      </c>
      <c r="C12400" s="3" t="s">
        <v>31</v>
      </c>
      <c r="D12400" s="3" t="s">
        <v>32</v>
      </c>
      <c r="E12400" s="4" t="s">
        <v>22</v>
      </c>
      <c r="F12400" s="4" t="s">
        <v>62617</v>
      </c>
      <c r="G12400" s="4" t="s">
        <v>62618</v>
      </c>
      <c r="H12400" s="3" t="s">
        <v>60159</v>
      </c>
      <c r="I12400" s="3" t="s">
        <v>62619</v>
      </c>
      <c r="J12400" s="3" t="s">
        <v>39544</v>
      </c>
      <c r="K12400" s="3" t="s">
        <v>62620</v>
      </c>
      <c r="L12400" s="3"/>
      <c r="M12400" s="4"/>
      <c r="N12400" s="3" t="s">
        <v>37</v>
      </c>
      <c r="O12400" s="3" t="s">
        <v>123</v>
      </c>
      <c r="P12400" s="5">
        <v>38</v>
      </c>
      <c r="Q12400" s="5">
        <v>792</v>
      </c>
      <c r="R12400" s="5">
        <v>28</v>
      </c>
      <c r="S12400" s="5">
        <v>674</v>
      </c>
    </row>
    <row r="12401" spans="1:19" ht="28" x14ac:dyDescent="0.15">
      <c r="A12401" s="2">
        <f>HYPERLINK("https://open-school.uspishnemisto.com.ua/school/610533/", 610533)</f>
        <v>610533</v>
      </c>
      <c r="B12401" s="3" t="s">
        <v>62621</v>
      </c>
      <c r="C12401" s="3" t="s">
        <v>31</v>
      </c>
      <c r="D12401" s="3" t="s">
        <v>60</v>
      </c>
      <c r="E12401" s="4" t="s">
        <v>22</v>
      </c>
      <c r="F12401" s="4" t="s">
        <v>62617</v>
      </c>
      <c r="G12401" s="4" t="s">
        <v>62618</v>
      </c>
      <c r="H12401" s="3" t="s">
        <v>60159</v>
      </c>
      <c r="I12401" s="3" t="s">
        <v>62619</v>
      </c>
      <c r="J12401" s="3" t="s">
        <v>62622</v>
      </c>
      <c r="K12401" s="3" t="s">
        <v>62623</v>
      </c>
      <c r="L12401" s="3"/>
      <c r="M12401" s="4"/>
      <c r="N12401" s="3" t="s">
        <v>37</v>
      </c>
      <c r="O12401" s="3" t="s">
        <v>52</v>
      </c>
      <c r="P12401" s="5">
        <v>4</v>
      </c>
      <c r="Q12401" s="5">
        <v>30</v>
      </c>
      <c r="R12401" s="5">
        <v>4</v>
      </c>
      <c r="S12401" s="5">
        <v>29</v>
      </c>
    </row>
    <row r="12402" spans="1:19" ht="28" x14ac:dyDescent="0.15">
      <c r="A12402" s="2">
        <f>HYPERLINK("https://open-school.uspishnemisto.com.ua/school/610534/", 610534)</f>
        <v>610534</v>
      </c>
      <c r="B12402" s="3" t="s">
        <v>62624</v>
      </c>
      <c r="C12402" s="3" t="s">
        <v>31</v>
      </c>
      <c r="D12402" s="3" t="s">
        <v>32</v>
      </c>
      <c r="E12402" s="4" t="s">
        <v>22</v>
      </c>
      <c r="F12402" s="4" t="s">
        <v>62625</v>
      </c>
      <c r="G12402" s="4" t="s">
        <v>62626</v>
      </c>
      <c r="H12402" s="3" t="s">
        <v>60159</v>
      </c>
      <c r="I12402" s="3" t="s">
        <v>62627</v>
      </c>
      <c r="J12402" s="3" t="s">
        <v>62628</v>
      </c>
      <c r="K12402" s="3" t="s">
        <v>62629</v>
      </c>
      <c r="L12402" s="3"/>
      <c r="M12402" s="4"/>
      <c r="N12402" s="3" t="s">
        <v>37</v>
      </c>
      <c r="O12402" s="3" t="s">
        <v>2740</v>
      </c>
      <c r="P12402" s="5">
        <v>13</v>
      </c>
      <c r="Q12402" s="5">
        <v>289</v>
      </c>
      <c r="R12402" s="5">
        <v>13</v>
      </c>
      <c r="S12402" s="5">
        <v>295</v>
      </c>
    </row>
    <row r="12403" spans="1:19" ht="42" x14ac:dyDescent="0.15">
      <c r="A12403" s="2">
        <f>HYPERLINK("https://open-school.uspishnemisto.com.ua/school/610535/", 610535)</f>
        <v>610535</v>
      </c>
      <c r="B12403" s="3" t="s">
        <v>62630</v>
      </c>
      <c r="C12403" s="3" t="s">
        <v>48</v>
      </c>
      <c r="D12403" s="3" t="s">
        <v>32</v>
      </c>
      <c r="E12403" s="4" t="s">
        <v>22</v>
      </c>
      <c r="F12403" s="4" t="s">
        <v>62625</v>
      </c>
      <c r="G12403" s="4" t="s">
        <v>62626</v>
      </c>
      <c r="H12403" s="3" t="s">
        <v>60159</v>
      </c>
      <c r="I12403" s="3" t="s">
        <v>62627</v>
      </c>
      <c r="J12403" s="3" t="s">
        <v>62631</v>
      </c>
      <c r="K12403" s="3" t="s">
        <v>62632</v>
      </c>
      <c r="L12403" s="3"/>
      <c r="M12403" s="4" t="s">
        <v>62633</v>
      </c>
      <c r="N12403" s="3" t="s">
        <v>37</v>
      </c>
      <c r="O12403" s="3" t="s">
        <v>52</v>
      </c>
      <c r="P12403" s="5">
        <v>10</v>
      </c>
      <c r="Q12403" s="5">
        <v>222</v>
      </c>
      <c r="R12403" s="5">
        <v>10</v>
      </c>
      <c r="S12403" s="5">
        <v>239</v>
      </c>
    </row>
    <row r="12404" spans="1:19" ht="28" x14ac:dyDescent="0.15">
      <c r="A12404" s="2">
        <f>HYPERLINK("https://open-school.uspishnemisto.com.ua/school/610536/", 610536)</f>
        <v>610536</v>
      </c>
      <c r="B12404" s="3" t="s">
        <v>62634</v>
      </c>
      <c r="C12404" s="3" t="s">
        <v>31</v>
      </c>
      <c r="D12404" s="3" t="s">
        <v>60</v>
      </c>
      <c r="E12404" s="4" t="s">
        <v>22</v>
      </c>
      <c r="F12404" s="4" t="s">
        <v>62625</v>
      </c>
      <c r="G12404" s="4" t="s">
        <v>62635</v>
      </c>
      <c r="H12404" s="3" t="s">
        <v>60159</v>
      </c>
      <c r="I12404" s="3" t="s">
        <v>15606</v>
      </c>
      <c r="J12404" s="3" t="s">
        <v>62636</v>
      </c>
      <c r="K12404" s="3"/>
      <c r="L12404" s="3"/>
      <c r="M12404" s="4"/>
      <c r="N12404" s="3" t="s">
        <v>37</v>
      </c>
      <c r="O12404" s="3" t="s">
        <v>52</v>
      </c>
      <c r="P12404" s="5">
        <v>0</v>
      </c>
      <c r="Q12404" s="5">
        <v>8</v>
      </c>
      <c r="R12404" s="5">
        <v>0</v>
      </c>
      <c r="S12404" s="5">
        <v>6</v>
      </c>
    </row>
    <row r="12405" spans="1:19" ht="28" x14ac:dyDescent="0.15">
      <c r="A12405" s="2">
        <f>HYPERLINK("https://open-school.uspishnemisto.com.ua/school/610537/", 610537)</f>
        <v>610537</v>
      </c>
      <c r="B12405" s="3" t="s">
        <v>62637</v>
      </c>
      <c r="C12405" s="3" t="s">
        <v>31</v>
      </c>
      <c r="D12405" s="3" t="s">
        <v>60</v>
      </c>
      <c r="E12405" s="4" t="s">
        <v>22</v>
      </c>
      <c r="F12405" s="4"/>
      <c r="G12405" s="4" t="s">
        <v>62638</v>
      </c>
      <c r="H12405" s="3" t="s">
        <v>60159</v>
      </c>
      <c r="I12405" s="3" t="s">
        <v>62639</v>
      </c>
      <c r="J12405" s="3" t="s">
        <v>62640</v>
      </c>
      <c r="K12405" s="3"/>
      <c r="L12405" s="3"/>
      <c r="M12405" s="4"/>
      <c r="N12405" s="3" t="s">
        <v>37</v>
      </c>
      <c r="O12405" s="3" t="s">
        <v>52</v>
      </c>
      <c r="P12405" s="5">
        <v>0</v>
      </c>
      <c r="Q12405" s="5">
        <v>8</v>
      </c>
      <c r="R12405" s="5">
        <v>0</v>
      </c>
      <c r="S12405" s="5">
        <v>8</v>
      </c>
    </row>
    <row r="12406" spans="1:19" ht="28" x14ac:dyDescent="0.15">
      <c r="A12406" s="2">
        <f>HYPERLINK("https://open-school.uspishnemisto.com.ua/school/610539/", 610539)</f>
        <v>610539</v>
      </c>
      <c r="B12406" s="3" t="s">
        <v>62641</v>
      </c>
      <c r="C12406" s="3" t="s">
        <v>31</v>
      </c>
      <c r="D12406" s="3" t="s">
        <v>175</v>
      </c>
      <c r="E12406" s="4" t="s">
        <v>22</v>
      </c>
      <c r="F12406" s="4" t="s">
        <v>62642</v>
      </c>
      <c r="G12406" s="4" t="s">
        <v>62643</v>
      </c>
      <c r="H12406" s="3" t="s">
        <v>60159</v>
      </c>
      <c r="I12406" s="3" t="s">
        <v>62644</v>
      </c>
      <c r="J12406" s="3" t="s">
        <v>62645</v>
      </c>
      <c r="K12406" s="3" t="s">
        <v>62646</v>
      </c>
      <c r="L12406" s="3"/>
      <c r="M12406" s="4"/>
      <c r="N12406" s="3" t="s">
        <v>37</v>
      </c>
      <c r="O12406" s="3" t="s">
        <v>52</v>
      </c>
      <c r="P12406" s="5">
        <v>9</v>
      </c>
      <c r="Q12406" s="5">
        <v>77</v>
      </c>
      <c r="R12406" s="5">
        <v>9</v>
      </c>
      <c r="S12406" s="5">
        <v>71</v>
      </c>
    </row>
    <row r="12407" spans="1:19" ht="56" x14ac:dyDescent="0.15">
      <c r="A12407" s="2">
        <f>HYPERLINK("https://open-school.uspishnemisto.com.ua/school/610540/", 610540)</f>
        <v>610540</v>
      </c>
      <c r="B12407" s="3" t="s">
        <v>62647</v>
      </c>
      <c r="C12407" s="3" t="s">
        <v>54</v>
      </c>
      <c r="D12407" s="3" t="s">
        <v>175</v>
      </c>
      <c r="E12407" s="4" t="s">
        <v>22</v>
      </c>
      <c r="F12407" s="4" t="s">
        <v>62648</v>
      </c>
      <c r="G12407" s="4" t="s">
        <v>62649</v>
      </c>
      <c r="H12407" s="3" t="s">
        <v>60159</v>
      </c>
      <c r="I12407" s="3" t="s">
        <v>2020</v>
      </c>
      <c r="J12407" s="3"/>
      <c r="K12407" s="3" t="s">
        <v>62650</v>
      </c>
      <c r="L12407" s="3"/>
      <c r="M12407" s="4"/>
      <c r="N12407" s="3" t="s">
        <v>37</v>
      </c>
      <c r="O12407" s="3" t="s">
        <v>46</v>
      </c>
      <c r="P12407" s="5">
        <v>5</v>
      </c>
      <c r="Q12407" s="5">
        <v>43</v>
      </c>
      <c r="R12407" s="5">
        <v>4</v>
      </c>
      <c r="S12407" s="5">
        <v>42</v>
      </c>
    </row>
    <row r="12408" spans="1:19" ht="28" x14ac:dyDescent="0.15">
      <c r="A12408" s="2">
        <f>HYPERLINK("https://open-school.uspishnemisto.com.ua/school/610542/", 610542)</f>
        <v>610542</v>
      </c>
      <c r="B12408" s="3" t="s">
        <v>62651</v>
      </c>
      <c r="C12408" s="3" t="s">
        <v>31</v>
      </c>
      <c r="D12408" s="3" t="s">
        <v>32</v>
      </c>
      <c r="E12408" s="4" t="s">
        <v>22</v>
      </c>
      <c r="F12408" s="4" t="s">
        <v>62652</v>
      </c>
      <c r="G12408" s="4" t="s">
        <v>62653</v>
      </c>
      <c r="H12408" s="3" t="s">
        <v>60159</v>
      </c>
      <c r="I12408" s="3" t="s">
        <v>3512</v>
      </c>
      <c r="J12408" s="3" t="s">
        <v>57264</v>
      </c>
      <c r="K12408" s="3" t="s">
        <v>62654</v>
      </c>
      <c r="L12408" s="3"/>
      <c r="M12408" s="4"/>
      <c r="N12408" s="3" t="s">
        <v>37</v>
      </c>
      <c r="O12408" s="3" t="s">
        <v>2740</v>
      </c>
      <c r="P12408" s="5">
        <v>11</v>
      </c>
      <c r="Q12408" s="5">
        <v>135</v>
      </c>
      <c r="R12408" s="5">
        <v>11</v>
      </c>
      <c r="S12408" s="5">
        <v>133</v>
      </c>
    </row>
    <row r="12409" spans="1:19" ht="42" x14ac:dyDescent="0.15">
      <c r="A12409" s="2">
        <f>HYPERLINK("https://open-school.uspishnemisto.com.ua/school/610543/", 610543)</f>
        <v>610543</v>
      </c>
      <c r="B12409" s="3" t="s">
        <v>62655</v>
      </c>
      <c r="C12409" s="3" t="s">
        <v>31</v>
      </c>
      <c r="D12409" s="3" t="s">
        <v>175</v>
      </c>
      <c r="E12409" s="4" t="s">
        <v>22</v>
      </c>
      <c r="F12409" s="4" t="s">
        <v>62656</v>
      </c>
      <c r="G12409" s="4" t="s">
        <v>62657</v>
      </c>
      <c r="H12409" s="3" t="s">
        <v>60159</v>
      </c>
      <c r="I12409" s="3" t="s">
        <v>62658</v>
      </c>
      <c r="J12409" s="3" t="s">
        <v>62659</v>
      </c>
      <c r="K12409" s="3" t="s">
        <v>62660</v>
      </c>
      <c r="L12409" s="3" t="s">
        <v>62661</v>
      </c>
      <c r="M12409" s="4"/>
      <c r="N12409" s="3" t="s">
        <v>37</v>
      </c>
      <c r="O12409" s="3" t="s">
        <v>52</v>
      </c>
      <c r="P12409" s="5">
        <v>9</v>
      </c>
      <c r="Q12409" s="5">
        <v>75</v>
      </c>
      <c r="R12409" s="5">
        <v>9</v>
      </c>
      <c r="S12409" s="5">
        <v>78</v>
      </c>
    </row>
    <row r="12410" spans="1:19" ht="42" x14ac:dyDescent="0.15">
      <c r="A12410" s="2">
        <f>HYPERLINK("https://open-school.uspishnemisto.com.ua/school/610544/", 610544)</f>
        <v>610544</v>
      </c>
      <c r="B12410" s="3" t="s">
        <v>62662</v>
      </c>
      <c r="C12410" s="3" t="s">
        <v>54</v>
      </c>
      <c r="D12410" s="3" t="s">
        <v>175</v>
      </c>
      <c r="E12410" s="4" t="s">
        <v>22</v>
      </c>
      <c r="F12410" s="4" t="s">
        <v>62663</v>
      </c>
      <c r="G12410" s="4" t="s">
        <v>62664</v>
      </c>
      <c r="H12410" s="3" t="s">
        <v>60159</v>
      </c>
      <c r="I12410" s="3" t="s">
        <v>37752</v>
      </c>
      <c r="J12410" s="3" t="s">
        <v>43603</v>
      </c>
      <c r="K12410" s="3" t="s">
        <v>62665</v>
      </c>
      <c r="L12410" s="3"/>
      <c r="M12410" s="4"/>
      <c r="N12410" s="3" t="s">
        <v>37</v>
      </c>
      <c r="O12410" s="3" t="s">
        <v>46</v>
      </c>
      <c r="P12410" s="5">
        <v>9</v>
      </c>
      <c r="Q12410" s="5">
        <v>78</v>
      </c>
      <c r="R12410" s="5">
        <v>9</v>
      </c>
      <c r="S12410" s="5">
        <v>74</v>
      </c>
    </row>
    <row r="12411" spans="1:19" ht="28" x14ac:dyDescent="0.15">
      <c r="A12411" s="2">
        <f>HYPERLINK("https://open-school.uspishnemisto.com.ua/school/610545/", 610545)</f>
        <v>610545</v>
      </c>
      <c r="B12411" s="3" t="s">
        <v>62666</v>
      </c>
      <c r="C12411" s="3" t="s">
        <v>31</v>
      </c>
      <c r="D12411" s="3" t="s">
        <v>175</v>
      </c>
      <c r="E12411" s="4" t="s">
        <v>22</v>
      </c>
      <c r="F12411" s="4" t="s">
        <v>62667</v>
      </c>
      <c r="G12411" s="4" t="s">
        <v>62668</v>
      </c>
      <c r="H12411" s="3" t="s">
        <v>60159</v>
      </c>
      <c r="I12411" s="3" t="s">
        <v>62669</v>
      </c>
      <c r="J12411" s="3"/>
      <c r="K12411" s="3" t="s">
        <v>62670</v>
      </c>
      <c r="L12411" s="3"/>
      <c r="M12411" s="4"/>
      <c r="N12411" s="3" t="s">
        <v>37</v>
      </c>
      <c r="O12411" s="3" t="s">
        <v>52</v>
      </c>
      <c r="P12411" s="5">
        <v>7</v>
      </c>
      <c r="Q12411" s="5">
        <v>74</v>
      </c>
      <c r="R12411" s="5">
        <v>7</v>
      </c>
      <c r="S12411" s="5">
        <v>82</v>
      </c>
    </row>
    <row r="12412" spans="1:19" ht="42" x14ac:dyDescent="0.15">
      <c r="A12412" s="2">
        <f>HYPERLINK("https://open-school.uspishnemisto.com.ua/school/610546/", 610546)</f>
        <v>610546</v>
      </c>
      <c r="B12412" s="3" t="s">
        <v>62671</v>
      </c>
      <c r="C12412" s="3" t="s">
        <v>54</v>
      </c>
      <c r="D12412" s="3" t="s">
        <v>175</v>
      </c>
      <c r="E12412" s="4" t="s">
        <v>22</v>
      </c>
      <c r="F12412" s="4" t="s">
        <v>62672</v>
      </c>
      <c r="G12412" s="4" t="s">
        <v>62673</v>
      </c>
      <c r="H12412" s="3" t="s">
        <v>60159</v>
      </c>
      <c r="I12412" s="3" t="s">
        <v>62674</v>
      </c>
      <c r="J12412" s="3" t="s">
        <v>933</v>
      </c>
      <c r="K12412" s="3" t="s">
        <v>62675</v>
      </c>
      <c r="L12412" s="3"/>
      <c r="M12412" s="4"/>
      <c r="N12412" s="3" t="s">
        <v>37</v>
      </c>
      <c r="O12412" s="3" t="s">
        <v>46</v>
      </c>
      <c r="P12412" s="5">
        <v>9</v>
      </c>
      <c r="Q12412" s="5">
        <v>58</v>
      </c>
      <c r="R12412" s="5">
        <v>8</v>
      </c>
      <c r="S12412" s="5">
        <v>52</v>
      </c>
    </row>
    <row r="12413" spans="1:19" ht="28" x14ac:dyDescent="0.15">
      <c r="A12413" s="2">
        <f>HYPERLINK("https://open-school.uspishnemisto.com.ua/school/610547/", 610547)</f>
        <v>610547</v>
      </c>
      <c r="B12413" s="3" t="s">
        <v>62676</v>
      </c>
      <c r="C12413" s="3" t="s">
        <v>31</v>
      </c>
      <c r="D12413" s="3" t="s">
        <v>32</v>
      </c>
      <c r="E12413" s="4" t="s">
        <v>22</v>
      </c>
      <c r="F12413" s="4" t="s">
        <v>62677</v>
      </c>
      <c r="G12413" s="4" t="s">
        <v>62678</v>
      </c>
      <c r="H12413" s="3" t="s">
        <v>60159</v>
      </c>
      <c r="I12413" s="3" t="s">
        <v>62679</v>
      </c>
      <c r="J12413" s="3" t="s">
        <v>62680</v>
      </c>
      <c r="K12413" s="3" t="s">
        <v>62681</v>
      </c>
      <c r="L12413" s="3" t="s">
        <v>62682</v>
      </c>
      <c r="M12413" s="4"/>
      <c r="N12413" s="3" t="s">
        <v>37</v>
      </c>
      <c r="O12413" s="3" t="s">
        <v>2740</v>
      </c>
      <c r="P12413" s="5">
        <v>11</v>
      </c>
      <c r="Q12413" s="5">
        <v>85</v>
      </c>
      <c r="R12413" s="5">
        <v>11</v>
      </c>
      <c r="S12413" s="5">
        <v>89</v>
      </c>
    </row>
    <row r="12414" spans="1:19" ht="28" x14ac:dyDescent="0.15">
      <c r="A12414" s="2">
        <f>HYPERLINK("https://open-school.uspishnemisto.com.ua/school/610549/", 610549)</f>
        <v>610549</v>
      </c>
      <c r="B12414" s="3" t="s">
        <v>29435</v>
      </c>
      <c r="C12414" s="3" t="s">
        <v>31</v>
      </c>
      <c r="D12414" s="3" t="s">
        <v>175</v>
      </c>
      <c r="E12414" s="4" t="s">
        <v>22</v>
      </c>
      <c r="F12414" s="4" t="s">
        <v>62683</v>
      </c>
      <c r="G12414" s="4" t="s">
        <v>62684</v>
      </c>
      <c r="H12414" s="3" t="s">
        <v>60159</v>
      </c>
      <c r="I12414" s="3" t="s">
        <v>29438</v>
      </c>
      <c r="J12414" s="3"/>
      <c r="K12414" s="3" t="s">
        <v>62685</v>
      </c>
      <c r="L12414" s="3"/>
      <c r="M12414" s="4"/>
      <c r="N12414" s="3" t="s">
        <v>37</v>
      </c>
      <c r="O12414" s="3" t="s">
        <v>2740</v>
      </c>
      <c r="P12414" s="5">
        <v>4</v>
      </c>
      <c r="Q12414" s="5">
        <v>31</v>
      </c>
      <c r="R12414" s="5">
        <v>4</v>
      </c>
      <c r="S12414" s="5">
        <v>35</v>
      </c>
    </row>
    <row r="12415" spans="1:19" ht="28" x14ac:dyDescent="0.15">
      <c r="A12415" s="2">
        <f>HYPERLINK("https://open-school.uspishnemisto.com.ua/school/610550/", 610550)</f>
        <v>610550</v>
      </c>
      <c r="B12415" s="3" t="s">
        <v>62686</v>
      </c>
      <c r="C12415" s="3" t="s">
        <v>31</v>
      </c>
      <c r="D12415" s="3" t="s">
        <v>175</v>
      </c>
      <c r="E12415" s="4" t="s">
        <v>22</v>
      </c>
      <c r="F12415" s="4" t="s">
        <v>62687</v>
      </c>
      <c r="G12415" s="4" t="s">
        <v>62688</v>
      </c>
      <c r="H12415" s="3" t="s">
        <v>60159</v>
      </c>
      <c r="I12415" s="3" t="s">
        <v>61675</v>
      </c>
      <c r="J12415" s="3" t="s">
        <v>18645</v>
      </c>
      <c r="K12415" s="3" t="s">
        <v>62689</v>
      </c>
      <c r="L12415" s="3"/>
      <c r="M12415" s="4"/>
      <c r="N12415" s="3" t="s">
        <v>37</v>
      </c>
      <c r="O12415" s="3" t="s">
        <v>52</v>
      </c>
      <c r="P12415" s="5">
        <v>8</v>
      </c>
      <c r="Q12415" s="5">
        <v>66</v>
      </c>
      <c r="R12415" s="5">
        <v>8</v>
      </c>
      <c r="S12415" s="5">
        <v>68</v>
      </c>
    </row>
    <row r="12416" spans="1:19" ht="28" x14ac:dyDescent="0.15">
      <c r="A12416" s="2">
        <f>HYPERLINK("https://open-school.uspishnemisto.com.ua/school/610551/", 610551)</f>
        <v>610551</v>
      </c>
      <c r="B12416" s="3" t="s">
        <v>62690</v>
      </c>
      <c r="C12416" s="3" t="s">
        <v>31</v>
      </c>
      <c r="D12416" s="3" t="s">
        <v>175</v>
      </c>
      <c r="E12416" s="4" t="s">
        <v>22</v>
      </c>
      <c r="F12416" s="4" t="s">
        <v>62691</v>
      </c>
      <c r="G12416" s="4" t="s">
        <v>62692</v>
      </c>
      <c r="H12416" s="3" t="s">
        <v>60159</v>
      </c>
      <c r="I12416" s="3" t="s">
        <v>62693</v>
      </c>
      <c r="J12416" s="3" t="s">
        <v>11043</v>
      </c>
      <c r="K12416" s="3" t="s">
        <v>62694</v>
      </c>
      <c r="L12416" s="3" t="s">
        <v>62695</v>
      </c>
      <c r="M12416" s="4"/>
      <c r="N12416" s="3" t="s">
        <v>37</v>
      </c>
      <c r="O12416" s="3" t="s">
        <v>46</v>
      </c>
      <c r="P12416" s="5">
        <v>7</v>
      </c>
      <c r="Q12416" s="5">
        <v>53</v>
      </c>
      <c r="R12416" s="5">
        <v>8</v>
      </c>
      <c r="S12416" s="5">
        <v>53</v>
      </c>
    </row>
    <row r="12417" spans="1:19" ht="28" x14ac:dyDescent="0.15">
      <c r="A12417" s="2">
        <f>HYPERLINK("https://open-school.uspishnemisto.com.ua/school/610552/", 610552)</f>
        <v>610552</v>
      </c>
      <c r="B12417" s="3" t="s">
        <v>62696</v>
      </c>
      <c r="C12417" s="3" t="s">
        <v>31</v>
      </c>
      <c r="D12417" s="3" t="s">
        <v>175</v>
      </c>
      <c r="E12417" s="4" t="s">
        <v>22</v>
      </c>
      <c r="F12417" s="4" t="s">
        <v>62697</v>
      </c>
      <c r="G12417" s="4" t="s">
        <v>62698</v>
      </c>
      <c r="H12417" s="3" t="s">
        <v>60159</v>
      </c>
      <c r="I12417" s="3" t="s">
        <v>3351</v>
      </c>
      <c r="J12417" s="3" t="s">
        <v>10957</v>
      </c>
      <c r="K12417" s="3" t="s">
        <v>62699</v>
      </c>
      <c r="L12417" s="3"/>
      <c r="M12417" s="4"/>
      <c r="N12417" s="3" t="s">
        <v>37</v>
      </c>
      <c r="O12417" s="3" t="s">
        <v>2740</v>
      </c>
      <c r="P12417" s="5">
        <v>3</v>
      </c>
      <c r="Q12417" s="5">
        <v>31</v>
      </c>
      <c r="R12417" s="5">
        <v>4</v>
      </c>
      <c r="S12417" s="5">
        <v>31</v>
      </c>
    </row>
    <row r="12418" spans="1:19" ht="28" x14ac:dyDescent="0.15">
      <c r="A12418" s="2">
        <f>HYPERLINK("https://open-school.uspishnemisto.com.ua/school/610553/", 610553)</f>
        <v>610553</v>
      </c>
      <c r="B12418" s="3" t="s">
        <v>62700</v>
      </c>
      <c r="C12418" s="3" t="s">
        <v>54</v>
      </c>
      <c r="D12418" s="3" t="s">
        <v>60</v>
      </c>
      <c r="E12418" s="4" t="s">
        <v>22</v>
      </c>
      <c r="F12418" s="4" t="s">
        <v>62701</v>
      </c>
      <c r="G12418" s="4" t="s">
        <v>62702</v>
      </c>
      <c r="H12418" s="3" t="s">
        <v>60159</v>
      </c>
      <c r="I12418" s="3" t="s">
        <v>27359</v>
      </c>
      <c r="J12418" s="3" t="s">
        <v>2820</v>
      </c>
      <c r="K12418" s="3"/>
      <c r="L12418" s="3"/>
      <c r="M12418" s="4"/>
      <c r="N12418" s="3" t="s">
        <v>37</v>
      </c>
      <c r="O12418" s="3" t="s">
        <v>52</v>
      </c>
      <c r="P12418" s="5">
        <v>0</v>
      </c>
      <c r="Q12418" s="5">
        <v>10</v>
      </c>
      <c r="R12418" s="5">
        <v>0</v>
      </c>
      <c r="S12418" s="5">
        <v>12</v>
      </c>
    </row>
    <row r="12419" spans="1:19" ht="28" x14ac:dyDescent="0.15">
      <c r="A12419" s="2">
        <f>HYPERLINK("https://open-school.uspishnemisto.com.ua/school/610554/", 610554)</f>
        <v>610554</v>
      </c>
      <c r="B12419" s="3" t="s">
        <v>62703</v>
      </c>
      <c r="C12419" s="3" t="s">
        <v>31</v>
      </c>
      <c r="D12419" s="3" t="s">
        <v>32</v>
      </c>
      <c r="E12419" s="4" t="s">
        <v>22</v>
      </c>
      <c r="F12419" s="4" t="s">
        <v>62704</v>
      </c>
      <c r="G12419" s="4" t="s">
        <v>62705</v>
      </c>
      <c r="H12419" s="3" t="s">
        <v>60159</v>
      </c>
      <c r="I12419" s="3" t="s">
        <v>62706</v>
      </c>
      <c r="J12419" s="3" t="s">
        <v>6506</v>
      </c>
      <c r="K12419" s="3" t="s">
        <v>62707</v>
      </c>
      <c r="L12419" s="3"/>
      <c r="M12419" s="4"/>
      <c r="N12419" s="3" t="s">
        <v>37</v>
      </c>
      <c r="O12419" s="3" t="s">
        <v>2740</v>
      </c>
      <c r="P12419" s="5">
        <v>10</v>
      </c>
      <c r="Q12419" s="5">
        <v>103</v>
      </c>
      <c r="R12419" s="5">
        <v>9</v>
      </c>
      <c r="S12419" s="5">
        <v>101</v>
      </c>
    </row>
    <row r="12420" spans="1:19" ht="28" x14ac:dyDescent="0.15">
      <c r="A12420" s="2">
        <f>HYPERLINK("https://open-school.uspishnemisto.com.ua/school/610557/", 610557)</f>
        <v>610557</v>
      </c>
      <c r="B12420" s="3" t="s">
        <v>62708</v>
      </c>
      <c r="C12420" s="3" t="s">
        <v>31</v>
      </c>
      <c r="D12420" s="3" t="s">
        <v>32</v>
      </c>
      <c r="E12420" s="4" t="s">
        <v>22</v>
      </c>
      <c r="F12420" s="4" t="s">
        <v>62709</v>
      </c>
      <c r="G12420" s="4" t="s">
        <v>62710</v>
      </c>
      <c r="H12420" s="3" t="s">
        <v>60159</v>
      </c>
      <c r="I12420" s="3" t="s">
        <v>2857</v>
      </c>
      <c r="J12420" s="3" t="s">
        <v>62711</v>
      </c>
      <c r="K12420" s="3" t="s">
        <v>62712</v>
      </c>
      <c r="L12420" s="3" t="s">
        <v>62713</v>
      </c>
      <c r="M12420" s="4"/>
      <c r="N12420" s="3" t="s">
        <v>37</v>
      </c>
      <c r="O12420" s="3" t="s">
        <v>52</v>
      </c>
      <c r="P12420" s="5">
        <v>11</v>
      </c>
      <c r="Q12420" s="5">
        <v>145</v>
      </c>
      <c r="R12420" s="5">
        <v>11</v>
      </c>
      <c r="S12420" s="5">
        <v>144</v>
      </c>
    </row>
    <row r="12421" spans="1:19" ht="28" x14ac:dyDescent="0.15">
      <c r="A12421" s="2">
        <f>HYPERLINK("https://open-school.uspishnemisto.com.ua/school/610559/", 610559)</f>
        <v>610559</v>
      </c>
      <c r="B12421" s="3" t="s">
        <v>62714</v>
      </c>
      <c r="C12421" s="3" t="s">
        <v>31</v>
      </c>
      <c r="D12421" s="3" t="s">
        <v>60</v>
      </c>
      <c r="E12421" s="4" t="s">
        <v>22</v>
      </c>
      <c r="F12421" s="4" t="s">
        <v>62715</v>
      </c>
      <c r="G12421" s="4" t="s">
        <v>62716</v>
      </c>
      <c r="H12421" s="3" t="s">
        <v>60159</v>
      </c>
      <c r="I12421" s="3" t="s">
        <v>62717</v>
      </c>
      <c r="J12421" s="3" t="s">
        <v>14676</v>
      </c>
      <c r="K12421" s="3" t="s">
        <v>62718</v>
      </c>
      <c r="L12421" s="3"/>
      <c r="M12421" s="4"/>
      <c r="N12421" s="3" t="s">
        <v>37</v>
      </c>
      <c r="O12421" s="3" t="s">
        <v>52</v>
      </c>
      <c r="P12421" s="5">
        <v>1</v>
      </c>
      <c r="Q12421" s="5">
        <v>15</v>
      </c>
      <c r="R12421" s="5">
        <v>1</v>
      </c>
      <c r="S12421" s="5">
        <v>13</v>
      </c>
    </row>
    <row r="12422" spans="1:19" ht="28" x14ac:dyDescent="0.15">
      <c r="A12422" s="2">
        <f>HYPERLINK("https://open-school.uspishnemisto.com.ua/school/610561/", 610561)</f>
        <v>610561</v>
      </c>
      <c r="B12422" s="3" t="s">
        <v>62719</v>
      </c>
      <c r="C12422" s="3" t="s">
        <v>31</v>
      </c>
      <c r="D12422" s="3" t="s">
        <v>175</v>
      </c>
      <c r="E12422" s="4" t="s">
        <v>22</v>
      </c>
      <c r="F12422" s="4" t="s">
        <v>62720</v>
      </c>
      <c r="G12422" s="4" t="s">
        <v>62721</v>
      </c>
      <c r="H12422" s="3" t="s">
        <v>60159</v>
      </c>
      <c r="I12422" s="3" t="s">
        <v>30237</v>
      </c>
      <c r="J12422" s="3" t="s">
        <v>62722</v>
      </c>
      <c r="K12422" s="3" t="s">
        <v>62723</v>
      </c>
      <c r="L12422" s="3"/>
      <c r="M12422" s="4"/>
      <c r="N12422" s="3" t="s">
        <v>37</v>
      </c>
      <c r="O12422" s="3" t="s">
        <v>52</v>
      </c>
      <c r="P12422" s="5">
        <v>2</v>
      </c>
      <c r="Q12422" s="5">
        <v>29</v>
      </c>
      <c r="R12422" s="5">
        <v>1</v>
      </c>
      <c r="S12422" s="5">
        <v>29</v>
      </c>
    </row>
    <row r="12423" spans="1:19" ht="28" x14ac:dyDescent="0.15">
      <c r="A12423" s="2">
        <f>HYPERLINK("https://open-school.uspishnemisto.com.ua/school/610562/", 610562)</f>
        <v>610562</v>
      </c>
      <c r="B12423" s="3" t="s">
        <v>62724</v>
      </c>
      <c r="C12423" s="3" t="s">
        <v>31</v>
      </c>
      <c r="D12423" s="3" t="s">
        <v>175</v>
      </c>
      <c r="E12423" s="4" t="s">
        <v>22</v>
      </c>
      <c r="F12423" s="4" t="s">
        <v>62725</v>
      </c>
      <c r="G12423" s="4" t="s">
        <v>62726</v>
      </c>
      <c r="H12423" s="3" t="s">
        <v>60159</v>
      </c>
      <c r="I12423" s="3" t="s">
        <v>2404</v>
      </c>
      <c r="J12423" s="3"/>
      <c r="K12423" s="3" t="s">
        <v>62727</v>
      </c>
      <c r="L12423" s="3"/>
      <c r="M12423" s="4"/>
      <c r="N12423" s="3" t="s">
        <v>37</v>
      </c>
      <c r="O12423" s="3" t="s">
        <v>2740</v>
      </c>
      <c r="P12423" s="5">
        <v>2</v>
      </c>
      <c r="Q12423" s="5">
        <v>31</v>
      </c>
      <c r="R12423" s="5">
        <v>3</v>
      </c>
      <c r="S12423" s="5">
        <v>33</v>
      </c>
    </row>
    <row r="12424" spans="1:19" ht="42" x14ac:dyDescent="0.15">
      <c r="A12424" s="2">
        <f>HYPERLINK("https://open-school.uspishnemisto.com.ua/school/610563/", 610563)</f>
        <v>610563</v>
      </c>
      <c r="B12424" s="3" t="s">
        <v>62728</v>
      </c>
      <c r="C12424" s="3" t="s">
        <v>31</v>
      </c>
      <c r="D12424" s="3" t="s">
        <v>175</v>
      </c>
      <c r="E12424" s="4" t="s">
        <v>22</v>
      </c>
      <c r="F12424" s="4" t="s">
        <v>62729</v>
      </c>
      <c r="G12424" s="4" t="s">
        <v>62730</v>
      </c>
      <c r="H12424" s="3" t="s">
        <v>60159</v>
      </c>
      <c r="I12424" s="3" t="s">
        <v>62731</v>
      </c>
      <c r="J12424" s="3" t="s">
        <v>12836</v>
      </c>
      <c r="K12424" s="3" t="s">
        <v>62732</v>
      </c>
      <c r="L12424" s="3"/>
      <c r="M12424" s="4"/>
      <c r="N12424" s="3" t="s">
        <v>37</v>
      </c>
      <c r="O12424" s="3" t="s">
        <v>46</v>
      </c>
      <c r="P12424" s="5">
        <v>7</v>
      </c>
      <c r="Q12424" s="5">
        <v>68</v>
      </c>
      <c r="R12424" s="5">
        <v>7</v>
      </c>
      <c r="S12424" s="5">
        <v>64</v>
      </c>
    </row>
    <row r="12425" spans="1:19" ht="28" x14ac:dyDescent="0.15">
      <c r="A12425" s="2">
        <f>HYPERLINK("https://open-school.uspishnemisto.com.ua/school/610564/", 610564)</f>
        <v>610564</v>
      </c>
      <c r="B12425" s="3" t="s">
        <v>62733</v>
      </c>
      <c r="C12425" s="3" t="s">
        <v>31</v>
      </c>
      <c r="D12425" s="3" t="s">
        <v>32</v>
      </c>
      <c r="E12425" s="4" t="s">
        <v>22</v>
      </c>
      <c r="F12425" s="4" t="s">
        <v>62734</v>
      </c>
      <c r="G12425" s="4" t="s">
        <v>62735</v>
      </c>
      <c r="H12425" s="3" t="s">
        <v>60159</v>
      </c>
      <c r="I12425" s="3" t="s">
        <v>62736</v>
      </c>
      <c r="J12425" s="3" t="s">
        <v>27802</v>
      </c>
      <c r="K12425" s="3" t="s">
        <v>62737</v>
      </c>
      <c r="L12425" s="3"/>
      <c r="M12425" s="4"/>
      <c r="N12425" s="3" t="s">
        <v>37</v>
      </c>
      <c r="O12425" s="3" t="s">
        <v>2740</v>
      </c>
      <c r="P12425" s="5">
        <v>7</v>
      </c>
      <c r="Q12425" s="5">
        <v>61</v>
      </c>
      <c r="R12425" s="5">
        <v>8</v>
      </c>
      <c r="S12425" s="5">
        <v>64</v>
      </c>
    </row>
    <row r="12426" spans="1:19" ht="28" x14ac:dyDescent="0.15">
      <c r="A12426" s="2">
        <f>HYPERLINK("https://open-school.uspishnemisto.com.ua/school/610566/", 610566)</f>
        <v>610566</v>
      </c>
      <c r="B12426" s="3" t="s">
        <v>62738</v>
      </c>
      <c r="C12426" s="3" t="s">
        <v>31</v>
      </c>
      <c r="D12426" s="3" t="s">
        <v>175</v>
      </c>
      <c r="E12426" s="4" t="s">
        <v>22</v>
      </c>
      <c r="F12426" s="4" t="s">
        <v>62739</v>
      </c>
      <c r="G12426" s="4" t="s">
        <v>62740</v>
      </c>
      <c r="H12426" s="3" t="s">
        <v>60159</v>
      </c>
      <c r="I12426" s="3" t="s">
        <v>62741</v>
      </c>
      <c r="J12426" s="3" t="s">
        <v>62742</v>
      </c>
      <c r="K12426" s="3" t="s">
        <v>62743</v>
      </c>
      <c r="L12426" s="3"/>
      <c r="M12426" s="4"/>
      <c r="N12426" s="3" t="s">
        <v>37</v>
      </c>
      <c r="O12426" s="3" t="s">
        <v>2740</v>
      </c>
      <c r="P12426" s="5">
        <v>6</v>
      </c>
      <c r="Q12426" s="5">
        <v>50</v>
      </c>
      <c r="R12426" s="5">
        <v>3</v>
      </c>
      <c r="S12426" s="5">
        <v>46</v>
      </c>
    </row>
    <row r="12427" spans="1:19" ht="42" x14ac:dyDescent="0.15">
      <c r="A12427" s="2">
        <f>HYPERLINK("https://open-school.uspishnemisto.com.ua/school/610567/", 610567)</f>
        <v>610567</v>
      </c>
      <c r="B12427" s="3" t="s">
        <v>62744</v>
      </c>
      <c r="C12427" s="3" t="s">
        <v>31</v>
      </c>
      <c r="D12427" s="3" t="s">
        <v>32</v>
      </c>
      <c r="E12427" s="4" t="s">
        <v>22</v>
      </c>
      <c r="F12427" s="4" t="s">
        <v>62745</v>
      </c>
      <c r="G12427" s="4" t="s">
        <v>62746</v>
      </c>
      <c r="H12427" s="3" t="s">
        <v>60159</v>
      </c>
      <c r="I12427" s="3" t="s">
        <v>62747</v>
      </c>
      <c r="J12427" s="3" t="s">
        <v>62748</v>
      </c>
      <c r="K12427" s="3" t="s">
        <v>62749</v>
      </c>
      <c r="L12427" s="3"/>
      <c r="M12427" s="4"/>
      <c r="N12427" s="3" t="s">
        <v>37</v>
      </c>
      <c r="O12427" s="3" t="s">
        <v>46</v>
      </c>
      <c r="P12427" s="5">
        <v>23</v>
      </c>
      <c r="Q12427" s="5">
        <v>442</v>
      </c>
      <c r="R12427" s="5">
        <v>20</v>
      </c>
      <c r="S12427" s="5">
        <v>405</v>
      </c>
    </row>
    <row r="12428" spans="1:19" ht="28" x14ac:dyDescent="0.15">
      <c r="A12428" s="2">
        <f>HYPERLINK("https://open-school.uspishnemisto.com.ua/school/610568/", 610568)</f>
        <v>610568</v>
      </c>
      <c r="B12428" s="3" t="s">
        <v>62750</v>
      </c>
      <c r="C12428" s="3" t="s">
        <v>40</v>
      </c>
      <c r="D12428" s="3" t="s">
        <v>32</v>
      </c>
      <c r="E12428" s="4" t="s">
        <v>22</v>
      </c>
      <c r="F12428" s="4" t="s">
        <v>62751</v>
      </c>
      <c r="G12428" s="4" t="s">
        <v>62752</v>
      </c>
      <c r="H12428" s="3" t="s">
        <v>60159</v>
      </c>
      <c r="I12428" s="3" t="s">
        <v>62753</v>
      </c>
      <c r="J12428" s="3" t="s">
        <v>62754</v>
      </c>
      <c r="K12428" s="3" t="s">
        <v>62755</v>
      </c>
      <c r="L12428" s="3"/>
      <c r="M12428" s="4"/>
      <c r="N12428" s="3" t="s">
        <v>37</v>
      </c>
      <c r="O12428" s="3" t="s">
        <v>46</v>
      </c>
      <c r="P12428" s="5">
        <v>20</v>
      </c>
      <c r="Q12428" s="5">
        <v>386</v>
      </c>
      <c r="R12428" s="5">
        <v>20</v>
      </c>
      <c r="S12428" s="5">
        <v>382</v>
      </c>
    </row>
    <row r="12429" spans="1:19" ht="28" x14ac:dyDescent="0.15">
      <c r="A12429" s="2">
        <f>HYPERLINK("https://open-school.uspishnemisto.com.ua/school/610569/", 610569)</f>
        <v>610569</v>
      </c>
      <c r="B12429" s="3" t="s">
        <v>62756</v>
      </c>
      <c r="C12429" s="3" t="s">
        <v>31</v>
      </c>
      <c r="D12429" s="3" t="s">
        <v>32</v>
      </c>
      <c r="E12429" s="4" t="s">
        <v>22</v>
      </c>
      <c r="F12429" s="4" t="s">
        <v>62751</v>
      </c>
      <c r="G12429" s="4" t="s">
        <v>62752</v>
      </c>
      <c r="H12429" s="3" t="s">
        <v>60159</v>
      </c>
      <c r="I12429" s="3" t="s">
        <v>62753</v>
      </c>
      <c r="J12429" s="3" t="s">
        <v>62757</v>
      </c>
      <c r="K12429" s="3" t="s">
        <v>62758</v>
      </c>
      <c r="L12429" s="3" t="s">
        <v>62759</v>
      </c>
      <c r="M12429" s="4"/>
      <c r="N12429" s="3" t="s">
        <v>37</v>
      </c>
      <c r="O12429" s="3" t="s">
        <v>52</v>
      </c>
      <c r="P12429" s="5">
        <v>30</v>
      </c>
      <c r="Q12429" s="5">
        <v>571</v>
      </c>
      <c r="R12429" s="5">
        <v>23</v>
      </c>
      <c r="S12429" s="5">
        <v>518</v>
      </c>
    </row>
    <row r="12430" spans="1:19" ht="56" x14ac:dyDescent="0.15">
      <c r="A12430" s="2">
        <f>HYPERLINK("https://open-school.uspishnemisto.com.ua/school/610570/", 610570)</f>
        <v>610570</v>
      </c>
      <c r="B12430" s="3" t="s">
        <v>62760</v>
      </c>
      <c r="C12430" s="3" t="s">
        <v>54</v>
      </c>
      <c r="D12430" s="3" t="s">
        <v>175</v>
      </c>
      <c r="E12430" s="4" t="s">
        <v>22</v>
      </c>
      <c r="F12430" s="4" t="s">
        <v>62761</v>
      </c>
      <c r="G12430" s="4" t="s">
        <v>62762</v>
      </c>
      <c r="H12430" s="3" t="s">
        <v>60159</v>
      </c>
      <c r="I12430" s="3" t="s">
        <v>3790</v>
      </c>
      <c r="J12430" s="3" t="s">
        <v>26168</v>
      </c>
      <c r="K12430" s="3" t="s">
        <v>62763</v>
      </c>
      <c r="L12430" s="3"/>
      <c r="M12430" s="4"/>
      <c r="N12430" s="3" t="s">
        <v>37</v>
      </c>
      <c r="O12430" s="3" t="s">
        <v>52</v>
      </c>
      <c r="P12430" s="5">
        <v>7</v>
      </c>
      <c r="Q12430" s="5">
        <v>53</v>
      </c>
      <c r="R12430" s="5">
        <v>9</v>
      </c>
      <c r="S12430" s="5">
        <v>58</v>
      </c>
    </row>
    <row r="12431" spans="1:19" ht="28" x14ac:dyDescent="0.15">
      <c r="A12431" s="2">
        <f>HYPERLINK("https://open-school.uspishnemisto.com.ua/school/610572/", 610572)</f>
        <v>610572</v>
      </c>
      <c r="B12431" s="3" t="s">
        <v>62764</v>
      </c>
      <c r="C12431" s="3" t="s">
        <v>31</v>
      </c>
      <c r="D12431" s="3" t="s">
        <v>175</v>
      </c>
      <c r="E12431" s="4" t="s">
        <v>22</v>
      </c>
      <c r="F12431" s="4" t="s">
        <v>62765</v>
      </c>
      <c r="G12431" s="4" t="s">
        <v>62766</v>
      </c>
      <c r="H12431" s="3" t="s">
        <v>60159</v>
      </c>
      <c r="I12431" s="3" t="s">
        <v>62767</v>
      </c>
      <c r="J12431" s="3" t="s">
        <v>62768</v>
      </c>
      <c r="K12431" s="3" t="s">
        <v>62769</v>
      </c>
      <c r="L12431" s="3"/>
      <c r="M12431" s="4"/>
      <c r="N12431" s="3" t="s">
        <v>37</v>
      </c>
      <c r="O12431" s="3" t="s">
        <v>46</v>
      </c>
      <c r="P12431" s="5">
        <v>7</v>
      </c>
      <c r="Q12431" s="5">
        <v>46</v>
      </c>
      <c r="R12431" s="5">
        <v>8</v>
      </c>
      <c r="S12431" s="5">
        <v>53</v>
      </c>
    </row>
    <row r="12432" spans="1:19" ht="42" x14ac:dyDescent="0.15">
      <c r="A12432" s="2">
        <f>HYPERLINK("https://open-school.uspishnemisto.com.ua/school/610574/", 610574)</f>
        <v>610574</v>
      </c>
      <c r="B12432" s="3" t="s">
        <v>62770</v>
      </c>
      <c r="C12432" s="3" t="s">
        <v>31</v>
      </c>
      <c r="D12432" s="3" t="s">
        <v>175</v>
      </c>
      <c r="E12432" s="4" t="s">
        <v>22</v>
      </c>
      <c r="F12432" s="4" t="s">
        <v>62771</v>
      </c>
      <c r="G12432" s="4" t="s">
        <v>62772</v>
      </c>
      <c r="H12432" s="3" t="s">
        <v>60159</v>
      </c>
      <c r="I12432" s="3" t="s">
        <v>18593</v>
      </c>
      <c r="J12432" s="3" t="s">
        <v>43570</v>
      </c>
      <c r="K12432" s="3" t="s">
        <v>62773</v>
      </c>
      <c r="L12432" s="3" t="s">
        <v>62774</v>
      </c>
      <c r="M12432" s="4"/>
      <c r="N12432" s="3" t="s">
        <v>37</v>
      </c>
      <c r="O12432" s="3" t="s">
        <v>46</v>
      </c>
      <c r="P12432" s="5">
        <v>9</v>
      </c>
      <c r="Q12432" s="5">
        <v>77</v>
      </c>
      <c r="R12432" s="5">
        <v>9</v>
      </c>
      <c r="S12432" s="5">
        <v>79</v>
      </c>
    </row>
    <row r="12433" spans="1:19" ht="56" x14ac:dyDescent="0.15">
      <c r="A12433" s="2">
        <f>HYPERLINK("https://open-school.uspishnemisto.com.ua/school/610575/", 610575)</f>
        <v>610575</v>
      </c>
      <c r="B12433" s="3" t="s">
        <v>62775</v>
      </c>
      <c r="C12433" s="3" t="s">
        <v>54</v>
      </c>
      <c r="D12433" s="3" t="s">
        <v>175</v>
      </c>
      <c r="E12433" s="4" t="s">
        <v>22</v>
      </c>
      <c r="F12433" s="4" t="s">
        <v>62776</v>
      </c>
      <c r="G12433" s="4" t="s">
        <v>62777</v>
      </c>
      <c r="H12433" s="3" t="s">
        <v>60159</v>
      </c>
      <c r="I12433" s="3" t="s">
        <v>62778</v>
      </c>
      <c r="J12433" s="3" t="s">
        <v>3472</v>
      </c>
      <c r="K12433" s="3" t="s">
        <v>62779</v>
      </c>
      <c r="L12433" s="3"/>
      <c r="M12433" s="4"/>
      <c r="N12433" s="3" t="s">
        <v>37</v>
      </c>
      <c r="O12433" s="3" t="s">
        <v>46</v>
      </c>
      <c r="P12433" s="5">
        <v>4</v>
      </c>
      <c r="Q12433" s="5">
        <v>38</v>
      </c>
      <c r="R12433" s="5">
        <v>5</v>
      </c>
      <c r="S12433" s="5">
        <v>39</v>
      </c>
    </row>
    <row r="12434" spans="1:19" ht="56" x14ac:dyDescent="0.15">
      <c r="A12434" s="2">
        <f>HYPERLINK("https://open-school.uspishnemisto.com.ua/school/610577/", 610577)</f>
        <v>610577</v>
      </c>
      <c r="B12434" s="3" t="s">
        <v>62780</v>
      </c>
      <c r="C12434" s="3" t="s">
        <v>54</v>
      </c>
      <c r="D12434" s="3" t="s">
        <v>32</v>
      </c>
      <c r="E12434" s="4" t="s">
        <v>22</v>
      </c>
      <c r="F12434" s="4" t="s">
        <v>62781</v>
      </c>
      <c r="G12434" s="4" t="s">
        <v>62782</v>
      </c>
      <c r="H12434" s="3" t="s">
        <v>60159</v>
      </c>
      <c r="I12434" s="3" t="s">
        <v>883</v>
      </c>
      <c r="J12434" s="3" t="s">
        <v>1360</v>
      </c>
      <c r="K12434" s="3" t="s">
        <v>62783</v>
      </c>
      <c r="L12434" s="3"/>
      <c r="M12434" s="4"/>
      <c r="N12434" s="3" t="s">
        <v>37</v>
      </c>
      <c r="O12434" s="3" t="s">
        <v>46</v>
      </c>
      <c r="P12434" s="5">
        <v>10</v>
      </c>
      <c r="Q12434" s="5">
        <v>79</v>
      </c>
      <c r="R12434" s="5">
        <v>10</v>
      </c>
      <c r="S12434" s="5">
        <v>76</v>
      </c>
    </row>
    <row r="12435" spans="1:19" ht="28" x14ac:dyDescent="0.15">
      <c r="A12435" s="2">
        <f>HYPERLINK("https://open-school.uspishnemisto.com.ua/school/610578/", 610578)</f>
        <v>610578</v>
      </c>
      <c r="B12435" s="3" t="s">
        <v>62784</v>
      </c>
      <c r="C12435" s="3" t="s">
        <v>31</v>
      </c>
      <c r="D12435" s="3" t="s">
        <v>32</v>
      </c>
      <c r="E12435" s="4" t="s">
        <v>22</v>
      </c>
      <c r="F12435" s="4" t="s">
        <v>62785</v>
      </c>
      <c r="G12435" s="4" t="s">
        <v>62786</v>
      </c>
      <c r="H12435" s="3" t="s">
        <v>60159</v>
      </c>
      <c r="I12435" s="3" t="s">
        <v>62787</v>
      </c>
      <c r="J12435" s="3" t="s">
        <v>62788</v>
      </c>
      <c r="K12435" s="3" t="s">
        <v>62789</v>
      </c>
      <c r="L12435" s="3"/>
      <c r="M12435" s="4"/>
      <c r="N12435" s="3" t="s">
        <v>37</v>
      </c>
      <c r="O12435" s="3" t="s">
        <v>46</v>
      </c>
      <c r="P12435" s="5">
        <v>11</v>
      </c>
      <c r="Q12435" s="5">
        <v>158</v>
      </c>
      <c r="R12435" s="5">
        <v>11</v>
      </c>
      <c r="S12435" s="5">
        <v>149</v>
      </c>
    </row>
    <row r="12436" spans="1:19" ht="56" x14ac:dyDescent="0.15">
      <c r="A12436" s="2">
        <f>HYPERLINK("https://open-school.uspishnemisto.com.ua/school/610579/", 610579)</f>
        <v>610579</v>
      </c>
      <c r="B12436" s="3" t="s">
        <v>62790</v>
      </c>
      <c r="C12436" s="3" t="s">
        <v>54</v>
      </c>
      <c r="D12436" s="3" t="s">
        <v>60</v>
      </c>
      <c r="E12436" s="4" t="s">
        <v>22</v>
      </c>
      <c r="F12436" s="4" t="s">
        <v>62785</v>
      </c>
      <c r="G12436" s="4" t="s">
        <v>62791</v>
      </c>
      <c r="H12436" s="3" t="s">
        <v>60159</v>
      </c>
      <c r="I12436" s="3" t="s">
        <v>19671</v>
      </c>
      <c r="J12436" s="3" t="s">
        <v>3399</v>
      </c>
      <c r="K12436" s="3" t="s">
        <v>62792</v>
      </c>
      <c r="L12436" s="3"/>
      <c r="M12436" s="4"/>
      <c r="N12436" s="3" t="s">
        <v>37</v>
      </c>
      <c r="O12436" s="3" t="s">
        <v>52</v>
      </c>
      <c r="P12436" s="5">
        <v>1</v>
      </c>
      <c r="Q12436" s="5">
        <v>8</v>
      </c>
      <c r="R12436" s="5">
        <v>2</v>
      </c>
      <c r="S12436" s="5">
        <v>25</v>
      </c>
    </row>
    <row r="12437" spans="1:19" ht="28" x14ac:dyDescent="0.15">
      <c r="A12437" s="2">
        <f>HYPERLINK("https://open-school.uspishnemisto.com.ua/school/610580/", 610580)</f>
        <v>610580</v>
      </c>
      <c r="B12437" s="3" t="s">
        <v>62793</v>
      </c>
      <c r="C12437" s="3" t="s">
        <v>31</v>
      </c>
      <c r="D12437" s="3" t="s">
        <v>32</v>
      </c>
      <c r="E12437" s="4" t="s">
        <v>22</v>
      </c>
      <c r="F12437" s="4" t="s">
        <v>62794</v>
      </c>
      <c r="G12437" s="4" t="s">
        <v>62795</v>
      </c>
      <c r="H12437" s="3" t="s">
        <v>60159</v>
      </c>
      <c r="I12437" s="3" t="s">
        <v>4117</v>
      </c>
      <c r="J12437" s="3" t="s">
        <v>1946</v>
      </c>
      <c r="K12437" s="3" t="s">
        <v>62796</v>
      </c>
      <c r="L12437" s="3"/>
      <c r="M12437" s="4"/>
      <c r="N12437" s="3" t="s">
        <v>37</v>
      </c>
      <c r="O12437" s="3" t="s">
        <v>46</v>
      </c>
      <c r="P12437" s="5">
        <v>11</v>
      </c>
      <c r="Q12437" s="5">
        <v>126</v>
      </c>
      <c r="R12437" s="5">
        <v>11</v>
      </c>
      <c r="S12437" s="5">
        <v>124</v>
      </c>
    </row>
    <row r="12438" spans="1:19" ht="56" x14ac:dyDescent="0.15">
      <c r="A12438" s="2">
        <f>HYPERLINK("https://open-school.uspishnemisto.com.ua/school/610581/", 610581)</f>
        <v>610581</v>
      </c>
      <c r="B12438" s="3" t="s">
        <v>62797</v>
      </c>
      <c r="C12438" s="3" t="s">
        <v>54</v>
      </c>
      <c r="D12438" s="3" t="s">
        <v>175</v>
      </c>
      <c r="E12438" s="4" t="s">
        <v>22</v>
      </c>
      <c r="F12438" s="4" t="s">
        <v>62798</v>
      </c>
      <c r="G12438" s="4" t="s">
        <v>62799</v>
      </c>
      <c r="H12438" s="3" t="s">
        <v>60159</v>
      </c>
      <c r="I12438" s="3" t="s">
        <v>62800</v>
      </c>
      <c r="J12438" s="3" t="s">
        <v>42665</v>
      </c>
      <c r="K12438" s="3" t="s">
        <v>62801</v>
      </c>
      <c r="L12438" s="3"/>
      <c r="M12438" s="4"/>
      <c r="N12438" s="3" t="s">
        <v>37</v>
      </c>
      <c r="O12438" s="3" t="s">
        <v>618</v>
      </c>
      <c r="P12438" s="5">
        <v>3</v>
      </c>
      <c r="Q12438" s="5">
        <v>32</v>
      </c>
      <c r="R12438" s="5">
        <v>3</v>
      </c>
      <c r="S12438" s="5">
        <v>33</v>
      </c>
    </row>
    <row r="12439" spans="1:19" ht="42" x14ac:dyDescent="0.15">
      <c r="A12439" s="2">
        <f>HYPERLINK("https://open-school.uspishnemisto.com.ua/school/610582/", 610582)</f>
        <v>610582</v>
      </c>
      <c r="B12439" s="3" t="s">
        <v>62802</v>
      </c>
      <c r="C12439" s="3" t="s">
        <v>31</v>
      </c>
      <c r="D12439" s="3" t="s">
        <v>32</v>
      </c>
      <c r="E12439" s="4" t="s">
        <v>22</v>
      </c>
      <c r="F12439" s="4" t="s">
        <v>62803</v>
      </c>
      <c r="G12439" s="4" t="s">
        <v>62804</v>
      </c>
      <c r="H12439" s="3" t="s">
        <v>60159</v>
      </c>
      <c r="I12439" s="3" t="s">
        <v>30359</v>
      </c>
      <c r="J12439" s="3" t="s">
        <v>62805</v>
      </c>
      <c r="K12439" s="3" t="s">
        <v>62806</v>
      </c>
      <c r="L12439" s="3"/>
      <c r="M12439" s="4"/>
      <c r="N12439" s="3" t="s">
        <v>37</v>
      </c>
      <c r="O12439" s="3" t="s">
        <v>46</v>
      </c>
      <c r="P12439" s="5">
        <v>11</v>
      </c>
      <c r="Q12439" s="5">
        <v>115</v>
      </c>
      <c r="R12439" s="5">
        <v>11</v>
      </c>
      <c r="S12439" s="5">
        <v>115</v>
      </c>
    </row>
    <row r="12440" spans="1:19" ht="42" x14ac:dyDescent="0.15">
      <c r="A12440" s="2">
        <f>HYPERLINK("https://open-school.uspishnemisto.com.ua/school/610583/", 610583)</f>
        <v>610583</v>
      </c>
      <c r="B12440" s="3" t="s">
        <v>62807</v>
      </c>
      <c r="C12440" s="3" t="s">
        <v>31</v>
      </c>
      <c r="D12440" s="3" t="s">
        <v>175</v>
      </c>
      <c r="E12440" s="4" t="s">
        <v>22</v>
      </c>
      <c r="F12440" s="4" t="s">
        <v>62808</v>
      </c>
      <c r="G12440" s="4" t="s">
        <v>62809</v>
      </c>
      <c r="H12440" s="3" t="s">
        <v>60159</v>
      </c>
      <c r="I12440" s="3" t="s">
        <v>62810</v>
      </c>
      <c r="J12440" s="3" t="s">
        <v>5671</v>
      </c>
      <c r="K12440" s="3" t="s">
        <v>62811</v>
      </c>
      <c r="L12440" s="3"/>
      <c r="M12440" s="4"/>
      <c r="N12440" s="3" t="s">
        <v>37</v>
      </c>
      <c r="O12440" s="3" t="s">
        <v>46</v>
      </c>
      <c r="P12440" s="5">
        <v>5</v>
      </c>
      <c r="Q12440" s="5">
        <v>33</v>
      </c>
      <c r="R12440" s="5">
        <v>5</v>
      </c>
      <c r="S12440" s="5">
        <v>31</v>
      </c>
    </row>
    <row r="12441" spans="1:19" ht="42" x14ac:dyDescent="0.15">
      <c r="A12441" s="2">
        <f>HYPERLINK("https://open-school.uspishnemisto.com.ua/school/610585/", 610585)</f>
        <v>610585</v>
      </c>
      <c r="B12441" s="3" t="s">
        <v>62812</v>
      </c>
      <c r="C12441" s="3" t="s">
        <v>31</v>
      </c>
      <c r="D12441" s="3" t="s">
        <v>175</v>
      </c>
      <c r="E12441" s="4" t="s">
        <v>22</v>
      </c>
      <c r="F12441" s="4" t="s">
        <v>62813</v>
      </c>
      <c r="G12441" s="4" t="s">
        <v>62814</v>
      </c>
      <c r="H12441" s="3" t="s">
        <v>60159</v>
      </c>
      <c r="I12441" s="3" t="s">
        <v>19332</v>
      </c>
      <c r="J12441" s="3" t="s">
        <v>27802</v>
      </c>
      <c r="K12441" s="3" t="s">
        <v>62815</v>
      </c>
      <c r="L12441" s="3"/>
      <c r="M12441" s="4"/>
      <c r="N12441" s="3" t="s">
        <v>37</v>
      </c>
      <c r="O12441" s="3" t="s">
        <v>46</v>
      </c>
      <c r="P12441" s="5">
        <v>9</v>
      </c>
      <c r="Q12441" s="5">
        <v>80</v>
      </c>
      <c r="R12441" s="5">
        <v>9</v>
      </c>
      <c r="S12441" s="5">
        <v>84</v>
      </c>
    </row>
    <row r="12442" spans="1:19" ht="56" x14ac:dyDescent="0.15">
      <c r="A12442" s="2">
        <f>HYPERLINK("https://open-school.uspishnemisto.com.ua/school/610586/", 610586)</f>
        <v>610586</v>
      </c>
      <c r="B12442" s="3" t="s">
        <v>62816</v>
      </c>
      <c r="C12442" s="3" t="s">
        <v>54</v>
      </c>
      <c r="D12442" s="3" t="s">
        <v>175</v>
      </c>
      <c r="E12442" s="4" t="s">
        <v>22</v>
      </c>
      <c r="F12442" s="4" t="s">
        <v>62817</v>
      </c>
      <c r="G12442" s="4" t="s">
        <v>62818</v>
      </c>
      <c r="H12442" s="3" t="s">
        <v>60159</v>
      </c>
      <c r="I12442" s="3" t="s">
        <v>62819</v>
      </c>
      <c r="J12442" s="3" t="s">
        <v>62820</v>
      </c>
      <c r="K12442" s="3" t="s">
        <v>62821</v>
      </c>
      <c r="L12442" s="3"/>
      <c r="M12442" s="4"/>
      <c r="N12442" s="3" t="s">
        <v>37</v>
      </c>
      <c r="O12442" s="3" t="s">
        <v>46</v>
      </c>
      <c r="P12442" s="5">
        <v>5</v>
      </c>
      <c r="Q12442" s="5">
        <v>41</v>
      </c>
      <c r="R12442" s="5">
        <v>6</v>
      </c>
      <c r="S12442" s="5">
        <v>48</v>
      </c>
    </row>
    <row r="12443" spans="1:19" ht="42" x14ac:dyDescent="0.15">
      <c r="A12443" s="2">
        <f>HYPERLINK("https://open-school.uspishnemisto.com.ua/school/610588/", 610588)</f>
        <v>610588</v>
      </c>
      <c r="B12443" s="3" t="s">
        <v>62822</v>
      </c>
      <c r="C12443" s="3" t="s">
        <v>31</v>
      </c>
      <c r="D12443" s="3" t="s">
        <v>32</v>
      </c>
      <c r="E12443" s="4" t="s">
        <v>22</v>
      </c>
      <c r="F12443" s="4" t="s">
        <v>62823</v>
      </c>
      <c r="G12443" s="4" t="s">
        <v>62824</v>
      </c>
      <c r="H12443" s="3" t="s">
        <v>60159</v>
      </c>
      <c r="I12443" s="3" t="s">
        <v>62825</v>
      </c>
      <c r="J12443" s="3" t="s">
        <v>62826</v>
      </c>
      <c r="K12443" s="3"/>
      <c r="L12443" s="3"/>
      <c r="M12443" s="4"/>
      <c r="N12443" s="3" t="s">
        <v>37</v>
      </c>
      <c r="O12443" s="3" t="s">
        <v>46</v>
      </c>
      <c r="P12443" s="5">
        <v>10</v>
      </c>
      <c r="Q12443" s="5">
        <v>101</v>
      </c>
      <c r="R12443" s="5">
        <v>10</v>
      </c>
      <c r="S12443" s="5">
        <v>97</v>
      </c>
    </row>
    <row r="12444" spans="1:19" ht="42" x14ac:dyDescent="0.15">
      <c r="A12444" s="2">
        <f>HYPERLINK("https://open-school.uspishnemisto.com.ua/school/610589/", 610589)</f>
        <v>610589</v>
      </c>
      <c r="B12444" s="3" t="s">
        <v>62827</v>
      </c>
      <c r="C12444" s="3" t="s">
        <v>31</v>
      </c>
      <c r="D12444" s="3" t="s">
        <v>60</v>
      </c>
      <c r="E12444" s="4" t="s">
        <v>22</v>
      </c>
      <c r="F12444" s="4" t="s">
        <v>62823</v>
      </c>
      <c r="G12444" s="4" t="s">
        <v>62828</v>
      </c>
      <c r="H12444" s="3" t="s">
        <v>60159</v>
      </c>
      <c r="I12444" s="3" t="s">
        <v>32067</v>
      </c>
      <c r="J12444" s="3"/>
      <c r="K12444" s="3" t="s">
        <v>62829</v>
      </c>
      <c r="L12444" s="3"/>
      <c r="M12444" s="4"/>
      <c r="N12444" s="3" t="s">
        <v>37</v>
      </c>
      <c r="O12444" s="3" t="s">
        <v>618</v>
      </c>
      <c r="P12444" s="5">
        <v>0</v>
      </c>
      <c r="Q12444" s="5">
        <v>0</v>
      </c>
      <c r="R12444" s="5">
        <v>0</v>
      </c>
      <c r="S12444" s="5">
        <v>7</v>
      </c>
    </row>
    <row r="12445" spans="1:19" ht="42" x14ac:dyDescent="0.15">
      <c r="A12445" s="2">
        <f>HYPERLINK("https://open-school.uspishnemisto.com.ua/school/610591/", 610591)</f>
        <v>610591</v>
      </c>
      <c r="B12445" s="3" t="s">
        <v>62830</v>
      </c>
      <c r="C12445" s="3" t="s">
        <v>54</v>
      </c>
      <c r="D12445" s="3" t="s">
        <v>60</v>
      </c>
      <c r="E12445" s="4" t="s">
        <v>22</v>
      </c>
      <c r="F12445" s="4" t="s">
        <v>62751</v>
      </c>
      <c r="G12445" s="4" t="s">
        <v>62831</v>
      </c>
      <c r="H12445" s="3" t="s">
        <v>60159</v>
      </c>
      <c r="I12445" s="3" t="s">
        <v>62832</v>
      </c>
      <c r="J12445" s="3" t="s">
        <v>62833</v>
      </c>
      <c r="K12445" s="3" t="s">
        <v>62834</v>
      </c>
      <c r="L12445" s="3"/>
      <c r="M12445" s="4"/>
      <c r="N12445" s="3" t="s">
        <v>37</v>
      </c>
      <c r="O12445" s="3" t="s">
        <v>52</v>
      </c>
      <c r="P12445" s="5">
        <v>0</v>
      </c>
      <c r="Q12445" s="5">
        <v>0</v>
      </c>
      <c r="R12445" s="5">
        <v>0</v>
      </c>
      <c r="S12445" s="5">
        <v>11</v>
      </c>
    </row>
    <row r="12446" spans="1:19" ht="42" x14ac:dyDescent="0.15">
      <c r="A12446" s="2">
        <f>HYPERLINK("https://open-school.uspishnemisto.com.ua/school/610592/", 610592)</f>
        <v>610592</v>
      </c>
      <c r="B12446" s="3" t="s">
        <v>62835</v>
      </c>
      <c r="C12446" s="3" t="s">
        <v>31</v>
      </c>
      <c r="D12446" s="3" t="s">
        <v>175</v>
      </c>
      <c r="E12446" s="4" t="s">
        <v>22</v>
      </c>
      <c r="F12446" s="4" t="s">
        <v>62836</v>
      </c>
      <c r="G12446" s="4" t="s">
        <v>62837</v>
      </c>
      <c r="H12446" s="3" t="s">
        <v>60159</v>
      </c>
      <c r="I12446" s="3" t="s">
        <v>35353</v>
      </c>
      <c r="J12446" s="3" t="s">
        <v>29416</v>
      </c>
      <c r="K12446" s="3" t="s">
        <v>62838</v>
      </c>
      <c r="L12446" s="3"/>
      <c r="M12446" s="4"/>
      <c r="N12446" s="3" t="s">
        <v>37</v>
      </c>
      <c r="O12446" s="3" t="s">
        <v>46</v>
      </c>
      <c r="P12446" s="5">
        <v>9</v>
      </c>
      <c r="Q12446" s="5">
        <v>104</v>
      </c>
      <c r="R12446" s="5">
        <v>9</v>
      </c>
      <c r="S12446" s="5">
        <v>111</v>
      </c>
    </row>
    <row r="12447" spans="1:19" ht="42" x14ac:dyDescent="0.15">
      <c r="A12447" s="2">
        <f>HYPERLINK("https://open-school.uspishnemisto.com.ua/school/610593/", 610593)</f>
        <v>610593</v>
      </c>
      <c r="B12447" s="3" t="s">
        <v>62839</v>
      </c>
      <c r="C12447" s="3" t="s">
        <v>31</v>
      </c>
      <c r="D12447" s="3" t="s">
        <v>32</v>
      </c>
      <c r="E12447" s="4" t="s">
        <v>22</v>
      </c>
      <c r="F12447" s="4" t="s">
        <v>62840</v>
      </c>
      <c r="G12447" s="4" t="s">
        <v>62841</v>
      </c>
      <c r="H12447" s="3" t="s">
        <v>60159</v>
      </c>
      <c r="I12447" s="3" t="s">
        <v>20972</v>
      </c>
      <c r="J12447" s="3" t="s">
        <v>41521</v>
      </c>
      <c r="K12447" s="3" t="s">
        <v>62842</v>
      </c>
      <c r="L12447" s="3"/>
      <c r="M12447" s="4"/>
      <c r="N12447" s="3" t="s">
        <v>37</v>
      </c>
      <c r="O12447" s="3" t="s">
        <v>46</v>
      </c>
      <c r="P12447" s="5">
        <v>16</v>
      </c>
      <c r="Q12447" s="5">
        <v>280</v>
      </c>
      <c r="R12447" s="5">
        <v>12</v>
      </c>
      <c r="S12447" s="5">
        <v>233</v>
      </c>
    </row>
    <row r="12448" spans="1:19" ht="28" x14ac:dyDescent="0.15">
      <c r="A12448" s="2">
        <f>HYPERLINK("https://open-school.uspishnemisto.com.ua/school/610594/", 610594)</f>
        <v>610594</v>
      </c>
      <c r="B12448" s="3" t="s">
        <v>62843</v>
      </c>
      <c r="C12448" s="3" t="s">
        <v>181</v>
      </c>
      <c r="D12448" s="3" t="s">
        <v>175</v>
      </c>
      <c r="E12448" s="4" t="s">
        <v>22</v>
      </c>
      <c r="F12448" s="4" t="s">
        <v>62840</v>
      </c>
      <c r="G12448" s="4" t="s">
        <v>62841</v>
      </c>
      <c r="H12448" s="3" t="s">
        <v>60159</v>
      </c>
      <c r="I12448" s="3" t="s">
        <v>20972</v>
      </c>
      <c r="J12448" s="3" t="s">
        <v>62844</v>
      </c>
      <c r="K12448" s="3" t="s">
        <v>62845</v>
      </c>
      <c r="L12448" s="3" t="s">
        <v>62846</v>
      </c>
      <c r="M12448" s="4" t="s">
        <v>62847</v>
      </c>
      <c r="N12448" s="3" t="s">
        <v>37</v>
      </c>
      <c r="O12448" s="3"/>
      <c r="P12448" s="5">
        <v>13</v>
      </c>
      <c r="Q12448" s="5">
        <v>111</v>
      </c>
      <c r="R12448" s="5">
        <v>14</v>
      </c>
      <c r="S12448" s="5">
        <v>111</v>
      </c>
    </row>
    <row r="12449" spans="1:19" ht="28" x14ac:dyDescent="0.15">
      <c r="A12449" s="2">
        <f>HYPERLINK("https://open-school.uspishnemisto.com.ua/school/610595/", 610595)</f>
        <v>610595</v>
      </c>
      <c r="B12449" s="3" t="s">
        <v>62848</v>
      </c>
      <c r="C12449" s="3" t="s">
        <v>31</v>
      </c>
      <c r="D12449" s="3" t="s">
        <v>32</v>
      </c>
      <c r="E12449" s="4" t="s">
        <v>22</v>
      </c>
      <c r="F12449" s="4" t="s">
        <v>62849</v>
      </c>
      <c r="G12449" s="4" t="s">
        <v>62850</v>
      </c>
      <c r="H12449" s="3" t="s">
        <v>60159</v>
      </c>
      <c r="I12449" s="3" t="s">
        <v>33744</v>
      </c>
      <c r="J12449" s="3" t="s">
        <v>62851</v>
      </c>
      <c r="K12449" s="3" t="s">
        <v>62852</v>
      </c>
      <c r="L12449" s="3"/>
      <c r="M12449" s="4"/>
      <c r="N12449" s="3" t="s">
        <v>37</v>
      </c>
      <c r="O12449" s="3" t="s">
        <v>46</v>
      </c>
      <c r="P12449" s="5">
        <v>9</v>
      </c>
      <c r="Q12449" s="5">
        <v>88</v>
      </c>
      <c r="R12449" s="5">
        <v>10</v>
      </c>
      <c r="S12449" s="5">
        <v>86</v>
      </c>
    </row>
    <row r="12450" spans="1:19" ht="42" x14ac:dyDescent="0.15">
      <c r="A12450" s="2">
        <f>HYPERLINK("https://open-school.uspishnemisto.com.ua/school/610596/", 610596)</f>
        <v>610596</v>
      </c>
      <c r="B12450" s="3" t="s">
        <v>62853</v>
      </c>
      <c r="C12450" s="3" t="s">
        <v>31</v>
      </c>
      <c r="D12450" s="3" t="s">
        <v>32</v>
      </c>
      <c r="E12450" s="4" t="s">
        <v>22</v>
      </c>
      <c r="F12450" s="4" t="s">
        <v>62854</v>
      </c>
      <c r="G12450" s="4" t="s">
        <v>62855</v>
      </c>
      <c r="H12450" s="3" t="s">
        <v>60159</v>
      </c>
      <c r="I12450" s="3" t="s">
        <v>51545</v>
      </c>
      <c r="J12450" s="3" t="s">
        <v>62856</v>
      </c>
      <c r="K12450" s="3" t="s">
        <v>62857</v>
      </c>
      <c r="L12450" s="3"/>
      <c r="M12450" s="4"/>
      <c r="N12450" s="3" t="s">
        <v>37</v>
      </c>
      <c r="O12450" s="3" t="s">
        <v>52</v>
      </c>
      <c r="P12450" s="5">
        <v>11</v>
      </c>
      <c r="Q12450" s="5">
        <v>165</v>
      </c>
      <c r="R12450" s="5">
        <v>10</v>
      </c>
      <c r="S12450" s="5">
        <v>158</v>
      </c>
    </row>
    <row r="12451" spans="1:19" ht="56" x14ac:dyDescent="0.15">
      <c r="A12451" s="2">
        <f>HYPERLINK("https://open-school.uspishnemisto.com.ua/school/610598/", 610598)</f>
        <v>610598</v>
      </c>
      <c r="B12451" s="3" t="s">
        <v>62858</v>
      </c>
      <c r="C12451" s="3" t="s">
        <v>54</v>
      </c>
      <c r="D12451" s="3" t="s">
        <v>175</v>
      </c>
      <c r="E12451" s="4" t="s">
        <v>22</v>
      </c>
      <c r="F12451" s="4" t="s">
        <v>62859</v>
      </c>
      <c r="G12451" s="4" t="s">
        <v>62860</v>
      </c>
      <c r="H12451" s="3" t="s">
        <v>60159</v>
      </c>
      <c r="I12451" s="3" t="s">
        <v>31160</v>
      </c>
      <c r="J12451" s="3"/>
      <c r="K12451" s="3" t="s">
        <v>62861</v>
      </c>
      <c r="L12451" s="3"/>
      <c r="M12451" s="4"/>
      <c r="N12451" s="3" t="s">
        <v>37</v>
      </c>
      <c r="O12451" s="3" t="s">
        <v>46</v>
      </c>
      <c r="P12451" s="5">
        <v>6</v>
      </c>
      <c r="Q12451" s="5">
        <v>49</v>
      </c>
      <c r="R12451" s="5">
        <v>6</v>
      </c>
      <c r="S12451" s="5">
        <v>47</v>
      </c>
    </row>
    <row r="12452" spans="1:19" ht="28" x14ac:dyDescent="0.15">
      <c r="A12452" s="2">
        <f>HYPERLINK("https://open-school.uspishnemisto.com.ua/school/610599/", 610599)</f>
        <v>610599</v>
      </c>
      <c r="B12452" s="3" t="s">
        <v>62862</v>
      </c>
      <c r="C12452" s="3" t="s">
        <v>31</v>
      </c>
      <c r="D12452" s="3" t="s">
        <v>60</v>
      </c>
      <c r="E12452" s="4" t="s">
        <v>22</v>
      </c>
      <c r="F12452" s="4" t="s">
        <v>62849</v>
      </c>
      <c r="G12452" s="4" t="s">
        <v>62863</v>
      </c>
      <c r="H12452" s="3" t="s">
        <v>60159</v>
      </c>
      <c r="I12452" s="3" t="s">
        <v>62864</v>
      </c>
      <c r="J12452" s="3" t="s">
        <v>3064</v>
      </c>
      <c r="K12452" s="3" t="s">
        <v>62865</v>
      </c>
      <c r="L12452" s="3"/>
      <c r="M12452" s="4"/>
      <c r="N12452" s="3" t="s">
        <v>37</v>
      </c>
      <c r="O12452" s="3" t="s">
        <v>618</v>
      </c>
      <c r="P12452" s="5">
        <v>1</v>
      </c>
      <c r="Q12452" s="5">
        <v>11</v>
      </c>
      <c r="R12452" s="5">
        <v>0</v>
      </c>
      <c r="S12452" s="5">
        <v>11</v>
      </c>
    </row>
    <row r="12453" spans="1:19" ht="42" x14ac:dyDescent="0.15">
      <c r="A12453" s="2">
        <f>HYPERLINK("https://open-school.uspishnemisto.com.ua/school/610600/", 610600)</f>
        <v>610600</v>
      </c>
      <c r="B12453" s="3" t="s">
        <v>62866</v>
      </c>
      <c r="C12453" s="3" t="s">
        <v>31</v>
      </c>
      <c r="D12453" s="3" t="s">
        <v>32</v>
      </c>
      <c r="E12453" s="4" t="s">
        <v>22</v>
      </c>
      <c r="F12453" s="4" t="s">
        <v>62867</v>
      </c>
      <c r="G12453" s="4" t="s">
        <v>62868</v>
      </c>
      <c r="H12453" s="3" t="s">
        <v>60159</v>
      </c>
      <c r="I12453" s="3" t="s">
        <v>62869</v>
      </c>
      <c r="J12453" s="3" t="s">
        <v>62870</v>
      </c>
      <c r="K12453" s="3" t="s">
        <v>62871</v>
      </c>
      <c r="L12453" s="3"/>
      <c r="M12453" s="4"/>
      <c r="N12453" s="3" t="s">
        <v>37</v>
      </c>
      <c r="O12453" s="3" t="s">
        <v>46</v>
      </c>
      <c r="P12453" s="5">
        <v>17</v>
      </c>
      <c r="Q12453" s="5">
        <v>195</v>
      </c>
      <c r="R12453" s="5">
        <v>10</v>
      </c>
      <c r="S12453" s="5">
        <v>113</v>
      </c>
    </row>
    <row r="12454" spans="1:19" ht="42" x14ac:dyDescent="0.15">
      <c r="A12454" s="2">
        <f>HYPERLINK("https://open-school.uspishnemisto.com.ua/school/610602/", 610602)</f>
        <v>610602</v>
      </c>
      <c r="B12454" s="3" t="s">
        <v>62872</v>
      </c>
      <c r="C12454" s="3" t="s">
        <v>31</v>
      </c>
      <c r="D12454" s="3" t="s">
        <v>175</v>
      </c>
      <c r="E12454" s="4" t="s">
        <v>22</v>
      </c>
      <c r="F12454" s="4" t="s">
        <v>62873</v>
      </c>
      <c r="G12454" s="4" t="s">
        <v>62874</v>
      </c>
      <c r="H12454" s="3" t="s">
        <v>60159</v>
      </c>
      <c r="I12454" s="3" t="s">
        <v>62875</v>
      </c>
      <c r="J12454" s="3" t="s">
        <v>62876</v>
      </c>
      <c r="K12454" s="3" t="s">
        <v>62877</v>
      </c>
      <c r="L12454" s="3"/>
      <c r="M12454" s="4"/>
      <c r="N12454" s="3" t="s">
        <v>37</v>
      </c>
      <c r="O12454" s="3" t="s">
        <v>52</v>
      </c>
      <c r="P12454" s="5">
        <v>0</v>
      </c>
      <c r="Q12454" s="5">
        <v>0</v>
      </c>
      <c r="R12454" s="5">
        <v>6</v>
      </c>
      <c r="S12454" s="5">
        <v>43</v>
      </c>
    </row>
    <row r="12455" spans="1:19" ht="42" x14ac:dyDescent="0.15">
      <c r="A12455" s="2">
        <f>HYPERLINK("https://open-school.uspishnemisto.com.ua/school/610603/", 610603)</f>
        <v>610603</v>
      </c>
      <c r="B12455" s="3" t="s">
        <v>62878</v>
      </c>
      <c r="C12455" s="3" t="s">
        <v>31</v>
      </c>
      <c r="D12455" s="3" t="s">
        <v>32</v>
      </c>
      <c r="E12455" s="4" t="s">
        <v>22</v>
      </c>
      <c r="F12455" s="4" t="s">
        <v>62879</v>
      </c>
      <c r="G12455" s="4" t="s">
        <v>62880</v>
      </c>
      <c r="H12455" s="3" t="s">
        <v>60159</v>
      </c>
      <c r="I12455" s="3" t="s">
        <v>62881</v>
      </c>
      <c r="J12455" s="3" t="s">
        <v>62882</v>
      </c>
      <c r="K12455" s="3" t="s">
        <v>62883</v>
      </c>
      <c r="L12455" s="3"/>
      <c r="M12455" s="4"/>
      <c r="N12455" s="3" t="s">
        <v>37</v>
      </c>
      <c r="O12455" s="3" t="s">
        <v>46</v>
      </c>
      <c r="P12455" s="5">
        <v>11</v>
      </c>
      <c r="Q12455" s="5">
        <v>139</v>
      </c>
      <c r="R12455" s="5">
        <v>10</v>
      </c>
      <c r="S12455" s="5">
        <v>127</v>
      </c>
    </row>
    <row r="12456" spans="1:19" ht="42" x14ac:dyDescent="0.15">
      <c r="A12456" s="2">
        <f>HYPERLINK("https://open-school.uspishnemisto.com.ua/school/610604/", 610604)</f>
        <v>610604</v>
      </c>
      <c r="B12456" s="3" t="s">
        <v>62884</v>
      </c>
      <c r="C12456" s="3" t="s">
        <v>31</v>
      </c>
      <c r="D12456" s="3" t="s">
        <v>175</v>
      </c>
      <c r="E12456" s="4" t="s">
        <v>22</v>
      </c>
      <c r="F12456" s="4" t="s">
        <v>62885</v>
      </c>
      <c r="G12456" s="4" t="s">
        <v>62886</v>
      </c>
      <c r="H12456" s="3" t="s">
        <v>60159</v>
      </c>
      <c r="I12456" s="3" t="s">
        <v>62887</v>
      </c>
      <c r="J12456" s="3" t="s">
        <v>62888</v>
      </c>
      <c r="K12456" s="3" t="s">
        <v>62889</v>
      </c>
      <c r="L12456" s="3"/>
      <c r="M12456" s="4"/>
      <c r="N12456" s="3" t="s">
        <v>37</v>
      </c>
      <c r="O12456" s="3" t="s">
        <v>46</v>
      </c>
      <c r="P12456" s="5">
        <v>7</v>
      </c>
      <c r="Q12456" s="5">
        <v>55</v>
      </c>
      <c r="R12456" s="5">
        <v>6</v>
      </c>
      <c r="S12456" s="5">
        <v>50</v>
      </c>
    </row>
    <row r="12457" spans="1:19" ht="28" x14ac:dyDescent="0.15">
      <c r="A12457" s="2">
        <f>HYPERLINK("https://open-school.uspishnemisto.com.ua/school/610605/", 610605)</f>
        <v>610605</v>
      </c>
      <c r="B12457" s="3" t="s">
        <v>62890</v>
      </c>
      <c r="C12457" s="3" t="s">
        <v>31</v>
      </c>
      <c r="D12457" s="3" t="s">
        <v>175</v>
      </c>
      <c r="E12457" s="4" t="s">
        <v>22</v>
      </c>
      <c r="F12457" s="4" t="s">
        <v>62891</v>
      </c>
      <c r="G12457" s="4" t="s">
        <v>62892</v>
      </c>
      <c r="H12457" s="3" t="s">
        <v>60159</v>
      </c>
      <c r="I12457" s="3" t="s">
        <v>62893</v>
      </c>
      <c r="J12457" s="3" t="s">
        <v>7304</v>
      </c>
      <c r="K12457" s="3" t="s">
        <v>62894</v>
      </c>
      <c r="L12457" s="3"/>
      <c r="M12457" s="4"/>
      <c r="N12457" s="3" t="s">
        <v>37</v>
      </c>
      <c r="O12457" s="3" t="s">
        <v>46</v>
      </c>
      <c r="P12457" s="5">
        <v>7</v>
      </c>
      <c r="Q12457" s="5">
        <v>52</v>
      </c>
      <c r="R12457" s="5">
        <v>6</v>
      </c>
      <c r="S12457" s="5">
        <v>51</v>
      </c>
    </row>
    <row r="12458" spans="1:19" ht="28" x14ac:dyDescent="0.15">
      <c r="A12458" s="2">
        <f>HYPERLINK("https://open-school.uspishnemisto.com.ua/school/610606/", 610606)</f>
        <v>610606</v>
      </c>
      <c r="B12458" s="3" t="s">
        <v>62895</v>
      </c>
      <c r="C12458" s="3" t="s">
        <v>31</v>
      </c>
      <c r="D12458" s="3" t="s">
        <v>60</v>
      </c>
      <c r="E12458" s="4" t="s">
        <v>22</v>
      </c>
      <c r="F12458" s="4" t="s">
        <v>62891</v>
      </c>
      <c r="G12458" s="4" t="s">
        <v>62896</v>
      </c>
      <c r="H12458" s="3" t="s">
        <v>60159</v>
      </c>
      <c r="I12458" s="3" t="s">
        <v>62897</v>
      </c>
      <c r="J12458" s="3" t="s">
        <v>1417</v>
      </c>
      <c r="K12458" s="3" t="s">
        <v>62898</v>
      </c>
      <c r="L12458" s="3"/>
      <c r="M12458" s="4"/>
      <c r="N12458" s="3" t="s">
        <v>37</v>
      </c>
      <c r="O12458" s="3" t="s">
        <v>618</v>
      </c>
      <c r="P12458" s="5">
        <v>0</v>
      </c>
      <c r="Q12458" s="5">
        <v>7</v>
      </c>
      <c r="R12458" s="5">
        <v>0</v>
      </c>
      <c r="S12458" s="5">
        <v>10</v>
      </c>
    </row>
    <row r="12459" spans="1:19" ht="56" x14ac:dyDescent="0.15">
      <c r="A12459" s="2">
        <f>HYPERLINK("https://open-school.uspishnemisto.com.ua/school/610607/", 610607)</f>
        <v>610607</v>
      </c>
      <c r="B12459" s="3" t="s">
        <v>62899</v>
      </c>
      <c r="C12459" s="3" t="s">
        <v>54</v>
      </c>
      <c r="D12459" s="3" t="s">
        <v>175</v>
      </c>
      <c r="E12459" s="4" t="s">
        <v>22</v>
      </c>
      <c r="F12459" s="4" t="s">
        <v>62900</v>
      </c>
      <c r="G12459" s="4" t="s">
        <v>62901</v>
      </c>
      <c r="H12459" s="3" t="s">
        <v>60159</v>
      </c>
      <c r="I12459" s="3" t="s">
        <v>62902</v>
      </c>
      <c r="J12459" s="3" t="s">
        <v>8465</v>
      </c>
      <c r="K12459" s="3" t="s">
        <v>62903</v>
      </c>
      <c r="L12459" s="3"/>
      <c r="M12459" s="4"/>
      <c r="N12459" s="3" t="s">
        <v>37</v>
      </c>
      <c r="O12459" s="3" t="s">
        <v>46</v>
      </c>
      <c r="P12459" s="5">
        <v>6</v>
      </c>
      <c r="Q12459" s="5">
        <v>53</v>
      </c>
      <c r="R12459" s="5">
        <v>6</v>
      </c>
      <c r="S12459" s="5">
        <v>54</v>
      </c>
    </row>
    <row r="12460" spans="1:19" ht="28" x14ac:dyDescent="0.15">
      <c r="A12460" s="2">
        <f>HYPERLINK("https://open-school.uspishnemisto.com.ua/school/610608/", 610608)</f>
        <v>610608</v>
      </c>
      <c r="B12460" s="3" t="s">
        <v>62904</v>
      </c>
      <c r="C12460" s="3" t="s">
        <v>31</v>
      </c>
      <c r="D12460" s="3" t="s">
        <v>32</v>
      </c>
      <c r="E12460" s="4" t="s">
        <v>22</v>
      </c>
      <c r="F12460" s="4" t="s">
        <v>62905</v>
      </c>
      <c r="G12460" s="4" t="s">
        <v>62906</v>
      </c>
      <c r="H12460" s="3" t="s">
        <v>60159</v>
      </c>
      <c r="I12460" s="3" t="s">
        <v>62907</v>
      </c>
      <c r="J12460" s="3" t="s">
        <v>62908</v>
      </c>
      <c r="K12460" s="3" t="s">
        <v>62909</v>
      </c>
      <c r="L12460" s="3"/>
      <c r="M12460" s="4"/>
      <c r="N12460" s="3" t="s">
        <v>37</v>
      </c>
      <c r="O12460" s="3" t="s">
        <v>618</v>
      </c>
      <c r="P12460" s="5">
        <v>10</v>
      </c>
      <c r="Q12460" s="5">
        <v>87</v>
      </c>
      <c r="R12460" s="5">
        <v>9</v>
      </c>
      <c r="S12460" s="5">
        <v>79</v>
      </c>
    </row>
    <row r="12461" spans="1:19" ht="28" x14ac:dyDescent="0.15">
      <c r="A12461" s="2">
        <f>HYPERLINK("https://open-school.uspishnemisto.com.ua/school/610609/", 610609)</f>
        <v>610609</v>
      </c>
      <c r="B12461" s="3" t="s">
        <v>62910</v>
      </c>
      <c r="C12461" s="3" t="s">
        <v>31</v>
      </c>
      <c r="D12461" s="3" t="s">
        <v>175</v>
      </c>
      <c r="E12461" s="4" t="s">
        <v>22</v>
      </c>
      <c r="F12461" s="4" t="s">
        <v>62911</v>
      </c>
      <c r="G12461" s="4" t="s">
        <v>62912</v>
      </c>
      <c r="H12461" s="3" t="s">
        <v>60159</v>
      </c>
      <c r="I12461" s="3" t="s">
        <v>32459</v>
      </c>
      <c r="J12461" s="3" t="s">
        <v>62913</v>
      </c>
      <c r="K12461" s="3" t="s">
        <v>62914</v>
      </c>
      <c r="L12461" s="3"/>
      <c r="M12461" s="4"/>
      <c r="N12461" s="3" t="s">
        <v>37</v>
      </c>
      <c r="O12461" s="3" t="s">
        <v>46</v>
      </c>
      <c r="P12461" s="5">
        <v>6</v>
      </c>
      <c r="Q12461" s="5">
        <v>53</v>
      </c>
      <c r="R12461" s="5">
        <v>7</v>
      </c>
      <c r="S12461" s="5">
        <v>56</v>
      </c>
    </row>
    <row r="12462" spans="1:19" ht="28" x14ac:dyDescent="0.15">
      <c r="A12462" s="2">
        <f>HYPERLINK("https://open-school.uspishnemisto.com.ua/school/610610/", 610610)</f>
        <v>610610</v>
      </c>
      <c r="B12462" s="3" t="s">
        <v>62915</v>
      </c>
      <c r="C12462" s="3" t="s">
        <v>31</v>
      </c>
      <c r="D12462" s="3" t="s">
        <v>175</v>
      </c>
      <c r="E12462" s="4" t="s">
        <v>22</v>
      </c>
      <c r="F12462" s="4" t="s">
        <v>62916</v>
      </c>
      <c r="G12462" s="4" t="s">
        <v>62917</v>
      </c>
      <c r="H12462" s="3" t="s">
        <v>60159</v>
      </c>
      <c r="I12462" s="3" t="s">
        <v>62918</v>
      </c>
      <c r="J12462" s="3" t="s">
        <v>62919</v>
      </c>
      <c r="K12462" s="3" t="s">
        <v>62920</v>
      </c>
      <c r="L12462" s="3"/>
      <c r="M12462" s="4"/>
      <c r="N12462" s="3" t="s">
        <v>37</v>
      </c>
      <c r="O12462" s="3" t="s">
        <v>46</v>
      </c>
      <c r="P12462" s="5">
        <v>8</v>
      </c>
      <c r="Q12462" s="5">
        <v>54</v>
      </c>
      <c r="R12462" s="5">
        <v>7</v>
      </c>
      <c r="S12462" s="5">
        <v>52</v>
      </c>
    </row>
    <row r="12463" spans="1:19" ht="28" x14ac:dyDescent="0.15">
      <c r="A12463" s="2">
        <f>HYPERLINK("https://open-school.uspishnemisto.com.ua/school/610611/", 610611)</f>
        <v>610611</v>
      </c>
      <c r="B12463" s="3" t="s">
        <v>62921</v>
      </c>
      <c r="C12463" s="3" t="s">
        <v>40</v>
      </c>
      <c r="D12463" s="3" t="s">
        <v>32</v>
      </c>
      <c r="E12463" s="4" t="s">
        <v>22</v>
      </c>
      <c r="F12463" s="4" t="s">
        <v>62922</v>
      </c>
      <c r="G12463" s="4" t="s">
        <v>62923</v>
      </c>
      <c r="H12463" s="3" t="s">
        <v>60159</v>
      </c>
      <c r="I12463" s="3" t="s">
        <v>6904</v>
      </c>
      <c r="J12463" s="3" t="s">
        <v>5256</v>
      </c>
      <c r="K12463" s="3" t="s">
        <v>62924</v>
      </c>
      <c r="L12463" s="3"/>
      <c r="M12463" s="4"/>
      <c r="N12463" s="3" t="s">
        <v>37</v>
      </c>
      <c r="O12463" s="3" t="s">
        <v>46</v>
      </c>
      <c r="P12463" s="5">
        <v>10</v>
      </c>
      <c r="Q12463" s="5">
        <v>173</v>
      </c>
      <c r="R12463" s="5">
        <v>10</v>
      </c>
      <c r="S12463" s="5">
        <v>176</v>
      </c>
    </row>
    <row r="12464" spans="1:19" ht="28" x14ac:dyDescent="0.15">
      <c r="A12464" s="2">
        <f>HYPERLINK("https://open-school.uspishnemisto.com.ua/school/610612/", 610612)</f>
        <v>610612</v>
      </c>
      <c r="B12464" s="3" t="s">
        <v>62925</v>
      </c>
      <c r="C12464" s="3" t="s">
        <v>31</v>
      </c>
      <c r="D12464" s="3" t="s">
        <v>32</v>
      </c>
      <c r="E12464" s="4" t="s">
        <v>22</v>
      </c>
      <c r="F12464" s="4" t="s">
        <v>62922</v>
      </c>
      <c r="G12464" s="4" t="s">
        <v>62923</v>
      </c>
      <c r="H12464" s="3" t="s">
        <v>60159</v>
      </c>
      <c r="I12464" s="3" t="s">
        <v>6904</v>
      </c>
      <c r="J12464" s="3" t="s">
        <v>62926</v>
      </c>
      <c r="K12464" s="3" t="s">
        <v>62927</v>
      </c>
      <c r="L12464" s="3"/>
      <c r="M12464" s="4"/>
      <c r="N12464" s="3" t="s">
        <v>37</v>
      </c>
      <c r="O12464" s="3" t="s">
        <v>46</v>
      </c>
      <c r="P12464" s="5">
        <v>17</v>
      </c>
      <c r="Q12464" s="5">
        <v>300</v>
      </c>
      <c r="R12464" s="5">
        <v>16</v>
      </c>
      <c r="S12464" s="5">
        <v>296</v>
      </c>
    </row>
    <row r="12465" spans="1:19" ht="28" x14ac:dyDescent="0.15">
      <c r="A12465" s="2">
        <f>HYPERLINK("https://open-school.uspishnemisto.com.ua/school/610613/", 610613)</f>
        <v>610613</v>
      </c>
      <c r="B12465" s="3" t="s">
        <v>62928</v>
      </c>
      <c r="C12465" s="3" t="s">
        <v>244</v>
      </c>
      <c r="D12465" s="3" t="s">
        <v>60</v>
      </c>
      <c r="E12465" s="4" t="s">
        <v>22</v>
      </c>
      <c r="F12465" s="4" t="s">
        <v>62922</v>
      </c>
      <c r="G12465" s="4" t="s">
        <v>62923</v>
      </c>
      <c r="H12465" s="3" t="s">
        <v>60159</v>
      </c>
      <c r="I12465" s="3" t="s">
        <v>6904</v>
      </c>
      <c r="J12465" s="3" t="s">
        <v>62929</v>
      </c>
      <c r="K12465" s="3"/>
      <c r="L12465" s="3" t="s">
        <v>62930</v>
      </c>
      <c r="M12465" s="4"/>
      <c r="N12465" s="3" t="s">
        <v>37</v>
      </c>
      <c r="O12465" s="3" t="s">
        <v>46</v>
      </c>
      <c r="P12465" s="5">
        <v>6</v>
      </c>
      <c r="Q12465" s="5">
        <v>119</v>
      </c>
      <c r="R12465" s="5">
        <v>6</v>
      </c>
      <c r="S12465" s="5">
        <v>107</v>
      </c>
    </row>
    <row r="12466" spans="1:19" ht="28" x14ac:dyDescent="0.15">
      <c r="A12466" s="2">
        <f>HYPERLINK("https://open-school.uspishnemisto.com.ua/school/610614/", 610614)</f>
        <v>610614</v>
      </c>
      <c r="B12466" s="3" t="s">
        <v>62931</v>
      </c>
      <c r="C12466" s="3" t="s">
        <v>31</v>
      </c>
      <c r="D12466" s="3" t="s">
        <v>175</v>
      </c>
      <c r="E12466" s="4" t="s">
        <v>22</v>
      </c>
      <c r="F12466" s="4" t="s">
        <v>62932</v>
      </c>
      <c r="G12466" s="4" t="s">
        <v>62933</v>
      </c>
      <c r="H12466" s="3" t="s">
        <v>60159</v>
      </c>
      <c r="I12466" s="3" t="s">
        <v>62262</v>
      </c>
      <c r="J12466" s="3" t="s">
        <v>27802</v>
      </c>
      <c r="K12466" s="3" t="s">
        <v>62934</v>
      </c>
      <c r="L12466" s="3" t="s">
        <v>62935</v>
      </c>
      <c r="M12466" s="4"/>
      <c r="N12466" s="3" t="s">
        <v>37</v>
      </c>
      <c r="O12466" s="3" t="s">
        <v>618</v>
      </c>
      <c r="P12466" s="5">
        <v>3</v>
      </c>
      <c r="Q12466" s="5">
        <v>35</v>
      </c>
      <c r="R12466" s="5">
        <v>3</v>
      </c>
      <c r="S12466" s="5">
        <v>30</v>
      </c>
    </row>
    <row r="12467" spans="1:19" ht="28" x14ac:dyDescent="0.15">
      <c r="A12467" s="2">
        <f>HYPERLINK("https://open-school.uspishnemisto.com.ua/school/610615/", 610615)</f>
        <v>610615</v>
      </c>
      <c r="B12467" s="3" t="s">
        <v>62936</v>
      </c>
      <c r="C12467" s="3" t="s">
        <v>31</v>
      </c>
      <c r="D12467" s="3" t="s">
        <v>60</v>
      </c>
      <c r="E12467" s="4" t="s">
        <v>22</v>
      </c>
      <c r="F12467" s="4" t="s">
        <v>62937</v>
      </c>
      <c r="G12467" s="4" t="s">
        <v>62938</v>
      </c>
      <c r="H12467" s="3" t="s">
        <v>60159</v>
      </c>
      <c r="I12467" s="3" t="s">
        <v>62939</v>
      </c>
      <c r="J12467" s="3" t="s">
        <v>3112</v>
      </c>
      <c r="K12467" s="3"/>
      <c r="L12467" s="3"/>
      <c r="M12467" s="4"/>
      <c r="N12467" s="3" t="s">
        <v>37</v>
      </c>
      <c r="O12467" s="3" t="s">
        <v>618</v>
      </c>
      <c r="P12467" s="5">
        <v>1</v>
      </c>
      <c r="Q12467" s="5">
        <v>12</v>
      </c>
      <c r="R12467" s="5">
        <v>2</v>
      </c>
      <c r="S12467" s="5">
        <v>25</v>
      </c>
    </row>
    <row r="12468" spans="1:19" ht="28" x14ac:dyDescent="0.15">
      <c r="A12468" s="2">
        <f>HYPERLINK("https://open-school.uspishnemisto.com.ua/school/610616/", 610616)</f>
        <v>610616</v>
      </c>
      <c r="B12468" s="3" t="s">
        <v>62940</v>
      </c>
      <c r="C12468" s="3" t="s">
        <v>31</v>
      </c>
      <c r="D12468" s="3" t="s">
        <v>175</v>
      </c>
      <c r="E12468" s="4" t="s">
        <v>22</v>
      </c>
      <c r="F12468" s="4" t="s">
        <v>62941</v>
      </c>
      <c r="G12468" s="4" t="s">
        <v>62942</v>
      </c>
      <c r="H12468" s="3" t="s">
        <v>60159</v>
      </c>
      <c r="I12468" s="3" t="s">
        <v>62943</v>
      </c>
      <c r="J12468" s="3" t="s">
        <v>8152</v>
      </c>
      <c r="K12468" s="3" t="s">
        <v>62944</v>
      </c>
      <c r="L12468" s="3" t="s">
        <v>62945</v>
      </c>
      <c r="M12468" s="4"/>
      <c r="N12468" s="3" t="s">
        <v>37</v>
      </c>
      <c r="O12468" s="3" t="s">
        <v>46</v>
      </c>
      <c r="P12468" s="5">
        <v>5</v>
      </c>
      <c r="Q12468" s="5">
        <v>41</v>
      </c>
      <c r="R12468" s="5">
        <v>5</v>
      </c>
      <c r="S12468" s="5">
        <v>43</v>
      </c>
    </row>
    <row r="12469" spans="1:19" ht="28" x14ac:dyDescent="0.15">
      <c r="A12469" s="2">
        <f>HYPERLINK("https://open-school.uspishnemisto.com.ua/school/610617/", 610617)</f>
        <v>610617</v>
      </c>
      <c r="B12469" s="3" t="s">
        <v>62946</v>
      </c>
      <c r="C12469" s="3" t="s">
        <v>31</v>
      </c>
      <c r="D12469" s="3" t="s">
        <v>175</v>
      </c>
      <c r="E12469" s="4" t="s">
        <v>22</v>
      </c>
      <c r="F12469" s="4" t="s">
        <v>62947</v>
      </c>
      <c r="G12469" s="4" t="s">
        <v>62948</v>
      </c>
      <c r="H12469" s="3" t="s">
        <v>60159</v>
      </c>
      <c r="I12469" s="3" t="s">
        <v>62949</v>
      </c>
      <c r="J12469" s="3" t="s">
        <v>62950</v>
      </c>
      <c r="K12469" s="3" t="s">
        <v>62951</v>
      </c>
      <c r="L12469" s="3"/>
      <c r="M12469" s="4"/>
      <c r="N12469" s="3" t="s">
        <v>37</v>
      </c>
      <c r="O12469" s="3" t="s">
        <v>618</v>
      </c>
      <c r="P12469" s="5">
        <v>7</v>
      </c>
      <c r="Q12469" s="5">
        <v>53</v>
      </c>
      <c r="R12469" s="5">
        <v>7</v>
      </c>
      <c r="S12469" s="5">
        <v>56</v>
      </c>
    </row>
    <row r="12470" spans="1:19" ht="28" x14ac:dyDescent="0.15">
      <c r="A12470" s="2">
        <f>HYPERLINK("https://open-school.uspishnemisto.com.ua/school/610618/", 610618)</f>
        <v>610618</v>
      </c>
      <c r="B12470" s="3" t="s">
        <v>62952</v>
      </c>
      <c r="C12470" s="3" t="s">
        <v>31</v>
      </c>
      <c r="D12470" s="3" t="s">
        <v>32</v>
      </c>
      <c r="E12470" s="4" t="s">
        <v>22</v>
      </c>
      <c r="F12470" s="4" t="s">
        <v>62953</v>
      </c>
      <c r="G12470" s="4" t="s">
        <v>62954</v>
      </c>
      <c r="H12470" s="3" t="s">
        <v>60159</v>
      </c>
      <c r="I12470" s="3" t="s">
        <v>62955</v>
      </c>
      <c r="J12470" s="3"/>
      <c r="K12470" s="3" t="s">
        <v>62956</v>
      </c>
      <c r="L12470" s="3"/>
      <c r="M12470" s="4"/>
      <c r="N12470" s="3" t="s">
        <v>37</v>
      </c>
      <c r="O12470" s="3" t="s">
        <v>46</v>
      </c>
      <c r="P12470" s="5">
        <v>11</v>
      </c>
      <c r="Q12470" s="5">
        <v>172</v>
      </c>
      <c r="R12470" s="5">
        <v>11</v>
      </c>
      <c r="S12470" s="5">
        <v>185</v>
      </c>
    </row>
    <row r="12471" spans="1:19" ht="28" x14ac:dyDescent="0.15">
      <c r="A12471" s="2">
        <f>HYPERLINK("https://open-school.uspishnemisto.com.ua/school/610619/", 610619)</f>
        <v>610619</v>
      </c>
      <c r="B12471" s="3" t="s">
        <v>62957</v>
      </c>
      <c r="C12471" s="3" t="s">
        <v>31</v>
      </c>
      <c r="D12471" s="3" t="s">
        <v>60</v>
      </c>
      <c r="E12471" s="4" t="s">
        <v>22</v>
      </c>
      <c r="F12471" s="4" t="s">
        <v>62953</v>
      </c>
      <c r="G12471" s="4" t="s">
        <v>62958</v>
      </c>
      <c r="H12471" s="3" t="s">
        <v>60159</v>
      </c>
      <c r="I12471" s="3" t="s">
        <v>5961</v>
      </c>
      <c r="J12471" s="3"/>
      <c r="K12471" s="3" t="s">
        <v>62959</v>
      </c>
      <c r="L12471" s="3"/>
      <c r="M12471" s="4"/>
      <c r="N12471" s="3" t="s">
        <v>37</v>
      </c>
      <c r="O12471" s="3" t="s">
        <v>46</v>
      </c>
      <c r="P12471" s="5">
        <v>0</v>
      </c>
      <c r="Q12471" s="5">
        <v>9</v>
      </c>
      <c r="R12471" s="5">
        <v>0</v>
      </c>
      <c r="S12471" s="5">
        <v>8</v>
      </c>
    </row>
    <row r="12472" spans="1:19" ht="28" x14ac:dyDescent="0.15">
      <c r="A12472" s="2">
        <f>HYPERLINK("https://open-school.uspishnemisto.com.ua/school/610620/", 610620)</f>
        <v>610620</v>
      </c>
      <c r="B12472" s="3" t="s">
        <v>62960</v>
      </c>
      <c r="C12472" s="3" t="s">
        <v>31</v>
      </c>
      <c r="D12472" s="3" t="s">
        <v>32</v>
      </c>
      <c r="E12472" s="4" t="s">
        <v>22</v>
      </c>
      <c r="F12472" s="4" t="s">
        <v>62961</v>
      </c>
      <c r="G12472" s="4" t="s">
        <v>62962</v>
      </c>
      <c r="H12472" s="3" t="s">
        <v>60159</v>
      </c>
      <c r="I12472" s="3" t="s">
        <v>62963</v>
      </c>
      <c r="J12472" s="3" t="s">
        <v>2465</v>
      </c>
      <c r="K12472" s="3" t="s">
        <v>62964</v>
      </c>
      <c r="L12472" s="3"/>
      <c r="M12472" s="4"/>
      <c r="N12472" s="3" t="s">
        <v>37</v>
      </c>
      <c r="O12472" s="3" t="s">
        <v>46</v>
      </c>
      <c r="P12472" s="5">
        <v>11</v>
      </c>
      <c r="Q12472" s="5">
        <v>130</v>
      </c>
      <c r="R12472" s="5">
        <v>10</v>
      </c>
      <c r="S12472" s="5">
        <v>130</v>
      </c>
    </row>
    <row r="12473" spans="1:19" ht="28" x14ac:dyDescent="0.15">
      <c r="A12473" s="2">
        <f>HYPERLINK("https://open-school.uspishnemisto.com.ua/school/610621/", 610621)</f>
        <v>610621</v>
      </c>
      <c r="B12473" s="3" t="s">
        <v>62965</v>
      </c>
      <c r="C12473" s="3" t="s">
        <v>31</v>
      </c>
      <c r="D12473" s="3" t="s">
        <v>32</v>
      </c>
      <c r="E12473" s="4" t="s">
        <v>22</v>
      </c>
      <c r="F12473" s="4" t="s">
        <v>62966</v>
      </c>
      <c r="G12473" s="4" t="s">
        <v>62967</v>
      </c>
      <c r="H12473" s="3" t="s">
        <v>60159</v>
      </c>
      <c r="I12473" s="3" t="s">
        <v>62968</v>
      </c>
      <c r="J12473" s="3" t="s">
        <v>62969</v>
      </c>
      <c r="K12473" s="3" t="s">
        <v>62970</v>
      </c>
      <c r="L12473" s="3" t="s">
        <v>62971</v>
      </c>
      <c r="M12473" s="4"/>
      <c r="N12473" s="3" t="s">
        <v>37</v>
      </c>
      <c r="O12473" s="3" t="s">
        <v>46</v>
      </c>
      <c r="P12473" s="5">
        <v>10</v>
      </c>
      <c r="Q12473" s="5">
        <v>79</v>
      </c>
      <c r="R12473" s="5">
        <v>7</v>
      </c>
      <c r="S12473" s="5">
        <v>78</v>
      </c>
    </row>
    <row r="12474" spans="1:19" ht="28" x14ac:dyDescent="0.15">
      <c r="A12474" s="2">
        <f>HYPERLINK("https://open-school.uspishnemisto.com.ua/school/610622/", 610622)</f>
        <v>610622</v>
      </c>
      <c r="B12474" s="3" t="s">
        <v>62972</v>
      </c>
      <c r="C12474" s="3" t="s">
        <v>31</v>
      </c>
      <c r="D12474" s="3" t="s">
        <v>175</v>
      </c>
      <c r="E12474" s="4" t="s">
        <v>22</v>
      </c>
      <c r="F12474" s="4" t="s">
        <v>62973</v>
      </c>
      <c r="G12474" s="4" t="s">
        <v>62974</v>
      </c>
      <c r="H12474" s="3" t="s">
        <v>60159</v>
      </c>
      <c r="I12474" s="3" t="s">
        <v>1889</v>
      </c>
      <c r="J12474" s="3" t="s">
        <v>1417</v>
      </c>
      <c r="K12474" s="3" t="s">
        <v>62975</v>
      </c>
      <c r="L12474" s="3"/>
      <c r="M12474" s="4"/>
      <c r="N12474" s="3" t="s">
        <v>37</v>
      </c>
      <c r="O12474" s="3" t="s">
        <v>618</v>
      </c>
      <c r="P12474" s="5">
        <v>7</v>
      </c>
      <c r="Q12474" s="5">
        <v>48</v>
      </c>
      <c r="R12474" s="5">
        <v>5</v>
      </c>
      <c r="S12474" s="5">
        <v>45</v>
      </c>
    </row>
    <row r="12475" spans="1:19" ht="28" x14ac:dyDescent="0.15">
      <c r="A12475" s="2">
        <f>HYPERLINK("https://open-school.uspishnemisto.com.ua/school/610623/", 610623)</f>
        <v>610623</v>
      </c>
      <c r="B12475" s="3" t="s">
        <v>62976</v>
      </c>
      <c r="C12475" s="3" t="s">
        <v>31</v>
      </c>
      <c r="D12475" s="3" t="s">
        <v>175</v>
      </c>
      <c r="E12475" s="4" t="s">
        <v>22</v>
      </c>
      <c r="F12475" s="4" t="s">
        <v>62977</v>
      </c>
      <c r="G12475" s="4" t="s">
        <v>62978</v>
      </c>
      <c r="H12475" s="3" t="s">
        <v>60159</v>
      </c>
      <c r="I12475" s="3" t="s">
        <v>62979</v>
      </c>
      <c r="J12475" s="3" t="s">
        <v>5492</v>
      </c>
      <c r="K12475" s="3" t="s">
        <v>62980</v>
      </c>
      <c r="L12475" s="3" t="s">
        <v>62981</v>
      </c>
      <c r="M12475" s="4"/>
      <c r="N12475" s="3" t="s">
        <v>37</v>
      </c>
      <c r="O12475" s="3" t="s">
        <v>46</v>
      </c>
      <c r="P12475" s="5">
        <v>9</v>
      </c>
      <c r="Q12475" s="5">
        <v>98</v>
      </c>
      <c r="R12475" s="5">
        <v>9</v>
      </c>
      <c r="S12475" s="5">
        <v>97</v>
      </c>
    </row>
    <row r="12476" spans="1:19" ht="28" x14ac:dyDescent="0.15">
      <c r="A12476" s="2">
        <f>HYPERLINK("https://open-school.uspishnemisto.com.ua/school/610624/", 610624)</f>
        <v>610624</v>
      </c>
      <c r="B12476" s="3" t="s">
        <v>62982</v>
      </c>
      <c r="C12476" s="3" t="s">
        <v>31</v>
      </c>
      <c r="D12476" s="3" t="s">
        <v>32</v>
      </c>
      <c r="E12476" s="4" t="s">
        <v>22</v>
      </c>
      <c r="F12476" s="4" t="s">
        <v>62983</v>
      </c>
      <c r="G12476" s="4" t="s">
        <v>62984</v>
      </c>
      <c r="H12476" s="3" t="s">
        <v>60159</v>
      </c>
      <c r="I12476" s="3" t="s">
        <v>35353</v>
      </c>
      <c r="J12476" s="3"/>
      <c r="K12476" s="3"/>
      <c r="L12476" s="3"/>
      <c r="M12476" s="4"/>
      <c r="N12476" s="3" t="s">
        <v>37</v>
      </c>
      <c r="O12476" s="3" t="s">
        <v>52</v>
      </c>
      <c r="P12476" s="5">
        <v>9</v>
      </c>
      <c r="Q12476" s="5">
        <v>96</v>
      </c>
      <c r="R12476" s="5">
        <v>9</v>
      </c>
      <c r="S12476" s="5">
        <v>96</v>
      </c>
    </row>
    <row r="12477" spans="1:19" ht="28" x14ac:dyDescent="0.15">
      <c r="A12477" s="2">
        <f>HYPERLINK("https://open-school.uspishnemisto.com.ua/school/610625/", 610625)</f>
        <v>610625</v>
      </c>
      <c r="B12477" s="3" t="s">
        <v>62985</v>
      </c>
      <c r="C12477" s="3" t="s">
        <v>31</v>
      </c>
      <c r="D12477" s="3" t="s">
        <v>175</v>
      </c>
      <c r="E12477" s="4" t="s">
        <v>22</v>
      </c>
      <c r="F12477" s="4" t="s">
        <v>62986</v>
      </c>
      <c r="G12477" s="4" t="s">
        <v>62987</v>
      </c>
      <c r="H12477" s="3" t="s">
        <v>60159</v>
      </c>
      <c r="I12477" s="3" t="s">
        <v>62988</v>
      </c>
      <c r="J12477" s="3" t="s">
        <v>62989</v>
      </c>
      <c r="K12477" s="3" t="s">
        <v>62990</v>
      </c>
      <c r="L12477" s="3"/>
      <c r="M12477" s="4"/>
      <c r="N12477" s="3" t="s">
        <v>37</v>
      </c>
      <c r="O12477" s="3" t="s">
        <v>46</v>
      </c>
      <c r="P12477" s="5">
        <v>9</v>
      </c>
      <c r="Q12477" s="5">
        <v>63</v>
      </c>
      <c r="R12477" s="5">
        <v>9</v>
      </c>
      <c r="S12477" s="5">
        <v>65</v>
      </c>
    </row>
    <row r="12478" spans="1:19" ht="28" x14ac:dyDescent="0.15">
      <c r="A12478" s="2">
        <f>HYPERLINK("https://open-school.uspishnemisto.com.ua/school/610626/", 610626)</f>
        <v>610626</v>
      </c>
      <c r="B12478" s="3" t="s">
        <v>62991</v>
      </c>
      <c r="C12478" s="3" t="s">
        <v>31</v>
      </c>
      <c r="D12478" s="3" t="s">
        <v>175</v>
      </c>
      <c r="E12478" s="4" t="s">
        <v>22</v>
      </c>
      <c r="F12478" s="4" t="s">
        <v>62992</v>
      </c>
      <c r="G12478" s="4" t="s">
        <v>62993</v>
      </c>
      <c r="H12478" s="3" t="s">
        <v>60159</v>
      </c>
      <c r="I12478" s="3" t="s">
        <v>60458</v>
      </c>
      <c r="J12478" s="3"/>
      <c r="K12478" s="3" t="s">
        <v>62994</v>
      </c>
      <c r="L12478" s="3"/>
      <c r="M12478" s="4"/>
      <c r="N12478" s="3" t="s">
        <v>37</v>
      </c>
      <c r="O12478" s="3" t="s">
        <v>46</v>
      </c>
      <c r="P12478" s="5">
        <v>8</v>
      </c>
      <c r="Q12478" s="5">
        <v>76</v>
      </c>
      <c r="R12478" s="5">
        <v>9</v>
      </c>
      <c r="S12478" s="5">
        <v>80</v>
      </c>
    </row>
    <row r="12479" spans="1:19" ht="28" x14ac:dyDescent="0.15">
      <c r="A12479" s="2">
        <f>HYPERLINK("https://open-school.uspishnemisto.com.ua/school/610627/", 610627)</f>
        <v>610627</v>
      </c>
      <c r="B12479" s="3" t="s">
        <v>62995</v>
      </c>
      <c r="C12479" s="3" t="s">
        <v>31</v>
      </c>
      <c r="D12479" s="3" t="s">
        <v>175</v>
      </c>
      <c r="E12479" s="4" t="s">
        <v>22</v>
      </c>
      <c r="F12479" s="4" t="s">
        <v>62941</v>
      </c>
      <c r="G12479" s="4" t="s">
        <v>62996</v>
      </c>
      <c r="H12479" s="3" t="s">
        <v>60159</v>
      </c>
      <c r="I12479" s="3" t="s">
        <v>62997</v>
      </c>
      <c r="J12479" s="3" t="s">
        <v>62998</v>
      </c>
      <c r="K12479" s="3" t="s">
        <v>62999</v>
      </c>
      <c r="L12479" s="3" t="s">
        <v>63000</v>
      </c>
      <c r="M12479" s="4"/>
      <c r="N12479" s="3" t="s">
        <v>37</v>
      </c>
      <c r="O12479" s="3" t="s">
        <v>618</v>
      </c>
      <c r="P12479" s="5">
        <v>4</v>
      </c>
      <c r="Q12479" s="5">
        <v>37</v>
      </c>
      <c r="R12479" s="5">
        <v>3</v>
      </c>
      <c r="S12479" s="5">
        <v>37</v>
      </c>
    </row>
    <row r="12480" spans="1:19" ht="28" x14ac:dyDescent="0.15">
      <c r="A12480" s="2">
        <f>HYPERLINK("https://open-school.uspishnemisto.com.ua/school/610628/", 610628)</f>
        <v>610628</v>
      </c>
      <c r="B12480" s="3" t="s">
        <v>63001</v>
      </c>
      <c r="C12480" s="3" t="s">
        <v>31</v>
      </c>
      <c r="D12480" s="3" t="s">
        <v>175</v>
      </c>
      <c r="E12480" s="4" t="s">
        <v>22</v>
      </c>
      <c r="F12480" s="4" t="s">
        <v>62922</v>
      </c>
      <c r="G12480" s="4" t="s">
        <v>63002</v>
      </c>
      <c r="H12480" s="3" t="s">
        <v>60159</v>
      </c>
      <c r="I12480" s="3" t="s">
        <v>5514</v>
      </c>
      <c r="J12480" s="3" t="s">
        <v>466</v>
      </c>
      <c r="K12480" s="3" t="s">
        <v>63003</v>
      </c>
      <c r="L12480" s="3" t="s">
        <v>63004</v>
      </c>
      <c r="M12480" s="4"/>
      <c r="N12480" s="3" t="s">
        <v>37</v>
      </c>
      <c r="O12480" s="3" t="s">
        <v>46</v>
      </c>
      <c r="P12480" s="5">
        <v>7</v>
      </c>
      <c r="Q12480" s="5">
        <v>64</v>
      </c>
      <c r="R12480" s="5">
        <v>7</v>
      </c>
      <c r="S12480" s="5">
        <v>64</v>
      </c>
    </row>
    <row r="12481" spans="1:19" ht="28" x14ac:dyDescent="0.15">
      <c r="A12481" s="2">
        <f>HYPERLINK("https://open-school.uspishnemisto.com.ua/school/610629/", 610629)</f>
        <v>610629</v>
      </c>
      <c r="B12481" s="3" t="s">
        <v>63005</v>
      </c>
      <c r="C12481" s="3" t="s">
        <v>31</v>
      </c>
      <c r="D12481" s="3" t="s">
        <v>175</v>
      </c>
      <c r="E12481" s="4" t="s">
        <v>22</v>
      </c>
      <c r="F12481" s="4" t="s">
        <v>63006</v>
      </c>
      <c r="G12481" s="4" t="s">
        <v>63007</v>
      </c>
      <c r="H12481" s="3" t="s">
        <v>60159</v>
      </c>
      <c r="I12481" s="3" t="s">
        <v>5491</v>
      </c>
      <c r="J12481" s="3" t="s">
        <v>7956</v>
      </c>
      <c r="K12481" s="3" t="s">
        <v>63008</v>
      </c>
      <c r="L12481" s="3"/>
      <c r="M12481" s="4"/>
      <c r="N12481" s="3" t="s">
        <v>37</v>
      </c>
      <c r="O12481" s="3" t="s">
        <v>52</v>
      </c>
      <c r="P12481" s="5">
        <v>8</v>
      </c>
      <c r="Q12481" s="5">
        <v>66</v>
      </c>
      <c r="R12481" s="5">
        <v>9</v>
      </c>
      <c r="S12481" s="5">
        <v>70</v>
      </c>
    </row>
    <row r="12482" spans="1:19" ht="28" x14ac:dyDescent="0.15">
      <c r="A12482" s="2">
        <f>HYPERLINK("https://open-school.uspishnemisto.com.ua/school/610630/", 610630)</f>
        <v>610630</v>
      </c>
      <c r="B12482" s="3" t="s">
        <v>63009</v>
      </c>
      <c r="C12482" s="3" t="s">
        <v>31</v>
      </c>
      <c r="D12482" s="3" t="s">
        <v>60</v>
      </c>
      <c r="E12482" s="4" t="s">
        <v>22</v>
      </c>
      <c r="F12482" s="4" t="s">
        <v>63006</v>
      </c>
      <c r="G12482" s="4" t="s">
        <v>63010</v>
      </c>
      <c r="H12482" s="3" t="s">
        <v>60159</v>
      </c>
      <c r="I12482" s="3" t="s">
        <v>17601</v>
      </c>
      <c r="J12482" s="3" t="s">
        <v>63011</v>
      </c>
      <c r="K12482" s="3" t="s">
        <v>63012</v>
      </c>
      <c r="L12482" s="3"/>
      <c r="M12482" s="4"/>
      <c r="N12482" s="3" t="s">
        <v>37</v>
      </c>
      <c r="O12482" s="3" t="s">
        <v>52</v>
      </c>
      <c r="P12482" s="5">
        <v>3</v>
      </c>
      <c r="Q12482" s="5">
        <v>23</v>
      </c>
      <c r="R12482" s="5">
        <v>4</v>
      </c>
      <c r="S12482" s="5">
        <v>25</v>
      </c>
    </row>
    <row r="12483" spans="1:19" ht="28" x14ac:dyDescent="0.15">
      <c r="A12483" s="2">
        <f>HYPERLINK("https://open-school.uspishnemisto.com.ua/school/610631/", 610631)</f>
        <v>610631</v>
      </c>
      <c r="B12483" s="3" t="s">
        <v>63013</v>
      </c>
      <c r="C12483" s="3" t="s">
        <v>31</v>
      </c>
      <c r="D12483" s="3" t="s">
        <v>32</v>
      </c>
      <c r="E12483" s="4" t="s">
        <v>22</v>
      </c>
      <c r="F12483" s="4" t="s">
        <v>63014</v>
      </c>
      <c r="G12483" s="4" t="s">
        <v>63015</v>
      </c>
      <c r="H12483" s="3" t="s">
        <v>60159</v>
      </c>
      <c r="I12483" s="3" t="s">
        <v>63016</v>
      </c>
      <c r="J12483" s="3" t="s">
        <v>63017</v>
      </c>
      <c r="K12483" s="3" t="s">
        <v>63018</v>
      </c>
      <c r="L12483" s="3"/>
      <c r="M12483" s="4"/>
      <c r="N12483" s="3" t="s">
        <v>37</v>
      </c>
      <c r="O12483" s="3" t="s">
        <v>46</v>
      </c>
      <c r="P12483" s="5">
        <v>5</v>
      </c>
      <c r="Q12483" s="5">
        <v>48</v>
      </c>
      <c r="R12483" s="5">
        <v>6</v>
      </c>
      <c r="S12483" s="5">
        <v>58</v>
      </c>
    </row>
    <row r="12484" spans="1:19" ht="28" x14ac:dyDescent="0.15">
      <c r="A12484" s="2">
        <f>HYPERLINK("https://open-school.uspishnemisto.com.ua/school/610632/", 610632)</f>
        <v>610632</v>
      </c>
      <c r="B12484" s="3" t="s">
        <v>63019</v>
      </c>
      <c r="C12484" s="3" t="s">
        <v>31</v>
      </c>
      <c r="D12484" s="3" t="s">
        <v>60</v>
      </c>
      <c r="E12484" s="4" t="s">
        <v>22</v>
      </c>
      <c r="F12484" s="4" t="s">
        <v>63020</v>
      </c>
      <c r="G12484" s="4" t="s">
        <v>63021</v>
      </c>
      <c r="H12484" s="3" t="s">
        <v>60159</v>
      </c>
      <c r="I12484" s="3" t="s">
        <v>63022</v>
      </c>
      <c r="J12484" s="3" t="s">
        <v>5606</v>
      </c>
      <c r="K12484" s="3" t="s">
        <v>63023</v>
      </c>
      <c r="L12484" s="3"/>
      <c r="M12484" s="4"/>
      <c r="N12484" s="3" t="s">
        <v>37</v>
      </c>
      <c r="O12484" s="3" t="s">
        <v>52</v>
      </c>
      <c r="P12484" s="5">
        <v>0</v>
      </c>
      <c r="Q12484" s="5">
        <v>7</v>
      </c>
      <c r="R12484" s="5">
        <v>0</v>
      </c>
      <c r="S12484" s="5">
        <v>10</v>
      </c>
    </row>
    <row r="12485" spans="1:19" ht="42" x14ac:dyDescent="0.15">
      <c r="A12485" s="2">
        <f>HYPERLINK("https://open-school.uspishnemisto.com.ua/school/610633/", 610633)</f>
        <v>610633</v>
      </c>
      <c r="B12485" s="3" t="s">
        <v>63024</v>
      </c>
      <c r="C12485" s="3" t="s">
        <v>31</v>
      </c>
      <c r="D12485" s="3" t="s">
        <v>32</v>
      </c>
      <c r="E12485" s="4" t="s">
        <v>22</v>
      </c>
      <c r="F12485" s="4" t="s">
        <v>63025</v>
      </c>
      <c r="G12485" s="4" t="s">
        <v>63026</v>
      </c>
      <c r="H12485" s="3" t="s">
        <v>60159</v>
      </c>
      <c r="I12485" s="3" t="s">
        <v>63027</v>
      </c>
      <c r="J12485" s="3" t="s">
        <v>63028</v>
      </c>
      <c r="K12485" s="3" t="s">
        <v>63029</v>
      </c>
      <c r="L12485" s="3"/>
      <c r="M12485" s="4"/>
      <c r="N12485" s="3" t="s">
        <v>37</v>
      </c>
      <c r="O12485" s="3" t="s">
        <v>46</v>
      </c>
      <c r="P12485" s="5">
        <v>34</v>
      </c>
      <c r="Q12485" s="5">
        <v>658</v>
      </c>
      <c r="R12485" s="5">
        <v>27</v>
      </c>
      <c r="S12485" s="5">
        <v>588</v>
      </c>
    </row>
    <row r="12486" spans="1:19" ht="28" x14ac:dyDescent="0.15">
      <c r="A12486" s="2">
        <f>HYPERLINK("https://open-school.uspishnemisto.com.ua/school/610634/", 610634)</f>
        <v>610634</v>
      </c>
      <c r="B12486" s="3" t="s">
        <v>63030</v>
      </c>
      <c r="C12486" s="3" t="s">
        <v>31</v>
      </c>
      <c r="D12486" s="3" t="s">
        <v>32</v>
      </c>
      <c r="E12486" s="4" t="s">
        <v>22</v>
      </c>
      <c r="F12486" s="4" t="s">
        <v>63025</v>
      </c>
      <c r="G12486" s="4" t="s">
        <v>63026</v>
      </c>
      <c r="H12486" s="3" t="s">
        <v>60159</v>
      </c>
      <c r="I12486" s="3" t="s">
        <v>63027</v>
      </c>
      <c r="J12486" s="3" t="s">
        <v>63031</v>
      </c>
      <c r="K12486" s="3" t="s">
        <v>63032</v>
      </c>
      <c r="L12486" s="3" t="s">
        <v>63033</v>
      </c>
      <c r="M12486" s="4"/>
      <c r="N12486" s="3" t="s">
        <v>37</v>
      </c>
      <c r="O12486" s="3" t="s">
        <v>52</v>
      </c>
      <c r="P12486" s="5">
        <v>20</v>
      </c>
      <c r="Q12486" s="5">
        <v>422</v>
      </c>
      <c r="R12486" s="5">
        <v>19</v>
      </c>
      <c r="S12486" s="5">
        <v>398</v>
      </c>
    </row>
    <row r="12487" spans="1:19" ht="42" x14ac:dyDescent="0.15">
      <c r="A12487" s="2">
        <f>HYPERLINK("https://open-school.uspishnemisto.com.ua/school/610635/", 610635)</f>
        <v>610635</v>
      </c>
      <c r="B12487" s="3" t="s">
        <v>63034</v>
      </c>
      <c r="C12487" s="3" t="s">
        <v>244</v>
      </c>
      <c r="D12487" s="3" t="s">
        <v>32</v>
      </c>
      <c r="E12487" s="4" t="s">
        <v>22</v>
      </c>
      <c r="F12487" s="4" t="s">
        <v>63025</v>
      </c>
      <c r="G12487" s="4" t="s">
        <v>63026</v>
      </c>
      <c r="H12487" s="3" t="s">
        <v>60159</v>
      </c>
      <c r="I12487" s="3" t="s">
        <v>63027</v>
      </c>
      <c r="J12487" s="3" t="s">
        <v>3752</v>
      </c>
      <c r="K12487" s="3" t="s">
        <v>63035</v>
      </c>
      <c r="L12487" s="3"/>
      <c r="M12487" s="4"/>
      <c r="N12487" s="3" t="s">
        <v>37</v>
      </c>
      <c r="O12487" s="3" t="s">
        <v>237</v>
      </c>
      <c r="P12487" s="5">
        <v>11</v>
      </c>
      <c r="Q12487" s="5">
        <v>234</v>
      </c>
      <c r="R12487" s="5">
        <v>11</v>
      </c>
      <c r="S12487" s="5">
        <v>232</v>
      </c>
    </row>
    <row r="12488" spans="1:19" ht="56" x14ac:dyDescent="0.15">
      <c r="A12488" s="2">
        <f>HYPERLINK("https://open-school.uspishnemisto.com.ua/school/610636/", 610636)</f>
        <v>610636</v>
      </c>
      <c r="B12488" s="3" t="s">
        <v>63036</v>
      </c>
      <c r="C12488" s="3" t="s">
        <v>54</v>
      </c>
      <c r="D12488" s="3" t="s">
        <v>32</v>
      </c>
      <c r="E12488" s="4" t="s">
        <v>22</v>
      </c>
      <c r="F12488" s="4" t="s">
        <v>63025</v>
      </c>
      <c r="G12488" s="4" t="s">
        <v>63026</v>
      </c>
      <c r="H12488" s="3" t="s">
        <v>60159</v>
      </c>
      <c r="I12488" s="3" t="s">
        <v>63027</v>
      </c>
      <c r="J12488" s="3" t="s">
        <v>63037</v>
      </c>
      <c r="K12488" s="3" t="s">
        <v>63038</v>
      </c>
      <c r="L12488" s="3"/>
      <c r="M12488" s="4" t="s">
        <v>63039</v>
      </c>
      <c r="N12488" s="3" t="s">
        <v>37</v>
      </c>
      <c r="O12488" s="3" t="s">
        <v>46</v>
      </c>
      <c r="P12488" s="5">
        <v>12</v>
      </c>
      <c r="Q12488" s="5">
        <v>258</v>
      </c>
      <c r="R12488" s="5">
        <v>12</v>
      </c>
      <c r="S12488" s="5">
        <v>249</v>
      </c>
    </row>
    <row r="12489" spans="1:19" ht="28" x14ac:dyDescent="0.15">
      <c r="A12489" s="2">
        <f>HYPERLINK("https://open-school.uspishnemisto.com.ua/school/610637/", 610637)</f>
        <v>610637</v>
      </c>
      <c r="B12489" s="3" t="s">
        <v>63040</v>
      </c>
      <c r="C12489" s="3" t="s">
        <v>181</v>
      </c>
      <c r="D12489" s="3" t="s">
        <v>32</v>
      </c>
      <c r="E12489" s="4" t="s">
        <v>22</v>
      </c>
      <c r="F12489" s="4" t="s">
        <v>63025</v>
      </c>
      <c r="G12489" s="4" t="s">
        <v>63026</v>
      </c>
      <c r="H12489" s="3" t="s">
        <v>60159</v>
      </c>
      <c r="I12489" s="3" t="s">
        <v>63027</v>
      </c>
      <c r="J12489" s="3" t="s">
        <v>63041</v>
      </c>
      <c r="K12489" s="3" t="s">
        <v>63042</v>
      </c>
      <c r="L12489" s="3"/>
      <c r="M12489" s="4" t="s">
        <v>63043</v>
      </c>
      <c r="N12489" s="3" t="s">
        <v>37</v>
      </c>
      <c r="O12489" s="3"/>
      <c r="P12489" s="5">
        <v>21</v>
      </c>
      <c r="Q12489" s="5">
        <v>125</v>
      </c>
      <c r="R12489" s="5">
        <v>20</v>
      </c>
      <c r="S12489" s="5">
        <v>108</v>
      </c>
    </row>
    <row r="12490" spans="1:19" ht="42" x14ac:dyDescent="0.15">
      <c r="A12490" s="2">
        <f>HYPERLINK("https://open-school.uspishnemisto.com.ua/school/610638/", 610638)</f>
        <v>610638</v>
      </c>
      <c r="B12490" s="3" t="s">
        <v>63044</v>
      </c>
      <c r="C12490" s="3" t="s">
        <v>54</v>
      </c>
      <c r="D12490" s="3" t="s">
        <v>175</v>
      </c>
      <c r="E12490" s="4" t="s">
        <v>22</v>
      </c>
      <c r="F12490" s="4" t="s">
        <v>63045</v>
      </c>
      <c r="G12490" s="4" t="s">
        <v>63046</v>
      </c>
      <c r="H12490" s="3" t="s">
        <v>60159</v>
      </c>
      <c r="I12490" s="3" t="s">
        <v>63047</v>
      </c>
      <c r="J12490" s="3" t="s">
        <v>6666</v>
      </c>
      <c r="K12490" s="3" t="s">
        <v>63048</v>
      </c>
      <c r="L12490" s="3"/>
      <c r="M12490" s="4"/>
      <c r="N12490" s="3" t="s">
        <v>37</v>
      </c>
      <c r="O12490" s="3" t="s">
        <v>52</v>
      </c>
      <c r="P12490" s="5">
        <v>3</v>
      </c>
      <c r="Q12490" s="5">
        <v>32</v>
      </c>
      <c r="R12490" s="5">
        <v>4</v>
      </c>
      <c r="S12490" s="5">
        <v>37</v>
      </c>
    </row>
    <row r="12491" spans="1:19" ht="42" x14ac:dyDescent="0.15">
      <c r="A12491" s="2">
        <f>HYPERLINK("https://open-school.uspishnemisto.com.ua/school/610639/", 610639)</f>
        <v>610639</v>
      </c>
      <c r="B12491" s="3" t="s">
        <v>63049</v>
      </c>
      <c r="C12491" s="3" t="s">
        <v>31</v>
      </c>
      <c r="D12491" s="3" t="s">
        <v>32</v>
      </c>
      <c r="E12491" s="4" t="s">
        <v>22</v>
      </c>
      <c r="F12491" s="4" t="s">
        <v>63050</v>
      </c>
      <c r="G12491" s="4" t="s">
        <v>63051</v>
      </c>
      <c r="H12491" s="3" t="s">
        <v>60159</v>
      </c>
      <c r="I12491" s="3" t="s">
        <v>11543</v>
      </c>
      <c r="J12491" s="3" t="s">
        <v>63052</v>
      </c>
      <c r="K12491" s="3" t="s">
        <v>63053</v>
      </c>
      <c r="L12491" s="3"/>
      <c r="M12491" s="4"/>
      <c r="N12491" s="3" t="s">
        <v>37</v>
      </c>
      <c r="O12491" s="3" t="s">
        <v>46</v>
      </c>
      <c r="P12491" s="5">
        <v>11</v>
      </c>
      <c r="Q12491" s="5">
        <v>193</v>
      </c>
      <c r="R12491" s="5">
        <v>11</v>
      </c>
      <c r="S12491" s="5">
        <v>182</v>
      </c>
    </row>
    <row r="12492" spans="1:19" ht="28" x14ac:dyDescent="0.15">
      <c r="A12492" s="2">
        <f>HYPERLINK("https://open-school.uspishnemisto.com.ua/school/610640/", 610640)</f>
        <v>610640</v>
      </c>
      <c r="B12492" s="3" t="s">
        <v>63054</v>
      </c>
      <c r="C12492" s="3" t="s">
        <v>31</v>
      </c>
      <c r="D12492" s="3" t="s">
        <v>32</v>
      </c>
      <c r="E12492" s="4" t="s">
        <v>22</v>
      </c>
      <c r="F12492" s="4" t="s">
        <v>63055</v>
      </c>
      <c r="G12492" s="4" t="s">
        <v>63056</v>
      </c>
      <c r="H12492" s="3" t="s">
        <v>60159</v>
      </c>
      <c r="I12492" s="3" t="s">
        <v>2377</v>
      </c>
      <c r="J12492" s="3" t="s">
        <v>63057</v>
      </c>
      <c r="K12492" s="3" t="s">
        <v>63058</v>
      </c>
      <c r="L12492" s="3" t="s">
        <v>63059</v>
      </c>
      <c r="M12492" s="4"/>
      <c r="N12492" s="3" t="s">
        <v>37</v>
      </c>
      <c r="O12492" s="3" t="s">
        <v>46</v>
      </c>
      <c r="P12492" s="5">
        <v>26</v>
      </c>
      <c r="Q12492" s="5">
        <v>505</v>
      </c>
      <c r="R12492" s="5">
        <v>21</v>
      </c>
      <c r="S12492" s="5">
        <v>461</v>
      </c>
    </row>
    <row r="12493" spans="1:19" ht="28" x14ac:dyDescent="0.15">
      <c r="A12493" s="2">
        <f>HYPERLINK("https://open-school.uspishnemisto.com.ua/school/610641/", 610641)</f>
        <v>610641</v>
      </c>
      <c r="B12493" s="3" t="s">
        <v>63060</v>
      </c>
      <c r="C12493" s="3" t="s">
        <v>54</v>
      </c>
      <c r="D12493" s="3" t="s">
        <v>60</v>
      </c>
      <c r="E12493" s="4" t="s">
        <v>22</v>
      </c>
      <c r="F12493" s="4" t="s">
        <v>63061</v>
      </c>
      <c r="G12493" s="4" t="s">
        <v>63062</v>
      </c>
      <c r="H12493" s="3" t="s">
        <v>60159</v>
      </c>
      <c r="I12493" s="3" t="s">
        <v>43273</v>
      </c>
      <c r="J12493" s="3"/>
      <c r="K12493" s="3" t="s">
        <v>63063</v>
      </c>
      <c r="L12493" s="3"/>
      <c r="M12493" s="4"/>
      <c r="N12493" s="3" t="s">
        <v>37</v>
      </c>
      <c r="O12493" s="3" t="s">
        <v>52</v>
      </c>
      <c r="P12493" s="5">
        <v>0</v>
      </c>
      <c r="Q12493" s="5">
        <v>0</v>
      </c>
      <c r="R12493" s="5">
        <v>2</v>
      </c>
      <c r="S12493" s="5">
        <v>16</v>
      </c>
    </row>
    <row r="12494" spans="1:19" ht="28" x14ac:dyDescent="0.15">
      <c r="A12494" s="2">
        <f>HYPERLINK("https://open-school.uspishnemisto.com.ua/school/610642/", 610642)</f>
        <v>610642</v>
      </c>
      <c r="B12494" s="3" t="s">
        <v>63064</v>
      </c>
      <c r="C12494" s="3" t="s">
        <v>31</v>
      </c>
      <c r="D12494" s="3" t="s">
        <v>60</v>
      </c>
      <c r="E12494" s="4" t="s">
        <v>22</v>
      </c>
      <c r="F12494" s="4" t="s">
        <v>63061</v>
      </c>
      <c r="G12494" s="4" t="s">
        <v>63065</v>
      </c>
      <c r="H12494" s="3" t="s">
        <v>60159</v>
      </c>
      <c r="I12494" s="3" t="s">
        <v>63066</v>
      </c>
      <c r="J12494" s="3" t="s">
        <v>63067</v>
      </c>
      <c r="K12494" s="3" t="s">
        <v>63068</v>
      </c>
      <c r="L12494" s="3"/>
      <c r="M12494" s="4"/>
      <c r="N12494" s="3" t="s">
        <v>37</v>
      </c>
      <c r="O12494" s="3" t="s">
        <v>52</v>
      </c>
      <c r="P12494" s="5">
        <v>0</v>
      </c>
      <c r="Q12494" s="5">
        <v>0</v>
      </c>
      <c r="R12494" s="5">
        <v>3</v>
      </c>
      <c r="S12494" s="5">
        <v>27</v>
      </c>
    </row>
    <row r="12495" spans="1:19" ht="28" x14ac:dyDescent="0.15">
      <c r="A12495" s="2">
        <f>HYPERLINK("https://open-school.uspishnemisto.com.ua/school/610643/", 610643)</f>
        <v>610643</v>
      </c>
      <c r="B12495" s="3" t="s">
        <v>63069</v>
      </c>
      <c r="C12495" s="3" t="s">
        <v>31</v>
      </c>
      <c r="D12495" s="3" t="s">
        <v>60</v>
      </c>
      <c r="E12495" s="4" t="s">
        <v>22</v>
      </c>
      <c r="F12495" s="4" t="s">
        <v>63055</v>
      </c>
      <c r="G12495" s="4" t="s">
        <v>63070</v>
      </c>
      <c r="H12495" s="3" t="s">
        <v>60159</v>
      </c>
      <c r="I12495" s="3" t="s">
        <v>63071</v>
      </c>
      <c r="J12495" s="3" t="s">
        <v>39196</v>
      </c>
      <c r="K12495" s="3" t="s">
        <v>63072</v>
      </c>
      <c r="L12495" s="3"/>
      <c r="M12495" s="4"/>
      <c r="N12495" s="3" t="s">
        <v>37</v>
      </c>
      <c r="O12495" s="3" t="s">
        <v>52</v>
      </c>
      <c r="P12495" s="5">
        <v>0</v>
      </c>
      <c r="Q12495" s="5">
        <v>0</v>
      </c>
      <c r="R12495" s="5">
        <v>1</v>
      </c>
      <c r="S12495" s="5">
        <v>10</v>
      </c>
    </row>
    <row r="12496" spans="1:19" ht="28" x14ac:dyDescent="0.15">
      <c r="A12496" s="2">
        <f>HYPERLINK("https://open-school.uspishnemisto.com.ua/school/610644/", 610644)</f>
        <v>610644</v>
      </c>
      <c r="B12496" s="3" t="s">
        <v>63073</v>
      </c>
      <c r="C12496" s="3" t="s">
        <v>31</v>
      </c>
      <c r="D12496" s="3" t="s">
        <v>32</v>
      </c>
      <c r="E12496" s="4" t="s">
        <v>22</v>
      </c>
      <c r="F12496" s="4" t="s">
        <v>63074</v>
      </c>
      <c r="G12496" s="4" t="s">
        <v>63075</v>
      </c>
      <c r="H12496" s="3" t="s">
        <v>60159</v>
      </c>
      <c r="I12496" s="3" t="s">
        <v>63076</v>
      </c>
      <c r="J12496" s="3" t="s">
        <v>27802</v>
      </c>
      <c r="K12496" s="3" t="s">
        <v>63077</v>
      </c>
      <c r="L12496" s="3"/>
      <c r="M12496" s="4"/>
      <c r="N12496" s="3" t="s">
        <v>37</v>
      </c>
      <c r="O12496" s="3" t="s">
        <v>618</v>
      </c>
      <c r="P12496" s="5">
        <v>3</v>
      </c>
      <c r="Q12496" s="5">
        <v>42</v>
      </c>
      <c r="R12496" s="5">
        <v>4</v>
      </c>
      <c r="S12496" s="5">
        <v>42</v>
      </c>
    </row>
    <row r="12497" spans="1:19" ht="28" x14ac:dyDescent="0.15">
      <c r="A12497" s="2">
        <f>HYPERLINK("https://open-school.uspishnemisto.com.ua/school/610645/", 610645)</f>
        <v>610645</v>
      </c>
      <c r="B12497" s="3" t="s">
        <v>63078</v>
      </c>
      <c r="C12497" s="3" t="s">
        <v>31</v>
      </c>
      <c r="D12497" s="3" t="s">
        <v>175</v>
      </c>
      <c r="E12497" s="4" t="s">
        <v>22</v>
      </c>
      <c r="F12497" s="4" t="s">
        <v>63079</v>
      </c>
      <c r="G12497" s="4" t="s">
        <v>63080</v>
      </c>
      <c r="H12497" s="3" t="s">
        <v>60159</v>
      </c>
      <c r="I12497" s="3" t="s">
        <v>63081</v>
      </c>
      <c r="J12497" s="3" t="s">
        <v>20248</v>
      </c>
      <c r="K12497" s="3" t="s">
        <v>63082</v>
      </c>
      <c r="L12497" s="3"/>
      <c r="M12497" s="4"/>
      <c r="N12497" s="3" t="s">
        <v>37</v>
      </c>
      <c r="O12497" s="3" t="s">
        <v>618</v>
      </c>
      <c r="P12497" s="5">
        <v>7</v>
      </c>
      <c r="Q12497" s="5">
        <v>46</v>
      </c>
      <c r="R12497" s="5">
        <v>8</v>
      </c>
      <c r="S12497" s="5">
        <v>48</v>
      </c>
    </row>
    <row r="12498" spans="1:19" ht="28" x14ac:dyDescent="0.15">
      <c r="A12498" s="2">
        <f>HYPERLINK("https://open-school.uspishnemisto.com.ua/school/610646/", 610646)</f>
        <v>610646</v>
      </c>
      <c r="B12498" s="3" t="s">
        <v>63083</v>
      </c>
      <c r="C12498" s="3" t="s">
        <v>31</v>
      </c>
      <c r="D12498" s="3" t="s">
        <v>32</v>
      </c>
      <c r="E12498" s="4" t="s">
        <v>22</v>
      </c>
      <c r="F12498" s="4" t="s">
        <v>63084</v>
      </c>
      <c r="G12498" s="4" t="s">
        <v>63085</v>
      </c>
      <c r="H12498" s="3" t="s">
        <v>60159</v>
      </c>
      <c r="I12498" s="3" t="s">
        <v>63086</v>
      </c>
      <c r="J12498" s="3" t="s">
        <v>63087</v>
      </c>
      <c r="K12498" s="3" t="s">
        <v>63088</v>
      </c>
      <c r="L12498" s="3"/>
      <c r="M12498" s="4"/>
      <c r="N12498" s="3" t="s">
        <v>37</v>
      </c>
      <c r="O12498" s="3" t="s">
        <v>46</v>
      </c>
      <c r="P12498" s="5">
        <v>10</v>
      </c>
      <c r="Q12498" s="5">
        <v>133</v>
      </c>
      <c r="R12498" s="5">
        <v>9</v>
      </c>
      <c r="S12498" s="5">
        <v>128</v>
      </c>
    </row>
    <row r="12499" spans="1:19" ht="28" x14ac:dyDescent="0.15">
      <c r="A12499" s="2">
        <f>HYPERLINK("https://open-school.uspishnemisto.com.ua/school/610647/", 610647)</f>
        <v>610647</v>
      </c>
      <c r="B12499" s="3" t="s">
        <v>63089</v>
      </c>
      <c r="C12499" s="3" t="s">
        <v>31</v>
      </c>
      <c r="D12499" s="3" t="s">
        <v>175</v>
      </c>
      <c r="E12499" s="4" t="s">
        <v>22</v>
      </c>
      <c r="F12499" s="4" t="s">
        <v>63090</v>
      </c>
      <c r="G12499" s="4" t="s">
        <v>63091</v>
      </c>
      <c r="H12499" s="3" t="s">
        <v>60159</v>
      </c>
      <c r="I12499" s="3" t="s">
        <v>63092</v>
      </c>
      <c r="J12499" s="3" t="s">
        <v>7166</v>
      </c>
      <c r="K12499" s="3" t="s">
        <v>63093</v>
      </c>
      <c r="L12499" s="3"/>
      <c r="M12499" s="4"/>
      <c r="N12499" s="3" t="s">
        <v>37</v>
      </c>
      <c r="O12499" s="3" t="s">
        <v>46</v>
      </c>
      <c r="P12499" s="5">
        <v>9</v>
      </c>
      <c r="Q12499" s="5">
        <v>59</v>
      </c>
      <c r="R12499" s="5">
        <v>8</v>
      </c>
      <c r="S12499" s="5">
        <v>57</v>
      </c>
    </row>
    <row r="12500" spans="1:19" ht="28" x14ac:dyDescent="0.15">
      <c r="A12500" s="2">
        <f>HYPERLINK("https://open-school.uspishnemisto.com.ua/school/610648/", 610648)</f>
        <v>610648</v>
      </c>
      <c r="B12500" s="3" t="s">
        <v>63094</v>
      </c>
      <c r="C12500" s="3" t="s">
        <v>31</v>
      </c>
      <c r="D12500" s="3" t="s">
        <v>175</v>
      </c>
      <c r="E12500" s="4" t="s">
        <v>22</v>
      </c>
      <c r="F12500" s="4" t="s">
        <v>63095</v>
      </c>
      <c r="G12500" s="4" t="s">
        <v>63096</v>
      </c>
      <c r="H12500" s="3" t="s">
        <v>60159</v>
      </c>
      <c r="I12500" s="3" t="s">
        <v>63097</v>
      </c>
      <c r="J12500" s="3" t="s">
        <v>63098</v>
      </c>
      <c r="K12500" s="3" t="s">
        <v>63099</v>
      </c>
      <c r="L12500" s="3"/>
      <c r="M12500" s="4"/>
      <c r="N12500" s="3" t="s">
        <v>37</v>
      </c>
      <c r="O12500" s="3" t="s">
        <v>46</v>
      </c>
      <c r="P12500" s="5">
        <v>9</v>
      </c>
      <c r="Q12500" s="5">
        <v>106</v>
      </c>
      <c r="R12500" s="5">
        <v>9</v>
      </c>
      <c r="S12500" s="5">
        <v>109</v>
      </c>
    </row>
    <row r="12501" spans="1:19" ht="56" x14ac:dyDescent="0.15">
      <c r="A12501" s="2">
        <f>HYPERLINK("https://open-school.uspishnemisto.com.ua/school/610649/", 610649)</f>
        <v>610649</v>
      </c>
      <c r="B12501" s="3" t="s">
        <v>63100</v>
      </c>
      <c r="C12501" s="3" t="s">
        <v>54</v>
      </c>
      <c r="D12501" s="3" t="s">
        <v>60</v>
      </c>
      <c r="E12501" s="4" t="s">
        <v>22</v>
      </c>
      <c r="F12501" s="4" t="s">
        <v>63095</v>
      </c>
      <c r="G12501" s="4" t="s">
        <v>63101</v>
      </c>
      <c r="H12501" s="3" t="s">
        <v>60159</v>
      </c>
      <c r="I12501" s="3" t="s">
        <v>63102</v>
      </c>
      <c r="J12501" s="3" t="s">
        <v>63103</v>
      </c>
      <c r="K12501" s="3" t="s">
        <v>63104</v>
      </c>
      <c r="L12501" s="3"/>
      <c r="M12501" s="4"/>
      <c r="N12501" s="3" t="s">
        <v>37</v>
      </c>
      <c r="O12501" s="3" t="s">
        <v>52</v>
      </c>
      <c r="P12501" s="5">
        <v>0</v>
      </c>
      <c r="Q12501" s="5">
        <v>8</v>
      </c>
      <c r="R12501" s="5">
        <v>1</v>
      </c>
      <c r="S12501" s="5">
        <v>11</v>
      </c>
    </row>
    <row r="12502" spans="1:19" ht="42" x14ac:dyDescent="0.15">
      <c r="A12502" s="2">
        <f>HYPERLINK("https://open-school.uspishnemisto.com.ua/school/610650/", 610650)</f>
        <v>610650</v>
      </c>
      <c r="B12502" s="3" t="s">
        <v>63105</v>
      </c>
      <c r="C12502" s="3" t="s">
        <v>31</v>
      </c>
      <c r="D12502" s="3" t="s">
        <v>175</v>
      </c>
      <c r="E12502" s="4" t="s">
        <v>22</v>
      </c>
      <c r="F12502" s="4" t="s">
        <v>63106</v>
      </c>
      <c r="G12502" s="4" t="s">
        <v>63107</v>
      </c>
      <c r="H12502" s="3" t="s">
        <v>60159</v>
      </c>
      <c r="I12502" s="3" t="s">
        <v>27834</v>
      </c>
      <c r="J12502" s="3" t="s">
        <v>466</v>
      </c>
      <c r="K12502" s="3" t="s">
        <v>63108</v>
      </c>
      <c r="L12502" s="3"/>
      <c r="M12502" s="4"/>
      <c r="N12502" s="3" t="s">
        <v>37</v>
      </c>
      <c r="O12502" s="3" t="s">
        <v>2740</v>
      </c>
      <c r="P12502" s="5">
        <v>9</v>
      </c>
      <c r="Q12502" s="5">
        <v>65</v>
      </c>
      <c r="R12502" s="5">
        <v>8</v>
      </c>
      <c r="S12502" s="5">
        <v>63</v>
      </c>
    </row>
    <row r="12503" spans="1:19" ht="28" x14ac:dyDescent="0.15">
      <c r="A12503" s="2">
        <f>HYPERLINK("https://open-school.uspishnemisto.com.ua/school/610651/", 610651)</f>
        <v>610651</v>
      </c>
      <c r="B12503" s="3" t="s">
        <v>63109</v>
      </c>
      <c r="C12503" s="3" t="s">
        <v>31</v>
      </c>
      <c r="D12503" s="3" t="s">
        <v>32</v>
      </c>
      <c r="E12503" s="4" t="s">
        <v>22</v>
      </c>
      <c r="F12503" s="4" t="s">
        <v>63110</v>
      </c>
      <c r="G12503" s="4" t="s">
        <v>63111</v>
      </c>
      <c r="H12503" s="3" t="s">
        <v>60159</v>
      </c>
      <c r="I12503" s="3" t="s">
        <v>41668</v>
      </c>
      <c r="J12503" s="3" t="s">
        <v>718</v>
      </c>
      <c r="K12503" s="3" t="s">
        <v>63112</v>
      </c>
      <c r="L12503" s="3"/>
      <c r="M12503" s="4"/>
      <c r="N12503" s="3" t="s">
        <v>37</v>
      </c>
      <c r="O12503" s="3" t="s">
        <v>46</v>
      </c>
      <c r="P12503" s="5">
        <v>10</v>
      </c>
      <c r="Q12503" s="5">
        <v>140</v>
      </c>
      <c r="R12503" s="5">
        <v>10</v>
      </c>
      <c r="S12503" s="5">
        <v>107</v>
      </c>
    </row>
    <row r="12504" spans="1:19" ht="28" x14ac:dyDescent="0.15">
      <c r="A12504" s="2">
        <f>HYPERLINK("https://open-school.uspishnemisto.com.ua/school/610652/", 610652)</f>
        <v>610652</v>
      </c>
      <c r="B12504" s="3" t="s">
        <v>63113</v>
      </c>
      <c r="C12504" s="3" t="s">
        <v>54</v>
      </c>
      <c r="D12504" s="3" t="s">
        <v>60</v>
      </c>
      <c r="E12504" s="4" t="s">
        <v>22</v>
      </c>
      <c r="F12504" s="4" t="s">
        <v>63114</v>
      </c>
      <c r="G12504" s="4" t="s">
        <v>63115</v>
      </c>
      <c r="H12504" s="3" t="s">
        <v>60159</v>
      </c>
      <c r="I12504" s="3" t="s">
        <v>63116</v>
      </c>
      <c r="J12504" s="3" t="s">
        <v>2091</v>
      </c>
      <c r="K12504" s="3" t="s">
        <v>63117</v>
      </c>
      <c r="L12504" s="3"/>
      <c r="M12504" s="4"/>
      <c r="N12504" s="3" t="s">
        <v>37</v>
      </c>
      <c r="O12504" s="3" t="s">
        <v>618</v>
      </c>
      <c r="P12504" s="5">
        <v>0</v>
      </c>
      <c r="Q12504" s="5">
        <v>8</v>
      </c>
      <c r="R12504" s="5">
        <v>1</v>
      </c>
      <c r="S12504" s="5">
        <v>26</v>
      </c>
    </row>
    <row r="12505" spans="1:19" ht="42" x14ac:dyDescent="0.15">
      <c r="A12505" s="2">
        <f>HYPERLINK("https://open-school.uspishnemisto.com.ua/school/610653/", 610653)</f>
        <v>610653</v>
      </c>
      <c r="B12505" s="3" t="s">
        <v>63118</v>
      </c>
      <c r="C12505" s="3" t="s">
        <v>54</v>
      </c>
      <c r="D12505" s="3" t="s">
        <v>60</v>
      </c>
      <c r="E12505" s="4" t="s">
        <v>22</v>
      </c>
      <c r="F12505" s="4" t="s">
        <v>63119</v>
      </c>
      <c r="G12505" s="4" t="s">
        <v>63120</v>
      </c>
      <c r="H12505" s="3" t="s">
        <v>60159</v>
      </c>
      <c r="I12505" s="3" t="s">
        <v>12070</v>
      </c>
      <c r="J12505" s="3" t="s">
        <v>3244</v>
      </c>
      <c r="K12505" s="3"/>
      <c r="L12505" s="3"/>
      <c r="M12505" s="4"/>
      <c r="N12505" s="3" t="s">
        <v>37</v>
      </c>
      <c r="O12505" s="3" t="s">
        <v>618</v>
      </c>
      <c r="P12505" s="5">
        <v>0</v>
      </c>
      <c r="Q12505" s="5">
        <v>4</v>
      </c>
      <c r="R12505" s="5">
        <v>2</v>
      </c>
      <c r="S12505" s="5">
        <v>21</v>
      </c>
    </row>
    <row r="12506" spans="1:19" ht="28" x14ac:dyDescent="0.15">
      <c r="A12506" s="2">
        <f>HYPERLINK("https://open-school.uspishnemisto.com.ua/school/610654/", 610654)</f>
        <v>610654</v>
      </c>
      <c r="B12506" s="3" t="s">
        <v>63121</v>
      </c>
      <c r="C12506" s="3" t="s">
        <v>31</v>
      </c>
      <c r="D12506" s="3" t="s">
        <v>175</v>
      </c>
      <c r="E12506" s="4" t="s">
        <v>22</v>
      </c>
      <c r="F12506" s="4" t="s">
        <v>63122</v>
      </c>
      <c r="G12506" s="4" t="s">
        <v>63123</v>
      </c>
      <c r="H12506" s="3" t="s">
        <v>60159</v>
      </c>
      <c r="I12506" s="3" t="s">
        <v>63124</v>
      </c>
      <c r="J12506" s="3" t="s">
        <v>447</v>
      </c>
      <c r="K12506" s="3" t="s">
        <v>63125</v>
      </c>
      <c r="L12506" s="3"/>
      <c r="M12506" s="4"/>
      <c r="N12506" s="3" t="s">
        <v>37</v>
      </c>
      <c r="O12506" s="3" t="s">
        <v>46</v>
      </c>
      <c r="P12506" s="5">
        <v>3</v>
      </c>
      <c r="Q12506" s="5">
        <v>32</v>
      </c>
      <c r="R12506" s="5">
        <v>3</v>
      </c>
      <c r="S12506" s="5">
        <v>28</v>
      </c>
    </row>
    <row r="12507" spans="1:19" ht="28" x14ac:dyDescent="0.15">
      <c r="A12507" s="2">
        <f>HYPERLINK("https://open-school.uspishnemisto.com.ua/school/610655/", 610655)</f>
        <v>610655</v>
      </c>
      <c r="B12507" s="3" t="s">
        <v>63126</v>
      </c>
      <c r="C12507" s="3" t="s">
        <v>31</v>
      </c>
      <c r="D12507" s="3" t="s">
        <v>32</v>
      </c>
      <c r="E12507" s="4" t="s">
        <v>22</v>
      </c>
      <c r="F12507" s="4" t="s">
        <v>63127</v>
      </c>
      <c r="G12507" s="4" t="s">
        <v>63128</v>
      </c>
      <c r="H12507" s="3" t="s">
        <v>60159</v>
      </c>
      <c r="I12507" s="3" t="s">
        <v>63129</v>
      </c>
      <c r="J12507" s="3" t="s">
        <v>63130</v>
      </c>
      <c r="K12507" s="3" t="s">
        <v>63131</v>
      </c>
      <c r="L12507" s="3"/>
      <c r="M12507" s="4"/>
      <c r="N12507" s="3" t="s">
        <v>37</v>
      </c>
      <c r="O12507" s="3" t="s">
        <v>52</v>
      </c>
      <c r="P12507" s="5">
        <v>12</v>
      </c>
      <c r="Q12507" s="5">
        <v>273</v>
      </c>
      <c r="R12507" s="5">
        <v>13</v>
      </c>
      <c r="S12507" s="5">
        <v>265</v>
      </c>
    </row>
    <row r="12508" spans="1:19" ht="28" x14ac:dyDescent="0.15">
      <c r="A12508" s="2">
        <f>HYPERLINK("https://open-school.uspishnemisto.com.ua/school/610656/", 610656)</f>
        <v>610656</v>
      </c>
      <c r="B12508" s="3" t="s">
        <v>63132</v>
      </c>
      <c r="C12508" s="3" t="s">
        <v>54</v>
      </c>
      <c r="D12508" s="3" t="s">
        <v>60</v>
      </c>
      <c r="E12508" s="4" t="s">
        <v>22</v>
      </c>
      <c r="F12508" s="4" t="s">
        <v>63133</v>
      </c>
      <c r="G12508" s="4" t="s">
        <v>63134</v>
      </c>
      <c r="H12508" s="3" t="s">
        <v>60159</v>
      </c>
      <c r="I12508" s="3" t="s">
        <v>63135</v>
      </c>
      <c r="J12508" s="3" t="s">
        <v>63136</v>
      </c>
      <c r="K12508" s="3" t="s">
        <v>63137</v>
      </c>
      <c r="L12508" s="3"/>
      <c r="M12508" s="4"/>
      <c r="N12508" s="3" t="s">
        <v>37</v>
      </c>
      <c r="O12508" s="3" t="s">
        <v>618</v>
      </c>
      <c r="P12508" s="5">
        <v>2</v>
      </c>
      <c r="Q12508" s="5">
        <v>13</v>
      </c>
      <c r="R12508" s="5">
        <v>2</v>
      </c>
      <c r="S12508" s="5">
        <v>14</v>
      </c>
    </row>
    <row r="12509" spans="1:19" ht="28" x14ac:dyDescent="0.15">
      <c r="A12509" s="2">
        <f>HYPERLINK("https://open-school.uspishnemisto.com.ua/school/610657/", 610657)</f>
        <v>610657</v>
      </c>
      <c r="B12509" s="3" t="s">
        <v>63138</v>
      </c>
      <c r="C12509" s="3" t="s">
        <v>31</v>
      </c>
      <c r="D12509" s="3" t="s">
        <v>175</v>
      </c>
      <c r="E12509" s="4" t="s">
        <v>22</v>
      </c>
      <c r="F12509" s="4" t="s">
        <v>63139</v>
      </c>
      <c r="G12509" s="4" t="s">
        <v>63140</v>
      </c>
      <c r="H12509" s="3" t="s">
        <v>60159</v>
      </c>
      <c r="I12509" s="3" t="s">
        <v>21333</v>
      </c>
      <c r="J12509" s="3" t="s">
        <v>63141</v>
      </c>
      <c r="K12509" s="3" t="s">
        <v>63142</v>
      </c>
      <c r="L12509" s="3"/>
      <c r="M12509" s="4"/>
      <c r="N12509" s="3" t="s">
        <v>37</v>
      </c>
      <c r="O12509" s="3" t="s">
        <v>46</v>
      </c>
      <c r="P12509" s="5">
        <v>9</v>
      </c>
      <c r="Q12509" s="5">
        <v>88</v>
      </c>
      <c r="R12509" s="5">
        <v>9</v>
      </c>
      <c r="S12509" s="5">
        <v>82</v>
      </c>
    </row>
    <row r="12510" spans="1:19" ht="42" x14ac:dyDescent="0.15">
      <c r="A12510" s="2">
        <f>HYPERLINK("https://open-school.uspishnemisto.com.ua/school/610658/", 610658)</f>
        <v>610658</v>
      </c>
      <c r="B12510" s="3" t="s">
        <v>63143</v>
      </c>
      <c r="C12510" s="3" t="s">
        <v>54</v>
      </c>
      <c r="D12510" s="3" t="s">
        <v>60</v>
      </c>
      <c r="E12510" s="4" t="s">
        <v>22</v>
      </c>
      <c r="F12510" s="4" t="s">
        <v>63144</v>
      </c>
      <c r="G12510" s="4" t="s">
        <v>63145</v>
      </c>
      <c r="H12510" s="3" t="s">
        <v>60159</v>
      </c>
      <c r="I12510" s="3" t="s">
        <v>63146</v>
      </c>
      <c r="J12510" s="3"/>
      <c r="K12510" s="3" t="s">
        <v>63147</v>
      </c>
      <c r="L12510" s="3"/>
      <c r="M12510" s="4"/>
      <c r="N12510" s="3" t="s">
        <v>37</v>
      </c>
      <c r="O12510" s="3" t="s">
        <v>52</v>
      </c>
      <c r="P12510" s="5">
        <v>1</v>
      </c>
      <c r="Q12510" s="5">
        <v>8</v>
      </c>
      <c r="R12510" s="5">
        <v>2</v>
      </c>
      <c r="S12510" s="5">
        <v>13</v>
      </c>
    </row>
    <row r="12511" spans="1:19" ht="28" x14ac:dyDescent="0.15">
      <c r="A12511" s="2">
        <f>HYPERLINK("https://open-school.uspishnemisto.com.ua/school/610659/", 610659)</f>
        <v>610659</v>
      </c>
      <c r="B12511" s="3" t="s">
        <v>63148</v>
      </c>
      <c r="C12511" s="3" t="s">
        <v>31</v>
      </c>
      <c r="D12511" s="3" t="s">
        <v>175</v>
      </c>
      <c r="E12511" s="4" t="s">
        <v>22</v>
      </c>
      <c r="F12511" s="4" t="s">
        <v>63149</v>
      </c>
      <c r="G12511" s="4" t="s">
        <v>63150</v>
      </c>
      <c r="H12511" s="3" t="s">
        <v>60159</v>
      </c>
      <c r="I12511" s="3" t="s">
        <v>16193</v>
      </c>
      <c r="J12511" s="3" t="s">
        <v>63151</v>
      </c>
      <c r="K12511" s="3" t="s">
        <v>63152</v>
      </c>
      <c r="L12511" s="3"/>
      <c r="M12511" s="4"/>
      <c r="N12511" s="3" t="s">
        <v>37</v>
      </c>
      <c r="O12511" s="3" t="s">
        <v>46</v>
      </c>
      <c r="P12511" s="5">
        <v>8</v>
      </c>
      <c r="Q12511" s="5">
        <v>65</v>
      </c>
      <c r="R12511" s="5">
        <v>7</v>
      </c>
      <c r="S12511" s="5">
        <v>58</v>
      </c>
    </row>
    <row r="12512" spans="1:19" ht="42" x14ac:dyDescent="0.15">
      <c r="A12512" s="2">
        <f>HYPERLINK("https://open-school.uspishnemisto.com.ua/school/610660/", 610660)</f>
        <v>610660</v>
      </c>
      <c r="B12512" s="3" t="s">
        <v>63153</v>
      </c>
      <c r="C12512" s="3" t="s">
        <v>54</v>
      </c>
      <c r="D12512" s="3" t="s">
        <v>60</v>
      </c>
      <c r="E12512" s="4" t="s">
        <v>22</v>
      </c>
      <c r="F12512" s="4" t="s">
        <v>63149</v>
      </c>
      <c r="G12512" s="4" t="s">
        <v>63154</v>
      </c>
      <c r="H12512" s="3" t="s">
        <v>60159</v>
      </c>
      <c r="I12512" s="3" t="s">
        <v>1883</v>
      </c>
      <c r="J12512" s="3" t="s">
        <v>63155</v>
      </c>
      <c r="K12512" s="3" t="s">
        <v>63156</v>
      </c>
      <c r="L12512" s="3"/>
      <c r="M12512" s="4"/>
      <c r="N12512" s="3" t="s">
        <v>37</v>
      </c>
      <c r="O12512" s="3" t="s">
        <v>46</v>
      </c>
      <c r="P12512" s="5">
        <v>1</v>
      </c>
      <c r="Q12512" s="5">
        <v>8</v>
      </c>
      <c r="R12512" s="5">
        <v>2</v>
      </c>
      <c r="S12512" s="5">
        <v>14</v>
      </c>
    </row>
    <row r="12513" spans="1:19" ht="56" x14ac:dyDescent="0.15">
      <c r="A12513" s="2">
        <f>HYPERLINK("https://open-school.uspishnemisto.com.ua/school/610661/", 610661)</f>
        <v>610661</v>
      </c>
      <c r="B12513" s="3" t="s">
        <v>63157</v>
      </c>
      <c r="C12513" s="3" t="s">
        <v>63158</v>
      </c>
      <c r="D12513" s="3" t="s">
        <v>32</v>
      </c>
      <c r="E12513" s="4" t="s">
        <v>22</v>
      </c>
      <c r="F12513" s="4" t="s">
        <v>63159</v>
      </c>
      <c r="G12513" s="4" t="s">
        <v>63160</v>
      </c>
      <c r="H12513" s="3" t="s">
        <v>60159</v>
      </c>
      <c r="I12513" s="3" t="s">
        <v>63161</v>
      </c>
      <c r="J12513" s="3" t="s">
        <v>63162</v>
      </c>
      <c r="K12513" s="3" t="s">
        <v>63163</v>
      </c>
      <c r="L12513" s="3"/>
      <c r="M12513" s="4" t="s">
        <v>63164</v>
      </c>
      <c r="N12513" s="3" t="s">
        <v>37</v>
      </c>
      <c r="O12513" s="3" t="s">
        <v>237</v>
      </c>
      <c r="P12513" s="5">
        <v>2</v>
      </c>
      <c r="Q12513" s="5">
        <v>43</v>
      </c>
      <c r="R12513" s="5">
        <v>2</v>
      </c>
      <c r="S12513" s="5">
        <v>35</v>
      </c>
    </row>
    <row r="12514" spans="1:19" ht="28" x14ac:dyDescent="0.15">
      <c r="A12514" s="2">
        <f>HYPERLINK("https://open-school.uspishnemisto.com.ua/school/610662/", 610662)</f>
        <v>610662</v>
      </c>
      <c r="B12514" s="3" t="s">
        <v>63165</v>
      </c>
      <c r="C12514" s="3" t="s">
        <v>31</v>
      </c>
      <c r="D12514" s="3" t="s">
        <v>32</v>
      </c>
      <c r="E12514" s="4" t="s">
        <v>22</v>
      </c>
      <c r="F12514" s="4" t="s">
        <v>63166</v>
      </c>
      <c r="G12514" s="4" t="s">
        <v>63167</v>
      </c>
      <c r="H12514" s="3" t="s">
        <v>60159</v>
      </c>
      <c r="I12514" s="3" t="s">
        <v>63168</v>
      </c>
      <c r="J12514" s="3" t="s">
        <v>1348</v>
      </c>
      <c r="K12514" s="3" t="s">
        <v>63169</v>
      </c>
      <c r="L12514" s="3"/>
      <c r="M12514" s="4"/>
      <c r="N12514" s="3" t="s">
        <v>37</v>
      </c>
      <c r="O12514" s="3" t="s">
        <v>46</v>
      </c>
      <c r="P12514" s="5">
        <v>11</v>
      </c>
      <c r="Q12514" s="5">
        <v>135</v>
      </c>
      <c r="R12514" s="5">
        <v>11</v>
      </c>
      <c r="S12514" s="5">
        <v>142</v>
      </c>
    </row>
    <row r="12515" spans="1:19" ht="28" x14ac:dyDescent="0.15">
      <c r="A12515" s="2">
        <f>HYPERLINK("https://open-school.uspishnemisto.com.ua/school/610663/", 610663)</f>
        <v>610663</v>
      </c>
      <c r="B12515" s="3" t="s">
        <v>63170</v>
      </c>
      <c r="C12515" s="3" t="s">
        <v>54</v>
      </c>
      <c r="D12515" s="3" t="s">
        <v>60</v>
      </c>
      <c r="E12515" s="4" t="s">
        <v>22</v>
      </c>
      <c r="F12515" s="4" t="s">
        <v>63166</v>
      </c>
      <c r="G12515" s="4" t="s">
        <v>63171</v>
      </c>
      <c r="H12515" s="3" t="s">
        <v>60159</v>
      </c>
      <c r="I12515" s="3" t="s">
        <v>40246</v>
      </c>
      <c r="J12515" s="3" t="s">
        <v>63172</v>
      </c>
      <c r="K12515" s="3" t="s">
        <v>63173</v>
      </c>
      <c r="L12515" s="3"/>
      <c r="M12515" s="4"/>
      <c r="N12515" s="3" t="s">
        <v>37</v>
      </c>
      <c r="O12515" s="3" t="s">
        <v>46</v>
      </c>
      <c r="P12515" s="5">
        <v>1</v>
      </c>
      <c r="Q12515" s="5">
        <v>13</v>
      </c>
      <c r="R12515" s="5">
        <v>1</v>
      </c>
      <c r="S12515" s="5">
        <v>13</v>
      </c>
    </row>
    <row r="12516" spans="1:19" ht="28" x14ac:dyDescent="0.15">
      <c r="A12516" s="2">
        <f>HYPERLINK("https://open-school.uspishnemisto.com.ua/school/610664/", 610664)</f>
        <v>610664</v>
      </c>
      <c r="B12516" s="3" t="s">
        <v>63174</v>
      </c>
      <c r="C12516" s="3" t="s">
        <v>31</v>
      </c>
      <c r="D12516" s="3" t="s">
        <v>175</v>
      </c>
      <c r="E12516" s="4" t="s">
        <v>22</v>
      </c>
      <c r="F12516" s="4" t="s">
        <v>63175</v>
      </c>
      <c r="G12516" s="4" t="s">
        <v>63176</v>
      </c>
      <c r="H12516" s="3" t="s">
        <v>60159</v>
      </c>
      <c r="I12516" s="3" t="s">
        <v>63177</v>
      </c>
      <c r="J12516" s="3"/>
      <c r="K12516" s="3" t="s">
        <v>63178</v>
      </c>
      <c r="L12516" s="3"/>
      <c r="M12516" s="4"/>
      <c r="N12516" s="3" t="s">
        <v>37</v>
      </c>
      <c r="O12516" s="3" t="s">
        <v>52</v>
      </c>
      <c r="P12516" s="5">
        <v>8</v>
      </c>
      <c r="Q12516" s="5">
        <v>72</v>
      </c>
      <c r="R12516" s="5">
        <v>8</v>
      </c>
      <c r="S12516" s="5">
        <v>71</v>
      </c>
    </row>
    <row r="12517" spans="1:19" ht="28" x14ac:dyDescent="0.15">
      <c r="A12517" s="2">
        <f>HYPERLINK("https://open-school.uspishnemisto.com.ua/school/610665/", 610665)</f>
        <v>610665</v>
      </c>
      <c r="B12517" s="3" t="s">
        <v>63179</v>
      </c>
      <c r="C12517" s="3" t="s">
        <v>31</v>
      </c>
      <c r="D12517" s="3" t="s">
        <v>32</v>
      </c>
      <c r="E12517" s="4" t="s">
        <v>22</v>
      </c>
      <c r="F12517" s="4" t="s">
        <v>63180</v>
      </c>
      <c r="G12517" s="4" t="s">
        <v>63181</v>
      </c>
      <c r="H12517" s="3" t="s">
        <v>60159</v>
      </c>
      <c r="I12517" s="3" t="s">
        <v>63182</v>
      </c>
      <c r="J12517" s="3" t="s">
        <v>63183</v>
      </c>
      <c r="K12517" s="3" t="s">
        <v>63184</v>
      </c>
      <c r="L12517" s="3"/>
      <c r="M12517" s="4"/>
      <c r="N12517" s="3" t="s">
        <v>37</v>
      </c>
      <c r="O12517" s="3" t="s">
        <v>46</v>
      </c>
      <c r="P12517" s="5">
        <v>10</v>
      </c>
      <c r="Q12517" s="5">
        <v>154</v>
      </c>
      <c r="R12517" s="5">
        <v>10</v>
      </c>
      <c r="S12517" s="5">
        <v>155</v>
      </c>
    </row>
    <row r="12518" spans="1:19" ht="28" x14ac:dyDescent="0.15">
      <c r="A12518" s="2">
        <f>HYPERLINK("https://open-school.uspishnemisto.com.ua/school/610666/", 610666)</f>
        <v>610666</v>
      </c>
      <c r="B12518" s="3" t="s">
        <v>63185</v>
      </c>
      <c r="C12518" s="3" t="s">
        <v>31</v>
      </c>
      <c r="D12518" s="3" t="s">
        <v>32</v>
      </c>
      <c r="E12518" s="4" t="s">
        <v>22</v>
      </c>
      <c r="F12518" s="4" t="s">
        <v>63186</v>
      </c>
      <c r="G12518" s="4" t="s">
        <v>63187</v>
      </c>
      <c r="H12518" s="3" t="s">
        <v>60159</v>
      </c>
      <c r="I12518" s="3" t="s">
        <v>883</v>
      </c>
      <c r="J12518" s="3"/>
      <c r="K12518" s="3" t="s">
        <v>63188</v>
      </c>
      <c r="L12518" s="3"/>
      <c r="M12518" s="4"/>
      <c r="N12518" s="3" t="s">
        <v>37</v>
      </c>
      <c r="O12518" s="3" t="s">
        <v>46</v>
      </c>
      <c r="P12518" s="5">
        <v>10</v>
      </c>
      <c r="Q12518" s="5">
        <v>112</v>
      </c>
      <c r="R12518" s="5">
        <v>11</v>
      </c>
      <c r="S12518" s="5">
        <v>123</v>
      </c>
    </row>
    <row r="12519" spans="1:19" ht="28" x14ac:dyDescent="0.15">
      <c r="A12519" s="2">
        <f>HYPERLINK("https://open-school.uspishnemisto.com.ua/school/610667/", 610667)</f>
        <v>610667</v>
      </c>
      <c r="B12519" s="3" t="s">
        <v>63189</v>
      </c>
      <c r="C12519" s="3" t="s">
        <v>31</v>
      </c>
      <c r="D12519" s="3" t="s">
        <v>32</v>
      </c>
      <c r="E12519" s="4" t="s">
        <v>22</v>
      </c>
      <c r="F12519" s="4" t="s">
        <v>63190</v>
      </c>
      <c r="G12519" s="4" t="s">
        <v>63191</v>
      </c>
      <c r="H12519" s="3" t="s">
        <v>60159</v>
      </c>
      <c r="I12519" s="3" t="s">
        <v>63192</v>
      </c>
      <c r="J12519" s="3" t="s">
        <v>20742</v>
      </c>
      <c r="K12519" s="3" t="s">
        <v>63193</v>
      </c>
      <c r="L12519" s="3"/>
      <c r="M12519" s="4"/>
      <c r="N12519" s="3" t="s">
        <v>37</v>
      </c>
      <c r="O12519" s="3" t="s">
        <v>52</v>
      </c>
      <c r="P12519" s="5">
        <v>10</v>
      </c>
      <c r="Q12519" s="5">
        <v>114</v>
      </c>
      <c r="R12519" s="5">
        <v>11</v>
      </c>
      <c r="S12519" s="5">
        <v>113</v>
      </c>
    </row>
    <row r="12520" spans="1:19" ht="42" x14ac:dyDescent="0.15">
      <c r="A12520" s="2">
        <f>HYPERLINK("https://open-school.uspishnemisto.com.ua/school/610668/", 610668)</f>
        <v>610668</v>
      </c>
      <c r="B12520" s="3" t="s">
        <v>63194</v>
      </c>
      <c r="C12520" s="3" t="s">
        <v>54</v>
      </c>
      <c r="D12520" s="3" t="s">
        <v>60</v>
      </c>
      <c r="E12520" s="4" t="s">
        <v>22</v>
      </c>
      <c r="F12520" s="4" t="s">
        <v>63119</v>
      </c>
      <c r="G12520" s="4" t="s">
        <v>63195</v>
      </c>
      <c r="H12520" s="3" t="s">
        <v>60159</v>
      </c>
      <c r="I12520" s="3" t="s">
        <v>63196</v>
      </c>
      <c r="J12520" s="3" t="s">
        <v>63197</v>
      </c>
      <c r="K12520" s="3" t="s">
        <v>63198</v>
      </c>
      <c r="L12520" s="3"/>
      <c r="M12520" s="4"/>
      <c r="N12520" s="3" t="s">
        <v>37</v>
      </c>
      <c r="O12520" s="3" t="s">
        <v>618</v>
      </c>
      <c r="P12520" s="5">
        <v>0</v>
      </c>
      <c r="Q12520" s="5">
        <v>2</v>
      </c>
      <c r="R12520" s="5">
        <v>0</v>
      </c>
      <c r="S12520" s="5">
        <v>13</v>
      </c>
    </row>
    <row r="12521" spans="1:19" ht="42" x14ac:dyDescent="0.15">
      <c r="A12521" s="2">
        <f>HYPERLINK("https://open-school.uspishnemisto.com.ua/school/610669/", 610669)</f>
        <v>610669</v>
      </c>
      <c r="B12521" s="3" t="s">
        <v>63199</v>
      </c>
      <c r="C12521" s="3" t="s">
        <v>31</v>
      </c>
      <c r="D12521" s="3" t="s">
        <v>175</v>
      </c>
      <c r="E12521" s="4" t="s">
        <v>22</v>
      </c>
      <c r="F12521" s="4" t="s">
        <v>63200</v>
      </c>
      <c r="G12521" s="4" t="s">
        <v>63201</v>
      </c>
      <c r="H12521" s="3" t="s">
        <v>60159</v>
      </c>
      <c r="I12521" s="3" t="s">
        <v>63202</v>
      </c>
      <c r="J12521" s="3"/>
      <c r="K12521" s="3" t="s">
        <v>63203</v>
      </c>
      <c r="L12521" s="3"/>
      <c r="M12521" s="4"/>
      <c r="N12521" s="3" t="s">
        <v>37</v>
      </c>
      <c r="O12521" s="3" t="s">
        <v>237</v>
      </c>
      <c r="P12521" s="5">
        <v>9</v>
      </c>
      <c r="Q12521" s="5">
        <v>87</v>
      </c>
      <c r="R12521" s="5">
        <v>9</v>
      </c>
      <c r="S12521" s="5">
        <v>88</v>
      </c>
    </row>
    <row r="12522" spans="1:19" ht="28" x14ac:dyDescent="0.15">
      <c r="A12522" s="2">
        <f>HYPERLINK("https://open-school.uspishnemisto.com.ua/school/610670/", 610670)</f>
        <v>610670</v>
      </c>
      <c r="B12522" s="3" t="s">
        <v>63204</v>
      </c>
      <c r="C12522" s="3" t="s">
        <v>31</v>
      </c>
      <c r="D12522" s="3" t="s">
        <v>175</v>
      </c>
      <c r="E12522" s="4" t="s">
        <v>22</v>
      </c>
      <c r="F12522" s="4" t="s">
        <v>63205</v>
      </c>
      <c r="G12522" s="4" t="s">
        <v>63206</v>
      </c>
      <c r="H12522" s="3" t="s">
        <v>60159</v>
      </c>
      <c r="I12522" s="3" t="s">
        <v>63207</v>
      </c>
      <c r="J12522" s="3" t="s">
        <v>63208</v>
      </c>
      <c r="K12522" s="3" t="s">
        <v>63209</v>
      </c>
      <c r="L12522" s="3"/>
      <c r="M12522" s="4"/>
      <c r="N12522" s="3" t="s">
        <v>37</v>
      </c>
      <c r="O12522" s="3" t="s">
        <v>46</v>
      </c>
      <c r="P12522" s="5">
        <v>9</v>
      </c>
      <c r="Q12522" s="5">
        <v>128</v>
      </c>
      <c r="R12522" s="5">
        <v>9</v>
      </c>
      <c r="S12522" s="5">
        <v>131</v>
      </c>
    </row>
    <row r="12523" spans="1:19" ht="42" x14ac:dyDescent="0.15">
      <c r="A12523" s="2">
        <f>HYPERLINK("https://open-school.uspishnemisto.com.ua/school/610671/", 610671)</f>
        <v>610671</v>
      </c>
      <c r="B12523" s="3" t="s">
        <v>63210</v>
      </c>
      <c r="C12523" s="3" t="s">
        <v>31</v>
      </c>
      <c r="D12523" s="3" t="s">
        <v>32</v>
      </c>
      <c r="E12523" s="4" t="s">
        <v>22</v>
      </c>
      <c r="F12523" s="4" t="s">
        <v>63211</v>
      </c>
      <c r="G12523" s="4" t="s">
        <v>63212</v>
      </c>
      <c r="H12523" s="3" t="s">
        <v>60159</v>
      </c>
      <c r="I12523" s="3" t="s">
        <v>63213</v>
      </c>
      <c r="J12523" s="3" t="s">
        <v>8128</v>
      </c>
      <c r="K12523" s="3" t="s">
        <v>63214</v>
      </c>
      <c r="L12523" s="3" t="s">
        <v>63215</v>
      </c>
      <c r="M12523" s="4"/>
      <c r="N12523" s="3" t="s">
        <v>37</v>
      </c>
      <c r="O12523" s="3" t="s">
        <v>2740</v>
      </c>
      <c r="P12523" s="5">
        <v>11</v>
      </c>
      <c r="Q12523" s="5">
        <v>190</v>
      </c>
      <c r="R12523" s="5">
        <v>11</v>
      </c>
      <c r="S12523" s="5">
        <v>184</v>
      </c>
    </row>
    <row r="12524" spans="1:19" ht="42" x14ac:dyDescent="0.15">
      <c r="A12524" s="2">
        <f>HYPERLINK("https://open-school.uspishnemisto.com.ua/school/610672/", 610672)</f>
        <v>610672</v>
      </c>
      <c r="B12524" s="3" t="s">
        <v>63216</v>
      </c>
      <c r="C12524" s="3" t="s">
        <v>31</v>
      </c>
      <c r="D12524" s="3" t="s">
        <v>32</v>
      </c>
      <c r="E12524" s="4" t="s">
        <v>22</v>
      </c>
      <c r="F12524" s="4" t="s">
        <v>63217</v>
      </c>
      <c r="G12524" s="4" t="s">
        <v>63218</v>
      </c>
      <c r="H12524" s="3" t="s">
        <v>60159</v>
      </c>
      <c r="I12524" s="3" t="s">
        <v>63219</v>
      </c>
      <c r="J12524" s="3" t="s">
        <v>1348</v>
      </c>
      <c r="K12524" s="3" t="s">
        <v>63220</v>
      </c>
      <c r="L12524" s="3"/>
      <c r="M12524" s="4"/>
      <c r="N12524" s="3" t="s">
        <v>37</v>
      </c>
      <c r="O12524" s="3" t="s">
        <v>46</v>
      </c>
      <c r="P12524" s="5">
        <v>10</v>
      </c>
      <c r="Q12524" s="5">
        <v>105</v>
      </c>
      <c r="R12524" s="5">
        <v>10</v>
      </c>
      <c r="S12524" s="5">
        <v>111</v>
      </c>
    </row>
    <row r="12525" spans="1:19" ht="56" x14ac:dyDescent="0.15">
      <c r="A12525" s="2">
        <f>HYPERLINK("https://open-school.uspishnemisto.com.ua/school/610673/", 610673)</f>
        <v>610673</v>
      </c>
      <c r="B12525" s="3" t="s">
        <v>63221</v>
      </c>
      <c r="C12525" s="3" t="s">
        <v>54</v>
      </c>
      <c r="D12525" s="3" t="s">
        <v>60</v>
      </c>
      <c r="E12525" s="4" t="s">
        <v>22</v>
      </c>
      <c r="F12525" s="4" t="s">
        <v>63074</v>
      </c>
      <c r="G12525" s="4" t="s">
        <v>63222</v>
      </c>
      <c r="H12525" s="3" t="s">
        <v>60159</v>
      </c>
      <c r="I12525" s="3" t="s">
        <v>63223</v>
      </c>
      <c r="J12525" s="3" t="s">
        <v>1360</v>
      </c>
      <c r="K12525" s="3" t="s">
        <v>63224</v>
      </c>
      <c r="L12525" s="3"/>
      <c r="M12525" s="4"/>
      <c r="N12525" s="3" t="s">
        <v>37</v>
      </c>
      <c r="O12525" s="3" t="s">
        <v>618</v>
      </c>
      <c r="P12525" s="5">
        <v>0</v>
      </c>
      <c r="Q12525" s="5">
        <v>5</v>
      </c>
      <c r="R12525" s="5">
        <v>0</v>
      </c>
      <c r="S12525" s="5">
        <v>15</v>
      </c>
    </row>
    <row r="12526" spans="1:19" ht="28" x14ac:dyDescent="0.15">
      <c r="A12526" s="2">
        <f>HYPERLINK("https://open-school.uspishnemisto.com.ua/school/610674/", 610674)</f>
        <v>610674</v>
      </c>
      <c r="B12526" s="3" t="s">
        <v>63225</v>
      </c>
      <c r="C12526" s="3" t="s">
        <v>31</v>
      </c>
      <c r="D12526" s="3" t="s">
        <v>175</v>
      </c>
      <c r="E12526" s="4" t="s">
        <v>22</v>
      </c>
      <c r="F12526" s="4" t="s">
        <v>63226</v>
      </c>
      <c r="G12526" s="4" t="s">
        <v>63227</v>
      </c>
      <c r="H12526" s="3" t="s">
        <v>60159</v>
      </c>
      <c r="I12526" s="3" t="s">
        <v>62015</v>
      </c>
      <c r="J12526" s="3" t="s">
        <v>12836</v>
      </c>
      <c r="K12526" s="3" t="s">
        <v>63228</v>
      </c>
      <c r="L12526" s="3" t="s">
        <v>63229</v>
      </c>
      <c r="M12526" s="4"/>
      <c r="N12526" s="3" t="s">
        <v>37</v>
      </c>
      <c r="O12526" s="3" t="s">
        <v>52</v>
      </c>
      <c r="P12526" s="5">
        <v>9</v>
      </c>
      <c r="Q12526" s="5">
        <v>109</v>
      </c>
      <c r="R12526" s="5">
        <v>9</v>
      </c>
      <c r="S12526" s="5">
        <v>107</v>
      </c>
    </row>
    <row r="12527" spans="1:19" ht="42" x14ac:dyDescent="0.15">
      <c r="A12527" s="2">
        <f>HYPERLINK("https://open-school.uspishnemisto.com.ua/school/610675/", 610675)</f>
        <v>610675</v>
      </c>
      <c r="B12527" s="3" t="s">
        <v>63230</v>
      </c>
      <c r="C12527" s="3" t="s">
        <v>31</v>
      </c>
      <c r="D12527" s="3" t="s">
        <v>32</v>
      </c>
      <c r="E12527" s="4" t="s">
        <v>22</v>
      </c>
      <c r="F12527" s="4" t="s">
        <v>63231</v>
      </c>
      <c r="G12527" s="4" t="s">
        <v>63232</v>
      </c>
      <c r="H12527" s="3" t="s">
        <v>60159</v>
      </c>
      <c r="I12527" s="3" t="s">
        <v>27922</v>
      </c>
      <c r="J12527" s="3" t="s">
        <v>2584</v>
      </c>
      <c r="K12527" s="3" t="s">
        <v>63233</v>
      </c>
      <c r="L12527" s="3"/>
      <c r="M12527" s="4"/>
      <c r="N12527" s="3" t="s">
        <v>37</v>
      </c>
      <c r="O12527" s="3" t="s">
        <v>46</v>
      </c>
      <c r="P12527" s="5">
        <v>10</v>
      </c>
      <c r="Q12527" s="5">
        <v>112</v>
      </c>
      <c r="R12527" s="5">
        <v>10</v>
      </c>
      <c r="S12527" s="5">
        <v>116</v>
      </c>
    </row>
    <row r="12528" spans="1:19" ht="42" x14ac:dyDescent="0.15">
      <c r="A12528" s="2">
        <f>HYPERLINK("https://open-school.uspishnemisto.com.ua/school/610676/", 610676)</f>
        <v>610676</v>
      </c>
      <c r="B12528" s="3" t="s">
        <v>63234</v>
      </c>
      <c r="C12528" s="3" t="s">
        <v>31</v>
      </c>
      <c r="D12528" s="3" t="s">
        <v>175</v>
      </c>
      <c r="E12528" s="4" t="s">
        <v>22</v>
      </c>
      <c r="F12528" s="4" t="s">
        <v>63235</v>
      </c>
      <c r="G12528" s="4" t="s">
        <v>63236</v>
      </c>
      <c r="H12528" s="3" t="s">
        <v>60159</v>
      </c>
      <c r="I12528" s="3" t="s">
        <v>39378</v>
      </c>
      <c r="J12528" s="3" t="s">
        <v>63237</v>
      </c>
      <c r="K12528" s="3" t="s">
        <v>63238</v>
      </c>
      <c r="L12528" s="3"/>
      <c r="M12528" s="4"/>
      <c r="N12528" s="3" t="s">
        <v>37</v>
      </c>
      <c r="O12528" s="3" t="s">
        <v>46</v>
      </c>
      <c r="P12528" s="5">
        <v>0</v>
      </c>
      <c r="Q12528" s="5">
        <v>0</v>
      </c>
      <c r="R12528" s="5">
        <v>5</v>
      </c>
      <c r="S12528" s="5">
        <v>42</v>
      </c>
    </row>
    <row r="12529" spans="1:19" ht="28" x14ac:dyDescent="0.15">
      <c r="A12529" s="2">
        <f>HYPERLINK("https://open-school.uspishnemisto.com.ua/school/610677/", 610677)</f>
        <v>610677</v>
      </c>
      <c r="B12529" s="3" t="s">
        <v>63239</v>
      </c>
      <c r="C12529" s="3" t="s">
        <v>31</v>
      </c>
      <c r="D12529" s="3" t="s">
        <v>175</v>
      </c>
      <c r="E12529" s="4" t="s">
        <v>22</v>
      </c>
      <c r="F12529" s="4" t="s">
        <v>63240</v>
      </c>
      <c r="G12529" s="4" t="s">
        <v>63241</v>
      </c>
      <c r="H12529" s="3" t="s">
        <v>60159</v>
      </c>
      <c r="I12529" s="3" t="s">
        <v>4617</v>
      </c>
      <c r="J12529" s="3" t="s">
        <v>63242</v>
      </c>
      <c r="K12529" s="3" t="s">
        <v>63243</v>
      </c>
      <c r="L12529" s="3"/>
      <c r="M12529" s="4"/>
      <c r="N12529" s="3" t="s">
        <v>37</v>
      </c>
      <c r="O12529" s="3" t="s">
        <v>46</v>
      </c>
      <c r="P12529" s="5">
        <v>8</v>
      </c>
      <c r="Q12529" s="5">
        <v>74</v>
      </c>
      <c r="R12529" s="5">
        <v>8</v>
      </c>
      <c r="S12529" s="5">
        <v>79</v>
      </c>
    </row>
    <row r="12530" spans="1:19" ht="28" x14ac:dyDescent="0.15">
      <c r="A12530" s="2">
        <f>HYPERLINK("https://open-school.uspishnemisto.com.ua/school/610678/", 610678)</f>
        <v>610678</v>
      </c>
      <c r="B12530" s="3" t="s">
        <v>63244</v>
      </c>
      <c r="C12530" s="3" t="s">
        <v>54</v>
      </c>
      <c r="D12530" s="3" t="s">
        <v>60</v>
      </c>
      <c r="E12530" s="4" t="s">
        <v>22</v>
      </c>
      <c r="F12530" s="4" t="s">
        <v>63245</v>
      </c>
      <c r="G12530" s="4" t="s">
        <v>63246</v>
      </c>
      <c r="H12530" s="3" t="s">
        <v>60159</v>
      </c>
      <c r="I12530" s="3" t="s">
        <v>63247</v>
      </c>
      <c r="J12530" s="3" t="s">
        <v>946</v>
      </c>
      <c r="K12530" s="3" t="s">
        <v>63248</v>
      </c>
      <c r="L12530" s="3"/>
      <c r="M12530" s="4"/>
      <c r="N12530" s="3" t="s">
        <v>37</v>
      </c>
      <c r="O12530" s="3" t="s">
        <v>52</v>
      </c>
      <c r="P12530" s="5">
        <v>0</v>
      </c>
      <c r="Q12530" s="5">
        <v>0</v>
      </c>
      <c r="R12530" s="5">
        <v>2</v>
      </c>
      <c r="S12530" s="5">
        <v>15</v>
      </c>
    </row>
    <row r="12531" spans="1:19" ht="28" x14ac:dyDescent="0.15">
      <c r="A12531" s="2">
        <f>HYPERLINK("https://open-school.uspishnemisto.com.ua/school/610679/", 610679)</f>
        <v>610679</v>
      </c>
      <c r="B12531" s="3" t="s">
        <v>63249</v>
      </c>
      <c r="C12531" s="3" t="s">
        <v>31</v>
      </c>
      <c r="D12531" s="3" t="s">
        <v>175</v>
      </c>
      <c r="E12531" s="4" t="s">
        <v>22</v>
      </c>
      <c r="F12531" s="4" t="s">
        <v>63250</v>
      </c>
      <c r="G12531" s="4" t="s">
        <v>63251</v>
      </c>
      <c r="H12531" s="3" t="s">
        <v>60159</v>
      </c>
      <c r="I12531" s="3" t="s">
        <v>28689</v>
      </c>
      <c r="J12531" s="3" t="s">
        <v>1946</v>
      </c>
      <c r="K12531" s="3" t="s">
        <v>63252</v>
      </c>
      <c r="L12531" s="3"/>
      <c r="M12531" s="4"/>
      <c r="N12531" s="3" t="s">
        <v>37</v>
      </c>
      <c r="O12531" s="3" t="s">
        <v>52</v>
      </c>
      <c r="P12531" s="5">
        <v>7</v>
      </c>
      <c r="Q12531" s="5">
        <v>62</v>
      </c>
      <c r="R12531" s="5">
        <v>9</v>
      </c>
      <c r="S12531" s="5">
        <v>74</v>
      </c>
    </row>
    <row r="12532" spans="1:19" ht="42" x14ac:dyDescent="0.15">
      <c r="A12532" s="2">
        <f>HYPERLINK("https://open-school.uspishnemisto.com.ua/school/610680/", 610680)</f>
        <v>610680</v>
      </c>
      <c r="B12532" s="3" t="s">
        <v>63253</v>
      </c>
      <c r="C12532" s="3" t="s">
        <v>54</v>
      </c>
      <c r="D12532" s="3" t="s">
        <v>60</v>
      </c>
      <c r="E12532" s="4" t="s">
        <v>22</v>
      </c>
      <c r="F12532" s="4" t="s">
        <v>63254</v>
      </c>
      <c r="G12532" s="4" t="s">
        <v>63255</v>
      </c>
      <c r="H12532" s="3" t="s">
        <v>60159</v>
      </c>
      <c r="I12532" s="3" t="s">
        <v>63256</v>
      </c>
      <c r="J12532" s="3" t="s">
        <v>63257</v>
      </c>
      <c r="K12532" s="3" t="s">
        <v>63258</v>
      </c>
      <c r="L12532" s="3"/>
      <c r="M12532" s="4"/>
      <c r="N12532" s="3" t="s">
        <v>37</v>
      </c>
      <c r="O12532" s="3" t="s">
        <v>52</v>
      </c>
      <c r="P12532" s="5">
        <v>0</v>
      </c>
      <c r="Q12532" s="5">
        <v>0</v>
      </c>
      <c r="R12532" s="5">
        <v>3</v>
      </c>
      <c r="S12532" s="5">
        <v>23</v>
      </c>
    </row>
    <row r="12533" spans="1:19" ht="42" x14ac:dyDescent="0.15">
      <c r="A12533" s="2">
        <f>HYPERLINK("https://open-school.uspishnemisto.com.ua/school/610681/", 610681)</f>
        <v>610681</v>
      </c>
      <c r="B12533" s="3" t="s">
        <v>63259</v>
      </c>
      <c r="C12533" s="3" t="s">
        <v>31</v>
      </c>
      <c r="D12533" s="3" t="s">
        <v>175</v>
      </c>
      <c r="E12533" s="4" t="s">
        <v>22</v>
      </c>
      <c r="F12533" s="4" t="s">
        <v>63260</v>
      </c>
      <c r="G12533" s="4" t="s">
        <v>63261</v>
      </c>
      <c r="H12533" s="3" t="s">
        <v>60159</v>
      </c>
      <c r="I12533" s="3" t="s">
        <v>17032</v>
      </c>
      <c r="J12533" s="3" t="s">
        <v>63262</v>
      </c>
      <c r="K12533" s="3" t="s">
        <v>63263</v>
      </c>
      <c r="L12533" s="3"/>
      <c r="M12533" s="4"/>
      <c r="N12533" s="3" t="s">
        <v>37</v>
      </c>
      <c r="O12533" s="3" t="s">
        <v>2740</v>
      </c>
      <c r="P12533" s="5">
        <v>7</v>
      </c>
      <c r="Q12533" s="5">
        <v>60</v>
      </c>
      <c r="R12533" s="5">
        <v>8</v>
      </c>
      <c r="S12533" s="5">
        <v>62</v>
      </c>
    </row>
    <row r="12534" spans="1:19" ht="28" x14ac:dyDescent="0.15">
      <c r="A12534" s="2">
        <f>HYPERLINK("https://open-school.uspishnemisto.com.ua/school/610682/", 610682)</f>
        <v>610682</v>
      </c>
      <c r="B12534" s="3" t="s">
        <v>63264</v>
      </c>
      <c r="C12534" s="3" t="s">
        <v>31</v>
      </c>
      <c r="D12534" s="3" t="s">
        <v>175</v>
      </c>
      <c r="E12534" s="4" t="s">
        <v>22</v>
      </c>
      <c r="F12534" s="4" t="s">
        <v>63265</v>
      </c>
      <c r="G12534" s="4" t="s">
        <v>63266</v>
      </c>
      <c r="H12534" s="3" t="s">
        <v>60159</v>
      </c>
      <c r="I12534" s="3" t="s">
        <v>63267</v>
      </c>
      <c r="J12534" s="3" t="s">
        <v>6992</v>
      </c>
      <c r="K12534" s="3" t="s">
        <v>63268</v>
      </c>
      <c r="L12534" s="3"/>
      <c r="M12534" s="4"/>
      <c r="N12534" s="3" t="s">
        <v>37</v>
      </c>
      <c r="O12534" s="3" t="s">
        <v>52</v>
      </c>
      <c r="P12534" s="5">
        <v>6</v>
      </c>
      <c r="Q12534" s="5">
        <v>59</v>
      </c>
      <c r="R12534" s="5">
        <v>5</v>
      </c>
      <c r="S12534" s="5">
        <v>52</v>
      </c>
    </row>
    <row r="12535" spans="1:19" ht="28" x14ac:dyDescent="0.15">
      <c r="A12535" s="2">
        <f>HYPERLINK("https://open-school.uspishnemisto.com.ua/school/610683/", 610683)</f>
        <v>610683</v>
      </c>
      <c r="B12535" s="3" t="s">
        <v>63269</v>
      </c>
      <c r="C12535" s="3" t="s">
        <v>31</v>
      </c>
      <c r="D12535" s="3" t="s">
        <v>175</v>
      </c>
      <c r="E12535" s="4" t="s">
        <v>22</v>
      </c>
      <c r="F12535" s="4" t="s">
        <v>63270</v>
      </c>
      <c r="G12535" s="4" t="s">
        <v>63271</v>
      </c>
      <c r="H12535" s="3" t="s">
        <v>60159</v>
      </c>
      <c r="I12535" s="3" t="s">
        <v>19793</v>
      </c>
      <c r="J12535" s="3"/>
      <c r="K12535" s="3" t="s">
        <v>63272</v>
      </c>
      <c r="L12535" s="3"/>
      <c r="M12535" s="4"/>
      <c r="N12535" s="3" t="s">
        <v>37</v>
      </c>
      <c r="O12535" s="3" t="s">
        <v>46</v>
      </c>
      <c r="P12535" s="5">
        <v>9</v>
      </c>
      <c r="Q12535" s="5">
        <v>120</v>
      </c>
      <c r="R12535" s="5">
        <v>9</v>
      </c>
      <c r="S12535" s="5">
        <v>120</v>
      </c>
    </row>
    <row r="12536" spans="1:19" ht="28" x14ac:dyDescent="0.15">
      <c r="A12536" s="2">
        <f>HYPERLINK("https://open-school.uspishnemisto.com.ua/school/610684/", 610684)</f>
        <v>610684</v>
      </c>
      <c r="B12536" s="3" t="s">
        <v>63273</v>
      </c>
      <c r="C12536" s="3" t="s">
        <v>31</v>
      </c>
      <c r="D12536" s="3" t="s">
        <v>175</v>
      </c>
      <c r="E12536" s="4" t="s">
        <v>22</v>
      </c>
      <c r="F12536" s="4" t="s">
        <v>63274</v>
      </c>
      <c r="G12536" s="4" t="s">
        <v>63275</v>
      </c>
      <c r="H12536" s="3" t="s">
        <v>60159</v>
      </c>
      <c r="I12536" s="3" t="s">
        <v>63276</v>
      </c>
      <c r="J12536" s="3" t="s">
        <v>63277</v>
      </c>
      <c r="K12536" s="3" t="s">
        <v>63278</v>
      </c>
      <c r="L12536" s="3"/>
      <c r="M12536" s="4"/>
      <c r="N12536" s="3" t="s">
        <v>37</v>
      </c>
      <c r="O12536" s="3" t="s">
        <v>46</v>
      </c>
      <c r="P12536" s="5">
        <v>8</v>
      </c>
      <c r="Q12536" s="5">
        <v>58</v>
      </c>
      <c r="R12536" s="5">
        <v>9</v>
      </c>
      <c r="S12536" s="5">
        <v>61</v>
      </c>
    </row>
    <row r="12537" spans="1:19" ht="28" x14ac:dyDescent="0.15">
      <c r="A12537" s="2">
        <f>HYPERLINK("https://open-school.uspishnemisto.com.ua/school/610685/", 610685)</f>
        <v>610685</v>
      </c>
      <c r="B12537" s="3" t="s">
        <v>63279</v>
      </c>
      <c r="C12537" s="3" t="s">
        <v>31</v>
      </c>
      <c r="D12537" s="3" t="s">
        <v>175</v>
      </c>
      <c r="E12537" s="4" t="s">
        <v>22</v>
      </c>
      <c r="F12537" s="4" t="s">
        <v>63280</v>
      </c>
      <c r="G12537" s="4" t="s">
        <v>63281</v>
      </c>
      <c r="H12537" s="3" t="s">
        <v>60159</v>
      </c>
      <c r="I12537" s="3" t="s">
        <v>63282</v>
      </c>
      <c r="J12537" s="3"/>
      <c r="K12537" s="3" t="s">
        <v>63283</v>
      </c>
      <c r="L12537" s="3"/>
      <c r="M12537" s="4"/>
      <c r="N12537" s="3" t="s">
        <v>37</v>
      </c>
      <c r="O12537" s="3" t="s">
        <v>46</v>
      </c>
      <c r="P12537" s="5">
        <v>6</v>
      </c>
      <c r="Q12537" s="5">
        <v>52</v>
      </c>
      <c r="R12537" s="5">
        <v>6</v>
      </c>
      <c r="S12537" s="5">
        <v>52</v>
      </c>
    </row>
    <row r="12538" spans="1:19" ht="28" x14ac:dyDescent="0.15">
      <c r="A12538" s="2">
        <f>HYPERLINK("https://open-school.uspishnemisto.com.ua/school/610686/", 610686)</f>
        <v>610686</v>
      </c>
      <c r="B12538" s="3" t="s">
        <v>63284</v>
      </c>
      <c r="C12538" s="3" t="s">
        <v>2634</v>
      </c>
      <c r="D12538" s="3" t="s">
        <v>32</v>
      </c>
      <c r="E12538" s="4" t="s">
        <v>22</v>
      </c>
      <c r="F12538" s="4" t="s">
        <v>63285</v>
      </c>
      <c r="G12538" s="4" t="s">
        <v>63286</v>
      </c>
      <c r="H12538" s="3" t="s">
        <v>60159</v>
      </c>
      <c r="I12538" s="3" t="s">
        <v>63287</v>
      </c>
      <c r="J12538" s="3" t="s">
        <v>3428</v>
      </c>
      <c r="K12538" s="3" t="s">
        <v>63288</v>
      </c>
      <c r="L12538" s="3"/>
      <c r="M12538" s="4" t="s">
        <v>63289</v>
      </c>
      <c r="N12538" s="3" t="s">
        <v>37</v>
      </c>
      <c r="O12538" s="3" t="s">
        <v>46</v>
      </c>
      <c r="P12538" s="5">
        <v>11</v>
      </c>
      <c r="Q12538" s="5">
        <v>129</v>
      </c>
      <c r="R12538" s="5">
        <v>11</v>
      </c>
      <c r="S12538" s="5">
        <v>140</v>
      </c>
    </row>
    <row r="12539" spans="1:19" ht="28" x14ac:dyDescent="0.15">
      <c r="A12539" s="2">
        <f>HYPERLINK("https://open-school.uspishnemisto.com.ua/school/610687/", 610687)</f>
        <v>610687</v>
      </c>
      <c r="B12539" s="3" t="s">
        <v>63290</v>
      </c>
      <c r="C12539" s="3" t="s">
        <v>31</v>
      </c>
      <c r="D12539" s="3" t="s">
        <v>32</v>
      </c>
      <c r="E12539" s="4" t="s">
        <v>22</v>
      </c>
      <c r="F12539" s="4" t="s">
        <v>63285</v>
      </c>
      <c r="G12539" s="4" t="s">
        <v>63286</v>
      </c>
      <c r="H12539" s="3" t="s">
        <v>60159</v>
      </c>
      <c r="I12539" s="3" t="s">
        <v>63287</v>
      </c>
      <c r="J12539" s="3" t="s">
        <v>2578</v>
      </c>
      <c r="K12539" s="3"/>
      <c r="L12539" s="3"/>
      <c r="M12539" s="4"/>
      <c r="N12539" s="3" t="s">
        <v>37</v>
      </c>
      <c r="O12539" s="3" t="s">
        <v>46</v>
      </c>
      <c r="P12539" s="5">
        <v>11</v>
      </c>
      <c r="Q12539" s="5">
        <v>140</v>
      </c>
      <c r="R12539" s="5">
        <v>11</v>
      </c>
      <c r="S12539" s="5">
        <v>132</v>
      </c>
    </row>
    <row r="12540" spans="1:19" ht="42" x14ac:dyDescent="0.15">
      <c r="A12540" s="2">
        <f>HYPERLINK("https://open-school.uspishnemisto.com.ua/school/610688/", 610688)</f>
        <v>610688</v>
      </c>
      <c r="B12540" s="3" t="s">
        <v>63291</v>
      </c>
      <c r="C12540" s="3" t="s">
        <v>54</v>
      </c>
      <c r="D12540" s="3" t="s">
        <v>175</v>
      </c>
      <c r="E12540" s="4" t="s">
        <v>22</v>
      </c>
      <c r="F12540" s="4" t="s">
        <v>63292</v>
      </c>
      <c r="G12540" s="4" t="s">
        <v>63293</v>
      </c>
      <c r="H12540" s="3" t="s">
        <v>60159</v>
      </c>
      <c r="I12540" s="3" t="s">
        <v>63294</v>
      </c>
      <c r="J12540" s="3" t="s">
        <v>63295</v>
      </c>
      <c r="K12540" s="3" t="s">
        <v>63296</v>
      </c>
      <c r="L12540" s="3"/>
      <c r="M12540" s="4"/>
      <c r="N12540" s="3" t="s">
        <v>37</v>
      </c>
      <c r="O12540" s="3" t="s">
        <v>46</v>
      </c>
      <c r="P12540" s="5">
        <v>8</v>
      </c>
      <c r="Q12540" s="5">
        <v>68</v>
      </c>
      <c r="R12540" s="5">
        <v>8</v>
      </c>
      <c r="S12540" s="5">
        <v>67</v>
      </c>
    </row>
    <row r="12541" spans="1:19" ht="28" x14ac:dyDescent="0.15">
      <c r="A12541" s="2">
        <f>HYPERLINK("https://open-school.uspishnemisto.com.ua/school/610689/", 610689)</f>
        <v>610689</v>
      </c>
      <c r="B12541" s="3" t="s">
        <v>63297</v>
      </c>
      <c r="C12541" s="3" t="s">
        <v>54</v>
      </c>
      <c r="D12541" s="3" t="s">
        <v>60</v>
      </c>
      <c r="E12541" s="4" t="s">
        <v>22</v>
      </c>
      <c r="F12541" s="4" t="s">
        <v>63298</v>
      </c>
      <c r="G12541" s="4" t="s">
        <v>63299</v>
      </c>
      <c r="H12541" s="3" t="s">
        <v>60159</v>
      </c>
      <c r="I12541" s="3" t="s">
        <v>63300</v>
      </c>
      <c r="J12541" s="3"/>
      <c r="K12541" s="3" t="s">
        <v>63301</v>
      </c>
      <c r="L12541" s="3"/>
      <c r="M12541" s="4"/>
      <c r="N12541" s="3" t="s">
        <v>37</v>
      </c>
      <c r="O12541" s="3" t="s">
        <v>52</v>
      </c>
      <c r="P12541" s="5">
        <v>1</v>
      </c>
      <c r="Q12541" s="5">
        <v>13</v>
      </c>
      <c r="R12541" s="5">
        <v>1</v>
      </c>
      <c r="S12541" s="5">
        <v>9</v>
      </c>
    </row>
    <row r="12542" spans="1:19" ht="42" x14ac:dyDescent="0.15">
      <c r="A12542" s="2">
        <f>HYPERLINK("https://open-school.uspishnemisto.com.ua/school/610690/", 610690)</f>
        <v>610690</v>
      </c>
      <c r="B12542" s="3" t="s">
        <v>63302</v>
      </c>
      <c r="C12542" s="3" t="s">
        <v>31</v>
      </c>
      <c r="D12542" s="3" t="s">
        <v>175</v>
      </c>
      <c r="E12542" s="4" t="s">
        <v>22</v>
      </c>
      <c r="F12542" s="4" t="s">
        <v>63303</v>
      </c>
      <c r="G12542" s="4" t="s">
        <v>63304</v>
      </c>
      <c r="H12542" s="3" t="s">
        <v>60159</v>
      </c>
      <c r="I12542" s="3" t="s">
        <v>63305</v>
      </c>
      <c r="J12542" s="3" t="s">
        <v>1417</v>
      </c>
      <c r="K12542" s="3" t="s">
        <v>63306</v>
      </c>
      <c r="L12542" s="3"/>
      <c r="M12542" s="4"/>
      <c r="N12542" s="3" t="s">
        <v>37</v>
      </c>
      <c r="O12542" s="3" t="s">
        <v>46</v>
      </c>
      <c r="P12542" s="5">
        <v>4</v>
      </c>
      <c r="Q12542" s="5">
        <v>44</v>
      </c>
      <c r="R12542" s="5">
        <v>5</v>
      </c>
      <c r="S12542" s="5">
        <v>44</v>
      </c>
    </row>
    <row r="12543" spans="1:19" ht="28" x14ac:dyDescent="0.15">
      <c r="A12543" s="2">
        <f>HYPERLINK("https://open-school.uspishnemisto.com.ua/school/610692/", 610692)</f>
        <v>610692</v>
      </c>
      <c r="B12543" s="3" t="s">
        <v>63307</v>
      </c>
      <c r="C12543" s="3" t="s">
        <v>31</v>
      </c>
      <c r="D12543" s="3" t="s">
        <v>60</v>
      </c>
      <c r="E12543" s="4" t="s">
        <v>22</v>
      </c>
      <c r="F12543" s="4" t="s">
        <v>63308</v>
      </c>
      <c r="G12543" s="4" t="s">
        <v>63309</v>
      </c>
      <c r="H12543" s="3" t="s">
        <v>60159</v>
      </c>
      <c r="I12543" s="3" t="s">
        <v>63310</v>
      </c>
      <c r="J12543" s="3" t="s">
        <v>297</v>
      </c>
      <c r="K12543" s="3" t="s">
        <v>63311</v>
      </c>
      <c r="L12543" s="3"/>
      <c r="M12543" s="4"/>
      <c r="N12543" s="3" t="s">
        <v>37</v>
      </c>
      <c r="O12543" s="3" t="s">
        <v>11684</v>
      </c>
      <c r="P12543" s="5">
        <v>1</v>
      </c>
      <c r="Q12543" s="5">
        <v>10</v>
      </c>
      <c r="R12543" s="5">
        <v>1</v>
      </c>
      <c r="S12543" s="5">
        <v>15</v>
      </c>
    </row>
    <row r="12544" spans="1:19" ht="28" x14ac:dyDescent="0.15">
      <c r="A12544" s="2">
        <f>HYPERLINK("https://open-school.uspishnemisto.com.ua/school/610693/", 610693)</f>
        <v>610693</v>
      </c>
      <c r="B12544" s="3" t="s">
        <v>63312</v>
      </c>
      <c r="C12544" s="3" t="s">
        <v>31</v>
      </c>
      <c r="D12544" s="3" t="s">
        <v>175</v>
      </c>
      <c r="E12544" s="4" t="s">
        <v>22</v>
      </c>
      <c r="F12544" s="4" t="s">
        <v>63308</v>
      </c>
      <c r="G12544" s="4" t="s">
        <v>63313</v>
      </c>
      <c r="H12544" s="3" t="s">
        <v>60159</v>
      </c>
      <c r="I12544" s="3" t="s">
        <v>63314</v>
      </c>
      <c r="J12544" s="3" t="s">
        <v>2329</v>
      </c>
      <c r="K12544" s="3" t="s">
        <v>63315</v>
      </c>
      <c r="L12544" s="3"/>
      <c r="M12544" s="4"/>
      <c r="N12544" s="3" t="s">
        <v>37</v>
      </c>
      <c r="O12544" s="3" t="s">
        <v>2740</v>
      </c>
      <c r="P12544" s="5">
        <v>8</v>
      </c>
      <c r="Q12544" s="5">
        <v>66</v>
      </c>
      <c r="R12544" s="5">
        <v>8</v>
      </c>
      <c r="S12544" s="5">
        <v>63</v>
      </c>
    </row>
    <row r="12545" spans="1:19" ht="28" x14ac:dyDescent="0.15">
      <c r="A12545" s="2">
        <f>HYPERLINK("https://open-school.uspishnemisto.com.ua/school/610694/", 610694)</f>
        <v>610694</v>
      </c>
      <c r="B12545" s="3" t="s">
        <v>63316</v>
      </c>
      <c r="C12545" s="3" t="s">
        <v>31</v>
      </c>
      <c r="D12545" s="3" t="s">
        <v>175</v>
      </c>
      <c r="E12545" s="4" t="s">
        <v>22</v>
      </c>
      <c r="F12545" s="4" t="s">
        <v>63317</v>
      </c>
      <c r="G12545" s="4" t="s">
        <v>63318</v>
      </c>
      <c r="H12545" s="3" t="s">
        <v>60159</v>
      </c>
      <c r="I12545" s="3" t="s">
        <v>5208</v>
      </c>
      <c r="J12545" s="3" t="s">
        <v>63319</v>
      </c>
      <c r="K12545" s="3" t="s">
        <v>63320</v>
      </c>
      <c r="L12545" s="3"/>
      <c r="M12545" s="4"/>
      <c r="N12545" s="3" t="s">
        <v>37</v>
      </c>
      <c r="O12545" s="3" t="s">
        <v>46</v>
      </c>
      <c r="P12545" s="5">
        <v>7</v>
      </c>
      <c r="Q12545" s="5">
        <v>64</v>
      </c>
      <c r="R12545" s="5">
        <v>8</v>
      </c>
      <c r="S12545" s="5">
        <v>64</v>
      </c>
    </row>
    <row r="12546" spans="1:19" ht="42" x14ac:dyDescent="0.15">
      <c r="A12546" s="2">
        <f>HYPERLINK("https://open-school.uspishnemisto.com.ua/school/610695/", 610695)</f>
        <v>610695</v>
      </c>
      <c r="B12546" s="3" t="s">
        <v>63321</v>
      </c>
      <c r="C12546" s="3" t="s">
        <v>31</v>
      </c>
      <c r="D12546" s="3" t="s">
        <v>60</v>
      </c>
      <c r="E12546" s="4" t="s">
        <v>22</v>
      </c>
      <c r="F12546" s="4" t="s">
        <v>63322</v>
      </c>
      <c r="G12546" s="4" t="s">
        <v>63323</v>
      </c>
      <c r="H12546" s="3" t="s">
        <v>60159</v>
      </c>
      <c r="I12546" s="3" t="s">
        <v>63324</v>
      </c>
      <c r="J12546" s="3" t="s">
        <v>63325</v>
      </c>
      <c r="K12546" s="3" t="s">
        <v>63326</v>
      </c>
      <c r="L12546" s="3"/>
      <c r="M12546" s="4"/>
      <c r="N12546" s="3" t="s">
        <v>37</v>
      </c>
      <c r="O12546" s="3" t="s">
        <v>52</v>
      </c>
      <c r="P12546" s="5">
        <v>4</v>
      </c>
      <c r="Q12546" s="5">
        <v>37</v>
      </c>
      <c r="R12546" s="5">
        <v>4</v>
      </c>
      <c r="S12546" s="5">
        <v>41</v>
      </c>
    </row>
    <row r="12547" spans="1:19" ht="42" x14ac:dyDescent="0.15">
      <c r="A12547" s="2">
        <f>HYPERLINK("https://open-school.uspishnemisto.com.ua/school/610696/", 610696)</f>
        <v>610696</v>
      </c>
      <c r="B12547" s="3" t="s">
        <v>63327</v>
      </c>
      <c r="C12547" s="3" t="s">
        <v>31</v>
      </c>
      <c r="D12547" s="3" t="s">
        <v>32</v>
      </c>
      <c r="E12547" s="4" t="s">
        <v>22</v>
      </c>
      <c r="F12547" s="4" t="s">
        <v>63328</v>
      </c>
      <c r="G12547" s="4" t="s">
        <v>63323</v>
      </c>
      <c r="H12547" s="3" t="s">
        <v>60159</v>
      </c>
      <c r="I12547" s="3" t="s">
        <v>63324</v>
      </c>
      <c r="J12547" s="3" t="s">
        <v>41331</v>
      </c>
      <c r="K12547" s="3" t="s">
        <v>63329</v>
      </c>
      <c r="L12547" s="3"/>
      <c r="M12547" s="4"/>
      <c r="N12547" s="3" t="s">
        <v>37</v>
      </c>
      <c r="O12547" s="3" t="s">
        <v>46</v>
      </c>
      <c r="P12547" s="5">
        <v>19</v>
      </c>
      <c r="Q12547" s="5">
        <v>386</v>
      </c>
      <c r="R12547" s="5">
        <v>18</v>
      </c>
      <c r="S12547" s="5">
        <v>363</v>
      </c>
    </row>
    <row r="12548" spans="1:19" ht="28" x14ac:dyDescent="0.15">
      <c r="A12548" s="2">
        <f>HYPERLINK("https://open-school.uspishnemisto.com.ua/school/610697/", 610697)</f>
        <v>610697</v>
      </c>
      <c r="B12548" s="3" t="s">
        <v>63330</v>
      </c>
      <c r="C12548" s="3" t="s">
        <v>54</v>
      </c>
      <c r="D12548" s="3" t="s">
        <v>60</v>
      </c>
      <c r="E12548" s="4" t="s">
        <v>22</v>
      </c>
      <c r="F12548" s="4" t="s">
        <v>63331</v>
      </c>
      <c r="G12548" s="4" t="s">
        <v>63332</v>
      </c>
      <c r="H12548" s="3" t="s">
        <v>60159</v>
      </c>
      <c r="I12548" s="3" t="s">
        <v>63333</v>
      </c>
      <c r="J12548" s="3" t="s">
        <v>63334</v>
      </c>
      <c r="K12548" s="3" t="s">
        <v>63335</v>
      </c>
      <c r="L12548" s="3"/>
      <c r="M12548" s="4"/>
      <c r="N12548" s="3" t="s">
        <v>37</v>
      </c>
      <c r="O12548" s="3" t="s">
        <v>52</v>
      </c>
      <c r="P12548" s="5">
        <v>0</v>
      </c>
      <c r="Q12548" s="5">
        <v>3</v>
      </c>
      <c r="R12548" s="5">
        <v>0</v>
      </c>
      <c r="S12548" s="5">
        <v>8</v>
      </c>
    </row>
    <row r="12549" spans="1:19" ht="42" x14ac:dyDescent="0.15">
      <c r="A12549" s="2">
        <f>HYPERLINK("https://open-school.uspishnemisto.com.ua/school/610698/", 610698)</f>
        <v>610698</v>
      </c>
      <c r="B12549" s="3" t="s">
        <v>63336</v>
      </c>
      <c r="C12549" s="3" t="s">
        <v>40</v>
      </c>
      <c r="D12549" s="3" t="s">
        <v>32</v>
      </c>
      <c r="E12549" s="4" t="s">
        <v>22</v>
      </c>
      <c r="F12549" s="4" t="s">
        <v>63337</v>
      </c>
      <c r="G12549" s="4" t="s">
        <v>63338</v>
      </c>
      <c r="H12549" s="3" t="s">
        <v>60159</v>
      </c>
      <c r="I12549" s="3" t="s">
        <v>63339</v>
      </c>
      <c r="J12549" s="3" t="s">
        <v>466</v>
      </c>
      <c r="K12549" s="3" t="s">
        <v>63340</v>
      </c>
      <c r="L12549" s="3"/>
      <c r="M12549" s="4"/>
      <c r="N12549" s="3" t="s">
        <v>37</v>
      </c>
      <c r="O12549" s="3" t="s">
        <v>46</v>
      </c>
      <c r="P12549" s="5">
        <v>22</v>
      </c>
      <c r="Q12549" s="5">
        <v>462</v>
      </c>
      <c r="R12549" s="5">
        <v>20</v>
      </c>
      <c r="S12549" s="5">
        <v>447</v>
      </c>
    </row>
    <row r="12550" spans="1:19" ht="42" x14ac:dyDescent="0.15">
      <c r="A12550" s="2">
        <f>HYPERLINK("https://open-school.uspishnemisto.com.ua/school/610699/", 610699)</f>
        <v>610699</v>
      </c>
      <c r="B12550" s="3" t="s">
        <v>63341</v>
      </c>
      <c r="C12550" s="3" t="s">
        <v>31</v>
      </c>
      <c r="D12550" s="3" t="s">
        <v>32</v>
      </c>
      <c r="E12550" s="4" t="s">
        <v>22</v>
      </c>
      <c r="F12550" s="4" t="s">
        <v>63331</v>
      </c>
      <c r="G12550" s="4" t="s">
        <v>63342</v>
      </c>
      <c r="H12550" s="3" t="s">
        <v>60159</v>
      </c>
      <c r="I12550" s="3" t="s">
        <v>63343</v>
      </c>
      <c r="J12550" s="3" t="s">
        <v>54771</v>
      </c>
      <c r="K12550" s="3"/>
      <c r="L12550" s="3"/>
      <c r="M12550" s="4"/>
      <c r="N12550" s="3" t="s">
        <v>37</v>
      </c>
      <c r="O12550" s="3" t="s">
        <v>46</v>
      </c>
      <c r="P12550" s="5">
        <v>11</v>
      </c>
      <c r="Q12550" s="5">
        <v>130</v>
      </c>
      <c r="R12550" s="5">
        <v>11</v>
      </c>
      <c r="S12550" s="5">
        <v>130</v>
      </c>
    </row>
    <row r="12551" spans="1:19" ht="28" x14ac:dyDescent="0.15">
      <c r="A12551" s="2">
        <f>HYPERLINK("https://open-school.uspishnemisto.com.ua/school/610700/", 610700)</f>
        <v>610700</v>
      </c>
      <c r="B12551" s="3" t="s">
        <v>63344</v>
      </c>
      <c r="C12551" s="3" t="s">
        <v>31</v>
      </c>
      <c r="D12551" s="3" t="s">
        <v>175</v>
      </c>
      <c r="E12551" s="4" t="s">
        <v>22</v>
      </c>
      <c r="F12551" s="4" t="s">
        <v>63345</v>
      </c>
      <c r="G12551" s="4" t="s">
        <v>63346</v>
      </c>
      <c r="H12551" s="3" t="s">
        <v>60159</v>
      </c>
      <c r="I12551" s="3" t="s">
        <v>63347</v>
      </c>
      <c r="J12551" s="3" t="s">
        <v>63348</v>
      </c>
      <c r="K12551" s="3" t="s">
        <v>63349</v>
      </c>
      <c r="L12551" s="3"/>
      <c r="M12551" s="4"/>
      <c r="N12551" s="3" t="s">
        <v>37</v>
      </c>
      <c r="O12551" s="3" t="s">
        <v>46</v>
      </c>
      <c r="P12551" s="5">
        <v>8</v>
      </c>
      <c r="Q12551" s="5">
        <v>63</v>
      </c>
      <c r="R12551" s="5">
        <v>8</v>
      </c>
      <c r="S12551" s="5">
        <v>62</v>
      </c>
    </row>
    <row r="12552" spans="1:19" ht="42" x14ac:dyDescent="0.15">
      <c r="A12552" s="2">
        <f>HYPERLINK("https://open-school.uspishnemisto.com.ua/school/610701/", 610701)</f>
        <v>610701</v>
      </c>
      <c r="B12552" s="3" t="s">
        <v>63350</v>
      </c>
      <c r="C12552" s="3" t="s">
        <v>31</v>
      </c>
      <c r="D12552" s="3" t="s">
        <v>175</v>
      </c>
      <c r="E12552" s="4" t="s">
        <v>22</v>
      </c>
      <c r="F12552" s="4" t="s">
        <v>63351</v>
      </c>
      <c r="G12552" s="4" t="s">
        <v>63352</v>
      </c>
      <c r="H12552" s="3" t="s">
        <v>60159</v>
      </c>
      <c r="I12552" s="3" t="s">
        <v>2144</v>
      </c>
      <c r="J12552" s="3" t="s">
        <v>63353</v>
      </c>
      <c r="K12552" s="3" t="s">
        <v>63354</v>
      </c>
      <c r="L12552" s="3"/>
      <c r="M12552" s="4"/>
      <c r="N12552" s="3" t="s">
        <v>37</v>
      </c>
      <c r="O12552" s="3" t="s">
        <v>46</v>
      </c>
      <c r="P12552" s="5">
        <v>9</v>
      </c>
      <c r="Q12552" s="5">
        <v>90</v>
      </c>
      <c r="R12552" s="5">
        <v>9</v>
      </c>
      <c r="S12552" s="5">
        <v>82</v>
      </c>
    </row>
    <row r="12553" spans="1:19" ht="42" x14ac:dyDescent="0.15">
      <c r="A12553" s="2">
        <f>HYPERLINK("https://open-school.uspishnemisto.com.ua/school/610702/", 610702)</f>
        <v>610702</v>
      </c>
      <c r="B12553" s="3" t="s">
        <v>63355</v>
      </c>
      <c r="C12553" s="3" t="s">
        <v>31</v>
      </c>
      <c r="D12553" s="3" t="s">
        <v>32</v>
      </c>
      <c r="E12553" s="4" t="s">
        <v>22</v>
      </c>
      <c r="F12553" s="4" t="s">
        <v>63356</v>
      </c>
      <c r="G12553" s="4" t="s">
        <v>63357</v>
      </c>
      <c r="H12553" s="3" t="s">
        <v>60159</v>
      </c>
      <c r="I12553" s="3" t="s">
        <v>63358</v>
      </c>
      <c r="J12553" s="3" t="s">
        <v>63359</v>
      </c>
      <c r="K12553" s="3" t="s">
        <v>63360</v>
      </c>
      <c r="L12553" s="3" t="s">
        <v>63361</v>
      </c>
      <c r="M12553" s="4"/>
      <c r="N12553" s="3" t="s">
        <v>37</v>
      </c>
      <c r="O12553" s="3" t="s">
        <v>46</v>
      </c>
      <c r="P12553" s="5">
        <v>10</v>
      </c>
      <c r="Q12553" s="5">
        <v>110</v>
      </c>
      <c r="R12553" s="5">
        <v>10</v>
      </c>
      <c r="S12553" s="5">
        <v>120</v>
      </c>
    </row>
    <row r="12554" spans="1:19" ht="28" x14ac:dyDescent="0.15">
      <c r="A12554" s="2">
        <f>HYPERLINK("https://open-school.uspishnemisto.com.ua/school/610703/", 610703)</f>
        <v>610703</v>
      </c>
      <c r="B12554" s="3" t="s">
        <v>63362</v>
      </c>
      <c r="C12554" s="3" t="s">
        <v>31</v>
      </c>
      <c r="D12554" s="3" t="s">
        <v>60</v>
      </c>
      <c r="E12554" s="4" t="s">
        <v>22</v>
      </c>
      <c r="F12554" s="4" t="s">
        <v>63363</v>
      </c>
      <c r="G12554" s="4" t="s">
        <v>63364</v>
      </c>
      <c r="H12554" s="3" t="s">
        <v>60159</v>
      </c>
      <c r="I12554" s="3" t="s">
        <v>63365</v>
      </c>
      <c r="J12554" s="3" t="s">
        <v>63366</v>
      </c>
      <c r="K12554" s="3" t="s">
        <v>63367</v>
      </c>
      <c r="L12554" s="3"/>
      <c r="M12554" s="4"/>
      <c r="N12554" s="3" t="s">
        <v>37</v>
      </c>
      <c r="O12554" s="3" t="s">
        <v>52</v>
      </c>
      <c r="P12554" s="5">
        <v>0</v>
      </c>
      <c r="Q12554" s="5">
        <v>4</v>
      </c>
      <c r="R12554" s="5">
        <v>0</v>
      </c>
      <c r="S12554" s="5">
        <v>6</v>
      </c>
    </row>
    <row r="12555" spans="1:19" ht="42" x14ac:dyDescent="0.15">
      <c r="A12555" s="2">
        <f>HYPERLINK("https://open-school.uspishnemisto.com.ua/school/610704/", 610704)</f>
        <v>610704</v>
      </c>
      <c r="B12555" s="3" t="s">
        <v>63368</v>
      </c>
      <c r="C12555" s="3" t="s">
        <v>31</v>
      </c>
      <c r="D12555" s="3" t="s">
        <v>32</v>
      </c>
      <c r="E12555" s="4" t="s">
        <v>22</v>
      </c>
      <c r="F12555" s="4" t="s">
        <v>63369</v>
      </c>
      <c r="G12555" s="4" t="s">
        <v>63370</v>
      </c>
      <c r="H12555" s="3" t="s">
        <v>60159</v>
      </c>
      <c r="I12555" s="3" t="s">
        <v>63371</v>
      </c>
      <c r="J12555" s="3" t="s">
        <v>63372</v>
      </c>
      <c r="K12555" s="3" t="s">
        <v>63373</v>
      </c>
      <c r="L12555" s="3"/>
      <c r="M12555" s="4"/>
      <c r="N12555" s="3" t="s">
        <v>37</v>
      </c>
      <c r="O12555" s="3" t="s">
        <v>46</v>
      </c>
      <c r="P12555" s="5">
        <v>19</v>
      </c>
      <c r="Q12555" s="5">
        <v>361</v>
      </c>
      <c r="R12555" s="5">
        <v>18</v>
      </c>
      <c r="S12555" s="5">
        <v>349</v>
      </c>
    </row>
    <row r="12556" spans="1:19" ht="42" x14ac:dyDescent="0.15">
      <c r="A12556" s="2">
        <f>HYPERLINK("https://open-school.uspishnemisto.com.ua/school/610705/", 610705)</f>
        <v>610705</v>
      </c>
      <c r="B12556" s="3" t="s">
        <v>63374</v>
      </c>
      <c r="C12556" s="3" t="s">
        <v>31</v>
      </c>
      <c r="D12556" s="3" t="s">
        <v>32</v>
      </c>
      <c r="E12556" s="4" t="s">
        <v>22</v>
      </c>
      <c r="F12556" s="4" t="s">
        <v>63375</v>
      </c>
      <c r="G12556" s="4" t="s">
        <v>63376</v>
      </c>
      <c r="H12556" s="3" t="s">
        <v>60159</v>
      </c>
      <c r="I12556" s="3" t="s">
        <v>63377</v>
      </c>
      <c r="J12556" s="3" t="s">
        <v>47841</v>
      </c>
      <c r="K12556" s="3" t="s">
        <v>63378</v>
      </c>
      <c r="L12556" s="3" t="s">
        <v>63379</v>
      </c>
      <c r="M12556" s="4"/>
      <c r="N12556" s="3" t="s">
        <v>37</v>
      </c>
      <c r="O12556" s="3" t="s">
        <v>46</v>
      </c>
      <c r="P12556" s="5">
        <v>20</v>
      </c>
      <c r="Q12556" s="5">
        <v>377</v>
      </c>
      <c r="R12556" s="5">
        <v>20</v>
      </c>
      <c r="S12556" s="5">
        <v>378</v>
      </c>
    </row>
    <row r="12557" spans="1:19" ht="56" x14ac:dyDescent="0.15">
      <c r="A12557" s="2">
        <f>HYPERLINK("https://open-school.uspishnemisto.com.ua/school/610707/", 610707)</f>
        <v>610707</v>
      </c>
      <c r="B12557" s="3" t="s">
        <v>63380</v>
      </c>
      <c r="C12557" s="3" t="s">
        <v>54</v>
      </c>
      <c r="D12557" s="3" t="s">
        <v>175</v>
      </c>
      <c r="E12557" s="4" t="s">
        <v>22</v>
      </c>
      <c r="F12557" s="4" t="s">
        <v>63381</v>
      </c>
      <c r="G12557" s="4" t="s">
        <v>63382</v>
      </c>
      <c r="H12557" s="3" t="s">
        <v>60159</v>
      </c>
      <c r="I12557" s="3" t="s">
        <v>27297</v>
      </c>
      <c r="J12557" s="3" t="s">
        <v>63383</v>
      </c>
      <c r="K12557" s="3" t="s">
        <v>63384</v>
      </c>
      <c r="L12557" s="3"/>
      <c r="M12557" s="4"/>
      <c r="N12557" s="3" t="s">
        <v>37</v>
      </c>
      <c r="O12557" s="3" t="s">
        <v>46</v>
      </c>
      <c r="P12557" s="5">
        <v>8</v>
      </c>
      <c r="Q12557" s="5">
        <v>78</v>
      </c>
      <c r="R12557" s="5">
        <v>9</v>
      </c>
      <c r="S12557" s="5">
        <v>76</v>
      </c>
    </row>
    <row r="12558" spans="1:19" ht="42" x14ac:dyDescent="0.15">
      <c r="A12558" s="2">
        <f>HYPERLINK("https://open-school.uspishnemisto.com.ua/school/610708/", 610708)</f>
        <v>610708</v>
      </c>
      <c r="B12558" s="3" t="s">
        <v>63385</v>
      </c>
      <c r="C12558" s="3" t="s">
        <v>54</v>
      </c>
      <c r="D12558" s="3" t="s">
        <v>60</v>
      </c>
      <c r="E12558" s="4" t="s">
        <v>22</v>
      </c>
      <c r="F12558" s="4" t="s">
        <v>63331</v>
      </c>
      <c r="G12558" s="4" t="s">
        <v>63386</v>
      </c>
      <c r="H12558" s="3" t="s">
        <v>60159</v>
      </c>
      <c r="I12558" s="3" t="s">
        <v>63387</v>
      </c>
      <c r="J12558" s="3" t="s">
        <v>63388</v>
      </c>
      <c r="K12558" s="3" t="s">
        <v>63389</v>
      </c>
      <c r="L12558" s="3"/>
      <c r="M12558" s="4"/>
      <c r="N12558" s="3" t="s">
        <v>37</v>
      </c>
      <c r="O12558" s="3" t="s">
        <v>52</v>
      </c>
      <c r="P12558" s="5">
        <v>2</v>
      </c>
      <c r="Q12558" s="5">
        <v>16</v>
      </c>
      <c r="R12558" s="5">
        <v>2</v>
      </c>
      <c r="S12558" s="5">
        <v>15</v>
      </c>
    </row>
    <row r="12559" spans="1:19" ht="28" x14ac:dyDescent="0.15">
      <c r="A12559" s="2">
        <f>HYPERLINK("https://open-school.uspishnemisto.com.ua/school/610709/", 610709)</f>
        <v>610709</v>
      </c>
      <c r="B12559" s="3" t="s">
        <v>63390</v>
      </c>
      <c r="C12559" s="3" t="s">
        <v>54</v>
      </c>
      <c r="D12559" s="3" t="s">
        <v>175</v>
      </c>
      <c r="E12559" s="4" t="s">
        <v>22</v>
      </c>
      <c r="F12559" s="4" t="s">
        <v>63337</v>
      </c>
      <c r="G12559" s="4" t="s">
        <v>63391</v>
      </c>
      <c r="H12559" s="3" t="s">
        <v>60159</v>
      </c>
      <c r="I12559" s="3" t="s">
        <v>63392</v>
      </c>
      <c r="J12559" s="3" t="s">
        <v>933</v>
      </c>
      <c r="K12559" s="3" t="s">
        <v>63393</v>
      </c>
      <c r="L12559" s="3"/>
      <c r="M12559" s="4"/>
      <c r="N12559" s="3" t="s">
        <v>37</v>
      </c>
      <c r="O12559" s="3" t="s">
        <v>46</v>
      </c>
      <c r="P12559" s="5">
        <v>7</v>
      </c>
      <c r="Q12559" s="5">
        <v>56</v>
      </c>
      <c r="R12559" s="5">
        <v>5</v>
      </c>
      <c r="S12559" s="5">
        <v>52</v>
      </c>
    </row>
    <row r="12560" spans="1:19" ht="42" x14ac:dyDescent="0.15">
      <c r="A12560" s="2">
        <f>HYPERLINK("https://open-school.uspishnemisto.com.ua/school/610710/", 610710)</f>
        <v>610710</v>
      </c>
      <c r="B12560" s="3" t="s">
        <v>63394</v>
      </c>
      <c r="C12560" s="3" t="s">
        <v>31</v>
      </c>
      <c r="D12560" s="3" t="s">
        <v>60</v>
      </c>
      <c r="E12560" s="4" t="s">
        <v>22</v>
      </c>
      <c r="F12560" s="4"/>
      <c r="G12560" s="4" t="s">
        <v>63395</v>
      </c>
      <c r="H12560" s="3" t="s">
        <v>60159</v>
      </c>
      <c r="I12560" s="3" t="s">
        <v>16995</v>
      </c>
      <c r="J12560" s="3" t="s">
        <v>63396</v>
      </c>
      <c r="K12560" s="3"/>
      <c r="L12560" s="3"/>
      <c r="M12560" s="4"/>
      <c r="N12560" s="3" t="s">
        <v>37</v>
      </c>
      <c r="O12560" s="3" t="s">
        <v>52</v>
      </c>
      <c r="P12560" s="5">
        <v>0</v>
      </c>
      <c r="Q12560" s="5">
        <v>7</v>
      </c>
      <c r="R12560" s="5">
        <v>0</v>
      </c>
      <c r="S12560" s="5">
        <v>10</v>
      </c>
    </row>
    <row r="12561" spans="1:19" ht="56" x14ac:dyDescent="0.15">
      <c r="A12561" s="2">
        <f>HYPERLINK("https://open-school.uspishnemisto.com.ua/school/610711/", 610711)</f>
        <v>610711</v>
      </c>
      <c r="B12561" s="3" t="s">
        <v>63397</v>
      </c>
      <c r="C12561" s="3" t="s">
        <v>54</v>
      </c>
      <c r="D12561" s="3" t="s">
        <v>32</v>
      </c>
      <c r="E12561" s="4" t="s">
        <v>22</v>
      </c>
      <c r="F12561" s="4"/>
      <c r="G12561" s="4" t="s">
        <v>63398</v>
      </c>
      <c r="H12561" s="3" t="s">
        <v>60159</v>
      </c>
      <c r="I12561" s="3" t="s">
        <v>49609</v>
      </c>
      <c r="J12561" s="3" t="s">
        <v>63399</v>
      </c>
      <c r="K12561" s="3"/>
      <c r="L12561" s="3"/>
      <c r="M12561" s="4"/>
      <c r="N12561" s="3" t="s">
        <v>37</v>
      </c>
      <c r="O12561" s="3" t="s">
        <v>46</v>
      </c>
      <c r="P12561" s="5">
        <v>9</v>
      </c>
      <c r="Q12561" s="5">
        <v>74</v>
      </c>
      <c r="R12561" s="5">
        <v>10</v>
      </c>
      <c r="S12561" s="5">
        <v>76</v>
      </c>
    </row>
    <row r="12562" spans="1:19" ht="56" x14ac:dyDescent="0.15">
      <c r="A12562" s="2">
        <f>HYPERLINK("https://open-school.uspishnemisto.com.ua/school/610712/", 610712)</f>
        <v>610712</v>
      </c>
      <c r="B12562" s="3" t="s">
        <v>63400</v>
      </c>
      <c r="C12562" s="3" t="s">
        <v>54</v>
      </c>
      <c r="D12562" s="3" t="s">
        <v>175</v>
      </c>
      <c r="E12562" s="4" t="s">
        <v>22</v>
      </c>
      <c r="F12562" s="4" t="s">
        <v>63401</v>
      </c>
      <c r="G12562" s="4" t="s">
        <v>63402</v>
      </c>
      <c r="H12562" s="3" t="s">
        <v>60159</v>
      </c>
      <c r="I12562" s="3" t="s">
        <v>63403</v>
      </c>
      <c r="J12562" s="3" t="s">
        <v>42658</v>
      </c>
      <c r="K12562" s="3" t="s">
        <v>63404</v>
      </c>
      <c r="L12562" s="3" t="s">
        <v>63405</v>
      </c>
      <c r="M12562" s="4"/>
      <c r="N12562" s="3" t="s">
        <v>37</v>
      </c>
      <c r="O12562" s="3" t="s">
        <v>52</v>
      </c>
      <c r="P12562" s="5">
        <v>4</v>
      </c>
      <c r="Q12562" s="5">
        <v>31</v>
      </c>
      <c r="R12562" s="5">
        <v>3</v>
      </c>
      <c r="S12562" s="5">
        <v>26</v>
      </c>
    </row>
    <row r="12563" spans="1:19" ht="42" x14ac:dyDescent="0.15">
      <c r="A12563" s="2">
        <f>HYPERLINK("https://open-school.uspishnemisto.com.ua/school/610713/", 610713)</f>
        <v>610713</v>
      </c>
      <c r="B12563" s="3" t="s">
        <v>63406</v>
      </c>
      <c r="C12563" s="3" t="s">
        <v>31</v>
      </c>
      <c r="D12563" s="3" t="s">
        <v>60</v>
      </c>
      <c r="E12563" s="4" t="s">
        <v>22</v>
      </c>
      <c r="F12563" s="4" t="s">
        <v>63407</v>
      </c>
      <c r="G12563" s="4" t="s">
        <v>63408</v>
      </c>
      <c r="H12563" s="3" t="s">
        <v>60159</v>
      </c>
      <c r="I12563" s="3" t="s">
        <v>63409</v>
      </c>
      <c r="J12563" s="3" t="s">
        <v>63410</v>
      </c>
      <c r="K12563" s="3" t="s">
        <v>63411</v>
      </c>
      <c r="L12563" s="3"/>
      <c r="M12563" s="4"/>
      <c r="N12563" s="3" t="s">
        <v>37</v>
      </c>
      <c r="O12563" s="3" t="s">
        <v>52</v>
      </c>
      <c r="P12563" s="5">
        <v>4</v>
      </c>
      <c r="Q12563" s="5">
        <v>42</v>
      </c>
      <c r="R12563" s="5">
        <v>4</v>
      </c>
      <c r="S12563" s="5">
        <v>36</v>
      </c>
    </row>
    <row r="12564" spans="1:19" ht="56" x14ac:dyDescent="0.15">
      <c r="A12564" s="2">
        <f>HYPERLINK("https://open-school.uspishnemisto.com.ua/school/610714/", 610714)</f>
        <v>610714</v>
      </c>
      <c r="B12564" s="3" t="s">
        <v>63412</v>
      </c>
      <c r="C12564" s="3" t="s">
        <v>54</v>
      </c>
      <c r="D12564" s="3" t="s">
        <v>175</v>
      </c>
      <c r="E12564" s="4" t="s">
        <v>22</v>
      </c>
      <c r="F12564" s="4" t="s">
        <v>63413</v>
      </c>
      <c r="G12564" s="4" t="s">
        <v>63414</v>
      </c>
      <c r="H12564" s="3" t="s">
        <v>60159</v>
      </c>
      <c r="I12564" s="3" t="s">
        <v>27710</v>
      </c>
      <c r="J12564" s="3" t="s">
        <v>1576</v>
      </c>
      <c r="K12564" s="3" t="s">
        <v>63415</v>
      </c>
      <c r="L12564" s="3" t="s">
        <v>63416</v>
      </c>
      <c r="M12564" s="4"/>
      <c r="N12564" s="3" t="s">
        <v>37</v>
      </c>
      <c r="O12564" s="3" t="s">
        <v>52</v>
      </c>
      <c r="P12564" s="5">
        <v>0</v>
      </c>
      <c r="Q12564" s="5">
        <v>0</v>
      </c>
      <c r="R12564" s="5">
        <v>7</v>
      </c>
      <c r="S12564" s="5">
        <v>40</v>
      </c>
    </row>
    <row r="12565" spans="1:19" ht="42" x14ac:dyDescent="0.15">
      <c r="A12565" s="2">
        <f>HYPERLINK("https://open-school.uspishnemisto.com.ua/school/610715/", 610715)</f>
        <v>610715</v>
      </c>
      <c r="B12565" s="3" t="s">
        <v>63417</v>
      </c>
      <c r="C12565" s="3" t="s">
        <v>31</v>
      </c>
      <c r="D12565" s="3" t="s">
        <v>175</v>
      </c>
      <c r="E12565" s="4" t="s">
        <v>22</v>
      </c>
      <c r="F12565" s="4" t="s">
        <v>63418</v>
      </c>
      <c r="G12565" s="4" t="s">
        <v>63419</v>
      </c>
      <c r="H12565" s="3" t="s">
        <v>60159</v>
      </c>
      <c r="I12565" s="3" t="s">
        <v>63420</v>
      </c>
      <c r="J12565" s="3" t="s">
        <v>36861</v>
      </c>
      <c r="K12565" s="3" t="s">
        <v>63421</v>
      </c>
      <c r="L12565" s="3"/>
      <c r="M12565" s="4"/>
      <c r="N12565" s="3" t="s">
        <v>37</v>
      </c>
      <c r="O12565" s="3" t="s">
        <v>52</v>
      </c>
      <c r="P12565" s="5">
        <v>8</v>
      </c>
      <c r="Q12565" s="5">
        <v>59</v>
      </c>
      <c r="R12565" s="5">
        <v>8</v>
      </c>
      <c r="S12565" s="5">
        <v>61</v>
      </c>
    </row>
    <row r="12566" spans="1:19" ht="42" x14ac:dyDescent="0.15">
      <c r="A12566" s="2">
        <f>HYPERLINK("https://open-school.uspishnemisto.com.ua/school/610716/", 610716)</f>
        <v>610716</v>
      </c>
      <c r="B12566" s="3" t="s">
        <v>63422</v>
      </c>
      <c r="C12566" s="3" t="s">
        <v>31</v>
      </c>
      <c r="D12566" s="3" t="s">
        <v>175</v>
      </c>
      <c r="E12566" s="4" t="s">
        <v>22</v>
      </c>
      <c r="F12566" s="4" t="s">
        <v>63423</v>
      </c>
      <c r="G12566" s="4" t="s">
        <v>63424</v>
      </c>
      <c r="H12566" s="3" t="s">
        <v>60159</v>
      </c>
      <c r="I12566" s="3" t="s">
        <v>1684</v>
      </c>
      <c r="J12566" s="3" t="s">
        <v>7242</v>
      </c>
      <c r="K12566" s="3" t="s">
        <v>63425</v>
      </c>
      <c r="L12566" s="3"/>
      <c r="M12566" s="4"/>
      <c r="N12566" s="3" t="s">
        <v>37</v>
      </c>
      <c r="O12566" s="3" t="s">
        <v>52</v>
      </c>
      <c r="P12566" s="5">
        <v>3</v>
      </c>
      <c r="Q12566" s="5">
        <v>26</v>
      </c>
      <c r="R12566" s="5">
        <v>3</v>
      </c>
      <c r="S12566" s="5">
        <v>28</v>
      </c>
    </row>
    <row r="12567" spans="1:19" ht="56" x14ac:dyDescent="0.15">
      <c r="A12567" s="2">
        <f>HYPERLINK("https://open-school.uspishnemisto.com.ua/school/610717/", 610717)</f>
        <v>610717</v>
      </c>
      <c r="B12567" s="3" t="s">
        <v>63426</v>
      </c>
      <c r="C12567" s="3" t="s">
        <v>54</v>
      </c>
      <c r="D12567" s="3" t="s">
        <v>175</v>
      </c>
      <c r="E12567" s="4" t="s">
        <v>22</v>
      </c>
      <c r="F12567" s="4" t="s">
        <v>63427</v>
      </c>
      <c r="G12567" s="4" t="s">
        <v>63428</v>
      </c>
      <c r="H12567" s="3" t="s">
        <v>60159</v>
      </c>
      <c r="I12567" s="3" t="s">
        <v>63429</v>
      </c>
      <c r="J12567" s="3" t="s">
        <v>1198</v>
      </c>
      <c r="K12567" s="3" t="s">
        <v>63430</v>
      </c>
      <c r="L12567" s="3"/>
      <c r="M12567" s="4"/>
      <c r="N12567" s="3" t="s">
        <v>37</v>
      </c>
      <c r="O12567" s="3" t="s">
        <v>46</v>
      </c>
      <c r="P12567" s="5">
        <v>6</v>
      </c>
      <c r="Q12567" s="5">
        <v>48</v>
      </c>
      <c r="R12567" s="5">
        <v>6</v>
      </c>
      <c r="S12567" s="5">
        <v>46</v>
      </c>
    </row>
    <row r="12568" spans="1:19" ht="56" x14ac:dyDescent="0.15">
      <c r="A12568" s="2">
        <f>HYPERLINK("https://open-school.uspishnemisto.com.ua/school/610718/", 610718)</f>
        <v>610718</v>
      </c>
      <c r="B12568" s="3" t="s">
        <v>63431</v>
      </c>
      <c r="C12568" s="3" t="s">
        <v>54</v>
      </c>
      <c r="D12568" s="3" t="s">
        <v>32</v>
      </c>
      <c r="E12568" s="4" t="s">
        <v>22</v>
      </c>
      <c r="F12568" s="4" t="s">
        <v>63432</v>
      </c>
      <c r="G12568" s="4" t="s">
        <v>63433</v>
      </c>
      <c r="H12568" s="3" t="s">
        <v>60159</v>
      </c>
      <c r="I12568" s="3" t="s">
        <v>4171</v>
      </c>
      <c r="J12568" s="3" t="s">
        <v>28619</v>
      </c>
      <c r="K12568" s="3" t="s">
        <v>63434</v>
      </c>
      <c r="L12568" s="3"/>
      <c r="M12568" s="4"/>
      <c r="N12568" s="3" t="s">
        <v>37</v>
      </c>
      <c r="O12568" s="3" t="s">
        <v>46</v>
      </c>
      <c r="P12568" s="5">
        <v>26</v>
      </c>
      <c r="Q12568" s="5">
        <v>231</v>
      </c>
      <c r="R12568" s="5">
        <v>11</v>
      </c>
      <c r="S12568" s="5">
        <v>134</v>
      </c>
    </row>
    <row r="12569" spans="1:19" ht="42" x14ac:dyDescent="0.15">
      <c r="A12569" s="2">
        <f>HYPERLINK("https://open-school.uspishnemisto.com.ua/school/610719/", 610719)</f>
        <v>610719</v>
      </c>
      <c r="B12569" s="3" t="s">
        <v>63435</v>
      </c>
      <c r="C12569" s="3" t="s">
        <v>31</v>
      </c>
      <c r="D12569" s="3" t="s">
        <v>32</v>
      </c>
      <c r="E12569" s="4" t="s">
        <v>22</v>
      </c>
      <c r="F12569" s="4" t="s">
        <v>63436</v>
      </c>
      <c r="G12569" s="4" t="s">
        <v>63437</v>
      </c>
      <c r="H12569" s="3" t="s">
        <v>60159</v>
      </c>
      <c r="I12569" s="3" t="s">
        <v>63438</v>
      </c>
      <c r="J12569" s="3" t="s">
        <v>41067</v>
      </c>
      <c r="K12569" s="3" t="s">
        <v>63439</v>
      </c>
      <c r="L12569" s="3"/>
      <c r="M12569" s="4"/>
      <c r="N12569" s="3" t="s">
        <v>37</v>
      </c>
      <c r="O12569" s="3" t="s">
        <v>46</v>
      </c>
      <c r="P12569" s="5">
        <v>11</v>
      </c>
      <c r="Q12569" s="5">
        <v>111</v>
      </c>
      <c r="R12569" s="5">
        <v>11</v>
      </c>
      <c r="S12569" s="5">
        <v>109</v>
      </c>
    </row>
    <row r="12570" spans="1:19" ht="42" x14ac:dyDescent="0.15">
      <c r="A12570" s="2">
        <f>HYPERLINK("https://open-school.uspishnemisto.com.ua/school/610720/", 610720)</f>
        <v>610720</v>
      </c>
      <c r="B12570" s="3" t="s">
        <v>63440</v>
      </c>
      <c r="C12570" s="3" t="s">
        <v>54</v>
      </c>
      <c r="D12570" s="3" t="s">
        <v>60</v>
      </c>
      <c r="E12570" s="4" t="s">
        <v>22</v>
      </c>
      <c r="F12570" s="4" t="s">
        <v>63423</v>
      </c>
      <c r="G12570" s="4" t="s">
        <v>63441</v>
      </c>
      <c r="H12570" s="3" t="s">
        <v>60159</v>
      </c>
      <c r="I12570" s="3" t="s">
        <v>440</v>
      </c>
      <c r="J12570" s="3" t="s">
        <v>63442</v>
      </c>
      <c r="K12570" s="3" t="s">
        <v>63443</v>
      </c>
      <c r="L12570" s="3"/>
      <c r="M12570" s="4"/>
      <c r="N12570" s="3" t="s">
        <v>37</v>
      </c>
      <c r="O12570" s="3" t="s">
        <v>52</v>
      </c>
      <c r="P12570" s="5">
        <v>2</v>
      </c>
      <c r="Q12570" s="5">
        <v>18</v>
      </c>
      <c r="R12570" s="5">
        <v>1</v>
      </c>
      <c r="S12570" s="5">
        <v>14</v>
      </c>
    </row>
    <row r="12571" spans="1:19" ht="42" x14ac:dyDescent="0.15">
      <c r="A12571" s="2">
        <f>HYPERLINK("https://open-school.uspishnemisto.com.ua/school/610722/", 610722)</f>
        <v>610722</v>
      </c>
      <c r="B12571" s="3" t="s">
        <v>63444</v>
      </c>
      <c r="C12571" s="3" t="s">
        <v>31</v>
      </c>
      <c r="D12571" s="3" t="s">
        <v>175</v>
      </c>
      <c r="E12571" s="4" t="s">
        <v>22</v>
      </c>
      <c r="F12571" s="4" t="s">
        <v>63445</v>
      </c>
      <c r="G12571" s="4" t="s">
        <v>63446</v>
      </c>
      <c r="H12571" s="3" t="s">
        <v>60159</v>
      </c>
      <c r="I12571" s="3" t="s">
        <v>63447</v>
      </c>
      <c r="J12571" s="3" t="s">
        <v>63448</v>
      </c>
      <c r="K12571" s="3" t="s">
        <v>63449</v>
      </c>
      <c r="L12571" s="3"/>
      <c r="M12571" s="4"/>
      <c r="N12571" s="3" t="s">
        <v>37</v>
      </c>
      <c r="O12571" s="3" t="s">
        <v>46</v>
      </c>
      <c r="P12571" s="5">
        <v>8</v>
      </c>
      <c r="Q12571" s="5">
        <v>53</v>
      </c>
      <c r="R12571" s="5">
        <v>8</v>
      </c>
      <c r="S12571" s="5">
        <v>52</v>
      </c>
    </row>
    <row r="12572" spans="1:19" ht="56" x14ac:dyDescent="0.15">
      <c r="A12572" s="2">
        <f>HYPERLINK("https://open-school.uspishnemisto.com.ua/school/610723/", 610723)</f>
        <v>610723</v>
      </c>
      <c r="B12572" s="3" t="s">
        <v>63450</v>
      </c>
      <c r="C12572" s="3" t="s">
        <v>54</v>
      </c>
      <c r="D12572" s="3" t="s">
        <v>32</v>
      </c>
      <c r="E12572" s="4" t="s">
        <v>22</v>
      </c>
      <c r="F12572" s="4" t="s">
        <v>63445</v>
      </c>
      <c r="G12572" s="4" t="s">
        <v>63451</v>
      </c>
      <c r="H12572" s="3" t="s">
        <v>60159</v>
      </c>
      <c r="I12572" s="3" t="s">
        <v>63452</v>
      </c>
      <c r="J12572" s="3" t="s">
        <v>1216</v>
      </c>
      <c r="K12572" s="3" t="s">
        <v>63453</v>
      </c>
      <c r="L12572" s="3" t="s">
        <v>63454</v>
      </c>
      <c r="M12572" s="4"/>
      <c r="N12572" s="3" t="s">
        <v>37</v>
      </c>
      <c r="O12572" s="3" t="s">
        <v>46</v>
      </c>
      <c r="P12572" s="5">
        <v>24</v>
      </c>
      <c r="Q12572" s="5">
        <v>406</v>
      </c>
      <c r="R12572" s="5">
        <v>17</v>
      </c>
      <c r="S12572" s="5">
        <v>337</v>
      </c>
    </row>
    <row r="12573" spans="1:19" ht="42" x14ac:dyDescent="0.15">
      <c r="A12573" s="2">
        <f>HYPERLINK("https://open-school.uspishnemisto.com.ua/school/610724/", 610724)</f>
        <v>610724</v>
      </c>
      <c r="B12573" s="3" t="s">
        <v>63455</v>
      </c>
      <c r="C12573" s="3" t="s">
        <v>31</v>
      </c>
      <c r="D12573" s="3" t="s">
        <v>32</v>
      </c>
      <c r="E12573" s="4" t="s">
        <v>22</v>
      </c>
      <c r="F12573" s="4" t="s">
        <v>63456</v>
      </c>
      <c r="G12573" s="4" t="s">
        <v>63457</v>
      </c>
      <c r="H12573" s="3" t="s">
        <v>60159</v>
      </c>
      <c r="I12573" s="3" t="s">
        <v>63458</v>
      </c>
      <c r="J12573" s="3" t="s">
        <v>63459</v>
      </c>
      <c r="K12573" s="3" t="s">
        <v>63460</v>
      </c>
      <c r="L12573" s="3" t="s">
        <v>63461</v>
      </c>
      <c r="M12573" s="4"/>
      <c r="N12573" s="3" t="s">
        <v>37</v>
      </c>
      <c r="O12573" s="3" t="s">
        <v>46</v>
      </c>
      <c r="P12573" s="5">
        <v>11</v>
      </c>
      <c r="Q12573" s="5">
        <v>158</v>
      </c>
      <c r="R12573" s="5">
        <v>10</v>
      </c>
      <c r="S12573" s="5">
        <v>164</v>
      </c>
    </row>
    <row r="12574" spans="1:19" ht="42" x14ac:dyDescent="0.15">
      <c r="A12574" s="2">
        <f>HYPERLINK("https://open-school.uspishnemisto.com.ua/school/610725/", 610725)</f>
        <v>610725</v>
      </c>
      <c r="B12574" s="3" t="s">
        <v>63462</v>
      </c>
      <c r="C12574" s="3" t="s">
        <v>31</v>
      </c>
      <c r="D12574" s="3" t="s">
        <v>60</v>
      </c>
      <c r="E12574" s="4" t="s">
        <v>22</v>
      </c>
      <c r="F12574" s="4"/>
      <c r="G12574" s="4" t="s">
        <v>63463</v>
      </c>
      <c r="H12574" s="3" t="s">
        <v>60159</v>
      </c>
      <c r="I12574" s="3" t="s">
        <v>63464</v>
      </c>
      <c r="J12574" s="3"/>
      <c r="K12574" s="3"/>
      <c r="L12574" s="3"/>
      <c r="M12574" s="4"/>
      <c r="N12574" s="3" t="s">
        <v>37</v>
      </c>
      <c r="O12574" s="3" t="s">
        <v>52</v>
      </c>
      <c r="P12574" s="5">
        <v>0</v>
      </c>
      <c r="Q12574" s="5">
        <v>10</v>
      </c>
      <c r="R12574" s="5">
        <v>1</v>
      </c>
      <c r="S12574" s="5">
        <v>15</v>
      </c>
    </row>
    <row r="12575" spans="1:19" ht="42" x14ac:dyDescent="0.15">
      <c r="A12575" s="2">
        <f>HYPERLINK("https://open-school.uspishnemisto.com.ua/school/610726/", 610726)</f>
        <v>610726</v>
      </c>
      <c r="B12575" s="3" t="s">
        <v>63465</v>
      </c>
      <c r="C12575" s="3" t="s">
        <v>31</v>
      </c>
      <c r="D12575" s="3" t="s">
        <v>32</v>
      </c>
      <c r="E12575" s="4" t="s">
        <v>22</v>
      </c>
      <c r="F12575" s="4" t="s">
        <v>63466</v>
      </c>
      <c r="G12575" s="4" t="s">
        <v>63467</v>
      </c>
      <c r="H12575" s="3" t="s">
        <v>60159</v>
      </c>
      <c r="I12575" s="3" t="s">
        <v>33639</v>
      </c>
      <c r="J12575" s="3" t="s">
        <v>63468</v>
      </c>
      <c r="K12575" s="3" t="s">
        <v>63469</v>
      </c>
      <c r="L12575" s="3"/>
      <c r="M12575" s="4"/>
      <c r="N12575" s="3" t="s">
        <v>37</v>
      </c>
      <c r="O12575" s="3" t="s">
        <v>46</v>
      </c>
      <c r="P12575" s="5">
        <v>12</v>
      </c>
      <c r="Q12575" s="5">
        <v>211</v>
      </c>
      <c r="R12575" s="5">
        <v>12</v>
      </c>
      <c r="S12575" s="5">
        <v>202</v>
      </c>
    </row>
    <row r="12576" spans="1:19" ht="42" x14ac:dyDescent="0.15">
      <c r="A12576" s="2">
        <f>HYPERLINK("https://open-school.uspishnemisto.com.ua/school/610727/", 610727)</f>
        <v>610727</v>
      </c>
      <c r="B12576" s="3" t="s">
        <v>63470</v>
      </c>
      <c r="C12576" s="3" t="s">
        <v>31</v>
      </c>
      <c r="D12576" s="3" t="s">
        <v>175</v>
      </c>
      <c r="E12576" s="4" t="s">
        <v>22</v>
      </c>
      <c r="F12576" s="4" t="s">
        <v>63471</v>
      </c>
      <c r="G12576" s="4" t="s">
        <v>63472</v>
      </c>
      <c r="H12576" s="3" t="s">
        <v>60159</v>
      </c>
      <c r="I12576" s="3" t="s">
        <v>63473</v>
      </c>
      <c r="J12576" s="3" t="s">
        <v>63474</v>
      </c>
      <c r="K12576" s="3" t="s">
        <v>63475</v>
      </c>
      <c r="L12576" s="3"/>
      <c r="M12576" s="4"/>
      <c r="N12576" s="3" t="s">
        <v>37</v>
      </c>
      <c r="O12576" s="3" t="s">
        <v>52</v>
      </c>
      <c r="P12576" s="5">
        <v>8</v>
      </c>
      <c r="Q12576" s="5">
        <v>85</v>
      </c>
      <c r="R12576" s="5">
        <v>7</v>
      </c>
      <c r="S12576" s="5">
        <v>73</v>
      </c>
    </row>
    <row r="12577" spans="1:19" ht="42" x14ac:dyDescent="0.15">
      <c r="A12577" s="2">
        <f>HYPERLINK("https://open-school.uspishnemisto.com.ua/school/610728/", 610728)</f>
        <v>610728</v>
      </c>
      <c r="B12577" s="3" t="s">
        <v>63476</v>
      </c>
      <c r="C12577" s="3" t="s">
        <v>31</v>
      </c>
      <c r="D12577" s="3" t="s">
        <v>175</v>
      </c>
      <c r="E12577" s="4" t="s">
        <v>22</v>
      </c>
      <c r="F12577" s="4" t="s">
        <v>63477</v>
      </c>
      <c r="G12577" s="4" t="s">
        <v>63478</v>
      </c>
      <c r="H12577" s="3" t="s">
        <v>60159</v>
      </c>
      <c r="I12577" s="3" t="s">
        <v>62203</v>
      </c>
      <c r="J12577" s="3" t="s">
        <v>466</v>
      </c>
      <c r="K12577" s="3" t="s">
        <v>63479</v>
      </c>
      <c r="L12577" s="3"/>
      <c r="M12577" s="4"/>
      <c r="N12577" s="3" t="s">
        <v>37</v>
      </c>
      <c r="O12577" s="3" t="s">
        <v>46</v>
      </c>
      <c r="P12577" s="5">
        <v>9</v>
      </c>
      <c r="Q12577" s="5">
        <v>144</v>
      </c>
      <c r="R12577" s="5">
        <v>9</v>
      </c>
      <c r="S12577" s="5">
        <v>134</v>
      </c>
    </row>
    <row r="12578" spans="1:19" ht="28" x14ac:dyDescent="0.15">
      <c r="A12578" s="2">
        <f>HYPERLINK("https://open-school.uspishnemisto.com.ua/school/610729/", 610729)</f>
        <v>610729</v>
      </c>
      <c r="B12578" s="3" t="s">
        <v>63480</v>
      </c>
      <c r="C12578" s="3" t="s">
        <v>31</v>
      </c>
      <c r="D12578" s="3" t="s">
        <v>60</v>
      </c>
      <c r="E12578" s="4" t="s">
        <v>22</v>
      </c>
      <c r="F12578" s="4" t="s">
        <v>63481</v>
      </c>
      <c r="G12578" s="4" t="s">
        <v>63482</v>
      </c>
      <c r="H12578" s="3" t="s">
        <v>60159</v>
      </c>
      <c r="I12578" s="3" t="s">
        <v>7321</v>
      </c>
      <c r="J12578" s="3" t="s">
        <v>5377</v>
      </c>
      <c r="K12578" s="3"/>
      <c r="L12578" s="3"/>
      <c r="M12578" s="4"/>
      <c r="N12578" s="3" t="s">
        <v>37</v>
      </c>
      <c r="O12578" s="3" t="s">
        <v>52</v>
      </c>
      <c r="P12578" s="5">
        <v>3</v>
      </c>
      <c r="Q12578" s="5">
        <v>25</v>
      </c>
      <c r="R12578" s="5">
        <v>3</v>
      </c>
      <c r="S12578" s="5">
        <v>25</v>
      </c>
    </row>
    <row r="12579" spans="1:19" ht="42" x14ac:dyDescent="0.15">
      <c r="A12579" s="2">
        <f>HYPERLINK("https://open-school.uspishnemisto.com.ua/school/610730/", 610730)</f>
        <v>610730</v>
      </c>
      <c r="B12579" s="3" t="s">
        <v>63483</v>
      </c>
      <c r="C12579" s="3" t="s">
        <v>31</v>
      </c>
      <c r="D12579" s="3" t="s">
        <v>32</v>
      </c>
      <c r="E12579" s="4" t="s">
        <v>22</v>
      </c>
      <c r="F12579" s="4" t="s">
        <v>63481</v>
      </c>
      <c r="G12579" s="4" t="s">
        <v>63484</v>
      </c>
      <c r="H12579" s="3" t="s">
        <v>60159</v>
      </c>
      <c r="I12579" s="3" t="s">
        <v>1397</v>
      </c>
      <c r="J12579" s="3" t="s">
        <v>3399</v>
      </c>
      <c r="K12579" s="3" t="s">
        <v>63485</v>
      </c>
      <c r="L12579" s="3"/>
      <c r="M12579" s="4"/>
      <c r="N12579" s="3" t="s">
        <v>37</v>
      </c>
      <c r="O12579" s="3" t="s">
        <v>46</v>
      </c>
      <c r="P12579" s="5">
        <v>12</v>
      </c>
      <c r="Q12579" s="5">
        <v>194</v>
      </c>
      <c r="R12579" s="5">
        <v>12</v>
      </c>
      <c r="S12579" s="5">
        <v>186</v>
      </c>
    </row>
    <row r="12580" spans="1:19" ht="28" x14ac:dyDescent="0.15">
      <c r="A12580" s="2">
        <f>HYPERLINK("https://open-school.uspishnemisto.com.ua/school/610731/", 610731)</f>
        <v>610731</v>
      </c>
      <c r="B12580" s="3" t="s">
        <v>63486</v>
      </c>
      <c r="C12580" s="3" t="s">
        <v>54</v>
      </c>
      <c r="D12580" s="3" t="s">
        <v>60</v>
      </c>
      <c r="E12580" s="4" t="s">
        <v>22</v>
      </c>
      <c r="F12580" s="4" t="s">
        <v>63481</v>
      </c>
      <c r="G12580" s="4" t="s">
        <v>63487</v>
      </c>
      <c r="H12580" s="3" t="s">
        <v>60159</v>
      </c>
      <c r="I12580" s="3" t="s">
        <v>63488</v>
      </c>
      <c r="J12580" s="3" t="s">
        <v>63489</v>
      </c>
      <c r="K12580" s="3" t="s">
        <v>63490</v>
      </c>
      <c r="L12580" s="3"/>
      <c r="M12580" s="4"/>
      <c r="N12580" s="3" t="s">
        <v>37</v>
      </c>
      <c r="O12580" s="3" t="s">
        <v>52</v>
      </c>
      <c r="P12580" s="5">
        <v>4</v>
      </c>
      <c r="Q12580" s="5">
        <v>31</v>
      </c>
      <c r="R12580" s="5">
        <v>4</v>
      </c>
      <c r="S12580" s="5">
        <v>34</v>
      </c>
    </row>
    <row r="12581" spans="1:19" ht="28" x14ac:dyDescent="0.15">
      <c r="A12581" s="2">
        <f>HYPERLINK("https://open-school.uspishnemisto.com.ua/school/610732/", 610732)</f>
        <v>610732</v>
      </c>
      <c r="B12581" s="3" t="s">
        <v>63491</v>
      </c>
      <c r="C12581" s="3" t="s">
        <v>31</v>
      </c>
      <c r="D12581" s="3" t="s">
        <v>60</v>
      </c>
      <c r="E12581" s="4" t="s">
        <v>22</v>
      </c>
      <c r="F12581" s="4" t="s">
        <v>63492</v>
      </c>
      <c r="G12581" s="4" t="s">
        <v>63493</v>
      </c>
      <c r="H12581" s="3" t="s">
        <v>60159</v>
      </c>
      <c r="I12581" s="3" t="s">
        <v>17032</v>
      </c>
      <c r="J12581" s="3" t="s">
        <v>63494</v>
      </c>
      <c r="K12581" s="3" t="s">
        <v>63495</v>
      </c>
      <c r="L12581" s="3"/>
      <c r="M12581" s="4"/>
      <c r="N12581" s="3" t="s">
        <v>37</v>
      </c>
      <c r="O12581" s="3" t="s">
        <v>52</v>
      </c>
      <c r="P12581" s="5">
        <v>3</v>
      </c>
      <c r="Q12581" s="5">
        <v>23</v>
      </c>
      <c r="R12581" s="5">
        <v>2</v>
      </c>
      <c r="S12581" s="5">
        <v>21</v>
      </c>
    </row>
    <row r="12582" spans="1:19" ht="42" x14ac:dyDescent="0.15">
      <c r="A12582" s="2">
        <f>HYPERLINK("https://open-school.uspishnemisto.com.ua/school/610733/", 610733)</f>
        <v>610733</v>
      </c>
      <c r="B12582" s="3" t="s">
        <v>63496</v>
      </c>
      <c r="C12582" s="3" t="s">
        <v>31</v>
      </c>
      <c r="D12582" s="3" t="s">
        <v>32</v>
      </c>
      <c r="E12582" s="4" t="s">
        <v>22</v>
      </c>
      <c r="F12582" s="4" t="s">
        <v>63497</v>
      </c>
      <c r="G12582" s="4" t="s">
        <v>63498</v>
      </c>
      <c r="H12582" s="3" t="s">
        <v>60159</v>
      </c>
      <c r="I12582" s="3" t="s">
        <v>63499</v>
      </c>
      <c r="J12582" s="3" t="s">
        <v>2745</v>
      </c>
      <c r="K12582" s="3" t="s">
        <v>63500</v>
      </c>
      <c r="L12582" s="3"/>
      <c r="M12582" s="4"/>
      <c r="N12582" s="3" t="s">
        <v>37</v>
      </c>
      <c r="O12582" s="3" t="s">
        <v>46</v>
      </c>
      <c r="P12582" s="5">
        <v>9</v>
      </c>
      <c r="Q12582" s="5">
        <v>108</v>
      </c>
      <c r="R12582" s="5">
        <v>9</v>
      </c>
      <c r="S12582" s="5">
        <v>102</v>
      </c>
    </row>
    <row r="12583" spans="1:19" ht="28" x14ac:dyDescent="0.15">
      <c r="A12583" s="2">
        <f>HYPERLINK("https://open-school.uspishnemisto.com.ua/school/610734/", 610734)</f>
        <v>610734</v>
      </c>
      <c r="B12583" s="3" t="s">
        <v>63501</v>
      </c>
      <c r="C12583" s="3" t="s">
        <v>31</v>
      </c>
      <c r="D12583" s="3" t="s">
        <v>175</v>
      </c>
      <c r="E12583" s="4" t="s">
        <v>22</v>
      </c>
      <c r="F12583" s="4" t="s">
        <v>63502</v>
      </c>
      <c r="G12583" s="4" t="s">
        <v>63503</v>
      </c>
      <c r="H12583" s="3" t="s">
        <v>60159</v>
      </c>
      <c r="I12583" s="3" t="s">
        <v>43121</v>
      </c>
      <c r="J12583" s="3" t="s">
        <v>63504</v>
      </c>
      <c r="K12583" s="3" t="s">
        <v>63505</v>
      </c>
      <c r="L12583" s="3" t="s">
        <v>63506</v>
      </c>
      <c r="M12583" s="4"/>
      <c r="N12583" s="3" t="s">
        <v>37</v>
      </c>
      <c r="O12583" s="3" t="s">
        <v>46</v>
      </c>
      <c r="P12583" s="5">
        <v>7</v>
      </c>
      <c r="Q12583" s="5">
        <v>60</v>
      </c>
      <c r="R12583" s="5">
        <v>9</v>
      </c>
      <c r="S12583" s="5">
        <v>70</v>
      </c>
    </row>
    <row r="12584" spans="1:19" ht="42" x14ac:dyDescent="0.15">
      <c r="A12584" s="2">
        <f>HYPERLINK("https://open-school.uspishnemisto.com.ua/school/610735/", 610735)</f>
        <v>610735</v>
      </c>
      <c r="B12584" s="3" t="s">
        <v>63507</v>
      </c>
      <c r="C12584" s="3" t="s">
        <v>31</v>
      </c>
      <c r="D12584" s="3" t="s">
        <v>175</v>
      </c>
      <c r="E12584" s="4" t="s">
        <v>22</v>
      </c>
      <c r="F12584" s="4" t="s">
        <v>63502</v>
      </c>
      <c r="G12584" s="4" t="s">
        <v>63508</v>
      </c>
      <c r="H12584" s="3" t="s">
        <v>60159</v>
      </c>
      <c r="I12584" s="3" t="s">
        <v>63509</v>
      </c>
      <c r="J12584" s="3" t="s">
        <v>946</v>
      </c>
      <c r="K12584" s="3" t="s">
        <v>63510</v>
      </c>
      <c r="L12584" s="3"/>
      <c r="M12584" s="4"/>
      <c r="N12584" s="3" t="s">
        <v>37</v>
      </c>
      <c r="O12584" s="3" t="s">
        <v>46</v>
      </c>
      <c r="P12584" s="5">
        <v>9</v>
      </c>
      <c r="Q12584" s="5">
        <v>70</v>
      </c>
      <c r="R12584" s="5">
        <v>8</v>
      </c>
      <c r="S12584" s="5">
        <v>62</v>
      </c>
    </row>
    <row r="12585" spans="1:19" ht="42" x14ac:dyDescent="0.15">
      <c r="A12585" s="2">
        <f>HYPERLINK("https://open-school.uspishnemisto.com.ua/school/610736/", 610736)</f>
        <v>610736</v>
      </c>
      <c r="B12585" s="3" t="s">
        <v>63511</v>
      </c>
      <c r="C12585" s="3" t="s">
        <v>31</v>
      </c>
      <c r="D12585" s="3" t="s">
        <v>175</v>
      </c>
      <c r="E12585" s="4" t="s">
        <v>22</v>
      </c>
      <c r="F12585" s="4" t="s">
        <v>63337</v>
      </c>
      <c r="G12585" s="4" t="s">
        <v>63512</v>
      </c>
      <c r="H12585" s="3" t="s">
        <v>60159</v>
      </c>
      <c r="I12585" s="3" t="s">
        <v>63513</v>
      </c>
      <c r="J12585" s="3" t="s">
        <v>63514</v>
      </c>
      <c r="K12585" s="3" t="s">
        <v>63515</v>
      </c>
      <c r="L12585" s="3"/>
      <c r="M12585" s="4"/>
      <c r="N12585" s="3" t="s">
        <v>37</v>
      </c>
      <c r="O12585" s="3" t="s">
        <v>52</v>
      </c>
      <c r="P12585" s="5">
        <v>2</v>
      </c>
      <c r="Q12585" s="5">
        <v>25</v>
      </c>
      <c r="R12585" s="5">
        <v>3</v>
      </c>
      <c r="S12585" s="5">
        <v>27</v>
      </c>
    </row>
    <row r="12586" spans="1:19" ht="42" x14ac:dyDescent="0.15">
      <c r="A12586" s="2">
        <f>HYPERLINK("https://open-school.uspishnemisto.com.ua/school/610737/", 610737)</f>
        <v>610737</v>
      </c>
      <c r="B12586" s="3" t="s">
        <v>63516</v>
      </c>
      <c r="C12586" s="3" t="s">
        <v>31</v>
      </c>
      <c r="D12586" s="3" t="s">
        <v>175</v>
      </c>
      <c r="E12586" s="4" t="s">
        <v>22</v>
      </c>
      <c r="F12586" s="4" t="s">
        <v>63517</v>
      </c>
      <c r="G12586" s="4" t="s">
        <v>63518</v>
      </c>
      <c r="H12586" s="3" t="s">
        <v>60159</v>
      </c>
      <c r="I12586" s="3" t="s">
        <v>63519</v>
      </c>
      <c r="J12586" s="3" t="s">
        <v>6800</v>
      </c>
      <c r="K12586" s="3" t="s">
        <v>63520</v>
      </c>
      <c r="L12586" s="3"/>
      <c r="M12586" s="4"/>
      <c r="N12586" s="3" t="s">
        <v>37</v>
      </c>
      <c r="O12586" s="3" t="s">
        <v>52</v>
      </c>
      <c r="P12586" s="5">
        <v>0</v>
      </c>
      <c r="Q12586" s="5">
        <v>0</v>
      </c>
      <c r="R12586" s="5">
        <v>8</v>
      </c>
      <c r="S12586" s="5">
        <v>50</v>
      </c>
    </row>
    <row r="12587" spans="1:19" ht="42" x14ac:dyDescent="0.15">
      <c r="A12587" s="2">
        <f>HYPERLINK("https://open-school.uspishnemisto.com.ua/school/610738/", 610738)</f>
        <v>610738</v>
      </c>
      <c r="B12587" s="3" t="s">
        <v>63521</v>
      </c>
      <c r="C12587" s="3" t="s">
        <v>31</v>
      </c>
      <c r="D12587" s="3" t="s">
        <v>60</v>
      </c>
      <c r="E12587" s="4" t="s">
        <v>22</v>
      </c>
      <c r="F12587" s="4" t="s">
        <v>63517</v>
      </c>
      <c r="G12587" s="4" t="s">
        <v>63522</v>
      </c>
      <c r="H12587" s="3" t="s">
        <v>60159</v>
      </c>
      <c r="I12587" s="3" t="s">
        <v>63523</v>
      </c>
      <c r="J12587" s="3" t="s">
        <v>63524</v>
      </c>
      <c r="K12587" s="3" t="s">
        <v>63525</v>
      </c>
      <c r="L12587" s="3"/>
      <c r="M12587" s="4"/>
      <c r="N12587" s="3" t="s">
        <v>37</v>
      </c>
      <c r="O12587" s="3" t="s">
        <v>52</v>
      </c>
      <c r="P12587" s="5">
        <v>3</v>
      </c>
      <c r="Q12587" s="5">
        <v>18</v>
      </c>
      <c r="R12587" s="5">
        <v>3</v>
      </c>
      <c r="S12587" s="5">
        <v>23</v>
      </c>
    </row>
    <row r="12588" spans="1:19" ht="42" x14ac:dyDescent="0.15">
      <c r="A12588" s="2">
        <f>HYPERLINK("https://open-school.uspishnemisto.com.ua/school/610739/", 610739)</f>
        <v>610739</v>
      </c>
      <c r="B12588" s="3" t="s">
        <v>63526</v>
      </c>
      <c r="C12588" s="3" t="s">
        <v>31</v>
      </c>
      <c r="D12588" s="3" t="s">
        <v>32</v>
      </c>
      <c r="E12588" s="4" t="s">
        <v>22</v>
      </c>
      <c r="F12588" s="4" t="s">
        <v>63331</v>
      </c>
      <c r="G12588" s="4" t="s">
        <v>63527</v>
      </c>
      <c r="H12588" s="3" t="s">
        <v>60159</v>
      </c>
      <c r="I12588" s="3" t="s">
        <v>63528</v>
      </c>
      <c r="J12588" s="3"/>
      <c r="K12588" s="3" t="s">
        <v>63529</v>
      </c>
      <c r="L12588" s="3"/>
      <c r="M12588" s="4"/>
      <c r="N12588" s="3" t="s">
        <v>37</v>
      </c>
      <c r="O12588" s="3" t="s">
        <v>46</v>
      </c>
      <c r="P12588" s="5">
        <v>11</v>
      </c>
      <c r="Q12588" s="5">
        <v>132</v>
      </c>
      <c r="R12588" s="5">
        <v>11</v>
      </c>
      <c r="S12588" s="5">
        <v>123</v>
      </c>
    </row>
    <row r="12589" spans="1:19" ht="42" x14ac:dyDescent="0.15">
      <c r="A12589" s="2">
        <f>HYPERLINK("https://open-school.uspishnemisto.com.ua/school/610740/", 610740)</f>
        <v>610740</v>
      </c>
      <c r="B12589" s="3" t="s">
        <v>63530</v>
      </c>
      <c r="C12589" s="3" t="s">
        <v>54</v>
      </c>
      <c r="D12589" s="3" t="s">
        <v>60</v>
      </c>
      <c r="E12589" s="4" t="s">
        <v>22</v>
      </c>
      <c r="F12589" s="4" t="s">
        <v>63531</v>
      </c>
      <c r="G12589" s="4" t="s">
        <v>63532</v>
      </c>
      <c r="H12589" s="3" t="s">
        <v>60159</v>
      </c>
      <c r="I12589" s="3" t="s">
        <v>63533</v>
      </c>
      <c r="J12589" s="3" t="s">
        <v>63534</v>
      </c>
      <c r="K12589" s="3" t="s">
        <v>63535</v>
      </c>
      <c r="L12589" s="3" t="s">
        <v>63536</v>
      </c>
      <c r="M12589" s="4"/>
      <c r="N12589" s="3" t="s">
        <v>37</v>
      </c>
      <c r="O12589" s="3" t="s">
        <v>52</v>
      </c>
      <c r="P12589" s="5">
        <v>3</v>
      </c>
      <c r="Q12589" s="5">
        <v>19</v>
      </c>
      <c r="R12589" s="5">
        <v>3</v>
      </c>
      <c r="S12589" s="5">
        <v>20</v>
      </c>
    </row>
    <row r="12590" spans="1:19" ht="42" x14ac:dyDescent="0.15">
      <c r="A12590" s="2">
        <f>HYPERLINK("https://open-school.uspishnemisto.com.ua/school/610741/", 610741)</f>
        <v>610741</v>
      </c>
      <c r="B12590" s="3" t="s">
        <v>63537</v>
      </c>
      <c r="C12590" s="3" t="s">
        <v>31</v>
      </c>
      <c r="D12590" s="3" t="s">
        <v>175</v>
      </c>
      <c r="E12590" s="4" t="s">
        <v>22</v>
      </c>
      <c r="F12590" s="4" t="s">
        <v>63538</v>
      </c>
      <c r="G12590" s="4" t="s">
        <v>63539</v>
      </c>
      <c r="H12590" s="3" t="s">
        <v>60159</v>
      </c>
      <c r="I12590" s="3" t="s">
        <v>63540</v>
      </c>
      <c r="J12590" s="3" t="s">
        <v>33917</v>
      </c>
      <c r="K12590" s="3" t="s">
        <v>63541</v>
      </c>
      <c r="L12590" s="3" t="s">
        <v>63542</v>
      </c>
      <c r="M12590" s="4"/>
      <c r="N12590" s="3" t="s">
        <v>37</v>
      </c>
      <c r="O12590" s="3" t="s">
        <v>46</v>
      </c>
      <c r="P12590" s="5">
        <v>9</v>
      </c>
      <c r="Q12590" s="5">
        <v>79</v>
      </c>
      <c r="R12590" s="5">
        <v>9</v>
      </c>
      <c r="S12590" s="5">
        <v>81</v>
      </c>
    </row>
    <row r="12591" spans="1:19" ht="70" x14ac:dyDescent="0.15">
      <c r="A12591" s="2">
        <f>HYPERLINK("https://open-school.uspishnemisto.com.ua/school/610742/", 610742)</f>
        <v>610742</v>
      </c>
      <c r="B12591" s="3" t="s">
        <v>63543</v>
      </c>
      <c r="C12591" s="3" t="s">
        <v>54</v>
      </c>
      <c r="D12591" s="3" t="s">
        <v>175</v>
      </c>
      <c r="E12591" s="4" t="s">
        <v>22</v>
      </c>
      <c r="F12591" s="4" t="s">
        <v>63517</v>
      </c>
      <c r="G12591" s="4" t="s">
        <v>63544</v>
      </c>
      <c r="H12591" s="3" t="s">
        <v>60159</v>
      </c>
      <c r="I12591" s="3" t="s">
        <v>63545</v>
      </c>
      <c r="J12591" s="3" t="s">
        <v>63546</v>
      </c>
      <c r="K12591" s="3" t="s">
        <v>63547</v>
      </c>
      <c r="L12591" s="3"/>
      <c r="M12591" s="4"/>
      <c r="N12591" s="3" t="s">
        <v>37</v>
      </c>
      <c r="O12591" s="3" t="s">
        <v>46</v>
      </c>
      <c r="P12591" s="5">
        <v>7</v>
      </c>
      <c r="Q12591" s="5">
        <v>63</v>
      </c>
      <c r="R12591" s="5">
        <v>7</v>
      </c>
      <c r="S12591" s="5">
        <v>57</v>
      </c>
    </row>
    <row r="12592" spans="1:19" ht="42" x14ac:dyDescent="0.15">
      <c r="A12592" s="2">
        <f>HYPERLINK("https://open-school.uspishnemisto.com.ua/school/610743/", 610743)</f>
        <v>610743</v>
      </c>
      <c r="B12592" s="3" t="s">
        <v>63548</v>
      </c>
      <c r="C12592" s="3" t="s">
        <v>31</v>
      </c>
      <c r="D12592" s="3" t="s">
        <v>32</v>
      </c>
      <c r="E12592" s="4" t="s">
        <v>22</v>
      </c>
      <c r="F12592" s="4" t="s">
        <v>63549</v>
      </c>
      <c r="G12592" s="4" t="s">
        <v>63550</v>
      </c>
      <c r="H12592" s="3" t="s">
        <v>60159</v>
      </c>
      <c r="I12592" s="3" t="s">
        <v>39383</v>
      </c>
      <c r="J12592" s="3" t="s">
        <v>63551</v>
      </c>
      <c r="K12592" s="3" t="s">
        <v>63552</v>
      </c>
      <c r="L12592" s="3"/>
      <c r="M12592" s="4"/>
      <c r="N12592" s="3" t="s">
        <v>37</v>
      </c>
      <c r="O12592" s="3" t="s">
        <v>52</v>
      </c>
      <c r="P12592" s="5">
        <v>17</v>
      </c>
      <c r="Q12592" s="5">
        <v>304</v>
      </c>
      <c r="R12592" s="5">
        <v>18</v>
      </c>
      <c r="S12592" s="5">
        <v>318</v>
      </c>
    </row>
    <row r="12593" spans="1:19" ht="28" x14ac:dyDescent="0.15">
      <c r="A12593" s="2">
        <f>HYPERLINK("https://open-school.uspishnemisto.com.ua/school/610744/", 610744)</f>
        <v>610744</v>
      </c>
      <c r="B12593" s="3" t="s">
        <v>63553</v>
      </c>
      <c r="C12593" s="3" t="s">
        <v>31</v>
      </c>
      <c r="D12593" s="3" t="s">
        <v>32</v>
      </c>
      <c r="E12593" s="4" t="s">
        <v>22</v>
      </c>
      <c r="F12593" s="4"/>
      <c r="G12593" s="4" t="s">
        <v>63554</v>
      </c>
      <c r="H12593" s="3" t="s">
        <v>60159</v>
      </c>
      <c r="I12593" s="3" t="s">
        <v>18541</v>
      </c>
      <c r="J12593" s="3" t="s">
        <v>1348</v>
      </c>
      <c r="K12593" s="3"/>
      <c r="L12593" s="3"/>
      <c r="M12593" s="4"/>
      <c r="N12593" s="3" t="s">
        <v>37</v>
      </c>
      <c r="O12593" s="3" t="s">
        <v>46</v>
      </c>
      <c r="P12593" s="5">
        <v>10</v>
      </c>
      <c r="Q12593" s="5">
        <v>81</v>
      </c>
      <c r="R12593" s="5">
        <v>10</v>
      </c>
      <c r="S12593" s="5">
        <v>83</v>
      </c>
    </row>
    <row r="12594" spans="1:19" ht="28" x14ac:dyDescent="0.15">
      <c r="A12594" s="2">
        <f>HYPERLINK("https://open-school.uspishnemisto.com.ua/school/610745/", 610745)</f>
        <v>610745</v>
      </c>
      <c r="B12594" s="3" t="s">
        <v>63555</v>
      </c>
      <c r="C12594" s="3" t="s">
        <v>31</v>
      </c>
      <c r="D12594" s="3" t="s">
        <v>32</v>
      </c>
      <c r="E12594" s="4" t="s">
        <v>22</v>
      </c>
      <c r="F12594" s="4" t="s">
        <v>63556</v>
      </c>
      <c r="G12594" s="4" t="s">
        <v>63557</v>
      </c>
      <c r="H12594" s="3" t="s">
        <v>60159</v>
      </c>
      <c r="I12594" s="3" t="s">
        <v>63558</v>
      </c>
      <c r="J12594" s="3" t="s">
        <v>41331</v>
      </c>
      <c r="K12594" s="3" t="s">
        <v>63559</v>
      </c>
      <c r="L12594" s="3" t="s">
        <v>63560</v>
      </c>
      <c r="M12594" s="4"/>
      <c r="N12594" s="3" t="s">
        <v>37</v>
      </c>
      <c r="O12594" s="3" t="s">
        <v>52</v>
      </c>
      <c r="P12594" s="5">
        <v>11</v>
      </c>
      <c r="Q12594" s="5">
        <v>193</v>
      </c>
      <c r="R12594" s="5">
        <v>11</v>
      </c>
      <c r="S12594" s="5">
        <v>198</v>
      </c>
    </row>
    <row r="12595" spans="1:19" ht="28" x14ac:dyDescent="0.15">
      <c r="A12595" s="2">
        <f>HYPERLINK("https://open-school.uspishnemisto.com.ua/school/610746/", 610746)</f>
        <v>610746</v>
      </c>
      <c r="B12595" s="3" t="s">
        <v>63561</v>
      </c>
      <c r="C12595" s="3" t="s">
        <v>31</v>
      </c>
      <c r="D12595" s="3" t="s">
        <v>32</v>
      </c>
      <c r="E12595" s="4" t="s">
        <v>22</v>
      </c>
      <c r="F12595" s="4" t="s">
        <v>63562</v>
      </c>
      <c r="G12595" s="4" t="s">
        <v>63563</v>
      </c>
      <c r="H12595" s="3" t="s">
        <v>60159</v>
      </c>
      <c r="I12595" s="3" t="s">
        <v>2144</v>
      </c>
      <c r="J12595" s="3"/>
      <c r="K12595" s="3" t="s">
        <v>63564</v>
      </c>
      <c r="L12595" s="3"/>
      <c r="M12595" s="4"/>
      <c r="N12595" s="3" t="s">
        <v>37</v>
      </c>
      <c r="O12595" s="3" t="s">
        <v>52</v>
      </c>
      <c r="P12595" s="5">
        <v>11</v>
      </c>
      <c r="Q12595" s="5">
        <v>225</v>
      </c>
      <c r="R12595" s="5">
        <v>12</v>
      </c>
      <c r="S12595" s="5">
        <v>220</v>
      </c>
    </row>
    <row r="12596" spans="1:19" ht="28" x14ac:dyDescent="0.15">
      <c r="A12596" s="2">
        <f>HYPERLINK("https://open-school.uspishnemisto.com.ua/school/610747/", 610747)</f>
        <v>610747</v>
      </c>
      <c r="B12596" s="3" t="s">
        <v>63565</v>
      </c>
      <c r="C12596" s="3" t="s">
        <v>31</v>
      </c>
      <c r="D12596" s="3" t="s">
        <v>175</v>
      </c>
      <c r="E12596" s="4" t="s">
        <v>22</v>
      </c>
      <c r="F12596" s="4" t="s">
        <v>63566</v>
      </c>
      <c r="G12596" s="4" t="s">
        <v>63567</v>
      </c>
      <c r="H12596" s="3" t="s">
        <v>60159</v>
      </c>
      <c r="I12596" s="3" t="s">
        <v>63568</v>
      </c>
      <c r="J12596" s="3" t="s">
        <v>63569</v>
      </c>
      <c r="K12596" s="3" t="s">
        <v>63570</v>
      </c>
      <c r="L12596" s="3"/>
      <c r="M12596" s="4"/>
      <c r="N12596" s="3" t="s">
        <v>37</v>
      </c>
      <c r="O12596" s="3" t="s">
        <v>52</v>
      </c>
      <c r="P12596" s="5">
        <v>9</v>
      </c>
      <c r="Q12596" s="5">
        <v>71</v>
      </c>
      <c r="R12596" s="5">
        <v>9</v>
      </c>
      <c r="S12596" s="5">
        <v>73</v>
      </c>
    </row>
    <row r="12597" spans="1:19" ht="56" x14ac:dyDescent="0.15">
      <c r="A12597" s="2">
        <f>HYPERLINK("https://open-school.uspishnemisto.com.ua/school/610748/", 610748)</f>
        <v>610748</v>
      </c>
      <c r="B12597" s="3" t="s">
        <v>63571</v>
      </c>
      <c r="C12597" s="3" t="s">
        <v>54</v>
      </c>
      <c r="D12597" s="3" t="s">
        <v>32</v>
      </c>
      <c r="E12597" s="4" t="s">
        <v>22</v>
      </c>
      <c r="F12597" s="4" t="s">
        <v>63572</v>
      </c>
      <c r="G12597" s="4" t="s">
        <v>63573</v>
      </c>
      <c r="H12597" s="3" t="s">
        <v>60159</v>
      </c>
      <c r="I12597" s="3" t="s">
        <v>63574</v>
      </c>
      <c r="J12597" s="3" t="s">
        <v>466</v>
      </c>
      <c r="K12597" s="3" t="s">
        <v>63575</v>
      </c>
      <c r="L12597" s="3"/>
      <c r="M12597" s="4"/>
      <c r="N12597" s="3" t="s">
        <v>37</v>
      </c>
      <c r="O12597" s="3" t="s">
        <v>52</v>
      </c>
      <c r="P12597" s="5">
        <v>10</v>
      </c>
      <c r="Q12597" s="5">
        <v>109</v>
      </c>
      <c r="R12597" s="5">
        <v>10</v>
      </c>
      <c r="S12597" s="5">
        <v>114</v>
      </c>
    </row>
    <row r="12598" spans="1:19" ht="28" x14ac:dyDescent="0.15">
      <c r="A12598" s="2">
        <f>HYPERLINK("https://open-school.uspishnemisto.com.ua/school/610749/", 610749)</f>
        <v>610749</v>
      </c>
      <c r="B12598" s="3" t="s">
        <v>63576</v>
      </c>
      <c r="C12598" s="3" t="s">
        <v>31</v>
      </c>
      <c r="D12598" s="3" t="s">
        <v>175</v>
      </c>
      <c r="E12598" s="4" t="s">
        <v>22</v>
      </c>
      <c r="F12598" s="4" t="s">
        <v>63577</v>
      </c>
      <c r="G12598" s="4" t="s">
        <v>63578</v>
      </c>
      <c r="H12598" s="3" t="s">
        <v>60159</v>
      </c>
      <c r="I12598" s="3" t="s">
        <v>63579</v>
      </c>
      <c r="J12598" s="3" t="s">
        <v>63580</v>
      </c>
      <c r="K12598" s="3" t="s">
        <v>63581</v>
      </c>
      <c r="L12598" s="3" t="s">
        <v>63582</v>
      </c>
      <c r="M12598" s="4"/>
      <c r="N12598" s="3" t="s">
        <v>37</v>
      </c>
      <c r="O12598" s="3" t="s">
        <v>52</v>
      </c>
      <c r="P12598" s="5">
        <v>8</v>
      </c>
      <c r="Q12598" s="5">
        <v>70</v>
      </c>
      <c r="R12598" s="5">
        <v>8</v>
      </c>
      <c r="S12598" s="5">
        <v>65</v>
      </c>
    </row>
    <row r="12599" spans="1:19" ht="28" x14ac:dyDescent="0.15">
      <c r="A12599" s="2">
        <f>HYPERLINK("https://open-school.uspishnemisto.com.ua/school/610750/", 610750)</f>
        <v>610750</v>
      </c>
      <c r="B12599" s="3" t="s">
        <v>63583</v>
      </c>
      <c r="C12599" s="3" t="s">
        <v>31</v>
      </c>
      <c r="D12599" s="3" t="s">
        <v>32</v>
      </c>
      <c r="E12599" s="4" t="s">
        <v>22</v>
      </c>
      <c r="F12599" s="4" t="s">
        <v>63584</v>
      </c>
      <c r="G12599" s="4" t="s">
        <v>63585</v>
      </c>
      <c r="H12599" s="3" t="s">
        <v>60159</v>
      </c>
      <c r="I12599" s="3" t="s">
        <v>4511</v>
      </c>
      <c r="J12599" s="3" t="s">
        <v>63586</v>
      </c>
      <c r="K12599" s="3" t="s">
        <v>63587</v>
      </c>
      <c r="L12599" s="3" t="s">
        <v>63588</v>
      </c>
      <c r="M12599" s="4"/>
      <c r="N12599" s="3" t="s">
        <v>37</v>
      </c>
      <c r="O12599" s="3" t="s">
        <v>123</v>
      </c>
      <c r="P12599" s="5">
        <v>11</v>
      </c>
      <c r="Q12599" s="5">
        <v>144</v>
      </c>
      <c r="R12599" s="5">
        <v>11</v>
      </c>
      <c r="S12599" s="5">
        <v>147</v>
      </c>
    </row>
    <row r="12600" spans="1:19" ht="42" x14ac:dyDescent="0.15">
      <c r="A12600" s="2">
        <f>HYPERLINK("https://open-school.uspishnemisto.com.ua/school/610751/", 610751)</f>
        <v>610751</v>
      </c>
      <c r="B12600" s="3" t="s">
        <v>63589</v>
      </c>
      <c r="C12600" s="3" t="s">
        <v>31</v>
      </c>
      <c r="D12600" s="3"/>
      <c r="E12600" s="4" t="s">
        <v>22</v>
      </c>
      <c r="F12600" s="4" t="s">
        <v>63590</v>
      </c>
      <c r="G12600" s="4" t="s">
        <v>63591</v>
      </c>
      <c r="H12600" s="3" t="s">
        <v>60159</v>
      </c>
      <c r="I12600" s="3" t="s">
        <v>63592</v>
      </c>
      <c r="J12600" s="3" t="s">
        <v>3363</v>
      </c>
      <c r="K12600" s="3"/>
      <c r="L12600" s="3"/>
      <c r="M12600" s="4"/>
      <c r="N12600" s="3" t="s">
        <v>37</v>
      </c>
      <c r="O12600" s="3" t="s">
        <v>46</v>
      </c>
      <c r="P12600" s="5">
        <v>3</v>
      </c>
      <c r="Q12600" s="5">
        <v>39</v>
      </c>
      <c r="R12600" s="5">
        <v>3</v>
      </c>
      <c r="S12600" s="5">
        <v>37</v>
      </c>
    </row>
    <row r="12601" spans="1:19" ht="28" x14ac:dyDescent="0.15">
      <c r="A12601" s="2">
        <f>HYPERLINK("https://open-school.uspishnemisto.com.ua/school/610752/", 610752)</f>
        <v>610752</v>
      </c>
      <c r="B12601" s="3" t="s">
        <v>63593</v>
      </c>
      <c r="C12601" s="3" t="s">
        <v>31</v>
      </c>
      <c r="D12601" s="3" t="s">
        <v>175</v>
      </c>
      <c r="E12601" s="4" t="s">
        <v>22</v>
      </c>
      <c r="F12601" s="4" t="s">
        <v>63594</v>
      </c>
      <c r="G12601" s="4" t="s">
        <v>63595</v>
      </c>
      <c r="H12601" s="3" t="s">
        <v>60159</v>
      </c>
      <c r="I12601" s="3" t="s">
        <v>63596</v>
      </c>
      <c r="J12601" s="3" t="s">
        <v>63597</v>
      </c>
      <c r="K12601" s="3" t="s">
        <v>63598</v>
      </c>
      <c r="L12601" s="3"/>
      <c r="M12601" s="4"/>
      <c r="N12601" s="3" t="s">
        <v>37</v>
      </c>
      <c r="O12601" s="3" t="s">
        <v>46</v>
      </c>
      <c r="P12601" s="5">
        <v>6</v>
      </c>
      <c r="Q12601" s="5">
        <v>53</v>
      </c>
      <c r="R12601" s="5">
        <v>7</v>
      </c>
      <c r="S12601" s="5">
        <v>54</v>
      </c>
    </row>
    <row r="12602" spans="1:19" ht="28" x14ac:dyDescent="0.15">
      <c r="A12602" s="2">
        <f>HYPERLINK("https://open-school.uspishnemisto.com.ua/school/610753/", 610753)</f>
        <v>610753</v>
      </c>
      <c r="B12602" s="3" t="s">
        <v>63599</v>
      </c>
      <c r="C12602" s="3" t="s">
        <v>31</v>
      </c>
      <c r="D12602" s="3" t="s">
        <v>175</v>
      </c>
      <c r="E12602" s="4" t="s">
        <v>22</v>
      </c>
      <c r="F12602" s="4" t="s">
        <v>63600</v>
      </c>
      <c r="G12602" s="4" t="s">
        <v>63601</v>
      </c>
      <c r="H12602" s="3" t="s">
        <v>60159</v>
      </c>
      <c r="I12602" s="3" t="s">
        <v>5865</v>
      </c>
      <c r="J12602" s="3" t="s">
        <v>12836</v>
      </c>
      <c r="K12602" s="3" t="s">
        <v>63602</v>
      </c>
      <c r="L12602" s="3"/>
      <c r="M12602" s="4"/>
      <c r="N12602" s="3" t="s">
        <v>37</v>
      </c>
      <c r="O12602" s="3" t="s">
        <v>2740</v>
      </c>
      <c r="P12602" s="5">
        <v>8</v>
      </c>
      <c r="Q12602" s="5">
        <v>69</v>
      </c>
      <c r="R12602" s="5">
        <v>8</v>
      </c>
      <c r="S12602" s="5">
        <v>69</v>
      </c>
    </row>
    <row r="12603" spans="1:19" ht="28" x14ac:dyDescent="0.15">
      <c r="A12603" s="2">
        <f>HYPERLINK("https://open-school.uspishnemisto.com.ua/school/610754/", 610754)</f>
        <v>610754</v>
      </c>
      <c r="B12603" s="3" t="s">
        <v>63603</v>
      </c>
      <c r="C12603" s="3" t="s">
        <v>31</v>
      </c>
      <c r="D12603" s="3" t="s">
        <v>175</v>
      </c>
      <c r="E12603" s="4" t="s">
        <v>22</v>
      </c>
      <c r="F12603" s="4" t="s">
        <v>63604</v>
      </c>
      <c r="G12603" s="4" t="s">
        <v>63605</v>
      </c>
      <c r="H12603" s="3" t="s">
        <v>60159</v>
      </c>
      <c r="I12603" s="3" t="s">
        <v>63606</v>
      </c>
      <c r="J12603" s="3" t="s">
        <v>7304</v>
      </c>
      <c r="K12603" s="3" t="s">
        <v>63607</v>
      </c>
      <c r="L12603" s="3"/>
      <c r="M12603" s="4"/>
      <c r="N12603" s="3" t="s">
        <v>37</v>
      </c>
      <c r="O12603" s="3" t="s">
        <v>46</v>
      </c>
      <c r="P12603" s="5">
        <v>7</v>
      </c>
      <c r="Q12603" s="5">
        <v>84</v>
      </c>
      <c r="R12603" s="5">
        <v>7</v>
      </c>
      <c r="S12603" s="5">
        <v>77</v>
      </c>
    </row>
    <row r="12604" spans="1:19" ht="28" x14ac:dyDescent="0.15">
      <c r="A12604" s="2">
        <f>HYPERLINK("https://open-school.uspishnemisto.com.ua/school/610755/", 610755)</f>
        <v>610755</v>
      </c>
      <c r="B12604" s="3" t="s">
        <v>63608</v>
      </c>
      <c r="C12604" s="3" t="s">
        <v>31</v>
      </c>
      <c r="D12604" s="3" t="s">
        <v>60</v>
      </c>
      <c r="E12604" s="4" t="s">
        <v>22</v>
      </c>
      <c r="F12604" s="4" t="s">
        <v>63609</v>
      </c>
      <c r="G12604" s="4" t="s">
        <v>63610</v>
      </c>
      <c r="H12604" s="3" t="s">
        <v>60159</v>
      </c>
      <c r="I12604" s="3" t="s">
        <v>34308</v>
      </c>
      <c r="J12604" s="3" t="s">
        <v>3370</v>
      </c>
      <c r="K12604" s="3" t="s">
        <v>63611</v>
      </c>
      <c r="L12604" s="3"/>
      <c r="M12604" s="4"/>
      <c r="N12604" s="3" t="s">
        <v>37</v>
      </c>
      <c r="O12604" s="3" t="s">
        <v>52</v>
      </c>
      <c r="P12604" s="5">
        <v>1</v>
      </c>
      <c r="Q12604" s="5">
        <v>12</v>
      </c>
      <c r="R12604" s="5">
        <v>1</v>
      </c>
      <c r="S12604" s="5">
        <v>13</v>
      </c>
    </row>
    <row r="12605" spans="1:19" ht="28" x14ac:dyDescent="0.15">
      <c r="A12605" s="2">
        <f>HYPERLINK("https://open-school.uspishnemisto.com.ua/school/610756/", 610756)</f>
        <v>610756</v>
      </c>
      <c r="B12605" s="3" t="s">
        <v>63612</v>
      </c>
      <c r="C12605" s="3" t="s">
        <v>31</v>
      </c>
      <c r="D12605" s="3" t="s">
        <v>32</v>
      </c>
      <c r="E12605" s="4" t="s">
        <v>22</v>
      </c>
      <c r="F12605" s="4" t="s">
        <v>63613</v>
      </c>
      <c r="G12605" s="4" t="s">
        <v>63614</v>
      </c>
      <c r="H12605" s="3" t="s">
        <v>60159</v>
      </c>
      <c r="I12605" s="3" t="s">
        <v>63615</v>
      </c>
      <c r="J12605" s="3" t="s">
        <v>63616</v>
      </c>
      <c r="K12605" s="3" t="s">
        <v>63617</v>
      </c>
      <c r="L12605" s="3"/>
      <c r="M12605" s="4"/>
      <c r="N12605" s="3" t="s">
        <v>37</v>
      </c>
      <c r="O12605" s="3" t="s">
        <v>2740</v>
      </c>
      <c r="P12605" s="5">
        <v>9</v>
      </c>
      <c r="Q12605" s="5">
        <v>118</v>
      </c>
      <c r="R12605" s="5">
        <v>10</v>
      </c>
      <c r="S12605" s="5">
        <v>132</v>
      </c>
    </row>
    <row r="12606" spans="1:19" ht="28" x14ac:dyDescent="0.15">
      <c r="A12606" s="2">
        <f>HYPERLINK("https://open-school.uspishnemisto.com.ua/school/610757/", 610757)</f>
        <v>610757</v>
      </c>
      <c r="B12606" s="3" t="s">
        <v>63618</v>
      </c>
      <c r="C12606" s="3" t="s">
        <v>31</v>
      </c>
      <c r="D12606" s="3" t="s">
        <v>32</v>
      </c>
      <c r="E12606" s="4" t="s">
        <v>22</v>
      </c>
      <c r="F12606" s="4" t="s">
        <v>63619</v>
      </c>
      <c r="G12606" s="4" t="s">
        <v>63620</v>
      </c>
      <c r="H12606" s="3" t="s">
        <v>60159</v>
      </c>
      <c r="I12606" s="3" t="s">
        <v>28799</v>
      </c>
      <c r="J12606" s="3" t="s">
        <v>63621</v>
      </c>
      <c r="K12606" s="3" t="s">
        <v>63622</v>
      </c>
      <c r="L12606" s="3"/>
      <c r="M12606" s="4"/>
      <c r="N12606" s="3" t="s">
        <v>37</v>
      </c>
      <c r="O12606" s="3" t="s">
        <v>52</v>
      </c>
      <c r="P12606" s="5">
        <v>11</v>
      </c>
      <c r="Q12606" s="5">
        <v>125</v>
      </c>
      <c r="R12606" s="5">
        <v>11</v>
      </c>
      <c r="S12606" s="5">
        <v>121</v>
      </c>
    </row>
    <row r="12607" spans="1:19" ht="28" x14ac:dyDescent="0.15">
      <c r="A12607" s="2">
        <f>HYPERLINK("https://open-school.uspishnemisto.com.ua/school/610758/", 610758)</f>
        <v>610758</v>
      </c>
      <c r="B12607" s="3" t="s">
        <v>63623</v>
      </c>
      <c r="C12607" s="3" t="s">
        <v>31</v>
      </c>
      <c r="D12607" s="3" t="s">
        <v>175</v>
      </c>
      <c r="E12607" s="4" t="s">
        <v>22</v>
      </c>
      <c r="F12607" s="4" t="s">
        <v>63624</v>
      </c>
      <c r="G12607" s="4" t="s">
        <v>63625</v>
      </c>
      <c r="H12607" s="3" t="s">
        <v>60159</v>
      </c>
      <c r="I12607" s="3" t="s">
        <v>63626</v>
      </c>
      <c r="J12607" s="3" t="s">
        <v>1417</v>
      </c>
      <c r="K12607" s="3" t="s">
        <v>63627</v>
      </c>
      <c r="L12607" s="3"/>
      <c r="M12607" s="4"/>
      <c r="N12607" s="3" t="s">
        <v>37</v>
      </c>
      <c r="O12607" s="3" t="s">
        <v>618</v>
      </c>
      <c r="P12607" s="5">
        <v>1</v>
      </c>
      <c r="Q12607" s="5">
        <v>29</v>
      </c>
      <c r="R12607" s="5">
        <v>1</v>
      </c>
      <c r="S12607" s="5">
        <v>31</v>
      </c>
    </row>
    <row r="12608" spans="1:19" ht="28" x14ac:dyDescent="0.15">
      <c r="A12608" s="2">
        <f>HYPERLINK("https://open-school.uspishnemisto.com.ua/school/610759/", 610759)</f>
        <v>610759</v>
      </c>
      <c r="B12608" s="3" t="s">
        <v>63628</v>
      </c>
      <c r="C12608" s="3" t="s">
        <v>31</v>
      </c>
      <c r="D12608" s="3" t="s">
        <v>175</v>
      </c>
      <c r="E12608" s="4" t="s">
        <v>22</v>
      </c>
      <c r="F12608" s="4" t="s">
        <v>63629</v>
      </c>
      <c r="G12608" s="4" t="s">
        <v>63630</v>
      </c>
      <c r="H12608" s="3" t="s">
        <v>60159</v>
      </c>
      <c r="I12608" s="3" t="s">
        <v>63631</v>
      </c>
      <c r="J12608" s="3" t="s">
        <v>2978</v>
      </c>
      <c r="K12608" s="3" t="s">
        <v>63632</v>
      </c>
      <c r="L12608" s="3"/>
      <c r="M12608" s="4"/>
      <c r="N12608" s="3" t="s">
        <v>37</v>
      </c>
      <c r="O12608" s="3" t="s">
        <v>618</v>
      </c>
      <c r="P12608" s="5">
        <v>6</v>
      </c>
      <c r="Q12608" s="5">
        <v>41</v>
      </c>
      <c r="R12608" s="5">
        <v>6</v>
      </c>
      <c r="S12608" s="5">
        <v>42</v>
      </c>
    </row>
    <row r="12609" spans="1:19" ht="28" x14ac:dyDescent="0.15">
      <c r="A12609" s="2">
        <f>HYPERLINK("https://open-school.uspishnemisto.com.ua/school/610760/", 610760)</f>
        <v>610760</v>
      </c>
      <c r="B12609" s="3" t="s">
        <v>63633</v>
      </c>
      <c r="C12609" s="3" t="s">
        <v>31</v>
      </c>
      <c r="D12609" s="3" t="s">
        <v>175</v>
      </c>
      <c r="E12609" s="4" t="s">
        <v>22</v>
      </c>
      <c r="F12609" s="4" t="s">
        <v>63634</v>
      </c>
      <c r="G12609" s="4" t="s">
        <v>63635</v>
      </c>
      <c r="H12609" s="3" t="s">
        <v>60159</v>
      </c>
      <c r="I12609" s="3" t="s">
        <v>63636</v>
      </c>
      <c r="J12609" s="3" t="s">
        <v>2209</v>
      </c>
      <c r="K12609" s="3" t="s">
        <v>63637</v>
      </c>
      <c r="L12609" s="3" t="s">
        <v>63638</v>
      </c>
      <c r="M12609" s="4"/>
      <c r="N12609" s="3" t="s">
        <v>37</v>
      </c>
      <c r="O12609" s="3" t="s">
        <v>46</v>
      </c>
      <c r="P12609" s="5">
        <v>9</v>
      </c>
      <c r="Q12609" s="5">
        <v>74</v>
      </c>
      <c r="R12609" s="5">
        <v>9</v>
      </c>
      <c r="S12609" s="5">
        <v>72</v>
      </c>
    </row>
    <row r="12610" spans="1:19" ht="28" x14ac:dyDescent="0.15">
      <c r="A12610" s="2">
        <f>HYPERLINK("https://open-school.uspishnemisto.com.ua/school/610761/", 610761)</f>
        <v>610761</v>
      </c>
      <c r="B12610" s="3" t="s">
        <v>63639</v>
      </c>
      <c r="C12610" s="3" t="s">
        <v>31</v>
      </c>
      <c r="D12610" s="3" t="s">
        <v>175</v>
      </c>
      <c r="E12610" s="4" t="s">
        <v>22</v>
      </c>
      <c r="F12610" s="4" t="s">
        <v>63640</v>
      </c>
      <c r="G12610" s="4" t="s">
        <v>63641</v>
      </c>
      <c r="H12610" s="3" t="s">
        <v>60159</v>
      </c>
      <c r="I12610" s="3" t="s">
        <v>63642</v>
      </c>
      <c r="J12610" s="3"/>
      <c r="K12610" s="3" t="s">
        <v>63643</v>
      </c>
      <c r="L12610" s="3"/>
      <c r="M12610" s="4"/>
      <c r="N12610" s="3" t="s">
        <v>37</v>
      </c>
      <c r="O12610" s="3" t="s">
        <v>46</v>
      </c>
      <c r="P12610" s="5">
        <v>8</v>
      </c>
      <c r="Q12610" s="5">
        <v>72</v>
      </c>
      <c r="R12610" s="5">
        <v>8</v>
      </c>
      <c r="S12610" s="5">
        <v>66</v>
      </c>
    </row>
    <row r="12611" spans="1:19" ht="28" x14ac:dyDescent="0.15">
      <c r="A12611" s="2">
        <f>HYPERLINK("https://open-school.uspishnemisto.com.ua/school/610762/", 610762)</f>
        <v>610762</v>
      </c>
      <c r="B12611" s="3" t="s">
        <v>63644</v>
      </c>
      <c r="C12611" s="3" t="s">
        <v>31</v>
      </c>
      <c r="D12611" s="3" t="s">
        <v>175</v>
      </c>
      <c r="E12611" s="4" t="s">
        <v>22</v>
      </c>
      <c r="F12611" s="4" t="s">
        <v>63645</v>
      </c>
      <c r="G12611" s="4" t="s">
        <v>63646</v>
      </c>
      <c r="H12611" s="3" t="s">
        <v>60159</v>
      </c>
      <c r="I12611" s="3" t="s">
        <v>63647</v>
      </c>
      <c r="J12611" s="3" t="s">
        <v>6840</v>
      </c>
      <c r="K12611" s="3" t="s">
        <v>63648</v>
      </c>
      <c r="L12611" s="3"/>
      <c r="M12611" s="4"/>
      <c r="N12611" s="3" t="s">
        <v>37</v>
      </c>
      <c r="O12611" s="3" t="s">
        <v>2740</v>
      </c>
      <c r="P12611" s="5">
        <v>9</v>
      </c>
      <c r="Q12611" s="5">
        <v>138</v>
      </c>
      <c r="R12611" s="5">
        <v>9</v>
      </c>
      <c r="S12611" s="5">
        <v>130</v>
      </c>
    </row>
    <row r="12612" spans="1:19" ht="28" x14ac:dyDescent="0.15">
      <c r="A12612" s="2">
        <f>HYPERLINK("https://open-school.uspishnemisto.com.ua/school/610763/", 610763)</f>
        <v>610763</v>
      </c>
      <c r="B12612" s="3" t="s">
        <v>63649</v>
      </c>
      <c r="C12612" s="3" t="s">
        <v>31</v>
      </c>
      <c r="D12612" s="3" t="s">
        <v>175</v>
      </c>
      <c r="E12612" s="4" t="s">
        <v>22</v>
      </c>
      <c r="F12612" s="4" t="s">
        <v>63650</v>
      </c>
      <c r="G12612" s="4" t="s">
        <v>63651</v>
      </c>
      <c r="H12612" s="3" t="s">
        <v>60159</v>
      </c>
      <c r="I12612" s="3" t="s">
        <v>63652</v>
      </c>
      <c r="J12612" s="3" t="s">
        <v>1417</v>
      </c>
      <c r="K12612" s="3" t="s">
        <v>63653</v>
      </c>
      <c r="L12612" s="3"/>
      <c r="M12612" s="4"/>
      <c r="N12612" s="3" t="s">
        <v>37</v>
      </c>
      <c r="O12612" s="3" t="s">
        <v>46</v>
      </c>
      <c r="P12612" s="5">
        <v>3</v>
      </c>
      <c r="Q12612" s="5">
        <v>34</v>
      </c>
      <c r="R12612" s="5">
        <v>4</v>
      </c>
      <c r="S12612" s="5">
        <v>37</v>
      </c>
    </row>
    <row r="12613" spans="1:19" ht="28" x14ac:dyDescent="0.15">
      <c r="A12613" s="2">
        <f>HYPERLINK("https://open-school.uspishnemisto.com.ua/school/610764/", 610764)</f>
        <v>610764</v>
      </c>
      <c r="B12613" s="3" t="s">
        <v>63654</v>
      </c>
      <c r="C12613" s="3" t="s">
        <v>31</v>
      </c>
      <c r="D12613" s="3" t="s">
        <v>60</v>
      </c>
      <c r="E12613" s="4" t="s">
        <v>22</v>
      </c>
      <c r="F12613" s="4" t="s">
        <v>63650</v>
      </c>
      <c r="G12613" s="4" t="s">
        <v>63655</v>
      </c>
      <c r="H12613" s="3" t="s">
        <v>60159</v>
      </c>
      <c r="I12613" s="3" t="s">
        <v>63656</v>
      </c>
      <c r="J12613" s="3" t="s">
        <v>1417</v>
      </c>
      <c r="K12613" s="3" t="s">
        <v>63657</v>
      </c>
      <c r="L12613" s="3"/>
      <c r="M12613" s="4"/>
      <c r="N12613" s="3" t="s">
        <v>37</v>
      </c>
      <c r="O12613" s="3" t="s">
        <v>52</v>
      </c>
      <c r="P12613" s="5">
        <v>0</v>
      </c>
      <c r="Q12613" s="5">
        <v>7</v>
      </c>
      <c r="R12613" s="5">
        <v>0</v>
      </c>
      <c r="S12613" s="5">
        <v>6</v>
      </c>
    </row>
    <row r="12614" spans="1:19" ht="28" x14ac:dyDescent="0.15">
      <c r="A12614" s="2">
        <f>HYPERLINK("https://open-school.uspishnemisto.com.ua/school/610765/", 610765)</f>
        <v>610765</v>
      </c>
      <c r="B12614" s="3" t="s">
        <v>63658</v>
      </c>
      <c r="C12614" s="3" t="s">
        <v>31</v>
      </c>
      <c r="D12614" s="3" t="s">
        <v>175</v>
      </c>
      <c r="E12614" s="4" t="s">
        <v>22</v>
      </c>
      <c r="F12614" s="4" t="s">
        <v>63659</v>
      </c>
      <c r="G12614" s="4" t="s">
        <v>63660</v>
      </c>
      <c r="H12614" s="3" t="s">
        <v>60159</v>
      </c>
      <c r="I12614" s="3" t="s">
        <v>63661</v>
      </c>
      <c r="J12614" s="3" t="s">
        <v>2434</v>
      </c>
      <c r="K12614" s="3"/>
      <c r="L12614" s="3"/>
      <c r="M12614" s="4"/>
      <c r="N12614" s="3" t="s">
        <v>37</v>
      </c>
      <c r="O12614" s="3" t="s">
        <v>46</v>
      </c>
      <c r="P12614" s="5">
        <v>7</v>
      </c>
      <c r="Q12614" s="5">
        <v>51</v>
      </c>
      <c r="R12614" s="5">
        <v>8</v>
      </c>
      <c r="S12614" s="5">
        <v>51</v>
      </c>
    </row>
    <row r="12615" spans="1:19" ht="28" x14ac:dyDescent="0.15">
      <c r="A12615" s="2">
        <f>HYPERLINK("https://open-school.uspishnemisto.com.ua/school/610766/", 610766)</f>
        <v>610766</v>
      </c>
      <c r="B12615" s="3" t="s">
        <v>63662</v>
      </c>
      <c r="C12615" s="3" t="s">
        <v>31</v>
      </c>
      <c r="D12615" s="3" t="s">
        <v>60</v>
      </c>
      <c r="E12615" s="4" t="s">
        <v>22</v>
      </c>
      <c r="F12615" s="4" t="s">
        <v>63663</v>
      </c>
      <c r="G12615" s="4" t="s">
        <v>63664</v>
      </c>
      <c r="H12615" s="3" t="s">
        <v>60159</v>
      </c>
      <c r="I12615" s="3" t="s">
        <v>63665</v>
      </c>
      <c r="J12615" s="3" t="s">
        <v>63666</v>
      </c>
      <c r="K12615" s="3" t="s">
        <v>63667</v>
      </c>
      <c r="L12615" s="3"/>
      <c r="M12615" s="4"/>
      <c r="N12615" s="3" t="s">
        <v>37</v>
      </c>
      <c r="O12615" s="3" t="s">
        <v>52</v>
      </c>
      <c r="P12615" s="5">
        <v>0</v>
      </c>
      <c r="Q12615" s="5">
        <v>5</v>
      </c>
      <c r="R12615" s="5">
        <v>0</v>
      </c>
      <c r="S12615" s="5">
        <v>6</v>
      </c>
    </row>
    <row r="12616" spans="1:19" ht="28" x14ac:dyDescent="0.15">
      <c r="A12616" s="2">
        <f>HYPERLINK("https://open-school.uspishnemisto.com.ua/school/610767/", 610767)</f>
        <v>610767</v>
      </c>
      <c r="B12616" s="3" t="s">
        <v>63668</v>
      </c>
      <c r="C12616" s="3" t="s">
        <v>31</v>
      </c>
      <c r="D12616" s="3" t="s">
        <v>32</v>
      </c>
      <c r="E12616" s="4" t="s">
        <v>22</v>
      </c>
      <c r="F12616" s="4" t="s">
        <v>63663</v>
      </c>
      <c r="G12616" s="4" t="s">
        <v>63664</v>
      </c>
      <c r="H12616" s="3" t="s">
        <v>60159</v>
      </c>
      <c r="I12616" s="3" t="s">
        <v>63665</v>
      </c>
      <c r="J12616" s="3" t="s">
        <v>63669</v>
      </c>
      <c r="K12616" s="3" t="s">
        <v>63670</v>
      </c>
      <c r="L12616" s="3" t="s">
        <v>63671</v>
      </c>
      <c r="M12616" s="4"/>
      <c r="N12616" s="3" t="s">
        <v>37</v>
      </c>
      <c r="O12616" s="3" t="s">
        <v>52</v>
      </c>
      <c r="P12616" s="5">
        <v>9</v>
      </c>
      <c r="Q12616" s="5">
        <v>124</v>
      </c>
      <c r="R12616" s="5">
        <v>10</v>
      </c>
      <c r="S12616" s="5">
        <v>134</v>
      </c>
    </row>
    <row r="12617" spans="1:19" ht="42" x14ac:dyDescent="0.15">
      <c r="A12617" s="2">
        <f>HYPERLINK("https://open-school.uspishnemisto.com.ua/school/610768/", 610768)</f>
        <v>610768</v>
      </c>
      <c r="B12617" s="3" t="s">
        <v>63672</v>
      </c>
      <c r="C12617" s="3" t="s">
        <v>54</v>
      </c>
      <c r="D12617" s="3" t="s">
        <v>175</v>
      </c>
      <c r="E12617" s="4" t="s">
        <v>22</v>
      </c>
      <c r="F12617" s="4" t="s">
        <v>60684</v>
      </c>
      <c r="G12617" s="4" t="s">
        <v>63673</v>
      </c>
      <c r="H12617" s="3" t="s">
        <v>60159</v>
      </c>
      <c r="I12617" s="3" t="s">
        <v>63674</v>
      </c>
      <c r="J12617" s="3"/>
      <c r="K12617" s="3" t="s">
        <v>63675</v>
      </c>
      <c r="L12617" s="3"/>
      <c r="M12617" s="4"/>
      <c r="N12617" s="3" t="s">
        <v>37</v>
      </c>
      <c r="O12617" s="3" t="s">
        <v>52</v>
      </c>
      <c r="P12617" s="5">
        <v>3</v>
      </c>
      <c r="Q12617" s="5">
        <v>31</v>
      </c>
      <c r="R12617" s="5">
        <v>2</v>
      </c>
      <c r="S12617" s="5">
        <v>31</v>
      </c>
    </row>
    <row r="12618" spans="1:19" ht="28" x14ac:dyDescent="0.15">
      <c r="A12618" s="2">
        <f>HYPERLINK("https://open-school.uspishnemisto.com.ua/school/610769/", 610769)</f>
        <v>610769</v>
      </c>
      <c r="B12618" s="3" t="s">
        <v>63676</v>
      </c>
      <c r="C12618" s="3" t="s">
        <v>31</v>
      </c>
      <c r="D12618" s="3" t="s">
        <v>32</v>
      </c>
      <c r="E12618" s="4" t="s">
        <v>22</v>
      </c>
      <c r="F12618" s="4" t="s">
        <v>63677</v>
      </c>
      <c r="G12618" s="4" t="s">
        <v>63678</v>
      </c>
      <c r="H12618" s="3" t="s">
        <v>60159</v>
      </c>
      <c r="I12618" s="3" t="s">
        <v>27953</v>
      </c>
      <c r="J12618" s="3" t="s">
        <v>63679</v>
      </c>
      <c r="K12618" s="3" t="s">
        <v>63680</v>
      </c>
      <c r="L12618" s="3"/>
      <c r="M12618" s="4"/>
      <c r="N12618" s="3" t="s">
        <v>37</v>
      </c>
      <c r="O12618" s="3" t="s">
        <v>52</v>
      </c>
      <c r="P12618" s="5">
        <v>11</v>
      </c>
      <c r="Q12618" s="5">
        <v>174</v>
      </c>
      <c r="R12618" s="5">
        <v>11</v>
      </c>
      <c r="S12618" s="5">
        <v>169</v>
      </c>
    </row>
    <row r="12619" spans="1:19" ht="28" x14ac:dyDescent="0.15">
      <c r="A12619" s="2">
        <f>HYPERLINK("https://open-school.uspishnemisto.com.ua/school/610770/", 610770)</f>
        <v>610770</v>
      </c>
      <c r="B12619" s="3" t="s">
        <v>63681</v>
      </c>
      <c r="C12619" s="3" t="s">
        <v>31</v>
      </c>
      <c r="D12619" s="3" t="s">
        <v>175</v>
      </c>
      <c r="E12619" s="4" t="s">
        <v>22</v>
      </c>
      <c r="F12619" s="4" t="s">
        <v>63682</v>
      </c>
      <c r="G12619" s="4" t="s">
        <v>63683</v>
      </c>
      <c r="H12619" s="3" t="s">
        <v>60159</v>
      </c>
      <c r="I12619" s="3" t="s">
        <v>63684</v>
      </c>
      <c r="J12619" s="3" t="s">
        <v>6535</v>
      </c>
      <c r="K12619" s="3" t="s">
        <v>63685</v>
      </c>
      <c r="L12619" s="3" t="s">
        <v>63686</v>
      </c>
      <c r="M12619" s="4"/>
      <c r="N12619" s="3" t="s">
        <v>37</v>
      </c>
      <c r="O12619" s="3" t="s">
        <v>52</v>
      </c>
      <c r="P12619" s="5">
        <v>9</v>
      </c>
      <c r="Q12619" s="5">
        <v>68</v>
      </c>
      <c r="R12619" s="5">
        <v>8</v>
      </c>
      <c r="S12619" s="5">
        <v>72</v>
      </c>
    </row>
    <row r="12620" spans="1:19" ht="28" x14ac:dyDescent="0.15">
      <c r="A12620" s="2">
        <f>HYPERLINK("https://open-school.uspishnemisto.com.ua/school/610771/", 610771)</f>
        <v>610771</v>
      </c>
      <c r="B12620" s="3" t="s">
        <v>63687</v>
      </c>
      <c r="C12620" s="3" t="s">
        <v>31</v>
      </c>
      <c r="D12620" s="3" t="s">
        <v>175</v>
      </c>
      <c r="E12620" s="4" t="s">
        <v>22</v>
      </c>
      <c r="F12620" s="4" t="s">
        <v>63688</v>
      </c>
      <c r="G12620" s="4" t="s">
        <v>63689</v>
      </c>
      <c r="H12620" s="3" t="s">
        <v>60159</v>
      </c>
      <c r="I12620" s="3" t="s">
        <v>63690</v>
      </c>
      <c r="J12620" s="3" t="s">
        <v>63691</v>
      </c>
      <c r="K12620" s="3" t="s">
        <v>63692</v>
      </c>
      <c r="L12620" s="3"/>
      <c r="M12620" s="4"/>
      <c r="N12620" s="3" t="s">
        <v>37</v>
      </c>
      <c r="O12620" s="3" t="s">
        <v>46</v>
      </c>
      <c r="P12620" s="5">
        <v>9</v>
      </c>
      <c r="Q12620" s="5">
        <v>106</v>
      </c>
      <c r="R12620" s="5">
        <v>9</v>
      </c>
      <c r="S12620" s="5">
        <v>108</v>
      </c>
    </row>
    <row r="12621" spans="1:19" ht="28" x14ac:dyDescent="0.15">
      <c r="A12621" s="2">
        <f>HYPERLINK("https://open-school.uspishnemisto.com.ua/school/610773/", 610773)</f>
        <v>610773</v>
      </c>
      <c r="B12621" s="3" t="s">
        <v>63693</v>
      </c>
      <c r="C12621" s="3" t="s">
        <v>31</v>
      </c>
      <c r="D12621" s="3" t="s">
        <v>60</v>
      </c>
      <c r="E12621" s="4" t="s">
        <v>22</v>
      </c>
      <c r="F12621" s="4" t="s">
        <v>63688</v>
      </c>
      <c r="G12621" s="4" t="s">
        <v>63694</v>
      </c>
      <c r="H12621" s="3" t="s">
        <v>60159</v>
      </c>
      <c r="I12621" s="3" t="s">
        <v>33699</v>
      </c>
      <c r="J12621" s="3" t="s">
        <v>27428</v>
      </c>
      <c r="K12621" s="3"/>
      <c r="L12621" s="3"/>
      <c r="M12621" s="4"/>
      <c r="N12621" s="3" t="s">
        <v>37</v>
      </c>
      <c r="O12621" s="3" t="s">
        <v>52</v>
      </c>
      <c r="P12621" s="5">
        <v>1</v>
      </c>
      <c r="Q12621" s="5">
        <v>13</v>
      </c>
      <c r="R12621" s="5">
        <v>0</v>
      </c>
      <c r="S12621" s="5">
        <v>8</v>
      </c>
    </row>
    <row r="12622" spans="1:19" ht="28" x14ac:dyDescent="0.15">
      <c r="A12622" s="2">
        <f>HYPERLINK("https://open-school.uspishnemisto.com.ua/school/610772/", 610772)</f>
        <v>610772</v>
      </c>
      <c r="B12622" s="3" t="s">
        <v>63695</v>
      </c>
      <c r="C12622" s="3" t="s">
        <v>31</v>
      </c>
      <c r="D12622" s="3" t="s">
        <v>175</v>
      </c>
      <c r="E12622" s="4" t="s">
        <v>22</v>
      </c>
      <c r="F12622" s="4" t="s">
        <v>63696</v>
      </c>
      <c r="G12622" s="4" t="s">
        <v>63697</v>
      </c>
      <c r="H12622" s="3" t="s">
        <v>60159</v>
      </c>
      <c r="I12622" s="3" t="s">
        <v>63698</v>
      </c>
      <c r="J12622" s="3" t="s">
        <v>44023</v>
      </c>
      <c r="K12622" s="3" t="s">
        <v>63699</v>
      </c>
      <c r="L12622" s="3" t="s">
        <v>63700</v>
      </c>
      <c r="M12622" s="4"/>
      <c r="N12622" s="3" t="s">
        <v>37</v>
      </c>
      <c r="O12622" s="3" t="s">
        <v>52</v>
      </c>
      <c r="P12622" s="5">
        <v>8</v>
      </c>
      <c r="Q12622" s="5">
        <v>55</v>
      </c>
      <c r="R12622" s="5">
        <v>8</v>
      </c>
      <c r="S12622" s="5">
        <v>58</v>
      </c>
    </row>
    <row r="12623" spans="1:19" ht="28" x14ac:dyDescent="0.15">
      <c r="A12623" s="2">
        <f>HYPERLINK("https://open-school.uspishnemisto.com.ua/school/610774/", 610774)</f>
        <v>610774</v>
      </c>
      <c r="B12623" s="3" t="s">
        <v>63701</v>
      </c>
      <c r="C12623" s="3" t="s">
        <v>31</v>
      </c>
      <c r="D12623" s="3" t="s">
        <v>175</v>
      </c>
      <c r="E12623" s="4" t="s">
        <v>22</v>
      </c>
      <c r="F12623" s="4" t="s">
        <v>63702</v>
      </c>
      <c r="G12623" s="4" t="s">
        <v>63703</v>
      </c>
      <c r="H12623" s="3" t="s">
        <v>60159</v>
      </c>
      <c r="I12623" s="3" t="s">
        <v>63704</v>
      </c>
      <c r="J12623" s="3" t="s">
        <v>63705</v>
      </c>
      <c r="K12623" s="3" t="s">
        <v>63706</v>
      </c>
      <c r="L12623" s="3"/>
      <c r="M12623" s="4"/>
      <c r="N12623" s="3" t="s">
        <v>37</v>
      </c>
      <c r="O12623" s="3" t="s">
        <v>46</v>
      </c>
      <c r="P12623" s="5">
        <v>9</v>
      </c>
      <c r="Q12623" s="5">
        <v>83</v>
      </c>
      <c r="R12623" s="5">
        <v>9</v>
      </c>
      <c r="S12623" s="5">
        <v>97</v>
      </c>
    </row>
    <row r="12624" spans="1:19" ht="28" x14ac:dyDescent="0.15">
      <c r="A12624" s="2">
        <f>HYPERLINK("https://open-school.uspishnemisto.com.ua/school/610775/", 610775)</f>
        <v>610775</v>
      </c>
      <c r="B12624" s="3" t="s">
        <v>63707</v>
      </c>
      <c r="C12624" s="3" t="s">
        <v>31</v>
      </c>
      <c r="D12624" s="3" t="s">
        <v>175</v>
      </c>
      <c r="E12624" s="4" t="s">
        <v>22</v>
      </c>
      <c r="F12624" s="4" t="s">
        <v>63252</v>
      </c>
      <c r="G12624" s="4" t="s">
        <v>63708</v>
      </c>
      <c r="H12624" s="3" t="s">
        <v>60159</v>
      </c>
      <c r="I12624" s="3" t="s">
        <v>63709</v>
      </c>
      <c r="J12624" s="3" t="s">
        <v>466</v>
      </c>
      <c r="K12624" s="3" t="s">
        <v>63710</v>
      </c>
      <c r="L12624" s="3"/>
      <c r="M12624" s="4"/>
      <c r="N12624" s="3" t="s">
        <v>37</v>
      </c>
      <c r="O12624" s="3" t="s">
        <v>52</v>
      </c>
      <c r="P12624" s="5">
        <v>4</v>
      </c>
      <c r="Q12624" s="5">
        <v>39</v>
      </c>
      <c r="R12624" s="5">
        <v>5</v>
      </c>
      <c r="S12624" s="5">
        <v>44</v>
      </c>
    </row>
    <row r="12625" spans="1:19" ht="28" x14ac:dyDescent="0.15">
      <c r="A12625" s="2">
        <f>HYPERLINK("https://open-school.uspishnemisto.com.ua/school/610776/", 610776)</f>
        <v>610776</v>
      </c>
      <c r="B12625" s="3" t="s">
        <v>63711</v>
      </c>
      <c r="C12625" s="3" t="s">
        <v>31</v>
      </c>
      <c r="D12625" s="3" t="s">
        <v>175</v>
      </c>
      <c r="E12625" s="4" t="s">
        <v>22</v>
      </c>
      <c r="F12625" s="4" t="s">
        <v>63712</v>
      </c>
      <c r="G12625" s="4" t="s">
        <v>63713</v>
      </c>
      <c r="H12625" s="3" t="s">
        <v>60159</v>
      </c>
      <c r="I12625" s="3" t="s">
        <v>63714</v>
      </c>
      <c r="J12625" s="3" t="s">
        <v>1417</v>
      </c>
      <c r="K12625" s="3" t="s">
        <v>63715</v>
      </c>
      <c r="L12625" s="3" t="s">
        <v>63716</v>
      </c>
      <c r="M12625" s="4"/>
      <c r="N12625" s="3" t="s">
        <v>37</v>
      </c>
      <c r="O12625" s="3" t="s">
        <v>46</v>
      </c>
      <c r="P12625" s="5">
        <v>9</v>
      </c>
      <c r="Q12625" s="5">
        <v>58</v>
      </c>
      <c r="R12625" s="5">
        <v>8</v>
      </c>
      <c r="S12625" s="5">
        <v>56</v>
      </c>
    </row>
    <row r="12626" spans="1:19" ht="28" x14ac:dyDescent="0.15">
      <c r="A12626" s="2">
        <f>HYPERLINK("https://open-school.uspishnemisto.com.ua/school/610777/", 610777)</f>
        <v>610777</v>
      </c>
      <c r="B12626" s="3" t="s">
        <v>63717</v>
      </c>
      <c r="C12626" s="3" t="s">
        <v>31</v>
      </c>
      <c r="D12626" s="3" t="s">
        <v>60</v>
      </c>
      <c r="E12626" s="4" t="s">
        <v>22</v>
      </c>
      <c r="F12626" s="4" t="s">
        <v>63577</v>
      </c>
      <c r="G12626" s="4" t="s">
        <v>63718</v>
      </c>
      <c r="H12626" s="3" t="s">
        <v>60159</v>
      </c>
      <c r="I12626" s="3" t="s">
        <v>63719</v>
      </c>
      <c r="J12626" s="3" t="s">
        <v>63720</v>
      </c>
      <c r="K12626" s="3" t="s">
        <v>63721</v>
      </c>
      <c r="L12626" s="3"/>
      <c r="M12626" s="4"/>
      <c r="N12626" s="3" t="s">
        <v>37</v>
      </c>
      <c r="O12626" s="3" t="s">
        <v>52</v>
      </c>
      <c r="P12626" s="5">
        <v>0</v>
      </c>
      <c r="Q12626" s="5">
        <v>5</v>
      </c>
      <c r="R12626" s="5">
        <v>0</v>
      </c>
      <c r="S12626" s="5">
        <v>6</v>
      </c>
    </row>
    <row r="12627" spans="1:19" ht="42" x14ac:dyDescent="0.15">
      <c r="A12627" s="2">
        <f>HYPERLINK("https://open-school.uspishnemisto.com.ua/school/610778/", 610778)</f>
        <v>610778</v>
      </c>
      <c r="B12627" s="3" t="s">
        <v>63722</v>
      </c>
      <c r="C12627" s="3" t="s">
        <v>31</v>
      </c>
      <c r="D12627" s="3" t="s">
        <v>175</v>
      </c>
      <c r="E12627" s="4" t="s">
        <v>22</v>
      </c>
      <c r="F12627" s="4" t="s">
        <v>63723</v>
      </c>
      <c r="G12627" s="4" t="s">
        <v>63724</v>
      </c>
      <c r="H12627" s="3" t="s">
        <v>60159</v>
      </c>
      <c r="I12627" s="3" t="s">
        <v>63725</v>
      </c>
      <c r="J12627" s="3" t="s">
        <v>27802</v>
      </c>
      <c r="K12627" s="3" t="s">
        <v>63726</v>
      </c>
      <c r="L12627" s="3" t="s">
        <v>63727</v>
      </c>
      <c r="M12627" s="4"/>
      <c r="N12627" s="3" t="s">
        <v>37</v>
      </c>
      <c r="O12627" s="3" t="s">
        <v>52</v>
      </c>
      <c r="P12627" s="5">
        <v>8</v>
      </c>
      <c r="Q12627" s="5">
        <v>79</v>
      </c>
      <c r="R12627" s="5">
        <v>8</v>
      </c>
      <c r="S12627" s="5">
        <v>81</v>
      </c>
    </row>
    <row r="12628" spans="1:19" ht="28" x14ac:dyDescent="0.15">
      <c r="A12628" s="2">
        <f>HYPERLINK("https://open-school.uspishnemisto.com.ua/school/610779/", 610779)</f>
        <v>610779</v>
      </c>
      <c r="B12628" s="3" t="s">
        <v>63728</v>
      </c>
      <c r="C12628" s="3" t="s">
        <v>31</v>
      </c>
      <c r="D12628" s="3" t="s">
        <v>32</v>
      </c>
      <c r="E12628" s="4" t="s">
        <v>22</v>
      </c>
      <c r="F12628" s="4" t="s">
        <v>63594</v>
      </c>
      <c r="G12628" s="4" t="s">
        <v>63729</v>
      </c>
      <c r="H12628" s="3" t="s">
        <v>60159</v>
      </c>
      <c r="I12628" s="3" t="s">
        <v>63730</v>
      </c>
      <c r="J12628" s="3" t="s">
        <v>27818</v>
      </c>
      <c r="K12628" s="3" t="s">
        <v>63731</v>
      </c>
      <c r="L12628" s="3"/>
      <c r="M12628" s="4"/>
      <c r="N12628" s="3" t="s">
        <v>37</v>
      </c>
      <c r="O12628" s="3" t="s">
        <v>46</v>
      </c>
      <c r="P12628" s="5">
        <v>11</v>
      </c>
      <c r="Q12628" s="5">
        <v>105</v>
      </c>
      <c r="R12628" s="5">
        <v>11</v>
      </c>
      <c r="S12628" s="5">
        <v>113</v>
      </c>
    </row>
    <row r="12629" spans="1:19" ht="28" x14ac:dyDescent="0.15">
      <c r="A12629" s="2">
        <f>HYPERLINK("https://open-school.uspishnemisto.com.ua/school/610780/", 610780)</f>
        <v>610780</v>
      </c>
      <c r="B12629" s="3" t="s">
        <v>63732</v>
      </c>
      <c r="C12629" s="3" t="s">
        <v>31</v>
      </c>
      <c r="D12629" s="3" t="s">
        <v>32</v>
      </c>
      <c r="E12629" s="4" t="s">
        <v>22</v>
      </c>
      <c r="F12629" s="4" t="s">
        <v>63733</v>
      </c>
      <c r="G12629" s="4" t="s">
        <v>63734</v>
      </c>
      <c r="H12629" s="3" t="s">
        <v>60159</v>
      </c>
      <c r="I12629" s="3" t="s">
        <v>63735</v>
      </c>
      <c r="J12629" s="3"/>
      <c r="K12629" s="3" t="s">
        <v>63736</v>
      </c>
      <c r="L12629" s="3"/>
      <c r="M12629" s="4"/>
      <c r="N12629" s="3" t="s">
        <v>37</v>
      </c>
      <c r="O12629" s="3" t="s">
        <v>46</v>
      </c>
      <c r="P12629" s="5">
        <v>11</v>
      </c>
      <c r="Q12629" s="5">
        <v>127</v>
      </c>
      <c r="R12629" s="5">
        <v>11</v>
      </c>
      <c r="S12629" s="5">
        <v>121</v>
      </c>
    </row>
    <row r="12630" spans="1:19" ht="28" x14ac:dyDescent="0.15">
      <c r="A12630" s="2">
        <f>HYPERLINK("https://open-school.uspishnemisto.com.ua/school/610781/", 610781)</f>
        <v>610781</v>
      </c>
      <c r="B12630" s="3" t="s">
        <v>63737</v>
      </c>
      <c r="C12630" s="3" t="s">
        <v>31</v>
      </c>
      <c r="D12630" s="3" t="s">
        <v>175</v>
      </c>
      <c r="E12630" s="4" t="s">
        <v>22</v>
      </c>
      <c r="F12630" s="4" t="s">
        <v>63738</v>
      </c>
      <c r="G12630" s="4" t="s">
        <v>63739</v>
      </c>
      <c r="H12630" s="3" t="s">
        <v>60159</v>
      </c>
      <c r="I12630" s="3" t="s">
        <v>63740</v>
      </c>
      <c r="J12630" s="3" t="s">
        <v>466</v>
      </c>
      <c r="K12630" s="3" t="s">
        <v>63741</v>
      </c>
      <c r="L12630" s="3"/>
      <c r="M12630" s="4"/>
      <c r="N12630" s="3" t="s">
        <v>37</v>
      </c>
      <c r="O12630" s="3" t="s">
        <v>618</v>
      </c>
      <c r="P12630" s="5">
        <v>5</v>
      </c>
      <c r="Q12630" s="5">
        <v>33</v>
      </c>
      <c r="R12630" s="5">
        <v>4</v>
      </c>
      <c r="S12630" s="5">
        <v>32</v>
      </c>
    </row>
    <row r="12631" spans="1:19" ht="28" x14ac:dyDescent="0.15">
      <c r="A12631" s="2">
        <f>HYPERLINK("https://open-school.uspishnemisto.com.ua/school/610782/", 610782)</f>
        <v>610782</v>
      </c>
      <c r="B12631" s="3" t="s">
        <v>63742</v>
      </c>
      <c r="C12631" s="3" t="s">
        <v>31</v>
      </c>
      <c r="D12631" s="3" t="s">
        <v>175</v>
      </c>
      <c r="E12631" s="4" t="s">
        <v>22</v>
      </c>
      <c r="F12631" s="4" t="s">
        <v>63743</v>
      </c>
      <c r="G12631" s="4" t="s">
        <v>63744</v>
      </c>
      <c r="H12631" s="3" t="s">
        <v>60159</v>
      </c>
      <c r="I12631" s="3" t="s">
        <v>63745</v>
      </c>
      <c r="J12631" s="3" t="s">
        <v>63746</v>
      </c>
      <c r="K12631" s="3" t="s">
        <v>63747</v>
      </c>
      <c r="L12631" s="3"/>
      <c r="M12631" s="4"/>
      <c r="N12631" s="3" t="s">
        <v>37</v>
      </c>
      <c r="O12631" s="3" t="s">
        <v>52</v>
      </c>
      <c r="P12631" s="5">
        <v>6</v>
      </c>
      <c r="Q12631" s="5">
        <v>57</v>
      </c>
      <c r="R12631" s="5">
        <v>5</v>
      </c>
      <c r="S12631" s="5">
        <v>58</v>
      </c>
    </row>
    <row r="12632" spans="1:19" ht="28" x14ac:dyDescent="0.15">
      <c r="A12632" s="2">
        <f>HYPERLINK("https://open-school.uspishnemisto.com.ua/school/610783/", 610783)</f>
        <v>610783</v>
      </c>
      <c r="B12632" s="3" t="s">
        <v>63748</v>
      </c>
      <c r="C12632" s="3" t="s">
        <v>31</v>
      </c>
      <c r="D12632" s="3" t="s">
        <v>60</v>
      </c>
      <c r="E12632" s="4" t="s">
        <v>22</v>
      </c>
      <c r="F12632" s="4" t="s">
        <v>63749</v>
      </c>
      <c r="G12632" s="4" t="s">
        <v>63750</v>
      </c>
      <c r="H12632" s="3" t="s">
        <v>60159</v>
      </c>
      <c r="I12632" s="3" t="s">
        <v>63751</v>
      </c>
      <c r="J12632" s="3"/>
      <c r="K12632" s="3" t="s">
        <v>63752</v>
      </c>
      <c r="L12632" s="3"/>
      <c r="M12632" s="4"/>
      <c r="N12632" s="3" t="s">
        <v>37</v>
      </c>
      <c r="O12632" s="3" t="s">
        <v>52</v>
      </c>
      <c r="P12632" s="5">
        <v>3</v>
      </c>
      <c r="Q12632" s="5">
        <v>21</v>
      </c>
      <c r="R12632" s="5">
        <v>3</v>
      </c>
      <c r="S12632" s="5">
        <v>25</v>
      </c>
    </row>
    <row r="12633" spans="1:19" ht="28" x14ac:dyDescent="0.15">
      <c r="A12633" s="2">
        <f>HYPERLINK("https://open-school.uspishnemisto.com.ua/school/610784/", 610784)</f>
        <v>610784</v>
      </c>
      <c r="B12633" s="3" t="s">
        <v>63753</v>
      </c>
      <c r="C12633" s="3" t="s">
        <v>31</v>
      </c>
      <c r="D12633" s="3" t="s">
        <v>175</v>
      </c>
      <c r="E12633" s="4" t="s">
        <v>22</v>
      </c>
      <c r="F12633" s="4" t="s">
        <v>63754</v>
      </c>
      <c r="G12633" s="4" t="s">
        <v>63755</v>
      </c>
      <c r="H12633" s="3" t="s">
        <v>60159</v>
      </c>
      <c r="I12633" s="3" t="s">
        <v>63756</v>
      </c>
      <c r="J12633" s="3" t="s">
        <v>21883</v>
      </c>
      <c r="K12633" s="3" t="s">
        <v>63757</v>
      </c>
      <c r="L12633" s="3"/>
      <c r="M12633" s="4"/>
      <c r="N12633" s="3" t="s">
        <v>37</v>
      </c>
      <c r="O12633" s="3" t="s">
        <v>52</v>
      </c>
      <c r="P12633" s="5">
        <v>4</v>
      </c>
      <c r="Q12633" s="5">
        <v>31</v>
      </c>
      <c r="R12633" s="5">
        <v>4</v>
      </c>
      <c r="S12633" s="5">
        <v>30</v>
      </c>
    </row>
    <row r="12634" spans="1:19" ht="28" x14ac:dyDescent="0.15">
      <c r="A12634" s="2">
        <f>HYPERLINK("https://open-school.uspishnemisto.com.ua/school/610785/", 610785)</f>
        <v>610785</v>
      </c>
      <c r="B12634" s="3" t="s">
        <v>63758</v>
      </c>
      <c r="C12634" s="3" t="s">
        <v>31</v>
      </c>
      <c r="D12634" s="3" t="s">
        <v>32</v>
      </c>
      <c r="E12634" s="4" t="s">
        <v>22</v>
      </c>
      <c r="F12634" s="4" t="s">
        <v>63759</v>
      </c>
      <c r="G12634" s="4" t="s">
        <v>63760</v>
      </c>
      <c r="H12634" s="3" t="s">
        <v>60159</v>
      </c>
      <c r="I12634" s="3" t="s">
        <v>63761</v>
      </c>
      <c r="J12634" s="3" t="s">
        <v>2901</v>
      </c>
      <c r="K12634" s="3" t="s">
        <v>63762</v>
      </c>
      <c r="L12634" s="3"/>
      <c r="M12634" s="4"/>
      <c r="N12634" s="3" t="s">
        <v>37</v>
      </c>
      <c r="O12634" s="3" t="s">
        <v>52</v>
      </c>
      <c r="P12634" s="5">
        <v>10</v>
      </c>
      <c r="Q12634" s="5">
        <v>171</v>
      </c>
      <c r="R12634" s="5">
        <v>11</v>
      </c>
      <c r="S12634" s="5">
        <v>168</v>
      </c>
    </row>
    <row r="12635" spans="1:19" ht="28" x14ac:dyDescent="0.15">
      <c r="A12635" s="2">
        <f>HYPERLINK("https://open-school.uspishnemisto.com.ua/school/610786/", 610786)</f>
        <v>610786</v>
      </c>
      <c r="B12635" s="3" t="s">
        <v>63763</v>
      </c>
      <c r="C12635" s="3" t="s">
        <v>31</v>
      </c>
      <c r="D12635" s="3" t="s">
        <v>32</v>
      </c>
      <c r="E12635" s="4" t="s">
        <v>22</v>
      </c>
      <c r="F12635" s="4" t="s">
        <v>63764</v>
      </c>
      <c r="G12635" s="4" t="s">
        <v>63765</v>
      </c>
      <c r="H12635" s="3" t="s">
        <v>60159</v>
      </c>
      <c r="I12635" s="3" t="s">
        <v>63766</v>
      </c>
      <c r="J12635" s="3" t="s">
        <v>28787</v>
      </c>
      <c r="K12635" s="3" t="s">
        <v>63767</v>
      </c>
      <c r="L12635" s="3"/>
      <c r="M12635" s="4"/>
      <c r="N12635" s="3" t="s">
        <v>37</v>
      </c>
      <c r="O12635" s="3" t="s">
        <v>46</v>
      </c>
      <c r="P12635" s="5">
        <v>34</v>
      </c>
      <c r="Q12635" s="5">
        <v>584</v>
      </c>
      <c r="R12635" s="5">
        <v>21</v>
      </c>
      <c r="S12635" s="5">
        <v>479</v>
      </c>
    </row>
    <row r="12636" spans="1:19" ht="28" x14ac:dyDescent="0.15">
      <c r="A12636" s="2">
        <f>HYPERLINK("https://open-school.uspishnemisto.com.ua/school/610787/", 610787)</f>
        <v>610787</v>
      </c>
      <c r="B12636" s="3" t="s">
        <v>63768</v>
      </c>
      <c r="C12636" s="3" t="s">
        <v>188</v>
      </c>
      <c r="D12636" s="3" t="s">
        <v>32</v>
      </c>
      <c r="E12636" s="4" t="s">
        <v>22</v>
      </c>
      <c r="F12636" s="4" t="s">
        <v>63764</v>
      </c>
      <c r="G12636" s="4" t="s">
        <v>63765</v>
      </c>
      <c r="H12636" s="3" t="s">
        <v>60159</v>
      </c>
      <c r="I12636" s="3" t="s">
        <v>63766</v>
      </c>
      <c r="J12636" s="3" t="s">
        <v>4501</v>
      </c>
      <c r="K12636" s="3" t="s">
        <v>63769</v>
      </c>
      <c r="L12636" s="3"/>
      <c r="M12636" s="4"/>
      <c r="N12636" s="3" t="s">
        <v>37</v>
      </c>
      <c r="O12636" s="3" t="s">
        <v>46</v>
      </c>
      <c r="P12636" s="5">
        <v>5</v>
      </c>
      <c r="Q12636" s="5">
        <v>97</v>
      </c>
      <c r="R12636" s="5">
        <v>5</v>
      </c>
      <c r="S12636" s="5">
        <v>98</v>
      </c>
    </row>
    <row r="12637" spans="1:19" ht="28" x14ac:dyDescent="0.15">
      <c r="A12637" s="2">
        <f>HYPERLINK("https://open-school.uspishnemisto.com.ua/school/610788/", 610788)</f>
        <v>610788</v>
      </c>
      <c r="B12637" s="3" t="s">
        <v>63770</v>
      </c>
      <c r="C12637" s="3" t="s">
        <v>54</v>
      </c>
      <c r="D12637" s="3" t="s">
        <v>32</v>
      </c>
      <c r="E12637" s="4" t="s">
        <v>22</v>
      </c>
      <c r="F12637" s="4" t="s">
        <v>63764</v>
      </c>
      <c r="G12637" s="4" t="s">
        <v>63765</v>
      </c>
      <c r="H12637" s="3" t="s">
        <v>60159</v>
      </c>
      <c r="I12637" s="3" t="s">
        <v>63766</v>
      </c>
      <c r="J12637" s="3" t="s">
        <v>32385</v>
      </c>
      <c r="K12637" s="3" t="s">
        <v>63771</v>
      </c>
      <c r="L12637" s="3" t="s">
        <v>63772</v>
      </c>
      <c r="M12637" s="4"/>
      <c r="N12637" s="3" t="s">
        <v>37</v>
      </c>
      <c r="O12637" s="3" t="s">
        <v>46</v>
      </c>
      <c r="P12637" s="5">
        <v>21</v>
      </c>
      <c r="Q12637" s="5">
        <v>388</v>
      </c>
      <c r="R12637" s="5">
        <v>20</v>
      </c>
      <c r="S12637" s="5">
        <v>382</v>
      </c>
    </row>
    <row r="12638" spans="1:19" ht="42" x14ac:dyDescent="0.15">
      <c r="A12638" s="2">
        <f>HYPERLINK("https://open-school.uspishnemisto.com.ua/school/610789/", 610789)</f>
        <v>610789</v>
      </c>
      <c r="B12638" s="3" t="s">
        <v>63773</v>
      </c>
      <c r="C12638" s="3" t="s">
        <v>54</v>
      </c>
      <c r="D12638" s="3" t="s">
        <v>32</v>
      </c>
      <c r="E12638" s="4" t="s">
        <v>22</v>
      </c>
      <c r="F12638" s="4" t="s">
        <v>63774</v>
      </c>
      <c r="G12638" s="4" t="s">
        <v>63775</v>
      </c>
      <c r="H12638" s="3" t="s">
        <v>60159</v>
      </c>
      <c r="I12638" s="3" t="s">
        <v>56649</v>
      </c>
      <c r="J12638" s="3"/>
      <c r="K12638" s="3" t="s">
        <v>63776</v>
      </c>
      <c r="L12638" s="3"/>
      <c r="M12638" s="4"/>
      <c r="N12638" s="3" t="s">
        <v>37</v>
      </c>
      <c r="O12638" s="3" t="s">
        <v>46</v>
      </c>
      <c r="P12638" s="5">
        <v>9</v>
      </c>
      <c r="Q12638" s="5">
        <v>123</v>
      </c>
      <c r="R12638" s="5">
        <v>10</v>
      </c>
      <c r="S12638" s="5">
        <v>128</v>
      </c>
    </row>
    <row r="12639" spans="1:19" ht="28" x14ac:dyDescent="0.15">
      <c r="A12639" s="2">
        <f>HYPERLINK("https://open-school.uspishnemisto.com.ua/school/610790/", 610790)</f>
        <v>610790</v>
      </c>
      <c r="B12639" s="3" t="s">
        <v>63777</v>
      </c>
      <c r="C12639" s="3" t="s">
        <v>31</v>
      </c>
      <c r="D12639" s="3" t="s">
        <v>175</v>
      </c>
      <c r="E12639" s="4" t="s">
        <v>22</v>
      </c>
      <c r="F12639" s="4" t="s">
        <v>63778</v>
      </c>
      <c r="G12639" s="4" t="s">
        <v>63779</v>
      </c>
      <c r="H12639" s="3" t="s">
        <v>60159</v>
      </c>
      <c r="I12639" s="3" t="s">
        <v>63780</v>
      </c>
      <c r="J12639" s="3" t="s">
        <v>34814</v>
      </c>
      <c r="K12639" s="3" t="s">
        <v>63781</v>
      </c>
      <c r="L12639" s="3"/>
      <c r="M12639" s="4"/>
      <c r="N12639" s="3" t="s">
        <v>37</v>
      </c>
      <c r="O12639" s="3" t="s">
        <v>46</v>
      </c>
      <c r="P12639" s="5">
        <v>9</v>
      </c>
      <c r="Q12639" s="5">
        <v>74</v>
      </c>
      <c r="R12639" s="5">
        <v>9</v>
      </c>
      <c r="S12639" s="5">
        <v>76</v>
      </c>
    </row>
    <row r="12640" spans="1:19" ht="42" x14ac:dyDescent="0.15">
      <c r="A12640" s="2">
        <f>HYPERLINK("https://open-school.uspishnemisto.com.ua/school/610791/", 610791)</f>
        <v>610791</v>
      </c>
      <c r="B12640" s="3" t="s">
        <v>63782</v>
      </c>
      <c r="C12640" s="3" t="s">
        <v>54</v>
      </c>
      <c r="D12640" s="3" t="s">
        <v>175</v>
      </c>
      <c r="E12640" s="4" t="s">
        <v>22</v>
      </c>
      <c r="F12640" s="4" t="s">
        <v>63783</v>
      </c>
      <c r="G12640" s="4" t="s">
        <v>63784</v>
      </c>
      <c r="H12640" s="3" t="s">
        <v>60159</v>
      </c>
      <c r="I12640" s="3" t="s">
        <v>63785</v>
      </c>
      <c r="J12640" s="3" t="s">
        <v>28787</v>
      </c>
      <c r="K12640" s="3"/>
      <c r="L12640" s="3"/>
      <c r="M12640" s="4"/>
      <c r="N12640" s="3" t="s">
        <v>37</v>
      </c>
      <c r="O12640" s="3" t="s">
        <v>46</v>
      </c>
      <c r="P12640" s="5">
        <v>7</v>
      </c>
      <c r="Q12640" s="5">
        <v>72</v>
      </c>
      <c r="R12640" s="5">
        <v>6</v>
      </c>
      <c r="S12640" s="5">
        <v>67</v>
      </c>
    </row>
    <row r="12641" spans="1:19" ht="42" x14ac:dyDescent="0.15">
      <c r="A12641" s="2">
        <f>HYPERLINK("https://open-school.uspishnemisto.com.ua/school/610792/", 610792)</f>
        <v>610792</v>
      </c>
      <c r="B12641" s="3" t="s">
        <v>63786</v>
      </c>
      <c r="C12641" s="3" t="s">
        <v>54</v>
      </c>
      <c r="D12641" s="3" t="s">
        <v>175</v>
      </c>
      <c r="E12641" s="4" t="s">
        <v>22</v>
      </c>
      <c r="F12641" s="4" t="s">
        <v>63787</v>
      </c>
      <c r="G12641" s="4" t="s">
        <v>63788</v>
      </c>
      <c r="H12641" s="3" t="s">
        <v>60159</v>
      </c>
      <c r="I12641" s="3" t="s">
        <v>63789</v>
      </c>
      <c r="J12641" s="3" t="s">
        <v>63790</v>
      </c>
      <c r="K12641" s="3" t="s">
        <v>63791</v>
      </c>
      <c r="L12641" s="3"/>
      <c r="M12641" s="4"/>
      <c r="N12641" s="3" t="s">
        <v>37</v>
      </c>
      <c r="O12641" s="3" t="s">
        <v>46</v>
      </c>
      <c r="P12641" s="5">
        <v>8</v>
      </c>
      <c r="Q12641" s="5">
        <v>89</v>
      </c>
      <c r="R12641" s="5">
        <v>8</v>
      </c>
      <c r="S12641" s="5">
        <v>97</v>
      </c>
    </row>
    <row r="12642" spans="1:19" ht="28" x14ac:dyDescent="0.15">
      <c r="A12642" s="2">
        <f>HYPERLINK("https://open-school.uspishnemisto.com.ua/school/610793/", 610793)</f>
        <v>610793</v>
      </c>
      <c r="B12642" s="3" t="s">
        <v>63792</v>
      </c>
      <c r="C12642" s="3" t="s">
        <v>31</v>
      </c>
      <c r="D12642" s="3" t="s">
        <v>175</v>
      </c>
      <c r="E12642" s="4" t="s">
        <v>22</v>
      </c>
      <c r="F12642" s="4" t="s">
        <v>63793</v>
      </c>
      <c r="G12642" s="4" t="s">
        <v>63794</v>
      </c>
      <c r="H12642" s="3" t="s">
        <v>60159</v>
      </c>
      <c r="I12642" s="3" t="s">
        <v>63795</v>
      </c>
      <c r="J12642" s="3" t="s">
        <v>33853</v>
      </c>
      <c r="K12642" s="3" t="s">
        <v>63796</v>
      </c>
      <c r="L12642" s="3"/>
      <c r="M12642" s="4"/>
      <c r="N12642" s="3" t="s">
        <v>37</v>
      </c>
      <c r="O12642" s="3" t="s">
        <v>46</v>
      </c>
      <c r="P12642" s="5">
        <v>6</v>
      </c>
      <c r="Q12642" s="5">
        <v>51</v>
      </c>
      <c r="R12642" s="5">
        <v>7</v>
      </c>
      <c r="S12642" s="5">
        <v>56</v>
      </c>
    </row>
    <row r="12643" spans="1:19" ht="28" x14ac:dyDescent="0.15">
      <c r="A12643" s="2">
        <f>HYPERLINK("https://open-school.uspishnemisto.com.ua/school/610794/", 610794)</f>
        <v>610794</v>
      </c>
      <c r="B12643" s="3" t="s">
        <v>63797</v>
      </c>
      <c r="C12643" s="3" t="s">
        <v>31</v>
      </c>
      <c r="D12643" s="3" t="s">
        <v>60</v>
      </c>
      <c r="E12643" s="4" t="s">
        <v>22</v>
      </c>
      <c r="F12643" s="4" t="s">
        <v>63798</v>
      </c>
      <c r="G12643" s="4" t="s">
        <v>63799</v>
      </c>
      <c r="H12643" s="3" t="s">
        <v>60159</v>
      </c>
      <c r="I12643" s="3" t="s">
        <v>28819</v>
      </c>
      <c r="J12643" s="3" t="s">
        <v>14979</v>
      </c>
      <c r="K12643" s="3"/>
      <c r="L12643" s="3"/>
      <c r="M12643" s="4"/>
      <c r="N12643" s="3" t="s">
        <v>37</v>
      </c>
      <c r="O12643" s="3" t="s">
        <v>52</v>
      </c>
      <c r="P12643" s="5">
        <v>2</v>
      </c>
      <c r="Q12643" s="5">
        <v>21</v>
      </c>
      <c r="R12643" s="5">
        <v>3</v>
      </c>
      <c r="S12643" s="5">
        <v>23</v>
      </c>
    </row>
    <row r="12644" spans="1:19" ht="28" x14ac:dyDescent="0.15">
      <c r="A12644" s="2">
        <f>HYPERLINK("https://open-school.uspishnemisto.com.ua/school/610795/", 610795)</f>
        <v>610795</v>
      </c>
      <c r="B12644" s="3" t="s">
        <v>63800</v>
      </c>
      <c r="C12644" s="3" t="s">
        <v>31</v>
      </c>
      <c r="D12644" s="3" t="s">
        <v>175</v>
      </c>
      <c r="E12644" s="4" t="s">
        <v>22</v>
      </c>
      <c r="F12644" s="4" t="s">
        <v>63801</v>
      </c>
      <c r="G12644" s="4" t="s">
        <v>63802</v>
      </c>
      <c r="H12644" s="3" t="s">
        <v>60159</v>
      </c>
      <c r="I12644" s="3" t="s">
        <v>63803</v>
      </c>
      <c r="J12644" s="3"/>
      <c r="K12644" s="3" t="s">
        <v>63804</v>
      </c>
      <c r="L12644" s="3"/>
      <c r="M12644" s="4"/>
      <c r="N12644" s="3" t="s">
        <v>37</v>
      </c>
      <c r="O12644" s="3" t="s">
        <v>46</v>
      </c>
      <c r="P12644" s="5">
        <v>4</v>
      </c>
      <c r="Q12644" s="5">
        <v>38</v>
      </c>
      <c r="R12644" s="5">
        <v>4</v>
      </c>
      <c r="S12644" s="5">
        <v>41</v>
      </c>
    </row>
    <row r="12645" spans="1:19" ht="28" x14ac:dyDescent="0.15">
      <c r="A12645" s="2">
        <f>HYPERLINK("https://open-school.uspishnemisto.com.ua/school/610796/", 610796)</f>
        <v>610796</v>
      </c>
      <c r="B12645" s="3" t="s">
        <v>63805</v>
      </c>
      <c r="C12645" s="3" t="s">
        <v>31</v>
      </c>
      <c r="D12645" s="3" t="s">
        <v>32</v>
      </c>
      <c r="E12645" s="4" t="s">
        <v>22</v>
      </c>
      <c r="F12645" s="4" t="s">
        <v>63806</v>
      </c>
      <c r="G12645" s="4" t="s">
        <v>63807</v>
      </c>
      <c r="H12645" s="3" t="s">
        <v>60159</v>
      </c>
      <c r="I12645" s="3" t="s">
        <v>63808</v>
      </c>
      <c r="J12645" s="3" t="s">
        <v>26692</v>
      </c>
      <c r="K12645" s="3" t="s">
        <v>63809</v>
      </c>
      <c r="L12645" s="3"/>
      <c r="M12645" s="4"/>
      <c r="N12645" s="3" t="s">
        <v>37</v>
      </c>
      <c r="O12645" s="3" t="s">
        <v>46</v>
      </c>
      <c r="P12645" s="5">
        <v>13</v>
      </c>
      <c r="Q12645" s="5">
        <v>232</v>
      </c>
      <c r="R12645" s="5">
        <v>11</v>
      </c>
      <c r="S12645" s="5">
        <v>221</v>
      </c>
    </row>
    <row r="12646" spans="1:19" ht="42" x14ac:dyDescent="0.15">
      <c r="A12646" s="2">
        <f>HYPERLINK("https://open-school.uspishnemisto.com.ua/school/610797/", 610797)</f>
        <v>610797</v>
      </c>
      <c r="B12646" s="3" t="s">
        <v>63810</v>
      </c>
      <c r="C12646" s="3" t="s">
        <v>54</v>
      </c>
      <c r="D12646" s="3" t="s">
        <v>60</v>
      </c>
      <c r="E12646" s="4" t="s">
        <v>22</v>
      </c>
      <c r="F12646" s="4" t="s">
        <v>63806</v>
      </c>
      <c r="G12646" s="4" t="s">
        <v>63811</v>
      </c>
      <c r="H12646" s="3" t="s">
        <v>60159</v>
      </c>
      <c r="I12646" s="3" t="s">
        <v>60671</v>
      </c>
      <c r="J12646" s="3" t="s">
        <v>13617</v>
      </c>
      <c r="K12646" s="3" t="s">
        <v>63812</v>
      </c>
      <c r="L12646" s="3"/>
      <c r="M12646" s="4"/>
      <c r="N12646" s="3" t="s">
        <v>37</v>
      </c>
      <c r="O12646" s="3" t="s">
        <v>52</v>
      </c>
      <c r="P12646" s="5">
        <v>1</v>
      </c>
      <c r="Q12646" s="5">
        <v>10</v>
      </c>
      <c r="R12646" s="5">
        <v>2</v>
      </c>
      <c r="S12646" s="5">
        <v>17</v>
      </c>
    </row>
    <row r="12647" spans="1:19" ht="42" x14ac:dyDescent="0.15">
      <c r="A12647" s="2">
        <f>HYPERLINK("https://open-school.uspishnemisto.com.ua/school/610798/", 610798)</f>
        <v>610798</v>
      </c>
      <c r="B12647" s="3" t="s">
        <v>63813</v>
      </c>
      <c r="C12647" s="3" t="s">
        <v>54</v>
      </c>
      <c r="D12647" s="3" t="s">
        <v>32</v>
      </c>
      <c r="E12647" s="4" t="s">
        <v>22</v>
      </c>
      <c r="F12647" s="4" t="s">
        <v>63814</v>
      </c>
      <c r="G12647" s="4" t="s">
        <v>63815</v>
      </c>
      <c r="H12647" s="3" t="s">
        <v>60159</v>
      </c>
      <c r="I12647" s="3" t="s">
        <v>63816</v>
      </c>
      <c r="J12647" s="3" t="s">
        <v>3173</v>
      </c>
      <c r="K12647" s="3"/>
      <c r="L12647" s="3"/>
      <c r="M12647" s="4"/>
      <c r="N12647" s="3" t="s">
        <v>37</v>
      </c>
      <c r="O12647" s="3" t="s">
        <v>123</v>
      </c>
      <c r="P12647" s="5">
        <v>11</v>
      </c>
      <c r="Q12647" s="5">
        <v>166</v>
      </c>
      <c r="R12647" s="5">
        <v>11</v>
      </c>
      <c r="S12647" s="5">
        <v>159</v>
      </c>
    </row>
    <row r="12648" spans="1:19" ht="42" x14ac:dyDescent="0.15">
      <c r="A12648" s="2">
        <f>HYPERLINK("https://open-school.uspishnemisto.com.ua/school/610799/", 610799)</f>
        <v>610799</v>
      </c>
      <c r="B12648" s="3" t="s">
        <v>63817</v>
      </c>
      <c r="C12648" s="3" t="s">
        <v>54</v>
      </c>
      <c r="D12648" s="3" t="s">
        <v>32</v>
      </c>
      <c r="E12648" s="4" t="s">
        <v>22</v>
      </c>
      <c r="F12648" s="4" t="s">
        <v>63818</v>
      </c>
      <c r="G12648" s="4" t="s">
        <v>63819</v>
      </c>
      <c r="H12648" s="3" t="s">
        <v>60159</v>
      </c>
      <c r="I12648" s="3" t="s">
        <v>56633</v>
      </c>
      <c r="J12648" s="3" t="s">
        <v>2476</v>
      </c>
      <c r="K12648" s="3" t="s">
        <v>63820</v>
      </c>
      <c r="L12648" s="3"/>
      <c r="M12648" s="4"/>
      <c r="N12648" s="3" t="s">
        <v>37</v>
      </c>
      <c r="O12648" s="3" t="s">
        <v>46</v>
      </c>
      <c r="P12648" s="5">
        <v>9</v>
      </c>
      <c r="Q12648" s="5">
        <v>67</v>
      </c>
      <c r="R12648" s="5">
        <v>9</v>
      </c>
      <c r="S12648" s="5">
        <v>63</v>
      </c>
    </row>
    <row r="12649" spans="1:19" ht="42" x14ac:dyDescent="0.15">
      <c r="A12649" s="2">
        <f>HYPERLINK("https://open-school.uspishnemisto.com.ua/school/610800/", 610800)</f>
        <v>610800</v>
      </c>
      <c r="B12649" s="3" t="s">
        <v>63821</v>
      </c>
      <c r="C12649" s="3" t="s">
        <v>54</v>
      </c>
      <c r="D12649" s="3" t="s">
        <v>175</v>
      </c>
      <c r="E12649" s="4" t="s">
        <v>22</v>
      </c>
      <c r="F12649" s="4" t="s">
        <v>63818</v>
      </c>
      <c r="G12649" s="4" t="s">
        <v>63822</v>
      </c>
      <c r="H12649" s="3" t="s">
        <v>60159</v>
      </c>
      <c r="I12649" s="3" t="s">
        <v>63823</v>
      </c>
      <c r="J12649" s="3" t="s">
        <v>63824</v>
      </c>
      <c r="K12649" s="3" t="s">
        <v>63825</v>
      </c>
      <c r="L12649" s="3"/>
      <c r="M12649" s="4"/>
      <c r="N12649" s="3" t="s">
        <v>37</v>
      </c>
      <c r="O12649" s="3" t="s">
        <v>52</v>
      </c>
      <c r="P12649" s="5">
        <v>9</v>
      </c>
      <c r="Q12649" s="5">
        <v>62</v>
      </c>
      <c r="R12649" s="5">
        <v>9</v>
      </c>
      <c r="S12649" s="5">
        <v>66</v>
      </c>
    </row>
    <row r="12650" spans="1:19" ht="42" x14ac:dyDescent="0.15">
      <c r="A12650" s="2">
        <f>HYPERLINK("https://open-school.uspishnemisto.com.ua/school/610801/", 610801)</f>
        <v>610801</v>
      </c>
      <c r="B12650" s="3" t="s">
        <v>63826</v>
      </c>
      <c r="C12650" s="3" t="s">
        <v>54</v>
      </c>
      <c r="D12650" s="3" t="s">
        <v>175</v>
      </c>
      <c r="E12650" s="4" t="s">
        <v>22</v>
      </c>
      <c r="F12650" s="4" t="s">
        <v>63827</v>
      </c>
      <c r="G12650" s="4" t="s">
        <v>63828</v>
      </c>
      <c r="H12650" s="3" t="s">
        <v>60159</v>
      </c>
      <c r="I12650" s="3" t="s">
        <v>63829</v>
      </c>
      <c r="J12650" s="3" t="s">
        <v>46685</v>
      </c>
      <c r="K12650" s="3" t="s">
        <v>63830</v>
      </c>
      <c r="L12650" s="3"/>
      <c r="M12650" s="4"/>
      <c r="N12650" s="3" t="s">
        <v>37</v>
      </c>
      <c r="O12650" s="3" t="s">
        <v>46</v>
      </c>
      <c r="P12650" s="5">
        <v>7</v>
      </c>
      <c r="Q12650" s="5">
        <v>48</v>
      </c>
      <c r="R12650" s="5">
        <v>6</v>
      </c>
      <c r="S12650" s="5">
        <v>46</v>
      </c>
    </row>
    <row r="12651" spans="1:19" ht="42" x14ac:dyDescent="0.15">
      <c r="A12651" s="2">
        <f>HYPERLINK("https://open-school.uspishnemisto.com.ua/school/610802/", 610802)</f>
        <v>610802</v>
      </c>
      <c r="B12651" s="3" t="s">
        <v>63831</v>
      </c>
      <c r="C12651" s="3" t="s">
        <v>54</v>
      </c>
      <c r="D12651" s="3" t="s">
        <v>32</v>
      </c>
      <c r="E12651" s="4" t="s">
        <v>22</v>
      </c>
      <c r="F12651" s="4" t="s">
        <v>63832</v>
      </c>
      <c r="G12651" s="4" t="s">
        <v>63833</v>
      </c>
      <c r="H12651" s="3" t="s">
        <v>60159</v>
      </c>
      <c r="I12651" s="3" t="s">
        <v>7935</v>
      </c>
      <c r="J12651" s="3" t="s">
        <v>63834</v>
      </c>
      <c r="K12651" s="3" t="s">
        <v>63835</v>
      </c>
      <c r="L12651" s="3" t="s">
        <v>63836</v>
      </c>
      <c r="M12651" s="4"/>
      <c r="N12651" s="3" t="s">
        <v>37</v>
      </c>
      <c r="O12651" s="3" t="s">
        <v>46</v>
      </c>
      <c r="P12651" s="5">
        <v>11</v>
      </c>
      <c r="Q12651" s="5">
        <v>110</v>
      </c>
      <c r="R12651" s="5">
        <v>11</v>
      </c>
      <c r="S12651" s="5">
        <v>116</v>
      </c>
    </row>
    <row r="12652" spans="1:19" ht="42" x14ac:dyDescent="0.15">
      <c r="A12652" s="2">
        <f>HYPERLINK("https://open-school.uspishnemisto.com.ua/school/610803/", 610803)</f>
        <v>610803</v>
      </c>
      <c r="B12652" s="3" t="s">
        <v>63837</v>
      </c>
      <c r="C12652" s="3" t="s">
        <v>54</v>
      </c>
      <c r="D12652" s="3" t="s">
        <v>175</v>
      </c>
      <c r="E12652" s="4" t="s">
        <v>22</v>
      </c>
      <c r="F12652" s="4" t="s">
        <v>63838</v>
      </c>
      <c r="G12652" s="4" t="s">
        <v>63839</v>
      </c>
      <c r="H12652" s="3" t="s">
        <v>60159</v>
      </c>
      <c r="I12652" s="3" t="s">
        <v>63840</v>
      </c>
      <c r="J12652" s="3" t="s">
        <v>2052</v>
      </c>
      <c r="K12652" s="3" t="s">
        <v>63841</v>
      </c>
      <c r="L12652" s="3"/>
      <c r="M12652" s="4"/>
      <c r="N12652" s="3" t="s">
        <v>37</v>
      </c>
      <c r="O12652" s="3" t="s">
        <v>52</v>
      </c>
      <c r="P12652" s="5">
        <v>8</v>
      </c>
      <c r="Q12652" s="5">
        <v>54</v>
      </c>
      <c r="R12652" s="5">
        <v>8</v>
      </c>
      <c r="S12652" s="5">
        <v>54</v>
      </c>
    </row>
    <row r="12653" spans="1:19" ht="42" x14ac:dyDescent="0.15">
      <c r="A12653" s="2">
        <f>HYPERLINK("https://open-school.uspishnemisto.com.ua/school/610804/", 610804)</f>
        <v>610804</v>
      </c>
      <c r="B12653" s="3" t="s">
        <v>63842</v>
      </c>
      <c r="C12653" s="3" t="s">
        <v>54</v>
      </c>
      <c r="D12653" s="3" t="s">
        <v>175</v>
      </c>
      <c r="E12653" s="4" t="s">
        <v>22</v>
      </c>
      <c r="F12653" s="4" t="s">
        <v>63843</v>
      </c>
      <c r="G12653" s="4" t="s">
        <v>63844</v>
      </c>
      <c r="H12653" s="3" t="s">
        <v>60159</v>
      </c>
      <c r="I12653" s="3" t="s">
        <v>63845</v>
      </c>
      <c r="J12653" s="3" t="s">
        <v>63846</v>
      </c>
      <c r="K12653" s="3" t="s">
        <v>63847</v>
      </c>
      <c r="L12653" s="3"/>
      <c r="M12653" s="4"/>
      <c r="N12653" s="3" t="s">
        <v>37</v>
      </c>
      <c r="O12653" s="3" t="s">
        <v>46</v>
      </c>
      <c r="P12653" s="5">
        <v>8</v>
      </c>
      <c r="Q12653" s="5">
        <v>62</v>
      </c>
      <c r="R12653" s="5">
        <v>9</v>
      </c>
      <c r="S12653" s="5">
        <v>68</v>
      </c>
    </row>
    <row r="12654" spans="1:19" ht="56" x14ac:dyDescent="0.15">
      <c r="A12654" s="2">
        <f>HYPERLINK("https://open-school.uspishnemisto.com.ua/school/610805/", 610805)</f>
        <v>610805</v>
      </c>
      <c r="B12654" s="3" t="s">
        <v>63848</v>
      </c>
      <c r="C12654" s="3" t="s">
        <v>54</v>
      </c>
      <c r="D12654" s="3" t="s">
        <v>175</v>
      </c>
      <c r="E12654" s="4" t="s">
        <v>22</v>
      </c>
      <c r="F12654" s="4" t="s">
        <v>63798</v>
      </c>
      <c r="G12654" s="4" t="s">
        <v>63849</v>
      </c>
      <c r="H12654" s="3" t="s">
        <v>60159</v>
      </c>
      <c r="I12654" s="3" t="s">
        <v>63850</v>
      </c>
      <c r="J12654" s="3"/>
      <c r="K12654" s="3" t="s">
        <v>63851</v>
      </c>
      <c r="L12654" s="3"/>
      <c r="M12654" s="4"/>
      <c r="N12654" s="3" t="s">
        <v>37</v>
      </c>
      <c r="O12654" s="3" t="s">
        <v>46</v>
      </c>
      <c r="P12654" s="5">
        <v>8</v>
      </c>
      <c r="Q12654" s="5">
        <v>63</v>
      </c>
      <c r="R12654" s="5">
        <v>8</v>
      </c>
      <c r="S12654" s="5">
        <v>56</v>
      </c>
    </row>
    <row r="12655" spans="1:19" ht="42" x14ac:dyDescent="0.15">
      <c r="A12655" s="2">
        <f>HYPERLINK("https://open-school.uspishnemisto.com.ua/school/610806/", 610806)</f>
        <v>610806</v>
      </c>
      <c r="B12655" s="3" t="s">
        <v>63852</v>
      </c>
      <c r="C12655" s="3" t="s">
        <v>54</v>
      </c>
      <c r="D12655" s="3" t="s">
        <v>175</v>
      </c>
      <c r="E12655" s="4" t="s">
        <v>22</v>
      </c>
      <c r="F12655" s="4" t="s">
        <v>63853</v>
      </c>
      <c r="G12655" s="4" t="s">
        <v>63854</v>
      </c>
      <c r="H12655" s="3" t="s">
        <v>60159</v>
      </c>
      <c r="I12655" s="3" t="s">
        <v>63855</v>
      </c>
      <c r="J12655" s="3" t="s">
        <v>63856</v>
      </c>
      <c r="K12655" s="3" t="s">
        <v>63857</v>
      </c>
      <c r="L12655" s="3"/>
      <c r="M12655" s="4"/>
      <c r="N12655" s="3" t="s">
        <v>37</v>
      </c>
      <c r="O12655" s="3" t="s">
        <v>46</v>
      </c>
      <c r="P12655" s="5">
        <v>9</v>
      </c>
      <c r="Q12655" s="5">
        <v>88</v>
      </c>
      <c r="R12655" s="5">
        <v>9</v>
      </c>
      <c r="S12655" s="5">
        <v>95</v>
      </c>
    </row>
    <row r="12656" spans="1:19" ht="42" x14ac:dyDescent="0.15">
      <c r="A12656" s="2">
        <f>HYPERLINK("https://open-school.uspishnemisto.com.ua/school/610807/", 610807)</f>
        <v>610807</v>
      </c>
      <c r="B12656" s="3" t="s">
        <v>63858</v>
      </c>
      <c r="C12656" s="3" t="s">
        <v>54</v>
      </c>
      <c r="D12656" s="3" t="s">
        <v>32</v>
      </c>
      <c r="E12656" s="4" t="s">
        <v>22</v>
      </c>
      <c r="F12656" s="4" t="s">
        <v>63859</v>
      </c>
      <c r="G12656" s="4" t="s">
        <v>63860</v>
      </c>
      <c r="H12656" s="3" t="s">
        <v>60159</v>
      </c>
      <c r="I12656" s="3" t="s">
        <v>63861</v>
      </c>
      <c r="J12656" s="3" t="s">
        <v>12836</v>
      </c>
      <c r="K12656" s="3" t="s">
        <v>63862</v>
      </c>
      <c r="L12656" s="3"/>
      <c r="M12656" s="4"/>
      <c r="N12656" s="3" t="s">
        <v>37</v>
      </c>
      <c r="O12656" s="3" t="s">
        <v>46</v>
      </c>
      <c r="P12656" s="5">
        <v>11</v>
      </c>
      <c r="Q12656" s="5">
        <v>103</v>
      </c>
      <c r="R12656" s="5">
        <v>11</v>
      </c>
      <c r="S12656" s="5">
        <v>99</v>
      </c>
    </row>
    <row r="12657" spans="1:19" ht="28" x14ac:dyDescent="0.15">
      <c r="A12657" s="2">
        <f>HYPERLINK("https://open-school.uspishnemisto.com.ua/school/610808/", 610808)</f>
        <v>610808</v>
      </c>
      <c r="B12657" s="3" t="s">
        <v>63863</v>
      </c>
      <c r="C12657" s="3" t="s">
        <v>31</v>
      </c>
      <c r="D12657" s="3" t="s">
        <v>60</v>
      </c>
      <c r="E12657" s="4" t="s">
        <v>22</v>
      </c>
      <c r="F12657" s="4" t="s">
        <v>63864</v>
      </c>
      <c r="G12657" s="4" t="s">
        <v>63865</v>
      </c>
      <c r="H12657" s="3" t="s">
        <v>60159</v>
      </c>
      <c r="I12657" s="3" t="s">
        <v>63866</v>
      </c>
      <c r="J12657" s="3" t="s">
        <v>63867</v>
      </c>
      <c r="K12657" s="3" t="s">
        <v>63868</v>
      </c>
      <c r="L12657" s="3"/>
      <c r="M12657" s="4"/>
      <c r="N12657" s="3" t="s">
        <v>37</v>
      </c>
      <c r="O12657" s="3" t="s">
        <v>52</v>
      </c>
      <c r="P12657" s="5">
        <v>0</v>
      </c>
      <c r="Q12657" s="5">
        <v>13</v>
      </c>
      <c r="R12657" s="5">
        <v>0</v>
      </c>
      <c r="S12657" s="5">
        <v>12</v>
      </c>
    </row>
    <row r="12658" spans="1:19" ht="42" x14ac:dyDescent="0.15">
      <c r="A12658" s="2">
        <f>HYPERLINK("https://open-school.uspishnemisto.com.ua/school/610809/", 610809)</f>
        <v>610809</v>
      </c>
      <c r="B12658" s="3" t="s">
        <v>63869</v>
      </c>
      <c r="C12658" s="3" t="s">
        <v>54</v>
      </c>
      <c r="D12658" s="3" t="s">
        <v>175</v>
      </c>
      <c r="E12658" s="4" t="s">
        <v>22</v>
      </c>
      <c r="F12658" s="4" t="s">
        <v>63870</v>
      </c>
      <c r="G12658" s="4" t="s">
        <v>63871</v>
      </c>
      <c r="H12658" s="3" t="s">
        <v>60159</v>
      </c>
      <c r="I12658" s="3" t="s">
        <v>63872</v>
      </c>
      <c r="J12658" s="3" t="s">
        <v>63873</v>
      </c>
      <c r="K12658" s="3" t="s">
        <v>63874</v>
      </c>
      <c r="L12658" s="3"/>
      <c r="M12658" s="4"/>
      <c r="N12658" s="3" t="s">
        <v>37</v>
      </c>
      <c r="O12658" s="3" t="s">
        <v>46</v>
      </c>
      <c r="P12658" s="5">
        <v>9</v>
      </c>
      <c r="Q12658" s="5">
        <v>76</v>
      </c>
      <c r="R12658" s="5">
        <v>9</v>
      </c>
      <c r="S12658" s="5">
        <v>71</v>
      </c>
    </row>
    <row r="12659" spans="1:19" ht="42" x14ac:dyDescent="0.15">
      <c r="A12659" s="2">
        <f>HYPERLINK("https://open-school.uspishnemisto.com.ua/school/610811/", 610811)</f>
        <v>610811</v>
      </c>
      <c r="B12659" s="3" t="s">
        <v>63875</v>
      </c>
      <c r="C12659" s="3" t="s">
        <v>54</v>
      </c>
      <c r="D12659" s="3" t="s">
        <v>60</v>
      </c>
      <c r="E12659" s="4" t="s">
        <v>22</v>
      </c>
      <c r="F12659" s="4" t="s">
        <v>63876</v>
      </c>
      <c r="G12659" s="4" t="s">
        <v>63877</v>
      </c>
      <c r="H12659" s="3" t="s">
        <v>60159</v>
      </c>
      <c r="I12659" s="3" t="s">
        <v>6904</v>
      </c>
      <c r="J12659" s="3" t="s">
        <v>1393</v>
      </c>
      <c r="K12659" s="3" t="s">
        <v>63878</v>
      </c>
      <c r="L12659" s="3"/>
      <c r="M12659" s="4"/>
      <c r="N12659" s="3" t="s">
        <v>37</v>
      </c>
      <c r="O12659" s="3" t="s">
        <v>52</v>
      </c>
      <c r="P12659" s="5">
        <v>1</v>
      </c>
      <c r="Q12659" s="5">
        <v>14</v>
      </c>
      <c r="R12659" s="5">
        <v>2</v>
      </c>
      <c r="S12659" s="5">
        <v>20</v>
      </c>
    </row>
    <row r="12660" spans="1:19" ht="42" x14ac:dyDescent="0.15">
      <c r="A12660" s="2">
        <f>HYPERLINK("https://open-school.uspishnemisto.com.ua/school/610812/", 610812)</f>
        <v>610812</v>
      </c>
      <c r="B12660" s="3" t="s">
        <v>63879</v>
      </c>
      <c r="C12660" s="3" t="s">
        <v>54</v>
      </c>
      <c r="D12660" s="3" t="s">
        <v>175</v>
      </c>
      <c r="E12660" s="4" t="s">
        <v>22</v>
      </c>
      <c r="F12660" s="4" t="s">
        <v>63880</v>
      </c>
      <c r="G12660" s="4" t="s">
        <v>63881</v>
      </c>
      <c r="H12660" s="3" t="s">
        <v>60159</v>
      </c>
      <c r="I12660" s="3" t="s">
        <v>63882</v>
      </c>
      <c r="J12660" s="3" t="s">
        <v>466</v>
      </c>
      <c r="K12660" s="3" t="s">
        <v>63883</v>
      </c>
      <c r="L12660" s="3"/>
      <c r="M12660" s="4"/>
      <c r="N12660" s="3" t="s">
        <v>37</v>
      </c>
      <c r="O12660" s="3" t="s">
        <v>46</v>
      </c>
      <c r="P12660" s="5">
        <v>9</v>
      </c>
      <c r="Q12660" s="5">
        <v>62</v>
      </c>
      <c r="R12660" s="5">
        <v>9</v>
      </c>
      <c r="S12660" s="5">
        <v>62</v>
      </c>
    </row>
    <row r="12661" spans="1:19" ht="28" x14ac:dyDescent="0.15">
      <c r="A12661" s="2">
        <f>HYPERLINK("https://open-school.uspishnemisto.com.ua/school/610813/", 610813)</f>
        <v>610813</v>
      </c>
      <c r="B12661" s="3" t="s">
        <v>63884</v>
      </c>
      <c r="C12661" s="3" t="s">
        <v>31</v>
      </c>
      <c r="D12661" s="3" t="s">
        <v>60</v>
      </c>
      <c r="E12661" s="4" t="s">
        <v>22</v>
      </c>
      <c r="F12661" s="4" t="s">
        <v>63885</v>
      </c>
      <c r="G12661" s="4" t="s">
        <v>63886</v>
      </c>
      <c r="H12661" s="3" t="s">
        <v>60159</v>
      </c>
      <c r="I12661" s="3" t="s">
        <v>63887</v>
      </c>
      <c r="J12661" s="3" t="s">
        <v>946</v>
      </c>
      <c r="K12661" s="3" t="s">
        <v>63888</v>
      </c>
      <c r="L12661" s="3"/>
      <c r="M12661" s="4"/>
      <c r="N12661" s="3" t="s">
        <v>37</v>
      </c>
      <c r="O12661" s="3" t="s">
        <v>46</v>
      </c>
      <c r="P12661" s="5">
        <v>3</v>
      </c>
      <c r="Q12661" s="5">
        <v>21</v>
      </c>
      <c r="R12661" s="5">
        <v>2</v>
      </c>
      <c r="S12661" s="5">
        <v>19</v>
      </c>
    </row>
    <row r="12662" spans="1:19" ht="28" x14ac:dyDescent="0.15">
      <c r="A12662" s="2">
        <f>HYPERLINK("https://open-school.uspishnemisto.com.ua/school/610814/", 610814)</f>
        <v>610814</v>
      </c>
      <c r="B12662" s="3" t="s">
        <v>63889</v>
      </c>
      <c r="C12662" s="3" t="s">
        <v>31</v>
      </c>
      <c r="D12662" s="3" t="s">
        <v>60</v>
      </c>
      <c r="E12662" s="4" t="s">
        <v>22</v>
      </c>
      <c r="F12662" s="4" t="s">
        <v>63890</v>
      </c>
      <c r="G12662" s="4" t="s">
        <v>63891</v>
      </c>
      <c r="H12662" s="3" t="s">
        <v>60159</v>
      </c>
      <c r="I12662" s="3" t="s">
        <v>63892</v>
      </c>
      <c r="J12662" s="3"/>
      <c r="K12662" s="3"/>
      <c r="L12662" s="3"/>
      <c r="M12662" s="4"/>
      <c r="N12662" s="3" t="s">
        <v>37</v>
      </c>
      <c r="O12662" s="3" t="s">
        <v>52</v>
      </c>
      <c r="P12662" s="5">
        <v>2</v>
      </c>
      <c r="Q12662" s="5">
        <v>19</v>
      </c>
      <c r="R12662" s="5">
        <v>2</v>
      </c>
      <c r="S12662" s="5">
        <v>19</v>
      </c>
    </row>
    <row r="12663" spans="1:19" ht="42" x14ac:dyDescent="0.15">
      <c r="A12663" s="2">
        <f>HYPERLINK("https://open-school.uspishnemisto.com.ua/school/610817/", 610817)</f>
        <v>610817</v>
      </c>
      <c r="B12663" s="3" t="s">
        <v>63893</v>
      </c>
      <c r="C12663" s="3" t="s">
        <v>54</v>
      </c>
      <c r="D12663" s="3" t="s">
        <v>175</v>
      </c>
      <c r="E12663" s="4" t="s">
        <v>22</v>
      </c>
      <c r="F12663" s="4" t="s">
        <v>63894</v>
      </c>
      <c r="G12663" s="4" t="s">
        <v>63895</v>
      </c>
      <c r="H12663" s="3" t="s">
        <v>60159</v>
      </c>
      <c r="I12663" s="3" t="s">
        <v>63896</v>
      </c>
      <c r="J12663" s="3" t="s">
        <v>466</v>
      </c>
      <c r="K12663" s="3" t="s">
        <v>63897</v>
      </c>
      <c r="L12663" s="3"/>
      <c r="M12663" s="4"/>
      <c r="N12663" s="3" t="s">
        <v>37</v>
      </c>
      <c r="O12663" s="3" t="s">
        <v>46</v>
      </c>
      <c r="P12663" s="5">
        <v>9</v>
      </c>
      <c r="Q12663" s="5">
        <v>75</v>
      </c>
      <c r="R12663" s="5">
        <v>9</v>
      </c>
      <c r="S12663" s="5">
        <v>74</v>
      </c>
    </row>
    <row r="12664" spans="1:19" ht="42" x14ac:dyDescent="0.15">
      <c r="A12664" s="2">
        <f>HYPERLINK("https://open-school.uspishnemisto.com.ua/school/610818/", 610818)</f>
        <v>610818</v>
      </c>
      <c r="B12664" s="3" t="s">
        <v>63898</v>
      </c>
      <c r="C12664" s="3" t="s">
        <v>54</v>
      </c>
      <c r="D12664" s="3" t="s">
        <v>175</v>
      </c>
      <c r="E12664" s="4" t="s">
        <v>22</v>
      </c>
      <c r="F12664" s="4" t="s">
        <v>63899</v>
      </c>
      <c r="G12664" s="4" t="s">
        <v>63900</v>
      </c>
      <c r="H12664" s="3" t="s">
        <v>60159</v>
      </c>
      <c r="I12664" s="3" t="s">
        <v>2491</v>
      </c>
      <c r="J12664" s="3" t="s">
        <v>634</v>
      </c>
      <c r="K12664" s="3" t="s">
        <v>63901</v>
      </c>
      <c r="L12664" s="3"/>
      <c r="M12664" s="4"/>
      <c r="N12664" s="3" t="s">
        <v>37</v>
      </c>
      <c r="O12664" s="3" t="s">
        <v>46</v>
      </c>
      <c r="P12664" s="5">
        <v>4</v>
      </c>
      <c r="Q12664" s="5">
        <v>44</v>
      </c>
      <c r="R12664" s="5">
        <v>7</v>
      </c>
      <c r="S12664" s="5">
        <v>52</v>
      </c>
    </row>
    <row r="12665" spans="1:19" ht="28" x14ac:dyDescent="0.15">
      <c r="A12665" s="2">
        <f>HYPERLINK("https://open-school.uspishnemisto.com.ua/school/610819/", 610819)</f>
        <v>610819</v>
      </c>
      <c r="B12665" s="3" t="s">
        <v>63902</v>
      </c>
      <c r="C12665" s="3" t="s">
        <v>31</v>
      </c>
      <c r="D12665" s="3" t="s">
        <v>60</v>
      </c>
      <c r="E12665" s="4" t="s">
        <v>22</v>
      </c>
      <c r="F12665" s="4" t="s">
        <v>63903</v>
      </c>
      <c r="G12665" s="4" t="s">
        <v>63904</v>
      </c>
      <c r="H12665" s="3" t="s">
        <v>60159</v>
      </c>
      <c r="I12665" s="3" t="s">
        <v>5965</v>
      </c>
      <c r="J12665" s="3"/>
      <c r="K12665" s="3" t="s">
        <v>63905</v>
      </c>
      <c r="L12665" s="3"/>
      <c r="M12665" s="4"/>
      <c r="N12665" s="3" t="s">
        <v>37</v>
      </c>
      <c r="O12665" s="3" t="s">
        <v>618</v>
      </c>
      <c r="P12665" s="5">
        <v>0</v>
      </c>
      <c r="Q12665" s="5">
        <v>9</v>
      </c>
      <c r="R12665" s="5">
        <v>1</v>
      </c>
      <c r="S12665" s="5">
        <v>12</v>
      </c>
    </row>
    <row r="12666" spans="1:19" ht="42" x14ac:dyDescent="0.15">
      <c r="A12666" s="2">
        <f>HYPERLINK("https://open-school.uspishnemisto.com.ua/school/610820/", 610820)</f>
        <v>610820</v>
      </c>
      <c r="B12666" s="3" t="s">
        <v>63906</v>
      </c>
      <c r="C12666" s="3" t="s">
        <v>54</v>
      </c>
      <c r="D12666" s="3" t="s">
        <v>175</v>
      </c>
      <c r="E12666" s="4" t="s">
        <v>22</v>
      </c>
      <c r="F12666" s="4" t="s">
        <v>63907</v>
      </c>
      <c r="G12666" s="4" t="s">
        <v>63908</v>
      </c>
      <c r="H12666" s="3" t="s">
        <v>60159</v>
      </c>
      <c r="I12666" s="3" t="s">
        <v>7007</v>
      </c>
      <c r="J12666" s="3" t="s">
        <v>12836</v>
      </c>
      <c r="K12666" s="3"/>
      <c r="L12666" s="3"/>
      <c r="M12666" s="4"/>
      <c r="N12666" s="3" t="s">
        <v>37</v>
      </c>
      <c r="O12666" s="3" t="s">
        <v>46</v>
      </c>
      <c r="P12666" s="5">
        <v>8</v>
      </c>
      <c r="Q12666" s="5">
        <v>96</v>
      </c>
      <c r="R12666" s="5">
        <v>9</v>
      </c>
      <c r="S12666" s="5">
        <v>90</v>
      </c>
    </row>
    <row r="12667" spans="1:19" ht="42" x14ac:dyDescent="0.15">
      <c r="A12667" s="2">
        <f>HYPERLINK("https://open-school.uspishnemisto.com.ua/school/610821/", 610821)</f>
        <v>610821</v>
      </c>
      <c r="B12667" s="3" t="s">
        <v>63909</v>
      </c>
      <c r="C12667" s="3" t="s">
        <v>54</v>
      </c>
      <c r="D12667" s="3" t="s">
        <v>175</v>
      </c>
      <c r="E12667" s="4" t="s">
        <v>22</v>
      </c>
      <c r="F12667" s="4" t="s">
        <v>63910</v>
      </c>
      <c r="G12667" s="4" t="s">
        <v>63911</v>
      </c>
      <c r="H12667" s="3" t="s">
        <v>60159</v>
      </c>
      <c r="I12667" s="3" t="s">
        <v>63912</v>
      </c>
      <c r="J12667" s="3" t="s">
        <v>5632</v>
      </c>
      <c r="K12667" s="3"/>
      <c r="L12667" s="3"/>
      <c r="M12667" s="4"/>
      <c r="N12667" s="3" t="s">
        <v>37</v>
      </c>
      <c r="O12667" s="3" t="s">
        <v>46</v>
      </c>
      <c r="P12667" s="5">
        <v>2</v>
      </c>
      <c r="Q12667" s="5">
        <v>27</v>
      </c>
      <c r="R12667" s="5">
        <v>3</v>
      </c>
      <c r="S12667" s="5">
        <v>33</v>
      </c>
    </row>
    <row r="12668" spans="1:19" ht="42" x14ac:dyDescent="0.15">
      <c r="A12668" s="2">
        <f>HYPERLINK("https://open-school.uspishnemisto.com.ua/school/610822/", 610822)</f>
        <v>610822</v>
      </c>
      <c r="B12668" s="3" t="s">
        <v>63913</v>
      </c>
      <c r="C12668" s="3" t="s">
        <v>54</v>
      </c>
      <c r="D12668" s="3" t="s">
        <v>32</v>
      </c>
      <c r="E12668" s="4" t="s">
        <v>22</v>
      </c>
      <c r="F12668" s="4" t="s">
        <v>63801</v>
      </c>
      <c r="G12668" s="4" t="s">
        <v>63914</v>
      </c>
      <c r="H12668" s="3" t="s">
        <v>60159</v>
      </c>
      <c r="I12668" s="3" t="s">
        <v>63915</v>
      </c>
      <c r="J12668" s="3" t="s">
        <v>63916</v>
      </c>
      <c r="K12668" s="3" t="s">
        <v>63917</v>
      </c>
      <c r="L12668" s="3"/>
      <c r="M12668" s="4"/>
      <c r="N12668" s="3" t="s">
        <v>37</v>
      </c>
      <c r="O12668" s="3" t="s">
        <v>46</v>
      </c>
      <c r="P12668" s="5">
        <v>11</v>
      </c>
      <c r="Q12668" s="5">
        <v>194</v>
      </c>
      <c r="R12668" s="5">
        <v>11</v>
      </c>
      <c r="S12668" s="5">
        <v>196</v>
      </c>
    </row>
    <row r="12669" spans="1:19" ht="42" x14ac:dyDescent="0.15">
      <c r="A12669" s="2">
        <f>HYPERLINK("https://open-school.uspishnemisto.com.ua/school/610823/", 610823)</f>
        <v>610823</v>
      </c>
      <c r="B12669" s="3" t="s">
        <v>63918</v>
      </c>
      <c r="C12669" s="3" t="s">
        <v>54</v>
      </c>
      <c r="D12669" s="3" t="s">
        <v>175</v>
      </c>
      <c r="E12669" s="4" t="s">
        <v>22</v>
      </c>
      <c r="F12669" s="4" t="s">
        <v>63919</v>
      </c>
      <c r="G12669" s="4" t="s">
        <v>63920</v>
      </c>
      <c r="H12669" s="3" t="s">
        <v>60159</v>
      </c>
      <c r="I12669" s="3" t="s">
        <v>63921</v>
      </c>
      <c r="J12669" s="3"/>
      <c r="K12669" s="3" t="s">
        <v>63922</v>
      </c>
      <c r="L12669" s="3"/>
      <c r="M12669" s="4"/>
      <c r="N12669" s="3" t="s">
        <v>37</v>
      </c>
      <c r="O12669" s="3" t="s">
        <v>46</v>
      </c>
      <c r="P12669" s="5">
        <v>8</v>
      </c>
      <c r="Q12669" s="5">
        <v>68</v>
      </c>
      <c r="R12669" s="5">
        <v>8</v>
      </c>
      <c r="S12669" s="5">
        <v>65</v>
      </c>
    </row>
    <row r="12670" spans="1:19" ht="42" x14ac:dyDescent="0.15">
      <c r="A12670" s="2">
        <f>HYPERLINK("https://open-school.uspishnemisto.com.ua/school/610824/", 610824)</f>
        <v>610824</v>
      </c>
      <c r="B12670" s="3" t="s">
        <v>63923</v>
      </c>
      <c r="C12670" s="3" t="s">
        <v>54</v>
      </c>
      <c r="D12670" s="3" t="s">
        <v>32</v>
      </c>
      <c r="E12670" s="4" t="s">
        <v>22</v>
      </c>
      <c r="F12670" s="4" t="s">
        <v>63827</v>
      </c>
      <c r="G12670" s="4" t="s">
        <v>63924</v>
      </c>
      <c r="H12670" s="3" t="s">
        <v>60159</v>
      </c>
      <c r="I12670" s="3" t="s">
        <v>63925</v>
      </c>
      <c r="J12670" s="3" t="s">
        <v>792</v>
      </c>
      <c r="K12670" s="3" t="s">
        <v>63926</v>
      </c>
      <c r="L12670" s="3"/>
      <c r="M12670" s="4"/>
      <c r="N12670" s="3" t="s">
        <v>37</v>
      </c>
      <c r="O12670" s="3" t="s">
        <v>46</v>
      </c>
      <c r="P12670" s="5">
        <v>10</v>
      </c>
      <c r="Q12670" s="5">
        <v>80</v>
      </c>
      <c r="R12670" s="5">
        <v>9</v>
      </c>
      <c r="S12670" s="5">
        <v>80</v>
      </c>
    </row>
    <row r="12671" spans="1:19" ht="42" x14ac:dyDescent="0.15">
      <c r="A12671" s="2">
        <f>HYPERLINK("https://open-school.uspishnemisto.com.ua/school/610825/", 610825)</f>
        <v>610825</v>
      </c>
      <c r="B12671" s="3" t="s">
        <v>63927</v>
      </c>
      <c r="C12671" s="3" t="s">
        <v>54</v>
      </c>
      <c r="D12671" s="3" t="s">
        <v>175</v>
      </c>
      <c r="E12671" s="4" t="s">
        <v>22</v>
      </c>
      <c r="F12671" s="4" t="s">
        <v>63928</v>
      </c>
      <c r="G12671" s="4" t="s">
        <v>63929</v>
      </c>
      <c r="H12671" s="3" t="s">
        <v>60159</v>
      </c>
      <c r="I12671" s="3" t="s">
        <v>63930</v>
      </c>
      <c r="J12671" s="3" t="s">
        <v>17325</v>
      </c>
      <c r="K12671" s="3" t="s">
        <v>63931</v>
      </c>
      <c r="L12671" s="3"/>
      <c r="M12671" s="4"/>
      <c r="N12671" s="3" t="s">
        <v>37</v>
      </c>
      <c r="O12671" s="3" t="s">
        <v>618</v>
      </c>
      <c r="P12671" s="5">
        <v>9</v>
      </c>
      <c r="Q12671" s="5">
        <v>90</v>
      </c>
      <c r="R12671" s="5">
        <v>9</v>
      </c>
      <c r="S12671" s="5">
        <v>86</v>
      </c>
    </row>
    <row r="12672" spans="1:19" ht="42" x14ac:dyDescent="0.15">
      <c r="A12672" s="2">
        <f>HYPERLINK("https://open-school.uspishnemisto.com.ua/school/610826/", 610826)</f>
        <v>610826</v>
      </c>
      <c r="B12672" s="3" t="s">
        <v>63932</v>
      </c>
      <c r="C12672" s="3" t="s">
        <v>54</v>
      </c>
      <c r="D12672" s="3" t="s">
        <v>175</v>
      </c>
      <c r="E12672" s="4" t="s">
        <v>22</v>
      </c>
      <c r="F12672" s="4" t="s">
        <v>63933</v>
      </c>
      <c r="G12672" s="4" t="s">
        <v>63934</v>
      </c>
      <c r="H12672" s="3" t="s">
        <v>60159</v>
      </c>
      <c r="I12672" s="3" t="s">
        <v>63935</v>
      </c>
      <c r="J12672" s="3" t="s">
        <v>1636</v>
      </c>
      <c r="K12672" s="3" t="s">
        <v>63936</v>
      </c>
      <c r="L12672" s="3"/>
      <c r="M12672" s="4"/>
      <c r="N12672" s="3" t="s">
        <v>37</v>
      </c>
      <c r="O12672" s="3" t="s">
        <v>46</v>
      </c>
      <c r="P12672" s="5">
        <v>9</v>
      </c>
      <c r="Q12672" s="5">
        <v>69</v>
      </c>
      <c r="R12672" s="5">
        <v>7</v>
      </c>
      <c r="S12672" s="5">
        <v>63</v>
      </c>
    </row>
    <row r="12673" spans="1:19" ht="56" x14ac:dyDescent="0.15">
      <c r="A12673" s="2">
        <f>HYPERLINK("https://open-school.uspishnemisto.com.ua/school/610827/", 610827)</f>
        <v>610827</v>
      </c>
      <c r="B12673" s="3" t="s">
        <v>63937</v>
      </c>
      <c r="C12673" s="3" t="s">
        <v>54</v>
      </c>
      <c r="D12673" s="3" t="s">
        <v>175</v>
      </c>
      <c r="E12673" s="4" t="s">
        <v>22</v>
      </c>
      <c r="F12673" s="4" t="s">
        <v>63938</v>
      </c>
      <c r="G12673" s="4" t="s">
        <v>63939</v>
      </c>
      <c r="H12673" s="3" t="s">
        <v>60159</v>
      </c>
      <c r="I12673" s="3" t="s">
        <v>63940</v>
      </c>
      <c r="J12673" s="3"/>
      <c r="K12673" s="3" t="s">
        <v>63941</v>
      </c>
      <c r="L12673" s="3"/>
      <c r="M12673" s="4"/>
      <c r="N12673" s="3" t="s">
        <v>37</v>
      </c>
      <c r="O12673" s="3" t="s">
        <v>46</v>
      </c>
      <c r="P12673" s="5">
        <v>9</v>
      </c>
      <c r="Q12673" s="5">
        <v>99</v>
      </c>
      <c r="R12673" s="5">
        <v>9</v>
      </c>
      <c r="S12673" s="5">
        <v>101</v>
      </c>
    </row>
    <row r="12674" spans="1:19" ht="28" x14ac:dyDescent="0.15">
      <c r="A12674" s="2">
        <f>HYPERLINK("https://open-school.uspishnemisto.com.ua/school/610828/", 610828)</f>
        <v>610828</v>
      </c>
      <c r="B12674" s="3" t="s">
        <v>63942</v>
      </c>
      <c r="C12674" s="3" t="s">
        <v>31</v>
      </c>
      <c r="D12674" s="3" t="s">
        <v>60</v>
      </c>
      <c r="E12674" s="4" t="s">
        <v>22</v>
      </c>
      <c r="F12674" s="4" t="s">
        <v>63907</v>
      </c>
      <c r="G12674" s="4" t="s">
        <v>63943</v>
      </c>
      <c r="H12674" s="3" t="s">
        <v>60159</v>
      </c>
      <c r="I12674" s="3" t="s">
        <v>5309</v>
      </c>
      <c r="J12674" s="3" t="s">
        <v>554</v>
      </c>
      <c r="K12674" s="3" t="s">
        <v>63944</v>
      </c>
      <c r="L12674" s="3"/>
      <c r="M12674" s="4"/>
      <c r="N12674" s="3" t="s">
        <v>37</v>
      </c>
      <c r="O12674" s="3" t="s">
        <v>618</v>
      </c>
      <c r="P12674" s="5">
        <v>1</v>
      </c>
      <c r="Q12674" s="5">
        <v>11</v>
      </c>
      <c r="R12674" s="5">
        <v>1</v>
      </c>
      <c r="S12674" s="5">
        <v>10</v>
      </c>
    </row>
    <row r="12675" spans="1:19" ht="42" x14ac:dyDescent="0.15">
      <c r="A12675" s="2">
        <f>HYPERLINK("https://open-school.uspishnemisto.com.ua/school/630001/", 630001)</f>
        <v>630001</v>
      </c>
      <c r="B12675" s="3" t="s">
        <v>63945</v>
      </c>
      <c r="C12675" s="3" t="s">
        <v>54</v>
      </c>
      <c r="D12675" s="3" t="s">
        <v>32</v>
      </c>
      <c r="E12675" s="4" t="s">
        <v>22</v>
      </c>
      <c r="F12675" s="4" t="s">
        <v>63946</v>
      </c>
      <c r="G12675" s="4" t="s">
        <v>63947</v>
      </c>
      <c r="H12675" s="3" t="s">
        <v>63948</v>
      </c>
      <c r="I12675" s="3" t="s">
        <v>63949</v>
      </c>
      <c r="J12675" s="3" t="s">
        <v>63950</v>
      </c>
      <c r="K12675" s="3"/>
      <c r="L12675" s="3" t="s">
        <v>63951</v>
      </c>
      <c r="M12675" s="4"/>
      <c r="N12675" s="3" t="s">
        <v>37</v>
      </c>
      <c r="O12675" s="3" t="s">
        <v>38</v>
      </c>
      <c r="P12675" s="5">
        <v>11</v>
      </c>
      <c r="Q12675" s="5">
        <v>253</v>
      </c>
      <c r="R12675" s="5">
        <v>11</v>
      </c>
      <c r="S12675" s="5">
        <v>247</v>
      </c>
    </row>
    <row r="12676" spans="1:19" ht="42" x14ac:dyDescent="0.15">
      <c r="A12676" s="2">
        <f>HYPERLINK("https://open-school.uspishnemisto.com.ua/school/630002/", 630002)</f>
        <v>630002</v>
      </c>
      <c r="B12676" s="3" t="s">
        <v>63952</v>
      </c>
      <c r="C12676" s="3" t="s">
        <v>2634</v>
      </c>
      <c r="D12676" s="3" t="s">
        <v>175</v>
      </c>
      <c r="E12676" s="4" t="s">
        <v>22</v>
      </c>
      <c r="F12676" s="4" t="s">
        <v>10621</v>
      </c>
      <c r="G12676" s="4" t="s">
        <v>63947</v>
      </c>
      <c r="H12676" s="3" t="s">
        <v>63948</v>
      </c>
      <c r="I12676" s="3" t="s">
        <v>63949</v>
      </c>
      <c r="J12676" s="3" t="s">
        <v>63953</v>
      </c>
      <c r="K12676" s="3" t="s">
        <v>63954</v>
      </c>
      <c r="L12676" s="3" t="s">
        <v>63955</v>
      </c>
      <c r="M12676" s="4" t="s">
        <v>63956</v>
      </c>
      <c r="N12676" s="3" t="s">
        <v>128</v>
      </c>
      <c r="O12676" s="3" t="s">
        <v>38</v>
      </c>
      <c r="P12676" s="5">
        <v>13</v>
      </c>
      <c r="Q12676" s="5">
        <v>256</v>
      </c>
      <c r="R12676" s="5">
        <v>14</v>
      </c>
      <c r="S12676" s="5">
        <v>264</v>
      </c>
    </row>
    <row r="12677" spans="1:19" ht="42" x14ac:dyDescent="0.15">
      <c r="A12677" s="2">
        <f>HYPERLINK("https://open-school.uspishnemisto.com.ua/school/630003/", 630003)</f>
        <v>630003</v>
      </c>
      <c r="B12677" s="3" t="s">
        <v>63957</v>
      </c>
      <c r="C12677" s="3" t="s">
        <v>293</v>
      </c>
      <c r="D12677" s="3" t="s">
        <v>32</v>
      </c>
      <c r="E12677" s="4" t="s">
        <v>22</v>
      </c>
      <c r="F12677" s="4" t="s">
        <v>63958</v>
      </c>
      <c r="G12677" s="4" t="s">
        <v>63947</v>
      </c>
      <c r="H12677" s="3" t="s">
        <v>63948</v>
      </c>
      <c r="I12677" s="3" t="s">
        <v>63949</v>
      </c>
      <c r="J12677" s="3" t="s">
        <v>63959</v>
      </c>
      <c r="K12677" s="3" t="s">
        <v>63960</v>
      </c>
      <c r="L12677" s="3" t="s">
        <v>63961</v>
      </c>
      <c r="M12677" s="4" t="s">
        <v>63962</v>
      </c>
      <c r="N12677" s="3" t="s">
        <v>37</v>
      </c>
      <c r="O12677" s="3" t="s">
        <v>38</v>
      </c>
      <c r="P12677" s="5">
        <v>13</v>
      </c>
      <c r="Q12677" s="5">
        <v>229</v>
      </c>
      <c r="R12677" s="5">
        <v>13</v>
      </c>
      <c r="S12677" s="5">
        <v>250</v>
      </c>
    </row>
    <row r="12678" spans="1:19" ht="42" x14ac:dyDescent="0.15">
      <c r="A12678" s="2">
        <f>HYPERLINK("https://open-school.uspishnemisto.com.ua/school/630004/", 630004)</f>
        <v>630004</v>
      </c>
      <c r="B12678" s="3" t="s">
        <v>63963</v>
      </c>
      <c r="C12678" s="3" t="s">
        <v>31</v>
      </c>
      <c r="D12678" s="3" t="s">
        <v>175</v>
      </c>
      <c r="E12678" s="4" t="s">
        <v>22</v>
      </c>
      <c r="F12678" s="4" t="s">
        <v>63964</v>
      </c>
      <c r="G12678" s="4" t="s">
        <v>63947</v>
      </c>
      <c r="H12678" s="3" t="s">
        <v>63948</v>
      </c>
      <c r="I12678" s="3" t="s">
        <v>63949</v>
      </c>
      <c r="J12678" s="3" t="s">
        <v>63965</v>
      </c>
      <c r="K12678" s="3" t="s">
        <v>63966</v>
      </c>
      <c r="L12678" s="3" t="s">
        <v>63967</v>
      </c>
      <c r="M12678" s="4"/>
      <c r="N12678" s="3" t="s">
        <v>37</v>
      </c>
      <c r="O12678" s="3" t="s">
        <v>38</v>
      </c>
      <c r="P12678" s="5">
        <v>8</v>
      </c>
      <c r="Q12678" s="5">
        <v>98</v>
      </c>
      <c r="R12678" s="5">
        <v>8</v>
      </c>
      <c r="S12678" s="5">
        <v>89</v>
      </c>
    </row>
    <row r="12679" spans="1:19" ht="42" x14ac:dyDescent="0.15">
      <c r="A12679" s="2">
        <f>HYPERLINK("https://open-school.uspishnemisto.com.ua/school/630006/", 630006)</f>
        <v>630006</v>
      </c>
      <c r="B12679" s="3" t="s">
        <v>63968</v>
      </c>
      <c r="C12679" s="3" t="s">
        <v>31</v>
      </c>
      <c r="D12679" s="3" t="s">
        <v>32</v>
      </c>
      <c r="E12679" s="4" t="s">
        <v>22</v>
      </c>
      <c r="F12679" s="4" t="s">
        <v>63969</v>
      </c>
      <c r="G12679" s="4" t="s">
        <v>63947</v>
      </c>
      <c r="H12679" s="3" t="s">
        <v>63948</v>
      </c>
      <c r="I12679" s="3" t="s">
        <v>63949</v>
      </c>
      <c r="J12679" s="3" t="s">
        <v>63970</v>
      </c>
      <c r="K12679" s="3" t="s">
        <v>63971</v>
      </c>
      <c r="L12679" s="3" t="s">
        <v>63972</v>
      </c>
      <c r="M12679" s="4"/>
      <c r="N12679" s="3" t="s">
        <v>37</v>
      </c>
      <c r="O12679" s="3" t="s">
        <v>70</v>
      </c>
      <c r="P12679" s="5">
        <v>11</v>
      </c>
      <c r="Q12679" s="5">
        <v>264</v>
      </c>
      <c r="R12679" s="5">
        <v>10</v>
      </c>
      <c r="S12679" s="5">
        <v>237</v>
      </c>
    </row>
    <row r="12680" spans="1:19" ht="42" x14ac:dyDescent="0.15">
      <c r="A12680" s="2">
        <f>HYPERLINK("https://open-school.uspishnemisto.com.ua/school/630007/", 630007)</f>
        <v>630007</v>
      </c>
      <c r="B12680" s="3" t="s">
        <v>63973</v>
      </c>
      <c r="C12680" s="3" t="s">
        <v>31</v>
      </c>
      <c r="D12680" s="3" t="s">
        <v>32</v>
      </c>
      <c r="E12680" s="4" t="s">
        <v>22</v>
      </c>
      <c r="F12680" s="4" t="s">
        <v>63974</v>
      </c>
      <c r="G12680" s="4" t="s">
        <v>63947</v>
      </c>
      <c r="H12680" s="3" t="s">
        <v>63948</v>
      </c>
      <c r="I12680" s="3" t="s">
        <v>63949</v>
      </c>
      <c r="J12680" s="3" t="s">
        <v>63975</v>
      </c>
      <c r="K12680" s="3" t="s">
        <v>63976</v>
      </c>
      <c r="L12680" s="3" t="s">
        <v>63977</v>
      </c>
      <c r="M12680" s="4"/>
      <c r="N12680" s="3" t="s">
        <v>37</v>
      </c>
      <c r="O12680" s="3" t="s">
        <v>38</v>
      </c>
      <c r="P12680" s="5">
        <v>12</v>
      </c>
      <c r="Q12680" s="5">
        <v>265</v>
      </c>
      <c r="R12680" s="5">
        <v>13</v>
      </c>
      <c r="S12680" s="5">
        <v>274</v>
      </c>
    </row>
    <row r="12681" spans="1:19" ht="28" x14ac:dyDescent="0.15">
      <c r="A12681" s="2">
        <f>HYPERLINK("https://open-school.uspishnemisto.com.ua/school/630008/", 630008)</f>
        <v>630008</v>
      </c>
      <c r="B12681" s="3" t="s">
        <v>63978</v>
      </c>
      <c r="C12681" s="3" t="s">
        <v>293</v>
      </c>
      <c r="D12681" s="3" t="s">
        <v>175</v>
      </c>
      <c r="E12681" s="4" t="s">
        <v>22</v>
      </c>
      <c r="F12681" s="4" t="s">
        <v>63979</v>
      </c>
      <c r="G12681" s="4" t="s">
        <v>63947</v>
      </c>
      <c r="H12681" s="3" t="s">
        <v>63948</v>
      </c>
      <c r="I12681" s="3" t="s">
        <v>63949</v>
      </c>
      <c r="J12681" s="3" t="s">
        <v>63980</v>
      </c>
      <c r="K12681" s="3" t="s">
        <v>63981</v>
      </c>
      <c r="L12681" s="3" t="s">
        <v>63982</v>
      </c>
      <c r="M12681" s="4" t="s">
        <v>63983</v>
      </c>
      <c r="N12681" s="3" t="s">
        <v>37</v>
      </c>
      <c r="O12681" s="3" t="s">
        <v>38</v>
      </c>
      <c r="P12681" s="5">
        <v>9</v>
      </c>
      <c r="Q12681" s="5">
        <v>133</v>
      </c>
      <c r="R12681" s="5">
        <v>9</v>
      </c>
      <c r="S12681" s="5">
        <v>139</v>
      </c>
    </row>
    <row r="12682" spans="1:19" ht="42" x14ac:dyDescent="0.15">
      <c r="A12682" s="2">
        <f>HYPERLINK("https://open-school.uspishnemisto.com.ua/school/630010/", 630010)</f>
        <v>630010</v>
      </c>
      <c r="B12682" s="3" t="s">
        <v>63984</v>
      </c>
      <c r="C12682" s="3" t="s">
        <v>244</v>
      </c>
      <c r="D12682" s="3" t="s">
        <v>32</v>
      </c>
      <c r="E12682" s="4" t="s">
        <v>22</v>
      </c>
      <c r="F12682" s="4" t="s">
        <v>63985</v>
      </c>
      <c r="G12682" s="4" t="s">
        <v>63947</v>
      </c>
      <c r="H12682" s="3" t="s">
        <v>63948</v>
      </c>
      <c r="I12682" s="3" t="s">
        <v>63949</v>
      </c>
      <c r="J12682" s="3" t="s">
        <v>63986</v>
      </c>
      <c r="K12682" s="3" t="s">
        <v>63987</v>
      </c>
      <c r="L12682" s="3" t="s">
        <v>63988</v>
      </c>
      <c r="M12682" s="4"/>
      <c r="N12682" s="3" t="s">
        <v>37</v>
      </c>
      <c r="O12682" s="3" t="s">
        <v>123</v>
      </c>
      <c r="P12682" s="5">
        <v>31</v>
      </c>
      <c r="Q12682" s="5">
        <v>861</v>
      </c>
      <c r="R12682" s="5">
        <v>31</v>
      </c>
      <c r="S12682" s="5">
        <v>853</v>
      </c>
    </row>
    <row r="12683" spans="1:19" ht="42" x14ac:dyDescent="0.15">
      <c r="A12683" s="2">
        <f>HYPERLINK("https://open-school.uspishnemisto.com.ua/school/630011/", 630011)</f>
        <v>630011</v>
      </c>
      <c r="B12683" s="3" t="s">
        <v>63989</v>
      </c>
      <c r="C12683" s="3" t="s">
        <v>244</v>
      </c>
      <c r="D12683" s="3" t="s">
        <v>21</v>
      </c>
      <c r="E12683" s="4" t="s">
        <v>22</v>
      </c>
      <c r="F12683" s="4" t="s">
        <v>63990</v>
      </c>
      <c r="G12683" s="4" t="s">
        <v>63947</v>
      </c>
      <c r="H12683" s="3" t="s">
        <v>63948</v>
      </c>
      <c r="I12683" s="3" t="s">
        <v>63949</v>
      </c>
      <c r="J12683" s="3" t="s">
        <v>41331</v>
      </c>
      <c r="K12683" s="3" t="s">
        <v>63991</v>
      </c>
      <c r="L12683" s="3" t="s">
        <v>63992</v>
      </c>
      <c r="M12683" s="4"/>
      <c r="N12683" s="3" t="s">
        <v>967</v>
      </c>
      <c r="O12683" s="3" t="s">
        <v>46</v>
      </c>
      <c r="P12683" s="5">
        <v>23</v>
      </c>
      <c r="Q12683" s="5">
        <v>652</v>
      </c>
      <c r="R12683" s="5">
        <v>22</v>
      </c>
      <c r="S12683" s="5">
        <v>630</v>
      </c>
    </row>
    <row r="12684" spans="1:19" ht="42" x14ac:dyDescent="0.15">
      <c r="A12684" s="2">
        <f>HYPERLINK("https://open-school.uspishnemisto.com.ua/school/630012/", 630012)</f>
        <v>630012</v>
      </c>
      <c r="B12684" s="3" t="s">
        <v>63993</v>
      </c>
      <c r="C12684" s="3" t="s">
        <v>181</v>
      </c>
      <c r="D12684" s="3" t="s">
        <v>32</v>
      </c>
      <c r="E12684" s="4" t="s">
        <v>22</v>
      </c>
      <c r="F12684" s="4" t="s">
        <v>63946</v>
      </c>
      <c r="G12684" s="4" t="s">
        <v>63947</v>
      </c>
      <c r="H12684" s="3" t="s">
        <v>63948</v>
      </c>
      <c r="I12684" s="3" t="s">
        <v>63949</v>
      </c>
      <c r="J12684" s="3" t="s">
        <v>63994</v>
      </c>
      <c r="K12684" s="3" t="s">
        <v>63995</v>
      </c>
      <c r="L12684" s="3"/>
      <c r="M12684" s="4" t="s">
        <v>63996</v>
      </c>
      <c r="N12684" s="3" t="s">
        <v>128</v>
      </c>
      <c r="O12684" s="3" t="s">
        <v>52</v>
      </c>
      <c r="P12684" s="5">
        <v>24</v>
      </c>
      <c r="Q12684" s="5">
        <v>276</v>
      </c>
      <c r="R12684" s="5">
        <v>24</v>
      </c>
      <c r="S12684" s="5">
        <v>277</v>
      </c>
    </row>
    <row r="12685" spans="1:19" ht="42" x14ac:dyDescent="0.15">
      <c r="A12685" s="2">
        <f>HYPERLINK("https://open-school.uspishnemisto.com.ua/school/630013/", 630013)</f>
        <v>630013</v>
      </c>
      <c r="B12685" s="3" t="s">
        <v>63997</v>
      </c>
      <c r="C12685" s="3" t="s">
        <v>181</v>
      </c>
      <c r="D12685" s="3" t="s">
        <v>32</v>
      </c>
      <c r="E12685" s="4" t="s">
        <v>22</v>
      </c>
      <c r="F12685" s="4" t="s">
        <v>63998</v>
      </c>
      <c r="G12685" s="4" t="s">
        <v>63947</v>
      </c>
      <c r="H12685" s="3" t="s">
        <v>63948</v>
      </c>
      <c r="I12685" s="3" t="s">
        <v>63949</v>
      </c>
      <c r="J12685" s="3" t="s">
        <v>63999</v>
      </c>
      <c r="K12685" s="3" t="s">
        <v>64000</v>
      </c>
      <c r="L12685" s="3" t="s">
        <v>64001</v>
      </c>
      <c r="M12685" s="4" t="s">
        <v>64002</v>
      </c>
      <c r="N12685" s="3" t="s">
        <v>128</v>
      </c>
      <c r="O12685" s="3" t="s">
        <v>52</v>
      </c>
      <c r="P12685" s="5">
        <v>18</v>
      </c>
      <c r="Q12685" s="5">
        <v>166</v>
      </c>
      <c r="R12685" s="5">
        <v>17</v>
      </c>
      <c r="S12685" s="5">
        <v>161</v>
      </c>
    </row>
    <row r="12686" spans="1:19" ht="28" x14ac:dyDescent="0.15">
      <c r="A12686" s="2">
        <f>HYPERLINK("https://open-school.uspishnemisto.com.ua/school/630015/", 630015)</f>
        <v>630015</v>
      </c>
      <c r="B12686" s="3" t="s">
        <v>64003</v>
      </c>
      <c r="C12686" s="3" t="s">
        <v>181</v>
      </c>
      <c r="D12686" s="3" t="s">
        <v>175</v>
      </c>
      <c r="E12686" s="4" t="s">
        <v>22</v>
      </c>
      <c r="F12686" s="4" t="s">
        <v>64004</v>
      </c>
      <c r="G12686" s="4" t="s">
        <v>63947</v>
      </c>
      <c r="H12686" s="3" t="s">
        <v>63948</v>
      </c>
      <c r="I12686" s="3" t="s">
        <v>63949</v>
      </c>
      <c r="J12686" s="3" t="s">
        <v>64005</v>
      </c>
      <c r="K12686" s="3" t="s">
        <v>64006</v>
      </c>
      <c r="L12686" s="3" t="s">
        <v>64007</v>
      </c>
      <c r="M12686" s="4" t="s">
        <v>64008</v>
      </c>
      <c r="N12686" s="3" t="s">
        <v>128</v>
      </c>
      <c r="O12686" s="3" t="s">
        <v>52</v>
      </c>
      <c r="P12686" s="5">
        <v>25</v>
      </c>
      <c r="Q12686" s="5">
        <v>264</v>
      </c>
      <c r="R12686" s="5">
        <v>24</v>
      </c>
      <c r="S12686" s="5">
        <v>263</v>
      </c>
    </row>
    <row r="12687" spans="1:19" ht="28" x14ac:dyDescent="0.15">
      <c r="A12687" s="2">
        <f>HYPERLINK("https://open-school.uspishnemisto.com.ua/school/630016/", 630016)</f>
        <v>630016</v>
      </c>
      <c r="B12687" s="3" t="s">
        <v>64009</v>
      </c>
      <c r="C12687" s="3" t="s">
        <v>181</v>
      </c>
      <c r="D12687" s="3" t="s">
        <v>32</v>
      </c>
      <c r="E12687" s="4" t="s">
        <v>22</v>
      </c>
      <c r="F12687" s="4" t="s">
        <v>64010</v>
      </c>
      <c r="G12687" s="4" t="s">
        <v>63947</v>
      </c>
      <c r="H12687" s="3" t="s">
        <v>63948</v>
      </c>
      <c r="I12687" s="3" t="s">
        <v>63949</v>
      </c>
      <c r="J12687" s="3" t="s">
        <v>64011</v>
      </c>
      <c r="K12687" s="3"/>
      <c r="L12687" s="3"/>
      <c r="M12687" s="4" t="s">
        <v>64012</v>
      </c>
      <c r="N12687" s="3" t="s">
        <v>37</v>
      </c>
      <c r="O12687" s="3" t="s">
        <v>967</v>
      </c>
      <c r="P12687" s="5">
        <v>13</v>
      </c>
      <c r="Q12687" s="5">
        <v>108</v>
      </c>
      <c r="R12687" s="5">
        <v>13</v>
      </c>
      <c r="S12687" s="5">
        <v>107</v>
      </c>
    </row>
    <row r="12688" spans="1:19" ht="28" x14ac:dyDescent="0.15">
      <c r="A12688" s="2">
        <f>HYPERLINK("https://open-school.uspishnemisto.com.ua/school/630017/", 630017)</f>
        <v>630017</v>
      </c>
      <c r="B12688" s="3" t="s">
        <v>64013</v>
      </c>
      <c r="C12688" s="3" t="s">
        <v>188</v>
      </c>
      <c r="D12688" s="3" t="s">
        <v>32</v>
      </c>
      <c r="E12688" s="4" t="s">
        <v>22</v>
      </c>
      <c r="F12688" s="4" t="s">
        <v>64014</v>
      </c>
      <c r="G12688" s="4" t="s">
        <v>63947</v>
      </c>
      <c r="H12688" s="3" t="s">
        <v>63948</v>
      </c>
      <c r="I12688" s="3" t="s">
        <v>63949</v>
      </c>
      <c r="J12688" s="3" t="s">
        <v>64015</v>
      </c>
      <c r="K12688" s="3" t="s">
        <v>64016</v>
      </c>
      <c r="L12688" s="3" t="s">
        <v>64017</v>
      </c>
      <c r="M12688" s="4" t="s">
        <v>64018</v>
      </c>
      <c r="N12688" s="3" t="s">
        <v>128</v>
      </c>
      <c r="O12688" s="3" t="s">
        <v>38</v>
      </c>
      <c r="P12688" s="5">
        <v>19</v>
      </c>
      <c r="Q12688" s="5">
        <v>593</v>
      </c>
      <c r="R12688" s="5">
        <v>19</v>
      </c>
      <c r="S12688" s="5">
        <v>586</v>
      </c>
    </row>
    <row r="12689" spans="1:19" ht="42" x14ac:dyDescent="0.15">
      <c r="A12689" s="2">
        <f>HYPERLINK("https://open-school.uspishnemisto.com.ua/school/630018/", 630018)</f>
        <v>630018</v>
      </c>
      <c r="B12689" s="3" t="s">
        <v>64019</v>
      </c>
      <c r="C12689" s="3" t="s">
        <v>4989</v>
      </c>
      <c r="D12689" s="3" t="s">
        <v>21</v>
      </c>
      <c r="E12689" s="4" t="s">
        <v>22</v>
      </c>
      <c r="F12689" s="4" t="s">
        <v>10621</v>
      </c>
      <c r="G12689" s="4" t="s">
        <v>63947</v>
      </c>
      <c r="H12689" s="3" t="s">
        <v>63948</v>
      </c>
      <c r="I12689" s="3" t="s">
        <v>63949</v>
      </c>
      <c r="J12689" s="3" t="s">
        <v>64020</v>
      </c>
      <c r="K12689" s="3" t="s">
        <v>64021</v>
      </c>
      <c r="L12689" s="3" t="s">
        <v>64022</v>
      </c>
      <c r="M12689" s="4" t="s">
        <v>64023</v>
      </c>
      <c r="N12689" s="3" t="s">
        <v>37</v>
      </c>
      <c r="O12689" s="3" t="s">
        <v>52</v>
      </c>
      <c r="P12689" s="5">
        <v>9</v>
      </c>
      <c r="Q12689" s="5">
        <v>320</v>
      </c>
      <c r="R12689" s="5">
        <v>9</v>
      </c>
      <c r="S12689" s="5">
        <v>317</v>
      </c>
    </row>
    <row r="12690" spans="1:19" ht="42" x14ac:dyDescent="0.15">
      <c r="A12690" s="2">
        <f>HYPERLINK("https://open-school.uspishnemisto.com.ua/school/630019/", 630019)</f>
        <v>630019</v>
      </c>
      <c r="B12690" s="3" t="s">
        <v>64024</v>
      </c>
      <c r="C12690" s="3" t="s">
        <v>181</v>
      </c>
      <c r="D12690" s="3" t="s">
        <v>32</v>
      </c>
      <c r="E12690" s="4" t="s">
        <v>22</v>
      </c>
      <c r="F12690" s="4" t="s">
        <v>64025</v>
      </c>
      <c r="G12690" s="4" t="s">
        <v>63947</v>
      </c>
      <c r="H12690" s="3" t="s">
        <v>63948</v>
      </c>
      <c r="I12690" s="3" t="s">
        <v>63949</v>
      </c>
      <c r="J12690" s="3" t="s">
        <v>64026</v>
      </c>
      <c r="K12690" s="3" t="s">
        <v>64027</v>
      </c>
      <c r="L12690" s="3" t="s">
        <v>64028</v>
      </c>
      <c r="M12690" s="4" t="s">
        <v>64029</v>
      </c>
      <c r="N12690" s="3" t="s">
        <v>37</v>
      </c>
      <c r="O12690" s="3" t="s">
        <v>38</v>
      </c>
      <c r="P12690" s="5">
        <v>19</v>
      </c>
      <c r="Q12690" s="5">
        <v>187</v>
      </c>
      <c r="R12690" s="5">
        <v>19</v>
      </c>
      <c r="S12690" s="5">
        <v>185</v>
      </c>
    </row>
    <row r="12691" spans="1:19" ht="28" x14ac:dyDescent="0.15">
      <c r="A12691" s="2">
        <f>HYPERLINK("https://open-school.uspishnemisto.com.ua/school/630020/", 630020)</f>
        <v>630020</v>
      </c>
      <c r="B12691" s="3" t="s">
        <v>64030</v>
      </c>
      <c r="C12691" s="3" t="s">
        <v>54</v>
      </c>
      <c r="D12691" s="3" t="s">
        <v>32</v>
      </c>
      <c r="E12691" s="4" t="s">
        <v>41</v>
      </c>
      <c r="F12691" s="4" t="s">
        <v>64031</v>
      </c>
      <c r="G12691" s="4" t="s">
        <v>63947</v>
      </c>
      <c r="H12691" s="3" t="s">
        <v>63948</v>
      </c>
      <c r="I12691" s="3" t="s">
        <v>63949</v>
      </c>
      <c r="J12691" s="3" t="s">
        <v>64032</v>
      </c>
      <c r="K12691" s="3" t="s">
        <v>64033</v>
      </c>
      <c r="L12691" s="3" t="s">
        <v>64034</v>
      </c>
      <c r="M12691" s="4"/>
      <c r="N12691" s="3" t="s">
        <v>967</v>
      </c>
      <c r="O12691" s="3" t="s">
        <v>52</v>
      </c>
      <c r="P12691" s="5">
        <v>21</v>
      </c>
      <c r="Q12691" s="5">
        <v>158</v>
      </c>
      <c r="R12691" s="5">
        <v>13</v>
      </c>
      <c r="S12691" s="5">
        <v>93</v>
      </c>
    </row>
    <row r="12692" spans="1:19" ht="28" x14ac:dyDescent="0.15">
      <c r="A12692" s="2">
        <f>HYPERLINK("https://open-school.uspishnemisto.com.ua/school/630023/", 630023)</f>
        <v>630023</v>
      </c>
      <c r="B12692" s="3" t="s">
        <v>64035</v>
      </c>
      <c r="C12692" s="3" t="s">
        <v>31</v>
      </c>
      <c r="D12692" s="3" t="s">
        <v>32</v>
      </c>
      <c r="E12692" s="4" t="s">
        <v>41</v>
      </c>
      <c r="F12692" s="4" t="s">
        <v>64036</v>
      </c>
      <c r="G12692" s="4" t="s">
        <v>63947</v>
      </c>
      <c r="H12692" s="3" t="s">
        <v>63948</v>
      </c>
      <c r="I12692" s="3" t="s">
        <v>63949</v>
      </c>
      <c r="J12692" s="3" t="s">
        <v>64037</v>
      </c>
      <c r="K12692" s="3" t="s">
        <v>64038</v>
      </c>
      <c r="L12692" s="3" t="s">
        <v>64039</v>
      </c>
      <c r="M12692" s="4"/>
      <c r="N12692" s="3" t="s">
        <v>967</v>
      </c>
      <c r="O12692" s="3" t="s">
        <v>64040</v>
      </c>
      <c r="P12692" s="5">
        <v>11</v>
      </c>
      <c r="Q12692" s="5">
        <v>274</v>
      </c>
      <c r="R12692" s="5">
        <v>11</v>
      </c>
      <c r="S12692" s="5">
        <v>256</v>
      </c>
    </row>
    <row r="12693" spans="1:19" ht="28" x14ac:dyDescent="0.15">
      <c r="A12693" s="2">
        <f>HYPERLINK("https://open-school.uspishnemisto.com.ua/school/630024/", 630024)</f>
        <v>630024</v>
      </c>
      <c r="B12693" s="3" t="s">
        <v>64041</v>
      </c>
      <c r="C12693" s="3" t="s">
        <v>20</v>
      </c>
      <c r="D12693" s="3" t="s">
        <v>21</v>
      </c>
      <c r="E12693" s="4" t="s">
        <v>22</v>
      </c>
      <c r="F12693" s="4" t="s">
        <v>64042</v>
      </c>
      <c r="G12693" s="4" t="s">
        <v>63947</v>
      </c>
      <c r="H12693" s="3" t="s">
        <v>63948</v>
      </c>
      <c r="I12693" s="3" t="s">
        <v>63949</v>
      </c>
      <c r="J12693" s="3" t="s">
        <v>64043</v>
      </c>
      <c r="K12693" s="3" t="s">
        <v>64044</v>
      </c>
      <c r="L12693" s="3" t="s">
        <v>64045</v>
      </c>
      <c r="M12693" s="4"/>
      <c r="N12693" s="3"/>
      <c r="O12693" s="3"/>
      <c r="P12693" s="5">
        <v>0</v>
      </c>
      <c r="Q12693" s="5">
        <v>0</v>
      </c>
      <c r="R12693" s="5"/>
      <c r="S12693" s="5"/>
    </row>
    <row r="12694" spans="1:19" ht="28" x14ac:dyDescent="0.15">
      <c r="A12694" s="2">
        <f>HYPERLINK("https://open-school.uspishnemisto.com.ua/school/630025/", 630025)</f>
        <v>630025</v>
      </c>
      <c r="B12694" s="3" t="s">
        <v>64046</v>
      </c>
      <c r="C12694" s="3" t="s">
        <v>40</v>
      </c>
      <c r="D12694" s="3" t="s">
        <v>32</v>
      </c>
      <c r="E12694" s="4" t="s">
        <v>22</v>
      </c>
      <c r="F12694" s="4" t="s">
        <v>64047</v>
      </c>
      <c r="G12694" s="4" t="s">
        <v>63947</v>
      </c>
      <c r="H12694" s="3" t="s">
        <v>63948</v>
      </c>
      <c r="I12694" s="3" t="s">
        <v>63949</v>
      </c>
      <c r="J12694" s="3" t="s">
        <v>64048</v>
      </c>
      <c r="K12694" s="3" t="s">
        <v>64049</v>
      </c>
      <c r="L12694" s="3" t="s">
        <v>64050</v>
      </c>
      <c r="M12694" s="4"/>
      <c r="N12694" s="3" t="s">
        <v>37</v>
      </c>
      <c r="O12694" s="3" t="s">
        <v>38</v>
      </c>
      <c r="P12694" s="5">
        <v>13</v>
      </c>
      <c r="Q12694" s="5">
        <v>399</v>
      </c>
      <c r="R12694" s="5">
        <v>13</v>
      </c>
      <c r="S12694" s="5">
        <v>404</v>
      </c>
    </row>
    <row r="12695" spans="1:19" ht="28" x14ac:dyDescent="0.15">
      <c r="A12695" s="2">
        <f>HYPERLINK("https://open-school.uspishnemisto.com.ua/school/630026/", 630026)</f>
        <v>630026</v>
      </c>
      <c r="B12695" s="3" t="s">
        <v>64051</v>
      </c>
      <c r="C12695" s="3" t="s">
        <v>40</v>
      </c>
      <c r="D12695" s="3" t="s">
        <v>32</v>
      </c>
      <c r="E12695" s="4" t="s">
        <v>22</v>
      </c>
      <c r="F12695" s="4" t="s">
        <v>64052</v>
      </c>
      <c r="G12695" s="4" t="s">
        <v>63947</v>
      </c>
      <c r="H12695" s="3" t="s">
        <v>63948</v>
      </c>
      <c r="I12695" s="3" t="s">
        <v>63949</v>
      </c>
      <c r="J12695" s="3" t="s">
        <v>64053</v>
      </c>
      <c r="K12695" s="3" t="s">
        <v>64054</v>
      </c>
      <c r="L12695" s="3" t="s">
        <v>64055</v>
      </c>
      <c r="M12695" s="4"/>
      <c r="N12695" s="3" t="s">
        <v>37</v>
      </c>
      <c r="O12695" s="3" t="s">
        <v>721</v>
      </c>
      <c r="P12695" s="5">
        <v>32</v>
      </c>
      <c r="Q12695" s="5">
        <v>960</v>
      </c>
      <c r="R12695" s="5">
        <v>32</v>
      </c>
      <c r="S12695" s="5">
        <v>931</v>
      </c>
    </row>
    <row r="12696" spans="1:19" ht="28" x14ac:dyDescent="0.15">
      <c r="A12696" s="2">
        <f>HYPERLINK("https://open-school.uspishnemisto.com.ua/school/630027/", 630027)</f>
        <v>630027</v>
      </c>
      <c r="B12696" s="3" t="s">
        <v>64056</v>
      </c>
      <c r="C12696" s="3" t="s">
        <v>40</v>
      </c>
      <c r="D12696" s="3" t="s">
        <v>32</v>
      </c>
      <c r="E12696" s="4" t="s">
        <v>22</v>
      </c>
      <c r="F12696" s="4" t="s">
        <v>64057</v>
      </c>
      <c r="G12696" s="4" t="s">
        <v>63947</v>
      </c>
      <c r="H12696" s="3" t="s">
        <v>63948</v>
      </c>
      <c r="I12696" s="3" t="s">
        <v>63949</v>
      </c>
      <c r="J12696" s="3" t="s">
        <v>64058</v>
      </c>
      <c r="K12696" s="3" t="s">
        <v>64059</v>
      </c>
      <c r="L12696" s="3" t="s">
        <v>64060</v>
      </c>
      <c r="M12696" s="4"/>
      <c r="N12696" s="3" t="s">
        <v>967</v>
      </c>
      <c r="O12696" s="3" t="s">
        <v>52</v>
      </c>
      <c r="P12696" s="5">
        <v>33</v>
      </c>
      <c r="Q12696" s="5">
        <v>1007</v>
      </c>
      <c r="R12696" s="5">
        <v>32</v>
      </c>
      <c r="S12696" s="5">
        <v>977</v>
      </c>
    </row>
    <row r="12697" spans="1:19" ht="28" x14ac:dyDescent="0.15">
      <c r="A12697" s="2">
        <f>HYPERLINK("https://open-school.uspishnemisto.com.ua/school/630028/", 630028)</f>
        <v>630028</v>
      </c>
      <c r="B12697" s="3" t="s">
        <v>64061</v>
      </c>
      <c r="C12697" s="3" t="s">
        <v>40</v>
      </c>
      <c r="D12697" s="3" t="s">
        <v>32</v>
      </c>
      <c r="E12697" s="4" t="s">
        <v>22</v>
      </c>
      <c r="F12697" s="4" t="s">
        <v>64062</v>
      </c>
      <c r="G12697" s="4" t="s">
        <v>63947</v>
      </c>
      <c r="H12697" s="3" t="s">
        <v>63948</v>
      </c>
      <c r="I12697" s="3" t="s">
        <v>63949</v>
      </c>
      <c r="J12697" s="3" t="s">
        <v>64063</v>
      </c>
      <c r="K12697" s="3" t="s">
        <v>64064</v>
      </c>
      <c r="L12697" s="3" t="s">
        <v>64065</v>
      </c>
      <c r="M12697" s="4"/>
      <c r="N12697" s="3" t="s">
        <v>37</v>
      </c>
      <c r="O12697" s="3" t="s">
        <v>46</v>
      </c>
      <c r="P12697" s="5">
        <v>25</v>
      </c>
      <c r="Q12697" s="5">
        <v>724</v>
      </c>
      <c r="R12697" s="5">
        <v>25</v>
      </c>
      <c r="S12697" s="5">
        <v>729</v>
      </c>
    </row>
    <row r="12698" spans="1:19" ht="28" x14ac:dyDescent="0.15">
      <c r="A12698" s="2">
        <f>HYPERLINK("https://open-school.uspishnemisto.com.ua/school/630029/", 630029)</f>
        <v>630029</v>
      </c>
      <c r="B12698" s="3" t="s">
        <v>64066</v>
      </c>
      <c r="C12698" s="3" t="s">
        <v>40</v>
      </c>
      <c r="D12698" s="3" t="s">
        <v>32</v>
      </c>
      <c r="E12698" s="4" t="s">
        <v>22</v>
      </c>
      <c r="F12698" s="4" t="s">
        <v>64067</v>
      </c>
      <c r="G12698" s="4" t="s">
        <v>63947</v>
      </c>
      <c r="H12698" s="3" t="s">
        <v>63948</v>
      </c>
      <c r="I12698" s="3" t="s">
        <v>63949</v>
      </c>
      <c r="J12698" s="3" t="s">
        <v>64068</v>
      </c>
      <c r="K12698" s="3" t="s">
        <v>64069</v>
      </c>
      <c r="L12698" s="3" t="s">
        <v>64070</v>
      </c>
      <c r="M12698" s="4"/>
      <c r="N12698" s="3" t="s">
        <v>37</v>
      </c>
      <c r="O12698" s="3" t="s">
        <v>70</v>
      </c>
      <c r="P12698" s="5">
        <v>35</v>
      </c>
      <c r="Q12698" s="5">
        <v>1020</v>
      </c>
      <c r="R12698" s="5">
        <v>34</v>
      </c>
      <c r="S12698" s="5">
        <v>1005</v>
      </c>
    </row>
    <row r="12699" spans="1:19" ht="28" x14ac:dyDescent="0.15">
      <c r="A12699" s="2">
        <f>HYPERLINK("https://open-school.uspishnemisto.com.ua/school/630030/", 630030)</f>
        <v>630030</v>
      </c>
      <c r="B12699" s="3" t="s">
        <v>64071</v>
      </c>
      <c r="C12699" s="3" t="s">
        <v>40</v>
      </c>
      <c r="D12699" s="3" t="s">
        <v>32</v>
      </c>
      <c r="E12699" s="4" t="s">
        <v>22</v>
      </c>
      <c r="F12699" s="4" t="s">
        <v>64072</v>
      </c>
      <c r="G12699" s="4" t="s">
        <v>63947</v>
      </c>
      <c r="H12699" s="3" t="s">
        <v>63948</v>
      </c>
      <c r="I12699" s="3" t="s">
        <v>63949</v>
      </c>
      <c r="J12699" s="3" t="s">
        <v>64073</v>
      </c>
      <c r="K12699" s="3" t="s">
        <v>64074</v>
      </c>
      <c r="L12699" s="3" t="s">
        <v>64075</v>
      </c>
      <c r="M12699" s="4" t="s">
        <v>64076</v>
      </c>
      <c r="N12699" s="3" t="s">
        <v>128</v>
      </c>
      <c r="O12699" s="3" t="s">
        <v>70</v>
      </c>
      <c r="P12699" s="5">
        <v>44</v>
      </c>
      <c r="Q12699" s="5">
        <v>1307</v>
      </c>
      <c r="R12699" s="5">
        <v>44</v>
      </c>
      <c r="S12699" s="5">
        <v>1306</v>
      </c>
    </row>
    <row r="12700" spans="1:19" ht="28" x14ac:dyDescent="0.15">
      <c r="A12700" s="2">
        <f>HYPERLINK("https://open-school.uspishnemisto.com.ua/school/630031/", 630031)</f>
        <v>630031</v>
      </c>
      <c r="B12700" s="3" t="s">
        <v>64077</v>
      </c>
      <c r="C12700" s="3" t="s">
        <v>40</v>
      </c>
      <c r="D12700" s="3" t="s">
        <v>32</v>
      </c>
      <c r="E12700" s="4" t="s">
        <v>22</v>
      </c>
      <c r="F12700" s="4" t="s">
        <v>64078</v>
      </c>
      <c r="G12700" s="4" t="s">
        <v>63947</v>
      </c>
      <c r="H12700" s="3" t="s">
        <v>63948</v>
      </c>
      <c r="I12700" s="3" t="s">
        <v>63949</v>
      </c>
      <c r="J12700" s="3" t="s">
        <v>64079</v>
      </c>
      <c r="K12700" s="3" t="s">
        <v>64080</v>
      </c>
      <c r="L12700" s="3" t="s">
        <v>64081</v>
      </c>
      <c r="M12700" s="4"/>
      <c r="N12700" s="3" t="s">
        <v>37</v>
      </c>
      <c r="O12700" s="3" t="s">
        <v>721</v>
      </c>
      <c r="P12700" s="5">
        <v>39</v>
      </c>
      <c r="Q12700" s="5">
        <v>1115</v>
      </c>
      <c r="R12700" s="5">
        <v>41</v>
      </c>
      <c r="S12700" s="5">
        <v>1125</v>
      </c>
    </row>
    <row r="12701" spans="1:19" ht="28" x14ac:dyDescent="0.15">
      <c r="A12701" s="2">
        <f>HYPERLINK("https://open-school.uspishnemisto.com.ua/school/630032/", 630032)</f>
        <v>630032</v>
      </c>
      <c r="B12701" s="3" t="s">
        <v>64082</v>
      </c>
      <c r="C12701" s="3" t="s">
        <v>40</v>
      </c>
      <c r="D12701" s="3" t="s">
        <v>32</v>
      </c>
      <c r="E12701" s="4" t="s">
        <v>22</v>
      </c>
      <c r="F12701" s="4" t="s">
        <v>64083</v>
      </c>
      <c r="G12701" s="4" t="s">
        <v>63947</v>
      </c>
      <c r="H12701" s="3" t="s">
        <v>63948</v>
      </c>
      <c r="I12701" s="3" t="s">
        <v>63949</v>
      </c>
      <c r="J12701" s="3" t="s">
        <v>64084</v>
      </c>
      <c r="K12701" s="3" t="s">
        <v>64085</v>
      </c>
      <c r="L12701" s="3" t="s">
        <v>64086</v>
      </c>
      <c r="M12701" s="4"/>
      <c r="N12701" s="3" t="s">
        <v>37</v>
      </c>
      <c r="O12701" s="3" t="s">
        <v>70</v>
      </c>
      <c r="P12701" s="5">
        <v>12</v>
      </c>
      <c r="Q12701" s="5">
        <v>324</v>
      </c>
      <c r="R12701" s="5">
        <v>12</v>
      </c>
      <c r="S12701" s="5">
        <v>313</v>
      </c>
    </row>
    <row r="12702" spans="1:19" ht="42" x14ac:dyDescent="0.15">
      <c r="A12702" s="2">
        <f>HYPERLINK("https://open-school.uspishnemisto.com.ua/school/630034/", 630034)</f>
        <v>630034</v>
      </c>
      <c r="B12702" s="3" t="s">
        <v>64087</v>
      </c>
      <c r="C12702" s="3" t="s">
        <v>31</v>
      </c>
      <c r="D12702" s="3" t="s">
        <v>32</v>
      </c>
      <c r="E12702" s="4" t="s">
        <v>22</v>
      </c>
      <c r="F12702" s="4" t="s">
        <v>64088</v>
      </c>
      <c r="G12702" s="4" t="s">
        <v>63947</v>
      </c>
      <c r="H12702" s="3" t="s">
        <v>63948</v>
      </c>
      <c r="I12702" s="3" t="s">
        <v>63949</v>
      </c>
      <c r="J12702" s="3" t="s">
        <v>64089</v>
      </c>
      <c r="K12702" s="3" t="s">
        <v>64090</v>
      </c>
      <c r="L12702" s="3" t="s">
        <v>64091</v>
      </c>
      <c r="M12702" s="4"/>
      <c r="N12702" s="3" t="s">
        <v>37</v>
      </c>
      <c r="O12702" s="3" t="s">
        <v>70</v>
      </c>
      <c r="P12702" s="5">
        <v>29</v>
      </c>
      <c r="Q12702" s="5">
        <v>837</v>
      </c>
      <c r="R12702" s="5">
        <v>28</v>
      </c>
      <c r="S12702" s="5">
        <v>797</v>
      </c>
    </row>
    <row r="12703" spans="1:19" ht="28" x14ac:dyDescent="0.15">
      <c r="A12703" s="2">
        <f>HYPERLINK("https://open-school.uspishnemisto.com.ua/school/630035/", 630035)</f>
        <v>630035</v>
      </c>
      <c r="B12703" s="3" t="s">
        <v>64092</v>
      </c>
      <c r="C12703" s="3" t="s">
        <v>31</v>
      </c>
      <c r="D12703" s="3" t="s">
        <v>32</v>
      </c>
      <c r="E12703" s="4" t="s">
        <v>22</v>
      </c>
      <c r="F12703" s="4" t="s">
        <v>63958</v>
      </c>
      <c r="G12703" s="4" t="s">
        <v>63947</v>
      </c>
      <c r="H12703" s="3" t="s">
        <v>63948</v>
      </c>
      <c r="I12703" s="3" t="s">
        <v>63949</v>
      </c>
      <c r="J12703" s="3" t="s">
        <v>64093</v>
      </c>
      <c r="K12703" s="3" t="s">
        <v>64094</v>
      </c>
      <c r="L12703" s="3" t="s">
        <v>64095</v>
      </c>
      <c r="M12703" s="4"/>
      <c r="N12703" s="3" t="s">
        <v>37</v>
      </c>
      <c r="O12703" s="3" t="s">
        <v>38</v>
      </c>
      <c r="P12703" s="5">
        <v>14</v>
      </c>
      <c r="Q12703" s="5">
        <v>414</v>
      </c>
      <c r="R12703" s="5">
        <v>14</v>
      </c>
      <c r="S12703" s="5">
        <v>418</v>
      </c>
    </row>
    <row r="12704" spans="1:19" ht="28" x14ac:dyDescent="0.15">
      <c r="A12704" s="2">
        <f>HYPERLINK("https://open-school.uspishnemisto.com.ua/school/630037/", 630037)</f>
        <v>630037</v>
      </c>
      <c r="B12704" s="3" t="s">
        <v>64096</v>
      </c>
      <c r="C12704" s="3" t="s">
        <v>31</v>
      </c>
      <c r="D12704" s="3" t="s">
        <v>32</v>
      </c>
      <c r="E12704" s="4" t="s">
        <v>22</v>
      </c>
      <c r="F12704" s="4" t="s">
        <v>64031</v>
      </c>
      <c r="G12704" s="4" t="s">
        <v>63947</v>
      </c>
      <c r="H12704" s="3" t="s">
        <v>63948</v>
      </c>
      <c r="I12704" s="3" t="s">
        <v>63949</v>
      </c>
      <c r="J12704" s="3" t="s">
        <v>64097</v>
      </c>
      <c r="K12704" s="3" t="s">
        <v>64098</v>
      </c>
      <c r="L12704" s="3" t="s">
        <v>64099</v>
      </c>
      <c r="M12704" s="4"/>
      <c r="N12704" s="3" t="s">
        <v>37</v>
      </c>
      <c r="O12704" s="3" t="s">
        <v>38</v>
      </c>
      <c r="P12704" s="5">
        <v>35</v>
      </c>
      <c r="Q12704" s="5">
        <v>1089</v>
      </c>
      <c r="R12704" s="5">
        <v>34</v>
      </c>
      <c r="S12704" s="5">
        <v>1055</v>
      </c>
    </row>
    <row r="12705" spans="1:19" ht="42" x14ac:dyDescent="0.15">
      <c r="A12705" s="2">
        <f>HYPERLINK("https://open-school.uspishnemisto.com.ua/school/630038/", 630038)</f>
        <v>630038</v>
      </c>
      <c r="B12705" s="3" t="s">
        <v>64100</v>
      </c>
      <c r="C12705" s="3" t="s">
        <v>31</v>
      </c>
      <c r="D12705" s="3" t="s">
        <v>32</v>
      </c>
      <c r="E12705" s="4" t="s">
        <v>22</v>
      </c>
      <c r="F12705" s="4" t="s">
        <v>64101</v>
      </c>
      <c r="G12705" s="4" t="s">
        <v>63947</v>
      </c>
      <c r="H12705" s="3" t="s">
        <v>63948</v>
      </c>
      <c r="I12705" s="3" t="s">
        <v>63949</v>
      </c>
      <c r="J12705" s="3" t="s">
        <v>64102</v>
      </c>
      <c r="K12705" s="3" t="s">
        <v>64103</v>
      </c>
      <c r="L12705" s="3" t="s">
        <v>64104</v>
      </c>
      <c r="M12705" s="4"/>
      <c r="N12705" s="3" t="s">
        <v>967</v>
      </c>
      <c r="O12705" s="3" t="s">
        <v>46</v>
      </c>
      <c r="P12705" s="5">
        <v>15</v>
      </c>
      <c r="Q12705" s="5">
        <v>394</v>
      </c>
      <c r="R12705" s="5">
        <v>14</v>
      </c>
      <c r="S12705" s="5">
        <v>367</v>
      </c>
    </row>
    <row r="12706" spans="1:19" ht="28" x14ac:dyDescent="0.15">
      <c r="A12706" s="2">
        <f>HYPERLINK("https://open-school.uspishnemisto.com.ua/school/630039/", 630039)</f>
        <v>630039</v>
      </c>
      <c r="B12706" s="3" t="s">
        <v>64105</v>
      </c>
      <c r="C12706" s="3" t="s">
        <v>31</v>
      </c>
      <c r="D12706" s="3" t="s">
        <v>32</v>
      </c>
      <c r="E12706" s="4" t="s">
        <v>22</v>
      </c>
      <c r="F12706" s="4" t="s">
        <v>64106</v>
      </c>
      <c r="G12706" s="4" t="s">
        <v>63947</v>
      </c>
      <c r="H12706" s="3" t="s">
        <v>63948</v>
      </c>
      <c r="I12706" s="3" t="s">
        <v>63949</v>
      </c>
      <c r="J12706" s="3" t="s">
        <v>64107</v>
      </c>
      <c r="K12706" s="3" t="s">
        <v>64108</v>
      </c>
      <c r="L12706" s="3" t="s">
        <v>64109</v>
      </c>
      <c r="M12706" s="4"/>
      <c r="N12706" s="3" t="s">
        <v>967</v>
      </c>
      <c r="O12706" s="3" t="s">
        <v>46</v>
      </c>
      <c r="P12706" s="5">
        <v>19</v>
      </c>
      <c r="Q12706" s="5">
        <v>511</v>
      </c>
      <c r="R12706" s="5">
        <v>19</v>
      </c>
      <c r="S12706" s="5">
        <v>510</v>
      </c>
    </row>
    <row r="12707" spans="1:19" ht="28" x14ac:dyDescent="0.15">
      <c r="A12707" s="2">
        <f>HYPERLINK("https://open-school.uspishnemisto.com.ua/school/630041/", 630041)</f>
        <v>630041</v>
      </c>
      <c r="B12707" s="3" t="s">
        <v>64110</v>
      </c>
      <c r="C12707" s="3" t="s">
        <v>31</v>
      </c>
      <c r="D12707" s="3" t="s">
        <v>32</v>
      </c>
      <c r="E12707" s="4" t="s">
        <v>22</v>
      </c>
      <c r="F12707" s="4" t="s">
        <v>64111</v>
      </c>
      <c r="G12707" s="4" t="s">
        <v>63947</v>
      </c>
      <c r="H12707" s="3" t="s">
        <v>63948</v>
      </c>
      <c r="I12707" s="3" t="s">
        <v>63949</v>
      </c>
      <c r="J12707" s="3" t="s">
        <v>64112</v>
      </c>
      <c r="K12707" s="3" t="s">
        <v>64113</v>
      </c>
      <c r="L12707" s="3" t="s">
        <v>64114</v>
      </c>
      <c r="M12707" s="4"/>
      <c r="N12707" s="3" t="s">
        <v>37</v>
      </c>
      <c r="O12707" s="3" t="s">
        <v>38</v>
      </c>
      <c r="P12707" s="5">
        <v>17</v>
      </c>
      <c r="Q12707" s="5">
        <v>433</v>
      </c>
      <c r="R12707" s="5">
        <v>17</v>
      </c>
      <c r="S12707" s="5">
        <v>408</v>
      </c>
    </row>
    <row r="12708" spans="1:19" ht="28" x14ac:dyDescent="0.15">
      <c r="A12708" s="2">
        <f>HYPERLINK("https://open-school.uspishnemisto.com.ua/school/630042/", 630042)</f>
        <v>630042</v>
      </c>
      <c r="B12708" s="3" t="s">
        <v>64115</v>
      </c>
      <c r="C12708" s="3" t="s">
        <v>31</v>
      </c>
      <c r="D12708" s="3" t="s">
        <v>32</v>
      </c>
      <c r="E12708" s="4" t="s">
        <v>22</v>
      </c>
      <c r="F12708" s="4" t="s">
        <v>64116</v>
      </c>
      <c r="G12708" s="4" t="s">
        <v>63947</v>
      </c>
      <c r="H12708" s="3" t="s">
        <v>63948</v>
      </c>
      <c r="I12708" s="3" t="s">
        <v>63949</v>
      </c>
      <c r="J12708" s="3" t="s">
        <v>64117</v>
      </c>
      <c r="K12708" s="3" t="s">
        <v>64118</v>
      </c>
      <c r="L12708" s="3" t="s">
        <v>64119</v>
      </c>
      <c r="M12708" s="4"/>
      <c r="N12708" s="3" t="s">
        <v>128</v>
      </c>
      <c r="O12708" s="3" t="s">
        <v>38</v>
      </c>
      <c r="P12708" s="5">
        <v>20</v>
      </c>
      <c r="Q12708" s="5">
        <v>523</v>
      </c>
      <c r="R12708" s="5">
        <v>20</v>
      </c>
      <c r="S12708" s="5">
        <v>512</v>
      </c>
    </row>
    <row r="12709" spans="1:19" ht="28" x14ac:dyDescent="0.15">
      <c r="A12709" s="2">
        <f>HYPERLINK("https://open-school.uspishnemisto.com.ua/school/630043/", 630043)</f>
        <v>630043</v>
      </c>
      <c r="B12709" s="3" t="s">
        <v>64120</v>
      </c>
      <c r="C12709" s="3" t="s">
        <v>31</v>
      </c>
      <c r="D12709" s="3" t="s">
        <v>32</v>
      </c>
      <c r="E12709" s="4" t="s">
        <v>22</v>
      </c>
      <c r="F12709" s="4" t="s">
        <v>64014</v>
      </c>
      <c r="G12709" s="4" t="s">
        <v>63947</v>
      </c>
      <c r="H12709" s="3" t="s">
        <v>63948</v>
      </c>
      <c r="I12709" s="3" t="s">
        <v>63949</v>
      </c>
      <c r="J12709" s="3" t="s">
        <v>64121</v>
      </c>
      <c r="K12709" s="3" t="s">
        <v>64122</v>
      </c>
      <c r="L12709" s="3" t="s">
        <v>64123</v>
      </c>
      <c r="M12709" s="4"/>
      <c r="N12709" s="3" t="s">
        <v>967</v>
      </c>
      <c r="O12709" s="3" t="s">
        <v>2740</v>
      </c>
      <c r="P12709" s="5">
        <v>12</v>
      </c>
      <c r="Q12709" s="5">
        <v>340</v>
      </c>
      <c r="R12709" s="5">
        <v>12</v>
      </c>
      <c r="S12709" s="5">
        <v>331</v>
      </c>
    </row>
    <row r="12710" spans="1:19" ht="28" x14ac:dyDescent="0.15">
      <c r="A12710" s="2">
        <f>HYPERLINK("https://open-school.uspishnemisto.com.ua/school/630044/", 630044)</f>
        <v>630044</v>
      </c>
      <c r="B12710" s="3" t="s">
        <v>64124</v>
      </c>
      <c r="C12710" s="3" t="s">
        <v>31</v>
      </c>
      <c r="D12710" s="3" t="s">
        <v>32</v>
      </c>
      <c r="E12710" s="4" t="s">
        <v>22</v>
      </c>
      <c r="F12710" s="4" t="s">
        <v>64125</v>
      </c>
      <c r="G12710" s="4" t="s">
        <v>63947</v>
      </c>
      <c r="H12710" s="3" t="s">
        <v>63948</v>
      </c>
      <c r="I12710" s="3" t="s">
        <v>63949</v>
      </c>
      <c r="J12710" s="3" t="s">
        <v>64126</v>
      </c>
      <c r="K12710" s="3" t="s">
        <v>64127</v>
      </c>
      <c r="L12710" s="3" t="s">
        <v>64128</v>
      </c>
      <c r="M12710" s="4"/>
      <c r="N12710" s="3" t="s">
        <v>128</v>
      </c>
      <c r="O12710" s="3" t="s">
        <v>52</v>
      </c>
      <c r="P12710" s="5">
        <v>16</v>
      </c>
      <c r="Q12710" s="5">
        <v>390</v>
      </c>
      <c r="R12710" s="5">
        <v>16</v>
      </c>
      <c r="S12710" s="5">
        <v>386</v>
      </c>
    </row>
    <row r="12711" spans="1:19" ht="28" x14ac:dyDescent="0.15">
      <c r="A12711" s="2">
        <f>HYPERLINK("https://open-school.uspishnemisto.com.ua/school/630046/", 630046)</f>
        <v>630046</v>
      </c>
      <c r="B12711" s="3" t="s">
        <v>64129</v>
      </c>
      <c r="C12711" s="3" t="s">
        <v>31</v>
      </c>
      <c r="D12711" s="3" t="s">
        <v>32</v>
      </c>
      <c r="E12711" s="4" t="s">
        <v>22</v>
      </c>
      <c r="F12711" s="4" t="s">
        <v>64130</v>
      </c>
      <c r="G12711" s="4" t="s">
        <v>63947</v>
      </c>
      <c r="H12711" s="3" t="s">
        <v>63948</v>
      </c>
      <c r="I12711" s="3" t="s">
        <v>63949</v>
      </c>
      <c r="J12711" s="3" t="s">
        <v>64131</v>
      </c>
      <c r="K12711" s="3" t="s">
        <v>64132</v>
      </c>
      <c r="L12711" s="3" t="s">
        <v>64133</v>
      </c>
      <c r="M12711" s="4"/>
      <c r="N12711" s="3" t="s">
        <v>37</v>
      </c>
      <c r="O12711" s="3" t="s">
        <v>70</v>
      </c>
      <c r="P12711" s="5">
        <v>21</v>
      </c>
      <c r="Q12711" s="5">
        <v>627</v>
      </c>
      <c r="R12711" s="5">
        <v>21</v>
      </c>
      <c r="S12711" s="5">
        <v>617</v>
      </c>
    </row>
    <row r="12712" spans="1:19" ht="28" x14ac:dyDescent="0.15">
      <c r="A12712" s="2">
        <f>HYPERLINK("https://open-school.uspishnemisto.com.ua/school/630047/", 630047)</f>
        <v>630047</v>
      </c>
      <c r="B12712" s="3" t="s">
        <v>64134</v>
      </c>
      <c r="C12712" s="3" t="s">
        <v>31</v>
      </c>
      <c r="D12712" s="3" t="s">
        <v>32</v>
      </c>
      <c r="E12712" s="4" t="s">
        <v>22</v>
      </c>
      <c r="F12712" s="4" t="s">
        <v>64078</v>
      </c>
      <c r="G12712" s="4" t="s">
        <v>63947</v>
      </c>
      <c r="H12712" s="3" t="s">
        <v>63948</v>
      </c>
      <c r="I12712" s="3" t="s">
        <v>63949</v>
      </c>
      <c r="J12712" s="3" t="s">
        <v>64135</v>
      </c>
      <c r="K12712" s="3" t="s">
        <v>64136</v>
      </c>
      <c r="L12712" s="3" t="s">
        <v>64137</v>
      </c>
      <c r="M12712" s="4"/>
      <c r="N12712" s="3" t="s">
        <v>967</v>
      </c>
      <c r="O12712" s="3" t="s">
        <v>46</v>
      </c>
      <c r="P12712" s="5">
        <v>19</v>
      </c>
      <c r="Q12712" s="5">
        <v>533</v>
      </c>
      <c r="R12712" s="5">
        <v>18</v>
      </c>
      <c r="S12712" s="5">
        <v>505</v>
      </c>
    </row>
    <row r="12713" spans="1:19" ht="28" x14ac:dyDescent="0.15">
      <c r="A12713" s="2">
        <f>HYPERLINK("https://open-school.uspishnemisto.com.ua/school/630048/", 630048)</f>
        <v>630048</v>
      </c>
      <c r="B12713" s="3" t="s">
        <v>64138</v>
      </c>
      <c r="C12713" s="3" t="s">
        <v>31</v>
      </c>
      <c r="D12713" s="3" t="s">
        <v>32</v>
      </c>
      <c r="E12713" s="4" t="s">
        <v>22</v>
      </c>
      <c r="F12713" s="4" t="s">
        <v>64139</v>
      </c>
      <c r="G12713" s="4" t="s">
        <v>63947</v>
      </c>
      <c r="H12713" s="3" t="s">
        <v>63948</v>
      </c>
      <c r="I12713" s="3" t="s">
        <v>63949</v>
      </c>
      <c r="J12713" s="3" t="s">
        <v>64140</v>
      </c>
      <c r="K12713" s="3" t="s">
        <v>64141</v>
      </c>
      <c r="L12713" s="3" t="s">
        <v>64142</v>
      </c>
      <c r="M12713" s="4"/>
      <c r="N12713" s="3" t="s">
        <v>37</v>
      </c>
      <c r="O12713" s="3" t="s">
        <v>38</v>
      </c>
      <c r="P12713" s="5">
        <v>12</v>
      </c>
      <c r="Q12713" s="5">
        <v>320</v>
      </c>
      <c r="R12713" s="5">
        <v>12</v>
      </c>
      <c r="S12713" s="5">
        <v>301</v>
      </c>
    </row>
    <row r="12714" spans="1:19" ht="28" x14ac:dyDescent="0.15">
      <c r="A12714" s="2">
        <f>HYPERLINK("https://open-school.uspishnemisto.com.ua/school/630049/", 630049)</f>
        <v>630049</v>
      </c>
      <c r="B12714" s="3" t="s">
        <v>64143</v>
      </c>
      <c r="C12714" s="3" t="s">
        <v>31</v>
      </c>
      <c r="D12714" s="3" t="s">
        <v>32</v>
      </c>
      <c r="E12714" s="4" t="s">
        <v>22</v>
      </c>
      <c r="F12714" s="4" t="s">
        <v>64144</v>
      </c>
      <c r="G12714" s="4" t="s">
        <v>63947</v>
      </c>
      <c r="H12714" s="3" t="s">
        <v>63948</v>
      </c>
      <c r="I12714" s="3" t="s">
        <v>63949</v>
      </c>
      <c r="J12714" s="3" t="s">
        <v>64145</v>
      </c>
      <c r="K12714" s="3" t="s">
        <v>64146</v>
      </c>
      <c r="L12714" s="3" t="s">
        <v>64147</v>
      </c>
      <c r="M12714" s="4"/>
      <c r="N12714" s="3" t="s">
        <v>37</v>
      </c>
      <c r="O12714" s="3" t="s">
        <v>70</v>
      </c>
      <c r="P12714" s="5">
        <v>27</v>
      </c>
      <c r="Q12714" s="5">
        <v>773</v>
      </c>
      <c r="R12714" s="5">
        <v>26</v>
      </c>
      <c r="S12714" s="5">
        <v>740</v>
      </c>
    </row>
    <row r="12715" spans="1:19" ht="28" x14ac:dyDescent="0.15">
      <c r="A12715" s="2">
        <f>HYPERLINK("https://open-school.uspishnemisto.com.ua/school/630050/", 630050)</f>
        <v>630050</v>
      </c>
      <c r="B12715" s="3" t="s">
        <v>64148</v>
      </c>
      <c r="C12715" s="3" t="s">
        <v>31</v>
      </c>
      <c r="D12715" s="3" t="s">
        <v>32</v>
      </c>
      <c r="E12715" s="4" t="s">
        <v>22</v>
      </c>
      <c r="F12715" s="4" t="s">
        <v>64144</v>
      </c>
      <c r="G12715" s="4" t="s">
        <v>63947</v>
      </c>
      <c r="H12715" s="3" t="s">
        <v>63948</v>
      </c>
      <c r="I12715" s="3" t="s">
        <v>63949</v>
      </c>
      <c r="J12715" s="3" t="s">
        <v>64149</v>
      </c>
      <c r="K12715" s="3" t="s">
        <v>64150</v>
      </c>
      <c r="L12715" s="3" t="s">
        <v>64151</v>
      </c>
      <c r="M12715" s="4"/>
      <c r="N12715" s="3" t="s">
        <v>128</v>
      </c>
      <c r="O12715" s="3" t="s">
        <v>70</v>
      </c>
      <c r="P12715" s="5">
        <v>24</v>
      </c>
      <c r="Q12715" s="5">
        <v>648</v>
      </c>
      <c r="R12715" s="5">
        <v>23</v>
      </c>
      <c r="S12715" s="5">
        <v>616</v>
      </c>
    </row>
    <row r="12716" spans="1:19" ht="28" x14ac:dyDescent="0.15">
      <c r="A12716" s="2">
        <f>HYPERLINK("https://open-school.uspishnemisto.com.ua/school/630052/", 630052)</f>
        <v>630052</v>
      </c>
      <c r="B12716" s="3" t="s">
        <v>64152</v>
      </c>
      <c r="C12716" s="3" t="s">
        <v>31</v>
      </c>
      <c r="D12716" s="3" t="s">
        <v>32</v>
      </c>
      <c r="E12716" s="4" t="s">
        <v>22</v>
      </c>
      <c r="F12716" s="4" t="s">
        <v>64153</v>
      </c>
      <c r="G12716" s="4" t="s">
        <v>63947</v>
      </c>
      <c r="H12716" s="3" t="s">
        <v>63948</v>
      </c>
      <c r="I12716" s="3" t="s">
        <v>63949</v>
      </c>
      <c r="J12716" s="3" t="s">
        <v>64154</v>
      </c>
      <c r="K12716" s="3" t="s">
        <v>64155</v>
      </c>
      <c r="L12716" s="3" t="s">
        <v>64156</v>
      </c>
      <c r="M12716" s="4"/>
      <c r="N12716" s="3" t="s">
        <v>37</v>
      </c>
      <c r="O12716" s="3" t="s">
        <v>38</v>
      </c>
      <c r="P12716" s="5">
        <v>21</v>
      </c>
      <c r="Q12716" s="5">
        <v>575</v>
      </c>
      <c r="R12716" s="5">
        <v>21</v>
      </c>
      <c r="S12716" s="5">
        <v>567</v>
      </c>
    </row>
    <row r="12717" spans="1:19" ht="28" x14ac:dyDescent="0.15">
      <c r="A12717" s="2">
        <f>HYPERLINK("https://open-school.uspishnemisto.com.ua/school/630053/", 630053)</f>
        <v>630053</v>
      </c>
      <c r="B12717" s="3" t="s">
        <v>64157</v>
      </c>
      <c r="C12717" s="3" t="s">
        <v>31</v>
      </c>
      <c r="D12717" s="3" t="s">
        <v>32</v>
      </c>
      <c r="E12717" s="4" t="s">
        <v>22</v>
      </c>
      <c r="F12717" s="4" t="s">
        <v>64158</v>
      </c>
      <c r="G12717" s="4" t="s">
        <v>63947</v>
      </c>
      <c r="H12717" s="3" t="s">
        <v>63948</v>
      </c>
      <c r="I12717" s="3" t="s">
        <v>63949</v>
      </c>
      <c r="J12717" s="3" t="s">
        <v>64159</v>
      </c>
      <c r="K12717" s="3" t="s">
        <v>64160</v>
      </c>
      <c r="L12717" s="3" t="s">
        <v>64161</v>
      </c>
      <c r="M12717" s="4"/>
      <c r="N12717" s="3" t="s">
        <v>128</v>
      </c>
      <c r="O12717" s="3" t="s">
        <v>721</v>
      </c>
      <c r="P12717" s="5">
        <v>23</v>
      </c>
      <c r="Q12717" s="5">
        <v>656</v>
      </c>
      <c r="R12717" s="5">
        <v>23</v>
      </c>
      <c r="S12717" s="5">
        <v>615</v>
      </c>
    </row>
    <row r="12718" spans="1:19" ht="28" x14ac:dyDescent="0.15">
      <c r="A12718" s="2">
        <f>HYPERLINK("https://open-school.uspishnemisto.com.ua/school/630056/", 630056)</f>
        <v>630056</v>
      </c>
      <c r="B12718" s="3" t="s">
        <v>64162</v>
      </c>
      <c r="C12718" s="3" t="s">
        <v>31</v>
      </c>
      <c r="D12718" s="3" t="s">
        <v>32</v>
      </c>
      <c r="E12718" s="4" t="s">
        <v>22</v>
      </c>
      <c r="F12718" s="4" t="s">
        <v>64163</v>
      </c>
      <c r="G12718" s="4" t="s">
        <v>63947</v>
      </c>
      <c r="H12718" s="3" t="s">
        <v>63948</v>
      </c>
      <c r="I12718" s="3" t="s">
        <v>63949</v>
      </c>
      <c r="J12718" s="3" t="s">
        <v>64164</v>
      </c>
      <c r="K12718" s="3" t="s">
        <v>64165</v>
      </c>
      <c r="L12718" s="3" t="s">
        <v>64166</v>
      </c>
      <c r="M12718" s="4"/>
      <c r="N12718" s="3" t="s">
        <v>967</v>
      </c>
      <c r="O12718" s="3" t="s">
        <v>46</v>
      </c>
      <c r="P12718" s="5">
        <v>26</v>
      </c>
      <c r="Q12718" s="5">
        <v>758</v>
      </c>
      <c r="R12718" s="5">
        <v>25</v>
      </c>
      <c r="S12718" s="5">
        <v>722</v>
      </c>
    </row>
    <row r="12719" spans="1:19" ht="28" x14ac:dyDescent="0.15">
      <c r="A12719" s="2">
        <f>HYPERLINK("https://open-school.uspishnemisto.com.ua/school/630057/", 630057)</f>
        <v>630057</v>
      </c>
      <c r="B12719" s="3" t="s">
        <v>64167</v>
      </c>
      <c r="C12719" s="3" t="s">
        <v>4989</v>
      </c>
      <c r="D12719" s="3" t="s">
        <v>32</v>
      </c>
      <c r="E12719" s="4" t="s">
        <v>253</v>
      </c>
      <c r="F12719" s="4" t="s">
        <v>64067</v>
      </c>
      <c r="G12719" s="4" t="s">
        <v>63947</v>
      </c>
      <c r="H12719" s="3" t="s">
        <v>63948</v>
      </c>
      <c r="I12719" s="3" t="s">
        <v>63949</v>
      </c>
      <c r="J12719" s="3" t="s">
        <v>64168</v>
      </c>
      <c r="K12719" s="3" t="s">
        <v>64169</v>
      </c>
      <c r="L12719" s="3"/>
      <c r="M12719" s="4" t="s">
        <v>64170</v>
      </c>
      <c r="N12719" s="3" t="s">
        <v>37</v>
      </c>
      <c r="O12719" s="3" t="s">
        <v>46</v>
      </c>
      <c r="P12719" s="5">
        <v>21</v>
      </c>
      <c r="Q12719" s="5">
        <v>398</v>
      </c>
      <c r="R12719" s="5">
        <v>21</v>
      </c>
      <c r="S12719" s="5">
        <v>389</v>
      </c>
    </row>
    <row r="12720" spans="1:19" ht="28" x14ac:dyDescent="0.15">
      <c r="A12720" s="2">
        <f>HYPERLINK("https://open-school.uspishnemisto.com.ua/school/630058/", 630058)</f>
        <v>630058</v>
      </c>
      <c r="B12720" s="3" t="s">
        <v>64171</v>
      </c>
      <c r="C12720" s="3" t="s">
        <v>244</v>
      </c>
      <c r="D12720" s="3" t="s">
        <v>60</v>
      </c>
      <c r="E12720" s="4" t="s">
        <v>22</v>
      </c>
      <c r="F12720" s="4" t="s">
        <v>64083</v>
      </c>
      <c r="G12720" s="4" t="s">
        <v>63947</v>
      </c>
      <c r="H12720" s="3" t="s">
        <v>63948</v>
      </c>
      <c r="I12720" s="3" t="s">
        <v>63949</v>
      </c>
      <c r="J12720" s="3" t="s">
        <v>64172</v>
      </c>
      <c r="K12720" s="3" t="s">
        <v>64173</v>
      </c>
      <c r="L12720" s="3" t="s">
        <v>64174</v>
      </c>
      <c r="M12720" s="4"/>
      <c r="N12720" s="3" t="s">
        <v>37</v>
      </c>
      <c r="O12720" s="3" t="s">
        <v>618</v>
      </c>
      <c r="P12720" s="5">
        <v>8</v>
      </c>
      <c r="Q12720" s="5">
        <v>232</v>
      </c>
      <c r="R12720" s="5">
        <v>8</v>
      </c>
      <c r="S12720" s="5">
        <v>235</v>
      </c>
    </row>
    <row r="12721" spans="1:19" ht="28" x14ac:dyDescent="0.15">
      <c r="A12721" s="2">
        <f>HYPERLINK("https://open-school.uspishnemisto.com.ua/school/630059/", 630059)</f>
        <v>630059</v>
      </c>
      <c r="B12721" s="3" t="s">
        <v>64175</v>
      </c>
      <c r="C12721" s="3" t="s">
        <v>244</v>
      </c>
      <c r="D12721" s="3" t="s">
        <v>32</v>
      </c>
      <c r="E12721" s="4" t="s">
        <v>22</v>
      </c>
      <c r="F12721" s="4" t="s">
        <v>64176</v>
      </c>
      <c r="G12721" s="4" t="s">
        <v>63947</v>
      </c>
      <c r="H12721" s="3" t="s">
        <v>63948</v>
      </c>
      <c r="I12721" s="3" t="s">
        <v>63949</v>
      </c>
      <c r="J12721" s="3" t="s">
        <v>64177</v>
      </c>
      <c r="K12721" s="3" t="s">
        <v>64178</v>
      </c>
      <c r="L12721" s="3" t="s">
        <v>64179</v>
      </c>
      <c r="M12721" s="4"/>
      <c r="N12721" s="3" t="s">
        <v>37</v>
      </c>
      <c r="O12721" s="3" t="s">
        <v>2740</v>
      </c>
      <c r="P12721" s="5">
        <v>36</v>
      </c>
      <c r="Q12721" s="5">
        <v>1110</v>
      </c>
      <c r="R12721" s="5">
        <v>35</v>
      </c>
      <c r="S12721" s="5">
        <v>1049</v>
      </c>
    </row>
    <row r="12722" spans="1:19" ht="28" x14ac:dyDescent="0.15">
      <c r="A12722" s="2">
        <f>HYPERLINK("https://open-school.uspishnemisto.com.ua/school/630061/", 630061)</f>
        <v>630061</v>
      </c>
      <c r="B12722" s="3" t="s">
        <v>64180</v>
      </c>
      <c r="C12722" s="3" t="s">
        <v>244</v>
      </c>
      <c r="D12722" s="3" t="s">
        <v>32</v>
      </c>
      <c r="E12722" s="4" t="s">
        <v>22</v>
      </c>
      <c r="F12722" s="4" t="s">
        <v>64181</v>
      </c>
      <c r="G12722" s="4" t="s">
        <v>63947</v>
      </c>
      <c r="H12722" s="3" t="s">
        <v>63948</v>
      </c>
      <c r="I12722" s="3" t="s">
        <v>63949</v>
      </c>
      <c r="J12722" s="3" t="s">
        <v>64182</v>
      </c>
      <c r="K12722" s="3" t="s">
        <v>64183</v>
      </c>
      <c r="L12722" s="3" t="s">
        <v>64184</v>
      </c>
      <c r="M12722" s="4"/>
      <c r="N12722" s="3" t="s">
        <v>967</v>
      </c>
      <c r="O12722" s="3" t="s">
        <v>8629</v>
      </c>
      <c r="P12722" s="5">
        <v>11</v>
      </c>
      <c r="Q12722" s="5">
        <v>247</v>
      </c>
      <c r="R12722" s="5">
        <v>11</v>
      </c>
      <c r="S12722" s="5">
        <v>234</v>
      </c>
    </row>
    <row r="12723" spans="1:19" ht="28" x14ac:dyDescent="0.15">
      <c r="A12723" s="2">
        <f>HYPERLINK("https://open-school.uspishnemisto.com.ua/school/630062/", 630062)</f>
        <v>630062</v>
      </c>
      <c r="B12723" s="3" t="s">
        <v>64185</v>
      </c>
      <c r="C12723" s="3" t="s">
        <v>4989</v>
      </c>
      <c r="D12723" s="3" t="s">
        <v>21</v>
      </c>
      <c r="E12723" s="4" t="s">
        <v>22</v>
      </c>
      <c r="F12723" s="4" t="s">
        <v>64111</v>
      </c>
      <c r="G12723" s="4" t="s">
        <v>63947</v>
      </c>
      <c r="H12723" s="3" t="s">
        <v>63948</v>
      </c>
      <c r="I12723" s="3" t="s">
        <v>63949</v>
      </c>
      <c r="J12723" s="3" t="s">
        <v>64186</v>
      </c>
      <c r="K12723" s="3" t="s">
        <v>64187</v>
      </c>
      <c r="L12723" s="3" t="s">
        <v>64188</v>
      </c>
      <c r="M12723" s="4" t="s">
        <v>64189</v>
      </c>
      <c r="N12723" s="3" t="s">
        <v>37</v>
      </c>
      <c r="O12723" s="3" t="s">
        <v>52</v>
      </c>
      <c r="P12723" s="5">
        <v>10</v>
      </c>
      <c r="Q12723" s="5">
        <v>251</v>
      </c>
      <c r="R12723" s="5">
        <v>10</v>
      </c>
      <c r="S12723" s="5">
        <v>251</v>
      </c>
    </row>
    <row r="12724" spans="1:19" ht="28" x14ac:dyDescent="0.15">
      <c r="A12724" s="2">
        <f>HYPERLINK("https://open-school.uspishnemisto.com.ua/school/630066/", 630066)</f>
        <v>630066</v>
      </c>
      <c r="B12724" s="3" t="s">
        <v>64190</v>
      </c>
      <c r="C12724" s="3" t="s">
        <v>188</v>
      </c>
      <c r="D12724" s="3" t="s">
        <v>32</v>
      </c>
      <c r="E12724" s="4" t="s">
        <v>41</v>
      </c>
      <c r="F12724" s="4" t="s">
        <v>64191</v>
      </c>
      <c r="G12724" s="4" t="s">
        <v>63947</v>
      </c>
      <c r="H12724" s="3" t="s">
        <v>63948</v>
      </c>
      <c r="I12724" s="3" t="s">
        <v>63949</v>
      </c>
      <c r="J12724" s="3" t="s">
        <v>64192</v>
      </c>
      <c r="K12724" s="3" t="s">
        <v>64193</v>
      </c>
      <c r="L12724" s="3" t="s">
        <v>64194</v>
      </c>
      <c r="M12724" s="4"/>
      <c r="N12724" s="3" t="s">
        <v>37</v>
      </c>
      <c r="O12724" s="3" t="s">
        <v>52</v>
      </c>
      <c r="P12724" s="5">
        <v>2</v>
      </c>
      <c r="Q12724" s="5">
        <v>63</v>
      </c>
      <c r="R12724" s="5">
        <v>2</v>
      </c>
      <c r="S12724" s="5">
        <v>62</v>
      </c>
    </row>
    <row r="12725" spans="1:19" ht="28" x14ac:dyDescent="0.15">
      <c r="A12725" s="2">
        <f>HYPERLINK("https://open-school.uspishnemisto.com.ua/school/630067/", 630067)</f>
        <v>630067</v>
      </c>
      <c r="B12725" s="3" t="s">
        <v>64195</v>
      </c>
      <c r="C12725" s="3" t="s">
        <v>54</v>
      </c>
      <c r="D12725" s="3" t="s">
        <v>32</v>
      </c>
      <c r="E12725" s="4" t="s">
        <v>41</v>
      </c>
      <c r="F12725" s="4" t="s">
        <v>64158</v>
      </c>
      <c r="G12725" s="4" t="s">
        <v>63947</v>
      </c>
      <c r="H12725" s="3" t="s">
        <v>63948</v>
      </c>
      <c r="I12725" s="3" t="s">
        <v>63949</v>
      </c>
      <c r="J12725" s="3" t="s">
        <v>64196</v>
      </c>
      <c r="K12725" s="3" t="s">
        <v>64197</v>
      </c>
      <c r="L12725" s="3" t="s">
        <v>64198</v>
      </c>
      <c r="M12725" s="4"/>
      <c r="N12725" s="3" t="s">
        <v>967</v>
      </c>
      <c r="O12725" s="3" t="s">
        <v>52</v>
      </c>
      <c r="P12725" s="5">
        <v>56</v>
      </c>
      <c r="Q12725" s="5">
        <v>1127</v>
      </c>
      <c r="R12725" s="5">
        <v>50</v>
      </c>
      <c r="S12725" s="5">
        <v>970</v>
      </c>
    </row>
    <row r="12726" spans="1:19" ht="28" x14ac:dyDescent="0.15">
      <c r="A12726" s="2">
        <f>HYPERLINK("https://open-school.uspishnemisto.com.ua/school/630068/", 630068)</f>
        <v>630068</v>
      </c>
      <c r="B12726" s="3" t="s">
        <v>64199</v>
      </c>
      <c r="C12726" s="3" t="s">
        <v>48</v>
      </c>
      <c r="D12726" s="3" t="s">
        <v>32</v>
      </c>
      <c r="E12726" s="4" t="s">
        <v>253</v>
      </c>
      <c r="F12726" s="4" t="s">
        <v>64200</v>
      </c>
      <c r="G12726" s="4" t="s">
        <v>63947</v>
      </c>
      <c r="H12726" s="3" t="s">
        <v>63948</v>
      </c>
      <c r="I12726" s="3" t="s">
        <v>63949</v>
      </c>
      <c r="J12726" s="3" t="s">
        <v>64201</v>
      </c>
      <c r="K12726" s="3" t="s">
        <v>64202</v>
      </c>
      <c r="L12726" s="3" t="s">
        <v>64203</v>
      </c>
      <c r="M12726" s="4" t="s">
        <v>64204</v>
      </c>
      <c r="N12726" s="3" t="s">
        <v>37</v>
      </c>
      <c r="O12726" s="3" t="s">
        <v>52</v>
      </c>
      <c r="P12726" s="5">
        <v>4</v>
      </c>
      <c r="Q12726" s="5">
        <v>92</v>
      </c>
      <c r="R12726" s="5">
        <v>4</v>
      </c>
      <c r="S12726" s="5">
        <v>86</v>
      </c>
    </row>
    <row r="12727" spans="1:19" ht="28" x14ac:dyDescent="0.15">
      <c r="A12727" s="2">
        <f>HYPERLINK("https://open-school.uspishnemisto.com.ua/school/630804/", 630804)</f>
        <v>630804</v>
      </c>
      <c r="B12727" s="3" t="s">
        <v>64205</v>
      </c>
      <c r="C12727" s="3" t="s">
        <v>31</v>
      </c>
      <c r="D12727" s="3" t="s">
        <v>175</v>
      </c>
      <c r="E12727" s="4" t="s">
        <v>41</v>
      </c>
      <c r="F12727" s="4" t="s">
        <v>64042</v>
      </c>
      <c r="G12727" s="4" t="s">
        <v>63947</v>
      </c>
      <c r="H12727" s="3" t="s">
        <v>63948</v>
      </c>
      <c r="I12727" s="3" t="s">
        <v>63949</v>
      </c>
      <c r="J12727" s="3" t="s">
        <v>64206</v>
      </c>
      <c r="K12727" s="3" t="s">
        <v>64207</v>
      </c>
      <c r="L12727" s="3" t="s">
        <v>64208</v>
      </c>
      <c r="M12727" s="4"/>
      <c r="N12727" s="3" t="s">
        <v>967</v>
      </c>
      <c r="O12727" s="3" t="s">
        <v>52</v>
      </c>
      <c r="P12727" s="5">
        <v>5</v>
      </c>
      <c r="Q12727" s="5">
        <v>19</v>
      </c>
      <c r="R12727" s="5"/>
      <c r="S12727" s="5"/>
    </row>
    <row r="12728" spans="1:19" ht="42" x14ac:dyDescent="0.15">
      <c r="A12728" s="2">
        <f>HYPERLINK("https://open-school.uspishnemisto.com.ua/school/630005/", 630005)</f>
        <v>630005</v>
      </c>
      <c r="B12728" s="3" t="s">
        <v>64209</v>
      </c>
      <c r="C12728" s="3" t="s">
        <v>54</v>
      </c>
      <c r="D12728" s="3" t="s">
        <v>32</v>
      </c>
      <c r="E12728" s="4" t="s">
        <v>22</v>
      </c>
      <c r="F12728" s="4" t="s">
        <v>64210</v>
      </c>
      <c r="G12728" s="4" t="s">
        <v>64211</v>
      </c>
      <c r="H12728" s="3" t="s">
        <v>63948</v>
      </c>
      <c r="I12728" s="3" t="s">
        <v>64212</v>
      </c>
      <c r="J12728" s="3" t="s">
        <v>64213</v>
      </c>
      <c r="K12728" s="3" t="s">
        <v>64214</v>
      </c>
      <c r="L12728" s="3" t="s">
        <v>64215</v>
      </c>
      <c r="M12728" s="4"/>
      <c r="N12728" s="3" t="s">
        <v>128</v>
      </c>
      <c r="O12728" s="3" t="s">
        <v>52</v>
      </c>
      <c r="P12728" s="5">
        <v>11</v>
      </c>
      <c r="Q12728" s="5">
        <v>262</v>
      </c>
      <c r="R12728" s="5">
        <v>11</v>
      </c>
      <c r="S12728" s="5">
        <v>246</v>
      </c>
    </row>
    <row r="12729" spans="1:19" ht="28" x14ac:dyDescent="0.15">
      <c r="A12729" s="2">
        <f>HYPERLINK("https://open-school.uspishnemisto.com.ua/school/630021/", 630021)</f>
        <v>630021</v>
      </c>
      <c r="B12729" s="3" t="s">
        <v>64216</v>
      </c>
      <c r="C12729" s="3" t="s">
        <v>31</v>
      </c>
      <c r="D12729" s="3" t="s">
        <v>32</v>
      </c>
      <c r="E12729" s="4" t="s">
        <v>41</v>
      </c>
      <c r="F12729" s="4" t="s">
        <v>64217</v>
      </c>
      <c r="G12729" s="4" t="s">
        <v>64211</v>
      </c>
      <c r="H12729" s="3" t="s">
        <v>63948</v>
      </c>
      <c r="I12729" s="3" t="s">
        <v>64212</v>
      </c>
      <c r="J12729" s="3" t="s">
        <v>64218</v>
      </c>
      <c r="K12729" s="3" t="s">
        <v>64219</v>
      </c>
      <c r="L12729" s="3" t="s">
        <v>64220</v>
      </c>
      <c r="M12729" s="4"/>
      <c r="N12729" s="3" t="s">
        <v>128</v>
      </c>
      <c r="O12729" s="3" t="s">
        <v>52</v>
      </c>
      <c r="P12729" s="5">
        <v>22</v>
      </c>
      <c r="Q12729" s="5">
        <v>363</v>
      </c>
      <c r="R12729" s="5">
        <v>0</v>
      </c>
      <c r="S12729" s="5">
        <v>66</v>
      </c>
    </row>
    <row r="12730" spans="1:19" ht="28" x14ac:dyDescent="0.15">
      <c r="A12730" s="2">
        <f>HYPERLINK("https://open-school.uspishnemisto.com.ua/school/630033/", 630033)</f>
        <v>630033</v>
      </c>
      <c r="B12730" s="3" t="s">
        <v>64221</v>
      </c>
      <c r="C12730" s="3" t="s">
        <v>40</v>
      </c>
      <c r="D12730" s="3" t="s">
        <v>32</v>
      </c>
      <c r="E12730" s="4" t="s">
        <v>22</v>
      </c>
      <c r="F12730" s="4" t="s">
        <v>64222</v>
      </c>
      <c r="G12730" s="4" t="s">
        <v>64211</v>
      </c>
      <c r="H12730" s="3" t="s">
        <v>63948</v>
      </c>
      <c r="I12730" s="3" t="s">
        <v>64212</v>
      </c>
      <c r="J12730" s="3" t="s">
        <v>64223</v>
      </c>
      <c r="K12730" s="3" t="s">
        <v>64224</v>
      </c>
      <c r="L12730" s="3" t="s">
        <v>64225</v>
      </c>
      <c r="M12730" s="4" t="s">
        <v>64226</v>
      </c>
      <c r="N12730" s="3" t="s">
        <v>128</v>
      </c>
      <c r="O12730" s="3" t="s">
        <v>70</v>
      </c>
      <c r="P12730" s="5">
        <v>22</v>
      </c>
      <c r="Q12730" s="5">
        <v>649</v>
      </c>
      <c r="R12730" s="5">
        <v>22</v>
      </c>
      <c r="S12730" s="5">
        <v>640</v>
      </c>
    </row>
    <row r="12731" spans="1:19" ht="28" x14ac:dyDescent="0.15">
      <c r="A12731" s="2">
        <f>HYPERLINK("https://open-school.uspishnemisto.com.ua/school/630036/", 630036)</f>
        <v>630036</v>
      </c>
      <c r="B12731" s="3" t="s">
        <v>64227</v>
      </c>
      <c r="C12731" s="3" t="s">
        <v>31</v>
      </c>
      <c r="D12731" s="3" t="s">
        <v>32</v>
      </c>
      <c r="E12731" s="4" t="s">
        <v>22</v>
      </c>
      <c r="F12731" s="4" t="s">
        <v>64228</v>
      </c>
      <c r="G12731" s="4" t="s">
        <v>64211</v>
      </c>
      <c r="H12731" s="3" t="s">
        <v>63948</v>
      </c>
      <c r="I12731" s="3" t="s">
        <v>64212</v>
      </c>
      <c r="J12731" s="3" t="s">
        <v>64229</v>
      </c>
      <c r="K12731" s="3" t="s">
        <v>64230</v>
      </c>
      <c r="L12731" s="3" t="s">
        <v>64231</v>
      </c>
      <c r="M12731" s="4"/>
      <c r="N12731" s="3" t="s">
        <v>128</v>
      </c>
      <c r="O12731" s="3" t="s">
        <v>70</v>
      </c>
      <c r="P12731" s="5">
        <v>12</v>
      </c>
      <c r="Q12731" s="5">
        <v>315</v>
      </c>
      <c r="R12731" s="5">
        <v>12</v>
      </c>
      <c r="S12731" s="5">
        <v>308</v>
      </c>
    </row>
    <row r="12732" spans="1:19" ht="28" x14ac:dyDescent="0.15">
      <c r="A12732" s="2">
        <f>HYPERLINK("https://open-school.uspishnemisto.com.ua/school/630040/", 630040)</f>
        <v>630040</v>
      </c>
      <c r="B12732" s="3" t="s">
        <v>64232</v>
      </c>
      <c r="C12732" s="3" t="s">
        <v>31</v>
      </c>
      <c r="D12732" s="3" t="s">
        <v>32</v>
      </c>
      <c r="E12732" s="4" t="s">
        <v>22</v>
      </c>
      <c r="F12732" s="4" t="s">
        <v>64222</v>
      </c>
      <c r="G12732" s="4" t="s">
        <v>64211</v>
      </c>
      <c r="H12732" s="3" t="s">
        <v>63948</v>
      </c>
      <c r="I12732" s="3" t="s">
        <v>64212</v>
      </c>
      <c r="J12732" s="3" t="s">
        <v>64233</v>
      </c>
      <c r="K12732" s="3" t="s">
        <v>64234</v>
      </c>
      <c r="L12732" s="3" t="s">
        <v>64235</v>
      </c>
      <c r="M12732" s="4"/>
      <c r="N12732" s="3" t="s">
        <v>128</v>
      </c>
      <c r="O12732" s="3" t="s">
        <v>721</v>
      </c>
      <c r="P12732" s="5">
        <v>21</v>
      </c>
      <c r="Q12732" s="5">
        <v>598</v>
      </c>
      <c r="R12732" s="5">
        <v>19</v>
      </c>
      <c r="S12732" s="5">
        <v>571</v>
      </c>
    </row>
    <row r="12733" spans="1:19" ht="28" x14ac:dyDescent="0.15">
      <c r="A12733" s="2">
        <f>HYPERLINK("https://open-school.uspishnemisto.com.ua/school/630051/", 630051)</f>
        <v>630051</v>
      </c>
      <c r="B12733" s="3" t="s">
        <v>64236</v>
      </c>
      <c r="C12733" s="3" t="s">
        <v>31</v>
      </c>
      <c r="D12733" s="3" t="s">
        <v>32</v>
      </c>
      <c r="E12733" s="4" t="s">
        <v>22</v>
      </c>
      <c r="F12733" s="4" t="s">
        <v>64228</v>
      </c>
      <c r="G12733" s="4" t="s">
        <v>64211</v>
      </c>
      <c r="H12733" s="3" t="s">
        <v>63948</v>
      </c>
      <c r="I12733" s="3" t="s">
        <v>64212</v>
      </c>
      <c r="J12733" s="3" t="s">
        <v>64237</v>
      </c>
      <c r="K12733" s="3" t="s">
        <v>64238</v>
      </c>
      <c r="L12733" s="3" t="s">
        <v>64239</v>
      </c>
      <c r="M12733" s="4"/>
      <c r="N12733" s="3" t="s">
        <v>128</v>
      </c>
      <c r="O12733" s="3" t="s">
        <v>38</v>
      </c>
      <c r="P12733" s="5">
        <v>24</v>
      </c>
      <c r="Q12733" s="5">
        <v>672</v>
      </c>
      <c r="R12733" s="5">
        <v>22</v>
      </c>
      <c r="S12733" s="5">
        <v>605</v>
      </c>
    </row>
    <row r="12734" spans="1:19" ht="28" x14ac:dyDescent="0.15">
      <c r="A12734" s="2">
        <f>HYPERLINK("https://open-school.uspishnemisto.com.ua/school/630064/", 630064)</f>
        <v>630064</v>
      </c>
      <c r="B12734" s="3" t="s">
        <v>64240</v>
      </c>
      <c r="C12734" s="3" t="s">
        <v>188</v>
      </c>
      <c r="D12734" s="3" t="s">
        <v>32</v>
      </c>
      <c r="E12734" s="4" t="s">
        <v>22</v>
      </c>
      <c r="F12734" s="4" t="s">
        <v>64222</v>
      </c>
      <c r="G12734" s="4" t="s">
        <v>64211</v>
      </c>
      <c r="H12734" s="3" t="s">
        <v>63948</v>
      </c>
      <c r="I12734" s="3" t="s">
        <v>64212</v>
      </c>
      <c r="J12734" s="3" t="s">
        <v>64241</v>
      </c>
      <c r="K12734" s="3" t="s">
        <v>64242</v>
      </c>
      <c r="L12734" s="3" t="s">
        <v>64243</v>
      </c>
      <c r="M12734" s="4"/>
      <c r="N12734" s="3" t="s">
        <v>128</v>
      </c>
      <c r="O12734" s="3" t="s">
        <v>721</v>
      </c>
      <c r="P12734" s="5">
        <v>22</v>
      </c>
      <c r="Q12734" s="5">
        <v>641</v>
      </c>
      <c r="R12734" s="5">
        <v>19</v>
      </c>
      <c r="S12734" s="5">
        <v>543</v>
      </c>
    </row>
    <row r="12735" spans="1:19" ht="28" x14ac:dyDescent="0.15">
      <c r="A12735" s="2">
        <f>HYPERLINK("https://open-school.uspishnemisto.com.ua/school/630065/", 630065)</f>
        <v>630065</v>
      </c>
      <c r="B12735" s="3" t="s">
        <v>64244</v>
      </c>
      <c r="C12735" s="3" t="s">
        <v>54</v>
      </c>
      <c r="D12735" s="3" t="s">
        <v>60</v>
      </c>
      <c r="E12735" s="4" t="s">
        <v>22</v>
      </c>
      <c r="F12735" s="4" t="s">
        <v>64222</v>
      </c>
      <c r="G12735" s="4" t="s">
        <v>64211</v>
      </c>
      <c r="H12735" s="3" t="s">
        <v>63948</v>
      </c>
      <c r="I12735" s="3" t="s">
        <v>64212</v>
      </c>
      <c r="J12735" s="3" t="s">
        <v>64245</v>
      </c>
      <c r="K12735" s="3" t="s">
        <v>64246</v>
      </c>
      <c r="L12735" s="3" t="s">
        <v>64247</v>
      </c>
      <c r="M12735" s="4"/>
      <c r="N12735" s="3" t="s">
        <v>967</v>
      </c>
      <c r="O12735" s="3" t="s">
        <v>52</v>
      </c>
      <c r="P12735" s="5">
        <v>4</v>
      </c>
      <c r="Q12735" s="5">
        <v>123</v>
      </c>
      <c r="R12735" s="5">
        <v>4</v>
      </c>
      <c r="S12735" s="5">
        <v>124</v>
      </c>
    </row>
    <row r="12736" spans="1:19" ht="28" x14ac:dyDescent="0.15">
      <c r="A12736" s="2">
        <f>HYPERLINK("https://open-school.uspishnemisto.com.ua/school/630069/", 630069)</f>
        <v>630069</v>
      </c>
      <c r="B12736" s="3" t="s">
        <v>64248</v>
      </c>
      <c r="C12736" s="3" t="s">
        <v>40</v>
      </c>
      <c r="D12736" s="3" t="s">
        <v>32</v>
      </c>
      <c r="E12736" s="4" t="s">
        <v>22</v>
      </c>
      <c r="F12736" s="4" t="s">
        <v>64249</v>
      </c>
      <c r="G12736" s="4" t="s">
        <v>64211</v>
      </c>
      <c r="H12736" s="3" t="s">
        <v>63948</v>
      </c>
      <c r="I12736" s="3" t="s">
        <v>64212</v>
      </c>
      <c r="J12736" s="3" t="s">
        <v>64250</v>
      </c>
      <c r="K12736" s="3" t="s">
        <v>64251</v>
      </c>
      <c r="L12736" s="3" t="s">
        <v>64252</v>
      </c>
      <c r="M12736" s="4" t="s">
        <v>64253</v>
      </c>
      <c r="N12736" s="3" t="s">
        <v>37</v>
      </c>
      <c r="O12736" s="3" t="s">
        <v>38</v>
      </c>
      <c r="P12736" s="5">
        <v>31</v>
      </c>
      <c r="Q12736" s="5">
        <v>957</v>
      </c>
      <c r="R12736" s="5">
        <v>30</v>
      </c>
      <c r="S12736" s="5">
        <v>907</v>
      </c>
    </row>
    <row r="12737" spans="1:19" ht="42" x14ac:dyDescent="0.15">
      <c r="A12737" s="2">
        <f>HYPERLINK("https://open-school.uspishnemisto.com.ua/school/630070/", 630070)</f>
        <v>630070</v>
      </c>
      <c r="B12737" s="3" t="s">
        <v>64254</v>
      </c>
      <c r="C12737" s="3" t="s">
        <v>31</v>
      </c>
      <c r="D12737" s="3" t="s">
        <v>32</v>
      </c>
      <c r="E12737" s="4" t="s">
        <v>22</v>
      </c>
      <c r="F12737" s="4" t="s">
        <v>64222</v>
      </c>
      <c r="G12737" s="4" t="s">
        <v>64211</v>
      </c>
      <c r="H12737" s="3" t="s">
        <v>63948</v>
      </c>
      <c r="I12737" s="3" t="s">
        <v>64212</v>
      </c>
      <c r="J12737" s="3" t="s">
        <v>64255</v>
      </c>
      <c r="K12737" s="3" t="s">
        <v>64256</v>
      </c>
      <c r="L12737" s="3" t="s">
        <v>64257</v>
      </c>
      <c r="M12737" s="4"/>
      <c r="N12737" s="3" t="s">
        <v>128</v>
      </c>
      <c r="O12737" s="3" t="s">
        <v>70</v>
      </c>
      <c r="P12737" s="5">
        <v>12</v>
      </c>
      <c r="Q12737" s="5">
        <v>290</v>
      </c>
      <c r="R12737" s="5">
        <v>13</v>
      </c>
      <c r="S12737" s="5">
        <v>316</v>
      </c>
    </row>
    <row r="12738" spans="1:19" ht="28" x14ac:dyDescent="0.15">
      <c r="A12738" s="2">
        <f>HYPERLINK("https://open-school.uspishnemisto.com.ua/school/630071/", 630071)</f>
        <v>630071</v>
      </c>
      <c r="B12738" s="3" t="s">
        <v>64258</v>
      </c>
      <c r="C12738" s="3" t="s">
        <v>188</v>
      </c>
      <c r="D12738" s="3" t="s">
        <v>32</v>
      </c>
      <c r="E12738" s="4" t="s">
        <v>22</v>
      </c>
      <c r="F12738" s="4" t="s">
        <v>64259</v>
      </c>
      <c r="G12738" s="4" t="s">
        <v>64211</v>
      </c>
      <c r="H12738" s="3" t="s">
        <v>63948</v>
      </c>
      <c r="I12738" s="3" t="s">
        <v>64212</v>
      </c>
      <c r="J12738" s="3" t="s">
        <v>64260</v>
      </c>
      <c r="K12738" s="3" t="s">
        <v>64261</v>
      </c>
      <c r="L12738" s="3" t="s">
        <v>64262</v>
      </c>
      <c r="M12738" s="4" t="s">
        <v>64263</v>
      </c>
      <c r="N12738" s="3" t="s">
        <v>967</v>
      </c>
      <c r="O12738" s="3" t="s">
        <v>50963</v>
      </c>
      <c r="P12738" s="5">
        <v>25</v>
      </c>
      <c r="Q12738" s="5">
        <v>514</v>
      </c>
      <c r="R12738" s="5">
        <v>24</v>
      </c>
      <c r="S12738" s="5">
        <v>487</v>
      </c>
    </row>
    <row r="12739" spans="1:19" ht="28" x14ac:dyDescent="0.15">
      <c r="A12739" s="2">
        <f>HYPERLINK("https://open-school.uspishnemisto.com.ua/school/630072/", 630072)</f>
        <v>630072</v>
      </c>
      <c r="B12739" s="3" t="s">
        <v>64264</v>
      </c>
      <c r="C12739" s="3" t="s">
        <v>20</v>
      </c>
      <c r="D12739" s="3" t="s">
        <v>21</v>
      </c>
      <c r="E12739" s="4" t="s">
        <v>22</v>
      </c>
      <c r="F12739" s="4" t="s">
        <v>64210</v>
      </c>
      <c r="G12739" s="4" t="s">
        <v>64211</v>
      </c>
      <c r="H12739" s="3" t="s">
        <v>63948</v>
      </c>
      <c r="I12739" s="3" t="s">
        <v>64212</v>
      </c>
      <c r="J12739" s="3" t="s">
        <v>64265</v>
      </c>
      <c r="K12739" s="3" t="s">
        <v>64266</v>
      </c>
      <c r="L12739" s="3" t="s">
        <v>64267</v>
      </c>
      <c r="M12739" s="4"/>
      <c r="N12739" s="3"/>
      <c r="O12739" s="3"/>
      <c r="P12739" s="5">
        <v>0</v>
      </c>
      <c r="Q12739" s="5">
        <v>0</v>
      </c>
      <c r="R12739" s="5"/>
      <c r="S12739" s="5"/>
    </row>
    <row r="12740" spans="1:19" ht="28" x14ac:dyDescent="0.15">
      <c r="A12740" s="2">
        <f>HYPERLINK("https://open-school.uspishnemisto.com.ua/school/630073/", 630073)</f>
        <v>630073</v>
      </c>
      <c r="B12740" s="3" t="s">
        <v>64268</v>
      </c>
      <c r="C12740" s="3" t="s">
        <v>40</v>
      </c>
      <c r="D12740" s="3" t="s">
        <v>32</v>
      </c>
      <c r="E12740" s="4" t="s">
        <v>22</v>
      </c>
      <c r="F12740" s="4" t="s">
        <v>64025</v>
      </c>
      <c r="G12740" s="4" t="s">
        <v>64211</v>
      </c>
      <c r="H12740" s="3" t="s">
        <v>63948</v>
      </c>
      <c r="I12740" s="3" t="s">
        <v>64212</v>
      </c>
      <c r="J12740" s="3" t="s">
        <v>64269</v>
      </c>
      <c r="K12740" s="3" t="s">
        <v>64270</v>
      </c>
      <c r="L12740" s="3" t="s">
        <v>64271</v>
      </c>
      <c r="M12740" s="4" t="s">
        <v>64272</v>
      </c>
      <c r="N12740" s="3" t="s">
        <v>128</v>
      </c>
      <c r="O12740" s="3" t="s">
        <v>70</v>
      </c>
      <c r="P12740" s="5">
        <v>32</v>
      </c>
      <c r="Q12740" s="5">
        <v>911</v>
      </c>
      <c r="R12740" s="5">
        <v>32</v>
      </c>
      <c r="S12740" s="5">
        <v>900</v>
      </c>
    </row>
    <row r="12741" spans="1:19" ht="28" x14ac:dyDescent="0.15">
      <c r="A12741" s="2">
        <f>HYPERLINK("https://open-school.uspishnemisto.com.ua/school/630074/", 630074)</f>
        <v>630074</v>
      </c>
      <c r="B12741" s="3" t="s">
        <v>64273</v>
      </c>
      <c r="C12741" s="3" t="s">
        <v>40</v>
      </c>
      <c r="D12741" s="3" t="s">
        <v>32</v>
      </c>
      <c r="E12741" s="4" t="s">
        <v>22</v>
      </c>
      <c r="F12741" s="4" t="s">
        <v>64274</v>
      </c>
      <c r="G12741" s="4" t="s">
        <v>64211</v>
      </c>
      <c r="H12741" s="3" t="s">
        <v>63948</v>
      </c>
      <c r="I12741" s="3" t="s">
        <v>64212</v>
      </c>
      <c r="J12741" s="3" t="s">
        <v>64275</v>
      </c>
      <c r="K12741" s="3" t="s">
        <v>64276</v>
      </c>
      <c r="L12741" s="3" t="s">
        <v>64277</v>
      </c>
      <c r="M12741" s="4"/>
      <c r="N12741" s="3" t="s">
        <v>37</v>
      </c>
      <c r="O12741" s="3" t="s">
        <v>123</v>
      </c>
      <c r="P12741" s="5">
        <v>27</v>
      </c>
      <c r="Q12741" s="5">
        <v>867</v>
      </c>
      <c r="R12741" s="5">
        <v>27</v>
      </c>
      <c r="S12741" s="5">
        <v>855</v>
      </c>
    </row>
    <row r="12742" spans="1:19" ht="28" x14ac:dyDescent="0.15">
      <c r="A12742" s="2">
        <f>HYPERLINK("https://open-school.uspishnemisto.com.ua/school/630075/", 630075)</f>
        <v>630075</v>
      </c>
      <c r="B12742" s="3" t="s">
        <v>64278</v>
      </c>
      <c r="C12742" s="3" t="s">
        <v>31</v>
      </c>
      <c r="D12742" s="3" t="s">
        <v>32</v>
      </c>
      <c r="E12742" s="4" t="s">
        <v>22</v>
      </c>
      <c r="F12742" s="4" t="s">
        <v>64279</v>
      </c>
      <c r="G12742" s="4" t="s">
        <v>64211</v>
      </c>
      <c r="H12742" s="3" t="s">
        <v>63948</v>
      </c>
      <c r="I12742" s="3" t="s">
        <v>64212</v>
      </c>
      <c r="J12742" s="3" t="s">
        <v>64280</v>
      </c>
      <c r="K12742" s="3" t="s">
        <v>64281</v>
      </c>
      <c r="L12742" s="3" t="s">
        <v>64282</v>
      </c>
      <c r="M12742" s="4"/>
      <c r="N12742" s="3" t="s">
        <v>967</v>
      </c>
      <c r="O12742" s="3" t="s">
        <v>52</v>
      </c>
      <c r="P12742" s="5">
        <v>11</v>
      </c>
      <c r="Q12742" s="5">
        <v>303</v>
      </c>
      <c r="R12742" s="5">
        <v>11</v>
      </c>
      <c r="S12742" s="5">
        <v>287</v>
      </c>
    </row>
    <row r="12743" spans="1:19" ht="28" x14ac:dyDescent="0.15">
      <c r="A12743" s="2">
        <f>HYPERLINK("https://open-school.uspishnemisto.com.ua/school/630076/", 630076)</f>
        <v>630076</v>
      </c>
      <c r="B12743" s="3" t="s">
        <v>64283</v>
      </c>
      <c r="C12743" s="3" t="s">
        <v>31</v>
      </c>
      <c r="D12743" s="3" t="s">
        <v>60</v>
      </c>
      <c r="E12743" s="4" t="s">
        <v>22</v>
      </c>
      <c r="F12743" s="4" t="s">
        <v>64279</v>
      </c>
      <c r="G12743" s="4" t="s">
        <v>64211</v>
      </c>
      <c r="H12743" s="3" t="s">
        <v>63948</v>
      </c>
      <c r="I12743" s="3" t="s">
        <v>64212</v>
      </c>
      <c r="J12743" s="3" t="s">
        <v>64284</v>
      </c>
      <c r="K12743" s="3" t="s">
        <v>64285</v>
      </c>
      <c r="L12743" s="3" t="s">
        <v>64286</v>
      </c>
      <c r="M12743" s="4"/>
      <c r="N12743" s="3" t="s">
        <v>128</v>
      </c>
      <c r="O12743" s="3" t="s">
        <v>38</v>
      </c>
      <c r="P12743" s="5">
        <v>13</v>
      </c>
      <c r="Q12743" s="5">
        <v>397</v>
      </c>
      <c r="R12743" s="5">
        <v>13</v>
      </c>
      <c r="S12743" s="5">
        <v>384</v>
      </c>
    </row>
    <row r="12744" spans="1:19" ht="28" x14ac:dyDescent="0.15">
      <c r="A12744" s="2">
        <f>HYPERLINK("https://open-school.uspishnemisto.com.ua/school/630077/", 630077)</f>
        <v>630077</v>
      </c>
      <c r="B12744" s="3" t="s">
        <v>64287</v>
      </c>
      <c r="C12744" s="3" t="s">
        <v>31</v>
      </c>
      <c r="D12744" s="3" t="s">
        <v>32</v>
      </c>
      <c r="E12744" s="4" t="s">
        <v>22</v>
      </c>
      <c r="F12744" s="4" t="s">
        <v>64025</v>
      </c>
      <c r="G12744" s="4" t="s">
        <v>64211</v>
      </c>
      <c r="H12744" s="3" t="s">
        <v>63948</v>
      </c>
      <c r="I12744" s="3" t="s">
        <v>64212</v>
      </c>
      <c r="J12744" s="3" t="s">
        <v>64288</v>
      </c>
      <c r="K12744" s="3" t="s">
        <v>64289</v>
      </c>
      <c r="L12744" s="3" t="s">
        <v>64290</v>
      </c>
      <c r="M12744" s="4"/>
      <c r="N12744" s="3" t="s">
        <v>128</v>
      </c>
      <c r="O12744" s="3" t="s">
        <v>38</v>
      </c>
      <c r="P12744" s="5">
        <v>15</v>
      </c>
      <c r="Q12744" s="5">
        <v>405</v>
      </c>
      <c r="R12744" s="5">
        <v>15</v>
      </c>
      <c r="S12744" s="5">
        <v>396</v>
      </c>
    </row>
    <row r="12745" spans="1:19" ht="28" x14ac:dyDescent="0.15">
      <c r="A12745" s="2">
        <f>HYPERLINK("https://open-school.uspishnemisto.com.ua/school/630078/", 630078)</f>
        <v>630078</v>
      </c>
      <c r="B12745" s="3" t="s">
        <v>64291</v>
      </c>
      <c r="C12745" s="3" t="s">
        <v>31</v>
      </c>
      <c r="D12745" s="3" t="s">
        <v>32</v>
      </c>
      <c r="E12745" s="4" t="s">
        <v>22</v>
      </c>
      <c r="F12745" s="4" t="s">
        <v>64292</v>
      </c>
      <c r="G12745" s="4" t="s">
        <v>64211</v>
      </c>
      <c r="H12745" s="3" t="s">
        <v>63948</v>
      </c>
      <c r="I12745" s="3" t="s">
        <v>64212</v>
      </c>
      <c r="J12745" s="3" t="s">
        <v>64293</v>
      </c>
      <c r="K12745" s="3" t="s">
        <v>64294</v>
      </c>
      <c r="L12745" s="3" t="s">
        <v>64295</v>
      </c>
      <c r="M12745" s="4"/>
      <c r="N12745" s="3" t="s">
        <v>967</v>
      </c>
      <c r="O12745" s="3" t="s">
        <v>46</v>
      </c>
      <c r="P12745" s="5">
        <v>11</v>
      </c>
      <c r="Q12745" s="5">
        <v>254</v>
      </c>
      <c r="R12745" s="5">
        <v>11</v>
      </c>
      <c r="S12745" s="5">
        <v>245</v>
      </c>
    </row>
    <row r="12746" spans="1:19" ht="42" x14ac:dyDescent="0.15">
      <c r="A12746" s="2">
        <f>HYPERLINK("https://open-school.uspishnemisto.com.ua/school/630079/", 630079)</f>
        <v>630079</v>
      </c>
      <c r="B12746" s="3" t="s">
        <v>64296</v>
      </c>
      <c r="C12746" s="3" t="s">
        <v>31</v>
      </c>
      <c r="D12746" s="3" t="s">
        <v>32</v>
      </c>
      <c r="E12746" s="4" t="s">
        <v>22</v>
      </c>
      <c r="F12746" s="4" t="s">
        <v>64249</v>
      </c>
      <c r="G12746" s="4" t="s">
        <v>64211</v>
      </c>
      <c r="H12746" s="3" t="s">
        <v>63948</v>
      </c>
      <c r="I12746" s="3" t="s">
        <v>64212</v>
      </c>
      <c r="J12746" s="3" t="s">
        <v>64297</v>
      </c>
      <c r="K12746" s="3" t="s">
        <v>64298</v>
      </c>
      <c r="L12746" s="3" t="s">
        <v>64299</v>
      </c>
      <c r="M12746" s="4"/>
      <c r="N12746" s="3" t="s">
        <v>128</v>
      </c>
      <c r="O12746" s="3" t="s">
        <v>70</v>
      </c>
      <c r="P12746" s="5">
        <v>28</v>
      </c>
      <c r="Q12746" s="5">
        <v>771</v>
      </c>
      <c r="R12746" s="5">
        <v>27</v>
      </c>
      <c r="S12746" s="5">
        <v>747</v>
      </c>
    </row>
    <row r="12747" spans="1:19" ht="28" x14ac:dyDescent="0.15">
      <c r="A12747" s="2">
        <f>HYPERLINK("https://open-school.uspishnemisto.com.ua/school/630080/", 630080)</f>
        <v>630080</v>
      </c>
      <c r="B12747" s="3" t="s">
        <v>64300</v>
      </c>
      <c r="C12747" s="3" t="s">
        <v>31</v>
      </c>
      <c r="D12747" s="3" t="s">
        <v>32</v>
      </c>
      <c r="E12747" s="4" t="s">
        <v>22</v>
      </c>
      <c r="F12747" s="4" t="s">
        <v>64228</v>
      </c>
      <c r="G12747" s="4" t="s">
        <v>64211</v>
      </c>
      <c r="H12747" s="3" t="s">
        <v>63948</v>
      </c>
      <c r="I12747" s="3" t="s">
        <v>64212</v>
      </c>
      <c r="J12747" s="3" t="s">
        <v>64301</v>
      </c>
      <c r="K12747" s="3" t="s">
        <v>64302</v>
      </c>
      <c r="L12747" s="3" t="s">
        <v>64303</v>
      </c>
      <c r="M12747" s="4"/>
      <c r="N12747" s="3" t="s">
        <v>128</v>
      </c>
      <c r="O12747" s="3" t="s">
        <v>38</v>
      </c>
      <c r="P12747" s="5">
        <v>21</v>
      </c>
      <c r="Q12747" s="5">
        <v>599</v>
      </c>
      <c r="R12747" s="5">
        <v>21</v>
      </c>
      <c r="S12747" s="5">
        <v>585</v>
      </c>
    </row>
    <row r="12748" spans="1:19" ht="28" x14ac:dyDescent="0.15">
      <c r="A12748" s="2">
        <f>HYPERLINK("https://open-school.uspishnemisto.com.ua/school/630081/", 630081)</f>
        <v>630081</v>
      </c>
      <c r="B12748" s="3" t="s">
        <v>64304</v>
      </c>
      <c r="C12748" s="3" t="s">
        <v>31</v>
      </c>
      <c r="D12748" s="3" t="s">
        <v>32</v>
      </c>
      <c r="E12748" s="4" t="s">
        <v>22</v>
      </c>
      <c r="F12748" s="4" t="s">
        <v>64305</v>
      </c>
      <c r="G12748" s="4" t="s">
        <v>64211</v>
      </c>
      <c r="H12748" s="3" t="s">
        <v>63948</v>
      </c>
      <c r="I12748" s="3" t="s">
        <v>64212</v>
      </c>
      <c r="J12748" s="3" t="s">
        <v>64306</v>
      </c>
      <c r="K12748" s="3" t="s">
        <v>64307</v>
      </c>
      <c r="L12748" s="3" t="s">
        <v>64308</v>
      </c>
      <c r="M12748" s="4"/>
      <c r="N12748" s="3" t="s">
        <v>128</v>
      </c>
      <c r="O12748" s="3" t="s">
        <v>38</v>
      </c>
      <c r="P12748" s="5">
        <v>15</v>
      </c>
      <c r="Q12748" s="5">
        <v>443</v>
      </c>
      <c r="R12748" s="5">
        <v>14</v>
      </c>
      <c r="S12748" s="5">
        <v>394</v>
      </c>
    </row>
    <row r="12749" spans="1:19" ht="28" x14ac:dyDescent="0.15">
      <c r="A12749" s="2">
        <f>HYPERLINK("https://open-school.uspishnemisto.com.ua/school/630082/", 630082)</f>
        <v>630082</v>
      </c>
      <c r="B12749" s="3" t="s">
        <v>64309</v>
      </c>
      <c r="C12749" s="3" t="s">
        <v>31</v>
      </c>
      <c r="D12749" s="3" t="s">
        <v>32</v>
      </c>
      <c r="E12749" s="4" t="s">
        <v>22</v>
      </c>
      <c r="F12749" s="4" t="s">
        <v>64025</v>
      </c>
      <c r="G12749" s="4" t="s">
        <v>64211</v>
      </c>
      <c r="H12749" s="3" t="s">
        <v>63948</v>
      </c>
      <c r="I12749" s="3" t="s">
        <v>64212</v>
      </c>
      <c r="J12749" s="3" t="s">
        <v>64310</v>
      </c>
      <c r="K12749" s="3" t="s">
        <v>64311</v>
      </c>
      <c r="L12749" s="3" t="s">
        <v>64312</v>
      </c>
      <c r="M12749" s="4"/>
      <c r="N12749" s="3" t="s">
        <v>967</v>
      </c>
      <c r="O12749" s="3" t="s">
        <v>52</v>
      </c>
      <c r="P12749" s="5">
        <v>24</v>
      </c>
      <c r="Q12749" s="5">
        <v>709</v>
      </c>
      <c r="R12749" s="5">
        <v>23</v>
      </c>
      <c r="S12749" s="5">
        <v>687</v>
      </c>
    </row>
    <row r="12750" spans="1:19" ht="28" x14ac:dyDescent="0.15">
      <c r="A12750" s="2">
        <f>HYPERLINK("https://open-school.uspishnemisto.com.ua/school/630083/", 630083)</f>
        <v>630083</v>
      </c>
      <c r="B12750" s="3" t="s">
        <v>64313</v>
      </c>
      <c r="C12750" s="3" t="s">
        <v>31</v>
      </c>
      <c r="D12750" s="3" t="s">
        <v>32</v>
      </c>
      <c r="E12750" s="4" t="s">
        <v>22</v>
      </c>
      <c r="F12750" s="4" t="s">
        <v>64249</v>
      </c>
      <c r="G12750" s="4" t="s">
        <v>64211</v>
      </c>
      <c r="H12750" s="3" t="s">
        <v>63948</v>
      </c>
      <c r="I12750" s="3" t="s">
        <v>64212</v>
      </c>
      <c r="J12750" s="3" t="s">
        <v>64314</v>
      </c>
      <c r="K12750" s="3" t="s">
        <v>64315</v>
      </c>
      <c r="L12750" s="3" t="s">
        <v>64316</v>
      </c>
      <c r="M12750" s="4"/>
      <c r="N12750" s="3" t="s">
        <v>967</v>
      </c>
      <c r="O12750" s="3" t="s">
        <v>46</v>
      </c>
      <c r="P12750" s="5">
        <v>32</v>
      </c>
      <c r="Q12750" s="5">
        <v>1003</v>
      </c>
      <c r="R12750" s="5">
        <v>30</v>
      </c>
      <c r="S12750" s="5">
        <v>953</v>
      </c>
    </row>
    <row r="12751" spans="1:19" ht="28" x14ac:dyDescent="0.15">
      <c r="A12751" s="2">
        <f>HYPERLINK("https://open-school.uspishnemisto.com.ua/school/630084/", 630084)</f>
        <v>630084</v>
      </c>
      <c r="B12751" s="3" t="s">
        <v>64317</v>
      </c>
      <c r="C12751" s="3" t="s">
        <v>31</v>
      </c>
      <c r="D12751" s="3" t="s">
        <v>32</v>
      </c>
      <c r="E12751" s="4" t="s">
        <v>22</v>
      </c>
      <c r="F12751" s="4" t="s">
        <v>64010</v>
      </c>
      <c r="G12751" s="4" t="s">
        <v>64211</v>
      </c>
      <c r="H12751" s="3" t="s">
        <v>63948</v>
      </c>
      <c r="I12751" s="3" t="s">
        <v>64212</v>
      </c>
      <c r="J12751" s="3" t="s">
        <v>64318</v>
      </c>
      <c r="K12751" s="3" t="s">
        <v>64319</v>
      </c>
      <c r="L12751" s="3" t="s">
        <v>64320</v>
      </c>
      <c r="M12751" s="4"/>
      <c r="N12751" s="3" t="s">
        <v>128</v>
      </c>
      <c r="O12751" s="3" t="s">
        <v>70</v>
      </c>
      <c r="P12751" s="5">
        <v>27</v>
      </c>
      <c r="Q12751" s="5">
        <v>816</v>
      </c>
      <c r="R12751" s="5">
        <v>27</v>
      </c>
      <c r="S12751" s="5">
        <v>787</v>
      </c>
    </row>
    <row r="12752" spans="1:19" ht="28" x14ac:dyDescent="0.15">
      <c r="A12752" s="2">
        <f>HYPERLINK("https://open-school.uspishnemisto.com.ua/school/630085/", 630085)</f>
        <v>630085</v>
      </c>
      <c r="B12752" s="3" t="s">
        <v>64321</v>
      </c>
      <c r="C12752" s="3" t="s">
        <v>31</v>
      </c>
      <c r="D12752" s="3" t="s">
        <v>32</v>
      </c>
      <c r="E12752" s="4" t="s">
        <v>22</v>
      </c>
      <c r="F12752" s="4" t="s">
        <v>64292</v>
      </c>
      <c r="G12752" s="4" t="s">
        <v>64211</v>
      </c>
      <c r="H12752" s="3" t="s">
        <v>63948</v>
      </c>
      <c r="I12752" s="3" t="s">
        <v>64212</v>
      </c>
      <c r="J12752" s="3" t="s">
        <v>64322</v>
      </c>
      <c r="K12752" s="3" t="s">
        <v>64323</v>
      </c>
      <c r="L12752" s="3" t="s">
        <v>64324</v>
      </c>
      <c r="M12752" s="4"/>
      <c r="N12752" s="3" t="s">
        <v>128</v>
      </c>
      <c r="O12752" s="3" t="s">
        <v>70</v>
      </c>
      <c r="P12752" s="5">
        <v>13</v>
      </c>
      <c r="Q12752" s="5">
        <v>376</v>
      </c>
      <c r="R12752" s="5">
        <v>13</v>
      </c>
      <c r="S12752" s="5">
        <v>371</v>
      </c>
    </row>
    <row r="12753" spans="1:19" ht="28" x14ac:dyDescent="0.15">
      <c r="A12753" s="2">
        <f>HYPERLINK("https://open-school.uspishnemisto.com.ua/school/630086/", 630086)</f>
        <v>630086</v>
      </c>
      <c r="B12753" s="3" t="s">
        <v>64325</v>
      </c>
      <c r="C12753" s="3" t="s">
        <v>244</v>
      </c>
      <c r="D12753" s="3" t="s">
        <v>32</v>
      </c>
      <c r="E12753" s="4" t="s">
        <v>22</v>
      </c>
      <c r="F12753" s="4" t="s">
        <v>64210</v>
      </c>
      <c r="G12753" s="4" t="s">
        <v>64211</v>
      </c>
      <c r="H12753" s="3" t="s">
        <v>63948</v>
      </c>
      <c r="I12753" s="3" t="s">
        <v>64212</v>
      </c>
      <c r="J12753" s="3" t="s">
        <v>64265</v>
      </c>
      <c r="K12753" s="3" t="s">
        <v>64326</v>
      </c>
      <c r="L12753" s="3" t="s">
        <v>64327</v>
      </c>
      <c r="M12753" s="4"/>
      <c r="N12753" s="3" t="s">
        <v>967</v>
      </c>
      <c r="O12753" s="3" t="s">
        <v>2740</v>
      </c>
      <c r="P12753" s="5">
        <v>27</v>
      </c>
      <c r="Q12753" s="5">
        <v>768</v>
      </c>
      <c r="R12753" s="5">
        <v>26</v>
      </c>
      <c r="S12753" s="5">
        <v>752</v>
      </c>
    </row>
    <row r="12754" spans="1:19" ht="28" x14ac:dyDescent="0.15">
      <c r="A12754" s="2">
        <f>HYPERLINK("https://open-school.uspishnemisto.com.ua/school/630087/", 630087)</f>
        <v>630087</v>
      </c>
      <c r="B12754" s="3" t="s">
        <v>64328</v>
      </c>
      <c r="C12754" s="3" t="s">
        <v>244</v>
      </c>
      <c r="D12754" s="3" t="s">
        <v>32</v>
      </c>
      <c r="E12754" s="4" t="s">
        <v>22</v>
      </c>
      <c r="F12754" s="4" t="s">
        <v>64210</v>
      </c>
      <c r="G12754" s="4" t="s">
        <v>64211</v>
      </c>
      <c r="H12754" s="3" t="s">
        <v>63948</v>
      </c>
      <c r="I12754" s="3" t="s">
        <v>64212</v>
      </c>
      <c r="J12754" s="3" t="s">
        <v>64329</v>
      </c>
      <c r="K12754" s="3" t="s">
        <v>64330</v>
      </c>
      <c r="L12754" s="3" t="s">
        <v>64331</v>
      </c>
      <c r="M12754" s="4"/>
      <c r="N12754" s="3" t="s">
        <v>967</v>
      </c>
      <c r="O12754" s="3" t="s">
        <v>46</v>
      </c>
      <c r="P12754" s="5">
        <v>29</v>
      </c>
      <c r="Q12754" s="5">
        <v>737</v>
      </c>
      <c r="R12754" s="5">
        <v>28</v>
      </c>
      <c r="S12754" s="5">
        <v>705</v>
      </c>
    </row>
    <row r="12755" spans="1:19" ht="28" x14ac:dyDescent="0.15">
      <c r="A12755" s="2">
        <f>HYPERLINK("https://open-school.uspishnemisto.com.ua/school/630088/", 630088)</f>
        <v>630088</v>
      </c>
      <c r="B12755" s="3" t="s">
        <v>64332</v>
      </c>
      <c r="C12755" s="3" t="s">
        <v>244</v>
      </c>
      <c r="D12755" s="3" t="s">
        <v>32</v>
      </c>
      <c r="E12755" s="4" t="s">
        <v>22</v>
      </c>
      <c r="F12755" s="4" t="s">
        <v>64222</v>
      </c>
      <c r="G12755" s="4" t="s">
        <v>64211</v>
      </c>
      <c r="H12755" s="3" t="s">
        <v>63948</v>
      </c>
      <c r="I12755" s="3" t="s">
        <v>64212</v>
      </c>
      <c r="J12755" s="3" t="s">
        <v>64333</v>
      </c>
      <c r="K12755" s="3" t="s">
        <v>64334</v>
      </c>
      <c r="L12755" s="3" t="s">
        <v>64335</v>
      </c>
      <c r="M12755" s="4"/>
      <c r="N12755" s="3" t="s">
        <v>967</v>
      </c>
      <c r="O12755" s="3" t="s">
        <v>46</v>
      </c>
      <c r="P12755" s="5">
        <v>11</v>
      </c>
      <c r="Q12755" s="5">
        <v>312</v>
      </c>
      <c r="R12755" s="5">
        <v>11</v>
      </c>
      <c r="S12755" s="5">
        <v>300</v>
      </c>
    </row>
    <row r="12756" spans="1:19" ht="28" x14ac:dyDescent="0.15">
      <c r="A12756" s="2">
        <f>HYPERLINK("https://open-school.uspishnemisto.com.ua/school/630089/", 630089)</f>
        <v>630089</v>
      </c>
      <c r="B12756" s="3" t="s">
        <v>64336</v>
      </c>
      <c r="C12756" s="3" t="s">
        <v>244</v>
      </c>
      <c r="D12756" s="3" t="s">
        <v>32</v>
      </c>
      <c r="E12756" s="4" t="s">
        <v>22</v>
      </c>
      <c r="F12756" s="4" t="s">
        <v>64279</v>
      </c>
      <c r="G12756" s="4" t="s">
        <v>64211</v>
      </c>
      <c r="H12756" s="3" t="s">
        <v>63948</v>
      </c>
      <c r="I12756" s="3" t="s">
        <v>64212</v>
      </c>
      <c r="J12756" s="3" t="s">
        <v>64337</v>
      </c>
      <c r="K12756" s="3" t="s">
        <v>64338</v>
      </c>
      <c r="L12756" s="3" t="s">
        <v>64339</v>
      </c>
      <c r="M12756" s="4"/>
      <c r="N12756" s="3" t="s">
        <v>37</v>
      </c>
      <c r="O12756" s="3" t="s">
        <v>2740</v>
      </c>
      <c r="P12756" s="5">
        <v>22</v>
      </c>
      <c r="Q12756" s="5">
        <v>639</v>
      </c>
      <c r="R12756" s="5">
        <v>22</v>
      </c>
      <c r="S12756" s="5">
        <v>627</v>
      </c>
    </row>
    <row r="12757" spans="1:19" ht="28" x14ac:dyDescent="0.15">
      <c r="A12757" s="2">
        <f>HYPERLINK("https://open-school.uspishnemisto.com.ua/school/630090/", 630090)</f>
        <v>630090</v>
      </c>
      <c r="B12757" s="3" t="s">
        <v>64340</v>
      </c>
      <c r="C12757" s="3" t="s">
        <v>244</v>
      </c>
      <c r="D12757" s="3" t="s">
        <v>32</v>
      </c>
      <c r="E12757" s="4" t="s">
        <v>22</v>
      </c>
      <c r="F12757" s="4" t="s">
        <v>64279</v>
      </c>
      <c r="G12757" s="4" t="s">
        <v>64211</v>
      </c>
      <c r="H12757" s="3" t="s">
        <v>63948</v>
      </c>
      <c r="I12757" s="3" t="s">
        <v>64212</v>
      </c>
      <c r="J12757" s="3" t="s">
        <v>64341</v>
      </c>
      <c r="K12757" s="3" t="s">
        <v>64342</v>
      </c>
      <c r="L12757" s="3" t="s">
        <v>64343</v>
      </c>
      <c r="M12757" s="4"/>
      <c r="N12757" s="3" t="s">
        <v>967</v>
      </c>
      <c r="O12757" s="3" t="s">
        <v>52</v>
      </c>
      <c r="P12757" s="5">
        <v>21</v>
      </c>
      <c r="Q12757" s="5">
        <v>582</v>
      </c>
      <c r="R12757" s="5">
        <v>20</v>
      </c>
      <c r="S12757" s="5">
        <v>549</v>
      </c>
    </row>
    <row r="12758" spans="1:19" ht="28" x14ac:dyDescent="0.15">
      <c r="A12758" s="2">
        <f>HYPERLINK("https://open-school.uspishnemisto.com.ua/school/630091/", 630091)</f>
        <v>630091</v>
      </c>
      <c r="B12758" s="3" t="s">
        <v>64344</v>
      </c>
      <c r="C12758" s="3" t="s">
        <v>4989</v>
      </c>
      <c r="D12758" s="3" t="s">
        <v>21</v>
      </c>
      <c r="E12758" s="4" t="s">
        <v>253</v>
      </c>
      <c r="F12758" s="4" t="s">
        <v>64111</v>
      </c>
      <c r="G12758" s="4" t="s">
        <v>64211</v>
      </c>
      <c r="H12758" s="3" t="s">
        <v>63948</v>
      </c>
      <c r="I12758" s="3" t="s">
        <v>64212</v>
      </c>
      <c r="J12758" s="3" t="s">
        <v>64345</v>
      </c>
      <c r="K12758" s="3" t="s">
        <v>64346</v>
      </c>
      <c r="L12758" s="3"/>
      <c r="M12758" s="4" t="s">
        <v>64347</v>
      </c>
      <c r="N12758" s="3" t="s">
        <v>37</v>
      </c>
      <c r="O12758" s="3" t="s">
        <v>38</v>
      </c>
      <c r="P12758" s="5">
        <v>16</v>
      </c>
      <c r="Q12758" s="5">
        <v>396</v>
      </c>
      <c r="R12758" s="5">
        <v>16</v>
      </c>
      <c r="S12758" s="5">
        <v>398</v>
      </c>
    </row>
    <row r="12759" spans="1:19" ht="28" x14ac:dyDescent="0.15">
      <c r="A12759" s="2">
        <f>HYPERLINK("https://open-school.uspishnemisto.com.ua/school/630092/", 630092)</f>
        <v>630092</v>
      </c>
      <c r="B12759" s="3" t="s">
        <v>64348</v>
      </c>
      <c r="C12759" s="3" t="s">
        <v>188</v>
      </c>
      <c r="D12759" s="3" t="s">
        <v>32</v>
      </c>
      <c r="E12759" s="4" t="s">
        <v>22</v>
      </c>
      <c r="F12759" s="4" t="s">
        <v>64010</v>
      </c>
      <c r="G12759" s="4" t="s">
        <v>64211</v>
      </c>
      <c r="H12759" s="3" t="s">
        <v>63948</v>
      </c>
      <c r="I12759" s="3" t="s">
        <v>64212</v>
      </c>
      <c r="J12759" s="3" t="s">
        <v>64349</v>
      </c>
      <c r="K12759" s="3" t="s">
        <v>64350</v>
      </c>
      <c r="L12759" s="3" t="s">
        <v>64351</v>
      </c>
      <c r="M12759" s="4" t="s">
        <v>64352</v>
      </c>
      <c r="N12759" s="3" t="s">
        <v>128</v>
      </c>
      <c r="O12759" s="3" t="s">
        <v>70</v>
      </c>
      <c r="P12759" s="5">
        <v>31</v>
      </c>
      <c r="Q12759" s="5">
        <v>973</v>
      </c>
      <c r="R12759" s="5">
        <v>30</v>
      </c>
      <c r="S12759" s="5">
        <v>924</v>
      </c>
    </row>
    <row r="12760" spans="1:19" ht="42" x14ac:dyDescent="0.15">
      <c r="A12760" s="2">
        <f>HYPERLINK("https://open-school.uspishnemisto.com.ua/school/630093/", 630093)</f>
        <v>630093</v>
      </c>
      <c r="B12760" s="3" t="s">
        <v>64353</v>
      </c>
      <c r="C12760" s="3" t="s">
        <v>54</v>
      </c>
      <c r="D12760" s="3" t="s">
        <v>32</v>
      </c>
      <c r="E12760" s="4" t="s">
        <v>22</v>
      </c>
      <c r="F12760" s="4" t="s">
        <v>64279</v>
      </c>
      <c r="G12760" s="4" t="s">
        <v>64211</v>
      </c>
      <c r="H12760" s="3" t="s">
        <v>63948</v>
      </c>
      <c r="I12760" s="3" t="s">
        <v>64212</v>
      </c>
      <c r="J12760" s="3" t="s">
        <v>64354</v>
      </c>
      <c r="K12760" s="3" t="s">
        <v>64355</v>
      </c>
      <c r="L12760" s="3" t="s">
        <v>64356</v>
      </c>
      <c r="M12760" s="4" t="s">
        <v>64357</v>
      </c>
      <c r="N12760" s="3" t="s">
        <v>967</v>
      </c>
      <c r="O12760" s="3" t="s">
        <v>123</v>
      </c>
      <c r="P12760" s="5">
        <v>26</v>
      </c>
      <c r="Q12760" s="5">
        <v>799</v>
      </c>
      <c r="R12760" s="5">
        <v>26</v>
      </c>
      <c r="S12760" s="5">
        <v>797</v>
      </c>
    </row>
    <row r="12761" spans="1:19" ht="28" x14ac:dyDescent="0.15">
      <c r="A12761" s="2">
        <f>HYPERLINK("https://open-school.uspishnemisto.com.ua/school/630094/", 630094)</f>
        <v>630094</v>
      </c>
      <c r="B12761" s="3" t="s">
        <v>64358</v>
      </c>
      <c r="C12761" s="3" t="s">
        <v>54</v>
      </c>
      <c r="D12761" s="3" t="s">
        <v>32</v>
      </c>
      <c r="E12761" s="4" t="s">
        <v>41</v>
      </c>
      <c r="F12761" s="4" t="s">
        <v>64111</v>
      </c>
      <c r="G12761" s="4" t="s">
        <v>64211</v>
      </c>
      <c r="H12761" s="3" t="s">
        <v>63948</v>
      </c>
      <c r="I12761" s="3" t="s">
        <v>64212</v>
      </c>
      <c r="J12761" s="3" t="s">
        <v>64359</v>
      </c>
      <c r="K12761" s="3" t="s">
        <v>64360</v>
      </c>
      <c r="L12761" s="3" t="s">
        <v>64361</v>
      </c>
      <c r="M12761" s="4"/>
      <c r="N12761" s="3" t="s">
        <v>967</v>
      </c>
      <c r="O12761" s="3" t="s">
        <v>123</v>
      </c>
      <c r="P12761" s="5">
        <v>26</v>
      </c>
      <c r="Q12761" s="5">
        <v>776</v>
      </c>
      <c r="R12761" s="5">
        <v>25</v>
      </c>
      <c r="S12761" s="5">
        <v>713</v>
      </c>
    </row>
    <row r="12762" spans="1:19" ht="28" x14ac:dyDescent="0.15">
      <c r="A12762" s="2">
        <f>HYPERLINK("https://open-school.uspishnemisto.com.ua/school/630095/", 630095)</f>
        <v>630095</v>
      </c>
      <c r="B12762" s="3" t="s">
        <v>64362</v>
      </c>
      <c r="C12762" s="3" t="s">
        <v>188</v>
      </c>
      <c r="D12762" s="3" t="s">
        <v>32</v>
      </c>
      <c r="E12762" s="4" t="s">
        <v>253</v>
      </c>
      <c r="F12762" s="4" t="s">
        <v>64111</v>
      </c>
      <c r="G12762" s="4" t="s">
        <v>64363</v>
      </c>
      <c r="H12762" s="3" t="s">
        <v>63948</v>
      </c>
      <c r="I12762" s="3" t="s">
        <v>64364</v>
      </c>
      <c r="J12762" s="3" t="s">
        <v>64365</v>
      </c>
      <c r="K12762" s="3" t="s">
        <v>64366</v>
      </c>
      <c r="L12762" s="3"/>
      <c r="M12762" s="4"/>
      <c r="N12762" s="3" t="s">
        <v>37</v>
      </c>
      <c r="O12762" s="3" t="s">
        <v>52</v>
      </c>
      <c r="P12762" s="5">
        <v>8</v>
      </c>
      <c r="Q12762" s="5">
        <v>155</v>
      </c>
      <c r="R12762" s="5">
        <v>6</v>
      </c>
      <c r="S12762" s="5">
        <v>124</v>
      </c>
    </row>
    <row r="12763" spans="1:19" ht="42" x14ac:dyDescent="0.15">
      <c r="A12763" s="2">
        <f>HYPERLINK("https://open-school.uspishnemisto.com.ua/school/630096/", 630096)</f>
        <v>630096</v>
      </c>
      <c r="B12763" s="3" t="s">
        <v>64367</v>
      </c>
      <c r="C12763" s="3" t="s">
        <v>7651</v>
      </c>
      <c r="D12763" s="3" t="s">
        <v>19078</v>
      </c>
      <c r="E12763" s="4" t="s">
        <v>22</v>
      </c>
      <c r="F12763" s="4" t="s">
        <v>64036</v>
      </c>
      <c r="G12763" s="4" t="s">
        <v>64363</v>
      </c>
      <c r="H12763" s="3" t="s">
        <v>63948</v>
      </c>
      <c r="I12763" s="3" t="s">
        <v>64364</v>
      </c>
      <c r="J12763" s="3" t="s">
        <v>64368</v>
      </c>
      <c r="K12763" s="3" t="s">
        <v>64369</v>
      </c>
      <c r="L12763" s="3" t="s">
        <v>64370</v>
      </c>
      <c r="M12763" s="4"/>
      <c r="N12763" s="3"/>
      <c r="O12763" s="3"/>
      <c r="P12763" s="5">
        <v>0</v>
      </c>
      <c r="Q12763" s="5">
        <v>0</v>
      </c>
      <c r="R12763" s="5"/>
      <c r="S12763" s="5"/>
    </row>
    <row r="12764" spans="1:19" ht="42" x14ac:dyDescent="0.15">
      <c r="A12764" s="2">
        <f>HYPERLINK("https://open-school.uspishnemisto.com.ua/school/630097/", 630097)</f>
        <v>630097</v>
      </c>
      <c r="B12764" s="3" t="s">
        <v>64371</v>
      </c>
      <c r="C12764" s="3" t="s">
        <v>31</v>
      </c>
      <c r="D12764" s="3" t="s">
        <v>32</v>
      </c>
      <c r="E12764" s="4" t="s">
        <v>22</v>
      </c>
      <c r="F12764" s="4" t="s">
        <v>64372</v>
      </c>
      <c r="G12764" s="4" t="s">
        <v>64363</v>
      </c>
      <c r="H12764" s="3" t="s">
        <v>63948</v>
      </c>
      <c r="I12764" s="3" t="s">
        <v>64364</v>
      </c>
      <c r="J12764" s="3" t="s">
        <v>64373</v>
      </c>
      <c r="K12764" s="3" t="s">
        <v>64374</v>
      </c>
      <c r="L12764" s="3" t="s">
        <v>64375</v>
      </c>
      <c r="M12764" s="4"/>
      <c r="N12764" s="3" t="s">
        <v>128</v>
      </c>
      <c r="O12764" s="3" t="s">
        <v>70</v>
      </c>
      <c r="P12764" s="5">
        <v>27</v>
      </c>
      <c r="Q12764" s="5">
        <v>763</v>
      </c>
      <c r="R12764" s="5">
        <v>26</v>
      </c>
      <c r="S12764" s="5">
        <v>712</v>
      </c>
    </row>
    <row r="12765" spans="1:19" ht="42" x14ac:dyDescent="0.15">
      <c r="A12765" s="2">
        <f>HYPERLINK("https://open-school.uspishnemisto.com.ua/school/630098/", 630098)</f>
        <v>630098</v>
      </c>
      <c r="B12765" s="3" t="s">
        <v>64376</v>
      </c>
      <c r="C12765" s="3" t="s">
        <v>244</v>
      </c>
      <c r="D12765" s="3" t="s">
        <v>32</v>
      </c>
      <c r="E12765" s="4" t="s">
        <v>22</v>
      </c>
      <c r="F12765" s="4" t="s">
        <v>64191</v>
      </c>
      <c r="G12765" s="4" t="s">
        <v>64363</v>
      </c>
      <c r="H12765" s="3" t="s">
        <v>63948</v>
      </c>
      <c r="I12765" s="3" t="s">
        <v>64364</v>
      </c>
      <c r="J12765" s="3" t="s">
        <v>47617</v>
      </c>
      <c r="K12765" s="3" t="s">
        <v>64377</v>
      </c>
      <c r="L12765" s="3" t="s">
        <v>64378</v>
      </c>
      <c r="M12765" s="4"/>
      <c r="N12765" s="3" t="s">
        <v>37</v>
      </c>
      <c r="O12765" s="3" t="s">
        <v>52</v>
      </c>
      <c r="P12765" s="5">
        <v>25</v>
      </c>
      <c r="Q12765" s="5">
        <v>727</v>
      </c>
      <c r="R12765" s="5">
        <v>25</v>
      </c>
      <c r="S12765" s="5">
        <v>725</v>
      </c>
    </row>
    <row r="12766" spans="1:19" ht="56" x14ac:dyDescent="0.15">
      <c r="A12766" s="2">
        <f>HYPERLINK("https://open-school.uspishnemisto.com.ua/school/630099/", 630099)</f>
        <v>630099</v>
      </c>
      <c r="B12766" s="3" t="s">
        <v>64379</v>
      </c>
      <c r="C12766" s="3" t="s">
        <v>244</v>
      </c>
      <c r="D12766" s="3" t="s">
        <v>32</v>
      </c>
      <c r="E12766" s="4" t="s">
        <v>22</v>
      </c>
      <c r="F12766" s="4" t="s">
        <v>64158</v>
      </c>
      <c r="G12766" s="4" t="s">
        <v>64363</v>
      </c>
      <c r="H12766" s="3" t="s">
        <v>63948</v>
      </c>
      <c r="I12766" s="3" t="s">
        <v>64364</v>
      </c>
      <c r="J12766" s="3" t="s">
        <v>64380</v>
      </c>
      <c r="K12766" s="3" t="s">
        <v>64381</v>
      </c>
      <c r="L12766" s="3" t="s">
        <v>64382</v>
      </c>
      <c r="M12766" s="4"/>
      <c r="N12766" s="3" t="s">
        <v>37</v>
      </c>
      <c r="O12766" s="3" t="s">
        <v>123</v>
      </c>
      <c r="P12766" s="5">
        <v>19</v>
      </c>
      <c r="Q12766" s="5">
        <v>538</v>
      </c>
      <c r="R12766" s="5">
        <v>19</v>
      </c>
      <c r="S12766" s="5">
        <v>535</v>
      </c>
    </row>
    <row r="12767" spans="1:19" ht="28" x14ac:dyDescent="0.15">
      <c r="A12767" s="2">
        <f>HYPERLINK("https://open-school.uspishnemisto.com.ua/school/630100/", 630100)</f>
        <v>630100</v>
      </c>
      <c r="B12767" s="3" t="s">
        <v>64383</v>
      </c>
      <c r="C12767" s="3" t="s">
        <v>54</v>
      </c>
      <c r="D12767" s="3" t="s">
        <v>32</v>
      </c>
      <c r="E12767" s="4" t="s">
        <v>22</v>
      </c>
      <c r="F12767" s="4" t="s">
        <v>64111</v>
      </c>
      <c r="G12767" s="4" t="s">
        <v>64363</v>
      </c>
      <c r="H12767" s="3" t="s">
        <v>63948</v>
      </c>
      <c r="I12767" s="3" t="s">
        <v>64364</v>
      </c>
      <c r="J12767" s="3" t="s">
        <v>64186</v>
      </c>
      <c r="K12767" s="3" t="s">
        <v>64384</v>
      </c>
      <c r="L12767" s="3"/>
      <c r="M12767" s="4" t="s">
        <v>64385</v>
      </c>
      <c r="N12767" s="3" t="s">
        <v>37</v>
      </c>
      <c r="O12767" s="3" t="s">
        <v>38</v>
      </c>
      <c r="P12767" s="5">
        <v>11</v>
      </c>
      <c r="Q12767" s="5">
        <v>150</v>
      </c>
      <c r="R12767" s="5">
        <v>11</v>
      </c>
      <c r="S12767" s="5">
        <v>149</v>
      </c>
    </row>
    <row r="12768" spans="1:19" ht="28" x14ac:dyDescent="0.15">
      <c r="A12768" s="2">
        <f>HYPERLINK("https://open-school.uspishnemisto.com.ua/school/630101/", 630101)</f>
        <v>630101</v>
      </c>
      <c r="B12768" s="3" t="s">
        <v>64386</v>
      </c>
      <c r="C12768" s="3" t="s">
        <v>54</v>
      </c>
      <c r="D12768" s="3" t="s">
        <v>32</v>
      </c>
      <c r="E12768" s="4" t="s">
        <v>22</v>
      </c>
      <c r="F12768" s="4" t="s">
        <v>64158</v>
      </c>
      <c r="G12768" s="4" t="s">
        <v>64363</v>
      </c>
      <c r="H12768" s="3" t="s">
        <v>63948</v>
      </c>
      <c r="I12768" s="3" t="s">
        <v>64364</v>
      </c>
      <c r="J12768" s="3" t="s">
        <v>64387</v>
      </c>
      <c r="K12768" s="3" t="s">
        <v>64388</v>
      </c>
      <c r="L12768" s="3" t="s">
        <v>64389</v>
      </c>
      <c r="M12768" s="4" t="s">
        <v>64390</v>
      </c>
      <c r="N12768" s="3" t="s">
        <v>37</v>
      </c>
      <c r="O12768" s="3" t="s">
        <v>38</v>
      </c>
      <c r="P12768" s="5">
        <v>11</v>
      </c>
      <c r="Q12768" s="5">
        <v>220</v>
      </c>
      <c r="R12768" s="5">
        <v>11</v>
      </c>
      <c r="S12768" s="5">
        <v>227</v>
      </c>
    </row>
    <row r="12769" spans="1:19" ht="56" x14ac:dyDescent="0.15">
      <c r="A12769" s="2">
        <f>HYPERLINK("https://open-school.uspishnemisto.com.ua/school/630102/", 630102)</f>
        <v>630102</v>
      </c>
      <c r="B12769" s="3" t="s">
        <v>64391</v>
      </c>
      <c r="C12769" s="3" t="s">
        <v>244</v>
      </c>
      <c r="D12769" s="3" t="s">
        <v>32</v>
      </c>
      <c r="E12769" s="4" t="s">
        <v>41</v>
      </c>
      <c r="F12769" s="4" t="s">
        <v>64392</v>
      </c>
      <c r="G12769" s="4" t="s">
        <v>64363</v>
      </c>
      <c r="H12769" s="3" t="s">
        <v>63948</v>
      </c>
      <c r="I12769" s="3" t="s">
        <v>64364</v>
      </c>
      <c r="J12769" s="3" t="s">
        <v>64393</v>
      </c>
      <c r="K12769" s="3" t="s">
        <v>64394</v>
      </c>
      <c r="L12769" s="3" t="s">
        <v>64395</v>
      </c>
      <c r="M12769" s="4"/>
      <c r="N12769" s="3" t="s">
        <v>967</v>
      </c>
      <c r="O12769" s="3" t="s">
        <v>4858</v>
      </c>
      <c r="P12769" s="5">
        <v>26</v>
      </c>
      <c r="Q12769" s="5">
        <v>429</v>
      </c>
      <c r="R12769" s="5">
        <v>23</v>
      </c>
      <c r="S12769" s="5">
        <v>399</v>
      </c>
    </row>
    <row r="12770" spans="1:19" ht="28" x14ac:dyDescent="0.15">
      <c r="A12770" s="2">
        <f>HYPERLINK("https://open-school.uspishnemisto.com.ua/school/630103/", 630103)</f>
        <v>630103</v>
      </c>
      <c r="B12770" s="3" t="s">
        <v>64396</v>
      </c>
      <c r="C12770" s="3" t="s">
        <v>40</v>
      </c>
      <c r="D12770" s="3" t="s">
        <v>32</v>
      </c>
      <c r="E12770" s="4" t="s">
        <v>22</v>
      </c>
      <c r="F12770" s="4" t="s">
        <v>64191</v>
      </c>
      <c r="G12770" s="4" t="s">
        <v>64363</v>
      </c>
      <c r="H12770" s="3" t="s">
        <v>63948</v>
      </c>
      <c r="I12770" s="3" t="s">
        <v>64364</v>
      </c>
      <c r="J12770" s="3" t="s">
        <v>64397</v>
      </c>
      <c r="K12770" s="3" t="s">
        <v>64398</v>
      </c>
      <c r="L12770" s="3" t="s">
        <v>64399</v>
      </c>
      <c r="M12770" s="4"/>
      <c r="N12770" s="3" t="s">
        <v>967</v>
      </c>
      <c r="O12770" s="3" t="s">
        <v>123</v>
      </c>
      <c r="P12770" s="5">
        <v>13</v>
      </c>
      <c r="Q12770" s="5">
        <v>372</v>
      </c>
      <c r="R12770" s="5">
        <v>14</v>
      </c>
      <c r="S12770" s="5">
        <v>378</v>
      </c>
    </row>
    <row r="12771" spans="1:19" ht="28" x14ac:dyDescent="0.15">
      <c r="A12771" s="2">
        <f>HYPERLINK("https://open-school.uspishnemisto.com.ua/school/630104/", 630104)</f>
        <v>630104</v>
      </c>
      <c r="B12771" s="3" t="s">
        <v>64400</v>
      </c>
      <c r="C12771" s="3" t="s">
        <v>40</v>
      </c>
      <c r="D12771" s="3" t="s">
        <v>32</v>
      </c>
      <c r="E12771" s="4" t="s">
        <v>22</v>
      </c>
      <c r="F12771" s="4" t="s">
        <v>64031</v>
      </c>
      <c r="G12771" s="4" t="s">
        <v>64363</v>
      </c>
      <c r="H12771" s="3" t="s">
        <v>63948</v>
      </c>
      <c r="I12771" s="3" t="s">
        <v>64364</v>
      </c>
      <c r="J12771" s="3" t="s">
        <v>64401</v>
      </c>
      <c r="K12771" s="3" t="s">
        <v>64402</v>
      </c>
      <c r="L12771" s="3" t="s">
        <v>64403</v>
      </c>
      <c r="M12771" s="4"/>
      <c r="N12771" s="3" t="s">
        <v>37</v>
      </c>
      <c r="O12771" s="3" t="s">
        <v>70</v>
      </c>
      <c r="P12771" s="5">
        <v>37</v>
      </c>
      <c r="Q12771" s="5">
        <v>1066</v>
      </c>
      <c r="R12771" s="5">
        <v>37</v>
      </c>
      <c r="S12771" s="5">
        <v>1047</v>
      </c>
    </row>
    <row r="12772" spans="1:19" ht="28" x14ac:dyDescent="0.15">
      <c r="A12772" s="2">
        <f>HYPERLINK("https://open-school.uspishnemisto.com.ua/school/630105/", 630105)</f>
        <v>630105</v>
      </c>
      <c r="B12772" s="3" t="s">
        <v>64404</v>
      </c>
      <c r="C12772" s="3" t="s">
        <v>31</v>
      </c>
      <c r="D12772" s="3" t="s">
        <v>32</v>
      </c>
      <c r="E12772" s="4" t="s">
        <v>22</v>
      </c>
      <c r="F12772" s="4" t="s">
        <v>64111</v>
      </c>
      <c r="G12772" s="4" t="s">
        <v>64363</v>
      </c>
      <c r="H12772" s="3" t="s">
        <v>63948</v>
      </c>
      <c r="I12772" s="3" t="s">
        <v>64364</v>
      </c>
      <c r="J12772" s="3" t="s">
        <v>64405</v>
      </c>
      <c r="K12772" s="3" t="s">
        <v>64406</v>
      </c>
      <c r="L12772" s="3" t="s">
        <v>64407</v>
      </c>
      <c r="M12772" s="4"/>
      <c r="N12772" s="3" t="s">
        <v>967</v>
      </c>
      <c r="O12772" s="3" t="s">
        <v>52</v>
      </c>
      <c r="P12772" s="5">
        <v>19</v>
      </c>
      <c r="Q12772" s="5">
        <v>519</v>
      </c>
      <c r="R12772" s="5">
        <v>19</v>
      </c>
      <c r="S12772" s="5">
        <v>524</v>
      </c>
    </row>
    <row r="12773" spans="1:19" ht="28" x14ac:dyDescent="0.15">
      <c r="A12773" s="2">
        <f>HYPERLINK("https://open-school.uspishnemisto.com.ua/school/630106/", 630106)</f>
        <v>630106</v>
      </c>
      <c r="B12773" s="3" t="s">
        <v>64408</v>
      </c>
      <c r="C12773" s="3" t="s">
        <v>31</v>
      </c>
      <c r="D12773" s="3" t="s">
        <v>32</v>
      </c>
      <c r="E12773" s="4" t="s">
        <v>22</v>
      </c>
      <c r="F12773" s="4" t="s">
        <v>64181</v>
      </c>
      <c r="G12773" s="4" t="s">
        <v>64363</v>
      </c>
      <c r="H12773" s="3" t="s">
        <v>63948</v>
      </c>
      <c r="I12773" s="3" t="s">
        <v>64364</v>
      </c>
      <c r="J12773" s="3" t="s">
        <v>64182</v>
      </c>
      <c r="K12773" s="3" t="s">
        <v>64409</v>
      </c>
      <c r="L12773" s="3" t="s">
        <v>64410</v>
      </c>
      <c r="M12773" s="4"/>
      <c r="N12773" s="3" t="s">
        <v>37</v>
      </c>
      <c r="O12773" s="3" t="s">
        <v>70</v>
      </c>
      <c r="P12773" s="5">
        <v>12</v>
      </c>
      <c r="Q12773" s="5">
        <v>320</v>
      </c>
      <c r="R12773" s="5">
        <v>12</v>
      </c>
      <c r="S12773" s="5">
        <v>294</v>
      </c>
    </row>
    <row r="12774" spans="1:19" ht="28" x14ac:dyDescent="0.15">
      <c r="A12774" s="2">
        <f>HYPERLINK("https://open-school.uspishnemisto.com.ua/school/630107/", 630107)</f>
        <v>630107</v>
      </c>
      <c r="B12774" s="3" t="s">
        <v>64411</v>
      </c>
      <c r="C12774" s="3" t="s">
        <v>31</v>
      </c>
      <c r="D12774" s="3" t="s">
        <v>32</v>
      </c>
      <c r="E12774" s="4" t="s">
        <v>22</v>
      </c>
      <c r="F12774" s="4" t="s">
        <v>63985</v>
      </c>
      <c r="G12774" s="4" t="s">
        <v>64363</v>
      </c>
      <c r="H12774" s="3" t="s">
        <v>63948</v>
      </c>
      <c r="I12774" s="3" t="s">
        <v>64364</v>
      </c>
      <c r="J12774" s="3" t="s">
        <v>64412</v>
      </c>
      <c r="K12774" s="3" t="s">
        <v>64413</v>
      </c>
      <c r="L12774" s="3" t="s">
        <v>64414</v>
      </c>
      <c r="M12774" s="4"/>
      <c r="N12774" s="3" t="s">
        <v>37</v>
      </c>
      <c r="O12774" s="3" t="s">
        <v>38</v>
      </c>
      <c r="P12774" s="5">
        <v>19</v>
      </c>
      <c r="Q12774" s="5">
        <v>541</v>
      </c>
      <c r="R12774" s="5">
        <v>21</v>
      </c>
      <c r="S12774" s="5">
        <v>553</v>
      </c>
    </row>
    <row r="12775" spans="1:19" ht="28" x14ac:dyDescent="0.15">
      <c r="A12775" s="2">
        <f>HYPERLINK("https://open-school.uspishnemisto.com.ua/school/630108/", 630108)</f>
        <v>630108</v>
      </c>
      <c r="B12775" s="3" t="s">
        <v>64415</v>
      </c>
      <c r="C12775" s="3" t="s">
        <v>31</v>
      </c>
      <c r="D12775" s="3" t="s">
        <v>32</v>
      </c>
      <c r="E12775" s="4" t="s">
        <v>22</v>
      </c>
      <c r="F12775" s="4" t="s">
        <v>64191</v>
      </c>
      <c r="G12775" s="4" t="s">
        <v>64363</v>
      </c>
      <c r="H12775" s="3" t="s">
        <v>63948</v>
      </c>
      <c r="I12775" s="3" t="s">
        <v>64364</v>
      </c>
      <c r="J12775" s="3" t="s">
        <v>64416</v>
      </c>
      <c r="K12775" s="3" t="s">
        <v>64417</v>
      </c>
      <c r="L12775" s="3" t="s">
        <v>64418</v>
      </c>
      <c r="M12775" s="4"/>
      <c r="N12775" s="3" t="s">
        <v>967</v>
      </c>
      <c r="O12775" s="3" t="s">
        <v>46</v>
      </c>
      <c r="P12775" s="5">
        <v>24</v>
      </c>
      <c r="Q12775" s="5">
        <v>717</v>
      </c>
      <c r="R12775" s="5">
        <v>24</v>
      </c>
      <c r="S12775" s="5">
        <v>726</v>
      </c>
    </row>
    <row r="12776" spans="1:19" ht="42" x14ac:dyDescent="0.15">
      <c r="A12776" s="2">
        <f>HYPERLINK("https://open-school.uspishnemisto.com.ua/school/630109/", 630109)</f>
        <v>630109</v>
      </c>
      <c r="B12776" s="3" t="s">
        <v>64419</v>
      </c>
      <c r="C12776" s="3" t="s">
        <v>31</v>
      </c>
      <c r="D12776" s="3" t="s">
        <v>32</v>
      </c>
      <c r="E12776" s="4" t="s">
        <v>22</v>
      </c>
      <c r="F12776" s="4" t="s">
        <v>64420</v>
      </c>
      <c r="G12776" s="4" t="s">
        <v>64363</v>
      </c>
      <c r="H12776" s="3" t="s">
        <v>63948</v>
      </c>
      <c r="I12776" s="3" t="s">
        <v>64364</v>
      </c>
      <c r="J12776" s="3" t="s">
        <v>64421</v>
      </c>
      <c r="K12776" s="3" t="s">
        <v>64422</v>
      </c>
      <c r="L12776" s="3" t="s">
        <v>64423</v>
      </c>
      <c r="M12776" s="4"/>
      <c r="N12776" s="3" t="s">
        <v>37</v>
      </c>
      <c r="O12776" s="3" t="s">
        <v>38</v>
      </c>
      <c r="P12776" s="5">
        <v>11</v>
      </c>
      <c r="Q12776" s="5">
        <v>271</v>
      </c>
      <c r="R12776" s="5">
        <v>10</v>
      </c>
      <c r="S12776" s="5">
        <v>257</v>
      </c>
    </row>
    <row r="12777" spans="1:19" ht="28" x14ac:dyDescent="0.15">
      <c r="A12777" s="2">
        <f>HYPERLINK("https://open-school.uspishnemisto.com.ua/school/630110/", 630110)</f>
        <v>630110</v>
      </c>
      <c r="B12777" s="3" t="s">
        <v>64424</v>
      </c>
      <c r="C12777" s="3" t="s">
        <v>244</v>
      </c>
      <c r="D12777" s="3" t="s">
        <v>32</v>
      </c>
      <c r="E12777" s="4" t="s">
        <v>22</v>
      </c>
      <c r="F12777" s="4" t="s">
        <v>64004</v>
      </c>
      <c r="G12777" s="4" t="s">
        <v>64363</v>
      </c>
      <c r="H12777" s="3" t="s">
        <v>63948</v>
      </c>
      <c r="I12777" s="3" t="s">
        <v>64364</v>
      </c>
      <c r="J12777" s="3" t="s">
        <v>64425</v>
      </c>
      <c r="K12777" s="3" t="s">
        <v>64426</v>
      </c>
      <c r="L12777" s="3" t="s">
        <v>64427</v>
      </c>
      <c r="M12777" s="4"/>
      <c r="N12777" s="3" t="s">
        <v>37</v>
      </c>
      <c r="O12777" s="3" t="s">
        <v>70</v>
      </c>
      <c r="P12777" s="5">
        <v>20</v>
      </c>
      <c r="Q12777" s="5">
        <v>563</v>
      </c>
      <c r="R12777" s="5">
        <v>19</v>
      </c>
      <c r="S12777" s="5">
        <v>521</v>
      </c>
    </row>
    <row r="12778" spans="1:19" ht="28" x14ac:dyDescent="0.15">
      <c r="A12778" s="2">
        <f>HYPERLINK("https://open-school.uspishnemisto.com.ua/school/630111/", 630111)</f>
        <v>630111</v>
      </c>
      <c r="B12778" s="3" t="s">
        <v>64428</v>
      </c>
      <c r="C12778" s="3" t="s">
        <v>244</v>
      </c>
      <c r="D12778" s="3" t="s">
        <v>32</v>
      </c>
      <c r="E12778" s="4" t="s">
        <v>22</v>
      </c>
      <c r="F12778" s="4" t="s">
        <v>64429</v>
      </c>
      <c r="G12778" s="4" t="s">
        <v>64363</v>
      </c>
      <c r="H12778" s="3" t="s">
        <v>63948</v>
      </c>
      <c r="I12778" s="3" t="s">
        <v>64364</v>
      </c>
      <c r="J12778" s="3" t="s">
        <v>64430</v>
      </c>
      <c r="K12778" s="3" t="s">
        <v>64431</v>
      </c>
      <c r="L12778" s="3" t="s">
        <v>64432</v>
      </c>
      <c r="M12778" s="4"/>
      <c r="N12778" s="3" t="s">
        <v>128</v>
      </c>
      <c r="O12778" s="3" t="s">
        <v>123</v>
      </c>
      <c r="P12778" s="5">
        <v>35</v>
      </c>
      <c r="Q12778" s="5">
        <v>1075</v>
      </c>
      <c r="R12778" s="5">
        <v>35</v>
      </c>
      <c r="S12778" s="5">
        <v>1078</v>
      </c>
    </row>
    <row r="12779" spans="1:19" ht="28" x14ac:dyDescent="0.15">
      <c r="A12779" s="2">
        <f>HYPERLINK("https://open-school.uspishnemisto.com.ua/school/630112/", 630112)</f>
        <v>630112</v>
      </c>
      <c r="B12779" s="3" t="s">
        <v>64433</v>
      </c>
      <c r="C12779" s="3" t="s">
        <v>244</v>
      </c>
      <c r="D12779" s="3" t="s">
        <v>32</v>
      </c>
      <c r="E12779" s="4" t="s">
        <v>22</v>
      </c>
      <c r="F12779" s="4" t="s">
        <v>64052</v>
      </c>
      <c r="G12779" s="4" t="s">
        <v>64363</v>
      </c>
      <c r="H12779" s="3" t="s">
        <v>63948</v>
      </c>
      <c r="I12779" s="3" t="s">
        <v>64364</v>
      </c>
      <c r="J12779" s="3" t="s">
        <v>64434</v>
      </c>
      <c r="K12779" s="3" t="s">
        <v>64435</v>
      </c>
      <c r="L12779" s="3" t="s">
        <v>64436</v>
      </c>
      <c r="M12779" s="4"/>
      <c r="N12779" s="3" t="s">
        <v>967</v>
      </c>
      <c r="O12779" s="3" t="s">
        <v>4858</v>
      </c>
      <c r="P12779" s="5">
        <v>44</v>
      </c>
      <c r="Q12779" s="5">
        <v>1285</v>
      </c>
      <c r="R12779" s="5">
        <v>44</v>
      </c>
      <c r="S12779" s="5">
        <v>1299</v>
      </c>
    </row>
    <row r="12780" spans="1:19" ht="28" x14ac:dyDescent="0.15">
      <c r="A12780" s="2">
        <f>HYPERLINK("https://open-school.uspishnemisto.com.ua/school/630113/", 630113)</f>
        <v>630113</v>
      </c>
      <c r="B12780" s="3" t="s">
        <v>64437</v>
      </c>
      <c r="C12780" s="3" t="s">
        <v>188</v>
      </c>
      <c r="D12780" s="3" t="s">
        <v>32</v>
      </c>
      <c r="E12780" s="4" t="s">
        <v>22</v>
      </c>
      <c r="F12780" s="4" t="s">
        <v>64052</v>
      </c>
      <c r="G12780" s="4" t="s">
        <v>64363</v>
      </c>
      <c r="H12780" s="3" t="s">
        <v>63948</v>
      </c>
      <c r="I12780" s="3" t="s">
        <v>64364</v>
      </c>
      <c r="J12780" s="3" t="s">
        <v>64438</v>
      </c>
      <c r="K12780" s="3" t="s">
        <v>64439</v>
      </c>
      <c r="L12780" s="3" t="s">
        <v>64440</v>
      </c>
      <c r="M12780" s="4"/>
      <c r="N12780" s="3" t="s">
        <v>37</v>
      </c>
      <c r="O12780" s="3" t="s">
        <v>38</v>
      </c>
      <c r="P12780" s="5">
        <v>35</v>
      </c>
      <c r="Q12780" s="5">
        <v>1061</v>
      </c>
      <c r="R12780" s="5">
        <v>35</v>
      </c>
      <c r="S12780" s="5">
        <v>1046</v>
      </c>
    </row>
    <row r="12781" spans="1:19" ht="28" x14ac:dyDescent="0.15">
      <c r="A12781" s="2">
        <f>HYPERLINK("https://open-school.uspishnemisto.com.ua/school/630114/", 630114)</f>
        <v>630114</v>
      </c>
      <c r="B12781" s="3" t="s">
        <v>64441</v>
      </c>
      <c r="C12781" s="3" t="s">
        <v>188</v>
      </c>
      <c r="D12781" s="3" t="s">
        <v>32</v>
      </c>
      <c r="E12781" s="4" t="s">
        <v>22</v>
      </c>
      <c r="F12781" s="4" t="s">
        <v>64036</v>
      </c>
      <c r="G12781" s="4" t="s">
        <v>64363</v>
      </c>
      <c r="H12781" s="3" t="s">
        <v>63948</v>
      </c>
      <c r="I12781" s="3" t="s">
        <v>64364</v>
      </c>
      <c r="J12781" s="3" t="s">
        <v>64368</v>
      </c>
      <c r="K12781" s="3" t="s">
        <v>64442</v>
      </c>
      <c r="L12781" s="3" t="s">
        <v>64443</v>
      </c>
      <c r="M12781" s="4"/>
      <c r="N12781" s="3" t="s">
        <v>37</v>
      </c>
      <c r="O12781" s="3" t="s">
        <v>38</v>
      </c>
      <c r="P12781" s="5">
        <v>17</v>
      </c>
      <c r="Q12781" s="5">
        <v>428</v>
      </c>
      <c r="R12781" s="5">
        <v>16</v>
      </c>
      <c r="S12781" s="5">
        <v>410</v>
      </c>
    </row>
    <row r="12782" spans="1:19" ht="28" x14ac:dyDescent="0.15">
      <c r="A12782" s="2">
        <f>HYPERLINK("https://open-school.uspishnemisto.com.ua/school/630115/", 630115)</f>
        <v>630115</v>
      </c>
      <c r="B12782" s="3" t="s">
        <v>64444</v>
      </c>
      <c r="C12782" s="3" t="s">
        <v>54</v>
      </c>
      <c r="D12782" s="3" t="s">
        <v>32</v>
      </c>
      <c r="E12782" s="4" t="s">
        <v>41</v>
      </c>
      <c r="F12782" s="4" t="s">
        <v>64036</v>
      </c>
      <c r="G12782" s="4" t="s">
        <v>64363</v>
      </c>
      <c r="H12782" s="3" t="s">
        <v>63948</v>
      </c>
      <c r="I12782" s="3" t="s">
        <v>64364</v>
      </c>
      <c r="J12782" s="3" t="s">
        <v>64445</v>
      </c>
      <c r="K12782" s="3" t="s">
        <v>64446</v>
      </c>
      <c r="L12782" s="3" t="s">
        <v>64447</v>
      </c>
      <c r="M12782" s="4"/>
      <c r="N12782" s="3" t="s">
        <v>128</v>
      </c>
      <c r="O12782" s="3" t="s">
        <v>70</v>
      </c>
      <c r="P12782" s="5">
        <v>27</v>
      </c>
      <c r="Q12782" s="5">
        <v>448</v>
      </c>
      <c r="R12782" s="5">
        <v>25</v>
      </c>
      <c r="S12782" s="5">
        <v>390</v>
      </c>
    </row>
    <row r="12783" spans="1:19" ht="28" x14ac:dyDescent="0.15">
      <c r="A12783" s="2">
        <f>HYPERLINK("https://open-school.uspishnemisto.com.ua/school/630116/", 630116)</f>
        <v>630116</v>
      </c>
      <c r="B12783" s="3" t="s">
        <v>64448</v>
      </c>
      <c r="C12783" s="3" t="s">
        <v>54</v>
      </c>
      <c r="D12783" s="3" t="s">
        <v>32</v>
      </c>
      <c r="E12783" s="4" t="s">
        <v>41</v>
      </c>
      <c r="F12783" s="4" t="s">
        <v>64392</v>
      </c>
      <c r="G12783" s="4" t="s">
        <v>64363</v>
      </c>
      <c r="H12783" s="3" t="s">
        <v>63948</v>
      </c>
      <c r="I12783" s="3" t="s">
        <v>64364</v>
      </c>
      <c r="J12783" s="3" t="s">
        <v>1398</v>
      </c>
      <c r="K12783" s="3" t="s">
        <v>64449</v>
      </c>
      <c r="L12783" s="3" t="s">
        <v>64450</v>
      </c>
      <c r="M12783" s="4"/>
      <c r="N12783" s="3" t="s">
        <v>967</v>
      </c>
      <c r="O12783" s="3" t="s">
        <v>52</v>
      </c>
      <c r="P12783" s="5">
        <v>4</v>
      </c>
      <c r="Q12783" s="5">
        <v>72</v>
      </c>
      <c r="R12783" s="5">
        <v>5</v>
      </c>
      <c r="S12783" s="5">
        <v>67</v>
      </c>
    </row>
    <row r="12784" spans="1:19" ht="28" x14ac:dyDescent="0.15">
      <c r="A12784" s="2">
        <f>HYPERLINK("https://open-school.uspishnemisto.com.ua/school/630117/", 630117)</f>
        <v>630117</v>
      </c>
      <c r="B12784" s="3" t="s">
        <v>64451</v>
      </c>
      <c r="C12784" s="3" t="s">
        <v>188</v>
      </c>
      <c r="D12784" s="3" t="s">
        <v>32</v>
      </c>
      <c r="E12784" s="4" t="s">
        <v>22</v>
      </c>
      <c r="F12784" s="4" t="s">
        <v>64274</v>
      </c>
      <c r="G12784" s="4" t="s">
        <v>64363</v>
      </c>
      <c r="H12784" s="3" t="s">
        <v>63948</v>
      </c>
      <c r="I12784" s="3" t="s">
        <v>64364</v>
      </c>
      <c r="J12784" s="3" t="s">
        <v>64452</v>
      </c>
      <c r="K12784" s="3" t="s">
        <v>64453</v>
      </c>
      <c r="L12784" s="3" t="s">
        <v>64454</v>
      </c>
      <c r="M12784" s="4"/>
      <c r="N12784" s="3" t="s">
        <v>967</v>
      </c>
      <c r="O12784" s="3" t="s">
        <v>52</v>
      </c>
      <c r="P12784" s="5">
        <v>17</v>
      </c>
      <c r="Q12784" s="5">
        <v>454</v>
      </c>
      <c r="R12784" s="5">
        <v>17</v>
      </c>
      <c r="S12784" s="5">
        <v>435</v>
      </c>
    </row>
    <row r="12785" spans="1:19" ht="28" x14ac:dyDescent="0.15">
      <c r="A12785" s="2">
        <f>HYPERLINK("https://open-school.uspishnemisto.com.ua/school/630118/", 630118)</f>
        <v>630118</v>
      </c>
      <c r="B12785" s="3" t="s">
        <v>64455</v>
      </c>
      <c r="C12785" s="3" t="s">
        <v>40</v>
      </c>
      <c r="D12785" s="3" t="s">
        <v>32</v>
      </c>
      <c r="E12785" s="4" t="s">
        <v>22</v>
      </c>
      <c r="F12785" s="4" t="s">
        <v>64456</v>
      </c>
      <c r="G12785" s="4" t="s">
        <v>64457</v>
      </c>
      <c r="H12785" s="3" t="s">
        <v>63948</v>
      </c>
      <c r="I12785" s="3" t="s">
        <v>64458</v>
      </c>
      <c r="J12785" s="3" t="s">
        <v>64459</v>
      </c>
      <c r="K12785" s="3" t="s">
        <v>64460</v>
      </c>
      <c r="L12785" s="3" t="s">
        <v>64461</v>
      </c>
      <c r="M12785" s="4"/>
      <c r="N12785" s="3" t="s">
        <v>37</v>
      </c>
      <c r="O12785" s="3" t="s">
        <v>123</v>
      </c>
      <c r="P12785" s="5">
        <v>42</v>
      </c>
      <c r="Q12785" s="5">
        <v>1317</v>
      </c>
      <c r="R12785" s="5">
        <v>40</v>
      </c>
      <c r="S12785" s="5">
        <v>1197</v>
      </c>
    </row>
    <row r="12786" spans="1:19" ht="28" x14ac:dyDescent="0.15">
      <c r="A12786" s="2">
        <f>HYPERLINK("https://open-school.uspishnemisto.com.ua/school/630119/", 630119)</f>
        <v>630119</v>
      </c>
      <c r="B12786" s="3" t="s">
        <v>64462</v>
      </c>
      <c r="C12786" s="3" t="s">
        <v>40</v>
      </c>
      <c r="D12786" s="3" t="s">
        <v>32</v>
      </c>
      <c r="E12786" s="4" t="s">
        <v>22</v>
      </c>
      <c r="F12786" s="4" t="s">
        <v>64463</v>
      </c>
      <c r="G12786" s="4" t="s">
        <v>64457</v>
      </c>
      <c r="H12786" s="3" t="s">
        <v>63948</v>
      </c>
      <c r="I12786" s="3" t="s">
        <v>64458</v>
      </c>
      <c r="J12786" s="3" t="s">
        <v>64464</v>
      </c>
      <c r="K12786" s="3" t="s">
        <v>64465</v>
      </c>
      <c r="L12786" s="3" t="s">
        <v>64466</v>
      </c>
      <c r="M12786" s="4"/>
      <c r="N12786" s="3" t="s">
        <v>128</v>
      </c>
      <c r="O12786" s="3" t="s">
        <v>46</v>
      </c>
      <c r="P12786" s="5">
        <v>36</v>
      </c>
      <c r="Q12786" s="5">
        <v>1117</v>
      </c>
      <c r="R12786" s="5">
        <v>36</v>
      </c>
      <c r="S12786" s="5">
        <v>1085</v>
      </c>
    </row>
    <row r="12787" spans="1:19" ht="28" x14ac:dyDescent="0.15">
      <c r="A12787" s="2">
        <f>HYPERLINK("https://open-school.uspishnemisto.com.ua/school/630120/", 630120)</f>
        <v>630120</v>
      </c>
      <c r="B12787" s="3" t="s">
        <v>64467</v>
      </c>
      <c r="C12787" s="3" t="s">
        <v>40</v>
      </c>
      <c r="D12787" s="3" t="s">
        <v>32</v>
      </c>
      <c r="E12787" s="4" t="s">
        <v>22</v>
      </c>
      <c r="F12787" s="4" t="s">
        <v>63990</v>
      </c>
      <c r="G12787" s="4" t="s">
        <v>64457</v>
      </c>
      <c r="H12787" s="3" t="s">
        <v>63948</v>
      </c>
      <c r="I12787" s="3" t="s">
        <v>64458</v>
      </c>
      <c r="J12787" s="3" t="s">
        <v>64468</v>
      </c>
      <c r="K12787" s="3" t="s">
        <v>64469</v>
      </c>
      <c r="L12787" s="3" t="s">
        <v>64470</v>
      </c>
      <c r="M12787" s="4"/>
      <c r="N12787" s="3" t="s">
        <v>37</v>
      </c>
      <c r="O12787" s="3" t="s">
        <v>70</v>
      </c>
      <c r="P12787" s="5">
        <v>20</v>
      </c>
      <c r="Q12787" s="5">
        <v>562</v>
      </c>
      <c r="R12787" s="5">
        <v>20</v>
      </c>
      <c r="S12787" s="5">
        <v>532</v>
      </c>
    </row>
    <row r="12788" spans="1:19" ht="28" x14ac:dyDescent="0.15">
      <c r="A12788" s="2">
        <f>HYPERLINK("https://open-school.uspishnemisto.com.ua/school/630121/", 630121)</f>
        <v>630121</v>
      </c>
      <c r="B12788" s="3" t="s">
        <v>64471</v>
      </c>
      <c r="C12788" s="3" t="s">
        <v>40</v>
      </c>
      <c r="D12788" s="3" t="s">
        <v>32</v>
      </c>
      <c r="E12788" s="4" t="s">
        <v>22</v>
      </c>
      <c r="F12788" s="4" t="s">
        <v>64472</v>
      </c>
      <c r="G12788" s="4" t="s">
        <v>64457</v>
      </c>
      <c r="H12788" s="3" t="s">
        <v>63948</v>
      </c>
      <c r="I12788" s="3" t="s">
        <v>64458</v>
      </c>
      <c r="J12788" s="3" t="s">
        <v>64473</v>
      </c>
      <c r="K12788" s="3" t="s">
        <v>64474</v>
      </c>
      <c r="L12788" s="3" t="s">
        <v>64475</v>
      </c>
      <c r="M12788" s="4"/>
      <c r="N12788" s="3" t="s">
        <v>128</v>
      </c>
      <c r="O12788" s="3" t="s">
        <v>38</v>
      </c>
      <c r="P12788" s="5">
        <v>11</v>
      </c>
      <c r="Q12788" s="5">
        <v>274</v>
      </c>
      <c r="R12788" s="5">
        <v>11</v>
      </c>
      <c r="S12788" s="5">
        <v>281</v>
      </c>
    </row>
    <row r="12789" spans="1:19" ht="42" x14ac:dyDescent="0.15">
      <c r="A12789" s="2">
        <f>HYPERLINK("https://open-school.uspishnemisto.com.ua/school/630122/", 630122)</f>
        <v>630122</v>
      </c>
      <c r="B12789" s="3" t="s">
        <v>64476</v>
      </c>
      <c r="C12789" s="3" t="s">
        <v>31</v>
      </c>
      <c r="D12789" s="3" t="s">
        <v>32</v>
      </c>
      <c r="E12789" s="4" t="s">
        <v>22</v>
      </c>
      <c r="F12789" s="4" t="s">
        <v>64456</v>
      </c>
      <c r="G12789" s="4" t="s">
        <v>64457</v>
      </c>
      <c r="H12789" s="3" t="s">
        <v>63948</v>
      </c>
      <c r="I12789" s="3" t="s">
        <v>64458</v>
      </c>
      <c r="J12789" s="3" t="s">
        <v>64477</v>
      </c>
      <c r="K12789" s="3" t="s">
        <v>64478</v>
      </c>
      <c r="L12789" s="3" t="s">
        <v>64479</v>
      </c>
      <c r="M12789" s="4"/>
      <c r="N12789" s="3" t="s">
        <v>37</v>
      </c>
      <c r="O12789" s="3" t="s">
        <v>38</v>
      </c>
      <c r="P12789" s="5">
        <v>15</v>
      </c>
      <c r="Q12789" s="5">
        <v>362</v>
      </c>
      <c r="R12789" s="5">
        <v>16</v>
      </c>
      <c r="S12789" s="5">
        <v>411</v>
      </c>
    </row>
    <row r="12790" spans="1:19" ht="28" x14ac:dyDescent="0.15">
      <c r="A12790" s="2">
        <f>HYPERLINK("https://open-school.uspishnemisto.com.ua/school/630123/", 630123)</f>
        <v>630123</v>
      </c>
      <c r="B12790" s="3" t="s">
        <v>64480</v>
      </c>
      <c r="C12790" s="3" t="s">
        <v>31</v>
      </c>
      <c r="D12790" s="3" t="s">
        <v>32</v>
      </c>
      <c r="E12790" s="4" t="s">
        <v>22</v>
      </c>
      <c r="F12790" s="4" t="s">
        <v>64456</v>
      </c>
      <c r="G12790" s="4" t="s">
        <v>64457</v>
      </c>
      <c r="H12790" s="3" t="s">
        <v>63948</v>
      </c>
      <c r="I12790" s="3" t="s">
        <v>64458</v>
      </c>
      <c r="J12790" s="3" t="s">
        <v>64481</v>
      </c>
      <c r="K12790" s="3" t="s">
        <v>64482</v>
      </c>
      <c r="L12790" s="3" t="s">
        <v>64483</v>
      </c>
      <c r="M12790" s="4"/>
      <c r="N12790" s="3" t="s">
        <v>967</v>
      </c>
      <c r="O12790" s="3" t="s">
        <v>52</v>
      </c>
      <c r="P12790" s="5">
        <v>26</v>
      </c>
      <c r="Q12790" s="5">
        <v>798</v>
      </c>
      <c r="R12790" s="5">
        <v>25</v>
      </c>
      <c r="S12790" s="5">
        <v>762</v>
      </c>
    </row>
    <row r="12791" spans="1:19" ht="28" x14ac:dyDescent="0.15">
      <c r="A12791" s="2">
        <f>HYPERLINK("https://open-school.uspishnemisto.com.ua/school/630124/", 630124)</f>
        <v>630124</v>
      </c>
      <c r="B12791" s="3" t="s">
        <v>64484</v>
      </c>
      <c r="C12791" s="3" t="s">
        <v>31</v>
      </c>
      <c r="D12791" s="3" t="s">
        <v>32</v>
      </c>
      <c r="E12791" s="4" t="s">
        <v>22</v>
      </c>
      <c r="F12791" s="4" t="s">
        <v>64485</v>
      </c>
      <c r="G12791" s="4" t="s">
        <v>64457</v>
      </c>
      <c r="H12791" s="3" t="s">
        <v>63948</v>
      </c>
      <c r="I12791" s="3" t="s">
        <v>64458</v>
      </c>
      <c r="J12791" s="3" t="s">
        <v>64486</v>
      </c>
      <c r="K12791" s="3" t="s">
        <v>64487</v>
      </c>
      <c r="L12791" s="3" t="s">
        <v>64488</v>
      </c>
      <c r="M12791" s="4"/>
      <c r="N12791" s="3" t="s">
        <v>967</v>
      </c>
      <c r="O12791" s="3" t="s">
        <v>2740</v>
      </c>
      <c r="P12791" s="5">
        <v>21</v>
      </c>
      <c r="Q12791" s="5">
        <v>555</v>
      </c>
      <c r="R12791" s="5">
        <v>22</v>
      </c>
      <c r="S12791" s="5">
        <v>567</v>
      </c>
    </row>
    <row r="12792" spans="1:19" ht="28" x14ac:dyDescent="0.15">
      <c r="A12792" s="2">
        <f>HYPERLINK("https://open-school.uspishnemisto.com.ua/school/630125/", 630125)</f>
        <v>630125</v>
      </c>
      <c r="B12792" s="3" t="s">
        <v>64489</v>
      </c>
      <c r="C12792" s="3" t="s">
        <v>31</v>
      </c>
      <c r="D12792" s="3" t="s">
        <v>32</v>
      </c>
      <c r="E12792" s="4" t="s">
        <v>22</v>
      </c>
      <c r="F12792" s="4" t="s">
        <v>64490</v>
      </c>
      <c r="G12792" s="4" t="s">
        <v>64457</v>
      </c>
      <c r="H12792" s="3" t="s">
        <v>63948</v>
      </c>
      <c r="I12792" s="3" t="s">
        <v>64458</v>
      </c>
      <c r="J12792" s="3" t="s">
        <v>64491</v>
      </c>
      <c r="K12792" s="3" t="s">
        <v>64492</v>
      </c>
      <c r="L12792" s="3" t="s">
        <v>64493</v>
      </c>
      <c r="M12792" s="4"/>
      <c r="N12792" s="3" t="s">
        <v>37</v>
      </c>
      <c r="O12792" s="3" t="s">
        <v>38</v>
      </c>
      <c r="P12792" s="5">
        <v>21</v>
      </c>
      <c r="Q12792" s="5">
        <v>629</v>
      </c>
      <c r="R12792" s="5">
        <v>19</v>
      </c>
      <c r="S12792" s="5">
        <v>562</v>
      </c>
    </row>
    <row r="12793" spans="1:19" ht="28" x14ac:dyDescent="0.15">
      <c r="A12793" s="2">
        <f>HYPERLINK("https://open-school.uspishnemisto.com.ua/school/630126/", 630126)</f>
        <v>630126</v>
      </c>
      <c r="B12793" s="3" t="s">
        <v>64494</v>
      </c>
      <c r="C12793" s="3" t="s">
        <v>31</v>
      </c>
      <c r="D12793" s="3" t="s">
        <v>32</v>
      </c>
      <c r="E12793" s="4" t="s">
        <v>22</v>
      </c>
      <c r="F12793" s="4" t="s">
        <v>64495</v>
      </c>
      <c r="G12793" s="4" t="s">
        <v>64457</v>
      </c>
      <c r="H12793" s="3" t="s">
        <v>63948</v>
      </c>
      <c r="I12793" s="3" t="s">
        <v>64458</v>
      </c>
      <c r="J12793" s="3" t="s">
        <v>64496</v>
      </c>
      <c r="K12793" s="3" t="s">
        <v>64497</v>
      </c>
      <c r="L12793" s="3" t="s">
        <v>64498</v>
      </c>
      <c r="M12793" s="4"/>
      <c r="N12793" s="3" t="s">
        <v>128</v>
      </c>
      <c r="O12793" s="3" t="s">
        <v>70</v>
      </c>
      <c r="P12793" s="5">
        <v>23</v>
      </c>
      <c r="Q12793" s="5">
        <v>599</v>
      </c>
      <c r="R12793" s="5">
        <v>22</v>
      </c>
      <c r="S12793" s="5">
        <v>564</v>
      </c>
    </row>
    <row r="12794" spans="1:19" ht="28" x14ac:dyDescent="0.15">
      <c r="A12794" s="2">
        <f>HYPERLINK("https://open-school.uspishnemisto.com.ua/school/630127/", 630127)</f>
        <v>630127</v>
      </c>
      <c r="B12794" s="3" t="s">
        <v>64499</v>
      </c>
      <c r="C12794" s="3" t="s">
        <v>31</v>
      </c>
      <c r="D12794" s="3" t="s">
        <v>32</v>
      </c>
      <c r="E12794" s="4" t="s">
        <v>22</v>
      </c>
      <c r="F12794" s="4" t="s">
        <v>64500</v>
      </c>
      <c r="G12794" s="4" t="s">
        <v>64457</v>
      </c>
      <c r="H12794" s="3" t="s">
        <v>63948</v>
      </c>
      <c r="I12794" s="3" t="s">
        <v>64458</v>
      </c>
      <c r="J12794" s="3" t="s">
        <v>64501</v>
      </c>
      <c r="K12794" s="3" t="s">
        <v>64502</v>
      </c>
      <c r="L12794" s="3" t="s">
        <v>64503</v>
      </c>
      <c r="M12794" s="4"/>
      <c r="N12794" s="3" t="s">
        <v>37</v>
      </c>
      <c r="O12794" s="3" t="s">
        <v>38</v>
      </c>
      <c r="P12794" s="5">
        <v>13</v>
      </c>
      <c r="Q12794" s="5">
        <v>318</v>
      </c>
      <c r="R12794" s="5">
        <v>13</v>
      </c>
      <c r="S12794" s="5">
        <v>317</v>
      </c>
    </row>
    <row r="12795" spans="1:19" ht="42" x14ac:dyDescent="0.15">
      <c r="A12795" s="2">
        <f>HYPERLINK("https://open-school.uspishnemisto.com.ua/school/630128/", 630128)</f>
        <v>630128</v>
      </c>
      <c r="B12795" s="3" t="s">
        <v>64504</v>
      </c>
      <c r="C12795" s="3" t="s">
        <v>31</v>
      </c>
      <c r="D12795" s="3" t="s">
        <v>32</v>
      </c>
      <c r="E12795" s="4" t="s">
        <v>22</v>
      </c>
      <c r="F12795" s="4" t="s">
        <v>64463</v>
      </c>
      <c r="G12795" s="4" t="s">
        <v>64457</v>
      </c>
      <c r="H12795" s="3" t="s">
        <v>63948</v>
      </c>
      <c r="I12795" s="3" t="s">
        <v>64458</v>
      </c>
      <c r="J12795" s="3" t="s">
        <v>64505</v>
      </c>
      <c r="K12795" s="3" t="s">
        <v>64506</v>
      </c>
      <c r="L12795" s="3" t="s">
        <v>64507</v>
      </c>
      <c r="M12795" s="4"/>
      <c r="N12795" s="3" t="s">
        <v>967</v>
      </c>
      <c r="O12795" s="3" t="s">
        <v>52</v>
      </c>
      <c r="P12795" s="5">
        <v>24</v>
      </c>
      <c r="Q12795" s="5">
        <v>733</v>
      </c>
      <c r="R12795" s="5">
        <v>23</v>
      </c>
      <c r="S12795" s="5">
        <v>683</v>
      </c>
    </row>
    <row r="12796" spans="1:19" ht="28" x14ac:dyDescent="0.15">
      <c r="A12796" s="2">
        <f>HYPERLINK("https://open-school.uspishnemisto.com.ua/school/630129/", 630129)</f>
        <v>630129</v>
      </c>
      <c r="B12796" s="3" t="s">
        <v>64508</v>
      </c>
      <c r="C12796" s="3" t="s">
        <v>31</v>
      </c>
      <c r="D12796" s="3" t="s">
        <v>32</v>
      </c>
      <c r="E12796" s="4" t="s">
        <v>22</v>
      </c>
      <c r="F12796" s="4" t="s">
        <v>64472</v>
      </c>
      <c r="G12796" s="4" t="s">
        <v>64457</v>
      </c>
      <c r="H12796" s="3" t="s">
        <v>63948</v>
      </c>
      <c r="I12796" s="3" t="s">
        <v>64458</v>
      </c>
      <c r="J12796" s="3" t="s">
        <v>64509</v>
      </c>
      <c r="K12796" s="3" t="s">
        <v>64510</v>
      </c>
      <c r="L12796" s="3" t="s">
        <v>64511</v>
      </c>
      <c r="M12796" s="4"/>
      <c r="N12796" s="3" t="s">
        <v>37</v>
      </c>
      <c r="O12796" s="3" t="s">
        <v>38</v>
      </c>
      <c r="P12796" s="5">
        <v>30</v>
      </c>
      <c r="Q12796" s="5">
        <v>894</v>
      </c>
      <c r="R12796" s="5">
        <v>30</v>
      </c>
      <c r="S12796" s="5">
        <v>893</v>
      </c>
    </row>
    <row r="12797" spans="1:19" ht="28" x14ac:dyDescent="0.15">
      <c r="A12797" s="2">
        <f>HYPERLINK("https://open-school.uspishnemisto.com.ua/school/630130/", 630130)</f>
        <v>630130</v>
      </c>
      <c r="B12797" s="3" t="s">
        <v>64512</v>
      </c>
      <c r="C12797" s="3" t="s">
        <v>31</v>
      </c>
      <c r="D12797" s="3" t="s">
        <v>32</v>
      </c>
      <c r="E12797" s="4" t="s">
        <v>22</v>
      </c>
      <c r="F12797" s="4" t="s">
        <v>64472</v>
      </c>
      <c r="G12797" s="4" t="s">
        <v>64457</v>
      </c>
      <c r="H12797" s="3" t="s">
        <v>63948</v>
      </c>
      <c r="I12797" s="3" t="s">
        <v>64458</v>
      </c>
      <c r="J12797" s="3" t="s">
        <v>64513</v>
      </c>
      <c r="K12797" s="3" t="s">
        <v>64514</v>
      </c>
      <c r="L12797" s="3" t="s">
        <v>64515</v>
      </c>
      <c r="M12797" s="4"/>
      <c r="N12797" s="3" t="s">
        <v>128</v>
      </c>
      <c r="O12797" s="3" t="s">
        <v>38</v>
      </c>
      <c r="P12797" s="5">
        <v>18</v>
      </c>
      <c r="Q12797" s="5">
        <v>460</v>
      </c>
      <c r="R12797" s="5">
        <v>16</v>
      </c>
      <c r="S12797" s="5">
        <v>418</v>
      </c>
    </row>
    <row r="12798" spans="1:19" ht="28" x14ac:dyDescent="0.15">
      <c r="A12798" s="2">
        <f>HYPERLINK("https://open-school.uspishnemisto.com.ua/school/630131/", 630131)</f>
        <v>630131</v>
      </c>
      <c r="B12798" s="3" t="s">
        <v>64516</v>
      </c>
      <c r="C12798" s="3" t="s">
        <v>31</v>
      </c>
      <c r="D12798" s="3" t="s">
        <v>32</v>
      </c>
      <c r="E12798" s="4" t="s">
        <v>22</v>
      </c>
      <c r="F12798" s="4" t="s">
        <v>64517</v>
      </c>
      <c r="G12798" s="4" t="s">
        <v>64457</v>
      </c>
      <c r="H12798" s="3" t="s">
        <v>63948</v>
      </c>
      <c r="I12798" s="3" t="s">
        <v>64458</v>
      </c>
      <c r="J12798" s="3" t="s">
        <v>64518</v>
      </c>
      <c r="K12798" s="3" t="s">
        <v>64519</v>
      </c>
      <c r="L12798" s="3" t="s">
        <v>64520</v>
      </c>
      <c r="M12798" s="4"/>
      <c r="N12798" s="3" t="s">
        <v>967</v>
      </c>
      <c r="O12798" s="3" t="s">
        <v>46</v>
      </c>
      <c r="P12798" s="5">
        <v>36</v>
      </c>
      <c r="Q12798" s="5">
        <v>1074</v>
      </c>
      <c r="R12798" s="5">
        <v>35</v>
      </c>
      <c r="S12798" s="5">
        <v>1042</v>
      </c>
    </row>
    <row r="12799" spans="1:19" ht="28" x14ac:dyDescent="0.15">
      <c r="A12799" s="2">
        <f>HYPERLINK("https://open-school.uspishnemisto.com.ua/school/630132/", 630132)</f>
        <v>630132</v>
      </c>
      <c r="B12799" s="3" t="s">
        <v>64521</v>
      </c>
      <c r="C12799" s="3" t="s">
        <v>31</v>
      </c>
      <c r="D12799" s="3" t="s">
        <v>32</v>
      </c>
      <c r="E12799" s="4" t="s">
        <v>22</v>
      </c>
      <c r="F12799" s="4" t="s">
        <v>64522</v>
      </c>
      <c r="G12799" s="4" t="s">
        <v>64457</v>
      </c>
      <c r="H12799" s="3" t="s">
        <v>63948</v>
      </c>
      <c r="I12799" s="3" t="s">
        <v>64458</v>
      </c>
      <c r="J12799" s="3" t="s">
        <v>64523</v>
      </c>
      <c r="K12799" s="3" t="s">
        <v>64524</v>
      </c>
      <c r="L12799" s="3" t="s">
        <v>64525</v>
      </c>
      <c r="M12799" s="4"/>
      <c r="N12799" s="3" t="s">
        <v>37</v>
      </c>
      <c r="O12799" s="3" t="s">
        <v>38</v>
      </c>
      <c r="P12799" s="5">
        <v>35</v>
      </c>
      <c r="Q12799" s="5">
        <v>1090</v>
      </c>
      <c r="R12799" s="5">
        <v>34</v>
      </c>
      <c r="S12799" s="5">
        <v>1005</v>
      </c>
    </row>
    <row r="12800" spans="1:19" ht="28" x14ac:dyDescent="0.15">
      <c r="A12800" s="2">
        <f>HYPERLINK("https://open-school.uspishnemisto.com.ua/school/630133/", 630133)</f>
        <v>630133</v>
      </c>
      <c r="B12800" s="3" t="s">
        <v>64526</v>
      </c>
      <c r="C12800" s="3" t="s">
        <v>244</v>
      </c>
      <c r="D12800" s="3" t="s">
        <v>32</v>
      </c>
      <c r="E12800" s="4" t="s">
        <v>41</v>
      </c>
      <c r="F12800" s="4" t="s">
        <v>63990</v>
      </c>
      <c r="G12800" s="4" t="s">
        <v>64457</v>
      </c>
      <c r="H12800" s="3" t="s">
        <v>63948</v>
      </c>
      <c r="I12800" s="3" t="s">
        <v>64458</v>
      </c>
      <c r="J12800" s="3" t="s">
        <v>64527</v>
      </c>
      <c r="K12800" s="3" t="s">
        <v>64528</v>
      </c>
      <c r="L12800" s="3" t="s">
        <v>64529</v>
      </c>
      <c r="M12800" s="4"/>
      <c r="N12800" s="3" t="s">
        <v>967</v>
      </c>
      <c r="O12800" s="3" t="s">
        <v>46</v>
      </c>
      <c r="P12800" s="5">
        <v>24</v>
      </c>
      <c r="Q12800" s="5">
        <v>410</v>
      </c>
      <c r="R12800" s="5">
        <v>22</v>
      </c>
      <c r="S12800" s="5">
        <v>380</v>
      </c>
    </row>
    <row r="12801" spans="1:19" ht="28" x14ac:dyDescent="0.15">
      <c r="A12801" s="2">
        <f>HYPERLINK("https://open-school.uspishnemisto.com.ua/school/630134/", 630134)</f>
        <v>630134</v>
      </c>
      <c r="B12801" s="3" t="s">
        <v>64530</v>
      </c>
      <c r="C12801" s="3" t="s">
        <v>244</v>
      </c>
      <c r="D12801" s="3" t="s">
        <v>32</v>
      </c>
      <c r="E12801" s="4" t="s">
        <v>22</v>
      </c>
      <c r="F12801" s="4" t="s">
        <v>64517</v>
      </c>
      <c r="G12801" s="4" t="s">
        <v>64457</v>
      </c>
      <c r="H12801" s="3" t="s">
        <v>63948</v>
      </c>
      <c r="I12801" s="3" t="s">
        <v>64458</v>
      </c>
      <c r="J12801" s="3" t="s">
        <v>64531</v>
      </c>
      <c r="K12801" s="3" t="s">
        <v>64532</v>
      </c>
      <c r="L12801" s="3" t="s">
        <v>64533</v>
      </c>
      <c r="M12801" s="4"/>
      <c r="N12801" s="3" t="s">
        <v>128</v>
      </c>
      <c r="O12801" s="3" t="s">
        <v>70</v>
      </c>
      <c r="P12801" s="5">
        <v>24</v>
      </c>
      <c r="Q12801" s="5">
        <v>704</v>
      </c>
      <c r="R12801" s="5">
        <v>23</v>
      </c>
      <c r="S12801" s="5">
        <v>668</v>
      </c>
    </row>
    <row r="12802" spans="1:19" ht="28" x14ac:dyDescent="0.15">
      <c r="A12802" s="2">
        <f>HYPERLINK("https://open-school.uspishnemisto.com.ua/school/630135/", 630135)</f>
        <v>630135</v>
      </c>
      <c r="B12802" s="3" t="s">
        <v>64534</v>
      </c>
      <c r="C12802" s="3" t="s">
        <v>244</v>
      </c>
      <c r="D12802" s="3" t="s">
        <v>32</v>
      </c>
      <c r="E12802" s="4" t="s">
        <v>22</v>
      </c>
      <c r="F12802" s="4" t="s">
        <v>64463</v>
      </c>
      <c r="G12802" s="4" t="s">
        <v>64457</v>
      </c>
      <c r="H12802" s="3" t="s">
        <v>63948</v>
      </c>
      <c r="I12802" s="3" t="s">
        <v>64458</v>
      </c>
      <c r="J12802" s="3" t="s">
        <v>64535</v>
      </c>
      <c r="K12802" s="3" t="s">
        <v>64536</v>
      </c>
      <c r="L12802" s="3" t="s">
        <v>64537</v>
      </c>
      <c r="M12802" s="4"/>
      <c r="N12802" s="3" t="s">
        <v>128</v>
      </c>
      <c r="O12802" s="3" t="s">
        <v>70</v>
      </c>
      <c r="P12802" s="5">
        <v>19</v>
      </c>
      <c r="Q12802" s="5">
        <v>483</v>
      </c>
      <c r="R12802" s="5">
        <v>18</v>
      </c>
      <c r="S12802" s="5">
        <v>482</v>
      </c>
    </row>
    <row r="12803" spans="1:19" ht="28" x14ac:dyDescent="0.15">
      <c r="A12803" s="2">
        <f>HYPERLINK("https://open-school.uspishnemisto.com.ua/school/630136/", 630136)</f>
        <v>630136</v>
      </c>
      <c r="B12803" s="3" t="s">
        <v>64538</v>
      </c>
      <c r="C12803" s="3" t="s">
        <v>54</v>
      </c>
      <c r="D12803" s="3" t="s">
        <v>32</v>
      </c>
      <c r="E12803" s="4" t="s">
        <v>22</v>
      </c>
      <c r="F12803" s="4" t="s">
        <v>64539</v>
      </c>
      <c r="G12803" s="4" t="s">
        <v>64457</v>
      </c>
      <c r="H12803" s="3" t="s">
        <v>63948</v>
      </c>
      <c r="I12803" s="3" t="s">
        <v>64458</v>
      </c>
      <c r="J12803" s="3" t="s">
        <v>64540</v>
      </c>
      <c r="K12803" s="3" t="s">
        <v>64541</v>
      </c>
      <c r="L12803" s="3" t="s">
        <v>64542</v>
      </c>
      <c r="M12803" s="4"/>
      <c r="N12803" s="3" t="s">
        <v>37</v>
      </c>
      <c r="O12803" s="3" t="s">
        <v>721</v>
      </c>
      <c r="P12803" s="5">
        <v>21</v>
      </c>
      <c r="Q12803" s="5">
        <v>548</v>
      </c>
      <c r="R12803" s="5">
        <v>20</v>
      </c>
      <c r="S12803" s="5">
        <v>518</v>
      </c>
    </row>
    <row r="12804" spans="1:19" ht="28" x14ac:dyDescent="0.15">
      <c r="A12804" s="2">
        <f>HYPERLINK("https://open-school.uspishnemisto.com.ua/school/630137/", 630137)</f>
        <v>630137</v>
      </c>
      <c r="B12804" s="3" t="s">
        <v>64543</v>
      </c>
      <c r="C12804" s="3" t="s">
        <v>54</v>
      </c>
      <c r="D12804" s="3" t="s">
        <v>32</v>
      </c>
      <c r="E12804" s="4" t="s">
        <v>41</v>
      </c>
      <c r="F12804" s="4" t="s">
        <v>64463</v>
      </c>
      <c r="G12804" s="4" t="s">
        <v>64457</v>
      </c>
      <c r="H12804" s="3" t="s">
        <v>63948</v>
      </c>
      <c r="I12804" s="3" t="s">
        <v>64458</v>
      </c>
      <c r="J12804" s="3" t="s">
        <v>64544</v>
      </c>
      <c r="K12804" s="3" t="s">
        <v>64545</v>
      </c>
      <c r="L12804" s="3" t="s">
        <v>64546</v>
      </c>
      <c r="M12804" s="4"/>
      <c r="N12804" s="3" t="s">
        <v>967</v>
      </c>
      <c r="O12804" s="3" t="s">
        <v>8629</v>
      </c>
      <c r="P12804" s="5">
        <v>11</v>
      </c>
      <c r="Q12804" s="5">
        <v>118</v>
      </c>
      <c r="R12804" s="5">
        <v>11</v>
      </c>
      <c r="S12804" s="5">
        <v>119</v>
      </c>
    </row>
    <row r="12805" spans="1:19" ht="42" x14ac:dyDescent="0.15">
      <c r="A12805" s="2">
        <f>HYPERLINK("https://open-school.uspishnemisto.com.ua/school/630138/", 630138)</f>
        <v>630138</v>
      </c>
      <c r="B12805" s="3" t="s">
        <v>64547</v>
      </c>
      <c r="C12805" s="3" t="s">
        <v>188</v>
      </c>
      <c r="D12805" s="3" t="s">
        <v>32</v>
      </c>
      <c r="E12805" s="4" t="s">
        <v>22</v>
      </c>
      <c r="F12805" s="4" t="s">
        <v>64472</v>
      </c>
      <c r="G12805" s="4" t="s">
        <v>64457</v>
      </c>
      <c r="H12805" s="3" t="s">
        <v>63948</v>
      </c>
      <c r="I12805" s="3" t="s">
        <v>64458</v>
      </c>
      <c r="J12805" s="3" t="s">
        <v>64548</v>
      </c>
      <c r="K12805" s="3" t="s">
        <v>64549</v>
      </c>
      <c r="L12805" s="3" t="s">
        <v>64550</v>
      </c>
      <c r="M12805" s="4"/>
      <c r="N12805" s="3" t="s">
        <v>128</v>
      </c>
      <c r="O12805" s="3" t="s">
        <v>38</v>
      </c>
      <c r="P12805" s="5">
        <v>18</v>
      </c>
      <c r="Q12805" s="5">
        <v>537</v>
      </c>
      <c r="R12805" s="5">
        <v>17</v>
      </c>
      <c r="S12805" s="5">
        <v>508</v>
      </c>
    </row>
    <row r="12806" spans="1:19" ht="42" x14ac:dyDescent="0.15">
      <c r="A12806" s="2">
        <f>HYPERLINK("https://open-school.uspishnemisto.com.ua/school/630139/", 630139)</f>
        <v>630139</v>
      </c>
      <c r="B12806" s="3" t="s">
        <v>64551</v>
      </c>
      <c r="C12806" s="3" t="s">
        <v>20356</v>
      </c>
      <c r="D12806" s="3" t="s">
        <v>32</v>
      </c>
      <c r="E12806" s="4" t="s">
        <v>253</v>
      </c>
      <c r="F12806" s="4" t="s">
        <v>64552</v>
      </c>
      <c r="G12806" s="4" t="s">
        <v>64553</v>
      </c>
      <c r="H12806" s="3" t="s">
        <v>63948</v>
      </c>
      <c r="I12806" s="3" t="s">
        <v>64554</v>
      </c>
      <c r="J12806" s="3" t="s">
        <v>64555</v>
      </c>
      <c r="K12806" s="3" t="s">
        <v>64556</v>
      </c>
      <c r="L12806" s="3" t="s">
        <v>64557</v>
      </c>
      <c r="M12806" s="4" t="s">
        <v>64558</v>
      </c>
      <c r="N12806" s="3" t="s">
        <v>37</v>
      </c>
      <c r="O12806" s="3" t="s">
        <v>52</v>
      </c>
      <c r="P12806" s="5">
        <v>16</v>
      </c>
      <c r="Q12806" s="5">
        <v>485</v>
      </c>
      <c r="R12806" s="5">
        <v>16</v>
      </c>
      <c r="S12806" s="5">
        <v>482</v>
      </c>
    </row>
    <row r="12807" spans="1:19" ht="42" x14ac:dyDescent="0.15">
      <c r="A12807" s="2">
        <f>HYPERLINK("https://open-school.uspishnemisto.com.ua/school/630140/", 630140)</f>
        <v>630140</v>
      </c>
      <c r="B12807" s="3" t="s">
        <v>64559</v>
      </c>
      <c r="C12807" s="3" t="s">
        <v>31</v>
      </c>
      <c r="D12807" s="3" t="s">
        <v>32</v>
      </c>
      <c r="E12807" s="4" t="s">
        <v>22</v>
      </c>
      <c r="F12807" s="4" t="s">
        <v>64067</v>
      </c>
      <c r="G12807" s="4" t="s">
        <v>64553</v>
      </c>
      <c r="H12807" s="3" t="s">
        <v>63948</v>
      </c>
      <c r="I12807" s="3" t="s">
        <v>64554</v>
      </c>
      <c r="J12807" s="3" t="s">
        <v>64560</v>
      </c>
      <c r="K12807" s="3" t="s">
        <v>64561</v>
      </c>
      <c r="L12807" s="3" t="s">
        <v>64562</v>
      </c>
      <c r="M12807" s="4"/>
      <c r="N12807" s="3" t="s">
        <v>967</v>
      </c>
      <c r="O12807" s="3" t="s">
        <v>46</v>
      </c>
      <c r="P12807" s="5">
        <v>19</v>
      </c>
      <c r="Q12807" s="5">
        <v>476</v>
      </c>
      <c r="R12807" s="5">
        <v>18</v>
      </c>
      <c r="S12807" s="5">
        <v>447</v>
      </c>
    </row>
    <row r="12808" spans="1:19" ht="42" x14ac:dyDescent="0.15">
      <c r="A12808" s="2">
        <f>HYPERLINK("https://open-school.uspishnemisto.com.ua/school/630141/", 630141)</f>
        <v>630141</v>
      </c>
      <c r="B12808" s="3" t="s">
        <v>64563</v>
      </c>
      <c r="C12808" s="3" t="s">
        <v>40</v>
      </c>
      <c r="D12808" s="3" t="s">
        <v>32</v>
      </c>
      <c r="E12808" s="4" t="s">
        <v>22</v>
      </c>
      <c r="F12808" s="4" t="s">
        <v>64564</v>
      </c>
      <c r="G12808" s="4" t="s">
        <v>64553</v>
      </c>
      <c r="H12808" s="3" t="s">
        <v>63948</v>
      </c>
      <c r="I12808" s="3" t="s">
        <v>64554</v>
      </c>
      <c r="J12808" s="3" t="s">
        <v>64565</v>
      </c>
      <c r="K12808" s="3" t="s">
        <v>64566</v>
      </c>
      <c r="L12808" s="3" t="s">
        <v>64567</v>
      </c>
      <c r="M12808" s="4"/>
      <c r="N12808" s="3" t="s">
        <v>128</v>
      </c>
      <c r="O12808" s="3" t="s">
        <v>70</v>
      </c>
      <c r="P12808" s="5">
        <v>46</v>
      </c>
      <c r="Q12808" s="5">
        <v>1402</v>
      </c>
      <c r="R12808" s="5">
        <v>44</v>
      </c>
      <c r="S12808" s="5">
        <v>1366</v>
      </c>
    </row>
    <row r="12809" spans="1:19" ht="42" x14ac:dyDescent="0.15">
      <c r="A12809" s="2">
        <f>HYPERLINK("https://open-school.uspishnemisto.com.ua/school/630142/", 630142)</f>
        <v>630142</v>
      </c>
      <c r="B12809" s="3" t="s">
        <v>64568</v>
      </c>
      <c r="C12809" s="3" t="s">
        <v>31</v>
      </c>
      <c r="D12809" s="3" t="s">
        <v>60</v>
      </c>
      <c r="E12809" s="4" t="s">
        <v>22</v>
      </c>
      <c r="F12809" s="4" t="s">
        <v>64569</v>
      </c>
      <c r="G12809" s="4" t="s">
        <v>64553</v>
      </c>
      <c r="H12809" s="3" t="s">
        <v>63948</v>
      </c>
      <c r="I12809" s="3" t="s">
        <v>64554</v>
      </c>
      <c r="J12809" s="3" t="s">
        <v>64570</v>
      </c>
      <c r="K12809" s="3" t="s">
        <v>64571</v>
      </c>
      <c r="L12809" s="3" t="s">
        <v>64572</v>
      </c>
      <c r="M12809" s="4"/>
      <c r="N12809" s="3" t="s">
        <v>37</v>
      </c>
      <c r="O12809" s="3" t="s">
        <v>38</v>
      </c>
      <c r="P12809" s="5">
        <v>11</v>
      </c>
      <c r="Q12809" s="5">
        <v>277</v>
      </c>
      <c r="R12809" s="5">
        <v>11</v>
      </c>
      <c r="S12809" s="5">
        <v>279</v>
      </c>
    </row>
    <row r="12810" spans="1:19" ht="42" x14ac:dyDescent="0.15">
      <c r="A12810" s="2">
        <f>HYPERLINK("https://open-school.uspishnemisto.com.ua/school/630143/", 630143)</f>
        <v>630143</v>
      </c>
      <c r="B12810" s="3" t="s">
        <v>64573</v>
      </c>
      <c r="C12810" s="3" t="s">
        <v>31</v>
      </c>
      <c r="D12810" s="3" t="s">
        <v>32</v>
      </c>
      <c r="E12810" s="4" t="s">
        <v>22</v>
      </c>
      <c r="F12810" s="4" t="s">
        <v>64564</v>
      </c>
      <c r="G12810" s="4" t="s">
        <v>64553</v>
      </c>
      <c r="H12810" s="3" t="s">
        <v>63948</v>
      </c>
      <c r="I12810" s="3" t="s">
        <v>64554</v>
      </c>
      <c r="J12810" s="3" t="s">
        <v>64574</v>
      </c>
      <c r="K12810" s="3" t="s">
        <v>64575</v>
      </c>
      <c r="L12810" s="3" t="s">
        <v>64576</v>
      </c>
      <c r="M12810" s="4"/>
      <c r="N12810" s="3" t="s">
        <v>128</v>
      </c>
      <c r="O12810" s="3" t="s">
        <v>70</v>
      </c>
      <c r="P12810" s="5">
        <v>36</v>
      </c>
      <c r="Q12810" s="5">
        <v>1066</v>
      </c>
      <c r="R12810" s="5">
        <v>36</v>
      </c>
      <c r="S12810" s="5">
        <v>1073</v>
      </c>
    </row>
    <row r="12811" spans="1:19" ht="42" x14ac:dyDescent="0.15">
      <c r="A12811" s="2">
        <f>HYPERLINK("https://open-school.uspishnemisto.com.ua/school/630144/", 630144)</f>
        <v>630144</v>
      </c>
      <c r="B12811" s="3" t="s">
        <v>64577</v>
      </c>
      <c r="C12811" s="3" t="s">
        <v>31</v>
      </c>
      <c r="D12811" s="3" t="s">
        <v>21</v>
      </c>
      <c r="E12811" s="4" t="s">
        <v>22</v>
      </c>
      <c r="F12811" s="4" t="s">
        <v>64569</v>
      </c>
      <c r="G12811" s="4" t="s">
        <v>64553</v>
      </c>
      <c r="H12811" s="3" t="s">
        <v>63948</v>
      </c>
      <c r="I12811" s="3" t="s">
        <v>64554</v>
      </c>
      <c r="J12811" s="3" t="s">
        <v>64578</v>
      </c>
      <c r="K12811" s="3" t="s">
        <v>64579</v>
      </c>
      <c r="L12811" s="3" t="s">
        <v>64580</v>
      </c>
      <c r="M12811" s="4"/>
      <c r="N12811" s="3" t="s">
        <v>37</v>
      </c>
      <c r="O12811" s="3" t="s">
        <v>38</v>
      </c>
      <c r="P12811" s="5">
        <v>12</v>
      </c>
      <c r="Q12811" s="5">
        <v>304</v>
      </c>
      <c r="R12811" s="5">
        <v>11</v>
      </c>
      <c r="S12811" s="5">
        <v>293</v>
      </c>
    </row>
    <row r="12812" spans="1:19" ht="42" x14ac:dyDescent="0.15">
      <c r="A12812" s="2">
        <f>HYPERLINK("https://open-school.uspishnemisto.com.ua/school/630145/", 630145)</f>
        <v>630145</v>
      </c>
      <c r="B12812" s="3" t="s">
        <v>64581</v>
      </c>
      <c r="C12812" s="3" t="s">
        <v>244</v>
      </c>
      <c r="D12812" s="3" t="s">
        <v>32</v>
      </c>
      <c r="E12812" s="4" t="s">
        <v>22</v>
      </c>
      <c r="F12812" s="4" t="s">
        <v>64062</v>
      </c>
      <c r="G12812" s="4" t="s">
        <v>64553</v>
      </c>
      <c r="H12812" s="3" t="s">
        <v>63948</v>
      </c>
      <c r="I12812" s="3" t="s">
        <v>64554</v>
      </c>
      <c r="J12812" s="3" t="s">
        <v>64582</v>
      </c>
      <c r="K12812" s="3" t="s">
        <v>64583</v>
      </c>
      <c r="L12812" s="3" t="s">
        <v>64584</v>
      </c>
      <c r="M12812" s="4"/>
      <c r="N12812" s="3" t="s">
        <v>37</v>
      </c>
      <c r="O12812" s="3" t="s">
        <v>46</v>
      </c>
      <c r="P12812" s="5">
        <v>27</v>
      </c>
      <c r="Q12812" s="5">
        <v>746</v>
      </c>
      <c r="R12812" s="5">
        <v>27</v>
      </c>
      <c r="S12812" s="5">
        <v>734</v>
      </c>
    </row>
    <row r="12813" spans="1:19" ht="42" x14ac:dyDescent="0.15">
      <c r="A12813" s="2">
        <f>HYPERLINK("https://open-school.uspishnemisto.com.ua/school/630146/", 630146)</f>
        <v>630146</v>
      </c>
      <c r="B12813" s="3" t="s">
        <v>64585</v>
      </c>
      <c r="C12813" s="3" t="s">
        <v>244</v>
      </c>
      <c r="D12813" s="3" t="s">
        <v>32</v>
      </c>
      <c r="E12813" s="4" t="s">
        <v>22</v>
      </c>
      <c r="F12813" s="4" t="s">
        <v>64552</v>
      </c>
      <c r="G12813" s="4" t="s">
        <v>64553</v>
      </c>
      <c r="H12813" s="3" t="s">
        <v>63948</v>
      </c>
      <c r="I12813" s="3" t="s">
        <v>64554</v>
      </c>
      <c r="J12813" s="3" t="s">
        <v>64586</v>
      </c>
      <c r="K12813" s="3" t="s">
        <v>64587</v>
      </c>
      <c r="L12813" s="3" t="s">
        <v>64588</v>
      </c>
      <c r="M12813" s="4"/>
      <c r="N12813" s="3" t="s">
        <v>37</v>
      </c>
      <c r="O12813" s="3" t="s">
        <v>2740</v>
      </c>
      <c r="P12813" s="5">
        <v>16</v>
      </c>
      <c r="Q12813" s="5">
        <v>426</v>
      </c>
      <c r="R12813" s="5">
        <v>15</v>
      </c>
      <c r="S12813" s="5">
        <v>381</v>
      </c>
    </row>
    <row r="12814" spans="1:19" ht="42" x14ac:dyDescent="0.15">
      <c r="A12814" s="2">
        <f>HYPERLINK("https://open-school.uspishnemisto.com.ua/school/630147/", 630147)</f>
        <v>630147</v>
      </c>
      <c r="B12814" s="3" t="s">
        <v>64589</v>
      </c>
      <c r="C12814" s="3" t="s">
        <v>244</v>
      </c>
      <c r="D12814" s="3" t="s">
        <v>32</v>
      </c>
      <c r="E12814" s="4" t="s">
        <v>22</v>
      </c>
      <c r="F12814" s="4" t="s">
        <v>64564</v>
      </c>
      <c r="G12814" s="4" t="s">
        <v>64553</v>
      </c>
      <c r="H12814" s="3" t="s">
        <v>63948</v>
      </c>
      <c r="I12814" s="3" t="s">
        <v>64554</v>
      </c>
      <c r="J12814" s="3" t="s">
        <v>64590</v>
      </c>
      <c r="K12814" s="3" t="s">
        <v>64591</v>
      </c>
      <c r="L12814" s="3" t="s">
        <v>64592</v>
      </c>
      <c r="M12814" s="4"/>
      <c r="N12814" s="3" t="s">
        <v>37</v>
      </c>
      <c r="O12814" s="3" t="s">
        <v>70</v>
      </c>
      <c r="P12814" s="5">
        <v>22</v>
      </c>
      <c r="Q12814" s="5">
        <v>551</v>
      </c>
      <c r="R12814" s="5">
        <v>21</v>
      </c>
      <c r="S12814" s="5">
        <v>515</v>
      </c>
    </row>
    <row r="12815" spans="1:19" ht="42" x14ac:dyDescent="0.15">
      <c r="A12815" s="2">
        <f>HYPERLINK("https://open-school.uspishnemisto.com.ua/school/630148/", 630148)</f>
        <v>630148</v>
      </c>
      <c r="B12815" s="3" t="s">
        <v>64593</v>
      </c>
      <c r="C12815" s="3" t="s">
        <v>20</v>
      </c>
      <c r="D12815" s="3" t="s">
        <v>21</v>
      </c>
      <c r="E12815" s="4" t="s">
        <v>22</v>
      </c>
      <c r="F12815" s="4" t="s">
        <v>64067</v>
      </c>
      <c r="G12815" s="4" t="s">
        <v>64553</v>
      </c>
      <c r="H12815" s="3" t="s">
        <v>63948</v>
      </c>
      <c r="I12815" s="3" t="s">
        <v>64554</v>
      </c>
      <c r="J12815" s="3" t="s">
        <v>64594</v>
      </c>
      <c r="K12815" s="3" t="s">
        <v>64595</v>
      </c>
      <c r="L12815" s="3" t="s">
        <v>34382</v>
      </c>
      <c r="M12815" s="4"/>
      <c r="N12815" s="3"/>
      <c r="O12815" s="3"/>
      <c r="P12815" s="5">
        <v>0</v>
      </c>
      <c r="Q12815" s="5">
        <v>0</v>
      </c>
      <c r="R12815" s="5"/>
      <c r="S12815" s="5"/>
    </row>
    <row r="12816" spans="1:19" ht="42" x14ac:dyDescent="0.15">
      <c r="A12816" s="2">
        <f>HYPERLINK("https://open-school.uspishnemisto.com.ua/school/630149/", 630149)</f>
        <v>630149</v>
      </c>
      <c r="B12816" s="3" t="s">
        <v>64596</v>
      </c>
      <c r="C12816" s="3" t="s">
        <v>54</v>
      </c>
      <c r="D12816" s="3" t="s">
        <v>60</v>
      </c>
      <c r="E12816" s="4" t="s">
        <v>41</v>
      </c>
      <c r="F12816" s="4" t="s">
        <v>64564</v>
      </c>
      <c r="G12816" s="4" t="s">
        <v>64553</v>
      </c>
      <c r="H12816" s="3" t="s">
        <v>63948</v>
      </c>
      <c r="I12816" s="3" t="s">
        <v>64554</v>
      </c>
      <c r="J12816" s="3" t="s">
        <v>64590</v>
      </c>
      <c r="K12816" s="3" t="s">
        <v>64597</v>
      </c>
      <c r="L12816" s="3"/>
      <c r="M12816" s="4"/>
      <c r="N12816" s="3" t="s">
        <v>967</v>
      </c>
      <c r="O12816" s="3" t="s">
        <v>52</v>
      </c>
      <c r="P12816" s="5">
        <v>6</v>
      </c>
      <c r="Q12816" s="5">
        <v>60</v>
      </c>
      <c r="R12816" s="5">
        <v>5</v>
      </c>
      <c r="S12816" s="5">
        <v>63</v>
      </c>
    </row>
    <row r="12817" spans="1:19" ht="56" x14ac:dyDescent="0.15">
      <c r="A12817" s="2">
        <f>HYPERLINK("https://open-school.uspishnemisto.com.ua/school/630150/", 630150)</f>
        <v>630150</v>
      </c>
      <c r="B12817" s="3" t="s">
        <v>64598</v>
      </c>
      <c r="C12817" s="3" t="s">
        <v>174</v>
      </c>
      <c r="D12817" s="3" t="s">
        <v>175</v>
      </c>
      <c r="E12817" s="4" t="s">
        <v>41</v>
      </c>
      <c r="F12817" s="4" t="s">
        <v>64125</v>
      </c>
      <c r="G12817" s="4" t="s">
        <v>64553</v>
      </c>
      <c r="H12817" s="3" t="s">
        <v>63948</v>
      </c>
      <c r="I12817" s="3" t="s">
        <v>64554</v>
      </c>
      <c r="J12817" s="3" t="s">
        <v>64599</v>
      </c>
      <c r="K12817" s="3" t="s">
        <v>64600</v>
      </c>
      <c r="L12817" s="3" t="s">
        <v>64601</v>
      </c>
      <c r="M12817" s="4"/>
      <c r="N12817" s="3" t="s">
        <v>967</v>
      </c>
      <c r="O12817" s="3"/>
      <c r="P12817" s="5">
        <v>7</v>
      </c>
      <c r="Q12817" s="5">
        <v>19</v>
      </c>
      <c r="R12817" s="5">
        <v>7</v>
      </c>
      <c r="S12817" s="5">
        <v>22</v>
      </c>
    </row>
    <row r="12818" spans="1:19" ht="42" x14ac:dyDescent="0.15">
      <c r="A12818" s="2">
        <f>HYPERLINK("https://open-school.uspishnemisto.com.ua/school/630151/", 630151)</f>
        <v>630151</v>
      </c>
      <c r="B12818" s="3" t="s">
        <v>64602</v>
      </c>
      <c r="C12818" s="3" t="s">
        <v>31</v>
      </c>
      <c r="D12818" s="3" t="s">
        <v>32</v>
      </c>
      <c r="E12818" s="4" t="s">
        <v>22</v>
      </c>
      <c r="F12818" s="4" t="s">
        <v>64603</v>
      </c>
      <c r="G12818" s="4" t="s">
        <v>64604</v>
      </c>
      <c r="H12818" s="3" t="s">
        <v>63948</v>
      </c>
      <c r="I12818" s="3" t="s">
        <v>64605</v>
      </c>
      <c r="J12818" s="3" t="s">
        <v>64606</v>
      </c>
      <c r="K12818" s="3" t="s">
        <v>64607</v>
      </c>
      <c r="L12818" s="3" t="s">
        <v>64608</v>
      </c>
      <c r="M12818" s="4"/>
      <c r="N12818" s="3" t="s">
        <v>967</v>
      </c>
      <c r="O12818" s="3" t="s">
        <v>46</v>
      </c>
      <c r="P12818" s="5">
        <v>14</v>
      </c>
      <c r="Q12818" s="5">
        <v>368</v>
      </c>
      <c r="R12818" s="5">
        <v>14</v>
      </c>
      <c r="S12818" s="5">
        <v>386</v>
      </c>
    </row>
    <row r="12819" spans="1:19" ht="28" x14ac:dyDescent="0.15">
      <c r="A12819" s="2">
        <f>HYPERLINK("https://open-school.uspishnemisto.com.ua/school/630152/", 630152)</f>
        <v>630152</v>
      </c>
      <c r="B12819" s="3" t="s">
        <v>64609</v>
      </c>
      <c r="C12819" s="3" t="s">
        <v>244</v>
      </c>
      <c r="D12819" s="3" t="s">
        <v>60</v>
      </c>
      <c r="E12819" s="4" t="s">
        <v>22</v>
      </c>
      <c r="F12819" s="4" t="s">
        <v>64610</v>
      </c>
      <c r="G12819" s="4" t="s">
        <v>64604</v>
      </c>
      <c r="H12819" s="3" t="s">
        <v>63948</v>
      </c>
      <c r="I12819" s="3" t="s">
        <v>64605</v>
      </c>
      <c r="J12819" s="3" t="s">
        <v>64611</v>
      </c>
      <c r="K12819" s="3" t="s">
        <v>64612</v>
      </c>
      <c r="L12819" s="3" t="s">
        <v>64613</v>
      </c>
      <c r="M12819" s="4"/>
      <c r="N12819" s="3" t="s">
        <v>967</v>
      </c>
      <c r="O12819" s="3" t="s">
        <v>52</v>
      </c>
      <c r="P12819" s="5">
        <v>16</v>
      </c>
      <c r="Q12819" s="5">
        <v>476</v>
      </c>
      <c r="R12819" s="5">
        <v>16</v>
      </c>
      <c r="S12819" s="5">
        <v>480</v>
      </c>
    </row>
    <row r="12820" spans="1:19" ht="42" x14ac:dyDescent="0.15">
      <c r="A12820" s="2">
        <f>HYPERLINK("https://open-school.uspishnemisto.com.ua/school/630153/", 630153)</f>
        <v>630153</v>
      </c>
      <c r="B12820" s="3" t="s">
        <v>64614</v>
      </c>
      <c r="C12820" s="3" t="s">
        <v>4989</v>
      </c>
      <c r="D12820" s="3" t="s">
        <v>21</v>
      </c>
      <c r="E12820" s="4" t="s">
        <v>22</v>
      </c>
      <c r="F12820" s="4" t="s">
        <v>64615</v>
      </c>
      <c r="G12820" s="4" t="s">
        <v>64604</v>
      </c>
      <c r="H12820" s="3" t="s">
        <v>63948</v>
      </c>
      <c r="I12820" s="3" t="s">
        <v>64605</v>
      </c>
      <c r="J12820" s="3" t="s">
        <v>64616</v>
      </c>
      <c r="K12820" s="3" t="s">
        <v>64617</v>
      </c>
      <c r="L12820" s="3" t="s">
        <v>64618</v>
      </c>
      <c r="M12820" s="4" t="s">
        <v>64619</v>
      </c>
      <c r="N12820" s="3" t="s">
        <v>37</v>
      </c>
      <c r="O12820" s="3" t="s">
        <v>52</v>
      </c>
      <c r="P12820" s="5">
        <v>7</v>
      </c>
      <c r="Q12820" s="5">
        <v>216</v>
      </c>
      <c r="R12820" s="5">
        <v>7</v>
      </c>
      <c r="S12820" s="5">
        <v>215</v>
      </c>
    </row>
    <row r="12821" spans="1:19" ht="42" x14ac:dyDescent="0.15">
      <c r="A12821" s="2">
        <f>HYPERLINK("https://open-school.uspishnemisto.com.ua/school/630154/", 630154)</f>
        <v>630154</v>
      </c>
      <c r="B12821" s="3" t="s">
        <v>64620</v>
      </c>
      <c r="C12821" s="3" t="s">
        <v>181</v>
      </c>
      <c r="D12821" s="3" t="s">
        <v>175</v>
      </c>
      <c r="E12821" s="4" t="s">
        <v>22</v>
      </c>
      <c r="F12821" s="4" t="s">
        <v>64101</v>
      </c>
      <c r="G12821" s="4" t="s">
        <v>64604</v>
      </c>
      <c r="H12821" s="3" t="s">
        <v>63948</v>
      </c>
      <c r="I12821" s="3" t="s">
        <v>64605</v>
      </c>
      <c r="J12821" s="3" t="s">
        <v>64621</v>
      </c>
      <c r="K12821" s="3" t="s">
        <v>64622</v>
      </c>
      <c r="L12821" s="3" t="s">
        <v>64623</v>
      </c>
      <c r="M12821" s="4" t="s">
        <v>64624</v>
      </c>
      <c r="N12821" s="3" t="s">
        <v>37</v>
      </c>
      <c r="O12821" s="3"/>
      <c r="P12821" s="5">
        <v>12</v>
      </c>
      <c r="Q12821" s="5">
        <v>167</v>
      </c>
      <c r="R12821" s="5">
        <v>12</v>
      </c>
      <c r="S12821" s="5">
        <v>167</v>
      </c>
    </row>
    <row r="12822" spans="1:19" ht="56" x14ac:dyDescent="0.15">
      <c r="A12822" s="2">
        <f>HYPERLINK("https://open-school.uspishnemisto.com.ua/school/630155/", 630155)</f>
        <v>630155</v>
      </c>
      <c r="B12822" s="3" t="s">
        <v>64625</v>
      </c>
      <c r="C12822" s="3" t="s">
        <v>54</v>
      </c>
      <c r="D12822" s="3" t="s">
        <v>32</v>
      </c>
      <c r="E12822" s="4" t="s">
        <v>22</v>
      </c>
      <c r="F12822" s="4" t="s">
        <v>64042</v>
      </c>
      <c r="G12822" s="4" t="s">
        <v>64604</v>
      </c>
      <c r="H12822" s="3" t="s">
        <v>63948</v>
      </c>
      <c r="I12822" s="3" t="s">
        <v>64605</v>
      </c>
      <c r="J12822" s="3" t="s">
        <v>64626</v>
      </c>
      <c r="K12822" s="3" t="s">
        <v>64627</v>
      </c>
      <c r="L12822" s="3" t="s">
        <v>64628</v>
      </c>
      <c r="M12822" s="4"/>
      <c r="N12822" s="3" t="s">
        <v>967</v>
      </c>
      <c r="O12822" s="3" t="s">
        <v>52</v>
      </c>
      <c r="P12822" s="5">
        <v>28</v>
      </c>
      <c r="Q12822" s="5">
        <v>811</v>
      </c>
      <c r="R12822" s="5">
        <v>27</v>
      </c>
      <c r="S12822" s="5">
        <v>773</v>
      </c>
    </row>
    <row r="12823" spans="1:19" ht="28" x14ac:dyDescent="0.15">
      <c r="A12823" s="2">
        <f>HYPERLINK("https://open-school.uspishnemisto.com.ua/school/630156/", 630156)</f>
        <v>630156</v>
      </c>
      <c r="B12823" s="3" t="s">
        <v>64629</v>
      </c>
      <c r="C12823" s="3" t="s">
        <v>40</v>
      </c>
      <c r="D12823" s="3" t="s">
        <v>32</v>
      </c>
      <c r="E12823" s="4" t="s">
        <v>22</v>
      </c>
      <c r="F12823" s="4" t="s">
        <v>63979</v>
      </c>
      <c r="G12823" s="4" t="s">
        <v>64604</v>
      </c>
      <c r="H12823" s="3" t="s">
        <v>63948</v>
      </c>
      <c r="I12823" s="3" t="s">
        <v>64605</v>
      </c>
      <c r="J12823" s="3" t="s">
        <v>64630</v>
      </c>
      <c r="K12823" s="3" t="s">
        <v>64631</v>
      </c>
      <c r="L12823" s="3" t="s">
        <v>64632</v>
      </c>
      <c r="M12823" s="4"/>
      <c r="N12823" s="3" t="s">
        <v>967</v>
      </c>
      <c r="O12823" s="3" t="s">
        <v>46</v>
      </c>
      <c r="P12823" s="5">
        <v>29</v>
      </c>
      <c r="Q12823" s="5">
        <v>857</v>
      </c>
      <c r="R12823" s="5">
        <v>28</v>
      </c>
      <c r="S12823" s="5">
        <v>828</v>
      </c>
    </row>
    <row r="12824" spans="1:19" ht="28" x14ac:dyDescent="0.15">
      <c r="A12824" s="2">
        <f>HYPERLINK("https://open-school.uspishnemisto.com.ua/school/630157/", 630157)</f>
        <v>630157</v>
      </c>
      <c r="B12824" s="3" t="s">
        <v>64633</v>
      </c>
      <c r="C12824" s="3" t="s">
        <v>31</v>
      </c>
      <c r="D12824" s="3" t="s">
        <v>32</v>
      </c>
      <c r="E12824" s="4" t="s">
        <v>22</v>
      </c>
      <c r="F12824" s="4" t="s">
        <v>64634</v>
      </c>
      <c r="G12824" s="4" t="s">
        <v>64604</v>
      </c>
      <c r="H12824" s="3" t="s">
        <v>63948</v>
      </c>
      <c r="I12824" s="3" t="s">
        <v>64605</v>
      </c>
      <c r="J12824" s="3" t="s">
        <v>64635</v>
      </c>
      <c r="K12824" s="3" t="s">
        <v>64636</v>
      </c>
      <c r="L12824" s="3" t="s">
        <v>64637</v>
      </c>
      <c r="M12824" s="4"/>
      <c r="N12824" s="3" t="s">
        <v>37</v>
      </c>
      <c r="O12824" s="3" t="s">
        <v>721</v>
      </c>
      <c r="P12824" s="5">
        <v>21</v>
      </c>
      <c r="Q12824" s="5">
        <v>594</v>
      </c>
      <c r="R12824" s="5">
        <v>20</v>
      </c>
      <c r="S12824" s="5">
        <v>561</v>
      </c>
    </row>
    <row r="12825" spans="1:19" ht="28" x14ac:dyDescent="0.15">
      <c r="A12825" s="2">
        <f>HYPERLINK("https://open-school.uspishnemisto.com.ua/school/630158/", 630158)</f>
        <v>630158</v>
      </c>
      <c r="B12825" s="3" t="s">
        <v>64638</v>
      </c>
      <c r="C12825" s="3" t="s">
        <v>31</v>
      </c>
      <c r="D12825" s="3" t="s">
        <v>32</v>
      </c>
      <c r="E12825" s="4" t="s">
        <v>22</v>
      </c>
      <c r="F12825" s="4" t="s">
        <v>64615</v>
      </c>
      <c r="G12825" s="4" t="s">
        <v>64604</v>
      </c>
      <c r="H12825" s="3" t="s">
        <v>63948</v>
      </c>
      <c r="I12825" s="3" t="s">
        <v>64605</v>
      </c>
      <c r="J12825" s="3" t="s">
        <v>64639</v>
      </c>
      <c r="K12825" s="3" t="s">
        <v>64640</v>
      </c>
      <c r="L12825" s="3" t="s">
        <v>64641</v>
      </c>
      <c r="M12825" s="4"/>
      <c r="N12825" s="3" t="s">
        <v>967</v>
      </c>
      <c r="O12825" s="3" t="s">
        <v>139</v>
      </c>
      <c r="P12825" s="5">
        <v>13</v>
      </c>
      <c r="Q12825" s="5">
        <v>352</v>
      </c>
      <c r="R12825" s="5">
        <v>12</v>
      </c>
      <c r="S12825" s="5">
        <v>330</v>
      </c>
    </row>
    <row r="12826" spans="1:19" ht="28" x14ac:dyDescent="0.15">
      <c r="A12826" s="2">
        <f>HYPERLINK("https://open-school.uspishnemisto.com.ua/school/630159/", 630159)</f>
        <v>630159</v>
      </c>
      <c r="B12826" s="3" t="s">
        <v>64642</v>
      </c>
      <c r="C12826" s="3" t="s">
        <v>31</v>
      </c>
      <c r="D12826" s="3" t="s">
        <v>32</v>
      </c>
      <c r="E12826" s="4" t="s">
        <v>22</v>
      </c>
      <c r="F12826" s="4" t="s">
        <v>64078</v>
      </c>
      <c r="G12826" s="4" t="s">
        <v>64604</v>
      </c>
      <c r="H12826" s="3" t="s">
        <v>63948</v>
      </c>
      <c r="I12826" s="3" t="s">
        <v>64605</v>
      </c>
      <c r="J12826" s="3" t="s">
        <v>64643</v>
      </c>
      <c r="K12826" s="3" t="s">
        <v>64644</v>
      </c>
      <c r="L12826" s="3" t="s">
        <v>64645</v>
      </c>
      <c r="M12826" s="4"/>
      <c r="N12826" s="3" t="s">
        <v>967</v>
      </c>
      <c r="O12826" s="3" t="s">
        <v>2740</v>
      </c>
      <c r="P12826" s="5">
        <v>42</v>
      </c>
      <c r="Q12826" s="5">
        <v>1226</v>
      </c>
      <c r="R12826" s="5">
        <v>42</v>
      </c>
      <c r="S12826" s="5">
        <v>1231</v>
      </c>
    </row>
    <row r="12827" spans="1:19" ht="28" x14ac:dyDescent="0.15">
      <c r="A12827" s="2">
        <f>HYPERLINK("https://open-school.uspishnemisto.com.ua/school/630160/", 630160)</f>
        <v>630160</v>
      </c>
      <c r="B12827" s="3" t="s">
        <v>64646</v>
      </c>
      <c r="C12827" s="3" t="s">
        <v>31</v>
      </c>
      <c r="D12827" s="3" t="s">
        <v>32</v>
      </c>
      <c r="E12827" s="4" t="s">
        <v>22</v>
      </c>
      <c r="F12827" s="4" t="s">
        <v>64634</v>
      </c>
      <c r="G12827" s="4" t="s">
        <v>64604</v>
      </c>
      <c r="H12827" s="3" t="s">
        <v>63948</v>
      </c>
      <c r="I12827" s="3" t="s">
        <v>64605</v>
      </c>
      <c r="J12827" s="3" t="s">
        <v>64647</v>
      </c>
      <c r="K12827" s="3" t="s">
        <v>64648</v>
      </c>
      <c r="L12827" s="3" t="s">
        <v>64649</v>
      </c>
      <c r="M12827" s="4"/>
      <c r="N12827" s="3" t="s">
        <v>967</v>
      </c>
      <c r="O12827" s="3" t="s">
        <v>46</v>
      </c>
      <c r="P12827" s="5">
        <v>20</v>
      </c>
      <c r="Q12827" s="5">
        <v>537</v>
      </c>
      <c r="R12827" s="5">
        <v>20</v>
      </c>
      <c r="S12827" s="5">
        <v>547</v>
      </c>
    </row>
    <row r="12828" spans="1:19" ht="28" x14ac:dyDescent="0.15">
      <c r="A12828" s="2">
        <f>HYPERLINK("https://open-school.uspishnemisto.com.ua/school/630161/", 630161)</f>
        <v>630161</v>
      </c>
      <c r="B12828" s="3" t="s">
        <v>64650</v>
      </c>
      <c r="C12828" s="3" t="s">
        <v>31</v>
      </c>
      <c r="D12828" s="3" t="s">
        <v>32</v>
      </c>
      <c r="E12828" s="4" t="s">
        <v>22</v>
      </c>
      <c r="F12828" s="4" t="s">
        <v>64078</v>
      </c>
      <c r="G12828" s="4" t="s">
        <v>64604</v>
      </c>
      <c r="H12828" s="3" t="s">
        <v>63948</v>
      </c>
      <c r="I12828" s="3" t="s">
        <v>64605</v>
      </c>
      <c r="J12828" s="3" t="s">
        <v>64651</v>
      </c>
      <c r="K12828" s="3" t="s">
        <v>64652</v>
      </c>
      <c r="L12828" s="3" t="s">
        <v>64653</v>
      </c>
      <c r="M12828" s="4"/>
      <c r="N12828" s="3" t="s">
        <v>37</v>
      </c>
      <c r="O12828" s="3" t="s">
        <v>70</v>
      </c>
      <c r="P12828" s="5">
        <v>32</v>
      </c>
      <c r="Q12828" s="5">
        <v>931</v>
      </c>
      <c r="R12828" s="5">
        <v>31</v>
      </c>
      <c r="S12828" s="5">
        <v>891</v>
      </c>
    </row>
    <row r="12829" spans="1:19" ht="28" x14ac:dyDescent="0.15">
      <c r="A12829" s="2">
        <f>HYPERLINK("https://open-school.uspishnemisto.com.ua/school/630162/", 630162)</f>
        <v>630162</v>
      </c>
      <c r="B12829" s="3" t="s">
        <v>64654</v>
      </c>
      <c r="C12829" s="3" t="s">
        <v>31</v>
      </c>
      <c r="D12829" s="3" t="s">
        <v>32</v>
      </c>
      <c r="E12829" s="4" t="s">
        <v>22</v>
      </c>
      <c r="F12829" s="4" t="s">
        <v>64655</v>
      </c>
      <c r="G12829" s="4" t="s">
        <v>64604</v>
      </c>
      <c r="H12829" s="3" t="s">
        <v>63948</v>
      </c>
      <c r="I12829" s="3" t="s">
        <v>64605</v>
      </c>
      <c r="J12829" s="3" t="s">
        <v>64656</v>
      </c>
      <c r="K12829" s="3" t="s">
        <v>64657</v>
      </c>
      <c r="L12829" s="3" t="s">
        <v>64658</v>
      </c>
      <c r="M12829" s="4"/>
      <c r="N12829" s="3" t="s">
        <v>37</v>
      </c>
      <c r="O12829" s="3" t="s">
        <v>721</v>
      </c>
      <c r="P12829" s="5">
        <v>27</v>
      </c>
      <c r="Q12829" s="5">
        <v>789</v>
      </c>
      <c r="R12829" s="5">
        <v>26</v>
      </c>
      <c r="S12829" s="5">
        <v>741</v>
      </c>
    </row>
    <row r="12830" spans="1:19" ht="28" x14ac:dyDescent="0.15">
      <c r="A12830" s="2">
        <f>HYPERLINK("https://open-school.uspishnemisto.com.ua/school/630163/", 630163)</f>
        <v>630163</v>
      </c>
      <c r="B12830" s="3" t="s">
        <v>64659</v>
      </c>
      <c r="C12830" s="3" t="s">
        <v>31</v>
      </c>
      <c r="D12830" s="3" t="s">
        <v>32</v>
      </c>
      <c r="E12830" s="4" t="s">
        <v>22</v>
      </c>
      <c r="F12830" s="4" t="s">
        <v>64660</v>
      </c>
      <c r="G12830" s="4" t="s">
        <v>64604</v>
      </c>
      <c r="H12830" s="3" t="s">
        <v>63948</v>
      </c>
      <c r="I12830" s="3" t="s">
        <v>64605</v>
      </c>
      <c r="J12830" s="3" t="s">
        <v>64661</v>
      </c>
      <c r="K12830" s="3" t="s">
        <v>64662</v>
      </c>
      <c r="L12830" s="3" t="s">
        <v>64663</v>
      </c>
      <c r="M12830" s="4"/>
      <c r="N12830" s="3" t="s">
        <v>37</v>
      </c>
      <c r="O12830" s="3" t="s">
        <v>70</v>
      </c>
      <c r="P12830" s="5">
        <v>36</v>
      </c>
      <c r="Q12830" s="5">
        <v>1043</v>
      </c>
      <c r="R12830" s="5">
        <v>34</v>
      </c>
      <c r="S12830" s="5">
        <v>992</v>
      </c>
    </row>
    <row r="12831" spans="1:19" ht="28" x14ac:dyDescent="0.15">
      <c r="A12831" s="2">
        <f>HYPERLINK("https://open-school.uspishnemisto.com.ua/school/630164/", 630164)</f>
        <v>630164</v>
      </c>
      <c r="B12831" s="3" t="s">
        <v>64664</v>
      </c>
      <c r="C12831" s="3" t="s">
        <v>31</v>
      </c>
      <c r="D12831" s="3" t="s">
        <v>32</v>
      </c>
      <c r="E12831" s="4" t="s">
        <v>22</v>
      </c>
      <c r="F12831" s="4" t="s">
        <v>64101</v>
      </c>
      <c r="G12831" s="4" t="s">
        <v>64604</v>
      </c>
      <c r="H12831" s="3" t="s">
        <v>63948</v>
      </c>
      <c r="I12831" s="3" t="s">
        <v>64605</v>
      </c>
      <c r="J12831" s="3" t="s">
        <v>64665</v>
      </c>
      <c r="K12831" s="3" t="s">
        <v>64666</v>
      </c>
      <c r="L12831" s="3" t="s">
        <v>64667</v>
      </c>
      <c r="M12831" s="4"/>
      <c r="N12831" s="3" t="s">
        <v>37</v>
      </c>
      <c r="O12831" s="3" t="s">
        <v>70</v>
      </c>
      <c r="P12831" s="5">
        <v>24</v>
      </c>
      <c r="Q12831" s="5">
        <v>739</v>
      </c>
      <c r="R12831" s="5">
        <v>23</v>
      </c>
      <c r="S12831" s="5">
        <v>695</v>
      </c>
    </row>
    <row r="12832" spans="1:19" ht="28" x14ac:dyDescent="0.15">
      <c r="A12832" s="2">
        <f>HYPERLINK("https://open-school.uspishnemisto.com.ua/school/630165/", 630165)</f>
        <v>630165</v>
      </c>
      <c r="B12832" s="3" t="s">
        <v>64668</v>
      </c>
      <c r="C12832" s="3" t="s">
        <v>31</v>
      </c>
      <c r="D12832" s="3" t="s">
        <v>32</v>
      </c>
      <c r="E12832" s="4" t="s">
        <v>22</v>
      </c>
      <c r="F12832" s="4" t="s">
        <v>64615</v>
      </c>
      <c r="G12832" s="4" t="s">
        <v>64604</v>
      </c>
      <c r="H12832" s="3" t="s">
        <v>63948</v>
      </c>
      <c r="I12832" s="3" t="s">
        <v>64605</v>
      </c>
      <c r="J12832" s="3" t="s">
        <v>64669</v>
      </c>
      <c r="K12832" s="3" t="s">
        <v>64670</v>
      </c>
      <c r="L12832" s="3" t="s">
        <v>64671</v>
      </c>
      <c r="M12832" s="4"/>
      <c r="N12832" s="3" t="s">
        <v>967</v>
      </c>
      <c r="O12832" s="3" t="s">
        <v>46</v>
      </c>
      <c r="P12832" s="5">
        <v>38</v>
      </c>
      <c r="Q12832" s="5">
        <v>1069</v>
      </c>
      <c r="R12832" s="5">
        <v>37</v>
      </c>
      <c r="S12832" s="5">
        <v>1051</v>
      </c>
    </row>
    <row r="12833" spans="1:19" ht="28" x14ac:dyDescent="0.15">
      <c r="A12833" s="2">
        <f>HYPERLINK("https://open-school.uspishnemisto.com.ua/school/630166/", 630166)</f>
        <v>630166</v>
      </c>
      <c r="B12833" s="3" t="s">
        <v>64672</v>
      </c>
      <c r="C12833" s="3" t="s">
        <v>31</v>
      </c>
      <c r="D12833" s="3" t="s">
        <v>32</v>
      </c>
      <c r="E12833" s="4" t="s">
        <v>22</v>
      </c>
      <c r="F12833" s="4" t="s">
        <v>64673</v>
      </c>
      <c r="G12833" s="4" t="s">
        <v>64604</v>
      </c>
      <c r="H12833" s="3" t="s">
        <v>63948</v>
      </c>
      <c r="I12833" s="3" t="s">
        <v>64605</v>
      </c>
      <c r="J12833" s="3" t="s">
        <v>64674</v>
      </c>
      <c r="K12833" s="3" t="s">
        <v>64675</v>
      </c>
      <c r="L12833" s="3" t="s">
        <v>64676</v>
      </c>
      <c r="M12833" s="4"/>
      <c r="N12833" s="3" t="s">
        <v>967</v>
      </c>
      <c r="O12833" s="3" t="s">
        <v>2740</v>
      </c>
      <c r="P12833" s="5">
        <v>16</v>
      </c>
      <c r="Q12833" s="5">
        <v>434</v>
      </c>
      <c r="R12833" s="5">
        <v>15</v>
      </c>
      <c r="S12833" s="5">
        <v>409</v>
      </c>
    </row>
    <row r="12834" spans="1:19" ht="28" x14ac:dyDescent="0.15">
      <c r="A12834" s="2">
        <f>HYPERLINK("https://open-school.uspishnemisto.com.ua/school/630167/", 630167)</f>
        <v>630167</v>
      </c>
      <c r="B12834" s="3" t="s">
        <v>64677</v>
      </c>
      <c r="C12834" s="3" t="s">
        <v>31</v>
      </c>
      <c r="D12834" s="3" t="s">
        <v>32</v>
      </c>
      <c r="E12834" s="4" t="s">
        <v>22</v>
      </c>
      <c r="F12834" s="4" t="s">
        <v>64153</v>
      </c>
      <c r="G12834" s="4" t="s">
        <v>64604</v>
      </c>
      <c r="H12834" s="3" t="s">
        <v>63948</v>
      </c>
      <c r="I12834" s="3" t="s">
        <v>64605</v>
      </c>
      <c r="J12834" s="3" t="s">
        <v>64678</v>
      </c>
      <c r="K12834" s="3" t="s">
        <v>64679</v>
      </c>
      <c r="L12834" s="3" t="s">
        <v>64680</v>
      </c>
      <c r="M12834" s="4"/>
      <c r="N12834" s="3" t="s">
        <v>967</v>
      </c>
      <c r="O12834" s="3" t="s">
        <v>8542</v>
      </c>
      <c r="P12834" s="5">
        <v>36</v>
      </c>
      <c r="Q12834" s="5">
        <v>1046</v>
      </c>
      <c r="R12834" s="5">
        <v>35</v>
      </c>
      <c r="S12834" s="5">
        <v>1011</v>
      </c>
    </row>
    <row r="12835" spans="1:19" ht="28" x14ac:dyDescent="0.15">
      <c r="A12835" s="2">
        <f>HYPERLINK("https://open-school.uspishnemisto.com.ua/school/630168/", 630168)</f>
        <v>630168</v>
      </c>
      <c r="B12835" s="3" t="s">
        <v>64681</v>
      </c>
      <c r="C12835" s="3" t="s">
        <v>31</v>
      </c>
      <c r="D12835" s="3" t="s">
        <v>32</v>
      </c>
      <c r="E12835" s="4" t="s">
        <v>22</v>
      </c>
      <c r="F12835" s="4" t="s">
        <v>64660</v>
      </c>
      <c r="G12835" s="4" t="s">
        <v>64604</v>
      </c>
      <c r="H12835" s="3" t="s">
        <v>63948</v>
      </c>
      <c r="I12835" s="3" t="s">
        <v>64605</v>
      </c>
      <c r="J12835" s="3" t="s">
        <v>64682</v>
      </c>
      <c r="K12835" s="3" t="s">
        <v>64683</v>
      </c>
      <c r="L12835" s="3" t="s">
        <v>64684</v>
      </c>
      <c r="M12835" s="4"/>
      <c r="N12835" s="3" t="s">
        <v>37</v>
      </c>
      <c r="O12835" s="3" t="s">
        <v>38</v>
      </c>
      <c r="P12835" s="5">
        <v>26</v>
      </c>
      <c r="Q12835" s="5">
        <v>725</v>
      </c>
      <c r="R12835" s="5">
        <v>25</v>
      </c>
      <c r="S12835" s="5">
        <v>701</v>
      </c>
    </row>
    <row r="12836" spans="1:19" ht="28" x14ac:dyDescent="0.15">
      <c r="A12836" s="2">
        <f>HYPERLINK("https://open-school.uspishnemisto.com.ua/school/630169/", 630169)</f>
        <v>630169</v>
      </c>
      <c r="B12836" s="3" t="s">
        <v>64685</v>
      </c>
      <c r="C12836" s="3" t="s">
        <v>31</v>
      </c>
      <c r="D12836" s="3" t="s">
        <v>32</v>
      </c>
      <c r="E12836" s="4" t="s">
        <v>22</v>
      </c>
      <c r="F12836" s="4" t="s">
        <v>64456</v>
      </c>
      <c r="G12836" s="4" t="s">
        <v>64604</v>
      </c>
      <c r="H12836" s="3" t="s">
        <v>63948</v>
      </c>
      <c r="I12836" s="3" t="s">
        <v>64605</v>
      </c>
      <c r="J12836" s="3" t="s">
        <v>64686</v>
      </c>
      <c r="K12836" s="3" t="s">
        <v>64687</v>
      </c>
      <c r="L12836" s="3" t="s">
        <v>64688</v>
      </c>
      <c r="M12836" s="4"/>
      <c r="N12836" s="3" t="s">
        <v>967</v>
      </c>
      <c r="O12836" s="3" t="s">
        <v>46</v>
      </c>
      <c r="P12836" s="5">
        <v>12</v>
      </c>
      <c r="Q12836" s="5">
        <v>315</v>
      </c>
      <c r="R12836" s="5">
        <v>12</v>
      </c>
      <c r="S12836" s="5">
        <v>320</v>
      </c>
    </row>
    <row r="12837" spans="1:19" ht="28" x14ac:dyDescent="0.15">
      <c r="A12837" s="2">
        <f>HYPERLINK("https://open-school.uspishnemisto.com.ua/school/630170/", 630170)</f>
        <v>630170</v>
      </c>
      <c r="B12837" s="3" t="s">
        <v>64689</v>
      </c>
      <c r="C12837" s="3" t="s">
        <v>31</v>
      </c>
      <c r="D12837" s="3" t="s">
        <v>32</v>
      </c>
      <c r="E12837" s="4" t="s">
        <v>22</v>
      </c>
      <c r="F12837" s="4" t="s">
        <v>64615</v>
      </c>
      <c r="G12837" s="4" t="s">
        <v>64604</v>
      </c>
      <c r="H12837" s="3" t="s">
        <v>63948</v>
      </c>
      <c r="I12837" s="3" t="s">
        <v>64605</v>
      </c>
      <c r="J12837" s="3" t="s">
        <v>64690</v>
      </c>
      <c r="K12837" s="3" t="s">
        <v>64691</v>
      </c>
      <c r="L12837" s="3" t="s">
        <v>64692</v>
      </c>
      <c r="M12837" s="4"/>
      <c r="N12837" s="3" t="s">
        <v>967</v>
      </c>
      <c r="O12837" s="3" t="s">
        <v>46</v>
      </c>
      <c r="P12837" s="5">
        <v>29</v>
      </c>
      <c r="Q12837" s="5">
        <v>846</v>
      </c>
      <c r="R12837" s="5">
        <v>29</v>
      </c>
      <c r="S12837" s="5">
        <v>834</v>
      </c>
    </row>
    <row r="12838" spans="1:19" ht="28" x14ac:dyDescent="0.15">
      <c r="A12838" s="2">
        <f>HYPERLINK("https://open-school.uspishnemisto.com.ua/school/630171/", 630171)</f>
        <v>630171</v>
      </c>
      <c r="B12838" s="3" t="s">
        <v>64693</v>
      </c>
      <c r="C12838" s="3" t="s">
        <v>244</v>
      </c>
      <c r="D12838" s="3" t="s">
        <v>32</v>
      </c>
      <c r="E12838" s="4" t="s">
        <v>22</v>
      </c>
      <c r="F12838" s="4" t="s">
        <v>64615</v>
      </c>
      <c r="G12838" s="4" t="s">
        <v>64604</v>
      </c>
      <c r="H12838" s="3" t="s">
        <v>63948</v>
      </c>
      <c r="I12838" s="3" t="s">
        <v>64605</v>
      </c>
      <c r="J12838" s="3" t="s">
        <v>64694</v>
      </c>
      <c r="K12838" s="3" t="s">
        <v>64695</v>
      </c>
      <c r="L12838" s="3" t="s">
        <v>64696</v>
      </c>
      <c r="M12838" s="4"/>
      <c r="N12838" s="3" t="s">
        <v>37</v>
      </c>
      <c r="O12838" s="3" t="s">
        <v>46</v>
      </c>
      <c r="P12838" s="5">
        <v>36</v>
      </c>
      <c r="Q12838" s="5">
        <v>1065</v>
      </c>
      <c r="R12838" s="5">
        <v>35</v>
      </c>
      <c r="S12838" s="5">
        <v>1018</v>
      </c>
    </row>
    <row r="12839" spans="1:19" ht="28" x14ac:dyDescent="0.15">
      <c r="A12839" s="2">
        <f>HYPERLINK("https://open-school.uspishnemisto.com.ua/school/630172/", 630172)</f>
        <v>630172</v>
      </c>
      <c r="B12839" s="3" t="s">
        <v>64697</v>
      </c>
      <c r="C12839" s="3" t="s">
        <v>188</v>
      </c>
      <c r="D12839" s="3" t="s">
        <v>32</v>
      </c>
      <c r="E12839" s="4" t="s">
        <v>22</v>
      </c>
      <c r="F12839" s="4" t="s">
        <v>64673</v>
      </c>
      <c r="G12839" s="4" t="s">
        <v>64604</v>
      </c>
      <c r="H12839" s="3" t="s">
        <v>63948</v>
      </c>
      <c r="I12839" s="3" t="s">
        <v>64605</v>
      </c>
      <c r="J12839" s="3" t="s">
        <v>64698</v>
      </c>
      <c r="K12839" s="3" t="s">
        <v>64699</v>
      </c>
      <c r="L12839" s="3" t="s">
        <v>64700</v>
      </c>
      <c r="M12839" s="4"/>
      <c r="N12839" s="3" t="s">
        <v>37</v>
      </c>
      <c r="O12839" s="3" t="s">
        <v>70</v>
      </c>
      <c r="P12839" s="5">
        <v>31</v>
      </c>
      <c r="Q12839" s="5">
        <v>900</v>
      </c>
      <c r="R12839" s="5">
        <v>30</v>
      </c>
      <c r="S12839" s="5">
        <v>850</v>
      </c>
    </row>
    <row r="12840" spans="1:19" ht="28" x14ac:dyDescent="0.15">
      <c r="A12840" s="2">
        <f>HYPERLINK("https://open-school.uspishnemisto.com.ua/school/630173/", 630173)</f>
        <v>630173</v>
      </c>
      <c r="B12840" s="3" t="s">
        <v>64701</v>
      </c>
      <c r="C12840" s="3" t="s">
        <v>54</v>
      </c>
      <c r="D12840" s="3" t="s">
        <v>32</v>
      </c>
      <c r="E12840" s="4" t="s">
        <v>41</v>
      </c>
      <c r="F12840" s="4" t="s">
        <v>64634</v>
      </c>
      <c r="G12840" s="4" t="s">
        <v>64604</v>
      </c>
      <c r="H12840" s="3" t="s">
        <v>63948</v>
      </c>
      <c r="I12840" s="3" t="s">
        <v>64605</v>
      </c>
      <c r="J12840" s="3" t="s">
        <v>64702</v>
      </c>
      <c r="K12840" s="3" t="s">
        <v>64703</v>
      </c>
      <c r="L12840" s="3" t="s">
        <v>64704</v>
      </c>
      <c r="M12840" s="4"/>
      <c r="N12840" s="3" t="s">
        <v>967</v>
      </c>
      <c r="O12840" s="3" t="s">
        <v>46</v>
      </c>
      <c r="P12840" s="5">
        <v>10</v>
      </c>
      <c r="Q12840" s="5">
        <v>102</v>
      </c>
      <c r="R12840" s="5">
        <v>10</v>
      </c>
      <c r="S12840" s="5">
        <v>81</v>
      </c>
    </row>
    <row r="12841" spans="1:19" ht="28" x14ac:dyDescent="0.15">
      <c r="A12841" s="2">
        <f>HYPERLINK("https://open-school.uspishnemisto.com.ua/school/630805/", 630805)</f>
        <v>630805</v>
      </c>
      <c r="B12841" s="3" t="s">
        <v>64705</v>
      </c>
      <c r="C12841" s="3" t="s">
        <v>54</v>
      </c>
      <c r="D12841" s="3" t="s">
        <v>60</v>
      </c>
      <c r="E12841" s="4" t="s">
        <v>41</v>
      </c>
      <c r="F12841" s="4" t="s">
        <v>64042</v>
      </c>
      <c r="G12841" s="4" t="s">
        <v>64604</v>
      </c>
      <c r="H12841" s="3" t="s">
        <v>63948</v>
      </c>
      <c r="I12841" s="3" t="s">
        <v>64605</v>
      </c>
      <c r="J12841" s="3" t="s">
        <v>64206</v>
      </c>
      <c r="K12841" s="3" t="s">
        <v>64706</v>
      </c>
      <c r="L12841" s="3"/>
      <c r="M12841" s="4"/>
      <c r="N12841" s="3" t="s">
        <v>967</v>
      </c>
      <c r="O12841" s="3" t="s">
        <v>52</v>
      </c>
      <c r="P12841" s="5">
        <v>4</v>
      </c>
      <c r="Q12841" s="5">
        <v>49</v>
      </c>
      <c r="R12841" s="5"/>
      <c r="S12841" s="5"/>
    </row>
    <row r="12842" spans="1:19" ht="28" x14ac:dyDescent="0.15">
      <c r="A12842" s="2">
        <f>HYPERLINK("https://open-school.uspishnemisto.com.ua/school/630045/", 630045)</f>
        <v>630045</v>
      </c>
      <c r="B12842" s="3" t="s">
        <v>64707</v>
      </c>
      <c r="C12842" s="3" t="s">
        <v>31</v>
      </c>
      <c r="D12842" s="3" t="s">
        <v>32</v>
      </c>
      <c r="E12842" s="4" t="s">
        <v>22</v>
      </c>
      <c r="F12842" s="4" t="s">
        <v>63964</v>
      </c>
      <c r="G12842" s="4" t="s">
        <v>64708</v>
      </c>
      <c r="H12842" s="3" t="s">
        <v>63948</v>
      </c>
      <c r="I12842" s="3" t="s">
        <v>64709</v>
      </c>
      <c r="J12842" s="3" t="s">
        <v>64710</v>
      </c>
      <c r="K12842" s="3" t="s">
        <v>64711</v>
      </c>
      <c r="L12842" s="3" t="s">
        <v>64712</v>
      </c>
      <c r="M12842" s="4"/>
      <c r="N12842" s="3" t="s">
        <v>37</v>
      </c>
      <c r="O12842" s="3" t="s">
        <v>38</v>
      </c>
      <c r="P12842" s="5">
        <v>11</v>
      </c>
      <c r="Q12842" s="5">
        <v>301</v>
      </c>
      <c r="R12842" s="5">
        <v>11</v>
      </c>
      <c r="S12842" s="5">
        <v>285</v>
      </c>
    </row>
    <row r="12843" spans="1:19" ht="28" x14ac:dyDescent="0.15">
      <c r="A12843" s="2">
        <f>HYPERLINK("https://open-school.uspishnemisto.com.ua/school/630055/", 630055)</f>
        <v>630055</v>
      </c>
      <c r="B12843" s="3" t="s">
        <v>64713</v>
      </c>
      <c r="C12843" s="3" t="s">
        <v>31</v>
      </c>
      <c r="D12843" s="3" t="s">
        <v>32</v>
      </c>
      <c r="E12843" s="4" t="s">
        <v>22</v>
      </c>
      <c r="F12843" s="4" t="s">
        <v>64714</v>
      </c>
      <c r="G12843" s="4" t="s">
        <v>64708</v>
      </c>
      <c r="H12843" s="3" t="s">
        <v>63948</v>
      </c>
      <c r="I12843" s="3" t="s">
        <v>64709</v>
      </c>
      <c r="J12843" s="3" t="s">
        <v>64715</v>
      </c>
      <c r="K12843" s="3" t="s">
        <v>64716</v>
      </c>
      <c r="L12843" s="3" t="s">
        <v>64717</v>
      </c>
      <c r="M12843" s="4"/>
      <c r="N12843" s="3" t="s">
        <v>37</v>
      </c>
      <c r="O12843" s="3" t="s">
        <v>38</v>
      </c>
      <c r="P12843" s="5">
        <v>25</v>
      </c>
      <c r="Q12843" s="5">
        <v>662</v>
      </c>
      <c r="R12843" s="5">
        <v>24</v>
      </c>
      <c r="S12843" s="5">
        <v>677</v>
      </c>
    </row>
    <row r="12844" spans="1:19" ht="28" x14ac:dyDescent="0.15">
      <c r="A12844" s="2">
        <f>HYPERLINK("https://open-school.uspishnemisto.com.ua/school/630060/", 630060)</f>
        <v>630060</v>
      </c>
      <c r="B12844" s="3" t="s">
        <v>64718</v>
      </c>
      <c r="C12844" s="3" t="s">
        <v>244</v>
      </c>
      <c r="D12844" s="3" t="s">
        <v>32</v>
      </c>
      <c r="E12844" s="4" t="s">
        <v>22</v>
      </c>
      <c r="F12844" s="4" t="s">
        <v>64057</v>
      </c>
      <c r="G12844" s="4" t="s">
        <v>64708</v>
      </c>
      <c r="H12844" s="3" t="s">
        <v>63948</v>
      </c>
      <c r="I12844" s="3" t="s">
        <v>64709</v>
      </c>
      <c r="J12844" s="3" t="s">
        <v>64719</v>
      </c>
      <c r="K12844" s="3" t="s">
        <v>64720</v>
      </c>
      <c r="L12844" s="3" t="s">
        <v>64721</v>
      </c>
      <c r="M12844" s="4"/>
      <c r="N12844" s="3" t="s">
        <v>37</v>
      </c>
      <c r="O12844" s="3" t="s">
        <v>123</v>
      </c>
      <c r="P12844" s="5">
        <v>41</v>
      </c>
      <c r="Q12844" s="5">
        <v>1244</v>
      </c>
      <c r="R12844" s="5">
        <v>40</v>
      </c>
      <c r="S12844" s="5">
        <v>1181</v>
      </c>
    </row>
    <row r="12845" spans="1:19" ht="42" x14ac:dyDescent="0.15">
      <c r="A12845" s="2">
        <f>HYPERLINK("https://open-school.uspishnemisto.com.ua/school/630174/", 630174)</f>
        <v>630174</v>
      </c>
      <c r="B12845" s="3" t="s">
        <v>64722</v>
      </c>
      <c r="C12845" s="3" t="s">
        <v>181</v>
      </c>
      <c r="D12845" s="3" t="s">
        <v>175</v>
      </c>
      <c r="E12845" s="4" t="s">
        <v>22</v>
      </c>
      <c r="F12845" s="4" t="s">
        <v>64564</v>
      </c>
      <c r="G12845" s="4" t="s">
        <v>64708</v>
      </c>
      <c r="H12845" s="3" t="s">
        <v>63948</v>
      </c>
      <c r="I12845" s="3" t="s">
        <v>64709</v>
      </c>
      <c r="J12845" s="3" t="s">
        <v>64723</v>
      </c>
      <c r="K12845" s="3" t="s">
        <v>64724</v>
      </c>
      <c r="L12845" s="3" t="s">
        <v>64725</v>
      </c>
      <c r="M12845" s="4" t="s">
        <v>64726</v>
      </c>
      <c r="N12845" s="3" t="s">
        <v>37</v>
      </c>
      <c r="O12845" s="3" t="s">
        <v>52</v>
      </c>
      <c r="P12845" s="5">
        <v>21</v>
      </c>
      <c r="Q12845" s="5">
        <v>263</v>
      </c>
      <c r="R12845" s="5">
        <v>20</v>
      </c>
      <c r="S12845" s="5">
        <v>279</v>
      </c>
    </row>
    <row r="12846" spans="1:19" ht="42" x14ac:dyDescent="0.15">
      <c r="A12846" s="2">
        <f>HYPERLINK("https://open-school.uspishnemisto.com.ua/school/630175/", 630175)</f>
        <v>630175</v>
      </c>
      <c r="B12846" s="3" t="s">
        <v>64727</v>
      </c>
      <c r="C12846" s="3" t="s">
        <v>31</v>
      </c>
      <c r="D12846" s="3" t="s">
        <v>32</v>
      </c>
      <c r="E12846" s="4" t="s">
        <v>22</v>
      </c>
      <c r="F12846" s="4" t="s">
        <v>64047</v>
      </c>
      <c r="G12846" s="4" t="s">
        <v>64708</v>
      </c>
      <c r="H12846" s="3" t="s">
        <v>63948</v>
      </c>
      <c r="I12846" s="3" t="s">
        <v>64709</v>
      </c>
      <c r="J12846" s="3" t="s">
        <v>64728</v>
      </c>
      <c r="K12846" s="3" t="s">
        <v>64729</v>
      </c>
      <c r="L12846" s="3" t="s">
        <v>64730</v>
      </c>
      <c r="M12846" s="4"/>
      <c r="N12846" s="3" t="s">
        <v>37</v>
      </c>
      <c r="O12846" s="3" t="s">
        <v>38</v>
      </c>
      <c r="P12846" s="5">
        <v>9</v>
      </c>
      <c r="Q12846" s="5">
        <v>201</v>
      </c>
      <c r="R12846" s="5">
        <v>9</v>
      </c>
      <c r="S12846" s="5">
        <v>190</v>
      </c>
    </row>
    <row r="12847" spans="1:19" ht="42" x14ac:dyDescent="0.15">
      <c r="A12847" s="2">
        <f>HYPERLINK("https://open-school.uspishnemisto.com.ua/school/630176/", 630176)</f>
        <v>630176</v>
      </c>
      <c r="B12847" s="3" t="s">
        <v>64731</v>
      </c>
      <c r="C12847" s="3" t="s">
        <v>244</v>
      </c>
      <c r="D12847" s="3" t="s">
        <v>32</v>
      </c>
      <c r="E12847" s="4" t="s">
        <v>22</v>
      </c>
      <c r="F12847" s="4" t="s">
        <v>64732</v>
      </c>
      <c r="G12847" s="4" t="s">
        <v>64708</v>
      </c>
      <c r="H12847" s="3" t="s">
        <v>63948</v>
      </c>
      <c r="I12847" s="3" t="s">
        <v>64709</v>
      </c>
      <c r="J12847" s="3" t="s">
        <v>64733</v>
      </c>
      <c r="K12847" s="3" t="s">
        <v>64734</v>
      </c>
      <c r="L12847" s="3" t="s">
        <v>64735</v>
      </c>
      <c r="M12847" s="4"/>
      <c r="N12847" s="3" t="s">
        <v>37</v>
      </c>
      <c r="O12847" s="3" t="s">
        <v>46</v>
      </c>
      <c r="P12847" s="5">
        <v>25</v>
      </c>
      <c r="Q12847" s="5">
        <v>671</v>
      </c>
      <c r="R12847" s="5">
        <v>24</v>
      </c>
      <c r="S12847" s="5">
        <v>635</v>
      </c>
    </row>
    <row r="12848" spans="1:19" ht="28" x14ac:dyDescent="0.15">
      <c r="A12848" s="2">
        <f>HYPERLINK("https://open-school.uspishnemisto.com.ua/school/630177/", 630177)</f>
        <v>630177</v>
      </c>
      <c r="B12848" s="3" t="s">
        <v>64736</v>
      </c>
      <c r="C12848" s="3" t="s">
        <v>31</v>
      </c>
      <c r="D12848" s="3" t="s">
        <v>32</v>
      </c>
      <c r="E12848" s="4" t="s">
        <v>22</v>
      </c>
      <c r="F12848" s="4" t="s">
        <v>64732</v>
      </c>
      <c r="G12848" s="4" t="s">
        <v>64708</v>
      </c>
      <c r="H12848" s="3" t="s">
        <v>63948</v>
      </c>
      <c r="I12848" s="3" t="s">
        <v>64709</v>
      </c>
      <c r="J12848" s="3" t="s">
        <v>64737</v>
      </c>
      <c r="K12848" s="3" t="s">
        <v>64738</v>
      </c>
      <c r="L12848" s="3" t="s">
        <v>64739</v>
      </c>
      <c r="M12848" s="4"/>
      <c r="N12848" s="3" t="s">
        <v>967</v>
      </c>
      <c r="O12848" s="3" t="s">
        <v>52</v>
      </c>
      <c r="P12848" s="5">
        <v>13</v>
      </c>
      <c r="Q12848" s="5">
        <v>354</v>
      </c>
      <c r="R12848" s="5">
        <v>12</v>
      </c>
      <c r="S12848" s="5">
        <v>329</v>
      </c>
    </row>
    <row r="12849" spans="1:19" ht="28" x14ac:dyDescent="0.15">
      <c r="A12849" s="2">
        <f>HYPERLINK("https://open-school.uspishnemisto.com.ua/school/630178/", 630178)</f>
        <v>630178</v>
      </c>
      <c r="B12849" s="3" t="s">
        <v>64740</v>
      </c>
      <c r="C12849" s="3" t="s">
        <v>31</v>
      </c>
      <c r="D12849" s="3" t="s">
        <v>175</v>
      </c>
      <c r="E12849" s="4" t="s">
        <v>22</v>
      </c>
      <c r="F12849" s="4" t="s">
        <v>63958</v>
      </c>
      <c r="G12849" s="4" t="s">
        <v>64708</v>
      </c>
      <c r="H12849" s="3" t="s">
        <v>63948</v>
      </c>
      <c r="I12849" s="3" t="s">
        <v>64709</v>
      </c>
      <c r="J12849" s="3" t="s">
        <v>64741</v>
      </c>
      <c r="K12849" s="3" t="s">
        <v>64742</v>
      </c>
      <c r="L12849" s="3" t="s">
        <v>64743</v>
      </c>
      <c r="M12849" s="4"/>
      <c r="N12849" s="3" t="s">
        <v>37</v>
      </c>
      <c r="O12849" s="3" t="s">
        <v>38</v>
      </c>
      <c r="P12849" s="5">
        <v>9</v>
      </c>
      <c r="Q12849" s="5">
        <v>109</v>
      </c>
      <c r="R12849" s="5">
        <v>9</v>
      </c>
      <c r="S12849" s="5">
        <v>87</v>
      </c>
    </row>
    <row r="12850" spans="1:19" ht="28" x14ac:dyDescent="0.15">
      <c r="A12850" s="2">
        <f>HYPERLINK("https://open-school.uspishnemisto.com.ua/school/630179/", 630179)</f>
        <v>630179</v>
      </c>
      <c r="B12850" s="3" t="s">
        <v>64744</v>
      </c>
      <c r="C12850" s="3" t="s">
        <v>31</v>
      </c>
      <c r="D12850" s="3" t="s">
        <v>32</v>
      </c>
      <c r="E12850" s="4" t="s">
        <v>22</v>
      </c>
      <c r="F12850" s="4" t="s">
        <v>64714</v>
      </c>
      <c r="G12850" s="4" t="s">
        <v>64708</v>
      </c>
      <c r="H12850" s="3" t="s">
        <v>63948</v>
      </c>
      <c r="I12850" s="3" t="s">
        <v>64709</v>
      </c>
      <c r="J12850" s="3" t="s">
        <v>64745</v>
      </c>
      <c r="K12850" s="3" t="s">
        <v>64746</v>
      </c>
      <c r="L12850" s="3" t="s">
        <v>64747</v>
      </c>
      <c r="M12850" s="4"/>
      <c r="N12850" s="3" t="s">
        <v>37</v>
      </c>
      <c r="O12850" s="3" t="s">
        <v>38</v>
      </c>
      <c r="P12850" s="5">
        <v>30</v>
      </c>
      <c r="Q12850" s="5">
        <v>908</v>
      </c>
      <c r="R12850" s="5">
        <v>28</v>
      </c>
      <c r="S12850" s="5">
        <v>843</v>
      </c>
    </row>
    <row r="12851" spans="1:19" ht="28" x14ac:dyDescent="0.15">
      <c r="A12851" s="2">
        <f>HYPERLINK("https://open-school.uspishnemisto.com.ua/school/630180/", 630180)</f>
        <v>630180</v>
      </c>
      <c r="B12851" s="3" t="s">
        <v>64748</v>
      </c>
      <c r="C12851" s="3" t="s">
        <v>31</v>
      </c>
      <c r="D12851" s="3" t="s">
        <v>32</v>
      </c>
      <c r="E12851" s="4" t="s">
        <v>22</v>
      </c>
      <c r="F12851" s="4" t="s">
        <v>64057</v>
      </c>
      <c r="G12851" s="4" t="s">
        <v>64708</v>
      </c>
      <c r="H12851" s="3" t="s">
        <v>63948</v>
      </c>
      <c r="I12851" s="3" t="s">
        <v>64709</v>
      </c>
      <c r="J12851" s="3" t="s">
        <v>64749</v>
      </c>
      <c r="K12851" s="3" t="s">
        <v>64750</v>
      </c>
      <c r="L12851" s="3" t="s">
        <v>64751</v>
      </c>
      <c r="M12851" s="4"/>
      <c r="N12851" s="3" t="s">
        <v>37</v>
      </c>
      <c r="O12851" s="3" t="s">
        <v>38</v>
      </c>
      <c r="P12851" s="5">
        <v>25</v>
      </c>
      <c r="Q12851" s="5">
        <v>755</v>
      </c>
      <c r="R12851" s="5">
        <v>25</v>
      </c>
      <c r="S12851" s="5">
        <v>739</v>
      </c>
    </row>
    <row r="12852" spans="1:19" ht="28" x14ac:dyDescent="0.15">
      <c r="A12852" s="2">
        <f>HYPERLINK("https://open-school.uspishnemisto.com.ua/school/630181/", 630181)</f>
        <v>630181</v>
      </c>
      <c r="B12852" s="3" t="s">
        <v>64752</v>
      </c>
      <c r="C12852" s="3" t="s">
        <v>31</v>
      </c>
      <c r="D12852" s="3" t="s">
        <v>32</v>
      </c>
      <c r="E12852" s="4" t="s">
        <v>22</v>
      </c>
      <c r="F12852" s="4" t="s">
        <v>64714</v>
      </c>
      <c r="G12852" s="4" t="s">
        <v>64708</v>
      </c>
      <c r="H12852" s="3" t="s">
        <v>63948</v>
      </c>
      <c r="I12852" s="3" t="s">
        <v>64709</v>
      </c>
      <c r="J12852" s="3" t="s">
        <v>64753</v>
      </c>
      <c r="K12852" s="3" t="s">
        <v>64754</v>
      </c>
      <c r="L12852" s="3" t="s">
        <v>64755</v>
      </c>
      <c r="M12852" s="4"/>
      <c r="N12852" s="3" t="s">
        <v>128</v>
      </c>
      <c r="O12852" s="3" t="s">
        <v>70</v>
      </c>
      <c r="P12852" s="5">
        <v>10</v>
      </c>
      <c r="Q12852" s="5">
        <v>248</v>
      </c>
      <c r="R12852" s="5">
        <v>10</v>
      </c>
      <c r="S12852" s="5">
        <v>267</v>
      </c>
    </row>
    <row r="12853" spans="1:19" ht="28" x14ac:dyDescent="0.15">
      <c r="A12853" s="2">
        <f>HYPERLINK("https://open-school.uspishnemisto.com.ua/school/630182/", 630182)</f>
        <v>630182</v>
      </c>
      <c r="B12853" s="3" t="s">
        <v>64756</v>
      </c>
      <c r="C12853" s="3" t="s">
        <v>31</v>
      </c>
      <c r="D12853" s="3" t="s">
        <v>32</v>
      </c>
      <c r="E12853" s="4" t="s">
        <v>41</v>
      </c>
      <c r="F12853" s="4" t="s">
        <v>64057</v>
      </c>
      <c r="G12853" s="4" t="s">
        <v>64708</v>
      </c>
      <c r="H12853" s="3" t="s">
        <v>63948</v>
      </c>
      <c r="I12853" s="3" t="s">
        <v>64709</v>
      </c>
      <c r="J12853" s="3" t="s">
        <v>64757</v>
      </c>
      <c r="K12853" s="3" t="s">
        <v>64758</v>
      </c>
      <c r="L12853" s="3" t="s">
        <v>64759</v>
      </c>
      <c r="M12853" s="4"/>
      <c r="N12853" s="3" t="s">
        <v>37</v>
      </c>
      <c r="O12853" s="3" t="s">
        <v>38</v>
      </c>
      <c r="P12853" s="5">
        <v>12</v>
      </c>
      <c r="Q12853" s="5">
        <v>163</v>
      </c>
      <c r="R12853" s="5">
        <v>11</v>
      </c>
      <c r="S12853" s="5">
        <v>144</v>
      </c>
    </row>
    <row r="12854" spans="1:19" ht="28" x14ac:dyDescent="0.15">
      <c r="A12854" s="2">
        <f>HYPERLINK("https://open-school.uspishnemisto.com.ua/school/630183/", 630183)</f>
        <v>630183</v>
      </c>
      <c r="B12854" s="3" t="s">
        <v>64760</v>
      </c>
      <c r="C12854" s="3" t="s">
        <v>181</v>
      </c>
      <c r="D12854" s="3" t="s">
        <v>175</v>
      </c>
      <c r="E12854" s="4" t="s">
        <v>22</v>
      </c>
      <c r="F12854" s="4" t="s">
        <v>63998</v>
      </c>
      <c r="G12854" s="4" t="s">
        <v>64761</v>
      </c>
      <c r="H12854" s="3" t="s">
        <v>63948</v>
      </c>
      <c r="I12854" s="3" t="s">
        <v>64762</v>
      </c>
      <c r="J12854" s="3" t="s">
        <v>64763</v>
      </c>
      <c r="K12854" s="3" t="s">
        <v>64764</v>
      </c>
      <c r="L12854" s="3" t="s">
        <v>64765</v>
      </c>
      <c r="M12854" s="4" t="s">
        <v>64766</v>
      </c>
      <c r="N12854" s="3" t="s">
        <v>37</v>
      </c>
      <c r="O12854" s="3"/>
      <c r="P12854" s="5">
        <v>7</v>
      </c>
      <c r="Q12854" s="5">
        <v>82</v>
      </c>
      <c r="R12854" s="5">
        <v>9</v>
      </c>
      <c r="S12854" s="5">
        <v>121</v>
      </c>
    </row>
    <row r="12855" spans="1:19" ht="42" x14ac:dyDescent="0.15">
      <c r="A12855" s="2">
        <f>HYPERLINK("https://open-school.uspishnemisto.com.ua/school/630184/", 630184)</f>
        <v>630184</v>
      </c>
      <c r="B12855" s="3" t="s">
        <v>64767</v>
      </c>
      <c r="C12855" s="3" t="s">
        <v>244</v>
      </c>
      <c r="D12855" s="3" t="s">
        <v>32</v>
      </c>
      <c r="E12855" s="4" t="s">
        <v>22</v>
      </c>
      <c r="F12855" s="4" t="s">
        <v>63998</v>
      </c>
      <c r="G12855" s="4" t="s">
        <v>64761</v>
      </c>
      <c r="H12855" s="3" t="s">
        <v>63948</v>
      </c>
      <c r="I12855" s="3" t="s">
        <v>64762</v>
      </c>
      <c r="J12855" s="3" t="s">
        <v>64768</v>
      </c>
      <c r="K12855" s="3" t="s">
        <v>64769</v>
      </c>
      <c r="L12855" s="3" t="s">
        <v>64770</v>
      </c>
      <c r="M12855" s="4"/>
      <c r="N12855" s="3" t="s">
        <v>37</v>
      </c>
      <c r="O12855" s="3" t="s">
        <v>123</v>
      </c>
      <c r="P12855" s="5">
        <v>19</v>
      </c>
      <c r="Q12855" s="5">
        <v>564</v>
      </c>
      <c r="R12855" s="5">
        <v>20</v>
      </c>
      <c r="S12855" s="5">
        <v>552</v>
      </c>
    </row>
    <row r="12856" spans="1:19" ht="28" x14ac:dyDescent="0.15">
      <c r="A12856" s="2">
        <f>HYPERLINK("https://open-school.uspishnemisto.com.ua/school/630185/", 630185)</f>
        <v>630185</v>
      </c>
      <c r="B12856" s="3" t="s">
        <v>64771</v>
      </c>
      <c r="C12856" s="3" t="s">
        <v>20</v>
      </c>
      <c r="D12856" s="3" t="s">
        <v>21</v>
      </c>
      <c r="E12856" s="4" t="s">
        <v>22</v>
      </c>
      <c r="F12856" s="4" t="s">
        <v>64772</v>
      </c>
      <c r="G12856" s="4" t="s">
        <v>64761</v>
      </c>
      <c r="H12856" s="3" t="s">
        <v>63948</v>
      </c>
      <c r="I12856" s="3" t="s">
        <v>64762</v>
      </c>
      <c r="J12856" s="3" t="s">
        <v>64773</v>
      </c>
      <c r="K12856" s="3" t="s">
        <v>64774</v>
      </c>
      <c r="L12856" s="3" t="s">
        <v>64775</v>
      </c>
      <c r="M12856" s="4"/>
      <c r="N12856" s="3"/>
      <c r="O12856" s="3"/>
      <c r="P12856" s="5">
        <v>0</v>
      </c>
      <c r="Q12856" s="5">
        <v>0</v>
      </c>
      <c r="R12856" s="5"/>
      <c r="S12856" s="5"/>
    </row>
    <row r="12857" spans="1:19" ht="28" x14ac:dyDescent="0.15">
      <c r="A12857" s="2">
        <f>HYPERLINK("https://open-school.uspishnemisto.com.ua/school/630186/", 630186)</f>
        <v>630186</v>
      </c>
      <c r="B12857" s="3" t="s">
        <v>64776</v>
      </c>
      <c r="C12857" s="3" t="s">
        <v>40</v>
      </c>
      <c r="D12857" s="3" t="s">
        <v>32</v>
      </c>
      <c r="E12857" s="4" t="s">
        <v>22</v>
      </c>
      <c r="F12857" s="4" t="s">
        <v>64176</v>
      </c>
      <c r="G12857" s="4" t="s">
        <v>64761</v>
      </c>
      <c r="H12857" s="3" t="s">
        <v>63948</v>
      </c>
      <c r="I12857" s="3" t="s">
        <v>64762</v>
      </c>
      <c r="J12857" s="3" t="s">
        <v>64777</v>
      </c>
      <c r="K12857" s="3" t="s">
        <v>64778</v>
      </c>
      <c r="L12857" s="3" t="s">
        <v>64779</v>
      </c>
      <c r="M12857" s="4"/>
      <c r="N12857" s="3" t="s">
        <v>37</v>
      </c>
      <c r="O12857" s="3" t="s">
        <v>38</v>
      </c>
      <c r="P12857" s="5">
        <v>35</v>
      </c>
      <c r="Q12857" s="5">
        <v>1057</v>
      </c>
      <c r="R12857" s="5">
        <v>34</v>
      </c>
      <c r="S12857" s="5">
        <v>1008</v>
      </c>
    </row>
    <row r="12858" spans="1:19" ht="28" x14ac:dyDescent="0.15">
      <c r="A12858" s="2">
        <f>HYPERLINK("https://open-school.uspishnemisto.com.ua/school/630187/", 630187)</f>
        <v>630187</v>
      </c>
      <c r="B12858" s="3" t="s">
        <v>64780</v>
      </c>
      <c r="C12858" s="3" t="s">
        <v>31</v>
      </c>
      <c r="D12858" s="3" t="s">
        <v>32</v>
      </c>
      <c r="E12858" s="4" t="s">
        <v>22</v>
      </c>
      <c r="F12858" s="4" t="s">
        <v>64176</v>
      </c>
      <c r="G12858" s="4" t="s">
        <v>64761</v>
      </c>
      <c r="H12858" s="3" t="s">
        <v>63948</v>
      </c>
      <c r="I12858" s="3" t="s">
        <v>64762</v>
      </c>
      <c r="J12858" s="3" t="s">
        <v>64781</v>
      </c>
      <c r="K12858" s="3" t="s">
        <v>64782</v>
      </c>
      <c r="L12858" s="3" t="s">
        <v>64783</v>
      </c>
      <c r="M12858" s="4"/>
      <c r="N12858" s="3" t="s">
        <v>37</v>
      </c>
      <c r="O12858" s="3" t="s">
        <v>38</v>
      </c>
      <c r="P12858" s="5">
        <v>32</v>
      </c>
      <c r="Q12858" s="5">
        <v>983</v>
      </c>
      <c r="R12858" s="5">
        <v>31</v>
      </c>
      <c r="S12858" s="5">
        <v>930</v>
      </c>
    </row>
    <row r="12859" spans="1:19" ht="28" x14ac:dyDescent="0.15">
      <c r="A12859" s="2">
        <f>HYPERLINK("https://open-school.uspishnemisto.com.ua/school/630188/", 630188)</f>
        <v>630188</v>
      </c>
      <c r="B12859" s="3" t="s">
        <v>64784</v>
      </c>
      <c r="C12859" s="3" t="s">
        <v>31</v>
      </c>
      <c r="D12859" s="3" t="s">
        <v>32</v>
      </c>
      <c r="E12859" s="4" t="s">
        <v>22</v>
      </c>
      <c r="F12859" s="4" t="s">
        <v>64785</v>
      </c>
      <c r="G12859" s="4" t="s">
        <v>64761</v>
      </c>
      <c r="H12859" s="3" t="s">
        <v>63948</v>
      </c>
      <c r="I12859" s="3" t="s">
        <v>64762</v>
      </c>
      <c r="J12859" s="3" t="s">
        <v>64786</v>
      </c>
      <c r="K12859" s="3" t="s">
        <v>64787</v>
      </c>
      <c r="L12859" s="3" t="s">
        <v>64788</v>
      </c>
      <c r="M12859" s="4"/>
      <c r="N12859" s="3" t="s">
        <v>37</v>
      </c>
      <c r="O12859" s="3" t="s">
        <v>38</v>
      </c>
      <c r="P12859" s="5">
        <v>28</v>
      </c>
      <c r="Q12859" s="5">
        <v>798</v>
      </c>
      <c r="R12859" s="5">
        <v>27</v>
      </c>
      <c r="S12859" s="5">
        <v>780</v>
      </c>
    </row>
    <row r="12860" spans="1:19" ht="28" x14ac:dyDescent="0.15">
      <c r="A12860" s="2">
        <f>HYPERLINK("https://open-school.uspishnemisto.com.ua/school/630189/", 630189)</f>
        <v>630189</v>
      </c>
      <c r="B12860" s="3" t="s">
        <v>64789</v>
      </c>
      <c r="C12860" s="3" t="s">
        <v>31</v>
      </c>
      <c r="D12860" s="3" t="s">
        <v>32</v>
      </c>
      <c r="E12860" s="4" t="s">
        <v>22</v>
      </c>
      <c r="F12860" s="4" t="s">
        <v>63998</v>
      </c>
      <c r="G12860" s="4" t="s">
        <v>64761</v>
      </c>
      <c r="H12860" s="3" t="s">
        <v>63948</v>
      </c>
      <c r="I12860" s="3" t="s">
        <v>64762</v>
      </c>
      <c r="J12860" s="3" t="s">
        <v>64790</v>
      </c>
      <c r="K12860" s="3" t="s">
        <v>64791</v>
      </c>
      <c r="L12860" s="3" t="s">
        <v>64792</v>
      </c>
      <c r="M12860" s="4"/>
      <c r="N12860" s="3" t="s">
        <v>37</v>
      </c>
      <c r="O12860" s="3" t="s">
        <v>70</v>
      </c>
      <c r="P12860" s="5">
        <v>19</v>
      </c>
      <c r="Q12860" s="5">
        <v>570</v>
      </c>
      <c r="R12860" s="5">
        <v>19</v>
      </c>
      <c r="S12860" s="5">
        <v>573</v>
      </c>
    </row>
    <row r="12861" spans="1:19" ht="28" x14ac:dyDescent="0.15">
      <c r="A12861" s="2">
        <f>HYPERLINK("https://open-school.uspishnemisto.com.ua/school/630190/", 630190)</f>
        <v>630190</v>
      </c>
      <c r="B12861" s="3" t="s">
        <v>64793</v>
      </c>
      <c r="C12861" s="3" t="s">
        <v>31</v>
      </c>
      <c r="D12861" s="3" t="s">
        <v>32</v>
      </c>
      <c r="E12861" s="4" t="s">
        <v>22</v>
      </c>
      <c r="F12861" s="4" t="s">
        <v>64772</v>
      </c>
      <c r="G12861" s="4" t="s">
        <v>64761</v>
      </c>
      <c r="H12861" s="3" t="s">
        <v>63948</v>
      </c>
      <c r="I12861" s="3" t="s">
        <v>64762</v>
      </c>
      <c r="J12861" s="3" t="s">
        <v>64794</v>
      </c>
      <c r="K12861" s="3" t="s">
        <v>64795</v>
      </c>
      <c r="L12861" s="3" t="s">
        <v>64796</v>
      </c>
      <c r="M12861" s="4"/>
      <c r="N12861" s="3" t="s">
        <v>37</v>
      </c>
      <c r="O12861" s="3" t="s">
        <v>38</v>
      </c>
      <c r="P12861" s="5">
        <v>16</v>
      </c>
      <c r="Q12861" s="5">
        <v>447</v>
      </c>
      <c r="R12861" s="5">
        <v>15</v>
      </c>
      <c r="S12861" s="5">
        <v>427</v>
      </c>
    </row>
    <row r="12862" spans="1:19" ht="28" x14ac:dyDescent="0.15">
      <c r="A12862" s="2">
        <f>HYPERLINK("https://open-school.uspishnemisto.com.ua/school/630191/", 630191)</f>
        <v>630191</v>
      </c>
      <c r="B12862" s="3" t="s">
        <v>64797</v>
      </c>
      <c r="C12862" s="3" t="s">
        <v>31</v>
      </c>
      <c r="D12862" s="3" t="s">
        <v>32</v>
      </c>
      <c r="E12862" s="4" t="s">
        <v>22</v>
      </c>
      <c r="F12862" s="4" t="s">
        <v>63998</v>
      </c>
      <c r="G12862" s="4" t="s">
        <v>64761</v>
      </c>
      <c r="H12862" s="3" t="s">
        <v>63948</v>
      </c>
      <c r="I12862" s="3" t="s">
        <v>64762</v>
      </c>
      <c r="J12862" s="3" t="s">
        <v>64763</v>
      </c>
      <c r="K12862" s="3" t="s">
        <v>64798</v>
      </c>
      <c r="L12862" s="3" t="s">
        <v>64799</v>
      </c>
      <c r="M12862" s="4"/>
      <c r="N12862" s="3" t="s">
        <v>967</v>
      </c>
      <c r="O12862" s="3" t="s">
        <v>46</v>
      </c>
      <c r="P12862" s="5">
        <v>16</v>
      </c>
      <c r="Q12862" s="5">
        <v>462</v>
      </c>
      <c r="R12862" s="5">
        <v>15</v>
      </c>
      <c r="S12862" s="5">
        <v>425</v>
      </c>
    </row>
    <row r="12863" spans="1:19" ht="28" x14ac:dyDescent="0.15">
      <c r="A12863" s="2">
        <f>HYPERLINK("https://open-school.uspishnemisto.com.ua/school/630192/", 630192)</f>
        <v>630192</v>
      </c>
      <c r="B12863" s="3" t="s">
        <v>64800</v>
      </c>
      <c r="C12863" s="3" t="s">
        <v>31</v>
      </c>
      <c r="D12863" s="3" t="s">
        <v>32</v>
      </c>
      <c r="E12863" s="4" t="s">
        <v>22</v>
      </c>
      <c r="F12863" s="4" t="s">
        <v>63998</v>
      </c>
      <c r="G12863" s="4" t="s">
        <v>64761</v>
      </c>
      <c r="H12863" s="3" t="s">
        <v>63948</v>
      </c>
      <c r="I12863" s="3" t="s">
        <v>64762</v>
      </c>
      <c r="J12863" s="3" t="s">
        <v>64801</v>
      </c>
      <c r="K12863" s="3" t="s">
        <v>64802</v>
      </c>
      <c r="L12863" s="3" t="s">
        <v>64803</v>
      </c>
      <c r="M12863" s="4"/>
      <c r="N12863" s="3" t="s">
        <v>37</v>
      </c>
      <c r="O12863" s="3" t="s">
        <v>38</v>
      </c>
      <c r="P12863" s="5">
        <v>14</v>
      </c>
      <c r="Q12863" s="5">
        <v>427</v>
      </c>
      <c r="R12863" s="5">
        <v>14</v>
      </c>
      <c r="S12863" s="5">
        <v>423</v>
      </c>
    </row>
    <row r="12864" spans="1:19" ht="28" x14ac:dyDescent="0.15">
      <c r="A12864" s="2">
        <f>HYPERLINK("https://open-school.uspishnemisto.com.ua/school/630193/", 630193)</f>
        <v>630193</v>
      </c>
      <c r="B12864" s="3" t="s">
        <v>64804</v>
      </c>
      <c r="C12864" s="3" t="s">
        <v>31</v>
      </c>
      <c r="D12864" s="3" t="s">
        <v>32</v>
      </c>
      <c r="E12864" s="4" t="s">
        <v>22</v>
      </c>
      <c r="F12864" s="4" t="s">
        <v>64805</v>
      </c>
      <c r="G12864" s="4" t="s">
        <v>64761</v>
      </c>
      <c r="H12864" s="3" t="s">
        <v>63948</v>
      </c>
      <c r="I12864" s="3" t="s">
        <v>64762</v>
      </c>
      <c r="J12864" s="3" t="s">
        <v>64806</v>
      </c>
      <c r="K12864" s="3" t="s">
        <v>64807</v>
      </c>
      <c r="L12864" s="3" t="s">
        <v>64808</v>
      </c>
      <c r="M12864" s="4"/>
      <c r="N12864" s="3" t="s">
        <v>37</v>
      </c>
      <c r="O12864" s="3" t="s">
        <v>38</v>
      </c>
      <c r="P12864" s="5">
        <v>18</v>
      </c>
      <c r="Q12864" s="5">
        <v>591</v>
      </c>
      <c r="R12864" s="5">
        <v>18</v>
      </c>
      <c r="S12864" s="5">
        <v>584</v>
      </c>
    </row>
    <row r="12865" spans="1:19" ht="28" x14ac:dyDescent="0.15">
      <c r="A12865" s="2">
        <f>HYPERLINK("https://open-school.uspishnemisto.com.ua/school/630194/", 630194)</f>
        <v>630194</v>
      </c>
      <c r="B12865" s="3" t="s">
        <v>64809</v>
      </c>
      <c r="C12865" s="3" t="s">
        <v>31</v>
      </c>
      <c r="D12865" s="3" t="s">
        <v>32</v>
      </c>
      <c r="E12865" s="4" t="s">
        <v>22</v>
      </c>
      <c r="F12865" s="4" t="s">
        <v>64772</v>
      </c>
      <c r="G12865" s="4" t="s">
        <v>64761</v>
      </c>
      <c r="H12865" s="3" t="s">
        <v>63948</v>
      </c>
      <c r="I12865" s="3" t="s">
        <v>64762</v>
      </c>
      <c r="J12865" s="3" t="s">
        <v>64810</v>
      </c>
      <c r="K12865" s="3" t="s">
        <v>64811</v>
      </c>
      <c r="L12865" s="3" t="s">
        <v>64812</v>
      </c>
      <c r="M12865" s="4"/>
      <c r="N12865" s="3" t="s">
        <v>37</v>
      </c>
      <c r="O12865" s="3" t="s">
        <v>38</v>
      </c>
      <c r="P12865" s="5">
        <v>21</v>
      </c>
      <c r="Q12865" s="5">
        <v>631</v>
      </c>
      <c r="R12865" s="5">
        <v>20</v>
      </c>
      <c r="S12865" s="5">
        <v>603</v>
      </c>
    </row>
    <row r="12866" spans="1:19" ht="28" x14ac:dyDescent="0.15">
      <c r="A12866" s="2">
        <f>HYPERLINK("https://open-school.uspishnemisto.com.ua/school/630195/", 630195)</f>
        <v>630195</v>
      </c>
      <c r="B12866" s="3" t="s">
        <v>64813</v>
      </c>
      <c r="C12866" s="3" t="s">
        <v>31</v>
      </c>
      <c r="D12866" s="3" t="s">
        <v>32</v>
      </c>
      <c r="E12866" s="4" t="s">
        <v>22</v>
      </c>
      <c r="F12866" s="4" t="s">
        <v>10621</v>
      </c>
      <c r="G12866" s="4" t="s">
        <v>64761</v>
      </c>
      <c r="H12866" s="3" t="s">
        <v>63948</v>
      </c>
      <c r="I12866" s="3" t="s">
        <v>64762</v>
      </c>
      <c r="J12866" s="3" t="s">
        <v>64814</v>
      </c>
      <c r="K12866" s="3" t="s">
        <v>64815</v>
      </c>
      <c r="L12866" s="3" t="s">
        <v>64816</v>
      </c>
      <c r="M12866" s="4"/>
      <c r="N12866" s="3" t="s">
        <v>967</v>
      </c>
      <c r="O12866" s="3" t="s">
        <v>52</v>
      </c>
      <c r="P12866" s="5">
        <v>10</v>
      </c>
      <c r="Q12866" s="5">
        <v>261</v>
      </c>
      <c r="R12866" s="5">
        <v>9</v>
      </c>
      <c r="S12866" s="5">
        <v>230</v>
      </c>
    </row>
    <row r="12867" spans="1:19" ht="28" x14ac:dyDescent="0.15">
      <c r="A12867" s="2">
        <f>HYPERLINK("https://open-school.uspishnemisto.com.ua/school/630196/", 630196)</f>
        <v>630196</v>
      </c>
      <c r="B12867" s="3" t="s">
        <v>64817</v>
      </c>
      <c r="C12867" s="3" t="s">
        <v>31</v>
      </c>
      <c r="D12867" s="3" t="s">
        <v>32</v>
      </c>
      <c r="E12867" s="4" t="s">
        <v>22</v>
      </c>
      <c r="F12867" s="4" t="s">
        <v>64818</v>
      </c>
      <c r="G12867" s="4" t="s">
        <v>64761</v>
      </c>
      <c r="H12867" s="3" t="s">
        <v>63948</v>
      </c>
      <c r="I12867" s="3" t="s">
        <v>64762</v>
      </c>
      <c r="J12867" s="3" t="s">
        <v>64819</v>
      </c>
      <c r="K12867" s="3" t="s">
        <v>64820</v>
      </c>
      <c r="L12867" s="3" t="s">
        <v>64821</v>
      </c>
      <c r="M12867" s="4"/>
      <c r="N12867" s="3" t="s">
        <v>128</v>
      </c>
      <c r="O12867" s="3" t="s">
        <v>70</v>
      </c>
      <c r="P12867" s="5">
        <v>30</v>
      </c>
      <c r="Q12867" s="5">
        <v>953</v>
      </c>
      <c r="R12867" s="5">
        <v>30</v>
      </c>
      <c r="S12867" s="5">
        <v>947</v>
      </c>
    </row>
    <row r="12868" spans="1:19" ht="28" x14ac:dyDescent="0.15">
      <c r="A12868" s="2">
        <f>HYPERLINK("https://open-school.uspishnemisto.com.ua/school/630197/", 630197)</f>
        <v>630197</v>
      </c>
      <c r="B12868" s="3" t="s">
        <v>64822</v>
      </c>
      <c r="C12868" s="3" t="s">
        <v>31</v>
      </c>
      <c r="D12868" s="3" t="s">
        <v>32</v>
      </c>
      <c r="E12868" s="4" t="s">
        <v>22</v>
      </c>
      <c r="F12868" s="4" t="s">
        <v>64823</v>
      </c>
      <c r="G12868" s="4" t="s">
        <v>64761</v>
      </c>
      <c r="H12868" s="3" t="s">
        <v>63948</v>
      </c>
      <c r="I12868" s="3" t="s">
        <v>64762</v>
      </c>
      <c r="J12868" s="3" t="s">
        <v>64824</v>
      </c>
      <c r="K12868" s="3" t="s">
        <v>64825</v>
      </c>
      <c r="L12868" s="3" t="s">
        <v>64826</v>
      </c>
      <c r="M12868" s="4"/>
      <c r="N12868" s="3" t="s">
        <v>37</v>
      </c>
      <c r="O12868" s="3" t="s">
        <v>38</v>
      </c>
      <c r="P12868" s="5">
        <v>16</v>
      </c>
      <c r="Q12868" s="5">
        <v>505</v>
      </c>
      <c r="R12868" s="5">
        <v>14</v>
      </c>
      <c r="S12868" s="5">
        <v>443</v>
      </c>
    </row>
    <row r="12869" spans="1:19" ht="28" x14ac:dyDescent="0.15">
      <c r="A12869" s="2">
        <f>HYPERLINK("https://open-school.uspishnemisto.com.ua/school/630198/", 630198)</f>
        <v>630198</v>
      </c>
      <c r="B12869" s="3" t="s">
        <v>64827</v>
      </c>
      <c r="C12869" s="3" t="s">
        <v>244</v>
      </c>
      <c r="D12869" s="3" t="s">
        <v>32</v>
      </c>
      <c r="E12869" s="4" t="s">
        <v>22</v>
      </c>
      <c r="F12869" s="4" t="s">
        <v>64828</v>
      </c>
      <c r="G12869" s="4" t="s">
        <v>64761</v>
      </c>
      <c r="H12869" s="3" t="s">
        <v>63948</v>
      </c>
      <c r="I12869" s="3" t="s">
        <v>64762</v>
      </c>
      <c r="J12869" s="3" t="s">
        <v>64829</v>
      </c>
      <c r="K12869" s="3" t="s">
        <v>64830</v>
      </c>
      <c r="L12869" s="3" t="s">
        <v>64831</v>
      </c>
      <c r="M12869" s="4"/>
      <c r="N12869" s="3" t="s">
        <v>37</v>
      </c>
      <c r="O12869" s="3" t="s">
        <v>46</v>
      </c>
      <c r="P12869" s="5">
        <v>27</v>
      </c>
      <c r="Q12869" s="5">
        <v>774</v>
      </c>
      <c r="R12869" s="5">
        <v>26</v>
      </c>
      <c r="S12869" s="5">
        <v>760</v>
      </c>
    </row>
    <row r="12870" spans="1:19" ht="28" x14ac:dyDescent="0.15">
      <c r="A12870" s="2">
        <f>HYPERLINK("https://open-school.uspishnemisto.com.ua/school/630199/", 630199)</f>
        <v>630199</v>
      </c>
      <c r="B12870" s="3" t="s">
        <v>64832</v>
      </c>
      <c r="C12870" s="3" t="s">
        <v>244</v>
      </c>
      <c r="D12870" s="3" t="s">
        <v>32</v>
      </c>
      <c r="E12870" s="4" t="s">
        <v>22</v>
      </c>
      <c r="F12870" s="4" t="s">
        <v>64805</v>
      </c>
      <c r="G12870" s="4" t="s">
        <v>64761</v>
      </c>
      <c r="H12870" s="3" t="s">
        <v>63948</v>
      </c>
      <c r="I12870" s="3" t="s">
        <v>64762</v>
      </c>
      <c r="J12870" s="3" t="s">
        <v>64833</v>
      </c>
      <c r="K12870" s="3" t="s">
        <v>64834</v>
      </c>
      <c r="L12870" s="3" t="s">
        <v>64835</v>
      </c>
      <c r="M12870" s="4"/>
      <c r="N12870" s="3" t="s">
        <v>37</v>
      </c>
      <c r="O12870" s="3" t="s">
        <v>2740</v>
      </c>
      <c r="P12870" s="5">
        <v>37</v>
      </c>
      <c r="Q12870" s="5">
        <v>1063</v>
      </c>
      <c r="R12870" s="5">
        <v>37</v>
      </c>
      <c r="S12870" s="5">
        <v>1055</v>
      </c>
    </row>
    <row r="12871" spans="1:19" ht="28" x14ac:dyDescent="0.15">
      <c r="A12871" s="2">
        <f>HYPERLINK("https://open-school.uspishnemisto.com.ua/school/630200/", 630200)</f>
        <v>630200</v>
      </c>
      <c r="B12871" s="3" t="s">
        <v>64836</v>
      </c>
      <c r="C12871" s="3" t="s">
        <v>244</v>
      </c>
      <c r="D12871" s="3" t="s">
        <v>32</v>
      </c>
      <c r="E12871" s="4" t="s">
        <v>22</v>
      </c>
      <c r="F12871" s="4" t="s">
        <v>64805</v>
      </c>
      <c r="G12871" s="4" t="s">
        <v>64761</v>
      </c>
      <c r="H12871" s="3" t="s">
        <v>63948</v>
      </c>
      <c r="I12871" s="3" t="s">
        <v>64762</v>
      </c>
      <c r="J12871" s="3" t="s">
        <v>64837</v>
      </c>
      <c r="K12871" s="3" t="s">
        <v>64838</v>
      </c>
      <c r="L12871" s="3" t="s">
        <v>64839</v>
      </c>
      <c r="M12871" s="4"/>
      <c r="N12871" s="3" t="s">
        <v>128</v>
      </c>
      <c r="O12871" s="3" t="s">
        <v>46</v>
      </c>
      <c r="P12871" s="5">
        <v>29</v>
      </c>
      <c r="Q12871" s="5">
        <v>826</v>
      </c>
      <c r="R12871" s="5">
        <v>29</v>
      </c>
      <c r="S12871" s="5">
        <v>822</v>
      </c>
    </row>
    <row r="12872" spans="1:19" ht="28" x14ac:dyDescent="0.15">
      <c r="A12872" s="2">
        <f>HYPERLINK("https://open-school.uspishnemisto.com.ua/school/630201/", 630201)</f>
        <v>630201</v>
      </c>
      <c r="B12872" s="3" t="s">
        <v>64840</v>
      </c>
      <c r="C12872" s="3" t="s">
        <v>244</v>
      </c>
      <c r="D12872" s="3" t="s">
        <v>32</v>
      </c>
      <c r="E12872" s="4" t="s">
        <v>22</v>
      </c>
      <c r="F12872" s="4" t="s">
        <v>10621</v>
      </c>
      <c r="G12872" s="4" t="s">
        <v>64761</v>
      </c>
      <c r="H12872" s="3" t="s">
        <v>63948</v>
      </c>
      <c r="I12872" s="3" t="s">
        <v>64762</v>
      </c>
      <c r="J12872" s="3" t="s">
        <v>64841</v>
      </c>
      <c r="K12872" s="3" t="s">
        <v>64842</v>
      </c>
      <c r="L12872" s="3" t="s">
        <v>64843</v>
      </c>
      <c r="M12872" s="4"/>
      <c r="N12872" s="3" t="s">
        <v>128</v>
      </c>
      <c r="O12872" s="3" t="s">
        <v>721</v>
      </c>
      <c r="P12872" s="5">
        <v>29</v>
      </c>
      <c r="Q12872" s="5">
        <v>801</v>
      </c>
      <c r="R12872" s="5">
        <v>28</v>
      </c>
      <c r="S12872" s="5">
        <v>797</v>
      </c>
    </row>
    <row r="12873" spans="1:19" ht="42" x14ac:dyDescent="0.15">
      <c r="A12873" s="2">
        <f>HYPERLINK("https://open-school.uspishnemisto.com.ua/school/630009/", 630009)</f>
        <v>630009</v>
      </c>
      <c r="B12873" s="3" t="s">
        <v>64844</v>
      </c>
      <c r="C12873" s="3" t="s">
        <v>244</v>
      </c>
      <c r="D12873" s="3" t="s">
        <v>32</v>
      </c>
      <c r="E12873" s="4" t="s">
        <v>22</v>
      </c>
      <c r="F12873" s="4" t="s">
        <v>64845</v>
      </c>
      <c r="G12873" s="4" t="s">
        <v>64846</v>
      </c>
      <c r="H12873" s="3" t="s">
        <v>63948</v>
      </c>
      <c r="I12873" s="3" t="s">
        <v>64847</v>
      </c>
      <c r="J12873" s="3" t="s">
        <v>64848</v>
      </c>
      <c r="K12873" s="3" t="s">
        <v>64849</v>
      </c>
      <c r="L12873" s="3" t="s">
        <v>64850</v>
      </c>
      <c r="M12873" s="4"/>
      <c r="N12873" s="3" t="s">
        <v>37</v>
      </c>
      <c r="O12873" s="3" t="s">
        <v>70</v>
      </c>
      <c r="P12873" s="5">
        <v>35</v>
      </c>
      <c r="Q12873" s="5">
        <v>1005</v>
      </c>
      <c r="R12873" s="5">
        <v>33</v>
      </c>
      <c r="S12873" s="5">
        <v>971</v>
      </c>
    </row>
    <row r="12874" spans="1:19" ht="42" x14ac:dyDescent="0.15">
      <c r="A12874" s="2">
        <f>HYPERLINK("https://open-school.uspishnemisto.com.ua/school/630014/", 630014)</f>
        <v>630014</v>
      </c>
      <c r="B12874" s="3" t="s">
        <v>64851</v>
      </c>
      <c r="C12874" s="3" t="s">
        <v>54</v>
      </c>
      <c r="D12874" s="3" t="s">
        <v>32</v>
      </c>
      <c r="E12874" s="4" t="s">
        <v>22</v>
      </c>
      <c r="F12874" s="4" t="s">
        <v>64845</v>
      </c>
      <c r="G12874" s="4" t="s">
        <v>64846</v>
      </c>
      <c r="H12874" s="3" t="s">
        <v>63948</v>
      </c>
      <c r="I12874" s="3" t="s">
        <v>64847</v>
      </c>
      <c r="J12874" s="3" t="s">
        <v>11444</v>
      </c>
      <c r="K12874" s="3" t="s">
        <v>64852</v>
      </c>
      <c r="L12874" s="3" t="s">
        <v>64853</v>
      </c>
      <c r="M12874" s="4"/>
      <c r="N12874" s="3" t="s">
        <v>967</v>
      </c>
      <c r="O12874" s="3" t="s">
        <v>46</v>
      </c>
      <c r="P12874" s="5">
        <v>25</v>
      </c>
      <c r="Q12874" s="5">
        <v>705</v>
      </c>
      <c r="R12874" s="5">
        <v>25</v>
      </c>
      <c r="S12874" s="5">
        <v>690</v>
      </c>
    </row>
    <row r="12875" spans="1:19" ht="28" x14ac:dyDescent="0.15">
      <c r="A12875" s="2">
        <f>HYPERLINK("https://open-school.uspishnemisto.com.ua/school/630063/", 630063)</f>
        <v>630063</v>
      </c>
      <c r="B12875" s="3" t="s">
        <v>64854</v>
      </c>
      <c r="C12875" s="3" t="s">
        <v>188</v>
      </c>
      <c r="D12875" s="3" t="s">
        <v>32</v>
      </c>
      <c r="E12875" s="4" t="s">
        <v>22</v>
      </c>
      <c r="F12875" s="4" t="s">
        <v>64855</v>
      </c>
      <c r="G12875" s="4" t="s">
        <v>64846</v>
      </c>
      <c r="H12875" s="3" t="s">
        <v>63948</v>
      </c>
      <c r="I12875" s="3" t="s">
        <v>64847</v>
      </c>
      <c r="J12875" s="3" t="s">
        <v>64856</v>
      </c>
      <c r="K12875" s="3" t="s">
        <v>64857</v>
      </c>
      <c r="L12875" s="3" t="s">
        <v>64858</v>
      </c>
      <c r="M12875" s="4"/>
      <c r="N12875" s="3" t="s">
        <v>37</v>
      </c>
      <c r="O12875" s="3" t="s">
        <v>721</v>
      </c>
      <c r="P12875" s="5">
        <v>34</v>
      </c>
      <c r="Q12875" s="5">
        <v>987</v>
      </c>
      <c r="R12875" s="5">
        <v>34</v>
      </c>
      <c r="S12875" s="5">
        <v>985</v>
      </c>
    </row>
    <row r="12876" spans="1:19" ht="56" x14ac:dyDescent="0.15">
      <c r="A12876" s="2">
        <f>HYPERLINK("https://open-school.uspishnemisto.com.ua/school/630202/", 630202)</f>
        <v>630202</v>
      </c>
      <c r="B12876" s="3" t="s">
        <v>64859</v>
      </c>
      <c r="C12876" s="3" t="s">
        <v>31</v>
      </c>
      <c r="D12876" s="3" t="s">
        <v>32</v>
      </c>
      <c r="E12876" s="4" t="s">
        <v>22</v>
      </c>
      <c r="F12876" s="4" t="s">
        <v>64200</v>
      </c>
      <c r="G12876" s="4" t="s">
        <v>64846</v>
      </c>
      <c r="H12876" s="3" t="s">
        <v>63948</v>
      </c>
      <c r="I12876" s="3" t="s">
        <v>64847</v>
      </c>
      <c r="J12876" s="3" t="s">
        <v>64860</v>
      </c>
      <c r="K12876" s="3" t="s">
        <v>64861</v>
      </c>
      <c r="L12876" s="3" t="s">
        <v>64862</v>
      </c>
      <c r="M12876" s="4"/>
      <c r="N12876" s="3" t="s">
        <v>37</v>
      </c>
      <c r="O12876" s="3" t="s">
        <v>721</v>
      </c>
      <c r="P12876" s="5">
        <v>11</v>
      </c>
      <c r="Q12876" s="5">
        <v>301</v>
      </c>
      <c r="R12876" s="5">
        <v>11</v>
      </c>
      <c r="S12876" s="5">
        <v>300</v>
      </c>
    </row>
    <row r="12877" spans="1:19" ht="42" x14ac:dyDescent="0.15">
      <c r="A12877" s="2">
        <f>HYPERLINK("https://open-school.uspishnemisto.com.ua/school/630203/", 630203)</f>
        <v>630203</v>
      </c>
      <c r="B12877" s="3" t="s">
        <v>64863</v>
      </c>
      <c r="C12877" s="3" t="s">
        <v>31</v>
      </c>
      <c r="D12877" s="3" t="s">
        <v>32</v>
      </c>
      <c r="E12877" s="4" t="s">
        <v>22</v>
      </c>
      <c r="F12877" s="4" t="s">
        <v>64845</v>
      </c>
      <c r="G12877" s="4" t="s">
        <v>64846</v>
      </c>
      <c r="H12877" s="3" t="s">
        <v>63948</v>
      </c>
      <c r="I12877" s="3" t="s">
        <v>64847</v>
      </c>
      <c r="J12877" s="3" t="s">
        <v>64864</v>
      </c>
      <c r="K12877" s="3" t="s">
        <v>64865</v>
      </c>
      <c r="L12877" s="3" t="s">
        <v>64866</v>
      </c>
      <c r="M12877" s="4"/>
      <c r="N12877" s="3" t="s">
        <v>37</v>
      </c>
      <c r="O12877" s="3" t="s">
        <v>38</v>
      </c>
      <c r="P12877" s="5">
        <v>26</v>
      </c>
      <c r="Q12877" s="5">
        <v>806</v>
      </c>
      <c r="R12877" s="5">
        <v>24</v>
      </c>
      <c r="S12877" s="5">
        <v>726</v>
      </c>
    </row>
    <row r="12878" spans="1:19" ht="42" x14ac:dyDescent="0.15">
      <c r="A12878" s="2">
        <f>HYPERLINK("https://open-school.uspishnemisto.com.ua/school/630204/", 630204)</f>
        <v>630204</v>
      </c>
      <c r="B12878" s="3" t="s">
        <v>64867</v>
      </c>
      <c r="C12878" s="3" t="s">
        <v>31</v>
      </c>
      <c r="D12878" s="3" t="s">
        <v>32</v>
      </c>
      <c r="E12878" s="4" t="s">
        <v>22</v>
      </c>
      <c r="F12878" s="4" t="s">
        <v>63979</v>
      </c>
      <c r="G12878" s="4" t="s">
        <v>64846</v>
      </c>
      <c r="H12878" s="3" t="s">
        <v>63948</v>
      </c>
      <c r="I12878" s="3" t="s">
        <v>64847</v>
      </c>
      <c r="J12878" s="3" t="s">
        <v>64868</v>
      </c>
      <c r="K12878" s="3" t="s">
        <v>64869</v>
      </c>
      <c r="L12878" s="3" t="s">
        <v>64870</v>
      </c>
      <c r="M12878" s="4"/>
      <c r="N12878" s="3" t="s">
        <v>967</v>
      </c>
      <c r="O12878" s="3" t="s">
        <v>2740</v>
      </c>
      <c r="P12878" s="5">
        <v>24</v>
      </c>
      <c r="Q12878" s="5">
        <v>666</v>
      </c>
      <c r="R12878" s="5">
        <v>22</v>
      </c>
      <c r="S12878" s="5">
        <v>628</v>
      </c>
    </row>
    <row r="12879" spans="1:19" ht="42" x14ac:dyDescent="0.15">
      <c r="A12879" s="2">
        <f>HYPERLINK("https://open-school.uspishnemisto.com.ua/school/630205/", 630205)</f>
        <v>630205</v>
      </c>
      <c r="B12879" s="3" t="s">
        <v>64871</v>
      </c>
      <c r="C12879" s="3" t="s">
        <v>31</v>
      </c>
      <c r="D12879" s="3" t="s">
        <v>32</v>
      </c>
      <c r="E12879" s="4" t="s">
        <v>22</v>
      </c>
      <c r="F12879" s="4" t="s">
        <v>64872</v>
      </c>
      <c r="G12879" s="4" t="s">
        <v>64846</v>
      </c>
      <c r="H12879" s="3" t="s">
        <v>63948</v>
      </c>
      <c r="I12879" s="3" t="s">
        <v>64847</v>
      </c>
      <c r="J12879" s="3" t="s">
        <v>64873</v>
      </c>
      <c r="K12879" s="3" t="s">
        <v>64874</v>
      </c>
      <c r="L12879" s="3" t="s">
        <v>64875</v>
      </c>
      <c r="M12879" s="4"/>
      <c r="N12879" s="3" t="s">
        <v>37</v>
      </c>
      <c r="O12879" s="3" t="s">
        <v>70</v>
      </c>
      <c r="P12879" s="5">
        <v>20</v>
      </c>
      <c r="Q12879" s="5">
        <v>580</v>
      </c>
      <c r="R12879" s="5">
        <v>20</v>
      </c>
      <c r="S12879" s="5">
        <v>543</v>
      </c>
    </row>
    <row r="12880" spans="1:19" ht="42" x14ac:dyDescent="0.15">
      <c r="A12880" s="2">
        <f>HYPERLINK("https://open-school.uspishnemisto.com.ua/school/630206/", 630206)</f>
        <v>630206</v>
      </c>
      <c r="B12880" s="3" t="s">
        <v>64876</v>
      </c>
      <c r="C12880" s="3" t="s">
        <v>244</v>
      </c>
      <c r="D12880" s="3" t="s">
        <v>32</v>
      </c>
      <c r="E12880" s="4" t="s">
        <v>22</v>
      </c>
      <c r="F12880" s="4" t="s">
        <v>64200</v>
      </c>
      <c r="G12880" s="4" t="s">
        <v>64846</v>
      </c>
      <c r="H12880" s="3" t="s">
        <v>63948</v>
      </c>
      <c r="I12880" s="3" t="s">
        <v>64847</v>
      </c>
      <c r="J12880" s="3" t="s">
        <v>64877</v>
      </c>
      <c r="K12880" s="3" t="s">
        <v>64878</v>
      </c>
      <c r="L12880" s="3" t="s">
        <v>64879</v>
      </c>
      <c r="M12880" s="4"/>
      <c r="N12880" s="3" t="s">
        <v>967</v>
      </c>
      <c r="O12880" s="3" t="s">
        <v>64880</v>
      </c>
      <c r="P12880" s="5">
        <v>10</v>
      </c>
      <c r="Q12880" s="5">
        <v>221</v>
      </c>
      <c r="R12880" s="5">
        <v>9</v>
      </c>
      <c r="S12880" s="5">
        <v>204</v>
      </c>
    </row>
    <row r="12881" spans="1:19" ht="42" x14ac:dyDescent="0.15">
      <c r="A12881" s="2">
        <f>HYPERLINK("https://open-school.uspishnemisto.com.ua/school/630207/", 630207)</f>
        <v>630207</v>
      </c>
      <c r="B12881" s="3" t="s">
        <v>64881</v>
      </c>
      <c r="C12881" s="3" t="s">
        <v>181</v>
      </c>
      <c r="D12881" s="3" t="s">
        <v>32</v>
      </c>
      <c r="E12881" s="4" t="s">
        <v>22</v>
      </c>
      <c r="F12881" s="4" t="s">
        <v>64845</v>
      </c>
      <c r="G12881" s="4" t="s">
        <v>64846</v>
      </c>
      <c r="H12881" s="3" t="s">
        <v>63948</v>
      </c>
      <c r="I12881" s="3" t="s">
        <v>64847</v>
      </c>
      <c r="J12881" s="3" t="s">
        <v>64882</v>
      </c>
      <c r="K12881" s="3" t="s">
        <v>64883</v>
      </c>
      <c r="L12881" s="3" t="s">
        <v>64884</v>
      </c>
      <c r="M12881" s="4" t="s">
        <v>64885</v>
      </c>
      <c r="N12881" s="3" t="s">
        <v>37</v>
      </c>
      <c r="O12881" s="3" t="s">
        <v>52</v>
      </c>
      <c r="P12881" s="5">
        <v>28</v>
      </c>
      <c r="Q12881" s="5">
        <v>308</v>
      </c>
      <c r="R12881" s="5">
        <v>27</v>
      </c>
      <c r="S12881" s="5">
        <v>311</v>
      </c>
    </row>
    <row r="12882" spans="1:19" ht="28" x14ac:dyDescent="0.15">
      <c r="A12882" s="2">
        <f>HYPERLINK("https://open-school.uspishnemisto.com.ua/school/630208/", 630208)</f>
        <v>630208</v>
      </c>
      <c r="B12882" s="3" t="s">
        <v>64886</v>
      </c>
      <c r="C12882" s="3" t="s">
        <v>31</v>
      </c>
      <c r="D12882" s="3" t="s">
        <v>32</v>
      </c>
      <c r="E12882" s="4" t="s">
        <v>22</v>
      </c>
      <c r="F12882" s="4" t="s">
        <v>64072</v>
      </c>
      <c r="G12882" s="4" t="s">
        <v>64846</v>
      </c>
      <c r="H12882" s="3" t="s">
        <v>63948</v>
      </c>
      <c r="I12882" s="3" t="s">
        <v>64847</v>
      </c>
      <c r="J12882" s="3" t="s">
        <v>64887</v>
      </c>
      <c r="K12882" s="3" t="s">
        <v>64888</v>
      </c>
      <c r="L12882" s="3" t="s">
        <v>64889</v>
      </c>
      <c r="M12882" s="4"/>
      <c r="N12882" s="3" t="s">
        <v>37</v>
      </c>
      <c r="O12882" s="3" t="s">
        <v>38</v>
      </c>
      <c r="P12882" s="5">
        <v>27</v>
      </c>
      <c r="Q12882" s="5">
        <v>830</v>
      </c>
      <c r="R12882" s="5">
        <v>26</v>
      </c>
      <c r="S12882" s="5">
        <v>759</v>
      </c>
    </row>
    <row r="12883" spans="1:19" ht="28" x14ac:dyDescent="0.15">
      <c r="A12883" s="2">
        <f>HYPERLINK("https://open-school.uspishnemisto.com.ua/school/630209/", 630209)</f>
        <v>630209</v>
      </c>
      <c r="B12883" s="3" t="s">
        <v>64890</v>
      </c>
      <c r="C12883" s="3" t="s">
        <v>31</v>
      </c>
      <c r="D12883" s="3" t="s">
        <v>32</v>
      </c>
      <c r="E12883" s="4" t="s">
        <v>22</v>
      </c>
      <c r="F12883" s="4" t="s">
        <v>64891</v>
      </c>
      <c r="G12883" s="4" t="s">
        <v>64846</v>
      </c>
      <c r="H12883" s="3" t="s">
        <v>63948</v>
      </c>
      <c r="I12883" s="3" t="s">
        <v>64847</v>
      </c>
      <c r="J12883" s="3" t="s">
        <v>64892</v>
      </c>
      <c r="K12883" s="3" t="s">
        <v>64893</v>
      </c>
      <c r="L12883" s="3" t="s">
        <v>64894</v>
      </c>
      <c r="M12883" s="4"/>
      <c r="N12883" s="3" t="s">
        <v>37</v>
      </c>
      <c r="O12883" s="3" t="s">
        <v>38</v>
      </c>
      <c r="P12883" s="5">
        <v>24</v>
      </c>
      <c r="Q12883" s="5">
        <v>704</v>
      </c>
      <c r="R12883" s="5">
        <v>23</v>
      </c>
      <c r="S12883" s="5">
        <v>666</v>
      </c>
    </row>
    <row r="12884" spans="1:19" ht="28" x14ac:dyDescent="0.15">
      <c r="A12884" s="2">
        <f>HYPERLINK("https://open-school.uspishnemisto.com.ua/school/630210/", 630210)</f>
        <v>630210</v>
      </c>
      <c r="B12884" s="3" t="s">
        <v>64895</v>
      </c>
      <c r="C12884" s="3" t="s">
        <v>31</v>
      </c>
      <c r="D12884" s="3" t="s">
        <v>32</v>
      </c>
      <c r="E12884" s="4" t="s">
        <v>22</v>
      </c>
      <c r="F12884" s="4" t="s">
        <v>64872</v>
      </c>
      <c r="G12884" s="4" t="s">
        <v>64846</v>
      </c>
      <c r="H12884" s="3" t="s">
        <v>63948</v>
      </c>
      <c r="I12884" s="3" t="s">
        <v>64847</v>
      </c>
      <c r="J12884" s="3" t="s">
        <v>64896</v>
      </c>
      <c r="K12884" s="3" t="s">
        <v>64897</v>
      </c>
      <c r="L12884" s="3" t="s">
        <v>64898</v>
      </c>
      <c r="M12884" s="4"/>
      <c r="N12884" s="3" t="s">
        <v>967</v>
      </c>
      <c r="O12884" s="3" t="s">
        <v>123</v>
      </c>
      <c r="P12884" s="5">
        <v>26</v>
      </c>
      <c r="Q12884" s="5">
        <v>650</v>
      </c>
      <c r="R12884" s="5">
        <v>25</v>
      </c>
      <c r="S12884" s="5">
        <v>658</v>
      </c>
    </row>
    <row r="12885" spans="1:19" ht="28" x14ac:dyDescent="0.15">
      <c r="A12885" s="2">
        <f>HYPERLINK("https://open-school.uspishnemisto.com.ua/school/630211/", 630211)</f>
        <v>630211</v>
      </c>
      <c r="B12885" s="3" t="s">
        <v>64899</v>
      </c>
      <c r="C12885" s="3" t="s">
        <v>31</v>
      </c>
      <c r="D12885" s="3" t="s">
        <v>32</v>
      </c>
      <c r="E12885" s="4" t="s">
        <v>22</v>
      </c>
      <c r="F12885" s="4" t="s">
        <v>64900</v>
      </c>
      <c r="G12885" s="4" t="s">
        <v>64846</v>
      </c>
      <c r="H12885" s="3" t="s">
        <v>63948</v>
      </c>
      <c r="I12885" s="3" t="s">
        <v>64847</v>
      </c>
      <c r="J12885" s="3" t="s">
        <v>64901</v>
      </c>
      <c r="K12885" s="3" t="s">
        <v>64902</v>
      </c>
      <c r="L12885" s="3" t="s">
        <v>64903</v>
      </c>
      <c r="M12885" s="4"/>
      <c r="N12885" s="3" t="s">
        <v>967</v>
      </c>
      <c r="O12885" s="3" t="s">
        <v>2740</v>
      </c>
      <c r="P12885" s="5">
        <v>11</v>
      </c>
      <c r="Q12885" s="5">
        <v>305</v>
      </c>
      <c r="R12885" s="5">
        <v>11</v>
      </c>
      <c r="S12885" s="5">
        <v>303</v>
      </c>
    </row>
    <row r="12886" spans="1:19" ht="28" x14ac:dyDescent="0.15">
      <c r="A12886" s="2">
        <f>HYPERLINK("https://open-school.uspishnemisto.com.ua/school/630212/", 630212)</f>
        <v>630212</v>
      </c>
      <c r="B12886" s="3" t="s">
        <v>64904</v>
      </c>
      <c r="C12886" s="3" t="s">
        <v>31</v>
      </c>
      <c r="D12886" s="3" t="s">
        <v>32</v>
      </c>
      <c r="E12886" s="4" t="s">
        <v>22</v>
      </c>
      <c r="F12886" s="4" t="s">
        <v>64845</v>
      </c>
      <c r="G12886" s="4" t="s">
        <v>64846</v>
      </c>
      <c r="H12886" s="3" t="s">
        <v>63948</v>
      </c>
      <c r="I12886" s="3" t="s">
        <v>64847</v>
      </c>
      <c r="J12886" s="3" t="s">
        <v>64905</v>
      </c>
      <c r="K12886" s="3" t="s">
        <v>64906</v>
      </c>
      <c r="L12886" s="3" t="s">
        <v>64907</v>
      </c>
      <c r="M12886" s="4"/>
      <c r="N12886" s="3" t="s">
        <v>967</v>
      </c>
      <c r="O12886" s="3" t="s">
        <v>2740</v>
      </c>
      <c r="P12886" s="5">
        <v>12</v>
      </c>
      <c r="Q12886" s="5">
        <v>332</v>
      </c>
      <c r="R12886" s="5">
        <v>12</v>
      </c>
      <c r="S12886" s="5">
        <v>303</v>
      </c>
    </row>
    <row r="12887" spans="1:19" ht="28" x14ac:dyDescent="0.15">
      <c r="A12887" s="2">
        <f>HYPERLINK("https://open-school.uspishnemisto.com.ua/school/630213/", 630213)</f>
        <v>630213</v>
      </c>
      <c r="B12887" s="3" t="s">
        <v>64908</v>
      </c>
      <c r="C12887" s="3" t="s">
        <v>31</v>
      </c>
      <c r="D12887" s="3" t="s">
        <v>32</v>
      </c>
      <c r="E12887" s="4" t="s">
        <v>22</v>
      </c>
      <c r="F12887" s="4" t="s">
        <v>64200</v>
      </c>
      <c r="G12887" s="4" t="s">
        <v>64846</v>
      </c>
      <c r="H12887" s="3" t="s">
        <v>63948</v>
      </c>
      <c r="I12887" s="3" t="s">
        <v>64847</v>
      </c>
      <c r="J12887" s="3" t="s">
        <v>64909</v>
      </c>
      <c r="K12887" s="3" t="s">
        <v>64910</v>
      </c>
      <c r="L12887" s="3" t="s">
        <v>64911</v>
      </c>
      <c r="M12887" s="4"/>
      <c r="N12887" s="3" t="s">
        <v>967</v>
      </c>
      <c r="O12887" s="3" t="s">
        <v>46</v>
      </c>
      <c r="P12887" s="5">
        <v>23</v>
      </c>
      <c r="Q12887" s="5">
        <v>643</v>
      </c>
      <c r="R12887" s="5">
        <v>22</v>
      </c>
      <c r="S12887" s="5">
        <v>595</v>
      </c>
    </row>
    <row r="12888" spans="1:19" ht="42" x14ac:dyDescent="0.15">
      <c r="A12888" s="2">
        <f>HYPERLINK("https://open-school.uspishnemisto.com.ua/school/630214/", 630214)</f>
        <v>630214</v>
      </c>
      <c r="B12888" s="3" t="s">
        <v>64912</v>
      </c>
      <c r="C12888" s="3" t="s">
        <v>244</v>
      </c>
      <c r="D12888" s="3" t="s">
        <v>32</v>
      </c>
      <c r="E12888" s="4" t="s">
        <v>22</v>
      </c>
      <c r="F12888" s="4" t="s">
        <v>64855</v>
      </c>
      <c r="G12888" s="4" t="s">
        <v>64846</v>
      </c>
      <c r="H12888" s="3" t="s">
        <v>63948</v>
      </c>
      <c r="I12888" s="3" t="s">
        <v>64847</v>
      </c>
      <c r="J12888" s="3" t="s">
        <v>64913</v>
      </c>
      <c r="K12888" s="3" t="s">
        <v>64914</v>
      </c>
      <c r="L12888" s="3" t="s">
        <v>64915</v>
      </c>
      <c r="M12888" s="4" t="s">
        <v>64916</v>
      </c>
      <c r="N12888" s="3" t="s">
        <v>967</v>
      </c>
      <c r="O12888" s="3" t="s">
        <v>2740</v>
      </c>
      <c r="P12888" s="5">
        <v>31</v>
      </c>
      <c r="Q12888" s="5">
        <v>841</v>
      </c>
      <c r="R12888" s="5">
        <v>30</v>
      </c>
      <c r="S12888" s="5">
        <v>812</v>
      </c>
    </row>
    <row r="12889" spans="1:19" ht="28" x14ac:dyDescent="0.15">
      <c r="A12889" s="2">
        <f>HYPERLINK("https://open-school.uspishnemisto.com.ua/school/630215/", 630215)</f>
        <v>630215</v>
      </c>
      <c r="B12889" s="3" t="s">
        <v>64917</v>
      </c>
      <c r="C12889" s="3" t="s">
        <v>54</v>
      </c>
      <c r="D12889" s="3" t="s">
        <v>60</v>
      </c>
      <c r="E12889" s="4" t="s">
        <v>22</v>
      </c>
      <c r="F12889" s="4" t="s">
        <v>64891</v>
      </c>
      <c r="G12889" s="4" t="s">
        <v>64846</v>
      </c>
      <c r="H12889" s="3" t="s">
        <v>63948</v>
      </c>
      <c r="I12889" s="3" t="s">
        <v>64847</v>
      </c>
      <c r="J12889" s="3" t="s">
        <v>64918</v>
      </c>
      <c r="K12889" s="3" t="s">
        <v>64919</v>
      </c>
      <c r="L12889" s="3" t="s">
        <v>64920</v>
      </c>
      <c r="M12889" s="4"/>
      <c r="N12889" s="3" t="s">
        <v>37</v>
      </c>
      <c r="O12889" s="3" t="s">
        <v>52</v>
      </c>
      <c r="P12889" s="5">
        <v>4</v>
      </c>
      <c r="Q12889" s="5">
        <v>108</v>
      </c>
      <c r="R12889" s="5">
        <v>4</v>
      </c>
      <c r="S12889" s="5">
        <v>112</v>
      </c>
    </row>
    <row r="12890" spans="1:19" ht="28" x14ac:dyDescent="0.15">
      <c r="A12890" s="2">
        <f>HYPERLINK("https://open-school.uspishnemisto.com.ua/school/630216/", 630216)</f>
        <v>630216</v>
      </c>
      <c r="B12890" s="3" t="s">
        <v>64921</v>
      </c>
      <c r="C12890" s="3" t="s">
        <v>54</v>
      </c>
      <c r="D12890" s="3" t="s">
        <v>32</v>
      </c>
      <c r="E12890" s="4" t="s">
        <v>41</v>
      </c>
      <c r="F12890" s="4" t="s">
        <v>64845</v>
      </c>
      <c r="G12890" s="4" t="s">
        <v>64846</v>
      </c>
      <c r="H12890" s="3" t="s">
        <v>63948</v>
      </c>
      <c r="I12890" s="3" t="s">
        <v>64847</v>
      </c>
      <c r="J12890" s="3" t="s">
        <v>64922</v>
      </c>
      <c r="K12890" s="3" t="s">
        <v>64923</v>
      </c>
      <c r="L12890" s="3" t="s">
        <v>64924</v>
      </c>
      <c r="M12890" s="4"/>
      <c r="N12890" s="3" t="s">
        <v>967</v>
      </c>
      <c r="O12890" s="3" t="s">
        <v>52</v>
      </c>
      <c r="P12890" s="5">
        <v>15</v>
      </c>
      <c r="Q12890" s="5">
        <v>122</v>
      </c>
      <c r="R12890" s="5">
        <v>16</v>
      </c>
      <c r="S12890" s="5">
        <v>112</v>
      </c>
    </row>
    <row r="12891" spans="1:19" ht="28" x14ac:dyDescent="0.15">
      <c r="A12891" s="2">
        <f>HYPERLINK("https://open-school.uspishnemisto.com.ua/school/630217/", 630217)</f>
        <v>630217</v>
      </c>
      <c r="B12891" s="3" t="s">
        <v>64925</v>
      </c>
      <c r="C12891" s="3" t="s">
        <v>54</v>
      </c>
      <c r="D12891" s="3" t="s">
        <v>32</v>
      </c>
      <c r="E12891" s="4" t="s">
        <v>41</v>
      </c>
      <c r="F12891" s="4" t="s">
        <v>64200</v>
      </c>
      <c r="G12891" s="4" t="s">
        <v>64846</v>
      </c>
      <c r="H12891" s="3" t="s">
        <v>63948</v>
      </c>
      <c r="I12891" s="3" t="s">
        <v>64847</v>
      </c>
      <c r="J12891" s="3" t="s">
        <v>64926</v>
      </c>
      <c r="K12891" s="3" t="s">
        <v>64927</v>
      </c>
      <c r="L12891" s="3"/>
      <c r="M12891" s="4"/>
      <c r="N12891" s="3" t="s">
        <v>128</v>
      </c>
      <c r="O12891" s="3" t="s">
        <v>38</v>
      </c>
      <c r="P12891" s="5">
        <v>19</v>
      </c>
      <c r="Q12891" s="5">
        <v>108</v>
      </c>
      <c r="R12891" s="5">
        <v>9</v>
      </c>
      <c r="S12891" s="5">
        <v>64</v>
      </c>
    </row>
    <row r="12892" spans="1:19" ht="42" x14ac:dyDescent="0.15">
      <c r="A12892" s="2">
        <f>HYPERLINK("https://open-school.uspishnemisto.com.ua/school/630022/", 630022)</f>
        <v>630022</v>
      </c>
      <c r="B12892" s="3" t="s">
        <v>64928</v>
      </c>
      <c r="C12892" s="3" t="s">
        <v>31</v>
      </c>
      <c r="D12892" s="3" t="s">
        <v>32</v>
      </c>
      <c r="E12892" s="4" t="s">
        <v>41</v>
      </c>
      <c r="F12892" s="4" t="s">
        <v>64456</v>
      </c>
      <c r="G12892" s="4" t="s">
        <v>64929</v>
      </c>
      <c r="H12892" s="3" t="s">
        <v>63948</v>
      </c>
      <c r="I12892" s="3" t="s">
        <v>64930</v>
      </c>
      <c r="J12892" s="3" t="s">
        <v>64931</v>
      </c>
      <c r="K12892" s="3" t="s">
        <v>64932</v>
      </c>
      <c r="L12892" s="3" t="s">
        <v>64933</v>
      </c>
      <c r="M12892" s="4"/>
      <c r="N12892" s="3" t="s">
        <v>37</v>
      </c>
      <c r="O12892" s="3" t="s">
        <v>52</v>
      </c>
      <c r="P12892" s="5">
        <v>11</v>
      </c>
      <c r="Q12892" s="5">
        <v>107</v>
      </c>
      <c r="R12892" s="5">
        <v>0</v>
      </c>
      <c r="S12892" s="5">
        <v>4</v>
      </c>
    </row>
    <row r="12893" spans="1:19" ht="56" x14ac:dyDescent="0.15">
      <c r="A12893" s="2">
        <f>HYPERLINK("https://open-school.uspishnemisto.com.ua/school/630054/", 630054)</f>
        <v>630054</v>
      </c>
      <c r="B12893" s="3" t="s">
        <v>64934</v>
      </c>
      <c r="C12893" s="3" t="s">
        <v>31</v>
      </c>
      <c r="D12893" s="3" t="s">
        <v>32</v>
      </c>
      <c r="E12893" s="4" t="s">
        <v>22</v>
      </c>
      <c r="F12893" s="4" t="s">
        <v>64517</v>
      </c>
      <c r="G12893" s="4" t="s">
        <v>64929</v>
      </c>
      <c r="H12893" s="3" t="s">
        <v>63948</v>
      </c>
      <c r="I12893" s="3" t="s">
        <v>64930</v>
      </c>
      <c r="J12893" s="3" t="s">
        <v>64935</v>
      </c>
      <c r="K12893" s="3" t="s">
        <v>64936</v>
      </c>
      <c r="L12893" s="3" t="s">
        <v>64937</v>
      </c>
      <c r="M12893" s="4"/>
      <c r="N12893" s="3" t="s">
        <v>967</v>
      </c>
      <c r="O12893" s="3" t="s">
        <v>52</v>
      </c>
      <c r="P12893" s="5">
        <v>47</v>
      </c>
      <c r="Q12893" s="5">
        <v>1402</v>
      </c>
      <c r="R12893" s="5">
        <v>46</v>
      </c>
      <c r="S12893" s="5">
        <v>1377</v>
      </c>
    </row>
    <row r="12894" spans="1:19" ht="28" x14ac:dyDescent="0.15">
      <c r="A12894" s="2">
        <f>HYPERLINK("https://open-school.uspishnemisto.com.ua/school/630218/", 630218)</f>
        <v>630218</v>
      </c>
      <c r="B12894" s="3" t="s">
        <v>64938</v>
      </c>
      <c r="C12894" s="3" t="s">
        <v>20</v>
      </c>
      <c r="D12894" s="3" t="s">
        <v>21</v>
      </c>
      <c r="E12894" s="4" t="s">
        <v>22</v>
      </c>
      <c r="F12894" s="4" t="s">
        <v>64939</v>
      </c>
      <c r="G12894" s="4" t="s">
        <v>64929</v>
      </c>
      <c r="H12894" s="3" t="s">
        <v>63948</v>
      </c>
      <c r="I12894" s="3" t="s">
        <v>64930</v>
      </c>
      <c r="J12894" s="3" t="s">
        <v>64940</v>
      </c>
      <c r="K12894" s="3" t="s">
        <v>64941</v>
      </c>
      <c r="L12894" s="3" t="s">
        <v>64942</v>
      </c>
      <c r="M12894" s="4"/>
      <c r="N12894" s="3"/>
      <c r="O12894" s="3"/>
      <c r="P12894" s="5">
        <v>0</v>
      </c>
      <c r="Q12894" s="5">
        <v>0</v>
      </c>
      <c r="R12894" s="5"/>
      <c r="S12894" s="5"/>
    </row>
    <row r="12895" spans="1:19" ht="28" x14ac:dyDescent="0.15">
      <c r="A12895" s="2">
        <f>HYPERLINK("https://open-school.uspishnemisto.com.ua/school/630219/", 630219)</f>
        <v>630219</v>
      </c>
      <c r="B12895" s="3" t="s">
        <v>64943</v>
      </c>
      <c r="C12895" s="3" t="s">
        <v>40</v>
      </c>
      <c r="D12895" s="3" t="s">
        <v>32</v>
      </c>
      <c r="E12895" s="4" t="s">
        <v>22</v>
      </c>
      <c r="F12895" s="4" t="s">
        <v>12818</v>
      </c>
      <c r="G12895" s="4" t="s">
        <v>64929</v>
      </c>
      <c r="H12895" s="3" t="s">
        <v>63948</v>
      </c>
      <c r="I12895" s="3" t="s">
        <v>64930</v>
      </c>
      <c r="J12895" s="3" t="s">
        <v>64944</v>
      </c>
      <c r="K12895" s="3" t="s">
        <v>64945</v>
      </c>
      <c r="L12895" s="3" t="s">
        <v>64946</v>
      </c>
      <c r="M12895" s="4"/>
      <c r="N12895" s="3" t="s">
        <v>37</v>
      </c>
      <c r="O12895" s="3" t="s">
        <v>721</v>
      </c>
      <c r="P12895" s="5">
        <v>30</v>
      </c>
      <c r="Q12895" s="5">
        <v>960</v>
      </c>
      <c r="R12895" s="5">
        <v>30</v>
      </c>
      <c r="S12895" s="5">
        <v>949</v>
      </c>
    </row>
    <row r="12896" spans="1:19" ht="28" x14ac:dyDescent="0.15">
      <c r="A12896" s="2">
        <f>HYPERLINK("https://open-school.uspishnemisto.com.ua/school/630220/", 630220)</f>
        <v>630220</v>
      </c>
      <c r="B12896" s="3" t="s">
        <v>64947</v>
      </c>
      <c r="C12896" s="3" t="s">
        <v>40</v>
      </c>
      <c r="D12896" s="3" t="s">
        <v>32</v>
      </c>
      <c r="E12896" s="4" t="s">
        <v>22</v>
      </c>
      <c r="F12896" s="4" t="s">
        <v>64948</v>
      </c>
      <c r="G12896" s="4" t="s">
        <v>64929</v>
      </c>
      <c r="H12896" s="3" t="s">
        <v>63948</v>
      </c>
      <c r="I12896" s="3" t="s">
        <v>64930</v>
      </c>
      <c r="J12896" s="3" t="s">
        <v>64949</v>
      </c>
      <c r="K12896" s="3" t="s">
        <v>64950</v>
      </c>
      <c r="L12896" s="3" t="s">
        <v>64951</v>
      </c>
      <c r="M12896" s="4"/>
      <c r="N12896" s="3" t="s">
        <v>37</v>
      </c>
      <c r="O12896" s="3" t="s">
        <v>197</v>
      </c>
      <c r="P12896" s="5">
        <v>27</v>
      </c>
      <c r="Q12896" s="5">
        <v>796</v>
      </c>
      <c r="R12896" s="5">
        <v>28</v>
      </c>
      <c r="S12896" s="5">
        <v>780</v>
      </c>
    </row>
    <row r="12897" spans="1:19" ht="28" x14ac:dyDescent="0.15">
      <c r="A12897" s="2">
        <f>HYPERLINK("https://open-school.uspishnemisto.com.ua/school/630221/", 630221)</f>
        <v>630221</v>
      </c>
      <c r="B12897" s="3" t="s">
        <v>64952</v>
      </c>
      <c r="C12897" s="3" t="s">
        <v>31</v>
      </c>
      <c r="D12897" s="3" t="s">
        <v>32</v>
      </c>
      <c r="E12897" s="4" t="s">
        <v>22</v>
      </c>
      <c r="F12897" s="4" t="s">
        <v>64939</v>
      </c>
      <c r="G12897" s="4" t="s">
        <v>64929</v>
      </c>
      <c r="H12897" s="3" t="s">
        <v>63948</v>
      </c>
      <c r="I12897" s="3" t="s">
        <v>64930</v>
      </c>
      <c r="J12897" s="3" t="s">
        <v>64953</v>
      </c>
      <c r="K12897" s="3" t="s">
        <v>64954</v>
      </c>
      <c r="L12897" s="3" t="s">
        <v>64955</v>
      </c>
      <c r="M12897" s="4"/>
      <c r="N12897" s="3" t="s">
        <v>967</v>
      </c>
      <c r="O12897" s="3" t="s">
        <v>46</v>
      </c>
      <c r="P12897" s="5">
        <v>20</v>
      </c>
      <c r="Q12897" s="5">
        <v>506</v>
      </c>
      <c r="R12897" s="5">
        <v>20</v>
      </c>
      <c r="S12897" s="5">
        <v>513</v>
      </c>
    </row>
    <row r="12898" spans="1:19" ht="28" x14ac:dyDescent="0.15">
      <c r="A12898" s="2">
        <f>HYPERLINK("https://open-school.uspishnemisto.com.ua/school/630222/", 630222)</f>
        <v>630222</v>
      </c>
      <c r="B12898" s="3" t="s">
        <v>64956</v>
      </c>
      <c r="C12898" s="3" t="s">
        <v>31</v>
      </c>
      <c r="D12898" s="3" t="s">
        <v>32</v>
      </c>
      <c r="E12898" s="4" t="s">
        <v>22</v>
      </c>
      <c r="F12898" s="4" t="s">
        <v>64957</v>
      </c>
      <c r="G12898" s="4" t="s">
        <v>64929</v>
      </c>
      <c r="H12898" s="3" t="s">
        <v>63948</v>
      </c>
      <c r="I12898" s="3" t="s">
        <v>64930</v>
      </c>
      <c r="J12898" s="3" t="s">
        <v>64958</v>
      </c>
      <c r="K12898" s="3" t="s">
        <v>64959</v>
      </c>
      <c r="L12898" s="3" t="s">
        <v>64960</v>
      </c>
      <c r="M12898" s="4"/>
      <c r="N12898" s="3" t="s">
        <v>967</v>
      </c>
      <c r="O12898" s="3" t="s">
        <v>52</v>
      </c>
      <c r="P12898" s="5">
        <v>12</v>
      </c>
      <c r="Q12898" s="5">
        <v>319</v>
      </c>
      <c r="R12898" s="5">
        <v>13</v>
      </c>
      <c r="S12898" s="5">
        <v>313</v>
      </c>
    </row>
    <row r="12899" spans="1:19" ht="28" x14ac:dyDescent="0.15">
      <c r="A12899" s="2">
        <f>HYPERLINK("https://open-school.uspishnemisto.com.ua/school/630223/", 630223)</f>
        <v>630223</v>
      </c>
      <c r="B12899" s="3" t="s">
        <v>64961</v>
      </c>
      <c r="C12899" s="3" t="s">
        <v>31</v>
      </c>
      <c r="D12899" s="3" t="s">
        <v>32</v>
      </c>
      <c r="E12899" s="4" t="s">
        <v>22</v>
      </c>
      <c r="F12899" s="4" t="s">
        <v>64962</v>
      </c>
      <c r="G12899" s="4" t="s">
        <v>64929</v>
      </c>
      <c r="H12899" s="3" t="s">
        <v>63948</v>
      </c>
      <c r="I12899" s="3" t="s">
        <v>64930</v>
      </c>
      <c r="J12899" s="3" t="s">
        <v>64963</v>
      </c>
      <c r="K12899" s="3" t="s">
        <v>64964</v>
      </c>
      <c r="L12899" s="3" t="s">
        <v>64965</v>
      </c>
      <c r="M12899" s="4"/>
      <c r="N12899" s="3" t="s">
        <v>37</v>
      </c>
      <c r="O12899" s="3" t="s">
        <v>38</v>
      </c>
      <c r="P12899" s="5">
        <v>23</v>
      </c>
      <c r="Q12899" s="5">
        <v>689</v>
      </c>
      <c r="R12899" s="5">
        <v>23</v>
      </c>
      <c r="S12899" s="5">
        <v>674</v>
      </c>
    </row>
    <row r="12900" spans="1:19" ht="28" x14ac:dyDescent="0.15">
      <c r="A12900" s="2">
        <f>HYPERLINK("https://open-school.uspishnemisto.com.ua/school/630224/", 630224)</f>
        <v>630224</v>
      </c>
      <c r="B12900" s="3" t="s">
        <v>64966</v>
      </c>
      <c r="C12900" s="3" t="s">
        <v>31</v>
      </c>
      <c r="D12900" s="3" t="s">
        <v>32</v>
      </c>
      <c r="E12900" s="4" t="s">
        <v>22</v>
      </c>
      <c r="F12900" s="4" t="s">
        <v>64962</v>
      </c>
      <c r="G12900" s="4" t="s">
        <v>64929</v>
      </c>
      <c r="H12900" s="3" t="s">
        <v>63948</v>
      </c>
      <c r="I12900" s="3" t="s">
        <v>64930</v>
      </c>
      <c r="J12900" s="3" t="s">
        <v>64967</v>
      </c>
      <c r="K12900" s="3" t="s">
        <v>64968</v>
      </c>
      <c r="L12900" s="3" t="s">
        <v>64969</v>
      </c>
      <c r="M12900" s="4"/>
      <c r="N12900" s="3" t="s">
        <v>37</v>
      </c>
      <c r="O12900" s="3" t="s">
        <v>38</v>
      </c>
      <c r="P12900" s="5">
        <v>12</v>
      </c>
      <c r="Q12900" s="5">
        <v>242</v>
      </c>
      <c r="R12900" s="5">
        <v>12</v>
      </c>
      <c r="S12900" s="5">
        <v>230</v>
      </c>
    </row>
    <row r="12901" spans="1:19" ht="28" x14ac:dyDescent="0.15">
      <c r="A12901" s="2">
        <f>HYPERLINK("https://open-school.uspishnemisto.com.ua/school/630225/", 630225)</f>
        <v>630225</v>
      </c>
      <c r="B12901" s="3" t="s">
        <v>64970</v>
      </c>
      <c r="C12901" s="3" t="s">
        <v>31</v>
      </c>
      <c r="D12901" s="3" t="s">
        <v>32</v>
      </c>
      <c r="E12901" s="4" t="s">
        <v>22</v>
      </c>
      <c r="F12901" s="4" t="s">
        <v>64971</v>
      </c>
      <c r="G12901" s="4" t="s">
        <v>64929</v>
      </c>
      <c r="H12901" s="3" t="s">
        <v>63948</v>
      </c>
      <c r="I12901" s="3" t="s">
        <v>64930</v>
      </c>
      <c r="J12901" s="3" t="s">
        <v>64972</v>
      </c>
      <c r="K12901" s="3" t="s">
        <v>64973</v>
      </c>
      <c r="L12901" s="3" t="s">
        <v>64974</v>
      </c>
      <c r="M12901" s="4"/>
      <c r="N12901" s="3" t="s">
        <v>37</v>
      </c>
      <c r="O12901" s="3" t="s">
        <v>38</v>
      </c>
      <c r="P12901" s="5">
        <v>20</v>
      </c>
      <c r="Q12901" s="5">
        <v>527</v>
      </c>
      <c r="R12901" s="5">
        <v>19</v>
      </c>
      <c r="S12901" s="5">
        <v>524</v>
      </c>
    </row>
    <row r="12902" spans="1:19" ht="28" x14ac:dyDescent="0.15">
      <c r="A12902" s="2">
        <f>HYPERLINK("https://open-school.uspishnemisto.com.ua/school/630226/", 630226)</f>
        <v>630226</v>
      </c>
      <c r="B12902" s="3" t="s">
        <v>64975</v>
      </c>
      <c r="C12902" s="3" t="s">
        <v>31</v>
      </c>
      <c r="D12902" s="3" t="s">
        <v>32</v>
      </c>
      <c r="E12902" s="4" t="s">
        <v>22</v>
      </c>
      <c r="F12902" s="4" t="s">
        <v>64957</v>
      </c>
      <c r="G12902" s="4" t="s">
        <v>64929</v>
      </c>
      <c r="H12902" s="3" t="s">
        <v>63948</v>
      </c>
      <c r="I12902" s="3" t="s">
        <v>64930</v>
      </c>
      <c r="J12902" s="3" t="s">
        <v>64976</v>
      </c>
      <c r="K12902" s="3" t="s">
        <v>64977</v>
      </c>
      <c r="L12902" s="3" t="s">
        <v>64978</v>
      </c>
      <c r="M12902" s="4"/>
      <c r="N12902" s="3" t="s">
        <v>37</v>
      </c>
      <c r="O12902" s="3" t="s">
        <v>38</v>
      </c>
      <c r="P12902" s="5">
        <v>11</v>
      </c>
      <c r="Q12902" s="5">
        <v>247</v>
      </c>
      <c r="R12902" s="5">
        <v>11</v>
      </c>
      <c r="S12902" s="5">
        <v>241</v>
      </c>
    </row>
    <row r="12903" spans="1:19" ht="28" x14ac:dyDescent="0.15">
      <c r="A12903" s="2">
        <f>HYPERLINK("https://open-school.uspishnemisto.com.ua/school/630227/", 630227)</f>
        <v>630227</v>
      </c>
      <c r="B12903" s="3" t="s">
        <v>64979</v>
      </c>
      <c r="C12903" s="3" t="s">
        <v>244</v>
      </c>
      <c r="D12903" s="3" t="s">
        <v>32</v>
      </c>
      <c r="E12903" s="4" t="s">
        <v>22</v>
      </c>
      <c r="F12903" s="4" t="s">
        <v>64962</v>
      </c>
      <c r="G12903" s="4" t="s">
        <v>64929</v>
      </c>
      <c r="H12903" s="3" t="s">
        <v>63948</v>
      </c>
      <c r="I12903" s="3" t="s">
        <v>64930</v>
      </c>
      <c r="J12903" s="3" t="s">
        <v>64980</v>
      </c>
      <c r="K12903" s="3" t="s">
        <v>64981</v>
      </c>
      <c r="L12903" s="3" t="s">
        <v>64982</v>
      </c>
      <c r="M12903" s="4"/>
      <c r="N12903" s="3" t="s">
        <v>37</v>
      </c>
      <c r="O12903" s="3" t="s">
        <v>46</v>
      </c>
      <c r="P12903" s="5">
        <v>20</v>
      </c>
      <c r="Q12903" s="5">
        <v>576</v>
      </c>
      <c r="R12903" s="5">
        <v>19</v>
      </c>
      <c r="S12903" s="5">
        <v>528</v>
      </c>
    </row>
    <row r="12904" spans="1:19" ht="28" x14ac:dyDescent="0.15">
      <c r="A12904" s="2">
        <f>HYPERLINK("https://open-school.uspishnemisto.com.ua/school/630228/", 630228)</f>
        <v>630228</v>
      </c>
      <c r="B12904" s="3" t="s">
        <v>64983</v>
      </c>
      <c r="C12904" s="3" t="s">
        <v>40</v>
      </c>
      <c r="D12904" s="3" t="s">
        <v>32</v>
      </c>
      <c r="E12904" s="4" t="s">
        <v>22</v>
      </c>
      <c r="F12904" s="4" t="s">
        <v>64984</v>
      </c>
      <c r="G12904" s="4" t="s">
        <v>64985</v>
      </c>
      <c r="H12904" s="3" t="s">
        <v>63948</v>
      </c>
      <c r="I12904" s="3" t="s">
        <v>64986</v>
      </c>
      <c r="J12904" s="3" t="s">
        <v>903</v>
      </c>
      <c r="K12904" s="3" t="s">
        <v>64987</v>
      </c>
      <c r="L12904" s="3" t="s">
        <v>64988</v>
      </c>
      <c r="M12904" s="4"/>
      <c r="N12904" s="3" t="s">
        <v>37</v>
      </c>
      <c r="O12904" s="3" t="s">
        <v>38</v>
      </c>
      <c r="P12904" s="5">
        <v>18</v>
      </c>
      <c r="Q12904" s="5">
        <v>427</v>
      </c>
      <c r="R12904" s="5">
        <v>19</v>
      </c>
      <c r="S12904" s="5">
        <v>445</v>
      </c>
    </row>
    <row r="12905" spans="1:19" ht="28" x14ac:dyDescent="0.15">
      <c r="A12905" s="2">
        <f>HYPERLINK("https://open-school.uspishnemisto.com.ua/school/630229/", 630229)</f>
        <v>630229</v>
      </c>
      <c r="B12905" s="3" t="s">
        <v>64989</v>
      </c>
      <c r="C12905" s="3" t="s">
        <v>40</v>
      </c>
      <c r="D12905" s="3" t="s">
        <v>32</v>
      </c>
      <c r="E12905" s="4" t="s">
        <v>22</v>
      </c>
      <c r="F12905" s="4" t="s">
        <v>64984</v>
      </c>
      <c r="G12905" s="4" t="s">
        <v>64985</v>
      </c>
      <c r="H12905" s="3" t="s">
        <v>63948</v>
      </c>
      <c r="I12905" s="3" t="s">
        <v>64986</v>
      </c>
      <c r="J12905" s="3" t="s">
        <v>64990</v>
      </c>
      <c r="K12905" s="3" t="s">
        <v>64991</v>
      </c>
      <c r="L12905" s="3" t="s">
        <v>64992</v>
      </c>
      <c r="M12905" s="4"/>
      <c r="N12905" s="3" t="s">
        <v>128</v>
      </c>
      <c r="O12905" s="3" t="s">
        <v>70</v>
      </c>
      <c r="P12905" s="5">
        <v>25</v>
      </c>
      <c r="Q12905" s="5">
        <v>647</v>
      </c>
      <c r="R12905" s="5">
        <v>28</v>
      </c>
      <c r="S12905" s="5">
        <v>664</v>
      </c>
    </row>
    <row r="12906" spans="1:19" ht="28" x14ac:dyDescent="0.15">
      <c r="A12906" s="2">
        <f>HYPERLINK("https://open-school.uspishnemisto.com.ua/school/630230/", 630230)</f>
        <v>630230</v>
      </c>
      <c r="B12906" s="3" t="s">
        <v>64993</v>
      </c>
      <c r="C12906" s="3" t="s">
        <v>31</v>
      </c>
      <c r="D12906" s="3" t="s">
        <v>32</v>
      </c>
      <c r="E12906" s="4" t="s">
        <v>22</v>
      </c>
      <c r="F12906" s="4" t="s">
        <v>64994</v>
      </c>
      <c r="G12906" s="4" t="s">
        <v>64985</v>
      </c>
      <c r="H12906" s="3" t="s">
        <v>63948</v>
      </c>
      <c r="I12906" s="3" t="s">
        <v>64986</v>
      </c>
      <c r="J12906" s="3" t="s">
        <v>64995</v>
      </c>
      <c r="K12906" s="3" t="s">
        <v>64996</v>
      </c>
      <c r="L12906" s="3" t="s">
        <v>64997</v>
      </c>
      <c r="M12906" s="4"/>
      <c r="N12906" s="3" t="s">
        <v>37</v>
      </c>
      <c r="O12906" s="3" t="s">
        <v>38</v>
      </c>
      <c r="P12906" s="5">
        <v>24</v>
      </c>
      <c r="Q12906" s="5">
        <v>646</v>
      </c>
      <c r="R12906" s="5">
        <v>25</v>
      </c>
      <c r="S12906" s="5">
        <v>632</v>
      </c>
    </row>
    <row r="12907" spans="1:19" ht="28" x14ac:dyDescent="0.15">
      <c r="A12907" s="2">
        <f>HYPERLINK("https://open-school.uspishnemisto.com.ua/school/630231/", 630231)</f>
        <v>630231</v>
      </c>
      <c r="B12907" s="3" t="s">
        <v>64998</v>
      </c>
      <c r="C12907" s="3" t="s">
        <v>31</v>
      </c>
      <c r="D12907" s="3" t="s">
        <v>32</v>
      </c>
      <c r="E12907" s="4" t="s">
        <v>22</v>
      </c>
      <c r="F12907" s="4" t="s">
        <v>64984</v>
      </c>
      <c r="G12907" s="4" t="s">
        <v>64985</v>
      </c>
      <c r="H12907" s="3" t="s">
        <v>63948</v>
      </c>
      <c r="I12907" s="3" t="s">
        <v>64986</v>
      </c>
      <c r="J12907" s="3" t="s">
        <v>64999</v>
      </c>
      <c r="K12907" s="3"/>
      <c r="L12907" s="3" t="s">
        <v>65000</v>
      </c>
      <c r="M12907" s="4"/>
      <c r="N12907" s="3" t="s">
        <v>37</v>
      </c>
      <c r="O12907" s="3" t="s">
        <v>38</v>
      </c>
      <c r="P12907" s="5">
        <v>15</v>
      </c>
      <c r="Q12907" s="5">
        <v>328</v>
      </c>
      <c r="R12907" s="5">
        <v>16</v>
      </c>
      <c r="S12907" s="5">
        <v>331</v>
      </c>
    </row>
    <row r="12908" spans="1:19" ht="28" x14ac:dyDescent="0.15">
      <c r="A12908" s="2">
        <f>HYPERLINK("https://open-school.uspishnemisto.com.ua/school/630232/", 630232)</f>
        <v>630232</v>
      </c>
      <c r="B12908" s="3" t="s">
        <v>65001</v>
      </c>
      <c r="C12908" s="3" t="s">
        <v>31</v>
      </c>
      <c r="D12908" s="3" t="s">
        <v>32</v>
      </c>
      <c r="E12908" s="4" t="s">
        <v>22</v>
      </c>
      <c r="F12908" s="4" t="s">
        <v>65002</v>
      </c>
      <c r="G12908" s="4" t="s">
        <v>64985</v>
      </c>
      <c r="H12908" s="3" t="s">
        <v>63948</v>
      </c>
      <c r="I12908" s="3" t="s">
        <v>64986</v>
      </c>
      <c r="J12908" s="3" t="s">
        <v>65003</v>
      </c>
      <c r="K12908" s="3" t="s">
        <v>65004</v>
      </c>
      <c r="L12908" s="3" t="s">
        <v>65005</v>
      </c>
      <c r="M12908" s="4"/>
      <c r="N12908" s="3" t="s">
        <v>37</v>
      </c>
      <c r="O12908" s="3" t="s">
        <v>38</v>
      </c>
      <c r="P12908" s="5">
        <v>18</v>
      </c>
      <c r="Q12908" s="5">
        <v>405</v>
      </c>
      <c r="R12908" s="5">
        <v>18</v>
      </c>
      <c r="S12908" s="5">
        <v>402</v>
      </c>
    </row>
    <row r="12909" spans="1:19" ht="28" x14ac:dyDescent="0.15">
      <c r="A12909" s="2">
        <f>HYPERLINK("https://open-school.uspishnemisto.com.ua/school/630233/", 630233)</f>
        <v>630233</v>
      </c>
      <c r="B12909" s="3" t="s">
        <v>65006</v>
      </c>
      <c r="C12909" s="3" t="s">
        <v>31</v>
      </c>
      <c r="D12909" s="3" t="s">
        <v>32</v>
      </c>
      <c r="E12909" s="4" t="s">
        <v>22</v>
      </c>
      <c r="F12909" s="4" t="s">
        <v>65007</v>
      </c>
      <c r="G12909" s="4" t="s">
        <v>64985</v>
      </c>
      <c r="H12909" s="3" t="s">
        <v>63948</v>
      </c>
      <c r="I12909" s="3" t="s">
        <v>64986</v>
      </c>
      <c r="J12909" s="3" t="s">
        <v>65008</v>
      </c>
      <c r="K12909" s="3" t="s">
        <v>65009</v>
      </c>
      <c r="L12909" s="3" t="s">
        <v>65010</v>
      </c>
      <c r="M12909" s="4"/>
      <c r="N12909" s="3" t="s">
        <v>37</v>
      </c>
      <c r="O12909" s="3" t="s">
        <v>38</v>
      </c>
      <c r="P12909" s="5">
        <v>19</v>
      </c>
      <c r="Q12909" s="5">
        <v>420</v>
      </c>
      <c r="R12909" s="5">
        <v>19</v>
      </c>
      <c r="S12909" s="5">
        <v>426</v>
      </c>
    </row>
    <row r="12910" spans="1:19" ht="28" x14ac:dyDescent="0.15">
      <c r="A12910" s="2">
        <f>HYPERLINK("https://open-school.uspishnemisto.com.ua/school/630234/", 630234)</f>
        <v>630234</v>
      </c>
      <c r="B12910" s="3" t="s">
        <v>65011</v>
      </c>
      <c r="C12910" s="3" t="s">
        <v>31</v>
      </c>
      <c r="D12910" s="3" t="s">
        <v>32</v>
      </c>
      <c r="E12910" s="4" t="s">
        <v>22</v>
      </c>
      <c r="F12910" s="4" t="s">
        <v>65012</v>
      </c>
      <c r="G12910" s="4" t="s">
        <v>64985</v>
      </c>
      <c r="H12910" s="3" t="s">
        <v>63948</v>
      </c>
      <c r="I12910" s="3" t="s">
        <v>64986</v>
      </c>
      <c r="J12910" s="3" t="s">
        <v>65013</v>
      </c>
      <c r="K12910" s="3" t="s">
        <v>65014</v>
      </c>
      <c r="L12910" s="3" t="s">
        <v>65015</v>
      </c>
      <c r="M12910" s="4"/>
      <c r="N12910" s="3" t="s">
        <v>37</v>
      </c>
      <c r="O12910" s="3" t="s">
        <v>70</v>
      </c>
      <c r="P12910" s="5">
        <v>19</v>
      </c>
      <c r="Q12910" s="5">
        <v>441</v>
      </c>
      <c r="R12910" s="5">
        <v>19</v>
      </c>
      <c r="S12910" s="5">
        <v>454</v>
      </c>
    </row>
    <row r="12911" spans="1:19" ht="28" x14ac:dyDescent="0.15">
      <c r="A12911" s="2">
        <f>HYPERLINK("https://open-school.uspishnemisto.com.ua/school/630235/", 630235)</f>
        <v>630235</v>
      </c>
      <c r="B12911" s="3" t="s">
        <v>65016</v>
      </c>
      <c r="C12911" s="3" t="s">
        <v>31</v>
      </c>
      <c r="D12911" s="3" t="s">
        <v>32</v>
      </c>
      <c r="E12911" s="4" t="s">
        <v>22</v>
      </c>
      <c r="F12911" s="4" t="s">
        <v>64984</v>
      </c>
      <c r="G12911" s="4" t="s">
        <v>64985</v>
      </c>
      <c r="H12911" s="3" t="s">
        <v>63948</v>
      </c>
      <c r="I12911" s="3" t="s">
        <v>64986</v>
      </c>
      <c r="J12911" s="3" t="s">
        <v>65017</v>
      </c>
      <c r="K12911" s="3" t="s">
        <v>65018</v>
      </c>
      <c r="L12911" s="3" t="s">
        <v>65019</v>
      </c>
      <c r="M12911" s="4"/>
      <c r="N12911" s="3" t="s">
        <v>37</v>
      </c>
      <c r="O12911" s="3" t="s">
        <v>38</v>
      </c>
      <c r="P12911" s="5">
        <v>24</v>
      </c>
      <c r="Q12911" s="5">
        <v>646</v>
      </c>
      <c r="R12911" s="5">
        <v>24</v>
      </c>
      <c r="S12911" s="5">
        <v>635</v>
      </c>
    </row>
    <row r="12912" spans="1:19" ht="28" x14ac:dyDescent="0.15">
      <c r="A12912" s="2">
        <f>HYPERLINK("https://open-school.uspishnemisto.com.ua/school/630236/", 630236)</f>
        <v>630236</v>
      </c>
      <c r="B12912" s="3" t="s">
        <v>65020</v>
      </c>
      <c r="C12912" s="3" t="s">
        <v>31</v>
      </c>
      <c r="D12912" s="3" t="s">
        <v>32</v>
      </c>
      <c r="E12912" s="4" t="s">
        <v>22</v>
      </c>
      <c r="F12912" s="4" t="s">
        <v>65021</v>
      </c>
      <c r="G12912" s="4" t="s">
        <v>64985</v>
      </c>
      <c r="H12912" s="3" t="s">
        <v>63948</v>
      </c>
      <c r="I12912" s="3" t="s">
        <v>64986</v>
      </c>
      <c r="J12912" s="3" t="s">
        <v>65022</v>
      </c>
      <c r="K12912" s="3" t="s">
        <v>65023</v>
      </c>
      <c r="L12912" s="3" t="s">
        <v>65024</v>
      </c>
      <c r="M12912" s="4"/>
      <c r="N12912" s="3" t="s">
        <v>37</v>
      </c>
      <c r="O12912" s="3" t="s">
        <v>70</v>
      </c>
      <c r="P12912" s="5">
        <v>20</v>
      </c>
      <c r="Q12912" s="5">
        <v>490</v>
      </c>
      <c r="R12912" s="5">
        <v>19</v>
      </c>
      <c r="S12912" s="5">
        <v>462</v>
      </c>
    </row>
    <row r="12913" spans="1:19" ht="28" x14ac:dyDescent="0.15">
      <c r="A12913" s="2">
        <f>HYPERLINK("https://open-school.uspishnemisto.com.ua/school/630237/", 630237)</f>
        <v>630237</v>
      </c>
      <c r="B12913" s="3" t="s">
        <v>65025</v>
      </c>
      <c r="C12913" s="3" t="s">
        <v>181</v>
      </c>
      <c r="D12913" s="3" t="s">
        <v>175</v>
      </c>
      <c r="E12913" s="4" t="s">
        <v>22</v>
      </c>
      <c r="F12913" s="4" t="s">
        <v>65026</v>
      </c>
      <c r="G12913" s="4" t="s">
        <v>65027</v>
      </c>
      <c r="H12913" s="3" t="s">
        <v>63948</v>
      </c>
      <c r="I12913" s="3" t="s">
        <v>65028</v>
      </c>
      <c r="J12913" s="3" t="s">
        <v>65029</v>
      </c>
      <c r="K12913" s="3" t="s">
        <v>65030</v>
      </c>
      <c r="L12913" s="3" t="s">
        <v>65031</v>
      </c>
      <c r="M12913" s="4" t="s">
        <v>65032</v>
      </c>
      <c r="N12913" s="3" t="s">
        <v>37</v>
      </c>
      <c r="O12913" s="3"/>
      <c r="P12913" s="5">
        <v>14</v>
      </c>
      <c r="Q12913" s="5">
        <v>176</v>
      </c>
      <c r="R12913" s="5">
        <v>14</v>
      </c>
      <c r="S12913" s="5">
        <v>180</v>
      </c>
    </row>
    <row r="12914" spans="1:19" ht="28" x14ac:dyDescent="0.15">
      <c r="A12914" s="2">
        <f>HYPERLINK("https://open-school.uspishnemisto.com.ua/school/630238/", 630238)</f>
        <v>630238</v>
      </c>
      <c r="B12914" s="3" t="s">
        <v>65033</v>
      </c>
      <c r="C12914" s="3" t="s">
        <v>40</v>
      </c>
      <c r="D12914" s="3" t="s">
        <v>32</v>
      </c>
      <c r="E12914" s="4" t="s">
        <v>22</v>
      </c>
      <c r="F12914" s="4" t="s">
        <v>65034</v>
      </c>
      <c r="G12914" s="4" t="s">
        <v>65027</v>
      </c>
      <c r="H12914" s="3" t="s">
        <v>63948</v>
      </c>
      <c r="I12914" s="3" t="s">
        <v>65028</v>
      </c>
      <c r="J12914" s="3" t="s">
        <v>65035</v>
      </c>
      <c r="K12914" s="3" t="s">
        <v>65036</v>
      </c>
      <c r="L12914" s="3"/>
      <c r="M12914" s="4"/>
      <c r="N12914" s="3" t="s">
        <v>37</v>
      </c>
      <c r="O12914" s="3" t="s">
        <v>46</v>
      </c>
      <c r="P12914" s="5">
        <v>7</v>
      </c>
      <c r="Q12914" s="5">
        <v>171</v>
      </c>
      <c r="R12914" s="5">
        <v>7</v>
      </c>
      <c r="S12914" s="5">
        <v>189</v>
      </c>
    </row>
    <row r="12915" spans="1:19" ht="42" x14ac:dyDescent="0.15">
      <c r="A12915" s="2">
        <f>HYPERLINK("https://open-school.uspishnemisto.com.ua/school/630239/", 630239)</f>
        <v>630239</v>
      </c>
      <c r="B12915" s="3" t="s">
        <v>65037</v>
      </c>
      <c r="C12915" s="3" t="s">
        <v>31</v>
      </c>
      <c r="D12915" s="3" t="s">
        <v>32</v>
      </c>
      <c r="E12915" s="4" t="s">
        <v>22</v>
      </c>
      <c r="F12915" s="4" t="s">
        <v>65026</v>
      </c>
      <c r="G12915" s="4" t="s">
        <v>65027</v>
      </c>
      <c r="H12915" s="3" t="s">
        <v>63948</v>
      </c>
      <c r="I12915" s="3" t="s">
        <v>65028</v>
      </c>
      <c r="J12915" s="3" t="s">
        <v>65038</v>
      </c>
      <c r="K12915" s="3" t="s">
        <v>65039</v>
      </c>
      <c r="L12915" s="3"/>
      <c r="M12915" s="4"/>
      <c r="N12915" s="3" t="s">
        <v>37</v>
      </c>
      <c r="O12915" s="3" t="s">
        <v>38</v>
      </c>
      <c r="P12915" s="5">
        <v>21</v>
      </c>
      <c r="Q12915" s="5">
        <v>506</v>
      </c>
      <c r="R12915" s="5">
        <v>20</v>
      </c>
      <c r="S12915" s="5">
        <v>478</v>
      </c>
    </row>
    <row r="12916" spans="1:19" ht="28" x14ac:dyDescent="0.15">
      <c r="A12916" s="2">
        <f>HYPERLINK("https://open-school.uspishnemisto.com.ua/school/630240/", 630240)</f>
        <v>630240</v>
      </c>
      <c r="B12916" s="3" t="s">
        <v>65040</v>
      </c>
      <c r="C12916" s="3" t="s">
        <v>31</v>
      </c>
      <c r="D12916" s="3" t="s">
        <v>32</v>
      </c>
      <c r="E12916" s="4" t="s">
        <v>22</v>
      </c>
      <c r="F12916" s="4" t="s">
        <v>65041</v>
      </c>
      <c r="G12916" s="4" t="s">
        <v>65027</v>
      </c>
      <c r="H12916" s="3" t="s">
        <v>63948</v>
      </c>
      <c r="I12916" s="3" t="s">
        <v>65028</v>
      </c>
      <c r="J12916" s="3" t="s">
        <v>15196</v>
      </c>
      <c r="K12916" s="3" t="s">
        <v>65042</v>
      </c>
      <c r="L12916" s="3" t="s">
        <v>65043</v>
      </c>
      <c r="M12916" s="4"/>
      <c r="N12916" s="3" t="s">
        <v>128</v>
      </c>
      <c r="O12916" s="3" t="s">
        <v>721</v>
      </c>
      <c r="P12916" s="5">
        <v>31</v>
      </c>
      <c r="Q12916" s="5">
        <v>834</v>
      </c>
      <c r="R12916" s="5">
        <v>32</v>
      </c>
      <c r="S12916" s="5">
        <v>845</v>
      </c>
    </row>
    <row r="12917" spans="1:19" ht="28" x14ac:dyDescent="0.15">
      <c r="A12917" s="2">
        <f>HYPERLINK("https://open-school.uspishnemisto.com.ua/school/630241/", 630241)</f>
        <v>630241</v>
      </c>
      <c r="B12917" s="3" t="s">
        <v>65044</v>
      </c>
      <c r="C12917" s="3" t="s">
        <v>54</v>
      </c>
      <c r="D12917" s="3" t="s">
        <v>32</v>
      </c>
      <c r="E12917" s="4" t="s">
        <v>22</v>
      </c>
      <c r="F12917" s="4" t="s">
        <v>65045</v>
      </c>
      <c r="G12917" s="4" t="s">
        <v>65027</v>
      </c>
      <c r="H12917" s="3" t="s">
        <v>63948</v>
      </c>
      <c r="I12917" s="3" t="s">
        <v>65028</v>
      </c>
      <c r="J12917" s="3" t="s">
        <v>65046</v>
      </c>
      <c r="K12917" s="3" t="s">
        <v>65047</v>
      </c>
      <c r="L12917" s="3" t="s">
        <v>65048</v>
      </c>
      <c r="M12917" s="4"/>
      <c r="N12917" s="3" t="s">
        <v>37</v>
      </c>
      <c r="O12917" s="3" t="s">
        <v>38</v>
      </c>
      <c r="P12917" s="5">
        <v>9</v>
      </c>
      <c r="Q12917" s="5">
        <v>205</v>
      </c>
      <c r="R12917" s="5">
        <v>10</v>
      </c>
      <c r="S12917" s="5">
        <v>211</v>
      </c>
    </row>
    <row r="12918" spans="1:19" ht="28" x14ac:dyDescent="0.15">
      <c r="A12918" s="2">
        <f>HYPERLINK("https://open-school.uspishnemisto.com.ua/school/630242/", 630242)</f>
        <v>630242</v>
      </c>
      <c r="B12918" s="3" t="s">
        <v>65049</v>
      </c>
      <c r="C12918" s="3" t="s">
        <v>54</v>
      </c>
      <c r="D12918" s="3" t="s">
        <v>32</v>
      </c>
      <c r="E12918" s="4" t="s">
        <v>22</v>
      </c>
      <c r="F12918" s="4" t="s">
        <v>65050</v>
      </c>
      <c r="G12918" s="4" t="s">
        <v>65027</v>
      </c>
      <c r="H12918" s="3" t="s">
        <v>63948</v>
      </c>
      <c r="I12918" s="3" t="s">
        <v>65028</v>
      </c>
      <c r="J12918" s="3" t="s">
        <v>65051</v>
      </c>
      <c r="K12918" s="3" t="s">
        <v>65052</v>
      </c>
      <c r="L12918" s="3"/>
      <c r="M12918" s="4"/>
      <c r="N12918" s="3" t="s">
        <v>37</v>
      </c>
      <c r="O12918" s="3" t="s">
        <v>38</v>
      </c>
      <c r="P12918" s="5">
        <v>10</v>
      </c>
      <c r="Q12918" s="5">
        <v>254</v>
      </c>
      <c r="R12918" s="5">
        <v>11</v>
      </c>
      <c r="S12918" s="5">
        <v>251</v>
      </c>
    </row>
    <row r="12919" spans="1:19" ht="28" x14ac:dyDescent="0.15">
      <c r="A12919" s="2">
        <f>HYPERLINK("https://open-school.uspishnemisto.com.ua/school/630243/", 630243)</f>
        <v>630243</v>
      </c>
      <c r="B12919" s="3" t="s">
        <v>65053</v>
      </c>
      <c r="C12919" s="3" t="s">
        <v>31</v>
      </c>
      <c r="D12919" s="3" t="s">
        <v>32</v>
      </c>
      <c r="E12919" s="4" t="s">
        <v>22</v>
      </c>
      <c r="F12919" s="4" t="s">
        <v>65041</v>
      </c>
      <c r="G12919" s="4" t="s">
        <v>65027</v>
      </c>
      <c r="H12919" s="3" t="s">
        <v>63948</v>
      </c>
      <c r="I12919" s="3" t="s">
        <v>65028</v>
      </c>
      <c r="J12919" s="3" t="s">
        <v>19568</v>
      </c>
      <c r="K12919" s="3" t="s">
        <v>65054</v>
      </c>
      <c r="L12919" s="3"/>
      <c r="M12919" s="4"/>
      <c r="N12919" s="3" t="s">
        <v>37</v>
      </c>
      <c r="O12919" s="3" t="s">
        <v>38</v>
      </c>
      <c r="P12919" s="5">
        <v>41</v>
      </c>
      <c r="Q12919" s="5">
        <v>1072</v>
      </c>
      <c r="R12919" s="5">
        <v>39</v>
      </c>
      <c r="S12919" s="5">
        <v>996</v>
      </c>
    </row>
    <row r="12920" spans="1:19" ht="28" x14ac:dyDescent="0.15">
      <c r="A12920" s="2">
        <f>HYPERLINK("https://open-school.uspishnemisto.com.ua/school/630244/", 630244)</f>
        <v>630244</v>
      </c>
      <c r="B12920" s="3" t="s">
        <v>65055</v>
      </c>
      <c r="C12920" s="3" t="s">
        <v>40</v>
      </c>
      <c r="D12920" s="3" t="s">
        <v>32</v>
      </c>
      <c r="E12920" s="4" t="s">
        <v>22</v>
      </c>
      <c r="F12920" s="4" t="s">
        <v>65056</v>
      </c>
      <c r="G12920" s="4" t="s">
        <v>65057</v>
      </c>
      <c r="H12920" s="3" t="s">
        <v>63948</v>
      </c>
      <c r="I12920" s="3" t="s">
        <v>65058</v>
      </c>
      <c r="J12920" s="3" t="s">
        <v>65059</v>
      </c>
      <c r="K12920" s="3" t="s">
        <v>65060</v>
      </c>
      <c r="L12920" s="3"/>
      <c r="M12920" s="4"/>
      <c r="N12920" s="3" t="s">
        <v>37</v>
      </c>
      <c r="O12920" s="3" t="s">
        <v>52</v>
      </c>
      <c r="P12920" s="5">
        <v>18</v>
      </c>
      <c r="Q12920" s="5">
        <v>423</v>
      </c>
      <c r="R12920" s="5">
        <v>18</v>
      </c>
      <c r="S12920" s="5">
        <v>413</v>
      </c>
    </row>
    <row r="12921" spans="1:19" ht="28" x14ac:dyDescent="0.15">
      <c r="A12921" s="2">
        <f>HYPERLINK("https://open-school.uspishnemisto.com.ua/school/630245/", 630245)</f>
        <v>630245</v>
      </c>
      <c r="B12921" s="3" t="s">
        <v>65061</v>
      </c>
      <c r="C12921" s="3" t="s">
        <v>31</v>
      </c>
      <c r="D12921" s="3" t="s">
        <v>32</v>
      </c>
      <c r="E12921" s="4" t="s">
        <v>22</v>
      </c>
      <c r="F12921" s="4" t="s">
        <v>65062</v>
      </c>
      <c r="G12921" s="4" t="s">
        <v>65057</v>
      </c>
      <c r="H12921" s="3" t="s">
        <v>63948</v>
      </c>
      <c r="I12921" s="3" t="s">
        <v>65058</v>
      </c>
      <c r="J12921" s="3"/>
      <c r="K12921" s="3" t="s">
        <v>65063</v>
      </c>
      <c r="L12921" s="3" t="s">
        <v>65064</v>
      </c>
      <c r="M12921" s="4"/>
      <c r="N12921" s="3" t="s">
        <v>128</v>
      </c>
      <c r="O12921" s="3" t="s">
        <v>38</v>
      </c>
      <c r="P12921" s="5">
        <v>19</v>
      </c>
      <c r="Q12921" s="5">
        <v>461</v>
      </c>
      <c r="R12921" s="5">
        <v>21</v>
      </c>
      <c r="S12921" s="5">
        <v>498</v>
      </c>
    </row>
    <row r="12922" spans="1:19" ht="28" x14ac:dyDescent="0.15">
      <c r="A12922" s="2">
        <f>HYPERLINK("https://open-school.uspishnemisto.com.ua/school/630246/", 630246)</f>
        <v>630246</v>
      </c>
      <c r="B12922" s="3" t="s">
        <v>65065</v>
      </c>
      <c r="C12922" s="3" t="s">
        <v>31</v>
      </c>
      <c r="D12922" s="3" t="s">
        <v>32</v>
      </c>
      <c r="E12922" s="4" t="s">
        <v>22</v>
      </c>
      <c r="F12922" s="4" t="s">
        <v>65062</v>
      </c>
      <c r="G12922" s="4" t="s">
        <v>65057</v>
      </c>
      <c r="H12922" s="3" t="s">
        <v>63948</v>
      </c>
      <c r="I12922" s="3" t="s">
        <v>65058</v>
      </c>
      <c r="J12922" s="3"/>
      <c r="K12922" s="3" t="s">
        <v>65066</v>
      </c>
      <c r="L12922" s="3" t="s">
        <v>65067</v>
      </c>
      <c r="M12922" s="4"/>
      <c r="N12922" s="3" t="s">
        <v>37</v>
      </c>
      <c r="O12922" s="3" t="s">
        <v>721</v>
      </c>
      <c r="P12922" s="5">
        <v>23</v>
      </c>
      <c r="Q12922" s="5">
        <v>572</v>
      </c>
      <c r="R12922" s="5">
        <v>23</v>
      </c>
      <c r="S12922" s="5">
        <v>578</v>
      </c>
    </row>
    <row r="12923" spans="1:19" ht="28" x14ac:dyDescent="0.15">
      <c r="A12923" s="2">
        <f>HYPERLINK("https://open-school.uspishnemisto.com.ua/school/630247/", 630247)</f>
        <v>630247</v>
      </c>
      <c r="B12923" s="3" t="s">
        <v>65068</v>
      </c>
      <c r="C12923" s="3" t="s">
        <v>40</v>
      </c>
      <c r="D12923" s="3" t="s">
        <v>32</v>
      </c>
      <c r="E12923" s="4" t="s">
        <v>22</v>
      </c>
      <c r="F12923" s="4" t="s">
        <v>65069</v>
      </c>
      <c r="G12923" s="4" t="s">
        <v>65070</v>
      </c>
      <c r="H12923" s="3" t="s">
        <v>63948</v>
      </c>
      <c r="I12923" s="3" t="s">
        <v>65071</v>
      </c>
      <c r="J12923" s="3" t="s">
        <v>65072</v>
      </c>
      <c r="K12923" s="3" t="s">
        <v>65073</v>
      </c>
      <c r="L12923" s="3" t="s">
        <v>65074</v>
      </c>
      <c r="M12923" s="4"/>
      <c r="N12923" s="3" t="s">
        <v>37</v>
      </c>
      <c r="O12923" s="3" t="s">
        <v>38</v>
      </c>
      <c r="P12923" s="5">
        <v>28</v>
      </c>
      <c r="Q12923" s="5">
        <v>686</v>
      </c>
      <c r="R12923" s="5">
        <v>28</v>
      </c>
      <c r="S12923" s="5">
        <v>685</v>
      </c>
    </row>
    <row r="12924" spans="1:19" ht="28" x14ac:dyDescent="0.15">
      <c r="A12924" s="2">
        <f>HYPERLINK("https://open-school.uspishnemisto.com.ua/school/630248/", 630248)</f>
        <v>630248</v>
      </c>
      <c r="B12924" s="3" t="s">
        <v>65075</v>
      </c>
      <c r="C12924" s="3" t="s">
        <v>40</v>
      </c>
      <c r="D12924" s="3" t="s">
        <v>32</v>
      </c>
      <c r="E12924" s="4" t="s">
        <v>22</v>
      </c>
      <c r="F12924" s="4" t="s">
        <v>65076</v>
      </c>
      <c r="G12924" s="4" t="s">
        <v>65077</v>
      </c>
      <c r="H12924" s="3" t="s">
        <v>63948</v>
      </c>
      <c r="I12924" s="3" t="s">
        <v>4171</v>
      </c>
      <c r="J12924" s="3" t="s">
        <v>65078</v>
      </c>
      <c r="K12924" s="3" t="s">
        <v>65079</v>
      </c>
      <c r="L12924" s="3" t="s">
        <v>65080</v>
      </c>
      <c r="M12924" s="4"/>
      <c r="N12924" s="3" t="s">
        <v>37</v>
      </c>
      <c r="O12924" s="3" t="s">
        <v>123</v>
      </c>
      <c r="P12924" s="5">
        <v>11</v>
      </c>
      <c r="Q12924" s="5">
        <v>286</v>
      </c>
      <c r="R12924" s="5">
        <v>11</v>
      </c>
      <c r="S12924" s="5">
        <v>278</v>
      </c>
    </row>
    <row r="12925" spans="1:19" ht="28" x14ac:dyDescent="0.15">
      <c r="A12925" s="2">
        <f>HYPERLINK("https://open-school.uspishnemisto.com.ua/school/630249/", 630249)</f>
        <v>630249</v>
      </c>
      <c r="B12925" s="3" t="s">
        <v>65081</v>
      </c>
      <c r="C12925" s="3" t="s">
        <v>31</v>
      </c>
      <c r="D12925" s="3" t="s">
        <v>32</v>
      </c>
      <c r="E12925" s="4" t="s">
        <v>22</v>
      </c>
      <c r="F12925" s="4" t="s">
        <v>65082</v>
      </c>
      <c r="G12925" s="4" t="s">
        <v>65077</v>
      </c>
      <c r="H12925" s="3" t="s">
        <v>63948</v>
      </c>
      <c r="I12925" s="3" t="s">
        <v>4171</v>
      </c>
      <c r="J12925" s="3" t="s">
        <v>65083</v>
      </c>
      <c r="K12925" s="3" t="s">
        <v>65084</v>
      </c>
      <c r="L12925" s="3" t="s">
        <v>65085</v>
      </c>
      <c r="M12925" s="4"/>
      <c r="N12925" s="3" t="s">
        <v>967</v>
      </c>
      <c r="O12925" s="3" t="s">
        <v>2740</v>
      </c>
      <c r="P12925" s="5">
        <v>19</v>
      </c>
      <c r="Q12925" s="5">
        <v>464</v>
      </c>
      <c r="R12925" s="5">
        <v>19</v>
      </c>
      <c r="S12925" s="5">
        <v>455</v>
      </c>
    </row>
    <row r="12926" spans="1:19" ht="28" x14ac:dyDescent="0.15">
      <c r="A12926" s="2">
        <f>HYPERLINK("https://open-school.uspishnemisto.com.ua/school/630250/", 630250)</f>
        <v>630250</v>
      </c>
      <c r="B12926" s="3" t="s">
        <v>65086</v>
      </c>
      <c r="C12926" s="3" t="s">
        <v>31</v>
      </c>
      <c r="D12926" s="3" t="s">
        <v>32</v>
      </c>
      <c r="E12926" s="4" t="s">
        <v>22</v>
      </c>
      <c r="F12926" s="4" t="s">
        <v>65076</v>
      </c>
      <c r="G12926" s="4" t="s">
        <v>65077</v>
      </c>
      <c r="H12926" s="3" t="s">
        <v>63948</v>
      </c>
      <c r="I12926" s="3" t="s">
        <v>4171</v>
      </c>
      <c r="J12926" s="3" t="s">
        <v>65087</v>
      </c>
      <c r="K12926" s="3" t="s">
        <v>65088</v>
      </c>
      <c r="L12926" s="3" t="s">
        <v>65089</v>
      </c>
      <c r="M12926" s="4"/>
      <c r="N12926" s="3" t="s">
        <v>128</v>
      </c>
      <c r="O12926" s="3" t="s">
        <v>38</v>
      </c>
      <c r="P12926" s="5">
        <v>16</v>
      </c>
      <c r="Q12926" s="5">
        <v>391</v>
      </c>
      <c r="R12926" s="5">
        <v>17</v>
      </c>
      <c r="S12926" s="5">
        <v>397</v>
      </c>
    </row>
    <row r="12927" spans="1:19" ht="28" x14ac:dyDescent="0.15">
      <c r="A12927" s="2">
        <f>HYPERLINK("https://open-school.uspishnemisto.com.ua/school/630251/", 630251)</f>
        <v>630251</v>
      </c>
      <c r="B12927" s="3" t="s">
        <v>65090</v>
      </c>
      <c r="C12927" s="3" t="s">
        <v>31</v>
      </c>
      <c r="D12927" s="3" t="s">
        <v>32</v>
      </c>
      <c r="E12927" s="4" t="s">
        <v>22</v>
      </c>
      <c r="F12927" s="4" t="s">
        <v>65082</v>
      </c>
      <c r="G12927" s="4" t="s">
        <v>65077</v>
      </c>
      <c r="H12927" s="3" t="s">
        <v>63948</v>
      </c>
      <c r="I12927" s="3" t="s">
        <v>4171</v>
      </c>
      <c r="J12927" s="3" t="s">
        <v>65091</v>
      </c>
      <c r="K12927" s="3" t="s">
        <v>65092</v>
      </c>
      <c r="L12927" s="3" t="s">
        <v>65093</v>
      </c>
      <c r="M12927" s="4"/>
      <c r="N12927" s="3" t="s">
        <v>37</v>
      </c>
      <c r="O12927" s="3" t="s">
        <v>38</v>
      </c>
      <c r="P12927" s="5">
        <v>25</v>
      </c>
      <c r="Q12927" s="5">
        <v>702</v>
      </c>
      <c r="R12927" s="5">
        <v>25</v>
      </c>
      <c r="S12927" s="5">
        <v>668</v>
      </c>
    </row>
    <row r="12928" spans="1:19" ht="28" x14ac:dyDescent="0.15">
      <c r="A12928" s="2">
        <f>HYPERLINK("https://open-school.uspishnemisto.com.ua/school/630252/", 630252)</f>
        <v>630252</v>
      </c>
      <c r="B12928" s="3" t="s">
        <v>65094</v>
      </c>
      <c r="C12928" s="3" t="s">
        <v>31</v>
      </c>
      <c r="D12928" s="3" t="s">
        <v>32</v>
      </c>
      <c r="E12928" s="4" t="s">
        <v>22</v>
      </c>
      <c r="F12928" s="4" t="s">
        <v>65095</v>
      </c>
      <c r="G12928" s="4" t="s">
        <v>65077</v>
      </c>
      <c r="H12928" s="3" t="s">
        <v>63948</v>
      </c>
      <c r="I12928" s="3" t="s">
        <v>4171</v>
      </c>
      <c r="J12928" s="3" t="s">
        <v>65096</v>
      </c>
      <c r="K12928" s="3" t="s">
        <v>65097</v>
      </c>
      <c r="L12928" s="3" t="s">
        <v>65098</v>
      </c>
      <c r="M12928" s="4"/>
      <c r="N12928" s="3" t="s">
        <v>37</v>
      </c>
      <c r="O12928" s="3" t="s">
        <v>38</v>
      </c>
      <c r="P12928" s="5">
        <v>24</v>
      </c>
      <c r="Q12928" s="5">
        <v>632</v>
      </c>
      <c r="R12928" s="5">
        <v>24</v>
      </c>
      <c r="S12928" s="5">
        <v>619</v>
      </c>
    </row>
    <row r="12929" spans="1:19" ht="28" x14ac:dyDescent="0.15">
      <c r="A12929" s="2">
        <f>HYPERLINK("https://open-school.uspishnemisto.com.ua/school/630253/", 630253)</f>
        <v>630253</v>
      </c>
      <c r="B12929" s="3" t="s">
        <v>65099</v>
      </c>
      <c r="C12929" s="3" t="s">
        <v>31</v>
      </c>
      <c r="D12929" s="3" t="s">
        <v>32</v>
      </c>
      <c r="E12929" s="4" t="s">
        <v>22</v>
      </c>
      <c r="F12929" s="4" t="s">
        <v>65095</v>
      </c>
      <c r="G12929" s="4" t="s">
        <v>65077</v>
      </c>
      <c r="H12929" s="3" t="s">
        <v>63948</v>
      </c>
      <c r="I12929" s="3" t="s">
        <v>4171</v>
      </c>
      <c r="J12929" s="3" t="s">
        <v>65100</v>
      </c>
      <c r="K12929" s="3" t="s">
        <v>65101</v>
      </c>
      <c r="L12929" s="3" t="s">
        <v>65102</v>
      </c>
      <c r="M12929" s="4"/>
      <c r="N12929" s="3" t="s">
        <v>37</v>
      </c>
      <c r="O12929" s="3" t="s">
        <v>70</v>
      </c>
      <c r="P12929" s="5">
        <v>23</v>
      </c>
      <c r="Q12929" s="5">
        <v>610</v>
      </c>
      <c r="R12929" s="5">
        <v>22</v>
      </c>
      <c r="S12929" s="5">
        <v>577</v>
      </c>
    </row>
    <row r="12930" spans="1:19" ht="42" x14ac:dyDescent="0.15">
      <c r="A12930" s="2">
        <f>HYPERLINK("https://open-school.uspishnemisto.com.ua/school/630254/", 630254)</f>
        <v>630254</v>
      </c>
      <c r="B12930" s="3" t="s">
        <v>65103</v>
      </c>
      <c r="C12930" s="3" t="s">
        <v>188</v>
      </c>
      <c r="D12930" s="3" t="s">
        <v>32</v>
      </c>
      <c r="E12930" s="4" t="s">
        <v>22</v>
      </c>
      <c r="F12930" s="4" t="s">
        <v>65082</v>
      </c>
      <c r="G12930" s="4" t="s">
        <v>65077</v>
      </c>
      <c r="H12930" s="3" t="s">
        <v>63948</v>
      </c>
      <c r="I12930" s="3" t="s">
        <v>4171</v>
      </c>
      <c r="J12930" s="3" t="s">
        <v>65104</v>
      </c>
      <c r="K12930" s="3" t="s">
        <v>65105</v>
      </c>
      <c r="L12930" s="3" t="s">
        <v>65106</v>
      </c>
      <c r="M12930" s="4"/>
      <c r="N12930" s="3" t="s">
        <v>37</v>
      </c>
      <c r="O12930" s="3" t="s">
        <v>38</v>
      </c>
      <c r="P12930" s="5">
        <v>40</v>
      </c>
      <c r="Q12930" s="5">
        <v>1119</v>
      </c>
      <c r="R12930" s="5">
        <v>39</v>
      </c>
      <c r="S12930" s="5">
        <v>1089</v>
      </c>
    </row>
    <row r="12931" spans="1:19" ht="56" x14ac:dyDescent="0.15">
      <c r="A12931" s="2">
        <f>HYPERLINK("https://open-school.uspishnemisto.com.ua/school/630255/", 630255)</f>
        <v>630255</v>
      </c>
      <c r="B12931" s="3" t="s">
        <v>65107</v>
      </c>
      <c r="C12931" s="3" t="s">
        <v>54</v>
      </c>
      <c r="D12931" s="3" t="s">
        <v>32</v>
      </c>
      <c r="E12931" s="4" t="s">
        <v>22</v>
      </c>
      <c r="F12931" s="4" t="s">
        <v>65076</v>
      </c>
      <c r="G12931" s="4" t="s">
        <v>65077</v>
      </c>
      <c r="H12931" s="3" t="s">
        <v>63948</v>
      </c>
      <c r="I12931" s="3" t="s">
        <v>4171</v>
      </c>
      <c r="J12931" s="3" t="s">
        <v>65108</v>
      </c>
      <c r="K12931" s="3" t="s">
        <v>65109</v>
      </c>
      <c r="L12931" s="3" t="s">
        <v>65110</v>
      </c>
      <c r="M12931" s="4"/>
      <c r="N12931" s="3" t="s">
        <v>37</v>
      </c>
      <c r="O12931" s="3" t="s">
        <v>38</v>
      </c>
      <c r="P12931" s="5">
        <v>20</v>
      </c>
      <c r="Q12931" s="5">
        <v>491</v>
      </c>
      <c r="R12931" s="5">
        <v>20</v>
      </c>
      <c r="S12931" s="5">
        <v>473</v>
      </c>
    </row>
    <row r="12932" spans="1:19" ht="56" x14ac:dyDescent="0.15">
      <c r="A12932" s="2">
        <f>HYPERLINK("https://open-school.uspishnemisto.com.ua/school/630256/", 630256)</f>
        <v>630256</v>
      </c>
      <c r="B12932" s="3" t="s">
        <v>65111</v>
      </c>
      <c r="C12932" s="3" t="s">
        <v>54</v>
      </c>
      <c r="D12932" s="3" t="s">
        <v>32</v>
      </c>
      <c r="E12932" s="4" t="s">
        <v>22</v>
      </c>
      <c r="F12932" s="4" t="s">
        <v>65112</v>
      </c>
      <c r="G12932" s="4" t="s">
        <v>65077</v>
      </c>
      <c r="H12932" s="3" t="s">
        <v>63948</v>
      </c>
      <c r="I12932" s="3" t="s">
        <v>4171</v>
      </c>
      <c r="J12932" s="3" t="s">
        <v>65113</v>
      </c>
      <c r="K12932" s="3" t="s">
        <v>65114</v>
      </c>
      <c r="L12932" s="3" t="s">
        <v>65115</v>
      </c>
      <c r="M12932" s="4"/>
      <c r="N12932" s="3" t="s">
        <v>37</v>
      </c>
      <c r="O12932" s="3" t="s">
        <v>38</v>
      </c>
      <c r="P12932" s="5">
        <v>20</v>
      </c>
      <c r="Q12932" s="5">
        <v>538</v>
      </c>
      <c r="R12932" s="5">
        <v>20</v>
      </c>
      <c r="S12932" s="5">
        <v>514</v>
      </c>
    </row>
    <row r="12933" spans="1:19" ht="28" x14ac:dyDescent="0.15">
      <c r="A12933" s="2">
        <f>HYPERLINK("https://open-school.uspishnemisto.com.ua/school/630257/", 630257)</f>
        <v>630257</v>
      </c>
      <c r="B12933" s="3" t="s">
        <v>65116</v>
      </c>
      <c r="C12933" s="3" t="s">
        <v>31</v>
      </c>
      <c r="D12933" s="3" t="s">
        <v>32</v>
      </c>
      <c r="E12933" s="4" t="s">
        <v>22</v>
      </c>
      <c r="F12933" s="4" t="s">
        <v>65117</v>
      </c>
      <c r="G12933" s="4" t="s">
        <v>65118</v>
      </c>
      <c r="H12933" s="3" t="s">
        <v>63948</v>
      </c>
      <c r="I12933" s="3" t="s">
        <v>65119</v>
      </c>
      <c r="J12933" s="3" t="s">
        <v>65120</v>
      </c>
      <c r="K12933" s="3"/>
      <c r="L12933" s="3" t="s">
        <v>65121</v>
      </c>
      <c r="M12933" s="4"/>
      <c r="N12933" s="3" t="s">
        <v>37</v>
      </c>
      <c r="O12933" s="3" t="s">
        <v>38</v>
      </c>
      <c r="P12933" s="5">
        <v>22</v>
      </c>
      <c r="Q12933" s="5">
        <v>554</v>
      </c>
      <c r="R12933" s="5">
        <v>22</v>
      </c>
      <c r="S12933" s="5">
        <v>527</v>
      </c>
    </row>
    <row r="12934" spans="1:19" ht="28" x14ac:dyDescent="0.15">
      <c r="A12934" s="2">
        <f>HYPERLINK("https://open-school.uspishnemisto.com.ua/school/630258/", 630258)</f>
        <v>630258</v>
      </c>
      <c r="B12934" s="3" t="s">
        <v>65122</v>
      </c>
      <c r="C12934" s="3" t="s">
        <v>31</v>
      </c>
      <c r="D12934" s="3" t="s">
        <v>175</v>
      </c>
      <c r="E12934" s="4" t="s">
        <v>22</v>
      </c>
      <c r="F12934" s="4" t="s">
        <v>65117</v>
      </c>
      <c r="G12934" s="4" t="s">
        <v>65123</v>
      </c>
      <c r="H12934" s="3" t="s">
        <v>63948</v>
      </c>
      <c r="I12934" s="3" t="s">
        <v>65124</v>
      </c>
      <c r="J12934" s="3" t="s">
        <v>65125</v>
      </c>
      <c r="K12934" s="3" t="s">
        <v>65126</v>
      </c>
      <c r="L12934" s="3"/>
      <c r="M12934" s="4"/>
      <c r="N12934" s="3" t="s">
        <v>37</v>
      </c>
      <c r="O12934" s="3" t="s">
        <v>38</v>
      </c>
      <c r="P12934" s="5">
        <v>9</v>
      </c>
      <c r="Q12934" s="5">
        <v>120</v>
      </c>
      <c r="R12934" s="5">
        <v>9</v>
      </c>
      <c r="S12934" s="5">
        <v>107</v>
      </c>
    </row>
    <row r="12935" spans="1:19" ht="56" x14ac:dyDescent="0.15">
      <c r="A12935" s="2">
        <f>HYPERLINK("https://open-school.uspishnemisto.com.ua/school/630259/", 630259)</f>
        <v>630259</v>
      </c>
      <c r="B12935" s="3" t="s">
        <v>65127</v>
      </c>
      <c r="C12935" s="3" t="s">
        <v>54</v>
      </c>
      <c r="D12935" s="3" t="s">
        <v>175</v>
      </c>
      <c r="E12935" s="4" t="s">
        <v>22</v>
      </c>
      <c r="F12935" s="4" t="s">
        <v>65128</v>
      </c>
      <c r="G12935" s="4" t="s">
        <v>65129</v>
      </c>
      <c r="H12935" s="3" t="s">
        <v>63948</v>
      </c>
      <c r="I12935" s="3" t="s">
        <v>65130</v>
      </c>
      <c r="J12935" s="3" t="s">
        <v>1167</v>
      </c>
      <c r="K12935" s="3" t="s">
        <v>65131</v>
      </c>
      <c r="L12935" s="3"/>
      <c r="M12935" s="4"/>
      <c r="N12935" s="3" t="s">
        <v>37</v>
      </c>
      <c r="O12935" s="3" t="s">
        <v>38</v>
      </c>
      <c r="P12935" s="5">
        <v>9</v>
      </c>
      <c r="Q12935" s="5">
        <v>88</v>
      </c>
      <c r="R12935" s="5">
        <v>9</v>
      </c>
      <c r="S12935" s="5">
        <v>82</v>
      </c>
    </row>
    <row r="12936" spans="1:19" ht="42" x14ac:dyDescent="0.15">
      <c r="A12936" s="2">
        <f>HYPERLINK("https://open-school.uspishnemisto.com.ua/school/630260/", 630260)</f>
        <v>630260</v>
      </c>
      <c r="B12936" s="3" t="s">
        <v>65132</v>
      </c>
      <c r="C12936" s="3" t="s">
        <v>4989</v>
      </c>
      <c r="D12936" s="3" t="s">
        <v>32</v>
      </c>
      <c r="E12936" s="4" t="s">
        <v>22</v>
      </c>
      <c r="F12936" s="4" t="s">
        <v>65133</v>
      </c>
      <c r="G12936" s="4" t="s">
        <v>65134</v>
      </c>
      <c r="H12936" s="3" t="s">
        <v>63948</v>
      </c>
      <c r="I12936" s="3" t="s">
        <v>65135</v>
      </c>
      <c r="J12936" s="3" t="s">
        <v>65136</v>
      </c>
      <c r="K12936" s="3" t="s">
        <v>65137</v>
      </c>
      <c r="L12936" s="3" t="s">
        <v>65138</v>
      </c>
      <c r="M12936" s="4" t="s">
        <v>65139</v>
      </c>
      <c r="N12936" s="3" t="s">
        <v>37</v>
      </c>
      <c r="O12936" s="3" t="s">
        <v>52</v>
      </c>
      <c r="P12936" s="5">
        <v>10</v>
      </c>
      <c r="Q12936" s="5">
        <v>151</v>
      </c>
      <c r="R12936" s="5">
        <v>9</v>
      </c>
      <c r="S12936" s="5">
        <v>140</v>
      </c>
    </row>
    <row r="12937" spans="1:19" ht="28" x14ac:dyDescent="0.15">
      <c r="A12937" s="2">
        <f>HYPERLINK("https://open-school.uspishnemisto.com.ua/school/630261/", 630261)</f>
        <v>630261</v>
      </c>
      <c r="B12937" s="3" t="s">
        <v>65140</v>
      </c>
      <c r="C12937" s="3" t="s">
        <v>40</v>
      </c>
      <c r="D12937" s="3" t="s">
        <v>32</v>
      </c>
      <c r="E12937" s="4" t="s">
        <v>22</v>
      </c>
      <c r="F12937" s="4" t="s">
        <v>65133</v>
      </c>
      <c r="G12937" s="4" t="s">
        <v>65134</v>
      </c>
      <c r="H12937" s="3" t="s">
        <v>63948</v>
      </c>
      <c r="I12937" s="3" t="s">
        <v>65135</v>
      </c>
      <c r="J12937" s="3" t="s">
        <v>28919</v>
      </c>
      <c r="K12937" s="3" t="s">
        <v>65141</v>
      </c>
      <c r="L12937" s="3"/>
      <c r="M12937" s="4"/>
      <c r="N12937" s="3" t="s">
        <v>37</v>
      </c>
      <c r="O12937" s="3" t="s">
        <v>38</v>
      </c>
      <c r="P12937" s="5">
        <v>27</v>
      </c>
      <c r="Q12937" s="5">
        <v>689</v>
      </c>
      <c r="R12937" s="5">
        <v>26</v>
      </c>
      <c r="S12937" s="5">
        <v>663</v>
      </c>
    </row>
    <row r="12938" spans="1:19" ht="28" x14ac:dyDescent="0.15">
      <c r="A12938" s="2">
        <f>HYPERLINK("https://open-school.uspishnemisto.com.ua/school/630262/", 630262)</f>
        <v>630262</v>
      </c>
      <c r="B12938" s="3" t="s">
        <v>65142</v>
      </c>
      <c r="C12938" s="3" t="s">
        <v>31</v>
      </c>
      <c r="D12938" s="3" t="s">
        <v>32</v>
      </c>
      <c r="E12938" s="4" t="s">
        <v>22</v>
      </c>
      <c r="F12938" s="4" t="s">
        <v>65133</v>
      </c>
      <c r="G12938" s="4" t="s">
        <v>65134</v>
      </c>
      <c r="H12938" s="3" t="s">
        <v>63948</v>
      </c>
      <c r="I12938" s="3" t="s">
        <v>65135</v>
      </c>
      <c r="J12938" s="3" t="s">
        <v>65143</v>
      </c>
      <c r="K12938" s="3" t="s">
        <v>65144</v>
      </c>
      <c r="L12938" s="3" t="s">
        <v>65145</v>
      </c>
      <c r="M12938" s="4"/>
      <c r="N12938" s="3" t="s">
        <v>37</v>
      </c>
      <c r="O12938" s="3" t="s">
        <v>38</v>
      </c>
      <c r="P12938" s="5">
        <v>11</v>
      </c>
      <c r="Q12938" s="5">
        <v>198</v>
      </c>
      <c r="R12938" s="5">
        <v>11</v>
      </c>
      <c r="S12938" s="5">
        <v>193</v>
      </c>
    </row>
    <row r="12939" spans="1:19" ht="28" x14ac:dyDescent="0.15">
      <c r="A12939" s="2">
        <f>HYPERLINK("https://open-school.uspishnemisto.com.ua/school/630263/", 630263)</f>
        <v>630263</v>
      </c>
      <c r="B12939" s="3" t="s">
        <v>65146</v>
      </c>
      <c r="C12939" s="3" t="s">
        <v>31</v>
      </c>
      <c r="D12939" s="3" t="s">
        <v>32</v>
      </c>
      <c r="E12939" s="4" t="s">
        <v>22</v>
      </c>
      <c r="F12939" s="4" t="s">
        <v>65147</v>
      </c>
      <c r="G12939" s="4" t="s">
        <v>65134</v>
      </c>
      <c r="H12939" s="3" t="s">
        <v>63948</v>
      </c>
      <c r="I12939" s="3" t="s">
        <v>65135</v>
      </c>
      <c r="J12939" s="3" t="s">
        <v>65148</v>
      </c>
      <c r="K12939" s="3" t="s">
        <v>65149</v>
      </c>
      <c r="L12939" s="3" t="s">
        <v>65150</v>
      </c>
      <c r="M12939" s="4"/>
      <c r="N12939" s="3" t="s">
        <v>37</v>
      </c>
      <c r="O12939" s="3" t="s">
        <v>38</v>
      </c>
      <c r="P12939" s="5">
        <v>10</v>
      </c>
      <c r="Q12939" s="5">
        <v>119</v>
      </c>
      <c r="R12939" s="5">
        <v>10</v>
      </c>
      <c r="S12939" s="5">
        <v>118</v>
      </c>
    </row>
    <row r="12940" spans="1:19" ht="28" x14ac:dyDescent="0.15">
      <c r="A12940" s="2">
        <f>HYPERLINK("https://open-school.uspishnemisto.com.ua/school/630264/", 630264)</f>
        <v>630264</v>
      </c>
      <c r="B12940" s="3" t="s">
        <v>65151</v>
      </c>
      <c r="C12940" s="3" t="s">
        <v>31</v>
      </c>
      <c r="D12940" s="3" t="s">
        <v>32</v>
      </c>
      <c r="E12940" s="4" t="s">
        <v>22</v>
      </c>
      <c r="F12940" s="4" t="s">
        <v>65133</v>
      </c>
      <c r="G12940" s="4" t="s">
        <v>65134</v>
      </c>
      <c r="H12940" s="3" t="s">
        <v>63948</v>
      </c>
      <c r="I12940" s="3" t="s">
        <v>65135</v>
      </c>
      <c r="J12940" s="3" t="s">
        <v>4678</v>
      </c>
      <c r="K12940" s="3" t="s">
        <v>65152</v>
      </c>
      <c r="L12940" s="3"/>
      <c r="M12940" s="4"/>
      <c r="N12940" s="3" t="s">
        <v>37</v>
      </c>
      <c r="O12940" s="3" t="s">
        <v>38</v>
      </c>
      <c r="P12940" s="5">
        <v>19</v>
      </c>
      <c r="Q12940" s="5">
        <v>401</v>
      </c>
      <c r="R12940" s="5">
        <v>18</v>
      </c>
      <c r="S12940" s="5">
        <v>383</v>
      </c>
    </row>
    <row r="12941" spans="1:19" ht="28" x14ac:dyDescent="0.15">
      <c r="A12941" s="2">
        <f>HYPERLINK("https://open-school.uspishnemisto.com.ua/school/630265/", 630265)</f>
        <v>630265</v>
      </c>
      <c r="B12941" s="3" t="s">
        <v>65153</v>
      </c>
      <c r="C12941" s="3" t="s">
        <v>31</v>
      </c>
      <c r="D12941" s="3" t="s">
        <v>32</v>
      </c>
      <c r="E12941" s="4" t="s">
        <v>22</v>
      </c>
      <c r="F12941" s="4" t="s">
        <v>65133</v>
      </c>
      <c r="G12941" s="4" t="s">
        <v>65134</v>
      </c>
      <c r="H12941" s="3" t="s">
        <v>63948</v>
      </c>
      <c r="I12941" s="3" t="s">
        <v>65135</v>
      </c>
      <c r="J12941" s="3" t="s">
        <v>12690</v>
      </c>
      <c r="K12941" s="3" t="s">
        <v>65154</v>
      </c>
      <c r="L12941" s="3" t="s">
        <v>65155</v>
      </c>
      <c r="M12941" s="4"/>
      <c r="N12941" s="3" t="s">
        <v>128</v>
      </c>
      <c r="O12941" s="3" t="s">
        <v>70</v>
      </c>
      <c r="P12941" s="5">
        <v>23</v>
      </c>
      <c r="Q12941" s="5">
        <v>602</v>
      </c>
      <c r="R12941" s="5">
        <v>23</v>
      </c>
      <c r="S12941" s="5">
        <v>596</v>
      </c>
    </row>
    <row r="12942" spans="1:19" ht="56" x14ac:dyDescent="0.15">
      <c r="A12942" s="2">
        <f>HYPERLINK("https://open-school.uspishnemisto.com.ua/school/630266/", 630266)</f>
        <v>630266</v>
      </c>
      <c r="B12942" s="3" t="s">
        <v>65156</v>
      </c>
      <c r="C12942" s="3" t="s">
        <v>54</v>
      </c>
      <c r="D12942" s="3" t="s">
        <v>32</v>
      </c>
      <c r="E12942" s="4" t="s">
        <v>22</v>
      </c>
      <c r="F12942" s="4" t="s">
        <v>65133</v>
      </c>
      <c r="G12942" s="4" t="s">
        <v>65134</v>
      </c>
      <c r="H12942" s="3" t="s">
        <v>63948</v>
      </c>
      <c r="I12942" s="3" t="s">
        <v>65135</v>
      </c>
      <c r="J12942" s="3" t="s">
        <v>65157</v>
      </c>
      <c r="K12942" s="3" t="s">
        <v>65158</v>
      </c>
      <c r="L12942" s="3" t="s">
        <v>65159</v>
      </c>
      <c r="M12942" s="4"/>
      <c r="N12942" s="3" t="s">
        <v>37</v>
      </c>
      <c r="O12942" s="3" t="s">
        <v>38</v>
      </c>
      <c r="P12942" s="5">
        <v>11</v>
      </c>
      <c r="Q12942" s="5">
        <v>228</v>
      </c>
      <c r="R12942" s="5">
        <v>10</v>
      </c>
      <c r="S12942" s="5">
        <v>202</v>
      </c>
    </row>
    <row r="12943" spans="1:19" ht="28" x14ac:dyDescent="0.15">
      <c r="A12943" s="2">
        <f>HYPERLINK("https://open-school.uspishnemisto.com.ua/school/630267/", 630267)</f>
        <v>630267</v>
      </c>
      <c r="B12943" s="3" t="s">
        <v>65160</v>
      </c>
      <c r="C12943" s="3" t="s">
        <v>31</v>
      </c>
      <c r="D12943" s="3" t="s">
        <v>32</v>
      </c>
      <c r="E12943" s="4" t="s">
        <v>22</v>
      </c>
      <c r="F12943" s="4" t="s">
        <v>65161</v>
      </c>
      <c r="G12943" s="4" t="s">
        <v>65162</v>
      </c>
      <c r="H12943" s="3" t="s">
        <v>63948</v>
      </c>
      <c r="I12943" s="3" t="s">
        <v>65163</v>
      </c>
      <c r="J12943" s="3" t="s">
        <v>65164</v>
      </c>
      <c r="K12943" s="3" t="s">
        <v>65165</v>
      </c>
      <c r="L12943" s="3" t="s">
        <v>65166</v>
      </c>
      <c r="M12943" s="4"/>
      <c r="N12943" s="3" t="s">
        <v>37</v>
      </c>
      <c r="O12943" s="3" t="s">
        <v>38</v>
      </c>
      <c r="P12943" s="5">
        <v>10</v>
      </c>
      <c r="Q12943" s="5">
        <v>105</v>
      </c>
      <c r="R12943" s="5">
        <v>11</v>
      </c>
      <c r="S12943" s="5">
        <v>110</v>
      </c>
    </row>
    <row r="12944" spans="1:19" ht="28" x14ac:dyDescent="0.15">
      <c r="A12944" s="2">
        <f>HYPERLINK("https://open-school.uspishnemisto.com.ua/school/630268/", 630268)</f>
        <v>630268</v>
      </c>
      <c r="B12944" s="3" t="s">
        <v>65167</v>
      </c>
      <c r="C12944" s="3" t="s">
        <v>40</v>
      </c>
      <c r="D12944" s="3" t="s">
        <v>32</v>
      </c>
      <c r="E12944" s="4" t="s">
        <v>22</v>
      </c>
      <c r="F12944" s="4" t="s">
        <v>65168</v>
      </c>
      <c r="G12944" s="4" t="s">
        <v>65169</v>
      </c>
      <c r="H12944" s="3" t="s">
        <v>63948</v>
      </c>
      <c r="I12944" s="3" t="s">
        <v>65170</v>
      </c>
      <c r="J12944" s="3" t="s">
        <v>65171</v>
      </c>
      <c r="K12944" s="3" t="s">
        <v>65172</v>
      </c>
      <c r="L12944" s="3" t="s">
        <v>65173</v>
      </c>
      <c r="M12944" s="4"/>
      <c r="N12944" s="3" t="s">
        <v>37</v>
      </c>
      <c r="O12944" s="3" t="s">
        <v>38</v>
      </c>
      <c r="P12944" s="5">
        <v>13</v>
      </c>
      <c r="Q12944" s="5">
        <v>307</v>
      </c>
      <c r="R12944" s="5">
        <v>14</v>
      </c>
      <c r="S12944" s="5">
        <v>298</v>
      </c>
    </row>
    <row r="12945" spans="1:19" ht="28" x14ac:dyDescent="0.15">
      <c r="A12945" s="2">
        <f>HYPERLINK("https://open-school.uspishnemisto.com.ua/school/630269/", 630269)</f>
        <v>630269</v>
      </c>
      <c r="B12945" s="3" t="s">
        <v>65174</v>
      </c>
      <c r="C12945" s="3" t="s">
        <v>31</v>
      </c>
      <c r="D12945" s="3" t="s">
        <v>32</v>
      </c>
      <c r="E12945" s="4" t="s">
        <v>22</v>
      </c>
      <c r="F12945" s="4" t="s">
        <v>65175</v>
      </c>
      <c r="G12945" s="4" t="s">
        <v>65169</v>
      </c>
      <c r="H12945" s="3" t="s">
        <v>63948</v>
      </c>
      <c r="I12945" s="3" t="s">
        <v>65170</v>
      </c>
      <c r="J12945" s="3"/>
      <c r="K12945" s="3" t="s">
        <v>65176</v>
      </c>
      <c r="L12945" s="3" t="s">
        <v>65177</v>
      </c>
      <c r="M12945" s="4"/>
      <c r="N12945" s="3" t="s">
        <v>37</v>
      </c>
      <c r="O12945" s="3" t="s">
        <v>38</v>
      </c>
      <c r="P12945" s="5">
        <v>16</v>
      </c>
      <c r="Q12945" s="5">
        <v>407</v>
      </c>
      <c r="R12945" s="5">
        <v>17</v>
      </c>
      <c r="S12945" s="5">
        <v>438</v>
      </c>
    </row>
    <row r="12946" spans="1:19" ht="42" x14ac:dyDescent="0.15">
      <c r="A12946" s="2">
        <f>HYPERLINK("https://open-school.uspishnemisto.com.ua/school/630270/", 630270)</f>
        <v>630270</v>
      </c>
      <c r="B12946" s="3" t="s">
        <v>65178</v>
      </c>
      <c r="C12946" s="3" t="s">
        <v>31</v>
      </c>
      <c r="D12946" s="3" t="s">
        <v>32</v>
      </c>
      <c r="E12946" s="4" t="s">
        <v>22</v>
      </c>
      <c r="F12946" s="4" t="s">
        <v>65168</v>
      </c>
      <c r="G12946" s="4" t="s">
        <v>65169</v>
      </c>
      <c r="H12946" s="3" t="s">
        <v>63948</v>
      </c>
      <c r="I12946" s="3" t="s">
        <v>65170</v>
      </c>
      <c r="J12946" s="3" t="s">
        <v>65179</v>
      </c>
      <c r="K12946" s="3" t="s">
        <v>65180</v>
      </c>
      <c r="L12946" s="3"/>
      <c r="M12946" s="4"/>
      <c r="N12946" s="3" t="s">
        <v>37</v>
      </c>
      <c r="O12946" s="3" t="s">
        <v>38</v>
      </c>
      <c r="P12946" s="5">
        <v>20</v>
      </c>
      <c r="Q12946" s="5">
        <v>561</v>
      </c>
      <c r="R12946" s="5">
        <v>20</v>
      </c>
      <c r="S12946" s="5">
        <v>555</v>
      </c>
    </row>
    <row r="12947" spans="1:19" ht="28" x14ac:dyDescent="0.15">
      <c r="A12947" s="2">
        <f>HYPERLINK("https://open-school.uspishnemisto.com.ua/school/630271/", 630271)</f>
        <v>630271</v>
      </c>
      <c r="B12947" s="3" t="s">
        <v>65181</v>
      </c>
      <c r="C12947" s="3" t="s">
        <v>31</v>
      </c>
      <c r="D12947" s="3" t="s">
        <v>32</v>
      </c>
      <c r="E12947" s="4" t="s">
        <v>22</v>
      </c>
      <c r="F12947" s="4" t="s">
        <v>65168</v>
      </c>
      <c r="G12947" s="4" t="s">
        <v>65169</v>
      </c>
      <c r="H12947" s="3" t="s">
        <v>63948</v>
      </c>
      <c r="I12947" s="3" t="s">
        <v>65170</v>
      </c>
      <c r="J12947" s="3" t="s">
        <v>3525</v>
      </c>
      <c r="K12947" s="3" t="s">
        <v>65182</v>
      </c>
      <c r="L12947" s="3" t="s">
        <v>65183</v>
      </c>
      <c r="M12947" s="4"/>
      <c r="N12947" s="3" t="s">
        <v>967</v>
      </c>
      <c r="O12947" s="3" t="s">
        <v>46</v>
      </c>
      <c r="P12947" s="5">
        <v>8</v>
      </c>
      <c r="Q12947" s="5">
        <v>111</v>
      </c>
      <c r="R12947" s="5">
        <v>8</v>
      </c>
      <c r="S12947" s="5">
        <v>101</v>
      </c>
    </row>
    <row r="12948" spans="1:19" ht="28" x14ac:dyDescent="0.15">
      <c r="A12948" s="2">
        <f>HYPERLINK("https://open-school.uspishnemisto.com.ua/school/630272/", 630272)</f>
        <v>630272</v>
      </c>
      <c r="B12948" s="3" t="s">
        <v>65184</v>
      </c>
      <c r="C12948" s="3" t="s">
        <v>31</v>
      </c>
      <c r="D12948" s="3" t="s">
        <v>32</v>
      </c>
      <c r="E12948" s="4" t="s">
        <v>22</v>
      </c>
      <c r="F12948" s="4" t="s">
        <v>65175</v>
      </c>
      <c r="G12948" s="4" t="s">
        <v>65169</v>
      </c>
      <c r="H12948" s="3" t="s">
        <v>63948</v>
      </c>
      <c r="I12948" s="3" t="s">
        <v>65170</v>
      </c>
      <c r="J12948" s="3" t="s">
        <v>65185</v>
      </c>
      <c r="K12948" s="3" t="s">
        <v>65186</v>
      </c>
      <c r="L12948" s="3" t="s">
        <v>65187</v>
      </c>
      <c r="M12948" s="4"/>
      <c r="N12948" s="3" t="s">
        <v>37</v>
      </c>
      <c r="O12948" s="3" t="s">
        <v>38</v>
      </c>
      <c r="P12948" s="5">
        <v>16</v>
      </c>
      <c r="Q12948" s="5">
        <v>420</v>
      </c>
      <c r="R12948" s="5">
        <v>16</v>
      </c>
      <c r="S12948" s="5">
        <v>398</v>
      </c>
    </row>
    <row r="12949" spans="1:19" ht="28" x14ac:dyDescent="0.15">
      <c r="A12949" s="2">
        <f>HYPERLINK("https://open-school.uspishnemisto.com.ua/school/630273/", 630273)</f>
        <v>630273</v>
      </c>
      <c r="B12949" s="3" t="s">
        <v>65188</v>
      </c>
      <c r="C12949" s="3" t="s">
        <v>31</v>
      </c>
      <c r="D12949" s="3" t="s">
        <v>32</v>
      </c>
      <c r="E12949" s="4" t="s">
        <v>22</v>
      </c>
      <c r="F12949" s="4" t="s">
        <v>65189</v>
      </c>
      <c r="G12949" s="4" t="s">
        <v>65169</v>
      </c>
      <c r="H12949" s="3" t="s">
        <v>63948</v>
      </c>
      <c r="I12949" s="3" t="s">
        <v>65170</v>
      </c>
      <c r="J12949" s="3" t="s">
        <v>65190</v>
      </c>
      <c r="K12949" s="3" t="s">
        <v>65191</v>
      </c>
      <c r="L12949" s="3"/>
      <c r="M12949" s="4"/>
      <c r="N12949" s="3" t="s">
        <v>967</v>
      </c>
      <c r="O12949" s="3" t="s">
        <v>52</v>
      </c>
      <c r="P12949" s="5">
        <v>21</v>
      </c>
      <c r="Q12949" s="5">
        <v>604</v>
      </c>
      <c r="R12949" s="5">
        <v>21</v>
      </c>
      <c r="S12949" s="5">
        <v>601</v>
      </c>
    </row>
    <row r="12950" spans="1:19" ht="28" x14ac:dyDescent="0.15">
      <c r="A12950" s="2">
        <f>HYPERLINK("https://open-school.uspishnemisto.com.ua/school/630274/", 630274)</f>
        <v>630274</v>
      </c>
      <c r="B12950" s="3" t="s">
        <v>65192</v>
      </c>
      <c r="C12950" s="3" t="s">
        <v>31</v>
      </c>
      <c r="D12950" s="3" t="s">
        <v>32</v>
      </c>
      <c r="E12950" s="4" t="s">
        <v>22</v>
      </c>
      <c r="F12950" s="4" t="s">
        <v>65193</v>
      </c>
      <c r="G12950" s="4" t="s">
        <v>65169</v>
      </c>
      <c r="H12950" s="3" t="s">
        <v>63948</v>
      </c>
      <c r="I12950" s="3" t="s">
        <v>65170</v>
      </c>
      <c r="J12950" s="3" t="s">
        <v>65194</v>
      </c>
      <c r="K12950" s="3" t="s">
        <v>65195</v>
      </c>
      <c r="L12950" s="3" t="s">
        <v>65196</v>
      </c>
      <c r="M12950" s="4"/>
      <c r="N12950" s="3" t="s">
        <v>37</v>
      </c>
      <c r="O12950" s="3" t="s">
        <v>38</v>
      </c>
      <c r="P12950" s="5">
        <v>20</v>
      </c>
      <c r="Q12950" s="5">
        <v>558</v>
      </c>
      <c r="R12950" s="5">
        <v>19</v>
      </c>
      <c r="S12950" s="5">
        <v>504</v>
      </c>
    </row>
    <row r="12951" spans="1:19" ht="28" x14ac:dyDescent="0.15">
      <c r="A12951" s="2">
        <f>HYPERLINK("https://open-school.uspishnemisto.com.ua/school/630275/", 630275)</f>
        <v>630275</v>
      </c>
      <c r="B12951" s="3" t="s">
        <v>65197</v>
      </c>
      <c r="C12951" s="3" t="s">
        <v>31</v>
      </c>
      <c r="D12951" s="3" t="s">
        <v>32</v>
      </c>
      <c r="E12951" s="4" t="s">
        <v>22</v>
      </c>
      <c r="F12951" s="4" t="s">
        <v>65198</v>
      </c>
      <c r="G12951" s="4" t="s">
        <v>65199</v>
      </c>
      <c r="H12951" s="3" t="s">
        <v>63948</v>
      </c>
      <c r="I12951" s="3" t="s">
        <v>65200</v>
      </c>
      <c r="J12951" s="3" t="s">
        <v>65201</v>
      </c>
      <c r="K12951" s="3" t="s">
        <v>65202</v>
      </c>
      <c r="L12951" s="3"/>
      <c r="M12951" s="4"/>
      <c r="N12951" s="3" t="s">
        <v>128</v>
      </c>
      <c r="O12951" s="3" t="s">
        <v>38</v>
      </c>
      <c r="P12951" s="5">
        <v>19</v>
      </c>
      <c r="Q12951" s="5">
        <v>437</v>
      </c>
      <c r="R12951" s="5">
        <v>19</v>
      </c>
      <c r="S12951" s="5">
        <v>429</v>
      </c>
    </row>
    <row r="12952" spans="1:19" ht="42" x14ac:dyDescent="0.15">
      <c r="A12952" s="2">
        <f>HYPERLINK("https://open-school.uspishnemisto.com.ua/school/630276/", 630276)</f>
        <v>630276</v>
      </c>
      <c r="B12952" s="3" t="s">
        <v>65203</v>
      </c>
      <c r="C12952" s="3" t="s">
        <v>40</v>
      </c>
      <c r="D12952" s="3" t="s">
        <v>32</v>
      </c>
      <c r="E12952" s="4" t="s">
        <v>22</v>
      </c>
      <c r="F12952" s="4" t="s">
        <v>65204</v>
      </c>
      <c r="G12952" s="4" t="s">
        <v>65199</v>
      </c>
      <c r="H12952" s="3" t="s">
        <v>63948</v>
      </c>
      <c r="I12952" s="3" t="s">
        <v>65200</v>
      </c>
      <c r="J12952" s="3" t="s">
        <v>65205</v>
      </c>
      <c r="K12952" s="3" t="s">
        <v>65206</v>
      </c>
      <c r="L12952" s="3" t="s">
        <v>65207</v>
      </c>
      <c r="M12952" s="4"/>
      <c r="N12952" s="3" t="s">
        <v>37</v>
      </c>
      <c r="O12952" s="3" t="s">
        <v>38</v>
      </c>
      <c r="P12952" s="5">
        <v>21</v>
      </c>
      <c r="Q12952" s="5">
        <v>479</v>
      </c>
      <c r="R12952" s="5">
        <v>21</v>
      </c>
      <c r="S12952" s="5">
        <v>500</v>
      </c>
    </row>
    <row r="12953" spans="1:19" ht="28" x14ac:dyDescent="0.15">
      <c r="A12953" s="2">
        <f>HYPERLINK("https://open-school.uspishnemisto.com.ua/school/630277/", 630277)</f>
        <v>630277</v>
      </c>
      <c r="B12953" s="3" t="s">
        <v>65208</v>
      </c>
      <c r="C12953" s="3" t="s">
        <v>31</v>
      </c>
      <c r="D12953" s="3" t="s">
        <v>175</v>
      </c>
      <c r="E12953" s="4" t="s">
        <v>22</v>
      </c>
      <c r="F12953" s="4" t="s">
        <v>65204</v>
      </c>
      <c r="G12953" s="4" t="s">
        <v>65199</v>
      </c>
      <c r="H12953" s="3" t="s">
        <v>63948</v>
      </c>
      <c r="I12953" s="3" t="s">
        <v>65200</v>
      </c>
      <c r="J12953" s="3" t="s">
        <v>65209</v>
      </c>
      <c r="K12953" s="3" t="s">
        <v>65210</v>
      </c>
      <c r="L12953" s="3"/>
      <c r="M12953" s="4"/>
      <c r="N12953" s="3" t="s">
        <v>967</v>
      </c>
      <c r="O12953" s="3" t="s">
        <v>52</v>
      </c>
      <c r="P12953" s="5">
        <v>9</v>
      </c>
      <c r="Q12953" s="5">
        <v>161</v>
      </c>
      <c r="R12953" s="5">
        <v>9</v>
      </c>
      <c r="S12953" s="5">
        <v>154</v>
      </c>
    </row>
    <row r="12954" spans="1:19" ht="28" x14ac:dyDescent="0.15">
      <c r="A12954" s="2">
        <f>HYPERLINK("https://open-school.uspishnemisto.com.ua/school/630278/", 630278)</f>
        <v>630278</v>
      </c>
      <c r="B12954" s="3" t="s">
        <v>65211</v>
      </c>
      <c r="C12954" s="3" t="s">
        <v>31</v>
      </c>
      <c r="D12954" s="3" t="s">
        <v>32</v>
      </c>
      <c r="E12954" s="4" t="s">
        <v>22</v>
      </c>
      <c r="F12954" s="4" t="s">
        <v>65204</v>
      </c>
      <c r="G12954" s="4" t="s">
        <v>65199</v>
      </c>
      <c r="H12954" s="3" t="s">
        <v>63948</v>
      </c>
      <c r="I12954" s="3" t="s">
        <v>65200</v>
      </c>
      <c r="J12954" s="3" t="s">
        <v>65212</v>
      </c>
      <c r="K12954" s="3" t="s">
        <v>65213</v>
      </c>
      <c r="L12954" s="3" t="s">
        <v>65214</v>
      </c>
      <c r="M12954" s="4"/>
      <c r="N12954" s="3" t="s">
        <v>128</v>
      </c>
      <c r="O12954" s="3" t="s">
        <v>38</v>
      </c>
      <c r="P12954" s="5">
        <v>28</v>
      </c>
      <c r="Q12954" s="5">
        <v>762</v>
      </c>
      <c r="R12954" s="5">
        <v>29</v>
      </c>
      <c r="S12954" s="5">
        <v>779</v>
      </c>
    </row>
    <row r="12955" spans="1:19" ht="56" x14ac:dyDescent="0.15">
      <c r="A12955" s="2">
        <f>HYPERLINK("https://open-school.uspishnemisto.com.ua/school/630279/", 630279)</f>
        <v>630279</v>
      </c>
      <c r="B12955" s="3" t="s">
        <v>65215</v>
      </c>
      <c r="C12955" s="3" t="s">
        <v>54</v>
      </c>
      <c r="D12955" s="3" t="s">
        <v>32</v>
      </c>
      <c r="E12955" s="4" t="s">
        <v>22</v>
      </c>
      <c r="F12955" s="4" t="s">
        <v>49282</v>
      </c>
      <c r="G12955" s="4" t="s">
        <v>65199</v>
      </c>
      <c r="H12955" s="3" t="s">
        <v>63948</v>
      </c>
      <c r="I12955" s="3" t="s">
        <v>65200</v>
      </c>
      <c r="J12955" s="3" t="s">
        <v>65216</v>
      </c>
      <c r="K12955" s="3" t="s">
        <v>65217</v>
      </c>
      <c r="L12955" s="3" t="s">
        <v>65218</v>
      </c>
      <c r="M12955" s="4"/>
      <c r="N12955" s="3" t="s">
        <v>128</v>
      </c>
      <c r="O12955" s="3" t="s">
        <v>46</v>
      </c>
      <c r="P12955" s="5">
        <v>19</v>
      </c>
      <c r="Q12955" s="5">
        <v>535</v>
      </c>
      <c r="R12955" s="5">
        <v>18</v>
      </c>
      <c r="S12955" s="5">
        <v>466</v>
      </c>
    </row>
    <row r="12956" spans="1:19" ht="28" x14ac:dyDescent="0.15">
      <c r="A12956" s="2">
        <f>HYPERLINK("https://open-school.uspishnemisto.com.ua/school/630280/", 630280)</f>
        <v>630280</v>
      </c>
      <c r="B12956" s="3" t="s">
        <v>65219</v>
      </c>
      <c r="C12956" s="3" t="s">
        <v>31</v>
      </c>
      <c r="D12956" s="3" t="s">
        <v>32</v>
      </c>
      <c r="E12956" s="4" t="s">
        <v>22</v>
      </c>
      <c r="F12956" s="4" t="s">
        <v>65204</v>
      </c>
      <c r="G12956" s="4" t="s">
        <v>65199</v>
      </c>
      <c r="H12956" s="3" t="s">
        <v>63948</v>
      </c>
      <c r="I12956" s="3" t="s">
        <v>65200</v>
      </c>
      <c r="J12956" s="3" t="s">
        <v>65220</v>
      </c>
      <c r="K12956" s="3" t="s">
        <v>65221</v>
      </c>
      <c r="L12956" s="3"/>
      <c r="M12956" s="4"/>
      <c r="N12956" s="3" t="s">
        <v>128</v>
      </c>
      <c r="O12956" s="3" t="s">
        <v>38</v>
      </c>
      <c r="P12956" s="5">
        <v>13</v>
      </c>
      <c r="Q12956" s="5">
        <v>371</v>
      </c>
      <c r="R12956" s="5">
        <v>13</v>
      </c>
      <c r="S12956" s="5">
        <v>346</v>
      </c>
    </row>
    <row r="12957" spans="1:19" ht="28" x14ac:dyDescent="0.15">
      <c r="A12957" s="2">
        <f>HYPERLINK("https://open-school.uspishnemisto.com.ua/school/630281/", 630281)</f>
        <v>630281</v>
      </c>
      <c r="B12957" s="3" t="s">
        <v>65222</v>
      </c>
      <c r="C12957" s="3" t="s">
        <v>31</v>
      </c>
      <c r="D12957" s="3" t="s">
        <v>32</v>
      </c>
      <c r="E12957" s="4" t="s">
        <v>22</v>
      </c>
      <c r="F12957" s="4"/>
      <c r="G12957" s="4" t="s">
        <v>65199</v>
      </c>
      <c r="H12957" s="3" t="s">
        <v>63948</v>
      </c>
      <c r="I12957" s="3" t="s">
        <v>65200</v>
      </c>
      <c r="J12957" s="3" t="s">
        <v>65223</v>
      </c>
      <c r="K12957" s="3" t="s">
        <v>65224</v>
      </c>
      <c r="L12957" s="3"/>
      <c r="M12957" s="4"/>
      <c r="N12957" s="3" t="s">
        <v>128</v>
      </c>
      <c r="O12957" s="3" t="s">
        <v>38</v>
      </c>
      <c r="P12957" s="5">
        <v>16</v>
      </c>
      <c r="Q12957" s="5">
        <v>381</v>
      </c>
      <c r="R12957" s="5">
        <v>15</v>
      </c>
      <c r="S12957" s="5">
        <v>380</v>
      </c>
    </row>
    <row r="12958" spans="1:19" ht="42" x14ac:dyDescent="0.15">
      <c r="A12958" s="2">
        <f>HYPERLINK("https://open-school.uspishnemisto.com.ua/school/630282/", 630282)</f>
        <v>630282</v>
      </c>
      <c r="B12958" s="3" t="s">
        <v>65225</v>
      </c>
      <c r="C12958" s="3" t="s">
        <v>54</v>
      </c>
      <c r="D12958" s="3" t="s">
        <v>32</v>
      </c>
      <c r="E12958" s="4" t="s">
        <v>22</v>
      </c>
      <c r="F12958" s="4" t="s">
        <v>65226</v>
      </c>
      <c r="G12958" s="4" t="s">
        <v>65199</v>
      </c>
      <c r="H12958" s="3" t="s">
        <v>63948</v>
      </c>
      <c r="I12958" s="3" t="s">
        <v>65200</v>
      </c>
      <c r="J12958" s="3" t="s">
        <v>65227</v>
      </c>
      <c r="K12958" s="3" t="s">
        <v>65228</v>
      </c>
      <c r="L12958" s="3"/>
      <c r="M12958" s="4"/>
      <c r="N12958" s="3" t="s">
        <v>128</v>
      </c>
      <c r="O12958" s="3" t="s">
        <v>70</v>
      </c>
      <c r="P12958" s="5">
        <v>20</v>
      </c>
      <c r="Q12958" s="5">
        <v>459</v>
      </c>
      <c r="R12958" s="5">
        <v>19</v>
      </c>
      <c r="S12958" s="5">
        <v>443</v>
      </c>
    </row>
    <row r="12959" spans="1:19" ht="42" x14ac:dyDescent="0.15">
      <c r="A12959" s="2">
        <f>HYPERLINK("https://open-school.uspishnemisto.com.ua/school/630283/", 630283)</f>
        <v>630283</v>
      </c>
      <c r="B12959" s="3" t="s">
        <v>65229</v>
      </c>
      <c r="C12959" s="3" t="s">
        <v>31</v>
      </c>
      <c r="D12959" s="3" t="s">
        <v>32</v>
      </c>
      <c r="E12959" s="4" t="s">
        <v>22</v>
      </c>
      <c r="F12959" s="4" t="s">
        <v>65230</v>
      </c>
      <c r="G12959" s="4" t="s">
        <v>65231</v>
      </c>
      <c r="H12959" s="3" t="s">
        <v>63948</v>
      </c>
      <c r="I12959" s="3" t="s">
        <v>51495</v>
      </c>
      <c r="J12959" s="3" t="s">
        <v>65232</v>
      </c>
      <c r="K12959" s="3"/>
      <c r="L12959" s="3" t="s">
        <v>65233</v>
      </c>
      <c r="M12959" s="4" t="s">
        <v>65234</v>
      </c>
      <c r="N12959" s="3" t="s">
        <v>37</v>
      </c>
      <c r="O12959" s="3" t="s">
        <v>38</v>
      </c>
      <c r="P12959" s="5">
        <v>28</v>
      </c>
      <c r="Q12959" s="5">
        <v>773</v>
      </c>
      <c r="R12959" s="5">
        <v>29</v>
      </c>
      <c r="S12959" s="5">
        <v>772</v>
      </c>
    </row>
    <row r="12960" spans="1:19" ht="28" x14ac:dyDescent="0.15">
      <c r="A12960" s="2">
        <f>HYPERLINK("https://open-school.uspishnemisto.com.ua/school/630284/", 630284)</f>
        <v>630284</v>
      </c>
      <c r="B12960" s="3" t="s">
        <v>65235</v>
      </c>
      <c r="C12960" s="3" t="s">
        <v>31</v>
      </c>
      <c r="D12960" s="3" t="s">
        <v>32</v>
      </c>
      <c r="E12960" s="4" t="s">
        <v>22</v>
      </c>
      <c r="F12960" s="4" t="s">
        <v>65230</v>
      </c>
      <c r="G12960" s="4" t="s">
        <v>65231</v>
      </c>
      <c r="H12960" s="3" t="s">
        <v>63948</v>
      </c>
      <c r="I12960" s="3" t="s">
        <v>51495</v>
      </c>
      <c r="J12960" s="3" t="s">
        <v>65236</v>
      </c>
      <c r="K12960" s="3" t="s">
        <v>65237</v>
      </c>
      <c r="L12960" s="3" t="s">
        <v>65238</v>
      </c>
      <c r="M12960" s="4" t="s">
        <v>65239</v>
      </c>
      <c r="N12960" s="3" t="s">
        <v>967</v>
      </c>
      <c r="O12960" s="3" t="s">
        <v>2740</v>
      </c>
      <c r="P12960" s="5">
        <v>33</v>
      </c>
      <c r="Q12960" s="5">
        <v>770</v>
      </c>
      <c r="R12960" s="5">
        <v>31</v>
      </c>
      <c r="S12960" s="5">
        <v>749</v>
      </c>
    </row>
    <row r="12961" spans="1:19" ht="28" x14ac:dyDescent="0.15">
      <c r="A12961" s="2">
        <f>HYPERLINK("https://open-school.uspishnemisto.com.ua/school/630285/", 630285)</f>
        <v>630285</v>
      </c>
      <c r="B12961" s="3" t="s">
        <v>65240</v>
      </c>
      <c r="C12961" s="3" t="s">
        <v>31</v>
      </c>
      <c r="D12961" s="3" t="s">
        <v>32</v>
      </c>
      <c r="E12961" s="4" t="s">
        <v>22</v>
      </c>
      <c r="F12961" s="4" t="s">
        <v>65241</v>
      </c>
      <c r="G12961" s="4" t="s">
        <v>65231</v>
      </c>
      <c r="H12961" s="3" t="s">
        <v>63948</v>
      </c>
      <c r="I12961" s="3" t="s">
        <v>51495</v>
      </c>
      <c r="J12961" s="3" t="s">
        <v>65242</v>
      </c>
      <c r="K12961" s="3" t="s">
        <v>65243</v>
      </c>
      <c r="L12961" s="3" t="s">
        <v>65244</v>
      </c>
      <c r="M12961" s="4" t="s">
        <v>65245</v>
      </c>
      <c r="N12961" s="3" t="s">
        <v>37</v>
      </c>
      <c r="O12961" s="3" t="s">
        <v>38</v>
      </c>
      <c r="P12961" s="5">
        <v>19</v>
      </c>
      <c r="Q12961" s="5">
        <v>386</v>
      </c>
      <c r="R12961" s="5">
        <v>19</v>
      </c>
      <c r="S12961" s="5">
        <v>382</v>
      </c>
    </row>
    <row r="12962" spans="1:19" ht="28" x14ac:dyDescent="0.15">
      <c r="A12962" s="2">
        <f>HYPERLINK("https://open-school.uspishnemisto.com.ua/school/630286/", 630286)</f>
        <v>630286</v>
      </c>
      <c r="B12962" s="3" t="s">
        <v>65246</v>
      </c>
      <c r="C12962" s="3" t="s">
        <v>31</v>
      </c>
      <c r="D12962" s="3" t="s">
        <v>32</v>
      </c>
      <c r="E12962" s="4" t="s">
        <v>22</v>
      </c>
      <c r="F12962" s="4" t="s">
        <v>65230</v>
      </c>
      <c r="G12962" s="4" t="s">
        <v>65231</v>
      </c>
      <c r="H12962" s="3" t="s">
        <v>63948</v>
      </c>
      <c r="I12962" s="3" t="s">
        <v>51495</v>
      </c>
      <c r="J12962" s="3" t="s">
        <v>11089</v>
      </c>
      <c r="K12962" s="3" t="s">
        <v>65247</v>
      </c>
      <c r="L12962" s="3"/>
      <c r="M12962" s="4" t="s">
        <v>65248</v>
      </c>
      <c r="N12962" s="3" t="s">
        <v>37</v>
      </c>
      <c r="O12962" s="3" t="s">
        <v>38</v>
      </c>
      <c r="P12962" s="5">
        <v>14</v>
      </c>
      <c r="Q12962" s="5">
        <v>256</v>
      </c>
      <c r="R12962" s="5">
        <v>15</v>
      </c>
      <c r="S12962" s="5">
        <v>284</v>
      </c>
    </row>
    <row r="12963" spans="1:19" ht="42" x14ac:dyDescent="0.15">
      <c r="A12963" s="2">
        <f>HYPERLINK("https://open-school.uspishnemisto.com.ua/school/630287/", 630287)</f>
        <v>630287</v>
      </c>
      <c r="B12963" s="3" t="s">
        <v>65249</v>
      </c>
      <c r="C12963" s="3" t="s">
        <v>188</v>
      </c>
      <c r="D12963" s="3" t="s">
        <v>32</v>
      </c>
      <c r="E12963" s="4" t="s">
        <v>22</v>
      </c>
      <c r="F12963" s="4" t="s">
        <v>65230</v>
      </c>
      <c r="G12963" s="4" t="s">
        <v>65231</v>
      </c>
      <c r="H12963" s="3" t="s">
        <v>63948</v>
      </c>
      <c r="I12963" s="3" t="s">
        <v>51495</v>
      </c>
      <c r="J12963" s="3" t="s">
        <v>65250</v>
      </c>
      <c r="K12963" s="3" t="s">
        <v>65251</v>
      </c>
      <c r="L12963" s="3"/>
      <c r="M12963" s="4" t="s">
        <v>65252</v>
      </c>
      <c r="N12963" s="3" t="s">
        <v>37</v>
      </c>
      <c r="O12963" s="3" t="s">
        <v>123</v>
      </c>
      <c r="P12963" s="5">
        <v>10</v>
      </c>
      <c r="Q12963" s="5">
        <v>294</v>
      </c>
      <c r="R12963" s="5">
        <v>10</v>
      </c>
      <c r="S12963" s="5">
        <v>299</v>
      </c>
    </row>
    <row r="12964" spans="1:19" ht="56" x14ac:dyDescent="0.15">
      <c r="A12964" s="2">
        <f>HYPERLINK("https://open-school.uspishnemisto.com.ua/school/630288/", 630288)</f>
        <v>630288</v>
      </c>
      <c r="B12964" s="3" t="s">
        <v>65253</v>
      </c>
      <c r="C12964" s="3" t="s">
        <v>54</v>
      </c>
      <c r="D12964" s="3" t="s">
        <v>32</v>
      </c>
      <c r="E12964" s="4" t="s">
        <v>22</v>
      </c>
      <c r="F12964" s="4" t="s">
        <v>65230</v>
      </c>
      <c r="G12964" s="4" t="s">
        <v>65231</v>
      </c>
      <c r="H12964" s="3" t="s">
        <v>63948</v>
      </c>
      <c r="I12964" s="3" t="s">
        <v>51495</v>
      </c>
      <c r="J12964" s="3" t="s">
        <v>65254</v>
      </c>
      <c r="K12964" s="3" t="s">
        <v>65255</v>
      </c>
      <c r="L12964" s="3"/>
      <c r="M12964" s="4" t="s">
        <v>65256</v>
      </c>
      <c r="N12964" s="3" t="s">
        <v>37</v>
      </c>
      <c r="O12964" s="3" t="s">
        <v>38</v>
      </c>
      <c r="P12964" s="5">
        <v>13</v>
      </c>
      <c r="Q12964" s="5">
        <v>252</v>
      </c>
      <c r="R12964" s="5">
        <v>13</v>
      </c>
      <c r="S12964" s="5">
        <v>264</v>
      </c>
    </row>
    <row r="12965" spans="1:19" ht="42" x14ac:dyDescent="0.15">
      <c r="A12965" s="2">
        <f>HYPERLINK("https://open-school.uspishnemisto.com.ua/school/630289/", 630289)</f>
        <v>630289</v>
      </c>
      <c r="B12965" s="3" t="s">
        <v>65257</v>
      </c>
      <c r="C12965" s="3" t="s">
        <v>181</v>
      </c>
      <c r="D12965" s="3" t="s">
        <v>175</v>
      </c>
      <c r="E12965" s="4" t="s">
        <v>22</v>
      </c>
      <c r="F12965" s="4" t="s">
        <v>65230</v>
      </c>
      <c r="G12965" s="4" t="s">
        <v>65231</v>
      </c>
      <c r="H12965" s="3" t="s">
        <v>63948</v>
      </c>
      <c r="I12965" s="3" t="s">
        <v>51495</v>
      </c>
      <c r="J12965" s="3" t="s">
        <v>65258</v>
      </c>
      <c r="K12965" s="3" t="s">
        <v>65259</v>
      </c>
      <c r="L12965" s="3" t="s">
        <v>65260</v>
      </c>
      <c r="M12965" s="4" t="s">
        <v>65261</v>
      </c>
      <c r="N12965" s="3" t="s">
        <v>37</v>
      </c>
      <c r="O12965" s="3"/>
      <c r="P12965" s="5">
        <v>15</v>
      </c>
      <c r="Q12965" s="5">
        <v>175</v>
      </c>
      <c r="R12965" s="5">
        <v>15</v>
      </c>
      <c r="S12965" s="5">
        <v>165</v>
      </c>
    </row>
    <row r="12966" spans="1:19" ht="28" x14ac:dyDescent="0.15">
      <c r="A12966" s="2">
        <f>HYPERLINK("https://open-school.uspishnemisto.com.ua/school/630290/", 630290)</f>
        <v>630290</v>
      </c>
      <c r="B12966" s="3" t="s">
        <v>65262</v>
      </c>
      <c r="C12966" s="3" t="s">
        <v>31</v>
      </c>
      <c r="D12966" s="3" t="s">
        <v>32</v>
      </c>
      <c r="E12966" s="4" t="s">
        <v>22</v>
      </c>
      <c r="F12966" s="4" t="s">
        <v>65263</v>
      </c>
      <c r="G12966" s="4" t="s">
        <v>65264</v>
      </c>
      <c r="H12966" s="3" t="s">
        <v>63948</v>
      </c>
      <c r="I12966" s="3" t="s">
        <v>4594</v>
      </c>
      <c r="J12966" s="3" t="s">
        <v>65265</v>
      </c>
      <c r="K12966" s="3" t="s">
        <v>65266</v>
      </c>
      <c r="L12966" s="3" t="s">
        <v>65267</v>
      </c>
      <c r="M12966" s="4" t="s">
        <v>65268</v>
      </c>
      <c r="N12966" s="3" t="s">
        <v>37</v>
      </c>
      <c r="O12966" s="3" t="s">
        <v>38</v>
      </c>
      <c r="P12966" s="5">
        <v>21</v>
      </c>
      <c r="Q12966" s="5">
        <v>517</v>
      </c>
      <c r="R12966" s="5">
        <v>21</v>
      </c>
      <c r="S12966" s="5">
        <v>492</v>
      </c>
    </row>
    <row r="12967" spans="1:19" ht="28" x14ac:dyDescent="0.15">
      <c r="A12967" s="2">
        <f>HYPERLINK("https://open-school.uspishnemisto.com.ua/school/630291/", 630291)</f>
        <v>630291</v>
      </c>
      <c r="B12967" s="3" t="s">
        <v>65269</v>
      </c>
      <c r="C12967" s="3" t="s">
        <v>31</v>
      </c>
      <c r="D12967" s="3" t="s">
        <v>32</v>
      </c>
      <c r="E12967" s="4" t="s">
        <v>22</v>
      </c>
      <c r="F12967" s="4" t="s">
        <v>65263</v>
      </c>
      <c r="G12967" s="4" t="s">
        <v>65264</v>
      </c>
      <c r="H12967" s="3" t="s">
        <v>63948</v>
      </c>
      <c r="I12967" s="3" t="s">
        <v>4594</v>
      </c>
      <c r="J12967" s="3" t="s">
        <v>2745</v>
      </c>
      <c r="K12967" s="3" t="s">
        <v>65270</v>
      </c>
      <c r="L12967" s="3" t="s">
        <v>65271</v>
      </c>
      <c r="M12967" s="4" t="s">
        <v>65272</v>
      </c>
      <c r="N12967" s="3" t="s">
        <v>37</v>
      </c>
      <c r="O12967" s="3" t="s">
        <v>38</v>
      </c>
      <c r="P12967" s="5">
        <v>13</v>
      </c>
      <c r="Q12967" s="5">
        <v>233</v>
      </c>
      <c r="R12967" s="5">
        <v>13</v>
      </c>
      <c r="S12967" s="5">
        <v>241</v>
      </c>
    </row>
    <row r="12968" spans="1:19" ht="28" x14ac:dyDescent="0.15">
      <c r="A12968" s="2">
        <f>HYPERLINK("https://open-school.uspishnemisto.com.ua/school/630292/", 630292)</f>
        <v>630292</v>
      </c>
      <c r="B12968" s="3" t="s">
        <v>65273</v>
      </c>
      <c r="C12968" s="3" t="s">
        <v>31</v>
      </c>
      <c r="D12968" s="3" t="s">
        <v>32</v>
      </c>
      <c r="E12968" s="4" t="s">
        <v>22</v>
      </c>
      <c r="F12968" s="4" t="s">
        <v>65274</v>
      </c>
      <c r="G12968" s="4" t="s">
        <v>65275</v>
      </c>
      <c r="H12968" s="3" t="s">
        <v>63948</v>
      </c>
      <c r="I12968" s="3" t="s">
        <v>3676</v>
      </c>
      <c r="J12968" s="3" t="s">
        <v>65276</v>
      </c>
      <c r="K12968" s="3" t="s">
        <v>65277</v>
      </c>
      <c r="L12968" s="3"/>
      <c r="M12968" s="4" t="s">
        <v>65278</v>
      </c>
      <c r="N12968" s="3" t="s">
        <v>37</v>
      </c>
      <c r="O12968" s="3" t="s">
        <v>38</v>
      </c>
      <c r="P12968" s="5">
        <v>17</v>
      </c>
      <c r="Q12968" s="5">
        <v>360</v>
      </c>
      <c r="R12968" s="5">
        <v>19</v>
      </c>
      <c r="S12968" s="5">
        <v>372</v>
      </c>
    </row>
    <row r="12969" spans="1:19" ht="56" x14ac:dyDescent="0.15">
      <c r="A12969" s="2">
        <f>HYPERLINK("https://open-school.uspishnemisto.com.ua/school/630293/", 630293)</f>
        <v>630293</v>
      </c>
      <c r="B12969" s="3" t="s">
        <v>65279</v>
      </c>
      <c r="C12969" s="3" t="s">
        <v>54</v>
      </c>
      <c r="D12969" s="3" t="s">
        <v>32</v>
      </c>
      <c r="E12969" s="4" t="s">
        <v>22</v>
      </c>
      <c r="F12969" s="4" t="s">
        <v>65280</v>
      </c>
      <c r="G12969" s="4" t="s">
        <v>65275</v>
      </c>
      <c r="H12969" s="3" t="s">
        <v>63948</v>
      </c>
      <c r="I12969" s="3" t="s">
        <v>3676</v>
      </c>
      <c r="J12969" s="3" t="s">
        <v>946</v>
      </c>
      <c r="K12969" s="3"/>
      <c r="L12969" s="3" t="s">
        <v>65281</v>
      </c>
      <c r="M12969" s="4" t="s">
        <v>65282</v>
      </c>
      <c r="N12969" s="3" t="s">
        <v>37</v>
      </c>
      <c r="O12969" s="3" t="s">
        <v>38</v>
      </c>
      <c r="P12969" s="5">
        <v>10</v>
      </c>
      <c r="Q12969" s="5">
        <v>119</v>
      </c>
      <c r="R12969" s="5">
        <v>10</v>
      </c>
      <c r="S12969" s="5">
        <v>108</v>
      </c>
    </row>
    <row r="12970" spans="1:19" ht="28" x14ac:dyDescent="0.15">
      <c r="A12970" s="2">
        <f>HYPERLINK("https://open-school.uspishnemisto.com.ua/school/630294/", 630294)</f>
        <v>630294</v>
      </c>
      <c r="B12970" s="3" t="s">
        <v>65283</v>
      </c>
      <c r="C12970" s="3" t="s">
        <v>31</v>
      </c>
      <c r="D12970" s="3" t="s">
        <v>175</v>
      </c>
      <c r="E12970" s="4" t="s">
        <v>22</v>
      </c>
      <c r="F12970" s="4" t="s">
        <v>65274</v>
      </c>
      <c r="G12970" s="4" t="s">
        <v>65284</v>
      </c>
      <c r="H12970" s="3" t="s">
        <v>63948</v>
      </c>
      <c r="I12970" s="3" t="s">
        <v>3217</v>
      </c>
      <c r="J12970" s="3" t="s">
        <v>65285</v>
      </c>
      <c r="K12970" s="3" t="s">
        <v>65286</v>
      </c>
      <c r="L12970" s="3"/>
      <c r="M12970" s="4"/>
      <c r="N12970" s="3" t="s">
        <v>37</v>
      </c>
      <c r="O12970" s="3" t="s">
        <v>38</v>
      </c>
      <c r="P12970" s="5">
        <v>5</v>
      </c>
      <c r="Q12970" s="5">
        <v>35</v>
      </c>
      <c r="R12970" s="5">
        <v>5</v>
      </c>
      <c r="S12970" s="5">
        <v>38</v>
      </c>
    </row>
    <row r="12971" spans="1:19" ht="28" x14ac:dyDescent="0.15">
      <c r="A12971" s="2">
        <f>HYPERLINK("https://open-school.uspishnemisto.com.ua/school/630295/", 630295)</f>
        <v>630295</v>
      </c>
      <c r="B12971" s="3" t="s">
        <v>65287</v>
      </c>
      <c r="C12971" s="3" t="s">
        <v>31</v>
      </c>
      <c r="D12971" s="3" t="s">
        <v>32</v>
      </c>
      <c r="E12971" s="4" t="s">
        <v>22</v>
      </c>
      <c r="F12971" s="4" t="s">
        <v>65288</v>
      </c>
      <c r="G12971" s="4" t="s">
        <v>65289</v>
      </c>
      <c r="H12971" s="3" t="s">
        <v>63948</v>
      </c>
      <c r="I12971" s="3" t="s">
        <v>65290</v>
      </c>
      <c r="J12971" s="3" t="s">
        <v>2978</v>
      </c>
      <c r="K12971" s="3" t="s">
        <v>65291</v>
      </c>
      <c r="L12971" s="3" t="s">
        <v>65292</v>
      </c>
      <c r="M12971" s="4" t="s">
        <v>65293</v>
      </c>
      <c r="N12971" s="3" t="s">
        <v>37</v>
      </c>
      <c r="O12971" s="3" t="s">
        <v>38</v>
      </c>
      <c r="P12971" s="5">
        <v>20</v>
      </c>
      <c r="Q12971" s="5">
        <v>430</v>
      </c>
      <c r="R12971" s="5">
        <v>20</v>
      </c>
      <c r="S12971" s="5">
        <v>441</v>
      </c>
    </row>
    <row r="12972" spans="1:19" ht="28" x14ac:dyDescent="0.15">
      <c r="A12972" s="2">
        <f>HYPERLINK("https://open-school.uspishnemisto.com.ua/school/630296/", 630296)</f>
        <v>630296</v>
      </c>
      <c r="B12972" s="3" t="s">
        <v>65294</v>
      </c>
      <c r="C12972" s="3" t="s">
        <v>31</v>
      </c>
      <c r="D12972" s="3" t="s">
        <v>32</v>
      </c>
      <c r="E12972" s="4" t="s">
        <v>22</v>
      </c>
      <c r="F12972" s="4" t="s">
        <v>65288</v>
      </c>
      <c r="G12972" s="4" t="s">
        <v>65289</v>
      </c>
      <c r="H12972" s="3" t="s">
        <v>63948</v>
      </c>
      <c r="I12972" s="3" t="s">
        <v>65290</v>
      </c>
      <c r="J12972" s="3" t="s">
        <v>2329</v>
      </c>
      <c r="K12972" s="3" t="s">
        <v>65295</v>
      </c>
      <c r="L12972" s="3" t="s">
        <v>65296</v>
      </c>
      <c r="M12972" s="4" t="s">
        <v>65297</v>
      </c>
      <c r="N12972" s="3" t="s">
        <v>37</v>
      </c>
      <c r="O12972" s="3" t="s">
        <v>38</v>
      </c>
      <c r="P12972" s="5">
        <v>20</v>
      </c>
      <c r="Q12972" s="5">
        <v>407</v>
      </c>
      <c r="R12972" s="5">
        <v>20</v>
      </c>
      <c r="S12972" s="5">
        <v>412</v>
      </c>
    </row>
    <row r="12973" spans="1:19" ht="28" x14ac:dyDescent="0.15">
      <c r="A12973" s="2">
        <f>HYPERLINK("https://open-school.uspishnemisto.com.ua/school/630297/", 630297)</f>
        <v>630297</v>
      </c>
      <c r="B12973" s="3" t="s">
        <v>65298</v>
      </c>
      <c r="C12973" s="3" t="s">
        <v>31</v>
      </c>
      <c r="D12973" s="3" t="s">
        <v>32</v>
      </c>
      <c r="E12973" s="4" t="s">
        <v>22</v>
      </c>
      <c r="F12973" s="4" t="s">
        <v>65299</v>
      </c>
      <c r="G12973" s="4" t="s">
        <v>65300</v>
      </c>
      <c r="H12973" s="3" t="s">
        <v>63948</v>
      </c>
      <c r="I12973" s="3" t="s">
        <v>65301</v>
      </c>
      <c r="J12973" s="3" t="s">
        <v>1348</v>
      </c>
      <c r="K12973" s="3" t="s">
        <v>65302</v>
      </c>
      <c r="L12973" s="3" t="s">
        <v>65303</v>
      </c>
      <c r="M12973" s="4"/>
      <c r="N12973" s="3" t="s">
        <v>967</v>
      </c>
      <c r="O12973" s="3" t="s">
        <v>52</v>
      </c>
      <c r="P12973" s="5">
        <v>5</v>
      </c>
      <c r="Q12973" s="5">
        <v>44</v>
      </c>
      <c r="R12973" s="5">
        <v>3</v>
      </c>
      <c r="S12973" s="5">
        <v>40</v>
      </c>
    </row>
    <row r="12974" spans="1:19" ht="56" x14ac:dyDescent="0.15">
      <c r="A12974" s="2">
        <f>HYPERLINK("https://open-school.uspishnemisto.com.ua/school/630298/", 630298)</f>
        <v>630298</v>
      </c>
      <c r="B12974" s="3" t="s">
        <v>65304</v>
      </c>
      <c r="C12974" s="3" t="s">
        <v>54</v>
      </c>
      <c r="D12974" s="3" t="s">
        <v>32</v>
      </c>
      <c r="E12974" s="4" t="s">
        <v>22</v>
      </c>
      <c r="F12974" s="4" t="s">
        <v>65305</v>
      </c>
      <c r="G12974" s="4" t="s">
        <v>65306</v>
      </c>
      <c r="H12974" s="3" t="s">
        <v>63948</v>
      </c>
      <c r="I12974" s="3" t="s">
        <v>11220</v>
      </c>
      <c r="J12974" s="3" t="s">
        <v>4425</v>
      </c>
      <c r="K12974" s="3" t="s">
        <v>65307</v>
      </c>
      <c r="L12974" s="3"/>
      <c r="M12974" s="4"/>
      <c r="N12974" s="3" t="s">
        <v>967</v>
      </c>
      <c r="O12974" s="3" t="s">
        <v>52</v>
      </c>
      <c r="P12974" s="5">
        <v>1</v>
      </c>
      <c r="Q12974" s="5">
        <v>27</v>
      </c>
      <c r="R12974" s="5">
        <v>2</v>
      </c>
      <c r="S12974" s="5">
        <v>32</v>
      </c>
    </row>
    <row r="12975" spans="1:19" ht="56" x14ac:dyDescent="0.15">
      <c r="A12975" s="2">
        <f>HYPERLINK("https://open-school.uspishnemisto.com.ua/school/630299/", 630299)</f>
        <v>630299</v>
      </c>
      <c r="B12975" s="3" t="s">
        <v>65308</v>
      </c>
      <c r="C12975" s="3" t="s">
        <v>54</v>
      </c>
      <c r="D12975" s="3" t="s">
        <v>32</v>
      </c>
      <c r="E12975" s="4" t="s">
        <v>22</v>
      </c>
      <c r="F12975" s="4" t="s">
        <v>65309</v>
      </c>
      <c r="G12975" s="4" t="s">
        <v>65310</v>
      </c>
      <c r="H12975" s="3" t="s">
        <v>63948</v>
      </c>
      <c r="I12975" s="3" t="s">
        <v>56358</v>
      </c>
      <c r="J12975" s="3" t="s">
        <v>8465</v>
      </c>
      <c r="K12975" s="3" t="s">
        <v>65311</v>
      </c>
      <c r="L12975" s="3" t="s">
        <v>65312</v>
      </c>
      <c r="M12975" s="4"/>
      <c r="N12975" s="3" t="s">
        <v>37</v>
      </c>
      <c r="O12975" s="3" t="s">
        <v>38</v>
      </c>
      <c r="P12975" s="5">
        <v>8</v>
      </c>
      <c r="Q12975" s="5">
        <v>75</v>
      </c>
      <c r="R12975" s="5">
        <v>8</v>
      </c>
      <c r="S12975" s="5">
        <v>70</v>
      </c>
    </row>
    <row r="12976" spans="1:19" ht="28" x14ac:dyDescent="0.15">
      <c r="A12976" s="2">
        <f>HYPERLINK("https://open-school.uspishnemisto.com.ua/school/630300/", 630300)</f>
        <v>630300</v>
      </c>
      <c r="B12976" s="3" t="s">
        <v>65313</v>
      </c>
      <c r="C12976" s="3" t="s">
        <v>31</v>
      </c>
      <c r="D12976" s="3" t="s">
        <v>32</v>
      </c>
      <c r="E12976" s="4" t="s">
        <v>22</v>
      </c>
      <c r="F12976" s="4" t="s">
        <v>65314</v>
      </c>
      <c r="G12976" s="4" t="s">
        <v>65315</v>
      </c>
      <c r="H12976" s="3" t="s">
        <v>63948</v>
      </c>
      <c r="I12976" s="3" t="s">
        <v>54062</v>
      </c>
      <c r="J12976" s="3" t="s">
        <v>8429</v>
      </c>
      <c r="K12976" s="3" t="s">
        <v>65316</v>
      </c>
      <c r="L12976" s="3"/>
      <c r="M12976" s="4"/>
      <c r="N12976" s="3" t="s">
        <v>37</v>
      </c>
      <c r="O12976" s="3" t="s">
        <v>112</v>
      </c>
      <c r="P12976" s="5">
        <v>7</v>
      </c>
      <c r="Q12976" s="5">
        <v>49</v>
      </c>
      <c r="R12976" s="5">
        <v>7</v>
      </c>
      <c r="S12976" s="5">
        <v>52</v>
      </c>
    </row>
    <row r="12977" spans="1:19" ht="28" x14ac:dyDescent="0.15">
      <c r="A12977" s="2">
        <f>HYPERLINK("https://open-school.uspishnemisto.com.ua/school/630301/", 630301)</f>
        <v>630301</v>
      </c>
      <c r="B12977" s="3" t="s">
        <v>65317</v>
      </c>
      <c r="C12977" s="3" t="s">
        <v>31</v>
      </c>
      <c r="D12977" s="3" t="s">
        <v>32</v>
      </c>
      <c r="E12977" s="4" t="s">
        <v>22</v>
      </c>
      <c r="F12977" s="4" t="s">
        <v>65318</v>
      </c>
      <c r="G12977" s="4" t="s">
        <v>65319</v>
      </c>
      <c r="H12977" s="3" t="s">
        <v>63948</v>
      </c>
      <c r="I12977" s="3" t="s">
        <v>3046</v>
      </c>
      <c r="J12977" s="3" t="s">
        <v>25260</v>
      </c>
      <c r="K12977" s="3" t="s">
        <v>65320</v>
      </c>
      <c r="L12977" s="3"/>
      <c r="M12977" s="4" t="s">
        <v>65321</v>
      </c>
      <c r="N12977" s="3" t="s">
        <v>37</v>
      </c>
      <c r="O12977" s="3" t="s">
        <v>38</v>
      </c>
      <c r="P12977" s="5">
        <v>15</v>
      </c>
      <c r="Q12977" s="5">
        <v>283</v>
      </c>
      <c r="R12977" s="5">
        <v>15</v>
      </c>
      <c r="S12977" s="5">
        <v>279</v>
      </c>
    </row>
    <row r="12978" spans="1:19" ht="28" x14ac:dyDescent="0.15">
      <c r="A12978" s="2">
        <f>HYPERLINK("https://open-school.uspishnemisto.com.ua/school/630302/", 630302)</f>
        <v>630302</v>
      </c>
      <c r="B12978" s="3" t="s">
        <v>65322</v>
      </c>
      <c r="C12978" s="3" t="s">
        <v>31</v>
      </c>
      <c r="D12978" s="3" t="s">
        <v>32</v>
      </c>
      <c r="E12978" s="4" t="s">
        <v>22</v>
      </c>
      <c r="F12978" s="4" t="s">
        <v>65323</v>
      </c>
      <c r="G12978" s="4" t="s">
        <v>65324</v>
      </c>
      <c r="H12978" s="3" t="s">
        <v>63948</v>
      </c>
      <c r="I12978" s="3" t="s">
        <v>65325</v>
      </c>
      <c r="J12978" s="3" t="s">
        <v>65326</v>
      </c>
      <c r="K12978" s="3" t="s">
        <v>65327</v>
      </c>
      <c r="L12978" s="3" t="s">
        <v>65328</v>
      </c>
      <c r="M12978" s="4"/>
      <c r="N12978" s="3" t="s">
        <v>37</v>
      </c>
      <c r="O12978" s="3" t="s">
        <v>112</v>
      </c>
      <c r="P12978" s="5">
        <v>9</v>
      </c>
      <c r="Q12978" s="5">
        <v>61</v>
      </c>
      <c r="R12978" s="5">
        <v>9</v>
      </c>
      <c r="S12978" s="5">
        <v>65</v>
      </c>
    </row>
    <row r="12979" spans="1:19" ht="56" x14ac:dyDescent="0.15">
      <c r="A12979" s="2">
        <f>HYPERLINK("https://open-school.uspishnemisto.com.ua/school/630303/", 630303)</f>
        <v>630303</v>
      </c>
      <c r="B12979" s="3" t="s">
        <v>65329</v>
      </c>
      <c r="C12979" s="3" t="s">
        <v>54</v>
      </c>
      <c r="D12979" s="3" t="s">
        <v>32</v>
      </c>
      <c r="E12979" s="4" t="s">
        <v>22</v>
      </c>
      <c r="F12979" s="4" t="s">
        <v>65330</v>
      </c>
      <c r="G12979" s="4" t="s">
        <v>65331</v>
      </c>
      <c r="H12979" s="3" t="s">
        <v>63948</v>
      </c>
      <c r="I12979" s="3" t="s">
        <v>65332</v>
      </c>
      <c r="J12979" s="3" t="s">
        <v>10734</v>
      </c>
      <c r="K12979" s="3" t="s">
        <v>65333</v>
      </c>
      <c r="L12979" s="3" t="s">
        <v>65334</v>
      </c>
      <c r="M12979" s="4"/>
      <c r="N12979" s="3" t="s">
        <v>37</v>
      </c>
      <c r="O12979" s="3" t="s">
        <v>38</v>
      </c>
      <c r="P12979" s="5">
        <v>10</v>
      </c>
      <c r="Q12979" s="5">
        <v>99</v>
      </c>
      <c r="R12979" s="5">
        <v>10</v>
      </c>
      <c r="S12979" s="5">
        <v>102</v>
      </c>
    </row>
    <row r="12980" spans="1:19" ht="28" x14ac:dyDescent="0.15">
      <c r="A12980" s="2">
        <f>HYPERLINK("https://open-school.uspishnemisto.com.ua/school/630304/", 630304)</f>
        <v>630304</v>
      </c>
      <c r="B12980" s="3" t="s">
        <v>65335</v>
      </c>
      <c r="C12980" s="3" t="s">
        <v>31</v>
      </c>
      <c r="D12980" s="3" t="s">
        <v>32</v>
      </c>
      <c r="E12980" s="4" t="s">
        <v>22</v>
      </c>
      <c r="F12980" s="4" t="s">
        <v>65280</v>
      </c>
      <c r="G12980" s="4" t="s">
        <v>65336</v>
      </c>
      <c r="H12980" s="3" t="s">
        <v>63948</v>
      </c>
      <c r="I12980" s="3" t="s">
        <v>65337</v>
      </c>
      <c r="J12980" s="3" t="s">
        <v>5832</v>
      </c>
      <c r="K12980" s="3" t="s">
        <v>65338</v>
      </c>
      <c r="L12980" s="3"/>
      <c r="M12980" s="4"/>
      <c r="N12980" s="3" t="s">
        <v>37</v>
      </c>
      <c r="O12980" s="3" t="s">
        <v>38</v>
      </c>
      <c r="P12980" s="5">
        <v>11</v>
      </c>
      <c r="Q12980" s="5">
        <v>85</v>
      </c>
      <c r="R12980" s="5">
        <v>11</v>
      </c>
      <c r="S12980" s="5">
        <v>78</v>
      </c>
    </row>
    <row r="12981" spans="1:19" ht="28" x14ac:dyDescent="0.15">
      <c r="A12981" s="2">
        <f>HYPERLINK("https://open-school.uspishnemisto.com.ua/school/630305/", 630305)</f>
        <v>630305</v>
      </c>
      <c r="B12981" s="3" t="s">
        <v>65339</v>
      </c>
      <c r="C12981" s="3" t="s">
        <v>31</v>
      </c>
      <c r="D12981" s="3" t="s">
        <v>32</v>
      </c>
      <c r="E12981" s="4" t="s">
        <v>22</v>
      </c>
      <c r="F12981" s="4" t="s">
        <v>65340</v>
      </c>
      <c r="G12981" s="4" t="s">
        <v>65341</v>
      </c>
      <c r="H12981" s="3" t="s">
        <v>63948</v>
      </c>
      <c r="I12981" s="3" t="s">
        <v>65342</v>
      </c>
      <c r="J12981" s="3" t="s">
        <v>18764</v>
      </c>
      <c r="K12981" s="3" t="s">
        <v>65343</v>
      </c>
      <c r="L12981" s="3" t="s">
        <v>65344</v>
      </c>
      <c r="M12981" s="4"/>
      <c r="N12981" s="3" t="s">
        <v>37</v>
      </c>
      <c r="O12981" s="3" t="s">
        <v>38</v>
      </c>
      <c r="P12981" s="5">
        <v>3</v>
      </c>
      <c r="Q12981" s="5">
        <v>27</v>
      </c>
      <c r="R12981" s="5">
        <v>3</v>
      </c>
      <c r="S12981" s="5">
        <v>30</v>
      </c>
    </row>
    <row r="12982" spans="1:19" ht="28" x14ac:dyDescent="0.15">
      <c r="A12982" s="2">
        <f>HYPERLINK("https://open-school.uspishnemisto.com.ua/school/630306/", 630306)</f>
        <v>630306</v>
      </c>
      <c r="B12982" s="3" t="s">
        <v>65345</v>
      </c>
      <c r="C12982" s="3" t="s">
        <v>31</v>
      </c>
      <c r="D12982" s="3" t="s">
        <v>32</v>
      </c>
      <c r="E12982" s="4" t="s">
        <v>22</v>
      </c>
      <c r="F12982" s="4" t="s">
        <v>65346</v>
      </c>
      <c r="G12982" s="4" t="s">
        <v>65347</v>
      </c>
      <c r="H12982" s="3" t="s">
        <v>63948</v>
      </c>
      <c r="I12982" s="3" t="s">
        <v>65348</v>
      </c>
      <c r="J12982" s="3" t="s">
        <v>12836</v>
      </c>
      <c r="K12982" s="3" t="s">
        <v>65349</v>
      </c>
      <c r="L12982" s="3"/>
      <c r="M12982" s="4"/>
      <c r="N12982" s="3" t="s">
        <v>37</v>
      </c>
      <c r="O12982" s="3" t="s">
        <v>38</v>
      </c>
      <c r="P12982" s="5">
        <v>9</v>
      </c>
      <c r="Q12982" s="5">
        <v>85</v>
      </c>
      <c r="R12982" s="5">
        <v>10</v>
      </c>
      <c r="S12982" s="5">
        <v>83</v>
      </c>
    </row>
    <row r="12983" spans="1:19" ht="28" x14ac:dyDescent="0.15">
      <c r="A12983" s="2">
        <f>HYPERLINK("https://open-school.uspishnemisto.com.ua/school/630307/", 630307)</f>
        <v>630307</v>
      </c>
      <c r="B12983" s="3" t="s">
        <v>65350</v>
      </c>
      <c r="C12983" s="3" t="s">
        <v>31</v>
      </c>
      <c r="D12983" s="3" t="s">
        <v>32</v>
      </c>
      <c r="E12983" s="4" t="s">
        <v>22</v>
      </c>
      <c r="F12983" s="4" t="s">
        <v>65351</v>
      </c>
      <c r="G12983" s="4" t="s">
        <v>65352</v>
      </c>
      <c r="H12983" s="3" t="s">
        <v>63948</v>
      </c>
      <c r="I12983" s="3" t="s">
        <v>2718</v>
      </c>
      <c r="J12983" s="3" t="s">
        <v>952</v>
      </c>
      <c r="K12983" s="3" t="s">
        <v>65353</v>
      </c>
      <c r="L12983" s="3" t="s">
        <v>65354</v>
      </c>
      <c r="M12983" s="4"/>
      <c r="N12983" s="3" t="s">
        <v>37</v>
      </c>
      <c r="O12983" s="3" t="s">
        <v>38</v>
      </c>
      <c r="P12983" s="5">
        <v>8</v>
      </c>
      <c r="Q12983" s="5">
        <v>69</v>
      </c>
      <c r="R12983" s="5">
        <v>8</v>
      </c>
      <c r="S12983" s="5">
        <v>65</v>
      </c>
    </row>
    <row r="12984" spans="1:19" ht="28" x14ac:dyDescent="0.15">
      <c r="A12984" s="2">
        <f>HYPERLINK("https://open-school.uspishnemisto.com.ua/school/630308/", 630308)</f>
        <v>630308</v>
      </c>
      <c r="B12984" s="3" t="s">
        <v>65355</v>
      </c>
      <c r="C12984" s="3" t="s">
        <v>31</v>
      </c>
      <c r="D12984" s="3" t="s">
        <v>32</v>
      </c>
      <c r="E12984" s="4" t="s">
        <v>22</v>
      </c>
      <c r="F12984" s="4" t="s">
        <v>65356</v>
      </c>
      <c r="G12984" s="4" t="s">
        <v>65357</v>
      </c>
      <c r="H12984" s="3" t="s">
        <v>63948</v>
      </c>
      <c r="I12984" s="3" t="s">
        <v>15384</v>
      </c>
      <c r="J12984" s="3" t="s">
        <v>952</v>
      </c>
      <c r="K12984" s="3" t="s">
        <v>65358</v>
      </c>
      <c r="L12984" s="3"/>
      <c r="M12984" s="4" t="s">
        <v>65359</v>
      </c>
      <c r="N12984" s="3" t="s">
        <v>967</v>
      </c>
      <c r="O12984" s="3" t="s">
        <v>46</v>
      </c>
      <c r="P12984" s="5">
        <v>10</v>
      </c>
      <c r="Q12984" s="5">
        <v>153</v>
      </c>
      <c r="R12984" s="5">
        <v>10</v>
      </c>
      <c r="S12984" s="5">
        <v>158</v>
      </c>
    </row>
    <row r="12985" spans="1:19" ht="56" x14ac:dyDescent="0.15">
      <c r="A12985" s="2">
        <f>HYPERLINK("https://open-school.uspishnemisto.com.ua/school/630309/", 630309)</f>
        <v>630309</v>
      </c>
      <c r="B12985" s="3" t="s">
        <v>65360</v>
      </c>
      <c r="C12985" s="3" t="s">
        <v>54</v>
      </c>
      <c r="D12985" s="3" t="s">
        <v>32</v>
      </c>
      <c r="E12985" s="4" t="s">
        <v>22</v>
      </c>
      <c r="F12985" s="4" t="s">
        <v>65361</v>
      </c>
      <c r="G12985" s="4" t="s">
        <v>65362</v>
      </c>
      <c r="H12985" s="3" t="s">
        <v>63948</v>
      </c>
      <c r="I12985" s="3" t="s">
        <v>25951</v>
      </c>
      <c r="J12985" s="3" t="s">
        <v>65363</v>
      </c>
      <c r="K12985" s="3" t="s">
        <v>65364</v>
      </c>
      <c r="L12985" s="3" t="s">
        <v>65365</v>
      </c>
      <c r="M12985" s="4" t="s">
        <v>65366</v>
      </c>
      <c r="N12985" s="3" t="s">
        <v>37</v>
      </c>
      <c r="O12985" s="3" t="s">
        <v>38</v>
      </c>
      <c r="P12985" s="5">
        <v>13</v>
      </c>
      <c r="Q12985" s="5">
        <v>213</v>
      </c>
      <c r="R12985" s="5">
        <v>12</v>
      </c>
      <c r="S12985" s="5">
        <v>202</v>
      </c>
    </row>
    <row r="12986" spans="1:19" ht="28" x14ac:dyDescent="0.15">
      <c r="A12986" s="2">
        <f>HYPERLINK("https://open-school.uspishnemisto.com.ua/school/630310/", 630310)</f>
        <v>630310</v>
      </c>
      <c r="B12986" s="3" t="s">
        <v>65367</v>
      </c>
      <c r="C12986" s="3" t="s">
        <v>31</v>
      </c>
      <c r="D12986" s="3" t="s">
        <v>175</v>
      </c>
      <c r="E12986" s="4" t="s">
        <v>22</v>
      </c>
      <c r="F12986" s="4" t="s">
        <v>65368</v>
      </c>
      <c r="G12986" s="4" t="s">
        <v>65369</v>
      </c>
      <c r="H12986" s="3" t="s">
        <v>63948</v>
      </c>
      <c r="I12986" s="3" t="s">
        <v>12001</v>
      </c>
      <c r="J12986" s="3" t="s">
        <v>13483</v>
      </c>
      <c r="K12986" s="3"/>
      <c r="L12986" s="3"/>
      <c r="M12986" s="4"/>
      <c r="N12986" s="3" t="s">
        <v>37</v>
      </c>
      <c r="O12986" s="3" t="s">
        <v>38</v>
      </c>
      <c r="P12986" s="5">
        <v>3</v>
      </c>
      <c r="Q12986" s="5">
        <v>37</v>
      </c>
      <c r="R12986" s="5">
        <v>6</v>
      </c>
      <c r="S12986" s="5">
        <v>39</v>
      </c>
    </row>
    <row r="12987" spans="1:19" ht="56" x14ac:dyDescent="0.15">
      <c r="A12987" s="2">
        <f>HYPERLINK("https://open-school.uspishnemisto.com.ua/school/630311/", 630311)</f>
        <v>630311</v>
      </c>
      <c r="B12987" s="3" t="s">
        <v>65370</v>
      </c>
      <c r="C12987" s="3" t="s">
        <v>54</v>
      </c>
      <c r="D12987" s="3" t="s">
        <v>175</v>
      </c>
      <c r="E12987" s="4" t="s">
        <v>22</v>
      </c>
      <c r="F12987" s="4" t="s">
        <v>65371</v>
      </c>
      <c r="G12987" s="4" t="s">
        <v>65372</v>
      </c>
      <c r="H12987" s="3" t="s">
        <v>63948</v>
      </c>
      <c r="I12987" s="3" t="s">
        <v>34829</v>
      </c>
      <c r="J12987" s="3" t="s">
        <v>65373</v>
      </c>
      <c r="K12987" s="3" t="s">
        <v>65374</v>
      </c>
      <c r="L12987" s="3"/>
      <c r="M12987" s="4"/>
      <c r="N12987" s="3" t="s">
        <v>967</v>
      </c>
      <c r="O12987" s="3" t="s">
        <v>52</v>
      </c>
      <c r="P12987" s="5">
        <v>7</v>
      </c>
      <c r="Q12987" s="5">
        <v>51</v>
      </c>
      <c r="R12987" s="5">
        <v>6</v>
      </c>
      <c r="S12987" s="5">
        <v>52</v>
      </c>
    </row>
    <row r="12988" spans="1:19" ht="28" x14ac:dyDescent="0.15">
      <c r="A12988" s="2">
        <f>HYPERLINK("https://open-school.uspishnemisto.com.ua/school/630312/", 630312)</f>
        <v>630312</v>
      </c>
      <c r="B12988" s="3" t="s">
        <v>65375</v>
      </c>
      <c r="C12988" s="3" t="s">
        <v>31</v>
      </c>
      <c r="D12988" s="3" t="s">
        <v>32</v>
      </c>
      <c r="E12988" s="4" t="s">
        <v>22</v>
      </c>
      <c r="F12988" s="4" t="s">
        <v>65376</v>
      </c>
      <c r="G12988" s="4" t="s">
        <v>65377</v>
      </c>
      <c r="H12988" s="3" t="s">
        <v>63948</v>
      </c>
      <c r="I12988" s="3" t="s">
        <v>65378</v>
      </c>
      <c r="J12988" s="3" t="s">
        <v>1636</v>
      </c>
      <c r="K12988" s="3" t="s">
        <v>65379</v>
      </c>
      <c r="L12988" s="3"/>
      <c r="M12988" s="4" t="s">
        <v>65380</v>
      </c>
      <c r="N12988" s="3" t="s">
        <v>37</v>
      </c>
      <c r="O12988" s="3" t="s">
        <v>38</v>
      </c>
      <c r="P12988" s="5">
        <v>10</v>
      </c>
      <c r="Q12988" s="5">
        <v>187</v>
      </c>
      <c r="R12988" s="5">
        <v>9</v>
      </c>
      <c r="S12988" s="5">
        <v>185</v>
      </c>
    </row>
    <row r="12989" spans="1:19" ht="28" x14ac:dyDescent="0.15">
      <c r="A12989" s="2">
        <f>HYPERLINK("https://open-school.uspishnemisto.com.ua/school/630313/", 630313)</f>
        <v>630313</v>
      </c>
      <c r="B12989" s="3" t="s">
        <v>65381</v>
      </c>
      <c r="C12989" s="3" t="s">
        <v>31</v>
      </c>
      <c r="D12989" s="3" t="s">
        <v>32</v>
      </c>
      <c r="E12989" s="4" t="s">
        <v>22</v>
      </c>
      <c r="F12989" s="4" t="s">
        <v>65382</v>
      </c>
      <c r="G12989" s="4" t="s">
        <v>65383</v>
      </c>
      <c r="H12989" s="3" t="s">
        <v>63948</v>
      </c>
      <c r="I12989" s="3" t="s">
        <v>6822</v>
      </c>
      <c r="J12989" s="3" t="s">
        <v>65384</v>
      </c>
      <c r="K12989" s="3" t="s">
        <v>65385</v>
      </c>
      <c r="L12989" s="3" t="s">
        <v>65386</v>
      </c>
      <c r="M12989" s="4"/>
      <c r="N12989" s="3" t="s">
        <v>37</v>
      </c>
      <c r="O12989" s="3" t="s">
        <v>38</v>
      </c>
      <c r="P12989" s="5">
        <v>9</v>
      </c>
      <c r="Q12989" s="5">
        <v>101</v>
      </c>
      <c r="R12989" s="5">
        <v>10</v>
      </c>
      <c r="S12989" s="5">
        <v>107</v>
      </c>
    </row>
    <row r="12990" spans="1:19" ht="28" x14ac:dyDescent="0.15">
      <c r="A12990" s="2">
        <f>HYPERLINK("https://open-school.uspishnemisto.com.ua/school/630314/", 630314)</f>
        <v>630314</v>
      </c>
      <c r="B12990" s="3" t="s">
        <v>65387</v>
      </c>
      <c r="C12990" s="3" t="s">
        <v>31</v>
      </c>
      <c r="D12990" s="3" t="s">
        <v>175</v>
      </c>
      <c r="E12990" s="4" t="s">
        <v>22</v>
      </c>
      <c r="F12990" s="4" t="s">
        <v>65388</v>
      </c>
      <c r="G12990" s="4" t="s">
        <v>65389</v>
      </c>
      <c r="H12990" s="3" t="s">
        <v>63948</v>
      </c>
      <c r="I12990" s="3" t="s">
        <v>65390</v>
      </c>
      <c r="J12990" s="3" t="s">
        <v>65391</v>
      </c>
      <c r="K12990" s="3" t="s">
        <v>65392</v>
      </c>
      <c r="L12990" s="3"/>
      <c r="M12990" s="4"/>
      <c r="N12990" s="3" t="s">
        <v>37</v>
      </c>
      <c r="O12990" s="3" t="s">
        <v>38</v>
      </c>
      <c r="P12990" s="5">
        <v>7</v>
      </c>
      <c r="Q12990" s="5">
        <v>48</v>
      </c>
      <c r="R12990" s="5">
        <v>7</v>
      </c>
      <c r="S12990" s="5">
        <v>46</v>
      </c>
    </row>
    <row r="12991" spans="1:19" ht="56" x14ac:dyDescent="0.15">
      <c r="A12991" s="2">
        <f>HYPERLINK("https://open-school.uspishnemisto.com.ua/school/630315/", 630315)</f>
        <v>630315</v>
      </c>
      <c r="B12991" s="3" t="s">
        <v>65393</v>
      </c>
      <c r="C12991" s="3" t="s">
        <v>54</v>
      </c>
      <c r="D12991" s="3" t="s">
        <v>32</v>
      </c>
      <c r="E12991" s="4" t="s">
        <v>22</v>
      </c>
      <c r="F12991" s="4" t="s">
        <v>65394</v>
      </c>
      <c r="G12991" s="4" t="s">
        <v>65395</v>
      </c>
      <c r="H12991" s="3" t="s">
        <v>63948</v>
      </c>
      <c r="I12991" s="3" t="s">
        <v>65396</v>
      </c>
      <c r="J12991" s="3" t="s">
        <v>12702</v>
      </c>
      <c r="K12991" s="3" t="s">
        <v>65397</v>
      </c>
      <c r="L12991" s="3"/>
      <c r="M12991" s="4"/>
      <c r="N12991" s="3" t="s">
        <v>37</v>
      </c>
      <c r="O12991" s="3" t="s">
        <v>38</v>
      </c>
      <c r="P12991" s="5">
        <v>5</v>
      </c>
      <c r="Q12991" s="5">
        <v>47</v>
      </c>
      <c r="R12991" s="5">
        <v>7</v>
      </c>
      <c r="S12991" s="5">
        <v>51</v>
      </c>
    </row>
    <row r="12992" spans="1:19" ht="28" x14ac:dyDescent="0.15">
      <c r="A12992" s="2">
        <f>HYPERLINK("https://open-school.uspishnemisto.com.ua/school/630316/", 630316)</f>
        <v>630316</v>
      </c>
      <c r="B12992" s="3" t="s">
        <v>65398</v>
      </c>
      <c r="C12992" s="3" t="s">
        <v>31</v>
      </c>
      <c r="D12992" s="3" t="s">
        <v>175</v>
      </c>
      <c r="E12992" s="4" t="s">
        <v>22</v>
      </c>
      <c r="F12992" s="4" t="s">
        <v>65399</v>
      </c>
      <c r="G12992" s="4" t="s">
        <v>65400</v>
      </c>
      <c r="H12992" s="3" t="s">
        <v>63948</v>
      </c>
      <c r="I12992" s="3" t="s">
        <v>65401</v>
      </c>
      <c r="J12992" s="3" t="s">
        <v>7495</v>
      </c>
      <c r="K12992" s="3" t="s">
        <v>65402</v>
      </c>
      <c r="L12992" s="3" t="s">
        <v>65403</v>
      </c>
      <c r="M12992" s="4"/>
      <c r="N12992" s="3" t="s">
        <v>37</v>
      </c>
      <c r="O12992" s="3" t="s">
        <v>38</v>
      </c>
      <c r="P12992" s="5">
        <v>3</v>
      </c>
      <c r="Q12992" s="5">
        <v>36</v>
      </c>
      <c r="R12992" s="5">
        <v>4</v>
      </c>
      <c r="S12992" s="5">
        <v>36</v>
      </c>
    </row>
    <row r="12993" spans="1:19" ht="56" x14ac:dyDescent="0.15">
      <c r="A12993" s="2">
        <f>HYPERLINK("https://open-school.uspishnemisto.com.ua/school/630317/", 630317)</f>
        <v>630317</v>
      </c>
      <c r="B12993" s="3" t="s">
        <v>65404</v>
      </c>
      <c r="C12993" s="3" t="s">
        <v>54</v>
      </c>
      <c r="D12993" s="3" t="s">
        <v>32</v>
      </c>
      <c r="E12993" s="4" t="s">
        <v>22</v>
      </c>
      <c r="F12993" s="4" t="s">
        <v>65405</v>
      </c>
      <c r="G12993" s="4" t="s">
        <v>65406</v>
      </c>
      <c r="H12993" s="3" t="s">
        <v>63948</v>
      </c>
      <c r="I12993" s="3" t="s">
        <v>65407</v>
      </c>
      <c r="J12993" s="3" t="s">
        <v>65408</v>
      </c>
      <c r="K12993" s="3" t="s">
        <v>65409</v>
      </c>
      <c r="L12993" s="3" t="s">
        <v>65410</v>
      </c>
      <c r="M12993" s="4"/>
      <c r="N12993" s="3" t="s">
        <v>37</v>
      </c>
      <c r="O12993" s="3" t="s">
        <v>38</v>
      </c>
      <c r="P12993" s="5">
        <v>10</v>
      </c>
      <c r="Q12993" s="5">
        <v>81</v>
      </c>
      <c r="R12993" s="5">
        <v>10</v>
      </c>
      <c r="S12993" s="5">
        <v>89</v>
      </c>
    </row>
    <row r="12994" spans="1:19" ht="28" x14ac:dyDescent="0.15">
      <c r="A12994" s="2">
        <f>HYPERLINK("https://open-school.uspishnemisto.com.ua/school/630318/", 630318)</f>
        <v>630318</v>
      </c>
      <c r="B12994" s="3" t="s">
        <v>65411</v>
      </c>
      <c r="C12994" s="3" t="s">
        <v>31</v>
      </c>
      <c r="D12994" s="3" t="s">
        <v>32</v>
      </c>
      <c r="E12994" s="4" t="s">
        <v>22</v>
      </c>
      <c r="F12994" s="4" t="s">
        <v>65412</v>
      </c>
      <c r="G12994" s="4" t="s">
        <v>65413</v>
      </c>
      <c r="H12994" s="3" t="s">
        <v>63948</v>
      </c>
      <c r="I12994" s="3" t="s">
        <v>65414</v>
      </c>
      <c r="J12994" s="3" t="s">
        <v>10734</v>
      </c>
      <c r="K12994" s="3" t="s">
        <v>65415</v>
      </c>
      <c r="L12994" s="3"/>
      <c r="M12994" s="4"/>
      <c r="N12994" s="3" t="s">
        <v>37</v>
      </c>
      <c r="O12994" s="3" t="s">
        <v>38</v>
      </c>
      <c r="P12994" s="5">
        <v>9</v>
      </c>
      <c r="Q12994" s="5">
        <v>65</v>
      </c>
      <c r="R12994" s="5">
        <v>8</v>
      </c>
      <c r="S12994" s="5">
        <v>67</v>
      </c>
    </row>
    <row r="12995" spans="1:19" ht="42" x14ac:dyDescent="0.15">
      <c r="A12995" s="2">
        <f>HYPERLINK("https://open-school.uspishnemisto.com.ua/school/630320/", 630320)</f>
        <v>630320</v>
      </c>
      <c r="B12995" s="3" t="s">
        <v>65416</v>
      </c>
      <c r="C12995" s="3" t="s">
        <v>31</v>
      </c>
      <c r="D12995" s="3" t="s">
        <v>32</v>
      </c>
      <c r="E12995" s="4" t="s">
        <v>22</v>
      </c>
      <c r="F12995" s="4" t="s">
        <v>65417</v>
      </c>
      <c r="G12995" s="4" t="s">
        <v>65418</v>
      </c>
      <c r="H12995" s="3" t="s">
        <v>63948</v>
      </c>
      <c r="I12995" s="3" t="s">
        <v>65419</v>
      </c>
      <c r="J12995" s="3" t="s">
        <v>65420</v>
      </c>
      <c r="K12995" s="3" t="s">
        <v>65421</v>
      </c>
      <c r="L12995" s="3" t="s">
        <v>65422</v>
      </c>
      <c r="M12995" s="4"/>
      <c r="N12995" s="3" t="s">
        <v>37</v>
      </c>
      <c r="O12995" s="3" t="s">
        <v>38</v>
      </c>
      <c r="P12995" s="5">
        <v>18</v>
      </c>
      <c r="Q12995" s="5">
        <v>327</v>
      </c>
      <c r="R12995" s="5">
        <v>19</v>
      </c>
      <c r="S12995" s="5">
        <v>332</v>
      </c>
    </row>
    <row r="12996" spans="1:19" ht="28" x14ac:dyDescent="0.15">
      <c r="A12996" s="2">
        <f>HYPERLINK("https://open-school.uspishnemisto.com.ua/school/630321/", 630321)</f>
        <v>630321</v>
      </c>
      <c r="B12996" s="3" t="s">
        <v>65423</v>
      </c>
      <c r="C12996" s="3" t="s">
        <v>31</v>
      </c>
      <c r="D12996" s="3" t="s">
        <v>32</v>
      </c>
      <c r="E12996" s="4" t="s">
        <v>22</v>
      </c>
      <c r="F12996" s="4" t="s">
        <v>65424</v>
      </c>
      <c r="G12996" s="4" t="s">
        <v>65418</v>
      </c>
      <c r="H12996" s="3" t="s">
        <v>63948</v>
      </c>
      <c r="I12996" s="3" t="s">
        <v>65419</v>
      </c>
      <c r="J12996" s="3" t="s">
        <v>65425</v>
      </c>
      <c r="K12996" s="3" t="s">
        <v>65426</v>
      </c>
      <c r="L12996" s="3" t="s">
        <v>65427</v>
      </c>
      <c r="M12996" s="4"/>
      <c r="N12996" s="3" t="s">
        <v>37</v>
      </c>
      <c r="O12996" s="3" t="s">
        <v>38</v>
      </c>
      <c r="P12996" s="5">
        <v>39</v>
      </c>
      <c r="Q12996" s="5">
        <v>661</v>
      </c>
      <c r="R12996" s="5">
        <v>21</v>
      </c>
      <c r="S12996" s="5">
        <v>442</v>
      </c>
    </row>
    <row r="12997" spans="1:19" ht="28" x14ac:dyDescent="0.15">
      <c r="A12997" s="2">
        <f>HYPERLINK("https://open-school.uspishnemisto.com.ua/school/630322/", 630322)</f>
        <v>630322</v>
      </c>
      <c r="B12997" s="3" t="s">
        <v>65428</v>
      </c>
      <c r="C12997" s="3" t="s">
        <v>31</v>
      </c>
      <c r="D12997" s="3" t="s">
        <v>32</v>
      </c>
      <c r="E12997" s="4" t="s">
        <v>22</v>
      </c>
      <c r="F12997" s="4" t="s">
        <v>65417</v>
      </c>
      <c r="G12997" s="4" t="s">
        <v>65418</v>
      </c>
      <c r="H12997" s="3" t="s">
        <v>63948</v>
      </c>
      <c r="I12997" s="3" t="s">
        <v>65419</v>
      </c>
      <c r="J12997" s="3" t="s">
        <v>65429</v>
      </c>
      <c r="K12997" s="3" t="s">
        <v>65430</v>
      </c>
      <c r="L12997" s="3" t="s">
        <v>65431</v>
      </c>
      <c r="M12997" s="4"/>
      <c r="N12997" s="3" t="s">
        <v>37</v>
      </c>
      <c r="O12997" s="3" t="s">
        <v>38</v>
      </c>
      <c r="P12997" s="5">
        <v>11</v>
      </c>
      <c r="Q12997" s="5">
        <v>193</v>
      </c>
      <c r="R12997" s="5">
        <v>11</v>
      </c>
      <c r="S12997" s="5">
        <v>195</v>
      </c>
    </row>
    <row r="12998" spans="1:19" ht="28" x14ac:dyDescent="0.15">
      <c r="A12998" s="2">
        <f>HYPERLINK("https://open-school.uspishnemisto.com.ua/school/630323/", 630323)</f>
        <v>630323</v>
      </c>
      <c r="B12998" s="3" t="s">
        <v>65432</v>
      </c>
      <c r="C12998" s="3" t="s">
        <v>31</v>
      </c>
      <c r="D12998" s="3" t="s">
        <v>175</v>
      </c>
      <c r="E12998" s="4" t="s">
        <v>22</v>
      </c>
      <c r="F12998" s="4" t="s">
        <v>65433</v>
      </c>
      <c r="G12998" s="4" t="s">
        <v>65434</v>
      </c>
      <c r="H12998" s="3" t="s">
        <v>63948</v>
      </c>
      <c r="I12998" s="3" t="s">
        <v>65435</v>
      </c>
      <c r="J12998" s="3" t="s">
        <v>15432</v>
      </c>
      <c r="K12998" s="3" t="s">
        <v>65436</v>
      </c>
      <c r="L12998" s="3" t="s">
        <v>65437</v>
      </c>
      <c r="M12998" s="4"/>
      <c r="N12998" s="3" t="s">
        <v>37</v>
      </c>
      <c r="O12998" s="3" t="s">
        <v>38</v>
      </c>
      <c r="P12998" s="5">
        <v>8</v>
      </c>
      <c r="Q12998" s="5">
        <v>46</v>
      </c>
      <c r="R12998" s="5">
        <v>8</v>
      </c>
      <c r="S12998" s="5">
        <v>48</v>
      </c>
    </row>
    <row r="12999" spans="1:19" ht="28" x14ac:dyDescent="0.15">
      <c r="A12999" s="2">
        <f>HYPERLINK("https://open-school.uspishnemisto.com.ua/school/630324/", 630324)</f>
        <v>630324</v>
      </c>
      <c r="B12999" s="3" t="s">
        <v>65438</v>
      </c>
      <c r="C12999" s="3" t="s">
        <v>31</v>
      </c>
      <c r="D12999" s="3" t="s">
        <v>175</v>
      </c>
      <c r="E12999" s="4" t="s">
        <v>22</v>
      </c>
      <c r="F12999" s="4" t="s">
        <v>65439</v>
      </c>
      <c r="G12999" s="4" t="s">
        <v>65440</v>
      </c>
      <c r="H12999" s="3" t="s">
        <v>63948</v>
      </c>
      <c r="I12999" s="3" t="s">
        <v>65441</v>
      </c>
      <c r="J12999" s="3" t="s">
        <v>389</v>
      </c>
      <c r="K12999" s="3" t="s">
        <v>65442</v>
      </c>
      <c r="L12999" s="3" t="s">
        <v>65443</v>
      </c>
      <c r="M12999" s="4"/>
      <c r="N12999" s="3" t="s">
        <v>37</v>
      </c>
      <c r="O12999" s="3" t="s">
        <v>13272</v>
      </c>
      <c r="P12999" s="5">
        <v>7</v>
      </c>
      <c r="Q12999" s="5">
        <v>45</v>
      </c>
      <c r="R12999" s="5">
        <v>6</v>
      </c>
      <c r="S12999" s="5">
        <v>48</v>
      </c>
    </row>
    <row r="13000" spans="1:19" ht="42" x14ac:dyDescent="0.15">
      <c r="A13000" s="2">
        <f>HYPERLINK("https://open-school.uspishnemisto.com.ua/school/630325/", 630325)</f>
        <v>630325</v>
      </c>
      <c r="B13000" s="3" t="s">
        <v>65444</v>
      </c>
      <c r="C13000" s="3" t="s">
        <v>54</v>
      </c>
      <c r="D13000" s="3" t="s">
        <v>32</v>
      </c>
      <c r="E13000" s="4" t="s">
        <v>22</v>
      </c>
      <c r="F13000" s="4" t="s">
        <v>65445</v>
      </c>
      <c r="G13000" s="4" t="s">
        <v>65446</v>
      </c>
      <c r="H13000" s="3" t="s">
        <v>63948</v>
      </c>
      <c r="I13000" s="3" t="s">
        <v>12585</v>
      </c>
      <c r="J13000" s="3" t="s">
        <v>65447</v>
      </c>
      <c r="K13000" s="3" t="s">
        <v>65448</v>
      </c>
      <c r="L13000" s="3" t="s">
        <v>65449</v>
      </c>
      <c r="M13000" s="4"/>
      <c r="N13000" s="3" t="s">
        <v>37</v>
      </c>
      <c r="O13000" s="3" t="s">
        <v>38</v>
      </c>
      <c r="P13000" s="5">
        <v>11</v>
      </c>
      <c r="Q13000" s="5">
        <v>162</v>
      </c>
      <c r="R13000" s="5">
        <v>11</v>
      </c>
      <c r="S13000" s="5">
        <v>169</v>
      </c>
    </row>
    <row r="13001" spans="1:19" ht="28" x14ac:dyDescent="0.15">
      <c r="A13001" s="2">
        <f>HYPERLINK("https://open-school.uspishnemisto.com.ua/school/630326/", 630326)</f>
        <v>630326</v>
      </c>
      <c r="B13001" s="3" t="s">
        <v>65450</v>
      </c>
      <c r="C13001" s="3" t="s">
        <v>31</v>
      </c>
      <c r="D13001" s="3" t="s">
        <v>175</v>
      </c>
      <c r="E13001" s="4" t="s">
        <v>22</v>
      </c>
      <c r="F13001" s="4" t="s">
        <v>65451</v>
      </c>
      <c r="G13001" s="4" t="s">
        <v>65452</v>
      </c>
      <c r="H13001" s="3" t="s">
        <v>63948</v>
      </c>
      <c r="I13001" s="3" t="s">
        <v>65453</v>
      </c>
      <c r="J13001" s="3" t="s">
        <v>45966</v>
      </c>
      <c r="K13001" s="3" t="s">
        <v>65454</v>
      </c>
      <c r="L13001" s="3" t="s">
        <v>65455</v>
      </c>
      <c r="M13001" s="4"/>
      <c r="N13001" s="3" t="s">
        <v>37</v>
      </c>
      <c r="O13001" s="3" t="s">
        <v>38</v>
      </c>
      <c r="P13001" s="5">
        <v>8</v>
      </c>
      <c r="Q13001" s="5">
        <v>64</v>
      </c>
      <c r="R13001" s="5">
        <v>8</v>
      </c>
      <c r="S13001" s="5">
        <v>64</v>
      </c>
    </row>
    <row r="13002" spans="1:19" ht="28" x14ac:dyDescent="0.15">
      <c r="A13002" s="2">
        <f>HYPERLINK("https://open-school.uspishnemisto.com.ua/school/630327/", 630327)</f>
        <v>630327</v>
      </c>
      <c r="B13002" s="3" t="s">
        <v>65456</v>
      </c>
      <c r="C13002" s="3" t="s">
        <v>54</v>
      </c>
      <c r="D13002" s="3" t="s">
        <v>175</v>
      </c>
      <c r="E13002" s="4" t="s">
        <v>22</v>
      </c>
      <c r="F13002" s="4" t="s">
        <v>65457</v>
      </c>
      <c r="G13002" s="4" t="s">
        <v>65458</v>
      </c>
      <c r="H13002" s="3" t="s">
        <v>63948</v>
      </c>
      <c r="I13002" s="3" t="s">
        <v>2475</v>
      </c>
      <c r="J13002" s="3" t="s">
        <v>3393</v>
      </c>
      <c r="K13002" s="3" t="s">
        <v>65459</v>
      </c>
      <c r="L13002" s="3" t="s">
        <v>65460</v>
      </c>
      <c r="M13002" s="4"/>
      <c r="N13002" s="3" t="s">
        <v>37</v>
      </c>
      <c r="O13002" s="3" t="s">
        <v>38</v>
      </c>
      <c r="P13002" s="5">
        <v>9</v>
      </c>
      <c r="Q13002" s="5">
        <v>54</v>
      </c>
      <c r="R13002" s="5">
        <v>8</v>
      </c>
      <c r="S13002" s="5">
        <v>56</v>
      </c>
    </row>
    <row r="13003" spans="1:19" ht="42" x14ac:dyDescent="0.15">
      <c r="A13003" s="2">
        <f>HYPERLINK("https://open-school.uspishnemisto.com.ua/school/630328/", 630328)</f>
        <v>630328</v>
      </c>
      <c r="B13003" s="3" t="s">
        <v>65461</v>
      </c>
      <c r="C13003" s="3" t="s">
        <v>54</v>
      </c>
      <c r="D13003" s="3" t="s">
        <v>32</v>
      </c>
      <c r="E13003" s="4" t="s">
        <v>22</v>
      </c>
      <c r="F13003" s="4" t="s">
        <v>65462</v>
      </c>
      <c r="G13003" s="4" t="s">
        <v>65463</v>
      </c>
      <c r="H13003" s="3" t="s">
        <v>63948</v>
      </c>
      <c r="I13003" s="3" t="s">
        <v>65464</v>
      </c>
      <c r="J13003" s="3" t="s">
        <v>65120</v>
      </c>
      <c r="K13003" s="3" t="s">
        <v>65465</v>
      </c>
      <c r="L13003" s="3" t="s">
        <v>65466</v>
      </c>
      <c r="M13003" s="4"/>
      <c r="N13003" s="3" t="s">
        <v>37</v>
      </c>
      <c r="O13003" s="3" t="s">
        <v>112</v>
      </c>
      <c r="P13003" s="5">
        <v>10</v>
      </c>
      <c r="Q13003" s="5">
        <v>53</v>
      </c>
      <c r="R13003" s="5">
        <v>10</v>
      </c>
      <c r="S13003" s="5">
        <v>57</v>
      </c>
    </row>
    <row r="13004" spans="1:19" ht="28" x14ac:dyDescent="0.15">
      <c r="A13004" s="2">
        <f>HYPERLINK("https://open-school.uspishnemisto.com.ua/school/630329/", 630329)</f>
        <v>630329</v>
      </c>
      <c r="B13004" s="3" t="s">
        <v>65467</v>
      </c>
      <c r="C13004" s="3" t="s">
        <v>31</v>
      </c>
      <c r="D13004" s="3" t="s">
        <v>32</v>
      </c>
      <c r="E13004" s="4" t="s">
        <v>22</v>
      </c>
      <c r="F13004" s="4" t="s">
        <v>65468</v>
      </c>
      <c r="G13004" s="4" t="s">
        <v>65469</v>
      </c>
      <c r="H13004" s="3" t="s">
        <v>63948</v>
      </c>
      <c r="I13004" s="3" t="s">
        <v>65332</v>
      </c>
      <c r="J13004" s="3" t="s">
        <v>65470</v>
      </c>
      <c r="K13004" s="3" t="s">
        <v>65471</v>
      </c>
      <c r="L13004" s="3" t="s">
        <v>65472</v>
      </c>
      <c r="M13004" s="4"/>
      <c r="N13004" s="3" t="s">
        <v>37</v>
      </c>
      <c r="O13004" s="3" t="s">
        <v>38</v>
      </c>
      <c r="P13004" s="5">
        <v>11</v>
      </c>
      <c r="Q13004" s="5">
        <v>180</v>
      </c>
      <c r="R13004" s="5">
        <v>11</v>
      </c>
      <c r="S13004" s="5">
        <v>185</v>
      </c>
    </row>
    <row r="13005" spans="1:19" ht="28" x14ac:dyDescent="0.15">
      <c r="A13005" s="2">
        <f>HYPERLINK("https://open-school.uspishnemisto.com.ua/school/630330/", 630330)</f>
        <v>630330</v>
      </c>
      <c r="B13005" s="3" t="s">
        <v>65473</v>
      </c>
      <c r="C13005" s="3" t="s">
        <v>31</v>
      </c>
      <c r="D13005" s="3" t="s">
        <v>32</v>
      </c>
      <c r="E13005" s="4" t="s">
        <v>22</v>
      </c>
      <c r="F13005" s="4" t="s">
        <v>65474</v>
      </c>
      <c r="G13005" s="4" t="s">
        <v>65475</v>
      </c>
      <c r="H13005" s="3" t="s">
        <v>63948</v>
      </c>
      <c r="I13005" s="3" t="s">
        <v>883</v>
      </c>
      <c r="J13005" s="3" t="s">
        <v>532</v>
      </c>
      <c r="K13005" s="3" t="s">
        <v>65476</v>
      </c>
      <c r="L13005" s="3" t="s">
        <v>65477</v>
      </c>
      <c r="M13005" s="4"/>
      <c r="N13005" s="3" t="s">
        <v>37</v>
      </c>
      <c r="O13005" s="3" t="s">
        <v>70</v>
      </c>
      <c r="P13005" s="5">
        <v>9</v>
      </c>
      <c r="Q13005" s="5">
        <v>68</v>
      </c>
      <c r="R13005" s="5">
        <v>10</v>
      </c>
      <c r="S13005" s="5">
        <v>78</v>
      </c>
    </row>
    <row r="13006" spans="1:19" ht="28" x14ac:dyDescent="0.15">
      <c r="A13006" s="2">
        <f>HYPERLINK("https://open-school.uspishnemisto.com.ua/school/630331/", 630331)</f>
        <v>630331</v>
      </c>
      <c r="B13006" s="3" t="s">
        <v>65478</v>
      </c>
      <c r="C13006" s="3" t="s">
        <v>31</v>
      </c>
      <c r="D13006" s="3" t="s">
        <v>32</v>
      </c>
      <c r="E13006" s="4" t="s">
        <v>22</v>
      </c>
      <c r="F13006" s="4" t="s">
        <v>65479</v>
      </c>
      <c r="G13006" s="4" t="s">
        <v>65480</v>
      </c>
      <c r="H13006" s="3" t="s">
        <v>63948</v>
      </c>
      <c r="I13006" s="3" t="s">
        <v>883</v>
      </c>
      <c r="J13006" s="3" t="s">
        <v>65481</v>
      </c>
      <c r="K13006" s="3" t="s">
        <v>65482</v>
      </c>
      <c r="L13006" s="3" t="s">
        <v>65483</v>
      </c>
      <c r="M13006" s="4"/>
      <c r="N13006" s="3" t="s">
        <v>37</v>
      </c>
      <c r="O13006" s="3" t="s">
        <v>38</v>
      </c>
      <c r="P13006" s="5">
        <v>10</v>
      </c>
      <c r="Q13006" s="5">
        <v>114</v>
      </c>
      <c r="R13006" s="5">
        <v>10</v>
      </c>
      <c r="S13006" s="5">
        <v>109</v>
      </c>
    </row>
    <row r="13007" spans="1:19" ht="28" x14ac:dyDescent="0.15">
      <c r="A13007" s="2">
        <f>HYPERLINK("https://open-school.uspishnemisto.com.ua/school/630333/", 630333)</f>
        <v>630333</v>
      </c>
      <c r="B13007" s="3" t="s">
        <v>65484</v>
      </c>
      <c r="C13007" s="3" t="s">
        <v>31</v>
      </c>
      <c r="D13007" s="3" t="s">
        <v>32</v>
      </c>
      <c r="E13007" s="4" t="s">
        <v>22</v>
      </c>
      <c r="F13007" s="4" t="s">
        <v>65485</v>
      </c>
      <c r="G13007" s="4" t="s">
        <v>65486</v>
      </c>
      <c r="H13007" s="3" t="s">
        <v>63948</v>
      </c>
      <c r="I13007" s="3" t="s">
        <v>65487</v>
      </c>
      <c r="J13007" s="3" t="s">
        <v>65488</v>
      </c>
      <c r="K13007" s="3" t="s">
        <v>65489</v>
      </c>
      <c r="L13007" s="3" t="s">
        <v>65490</v>
      </c>
      <c r="M13007" s="4"/>
      <c r="N13007" s="3" t="s">
        <v>37</v>
      </c>
      <c r="O13007" s="3" t="s">
        <v>70</v>
      </c>
      <c r="P13007" s="5">
        <v>10</v>
      </c>
      <c r="Q13007" s="5">
        <v>65</v>
      </c>
      <c r="R13007" s="5">
        <v>10</v>
      </c>
      <c r="S13007" s="5">
        <v>69</v>
      </c>
    </row>
    <row r="13008" spans="1:19" ht="42" x14ac:dyDescent="0.15">
      <c r="A13008" s="2">
        <f>HYPERLINK("https://open-school.uspishnemisto.com.ua/school/630334/", 630334)</f>
        <v>630334</v>
      </c>
      <c r="B13008" s="3" t="s">
        <v>65491</v>
      </c>
      <c r="C13008" s="3" t="s">
        <v>54</v>
      </c>
      <c r="D13008" s="3" t="s">
        <v>175</v>
      </c>
      <c r="E13008" s="4" t="s">
        <v>22</v>
      </c>
      <c r="F13008" s="4" t="s">
        <v>65492</v>
      </c>
      <c r="G13008" s="4" t="s">
        <v>65493</v>
      </c>
      <c r="H13008" s="3" t="s">
        <v>63948</v>
      </c>
      <c r="I13008" s="3" t="s">
        <v>65494</v>
      </c>
      <c r="J13008" s="3" t="s">
        <v>2446</v>
      </c>
      <c r="K13008" s="3" t="s">
        <v>65495</v>
      </c>
      <c r="L13008" s="3" t="s">
        <v>65496</v>
      </c>
      <c r="M13008" s="4"/>
      <c r="N13008" s="3" t="s">
        <v>37</v>
      </c>
      <c r="O13008" s="3" t="s">
        <v>112</v>
      </c>
      <c r="P13008" s="5">
        <v>6</v>
      </c>
      <c r="Q13008" s="5">
        <v>42</v>
      </c>
      <c r="R13008" s="5">
        <v>5</v>
      </c>
      <c r="S13008" s="5">
        <v>40</v>
      </c>
    </row>
    <row r="13009" spans="1:19" ht="28" x14ac:dyDescent="0.15">
      <c r="A13009" s="2">
        <f>HYPERLINK("https://open-school.uspishnemisto.com.ua/school/630336/", 630336)</f>
        <v>630336</v>
      </c>
      <c r="B13009" s="3" t="s">
        <v>65497</v>
      </c>
      <c r="C13009" s="3" t="s">
        <v>31</v>
      </c>
      <c r="D13009" s="3" t="s">
        <v>32</v>
      </c>
      <c r="E13009" s="4" t="s">
        <v>22</v>
      </c>
      <c r="F13009" s="4" t="s">
        <v>65498</v>
      </c>
      <c r="G13009" s="4" t="s">
        <v>65499</v>
      </c>
      <c r="H13009" s="3" t="s">
        <v>63948</v>
      </c>
      <c r="I13009" s="3" t="s">
        <v>65500</v>
      </c>
      <c r="J13009" s="3" t="s">
        <v>65501</v>
      </c>
      <c r="K13009" s="3" t="s">
        <v>65502</v>
      </c>
      <c r="L13009" s="3"/>
      <c r="M13009" s="4"/>
      <c r="N13009" s="3" t="s">
        <v>37</v>
      </c>
      <c r="O13009" s="3" t="s">
        <v>46</v>
      </c>
      <c r="P13009" s="5">
        <v>47</v>
      </c>
      <c r="Q13009" s="5">
        <v>711</v>
      </c>
      <c r="R13009" s="5">
        <v>47</v>
      </c>
      <c r="S13009" s="5">
        <v>710</v>
      </c>
    </row>
    <row r="13010" spans="1:19" ht="28" x14ac:dyDescent="0.15">
      <c r="A13010" s="2">
        <f>HYPERLINK("https://open-school.uspishnemisto.com.ua/school/630337/", 630337)</f>
        <v>630337</v>
      </c>
      <c r="B13010" s="3" t="s">
        <v>65503</v>
      </c>
      <c r="C13010" s="3" t="s">
        <v>31</v>
      </c>
      <c r="D13010" s="3" t="s">
        <v>32</v>
      </c>
      <c r="E13010" s="4" t="s">
        <v>22</v>
      </c>
      <c r="F13010" s="4" t="s">
        <v>65504</v>
      </c>
      <c r="G13010" s="4" t="s">
        <v>65505</v>
      </c>
      <c r="H13010" s="3" t="s">
        <v>63948</v>
      </c>
      <c r="I13010" s="3" t="s">
        <v>18131</v>
      </c>
      <c r="J13010" s="3" t="s">
        <v>466</v>
      </c>
      <c r="K13010" s="3" t="s">
        <v>65506</v>
      </c>
      <c r="L13010" s="3"/>
      <c r="M13010" s="4"/>
      <c r="N13010" s="3" t="s">
        <v>37</v>
      </c>
      <c r="O13010" s="3" t="s">
        <v>618</v>
      </c>
      <c r="P13010" s="5">
        <v>11</v>
      </c>
      <c r="Q13010" s="5">
        <v>124</v>
      </c>
      <c r="R13010" s="5">
        <v>11</v>
      </c>
      <c r="S13010" s="5">
        <v>121</v>
      </c>
    </row>
    <row r="13011" spans="1:19" ht="28" x14ac:dyDescent="0.15">
      <c r="A13011" s="2">
        <f>HYPERLINK("https://open-school.uspishnemisto.com.ua/school/630338/", 630338)</f>
        <v>630338</v>
      </c>
      <c r="B13011" s="3" t="s">
        <v>65507</v>
      </c>
      <c r="C13011" s="3" t="s">
        <v>31</v>
      </c>
      <c r="D13011" s="3" t="s">
        <v>32</v>
      </c>
      <c r="E13011" s="4" t="s">
        <v>22</v>
      </c>
      <c r="F13011" s="4" t="s">
        <v>65508</v>
      </c>
      <c r="G13011" s="4" t="s">
        <v>65509</v>
      </c>
      <c r="H13011" s="3" t="s">
        <v>63948</v>
      </c>
      <c r="I13011" s="3" t="s">
        <v>11964</v>
      </c>
      <c r="J13011" s="3" t="s">
        <v>4606</v>
      </c>
      <c r="K13011" s="3" t="s">
        <v>65510</v>
      </c>
      <c r="L13011" s="3" t="s">
        <v>65511</v>
      </c>
      <c r="M13011" s="4"/>
      <c r="N13011" s="3" t="s">
        <v>37</v>
      </c>
      <c r="O13011" s="3" t="s">
        <v>112</v>
      </c>
      <c r="P13011" s="5">
        <v>9</v>
      </c>
      <c r="Q13011" s="5">
        <v>52</v>
      </c>
      <c r="R13011" s="5">
        <v>10</v>
      </c>
      <c r="S13011" s="5">
        <v>62</v>
      </c>
    </row>
    <row r="13012" spans="1:19" ht="28" x14ac:dyDescent="0.15">
      <c r="A13012" s="2">
        <f>HYPERLINK("https://open-school.uspishnemisto.com.ua/school/630339/", 630339)</f>
        <v>630339</v>
      </c>
      <c r="B13012" s="3" t="s">
        <v>65512</v>
      </c>
      <c r="C13012" s="3" t="s">
        <v>31</v>
      </c>
      <c r="D13012" s="3" t="s">
        <v>32</v>
      </c>
      <c r="E13012" s="4" t="s">
        <v>22</v>
      </c>
      <c r="F13012" s="4" t="s">
        <v>65513</v>
      </c>
      <c r="G13012" s="4" t="s">
        <v>65514</v>
      </c>
      <c r="H13012" s="3" t="s">
        <v>63948</v>
      </c>
      <c r="I13012" s="3" t="s">
        <v>65515</v>
      </c>
      <c r="J13012" s="3" t="s">
        <v>1668</v>
      </c>
      <c r="K13012" s="3" t="s">
        <v>65516</v>
      </c>
      <c r="L13012" s="3" t="s">
        <v>65517</v>
      </c>
      <c r="M13012" s="4"/>
      <c r="N13012" s="3" t="s">
        <v>37</v>
      </c>
      <c r="O13012" s="3" t="s">
        <v>112</v>
      </c>
      <c r="P13012" s="5">
        <v>8</v>
      </c>
      <c r="Q13012" s="5">
        <v>54</v>
      </c>
      <c r="R13012" s="5">
        <v>8</v>
      </c>
      <c r="S13012" s="5">
        <v>64</v>
      </c>
    </row>
    <row r="13013" spans="1:19" ht="28" x14ac:dyDescent="0.15">
      <c r="A13013" s="2">
        <f>HYPERLINK("https://open-school.uspishnemisto.com.ua/school/630340/", 630340)</f>
        <v>630340</v>
      </c>
      <c r="B13013" s="3" t="s">
        <v>65518</v>
      </c>
      <c r="C13013" s="3" t="s">
        <v>31</v>
      </c>
      <c r="D13013" s="3" t="s">
        <v>32</v>
      </c>
      <c r="E13013" s="4" t="s">
        <v>22</v>
      </c>
      <c r="F13013" s="4" t="s">
        <v>65519</v>
      </c>
      <c r="G13013" s="4" t="s">
        <v>65520</v>
      </c>
      <c r="H13013" s="3" t="s">
        <v>63948</v>
      </c>
      <c r="I13013" s="3" t="s">
        <v>14971</v>
      </c>
      <c r="J13013" s="3" t="s">
        <v>466</v>
      </c>
      <c r="K13013" s="3" t="s">
        <v>65521</v>
      </c>
      <c r="L13013" s="3"/>
      <c r="M13013" s="4"/>
      <c r="N13013" s="3" t="s">
        <v>37</v>
      </c>
      <c r="O13013" s="3" t="s">
        <v>112</v>
      </c>
      <c r="P13013" s="5">
        <v>9</v>
      </c>
      <c r="Q13013" s="5">
        <v>70</v>
      </c>
      <c r="R13013" s="5">
        <v>9</v>
      </c>
      <c r="S13013" s="5">
        <v>74</v>
      </c>
    </row>
    <row r="13014" spans="1:19" ht="42" x14ac:dyDescent="0.15">
      <c r="A13014" s="2">
        <f>HYPERLINK("https://open-school.uspishnemisto.com.ua/school/630341/", 630341)</f>
        <v>630341</v>
      </c>
      <c r="B13014" s="3" t="s">
        <v>65522</v>
      </c>
      <c r="C13014" s="3" t="s">
        <v>31</v>
      </c>
      <c r="D13014" s="3" t="s">
        <v>175</v>
      </c>
      <c r="E13014" s="4" t="s">
        <v>22</v>
      </c>
      <c r="F13014" s="4" t="s">
        <v>65523</v>
      </c>
      <c r="G13014" s="4" t="s">
        <v>65524</v>
      </c>
      <c r="H13014" s="3" t="s">
        <v>63948</v>
      </c>
      <c r="I13014" s="3" t="s">
        <v>65525</v>
      </c>
      <c r="J13014" s="3" t="s">
        <v>466</v>
      </c>
      <c r="K13014" s="3" t="s">
        <v>65526</v>
      </c>
      <c r="L13014" s="3"/>
      <c r="M13014" s="4"/>
      <c r="N13014" s="3"/>
      <c r="O13014" s="3"/>
      <c r="P13014" s="5">
        <v>0</v>
      </c>
      <c r="Q13014" s="5">
        <v>0</v>
      </c>
      <c r="R13014" s="5"/>
      <c r="S13014" s="5"/>
    </row>
    <row r="13015" spans="1:19" ht="28" x14ac:dyDescent="0.15">
      <c r="A13015" s="2">
        <f>HYPERLINK("https://open-school.uspishnemisto.com.ua/school/630342/", 630342)</f>
        <v>630342</v>
      </c>
      <c r="B13015" s="3" t="s">
        <v>65527</v>
      </c>
      <c r="C13015" s="3" t="s">
        <v>31</v>
      </c>
      <c r="D13015" s="3" t="s">
        <v>32</v>
      </c>
      <c r="E13015" s="4" t="s">
        <v>22</v>
      </c>
      <c r="F13015" s="4" t="s">
        <v>65528</v>
      </c>
      <c r="G13015" s="4" t="s">
        <v>65529</v>
      </c>
      <c r="H13015" s="3" t="s">
        <v>63948</v>
      </c>
      <c r="I13015" s="3" t="s">
        <v>65530</v>
      </c>
      <c r="J13015" s="3" t="s">
        <v>466</v>
      </c>
      <c r="K13015" s="3" t="s">
        <v>65531</v>
      </c>
      <c r="L13015" s="3" t="s">
        <v>65532</v>
      </c>
      <c r="M13015" s="4"/>
      <c r="N13015" s="3" t="s">
        <v>37</v>
      </c>
      <c r="O13015" s="3" t="s">
        <v>112</v>
      </c>
      <c r="P13015" s="5">
        <v>11</v>
      </c>
      <c r="Q13015" s="5">
        <v>118</v>
      </c>
      <c r="R13015" s="5">
        <v>11</v>
      </c>
      <c r="S13015" s="5">
        <v>116</v>
      </c>
    </row>
    <row r="13016" spans="1:19" ht="28" x14ac:dyDescent="0.15">
      <c r="A13016" s="2">
        <f>HYPERLINK("https://open-school.uspishnemisto.com.ua/school/630343/", 630343)</f>
        <v>630343</v>
      </c>
      <c r="B13016" s="3" t="s">
        <v>65533</v>
      </c>
      <c r="C13016" s="3" t="s">
        <v>31</v>
      </c>
      <c r="D13016" s="3" t="s">
        <v>32</v>
      </c>
      <c r="E13016" s="4" t="s">
        <v>22</v>
      </c>
      <c r="F13016" s="4" t="s">
        <v>65534</v>
      </c>
      <c r="G13016" s="4" t="s">
        <v>65535</v>
      </c>
      <c r="H13016" s="3" t="s">
        <v>63948</v>
      </c>
      <c r="I13016" s="3" t="s">
        <v>11021</v>
      </c>
      <c r="J13016" s="3" t="s">
        <v>3370</v>
      </c>
      <c r="K13016" s="3" t="s">
        <v>65536</v>
      </c>
      <c r="L13016" s="3"/>
      <c r="M13016" s="4"/>
      <c r="N13016" s="3" t="s">
        <v>37</v>
      </c>
      <c r="O13016" s="3" t="s">
        <v>70</v>
      </c>
      <c r="P13016" s="5">
        <v>11</v>
      </c>
      <c r="Q13016" s="5">
        <v>84</v>
      </c>
      <c r="R13016" s="5">
        <v>11</v>
      </c>
      <c r="S13016" s="5">
        <v>90</v>
      </c>
    </row>
    <row r="13017" spans="1:19" ht="28" x14ac:dyDescent="0.15">
      <c r="A13017" s="2">
        <f>HYPERLINK("https://open-school.uspishnemisto.com.ua/school/630344/", 630344)</f>
        <v>630344</v>
      </c>
      <c r="B13017" s="3" t="s">
        <v>65537</v>
      </c>
      <c r="C13017" s="3" t="s">
        <v>31</v>
      </c>
      <c r="D13017" s="3" t="s">
        <v>32</v>
      </c>
      <c r="E13017" s="4" t="s">
        <v>22</v>
      </c>
      <c r="F13017" s="4" t="s">
        <v>65538</v>
      </c>
      <c r="G13017" s="4" t="s">
        <v>65539</v>
      </c>
      <c r="H13017" s="3" t="s">
        <v>63948</v>
      </c>
      <c r="I13017" s="3" t="s">
        <v>8067</v>
      </c>
      <c r="J13017" s="3"/>
      <c r="K13017" s="3"/>
      <c r="L13017" s="3"/>
      <c r="M13017" s="4"/>
      <c r="N13017" s="3"/>
      <c r="O13017" s="3"/>
      <c r="P13017" s="5">
        <v>0</v>
      </c>
      <c r="Q13017" s="5">
        <v>0</v>
      </c>
      <c r="R13017" s="5"/>
      <c r="S13017" s="5"/>
    </row>
    <row r="13018" spans="1:19" ht="28" x14ac:dyDescent="0.15">
      <c r="A13018" s="2">
        <f>HYPERLINK("https://open-school.uspishnemisto.com.ua/school/630345/", 630345)</f>
        <v>630345</v>
      </c>
      <c r="B13018" s="3" t="s">
        <v>65540</v>
      </c>
      <c r="C13018" s="3" t="s">
        <v>31</v>
      </c>
      <c r="D13018" s="3" t="s">
        <v>32</v>
      </c>
      <c r="E13018" s="4" t="s">
        <v>22</v>
      </c>
      <c r="F13018" s="4" t="s">
        <v>65541</v>
      </c>
      <c r="G13018" s="4" t="s">
        <v>65542</v>
      </c>
      <c r="H13018" s="3" t="s">
        <v>63948</v>
      </c>
      <c r="I13018" s="3" t="s">
        <v>1569</v>
      </c>
      <c r="J13018" s="3" t="s">
        <v>65543</v>
      </c>
      <c r="K13018" s="3" t="s">
        <v>65544</v>
      </c>
      <c r="L13018" s="3"/>
      <c r="M13018" s="4"/>
      <c r="N13018" s="3" t="s">
        <v>37</v>
      </c>
      <c r="O13018" s="3" t="s">
        <v>112</v>
      </c>
      <c r="P13018" s="5">
        <v>11</v>
      </c>
      <c r="Q13018" s="5">
        <v>106</v>
      </c>
      <c r="R13018" s="5">
        <v>11</v>
      </c>
      <c r="S13018" s="5">
        <v>93</v>
      </c>
    </row>
    <row r="13019" spans="1:19" ht="42" x14ac:dyDescent="0.15">
      <c r="A13019" s="2">
        <f>HYPERLINK("https://open-school.uspishnemisto.com.ua/school/630346/", 630346)</f>
        <v>630346</v>
      </c>
      <c r="B13019" s="3" t="s">
        <v>65545</v>
      </c>
      <c r="C13019" s="3" t="s">
        <v>31</v>
      </c>
      <c r="D13019" s="3" t="s">
        <v>32</v>
      </c>
      <c r="E13019" s="4" t="s">
        <v>22</v>
      </c>
      <c r="F13019" s="4" t="s">
        <v>65546</v>
      </c>
      <c r="G13019" s="4" t="s">
        <v>65547</v>
      </c>
      <c r="H13019" s="3" t="s">
        <v>63948</v>
      </c>
      <c r="I13019" s="3" t="s">
        <v>362</v>
      </c>
      <c r="J13019" s="3" t="s">
        <v>65548</v>
      </c>
      <c r="K13019" s="3" t="s">
        <v>65549</v>
      </c>
      <c r="L13019" s="3" t="s">
        <v>65550</v>
      </c>
      <c r="M13019" s="4"/>
      <c r="N13019" s="3" t="s">
        <v>37</v>
      </c>
      <c r="O13019" s="3" t="s">
        <v>70</v>
      </c>
      <c r="P13019" s="5">
        <v>9</v>
      </c>
      <c r="Q13019" s="5">
        <v>56</v>
      </c>
      <c r="R13019" s="5">
        <v>10</v>
      </c>
      <c r="S13019" s="5">
        <v>66</v>
      </c>
    </row>
    <row r="13020" spans="1:19" ht="28" x14ac:dyDescent="0.15">
      <c r="A13020" s="2">
        <f>HYPERLINK("https://open-school.uspishnemisto.com.ua/school/630347/", 630347)</f>
        <v>630347</v>
      </c>
      <c r="B13020" s="3" t="s">
        <v>65551</v>
      </c>
      <c r="C13020" s="3" t="s">
        <v>31</v>
      </c>
      <c r="D13020" s="3" t="s">
        <v>32</v>
      </c>
      <c r="E13020" s="4" t="s">
        <v>22</v>
      </c>
      <c r="F13020" s="4" t="s">
        <v>65552</v>
      </c>
      <c r="G13020" s="4" t="s">
        <v>65553</v>
      </c>
      <c r="H13020" s="3" t="s">
        <v>63948</v>
      </c>
      <c r="I13020" s="3" t="s">
        <v>65554</v>
      </c>
      <c r="J13020" s="3" t="s">
        <v>65555</v>
      </c>
      <c r="K13020" s="3" t="s">
        <v>65556</v>
      </c>
      <c r="L13020" s="3"/>
      <c r="M13020" s="4"/>
      <c r="N13020" s="3" t="s">
        <v>37</v>
      </c>
      <c r="O13020" s="3" t="s">
        <v>70</v>
      </c>
      <c r="P13020" s="5">
        <v>11</v>
      </c>
      <c r="Q13020" s="5">
        <v>85</v>
      </c>
      <c r="R13020" s="5">
        <v>10</v>
      </c>
      <c r="S13020" s="5">
        <v>85</v>
      </c>
    </row>
    <row r="13021" spans="1:19" ht="42" x14ac:dyDescent="0.15">
      <c r="A13021" s="2">
        <f>HYPERLINK("https://open-school.uspishnemisto.com.ua/school/630348/", 630348)</f>
        <v>630348</v>
      </c>
      <c r="B13021" s="3" t="s">
        <v>65557</v>
      </c>
      <c r="C13021" s="3" t="s">
        <v>31</v>
      </c>
      <c r="D13021" s="3" t="s">
        <v>175</v>
      </c>
      <c r="E13021" s="4" t="s">
        <v>22</v>
      </c>
      <c r="F13021" s="4" t="s">
        <v>65558</v>
      </c>
      <c r="G13021" s="4" t="s">
        <v>65559</v>
      </c>
      <c r="H13021" s="3" t="s">
        <v>63948</v>
      </c>
      <c r="I13021" s="3" t="s">
        <v>65560</v>
      </c>
      <c r="J13021" s="3" t="s">
        <v>7166</v>
      </c>
      <c r="K13021" s="3" t="s">
        <v>65561</v>
      </c>
      <c r="L13021" s="3" t="s">
        <v>65562</v>
      </c>
      <c r="M13021" s="4"/>
      <c r="N13021" s="3"/>
      <c r="O13021" s="3"/>
      <c r="P13021" s="5">
        <v>0</v>
      </c>
      <c r="Q13021" s="5">
        <v>0</v>
      </c>
      <c r="R13021" s="5"/>
      <c r="S13021" s="5"/>
    </row>
    <row r="13022" spans="1:19" ht="28" x14ac:dyDescent="0.15">
      <c r="A13022" s="2">
        <f>HYPERLINK("https://open-school.uspishnemisto.com.ua/school/630349/", 630349)</f>
        <v>630349</v>
      </c>
      <c r="B13022" s="3" t="s">
        <v>65563</v>
      </c>
      <c r="C13022" s="3" t="s">
        <v>31</v>
      </c>
      <c r="D13022" s="3" t="s">
        <v>60</v>
      </c>
      <c r="E13022" s="4" t="s">
        <v>22</v>
      </c>
      <c r="F13022" s="4" t="s">
        <v>65564</v>
      </c>
      <c r="G13022" s="4" t="s">
        <v>65565</v>
      </c>
      <c r="H13022" s="3" t="s">
        <v>63948</v>
      </c>
      <c r="I13022" s="3" t="s">
        <v>12579</v>
      </c>
      <c r="J13022" s="3" t="s">
        <v>8152</v>
      </c>
      <c r="K13022" s="3" t="s">
        <v>65566</v>
      </c>
      <c r="L13022" s="3"/>
      <c r="M13022" s="4"/>
      <c r="N13022" s="3" t="s">
        <v>37</v>
      </c>
      <c r="O13022" s="3" t="s">
        <v>618</v>
      </c>
      <c r="P13022" s="5">
        <v>0</v>
      </c>
      <c r="Q13022" s="5">
        <v>3</v>
      </c>
      <c r="R13022" s="5">
        <v>3</v>
      </c>
      <c r="S13022" s="5">
        <v>28</v>
      </c>
    </row>
    <row r="13023" spans="1:19" ht="28" x14ac:dyDescent="0.15">
      <c r="A13023" s="2">
        <f>HYPERLINK("https://open-school.uspishnemisto.com.ua/school/630350/", 630350)</f>
        <v>630350</v>
      </c>
      <c r="B13023" s="3" t="s">
        <v>65567</v>
      </c>
      <c r="C13023" s="3" t="s">
        <v>31</v>
      </c>
      <c r="D13023" s="3" t="s">
        <v>32</v>
      </c>
      <c r="E13023" s="4" t="s">
        <v>22</v>
      </c>
      <c r="F13023" s="4" t="s">
        <v>65568</v>
      </c>
      <c r="G13023" s="4" t="s">
        <v>65569</v>
      </c>
      <c r="H13023" s="3" t="s">
        <v>63948</v>
      </c>
      <c r="I13023" s="3" t="s">
        <v>65570</v>
      </c>
      <c r="J13023" s="3" t="s">
        <v>53778</v>
      </c>
      <c r="K13023" s="3" t="s">
        <v>65571</v>
      </c>
      <c r="L13023" s="3"/>
      <c r="M13023" s="4"/>
      <c r="N13023" s="3" t="s">
        <v>37</v>
      </c>
      <c r="O13023" s="3" t="s">
        <v>70</v>
      </c>
      <c r="P13023" s="5">
        <v>11</v>
      </c>
      <c r="Q13023" s="5">
        <v>146</v>
      </c>
      <c r="R13023" s="5">
        <v>11</v>
      </c>
      <c r="S13023" s="5">
        <v>154</v>
      </c>
    </row>
    <row r="13024" spans="1:19" ht="28" x14ac:dyDescent="0.15">
      <c r="A13024" s="2">
        <f>HYPERLINK("https://open-school.uspishnemisto.com.ua/school/630351/", 630351)</f>
        <v>630351</v>
      </c>
      <c r="B13024" s="3" t="s">
        <v>65572</v>
      </c>
      <c r="C13024" s="3" t="s">
        <v>31</v>
      </c>
      <c r="D13024" s="3" t="s">
        <v>32</v>
      </c>
      <c r="E13024" s="4" t="s">
        <v>22</v>
      </c>
      <c r="F13024" s="4" t="s">
        <v>65573</v>
      </c>
      <c r="G13024" s="4" t="s">
        <v>65574</v>
      </c>
      <c r="H13024" s="3" t="s">
        <v>63948</v>
      </c>
      <c r="I13024" s="3" t="s">
        <v>55343</v>
      </c>
      <c r="J13024" s="3" t="s">
        <v>37244</v>
      </c>
      <c r="K13024" s="3" t="s">
        <v>65575</v>
      </c>
      <c r="L13024" s="3"/>
      <c r="M13024" s="4"/>
      <c r="N13024" s="3" t="s">
        <v>37</v>
      </c>
      <c r="O13024" s="3" t="s">
        <v>112</v>
      </c>
      <c r="P13024" s="5">
        <v>8</v>
      </c>
      <c r="Q13024" s="5">
        <v>42</v>
      </c>
      <c r="R13024" s="5">
        <v>9</v>
      </c>
      <c r="S13024" s="5">
        <v>53</v>
      </c>
    </row>
    <row r="13025" spans="1:19" ht="28" x14ac:dyDescent="0.15">
      <c r="A13025" s="2">
        <f>HYPERLINK("https://open-school.uspishnemisto.com.ua/school/630352/", 630352)</f>
        <v>630352</v>
      </c>
      <c r="B13025" s="3" t="s">
        <v>65576</v>
      </c>
      <c r="C13025" s="3" t="s">
        <v>31</v>
      </c>
      <c r="D13025" s="3" t="s">
        <v>32</v>
      </c>
      <c r="E13025" s="4" t="s">
        <v>22</v>
      </c>
      <c r="F13025" s="4" t="s">
        <v>65577</v>
      </c>
      <c r="G13025" s="4" t="s">
        <v>65578</v>
      </c>
      <c r="H13025" s="3" t="s">
        <v>63948</v>
      </c>
      <c r="I13025" s="3" t="s">
        <v>65579</v>
      </c>
      <c r="J13025" s="3" t="s">
        <v>466</v>
      </c>
      <c r="K13025" s="3" t="s">
        <v>65580</v>
      </c>
      <c r="L13025" s="3"/>
      <c r="M13025" s="4"/>
      <c r="N13025" s="3" t="s">
        <v>37</v>
      </c>
      <c r="O13025" s="3" t="s">
        <v>112</v>
      </c>
      <c r="P13025" s="5">
        <v>7</v>
      </c>
      <c r="Q13025" s="5">
        <v>57</v>
      </c>
      <c r="R13025" s="5">
        <v>8</v>
      </c>
      <c r="S13025" s="5">
        <v>62</v>
      </c>
    </row>
    <row r="13026" spans="1:19" ht="28" x14ac:dyDescent="0.15">
      <c r="A13026" s="2">
        <f>HYPERLINK("https://open-school.uspishnemisto.com.ua/school/630353/", 630353)</f>
        <v>630353</v>
      </c>
      <c r="B13026" s="3" t="s">
        <v>65581</v>
      </c>
      <c r="C13026" s="3" t="s">
        <v>40</v>
      </c>
      <c r="D13026" s="3" t="s">
        <v>32</v>
      </c>
      <c r="E13026" s="4" t="s">
        <v>22</v>
      </c>
      <c r="F13026" s="4" t="s">
        <v>65582</v>
      </c>
      <c r="G13026" s="4" t="s">
        <v>65583</v>
      </c>
      <c r="H13026" s="3" t="s">
        <v>63948</v>
      </c>
      <c r="I13026" s="3" t="s">
        <v>65584</v>
      </c>
      <c r="J13026" s="3" t="s">
        <v>65585</v>
      </c>
      <c r="K13026" s="3" t="s">
        <v>65586</v>
      </c>
      <c r="L13026" s="3" t="s">
        <v>65587</v>
      </c>
      <c r="M13026" s="4"/>
      <c r="N13026" s="3" t="s">
        <v>37</v>
      </c>
      <c r="O13026" s="3" t="s">
        <v>70</v>
      </c>
      <c r="P13026" s="5">
        <v>21</v>
      </c>
      <c r="Q13026" s="5">
        <v>490</v>
      </c>
      <c r="R13026" s="5">
        <v>21</v>
      </c>
      <c r="S13026" s="5">
        <v>474</v>
      </c>
    </row>
    <row r="13027" spans="1:19" ht="56" x14ac:dyDescent="0.15">
      <c r="A13027" s="2">
        <f>HYPERLINK("https://open-school.uspishnemisto.com.ua/school/630354/", 630354)</f>
        <v>630354</v>
      </c>
      <c r="B13027" s="3" t="s">
        <v>65588</v>
      </c>
      <c r="C13027" s="3" t="s">
        <v>31</v>
      </c>
      <c r="D13027" s="3" t="s">
        <v>32</v>
      </c>
      <c r="E13027" s="4" t="s">
        <v>22</v>
      </c>
      <c r="F13027" s="4" t="s">
        <v>65582</v>
      </c>
      <c r="G13027" s="4" t="s">
        <v>65583</v>
      </c>
      <c r="H13027" s="3" t="s">
        <v>63948</v>
      </c>
      <c r="I13027" s="3" t="s">
        <v>65584</v>
      </c>
      <c r="J13027" s="3" t="s">
        <v>18170</v>
      </c>
      <c r="K13027" s="3" t="s">
        <v>65589</v>
      </c>
      <c r="L13027" s="3"/>
      <c r="M13027" s="4"/>
      <c r="N13027" s="3" t="s">
        <v>37</v>
      </c>
      <c r="O13027" s="3" t="s">
        <v>70</v>
      </c>
      <c r="P13027" s="5">
        <v>49</v>
      </c>
      <c r="Q13027" s="5">
        <v>934</v>
      </c>
      <c r="R13027" s="5">
        <v>31</v>
      </c>
      <c r="S13027" s="5">
        <v>790</v>
      </c>
    </row>
    <row r="13028" spans="1:19" ht="28" x14ac:dyDescent="0.15">
      <c r="A13028" s="2">
        <f>HYPERLINK("https://open-school.uspishnemisto.com.ua/school/630355/", 630355)</f>
        <v>630355</v>
      </c>
      <c r="B13028" s="3" t="s">
        <v>65590</v>
      </c>
      <c r="C13028" s="3" t="s">
        <v>188</v>
      </c>
      <c r="D13028" s="3" t="s">
        <v>32</v>
      </c>
      <c r="E13028" s="4" t="s">
        <v>22</v>
      </c>
      <c r="F13028" s="4" t="s">
        <v>65582</v>
      </c>
      <c r="G13028" s="4" t="s">
        <v>65583</v>
      </c>
      <c r="H13028" s="3" t="s">
        <v>63948</v>
      </c>
      <c r="I13028" s="3" t="s">
        <v>65584</v>
      </c>
      <c r="J13028" s="3" t="s">
        <v>65591</v>
      </c>
      <c r="K13028" s="3" t="s">
        <v>65592</v>
      </c>
      <c r="L13028" s="3"/>
      <c r="M13028" s="4"/>
      <c r="N13028" s="3" t="s">
        <v>37</v>
      </c>
      <c r="O13028" s="3" t="s">
        <v>38</v>
      </c>
      <c r="P13028" s="5">
        <v>21</v>
      </c>
      <c r="Q13028" s="5">
        <v>527</v>
      </c>
      <c r="R13028" s="5">
        <v>22</v>
      </c>
      <c r="S13028" s="5">
        <v>524</v>
      </c>
    </row>
    <row r="13029" spans="1:19" ht="28" x14ac:dyDescent="0.15">
      <c r="A13029" s="2">
        <f>HYPERLINK("https://open-school.uspishnemisto.com.ua/school/630356/", 630356)</f>
        <v>630356</v>
      </c>
      <c r="B13029" s="3" t="s">
        <v>65593</v>
      </c>
      <c r="C13029" s="3" t="s">
        <v>181</v>
      </c>
      <c r="D13029" s="3" t="s">
        <v>32</v>
      </c>
      <c r="E13029" s="4" t="s">
        <v>22</v>
      </c>
      <c r="F13029" s="4" t="s">
        <v>65582</v>
      </c>
      <c r="G13029" s="4" t="s">
        <v>65594</v>
      </c>
      <c r="H13029" s="3" t="s">
        <v>63948</v>
      </c>
      <c r="I13029" s="3" t="s">
        <v>32552</v>
      </c>
      <c r="J13029" s="3" t="s">
        <v>44740</v>
      </c>
      <c r="K13029" s="3" t="s">
        <v>65595</v>
      </c>
      <c r="L13029" s="3" t="s">
        <v>65596</v>
      </c>
      <c r="M13029" s="4" t="s">
        <v>65597</v>
      </c>
      <c r="N13029" s="3" t="s">
        <v>37</v>
      </c>
      <c r="O13029" s="3" t="s">
        <v>52</v>
      </c>
      <c r="P13029" s="5">
        <v>8</v>
      </c>
      <c r="Q13029" s="5">
        <v>79</v>
      </c>
      <c r="R13029" s="5">
        <v>8</v>
      </c>
      <c r="S13029" s="5">
        <v>68</v>
      </c>
    </row>
    <row r="13030" spans="1:19" ht="28" x14ac:dyDescent="0.15">
      <c r="A13030" s="2">
        <f>HYPERLINK("https://open-school.uspishnemisto.com.ua/school/630358/", 630358)</f>
        <v>630358</v>
      </c>
      <c r="B13030" s="3" t="s">
        <v>65598</v>
      </c>
      <c r="C13030" s="3" t="s">
        <v>31</v>
      </c>
      <c r="D13030" s="3" t="s">
        <v>32</v>
      </c>
      <c r="E13030" s="4" t="s">
        <v>22</v>
      </c>
      <c r="F13030" s="4" t="s">
        <v>65599</v>
      </c>
      <c r="G13030" s="4" t="s">
        <v>65600</v>
      </c>
      <c r="H13030" s="3" t="s">
        <v>63948</v>
      </c>
      <c r="I13030" s="3" t="s">
        <v>65601</v>
      </c>
      <c r="J13030" s="3" t="s">
        <v>65602</v>
      </c>
      <c r="K13030" s="3" t="s">
        <v>65603</v>
      </c>
      <c r="L13030" s="3" t="s">
        <v>65604</v>
      </c>
      <c r="M13030" s="4"/>
      <c r="N13030" s="3" t="s">
        <v>37</v>
      </c>
      <c r="O13030" s="3" t="s">
        <v>38</v>
      </c>
      <c r="P13030" s="5">
        <v>11</v>
      </c>
      <c r="Q13030" s="5">
        <v>193</v>
      </c>
      <c r="R13030" s="5">
        <v>11</v>
      </c>
      <c r="S13030" s="5">
        <v>200</v>
      </c>
    </row>
    <row r="13031" spans="1:19" ht="28" x14ac:dyDescent="0.15">
      <c r="A13031" s="2">
        <f>HYPERLINK("https://open-school.uspishnemisto.com.ua/school/630359/", 630359)</f>
        <v>630359</v>
      </c>
      <c r="B13031" s="3" t="s">
        <v>65605</v>
      </c>
      <c r="C13031" s="3" t="s">
        <v>31</v>
      </c>
      <c r="D13031" s="3" t="s">
        <v>32</v>
      </c>
      <c r="E13031" s="4" t="s">
        <v>22</v>
      </c>
      <c r="F13031" s="4" t="s">
        <v>65606</v>
      </c>
      <c r="G13031" s="4" t="s">
        <v>65607</v>
      </c>
      <c r="H13031" s="3" t="s">
        <v>63948</v>
      </c>
      <c r="I13031" s="3" t="s">
        <v>34849</v>
      </c>
      <c r="J13031" s="3" t="s">
        <v>4822</v>
      </c>
      <c r="K13031" s="3" t="s">
        <v>65608</v>
      </c>
      <c r="L13031" s="3"/>
      <c r="M13031" s="4"/>
      <c r="N13031" s="3" t="s">
        <v>37</v>
      </c>
      <c r="O13031" s="3" t="s">
        <v>112</v>
      </c>
      <c r="P13031" s="5">
        <v>11</v>
      </c>
      <c r="Q13031" s="5">
        <v>137</v>
      </c>
      <c r="R13031" s="5">
        <v>11</v>
      </c>
      <c r="S13031" s="5">
        <v>150</v>
      </c>
    </row>
    <row r="13032" spans="1:19" ht="56" x14ac:dyDescent="0.15">
      <c r="A13032" s="2">
        <f>HYPERLINK("https://open-school.uspishnemisto.com.ua/school/630360/", 630360)</f>
        <v>630360</v>
      </c>
      <c r="B13032" s="3" t="s">
        <v>65609</v>
      </c>
      <c r="C13032" s="3" t="s">
        <v>54</v>
      </c>
      <c r="D13032" s="3" t="s">
        <v>175</v>
      </c>
      <c r="E13032" s="4" t="s">
        <v>22</v>
      </c>
      <c r="F13032" s="4" t="s">
        <v>65610</v>
      </c>
      <c r="G13032" s="4" t="s">
        <v>65611</v>
      </c>
      <c r="H13032" s="3" t="s">
        <v>63948</v>
      </c>
      <c r="I13032" s="3" t="s">
        <v>65612</v>
      </c>
      <c r="J13032" s="3" t="s">
        <v>16157</v>
      </c>
      <c r="K13032" s="3" t="s">
        <v>65613</v>
      </c>
      <c r="L13032" s="3" t="s">
        <v>65614</v>
      </c>
      <c r="M13032" s="4"/>
      <c r="N13032" s="3" t="s">
        <v>37</v>
      </c>
      <c r="O13032" s="3" t="s">
        <v>38</v>
      </c>
      <c r="P13032" s="5">
        <v>9</v>
      </c>
      <c r="Q13032" s="5">
        <v>80</v>
      </c>
      <c r="R13032" s="5">
        <v>9</v>
      </c>
      <c r="S13032" s="5">
        <v>75</v>
      </c>
    </row>
    <row r="13033" spans="1:19" ht="28" x14ac:dyDescent="0.15">
      <c r="A13033" s="2">
        <f>HYPERLINK("https://open-school.uspishnemisto.com.ua/school/630361/", 630361)</f>
        <v>630361</v>
      </c>
      <c r="B13033" s="3" t="s">
        <v>65615</v>
      </c>
      <c r="C13033" s="3" t="s">
        <v>31</v>
      </c>
      <c r="D13033" s="3" t="s">
        <v>175</v>
      </c>
      <c r="E13033" s="4" t="s">
        <v>22</v>
      </c>
      <c r="F13033" s="4" t="s">
        <v>65616</v>
      </c>
      <c r="G13033" s="4" t="s">
        <v>65617</v>
      </c>
      <c r="H13033" s="3" t="s">
        <v>63948</v>
      </c>
      <c r="I13033" s="3" t="s">
        <v>24998</v>
      </c>
      <c r="J13033" s="3" t="s">
        <v>65618</v>
      </c>
      <c r="K13033" s="3" t="s">
        <v>65619</v>
      </c>
      <c r="L13033" s="3"/>
      <c r="M13033" s="4"/>
      <c r="N13033" s="3" t="s">
        <v>37</v>
      </c>
      <c r="O13033" s="3" t="s">
        <v>38</v>
      </c>
      <c r="P13033" s="5">
        <v>3</v>
      </c>
      <c r="Q13033" s="5">
        <v>27</v>
      </c>
      <c r="R13033" s="5">
        <v>3</v>
      </c>
      <c r="S13033" s="5">
        <v>32</v>
      </c>
    </row>
    <row r="13034" spans="1:19" ht="28" x14ac:dyDescent="0.15">
      <c r="A13034" s="2">
        <f>HYPERLINK("https://open-school.uspishnemisto.com.ua/school/630362/", 630362)</f>
        <v>630362</v>
      </c>
      <c r="B13034" s="3" t="s">
        <v>65620</v>
      </c>
      <c r="C13034" s="3" t="s">
        <v>31</v>
      </c>
      <c r="D13034" s="3" t="s">
        <v>175</v>
      </c>
      <c r="E13034" s="4" t="s">
        <v>22</v>
      </c>
      <c r="F13034" s="4" t="s">
        <v>65621</v>
      </c>
      <c r="G13034" s="4" t="s">
        <v>65622</v>
      </c>
      <c r="H13034" s="3" t="s">
        <v>63948</v>
      </c>
      <c r="I13034" s="3" t="s">
        <v>7723</v>
      </c>
      <c r="J13034" s="3" t="s">
        <v>2417</v>
      </c>
      <c r="K13034" s="3" t="s">
        <v>65623</v>
      </c>
      <c r="L13034" s="3" t="s">
        <v>65624</v>
      </c>
      <c r="M13034" s="4"/>
      <c r="N13034" s="3" t="s">
        <v>37</v>
      </c>
      <c r="O13034" s="3" t="s">
        <v>38</v>
      </c>
      <c r="P13034" s="5">
        <v>7</v>
      </c>
      <c r="Q13034" s="5">
        <v>54</v>
      </c>
      <c r="R13034" s="5">
        <v>5</v>
      </c>
      <c r="S13034" s="5">
        <v>44</v>
      </c>
    </row>
    <row r="13035" spans="1:19" ht="56" x14ac:dyDescent="0.15">
      <c r="A13035" s="2">
        <f>HYPERLINK("https://open-school.uspishnemisto.com.ua/school/630363/", 630363)</f>
        <v>630363</v>
      </c>
      <c r="B13035" s="3" t="s">
        <v>65625</v>
      </c>
      <c r="C13035" s="3" t="s">
        <v>54</v>
      </c>
      <c r="D13035" s="3" t="s">
        <v>175</v>
      </c>
      <c r="E13035" s="4" t="s">
        <v>22</v>
      </c>
      <c r="F13035" s="4" t="s">
        <v>65626</v>
      </c>
      <c r="G13035" s="4" t="s">
        <v>65627</v>
      </c>
      <c r="H13035" s="3" t="s">
        <v>63948</v>
      </c>
      <c r="I13035" s="3" t="s">
        <v>65628</v>
      </c>
      <c r="J13035" s="3" t="s">
        <v>466</v>
      </c>
      <c r="K13035" s="3" t="s">
        <v>65629</v>
      </c>
      <c r="L13035" s="3"/>
      <c r="M13035" s="4"/>
      <c r="N13035" s="3" t="s">
        <v>37</v>
      </c>
      <c r="O13035" s="3" t="s">
        <v>112</v>
      </c>
      <c r="P13035" s="5">
        <v>7</v>
      </c>
      <c r="Q13035" s="5">
        <v>54</v>
      </c>
      <c r="R13035" s="5">
        <v>6</v>
      </c>
      <c r="S13035" s="5">
        <v>46</v>
      </c>
    </row>
    <row r="13036" spans="1:19" ht="28" x14ac:dyDescent="0.15">
      <c r="A13036" s="2">
        <f>HYPERLINK("https://open-school.uspishnemisto.com.ua/school/630364/", 630364)</f>
        <v>630364</v>
      </c>
      <c r="B13036" s="3" t="s">
        <v>65630</v>
      </c>
      <c r="C13036" s="3" t="s">
        <v>31</v>
      </c>
      <c r="D13036" s="3" t="s">
        <v>175</v>
      </c>
      <c r="E13036" s="4" t="s">
        <v>22</v>
      </c>
      <c r="F13036" s="4" t="s">
        <v>65631</v>
      </c>
      <c r="G13036" s="4" t="s">
        <v>65632</v>
      </c>
      <c r="H13036" s="3" t="s">
        <v>63948</v>
      </c>
      <c r="I13036" s="3" t="s">
        <v>58527</v>
      </c>
      <c r="J13036" s="3" t="s">
        <v>65164</v>
      </c>
      <c r="K13036" s="3" t="s">
        <v>65633</v>
      </c>
      <c r="L13036" s="3"/>
      <c r="M13036" s="4"/>
      <c r="N13036" s="3" t="s">
        <v>37</v>
      </c>
      <c r="O13036" s="3" t="s">
        <v>112</v>
      </c>
      <c r="P13036" s="5">
        <v>4</v>
      </c>
      <c r="Q13036" s="5">
        <v>30</v>
      </c>
      <c r="R13036" s="5">
        <v>4</v>
      </c>
      <c r="S13036" s="5">
        <v>31</v>
      </c>
    </row>
    <row r="13037" spans="1:19" ht="56" x14ac:dyDescent="0.15">
      <c r="A13037" s="2">
        <f>HYPERLINK("https://open-school.uspishnemisto.com.ua/school/630365/", 630365)</f>
        <v>630365</v>
      </c>
      <c r="B13037" s="3" t="s">
        <v>65634</v>
      </c>
      <c r="C13037" s="3" t="s">
        <v>54</v>
      </c>
      <c r="D13037" s="3" t="s">
        <v>32</v>
      </c>
      <c r="E13037" s="4" t="s">
        <v>22</v>
      </c>
      <c r="F13037" s="4" t="s">
        <v>65635</v>
      </c>
      <c r="G13037" s="4" t="s">
        <v>65636</v>
      </c>
      <c r="H13037" s="3" t="s">
        <v>63948</v>
      </c>
      <c r="I13037" s="3" t="s">
        <v>65637</v>
      </c>
      <c r="J13037" s="3" t="s">
        <v>4557</v>
      </c>
      <c r="K13037" s="3" t="s">
        <v>65638</v>
      </c>
      <c r="L13037" s="3"/>
      <c r="M13037" s="4"/>
      <c r="N13037" s="3" t="s">
        <v>37</v>
      </c>
      <c r="O13037" s="3" t="s">
        <v>38</v>
      </c>
      <c r="P13037" s="5">
        <v>7</v>
      </c>
      <c r="Q13037" s="5">
        <v>61</v>
      </c>
      <c r="R13037" s="5">
        <v>8</v>
      </c>
      <c r="S13037" s="5">
        <v>72</v>
      </c>
    </row>
    <row r="13038" spans="1:19" ht="56" x14ac:dyDescent="0.15">
      <c r="A13038" s="2">
        <f>HYPERLINK("https://open-school.uspishnemisto.com.ua/school/630366/", 630366)</f>
        <v>630366</v>
      </c>
      <c r="B13038" s="3" t="s">
        <v>65639</v>
      </c>
      <c r="C13038" s="3" t="s">
        <v>54</v>
      </c>
      <c r="D13038" s="3" t="s">
        <v>32</v>
      </c>
      <c r="E13038" s="4" t="s">
        <v>22</v>
      </c>
      <c r="F13038" s="4" t="s">
        <v>65640</v>
      </c>
      <c r="G13038" s="4" t="s">
        <v>65641</v>
      </c>
      <c r="H13038" s="3" t="s">
        <v>63948</v>
      </c>
      <c r="I13038" s="3" t="s">
        <v>65642</v>
      </c>
      <c r="J13038" s="3" t="s">
        <v>65643</v>
      </c>
      <c r="K13038" s="3" t="s">
        <v>65644</v>
      </c>
      <c r="L13038" s="3" t="s">
        <v>65645</v>
      </c>
      <c r="M13038" s="4"/>
      <c r="N13038" s="3" t="s">
        <v>37</v>
      </c>
      <c r="O13038" s="3" t="s">
        <v>38</v>
      </c>
      <c r="P13038" s="5">
        <v>11</v>
      </c>
      <c r="Q13038" s="5">
        <v>184</v>
      </c>
      <c r="R13038" s="5">
        <v>11</v>
      </c>
      <c r="S13038" s="5">
        <v>163</v>
      </c>
    </row>
    <row r="13039" spans="1:19" ht="28" x14ac:dyDescent="0.15">
      <c r="A13039" s="2">
        <f>HYPERLINK("https://open-school.uspishnemisto.com.ua/school/630367/", 630367)</f>
        <v>630367</v>
      </c>
      <c r="B13039" s="3" t="s">
        <v>65646</v>
      </c>
      <c r="C13039" s="3" t="s">
        <v>31</v>
      </c>
      <c r="D13039" s="3" t="s">
        <v>175</v>
      </c>
      <c r="E13039" s="4" t="s">
        <v>22</v>
      </c>
      <c r="F13039" s="4" t="s">
        <v>65647</v>
      </c>
      <c r="G13039" s="4" t="s">
        <v>65648</v>
      </c>
      <c r="H13039" s="3" t="s">
        <v>63948</v>
      </c>
      <c r="I13039" s="3" t="s">
        <v>16036</v>
      </c>
      <c r="J13039" s="3" t="s">
        <v>466</v>
      </c>
      <c r="K13039" s="3" t="s">
        <v>65649</v>
      </c>
      <c r="L13039" s="3" t="s">
        <v>65650</v>
      </c>
      <c r="M13039" s="4"/>
      <c r="N13039" s="3" t="s">
        <v>37</v>
      </c>
      <c r="O13039" s="3" t="s">
        <v>38</v>
      </c>
      <c r="P13039" s="5">
        <v>7</v>
      </c>
      <c r="Q13039" s="5">
        <v>42</v>
      </c>
      <c r="R13039" s="5">
        <v>6</v>
      </c>
      <c r="S13039" s="5">
        <v>39</v>
      </c>
    </row>
    <row r="13040" spans="1:19" ht="28" x14ac:dyDescent="0.15">
      <c r="A13040" s="2">
        <f>HYPERLINK("https://open-school.uspishnemisto.com.ua/school/630368/", 630368)</f>
        <v>630368</v>
      </c>
      <c r="B13040" s="3" t="s">
        <v>65651</v>
      </c>
      <c r="C13040" s="3" t="s">
        <v>31</v>
      </c>
      <c r="D13040" s="3" t="s">
        <v>175</v>
      </c>
      <c r="E13040" s="4" t="s">
        <v>22</v>
      </c>
      <c r="F13040" s="4" t="s">
        <v>65652</v>
      </c>
      <c r="G13040" s="4" t="s">
        <v>65653</v>
      </c>
      <c r="H13040" s="3" t="s">
        <v>63948</v>
      </c>
      <c r="I13040" s="3" t="s">
        <v>1587</v>
      </c>
      <c r="J13040" s="3" t="s">
        <v>7277</v>
      </c>
      <c r="K13040" s="3" t="s">
        <v>65654</v>
      </c>
      <c r="L13040" s="3"/>
      <c r="M13040" s="4"/>
      <c r="N13040" s="3" t="s">
        <v>37</v>
      </c>
      <c r="O13040" s="3" t="s">
        <v>38</v>
      </c>
      <c r="P13040" s="5">
        <v>8</v>
      </c>
      <c r="Q13040" s="5">
        <v>69</v>
      </c>
      <c r="R13040" s="5">
        <v>8</v>
      </c>
      <c r="S13040" s="5">
        <v>75</v>
      </c>
    </row>
    <row r="13041" spans="1:19" ht="28" x14ac:dyDescent="0.15">
      <c r="A13041" s="2">
        <f>HYPERLINK("https://open-school.uspishnemisto.com.ua/school/630369/", 630369)</f>
        <v>630369</v>
      </c>
      <c r="B13041" s="3" t="s">
        <v>65655</v>
      </c>
      <c r="C13041" s="3" t="s">
        <v>31</v>
      </c>
      <c r="D13041" s="3" t="s">
        <v>175</v>
      </c>
      <c r="E13041" s="4" t="s">
        <v>22</v>
      </c>
      <c r="F13041" s="4" t="s">
        <v>65652</v>
      </c>
      <c r="G13041" s="4" t="s">
        <v>65656</v>
      </c>
      <c r="H13041" s="3" t="s">
        <v>63948</v>
      </c>
      <c r="I13041" s="3" t="s">
        <v>65657</v>
      </c>
      <c r="J13041" s="3" t="s">
        <v>17237</v>
      </c>
      <c r="K13041" s="3" t="s">
        <v>65658</v>
      </c>
      <c r="L13041" s="3" t="s">
        <v>65659</v>
      </c>
      <c r="M13041" s="4"/>
      <c r="N13041" s="3" t="s">
        <v>37</v>
      </c>
      <c r="O13041" s="3" t="s">
        <v>52</v>
      </c>
      <c r="P13041" s="5">
        <v>1</v>
      </c>
      <c r="Q13041" s="5">
        <v>26</v>
      </c>
      <c r="R13041" s="5">
        <v>1</v>
      </c>
      <c r="S13041" s="5">
        <v>25</v>
      </c>
    </row>
    <row r="13042" spans="1:19" ht="56" x14ac:dyDescent="0.15">
      <c r="A13042" s="2">
        <f>HYPERLINK("https://open-school.uspishnemisto.com.ua/school/630370/", 630370)</f>
        <v>630370</v>
      </c>
      <c r="B13042" s="3" t="s">
        <v>65660</v>
      </c>
      <c r="C13042" s="3" t="s">
        <v>54</v>
      </c>
      <c r="D13042" s="3"/>
      <c r="E13042" s="4" t="s">
        <v>22</v>
      </c>
      <c r="F13042" s="4" t="s">
        <v>65661</v>
      </c>
      <c r="G13042" s="4" t="s">
        <v>65662</v>
      </c>
      <c r="H13042" s="3" t="s">
        <v>63948</v>
      </c>
      <c r="I13042" s="3" t="s">
        <v>12423</v>
      </c>
      <c r="J13042" s="3" t="s">
        <v>1348</v>
      </c>
      <c r="K13042" s="3" t="s">
        <v>65663</v>
      </c>
      <c r="L13042" s="3" t="s">
        <v>65664</v>
      </c>
      <c r="M13042" s="4"/>
      <c r="N13042" s="3" t="s">
        <v>37</v>
      </c>
      <c r="O13042" s="3" t="s">
        <v>38</v>
      </c>
      <c r="P13042" s="5">
        <v>7</v>
      </c>
      <c r="Q13042" s="5">
        <v>51</v>
      </c>
      <c r="R13042" s="5">
        <v>7</v>
      </c>
      <c r="S13042" s="5">
        <v>49</v>
      </c>
    </row>
    <row r="13043" spans="1:19" ht="28" x14ac:dyDescent="0.15">
      <c r="A13043" s="2">
        <f>HYPERLINK("https://open-school.uspishnemisto.com.ua/school/630371/", 630371)</f>
        <v>630371</v>
      </c>
      <c r="B13043" s="3" t="s">
        <v>65665</v>
      </c>
      <c r="C13043" s="3" t="s">
        <v>31</v>
      </c>
      <c r="D13043" s="3" t="s">
        <v>32</v>
      </c>
      <c r="E13043" s="4" t="s">
        <v>22</v>
      </c>
      <c r="F13043" s="4" t="s">
        <v>65666</v>
      </c>
      <c r="G13043" s="4" t="s">
        <v>65667</v>
      </c>
      <c r="H13043" s="3" t="s">
        <v>63948</v>
      </c>
      <c r="I13043" s="3" t="s">
        <v>65668</v>
      </c>
      <c r="J13043" s="3" t="s">
        <v>65669</v>
      </c>
      <c r="K13043" s="3" t="s">
        <v>65670</v>
      </c>
      <c r="L13043" s="3"/>
      <c r="M13043" s="4"/>
      <c r="N13043" s="3" t="s">
        <v>37</v>
      </c>
      <c r="O13043" s="3" t="s">
        <v>70</v>
      </c>
      <c r="P13043" s="5">
        <v>11</v>
      </c>
      <c r="Q13043" s="5">
        <v>105</v>
      </c>
      <c r="R13043" s="5">
        <v>11</v>
      </c>
      <c r="S13043" s="5">
        <v>103</v>
      </c>
    </row>
    <row r="13044" spans="1:19" ht="28" x14ac:dyDescent="0.15">
      <c r="A13044" s="2">
        <f>HYPERLINK("https://open-school.uspishnemisto.com.ua/school/630372/", 630372)</f>
        <v>630372</v>
      </c>
      <c r="B13044" s="3" t="s">
        <v>65671</v>
      </c>
      <c r="C13044" s="3" t="s">
        <v>31</v>
      </c>
      <c r="D13044" s="3" t="s">
        <v>175</v>
      </c>
      <c r="E13044" s="4" t="s">
        <v>22</v>
      </c>
      <c r="F13044" s="4" t="s">
        <v>65672</v>
      </c>
      <c r="G13044" s="4" t="s">
        <v>65673</v>
      </c>
      <c r="H13044" s="3" t="s">
        <v>63948</v>
      </c>
      <c r="I13044" s="3" t="s">
        <v>65674</v>
      </c>
      <c r="J13044" s="3" t="s">
        <v>11043</v>
      </c>
      <c r="K13044" s="3" t="s">
        <v>65675</v>
      </c>
      <c r="L13044" s="3" t="s">
        <v>65676</v>
      </c>
      <c r="M13044" s="4"/>
      <c r="N13044" s="3" t="s">
        <v>37</v>
      </c>
      <c r="O13044" s="3" t="s">
        <v>70</v>
      </c>
      <c r="P13044" s="5">
        <v>8</v>
      </c>
      <c r="Q13044" s="5">
        <v>52</v>
      </c>
      <c r="R13044" s="5">
        <v>8</v>
      </c>
      <c r="S13044" s="5">
        <v>56</v>
      </c>
    </row>
    <row r="13045" spans="1:19" ht="28" x14ac:dyDescent="0.15">
      <c r="A13045" s="2">
        <f>HYPERLINK("https://open-school.uspishnemisto.com.ua/school/630374/", 630374)</f>
        <v>630374</v>
      </c>
      <c r="B13045" s="3" t="s">
        <v>65677</v>
      </c>
      <c r="C13045" s="3" t="s">
        <v>31</v>
      </c>
      <c r="D13045" s="3" t="s">
        <v>32</v>
      </c>
      <c r="E13045" s="4" t="s">
        <v>22</v>
      </c>
      <c r="F13045" s="4" t="s">
        <v>65678</v>
      </c>
      <c r="G13045" s="4" t="s">
        <v>65679</v>
      </c>
      <c r="H13045" s="3" t="s">
        <v>63948</v>
      </c>
      <c r="I13045" s="3" t="s">
        <v>33531</v>
      </c>
      <c r="J13045" s="3" t="s">
        <v>466</v>
      </c>
      <c r="K13045" s="3" t="s">
        <v>65680</v>
      </c>
      <c r="L13045" s="3"/>
      <c r="M13045" s="4"/>
      <c r="N13045" s="3" t="s">
        <v>37</v>
      </c>
      <c r="O13045" s="3" t="s">
        <v>38</v>
      </c>
      <c r="P13045" s="5">
        <v>9</v>
      </c>
      <c r="Q13045" s="5">
        <v>104</v>
      </c>
      <c r="R13045" s="5">
        <v>9</v>
      </c>
      <c r="S13045" s="5">
        <v>107</v>
      </c>
    </row>
    <row r="13046" spans="1:19" ht="28" x14ac:dyDescent="0.15">
      <c r="A13046" s="2">
        <f>HYPERLINK("https://open-school.uspishnemisto.com.ua/school/630377/", 630377)</f>
        <v>630377</v>
      </c>
      <c r="B13046" s="3" t="s">
        <v>65681</v>
      </c>
      <c r="C13046" s="3" t="s">
        <v>31</v>
      </c>
      <c r="D13046" s="3" t="s">
        <v>32</v>
      </c>
      <c r="E13046" s="4" t="s">
        <v>22</v>
      </c>
      <c r="F13046" s="4" t="s">
        <v>65682</v>
      </c>
      <c r="G13046" s="4" t="s">
        <v>65683</v>
      </c>
      <c r="H13046" s="3" t="s">
        <v>63948</v>
      </c>
      <c r="I13046" s="3" t="s">
        <v>34160</v>
      </c>
      <c r="J13046" s="3" t="s">
        <v>21800</v>
      </c>
      <c r="K13046" s="3" t="s">
        <v>65684</v>
      </c>
      <c r="L13046" s="3"/>
      <c r="M13046" s="4"/>
      <c r="N13046" s="3"/>
      <c r="O13046" s="3"/>
      <c r="P13046" s="5">
        <v>0</v>
      </c>
      <c r="Q13046" s="5">
        <v>0</v>
      </c>
      <c r="R13046" s="5"/>
      <c r="S13046" s="5"/>
    </row>
    <row r="13047" spans="1:19" ht="42" x14ac:dyDescent="0.15">
      <c r="A13047" s="2">
        <f>HYPERLINK("https://open-school.uspishnemisto.com.ua/school/630378/", 630378)</f>
        <v>630378</v>
      </c>
      <c r="B13047" s="3" t="s">
        <v>65685</v>
      </c>
      <c r="C13047" s="3" t="s">
        <v>31</v>
      </c>
      <c r="D13047" s="3" t="s">
        <v>32</v>
      </c>
      <c r="E13047" s="4" t="s">
        <v>22</v>
      </c>
      <c r="F13047" s="4" t="s">
        <v>65682</v>
      </c>
      <c r="G13047" s="4" t="s">
        <v>65683</v>
      </c>
      <c r="H13047" s="3" t="s">
        <v>63948</v>
      </c>
      <c r="I13047" s="3" t="s">
        <v>34160</v>
      </c>
      <c r="J13047" s="3" t="s">
        <v>5948</v>
      </c>
      <c r="K13047" s="3" t="s">
        <v>65686</v>
      </c>
      <c r="L13047" s="3"/>
      <c r="M13047" s="4"/>
      <c r="N13047" s="3" t="s">
        <v>37</v>
      </c>
      <c r="O13047" s="3" t="s">
        <v>70</v>
      </c>
      <c r="P13047" s="5">
        <v>48</v>
      </c>
      <c r="Q13047" s="5">
        <v>811</v>
      </c>
      <c r="R13047" s="5">
        <v>53</v>
      </c>
      <c r="S13047" s="5">
        <v>802</v>
      </c>
    </row>
    <row r="13048" spans="1:19" ht="28" x14ac:dyDescent="0.15">
      <c r="A13048" s="2">
        <f>HYPERLINK("https://open-school.uspishnemisto.com.ua/school/630379/", 630379)</f>
        <v>630379</v>
      </c>
      <c r="B13048" s="3" t="s">
        <v>65687</v>
      </c>
      <c r="C13048" s="3" t="s">
        <v>31</v>
      </c>
      <c r="D13048" s="3" t="s">
        <v>32</v>
      </c>
      <c r="E13048" s="4" t="s">
        <v>22</v>
      </c>
      <c r="F13048" s="4" t="s">
        <v>65688</v>
      </c>
      <c r="G13048" s="4" t="s">
        <v>65689</v>
      </c>
      <c r="H13048" s="3" t="s">
        <v>63948</v>
      </c>
      <c r="I13048" s="3" t="s">
        <v>65690</v>
      </c>
      <c r="J13048" s="3" t="s">
        <v>4537</v>
      </c>
      <c r="K13048" s="3" t="s">
        <v>65691</v>
      </c>
      <c r="L13048" s="3"/>
      <c r="M13048" s="4"/>
      <c r="N13048" s="3"/>
      <c r="O13048" s="3"/>
      <c r="P13048" s="5">
        <v>0</v>
      </c>
      <c r="Q13048" s="5">
        <v>0</v>
      </c>
      <c r="R13048" s="5"/>
      <c r="S13048" s="5"/>
    </row>
    <row r="13049" spans="1:19" ht="28" x14ac:dyDescent="0.15">
      <c r="A13049" s="2">
        <f>HYPERLINK("https://open-school.uspishnemisto.com.ua/school/630380/", 630380)</f>
        <v>630380</v>
      </c>
      <c r="B13049" s="3" t="s">
        <v>65692</v>
      </c>
      <c r="C13049" s="3" t="s">
        <v>31</v>
      </c>
      <c r="D13049" s="3" t="s">
        <v>32</v>
      </c>
      <c r="E13049" s="4" t="s">
        <v>22</v>
      </c>
      <c r="F13049" s="4" t="s">
        <v>65693</v>
      </c>
      <c r="G13049" s="4" t="s">
        <v>65694</v>
      </c>
      <c r="H13049" s="3" t="s">
        <v>63948</v>
      </c>
      <c r="I13049" s="3" t="s">
        <v>65695</v>
      </c>
      <c r="J13049" s="3" t="s">
        <v>12324</v>
      </c>
      <c r="K13049" s="3" t="s">
        <v>65696</v>
      </c>
      <c r="L13049" s="3" t="s">
        <v>65697</v>
      </c>
      <c r="M13049" s="4"/>
      <c r="N13049" s="3" t="s">
        <v>37</v>
      </c>
      <c r="O13049" s="3" t="s">
        <v>38</v>
      </c>
      <c r="P13049" s="5">
        <v>11</v>
      </c>
      <c r="Q13049" s="5">
        <v>162</v>
      </c>
      <c r="R13049" s="5">
        <v>11</v>
      </c>
      <c r="S13049" s="5">
        <v>159</v>
      </c>
    </row>
    <row r="13050" spans="1:19" ht="28" x14ac:dyDescent="0.15">
      <c r="A13050" s="2">
        <f>HYPERLINK("https://open-school.uspishnemisto.com.ua/school/630381/", 630381)</f>
        <v>630381</v>
      </c>
      <c r="B13050" s="3" t="s">
        <v>65698</v>
      </c>
      <c r="C13050" s="3" t="s">
        <v>31</v>
      </c>
      <c r="D13050" s="3" t="s">
        <v>32</v>
      </c>
      <c r="E13050" s="4" t="s">
        <v>22</v>
      </c>
      <c r="F13050" s="4" t="s">
        <v>65699</v>
      </c>
      <c r="G13050" s="4" t="s">
        <v>65700</v>
      </c>
      <c r="H13050" s="3" t="s">
        <v>63948</v>
      </c>
      <c r="I13050" s="3" t="s">
        <v>65701</v>
      </c>
      <c r="J13050" s="3" t="s">
        <v>65702</v>
      </c>
      <c r="K13050" s="3" t="s">
        <v>65703</v>
      </c>
      <c r="L13050" s="3"/>
      <c r="M13050" s="4"/>
      <c r="N13050" s="3"/>
      <c r="O13050" s="3"/>
      <c r="P13050" s="5">
        <v>0</v>
      </c>
      <c r="Q13050" s="5">
        <v>0</v>
      </c>
      <c r="R13050" s="5"/>
      <c r="S13050" s="5"/>
    </row>
    <row r="13051" spans="1:19" ht="28" x14ac:dyDescent="0.15">
      <c r="A13051" s="2">
        <f>HYPERLINK("https://open-school.uspishnemisto.com.ua/school/630382/", 630382)</f>
        <v>630382</v>
      </c>
      <c r="B13051" s="3" t="s">
        <v>65704</v>
      </c>
      <c r="C13051" s="3" t="s">
        <v>31</v>
      </c>
      <c r="D13051" s="3" t="s">
        <v>32</v>
      </c>
      <c r="E13051" s="4" t="s">
        <v>22</v>
      </c>
      <c r="F13051" s="4" t="s">
        <v>65705</v>
      </c>
      <c r="G13051" s="4" t="s">
        <v>65706</v>
      </c>
      <c r="H13051" s="3" t="s">
        <v>63948</v>
      </c>
      <c r="I13051" s="3" t="s">
        <v>65707</v>
      </c>
      <c r="J13051" s="3" t="s">
        <v>65708</v>
      </c>
      <c r="K13051" s="3" t="s">
        <v>65709</v>
      </c>
      <c r="L13051" s="3" t="s">
        <v>65710</v>
      </c>
      <c r="M13051" s="4"/>
      <c r="N13051" s="3" t="s">
        <v>37</v>
      </c>
      <c r="O13051" s="3" t="s">
        <v>38</v>
      </c>
      <c r="P13051" s="5">
        <v>5</v>
      </c>
      <c r="Q13051" s="5">
        <v>50</v>
      </c>
      <c r="R13051" s="5">
        <v>8</v>
      </c>
      <c r="S13051" s="5">
        <v>72</v>
      </c>
    </row>
    <row r="13052" spans="1:19" ht="28" x14ac:dyDescent="0.15">
      <c r="A13052" s="2">
        <f>HYPERLINK("https://open-school.uspishnemisto.com.ua/school/630383/", 630383)</f>
        <v>630383</v>
      </c>
      <c r="B13052" s="3" t="s">
        <v>65711</v>
      </c>
      <c r="C13052" s="3" t="s">
        <v>31</v>
      </c>
      <c r="D13052" s="3" t="s">
        <v>32</v>
      </c>
      <c r="E13052" s="4" t="s">
        <v>22</v>
      </c>
      <c r="F13052" s="4" t="s">
        <v>65712</v>
      </c>
      <c r="G13052" s="4" t="s">
        <v>65713</v>
      </c>
      <c r="H13052" s="3" t="s">
        <v>63948</v>
      </c>
      <c r="I13052" s="3" t="s">
        <v>65714</v>
      </c>
      <c r="J13052" s="3" t="s">
        <v>65715</v>
      </c>
      <c r="K13052" s="3"/>
      <c r="L13052" s="3"/>
      <c r="M13052" s="4"/>
      <c r="N13052" s="3" t="s">
        <v>37</v>
      </c>
      <c r="O13052" s="3" t="s">
        <v>112</v>
      </c>
      <c r="P13052" s="5">
        <v>10</v>
      </c>
      <c r="Q13052" s="5">
        <v>82</v>
      </c>
      <c r="R13052" s="5">
        <v>9</v>
      </c>
      <c r="S13052" s="5">
        <v>79</v>
      </c>
    </row>
    <row r="13053" spans="1:19" ht="28" x14ac:dyDescent="0.15">
      <c r="A13053" s="2">
        <f>HYPERLINK("https://open-school.uspishnemisto.com.ua/school/630384/", 630384)</f>
        <v>630384</v>
      </c>
      <c r="B13053" s="3" t="s">
        <v>65716</v>
      </c>
      <c r="C13053" s="3" t="s">
        <v>31</v>
      </c>
      <c r="D13053" s="3" t="s">
        <v>32</v>
      </c>
      <c r="E13053" s="4" t="s">
        <v>22</v>
      </c>
      <c r="F13053" s="4" t="s">
        <v>65717</v>
      </c>
      <c r="G13053" s="4" t="s">
        <v>65718</v>
      </c>
      <c r="H13053" s="3" t="s">
        <v>63948</v>
      </c>
      <c r="I13053" s="3" t="s">
        <v>11989</v>
      </c>
      <c r="J13053" s="3" t="s">
        <v>1668</v>
      </c>
      <c r="K13053" s="3" t="s">
        <v>65719</v>
      </c>
      <c r="L13053" s="3" t="s">
        <v>65720</v>
      </c>
      <c r="M13053" s="4"/>
      <c r="N13053" s="3" t="s">
        <v>37</v>
      </c>
      <c r="O13053" s="3" t="s">
        <v>38</v>
      </c>
      <c r="P13053" s="5">
        <v>10</v>
      </c>
      <c r="Q13053" s="5">
        <v>82</v>
      </c>
      <c r="R13053" s="5">
        <v>10</v>
      </c>
      <c r="S13053" s="5">
        <v>86</v>
      </c>
    </row>
    <row r="13054" spans="1:19" ht="28" x14ac:dyDescent="0.15">
      <c r="A13054" s="2">
        <f>HYPERLINK("https://open-school.uspishnemisto.com.ua/school/630385/", 630385)</f>
        <v>630385</v>
      </c>
      <c r="B13054" s="3" t="s">
        <v>65721</v>
      </c>
      <c r="C13054" s="3" t="s">
        <v>31</v>
      </c>
      <c r="D13054" s="3" t="s">
        <v>32</v>
      </c>
      <c r="E13054" s="4" t="s">
        <v>22</v>
      </c>
      <c r="F13054" s="4" t="s">
        <v>65722</v>
      </c>
      <c r="G13054" s="4" t="s">
        <v>65723</v>
      </c>
      <c r="H13054" s="3" t="s">
        <v>63948</v>
      </c>
      <c r="I13054" s="3" t="s">
        <v>65724</v>
      </c>
      <c r="J13054" s="3" t="s">
        <v>2417</v>
      </c>
      <c r="K13054" s="3" t="s">
        <v>65725</v>
      </c>
      <c r="L13054" s="3"/>
      <c r="M13054" s="4"/>
      <c r="N13054" s="3" t="s">
        <v>37</v>
      </c>
      <c r="O13054" s="3" t="s">
        <v>38</v>
      </c>
      <c r="P13054" s="5">
        <v>11</v>
      </c>
      <c r="Q13054" s="5">
        <v>205</v>
      </c>
      <c r="R13054" s="5">
        <v>11</v>
      </c>
      <c r="S13054" s="5">
        <v>205</v>
      </c>
    </row>
    <row r="13055" spans="1:19" ht="28" x14ac:dyDescent="0.15">
      <c r="A13055" s="2">
        <f>HYPERLINK("https://open-school.uspishnemisto.com.ua/school/630386/", 630386)</f>
        <v>630386</v>
      </c>
      <c r="B13055" s="3" t="s">
        <v>65726</v>
      </c>
      <c r="C13055" s="3" t="s">
        <v>31</v>
      </c>
      <c r="D13055" s="3" t="s">
        <v>32</v>
      </c>
      <c r="E13055" s="4" t="s">
        <v>22</v>
      </c>
      <c r="F13055" s="4" t="s">
        <v>65727</v>
      </c>
      <c r="G13055" s="4" t="s">
        <v>65728</v>
      </c>
      <c r="H13055" s="3" t="s">
        <v>63948</v>
      </c>
      <c r="I13055" s="3" t="s">
        <v>29995</v>
      </c>
      <c r="J13055" s="3" t="s">
        <v>65729</v>
      </c>
      <c r="K13055" s="3" t="s">
        <v>65730</v>
      </c>
      <c r="L13055" s="3"/>
      <c r="M13055" s="4"/>
      <c r="N13055" s="3" t="s">
        <v>37</v>
      </c>
      <c r="O13055" s="3" t="s">
        <v>70</v>
      </c>
      <c r="P13055" s="5">
        <v>6</v>
      </c>
      <c r="Q13055" s="5">
        <v>58</v>
      </c>
      <c r="R13055" s="5">
        <v>6</v>
      </c>
      <c r="S13055" s="5">
        <v>54</v>
      </c>
    </row>
    <row r="13056" spans="1:19" ht="28" x14ac:dyDescent="0.15">
      <c r="A13056" s="2">
        <f>HYPERLINK("https://open-school.uspishnemisto.com.ua/school/630387/", 630387)</f>
        <v>630387</v>
      </c>
      <c r="B13056" s="3" t="s">
        <v>65731</v>
      </c>
      <c r="C13056" s="3" t="s">
        <v>31</v>
      </c>
      <c r="D13056" s="3" t="s">
        <v>32</v>
      </c>
      <c r="E13056" s="4" t="s">
        <v>22</v>
      </c>
      <c r="F13056" s="4" t="s">
        <v>65732</v>
      </c>
      <c r="G13056" s="4" t="s">
        <v>65733</v>
      </c>
      <c r="H13056" s="3" t="s">
        <v>63948</v>
      </c>
      <c r="I13056" s="3" t="s">
        <v>65734</v>
      </c>
      <c r="J13056" s="3" t="s">
        <v>65735</v>
      </c>
      <c r="K13056" s="3" t="s">
        <v>65736</v>
      </c>
      <c r="L13056" s="3"/>
      <c r="M13056" s="4"/>
      <c r="N13056" s="3"/>
      <c r="O13056" s="3"/>
      <c r="P13056" s="5">
        <v>0</v>
      </c>
      <c r="Q13056" s="5">
        <v>0</v>
      </c>
      <c r="R13056" s="5"/>
      <c r="S13056" s="5"/>
    </row>
    <row r="13057" spans="1:19" ht="28" x14ac:dyDescent="0.15">
      <c r="A13057" s="2">
        <f>HYPERLINK("https://open-school.uspishnemisto.com.ua/school/630388/", 630388)</f>
        <v>630388</v>
      </c>
      <c r="B13057" s="3" t="s">
        <v>65737</v>
      </c>
      <c r="C13057" s="3" t="s">
        <v>54</v>
      </c>
      <c r="D13057" s="3" t="s">
        <v>32</v>
      </c>
      <c r="E13057" s="4" t="s">
        <v>22</v>
      </c>
      <c r="F13057" s="4" t="s">
        <v>65738</v>
      </c>
      <c r="G13057" s="4" t="s">
        <v>65739</v>
      </c>
      <c r="H13057" s="3" t="s">
        <v>63948</v>
      </c>
      <c r="I13057" s="3" t="s">
        <v>65740</v>
      </c>
      <c r="J13057" s="3" t="s">
        <v>2978</v>
      </c>
      <c r="K13057" s="3" t="s">
        <v>65741</v>
      </c>
      <c r="L13057" s="3"/>
      <c r="M13057" s="4"/>
      <c r="N13057" s="3" t="s">
        <v>37</v>
      </c>
      <c r="O13057" s="3" t="s">
        <v>38</v>
      </c>
      <c r="P13057" s="5">
        <v>6</v>
      </c>
      <c r="Q13057" s="5">
        <v>48</v>
      </c>
      <c r="R13057" s="5">
        <v>7</v>
      </c>
      <c r="S13057" s="5">
        <v>58</v>
      </c>
    </row>
    <row r="13058" spans="1:19" ht="28" x14ac:dyDescent="0.15">
      <c r="A13058" s="2">
        <f>HYPERLINK("https://open-school.uspishnemisto.com.ua/school/630389/", 630389)</f>
        <v>630389</v>
      </c>
      <c r="B13058" s="3" t="s">
        <v>65742</v>
      </c>
      <c r="C13058" s="3" t="s">
        <v>31</v>
      </c>
      <c r="D13058" s="3" t="s">
        <v>32</v>
      </c>
      <c r="E13058" s="4" t="s">
        <v>22</v>
      </c>
      <c r="F13058" s="4" t="s">
        <v>65743</v>
      </c>
      <c r="G13058" s="4" t="s">
        <v>65744</v>
      </c>
      <c r="H13058" s="3" t="s">
        <v>63948</v>
      </c>
      <c r="I13058" s="3" t="s">
        <v>65745</v>
      </c>
      <c r="J13058" s="3" t="s">
        <v>65746</v>
      </c>
      <c r="K13058" s="3" t="s">
        <v>65747</v>
      </c>
      <c r="L13058" s="3" t="s">
        <v>65748</v>
      </c>
      <c r="M13058" s="4"/>
      <c r="N13058" s="3" t="s">
        <v>37</v>
      </c>
      <c r="O13058" s="3" t="s">
        <v>38</v>
      </c>
      <c r="P13058" s="5">
        <v>11</v>
      </c>
      <c r="Q13058" s="5">
        <v>219</v>
      </c>
      <c r="R13058" s="5">
        <v>11</v>
      </c>
      <c r="S13058" s="5">
        <v>209</v>
      </c>
    </row>
    <row r="13059" spans="1:19" ht="28" x14ac:dyDescent="0.15">
      <c r="A13059" s="2">
        <f>HYPERLINK("https://open-school.uspishnemisto.com.ua/school/630390/", 630390)</f>
        <v>630390</v>
      </c>
      <c r="B13059" s="3" t="s">
        <v>65749</v>
      </c>
      <c r="C13059" s="3" t="s">
        <v>188</v>
      </c>
      <c r="D13059" s="3" t="s">
        <v>32</v>
      </c>
      <c r="E13059" s="4" t="s">
        <v>22</v>
      </c>
      <c r="F13059" s="4" t="s">
        <v>65750</v>
      </c>
      <c r="G13059" s="4" t="s">
        <v>65744</v>
      </c>
      <c r="H13059" s="3" t="s">
        <v>63948</v>
      </c>
      <c r="I13059" s="3" t="s">
        <v>65745</v>
      </c>
      <c r="J13059" s="3" t="s">
        <v>65751</v>
      </c>
      <c r="K13059" s="3" t="s">
        <v>65752</v>
      </c>
      <c r="L13059" s="3"/>
      <c r="M13059" s="4" t="s">
        <v>65753</v>
      </c>
      <c r="N13059" s="3" t="s">
        <v>37</v>
      </c>
      <c r="O13059" s="3" t="s">
        <v>197</v>
      </c>
      <c r="P13059" s="5">
        <v>44</v>
      </c>
      <c r="Q13059" s="5">
        <v>842</v>
      </c>
      <c r="R13059" s="5">
        <v>43</v>
      </c>
      <c r="S13059" s="5">
        <v>826</v>
      </c>
    </row>
    <row r="13060" spans="1:19" ht="42" x14ac:dyDescent="0.15">
      <c r="A13060" s="2">
        <f>HYPERLINK("https://open-school.uspishnemisto.com.ua/school/630391/", 630391)</f>
        <v>630391</v>
      </c>
      <c r="B13060" s="3" t="s">
        <v>65754</v>
      </c>
      <c r="C13060" s="3" t="s">
        <v>31</v>
      </c>
      <c r="D13060" s="3"/>
      <c r="E13060" s="4" t="s">
        <v>22</v>
      </c>
      <c r="F13060" s="4" t="s">
        <v>65743</v>
      </c>
      <c r="G13060" s="4" t="s">
        <v>65744</v>
      </c>
      <c r="H13060" s="3" t="s">
        <v>63948</v>
      </c>
      <c r="I13060" s="3" t="s">
        <v>65745</v>
      </c>
      <c r="J13060" s="3" t="s">
        <v>65755</v>
      </c>
      <c r="K13060" s="3" t="s">
        <v>65756</v>
      </c>
      <c r="L13060" s="3" t="s">
        <v>65757</v>
      </c>
      <c r="M13060" s="4"/>
      <c r="N13060" s="3"/>
      <c r="O13060" s="3"/>
      <c r="P13060" s="5">
        <v>0</v>
      </c>
      <c r="Q13060" s="5">
        <v>0</v>
      </c>
      <c r="R13060" s="5"/>
      <c r="S13060" s="5"/>
    </row>
    <row r="13061" spans="1:19" ht="42" x14ac:dyDescent="0.15">
      <c r="A13061" s="2">
        <f>HYPERLINK("https://open-school.uspishnemisto.com.ua/school/630392/", 630392)</f>
        <v>630392</v>
      </c>
      <c r="B13061" s="3" t="s">
        <v>65758</v>
      </c>
      <c r="C13061" s="3" t="s">
        <v>54</v>
      </c>
      <c r="D13061" s="3" t="s">
        <v>32</v>
      </c>
      <c r="E13061" s="4" t="s">
        <v>22</v>
      </c>
      <c r="F13061" s="4" t="s">
        <v>65759</v>
      </c>
      <c r="G13061" s="4" t="s">
        <v>65760</v>
      </c>
      <c r="H13061" s="3" t="s">
        <v>63948</v>
      </c>
      <c r="I13061" s="3" t="s">
        <v>65761</v>
      </c>
      <c r="J13061" s="3" t="s">
        <v>65762</v>
      </c>
      <c r="K13061" s="3" t="s">
        <v>65763</v>
      </c>
      <c r="L13061" s="3"/>
      <c r="M13061" s="4"/>
      <c r="N13061" s="3" t="s">
        <v>37</v>
      </c>
      <c r="O13061" s="3" t="s">
        <v>38</v>
      </c>
      <c r="P13061" s="5">
        <v>11</v>
      </c>
      <c r="Q13061" s="5">
        <v>243</v>
      </c>
      <c r="R13061" s="5">
        <v>12</v>
      </c>
      <c r="S13061" s="5">
        <v>243</v>
      </c>
    </row>
    <row r="13062" spans="1:19" ht="28" x14ac:dyDescent="0.15">
      <c r="A13062" s="2">
        <f>HYPERLINK("https://open-school.uspishnemisto.com.ua/school/630393/", 630393)</f>
        <v>630393</v>
      </c>
      <c r="B13062" s="3" t="s">
        <v>65764</v>
      </c>
      <c r="C13062" s="3" t="s">
        <v>31</v>
      </c>
      <c r="D13062" s="3" t="s">
        <v>32</v>
      </c>
      <c r="E13062" s="4" t="s">
        <v>22</v>
      </c>
      <c r="F13062" s="4" t="s">
        <v>65765</v>
      </c>
      <c r="G13062" s="4" t="s">
        <v>65766</v>
      </c>
      <c r="H13062" s="3" t="s">
        <v>63948</v>
      </c>
      <c r="I13062" s="3" t="s">
        <v>65767</v>
      </c>
      <c r="J13062" s="3" t="s">
        <v>2978</v>
      </c>
      <c r="K13062" s="3" t="s">
        <v>65768</v>
      </c>
      <c r="L13062" s="3" t="s">
        <v>65769</v>
      </c>
      <c r="M13062" s="4"/>
      <c r="N13062" s="3" t="s">
        <v>37</v>
      </c>
      <c r="O13062" s="3" t="s">
        <v>38</v>
      </c>
      <c r="P13062" s="5">
        <v>15</v>
      </c>
      <c r="Q13062" s="5">
        <v>297</v>
      </c>
      <c r="R13062" s="5">
        <v>16</v>
      </c>
      <c r="S13062" s="5">
        <v>303</v>
      </c>
    </row>
    <row r="13063" spans="1:19" ht="28" x14ac:dyDescent="0.15">
      <c r="A13063" s="2">
        <f>HYPERLINK("https://open-school.uspishnemisto.com.ua/school/630394/", 630394)</f>
        <v>630394</v>
      </c>
      <c r="B13063" s="3" t="s">
        <v>65770</v>
      </c>
      <c r="C13063" s="3" t="s">
        <v>31</v>
      </c>
      <c r="D13063" s="3" t="s">
        <v>32</v>
      </c>
      <c r="E13063" s="4" t="s">
        <v>22</v>
      </c>
      <c r="F13063" s="4" t="s">
        <v>65771</v>
      </c>
      <c r="G13063" s="4" t="s">
        <v>65772</v>
      </c>
      <c r="H13063" s="3" t="s">
        <v>63948</v>
      </c>
      <c r="I13063" s="3" t="s">
        <v>1291</v>
      </c>
      <c r="J13063" s="3" t="s">
        <v>7686</v>
      </c>
      <c r="K13063" s="3" t="s">
        <v>65773</v>
      </c>
      <c r="L13063" s="3"/>
      <c r="M13063" s="4"/>
      <c r="N13063" s="3" t="s">
        <v>37</v>
      </c>
      <c r="O13063" s="3" t="s">
        <v>38</v>
      </c>
      <c r="P13063" s="5">
        <v>10</v>
      </c>
      <c r="Q13063" s="5">
        <v>60</v>
      </c>
      <c r="R13063" s="5">
        <v>9</v>
      </c>
      <c r="S13063" s="5">
        <v>65</v>
      </c>
    </row>
    <row r="13064" spans="1:19" ht="28" x14ac:dyDescent="0.15">
      <c r="A13064" s="2">
        <f>HYPERLINK("https://open-school.uspishnemisto.com.ua/school/630395/", 630395)</f>
        <v>630395</v>
      </c>
      <c r="B13064" s="3" t="s">
        <v>65774</v>
      </c>
      <c r="C13064" s="3" t="s">
        <v>31</v>
      </c>
      <c r="D13064" s="3" t="s">
        <v>32</v>
      </c>
      <c r="E13064" s="4" t="s">
        <v>22</v>
      </c>
      <c r="F13064" s="4" t="s">
        <v>65775</v>
      </c>
      <c r="G13064" s="4" t="s">
        <v>65776</v>
      </c>
      <c r="H13064" s="3" t="s">
        <v>63948</v>
      </c>
      <c r="I13064" s="3" t="s">
        <v>48895</v>
      </c>
      <c r="J13064" s="3" t="s">
        <v>2802</v>
      </c>
      <c r="K13064" s="3" t="s">
        <v>65777</v>
      </c>
      <c r="L13064" s="3" t="s">
        <v>65778</v>
      </c>
      <c r="M13064" s="4" t="s">
        <v>65779</v>
      </c>
      <c r="N13064" s="3" t="s">
        <v>37</v>
      </c>
      <c r="O13064" s="3" t="s">
        <v>38</v>
      </c>
      <c r="P13064" s="5">
        <v>10</v>
      </c>
      <c r="Q13064" s="5">
        <v>108</v>
      </c>
      <c r="R13064" s="5">
        <v>10</v>
      </c>
      <c r="S13064" s="5">
        <v>101</v>
      </c>
    </row>
    <row r="13065" spans="1:19" ht="56" x14ac:dyDescent="0.15">
      <c r="A13065" s="2">
        <f>HYPERLINK("https://open-school.uspishnemisto.com.ua/school/630396/", 630396)</f>
        <v>630396</v>
      </c>
      <c r="B13065" s="3" t="s">
        <v>65780</v>
      </c>
      <c r="C13065" s="3" t="s">
        <v>54</v>
      </c>
      <c r="D13065" s="3" t="s">
        <v>32</v>
      </c>
      <c r="E13065" s="4" t="s">
        <v>22</v>
      </c>
      <c r="F13065" s="4" t="s">
        <v>65781</v>
      </c>
      <c r="G13065" s="4" t="s">
        <v>65782</v>
      </c>
      <c r="H13065" s="3" t="s">
        <v>63948</v>
      </c>
      <c r="I13065" s="3" t="s">
        <v>50446</v>
      </c>
      <c r="J13065" s="3" t="s">
        <v>634</v>
      </c>
      <c r="K13065" s="3" t="s">
        <v>65783</v>
      </c>
      <c r="L13065" s="3" t="s">
        <v>65784</v>
      </c>
      <c r="M13065" s="4" t="s">
        <v>65785</v>
      </c>
      <c r="N13065" s="3" t="s">
        <v>37</v>
      </c>
      <c r="O13065" s="3" t="s">
        <v>38</v>
      </c>
      <c r="P13065" s="5">
        <v>10</v>
      </c>
      <c r="Q13065" s="5">
        <v>105</v>
      </c>
      <c r="R13065" s="5">
        <v>11</v>
      </c>
      <c r="S13065" s="5">
        <v>109</v>
      </c>
    </row>
    <row r="13066" spans="1:19" ht="28" x14ac:dyDescent="0.15">
      <c r="A13066" s="2">
        <f>HYPERLINK("https://open-school.uspishnemisto.com.ua/school/630397/", 630397)</f>
        <v>630397</v>
      </c>
      <c r="B13066" s="3" t="s">
        <v>65786</v>
      </c>
      <c r="C13066" s="3" t="s">
        <v>31</v>
      </c>
      <c r="D13066" s="3" t="s">
        <v>32</v>
      </c>
      <c r="E13066" s="4" t="s">
        <v>22</v>
      </c>
      <c r="F13066" s="4" t="s">
        <v>65787</v>
      </c>
      <c r="G13066" s="4" t="s">
        <v>65788</v>
      </c>
      <c r="H13066" s="3" t="s">
        <v>63948</v>
      </c>
      <c r="I13066" s="3" t="s">
        <v>14829</v>
      </c>
      <c r="J13066" s="3" t="s">
        <v>65789</v>
      </c>
      <c r="K13066" s="3" t="s">
        <v>65790</v>
      </c>
      <c r="L13066" s="3" t="s">
        <v>65791</v>
      </c>
      <c r="M13066" s="4"/>
      <c r="N13066" s="3" t="s">
        <v>37</v>
      </c>
      <c r="O13066" s="3" t="s">
        <v>38</v>
      </c>
      <c r="P13066" s="5">
        <v>11</v>
      </c>
      <c r="Q13066" s="5">
        <v>138</v>
      </c>
      <c r="R13066" s="5">
        <v>10</v>
      </c>
      <c r="S13066" s="5">
        <v>130</v>
      </c>
    </row>
    <row r="13067" spans="1:19" ht="28" x14ac:dyDescent="0.15">
      <c r="A13067" s="2">
        <f>HYPERLINK("https://open-school.uspishnemisto.com.ua/school/630398/", 630398)</f>
        <v>630398</v>
      </c>
      <c r="B13067" s="3" t="s">
        <v>65792</v>
      </c>
      <c r="C13067" s="3" t="s">
        <v>31</v>
      </c>
      <c r="D13067" s="3" t="s">
        <v>32</v>
      </c>
      <c r="E13067" s="4" t="s">
        <v>22</v>
      </c>
      <c r="F13067" s="4" t="s">
        <v>65793</v>
      </c>
      <c r="G13067" s="4" t="s">
        <v>65794</v>
      </c>
      <c r="H13067" s="3" t="s">
        <v>63948</v>
      </c>
      <c r="I13067" s="3" t="s">
        <v>65795</v>
      </c>
      <c r="J13067" s="3" t="s">
        <v>65796</v>
      </c>
      <c r="K13067" s="3" t="s">
        <v>65797</v>
      </c>
      <c r="L13067" s="3" t="s">
        <v>65798</v>
      </c>
      <c r="M13067" s="4" t="s">
        <v>65799</v>
      </c>
      <c r="N13067" s="3" t="s">
        <v>37</v>
      </c>
      <c r="O13067" s="3" t="s">
        <v>70</v>
      </c>
      <c r="P13067" s="5">
        <v>11</v>
      </c>
      <c r="Q13067" s="5">
        <v>106</v>
      </c>
      <c r="R13067" s="5">
        <v>11</v>
      </c>
      <c r="S13067" s="5">
        <v>106</v>
      </c>
    </row>
    <row r="13068" spans="1:19" ht="28" x14ac:dyDescent="0.15">
      <c r="A13068" s="2">
        <f>HYPERLINK("https://open-school.uspishnemisto.com.ua/school/630399/", 630399)</f>
        <v>630399</v>
      </c>
      <c r="B13068" s="3" t="s">
        <v>65800</v>
      </c>
      <c r="C13068" s="3" t="s">
        <v>31</v>
      </c>
      <c r="D13068" s="3" t="s">
        <v>175</v>
      </c>
      <c r="E13068" s="4" t="s">
        <v>22</v>
      </c>
      <c r="F13068" s="4" t="s">
        <v>65801</v>
      </c>
      <c r="G13068" s="4" t="s">
        <v>65802</v>
      </c>
      <c r="H13068" s="3" t="s">
        <v>63948</v>
      </c>
      <c r="I13068" s="3" t="s">
        <v>65803</v>
      </c>
      <c r="J13068" s="3" t="s">
        <v>447</v>
      </c>
      <c r="K13068" s="3" t="s">
        <v>65804</v>
      </c>
      <c r="L13068" s="3" t="s">
        <v>65805</v>
      </c>
      <c r="M13068" s="4"/>
      <c r="N13068" s="3"/>
      <c r="O13068" s="3"/>
      <c r="P13068" s="5">
        <v>0</v>
      </c>
      <c r="Q13068" s="5">
        <v>0</v>
      </c>
      <c r="R13068" s="5"/>
      <c r="S13068" s="5"/>
    </row>
    <row r="13069" spans="1:19" ht="56" x14ac:dyDescent="0.15">
      <c r="A13069" s="2">
        <f>HYPERLINK("https://open-school.uspishnemisto.com.ua/school/630400/", 630400)</f>
        <v>630400</v>
      </c>
      <c r="B13069" s="3" t="s">
        <v>65806</v>
      </c>
      <c r="C13069" s="3" t="s">
        <v>54</v>
      </c>
      <c r="D13069" s="3" t="s">
        <v>32</v>
      </c>
      <c r="E13069" s="4" t="s">
        <v>22</v>
      </c>
      <c r="F13069" s="4" t="s">
        <v>65807</v>
      </c>
      <c r="G13069" s="4" t="s">
        <v>65808</v>
      </c>
      <c r="H13069" s="3" t="s">
        <v>63948</v>
      </c>
      <c r="I13069" s="3" t="s">
        <v>65809</v>
      </c>
      <c r="J13069" s="3" t="s">
        <v>65810</v>
      </c>
      <c r="K13069" s="3" t="s">
        <v>65811</v>
      </c>
      <c r="L13069" s="3" t="s">
        <v>65812</v>
      </c>
      <c r="M13069" s="4"/>
      <c r="N13069" s="3" t="s">
        <v>37</v>
      </c>
      <c r="O13069" s="3" t="s">
        <v>70</v>
      </c>
      <c r="P13069" s="5">
        <v>8</v>
      </c>
      <c r="Q13069" s="5">
        <v>58</v>
      </c>
      <c r="R13069" s="5">
        <v>7</v>
      </c>
      <c r="S13069" s="5">
        <v>55</v>
      </c>
    </row>
    <row r="13070" spans="1:19" ht="28" x14ac:dyDescent="0.15">
      <c r="A13070" s="2">
        <f>HYPERLINK("https://open-school.uspishnemisto.com.ua/school/630401/", 630401)</f>
        <v>630401</v>
      </c>
      <c r="B13070" s="3" t="s">
        <v>65813</v>
      </c>
      <c r="C13070" s="3" t="s">
        <v>31</v>
      </c>
      <c r="D13070" s="3" t="s">
        <v>32</v>
      </c>
      <c r="E13070" s="4" t="s">
        <v>22</v>
      </c>
      <c r="F13070" s="4" t="s">
        <v>65814</v>
      </c>
      <c r="G13070" s="4" t="s">
        <v>65815</v>
      </c>
      <c r="H13070" s="3" t="s">
        <v>63948</v>
      </c>
      <c r="I13070" s="3" t="s">
        <v>65816</v>
      </c>
      <c r="J13070" s="3" t="s">
        <v>65817</v>
      </c>
      <c r="K13070" s="3" t="s">
        <v>65818</v>
      </c>
      <c r="L13070" s="3" t="s">
        <v>65819</v>
      </c>
      <c r="M13070" s="4" t="s">
        <v>65820</v>
      </c>
      <c r="N13070" s="3" t="s">
        <v>37</v>
      </c>
      <c r="O13070" s="3" t="s">
        <v>38</v>
      </c>
      <c r="P13070" s="5">
        <v>11</v>
      </c>
      <c r="Q13070" s="5">
        <v>111</v>
      </c>
      <c r="R13070" s="5">
        <v>11</v>
      </c>
      <c r="S13070" s="5">
        <v>100</v>
      </c>
    </row>
    <row r="13071" spans="1:19" ht="70" x14ac:dyDescent="0.15">
      <c r="A13071" s="2">
        <f>HYPERLINK("https://open-school.uspishnemisto.com.ua/school/630402/", 630402)</f>
        <v>630402</v>
      </c>
      <c r="B13071" s="3" t="s">
        <v>65821</v>
      </c>
      <c r="C13071" s="3" t="s">
        <v>54</v>
      </c>
      <c r="D13071" s="3" t="s">
        <v>175</v>
      </c>
      <c r="E13071" s="4" t="s">
        <v>22</v>
      </c>
      <c r="F13071" s="4" t="s">
        <v>65822</v>
      </c>
      <c r="G13071" s="4" t="s">
        <v>65823</v>
      </c>
      <c r="H13071" s="3" t="s">
        <v>63948</v>
      </c>
      <c r="I13071" s="3" t="s">
        <v>65824</v>
      </c>
      <c r="J13071" s="3" t="s">
        <v>7304</v>
      </c>
      <c r="K13071" s="3" t="s">
        <v>65825</v>
      </c>
      <c r="L13071" s="3" t="s">
        <v>65826</v>
      </c>
      <c r="M13071" s="4"/>
      <c r="N13071" s="3" t="s">
        <v>37</v>
      </c>
      <c r="O13071" s="3" t="s">
        <v>38</v>
      </c>
      <c r="P13071" s="5">
        <v>7</v>
      </c>
      <c r="Q13071" s="5">
        <v>48</v>
      </c>
      <c r="R13071" s="5">
        <v>6</v>
      </c>
      <c r="S13071" s="5">
        <v>47</v>
      </c>
    </row>
    <row r="13072" spans="1:19" ht="28" x14ac:dyDescent="0.15">
      <c r="A13072" s="2">
        <f>HYPERLINK("https://open-school.uspishnemisto.com.ua/school/630403/", 630403)</f>
        <v>630403</v>
      </c>
      <c r="B13072" s="3" t="s">
        <v>65827</v>
      </c>
      <c r="C13072" s="3" t="s">
        <v>31</v>
      </c>
      <c r="D13072" s="3" t="s">
        <v>32</v>
      </c>
      <c r="E13072" s="4" t="s">
        <v>22</v>
      </c>
      <c r="F13072" s="4" t="s">
        <v>65828</v>
      </c>
      <c r="G13072" s="4" t="s">
        <v>65829</v>
      </c>
      <c r="H13072" s="3" t="s">
        <v>63948</v>
      </c>
      <c r="I13072" s="3" t="s">
        <v>65830</v>
      </c>
      <c r="J13072" s="3" t="s">
        <v>65831</v>
      </c>
      <c r="K13072" s="3" t="s">
        <v>65832</v>
      </c>
      <c r="L13072" s="3"/>
      <c r="M13072" s="4"/>
      <c r="N13072" s="3" t="s">
        <v>37</v>
      </c>
      <c r="O13072" s="3" t="s">
        <v>70</v>
      </c>
      <c r="P13072" s="5">
        <v>9</v>
      </c>
      <c r="Q13072" s="5">
        <v>87</v>
      </c>
      <c r="R13072" s="5">
        <v>10</v>
      </c>
      <c r="S13072" s="5">
        <v>91</v>
      </c>
    </row>
    <row r="13073" spans="1:19" ht="28" x14ac:dyDescent="0.15">
      <c r="A13073" s="2">
        <f>HYPERLINK("https://open-school.uspishnemisto.com.ua/school/630404/", 630404)</f>
        <v>630404</v>
      </c>
      <c r="B13073" s="3" t="s">
        <v>65833</v>
      </c>
      <c r="C13073" s="3" t="s">
        <v>31</v>
      </c>
      <c r="D13073" s="3" t="s">
        <v>32</v>
      </c>
      <c r="E13073" s="4" t="s">
        <v>22</v>
      </c>
      <c r="F13073" s="4" t="s">
        <v>65834</v>
      </c>
      <c r="G13073" s="4" t="s">
        <v>65835</v>
      </c>
      <c r="H13073" s="3" t="s">
        <v>63948</v>
      </c>
      <c r="I13073" s="3" t="s">
        <v>65836</v>
      </c>
      <c r="J13073" s="3" t="s">
        <v>18747</v>
      </c>
      <c r="K13073" s="3" t="s">
        <v>65837</v>
      </c>
      <c r="L13073" s="3" t="s">
        <v>65838</v>
      </c>
      <c r="M13073" s="4"/>
      <c r="N13073" s="3" t="s">
        <v>37</v>
      </c>
      <c r="O13073" s="3" t="s">
        <v>38</v>
      </c>
      <c r="P13073" s="5">
        <v>10</v>
      </c>
      <c r="Q13073" s="5">
        <v>137</v>
      </c>
      <c r="R13073" s="5">
        <v>10</v>
      </c>
      <c r="S13073" s="5">
        <v>141</v>
      </c>
    </row>
    <row r="13074" spans="1:19" ht="42" x14ac:dyDescent="0.15">
      <c r="A13074" s="2">
        <f>HYPERLINK("https://open-school.uspishnemisto.com.ua/school/630405/", 630405)</f>
        <v>630405</v>
      </c>
      <c r="B13074" s="3" t="s">
        <v>65839</v>
      </c>
      <c r="C13074" s="3" t="s">
        <v>54</v>
      </c>
      <c r="D13074" s="3" t="s">
        <v>60</v>
      </c>
      <c r="E13074" s="4" t="s">
        <v>22</v>
      </c>
      <c r="F13074" s="4" t="s">
        <v>65840</v>
      </c>
      <c r="G13074" s="4" t="s">
        <v>65841</v>
      </c>
      <c r="H13074" s="3" t="s">
        <v>63948</v>
      </c>
      <c r="I13074" s="3" t="s">
        <v>65842</v>
      </c>
      <c r="J13074" s="3" t="s">
        <v>65843</v>
      </c>
      <c r="K13074" s="3" t="s">
        <v>65844</v>
      </c>
      <c r="L13074" s="3" t="s">
        <v>65845</v>
      </c>
      <c r="M13074" s="4"/>
      <c r="N13074" s="3"/>
      <c r="O13074" s="3"/>
      <c r="P13074" s="5">
        <v>0</v>
      </c>
      <c r="Q13074" s="5">
        <v>0</v>
      </c>
      <c r="R13074" s="5"/>
      <c r="S13074" s="5"/>
    </row>
    <row r="13075" spans="1:19" ht="28" x14ac:dyDescent="0.15">
      <c r="A13075" s="2">
        <f>HYPERLINK("https://open-school.uspishnemisto.com.ua/school/630406/", 630406)</f>
        <v>630406</v>
      </c>
      <c r="B13075" s="3" t="s">
        <v>65846</v>
      </c>
      <c r="C13075" s="3" t="s">
        <v>31</v>
      </c>
      <c r="D13075" s="3" t="s">
        <v>32</v>
      </c>
      <c r="E13075" s="4" t="s">
        <v>22</v>
      </c>
      <c r="F13075" s="4" t="s">
        <v>65847</v>
      </c>
      <c r="G13075" s="4" t="s">
        <v>65848</v>
      </c>
      <c r="H13075" s="3" t="s">
        <v>63948</v>
      </c>
      <c r="I13075" s="3" t="s">
        <v>34849</v>
      </c>
      <c r="J13075" s="3" t="s">
        <v>447</v>
      </c>
      <c r="K13075" s="3" t="s">
        <v>65849</v>
      </c>
      <c r="L13075" s="3" t="s">
        <v>65850</v>
      </c>
      <c r="M13075" s="4"/>
      <c r="N13075" s="3" t="s">
        <v>37</v>
      </c>
      <c r="O13075" s="3" t="s">
        <v>70</v>
      </c>
      <c r="P13075" s="5">
        <v>11</v>
      </c>
      <c r="Q13075" s="5">
        <v>218</v>
      </c>
      <c r="R13075" s="5">
        <v>11</v>
      </c>
      <c r="S13075" s="5">
        <v>214</v>
      </c>
    </row>
    <row r="13076" spans="1:19" ht="28" x14ac:dyDescent="0.15">
      <c r="A13076" s="2">
        <f>HYPERLINK("https://open-school.uspishnemisto.com.ua/school/630407/", 630407)</f>
        <v>630407</v>
      </c>
      <c r="B13076" s="3" t="s">
        <v>65851</v>
      </c>
      <c r="C13076" s="3" t="s">
        <v>31</v>
      </c>
      <c r="D13076" s="3" t="s">
        <v>32</v>
      </c>
      <c r="E13076" s="4" t="s">
        <v>22</v>
      </c>
      <c r="F13076" s="4" t="s">
        <v>65852</v>
      </c>
      <c r="G13076" s="4" t="s">
        <v>65853</v>
      </c>
      <c r="H13076" s="3" t="s">
        <v>63948</v>
      </c>
      <c r="I13076" s="3" t="s">
        <v>65854</v>
      </c>
      <c r="J13076" s="3" t="s">
        <v>65855</v>
      </c>
      <c r="K13076" s="3" t="s">
        <v>65856</v>
      </c>
      <c r="L13076" s="3" t="s">
        <v>65857</v>
      </c>
      <c r="M13076" s="4"/>
      <c r="N13076" s="3" t="s">
        <v>37</v>
      </c>
      <c r="O13076" s="3" t="s">
        <v>38</v>
      </c>
      <c r="P13076" s="5">
        <v>21</v>
      </c>
      <c r="Q13076" s="5">
        <v>513</v>
      </c>
      <c r="R13076" s="5">
        <v>21</v>
      </c>
      <c r="S13076" s="5">
        <v>508</v>
      </c>
    </row>
    <row r="13077" spans="1:19" ht="28" x14ac:dyDescent="0.15">
      <c r="A13077" s="2">
        <f>HYPERLINK("https://open-school.uspishnemisto.com.ua/school/630408/", 630408)</f>
        <v>630408</v>
      </c>
      <c r="B13077" s="3" t="s">
        <v>65858</v>
      </c>
      <c r="C13077" s="3" t="s">
        <v>188</v>
      </c>
      <c r="D13077" s="3" t="s">
        <v>32</v>
      </c>
      <c r="E13077" s="4" t="s">
        <v>22</v>
      </c>
      <c r="F13077" s="4" t="s">
        <v>65852</v>
      </c>
      <c r="G13077" s="4" t="s">
        <v>65853</v>
      </c>
      <c r="H13077" s="3" t="s">
        <v>63948</v>
      </c>
      <c r="I13077" s="3" t="s">
        <v>65854</v>
      </c>
      <c r="J13077" s="3" t="s">
        <v>15902</v>
      </c>
      <c r="K13077" s="3" t="s">
        <v>65859</v>
      </c>
      <c r="L13077" s="3"/>
      <c r="M13077" s="4"/>
      <c r="N13077" s="3" t="s">
        <v>37</v>
      </c>
      <c r="O13077" s="3" t="s">
        <v>52</v>
      </c>
      <c r="P13077" s="5">
        <v>4</v>
      </c>
      <c r="Q13077" s="5">
        <v>80</v>
      </c>
      <c r="R13077" s="5">
        <v>5</v>
      </c>
      <c r="S13077" s="5">
        <v>98</v>
      </c>
    </row>
    <row r="13078" spans="1:19" ht="28" x14ac:dyDescent="0.15">
      <c r="A13078" s="2">
        <f>HYPERLINK("https://open-school.uspishnemisto.com.ua/school/630409/", 630409)</f>
        <v>630409</v>
      </c>
      <c r="B13078" s="3" t="s">
        <v>65860</v>
      </c>
      <c r="C13078" s="3" t="s">
        <v>31</v>
      </c>
      <c r="D13078" s="3" t="s">
        <v>32</v>
      </c>
      <c r="E13078" s="4" t="s">
        <v>22</v>
      </c>
      <c r="F13078" s="4" t="s">
        <v>65861</v>
      </c>
      <c r="G13078" s="4" t="s">
        <v>65862</v>
      </c>
      <c r="H13078" s="3" t="s">
        <v>63948</v>
      </c>
      <c r="I13078" s="3" t="s">
        <v>22540</v>
      </c>
      <c r="J13078" s="3" t="s">
        <v>65863</v>
      </c>
      <c r="K13078" s="3" t="s">
        <v>65864</v>
      </c>
      <c r="L13078" s="3" t="s">
        <v>65865</v>
      </c>
      <c r="M13078" s="4" t="s">
        <v>65866</v>
      </c>
      <c r="N13078" s="3" t="s">
        <v>37</v>
      </c>
      <c r="O13078" s="3" t="s">
        <v>38</v>
      </c>
      <c r="P13078" s="5">
        <v>11</v>
      </c>
      <c r="Q13078" s="5">
        <v>89</v>
      </c>
      <c r="R13078" s="5">
        <v>11</v>
      </c>
      <c r="S13078" s="5">
        <v>81</v>
      </c>
    </row>
    <row r="13079" spans="1:19" ht="42" x14ac:dyDescent="0.15">
      <c r="A13079" s="2">
        <f>HYPERLINK("https://open-school.uspishnemisto.com.ua/school/630410/", 630410)</f>
        <v>630410</v>
      </c>
      <c r="B13079" s="3" t="s">
        <v>65867</v>
      </c>
      <c r="C13079" s="3" t="s">
        <v>31</v>
      </c>
      <c r="D13079" s="3" t="s">
        <v>32</v>
      </c>
      <c r="E13079" s="4" t="s">
        <v>22</v>
      </c>
      <c r="F13079" s="4" t="s">
        <v>65868</v>
      </c>
      <c r="G13079" s="4" t="s">
        <v>65869</v>
      </c>
      <c r="H13079" s="3" t="s">
        <v>63948</v>
      </c>
      <c r="I13079" s="3" t="s">
        <v>65870</v>
      </c>
      <c r="J13079" s="3" t="s">
        <v>634</v>
      </c>
      <c r="K13079" s="3" t="s">
        <v>65871</v>
      </c>
      <c r="L13079" s="3" t="s">
        <v>65872</v>
      </c>
      <c r="M13079" s="4"/>
      <c r="N13079" s="3" t="s">
        <v>967</v>
      </c>
      <c r="O13079" s="3" t="s">
        <v>52</v>
      </c>
      <c r="P13079" s="5">
        <v>11</v>
      </c>
      <c r="Q13079" s="5">
        <v>210</v>
      </c>
      <c r="R13079" s="5">
        <v>11</v>
      </c>
      <c r="S13079" s="5">
        <v>212</v>
      </c>
    </row>
    <row r="13080" spans="1:19" ht="28" x14ac:dyDescent="0.15">
      <c r="A13080" s="2">
        <f>HYPERLINK("https://open-school.uspishnemisto.com.ua/school/630411/", 630411)</f>
        <v>630411</v>
      </c>
      <c r="B13080" s="3" t="s">
        <v>65873</v>
      </c>
      <c r="C13080" s="3" t="s">
        <v>31</v>
      </c>
      <c r="D13080" s="3" t="s">
        <v>32</v>
      </c>
      <c r="E13080" s="4" t="s">
        <v>22</v>
      </c>
      <c r="F13080" s="4" t="s">
        <v>65874</v>
      </c>
      <c r="G13080" s="4" t="s">
        <v>65875</v>
      </c>
      <c r="H13080" s="3" t="s">
        <v>63948</v>
      </c>
      <c r="I13080" s="3" t="s">
        <v>4594</v>
      </c>
      <c r="J13080" s="3" t="s">
        <v>566</v>
      </c>
      <c r="K13080" s="3" t="s">
        <v>65876</v>
      </c>
      <c r="L13080" s="3"/>
      <c r="M13080" s="4"/>
      <c r="N13080" s="3" t="s">
        <v>37</v>
      </c>
      <c r="O13080" s="3" t="s">
        <v>38</v>
      </c>
      <c r="P13080" s="5">
        <v>11</v>
      </c>
      <c r="Q13080" s="5">
        <v>97</v>
      </c>
      <c r="R13080" s="5">
        <v>11</v>
      </c>
      <c r="S13080" s="5">
        <v>101</v>
      </c>
    </row>
    <row r="13081" spans="1:19" ht="28" x14ac:dyDescent="0.15">
      <c r="A13081" s="2">
        <f>HYPERLINK("https://open-school.uspishnemisto.com.ua/school/630412/", 630412)</f>
        <v>630412</v>
      </c>
      <c r="B13081" s="3" t="s">
        <v>65877</v>
      </c>
      <c r="C13081" s="3" t="s">
        <v>31</v>
      </c>
      <c r="D13081" s="3" t="s">
        <v>32</v>
      </c>
      <c r="E13081" s="4" t="s">
        <v>22</v>
      </c>
      <c r="F13081" s="4" t="s">
        <v>65878</v>
      </c>
      <c r="G13081" s="4" t="s">
        <v>65879</v>
      </c>
      <c r="H13081" s="3" t="s">
        <v>63948</v>
      </c>
      <c r="I13081" s="3" t="s">
        <v>65880</v>
      </c>
      <c r="J13081" s="3" t="s">
        <v>683</v>
      </c>
      <c r="K13081" s="3" t="s">
        <v>65881</v>
      </c>
      <c r="L13081" s="3" t="s">
        <v>65882</v>
      </c>
      <c r="M13081" s="4"/>
      <c r="N13081" s="3" t="s">
        <v>37</v>
      </c>
      <c r="O13081" s="3" t="s">
        <v>38</v>
      </c>
      <c r="P13081" s="5">
        <v>5</v>
      </c>
      <c r="Q13081" s="5">
        <v>41</v>
      </c>
      <c r="R13081" s="5">
        <v>5</v>
      </c>
      <c r="S13081" s="5">
        <v>48</v>
      </c>
    </row>
    <row r="13082" spans="1:19" ht="28" x14ac:dyDescent="0.15">
      <c r="A13082" s="2">
        <f>HYPERLINK("https://open-school.uspishnemisto.com.ua/school/630413/", 630413)</f>
        <v>630413</v>
      </c>
      <c r="B13082" s="3" t="s">
        <v>65883</v>
      </c>
      <c r="C13082" s="3" t="s">
        <v>54</v>
      </c>
      <c r="D13082" s="3" t="s">
        <v>32</v>
      </c>
      <c r="E13082" s="4" t="s">
        <v>22</v>
      </c>
      <c r="F13082" s="4" t="s">
        <v>65878</v>
      </c>
      <c r="G13082" s="4" t="s">
        <v>65884</v>
      </c>
      <c r="H13082" s="3" t="s">
        <v>63948</v>
      </c>
      <c r="I13082" s="3" t="s">
        <v>65885</v>
      </c>
      <c r="J13082" s="3" t="s">
        <v>792</v>
      </c>
      <c r="K13082" s="3" t="s">
        <v>65886</v>
      </c>
      <c r="L13082" s="3" t="s">
        <v>65887</v>
      </c>
      <c r="M13082" s="4"/>
      <c r="N13082" s="3" t="s">
        <v>37</v>
      </c>
      <c r="O13082" s="3" t="s">
        <v>70</v>
      </c>
      <c r="P13082" s="5">
        <v>4</v>
      </c>
      <c r="Q13082" s="5">
        <v>33</v>
      </c>
      <c r="R13082" s="5">
        <v>4</v>
      </c>
      <c r="S13082" s="5">
        <v>36</v>
      </c>
    </row>
    <row r="13083" spans="1:19" ht="42" x14ac:dyDescent="0.15">
      <c r="A13083" s="2">
        <f>HYPERLINK("https://open-school.uspishnemisto.com.ua/school/630414/", 630414)</f>
        <v>630414</v>
      </c>
      <c r="B13083" s="3" t="s">
        <v>65888</v>
      </c>
      <c r="C13083" s="3" t="s">
        <v>54</v>
      </c>
      <c r="D13083" s="3" t="s">
        <v>32</v>
      </c>
      <c r="E13083" s="4" t="s">
        <v>22</v>
      </c>
      <c r="F13083" s="4" t="s">
        <v>65889</v>
      </c>
      <c r="G13083" s="4" t="s">
        <v>65890</v>
      </c>
      <c r="H13083" s="3" t="s">
        <v>63948</v>
      </c>
      <c r="I13083" s="3" t="s">
        <v>2475</v>
      </c>
      <c r="J13083" s="3" t="s">
        <v>37289</v>
      </c>
      <c r="K13083" s="3" t="s">
        <v>65891</v>
      </c>
      <c r="L13083" s="3"/>
      <c r="M13083" s="4"/>
      <c r="N13083" s="3" t="s">
        <v>37</v>
      </c>
      <c r="O13083" s="3" t="s">
        <v>112</v>
      </c>
      <c r="P13083" s="5">
        <v>6</v>
      </c>
      <c r="Q13083" s="5">
        <v>45</v>
      </c>
      <c r="R13083" s="5">
        <v>7</v>
      </c>
      <c r="S13083" s="5">
        <v>50</v>
      </c>
    </row>
    <row r="13084" spans="1:19" ht="28" x14ac:dyDescent="0.15">
      <c r="A13084" s="2">
        <f>HYPERLINK("https://open-school.uspishnemisto.com.ua/school/630415/", 630415)</f>
        <v>630415</v>
      </c>
      <c r="B13084" s="3" t="s">
        <v>65892</v>
      </c>
      <c r="C13084" s="3" t="s">
        <v>31</v>
      </c>
      <c r="D13084" s="3" t="s">
        <v>32</v>
      </c>
      <c r="E13084" s="4" t="s">
        <v>22</v>
      </c>
      <c r="F13084" s="4" t="s">
        <v>65893</v>
      </c>
      <c r="G13084" s="4" t="s">
        <v>65894</v>
      </c>
      <c r="H13084" s="3" t="s">
        <v>63948</v>
      </c>
      <c r="I13084" s="3" t="s">
        <v>12592</v>
      </c>
      <c r="J13084" s="3" t="s">
        <v>65895</v>
      </c>
      <c r="K13084" s="3" t="s">
        <v>65896</v>
      </c>
      <c r="L13084" s="3"/>
      <c r="M13084" s="4"/>
      <c r="N13084" s="3" t="s">
        <v>37</v>
      </c>
      <c r="O13084" s="3" t="s">
        <v>46</v>
      </c>
      <c r="P13084" s="5">
        <v>5</v>
      </c>
      <c r="Q13084" s="5">
        <v>38</v>
      </c>
      <c r="R13084" s="5">
        <v>6</v>
      </c>
      <c r="S13084" s="5">
        <v>49</v>
      </c>
    </row>
    <row r="13085" spans="1:19" ht="28" x14ac:dyDescent="0.15">
      <c r="A13085" s="2">
        <f>HYPERLINK("https://open-school.uspishnemisto.com.ua/school/630416/", 630416)</f>
        <v>630416</v>
      </c>
      <c r="B13085" s="3" t="s">
        <v>65897</v>
      </c>
      <c r="C13085" s="3" t="s">
        <v>31</v>
      </c>
      <c r="D13085" s="3" t="s">
        <v>32</v>
      </c>
      <c r="E13085" s="4" t="s">
        <v>22</v>
      </c>
      <c r="F13085" s="4" t="s">
        <v>65898</v>
      </c>
      <c r="G13085" s="4" t="s">
        <v>65899</v>
      </c>
      <c r="H13085" s="3" t="s">
        <v>63948</v>
      </c>
      <c r="I13085" s="3" t="s">
        <v>37268</v>
      </c>
      <c r="J13085" s="3" t="s">
        <v>8429</v>
      </c>
      <c r="K13085" s="3" t="s">
        <v>65900</v>
      </c>
      <c r="L13085" s="3"/>
      <c r="M13085" s="4"/>
      <c r="N13085" s="3" t="s">
        <v>967</v>
      </c>
      <c r="O13085" s="3" t="s">
        <v>618</v>
      </c>
      <c r="P13085" s="5">
        <v>2</v>
      </c>
      <c r="Q13085" s="5">
        <v>27</v>
      </c>
      <c r="R13085" s="5">
        <v>1</v>
      </c>
      <c r="S13085" s="5">
        <v>25</v>
      </c>
    </row>
    <row r="13086" spans="1:19" ht="28" x14ac:dyDescent="0.15">
      <c r="A13086" s="2">
        <f>HYPERLINK("https://open-school.uspishnemisto.com.ua/school/630417/", 630417)</f>
        <v>630417</v>
      </c>
      <c r="B13086" s="3" t="s">
        <v>65901</v>
      </c>
      <c r="C13086" s="3" t="s">
        <v>31</v>
      </c>
      <c r="D13086" s="3" t="s">
        <v>32</v>
      </c>
      <c r="E13086" s="4" t="s">
        <v>22</v>
      </c>
      <c r="F13086" s="4" t="s">
        <v>65902</v>
      </c>
      <c r="G13086" s="4" t="s">
        <v>65903</v>
      </c>
      <c r="H13086" s="3" t="s">
        <v>63948</v>
      </c>
      <c r="I13086" s="3" t="s">
        <v>32440</v>
      </c>
      <c r="J13086" s="3" t="s">
        <v>554</v>
      </c>
      <c r="K13086" s="3" t="s">
        <v>65904</v>
      </c>
      <c r="L13086" s="3" t="s">
        <v>65905</v>
      </c>
      <c r="M13086" s="4"/>
      <c r="N13086" s="3" t="s">
        <v>37</v>
      </c>
      <c r="O13086" s="3" t="s">
        <v>38</v>
      </c>
      <c r="P13086" s="5">
        <v>5</v>
      </c>
      <c r="Q13086" s="5">
        <v>50</v>
      </c>
      <c r="R13086" s="5">
        <v>4</v>
      </c>
      <c r="S13086" s="5">
        <v>49</v>
      </c>
    </row>
    <row r="13087" spans="1:19" ht="28" x14ac:dyDescent="0.15">
      <c r="A13087" s="2">
        <f>HYPERLINK("https://open-school.uspishnemisto.com.ua/school/630418/", 630418)</f>
        <v>630418</v>
      </c>
      <c r="B13087" s="3" t="s">
        <v>65906</v>
      </c>
      <c r="C13087" s="3" t="s">
        <v>54</v>
      </c>
      <c r="D13087" s="3" t="s">
        <v>32</v>
      </c>
      <c r="E13087" s="4" t="s">
        <v>22</v>
      </c>
      <c r="F13087" s="4" t="s">
        <v>65907</v>
      </c>
      <c r="G13087" s="4" t="s">
        <v>65908</v>
      </c>
      <c r="H13087" s="3" t="s">
        <v>63948</v>
      </c>
      <c r="I13087" s="3" t="s">
        <v>54177</v>
      </c>
      <c r="J13087" s="3" t="s">
        <v>65909</v>
      </c>
      <c r="K13087" s="3" t="s">
        <v>65910</v>
      </c>
      <c r="L13087" s="3" t="s">
        <v>65911</v>
      </c>
      <c r="M13087" s="4" t="s">
        <v>65912</v>
      </c>
      <c r="N13087" s="3" t="s">
        <v>967</v>
      </c>
      <c r="O13087" s="3" t="s">
        <v>52</v>
      </c>
      <c r="P13087" s="5">
        <v>11</v>
      </c>
      <c r="Q13087" s="5">
        <v>167</v>
      </c>
      <c r="R13087" s="5">
        <v>11</v>
      </c>
      <c r="S13087" s="5">
        <v>156</v>
      </c>
    </row>
    <row r="13088" spans="1:19" ht="28" x14ac:dyDescent="0.15">
      <c r="A13088" s="2">
        <f>HYPERLINK("https://open-school.uspishnemisto.com.ua/school/630419/", 630419)</f>
        <v>630419</v>
      </c>
      <c r="B13088" s="3" t="s">
        <v>65913</v>
      </c>
      <c r="C13088" s="3" t="s">
        <v>31</v>
      </c>
      <c r="D13088" s="3" t="s">
        <v>32</v>
      </c>
      <c r="E13088" s="4" t="s">
        <v>22</v>
      </c>
      <c r="F13088" s="4" t="s">
        <v>65914</v>
      </c>
      <c r="G13088" s="4" t="s">
        <v>65915</v>
      </c>
      <c r="H13088" s="3" t="s">
        <v>63948</v>
      </c>
      <c r="I13088" s="3" t="s">
        <v>65916</v>
      </c>
      <c r="J13088" s="3" t="s">
        <v>7495</v>
      </c>
      <c r="K13088" s="3" t="s">
        <v>65917</v>
      </c>
      <c r="L13088" s="3" t="s">
        <v>65918</v>
      </c>
      <c r="M13088" s="4"/>
      <c r="N13088" s="3" t="s">
        <v>37</v>
      </c>
      <c r="O13088" s="3" t="s">
        <v>38</v>
      </c>
      <c r="P13088" s="5">
        <v>11</v>
      </c>
      <c r="Q13088" s="5">
        <v>114</v>
      </c>
      <c r="R13088" s="5">
        <v>11</v>
      </c>
      <c r="S13088" s="5">
        <v>108</v>
      </c>
    </row>
    <row r="13089" spans="1:19" ht="28" x14ac:dyDescent="0.15">
      <c r="A13089" s="2">
        <f>HYPERLINK("https://open-school.uspishnemisto.com.ua/school/630420/", 630420)</f>
        <v>630420</v>
      </c>
      <c r="B13089" s="3" t="s">
        <v>65919</v>
      </c>
      <c r="C13089" s="3" t="s">
        <v>31</v>
      </c>
      <c r="D13089" s="3" t="s">
        <v>32</v>
      </c>
      <c r="E13089" s="4" t="s">
        <v>22</v>
      </c>
      <c r="F13089" s="4" t="s">
        <v>65920</v>
      </c>
      <c r="G13089" s="4" t="s">
        <v>65921</v>
      </c>
      <c r="H13089" s="3" t="s">
        <v>63948</v>
      </c>
      <c r="I13089" s="3" t="s">
        <v>65922</v>
      </c>
      <c r="J13089" s="3" t="s">
        <v>65923</v>
      </c>
      <c r="K13089" s="3" t="s">
        <v>65924</v>
      </c>
      <c r="L13089" s="3"/>
      <c r="M13089" s="4"/>
      <c r="N13089" s="3" t="s">
        <v>967</v>
      </c>
      <c r="O13089" s="3" t="s">
        <v>618</v>
      </c>
      <c r="P13089" s="5">
        <v>2</v>
      </c>
      <c r="Q13089" s="5">
        <v>31</v>
      </c>
      <c r="R13089" s="5">
        <v>3</v>
      </c>
      <c r="S13089" s="5">
        <v>33</v>
      </c>
    </row>
    <row r="13090" spans="1:19" ht="28" x14ac:dyDescent="0.15">
      <c r="A13090" s="2">
        <f>HYPERLINK("https://open-school.uspishnemisto.com.ua/school/630421/", 630421)</f>
        <v>630421</v>
      </c>
      <c r="B13090" s="3" t="s">
        <v>65925</v>
      </c>
      <c r="C13090" s="3" t="s">
        <v>54</v>
      </c>
      <c r="D13090" s="3" t="s">
        <v>32</v>
      </c>
      <c r="E13090" s="4" t="s">
        <v>22</v>
      </c>
      <c r="F13090" s="4" t="s">
        <v>65926</v>
      </c>
      <c r="G13090" s="4" t="s">
        <v>65927</v>
      </c>
      <c r="H13090" s="3" t="s">
        <v>63948</v>
      </c>
      <c r="I13090" s="3" t="s">
        <v>4683</v>
      </c>
      <c r="J13090" s="3" t="s">
        <v>65928</v>
      </c>
      <c r="K13090" s="3" t="s">
        <v>65929</v>
      </c>
      <c r="L13090" s="3"/>
      <c r="M13090" s="4"/>
      <c r="N13090" s="3" t="s">
        <v>128</v>
      </c>
      <c r="O13090" s="3" t="s">
        <v>112</v>
      </c>
      <c r="P13090" s="5">
        <v>8</v>
      </c>
      <c r="Q13090" s="5">
        <v>72</v>
      </c>
      <c r="R13090" s="5">
        <v>9</v>
      </c>
      <c r="S13090" s="5">
        <v>79</v>
      </c>
    </row>
    <row r="13091" spans="1:19" ht="28" x14ac:dyDescent="0.15">
      <c r="A13091" s="2">
        <f>HYPERLINK("https://open-school.uspishnemisto.com.ua/school/630422/", 630422)</f>
        <v>630422</v>
      </c>
      <c r="B13091" s="3" t="s">
        <v>65930</v>
      </c>
      <c r="C13091" s="3" t="s">
        <v>31</v>
      </c>
      <c r="D13091" s="3" t="s">
        <v>32</v>
      </c>
      <c r="E13091" s="4" t="s">
        <v>22</v>
      </c>
      <c r="F13091" s="4" t="s">
        <v>65931</v>
      </c>
      <c r="G13091" s="4" t="s">
        <v>65932</v>
      </c>
      <c r="H13091" s="3" t="s">
        <v>63948</v>
      </c>
      <c r="I13091" s="3" t="s">
        <v>65933</v>
      </c>
      <c r="J13091" s="3" t="s">
        <v>3393</v>
      </c>
      <c r="K13091" s="3" t="s">
        <v>65934</v>
      </c>
      <c r="L13091" s="3" t="s">
        <v>65935</v>
      </c>
      <c r="M13091" s="4"/>
      <c r="N13091" s="3" t="s">
        <v>37</v>
      </c>
      <c r="O13091" s="3" t="s">
        <v>70</v>
      </c>
      <c r="P13091" s="5">
        <v>5</v>
      </c>
      <c r="Q13091" s="5">
        <v>37</v>
      </c>
      <c r="R13091" s="5">
        <v>6</v>
      </c>
      <c r="S13091" s="5">
        <v>38</v>
      </c>
    </row>
    <row r="13092" spans="1:19" ht="28" x14ac:dyDescent="0.15">
      <c r="A13092" s="2">
        <f>HYPERLINK("https://open-school.uspishnemisto.com.ua/school/630423/", 630423)</f>
        <v>630423</v>
      </c>
      <c r="B13092" s="3" t="s">
        <v>65936</v>
      </c>
      <c r="C13092" s="3" t="s">
        <v>54</v>
      </c>
      <c r="D13092" s="3" t="s">
        <v>32</v>
      </c>
      <c r="E13092" s="4" t="s">
        <v>22</v>
      </c>
      <c r="F13092" s="4" t="s">
        <v>65937</v>
      </c>
      <c r="G13092" s="4" t="s">
        <v>65938</v>
      </c>
      <c r="H13092" s="3" t="s">
        <v>63948</v>
      </c>
      <c r="I13092" s="3" t="s">
        <v>65939</v>
      </c>
      <c r="J13092" s="3" t="s">
        <v>10830</v>
      </c>
      <c r="K13092" s="3" t="s">
        <v>65940</v>
      </c>
      <c r="L13092" s="3"/>
      <c r="M13092" s="4"/>
      <c r="N13092" s="3" t="s">
        <v>37</v>
      </c>
      <c r="O13092" s="3" t="s">
        <v>38</v>
      </c>
      <c r="P13092" s="5">
        <v>9</v>
      </c>
      <c r="Q13092" s="5">
        <v>80</v>
      </c>
      <c r="R13092" s="5">
        <v>8</v>
      </c>
      <c r="S13092" s="5">
        <v>74</v>
      </c>
    </row>
    <row r="13093" spans="1:19" ht="28" x14ac:dyDescent="0.15">
      <c r="A13093" s="2">
        <f>HYPERLINK("https://open-school.uspishnemisto.com.ua/school/630424/", 630424)</f>
        <v>630424</v>
      </c>
      <c r="B13093" s="3" t="s">
        <v>65941</v>
      </c>
      <c r="C13093" s="3" t="s">
        <v>54</v>
      </c>
      <c r="D13093" s="3" t="s">
        <v>32</v>
      </c>
      <c r="E13093" s="4" t="s">
        <v>22</v>
      </c>
      <c r="F13093" s="4" t="s">
        <v>65942</v>
      </c>
      <c r="G13093" s="4" t="s">
        <v>65943</v>
      </c>
      <c r="H13093" s="3" t="s">
        <v>63948</v>
      </c>
      <c r="I13093" s="3" t="s">
        <v>65944</v>
      </c>
      <c r="J13093" s="3" t="s">
        <v>65945</v>
      </c>
      <c r="K13093" s="3" t="s">
        <v>65946</v>
      </c>
      <c r="L13093" s="3" t="s">
        <v>65947</v>
      </c>
      <c r="M13093" s="4"/>
      <c r="N13093" s="3" t="s">
        <v>967</v>
      </c>
      <c r="O13093" s="3" t="s">
        <v>46</v>
      </c>
      <c r="P13093" s="5">
        <v>5</v>
      </c>
      <c r="Q13093" s="5">
        <v>40</v>
      </c>
      <c r="R13093" s="5">
        <v>5</v>
      </c>
      <c r="S13093" s="5">
        <v>41</v>
      </c>
    </row>
    <row r="13094" spans="1:19" ht="42" x14ac:dyDescent="0.15">
      <c r="A13094" s="2">
        <f>HYPERLINK("https://open-school.uspishnemisto.com.ua/school/630425/", 630425)</f>
        <v>630425</v>
      </c>
      <c r="B13094" s="3" t="s">
        <v>65948</v>
      </c>
      <c r="C13094" s="3" t="s">
        <v>31</v>
      </c>
      <c r="D13094" s="3" t="s">
        <v>32</v>
      </c>
      <c r="E13094" s="4" t="s">
        <v>22</v>
      </c>
      <c r="F13094" s="4" t="s">
        <v>65949</v>
      </c>
      <c r="G13094" s="4" t="s">
        <v>65950</v>
      </c>
      <c r="H13094" s="3" t="s">
        <v>63948</v>
      </c>
      <c r="I13094" s="3" t="s">
        <v>65951</v>
      </c>
      <c r="J13094" s="3" t="s">
        <v>2820</v>
      </c>
      <c r="K13094" s="3" t="s">
        <v>65952</v>
      </c>
      <c r="L13094" s="3" t="s">
        <v>65953</v>
      </c>
      <c r="M13094" s="4"/>
      <c r="N13094" s="3" t="s">
        <v>37</v>
      </c>
      <c r="O13094" s="3" t="s">
        <v>70</v>
      </c>
      <c r="P13094" s="5">
        <v>11</v>
      </c>
      <c r="Q13094" s="5">
        <v>127</v>
      </c>
      <c r="R13094" s="5">
        <v>11</v>
      </c>
      <c r="S13094" s="5">
        <v>134</v>
      </c>
    </row>
    <row r="13095" spans="1:19" ht="42" x14ac:dyDescent="0.15">
      <c r="A13095" s="2">
        <f>HYPERLINK("https://open-school.uspishnemisto.com.ua/school/630426/", 630426)</f>
        <v>630426</v>
      </c>
      <c r="B13095" s="3" t="s">
        <v>65954</v>
      </c>
      <c r="C13095" s="3" t="s">
        <v>40</v>
      </c>
      <c r="D13095" s="3" t="s">
        <v>32</v>
      </c>
      <c r="E13095" s="4" t="s">
        <v>22</v>
      </c>
      <c r="F13095" s="4" t="s">
        <v>65955</v>
      </c>
      <c r="G13095" s="4" t="s">
        <v>65956</v>
      </c>
      <c r="H13095" s="3" t="s">
        <v>63948</v>
      </c>
      <c r="I13095" s="3" t="s">
        <v>65957</v>
      </c>
      <c r="J13095" s="3" t="s">
        <v>65958</v>
      </c>
      <c r="K13095" s="3" t="s">
        <v>65959</v>
      </c>
      <c r="L13095" s="3" t="s">
        <v>65960</v>
      </c>
      <c r="M13095" s="4"/>
      <c r="N13095" s="3" t="s">
        <v>128</v>
      </c>
      <c r="O13095" s="3" t="s">
        <v>38</v>
      </c>
      <c r="P13095" s="5">
        <v>27</v>
      </c>
      <c r="Q13095" s="5">
        <v>608</v>
      </c>
      <c r="R13095" s="5">
        <v>28</v>
      </c>
      <c r="S13095" s="5">
        <v>593</v>
      </c>
    </row>
    <row r="13096" spans="1:19" ht="28" x14ac:dyDescent="0.15">
      <c r="A13096" s="2">
        <f>HYPERLINK("https://open-school.uspishnemisto.com.ua/school/630427/", 630427)</f>
        <v>630427</v>
      </c>
      <c r="B13096" s="3" t="s">
        <v>65961</v>
      </c>
      <c r="C13096" s="3" t="s">
        <v>31</v>
      </c>
      <c r="D13096" s="3" t="s">
        <v>175</v>
      </c>
      <c r="E13096" s="4" t="s">
        <v>22</v>
      </c>
      <c r="F13096" s="4" t="s">
        <v>65962</v>
      </c>
      <c r="G13096" s="4" t="s">
        <v>65956</v>
      </c>
      <c r="H13096" s="3" t="s">
        <v>63948</v>
      </c>
      <c r="I13096" s="3" t="s">
        <v>65957</v>
      </c>
      <c r="J13096" s="3" t="s">
        <v>65963</v>
      </c>
      <c r="K13096" s="3" t="s">
        <v>65964</v>
      </c>
      <c r="L13096" s="3" t="s">
        <v>65965</v>
      </c>
      <c r="M13096" s="4"/>
      <c r="N13096" s="3" t="s">
        <v>37</v>
      </c>
      <c r="O13096" s="3" t="s">
        <v>38</v>
      </c>
      <c r="P13096" s="5">
        <v>9</v>
      </c>
      <c r="Q13096" s="5">
        <v>116</v>
      </c>
      <c r="R13096" s="5">
        <v>9</v>
      </c>
      <c r="S13096" s="5">
        <v>111</v>
      </c>
    </row>
    <row r="13097" spans="1:19" ht="28" x14ac:dyDescent="0.15">
      <c r="A13097" s="2">
        <f>HYPERLINK("https://open-school.uspishnemisto.com.ua/school/630428/", 630428)</f>
        <v>630428</v>
      </c>
      <c r="B13097" s="3" t="s">
        <v>65966</v>
      </c>
      <c r="C13097" s="3" t="s">
        <v>31</v>
      </c>
      <c r="D13097" s="3" t="s">
        <v>32</v>
      </c>
      <c r="E13097" s="4" t="s">
        <v>22</v>
      </c>
      <c r="F13097" s="4" t="s">
        <v>65967</v>
      </c>
      <c r="G13097" s="4" t="s">
        <v>65956</v>
      </c>
      <c r="H13097" s="3" t="s">
        <v>63948</v>
      </c>
      <c r="I13097" s="3" t="s">
        <v>65957</v>
      </c>
      <c r="J13097" s="3" t="s">
        <v>65968</v>
      </c>
      <c r="K13097" s="3" t="s">
        <v>65969</v>
      </c>
      <c r="L13097" s="3" t="s">
        <v>65970</v>
      </c>
      <c r="M13097" s="4"/>
      <c r="N13097" s="3" t="s">
        <v>37</v>
      </c>
      <c r="O13097" s="3" t="s">
        <v>38</v>
      </c>
      <c r="P13097" s="5">
        <v>13</v>
      </c>
      <c r="Q13097" s="5">
        <v>265</v>
      </c>
      <c r="R13097" s="5">
        <v>13</v>
      </c>
      <c r="S13097" s="5">
        <v>252</v>
      </c>
    </row>
    <row r="13098" spans="1:19" ht="28" x14ac:dyDescent="0.15">
      <c r="A13098" s="2">
        <f>HYPERLINK("https://open-school.uspishnemisto.com.ua/school/630429/", 630429)</f>
        <v>630429</v>
      </c>
      <c r="B13098" s="3" t="s">
        <v>65971</v>
      </c>
      <c r="C13098" s="3" t="s">
        <v>31</v>
      </c>
      <c r="D13098" s="3" t="s">
        <v>32</v>
      </c>
      <c r="E13098" s="4" t="s">
        <v>22</v>
      </c>
      <c r="F13098" s="4" t="s">
        <v>65972</v>
      </c>
      <c r="G13098" s="4" t="s">
        <v>65956</v>
      </c>
      <c r="H13098" s="3" t="s">
        <v>63948</v>
      </c>
      <c r="I13098" s="3" t="s">
        <v>65957</v>
      </c>
      <c r="J13098" s="3" t="s">
        <v>65973</v>
      </c>
      <c r="K13098" s="3" t="s">
        <v>65974</v>
      </c>
      <c r="L13098" s="3"/>
      <c r="M13098" s="4"/>
      <c r="N13098" s="3" t="s">
        <v>128</v>
      </c>
      <c r="O13098" s="3" t="s">
        <v>38</v>
      </c>
      <c r="P13098" s="5">
        <v>13</v>
      </c>
      <c r="Q13098" s="5">
        <v>281</v>
      </c>
      <c r="R13098" s="5">
        <v>13</v>
      </c>
      <c r="S13098" s="5">
        <v>261</v>
      </c>
    </row>
    <row r="13099" spans="1:19" ht="28" x14ac:dyDescent="0.15">
      <c r="A13099" s="2">
        <f>HYPERLINK("https://open-school.uspishnemisto.com.ua/school/630430/", 630430)</f>
        <v>630430</v>
      </c>
      <c r="B13099" s="3" t="s">
        <v>65975</v>
      </c>
      <c r="C13099" s="3" t="s">
        <v>188</v>
      </c>
      <c r="D13099" s="3" t="s">
        <v>32</v>
      </c>
      <c r="E13099" s="4" t="s">
        <v>22</v>
      </c>
      <c r="F13099" s="4" t="s">
        <v>65955</v>
      </c>
      <c r="G13099" s="4" t="s">
        <v>65956</v>
      </c>
      <c r="H13099" s="3" t="s">
        <v>63948</v>
      </c>
      <c r="I13099" s="3" t="s">
        <v>65957</v>
      </c>
      <c r="J13099" s="3" t="s">
        <v>24976</v>
      </c>
      <c r="K13099" s="3" t="s">
        <v>65976</v>
      </c>
      <c r="L13099" s="3" t="s">
        <v>65977</v>
      </c>
      <c r="M13099" s="4"/>
      <c r="N13099" s="3" t="s">
        <v>37</v>
      </c>
      <c r="O13099" s="3" t="s">
        <v>38</v>
      </c>
      <c r="P13099" s="5">
        <v>26</v>
      </c>
      <c r="Q13099" s="5">
        <v>586</v>
      </c>
      <c r="R13099" s="5">
        <v>26</v>
      </c>
      <c r="S13099" s="5">
        <v>587</v>
      </c>
    </row>
    <row r="13100" spans="1:19" ht="56" x14ac:dyDescent="0.15">
      <c r="A13100" s="2">
        <f>HYPERLINK("https://open-school.uspishnemisto.com.ua/school/630431/", 630431)</f>
        <v>630431</v>
      </c>
      <c r="B13100" s="3" t="s">
        <v>65978</v>
      </c>
      <c r="C13100" s="3" t="s">
        <v>54</v>
      </c>
      <c r="D13100" s="3" t="s">
        <v>32</v>
      </c>
      <c r="E13100" s="4" t="s">
        <v>22</v>
      </c>
      <c r="F13100" s="4" t="s">
        <v>65979</v>
      </c>
      <c r="G13100" s="4" t="s">
        <v>65980</v>
      </c>
      <c r="H13100" s="3" t="s">
        <v>63948</v>
      </c>
      <c r="I13100" s="3" t="s">
        <v>65981</v>
      </c>
      <c r="J13100" s="3" t="s">
        <v>65982</v>
      </c>
      <c r="K13100" s="3" t="s">
        <v>65983</v>
      </c>
      <c r="L13100" s="3" t="s">
        <v>65984</v>
      </c>
      <c r="M13100" s="4"/>
      <c r="N13100" s="3" t="s">
        <v>37</v>
      </c>
      <c r="O13100" s="3" t="s">
        <v>38</v>
      </c>
      <c r="P13100" s="5">
        <v>12</v>
      </c>
      <c r="Q13100" s="5">
        <v>269</v>
      </c>
      <c r="R13100" s="5">
        <v>11</v>
      </c>
      <c r="S13100" s="5">
        <v>249</v>
      </c>
    </row>
    <row r="13101" spans="1:19" ht="28" x14ac:dyDescent="0.15">
      <c r="A13101" s="2">
        <f>HYPERLINK("https://open-school.uspishnemisto.com.ua/school/630432/", 630432)</f>
        <v>630432</v>
      </c>
      <c r="B13101" s="3" t="s">
        <v>65985</v>
      </c>
      <c r="C13101" s="3" t="s">
        <v>31</v>
      </c>
      <c r="D13101" s="3" t="s">
        <v>32</v>
      </c>
      <c r="E13101" s="4" t="s">
        <v>22</v>
      </c>
      <c r="F13101" s="4" t="s">
        <v>65986</v>
      </c>
      <c r="G13101" s="4" t="s">
        <v>65987</v>
      </c>
      <c r="H13101" s="3" t="s">
        <v>63948</v>
      </c>
      <c r="I13101" s="3" t="s">
        <v>65988</v>
      </c>
      <c r="J13101" s="3" t="s">
        <v>65989</v>
      </c>
      <c r="K13101" s="3" t="s">
        <v>65990</v>
      </c>
      <c r="L13101" s="3" t="s">
        <v>65991</v>
      </c>
      <c r="M13101" s="4"/>
      <c r="N13101" s="3" t="s">
        <v>37</v>
      </c>
      <c r="O13101" s="3" t="s">
        <v>38</v>
      </c>
      <c r="P13101" s="5">
        <v>11</v>
      </c>
      <c r="Q13101" s="5">
        <v>185</v>
      </c>
      <c r="R13101" s="5">
        <v>10</v>
      </c>
      <c r="S13101" s="5">
        <v>167</v>
      </c>
    </row>
    <row r="13102" spans="1:19" ht="42" x14ac:dyDescent="0.15">
      <c r="A13102" s="2">
        <f>HYPERLINK("https://open-school.uspishnemisto.com.ua/school/630433/", 630433)</f>
        <v>630433</v>
      </c>
      <c r="B13102" s="3" t="s">
        <v>65992</v>
      </c>
      <c r="C13102" s="3" t="s">
        <v>31</v>
      </c>
      <c r="D13102" s="3" t="s">
        <v>32</v>
      </c>
      <c r="E13102" s="4" t="s">
        <v>22</v>
      </c>
      <c r="F13102" s="4" t="s">
        <v>65993</v>
      </c>
      <c r="G13102" s="4" t="s">
        <v>65994</v>
      </c>
      <c r="H13102" s="3" t="s">
        <v>63948</v>
      </c>
      <c r="I13102" s="3" t="s">
        <v>65995</v>
      </c>
      <c r="J13102" s="3" t="s">
        <v>32886</v>
      </c>
      <c r="K13102" s="3" t="s">
        <v>65996</v>
      </c>
      <c r="L13102" s="3" t="s">
        <v>65997</v>
      </c>
      <c r="M13102" s="4"/>
      <c r="N13102" s="3" t="s">
        <v>37</v>
      </c>
      <c r="O13102" s="3" t="s">
        <v>70</v>
      </c>
      <c r="P13102" s="5">
        <v>18</v>
      </c>
      <c r="Q13102" s="5">
        <v>344</v>
      </c>
      <c r="R13102" s="5">
        <v>16</v>
      </c>
      <c r="S13102" s="5">
        <v>299</v>
      </c>
    </row>
    <row r="13103" spans="1:19" ht="56" x14ac:dyDescent="0.15">
      <c r="A13103" s="2">
        <f>HYPERLINK("https://open-school.uspishnemisto.com.ua/school/630435/", 630435)</f>
        <v>630435</v>
      </c>
      <c r="B13103" s="3" t="s">
        <v>65998</v>
      </c>
      <c r="C13103" s="3" t="s">
        <v>54</v>
      </c>
      <c r="D13103" s="3" t="s">
        <v>32</v>
      </c>
      <c r="E13103" s="4" t="s">
        <v>22</v>
      </c>
      <c r="F13103" s="4" t="s">
        <v>65999</v>
      </c>
      <c r="G13103" s="4" t="s">
        <v>66000</v>
      </c>
      <c r="H13103" s="3" t="s">
        <v>63948</v>
      </c>
      <c r="I13103" s="3" t="s">
        <v>66001</v>
      </c>
      <c r="J13103" s="3" t="s">
        <v>66002</v>
      </c>
      <c r="K13103" s="3" t="s">
        <v>66003</v>
      </c>
      <c r="L13103" s="3"/>
      <c r="M13103" s="4"/>
      <c r="N13103" s="3" t="s">
        <v>37</v>
      </c>
      <c r="O13103" s="3" t="s">
        <v>112</v>
      </c>
      <c r="P13103" s="5">
        <v>6</v>
      </c>
      <c r="Q13103" s="5">
        <v>45</v>
      </c>
      <c r="R13103" s="5">
        <v>6</v>
      </c>
      <c r="S13103" s="5">
        <v>51</v>
      </c>
    </row>
    <row r="13104" spans="1:19" ht="28" x14ac:dyDescent="0.15">
      <c r="A13104" s="2">
        <f>HYPERLINK("https://open-school.uspishnemisto.com.ua/school/630436/", 630436)</f>
        <v>630436</v>
      </c>
      <c r="B13104" s="3" t="s">
        <v>66004</v>
      </c>
      <c r="C13104" s="3" t="s">
        <v>31</v>
      </c>
      <c r="D13104" s="3" t="s">
        <v>32</v>
      </c>
      <c r="E13104" s="4" t="s">
        <v>22</v>
      </c>
      <c r="F13104" s="4" t="s">
        <v>66005</v>
      </c>
      <c r="G13104" s="4" t="s">
        <v>66006</v>
      </c>
      <c r="H13104" s="3" t="s">
        <v>63948</v>
      </c>
      <c r="I13104" s="3" t="s">
        <v>66007</v>
      </c>
      <c r="J13104" s="3" t="s">
        <v>1999</v>
      </c>
      <c r="K13104" s="3" t="s">
        <v>66008</v>
      </c>
      <c r="L13104" s="3"/>
      <c r="M13104" s="4"/>
      <c r="N13104" s="3" t="s">
        <v>37</v>
      </c>
      <c r="O13104" s="3" t="s">
        <v>38</v>
      </c>
      <c r="P13104" s="5">
        <v>11</v>
      </c>
      <c r="Q13104" s="5">
        <v>98</v>
      </c>
      <c r="R13104" s="5">
        <v>11</v>
      </c>
      <c r="S13104" s="5">
        <v>108</v>
      </c>
    </row>
    <row r="13105" spans="1:19" ht="56" x14ac:dyDescent="0.15">
      <c r="A13105" s="2">
        <f>HYPERLINK("https://open-school.uspishnemisto.com.ua/school/630437/", 630437)</f>
        <v>630437</v>
      </c>
      <c r="B13105" s="3" t="s">
        <v>66009</v>
      </c>
      <c r="C13105" s="3" t="s">
        <v>54</v>
      </c>
      <c r="D13105" s="3" t="s">
        <v>175</v>
      </c>
      <c r="E13105" s="4" t="s">
        <v>22</v>
      </c>
      <c r="F13105" s="4" t="s">
        <v>66010</v>
      </c>
      <c r="G13105" s="4" t="s">
        <v>66011</v>
      </c>
      <c r="H13105" s="3" t="s">
        <v>63948</v>
      </c>
      <c r="I13105" s="3" t="s">
        <v>66012</v>
      </c>
      <c r="J13105" s="3" t="s">
        <v>1417</v>
      </c>
      <c r="K13105" s="3" t="s">
        <v>66013</v>
      </c>
      <c r="L13105" s="3" t="s">
        <v>66014</v>
      </c>
      <c r="M13105" s="4"/>
      <c r="N13105" s="3" t="s">
        <v>37</v>
      </c>
      <c r="O13105" s="3" t="s">
        <v>38</v>
      </c>
      <c r="P13105" s="5">
        <v>4</v>
      </c>
      <c r="Q13105" s="5">
        <v>41</v>
      </c>
      <c r="R13105" s="5">
        <v>5</v>
      </c>
      <c r="S13105" s="5">
        <v>39</v>
      </c>
    </row>
    <row r="13106" spans="1:19" ht="42" x14ac:dyDescent="0.15">
      <c r="A13106" s="2">
        <f>HYPERLINK("https://open-school.uspishnemisto.com.ua/school/630438/", 630438)</f>
        <v>630438</v>
      </c>
      <c r="B13106" s="3" t="s">
        <v>66015</v>
      </c>
      <c r="C13106" s="3" t="s">
        <v>31</v>
      </c>
      <c r="D13106" s="3" t="s">
        <v>32</v>
      </c>
      <c r="E13106" s="4" t="s">
        <v>22</v>
      </c>
      <c r="F13106" s="4" t="s">
        <v>66016</v>
      </c>
      <c r="G13106" s="4" t="s">
        <v>66017</v>
      </c>
      <c r="H13106" s="3" t="s">
        <v>63948</v>
      </c>
      <c r="I13106" s="3" t="s">
        <v>66018</v>
      </c>
      <c r="J13106" s="3" t="s">
        <v>66019</v>
      </c>
      <c r="K13106" s="3" t="s">
        <v>66020</v>
      </c>
      <c r="L13106" s="3" t="s">
        <v>66021</v>
      </c>
      <c r="M13106" s="4"/>
      <c r="N13106" s="3" t="s">
        <v>37</v>
      </c>
      <c r="O13106" s="3" t="s">
        <v>112</v>
      </c>
      <c r="P13106" s="5">
        <v>10</v>
      </c>
      <c r="Q13106" s="5">
        <v>92</v>
      </c>
      <c r="R13106" s="5">
        <v>10</v>
      </c>
      <c r="S13106" s="5">
        <v>95</v>
      </c>
    </row>
    <row r="13107" spans="1:19" ht="28" x14ac:dyDescent="0.15">
      <c r="A13107" s="2">
        <f>HYPERLINK("https://open-school.uspishnemisto.com.ua/school/630439/", 630439)</f>
        <v>630439</v>
      </c>
      <c r="B13107" s="3" t="s">
        <v>66022</v>
      </c>
      <c r="C13107" s="3" t="s">
        <v>31</v>
      </c>
      <c r="D13107" s="3" t="s">
        <v>32</v>
      </c>
      <c r="E13107" s="4" t="s">
        <v>22</v>
      </c>
      <c r="F13107" s="4" t="s">
        <v>66023</v>
      </c>
      <c r="G13107" s="4" t="s">
        <v>66024</v>
      </c>
      <c r="H13107" s="3" t="s">
        <v>63948</v>
      </c>
      <c r="I13107" s="3" t="s">
        <v>12816</v>
      </c>
      <c r="J13107" s="3" t="s">
        <v>66025</v>
      </c>
      <c r="K13107" s="3" t="s">
        <v>66026</v>
      </c>
      <c r="L13107" s="3" t="s">
        <v>66027</v>
      </c>
      <c r="M13107" s="4"/>
      <c r="N13107" s="3" t="s">
        <v>37</v>
      </c>
      <c r="O13107" s="3" t="s">
        <v>38</v>
      </c>
      <c r="P13107" s="5">
        <v>9</v>
      </c>
      <c r="Q13107" s="5">
        <v>71</v>
      </c>
      <c r="R13107" s="5">
        <v>9</v>
      </c>
      <c r="S13107" s="5">
        <v>85</v>
      </c>
    </row>
    <row r="13108" spans="1:19" ht="56" x14ac:dyDescent="0.15">
      <c r="A13108" s="2">
        <f>HYPERLINK("https://open-school.uspishnemisto.com.ua/school/630440/", 630440)</f>
        <v>630440</v>
      </c>
      <c r="B13108" s="3" t="s">
        <v>66028</v>
      </c>
      <c r="C13108" s="3" t="s">
        <v>54</v>
      </c>
      <c r="D13108" s="3" t="s">
        <v>32</v>
      </c>
      <c r="E13108" s="4" t="s">
        <v>22</v>
      </c>
      <c r="F13108" s="4" t="s">
        <v>66029</v>
      </c>
      <c r="G13108" s="4" t="s">
        <v>66030</v>
      </c>
      <c r="H13108" s="3" t="s">
        <v>63948</v>
      </c>
      <c r="I13108" s="3" t="s">
        <v>51815</v>
      </c>
      <c r="J13108" s="3" t="s">
        <v>66031</v>
      </c>
      <c r="K13108" s="3" t="s">
        <v>66032</v>
      </c>
      <c r="L13108" s="3"/>
      <c r="M13108" s="4"/>
      <c r="N13108" s="3" t="s">
        <v>37</v>
      </c>
      <c r="O13108" s="3" t="s">
        <v>38</v>
      </c>
      <c r="P13108" s="5">
        <v>1</v>
      </c>
      <c r="Q13108" s="5">
        <v>26</v>
      </c>
      <c r="R13108" s="5">
        <v>1</v>
      </c>
      <c r="S13108" s="5">
        <v>25</v>
      </c>
    </row>
    <row r="13109" spans="1:19" ht="28" x14ac:dyDescent="0.15">
      <c r="A13109" s="2">
        <f>HYPERLINK("https://open-school.uspishnemisto.com.ua/school/630441/", 630441)</f>
        <v>630441</v>
      </c>
      <c r="B13109" s="3" t="s">
        <v>66033</v>
      </c>
      <c r="C13109" s="3" t="s">
        <v>31</v>
      </c>
      <c r="D13109" s="3" t="s">
        <v>32</v>
      </c>
      <c r="E13109" s="4" t="s">
        <v>22</v>
      </c>
      <c r="F13109" s="4" t="s">
        <v>66034</v>
      </c>
      <c r="G13109" s="4" t="s">
        <v>66035</v>
      </c>
      <c r="H13109" s="3" t="s">
        <v>63948</v>
      </c>
      <c r="I13109" s="3" t="s">
        <v>883</v>
      </c>
      <c r="J13109" s="3" t="s">
        <v>45222</v>
      </c>
      <c r="K13109" s="3" t="s">
        <v>66036</v>
      </c>
      <c r="L13109" s="3" t="s">
        <v>66037</v>
      </c>
      <c r="M13109" s="4"/>
      <c r="N13109" s="3" t="s">
        <v>37</v>
      </c>
      <c r="O13109" s="3" t="s">
        <v>112</v>
      </c>
      <c r="P13109" s="5">
        <v>6</v>
      </c>
      <c r="Q13109" s="5">
        <v>54</v>
      </c>
      <c r="R13109" s="5">
        <v>7</v>
      </c>
      <c r="S13109" s="5">
        <v>60</v>
      </c>
    </row>
    <row r="13110" spans="1:19" ht="28" x14ac:dyDescent="0.15">
      <c r="A13110" s="2">
        <f>HYPERLINK("https://open-school.uspishnemisto.com.ua/school/630442/", 630442)</f>
        <v>630442</v>
      </c>
      <c r="B13110" s="3" t="s">
        <v>66038</v>
      </c>
      <c r="C13110" s="3" t="s">
        <v>31</v>
      </c>
      <c r="D13110" s="3" t="s">
        <v>32</v>
      </c>
      <c r="E13110" s="4" t="s">
        <v>22</v>
      </c>
      <c r="F13110" s="4" t="s">
        <v>66039</v>
      </c>
      <c r="G13110" s="4" t="s">
        <v>66040</v>
      </c>
      <c r="H13110" s="3" t="s">
        <v>63948</v>
      </c>
      <c r="I13110" s="3" t="s">
        <v>11267</v>
      </c>
      <c r="J13110" s="3" t="s">
        <v>66041</v>
      </c>
      <c r="K13110" s="3" t="s">
        <v>66042</v>
      </c>
      <c r="L13110" s="3"/>
      <c r="M13110" s="4"/>
      <c r="N13110" s="3" t="s">
        <v>37</v>
      </c>
      <c r="O13110" s="3" t="s">
        <v>112</v>
      </c>
      <c r="P13110" s="5">
        <v>10</v>
      </c>
      <c r="Q13110" s="5">
        <v>80</v>
      </c>
      <c r="R13110" s="5">
        <v>9</v>
      </c>
      <c r="S13110" s="5">
        <v>82</v>
      </c>
    </row>
    <row r="13111" spans="1:19" ht="56" x14ac:dyDescent="0.15">
      <c r="A13111" s="2">
        <f>HYPERLINK("https://open-school.uspishnemisto.com.ua/school/630443/", 630443)</f>
        <v>630443</v>
      </c>
      <c r="B13111" s="3" t="s">
        <v>66043</v>
      </c>
      <c r="C13111" s="3" t="s">
        <v>54</v>
      </c>
      <c r="D13111" s="3" t="s">
        <v>32</v>
      </c>
      <c r="E13111" s="4" t="s">
        <v>22</v>
      </c>
      <c r="F13111" s="4" t="s">
        <v>66044</v>
      </c>
      <c r="G13111" s="4" t="s">
        <v>66045</v>
      </c>
      <c r="H13111" s="3" t="s">
        <v>63948</v>
      </c>
      <c r="I13111" s="3" t="s">
        <v>24585</v>
      </c>
      <c r="J13111" s="3" t="s">
        <v>66046</v>
      </c>
      <c r="K13111" s="3" t="s">
        <v>66047</v>
      </c>
      <c r="L13111" s="3" t="s">
        <v>66048</v>
      </c>
      <c r="M13111" s="4"/>
      <c r="N13111" s="3" t="s">
        <v>37</v>
      </c>
      <c r="O13111" s="3" t="s">
        <v>112</v>
      </c>
      <c r="P13111" s="5">
        <v>4</v>
      </c>
      <c r="Q13111" s="5">
        <v>41</v>
      </c>
      <c r="R13111" s="5">
        <v>6</v>
      </c>
      <c r="S13111" s="5">
        <v>48</v>
      </c>
    </row>
    <row r="13112" spans="1:19" ht="56" x14ac:dyDescent="0.15">
      <c r="A13112" s="2">
        <f>HYPERLINK("https://open-school.uspishnemisto.com.ua/school/630444/", 630444)</f>
        <v>630444</v>
      </c>
      <c r="B13112" s="3" t="s">
        <v>66049</v>
      </c>
      <c r="C13112" s="3" t="s">
        <v>54</v>
      </c>
      <c r="D13112" s="3" t="s">
        <v>32</v>
      </c>
      <c r="E13112" s="4" t="s">
        <v>22</v>
      </c>
      <c r="F13112" s="4" t="s">
        <v>66050</v>
      </c>
      <c r="G13112" s="4" t="s">
        <v>66051</v>
      </c>
      <c r="H13112" s="3" t="s">
        <v>63948</v>
      </c>
      <c r="I13112" s="3" t="s">
        <v>66052</v>
      </c>
      <c r="J13112" s="3" t="s">
        <v>66053</v>
      </c>
      <c r="K13112" s="3" t="s">
        <v>66054</v>
      </c>
      <c r="L13112" s="3"/>
      <c r="M13112" s="4"/>
      <c r="N13112" s="3" t="s">
        <v>37</v>
      </c>
      <c r="O13112" s="3" t="s">
        <v>112</v>
      </c>
      <c r="P13112" s="5">
        <v>5</v>
      </c>
      <c r="Q13112" s="5">
        <v>42</v>
      </c>
      <c r="R13112" s="5">
        <v>4</v>
      </c>
      <c r="S13112" s="5">
        <v>39</v>
      </c>
    </row>
    <row r="13113" spans="1:19" ht="28" x14ac:dyDescent="0.15">
      <c r="A13113" s="2">
        <f>HYPERLINK("https://open-school.uspishnemisto.com.ua/school/630445/", 630445)</f>
        <v>630445</v>
      </c>
      <c r="B13113" s="3" t="s">
        <v>66055</v>
      </c>
      <c r="C13113" s="3" t="s">
        <v>31</v>
      </c>
      <c r="D13113" s="3" t="s">
        <v>32</v>
      </c>
      <c r="E13113" s="4" t="s">
        <v>22</v>
      </c>
      <c r="F13113" s="4" t="s">
        <v>66056</v>
      </c>
      <c r="G13113" s="4" t="s">
        <v>66057</v>
      </c>
      <c r="H13113" s="3" t="s">
        <v>63948</v>
      </c>
      <c r="I13113" s="3" t="s">
        <v>51790</v>
      </c>
      <c r="J13113" s="3" t="s">
        <v>66058</v>
      </c>
      <c r="K13113" s="3" t="s">
        <v>66059</v>
      </c>
      <c r="L13113" s="3" t="s">
        <v>66060</v>
      </c>
      <c r="M13113" s="4"/>
      <c r="N13113" s="3" t="s">
        <v>37</v>
      </c>
      <c r="O13113" s="3" t="s">
        <v>70</v>
      </c>
      <c r="P13113" s="5">
        <v>10</v>
      </c>
      <c r="Q13113" s="5">
        <v>110</v>
      </c>
      <c r="R13113" s="5">
        <v>11</v>
      </c>
      <c r="S13113" s="5">
        <v>111</v>
      </c>
    </row>
    <row r="13114" spans="1:19" ht="28" x14ac:dyDescent="0.15">
      <c r="A13114" s="2">
        <f>HYPERLINK("https://open-school.uspishnemisto.com.ua/school/630446/", 630446)</f>
        <v>630446</v>
      </c>
      <c r="B13114" s="3" t="s">
        <v>66061</v>
      </c>
      <c r="C13114" s="3" t="s">
        <v>31</v>
      </c>
      <c r="D13114" s="3" t="s">
        <v>32</v>
      </c>
      <c r="E13114" s="4" t="s">
        <v>22</v>
      </c>
      <c r="F13114" s="4" t="s">
        <v>66062</v>
      </c>
      <c r="G13114" s="4" t="s">
        <v>66063</v>
      </c>
      <c r="H13114" s="3" t="s">
        <v>63948</v>
      </c>
      <c r="I13114" s="3" t="s">
        <v>66064</v>
      </c>
      <c r="J13114" s="3" t="s">
        <v>66065</v>
      </c>
      <c r="K13114" s="3" t="s">
        <v>66066</v>
      </c>
      <c r="L13114" s="3" t="s">
        <v>66067</v>
      </c>
      <c r="M13114" s="4"/>
      <c r="N13114" s="3" t="s">
        <v>37</v>
      </c>
      <c r="O13114" s="3" t="s">
        <v>112</v>
      </c>
      <c r="P13114" s="5">
        <v>1</v>
      </c>
      <c r="Q13114" s="5">
        <v>27</v>
      </c>
      <c r="R13114" s="5">
        <v>2</v>
      </c>
      <c r="S13114" s="5">
        <v>27</v>
      </c>
    </row>
    <row r="13115" spans="1:19" ht="56" x14ac:dyDescent="0.15">
      <c r="A13115" s="2">
        <f>HYPERLINK("https://open-school.uspishnemisto.com.ua/school/630447/", 630447)</f>
        <v>630447</v>
      </c>
      <c r="B13115" s="3" t="s">
        <v>66068</v>
      </c>
      <c r="C13115" s="3" t="s">
        <v>54</v>
      </c>
      <c r="D13115" s="3" t="s">
        <v>175</v>
      </c>
      <c r="E13115" s="4" t="s">
        <v>22</v>
      </c>
      <c r="F13115" s="4" t="s">
        <v>66069</v>
      </c>
      <c r="G13115" s="4" t="s">
        <v>66070</v>
      </c>
      <c r="H13115" s="3" t="s">
        <v>63948</v>
      </c>
      <c r="I13115" s="3" t="s">
        <v>36780</v>
      </c>
      <c r="J13115" s="3" t="s">
        <v>66071</v>
      </c>
      <c r="K13115" s="3" t="s">
        <v>66072</v>
      </c>
      <c r="L13115" s="3"/>
      <c r="M13115" s="4"/>
      <c r="N13115" s="3" t="s">
        <v>37</v>
      </c>
      <c r="O13115" s="3" t="s">
        <v>38</v>
      </c>
      <c r="P13115" s="5">
        <v>5</v>
      </c>
      <c r="Q13115" s="5">
        <v>38</v>
      </c>
      <c r="R13115" s="5">
        <v>5</v>
      </c>
      <c r="S13115" s="5">
        <v>41</v>
      </c>
    </row>
    <row r="13116" spans="1:19" ht="42" x14ac:dyDescent="0.15">
      <c r="A13116" s="2">
        <f>HYPERLINK("https://open-school.uspishnemisto.com.ua/school/630448/", 630448)</f>
        <v>630448</v>
      </c>
      <c r="B13116" s="3" t="s">
        <v>66073</v>
      </c>
      <c r="C13116" s="3" t="s">
        <v>31</v>
      </c>
      <c r="D13116" s="3" t="s">
        <v>32</v>
      </c>
      <c r="E13116" s="4" t="s">
        <v>22</v>
      </c>
      <c r="F13116" s="4" t="s">
        <v>66074</v>
      </c>
      <c r="G13116" s="4" t="s">
        <v>66075</v>
      </c>
      <c r="H13116" s="3" t="s">
        <v>63948</v>
      </c>
      <c r="I13116" s="3" t="s">
        <v>66076</v>
      </c>
      <c r="J13116" s="3" t="s">
        <v>66077</v>
      </c>
      <c r="K13116" s="3" t="s">
        <v>66078</v>
      </c>
      <c r="L13116" s="3" t="s">
        <v>66079</v>
      </c>
      <c r="M13116" s="4"/>
      <c r="N13116" s="3" t="s">
        <v>37</v>
      </c>
      <c r="O13116" s="3" t="s">
        <v>70</v>
      </c>
      <c r="P13116" s="5">
        <v>11</v>
      </c>
      <c r="Q13116" s="5">
        <v>112</v>
      </c>
      <c r="R13116" s="5">
        <v>11</v>
      </c>
      <c r="S13116" s="5">
        <v>111</v>
      </c>
    </row>
    <row r="13117" spans="1:19" ht="56" x14ac:dyDescent="0.15">
      <c r="A13117" s="2">
        <f>HYPERLINK("https://open-school.uspishnemisto.com.ua/school/630449/", 630449)</f>
        <v>630449</v>
      </c>
      <c r="B13117" s="3" t="s">
        <v>66080</v>
      </c>
      <c r="C13117" s="3" t="s">
        <v>54</v>
      </c>
      <c r="D13117" s="3" t="s">
        <v>32</v>
      </c>
      <c r="E13117" s="4" t="s">
        <v>22</v>
      </c>
      <c r="F13117" s="4" t="s">
        <v>66081</v>
      </c>
      <c r="G13117" s="4" t="s">
        <v>66082</v>
      </c>
      <c r="H13117" s="3" t="s">
        <v>63948</v>
      </c>
      <c r="I13117" s="3" t="s">
        <v>14581</v>
      </c>
      <c r="J13117" s="3" t="s">
        <v>66083</v>
      </c>
      <c r="K13117" s="3" t="s">
        <v>66084</v>
      </c>
      <c r="L13117" s="3" t="s">
        <v>66085</v>
      </c>
      <c r="M13117" s="4"/>
      <c r="N13117" s="3" t="s">
        <v>37</v>
      </c>
      <c r="O13117" s="3" t="s">
        <v>38</v>
      </c>
      <c r="P13117" s="5">
        <v>10</v>
      </c>
      <c r="Q13117" s="5">
        <v>134</v>
      </c>
      <c r="R13117" s="5">
        <v>10</v>
      </c>
      <c r="S13117" s="5">
        <v>119</v>
      </c>
    </row>
    <row r="13118" spans="1:19" ht="28" x14ac:dyDescent="0.15">
      <c r="A13118" s="2">
        <f>HYPERLINK("https://open-school.uspishnemisto.com.ua/school/630450/", 630450)</f>
        <v>630450</v>
      </c>
      <c r="B13118" s="3" t="s">
        <v>66086</v>
      </c>
      <c r="C13118" s="3" t="s">
        <v>31</v>
      </c>
      <c r="D13118" s="3" t="s">
        <v>32</v>
      </c>
      <c r="E13118" s="4" t="s">
        <v>22</v>
      </c>
      <c r="F13118" s="4" t="s">
        <v>66087</v>
      </c>
      <c r="G13118" s="4" t="s">
        <v>66088</v>
      </c>
      <c r="H13118" s="3" t="s">
        <v>63948</v>
      </c>
      <c r="I13118" s="3" t="s">
        <v>15373</v>
      </c>
      <c r="J13118" s="3" t="s">
        <v>297</v>
      </c>
      <c r="K13118" s="3" t="s">
        <v>66089</v>
      </c>
      <c r="L13118" s="3"/>
      <c r="M13118" s="4"/>
      <c r="N13118" s="3" t="s">
        <v>37</v>
      </c>
      <c r="O13118" s="3" t="s">
        <v>38</v>
      </c>
      <c r="P13118" s="5">
        <v>6</v>
      </c>
      <c r="Q13118" s="5">
        <v>50</v>
      </c>
      <c r="R13118" s="5">
        <v>6</v>
      </c>
      <c r="S13118" s="5">
        <v>52</v>
      </c>
    </row>
    <row r="13119" spans="1:19" ht="42" x14ac:dyDescent="0.15">
      <c r="A13119" s="2">
        <f>HYPERLINK("https://open-school.uspishnemisto.com.ua/school/630451/", 630451)</f>
        <v>630451</v>
      </c>
      <c r="B13119" s="3" t="s">
        <v>66090</v>
      </c>
      <c r="C13119" s="3" t="s">
        <v>31</v>
      </c>
      <c r="D13119" s="3" t="s">
        <v>32</v>
      </c>
      <c r="E13119" s="4" t="s">
        <v>22</v>
      </c>
      <c r="F13119" s="4" t="s">
        <v>66091</v>
      </c>
      <c r="G13119" s="4" t="s">
        <v>66092</v>
      </c>
      <c r="H13119" s="3" t="s">
        <v>63948</v>
      </c>
      <c r="I13119" s="3" t="s">
        <v>66093</v>
      </c>
      <c r="J13119" s="3" t="s">
        <v>66094</v>
      </c>
      <c r="K13119" s="3" t="s">
        <v>66095</v>
      </c>
      <c r="L13119" s="3" t="s">
        <v>66096</v>
      </c>
      <c r="M13119" s="4"/>
      <c r="N13119" s="3" t="s">
        <v>37</v>
      </c>
      <c r="O13119" s="3" t="s">
        <v>112</v>
      </c>
      <c r="P13119" s="5">
        <v>8</v>
      </c>
      <c r="Q13119" s="5">
        <v>47</v>
      </c>
      <c r="R13119" s="5">
        <v>8</v>
      </c>
      <c r="S13119" s="5">
        <v>48</v>
      </c>
    </row>
    <row r="13120" spans="1:19" ht="28" x14ac:dyDescent="0.15">
      <c r="A13120" s="2">
        <f>HYPERLINK("https://open-school.uspishnemisto.com.ua/school/630452/", 630452)</f>
        <v>630452</v>
      </c>
      <c r="B13120" s="3" t="s">
        <v>66097</v>
      </c>
      <c r="C13120" s="3" t="s">
        <v>31</v>
      </c>
      <c r="D13120" s="3" t="s">
        <v>32</v>
      </c>
      <c r="E13120" s="4" t="s">
        <v>22</v>
      </c>
      <c r="F13120" s="4" t="s">
        <v>66098</v>
      </c>
      <c r="G13120" s="4" t="s">
        <v>66099</v>
      </c>
      <c r="H13120" s="3" t="s">
        <v>63948</v>
      </c>
      <c r="I13120" s="3" t="s">
        <v>66100</v>
      </c>
      <c r="J13120" s="3" t="s">
        <v>66101</v>
      </c>
      <c r="K13120" s="3" t="s">
        <v>66102</v>
      </c>
      <c r="L13120" s="3"/>
      <c r="M13120" s="4"/>
      <c r="N13120" s="3" t="s">
        <v>37</v>
      </c>
      <c r="O13120" s="3" t="s">
        <v>38</v>
      </c>
      <c r="P13120" s="5">
        <v>9</v>
      </c>
      <c r="Q13120" s="5">
        <v>91</v>
      </c>
      <c r="R13120" s="5">
        <v>10</v>
      </c>
      <c r="S13120" s="5">
        <v>95</v>
      </c>
    </row>
    <row r="13121" spans="1:19" ht="42" x14ac:dyDescent="0.15">
      <c r="A13121" s="2">
        <f>HYPERLINK("https://open-school.uspishnemisto.com.ua/school/630453/", 630453)</f>
        <v>630453</v>
      </c>
      <c r="B13121" s="3" t="s">
        <v>66103</v>
      </c>
      <c r="C13121" s="3" t="s">
        <v>31</v>
      </c>
      <c r="D13121" s="3" t="s">
        <v>32</v>
      </c>
      <c r="E13121" s="4" t="s">
        <v>22</v>
      </c>
      <c r="F13121" s="4" t="s">
        <v>66104</v>
      </c>
      <c r="G13121" s="4" t="s">
        <v>66105</v>
      </c>
      <c r="H13121" s="3" t="s">
        <v>63948</v>
      </c>
      <c r="I13121" s="3" t="s">
        <v>66106</v>
      </c>
      <c r="J13121" s="3" t="s">
        <v>66107</v>
      </c>
      <c r="K13121" s="3" t="s">
        <v>66108</v>
      </c>
      <c r="L13121" s="3" t="s">
        <v>66109</v>
      </c>
      <c r="M13121" s="4"/>
      <c r="N13121" s="3" t="s">
        <v>37</v>
      </c>
      <c r="O13121" s="3" t="s">
        <v>38</v>
      </c>
      <c r="P13121" s="5">
        <v>29</v>
      </c>
      <c r="Q13121" s="5">
        <v>691</v>
      </c>
      <c r="R13121" s="5">
        <v>26</v>
      </c>
      <c r="S13121" s="5">
        <v>653</v>
      </c>
    </row>
    <row r="13122" spans="1:19" ht="42" x14ac:dyDescent="0.15">
      <c r="A13122" s="2">
        <f>HYPERLINK("https://open-school.uspishnemisto.com.ua/school/630454/", 630454)</f>
        <v>630454</v>
      </c>
      <c r="B13122" s="3" t="s">
        <v>66110</v>
      </c>
      <c r="C13122" s="3" t="s">
        <v>188</v>
      </c>
      <c r="D13122" s="3" t="s">
        <v>32</v>
      </c>
      <c r="E13122" s="4" t="s">
        <v>22</v>
      </c>
      <c r="F13122" s="4" t="s">
        <v>66111</v>
      </c>
      <c r="G13122" s="4" t="s">
        <v>66105</v>
      </c>
      <c r="H13122" s="3" t="s">
        <v>63948</v>
      </c>
      <c r="I13122" s="3" t="s">
        <v>66106</v>
      </c>
      <c r="J13122" s="3" t="s">
        <v>66112</v>
      </c>
      <c r="K13122" s="3" t="s">
        <v>66113</v>
      </c>
      <c r="L13122" s="3" t="s">
        <v>66114</v>
      </c>
      <c r="M13122" s="4"/>
      <c r="N13122" s="3" t="s">
        <v>37</v>
      </c>
      <c r="O13122" s="3" t="s">
        <v>70</v>
      </c>
      <c r="P13122" s="5">
        <v>46</v>
      </c>
      <c r="Q13122" s="5">
        <v>1024</v>
      </c>
      <c r="R13122" s="5">
        <v>45</v>
      </c>
      <c r="S13122" s="5">
        <v>1006</v>
      </c>
    </row>
    <row r="13123" spans="1:19" ht="42" x14ac:dyDescent="0.15">
      <c r="A13123" s="2">
        <f>HYPERLINK("https://open-school.uspishnemisto.com.ua/school/630455/", 630455)</f>
        <v>630455</v>
      </c>
      <c r="B13123" s="3" t="s">
        <v>66115</v>
      </c>
      <c r="C13123" s="3" t="s">
        <v>54</v>
      </c>
      <c r="D13123" s="3" t="s">
        <v>175</v>
      </c>
      <c r="E13123" s="4" t="s">
        <v>22</v>
      </c>
      <c r="F13123" s="4" t="s">
        <v>66104</v>
      </c>
      <c r="G13123" s="4" t="s">
        <v>66105</v>
      </c>
      <c r="H13123" s="3" t="s">
        <v>63948</v>
      </c>
      <c r="I13123" s="3" t="s">
        <v>66106</v>
      </c>
      <c r="J13123" s="3" t="s">
        <v>3244</v>
      </c>
      <c r="K13123" s="3" t="s">
        <v>66116</v>
      </c>
      <c r="L13123" s="3"/>
      <c r="M13123" s="4"/>
      <c r="N13123" s="3" t="s">
        <v>967</v>
      </c>
      <c r="O13123" s="3" t="s">
        <v>52</v>
      </c>
      <c r="P13123" s="5">
        <v>9</v>
      </c>
      <c r="Q13123" s="5">
        <v>81</v>
      </c>
      <c r="R13123" s="5">
        <v>9</v>
      </c>
      <c r="S13123" s="5">
        <v>74</v>
      </c>
    </row>
    <row r="13124" spans="1:19" ht="42" x14ac:dyDescent="0.15">
      <c r="A13124" s="2">
        <f>HYPERLINK("https://open-school.uspishnemisto.com.ua/school/630456/", 630456)</f>
        <v>630456</v>
      </c>
      <c r="B13124" s="3" t="s">
        <v>66117</v>
      </c>
      <c r="C13124" s="3" t="s">
        <v>54</v>
      </c>
      <c r="D13124" s="3" t="s">
        <v>60</v>
      </c>
      <c r="E13124" s="4" t="s">
        <v>22</v>
      </c>
      <c r="F13124" s="4" t="s">
        <v>66118</v>
      </c>
      <c r="G13124" s="4" t="s">
        <v>66105</v>
      </c>
      <c r="H13124" s="3" t="s">
        <v>63948</v>
      </c>
      <c r="I13124" s="3" t="s">
        <v>66106</v>
      </c>
      <c r="J13124" s="3" t="s">
        <v>66119</v>
      </c>
      <c r="K13124" s="3"/>
      <c r="L13124" s="3"/>
      <c r="M13124" s="4"/>
      <c r="N13124" s="3" t="s">
        <v>37</v>
      </c>
      <c r="O13124" s="3" t="s">
        <v>38</v>
      </c>
      <c r="P13124" s="5">
        <v>2</v>
      </c>
      <c r="Q13124" s="5">
        <v>19</v>
      </c>
      <c r="R13124" s="5">
        <v>2</v>
      </c>
      <c r="S13124" s="5">
        <v>19</v>
      </c>
    </row>
    <row r="13125" spans="1:19" ht="28" x14ac:dyDescent="0.15">
      <c r="A13125" s="2">
        <f>HYPERLINK("https://open-school.uspishnemisto.com.ua/school/630457/", 630457)</f>
        <v>630457</v>
      </c>
      <c r="B13125" s="3" t="s">
        <v>66120</v>
      </c>
      <c r="C13125" s="3" t="s">
        <v>31</v>
      </c>
      <c r="D13125" s="3" t="s">
        <v>32</v>
      </c>
      <c r="E13125" s="4" t="s">
        <v>22</v>
      </c>
      <c r="F13125" s="4" t="s">
        <v>66121</v>
      </c>
      <c r="G13125" s="4" t="s">
        <v>66122</v>
      </c>
      <c r="H13125" s="3" t="s">
        <v>63948</v>
      </c>
      <c r="I13125" s="3" t="s">
        <v>66123</v>
      </c>
      <c r="J13125" s="3" t="s">
        <v>66124</v>
      </c>
      <c r="K13125" s="3" t="s">
        <v>66125</v>
      </c>
      <c r="L13125" s="3"/>
      <c r="M13125" s="4"/>
      <c r="N13125" s="3" t="s">
        <v>37</v>
      </c>
      <c r="O13125" s="3" t="s">
        <v>38</v>
      </c>
      <c r="P13125" s="5">
        <v>14</v>
      </c>
      <c r="Q13125" s="5">
        <v>311</v>
      </c>
      <c r="R13125" s="5">
        <v>14</v>
      </c>
      <c r="S13125" s="5">
        <v>324</v>
      </c>
    </row>
    <row r="13126" spans="1:19" ht="42" x14ac:dyDescent="0.15">
      <c r="A13126" s="2">
        <f>HYPERLINK("https://open-school.uspishnemisto.com.ua/school/630458/", 630458)</f>
        <v>630458</v>
      </c>
      <c r="B13126" s="3" t="s">
        <v>66126</v>
      </c>
      <c r="C13126" s="3" t="s">
        <v>40</v>
      </c>
      <c r="D13126" s="3" t="s">
        <v>32</v>
      </c>
      <c r="E13126" s="4" t="s">
        <v>22</v>
      </c>
      <c r="F13126" s="4" t="s">
        <v>66127</v>
      </c>
      <c r="G13126" s="4" t="s">
        <v>66128</v>
      </c>
      <c r="H13126" s="3" t="s">
        <v>63948</v>
      </c>
      <c r="I13126" s="3" t="s">
        <v>11220</v>
      </c>
      <c r="J13126" s="3" t="s">
        <v>8254</v>
      </c>
      <c r="K13126" s="3" t="s">
        <v>66129</v>
      </c>
      <c r="L13126" s="3" t="s">
        <v>66130</v>
      </c>
      <c r="M13126" s="4"/>
      <c r="N13126" s="3" t="s">
        <v>128</v>
      </c>
      <c r="O13126" s="3" t="s">
        <v>38</v>
      </c>
      <c r="P13126" s="5">
        <v>26</v>
      </c>
      <c r="Q13126" s="5">
        <v>634</v>
      </c>
      <c r="R13126" s="5">
        <v>26</v>
      </c>
      <c r="S13126" s="5">
        <v>615</v>
      </c>
    </row>
    <row r="13127" spans="1:19" ht="28" x14ac:dyDescent="0.15">
      <c r="A13127" s="2">
        <f>HYPERLINK("https://open-school.uspishnemisto.com.ua/school/630459/", 630459)</f>
        <v>630459</v>
      </c>
      <c r="B13127" s="3" t="s">
        <v>66131</v>
      </c>
      <c r="C13127" s="3" t="s">
        <v>188</v>
      </c>
      <c r="D13127" s="3" t="s">
        <v>32</v>
      </c>
      <c r="E13127" s="4" t="s">
        <v>22</v>
      </c>
      <c r="F13127" s="4" t="s">
        <v>66127</v>
      </c>
      <c r="G13127" s="4" t="s">
        <v>66128</v>
      </c>
      <c r="H13127" s="3" t="s">
        <v>63948</v>
      </c>
      <c r="I13127" s="3" t="s">
        <v>11220</v>
      </c>
      <c r="J13127" s="3" t="s">
        <v>66132</v>
      </c>
      <c r="K13127" s="3" t="s">
        <v>66133</v>
      </c>
      <c r="L13127" s="3" t="s">
        <v>66134</v>
      </c>
      <c r="M13127" s="4"/>
      <c r="N13127" s="3" t="s">
        <v>128</v>
      </c>
      <c r="O13127" s="3" t="s">
        <v>721</v>
      </c>
      <c r="P13127" s="5">
        <v>30</v>
      </c>
      <c r="Q13127" s="5">
        <v>710</v>
      </c>
      <c r="R13127" s="5">
        <v>30</v>
      </c>
      <c r="S13127" s="5">
        <v>703</v>
      </c>
    </row>
    <row r="13128" spans="1:19" ht="28" x14ac:dyDescent="0.15">
      <c r="A13128" s="2">
        <f>HYPERLINK("https://open-school.uspishnemisto.com.ua/school/630460/", 630460)</f>
        <v>630460</v>
      </c>
      <c r="B13128" s="3" t="s">
        <v>66135</v>
      </c>
      <c r="C13128" s="3" t="s">
        <v>31</v>
      </c>
      <c r="D13128" s="3" t="s">
        <v>175</v>
      </c>
      <c r="E13128" s="4" t="s">
        <v>22</v>
      </c>
      <c r="F13128" s="4" t="s">
        <v>66136</v>
      </c>
      <c r="G13128" s="4" t="s">
        <v>66137</v>
      </c>
      <c r="H13128" s="3" t="s">
        <v>63948</v>
      </c>
      <c r="I13128" s="3" t="s">
        <v>5088</v>
      </c>
      <c r="J13128" s="3" t="s">
        <v>66138</v>
      </c>
      <c r="K13128" s="3" t="s">
        <v>66139</v>
      </c>
      <c r="L13128" s="3" t="s">
        <v>66140</v>
      </c>
      <c r="M13128" s="4"/>
      <c r="N13128" s="3" t="s">
        <v>37</v>
      </c>
      <c r="O13128" s="3" t="s">
        <v>38</v>
      </c>
      <c r="P13128" s="5">
        <v>4</v>
      </c>
      <c r="Q13128" s="5">
        <v>31</v>
      </c>
      <c r="R13128" s="5">
        <v>3</v>
      </c>
      <c r="S13128" s="5">
        <v>26</v>
      </c>
    </row>
    <row r="13129" spans="1:19" ht="28" x14ac:dyDescent="0.15">
      <c r="A13129" s="2">
        <f>HYPERLINK("https://open-school.uspishnemisto.com.ua/school/630461/", 630461)</f>
        <v>630461</v>
      </c>
      <c r="B13129" s="3" t="s">
        <v>66141</v>
      </c>
      <c r="C13129" s="3" t="s">
        <v>31</v>
      </c>
      <c r="D13129" s="3" t="s">
        <v>32</v>
      </c>
      <c r="E13129" s="4" t="s">
        <v>22</v>
      </c>
      <c r="F13129" s="4" t="s">
        <v>66142</v>
      </c>
      <c r="G13129" s="4" t="s">
        <v>66143</v>
      </c>
      <c r="H13129" s="3" t="s">
        <v>63948</v>
      </c>
      <c r="I13129" s="3" t="s">
        <v>65290</v>
      </c>
      <c r="J13129" s="3" t="s">
        <v>66144</v>
      </c>
      <c r="K13129" s="3" t="s">
        <v>66145</v>
      </c>
      <c r="L13129" s="3"/>
      <c r="M13129" s="4"/>
      <c r="N13129" s="3" t="s">
        <v>37</v>
      </c>
      <c r="O13129" s="3" t="s">
        <v>38</v>
      </c>
      <c r="P13129" s="5">
        <v>11</v>
      </c>
      <c r="Q13129" s="5">
        <v>156</v>
      </c>
      <c r="R13129" s="5">
        <v>11</v>
      </c>
      <c r="S13129" s="5">
        <v>149</v>
      </c>
    </row>
    <row r="13130" spans="1:19" ht="28" x14ac:dyDescent="0.15">
      <c r="A13130" s="2">
        <f>HYPERLINK("https://open-school.uspishnemisto.com.ua/school/630462/", 630462)</f>
        <v>630462</v>
      </c>
      <c r="B13130" s="3" t="s">
        <v>66146</v>
      </c>
      <c r="C13130" s="3" t="s">
        <v>31</v>
      </c>
      <c r="D13130" s="3" t="s">
        <v>32</v>
      </c>
      <c r="E13130" s="4" t="s">
        <v>22</v>
      </c>
      <c r="F13130" s="4" t="s">
        <v>66147</v>
      </c>
      <c r="G13130" s="4" t="s">
        <v>66148</v>
      </c>
      <c r="H13130" s="3" t="s">
        <v>63948</v>
      </c>
      <c r="I13130" s="3" t="s">
        <v>7007</v>
      </c>
      <c r="J13130" s="3" t="s">
        <v>7277</v>
      </c>
      <c r="K13130" s="3" t="s">
        <v>66149</v>
      </c>
      <c r="L13130" s="3"/>
      <c r="M13130" s="4"/>
      <c r="N13130" s="3" t="s">
        <v>37</v>
      </c>
      <c r="O13130" s="3" t="s">
        <v>38</v>
      </c>
      <c r="P13130" s="5">
        <v>10</v>
      </c>
      <c r="Q13130" s="5">
        <v>221</v>
      </c>
      <c r="R13130" s="5">
        <v>11</v>
      </c>
      <c r="S13130" s="5">
        <v>239</v>
      </c>
    </row>
    <row r="13131" spans="1:19" ht="28" x14ac:dyDescent="0.15">
      <c r="A13131" s="2">
        <f>HYPERLINK("https://open-school.uspishnemisto.com.ua/school/630463/", 630463)</f>
        <v>630463</v>
      </c>
      <c r="B13131" s="3" t="s">
        <v>66150</v>
      </c>
      <c r="C13131" s="3" t="s">
        <v>31</v>
      </c>
      <c r="D13131" s="3" t="s">
        <v>32</v>
      </c>
      <c r="E13131" s="4" t="s">
        <v>22</v>
      </c>
      <c r="F13131" s="4" t="s">
        <v>66151</v>
      </c>
      <c r="G13131" s="4" t="s">
        <v>66152</v>
      </c>
      <c r="H13131" s="3" t="s">
        <v>63948</v>
      </c>
      <c r="I13131" s="3" t="s">
        <v>11989</v>
      </c>
      <c r="J13131" s="3" t="s">
        <v>1636</v>
      </c>
      <c r="K13131" s="3" t="s">
        <v>66153</v>
      </c>
      <c r="L13131" s="3"/>
      <c r="M13131" s="4"/>
      <c r="N13131" s="3" t="s">
        <v>37</v>
      </c>
      <c r="O13131" s="3" t="s">
        <v>38</v>
      </c>
      <c r="P13131" s="5">
        <v>15</v>
      </c>
      <c r="Q13131" s="5">
        <v>362</v>
      </c>
      <c r="R13131" s="5">
        <v>15</v>
      </c>
      <c r="S13131" s="5">
        <v>353</v>
      </c>
    </row>
    <row r="13132" spans="1:19" ht="28" x14ac:dyDescent="0.15">
      <c r="A13132" s="2">
        <f>HYPERLINK("https://open-school.uspishnemisto.com.ua/school/630464/", 630464)</f>
        <v>630464</v>
      </c>
      <c r="B13132" s="3" t="s">
        <v>66154</v>
      </c>
      <c r="C13132" s="3" t="s">
        <v>31</v>
      </c>
      <c r="D13132" s="3" t="s">
        <v>32</v>
      </c>
      <c r="E13132" s="4" t="s">
        <v>22</v>
      </c>
      <c r="F13132" s="4" t="s">
        <v>66155</v>
      </c>
      <c r="G13132" s="4" t="s">
        <v>66156</v>
      </c>
      <c r="H13132" s="3" t="s">
        <v>63948</v>
      </c>
      <c r="I13132" s="3" t="s">
        <v>34160</v>
      </c>
      <c r="J13132" s="3" t="s">
        <v>946</v>
      </c>
      <c r="K13132" s="3" t="s">
        <v>66157</v>
      </c>
      <c r="L13132" s="3"/>
      <c r="M13132" s="4"/>
      <c r="N13132" s="3" t="s">
        <v>967</v>
      </c>
      <c r="O13132" s="3" t="s">
        <v>46</v>
      </c>
      <c r="P13132" s="5">
        <v>11</v>
      </c>
      <c r="Q13132" s="5">
        <v>160</v>
      </c>
      <c r="R13132" s="5">
        <v>11</v>
      </c>
      <c r="S13132" s="5">
        <v>151</v>
      </c>
    </row>
    <row r="13133" spans="1:19" ht="28" x14ac:dyDescent="0.15">
      <c r="A13133" s="2">
        <f>HYPERLINK("https://open-school.uspishnemisto.com.ua/school/630465/", 630465)</f>
        <v>630465</v>
      </c>
      <c r="B13133" s="3" t="s">
        <v>66158</v>
      </c>
      <c r="C13133" s="3" t="s">
        <v>31</v>
      </c>
      <c r="D13133" s="3" t="s">
        <v>175</v>
      </c>
      <c r="E13133" s="4" t="s">
        <v>22</v>
      </c>
      <c r="F13133" s="4" t="s">
        <v>66155</v>
      </c>
      <c r="G13133" s="4" t="s">
        <v>66159</v>
      </c>
      <c r="H13133" s="3" t="s">
        <v>63948</v>
      </c>
      <c r="I13133" s="3" t="s">
        <v>66160</v>
      </c>
      <c r="J13133" s="3" t="s">
        <v>1360</v>
      </c>
      <c r="K13133" s="3" t="s">
        <v>66161</v>
      </c>
      <c r="L13133" s="3"/>
      <c r="M13133" s="4"/>
      <c r="N13133" s="3" t="s">
        <v>967</v>
      </c>
      <c r="O13133" s="3" t="s">
        <v>46</v>
      </c>
      <c r="P13133" s="5">
        <v>8</v>
      </c>
      <c r="Q13133" s="5">
        <v>89</v>
      </c>
      <c r="R13133" s="5">
        <v>8</v>
      </c>
      <c r="S13133" s="5">
        <v>74</v>
      </c>
    </row>
    <row r="13134" spans="1:19" ht="42" x14ac:dyDescent="0.15">
      <c r="A13134" s="2">
        <f>HYPERLINK("https://open-school.uspishnemisto.com.ua/school/630466/", 630466)</f>
        <v>630466</v>
      </c>
      <c r="B13134" s="3" t="s">
        <v>66162</v>
      </c>
      <c r="C13134" s="3" t="s">
        <v>31</v>
      </c>
      <c r="D13134" s="3" t="s">
        <v>60</v>
      </c>
      <c r="E13134" s="4" t="s">
        <v>22</v>
      </c>
      <c r="F13134" s="4" t="s">
        <v>66163</v>
      </c>
      <c r="G13134" s="4" t="s">
        <v>66164</v>
      </c>
      <c r="H13134" s="3" t="s">
        <v>63948</v>
      </c>
      <c r="I13134" s="3" t="s">
        <v>66165</v>
      </c>
      <c r="J13134" s="3" t="s">
        <v>66166</v>
      </c>
      <c r="K13134" s="3" t="s">
        <v>66167</v>
      </c>
      <c r="L13134" s="3"/>
      <c r="M13134" s="4"/>
      <c r="N13134" s="3" t="s">
        <v>37</v>
      </c>
      <c r="O13134" s="3" t="s">
        <v>52</v>
      </c>
      <c r="P13134" s="5">
        <v>1</v>
      </c>
      <c r="Q13134" s="5">
        <v>10</v>
      </c>
      <c r="R13134" s="5">
        <v>1</v>
      </c>
      <c r="S13134" s="5">
        <v>16</v>
      </c>
    </row>
    <row r="13135" spans="1:19" ht="42" x14ac:dyDescent="0.15">
      <c r="A13135" s="2">
        <f>HYPERLINK("https://open-school.uspishnemisto.com.ua/school/630467/", 630467)</f>
        <v>630467</v>
      </c>
      <c r="B13135" s="3" t="s">
        <v>66168</v>
      </c>
      <c r="C13135" s="3" t="s">
        <v>31</v>
      </c>
      <c r="D13135" s="3" t="s">
        <v>175</v>
      </c>
      <c r="E13135" s="4" t="s">
        <v>22</v>
      </c>
      <c r="F13135" s="4" t="s">
        <v>66169</v>
      </c>
      <c r="G13135" s="4" t="s">
        <v>66170</v>
      </c>
      <c r="H13135" s="3" t="s">
        <v>63948</v>
      </c>
      <c r="I13135" s="3" t="s">
        <v>15161</v>
      </c>
      <c r="J13135" s="3" t="s">
        <v>466</v>
      </c>
      <c r="K13135" s="3" t="s">
        <v>66171</v>
      </c>
      <c r="L13135" s="3"/>
      <c r="M13135" s="4"/>
      <c r="N13135" s="3" t="s">
        <v>967</v>
      </c>
      <c r="O13135" s="3" t="s">
        <v>52</v>
      </c>
      <c r="P13135" s="5">
        <v>3</v>
      </c>
      <c r="Q13135" s="5">
        <v>28</v>
      </c>
      <c r="R13135" s="5">
        <v>3</v>
      </c>
      <c r="S13135" s="5">
        <v>26</v>
      </c>
    </row>
    <row r="13136" spans="1:19" ht="28" x14ac:dyDescent="0.15">
      <c r="A13136" s="2">
        <f>HYPERLINK("https://open-school.uspishnemisto.com.ua/school/630468/", 630468)</f>
        <v>630468</v>
      </c>
      <c r="B13136" s="3" t="s">
        <v>66172</v>
      </c>
      <c r="C13136" s="3" t="s">
        <v>31</v>
      </c>
      <c r="D13136" s="3" t="s">
        <v>175</v>
      </c>
      <c r="E13136" s="4" t="s">
        <v>22</v>
      </c>
      <c r="F13136" s="4" t="s">
        <v>66173</v>
      </c>
      <c r="G13136" s="4" t="s">
        <v>66174</v>
      </c>
      <c r="H13136" s="3" t="s">
        <v>63948</v>
      </c>
      <c r="I13136" s="3" t="s">
        <v>66175</v>
      </c>
      <c r="J13136" s="3" t="s">
        <v>66176</v>
      </c>
      <c r="K13136" s="3" t="s">
        <v>66177</v>
      </c>
      <c r="L13136" s="3"/>
      <c r="M13136" s="4"/>
      <c r="N13136" s="3" t="s">
        <v>37</v>
      </c>
      <c r="O13136" s="3" t="s">
        <v>38</v>
      </c>
      <c r="P13136" s="5">
        <v>8</v>
      </c>
      <c r="Q13136" s="5">
        <v>52</v>
      </c>
      <c r="R13136" s="5">
        <v>8</v>
      </c>
      <c r="S13136" s="5">
        <v>53</v>
      </c>
    </row>
    <row r="13137" spans="1:19" ht="28" x14ac:dyDescent="0.15">
      <c r="A13137" s="2">
        <f>HYPERLINK("https://open-school.uspishnemisto.com.ua/school/630469/", 630469)</f>
        <v>630469</v>
      </c>
      <c r="B13137" s="3" t="s">
        <v>66178</v>
      </c>
      <c r="C13137" s="3" t="s">
        <v>31</v>
      </c>
      <c r="D13137" s="3" t="s">
        <v>32</v>
      </c>
      <c r="E13137" s="4" t="s">
        <v>22</v>
      </c>
      <c r="F13137" s="4" t="s">
        <v>66179</v>
      </c>
      <c r="G13137" s="4" t="s">
        <v>66180</v>
      </c>
      <c r="H13137" s="3" t="s">
        <v>63948</v>
      </c>
      <c r="I13137" s="3" t="s">
        <v>66181</v>
      </c>
      <c r="J13137" s="3" t="s">
        <v>6394</v>
      </c>
      <c r="K13137" s="3" t="s">
        <v>66182</v>
      </c>
      <c r="L13137" s="3"/>
      <c r="M13137" s="4"/>
      <c r="N13137" s="3" t="s">
        <v>37</v>
      </c>
      <c r="O13137" s="3" t="s">
        <v>38</v>
      </c>
      <c r="P13137" s="5">
        <v>11</v>
      </c>
      <c r="Q13137" s="5">
        <v>134</v>
      </c>
      <c r="R13137" s="5">
        <v>11</v>
      </c>
      <c r="S13137" s="5">
        <v>137</v>
      </c>
    </row>
    <row r="13138" spans="1:19" ht="28" x14ac:dyDescent="0.15">
      <c r="A13138" s="2">
        <f>HYPERLINK("https://open-school.uspishnemisto.com.ua/school/630470/", 630470)</f>
        <v>630470</v>
      </c>
      <c r="B13138" s="3" t="s">
        <v>66183</v>
      </c>
      <c r="C13138" s="3" t="s">
        <v>31</v>
      </c>
      <c r="D13138" s="3" t="s">
        <v>175</v>
      </c>
      <c r="E13138" s="4" t="s">
        <v>22</v>
      </c>
      <c r="F13138" s="4" t="s">
        <v>66179</v>
      </c>
      <c r="G13138" s="4" t="s">
        <v>66180</v>
      </c>
      <c r="H13138" s="3" t="s">
        <v>63948</v>
      </c>
      <c r="I13138" s="3" t="s">
        <v>66181</v>
      </c>
      <c r="J13138" s="3" t="s">
        <v>66184</v>
      </c>
      <c r="K13138" s="3"/>
      <c r="L13138" s="3"/>
      <c r="M13138" s="4"/>
      <c r="N13138" s="3" t="s">
        <v>37</v>
      </c>
      <c r="O13138" s="3" t="s">
        <v>38</v>
      </c>
      <c r="P13138" s="5">
        <v>9</v>
      </c>
      <c r="Q13138" s="5">
        <v>116</v>
      </c>
      <c r="R13138" s="5">
        <v>9</v>
      </c>
      <c r="S13138" s="5">
        <v>120</v>
      </c>
    </row>
    <row r="13139" spans="1:19" ht="28" x14ac:dyDescent="0.15">
      <c r="A13139" s="2">
        <f>HYPERLINK("https://open-school.uspishnemisto.com.ua/school/630471/", 630471)</f>
        <v>630471</v>
      </c>
      <c r="B13139" s="3" t="s">
        <v>66185</v>
      </c>
      <c r="C13139" s="3" t="s">
        <v>31</v>
      </c>
      <c r="D13139" s="3" t="s">
        <v>60</v>
      </c>
      <c r="E13139" s="4" t="s">
        <v>22</v>
      </c>
      <c r="F13139" s="4" t="s">
        <v>66186</v>
      </c>
      <c r="G13139" s="4" t="s">
        <v>66187</v>
      </c>
      <c r="H13139" s="3" t="s">
        <v>63948</v>
      </c>
      <c r="I13139" s="3" t="s">
        <v>66188</v>
      </c>
      <c r="J13139" s="3" t="s">
        <v>66189</v>
      </c>
      <c r="K13139" s="3" t="s">
        <v>66190</v>
      </c>
      <c r="L13139" s="3"/>
      <c r="M13139" s="4"/>
      <c r="N13139" s="3"/>
      <c r="O13139" s="3"/>
      <c r="P13139" s="5">
        <v>0</v>
      </c>
      <c r="Q13139" s="5">
        <v>0</v>
      </c>
      <c r="R13139" s="5"/>
      <c r="S13139" s="5"/>
    </row>
    <row r="13140" spans="1:19" ht="28" x14ac:dyDescent="0.15">
      <c r="A13140" s="2">
        <f>HYPERLINK("https://open-school.uspishnemisto.com.ua/school/630472/", 630472)</f>
        <v>630472</v>
      </c>
      <c r="B13140" s="3" t="s">
        <v>66191</v>
      </c>
      <c r="C13140" s="3" t="s">
        <v>31</v>
      </c>
      <c r="D13140" s="3" t="s">
        <v>32</v>
      </c>
      <c r="E13140" s="4" t="s">
        <v>22</v>
      </c>
      <c r="F13140" s="4" t="s">
        <v>66192</v>
      </c>
      <c r="G13140" s="4" t="s">
        <v>66193</v>
      </c>
      <c r="H13140" s="3" t="s">
        <v>63948</v>
      </c>
      <c r="I13140" s="3" t="s">
        <v>14581</v>
      </c>
      <c r="J13140" s="3" t="s">
        <v>66194</v>
      </c>
      <c r="K13140" s="3" t="s">
        <v>66195</v>
      </c>
      <c r="L13140" s="3" t="s">
        <v>66196</v>
      </c>
      <c r="M13140" s="4"/>
      <c r="N13140" s="3" t="s">
        <v>37</v>
      </c>
      <c r="O13140" s="3" t="s">
        <v>38</v>
      </c>
      <c r="P13140" s="5">
        <v>14</v>
      </c>
      <c r="Q13140" s="5">
        <v>281</v>
      </c>
      <c r="R13140" s="5">
        <v>13</v>
      </c>
      <c r="S13140" s="5">
        <v>267</v>
      </c>
    </row>
    <row r="13141" spans="1:19" ht="42" x14ac:dyDescent="0.15">
      <c r="A13141" s="2">
        <f>HYPERLINK("https://open-school.uspishnemisto.com.ua/school/630473/", 630473)</f>
        <v>630473</v>
      </c>
      <c r="B13141" s="3" t="s">
        <v>66197</v>
      </c>
      <c r="C13141" s="3" t="s">
        <v>31</v>
      </c>
      <c r="D13141" s="3" t="s">
        <v>175</v>
      </c>
      <c r="E13141" s="4" t="s">
        <v>22</v>
      </c>
      <c r="F13141" s="4" t="s">
        <v>66198</v>
      </c>
      <c r="G13141" s="4" t="s">
        <v>66199</v>
      </c>
      <c r="H13141" s="3" t="s">
        <v>63948</v>
      </c>
      <c r="I13141" s="3" t="s">
        <v>66200</v>
      </c>
      <c r="J13141" s="3" t="s">
        <v>66201</v>
      </c>
      <c r="K13141" s="3" t="s">
        <v>66202</v>
      </c>
      <c r="L13141" s="3" t="s">
        <v>66203</v>
      </c>
      <c r="M13141" s="4"/>
      <c r="N13141" s="3" t="s">
        <v>37</v>
      </c>
      <c r="O13141" s="3" t="s">
        <v>38</v>
      </c>
      <c r="P13141" s="5">
        <v>5</v>
      </c>
      <c r="Q13141" s="5">
        <v>45</v>
      </c>
      <c r="R13141" s="5">
        <v>6</v>
      </c>
      <c r="S13141" s="5">
        <v>44</v>
      </c>
    </row>
    <row r="13142" spans="1:19" ht="28" x14ac:dyDescent="0.15">
      <c r="A13142" s="2">
        <f>HYPERLINK("https://open-school.uspishnemisto.com.ua/school/630474/", 630474)</f>
        <v>630474</v>
      </c>
      <c r="B13142" s="3" t="s">
        <v>66204</v>
      </c>
      <c r="C13142" s="3" t="s">
        <v>31</v>
      </c>
      <c r="D13142" s="3" t="s">
        <v>32</v>
      </c>
      <c r="E13142" s="4" t="s">
        <v>22</v>
      </c>
      <c r="F13142" s="4" t="s">
        <v>66205</v>
      </c>
      <c r="G13142" s="4" t="s">
        <v>66206</v>
      </c>
      <c r="H13142" s="3" t="s">
        <v>63948</v>
      </c>
      <c r="I13142" s="3" t="s">
        <v>66207</v>
      </c>
      <c r="J13142" s="3" t="s">
        <v>66208</v>
      </c>
      <c r="K13142" s="3" t="s">
        <v>66209</v>
      </c>
      <c r="L13142" s="3" t="s">
        <v>66210</v>
      </c>
      <c r="M13142" s="4"/>
      <c r="N13142" s="3" t="s">
        <v>37</v>
      </c>
      <c r="O13142" s="3" t="s">
        <v>52</v>
      </c>
      <c r="P13142" s="5">
        <v>10</v>
      </c>
      <c r="Q13142" s="5">
        <v>93</v>
      </c>
      <c r="R13142" s="5">
        <v>10</v>
      </c>
      <c r="S13142" s="5">
        <v>89</v>
      </c>
    </row>
    <row r="13143" spans="1:19" ht="70" x14ac:dyDescent="0.15">
      <c r="A13143" s="2">
        <f>HYPERLINK("https://open-school.uspishnemisto.com.ua/school/630475/", 630475)</f>
        <v>630475</v>
      </c>
      <c r="B13143" s="3" t="s">
        <v>66211</v>
      </c>
      <c r="C13143" s="3" t="s">
        <v>54</v>
      </c>
      <c r="D13143" s="3" t="s">
        <v>32</v>
      </c>
      <c r="E13143" s="4" t="s">
        <v>22</v>
      </c>
      <c r="F13143" s="4" t="s">
        <v>66212</v>
      </c>
      <c r="G13143" s="4" t="s">
        <v>66213</v>
      </c>
      <c r="H13143" s="3" t="s">
        <v>63948</v>
      </c>
      <c r="I13143" s="3" t="s">
        <v>12248</v>
      </c>
      <c r="J13143" s="3" t="s">
        <v>634</v>
      </c>
      <c r="K13143" s="3" t="s">
        <v>66214</v>
      </c>
      <c r="L13143" s="3"/>
      <c r="M13143" s="4"/>
      <c r="N13143" s="3" t="s">
        <v>37</v>
      </c>
      <c r="O13143" s="3" t="s">
        <v>38</v>
      </c>
      <c r="P13143" s="5">
        <v>11</v>
      </c>
      <c r="Q13143" s="5">
        <v>116</v>
      </c>
      <c r="R13143" s="5">
        <v>10</v>
      </c>
      <c r="S13143" s="5">
        <v>107</v>
      </c>
    </row>
    <row r="13144" spans="1:19" ht="42" x14ac:dyDescent="0.15">
      <c r="A13144" s="2">
        <f>HYPERLINK("https://open-school.uspishnemisto.com.ua/school/630476/", 630476)</f>
        <v>630476</v>
      </c>
      <c r="B13144" s="3" t="s">
        <v>66215</v>
      </c>
      <c r="C13144" s="3" t="s">
        <v>31</v>
      </c>
      <c r="D13144" s="3" t="s">
        <v>32</v>
      </c>
      <c r="E13144" s="4" t="s">
        <v>22</v>
      </c>
      <c r="F13144" s="4" t="s">
        <v>66216</v>
      </c>
      <c r="G13144" s="4" t="s">
        <v>66217</v>
      </c>
      <c r="H13144" s="3" t="s">
        <v>63948</v>
      </c>
      <c r="I13144" s="3" t="s">
        <v>66218</v>
      </c>
      <c r="J13144" s="3" t="s">
        <v>66219</v>
      </c>
      <c r="K13144" s="3" t="s">
        <v>66220</v>
      </c>
      <c r="L13144" s="3" t="s">
        <v>66221</v>
      </c>
      <c r="M13144" s="4"/>
      <c r="N13144" s="3" t="s">
        <v>37</v>
      </c>
      <c r="O13144" s="3" t="s">
        <v>38</v>
      </c>
      <c r="P13144" s="5">
        <v>20</v>
      </c>
      <c r="Q13144" s="5">
        <v>433</v>
      </c>
      <c r="R13144" s="5">
        <v>19</v>
      </c>
      <c r="S13144" s="5">
        <v>415</v>
      </c>
    </row>
    <row r="13145" spans="1:19" ht="28" x14ac:dyDescent="0.15">
      <c r="A13145" s="2">
        <f>HYPERLINK("https://open-school.uspishnemisto.com.ua/school/630477/", 630477)</f>
        <v>630477</v>
      </c>
      <c r="B13145" s="3" t="s">
        <v>66222</v>
      </c>
      <c r="C13145" s="3" t="s">
        <v>31</v>
      </c>
      <c r="D13145" s="3" t="s">
        <v>32</v>
      </c>
      <c r="E13145" s="4" t="s">
        <v>22</v>
      </c>
      <c r="F13145" s="4" t="s">
        <v>66223</v>
      </c>
      <c r="G13145" s="4" t="s">
        <v>66224</v>
      </c>
      <c r="H13145" s="3" t="s">
        <v>63948</v>
      </c>
      <c r="I13145" s="3" t="s">
        <v>66225</v>
      </c>
      <c r="J13145" s="3" t="s">
        <v>66226</v>
      </c>
      <c r="K13145" s="3" t="s">
        <v>66227</v>
      </c>
      <c r="L13145" s="3"/>
      <c r="M13145" s="4"/>
      <c r="N13145" s="3" t="s">
        <v>37</v>
      </c>
      <c r="O13145" s="3" t="s">
        <v>38</v>
      </c>
      <c r="P13145" s="5">
        <v>11</v>
      </c>
      <c r="Q13145" s="5">
        <v>82</v>
      </c>
      <c r="R13145" s="5">
        <v>11</v>
      </c>
      <c r="S13145" s="5">
        <v>82</v>
      </c>
    </row>
    <row r="13146" spans="1:19" ht="28" x14ac:dyDescent="0.15">
      <c r="A13146" s="2">
        <f>HYPERLINK("https://open-school.uspishnemisto.com.ua/school/630478/", 630478)</f>
        <v>630478</v>
      </c>
      <c r="B13146" s="3" t="s">
        <v>66228</v>
      </c>
      <c r="C13146" s="3" t="s">
        <v>31</v>
      </c>
      <c r="D13146" s="3" t="s">
        <v>32</v>
      </c>
      <c r="E13146" s="4" t="s">
        <v>22</v>
      </c>
      <c r="F13146" s="4" t="s">
        <v>66229</v>
      </c>
      <c r="G13146" s="4" t="s">
        <v>66230</v>
      </c>
      <c r="H13146" s="3" t="s">
        <v>63948</v>
      </c>
      <c r="I13146" s="3" t="s">
        <v>66231</v>
      </c>
      <c r="J13146" s="3" t="s">
        <v>66232</v>
      </c>
      <c r="K13146" s="3" t="s">
        <v>66233</v>
      </c>
      <c r="L13146" s="3"/>
      <c r="M13146" s="4"/>
      <c r="N13146" s="3" t="s">
        <v>37</v>
      </c>
      <c r="O13146" s="3" t="s">
        <v>38</v>
      </c>
      <c r="P13146" s="5">
        <v>12</v>
      </c>
      <c r="Q13146" s="5">
        <v>221</v>
      </c>
      <c r="R13146" s="5">
        <v>13</v>
      </c>
      <c r="S13146" s="5">
        <v>245</v>
      </c>
    </row>
    <row r="13147" spans="1:19" ht="42" x14ac:dyDescent="0.15">
      <c r="A13147" s="2">
        <f>HYPERLINK("https://open-school.uspishnemisto.com.ua/school/630479/", 630479)</f>
        <v>630479</v>
      </c>
      <c r="B13147" s="3" t="s">
        <v>66234</v>
      </c>
      <c r="C13147" s="3" t="s">
        <v>31</v>
      </c>
      <c r="D13147" s="3" t="s">
        <v>175</v>
      </c>
      <c r="E13147" s="4" t="s">
        <v>22</v>
      </c>
      <c r="F13147" s="4" t="s">
        <v>66235</v>
      </c>
      <c r="G13147" s="4" t="s">
        <v>66236</v>
      </c>
      <c r="H13147" s="3" t="s">
        <v>63948</v>
      </c>
      <c r="I13147" s="3" t="s">
        <v>37238</v>
      </c>
      <c r="J13147" s="3" t="s">
        <v>634</v>
      </c>
      <c r="K13147" s="3" t="s">
        <v>66237</v>
      </c>
      <c r="L13147" s="3"/>
      <c r="M13147" s="4"/>
      <c r="N13147" s="3"/>
      <c r="O13147" s="3"/>
      <c r="P13147" s="5">
        <v>0</v>
      </c>
      <c r="Q13147" s="5">
        <v>0</v>
      </c>
      <c r="R13147" s="5"/>
      <c r="S13147" s="5"/>
    </row>
    <row r="13148" spans="1:19" ht="42" x14ac:dyDescent="0.15">
      <c r="A13148" s="2">
        <f>HYPERLINK("https://open-school.uspishnemisto.com.ua/school/630480/", 630480)</f>
        <v>630480</v>
      </c>
      <c r="B13148" s="3" t="s">
        <v>66238</v>
      </c>
      <c r="C13148" s="3" t="s">
        <v>188</v>
      </c>
      <c r="D13148" s="3" t="s">
        <v>32</v>
      </c>
      <c r="E13148" s="4" t="s">
        <v>22</v>
      </c>
      <c r="F13148" s="4" t="s">
        <v>66239</v>
      </c>
      <c r="G13148" s="4" t="s">
        <v>66240</v>
      </c>
      <c r="H13148" s="3" t="s">
        <v>63948</v>
      </c>
      <c r="I13148" s="3" t="s">
        <v>66241</v>
      </c>
      <c r="J13148" s="3" t="s">
        <v>66242</v>
      </c>
      <c r="K13148" s="3" t="s">
        <v>66243</v>
      </c>
      <c r="L13148" s="3" t="s">
        <v>66244</v>
      </c>
      <c r="M13148" s="4"/>
      <c r="N13148" s="3" t="s">
        <v>37</v>
      </c>
      <c r="O13148" s="3" t="s">
        <v>38</v>
      </c>
      <c r="P13148" s="5">
        <v>11</v>
      </c>
      <c r="Q13148" s="5">
        <v>235</v>
      </c>
      <c r="R13148" s="5">
        <v>11</v>
      </c>
      <c r="S13148" s="5">
        <v>258</v>
      </c>
    </row>
    <row r="13149" spans="1:19" ht="28" x14ac:dyDescent="0.15">
      <c r="A13149" s="2">
        <f>HYPERLINK("https://open-school.uspishnemisto.com.ua/school/630481/", 630481)</f>
        <v>630481</v>
      </c>
      <c r="B13149" s="3" t="s">
        <v>66245</v>
      </c>
      <c r="C13149" s="3" t="s">
        <v>31</v>
      </c>
      <c r="D13149" s="3" t="s">
        <v>32</v>
      </c>
      <c r="E13149" s="4" t="s">
        <v>22</v>
      </c>
      <c r="F13149" s="4" t="s">
        <v>66246</v>
      </c>
      <c r="G13149" s="4" t="s">
        <v>66247</v>
      </c>
      <c r="H13149" s="3" t="s">
        <v>63948</v>
      </c>
      <c r="I13149" s="3" t="s">
        <v>66248</v>
      </c>
      <c r="J13149" s="3" t="s">
        <v>66249</v>
      </c>
      <c r="K13149" s="3" t="s">
        <v>66250</v>
      </c>
      <c r="L13149" s="3" t="s">
        <v>66251</v>
      </c>
      <c r="M13149" s="4"/>
      <c r="N13149" s="3" t="s">
        <v>37</v>
      </c>
      <c r="O13149" s="3" t="s">
        <v>38</v>
      </c>
      <c r="P13149" s="5">
        <v>22</v>
      </c>
      <c r="Q13149" s="5">
        <v>478</v>
      </c>
      <c r="R13149" s="5">
        <v>21</v>
      </c>
      <c r="S13149" s="5">
        <v>432</v>
      </c>
    </row>
    <row r="13150" spans="1:19" ht="28" x14ac:dyDescent="0.15">
      <c r="A13150" s="2">
        <f>HYPERLINK("https://open-school.uspishnemisto.com.ua/school/630482/", 630482)</f>
        <v>630482</v>
      </c>
      <c r="B13150" s="3" t="s">
        <v>66252</v>
      </c>
      <c r="C13150" s="3" t="s">
        <v>188</v>
      </c>
      <c r="D13150" s="3" t="s">
        <v>32</v>
      </c>
      <c r="E13150" s="4" t="s">
        <v>22</v>
      </c>
      <c r="F13150" s="4" t="s">
        <v>66246</v>
      </c>
      <c r="G13150" s="4" t="s">
        <v>66247</v>
      </c>
      <c r="H13150" s="3" t="s">
        <v>63948</v>
      </c>
      <c r="I13150" s="3" t="s">
        <v>66248</v>
      </c>
      <c r="J13150" s="3" t="s">
        <v>66253</v>
      </c>
      <c r="K13150" s="3" t="s">
        <v>66254</v>
      </c>
      <c r="L13150" s="3"/>
      <c r="M13150" s="4"/>
      <c r="N13150" s="3" t="s">
        <v>37</v>
      </c>
      <c r="O13150" s="3" t="s">
        <v>46</v>
      </c>
      <c r="P13150" s="5">
        <v>4</v>
      </c>
      <c r="Q13150" s="5">
        <v>56</v>
      </c>
      <c r="R13150" s="5">
        <v>4</v>
      </c>
      <c r="S13150" s="5">
        <v>76</v>
      </c>
    </row>
    <row r="13151" spans="1:19" ht="28" x14ac:dyDescent="0.15">
      <c r="A13151" s="2">
        <f>HYPERLINK("https://open-school.uspishnemisto.com.ua/school/630483/", 630483)</f>
        <v>630483</v>
      </c>
      <c r="B13151" s="3" t="s">
        <v>66255</v>
      </c>
      <c r="C13151" s="3" t="s">
        <v>31</v>
      </c>
      <c r="D13151" s="3" t="s">
        <v>32</v>
      </c>
      <c r="E13151" s="4" t="s">
        <v>22</v>
      </c>
      <c r="F13151" s="4" t="s">
        <v>66256</v>
      </c>
      <c r="G13151" s="4" t="s">
        <v>66257</v>
      </c>
      <c r="H13151" s="3" t="s">
        <v>63948</v>
      </c>
      <c r="I13151" s="3" t="s">
        <v>66258</v>
      </c>
      <c r="J13151" s="3" t="s">
        <v>3393</v>
      </c>
      <c r="K13151" s="3" t="s">
        <v>66259</v>
      </c>
      <c r="L13151" s="3" t="s">
        <v>66260</v>
      </c>
      <c r="M13151" s="4"/>
      <c r="N13151" s="3" t="s">
        <v>37</v>
      </c>
      <c r="O13151" s="3" t="s">
        <v>112</v>
      </c>
      <c r="P13151" s="5">
        <v>7</v>
      </c>
      <c r="Q13151" s="5">
        <v>73</v>
      </c>
      <c r="R13151" s="5">
        <v>8</v>
      </c>
      <c r="S13151" s="5">
        <v>78</v>
      </c>
    </row>
    <row r="13152" spans="1:19" ht="56" x14ac:dyDescent="0.15">
      <c r="A13152" s="2">
        <f>HYPERLINK("https://open-school.uspishnemisto.com.ua/school/630484/", 630484)</f>
        <v>630484</v>
      </c>
      <c r="B13152" s="3" t="s">
        <v>66261</v>
      </c>
      <c r="C13152" s="3" t="s">
        <v>54</v>
      </c>
      <c r="D13152" s="3" t="s">
        <v>32</v>
      </c>
      <c r="E13152" s="4" t="s">
        <v>22</v>
      </c>
      <c r="F13152" s="4" t="s">
        <v>66262</v>
      </c>
      <c r="G13152" s="4" t="s">
        <v>66263</v>
      </c>
      <c r="H13152" s="3" t="s">
        <v>63948</v>
      </c>
      <c r="I13152" s="3" t="s">
        <v>10829</v>
      </c>
      <c r="J13152" s="3" t="s">
        <v>66264</v>
      </c>
      <c r="K13152" s="3" t="s">
        <v>66265</v>
      </c>
      <c r="L13152" s="3" t="s">
        <v>66266</v>
      </c>
      <c r="M13152" s="4"/>
      <c r="N13152" s="3" t="s">
        <v>37</v>
      </c>
      <c r="O13152" s="3" t="s">
        <v>721</v>
      </c>
      <c r="P13152" s="5">
        <v>6</v>
      </c>
      <c r="Q13152" s="5">
        <v>47</v>
      </c>
      <c r="R13152" s="5">
        <v>7</v>
      </c>
      <c r="S13152" s="5">
        <v>46</v>
      </c>
    </row>
    <row r="13153" spans="1:19" ht="28" x14ac:dyDescent="0.15">
      <c r="A13153" s="2">
        <f>HYPERLINK("https://open-school.uspishnemisto.com.ua/school/630485/", 630485)</f>
        <v>630485</v>
      </c>
      <c r="B13153" s="3" t="s">
        <v>66267</v>
      </c>
      <c r="C13153" s="3" t="s">
        <v>31</v>
      </c>
      <c r="D13153" s="3" t="s">
        <v>32</v>
      </c>
      <c r="E13153" s="4" t="s">
        <v>22</v>
      </c>
      <c r="F13153" s="4" t="s">
        <v>66268</v>
      </c>
      <c r="G13153" s="4" t="s">
        <v>66269</v>
      </c>
      <c r="H13153" s="3" t="s">
        <v>63948</v>
      </c>
      <c r="I13153" s="3" t="s">
        <v>54736</v>
      </c>
      <c r="J13153" s="3" t="s">
        <v>1252</v>
      </c>
      <c r="K13153" s="3" t="s">
        <v>66270</v>
      </c>
      <c r="L13153" s="3" t="s">
        <v>66271</v>
      </c>
      <c r="M13153" s="4"/>
      <c r="N13153" s="3" t="s">
        <v>37</v>
      </c>
      <c r="O13153" s="3" t="s">
        <v>112</v>
      </c>
      <c r="P13153" s="5">
        <v>11</v>
      </c>
      <c r="Q13153" s="5">
        <v>104</v>
      </c>
      <c r="R13153" s="5">
        <v>11</v>
      </c>
      <c r="S13153" s="5">
        <v>113</v>
      </c>
    </row>
    <row r="13154" spans="1:19" ht="28" x14ac:dyDescent="0.15">
      <c r="A13154" s="2">
        <f>HYPERLINK("https://open-school.uspishnemisto.com.ua/school/630486/", 630486)</f>
        <v>630486</v>
      </c>
      <c r="B13154" s="3" t="s">
        <v>66272</v>
      </c>
      <c r="C13154" s="3" t="s">
        <v>31</v>
      </c>
      <c r="D13154" s="3" t="s">
        <v>175</v>
      </c>
      <c r="E13154" s="4" t="s">
        <v>22</v>
      </c>
      <c r="F13154" s="4" t="s">
        <v>66273</v>
      </c>
      <c r="G13154" s="4" t="s">
        <v>66274</v>
      </c>
      <c r="H13154" s="3" t="s">
        <v>63948</v>
      </c>
      <c r="I13154" s="3" t="s">
        <v>66275</v>
      </c>
      <c r="J13154" s="3" t="s">
        <v>554</v>
      </c>
      <c r="K13154" s="3" t="s">
        <v>66276</v>
      </c>
      <c r="L13154" s="3"/>
      <c r="M13154" s="4" t="s">
        <v>66277</v>
      </c>
      <c r="N13154" s="3" t="s">
        <v>37</v>
      </c>
      <c r="O13154" s="3" t="s">
        <v>112</v>
      </c>
      <c r="P13154" s="5">
        <v>7</v>
      </c>
      <c r="Q13154" s="5">
        <v>66</v>
      </c>
      <c r="R13154" s="5">
        <v>6</v>
      </c>
      <c r="S13154" s="5">
        <v>55</v>
      </c>
    </row>
    <row r="13155" spans="1:19" ht="42" x14ac:dyDescent="0.15">
      <c r="A13155" s="2">
        <f>HYPERLINK("https://open-school.uspishnemisto.com.ua/school/630487/", 630487)</f>
        <v>630487</v>
      </c>
      <c r="B13155" s="3" t="s">
        <v>66278</v>
      </c>
      <c r="C13155" s="3" t="s">
        <v>54</v>
      </c>
      <c r="D13155" s="3" t="s">
        <v>60</v>
      </c>
      <c r="E13155" s="4" t="s">
        <v>22</v>
      </c>
      <c r="F13155" s="4" t="s">
        <v>66279</v>
      </c>
      <c r="G13155" s="4" t="s">
        <v>66280</v>
      </c>
      <c r="H13155" s="3" t="s">
        <v>63948</v>
      </c>
      <c r="I13155" s="3" t="s">
        <v>53739</v>
      </c>
      <c r="J13155" s="3" t="s">
        <v>3266</v>
      </c>
      <c r="K13155" s="3" t="s">
        <v>66281</v>
      </c>
      <c r="L13155" s="3"/>
      <c r="M13155" s="4"/>
      <c r="N13155" s="3" t="s">
        <v>37</v>
      </c>
      <c r="O13155" s="3" t="s">
        <v>38</v>
      </c>
      <c r="P13155" s="5">
        <v>3</v>
      </c>
      <c r="Q13155" s="5">
        <v>15</v>
      </c>
      <c r="R13155" s="5">
        <v>3</v>
      </c>
      <c r="S13155" s="5">
        <v>15</v>
      </c>
    </row>
    <row r="13156" spans="1:19" ht="42" x14ac:dyDescent="0.15">
      <c r="A13156" s="2">
        <f>HYPERLINK("https://open-school.uspishnemisto.com.ua/school/630488/", 630488)</f>
        <v>630488</v>
      </c>
      <c r="B13156" s="3" t="s">
        <v>66282</v>
      </c>
      <c r="C13156" s="3" t="s">
        <v>54</v>
      </c>
      <c r="D13156" s="3" t="s">
        <v>60</v>
      </c>
      <c r="E13156" s="4" t="s">
        <v>22</v>
      </c>
      <c r="F13156" s="4" t="s">
        <v>66283</v>
      </c>
      <c r="G13156" s="4" t="s">
        <v>66284</v>
      </c>
      <c r="H13156" s="3" t="s">
        <v>63948</v>
      </c>
      <c r="I13156" s="3" t="s">
        <v>1740</v>
      </c>
      <c r="J13156" s="3" t="s">
        <v>466</v>
      </c>
      <c r="K13156" s="3" t="s">
        <v>66285</v>
      </c>
      <c r="L13156" s="3"/>
      <c r="M13156" s="4"/>
      <c r="N13156" s="3" t="s">
        <v>37</v>
      </c>
      <c r="O13156" s="3" t="s">
        <v>38</v>
      </c>
      <c r="P13156" s="5">
        <v>3</v>
      </c>
      <c r="Q13156" s="5">
        <v>17</v>
      </c>
      <c r="R13156" s="5">
        <v>3</v>
      </c>
      <c r="S13156" s="5">
        <v>16</v>
      </c>
    </row>
    <row r="13157" spans="1:19" ht="56" x14ac:dyDescent="0.15">
      <c r="A13157" s="2">
        <f>HYPERLINK("https://open-school.uspishnemisto.com.ua/school/630489/", 630489)</f>
        <v>630489</v>
      </c>
      <c r="B13157" s="3" t="s">
        <v>66286</v>
      </c>
      <c r="C13157" s="3" t="s">
        <v>54</v>
      </c>
      <c r="D13157" s="3" t="s">
        <v>32</v>
      </c>
      <c r="E13157" s="4" t="s">
        <v>22</v>
      </c>
      <c r="F13157" s="4" t="s">
        <v>66287</v>
      </c>
      <c r="G13157" s="4" t="s">
        <v>66288</v>
      </c>
      <c r="H13157" s="3" t="s">
        <v>63948</v>
      </c>
      <c r="I13157" s="3" t="s">
        <v>44937</v>
      </c>
      <c r="J13157" s="3" t="s">
        <v>554</v>
      </c>
      <c r="K13157" s="3" t="s">
        <v>66289</v>
      </c>
      <c r="L13157" s="3" t="s">
        <v>66290</v>
      </c>
      <c r="M13157" s="4"/>
      <c r="N13157" s="3" t="s">
        <v>37</v>
      </c>
      <c r="O13157" s="3" t="s">
        <v>112</v>
      </c>
      <c r="P13157" s="5">
        <v>9</v>
      </c>
      <c r="Q13157" s="5">
        <v>108</v>
      </c>
      <c r="R13157" s="5">
        <v>11</v>
      </c>
      <c r="S13157" s="5">
        <v>123</v>
      </c>
    </row>
    <row r="13158" spans="1:19" ht="28" x14ac:dyDescent="0.15">
      <c r="A13158" s="2">
        <f>HYPERLINK("https://open-school.uspishnemisto.com.ua/school/630490/", 630490)</f>
        <v>630490</v>
      </c>
      <c r="B13158" s="3" t="s">
        <v>66291</v>
      </c>
      <c r="C13158" s="3" t="s">
        <v>31</v>
      </c>
      <c r="D13158" s="3" t="s">
        <v>32</v>
      </c>
      <c r="E13158" s="4" t="s">
        <v>22</v>
      </c>
      <c r="F13158" s="4" t="s">
        <v>66292</v>
      </c>
      <c r="G13158" s="4" t="s">
        <v>66293</v>
      </c>
      <c r="H13158" s="3" t="s">
        <v>63948</v>
      </c>
      <c r="I13158" s="3" t="s">
        <v>59395</v>
      </c>
      <c r="J13158" s="3" t="s">
        <v>58781</v>
      </c>
      <c r="K13158" s="3" t="s">
        <v>66294</v>
      </c>
      <c r="L13158" s="3"/>
      <c r="M13158" s="4"/>
      <c r="N13158" s="3" t="s">
        <v>37</v>
      </c>
      <c r="O13158" s="3" t="s">
        <v>721</v>
      </c>
      <c r="P13158" s="5">
        <v>9</v>
      </c>
      <c r="Q13158" s="5">
        <v>113</v>
      </c>
      <c r="R13158" s="5">
        <v>10</v>
      </c>
      <c r="S13158" s="5">
        <v>123</v>
      </c>
    </row>
    <row r="13159" spans="1:19" ht="42" x14ac:dyDescent="0.15">
      <c r="A13159" s="2">
        <f>HYPERLINK("https://open-school.uspishnemisto.com.ua/school/630491/", 630491)</f>
        <v>630491</v>
      </c>
      <c r="B13159" s="3" t="s">
        <v>66295</v>
      </c>
      <c r="C13159" s="3" t="s">
        <v>54</v>
      </c>
      <c r="D13159" s="3" t="s">
        <v>60</v>
      </c>
      <c r="E13159" s="4" t="s">
        <v>22</v>
      </c>
      <c r="F13159" s="4" t="s">
        <v>66296</v>
      </c>
      <c r="G13159" s="4" t="s">
        <v>66297</v>
      </c>
      <c r="H13159" s="3" t="s">
        <v>63948</v>
      </c>
      <c r="I13159" s="3" t="s">
        <v>66298</v>
      </c>
      <c r="J13159" s="3" t="s">
        <v>21177</v>
      </c>
      <c r="K13159" s="3" t="s">
        <v>66299</v>
      </c>
      <c r="L13159" s="3"/>
      <c r="M13159" s="4"/>
      <c r="N13159" s="3" t="s">
        <v>37</v>
      </c>
      <c r="O13159" s="3" t="s">
        <v>112</v>
      </c>
      <c r="P13159" s="5">
        <v>3</v>
      </c>
      <c r="Q13159" s="5">
        <v>15</v>
      </c>
      <c r="R13159" s="5">
        <v>3</v>
      </c>
      <c r="S13159" s="5">
        <v>15</v>
      </c>
    </row>
    <row r="13160" spans="1:19" ht="28" x14ac:dyDescent="0.15">
      <c r="A13160" s="2">
        <f>HYPERLINK("https://open-school.uspishnemisto.com.ua/school/630492/", 630492)</f>
        <v>630492</v>
      </c>
      <c r="B13160" s="3" t="s">
        <v>66300</v>
      </c>
      <c r="C13160" s="3" t="s">
        <v>31</v>
      </c>
      <c r="D13160" s="3" t="s">
        <v>32</v>
      </c>
      <c r="E13160" s="4" t="s">
        <v>22</v>
      </c>
      <c r="F13160" s="4" t="s">
        <v>66301</v>
      </c>
      <c r="G13160" s="4" t="s">
        <v>66302</v>
      </c>
      <c r="H13160" s="3" t="s">
        <v>63948</v>
      </c>
      <c r="I13160" s="3" t="s">
        <v>35217</v>
      </c>
      <c r="J13160" s="3" t="s">
        <v>66303</v>
      </c>
      <c r="K13160" s="3" t="s">
        <v>66304</v>
      </c>
      <c r="L13160" s="3" t="s">
        <v>66305</v>
      </c>
      <c r="M13160" s="4"/>
      <c r="N13160" s="3" t="s">
        <v>967</v>
      </c>
      <c r="O13160" s="3" t="s">
        <v>52</v>
      </c>
      <c r="P13160" s="5">
        <v>11</v>
      </c>
      <c r="Q13160" s="5">
        <v>107</v>
      </c>
      <c r="R13160" s="5">
        <v>11</v>
      </c>
      <c r="S13160" s="5">
        <v>97</v>
      </c>
    </row>
    <row r="13161" spans="1:19" ht="28" x14ac:dyDescent="0.15">
      <c r="A13161" s="2">
        <f>HYPERLINK("https://open-school.uspishnemisto.com.ua/school/630493/", 630493)</f>
        <v>630493</v>
      </c>
      <c r="B13161" s="3" t="s">
        <v>66306</v>
      </c>
      <c r="C13161" s="3" t="s">
        <v>31</v>
      </c>
      <c r="D13161" s="3" t="s">
        <v>175</v>
      </c>
      <c r="E13161" s="4" t="s">
        <v>22</v>
      </c>
      <c r="F13161" s="4" t="s">
        <v>66307</v>
      </c>
      <c r="G13161" s="4" t="s">
        <v>66308</v>
      </c>
      <c r="H13161" s="3" t="s">
        <v>63948</v>
      </c>
      <c r="I13161" s="3" t="s">
        <v>15890</v>
      </c>
      <c r="J13161" s="3" t="s">
        <v>66309</v>
      </c>
      <c r="K13161" s="3" t="s">
        <v>66310</v>
      </c>
      <c r="L13161" s="3"/>
      <c r="M13161" s="4"/>
      <c r="N13161" s="3" t="s">
        <v>37</v>
      </c>
      <c r="O13161" s="3" t="s">
        <v>38</v>
      </c>
      <c r="P13161" s="5">
        <v>7</v>
      </c>
      <c r="Q13161" s="5">
        <v>48</v>
      </c>
      <c r="R13161" s="5">
        <v>8</v>
      </c>
      <c r="S13161" s="5">
        <v>53</v>
      </c>
    </row>
    <row r="13162" spans="1:19" ht="28" x14ac:dyDescent="0.15">
      <c r="A13162" s="2">
        <f>HYPERLINK("https://open-school.uspishnemisto.com.ua/school/630494/", 630494)</f>
        <v>630494</v>
      </c>
      <c r="B13162" s="3" t="s">
        <v>66311</v>
      </c>
      <c r="C13162" s="3" t="s">
        <v>31</v>
      </c>
      <c r="D13162" s="3" t="s">
        <v>32</v>
      </c>
      <c r="E13162" s="4" t="s">
        <v>22</v>
      </c>
      <c r="F13162" s="4" t="s">
        <v>66312</v>
      </c>
      <c r="G13162" s="4" t="s">
        <v>66313</v>
      </c>
      <c r="H13162" s="3" t="s">
        <v>63948</v>
      </c>
      <c r="I13162" s="3" t="s">
        <v>66314</v>
      </c>
      <c r="J13162" s="3" t="s">
        <v>66315</v>
      </c>
      <c r="K13162" s="3" t="s">
        <v>66316</v>
      </c>
      <c r="L13162" s="3"/>
      <c r="M13162" s="4"/>
      <c r="N13162" s="3" t="s">
        <v>37</v>
      </c>
      <c r="O13162" s="3" t="s">
        <v>38</v>
      </c>
      <c r="P13162" s="5">
        <v>11</v>
      </c>
      <c r="Q13162" s="5">
        <v>121</v>
      </c>
      <c r="R13162" s="5">
        <v>11</v>
      </c>
      <c r="S13162" s="5">
        <v>124</v>
      </c>
    </row>
    <row r="13163" spans="1:19" ht="28" x14ac:dyDescent="0.15">
      <c r="A13163" s="2">
        <f>HYPERLINK("https://open-school.uspishnemisto.com.ua/school/630495/", 630495)</f>
        <v>630495</v>
      </c>
      <c r="B13163" s="3" t="s">
        <v>66317</v>
      </c>
      <c r="C13163" s="3" t="s">
        <v>31</v>
      </c>
      <c r="D13163" s="3" t="s">
        <v>175</v>
      </c>
      <c r="E13163" s="4" t="s">
        <v>22</v>
      </c>
      <c r="F13163" s="4" t="s">
        <v>66318</v>
      </c>
      <c r="G13163" s="4" t="s">
        <v>66319</v>
      </c>
      <c r="H13163" s="3" t="s">
        <v>63948</v>
      </c>
      <c r="I13163" s="3" t="s">
        <v>66320</v>
      </c>
      <c r="J13163" s="3" t="s">
        <v>66321</v>
      </c>
      <c r="K13163" s="3" t="s">
        <v>66322</v>
      </c>
      <c r="L13163" s="3"/>
      <c r="M13163" s="4"/>
      <c r="N13163" s="3" t="s">
        <v>37</v>
      </c>
      <c r="O13163" s="3" t="s">
        <v>52</v>
      </c>
      <c r="P13163" s="5">
        <v>9</v>
      </c>
      <c r="Q13163" s="5">
        <v>81</v>
      </c>
      <c r="R13163" s="5">
        <v>9</v>
      </c>
      <c r="S13163" s="5">
        <v>87</v>
      </c>
    </row>
    <row r="13164" spans="1:19" ht="28" x14ac:dyDescent="0.15">
      <c r="A13164" s="2">
        <f>HYPERLINK("https://open-school.uspishnemisto.com.ua/school/630496/", 630496)</f>
        <v>630496</v>
      </c>
      <c r="B13164" s="3" t="s">
        <v>66323</v>
      </c>
      <c r="C13164" s="3" t="s">
        <v>31</v>
      </c>
      <c r="D13164" s="3" t="s">
        <v>175</v>
      </c>
      <c r="E13164" s="4" t="s">
        <v>22</v>
      </c>
      <c r="F13164" s="4" t="s">
        <v>66324</v>
      </c>
      <c r="G13164" s="4" t="s">
        <v>66325</v>
      </c>
      <c r="H13164" s="3" t="s">
        <v>63948</v>
      </c>
      <c r="I13164" s="3" t="s">
        <v>45348</v>
      </c>
      <c r="J13164" s="3" t="s">
        <v>24024</v>
      </c>
      <c r="K13164" s="3" t="s">
        <v>66326</v>
      </c>
      <c r="L13164" s="3"/>
      <c r="M13164" s="4"/>
      <c r="N13164" s="3" t="s">
        <v>37</v>
      </c>
      <c r="O13164" s="3" t="s">
        <v>112</v>
      </c>
      <c r="P13164" s="5">
        <v>4</v>
      </c>
      <c r="Q13164" s="5">
        <v>37</v>
      </c>
      <c r="R13164" s="5">
        <v>4</v>
      </c>
      <c r="S13164" s="5">
        <v>37</v>
      </c>
    </row>
    <row r="13165" spans="1:19" ht="28" x14ac:dyDescent="0.15">
      <c r="A13165" s="2">
        <f>HYPERLINK("https://open-school.uspishnemisto.com.ua/school/630497/", 630497)</f>
        <v>630497</v>
      </c>
      <c r="B13165" s="3" t="s">
        <v>66327</v>
      </c>
      <c r="C13165" s="3" t="s">
        <v>20</v>
      </c>
      <c r="D13165" s="3"/>
      <c r="E13165" s="4" t="s">
        <v>22</v>
      </c>
      <c r="F13165" s="4" t="s">
        <v>66328</v>
      </c>
      <c r="G13165" s="4" t="s">
        <v>66329</v>
      </c>
      <c r="H13165" s="3" t="s">
        <v>63948</v>
      </c>
      <c r="I13165" s="3" t="s">
        <v>66330</v>
      </c>
      <c r="J13165" s="3" t="s">
        <v>66331</v>
      </c>
      <c r="K13165" s="3" t="s">
        <v>66332</v>
      </c>
      <c r="L13165" s="3"/>
      <c r="M13165" s="4"/>
      <c r="N13165" s="3"/>
      <c r="O13165" s="3"/>
      <c r="P13165" s="5">
        <v>0</v>
      </c>
      <c r="Q13165" s="5">
        <v>0</v>
      </c>
      <c r="R13165" s="5"/>
      <c r="S13165" s="5"/>
    </row>
    <row r="13166" spans="1:19" ht="28" x14ac:dyDescent="0.15">
      <c r="A13166" s="2">
        <f>HYPERLINK("https://open-school.uspishnemisto.com.ua/school/630498/", 630498)</f>
        <v>630498</v>
      </c>
      <c r="B13166" s="3" t="s">
        <v>66333</v>
      </c>
      <c r="C13166" s="3" t="s">
        <v>40</v>
      </c>
      <c r="D13166" s="3" t="s">
        <v>32</v>
      </c>
      <c r="E13166" s="4" t="s">
        <v>22</v>
      </c>
      <c r="F13166" s="4" t="s">
        <v>66334</v>
      </c>
      <c r="G13166" s="4" t="s">
        <v>66329</v>
      </c>
      <c r="H13166" s="3" t="s">
        <v>63948</v>
      </c>
      <c r="I13166" s="3" t="s">
        <v>66330</v>
      </c>
      <c r="J13166" s="3" t="s">
        <v>66335</v>
      </c>
      <c r="K13166" s="3" t="s">
        <v>66336</v>
      </c>
      <c r="L13166" s="3"/>
      <c r="M13166" s="4" t="s">
        <v>66337</v>
      </c>
      <c r="N13166" s="3" t="s">
        <v>37</v>
      </c>
      <c r="O13166" s="3" t="s">
        <v>38</v>
      </c>
      <c r="P13166" s="5">
        <v>33</v>
      </c>
      <c r="Q13166" s="5">
        <v>943</v>
      </c>
      <c r="R13166" s="5">
        <v>32</v>
      </c>
      <c r="S13166" s="5">
        <v>927</v>
      </c>
    </row>
    <row r="13167" spans="1:19" ht="28" x14ac:dyDescent="0.15">
      <c r="A13167" s="2">
        <f>HYPERLINK("https://open-school.uspishnemisto.com.ua/school/630499/", 630499)</f>
        <v>630499</v>
      </c>
      <c r="B13167" s="3" t="s">
        <v>66338</v>
      </c>
      <c r="C13167" s="3" t="s">
        <v>188</v>
      </c>
      <c r="D13167" s="3" t="s">
        <v>32</v>
      </c>
      <c r="E13167" s="4" t="s">
        <v>22</v>
      </c>
      <c r="F13167" s="4" t="s">
        <v>66339</v>
      </c>
      <c r="G13167" s="4" t="s">
        <v>66329</v>
      </c>
      <c r="H13167" s="3" t="s">
        <v>63948</v>
      </c>
      <c r="I13167" s="3" t="s">
        <v>66330</v>
      </c>
      <c r="J13167" s="3" t="s">
        <v>7057</v>
      </c>
      <c r="K13167" s="3" t="s">
        <v>66340</v>
      </c>
      <c r="L13167" s="3" t="s">
        <v>66341</v>
      </c>
      <c r="M13167" s="4" t="s">
        <v>66342</v>
      </c>
      <c r="N13167" s="3" t="s">
        <v>37</v>
      </c>
      <c r="O13167" s="3" t="s">
        <v>38</v>
      </c>
      <c r="P13167" s="5">
        <v>22</v>
      </c>
      <c r="Q13167" s="5">
        <v>590</v>
      </c>
      <c r="R13167" s="5">
        <v>22</v>
      </c>
      <c r="S13167" s="5">
        <v>566</v>
      </c>
    </row>
    <row r="13168" spans="1:19" ht="42" x14ac:dyDescent="0.15">
      <c r="A13168" s="2">
        <f>HYPERLINK("https://open-school.uspishnemisto.com.ua/school/630500/", 630500)</f>
        <v>630500</v>
      </c>
      <c r="B13168" s="3" t="s">
        <v>66343</v>
      </c>
      <c r="C13168" s="3" t="s">
        <v>54</v>
      </c>
      <c r="D13168" s="3" t="s">
        <v>32</v>
      </c>
      <c r="E13168" s="4" t="s">
        <v>22</v>
      </c>
      <c r="F13168" s="4" t="s">
        <v>66328</v>
      </c>
      <c r="G13168" s="4" t="s">
        <v>66329</v>
      </c>
      <c r="H13168" s="3" t="s">
        <v>63948</v>
      </c>
      <c r="I13168" s="3" t="s">
        <v>66330</v>
      </c>
      <c r="J13168" s="3" t="s">
        <v>66344</v>
      </c>
      <c r="K13168" s="3" t="s">
        <v>66345</v>
      </c>
      <c r="L13168" s="3" t="s">
        <v>66346</v>
      </c>
      <c r="M13168" s="4" t="s">
        <v>66347</v>
      </c>
      <c r="N13168" s="3" t="s">
        <v>37</v>
      </c>
      <c r="O13168" s="3" t="s">
        <v>38</v>
      </c>
      <c r="P13168" s="5">
        <v>16</v>
      </c>
      <c r="Q13168" s="5">
        <v>392</v>
      </c>
      <c r="R13168" s="5">
        <v>15</v>
      </c>
      <c r="S13168" s="5">
        <v>371</v>
      </c>
    </row>
    <row r="13169" spans="1:19" ht="42" x14ac:dyDescent="0.15">
      <c r="A13169" s="2">
        <f>HYPERLINK("https://open-school.uspishnemisto.com.ua/school/630501/", 630501)</f>
        <v>630501</v>
      </c>
      <c r="B13169" s="3" t="s">
        <v>66348</v>
      </c>
      <c r="C13169" s="3" t="s">
        <v>54</v>
      </c>
      <c r="D13169" s="3" t="s">
        <v>60</v>
      </c>
      <c r="E13169" s="4" t="s">
        <v>22</v>
      </c>
      <c r="F13169" s="4" t="s">
        <v>66349</v>
      </c>
      <c r="G13169" s="4" t="s">
        <v>66329</v>
      </c>
      <c r="H13169" s="3" t="s">
        <v>63948</v>
      </c>
      <c r="I13169" s="3" t="s">
        <v>66330</v>
      </c>
      <c r="J13169" s="3" t="s">
        <v>11336</v>
      </c>
      <c r="K13169" s="3" t="s">
        <v>66350</v>
      </c>
      <c r="L13169" s="3"/>
      <c r="M13169" s="4"/>
      <c r="N13169" s="3" t="s">
        <v>37</v>
      </c>
      <c r="O13169" s="3" t="s">
        <v>52</v>
      </c>
      <c r="P13169" s="5">
        <v>4</v>
      </c>
      <c r="Q13169" s="5">
        <v>103</v>
      </c>
      <c r="R13169" s="5">
        <v>4</v>
      </c>
      <c r="S13169" s="5">
        <v>96</v>
      </c>
    </row>
    <row r="13170" spans="1:19" ht="42" x14ac:dyDescent="0.15">
      <c r="A13170" s="2">
        <f>HYPERLINK("https://open-school.uspishnemisto.com.ua/school/630502/", 630502)</f>
        <v>630502</v>
      </c>
      <c r="B13170" s="3" t="s">
        <v>66351</v>
      </c>
      <c r="C13170" s="3" t="s">
        <v>54</v>
      </c>
      <c r="D13170" s="3" t="s">
        <v>32</v>
      </c>
      <c r="E13170" s="4" t="s">
        <v>22</v>
      </c>
      <c r="F13170" s="4" t="s">
        <v>66352</v>
      </c>
      <c r="G13170" s="4" t="s">
        <v>66353</v>
      </c>
      <c r="H13170" s="3" t="s">
        <v>63948</v>
      </c>
      <c r="I13170" s="3" t="s">
        <v>66354</v>
      </c>
      <c r="J13170" s="3" t="s">
        <v>2185</v>
      </c>
      <c r="K13170" s="3" t="s">
        <v>66355</v>
      </c>
      <c r="L13170" s="3" t="s">
        <v>66356</v>
      </c>
      <c r="M13170" s="4"/>
      <c r="N13170" s="3" t="s">
        <v>37</v>
      </c>
      <c r="O13170" s="3" t="s">
        <v>38</v>
      </c>
      <c r="P13170" s="5">
        <v>21</v>
      </c>
      <c r="Q13170" s="5">
        <v>525</v>
      </c>
      <c r="R13170" s="5">
        <v>21</v>
      </c>
      <c r="S13170" s="5">
        <v>502</v>
      </c>
    </row>
    <row r="13171" spans="1:19" ht="42" x14ac:dyDescent="0.15">
      <c r="A13171" s="2">
        <f>HYPERLINK("https://open-school.uspishnemisto.com.ua/school/630503/", 630503)</f>
        <v>630503</v>
      </c>
      <c r="B13171" s="3" t="s">
        <v>66357</v>
      </c>
      <c r="C13171" s="3" t="s">
        <v>54</v>
      </c>
      <c r="D13171" s="3" t="s">
        <v>32</v>
      </c>
      <c r="E13171" s="4" t="s">
        <v>22</v>
      </c>
      <c r="F13171" s="4" t="s">
        <v>66352</v>
      </c>
      <c r="G13171" s="4" t="s">
        <v>66358</v>
      </c>
      <c r="H13171" s="3" t="s">
        <v>63948</v>
      </c>
      <c r="I13171" s="3" t="s">
        <v>66359</v>
      </c>
      <c r="J13171" s="3" t="s">
        <v>66360</v>
      </c>
      <c r="K13171" s="3" t="s">
        <v>66361</v>
      </c>
      <c r="L13171" s="3"/>
      <c r="M13171" s="4"/>
      <c r="N13171" s="3" t="s">
        <v>37</v>
      </c>
      <c r="O13171" s="3" t="s">
        <v>38</v>
      </c>
      <c r="P13171" s="5">
        <v>10</v>
      </c>
      <c r="Q13171" s="5">
        <v>80</v>
      </c>
      <c r="R13171" s="5">
        <v>9</v>
      </c>
      <c r="S13171" s="5">
        <v>78</v>
      </c>
    </row>
    <row r="13172" spans="1:19" ht="28" x14ac:dyDescent="0.15">
      <c r="A13172" s="2">
        <f>HYPERLINK("https://open-school.uspishnemisto.com.ua/school/630504/", 630504)</f>
        <v>630504</v>
      </c>
      <c r="B13172" s="3" t="s">
        <v>66362</v>
      </c>
      <c r="C13172" s="3" t="s">
        <v>188</v>
      </c>
      <c r="D13172" s="3" t="s">
        <v>32</v>
      </c>
      <c r="E13172" s="4" t="s">
        <v>22</v>
      </c>
      <c r="F13172" s="4" t="s">
        <v>66363</v>
      </c>
      <c r="G13172" s="4" t="s">
        <v>66364</v>
      </c>
      <c r="H13172" s="3" t="s">
        <v>63948</v>
      </c>
      <c r="I13172" s="3" t="s">
        <v>66365</v>
      </c>
      <c r="J13172" s="3" t="s">
        <v>66366</v>
      </c>
      <c r="K13172" s="3" t="s">
        <v>66367</v>
      </c>
      <c r="L13172" s="3" t="s">
        <v>66368</v>
      </c>
      <c r="M13172" s="4" t="s">
        <v>66369</v>
      </c>
      <c r="N13172" s="3" t="s">
        <v>37</v>
      </c>
      <c r="O13172" s="3" t="s">
        <v>38</v>
      </c>
      <c r="P13172" s="5">
        <v>20</v>
      </c>
      <c r="Q13172" s="5">
        <v>496</v>
      </c>
      <c r="R13172" s="5">
        <v>20</v>
      </c>
      <c r="S13172" s="5">
        <v>494</v>
      </c>
    </row>
    <row r="13173" spans="1:19" ht="28" x14ac:dyDescent="0.15">
      <c r="A13173" s="2">
        <f>HYPERLINK("https://open-school.uspishnemisto.com.ua/school/630505/", 630505)</f>
        <v>630505</v>
      </c>
      <c r="B13173" s="3" t="s">
        <v>66370</v>
      </c>
      <c r="C13173" s="3" t="s">
        <v>31</v>
      </c>
      <c r="D13173" s="3" t="s">
        <v>32</v>
      </c>
      <c r="E13173" s="4" t="s">
        <v>22</v>
      </c>
      <c r="F13173" s="4" t="s">
        <v>66371</v>
      </c>
      <c r="G13173" s="4" t="s">
        <v>66372</v>
      </c>
      <c r="H13173" s="3" t="s">
        <v>63948</v>
      </c>
      <c r="I13173" s="3" t="s">
        <v>23600</v>
      </c>
      <c r="J13173" s="3" t="s">
        <v>8152</v>
      </c>
      <c r="K13173" s="3" t="s">
        <v>66373</v>
      </c>
      <c r="L13173" s="3"/>
      <c r="M13173" s="4" t="s">
        <v>66374</v>
      </c>
      <c r="N13173" s="3" t="s">
        <v>37</v>
      </c>
      <c r="O13173" s="3" t="s">
        <v>70</v>
      </c>
      <c r="P13173" s="5">
        <v>24</v>
      </c>
      <c r="Q13173" s="5">
        <v>608</v>
      </c>
      <c r="R13173" s="5">
        <v>24</v>
      </c>
      <c r="S13173" s="5">
        <v>610</v>
      </c>
    </row>
    <row r="13174" spans="1:19" ht="42" x14ac:dyDescent="0.15">
      <c r="A13174" s="2">
        <f>HYPERLINK("https://open-school.uspishnemisto.com.ua/school/630506/", 630506)</f>
        <v>630506</v>
      </c>
      <c r="B13174" s="3" t="s">
        <v>66375</v>
      </c>
      <c r="C13174" s="3" t="s">
        <v>54</v>
      </c>
      <c r="D13174" s="3" t="s">
        <v>32</v>
      </c>
      <c r="E13174" s="4" t="s">
        <v>22</v>
      </c>
      <c r="F13174" s="4" t="s">
        <v>66376</v>
      </c>
      <c r="G13174" s="4" t="s">
        <v>66377</v>
      </c>
      <c r="H13174" s="3" t="s">
        <v>63948</v>
      </c>
      <c r="I13174" s="3" t="s">
        <v>66378</v>
      </c>
      <c r="J13174" s="3" t="s">
        <v>66379</v>
      </c>
      <c r="K13174" s="3" t="s">
        <v>66380</v>
      </c>
      <c r="L13174" s="3"/>
      <c r="M13174" s="4" t="s">
        <v>66381</v>
      </c>
      <c r="N13174" s="3" t="s">
        <v>37</v>
      </c>
      <c r="O13174" s="3" t="s">
        <v>38</v>
      </c>
      <c r="P13174" s="5">
        <v>23</v>
      </c>
      <c r="Q13174" s="5">
        <v>566</v>
      </c>
      <c r="R13174" s="5">
        <v>22</v>
      </c>
      <c r="S13174" s="5">
        <v>563</v>
      </c>
    </row>
    <row r="13175" spans="1:19" ht="28" x14ac:dyDescent="0.15">
      <c r="A13175" s="2">
        <f>HYPERLINK("https://open-school.uspishnemisto.com.ua/school/630507/", 630507)</f>
        <v>630507</v>
      </c>
      <c r="B13175" s="3" t="s">
        <v>66382</v>
      </c>
      <c r="C13175" s="3" t="s">
        <v>31</v>
      </c>
      <c r="D13175" s="3" t="s">
        <v>32</v>
      </c>
      <c r="E13175" s="4" t="s">
        <v>22</v>
      </c>
      <c r="F13175" s="4" t="s">
        <v>66383</v>
      </c>
      <c r="G13175" s="4" t="s">
        <v>66384</v>
      </c>
      <c r="H13175" s="3" t="s">
        <v>63948</v>
      </c>
      <c r="I13175" s="3" t="s">
        <v>66385</v>
      </c>
      <c r="J13175" s="3" t="s">
        <v>66386</v>
      </c>
      <c r="K13175" s="3" t="s">
        <v>66387</v>
      </c>
      <c r="L13175" s="3" t="s">
        <v>66388</v>
      </c>
      <c r="M13175" s="4" t="s">
        <v>66389</v>
      </c>
      <c r="N13175" s="3" t="s">
        <v>37</v>
      </c>
      <c r="O13175" s="3" t="s">
        <v>38</v>
      </c>
      <c r="P13175" s="5">
        <v>11</v>
      </c>
      <c r="Q13175" s="5">
        <v>200</v>
      </c>
      <c r="R13175" s="5">
        <v>11</v>
      </c>
      <c r="S13175" s="5">
        <v>205</v>
      </c>
    </row>
    <row r="13176" spans="1:19" ht="42" x14ac:dyDescent="0.15">
      <c r="A13176" s="2">
        <f>HYPERLINK("https://open-school.uspishnemisto.com.ua/school/630508/", 630508)</f>
        <v>630508</v>
      </c>
      <c r="B13176" s="3" t="s">
        <v>66390</v>
      </c>
      <c r="C13176" s="3" t="s">
        <v>54</v>
      </c>
      <c r="D13176" s="3" t="s">
        <v>175</v>
      </c>
      <c r="E13176" s="4" t="s">
        <v>22</v>
      </c>
      <c r="F13176" s="4" t="s">
        <v>66391</v>
      </c>
      <c r="G13176" s="4" t="s">
        <v>66392</v>
      </c>
      <c r="H13176" s="3" t="s">
        <v>63948</v>
      </c>
      <c r="I13176" s="3" t="s">
        <v>66393</v>
      </c>
      <c r="J13176" s="3" t="s">
        <v>466</v>
      </c>
      <c r="K13176" s="3" t="s">
        <v>66394</v>
      </c>
      <c r="L13176" s="3" t="s">
        <v>66395</v>
      </c>
      <c r="M13176" s="4"/>
      <c r="N13176" s="3" t="s">
        <v>37</v>
      </c>
      <c r="O13176" s="3" t="s">
        <v>38</v>
      </c>
      <c r="P13176" s="5">
        <v>9</v>
      </c>
      <c r="Q13176" s="5">
        <v>99</v>
      </c>
      <c r="R13176" s="5">
        <v>9</v>
      </c>
      <c r="S13176" s="5">
        <v>88</v>
      </c>
    </row>
    <row r="13177" spans="1:19" ht="42" x14ac:dyDescent="0.15">
      <c r="A13177" s="2">
        <f>HYPERLINK("https://open-school.uspishnemisto.com.ua/school/630509/", 630509)</f>
        <v>630509</v>
      </c>
      <c r="B13177" s="3" t="s">
        <v>66396</v>
      </c>
      <c r="C13177" s="3" t="s">
        <v>54</v>
      </c>
      <c r="D13177" s="3" t="s">
        <v>32</v>
      </c>
      <c r="E13177" s="4" t="s">
        <v>22</v>
      </c>
      <c r="F13177" s="4" t="s">
        <v>66397</v>
      </c>
      <c r="G13177" s="4" t="s">
        <v>66398</v>
      </c>
      <c r="H13177" s="3" t="s">
        <v>63948</v>
      </c>
      <c r="I13177" s="3" t="s">
        <v>66399</v>
      </c>
      <c r="J13177" s="3" t="s">
        <v>10830</v>
      </c>
      <c r="K13177" s="3" t="s">
        <v>66400</v>
      </c>
      <c r="L13177" s="3"/>
      <c r="M13177" s="4" t="s">
        <v>66401</v>
      </c>
      <c r="N13177" s="3" t="s">
        <v>37</v>
      </c>
      <c r="O13177" s="3" t="s">
        <v>38</v>
      </c>
      <c r="P13177" s="5">
        <v>21</v>
      </c>
      <c r="Q13177" s="5">
        <v>455</v>
      </c>
      <c r="R13177" s="5">
        <v>21</v>
      </c>
      <c r="S13177" s="5">
        <v>467</v>
      </c>
    </row>
    <row r="13178" spans="1:19" ht="28" x14ac:dyDescent="0.15">
      <c r="A13178" s="2">
        <f>HYPERLINK("https://open-school.uspishnemisto.com.ua/school/630510/", 630510)</f>
        <v>630510</v>
      </c>
      <c r="B13178" s="3" t="s">
        <v>66402</v>
      </c>
      <c r="C13178" s="3" t="s">
        <v>40</v>
      </c>
      <c r="D13178" s="3" t="s">
        <v>32</v>
      </c>
      <c r="E13178" s="4" t="s">
        <v>22</v>
      </c>
      <c r="F13178" s="4" t="s">
        <v>66403</v>
      </c>
      <c r="G13178" s="4" t="s">
        <v>66404</v>
      </c>
      <c r="H13178" s="3" t="s">
        <v>63948</v>
      </c>
      <c r="I13178" s="3" t="s">
        <v>66405</v>
      </c>
      <c r="J13178" s="3" t="s">
        <v>66406</v>
      </c>
      <c r="K13178" s="3" t="s">
        <v>66407</v>
      </c>
      <c r="L13178" s="3"/>
      <c r="M13178" s="4" t="s">
        <v>66408</v>
      </c>
      <c r="N13178" s="3" t="s">
        <v>37</v>
      </c>
      <c r="O13178" s="3" t="s">
        <v>38</v>
      </c>
      <c r="P13178" s="5">
        <v>21</v>
      </c>
      <c r="Q13178" s="5">
        <v>573</v>
      </c>
      <c r="R13178" s="5">
        <v>20</v>
      </c>
      <c r="S13178" s="5">
        <v>539</v>
      </c>
    </row>
    <row r="13179" spans="1:19" ht="28" x14ac:dyDescent="0.15">
      <c r="A13179" s="2">
        <f>HYPERLINK("https://open-school.uspishnemisto.com.ua/school/630511/", 630511)</f>
        <v>630511</v>
      </c>
      <c r="B13179" s="3" t="s">
        <v>66409</v>
      </c>
      <c r="C13179" s="3" t="s">
        <v>31</v>
      </c>
      <c r="D13179" s="3" t="s">
        <v>32</v>
      </c>
      <c r="E13179" s="4" t="s">
        <v>22</v>
      </c>
      <c r="F13179" s="4" t="s">
        <v>66410</v>
      </c>
      <c r="G13179" s="4" t="s">
        <v>66404</v>
      </c>
      <c r="H13179" s="3" t="s">
        <v>63948</v>
      </c>
      <c r="I13179" s="3" t="s">
        <v>66405</v>
      </c>
      <c r="J13179" s="3" t="s">
        <v>11194</v>
      </c>
      <c r="K13179" s="3" t="s">
        <v>66411</v>
      </c>
      <c r="L13179" s="3" t="s">
        <v>66412</v>
      </c>
      <c r="M13179" s="4"/>
      <c r="N13179" s="3" t="s">
        <v>37</v>
      </c>
      <c r="O13179" s="3" t="s">
        <v>38</v>
      </c>
      <c r="P13179" s="5">
        <v>13</v>
      </c>
      <c r="Q13179" s="5">
        <v>335</v>
      </c>
      <c r="R13179" s="5">
        <v>13</v>
      </c>
      <c r="S13179" s="5">
        <v>302</v>
      </c>
    </row>
    <row r="13180" spans="1:19" ht="28" x14ac:dyDescent="0.15">
      <c r="A13180" s="2">
        <f>HYPERLINK("https://open-school.uspishnemisto.com.ua/school/630512/", 630512)</f>
        <v>630512</v>
      </c>
      <c r="B13180" s="3" t="s">
        <v>66413</v>
      </c>
      <c r="C13180" s="3" t="s">
        <v>2128</v>
      </c>
      <c r="D13180" s="3" t="s">
        <v>32</v>
      </c>
      <c r="E13180" s="4" t="s">
        <v>22</v>
      </c>
      <c r="F13180" s="4" t="s">
        <v>66403</v>
      </c>
      <c r="G13180" s="4" t="s">
        <v>66404</v>
      </c>
      <c r="H13180" s="3" t="s">
        <v>63948</v>
      </c>
      <c r="I13180" s="3" t="s">
        <v>66405</v>
      </c>
      <c r="J13180" s="3" t="s">
        <v>66414</v>
      </c>
      <c r="K13180" s="3" t="s">
        <v>66415</v>
      </c>
      <c r="L13180" s="3" t="s">
        <v>66416</v>
      </c>
      <c r="M13180" s="4"/>
      <c r="N13180" s="3" t="s">
        <v>37</v>
      </c>
      <c r="O13180" s="3" t="s">
        <v>2740</v>
      </c>
      <c r="P13180" s="5">
        <v>26</v>
      </c>
      <c r="Q13180" s="5">
        <v>643</v>
      </c>
      <c r="R13180" s="5">
        <v>27</v>
      </c>
      <c r="S13180" s="5">
        <v>653</v>
      </c>
    </row>
    <row r="13181" spans="1:19" ht="70" x14ac:dyDescent="0.15">
      <c r="A13181" s="2">
        <f>HYPERLINK("https://open-school.uspishnemisto.com.ua/school/630513/", 630513)</f>
        <v>630513</v>
      </c>
      <c r="B13181" s="3" t="s">
        <v>66417</v>
      </c>
      <c r="C13181" s="3" t="s">
        <v>54</v>
      </c>
      <c r="D13181" s="3" t="s">
        <v>32</v>
      </c>
      <c r="E13181" s="4" t="s">
        <v>22</v>
      </c>
      <c r="F13181" s="4" t="s">
        <v>66403</v>
      </c>
      <c r="G13181" s="4" t="s">
        <v>66404</v>
      </c>
      <c r="H13181" s="3" t="s">
        <v>63948</v>
      </c>
      <c r="I13181" s="3" t="s">
        <v>66405</v>
      </c>
      <c r="J13181" s="3" t="s">
        <v>66418</v>
      </c>
      <c r="K13181" s="3" t="s">
        <v>66419</v>
      </c>
      <c r="L13181" s="3"/>
      <c r="M13181" s="4"/>
      <c r="N13181" s="3" t="s">
        <v>37</v>
      </c>
      <c r="O13181" s="3" t="s">
        <v>46</v>
      </c>
      <c r="P13181" s="5">
        <v>5</v>
      </c>
      <c r="Q13181" s="5">
        <v>149</v>
      </c>
      <c r="R13181" s="5">
        <v>5</v>
      </c>
      <c r="S13181" s="5">
        <v>119</v>
      </c>
    </row>
    <row r="13182" spans="1:19" ht="28" x14ac:dyDescent="0.15">
      <c r="A13182" s="2">
        <f>HYPERLINK("https://open-school.uspishnemisto.com.ua/school/630514/", 630514)</f>
        <v>630514</v>
      </c>
      <c r="B13182" s="3" t="s">
        <v>66420</v>
      </c>
      <c r="C13182" s="3" t="s">
        <v>31</v>
      </c>
      <c r="D13182" s="3" t="s">
        <v>21</v>
      </c>
      <c r="E13182" s="4" t="s">
        <v>253</v>
      </c>
      <c r="F13182" s="4" t="s">
        <v>66421</v>
      </c>
      <c r="G13182" s="4" t="s">
        <v>66422</v>
      </c>
      <c r="H13182" s="3" t="s">
        <v>63948</v>
      </c>
      <c r="I13182" s="3" t="s">
        <v>66423</v>
      </c>
      <c r="J13182" s="3" t="s">
        <v>66424</v>
      </c>
      <c r="K13182" s="3" t="s">
        <v>66425</v>
      </c>
      <c r="L13182" s="3"/>
      <c r="M13182" s="4"/>
      <c r="N13182" s="3" t="s">
        <v>37</v>
      </c>
      <c r="O13182" s="3" t="s">
        <v>52</v>
      </c>
      <c r="P13182" s="5">
        <v>4</v>
      </c>
      <c r="Q13182" s="5">
        <v>41</v>
      </c>
      <c r="R13182" s="5">
        <v>5</v>
      </c>
      <c r="S13182" s="5">
        <v>53</v>
      </c>
    </row>
    <row r="13183" spans="1:19" ht="28" x14ac:dyDescent="0.15">
      <c r="A13183" s="2">
        <f>HYPERLINK("https://open-school.uspishnemisto.com.ua/school/630515/", 630515)</f>
        <v>630515</v>
      </c>
      <c r="B13183" s="3" t="s">
        <v>66426</v>
      </c>
      <c r="C13183" s="3" t="s">
        <v>54</v>
      </c>
      <c r="D13183" s="3" t="s">
        <v>32</v>
      </c>
      <c r="E13183" s="4" t="s">
        <v>22</v>
      </c>
      <c r="F13183" s="4" t="s">
        <v>66421</v>
      </c>
      <c r="G13183" s="4" t="s">
        <v>66422</v>
      </c>
      <c r="H13183" s="3" t="s">
        <v>63948</v>
      </c>
      <c r="I13183" s="3" t="s">
        <v>66423</v>
      </c>
      <c r="J13183" s="3" t="s">
        <v>66427</v>
      </c>
      <c r="K13183" s="3" t="s">
        <v>66428</v>
      </c>
      <c r="L13183" s="3" t="s">
        <v>66429</v>
      </c>
      <c r="M13183" s="4"/>
      <c r="N13183" s="3" t="s">
        <v>128</v>
      </c>
      <c r="O13183" s="3" t="s">
        <v>721</v>
      </c>
      <c r="P13183" s="5">
        <v>13</v>
      </c>
      <c r="Q13183" s="5">
        <v>251</v>
      </c>
      <c r="R13183" s="5">
        <v>13</v>
      </c>
      <c r="S13183" s="5">
        <v>252</v>
      </c>
    </row>
    <row r="13184" spans="1:19" ht="42" x14ac:dyDescent="0.15">
      <c r="A13184" s="2">
        <f>HYPERLINK("https://open-school.uspishnemisto.com.ua/school/630516/", 630516)</f>
        <v>630516</v>
      </c>
      <c r="B13184" s="3" t="s">
        <v>66430</v>
      </c>
      <c r="C13184" s="3" t="s">
        <v>54</v>
      </c>
      <c r="D13184" s="3" t="s">
        <v>32</v>
      </c>
      <c r="E13184" s="4" t="s">
        <v>22</v>
      </c>
      <c r="F13184" s="4" t="s">
        <v>66431</v>
      </c>
      <c r="G13184" s="4" t="s">
        <v>66432</v>
      </c>
      <c r="H13184" s="3" t="s">
        <v>63948</v>
      </c>
      <c r="I13184" s="3" t="s">
        <v>66433</v>
      </c>
      <c r="J13184" s="3" t="s">
        <v>4442</v>
      </c>
      <c r="K13184" s="3" t="s">
        <v>66434</v>
      </c>
      <c r="L13184" s="3"/>
      <c r="M13184" s="4"/>
      <c r="N13184" s="3" t="s">
        <v>37</v>
      </c>
      <c r="O13184" s="3" t="s">
        <v>38</v>
      </c>
      <c r="P13184" s="5">
        <v>11</v>
      </c>
      <c r="Q13184" s="5">
        <v>221</v>
      </c>
      <c r="R13184" s="5">
        <v>11</v>
      </c>
      <c r="S13184" s="5">
        <v>223</v>
      </c>
    </row>
    <row r="13185" spans="1:19" ht="28" x14ac:dyDescent="0.15">
      <c r="A13185" s="2">
        <f>HYPERLINK("https://open-school.uspishnemisto.com.ua/school/630517/", 630517)</f>
        <v>630517</v>
      </c>
      <c r="B13185" s="3" t="s">
        <v>66435</v>
      </c>
      <c r="C13185" s="3" t="s">
        <v>31</v>
      </c>
      <c r="D13185" s="3" t="s">
        <v>32</v>
      </c>
      <c r="E13185" s="4" t="s">
        <v>22</v>
      </c>
      <c r="F13185" s="4" t="s">
        <v>66436</v>
      </c>
      <c r="G13185" s="4" t="s">
        <v>66437</v>
      </c>
      <c r="H13185" s="3" t="s">
        <v>63948</v>
      </c>
      <c r="I13185" s="3" t="s">
        <v>66438</v>
      </c>
      <c r="J13185" s="3" t="s">
        <v>2687</v>
      </c>
      <c r="K13185" s="3" t="s">
        <v>66439</v>
      </c>
      <c r="L13185" s="3" t="s">
        <v>66440</v>
      </c>
      <c r="M13185" s="4"/>
      <c r="N13185" s="3" t="s">
        <v>37</v>
      </c>
      <c r="O13185" s="3" t="s">
        <v>70</v>
      </c>
      <c r="P13185" s="5">
        <v>12</v>
      </c>
      <c r="Q13185" s="5">
        <v>233</v>
      </c>
      <c r="R13185" s="5">
        <v>12</v>
      </c>
      <c r="S13185" s="5">
        <v>227</v>
      </c>
    </row>
    <row r="13186" spans="1:19" ht="42" x14ac:dyDescent="0.15">
      <c r="A13186" s="2">
        <f>HYPERLINK("https://open-school.uspishnemisto.com.ua/school/630518/", 630518)</f>
        <v>630518</v>
      </c>
      <c r="B13186" s="3" t="s">
        <v>66441</v>
      </c>
      <c r="C13186" s="3" t="s">
        <v>54</v>
      </c>
      <c r="D13186" s="3" t="s">
        <v>175</v>
      </c>
      <c r="E13186" s="4" t="s">
        <v>22</v>
      </c>
      <c r="F13186" s="4" t="s">
        <v>66442</v>
      </c>
      <c r="G13186" s="4" t="s">
        <v>66443</v>
      </c>
      <c r="H13186" s="3" t="s">
        <v>63948</v>
      </c>
      <c r="I13186" s="3" t="s">
        <v>66444</v>
      </c>
      <c r="J13186" s="3" t="s">
        <v>66445</v>
      </c>
      <c r="K13186" s="3" t="s">
        <v>66446</v>
      </c>
      <c r="L13186" s="3" t="s">
        <v>66447</v>
      </c>
      <c r="M13186" s="4"/>
      <c r="N13186" s="3" t="s">
        <v>37</v>
      </c>
      <c r="O13186" s="3" t="s">
        <v>38</v>
      </c>
      <c r="P13186" s="5">
        <v>9</v>
      </c>
      <c r="Q13186" s="5">
        <v>50</v>
      </c>
      <c r="R13186" s="5">
        <v>9</v>
      </c>
      <c r="S13186" s="5">
        <v>46</v>
      </c>
    </row>
    <row r="13187" spans="1:19" ht="42" x14ac:dyDescent="0.15">
      <c r="A13187" s="2">
        <f>HYPERLINK("https://open-school.uspishnemisto.com.ua/school/630519/", 630519)</f>
        <v>630519</v>
      </c>
      <c r="B13187" s="3" t="s">
        <v>66448</v>
      </c>
      <c r="C13187" s="3" t="s">
        <v>54</v>
      </c>
      <c r="D13187" s="3" t="s">
        <v>32</v>
      </c>
      <c r="E13187" s="4" t="s">
        <v>22</v>
      </c>
      <c r="F13187" s="4" t="s">
        <v>66449</v>
      </c>
      <c r="G13187" s="4" t="s">
        <v>66450</v>
      </c>
      <c r="H13187" s="3" t="s">
        <v>63948</v>
      </c>
      <c r="I13187" s="3" t="s">
        <v>34829</v>
      </c>
      <c r="J13187" s="3" t="s">
        <v>25980</v>
      </c>
      <c r="K13187" s="3" t="s">
        <v>66451</v>
      </c>
      <c r="L13187" s="3" t="s">
        <v>66452</v>
      </c>
      <c r="M13187" s="4"/>
      <c r="N13187" s="3" t="s">
        <v>37</v>
      </c>
      <c r="O13187" s="3" t="s">
        <v>38</v>
      </c>
      <c r="P13187" s="5">
        <v>8</v>
      </c>
      <c r="Q13187" s="5">
        <v>82</v>
      </c>
      <c r="R13187" s="5">
        <v>9</v>
      </c>
      <c r="S13187" s="5">
        <v>98</v>
      </c>
    </row>
    <row r="13188" spans="1:19" ht="42" x14ac:dyDescent="0.15">
      <c r="A13188" s="2">
        <f>HYPERLINK("https://open-school.uspishnemisto.com.ua/school/630520/", 630520)</f>
        <v>630520</v>
      </c>
      <c r="B13188" s="3" t="s">
        <v>66453</v>
      </c>
      <c r="C13188" s="3" t="s">
        <v>54</v>
      </c>
      <c r="D13188" s="3" t="s">
        <v>32</v>
      </c>
      <c r="E13188" s="4" t="s">
        <v>22</v>
      </c>
      <c r="F13188" s="4" t="s">
        <v>66454</v>
      </c>
      <c r="G13188" s="4" t="s">
        <v>66455</v>
      </c>
      <c r="H13188" s="3" t="s">
        <v>63948</v>
      </c>
      <c r="I13188" s="3" t="s">
        <v>66456</v>
      </c>
      <c r="J13188" s="3" t="s">
        <v>66457</v>
      </c>
      <c r="K13188" s="3" t="s">
        <v>66458</v>
      </c>
      <c r="L13188" s="3" t="s">
        <v>66459</v>
      </c>
      <c r="M13188" s="4"/>
      <c r="N13188" s="3" t="s">
        <v>128</v>
      </c>
      <c r="O13188" s="3" t="s">
        <v>38</v>
      </c>
      <c r="P13188" s="5">
        <v>11</v>
      </c>
      <c r="Q13188" s="5">
        <v>88</v>
      </c>
      <c r="R13188" s="5">
        <v>11</v>
      </c>
      <c r="S13188" s="5">
        <v>87</v>
      </c>
    </row>
    <row r="13189" spans="1:19" ht="42" x14ac:dyDescent="0.15">
      <c r="A13189" s="2">
        <f>HYPERLINK("https://open-school.uspishnemisto.com.ua/school/630521/", 630521)</f>
        <v>630521</v>
      </c>
      <c r="B13189" s="3" t="s">
        <v>66460</v>
      </c>
      <c r="C13189" s="3" t="s">
        <v>54</v>
      </c>
      <c r="D13189" s="3" t="s">
        <v>32</v>
      </c>
      <c r="E13189" s="4" t="s">
        <v>22</v>
      </c>
      <c r="F13189" s="4" t="s">
        <v>66461</v>
      </c>
      <c r="G13189" s="4" t="s">
        <v>66462</v>
      </c>
      <c r="H13189" s="3" t="s">
        <v>63948</v>
      </c>
      <c r="I13189" s="3" t="s">
        <v>66463</v>
      </c>
      <c r="J13189" s="3" t="s">
        <v>66464</v>
      </c>
      <c r="K13189" s="3" t="s">
        <v>66465</v>
      </c>
      <c r="L13189" s="3"/>
      <c r="M13189" s="4" t="s">
        <v>66466</v>
      </c>
      <c r="N13189" s="3" t="s">
        <v>128</v>
      </c>
      <c r="O13189" s="3" t="s">
        <v>38</v>
      </c>
      <c r="P13189" s="5">
        <v>14</v>
      </c>
      <c r="Q13189" s="5">
        <v>270</v>
      </c>
      <c r="R13189" s="5">
        <v>13</v>
      </c>
      <c r="S13189" s="5">
        <v>242</v>
      </c>
    </row>
    <row r="13190" spans="1:19" ht="42" x14ac:dyDescent="0.15">
      <c r="A13190" s="2">
        <f>HYPERLINK("https://open-school.uspishnemisto.com.ua/school/630522/", 630522)</f>
        <v>630522</v>
      </c>
      <c r="B13190" s="3" t="s">
        <v>66467</v>
      </c>
      <c r="C13190" s="3" t="s">
        <v>54</v>
      </c>
      <c r="D13190" s="3" t="s">
        <v>32</v>
      </c>
      <c r="E13190" s="4" t="s">
        <v>22</v>
      </c>
      <c r="F13190" s="4" t="s">
        <v>66468</v>
      </c>
      <c r="G13190" s="4" t="s">
        <v>66469</v>
      </c>
      <c r="H13190" s="3" t="s">
        <v>63948</v>
      </c>
      <c r="I13190" s="3" t="s">
        <v>66470</v>
      </c>
      <c r="J13190" s="3" t="s">
        <v>3363</v>
      </c>
      <c r="K13190" s="3" t="s">
        <v>66471</v>
      </c>
      <c r="L13190" s="3" t="s">
        <v>66472</v>
      </c>
      <c r="M13190" s="4"/>
      <c r="N13190" s="3" t="s">
        <v>128</v>
      </c>
      <c r="O13190" s="3" t="s">
        <v>38</v>
      </c>
      <c r="P13190" s="5">
        <v>10</v>
      </c>
      <c r="Q13190" s="5">
        <v>102</v>
      </c>
      <c r="R13190" s="5">
        <v>10</v>
      </c>
      <c r="S13190" s="5">
        <v>104</v>
      </c>
    </row>
    <row r="13191" spans="1:19" ht="28" x14ac:dyDescent="0.15">
      <c r="A13191" s="2">
        <f>HYPERLINK("https://open-school.uspishnemisto.com.ua/school/630523/", 630523)</f>
        <v>630523</v>
      </c>
      <c r="B13191" s="3" t="s">
        <v>66473</v>
      </c>
      <c r="C13191" s="3" t="s">
        <v>31</v>
      </c>
      <c r="D13191" s="3" t="s">
        <v>32</v>
      </c>
      <c r="E13191" s="4" t="s">
        <v>22</v>
      </c>
      <c r="F13191" s="4" t="s">
        <v>66474</v>
      </c>
      <c r="G13191" s="4" t="s">
        <v>66475</v>
      </c>
      <c r="H13191" s="3" t="s">
        <v>63948</v>
      </c>
      <c r="I13191" s="3" t="s">
        <v>66476</v>
      </c>
      <c r="J13191" s="3" t="s">
        <v>66477</v>
      </c>
      <c r="K13191" s="3" t="s">
        <v>66478</v>
      </c>
      <c r="L13191" s="3"/>
      <c r="M13191" s="4"/>
      <c r="N13191" s="3" t="s">
        <v>37</v>
      </c>
      <c r="O13191" s="3" t="s">
        <v>38</v>
      </c>
      <c r="P13191" s="5">
        <v>11</v>
      </c>
      <c r="Q13191" s="5">
        <v>201</v>
      </c>
      <c r="R13191" s="5">
        <v>11</v>
      </c>
      <c r="S13191" s="5">
        <v>202</v>
      </c>
    </row>
    <row r="13192" spans="1:19" ht="28" x14ac:dyDescent="0.15">
      <c r="A13192" s="2">
        <f>HYPERLINK("https://open-school.uspishnemisto.com.ua/school/630524/", 630524)</f>
        <v>630524</v>
      </c>
      <c r="B13192" s="3" t="s">
        <v>66479</v>
      </c>
      <c r="C13192" s="3" t="s">
        <v>31</v>
      </c>
      <c r="D13192" s="3" t="s">
        <v>32</v>
      </c>
      <c r="E13192" s="4" t="s">
        <v>22</v>
      </c>
      <c r="F13192" s="4" t="s">
        <v>66480</v>
      </c>
      <c r="G13192" s="4" t="s">
        <v>66481</v>
      </c>
      <c r="H13192" s="3" t="s">
        <v>63948</v>
      </c>
      <c r="I13192" s="3" t="s">
        <v>53178</v>
      </c>
      <c r="J13192" s="3" t="s">
        <v>10823</v>
      </c>
      <c r="K13192" s="3" t="s">
        <v>66482</v>
      </c>
      <c r="L13192" s="3"/>
      <c r="M13192" s="4"/>
      <c r="N13192" s="3" t="s">
        <v>128</v>
      </c>
      <c r="O13192" s="3" t="s">
        <v>70</v>
      </c>
      <c r="P13192" s="5">
        <v>39</v>
      </c>
      <c r="Q13192" s="5">
        <v>679</v>
      </c>
      <c r="R13192" s="5">
        <v>22</v>
      </c>
      <c r="S13192" s="5">
        <v>545</v>
      </c>
    </row>
    <row r="13193" spans="1:19" ht="56" x14ac:dyDescent="0.15">
      <c r="A13193" s="2">
        <f>HYPERLINK("https://open-school.uspishnemisto.com.ua/school/630525/", 630525)</f>
        <v>630525</v>
      </c>
      <c r="B13193" s="3" t="s">
        <v>66483</v>
      </c>
      <c r="C13193" s="3" t="s">
        <v>54</v>
      </c>
      <c r="D13193" s="3" t="s">
        <v>32</v>
      </c>
      <c r="E13193" s="4" t="s">
        <v>22</v>
      </c>
      <c r="F13193" s="4" t="s">
        <v>66484</v>
      </c>
      <c r="G13193" s="4" t="s">
        <v>66485</v>
      </c>
      <c r="H13193" s="3" t="s">
        <v>63948</v>
      </c>
      <c r="I13193" s="3" t="s">
        <v>66486</v>
      </c>
      <c r="J13193" s="3" t="s">
        <v>66487</v>
      </c>
      <c r="K13193" s="3" t="s">
        <v>66488</v>
      </c>
      <c r="L13193" s="3" t="s">
        <v>66489</v>
      </c>
      <c r="M13193" s="4"/>
      <c r="N13193" s="3" t="s">
        <v>37</v>
      </c>
      <c r="O13193" s="3" t="s">
        <v>38</v>
      </c>
      <c r="P13193" s="5">
        <v>11</v>
      </c>
      <c r="Q13193" s="5">
        <v>103</v>
      </c>
      <c r="R13193" s="5">
        <v>11</v>
      </c>
      <c r="S13193" s="5">
        <v>107</v>
      </c>
    </row>
    <row r="13194" spans="1:19" ht="28" x14ac:dyDescent="0.15">
      <c r="A13194" s="2">
        <f>HYPERLINK("https://open-school.uspishnemisto.com.ua/school/630527/", 630527)</f>
        <v>630527</v>
      </c>
      <c r="B13194" s="3" t="s">
        <v>66490</v>
      </c>
      <c r="C13194" s="3" t="s">
        <v>31</v>
      </c>
      <c r="D13194" s="3" t="s">
        <v>175</v>
      </c>
      <c r="E13194" s="4" t="s">
        <v>22</v>
      </c>
      <c r="F13194" s="4" t="s">
        <v>66491</v>
      </c>
      <c r="G13194" s="4" t="s">
        <v>66492</v>
      </c>
      <c r="H13194" s="3" t="s">
        <v>63948</v>
      </c>
      <c r="I13194" s="3" t="s">
        <v>66493</v>
      </c>
      <c r="J13194" s="3"/>
      <c r="K13194" s="3" t="s">
        <v>66494</v>
      </c>
      <c r="L13194" s="3"/>
      <c r="M13194" s="4"/>
      <c r="N13194" s="3" t="s">
        <v>967</v>
      </c>
      <c r="O13194" s="3" t="s">
        <v>52</v>
      </c>
      <c r="P13194" s="5">
        <v>7</v>
      </c>
      <c r="Q13194" s="5">
        <v>53</v>
      </c>
      <c r="R13194" s="5">
        <v>7</v>
      </c>
      <c r="S13194" s="5">
        <v>46</v>
      </c>
    </row>
    <row r="13195" spans="1:19" ht="28" x14ac:dyDescent="0.15">
      <c r="A13195" s="2">
        <f>HYPERLINK("https://open-school.uspishnemisto.com.ua/school/630528/", 630528)</f>
        <v>630528</v>
      </c>
      <c r="B13195" s="3" t="s">
        <v>66495</v>
      </c>
      <c r="C13195" s="3" t="s">
        <v>31</v>
      </c>
      <c r="D13195" s="3" t="s">
        <v>32</v>
      </c>
      <c r="E13195" s="4" t="s">
        <v>22</v>
      </c>
      <c r="F13195" s="4" t="s">
        <v>66496</v>
      </c>
      <c r="G13195" s="4" t="s">
        <v>66497</v>
      </c>
      <c r="H13195" s="3" t="s">
        <v>63948</v>
      </c>
      <c r="I13195" s="3" t="s">
        <v>1740</v>
      </c>
      <c r="J13195" s="3" t="s">
        <v>66498</v>
      </c>
      <c r="K13195" s="3" t="s">
        <v>66499</v>
      </c>
      <c r="L13195" s="3" t="s">
        <v>66500</v>
      </c>
      <c r="M13195" s="4"/>
      <c r="N13195" s="3" t="s">
        <v>37</v>
      </c>
      <c r="O13195" s="3" t="s">
        <v>38</v>
      </c>
      <c r="P13195" s="5">
        <v>11</v>
      </c>
      <c r="Q13195" s="5">
        <v>150</v>
      </c>
      <c r="R13195" s="5">
        <v>11</v>
      </c>
      <c r="S13195" s="5">
        <v>164</v>
      </c>
    </row>
    <row r="13196" spans="1:19" ht="28" x14ac:dyDescent="0.15">
      <c r="A13196" s="2">
        <f>HYPERLINK("https://open-school.uspishnemisto.com.ua/school/630529/", 630529)</f>
        <v>630529</v>
      </c>
      <c r="B13196" s="3" t="s">
        <v>66501</v>
      </c>
      <c r="C13196" s="3" t="s">
        <v>31</v>
      </c>
      <c r="D13196" s="3" t="s">
        <v>32</v>
      </c>
      <c r="E13196" s="4" t="s">
        <v>22</v>
      </c>
      <c r="F13196" s="4" t="s">
        <v>66502</v>
      </c>
      <c r="G13196" s="4" t="s">
        <v>66503</v>
      </c>
      <c r="H13196" s="3" t="s">
        <v>63948</v>
      </c>
      <c r="I13196" s="3" t="s">
        <v>66504</v>
      </c>
      <c r="J13196" s="3" t="s">
        <v>1417</v>
      </c>
      <c r="K13196" s="3" t="s">
        <v>66505</v>
      </c>
      <c r="L13196" s="3"/>
      <c r="M13196" s="4"/>
      <c r="N13196" s="3" t="s">
        <v>37</v>
      </c>
      <c r="O13196" s="3" t="s">
        <v>70</v>
      </c>
      <c r="P13196" s="5">
        <v>11</v>
      </c>
      <c r="Q13196" s="5">
        <v>98</v>
      </c>
      <c r="R13196" s="5">
        <v>10</v>
      </c>
      <c r="S13196" s="5">
        <v>91</v>
      </c>
    </row>
    <row r="13197" spans="1:19" ht="28" x14ac:dyDescent="0.15">
      <c r="A13197" s="2">
        <f>HYPERLINK("https://open-school.uspishnemisto.com.ua/school/630530/", 630530)</f>
        <v>630530</v>
      </c>
      <c r="B13197" s="3" t="s">
        <v>66506</v>
      </c>
      <c r="C13197" s="3" t="s">
        <v>31</v>
      </c>
      <c r="D13197" s="3" t="s">
        <v>32</v>
      </c>
      <c r="E13197" s="4" t="s">
        <v>22</v>
      </c>
      <c r="F13197" s="4" t="s">
        <v>66507</v>
      </c>
      <c r="G13197" s="4" t="s">
        <v>66508</v>
      </c>
      <c r="H13197" s="3" t="s">
        <v>63948</v>
      </c>
      <c r="I13197" s="3" t="s">
        <v>66509</v>
      </c>
      <c r="J13197" s="3" t="s">
        <v>66510</v>
      </c>
      <c r="K13197" s="3" t="s">
        <v>66511</v>
      </c>
      <c r="L13197" s="3"/>
      <c r="M13197" s="4"/>
      <c r="N13197" s="3" t="s">
        <v>37</v>
      </c>
      <c r="O13197" s="3" t="s">
        <v>38</v>
      </c>
      <c r="P13197" s="5">
        <v>11</v>
      </c>
      <c r="Q13197" s="5">
        <v>95</v>
      </c>
      <c r="R13197" s="5">
        <v>10</v>
      </c>
      <c r="S13197" s="5">
        <v>92</v>
      </c>
    </row>
    <row r="13198" spans="1:19" ht="28" x14ac:dyDescent="0.15">
      <c r="A13198" s="2">
        <f>HYPERLINK("https://open-school.uspishnemisto.com.ua/school/630531/", 630531)</f>
        <v>630531</v>
      </c>
      <c r="B13198" s="3" t="s">
        <v>66512</v>
      </c>
      <c r="C13198" s="3" t="s">
        <v>31</v>
      </c>
      <c r="D13198" s="3" t="s">
        <v>32</v>
      </c>
      <c r="E13198" s="4" t="s">
        <v>22</v>
      </c>
      <c r="F13198" s="4" t="s">
        <v>66513</v>
      </c>
      <c r="G13198" s="4" t="s">
        <v>66514</v>
      </c>
      <c r="H13198" s="3" t="s">
        <v>63948</v>
      </c>
      <c r="I13198" s="3" t="s">
        <v>53635</v>
      </c>
      <c r="J13198" s="3" t="s">
        <v>66515</v>
      </c>
      <c r="K13198" s="3" t="s">
        <v>66516</v>
      </c>
      <c r="L13198" s="3" t="s">
        <v>66517</v>
      </c>
      <c r="M13198" s="4"/>
      <c r="N13198" s="3" t="s">
        <v>37</v>
      </c>
      <c r="O13198" s="3" t="s">
        <v>38</v>
      </c>
      <c r="P13198" s="5">
        <v>11</v>
      </c>
      <c r="Q13198" s="5">
        <v>113</v>
      </c>
      <c r="R13198" s="5">
        <v>11</v>
      </c>
      <c r="S13198" s="5">
        <v>124</v>
      </c>
    </row>
    <row r="13199" spans="1:19" ht="56" x14ac:dyDescent="0.15">
      <c r="A13199" s="2">
        <f>HYPERLINK("https://open-school.uspishnemisto.com.ua/school/630533/", 630533)</f>
        <v>630533</v>
      </c>
      <c r="B13199" s="3" t="s">
        <v>66518</v>
      </c>
      <c r="C13199" s="3" t="s">
        <v>54</v>
      </c>
      <c r="D13199" s="3" t="s">
        <v>32</v>
      </c>
      <c r="E13199" s="4" t="s">
        <v>22</v>
      </c>
      <c r="F13199" s="4" t="s">
        <v>66519</v>
      </c>
      <c r="G13199" s="4" t="s">
        <v>66520</v>
      </c>
      <c r="H13199" s="3" t="s">
        <v>63948</v>
      </c>
      <c r="I13199" s="3" t="s">
        <v>65740</v>
      </c>
      <c r="J13199" s="3" t="s">
        <v>4747</v>
      </c>
      <c r="K13199" s="3" t="s">
        <v>66521</v>
      </c>
      <c r="L13199" s="3"/>
      <c r="M13199" s="4"/>
      <c r="N13199" s="3" t="s">
        <v>37</v>
      </c>
      <c r="O13199" s="3" t="s">
        <v>52</v>
      </c>
      <c r="P13199" s="5">
        <v>9</v>
      </c>
      <c r="Q13199" s="5">
        <v>94</v>
      </c>
      <c r="R13199" s="5">
        <v>10</v>
      </c>
      <c r="S13199" s="5">
        <v>91</v>
      </c>
    </row>
    <row r="13200" spans="1:19" ht="28" x14ac:dyDescent="0.15">
      <c r="A13200" s="2">
        <f>HYPERLINK("https://open-school.uspishnemisto.com.ua/school/630534/", 630534)</f>
        <v>630534</v>
      </c>
      <c r="B13200" s="3" t="s">
        <v>66522</v>
      </c>
      <c r="C13200" s="3" t="s">
        <v>40</v>
      </c>
      <c r="D13200" s="3" t="s">
        <v>32</v>
      </c>
      <c r="E13200" s="4" t="s">
        <v>22</v>
      </c>
      <c r="F13200" s="4" t="s">
        <v>66523</v>
      </c>
      <c r="G13200" s="4" t="s">
        <v>66524</v>
      </c>
      <c r="H13200" s="3" t="s">
        <v>63948</v>
      </c>
      <c r="I13200" s="3" t="s">
        <v>40377</v>
      </c>
      <c r="J13200" s="3" t="s">
        <v>2329</v>
      </c>
      <c r="K13200" s="3" t="s">
        <v>66525</v>
      </c>
      <c r="L13200" s="3" t="s">
        <v>66526</v>
      </c>
      <c r="M13200" s="4"/>
      <c r="N13200" s="3" t="s">
        <v>37</v>
      </c>
      <c r="O13200" s="3" t="s">
        <v>38</v>
      </c>
      <c r="P13200" s="5">
        <v>16</v>
      </c>
      <c r="Q13200" s="5">
        <v>364</v>
      </c>
      <c r="R13200" s="5">
        <v>15</v>
      </c>
      <c r="S13200" s="5">
        <v>364</v>
      </c>
    </row>
    <row r="13201" spans="1:19" ht="42" x14ac:dyDescent="0.15">
      <c r="A13201" s="2">
        <f>HYPERLINK("https://open-school.uspishnemisto.com.ua/school/630535/", 630535)</f>
        <v>630535</v>
      </c>
      <c r="B13201" s="3" t="s">
        <v>66527</v>
      </c>
      <c r="C13201" s="3" t="s">
        <v>31</v>
      </c>
      <c r="D13201" s="3" t="s">
        <v>32</v>
      </c>
      <c r="E13201" s="4" t="s">
        <v>22</v>
      </c>
      <c r="F13201" s="4" t="s">
        <v>66523</v>
      </c>
      <c r="G13201" s="4" t="s">
        <v>66524</v>
      </c>
      <c r="H13201" s="3" t="s">
        <v>63948</v>
      </c>
      <c r="I13201" s="3" t="s">
        <v>40377</v>
      </c>
      <c r="J13201" s="3" t="s">
        <v>66528</v>
      </c>
      <c r="K13201" s="3" t="s">
        <v>66529</v>
      </c>
      <c r="L13201" s="3" t="s">
        <v>66530</v>
      </c>
      <c r="M13201" s="4"/>
      <c r="N13201" s="3" t="s">
        <v>37</v>
      </c>
      <c r="O13201" s="3" t="s">
        <v>38</v>
      </c>
      <c r="P13201" s="5">
        <v>17</v>
      </c>
      <c r="Q13201" s="5">
        <v>370</v>
      </c>
      <c r="R13201" s="5">
        <v>15</v>
      </c>
      <c r="S13201" s="5">
        <v>351</v>
      </c>
    </row>
    <row r="13202" spans="1:19" ht="42" x14ac:dyDescent="0.15">
      <c r="A13202" s="2">
        <f>HYPERLINK("https://open-school.uspishnemisto.com.ua/school/630536/", 630536)</f>
        <v>630536</v>
      </c>
      <c r="B13202" s="3" t="s">
        <v>66531</v>
      </c>
      <c r="C13202" s="3" t="s">
        <v>31</v>
      </c>
      <c r="D13202" s="3" t="s">
        <v>32</v>
      </c>
      <c r="E13202" s="4" t="s">
        <v>22</v>
      </c>
      <c r="F13202" s="4" t="s">
        <v>66523</v>
      </c>
      <c r="G13202" s="4" t="s">
        <v>66524</v>
      </c>
      <c r="H13202" s="3" t="s">
        <v>63948</v>
      </c>
      <c r="I13202" s="3" t="s">
        <v>40377</v>
      </c>
      <c r="J13202" s="3" t="s">
        <v>66532</v>
      </c>
      <c r="K13202" s="3" t="s">
        <v>66533</v>
      </c>
      <c r="L13202" s="3"/>
      <c r="M13202" s="4"/>
      <c r="N13202" s="3" t="s">
        <v>37</v>
      </c>
      <c r="O13202" s="3" t="s">
        <v>70</v>
      </c>
      <c r="P13202" s="5">
        <v>34</v>
      </c>
      <c r="Q13202" s="5">
        <v>554</v>
      </c>
      <c r="R13202" s="5">
        <v>18</v>
      </c>
      <c r="S13202" s="5">
        <v>441</v>
      </c>
    </row>
    <row r="13203" spans="1:19" ht="42" x14ac:dyDescent="0.15">
      <c r="A13203" s="2">
        <f>HYPERLINK("https://open-school.uspishnemisto.com.ua/school/630537/", 630537)</f>
        <v>630537</v>
      </c>
      <c r="B13203" s="3" t="s">
        <v>66534</v>
      </c>
      <c r="C13203" s="3" t="s">
        <v>31</v>
      </c>
      <c r="D13203" s="3" t="s">
        <v>32</v>
      </c>
      <c r="E13203" s="4" t="s">
        <v>22</v>
      </c>
      <c r="F13203" s="4" t="s">
        <v>66535</v>
      </c>
      <c r="G13203" s="4" t="s">
        <v>66536</v>
      </c>
      <c r="H13203" s="3" t="s">
        <v>63948</v>
      </c>
      <c r="I13203" s="3" t="s">
        <v>1291</v>
      </c>
      <c r="J13203" s="3" t="s">
        <v>16428</v>
      </c>
      <c r="K13203" s="3" t="s">
        <v>66537</v>
      </c>
      <c r="L13203" s="3" t="s">
        <v>66538</v>
      </c>
      <c r="M13203" s="4"/>
      <c r="N13203" s="3" t="s">
        <v>37</v>
      </c>
      <c r="O13203" s="3" t="s">
        <v>38</v>
      </c>
      <c r="P13203" s="5">
        <v>11</v>
      </c>
      <c r="Q13203" s="5">
        <v>113</v>
      </c>
      <c r="R13203" s="5">
        <v>11</v>
      </c>
      <c r="S13203" s="5">
        <v>119</v>
      </c>
    </row>
    <row r="13204" spans="1:19" ht="42" x14ac:dyDescent="0.15">
      <c r="A13204" s="2">
        <f>HYPERLINK("https://open-school.uspishnemisto.com.ua/school/630538/", 630538)</f>
        <v>630538</v>
      </c>
      <c r="B13204" s="3" t="s">
        <v>66539</v>
      </c>
      <c r="C13204" s="3" t="s">
        <v>54</v>
      </c>
      <c r="D13204" s="3" t="s">
        <v>32</v>
      </c>
      <c r="E13204" s="4" t="s">
        <v>22</v>
      </c>
      <c r="F13204" s="4" t="s">
        <v>66540</v>
      </c>
      <c r="G13204" s="4" t="s">
        <v>66541</v>
      </c>
      <c r="H13204" s="3" t="s">
        <v>63948</v>
      </c>
      <c r="I13204" s="3" t="s">
        <v>66542</v>
      </c>
      <c r="J13204" s="3" t="s">
        <v>466</v>
      </c>
      <c r="K13204" s="3" t="s">
        <v>66543</v>
      </c>
      <c r="L13204" s="3" t="s">
        <v>66544</v>
      </c>
      <c r="M13204" s="4"/>
      <c r="N13204" s="3" t="s">
        <v>37</v>
      </c>
      <c r="O13204" s="3" t="s">
        <v>38</v>
      </c>
      <c r="P13204" s="5">
        <v>11</v>
      </c>
      <c r="Q13204" s="5">
        <v>115</v>
      </c>
      <c r="R13204" s="5">
        <v>11</v>
      </c>
      <c r="S13204" s="5">
        <v>129</v>
      </c>
    </row>
    <row r="13205" spans="1:19" ht="42" x14ac:dyDescent="0.15">
      <c r="A13205" s="2">
        <f>HYPERLINK("https://open-school.uspishnemisto.com.ua/school/630539/", 630539)</f>
        <v>630539</v>
      </c>
      <c r="B13205" s="3" t="s">
        <v>66545</v>
      </c>
      <c r="C13205" s="3" t="s">
        <v>31</v>
      </c>
      <c r="D13205" s="3" t="s">
        <v>32</v>
      </c>
      <c r="E13205" s="4" t="s">
        <v>22</v>
      </c>
      <c r="F13205" s="4" t="s">
        <v>66546</v>
      </c>
      <c r="G13205" s="4" t="s">
        <v>66547</v>
      </c>
      <c r="H13205" s="3" t="s">
        <v>63948</v>
      </c>
      <c r="I13205" s="3" t="s">
        <v>66548</v>
      </c>
      <c r="J13205" s="3" t="s">
        <v>584</v>
      </c>
      <c r="K13205" s="3" t="s">
        <v>66549</v>
      </c>
      <c r="L13205" s="3"/>
      <c r="M13205" s="4"/>
      <c r="N13205" s="3" t="s">
        <v>967</v>
      </c>
      <c r="O13205" s="3" t="s">
        <v>46</v>
      </c>
      <c r="P13205" s="5">
        <v>7</v>
      </c>
      <c r="Q13205" s="5">
        <v>55</v>
      </c>
      <c r="R13205" s="5">
        <v>6</v>
      </c>
      <c r="S13205" s="5">
        <v>43</v>
      </c>
    </row>
    <row r="13206" spans="1:19" ht="70" x14ac:dyDescent="0.15">
      <c r="A13206" s="2">
        <f>HYPERLINK("https://open-school.uspishnemisto.com.ua/school/630540/", 630540)</f>
        <v>630540</v>
      </c>
      <c r="B13206" s="3" t="s">
        <v>66550</v>
      </c>
      <c r="C13206" s="3" t="s">
        <v>54</v>
      </c>
      <c r="D13206" s="3" t="s">
        <v>32</v>
      </c>
      <c r="E13206" s="4" t="s">
        <v>22</v>
      </c>
      <c r="F13206" s="4" t="s">
        <v>66551</v>
      </c>
      <c r="G13206" s="4" t="s">
        <v>66552</v>
      </c>
      <c r="H13206" s="3" t="s">
        <v>63948</v>
      </c>
      <c r="I13206" s="3" t="s">
        <v>58153</v>
      </c>
      <c r="J13206" s="3" t="s">
        <v>22072</v>
      </c>
      <c r="K13206" s="3" t="s">
        <v>66553</v>
      </c>
      <c r="L13206" s="3" t="s">
        <v>66554</v>
      </c>
      <c r="M13206" s="4"/>
      <c r="N13206" s="3" t="s">
        <v>37</v>
      </c>
      <c r="O13206" s="3" t="s">
        <v>38</v>
      </c>
      <c r="P13206" s="5">
        <v>11</v>
      </c>
      <c r="Q13206" s="5">
        <v>151</v>
      </c>
      <c r="R13206" s="5">
        <v>11</v>
      </c>
      <c r="S13206" s="5">
        <v>149</v>
      </c>
    </row>
    <row r="13207" spans="1:19" ht="42" x14ac:dyDescent="0.15">
      <c r="A13207" s="2">
        <f>HYPERLINK("https://open-school.uspishnemisto.com.ua/school/630542/", 630542)</f>
        <v>630542</v>
      </c>
      <c r="B13207" s="3" t="s">
        <v>66555</v>
      </c>
      <c r="C13207" s="3" t="s">
        <v>54</v>
      </c>
      <c r="D13207" s="3" t="s">
        <v>175</v>
      </c>
      <c r="E13207" s="4" t="s">
        <v>22</v>
      </c>
      <c r="F13207" s="4" t="s">
        <v>66556</v>
      </c>
      <c r="G13207" s="4" t="s">
        <v>66557</v>
      </c>
      <c r="H13207" s="3" t="s">
        <v>63948</v>
      </c>
      <c r="I13207" s="3" t="s">
        <v>66558</v>
      </c>
      <c r="J13207" s="3" t="s">
        <v>66559</v>
      </c>
      <c r="K13207" s="3" t="s">
        <v>66560</v>
      </c>
      <c r="L13207" s="3" t="s">
        <v>66561</v>
      </c>
      <c r="M13207" s="4"/>
      <c r="N13207" s="3" t="s">
        <v>37</v>
      </c>
      <c r="O13207" s="3" t="s">
        <v>38</v>
      </c>
      <c r="P13207" s="5">
        <v>8</v>
      </c>
      <c r="Q13207" s="5">
        <v>53</v>
      </c>
      <c r="R13207" s="5">
        <v>5</v>
      </c>
      <c r="S13207" s="5">
        <v>39</v>
      </c>
    </row>
    <row r="13208" spans="1:19" ht="56" x14ac:dyDescent="0.15">
      <c r="A13208" s="2">
        <f>HYPERLINK("https://open-school.uspishnemisto.com.ua/school/630543/", 630543)</f>
        <v>630543</v>
      </c>
      <c r="B13208" s="3" t="s">
        <v>66562</v>
      </c>
      <c r="C13208" s="3" t="s">
        <v>54</v>
      </c>
      <c r="D13208" s="3" t="s">
        <v>32</v>
      </c>
      <c r="E13208" s="4" t="s">
        <v>22</v>
      </c>
      <c r="F13208" s="4" t="s">
        <v>66563</v>
      </c>
      <c r="G13208" s="4" t="s">
        <v>66564</v>
      </c>
      <c r="H13208" s="3" t="s">
        <v>63948</v>
      </c>
      <c r="I13208" s="3" t="s">
        <v>66565</v>
      </c>
      <c r="J13208" s="3" t="s">
        <v>66566</v>
      </c>
      <c r="K13208" s="3" t="s">
        <v>66567</v>
      </c>
      <c r="L13208" s="3" t="s">
        <v>66568</v>
      </c>
      <c r="M13208" s="4"/>
      <c r="N13208" s="3" t="s">
        <v>37</v>
      </c>
      <c r="O13208" s="3" t="s">
        <v>38</v>
      </c>
      <c r="P13208" s="5">
        <v>9</v>
      </c>
      <c r="Q13208" s="5">
        <v>86</v>
      </c>
      <c r="R13208" s="5">
        <v>10</v>
      </c>
      <c r="S13208" s="5">
        <v>91</v>
      </c>
    </row>
    <row r="13209" spans="1:19" ht="42" x14ac:dyDescent="0.15">
      <c r="A13209" s="2">
        <f>HYPERLINK("https://open-school.uspishnemisto.com.ua/school/630544/", 630544)</f>
        <v>630544</v>
      </c>
      <c r="B13209" s="3" t="s">
        <v>66569</v>
      </c>
      <c r="C13209" s="3" t="s">
        <v>31</v>
      </c>
      <c r="D13209" s="3" t="s">
        <v>32</v>
      </c>
      <c r="E13209" s="4" t="s">
        <v>22</v>
      </c>
      <c r="F13209" s="4" t="s">
        <v>66570</v>
      </c>
      <c r="G13209" s="4" t="s">
        <v>66571</v>
      </c>
      <c r="H13209" s="3" t="s">
        <v>63948</v>
      </c>
      <c r="I13209" s="3" t="s">
        <v>66572</v>
      </c>
      <c r="J13209" s="3" t="s">
        <v>6432</v>
      </c>
      <c r="K13209" s="3" t="s">
        <v>66573</v>
      </c>
      <c r="L13209" s="3" t="s">
        <v>66574</v>
      </c>
      <c r="M13209" s="4"/>
      <c r="N13209" s="3" t="s">
        <v>37</v>
      </c>
      <c r="O13209" s="3" t="s">
        <v>38</v>
      </c>
      <c r="P13209" s="5">
        <v>8</v>
      </c>
      <c r="Q13209" s="5">
        <v>52</v>
      </c>
      <c r="R13209" s="5">
        <v>10</v>
      </c>
      <c r="S13209" s="5">
        <v>71</v>
      </c>
    </row>
    <row r="13210" spans="1:19" ht="42" x14ac:dyDescent="0.15">
      <c r="A13210" s="2">
        <f>HYPERLINK("https://open-school.uspishnemisto.com.ua/school/630545/", 630545)</f>
        <v>630545</v>
      </c>
      <c r="B13210" s="3" t="s">
        <v>66575</v>
      </c>
      <c r="C13210" s="3" t="s">
        <v>31</v>
      </c>
      <c r="D13210" s="3" t="s">
        <v>32</v>
      </c>
      <c r="E13210" s="4" t="s">
        <v>22</v>
      </c>
      <c r="F13210" s="4" t="s">
        <v>66576</v>
      </c>
      <c r="G13210" s="4" t="s">
        <v>66577</v>
      </c>
      <c r="H13210" s="3" t="s">
        <v>63948</v>
      </c>
      <c r="I13210" s="3" t="s">
        <v>66578</v>
      </c>
      <c r="J13210" s="3" t="s">
        <v>4029</v>
      </c>
      <c r="K13210" s="3" t="s">
        <v>66579</v>
      </c>
      <c r="L13210" s="3" t="s">
        <v>66580</v>
      </c>
      <c r="M13210" s="4"/>
      <c r="N13210" s="3" t="s">
        <v>37</v>
      </c>
      <c r="O13210" s="3" t="s">
        <v>38</v>
      </c>
      <c r="P13210" s="5">
        <v>9</v>
      </c>
      <c r="Q13210" s="5">
        <v>61</v>
      </c>
      <c r="R13210" s="5">
        <v>7</v>
      </c>
      <c r="S13210" s="5">
        <v>59</v>
      </c>
    </row>
    <row r="13211" spans="1:19" ht="42" x14ac:dyDescent="0.15">
      <c r="A13211" s="2">
        <f>HYPERLINK("https://open-school.uspishnemisto.com.ua/school/630546/", 630546)</f>
        <v>630546</v>
      </c>
      <c r="B13211" s="3" t="s">
        <v>66581</v>
      </c>
      <c r="C13211" s="3" t="s">
        <v>31</v>
      </c>
      <c r="D13211" s="3" t="s">
        <v>32</v>
      </c>
      <c r="E13211" s="4" t="s">
        <v>22</v>
      </c>
      <c r="F13211" s="4" t="s">
        <v>66582</v>
      </c>
      <c r="G13211" s="4" t="s">
        <v>66583</v>
      </c>
      <c r="H13211" s="3" t="s">
        <v>63948</v>
      </c>
      <c r="I13211" s="3" t="s">
        <v>987</v>
      </c>
      <c r="J13211" s="3" t="s">
        <v>66584</v>
      </c>
      <c r="K13211" s="3" t="s">
        <v>66585</v>
      </c>
      <c r="L13211" s="3"/>
      <c r="M13211" s="4"/>
      <c r="N13211" s="3" t="s">
        <v>37</v>
      </c>
      <c r="O13211" s="3" t="s">
        <v>46</v>
      </c>
      <c r="P13211" s="5">
        <v>0</v>
      </c>
      <c r="Q13211" s="5">
        <v>0</v>
      </c>
      <c r="R13211" s="5">
        <v>4</v>
      </c>
      <c r="S13211" s="5">
        <v>37</v>
      </c>
    </row>
    <row r="13212" spans="1:19" ht="42" x14ac:dyDescent="0.15">
      <c r="A13212" s="2">
        <f>HYPERLINK("https://open-school.uspishnemisto.com.ua/school/630547/", 630547)</f>
        <v>630547</v>
      </c>
      <c r="B13212" s="3" t="s">
        <v>66586</v>
      </c>
      <c r="C13212" s="3" t="s">
        <v>31</v>
      </c>
      <c r="D13212" s="3" t="s">
        <v>32</v>
      </c>
      <c r="E13212" s="4" t="s">
        <v>22</v>
      </c>
      <c r="F13212" s="4" t="s">
        <v>66587</v>
      </c>
      <c r="G13212" s="4" t="s">
        <v>66588</v>
      </c>
      <c r="H13212" s="3" t="s">
        <v>63948</v>
      </c>
      <c r="I13212" s="3" t="s">
        <v>17580</v>
      </c>
      <c r="J13212" s="3" t="s">
        <v>37590</v>
      </c>
      <c r="K13212" s="3"/>
      <c r="L13212" s="3" t="s">
        <v>66589</v>
      </c>
      <c r="M13212" s="4"/>
      <c r="N13212" s="3" t="s">
        <v>37</v>
      </c>
      <c r="O13212" s="3" t="s">
        <v>38</v>
      </c>
      <c r="P13212" s="5">
        <v>6</v>
      </c>
      <c r="Q13212" s="5">
        <v>50</v>
      </c>
      <c r="R13212" s="5">
        <v>8</v>
      </c>
      <c r="S13212" s="5">
        <v>58</v>
      </c>
    </row>
    <row r="13213" spans="1:19" ht="56" x14ac:dyDescent="0.15">
      <c r="A13213" s="2">
        <f>HYPERLINK("https://open-school.uspishnemisto.com.ua/school/630548/", 630548)</f>
        <v>630548</v>
      </c>
      <c r="B13213" s="3" t="s">
        <v>66590</v>
      </c>
      <c r="C13213" s="3" t="s">
        <v>54</v>
      </c>
      <c r="D13213" s="3" t="s">
        <v>175</v>
      </c>
      <c r="E13213" s="4" t="s">
        <v>22</v>
      </c>
      <c r="F13213" s="4" t="s">
        <v>66591</v>
      </c>
      <c r="G13213" s="4" t="s">
        <v>66592</v>
      </c>
      <c r="H13213" s="3" t="s">
        <v>63948</v>
      </c>
      <c r="I13213" s="3" t="s">
        <v>50838</v>
      </c>
      <c r="J13213" s="3" t="s">
        <v>566</v>
      </c>
      <c r="K13213" s="3" t="s">
        <v>66593</v>
      </c>
      <c r="L13213" s="3" t="s">
        <v>66594</v>
      </c>
      <c r="M13213" s="4"/>
      <c r="N13213" s="3" t="s">
        <v>37</v>
      </c>
      <c r="O13213" s="3" t="s">
        <v>38</v>
      </c>
      <c r="P13213" s="5">
        <v>1</v>
      </c>
      <c r="Q13213" s="5">
        <v>26</v>
      </c>
      <c r="R13213" s="5">
        <v>2</v>
      </c>
      <c r="S13213" s="5">
        <v>34</v>
      </c>
    </row>
    <row r="13214" spans="1:19" ht="42" x14ac:dyDescent="0.15">
      <c r="A13214" s="2">
        <f>HYPERLINK("https://open-school.uspishnemisto.com.ua/school/630549/", 630549)</f>
        <v>630549</v>
      </c>
      <c r="B13214" s="3" t="s">
        <v>66595</v>
      </c>
      <c r="C13214" s="3" t="s">
        <v>31</v>
      </c>
      <c r="D13214" s="3" t="s">
        <v>32</v>
      </c>
      <c r="E13214" s="4" t="s">
        <v>22</v>
      </c>
      <c r="F13214" s="4" t="s">
        <v>66596</v>
      </c>
      <c r="G13214" s="4" t="s">
        <v>66597</v>
      </c>
      <c r="H13214" s="3" t="s">
        <v>63948</v>
      </c>
      <c r="I13214" s="3" t="s">
        <v>66598</v>
      </c>
      <c r="J13214" s="3" t="s">
        <v>66599</v>
      </c>
      <c r="K13214" s="3" t="s">
        <v>66600</v>
      </c>
      <c r="L13214" s="3"/>
      <c r="M13214" s="4"/>
      <c r="N13214" s="3" t="s">
        <v>967</v>
      </c>
      <c r="O13214" s="3" t="s">
        <v>52</v>
      </c>
      <c r="P13214" s="5">
        <v>11</v>
      </c>
      <c r="Q13214" s="5">
        <v>94</v>
      </c>
      <c r="R13214" s="5">
        <v>11</v>
      </c>
      <c r="S13214" s="5">
        <v>92</v>
      </c>
    </row>
    <row r="13215" spans="1:19" ht="42" x14ac:dyDescent="0.15">
      <c r="A13215" s="2">
        <f>HYPERLINK("https://open-school.uspishnemisto.com.ua/school/630550/", 630550)</f>
        <v>630550</v>
      </c>
      <c r="B13215" s="3" t="s">
        <v>66601</v>
      </c>
      <c r="C13215" s="3" t="s">
        <v>31</v>
      </c>
      <c r="D13215" s="3" t="s">
        <v>32</v>
      </c>
      <c r="E13215" s="4" t="s">
        <v>22</v>
      </c>
      <c r="F13215" s="4" t="s">
        <v>66602</v>
      </c>
      <c r="G13215" s="4" t="s">
        <v>66603</v>
      </c>
      <c r="H13215" s="3" t="s">
        <v>63948</v>
      </c>
      <c r="I13215" s="3" t="s">
        <v>66604</v>
      </c>
      <c r="J13215" s="3" t="s">
        <v>10830</v>
      </c>
      <c r="K13215" s="3" t="s">
        <v>66605</v>
      </c>
      <c r="L13215" s="3" t="s">
        <v>66606</v>
      </c>
      <c r="M13215" s="4"/>
      <c r="N13215" s="3" t="s">
        <v>37</v>
      </c>
      <c r="O13215" s="3" t="s">
        <v>38</v>
      </c>
      <c r="P13215" s="5">
        <v>11</v>
      </c>
      <c r="Q13215" s="5">
        <v>209</v>
      </c>
      <c r="R13215" s="5">
        <v>11</v>
      </c>
      <c r="S13215" s="5">
        <v>212</v>
      </c>
    </row>
    <row r="13216" spans="1:19" ht="28" x14ac:dyDescent="0.15">
      <c r="A13216" s="2">
        <f>HYPERLINK("https://open-school.uspishnemisto.com.ua/school/630551/", 630551)</f>
        <v>630551</v>
      </c>
      <c r="B13216" s="3" t="s">
        <v>66607</v>
      </c>
      <c r="C13216" s="3" t="s">
        <v>31</v>
      </c>
      <c r="D13216" s="3" t="s">
        <v>32</v>
      </c>
      <c r="E13216" s="4" t="s">
        <v>22</v>
      </c>
      <c r="F13216" s="4" t="s">
        <v>66608</v>
      </c>
      <c r="G13216" s="4" t="s">
        <v>66609</v>
      </c>
      <c r="H13216" s="3" t="s">
        <v>63948</v>
      </c>
      <c r="I13216" s="3" t="s">
        <v>1291</v>
      </c>
      <c r="J13216" s="3" t="s">
        <v>66610</v>
      </c>
      <c r="K13216" s="3" t="s">
        <v>66611</v>
      </c>
      <c r="L13216" s="3" t="s">
        <v>66612</v>
      </c>
      <c r="M13216" s="4"/>
      <c r="N13216" s="3" t="s">
        <v>37</v>
      </c>
      <c r="O13216" s="3" t="s">
        <v>38</v>
      </c>
      <c r="P13216" s="5">
        <v>8</v>
      </c>
      <c r="Q13216" s="5">
        <v>60</v>
      </c>
      <c r="R13216" s="5">
        <v>8</v>
      </c>
      <c r="S13216" s="5">
        <v>62</v>
      </c>
    </row>
    <row r="13217" spans="1:19" ht="28" x14ac:dyDescent="0.15">
      <c r="A13217" s="2">
        <f>HYPERLINK("https://open-school.uspishnemisto.com.ua/school/630552/", 630552)</f>
        <v>630552</v>
      </c>
      <c r="B13217" s="3" t="s">
        <v>66613</v>
      </c>
      <c r="C13217" s="3" t="s">
        <v>54</v>
      </c>
      <c r="D13217" s="3" t="s">
        <v>32</v>
      </c>
      <c r="E13217" s="4" t="s">
        <v>22</v>
      </c>
      <c r="F13217" s="4" t="s">
        <v>66614</v>
      </c>
      <c r="G13217" s="4" t="s">
        <v>66615</v>
      </c>
      <c r="H13217" s="3" t="s">
        <v>63948</v>
      </c>
      <c r="I13217" s="3" t="s">
        <v>66616</v>
      </c>
      <c r="J13217" s="3" t="s">
        <v>4425</v>
      </c>
      <c r="K13217" s="3" t="s">
        <v>66617</v>
      </c>
      <c r="L13217" s="3" t="s">
        <v>66618</v>
      </c>
      <c r="M13217" s="4"/>
      <c r="N13217" s="3" t="s">
        <v>37</v>
      </c>
      <c r="O13217" s="3" t="s">
        <v>38</v>
      </c>
      <c r="P13217" s="5">
        <v>11</v>
      </c>
      <c r="Q13217" s="5">
        <v>173</v>
      </c>
      <c r="R13217" s="5">
        <v>11</v>
      </c>
      <c r="S13217" s="5">
        <v>168</v>
      </c>
    </row>
    <row r="13218" spans="1:19" ht="28" x14ac:dyDescent="0.15">
      <c r="A13218" s="2">
        <f>HYPERLINK("https://open-school.uspishnemisto.com.ua/school/630553/", 630553)</f>
        <v>630553</v>
      </c>
      <c r="B13218" s="3" t="s">
        <v>66619</v>
      </c>
      <c r="C13218" s="3" t="s">
        <v>54</v>
      </c>
      <c r="D13218" s="3" t="s">
        <v>32</v>
      </c>
      <c r="E13218" s="4" t="s">
        <v>22</v>
      </c>
      <c r="F13218" s="4" t="s">
        <v>66620</v>
      </c>
      <c r="G13218" s="4" t="s">
        <v>66621</v>
      </c>
      <c r="H13218" s="3" t="s">
        <v>63948</v>
      </c>
      <c r="I13218" s="3" t="s">
        <v>51790</v>
      </c>
      <c r="J13218" s="3" t="s">
        <v>66622</v>
      </c>
      <c r="K13218" s="3" t="s">
        <v>66623</v>
      </c>
      <c r="L13218" s="3" t="s">
        <v>66624</v>
      </c>
      <c r="M13218" s="4"/>
      <c r="N13218" s="3" t="s">
        <v>37</v>
      </c>
      <c r="O13218" s="3" t="s">
        <v>38</v>
      </c>
      <c r="P13218" s="5">
        <v>11</v>
      </c>
      <c r="Q13218" s="5">
        <v>175</v>
      </c>
      <c r="R13218" s="5">
        <v>11</v>
      </c>
      <c r="S13218" s="5">
        <v>174</v>
      </c>
    </row>
    <row r="13219" spans="1:19" ht="28" x14ac:dyDescent="0.15">
      <c r="A13219" s="2">
        <f>HYPERLINK("https://open-school.uspishnemisto.com.ua/school/630554/", 630554)</f>
        <v>630554</v>
      </c>
      <c r="B13219" s="3" t="s">
        <v>66625</v>
      </c>
      <c r="C13219" s="3" t="s">
        <v>54</v>
      </c>
      <c r="D13219" s="3" t="s">
        <v>32</v>
      </c>
      <c r="E13219" s="4" t="s">
        <v>22</v>
      </c>
      <c r="F13219" s="4" t="s">
        <v>66626</v>
      </c>
      <c r="G13219" s="4" t="s">
        <v>66627</v>
      </c>
      <c r="H13219" s="3" t="s">
        <v>63948</v>
      </c>
      <c r="I13219" s="3" t="s">
        <v>66628</v>
      </c>
      <c r="J13219" s="3" t="s">
        <v>792</v>
      </c>
      <c r="K13219" s="3" t="s">
        <v>66629</v>
      </c>
      <c r="L13219" s="3" t="s">
        <v>66630</v>
      </c>
      <c r="M13219" s="4"/>
      <c r="N13219" s="3" t="s">
        <v>37</v>
      </c>
      <c r="O13219" s="3" t="s">
        <v>38</v>
      </c>
      <c r="P13219" s="5">
        <v>6</v>
      </c>
      <c r="Q13219" s="5">
        <v>45</v>
      </c>
      <c r="R13219" s="5">
        <v>7</v>
      </c>
      <c r="S13219" s="5">
        <v>56</v>
      </c>
    </row>
    <row r="13220" spans="1:19" ht="28" x14ac:dyDescent="0.15">
      <c r="A13220" s="2">
        <f>HYPERLINK("https://open-school.uspishnemisto.com.ua/school/630555/", 630555)</f>
        <v>630555</v>
      </c>
      <c r="B13220" s="3" t="s">
        <v>66631</v>
      </c>
      <c r="C13220" s="3" t="s">
        <v>54</v>
      </c>
      <c r="D13220" s="3" t="s">
        <v>32</v>
      </c>
      <c r="E13220" s="4" t="s">
        <v>22</v>
      </c>
      <c r="F13220" s="4" t="s">
        <v>66632</v>
      </c>
      <c r="G13220" s="4" t="s">
        <v>66633</v>
      </c>
      <c r="H13220" s="3" t="s">
        <v>63948</v>
      </c>
      <c r="I13220" s="3" t="s">
        <v>66634</v>
      </c>
      <c r="J13220" s="3" t="s">
        <v>66635</v>
      </c>
      <c r="K13220" s="3" t="s">
        <v>66636</v>
      </c>
      <c r="L13220" s="3" t="s">
        <v>66637</v>
      </c>
      <c r="M13220" s="4"/>
      <c r="N13220" s="3" t="s">
        <v>37</v>
      </c>
      <c r="O13220" s="3" t="s">
        <v>38</v>
      </c>
      <c r="P13220" s="5">
        <v>9</v>
      </c>
      <c r="Q13220" s="5">
        <v>63</v>
      </c>
      <c r="R13220" s="5">
        <v>10</v>
      </c>
      <c r="S13220" s="5">
        <v>64</v>
      </c>
    </row>
    <row r="13221" spans="1:19" ht="28" x14ac:dyDescent="0.15">
      <c r="A13221" s="2">
        <f>HYPERLINK("https://open-school.uspishnemisto.com.ua/school/630556/", 630556)</f>
        <v>630556</v>
      </c>
      <c r="B13221" s="3" t="s">
        <v>66638</v>
      </c>
      <c r="C13221" s="3" t="s">
        <v>31</v>
      </c>
      <c r="D13221" s="3" t="s">
        <v>32</v>
      </c>
      <c r="E13221" s="4" t="s">
        <v>22</v>
      </c>
      <c r="F13221" s="4" t="s">
        <v>66639</v>
      </c>
      <c r="G13221" s="4" t="s">
        <v>66640</v>
      </c>
      <c r="H13221" s="3" t="s">
        <v>63948</v>
      </c>
      <c r="I13221" s="3" t="s">
        <v>66641</v>
      </c>
      <c r="J13221" s="3" t="s">
        <v>466</v>
      </c>
      <c r="K13221" s="3" t="s">
        <v>66642</v>
      </c>
      <c r="L13221" s="3" t="s">
        <v>66643</v>
      </c>
      <c r="M13221" s="4"/>
      <c r="N13221" s="3" t="s">
        <v>37</v>
      </c>
      <c r="O13221" s="3" t="s">
        <v>38</v>
      </c>
      <c r="P13221" s="5">
        <v>9</v>
      </c>
      <c r="Q13221" s="5">
        <v>62</v>
      </c>
      <c r="R13221" s="5">
        <v>9</v>
      </c>
      <c r="S13221" s="5">
        <v>61</v>
      </c>
    </row>
    <row r="13222" spans="1:19" ht="28" x14ac:dyDescent="0.15">
      <c r="A13222" s="2">
        <f>HYPERLINK("https://open-school.uspishnemisto.com.ua/school/630557/", 630557)</f>
        <v>630557</v>
      </c>
      <c r="B13222" s="3" t="s">
        <v>66644</v>
      </c>
      <c r="C13222" s="3" t="s">
        <v>31</v>
      </c>
      <c r="D13222" s="3" t="s">
        <v>32</v>
      </c>
      <c r="E13222" s="4" t="s">
        <v>22</v>
      </c>
      <c r="F13222" s="4" t="s">
        <v>66645</v>
      </c>
      <c r="G13222" s="4" t="s">
        <v>66646</v>
      </c>
      <c r="H13222" s="3" t="s">
        <v>63948</v>
      </c>
      <c r="I13222" s="3" t="s">
        <v>66647</v>
      </c>
      <c r="J13222" s="3" t="s">
        <v>466</v>
      </c>
      <c r="K13222" s="3" t="s">
        <v>66648</v>
      </c>
      <c r="L13222" s="3" t="s">
        <v>66649</v>
      </c>
      <c r="M13222" s="4"/>
      <c r="N13222" s="3" t="s">
        <v>37</v>
      </c>
      <c r="O13222" s="3" t="s">
        <v>70</v>
      </c>
      <c r="P13222" s="5">
        <v>9</v>
      </c>
      <c r="Q13222" s="5">
        <v>72</v>
      </c>
      <c r="R13222" s="5">
        <v>9</v>
      </c>
      <c r="S13222" s="5">
        <v>82</v>
      </c>
    </row>
    <row r="13223" spans="1:19" ht="28" x14ac:dyDescent="0.15">
      <c r="A13223" s="2">
        <f>HYPERLINK("https://open-school.uspishnemisto.com.ua/school/630558/", 630558)</f>
        <v>630558</v>
      </c>
      <c r="B13223" s="3" t="s">
        <v>66650</v>
      </c>
      <c r="C13223" s="3" t="s">
        <v>54</v>
      </c>
      <c r="D13223" s="3" t="s">
        <v>32</v>
      </c>
      <c r="E13223" s="4" t="s">
        <v>22</v>
      </c>
      <c r="F13223" s="4" t="s">
        <v>66651</v>
      </c>
      <c r="G13223" s="4" t="s">
        <v>66652</v>
      </c>
      <c r="H13223" s="3" t="s">
        <v>63948</v>
      </c>
      <c r="I13223" s="3" t="s">
        <v>10829</v>
      </c>
      <c r="J13223" s="3" t="s">
        <v>1668</v>
      </c>
      <c r="K13223" s="3" t="s">
        <v>66653</v>
      </c>
      <c r="L13223" s="3" t="s">
        <v>66654</v>
      </c>
      <c r="M13223" s="4"/>
      <c r="N13223" s="3" t="s">
        <v>37</v>
      </c>
      <c r="O13223" s="3" t="s">
        <v>38</v>
      </c>
      <c r="P13223" s="5">
        <v>10</v>
      </c>
      <c r="Q13223" s="5">
        <v>95</v>
      </c>
      <c r="R13223" s="5">
        <v>11</v>
      </c>
      <c r="S13223" s="5">
        <v>109</v>
      </c>
    </row>
    <row r="13224" spans="1:19" ht="28" x14ac:dyDescent="0.15">
      <c r="A13224" s="2">
        <f>HYPERLINK("https://open-school.uspishnemisto.com.ua/school/630559/", 630559)</f>
        <v>630559</v>
      </c>
      <c r="B13224" s="3" t="s">
        <v>66655</v>
      </c>
      <c r="C13224" s="3" t="s">
        <v>54</v>
      </c>
      <c r="D13224" s="3" t="s">
        <v>32</v>
      </c>
      <c r="E13224" s="4" t="s">
        <v>22</v>
      </c>
      <c r="F13224" s="4" t="s">
        <v>66656</v>
      </c>
      <c r="G13224" s="4" t="s">
        <v>66657</v>
      </c>
      <c r="H13224" s="3" t="s">
        <v>63948</v>
      </c>
      <c r="I13224" s="3" t="s">
        <v>66658</v>
      </c>
      <c r="J13224" s="3" t="s">
        <v>7905</v>
      </c>
      <c r="K13224" s="3" t="s">
        <v>66659</v>
      </c>
      <c r="L13224" s="3" t="s">
        <v>66660</v>
      </c>
      <c r="M13224" s="4"/>
      <c r="N13224" s="3" t="s">
        <v>37</v>
      </c>
      <c r="O13224" s="3" t="s">
        <v>70</v>
      </c>
      <c r="P13224" s="5">
        <v>11</v>
      </c>
      <c r="Q13224" s="5">
        <v>139</v>
      </c>
      <c r="R13224" s="5">
        <v>11</v>
      </c>
      <c r="S13224" s="5">
        <v>135</v>
      </c>
    </row>
    <row r="13225" spans="1:19" ht="28" x14ac:dyDescent="0.15">
      <c r="A13225" s="2">
        <f>HYPERLINK("https://open-school.uspishnemisto.com.ua/school/630561/", 630561)</f>
        <v>630561</v>
      </c>
      <c r="B13225" s="3" t="s">
        <v>66661</v>
      </c>
      <c r="C13225" s="3" t="s">
        <v>54</v>
      </c>
      <c r="D13225" s="3" t="s">
        <v>32</v>
      </c>
      <c r="E13225" s="4" t="s">
        <v>22</v>
      </c>
      <c r="F13225" s="4" t="s">
        <v>66662</v>
      </c>
      <c r="G13225" s="4" t="s">
        <v>66663</v>
      </c>
      <c r="H13225" s="3" t="s">
        <v>63948</v>
      </c>
      <c r="I13225" s="3" t="s">
        <v>66664</v>
      </c>
      <c r="J13225" s="3" t="s">
        <v>57192</v>
      </c>
      <c r="K13225" s="3" t="s">
        <v>66665</v>
      </c>
      <c r="L13225" s="3"/>
      <c r="M13225" s="4"/>
      <c r="N13225" s="3" t="s">
        <v>37</v>
      </c>
      <c r="O13225" s="3" t="s">
        <v>38</v>
      </c>
      <c r="P13225" s="5">
        <v>6</v>
      </c>
      <c r="Q13225" s="5">
        <v>44</v>
      </c>
      <c r="R13225" s="5">
        <v>6</v>
      </c>
      <c r="S13225" s="5">
        <v>49</v>
      </c>
    </row>
    <row r="13226" spans="1:19" ht="28" x14ac:dyDescent="0.15">
      <c r="A13226" s="2">
        <f>HYPERLINK("https://open-school.uspishnemisto.com.ua/school/630562/", 630562)</f>
        <v>630562</v>
      </c>
      <c r="B13226" s="3" t="s">
        <v>66666</v>
      </c>
      <c r="C13226" s="3" t="s">
        <v>31</v>
      </c>
      <c r="D13226" s="3" t="s">
        <v>32</v>
      </c>
      <c r="E13226" s="4" t="s">
        <v>22</v>
      </c>
      <c r="F13226" s="4" t="s">
        <v>66667</v>
      </c>
      <c r="G13226" s="4" t="s">
        <v>66668</v>
      </c>
      <c r="H13226" s="3" t="s">
        <v>63948</v>
      </c>
      <c r="I13226" s="3" t="s">
        <v>66669</v>
      </c>
      <c r="J13226" s="3" t="s">
        <v>1348</v>
      </c>
      <c r="K13226" s="3" t="s">
        <v>66670</v>
      </c>
      <c r="L13226" s="3" t="s">
        <v>66671</v>
      </c>
      <c r="M13226" s="4"/>
      <c r="N13226" s="3" t="s">
        <v>37</v>
      </c>
      <c r="O13226" s="3" t="s">
        <v>70</v>
      </c>
      <c r="P13226" s="5">
        <v>10</v>
      </c>
      <c r="Q13226" s="5">
        <v>108</v>
      </c>
      <c r="R13226" s="5">
        <v>10</v>
      </c>
      <c r="S13226" s="5">
        <v>100</v>
      </c>
    </row>
    <row r="13227" spans="1:19" ht="28" x14ac:dyDescent="0.15">
      <c r="A13227" s="2">
        <f>HYPERLINK("https://open-school.uspishnemisto.com.ua/school/630563/", 630563)</f>
        <v>630563</v>
      </c>
      <c r="B13227" s="3" t="s">
        <v>66672</v>
      </c>
      <c r="C13227" s="3" t="s">
        <v>31</v>
      </c>
      <c r="D13227" s="3" t="s">
        <v>32</v>
      </c>
      <c r="E13227" s="4" t="s">
        <v>22</v>
      </c>
      <c r="F13227" s="4" t="s">
        <v>66673</v>
      </c>
      <c r="G13227" s="4" t="s">
        <v>66674</v>
      </c>
      <c r="H13227" s="3" t="s">
        <v>63948</v>
      </c>
      <c r="I13227" s="3" t="s">
        <v>66675</v>
      </c>
      <c r="J13227" s="3" t="s">
        <v>66676</v>
      </c>
      <c r="K13227" s="3" t="s">
        <v>66677</v>
      </c>
      <c r="L13227" s="3" t="s">
        <v>66678</v>
      </c>
      <c r="M13227" s="4"/>
      <c r="N13227" s="3" t="s">
        <v>37</v>
      </c>
      <c r="O13227" s="3" t="s">
        <v>112</v>
      </c>
      <c r="P13227" s="5">
        <v>10</v>
      </c>
      <c r="Q13227" s="5">
        <v>62</v>
      </c>
      <c r="R13227" s="5">
        <v>10</v>
      </c>
      <c r="S13227" s="5">
        <v>61</v>
      </c>
    </row>
    <row r="13228" spans="1:19" ht="28" x14ac:dyDescent="0.15">
      <c r="A13228" s="2">
        <f>HYPERLINK("https://open-school.uspishnemisto.com.ua/school/630564/", 630564)</f>
        <v>630564</v>
      </c>
      <c r="B13228" s="3" t="s">
        <v>66679</v>
      </c>
      <c r="C13228" s="3" t="s">
        <v>54</v>
      </c>
      <c r="D13228" s="3" t="s">
        <v>32</v>
      </c>
      <c r="E13228" s="4" t="s">
        <v>22</v>
      </c>
      <c r="F13228" s="4" t="s">
        <v>66680</v>
      </c>
      <c r="G13228" s="4" t="s">
        <v>66681</v>
      </c>
      <c r="H13228" s="3" t="s">
        <v>63948</v>
      </c>
      <c r="I13228" s="3" t="s">
        <v>58691</v>
      </c>
      <c r="J13228" s="3" t="s">
        <v>6677</v>
      </c>
      <c r="K13228" s="3" t="s">
        <v>66682</v>
      </c>
      <c r="L13228" s="3" t="s">
        <v>66683</v>
      </c>
      <c r="M13228" s="4"/>
      <c r="N13228" s="3" t="s">
        <v>37</v>
      </c>
      <c r="O13228" s="3" t="s">
        <v>70</v>
      </c>
      <c r="P13228" s="5">
        <v>11</v>
      </c>
      <c r="Q13228" s="5">
        <v>148</v>
      </c>
      <c r="R13228" s="5">
        <v>11</v>
      </c>
      <c r="S13228" s="5">
        <v>153</v>
      </c>
    </row>
    <row r="13229" spans="1:19" ht="28" x14ac:dyDescent="0.15">
      <c r="A13229" s="2">
        <f>HYPERLINK("https://open-school.uspishnemisto.com.ua/school/630565/", 630565)</f>
        <v>630565</v>
      </c>
      <c r="B13229" s="3" t="s">
        <v>66684</v>
      </c>
      <c r="C13229" s="3" t="s">
        <v>54</v>
      </c>
      <c r="D13229" s="3" t="s">
        <v>32</v>
      </c>
      <c r="E13229" s="4" t="s">
        <v>22</v>
      </c>
      <c r="F13229" s="4" t="s">
        <v>66685</v>
      </c>
      <c r="G13229" s="4" t="s">
        <v>66686</v>
      </c>
      <c r="H13229" s="3" t="s">
        <v>63948</v>
      </c>
      <c r="I13229" s="3" t="s">
        <v>66687</v>
      </c>
      <c r="J13229" s="3" t="s">
        <v>1868</v>
      </c>
      <c r="K13229" s="3" t="s">
        <v>66688</v>
      </c>
      <c r="L13229" s="3" t="s">
        <v>66689</v>
      </c>
      <c r="M13229" s="4"/>
      <c r="N13229" s="3" t="s">
        <v>37</v>
      </c>
      <c r="O13229" s="3" t="s">
        <v>70</v>
      </c>
      <c r="P13229" s="5">
        <v>16</v>
      </c>
      <c r="Q13229" s="5">
        <v>217</v>
      </c>
      <c r="R13229" s="5">
        <v>12</v>
      </c>
      <c r="S13229" s="5">
        <v>199</v>
      </c>
    </row>
    <row r="13230" spans="1:19" ht="28" x14ac:dyDescent="0.15">
      <c r="A13230" s="2">
        <f>HYPERLINK("https://open-school.uspishnemisto.com.ua/school/630566/", 630566)</f>
        <v>630566</v>
      </c>
      <c r="B13230" s="3" t="s">
        <v>66690</v>
      </c>
      <c r="C13230" s="3" t="s">
        <v>54</v>
      </c>
      <c r="D13230" s="3" t="s">
        <v>32</v>
      </c>
      <c r="E13230" s="4" t="s">
        <v>22</v>
      </c>
      <c r="F13230" s="4" t="s">
        <v>66691</v>
      </c>
      <c r="G13230" s="4" t="s">
        <v>66692</v>
      </c>
      <c r="H13230" s="3" t="s">
        <v>63948</v>
      </c>
      <c r="I13230" s="3" t="s">
        <v>66693</v>
      </c>
      <c r="J13230" s="3" t="s">
        <v>466</v>
      </c>
      <c r="K13230" s="3" t="s">
        <v>66694</v>
      </c>
      <c r="L13230" s="3" t="s">
        <v>66695</v>
      </c>
      <c r="M13230" s="4"/>
      <c r="N13230" s="3" t="s">
        <v>37</v>
      </c>
      <c r="O13230" s="3" t="s">
        <v>38</v>
      </c>
      <c r="P13230" s="5">
        <v>11</v>
      </c>
      <c r="Q13230" s="5">
        <v>83</v>
      </c>
      <c r="R13230" s="5">
        <v>11</v>
      </c>
      <c r="S13230" s="5">
        <v>84</v>
      </c>
    </row>
    <row r="13231" spans="1:19" ht="28" x14ac:dyDescent="0.15">
      <c r="A13231" s="2">
        <f>HYPERLINK("https://open-school.uspishnemisto.com.ua/school/630567/", 630567)</f>
        <v>630567</v>
      </c>
      <c r="B13231" s="3" t="s">
        <v>66696</v>
      </c>
      <c r="C13231" s="3" t="s">
        <v>188</v>
      </c>
      <c r="D13231" s="3" t="s">
        <v>32</v>
      </c>
      <c r="E13231" s="4" t="s">
        <v>22</v>
      </c>
      <c r="F13231" s="4" t="s">
        <v>66697</v>
      </c>
      <c r="G13231" s="4" t="s">
        <v>66698</v>
      </c>
      <c r="H13231" s="3" t="s">
        <v>63948</v>
      </c>
      <c r="I13231" s="3" t="s">
        <v>66699</v>
      </c>
      <c r="J13231" s="3" t="s">
        <v>66700</v>
      </c>
      <c r="K13231" s="3" t="s">
        <v>66701</v>
      </c>
      <c r="L13231" s="3" t="s">
        <v>66702</v>
      </c>
      <c r="M13231" s="4" t="s">
        <v>66703</v>
      </c>
      <c r="N13231" s="3" t="s">
        <v>37</v>
      </c>
      <c r="O13231" s="3" t="s">
        <v>70</v>
      </c>
      <c r="P13231" s="5">
        <v>26</v>
      </c>
      <c r="Q13231" s="5">
        <v>627</v>
      </c>
      <c r="R13231" s="5">
        <v>26</v>
      </c>
      <c r="S13231" s="5">
        <v>623</v>
      </c>
    </row>
    <row r="13232" spans="1:19" ht="28" x14ac:dyDescent="0.15">
      <c r="A13232" s="2">
        <f>HYPERLINK("https://open-school.uspishnemisto.com.ua/school/630568/", 630568)</f>
        <v>630568</v>
      </c>
      <c r="B13232" s="3" t="s">
        <v>66704</v>
      </c>
      <c r="C13232" s="3" t="s">
        <v>31</v>
      </c>
      <c r="D13232" s="3" t="s">
        <v>32</v>
      </c>
      <c r="E13232" s="4" t="s">
        <v>22</v>
      </c>
      <c r="F13232" s="4" t="s">
        <v>66705</v>
      </c>
      <c r="G13232" s="4" t="s">
        <v>66706</v>
      </c>
      <c r="H13232" s="3" t="s">
        <v>63948</v>
      </c>
      <c r="I13232" s="3" t="s">
        <v>11220</v>
      </c>
      <c r="J13232" s="3" t="s">
        <v>466</v>
      </c>
      <c r="K13232" s="3" t="s">
        <v>66707</v>
      </c>
      <c r="L13232" s="3"/>
      <c r="M13232" s="4"/>
      <c r="N13232" s="3" t="s">
        <v>37</v>
      </c>
      <c r="O13232" s="3" t="s">
        <v>38</v>
      </c>
      <c r="P13232" s="5">
        <v>21</v>
      </c>
      <c r="Q13232" s="5">
        <v>460</v>
      </c>
      <c r="R13232" s="5">
        <v>21</v>
      </c>
      <c r="S13232" s="5">
        <v>472</v>
      </c>
    </row>
    <row r="13233" spans="1:19" ht="28" x14ac:dyDescent="0.15">
      <c r="A13233" s="2">
        <f>HYPERLINK("https://open-school.uspishnemisto.com.ua/school/630569/", 630569)</f>
        <v>630569</v>
      </c>
      <c r="B13233" s="3" t="s">
        <v>66708</v>
      </c>
      <c r="C13233" s="3" t="s">
        <v>31</v>
      </c>
      <c r="D13233" s="3" t="s">
        <v>32</v>
      </c>
      <c r="E13233" s="4" t="s">
        <v>22</v>
      </c>
      <c r="F13233" s="4" t="s">
        <v>66709</v>
      </c>
      <c r="G13233" s="4" t="s">
        <v>66710</v>
      </c>
      <c r="H13233" s="3" t="s">
        <v>63948</v>
      </c>
      <c r="I13233" s="3" t="s">
        <v>4594</v>
      </c>
      <c r="J13233" s="3" t="s">
        <v>878</v>
      </c>
      <c r="K13233" s="3" t="s">
        <v>66711</v>
      </c>
      <c r="L13233" s="3"/>
      <c r="M13233" s="4"/>
      <c r="N13233" s="3" t="s">
        <v>37</v>
      </c>
      <c r="O13233" s="3" t="s">
        <v>38</v>
      </c>
      <c r="P13233" s="5">
        <v>11</v>
      </c>
      <c r="Q13233" s="5">
        <v>100</v>
      </c>
      <c r="R13233" s="5">
        <v>11</v>
      </c>
      <c r="S13233" s="5">
        <v>102</v>
      </c>
    </row>
    <row r="13234" spans="1:19" ht="56" x14ac:dyDescent="0.15">
      <c r="A13234" s="2">
        <f>HYPERLINK("https://open-school.uspishnemisto.com.ua/school/630570/", 630570)</f>
        <v>630570</v>
      </c>
      <c r="B13234" s="3" t="s">
        <v>66712</v>
      </c>
      <c r="C13234" s="3" t="s">
        <v>54</v>
      </c>
      <c r="D13234" s="3" t="s">
        <v>175</v>
      </c>
      <c r="E13234" s="4" t="s">
        <v>22</v>
      </c>
      <c r="F13234" s="4" t="s">
        <v>66713</v>
      </c>
      <c r="G13234" s="4" t="s">
        <v>66714</v>
      </c>
      <c r="H13234" s="3" t="s">
        <v>63948</v>
      </c>
      <c r="I13234" s="3" t="s">
        <v>66715</v>
      </c>
      <c r="J13234" s="3" t="s">
        <v>634</v>
      </c>
      <c r="K13234" s="3" t="s">
        <v>66716</v>
      </c>
      <c r="L13234" s="3"/>
      <c r="M13234" s="4"/>
      <c r="N13234" s="3" t="s">
        <v>37</v>
      </c>
      <c r="O13234" s="3" t="s">
        <v>38</v>
      </c>
      <c r="P13234" s="5">
        <v>9</v>
      </c>
      <c r="Q13234" s="5">
        <v>62</v>
      </c>
      <c r="R13234" s="5">
        <v>8</v>
      </c>
      <c r="S13234" s="5">
        <v>52</v>
      </c>
    </row>
    <row r="13235" spans="1:19" ht="56" x14ac:dyDescent="0.15">
      <c r="A13235" s="2">
        <f>HYPERLINK("https://open-school.uspishnemisto.com.ua/school/630571/", 630571)</f>
        <v>630571</v>
      </c>
      <c r="B13235" s="3" t="s">
        <v>66717</v>
      </c>
      <c r="C13235" s="3" t="s">
        <v>54</v>
      </c>
      <c r="D13235" s="3" t="s">
        <v>175</v>
      </c>
      <c r="E13235" s="4" t="s">
        <v>22</v>
      </c>
      <c r="F13235" s="4" t="s">
        <v>66718</v>
      </c>
      <c r="G13235" s="4" t="s">
        <v>66719</v>
      </c>
      <c r="H13235" s="3" t="s">
        <v>63948</v>
      </c>
      <c r="I13235" s="3" t="s">
        <v>34727</v>
      </c>
      <c r="J13235" s="3" t="s">
        <v>11194</v>
      </c>
      <c r="K13235" s="3" t="s">
        <v>66720</v>
      </c>
      <c r="L13235" s="3" t="s">
        <v>66721</v>
      </c>
      <c r="M13235" s="4"/>
      <c r="N13235" s="3" t="s">
        <v>37</v>
      </c>
      <c r="O13235" s="3" t="s">
        <v>38</v>
      </c>
      <c r="P13235" s="5">
        <v>8</v>
      </c>
      <c r="Q13235" s="5">
        <v>49</v>
      </c>
      <c r="R13235" s="5">
        <v>8</v>
      </c>
      <c r="S13235" s="5">
        <v>47</v>
      </c>
    </row>
    <row r="13236" spans="1:19" ht="28" x14ac:dyDescent="0.15">
      <c r="A13236" s="2">
        <f>HYPERLINK("https://open-school.uspishnemisto.com.ua/school/630572/", 630572)</f>
        <v>630572</v>
      </c>
      <c r="B13236" s="3" t="s">
        <v>66722</v>
      </c>
      <c r="C13236" s="3" t="s">
        <v>31</v>
      </c>
      <c r="D13236" s="3" t="s">
        <v>175</v>
      </c>
      <c r="E13236" s="4" t="s">
        <v>22</v>
      </c>
      <c r="F13236" s="4" t="s">
        <v>66723</v>
      </c>
      <c r="G13236" s="4" t="s">
        <v>66724</v>
      </c>
      <c r="H13236" s="3" t="s">
        <v>63948</v>
      </c>
      <c r="I13236" s="3" t="s">
        <v>66725</v>
      </c>
      <c r="J13236" s="3" t="s">
        <v>297</v>
      </c>
      <c r="K13236" s="3" t="s">
        <v>66726</v>
      </c>
      <c r="L13236" s="3" t="s">
        <v>66727</v>
      </c>
      <c r="M13236" s="4"/>
      <c r="N13236" s="3" t="s">
        <v>37</v>
      </c>
      <c r="O13236" s="3" t="s">
        <v>112</v>
      </c>
      <c r="P13236" s="5">
        <v>9</v>
      </c>
      <c r="Q13236" s="5">
        <v>110</v>
      </c>
      <c r="R13236" s="5">
        <v>9</v>
      </c>
      <c r="S13236" s="5">
        <v>117</v>
      </c>
    </row>
    <row r="13237" spans="1:19" ht="28" x14ac:dyDescent="0.15">
      <c r="A13237" s="2">
        <f>HYPERLINK("https://open-school.uspishnemisto.com.ua/school/630573/", 630573)</f>
        <v>630573</v>
      </c>
      <c r="B13237" s="3" t="s">
        <v>66728</v>
      </c>
      <c r="C13237" s="3" t="s">
        <v>31</v>
      </c>
      <c r="D13237" s="3" t="s">
        <v>32</v>
      </c>
      <c r="E13237" s="4" t="s">
        <v>22</v>
      </c>
      <c r="F13237" s="4" t="s">
        <v>66729</v>
      </c>
      <c r="G13237" s="4" t="s">
        <v>66730</v>
      </c>
      <c r="H13237" s="3" t="s">
        <v>63948</v>
      </c>
      <c r="I13237" s="3" t="s">
        <v>4005</v>
      </c>
      <c r="J13237" s="3" t="s">
        <v>11194</v>
      </c>
      <c r="K13237" s="3" t="s">
        <v>66731</v>
      </c>
      <c r="L13237" s="3" t="s">
        <v>66732</v>
      </c>
      <c r="M13237" s="4"/>
      <c r="N13237" s="3" t="s">
        <v>37</v>
      </c>
      <c r="O13237" s="3" t="s">
        <v>38</v>
      </c>
      <c r="P13237" s="5">
        <v>10</v>
      </c>
      <c r="Q13237" s="5">
        <v>122</v>
      </c>
      <c r="R13237" s="5">
        <v>11</v>
      </c>
      <c r="S13237" s="5">
        <v>130</v>
      </c>
    </row>
    <row r="13238" spans="1:19" ht="56" x14ac:dyDescent="0.15">
      <c r="A13238" s="2">
        <f>HYPERLINK("https://open-school.uspishnemisto.com.ua/school/630574/", 630574)</f>
        <v>630574</v>
      </c>
      <c r="B13238" s="3" t="s">
        <v>66733</v>
      </c>
      <c r="C13238" s="3" t="s">
        <v>54</v>
      </c>
      <c r="D13238" s="3" t="s">
        <v>32</v>
      </c>
      <c r="E13238" s="4" t="s">
        <v>22</v>
      </c>
      <c r="F13238" s="4" t="s">
        <v>66734</v>
      </c>
      <c r="G13238" s="4" t="s">
        <v>66735</v>
      </c>
      <c r="H13238" s="3" t="s">
        <v>63948</v>
      </c>
      <c r="I13238" s="3" t="s">
        <v>66736</v>
      </c>
      <c r="J13238" s="3" t="s">
        <v>66737</v>
      </c>
      <c r="K13238" s="3" t="s">
        <v>66738</v>
      </c>
      <c r="L13238" s="3" t="s">
        <v>66739</v>
      </c>
      <c r="M13238" s="4"/>
      <c r="N13238" s="3" t="s">
        <v>37</v>
      </c>
      <c r="O13238" s="3" t="s">
        <v>112</v>
      </c>
      <c r="P13238" s="5">
        <v>11</v>
      </c>
      <c r="Q13238" s="5">
        <v>82</v>
      </c>
      <c r="R13238" s="5">
        <v>11</v>
      </c>
      <c r="S13238" s="5">
        <v>80</v>
      </c>
    </row>
    <row r="13239" spans="1:19" ht="28" x14ac:dyDescent="0.15">
      <c r="A13239" s="2">
        <f>HYPERLINK("https://open-school.uspishnemisto.com.ua/school/630575/", 630575)</f>
        <v>630575</v>
      </c>
      <c r="B13239" s="3" t="s">
        <v>66740</v>
      </c>
      <c r="C13239" s="3" t="s">
        <v>31</v>
      </c>
      <c r="D13239" s="3" t="s">
        <v>32</v>
      </c>
      <c r="E13239" s="4" t="s">
        <v>22</v>
      </c>
      <c r="F13239" s="4" t="s">
        <v>66741</v>
      </c>
      <c r="G13239" s="4" t="s">
        <v>66742</v>
      </c>
      <c r="H13239" s="3" t="s">
        <v>63948</v>
      </c>
      <c r="I13239" s="3" t="s">
        <v>66743</v>
      </c>
      <c r="J13239" s="3" t="s">
        <v>466</v>
      </c>
      <c r="K13239" s="3" t="s">
        <v>66744</v>
      </c>
      <c r="L13239" s="3" t="s">
        <v>66745</v>
      </c>
      <c r="M13239" s="4"/>
      <c r="N13239" s="3" t="s">
        <v>37</v>
      </c>
      <c r="O13239" s="3" t="s">
        <v>70</v>
      </c>
      <c r="P13239" s="5">
        <v>11</v>
      </c>
      <c r="Q13239" s="5">
        <v>104</v>
      </c>
      <c r="R13239" s="5">
        <v>11</v>
      </c>
      <c r="S13239" s="5">
        <v>109</v>
      </c>
    </row>
    <row r="13240" spans="1:19" ht="56" x14ac:dyDescent="0.15">
      <c r="A13240" s="2">
        <f>HYPERLINK("https://open-school.uspishnemisto.com.ua/school/630576/", 630576)</f>
        <v>630576</v>
      </c>
      <c r="B13240" s="3" t="s">
        <v>66746</v>
      </c>
      <c r="C13240" s="3" t="s">
        <v>54</v>
      </c>
      <c r="D13240" s="3" t="s">
        <v>32</v>
      </c>
      <c r="E13240" s="4" t="s">
        <v>22</v>
      </c>
      <c r="F13240" s="4" t="s">
        <v>66747</v>
      </c>
      <c r="G13240" s="4" t="s">
        <v>66748</v>
      </c>
      <c r="H13240" s="3" t="s">
        <v>63948</v>
      </c>
      <c r="I13240" s="3" t="s">
        <v>66749</v>
      </c>
      <c r="J13240" s="3" t="s">
        <v>66750</v>
      </c>
      <c r="K13240" s="3" t="s">
        <v>66751</v>
      </c>
      <c r="L13240" s="3" t="s">
        <v>66752</v>
      </c>
      <c r="M13240" s="4"/>
      <c r="N13240" s="3" t="s">
        <v>37</v>
      </c>
      <c r="O13240" s="3" t="s">
        <v>70</v>
      </c>
      <c r="P13240" s="5">
        <v>11</v>
      </c>
      <c r="Q13240" s="5">
        <v>69</v>
      </c>
      <c r="R13240" s="5">
        <v>11</v>
      </c>
      <c r="S13240" s="5">
        <v>71</v>
      </c>
    </row>
    <row r="13241" spans="1:19" ht="28" x14ac:dyDescent="0.15">
      <c r="A13241" s="2">
        <f>HYPERLINK("https://open-school.uspishnemisto.com.ua/school/630577/", 630577)</f>
        <v>630577</v>
      </c>
      <c r="B13241" s="3" t="s">
        <v>66753</v>
      </c>
      <c r="C13241" s="3" t="s">
        <v>31</v>
      </c>
      <c r="D13241" s="3" t="s">
        <v>175</v>
      </c>
      <c r="E13241" s="4" t="s">
        <v>22</v>
      </c>
      <c r="F13241" s="4" t="s">
        <v>66754</v>
      </c>
      <c r="G13241" s="4" t="s">
        <v>66755</v>
      </c>
      <c r="H13241" s="3" t="s">
        <v>63948</v>
      </c>
      <c r="I13241" s="3" t="s">
        <v>1587</v>
      </c>
      <c r="J13241" s="3" t="s">
        <v>466</v>
      </c>
      <c r="K13241" s="3" t="s">
        <v>66756</v>
      </c>
      <c r="L13241" s="3" t="s">
        <v>66757</v>
      </c>
      <c r="M13241" s="4"/>
      <c r="N13241" s="3" t="s">
        <v>37</v>
      </c>
      <c r="O13241" s="3" t="s">
        <v>112</v>
      </c>
      <c r="P13241" s="5">
        <v>8</v>
      </c>
      <c r="Q13241" s="5">
        <v>54</v>
      </c>
      <c r="R13241" s="5">
        <v>7</v>
      </c>
      <c r="S13241" s="5">
        <v>51</v>
      </c>
    </row>
    <row r="13242" spans="1:19" ht="56" x14ac:dyDescent="0.15">
      <c r="A13242" s="2">
        <f>HYPERLINK("https://open-school.uspishnemisto.com.ua/school/630578/", 630578)</f>
        <v>630578</v>
      </c>
      <c r="B13242" s="3" t="s">
        <v>66758</v>
      </c>
      <c r="C13242" s="3" t="s">
        <v>54</v>
      </c>
      <c r="D13242" s="3" t="s">
        <v>175</v>
      </c>
      <c r="E13242" s="4" t="s">
        <v>22</v>
      </c>
      <c r="F13242" s="4" t="s">
        <v>66697</v>
      </c>
      <c r="G13242" s="4" t="s">
        <v>66759</v>
      </c>
      <c r="H13242" s="3" t="s">
        <v>63948</v>
      </c>
      <c r="I13242" s="3" t="s">
        <v>48227</v>
      </c>
      <c r="J13242" s="3" t="s">
        <v>3393</v>
      </c>
      <c r="K13242" s="3" t="s">
        <v>66760</v>
      </c>
      <c r="L13242" s="3"/>
      <c r="M13242" s="4"/>
      <c r="N13242" s="3" t="s">
        <v>37</v>
      </c>
      <c r="O13242" s="3" t="s">
        <v>38</v>
      </c>
      <c r="P13242" s="5">
        <v>7</v>
      </c>
      <c r="Q13242" s="5">
        <v>44</v>
      </c>
      <c r="R13242" s="5">
        <v>6</v>
      </c>
      <c r="S13242" s="5">
        <v>44</v>
      </c>
    </row>
    <row r="13243" spans="1:19" ht="28" x14ac:dyDescent="0.15">
      <c r="A13243" s="2">
        <f>HYPERLINK("https://open-school.uspishnemisto.com.ua/school/630579/", 630579)</f>
        <v>630579</v>
      </c>
      <c r="B13243" s="3" t="s">
        <v>66761</v>
      </c>
      <c r="C13243" s="3" t="s">
        <v>31</v>
      </c>
      <c r="D13243" s="3" t="s">
        <v>175</v>
      </c>
      <c r="E13243" s="4" t="s">
        <v>22</v>
      </c>
      <c r="F13243" s="4" t="s">
        <v>66762</v>
      </c>
      <c r="G13243" s="4" t="s">
        <v>66763</v>
      </c>
      <c r="H13243" s="3" t="s">
        <v>63948</v>
      </c>
      <c r="I13243" s="3" t="s">
        <v>11355</v>
      </c>
      <c r="J13243" s="3" t="s">
        <v>66764</v>
      </c>
      <c r="K13243" s="3" t="s">
        <v>66765</v>
      </c>
      <c r="L13243" s="3" t="s">
        <v>66766</v>
      </c>
      <c r="M13243" s="4"/>
      <c r="N13243" s="3" t="s">
        <v>37</v>
      </c>
      <c r="O13243" s="3" t="s">
        <v>70</v>
      </c>
      <c r="P13243" s="5">
        <v>7</v>
      </c>
      <c r="Q13243" s="5">
        <v>40</v>
      </c>
      <c r="R13243" s="5">
        <v>7</v>
      </c>
      <c r="S13243" s="5">
        <v>40</v>
      </c>
    </row>
    <row r="13244" spans="1:19" ht="28" x14ac:dyDescent="0.15">
      <c r="A13244" s="2">
        <f>HYPERLINK("https://open-school.uspishnemisto.com.ua/school/630580/", 630580)</f>
        <v>630580</v>
      </c>
      <c r="B13244" s="3" t="s">
        <v>66767</v>
      </c>
      <c r="C13244" s="3" t="s">
        <v>31</v>
      </c>
      <c r="D13244" s="3" t="s">
        <v>175</v>
      </c>
      <c r="E13244" s="4" t="s">
        <v>22</v>
      </c>
      <c r="F13244" s="4" t="s">
        <v>66768</v>
      </c>
      <c r="G13244" s="4" t="s">
        <v>66769</v>
      </c>
      <c r="H13244" s="3" t="s">
        <v>63948</v>
      </c>
      <c r="I13244" s="3" t="s">
        <v>66770</v>
      </c>
      <c r="J13244" s="3" t="s">
        <v>878</v>
      </c>
      <c r="K13244" s="3" t="s">
        <v>66771</v>
      </c>
      <c r="L13244" s="3" t="s">
        <v>66772</v>
      </c>
      <c r="M13244" s="4"/>
      <c r="N13244" s="3" t="s">
        <v>37</v>
      </c>
      <c r="O13244" s="3" t="s">
        <v>38</v>
      </c>
      <c r="P13244" s="5">
        <v>9</v>
      </c>
      <c r="Q13244" s="5">
        <v>66</v>
      </c>
      <c r="R13244" s="5">
        <v>9</v>
      </c>
      <c r="S13244" s="5">
        <v>66</v>
      </c>
    </row>
    <row r="13245" spans="1:19" ht="56" x14ac:dyDescent="0.15">
      <c r="A13245" s="2">
        <f>HYPERLINK("https://open-school.uspishnemisto.com.ua/school/630581/", 630581)</f>
        <v>630581</v>
      </c>
      <c r="B13245" s="3" t="s">
        <v>66773</v>
      </c>
      <c r="C13245" s="3" t="s">
        <v>54</v>
      </c>
      <c r="D13245" s="3" t="s">
        <v>32</v>
      </c>
      <c r="E13245" s="4" t="s">
        <v>22</v>
      </c>
      <c r="F13245" s="4" t="s">
        <v>66774</v>
      </c>
      <c r="G13245" s="4" t="s">
        <v>66775</v>
      </c>
      <c r="H13245" s="3" t="s">
        <v>63948</v>
      </c>
      <c r="I13245" s="3" t="s">
        <v>66776</v>
      </c>
      <c r="J13245" s="3" t="s">
        <v>66777</v>
      </c>
      <c r="K13245" s="3" t="s">
        <v>66778</v>
      </c>
      <c r="L13245" s="3" t="s">
        <v>66779</v>
      </c>
      <c r="M13245" s="4"/>
      <c r="N13245" s="3" t="s">
        <v>37</v>
      </c>
      <c r="O13245" s="3" t="s">
        <v>38</v>
      </c>
      <c r="P13245" s="5">
        <v>17</v>
      </c>
      <c r="Q13245" s="5">
        <v>336</v>
      </c>
      <c r="R13245" s="5">
        <v>16</v>
      </c>
      <c r="S13245" s="5">
        <v>342</v>
      </c>
    </row>
    <row r="13246" spans="1:19" ht="42" x14ac:dyDescent="0.15">
      <c r="A13246" s="2">
        <f>HYPERLINK("https://open-school.uspishnemisto.com.ua/school/630582/", 630582)</f>
        <v>630582</v>
      </c>
      <c r="B13246" s="3" t="s">
        <v>66780</v>
      </c>
      <c r="C13246" s="3" t="s">
        <v>54</v>
      </c>
      <c r="D13246" s="3" t="s">
        <v>32</v>
      </c>
      <c r="E13246" s="4" t="s">
        <v>22</v>
      </c>
      <c r="F13246" s="4" t="s">
        <v>66781</v>
      </c>
      <c r="G13246" s="4" t="s">
        <v>66782</v>
      </c>
      <c r="H13246" s="3" t="s">
        <v>63948</v>
      </c>
      <c r="I13246" s="3" t="s">
        <v>66783</v>
      </c>
      <c r="J13246" s="3" t="s">
        <v>1636</v>
      </c>
      <c r="K13246" s="3" t="s">
        <v>66784</v>
      </c>
      <c r="L13246" s="3"/>
      <c r="M13246" s="4"/>
      <c r="N13246" s="3" t="s">
        <v>37</v>
      </c>
      <c r="O13246" s="3" t="s">
        <v>38</v>
      </c>
      <c r="P13246" s="5">
        <v>11</v>
      </c>
      <c r="Q13246" s="5">
        <v>147</v>
      </c>
      <c r="R13246" s="5">
        <v>11</v>
      </c>
      <c r="S13246" s="5">
        <v>126</v>
      </c>
    </row>
    <row r="13247" spans="1:19" ht="42" x14ac:dyDescent="0.15">
      <c r="A13247" s="2">
        <f>HYPERLINK("https://open-school.uspishnemisto.com.ua/school/630583/", 630583)</f>
        <v>630583</v>
      </c>
      <c r="B13247" s="3" t="s">
        <v>66785</v>
      </c>
      <c r="C13247" s="3" t="s">
        <v>54</v>
      </c>
      <c r="D13247" s="3" t="s">
        <v>32</v>
      </c>
      <c r="E13247" s="4" t="s">
        <v>22</v>
      </c>
      <c r="F13247" s="4" t="s">
        <v>66786</v>
      </c>
      <c r="G13247" s="4" t="s">
        <v>66787</v>
      </c>
      <c r="H13247" s="3" t="s">
        <v>63948</v>
      </c>
      <c r="I13247" s="3" t="s">
        <v>66788</v>
      </c>
      <c r="J13247" s="3" t="s">
        <v>66789</v>
      </c>
      <c r="K13247" s="3" t="s">
        <v>66790</v>
      </c>
      <c r="L13247" s="3" t="s">
        <v>66791</v>
      </c>
      <c r="M13247" s="4"/>
      <c r="N13247" s="3" t="s">
        <v>37</v>
      </c>
      <c r="O13247" s="3" t="s">
        <v>38</v>
      </c>
      <c r="P13247" s="5">
        <v>10</v>
      </c>
      <c r="Q13247" s="5">
        <v>203</v>
      </c>
      <c r="R13247" s="5">
        <v>11</v>
      </c>
      <c r="S13247" s="5">
        <v>192</v>
      </c>
    </row>
    <row r="13248" spans="1:19" ht="28" x14ac:dyDescent="0.15">
      <c r="A13248" s="2">
        <f>HYPERLINK("https://open-school.uspishnemisto.com.ua/school/630584/", 630584)</f>
        <v>630584</v>
      </c>
      <c r="B13248" s="3" t="s">
        <v>66792</v>
      </c>
      <c r="C13248" s="3" t="s">
        <v>40</v>
      </c>
      <c r="D13248" s="3" t="s">
        <v>32</v>
      </c>
      <c r="E13248" s="4" t="s">
        <v>22</v>
      </c>
      <c r="F13248" s="4" t="s">
        <v>66793</v>
      </c>
      <c r="G13248" s="4" t="s">
        <v>66794</v>
      </c>
      <c r="H13248" s="3" t="s">
        <v>63948</v>
      </c>
      <c r="I13248" s="3" t="s">
        <v>66795</v>
      </c>
      <c r="J13248" s="3" t="s">
        <v>66796</v>
      </c>
      <c r="K13248" s="3" t="s">
        <v>66797</v>
      </c>
      <c r="L13248" s="3" t="s">
        <v>66798</v>
      </c>
      <c r="M13248" s="4"/>
      <c r="N13248" s="3" t="s">
        <v>37</v>
      </c>
      <c r="O13248" s="3" t="s">
        <v>70</v>
      </c>
      <c r="P13248" s="5">
        <v>21</v>
      </c>
      <c r="Q13248" s="5">
        <v>477</v>
      </c>
      <c r="R13248" s="5">
        <v>23</v>
      </c>
      <c r="S13248" s="5">
        <v>512</v>
      </c>
    </row>
    <row r="13249" spans="1:19" ht="42" x14ac:dyDescent="0.15">
      <c r="A13249" s="2">
        <f>HYPERLINK("https://open-school.uspishnemisto.com.ua/school/630585/", 630585)</f>
        <v>630585</v>
      </c>
      <c r="B13249" s="3" t="s">
        <v>66799</v>
      </c>
      <c r="C13249" s="3" t="s">
        <v>31</v>
      </c>
      <c r="D13249" s="3" t="s">
        <v>32</v>
      </c>
      <c r="E13249" s="4" t="s">
        <v>22</v>
      </c>
      <c r="F13249" s="4" t="s">
        <v>66800</v>
      </c>
      <c r="G13249" s="4" t="s">
        <v>66794</v>
      </c>
      <c r="H13249" s="3" t="s">
        <v>63948</v>
      </c>
      <c r="I13249" s="3" t="s">
        <v>66795</v>
      </c>
      <c r="J13249" s="3" t="s">
        <v>66801</v>
      </c>
      <c r="K13249" s="3" t="s">
        <v>66802</v>
      </c>
      <c r="L13249" s="3" t="s">
        <v>66803</v>
      </c>
      <c r="M13249" s="4"/>
      <c r="N13249" s="3" t="s">
        <v>37</v>
      </c>
      <c r="O13249" s="3" t="s">
        <v>70</v>
      </c>
      <c r="P13249" s="5">
        <v>23</v>
      </c>
      <c r="Q13249" s="5">
        <v>595</v>
      </c>
      <c r="R13249" s="5">
        <v>23</v>
      </c>
      <c r="S13249" s="5">
        <v>582</v>
      </c>
    </row>
    <row r="13250" spans="1:19" ht="42" x14ac:dyDescent="0.15">
      <c r="A13250" s="2">
        <f>HYPERLINK("https://open-school.uspishnemisto.com.ua/school/630586/", 630586)</f>
        <v>630586</v>
      </c>
      <c r="B13250" s="3" t="s">
        <v>66804</v>
      </c>
      <c r="C13250" s="3" t="s">
        <v>188</v>
      </c>
      <c r="D13250" s="3" t="s">
        <v>32</v>
      </c>
      <c r="E13250" s="4" t="s">
        <v>22</v>
      </c>
      <c r="F13250" s="4" t="s">
        <v>66800</v>
      </c>
      <c r="G13250" s="4" t="s">
        <v>66794</v>
      </c>
      <c r="H13250" s="3" t="s">
        <v>63948</v>
      </c>
      <c r="I13250" s="3" t="s">
        <v>66795</v>
      </c>
      <c r="J13250" s="3" t="s">
        <v>66805</v>
      </c>
      <c r="K13250" s="3" t="s">
        <v>66806</v>
      </c>
      <c r="L13250" s="3" t="s">
        <v>66807</v>
      </c>
      <c r="M13250" s="4"/>
      <c r="N13250" s="3" t="s">
        <v>128</v>
      </c>
      <c r="O13250" s="3" t="s">
        <v>70</v>
      </c>
      <c r="P13250" s="5">
        <v>34</v>
      </c>
      <c r="Q13250" s="5">
        <v>520</v>
      </c>
      <c r="R13250" s="5">
        <v>20</v>
      </c>
      <c r="S13250" s="5">
        <v>383</v>
      </c>
    </row>
    <row r="13251" spans="1:19" ht="56" x14ac:dyDescent="0.15">
      <c r="A13251" s="2">
        <f>HYPERLINK("https://open-school.uspishnemisto.com.ua/school/630587/", 630587)</f>
        <v>630587</v>
      </c>
      <c r="B13251" s="3" t="s">
        <v>66808</v>
      </c>
      <c r="C13251" s="3" t="s">
        <v>54</v>
      </c>
      <c r="D13251" s="3" t="s">
        <v>32</v>
      </c>
      <c r="E13251" s="4" t="s">
        <v>22</v>
      </c>
      <c r="F13251" s="4" t="s">
        <v>66800</v>
      </c>
      <c r="G13251" s="4" t="s">
        <v>66794</v>
      </c>
      <c r="H13251" s="3" t="s">
        <v>63948</v>
      </c>
      <c r="I13251" s="3" t="s">
        <v>66795</v>
      </c>
      <c r="J13251" s="3" t="s">
        <v>66809</v>
      </c>
      <c r="K13251" s="3" t="s">
        <v>66810</v>
      </c>
      <c r="L13251" s="3" t="s">
        <v>66811</v>
      </c>
      <c r="M13251" s="4"/>
      <c r="N13251" s="3" t="s">
        <v>37</v>
      </c>
      <c r="O13251" s="3" t="s">
        <v>38</v>
      </c>
      <c r="P13251" s="5">
        <v>21</v>
      </c>
      <c r="Q13251" s="5">
        <v>477</v>
      </c>
      <c r="R13251" s="5">
        <v>19</v>
      </c>
      <c r="S13251" s="5">
        <v>431</v>
      </c>
    </row>
    <row r="13252" spans="1:19" ht="56" x14ac:dyDescent="0.15">
      <c r="A13252" s="2">
        <f>HYPERLINK("https://open-school.uspishnemisto.com.ua/school/630588/", 630588)</f>
        <v>630588</v>
      </c>
      <c r="B13252" s="3" t="s">
        <v>66812</v>
      </c>
      <c r="C13252" s="3" t="s">
        <v>54</v>
      </c>
      <c r="D13252" s="3" t="s">
        <v>32</v>
      </c>
      <c r="E13252" s="4" t="s">
        <v>22</v>
      </c>
      <c r="F13252" s="4" t="s">
        <v>66800</v>
      </c>
      <c r="G13252" s="4" t="s">
        <v>66794</v>
      </c>
      <c r="H13252" s="3" t="s">
        <v>63948</v>
      </c>
      <c r="I13252" s="3" t="s">
        <v>66795</v>
      </c>
      <c r="J13252" s="3" t="s">
        <v>66813</v>
      </c>
      <c r="K13252" s="3" t="s">
        <v>66814</v>
      </c>
      <c r="L13252" s="3" t="s">
        <v>66815</v>
      </c>
      <c r="M13252" s="4"/>
      <c r="N13252" s="3" t="s">
        <v>37</v>
      </c>
      <c r="O13252" s="3" t="s">
        <v>38</v>
      </c>
      <c r="P13252" s="5">
        <v>20</v>
      </c>
      <c r="Q13252" s="5">
        <v>414</v>
      </c>
      <c r="R13252" s="5">
        <v>20</v>
      </c>
      <c r="S13252" s="5">
        <v>407</v>
      </c>
    </row>
    <row r="13253" spans="1:19" ht="56" x14ac:dyDescent="0.15">
      <c r="A13253" s="2">
        <f>HYPERLINK("https://open-school.uspishnemisto.com.ua/school/630589/", 630589)</f>
        <v>630589</v>
      </c>
      <c r="B13253" s="3" t="s">
        <v>66816</v>
      </c>
      <c r="C13253" s="3" t="s">
        <v>54</v>
      </c>
      <c r="D13253" s="3" t="s">
        <v>175</v>
      </c>
      <c r="E13253" s="4" t="s">
        <v>22</v>
      </c>
      <c r="F13253" s="4" t="s">
        <v>66817</v>
      </c>
      <c r="G13253" s="4" t="s">
        <v>66818</v>
      </c>
      <c r="H13253" s="3" t="s">
        <v>63948</v>
      </c>
      <c r="I13253" s="3" t="s">
        <v>10816</v>
      </c>
      <c r="J13253" s="3" t="s">
        <v>66819</v>
      </c>
      <c r="K13253" s="3" t="s">
        <v>66820</v>
      </c>
      <c r="L13253" s="3"/>
      <c r="M13253" s="4"/>
      <c r="N13253" s="3" t="s">
        <v>37</v>
      </c>
      <c r="O13253" s="3" t="s">
        <v>112</v>
      </c>
      <c r="P13253" s="5">
        <v>6</v>
      </c>
      <c r="Q13253" s="5">
        <v>40</v>
      </c>
      <c r="R13253" s="5">
        <v>6</v>
      </c>
      <c r="S13253" s="5">
        <v>43</v>
      </c>
    </row>
    <row r="13254" spans="1:19" ht="56" x14ac:dyDescent="0.15">
      <c r="A13254" s="2">
        <f>HYPERLINK("https://open-school.uspishnemisto.com.ua/school/630590/", 630590)</f>
        <v>630590</v>
      </c>
      <c r="B13254" s="3" t="s">
        <v>66821</v>
      </c>
      <c r="C13254" s="3" t="s">
        <v>54</v>
      </c>
      <c r="D13254" s="3" t="s">
        <v>175</v>
      </c>
      <c r="E13254" s="4" t="s">
        <v>22</v>
      </c>
      <c r="F13254" s="4" t="s">
        <v>66822</v>
      </c>
      <c r="G13254" s="4" t="s">
        <v>66823</v>
      </c>
      <c r="H13254" s="3" t="s">
        <v>63948</v>
      </c>
      <c r="I13254" s="3" t="s">
        <v>362</v>
      </c>
      <c r="J13254" s="3" t="s">
        <v>66824</v>
      </c>
      <c r="K13254" s="3" t="s">
        <v>66825</v>
      </c>
      <c r="L13254" s="3" t="s">
        <v>66826</v>
      </c>
      <c r="M13254" s="4"/>
      <c r="N13254" s="3" t="s">
        <v>37</v>
      </c>
      <c r="O13254" s="3" t="s">
        <v>52</v>
      </c>
      <c r="P13254" s="5">
        <v>0</v>
      </c>
      <c r="Q13254" s="5">
        <v>0</v>
      </c>
      <c r="R13254" s="5">
        <v>5</v>
      </c>
      <c r="S13254" s="5">
        <v>37</v>
      </c>
    </row>
    <row r="13255" spans="1:19" ht="56" x14ac:dyDescent="0.15">
      <c r="A13255" s="2">
        <f>HYPERLINK("https://open-school.uspishnemisto.com.ua/school/630591/", 630591)</f>
        <v>630591</v>
      </c>
      <c r="B13255" s="3" t="s">
        <v>66827</v>
      </c>
      <c r="C13255" s="3" t="s">
        <v>54</v>
      </c>
      <c r="D13255" s="3" t="s">
        <v>175</v>
      </c>
      <c r="E13255" s="4" t="s">
        <v>22</v>
      </c>
      <c r="F13255" s="4" t="s">
        <v>66828</v>
      </c>
      <c r="G13255" s="4" t="s">
        <v>66829</v>
      </c>
      <c r="H13255" s="3" t="s">
        <v>63948</v>
      </c>
      <c r="I13255" s="3" t="s">
        <v>66830</v>
      </c>
      <c r="J13255" s="3" t="s">
        <v>2253</v>
      </c>
      <c r="K13255" s="3" t="s">
        <v>66831</v>
      </c>
      <c r="L13255" s="3" t="s">
        <v>66832</v>
      </c>
      <c r="M13255" s="4"/>
      <c r="N13255" s="3" t="s">
        <v>37</v>
      </c>
      <c r="O13255" s="3" t="s">
        <v>70</v>
      </c>
      <c r="P13255" s="5">
        <v>8</v>
      </c>
      <c r="Q13255" s="5">
        <v>80</v>
      </c>
      <c r="R13255" s="5">
        <v>8</v>
      </c>
      <c r="S13255" s="5">
        <v>84</v>
      </c>
    </row>
    <row r="13256" spans="1:19" ht="42" x14ac:dyDescent="0.15">
      <c r="A13256" s="2">
        <f>HYPERLINK("https://open-school.uspishnemisto.com.ua/school/630592/", 630592)</f>
        <v>630592</v>
      </c>
      <c r="B13256" s="3" t="s">
        <v>66833</v>
      </c>
      <c r="C13256" s="3" t="s">
        <v>31</v>
      </c>
      <c r="D13256" s="3" t="s">
        <v>32</v>
      </c>
      <c r="E13256" s="4" t="s">
        <v>22</v>
      </c>
      <c r="F13256" s="4" t="s">
        <v>66834</v>
      </c>
      <c r="G13256" s="4" t="s">
        <v>66835</v>
      </c>
      <c r="H13256" s="3" t="s">
        <v>63948</v>
      </c>
      <c r="I13256" s="3" t="s">
        <v>16201</v>
      </c>
      <c r="J13256" s="3" t="s">
        <v>6432</v>
      </c>
      <c r="K13256" s="3" t="s">
        <v>66836</v>
      </c>
      <c r="L13256" s="3" t="s">
        <v>66837</v>
      </c>
      <c r="M13256" s="4"/>
      <c r="N13256" s="3" t="s">
        <v>37</v>
      </c>
      <c r="O13256" s="3" t="s">
        <v>38</v>
      </c>
      <c r="P13256" s="5">
        <v>11</v>
      </c>
      <c r="Q13256" s="5">
        <v>106</v>
      </c>
      <c r="R13256" s="5">
        <v>11</v>
      </c>
      <c r="S13256" s="5">
        <v>126</v>
      </c>
    </row>
    <row r="13257" spans="1:19" ht="42" x14ac:dyDescent="0.15">
      <c r="A13257" s="2">
        <f>HYPERLINK("https://open-school.uspishnemisto.com.ua/school/630593/", 630593)</f>
        <v>630593</v>
      </c>
      <c r="B13257" s="3" t="s">
        <v>66838</v>
      </c>
      <c r="C13257" s="3" t="s">
        <v>31</v>
      </c>
      <c r="D13257" s="3" t="s">
        <v>175</v>
      </c>
      <c r="E13257" s="4" t="s">
        <v>22</v>
      </c>
      <c r="F13257" s="4" t="s">
        <v>66839</v>
      </c>
      <c r="G13257" s="4" t="s">
        <v>66840</v>
      </c>
      <c r="H13257" s="3" t="s">
        <v>63948</v>
      </c>
      <c r="I13257" s="3" t="s">
        <v>7799</v>
      </c>
      <c r="J13257" s="3" t="s">
        <v>1209</v>
      </c>
      <c r="K13257" s="3" t="s">
        <v>66841</v>
      </c>
      <c r="L13257" s="3" t="s">
        <v>66842</v>
      </c>
      <c r="M13257" s="4"/>
      <c r="N13257" s="3" t="s">
        <v>37</v>
      </c>
      <c r="O13257" s="3" t="s">
        <v>38</v>
      </c>
      <c r="P13257" s="5">
        <v>8</v>
      </c>
      <c r="Q13257" s="5">
        <v>56</v>
      </c>
      <c r="R13257" s="5">
        <v>8</v>
      </c>
      <c r="S13257" s="5">
        <v>58</v>
      </c>
    </row>
    <row r="13258" spans="1:19" ht="56" x14ac:dyDescent="0.15">
      <c r="A13258" s="2">
        <f>HYPERLINK("https://open-school.uspishnemisto.com.ua/school/630594/", 630594)</f>
        <v>630594</v>
      </c>
      <c r="B13258" s="3" t="s">
        <v>66843</v>
      </c>
      <c r="C13258" s="3" t="s">
        <v>54</v>
      </c>
      <c r="D13258" s="3" t="s">
        <v>32</v>
      </c>
      <c r="E13258" s="4" t="s">
        <v>22</v>
      </c>
      <c r="F13258" s="4" t="s">
        <v>66844</v>
      </c>
      <c r="G13258" s="4" t="s">
        <v>66845</v>
      </c>
      <c r="H13258" s="3" t="s">
        <v>63948</v>
      </c>
      <c r="I13258" s="3" t="s">
        <v>66846</v>
      </c>
      <c r="J13258" s="3" t="s">
        <v>66847</v>
      </c>
      <c r="K13258" s="3" t="s">
        <v>66848</v>
      </c>
      <c r="L13258" s="3" t="s">
        <v>66849</v>
      </c>
      <c r="M13258" s="4"/>
      <c r="N13258" s="3" t="s">
        <v>37</v>
      </c>
      <c r="O13258" s="3" t="s">
        <v>112</v>
      </c>
      <c r="P13258" s="5">
        <v>11</v>
      </c>
      <c r="Q13258" s="5">
        <v>95</v>
      </c>
      <c r="R13258" s="5">
        <v>11</v>
      </c>
      <c r="S13258" s="5">
        <v>109</v>
      </c>
    </row>
    <row r="13259" spans="1:19" ht="56" x14ac:dyDescent="0.15">
      <c r="A13259" s="2">
        <f>HYPERLINK("https://open-school.uspishnemisto.com.ua/school/630595/", 630595)</f>
        <v>630595</v>
      </c>
      <c r="B13259" s="3" t="s">
        <v>66850</v>
      </c>
      <c r="C13259" s="3" t="s">
        <v>54</v>
      </c>
      <c r="D13259" s="3" t="s">
        <v>32</v>
      </c>
      <c r="E13259" s="4" t="s">
        <v>22</v>
      </c>
      <c r="F13259" s="4" t="s">
        <v>66851</v>
      </c>
      <c r="G13259" s="4" t="s">
        <v>66852</v>
      </c>
      <c r="H13259" s="3" t="s">
        <v>63948</v>
      </c>
      <c r="I13259" s="3" t="s">
        <v>66853</v>
      </c>
      <c r="J13259" s="3" t="s">
        <v>66854</v>
      </c>
      <c r="K13259" s="3" t="s">
        <v>66855</v>
      </c>
      <c r="L13259" s="3" t="s">
        <v>66856</v>
      </c>
      <c r="M13259" s="4"/>
      <c r="N13259" s="3" t="s">
        <v>37</v>
      </c>
      <c r="O13259" s="3" t="s">
        <v>38</v>
      </c>
      <c r="P13259" s="5">
        <v>16</v>
      </c>
      <c r="Q13259" s="5">
        <v>327</v>
      </c>
      <c r="R13259" s="5">
        <v>15</v>
      </c>
      <c r="S13259" s="5">
        <v>308</v>
      </c>
    </row>
    <row r="13260" spans="1:19" ht="56" x14ac:dyDescent="0.15">
      <c r="A13260" s="2">
        <f>HYPERLINK("https://open-school.uspishnemisto.com.ua/school/630596/", 630596)</f>
        <v>630596</v>
      </c>
      <c r="B13260" s="3" t="s">
        <v>66857</v>
      </c>
      <c r="C13260" s="3" t="s">
        <v>54</v>
      </c>
      <c r="D13260" s="3" t="s">
        <v>32</v>
      </c>
      <c r="E13260" s="4" t="s">
        <v>22</v>
      </c>
      <c r="F13260" s="4" t="s">
        <v>66858</v>
      </c>
      <c r="G13260" s="4" t="s">
        <v>66859</v>
      </c>
      <c r="H13260" s="3" t="s">
        <v>63948</v>
      </c>
      <c r="I13260" s="3" t="s">
        <v>66860</v>
      </c>
      <c r="J13260" s="3" t="s">
        <v>66861</v>
      </c>
      <c r="K13260" s="3" t="s">
        <v>66862</v>
      </c>
      <c r="L13260" s="3" t="s">
        <v>66863</v>
      </c>
      <c r="M13260" s="4"/>
      <c r="N13260" s="3" t="s">
        <v>37</v>
      </c>
      <c r="O13260" s="3" t="s">
        <v>38</v>
      </c>
      <c r="P13260" s="5">
        <v>10</v>
      </c>
      <c r="Q13260" s="5">
        <v>105</v>
      </c>
      <c r="R13260" s="5">
        <v>11</v>
      </c>
      <c r="S13260" s="5">
        <v>109</v>
      </c>
    </row>
    <row r="13261" spans="1:19" ht="42" x14ac:dyDescent="0.15">
      <c r="A13261" s="2">
        <f>HYPERLINK("https://open-school.uspishnemisto.com.ua/school/630597/", 630597)</f>
        <v>630597</v>
      </c>
      <c r="B13261" s="3" t="s">
        <v>66864</v>
      </c>
      <c r="C13261" s="3" t="s">
        <v>31</v>
      </c>
      <c r="D13261" s="3" t="s">
        <v>60</v>
      </c>
      <c r="E13261" s="4" t="s">
        <v>22</v>
      </c>
      <c r="F13261" s="4" t="s">
        <v>66865</v>
      </c>
      <c r="G13261" s="4" t="s">
        <v>66866</v>
      </c>
      <c r="H13261" s="3" t="s">
        <v>63948</v>
      </c>
      <c r="I13261" s="3" t="s">
        <v>15031</v>
      </c>
      <c r="J13261" s="3" t="s">
        <v>66867</v>
      </c>
      <c r="K13261" s="3" t="s">
        <v>66868</v>
      </c>
      <c r="L13261" s="3" t="s">
        <v>66869</v>
      </c>
      <c r="M13261" s="4"/>
      <c r="N13261" s="3" t="s">
        <v>967</v>
      </c>
      <c r="O13261" s="3" t="s">
        <v>52</v>
      </c>
      <c r="P13261" s="5">
        <v>0</v>
      </c>
      <c r="Q13261" s="5">
        <v>0</v>
      </c>
      <c r="R13261" s="5">
        <v>8</v>
      </c>
      <c r="S13261" s="5">
        <v>46</v>
      </c>
    </row>
    <row r="13262" spans="1:19" ht="56" x14ac:dyDescent="0.15">
      <c r="A13262" s="2">
        <f>HYPERLINK("https://open-school.uspishnemisto.com.ua/school/630599/", 630599)</f>
        <v>630599</v>
      </c>
      <c r="B13262" s="3" t="s">
        <v>66870</v>
      </c>
      <c r="C13262" s="3" t="s">
        <v>54</v>
      </c>
      <c r="D13262" s="3" t="s">
        <v>32</v>
      </c>
      <c r="E13262" s="4" t="s">
        <v>22</v>
      </c>
      <c r="F13262" s="4" t="s">
        <v>66871</v>
      </c>
      <c r="G13262" s="4" t="s">
        <v>66872</v>
      </c>
      <c r="H13262" s="3" t="s">
        <v>63948</v>
      </c>
      <c r="I13262" s="3" t="s">
        <v>12478</v>
      </c>
      <c r="J13262" s="3" t="s">
        <v>466</v>
      </c>
      <c r="K13262" s="3" t="s">
        <v>66873</v>
      </c>
      <c r="L13262" s="3" t="s">
        <v>66874</v>
      </c>
      <c r="M13262" s="4"/>
      <c r="N13262" s="3" t="s">
        <v>37</v>
      </c>
      <c r="O13262" s="3" t="s">
        <v>38</v>
      </c>
      <c r="P13262" s="5">
        <v>11</v>
      </c>
      <c r="Q13262" s="5">
        <v>164</v>
      </c>
      <c r="R13262" s="5">
        <v>11</v>
      </c>
      <c r="S13262" s="5">
        <v>161</v>
      </c>
    </row>
    <row r="13263" spans="1:19" ht="56" x14ac:dyDescent="0.15">
      <c r="A13263" s="2">
        <f>HYPERLINK("https://open-school.uspishnemisto.com.ua/school/630600/", 630600)</f>
        <v>630600</v>
      </c>
      <c r="B13263" s="3" t="s">
        <v>66875</v>
      </c>
      <c r="C13263" s="3" t="s">
        <v>54</v>
      </c>
      <c r="D13263" s="3" t="s">
        <v>32</v>
      </c>
      <c r="E13263" s="4" t="s">
        <v>22</v>
      </c>
      <c r="F13263" s="4" t="s">
        <v>66876</v>
      </c>
      <c r="G13263" s="4" t="s">
        <v>66877</v>
      </c>
      <c r="H13263" s="3" t="s">
        <v>63948</v>
      </c>
      <c r="I13263" s="3" t="s">
        <v>3098</v>
      </c>
      <c r="J13263" s="3" t="s">
        <v>66878</v>
      </c>
      <c r="K13263" s="3" t="s">
        <v>66879</v>
      </c>
      <c r="L13263" s="3" t="s">
        <v>66880</v>
      </c>
      <c r="M13263" s="4"/>
      <c r="N13263" s="3" t="s">
        <v>37</v>
      </c>
      <c r="O13263" s="3" t="s">
        <v>38</v>
      </c>
      <c r="P13263" s="5">
        <v>13</v>
      </c>
      <c r="Q13263" s="5">
        <v>275</v>
      </c>
      <c r="R13263" s="5">
        <v>12</v>
      </c>
      <c r="S13263" s="5">
        <v>267</v>
      </c>
    </row>
    <row r="13264" spans="1:19" ht="42" x14ac:dyDescent="0.15">
      <c r="A13264" s="2">
        <f>HYPERLINK("https://open-school.uspishnemisto.com.ua/school/630601/", 630601)</f>
        <v>630601</v>
      </c>
      <c r="B13264" s="3" t="s">
        <v>66881</v>
      </c>
      <c r="C13264" s="3" t="s">
        <v>31</v>
      </c>
      <c r="D13264" s="3" t="s">
        <v>32</v>
      </c>
      <c r="E13264" s="4" t="s">
        <v>22</v>
      </c>
      <c r="F13264" s="4" t="s">
        <v>66882</v>
      </c>
      <c r="G13264" s="4" t="s">
        <v>66883</v>
      </c>
      <c r="H13264" s="3" t="s">
        <v>63948</v>
      </c>
      <c r="I13264" s="3" t="s">
        <v>2202</v>
      </c>
      <c r="J13264" s="3" t="s">
        <v>66884</v>
      </c>
      <c r="K13264" s="3" t="s">
        <v>66885</v>
      </c>
      <c r="L13264" s="3" t="s">
        <v>66886</v>
      </c>
      <c r="M13264" s="4"/>
      <c r="N13264" s="3" t="s">
        <v>37</v>
      </c>
      <c r="O13264" s="3" t="s">
        <v>38</v>
      </c>
      <c r="P13264" s="5">
        <v>11</v>
      </c>
      <c r="Q13264" s="5">
        <v>93</v>
      </c>
      <c r="R13264" s="5">
        <v>11</v>
      </c>
      <c r="S13264" s="5">
        <v>94</v>
      </c>
    </row>
    <row r="13265" spans="1:19" ht="42" x14ac:dyDescent="0.15">
      <c r="A13265" s="2">
        <f>HYPERLINK("https://open-school.uspishnemisto.com.ua/school/630602/", 630602)</f>
        <v>630602</v>
      </c>
      <c r="B13265" s="3" t="s">
        <v>66887</v>
      </c>
      <c r="C13265" s="3" t="s">
        <v>31</v>
      </c>
      <c r="D13265" s="3" t="s">
        <v>175</v>
      </c>
      <c r="E13265" s="4" t="s">
        <v>22</v>
      </c>
      <c r="F13265" s="4" t="s">
        <v>66888</v>
      </c>
      <c r="G13265" s="4" t="s">
        <v>66889</v>
      </c>
      <c r="H13265" s="3" t="s">
        <v>63948</v>
      </c>
      <c r="I13265" s="3" t="s">
        <v>19777</v>
      </c>
      <c r="J13265" s="3" t="s">
        <v>466</v>
      </c>
      <c r="K13265" s="3" t="s">
        <v>66890</v>
      </c>
      <c r="L13265" s="3" t="s">
        <v>66891</v>
      </c>
      <c r="M13265" s="4"/>
      <c r="N13265" s="3" t="s">
        <v>37</v>
      </c>
      <c r="O13265" s="3" t="s">
        <v>112</v>
      </c>
      <c r="P13265" s="5">
        <v>7</v>
      </c>
      <c r="Q13265" s="5">
        <v>48</v>
      </c>
      <c r="R13265" s="5">
        <v>7</v>
      </c>
      <c r="S13265" s="5">
        <v>45</v>
      </c>
    </row>
    <row r="13266" spans="1:19" ht="56" x14ac:dyDescent="0.15">
      <c r="A13266" s="2">
        <f>HYPERLINK("https://open-school.uspishnemisto.com.ua/school/630603/", 630603)</f>
        <v>630603</v>
      </c>
      <c r="B13266" s="3" t="s">
        <v>66892</v>
      </c>
      <c r="C13266" s="3" t="s">
        <v>31</v>
      </c>
      <c r="D13266" s="3" t="s">
        <v>175</v>
      </c>
      <c r="E13266" s="4" t="s">
        <v>22</v>
      </c>
      <c r="F13266" s="4" t="s">
        <v>66893</v>
      </c>
      <c r="G13266" s="4" t="s">
        <v>66894</v>
      </c>
      <c r="H13266" s="3" t="s">
        <v>63948</v>
      </c>
      <c r="I13266" s="3" t="s">
        <v>725</v>
      </c>
      <c r="J13266" s="3" t="s">
        <v>66895</v>
      </c>
      <c r="K13266" s="3" t="s">
        <v>66896</v>
      </c>
      <c r="L13266" s="3" t="s">
        <v>66897</v>
      </c>
      <c r="M13266" s="4"/>
      <c r="N13266" s="3" t="s">
        <v>37</v>
      </c>
      <c r="O13266" s="3" t="s">
        <v>38</v>
      </c>
      <c r="P13266" s="5">
        <v>6</v>
      </c>
      <c r="Q13266" s="5">
        <v>43</v>
      </c>
      <c r="R13266" s="5">
        <v>6</v>
      </c>
      <c r="S13266" s="5">
        <v>46</v>
      </c>
    </row>
    <row r="13267" spans="1:19" ht="42" x14ac:dyDescent="0.15">
      <c r="A13267" s="2">
        <f>HYPERLINK("https://open-school.uspishnemisto.com.ua/school/630604/", 630604)</f>
        <v>630604</v>
      </c>
      <c r="B13267" s="3" t="s">
        <v>66898</v>
      </c>
      <c r="C13267" s="3" t="s">
        <v>40</v>
      </c>
      <c r="D13267" s="3" t="s">
        <v>32</v>
      </c>
      <c r="E13267" s="4" t="s">
        <v>22</v>
      </c>
      <c r="F13267" s="4" t="s">
        <v>66899</v>
      </c>
      <c r="G13267" s="4" t="s">
        <v>66900</v>
      </c>
      <c r="H13267" s="3" t="s">
        <v>63948</v>
      </c>
      <c r="I13267" s="3" t="s">
        <v>66901</v>
      </c>
      <c r="J13267" s="3" t="s">
        <v>66902</v>
      </c>
      <c r="K13267" s="3" t="s">
        <v>66903</v>
      </c>
      <c r="L13267" s="3" t="s">
        <v>66904</v>
      </c>
      <c r="M13267" s="4" t="s">
        <v>66905</v>
      </c>
      <c r="N13267" s="3" t="s">
        <v>37</v>
      </c>
      <c r="O13267" s="3" t="s">
        <v>38</v>
      </c>
      <c r="P13267" s="5">
        <v>28</v>
      </c>
      <c r="Q13267" s="5">
        <v>769</v>
      </c>
      <c r="R13267" s="5">
        <v>27</v>
      </c>
      <c r="S13267" s="5">
        <v>757</v>
      </c>
    </row>
    <row r="13268" spans="1:19" ht="28" x14ac:dyDescent="0.15">
      <c r="A13268" s="2">
        <f>HYPERLINK("https://open-school.uspishnemisto.com.ua/school/630605/", 630605)</f>
        <v>630605</v>
      </c>
      <c r="B13268" s="3" t="s">
        <v>66906</v>
      </c>
      <c r="C13268" s="3" t="s">
        <v>31</v>
      </c>
      <c r="D13268" s="3" t="s">
        <v>32</v>
      </c>
      <c r="E13268" s="4" t="s">
        <v>22</v>
      </c>
      <c r="F13268" s="4" t="s">
        <v>66899</v>
      </c>
      <c r="G13268" s="4" t="s">
        <v>66900</v>
      </c>
      <c r="H13268" s="3" t="s">
        <v>63948</v>
      </c>
      <c r="I13268" s="3" t="s">
        <v>66901</v>
      </c>
      <c r="J13268" s="3" t="s">
        <v>66907</v>
      </c>
      <c r="K13268" s="3" t="s">
        <v>66908</v>
      </c>
      <c r="L13268" s="3" t="s">
        <v>66909</v>
      </c>
      <c r="M13268" s="4"/>
      <c r="N13268" s="3" t="s">
        <v>37</v>
      </c>
      <c r="O13268" s="3" t="s">
        <v>721</v>
      </c>
      <c r="P13268" s="5">
        <v>10</v>
      </c>
      <c r="Q13268" s="5">
        <v>193</v>
      </c>
      <c r="R13268" s="5">
        <v>11</v>
      </c>
      <c r="S13268" s="5">
        <v>197</v>
      </c>
    </row>
    <row r="13269" spans="1:19" ht="28" x14ac:dyDescent="0.15">
      <c r="A13269" s="2">
        <f>HYPERLINK("https://open-school.uspishnemisto.com.ua/school/630606/", 630606)</f>
        <v>630606</v>
      </c>
      <c r="B13269" s="3" t="s">
        <v>66910</v>
      </c>
      <c r="C13269" s="3" t="s">
        <v>31</v>
      </c>
      <c r="D13269" s="3" t="s">
        <v>32</v>
      </c>
      <c r="E13269" s="4" t="s">
        <v>22</v>
      </c>
      <c r="F13269" s="4" t="s">
        <v>66911</v>
      </c>
      <c r="G13269" s="4" t="s">
        <v>66912</v>
      </c>
      <c r="H13269" s="3" t="s">
        <v>63948</v>
      </c>
      <c r="I13269" s="3" t="s">
        <v>2179</v>
      </c>
      <c r="J13269" s="3" t="s">
        <v>21284</v>
      </c>
      <c r="K13269" s="3" t="s">
        <v>66913</v>
      </c>
      <c r="L13269" s="3" t="s">
        <v>66914</v>
      </c>
      <c r="M13269" s="4"/>
      <c r="N13269" s="3" t="s">
        <v>37</v>
      </c>
      <c r="O13269" s="3" t="s">
        <v>112</v>
      </c>
      <c r="P13269" s="5">
        <v>11</v>
      </c>
      <c r="Q13269" s="5">
        <v>104</v>
      </c>
      <c r="R13269" s="5">
        <v>11</v>
      </c>
      <c r="S13269" s="5">
        <v>111</v>
      </c>
    </row>
    <row r="13270" spans="1:19" ht="28" x14ac:dyDescent="0.15">
      <c r="A13270" s="2">
        <f>HYPERLINK("https://open-school.uspishnemisto.com.ua/school/630607/", 630607)</f>
        <v>630607</v>
      </c>
      <c r="B13270" s="3" t="s">
        <v>66915</v>
      </c>
      <c r="C13270" s="3" t="s">
        <v>31</v>
      </c>
      <c r="D13270" s="3" t="s">
        <v>32</v>
      </c>
      <c r="E13270" s="4" t="s">
        <v>22</v>
      </c>
      <c r="F13270" s="4" t="s">
        <v>66916</v>
      </c>
      <c r="G13270" s="4" t="s">
        <v>66917</v>
      </c>
      <c r="H13270" s="3" t="s">
        <v>63948</v>
      </c>
      <c r="I13270" s="3" t="s">
        <v>11964</v>
      </c>
      <c r="J13270" s="3" t="s">
        <v>694</v>
      </c>
      <c r="K13270" s="3" t="s">
        <v>66918</v>
      </c>
      <c r="L13270" s="3" t="s">
        <v>66919</v>
      </c>
      <c r="M13270" s="4"/>
      <c r="N13270" s="3" t="s">
        <v>37</v>
      </c>
      <c r="O13270" s="3" t="s">
        <v>38</v>
      </c>
      <c r="P13270" s="5">
        <v>11</v>
      </c>
      <c r="Q13270" s="5">
        <v>110</v>
      </c>
      <c r="R13270" s="5">
        <v>11</v>
      </c>
      <c r="S13270" s="5">
        <v>112</v>
      </c>
    </row>
    <row r="13271" spans="1:19" ht="28" x14ac:dyDescent="0.15">
      <c r="A13271" s="2">
        <f>HYPERLINK("https://open-school.uspishnemisto.com.ua/school/630608/", 630608)</f>
        <v>630608</v>
      </c>
      <c r="B13271" s="3" t="s">
        <v>66920</v>
      </c>
      <c r="C13271" s="3" t="s">
        <v>31</v>
      </c>
      <c r="D13271" s="3" t="s">
        <v>32</v>
      </c>
      <c r="E13271" s="4" t="s">
        <v>22</v>
      </c>
      <c r="F13271" s="4" t="s">
        <v>66921</v>
      </c>
      <c r="G13271" s="4" t="s">
        <v>66922</v>
      </c>
      <c r="H13271" s="3" t="s">
        <v>63948</v>
      </c>
      <c r="I13271" s="3" t="s">
        <v>66923</v>
      </c>
      <c r="J13271" s="3" t="s">
        <v>56782</v>
      </c>
      <c r="K13271" s="3" t="s">
        <v>66924</v>
      </c>
      <c r="L13271" s="3" t="s">
        <v>66925</v>
      </c>
      <c r="M13271" s="4"/>
      <c r="N13271" s="3" t="s">
        <v>37</v>
      </c>
      <c r="O13271" s="3" t="s">
        <v>38</v>
      </c>
      <c r="P13271" s="5">
        <v>10</v>
      </c>
      <c r="Q13271" s="5">
        <v>81</v>
      </c>
      <c r="R13271" s="5">
        <v>10</v>
      </c>
      <c r="S13271" s="5">
        <v>73</v>
      </c>
    </row>
    <row r="13272" spans="1:19" ht="28" x14ac:dyDescent="0.15">
      <c r="A13272" s="2">
        <f>HYPERLINK("https://open-school.uspishnemisto.com.ua/school/630609/", 630609)</f>
        <v>630609</v>
      </c>
      <c r="B13272" s="3" t="s">
        <v>66926</v>
      </c>
      <c r="C13272" s="3" t="s">
        <v>31</v>
      </c>
      <c r="D13272" s="3" t="s">
        <v>32</v>
      </c>
      <c r="E13272" s="4" t="s">
        <v>22</v>
      </c>
      <c r="F13272" s="4" t="s">
        <v>66927</v>
      </c>
      <c r="G13272" s="4" t="s">
        <v>66928</v>
      </c>
      <c r="H13272" s="3" t="s">
        <v>63948</v>
      </c>
      <c r="I13272" s="3" t="s">
        <v>41406</v>
      </c>
      <c r="J13272" s="3" t="s">
        <v>66929</v>
      </c>
      <c r="K13272" s="3" t="s">
        <v>66930</v>
      </c>
      <c r="L13272" s="3" t="s">
        <v>66931</v>
      </c>
      <c r="M13272" s="4"/>
      <c r="N13272" s="3" t="s">
        <v>37</v>
      </c>
      <c r="O13272" s="3" t="s">
        <v>112</v>
      </c>
      <c r="P13272" s="5">
        <v>4</v>
      </c>
      <c r="Q13272" s="5">
        <v>45</v>
      </c>
      <c r="R13272" s="5">
        <v>5</v>
      </c>
      <c r="S13272" s="5">
        <v>41</v>
      </c>
    </row>
    <row r="13273" spans="1:19" ht="42" x14ac:dyDescent="0.15">
      <c r="A13273" s="2">
        <f>HYPERLINK("https://open-school.uspishnemisto.com.ua/school/630610/", 630610)</f>
        <v>630610</v>
      </c>
      <c r="B13273" s="3" t="s">
        <v>66932</v>
      </c>
      <c r="C13273" s="3" t="s">
        <v>54</v>
      </c>
      <c r="D13273" s="3" t="s">
        <v>175</v>
      </c>
      <c r="E13273" s="4" t="s">
        <v>22</v>
      </c>
      <c r="F13273" s="4" t="s">
        <v>66933</v>
      </c>
      <c r="G13273" s="4" t="s">
        <v>66934</v>
      </c>
      <c r="H13273" s="3" t="s">
        <v>63948</v>
      </c>
      <c r="I13273" s="3" t="s">
        <v>66935</v>
      </c>
      <c r="J13273" s="3" t="s">
        <v>66936</v>
      </c>
      <c r="K13273" s="3" t="s">
        <v>66937</v>
      </c>
      <c r="L13273" s="3" t="s">
        <v>66938</v>
      </c>
      <c r="M13273" s="4"/>
      <c r="N13273" s="3" t="s">
        <v>37</v>
      </c>
      <c r="O13273" s="3" t="s">
        <v>38</v>
      </c>
      <c r="P13273" s="5">
        <v>6</v>
      </c>
      <c r="Q13273" s="5">
        <v>47</v>
      </c>
      <c r="R13273" s="5">
        <v>6</v>
      </c>
      <c r="S13273" s="5">
        <v>47</v>
      </c>
    </row>
    <row r="13274" spans="1:19" ht="42" x14ac:dyDescent="0.15">
      <c r="A13274" s="2">
        <f>HYPERLINK("https://open-school.uspishnemisto.com.ua/school/630611/", 630611)</f>
        <v>630611</v>
      </c>
      <c r="B13274" s="3" t="s">
        <v>66939</v>
      </c>
      <c r="C13274" s="3" t="s">
        <v>31</v>
      </c>
      <c r="D13274" s="3" t="s">
        <v>32</v>
      </c>
      <c r="E13274" s="4" t="s">
        <v>22</v>
      </c>
      <c r="F13274" s="4" t="s">
        <v>66940</v>
      </c>
      <c r="G13274" s="4" t="s">
        <v>66941</v>
      </c>
      <c r="H13274" s="3" t="s">
        <v>63948</v>
      </c>
      <c r="I13274" s="3" t="s">
        <v>66942</v>
      </c>
      <c r="J13274" s="3" t="s">
        <v>718</v>
      </c>
      <c r="K13274" s="3" t="s">
        <v>66943</v>
      </c>
      <c r="L13274" s="3" t="s">
        <v>66944</v>
      </c>
      <c r="M13274" s="4"/>
      <c r="N13274" s="3" t="s">
        <v>37</v>
      </c>
      <c r="O13274" s="3" t="s">
        <v>38</v>
      </c>
      <c r="P13274" s="5">
        <v>11</v>
      </c>
      <c r="Q13274" s="5">
        <v>121</v>
      </c>
      <c r="R13274" s="5">
        <v>11</v>
      </c>
      <c r="S13274" s="5">
        <v>117</v>
      </c>
    </row>
    <row r="13275" spans="1:19" ht="28" x14ac:dyDescent="0.15">
      <c r="A13275" s="2">
        <f>HYPERLINK("https://open-school.uspishnemisto.com.ua/school/630612/", 630612)</f>
        <v>630612</v>
      </c>
      <c r="B13275" s="3" t="s">
        <v>66945</v>
      </c>
      <c r="C13275" s="3" t="s">
        <v>31</v>
      </c>
      <c r="D13275" s="3" t="s">
        <v>32</v>
      </c>
      <c r="E13275" s="4" t="s">
        <v>22</v>
      </c>
      <c r="F13275" s="4" t="s">
        <v>66946</v>
      </c>
      <c r="G13275" s="4" t="s">
        <v>66947</v>
      </c>
      <c r="H13275" s="3" t="s">
        <v>63948</v>
      </c>
      <c r="I13275" s="3" t="s">
        <v>18117</v>
      </c>
      <c r="J13275" s="3" t="s">
        <v>66948</v>
      </c>
      <c r="K13275" s="3" t="s">
        <v>66949</v>
      </c>
      <c r="L13275" s="3" t="s">
        <v>66950</v>
      </c>
      <c r="M13275" s="4"/>
      <c r="N13275" s="3" t="s">
        <v>37</v>
      </c>
      <c r="O13275" s="3" t="s">
        <v>38</v>
      </c>
      <c r="P13275" s="5">
        <v>11</v>
      </c>
      <c r="Q13275" s="5">
        <v>215</v>
      </c>
      <c r="R13275" s="5">
        <v>11</v>
      </c>
      <c r="S13275" s="5">
        <v>205</v>
      </c>
    </row>
    <row r="13276" spans="1:19" ht="28" x14ac:dyDescent="0.15">
      <c r="A13276" s="2">
        <f>HYPERLINK("https://open-school.uspishnemisto.com.ua/school/630613/", 630613)</f>
        <v>630613</v>
      </c>
      <c r="B13276" s="3" t="s">
        <v>66951</v>
      </c>
      <c r="C13276" s="3" t="s">
        <v>31</v>
      </c>
      <c r="D13276" s="3" t="s">
        <v>175</v>
      </c>
      <c r="E13276" s="4" t="s">
        <v>22</v>
      </c>
      <c r="F13276" s="4" t="s">
        <v>66952</v>
      </c>
      <c r="G13276" s="4" t="s">
        <v>66953</v>
      </c>
      <c r="H13276" s="3" t="s">
        <v>63948</v>
      </c>
      <c r="I13276" s="3" t="s">
        <v>7294</v>
      </c>
      <c r="J13276" s="3" t="s">
        <v>6181</v>
      </c>
      <c r="K13276" s="3" t="s">
        <v>66954</v>
      </c>
      <c r="L13276" s="3" t="s">
        <v>66955</v>
      </c>
      <c r="M13276" s="4"/>
      <c r="N13276" s="3" t="s">
        <v>37</v>
      </c>
      <c r="O13276" s="3" t="s">
        <v>52</v>
      </c>
      <c r="P13276" s="5">
        <v>0</v>
      </c>
      <c r="Q13276" s="5">
        <v>0</v>
      </c>
      <c r="R13276" s="5">
        <v>8</v>
      </c>
      <c r="S13276" s="5">
        <v>71</v>
      </c>
    </row>
    <row r="13277" spans="1:19" ht="28" x14ac:dyDescent="0.15">
      <c r="A13277" s="2">
        <f>HYPERLINK("https://open-school.uspishnemisto.com.ua/school/630614/", 630614)</f>
        <v>630614</v>
      </c>
      <c r="B13277" s="3" t="s">
        <v>66956</v>
      </c>
      <c r="C13277" s="3" t="s">
        <v>31</v>
      </c>
      <c r="D13277" s="3" t="s">
        <v>32</v>
      </c>
      <c r="E13277" s="4" t="s">
        <v>22</v>
      </c>
      <c r="F13277" s="4" t="s">
        <v>66957</v>
      </c>
      <c r="G13277" s="4" t="s">
        <v>66958</v>
      </c>
      <c r="H13277" s="3" t="s">
        <v>63948</v>
      </c>
      <c r="I13277" s="3" t="s">
        <v>66959</v>
      </c>
      <c r="J13277" s="3" t="s">
        <v>12191</v>
      </c>
      <c r="K13277" s="3" t="s">
        <v>66960</v>
      </c>
      <c r="L13277" s="3" t="s">
        <v>66961</v>
      </c>
      <c r="M13277" s="4"/>
      <c r="N13277" s="3" t="s">
        <v>37</v>
      </c>
      <c r="O13277" s="3" t="s">
        <v>70</v>
      </c>
      <c r="P13277" s="5">
        <v>10</v>
      </c>
      <c r="Q13277" s="5">
        <v>154</v>
      </c>
      <c r="R13277" s="5">
        <v>11</v>
      </c>
      <c r="S13277" s="5">
        <v>154</v>
      </c>
    </row>
    <row r="13278" spans="1:19" ht="28" x14ac:dyDescent="0.15">
      <c r="A13278" s="2">
        <f>HYPERLINK("https://open-school.uspishnemisto.com.ua/school/630615/", 630615)</f>
        <v>630615</v>
      </c>
      <c r="B13278" s="3" t="s">
        <v>66962</v>
      </c>
      <c r="C13278" s="3" t="s">
        <v>31</v>
      </c>
      <c r="D13278" s="3" t="s">
        <v>32</v>
      </c>
      <c r="E13278" s="4" t="s">
        <v>22</v>
      </c>
      <c r="F13278" s="4" t="s">
        <v>66963</v>
      </c>
      <c r="G13278" s="4" t="s">
        <v>66964</v>
      </c>
      <c r="H13278" s="3" t="s">
        <v>63948</v>
      </c>
      <c r="I13278" s="3" t="s">
        <v>4518</v>
      </c>
      <c r="J13278" s="3" t="s">
        <v>16914</v>
      </c>
      <c r="K13278" s="3" t="s">
        <v>66965</v>
      </c>
      <c r="L13278" s="3" t="s">
        <v>66966</v>
      </c>
      <c r="M13278" s="4"/>
      <c r="N13278" s="3" t="s">
        <v>37</v>
      </c>
      <c r="O13278" s="3" t="s">
        <v>38</v>
      </c>
      <c r="P13278" s="5">
        <v>13</v>
      </c>
      <c r="Q13278" s="5">
        <v>242</v>
      </c>
      <c r="R13278" s="5">
        <v>12</v>
      </c>
      <c r="S13278" s="5">
        <v>248</v>
      </c>
    </row>
    <row r="13279" spans="1:19" ht="28" x14ac:dyDescent="0.15">
      <c r="A13279" s="2">
        <f>HYPERLINK("https://open-school.uspishnemisto.com.ua/school/630616/", 630616)</f>
        <v>630616</v>
      </c>
      <c r="B13279" s="3" t="s">
        <v>66967</v>
      </c>
      <c r="C13279" s="3" t="s">
        <v>31</v>
      </c>
      <c r="D13279" s="3" t="s">
        <v>32</v>
      </c>
      <c r="E13279" s="4" t="s">
        <v>22</v>
      </c>
      <c r="F13279" s="4" t="s">
        <v>66968</v>
      </c>
      <c r="G13279" s="4" t="s">
        <v>66969</v>
      </c>
      <c r="H13279" s="3" t="s">
        <v>63948</v>
      </c>
      <c r="I13279" s="3" t="s">
        <v>32193</v>
      </c>
      <c r="J13279" s="3" t="s">
        <v>66970</v>
      </c>
      <c r="K13279" s="3" t="s">
        <v>66971</v>
      </c>
      <c r="L13279" s="3" t="s">
        <v>66972</v>
      </c>
      <c r="M13279" s="4"/>
      <c r="N13279" s="3" t="s">
        <v>37</v>
      </c>
      <c r="O13279" s="3" t="s">
        <v>70</v>
      </c>
      <c r="P13279" s="5">
        <v>11</v>
      </c>
      <c r="Q13279" s="5">
        <v>171</v>
      </c>
      <c r="R13279" s="5">
        <v>11</v>
      </c>
      <c r="S13279" s="5">
        <v>180</v>
      </c>
    </row>
    <row r="13280" spans="1:19" ht="42" x14ac:dyDescent="0.15">
      <c r="A13280" s="2">
        <f>HYPERLINK("https://open-school.uspishnemisto.com.ua/school/630617/", 630617)</f>
        <v>630617</v>
      </c>
      <c r="B13280" s="3" t="s">
        <v>66973</v>
      </c>
      <c r="C13280" s="3" t="s">
        <v>31</v>
      </c>
      <c r="D13280" s="3" t="s">
        <v>175</v>
      </c>
      <c r="E13280" s="4" t="s">
        <v>22</v>
      </c>
      <c r="F13280" s="4" t="s">
        <v>66974</v>
      </c>
      <c r="G13280" s="4" t="s">
        <v>66975</v>
      </c>
      <c r="H13280" s="3" t="s">
        <v>63948</v>
      </c>
      <c r="I13280" s="3" t="s">
        <v>1883</v>
      </c>
      <c r="J13280" s="3" t="s">
        <v>2719</v>
      </c>
      <c r="K13280" s="3"/>
      <c r="L13280" s="3" t="s">
        <v>66976</v>
      </c>
      <c r="M13280" s="4"/>
      <c r="N13280" s="3" t="s">
        <v>37</v>
      </c>
      <c r="O13280" s="3" t="s">
        <v>46</v>
      </c>
      <c r="P13280" s="5">
        <v>8</v>
      </c>
      <c r="Q13280" s="5">
        <v>59</v>
      </c>
      <c r="R13280" s="5">
        <v>7</v>
      </c>
      <c r="S13280" s="5">
        <v>54</v>
      </c>
    </row>
    <row r="13281" spans="1:19" ht="28" x14ac:dyDescent="0.15">
      <c r="A13281" s="2">
        <f>HYPERLINK("https://open-school.uspishnemisto.com.ua/school/630618/", 630618)</f>
        <v>630618</v>
      </c>
      <c r="B13281" s="3" t="s">
        <v>66977</v>
      </c>
      <c r="C13281" s="3" t="s">
        <v>31</v>
      </c>
      <c r="D13281" s="3" t="s">
        <v>32</v>
      </c>
      <c r="E13281" s="4" t="s">
        <v>22</v>
      </c>
      <c r="F13281" s="4" t="s">
        <v>66978</v>
      </c>
      <c r="G13281" s="4" t="s">
        <v>66979</v>
      </c>
      <c r="H13281" s="3" t="s">
        <v>63948</v>
      </c>
      <c r="I13281" s="3" t="s">
        <v>66980</v>
      </c>
      <c r="J13281" s="3" t="s">
        <v>20879</v>
      </c>
      <c r="K13281" s="3" t="s">
        <v>66981</v>
      </c>
      <c r="L13281" s="3" t="s">
        <v>66982</v>
      </c>
      <c r="M13281" s="4"/>
      <c r="N13281" s="3" t="s">
        <v>37</v>
      </c>
      <c r="O13281" s="3" t="s">
        <v>38</v>
      </c>
      <c r="P13281" s="5">
        <v>11</v>
      </c>
      <c r="Q13281" s="5">
        <v>95</v>
      </c>
      <c r="R13281" s="5">
        <v>11</v>
      </c>
      <c r="S13281" s="5">
        <v>95</v>
      </c>
    </row>
    <row r="13282" spans="1:19" ht="28" x14ac:dyDescent="0.15">
      <c r="A13282" s="2">
        <f>HYPERLINK("https://open-school.uspishnemisto.com.ua/school/630619/", 630619)</f>
        <v>630619</v>
      </c>
      <c r="B13282" s="3" t="s">
        <v>66983</v>
      </c>
      <c r="C13282" s="3" t="s">
        <v>31</v>
      </c>
      <c r="D13282" s="3" t="s">
        <v>32</v>
      </c>
      <c r="E13282" s="4" t="s">
        <v>22</v>
      </c>
      <c r="F13282" s="4" t="s">
        <v>66984</v>
      </c>
      <c r="G13282" s="4" t="s">
        <v>66985</v>
      </c>
      <c r="H13282" s="3" t="s">
        <v>63948</v>
      </c>
      <c r="I13282" s="3" t="s">
        <v>10849</v>
      </c>
      <c r="J13282" s="3" t="s">
        <v>17711</v>
      </c>
      <c r="K13282" s="3" t="s">
        <v>66986</v>
      </c>
      <c r="L13282" s="3"/>
      <c r="M13282" s="4"/>
      <c r="N13282" s="3" t="s">
        <v>37</v>
      </c>
      <c r="O13282" s="3" t="s">
        <v>38</v>
      </c>
      <c r="P13282" s="5">
        <v>11</v>
      </c>
      <c r="Q13282" s="5">
        <v>137</v>
      </c>
      <c r="R13282" s="5">
        <v>11</v>
      </c>
      <c r="S13282" s="5">
        <v>134</v>
      </c>
    </row>
    <row r="13283" spans="1:19" ht="28" x14ac:dyDescent="0.15">
      <c r="A13283" s="2">
        <f>HYPERLINK("https://open-school.uspishnemisto.com.ua/school/630620/", 630620)</f>
        <v>630620</v>
      </c>
      <c r="B13283" s="3" t="s">
        <v>66987</v>
      </c>
      <c r="C13283" s="3" t="s">
        <v>31</v>
      </c>
      <c r="D13283" s="3" t="s">
        <v>32</v>
      </c>
      <c r="E13283" s="4" t="s">
        <v>22</v>
      </c>
      <c r="F13283" s="4" t="s">
        <v>66988</v>
      </c>
      <c r="G13283" s="4" t="s">
        <v>66989</v>
      </c>
      <c r="H13283" s="3" t="s">
        <v>63948</v>
      </c>
      <c r="I13283" s="3" t="s">
        <v>66990</v>
      </c>
      <c r="J13283" s="3" t="s">
        <v>66991</v>
      </c>
      <c r="K13283" s="3" t="s">
        <v>66992</v>
      </c>
      <c r="L13283" s="3" t="s">
        <v>66993</v>
      </c>
      <c r="M13283" s="4"/>
      <c r="N13283" s="3" t="s">
        <v>37</v>
      </c>
      <c r="O13283" s="3" t="s">
        <v>38</v>
      </c>
      <c r="P13283" s="5">
        <v>11</v>
      </c>
      <c r="Q13283" s="5">
        <v>78</v>
      </c>
      <c r="R13283" s="5">
        <v>11</v>
      </c>
      <c r="S13283" s="5">
        <v>80</v>
      </c>
    </row>
    <row r="13284" spans="1:19" ht="28" x14ac:dyDescent="0.15">
      <c r="A13284" s="2">
        <f>HYPERLINK("https://open-school.uspishnemisto.com.ua/school/630621/", 630621)</f>
        <v>630621</v>
      </c>
      <c r="B13284" s="3" t="s">
        <v>66994</v>
      </c>
      <c r="C13284" s="3" t="s">
        <v>31</v>
      </c>
      <c r="D13284" s="3" t="s">
        <v>32</v>
      </c>
      <c r="E13284" s="4" t="s">
        <v>22</v>
      </c>
      <c r="F13284" s="4" t="s">
        <v>66995</v>
      </c>
      <c r="G13284" s="4" t="s">
        <v>66996</v>
      </c>
      <c r="H13284" s="3" t="s">
        <v>63948</v>
      </c>
      <c r="I13284" s="3" t="s">
        <v>66997</v>
      </c>
      <c r="J13284" s="3" t="s">
        <v>554</v>
      </c>
      <c r="K13284" s="3" t="s">
        <v>66998</v>
      </c>
      <c r="L13284" s="3" t="s">
        <v>66999</v>
      </c>
      <c r="M13284" s="4"/>
      <c r="N13284" s="3" t="s">
        <v>37</v>
      </c>
      <c r="O13284" s="3" t="s">
        <v>38</v>
      </c>
      <c r="P13284" s="5">
        <v>9</v>
      </c>
      <c r="Q13284" s="5">
        <v>56</v>
      </c>
      <c r="R13284" s="5">
        <v>10</v>
      </c>
      <c r="S13284" s="5">
        <v>58</v>
      </c>
    </row>
    <row r="13285" spans="1:19" ht="28" x14ac:dyDescent="0.15">
      <c r="A13285" s="2">
        <f>HYPERLINK("https://open-school.uspishnemisto.com.ua/school/630622/", 630622)</f>
        <v>630622</v>
      </c>
      <c r="B13285" s="3" t="s">
        <v>67000</v>
      </c>
      <c r="C13285" s="3" t="s">
        <v>31</v>
      </c>
      <c r="D13285" s="3" t="s">
        <v>32</v>
      </c>
      <c r="E13285" s="4" t="s">
        <v>22</v>
      </c>
      <c r="F13285" s="4" t="s">
        <v>67001</v>
      </c>
      <c r="G13285" s="4" t="s">
        <v>67002</v>
      </c>
      <c r="H13285" s="3" t="s">
        <v>63948</v>
      </c>
      <c r="I13285" s="3" t="s">
        <v>33963</v>
      </c>
      <c r="J13285" s="3" t="s">
        <v>67003</v>
      </c>
      <c r="K13285" s="3" t="s">
        <v>67004</v>
      </c>
      <c r="L13285" s="3" t="s">
        <v>67005</v>
      </c>
      <c r="M13285" s="4"/>
      <c r="N13285" s="3" t="s">
        <v>37</v>
      </c>
      <c r="O13285" s="3" t="s">
        <v>70</v>
      </c>
      <c r="P13285" s="5">
        <v>11</v>
      </c>
      <c r="Q13285" s="5">
        <v>72</v>
      </c>
      <c r="R13285" s="5">
        <v>11</v>
      </c>
      <c r="S13285" s="5">
        <v>80</v>
      </c>
    </row>
    <row r="13286" spans="1:19" ht="28" x14ac:dyDescent="0.15">
      <c r="A13286" s="2">
        <f>HYPERLINK("https://open-school.uspishnemisto.com.ua/school/630623/", 630623)</f>
        <v>630623</v>
      </c>
      <c r="B13286" s="3" t="s">
        <v>67006</v>
      </c>
      <c r="C13286" s="3" t="s">
        <v>31</v>
      </c>
      <c r="D13286" s="3" t="s">
        <v>32</v>
      </c>
      <c r="E13286" s="4" t="s">
        <v>22</v>
      </c>
      <c r="F13286" s="4" t="s">
        <v>67007</v>
      </c>
      <c r="G13286" s="4" t="s">
        <v>67008</v>
      </c>
      <c r="H13286" s="3" t="s">
        <v>63948</v>
      </c>
      <c r="I13286" s="3" t="s">
        <v>67009</v>
      </c>
      <c r="J13286" s="3" t="s">
        <v>3370</v>
      </c>
      <c r="K13286" s="3" t="s">
        <v>67010</v>
      </c>
      <c r="L13286" s="3" t="s">
        <v>67011</v>
      </c>
      <c r="M13286" s="4"/>
      <c r="N13286" s="3" t="s">
        <v>37</v>
      </c>
      <c r="O13286" s="3" t="s">
        <v>38</v>
      </c>
      <c r="P13286" s="5">
        <v>10</v>
      </c>
      <c r="Q13286" s="5">
        <v>85</v>
      </c>
      <c r="R13286" s="5">
        <v>10</v>
      </c>
      <c r="S13286" s="5">
        <v>87</v>
      </c>
    </row>
    <row r="13287" spans="1:19" ht="28" x14ac:dyDescent="0.15">
      <c r="A13287" s="2">
        <f>HYPERLINK("https://open-school.uspishnemisto.com.ua/school/630624/", 630624)</f>
        <v>630624</v>
      </c>
      <c r="B13287" s="3" t="s">
        <v>67012</v>
      </c>
      <c r="C13287" s="3" t="s">
        <v>31</v>
      </c>
      <c r="D13287" s="3" t="s">
        <v>32</v>
      </c>
      <c r="E13287" s="4" t="s">
        <v>22</v>
      </c>
      <c r="F13287" s="4" t="s">
        <v>67013</v>
      </c>
      <c r="G13287" s="4" t="s">
        <v>67014</v>
      </c>
      <c r="H13287" s="3" t="s">
        <v>63948</v>
      </c>
      <c r="I13287" s="3" t="s">
        <v>67015</v>
      </c>
      <c r="J13287" s="3" t="s">
        <v>67016</v>
      </c>
      <c r="K13287" s="3" t="s">
        <v>67017</v>
      </c>
      <c r="L13287" s="3" t="s">
        <v>67018</v>
      </c>
      <c r="M13287" s="4"/>
      <c r="N13287" s="3" t="s">
        <v>37</v>
      </c>
      <c r="O13287" s="3" t="s">
        <v>38</v>
      </c>
      <c r="P13287" s="5">
        <v>11</v>
      </c>
      <c r="Q13287" s="5">
        <v>100</v>
      </c>
      <c r="R13287" s="5">
        <v>11</v>
      </c>
      <c r="S13287" s="5">
        <v>106</v>
      </c>
    </row>
    <row r="13288" spans="1:19" ht="28" x14ac:dyDescent="0.15">
      <c r="A13288" s="2">
        <f>HYPERLINK("https://open-school.uspishnemisto.com.ua/school/630625/", 630625)</f>
        <v>630625</v>
      </c>
      <c r="B13288" s="3" t="s">
        <v>67019</v>
      </c>
      <c r="C13288" s="3" t="s">
        <v>31</v>
      </c>
      <c r="D13288" s="3" t="s">
        <v>175</v>
      </c>
      <c r="E13288" s="4" t="s">
        <v>22</v>
      </c>
      <c r="F13288" s="4" t="s">
        <v>67020</v>
      </c>
      <c r="G13288" s="4" t="s">
        <v>67021</v>
      </c>
      <c r="H13288" s="3" t="s">
        <v>63948</v>
      </c>
      <c r="I13288" s="3" t="s">
        <v>4198</v>
      </c>
      <c r="J13288" s="3" t="s">
        <v>67022</v>
      </c>
      <c r="K13288" s="3" t="s">
        <v>67023</v>
      </c>
      <c r="L13288" s="3"/>
      <c r="M13288" s="4"/>
      <c r="N13288" s="3" t="s">
        <v>37</v>
      </c>
      <c r="O13288" s="3" t="s">
        <v>38</v>
      </c>
      <c r="P13288" s="5">
        <v>8</v>
      </c>
      <c r="Q13288" s="5">
        <v>65</v>
      </c>
      <c r="R13288" s="5">
        <v>8</v>
      </c>
      <c r="S13288" s="5">
        <v>61</v>
      </c>
    </row>
    <row r="13289" spans="1:19" ht="28" x14ac:dyDescent="0.15">
      <c r="A13289" s="2">
        <f>HYPERLINK("https://open-school.uspishnemisto.com.ua/school/630626/", 630626)</f>
        <v>630626</v>
      </c>
      <c r="B13289" s="3" t="s">
        <v>67024</v>
      </c>
      <c r="C13289" s="3" t="s">
        <v>188</v>
      </c>
      <c r="D13289" s="3" t="s">
        <v>32</v>
      </c>
      <c r="E13289" s="4" t="s">
        <v>22</v>
      </c>
      <c r="F13289" s="4" t="s">
        <v>67020</v>
      </c>
      <c r="G13289" s="4" t="s">
        <v>67021</v>
      </c>
      <c r="H13289" s="3" t="s">
        <v>63948</v>
      </c>
      <c r="I13289" s="3" t="s">
        <v>4198</v>
      </c>
      <c r="J13289" s="3" t="s">
        <v>67025</v>
      </c>
      <c r="K13289" s="3" t="s">
        <v>67026</v>
      </c>
      <c r="L13289" s="3" t="s">
        <v>67027</v>
      </c>
      <c r="M13289" s="4"/>
      <c r="N13289" s="3" t="s">
        <v>37</v>
      </c>
      <c r="O13289" s="3" t="s">
        <v>38</v>
      </c>
      <c r="P13289" s="5">
        <v>11</v>
      </c>
      <c r="Q13289" s="5">
        <v>132</v>
      </c>
      <c r="R13289" s="5">
        <v>11</v>
      </c>
      <c r="S13289" s="5">
        <v>127</v>
      </c>
    </row>
    <row r="13290" spans="1:19" ht="28" x14ac:dyDescent="0.15">
      <c r="A13290" s="2">
        <f>HYPERLINK("https://open-school.uspishnemisto.com.ua/school/630627/", 630627)</f>
        <v>630627</v>
      </c>
      <c r="B13290" s="3" t="s">
        <v>67028</v>
      </c>
      <c r="C13290" s="3" t="s">
        <v>31</v>
      </c>
      <c r="D13290" s="3" t="s">
        <v>175</v>
      </c>
      <c r="E13290" s="4" t="s">
        <v>22</v>
      </c>
      <c r="F13290" s="4" t="s">
        <v>67029</v>
      </c>
      <c r="G13290" s="4" t="s">
        <v>67030</v>
      </c>
      <c r="H13290" s="3" t="s">
        <v>63948</v>
      </c>
      <c r="I13290" s="3" t="s">
        <v>67031</v>
      </c>
      <c r="J13290" s="3" t="s">
        <v>42449</v>
      </c>
      <c r="K13290" s="3" t="s">
        <v>67032</v>
      </c>
      <c r="L13290" s="3" t="s">
        <v>67033</v>
      </c>
      <c r="M13290" s="4"/>
      <c r="N13290" s="3" t="s">
        <v>37</v>
      </c>
      <c r="O13290" s="3" t="s">
        <v>38</v>
      </c>
      <c r="P13290" s="5">
        <v>9</v>
      </c>
      <c r="Q13290" s="5">
        <v>123</v>
      </c>
      <c r="R13290" s="5">
        <v>9</v>
      </c>
      <c r="S13290" s="5">
        <v>119</v>
      </c>
    </row>
    <row r="13291" spans="1:19" ht="28" x14ac:dyDescent="0.15">
      <c r="A13291" s="2">
        <f>HYPERLINK("https://open-school.uspishnemisto.com.ua/school/630628/", 630628)</f>
        <v>630628</v>
      </c>
      <c r="B13291" s="3" t="s">
        <v>67034</v>
      </c>
      <c r="C13291" s="3" t="s">
        <v>31</v>
      </c>
      <c r="D13291" s="3" t="s">
        <v>32</v>
      </c>
      <c r="E13291" s="4" t="s">
        <v>22</v>
      </c>
      <c r="F13291" s="4" t="s">
        <v>67035</v>
      </c>
      <c r="G13291" s="4" t="s">
        <v>67036</v>
      </c>
      <c r="H13291" s="3" t="s">
        <v>63948</v>
      </c>
      <c r="I13291" s="3" t="s">
        <v>67037</v>
      </c>
      <c r="J13291" s="3" t="s">
        <v>16981</v>
      </c>
      <c r="K13291" s="3" t="s">
        <v>67038</v>
      </c>
      <c r="L13291" s="3" t="s">
        <v>67039</v>
      </c>
      <c r="M13291" s="4"/>
      <c r="N13291" s="3" t="s">
        <v>37</v>
      </c>
      <c r="O13291" s="3" t="s">
        <v>38</v>
      </c>
      <c r="P13291" s="5">
        <v>11</v>
      </c>
      <c r="Q13291" s="5">
        <v>149</v>
      </c>
      <c r="R13291" s="5">
        <v>11</v>
      </c>
      <c r="S13291" s="5">
        <v>144</v>
      </c>
    </row>
    <row r="13292" spans="1:19" ht="28" x14ac:dyDescent="0.15">
      <c r="A13292" s="2">
        <f>HYPERLINK("https://open-school.uspishnemisto.com.ua/school/630629/", 630629)</f>
        <v>630629</v>
      </c>
      <c r="B13292" s="3" t="s">
        <v>67040</v>
      </c>
      <c r="C13292" s="3" t="s">
        <v>31</v>
      </c>
      <c r="D13292" s="3" t="s">
        <v>32</v>
      </c>
      <c r="E13292" s="4" t="s">
        <v>22</v>
      </c>
      <c r="F13292" s="4" t="s">
        <v>67041</v>
      </c>
      <c r="G13292" s="4" t="s">
        <v>67042</v>
      </c>
      <c r="H13292" s="3" t="s">
        <v>63948</v>
      </c>
      <c r="I13292" s="3" t="s">
        <v>67043</v>
      </c>
      <c r="J13292" s="3" t="s">
        <v>67044</v>
      </c>
      <c r="K13292" s="3" t="s">
        <v>67045</v>
      </c>
      <c r="L13292" s="3" t="s">
        <v>67046</v>
      </c>
      <c r="M13292" s="4"/>
      <c r="N13292" s="3" t="s">
        <v>37</v>
      </c>
      <c r="O13292" s="3" t="s">
        <v>38</v>
      </c>
      <c r="P13292" s="5">
        <v>11</v>
      </c>
      <c r="Q13292" s="5">
        <v>76</v>
      </c>
      <c r="R13292" s="5">
        <v>11</v>
      </c>
      <c r="S13292" s="5">
        <v>75</v>
      </c>
    </row>
    <row r="13293" spans="1:19" ht="56" x14ac:dyDescent="0.15">
      <c r="A13293" s="2">
        <f>HYPERLINK("https://open-school.uspishnemisto.com.ua/school/630630/", 630630)</f>
        <v>630630</v>
      </c>
      <c r="B13293" s="3" t="s">
        <v>67047</v>
      </c>
      <c r="C13293" s="3" t="s">
        <v>54</v>
      </c>
      <c r="D13293" s="3" t="s">
        <v>175</v>
      </c>
      <c r="E13293" s="4" t="s">
        <v>22</v>
      </c>
      <c r="F13293" s="4" t="s">
        <v>67048</v>
      </c>
      <c r="G13293" s="4" t="s">
        <v>67049</v>
      </c>
      <c r="H13293" s="3" t="s">
        <v>63948</v>
      </c>
      <c r="I13293" s="3" t="s">
        <v>67050</v>
      </c>
      <c r="J13293" s="3" t="s">
        <v>67051</v>
      </c>
      <c r="K13293" s="3" t="s">
        <v>67052</v>
      </c>
      <c r="L13293" s="3" t="s">
        <v>67053</v>
      </c>
      <c r="M13293" s="4"/>
      <c r="N13293" s="3" t="s">
        <v>37</v>
      </c>
      <c r="O13293" s="3" t="s">
        <v>38</v>
      </c>
      <c r="P13293" s="5">
        <v>6</v>
      </c>
      <c r="Q13293" s="5">
        <v>45</v>
      </c>
      <c r="R13293" s="5">
        <v>6</v>
      </c>
      <c r="S13293" s="5">
        <v>43</v>
      </c>
    </row>
    <row r="13294" spans="1:19" ht="56" x14ac:dyDescent="0.15">
      <c r="A13294" s="2">
        <f>HYPERLINK("https://open-school.uspishnemisto.com.ua/school/630631/", 630631)</f>
        <v>630631</v>
      </c>
      <c r="B13294" s="3" t="s">
        <v>67054</v>
      </c>
      <c r="C13294" s="3" t="s">
        <v>54</v>
      </c>
      <c r="D13294" s="3" t="s">
        <v>32</v>
      </c>
      <c r="E13294" s="4" t="s">
        <v>22</v>
      </c>
      <c r="F13294" s="4" t="s">
        <v>67055</v>
      </c>
      <c r="G13294" s="4" t="s">
        <v>67056</v>
      </c>
      <c r="H13294" s="3" t="s">
        <v>63948</v>
      </c>
      <c r="I13294" s="3" t="s">
        <v>67057</v>
      </c>
      <c r="J13294" s="3" t="s">
        <v>49700</v>
      </c>
      <c r="K13294" s="3" t="s">
        <v>67058</v>
      </c>
      <c r="L13294" s="3" t="s">
        <v>67059</v>
      </c>
      <c r="M13294" s="4"/>
      <c r="N13294" s="3" t="s">
        <v>37</v>
      </c>
      <c r="O13294" s="3" t="s">
        <v>38</v>
      </c>
      <c r="P13294" s="5">
        <v>9</v>
      </c>
      <c r="Q13294" s="5">
        <v>53</v>
      </c>
      <c r="R13294" s="5">
        <v>7</v>
      </c>
      <c r="S13294" s="5">
        <v>46</v>
      </c>
    </row>
    <row r="13295" spans="1:19" ht="28" x14ac:dyDescent="0.15">
      <c r="A13295" s="2">
        <f>HYPERLINK("https://open-school.uspishnemisto.com.ua/school/630632/", 630632)</f>
        <v>630632</v>
      </c>
      <c r="B13295" s="3" t="s">
        <v>67060</v>
      </c>
      <c r="C13295" s="3" t="s">
        <v>31</v>
      </c>
      <c r="D13295" s="3" t="s">
        <v>32</v>
      </c>
      <c r="E13295" s="4" t="s">
        <v>22</v>
      </c>
      <c r="F13295" s="4" t="s">
        <v>67061</v>
      </c>
      <c r="G13295" s="4" t="s">
        <v>67062</v>
      </c>
      <c r="H13295" s="3" t="s">
        <v>63948</v>
      </c>
      <c r="I13295" s="3" t="s">
        <v>5947</v>
      </c>
      <c r="J13295" s="3" t="s">
        <v>67063</v>
      </c>
      <c r="K13295" s="3" t="s">
        <v>67064</v>
      </c>
      <c r="L13295" s="3" t="s">
        <v>67065</v>
      </c>
      <c r="M13295" s="4"/>
      <c r="N13295" s="3" t="s">
        <v>37</v>
      </c>
      <c r="O13295" s="3" t="s">
        <v>70</v>
      </c>
      <c r="P13295" s="5">
        <v>7</v>
      </c>
      <c r="Q13295" s="5">
        <v>39</v>
      </c>
      <c r="R13295" s="5">
        <v>8</v>
      </c>
      <c r="S13295" s="5">
        <v>50</v>
      </c>
    </row>
    <row r="13296" spans="1:19" ht="28" x14ac:dyDescent="0.15">
      <c r="A13296" s="2">
        <f>HYPERLINK("https://open-school.uspishnemisto.com.ua/school/630633/", 630633)</f>
        <v>630633</v>
      </c>
      <c r="B13296" s="3" t="s">
        <v>67066</v>
      </c>
      <c r="C13296" s="3" t="s">
        <v>31</v>
      </c>
      <c r="D13296" s="3" t="s">
        <v>175</v>
      </c>
      <c r="E13296" s="4" t="s">
        <v>22</v>
      </c>
      <c r="F13296" s="4" t="s">
        <v>67067</v>
      </c>
      <c r="G13296" s="4" t="s">
        <v>67068</v>
      </c>
      <c r="H13296" s="3" t="s">
        <v>63948</v>
      </c>
      <c r="I13296" s="3" t="s">
        <v>67069</v>
      </c>
      <c r="J13296" s="3" t="s">
        <v>67070</v>
      </c>
      <c r="K13296" s="3" t="s">
        <v>67071</v>
      </c>
      <c r="L13296" s="3" t="s">
        <v>67072</v>
      </c>
      <c r="M13296" s="4"/>
      <c r="N13296" s="3" t="s">
        <v>37</v>
      </c>
      <c r="O13296" s="3" t="s">
        <v>38</v>
      </c>
      <c r="P13296" s="5">
        <v>9</v>
      </c>
      <c r="Q13296" s="5">
        <v>71</v>
      </c>
      <c r="R13296" s="5">
        <v>8</v>
      </c>
      <c r="S13296" s="5">
        <v>64</v>
      </c>
    </row>
    <row r="13297" spans="1:19" ht="28" x14ac:dyDescent="0.15">
      <c r="A13297" s="2">
        <f>HYPERLINK("https://open-school.uspishnemisto.com.ua/school/630634/", 630634)</f>
        <v>630634</v>
      </c>
      <c r="B13297" s="3" t="s">
        <v>67073</v>
      </c>
      <c r="C13297" s="3" t="s">
        <v>31</v>
      </c>
      <c r="D13297" s="3" t="s">
        <v>32</v>
      </c>
      <c r="E13297" s="4" t="s">
        <v>22</v>
      </c>
      <c r="F13297" s="4" t="s">
        <v>67074</v>
      </c>
      <c r="G13297" s="4" t="s">
        <v>67075</v>
      </c>
      <c r="H13297" s="3" t="s">
        <v>63948</v>
      </c>
      <c r="I13297" s="3" t="s">
        <v>12423</v>
      </c>
      <c r="J13297" s="3" t="s">
        <v>67076</v>
      </c>
      <c r="K13297" s="3" t="s">
        <v>67077</v>
      </c>
      <c r="L13297" s="3" t="s">
        <v>67078</v>
      </c>
      <c r="M13297" s="4"/>
      <c r="N13297" s="3" t="s">
        <v>37</v>
      </c>
      <c r="O13297" s="3" t="s">
        <v>38</v>
      </c>
      <c r="P13297" s="5">
        <v>11</v>
      </c>
      <c r="Q13297" s="5">
        <v>217</v>
      </c>
      <c r="R13297" s="5">
        <v>11</v>
      </c>
      <c r="S13297" s="5">
        <v>212</v>
      </c>
    </row>
    <row r="13298" spans="1:19" ht="28" x14ac:dyDescent="0.15">
      <c r="A13298" s="2">
        <f>HYPERLINK("https://open-school.uspishnemisto.com.ua/school/630635/", 630635)</f>
        <v>630635</v>
      </c>
      <c r="B13298" s="3" t="s">
        <v>67079</v>
      </c>
      <c r="C13298" s="3" t="s">
        <v>31</v>
      </c>
      <c r="D13298" s="3" t="s">
        <v>175</v>
      </c>
      <c r="E13298" s="4" t="s">
        <v>22</v>
      </c>
      <c r="F13298" s="4" t="s">
        <v>67080</v>
      </c>
      <c r="G13298" s="4" t="s">
        <v>67081</v>
      </c>
      <c r="H13298" s="3" t="s">
        <v>63948</v>
      </c>
      <c r="I13298" s="3" t="s">
        <v>67082</v>
      </c>
      <c r="J13298" s="3" t="s">
        <v>67083</v>
      </c>
      <c r="K13298" s="3" t="s">
        <v>67084</v>
      </c>
      <c r="L13298" s="3" t="s">
        <v>67085</v>
      </c>
      <c r="M13298" s="4"/>
      <c r="N13298" s="3" t="s">
        <v>37</v>
      </c>
      <c r="O13298" s="3" t="s">
        <v>38</v>
      </c>
      <c r="P13298" s="5">
        <v>5</v>
      </c>
      <c r="Q13298" s="5">
        <v>30</v>
      </c>
      <c r="R13298" s="5">
        <v>5</v>
      </c>
      <c r="S13298" s="5">
        <v>30</v>
      </c>
    </row>
    <row r="13299" spans="1:19" ht="28" x14ac:dyDescent="0.15">
      <c r="A13299" s="2">
        <f>HYPERLINK("https://open-school.uspishnemisto.com.ua/school/630636/", 630636)</f>
        <v>630636</v>
      </c>
      <c r="B13299" s="3" t="s">
        <v>67086</v>
      </c>
      <c r="C13299" s="3" t="s">
        <v>31</v>
      </c>
      <c r="D13299" s="3" t="s">
        <v>175</v>
      </c>
      <c r="E13299" s="4" t="s">
        <v>22</v>
      </c>
      <c r="F13299" s="4" t="s">
        <v>67087</v>
      </c>
      <c r="G13299" s="4" t="s">
        <v>67088</v>
      </c>
      <c r="H13299" s="3" t="s">
        <v>63948</v>
      </c>
      <c r="I13299" s="3" t="s">
        <v>67089</v>
      </c>
      <c r="J13299" s="3" t="s">
        <v>67090</v>
      </c>
      <c r="K13299" s="3" t="s">
        <v>67091</v>
      </c>
      <c r="L13299" s="3" t="s">
        <v>67092</v>
      </c>
      <c r="M13299" s="4"/>
      <c r="N13299" s="3" t="s">
        <v>37</v>
      </c>
      <c r="O13299" s="3" t="s">
        <v>112</v>
      </c>
      <c r="P13299" s="5">
        <v>5</v>
      </c>
      <c r="Q13299" s="5">
        <v>32</v>
      </c>
      <c r="R13299" s="5">
        <v>4</v>
      </c>
      <c r="S13299" s="5">
        <v>34</v>
      </c>
    </row>
    <row r="13300" spans="1:19" ht="28" x14ac:dyDescent="0.15">
      <c r="A13300" s="2">
        <f>HYPERLINK("https://open-school.uspishnemisto.com.ua/school/630637/", 630637)</f>
        <v>630637</v>
      </c>
      <c r="B13300" s="3" t="s">
        <v>67093</v>
      </c>
      <c r="C13300" s="3" t="s">
        <v>31</v>
      </c>
      <c r="D13300" s="3" t="s">
        <v>175</v>
      </c>
      <c r="E13300" s="4" t="s">
        <v>22</v>
      </c>
      <c r="F13300" s="4" t="s">
        <v>67094</v>
      </c>
      <c r="G13300" s="4" t="s">
        <v>67095</v>
      </c>
      <c r="H13300" s="3" t="s">
        <v>63948</v>
      </c>
      <c r="I13300" s="3" t="s">
        <v>67096</v>
      </c>
      <c r="J13300" s="3" t="s">
        <v>3173</v>
      </c>
      <c r="K13300" s="3" t="s">
        <v>67097</v>
      </c>
      <c r="L13300" s="3" t="s">
        <v>67098</v>
      </c>
      <c r="M13300" s="4"/>
      <c r="N13300" s="3" t="s">
        <v>37</v>
      </c>
      <c r="O13300" s="3" t="s">
        <v>38</v>
      </c>
      <c r="P13300" s="5">
        <v>8</v>
      </c>
      <c r="Q13300" s="5">
        <v>53</v>
      </c>
      <c r="R13300" s="5">
        <v>8</v>
      </c>
      <c r="S13300" s="5">
        <v>55</v>
      </c>
    </row>
    <row r="13301" spans="1:19" ht="28" x14ac:dyDescent="0.15">
      <c r="A13301" s="2">
        <f>HYPERLINK("https://open-school.uspishnemisto.com.ua/school/630638/", 630638)</f>
        <v>630638</v>
      </c>
      <c r="B13301" s="3" t="s">
        <v>67099</v>
      </c>
      <c r="C13301" s="3" t="s">
        <v>31</v>
      </c>
      <c r="D13301" s="3" t="s">
        <v>175</v>
      </c>
      <c r="E13301" s="4" t="s">
        <v>22</v>
      </c>
      <c r="F13301" s="4" t="s">
        <v>67100</v>
      </c>
      <c r="G13301" s="4" t="s">
        <v>67101</v>
      </c>
      <c r="H13301" s="3" t="s">
        <v>63948</v>
      </c>
      <c r="I13301" s="3" t="s">
        <v>67102</v>
      </c>
      <c r="J13301" s="3" t="s">
        <v>67103</v>
      </c>
      <c r="K13301" s="3" t="s">
        <v>67104</v>
      </c>
      <c r="L13301" s="3" t="s">
        <v>67105</v>
      </c>
      <c r="M13301" s="4"/>
      <c r="N13301" s="3" t="s">
        <v>37</v>
      </c>
      <c r="O13301" s="3" t="s">
        <v>38</v>
      </c>
      <c r="P13301" s="5">
        <v>5</v>
      </c>
      <c r="Q13301" s="5">
        <v>33</v>
      </c>
      <c r="R13301" s="5">
        <v>3</v>
      </c>
      <c r="S13301" s="5">
        <v>36</v>
      </c>
    </row>
    <row r="13302" spans="1:19" ht="28" x14ac:dyDescent="0.15">
      <c r="A13302" s="2">
        <f>HYPERLINK("https://open-school.uspishnemisto.com.ua/school/630639/", 630639)</f>
        <v>630639</v>
      </c>
      <c r="B13302" s="3" t="s">
        <v>67106</v>
      </c>
      <c r="C13302" s="3" t="s">
        <v>31</v>
      </c>
      <c r="D13302" s="3" t="s">
        <v>32</v>
      </c>
      <c r="E13302" s="4" t="s">
        <v>22</v>
      </c>
      <c r="F13302" s="4" t="s">
        <v>67107</v>
      </c>
      <c r="G13302" s="4" t="s">
        <v>67108</v>
      </c>
      <c r="H13302" s="3" t="s">
        <v>63948</v>
      </c>
      <c r="I13302" s="3" t="s">
        <v>67109</v>
      </c>
      <c r="J13302" s="3" t="s">
        <v>12836</v>
      </c>
      <c r="K13302" s="3" t="s">
        <v>67110</v>
      </c>
      <c r="L13302" s="3"/>
      <c r="M13302" s="4"/>
      <c r="N13302" s="3" t="s">
        <v>37</v>
      </c>
      <c r="O13302" s="3" t="s">
        <v>70</v>
      </c>
      <c r="P13302" s="5">
        <v>39</v>
      </c>
      <c r="Q13302" s="5">
        <v>675</v>
      </c>
      <c r="R13302" s="5">
        <v>21</v>
      </c>
      <c r="S13302" s="5">
        <v>466</v>
      </c>
    </row>
    <row r="13303" spans="1:19" ht="28" x14ac:dyDescent="0.15">
      <c r="A13303" s="2">
        <f>HYPERLINK("https://open-school.uspishnemisto.com.ua/school/630641/", 630641)</f>
        <v>630641</v>
      </c>
      <c r="B13303" s="3" t="s">
        <v>67111</v>
      </c>
      <c r="C13303" s="3" t="s">
        <v>31</v>
      </c>
      <c r="D13303" s="3" t="s">
        <v>175</v>
      </c>
      <c r="E13303" s="4" t="s">
        <v>22</v>
      </c>
      <c r="F13303" s="4" t="s">
        <v>67112</v>
      </c>
      <c r="G13303" s="4" t="s">
        <v>67113</v>
      </c>
      <c r="H13303" s="3" t="s">
        <v>63948</v>
      </c>
      <c r="I13303" s="3" t="s">
        <v>67114</v>
      </c>
      <c r="J13303" s="3" t="s">
        <v>1360</v>
      </c>
      <c r="K13303" s="3" t="s">
        <v>67115</v>
      </c>
      <c r="L13303" s="3"/>
      <c r="M13303" s="4"/>
      <c r="N13303" s="3" t="s">
        <v>37</v>
      </c>
      <c r="O13303" s="3" t="s">
        <v>52</v>
      </c>
      <c r="P13303" s="5">
        <v>0</v>
      </c>
      <c r="Q13303" s="5">
        <v>0</v>
      </c>
      <c r="R13303" s="5">
        <v>10</v>
      </c>
      <c r="S13303" s="5">
        <v>130</v>
      </c>
    </row>
    <row r="13304" spans="1:19" ht="28" x14ac:dyDescent="0.15">
      <c r="A13304" s="2">
        <f>HYPERLINK("https://open-school.uspishnemisto.com.ua/school/630642/", 630642)</f>
        <v>630642</v>
      </c>
      <c r="B13304" s="3" t="s">
        <v>67116</v>
      </c>
      <c r="C13304" s="3" t="s">
        <v>31</v>
      </c>
      <c r="D13304" s="3" t="s">
        <v>32</v>
      </c>
      <c r="E13304" s="4" t="s">
        <v>22</v>
      </c>
      <c r="F13304" s="4" t="s">
        <v>67117</v>
      </c>
      <c r="G13304" s="4" t="s">
        <v>67113</v>
      </c>
      <c r="H13304" s="3" t="s">
        <v>63948</v>
      </c>
      <c r="I13304" s="3" t="s">
        <v>67114</v>
      </c>
      <c r="J13304" s="3" t="s">
        <v>39337</v>
      </c>
      <c r="K13304" s="3" t="s">
        <v>67118</v>
      </c>
      <c r="L13304" s="3"/>
      <c r="M13304" s="4"/>
      <c r="N13304" s="3" t="s">
        <v>37</v>
      </c>
      <c r="O13304" s="3" t="s">
        <v>70</v>
      </c>
      <c r="P13304" s="5">
        <v>20</v>
      </c>
      <c r="Q13304" s="5">
        <v>329</v>
      </c>
      <c r="R13304" s="5">
        <v>11</v>
      </c>
      <c r="S13304" s="5">
        <v>179</v>
      </c>
    </row>
    <row r="13305" spans="1:19" ht="28" x14ac:dyDescent="0.15">
      <c r="A13305" s="2">
        <f>HYPERLINK("https://open-school.uspishnemisto.com.ua/school/630643/", 630643)</f>
        <v>630643</v>
      </c>
      <c r="B13305" s="3" t="s">
        <v>67119</v>
      </c>
      <c r="C13305" s="3" t="s">
        <v>54</v>
      </c>
      <c r="D13305" s="3" t="s">
        <v>32</v>
      </c>
      <c r="E13305" s="4" t="s">
        <v>22</v>
      </c>
      <c r="F13305" s="4" t="s">
        <v>67120</v>
      </c>
      <c r="G13305" s="4" t="s">
        <v>67121</v>
      </c>
      <c r="H13305" s="3" t="s">
        <v>63948</v>
      </c>
      <c r="I13305" s="3" t="s">
        <v>67122</v>
      </c>
      <c r="J13305" s="3" t="s">
        <v>2434</v>
      </c>
      <c r="K13305" s="3" t="s">
        <v>67123</v>
      </c>
      <c r="L13305" s="3"/>
      <c r="M13305" s="4"/>
      <c r="N13305" s="3" t="s">
        <v>37</v>
      </c>
      <c r="O13305" s="3" t="s">
        <v>46</v>
      </c>
      <c r="P13305" s="5">
        <v>10</v>
      </c>
      <c r="Q13305" s="5">
        <v>97</v>
      </c>
      <c r="R13305" s="5">
        <v>10</v>
      </c>
      <c r="S13305" s="5">
        <v>106</v>
      </c>
    </row>
    <row r="13306" spans="1:19" ht="28" x14ac:dyDescent="0.15">
      <c r="A13306" s="2">
        <f>HYPERLINK("https://open-school.uspishnemisto.com.ua/school/630644/", 630644)</f>
        <v>630644</v>
      </c>
      <c r="B13306" s="3" t="s">
        <v>67124</v>
      </c>
      <c r="C13306" s="3" t="s">
        <v>54</v>
      </c>
      <c r="D13306" s="3" t="s">
        <v>32</v>
      </c>
      <c r="E13306" s="4" t="s">
        <v>22</v>
      </c>
      <c r="F13306" s="4" t="s">
        <v>67125</v>
      </c>
      <c r="G13306" s="4" t="s">
        <v>67126</v>
      </c>
      <c r="H13306" s="3" t="s">
        <v>63948</v>
      </c>
      <c r="I13306" s="3" t="s">
        <v>67127</v>
      </c>
      <c r="J13306" s="3" t="s">
        <v>28925</v>
      </c>
      <c r="K13306" s="3" t="s">
        <v>67128</v>
      </c>
      <c r="L13306" s="3"/>
      <c r="M13306" s="4"/>
      <c r="N13306" s="3" t="s">
        <v>37</v>
      </c>
      <c r="O13306" s="3" t="s">
        <v>38</v>
      </c>
      <c r="P13306" s="5">
        <v>9</v>
      </c>
      <c r="Q13306" s="5">
        <v>59</v>
      </c>
      <c r="R13306" s="5">
        <v>8</v>
      </c>
      <c r="S13306" s="5">
        <v>58</v>
      </c>
    </row>
    <row r="13307" spans="1:19" ht="42" x14ac:dyDescent="0.15">
      <c r="A13307" s="2">
        <f>HYPERLINK("https://open-school.uspishnemisto.com.ua/school/630645/", 630645)</f>
        <v>630645</v>
      </c>
      <c r="B13307" s="3" t="s">
        <v>67129</v>
      </c>
      <c r="C13307" s="3" t="s">
        <v>54</v>
      </c>
      <c r="D13307" s="3" t="s">
        <v>175</v>
      </c>
      <c r="E13307" s="4" t="s">
        <v>22</v>
      </c>
      <c r="F13307" s="4" t="s">
        <v>65405</v>
      </c>
      <c r="G13307" s="4" t="s">
        <v>67130</v>
      </c>
      <c r="H13307" s="3" t="s">
        <v>63948</v>
      </c>
      <c r="I13307" s="3" t="s">
        <v>12383</v>
      </c>
      <c r="J13307" s="3" t="s">
        <v>67131</v>
      </c>
      <c r="K13307" s="3" t="s">
        <v>67132</v>
      </c>
      <c r="L13307" s="3" t="s">
        <v>67133</v>
      </c>
      <c r="M13307" s="4"/>
      <c r="N13307" s="3" t="s">
        <v>37</v>
      </c>
      <c r="O13307" s="3" t="s">
        <v>618</v>
      </c>
      <c r="P13307" s="5">
        <v>0</v>
      </c>
      <c r="Q13307" s="5">
        <v>0</v>
      </c>
      <c r="R13307" s="5">
        <v>7</v>
      </c>
      <c r="S13307" s="5">
        <v>48</v>
      </c>
    </row>
    <row r="13308" spans="1:19" ht="28" x14ac:dyDescent="0.15">
      <c r="A13308" s="2">
        <f>HYPERLINK("https://open-school.uspishnemisto.com.ua/school/630646/", 630646)</f>
        <v>630646</v>
      </c>
      <c r="B13308" s="3" t="s">
        <v>67134</v>
      </c>
      <c r="C13308" s="3" t="s">
        <v>31</v>
      </c>
      <c r="D13308" s="3" t="s">
        <v>32</v>
      </c>
      <c r="E13308" s="4" t="s">
        <v>22</v>
      </c>
      <c r="F13308" s="4" t="s">
        <v>67135</v>
      </c>
      <c r="G13308" s="4" t="s">
        <v>67136</v>
      </c>
      <c r="H13308" s="3" t="s">
        <v>63948</v>
      </c>
      <c r="I13308" s="3" t="s">
        <v>12592</v>
      </c>
      <c r="J13308" s="3" t="s">
        <v>1946</v>
      </c>
      <c r="K13308" s="3" t="s">
        <v>67137</v>
      </c>
      <c r="L13308" s="3"/>
      <c r="M13308" s="4"/>
      <c r="N13308" s="3" t="s">
        <v>37</v>
      </c>
      <c r="O13308" s="3" t="s">
        <v>38</v>
      </c>
      <c r="P13308" s="5">
        <v>11</v>
      </c>
      <c r="Q13308" s="5">
        <v>143</v>
      </c>
      <c r="R13308" s="5">
        <v>11</v>
      </c>
      <c r="S13308" s="5">
        <v>155</v>
      </c>
    </row>
    <row r="13309" spans="1:19" ht="28" x14ac:dyDescent="0.15">
      <c r="A13309" s="2">
        <f>HYPERLINK("https://open-school.uspishnemisto.com.ua/school/630647/", 630647)</f>
        <v>630647</v>
      </c>
      <c r="B13309" s="3" t="s">
        <v>67138</v>
      </c>
      <c r="C13309" s="3" t="s">
        <v>54</v>
      </c>
      <c r="D13309" s="3" t="s">
        <v>32</v>
      </c>
      <c r="E13309" s="4" t="s">
        <v>22</v>
      </c>
      <c r="F13309" s="4" t="s">
        <v>67139</v>
      </c>
      <c r="G13309" s="4" t="s">
        <v>67140</v>
      </c>
      <c r="H13309" s="3" t="s">
        <v>63948</v>
      </c>
      <c r="I13309" s="3" t="s">
        <v>3145</v>
      </c>
      <c r="J13309" s="3" t="s">
        <v>466</v>
      </c>
      <c r="K13309" s="3" t="s">
        <v>67141</v>
      </c>
      <c r="L13309" s="3"/>
      <c r="M13309" s="4"/>
      <c r="N13309" s="3" t="s">
        <v>37</v>
      </c>
      <c r="O13309" s="3" t="s">
        <v>38</v>
      </c>
      <c r="P13309" s="5">
        <v>9</v>
      </c>
      <c r="Q13309" s="5">
        <v>72</v>
      </c>
      <c r="R13309" s="5">
        <v>9</v>
      </c>
      <c r="S13309" s="5">
        <v>80</v>
      </c>
    </row>
    <row r="13310" spans="1:19" ht="28" x14ac:dyDescent="0.15">
      <c r="A13310" s="2">
        <f>HYPERLINK("https://open-school.uspishnemisto.com.ua/school/630648/", 630648)</f>
        <v>630648</v>
      </c>
      <c r="B13310" s="3" t="s">
        <v>67142</v>
      </c>
      <c r="C13310" s="3" t="s">
        <v>54</v>
      </c>
      <c r="D13310" s="3" t="s">
        <v>32</v>
      </c>
      <c r="E13310" s="4" t="s">
        <v>22</v>
      </c>
      <c r="F13310" s="4" t="s">
        <v>67143</v>
      </c>
      <c r="G13310" s="4" t="s">
        <v>67144</v>
      </c>
      <c r="H13310" s="3" t="s">
        <v>63948</v>
      </c>
      <c r="I13310" s="3" t="s">
        <v>11430</v>
      </c>
      <c r="J13310" s="3" t="s">
        <v>7905</v>
      </c>
      <c r="K13310" s="3" t="s">
        <v>67145</v>
      </c>
      <c r="L13310" s="3" t="s">
        <v>67146</v>
      </c>
      <c r="M13310" s="4"/>
      <c r="N13310" s="3" t="s">
        <v>37</v>
      </c>
      <c r="O13310" s="3" t="s">
        <v>46</v>
      </c>
      <c r="P13310" s="5">
        <v>9</v>
      </c>
      <c r="Q13310" s="5">
        <v>55</v>
      </c>
      <c r="R13310" s="5">
        <v>9</v>
      </c>
      <c r="S13310" s="5">
        <v>61</v>
      </c>
    </row>
    <row r="13311" spans="1:19" ht="28" x14ac:dyDescent="0.15">
      <c r="A13311" s="2">
        <f>HYPERLINK("https://open-school.uspishnemisto.com.ua/school/630649/", 630649)</f>
        <v>630649</v>
      </c>
      <c r="B13311" s="3" t="s">
        <v>67147</v>
      </c>
      <c r="C13311" s="3" t="s">
        <v>54</v>
      </c>
      <c r="D13311" s="3" t="s">
        <v>32</v>
      </c>
      <c r="E13311" s="4" t="s">
        <v>22</v>
      </c>
      <c r="F13311" s="4" t="s">
        <v>67148</v>
      </c>
      <c r="G13311" s="4" t="s">
        <v>67149</v>
      </c>
      <c r="H13311" s="3" t="s">
        <v>63948</v>
      </c>
      <c r="I13311" s="3" t="s">
        <v>1740</v>
      </c>
      <c r="J13311" s="3" t="s">
        <v>67150</v>
      </c>
      <c r="K13311" s="3" t="s">
        <v>67151</v>
      </c>
      <c r="L13311" s="3" t="s">
        <v>67152</v>
      </c>
      <c r="M13311" s="4"/>
      <c r="N13311" s="3" t="s">
        <v>37</v>
      </c>
      <c r="O13311" s="3" t="s">
        <v>38</v>
      </c>
      <c r="P13311" s="5">
        <v>10</v>
      </c>
      <c r="Q13311" s="5">
        <v>69</v>
      </c>
      <c r="R13311" s="5">
        <v>10</v>
      </c>
      <c r="S13311" s="5">
        <v>60</v>
      </c>
    </row>
    <row r="13312" spans="1:19" ht="28" x14ac:dyDescent="0.15">
      <c r="A13312" s="2">
        <f>HYPERLINK("https://open-school.uspishnemisto.com.ua/school/630650/", 630650)</f>
        <v>630650</v>
      </c>
      <c r="B13312" s="3" t="s">
        <v>67153</v>
      </c>
      <c r="C13312" s="3" t="s">
        <v>31</v>
      </c>
      <c r="D13312" s="3" t="s">
        <v>32</v>
      </c>
      <c r="E13312" s="4" t="s">
        <v>22</v>
      </c>
      <c r="F13312" s="4" t="s">
        <v>67154</v>
      </c>
      <c r="G13312" s="4" t="s">
        <v>67155</v>
      </c>
      <c r="H13312" s="3" t="s">
        <v>63948</v>
      </c>
      <c r="I13312" s="3" t="s">
        <v>47988</v>
      </c>
      <c r="J13312" s="3" t="s">
        <v>67156</v>
      </c>
      <c r="K13312" s="3" t="s">
        <v>67157</v>
      </c>
      <c r="L13312" s="3"/>
      <c r="M13312" s="4"/>
      <c r="N13312" s="3" t="s">
        <v>37</v>
      </c>
      <c r="O13312" s="3" t="s">
        <v>38</v>
      </c>
      <c r="P13312" s="5">
        <v>9</v>
      </c>
      <c r="Q13312" s="5">
        <v>56</v>
      </c>
      <c r="R13312" s="5">
        <v>10</v>
      </c>
      <c r="S13312" s="5">
        <v>66</v>
      </c>
    </row>
    <row r="13313" spans="1:19" ht="28" x14ac:dyDescent="0.15">
      <c r="A13313" s="2">
        <f>HYPERLINK("https://open-school.uspishnemisto.com.ua/school/630651/", 630651)</f>
        <v>630651</v>
      </c>
      <c r="B13313" s="3" t="s">
        <v>67158</v>
      </c>
      <c r="C13313" s="3" t="s">
        <v>31</v>
      </c>
      <c r="D13313" s="3" t="s">
        <v>32</v>
      </c>
      <c r="E13313" s="4" t="s">
        <v>22</v>
      </c>
      <c r="F13313" s="4" t="s">
        <v>67159</v>
      </c>
      <c r="G13313" s="4" t="s">
        <v>67160</v>
      </c>
      <c r="H13313" s="3" t="s">
        <v>63948</v>
      </c>
      <c r="I13313" s="3" t="s">
        <v>67161</v>
      </c>
      <c r="J13313" s="3" t="s">
        <v>67162</v>
      </c>
      <c r="K13313" s="3" t="s">
        <v>67163</v>
      </c>
      <c r="L13313" s="3"/>
      <c r="M13313" s="4"/>
      <c r="N13313" s="3" t="s">
        <v>37</v>
      </c>
      <c r="O13313" s="3" t="s">
        <v>112</v>
      </c>
      <c r="P13313" s="5">
        <v>6</v>
      </c>
      <c r="Q13313" s="5">
        <v>38</v>
      </c>
      <c r="R13313" s="5">
        <v>3</v>
      </c>
      <c r="S13313" s="5">
        <v>36</v>
      </c>
    </row>
    <row r="13314" spans="1:19" ht="42" x14ac:dyDescent="0.15">
      <c r="A13314" s="2">
        <f>HYPERLINK("https://open-school.uspishnemisto.com.ua/school/630652/", 630652)</f>
        <v>630652</v>
      </c>
      <c r="B13314" s="3" t="s">
        <v>67164</v>
      </c>
      <c r="C13314" s="3" t="s">
        <v>31</v>
      </c>
      <c r="D13314" s="3" t="s">
        <v>60</v>
      </c>
      <c r="E13314" s="4" t="s">
        <v>22</v>
      </c>
      <c r="F13314" s="4" t="s">
        <v>67165</v>
      </c>
      <c r="G13314" s="4" t="s">
        <v>67166</v>
      </c>
      <c r="H13314" s="3" t="s">
        <v>63948</v>
      </c>
      <c r="I13314" s="3" t="s">
        <v>1752</v>
      </c>
      <c r="J13314" s="3" t="s">
        <v>3393</v>
      </c>
      <c r="K13314" s="3" t="s">
        <v>67167</v>
      </c>
      <c r="L13314" s="3"/>
      <c r="M13314" s="4"/>
      <c r="N13314" s="3" t="s">
        <v>37</v>
      </c>
      <c r="O13314" s="3" t="s">
        <v>618</v>
      </c>
      <c r="P13314" s="5">
        <v>0</v>
      </c>
      <c r="Q13314" s="5">
        <v>0</v>
      </c>
      <c r="R13314" s="5">
        <v>2</v>
      </c>
      <c r="S13314" s="5">
        <v>12</v>
      </c>
    </row>
    <row r="13315" spans="1:19" ht="28" x14ac:dyDescent="0.15">
      <c r="A13315" s="2">
        <f>HYPERLINK("https://open-school.uspishnemisto.com.ua/school/630653/", 630653)</f>
        <v>630653</v>
      </c>
      <c r="B13315" s="3" t="s">
        <v>67168</v>
      </c>
      <c r="C13315" s="3" t="s">
        <v>54</v>
      </c>
      <c r="D13315" s="3" t="s">
        <v>175</v>
      </c>
      <c r="E13315" s="4" t="s">
        <v>22</v>
      </c>
      <c r="F13315" s="4" t="s">
        <v>67169</v>
      </c>
      <c r="G13315" s="4" t="s">
        <v>67170</v>
      </c>
      <c r="H13315" s="3" t="s">
        <v>63948</v>
      </c>
      <c r="I13315" s="3" t="s">
        <v>45726</v>
      </c>
      <c r="J13315" s="3" t="s">
        <v>2584</v>
      </c>
      <c r="K13315" s="3" t="s">
        <v>67171</v>
      </c>
      <c r="L13315" s="3"/>
      <c r="M13315" s="4"/>
      <c r="N13315" s="3" t="s">
        <v>37</v>
      </c>
      <c r="O13315" s="3" t="s">
        <v>38</v>
      </c>
      <c r="P13315" s="5">
        <v>9</v>
      </c>
      <c r="Q13315" s="5">
        <v>70</v>
      </c>
      <c r="R13315" s="5">
        <v>9</v>
      </c>
      <c r="S13315" s="5">
        <v>75</v>
      </c>
    </row>
    <row r="13316" spans="1:19" ht="28" x14ac:dyDescent="0.15">
      <c r="A13316" s="2">
        <f>HYPERLINK("https://open-school.uspishnemisto.com.ua/school/630654/", 630654)</f>
        <v>630654</v>
      </c>
      <c r="B13316" s="3" t="s">
        <v>67172</v>
      </c>
      <c r="C13316" s="3" t="s">
        <v>54</v>
      </c>
      <c r="D13316" s="3" t="s">
        <v>32</v>
      </c>
      <c r="E13316" s="4" t="s">
        <v>22</v>
      </c>
      <c r="F13316" s="4" t="s">
        <v>67173</v>
      </c>
      <c r="G13316" s="4" t="s">
        <v>67174</v>
      </c>
      <c r="H13316" s="3" t="s">
        <v>63948</v>
      </c>
      <c r="I13316" s="3" t="s">
        <v>67175</v>
      </c>
      <c r="J13316" s="3" t="s">
        <v>1636</v>
      </c>
      <c r="K13316" s="3" t="s">
        <v>67176</v>
      </c>
      <c r="L13316" s="3" t="s">
        <v>67177</v>
      </c>
      <c r="M13316" s="4"/>
      <c r="N13316" s="3" t="s">
        <v>37</v>
      </c>
      <c r="O13316" s="3" t="s">
        <v>112</v>
      </c>
      <c r="P13316" s="5">
        <v>9</v>
      </c>
      <c r="Q13316" s="5">
        <v>51</v>
      </c>
      <c r="R13316" s="5">
        <v>9</v>
      </c>
      <c r="S13316" s="5">
        <v>54</v>
      </c>
    </row>
    <row r="13317" spans="1:19" ht="28" x14ac:dyDescent="0.15">
      <c r="A13317" s="2">
        <f>HYPERLINK("https://open-school.uspishnemisto.com.ua/school/630655/", 630655)</f>
        <v>630655</v>
      </c>
      <c r="B13317" s="3" t="s">
        <v>67178</v>
      </c>
      <c r="C13317" s="3" t="s">
        <v>31</v>
      </c>
      <c r="D13317" s="3" t="s">
        <v>32</v>
      </c>
      <c r="E13317" s="4" t="s">
        <v>22</v>
      </c>
      <c r="F13317" s="4" t="s">
        <v>67179</v>
      </c>
      <c r="G13317" s="4" t="s">
        <v>67180</v>
      </c>
      <c r="H13317" s="3" t="s">
        <v>63948</v>
      </c>
      <c r="I13317" s="3" t="s">
        <v>18131</v>
      </c>
      <c r="J13317" s="3" t="s">
        <v>16914</v>
      </c>
      <c r="K13317" s="3" t="s">
        <v>67181</v>
      </c>
      <c r="L13317" s="3" t="s">
        <v>67182</v>
      </c>
      <c r="M13317" s="4"/>
      <c r="N13317" s="3" t="s">
        <v>37</v>
      </c>
      <c r="O13317" s="3" t="s">
        <v>70</v>
      </c>
      <c r="P13317" s="5">
        <v>10</v>
      </c>
      <c r="Q13317" s="5">
        <v>71</v>
      </c>
      <c r="R13317" s="5">
        <v>10</v>
      </c>
      <c r="S13317" s="5">
        <v>73</v>
      </c>
    </row>
    <row r="13318" spans="1:19" ht="28" x14ac:dyDescent="0.15">
      <c r="A13318" s="2">
        <f>HYPERLINK("https://open-school.uspishnemisto.com.ua/school/630656/", 630656)</f>
        <v>630656</v>
      </c>
      <c r="B13318" s="3" t="s">
        <v>67183</v>
      </c>
      <c r="C13318" s="3" t="s">
        <v>54</v>
      </c>
      <c r="D13318" s="3" t="s">
        <v>32</v>
      </c>
      <c r="E13318" s="4" t="s">
        <v>22</v>
      </c>
      <c r="F13318" s="4" t="s">
        <v>67184</v>
      </c>
      <c r="G13318" s="4" t="s">
        <v>67185</v>
      </c>
      <c r="H13318" s="3" t="s">
        <v>63948</v>
      </c>
      <c r="I13318" s="3" t="s">
        <v>67186</v>
      </c>
      <c r="J13318" s="3" t="s">
        <v>3047</v>
      </c>
      <c r="K13318" s="3" t="s">
        <v>67187</v>
      </c>
      <c r="L13318" s="3"/>
      <c r="M13318" s="4"/>
      <c r="N13318" s="3" t="s">
        <v>37</v>
      </c>
      <c r="O13318" s="3" t="s">
        <v>70</v>
      </c>
      <c r="P13318" s="5">
        <v>11</v>
      </c>
      <c r="Q13318" s="5">
        <v>101</v>
      </c>
      <c r="R13318" s="5">
        <v>11</v>
      </c>
      <c r="S13318" s="5">
        <v>103</v>
      </c>
    </row>
    <row r="13319" spans="1:19" ht="28" x14ac:dyDescent="0.15">
      <c r="A13319" s="2">
        <f>HYPERLINK("https://open-school.uspishnemisto.com.ua/school/630657/", 630657)</f>
        <v>630657</v>
      </c>
      <c r="B13319" s="3" t="s">
        <v>67188</v>
      </c>
      <c r="C13319" s="3" t="s">
        <v>31</v>
      </c>
      <c r="D13319" s="3" t="s">
        <v>175</v>
      </c>
      <c r="E13319" s="4" t="s">
        <v>22</v>
      </c>
      <c r="F13319" s="4" t="s">
        <v>67189</v>
      </c>
      <c r="G13319" s="4" t="s">
        <v>67190</v>
      </c>
      <c r="H13319" s="3" t="s">
        <v>63948</v>
      </c>
      <c r="I13319" s="3" t="s">
        <v>67191</v>
      </c>
      <c r="J13319" s="3" t="s">
        <v>67192</v>
      </c>
      <c r="K13319" s="3" t="s">
        <v>67193</v>
      </c>
      <c r="L13319" s="3" t="s">
        <v>67194</v>
      </c>
      <c r="M13319" s="4"/>
      <c r="N13319" s="3" t="s">
        <v>37</v>
      </c>
      <c r="O13319" s="3" t="s">
        <v>70</v>
      </c>
      <c r="P13319" s="5">
        <v>7</v>
      </c>
      <c r="Q13319" s="5">
        <v>38</v>
      </c>
      <c r="R13319" s="5">
        <v>7</v>
      </c>
      <c r="S13319" s="5">
        <v>37</v>
      </c>
    </row>
    <row r="13320" spans="1:19" ht="28" x14ac:dyDescent="0.15">
      <c r="A13320" s="2">
        <f>HYPERLINK("https://open-school.uspishnemisto.com.ua/school/630658/", 630658)</f>
        <v>630658</v>
      </c>
      <c r="B13320" s="3" t="s">
        <v>67195</v>
      </c>
      <c r="C13320" s="3" t="s">
        <v>54</v>
      </c>
      <c r="D13320" s="3" t="s">
        <v>32</v>
      </c>
      <c r="E13320" s="4" t="s">
        <v>22</v>
      </c>
      <c r="F13320" s="4" t="s">
        <v>67196</v>
      </c>
      <c r="G13320" s="4" t="s">
        <v>67197</v>
      </c>
      <c r="H13320" s="3" t="s">
        <v>63948</v>
      </c>
      <c r="I13320" s="3" t="s">
        <v>67198</v>
      </c>
      <c r="J13320" s="3" t="s">
        <v>878</v>
      </c>
      <c r="K13320" s="3" t="s">
        <v>67199</v>
      </c>
      <c r="L13320" s="3"/>
      <c r="M13320" s="4"/>
      <c r="N13320" s="3" t="s">
        <v>37</v>
      </c>
      <c r="O13320" s="3" t="s">
        <v>38</v>
      </c>
      <c r="P13320" s="5">
        <v>10</v>
      </c>
      <c r="Q13320" s="5">
        <v>59</v>
      </c>
      <c r="R13320" s="5">
        <v>11</v>
      </c>
      <c r="S13320" s="5">
        <v>63</v>
      </c>
    </row>
    <row r="13321" spans="1:19" ht="28" x14ac:dyDescent="0.15">
      <c r="A13321" s="2">
        <f>HYPERLINK("https://open-school.uspishnemisto.com.ua/school/630659/", 630659)</f>
        <v>630659</v>
      </c>
      <c r="B13321" s="3" t="s">
        <v>67200</v>
      </c>
      <c r="C13321" s="3" t="s">
        <v>54</v>
      </c>
      <c r="D13321" s="3" t="s">
        <v>32</v>
      </c>
      <c r="E13321" s="4" t="s">
        <v>22</v>
      </c>
      <c r="F13321" s="4" t="s">
        <v>67201</v>
      </c>
      <c r="G13321" s="4" t="s">
        <v>67202</v>
      </c>
      <c r="H13321" s="3" t="s">
        <v>63948</v>
      </c>
      <c r="I13321" s="3" t="s">
        <v>1291</v>
      </c>
      <c r="J13321" s="3" t="s">
        <v>6394</v>
      </c>
      <c r="K13321" s="3" t="s">
        <v>67203</v>
      </c>
      <c r="L13321" s="3" t="s">
        <v>67204</v>
      </c>
      <c r="M13321" s="4"/>
      <c r="N13321" s="3" t="s">
        <v>37</v>
      </c>
      <c r="O13321" s="3" t="s">
        <v>70</v>
      </c>
      <c r="P13321" s="5">
        <v>11</v>
      </c>
      <c r="Q13321" s="5">
        <v>117</v>
      </c>
      <c r="R13321" s="5">
        <v>11</v>
      </c>
      <c r="S13321" s="5">
        <v>118</v>
      </c>
    </row>
    <row r="13322" spans="1:19" ht="28" x14ac:dyDescent="0.15">
      <c r="A13322" s="2">
        <f>HYPERLINK("https://open-school.uspishnemisto.com.ua/school/630660/", 630660)</f>
        <v>630660</v>
      </c>
      <c r="B13322" s="3" t="s">
        <v>67205</v>
      </c>
      <c r="C13322" s="3" t="s">
        <v>54</v>
      </c>
      <c r="D13322" s="3" t="s">
        <v>32</v>
      </c>
      <c r="E13322" s="4" t="s">
        <v>22</v>
      </c>
      <c r="F13322" s="4" t="s">
        <v>67206</v>
      </c>
      <c r="G13322" s="4" t="s">
        <v>67207</v>
      </c>
      <c r="H13322" s="3" t="s">
        <v>63948</v>
      </c>
      <c r="I13322" s="3" t="s">
        <v>12772</v>
      </c>
      <c r="J13322" s="3" t="s">
        <v>4442</v>
      </c>
      <c r="K13322" s="3" t="s">
        <v>67208</v>
      </c>
      <c r="L13322" s="3" t="s">
        <v>67209</v>
      </c>
      <c r="M13322" s="4"/>
      <c r="N13322" s="3" t="s">
        <v>37</v>
      </c>
      <c r="O13322" s="3" t="s">
        <v>70</v>
      </c>
      <c r="P13322" s="5">
        <v>11</v>
      </c>
      <c r="Q13322" s="5">
        <v>108</v>
      </c>
      <c r="R13322" s="5">
        <v>10</v>
      </c>
      <c r="S13322" s="5">
        <v>110</v>
      </c>
    </row>
    <row r="13323" spans="1:19" ht="28" x14ac:dyDescent="0.15">
      <c r="A13323" s="2">
        <f>HYPERLINK("https://open-school.uspishnemisto.com.ua/school/630661/", 630661)</f>
        <v>630661</v>
      </c>
      <c r="B13323" s="3" t="s">
        <v>67210</v>
      </c>
      <c r="C13323" s="3" t="s">
        <v>54</v>
      </c>
      <c r="D13323" s="3" t="s">
        <v>32</v>
      </c>
      <c r="E13323" s="4" t="s">
        <v>22</v>
      </c>
      <c r="F13323" s="4" t="s">
        <v>67211</v>
      </c>
      <c r="G13323" s="4" t="s">
        <v>67212</v>
      </c>
      <c r="H13323" s="3" t="s">
        <v>63948</v>
      </c>
      <c r="I13323" s="3" t="s">
        <v>67213</v>
      </c>
      <c r="J13323" s="3" t="s">
        <v>67214</v>
      </c>
      <c r="K13323" s="3" t="s">
        <v>67215</v>
      </c>
      <c r="L13323" s="3" t="s">
        <v>67216</v>
      </c>
      <c r="M13323" s="4" t="s">
        <v>67217</v>
      </c>
      <c r="N13323" s="3" t="s">
        <v>37</v>
      </c>
      <c r="O13323" s="3" t="s">
        <v>38</v>
      </c>
      <c r="P13323" s="5">
        <v>10</v>
      </c>
      <c r="Q13323" s="5">
        <v>192</v>
      </c>
      <c r="R13323" s="5">
        <v>10</v>
      </c>
      <c r="S13323" s="5">
        <v>199</v>
      </c>
    </row>
    <row r="13324" spans="1:19" ht="28" x14ac:dyDescent="0.15">
      <c r="A13324" s="2">
        <f>HYPERLINK("https://open-school.uspishnemisto.com.ua/school/630662/", 630662)</f>
        <v>630662</v>
      </c>
      <c r="B13324" s="3" t="s">
        <v>67218</v>
      </c>
      <c r="C13324" s="3" t="s">
        <v>40</v>
      </c>
      <c r="D13324" s="3" t="s">
        <v>32</v>
      </c>
      <c r="E13324" s="4" t="s">
        <v>22</v>
      </c>
      <c r="F13324" s="4" t="s">
        <v>67211</v>
      </c>
      <c r="G13324" s="4" t="s">
        <v>67212</v>
      </c>
      <c r="H13324" s="3" t="s">
        <v>63948</v>
      </c>
      <c r="I13324" s="3" t="s">
        <v>67213</v>
      </c>
      <c r="J13324" s="3" t="s">
        <v>67219</v>
      </c>
      <c r="K13324" s="3" t="s">
        <v>67220</v>
      </c>
      <c r="L13324" s="3" t="s">
        <v>67221</v>
      </c>
      <c r="M13324" s="4"/>
      <c r="N13324" s="3" t="s">
        <v>128</v>
      </c>
      <c r="O13324" s="3" t="s">
        <v>70</v>
      </c>
      <c r="P13324" s="5">
        <v>29</v>
      </c>
      <c r="Q13324" s="5">
        <v>530</v>
      </c>
      <c r="R13324" s="5">
        <v>29</v>
      </c>
      <c r="S13324" s="5">
        <v>533</v>
      </c>
    </row>
    <row r="13325" spans="1:19" ht="28" x14ac:dyDescent="0.15">
      <c r="A13325" s="2">
        <f>HYPERLINK("https://open-school.uspishnemisto.com.ua/school/630663/", 630663)</f>
        <v>630663</v>
      </c>
      <c r="B13325" s="3" t="s">
        <v>67222</v>
      </c>
      <c r="C13325" s="3" t="s">
        <v>188</v>
      </c>
      <c r="D13325" s="3" t="s">
        <v>32</v>
      </c>
      <c r="E13325" s="4" t="s">
        <v>22</v>
      </c>
      <c r="F13325" s="4" t="s">
        <v>67211</v>
      </c>
      <c r="G13325" s="4" t="s">
        <v>67212</v>
      </c>
      <c r="H13325" s="3" t="s">
        <v>63948</v>
      </c>
      <c r="I13325" s="3" t="s">
        <v>67213</v>
      </c>
      <c r="J13325" s="3" t="s">
        <v>67223</v>
      </c>
      <c r="K13325" s="3" t="s">
        <v>67224</v>
      </c>
      <c r="L13325" s="3" t="s">
        <v>67225</v>
      </c>
      <c r="M13325" s="4"/>
      <c r="N13325" s="3" t="s">
        <v>37</v>
      </c>
      <c r="O13325" s="3" t="s">
        <v>38</v>
      </c>
      <c r="P13325" s="5">
        <v>17</v>
      </c>
      <c r="Q13325" s="5">
        <v>356</v>
      </c>
      <c r="R13325" s="5">
        <v>17</v>
      </c>
      <c r="S13325" s="5">
        <v>339</v>
      </c>
    </row>
    <row r="13326" spans="1:19" ht="56" x14ac:dyDescent="0.15">
      <c r="A13326" s="2">
        <f>HYPERLINK("https://open-school.uspishnemisto.com.ua/school/630664/", 630664)</f>
        <v>630664</v>
      </c>
      <c r="B13326" s="3" t="s">
        <v>67226</v>
      </c>
      <c r="C13326" s="3" t="s">
        <v>54</v>
      </c>
      <c r="D13326" s="3" t="s">
        <v>32</v>
      </c>
      <c r="E13326" s="4" t="s">
        <v>22</v>
      </c>
      <c r="F13326" s="4" t="s">
        <v>67211</v>
      </c>
      <c r="G13326" s="4" t="s">
        <v>67212</v>
      </c>
      <c r="H13326" s="3" t="s">
        <v>63948</v>
      </c>
      <c r="I13326" s="3" t="s">
        <v>67213</v>
      </c>
      <c r="J13326" s="3" t="s">
        <v>67227</v>
      </c>
      <c r="K13326" s="3" t="s">
        <v>67228</v>
      </c>
      <c r="L13326" s="3" t="s">
        <v>67229</v>
      </c>
      <c r="M13326" s="4"/>
      <c r="N13326" s="3" t="s">
        <v>37</v>
      </c>
      <c r="O13326" s="3" t="s">
        <v>38</v>
      </c>
      <c r="P13326" s="5">
        <v>20</v>
      </c>
      <c r="Q13326" s="5">
        <v>400</v>
      </c>
      <c r="R13326" s="5">
        <v>20</v>
      </c>
      <c r="S13326" s="5">
        <v>376</v>
      </c>
    </row>
    <row r="13327" spans="1:19" ht="56" x14ac:dyDescent="0.15">
      <c r="A13327" s="2">
        <f>HYPERLINK("https://open-school.uspishnemisto.com.ua/school/630665/", 630665)</f>
        <v>630665</v>
      </c>
      <c r="B13327" s="3" t="s">
        <v>67230</v>
      </c>
      <c r="C13327" s="3" t="s">
        <v>54</v>
      </c>
      <c r="D13327" s="3" t="s">
        <v>32</v>
      </c>
      <c r="E13327" s="4" t="s">
        <v>22</v>
      </c>
      <c r="F13327" s="4" t="s">
        <v>67231</v>
      </c>
      <c r="G13327" s="4" t="s">
        <v>67232</v>
      </c>
      <c r="H13327" s="3" t="s">
        <v>63948</v>
      </c>
      <c r="I13327" s="3" t="s">
        <v>2900</v>
      </c>
      <c r="J13327" s="3" t="s">
        <v>67233</v>
      </c>
      <c r="K13327" s="3" t="s">
        <v>67234</v>
      </c>
      <c r="L13327" s="3" t="s">
        <v>67235</v>
      </c>
      <c r="M13327" s="4"/>
      <c r="N13327" s="3" t="s">
        <v>37</v>
      </c>
      <c r="O13327" s="3" t="s">
        <v>38</v>
      </c>
      <c r="P13327" s="5">
        <v>10</v>
      </c>
      <c r="Q13327" s="5">
        <v>120</v>
      </c>
      <c r="R13327" s="5">
        <v>11</v>
      </c>
      <c r="S13327" s="5">
        <v>127</v>
      </c>
    </row>
    <row r="13328" spans="1:19" ht="42" x14ac:dyDescent="0.15">
      <c r="A13328" s="2">
        <f>HYPERLINK("https://open-school.uspishnemisto.com.ua/school/630666/", 630666)</f>
        <v>630666</v>
      </c>
      <c r="B13328" s="3" t="s">
        <v>67236</v>
      </c>
      <c r="C13328" s="3" t="s">
        <v>54</v>
      </c>
      <c r="D13328" s="3" t="s">
        <v>175</v>
      </c>
      <c r="E13328" s="4" t="s">
        <v>22</v>
      </c>
      <c r="F13328" s="4" t="s">
        <v>67237</v>
      </c>
      <c r="G13328" s="4" t="s">
        <v>67238</v>
      </c>
      <c r="H13328" s="3" t="s">
        <v>63948</v>
      </c>
      <c r="I13328" s="3" t="s">
        <v>7007</v>
      </c>
      <c r="J13328" s="3" t="s">
        <v>634</v>
      </c>
      <c r="K13328" s="3" t="s">
        <v>67239</v>
      </c>
      <c r="L13328" s="3" t="s">
        <v>67240</v>
      </c>
      <c r="M13328" s="4"/>
      <c r="N13328" s="3" t="s">
        <v>37</v>
      </c>
      <c r="O13328" s="3" t="s">
        <v>38</v>
      </c>
      <c r="P13328" s="5">
        <v>8</v>
      </c>
      <c r="Q13328" s="5">
        <v>53</v>
      </c>
      <c r="R13328" s="5">
        <v>8</v>
      </c>
      <c r="S13328" s="5">
        <v>48</v>
      </c>
    </row>
    <row r="13329" spans="1:19" ht="56" x14ac:dyDescent="0.15">
      <c r="A13329" s="2">
        <f>HYPERLINK("https://open-school.uspishnemisto.com.ua/school/630667/", 630667)</f>
        <v>630667</v>
      </c>
      <c r="B13329" s="3" t="s">
        <v>67241</v>
      </c>
      <c r="C13329" s="3" t="s">
        <v>54</v>
      </c>
      <c r="D13329" s="3" t="s">
        <v>32</v>
      </c>
      <c r="E13329" s="4" t="s">
        <v>22</v>
      </c>
      <c r="F13329" s="4" t="s">
        <v>67242</v>
      </c>
      <c r="G13329" s="4" t="s">
        <v>67243</v>
      </c>
      <c r="H13329" s="3" t="s">
        <v>63948</v>
      </c>
      <c r="I13329" s="3" t="s">
        <v>67244</v>
      </c>
      <c r="J13329" s="3" t="s">
        <v>67245</v>
      </c>
      <c r="K13329" s="3" t="s">
        <v>67246</v>
      </c>
      <c r="L13329" s="3"/>
      <c r="M13329" s="4"/>
      <c r="N13329" s="3" t="s">
        <v>37</v>
      </c>
      <c r="O13329" s="3" t="s">
        <v>38</v>
      </c>
      <c r="P13329" s="5">
        <v>11</v>
      </c>
      <c r="Q13329" s="5">
        <v>115</v>
      </c>
      <c r="R13329" s="5">
        <v>10</v>
      </c>
      <c r="S13329" s="5">
        <v>114</v>
      </c>
    </row>
    <row r="13330" spans="1:19" ht="42" x14ac:dyDescent="0.15">
      <c r="A13330" s="2">
        <f>HYPERLINK("https://open-school.uspishnemisto.com.ua/school/630668/", 630668)</f>
        <v>630668</v>
      </c>
      <c r="B13330" s="3" t="s">
        <v>67247</v>
      </c>
      <c r="C13330" s="3" t="s">
        <v>31</v>
      </c>
      <c r="D13330" s="3" t="s">
        <v>32</v>
      </c>
      <c r="E13330" s="4" t="s">
        <v>22</v>
      </c>
      <c r="F13330" s="4" t="s">
        <v>67248</v>
      </c>
      <c r="G13330" s="4" t="s">
        <v>67249</v>
      </c>
      <c r="H13330" s="3" t="s">
        <v>63948</v>
      </c>
      <c r="I13330" s="3" t="s">
        <v>67250</v>
      </c>
      <c r="J13330" s="3" t="s">
        <v>466</v>
      </c>
      <c r="K13330" s="3" t="s">
        <v>67251</v>
      </c>
      <c r="L13330" s="3" t="s">
        <v>67252</v>
      </c>
      <c r="M13330" s="4"/>
      <c r="N13330" s="3" t="s">
        <v>37</v>
      </c>
      <c r="O13330" s="3" t="s">
        <v>70</v>
      </c>
      <c r="P13330" s="5">
        <v>13</v>
      </c>
      <c r="Q13330" s="5">
        <v>235</v>
      </c>
      <c r="R13330" s="5">
        <v>11</v>
      </c>
      <c r="S13330" s="5">
        <v>219</v>
      </c>
    </row>
    <row r="13331" spans="1:19" ht="56" x14ac:dyDescent="0.15">
      <c r="A13331" s="2">
        <f>HYPERLINK("https://open-school.uspishnemisto.com.ua/school/630669/", 630669)</f>
        <v>630669</v>
      </c>
      <c r="B13331" s="3" t="s">
        <v>67253</v>
      </c>
      <c r="C13331" s="3" t="s">
        <v>54</v>
      </c>
      <c r="D13331" s="3" t="s">
        <v>60</v>
      </c>
      <c r="E13331" s="4" t="s">
        <v>22</v>
      </c>
      <c r="F13331" s="4" t="s">
        <v>67254</v>
      </c>
      <c r="G13331" s="4" t="s">
        <v>67255</v>
      </c>
      <c r="H13331" s="3" t="s">
        <v>63948</v>
      </c>
      <c r="I13331" s="3" t="s">
        <v>4683</v>
      </c>
      <c r="J13331" s="3" t="s">
        <v>466</v>
      </c>
      <c r="K13331" s="3" t="s">
        <v>67256</v>
      </c>
      <c r="L13331" s="3" t="s">
        <v>67257</v>
      </c>
      <c r="M13331" s="4"/>
      <c r="N13331" s="3" t="s">
        <v>37</v>
      </c>
      <c r="O13331" s="3" t="s">
        <v>38</v>
      </c>
      <c r="P13331" s="5">
        <v>0</v>
      </c>
      <c r="Q13331" s="5">
        <v>5</v>
      </c>
      <c r="R13331" s="5">
        <v>1</v>
      </c>
      <c r="S13331" s="5">
        <v>13</v>
      </c>
    </row>
    <row r="13332" spans="1:19" ht="42" x14ac:dyDescent="0.15">
      <c r="A13332" s="2">
        <f>HYPERLINK("https://open-school.uspishnemisto.com.ua/school/630670/", 630670)</f>
        <v>630670</v>
      </c>
      <c r="B13332" s="3" t="s">
        <v>67258</v>
      </c>
      <c r="C13332" s="3" t="s">
        <v>54</v>
      </c>
      <c r="D13332" s="3" t="s">
        <v>32</v>
      </c>
      <c r="E13332" s="4" t="s">
        <v>22</v>
      </c>
      <c r="F13332" s="4" t="s">
        <v>67259</v>
      </c>
      <c r="G13332" s="4" t="s">
        <v>67260</v>
      </c>
      <c r="H13332" s="3" t="s">
        <v>63948</v>
      </c>
      <c r="I13332" s="3" t="s">
        <v>65163</v>
      </c>
      <c r="J13332" s="3" t="s">
        <v>1209</v>
      </c>
      <c r="K13332" s="3" t="s">
        <v>67261</v>
      </c>
      <c r="L13332" s="3" t="s">
        <v>67262</v>
      </c>
      <c r="M13332" s="4"/>
      <c r="N13332" s="3" t="s">
        <v>37</v>
      </c>
      <c r="O13332" s="3" t="s">
        <v>38</v>
      </c>
      <c r="P13332" s="5">
        <v>4</v>
      </c>
      <c r="Q13332" s="5">
        <v>41</v>
      </c>
      <c r="R13332" s="5">
        <v>5</v>
      </c>
      <c r="S13332" s="5">
        <v>44</v>
      </c>
    </row>
    <row r="13333" spans="1:19" ht="56" x14ac:dyDescent="0.15">
      <c r="A13333" s="2">
        <f>HYPERLINK("https://open-school.uspishnemisto.com.ua/school/630671/", 630671)</f>
        <v>630671</v>
      </c>
      <c r="B13333" s="3" t="s">
        <v>67263</v>
      </c>
      <c r="C13333" s="3" t="s">
        <v>54</v>
      </c>
      <c r="D13333" s="3" t="s">
        <v>32</v>
      </c>
      <c r="E13333" s="4" t="s">
        <v>22</v>
      </c>
      <c r="F13333" s="4" t="s">
        <v>67264</v>
      </c>
      <c r="G13333" s="4" t="s">
        <v>67265</v>
      </c>
      <c r="H13333" s="3" t="s">
        <v>63948</v>
      </c>
      <c r="I13333" s="3" t="s">
        <v>67266</v>
      </c>
      <c r="J13333" s="3" t="s">
        <v>67267</v>
      </c>
      <c r="K13333" s="3" t="s">
        <v>67268</v>
      </c>
      <c r="L13333" s="3" t="s">
        <v>67269</v>
      </c>
      <c r="M13333" s="4"/>
      <c r="N13333" s="3" t="s">
        <v>128</v>
      </c>
      <c r="O13333" s="3" t="s">
        <v>38</v>
      </c>
      <c r="P13333" s="5">
        <v>9</v>
      </c>
      <c r="Q13333" s="5">
        <v>73</v>
      </c>
      <c r="R13333" s="5">
        <v>8</v>
      </c>
      <c r="S13333" s="5">
        <v>68</v>
      </c>
    </row>
    <row r="13334" spans="1:19" ht="28" x14ac:dyDescent="0.15">
      <c r="A13334" s="2">
        <f>HYPERLINK("https://open-school.uspishnemisto.com.ua/school/630672/", 630672)</f>
        <v>630672</v>
      </c>
      <c r="B13334" s="3" t="s">
        <v>67270</v>
      </c>
      <c r="C13334" s="3" t="s">
        <v>31</v>
      </c>
      <c r="D13334" s="3" t="s">
        <v>32</v>
      </c>
      <c r="E13334" s="4" t="s">
        <v>22</v>
      </c>
      <c r="F13334" s="4" t="s">
        <v>67271</v>
      </c>
      <c r="G13334" s="4" t="s">
        <v>67272</v>
      </c>
      <c r="H13334" s="3" t="s">
        <v>63948</v>
      </c>
      <c r="I13334" s="3" t="s">
        <v>67273</v>
      </c>
      <c r="J13334" s="3" t="s">
        <v>13277</v>
      </c>
      <c r="K13334" s="3" t="s">
        <v>67274</v>
      </c>
      <c r="L13334" s="3" t="s">
        <v>67275</v>
      </c>
      <c r="M13334" s="4"/>
      <c r="N13334" s="3" t="s">
        <v>967</v>
      </c>
      <c r="O13334" s="3" t="s">
        <v>52</v>
      </c>
      <c r="P13334" s="5">
        <v>11</v>
      </c>
      <c r="Q13334" s="5">
        <v>132</v>
      </c>
      <c r="R13334" s="5">
        <v>11</v>
      </c>
      <c r="S13334" s="5">
        <v>142</v>
      </c>
    </row>
    <row r="13335" spans="1:19" ht="56" x14ac:dyDescent="0.15">
      <c r="A13335" s="2">
        <f>HYPERLINK("https://open-school.uspishnemisto.com.ua/school/630673/", 630673)</f>
        <v>630673</v>
      </c>
      <c r="B13335" s="3" t="s">
        <v>67276</v>
      </c>
      <c r="C13335" s="3" t="s">
        <v>54</v>
      </c>
      <c r="D13335" s="3" t="s">
        <v>32</v>
      </c>
      <c r="E13335" s="4" t="s">
        <v>22</v>
      </c>
      <c r="F13335" s="4" t="s">
        <v>67277</v>
      </c>
      <c r="G13335" s="4" t="s">
        <v>67278</v>
      </c>
      <c r="H13335" s="3" t="s">
        <v>63948</v>
      </c>
      <c r="I13335" s="3" t="s">
        <v>67279</v>
      </c>
      <c r="J13335" s="3" t="s">
        <v>6598</v>
      </c>
      <c r="K13335" s="3" t="s">
        <v>67280</v>
      </c>
      <c r="L13335" s="3"/>
      <c r="M13335" s="4"/>
      <c r="N13335" s="3" t="s">
        <v>37</v>
      </c>
      <c r="O13335" s="3" t="s">
        <v>38</v>
      </c>
      <c r="P13335" s="5">
        <v>9</v>
      </c>
      <c r="Q13335" s="5">
        <v>108</v>
      </c>
      <c r="R13335" s="5">
        <v>10</v>
      </c>
      <c r="S13335" s="5">
        <v>106</v>
      </c>
    </row>
    <row r="13336" spans="1:19" ht="56" x14ac:dyDescent="0.15">
      <c r="A13336" s="2">
        <f>HYPERLINK("https://open-school.uspishnemisto.com.ua/school/630674/", 630674)</f>
        <v>630674</v>
      </c>
      <c r="B13336" s="3" t="s">
        <v>67281</v>
      </c>
      <c r="C13336" s="3" t="s">
        <v>54</v>
      </c>
      <c r="D13336" s="3" t="s">
        <v>32</v>
      </c>
      <c r="E13336" s="4" t="s">
        <v>22</v>
      </c>
      <c r="F13336" s="4" t="s">
        <v>67282</v>
      </c>
      <c r="G13336" s="4" t="s">
        <v>67283</v>
      </c>
      <c r="H13336" s="3" t="s">
        <v>63948</v>
      </c>
      <c r="I13336" s="3" t="s">
        <v>33585</v>
      </c>
      <c r="J13336" s="3" t="s">
        <v>2253</v>
      </c>
      <c r="K13336" s="3" t="s">
        <v>67284</v>
      </c>
      <c r="L13336" s="3" t="s">
        <v>67285</v>
      </c>
      <c r="M13336" s="4"/>
      <c r="N13336" s="3" t="s">
        <v>37</v>
      </c>
      <c r="O13336" s="3" t="s">
        <v>38</v>
      </c>
      <c r="P13336" s="5">
        <v>10</v>
      </c>
      <c r="Q13336" s="5">
        <v>105</v>
      </c>
      <c r="R13336" s="5">
        <v>10</v>
      </c>
      <c r="S13336" s="5">
        <v>110</v>
      </c>
    </row>
    <row r="13337" spans="1:19" ht="56" x14ac:dyDescent="0.15">
      <c r="A13337" s="2">
        <f>HYPERLINK("https://open-school.uspishnemisto.com.ua/school/630675/", 630675)</f>
        <v>630675</v>
      </c>
      <c r="B13337" s="3" t="s">
        <v>67286</v>
      </c>
      <c r="C13337" s="3" t="s">
        <v>54</v>
      </c>
      <c r="D13337" s="3" t="s">
        <v>32</v>
      </c>
      <c r="E13337" s="4" t="s">
        <v>22</v>
      </c>
      <c r="F13337" s="4" t="s">
        <v>67287</v>
      </c>
      <c r="G13337" s="4" t="s">
        <v>67288</v>
      </c>
      <c r="H13337" s="3" t="s">
        <v>63948</v>
      </c>
      <c r="I13337" s="3" t="s">
        <v>67289</v>
      </c>
      <c r="J13337" s="3" t="s">
        <v>15380</v>
      </c>
      <c r="K13337" s="3" t="s">
        <v>67290</v>
      </c>
      <c r="L13337" s="3" t="s">
        <v>67291</v>
      </c>
      <c r="M13337" s="4"/>
      <c r="N13337" s="3" t="s">
        <v>37</v>
      </c>
      <c r="O13337" s="3" t="s">
        <v>38</v>
      </c>
      <c r="P13337" s="5">
        <v>9</v>
      </c>
      <c r="Q13337" s="5">
        <v>96</v>
      </c>
      <c r="R13337" s="5">
        <v>11</v>
      </c>
      <c r="S13337" s="5">
        <v>98</v>
      </c>
    </row>
    <row r="13338" spans="1:19" ht="28" x14ac:dyDescent="0.15">
      <c r="A13338" s="2">
        <f>HYPERLINK("https://open-school.uspishnemisto.com.ua/school/630676/", 630676)</f>
        <v>630676</v>
      </c>
      <c r="B13338" s="3" t="s">
        <v>67292</v>
      </c>
      <c r="C13338" s="3" t="s">
        <v>31</v>
      </c>
      <c r="D13338" s="3" t="s">
        <v>32</v>
      </c>
      <c r="E13338" s="4" t="s">
        <v>22</v>
      </c>
      <c r="F13338" s="4" t="s">
        <v>67293</v>
      </c>
      <c r="G13338" s="4" t="s">
        <v>67294</v>
      </c>
      <c r="H13338" s="3" t="s">
        <v>63948</v>
      </c>
      <c r="I13338" s="3" t="s">
        <v>67295</v>
      </c>
      <c r="J13338" s="3" t="s">
        <v>1360</v>
      </c>
      <c r="K13338" s="3" t="s">
        <v>67296</v>
      </c>
      <c r="L13338" s="3" t="s">
        <v>67297</v>
      </c>
      <c r="M13338" s="4"/>
      <c r="N13338" s="3" t="s">
        <v>37</v>
      </c>
      <c r="O13338" s="3" t="s">
        <v>38</v>
      </c>
      <c r="P13338" s="5">
        <v>11</v>
      </c>
      <c r="Q13338" s="5">
        <v>108</v>
      </c>
      <c r="R13338" s="5">
        <v>11</v>
      </c>
      <c r="S13338" s="5">
        <v>108</v>
      </c>
    </row>
    <row r="13339" spans="1:19" ht="28" x14ac:dyDescent="0.15">
      <c r="A13339" s="2">
        <f>HYPERLINK("https://open-school.uspishnemisto.com.ua/school/630677/", 630677)</f>
        <v>630677</v>
      </c>
      <c r="B13339" s="3" t="s">
        <v>67298</v>
      </c>
      <c r="C13339" s="3" t="s">
        <v>31</v>
      </c>
      <c r="D13339" s="3" t="s">
        <v>32</v>
      </c>
      <c r="E13339" s="4" t="s">
        <v>22</v>
      </c>
      <c r="F13339" s="4" t="s">
        <v>67299</v>
      </c>
      <c r="G13339" s="4" t="s">
        <v>67300</v>
      </c>
      <c r="H13339" s="3" t="s">
        <v>63948</v>
      </c>
      <c r="I13339" s="3" t="s">
        <v>11220</v>
      </c>
      <c r="J13339" s="3" t="s">
        <v>3393</v>
      </c>
      <c r="K13339" s="3" t="s">
        <v>67301</v>
      </c>
      <c r="L13339" s="3" t="s">
        <v>67302</v>
      </c>
      <c r="M13339" s="4"/>
      <c r="N13339" s="3" t="s">
        <v>37</v>
      </c>
      <c r="O13339" s="3" t="s">
        <v>38</v>
      </c>
      <c r="P13339" s="5">
        <v>9</v>
      </c>
      <c r="Q13339" s="5">
        <v>69</v>
      </c>
      <c r="R13339" s="5">
        <v>10</v>
      </c>
      <c r="S13339" s="5">
        <v>73</v>
      </c>
    </row>
    <row r="13340" spans="1:19" ht="56" x14ac:dyDescent="0.15">
      <c r="A13340" s="2">
        <f>HYPERLINK("https://open-school.uspishnemisto.com.ua/school/630678/", 630678)</f>
        <v>630678</v>
      </c>
      <c r="B13340" s="3" t="s">
        <v>67303</v>
      </c>
      <c r="C13340" s="3" t="s">
        <v>54</v>
      </c>
      <c r="D13340" s="3" t="s">
        <v>60</v>
      </c>
      <c r="E13340" s="4" t="s">
        <v>22</v>
      </c>
      <c r="F13340" s="4" t="s">
        <v>67304</v>
      </c>
      <c r="G13340" s="4" t="s">
        <v>67305</v>
      </c>
      <c r="H13340" s="3" t="s">
        <v>63948</v>
      </c>
      <c r="I13340" s="3" t="s">
        <v>67306</v>
      </c>
      <c r="J13340" s="3" t="s">
        <v>67307</v>
      </c>
      <c r="K13340" s="3" t="s">
        <v>67308</v>
      </c>
      <c r="L13340" s="3" t="s">
        <v>67309</v>
      </c>
      <c r="M13340" s="4"/>
      <c r="N13340" s="3" t="s">
        <v>37</v>
      </c>
      <c r="O13340" s="3" t="s">
        <v>38</v>
      </c>
      <c r="P13340" s="5">
        <v>2</v>
      </c>
      <c r="Q13340" s="5">
        <v>11</v>
      </c>
      <c r="R13340" s="5">
        <v>2</v>
      </c>
      <c r="S13340" s="5">
        <v>10</v>
      </c>
    </row>
    <row r="13341" spans="1:19" ht="56" x14ac:dyDescent="0.15">
      <c r="A13341" s="2">
        <f>HYPERLINK("https://open-school.uspishnemisto.com.ua/school/630679/", 630679)</f>
        <v>630679</v>
      </c>
      <c r="B13341" s="3" t="s">
        <v>67310</v>
      </c>
      <c r="C13341" s="3" t="s">
        <v>54</v>
      </c>
      <c r="D13341" s="3" t="s">
        <v>175</v>
      </c>
      <c r="E13341" s="4" t="s">
        <v>22</v>
      </c>
      <c r="F13341" s="4" t="s">
        <v>67311</v>
      </c>
      <c r="G13341" s="4" t="s">
        <v>67312</v>
      </c>
      <c r="H13341" s="3" t="s">
        <v>63948</v>
      </c>
      <c r="I13341" s="3" t="s">
        <v>67313</v>
      </c>
      <c r="J13341" s="3" t="s">
        <v>1078</v>
      </c>
      <c r="K13341" s="3" t="s">
        <v>67314</v>
      </c>
      <c r="L13341" s="3" t="s">
        <v>67315</v>
      </c>
      <c r="M13341" s="4"/>
      <c r="N13341" s="3" t="s">
        <v>967</v>
      </c>
      <c r="O13341" s="3" t="s">
        <v>52</v>
      </c>
      <c r="P13341" s="5">
        <v>2</v>
      </c>
      <c r="Q13341" s="5">
        <v>30</v>
      </c>
      <c r="R13341" s="5">
        <v>2</v>
      </c>
      <c r="S13341" s="5">
        <v>36</v>
      </c>
    </row>
    <row r="13342" spans="1:19" ht="28" x14ac:dyDescent="0.15">
      <c r="A13342" s="2">
        <f>HYPERLINK("https://open-school.uspishnemisto.com.ua/school/630680/", 630680)</f>
        <v>630680</v>
      </c>
      <c r="B13342" s="3" t="s">
        <v>67316</v>
      </c>
      <c r="C13342" s="3" t="s">
        <v>31</v>
      </c>
      <c r="D13342" s="3" t="s">
        <v>32</v>
      </c>
      <c r="E13342" s="4" t="s">
        <v>22</v>
      </c>
      <c r="F13342" s="4" t="s">
        <v>67311</v>
      </c>
      <c r="G13342" s="4" t="s">
        <v>67312</v>
      </c>
      <c r="H13342" s="3" t="s">
        <v>63948</v>
      </c>
      <c r="I13342" s="3" t="s">
        <v>67313</v>
      </c>
      <c r="J13342" s="3" t="s">
        <v>1668</v>
      </c>
      <c r="K13342" s="3" t="s">
        <v>67317</v>
      </c>
      <c r="L13342" s="3" t="s">
        <v>67318</v>
      </c>
      <c r="M13342" s="4"/>
      <c r="N13342" s="3" t="s">
        <v>967</v>
      </c>
      <c r="O13342" s="3" t="s">
        <v>52</v>
      </c>
      <c r="P13342" s="5">
        <v>11</v>
      </c>
      <c r="Q13342" s="5">
        <v>161</v>
      </c>
      <c r="R13342" s="5">
        <v>11</v>
      </c>
      <c r="S13342" s="5">
        <v>162</v>
      </c>
    </row>
    <row r="13343" spans="1:19" ht="56" x14ac:dyDescent="0.15">
      <c r="A13343" s="2">
        <f>HYPERLINK("https://open-school.uspishnemisto.com.ua/school/630681/", 630681)</f>
        <v>630681</v>
      </c>
      <c r="B13343" s="3" t="s">
        <v>67319</v>
      </c>
      <c r="C13343" s="3" t="s">
        <v>54</v>
      </c>
      <c r="D13343" s="3" t="s">
        <v>175</v>
      </c>
      <c r="E13343" s="4" t="s">
        <v>22</v>
      </c>
      <c r="F13343" s="4" t="s">
        <v>67320</v>
      </c>
      <c r="G13343" s="4" t="s">
        <v>67312</v>
      </c>
      <c r="H13343" s="3" t="s">
        <v>63948</v>
      </c>
      <c r="I13343" s="3" t="s">
        <v>67313</v>
      </c>
      <c r="J13343" s="3" t="s">
        <v>67321</v>
      </c>
      <c r="K13343" s="3" t="s">
        <v>67322</v>
      </c>
      <c r="L13343" s="3" t="s">
        <v>67323</v>
      </c>
      <c r="M13343" s="4"/>
      <c r="N13343" s="3" t="s">
        <v>967</v>
      </c>
      <c r="O13343" s="3" t="s">
        <v>52</v>
      </c>
      <c r="P13343" s="5">
        <v>6</v>
      </c>
      <c r="Q13343" s="5">
        <v>51</v>
      </c>
      <c r="R13343" s="5">
        <v>6</v>
      </c>
      <c r="S13343" s="5">
        <v>55</v>
      </c>
    </row>
    <row r="13344" spans="1:19" ht="28" x14ac:dyDescent="0.15">
      <c r="A13344" s="2">
        <f>HYPERLINK("https://open-school.uspishnemisto.com.ua/school/630682/", 630682)</f>
        <v>630682</v>
      </c>
      <c r="B13344" s="3" t="s">
        <v>67324</v>
      </c>
      <c r="C13344" s="3" t="s">
        <v>31</v>
      </c>
      <c r="D13344" s="3" t="s">
        <v>175</v>
      </c>
      <c r="E13344" s="4" t="s">
        <v>22</v>
      </c>
      <c r="F13344" s="4" t="s">
        <v>67325</v>
      </c>
      <c r="G13344" s="4" t="s">
        <v>67326</v>
      </c>
      <c r="H13344" s="3" t="s">
        <v>63948</v>
      </c>
      <c r="I13344" s="3" t="s">
        <v>67327</v>
      </c>
      <c r="J13344" s="3" t="s">
        <v>1348</v>
      </c>
      <c r="K13344" s="3" t="s">
        <v>67328</v>
      </c>
      <c r="L13344" s="3" t="s">
        <v>67329</v>
      </c>
      <c r="M13344" s="4"/>
      <c r="N13344" s="3" t="s">
        <v>967</v>
      </c>
      <c r="O13344" s="3" t="s">
        <v>52</v>
      </c>
      <c r="P13344" s="5">
        <v>5</v>
      </c>
      <c r="Q13344" s="5">
        <v>54</v>
      </c>
      <c r="R13344" s="5">
        <v>6</v>
      </c>
      <c r="S13344" s="5">
        <v>50</v>
      </c>
    </row>
    <row r="13345" spans="1:19" ht="28" x14ac:dyDescent="0.15">
      <c r="A13345" s="2">
        <f>HYPERLINK("https://open-school.uspishnemisto.com.ua/school/630683/", 630683)</f>
        <v>630683</v>
      </c>
      <c r="B13345" s="3" t="s">
        <v>67330</v>
      </c>
      <c r="C13345" s="3" t="s">
        <v>31</v>
      </c>
      <c r="D13345" s="3" t="s">
        <v>32</v>
      </c>
      <c r="E13345" s="4" t="s">
        <v>22</v>
      </c>
      <c r="F13345" s="4" t="s">
        <v>67331</v>
      </c>
      <c r="G13345" s="4" t="s">
        <v>67332</v>
      </c>
      <c r="H13345" s="3" t="s">
        <v>63948</v>
      </c>
      <c r="I13345" s="3" t="s">
        <v>67333</v>
      </c>
      <c r="J13345" s="3" t="s">
        <v>67334</v>
      </c>
      <c r="K13345" s="3" t="s">
        <v>67335</v>
      </c>
      <c r="L13345" s="3" t="s">
        <v>67336</v>
      </c>
      <c r="M13345" s="4"/>
      <c r="N13345" s="3" t="s">
        <v>37</v>
      </c>
      <c r="O13345" s="3" t="s">
        <v>38</v>
      </c>
      <c r="P13345" s="5">
        <v>11</v>
      </c>
      <c r="Q13345" s="5">
        <v>93</v>
      </c>
      <c r="R13345" s="5">
        <v>11</v>
      </c>
      <c r="S13345" s="5">
        <v>100</v>
      </c>
    </row>
    <row r="13346" spans="1:19" ht="56" x14ac:dyDescent="0.15">
      <c r="A13346" s="2">
        <f>HYPERLINK("https://open-school.uspishnemisto.com.ua/school/630684/", 630684)</f>
        <v>630684</v>
      </c>
      <c r="B13346" s="3" t="s">
        <v>67337</v>
      </c>
      <c r="C13346" s="3" t="s">
        <v>54</v>
      </c>
      <c r="D13346" s="3" t="s">
        <v>32</v>
      </c>
      <c r="E13346" s="4" t="s">
        <v>22</v>
      </c>
      <c r="F13346" s="4" t="s">
        <v>67338</v>
      </c>
      <c r="G13346" s="4" t="s">
        <v>67339</v>
      </c>
      <c r="H13346" s="3" t="s">
        <v>63948</v>
      </c>
      <c r="I13346" s="3" t="s">
        <v>11964</v>
      </c>
      <c r="J13346" s="3" t="s">
        <v>3370</v>
      </c>
      <c r="K13346" s="3" t="s">
        <v>67340</v>
      </c>
      <c r="L13346" s="3" t="s">
        <v>67341</v>
      </c>
      <c r="M13346" s="4"/>
      <c r="N13346" s="3" t="s">
        <v>37</v>
      </c>
      <c r="O13346" s="3" t="s">
        <v>38</v>
      </c>
      <c r="P13346" s="5">
        <v>11</v>
      </c>
      <c r="Q13346" s="5">
        <v>128</v>
      </c>
      <c r="R13346" s="5">
        <v>11</v>
      </c>
      <c r="S13346" s="5">
        <v>130</v>
      </c>
    </row>
    <row r="13347" spans="1:19" ht="28" x14ac:dyDescent="0.15">
      <c r="A13347" s="2">
        <f>HYPERLINK("https://open-school.uspishnemisto.com.ua/school/630685/", 630685)</f>
        <v>630685</v>
      </c>
      <c r="B13347" s="3" t="s">
        <v>67342</v>
      </c>
      <c r="C13347" s="3" t="s">
        <v>54</v>
      </c>
      <c r="D13347" s="3" t="s">
        <v>32</v>
      </c>
      <c r="E13347" s="4" t="s">
        <v>22</v>
      </c>
      <c r="F13347" s="4" t="s">
        <v>67343</v>
      </c>
      <c r="G13347" s="4" t="s">
        <v>67344</v>
      </c>
      <c r="H13347" s="3" t="s">
        <v>63948</v>
      </c>
      <c r="I13347" s="3" t="s">
        <v>67345</v>
      </c>
      <c r="J13347" s="3" t="s">
        <v>67346</v>
      </c>
      <c r="K13347" s="3" t="s">
        <v>67347</v>
      </c>
      <c r="L13347" s="3" t="s">
        <v>67348</v>
      </c>
      <c r="M13347" s="4"/>
      <c r="N13347" s="3" t="s">
        <v>967</v>
      </c>
      <c r="O13347" s="3" t="s">
        <v>52</v>
      </c>
      <c r="P13347" s="5">
        <v>8</v>
      </c>
      <c r="Q13347" s="5">
        <v>65</v>
      </c>
      <c r="R13347" s="5">
        <v>8</v>
      </c>
      <c r="S13347" s="5">
        <v>71</v>
      </c>
    </row>
    <row r="13348" spans="1:19" ht="28" x14ac:dyDescent="0.15">
      <c r="A13348" s="2">
        <f>HYPERLINK("https://open-school.uspishnemisto.com.ua/school/630686/", 630686)</f>
        <v>630686</v>
      </c>
      <c r="B13348" s="3" t="s">
        <v>67349</v>
      </c>
      <c r="C13348" s="3" t="s">
        <v>54</v>
      </c>
      <c r="D13348" s="3" t="s">
        <v>32</v>
      </c>
      <c r="E13348" s="4" t="s">
        <v>22</v>
      </c>
      <c r="F13348" s="4" t="s">
        <v>67350</v>
      </c>
      <c r="G13348" s="4" t="s">
        <v>67351</v>
      </c>
      <c r="H13348" s="3" t="s">
        <v>63948</v>
      </c>
      <c r="I13348" s="3" t="s">
        <v>53965</v>
      </c>
      <c r="J13348" s="3" t="s">
        <v>946</v>
      </c>
      <c r="K13348" s="3" t="s">
        <v>67352</v>
      </c>
      <c r="L13348" s="3" t="s">
        <v>67353</v>
      </c>
      <c r="M13348" s="4"/>
      <c r="N13348" s="3" t="s">
        <v>37</v>
      </c>
      <c r="O13348" s="3" t="s">
        <v>38</v>
      </c>
      <c r="P13348" s="5">
        <v>11</v>
      </c>
      <c r="Q13348" s="5">
        <v>81</v>
      </c>
      <c r="R13348" s="5">
        <v>10</v>
      </c>
      <c r="S13348" s="5">
        <v>74</v>
      </c>
    </row>
    <row r="13349" spans="1:19" ht="56" x14ac:dyDescent="0.15">
      <c r="A13349" s="2">
        <f>HYPERLINK("https://open-school.uspishnemisto.com.ua/school/630687/", 630687)</f>
        <v>630687</v>
      </c>
      <c r="B13349" s="3" t="s">
        <v>67354</v>
      </c>
      <c r="C13349" s="3" t="s">
        <v>54</v>
      </c>
      <c r="D13349" s="3" t="s">
        <v>32</v>
      </c>
      <c r="E13349" s="4" t="s">
        <v>22</v>
      </c>
      <c r="F13349" s="4" t="s">
        <v>67355</v>
      </c>
      <c r="G13349" s="4" t="s">
        <v>67356</v>
      </c>
      <c r="H13349" s="3" t="s">
        <v>63948</v>
      </c>
      <c r="I13349" s="3" t="s">
        <v>12351</v>
      </c>
      <c r="J13349" s="3" t="s">
        <v>67357</v>
      </c>
      <c r="K13349" s="3" t="s">
        <v>67358</v>
      </c>
      <c r="L13349" s="3" t="s">
        <v>67359</v>
      </c>
      <c r="M13349" s="4"/>
      <c r="N13349" s="3" t="s">
        <v>37</v>
      </c>
      <c r="O13349" s="3" t="s">
        <v>52</v>
      </c>
      <c r="P13349" s="5">
        <v>10</v>
      </c>
      <c r="Q13349" s="5">
        <v>100</v>
      </c>
      <c r="R13349" s="5">
        <v>10</v>
      </c>
      <c r="S13349" s="5">
        <v>112</v>
      </c>
    </row>
    <row r="13350" spans="1:19" ht="56" x14ac:dyDescent="0.15">
      <c r="A13350" s="2">
        <f>HYPERLINK("https://open-school.uspishnemisto.com.ua/school/630688/", 630688)</f>
        <v>630688</v>
      </c>
      <c r="B13350" s="3" t="s">
        <v>67360</v>
      </c>
      <c r="C13350" s="3" t="s">
        <v>54</v>
      </c>
      <c r="D13350" s="3" t="s">
        <v>32</v>
      </c>
      <c r="E13350" s="4" t="s">
        <v>22</v>
      </c>
      <c r="F13350" s="4" t="s">
        <v>67361</v>
      </c>
      <c r="G13350" s="4" t="s">
        <v>67362</v>
      </c>
      <c r="H13350" s="3" t="s">
        <v>63948</v>
      </c>
      <c r="I13350" s="3" t="s">
        <v>11464</v>
      </c>
      <c r="J13350" s="3" t="s">
        <v>627</v>
      </c>
      <c r="K13350" s="3" t="s">
        <v>67363</v>
      </c>
      <c r="L13350" s="3" t="s">
        <v>67364</v>
      </c>
      <c r="M13350" s="4"/>
      <c r="N13350" s="3" t="s">
        <v>37</v>
      </c>
      <c r="O13350" s="3" t="s">
        <v>52</v>
      </c>
      <c r="P13350" s="5">
        <v>9</v>
      </c>
      <c r="Q13350" s="5">
        <v>93</v>
      </c>
      <c r="R13350" s="5">
        <v>10</v>
      </c>
      <c r="S13350" s="5">
        <v>94</v>
      </c>
    </row>
    <row r="13351" spans="1:19" ht="42" x14ac:dyDescent="0.15">
      <c r="A13351" s="2">
        <f>HYPERLINK("https://open-school.uspishnemisto.com.ua/school/630689/", 630689)</f>
        <v>630689</v>
      </c>
      <c r="B13351" s="3" t="s">
        <v>67365</v>
      </c>
      <c r="C13351" s="3" t="s">
        <v>54</v>
      </c>
      <c r="D13351" s="3" t="s">
        <v>32</v>
      </c>
      <c r="E13351" s="4" t="s">
        <v>22</v>
      </c>
      <c r="F13351" s="4" t="s">
        <v>67366</v>
      </c>
      <c r="G13351" s="4" t="s">
        <v>67367</v>
      </c>
      <c r="H13351" s="3" t="s">
        <v>63948</v>
      </c>
      <c r="I13351" s="3" t="s">
        <v>4774</v>
      </c>
      <c r="J13351" s="3" t="s">
        <v>67368</v>
      </c>
      <c r="K13351" s="3" t="s">
        <v>67369</v>
      </c>
      <c r="L13351" s="3" t="s">
        <v>67370</v>
      </c>
      <c r="M13351" s="4"/>
      <c r="N13351" s="3" t="s">
        <v>37</v>
      </c>
      <c r="O13351" s="3" t="s">
        <v>52</v>
      </c>
      <c r="P13351" s="5">
        <v>9</v>
      </c>
      <c r="Q13351" s="5">
        <v>64</v>
      </c>
      <c r="R13351" s="5">
        <v>10</v>
      </c>
      <c r="S13351" s="5">
        <v>66</v>
      </c>
    </row>
    <row r="13352" spans="1:19" ht="56" x14ac:dyDescent="0.15">
      <c r="A13352" s="2">
        <f>HYPERLINK("https://open-school.uspishnemisto.com.ua/school/630690/", 630690)</f>
        <v>630690</v>
      </c>
      <c r="B13352" s="3" t="s">
        <v>67371</v>
      </c>
      <c r="C13352" s="3" t="s">
        <v>54</v>
      </c>
      <c r="D13352" s="3" t="s">
        <v>175</v>
      </c>
      <c r="E13352" s="4" t="s">
        <v>22</v>
      </c>
      <c r="F13352" s="4" t="s">
        <v>67372</v>
      </c>
      <c r="G13352" s="4" t="s">
        <v>67373</v>
      </c>
      <c r="H13352" s="3" t="s">
        <v>63948</v>
      </c>
      <c r="I13352" s="3" t="s">
        <v>688</v>
      </c>
      <c r="J13352" s="3" t="s">
        <v>1417</v>
      </c>
      <c r="K13352" s="3" t="s">
        <v>67374</v>
      </c>
      <c r="L13352" s="3" t="s">
        <v>67375</v>
      </c>
      <c r="M13352" s="4"/>
      <c r="N13352" s="3" t="s">
        <v>967</v>
      </c>
      <c r="O13352" s="3" t="s">
        <v>52</v>
      </c>
      <c r="P13352" s="5">
        <v>5</v>
      </c>
      <c r="Q13352" s="5">
        <v>43</v>
      </c>
      <c r="R13352" s="5">
        <v>5</v>
      </c>
      <c r="S13352" s="5">
        <v>46</v>
      </c>
    </row>
    <row r="13353" spans="1:19" ht="56" x14ac:dyDescent="0.15">
      <c r="A13353" s="2">
        <f>HYPERLINK("https://open-school.uspishnemisto.com.ua/school/630691/", 630691)</f>
        <v>630691</v>
      </c>
      <c r="B13353" s="3" t="s">
        <v>67376</v>
      </c>
      <c r="C13353" s="3" t="s">
        <v>54</v>
      </c>
      <c r="D13353" s="3" t="s">
        <v>32</v>
      </c>
      <c r="E13353" s="4" t="s">
        <v>22</v>
      </c>
      <c r="F13353" s="4" t="s">
        <v>67377</v>
      </c>
      <c r="G13353" s="4" t="s">
        <v>67378</v>
      </c>
      <c r="H13353" s="3" t="s">
        <v>63948</v>
      </c>
      <c r="I13353" s="3" t="s">
        <v>67379</v>
      </c>
      <c r="J13353" s="3" t="s">
        <v>5525</v>
      </c>
      <c r="K13353" s="3" t="s">
        <v>67380</v>
      </c>
      <c r="L13353" s="3"/>
      <c r="M13353" s="4"/>
      <c r="N13353" s="3" t="s">
        <v>37</v>
      </c>
      <c r="O13353" s="3" t="s">
        <v>38</v>
      </c>
      <c r="P13353" s="5">
        <v>11</v>
      </c>
      <c r="Q13353" s="5">
        <v>60</v>
      </c>
      <c r="R13353" s="5">
        <v>11</v>
      </c>
      <c r="S13353" s="5">
        <v>61</v>
      </c>
    </row>
    <row r="13354" spans="1:19" ht="56" x14ac:dyDescent="0.15">
      <c r="A13354" s="2">
        <f>HYPERLINK("https://open-school.uspishnemisto.com.ua/school/630692/", 630692)</f>
        <v>630692</v>
      </c>
      <c r="B13354" s="3" t="s">
        <v>67381</v>
      </c>
      <c r="C13354" s="3" t="s">
        <v>54</v>
      </c>
      <c r="D13354" s="3" t="s">
        <v>32</v>
      </c>
      <c r="E13354" s="4" t="s">
        <v>22</v>
      </c>
      <c r="F13354" s="4" t="s">
        <v>67382</v>
      </c>
      <c r="G13354" s="4" t="s">
        <v>67383</v>
      </c>
      <c r="H13354" s="3" t="s">
        <v>63948</v>
      </c>
      <c r="I13354" s="3" t="s">
        <v>67384</v>
      </c>
      <c r="J13354" s="3" t="s">
        <v>4702</v>
      </c>
      <c r="K13354" s="3" t="s">
        <v>67385</v>
      </c>
      <c r="L13354" s="3" t="s">
        <v>67386</v>
      </c>
      <c r="M13354" s="4"/>
      <c r="N13354" s="3" t="s">
        <v>37</v>
      </c>
      <c r="O13354" s="3" t="s">
        <v>38</v>
      </c>
      <c r="P13354" s="5">
        <v>6</v>
      </c>
      <c r="Q13354" s="5">
        <v>48</v>
      </c>
      <c r="R13354" s="5">
        <v>7</v>
      </c>
      <c r="S13354" s="5">
        <v>57</v>
      </c>
    </row>
    <row r="13355" spans="1:19" ht="28" x14ac:dyDescent="0.15">
      <c r="A13355" s="2">
        <f>HYPERLINK("https://open-school.uspishnemisto.com.ua/school/630693/", 630693)</f>
        <v>630693</v>
      </c>
      <c r="B13355" s="3" t="s">
        <v>67387</v>
      </c>
      <c r="C13355" s="3" t="s">
        <v>54</v>
      </c>
      <c r="D13355" s="3" t="s">
        <v>175</v>
      </c>
      <c r="E13355" s="4" t="s">
        <v>22</v>
      </c>
      <c r="F13355" s="4" t="s">
        <v>67388</v>
      </c>
      <c r="G13355" s="4" t="s">
        <v>67389</v>
      </c>
      <c r="H13355" s="3" t="s">
        <v>63948</v>
      </c>
      <c r="I13355" s="3" t="s">
        <v>67390</v>
      </c>
      <c r="J13355" s="3" t="s">
        <v>1348</v>
      </c>
      <c r="K13355" s="3" t="s">
        <v>67391</v>
      </c>
      <c r="L13355" s="3" t="s">
        <v>67392</v>
      </c>
      <c r="M13355" s="4"/>
      <c r="N13355" s="3" t="s">
        <v>37</v>
      </c>
      <c r="O13355" s="3" t="s">
        <v>46</v>
      </c>
      <c r="P13355" s="5">
        <v>9</v>
      </c>
      <c r="Q13355" s="5">
        <v>70</v>
      </c>
      <c r="R13355" s="5">
        <v>9</v>
      </c>
      <c r="S13355" s="5">
        <v>57</v>
      </c>
    </row>
    <row r="13356" spans="1:19" ht="56" x14ac:dyDescent="0.15">
      <c r="A13356" s="2">
        <f>HYPERLINK("https://open-school.uspishnemisto.com.ua/school/630694/", 630694)</f>
        <v>630694</v>
      </c>
      <c r="B13356" s="3" t="s">
        <v>67393</v>
      </c>
      <c r="C13356" s="3" t="s">
        <v>54</v>
      </c>
      <c r="D13356" s="3" t="s">
        <v>175</v>
      </c>
      <c r="E13356" s="4" t="s">
        <v>22</v>
      </c>
      <c r="F13356" s="4" t="s">
        <v>67394</v>
      </c>
      <c r="G13356" s="4" t="s">
        <v>67395</v>
      </c>
      <c r="H13356" s="3" t="s">
        <v>63948</v>
      </c>
      <c r="I13356" s="3" t="s">
        <v>67396</v>
      </c>
      <c r="J13356" s="3" t="s">
        <v>67397</v>
      </c>
      <c r="K13356" s="3" t="s">
        <v>67398</v>
      </c>
      <c r="L13356" s="3" t="s">
        <v>67399</v>
      </c>
      <c r="M13356" s="4"/>
      <c r="N13356" s="3" t="s">
        <v>37</v>
      </c>
      <c r="O13356" s="3" t="s">
        <v>38</v>
      </c>
      <c r="P13356" s="5">
        <v>5</v>
      </c>
      <c r="Q13356" s="5">
        <v>34</v>
      </c>
      <c r="R13356" s="5">
        <v>6</v>
      </c>
      <c r="S13356" s="5">
        <v>37</v>
      </c>
    </row>
    <row r="13357" spans="1:19" ht="56" x14ac:dyDescent="0.15">
      <c r="A13357" s="2">
        <f>HYPERLINK("https://open-school.uspishnemisto.com.ua/school/630695/", 630695)</f>
        <v>630695</v>
      </c>
      <c r="B13357" s="3" t="s">
        <v>67400</v>
      </c>
      <c r="C13357" s="3" t="s">
        <v>54</v>
      </c>
      <c r="D13357" s="3" t="s">
        <v>32</v>
      </c>
      <c r="E13357" s="4" t="s">
        <v>22</v>
      </c>
      <c r="F13357" s="4" t="s">
        <v>67401</v>
      </c>
      <c r="G13357" s="4" t="s">
        <v>67402</v>
      </c>
      <c r="H13357" s="3" t="s">
        <v>63948</v>
      </c>
      <c r="I13357" s="3" t="s">
        <v>47616</v>
      </c>
      <c r="J13357" s="3" t="s">
        <v>67403</v>
      </c>
      <c r="K13357" s="3" t="s">
        <v>67404</v>
      </c>
      <c r="L13357" s="3" t="s">
        <v>67405</v>
      </c>
      <c r="M13357" s="4"/>
      <c r="N13357" s="3" t="s">
        <v>37</v>
      </c>
      <c r="O13357" s="3" t="s">
        <v>38</v>
      </c>
      <c r="P13357" s="5">
        <v>11</v>
      </c>
      <c r="Q13357" s="5">
        <v>167</v>
      </c>
      <c r="R13357" s="5">
        <v>11</v>
      </c>
      <c r="S13357" s="5">
        <v>168</v>
      </c>
    </row>
    <row r="13358" spans="1:19" ht="42" x14ac:dyDescent="0.15">
      <c r="A13358" s="2">
        <f>HYPERLINK("https://open-school.uspishnemisto.com.ua/school/630696/", 630696)</f>
        <v>630696</v>
      </c>
      <c r="B13358" s="3" t="s">
        <v>67406</v>
      </c>
      <c r="C13358" s="3" t="s">
        <v>31</v>
      </c>
      <c r="D13358" s="3" t="s">
        <v>32</v>
      </c>
      <c r="E13358" s="4" t="s">
        <v>22</v>
      </c>
      <c r="F13358" s="4" t="s">
        <v>67407</v>
      </c>
      <c r="G13358" s="4" t="s">
        <v>67408</v>
      </c>
      <c r="H13358" s="3" t="s">
        <v>63948</v>
      </c>
      <c r="I13358" s="3" t="s">
        <v>67409</v>
      </c>
      <c r="J13358" s="3" t="s">
        <v>67410</v>
      </c>
      <c r="K13358" s="3" t="s">
        <v>67411</v>
      </c>
      <c r="L13358" s="3" t="s">
        <v>67412</v>
      </c>
      <c r="M13358" s="4"/>
      <c r="N13358" s="3" t="s">
        <v>37</v>
      </c>
      <c r="O13358" s="3" t="s">
        <v>38</v>
      </c>
      <c r="P13358" s="5">
        <v>20</v>
      </c>
      <c r="Q13358" s="5">
        <v>412</v>
      </c>
      <c r="R13358" s="5">
        <v>20</v>
      </c>
      <c r="S13358" s="5">
        <v>424</v>
      </c>
    </row>
    <row r="13359" spans="1:19" ht="42" x14ac:dyDescent="0.15">
      <c r="A13359" s="2">
        <f>HYPERLINK("https://open-school.uspishnemisto.com.ua/school/630697/", 630697)</f>
        <v>630697</v>
      </c>
      <c r="B13359" s="3" t="s">
        <v>67413</v>
      </c>
      <c r="C13359" s="3" t="s">
        <v>54</v>
      </c>
      <c r="D13359" s="3" t="s">
        <v>32</v>
      </c>
      <c r="E13359" s="4" t="s">
        <v>22</v>
      </c>
      <c r="F13359" s="4" t="s">
        <v>67414</v>
      </c>
      <c r="G13359" s="4" t="s">
        <v>67415</v>
      </c>
      <c r="H13359" s="3" t="s">
        <v>63948</v>
      </c>
      <c r="I13359" s="3" t="s">
        <v>67416</v>
      </c>
      <c r="J13359" s="3" t="s">
        <v>67417</v>
      </c>
      <c r="K13359" s="3" t="s">
        <v>67418</v>
      </c>
      <c r="L13359" s="3" t="s">
        <v>67419</v>
      </c>
      <c r="M13359" s="4"/>
      <c r="N13359" s="3" t="s">
        <v>37</v>
      </c>
      <c r="O13359" s="3" t="s">
        <v>112</v>
      </c>
      <c r="P13359" s="5">
        <v>11</v>
      </c>
      <c r="Q13359" s="5">
        <v>87</v>
      </c>
      <c r="R13359" s="5">
        <v>11</v>
      </c>
      <c r="S13359" s="5">
        <v>89</v>
      </c>
    </row>
    <row r="13360" spans="1:19" ht="28" x14ac:dyDescent="0.15">
      <c r="A13360" s="2">
        <f>HYPERLINK("https://open-school.uspishnemisto.com.ua/school/630698/", 630698)</f>
        <v>630698</v>
      </c>
      <c r="B13360" s="3" t="s">
        <v>67420</v>
      </c>
      <c r="C13360" s="3" t="s">
        <v>31</v>
      </c>
      <c r="D13360" s="3" t="s">
        <v>32</v>
      </c>
      <c r="E13360" s="4" t="s">
        <v>22</v>
      </c>
      <c r="F13360" s="4" t="s">
        <v>67421</v>
      </c>
      <c r="G13360" s="4" t="s">
        <v>67422</v>
      </c>
      <c r="H13360" s="3" t="s">
        <v>63948</v>
      </c>
      <c r="I13360" s="3" t="s">
        <v>67423</v>
      </c>
      <c r="J13360" s="3" t="s">
        <v>67424</v>
      </c>
      <c r="K13360" s="3" t="s">
        <v>67425</v>
      </c>
      <c r="L13360" s="3" t="s">
        <v>67426</v>
      </c>
      <c r="M13360" s="4"/>
      <c r="N13360" s="3" t="s">
        <v>37</v>
      </c>
      <c r="O13360" s="3" t="s">
        <v>38</v>
      </c>
      <c r="P13360" s="5">
        <v>9</v>
      </c>
      <c r="Q13360" s="5">
        <v>91</v>
      </c>
      <c r="R13360" s="5">
        <v>10</v>
      </c>
      <c r="S13360" s="5">
        <v>99</v>
      </c>
    </row>
    <row r="13361" spans="1:19" ht="42" x14ac:dyDescent="0.15">
      <c r="A13361" s="2">
        <f>HYPERLINK("https://open-school.uspishnemisto.com.ua/school/630699/", 630699)</f>
        <v>630699</v>
      </c>
      <c r="B13361" s="3" t="s">
        <v>67427</v>
      </c>
      <c r="C13361" s="3" t="s">
        <v>54</v>
      </c>
      <c r="D13361" s="3" t="s">
        <v>175</v>
      </c>
      <c r="E13361" s="4" t="s">
        <v>22</v>
      </c>
      <c r="F13361" s="4" t="s">
        <v>67428</v>
      </c>
      <c r="G13361" s="4" t="s">
        <v>67429</v>
      </c>
      <c r="H13361" s="3" t="s">
        <v>63948</v>
      </c>
      <c r="I13361" s="3" t="s">
        <v>67430</v>
      </c>
      <c r="J13361" s="3" t="s">
        <v>946</v>
      </c>
      <c r="K13361" s="3" t="s">
        <v>67431</v>
      </c>
      <c r="L13361" s="3" t="s">
        <v>67432</v>
      </c>
      <c r="M13361" s="4"/>
      <c r="N13361" s="3" t="s">
        <v>37</v>
      </c>
      <c r="O13361" s="3" t="s">
        <v>38</v>
      </c>
      <c r="P13361" s="5">
        <v>6</v>
      </c>
      <c r="Q13361" s="5">
        <v>45</v>
      </c>
      <c r="R13361" s="5">
        <v>8</v>
      </c>
      <c r="S13361" s="5">
        <v>50</v>
      </c>
    </row>
    <row r="13362" spans="1:19" ht="28" x14ac:dyDescent="0.15">
      <c r="A13362" s="2">
        <f>HYPERLINK("https://open-school.uspishnemisto.com.ua/school/630700/", 630700)</f>
        <v>630700</v>
      </c>
      <c r="B13362" s="3" t="s">
        <v>67433</v>
      </c>
      <c r="C13362" s="3" t="s">
        <v>181</v>
      </c>
      <c r="D13362" s="3" t="s">
        <v>175</v>
      </c>
      <c r="E13362" s="4" t="s">
        <v>22</v>
      </c>
      <c r="F13362" s="4" t="s">
        <v>67434</v>
      </c>
      <c r="G13362" s="4" t="s">
        <v>67435</v>
      </c>
      <c r="H13362" s="3" t="s">
        <v>63948</v>
      </c>
      <c r="I13362" s="3" t="s">
        <v>67436</v>
      </c>
      <c r="J13362" s="3" t="s">
        <v>67437</v>
      </c>
      <c r="K13362" s="3" t="s">
        <v>67438</v>
      </c>
      <c r="L13362" s="3" t="s">
        <v>67439</v>
      </c>
      <c r="M13362" s="4" t="s">
        <v>67440</v>
      </c>
      <c r="N13362" s="3" t="s">
        <v>37</v>
      </c>
      <c r="O13362" s="3" t="s">
        <v>52</v>
      </c>
      <c r="P13362" s="5">
        <v>10</v>
      </c>
      <c r="Q13362" s="5">
        <v>123</v>
      </c>
      <c r="R13362" s="5">
        <v>10</v>
      </c>
      <c r="S13362" s="5">
        <v>120</v>
      </c>
    </row>
    <row r="13363" spans="1:19" ht="28" x14ac:dyDescent="0.15">
      <c r="A13363" s="2">
        <f>HYPERLINK("https://open-school.uspishnemisto.com.ua/school/630701/", 630701)</f>
        <v>630701</v>
      </c>
      <c r="B13363" s="3" t="s">
        <v>67441</v>
      </c>
      <c r="C13363" s="3" t="s">
        <v>31</v>
      </c>
      <c r="D13363" s="3" t="s">
        <v>32</v>
      </c>
      <c r="E13363" s="4" t="s">
        <v>22</v>
      </c>
      <c r="F13363" s="4" t="s">
        <v>67434</v>
      </c>
      <c r="G13363" s="4" t="s">
        <v>67435</v>
      </c>
      <c r="H13363" s="3" t="s">
        <v>63948</v>
      </c>
      <c r="I13363" s="3" t="s">
        <v>67436</v>
      </c>
      <c r="J13363" s="3" t="s">
        <v>67442</v>
      </c>
      <c r="K13363" s="3" t="s">
        <v>67443</v>
      </c>
      <c r="L13363" s="3"/>
      <c r="M13363" s="4"/>
      <c r="N13363" s="3" t="s">
        <v>37</v>
      </c>
      <c r="O13363" s="3" t="s">
        <v>38</v>
      </c>
      <c r="P13363" s="5">
        <v>19</v>
      </c>
      <c r="Q13363" s="5">
        <v>400</v>
      </c>
      <c r="R13363" s="5">
        <v>18</v>
      </c>
      <c r="S13363" s="5">
        <v>383</v>
      </c>
    </row>
    <row r="13364" spans="1:19" ht="28" x14ac:dyDescent="0.15">
      <c r="A13364" s="2">
        <f>HYPERLINK("https://open-school.uspishnemisto.com.ua/school/630702/", 630702)</f>
        <v>630702</v>
      </c>
      <c r="B13364" s="3" t="s">
        <v>67444</v>
      </c>
      <c r="C13364" s="3" t="s">
        <v>31</v>
      </c>
      <c r="D13364" s="3" t="s">
        <v>32</v>
      </c>
      <c r="E13364" s="4" t="s">
        <v>22</v>
      </c>
      <c r="F13364" s="4" t="s">
        <v>67434</v>
      </c>
      <c r="G13364" s="4" t="s">
        <v>67435</v>
      </c>
      <c r="H13364" s="3" t="s">
        <v>63948</v>
      </c>
      <c r="I13364" s="3" t="s">
        <v>67436</v>
      </c>
      <c r="J13364" s="3" t="s">
        <v>67445</v>
      </c>
      <c r="K13364" s="3" t="s">
        <v>67446</v>
      </c>
      <c r="L13364" s="3" t="s">
        <v>67447</v>
      </c>
      <c r="M13364" s="4" t="s">
        <v>67448</v>
      </c>
      <c r="N13364" s="3" t="s">
        <v>37</v>
      </c>
      <c r="O13364" s="3" t="s">
        <v>38</v>
      </c>
      <c r="P13364" s="5">
        <v>18</v>
      </c>
      <c r="Q13364" s="5">
        <v>385</v>
      </c>
      <c r="R13364" s="5">
        <v>19</v>
      </c>
      <c r="S13364" s="5">
        <v>369</v>
      </c>
    </row>
    <row r="13365" spans="1:19" ht="28" x14ac:dyDescent="0.15">
      <c r="A13365" s="2">
        <f>HYPERLINK("https://open-school.uspishnemisto.com.ua/school/630703/", 630703)</f>
        <v>630703</v>
      </c>
      <c r="B13365" s="3" t="s">
        <v>67449</v>
      </c>
      <c r="C13365" s="3" t="s">
        <v>31</v>
      </c>
      <c r="D13365" s="3" t="s">
        <v>32</v>
      </c>
      <c r="E13365" s="4" t="s">
        <v>22</v>
      </c>
      <c r="F13365" s="4" t="s">
        <v>67450</v>
      </c>
      <c r="G13365" s="4" t="s">
        <v>67451</v>
      </c>
      <c r="H13365" s="3" t="s">
        <v>63948</v>
      </c>
      <c r="I13365" s="3" t="s">
        <v>67452</v>
      </c>
      <c r="J13365" s="3"/>
      <c r="K13365" s="3" t="s">
        <v>67453</v>
      </c>
      <c r="L13365" s="3"/>
      <c r="M13365" s="4"/>
      <c r="N13365" s="3" t="s">
        <v>37</v>
      </c>
      <c r="O13365" s="3" t="s">
        <v>38</v>
      </c>
      <c r="P13365" s="5">
        <v>10</v>
      </c>
      <c r="Q13365" s="5">
        <v>86</v>
      </c>
      <c r="R13365" s="5">
        <v>11</v>
      </c>
      <c r="S13365" s="5">
        <v>97</v>
      </c>
    </row>
    <row r="13366" spans="1:19" ht="28" x14ac:dyDescent="0.15">
      <c r="A13366" s="2">
        <f>HYPERLINK("https://open-school.uspishnemisto.com.ua/school/630705/", 630705)</f>
        <v>630705</v>
      </c>
      <c r="B13366" s="3" t="s">
        <v>67454</v>
      </c>
      <c r="C13366" s="3" t="s">
        <v>31</v>
      </c>
      <c r="D13366" s="3" t="s">
        <v>32</v>
      </c>
      <c r="E13366" s="4" t="s">
        <v>22</v>
      </c>
      <c r="F13366" s="4" t="s">
        <v>67455</v>
      </c>
      <c r="G13366" s="4" t="s">
        <v>67456</v>
      </c>
      <c r="H13366" s="3" t="s">
        <v>63948</v>
      </c>
      <c r="I13366" s="3" t="s">
        <v>67457</v>
      </c>
      <c r="J13366" s="3" t="s">
        <v>634</v>
      </c>
      <c r="K13366" s="3" t="s">
        <v>67458</v>
      </c>
      <c r="L13366" s="3"/>
      <c r="M13366" s="4"/>
      <c r="N13366" s="3" t="s">
        <v>37</v>
      </c>
      <c r="O13366" s="3" t="s">
        <v>721</v>
      </c>
      <c r="P13366" s="5">
        <v>11</v>
      </c>
      <c r="Q13366" s="5">
        <v>88</v>
      </c>
      <c r="R13366" s="5">
        <v>11</v>
      </c>
      <c r="S13366" s="5">
        <v>100</v>
      </c>
    </row>
    <row r="13367" spans="1:19" ht="28" x14ac:dyDescent="0.15">
      <c r="A13367" s="2">
        <f>HYPERLINK("https://open-school.uspishnemisto.com.ua/school/630706/", 630706)</f>
        <v>630706</v>
      </c>
      <c r="B13367" s="3" t="s">
        <v>67459</v>
      </c>
      <c r="C13367" s="3" t="s">
        <v>54</v>
      </c>
      <c r="D13367" s="3" t="s">
        <v>32</v>
      </c>
      <c r="E13367" s="4" t="s">
        <v>22</v>
      </c>
      <c r="F13367" s="4" t="s">
        <v>67460</v>
      </c>
      <c r="G13367" s="4" t="s">
        <v>67461</v>
      </c>
      <c r="H13367" s="3" t="s">
        <v>63948</v>
      </c>
      <c r="I13367" s="3" t="s">
        <v>67462</v>
      </c>
      <c r="J13367" s="3" t="s">
        <v>3370</v>
      </c>
      <c r="K13367" s="3" t="s">
        <v>67463</v>
      </c>
      <c r="L13367" s="3" t="s">
        <v>67464</v>
      </c>
      <c r="M13367" s="4"/>
      <c r="N13367" s="3" t="s">
        <v>37</v>
      </c>
      <c r="O13367" s="3" t="s">
        <v>38</v>
      </c>
      <c r="P13367" s="5">
        <v>9</v>
      </c>
      <c r="Q13367" s="5">
        <v>78</v>
      </c>
      <c r="R13367" s="5">
        <v>10</v>
      </c>
      <c r="S13367" s="5">
        <v>80</v>
      </c>
    </row>
    <row r="13368" spans="1:19" ht="28" x14ac:dyDescent="0.15">
      <c r="A13368" s="2">
        <f>HYPERLINK("https://open-school.uspishnemisto.com.ua/school/630707/", 630707)</f>
        <v>630707</v>
      </c>
      <c r="B13368" s="3" t="s">
        <v>67465</v>
      </c>
      <c r="C13368" s="3" t="s">
        <v>31</v>
      </c>
      <c r="D13368" s="3" t="s">
        <v>32</v>
      </c>
      <c r="E13368" s="4" t="s">
        <v>22</v>
      </c>
      <c r="F13368" s="4" t="s">
        <v>67466</v>
      </c>
      <c r="G13368" s="4" t="s">
        <v>67467</v>
      </c>
      <c r="H13368" s="3" t="s">
        <v>63948</v>
      </c>
      <c r="I13368" s="3" t="s">
        <v>67468</v>
      </c>
      <c r="J13368" s="3" t="s">
        <v>6128</v>
      </c>
      <c r="K13368" s="3" t="s">
        <v>67469</v>
      </c>
      <c r="L13368" s="3" t="s">
        <v>67470</v>
      </c>
      <c r="M13368" s="4"/>
      <c r="N13368" s="3" t="s">
        <v>37</v>
      </c>
      <c r="O13368" s="3" t="s">
        <v>721</v>
      </c>
      <c r="P13368" s="5">
        <v>11</v>
      </c>
      <c r="Q13368" s="5">
        <v>68</v>
      </c>
      <c r="R13368" s="5">
        <v>11</v>
      </c>
      <c r="S13368" s="5">
        <v>70</v>
      </c>
    </row>
    <row r="13369" spans="1:19" ht="28" x14ac:dyDescent="0.15">
      <c r="A13369" s="2">
        <f>HYPERLINK("https://open-school.uspishnemisto.com.ua/school/630708/", 630708)</f>
        <v>630708</v>
      </c>
      <c r="B13369" s="3" t="s">
        <v>67471</v>
      </c>
      <c r="C13369" s="3" t="s">
        <v>54</v>
      </c>
      <c r="D13369" s="3" t="s">
        <v>32</v>
      </c>
      <c r="E13369" s="4" t="s">
        <v>22</v>
      </c>
      <c r="F13369" s="4" t="s">
        <v>67472</v>
      </c>
      <c r="G13369" s="4" t="s">
        <v>67473</v>
      </c>
      <c r="H13369" s="3" t="s">
        <v>63948</v>
      </c>
      <c r="I13369" s="3" t="s">
        <v>12592</v>
      </c>
      <c r="J13369" s="3"/>
      <c r="K13369" s="3" t="s">
        <v>67474</v>
      </c>
      <c r="L13369" s="3" t="s">
        <v>67475</v>
      </c>
      <c r="M13369" s="4"/>
      <c r="N13369" s="3" t="s">
        <v>37</v>
      </c>
      <c r="O13369" s="3" t="s">
        <v>38</v>
      </c>
      <c r="P13369" s="5">
        <v>10</v>
      </c>
      <c r="Q13369" s="5">
        <v>120</v>
      </c>
      <c r="R13369" s="5">
        <v>10</v>
      </c>
      <c r="S13369" s="5">
        <v>116</v>
      </c>
    </row>
    <row r="13370" spans="1:19" ht="28" x14ac:dyDescent="0.15">
      <c r="A13370" s="2">
        <f>HYPERLINK("https://open-school.uspishnemisto.com.ua/school/630709/", 630709)</f>
        <v>630709</v>
      </c>
      <c r="B13370" s="3" t="s">
        <v>67476</v>
      </c>
      <c r="C13370" s="3" t="s">
        <v>54</v>
      </c>
      <c r="D13370" s="3" t="s">
        <v>32</v>
      </c>
      <c r="E13370" s="4" t="s">
        <v>22</v>
      </c>
      <c r="F13370" s="4" t="s">
        <v>67434</v>
      </c>
      <c r="G13370" s="4" t="s">
        <v>67477</v>
      </c>
      <c r="H13370" s="3" t="s">
        <v>63948</v>
      </c>
      <c r="I13370" s="3" t="s">
        <v>32299</v>
      </c>
      <c r="J13370" s="3" t="s">
        <v>946</v>
      </c>
      <c r="K13370" s="3" t="s">
        <v>67478</v>
      </c>
      <c r="L13370" s="3"/>
      <c r="M13370" s="4"/>
      <c r="N13370" s="3" t="s">
        <v>37</v>
      </c>
      <c r="O13370" s="3" t="s">
        <v>38</v>
      </c>
      <c r="P13370" s="5">
        <v>10</v>
      </c>
      <c r="Q13370" s="5">
        <v>105</v>
      </c>
      <c r="R13370" s="5">
        <v>10</v>
      </c>
      <c r="S13370" s="5">
        <v>104</v>
      </c>
    </row>
    <row r="13371" spans="1:19" ht="28" x14ac:dyDescent="0.15">
      <c r="A13371" s="2">
        <f>HYPERLINK("https://open-school.uspishnemisto.com.ua/school/630710/", 630710)</f>
        <v>630710</v>
      </c>
      <c r="B13371" s="3" t="s">
        <v>67479</v>
      </c>
      <c r="C13371" s="3" t="s">
        <v>54</v>
      </c>
      <c r="D13371" s="3" t="s">
        <v>32</v>
      </c>
      <c r="E13371" s="4" t="s">
        <v>22</v>
      </c>
      <c r="F13371" s="4" t="s">
        <v>67480</v>
      </c>
      <c r="G13371" s="4" t="s">
        <v>67481</v>
      </c>
      <c r="H13371" s="3" t="s">
        <v>63948</v>
      </c>
      <c r="I13371" s="3" t="s">
        <v>67482</v>
      </c>
      <c r="J13371" s="3" t="s">
        <v>634</v>
      </c>
      <c r="K13371" s="3" t="s">
        <v>67483</v>
      </c>
      <c r="L13371" s="3" t="s">
        <v>67484</v>
      </c>
      <c r="M13371" s="4"/>
      <c r="N13371" s="3" t="s">
        <v>37</v>
      </c>
      <c r="O13371" s="3" t="s">
        <v>38</v>
      </c>
      <c r="P13371" s="5">
        <v>10</v>
      </c>
      <c r="Q13371" s="5">
        <v>121</v>
      </c>
      <c r="R13371" s="5">
        <v>10</v>
      </c>
      <c r="S13371" s="5">
        <v>95</v>
      </c>
    </row>
    <row r="13372" spans="1:19" ht="28" x14ac:dyDescent="0.15">
      <c r="A13372" s="2">
        <f>HYPERLINK("https://open-school.uspishnemisto.com.ua/school/630711/", 630711)</f>
        <v>630711</v>
      </c>
      <c r="B13372" s="3" t="s">
        <v>67485</v>
      </c>
      <c r="C13372" s="3" t="s">
        <v>31</v>
      </c>
      <c r="D13372" s="3" t="s">
        <v>32</v>
      </c>
      <c r="E13372" s="4" t="s">
        <v>22</v>
      </c>
      <c r="F13372" s="4" t="s">
        <v>67486</v>
      </c>
      <c r="G13372" s="4" t="s">
        <v>67487</v>
      </c>
      <c r="H13372" s="3" t="s">
        <v>63948</v>
      </c>
      <c r="I13372" s="3" t="s">
        <v>11267</v>
      </c>
      <c r="J13372" s="3" t="s">
        <v>67488</v>
      </c>
      <c r="K13372" s="3" t="s">
        <v>67489</v>
      </c>
      <c r="L13372" s="3" t="s">
        <v>67490</v>
      </c>
      <c r="M13372" s="4"/>
      <c r="N13372" s="3" t="s">
        <v>37</v>
      </c>
      <c r="O13372" s="3" t="s">
        <v>38</v>
      </c>
      <c r="P13372" s="5">
        <v>8</v>
      </c>
      <c r="Q13372" s="5">
        <v>69</v>
      </c>
      <c r="R13372" s="5">
        <v>9</v>
      </c>
      <c r="S13372" s="5">
        <v>69</v>
      </c>
    </row>
    <row r="13373" spans="1:19" ht="28" x14ac:dyDescent="0.15">
      <c r="A13373" s="2">
        <f>HYPERLINK("https://open-school.uspishnemisto.com.ua/school/630712/", 630712)</f>
        <v>630712</v>
      </c>
      <c r="B13373" s="3" t="s">
        <v>67491</v>
      </c>
      <c r="C13373" s="3" t="s">
        <v>31</v>
      </c>
      <c r="D13373" s="3" t="s">
        <v>175</v>
      </c>
      <c r="E13373" s="4" t="s">
        <v>22</v>
      </c>
      <c r="F13373" s="4" t="s">
        <v>67492</v>
      </c>
      <c r="G13373" s="4" t="s">
        <v>67493</v>
      </c>
      <c r="H13373" s="3" t="s">
        <v>63948</v>
      </c>
      <c r="I13373" s="3" t="s">
        <v>67494</v>
      </c>
      <c r="J13373" s="3" t="s">
        <v>67495</v>
      </c>
      <c r="K13373" s="3" t="s">
        <v>67496</v>
      </c>
      <c r="L13373" s="3" t="s">
        <v>67497</v>
      </c>
      <c r="M13373" s="4"/>
      <c r="N13373" s="3" t="s">
        <v>37</v>
      </c>
      <c r="O13373" s="3" t="s">
        <v>112</v>
      </c>
      <c r="P13373" s="5">
        <v>6</v>
      </c>
      <c r="Q13373" s="5">
        <v>41</v>
      </c>
      <c r="R13373" s="5">
        <v>6</v>
      </c>
      <c r="S13373" s="5">
        <v>37</v>
      </c>
    </row>
    <row r="13374" spans="1:19" ht="28" x14ac:dyDescent="0.15">
      <c r="A13374" s="2">
        <f>HYPERLINK("https://open-school.uspishnemisto.com.ua/school/630713/", 630713)</f>
        <v>630713</v>
      </c>
      <c r="B13374" s="3" t="s">
        <v>67498</v>
      </c>
      <c r="C13374" s="3" t="s">
        <v>31</v>
      </c>
      <c r="D13374" s="3" t="s">
        <v>32</v>
      </c>
      <c r="E13374" s="4" t="s">
        <v>22</v>
      </c>
      <c r="F13374" s="4" t="s">
        <v>67499</v>
      </c>
      <c r="G13374" s="4" t="s">
        <v>67500</v>
      </c>
      <c r="H13374" s="3" t="s">
        <v>63948</v>
      </c>
      <c r="I13374" s="3" t="s">
        <v>2179</v>
      </c>
      <c r="J13374" s="3" t="s">
        <v>67501</v>
      </c>
      <c r="K13374" s="3" t="s">
        <v>67502</v>
      </c>
      <c r="L13374" s="3" t="s">
        <v>67503</v>
      </c>
      <c r="M13374" s="4"/>
      <c r="N13374" s="3" t="s">
        <v>37</v>
      </c>
      <c r="O13374" s="3" t="s">
        <v>38</v>
      </c>
      <c r="P13374" s="5">
        <v>11</v>
      </c>
      <c r="Q13374" s="5">
        <v>89</v>
      </c>
      <c r="R13374" s="5">
        <v>11</v>
      </c>
      <c r="S13374" s="5">
        <v>88</v>
      </c>
    </row>
    <row r="13375" spans="1:19" ht="28" x14ac:dyDescent="0.15">
      <c r="A13375" s="2">
        <f>HYPERLINK("https://open-school.uspishnemisto.com.ua/school/630714/", 630714)</f>
        <v>630714</v>
      </c>
      <c r="B13375" s="3" t="s">
        <v>67504</v>
      </c>
      <c r="C13375" s="3" t="s">
        <v>54</v>
      </c>
      <c r="D13375" s="3" t="s">
        <v>32</v>
      </c>
      <c r="E13375" s="4" t="s">
        <v>22</v>
      </c>
      <c r="F13375" s="4" t="s">
        <v>67505</v>
      </c>
      <c r="G13375" s="4" t="s">
        <v>67506</v>
      </c>
      <c r="H13375" s="3" t="s">
        <v>63948</v>
      </c>
      <c r="I13375" s="3" t="s">
        <v>19682</v>
      </c>
      <c r="J13375" s="3" t="s">
        <v>13617</v>
      </c>
      <c r="K13375" s="3"/>
      <c r="L13375" s="3" t="s">
        <v>67507</v>
      </c>
      <c r="M13375" s="4"/>
      <c r="N13375" s="3" t="s">
        <v>37</v>
      </c>
      <c r="O13375" s="3" t="s">
        <v>38</v>
      </c>
      <c r="P13375" s="5">
        <v>11</v>
      </c>
      <c r="Q13375" s="5">
        <v>90</v>
      </c>
      <c r="R13375" s="5">
        <v>11</v>
      </c>
      <c r="S13375" s="5">
        <v>99</v>
      </c>
    </row>
    <row r="13376" spans="1:19" ht="28" x14ac:dyDescent="0.15">
      <c r="A13376" s="2">
        <f>HYPERLINK("https://open-school.uspishnemisto.com.ua/school/630715/", 630715)</f>
        <v>630715</v>
      </c>
      <c r="B13376" s="3" t="s">
        <v>67508</v>
      </c>
      <c r="C13376" s="3" t="s">
        <v>31</v>
      </c>
      <c r="D13376" s="3" t="s">
        <v>32</v>
      </c>
      <c r="E13376" s="4" t="s">
        <v>22</v>
      </c>
      <c r="F13376" s="4" t="s">
        <v>67509</v>
      </c>
      <c r="G13376" s="4" t="s">
        <v>67510</v>
      </c>
      <c r="H13376" s="3" t="s">
        <v>63948</v>
      </c>
      <c r="I13376" s="3" t="s">
        <v>67511</v>
      </c>
      <c r="J13376" s="3" t="s">
        <v>6677</v>
      </c>
      <c r="K13376" s="3" t="s">
        <v>67512</v>
      </c>
      <c r="L13376" s="3"/>
      <c r="M13376" s="4"/>
      <c r="N13376" s="3" t="s">
        <v>37</v>
      </c>
      <c r="O13376" s="3" t="s">
        <v>38</v>
      </c>
      <c r="P13376" s="5">
        <v>9</v>
      </c>
      <c r="Q13376" s="5">
        <v>67</v>
      </c>
      <c r="R13376" s="5">
        <v>10</v>
      </c>
      <c r="S13376" s="5">
        <v>70</v>
      </c>
    </row>
    <row r="13377" spans="1:19" ht="28" x14ac:dyDescent="0.15">
      <c r="A13377" s="2">
        <f>HYPERLINK("https://open-school.uspishnemisto.com.ua/school/630716/", 630716)</f>
        <v>630716</v>
      </c>
      <c r="B13377" s="3" t="s">
        <v>67513</v>
      </c>
      <c r="C13377" s="3" t="s">
        <v>31</v>
      </c>
      <c r="D13377" s="3" t="s">
        <v>32</v>
      </c>
      <c r="E13377" s="4" t="s">
        <v>22</v>
      </c>
      <c r="F13377" s="4" t="s">
        <v>67514</v>
      </c>
      <c r="G13377" s="4" t="s">
        <v>67515</v>
      </c>
      <c r="H13377" s="3" t="s">
        <v>63948</v>
      </c>
      <c r="I13377" s="3" t="s">
        <v>67516</v>
      </c>
      <c r="J13377" s="3" t="s">
        <v>67517</v>
      </c>
      <c r="K13377" s="3" t="s">
        <v>67518</v>
      </c>
      <c r="L13377" s="3" t="s">
        <v>67519</v>
      </c>
      <c r="M13377" s="4"/>
      <c r="N13377" s="3" t="s">
        <v>37</v>
      </c>
      <c r="O13377" s="3" t="s">
        <v>70</v>
      </c>
      <c r="P13377" s="5">
        <v>9</v>
      </c>
      <c r="Q13377" s="5">
        <v>70</v>
      </c>
      <c r="R13377" s="5">
        <v>10</v>
      </c>
      <c r="S13377" s="5">
        <v>67</v>
      </c>
    </row>
    <row r="13378" spans="1:19" ht="28" x14ac:dyDescent="0.15">
      <c r="A13378" s="2">
        <f>HYPERLINK("https://open-school.uspishnemisto.com.ua/school/630717/", 630717)</f>
        <v>630717</v>
      </c>
      <c r="B13378" s="3" t="s">
        <v>67520</v>
      </c>
      <c r="C13378" s="3" t="s">
        <v>31</v>
      </c>
      <c r="D13378" s="3" t="s">
        <v>32</v>
      </c>
      <c r="E13378" s="4" t="s">
        <v>22</v>
      </c>
      <c r="F13378" s="4" t="s">
        <v>67521</v>
      </c>
      <c r="G13378" s="4" t="s">
        <v>67522</v>
      </c>
      <c r="H13378" s="3" t="s">
        <v>63948</v>
      </c>
      <c r="I13378" s="3" t="s">
        <v>11064</v>
      </c>
      <c r="J13378" s="3" t="s">
        <v>466</v>
      </c>
      <c r="K13378" s="3" t="s">
        <v>67523</v>
      </c>
      <c r="L13378" s="3" t="s">
        <v>67524</v>
      </c>
      <c r="M13378" s="4"/>
      <c r="N13378" s="3" t="s">
        <v>37</v>
      </c>
      <c r="O13378" s="3" t="s">
        <v>38</v>
      </c>
      <c r="P13378" s="5">
        <v>10</v>
      </c>
      <c r="Q13378" s="5">
        <v>81</v>
      </c>
      <c r="R13378" s="5">
        <v>10</v>
      </c>
      <c r="S13378" s="5">
        <v>78</v>
      </c>
    </row>
    <row r="13379" spans="1:19" ht="42" x14ac:dyDescent="0.15">
      <c r="A13379" s="2">
        <f>HYPERLINK("https://open-school.uspishnemisto.com.ua/school/630718/", 630718)</f>
        <v>630718</v>
      </c>
      <c r="B13379" s="3" t="s">
        <v>67525</v>
      </c>
      <c r="C13379" s="3" t="s">
        <v>31</v>
      </c>
      <c r="D13379" s="3" t="s">
        <v>32</v>
      </c>
      <c r="E13379" s="4" t="s">
        <v>22</v>
      </c>
      <c r="F13379" s="4" t="s">
        <v>67526</v>
      </c>
      <c r="G13379" s="4" t="s">
        <v>67527</v>
      </c>
      <c r="H13379" s="3" t="s">
        <v>63948</v>
      </c>
      <c r="I13379" s="3" t="s">
        <v>67528</v>
      </c>
      <c r="J13379" s="3" t="s">
        <v>67529</v>
      </c>
      <c r="K13379" s="3" t="s">
        <v>67530</v>
      </c>
      <c r="L13379" s="3" t="s">
        <v>67531</v>
      </c>
      <c r="M13379" s="4"/>
      <c r="N13379" s="3" t="s">
        <v>37</v>
      </c>
      <c r="O13379" s="3" t="s">
        <v>38</v>
      </c>
      <c r="P13379" s="5">
        <v>11</v>
      </c>
      <c r="Q13379" s="5">
        <v>181</v>
      </c>
      <c r="R13379" s="5">
        <v>11</v>
      </c>
      <c r="S13379" s="5">
        <v>197</v>
      </c>
    </row>
    <row r="13380" spans="1:19" ht="42" x14ac:dyDescent="0.15">
      <c r="A13380" s="2">
        <f>HYPERLINK("https://open-school.uspishnemisto.com.ua/school/630719/", 630719)</f>
        <v>630719</v>
      </c>
      <c r="B13380" s="3" t="s">
        <v>67532</v>
      </c>
      <c r="C13380" s="3" t="s">
        <v>31</v>
      </c>
      <c r="D13380" s="3" t="s">
        <v>32</v>
      </c>
      <c r="E13380" s="4" t="s">
        <v>22</v>
      </c>
      <c r="F13380" s="4" t="s">
        <v>67526</v>
      </c>
      <c r="G13380" s="4" t="s">
        <v>67527</v>
      </c>
      <c r="H13380" s="3" t="s">
        <v>63948</v>
      </c>
      <c r="I13380" s="3" t="s">
        <v>67528</v>
      </c>
      <c r="J13380" s="3" t="s">
        <v>67533</v>
      </c>
      <c r="K13380" s="3" t="s">
        <v>67534</v>
      </c>
      <c r="L13380" s="3"/>
      <c r="M13380" s="4"/>
      <c r="N13380" s="3" t="s">
        <v>37</v>
      </c>
      <c r="O13380" s="3" t="s">
        <v>38</v>
      </c>
      <c r="P13380" s="5">
        <v>12</v>
      </c>
      <c r="Q13380" s="5">
        <v>576</v>
      </c>
      <c r="R13380" s="5">
        <v>12</v>
      </c>
      <c r="S13380" s="5">
        <v>515</v>
      </c>
    </row>
    <row r="13381" spans="1:19" ht="42" x14ac:dyDescent="0.15">
      <c r="A13381" s="2">
        <f>HYPERLINK("https://open-school.uspishnemisto.com.ua/school/630720/", 630720)</f>
        <v>630720</v>
      </c>
      <c r="B13381" s="3" t="s">
        <v>67535</v>
      </c>
      <c r="C13381" s="3" t="s">
        <v>31</v>
      </c>
      <c r="D13381" s="3" t="s">
        <v>32</v>
      </c>
      <c r="E13381" s="4" t="s">
        <v>22</v>
      </c>
      <c r="F13381" s="4" t="s">
        <v>67526</v>
      </c>
      <c r="G13381" s="4" t="s">
        <v>67527</v>
      </c>
      <c r="H13381" s="3" t="s">
        <v>63948</v>
      </c>
      <c r="I13381" s="3" t="s">
        <v>67528</v>
      </c>
      <c r="J13381" s="3" t="s">
        <v>67536</v>
      </c>
      <c r="K13381" s="3" t="s">
        <v>67537</v>
      </c>
      <c r="L13381" s="3" t="s">
        <v>67538</v>
      </c>
      <c r="M13381" s="4"/>
      <c r="N13381" s="3" t="s">
        <v>128</v>
      </c>
      <c r="O13381" s="3" t="s">
        <v>38</v>
      </c>
      <c r="P13381" s="5">
        <v>25</v>
      </c>
      <c r="Q13381" s="5">
        <v>628</v>
      </c>
      <c r="R13381" s="5">
        <v>24</v>
      </c>
      <c r="S13381" s="5">
        <v>620</v>
      </c>
    </row>
    <row r="13382" spans="1:19" ht="28" x14ac:dyDescent="0.15">
      <c r="A13382" s="2">
        <f>HYPERLINK("https://open-school.uspishnemisto.com.ua/school/630721/", 630721)</f>
        <v>630721</v>
      </c>
      <c r="B13382" s="3" t="s">
        <v>67539</v>
      </c>
      <c r="C13382" s="3" t="s">
        <v>31</v>
      </c>
      <c r="D13382" s="3" t="s">
        <v>32</v>
      </c>
      <c r="E13382" s="4" t="s">
        <v>22</v>
      </c>
      <c r="F13382" s="4" t="s">
        <v>67526</v>
      </c>
      <c r="G13382" s="4" t="s">
        <v>67527</v>
      </c>
      <c r="H13382" s="3" t="s">
        <v>63948</v>
      </c>
      <c r="I13382" s="3" t="s">
        <v>67528</v>
      </c>
      <c r="J13382" s="3" t="s">
        <v>67540</v>
      </c>
      <c r="K13382" s="3" t="s">
        <v>67541</v>
      </c>
      <c r="L13382" s="3"/>
      <c r="M13382" s="4"/>
      <c r="N13382" s="3" t="s">
        <v>37</v>
      </c>
      <c r="O13382" s="3" t="s">
        <v>38</v>
      </c>
      <c r="P13382" s="5">
        <v>20</v>
      </c>
      <c r="Q13382" s="5">
        <v>521</v>
      </c>
      <c r="R13382" s="5">
        <v>19</v>
      </c>
      <c r="S13382" s="5">
        <v>495</v>
      </c>
    </row>
    <row r="13383" spans="1:19" ht="42" x14ac:dyDescent="0.15">
      <c r="A13383" s="2">
        <f>HYPERLINK("https://open-school.uspishnemisto.com.ua/school/630722/", 630722)</f>
        <v>630722</v>
      </c>
      <c r="B13383" s="3" t="s">
        <v>67542</v>
      </c>
      <c r="C13383" s="3" t="s">
        <v>188</v>
      </c>
      <c r="D13383" s="3" t="s">
        <v>32</v>
      </c>
      <c r="E13383" s="4" t="s">
        <v>22</v>
      </c>
      <c r="F13383" s="4" t="s">
        <v>67543</v>
      </c>
      <c r="G13383" s="4" t="s">
        <v>67527</v>
      </c>
      <c r="H13383" s="3" t="s">
        <v>63948</v>
      </c>
      <c r="I13383" s="3" t="s">
        <v>67528</v>
      </c>
      <c r="J13383" s="3" t="s">
        <v>67544</v>
      </c>
      <c r="K13383" s="3" t="s">
        <v>67545</v>
      </c>
      <c r="L13383" s="3" t="s">
        <v>67546</v>
      </c>
      <c r="M13383" s="4"/>
      <c r="N13383" s="3" t="s">
        <v>37</v>
      </c>
      <c r="O13383" s="3" t="s">
        <v>38</v>
      </c>
      <c r="P13383" s="5">
        <v>16</v>
      </c>
      <c r="Q13383" s="5">
        <v>326</v>
      </c>
      <c r="R13383" s="5">
        <v>15</v>
      </c>
      <c r="S13383" s="5">
        <v>311</v>
      </c>
    </row>
    <row r="13384" spans="1:19" ht="28" x14ac:dyDescent="0.15">
      <c r="A13384" s="2">
        <f>HYPERLINK("https://open-school.uspishnemisto.com.ua/school/630723/", 630723)</f>
        <v>630723</v>
      </c>
      <c r="B13384" s="3" t="s">
        <v>67547</v>
      </c>
      <c r="C13384" s="3" t="s">
        <v>188</v>
      </c>
      <c r="D13384" s="3" t="s">
        <v>32</v>
      </c>
      <c r="E13384" s="4" t="s">
        <v>22</v>
      </c>
      <c r="F13384" s="4" t="s">
        <v>67526</v>
      </c>
      <c r="G13384" s="4" t="s">
        <v>67527</v>
      </c>
      <c r="H13384" s="3" t="s">
        <v>63948</v>
      </c>
      <c r="I13384" s="3" t="s">
        <v>67528</v>
      </c>
      <c r="J13384" s="3" t="s">
        <v>67548</v>
      </c>
      <c r="K13384" s="3"/>
      <c r="L13384" s="3" t="s">
        <v>67549</v>
      </c>
      <c r="M13384" s="4"/>
      <c r="N13384" s="3" t="s">
        <v>37</v>
      </c>
      <c r="O13384" s="3" t="s">
        <v>38</v>
      </c>
      <c r="P13384" s="5">
        <v>21</v>
      </c>
      <c r="Q13384" s="5">
        <v>537</v>
      </c>
      <c r="R13384" s="5">
        <v>21</v>
      </c>
      <c r="S13384" s="5">
        <v>549</v>
      </c>
    </row>
    <row r="13385" spans="1:19" ht="42" x14ac:dyDescent="0.15">
      <c r="A13385" s="2">
        <f>HYPERLINK("https://open-school.uspishnemisto.com.ua/school/630724/", 630724)</f>
        <v>630724</v>
      </c>
      <c r="B13385" s="3" t="s">
        <v>67550</v>
      </c>
      <c r="C13385" s="3" t="s">
        <v>31</v>
      </c>
      <c r="D13385" s="3" t="s">
        <v>32</v>
      </c>
      <c r="E13385" s="4" t="s">
        <v>22</v>
      </c>
      <c r="F13385" s="4" t="s">
        <v>67551</v>
      </c>
      <c r="G13385" s="4" t="s">
        <v>67552</v>
      </c>
      <c r="H13385" s="3" t="s">
        <v>63948</v>
      </c>
      <c r="I13385" s="3" t="s">
        <v>67553</v>
      </c>
      <c r="J13385" s="3" t="s">
        <v>67554</v>
      </c>
      <c r="K13385" s="3" t="s">
        <v>67555</v>
      </c>
      <c r="L13385" s="3" t="s">
        <v>67556</v>
      </c>
      <c r="M13385" s="4"/>
      <c r="N13385" s="3" t="s">
        <v>37</v>
      </c>
      <c r="O13385" s="3" t="s">
        <v>38</v>
      </c>
      <c r="P13385" s="5">
        <v>9</v>
      </c>
      <c r="Q13385" s="5">
        <v>139</v>
      </c>
      <c r="R13385" s="5">
        <v>10</v>
      </c>
      <c r="S13385" s="5">
        <v>143</v>
      </c>
    </row>
    <row r="13386" spans="1:19" ht="28" x14ac:dyDescent="0.15">
      <c r="A13386" s="2">
        <f>HYPERLINK("https://open-school.uspishnemisto.com.ua/school/630725/", 630725)</f>
        <v>630725</v>
      </c>
      <c r="B13386" s="3" t="s">
        <v>67557</v>
      </c>
      <c r="C13386" s="3" t="s">
        <v>31</v>
      </c>
      <c r="D13386" s="3" t="s">
        <v>32</v>
      </c>
      <c r="E13386" s="4" t="s">
        <v>22</v>
      </c>
      <c r="F13386" s="4" t="s">
        <v>67558</v>
      </c>
      <c r="G13386" s="4" t="s">
        <v>67559</v>
      </c>
      <c r="H13386" s="3" t="s">
        <v>63948</v>
      </c>
      <c r="I13386" s="3" t="s">
        <v>11995</v>
      </c>
      <c r="J13386" s="3" t="s">
        <v>67560</v>
      </c>
      <c r="K13386" s="3" t="s">
        <v>67561</v>
      </c>
      <c r="L13386" s="3"/>
      <c r="M13386" s="4"/>
      <c r="N13386" s="3" t="s">
        <v>37</v>
      </c>
      <c r="O13386" s="3" t="s">
        <v>38</v>
      </c>
      <c r="P13386" s="5">
        <v>11</v>
      </c>
      <c r="Q13386" s="5">
        <v>153</v>
      </c>
      <c r="R13386" s="5">
        <v>11</v>
      </c>
      <c r="S13386" s="5">
        <v>177</v>
      </c>
    </row>
    <row r="13387" spans="1:19" ht="28" x14ac:dyDescent="0.15">
      <c r="A13387" s="2">
        <f>HYPERLINK("https://open-school.uspishnemisto.com.ua/school/630726/", 630726)</f>
        <v>630726</v>
      </c>
      <c r="B13387" s="3" t="s">
        <v>67562</v>
      </c>
      <c r="C13387" s="3" t="s">
        <v>188</v>
      </c>
      <c r="D13387" s="3" t="s">
        <v>32</v>
      </c>
      <c r="E13387" s="4" t="s">
        <v>22</v>
      </c>
      <c r="F13387" s="4" t="s">
        <v>67563</v>
      </c>
      <c r="G13387" s="4" t="s">
        <v>67559</v>
      </c>
      <c r="H13387" s="3" t="s">
        <v>63948</v>
      </c>
      <c r="I13387" s="3" t="s">
        <v>11995</v>
      </c>
      <c r="J13387" s="3" t="s">
        <v>67564</v>
      </c>
      <c r="K13387" s="3" t="s">
        <v>67565</v>
      </c>
      <c r="L13387" s="3" t="s">
        <v>67566</v>
      </c>
      <c r="M13387" s="4"/>
      <c r="N13387" s="3" t="s">
        <v>37</v>
      </c>
      <c r="O13387" s="3" t="s">
        <v>70</v>
      </c>
      <c r="P13387" s="5">
        <v>22</v>
      </c>
      <c r="Q13387" s="5">
        <v>604</v>
      </c>
      <c r="R13387" s="5">
        <v>22</v>
      </c>
      <c r="S13387" s="5">
        <v>598</v>
      </c>
    </row>
    <row r="13388" spans="1:19" ht="42" x14ac:dyDescent="0.15">
      <c r="A13388" s="2">
        <f>HYPERLINK("https://open-school.uspishnemisto.com.ua/school/630727/", 630727)</f>
        <v>630727</v>
      </c>
      <c r="B13388" s="3" t="s">
        <v>67567</v>
      </c>
      <c r="C13388" s="3" t="s">
        <v>31</v>
      </c>
      <c r="D13388" s="3" t="s">
        <v>32</v>
      </c>
      <c r="E13388" s="4" t="s">
        <v>22</v>
      </c>
      <c r="F13388" s="4" t="s">
        <v>67568</v>
      </c>
      <c r="G13388" s="4" t="s">
        <v>67569</v>
      </c>
      <c r="H13388" s="3" t="s">
        <v>63948</v>
      </c>
      <c r="I13388" s="3" t="s">
        <v>67570</v>
      </c>
      <c r="J13388" s="3" t="s">
        <v>5492</v>
      </c>
      <c r="K13388" s="3" t="s">
        <v>67571</v>
      </c>
      <c r="L13388" s="3" t="s">
        <v>67572</v>
      </c>
      <c r="M13388" s="4"/>
      <c r="N13388" s="3" t="s">
        <v>37</v>
      </c>
      <c r="O13388" s="3" t="s">
        <v>38</v>
      </c>
      <c r="P13388" s="5">
        <v>19</v>
      </c>
      <c r="Q13388" s="5">
        <v>401</v>
      </c>
      <c r="R13388" s="5">
        <v>19</v>
      </c>
      <c r="S13388" s="5">
        <v>401</v>
      </c>
    </row>
    <row r="13389" spans="1:19" ht="28" x14ac:dyDescent="0.15">
      <c r="A13389" s="2">
        <f>HYPERLINK("https://open-school.uspishnemisto.com.ua/school/630728/", 630728)</f>
        <v>630728</v>
      </c>
      <c r="B13389" s="3" t="s">
        <v>67573</v>
      </c>
      <c r="C13389" s="3" t="s">
        <v>31</v>
      </c>
      <c r="D13389" s="3" t="s">
        <v>32</v>
      </c>
      <c r="E13389" s="4" t="s">
        <v>22</v>
      </c>
      <c r="F13389" s="4" t="s">
        <v>67574</v>
      </c>
      <c r="G13389" s="4" t="s">
        <v>67575</v>
      </c>
      <c r="H13389" s="3" t="s">
        <v>63948</v>
      </c>
      <c r="I13389" s="3" t="s">
        <v>67576</v>
      </c>
      <c r="J13389" s="3" t="s">
        <v>67577</v>
      </c>
      <c r="K13389" s="3" t="s">
        <v>67578</v>
      </c>
      <c r="L13389" s="3"/>
      <c r="M13389" s="4"/>
      <c r="N13389" s="3" t="s">
        <v>37</v>
      </c>
      <c r="O13389" s="3" t="s">
        <v>38</v>
      </c>
      <c r="P13389" s="5">
        <v>11</v>
      </c>
      <c r="Q13389" s="5">
        <v>212</v>
      </c>
      <c r="R13389" s="5">
        <v>11</v>
      </c>
      <c r="S13389" s="5">
        <v>208</v>
      </c>
    </row>
    <row r="13390" spans="1:19" ht="42" x14ac:dyDescent="0.15">
      <c r="A13390" s="2">
        <f>HYPERLINK("https://open-school.uspishnemisto.com.ua/school/630729/", 630729)</f>
        <v>630729</v>
      </c>
      <c r="B13390" s="3" t="s">
        <v>67579</v>
      </c>
      <c r="C13390" s="3" t="s">
        <v>188</v>
      </c>
      <c r="D13390" s="3" t="s">
        <v>32</v>
      </c>
      <c r="E13390" s="4" t="s">
        <v>22</v>
      </c>
      <c r="F13390" s="4" t="s">
        <v>67580</v>
      </c>
      <c r="G13390" s="4" t="s">
        <v>67575</v>
      </c>
      <c r="H13390" s="3" t="s">
        <v>63948</v>
      </c>
      <c r="I13390" s="3" t="s">
        <v>67576</v>
      </c>
      <c r="J13390" s="3" t="s">
        <v>67581</v>
      </c>
      <c r="K13390" s="3" t="s">
        <v>67582</v>
      </c>
      <c r="L13390" s="3"/>
      <c r="M13390" s="4"/>
      <c r="N13390" s="3" t="s">
        <v>37</v>
      </c>
      <c r="O13390" s="3" t="s">
        <v>38</v>
      </c>
      <c r="P13390" s="5">
        <v>27</v>
      </c>
      <c r="Q13390" s="5">
        <v>700</v>
      </c>
      <c r="R13390" s="5">
        <v>26</v>
      </c>
      <c r="S13390" s="5">
        <v>681</v>
      </c>
    </row>
    <row r="13391" spans="1:19" ht="28" x14ac:dyDescent="0.15">
      <c r="A13391" s="2">
        <f>HYPERLINK("https://open-school.uspishnemisto.com.ua/school/630730/", 630730)</f>
        <v>630730</v>
      </c>
      <c r="B13391" s="3" t="s">
        <v>67583</v>
      </c>
      <c r="C13391" s="3" t="s">
        <v>31</v>
      </c>
      <c r="D13391" s="3" t="s">
        <v>32</v>
      </c>
      <c r="E13391" s="4" t="s">
        <v>22</v>
      </c>
      <c r="F13391" s="4" t="s">
        <v>67584</v>
      </c>
      <c r="G13391" s="4" t="s">
        <v>67585</v>
      </c>
      <c r="H13391" s="3" t="s">
        <v>63948</v>
      </c>
      <c r="I13391" s="3" t="s">
        <v>725</v>
      </c>
      <c r="J13391" s="3" t="s">
        <v>67586</v>
      </c>
      <c r="K13391" s="3" t="s">
        <v>67587</v>
      </c>
      <c r="L13391" s="3" t="s">
        <v>67588</v>
      </c>
      <c r="M13391" s="4"/>
      <c r="N13391" s="3" t="s">
        <v>37</v>
      </c>
      <c r="O13391" s="3" t="s">
        <v>38</v>
      </c>
      <c r="P13391" s="5">
        <v>9</v>
      </c>
      <c r="Q13391" s="5">
        <v>91</v>
      </c>
      <c r="R13391" s="5">
        <v>10</v>
      </c>
      <c r="S13391" s="5">
        <v>100</v>
      </c>
    </row>
    <row r="13392" spans="1:19" ht="28" x14ac:dyDescent="0.15">
      <c r="A13392" s="2">
        <f>HYPERLINK("https://open-school.uspishnemisto.com.ua/school/630731/", 630731)</f>
        <v>630731</v>
      </c>
      <c r="B13392" s="3" t="s">
        <v>67589</v>
      </c>
      <c r="C13392" s="3" t="s">
        <v>31</v>
      </c>
      <c r="D13392" s="3" t="s">
        <v>32</v>
      </c>
      <c r="E13392" s="4" t="s">
        <v>22</v>
      </c>
      <c r="F13392" s="4" t="s">
        <v>67590</v>
      </c>
      <c r="G13392" s="4" t="s">
        <v>67591</v>
      </c>
      <c r="H13392" s="3" t="s">
        <v>63948</v>
      </c>
      <c r="I13392" s="3" t="s">
        <v>3598</v>
      </c>
      <c r="J13392" s="3" t="s">
        <v>67592</v>
      </c>
      <c r="K13392" s="3" t="s">
        <v>67593</v>
      </c>
      <c r="L13392" s="3"/>
      <c r="M13392" s="4"/>
      <c r="N13392" s="3" t="s">
        <v>37</v>
      </c>
      <c r="O13392" s="3" t="s">
        <v>38</v>
      </c>
      <c r="P13392" s="5">
        <v>11</v>
      </c>
      <c r="Q13392" s="5">
        <v>170</v>
      </c>
      <c r="R13392" s="5">
        <v>11</v>
      </c>
      <c r="S13392" s="5">
        <v>156</v>
      </c>
    </row>
    <row r="13393" spans="1:19" ht="28" x14ac:dyDescent="0.15">
      <c r="A13393" s="2">
        <f>HYPERLINK("https://open-school.uspishnemisto.com.ua/school/630732/", 630732)</f>
        <v>630732</v>
      </c>
      <c r="B13393" s="3" t="s">
        <v>67594</v>
      </c>
      <c r="C13393" s="3" t="s">
        <v>188</v>
      </c>
      <c r="D13393" s="3" t="s">
        <v>32</v>
      </c>
      <c r="E13393" s="4" t="s">
        <v>22</v>
      </c>
      <c r="F13393" s="4" t="s">
        <v>67590</v>
      </c>
      <c r="G13393" s="4" t="s">
        <v>67591</v>
      </c>
      <c r="H13393" s="3" t="s">
        <v>63948</v>
      </c>
      <c r="I13393" s="3" t="s">
        <v>3598</v>
      </c>
      <c r="J13393" s="3" t="s">
        <v>67595</v>
      </c>
      <c r="K13393" s="3" t="s">
        <v>67596</v>
      </c>
      <c r="L13393" s="3" t="s">
        <v>67597</v>
      </c>
      <c r="M13393" s="4"/>
      <c r="N13393" s="3" t="s">
        <v>37</v>
      </c>
      <c r="O13393" s="3" t="s">
        <v>38</v>
      </c>
      <c r="P13393" s="5">
        <v>20</v>
      </c>
      <c r="Q13393" s="5">
        <v>371</v>
      </c>
      <c r="R13393" s="5">
        <v>19</v>
      </c>
      <c r="S13393" s="5">
        <v>372</v>
      </c>
    </row>
    <row r="13394" spans="1:19" ht="28" x14ac:dyDescent="0.15">
      <c r="A13394" s="2">
        <f>HYPERLINK("https://open-school.uspishnemisto.com.ua/school/630733/", 630733)</f>
        <v>630733</v>
      </c>
      <c r="B13394" s="3" t="s">
        <v>67598</v>
      </c>
      <c r="C13394" s="3" t="s">
        <v>31</v>
      </c>
      <c r="D13394" s="3" t="s">
        <v>32</v>
      </c>
      <c r="E13394" s="4" t="s">
        <v>22</v>
      </c>
      <c r="F13394" s="4" t="s">
        <v>67599</v>
      </c>
      <c r="G13394" s="4" t="s">
        <v>67600</v>
      </c>
      <c r="H13394" s="3" t="s">
        <v>63948</v>
      </c>
      <c r="I13394" s="3" t="s">
        <v>67601</v>
      </c>
      <c r="J13394" s="3" t="s">
        <v>67602</v>
      </c>
      <c r="K13394" s="3" t="s">
        <v>67603</v>
      </c>
      <c r="L13394" s="3" t="s">
        <v>67604</v>
      </c>
      <c r="M13394" s="4"/>
      <c r="N13394" s="3" t="s">
        <v>967</v>
      </c>
      <c r="O13394" s="3" t="s">
        <v>52</v>
      </c>
      <c r="P13394" s="5">
        <v>21</v>
      </c>
      <c r="Q13394" s="5">
        <v>509</v>
      </c>
      <c r="R13394" s="5">
        <v>22</v>
      </c>
      <c r="S13394" s="5">
        <v>525</v>
      </c>
    </row>
    <row r="13395" spans="1:19" ht="28" x14ac:dyDescent="0.15">
      <c r="A13395" s="2">
        <f>HYPERLINK("https://open-school.uspishnemisto.com.ua/school/630734/", 630734)</f>
        <v>630734</v>
      </c>
      <c r="B13395" s="3" t="s">
        <v>67605</v>
      </c>
      <c r="C13395" s="3" t="s">
        <v>31</v>
      </c>
      <c r="D13395" s="3" t="s">
        <v>32</v>
      </c>
      <c r="E13395" s="4" t="s">
        <v>22</v>
      </c>
      <c r="F13395" s="4" t="s">
        <v>67606</v>
      </c>
      <c r="G13395" s="4" t="s">
        <v>67607</v>
      </c>
      <c r="H13395" s="3" t="s">
        <v>63948</v>
      </c>
      <c r="I13395" s="3" t="s">
        <v>67608</v>
      </c>
      <c r="J13395" s="3" t="s">
        <v>47927</v>
      </c>
      <c r="K13395" s="3" t="s">
        <v>67609</v>
      </c>
      <c r="L13395" s="3" t="s">
        <v>67610</v>
      </c>
      <c r="M13395" s="4"/>
      <c r="N13395" s="3" t="s">
        <v>128</v>
      </c>
      <c r="O13395" s="3" t="s">
        <v>38</v>
      </c>
      <c r="P13395" s="5">
        <v>21</v>
      </c>
      <c r="Q13395" s="5">
        <v>441</v>
      </c>
      <c r="R13395" s="5">
        <v>21</v>
      </c>
      <c r="S13395" s="5">
        <v>414</v>
      </c>
    </row>
    <row r="13396" spans="1:19" ht="56" x14ac:dyDescent="0.15">
      <c r="A13396" s="2">
        <f>HYPERLINK("https://open-school.uspishnemisto.com.ua/school/630735/", 630735)</f>
        <v>630735</v>
      </c>
      <c r="B13396" s="3" t="s">
        <v>67611</v>
      </c>
      <c r="C13396" s="3" t="s">
        <v>244</v>
      </c>
      <c r="D13396" s="3" t="s">
        <v>32</v>
      </c>
      <c r="E13396" s="4" t="s">
        <v>22</v>
      </c>
      <c r="F13396" s="4" t="s">
        <v>67606</v>
      </c>
      <c r="G13396" s="4" t="s">
        <v>67607</v>
      </c>
      <c r="H13396" s="3" t="s">
        <v>63948</v>
      </c>
      <c r="I13396" s="3" t="s">
        <v>67608</v>
      </c>
      <c r="J13396" s="3" t="s">
        <v>67612</v>
      </c>
      <c r="K13396" s="3" t="s">
        <v>67613</v>
      </c>
      <c r="L13396" s="3"/>
      <c r="M13396" s="4"/>
      <c r="N13396" s="3" t="s">
        <v>37</v>
      </c>
      <c r="O13396" s="3" t="s">
        <v>266</v>
      </c>
      <c r="P13396" s="5">
        <v>10</v>
      </c>
      <c r="Q13396" s="5">
        <v>202</v>
      </c>
      <c r="R13396" s="5">
        <v>10</v>
      </c>
      <c r="S13396" s="5">
        <v>207</v>
      </c>
    </row>
    <row r="13397" spans="1:19" ht="28" x14ac:dyDescent="0.15">
      <c r="A13397" s="2">
        <f>HYPERLINK("https://open-school.uspishnemisto.com.ua/school/630736/", 630736)</f>
        <v>630736</v>
      </c>
      <c r="B13397" s="3" t="s">
        <v>67614</v>
      </c>
      <c r="C13397" s="3" t="s">
        <v>31</v>
      </c>
      <c r="D13397" s="3" t="s">
        <v>32</v>
      </c>
      <c r="E13397" s="4" t="s">
        <v>22</v>
      </c>
      <c r="F13397" s="4" t="s">
        <v>67615</v>
      </c>
      <c r="G13397" s="4" t="s">
        <v>67607</v>
      </c>
      <c r="H13397" s="3" t="s">
        <v>63948</v>
      </c>
      <c r="I13397" s="3" t="s">
        <v>67608</v>
      </c>
      <c r="J13397" s="3" t="s">
        <v>67616</v>
      </c>
      <c r="K13397" s="3" t="s">
        <v>67617</v>
      </c>
      <c r="L13397" s="3" t="s">
        <v>67618</v>
      </c>
      <c r="M13397" s="4"/>
      <c r="N13397" s="3" t="s">
        <v>37</v>
      </c>
      <c r="O13397" s="3" t="s">
        <v>70</v>
      </c>
      <c r="P13397" s="5">
        <v>11</v>
      </c>
      <c r="Q13397" s="5">
        <v>219</v>
      </c>
      <c r="R13397" s="5">
        <v>11</v>
      </c>
      <c r="S13397" s="5">
        <v>207</v>
      </c>
    </row>
    <row r="13398" spans="1:19" ht="56" x14ac:dyDescent="0.15">
      <c r="A13398" s="2">
        <f>HYPERLINK("https://open-school.uspishnemisto.com.ua/school/630737/", 630737)</f>
        <v>630737</v>
      </c>
      <c r="B13398" s="3" t="s">
        <v>67619</v>
      </c>
      <c r="C13398" s="3" t="s">
        <v>181</v>
      </c>
      <c r="D13398" s="3" t="s">
        <v>32</v>
      </c>
      <c r="E13398" s="4" t="s">
        <v>22</v>
      </c>
      <c r="F13398" s="4" t="s">
        <v>67615</v>
      </c>
      <c r="G13398" s="4" t="s">
        <v>67607</v>
      </c>
      <c r="H13398" s="3" t="s">
        <v>63948</v>
      </c>
      <c r="I13398" s="3" t="s">
        <v>67608</v>
      </c>
      <c r="J13398" s="3" t="s">
        <v>67620</v>
      </c>
      <c r="K13398" s="3" t="s">
        <v>67621</v>
      </c>
      <c r="L13398" s="3" t="s">
        <v>67622</v>
      </c>
      <c r="M13398" s="4" t="s">
        <v>67623</v>
      </c>
      <c r="N13398" s="3" t="s">
        <v>37</v>
      </c>
      <c r="O13398" s="3" t="s">
        <v>52</v>
      </c>
      <c r="P13398" s="5">
        <v>13</v>
      </c>
      <c r="Q13398" s="5">
        <v>139</v>
      </c>
      <c r="R13398" s="5">
        <v>12</v>
      </c>
      <c r="S13398" s="5">
        <v>118</v>
      </c>
    </row>
    <row r="13399" spans="1:19" ht="28" x14ac:dyDescent="0.15">
      <c r="A13399" s="2">
        <f>HYPERLINK("https://open-school.uspishnemisto.com.ua/school/630738/", 630738)</f>
        <v>630738</v>
      </c>
      <c r="B13399" s="3" t="s">
        <v>67624</v>
      </c>
      <c r="C13399" s="3" t="s">
        <v>188</v>
      </c>
      <c r="D13399" s="3" t="s">
        <v>32</v>
      </c>
      <c r="E13399" s="4" t="s">
        <v>22</v>
      </c>
      <c r="F13399" s="4" t="s">
        <v>67625</v>
      </c>
      <c r="G13399" s="4" t="s">
        <v>67626</v>
      </c>
      <c r="H13399" s="3" t="s">
        <v>63948</v>
      </c>
      <c r="I13399" s="3" t="s">
        <v>67627</v>
      </c>
      <c r="J13399" s="3" t="s">
        <v>67628</v>
      </c>
      <c r="K13399" s="3" t="s">
        <v>67629</v>
      </c>
      <c r="L13399" s="3" t="s">
        <v>67630</v>
      </c>
      <c r="M13399" s="4"/>
      <c r="N13399" s="3" t="s">
        <v>37</v>
      </c>
      <c r="O13399" s="3" t="s">
        <v>38</v>
      </c>
      <c r="P13399" s="5">
        <v>20</v>
      </c>
      <c r="Q13399" s="5">
        <v>488</v>
      </c>
      <c r="R13399" s="5">
        <v>23</v>
      </c>
      <c r="S13399" s="5">
        <v>524</v>
      </c>
    </row>
    <row r="13400" spans="1:19" ht="28" x14ac:dyDescent="0.15">
      <c r="A13400" s="2">
        <f>HYPERLINK("https://open-school.uspishnemisto.com.ua/school/630739/", 630739)</f>
        <v>630739</v>
      </c>
      <c r="B13400" s="3" t="s">
        <v>67631</v>
      </c>
      <c r="C13400" s="3" t="s">
        <v>31</v>
      </c>
      <c r="D13400" s="3" t="s">
        <v>32</v>
      </c>
      <c r="E13400" s="4" t="s">
        <v>22</v>
      </c>
      <c r="F13400" s="4" t="s">
        <v>67632</v>
      </c>
      <c r="G13400" s="4" t="s">
        <v>67633</v>
      </c>
      <c r="H13400" s="3" t="s">
        <v>63948</v>
      </c>
      <c r="I13400" s="3" t="s">
        <v>67634</v>
      </c>
      <c r="J13400" s="3" t="s">
        <v>3370</v>
      </c>
      <c r="K13400" s="3" t="s">
        <v>67635</v>
      </c>
      <c r="L13400" s="3"/>
      <c r="M13400" s="4"/>
      <c r="N13400" s="3" t="s">
        <v>37</v>
      </c>
      <c r="O13400" s="3" t="s">
        <v>38</v>
      </c>
      <c r="P13400" s="5">
        <v>9</v>
      </c>
      <c r="Q13400" s="5">
        <v>93</v>
      </c>
      <c r="R13400" s="5">
        <v>9</v>
      </c>
      <c r="S13400" s="5">
        <v>85</v>
      </c>
    </row>
    <row r="13401" spans="1:19" ht="28" x14ac:dyDescent="0.15">
      <c r="A13401" s="2">
        <f>HYPERLINK("https://open-school.uspishnemisto.com.ua/school/630740/", 630740)</f>
        <v>630740</v>
      </c>
      <c r="B13401" s="3" t="s">
        <v>67636</v>
      </c>
      <c r="C13401" s="3" t="s">
        <v>31</v>
      </c>
      <c r="D13401" s="3" t="s">
        <v>32</v>
      </c>
      <c r="E13401" s="4" t="s">
        <v>22</v>
      </c>
      <c r="F13401" s="4" t="s">
        <v>67637</v>
      </c>
      <c r="G13401" s="4" t="s">
        <v>67638</v>
      </c>
      <c r="H13401" s="3" t="s">
        <v>63948</v>
      </c>
      <c r="I13401" s="3" t="s">
        <v>67639</v>
      </c>
      <c r="J13401" s="3" t="s">
        <v>2476</v>
      </c>
      <c r="K13401" s="3" t="s">
        <v>67640</v>
      </c>
      <c r="L13401" s="3" t="s">
        <v>67641</v>
      </c>
      <c r="M13401" s="4"/>
      <c r="N13401" s="3" t="s">
        <v>37</v>
      </c>
      <c r="O13401" s="3" t="s">
        <v>38</v>
      </c>
      <c r="P13401" s="5">
        <v>11</v>
      </c>
      <c r="Q13401" s="5">
        <v>145</v>
      </c>
      <c r="R13401" s="5">
        <v>11</v>
      </c>
      <c r="S13401" s="5">
        <v>147</v>
      </c>
    </row>
    <row r="13402" spans="1:19" ht="28" x14ac:dyDescent="0.15">
      <c r="A13402" s="2">
        <f>HYPERLINK("https://open-school.uspishnemisto.com.ua/school/630741/", 630741)</f>
        <v>630741</v>
      </c>
      <c r="B13402" s="3" t="s">
        <v>67642</v>
      </c>
      <c r="C13402" s="3" t="s">
        <v>31</v>
      </c>
      <c r="D13402" s="3" t="s">
        <v>32</v>
      </c>
      <c r="E13402" s="4" t="s">
        <v>22</v>
      </c>
      <c r="F13402" s="4" t="s">
        <v>67643</v>
      </c>
      <c r="G13402" s="4" t="s">
        <v>67644</v>
      </c>
      <c r="H13402" s="3" t="s">
        <v>63948</v>
      </c>
      <c r="I13402" s="3" t="s">
        <v>67384</v>
      </c>
      <c r="J13402" s="3" t="s">
        <v>13444</v>
      </c>
      <c r="K13402" s="3" t="s">
        <v>67645</v>
      </c>
      <c r="L13402" s="3" t="s">
        <v>67646</v>
      </c>
      <c r="M13402" s="4"/>
      <c r="N13402" s="3" t="s">
        <v>37</v>
      </c>
      <c r="O13402" s="3" t="s">
        <v>38</v>
      </c>
      <c r="P13402" s="5">
        <v>10</v>
      </c>
      <c r="Q13402" s="5">
        <v>72</v>
      </c>
      <c r="R13402" s="5">
        <v>10</v>
      </c>
      <c r="S13402" s="5">
        <v>68</v>
      </c>
    </row>
    <row r="13403" spans="1:19" ht="28" x14ac:dyDescent="0.15">
      <c r="A13403" s="2">
        <f>HYPERLINK("https://open-school.uspishnemisto.com.ua/school/630742/", 630742)</f>
        <v>630742</v>
      </c>
      <c r="B13403" s="3" t="s">
        <v>67647</v>
      </c>
      <c r="C13403" s="3" t="s">
        <v>31</v>
      </c>
      <c r="D13403" s="3" t="s">
        <v>32</v>
      </c>
      <c r="E13403" s="4" t="s">
        <v>22</v>
      </c>
      <c r="F13403" s="4" t="s">
        <v>67648</v>
      </c>
      <c r="G13403" s="4" t="s">
        <v>67649</v>
      </c>
      <c r="H13403" s="3" t="s">
        <v>63948</v>
      </c>
      <c r="I13403" s="3" t="s">
        <v>67650</v>
      </c>
      <c r="J13403" s="3" t="s">
        <v>6460</v>
      </c>
      <c r="K13403" s="3" t="s">
        <v>67651</v>
      </c>
      <c r="L13403" s="3"/>
      <c r="M13403" s="4"/>
      <c r="N13403" s="3" t="s">
        <v>37</v>
      </c>
      <c r="O13403" s="3" t="s">
        <v>52</v>
      </c>
      <c r="P13403" s="5">
        <v>14</v>
      </c>
      <c r="Q13403" s="5">
        <v>314</v>
      </c>
      <c r="R13403" s="5">
        <v>14</v>
      </c>
      <c r="S13403" s="5">
        <v>293</v>
      </c>
    </row>
    <row r="13404" spans="1:19" ht="28" x14ac:dyDescent="0.15">
      <c r="A13404" s="2">
        <f>HYPERLINK("https://open-school.uspishnemisto.com.ua/school/630743/", 630743)</f>
        <v>630743</v>
      </c>
      <c r="B13404" s="3" t="s">
        <v>67652</v>
      </c>
      <c r="C13404" s="3" t="s">
        <v>31</v>
      </c>
      <c r="D13404" s="3" t="s">
        <v>32</v>
      </c>
      <c r="E13404" s="4" t="s">
        <v>22</v>
      </c>
      <c r="F13404" s="4" t="s">
        <v>67653</v>
      </c>
      <c r="G13404" s="4" t="s">
        <v>67654</v>
      </c>
      <c r="H13404" s="3" t="s">
        <v>63948</v>
      </c>
      <c r="I13404" s="3" t="s">
        <v>67655</v>
      </c>
      <c r="J13404" s="3" t="s">
        <v>7871</v>
      </c>
      <c r="K13404" s="3" t="s">
        <v>67656</v>
      </c>
      <c r="L13404" s="3"/>
      <c r="M13404" s="4"/>
      <c r="N13404" s="3" t="s">
        <v>37</v>
      </c>
      <c r="O13404" s="3" t="s">
        <v>70</v>
      </c>
      <c r="P13404" s="5">
        <v>12</v>
      </c>
      <c r="Q13404" s="5">
        <v>252</v>
      </c>
      <c r="R13404" s="5">
        <v>12</v>
      </c>
      <c r="S13404" s="5">
        <v>267</v>
      </c>
    </row>
    <row r="13405" spans="1:19" ht="28" x14ac:dyDescent="0.15">
      <c r="A13405" s="2">
        <f>HYPERLINK("https://open-school.uspishnemisto.com.ua/school/630744/", 630744)</f>
        <v>630744</v>
      </c>
      <c r="B13405" s="3" t="s">
        <v>67657</v>
      </c>
      <c r="C13405" s="3" t="s">
        <v>2128</v>
      </c>
      <c r="D13405" s="3" t="s">
        <v>32</v>
      </c>
      <c r="E13405" s="4" t="s">
        <v>22</v>
      </c>
      <c r="F13405" s="4" t="s">
        <v>67653</v>
      </c>
      <c r="G13405" s="4" t="s">
        <v>67654</v>
      </c>
      <c r="H13405" s="3" t="s">
        <v>63948</v>
      </c>
      <c r="I13405" s="3" t="s">
        <v>67655</v>
      </c>
      <c r="J13405" s="3" t="s">
        <v>67658</v>
      </c>
      <c r="K13405" s="3" t="s">
        <v>67659</v>
      </c>
      <c r="L13405" s="3" t="s">
        <v>67660</v>
      </c>
      <c r="M13405" s="4"/>
      <c r="N13405" s="3" t="s">
        <v>128</v>
      </c>
      <c r="O13405" s="3" t="s">
        <v>70</v>
      </c>
      <c r="P13405" s="5">
        <v>50</v>
      </c>
      <c r="Q13405" s="5">
        <v>1188</v>
      </c>
      <c r="R13405" s="5">
        <v>62</v>
      </c>
      <c r="S13405" s="5">
        <v>1644</v>
      </c>
    </row>
    <row r="13406" spans="1:19" ht="28" x14ac:dyDescent="0.15">
      <c r="A13406" s="2">
        <f>HYPERLINK("https://open-school.uspishnemisto.com.ua/school/630806/", 630806)</f>
        <v>630806</v>
      </c>
      <c r="B13406" s="3" t="s">
        <v>67661</v>
      </c>
      <c r="C13406" s="3" t="s">
        <v>31</v>
      </c>
      <c r="D13406" s="3" t="s">
        <v>32</v>
      </c>
      <c r="E13406" s="4" t="s">
        <v>22</v>
      </c>
      <c r="F13406" s="4" t="s">
        <v>67662</v>
      </c>
      <c r="G13406" s="4" t="s">
        <v>67654</v>
      </c>
      <c r="H13406" s="3" t="s">
        <v>63948</v>
      </c>
      <c r="I13406" s="3" t="s">
        <v>67655</v>
      </c>
      <c r="J13406" s="3" t="s">
        <v>67663</v>
      </c>
      <c r="K13406" s="3"/>
      <c r="L13406" s="3"/>
      <c r="M13406" s="4"/>
      <c r="N13406" s="3" t="s">
        <v>37</v>
      </c>
      <c r="O13406" s="3" t="s">
        <v>38</v>
      </c>
      <c r="P13406" s="5">
        <v>25</v>
      </c>
      <c r="Q13406" s="5">
        <v>701</v>
      </c>
      <c r="R13406" s="5"/>
      <c r="S13406" s="5"/>
    </row>
    <row r="13407" spans="1:19" ht="28" x14ac:dyDescent="0.15">
      <c r="A13407" s="2">
        <f>HYPERLINK("https://open-school.uspishnemisto.com.ua/school/630745/", 630745)</f>
        <v>630745</v>
      </c>
      <c r="B13407" s="3" t="s">
        <v>67664</v>
      </c>
      <c r="C13407" s="3" t="s">
        <v>31</v>
      </c>
      <c r="D13407" s="3" t="s">
        <v>32</v>
      </c>
      <c r="E13407" s="4" t="s">
        <v>22</v>
      </c>
      <c r="F13407" s="4" t="s">
        <v>67665</v>
      </c>
      <c r="G13407" s="4" t="s">
        <v>67666</v>
      </c>
      <c r="H13407" s="3" t="s">
        <v>63948</v>
      </c>
      <c r="I13407" s="3" t="s">
        <v>67667</v>
      </c>
      <c r="J13407" s="3" t="s">
        <v>67668</v>
      </c>
      <c r="K13407" s="3" t="s">
        <v>67669</v>
      </c>
      <c r="L13407" s="3"/>
      <c r="M13407" s="4"/>
      <c r="N13407" s="3" t="s">
        <v>967</v>
      </c>
      <c r="O13407" s="3" t="s">
        <v>52</v>
      </c>
      <c r="P13407" s="5">
        <v>11</v>
      </c>
      <c r="Q13407" s="5">
        <v>206</v>
      </c>
      <c r="R13407" s="5">
        <v>11</v>
      </c>
      <c r="S13407" s="5">
        <v>192</v>
      </c>
    </row>
    <row r="13408" spans="1:19" ht="28" x14ac:dyDescent="0.15">
      <c r="A13408" s="2">
        <f>HYPERLINK("https://open-school.uspishnemisto.com.ua/school/630746/", 630746)</f>
        <v>630746</v>
      </c>
      <c r="B13408" s="3" t="s">
        <v>67670</v>
      </c>
      <c r="C13408" s="3" t="s">
        <v>188</v>
      </c>
      <c r="D13408" s="3" t="s">
        <v>32</v>
      </c>
      <c r="E13408" s="4" t="s">
        <v>22</v>
      </c>
      <c r="F13408" s="4" t="s">
        <v>67665</v>
      </c>
      <c r="G13408" s="4" t="s">
        <v>67666</v>
      </c>
      <c r="H13408" s="3" t="s">
        <v>63948</v>
      </c>
      <c r="I13408" s="3" t="s">
        <v>67667</v>
      </c>
      <c r="J13408" s="3" t="s">
        <v>67671</v>
      </c>
      <c r="K13408" s="3" t="s">
        <v>67672</v>
      </c>
      <c r="L13408" s="3" t="s">
        <v>67673</v>
      </c>
      <c r="M13408" s="4"/>
      <c r="N13408" s="3" t="s">
        <v>37</v>
      </c>
      <c r="O13408" s="3" t="s">
        <v>38</v>
      </c>
      <c r="P13408" s="5">
        <v>28</v>
      </c>
      <c r="Q13408" s="5">
        <v>675</v>
      </c>
      <c r="R13408" s="5">
        <v>27</v>
      </c>
      <c r="S13408" s="5">
        <v>664</v>
      </c>
    </row>
    <row r="13409" spans="1:19" ht="28" x14ac:dyDescent="0.15">
      <c r="A13409" s="2">
        <f>HYPERLINK("https://open-school.uspishnemisto.com.ua/school/630747/", 630747)</f>
        <v>630747</v>
      </c>
      <c r="B13409" s="3" t="s">
        <v>67674</v>
      </c>
      <c r="C13409" s="3" t="s">
        <v>40</v>
      </c>
      <c r="D13409" s="3" t="s">
        <v>32</v>
      </c>
      <c r="E13409" s="4" t="s">
        <v>22</v>
      </c>
      <c r="F13409" s="4" t="s">
        <v>67675</v>
      </c>
      <c r="G13409" s="4" t="s">
        <v>67676</v>
      </c>
      <c r="H13409" s="3" t="s">
        <v>63948</v>
      </c>
      <c r="I13409" s="3" t="s">
        <v>67677</v>
      </c>
      <c r="J13409" s="3" t="s">
        <v>67678</v>
      </c>
      <c r="K13409" s="3" t="s">
        <v>67679</v>
      </c>
      <c r="L13409" s="3" t="s">
        <v>67680</v>
      </c>
      <c r="M13409" s="4"/>
      <c r="N13409" s="3" t="s">
        <v>37</v>
      </c>
      <c r="O13409" s="3" t="s">
        <v>46</v>
      </c>
      <c r="P13409" s="5">
        <v>16</v>
      </c>
      <c r="Q13409" s="5">
        <v>401</v>
      </c>
      <c r="R13409" s="5">
        <v>16</v>
      </c>
      <c r="S13409" s="5">
        <v>374</v>
      </c>
    </row>
    <row r="13410" spans="1:19" ht="28" x14ac:dyDescent="0.15">
      <c r="A13410" s="2">
        <f>HYPERLINK("https://open-school.uspishnemisto.com.ua/school/630748/", 630748)</f>
        <v>630748</v>
      </c>
      <c r="B13410" s="3" t="s">
        <v>67681</v>
      </c>
      <c r="C13410" s="3" t="s">
        <v>188</v>
      </c>
      <c r="D13410" s="3" t="s">
        <v>32</v>
      </c>
      <c r="E13410" s="4" t="s">
        <v>22</v>
      </c>
      <c r="F13410" s="4" t="s">
        <v>67682</v>
      </c>
      <c r="G13410" s="4" t="s">
        <v>67683</v>
      </c>
      <c r="H13410" s="3" t="s">
        <v>63948</v>
      </c>
      <c r="I13410" s="3" t="s">
        <v>67684</v>
      </c>
      <c r="J13410" s="3" t="s">
        <v>67685</v>
      </c>
      <c r="K13410" s="3" t="s">
        <v>67686</v>
      </c>
      <c r="L13410" s="3"/>
      <c r="M13410" s="4"/>
      <c r="N13410" s="3" t="s">
        <v>37</v>
      </c>
      <c r="O13410" s="3" t="s">
        <v>38</v>
      </c>
      <c r="P13410" s="5">
        <v>20</v>
      </c>
      <c r="Q13410" s="5">
        <v>456</v>
      </c>
      <c r="R13410" s="5">
        <v>19</v>
      </c>
      <c r="S13410" s="5">
        <v>440</v>
      </c>
    </row>
    <row r="13411" spans="1:19" ht="28" x14ac:dyDescent="0.15">
      <c r="A13411" s="2">
        <f>HYPERLINK("https://open-school.uspishnemisto.com.ua/school/630749/", 630749)</f>
        <v>630749</v>
      </c>
      <c r="B13411" s="3" t="s">
        <v>67687</v>
      </c>
      <c r="C13411" s="3" t="s">
        <v>31</v>
      </c>
      <c r="D13411" s="3" t="s">
        <v>32</v>
      </c>
      <c r="E13411" s="4" t="s">
        <v>22</v>
      </c>
      <c r="F13411" s="4" t="s">
        <v>67688</v>
      </c>
      <c r="G13411" s="4" t="s">
        <v>67689</v>
      </c>
      <c r="H13411" s="3" t="s">
        <v>63948</v>
      </c>
      <c r="I13411" s="3" t="s">
        <v>67690</v>
      </c>
      <c r="J13411" s="3" t="s">
        <v>67691</v>
      </c>
      <c r="K13411" s="3" t="s">
        <v>67692</v>
      </c>
      <c r="L13411" s="3" t="s">
        <v>67693</v>
      </c>
      <c r="M13411" s="4"/>
      <c r="N13411" s="3" t="s">
        <v>37</v>
      </c>
      <c r="O13411" s="3" t="s">
        <v>38</v>
      </c>
      <c r="P13411" s="5">
        <v>10</v>
      </c>
      <c r="Q13411" s="5">
        <v>102</v>
      </c>
      <c r="R13411" s="5">
        <v>11</v>
      </c>
      <c r="S13411" s="5">
        <v>113</v>
      </c>
    </row>
    <row r="13412" spans="1:19" ht="42" x14ac:dyDescent="0.15">
      <c r="A13412" s="2">
        <f>HYPERLINK("https://open-school.uspishnemisto.com.ua/school/630750/", 630750)</f>
        <v>630750</v>
      </c>
      <c r="B13412" s="3" t="s">
        <v>67694</v>
      </c>
      <c r="C13412" s="3" t="s">
        <v>31</v>
      </c>
      <c r="D13412" s="3" t="s">
        <v>32</v>
      </c>
      <c r="E13412" s="4" t="s">
        <v>22</v>
      </c>
      <c r="F13412" s="4" t="s">
        <v>67695</v>
      </c>
      <c r="G13412" s="4" t="s">
        <v>67696</v>
      </c>
      <c r="H13412" s="3" t="s">
        <v>63948</v>
      </c>
      <c r="I13412" s="3" t="s">
        <v>67697</v>
      </c>
      <c r="J13412" s="3" t="s">
        <v>67698</v>
      </c>
      <c r="K13412" s="3" t="s">
        <v>67699</v>
      </c>
      <c r="L13412" s="3" t="s">
        <v>67700</v>
      </c>
      <c r="M13412" s="4"/>
      <c r="N13412" s="3" t="s">
        <v>37</v>
      </c>
      <c r="O13412" s="3" t="s">
        <v>70</v>
      </c>
      <c r="P13412" s="5">
        <v>12</v>
      </c>
      <c r="Q13412" s="5">
        <v>280</v>
      </c>
      <c r="R13412" s="5">
        <v>11</v>
      </c>
      <c r="S13412" s="5">
        <v>259</v>
      </c>
    </row>
    <row r="13413" spans="1:19" ht="28" x14ac:dyDescent="0.15">
      <c r="A13413" s="2">
        <f>HYPERLINK("https://open-school.uspishnemisto.com.ua/school/630751/", 630751)</f>
        <v>630751</v>
      </c>
      <c r="B13413" s="3" t="s">
        <v>67701</v>
      </c>
      <c r="C13413" s="3" t="s">
        <v>31</v>
      </c>
      <c r="D13413" s="3" t="s">
        <v>32</v>
      </c>
      <c r="E13413" s="4" t="s">
        <v>22</v>
      </c>
      <c r="F13413" s="4" t="s">
        <v>67702</v>
      </c>
      <c r="G13413" s="4" t="s">
        <v>67703</v>
      </c>
      <c r="H13413" s="3" t="s">
        <v>63948</v>
      </c>
      <c r="I13413" s="3" t="s">
        <v>6822</v>
      </c>
      <c r="J13413" s="3" t="s">
        <v>67704</v>
      </c>
      <c r="K13413" s="3" t="s">
        <v>67705</v>
      </c>
      <c r="L13413" s="3"/>
      <c r="M13413" s="4"/>
      <c r="N13413" s="3" t="s">
        <v>37</v>
      </c>
      <c r="O13413" s="3" t="s">
        <v>38</v>
      </c>
      <c r="P13413" s="5">
        <v>11</v>
      </c>
      <c r="Q13413" s="5">
        <v>133</v>
      </c>
      <c r="R13413" s="5">
        <v>11</v>
      </c>
      <c r="S13413" s="5">
        <v>123</v>
      </c>
    </row>
    <row r="13414" spans="1:19" ht="28" x14ac:dyDescent="0.15">
      <c r="A13414" s="2">
        <f>HYPERLINK("https://open-school.uspishnemisto.com.ua/school/630752/", 630752)</f>
        <v>630752</v>
      </c>
      <c r="B13414" s="3" t="s">
        <v>67706</v>
      </c>
      <c r="C13414" s="3" t="s">
        <v>31</v>
      </c>
      <c r="D13414" s="3" t="s">
        <v>32</v>
      </c>
      <c r="E13414" s="4" t="s">
        <v>22</v>
      </c>
      <c r="F13414" s="4" t="s">
        <v>67707</v>
      </c>
      <c r="G13414" s="4" t="s">
        <v>67708</v>
      </c>
      <c r="H13414" s="3" t="s">
        <v>63948</v>
      </c>
      <c r="I13414" s="3" t="s">
        <v>23117</v>
      </c>
      <c r="J13414" s="3" t="s">
        <v>792</v>
      </c>
      <c r="K13414" s="3" t="s">
        <v>67709</v>
      </c>
      <c r="L13414" s="3" t="s">
        <v>67710</v>
      </c>
      <c r="M13414" s="4"/>
      <c r="N13414" s="3" t="s">
        <v>37</v>
      </c>
      <c r="O13414" s="3" t="s">
        <v>38</v>
      </c>
      <c r="P13414" s="5">
        <v>11</v>
      </c>
      <c r="Q13414" s="5">
        <v>142</v>
      </c>
      <c r="R13414" s="5">
        <v>11</v>
      </c>
      <c r="S13414" s="5">
        <v>131</v>
      </c>
    </row>
    <row r="13415" spans="1:19" ht="28" x14ac:dyDescent="0.15">
      <c r="A13415" s="2">
        <f>HYPERLINK("https://open-school.uspishnemisto.com.ua/school/630753/", 630753)</f>
        <v>630753</v>
      </c>
      <c r="B13415" s="3" t="s">
        <v>67711</v>
      </c>
      <c r="C13415" s="3" t="s">
        <v>31</v>
      </c>
      <c r="D13415" s="3" t="s">
        <v>175</v>
      </c>
      <c r="E13415" s="4" t="s">
        <v>22</v>
      </c>
      <c r="F13415" s="4" t="s">
        <v>67712</v>
      </c>
      <c r="G13415" s="4" t="s">
        <v>67713</v>
      </c>
      <c r="H13415" s="3" t="s">
        <v>63948</v>
      </c>
      <c r="I13415" s="3" t="s">
        <v>67714</v>
      </c>
      <c r="J13415" s="3" t="s">
        <v>6332</v>
      </c>
      <c r="K13415" s="3" t="s">
        <v>67715</v>
      </c>
      <c r="L13415" s="3" t="s">
        <v>67716</v>
      </c>
      <c r="M13415" s="4"/>
      <c r="N13415" s="3" t="s">
        <v>37</v>
      </c>
      <c r="O13415" s="3" t="s">
        <v>112</v>
      </c>
      <c r="P13415" s="5">
        <v>7</v>
      </c>
      <c r="Q13415" s="5">
        <v>55</v>
      </c>
      <c r="R13415" s="5">
        <v>9</v>
      </c>
      <c r="S13415" s="5">
        <v>63</v>
      </c>
    </row>
    <row r="13416" spans="1:19" ht="28" x14ac:dyDescent="0.15">
      <c r="A13416" s="2">
        <f>HYPERLINK("https://open-school.uspishnemisto.com.ua/school/630754/", 630754)</f>
        <v>630754</v>
      </c>
      <c r="B13416" s="3" t="s">
        <v>67717</v>
      </c>
      <c r="C13416" s="3" t="s">
        <v>31</v>
      </c>
      <c r="D13416" s="3" t="s">
        <v>32</v>
      </c>
      <c r="E13416" s="4" t="s">
        <v>22</v>
      </c>
      <c r="F13416" s="4" t="s">
        <v>67718</v>
      </c>
      <c r="G13416" s="4" t="s">
        <v>67719</v>
      </c>
      <c r="H13416" s="3" t="s">
        <v>63948</v>
      </c>
      <c r="I13416" s="3" t="s">
        <v>67720</v>
      </c>
      <c r="J13416" s="3" t="s">
        <v>5632</v>
      </c>
      <c r="K13416" s="3" t="s">
        <v>67721</v>
      </c>
      <c r="L13416" s="3" t="s">
        <v>67722</v>
      </c>
      <c r="M13416" s="4"/>
      <c r="N13416" s="3" t="s">
        <v>967</v>
      </c>
      <c r="O13416" s="3" t="s">
        <v>52</v>
      </c>
      <c r="P13416" s="5">
        <v>11</v>
      </c>
      <c r="Q13416" s="5">
        <v>122</v>
      </c>
      <c r="R13416" s="5">
        <v>11</v>
      </c>
      <c r="S13416" s="5">
        <v>123</v>
      </c>
    </row>
    <row r="13417" spans="1:19" ht="28" x14ac:dyDescent="0.15">
      <c r="A13417" s="2">
        <f>HYPERLINK("https://open-school.uspishnemisto.com.ua/school/630755/", 630755)</f>
        <v>630755</v>
      </c>
      <c r="B13417" s="3" t="s">
        <v>67723</v>
      </c>
      <c r="C13417" s="3" t="s">
        <v>31</v>
      </c>
      <c r="D13417" s="3" t="s">
        <v>32</v>
      </c>
      <c r="E13417" s="4" t="s">
        <v>22</v>
      </c>
      <c r="F13417" s="4" t="s">
        <v>67724</v>
      </c>
      <c r="G13417" s="4" t="s">
        <v>67725</v>
      </c>
      <c r="H13417" s="3" t="s">
        <v>63948</v>
      </c>
      <c r="I13417" s="3" t="s">
        <v>67726</v>
      </c>
      <c r="J13417" s="3" t="s">
        <v>67727</v>
      </c>
      <c r="K13417" s="3" t="s">
        <v>67728</v>
      </c>
      <c r="L13417" s="3" t="s">
        <v>67729</v>
      </c>
      <c r="M13417" s="4"/>
      <c r="N13417" s="3" t="s">
        <v>967</v>
      </c>
      <c r="O13417" s="3" t="s">
        <v>46</v>
      </c>
      <c r="P13417" s="5">
        <v>11</v>
      </c>
      <c r="Q13417" s="5">
        <v>188</v>
      </c>
      <c r="R13417" s="5">
        <v>11</v>
      </c>
      <c r="S13417" s="5">
        <v>191</v>
      </c>
    </row>
    <row r="13418" spans="1:19" ht="28" x14ac:dyDescent="0.15">
      <c r="A13418" s="2">
        <f>HYPERLINK("https://open-school.uspishnemisto.com.ua/school/630756/", 630756)</f>
        <v>630756</v>
      </c>
      <c r="B13418" s="3" t="s">
        <v>67730</v>
      </c>
      <c r="C13418" s="3" t="s">
        <v>31</v>
      </c>
      <c r="D13418" s="3" t="s">
        <v>32</v>
      </c>
      <c r="E13418" s="4" t="s">
        <v>22</v>
      </c>
      <c r="F13418" s="4" t="s">
        <v>67724</v>
      </c>
      <c r="G13418" s="4" t="s">
        <v>67725</v>
      </c>
      <c r="H13418" s="3" t="s">
        <v>63948</v>
      </c>
      <c r="I13418" s="3" t="s">
        <v>67726</v>
      </c>
      <c r="J13418" s="3" t="s">
        <v>30797</v>
      </c>
      <c r="K13418" s="3" t="s">
        <v>67731</v>
      </c>
      <c r="L13418" s="3" t="s">
        <v>67732</v>
      </c>
      <c r="M13418" s="4"/>
      <c r="N13418" s="3" t="s">
        <v>37</v>
      </c>
      <c r="O13418" s="3" t="s">
        <v>38</v>
      </c>
      <c r="P13418" s="5">
        <v>11</v>
      </c>
      <c r="Q13418" s="5">
        <v>173</v>
      </c>
      <c r="R13418" s="5">
        <v>11</v>
      </c>
      <c r="S13418" s="5">
        <v>171</v>
      </c>
    </row>
    <row r="13419" spans="1:19" ht="28" x14ac:dyDescent="0.15">
      <c r="A13419" s="2">
        <f>HYPERLINK("https://open-school.uspishnemisto.com.ua/school/630757/", 630757)</f>
        <v>630757</v>
      </c>
      <c r="B13419" s="3" t="s">
        <v>67733</v>
      </c>
      <c r="C13419" s="3" t="s">
        <v>31</v>
      </c>
      <c r="D13419" s="3" t="s">
        <v>32</v>
      </c>
      <c r="E13419" s="4" t="s">
        <v>22</v>
      </c>
      <c r="F13419" s="4" t="s">
        <v>67724</v>
      </c>
      <c r="G13419" s="4" t="s">
        <v>67725</v>
      </c>
      <c r="H13419" s="3" t="s">
        <v>63948</v>
      </c>
      <c r="I13419" s="3" t="s">
        <v>67726</v>
      </c>
      <c r="J13419" s="3" t="s">
        <v>67734</v>
      </c>
      <c r="K13419" s="3" t="s">
        <v>67735</v>
      </c>
      <c r="L13419" s="3" t="s">
        <v>67736</v>
      </c>
      <c r="M13419" s="4"/>
      <c r="N13419" s="3" t="s">
        <v>37</v>
      </c>
      <c r="O13419" s="3" t="s">
        <v>38</v>
      </c>
      <c r="P13419" s="5">
        <v>11</v>
      </c>
      <c r="Q13419" s="5">
        <v>152</v>
      </c>
      <c r="R13419" s="5">
        <v>11</v>
      </c>
      <c r="S13419" s="5">
        <v>152</v>
      </c>
    </row>
    <row r="13420" spans="1:19" ht="28" x14ac:dyDescent="0.15">
      <c r="A13420" s="2">
        <f>HYPERLINK("https://open-school.uspishnemisto.com.ua/school/630758/", 630758)</f>
        <v>630758</v>
      </c>
      <c r="B13420" s="3" t="s">
        <v>67737</v>
      </c>
      <c r="C13420" s="3" t="s">
        <v>31</v>
      </c>
      <c r="D13420" s="3" t="s">
        <v>32</v>
      </c>
      <c r="E13420" s="4" t="s">
        <v>22</v>
      </c>
      <c r="F13420" s="4" t="s">
        <v>67738</v>
      </c>
      <c r="G13420" s="4" t="s">
        <v>67739</v>
      </c>
      <c r="H13420" s="3" t="s">
        <v>63948</v>
      </c>
      <c r="I13420" s="3" t="s">
        <v>67740</v>
      </c>
      <c r="J13420" s="3" t="s">
        <v>946</v>
      </c>
      <c r="K13420" s="3" t="s">
        <v>67741</v>
      </c>
      <c r="L13420" s="3" t="s">
        <v>67742</v>
      </c>
      <c r="M13420" s="4"/>
      <c r="N13420" s="3" t="s">
        <v>37</v>
      </c>
      <c r="O13420" s="3" t="s">
        <v>38</v>
      </c>
      <c r="P13420" s="5">
        <v>11</v>
      </c>
      <c r="Q13420" s="5">
        <v>117</v>
      </c>
      <c r="R13420" s="5">
        <v>11</v>
      </c>
      <c r="S13420" s="5">
        <v>119</v>
      </c>
    </row>
    <row r="13421" spans="1:19" ht="42" x14ac:dyDescent="0.15">
      <c r="A13421" s="2">
        <f>HYPERLINK("https://open-school.uspishnemisto.com.ua/school/630759/", 630759)</f>
        <v>630759</v>
      </c>
      <c r="B13421" s="3" t="s">
        <v>67743</v>
      </c>
      <c r="C13421" s="3" t="s">
        <v>31</v>
      </c>
      <c r="D13421" s="3" t="s">
        <v>175</v>
      </c>
      <c r="E13421" s="4" t="s">
        <v>22</v>
      </c>
      <c r="F13421" s="4" t="s">
        <v>67744</v>
      </c>
      <c r="G13421" s="4" t="s">
        <v>67745</v>
      </c>
      <c r="H13421" s="3" t="s">
        <v>63948</v>
      </c>
      <c r="I13421" s="3" t="s">
        <v>11929</v>
      </c>
      <c r="J13421" s="3" t="s">
        <v>6438</v>
      </c>
      <c r="K13421" s="3" t="s">
        <v>67746</v>
      </c>
      <c r="L13421" s="3" t="s">
        <v>67747</v>
      </c>
      <c r="M13421" s="4"/>
      <c r="N13421" s="3" t="s">
        <v>37</v>
      </c>
      <c r="O13421" s="3" t="s">
        <v>38</v>
      </c>
      <c r="P13421" s="5">
        <v>4</v>
      </c>
      <c r="Q13421" s="5">
        <v>40</v>
      </c>
      <c r="R13421" s="5">
        <v>4</v>
      </c>
      <c r="S13421" s="5">
        <v>39</v>
      </c>
    </row>
    <row r="13422" spans="1:19" ht="28" x14ac:dyDescent="0.15">
      <c r="A13422" s="2">
        <f>HYPERLINK("https://open-school.uspishnemisto.com.ua/school/630760/", 630760)</f>
        <v>630760</v>
      </c>
      <c r="B13422" s="3" t="s">
        <v>67748</v>
      </c>
      <c r="C13422" s="3" t="s">
        <v>31</v>
      </c>
      <c r="D13422" s="3" t="s">
        <v>32</v>
      </c>
      <c r="E13422" s="4" t="s">
        <v>22</v>
      </c>
      <c r="F13422" s="4" t="s">
        <v>67749</v>
      </c>
      <c r="G13422" s="4" t="s">
        <v>67750</v>
      </c>
      <c r="H13422" s="3" t="s">
        <v>63948</v>
      </c>
      <c r="I13422" s="3" t="s">
        <v>67751</v>
      </c>
      <c r="J13422" s="3" t="s">
        <v>67752</v>
      </c>
      <c r="K13422" s="3" t="s">
        <v>67753</v>
      </c>
      <c r="L13422" s="3" t="s">
        <v>67754</v>
      </c>
      <c r="M13422" s="4"/>
      <c r="N13422" s="3" t="s">
        <v>37</v>
      </c>
      <c r="O13422" s="3" t="s">
        <v>38</v>
      </c>
      <c r="P13422" s="5">
        <v>9</v>
      </c>
      <c r="Q13422" s="5">
        <v>163</v>
      </c>
      <c r="R13422" s="5">
        <v>10</v>
      </c>
      <c r="S13422" s="5">
        <v>169</v>
      </c>
    </row>
    <row r="13423" spans="1:19" ht="42" x14ac:dyDescent="0.15">
      <c r="A13423" s="2">
        <f>HYPERLINK("https://open-school.uspishnemisto.com.ua/school/630761/", 630761)</f>
        <v>630761</v>
      </c>
      <c r="B13423" s="3" t="s">
        <v>67755</v>
      </c>
      <c r="C13423" s="3" t="s">
        <v>31</v>
      </c>
      <c r="D13423" s="3" t="s">
        <v>32</v>
      </c>
      <c r="E13423" s="4" t="s">
        <v>22</v>
      </c>
      <c r="F13423" s="4" t="s">
        <v>67756</v>
      </c>
      <c r="G13423" s="4" t="s">
        <v>67757</v>
      </c>
      <c r="H13423" s="3" t="s">
        <v>63948</v>
      </c>
      <c r="I13423" s="3" t="s">
        <v>67758</v>
      </c>
      <c r="J13423" s="3" t="s">
        <v>67759</v>
      </c>
      <c r="K13423" s="3" t="s">
        <v>67760</v>
      </c>
      <c r="L13423" s="3" t="s">
        <v>67761</v>
      </c>
      <c r="M13423" s="4"/>
      <c r="N13423" s="3" t="s">
        <v>37</v>
      </c>
      <c r="O13423" s="3" t="s">
        <v>38</v>
      </c>
      <c r="P13423" s="5">
        <v>10</v>
      </c>
      <c r="Q13423" s="5">
        <v>214</v>
      </c>
      <c r="R13423" s="5">
        <v>10</v>
      </c>
      <c r="S13423" s="5">
        <v>202</v>
      </c>
    </row>
    <row r="13424" spans="1:19" ht="28" x14ac:dyDescent="0.15">
      <c r="A13424" s="2">
        <f>HYPERLINK("https://open-school.uspishnemisto.com.ua/school/630762/", 630762)</f>
        <v>630762</v>
      </c>
      <c r="B13424" s="3" t="s">
        <v>67762</v>
      </c>
      <c r="C13424" s="3" t="s">
        <v>31</v>
      </c>
      <c r="D13424" s="3" t="s">
        <v>32</v>
      </c>
      <c r="E13424" s="4" t="s">
        <v>22</v>
      </c>
      <c r="F13424" s="4" t="s">
        <v>67763</v>
      </c>
      <c r="G13424" s="4" t="s">
        <v>67764</v>
      </c>
      <c r="H13424" s="3" t="s">
        <v>63948</v>
      </c>
      <c r="I13424" s="3" t="s">
        <v>67765</v>
      </c>
      <c r="J13424" s="3" t="s">
        <v>67766</v>
      </c>
      <c r="K13424" s="3" t="s">
        <v>67767</v>
      </c>
      <c r="L13424" s="3" t="s">
        <v>67768</v>
      </c>
      <c r="M13424" s="4"/>
      <c r="N13424" s="3" t="s">
        <v>37</v>
      </c>
      <c r="O13424" s="3" t="s">
        <v>38</v>
      </c>
      <c r="P13424" s="5">
        <v>13</v>
      </c>
      <c r="Q13424" s="5">
        <v>301</v>
      </c>
      <c r="R13424" s="5">
        <v>13</v>
      </c>
      <c r="S13424" s="5">
        <v>287</v>
      </c>
    </row>
    <row r="13425" spans="1:19" ht="28" x14ac:dyDescent="0.15">
      <c r="A13425" s="2">
        <f>HYPERLINK("https://open-school.uspishnemisto.com.ua/school/630763/", 630763)</f>
        <v>630763</v>
      </c>
      <c r="B13425" s="3" t="s">
        <v>67769</v>
      </c>
      <c r="C13425" s="3" t="s">
        <v>31</v>
      </c>
      <c r="D13425" s="3" t="s">
        <v>32</v>
      </c>
      <c r="E13425" s="4" t="s">
        <v>22</v>
      </c>
      <c r="F13425" s="4" t="s">
        <v>67770</v>
      </c>
      <c r="G13425" s="4" t="s">
        <v>67771</v>
      </c>
      <c r="H13425" s="3" t="s">
        <v>63948</v>
      </c>
      <c r="I13425" s="3" t="s">
        <v>5393</v>
      </c>
      <c r="J13425" s="3" t="s">
        <v>634</v>
      </c>
      <c r="K13425" s="3" t="s">
        <v>67772</v>
      </c>
      <c r="L13425" s="3" t="s">
        <v>67773</v>
      </c>
      <c r="M13425" s="4"/>
      <c r="N13425" s="3" t="s">
        <v>37</v>
      </c>
      <c r="O13425" s="3" t="s">
        <v>38</v>
      </c>
      <c r="P13425" s="5">
        <v>10</v>
      </c>
      <c r="Q13425" s="5">
        <v>153</v>
      </c>
      <c r="R13425" s="5">
        <v>10</v>
      </c>
      <c r="S13425" s="5">
        <v>156</v>
      </c>
    </row>
    <row r="13426" spans="1:19" ht="56" x14ac:dyDescent="0.15">
      <c r="A13426" s="2">
        <f>HYPERLINK("https://open-school.uspishnemisto.com.ua/school/630764/", 630764)</f>
        <v>630764</v>
      </c>
      <c r="B13426" s="3" t="s">
        <v>67774</v>
      </c>
      <c r="C13426" s="3" t="s">
        <v>54</v>
      </c>
      <c r="D13426" s="3" t="s">
        <v>175</v>
      </c>
      <c r="E13426" s="4" t="s">
        <v>22</v>
      </c>
      <c r="F13426" s="4" t="s">
        <v>67775</v>
      </c>
      <c r="G13426" s="4" t="s">
        <v>67776</v>
      </c>
      <c r="H13426" s="3" t="s">
        <v>63948</v>
      </c>
      <c r="I13426" s="3" t="s">
        <v>67777</v>
      </c>
      <c r="J13426" s="3" t="s">
        <v>67778</v>
      </c>
      <c r="K13426" s="3" t="s">
        <v>67779</v>
      </c>
      <c r="L13426" s="3"/>
      <c r="M13426" s="4"/>
      <c r="N13426" s="3" t="s">
        <v>967</v>
      </c>
      <c r="O13426" s="3" t="s">
        <v>46</v>
      </c>
      <c r="P13426" s="5">
        <v>3</v>
      </c>
      <c r="Q13426" s="5">
        <v>18</v>
      </c>
      <c r="R13426" s="5">
        <v>4</v>
      </c>
      <c r="S13426" s="5">
        <v>27</v>
      </c>
    </row>
    <row r="13427" spans="1:19" ht="28" x14ac:dyDescent="0.15">
      <c r="A13427" s="2">
        <f>HYPERLINK("https://open-school.uspishnemisto.com.ua/school/630765/", 630765)</f>
        <v>630765</v>
      </c>
      <c r="B13427" s="3" t="s">
        <v>67780</v>
      </c>
      <c r="C13427" s="3" t="s">
        <v>31</v>
      </c>
      <c r="D13427" s="3" t="s">
        <v>32</v>
      </c>
      <c r="E13427" s="4" t="s">
        <v>22</v>
      </c>
      <c r="F13427" s="4" t="s">
        <v>67781</v>
      </c>
      <c r="G13427" s="4" t="s">
        <v>67782</v>
      </c>
      <c r="H13427" s="3" t="s">
        <v>63948</v>
      </c>
      <c r="I13427" s="3" t="s">
        <v>1752</v>
      </c>
      <c r="J13427" s="3" t="s">
        <v>2584</v>
      </c>
      <c r="K13427" s="3" t="s">
        <v>67783</v>
      </c>
      <c r="L13427" s="3" t="s">
        <v>67784</v>
      </c>
      <c r="M13427" s="4"/>
      <c r="N13427" s="3" t="s">
        <v>37</v>
      </c>
      <c r="O13427" s="3" t="s">
        <v>618</v>
      </c>
      <c r="P13427" s="5">
        <v>6</v>
      </c>
      <c r="Q13427" s="5">
        <v>39</v>
      </c>
      <c r="R13427" s="5">
        <v>7</v>
      </c>
      <c r="S13427" s="5">
        <v>46</v>
      </c>
    </row>
    <row r="13428" spans="1:19" ht="28" x14ac:dyDescent="0.15">
      <c r="A13428" s="2">
        <f>HYPERLINK("https://open-school.uspishnemisto.com.ua/school/630766/", 630766)</f>
        <v>630766</v>
      </c>
      <c r="B13428" s="3" t="s">
        <v>67785</v>
      </c>
      <c r="C13428" s="3" t="s">
        <v>31</v>
      </c>
      <c r="D13428" s="3" t="s">
        <v>32</v>
      </c>
      <c r="E13428" s="4" t="s">
        <v>22</v>
      </c>
      <c r="F13428" s="4" t="s">
        <v>67786</v>
      </c>
      <c r="G13428" s="4" t="s">
        <v>67787</v>
      </c>
      <c r="H13428" s="3" t="s">
        <v>63948</v>
      </c>
      <c r="I13428" s="3" t="s">
        <v>67788</v>
      </c>
      <c r="J13428" s="3" t="s">
        <v>33694</v>
      </c>
      <c r="K13428" s="3" t="s">
        <v>67789</v>
      </c>
      <c r="L13428" s="3"/>
      <c r="M13428" s="4"/>
      <c r="N13428" s="3" t="s">
        <v>37</v>
      </c>
      <c r="O13428" s="3" t="s">
        <v>38</v>
      </c>
      <c r="P13428" s="5">
        <v>18</v>
      </c>
      <c r="Q13428" s="5">
        <v>359</v>
      </c>
      <c r="R13428" s="5">
        <v>18</v>
      </c>
      <c r="S13428" s="5">
        <v>346</v>
      </c>
    </row>
    <row r="13429" spans="1:19" ht="28" x14ac:dyDescent="0.15">
      <c r="A13429" s="2">
        <f>HYPERLINK("https://open-school.uspishnemisto.com.ua/school/630767/", 630767)</f>
        <v>630767</v>
      </c>
      <c r="B13429" s="3" t="s">
        <v>67790</v>
      </c>
      <c r="C13429" s="3" t="s">
        <v>31</v>
      </c>
      <c r="D13429" s="3" t="s">
        <v>32</v>
      </c>
      <c r="E13429" s="4" t="s">
        <v>22</v>
      </c>
      <c r="F13429" s="4" t="s">
        <v>67791</v>
      </c>
      <c r="G13429" s="4" t="s">
        <v>67792</v>
      </c>
      <c r="H13429" s="3" t="s">
        <v>63948</v>
      </c>
      <c r="I13429" s="3" t="s">
        <v>12772</v>
      </c>
      <c r="J13429" s="3" t="s">
        <v>2417</v>
      </c>
      <c r="K13429" s="3" t="s">
        <v>67793</v>
      </c>
      <c r="L13429" s="3" t="s">
        <v>67794</v>
      </c>
      <c r="M13429" s="4"/>
      <c r="N13429" s="3" t="s">
        <v>37</v>
      </c>
      <c r="O13429" s="3" t="s">
        <v>38</v>
      </c>
      <c r="P13429" s="5">
        <v>9</v>
      </c>
      <c r="Q13429" s="5">
        <v>77</v>
      </c>
      <c r="R13429" s="5">
        <v>9</v>
      </c>
      <c r="S13429" s="5">
        <v>76</v>
      </c>
    </row>
    <row r="13430" spans="1:19" ht="28" x14ac:dyDescent="0.15">
      <c r="A13430" s="2">
        <f>HYPERLINK("https://open-school.uspishnemisto.com.ua/school/630768/", 630768)</f>
        <v>630768</v>
      </c>
      <c r="B13430" s="3" t="s">
        <v>67795</v>
      </c>
      <c r="C13430" s="3" t="s">
        <v>54</v>
      </c>
      <c r="D13430" s="3"/>
      <c r="E13430" s="4" t="s">
        <v>22</v>
      </c>
      <c r="F13430" s="4" t="s">
        <v>67796</v>
      </c>
      <c r="G13430" s="4" t="s">
        <v>67797</v>
      </c>
      <c r="H13430" s="3" t="s">
        <v>63948</v>
      </c>
      <c r="I13430" s="3" t="s">
        <v>50295</v>
      </c>
      <c r="J13430" s="3" t="s">
        <v>67798</v>
      </c>
      <c r="K13430" s="3" t="s">
        <v>67799</v>
      </c>
      <c r="L13430" s="3" t="s">
        <v>67800</v>
      </c>
      <c r="M13430" s="4"/>
      <c r="N13430" s="3" t="s">
        <v>128</v>
      </c>
      <c r="O13430" s="3" t="s">
        <v>38</v>
      </c>
      <c r="P13430" s="5">
        <v>15</v>
      </c>
      <c r="Q13430" s="5">
        <v>312</v>
      </c>
      <c r="R13430" s="5">
        <v>16</v>
      </c>
      <c r="S13430" s="5">
        <v>322</v>
      </c>
    </row>
    <row r="13431" spans="1:19" ht="28" x14ac:dyDescent="0.15">
      <c r="A13431" s="2">
        <f>HYPERLINK("https://open-school.uspishnemisto.com.ua/school/630769/", 630769)</f>
        <v>630769</v>
      </c>
      <c r="B13431" s="3" t="s">
        <v>67801</v>
      </c>
      <c r="C13431" s="3" t="s">
        <v>54</v>
      </c>
      <c r="D13431" s="3" t="s">
        <v>32</v>
      </c>
      <c r="E13431" s="4" t="s">
        <v>22</v>
      </c>
      <c r="F13431" s="4" t="s">
        <v>67802</v>
      </c>
      <c r="G13431" s="4" t="s">
        <v>67803</v>
      </c>
      <c r="H13431" s="3" t="s">
        <v>63948</v>
      </c>
      <c r="I13431" s="3" t="s">
        <v>67777</v>
      </c>
      <c r="J13431" s="3" t="s">
        <v>67804</v>
      </c>
      <c r="K13431" s="3" t="s">
        <v>67805</v>
      </c>
      <c r="L13431" s="3"/>
      <c r="M13431" s="4"/>
      <c r="N13431" s="3" t="s">
        <v>967</v>
      </c>
      <c r="O13431" s="3" t="s">
        <v>52</v>
      </c>
      <c r="P13431" s="5">
        <v>11</v>
      </c>
      <c r="Q13431" s="5">
        <v>155</v>
      </c>
      <c r="R13431" s="5">
        <v>11</v>
      </c>
      <c r="S13431" s="5">
        <v>148</v>
      </c>
    </row>
    <row r="13432" spans="1:19" ht="42" x14ac:dyDescent="0.15">
      <c r="A13432" s="2">
        <f>HYPERLINK("https://open-school.uspishnemisto.com.ua/school/630770/", 630770)</f>
        <v>630770</v>
      </c>
      <c r="B13432" s="3" t="s">
        <v>67806</v>
      </c>
      <c r="C13432" s="3" t="s">
        <v>293</v>
      </c>
      <c r="D13432" s="3" t="s">
        <v>32</v>
      </c>
      <c r="E13432" s="4" t="s">
        <v>22</v>
      </c>
      <c r="F13432" s="4" t="s">
        <v>67807</v>
      </c>
      <c r="G13432" s="4" t="s">
        <v>67808</v>
      </c>
      <c r="H13432" s="3" t="s">
        <v>63948</v>
      </c>
      <c r="I13432" s="3" t="s">
        <v>67809</v>
      </c>
      <c r="J13432" s="3" t="s">
        <v>67810</v>
      </c>
      <c r="K13432" s="3" t="s">
        <v>67811</v>
      </c>
      <c r="L13432" s="3" t="s">
        <v>67812</v>
      </c>
      <c r="M13432" s="4" t="s">
        <v>67813</v>
      </c>
      <c r="N13432" s="3" t="s">
        <v>37</v>
      </c>
      <c r="O13432" s="3" t="s">
        <v>38</v>
      </c>
      <c r="P13432" s="5">
        <v>12</v>
      </c>
      <c r="Q13432" s="5">
        <v>245</v>
      </c>
      <c r="R13432" s="5">
        <v>12</v>
      </c>
      <c r="S13432" s="5">
        <v>241</v>
      </c>
    </row>
    <row r="13433" spans="1:19" ht="28" x14ac:dyDescent="0.15">
      <c r="A13433" s="2">
        <f>HYPERLINK("https://open-school.uspishnemisto.com.ua/school/630771/", 630771)</f>
        <v>630771</v>
      </c>
      <c r="B13433" s="3" t="s">
        <v>67814</v>
      </c>
      <c r="C13433" s="3" t="s">
        <v>31</v>
      </c>
      <c r="D13433" s="3" t="s">
        <v>32</v>
      </c>
      <c r="E13433" s="4" t="s">
        <v>22</v>
      </c>
      <c r="F13433" s="4" t="s">
        <v>67807</v>
      </c>
      <c r="G13433" s="4" t="s">
        <v>67808</v>
      </c>
      <c r="H13433" s="3" t="s">
        <v>63948</v>
      </c>
      <c r="I13433" s="3" t="s">
        <v>67809</v>
      </c>
      <c r="J13433" s="3" t="s">
        <v>67815</v>
      </c>
      <c r="K13433" s="3" t="s">
        <v>67816</v>
      </c>
      <c r="L13433" s="3"/>
      <c r="M13433" s="4"/>
      <c r="N13433" s="3" t="s">
        <v>37</v>
      </c>
      <c r="O13433" s="3" t="s">
        <v>38</v>
      </c>
      <c r="P13433" s="5">
        <v>10</v>
      </c>
      <c r="Q13433" s="5">
        <v>116</v>
      </c>
      <c r="R13433" s="5">
        <v>10</v>
      </c>
      <c r="S13433" s="5">
        <v>115</v>
      </c>
    </row>
    <row r="13434" spans="1:19" ht="28" x14ac:dyDescent="0.15">
      <c r="A13434" s="2">
        <f>HYPERLINK("https://open-school.uspishnemisto.com.ua/school/630772/", 630772)</f>
        <v>630772</v>
      </c>
      <c r="B13434" s="3" t="s">
        <v>67817</v>
      </c>
      <c r="C13434" s="3" t="s">
        <v>40</v>
      </c>
      <c r="D13434" s="3" t="s">
        <v>32</v>
      </c>
      <c r="E13434" s="4" t="s">
        <v>22</v>
      </c>
      <c r="F13434" s="4" t="s">
        <v>67818</v>
      </c>
      <c r="G13434" s="4" t="s">
        <v>67819</v>
      </c>
      <c r="H13434" s="3" t="s">
        <v>63948</v>
      </c>
      <c r="I13434" s="3" t="s">
        <v>2359</v>
      </c>
      <c r="J13434" s="3" t="s">
        <v>67820</v>
      </c>
      <c r="K13434" s="3" t="s">
        <v>67821</v>
      </c>
      <c r="L13434" s="3" t="s">
        <v>67822</v>
      </c>
      <c r="M13434" s="4"/>
      <c r="N13434" s="3" t="s">
        <v>37</v>
      </c>
      <c r="O13434" s="3" t="s">
        <v>38</v>
      </c>
      <c r="P13434" s="5">
        <v>17</v>
      </c>
      <c r="Q13434" s="5">
        <v>405</v>
      </c>
      <c r="R13434" s="5">
        <v>18</v>
      </c>
      <c r="S13434" s="5">
        <v>415</v>
      </c>
    </row>
    <row r="13435" spans="1:19" ht="28" x14ac:dyDescent="0.15">
      <c r="A13435" s="2">
        <f>HYPERLINK("https://open-school.uspishnemisto.com.ua/school/630773/", 630773)</f>
        <v>630773</v>
      </c>
      <c r="B13435" s="3" t="s">
        <v>67823</v>
      </c>
      <c r="C13435" s="3" t="s">
        <v>31</v>
      </c>
      <c r="D13435" s="3" t="s">
        <v>32</v>
      </c>
      <c r="E13435" s="4" t="s">
        <v>22</v>
      </c>
      <c r="F13435" s="4" t="s">
        <v>67818</v>
      </c>
      <c r="G13435" s="4" t="s">
        <v>67819</v>
      </c>
      <c r="H13435" s="3" t="s">
        <v>63948</v>
      </c>
      <c r="I13435" s="3" t="s">
        <v>2359</v>
      </c>
      <c r="J13435" s="3" t="s">
        <v>67824</v>
      </c>
      <c r="K13435" s="3" t="s">
        <v>67825</v>
      </c>
      <c r="L13435" s="3" t="s">
        <v>67826</v>
      </c>
      <c r="M13435" s="4"/>
      <c r="N13435" s="3" t="s">
        <v>37</v>
      </c>
      <c r="O13435" s="3" t="s">
        <v>38</v>
      </c>
      <c r="P13435" s="5">
        <v>13</v>
      </c>
      <c r="Q13435" s="5">
        <v>272</v>
      </c>
      <c r="R13435" s="5">
        <v>13</v>
      </c>
      <c r="S13435" s="5">
        <v>268</v>
      </c>
    </row>
    <row r="13436" spans="1:19" ht="28" x14ac:dyDescent="0.15">
      <c r="A13436" s="2">
        <f>HYPERLINK("https://open-school.uspishnemisto.com.ua/school/630774/", 630774)</f>
        <v>630774</v>
      </c>
      <c r="B13436" s="3" t="s">
        <v>67827</v>
      </c>
      <c r="C13436" s="3" t="s">
        <v>54</v>
      </c>
      <c r="D13436" s="3" t="s">
        <v>32</v>
      </c>
      <c r="E13436" s="4" t="s">
        <v>22</v>
      </c>
      <c r="F13436" s="4" t="s">
        <v>67828</v>
      </c>
      <c r="G13436" s="4" t="s">
        <v>67829</v>
      </c>
      <c r="H13436" s="3" t="s">
        <v>63948</v>
      </c>
      <c r="I13436" s="3" t="s">
        <v>12945</v>
      </c>
      <c r="J13436" s="3" t="s">
        <v>67830</v>
      </c>
      <c r="K13436" s="3" t="s">
        <v>67831</v>
      </c>
      <c r="L13436" s="3"/>
      <c r="M13436" s="4"/>
      <c r="N13436" s="3" t="s">
        <v>128</v>
      </c>
      <c r="O13436" s="3" t="s">
        <v>38</v>
      </c>
      <c r="P13436" s="5">
        <v>20</v>
      </c>
      <c r="Q13436" s="5">
        <v>414</v>
      </c>
      <c r="R13436" s="5">
        <v>19</v>
      </c>
      <c r="S13436" s="5">
        <v>414</v>
      </c>
    </row>
    <row r="13437" spans="1:19" ht="28" x14ac:dyDescent="0.15">
      <c r="A13437" s="2">
        <f>HYPERLINK("https://open-school.uspishnemisto.com.ua/school/630775/", 630775)</f>
        <v>630775</v>
      </c>
      <c r="B13437" s="3" t="s">
        <v>67832</v>
      </c>
      <c r="C13437" s="3" t="s">
        <v>54</v>
      </c>
      <c r="D13437" s="3" t="s">
        <v>32</v>
      </c>
      <c r="E13437" s="4" t="s">
        <v>22</v>
      </c>
      <c r="F13437" s="4" t="s">
        <v>67833</v>
      </c>
      <c r="G13437" s="4" t="s">
        <v>67834</v>
      </c>
      <c r="H13437" s="3" t="s">
        <v>63948</v>
      </c>
      <c r="I13437" s="3" t="s">
        <v>67835</v>
      </c>
      <c r="J13437" s="3" t="s">
        <v>67836</v>
      </c>
      <c r="K13437" s="3" t="s">
        <v>67837</v>
      </c>
      <c r="L13437" s="3" t="s">
        <v>67838</v>
      </c>
      <c r="M13437" s="4"/>
      <c r="N13437" s="3" t="s">
        <v>37</v>
      </c>
      <c r="O13437" s="3" t="s">
        <v>38</v>
      </c>
      <c r="P13437" s="5">
        <v>29</v>
      </c>
      <c r="Q13437" s="5">
        <v>478</v>
      </c>
      <c r="R13437" s="5">
        <v>20</v>
      </c>
      <c r="S13437" s="5">
        <v>408</v>
      </c>
    </row>
    <row r="13438" spans="1:19" ht="42" x14ac:dyDescent="0.15">
      <c r="A13438" s="2">
        <f>HYPERLINK("https://open-school.uspishnemisto.com.ua/school/630776/", 630776)</f>
        <v>630776</v>
      </c>
      <c r="B13438" s="3" t="s">
        <v>67839</v>
      </c>
      <c r="C13438" s="3" t="s">
        <v>31</v>
      </c>
      <c r="D13438" s="3" t="s">
        <v>32</v>
      </c>
      <c r="E13438" s="4" t="s">
        <v>22</v>
      </c>
      <c r="F13438" s="4" t="s">
        <v>67840</v>
      </c>
      <c r="G13438" s="4" t="s">
        <v>67841</v>
      </c>
      <c r="H13438" s="3" t="s">
        <v>63948</v>
      </c>
      <c r="I13438" s="3" t="s">
        <v>67842</v>
      </c>
      <c r="J13438" s="3" t="s">
        <v>67843</v>
      </c>
      <c r="K13438" s="3" t="s">
        <v>67844</v>
      </c>
      <c r="L13438" s="3"/>
      <c r="M13438" s="4"/>
      <c r="N13438" s="3" t="s">
        <v>37</v>
      </c>
      <c r="O13438" s="3" t="s">
        <v>52</v>
      </c>
      <c r="P13438" s="5">
        <v>0</v>
      </c>
      <c r="Q13438" s="5">
        <v>0</v>
      </c>
      <c r="R13438" s="5">
        <v>8</v>
      </c>
      <c r="S13438" s="5">
        <v>58</v>
      </c>
    </row>
    <row r="13439" spans="1:19" ht="28" x14ac:dyDescent="0.15">
      <c r="A13439" s="2">
        <f>HYPERLINK("https://open-school.uspishnemisto.com.ua/school/630777/", 630777)</f>
        <v>630777</v>
      </c>
      <c r="B13439" s="3" t="s">
        <v>67845</v>
      </c>
      <c r="C13439" s="3" t="s">
        <v>31</v>
      </c>
      <c r="D13439" s="3" t="s">
        <v>32</v>
      </c>
      <c r="E13439" s="4" t="s">
        <v>22</v>
      </c>
      <c r="F13439" s="4" t="s">
        <v>67846</v>
      </c>
      <c r="G13439" s="4" t="s">
        <v>67847</v>
      </c>
      <c r="H13439" s="3" t="s">
        <v>63948</v>
      </c>
      <c r="I13439" s="3" t="s">
        <v>67848</v>
      </c>
      <c r="J13439" s="3" t="s">
        <v>67849</v>
      </c>
      <c r="K13439" s="3" t="s">
        <v>67850</v>
      </c>
      <c r="L13439" s="3" t="s">
        <v>67851</v>
      </c>
      <c r="M13439" s="4"/>
      <c r="N13439" s="3" t="s">
        <v>37</v>
      </c>
      <c r="O13439" s="3" t="s">
        <v>70</v>
      </c>
      <c r="P13439" s="5">
        <v>20</v>
      </c>
      <c r="Q13439" s="5">
        <v>438</v>
      </c>
      <c r="R13439" s="5">
        <v>19</v>
      </c>
      <c r="S13439" s="5">
        <v>432</v>
      </c>
    </row>
    <row r="13440" spans="1:19" ht="42" x14ac:dyDescent="0.15">
      <c r="A13440" s="2">
        <f>HYPERLINK("https://open-school.uspishnemisto.com.ua/school/630778/", 630778)</f>
        <v>630778</v>
      </c>
      <c r="B13440" s="3" t="s">
        <v>67852</v>
      </c>
      <c r="C13440" s="3" t="s">
        <v>48</v>
      </c>
      <c r="D13440" s="3" t="s">
        <v>32</v>
      </c>
      <c r="E13440" s="4" t="s">
        <v>22</v>
      </c>
      <c r="F13440" s="4" t="s">
        <v>67846</v>
      </c>
      <c r="G13440" s="4" t="s">
        <v>67847</v>
      </c>
      <c r="H13440" s="3" t="s">
        <v>63948</v>
      </c>
      <c r="I13440" s="3" t="s">
        <v>67848</v>
      </c>
      <c r="J13440" s="3" t="s">
        <v>1479</v>
      </c>
      <c r="K13440" s="3" t="s">
        <v>67853</v>
      </c>
      <c r="L13440" s="3" t="s">
        <v>67854</v>
      </c>
      <c r="M13440" s="4" t="s">
        <v>67855</v>
      </c>
      <c r="N13440" s="3" t="s">
        <v>37</v>
      </c>
      <c r="O13440" s="3" t="s">
        <v>52</v>
      </c>
      <c r="P13440" s="5">
        <v>6</v>
      </c>
      <c r="Q13440" s="5">
        <v>153</v>
      </c>
      <c r="R13440" s="5">
        <v>6</v>
      </c>
      <c r="S13440" s="5">
        <v>161</v>
      </c>
    </row>
    <row r="13441" spans="1:19" ht="42" x14ac:dyDescent="0.15">
      <c r="A13441" s="2">
        <f>HYPERLINK("https://open-school.uspishnemisto.com.ua/school/630779/", 630779)</f>
        <v>630779</v>
      </c>
      <c r="B13441" s="3" t="s">
        <v>67856</v>
      </c>
      <c r="C13441" s="3" t="s">
        <v>31</v>
      </c>
      <c r="D13441" s="3" t="s">
        <v>32</v>
      </c>
      <c r="E13441" s="4" t="s">
        <v>22</v>
      </c>
      <c r="F13441" s="4" t="s">
        <v>67857</v>
      </c>
      <c r="G13441" s="4" t="s">
        <v>67858</v>
      </c>
      <c r="H13441" s="3" t="s">
        <v>63948</v>
      </c>
      <c r="I13441" s="3" t="s">
        <v>67859</v>
      </c>
      <c r="J13441" s="3" t="s">
        <v>4425</v>
      </c>
      <c r="K13441" s="3" t="s">
        <v>67860</v>
      </c>
      <c r="L13441" s="3" t="s">
        <v>67861</v>
      </c>
      <c r="M13441" s="4"/>
      <c r="N13441" s="3" t="s">
        <v>37</v>
      </c>
      <c r="O13441" s="3" t="s">
        <v>38</v>
      </c>
      <c r="P13441" s="5">
        <v>11</v>
      </c>
      <c r="Q13441" s="5">
        <v>75</v>
      </c>
      <c r="R13441" s="5">
        <v>11</v>
      </c>
      <c r="S13441" s="5">
        <v>78</v>
      </c>
    </row>
    <row r="13442" spans="1:19" ht="28" x14ac:dyDescent="0.15">
      <c r="A13442" s="2">
        <f>HYPERLINK("https://open-school.uspishnemisto.com.ua/school/630780/", 630780)</f>
        <v>630780</v>
      </c>
      <c r="B13442" s="3" t="s">
        <v>67862</v>
      </c>
      <c r="C13442" s="3" t="s">
        <v>54</v>
      </c>
      <c r="D13442" s="3" t="s">
        <v>32</v>
      </c>
      <c r="E13442" s="4" t="s">
        <v>22</v>
      </c>
      <c r="F13442" s="4" t="s">
        <v>67863</v>
      </c>
      <c r="G13442" s="4" t="s">
        <v>67864</v>
      </c>
      <c r="H13442" s="3" t="s">
        <v>63948</v>
      </c>
      <c r="I13442" s="3" t="s">
        <v>67865</v>
      </c>
      <c r="J13442" s="3" t="s">
        <v>67866</v>
      </c>
      <c r="K13442" s="3" t="s">
        <v>67867</v>
      </c>
      <c r="L13442" s="3" t="s">
        <v>67868</v>
      </c>
      <c r="M13442" s="4"/>
      <c r="N13442" s="3" t="s">
        <v>967</v>
      </c>
      <c r="O13442" s="3" t="s">
        <v>46</v>
      </c>
      <c r="P13442" s="5">
        <v>11</v>
      </c>
      <c r="Q13442" s="5">
        <v>109</v>
      </c>
      <c r="R13442" s="5">
        <v>11</v>
      </c>
      <c r="S13442" s="5">
        <v>159</v>
      </c>
    </row>
    <row r="13443" spans="1:19" ht="28" x14ac:dyDescent="0.15">
      <c r="A13443" s="2">
        <f>HYPERLINK("https://open-school.uspishnemisto.com.ua/school/630781/", 630781)</f>
        <v>630781</v>
      </c>
      <c r="B13443" s="3" t="s">
        <v>67869</v>
      </c>
      <c r="C13443" s="3" t="s">
        <v>54</v>
      </c>
      <c r="D13443" s="3" t="s">
        <v>32</v>
      </c>
      <c r="E13443" s="4" t="s">
        <v>22</v>
      </c>
      <c r="F13443" s="4" t="s">
        <v>67870</v>
      </c>
      <c r="G13443" s="4" t="s">
        <v>67871</v>
      </c>
      <c r="H13443" s="3" t="s">
        <v>63948</v>
      </c>
      <c r="I13443" s="3" t="s">
        <v>67872</v>
      </c>
      <c r="J13443" s="3" t="s">
        <v>15380</v>
      </c>
      <c r="K13443" s="3" t="s">
        <v>67873</v>
      </c>
      <c r="L13443" s="3" t="s">
        <v>67874</v>
      </c>
      <c r="M13443" s="4"/>
      <c r="N13443" s="3" t="s">
        <v>37</v>
      </c>
      <c r="O13443" s="3" t="s">
        <v>38</v>
      </c>
      <c r="P13443" s="5">
        <v>11</v>
      </c>
      <c r="Q13443" s="5">
        <v>119</v>
      </c>
      <c r="R13443" s="5">
        <v>11</v>
      </c>
      <c r="S13443" s="5">
        <v>114</v>
      </c>
    </row>
    <row r="13444" spans="1:19" ht="28" x14ac:dyDescent="0.15">
      <c r="A13444" s="2">
        <f>HYPERLINK("https://open-school.uspishnemisto.com.ua/school/630782/", 630782)</f>
        <v>630782</v>
      </c>
      <c r="B13444" s="3" t="s">
        <v>67875</v>
      </c>
      <c r="C13444" s="3" t="s">
        <v>54</v>
      </c>
      <c r="D13444" s="3" t="s">
        <v>32</v>
      </c>
      <c r="E13444" s="4" t="s">
        <v>22</v>
      </c>
      <c r="F13444" s="4" t="s">
        <v>67840</v>
      </c>
      <c r="G13444" s="4" t="s">
        <v>67876</v>
      </c>
      <c r="H13444" s="3" t="s">
        <v>63948</v>
      </c>
      <c r="I13444" s="3" t="s">
        <v>67877</v>
      </c>
      <c r="J13444" s="3" t="s">
        <v>67878</v>
      </c>
      <c r="K13444" s="3" t="s">
        <v>67879</v>
      </c>
      <c r="L13444" s="3"/>
      <c r="M13444" s="4"/>
      <c r="N13444" s="3" t="s">
        <v>967</v>
      </c>
      <c r="O13444" s="3" t="s">
        <v>52</v>
      </c>
      <c r="P13444" s="5">
        <v>11</v>
      </c>
      <c r="Q13444" s="5">
        <v>89</v>
      </c>
      <c r="R13444" s="5">
        <v>10</v>
      </c>
      <c r="S13444" s="5">
        <v>85</v>
      </c>
    </row>
    <row r="13445" spans="1:19" ht="28" x14ac:dyDescent="0.15">
      <c r="A13445" s="2">
        <f>HYPERLINK("https://open-school.uspishnemisto.com.ua/school/630783/", 630783)</f>
        <v>630783</v>
      </c>
      <c r="B13445" s="3" t="s">
        <v>67880</v>
      </c>
      <c r="C13445" s="3" t="s">
        <v>54</v>
      </c>
      <c r="D13445" s="3" t="s">
        <v>32</v>
      </c>
      <c r="E13445" s="4" t="s">
        <v>22</v>
      </c>
      <c r="F13445" s="4" t="s">
        <v>67881</v>
      </c>
      <c r="G13445" s="4" t="s">
        <v>67882</v>
      </c>
      <c r="H13445" s="3" t="s">
        <v>63948</v>
      </c>
      <c r="I13445" s="3" t="s">
        <v>67883</v>
      </c>
      <c r="J13445" s="3" t="s">
        <v>6677</v>
      </c>
      <c r="K13445" s="3" t="s">
        <v>67884</v>
      </c>
      <c r="L13445" s="3" t="s">
        <v>67885</v>
      </c>
      <c r="M13445" s="4"/>
      <c r="N13445" s="3" t="s">
        <v>967</v>
      </c>
      <c r="O13445" s="3" t="s">
        <v>52</v>
      </c>
      <c r="P13445" s="5">
        <v>9</v>
      </c>
      <c r="Q13445" s="5">
        <v>78</v>
      </c>
      <c r="R13445" s="5">
        <v>10</v>
      </c>
      <c r="S13445" s="5">
        <v>75</v>
      </c>
    </row>
    <row r="13446" spans="1:19" ht="28" x14ac:dyDescent="0.15">
      <c r="A13446" s="2">
        <f>HYPERLINK("https://open-school.uspishnemisto.com.ua/school/630784/", 630784)</f>
        <v>630784</v>
      </c>
      <c r="B13446" s="3" t="s">
        <v>67886</v>
      </c>
      <c r="C13446" s="3" t="s">
        <v>54</v>
      </c>
      <c r="D13446" s="3" t="s">
        <v>32</v>
      </c>
      <c r="E13446" s="4" t="s">
        <v>22</v>
      </c>
      <c r="F13446" s="4" t="s">
        <v>67887</v>
      </c>
      <c r="G13446" s="4" t="s">
        <v>67888</v>
      </c>
      <c r="H13446" s="3" t="s">
        <v>63948</v>
      </c>
      <c r="I13446" s="3" t="s">
        <v>883</v>
      </c>
      <c r="J13446" s="3" t="s">
        <v>1348</v>
      </c>
      <c r="K13446" s="3" t="s">
        <v>67889</v>
      </c>
      <c r="L13446" s="3" t="s">
        <v>67890</v>
      </c>
      <c r="M13446" s="4"/>
      <c r="N13446" s="3" t="s">
        <v>37</v>
      </c>
      <c r="O13446" s="3" t="s">
        <v>52</v>
      </c>
      <c r="P13446" s="5">
        <v>11</v>
      </c>
      <c r="Q13446" s="5">
        <v>101</v>
      </c>
      <c r="R13446" s="5">
        <v>11</v>
      </c>
      <c r="S13446" s="5">
        <v>102</v>
      </c>
    </row>
    <row r="13447" spans="1:19" ht="28" x14ac:dyDescent="0.15">
      <c r="A13447" s="2">
        <f>HYPERLINK("https://open-school.uspishnemisto.com.ua/school/630785/", 630785)</f>
        <v>630785</v>
      </c>
      <c r="B13447" s="3" t="s">
        <v>67891</v>
      </c>
      <c r="C13447" s="3" t="s">
        <v>54</v>
      </c>
      <c r="D13447" s="3" t="s">
        <v>32</v>
      </c>
      <c r="E13447" s="4" t="s">
        <v>22</v>
      </c>
      <c r="F13447" s="4" t="s">
        <v>67892</v>
      </c>
      <c r="G13447" s="4" t="s">
        <v>67893</v>
      </c>
      <c r="H13447" s="3" t="s">
        <v>63948</v>
      </c>
      <c r="I13447" s="3" t="s">
        <v>67894</v>
      </c>
      <c r="J13447" s="3" t="s">
        <v>15432</v>
      </c>
      <c r="K13447" s="3" t="s">
        <v>67895</v>
      </c>
      <c r="L13447" s="3"/>
      <c r="M13447" s="4"/>
      <c r="N13447" s="3" t="s">
        <v>967</v>
      </c>
      <c r="O13447" s="3" t="s">
        <v>46</v>
      </c>
      <c r="P13447" s="5">
        <v>11</v>
      </c>
      <c r="Q13447" s="5">
        <v>134</v>
      </c>
      <c r="R13447" s="5">
        <v>11</v>
      </c>
      <c r="S13447" s="5">
        <v>132</v>
      </c>
    </row>
    <row r="13448" spans="1:19" ht="42" x14ac:dyDescent="0.15">
      <c r="A13448" s="2">
        <f>HYPERLINK("https://open-school.uspishnemisto.com.ua/school/630786/", 630786)</f>
        <v>630786</v>
      </c>
      <c r="B13448" s="3" t="s">
        <v>67896</v>
      </c>
      <c r="C13448" s="3" t="s">
        <v>54</v>
      </c>
      <c r="D13448" s="3" t="s">
        <v>32</v>
      </c>
      <c r="E13448" s="4" t="s">
        <v>22</v>
      </c>
      <c r="F13448" s="4" t="s">
        <v>67897</v>
      </c>
      <c r="G13448" s="4" t="s">
        <v>67898</v>
      </c>
      <c r="H13448" s="3" t="s">
        <v>63948</v>
      </c>
      <c r="I13448" s="3" t="s">
        <v>67899</v>
      </c>
      <c r="J13448" s="3" t="s">
        <v>67900</v>
      </c>
      <c r="K13448" s="3" t="s">
        <v>67901</v>
      </c>
      <c r="L13448" s="3" t="s">
        <v>67902</v>
      </c>
      <c r="M13448" s="4"/>
      <c r="N13448" s="3" t="s">
        <v>967</v>
      </c>
      <c r="O13448" s="3" t="s">
        <v>52</v>
      </c>
      <c r="P13448" s="5">
        <v>14</v>
      </c>
      <c r="Q13448" s="5">
        <v>272</v>
      </c>
      <c r="R13448" s="5">
        <v>14</v>
      </c>
      <c r="S13448" s="5">
        <v>266</v>
      </c>
    </row>
    <row r="13449" spans="1:19" ht="28" x14ac:dyDescent="0.15">
      <c r="A13449" s="2">
        <f>HYPERLINK("https://open-school.uspishnemisto.com.ua/school/630787/", 630787)</f>
        <v>630787</v>
      </c>
      <c r="B13449" s="3" t="s">
        <v>67903</v>
      </c>
      <c r="C13449" s="3" t="s">
        <v>54</v>
      </c>
      <c r="D13449" s="3" t="s">
        <v>32</v>
      </c>
      <c r="E13449" s="4" t="s">
        <v>22</v>
      </c>
      <c r="F13449" s="4" t="s">
        <v>67904</v>
      </c>
      <c r="G13449" s="4" t="s">
        <v>67905</v>
      </c>
      <c r="H13449" s="3" t="s">
        <v>63948</v>
      </c>
      <c r="I13449" s="3" t="s">
        <v>67906</v>
      </c>
      <c r="J13449" s="3" t="s">
        <v>634</v>
      </c>
      <c r="K13449" s="3" t="s">
        <v>67907</v>
      </c>
      <c r="L13449" s="3" t="s">
        <v>67908</v>
      </c>
      <c r="M13449" s="4"/>
      <c r="N13449" s="3" t="s">
        <v>37</v>
      </c>
      <c r="O13449" s="3" t="s">
        <v>13272</v>
      </c>
      <c r="P13449" s="5">
        <v>11</v>
      </c>
      <c r="Q13449" s="5">
        <v>102</v>
      </c>
      <c r="R13449" s="5">
        <v>11</v>
      </c>
      <c r="S13449" s="5">
        <v>110</v>
      </c>
    </row>
    <row r="13450" spans="1:19" ht="28" x14ac:dyDescent="0.15">
      <c r="A13450" s="2">
        <f>HYPERLINK("https://open-school.uspishnemisto.com.ua/school/630788/", 630788)</f>
        <v>630788</v>
      </c>
      <c r="B13450" s="3" t="s">
        <v>67909</v>
      </c>
      <c r="C13450" s="3" t="s">
        <v>54</v>
      </c>
      <c r="D13450" s="3" t="s">
        <v>32</v>
      </c>
      <c r="E13450" s="4" t="s">
        <v>22</v>
      </c>
      <c r="F13450" s="4" t="s">
        <v>67910</v>
      </c>
      <c r="G13450" s="4" t="s">
        <v>67911</v>
      </c>
      <c r="H13450" s="3" t="s">
        <v>63948</v>
      </c>
      <c r="I13450" s="3" t="s">
        <v>67912</v>
      </c>
      <c r="J13450" s="3" t="s">
        <v>67913</v>
      </c>
      <c r="K13450" s="3" t="s">
        <v>67914</v>
      </c>
      <c r="L13450" s="3"/>
      <c r="M13450" s="4"/>
      <c r="N13450" s="3" t="s">
        <v>37</v>
      </c>
      <c r="O13450" s="3" t="s">
        <v>38</v>
      </c>
      <c r="P13450" s="5">
        <v>11</v>
      </c>
      <c r="Q13450" s="5">
        <v>81</v>
      </c>
      <c r="R13450" s="5">
        <v>11</v>
      </c>
      <c r="S13450" s="5">
        <v>81</v>
      </c>
    </row>
    <row r="13451" spans="1:19" ht="28" x14ac:dyDescent="0.15">
      <c r="A13451" s="2">
        <f>HYPERLINK("https://open-school.uspishnemisto.com.ua/school/630789/", 630789)</f>
        <v>630789</v>
      </c>
      <c r="B13451" s="3" t="s">
        <v>67915</v>
      </c>
      <c r="C13451" s="3" t="s">
        <v>54</v>
      </c>
      <c r="D13451" s="3" t="s">
        <v>32</v>
      </c>
      <c r="E13451" s="4" t="s">
        <v>22</v>
      </c>
      <c r="F13451" s="4" t="s">
        <v>67916</v>
      </c>
      <c r="G13451" s="4" t="s">
        <v>67917</v>
      </c>
      <c r="H13451" s="3" t="s">
        <v>63948</v>
      </c>
      <c r="I13451" s="3" t="s">
        <v>67918</v>
      </c>
      <c r="J13451" s="3" t="s">
        <v>30811</v>
      </c>
      <c r="K13451" s="3" t="s">
        <v>67919</v>
      </c>
      <c r="L13451" s="3" t="s">
        <v>67920</v>
      </c>
      <c r="M13451" s="4"/>
      <c r="N13451" s="3" t="s">
        <v>37</v>
      </c>
      <c r="O13451" s="3" t="s">
        <v>38</v>
      </c>
      <c r="P13451" s="5">
        <v>9</v>
      </c>
      <c r="Q13451" s="5">
        <v>66</v>
      </c>
      <c r="R13451" s="5">
        <v>10</v>
      </c>
      <c r="S13451" s="5">
        <v>68</v>
      </c>
    </row>
    <row r="13452" spans="1:19" ht="28" x14ac:dyDescent="0.15">
      <c r="A13452" s="2">
        <f>HYPERLINK("https://open-school.uspishnemisto.com.ua/school/630790/", 630790)</f>
        <v>630790</v>
      </c>
      <c r="B13452" s="3" t="s">
        <v>67921</v>
      </c>
      <c r="C13452" s="3" t="s">
        <v>31</v>
      </c>
      <c r="D13452" s="3" t="s">
        <v>32</v>
      </c>
      <c r="E13452" s="4" t="s">
        <v>22</v>
      </c>
      <c r="F13452" s="4" t="s">
        <v>67828</v>
      </c>
      <c r="G13452" s="4" t="s">
        <v>67922</v>
      </c>
      <c r="H13452" s="3" t="s">
        <v>63948</v>
      </c>
      <c r="I13452" s="3" t="s">
        <v>67923</v>
      </c>
      <c r="J13452" s="3" t="s">
        <v>67924</v>
      </c>
      <c r="K13452" s="3" t="s">
        <v>67925</v>
      </c>
      <c r="L13452" s="3"/>
      <c r="M13452" s="4"/>
      <c r="N13452" s="3" t="s">
        <v>967</v>
      </c>
      <c r="O13452" s="3" t="s">
        <v>52</v>
      </c>
      <c r="P13452" s="5">
        <v>10</v>
      </c>
      <c r="Q13452" s="5">
        <v>93</v>
      </c>
      <c r="R13452" s="5">
        <v>10</v>
      </c>
      <c r="S13452" s="5">
        <v>103</v>
      </c>
    </row>
    <row r="13453" spans="1:19" ht="28" x14ac:dyDescent="0.15">
      <c r="A13453" s="2">
        <f>HYPERLINK("https://open-school.uspishnemisto.com.ua/school/630791/", 630791)</f>
        <v>630791</v>
      </c>
      <c r="B13453" s="3" t="s">
        <v>67926</v>
      </c>
      <c r="C13453" s="3" t="s">
        <v>31</v>
      </c>
      <c r="D13453" s="3" t="s">
        <v>32</v>
      </c>
      <c r="E13453" s="4" t="s">
        <v>22</v>
      </c>
      <c r="F13453" s="4" t="s">
        <v>67927</v>
      </c>
      <c r="G13453" s="4" t="s">
        <v>67928</v>
      </c>
      <c r="H13453" s="3" t="s">
        <v>63948</v>
      </c>
      <c r="I13453" s="3" t="s">
        <v>11064</v>
      </c>
      <c r="J13453" s="3" t="s">
        <v>17078</v>
      </c>
      <c r="K13453" s="3" t="s">
        <v>67929</v>
      </c>
      <c r="L13453" s="3" t="s">
        <v>67930</v>
      </c>
      <c r="M13453" s="4"/>
      <c r="N13453" s="3" t="s">
        <v>37</v>
      </c>
      <c r="O13453" s="3" t="s">
        <v>38</v>
      </c>
      <c r="P13453" s="5">
        <v>19</v>
      </c>
      <c r="Q13453" s="5">
        <v>399</v>
      </c>
      <c r="R13453" s="5">
        <v>19</v>
      </c>
      <c r="S13453" s="5">
        <v>379</v>
      </c>
    </row>
    <row r="13454" spans="1:19" ht="28" x14ac:dyDescent="0.15">
      <c r="A13454" s="2">
        <f>HYPERLINK("https://open-school.uspishnemisto.com.ua/school/630792/", 630792)</f>
        <v>630792</v>
      </c>
      <c r="B13454" s="3" t="s">
        <v>67931</v>
      </c>
      <c r="C13454" s="3" t="s">
        <v>188</v>
      </c>
      <c r="D13454" s="3" t="s">
        <v>32</v>
      </c>
      <c r="E13454" s="4" t="s">
        <v>22</v>
      </c>
      <c r="F13454" s="4" t="s">
        <v>67927</v>
      </c>
      <c r="G13454" s="4" t="s">
        <v>67928</v>
      </c>
      <c r="H13454" s="3" t="s">
        <v>63948</v>
      </c>
      <c r="I13454" s="3" t="s">
        <v>11064</v>
      </c>
      <c r="J13454" s="3" t="s">
        <v>37481</v>
      </c>
      <c r="K13454" s="3" t="s">
        <v>67932</v>
      </c>
      <c r="L13454" s="3"/>
      <c r="M13454" s="4"/>
      <c r="N13454" s="3" t="s">
        <v>37</v>
      </c>
      <c r="O13454" s="3" t="s">
        <v>38</v>
      </c>
      <c r="P13454" s="5">
        <v>21</v>
      </c>
      <c r="Q13454" s="5">
        <v>483</v>
      </c>
      <c r="R13454" s="5">
        <v>22</v>
      </c>
      <c r="S13454" s="5">
        <v>512</v>
      </c>
    </row>
    <row r="13455" spans="1:19" ht="56" x14ac:dyDescent="0.15">
      <c r="A13455" s="2">
        <f>HYPERLINK("https://open-school.uspishnemisto.com.ua/school/630794/", 630794)</f>
        <v>630794</v>
      </c>
      <c r="B13455" s="3" t="s">
        <v>67933</v>
      </c>
      <c r="C13455" s="3" t="s">
        <v>54</v>
      </c>
      <c r="D13455" s="3" t="s">
        <v>32</v>
      </c>
      <c r="E13455" s="4" t="s">
        <v>22</v>
      </c>
      <c r="F13455" s="4" t="s">
        <v>67934</v>
      </c>
      <c r="G13455" s="4" t="s">
        <v>67935</v>
      </c>
      <c r="H13455" s="3" t="s">
        <v>63948</v>
      </c>
      <c r="I13455" s="3" t="s">
        <v>67936</v>
      </c>
      <c r="J13455" s="3" t="s">
        <v>297</v>
      </c>
      <c r="K13455" s="3" t="s">
        <v>67937</v>
      </c>
      <c r="L13455" s="3"/>
      <c r="M13455" s="4"/>
      <c r="N13455" s="3" t="s">
        <v>37</v>
      </c>
      <c r="O13455" s="3" t="s">
        <v>38</v>
      </c>
      <c r="P13455" s="5">
        <v>9</v>
      </c>
      <c r="Q13455" s="5">
        <v>69</v>
      </c>
      <c r="R13455" s="5">
        <v>9</v>
      </c>
      <c r="S13455" s="5">
        <v>66</v>
      </c>
    </row>
    <row r="13456" spans="1:19" ht="28" x14ac:dyDescent="0.15">
      <c r="A13456" s="2">
        <f>HYPERLINK("https://open-school.uspishnemisto.com.ua/school/630795/", 630795)</f>
        <v>630795</v>
      </c>
      <c r="B13456" s="3" t="s">
        <v>67938</v>
      </c>
      <c r="C13456" s="3" t="s">
        <v>31</v>
      </c>
      <c r="D13456" s="3" t="s">
        <v>32</v>
      </c>
      <c r="E13456" s="4" t="s">
        <v>22</v>
      </c>
      <c r="F13456" s="4" t="s">
        <v>67939</v>
      </c>
      <c r="G13456" s="4" t="s">
        <v>67940</v>
      </c>
      <c r="H13456" s="3" t="s">
        <v>63948</v>
      </c>
      <c r="I13456" s="3" t="s">
        <v>36918</v>
      </c>
      <c r="J13456" s="3" t="s">
        <v>67941</v>
      </c>
      <c r="K13456" s="3" t="s">
        <v>67942</v>
      </c>
      <c r="L13456" s="3" t="s">
        <v>67943</v>
      </c>
      <c r="M13456" s="4"/>
      <c r="N13456" s="3" t="s">
        <v>37</v>
      </c>
      <c r="O13456" s="3" t="s">
        <v>38</v>
      </c>
      <c r="P13456" s="5">
        <v>11</v>
      </c>
      <c r="Q13456" s="5">
        <v>88</v>
      </c>
      <c r="R13456" s="5">
        <v>11</v>
      </c>
      <c r="S13456" s="5">
        <v>92</v>
      </c>
    </row>
    <row r="13457" spans="1:19" ht="28" x14ac:dyDescent="0.15">
      <c r="A13457" s="2">
        <f>HYPERLINK("https://open-school.uspishnemisto.com.ua/school/630796/", 630796)</f>
        <v>630796</v>
      </c>
      <c r="B13457" s="3" t="s">
        <v>67944</v>
      </c>
      <c r="C13457" s="3" t="s">
        <v>31</v>
      </c>
      <c r="D13457" s="3" t="s">
        <v>175</v>
      </c>
      <c r="E13457" s="4" t="s">
        <v>22</v>
      </c>
      <c r="F13457" s="4" t="s">
        <v>67945</v>
      </c>
      <c r="G13457" s="4" t="s">
        <v>67946</v>
      </c>
      <c r="H13457" s="3" t="s">
        <v>63948</v>
      </c>
      <c r="I13457" s="3" t="s">
        <v>67947</v>
      </c>
      <c r="J13457" s="3" t="s">
        <v>67948</v>
      </c>
      <c r="K13457" s="3" t="s">
        <v>67949</v>
      </c>
      <c r="L13457" s="3"/>
      <c r="M13457" s="4"/>
      <c r="N13457" s="3" t="s">
        <v>37</v>
      </c>
      <c r="O13457" s="3" t="s">
        <v>38</v>
      </c>
      <c r="P13457" s="5">
        <v>8</v>
      </c>
      <c r="Q13457" s="5">
        <v>45</v>
      </c>
      <c r="R13457" s="5">
        <v>9</v>
      </c>
      <c r="S13457" s="5">
        <v>55</v>
      </c>
    </row>
    <row r="13458" spans="1:19" ht="28" x14ac:dyDescent="0.15">
      <c r="A13458" s="2">
        <f>HYPERLINK("https://open-school.uspishnemisto.com.ua/school/630797/", 630797)</f>
        <v>630797</v>
      </c>
      <c r="B13458" s="3" t="s">
        <v>67950</v>
      </c>
      <c r="C13458" s="3" t="s">
        <v>31</v>
      </c>
      <c r="D13458" s="3" t="s">
        <v>32</v>
      </c>
      <c r="E13458" s="4" t="s">
        <v>22</v>
      </c>
      <c r="F13458" s="4" t="s">
        <v>67951</v>
      </c>
      <c r="G13458" s="4" t="s">
        <v>67952</v>
      </c>
      <c r="H13458" s="3" t="s">
        <v>63948</v>
      </c>
      <c r="I13458" s="3" t="s">
        <v>67953</v>
      </c>
      <c r="J13458" s="3" t="s">
        <v>67954</v>
      </c>
      <c r="K13458" s="3" t="s">
        <v>67955</v>
      </c>
      <c r="L13458" s="3" t="s">
        <v>67956</v>
      </c>
      <c r="M13458" s="4"/>
      <c r="N13458" s="3" t="s">
        <v>37</v>
      </c>
      <c r="O13458" s="3" t="s">
        <v>38</v>
      </c>
      <c r="P13458" s="5">
        <v>8</v>
      </c>
      <c r="Q13458" s="5">
        <v>49</v>
      </c>
      <c r="R13458" s="5">
        <v>9</v>
      </c>
      <c r="S13458" s="5">
        <v>51</v>
      </c>
    </row>
    <row r="13459" spans="1:19" ht="56" x14ac:dyDescent="0.15">
      <c r="A13459" s="2">
        <f>HYPERLINK("https://open-school.uspishnemisto.com.ua/school/630798/", 630798)</f>
        <v>630798</v>
      </c>
      <c r="B13459" s="3" t="s">
        <v>67957</v>
      </c>
      <c r="C13459" s="3" t="s">
        <v>54</v>
      </c>
      <c r="D13459" s="3" t="s">
        <v>32</v>
      </c>
      <c r="E13459" s="4" t="s">
        <v>22</v>
      </c>
      <c r="F13459" s="4" t="s">
        <v>67958</v>
      </c>
      <c r="G13459" s="4" t="s">
        <v>67959</v>
      </c>
      <c r="H13459" s="3" t="s">
        <v>63948</v>
      </c>
      <c r="I13459" s="3" t="s">
        <v>67960</v>
      </c>
      <c r="J13459" s="3" t="s">
        <v>584</v>
      </c>
      <c r="K13459" s="3" t="s">
        <v>67961</v>
      </c>
      <c r="L13459" s="3" t="s">
        <v>67962</v>
      </c>
      <c r="M13459" s="4"/>
      <c r="N13459" s="3" t="s">
        <v>37</v>
      </c>
      <c r="O13459" s="3" t="s">
        <v>38</v>
      </c>
      <c r="P13459" s="5">
        <v>11</v>
      </c>
      <c r="Q13459" s="5">
        <v>85</v>
      </c>
      <c r="R13459" s="5">
        <v>11</v>
      </c>
      <c r="S13459" s="5">
        <v>79</v>
      </c>
    </row>
    <row r="13460" spans="1:19" ht="28" x14ac:dyDescent="0.15">
      <c r="A13460" s="2">
        <f>HYPERLINK("https://open-school.uspishnemisto.com.ua/school/630799/", 630799)</f>
        <v>630799</v>
      </c>
      <c r="B13460" s="3" t="s">
        <v>67963</v>
      </c>
      <c r="C13460" s="3" t="s">
        <v>31</v>
      </c>
      <c r="D13460" s="3" t="s">
        <v>32</v>
      </c>
      <c r="E13460" s="4" t="s">
        <v>22</v>
      </c>
      <c r="F13460" s="4" t="s">
        <v>67964</v>
      </c>
      <c r="G13460" s="4" t="s">
        <v>67965</v>
      </c>
      <c r="H13460" s="3" t="s">
        <v>63948</v>
      </c>
      <c r="I13460" s="3" t="s">
        <v>11119</v>
      </c>
      <c r="J13460" s="3" t="s">
        <v>67966</v>
      </c>
      <c r="K13460" s="3" t="s">
        <v>67967</v>
      </c>
      <c r="L13460" s="3"/>
      <c r="M13460" s="4"/>
      <c r="N13460" s="3" t="s">
        <v>37</v>
      </c>
      <c r="O13460" s="3" t="s">
        <v>38</v>
      </c>
      <c r="P13460" s="5">
        <v>11</v>
      </c>
      <c r="Q13460" s="5">
        <v>104</v>
      </c>
      <c r="R13460" s="5">
        <v>11</v>
      </c>
      <c r="S13460" s="5">
        <v>100</v>
      </c>
    </row>
    <row r="13461" spans="1:19" ht="28" x14ac:dyDescent="0.15">
      <c r="A13461" s="2">
        <f>HYPERLINK("https://open-school.uspishnemisto.com.ua/school/630800/", 630800)</f>
        <v>630800</v>
      </c>
      <c r="B13461" s="3" t="s">
        <v>67968</v>
      </c>
      <c r="C13461" s="3" t="s">
        <v>31</v>
      </c>
      <c r="D13461" s="3" t="s">
        <v>32</v>
      </c>
      <c r="E13461" s="4" t="s">
        <v>22</v>
      </c>
      <c r="F13461" s="4" t="s">
        <v>67969</v>
      </c>
      <c r="G13461" s="4" t="s">
        <v>67970</v>
      </c>
      <c r="H13461" s="3" t="s">
        <v>63948</v>
      </c>
      <c r="I13461" s="3" t="s">
        <v>12478</v>
      </c>
      <c r="J13461" s="3" t="s">
        <v>3370</v>
      </c>
      <c r="K13461" s="3" t="s">
        <v>67971</v>
      </c>
      <c r="L13461" s="3"/>
      <c r="M13461" s="4"/>
      <c r="N13461" s="3" t="s">
        <v>37</v>
      </c>
      <c r="O13461" s="3" t="s">
        <v>38</v>
      </c>
      <c r="P13461" s="5">
        <v>8</v>
      </c>
      <c r="Q13461" s="5">
        <v>53</v>
      </c>
      <c r="R13461" s="5">
        <v>7</v>
      </c>
      <c r="S13461" s="5">
        <v>52</v>
      </c>
    </row>
    <row r="13462" spans="1:19" ht="28" x14ac:dyDescent="0.15">
      <c r="A13462" s="2">
        <f>HYPERLINK("https://open-school.uspishnemisto.com.ua/school/630801/", 630801)</f>
        <v>630801</v>
      </c>
      <c r="B13462" s="3" t="s">
        <v>67972</v>
      </c>
      <c r="C13462" s="3" t="s">
        <v>31</v>
      </c>
      <c r="D13462" s="3" t="s">
        <v>175</v>
      </c>
      <c r="E13462" s="4" t="s">
        <v>22</v>
      </c>
      <c r="F13462" s="4" t="s">
        <v>67973</v>
      </c>
      <c r="G13462" s="4" t="s">
        <v>67974</v>
      </c>
      <c r="H13462" s="3" t="s">
        <v>63948</v>
      </c>
      <c r="I13462" s="3" t="s">
        <v>11605</v>
      </c>
      <c r="J13462" s="3" t="s">
        <v>3064</v>
      </c>
      <c r="K13462" s="3" t="s">
        <v>67975</v>
      </c>
      <c r="L13462" s="3"/>
      <c r="M13462" s="4"/>
      <c r="N13462" s="3" t="s">
        <v>37</v>
      </c>
      <c r="O13462" s="3" t="s">
        <v>38</v>
      </c>
      <c r="P13462" s="5">
        <v>8</v>
      </c>
      <c r="Q13462" s="5">
        <v>57</v>
      </c>
      <c r="R13462" s="5">
        <v>8</v>
      </c>
      <c r="S13462" s="5">
        <v>52</v>
      </c>
    </row>
    <row r="13463" spans="1:19" ht="28" x14ac:dyDescent="0.15">
      <c r="A13463" s="2">
        <f>HYPERLINK("https://open-school.uspishnemisto.com.ua/school/630802/", 630802)</f>
        <v>630802</v>
      </c>
      <c r="B13463" s="3" t="s">
        <v>67976</v>
      </c>
      <c r="C13463" s="3" t="s">
        <v>31</v>
      </c>
      <c r="D13463" s="3" t="s">
        <v>175</v>
      </c>
      <c r="E13463" s="4" t="s">
        <v>22</v>
      </c>
      <c r="F13463" s="4" t="s">
        <v>67977</v>
      </c>
      <c r="G13463" s="4" t="s">
        <v>67978</v>
      </c>
      <c r="H13463" s="3" t="s">
        <v>63948</v>
      </c>
      <c r="I13463" s="3" t="s">
        <v>67979</v>
      </c>
      <c r="J13463" s="3" t="s">
        <v>67980</v>
      </c>
      <c r="K13463" s="3" t="s">
        <v>67981</v>
      </c>
      <c r="L13463" s="3" t="s">
        <v>67982</v>
      </c>
      <c r="M13463" s="4"/>
      <c r="N13463" s="3" t="s">
        <v>37</v>
      </c>
      <c r="O13463" s="3" t="s">
        <v>38</v>
      </c>
      <c r="P13463" s="5">
        <v>2</v>
      </c>
      <c r="Q13463" s="5">
        <v>27</v>
      </c>
      <c r="R13463" s="5">
        <v>3</v>
      </c>
      <c r="S13463" s="5">
        <v>34</v>
      </c>
    </row>
    <row r="13464" spans="1:19" ht="42" x14ac:dyDescent="0.15">
      <c r="A13464" s="2">
        <f>HYPERLINK("https://open-school.uspishnemisto.com.ua/school/630803/", 630803)</f>
        <v>630803</v>
      </c>
      <c r="B13464" s="3" t="s">
        <v>67983</v>
      </c>
      <c r="C13464" s="3" t="s">
        <v>31</v>
      </c>
      <c r="D13464" s="3" t="s">
        <v>32</v>
      </c>
      <c r="E13464" s="4" t="s">
        <v>22</v>
      </c>
      <c r="F13464" s="4" t="s">
        <v>67984</v>
      </c>
      <c r="G13464" s="4" t="s">
        <v>67985</v>
      </c>
      <c r="H13464" s="3" t="s">
        <v>63948</v>
      </c>
      <c r="I13464" s="3" t="s">
        <v>67313</v>
      </c>
      <c r="J13464" s="3" t="s">
        <v>67986</v>
      </c>
      <c r="K13464" s="3" t="s">
        <v>67987</v>
      </c>
      <c r="L13464" s="3" t="s">
        <v>67988</v>
      </c>
      <c r="M13464" s="4"/>
      <c r="N13464" s="3" t="s">
        <v>37</v>
      </c>
      <c r="O13464" s="3" t="s">
        <v>38</v>
      </c>
      <c r="P13464" s="5">
        <v>11</v>
      </c>
      <c r="Q13464" s="5">
        <v>122</v>
      </c>
      <c r="R13464" s="5">
        <v>11</v>
      </c>
      <c r="S13464" s="5">
        <v>124</v>
      </c>
    </row>
    <row r="13465" spans="1:19" ht="28" x14ac:dyDescent="0.15">
      <c r="A13465" s="2">
        <f>HYPERLINK("https://open-school.uspishnemisto.com.ua/school/650002/", 650002)</f>
        <v>650002</v>
      </c>
      <c r="B13465" s="3" t="s">
        <v>67989</v>
      </c>
      <c r="C13465" s="3" t="s">
        <v>31</v>
      </c>
      <c r="D13465" s="3" t="s">
        <v>32</v>
      </c>
      <c r="E13465" s="4" t="s">
        <v>22</v>
      </c>
      <c r="F13465" s="4" t="s">
        <v>67990</v>
      </c>
      <c r="G13465" s="4" t="s">
        <v>67991</v>
      </c>
      <c r="H13465" s="3" t="s">
        <v>67992</v>
      </c>
      <c r="I13465" s="3" t="s">
        <v>67993</v>
      </c>
      <c r="J13465" s="3" t="s">
        <v>67994</v>
      </c>
      <c r="K13465" s="3" t="s">
        <v>67995</v>
      </c>
      <c r="L13465" s="3" t="s">
        <v>67996</v>
      </c>
      <c r="M13465" s="4"/>
      <c r="N13465" s="3" t="s">
        <v>37</v>
      </c>
      <c r="O13465" s="3" t="s">
        <v>38</v>
      </c>
      <c r="P13465" s="5">
        <v>11</v>
      </c>
      <c r="Q13465" s="5">
        <v>306</v>
      </c>
      <c r="R13465" s="5">
        <v>11</v>
      </c>
      <c r="S13465" s="5">
        <v>305</v>
      </c>
    </row>
    <row r="13466" spans="1:19" ht="28" x14ac:dyDescent="0.15">
      <c r="A13466" s="2">
        <f>HYPERLINK("https://open-school.uspishnemisto.com.ua/school/650003/", 650003)</f>
        <v>650003</v>
      </c>
      <c r="B13466" s="3" t="s">
        <v>67997</v>
      </c>
      <c r="C13466" s="3" t="s">
        <v>54</v>
      </c>
      <c r="D13466" s="3" t="s">
        <v>60</v>
      </c>
      <c r="E13466" s="4" t="s">
        <v>22</v>
      </c>
      <c r="F13466" s="4" t="s">
        <v>67998</v>
      </c>
      <c r="G13466" s="4" t="s">
        <v>67991</v>
      </c>
      <c r="H13466" s="3" t="s">
        <v>67992</v>
      </c>
      <c r="I13466" s="3" t="s">
        <v>67993</v>
      </c>
      <c r="J13466" s="3" t="s">
        <v>67999</v>
      </c>
      <c r="K13466" s="3" t="s">
        <v>68000</v>
      </c>
      <c r="L13466" s="3"/>
      <c r="M13466" s="4"/>
      <c r="N13466" s="3" t="s">
        <v>37</v>
      </c>
      <c r="O13466" s="3" t="s">
        <v>52</v>
      </c>
      <c r="P13466" s="5">
        <v>3</v>
      </c>
      <c r="Q13466" s="5">
        <v>32</v>
      </c>
      <c r="R13466" s="5">
        <v>4</v>
      </c>
      <c r="S13466" s="5">
        <v>41</v>
      </c>
    </row>
    <row r="13467" spans="1:19" ht="28" x14ac:dyDescent="0.15">
      <c r="A13467" s="2">
        <f>HYPERLINK("https://open-school.uspishnemisto.com.ua/school/650005/", 650005)</f>
        <v>650005</v>
      </c>
      <c r="B13467" s="3" t="s">
        <v>68001</v>
      </c>
      <c r="C13467" s="3" t="s">
        <v>40</v>
      </c>
      <c r="D13467" s="3" t="s">
        <v>32</v>
      </c>
      <c r="E13467" s="4" t="s">
        <v>22</v>
      </c>
      <c r="F13467" s="4" t="s">
        <v>68002</v>
      </c>
      <c r="G13467" s="4" t="s">
        <v>67991</v>
      </c>
      <c r="H13467" s="3" t="s">
        <v>67992</v>
      </c>
      <c r="I13467" s="3" t="s">
        <v>67993</v>
      </c>
      <c r="J13467" s="3" t="s">
        <v>68003</v>
      </c>
      <c r="K13467" s="3" t="s">
        <v>68004</v>
      </c>
      <c r="L13467" s="3" t="s">
        <v>68005</v>
      </c>
      <c r="M13467" s="4"/>
      <c r="N13467" s="3" t="s">
        <v>37</v>
      </c>
      <c r="O13467" s="3" t="s">
        <v>46</v>
      </c>
      <c r="P13467" s="5">
        <v>39</v>
      </c>
      <c r="Q13467" s="5">
        <v>1139</v>
      </c>
      <c r="R13467" s="5">
        <v>38</v>
      </c>
      <c r="S13467" s="5">
        <v>1129</v>
      </c>
    </row>
    <row r="13468" spans="1:19" ht="28" x14ac:dyDescent="0.15">
      <c r="A13468" s="2">
        <f>HYPERLINK("https://open-school.uspishnemisto.com.ua/school/650006/", 650006)</f>
        <v>650006</v>
      </c>
      <c r="B13468" s="3" t="s">
        <v>68006</v>
      </c>
      <c r="C13468" s="3" t="s">
        <v>40</v>
      </c>
      <c r="D13468" s="3" t="s">
        <v>32</v>
      </c>
      <c r="E13468" s="4" t="s">
        <v>22</v>
      </c>
      <c r="F13468" s="4" t="s">
        <v>68007</v>
      </c>
      <c r="G13468" s="4" t="s">
        <v>67991</v>
      </c>
      <c r="H13468" s="3" t="s">
        <v>67992</v>
      </c>
      <c r="I13468" s="3" t="s">
        <v>67993</v>
      </c>
      <c r="J13468" s="3" t="s">
        <v>68008</v>
      </c>
      <c r="K13468" s="3" t="s">
        <v>68009</v>
      </c>
      <c r="L13468" s="3" t="s">
        <v>68010</v>
      </c>
      <c r="M13468" s="4"/>
      <c r="N13468" s="3" t="s">
        <v>37</v>
      </c>
      <c r="O13468" s="3" t="s">
        <v>38</v>
      </c>
      <c r="P13468" s="5">
        <v>34</v>
      </c>
      <c r="Q13468" s="5">
        <v>1024</v>
      </c>
      <c r="R13468" s="5">
        <v>35</v>
      </c>
      <c r="S13468" s="5">
        <v>1042</v>
      </c>
    </row>
    <row r="13469" spans="1:19" ht="28" x14ac:dyDescent="0.15">
      <c r="A13469" s="2">
        <f>HYPERLINK("https://open-school.uspishnemisto.com.ua/school/650007/", 650007)</f>
        <v>650007</v>
      </c>
      <c r="B13469" s="3" t="s">
        <v>68011</v>
      </c>
      <c r="C13469" s="3" t="s">
        <v>31</v>
      </c>
      <c r="D13469" s="3" t="s">
        <v>32</v>
      </c>
      <c r="E13469" s="4" t="s">
        <v>22</v>
      </c>
      <c r="F13469" s="4" t="s">
        <v>68012</v>
      </c>
      <c r="G13469" s="4" t="s">
        <v>67991</v>
      </c>
      <c r="H13469" s="3" t="s">
        <v>67992</v>
      </c>
      <c r="I13469" s="3" t="s">
        <v>67993</v>
      </c>
      <c r="J13469" s="3" t="s">
        <v>68013</v>
      </c>
      <c r="K13469" s="3" t="s">
        <v>68014</v>
      </c>
      <c r="L13469" s="3" t="s">
        <v>68015</v>
      </c>
      <c r="M13469" s="4"/>
      <c r="N13469" s="3" t="s">
        <v>128</v>
      </c>
      <c r="O13469" s="3" t="s">
        <v>70</v>
      </c>
      <c r="P13469" s="5">
        <v>28</v>
      </c>
      <c r="Q13469" s="5">
        <v>836</v>
      </c>
      <c r="R13469" s="5">
        <v>26</v>
      </c>
      <c r="S13469" s="5">
        <v>797</v>
      </c>
    </row>
    <row r="13470" spans="1:19" ht="28" x14ac:dyDescent="0.15">
      <c r="A13470" s="2">
        <f>HYPERLINK("https://open-school.uspishnemisto.com.ua/school/650008/", 650008)</f>
        <v>650008</v>
      </c>
      <c r="B13470" s="3" t="s">
        <v>68016</v>
      </c>
      <c r="C13470" s="3" t="s">
        <v>31</v>
      </c>
      <c r="D13470" s="3" t="s">
        <v>32</v>
      </c>
      <c r="E13470" s="4" t="s">
        <v>22</v>
      </c>
      <c r="F13470" s="4" t="s">
        <v>68012</v>
      </c>
      <c r="G13470" s="4" t="s">
        <v>67991</v>
      </c>
      <c r="H13470" s="3" t="s">
        <v>67992</v>
      </c>
      <c r="I13470" s="3" t="s">
        <v>67993</v>
      </c>
      <c r="J13470" s="3" t="s">
        <v>68017</v>
      </c>
      <c r="K13470" s="3" t="s">
        <v>68018</v>
      </c>
      <c r="L13470" s="3"/>
      <c r="M13470" s="4"/>
      <c r="N13470" s="3" t="s">
        <v>37</v>
      </c>
      <c r="O13470" s="3" t="s">
        <v>70</v>
      </c>
      <c r="P13470" s="5">
        <v>10</v>
      </c>
      <c r="Q13470" s="5">
        <v>191</v>
      </c>
      <c r="R13470" s="5">
        <v>11</v>
      </c>
      <c r="S13470" s="5">
        <v>210</v>
      </c>
    </row>
    <row r="13471" spans="1:19" ht="28" x14ac:dyDescent="0.15">
      <c r="A13471" s="2">
        <f>HYPERLINK("https://open-school.uspishnemisto.com.ua/school/650010/", 650010)</f>
        <v>650010</v>
      </c>
      <c r="B13471" s="3" t="s">
        <v>68019</v>
      </c>
      <c r="C13471" s="3" t="s">
        <v>31</v>
      </c>
      <c r="D13471" s="3" t="s">
        <v>175</v>
      </c>
      <c r="E13471" s="4" t="s">
        <v>22</v>
      </c>
      <c r="F13471" s="4" t="s">
        <v>68020</v>
      </c>
      <c r="G13471" s="4" t="s">
        <v>67991</v>
      </c>
      <c r="H13471" s="3" t="s">
        <v>67992</v>
      </c>
      <c r="I13471" s="3" t="s">
        <v>67993</v>
      </c>
      <c r="J13471" s="3" t="s">
        <v>68021</v>
      </c>
      <c r="K13471" s="3" t="s">
        <v>68022</v>
      </c>
      <c r="L13471" s="3" t="s">
        <v>68023</v>
      </c>
      <c r="M13471" s="4"/>
      <c r="N13471" s="3" t="s">
        <v>37</v>
      </c>
      <c r="O13471" s="3" t="s">
        <v>38</v>
      </c>
      <c r="P13471" s="5">
        <v>16</v>
      </c>
      <c r="Q13471" s="5">
        <v>415</v>
      </c>
      <c r="R13471" s="5">
        <v>16</v>
      </c>
      <c r="S13471" s="5">
        <v>400</v>
      </c>
    </row>
    <row r="13472" spans="1:19" ht="42" x14ac:dyDescent="0.15">
      <c r="A13472" s="2">
        <f>HYPERLINK("https://open-school.uspishnemisto.com.ua/school/650011/", 650011)</f>
        <v>650011</v>
      </c>
      <c r="B13472" s="3" t="s">
        <v>68024</v>
      </c>
      <c r="C13472" s="3" t="s">
        <v>31</v>
      </c>
      <c r="D13472" s="3" t="s">
        <v>175</v>
      </c>
      <c r="E13472" s="4" t="s">
        <v>22</v>
      </c>
      <c r="F13472" s="4" t="s">
        <v>68002</v>
      </c>
      <c r="G13472" s="4" t="s">
        <v>67991</v>
      </c>
      <c r="H13472" s="3" t="s">
        <v>67992</v>
      </c>
      <c r="I13472" s="3" t="s">
        <v>67993</v>
      </c>
      <c r="J13472" s="3" t="s">
        <v>11917</v>
      </c>
      <c r="K13472" s="3" t="s">
        <v>68025</v>
      </c>
      <c r="L13472" s="3" t="s">
        <v>68026</v>
      </c>
      <c r="M13472" s="4"/>
      <c r="N13472" s="3" t="s">
        <v>37</v>
      </c>
      <c r="O13472" s="3" t="s">
        <v>68027</v>
      </c>
      <c r="P13472" s="5">
        <v>9</v>
      </c>
      <c r="Q13472" s="5">
        <v>201</v>
      </c>
      <c r="R13472" s="5">
        <v>9</v>
      </c>
      <c r="S13472" s="5">
        <v>194</v>
      </c>
    </row>
    <row r="13473" spans="1:19" ht="28" x14ac:dyDescent="0.15">
      <c r="A13473" s="2">
        <f>HYPERLINK("https://open-school.uspishnemisto.com.ua/school/650012/", 650012)</f>
        <v>650012</v>
      </c>
      <c r="B13473" s="3" t="s">
        <v>68028</v>
      </c>
      <c r="C13473" s="3" t="s">
        <v>31</v>
      </c>
      <c r="D13473" s="3" t="s">
        <v>32</v>
      </c>
      <c r="E13473" s="4" t="s">
        <v>22</v>
      </c>
      <c r="F13473" s="4" t="s">
        <v>68002</v>
      </c>
      <c r="G13473" s="4" t="s">
        <v>67991</v>
      </c>
      <c r="H13473" s="3" t="s">
        <v>67992</v>
      </c>
      <c r="I13473" s="3" t="s">
        <v>67993</v>
      </c>
      <c r="J13473" s="3" t="s">
        <v>68029</v>
      </c>
      <c r="K13473" s="3" t="s">
        <v>68030</v>
      </c>
      <c r="L13473" s="3" t="s">
        <v>68031</v>
      </c>
      <c r="M13473" s="4"/>
      <c r="N13473" s="3" t="s">
        <v>967</v>
      </c>
      <c r="O13473" s="3" t="s">
        <v>46</v>
      </c>
      <c r="P13473" s="5">
        <v>20</v>
      </c>
      <c r="Q13473" s="5">
        <v>533</v>
      </c>
      <c r="R13473" s="5">
        <v>20</v>
      </c>
      <c r="S13473" s="5">
        <v>542</v>
      </c>
    </row>
    <row r="13474" spans="1:19" ht="28" x14ac:dyDescent="0.15">
      <c r="A13474" s="2">
        <f>HYPERLINK("https://open-school.uspishnemisto.com.ua/school/650013/", 650013)</f>
        <v>650013</v>
      </c>
      <c r="B13474" s="3" t="s">
        <v>68032</v>
      </c>
      <c r="C13474" s="3" t="s">
        <v>31</v>
      </c>
      <c r="D13474" s="3" t="s">
        <v>32</v>
      </c>
      <c r="E13474" s="4" t="s">
        <v>22</v>
      </c>
      <c r="F13474" s="4" t="s">
        <v>68002</v>
      </c>
      <c r="G13474" s="4" t="s">
        <v>67991</v>
      </c>
      <c r="H13474" s="3" t="s">
        <v>67992</v>
      </c>
      <c r="I13474" s="3" t="s">
        <v>67993</v>
      </c>
      <c r="J13474" s="3" t="s">
        <v>68033</v>
      </c>
      <c r="K13474" s="3" t="s">
        <v>68034</v>
      </c>
      <c r="L13474" s="3"/>
      <c r="M13474" s="4"/>
      <c r="N13474" s="3" t="s">
        <v>37</v>
      </c>
      <c r="O13474" s="3" t="s">
        <v>46</v>
      </c>
      <c r="P13474" s="5">
        <v>11</v>
      </c>
      <c r="Q13474" s="5">
        <v>258</v>
      </c>
      <c r="R13474" s="5">
        <v>11</v>
      </c>
      <c r="S13474" s="5">
        <v>251</v>
      </c>
    </row>
    <row r="13475" spans="1:19" ht="28" x14ac:dyDescent="0.15">
      <c r="A13475" s="2">
        <f>HYPERLINK("https://open-school.uspishnemisto.com.ua/school/650014/", 650014)</f>
        <v>650014</v>
      </c>
      <c r="B13475" s="3" t="s">
        <v>68035</v>
      </c>
      <c r="C13475" s="3" t="s">
        <v>31</v>
      </c>
      <c r="D13475" s="3" t="s">
        <v>32</v>
      </c>
      <c r="E13475" s="4" t="s">
        <v>22</v>
      </c>
      <c r="F13475" s="4" t="s">
        <v>68036</v>
      </c>
      <c r="G13475" s="4" t="s">
        <v>67991</v>
      </c>
      <c r="H13475" s="3" t="s">
        <v>67992</v>
      </c>
      <c r="I13475" s="3" t="s">
        <v>67993</v>
      </c>
      <c r="J13475" s="3" t="s">
        <v>68037</v>
      </c>
      <c r="K13475" s="3" t="s">
        <v>68038</v>
      </c>
      <c r="L13475" s="3" t="s">
        <v>68039</v>
      </c>
      <c r="M13475" s="4"/>
      <c r="N13475" s="3" t="s">
        <v>37</v>
      </c>
      <c r="O13475" s="3" t="s">
        <v>46</v>
      </c>
      <c r="P13475" s="5">
        <v>36</v>
      </c>
      <c r="Q13475" s="5">
        <v>1035</v>
      </c>
      <c r="R13475" s="5">
        <v>35</v>
      </c>
      <c r="S13475" s="5">
        <v>1009</v>
      </c>
    </row>
    <row r="13476" spans="1:19" ht="28" x14ac:dyDescent="0.15">
      <c r="A13476" s="2">
        <f>HYPERLINK("https://open-school.uspishnemisto.com.ua/school/650015/", 650015)</f>
        <v>650015</v>
      </c>
      <c r="B13476" s="3" t="s">
        <v>68040</v>
      </c>
      <c r="C13476" s="3" t="s">
        <v>31</v>
      </c>
      <c r="D13476" s="3" t="s">
        <v>32</v>
      </c>
      <c r="E13476" s="4" t="s">
        <v>22</v>
      </c>
      <c r="F13476" s="4" t="s">
        <v>68041</v>
      </c>
      <c r="G13476" s="4" t="s">
        <v>67991</v>
      </c>
      <c r="H13476" s="3" t="s">
        <v>67992</v>
      </c>
      <c r="I13476" s="3" t="s">
        <v>67993</v>
      </c>
      <c r="J13476" s="3" t="s">
        <v>68042</v>
      </c>
      <c r="K13476" s="3" t="s">
        <v>68043</v>
      </c>
      <c r="L13476" s="3"/>
      <c r="M13476" s="4"/>
      <c r="N13476" s="3" t="s">
        <v>967</v>
      </c>
      <c r="O13476" s="3" t="s">
        <v>52</v>
      </c>
      <c r="P13476" s="5">
        <v>29</v>
      </c>
      <c r="Q13476" s="5">
        <v>885</v>
      </c>
      <c r="R13476" s="5">
        <v>29</v>
      </c>
      <c r="S13476" s="5">
        <v>879</v>
      </c>
    </row>
    <row r="13477" spans="1:19" ht="28" x14ac:dyDescent="0.15">
      <c r="A13477" s="2">
        <f>HYPERLINK("https://open-school.uspishnemisto.com.ua/school/650016/", 650016)</f>
        <v>650016</v>
      </c>
      <c r="B13477" s="3" t="s">
        <v>68044</v>
      </c>
      <c r="C13477" s="3" t="s">
        <v>31</v>
      </c>
      <c r="D13477" s="3" t="s">
        <v>21</v>
      </c>
      <c r="E13477" s="4" t="s">
        <v>22</v>
      </c>
      <c r="F13477" s="4" t="s">
        <v>68002</v>
      </c>
      <c r="G13477" s="4" t="s">
        <v>67991</v>
      </c>
      <c r="H13477" s="3" t="s">
        <v>67992</v>
      </c>
      <c r="I13477" s="3" t="s">
        <v>67993</v>
      </c>
      <c r="J13477" s="3" t="s">
        <v>68045</v>
      </c>
      <c r="K13477" s="3" t="s">
        <v>68046</v>
      </c>
      <c r="L13477" s="3"/>
      <c r="M13477" s="4"/>
      <c r="N13477" s="3" t="s">
        <v>37</v>
      </c>
      <c r="O13477" s="3" t="s">
        <v>52</v>
      </c>
      <c r="P13477" s="5">
        <v>8</v>
      </c>
      <c r="Q13477" s="5">
        <v>142</v>
      </c>
      <c r="R13477" s="5">
        <v>8</v>
      </c>
      <c r="S13477" s="5">
        <v>154</v>
      </c>
    </row>
    <row r="13478" spans="1:19" ht="42" x14ac:dyDescent="0.15">
      <c r="A13478" s="2">
        <f>HYPERLINK("https://open-school.uspishnemisto.com.ua/school/650017/", 650017)</f>
        <v>650017</v>
      </c>
      <c r="B13478" s="3" t="s">
        <v>68047</v>
      </c>
      <c r="C13478" s="3" t="s">
        <v>244</v>
      </c>
      <c r="D13478" s="3" t="s">
        <v>32</v>
      </c>
      <c r="E13478" s="4" t="s">
        <v>22</v>
      </c>
      <c r="F13478" s="4" t="s">
        <v>68007</v>
      </c>
      <c r="G13478" s="4" t="s">
        <v>67991</v>
      </c>
      <c r="H13478" s="3" t="s">
        <v>67992</v>
      </c>
      <c r="I13478" s="3" t="s">
        <v>67993</v>
      </c>
      <c r="J13478" s="3" t="s">
        <v>68048</v>
      </c>
      <c r="K13478" s="3" t="s">
        <v>68049</v>
      </c>
      <c r="L13478" s="3" t="s">
        <v>68050</v>
      </c>
      <c r="M13478" s="4"/>
      <c r="N13478" s="3" t="s">
        <v>37</v>
      </c>
      <c r="O13478" s="3" t="s">
        <v>38530</v>
      </c>
      <c r="P13478" s="5">
        <v>25</v>
      </c>
      <c r="Q13478" s="5">
        <v>732</v>
      </c>
      <c r="R13478" s="5">
        <v>25</v>
      </c>
      <c r="S13478" s="5">
        <v>710</v>
      </c>
    </row>
    <row r="13479" spans="1:19" ht="42" x14ac:dyDescent="0.15">
      <c r="A13479" s="2">
        <f>HYPERLINK("https://open-school.uspishnemisto.com.ua/school/650018/", 650018)</f>
        <v>650018</v>
      </c>
      <c r="B13479" s="3" t="s">
        <v>68051</v>
      </c>
      <c r="C13479" s="3" t="s">
        <v>244</v>
      </c>
      <c r="D13479" s="3" t="s">
        <v>32</v>
      </c>
      <c r="E13479" s="4" t="s">
        <v>22</v>
      </c>
      <c r="F13479" s="4" t="s">
        <v>68052</v>
      </c>
      <c r="G13479" s="4" t="s">
        <v>67991</v>
      </c>
      <c r="H13479" s="3" t="s">
        <v>67992</v>
      </c>
      <c r="I13479" s="3" t="s">
        <v>67993</v>
      </c>
      <c r="J13479" s="3" t="s">
        <v>68053</v>
      </c>
      <c r="K13479" s="3" t="s">
        <v>68054</v>
      </c>
      <c r="L13479" s="3"/>
      <c r="M13479" s="4"/>
      <c r="N13479" s="3" t="s">
        <v>967</v>
      </c>
      <c r="O13479" s="3" t="s">
        <v>46</v>
      </c>
      <c r="P13479" s="5">
        <v>39</v>
      </c>
      <c r="Q13479" s="5">
        <v>1241</v>
      </c>
      <c r="R13479" s="5">
        <v>37</v>
      </c>
      <c r="S13479" s="5">
        <v>1196</v>
      </c>
    </row>
    <row r="13480" spans="1:19" ht="42" x14ac:dyDescent="0.15">
      <c r="A13480" s="2">
        <f>HYPERLINK("https://open-school.uspishnemisto.com.ua/school/650019/", 650019)</f>
        <v>650019</v>
      </c>
      <c r="B13480" s="3" t="s">
        <v>68055</v>
      </c>
      <c r="C13480" s="3" t="s">
        <v>244</v>
      </c>
      <c r="D13480" s="3" t="s">
        <v>32</v>
      </c>
      <c r="E13480" s="4" t="s">
        <v>22</v>
      </c>
      <c r="F13480" s="4" t="s">
        <v>68056</v>
      </c>
      <c r="G13480" s="4" t="s">
        <v>67991</v>
      </c>
      <c r="H13480" s="3" t="s">
        <v>67992</v>
      </c>
      <c r="I13480" s="3" t="s">
        <v>67993</v>
      </c>
      <c r="J13480" s="3" t="s">
        <v>68057</v>
      </c>
      <c r="K13480" s="3" t="s">
        <v>68058</v>
      </c>
      <c r="L13480" s="3" t="s">
        <v>68059</v>
      </c>
      <c r="M13480" s="4"/>
      <c r="N13480" s="3" t="s">
        <v>967</v>
      </c>
      <c r="O13480" s="3" t="s">
        <v>8857</v>
      </c>
      <c r="P13480" s="5">
        <v>24</v>
      </c>
      <c r="Q13480" s="5">
        <v>694</v>
      </c>
      <c r="R13480" s="5">
        <v>23</v>
      </c>
      <c r="S13480" s="5">
        <v>665</v>
      </c>
    </row>
    <row r="13481" spans="1:19" ht="56" x14ac:dyDescent="0.15">
      <c r="A13481" s="2">
        <f>HYPERLINK("https://open-school.uspishnemisto.com.ua/school/650020/", 650020)</f>
        <v>650020</v>
      </c>
      <c r="B13481" s="3" t="s">
        <v>68060</v>
      </c>
      <c r="C13481" s="3" t="s">
        <v>244</v>
      </c>
      <c r="D13481" s="3" t="s">
        <v>32</v>
      </c>
      <c r="E13481" s="4" t="s">
        <v>22</v>
      </c>
      <c r="F13481" s="4" t="s">
        <v>68061</v>
      </c>
      <c r="G13481" s="4" t="s">
        <v>67991</v>
      </c>
      <c r="H13481" s="3" t="s">
        <v>67992</v>
      </c>
      <c r="I13481" s="3" t="s">
        <v>67993</v>
      </c>
      <c r="J13481" s="3" t="s">
        <v>30603</v>
      </c>
      <c r="K13481" s="3" t="s">
        <v>68062</v>
      </c>
      <c r="L13481" s="3" t="s">
        <v>68063</v>
      </c>
      <c r="M13481" s="4"/>
      <c r="N13481" s="3" t="s">
        <v>967</v>
      </c>
      <c r="O13481" s="3" t="s">
        <v>52</v>
      </c>
      <c r="P13481" s="5">
        <v>39</v>
      </c>
      <c r="Q13481" s="5">
        <v>1257</v>
      </c>
      <c r="R13481" s="5">
        <v>39</v>
      </c>
      <c r="S13481" s="5">
        <v>1221</v>
      </c>
    </row>
    <row r="13482" spans="1:19" ht="28" x14ac:dyDescent="0.15">
      <c r="A13482" s="2">
        <f>HYPERLINK("https://open-school.uspishnemisto.com.ua/school/650021/", 650021)</f>
        <v>650021</v>
      </c>
      <c r="B13482" s="3" t="s">
        <v>68064</v>
      </c>
      <c r="C13482" s="3" t="s">
        <v>181</v>
      </c>
      <c r="D13482" s="3" t="s">
        <v>32</v>
      </c>
      <c r="E13482" s="4" t="s">
        <v>22</v>
      </c>
      <c r="F13482" s="4" t="s">
        <v>68020</v>
      </c>
      <c r="G13482" s="4" t="s">
        <v>67991</v>
      </c>
      <c r="H13482" s="3" t="s">
        <v>67992</v>
      </c>
      <c r="I13482" s="3" t="s">
        <v>67993</v>
      </c>
      <c r="J13482" s="3" t="s">
        <v>68065</v>
      </c>
      <c r="K13482" s="3" t="s">
        <v>68066</v>
      </c>
      <c r="L13482" s="3"/>
      <c r="M13482" s="4" t="s">
        <v>68067</v>
      </c>
      <c r="N13482" s="3" t="s">
        <v>37</v>
      </c>
      <c r="O13482" s="3" t="s">
        <v>52</v>
      </c>
      <c r="P13482" s="5">
        <v>15</v>
      </c>
      <c r="Q13482" s="5">
        <v>93</v>
      </c>
      <c r="R13482" s="5">
        <v>13</v>
      </c>
      <c r="S13482" s="5">
        <v>88</v>
      </c>
    </row>
    <row r="13483" spans="1:19" ht="56" x14ac:dyDescent="0.15">
      <c r="A13483" s="2">
        <f>HYPERLINK("https://open-school.uspishnemisto.com.ua/school/650022/", 650022)</f>
        <v>650022</v>
      </c>
      <c r="B13483" s="3" t="s">
        <v>68068</v>
      </c>
      <c r="C13483" s="3" t="s">
        <v>54</v>
      </c>
      <c r="D13483" s="3" t="s">
        <v>32</v>
      </c>
      <c r="E13483" s="4" t="s">
        <v>41</v>
      </c>
      <c r="F13483" s="4" t="s">
        <v>68069</v>
      </c>
      <c r="G13483" s="4" t="s">
        <v>67991</v>
      </c>
      <c r="H13483" s="3" t="s">
        <v>67992</v>
      </c>
      <c r="I13483" s="3" t="s">
        <v>67993</v>
      </c>
      <c r="J13483" s="3" t="s">
        <v>68070</v>
      </c>
      <c r="K13483" s="3" t="s">
        <v>68071</v>
      </c>
      <c r="L13483" s="3"/>
      <c r="M13483" s="4"/>
      <c r="N13483" s="3" t="s">
        <v>967</v>
      </c>
      <c r="O13483" s="3" t="s">
        <v>8629</v>
      </c>
      <c r="P13483" s="5">
        <v>11</v>
      </c>
      <c r="Q13483" s="5">
        <v>40</v>
      </c>
      <c r="R13483" s="5">
        <v>11</v>
      </c>
      <c r="S13483" s="5">
        <v>41</v>
      </c>
    </row>
    <row r="13484" spans="1:19" ht="42" x14ac:dyDescent="0.15">
      <c r="A13484" s="2">
        <f>HYPERLINK("https://open-school.uspishnemisto.com.ua/school/650023/", 650023)</f>
        <v>650023</v>
      </c>
      <c r="B13484" s="3" t="s">
        <v>68072</v>
      </c>
      <c r="C13484" s="3" t="s">
        <v>188</v>
      </c>
      <c r="D13484" s="3" t="s">
        <v>32</v>
      </c>
      <c r="E13484" s="4" t="s">
        <v>22</v>
      </c>
      <c r="F13484" s="4" t="s">
        <v>68002</v>
      </c>
      <c r="G13484" s="4" t="s">
        <v>67991</v>
      </c>
      <c r="H13484" s="3" t="s">
        <v>67992</v>
      </c>
      <c r="I13484" s="3" t="s">
        <v>67993</v>
      </c>
      <c r="J13484" s="3" t="s">
        <v>68073</v>
      </c>
      <c r="K13484" s="3" t="s">
        <v>68074</v>
      </c>
      <c r="L13484" s="3" t="s">
        <v>68075</v>
      </c>
      <c r="M13484" s="4" t="s">
        <v>68076</v>
      </c>
      <c r="N13484" s="3" t="s">
        <v>37</v>
      </c>
      <c r="O13484" s="3" t="s">
        <v>68077</v>
      </c>
      <c r="P13484" s="5">
        <v>15</v>
      </c>
      <c r="Q13484" s="5">
        <v>468</v>
      </c>
      <c r="R13484" s="5">
        <v>14</v>
      </c>
      <c r="S13484" s="5">
        <v>434</v>
      </c>
    </row>
    <row r="13485" spans="1:19" ht="42" x14ac:dyDescent="0.15">
      <c r="A13485" s="2">
        <f>HYPERLINK("https://open-school.uspishnemisto.com.ua/school/650024/", 650024)</f>
        <v>650024</v>
      </c>
      <c r="B13485" s="3" t="s">
        <v>68078</v>
      </c>
      <c r="C13485" s="3" t="s">
        <v>54</v>
      </c>
      <c r="D13485" s="3" t="s">
        <v>32</v>
      </c>
      <c r="E13485" s="4" t="s">
        <v>22</v>
      </c>
      <c r="F13485" s="4" t="s">
        <v>68079</v>
      </c>
      <c r="G13485" s="4" t="s">
        <v>67991</v>
      </c>
      <c r="H13485" s="3" t="s">
        <v>67992</v>
      </c>
      <c r="I13485" s="3" t="s">
        <v>67993</v>
      </c>
      <c r="J13485" s="3" t="s">
        <v>68080</v>
      </c>
      <c r="K13485" s="3" t="s">
        <v>68081</v>
      </c>
      <c r="L13485" s="3"/>
      <c r="M13485" s="4"/>
      <c r="N13485" s="3" t="s">
        <v>128</v>
      </c>
      <c r="O13485" s="3" t="s">
        <v>70</v>
      </c>
      <c r="P13485" s="5">
        <v>18</v>
      </c>
      <c r="Q13485" s="5">
        <v>487</v>
      </c>
      <c r="R13485" s="5">
        <v>18</v>
      </c>
      <c r="S13485" s="5">
        <v>520</v>
      </c>
    </row>
    <row r="13486" spans="1:19" ht="42" x14ac:dyDescent="0.15">
      <c r="A13486" s="2">
        <f>HYPERLINK("https://open-school.uspishnemisto.com.ua/school/650025/", 650025)</f>
        <v>650025</v>
      </c>
      <c r="B13486" s="3" t="s">
        <v>68082</v>
      </c>
      <c r="C13486" s="3" t="s">
        <v>54</v>
      </c>
      <c r="D13486" s="3" t="s">
        <v>32</v>
      </c>
      <c r="E13486" s="4" t="s">
        <v>22</v>
      </c>
      <c r="F13486" s="4" t="s">
        <v>68083</v>
      </c>
      <c r="G13486" s="4" t="s">
        <v>67991</v>
      </c>
      <c r="H13486" s="3" t="s">
        <v>67992</v>
      </c>
      <c r="I13486" s="3" t="s">
        <v>67993</v>
      </c>
      <c r="J13486" s="3" t="s">
        <v>68084</v>
      </c>
      <c r="K13486" s="3" t="s">
        <v>68085</v>
      </c>
      <c r="L13486" s="3" t="s">
        <v>68086</v>
      </c>
      <c r="M13486" s="4"/>
      <c r="N13486" s="3" t="s">
        <v>37</v>
      </c>
      <c r="O13486" s="3" t="s">
        <v>46</v>
      </c>
      <c r="P13486" s="5">
        <v>9</v>
      </c>
      <c r="Q13486" s="5">
        <v>153</v>
      </c>
      <c r="R13486" s="5">
        <v>9</v>
      </c>
      <c r="S13486" s="5">
        <v>160</v>
      </c>
    </row>
    <row r="13487" spans="1:19" ht="56" x14ac:dyDescent="0.15">
      <c r="A13487" s="2">
        <f>HYPERLINK("https://open-school.uspishnemisto.com.ua/school/650026/", 650026)</f>
        <v>650026</v>
      </c>
      <c r="B13487" s="3" t="s">
        <v>68087</v>
      </c>
      <c r="C13487" s="3" t="s">
        <v>54</v>
      </c>
      <c r="D13487" s="3" t="s">
        <v>32</v>
      </c>
      <c r="E13487" s="4" t="s">
        <v>22</v>
      </c>
      <c r="F13487" s="4" t="s">
        <v>68002</v>
      </c>
      <c r="G13487" s="4" t="s">
        <v>67991</v>
      </c>
      <c r="H13487" s="3" t="s">
        <v>67992</v>
      </c>
      <c r="I13487" s="3" t="s">
        <v>67993</v>
      </c>
      <c r="J13487" s="3" t="s">
        <v>68088</v>
      </c>
      <c r="K13487" s="3" t="s">
        <v>68089</v>
      </c>
      <c r="L13487" s="3"/>
      <c r="M13487" s="4"/>
      <c r="N13487" s="3" t="s">
        <v>128</v>
      </c>
      <c r="O13487" s="3" t="s">
        <v>10493</v>
      </c>
      <c r="P13487" s="5">
        <v>41</v>
      </c>
      <c r="Q13487" s="5">
        <v>1270</v>
      </c>
      <c r="R13487" s="5">
        <v>40</v>
      </c>
      <c r="S13487" s="5">
        <v>1254</v>
      </c>
    </row>
    <row r="13488" spans="1:19" ht="56" x14ac:dyDescent="0.15">
      <c r="A13488" s="2">
        <f>HYPERLINK("https://open-school.uspishnemisto.com.ua/school/650027/", 650027)</f>
        <v>650027</v>
      </c>
      <c r="B13488" s="3" t="s">
        <v>68090</v>
      </c>
      <c r="C13488" s="3" t="s">
        <v>174</v>
      </c>
      <c r="D13488" s="3" t="s">
        <v>60</v>
      </c>
      <c r="E13488" s="4" t="s">
        <v>22</v>
      </c>
      <c r="F13488" s="4" t="s">
        <v>68091</v>
      </c>
      <c r="G13488" s="4" t="s">
        <v>67991</v>
      </c>
      <c r="H13488" s="3" t="s">
        <v>67992</v>
      </c>
      <c r="I13488" s="3" t="s">
        <v>67993</v>
      </c>
      <c r="J13488" s="3" t="s">
        <v>68092</v>
      </c>
      <c r="K13488" s="3" t="s">
        <v>68093</v>
      </c>
      <c r="L13488" s="3"/>
      <c r="M13488" s="4"/>
      <c r="N13488" s="3" t="s">
        <v>37</v>
      </c>
      <c r="O13488" s="3"/>
      <c r="P13488" s="5">
        <v>4</v>
      </c>
      <c r="Q13488" s="5">
        <v>25</v>
      </c>
      <c r="R13488" s="5">
        <v>4</v>
      </c>
      <c r="S13488" s="5">
        <v>26</v>
      </c>
    </row>
    <row r="13489" spans="1:19" ht="42" x14ac:dyDescent="0.15">
      <c r="A13489" s="2">
        <f>HYPERLINK("https://open-school.uspishnemisto.com.ua/school/650028/", 650028)</f>
        <v>650028</v>
      </c>
      <c r="B13489" s="3" t="s">
        <v>68094</v>
      </c>
      <c r="C13489" s="3" t="s">
        <v>54</v>
      </c>
      <c r="D13489" s="3" t="s">
        <v>175</v>
      </c>
      <c r="E13489" s="4" t="s">
        <v>22</v>
      </c>
      <c r="F13489" s="4" t="s">
        <v>68095</v>
      </c>
      <c r="G13489" s="4" t="s">
        <v>67991</v>
      </c>
      <c r="H13489" s="3" t="s">
        <v>67992</v>
      </c>
      <c r="I13489" s="3" t="s">
        <v>67993</v>
      </c>
      <c r="J13489" s="3" t="s">
        <v>68096</v>
      </c>
      <c r="K13489" s="3" t="s">
        <v>68097</v>
      </c>
      <c r="L13489" s="3"/>
      <c r="M13489" s="4"/>
      <c r="N13489" s="3" t="s">
        <v>37</v>
      </c>
      <c r="O13489" s="3" t="s">
        <v>8857</v>
      </c>
      <c r="P13489" s="5">
        <v>7</v>
      </c>
      <c r="Q13489" s="5">
        <v>100</v>
      </c>
      <c r="R13489" s="5">
        <v>6</v>
      </c>
      <c r="S13489" s="5">
        <v>87</v>
      </c>
    </row>
    <row r="13490" spans="1:19" ht="42" x14ac:dyDescent="0.15">
      <c r="A13490" s="2">
        <f>HYPERLINK("https://open-school.uspishnemisto.com.ua/school/650029/", 650029)</f>
        <v>650029</v>
      </c>
      <c r="B13490" s="3" t="s">
        <v>68098</v>
      </c>
      <c r="C13490" s="3" t="s">
        <v>54</v>
      </c>
      <c r="D13490" s="3" t="s">
        <v>32</v>
      </c>
      <c r="E13490" s="4" t="s">
        <v>22</v>
      </c>
      <c r="F13490" s="4" t="s">
        <v>68007</v>
      </c>
      <c r="G13490" s="4" t="s">
        <v>67991</v>
      </c>
      <c r="H13490" s="3" t="s">
        <v>67992</v>
      </c>
      <c r="I13490" s="3" t="s">
        <v>67993</v>
      </c>
      <c r="J13490" s="3" t="s">
        <v>68099</v>
      </c>
      <c r="K13490" s="3" t="s">
        <v>68100</v>
      </c>
      <c r="L13490" s="3"/>
      <c r="M13490" s="4"/>
      <c r="N13490" s="3" t="s">
        <v>967</v>
      </c>
      <c r="O13490" s="3" t="s">
        <v>46</v>
      </c>
      <c r="P13490" s="5">
        <v>11</v>
      </c>
      <c r="Q13490" s="5">
        <v>261</v>
      </c>
      <c r="R13490" s="5">
        <v>11</v>
      </c>
      <c r="S13490" s="5">
        <v>264</v>
      </c>
    </row>
    <row r="13491" spans="1:19" ht="28" x14ac:dyDescent="0.15">
      <c r="A13491" s="2">
        <f>HYPERLINK("https://open-school.uspishnemisto.com.ua/school/650030/", 650030)</f>
        <v>650030</v>
      </c>
      <c r="B13491" s="3" t="s">
        <v>68101</v>
      </c>
      <c r="C13491" s="3" t="s">
        <v>293</v>
      </c>
      <c r="D13491" s="3" t="s">
        <v>32</v>
      </c>
      <c r="E13491" s="4" t="s">
        <v>22</v>
      </c>
      <c r="F13491" s="4" t="s">
        <v>68061</v>
      </c>
      <c r="G13491" s="4" t="s">
        <v>68102</v>
      </c>
      <c r="H13491" s="3" t="s">
        <v>67992</v>
      </c>
      <c r="I13491" s="3" t="s">
        <v>68103</v>
      </c>
      <c r="J13491" s="3" t="s">
        <v>68104</v>
      </c>
      <c r="K13491" s="3"/>
      <c r="L13491" s="3"/>
      <c r="M13491" s="4" t="s">
        <v>68105</v>
      </c>
      <c r="N13491" s="3" t="s">
        <v>37</v>
      </c>
      <c r="O13491" s="3" t="s">
        <v>46</v>
      </c>
      <c r="P13491" s="5">
        <v>11</v>
      </c>
      <c r="Q13491" s="5">
        <v>182</v>
      </c>
      <c r="R13491" s="5">
        <v>11</v>
      </c>
      <c r="S13491" s="5">
        <v>176</v>
      </c>
    </row>
    <row r="13492" spans="1:19" ht="28" x14ac:dyDescent="0.15">
      <c r="A13492" s="2">
        <f>HYPERLINK("https://open-school.uspishnemisto.com.ua/school/650031/", 650031)</f>
        <v>650031</v>
      </c>
      <c r="B13492" s="3" t="s">
        <v>68106</v>
      </c>
      <c r="C13492" s="3" t="s">
        <v>54</v>
      </c>
      <c r="D13492" s="3" t="s">
        <v>175</v>
      </c>
      <c r="E13492" s="4" t="s">
        <v>22</v>
      </c>
      <c r="F13492" s="4" t="s">
        <v>68107</v>
      </c>
      <c r="G13492" s="4" t="s">
        <v>68102</v>
      </c>
      <c r="H13492" s="3" t="s">
        <v>67992</v>
      </c>
      <c r="I13492" s="3" t="s">
        <v>68103</v>
      </c>
      <c r="J13492" s="3" t="s">
        <v>68108</v>
      </c>
      <c r="K13492" s="3" t="s">
        <v>68109</v>
      </c>
      <c r="L13492" s="3" t="s">
        <v>68110</v>
      </c>
      <c r="M13492" s="4" t="s">
        <v>68111</v>
      </c>
      <c r="N13492" s="3" t="s">
        <v>37</v>
      </c>
      <c r="O13492" s="3" t="s">
        <v>52</v>
      </c>
      <c r="P13492" s="5">
        <v>9</v>
      </c>
      <c r="Q13492" s="5">
        <v>94</v>
      </c>
      <c r="R13492" s="5">
        <v>8</v>
      </c>
      <c r="S13492" s="5">
        <v>85</v>
      </c>
    </row>
    <row r="13493" spans="1:19" ht="28" x14ac:dyDescent="0.15">
      <c r="A13493" s="2">
        <f>HYPERLINK("https://open-school.uspishnemisto.com.ua/school/650032/", 650032)</f>
        <v>650032</v>
      </c>
      <c r="B13493" s="3" t="s">
        <v>68112</v>
      </c>
      <c r="C13493" s="3" t="s">
        <v>31</v>
      </c>
      <c r="D13493" s="3" t="s">
        <v>32</v>
      </c>
      <c r="E13493" s="4" t="s">
        <v>22</v>
      </c>
      <c r="F13493" s="4" t="s">
        <v>68113</v>
      </c>
      <c r="G13493" s="4" t="s">
        <v>68102</v>
      </c>
      <c r="H13493" s="3" t="s">
        <v>67992</v>
      </c>
      <c r="I13493" s="3" t="s">
        <v>68103</v>
      </c>
      <c r="J13493" s="3" t="s">
        <v>68114</v>
      </c>
      <c r="K13493" s="3" t="s">
        <v>68115</v>
      </c>
      <c r="L13493" s="3" t="s">
        <v>68116</v>
      </c>
      <c r="M13493" s="4"/>
      <c r="N13493" s="3" t="s">
        <v>37</v>
      </c>
      <c r="O13493" s="3" t="s">
        <v>70</v>
      </c>
      <c r="P13493" s="5">
        <v>15</v>
      </c>
      <c r="Q13493" s="5">
        <v>414</v>
      </c>
      <c r="R13493" s="5">
        <v>14</v>
      </c>
      <c r="S13493" s="5">
        <v>411</v>
      </c>
    </row>
    <row r="13494" spans="1:19" ht="28" x14ac:dyDescent="0.15">
      <c r="A13494" s="2">
        <f>HYPERLINK("https://open-school.uspishnemisto.com.ua/school/650033/", 650033)</f>
        <v>650033</v>
      </c>
      <c r="B13494" s="3" t="s">
        <v>68117</v>
      </c>
      <c r="C13494" s="3" t="s">
        <v>31</v>
      </c>
      <c r="D13494" s="3" t="s">
        <v>32</v>
      </c>
      <c r="E13494" s="4" t="s">
        <v>22</v>
      </c>
      <c r="F13494" s="4" t="s">
        <v>67990</v>
      </c>
      <c r="G13494" s="4" t="s">
        <v>68102</v>
      </c>
      <c r="H13494" s="3" t="s">
        <v>67992</v>
      </c>
      <c r="I13494" s="3" t="s">
        <v>68103</v>
      </c>
      <c r="J13494" s="3" t="s">
        <v>68118</v>
      </c>
      <c r="K13494" s="3" t="s">
        <v>68119</v>
      </c>
      <c r="L13494" s="3"/>
      <c r="M13494" s="4"/>
      <c r="N13494" s="3" t="s">
        <v>37</v>
      </c>
      <c r="O13494" s="3" t="s">
        <v>38</v>
      </c>
      <c r="P13494" s="5">
        <v>19</v>
      </c>
      <c r="Q13494" s="5">
        <v>572</v>
      </c>
      <c r="R13494" s="5">
        <v>18</v>
      </c>
      <c r="S13494" s="5">
        <v>534</v>
      </c>
    </row>
    <row r="13495" spans="1:19" ht="28" x14ac:dyDescent="0.15">
      <c r="A13495" s="2">
        <f>HYPERLINK("https://open-school.uspishnemisto.com.ua/school/650034/", 650034)</f>
        <v>650034</v>
      </c>
      <c r="B13495" s="3" t="s">
        <v>68120</v>
      </c>
      <c r="C13495" s="3" t="s">
        <v>31</v>
      </c>
      <c r="D13495" s="3" t="s">
        <v>32</v>
      </c>
      <c r="E13495" s="4" t="s">
        <v>22</v>
      </c>
      <c r="F13495" s="4" t="s">
        <v>68121</v>
      </c>
      <c r="G13495" s="4" t="s">
        <v>68102</v>
      </c>
      <c r="H13495" s="3" t="s">
        <v>67992</v>
      </c>
      <c r="I13495" s="3" t="s">
        <v>68103</v>
      </c>
      <c r="J13495" s="3" t="s">
        <v>68122</v>
      </c>
      <c r="K13495" s="3" t="s">
        <v>68123</v>
      </c>
      <c r="L13495" s="3"/>
      <c r="M13495" s="4" t="s">
        <v>68124</v>
      </c>
      <c r="N13495" s="3" t="s">
        <v>37</v>
      </c>
      <c r="O13495" s="3" t="s">
        <v>237</v>
      </c>
      <c r="P13495" s="5">
        <v>17</v>
      </c>
      <c r="Q13495" s="5">
        <v>340</v>
      </c>
      <c r="R13495" s="5">
        <v>17</v>
      </c>
      <c r="S13495" s="5">
        <v>332</v>
      </c>
    </row>
    <row r="13496" spans="1:19" ht="28" x14ac:dyDescent="0.15">
      <c r="A13496" s="2">
        <f>HYPERLINK("https://open-school.uspishnemisto.com.ua/school/650035/", 650035)</f>
        <v>650035</v>
      </c>
      <c r="B13496" s="3" t="s">
        <v>68125</v>
      </c>
      <c r="C13496" s="3" t="s">
        <v>31</v>
      </c>
      <c r="D13496" s="3" t="s">
        <v>32</v>
      </c>
      <c r="E13496" s="4" t="s">
        <v>22</v>
      </c>
      <c r="F13496" s="4" t="s">
        <v>68091</v>
      </c>
      <c r="G13496" s="4" t="s">
        <v>68102</v>
      </c>
      <c r="H13496" s="3" t="s">
        <v>67992</v>
      </c>
      <c r="I13496" s="3" t="s">
        <v>68103</v>
      </c>
      <c r="J13496" s="3" t="s">
        <v>68126</v>
      </c>
      <c r="K13496" s="3" t="s">
        <v>68127</v>
      </c>
      <c r="L13496" s="3" t="s">
        <v>68128</v>
      </c>
      <c r="M13496" s="4"/>
      <c r="N13496" s="3" t="s">
        <v>967</v>
      </c>
      <c r="O13496" s="3" t="s">
        <v>52</v>
      </c>
      <c r="P13496" s="5">
        <v>25</v>
      </c>
      <c r="Q13496" s="5">
        <v>735</v>
      </c>
      <c r="R13496" s="5">
        <v>24</v>
      </c>
      <c r="S13496" s="5">
        <v>711</v>
      </c>
    </row>
    <row r="13497" spans="1:19" ht="42" x14ac:dyDescent="0.15">
      <c r="A13497" s="2">
        <f>HYPERLINK("https://open-school.uspishnemisto.com.ua/school/650036/", 650036)</f>
        <v>650036</v>
      </c>
      <c r="B13497" s="3" t="s">
        <v>68129</v>
      </c>
      <c r="C13497" s="3" t="s">
        <v>244</v>
      </c>
      <c r="D13497" s="3" t="s">
        <v>32</v>
      </c>
      <c r="E13497" s="4" t="s">
        <v>22</v>
      </c>
      <c r="F13497" s="4" t="s">
        <v>67990</v>
      </c>
      <c r="G13497" s="4" t="s">
        <v>68102</v>
      </c>
      <c r="H13497" s="3" t="s">
        <v>67992</v>
      </c>
      <c r="I13497" s="3" t="s">
        <v>68103</v>
      </c>
      <c r="J13497" s="3" t="s">
        <v>68130</v>
      </c>
      <c r="K13497" s="3" t="s">
        <v>68131</v>
      </c>
      <c r="L13497" s="3"/>
      <c r="M13497" s="4" t="s">
        <v>68132</v>
      </c>
      <c r="N13497" s="3" t="s">
        <v>37</v>
      </c>
      <c r="O13497" s="3" t="s">
        <v>721</v>
      </c>
      <c r="P13497" s="5">
        <v>21</v>
      </c>
      <c r="Q13497" s="5">
        <v>555</v>
      </c>
      <c r="R13497" s="5">
        <v>21</v>
      </c>
      <c r="S13497" s="5">
        <v>563</v>
      </c>
    </row>
    <row r="13498" spans="1:19" ht="42" x14ac:dyDescent="0.15">
      <c r="A13498" s="2">
        <f>HYPERLINK("https://open-school.uspishnemisto.com.ua/school/650037/", 650037)</f>
        <v>650037</v>
      </c>
      <c r="B13498" s="3" t="s">
        <v>68133</v>
      </c>
      <c r="C13498" s="3" t="s">
        <v>244</v>
      </c>
      <c r="D13498" s="3" t="s">
        <v>32</v>
      </c>
      <c r="E13498" s="4" t="s">
        <v>22</v>
      </c>
      <c r="F13498" s="4" t="s">
        <v>68091</v>
      </c>
      <c r="G13498" s="4" t="s">
        <v>68102</v>
      </c>
      <c r="H13498" s="3" t="s">
        <v>67992</v>
      </c>
      <c r="I13498" s="3" t="s">
        <v>68103</v>
      </c>
      <c r="J13498" s="3" t="s">
        <v>68134</v>
      </c>
      <c r="K13498" s="3" t="s">
        <v>68135</v>
      </c>
      <c r="L13498" s="3"/>
      <c r="M13498" s="4"/>
      <c r="N13498" s="3" t="s">
        <v>37</v>
      </c>
      <c r="O13498" s="3" t="s">
        <v>70</v>
      </c>
      <c r="P13498" s="5">
        <v>38</v>
      </c>
      <c r="Q13498" s="5">
        <v>1117</v>
      </c>
      <c r="R13498" s="5">
        <v>37</v>
      </c>
      <c r="S13498" s="5">
        <v>1132</v>
      </c>
    </row>
    <row r="13499" spans="1:19" ht="28" x14ac:dyDescent="0.15">
      <c r="A13499" s="2">
        <f>HYPERLINK("https://open-school.uspishnemisto.com.ua/school/650038/", 650038)</f>
        <v>650038</v>
      </c>
      <c r="B13499" s="3" t="s">
        <v>68136</v>
      </c>
      <c r="C13499" s="3" t="s">
        <v>54</v>
      </c>
      <c r="D13499" s="3" t="s">
        <v>32</v>
      </c>
      <c r="E13499" s="4" t="s">
        <v>22</v>
      </c>
      <c r="F13499" s="4" t="s">
        <v>68036</v>
      </c>
      <c r="G13499" s="4" t="s">
        <v>68102</v>
      </c>
      <c r="H13499" s="3" t="s">
        <v>67992</v>
      </c>
      <c r="I13499" s="3" t="s">
        <v>68103</v>
      </c>
      <c r="J13499" s="3" t="s">
        <v>68137</v>
      </c>
      <c r="K13499" s="3" t="s">
        <v>68138</v>
      </c>
      <c r="L13499" s="3" t="s">
        <v>68139</v>
      </c>
      <c r="M13499" s="4" t="s">
        <v>68140</v>
      </c>
      <c r="N13499" s="3" t="s">
        <v>37</v>
      </c>
      <c r="O13499" s="3" t="s">
        <v>38</v>
      </c>
      <c r="P13499" s="5">
        <v>23</v>
      </c>
      <c r="Q13499" s="5">
        <v>673</v>
      </c>
      <c r="R13499" s="5">
        <v>23</v>
      </c>
      <c r="S13499" s="5">
        <v>685</v>
      </c>
    </row>
    <row r="13500" spans="1:19" ht="42" x14ac:dyDescent="0.15">
      <c r="A13500" s="2">
        <f>HYPERLINK("https://open-school.uspishnemisto.com.ua/school/650039/", 650039)</f>
        <v>650039</v>
      </c>
      <c r="B13500" s="3" t="s">
        <v>68141</v>
      </c>
      <c r="C13500" s="3" t="s">
        <v>54</v>
      </c>
      <c r="D13500" s="3" t="s">
        <v>60</v>
      </c>
      <c r="E13500" s="4" t="s">
        <v>22</v>
      </c>
      <c r="F13500" s="4" t="s">
        <v>68113</v>
      </c>
      <c r="G13500" s="4" t="s">
        <v>68102</v>
      </c>
      <c r="H13500" s="3" t="s">
        <v>67992</v>
      </c>
      <c r="I13500" s="3" t="s">
        <v>68103</v>
      </c>
      <c r="J13500" s="3" t="s">
        <v>68142</v>
      </c>
      <c r="K13500" s="3" t="s">
        <v>68143</v>
      </c>
      <c r="L13500" s="3"/>
      <c r="M13500" s="4" t="s">
        <v>68144</v>
      </c>
      <c r="N13500" s="3" t="s">
        <v>37</v>
      </c>
      <c r="O13500" s="3" t="s">
        <v>52</v>
      </c>
      <c r="P13500" s="5">
        <v>4</v>
      </c>
      <c r="Q13500" s="5">
        <v>69</v>
      </c>
      <c r="R13500" s="5">
        <v>3</v>
      </c>
      <c r="S13500" s="5">
        <v>59</v>
      </c>
    </row>
    <row r="13501" spans="1:19" ht="56" x14ac:dyDescent="0.15">
      <c r="A13501" s="2">
        <f>HYPERLINK("https://open-school.uspishnemisto.com.ua/school/650040/", 650040)</f>
        <v>650040</v>
      </c>
      <c r="B13501" s="3" t="s">
        <v>68145</v>
      </c>
      <c r="C13501" s="3" t="s">
        <v>188</v>
      </c>
      <c r="D13501" s="3" t="s">
        <v>32</v>
      </c>
      <c r="E13501" s="4" t="s">
        <v>22</v>
      </c>
      <c r="F13501" s="4" t="s">
        <v>68012</v>
      </c>
      <c r="G13501" s="4" t="s">
        <v>68102</v>
      </c>
      <c r="H13501" s="3" t="s">
        <v>67992</v>
      </c>
      <c r="I13501" s="3" t="s">
        <v>68103</v>
      </c>
      <c r="J13501" s="3" t="s">
        <v>68146</v>
      </c>
      <c r="K13501" s="3" t="s">
        <v>68147</v>
      </c>
      <c r="L13501" s="3"/>
      <c r="M13501" s="4"/>
      <c r="N13501" s="3" t="s">
        <v>37</v>
      </c>
      <c r="O13501" s="3" t="s">
        <v>123</v>
      </c>
      <c r="P13501" s="5">
        <v>24</v>
      </c>
      <c r="Q13501" s="5">
        <v>778</v>
      </c>
      <c r="R13501" s="5">
        <v>24</v>
      </c>
      <c r="S13501" s="5">
        <v>766</v>
      </c>
    </row>
    <row r="13502" spans="1:19" ht="28" x14ac:dyDescent="0.15">
      <c r="A13502" s="2">
        <f>HYPERLINK("https://open-school.uspishnemisto.com.ua/school/650041/", 650041)</f>
        <v>650041</v>
      </c>
      <c r="B13502" s="3" t="s">
        <v>68148</v>
      </c>
      <c r="C13502" s="3" t="s">
        <v>20</v>
      </c>
      <c r="D13502" s="3" t="s">
        <v>32</v>
      </c>
      <c r="E13502" s="4" t="s">
        <v>22</v>
      </c>
      <c r="F13502" s="4" t="s">
        <v>68091</v>
      </c>
      <c r="G13502" s="4" t="s">
        <v>68102</v>
      </c>
      <c r="H13502" s="3" t="s">
        <v>67992</v>
      </c>
      <c r="I13502" s="3" t="s">
        <v>68103</v>
      </c>
      <c r="J13502" s="3" t="s">
        <v>68149</v>
      </c>
      <c r="K13502" s="3" t="s">
        <v>68150</v>
      </c>
      <c r="L13502" s="3"/>
      <c r="M13502" s="4"/>
      <c r="N13502" s="3"/>
      <c r="O13502" s="3"/>
      <c r="P13502" s="5">
        <v>0</v>
      </c>
      <c r="Q13502" s="5">
        <v>0</v>
      </c>
      <c r="R13502" s="5"/>
      <c r="S13502" s="5"/>
    </row>
    <row r="13503" spans="1:19" ht="42" x14ac:dyDescent="0.15">
      <c r="A13503" s="2">
        <f>HYPERLINK("https://open-school.uspishnemisto.com.ua/school/650004/", 650004)</f>
        <v>650004</v>
      </c>
      <c r="B13503" s="3" t="s">
        <v>68151</v>
      </c>
      <c r="C13503" s="3" t="s">
        <v>2634</v>
      </c>
      <c r="D13503" s="3" t="s">
        <v>32</v>
      </c>
      <c r="E13503" s="4" t="s">
        <v>22</v>
      </c>
      <c r="F13503" s="4" t="s">
        <v>68002</v>
      </c>
      <c r="G13503" s="4" t="s">
        <v>68152</v>
      </c>
      <c r="H13503" s="3" t="s">
        <v>67992</v>
      </c>
      <c r="I13503" s="3" t="s">
        <v>68153</v>
      </c>
      <c r="J13503" s="3" t="s">
        <v>26056</v>
      </c>
      <c r="K13503" s="3" t="s">
        <v>68154</v>
      </c>
      <c r="L13503" s="3" t="s">
        <v>68155</v>
      </c>
      <c r="M13503" s="4" t="s">
        <v>68156</v>
      </c>
      <c r="N13503" s="3" t="s">
        <v>967</v>
      </c>
      <c r="O13503" s="3" t="s">
        <v>46</v>
      </c>
      <c r="P13503" s="5">
        <v>22</v>
      </c>
      <c r="Q13503" s="5">
        <v>408</v>
      </c>
      <c r="R13503" s="5">
        <v>21</v>
      </c>
      <c r="S13503" s="5">
        <v>407</v>
      </c>
    </row>
    <row r="13504" spans="1:19" ht="42" x14ac:dyDescent="0.15">
      <c r="A13504" s="2">
        <f>HYPERLINK("https://open-school.uspishnemisto.com.ua/school/650009/", 650009)</f>
        <v>650009</v>
      </c>
      <c r="B13504" s="3" t="s">
        <v>68157</v>
      </c>
      <c r="C13504" s="3" t="s">
        <v>31</v>
      </c>
      <c r="D13504" s="3" t="s">
        <v>60</v>
      </c>
      <c r="E13504" s="4" t="s">
        <v>22</v>
      </c>
      <c r="F13504" s="4" t="s">
        <v>68002</v>
      </c>
      <c r="G13504" s="4" t="s">
        <v>68152</v>
      </c>
      <c r="H13504" s="3" t="s">
        <v>67992</v>
      </c>
      <c r="I13504" s="3" t="s">
        <v>68153</v>
      </c>
      <c r="J13504" s="3" t="s">
        <v>68158</v>
      </c>
      <c r="K13504" s="3" t="s">
        <v>68159</v>
      </c>
      <c r="L13504" s="3"/>
      <c r="M13504" s="4"/>
      <c r="N13504" s="3" t="s">
        <v>37</v>
      </c>
      <c r="O13504" s="3" t="s">
        <v>52</v>
      </c>
      <c r="P13504" s="5">
        <v>8</v>
      </c>
      <c r="Q13504" s="5">
        <v>185</v>
      </c>
      <c r="R13504" s="5">
        <v>8</v>
      </c>
      <c r="S13504" s="5">
        <v>171</v>
      </c>
    </row>
    <row r="13505" spans="1:19" ht="42" x14ac:dyDescent="0.15">
      <c r="A13505" s="2">
        <f>HYPERLINK("https://open-school.uspishnemisto.com.ua/school/650042/", 650042)</f>
        <v>650042</v>
      </c>
      <c r="B13505" s="3" t="s">
        <v>68160</v>
      </c>
      <c r="C13505" s="3" t="s">
        <v>40</v>
      </c>
      <c r="D13505" s="3" t="s">
        <v>32</v>
      </c>
      <c r="E13505" s="4" t="s">
        <v>22</v>
      </c>
      <c r="F13505" s="4" t="s">
        <v>68056</v>
      </c>
      <c r="G13505" s="4" t="s">
        <v>68152</v>
      </c>
      <c r="H13505" s="3" t="s">
        <v>67992</v>
      </c>
      <c r="I13505" s="3" t="s">
        <v>68153</v>
      </c>
      <c r="J13505" s="3" t="s">
        <v>68161</v>
      </c>
      <c r="K13505" s="3" t="s">
        <v>68162</v>
      </c>
      <c r="L13505" s="3" t="s">
        <v>68163</v>
      </c>
      <c r="M13505" s="4"/>
      <c r="N13505" s="3" t="s">
        <v>37</v>
      </c>
      <c r="O13505" s="3" t="s">
        <v>237</v>
      </c>
      <c r="P13505" s="5">
        <v>32</v>
      </c>
      <c r="Q13505" s="5">
        <v>936</v>
      </c>
      <c r="R13505" s="5">
        <v>33</v>
      </c>
      <c r="S13505" s="5">
        <v>951</v>
      </c>
    </row>
    <row r="13506" spans="1:19" ht="42" x14ac:dyDescent="0.15">
      <c r="A13506" s="2">
        <f>HYPERLINK("https://open-school.uspishnemisto.com.ua/school/650043/", 650043)</f>
        <v>650043</v>
      </c>
      <c r="B13506" s="3" t="s">
        <v>68164</v>
      </c>
      <c r="C13506" s="3" t="s">
        <v>31</v>
      </c>
      <c r="D13506" s="3" t="s">
        <v>175</v>
      </c>
      <c r="E13506" s="4" t="s">
        <v>22</v>
      </c>
      <c r="F13506" s="4" t="s">
        <v>68165</v>
      </c>
      <c r="G13506" s="4" t="s">
        <v>68152</v>
      </c>
      <c r="H13506" s="3" t="s">
        <v>67992</v>
      </c>
      <c r="I13506" s="3" t="s">
        <v>68153</v>
      </c>
      <c r="J13506" s="3" t="s">
        <v>68166</v>
      </c>
      <c r="K13506" s="3" t="s">
        <v>68167</v>
      </c>
      <c r="L13506" s="3" t="s">
        <v>68168</v>
      </c>
      <c r="M13506" s="4"/>
      <c r="N13506" s="3" t="s">
        <v>37</v>
      </c>
      <c r="O13506" s="3" t="s">
        <v>721</v>
      </c>
      <c r="P13506" s="5">
        <v>9</v>
      </c>
      <c r="Q13506" s="5">
        <v>208</v>
      </c>
      <c r="R13506" s="5">
        <v>9</v>
      </c>
      <c r="S13506" s="5">
        <v>218</v>
      </c>
    </row>
    <row r="13507" spans="1:19" ht="42" x14ac:dyDescent="0.15">
      <c r="A13507" s="2">
        <f>HYPERLINK("https://open-school.uspishnemisto.com.ua/school/650044/", 650044)</f>
        <v>650044</v>
      </c>
      <c r="B13507" s="3" t="s">
        <v>68169</v>
      </c>
      <c r="C13507" s="3" t="s">
        <v>31</v>
      </c>
      <c r="D13507" s="3" t="s">
        <v>175</v>
      </c>
      <c r="E13507" s="4" t="s">
        <v>22</v>
      </c>
      <c r="F13507" s="4" t="s">
        <v>68041</v>
      </c>
      <c r="G13507" s="4" t="s">
        <v>68152</v>
      </c>
      <c r="H13507" s="3" t="s">
        <v>67992</v>
      </c>
      <c r="I13507" s="3" t="s">
        <v>68153</v>
      </c>
      <c r="J13507" s="3" t="s">
        <v>68170</v>
      </c>
      <c r="K13507" s="3" t="s">
        <v>68171</v>
      </c>
      <c r="L13507" s="3"/>
      <c r="M13507" s="4"/>
      <c r="N13507" s="3" t="s">
        <v>37</v>
      </c>
      <c r="O13507" s="3" t="s">
        <v>2740</v>
      </c>
      <c r="P13507" s="5">
        <v>8</v>
      </c>
      <c r="Q13507" s="5">
        <v>146</v>
      </c>
      <c r="R13507" s="5">
        <v>8</v>
      </c>
      <c r="S13507" s="5">
        <v>145</v>
      </c>
    </row>
    <row r="13508" spans="1:19" ht="42" x14ac:dyDescent="0.15">
      <c r="A13508" s="2">
        <f>HYPERLINK("https://open-school.uspishnemisto.com.ua/school/650045/", 650045)</f>
        <v>650045</v>
      </c>
      <c r="B13508" s="3" t="s">
        <v>68172</v>
      </c>
      <c r="C13508" s="3" t="s">
        <v>31</v>
      </c>
      <c r="D13508" s="3" t="s">
        <v>32</v>
      </c>
      <c r="E13508" s="4" t="s">
        <v>22</v>
      </c>
      <c r="F13508" s="4" t="s">
        <v>68069</v>
      </c>
      <c r="G13508" s="4" t="s">
        <v>68152</v>
      </c>
      <c r="H13508" s="3" t="s">
        <v>67992</v>
      </c>
      <c r="I13508" s="3" t="s">
        <v>68153</v>
      </c>
      <c r="J13508" s="3" t="s">
        <v>68173</v>
      </c>
      <c r="K13508" s="3" t="s">
        <v>68174</v>
      </c>
      <c r="L13508" s="3" t="s">
        <v>68175</v>
      </c>
      <c r="M13508" s="4"/>
      <c r="N13508" s="3" t="s">
        <v>37</v>
      </c>
      <c r="O13508" s="3" t="s">
        <v>46</v>
      </c>
      <c r="P13508" s="5">
        <v>21</v>
      </c>
      <c r="Q13508" s="5">
        <v>576</v>
      </c>
      <c r="R13508" s="5">
        <v>20</v>
      </c>
      <c r="S13508" s="5">
        <v>554</v>
      </c>
    </row>
    <row r="13509" spans="1:19" ht="42" x14ac:dyDescent="0.15">
      <c r="A13509" s="2">
        <f>HYPERLINK("https://open-school.uspishnemisto.com.ua/school/650046/", 650046)</f>
        <v>650046</v>
      </c>
      <c r="B13509" s="3" t="s">
        <v>68176</v>
      </c>
      <c r="C13509" s="3" t="s">
        <v>31</v>
      </c>
      <c r="D13509" s="3" t="s">
        <v>32</v>
      </c>
      <c r="E13509" s="4" t="s">
        <v>22</v>
      </c>
      <c r="F13509" s="4" t="s">
        <v>68056</v>
      </c>
      <c r="G13509" s="4" t="s">
        <v>68152</v>
      </c>
      <c r="H13509" s="3" t="s">
        <v>67992</v>
      </c>
      <c r="I13509" s="3" t="s">
        <v>68153</v>
      </c>
      <c r="J13509" s="3" t="s">
        <v>68177</v>
      </c>
      <c r="K13509" s="3" t="s">
        <v>68178</v>
      </c>
      <c r="L13509" s="3" t="s">
        <v>68179</v>
      </c>
      <c r="M13509" s="4"/>
      <c r="N13509" s="3" t="s">
        <v>37</v>
      </c>
      <c r="O13509" s="3" t="s">
        <v>52</v>
      </c>
      <c r="P13509" s="5">
        <v>30</v>
      </c>
      <c r="Q13509" s="5">
        <v>941</v>
      </c>
      <c r="R13509" s="5">
        <v>30</v>
      </c>
      <c r="S13509" s="5">
        <v>920</v>
      </c>
    </row>
    <row r="13510" spans="1:19" ht="42" x14ac:dyDescent="0.15">
      <c r="A13510" s="2">
        <f>HYPERLINK("https://open-school.uspishnemisto.com.ua/school/650047/", 650047)</f>
        <v>650047</v>
      </c>
      <c r="B13510" s="3" t="s">
        <v>68180</v>
      </c>
      <c r="C13510" s="3" t="s">
        <v>54</v>
      </c>
      <c r="D13510" s="3" t="s">
        <v>32</v>
      </c>
      <c r="E13510" s="4" t="s">
        <v>22</v>
      </c>
      <c r="F13510" s="4" t="s">
        <v>68181</v>
      </c>
      <c r="G13510" s="4" t="s">
        <v>68152</v>
      </c>
      <c r="H13510" s="3" t="s">
        <v>67992</v>
      </c>
      <c r="I13510" s="3" t="s">
        <v>68153</v>
      </c>
      <c r="J13510" s="3" t="s">
        <v>68182</v>
      </c>
      <c r="K13510" s="3" t="s">
        <v>68183</v>
      </c>
      <c r="L13510" s="3"/>
      <c r="M13510" s="4"/>
      <c r="N13510" s="3" t="s">
        <v>37</v>
      </c>
      <c r="O13510" s="3" t="s">
        <v>52</v>
      </c>
      <c r="P13510" s="5">
        <v>12</v>
      </c>
      <c r="Q13510" s="5">
        <v>373</v>
      </c>
      <c r="R13510" s="5">
        <v>12</v>
      </c>
      <c r="S13510" s="5">
        <v>357</v>
      </c>
    </row>
    <row r="13511" spans="1:19" ht="42" x14ac:dyDescent="0.15">
      <c r="A13511" s="2">
        <f>HYPERLINK("https://open-school.uspishnemisto.com.ua/school/650048/", 650048)</f>
        <v>650048</v>
      </c>
      <c r="B13511" s="3" t="s">
        <v>68184</v>
      </c>
      <c r="C13511" s="3" t="s">
        <v>4989</v>
      </c>
      <c r="D13511" s="3" t="s">
        <v>21</v>
      </c>
      <c r="E13511" s="4" t="s">
        <v>22</v>
      </c>
      <c r="F13511" s="4" t="s">
        <v>68041</v>
      </c>
      <c r="G13511" s="4" t="s">
        <v>68152</v>
      </c>
      <c r="H13511" s="3" t="s">
        <v>67992</v>
      </c>
      <c r="I13511" s="3" t="s">
        <v>68153</v>
      </c>
      <c r="J13511" s="3" t="s">
        <v>68185</v>
      </c>
      <c r="K13511" s="3" t="s">
        <v>68186</v>
      </c>
      <c r="L13511" s="3" t="s">
        <v>68187</v>
      </c>
      <c r="M13511" s="4" t="s">
        <v>68188</v>
      </c>
      <c r="N13511" s="3" t="s">
        <v>37</v>
      </c>
      <c r="O13511" s="3" t="s">
        <v>46</v>
      </c>
      <c r="P13511" s="5">
        <v>19</v>
      </c>
      <c r="Q13511" s="5">
        <v>597</v>
      </c>
      <c r="R13511" s="5">
        <v>18</v>
      </c>
      <c r="S13511" s="5">
        <v>634</v>
      </c>
    </row>
    <row r="13512" spans="1:19" ht="56" x14ac:dyDescent="0.15">
      <c r="A13512" s="2">
        <f>HYPERLINK("https://open-school.uspishnemisto.com.ua/school/650049/", 650049)</f>
        <v>650049</v>
      </c>
      <c r="B13512" s="3" t="s">
        <v>68189</v>
      </c>
      <c r="C13512" s="3" t="s">
        <v>54</v>
      </c>
      <c r="D13512" s="3" t="s">
        <v>32</v>
      </c>
      <c r="E13512" s="4" t="s">
        <v>22</v>
      </c>
      <c r="F13512" s="4" t="s">
        <v>68181</v>
      </c>
      <c r="G13512" s="4" t="s">
        <v>68152</v>
      </c>
      <c r="H13512" s="3" t="s">
        <v>67992</v>
      </c>
      <c r="I13512" s="3" t="s">
        <v>68153</v>
      </c>
      <c r="J13512" s="3" t="s">
        <v>68190</v>
      </c>
      <c r="K13512" s="3" t="s">
        <v>68191</v>
      </c>
      <c r="L13512" s="3" t="s">
        <v>68192</v>
      </c>
      <c r="M13512" s="4"/>
      <c r="N13512" s="3" t="s">
        <v>128</v>
      </c>
      <c r="O13512" s="3" t="s">
        <v>70</v>
      </c>
      <c r="P13512" s="5">
        <v>24</v>
      </c>
      <c r="Q13512" s="5">
        <v>644</v>
      </c>
      <c r="R13512" s="5">
        <v>23</v>
      </c>
      <c r="S13512" s="5">
        <v>643</v>
      </c>
    </row>
    <row r="13513" spans="1:19" ht="42" x14ac:dyDescent="0.15">
      <c r="A13513" s="2">
        <f>HYPERLINK("https://open-school.uspishnemisto.com.ua/school/650050/", 650050)</f>
        <v>650050</v>
      </c>
      <c r="B13513" s="3" t="s">
        <v>68193</v>
      </c>
      <c r="C13513" s="3" t="s">
        <v>54</v>
      </c>
      <c r="D13513" s="3" t="s">
        <v>21</v>
      </c>
      <c r="E13513" s="4" t="s">
        <v>22</v>
      </c>
      <c r="F13513" s="4" t="s">
        <v>68069</v>
      </c>
      <c r="G13513" s="4" t="s">
        <v>68152</v>
      </c>
      <c r="H13513" s="3" t="s">
        <v>67992</v>
      </c>
      <c r="I13513" s="3" t="s">
        <v>68153</v>
      </c>
      <c r="J13513" s="3" t="s">
        <v>68194</v>
      </c>
      <c r="K13513" s="3" t="s">
        <v>68195</v>
      </c>
      <c r="L13513" s="3" t="s">
        <v>68196</v>
      </c>
      <c r="M13513" s="4"/>
      <c r="N13513" s="3" t="s">
        <v>37</v>
      </c>
      <c r="O13513" s="3" t="s">
        <v>38</v>
      </c>
      <c r="P13513" s="5">
        <v>7</v>
      </c>
      <c r="Q13513" s="5">
        <v>218</v>
      </c>
      <c r="R13513" s="5">
        <v>7</v>
      </c>
      <c r="S13513" s="5">
        <v>203</v>
      </c>
    </row>
    <row r="13514" spans="1:19" ht="28" x14ac:dyDescent="0.15">
      <c r="A13514" s="2">
        <f>HYPERLINK("https://open-school.uspishnemisto.com.ua/school/650051/", 650051)</f>
        <v>650051</v>
      </c>
      <c r="B13514" s="3" t="s">
        <v>68197</v>
      </c>
      <c r="C13514" s="3" t="s">
        <v>40</v>
      </c>
      <c r="D13514" s="3" t="s">
        <v>32</v>
      </c>
      <c r="E13514" s="4" t="s">
        <v>22</v>
      </c>
      <c r="F13514" s="4" t="s">
        <v>68002</v>
      </c>
      <c r="G13514" s="4" t="s">
        <v>68198</v>
      </c>
      <c r="H13514" s="3" t="s">
        <v>67992</v>
      </c>
      <c r="I13514" s="3" t="s">
        <v>68199</v>
      </c>
      <c r="J13514" s="3" t="s">
        <v>68200</v>
      </c>
      <c r="K13514" s="3" t="s">
        <v>68201</v>
      </c>
      <c r="L13514" s="3"/>
      <c r="M13514" s="4"/>
      <c r="N13514" s="3" t="s">
        <v>37</v>
      </c>
      <c r="O13514" s="3" t="s">
        <v>46</v>
      </c>
      <c r="P13514" s="5">
        <v>30</v>
      </c>
      <c r="Q13514" s="5">
        <v>954</v>
      </c>
      <c r="R13514" s="5">
        <v>29</v>
      </c>
      <c r="S13514" s="5">
        <v>920</v>
      </c>
    </row>
    <row r="13515" spans="1:19" ht="28" x14ac:dyDescent="0.15">
      <c r="A13515" s="2">
        <f>HYPERLINK("https://open-school.uspishnemisto.com.ua/school/650052/", 650052)</f>
        <v>650052</v>
      </c>
      <c r="B13515" s="3" t="s">
        <v>68202</v>
      </c>
      <c r="C13515" s="3" t="s">
        <v>31</v>
      </c>
      <c r="D13515" s="3" t="s">
        <v>32</v>
      </c>
      <c r="E13515" s="4" t="s">
        <v>22</v>
      </c>
      <c r="F13515" s="4" t="s">
        <v>68203</v>
      </c>
      <c r="G13515" s="4" t="s">
        <v>68198</v>
      </c>
      <c r="H13515" s="3" t="s">
        <v>67992</v>
      </c>
      <c r="I13515" s="3" t="s">
        <v>68199</v>
      </c>
      <c r="J13515" s="3" t="s">
        <v>68204</v>
      </c>
      <c r="K13515" s="3" t="s">
        <v>68205</v>
      </c>
      <c r="L13515" s="3" t="s">
        <v>68206</v>
      </c>
      <c r="M13515" s="4"/>
      <c r="N13515" s="3" t="s">
        <v>37</v>
      </c>
      <c r="O13515" s="3" t="s">
        <v>70</v>
      </c>
      <c r="P13515" s="5">
        <v>25</v>
      </c>
      <c r="Q13515" s="5">
        <v>771</v>
      </c>
      <c r="R13515" s="5">
        <v>24</v>
      </c>
      <c r="S13515" s="5">
        <v>745</v>
      </c>
    </row>
    <row r="13516" spans="1:19" ht="28" x14ac:dyDescent="0.15">
      <c r="A13516" s="2">
        <f>HYPERLINK("https://open-school.uspishnemisto.com.ua/school/650053/", 650053)</f>
        <v>650053</v>
      </c>
      <c r="B13516" s="3" t="s">
        <v>68207</v>
      </c>
      <c r="C13516" s="3" t="s">
        <v>31</v>
      </c>
      <c r="D13516" s="3" t="s">
        <v>32</v>
      </c>
      <c r="E13516" s="4" t="s">
        <v>22</v>
      </c>
      <c r="F13516" s="4" t="s">
        <v>68203</v>
      </c>
      <c r="G13516" s="4" t="s">
        <v>68198</v>
      </c>
      <c r="H13516" s="3" t="s">
        <v>67992</v>
      </c>
      <c r="I13516" s="3" t="s">
        <v>68199</v>
      </c>
      <c r="J13516" s="3" t="s">
        <v>68208</v>
      </c>
      <c r="K13516" s="3" t="s">
        <v>68209</v>
      </c>
      <c r="L13516" s="3" t="s">
        <v>68210</v>
      </c>
      <c r="M13516" s="4"/>
      <c r="N13516" s="3" t="s">
        <v>967</v>
      </c>
      <c r="O13516" s="3" t="s">
        <v>46</v>
      </c>
      <c r="P13516" s="5">
        <v>17</v>
      </c>
      <c r="Q13516" s="5">
        <v>469</v>
      </c>
      <c r="R13516" s="5">
        <v>17</v>
      </c>
      <c r="S13516" s="5">
        <v>463</v>
      </c>
    </row>
    <row r="13517" spans="1:19" ht="28" x14ac:dyDescent="0.15">
      <c r="A13517" s="2">
        <f>HYPERLINK("https://open-school.uspishnemisto.com.ua/school/650054/", 650054)</f>
        <v>650054</v>
      </c>
      <c r="B13517" s="3" t="s">
        <v>68211</v>
      </c>
      <c r="C13517" s="3" t="s">
        <v>31</v>
      </c>
      <c r="D13517" s="3" t="s">
        <v>32</v>
      </c>
      <c r="E13517" s="4" t="s">
        <v>22</v>
      </c>
      <c r="F13517" s="4" t="s">
        <v>68052</v>
      </c>
      <c r="G13517" s="4" t="s">
        <v>68198</v>
      </c>
      <c r="H13517" s="3" t="s">
        <v>67992</v>
      </c>
      <c r="I13517" s="3" t="s">
        <v>68199</v>
      </c>
      <c r="J13517" s="3" t="s">
        <v>68212</v>
      </c>
      <c r="K13517" s="3" t="s">
        <v>68213</v>
      </c>
      <c r="L13517" s="3" t="s">
        <v>68214</v>
      </c>
      <c r="M13517" s="4"/>
      <c r="N13517" s="3" t="s">
        <v>37</v>
      </c>
      <c r="O13517" s="3" t="s">
        <v>52</v>
      </c>
      <c r="P13517" s="5">
        <v>29</v>
      </c>
      <c r="Q13517" s="5">
        <v>945</v>
      </c>
      <c r="R13517" s="5">
        <v>27</v>
      </c>
      <c r="S13517" s="5">
        <v>856</v>
      </c>
    </row>
    <row r="13518" spans="1:19" ht="28" x14ac:dyDescent="0.15">
      <c r="A13518" s="2">
        <f>HYPERLINK("https://open-school.uspishnemisto.com.ua/school/650055/", 650055)</f>
        <v>650055</v>
      </c>
      <c r="B13518" s="3" t="s">
        <v>68215</v>
      </c>
      <c r="C13518" s="3" t="s">
        <v>31</v>
      </c>
      <c r="D13518" s="3" t="s">
        <v>32</v>
      </c>
      <c r="E13518" s="4" t="s">
        <v>22</v>
      </c>
      <c r="F13518" s="4" t="s">
        <v>68216</v>
      </c>
      <c r="G13518" s="4" t="s">
        <v>68198</v>
      </c>
      <c r="H13518" s="3" t="s">
        <v>67992</v>
      </c>
      <c r="I13518" s="3" t="s">
        <v>68199</v>
      </c>
      <c r="J13518" s="3" t="s">
        <v>68217</v>
      </c>
      <c r="K13518" s="3" t="s">
        <v>68218</v>
      </c>
      <c r="L13518" s="3" t="s">
        <v>68219</v>
      </c>
      <c r="M13518" s="4"/>
      <c r="N13518" s="3" t="s">
        <v>37</v>
      </c>
      <c r="O13518" s="3" t="s">
        <v>721</v>
      </c>
      <c r="P13518" s="5">
        <v>21</v>
      </c>
      <c r="Q13518" s="5">
        <v>648</v>
      </c>
      <c r="R13518" s="5">
        <v>20</v>
      </c>
      <c r="S13518" s="5">
        <v>598</v>
      </c>
    </row>
    <row r="13519" spans="1:19" ht="42" x14ac:dyDescent="0.15">
      <c r="A13519" s="2">
        <f>HYPERLINK("https://open-school.uspishnemisto.com.ua/school/650056/", 650056)</f>
        <v>650056</v>
      </c>
      <c r="B13519" s="3" t="s">
        <v>68220</v>
      </c>
      <c r="C13519" s="3" t="s">
        <v>244</v>
      </c>
      <c r="D13519" s="3" t="s">
        <v>32</v>
      </c>
      <c r="E13519" s="4" t="s">
        <v>22</v>
      </c>
      <c r="F13519" s="4" t="s">
        <v>68079</v>
      </c>
      <c r="G13519" s="4" t="s">
        <v>68198</v>
      </c>
      <c r="H13519" s="3" t="s">
        <v>67992</v>
      </c>
      <c r="I13519" s="3" t="s">
        <v>68199</v>
      </c>
      <c r="J13519" s="3" t="s">
        <v>68221</v>
      </c>
      <c r="K13519" s="3" t="s">
        <v>68222</v>
      </c>
      <c r="L13519" s="3" t="s">
        <v>68223</v>
      </c>
      <c r="M13519" s="4"/>
      <c r="N13519" s="3" t="s">
        <v>37</v>
      </c>
      <c r="O13519" s="3" t="s">
        <v>46</v>
      </c>
      <c r="P13519" s="5">
        <v>27</v>
      </c>
      <c r="Q13519" s="5">
        <v>838</v>
      </c>
      <c r="R13519" s="5">
        <v>27</v>
      </c>
      <c r="S13519" s="5">
        <v>826</v>
      </c>
    </row>
    <row r="13520" spans="1:19" ht="42" x14ac:dyDescent="0.15">
      <c r="A13520" s="2">
        <f>HYPERLINK("https://open-school.uspishnemisto.com.ua/school/650057/", 650057)</f>
        <v>650057</v>
      </c>
      <c r="B13520" s="3" t="s">
        <v>68224</v>
      </c>
      <c r="C13520" s="3" t="s">
        <v>244</v>
      </c>
      <c r="D13520" s="3" t="s">
        <v>32</v>
      </c>
      <c r="E13520" s="4" t="s">
        <v>22</v>
      </c>
      <c r="F13520" s="4" t="s">
        <v>68225</v>
      </c>
      <c r="G13520" s="4" t="s">
        <v>68198</v>
      </c>
      <c r="H13520" s="3" t="s">
        <v>67992</v>
      </c>
      <c r="I13520" s="3" t="s">
        <v>68199</v>
      </c>
      <c r="J13520" s="3" t="s">
        <v>68226</v>
      </c>
      <c r="K13520" s="3" t="s">
        <v>68227</v>
      </c>
      <c r="L13520" s="3" t="s">
        <v>68228</v>
      </c>
      <c r="M13520" s="4"/>
      <c r="N13520" s="3" t="s">
        <v>37</v>
      </c>
      <c r="O13520" s="3" t="s">
        <v>123</v>
      </c>
      <c r="P13520" s="5">
        <v>29</v>
      </c>
      <c r="Q13520" s="5">
        <v>881</v>
      </c>
      <c r="R13520" s="5">
        <v>29</v>
      </c>
      <c r="S13520" s="5">
        <v>891</v>
      </c>
    </row>
    <row r="13521" spans="1:19" ht="28" x14ac:dyDescent="0.15">
      <c r="A13521" s="2">
        <f>HYPERLINK("https://open-school.uspishnemisto.com.ua/school/650058/", 650058)</f>
        <v>650058</v>
      </c>
      <c r="B13521" s="3" t="s">
        <v>68229</v>
      </c>
      <c r="C13521" s="3" t="s">
        <v>174</v>
      </c>
      <c r="D13521" s="3" t="s">
        <v>175</v>
      </c>
      <c r="E13521" s="4" t="s">
        <v>22</v>
      </c>
      <c r="F13521" s="4" t="s">
        <v>68230</v>
      </c>
      <c r="G13521" s="4" t="s">
        <v>68198</v>
      </c>
      <c r="H13521" s="3" t="s">
        <v>67992</v>
      </c>
      <c r="I13521" s="3" t="s">
        <v>68199</v>
      </c>
      <c r="J13521" s="3" t="s">
        <v>14757</v>
      </c>
      <c r="K13521" s="3" t="s">
        <v>68231</v>
      </c>
      <c r="L13521" s="3"/>
      <c r="M13521" s="4"/>
      <c r="N13521" s="3" t="s">
        <v>967</v>
      </c>
      <c r="O13521" s="3"/>
      <c r="P13521" s="5">
        <v>11</v>
      </c>
      <c r="Q13521" s="5">
        <v>103</v>
      </c>
      <c r="R13521" s="5">
        <v>10</v>
      </c>
      <c r="S13521" s="5">
        <v>97</v>
      </c>
    </row>
    <row r="13522" spans="1:19" ht="28" x14ac:dyDescent="0.15">
      <c r="A13522" s="2">
        <f>HYPERLINK("https://open-school.uspishnemisto.com.ua/school/650059/", 650059)</f>
        <v>650059</v>
      </c>
      <c r="B13522" s="3" t="s">
        <v>68232</v>
      </c>
      <c r="C13522" s="3" t="s">
        <v>4989</v>
      </c>
      <c r="D13522" s="3" t="s">
        <v>21</v>
      </c>
      <c r="E13522" s="4" t="s">
        <v>22</v>
      </c>
      <c r="F13522" s="4" t="s">
        <v>68230</v>
      </c>
      <c r="G13522" s="4" t="s">
        <v>68198</v>
      </c>
      <c r="H13522" s="3" t="s">
        <v>67992</v>
      </c>
      <c r="I13522" s="3" t="s">
        <v>68199</v>
      </c>
      <c r="J13522" s="3" t="s">
        <v>68233</v>
      </c>
      <c r="K13522" s="3" t="s">
        <v>68234</v>
      </c>
      <c r="L13522" s="3"/>
      <c r="M13522" s="4" t="s">
        <v>68235</v>
      </c>
      <c r="N13522" s="3" t="s">
        <v>128</v>
      </c>
      <c r="O13522" s="3" t="s">
        <v>52</v>
      </c>
      <c r="P13522" s="5">
        <v>16</v>
      </c>
      <c r="Q13522" s="5">
        <v>341</v>
      </c>
      <c r="R13522" s="5"/>
      <c r="S13522" s="5"/>
    </row>
    <row r="13523" spans="1:19" ht="42" x14ac:dyDescent="0.15">
      <c r="A13523" s="2">
        <f>HYPERLINK("https://open-school.uspishnemisto.com.ua/school/650060/", 650060)</f>
        <v>650060</v>
      </c>
      <c r="B13523" s="3" t="s">
        <v>68236</v>
      </c>
      <c r="C13523" s="3" t="s">
        <v>188</v>
      </c>
      <c r="D13523" s="3" t="s">
        <v>32</v>
      </c>
      <c r="E13523" s="4" t="s">
        <v>22</v>
      </c>
      <c r="F13523" s="4" t="s">
        <v>68002</v>
      </c>
      <c r="G13523" s="4" t="s">
        <v>68198</v>
      </c>
      <c r="H13523" s="3" t="s">
        <v>67992</v>
      </c>
      <c r="I13523" s="3" t="s">
        <v>68199</v>
      </c>
      <c r="J13523" s="3" t="s">
        <v>68237</v>
      </c>
      <c r="K13523" s="3" t="s">
        <v>68238</v>
      </c>
      <c r="L13523" s="3" t="s">
        <v>68239</v>
      </c>
      <c r="M13523" s="4" t="s">
        <v>68240</v>
      </c>
      <c r="N13523" s="3" t="s">
        <v>37</v>
      </c>
      <c r="O13523" s="3" t="s">
        <v>52</v>
      </c>
      <c r="P13523" s="5">
        <v>20</v>
      </c>
      <c r="Q13523" s="5">
        <v>614</v>
      </c>
      <c r="R13523" s="5">
        <v>20</v>
      </c>
      <c r="S13523" s="5">
        <v>602</v>
      </c>
    </row>
    <row r="13524" spans="1:19" ht="28" x14ac:dyDescent="0.15">
      <c r="A13524" s="2">
        <f>HYPERLINK("https://open-school.uspishnemisto.com.ua/school/650061/", 650061)</f>
        <v>650061</v>
      </c>
      <c r="B13524" s="3" t="s">
        <v>68241</v>
      </c>
      <c r="C13524" s="3" t="s">
        <v>31</v>
      </c>
      <c r="D13524" s="3" t="s">
        <v>32</v>
      </c>
      <c r="E13524" s="4" t="s">
        <v>22</v>
      </c>
      <c r="F13524" s="4" t="s">
        <v>68242</v>
      </c>
      <c r="G13524" s="4" t="s">
        <v>68243</v>
      </c>
      <c r="H13524" s="3" t="s">
        <v>67992</v>
      </c>
      <c r="I13524" s="3" t="s">
        <v>3481</v>
      </c>
      <c r="J13524" s="3" t="s">
        <v>68244</v>
      </c>
      <c r="K13524" s="3" t="s">
        <v>68245</v>
      </c>
      <c r="L13524" s="3"/>
      <c r="M13524" s="4"/>
      <c r="N13524" s="3" t="s">
        <v>37</v>
      </c>
      <c r="O13524" s="3" t="s">
        <v>46</v>
      </c>
      <c r="P13524" s="5">
        <v>13</v>
      </c>
      <c r="Q13524" s="5">
        <v>311</v>
      </c>
      <c r="R13524" s="5">
        <v>12</v>
      </c>
      <c r="S13524" s="5">
        <v>279</v>
      </c>
    </row>
    <row r="13525" spans="1:19" ht="28" x14ac:dyDescent="0.15">
      <c r="A13525" s="2">
        <f>HYPERLINK("https://open-school.uspishnemisto.com.ua/school/650062/", 650062)</f>
        <v>650062</v>
      </c>
      <c r="B13525" s="3" t="s">
        <v>68246</v>
      </c>
      <c r="C13525" s="3" t="s">
        <v>31</v>
      </c>
      <c r="D13525" s="3" t="s">
        <v>32</v>
      </c>
      <c r="E13525" s="4" t="s">
        <v>22</v>
      </c>
      <c r="F13525" s="4" t="s">
        <v>68247</v>
      </c>
      <c r="G13525" s="4" t="s">
        <v>68248</v>
      </c>
      <c r="H13525" s="3" t="s">
        <v>67992</v>
      </c>
      <c r="I13525" s="3" t="s">
        <v>26484</v>
      </c>
      <c r="J13525" s="3" t="s">
        <v>68249</v>
      </c>
      <c r="K13525" s="3" t="s">
        <v>68250</v>
      </c>
      <c r="L13525" s="3"/>
      <c r="M13525" s="4"/>
      <c r="N13525" s="3" t="s">
        <v>37</v>
      </c>
      <c r="O13525" s="3" t="s">
        <v>70</v>
      </c>
      <c r="P13525" s="5">
        <v>20</v>
      </c>
      <c r="Q13525" s="5">
        <v>537</v>
      </c>
      <c r="R13525" s="5">
        <v>19</v>
      </c>
      <c r="S13525" s="5">
        <v>524</v>
      </c>
    </row>
    <row r="13526" spans="1:19" ht="42" x14ac:dyDescent="0.15">
      <c r="A13526" s="2">
        <f>HYPERLINK("https://open-school.uspishnemisto.com.ua/school/650063/", 650063)</f>
        <v>650063</v>
      </c>
      <c r="B13526" s="3" t="s">
        <v>68251</v>
      </c>
      <c r="C13526" s="3" t="s">
        <v>54</v>
      </c>
      <c r="D13526" s="3" t="s">
        <v>32</v>
      </c>
      <c r="E13526" s="4" t="s">
        <v>22</v>
      </c>
      <c r="F13526" s="4" t="s">
        <v>68252</v>
      </c>
      <c r="G13526" s="4" t="s">
        <v>68253</v>
      </c>
      <c r="H13526" s="3" t="s">
        <v>67992</v>
      </c>
      <c r="I13526" s="3" t="s">
        <v>15335</v>
      </c>
      <c r="J13526" s="3" t="s">
        <v>68254</v>
      </c>
      <c r="K13526" s="3" t="s">
        <v>68255</v>
      </c>
      <c r="L13526" s="3"/>
      <c r="M13526" s="4"/>
      <c r="N13526" s="3" t="s">
        <v>37</v>
      </c>
      <c r="O13526" s="3" t="s">
        <v>46</v>
      </c>
      <c r="P13526" s="5">
        <v>9</v>
      </c>
      <c r="Q13526" s="5">
        <v>106</v>
      </c>
      <c r="R13526" s="5">
        <v>9</v>
      </c>
      <c r="S13526" s="5">
        <v>113</v>
      </c>
    </row>
    <row r="13527" spans="1:19" ht="28" x14ac:dyDescent="0.15">
      <c r="A13527" s="2">
        <f>HYPERLINK("https://open-school.uspishnemisto.com.ua/school/650064/", 650064)</f>
        <v>650064</v>
      </c>
      <c r="B13527" s="3" t="s">
        <v>68256</v>
      </c>
      <c r="C13527" s="3" t="s">
        <v>31</v>
      </c>
      <c r="D13527" s="3" t="s">
        <v>32</v>
      </c>
      <c r="E13527" s="4" t="s">
        <v>22</v>
      </c>
      <c r="F13527" s="4" t="s">
        <v>68257</v>
      </c>
      <c r="G13527" s="4" t="s">
        <v>68258</v>
      </c>
      <c r="H13527" s="3" t="s">
        <v>67992</v>
      </c>
      <c r="I13527" s="3" t="s">
        <v>68259</v>
      </c>
      <c r="J13527" s="3" t="s">
        <v>68260</v>
      </c>
      <c r="K13527" s="3" t="s">
        <v>68261</v>
      </c>
      <c r="L13527" s="3" t="s">
        <v>68262</v>
      </c>
      <c r="M13527" s="4"/>
      <c r="N13527" s="3" t="s">
        <v>37</v>
      </c>
      <c r="O13527" s="3" t="s">
        <v>38</v>
      </c>
      <c r="P13527" s="5">
        <v>25</v>
      </c>
      <c r="Q13527" s="5">
        <v>696</v>
      </c>
      <c r="R13527" s="5">
        <v>24</v>
      </c>
      <c r="S13527" s="5">
        <v>665</v>
      </c>
    </row>
    <row r="13528" spans="1:19" ht="28" x14ac:dyDescent="0.15">
      <c r="A13528" s="2">
        <f>HYPERLINK("https://open-school.uspishnemisto.com.ua/school/650065/", 650065)</f>
        <v>650065</v>
      </c>
      <c r="B13528" s="3" t="s">
        <v>68263</v>
      </c>
      <c r="C13528" s="3" t="s">
        <v>31</v>
      </c>
      <c r="D13528" s="3" t="s">
        <v>32</v>
      </c>
      <c r="E13528" s="4" t="s">
        <v>22</v>
      </c>
      <c r="F13528" s="4" t="s">
        <v>68264</v>
      </c>
      <c r="G13528" s="4" t="s">
        <v>68265</v>
      </c>
      <c r="H13528" s="3" t="s">
        <v>67992</v>
      </c>
      <c r="I13528" s="3" t="s">
        <v>1033</v>
      </c>
      <c r="J13528" s="3" t="s">
        <v>68266</v>
      </c>
      <c r="K13528" s="3" t="s">
        <v>68267</v>
      </c>
      <c r="L13528" s="3"/>
      <c r="M13528" s="4"/>
      <c r="N13528" s="3" t="s">
        <v>37</v>
      </c>
      <c r="O13528" s="3" t="s">
        <v>46</v>
      </c>
      <c r="P13528" s="5">
        <v>12</v>
      </c>
      <c r="Q13528" s="5">
        <v>340</v>
      </c>
      <c r="R13528" s="5">
        <v>13</v>
      </c>
      <c r="S13528" s="5">
        <v>324</v>
      </c>
    </row>
    <row r="13529" spans="1:19" ht="28" x14ac:dyDescent="0.15">
      <c r="A13529" s="2">
        <f>HYPERLINK("https://open-school.uspishnemisto.com.ua/school/650066/", 650066)</f>
        <v>650066</v>
      </c>
      <c r="B13529" s="3" t="s">
        <v>68268</v>
      </c>
      <c r="C13529" s="3" t="s">
        <v>31</v>
      </c>
      <c r="D13529" s="3" t="s">
        <v>32</v>
      </c>
      <c r="E13529" s="4" t="s">
        <v>22</v>
      </c>
      <c r="F13529" s="4" t="s">
        <v>68269</v>
      </c>
      <c r="G13529" s="4" t="s">
        <v>68270</v>
      </c>
      <c r="H13529" s="3" t="s">
        <v>67992</v>
      </c>
      <c r="I13529" s="3" t="s">
        <v>68271</v>
      </c>
      <c r="J13529" s="3" t="s">
        <v>44781</v>
      </c>
      <c r="K13529" s="3" t="s">
        <v>68272</v>
      </c>
      <c r="L13529" s="3"/>
      <c r="M13529" s="4" t="s">
        <v>68273</v>
      </c>
      <c r="N13529" s="3" t="s">
        <v>37</v>
      </c>
      <c r="O13529" s="3" t="s">
        <v>38</v>
      </c>
      <c r="P13529" s="5">
        <v>20</v>
      </c>
      <c r="Q13529" s="5">
        <v>515</v>
      </c>
      <c r="R13529" s="5">
        <v>20</v>
      </c>
      <c r="S13529" s="5">
        <v>514</v>
      </c>
    </row>
    <row r="13530" spans="1:19" ht="28" x14ac:dyDescent="0.15">
      <c r="A13530" s="2">
        <f>HYPERLINK("https://open-school.uspishnemisto.com.ua/school/650067/", 650067)</f>
        <v>650067</v>
      </c>
      <c r="B13530" s="3" t="s">
        <v>68274</v>
      </c>
      <c r="C13530" s="3" t="s">
        <v>31</v>
      </c>
      <c r="D13530" s="3" t="s">
        <v>32</v>
      </c>
      <c r="E13530" s="4" t="s">
        <v>22</v>
      </c>
      <c r="F13530" s="4" t="s">
        <v>68269</v>
      </c>
      <c r="G13530" s="4" t="s">
        <v>68270</v>
      </c>
      <c r="H13530" s="3" t="s">
        <v>67992</v>
      </c>
      <c r="I13530" s="3" t="s">
        <v>68271</v>
      </c>
      <c r="J13530" s="3" t="s">
        <v>68275</v>
      </c>
      <c r="K13530" s="3" t="s">
        <v>68276</v>
      </c>
      <c r="L13530" s="3"/>
      <c r="M13530" s="4" t="s">
        <v>68277</v>
      </c>
      <c r="N13530" s="3" t="s">
        <v>37</v>
      </c>
      <c r="O13530" s="3" t="s">
        <v>38</v>
      </c>
      <c r="P13530" s="5">
        <v>14</v>
      </c>
      <c r="Q13530" s="5">
        <v>318</v>
      </c>
      <c r="R13530" s="5">
        <v>15</v>
      </c>
      <c r="S13530" s="5">
        <v>321</v>
      </c>
    </row>
    <row r="13531" spans="1:19" ht="56" x14ac:dyDescent="0.15">
      <c r="A13531" s="2">
        <f>HYPERLINK("https://open-school.uspishnemisto.com.ua/school/650068/", 650068)</f>
        <v>650068</v>
      </c>
      <c r="B13531" s="3" t="s">
        <v>68278</v>
      </c>
      <c r="C13531" s="3" t="s">
        <v>244</v>
      </c>
      <c r="D13531" s="3" t="s">
        <v>32</v>
      </c>
      <c r="E13531" s="4" t="s">
        <v>22</v>
      </c>
      <c r="F13531" s="4" t="s">
        <v>68269</v>
      </c>
      <c r="G13531" s="4" t="s">
        <v>68270</v>
      </c>
      <c r="H13531" s="3" t="s">
        <v>67992</v>
      </c>
      <c r="I13531" s="3" t="s">
        <v>68271</v>
      </c>
      <c r="J13531" s="3" t="s">
        <v>68279</v>
      </c>
      <c r="K13531" s="3" t="s">
        <v>68280</v>
      </c>
      <c r="L13531" s="3" t="s">
        <v>68281</v>
      </c>
      <c r="M13531" s="4" t="s">
        <v>68282</v>
      </c>
      <c r="N13531" s="3" t="s">
        <v>37</v>
      </c>
      <c r="O13531" s="3" t="s">
        <v>46</v>
      </c>
      <c r="P13531" s="5">
        <v>20</v>
      </c>
      <c r="Q13531" s="5">
        <v>440</v>
      </c>
      <c r="R13531" s="5">
        <v>19</v>
      </c>
      <c r="S13531" s="5">
        <v>425</v>
      </c>
    </row>
    <row r="13532" spans="1:19" ht="56" x14ac:dyDescent="0.15">
      <c r="A13532" s="2">
        <f>HYPERLINK("https://open-school.uspishnemisto.com.ua/school/650069/", 650069)</f>
        <v>650069</v>
      </c>
      <c r="B13532" s="3" t="s">
        <v>68283</v>
      </c>
      <c r="C13532" s="3" t="s">
        <v>54</v>
      </c>
      <c r="D13532" s="3" t="s">
        <v>32</v>
      </c>
      <c r="E13532" s="4" t="s">
        <v>22</v>
      </c>
      <c r="F13532" s="4" t="s">
        <v>68284</v>
      </c>
      <c r="G13532" s="4" t="s">
        <v>68270</v>
      </c>
      <c r="H13532" s="3" t="s">
        <v>67992</v>
      </c>
      <c r="I13532" s="3" t="s">
        <v>68271</v>
      </c>
      <c r="J13532" s="3" t="s">
        <v>68285</v>
      </c>
      <c r="K13532" s="3" t="s">
        <v>68286</v>
      </c>
      <c r="L13532" s="3"/>
      <c r="M13532" s="4" t="s">
        <v>68287</v>
      </c>
      <c r="N13532" s="3" t="s">
        <v>37</v>
      </c>
      <c r="O13532" s="3" t="s">
        <v>52</v>
      </c>
      <c r="P13532" s="5">
        <v>20</v>
      </c>
      <c r="Q13532" s="5">
        <v>505</v>
      </c>
      <c r="R13532" s="5">
        <v>19</v>
      </c>
      <c r="S13532" s="5">
        <v>476</v>
      </c>
    </row>
    <row r="13533" spans="1:19" ht="28" x14ac:dyDescent="0.15">
      <c r="A13533" s="2">
        <f>HYPERLINK("https://open-school.uspishnemisto.com.ua/school/650070/", 650070)</f>
        <v>650070</v>
      </c>
      <c r="B13533" s="3" t="s">
        <v>68288</v>
      </c>
      <c r="C13533" s="3" t="s">
        <v>31</v>
      </c>
      <c r="D13533" s="3" t="s">
        <v>32</v>
      </c>
      <c r="E13533" s="4" t="s">
        <v>22</v>
      </c>
      <c r="F13533" s="4" t="s">
        <v>68289</v>
      </c>
      <c r="G13533" s="4" t="s">
        <v>68290</v>
      </c>
      <c r="H13533" s="3" t="s">
        <v>67992</v>
      </c>
      <c r="I13533" s="3" t="s">
        <v>68291</v>
      </c>
      <c r="J13533" s="3" t="s">
        <v>68292</v>
      </c>
      <c r="K13533" s="3" t="s">
        <v>68293</v>
      </c>
      <c r="L13533" s="3"/>
      <c r="M13533" s="4"/>
      <c r="N13533" s="3" t="s">
        <v>37</v>
      </c>
      <c r="O13533" s="3" t="s">
        <v>46</v>
      </c>
      <c r="P13533" s="5">
        <v>31</v>
      </c>
      <c r="Q13533" s="5">
        <v>836</v>
      </c>
      <c r="R13533" s="5">
        <v>30</v>
      </c>
      <c r="S13533" s="5">
        <v>816</v>
      </c>
    </row>
    <row r="13534" spans="1:19" ht="28" x14ac:dyDescent="0.15">
      <c r="A13534" s="2">
        <f>HYPERLINK("https://open-school.uspishnemisto.com.ua/school/650071/", 650071)</f>
        <v>650071</v>
      </c>
      <c r="B13534" s="3" t="s">
        <v>68294</v>
      </c>
      <c r="C13534" s="3" t="s">
        <v>31</v>
      </c>
      <c r="D13534" s="3" t="s">
        <v>32</v>
      </c>
      <c r="E13534" s="4" t="s">
        <v>22</v>
      </c>
      <c r="F13534" s="4" t="s">
        <v>68289</v>
      </c>
      <c r="G13534" s="4" t="s">
        <v>68290</v>
      </c>
      <c r="H13534" s="3" t="s">
        <v>67992</v>
      </c>
      <c r="I13534" s="3" t="s">
        <v>68291</v>
      </c>
      <c r="J13534" s="3" t="s">
        <v>68295</v>
      </c>
      <c r="K13534" s="3"/>
      <c r="L13534" s="3"/>
      <c r="M13534" s="4"/>
      <c r="N13534" s="3" t="s">
        <v>37</v>
      </c>
      <c r="O13534" s="3" t="s">
        <v>52</v>
      </c>
      <c r="P13534" s="5">
        <v>25</v>
      </c>
      <c r="Q13534" s="5">
        <v>614</v>
      </c>
      <c r="R13534" s="5">
        <v>25</v>
      </c>
      <c r="S13534" s="5">
        <v>612</v>
      </c>
    </row>
    <row r="13535" spans="1:19" ht="28" x14ac:dyDescent="0.15">
      <c r="A13535" s="2">
        <f>HYPERLINK("https://open-school.uspishnemisto.com.ua/school/650072/", 650072)</f>
        <v>650072</v>
      </c>
      <c r="B13535" s="3" t="s">
        <v>68296</v>
      </c>
      <c r="C13535" s="3" t="s">
        <v>31</v>
      </c>
      <c r="D13535" s="3" t="s">
        <v>32</v>
      </c>
      <c r="E13535" s="4" t="s">
        <v>22</v>
      </c>
      <c r="F13535" s="4" t="s">
        <v>68289</v>
      </c>
      <c r="G13535" s="4" t="s">
        <v>68290</v>
      </c>
      <c r="H13535" s="3" t="s">
        <v>67992</v>
      </c>
      <c r="I13535" s="3" t="s">
        <v>68291</v>
      </c>
      <c r="J13535" s="3" t="s">
        <v>68297</v>
      </c>
      <c r="K13535" s="3" t="s">
        <v>68298</v>
      </c>
      <c r="L13535" s="3" t="s">
        <v>68299</v>
      </c>
      <c r="M13535" s="4"/>
      <c r="N13535" s="3" t="s">
        <v>37</v>
      </c>
      <c r="O13535" s="3" t="s">
        <v>197</v>
      </c>
      <c r="P13535" s="5">
        <v>34</v>
      </c>
      <c r="Q13535" s="5">
        <v>925</v>
      </c>
      <c r="R13535" s="5">
        <v>32</v>
      </c>
      <c r="S13535" s="5">
        <v>874</v>
      </c>
    </row>
    <row r="13536" spans="1:19" ht="28" x14ac:dyDescent="0.15">
      <c r="A13536" s="2">
        <f>HYPERLINK("https://open-school.uspishnemisto.com.ua/school/650073/", 650073)</f>
        <v>650073</v>
      </c>
      <c r="B13536" s="3" t="s">
        <v>68300</v>
      </c>
      <c r="C13536" s="3" t="s">
        <v>31</v>
      </c>
      <c r="D13536" s="3" t="s">
        <v>32</v>
      </c>
      <c r="E13536" s="4" t="s">
        <v>22</v>
      </c>
      <c r="F13536" s="4" t="s">
        <v>68289</v>
      </c>
      <c r="G13536" s="4" t="s">
        <v>68290</v>
      </c>
      <c r="H13536" s="3" t="s">
        <v>67992</v>
      </c>
      <c r="I13536" s="3" t="s">
        <v>68291</v>
      </c>
      <c r="J13536" s="3" t="s">
        <v>68301</v>
      </c>
      <c r="K13536" s="3" t="s">
        <v>68302</v>
      </c>
      <c r="L13536" s="3"/>
      <c r="M13536" s="4"/>
      <c r="N13536" s="3" t="s">
        <v>37</v>
      </c>
      <c r="O13536" s="3" t="s">
        <v>52</v>
      </c>
      <c r="P13536" s="5">
        <v>13</v>
      </c>
      <c r="Q13536" s="5">
        <v>329</v>
      </c>
      <c r="R13536" s="5">
        <v>14</v>
      </c>
      <c r="S13536" s="5">
        <v>344</v>
      </c>
    </row>
    <row r="13537" spans="1:19" ht="28" x14ac:dyDescent="0.15">
      <c r="A13537" s="2">
        <f>HYPERLINK("https://open-school.uspishnemisto.com.ua/school/650074/", 650074)</f>
        <v>650074</v>
      </c>
      <c r="B13537" s="3" t="s">
        <v>68303</v>
      </c>
      <c r="C13537" s="3" t="s">
        <v>31</v>
      </c>
      <c r="D13537" s="3" t="s">
        <v>32</v>
      </c>
      <c r="E13537" s="4" t="s">
        <v>22</v>
      </c>
      <c r="F13537" s="4" t="s">
        <v>68289</v>
      </c>
      <c r="G13537" s="4" t="s">
        <v>68290</v>
      </c>
      <c r="H13537" s="3" t="s">
        <v>67992</v>
      </c>
      <c r="I13537" s="3" t="s">
        <v>68291</v>
      </c>
      <c r="J13537" s="3" t="s">
        <v>68304</v>
      </c>
      <c r="K13537" s="3" t="s">
        <v>68305</v>
      </c>
      <c r="L13537" s="3"/>
      <c r="M13537" s="4"/>
      <c r="N13537" s="3" t="s">
        <v>37</v>
      </c>
      <c r="O13537" s="3" t="s">
        <v>52</v>
      </c>
      <c r="P13537" s="5">
        <v>13</v>
      </c>
      <c r="Q13537" s="5">
        <v>300</v>
      </c>
      <c r="R13537" s="5">
        <v>13</v>
      </c>
      <c r="S13537" s="5">
        <v>291</v>
      </c>
    </row>
    <row r="13538" spans="1:19" ht="42" x14ac:dyDescent="0.15">
      <c r="A13538" s="2">
        <f>HYPERLINK("https://open-school.uspishnemisto.com.ua/school/650075/", 650075)</f>
        <v>650075</v>
      </c>
      <c r="B13538" s="3" t="s">
        <v>68306</v>
      </c>
      <c r="C13538" s="3" t="s">
        <v>244</v>
      </c>
      <c r="D13538" s="3" t="s">
        <v>32</v>
      </c>
      <c r="E13538" s="4" t="s">
        <v>22</v>
      </c>
      <c r="F13538" s="4" t="s">
        <v>68289</v>
      </c>
      <c r="G13538" s="4" t="s">
        <v>68290</v>
      </c>
      <c r="H13538" s="3" t="s">
        <v>67992</v>
      </c>
      <c r="I13538" s="3" t="s">
        <v>68291</v>
      </c>
      <c r="J13538" s="3" t="s">
        <v>68307</v>
      </c>
      <c r="K13538" s="3" t="s">
        <v>68308</v>
      </c>
      <c r="L13538" s="3"/>
      <c r="M13538" s="4"/>
      <c r="N13538" s="3" t="s">
        <v>128</v>
      </c>
      <c r="O13538" s="3" t="s">
        <v>197</v>
      </c>
      <c r="P13538" s="5">
        <v>20</v>
      </c>
      <c r="Q13538" s="5">
        <v>449</v>
      </c>
      <c r="R13538" s="5">
        <v>19</v>
      </c>
      <c r="S13538" s="5">
        <v>434</v>
      </c>
    </row>
    <row r="13539" spans="1:19" ht="56" x14ac:dyDescent="0.15">
      <c r="A13539" s="2">
        <f>HYPERLINK("https://open-school.uspishnemisto.com.ua/school/650076/", 650076)</f>
        <v>650076</v>
      </c>
      <c r="B13539" s="3" t="s">
        <v>68309</v>
      </c>
      <c r="C13539" s="3" t="s">
        <v>54</v>
      </c>
      <c r="D13539" s="3" t="s">
        <v>32</v>
      </c>
      <c r="E13539" s="4" t="s">
        <v>22</v>
      </c>
      <c r="F13539" s="4" t="s">
        <v>68289</v>
      </c>
      <c r="G13539" s="4" t="s">
        <v>68290</v>
      </c>
      <c r="H13539" s="3" t="s">
        <v>67992</v>
      </c>
      <c r="I13539" s="3" t="s">
        <v>68291</v>
      </c>
      <c r="J13539" s="3" t="s">
        <v>68310</v>
      </c>
      <c r="K13539" s="3" t="s">
        <v>68311</v>
      </c>
      <c r="L13539" s="3" t="s">
        <v>68312</v>
      </c>
      <c r="M13539" s="4"/>
      <c r="N13539" s="3" t="s">
        <v>37</v>
      </c>
      <c r="O13539" s="3" t="s">
        <v>52</v>
      </c>
      <c r="P13539" s="5">
        <v>14</v>
      </c>
      <c r="Q13539" s="5">
        <v>330</v>
      </c>
      <c r="R13539" s="5">
        <v>14</v>
      </c>
      <c r="S13539" s="5">
        <v>339</v>
      </c>
    </row>
    <row r="13540" spans="1:19" ht="28" x14ac:dyDescent="0.15">
      <c r="A13540" s="2">
        <f>HYPERLINK("https://open-school.uspishnemisto.com.ua/school/650077/", 650077)</f>
        <v>650077</v>
      </c>
      <c r="B13540" s="3" t="s">
        <v>68313</v>
      </c>
      <c r="C13540" s="3" t="s">
        <v>40</v>
      </c>
      <c r="D13540" s="3" t="s">
        <v>32</v>
      </c>
      <c r="E13540" s="4" t="s">
        <v>22</v>
      </c>
      <c r="F13540" s="4" t="s">
        <v>68314</v>
      </c>
      <c r="G13540" s="4" t="s">
        <v>68315</v>
      </c>
      <c r="H13540" s="3" t="s">
        <v>67992</v>
      </c>
      <c r="I13540" s="3" t="s">
        <v>68316</v>
      </c>
      <c r="J13540" s="3" t="s">
        <v>68317</v>
      </c>
      <c r="K13540" s="3"/>
      <c r="L13540" s="3"/>
      <c r="M13540" s="4" t="s">
        <v>68318</v>
      </c>
      <c r="N13540" s="3" t="s">
        <v>128</v>
      </c>
      <c r="O13540" s="3" t="s">
        <v>38</v>
      </c>
      <c r="P13540" s="5">
        <v>26</v>
      </c>
      <c r="Q13540" s="5">
        <v>658</v>
      </c>
      <c r="R13540" s="5">
        <v>25</v>
      </c>
      <c r="S13540" s="5">
        <v>634</v>
      </c>
    </row>
    <row r="13541" spans="1:19" ht="28" x14ac:dyDescent="0.15">
      <c r="A13541" s="2">
        <f>HYPERLINK("https://open-school.uspishnemisto.com.ua/school/650078/", 650078)</f>
        <v>650078</v>
      </c>
      <c r="B13541" s="3" t="s">
        <v>68319</v>
      </c>
      <c r="C13541" s="3" t="s">
        <v>31</v>
      </c>
      <c r="D13541" s="3" t="s">
        <v>32</v>
      </c>
      <c r="E13541" s="4" t="s">
        <v>22</v>
      </c>
      <c r="F13541" s="4" t="s">
        <v>68314</v>
      </c>
      <c r="G13541" s="4" t="s">
        <v>68315</v>
      </c>
      <c r="H13541" s="3" t="s">
        <v>67992</v>
      </c>
      <c r="I13541" s="3" t="s">
        <v>68316</v>
      </c>
      <c r="J13541" s="3" t="s">
        <v>68320</v>
      </c>
      <c r="K13541" s="3" t="s">
        <v>68321</v>
      </c>
      <c r="L13541" s="3" t="s">
        <v>68322</v>
      </c>
      <c r="M13541" s="4" t="s">
        <v>68323</v>
      </c>
      <c r="N13541" s="3" t="s">
        <v>37</v>
      </c>
      <c r="O13541" s="3" t="s">
        <v>70</v>
      </c>
      <c r="P13541" s="5">
        <v>20</v>
      </c>
      <c r="Q13541" s="5">
        <v>524</v>
      </c>
      <c r="R13541" s="5">
        <v>20</v>
      </c>
      <c r="S13541" s="5">
        <v>493</v>
      </c>
    </row>
    <row r="13542" spans="1:19" ht="28" x14ac:dyDescent="0.15">
      <c r="A13542" s="2">
        <f>HYPERLINK("https://open-school.uspishnemisto.com.ua/school/650079/", 650079)</f>
        <v>650079</v>
      </c>
      <c r="B13542" s="3" t="s">
        <v>68324</v>
      </c>
      <c r="C13542" s="3" t="s">
        <v>31</v>
      </c>
      <c r="D13542" s="3" t="s">
        <v>32</v>
      </c>
      <c r="E13542" s="4" t="s">
        <v>22</v>
      </c>
      <c r="F13542" s="4" t="s">
        <v>68314</v>
      </c>
      <c r="G13542" s="4" t="s">
        <v>68315</v>
      </c>
      <c r="H13542" s="3" t="s">
        <v>67992</v>
      </c>
      <c r="I13542" s="3" t="s">
        <v>68316</v>
      </c>
      <c r="J13542" s="3" t="s">
        <v>68325</v>
      </c>
      <c r="K13542" s="3" t="s">
        <v>68326</v>
      </c>
      <c r="L13542" s="3"/>
      <c r="M13542" s="4" t="s">
        <v>68327</v>
      </c>
      <c r="N13542" s="3" t="s">
        <v>37</v>
      </c>
      <c r="O13542" s="3" t="s">
        <v>38</v>
      </c>
      <c r="P13542" s="5">
        <v>15</v>
      </c>
      <c r="Q13542" s="5">
        <v>343</v>
      </c>
      <c r="R13542" s="5">
        <v>13</v>
      </c>
      <c r="S13542" s="5">
        <v>312</v>
      </c>
    </row>
    <row r="13543" spans="1:19" ht="28" x14ac:dyDescent="0.15">
      <c r="A13543" s="2">
        <f>HYPERLINK("https://open-school.uspishnemisto.com.ua/school/650080/", 650080)</f>
        <v>650080</v>
      </c>
      <c r="B13543" s="3" t="s">
        <v>68328</v>
      </c>
      <c r="C13543" s="3" t="s">
        <v>31</v>
      </c>
      <c r="D13543" s="3" t="s">
        <v>32</v>
      </c>
      <c r="E13543" s="4" t="s">
        <v>22</v>
      </c>
      <c r="F13543" s="4" t="s">
        <v>68314</v>
      </c>
      <c r="G13543" s="4" t="s">
        <v>68315</v>
      </c>
      <c r="H13543" s="3" t="s">
        <v>67992</v>
      </c>
      <c r="I13543" s="3" t="s">
        <v>68316</v>
      </c>
      <c r="J13543" s="3" t="s">
        <v>68329</v>
      </c>
      <c r="K13543" s="3" t="s">
        <v>68330</v>
      </c>
      <c r="L13543" s="3" t="s">
        <v>68331</v>
      </c>
      <c r="M13543" s="4" t="s">
        <v>68332</v>
      </c>
      <c r="N13543" s="3" t="s">
        <v>967</v>
      </c>
      <c r="O13543" s="3" t="s">
        <v>721</v>
      </c>
      <c r="P13543" s="5">
        <v>23</v>
      </c>
      <c r="Q13543" s="5">
        <v>596</v>
      </c>
      <c r="R13543" s="5">
        <v>23</v>
      </c>
      <c r="S13543" s="5">
        <v>599</v>
      </c>
    </row>
    <row r="13544" spans="1:19" ht="28" x14ac:dyDescent="0.15">
      <c r="A13544" s="2">
        <f>HYPERLINK("https://open-school.uspishnemisto.com.ua/school/650081/", 650081)</f>
        <v>650081</v>
      </c>
      <c r="B13544" s="3" t="s">
        <v>68333</v>
      </c>
      <c r="C13544" s="3" t="s">
        <v>31</v>
      </c>
      <c r="D13544" s="3" t="s">
        <v>32</v>
      </c>
      <c r="E13544" s="4" t="s">
        <v>22</v>
      </c>
      <c r="F13544" s="4" t="s">
        <v>68314</v>
      </c>
      <c r="G13544" s="4" t="s">
        <v>68315</v>
      </c>
      <c r="H13544" s="3" t="s">
        <v>67992</v>
      </c>
      <c r="I13544" s="3" t="s">
        <v>68316</v>
      </c>
      <c r="J13544" s="3" t="s">
        <v>68334</v>
      </c>
      <c r="K13544" s="3" t="s">
        <v>68335</v>
      </c>
      <c r="L13544" s="3" t="s">
        <v>68336</v>
      </c>
      <c r="M13544" s="4" t="s">
        <v>68337</v>
      </c>
      <c r="N13544" s="3" t="s">
        <v>37</v>
      </c>
      <c r="O13544" s="3" t="s">
        <v>38</v>
      </c>
      <c r="P13544" s="5">
        <v>30</v>
      </c>
      <c r="Q13544" s="5">
        <v>804</v>
      </c>
      <c r="R13544" s="5">
        <v>30</v>
      </c>
      <c r="S13544" s="5">
        <v>773</v>
      </c>
    </row>
    <row r="13545" spans="1:19" ht="28" x14ac:dyDescent="0.15">
      <c r="A13545" s="2">
        <f>HYPERLINK("https://open-school.uspishnemisto.com.ua/school/650082/", 650082)</f>
        <v>650082</v>
      </c>
      <c r="B13545" s="3" t="s">
        <v>68338</v>
      </c>
      <c r="C13545" s="3" t="s">
        <v>31</v>
      </c>
      <c r="D13545" s="3" t="s">
        <v>32</v>
      </c>
      <c r="E13545" s="4" t="s">
        <v>22</v>
      </c>
      <c r="F13545" s="4" t="s">
        <v>68314</v>
      </c>
      <c r="G13545" s="4" t="s">
        <v>68315</v>
      </c>
      <c r="H13545" s="3" t="s">
        <v>67992</v>
      </c>
      <c r="I13545" s="3" t="s">
        <v>68316</v>
      </c>
      <c r="J13545" s="3" t="s">
        <v>68339</v>
      </c>
      <c r="K13545" s="3" t="s">
        <v>68340</v>
      </c>
      <c r="L13545" s="3" t="s">
        <v>68341</v>
      </c>
      <c r="M13545" s="4" t="s">
        <v>68342</v>
      </c>
      <c r="N13545" s="3" t="s">
        <v>37</v>
      </c>
      <c r="O13545" s="3" t="s">
        <v>70</v>
      </c>
      <c r="P13545" s="5">
        <v>21</v>
      </c>
      <c r="Q13545" s="5">
        <v>523</v>
      </c>
      <c r="R13545" s="5">
        <v>22</v>
      </c>
      <c r="S13545" s="5">
        <v>531</v>
      </c>
    </row>
    <row r="13546" spans="1:19" ht="42" x14ac:dyDescent="0.15">
      <c r="A13546" s="2">
        <f>HYPERLINK("https://open-school.uspishnemisto.com.ua/school/650083/", 650083)</f>
        <v>650083</v>
      </c>
      <c r="B13546" s="3" t="s">
        <v>68343</v>
      </c>
      <c r="C13546" s="3" t="s">
        <v>54</v>
      </c>
      <c r="D13546" s="3" t="s">
        <v>32</v>
      </c>
      <c r="E13546" s="4" t="s">
        <v>22</v>
      </c>
      <c r="F13546" s="4" t="s">
        <v>68314</v>
      </c>
      <c r="G13546" s="4" t="s">
        <v>68315</v>
      </c>
      <c r="H13546" s="3" t="s">
        <v>67992</v>
      </c>
      <c r="I13546" s="3" t="s">
        <v>68316</v>
      </c>
      <c r="J13546" s="3" t="s">
        <v>68344</v>
      </c>
      <c r="K13546" s="3" t="s">
        <v>68345</v>
      </c>
      <c r="L13546" s="3" t="s">
        <v>68346</v>
      </c>
      <c r="M13546" s="4" t="s">
        <v>68347</v>
      </c>
      <c r="N13546" s="3" t="s">
        <v>37</v>
      </c>
      <c r="O13546" s="3" t="s">
        <v>70</v>
      </c>
      <c r="P13546" s="5">
        <v>28</v>
      </c>
      <c r="Q13546" s="5">
        <v>739</v>
      </c>
      <c r="R13546" s="5">
        <v>27</v>
      </c>
      <c r="S13546" s="5">
        <v>724</v>
      </c>
    </row>
    <row r="13547" spans="1:19" ht="28" x14ac:dyDescent="0.15">
      <c r="A13547" s="2">
        <f>HYPERLINK("https://open-school.uspishnemisto.com.ua/school/650084/", 650084)</f>
        <v>650084</v>
      </c>
      <c r="B13547" s="3" t="s">
        <v>68348</v>
      </c>
      <c r="C13547" s="3" t="s">
        <v>293</v>
      </c>
      <c r="D13547" s="3" t="s">
        <v>32</v>
      </c>
      <c r="E13547" s="4" t="s">
        <v>22</v>
      </c>
      <c r="F13547" s="4" t="s">
        <v>68314</v>
      </c>
      <c r="G13547" s="4" t="s">
        <v>68315</v>
      </c>
      <c r="H13547" s="3" t="s">
        <v>67992</v>
      </c>
      <c r="I13547" s="3" t="s">
        <v>68316</v>
      </c>
      <c r="J13547" s="3" t="s">
        <v>68349</v>
      </c>
      <c r="K13547" s="3" t="s">
        <v>68350</v>
      </c>
      <c r="L13547" s="3"/>
      <c r="M13547" s="4" t="s">
        <v>68351</v>
      </c>
      <c r="N13547" s="3" t="s">
        <v>37</v>
      </c>
      <c r="O13547" s="3" t="s">
        <v>52</v>
      </c>
      <c r="P13547" s="5">
        <v>6</v>
      </c>
      <c r="Q13547" s="5">
        <v>50</v>
      </c>
      <c r="R13547" s="5">
        <v>3</v>
      </c>
      <c r="S13547" s="5">
        <v>26</v>
      </c>
    </row>
    <row r="13548" spans="1:19" ht="28" x14ac:dyDescent="0.15">
      <c r="A13548" s="2">
        <f>HYPERLINK("https://open-school.uspishnemisto.com.ua/school/650085/", 650085)</f>
        <v>650085</v>
      </c>
      <c r="B13548" s="3" t="s">
        <v>68352</v>
      </c>
      <c r="C13548" s="3" t="s">
        <v>188</v>
      </c>
      <c r="D13548" s="3" t="s">
        <v>32</v>
      </c>
      <c r="E13548" s="4" t="s">
        <v>22</v>
      </c>
      <c r="F13548" s="4" t="s">
        <v>68314</v>
      </c>
      <c r="G13548" s="4" t="s">
        <v>68315</v>
      </c>
      <c r="H13548" s="3" t="s">
        <v>67992</v>
      </c>
      <c r="I13548" s="3" t="s">
        <v>68316</v>
      </c>
      <c r="J13548" s="3" t="s">
        <v>68353</v>
      </c>
      <c r="K13548" s="3" t="s">
        <v>68354</v>
      </c>
      <c r="L13548" s="3" t="s">
        <v>68355</v>
      </c>
      <c r="M13548" s="4" t="s">
        <v>68356</v>
      </c>
      <c r="N13548" s="3" t="s">
        <v>37</v>
      </c>
      <c r="O13548" s="3" t="s">
        <v>52</v>
      </c>
      <c r="P13548" s="5">
        <v>8</v>
      </c>
      <c r="Q13548" s="5">
        <v>170</v>
      </c>
      <c r="R13548" s="5">
        <v>8</v>
      </c>
      <c r="S13548" s="5">
        <v>176</v>
      </c>
    </row>
    <row r="13549" spans="1:19" ht="42" x14ac:dyDescent="0.15">
      <c r="A13549" s="2">
        <f>HYPERLINK("https://open-school.uspishnemisto.com.ua/school/650086/", 650086)</f>
        <v>650086</v>
      </c>
      <c r="B13549" s="3" t="s">
        <v>68357</v>
      </c>
      <c r="C13549" s="3" t="s">
        <v>244</v>
      </c>
      <c r="D13549" s="3" t="s">
        <v>32</v>
      </c>
      <c r="E13549" s="4" t="s">
        <v>22</v>
      </c>
      <c r="F13549" s="4" t="s">
        <v>68314</v>
      </c>
      <c r="G13549" s="4" t="s">
        <v>68315</v>
      </c>
      <c r="H13549" s="3" t="s">
        <v>67992</v>
      </c>
      <c r="I13549" s="3" t="s">
        <v>68316</v>
      </c>
      <c r="J13549" s="3" t="s">
        <v>68358</v>
      </c>
      <c r="K13549" s="3" t="s">
        <v>68359</v>
      </c>
      <c r="L13549" s="3" t="s">
        <v>68360</v>
      </c>
      <c r="M13549" s="4" t="s">
        <v>68361</v>
      </c>
      <c r="N13549" s="3" t="s">
        <v>128</v>
      </c>
      <c r="O13549" s="3" t="s">
        <v>2740</v>
      </c>
      <c r="P13549" s="5">
        <v>31</v>
      </c>
      <c r="Q13549" s="5">
        <v>775</v>
      </c>
      <c r="R13549" s="5">
        <v>29</v>
      </c>
      <c r="S13549" s="5">
        <v>755</v>
      </c>
    </row>
    <row r="13550" spans="1:19" ht="28" x14ac:dyDescent="0.15">
      <c r="A13550" s="2">
        <f>HYPERLINK("https://open-school.uspishnemisto.com.ua/school/650087/", 650087)</f>
        <v>650087</v>
      </c>
      <c r="B13550" s="3" t="s">
        <v>68362</v>
      </c>
      <c r="C13550" s="3" t="s">
        <v>31</v>
      </c>
      <c r="D13550" s="3" t="s">
        <v>32</v>
      </c>
      <c r="E13550" s="4" t="s">
        <v>22</v>
      </c>
      <c r="F13550" s="4" t="s">
        <v>68363</v>
      </c>
      <c r="G13550" s="4" t="s">
        <v>68364</v>
      </c>
      <c r="H13550" s="3" t="s">
        <v>67992</v>
      </c>
      <c r="I13550" s="3" t="s">
        <v>68365</v>
      </c>
      <c r="J13550" s="3" t="s">
        <v>68366</v>
      </c>
      <c r="K13550" s="3" t="s">
        <v>68367</v>
      </c>
      <c r="L13550" s="3"/>
      <c r="M13550" s="4" t="s">
        <v>68368</v>
      </c>
      <c r="N13550" s="3" t="s">
        <v>37</v>
      </c>
      <c r="O13550" s="3" t="s">
        <v>70</v>
      </c>
      <c r="P13550" s="5">
        <v>18</v>
      </c>
      <c r="Q13550" s="5">
        <v>383</v>
      </c>
      <c r="R13550" s="5">
        <v>17</v>
      </c>
      <c r="S13550" s="5">
        <v>371</v>
      </c>
    </row>
    <row r="13551" spans="1:19" ht="28" x14ac:dyDescent="0.15">
      <c r="A13551" s="2">
        <f>HYPERLINK("https://open-school.uspishnemisto.com.ua/school/650088/", 650088)</f>
        <v>650088</v>
      </c>
      <c r="B13551" s="3" t="s">
        <v>68369</v>
      </c>
      <c r="C13551" s="3" t="s">
        <v>31</v>
      </c>
      <c r="D13551" s="3" t="s">
        <v>175</v>
      </c>
      <c r="E13551" s="4" t="s">
        <v>22</v>
      </c>
      <c r="F13551" s="4" t="s">
        <v>68370</v>
      </c>
      <c r="G13551" s="4" t="s">
        <v>68371</v>
      </c>
      <c r="H13551" s="3" t="s">
        <v>67992</v>
      </c>
      <c r="I13551" s="3" t="s">
        <v>68372</v>
      </c>
      <c r="J13551" s="3" t="s">
        <v>68373</v>
      </c>
      <c r="K13551" s="3" t="s">
        <v>68374</v>
      </c>
      <c r="L13551" s="3" t="s">
        <v>68375</v>
      </c>
      <c r="M13551" s="4" t="s">
        <v>68376</v>
      </c>
      <c r="N13551" s="3" t="s">
        <v>37</v>
      </c>
      <c r="O13551" s="3" t="s">
        <v>38</v>
      </c>
      <c r="P13551" s="5">
        <v>9</v>
      </c>
      <c r="Q13551" s="5">
        <v>91</v>
      </c>
      <c r="R13551" s="5">
        <v>9</v>
      </c>
      <c r="S13551" s="5">
        <v>92</v>
      </c>
    </row>
    <row r="13552" spans="1:19" ht="28" x14ac:dyDescent="0.15">
      <c r="A13552" s="2">
        <f>HYPERLINK("https://open-school.uspishnemisto.com.ua/school/650089/", 650089)</f>
        <v>650089</v>
      </c>
      <c r="B13552" s="3" t="s">
        <v>68377</v>
      </c>
      <c r="C13552" s="3" t="s">
        <v>31</v>
      </c>
      <c r="D13552" s="3" t="s">
        <v>32</v>
      </c>
      <c r="E13552" s="4" t="s">
        <v>22</v>
      </c>
      <c r="F13552" s="4" t="s">
        <v>68378</v>
      </c>
      <c r="G13552" s="4" t="s">
        <v>68379</v>
      </c>
      <c r="H13552" s="3" t="s">
        <v>67992</v>
      </c>
      <c r="I13552" s="3" t="s">
        <v>68380</v>
      </c>
      <c r="J13552" s="3" t="s">
        <v>68381</v>
      </c>
      <c r="K13552" s="3" t="s">
        <v>68382</v>
      </c>
      <c r="L13552" s="3" t="s">
        <v>68383</v>
      </c>
      <c r="M13552" s="4" t="s">
        <v>68384</v>
      </c>
      <c r="N13552" s="3" t="s">
        <v>37</v>
      </c>
      <c r="O13552" s="3" t="s">
        <v>70</v>
      </c>
      <c r="P13552" s="5">
        <v>20</v>
      </c>
      <c r="Q13552" s="5">
        <v>475</v>
      </c>
      <c r="R13552" s="5">
        <v>19</v>
      </c>
      <c r="S13552" s="5">
        <v>451</v>
      </c>
    </row>
    <row r="13553" spans="1:19" ht="28" x14ac:dyDescent="0.15">
      <c r="A13553" s="2">
        <f>HYPERLINK("https://open-school.uspishnemisto.com.ua/school/650090/", 650090)</f>
        <v>650090</v>
      </c>
      <c r="B13553" s="3" t="s">
        <v>68385</v>
      </c>
      <c r="C13553" s="3" t="s">
        <v>31</v>
      </c>
      <c r="D13553" s="3" t="s">
        <v>32</v>
      </c>
      <c r="E13553" s="4" t="s">
        <v>22</v>
      </c>
      <c r="F13553" s="4" t="s">
        <v>68378</v>
      </c>
      <c r="G13553" s="4" t="s">
        <v>68379</v>
      </c>
      <c r="H13553" s="3" t="s">
        <v>67992</v>
      </c>
      <c r="I13553" s="3" t="s">
        <v>68380</v>
      </c>
      <c r="J13553" s="3" t="s">
        <v>68386</v>
      </c>
      <c r="K13553" s="3" t="s">
        <v>68387</v>
      </c>
      <c r="L13553" s="3" t="s">
        <v>68388</v>
      </c>
      <c r="M13553" s="4" t="s">
        <v>68389</v>
      </c>
      <c r="N13553" s="3" t="s">
        <v>37</v>
      </c>
      <c r="O13553" s="3" t="s">
        <v>52</v>
      </c>
      <c r="P13553" s="5">
        <v>21</v>
      </c>
      <c r="Q13553" s="5">
        <v>494</v>
      </c>
      <c r="R13553" s="5">
        <v>21</v>
      </c>
      <c r="S13553" s="5">
        <v>491</v>
      </c>
    </row>
    <row r="13554" spans="1:19" ht="42" x14ac:dyDescent="0.15">
      <c r="A13554" s="2">
        <f>HYPERLINK("https://open-school.uspishnemisto.com.ua/school/650091/", 650091)</f>
        <v>650091</v>
      </c>
      <c r="B13554" s="3" t="s">
        <v>68390</v>
      </c>
      <c r="C13554" s="3" t="s">
        <v>181</v>
      </c>
      <c r="D13554" s="3" t="s">
        <v>175</v>
      </c>
      <c r="E13554" s="4" t="s">
        <v>22</v>
      </c>
      <c r="F13554" s="4" t="s">
        <v>68378</v>
      </c>
      <c r="G13554" s="4" t="s">
        <v>68379</v>
      </c>
      <c r="H13554" s="3" t="s">
        <v>67992</v>
      </c>
      <c r="I13554" s="3" t="s">
        <v>68380</v>
      </c>
      <c r="J13554" s="3" t="s">
        <v>68391</v>
      </c>
      <c r="K13554" s="3" t="s">
        <v>68392</v>
      </c>
      <c r="L13554" s="3"/>
      <c r="M13554" s="4" t="s">
        <v>68393</v>
      </c>
      <c r="N13554" s="3" t="s">
        <v>37</v>
      </c>
      <c r="O13554" s="3"/>
      <c r="P13554" s="5">
        <v>18</v>
      </c>
      <c r="Q13554" s="5">
        <v>201</v>
      </c>
      <c r="R13554" s="5">
        <v>17</v>
      </c>
      <c r="S13554" s="5">
        <v>204</v>
      </c>
    </row>
    <row r="13555" spans="1:19" ht="28" x14ac:dyDescent="0.15">
      <c r="A13555" s="2">
        <f>HYPERLINK("https://open-school.uspishnemisto.com.ua/school/650092/", 650092)</f>
        <v>650092</v>
      </c>
      <c r="B13555" s="3" t="s">
        <v>68394</v>
      </c>
      <c r="C13555" s="3" t="s">
        <v>31</v>
      </c>
      <c r="D13555" s="3" t="s">
        <v>32</v>
      </c>
      <c r="E13555" s="4" t="s">
        <v>22</v>
      </c>
      <c r="F13555" s="4" t="s">
        <v>68395</v>
      </c>
      <c r="G13555" s="4" t="s">
        <v>68396</v>
      </c>
      <c r="H13555" s="3" t="s">
        <v>67992</v>
      </c>
      <c r="I13555" s="3" t="s">
        <v>68397</v>
      </c>
      <c r="J13555" s="3" t="s">
        <v>11664</v>
      </c>
      <c r="K13555" s="3" t="s">
        <v>68398</v>
      </c>
      <c r="L13555" s="3" t="s">
        <v>68399</v>
      </c>
      <c r="M13555" s="4" t="s">
        <v>68400</v>
      </c>
      <c r="N13555" s="3" t="s">
        <v>37</v>
      </c>
      <c r="O13555" s="3" t="s">
        <v>38</v>
      </c>
      <c r="P13555" s="5">
        <v>11</v>
      </c>
      <c r="Q13555" s="5">
        <v>151</v>
      </c>
      <c r="R13555" s="5">
        <v>11</v>
      </c>
      <c r="S13555" s="5">
        <v>153</v>
      </c>
    </row>
    <row r="13556" spans="1:19" ht="28" x14ac:dyDescent="0.15">
      <c r="A13556" s="2">
        <f>HYPERLINK("https://open-school.uspishnemisto.com.ua/school/650093/", 650093)</f>
        <v>650093</v>
      </c>
      <c r="B13556" s="3" t="s">
        <v>68401</v>
      </c>
      <c r="C13556" s="3" t="s">
        <v>40</v>
      </c>
      <c r="D13556" s="3" t="s">
        <v>32</v>
      </c>
      <c r="E13556" s="4" t="s">
        <v>22</v>
      </c>
      <c r="F13556" s="4" t="s">
        <v>68402</v>
      </c>
      <c r="G13556" s="4" t="s">
        <v>68403</v>
      </c>
      <c r="H13556" s="3" t="s">
        <v>67992</v>
      </c>
      <c r="I13556" s="3" t="s">
        <v>68404</v>
      </c>
      <c r="J13556" s="3" t="s">
        <v>68405</v>
      </c>
      <c r="K13556" s="3" t="s">
        <v>68406</v>
      </c>
      <c r="L13556" s="3"/>
      <c r="M13556" s="4"/>
      <c r="N13556" s="3" t="s">
        <v>37</v>
      </c>
      <c r="O13556" s="3" t="s">
        <v>237</v>
      </c>
      <c r="P13556" s="5">
        <v>22</v>
      </c>
      <c r="Q13556" s="5">
        <v>525</v>
      </c>
      <c r="R13556" s="5">
        <v>22</v>
      </c>
      <c r="S13556" s="5">
        <v>521</v>
      </c>
    </row>
    <row r="13557" spans="1:19" ht="28" x14ac:dyDescent="0.15">
      <c r="A13557" s="2">
        <f>HYPERLINK("https://open-school.uspishnemisto.com.ua/school/650094/", 650094)</f>
        <v>650094</v>
      </c>
      <c r="B13557" s="3" t="s">
        <v>68407</v>
      </c>
      <c r="C13557" s="3" t="s">
        <v>31</v>
      </c>
      <c r="D13557" s="3" t="s">
        <v>32</v>
      </c>
      <c r="E13557" s="4" t="s">
        <v>22</v>
      </c>
      <c r="F13557" s="4" t="s">
        <v>68402</v>
      </c>
      <c r="G13557" s="4" t="s">
        <v>68403</v>
      </c>
      <c r="H13557" s="3" t="s">
        <v>67992</v>
      </c>
      <c r="I13557" s="3" t="s">
        <v>68404</v>
      </c>
      <c r="J13557" s="3" t="s">
        <v>68408</v>
      </c>
      <c r="K13557" s="3" t="s">
        <v>68409</v>
      </c>
      <c r="L13557" s="3"/>
      <c r="M13557" s="4"/>
      <c r="N13557" s="3" t="s">
        <v>37</v>
      </c>
      <c r="O13557" s="3" t="s">
        <v>52</v>
      </c>
      <c r="P13557" s="5">
        <v>14</v>
      </c>
      <c r="Q13557" s="5">
        <v>262</v>
      </c>
      <c r="R13557" s="5">
        <v>12</v>
      </c>
      <c r="S13557" s="5">
        <v>250</v>
      </c>
    </row>
    <row r="13558" spans="1:19" ht="42" x14ac:dyDescent="0.15">
      <c r="A13558" s="2">
        <f>HYPERLINK("https://open-school.uspishnemisto.com.ua/school/650095/", 650095)</f>
        <v>650095</v>
      </c>
      <c r="B13558" s="3" t="s">
        <v>68410</v>
      </c>
      <c r="C13558" s="3" t="s">
        <v>31</v>
      </c>
      <c r="D13558" s="3" t="s">
        <v>32</v>
      </c>
      <c r="E13558" s="4" t="s">
        <v>22</v>
      </c>
      <c r="F13558" s="4" t="s">
        <v>68402</v>
      </c>
      <c r="G13558" s="4" t="s">
        <v>68403</v>
      </c>
      <c r="H13558" s="3" t="s">
        <v>67992</v>
      </c>
      <c r="I13558" s="3" t="s">
        <v>68404</v>
      </c>
      <c r="J13558" s="3" t="s">
        <v>68411</v>
      </c>
      <c r="K13558" s="3" t="s">
        <v>68412</v>
      </c>
      <c r="L13558" s="3" t="s">
        <v>68413</v>
      </c>
      <c r="M13558" s="4"/>
      <c r="N13558" s="3" t="s">
        <v>37</v>
      </c>
      <c r="O13558" s="3" t="s">
        <v>38</v>
      </c>
      <c r="P13558" s="5">
        <v>20</v>
      </c>
      <c r="Q13558" s="5">
        <v>406</v>
      </c>
      <c r="R13558" s="5">
        <v>20</v>
      </c>
      <c r="S13558" s="5">
        <v>401</v>
      </c>
    </row>
    <row r="13559" spans="1:19" ht="28" x14ac:dyDescent="0.15">
      <c r="A13559" s="2">
        <f>HYPERLINK("https://open-school.uspishnemisto.com.ua/school/650096/", 650096)</f>
        <v>650096</v>
      </c>
      <c r="B13559" s="3" t="s">
        <v>68414</v>
      </c>
      <c r="C13559" s="3" t="s">
        <v>31</v>
      </c>
      <c r="D13559" s="3" t="s">
        <v>32</v>
      </c>
      <c r="E13559" s="4" t="s">
        <v>22</v>
      </c>
      <c r="F13559" s="4" t="s">
        <v>68415</v>
      </c>
      <c r="G13559" s="4" t="s">
        <v>68416</v>
      </c>
      <c r="H13559" s="3" t="s">
        <v>67992</v>
      </c>
      <c r="I13559" s="3" t="s">
        <v>1291</v>
      </c>
      <c r="J13559" s="3" t="s">
        <v>12378</v>
      </c>
      <c r="K13559" s="3" t="s">
        <v>68417</v>
      </c>
      <c r="L13559" s="3" t="s">
        <v>68418</v>
      </c>
      <c r="M13559" s="4"/>
      <c r="N13559" s="3" t="s">
        <v>37</v>
      </c>
      <c r="O13559" s="3" t="s">
        <v>38</v>
      </c>
      <c r="P13559" s="5">
        <v>12</v>
      </c>
      <c r="Q13559" s="5">
        <v>200</v>
      </c>
      <c r="R13559" s="5">
        <v>12</v>
      </c>
      <c r="S13559" s="5">
        <v>202</v>
      </c>
    </row>
    <row r="13560" spans="1:19" ht="28" x14ac:dyDescent="0.15">
      <c r="A13560" s="2">
        <f>HYPERLINK("https://open-school.uspishnemisto.com.ua/school/650097/", 650097)</f>
        <v>650097</v>
      </c>
      <c r="B13560" s="3" t="s">
        <v>68419</v>
      </c>
      <c r="C13560" s="3" t="s">
        <v>31</v>
      </c>
      <c r="D13560" s="3" t="s">
        <v>32</v>
      </c>
      <c r="E13560" s="4" t="s">
        <v>22</v>
      </c>
      <c r="F13560" s="4" t="s">
        <v>68420</v>
      </c>
      <c r="G13560" s="4" t="s">
        <v>68421</v>
      </c>
      <c r="H13560" s="3" t="s">
        <v>67992</v>
      </c>
      <c r="I13560" s="3" t="s">
        <v>11430</v>
      </c>
      <c r="J13560" s="3" t="s">
        <v>2465</v>
      </c>
      <c r="K13560" s="3" t="s">
        <v>68422</v>
      </c>
      <c r="L13560" s="3" t="s">
        <v>68423</v>
      </c>
      <c r="M13560" s="4"/>
      <c r="N13560" s="3" t="s">
        <v>37</v>
      </c>
      <c r="O13560" s="3" t="s">
        <v>70</v>
      </c>
      <c r="P13560" s="5">
        <v>11</v>
      </c>
      <c r="Q13560" s="5">
        <v>151</v>
      </c>
      <c r="R13560" s="5">
        <v>11</v>
      </c>
      <c r="S13560" s="5">
        <v>167</v>
      </c>
    </row>
    <row r="13561" spans="1:19" ht="28" x14ac:dyDescent="0.15">
      <c r="A13561" s="2">
        <f>HYPERLINK("https://open-school.uspishnemisto.com.ua/school/650098/", 650098)</f>
        <v>650098</v>
      </c>
      <c r="B13561" s="3" t="s">
        <v>68424</v>
      </c>
      <c r="C13561" s="3" t="s">
        <v>31</v>
      </c>
      <c r="D13561" s="3" t="s">
        <v>32</v>
      </c>
      <c r="E13561" s="4" t="s">
        <v>22</v>
      </c>
      <c r="F13561" s="4" t="s">
        <v>68425</v>
      </c>
      <c r="G13561" s="4" t="s">
        <v>68426</v>
      </c>
      <c r="H13561" s="3" t="s">
        <v>67992</v>
      </c>
      <c r="I13561" s="3" t="s">
        <v>68427</v>
      </c>
      <c r="J13561" s="3" t="s">
        <v>68428</v>
      </c>
      <c r="K13561" s="3" t="s">
        <v>68429</v>
      </c>
      <c r="L13561" s="3"/>
      <c r="M13561" s="4"/>
      <c r="N13561" s="3" t="s">
        <v>37</v>
      </c>
      <c r="O13561" s="3" t="s">
        <v>38</v>
      </c>
      <c r="P13561" s="5">
        <v>14</v>
      </c>
      <c r="Q13561" s="5">
        <v>283</v>
      </c>
      <c r="R13561" s="5">
        <v>14</v>
      </c>
      <c r="S13561" s="5">
        <v>277</v>
      </c>
    </row>
    <row r="13562" spans="1:19" ht="42" x14ac:dyDescent="0.15">
      <c r="A13562" s="2">
        <f>HYPERLINK("https://open-school.uspishnemisto.com.ua/school/650099/", 650099)</f>
        <v>650099</v>
      </c>
      <c r="B13562" s="3" t="s">
        <v>68430</v>
      </c>
      <c r="C13562" s="3" t="s">
        <v>20</v>
      </c>
      <c r="D13562" s="3" t="s">
        <v>21</v>
      </c>
      <c r="E13562" s="4" t="s">
        <v>22</v>
      </c>
      <c r="F13562" s="4" t="s">
        <v>68425</v>
      </c>
      <c r="G13562" s="4" t="s">
        <v>68426</v>
      </c>
      <c r="H13562" s="3" t="s">
        <v>67992</v>
      </c>
      <c r="I13562" s="3" t="s">
        <v>68427</v>
      </c>
      <c r="J13562" s="3" t="s">
        <v>68431</v>
      </c>
      <c r="K13562" s="3" t="s">
        <v>68432</v>
      </c>
      <c r="L13562" s="3"/>
      <c r="M13562" s="4"/>
      <c r="N13562" s="3"/>
      <c r="O13562" s="3"/>
      <c r="P13562" s="5">
        <v>0</v>
      </c>
      <c r="Q13562" s="5">
        <v>0</v>
      </c>
      <c r="R13562" s="5"/>
      <c r="S13562" s="5"/>
    </row>
    <row r="13563" spans="1:19" ht="28" x14ac:dyDescent="0.15">
      <c r="A13563" s="2">
        <f>HYPERLINK("https://open-school.uspishnemisto.com.ua/school/650100/", 650100)</f>
        <v>650100</v>
      </c>
      <c r="B13563" s="3" t="s">
        <v>68433</v>
      </c>
      <c r="C13563" s="3" t="s">
        <v>31</v>
      </c>
      <c r="D13563" s="3" t="s">
        <v>32</v>
      </c>
      <c r="E13563" s="4" t="s">
        <v>22</v>
      </c>
      <c r="F13563" s="4" t="s">
        <v>68434</v>
      </c>
      <c r="G13563" s="4" t="s">
        <v>68435</v>
      </c>
      <c r="H13563" s="3" t="s">
        <v>67992</v>
      </c>
      <c r="I13563" s="3" t="s">
        <v>11113</v>
      </c>
      <c r="J13563" s="3" t="s">
        <v>68436</v>
      </c>
      <c r="K13563" s="3" t="s">
        <v>68437</v>
      </c>
      <c r="L13563" s="3" t="s">
        <v>68438</v>
      </c>
      <c r="M13563" s="4"/>
      <c r="N13563" s="3" t="s">
        <v>37</v>
      </c>
      <c r="O13563" s="3" t="s">
        <v>52</v>
      </c>
      <c r="P13563" s="5">
        <v>11</v>
      </c>
      <c r="Q13563" s="5">
        <v>174</v>
      </c>
      <c r="R13563" s="5">
        <v>11</v>
      </c>
      <c r="S13563" s="5">
        <v>184</v>
      </c>
    </row>
    <row r="13564" spans="1:19" ht="28" x14ac:dyDescent="0.15">
      <c r="A13564" s="2">
        <f>HYPERLINK("https://open-school.uspishnemisto.com.ua/school/650101/", 650101)</f>
        <v>650101</v>
      </c>
      <c r="B13564" s="3" t="s">
        <v>68439</v>
      </c>
      <c r="C13564" s="3" t="s">
        <v>31</v>
      </c>
      <c r="D13564" s="3" t="s">
        <v>32</v>
      </c>
      <c r="E13564" s="4" t="s">
        <v>22</v>
      </c>
      <c r="F13564" s="4" t="s">
        <v>68440</v>
      </c>
      <c r="G13564" s="4" t="s">
        <v>68441</v>
      </c>
      <c r="H13564" s="3" t="s">
        <v>67992</v>
      </c>
      <c r="I13564" s="3" t="s">
        <v>68442</v>
      </c>
      <c r="J13564" s="3" t="s">
        <v>68443</v>
      </c>
      <c r="K13564" s="3" t="s">
        <v>68444</v>
      </c>
      <c r="L13564" s="3" t="s">
        <v>68445</v>
      </c>
      <c r="M13564" s="4"/>
      <c r="N13564" s="3" t="s">
        <v>37</v>
      </c>
      <c r="O13564" s="3" t="s">
        <v>38</v>
      </c>
      <c r="P13564" s="5">
        <v>11</v>
      </c>
      <c r="Q13564" s="5">
        <v>153</v>
      </c>
      <c r="R13564" s="5">
        <v>11</v>
      </c>
      <c r="S13564" s="5">
        <v>153</v>
      </c>
    </row>
    <row r="13565" spans="1:19" ht="28" x14ac:dyDescent="0.15">
      <c r="A13565" s="2">
        <f>HYPERLINK("https://open-school.uspishnemisto.com.ua/school/650102/", 650102)</f>
        <v>650102</v>
      </c>
      <c r="B13565" s="3" t="s">
        <v>68446</v>
      </c>
      <c r="C13565" s="3" t="s">
        <v>31</v>
      </c>
      <c r="D13565" s="3" t="s">
        <v>32</v>
      </c>
      <c r="E13565" s="4" t="s">
        <v>22</v>
      </c>
      <c r="F13565" s="4" t="s">
        <v>68447</v>
      </c>
      <c r="G13565" s="4" t="s">
        <v>68448</v>
      </c>
      <c r="H13565" s="3" t="s">
        <v>67992</v>
      </c>
      <c r="I13565" s="3" t="s">
        <v>68449</v>
      </c>
      <c r="J13565" s="3" t="s">
        <v>68450</v>
      </c>
      <c r="K13565" s="3" t="s">
        <v>68451</v>
      </c>
      <c r="L13565" s="3" t="s">
        <v>68452</v>
      </c>
      <c r="M13565" s="4"/>
      <c r="N13565" s="3" t="s">
        <v>37</v>
      </c>
      <c r="O13565" s="3" t="s">
        <v>38</v>
      </c>
      <c r="P13565" s="5">
        <v>9</v>
      </c>
      <c r="Q13565" s="5">
        <v>105</v>
      </c>
      <c r="R13565" s="5">
        <v>9</v>
      </c>
      <c r="S13565" s="5">
        <v>104</v>
      </c>
    </row>
    <row r="13566" spans="1:19" ht="28" x14ac:dyDescent="0.15">
      <c r="A13566" s="2">
        <f>HYPERLINK("https://open-school.uspishnemisto.com.ua/school/650103/", 650103)</f>
        <v>650103</v>
      </c>
      <c r="B13566" s="3" t="s">
        <v>68453</v>
      </c>
      <c r="C13566" s="3" t="s">
        <v>31</v>
      </c>
      <c r="D13566" s="3" t="s">
        <v>32</v>
      </c>
      <c r="E13566" s="4" t="s">
        <v>22</v>
      </c>
      <c r="F13566" s="4" t="s">
        <v>68454</v>
      </c>
      <c r="G13566" s="4" t="s">
        <v>68455</v>
      </c>
      <c r="H13566" s="3" t="s">
        <v>67992</v>
      </c>
      <c r="I13566" s="3" t="s">
        <v>68456</v>
      </c>
      <c r="J13566" s="3" t="s">
        <v>35824</v>
      </c>
      <c r="K13566" s="3" t="s">
        <v>68457</v>
      </c>
      <c r="L13566" s="3"/>
      <c r="M13566" s="4"/>
      <c r="N13566" s="3" t="s">
        <v>37</v>
      </c>
      <c r="O13566" s="3" t="s">
        <v>38</v>
      </c>
      <c r="P13566" s="5">
        <v>11</v>
      </c>
      <c r="Q13566" s="5">
        <v>185</v>
      </c>
      <c r="R13566" s="5">
        <v>11</v>
      </c>
      <c r="S13566" s="5">
        <v>191</v>
      </c>
    </row>
    <row r="13567" spans="1:19" ht="28" x14ac:dyDescent="0.15">
      <c r="A13567" s="2">
        <f>HYPERLINK("https://open-school.uspishnemisto.com.ua/school/650104/", 650104)</f>
        <v>650104</v>
      </c>
      <c r="B13567" s="3" t="s">
        <v>68458</v>
      </c>
      <c r="C13567" s="3" t="s">
        <v>31</v>
      </c>
      <c r="D13567" s="3" t="s">
        <v>32</v>
      </c>
      <c r="E13567" s="4" t="s">
        <v>22</v>
      </c>
      <c r="F13567" s="4" t="s">
        <v>68459</v>
      </c>
      <c r="G13567" s="4" t="s">
        <v>68460</v>
      </c>
      <c r="H13567" s="3" t="s">
        <v>67992</v>
      </c>
      <c r="I13567" s="3" t="s">
        <v>46823</v>
      </c>
      <c r="J13567" s="3" t="s">
        <v>68461</v>
      </c>
      <c r="K13567" s="3" t="s">
        <v>68462</v>
      </c>
      <c r="L13567" s="3" t="s">
        <v>68463</v>
      </c>
      <c r="M13567" s="4"/>
      <c r="N13567" s="3" t="s">
        <v>37</v>
      </c>
      <c r="O13567" s="3" t="s">
        <v>38</v>
      </c>
      <c r="P13567" s="5">
        <v>17</v>
      </c>
      <c r="Q13567" s="5">
        <v>307</v>
      </c>
      <c r="R13567" s="5">
        <v>17</v>
      </c>
      <c r="S13567" s="5">
        <v>306</v>
      </c>
    </row>
    <row r="13568" spans="1:19" ht="42" x14ac:dyDescent="0.15">
      <c r="A13568" s="2">
        <f>HYPERLINK("https://open-school.uspishnemisto.com.ua/school/650105/", 650105)</f>
        <v>650105</v>
      </c>
      <c r="B13568" s="3" t="s">
        <v>68464</v>
      </c>
      <c r="C13568" s="3" t="s">
        <v>31</v>
      </c>
      <c r="D13568" s="3" t="s">
        <v>32</v>
      </c>
      <c r="E13568" s="4" t="s">
        <v>22</v>
      </c>
      <c r="F13568" s="4" t="s">
        <v>68465</v>
      </c>
      <c r="G13568" s="4" t="s">
        <v>68466</v>
      </c>
      <c r="H13568" s="3" t="s">
        <v>67992</v>
      </c>
      <c r="I13568" s="3" t="s">
        <v>68467</v>
      </c>
      <c r="J13568" s="3" t="s">
        <v>68468</v>
      </c>
      <c r="K13568" s="3" t="s">
        <v>68469</v>
      </c>
      <c r="L13568" s="3" t="s">
        <v>68470</v>
      </c>
      <c r="M13568" s="4"/>
      <c r="N13568" s="3" t="s">
        <v>37</v>
      </c>
      <c r="O13568" s="3" t="s">
        <v>46</v>
      </c>
      <c r="P13568" s="5">
        <v>14</v>
      </c>
      <c r="Q13568" s="5">
        <v>274</v>
      </c>
      <c r="R13568" s="5">
        <v>14</v>
      </c>
      <c r="S13568" s="5">
        <v>271</v>
      </c>
    </row>
    <row r="13569" spans="1:19" ht="28" x14ac:dyDescent="0.15">
      <c r="A13569" s="2">
        <f>HYPERLINK("https://open-school.uspishnemisto.com.ua/school/650106/", 650106)</f>
        <v>650106</v>
      </c>
      <c r="B13569" s="3" t="s">
        <v>68471</v>
      </c>
      <c r="C13569" s="3" t="s">
        <v>31</v>
      </c>
      <c r="D13569" s="3" t="s">
        <v>32</v>
      </c>
      <c r="E13569" s="4" t="s">
        <v>22</v>
      </c>
      <c r="F13569" s="4" t="s">
        <v>68472</v>
      </c>
      <c r="G13569" s="4" t="s">
        <v>68473</v>
      </c>
      <c r="H13569" s="3" t="s">
        <v>67992</v>
      </c>
      <c r="I13569" s="3" t="s">
        <v>15354</v>
      </c>
      <c r="J13569" s="3" t="s">
        <v>68474</v>
      </c>
      <c r="K13569" s="3" t="s">
        <v>68475</v>
      </c>
      <c r="L13569" s="3" t="s">
        <v>68476</v>
      </c>
      <c r="M13569" s="4"/>
      <c r="N13569" s="3" t="s">
        <v>128</v>
      </c>
      <c r="O13569" s="3" t="s">
        <v>70</v>
      </c>
      <c r="P13569" s="5">
        <v>14</v>
      </c>
      <c r="Q13569" s="5">
        <v>269</v>
      </c>
      <c r="R13569" s="5">
        <v>15</v>
      </c>
      <c r="S13569" s="5">
        <v>281</v>
      </c>
    </row>
    <row r="13570" spans="1:19" ht="28" x14ac:dyDescent="0.15">
      <c r="A13570" s="2">
        <f>HYPERLINK("https://open-school.uspishnemisto.com.ua/school/650107/", 650107)</f>
        <v>650107</v>
      </c>
      <c r="B13570" s="3" t="s">
        <v>68477</v>
      </c>
      <c r="C13570" s="3" t="s">
        <v>31</v>
      </c>
      <c r="D13570" s="3" t="s">
        <v>175</v>
      </c>
      <c r="E13570" s="4" t="s">
        <v>22</v>
      </c>
      <c r="F13570" s="4" t="s">
        <v>68478</v>
      </c>
      <c r="G13570" s="4" t="s">
        <v>68479</v>
      </c>
      <c r="H13570" s="3" t="s">
        <v>67992</v>
      </c>
      <c r="I13570" s="3" t="s">
        <v>50114</v>
      </c>
      <c r="J13570" s="3" t="s">
        <v>68480</v>
      </c>
      <c r="K13570" s="3" t="s">
        <v>68481</v>
      </c>
      <c r="L13570" s="3" t="s">
        <v>68482</v>
      </c>
      <c r="M13570" s="4"/>
      <c r="N13570" s="3" t="s">
        <v>37</v>
      </c>
      <c r="O13570" s="3" t="s">
        <v>38</v>
      </c>
      <c r="P13570" s="5">
        <v>9</v>
      </c>
      <c r="Q13570" s="5">
        <v>103</v>
      </c>
      <c r="R13570" s="5">
        <v>9</v>
      </c>
      <c r="S13570" s="5">
        <v>100</v>
      </c>
    </row>
    <row r="13571" spans="1:19" ht="28" x14ac:dyDescent="0.15">
      <c r="A13571" s="2">
        <f>HYPERLINK("https://open-school.uspishnemisto.com.ua/school/650108/", 650108)</f>
        <v>650108</v>
      </c>
      <c r="B13571" s="3" t="s">
        <v>68483</v>
      </c>
      <c r="C13571" s="3" t="s">
        <v>31</v>
      </c>
      <c r="D13571" s="3" t="s">
        <v>32</v>
      </c>
      <c r="E13571" s="4" t="s">
        <v>22</v>
      </c>
      <c r="F13571" s="4" t="s">
        <v>68484</v>
      </c>
      <c r="G13571" s="4" t="s">
        <v>68485</v>
      </c>
      <c r="H13571" s="3" t="s">
        <v>67992</v>
      </c>
      <c r="I13571" s="3" t="s">
        <v>5088</v>
      </c>
      <c r="J13571" s="3" t="s">
        <v>2253</v>
      </c>
      <c r="K13571" s="3" t="s">
        <v>68486</v>
      </c>
      <c r="L13571" s="3" t="s">
        <v>68487</v>
      </c>
      <c r="M13571" s="4"/>
      <c r="N13571" s="3" t="s">
        <v>37</v>
      </c>
      <c r="O13571" s="3" t="s">
        <v>38</v>
      </c>
      <c r="P13571" s="5">
        <v>10</v>
      </c>
      <c r="Q13571" s="5">
        <v>77</v>
      </c>
      <c r="R13571" s="5">
        <v>10</v>
      </c>
      <c r="S13571" s="5">
        <v>71</v>
      </c>
    </row>
    <row r="13572" spans="1:19" ht="28" x14ac:dyDescent="0.15">
      <c r="A13572" s="2">
        <f>HYPERLINK("https://open-school.uspishnemisto.com.ua/school/650109/", 650109)</f>
        <v>650109</v>
      </c>
      <c r="B13572" s="3" t="s">
        <v>68488</v>
      </c>
      <c r="C13572" s="3" t="s">
        <v>31</v>
      </c>
      <c r="D13572" s="3" t="s">
        <v>32</v>
      </c>
      <c r="E13572" s="4" t="s">
        <v>22</v>
      </c>
      <c r="F13572" s="4" t="s">
        <v>68489</v>
      </c>
      <c r="G13572" s="4" t="s">
        <v>68490</v>
      </c>
      <c r="H13572" s="3" t="s">
        <v>67992</v>
      </c>
      <c r="I13572" s="3" t="s">
        <v>68491</v>
      </c>
      <c r="J13572" s="3" t="s">
        <v>67083</v>
      </c>
      <c r="K13572" s="3" t="s">
        <v>68492</v>
      </c>
      <c r="L13572" s="3"/>
      <c r="M13572" s="4"/>
      <c r="N13572" s="3" t="s">
        <v>37</v>
      </c>
      <c r="O13572" s="3" t="s">
        <v>38</v>
      </c>
      <c r="P13572" s="5">
        <v>12</v>
      </c>
      <c r="Q13572" s="5">
        <v>214</v>
      </c>
      <c r="R13572" s="5">
        <v>11</v>
      </c>
      <c r="S13572" s="5">
        <v>218</v>
      </c>
    </row>
    <row r="13573" spans="1:19" ht="28" x14ac:dyDescent="0.15">
      <c r="A13573" s="2">
        <f>HYPERLINK("https://open-school.uspishnemisto.com.ua/school/650110/", 650110)</f>
        <v>650110</v>
      </c>
      <c r="B13573" s="3" t="s">
        <v>68493</v>
      </c>
      <c r="C13573" s="3" t="s">
        <v>31</v>
      </c>
      <c r="D13573" s="3" t="s">
        <v>32</v>
      </c>
      <c r="E13573" s="4" t="s">
        <v>22</v>
      </c>
      <c r="F13573" s="4" t="s">
        <v>68494</v>
      </c>
      <c r="G13573" s="4" t="s">
        <v>68495</v>
      </c>
      <c r="H13573" s="3" t="s">
        <v>67992</v>
      </c>
      <c r="I13573" s="3" t="s">
        <v>68496</v>
      </c>
      <c r="J13573" s="3" t="s">
        <v>68497</v>
      </c>
      <c r="K13573" s="3"/>
      <c r="L13573" s="3"/>
      <c r="M13573" s="4"/>
      <c r="N13573" s="3" t="s">
        <v>37</v>
      </c>
      <c r="O13573" s="3" t="s">
        <v>38</v>
      </c>
      <c r="P13573" s="5">
        <v>11</v>
      </c>
      <c r="Q13573" s="5">
        <v>126</v>
      </c>
      <c r="R13573" s="5">
        <v>11</v>
      </c>
      <c r="S13573" s="5">
        <v>127</v>
      </c>
    </row>
    <row r="13574" spans="1:19" ht="28" x14ac:dyDescent="0.15">
      <c r="A13574" s="2">
        <f>HYPERLINK("https://open-school.uspishnemisto.com.ua/school/650111/", 650111)</f>
        <v>650111</v>
      </c>
      <c r="B13574" s="3" t="s">
        <v>68498</v>
      </c>
      <c r="C13574" s="3" t="s">
        <v>31</v>
      </c>
      <c r="D13574" s="3" t="s">
        <v>175</v>
      </c>
      <c r="E13574" s="4" t="s">
        <v>22</v>
      </c>
      <c r="F13574" s="4" t="s">
        <v>68499</v>
      </c>
      <c r="G13574" s="4" t="s">
        <v>68500</v>
      </c>
      <c r="H13574" s="3" t="s">
        <v>67992</v>
      </c>
      <c r="I13574" s="3" t="s">
        <v>24617</v>
      </c>
      <c r="J13574" s="3" t="s">
        <v>634</v>
      </c>
      <c r="K13574" s="3" t="s">
        <v>68501</v>
      </c>
      <c r="L13574" s="3" t="s">
        <v>68502</v>
      </c>
      <c r="M13574" s="4"/>
      <c r="N13574" s="3" t="s">
        <v>37</v>
      </c>
      <c r="O13574" s="3" t="s">
        <v>38</v>
      </c>
      <c r="P13574" s="5">
        <v>6</v>
      </c>
      <c r="Q13574" s="5">
        <v>39</v>
      </c>
      <c r="R13574" s="5">
        <v>6</v>
      </c>
      <c r="S13574" s="5">
        <v>41</v>
      </c>
    </row>
    <row r="13575" spans="1:19" ht="28" x14ac:dyDescent="0.15">
      <c r="A13575" s="2">
        <f>HYPERLINK("https://open-school.uspishnemisto.com.ua/school/650112/", 650112)</f>
        <v>650112</v>
      </c>
      <c r="B13575" s="3" t="s">
        <v>68503</v>
      </c>
      <c r="C13575" s="3" t="s">
        <v>31</v>
      </c>
      <c r="D13575" s="3" t="s">
        <v>32</v>
      </c>
      <c r="E13575" s="4" t="s">
        <v>22</v>
      </c>
      <c r="F13575" s="4" t="s">
        <v>68504</v>
      </c>
      <c r="G13575" s="4" t="s">
        <v>68505</v>
      </c>
      <c r="H13575" s="3" t="s">
        <v>67992</v>
      </c>
      <c r="I13575" s="3" t="s">
        <v>3145</v>
      </c>
      <c r="J13575" s="3" t="s">
        <v>5264</v>
      </c>
      <c r="K13575" s="3" t="s">
        <v>68506</v>
      </c>
      <c r="L13575" s="3" t="s">
        <v>68507</v>
      </c>
      <c r="M13575" s="4"/>
      <c r="N13575" s="3" t="s">
        <v>37</v>
      </c>
      <c r="O13575" s="3" t="s">
        <v>38</v>
      </c>
      <c r="P13575" s="5">
        <v>15</v>
      </c>
      <c r="Q13575" s="5">
        <v>277</v>
      </c>
      <c r="R13575" s="5">
        <v>14</v>
      </c>
      <c r="S13575" s="5">
        <v>276</v>
      </c>
    </row>
    <row r="13576" spans="1:19" ht="28" x14ac:dyDescent="0.15">
      <c r="A13576" s="2">
        <f>HYPERLINK("https://open-school.uspishnemisto.com.ua/school/650113/", 650113)</f>
        <v>650113</v>
      </c>
      <c r="B13576" s="3" t="s">
        <v>68508</v>
      </c>
      <c r="C13576" s="3" t="s">
        <v>31</v>
      </c>
      <c r="D13576" s="3" t="s">
        <v>32</v>
      </c>
      <c r="E13576" s="4" t="s">
        <v>22</v>
      </c>
      <c r="F13576" s="4" t="s">
        <v>68509</v>
      </c>
      <c r="G13576" s="4" t="s">
        <v>68510</v>
      </c>
      <c r="H13576" s="3" t="s">
        <v>67992</v>
      </c>
      <c r="I13576" s="3" t="s">
        <v>18131</v>
      </c>
      <c r="J13576" s="3" t="s">
        <v>68511</v>
      </c>
      <c r="K13576" s="3" t="s">
        <v>68512</v>
      </c>
      <c r="L13576" s="3" t="s">
        <v>68513</v>
      </c>
      <c r="M13576" s="4"/>
      <c r="N13576" s="3" t="s">
        <v>37</v>
      </c>
      <c r="O13576" s="3" t="s">
        <v>38</v>
      </c>
      <c r="P13576" s="5">
        <v>10</v>
      </c>
      <c r="Q13576" s="5">
        <v>109</v>
      </c>
      <c r="R13576" s="5">
        <v>10</v>
      </c>
      <c r="S13576" s="5">
        <v>116</v>
      </c>
    </row>
    <row r="13577" spans="1:19" ht="42" x14ac:dyDescent="0.15">
      <c r="A13577" s="2">
        <f>HYPERLINK("https://open-school.uspishnemisto.com.ua/school/650114/", 650114)</f>
        <v>650114</v>
      </c>
      <c r="B13577" s="3" t="s">
        <v>68514</v>
      </c>
      <c r="C13577" s="3" t="s">
        <v>31</v>
      </c>
      <c r="D13577" s="3" t="s">
        <v>32</v>
      </c>
      <c r="E13577" s="4" t="s">
        <v>22</v>
      </c>
      <c r="F13577" s="4" t="s">
        <v>68515</v>
      </c>
      <c r="G13577" s="4" t="s">
        <v>68516</v>
      </c>
      <c r="H13577" s="3" t="s">
        <v>67992</v>
      </c>
      <c r="I13577" s="3" t="s">
        <v>68517</v>
      </c>
      <c r="J13577" s="3" t="s">
        <v>68518</v>
      </c>
      <c r="K13577" s="3" t="s">
        <v>68519</v>
      </c>
      <c r="L13577" s="3" t="s">
        <v>68520</v>
      </c>
      <c r="M13577" s="4"/>
      <c r="N13577" s="3" t="s">
        <v>37</v>
      </c>
      <c r="O13577" s="3" t="s">
        <v>38</v>
      </c>
      <c r="P13577" s="5">
        <v>20</v>
      </c>
      <c r="Q13577" s="5">
        <v>442</v>
      </c>
      <c r="R13577" s="5">
        <v>20</v>
      </c>
      <c r="S13577" s="5">
        <v>428</v>
      </c>
    </row>
    <row r="13578" spans="1:19" ht="42" x14ac:dyDescent="0.15">
      <c r="A13578" s="2">
        <f>HYPERLINK("https://open-school.uspishnemisto.com.ua/school/650115/", 650115)</f>
        <v>650115</v>
      </c>
      <c r="B13578" s="3" t="s">
        <v>68521</v>
      </c>
      <c r="C13578" s="3" t="s">
        <v>31</v>
      </c>
      <c r="D13578" s="3" t="s">
        <v>32</v>
      </c>
      <c r="E13578" s="4" t="s">
        <v>22</v>
      </c>
      <c r="F13578" s="4" t="s">
        <v>68522</v>
      </c>
      <c r="G13578" s="4" t="s">
        <v>68523</v>
      </c>
      <c r="H13578" s="3" t="s">
        <v>67992</v>
      </c>
      <c r="I13578" s="3" t="s">
        <v>68524</v>
      </c>
      <c r="J13578" s="3" t="s">
        <v>1668</v>
      </c>
      <c r="K13578" s="3" t="s">
        <v>68525</v>
      </c>
      <c r="L13578" s="3" t="s">
        <v>68526</v>
      </c>
      <c r="M13578" s="4"/>
      <c r="N13578" s="3" t="s">
        <v>37</v>
      </c>
      <c r="O13578" s="3" t="s">
        <v>52</v>
      </c>
      <c r="P13578" s="5">
        <v>11</v>
      </c>
      <c r="Q13578" s="5">
        <v>115</v>
      </c>
      <c r="R13578" s="5">
        <v>11</v>
      </c>
      <c r="S13578" s="5">
        <v>109</v>
      </c>
    </row>
    <row r="13579" spans="1:19" ht="28" x14ac:dyDescent="0.15">
      <c r="A13579" s="2">
        <f>HYPERLINK("https://open-school.uspishnemisto.com.ua/school/650116/", 650116)</f>
        <v>650116</v>
      </c>
      <c r="B13579" s="3" t="s">
        <v>68527</v>
      </c>
      <c r="C13579" s="3" t="s">
        <v>31</v>
      </c>
      <c r="D13579" s="3" t="s">
        <v>32</v>
      </c>
      <c r="E13579" s="4" t="s">
        <v>22</v>
      </c>
      <c r="F13579" s="4" t="s">
        <v>68528</v>
      </c>
      <c r="G13579" s="4" t="s">
        <v>68529</v>
      </c>
      <c r="H13579" s="3" t="s">
        <v>67992</v>
      </c>
      <c r="I13579" s="3" t="s">
        <v>45348</v>
      </c>
      <c r="J13579" s="3" t="s">
        <v>68530</v>
      </c>
      <c r="K13579" s="3" t="s">
        <v>68531</v>
      </c>
      <c r="L13579" s="3" t="s">
        <v>68532</v>
      </c>
      <c r="M13579" s="4"/>
      <c r="N13579" s="3" t="s">
        <v>37</v>
      </c>
      <c r="O13579" s="3" t="s">
        <v>38</v>
      </c>
      <c r="P13579" s="5">
        <v>11</v>
      </c>
      <c r="Q13579" s="5">
        <v>148</v>
      </c>
      <c r="R13579" s="5">
        <v>11</v>
      </c>
      <c r="S13579" s="5">
        <v>149</v>
      </c>
    </row>
    <row r="13580" spans="1:19" ht="28" x14ac:dyDescent="0.15">
      <c r="A13580" s="2">
        <f>HYPERLINK("https://open-school.uspishnemisto.com.ua/school/650117/", 650117)</f>
        <v>650117</v>
      </c>
      <c r="B13580" s="3" t="s">
        <v>68533</v>
      </c>
      <c r="C13580" s="3" t="s">
        <v>31</v>
      </c>
      <c r="D13580" s="3" t="s">
        <v>175</v>
      </c>
      <c r="E13580" s="4" t="s">
        <v>22</v>
      </c>
      <c r="F13580" s="4" t="s">
        <v>68534</v>
      </c>
      <c r="G13580" s="4" t="s">
        <v>68535</v>
      </c>
      <c r="H13580" s="3" t="s">
        <v>67992</v>
      </c>
      <c r="I13580" s="3" t="s">
        <v>68536</v>
      </c>
      <c r="J13580" s="3" t="s">
        <v>68537</v>
      </c>
      <c r="K13580" s="3" t="s">
        <v>68538</v>
      </c>
      <c r="L13580" s="3" t="s">
        <v>68539</v>
      </c>
      <c r="M13580" s="4"/>
      <c r="N13580" s="3" t="s">
        <v>37</v>
      </c>
      <c r="O13580" s="3" t="s">
        <v>52</v>
      </c>
      <c r="P13580" s="5">
        <v>8</v>
      </c>
      <c r="Q13580" s="5">
        <v>91</v>
      </c>
      <c r="R13580" s="5">
        <v>8</v>
      </c>
      <c r="S13580" s="5">
        <v>89</v>
      </c>
    </row>
    <row r="13581" spans="1:19" ht="28" x14ac:dyDescent="0.15">
      <c r="A13581" s="2">
        <f>HYPERLINK("https://open-school.uspishnemisto.com.ua/school/650118/", 650118)</f>
        <v>650118</v>
      </c>
      <c r="B13581" s="3" t="s">
        <v>68540</v>
      </c>
      <c r="C13581" s="3" t="s">
        <v>31</v>
      </c>
      <c r="D13581" s="3" t="s">
        <v>32</v>
      </c>
      <c r="E13581" s="4" t="s">
        <v>22</v>
      </c>
      <c r="F13581" s="4" t="s">
        <v>68541</v>
      </c>
      <c r="G13581" s="4" t="s">
        <v>68542</v>
      </c>
      <c r="H13581" s="3" t="s">
        <v>67992</v>
      </c>
      <c r="I13581" s="3" t="s">
        <v>68543</v>
      </c>
      <c r="J13581" s="3" t="s">
        <v>20742</v>
      </c>
      <c r="K13581" s="3" t="s">
        <v>68544</v>
      </c>
      <c r="L13581" s="3" t="s">
        <v>68545</v>
      </c>
      <c r="M13581" s="4"/>
      <c r="N13581" s="3" t="s">
        <v>37</v>
      </c>
      <c r="O13581" s="3" t="s">
        <v>38</v>
      </c>
      <c r="P13581" s="5">
        <v>11</v>
      </c>
      <c r="Q13581" s="5">
        <v>149</v>
      </c>
      <c r="R13581" s="5">
        <v>11</v>
      </c>
      <c r="S13581" s="5">
        <v>148</v>
      </c>
    </row>
    <row r="13582" spans="1:19" ht="28" x14ac:dyDescent="0.15">
      <c r="A13582" s="2">
        <f>HYPERLINK("https://open-school.uspishnemisto.com.ua/school/650119/", 650119)</f>
        <v>650119</v>
      </c>
      <c r="B13582" s="3" t="s">
        <v>68546</v>
      </c>
      <c r="C13582" s="3" t="s">
        <v>31</v>
      </c>
      <c r="D13582" s="3" t="s">
        <v>32</v>
      </c>
      <c r="E13582" s="4" t="s">
        <v>22</v>
      </c>
      <c r="F13582" s="4" t="s">
        <v>68547</v>
      </c>
      <c r="G13582" s="4" t="s">
        <v>68548</v>
      </c>
      <c r="H13582" s="3" t="s">
        <v>67992</v>
      </c>
      <c r="I13582" s="3" t="s">
        <v>4683</v>
      </c>
      <c r="J13582" s="3" t="s">
        <v>68549</v>
      </c>
      <c r="K13582" s="3" t="s">
        <v>68550</v>
      </c>
      <c r="L13582" s="3"/>
      <c r="M13582" s="4"/>
      <c r="N13582" s="3" t="s">
        <v>37</v>
      </c>
      <c r="O13582" s="3" t="s">
        <v>38</v>
      </c>
      <c r="P13582" s="5">
        <v>9</v>
      </c>
      <c r="Q13582" s="5">
        <v>138</v>
      </c>
      <c r="R13582" s="5">
        <v>11</v>
      </c>
      <c r="S13582" s="5">
        <v>133</v>
      </c>
    </row>
    <row r="13583" spans="1:19" ht="28" x14ac:dyDescent="0.15">
      <c r="A13583" s="2">
        <f>HYPERLINK("https://open-school.uspishnemisto.com.ua/school/650120/", 650120)</f>
        <v>650120</v>
      </c>
      <c r="B13583" s="3" t="s">
        <v>68551</v>
      </c>
      <c r="C13583" s="3" t="s">
        <v>2634</v>
      </c>
      <c r="D13583" s="3" t="s">
        <v>32</v>
      </c>
      <c r="E13583" s="4" t="s">
        <v>22</v>
      </c>
      <c r="F13583" s="4" t="s">
        <v>68552</v>
      </c>
      <c r="G13583" s="4" t="s">
        <v>68553</v>
      </c>
      <c r="H13583" s="3" t="s">
        <v>67992</v>
      </c>
      <c r="I13583" s="3" t="s">
        <v>68554</v>
      </c>
      <c r="J13583" s="3" t="s">
        <v>903</v>
      </c>
      <c r="K13583" s="3"/>
      <c r="L13583" s="3"/>
      <c r="M13583" s="4" t="s">
        <v>68555</v>
      </c>
      <c r="N13583" s="3" t="s">
        <v>37</v>
      </c>
      <c r="O13583" s="3" t="s">
        <v>46</v>
      </c>
      <c r="P13583" s="5">
        <v>12</v>
      </c>
      <c r="Q13583" s="5">
        <v>226</v>
      </c>
      <c r="R13583" s="5">
        <v>12</v>
      </c>
      <c r="S13583" s="5">
        <v>268</v>
      </c>
    </row>
    <row r="13584" spans="1:19" ht="56" x14ac:dyDescent="0.15">
      <c r="A13584" s="2">
        <f>HYPERLINK("https://open-school.uspishnemisto.com.ua/school/650121/", 650121)</f>
        <v>650121</v>
      </c>
      <c r="B13584" s="3" t="s">
        <v>68556</v>
      </c>
      <c r="C13584" s="3" t="s">
        <v>54</v>
      </c>
      <c r="D13584" s="3" t="s">
        <v>32</v>
      </c>
      <c r="E13584" s="4" t="s">
        <v>22</v>
      </c>
      <c r="F13584" s="4" t="s">
        <v>68552</v>
      </c>
      <c r="G13584" s="4" t="s">
        <v>68553</v>
      </c>
      <c r="H13584" s="3" t="s">
        <v>67992</v>
      </c>
      <c r="I13584" s="3" t="s">
        <v>68554</v>
      </c>
      <c r="J13584" s="3" t="s">
        <v>68557</v>
      </c>
      <c r="K13584" s="3" t="s">
        <v>68558</v>
      </c>
      <c r="L13584" s="3" t="s">
        <v>68559</v>
      </c>
      <c r="M13584" s="4"/>
      <c r="N13584" s="3" t="s">
        <v>37</v>
      </c>
      <c r="O13584" s="3" t="s">
        <v>70</v>
      </c>
      <c r="P13584" s="5">
        <v>31</v>
      </c>
      <c r="Q13584" s="5">
        <v>719</v>
      </c>
      <c r="R13584" s="5">
        <v>30</v>
      </c>
      <c r="S13584" s="5">
        <v>655</v>
      </c>
    </row>
    <row r="13585" spans="1:19" ht="28" x14ac:dyDescent="0.15">
      <c r="A13585" s="2">
        <f>HYPERLINK("https://open-school.uspishnemisto.com.ua/school/650122/", 650122)</f>
        <v>650122</v>
      </c>
      <c r="B13585" s="3" t="s">
        <v>68560</v>
      </c>
      <c r="C13585" s="3" t="s">
        <v>31</v>
      </c>
      <c r="D13585" s="3" t="s">
        <v>32</v>
      </c>
      <c r="E13585" s="4" t="s">
        <v>22</v>
      </c>
      <c r="F13585" s="4" t="s">
        <v>68561</v>
      </c>
      <c r="G13585" s="4" t="s">
        <v>68562</v>
      </c>
      <c r="H13585" s="3" t="s">
        <v>67992</v>
      </c>
      <c r="I13585" s="3" t="s">
        <v>48447</v>
      </c>
      <c r="J13585" s="3" t="s">
        <v>68563</v>
      </c>
      <c r="K13585" s="3" t="s">
        <v>68564</v>
      </c>
      <c r="L13585" s="3"/>
      <c r="M13585" s="4"/>
      <c r="N13585" s="3" t="s">
        <v>37</v>
      </c>
      <c r="O13585" s="3" t="s">
        <v>38</v>
      </c>
      <c r="P13585" s="5">
        <v>14</v>
      </c>
      <c r="Q13585" s="5">
        <v>251</v>
      </c>
      <c r="R13585" s="5">
        <v>15</v>
      </c>
      <c r="S13585" s="5">
        <v>254</v>
      </c>
    </row>
    <row r="13586" spans="1:19" ht="28" x14ac:dyDescent="0.15">
      <c r="A13586" s="2">
        <f>HYPERLINK("https://open-school.uspishnemisto.com.ua/school/650123/", 650123)</f>
        <v>650123</v>
      </c>
      <c r="B13586" s="3" t="s">
        <v>68565</v>
      </c>
      <c r="C13586" s="3" t="s">
        <v>31</v>
      </c>
      <c r="D13586" s="3" t="s">
        <v>175</v>
      </c>
      <c r="E13586" s="4" t="s">
        <v>22</v>
      </c>
      <c r="F13586" s="4" t="s">
        <v>68566</v>
      </c>
      <c r="G13586" s="4" t="s">
        <v>68567</v>
      </c>
      <c r="H13586" s="3" t="s">
        <v>67992</v>
      </c>
      <c r="I13586" s="3" t="s">
        <v>68568</v>
      </c>
      <c r="J13586" s="3" t="s">
        <v>68569</v>
      </c>
      <c r="K13586" s="3" t="s">
        <v>68570</v>
      </c>
      <c r="L13586" s="3"/>
      <c r="M13586" s="4"/>
      <c r="N13586" s="3" t="s">
        <v>37</v>
      </c>
      <c r="O13586" s="3" t="s">
        <v>38</v>
      </c>
      <c r="P13586" s="5">
        <v>9</v>
      </c>
      <c r="Q13586" s="5">
        <v>199</v>
      </c>
      <c r="R13586" s="5">
        <v>9</v>
      </c>
      <c r="S13586" s="5">
        <v>189</v>
      </c>
    </row>
    <row r="13587" spans="1:19" ht="28" x14ac:dyDescent="0.15">
      <c r="A13587" s="2">
        <f>HYPERLINK("https://open-school.uspishnemisto.com.ua/school/650124/", 650124)</f>
        <v>650124</v>
      </c>
      <c r="B13587" s="3" t="s">
        <v>68571</v>
      </c>
      <c r="C13587" s="3" t="s">
        <v>31</v>
      </c>
      <c r="D13587" s="3" t="s">
        <v>175</v>
      </c>
      <c r="E13587" s="4" t="s">
        <v>22</v>
      </c>
      <c r="F13587" s="4" t="s">
        <v>68566</v>
      </c>
      <c r="G13587" s="4" t="s">
        <v>68567</v>
      </c>
      <c r="H13587" s="3" t="s">
        <v>67992</v>
      </c>
      <c r="I13587" s="3" t="s">
        <v>68568</v>
      </c>
      <c r="J13587" s="3" t="s">
        <v>4544</v>
      </c>
      <c r="K13587" s="3" t="s">
        <v>68572</v>
      </c>
      <c r="L13587" s="3"/>
      <c r="M13587" s="4"/>
      <c r="N13587" s="3" t="s">
        <v>37</v>
      </c>
      <c r="O13587" s="3" t="s">
        <v>38</v>
      </c>
      <c r="P13587" s="5">
        <v>9</v>
      </c>
      <c r="Q13587" s="5">
        <v>153</v>
      </c>
      <c r="R13587" s="5">
        <v>9</v>
      </c>
      <c r="S13587" s="5">
        <v>163</v>
      </c>
    </row>
    <row r="13588" spans="1:19" ht="28" x14ac:dyDescent="0.15">
      <c r="A13588" s="2">
        <f>HYPERLINK("https://open-school.uspishnemisto.com.ua/school/650125/", 650125)</f>
        <v>650125</v>
      </c>
      <c r="B13588" s="3" t="s">
        <v>68573</v>
      </c>
      <c r="C13588" s="3" t="s">
        <v>31</v>
      </c>
      <c r="D13588" s="3" t="s">
        <v>32</v>
      </c>
      <c r="E13588" s="4" t="s">
        <v>22</v>
      </c>
      <c r="F13588" s="4" t="s">
        <v>68566</v>
      </c>
      <c r="G13588" s="4" t="s">
        <v>68567</v>
      </c>
      <c r="H13588" s="3" t="s">
        <v>67992</v>
      </c>
      <c r="I13588" s="3" t="s">
        <v>68568</v>
      </c>
      <c r="J13588" s="3" t="s">
        <v>68574</v>
      </c>
      <c r="K13588" s="3" t="s">
        <v>68575</v>
      </c>
      <c r="L13588" s="3"/>
      <c r="M13588" s="4"/>
      <c r="N13588" s="3" t="s">
        <v>37</v>
      </c>
      <c r="O13588" s="3" t="s">
        <v>38</v>
      </c>
      <c r="P13588" s="5">
        <v>19</v>
      </c>
      <c r="Q13588" s="5">
        <v>372</v>
      </c>
      <c r="R13588" s="5">
        <v>18</v>
      </c>
      <c r="S13588" s="5">
        <v>362</v>
      </c>
    </row>
    <row r="13589" spans="1:19" ht="28" x14ac:dyDescent="0.15">
      <c r="A13589" s="2">
        <f>HYPERLINK("https://open-school.uspishnemisto.com.ua/school/650126/", 650126)</f>
        <v>650126</v>
      </c>
      <c r="B13589" s="3" t="s">
        <v>68576</v>
      </c>
      <c r="C13589" s="3" t="s">
        <v>31</v>
      </c>
      <c r="D13589" s="3" t="s">
        <v>32</v>
      </c>
      <c r="E13589" s="4" t="s">
        <v>22</v>
      </c>
      <c r="F13589" s="4" t="s">
        <v>68566</v>
      </c>
      <c r="G13589" s="4" t="s">
        <v>68567</v>
      </c>
      <c r="H13589" s="3" t="s">
        <v>67992</v>
      </c>
      <c r="I13589" s="3" t="s">
        <v>68568</v>
      </c>
      <c r="J13589" s="3" t="s">
        <v>68577</v>
      </c>
      <c r="K13589" s="3" t="s">
        <v>68578</v>
      </c>
      <c r="L13589" s="3" t="s">
        <v>68579</v>
      </c>
      <c r="M13589" s="4"/>
      <c r="N13589" s="3" t="s">
        <v>37</v>
      </c>
      <c r="O13589" s="3" t="s">
        <v>38</v>
      </c>
      <c r="P13589" s="5">
        <v>26</v>
      </c>
      <c r="Q13589" s="5">
        <v>627</v>
      </c>
      <c r="R13589" s="5">
        <v>25</v>
      </c>
      <c r="S13589" s="5">
        <v>577</v>
      </c>
    </row>
    <row r="13590" spans="1:19" ht="28" x14ac:dyDescent="0.15">
      <c r="A13590" s="2">
        <f>HYPERLINK("https://open-school.uspishnemisto.com.ua/school/650127/", 650127)</f>
        <v>650127</v>
      </c>
      <c r="B13590" s="3" t="s">
        <v>68580</v>
      </c>
      <c r="C13590" s="3" t="s">
        <v>31</v>
      </c>
      <c r="D13590" s="3" t="s">
        <v>32</v>
      </c>
      <c r="E13590" s="4" t="s">
        <v>22</v>
      </c>
      <c r="F13590" s="4" t="s">
        <v>68581</v>
      </c>
      <c r="G13590" s="4" t="s">
        <v>68582</v>
      </c>
      <c r="H13590" s="3" t="s">
        <v>67992</v>
      </c>
      <c r="I13590" s="3" t="s">
        <v>36452</v>
      </c>
      <c r="J13590" s="3" t="s">
        <v>68583</v>
      </c>
      <c r="K13590" s="3" t="s">
        <v>68584</v>
      </c>
      <c r="L13590" s="3" t="s">
        <v>68585</v>
      </c>
      <c r="M13590" s="4"/>
      <c r="N13590" s="3" t="s">
        <v>37</v>
      </c>
      <c r="O13590" s="3" t="s">
        <v>38</v>
      </c>
      <c r="P13590" s="5">
        <v>19</v>
      </c>
      <c r="Q13590" s="5">
        <v>372</v>
      </c>
      <c r="R13590" s="5">
        <v>18</v>
      </c>
      <c r="S13590" s="5">
        <v>333</v>
      </c>
    </row>
    <row r="13591" spans="1:19" ht="28" x14ac:dyDescent="0.15">
      <c r="A13591" s="2">
        <f>HYPERLINK("https://open-school.uspishnemisto.com.ua/school/650128/", 650128)</f>
        <v>650128</v>
      </c>
      <c r="B13591" s="3" t="s">
        <v>68586</v>
      </c>
      <c r="C13591" s="3" t="s">
        <v>31</v>
      </c>
      <c r="D13591" s="3" t="s">
        <v>32</v>
      </c>
      <c r="E13591" s="4" t="s">
        <v>22</v>
      </c>
      <c r="F13591" s="4" t="s">
        <v>68587</v>
      </c>
      <c r="G13591" s="4" t="s">
        <v>68588</v>
      </c>
      <c r="H13591" s="3" t="s">
        <v>67992</v>
      </c>
      <c r="I13591" s="3" t="s">
        <v>68589</v>
      </c>
      <c r="J13591" s="3" t="s">
        <v>466</v>
      </c>
      <c r="K13591" s="3" t="s">
        <v>68590</v>
      </c>
      <c r="L13591" s="3"/>
      <c r="M13591" s="4"/>
      <c r="N13591" s="3" t="s">
        <v>37</v>
      </c>
      <c r="O13591" s="3" t="s">
        <v>52</v>
      </c>
      <c r="P13591" s="5">
        <v>10</v>
      </c>
      <c r="Q13591" s="5">
        <v>108</v>
      </c>
      <c r="R13591" s="5">
        <v>11</v>
      </c>
      <c r="S13591" s="5">
        <v>108</v>
      </c>
    </row>
    <row r="13592" spans="1:19" ht="28" x14ac:dyDescent="0.15">
      <c r="A13592" s="2">
        <f>HYPERLINK("https://open-school.uspishnemisto.com.ua/school/650129/", 650129)</f>
        <v>650129</v>
      </c>
      <c r="B13592" s="3" t="s">
        <v>68591</v>
      </c>
      <c r="C13592" s="3" t="s">
        <v>31</v>
      </c>
      <c r="D13592" s="3" t="s">
        <v>32</v>
      </c>
      <c r="E13592" s="4" t="s">
        <v>22</v>
      </c>
      <c r="F13592" s="4" t="s">
        <v>68592</v>
      </c>
      <c r="G13592" s="4" t="s">
        <v>68593</v>
      </c>
      <c r="H13592" s="3" t="s">
        <v>67992</v>
      </c>
      <c r="I13592" s="3" t="s">
        <v>6822</v>
      </c>
      <c r="J13592" s="3" t="s">
        <v>68594</v>
      </c>
      <c r="K13592" s="3" t="s">
        <v>68595</v>
      </c>
      <c r="L13592" s="3"/>
      <c r="M13592" s="4"/>
      <c r="N13592" s="3" t="s">
        <v>37</v>
      </c>
      <c r="O13592" s="3" t="s">
        <v>38</v>
      </c>
      <c r="P13592" s="5">
        <v>14</v>
      </c>
      <c r="Q13592" s="5">
        <v>265</v>
      </c>
      <c r="R13592" s="5">
        <v>13</v>
      </c>
      <c r="S13592" s="5">
        <v>252</v>
      </c>
    </row>
    <row r="13593" spans="1:19" ht="28" x14ac:dyDescent="0.15">
      <c r="A13593" s="2">
        <f>HYPERLINK("https://open-school.uspishnemisto.com.ua/school/650130/", 650130)</f>
        <v>650130</v>
      </c>
      <c r="B13593" s="3" t="s">
        <v>68596</v>
      </c>
      <c r="C13593" s="3" t="s">
        <v>31</v>
      </c>
      <c r="D13593" s="3" t="s">
        <v>32</v>
      </c>
      <c r="E13593" s="4" t="s">
        <v>22</v>
      </c>
      <c r="F13593" s="4" t="s">
        <v>68597</v>
      </c>
      <c r="G13593" s="4" t="s">
        <v>68598</v>
      </c>
      <c r="H13593" s="3" t="s">
        <v>67992</v>
      </c>
      <c r="I13593" s="3" t="s">
        <v>3512</v>
      </c>
      <c r="J13593" s="3" t="s">
        <v>49327</v>
      </c>
      <c r="K13593" s="3" t="s">
        <v>68599</v>
      </c>
      <c r="L13593" s="3"/>
      <c r="M13593" s="4"/>
      <c r="N13593" s="3" t="s">
        <v>37</v>
      </c>
      <c r="O13593" s="3" t="s">
        <v>52</v>
      </c>
      <c r="P13593" s="5">
        <v>11</v>
      </c>
      <c r="Q13593" s="5">
        <v>129</v>
      </c>
      <c r="R13593" s="5">
        <v>11</v>
      </c>
      <c r="S13593" s="5">
        <v>112</v>
      </c>
    </row>
    <row r="13594" spans="1:19" ht="28" x14ac:dyDescent="0.15">
      <c r="A13594" s="2">
        <f>HYPERLINK("https://open-school.uspishnemisto.com.ua/school/650131/", 650131)</f>
        <v>650131</v>
      </c>
      <c r="B13594" s="3" t="s">
        <v>68600</v>
      </c>
      <c r="C13594" s="3" t="s">
        <v>31</v>
      </c>
      <c r="D13594" s="3" t="s">
        <v>175</v>
      </c>
      <c r="E13594" s="4" t="s">
        <v>22</v>
      </c>
      <c r="F13594" s="4" t="s">
        <v>68601</v>
      </c>
      <c r="G13594" s="4" t="s">
        <v>68602</v>
      </c>
      <c r="H13594" s="3" t="s">
        <v>67992</v>
      </c>
      <c r="I13594" s="3" t="s">
        <v>68603</v>
      </c>
      <c r="J13594" s="3" t="s">
        <v>68604</v>
      </c>
      <c r="K13594" s="3" t="s">
        <v>68605</v>
      </c>
      <c r="L13594" s="3"/>
      <c r="M13594" s="4"/>
      <c r="N13594" s="3" t="s">
        <v>37</v>
      </c>
      <c r="O13594" s="3" t="s">
        <v>38</v>
      </c>
      <c r="P13594" s="5">
        <v>8</v>
      </c>
      <c r="Q13594" s="5">
        <v>58</v>
      </c>
      <c r="R13594" s="5">
        <v>9</v>
      </c>
      <c r="S13594" s="5">
        <v>64</v>
      </c>
    </row>
    <row r="13595" spans="1:19" ht="28" x14ac:dyDescent="0.15">
      <c r="A13595" s="2">
        <f>HYPERLINK("https://open-school.uspishnemisto.com.ua/school/650132/", 650132)</f>
        <v>650132</v>
      </c>
      <c r="B13595" s="3" t="s">
        <v>68606</v>
      </c>
      <c r="C13595" s="3" t="s">
        <v>31</v>
      </c>
      <c r="D13595" s="3" t="s">
        <v>32</v>
      </c>
      <c r="E13595" s="4" t="s">
        <v>22</v>
      </c>
      <c r="F13595" s="4" t="s">
        <v>68601</v>
      </c>
      <c r="G13595" s="4" t="s">
        <v>68602</v>
      </c>
      <c r="H13595" s="3" t="s">
        <v>67992</v>
      </c>
      <c r="I13595" s="3" t="s">
        <v>68603</v>
      </c>
      <c r="J13595" s="3" t="s">
        <v>4425</v>
      </c>
      <c r="K13595" s="3" t="s">
        <v>68607</v>
      </c>
      <c r="L13595" s="3" t="s">
        <v>68608</v>
      </c>
      <c r="M13595" s="4"/>
      <c r="N13595" s="3" t="s">
        <v>37</v>
      </c>
      <c r="O13595" s="3" t="s">
        <v>38</v>
      </c>
      <c r="P13595" s="5">
        <v>11</v>
      </c>
      <c r="Q13595" s="5">
        <v>167</v>
      </c>
      <c r="R13595" s="5">
        <v>11</v>
      </c>
      <c r="S13595" s="5">
        <v>174</v>
      </c>
    </row>
    <row r="13596" spans="1:19" ht="28" x14ac:dyDescent="0.15">
      <c r="A13596" s="2">
        <f>HYPERLINK("https://open-school.uspishnemisto.com.ua/school/650133/", 650133)</f>
        <v>650133</v>
      </c>
      <c r="B13596" s="3" t="s">
        <v>68609</v>
      </c>
      <c r="C13596" s="3" t="s">
        <v>31</v>
      </c>
      <c r="D13596" s="3" t="s">
        <v>32</v>
      </c>
      <c r="E13596" s="4" t="s">
        <v>22</v>
      </c>
      <c r="F13596" s="4" t="s">
        <v>68610</v>
      </c>
      <c r="G13596" s="4" t="s">
        <v>68611</v>
      </c>
      <c r="H13596" s="3" t="s">
        <v>67992</v>
      </c>
      <c r="I13596" s="3" t="s">
        <v>68612</v>
      </c>
      <c r="J13596" s="3" t="s">
        <v>34733</v>
      </c>
      <c r="K13596" s="3" t="s">
        <v>68613</v>
      </c>
      <c r="L13596" s="3" t="s">
        <v>68614</v>
      </c>
      <c r="M13596" s="4"/>
      <c r="N13596" s="3" t="s">
        <v>37</v>
      </c>
      <c r="O13596" s="3" t="s">
        <v>38</v>
      </c>
      <c r="P13596" s="5">
        <v>10</v>
      </c>
      <c r="Q13596" s="5">
        <v>102</v>
      </c>
      <c r="R13596" s="5">
        <v>11</v>
      </c>
      <c r="S13596" s="5">
        <v>95</v>
      </c>
    </row>
    <row r="13597" spans="1:19" ht="28" x14ac:dyDescent="0.15">
      <c r="A13597" s="2">
        <f>HYPERLINK("https://open-school.uspishnemisto.com.ua/school/650134/", 650134)</f>
        <v>650134</v>
      </c>
      <c r="B13597" s="3" t="s">
        <v>68615</v>
      </c>
      <c r="C13597" s="3" t="s">
        <v>31</v>
      </c>
      <c r="D13597" s="3" t="s">
        <v>32</v>
      </c>
      <c r="E13597" s="4" t="s">
        <v>22</v>
      </c>
      <c r="F13597" s="4" t="s">
        <v>68616</v>
      </c>
      <c r="G13597" s="4" t="s">
        <v>68617</v>
      </c>
      <c r="H13597" s="3" t="s">
        <v>67992</v>
      </c>
      <c r="I13597" s="3" t="s">
        <v>68618</v>
      </c>
      <c r="J13597" s="3" t="s">
        <v>5632</v>
      </c>
      <c r="K13597" s="3"/>
      <c r="L13597" s="3"/>
      <c r="M13597" s="4"/>
      <c r="N13597" s="3" t="s">
        <v>37</v>
      </c>
      <c r="O13597" s="3" t="s">
        <v>38</v>
      </c>
      <c r="P13597" s="5">
        <v>11</v>
      </c>
      <c r="Q13597" s="5">
        <v>174</v>
      </c>
      <c r="R13597" s="5">
        <v>11</v>
      </c>
      <c r="S13597" s="5">
        <v>173</v>
      </c>
    </row>
    <row r="13598" spans="1:19" ht="28" x14ac:dyDescent="0.15">
      <c r="A13598" s="2">
        <f>HYPERLINK("https://open-school.uspishnemisto.com.ua/school/650136/", 650136)</f>
        <v>650136</v>
      </c>
      <c r="B13598" s="3" t="s">
        <v>68619</v>
      </c>
      <c r="C13598" s="3" t="s">
        <v>31</v>
      </c>
      <c r="D13598" s="3" t="s">
        <v>32</v>
      </c>
      <c r="E13598" s="4" t="s">
        <v>22</v>
      </c>
      <c r="F13598" s="4" t="s">
        <v>68620</v>
      </c>
      <c r="G13598" s="4" t="s">
        <v>68621</v>
      </c>
      <c r="H13598" s="3" t="s">
        <v>67992</v>
      </c>
      <c r="I13598" s="3" t="s">
        <v>68622</v>
      </c>
      <c r="J13598" s="3" t="s">
        <v>68623</v>
      </c>
      <c r="K13598" s="3" t="s">
        <v>68624</v>
      </c>
      <c r="L13598" s="3" t="s">
        <v>68625</v>
      </c>
      <c r="M13598" s="4"/>
      <c r="N13598" s="3" t="s">
        <v>37</v>
      </c>
      <c r="O13598" s="3" t="s">
        <v>38</v>
      </c>
      <c r="P13598" s="5">
        <v>10</v>
      </c>
      <c r="Q13598" s="5">
        <v>139</v>
      </c>
      <c r="R13598" s="5">
        <v>11</v>
      </c>
      <c r="S13598" s="5">
        <v>141</v>
      </c>
    </row>
    <row r="13599" spans="1:19" ht="42" x14ac:dyDescent="0.15">
      <c r="A13599" s="2">
        <f>HYPERLINK("https://open-school.uspishnemisto.com.ua/school/650137/", 650137)</f>
        <v>650137</v>
      </c>
      <c r="B13599" s="3" t="s">
        <v>68626</v>
      </c>
      <c r="C13599" s="3" t="s">
        <v>54</v>
      </c>
      <c r="D13599" s="3" t="s">
        <v>60</v>
      </c>
      <c r="E13599" s="4" t="s">
        <v>22</v>
      </c>
      <c r="F13599" s="4" t="s">
        <v>68627</v>
      </c>
      <c r="G13599" s="4" t="s">
        <v>68628</v>
      </c>
      <c r="H13599" s="3" t="s">
        <v>67992</v>
      </c>
      <c r="I13599" s="3" t="s">
        <v>24556</v>
      </c>
      <c r="J13599" s="3" t="s">
        <v>55240</v>
      </c>
      <c r="K13599" s="3" t="s">
        <v>68629</v>
      </c>
      <c r="L13599" s="3"/>
      <c r="M13599" s="4"/>
      <c r="N13599" s="3" t="s">
        <v>37</v>
      </c>
      <c r="O13599" s="3" t="s">
        <v>52</v>
      </c>
      <c r="P13599" s="5">
        <v>1</v>
      </c>
      <c r="Q13599" s="5">
        <v>15</v>
      </c>
      <c r="R13599" s="5">
        <v>4</v>
      </c>
      <c r="S13599" s="5">
        <v>17</v>
      </c>
    </row>
    <row r="13600" spans="1:19" ht="28" x14ac:dyDescent="0.15">
      <c r="A13600" s="2">
        <f>HYPERLINK("https://open-school.uspishnemisto.com.ua/school/650138/", 650138)</f>
        <v>650138</v>
      </c>
      <c r="B13600" s="3" t="s">
        <v>68630</v>
      </c>
      <c r="C13600" s="3" t="s">
        <v>31</v>
      </c>
      <c r="D13600" s="3" t="s">
        <v>32</v>
      </c>
      <c r="E13600" s="4" t="s">
        <v>22</v>
      </c>
      <c r="F13600" s="4" t="s">
        <v>68631</v>
      </c>
      <c r="G13600" s="4" t="s">
        <v>68632</v>
      </c>
      <c r="H13600" s="3" t="s">
        <v>67992</v>
      </c>
      <c r="I13600" s="3" t="s">
        <v>68633</v>
      </c>
      <c r="J13600" s="3" t="s">
        <v>634</v>
      </c>
      <c r="K13600" s="3" t="s">
        <v>68634</v>
      </c>
      <c r="L13600" s="3" t="s">
        <v>68635</v>
      </c>
      <c r="M13600" s="4"/>
      <c r="N13600" s="3" t="s">
        <v>37</v>
      </c>
      <c r="O13600" s="3" t="s">
        <v>38</v>
      </c>
      <c r="P13600" s="5">
        <v>11</v>
      </c>
      <c r="Q13600" s="5">
        <v>112</v>
      </c>
      <c r="R13600" s="5">
        <v>11</v>
      </c>
      <c r="S13600" s="5">
        <v>108</v>
      </c>
    </row>
    <row r="13601" spans="1:19" ht="28" x14ac:dyDescent="0.15">
      <c r="A13601" s="2">
        <f>HYPERLINK("https://open-school.uspishnemisto.com.ua/school/650139/", 650139)</f>
        <v>650139</v>
      </c>
      <c r="B13601" s="3" t="s">
        <v>68636</v>
      </c>
      <c r="C13601" s="3" t="s">
        <v>31</v>
      </c>
      <c r="D13601" s="3" t="s">
        <v>32</v>
      </c>
      <c r="E13601" s="4" t="s">
        <v>22</v>
      </c>
      <c r="F13601" s="4" t="s">
        <v>68637</v>
      </c>
      <c r="G13601" s="4" t="s">
        <v>68638</v>
      </c>
      <c r="H13601" s="3" t="s">
        <v>67992</v>
      </c>
      <c r="I13601" s="3" t="s">
        <v>68639</v>
      </c>
      <c r="J13601" s="3" t="s">
        <v>68640</v>
      </c>
      <c r="K13601" s="3" t="s">
        <v>68641</v>
      </c>
      <c r="L13601" s="3"/>
      <c r="M13601" s="4"/>
      <c r="N13601" s="3" t="s">
        <v>37</v>
      </c>
      <c r="O13601" s="3" t="s">
        <v>38</v>
      </c>
      <c r="P13601" s="5">
        <v>9</v>
      </c>
      <c r="Q13601" s="5">
        <v>108</v>
      </c>
      <c r="R13601" s="5">
        <v>9</v>
      </c>
      <c r="S13601" s="5">
        <v>94</v>
      </c>
    </row>
    <row r="13602" spans="1:19" ht="28" x14ac:dyDescent="0.15">
      <c r="A13602" s="2">
        <f>HYPERLINK("https://open-school.uspishnemisto.com.ua/school/650140/", 650140)</f>
        <v>650140</v>
      </c>
      <c r="B13602" s="3" t="s">
        <v>68642</v>
      </c>
      <c r="C13602" s="3" t="s">
        <v>31</v>
      </c>
      <c r="D13602" s="3" t="s">
        <v>32</v>
      </c>
      <c r="E13602" s="4" t="s">
        <v>22</v>
      </c>
      <c r="F13602" s="4" t="s">
        <v>68643</v>
      </c>
      <c r="G13602" s="4" t="s">
        <v>68644</v>
      </c>
      <c r="H13602" s="3" t="s">
        <v>67992</v>
      </c>
      <c r="I13602" s="3" t="s">
        <v>68645</v>
      </c>
      <c r="J13602" s="3" t="s">
        <v>68646</v>
      </c>
      <c r="K13602" s="3" t="s">
        <v>68647</v>
      </c>
      <c r="L13602" s="3" t="s">
        <v>68648</v>
      </c>
      <c r="M13602" s="4"/>
      <c r="N13602" s="3" t="s">
        <v>37</v>
      </c>
      <c r="O13602" s="3" t="s">
        <v>38</v>
      </c>
      <c r="P13602" s="5">
        <v>11</v>
      </c>
      <c r="Q13602" s="5">
        <v>102</v>
      </c>
      <c r="R13602" s="5">
        <v>11</v>
      </c>
      <c r="S13602" s="5">
        <v>92</v>
      </c>
    </row>
    <row r="13603" spans="1:19" ht="28" x14ac:dyDescent="0.15">
      <c r="A13603" s="2">
        <f>HYPERLINK("https://open-school.uspishnemisto.com.ua/school/650141/", 650141)</f>
        <v>650141</v>
      </c>
      <c r="B13603" s="3" t="s">
        <v>68649</v>
      </c>
      <c r="C13603" s="3" t="s">
        <v>31</v>
      </c>
      <c r="D13603" s="3" t="s">
        <v>32</v>
      </c>
      <c r="E13603" s="4" t="s">
        <v>22</v>
      </c>
      <c r="F13603" s="4" t="s">
        <v>68650</v>
      </c>
      <c r="G13603" s="4" t="s">
        <v>68651</v>
      </c>
      <c r="H13603" s="3" t="s">
        <v>67992</v>
      </c>
      <c r="I13603" s="3" t="s">
        <v>68652</v>
      </c>
      <c r="J13603" s="3" t="s">
        <v>68653</v>
      </c>
      <c r="K13603" s="3" t="s">
        <v>68654</v>
      </c>
      <c r="L13603" s="3"/>
      <c r="M13603" s="4"/>
      <c r="N13603" s="3" t="s">
        <v>37</v>
      </c>
      <c r="O13603" s="3" t="s">
        <v>38</v>
      </c>
      <c r="P13603" s="5">
        <v>12</v>
      </c>
      <c r="Q13603" s="5">
        <v>225</v>
      </c>
      <c r="R13603" s="5">
        <v>11</v>
      </c>
      <c r="S13603" s="5">
        <v>213</v>
      </c>
    </row>
    <row r="13604" spans="1:19" ht="42" x14ac:dyDescent="0.15">
      <c r="A13604" s="2">
        <f>HYPERLINK("https://open-school.uspishnemisto.com.ua/school/650142/", 650142)</f>
        <v>650142</v>
      </c>
      <c r="B13604" s="3" t="s">
        <v>68655</v>
      </c>
      <c r="C13604" s="3" t="s">
        <v>31</v>
      </c>
      <c r="D13604" s="3" t="s">
        <v>60</v>
      </c>
      <c r="E13604" s="4" t="s">
        <v>22</v>
      </c>
      <c r="F13604" s="4" t="s">
        <v>68656</v>
      </c>
      <c r="G13604" s="4" t="s">
        <v>68657</v>
      </c>
      <c r="H13604" s="3" t="s">
        <v>67992</v>
      </c>
      <c r="I13604" s="3" t="s">
        <v>68658</v>
      </c>
      <c r="J13604" s="3" t="s">
        <v>68659</v>
      </c>
      <c r="K13604" s="3" t="s">
        <v>68660</v>
      </c>
      <c r="L13604" s="3"/>
      <c r="M13604" s="4"/>
      <c r="N13604" s="3" t="s">
        <v>37</v>
      </c>
      <c r="O13604" s="3" t="s">
        <v>52</v>
      </c>
      <c r="P13604" s="5">
        <v>4</v>
      </c>
      <c r="Q13604" s="5">
        <v>30</v>
      </c>
      <c r="R13604" s="5">
        <v>5</v>
      </c>
      <c r="S13604" s="5">
        <v>35</v>
      </c>
    </row>
    <row r="13605" spans="1:19" ht="56" x14ac:dyDescent="0.15">
      <c r="A13605" s="2">
        <f>HYPERLINK("https://open-school.uspishnemisto.com.ua/school/650143/", 650143)</f>
        <v>650143</v>
      </c>
      <c r="B13605" s="3" t="s">
        <v>68661</v>
      </c>
      <c r="C13605" s="3" t="s">
        <v>54</v>
      </c>
      <c r="D13605" s="3" t="s">
        <v>32</v>
      </c>
      <c r="E13605" s="4" t="s">
        <v>22</v>
      </c>
      <c r="F13605" s="4" t="s">
        <v>68662</v>
      </c>
      <c r="G13605" s="4" t="s">
        <v>68663</v>
      </c>
      <c r="H13605" s="3" t="s">
        <v>67992</v>
      </c>
      <c r="I13605" s="3" t="s">
        <v>68664</v>
      </c>
      <c r="J13605" s="3" t="s">
        <v>466</v>
      </c>
      <c r="K13605" s="3" t="s">
        <v>68665</v>
      </c>
      <c r="L13605" s="3" t="s">
        <v>68666</v>
      </c>
      <c r="M13605" s="4" t="s">
        <v>68667</v>
      </c>
      <c r="N13605" s="3" t="s">
        <v>37</v>
      </c>
      <c r="O13605" s="3" t="s">
        <v>52</v>
      </c>
      <c r="P13605" s="5">
        <v>10</v>
      </c>
      <c r="Q13605" s="5">
        <v>187</v>
      </c>
      <c r="R13605" s="5">
        <v>11</v>
      </c>
      <c r="S13605" s="5">
        <v>203</v>
      </c>
    </row>
    <row r="13606" spans="1:19" ht="28" x14ac:dyDescent="0.15">
      <c r="A13606" s="2">
        <f>HYPERLINK("https://open-school.uspishnemisto.com.ua/school/650144/", 650144)</f>
        <v>650144</v>
      </c>
      <c r="B13606" s="3" t="s">
        <v>68668</v>
      </c>
      <c r="C13606" s="3" t="s">
        <v>31</v>
      </c>
      <c r="D13606" s="3" t="s">
        <v>32</v>
      </c>
      <c r="E13606" s="4" t="s">
        <v>22</v>
      </c>
      <c r="F13606" s="4" t="s">
        <v>68662</v>
      </c>
      <c r="G13606" s="4" t="s">
        <v>68663</v>
      </c>
      <c r="H13606" s="3" t="s">
        <v>67992</v>
      </c>
      <c r="I13606" s="3" t="s">
        <v>68664</v>
      </c>
      <c r="J13606" s="3" t="s">
        <v>68669</v>
      </c>
      <c r="K13606" s="3" t="s">
        <v>68670</v>
      </c>
      <c r="L13606" s="3" t="s">
        <v>68671</v>
      </c>
      <c r="M13606" s="4"/>
      <c r="N13606" s="3" t="s">
        <v>37</v>
      </c>
      <c r="O13606" s="3" t="s">
        <v>38</v>
      </c>
      <c r="P13606" s="5">
        <v>10</v>
      </c>
      <c r="Q13606" s="5">
        <v>95</v>
      </c>
      <c r="R13606" s="5">
        <v>10</v>
      </c>
      <c r="S13606" s="5">
        <v>84</v>
      </c>
    </row>
    <row r="13607" spans="1:19" ht="28" x14ac:dyDescent="0.15">
      <c r="A13607" s="2">
        <f>HYPERLINK("https://open-school.uspishnemisto.com.ua/school/650145/", 650145)</f>
        <v>650145</v>
      </c>
      <c r="B13607" s="3" t="s">
        <v>68672</v>
      </c>
      <c r="C13607" s="3" t="s">
        <v>54</v>
      </c>
      <c r="D13607" s="3" t="s">
        <v>60</v>
      </c>
      <c r="E13607" s="4" t="s">
        <v>22</v>
      </c>
      <c r="F13607" s="4" t="s">
        <v>68673</v>
      </c>
      <c r="G13607" s="4" t="s">
        <v>68674</v>
      </c>
      <c r="H13607" s="3" t="s">
        <v>67992</v>
      </c>
      <c r="I13607" s="3" t="s">
        <v>68675</v>
      </c>
      <c r="J13607" s="3" t="s">
        <v>21132</v>
      </c>
      <c r="K13607" s="3" t="s">
        <v>68676</v>
      </c>
      <c r="L13607" s="3"/>
      <c r="M13607" s="4"/>
      <c r="N13607" s="3" t="s">
        <v>37</v>
      </c>
      <c r="O13607" s="3" t="s">
        <v>52</v>
      </c>
      <c r="P13607" s="5">
        <v>1</v>
      </c>
      <c r="Q13607" s="5">
        <v>14</v>
      </c>
      <c r="R13607" s="5">
        <v>1</v>
      </c>
      <c r="S13607" s="5">
        <v>15</v>
      </c>
    </row>
    <row r="13608" spans="1:19" ht="28" x14ac:dyDescent="0.15">
      <c r="A13608" s="2">
        <f>HYPERLINK("https://open-school.uspishnemisto.com.ua/school/650146/", 650146)</f>
        <v>650146</v>
      </c>
      <c r="B13608" s="3" t="s">
        <v>68677</v>
      </c>
      <c r="C13608" s="3" t="s">
        <v>31</v>
      </c>
      <c r="D13608" s="3" t="s">
        <v>32</v>
      </c>
      <c r="E13608" s="4" t="s">
        <v>22</v>
      </c>
      <c r="F13608" s="4" t="s">
        <v>68678</v>
      </c>
      <c r="G13608" s="4" t="s">
        <v>68679</v>
      </c>
      <c r="H13608" s="3" t="s">
        <v>67992</v>
      </c>
      <c r="I13608" s="3" t="s">
        <v>68680</v>
      </c>
      <c r="J13608" s="3" t="s">
        <v>68681</v>
      </c>
      <c r="K13608" s="3" t="s">
        <v>68682</v>
      </c>
      <c r="L13608" s="3"/>
      <c r="M13608" s="4"/>
      <c r="N13608" s="3" t="s">
        <v>37</v>
      </c>
      <c r="O13608" s="3" t="s">
        <v>38</v>
      </c>
      <c r="P13608" s="5">
        <v>11</v>
      </c>
      <c r="Q13608" s="5">
        <v>217</v>
      </c>
      <c r="R13608" s="5">
        <v>11</v>
      </c>
      <c r="S13608" s="5">
        <v>213</v>
      </c>
    </row>
    <row r="13609" spans="1:19" ht="28" x14ac:dyDescent="0.15">
      <c r="A13609" s="2">
        <f>HYPERLINK("https://open-school.uspishnemisto.com.ua/school/650147/", 650147)</f>
        <v>650147</v>
      </c>
      <c r="B13609" s="3" t="s">
        <v>68683</v>
      </c>
      <c r="C13609" s="3" t="s">
        <v>31</v>
      </c>
      <c r="D13609" s="3" t="s">
        <v>32</v>
      </c>
      <c r="E13609" s="4" t="s">
        <v>22</v>
      </c>
      <c r="F13609" s="4" t="s">
        <v>68684</v>
      </c>
      <c r="G13609" s="4" t="s">
        <v>68685</v>
      </c>
      <c r="H13609" s="3" t="s">
        <v>67992</v>
      </c>
      <c r="I13609" s="3" t="s">
        <v>1740</v>
      </c>
      <c r="J13609" s="3" t="s">
        <v>2063</v>
      </c>
      <c r="K13609" s="3" t="s">
        <v>68686</v>
      </c>
      <c r="L13609" s="3"/>
      <c r="M13609" s="4"/>
      <c r="N13609" s="3" t="s">
        <v>37</v>
      </c>
      <c r="O13609" s="3" t="s">
        <v>38</v>
      </c>
      <c r="P13609" s="5">
        <v>10</v>
      </c>
      <c r="Q13609" s="5">
        <v>85</v>
      </c>
      <c r="R13609" s="5">
        <v>9</v>
      </c>
      <c r="S13609" s="5">
        <v>76</v>
      </c>
    </row>
    <row r="13610" spans="1:19" ht="28" x14ac:dyDescent="0.15">
      <c r="A13610" s="2">
        <f>HYPERLINK("https://open-school.uspishnemisto.com.ua/school/650148/", 650148)</f>
        <v>650148</v>
      </c>
      <c r="B13610" s="3" t="s">
        <v>68687</v>
      </c>
      <c r="C13610" s="3" t="s">
        <v>31</v>
      </c>
      <c r="D13610" s="3" t="s">
        <v>32</v>
      </c>
      <c r="E13610" s="4" t="s">
        <v>22</v>
      </c>
      <c r="F13610" s="4" t="s">
        <v>68688</v>
      </c>
      <c r="G13610" s="4" t="s">
        <v>68689</v>
      </c>
      <c r="H13610" s="3" t="s">
        <v>67992</v>
      </c>
      <c r="I13610" s="3" t="s">
        <v>68690</v>
      </c>
      <c r="J13610" s="3" t="s">
        <v>5837</v>
      </c>
      <c r="K13610" s="3" t="s">
        <v>61295</v>
      </c>
      <c r="L13610" s="3"/>
      <c r="M13610" s="4"/>
      <c r="N13610" s="3" t="s">
        <v>37</v>
      </c>
      <c r="O13610" s="3" t="s">
        <v>38</v>
      </c>
      <c r="P13610" s="5">
        <v>10</v>
      </c>
      <c r="Q13610" s="5">
        <v>80</v>
      </c>
      <c r="R13610" s="5">
        <v>10</v>
      </c>
      <c r="S13610" s="5">
        <v>68</v>
      </c>
    </row>
    <row r="13611" spans="1:19" ht="42" x14ac:dyDescent="0.15">
      <c r="A13611" s="2">
        <f>HYPERLINK("https://open-school.uspishnemisto.com.ua/school/650149/", 650149)</f>
        <v>650149</v>
      </c>
      <c r="B13611" s="3" t="s">
        <v>68691</v>
      </c>
      <c r="C13611" s="3" t="s">
        <v>31</v>
      </c>
      <c r="D13611" s="3" t="s">
        <v>32</v>
      </c>
      <c r="E13611" s="4" t="s">
        <v>22</v>
      </c>
      <c r="F13611" s="4" t="s">
        <v>68692</v>
      </c>
      <c r="G13611" s="4" t="s">
        <v>68693</v>
      </c>
      <c r="H13611" s="3" t="s">
        <v>67992</v>
      </c>
      <c r="I13611" s="3" t="s">
        <v>15426</v>
      </c>
      <c r="J13611" s="3" t="s">
        <v>6980</v>
      </c>
      <c r="K13611" s="3" t="s">
        <v>68694</v>
      </c>
      <c r="L13611" s="3"/>
      <c r="M13611" s="4"/>
      <c r="N13611" s="3" t="s">
        <v>37</v>
      </c>
      <c r="O13611" s="3" t="s">
        <v>70</v>
      </c>
      <c r="P13611" s="5">
        <v>8</v>
      </c>
      <c r="Q13611" s="5">
        <v>65</v>
      </c>
      <c r="R13611" s="5">
        <v>0</v>
      </c>
      <c r="S13611" s="5">
        <v>0</v>
      </c>
    </row>
    <row r="13612" spans="1:19" ht="28" x14ac:dyDescent="0.15">
      <c r="A13612" s="2">
        <f>HYPERLINK("https://open-school.uspishnemisto.com.ua/school/650150/", 650150)</f>
        <v>650150</v>
      </c>
      <c r="B13612" s="3" t="s">
        <v>68695</v>
      </c>
      <c r="C13612" s="3" t="s">
        <v>31</v>
      </c>
      <c r="D13612" s="3" t="s">
        <v>175</v>
      </c>
      <c r="E13612" s="4" t="s">
        <v>22</v>
      </c>
      <c r="F13612" s="4" t="s">
        <v>68696</v>
      </c>
      <c r="G13612" s="4" t="s">
        <v>68697</v>
      </c>
      <c r="H13612" s="3" t="s">
        <v>67992</v>
      </c>
      <c r="I13612" s="3" t="s">
        <v>68698</v>
      </c>
      <c r="J13612" s="3" t="s">
        <v>68699</v>
      </c>
      <c r="K13612" s="3" t="s">
        <v>68700</v>
      </c>
      <c r="L13612" s="3"/>
      <c r="M13612" s="4"/>
      <c r="N13612" s="3" t="s">
        <v>37</v>
      </c>
      <c r="O13612" s="3" t="s">
        <v>52</v>
      </c>
      <c r="P13612" s="5">
        <v>7</v>
      </c>
      <c r="Q13612" s="5">
        <v>54</v>
      </c>
      <c r="R13612" s="5">
        <v>9</v>
      </c>
      <c r="S13612" s="5">
        <v>51</v>
      </c>
    </row>
    <row r="13613" spans="1:19" ht="28" x14ac:dyDescent="0.15">
      <c r="A13613" s="2">
        <f>HYPERLINK("https://open-school.uspishnemisto.com.ua/school/650151/", 650151)</f>
        <v>650151</v>
      </c>
      <c r="B13613" s="3" t="s">
        <v>68701</v>
      </c>
      <c r="C13613" s="3" t="s">
        <v>31</v>
      </c>
      <c r="D13613" s="3" t="s">
        <v>32</v>
      </c>
      <c r="E13613" s="4" t="s">
        <v>22</v>
      </c>
      <c r="F13613" s="4" t="s">
        <v>68702</v>
      </c>
      <c r="G13613" s="4" t="s">
        <v>68703</v>
      </c>
      <c r="H13613" s="3" t="s">
        <v>67992</v>
      </c>
      <c r="I13613" s="3" t="s">
        <v>68704</v>
      </c>
      <c r="J13613" s="3" t="s">
        <v>68705</v>
      </c>
      <c r="K13613" s="3" t="s">
        <v>68706</v>
      </c>
      <c r="L13613" s="3" t="s">
        <v>68707</v>
      </c>
      <c r="M13613" s="4"/>
      <c r="N13613" s="3" t="s">
        <v>37</v>
      </c>
      <c r="O13613" s="3" t="s">
        <v>38</v>
      </c>
      <c r="P13613" s="5">
        <v>10</v>
      </c>
      <c r="Q13613" s="5">
        <v>155</v>
      </c>
      <c r="R13613" s="5">
        <v>10</v>
      </c>
      <c r="S13613" s="5">
        <v>144</v>
      </c>
    </row>
    <row r="13614" spans="1:19" ht="28" x14ac:dyDescent="0.15">
      <c r="A13614" s="2">
        <f>HYPERLINK("https://open-school.uspishnemisto.com.ua/school/650152/", 650152)</f>
        <v>650152</v>
      </c>
      <c r="B13614" s="3" t="s">
        <v>68708</v>
      </c>
      <c r="C13614" s="3" t="s">
        <v>31</v>
      </c>
      <c r="D13614" s="3" t="s">
        <v>32</v>
      </c>
      <c r="E13614" s="4" t="s">
        <v>22</v>
      </c>
      <c r="F13614" s="4" t="s">
        <v>68709</v>
      </c>
      <c r="G13614" s="4" t="s">
        <v>68710</v>
      </c>
      <c r="H13614" s="3" t="s">
        <v>67992</v>
      </c>
      <c r="I13614" s="3" t="s">
        <v>68711</v>
      </c>
      <c r="J13614" s="3" t="s">
        <v>4537</v>
      </c>
      <c r="K13614" s="3" t="s">
        <v>59469</v>
      </c>
      <c r="L13614" s="3" t="s">
        <v>68712</v>
      </c>
      <c r="M13614" s="4"/>
      <c r="N13614" s="3" t="s">
        <v>37</v>
      </c>
      <c r="O13614" s="3" t="s">
        <v>52</v>
      </c>
      <c r="P13614" s="5">
        <v>11</v>
      </c>
      <c r="Q13614" s="5">
        <v>160</v>
      </c>
      <c r="R13614" s="5">
        <v>10</v>
      </c>
      <c r="S13614" s="5">
        <v>152</v>
      </c>
    </row>
    <row r="13615" spans="1:19" ht="28" x14ac:dyDescent="0.15">
      <c r="A13615" s="2">
        <f>HYPERLINK("https://open-school.uspishnemisto.com.ua/school/650458/", 650458)</f>
        <v>650458</v>
      </c>
      <c r="B13615" s="3" t="s">
        <v>68713</v>
      </c>
      <c r="C13615" s="3" t="s">
        <v>54</v>
      </c>
      <c r="D13615" s="3" t="s">
        <v>60</v>
      </c>
      <c r="E13615" s="4" t="s">
        <v>22</v>
      </c>
      <c r="F13615" s="4" t="s">
        <v>68709</v>
      </c>
      <c r="G13615" s="4" t="s">
        <v>68714</v>
      </c>
      <c r="H13615" s="3" t="s">
        <v>67992</v>
      </c>
      <c r="I13615" s="3" t="s">
        <v>2872</v>
      </c>
      <c r="J13615" s="3" t="s">
        <v>68715</v>
      </c>
      <c r="K13615" s="3" t="s">
        <v>68716</v>
      </c>
      <c r="L13615" s="3"/>
      <c r="M13615" s="4"/>
      <c r="N13615" s="3" t="s">
        <v>37</v>
      </c>
      <c r="O13615" s="3" t="s">
        <v>52</v>
      </c>
      <c r="P13615" s="5">
        <v>1</v>
      </c>
      <c r="Q13615" s="5">
        <v>12</v>
      </c>
      <c r="R13615" s="5"/>
      <c r="S13615" s="5"/>
    </row>
    <row r="13616" spans="1:19" ht="28" x14ac:dyDescent="0.15">
      <c r="A13616" s="2">
        <f>HYPERLINK("https://open-school.uspishnemisto.com.ua/school/650153/", 650153)</f>
        <v>650153</v>
      </c>
      <c r="B13616" s="3" t="s">
        <v>68717</v>
      </c>
      <c r="C13616" s="3" t="s">
        <v>31</v>
      </c>
      <c r="D13616" s="3" t="s">
        <v>32</v>
      </c>
      <c r="E13616" s="4" t="s">
        <v>22</v>
      </c>
      <c r="F13616" s="4" t="s">
        <v>68718</v>
      </c>
      <c r="G13616" s="4" t="s">
        <v>68719</v>
      </c>
      <c r="H13616" s="3" t="s">
        <v>67992</v>
      </c>
      <c r="I13616" s="3" t="s">
        <v>66770</v>
      </c>
      <c r="J13616" s="3" t="s">
        <v>68720</v>
      </c>
      <c r="K13616" s="3" t="s">
        <v>68721</v>
      </c>
      <c r="L13616" s="3" t="s">
        <v>68722</v>
      </c>
      <c r="M13616" s="4"/>
      <c r="N13616" s="3" t="s">
        <v>37</v>
      </c>
      <c r="O13616" s="3" t="s">
        <v>38</v>
      </c>
      <c r="P13616" s="5">
        <v>10</v>
      </c>
      <c r="Q13616" s="5">
        <v>113</v>
      </c>
      <c r="R13616" s="5">
        <v>10</v>
      </c>
      <c r="S13616" s="5">
        <v>115</v>
      </c>
    </row>
    <row r="13617" spans="1:19" ht="28" x14ac:dyDescent="0.15">
      <c r="A13617" s="2">
        <f>HYPERLINK("https://open-school.uspishnemisto.com.ua/school/650154/", 650154)</f>
        <v>650154</v>
      </c>
      <c r="B13617" s="3" t="s">
        <v>68723</v>
      </c>
      <c r="C13617" s="3" t="s">
        <v>31</v>
      </c>
      <c r="D13617" s="3" t="s">
        <v>32</v>
      </c>
      <c r="E13617" s="4" t="s">
        <v>22</v>
      </c>
      <c r="F13617" s="4" t="s">
        <v>68724</v>
      </c>
      <c r="G13617" s="4" t="s">
        <v>68725</v>
      </c>
      <c r="H13617" s="3" t="s">
        <v>67992</v>
      </c>
      <c r="I13617" s="3" t="s">
        <v>31483</v>
      </c>
      <c r="J13617" s="3" t="s">
        <v>68726</v>
      </c>
      <c r="K13617" s="3" t="s">
        <v>68727</v>
      </c>
      <c r="L13617" s="3"/>
      <c r="M13617" s="4" t="s">
        <v>68728</v>
      </c>
      <c r="N13617" s="3" t="s">
        <v>37</v>
      </c>
      <c r="O13617" s="3" t="s">
        <v>46</v>
      </c>
      <c r="P13617" s="5">
        <v>18</v>
      </c>
      <c r="Q13617" s="5">
        <v>337</v>
      </c>
      <c r="R13617" s="5">
        <v>19</v>
      </c>
      <c r="S13617" s="5">
        <v>332</v>
      </c>
    </row>
    <row r="13618" spans="1:19" ht="28" x14ac:dyDescent="0.15">
      <c r="A13618" s="2">
        <f>HYPERLINK("https://open-school.uspishnemisto.com.ua/school/650155/", 650155)</f>
        <v>650155</v>
      </c>
      <c r="B13618" s="3" t="s">
        <v>68729</v>
      </c>
      <c r="C13618" s="3" t="s">
        <v>31</v>
      </c>
      <c r="D13618" s="3" t="s">
        <v>32</v>
      </c>
      <c r="E13618" s="4" t="s">
        <v>22</v>
      </c>
      <c r="F13618" s="4" t="s">
        <v>68724</v>
      </c>
      <c r="G13618" s="4" t="s">
        <v>68725</v>
      </c>
      <c r="H13618" s="3" t="s">
        <v>67992</v>
      </c>
      <c r="I13618" s="3" t="s">
        <v>31483</v>
      </c>
      <c r="J13618" s="3" t="s">
        <v>68730</v>
      </c>
      <c r="K13618" s="3" t="s">
        <v>68731</v>
      </c>
      <c r="L13618" s="3"/>
      <c r="M13618" s="4" t="s">
        <v>68732</v>
      </c>
      <c r="N13618" s="3" t="s">
        <v>37</v>
      </c>
      <c r="O13618" s="3" t="s">
        <v>123</v>
      </c>
      <c r="P13618" s="5">
        <v>27</v>
      </c>
      <c r="Q13618" s="5">
        <v>548</v>
      </c>
      <c r="R13618" s="5">
        <v>25</v>
      </c>
      <c r="S13618" s="5">
        <v>532</v>
      </c>
    </row>
    <row r="13619" spans="1:19" ht="42" x14ac:dyDescent="0.15">
      <c r="A13619" s="2">
        <f>HYPERLINK("https://open-school.uspishnemisto.com.ua/school/650156/", 650156)</f>
        <v>650156</v>
      </c>
      <c r="B13619" s="3" t="s">
        <v>68733</v>
      </c>
      <c r="C13619" s="3" t="s">
        <v>31</v>
      </c>
      <c r="D13619" s="3" t="s">
        <v>32</v>
      </c>
      <c r="E13619" s="4" t="s">
        <v>22</v>
      </c>
      <c r="F13619" s="4" t="s">
        <v>68734</v>
      </c>
      <c r="G13619" s="4" t="s">
        <v>68735</v>
      </c>
      <c r="H13619" s="3" t="s">
        <v>67992</v>
      </c>
      <c r="I13619" s="3" t="s">
        <v>19447</v>
      </c>
      <c r="J13619" s="3" t="s">
        <v>45285</v>
      </c>
      <c r="K13619" s="3" t="s">
        <v>68736</v>
      </c>
      <c r="L13619" s="3" t="s">
        <v>68737</v>
      </c>
      <c r="M13619" s="4" t="s">
        <v>68738</v>
      </c>
      <c r="N13619" s="3" t="s">
        <v>37</v>
      </c>
      <c r="O13619" s="3" t="s">
        <v>52</v>
      </c>
      <c r="P13619" s="5">
        <v>11</v>
      </c>
      <c r="Q13619" s="5">
        <v>213</v>
      </c>
      <c r="R13619" s="5">
        <v>11</v>
      </c>
      <c r="S13619" s="5">
        <v>227</v>
      </c>
    </row>
    <row r="13620" spans="1:19" ht="28" x14ac:dyDescent="0.15">
      <c r="A13620" s="2">
        <f>HYPERLINK("https://open-school.uspishnemisto.com.ua/school/650001/", 650001)</f>
        <v>650001</v>
      </c>
      <c r="B13620" s="3" t="s">
        <v>68739</v>
      </c>
      <c r="C13620" s="3" t="s">
        <v>31</v>
      </c>
      <c r="D13620" s="3" t="s">
        <v>32</v>
      </c>
      <c r="E13620" s="4" t="s">
        <v>22</v>
      </c>
      <c r="F13620" s="4" t="s">
        <v>68740</v>
      </c>
      <c r="G13620" s="4" t="s">
        <v>68741</v>
      </c>
      <c r="H13620" s="3" t="s">
        <v>67992</v>
      </c>
      <c r="I13620" s="3" t="s">
        <v>68742</v>
      </c>
      <c r="J13620" s="3" t="s">
        <v>68743</v>
      </c>
      <c r="K13620" s="3" t="s">
        <v>68744</v>
      </c>
      <c r="L13620" s="3"/>
      <c r="M13620" s="4" t="s">
        <v>68745</v>
      </c>
      <c r="N13620" s="3" t="s">
        <v>37</v>
      </c>
      <c r="O13620" s="3" t="s">
        <v>38</v>
      </c>
      <c r="P13620" s="5">
        <v>11</v>
      </c>
      <c r="Q13620" s="5">
        <v>193</v>
      </c>
      <c r="R13620" s="5">
        <v>11</v>
      </c>
      <c r="S13620" s="5">
        <v>183</v>
      </c>
    </row>
    <row r="13621" spans="1:19" ht="28" x14ac:dyDescent="0.15">
      <c r="A13621" s="2">
        <f>HYPERLINK("https://open-school.uspishnemisto.com.ua/school/650157/", 650157)</f>
        <v>650157</v>
      </c>
      <c r="B13621" s="3" t="s">
        <v>68746</v>
      </c>
      <c r="C13621" s="3" t="s">
        <v>181</v>
      </c>
      <c r="D13621" s="3" t="s">
        <v>175</v>
      </c>
      <c r="E13621" s="4" t="s">
        <v>22</v>
      </c>
      <c r="F13621" s="4" t="s">
        <v>68740</v>
      </c>
      <c r="G13621" s="4" t="s">
        <v>68741</v>
      </c>
      <c r="H13621" s="3" t="s">
        <v>67992</v>
      </c>
      <c r="I13621" s="3" t="s">
        <v>68742</v>
      </c>
      <c r="J13621" s="3" t="s">
        <v>68747</v>
      </c>
      <c r="K13621" s="3" t="s">
        <v>68748</v>
      </c>
      <c r="L13621" s="3"/>
      <c r="M13621" s="4" t="s">
        <v>68749</v>
      </c>
      <c r="N13621" s="3" t="s">
        <v>37</v>
      </c>
      <c r="O13621" s="3"/>
      <c r="P13621" s="5">
        <v>13</v>
      </c>
      <c r="Q13621" s="5">
        <v>147</v>
      </c>
      <c r="R13621" s="5">
        <v>12</v>
      </c>
      <c r="S13621" s="5">
        <v>132</v>
      </c>
    </row>
    <row r="13622" spans="1:19" ht="56" x14ac:dyDescent="0.15">
      <c r="A13622" s="2">
        <f>HYPERLINK("https://open-school.uspishnemisto.com.ua/school/650158/", 650158)</f>
        <v>650158</v>
      </c>
      <c r="B13622" s="3" t="s">
        <v>68750</v>
      </c>
      <c r="C13622" s="3" t="s">
        <v>54</v>
      </c>
      <c r="D13622" s="3" t="s">
        <v>32</v>
      </c>
      <c r="E13622" s="4" t="s">
        <v>22</v>
      </c>
      <c r="F13622" s="4" t="s">
        <v>68751</v>
      </c>
      <c r="G13622" s="4" t="s">
        <v>68752</v>
      </c>
      <c r="H13622" s="3" t="s">
        <v>67992</v>
      </c>
      <c r="I13622" s="3" t="s">
        <v>68753</v>
      </c>
      <c r="J13622" s="3" t="s">
        <v>26450</v>
      </c>
      <c r="K13622" s="3" t="s">
        <v>68754</v>
      </c>
      <c r="L13622" s="3"/>
      <c r="M13622" s="4" t="s">
        <v>68755</v>
      </c>
      <c r="N13622" s="3" t="s">
        <v>37</v>
      </c>
      <c r="O13622" s="3" t="s">
        <v>52</v>
      </c>
      <c r="P13622" s="5">
        <v>2</v>
      </c>
      <c r="Q13622" s="5">
        <v>12</v>
      </c>
      <c r="R13622" s="5">
        <v>4</v>
      </c>
      <c r="S13622" s="5">
        <v>30</v>
      </c>
    </row>
    <row r="13623" spans="1:19" ht="42" x14ac:dyDescent="0.15">
      <c r="A13623" s="2">
        <f>HYPERLINK("https://open-school.uspishnemisto.com.ua/school/650159/", 650159)</f>
        <v>650159</v>
      </c>
      <c r="B13623" s="3" t="s">
        <v>68756</v>
      </c>
      <c r="C13623" s="3" t="s">
        <v>54</v>
      </c>
      <c r="D13623" s="3" t="s">
        <v>175</v>
      </c>
      <c r="E13623" s="4" t="s">
        <v>22</v>
      </c>
      <c r="F13623" s="4" t="s">
        <v>68757</v>
      </c>
      <c r="G13623" s="4" t="s">
        <v>68758</v>
      </c>
      <c r="H13623" s="3" t="s">
        <v>67992</v>
      </c>
      <c r="I13623" s="3" t="s">
        <v>68759</v>
      </c>
      <c r="J13623" s="3" t="s">
        <v>68760</v>
      </c>
      <c r="K13623" s="3" t="s">
        <v>68761</v>
      </c>
      <c r="L13623" s="3" t="s">
        <v>68762</v>
      </c>
      <c r="M13623" s="4" t="s">
        <v>68763</v>
      </c>
      <c r="N13623" s="3" t="s">
        <v>37</v>
      </c>
      <c r="O13623" s="3" t="s">
        <v>52</v>
      </c>
      <c r="P13623" s="5">
        <v>4</v>
      </c>
      <c r="Q13623" s="5">
        <v>47</v>
      </c>
      <c r="R13623" s="5">
        <v>3</v>
      </c>
      <c r="S13623" s="5">
        <v>41</v>
      </c>
    </row>
    <row r="13624" spans="1:19" ht="28" x14ac:dyDescent="0.15">
      <c r="A13624" s="2">
        <f>HYPERLINK("https://open-school.uspishnemisto.com.ua/school/650160/", 650160)</f>
        <v>650160</v>
      </c>
      <c r="B13624" s="3" t="s">
        <v>68764</v>
      </c>
      <c r="C13624" s="3" t="s">
        <v>31</v>
      </c>
      <c r="D13624" s="3" t="s">
        <v>32</v>
      </c>
      <c r="E13624" s="4" t="s">
        <v>22</v>
      </c>
      <c r="F13624" s="4" t="s">
        <v>68765</v>
      </c>
      <c r="G13624" s="4" t="s">
        <v>68766</v>
      </c>
      <c r="H13624" s="3" t="s">
        <v>67992</v>
      </c>
      <c r="I13624" s="3" t="s">
        <v>68767</v>
      </c>
      <c r="J13624" s="3" t="s">
        <v>68768</v>
      </c>
      <c r="K13624" s="3"/>
      <c r="L13624" s="3"/>
      <c r="M13624" s="4" t="s">
        <v>68769</v>
      </c>
      <c r="N13624" s="3" t="s">
        <v>37</v>
      </c>
      <c r="O13624" s="3" t="s">
        <v>46</v>
      </c>
      <c r="P13624" s="5">
        <v>14</v>
      </c>
      <c r="Q13624" s="5">
        <v>265</v>
      </c>
      <c r="R13624" s="5">
        <v>14</v>
      </c>
      <c r="S13624" s="5">
        <v>281</v>
      </c>
    </row>
    <row r="13625" spans="1:19" ht="28" x14ac:dyDescent="0.15">
      <c r="A13625" s="2">
        <f>HYPERLINK("https://open-school.uspishnemisto.com.ua/school/650161/", 650161)</f>
        <v>650161</v>
      </c>
      <c r="B13625" s="3" t="s">
        <v>68770</v>
      </c>
      <c r="C13625" s="3" t="s">
        <v>31</v>
      </c>
      <c r="D13625" s="3" t="s">
        <v>32</v>
      </c>
      <c r="E13625" s="4" t="s">
        <v>22</v>
      </c>
      <c r="F13625" s="4" t="s">
        <v>68771</v>
      </c>
      <c r="G13625" s="4" t="s">
        <v>68772</v>
      </c>
      <c r="H13625" s="3" t="s">
        <v>67992</v>
      </c>
      <c r="I13625" s="3" t="s">
        <v>68773</v>
      </c>
      <c r="J13625" s="3" t="s">
        <v>466</v>
      </c>
      <c r="K13625" s="3" t="s">
        <v>68774</v>
      </c>
      <c r="L13625" s="3" t="s">
        <v>68775</v>
      </c>
      <c r="M13625" s="4" t="s">
        <v>68776</v>
      </c>
      <c r="N13625" s="3" t="s">
        <v>37</v>
      </c>
      <c r="O13625" s="3" t="s">
        <v>52</v>
      </c>
      <c r="P13625" s="5">
        <v>11</v>
      </c>
      <c r="Q13625" s="5">
        <v>94</v>
      </c>
      <c r="R13625" s="5">
        <v>11</v>
      </c>
      <c r="S13625" s="5">
        <v>92</v>
      </c>
    </row>
    <row r="13626" spans="1:19" ht="42" x14ac:dyDescent="0.15">
      <c r="A13626" s="2">
        <f>HYPERLINK("https://open-school.uspishnemisto.com.ua/school/650162/", 650162)</f>
        <v>650162</v>
      </c>
      <c r="B13626" s="3" t="s">
        <v>68777</v>
      </c>
      <c r="C13626" s="3" t="s">
        <v>31</v>
      </c>
      <c r="D13626" s="3" t="s">
        <v>32</v>
      </c>
      <c r="E13626" s="4" t="s">
        <v>22</v>
      </c>
      <c r="F13626" s="4" t="s">
        <v>68778</v>
      </c>
      <c r="G13626" s="4" t="s">
        <v>68779</v>
      </c>
      <c r="H13626" s="3" t="s">
        <v>67992</v>
      </c>
      <c r="I13626" s="3" t="s">
        <v>68780</v>
      </c>
      <c r="J13626" s="3" t="s">
        <v>7668</v>
      </c>
      <c r="K13626" s="3" t="s">
        <v>68781</v>
      </c>
      <c r="L13626" s="3"/>
      <c r="M13626" s="4" t="s">
        <v>68782</v>
      </c>
      <c r="N13626" s="3" t="s">
        <v>37</v>
      </c>
      <c r="O13626" s="3" t="s">
        <v>52</v>
      </c>
      <c r="P13626" s="5">
        <v>11</v>
      </c>
      <c r="Q13626" s="5">
        <v>159</v>
      </c>
      <c r="R13626" s="5">
        <v>11</v>
      </c>
      <c r="S13626" s="5">
        <v>142</v>
      </c>
    </row>
    <row r="13627" spans="1:19" ht="28" x14ac:dyDescent="0.15">
      <c r="A13627" s="2">
        <f>HYPERLINK("https://open-school.uspishnemisto.com.ua/school/650163/", 650163)</f>
        <v>650163</v>
      </c>
      <c r="B13627" s="3" t="s">
        <v>68783</v>
      </c>
      <c r="C13627" s="3" t="s">
        <v>31</v>
      </c>
      <c r="D13627" s="3" t="s">
        <v>32</v>
      </c>
      <c r="E13627" s="4" t="s">
        <v>22</v>
      </c>
      <c r="F13627" s="4" t="s">
        <v>68784</v>
      </c>
      <c r="G13627" s="4" t="s">
        <v>68785</v>
      </c>
      <c r="H13627" s="3" t="s">
        <v>67992</v>
      </c>
      <c r="I13627" s="3" t="s">
        <v>68786</v>
      </c>
      <c r="J13627" s="3" t="s">
        <v>1657</v>
      </c>
      <c r="K13627" s="3" t="s">
        <v>68787</v>
      </c>
      <c r="L13627" s="3"/>
      <c r="M13627" s="4" t="s">
        <v>68788</v>
      </c>
      <c r="N13627" s="3" t="s">
        <v>37</v>
      </c>
      <c r="O13627" s="3" t="s">
        <v>46</v>
      </c>
      <c r="P13627" s="5">
        <v>11</v>
      </c>
      <c r="Q13627" s="5">
        <v>161</v>
      </c>
      <c r="R13627" s="5">
        <v>11</v>
      </c>
      <c r="S13627" s="5">
        <v>157</v>
      </c>
    </row>
    <row r="13628" spans="1:19" ht="28" x14ac:dyDescent="0.15">
      <c r="A13628" s="2">
        <f>HYPERLINK("https://open-school.uspishnemisto.com.ua/school/650164/", 650164)</f>
        <v>650164</v>
      </c>
      <c r="B13628" s="3" t="s">
        <v>68789</v>
      </c>
      <c r="C13628" s="3" t="s">
        <v>31</v>
      </c>
      <c r="D13628" s="3" t="s">
        <v>32</v>
      </c>
      <c r="E13628" s="4" t="s">
        <v>22</v>
      </c>
      <c r="F13628" s="4" t="s">
        <v>68790</v>
      </c>
      <c r="G13628" s="4" t="s">
        <v>68791</v>
      </c>
      <c r="H13628" s="3" t="s">
        <v>67992</v>
      </c>
      <c r="I13628" s="3" t="s">
        <v>15691</v>
      </c>
      <c r="J13628" s="3" t="s">
        <v>48158</v>
      </c>
      <c r="K13628" s="3" t="s">
        <v>68792</v>
      </c>
      <c r="L13628" s="3" t="s">
        <v>68793</v>
      </c>
      <c r="M13628" s="4" t="s">
        <v>68794</v>
      </c>
      <c r="N13628" s="3" t="s">
        <v>37</v>
      </c>
      <c r="O13628" s="3" t="s">
        <v>52</v>
      </c>
      <c r="P13628" s="5">
        <v>11</v>
      </c>
      <c r="Q13628" s="5">
        <v>96</v>
      </c>
      <c r="R13628" s="5">
        <v>10</v>
      </c>
      <c r="S13628" s="5">
        <v>88</v>
      </c>
    </row>
    <row r="13629" spans="1:19" ht="56" x14ac:dyDescent="0.15">
      <c r="A13629" s="2">
        <f>HYPERLINK("https://open-school.uspishnemisto.com.ua/school/650165/", 650165)</f>
        <v>650165</v>
      </c>
      <c r="B13629" s="3" t="s">
        <v>68795</v>
      </c>
      <c r="C13629" s="3" t="s">
        <v>54</v>
      </c>
      <c r="D13629" s="3" t="s">
        <v>175</v>
      </c>
      <c r="E13629" s="4" t="s">
        <v>22</v>
      </c>
      <c r="F13629" s="4" t="s">
        <v>68796</v>
      </c>
      <c r="G13629" s="4" t="s">
        <v>68797</v>
      </c>
      <c r="H13629" s="3" t="s">
        <v>67992</v>
      </c>
      <c r="I13629" s="3" t="s">
        <v>68798</v>
      </c>
      <c r="J13629" s="3" t="s">
        <v>466</v>
      </c>
      <c r="K13629" s="3" t="s">
        <v>68799</v>
      </c>
      <c r="L13629" s="3"/>
      <c r="M13629" s="4" t="s">
        <v>68800</v>
      </c>
      <c r="N13629" s="3" t="s">
        <v>37</v>
      </c>
      <c r="O13629" s="3" t="s">
        <v>52</v>
      </c>
      <c r="P13629" s="5">
        <v>9</v>
      </c>
      <c r="Q13629" s="5">
        <v>60</v>
      </c>
      <c r="R13629" s="5">
        <v>9</v>
      </c>
      <c r="S13629" s="5">
        <v>58</v>
      </c>
    </row>
    <row r="13630" spans="1:19" ht="56" x14ac:dyDescent="0.15">
      <c r="A13630" s="2">
        <f>HYPERLINK("https://open-school.uspishnemisto.com.ua/school/650166/", 650166)</f>
        <v>650166</v>
      </c>
      <c r="B13630" s="3" t="s">
        <v>68801</v>
      </c>
      <c r="C13630" s="3" t="s">
        <v>54</v>
      </c>
      <c r="D13630" s="3" t="s">
        <v>175</v>
      </c>
      <c r="E13630" s="4" t="s">
        <v>22</v>
      </c>
      <c r="F13630" s="4" t="s">
        <v>68802</v>
      </c>
      <c r="G13630" s="4" t="s">
        <v>68803</v>
      </c>
      <c r="H13630" s="3" t="s">
        <v>67992</v>
      </c>
      <c r="I13630" s="3" t="s">
        <v>41330</v>
      </c>
      <c r="J13630" s="3" t="s">
        <v>68804</v>
      </c>
      <c r="K13630" s="3" t="s">
        <v>68805</v>
      </c>
      <c r="L13630" s="3"/>
      <c r="M13630" s="4" t="s">
        <v>68806</v>
      </c>
      <c r="N13630" s="3" t="s">
        <v>37</v>
      </c>
      <c r="O13630" s="3" t="s">
        <v>52</v>
      </c>
      <c r="P13630" s="5">
        <v>4</v>
      </c>
      <c r="Q13630" s="5">
        <v>36</v>
      </c>
      <c r="R13630" s="5">
        <v>3</v>
      </c>
      <c r="S13630" s="5">
        <v>40</v>
      </c>
    </row>
    <row r="13631" spans="1:19" ht="56" x14ac:dyDescent="0.15">
      <c r="A13631" s="2">
        <f>HYPERLINK("https://open-school.uspishnemisto.com.ua/school/650167/", 650167)</f>
        <v>650167</v>
      </c>
      <c r="B13631" s="3" t="s">
        <v>68807</v>
      </c>
      <c r="C13631" s="3" t="s">
        <v>54</v>
      </c>
      <c r="D13631" s="3" t="s">
        <v>175</v>
      </c>
      <c r="E13631" s="4" t="s">
        <v>22</v>
      </c>
      <c r="F13631" s="4" t="s">
        <v>68808</v>
      </c>
      <c r="G13631" s="4" t="s">
        <v>68809</v>
      </c>
      <c r="H13631" s="3" t="s">
        <v>67992</v>
      </c>
      <c r="I13631" s="3" t="s">
        <v>68810</v>
      </c>
      <c r="J13631" s="3" t="s">
        <v>466</v>
      </c>
      <c r="K13631" s="3" t="s">
        <v>68811</v>
      </c>
      <c r="L13631" s="3"/>
      <c r="M13631" s="4" t="s">
        <v>68812</v>
      </c>
      <c r="N13631" s="3" t="s">
        <v>37</v>
      </c>
      <c r="O13631" s="3" t="s">
        <v>46</v>
      </c>
      <c r="P13631" s="5">
        <v>5</v>
      </c>
      <c r="Q13631" s="5">
        <v>43</v>
      </c>
      <c r="R13631" s="5">
        <v>6</v>
      </c>
      <c r="S13631" s="5">
        <v>43</v>
      </c>
    </row>
    <row r="13632" spans="1:19" ht="28" x14ac:dyDescent="0.15">
      <c r="A13632" s="2">
        <f>HYPERLINK("https://open-school.uspishnemisto.com.ua/school/650168/", 650168)</f>
        <v>650168</v>
      </c>
      <c r="B13632" s="3" t="s">
        <v>68813</v>
      </c>
      <c r="C13632" s="3" t="s">
        <v>31</v>
      </c>
      <c r="D13632" s="3" t="s">
        <v>175</v>
      </c>
      <c r="E13632" s="4" t="s">
        <v>22</v>
      </c>
      <c r="F13632" s="4" t="s">
        <v>68814</v>
      </c>
      <c r="G13632" s="4" t="s">
        <v>68815</v>
      </c>
      <c r="H13632" s="3" t="s">
        <v>67992</v>
      </c>
      <c r="I13632" s="3" t="s">
        <v>11880</v>
      </c>
      <c r="J13632" s="3" t="s">
        <v>24550</v>
      </c>
      <c r="K13632" s="3" t="s">
        <v>68816</v>
      </c>
      <c r="L13632" s="3"/>
      <c r="M13632" s="4" t="s">
        <v>68817</v>
      </c>
      <c r="N13632" s="3" t="s">
        <v>37</v>
      </c>
      <c r="O13632" s="3" t="s">
        <v>52</v>
      </c>
      <c r="P13632" s="5">
        <v>7</v>
      </c>
      <c r="Q13632" s="5">
        <v>48</v>
      </c>
      <c r="R13632" s="5">
        <v>9</v>
      </c>
      <c r="S13632" s="5">
        <v>56</v>
      </c>
    </row>
    <row r="13633" spans="1:19" ht="28" x14ac:dyDescent="0.15">
      <c r="A13633" s="2">
        <f>HYPERLINK("https://open-school.uspishnemisto.com.ua/school/650169/", 650169)</f>
        <v>650169</v>
      </c>
      <c r="B13633" s="3" t="s">
        <v>68818</v>
      </c>
      <c r="C13633" s="3" t="s">
        <v>31</v>
      </c>
      <c r="D13633" s="3" t="s">
        <v>32</v>
      </c>
      <c r="E13633" s="4" t="s">
        <v>22</v>
      </c>
      <c r="F13633" s="4" t="s">
        <v>68819</v>
      </c>
      <c r="G13633" s="4" t="s">
        <v>68820</v>
      </c>
      <c r="H13633" s="3" t="s">
        <v>67992</v>
      </c>
      <c r="I13633" s="3" t="s">
        <v>5674</v>
      </c>
      <c r="J13633" s="3" t="s">
        <v>7930</v>
      </c>
      <c r="K13633" s="3" t="s">
        <v>68821</v>
      </c>
      <c r="L13633" s="3"/>
      <c r="M13633" s="4" t="s">
        <v>68822</v>
      </c>
      <c r="N13633" s="3" t="s">
        <v>37</v>
      </c>
      <c r="O13633" s="3" t="s">
        <v>52</v>
      </c>
      <c r="P13633" s="5">
        <v>11</v>
      </c>
      <c r="Q13633" s="5">
        <v>125</v>
      </c>
      <c r="R13633" s="5">
        <v>11</v>
      </c>
      <c r="S13633" s="5">
        <v>126</v>
      </c>
    </row>
    <row r="13634" spans="1:19" ht="28" x14ac:dyDescent="0.15">
      <c r="A13634" s="2">
        <f>HYPERLINK("https://open-school.uspishnemisto.com.ua/school/650170/", 650170)</f>
        <v>650170</v>
      </c>
      <c r="B13634" s="3" t="s">
        <v>68823</v>
      </c>
      <c r="C13634" s="3" t="s">
        <v>31</v>
      </c>
      <c r="D13634" s="3" t="s">
        <v>32</v>
      </c>
      <c r="E13634" s="4" t="s">
        <v>22</v>
      </c>
      <c r="F13634" s="4" t="s">
        <v>68824</v>
      </c>
      <c r="G13634" s="4" t="s">
        <v>68825</v>
      </c>
      <c r="H13634" s="3" t="s">
        <v>67992</v>
      </c>
      <c r="I13634" s="3" t="s">
        <v>68826</v>
      </c>
      <c r="J13634" s="3" t="s">
        <v>5971</v>
      </c>
      <c r="K13634" s="3" t="s">
        <v>68827</v>
      </c>
      <c r="L13634" s="3"/>
      <c r="M13634" s="4" t="s">
        <v>68828</v>
      </c>
      <c r="N13634" s="3" t="s">
        <v>37</v>
      </c>
      <c r="O13634" s="3" t="s">
        <v>52</v>
      </c>
      <c r="P13634" s="5">
        <v>11</v>
      </c>
      <c r="Q13634" s="5">
        <v>111</v>
      </c>
      <c r="R13634" s="5">
        <v>11</v>
      </c>
      <c r="S13634" s="5">
        <v>102</v>
      </c>
    </row>
    <row r="13635" spans="1:19" ht="28" x14ac:dyDescent="0.15">
      <c r="A13635" s="2">
        <f>HYPERLINK("https://open-school.uspishnemisto.com.ua/school/650171/", 650171)</f>
        <v>650171</v>
      </c>
      <c r="B13635" s="3" t="s">
        <v>68829</v>
      </c>
      <c r="C13635" s="3" t="s">
        <v>31</v>
      </c>
      <c r="D13635" s="3" t="s">
        <v>32</v>
      </c>
      <c r="E13635" s="4" t="s">
        <v>22</v>
      </c>
      <c r="F13635" s="4" t="s">
        <v>68830</v>
      </c>
      <c r="G13635" s="4" t="s">
        <v>68831</v>
      </c>
      <c r="H13635" s="3" t="s">
        <v>67992</v>
      </c>
      <c r="I13635" s="3" t="s">
        <v>35119</v>
      </c>
      <c r="J13635" s="3" t="s">
        <v>68832</v>
      </c>
      <c r="K13635" s="3" t="s">
        <v>68833</v>
      </c>
      <c r="L13635" s="3"/>
      <c r="M13635" s="4" t="s">
        <v>68834</v>
      </c>
      <c r="N13635" s="3" t="s">
        <v>37</v>
      </c>
      <c r="O13635" s="3" t="s">
        <v>52</v>
      </c>
      <c r="P13635" s="5">
        <v>9</v>
      </c>
      <c r="Q13635" s="5">
        <v>75</v>
      </c>
      <c r="R13635" s="5">
        <v>9</v>
      </c>
      <c r="S13635" s="5">
        <v>80</v>
      </c>
    </row>
    <row r="13636" spans="1:19" ht="28" x14ac:dyDescent="0.15">
      <c r="A13636" s="2">
        <f>HYPERLINK("https://open-school.uspishnemisto.com.ua/school/650172/", 650172)</f>
        <v>650172</v>
      </c>
      <c r="B13636" s="3" t="s">
        <v>68835</v>
      </c>
      <c r="C13636" s="3" t="s">
        <v>31</v>
      </c>
      <c r="D13636" s="3" t="s">
        <v>32</v>
      </c>
      <c r="E13636" s="4" t="s">
        <v>22</v>
      </c>
      <c r="F13636" s="4" t="s">
        <v>68836</v>
      </c>
      <c r="G13636" s="4" t="s">
        <v>68837</v>
      </c>
      <c r="H13636" s="3" t="s">
        <v>67992</v>
      </c>
      <c r="I13636" s="3" t="s">
        <v>12028</v>
      </c>
      <c r="J13636" s="3" t="s">
        <v>50560</v>
      </c>
      <c r="K13636" s="3" t="s">
        <v>68838</v>
      </c>
      <c r="L13636" s="3"/>
      <c r="M13636" s="4" t="s">
        <v>68839</v>
      </c>
      <c r="N13636" s="3" t="s">
        <v>37</v>
      </c>
      <c r="O13636" s="3" t="s">
        <v>52</v>
      </c>
      <c r="P13636" s="5">
        <v>11</v>
      </c>
      <c r="Q13636" s="5">
        <v>96</v>
      </c>
      <c r="R13636" s="5">
        <v>11</v>
      </c>
      <c r="S13636" s="5">
        <v>94</v>
      </c>
    </row>
    <row r="13637" spans="1:19" ht="42" x14ac:dyDescent="0.15">
      <c r="A13637" s="2">
        <f>HYPERLINK("https://open-school.uspishnemisto.com.ua/school/650173/", 650173)</f>
        <v>650173</v>
      </c>
      <c r="B13637" s="3" t="s">
        <v>68840</v>
      </c>
      <c r="C13637" s="3" t="s">
        <v>31</v>
      </c>
      <c r="D13637" s="3" t="s">
        <v>32</v>
      </c>
      <c r="E13637" s="4" t="s">
        <v>22</v>
      </c>
      <c r="F13637" s="4" t="s">
        <v>68841</v>
      </c>
      <c r="G13637" s="4" t="s">
        <v>68842</v>
      </c>
      <c r="H13637" s="3" t="s">
        <v>67992</v>
      </c>
      <c r="I13637" s="3" t="s">
        <v>68843</v>
      </c>
      <c r="J13637" s="3" t="s">
        <v>68844</v>
      </c>
      <c r="K13637" s="3" t="s">
        <v>68845</v>
      </c>
      <c r="L13637" s="3" t="s">
        <v>68846</v>
      </c>
      <c r="M13637" s="4"/>
      <c r="N13637" s="3" t="s">
        <v>37</v>
      </c>
      <c r="O13637" s="3" t="s">
        <v>70</v>
      </c>
      <c r="P13637" s="5">
        <v>24</v>
      </c>
      <c r="Q13637" s="5">
        <v>522</v>
      </c>
      <c r="R13637" s="5">
        <v>24</v>
      </c>
      <c r="S13637" s="5">
        <v>520</v>
      </c>
    </row>
    <row r="13638" spans="1:19" ht="42" x14ac:dyDescent="0.15">
      <c r="A13638" s="2">
        <f>HYPERLINK("https://open-school.uspishnemisto.com.ua/school/650174/", 650174)</f>
        <v>650174</v>
      </c>
      <c r="B13638" s="3" t="s">
        <v>68847</v>
      </c>
      <c r="C13638" s="3" t="s">
        <v>31</v>
      </c>
      <c r="D13638" s="3" t="s">
        <v>32</v>
      </c>
      <c r="E13638" s="4" t="s">
        <v>22</v>
      </c>
      <c r="F13638" s="4" t="s">
        <v>68848</v>
      </c>
      <c r="G13638" s="4" t="s">
        <v>68842</v>
      </c>
      <c r="H13638" s="3" t="s">
        <v>67992</v>
      </c>
      <c r="I13638" s="3" t="s">
        <v>68843</v>
      </c>
      <c r="J13638" s="3" t="s">
        <v>634</v>
      </c>
      <c r="K13638" s="3" t="s">
        <v>68849</v>
      </c>
      <c r="L13638" s="3" t="s">
        <v>68850</v>
      </c>
      <c r="M13638" s="4"/>
      <c r="N13638" s="3" t="s">
        <v>37</v>
      </c>
      <c r="O13638" s="3" t="s">
        <v>70</v>
      </c>
      <c r="P13638" s="5">
        <v>17</v>
      </c>
      <c r="Q13638" s="5">
        <v>324</v>
      </c>
      <c r="R13638" s="5">
        <v>18</v>
      </c>
      <c r="S13638" s="5">
        <v>330</v>
      </c>
    </row>
    <row r="13639" spans="1:19" ht="56" x14ac:dyDescent="0.15">
      <c r="A13639" s="2">
        <f>HYPERLINK("https://open-school.uspishnemisto.com.ua/school/650176/", 650176)</f>
        <v>650176</v>
      </c>
      <c r="B13639" s="3" t="s">
        <v>68851</v>
      </c>
      <c r="C13639" s="3" t="s">
        <v>54</v>
      </c>
      <c r="D13639" s="3" t="s">
        <v>175</v>
      </c>
      <c r="E13639" s="4" t="s">
        <v>22</v>
      </c>
      <c r="F13639" s="4" t="s">
        <v>68852</v>
      </c>
      <c r="G13639" s="4" t="s">
        <v>68853</v>
      </c>
      <c r="H13639" s="3" t="s">
        <v>67992</v>
      </c>
      <c r="I13639" s="3" t="s">
        <v>12592</v>
      </c>
      <c r="J13639" s="3" t="s">
        <v>2504</v>
      </c>
      <c r="K13639" s="3"/>
      <c r="L13639" s="3"/>
      <c r="M13639" s="4"/>
      <c r="N13639" s="3" t="s">
        <v>37</v>
      </c>
      <c r="O13639" s="3" t="s">
        <v>46</v>
      </c>
      <c r="P13639" s="5">
        <v>1</v>
      </c>
      <c r="Q13639" s="5">
        <v>33</v>
      </c>
      <c r="R13639" s="5">
        <v>2</v>
      </c>
      <c r="S13639" s="5">
        <v>37</v>
      </c>
    </row>
    <row r="13640" spans="1:19" ht="42" x14ac:dyDescent="0.15">
      <c r="A13640" s="2">
        <f>HYPERLINK("https://open-school.uspishnemisto.com.ua/school/650178/", 650178)</f>
        <v>650178</v>
      </c>
      <c r="B13640" s="3" t="s">
        <v>68854</v>
      </c>
      <c r="C13640" s="3" t="s">
        <v>31</v>
      </c>
      <c r="D13640" s="3" t="s">
        <v>32</v>
      </c>
      <c r="E13640" s="4" t="s">
        <v>22</v>
      </c>
      <c r="F13640" s="4" t="s">
        <v>68855</v>
      </c>
      <c r="G13640" s="4" t="s">
        <v>68856</v>
      </c>
      <c r="H13640" s="3" t="s">
        <v>67992</v>
      </c>
      <c r="I13640" s="3" t="s">
        <v>68857</v>
      </c>
      <c r="J13640" s="3" t="s">
        <v>68858</v>
      </c>
      <c r="K13640" s="3" t="s">
        <v>68859</v>
      </c>
      <c r="L13640" s="3" t="s">
        <v>68860</v>
      </c>
      <c r="M13640" s="4"/>
      <c r="N13640" s="3" t="s">
        <v>37</v>
      </c>
      <c r="O13640" s="3" t="s">
        <v>70</v>
      </c>
      <c r="P13640" s="5">
        <v>11</v>
      </c>
      <c r="Q13640" s="5">
        <v>156</v>
      </c>
      <c r="R13640" s="5">
        <v>11</v>
      </c>
      <c r="S13640" s="5">
        <v>168</v>
      </c>
    </row>
    <row r="13641" spans="1:19" ht="42" x14ac:dyDescent="0.15">
      <c r="A13641" s="2">
        <f>HYPERLINK("https://open-school.uspishnemisto.com.ua/school/650180/", 650180)</f>
        <v>650180</v>
      </c>
      <c r="B13641" s="3" t="s">
        <v>68861</v>
      </c>
      <c r="C13641" s="3" t="s">
        <v>31</v>
      </c>
      <c r="D13641" s="3" t="s">
        <v>32</v>
      </c>
      <c r="E13641" s="4" t="s">
        <v>22</v>
      </c>
      <c r="F13641" s="4" t="s">
        <v>68862</v>
      </c>
      <c r="G13641" s="4" t="s">
        <v>68863</v>
      </c>
      <c r="H13641" s="3" t="s">
        <v>67992</v>
      </c>
      <c r="I13641" s="3" t="s">
        <v>68864</v>
      </c>
      <c r="J13641" s="3" t="s">
        <v>466</v>
      </c>
      <c r="K13641" s="3" t="s">
        <v>68865</v>
      </c>
      <c r="L13641" s="3" t="s">
        <v>68866</v>
      </c>
      <c r="M13641" s="4"/>
      <c r="N13641" s="3" t="s">
        <v>37</v>
      </c>
      <c r="O13641" s="3" t="s">
        <v>721</v>
      </c>
      <c r="P13641" s="5">
        <v>11</v>
      </c>
      <c r="Q13641" s="5">
        <v>117</v>
      </c>
      <c r="R13641" s="5">
        <v>10</v>
      </c>
      <c r="S13641" s="5">
        <v>85</v>
      </c>
    </row>
    <row r="13642" spans="1:19" ht="56" x14ac:dyDescent="0.15">
      <c r="A13642" s="2">
        <f>HYPERLINK("https://open-school.uspishnemisto.com.ua/school/650181/", 650181)</f>
        <v>650181</v>
      </c>
      <c r="B13642" s="3" t="s">
        <v>68867</v>
      </c>
      <c r="C13642" s="3" t="s">
        <v>54</v>
      </c>
      <c r="D13642" s="3" t="s">
        <v>32</v>
      </c>
      <c r="E13642" s="4" t="s">
        <v>22</v>
      </c>
      <c r="F13642" s="4" t="s">
        <v>68868</v>
      </c>
      <c r="G13642" s="4" t="s">
        <v>68869</v>
      </c>
      <c r="H13642" s="3" t="s">
        <v>67992</v>
      </c>
      <c r="I13642" s="3" t="s">
        <v>1740</v>
      </c>
      <c r="J13642" s="3" t="s">
        <v>68870</v>
      </c>
      <c r="K13642" s="3" t="s">
        <v>68871</v>
      </c>
      <c r="L13642" s="3"/>
      <c r="M13642" s="4"/>
      <c r="N13642" s="3" t="s">
        <v>37</v>
      </c>
      <c r="O13642" s="3" t="s">
        <v>70</v>
      </c>
      <c r="P13642" s="5">
        <v>9</v>
      </c>
      <c r="Q13642" s="5">
        <v>94</v>
      </c>
      <c r="R13642" s="5">
        <v>9</v>
      </c>
      <c r="S13642" s="5">
        <v>70</v>
      </c>
    </row>
    <row r="13643" spans="1:19" ht="42" x14ac:dyDescent="0.15">
      <c r="A13643" s="2">
        <f>HYPERLINK("https://open-school.uspishnemisto.com.ua/school/650182/", 650182)</f>
        <v>650182</v>
      </c>
      <c r="B13643" s="3" t="s">
        <v>68872</v>
      </c>
      <c r="C13643" s="3" t="s">
        <v>31</v>
      </c>
      <c r="D13643" s="3" t="s">
        <v>32</v>
      </c>
      <c r="E13643" s="4" t="s">
        <v>22</v>
      </c>
      <c r="F13643" s="4" t="s">
        <v>68873</v>
      </c>
      <c r="G13643" s="4" t="s">
        <v>68874</v>
      </c>
      <c r="H13643" s="3" t="s">
        <v>67992</v>
      </c>
      <c r="I13643" s="3" t="s">
        <v>68875</v>
      </c>
      <c r="J13643" s="3" t="s">
        <v>8049</v>
      </c>
      <c r="K13643" s="3" t="s">
        <v>68876</v>
      </c>
      <c r="L13643" s="3"/>
      <c r="M13643" s="4"/>
      <c r="N13643" s="3" t="s">
        <v>128</v>
      </c>
      <c r="O13643" s="3" t="s">
        <v>70</v>
      </c>
      <c r="P13643" s="5">
        <v>22</v>
      </c>
      <c r="Q13643" s="5">
        <v>305</v>
      </c>
      <c r="R13643" s="5">
        <v>11</v>
      </c>
      <c r="S13643" s="5">
        <v>215</v>
      </c>
    </row>
    <row r="13644" spans="1:19" ht="84" x14ac:dyDescent="0.15">
      <c r="A13644" s="2">
        <f>HYPERLINK("https://open-school.uspishnemisto.com.ua/school/650183/", 650183)</f>
        <v>650183</v>
      </c>
      <c r="B13644" s="3" t="s">
        <v>68877</v>
      </c>
      <c r="C13644" s="3" t="s">
        <v>31</v>
      </c>
      <c r="D13644" s="3"/>
      <c r="E13644" s="4" t="s">
        <v>22</v>
      </c>
      <c r="F13644" s="4" t="s">
        <v>68878</v>
      </c>
      <c r="G13644" s="4" t="s">
        <v>68874</v>
      </c>
      <c r="H13644" s="3" t="s">
        <v>67992</v>
      </c>
      <c r="I13644" s="3" t="s">
        <v>68875</v>
      </c>
      <c r="J13644" s="3" t="s">
        <v>68879</v>
      </c>
      <c r="K13644" s="3" t="s">
        <v>68880</v>
      </c>
      <c r="L13644" s="3"/>
      <c r="M13644" s="4"/>
      <c r="N13644" s="3" t="s">
        <v>967</v>
      </c>
      <c r="O13644" s="3" t="s">
        <v>52</v>
      </c>
      <c r="P13644" s="5">
        <v>0</v>
      </c>
      <c r="Q13644" s="5">
        <v>0</v>
      </c>
      <c r="R13644" s="5">
        <v>11</v>
      </c>
      <c r="S13644" s="5">
        <v>90</v>
      </c>
    </row>
    <row r="13645" spans="1:19" ht="28" x14ac:dyDescent="0.15">
      <c r="A13645" s="2">
        <f>HYPERLINK("https://open-school.uspishnemisto.com.ua/school/650184/", 650184)</f>
        <v>650184</v>
      </c>
      <c r="B13645" s="3" t="s">
        <v>68881</v>
      </c>
      <c r="C13645" s="3" t="s">
        <v>31</v>
      </c>
      <c r="D13645" s="3" t="s">
        <v>32</v>
      </c>
      <c r="E13645" s="4" t="s">
        <v>22</v>
      </c>
      <c r="F13645" s="4" t="s">
        <v>68882</v>
      </c>
      <c r="G13645" s="4" t="s">
        <v>68883</v>
      </c>
      <c r="H13645" s="3" t="s">
        <v>67992</v>
      </c>
      <c r="I13645" s="3" t="s">
        <v>68884</v>
      </c>
      <c r="J13645" s="3" t="s">
        <v>68885</v>
      </c>
      <c r="K13645" s="3"/>
      <c r="L13645" s="3"/>
      <c r="M13645" s="4"/>
      <c r="N13645" s="3" t="s">
        <v>37</v>
      </c>
      <c r="O13645" s="3" t="s">
        <v>52</v>
      </c>
      <c r="P13645" s="5">
        <v>11</v>
      </c>
      <c r="Q13645" s="5">
        <v>158</v>
      </c>
      <c r="R13645" s="5">
        <v>11</v>
      </c>
      <c r="S13645" s="5">
        <v>158</v>
      </c>
    </row>
    <row r="13646" spans="1:19" ht="28" x14ac:dyDescent="0.15">
      <c r="A13646" s="2">
        <f>HYPERLINK("https://open-school.uspishnemisto.com.ua/school/650185/", 650185)</f>
        <v>650185</v>
      </c>
      <c r="B13646" s="3" t="s">
        <v>68886</v>
      </c>
      <c r="C13646" s="3" t="s">
        <v>31</v>
      </c>
      <c r="D13646" s="3" t="s">
        <v>32</v>
      </c>
      <c r="E13646" s="4" t="s">
        <v>22</v>
      </c>
      <c r="F13646" s="4" t="s">
        <v>68887</v>
      </c>
      <c r="G13646" s="4" t="s">
        <v>68883</v>
      </c>
      <c r="H13646" s="3" t="s">
        <v>67992</v>
      </c>
      <c r="I13646" s="3" t="s">
        <v>68884</v>
      </c>
      <c r="J13646" s="3" t="s">
        <v>5924</v>
      </c>
      <c r="K13646" s="3" t="s">
        <v>68888</v>
      </c>
      <c r="L13646" s="3"/>
      <c r="M13646" s="4"/>
      <c r="N13646" s="3" t="s">
        <v>37</v>
      </c>
      <c r="O13646" s="3" t="s">
        <v>52</v>
      </c>
      <c r="P13646" s="5">
        <v>20</v>
      </c>
      <c r="Q13646" s="5">
        <v>393</v>
      </c>
      <c r="R13646" s="5">
        <v>20</v>
      </c>
      <c r="S13646" s="5">
        <v>381</v>
      </c>
    </row>
    <row r="13647" spans="1:19" ht="28" x14ac:dyDescent="0.15">
      <c r="A13647" s="2">
        <f>HYPERLINK("https://open-school.uspishnemisto.com.ua/school/650186/", 650186)</f>
        <v>650186</v>
      </c>
      <c r="B13647" s="3" t="s">
        <v>68889</v>
      </c>
      <c r="C13647" s="3" t="s">
        <v>31</v>
      </c>
      <c r="D13647" s="3" t="s">
        <v>32</v>
      </c>
      <c r="E13647" s="4" t="s">
        <v>22</v>
      </c>
      <c r="F13647" s="4" t="s">
        <v>68890</v>
      </c>
      <c r="G13647" s="4" t="s">
        <v>68891</v>
      </c>
      <c r="H13647" s="3" t="s">
        <v>67992</v>
      </c>
      <c r="I13647" s="3" t="s">
        <v>688</v>
      </c>
      <c r="J13647" s="3" t="s">
        <v>68436</v>
      </c>
      <c r="K13647" s="3" t="s">
        <v>68892</v>
      </c>
      <c r="L13647" s="3"/>
      <c r="M13647" s="4"/>
      <c r="N13647" s="3" t="s">
        <v>37</v>
      </c>
      <c r="O13647" s="3" t="s">
        <v>52</v>
      </c>
      <c r="P13647" s="5">
        <v>11</v>
      </c>
      <c r="Q13647" s="5">
        <v>78</v>
      </c>
      <c r="R13647" s="5">
        <v>11</v>
      </c>
      <c r="S13647" s="5">
        <v>81</v>
      </c>
    </row>
    <row r="13648" spans="1:19" ht="28" x14ac:dyDescent="0.15">
      <c r="A13648" s="2">
        <f>HYPERLINK("https://open-school.uspishnemisto.com.ua/school/650187/", 650187)</f>
        <v>650187</v>
      </c>
      <c r="B13648" s="3" t="s">
        <v>68893</v>
      </c>
      <c r="C13648" s="3" t="s">
        <v>31</v>
      </c>
      <c r="D13648" s="3" t="s">
        <v>60</v>
      </c>
      <c r="E13648" s="4" t="s">
        <v>22</v>
      </c>
      <c r="F13648" s="4" t="s">
        <v>68894</v>
      </c>
      <c r="G13648" s="4" t="s">
        <v>68895</v>
      </c>
      <c r="H13648" s="3" t="s">
        <v>67992</v>
      </c>
      <c r="I13648" s="3" t="s">
        <v>5477</v>
      </c>
      <c r="J13648" s="3" t="s">
        <v>68896</v>
      </c>
      <c r="K13648" s="3" t="s">
        <v>68897</v>
      </c>
      <c r="L13648" s="3"/>
      <c r="M13648" s="4"/>
      <c r="N13648" s="3" t="s">
        <v>37</v>
      </c>
      <c r="O13648" s="3" t="s">
        <v>52</v>
      </c>
      <c r="P13648" s="5">
        <v>2</v>
      </c>
      <c r="Q13648" s="5">
        <v>21</v>
      </c>
      <c r="R13648" s="5">
        <v>1</v>
      </c>
      <c r="S13648" s="5">
        <v>15</v>
      </c>
    </row>
    <row r="13649" spans="1:19" ht="28" x14ac:dyDescent="0.15">
      <c r="A13649" s="2">
        <f>HYPERLINK("https://open-school.uspishnemisto.com.ua/school/650188/", 650188)</f>
        <v>650188</v>
      </c>
      <c r="B13649" s="3" t="s">
        <v>68898</v>
      </c>
      <c r="C13649" s="3" t="s">
        <v>31</v>
      </c>
      <c r="D13649" s="3" t="s">
        <v>32</v>
      </c>
      <c r="E13649" s="4" t="s">
        <v>22</v>
      </c>
      <c r="F13649" s="4" t="s">
        <v>68899</v>
      </c>
      <c r="G13649" s="4" t="s">
        <v>68900</v>
      </c>
      <c r="H13649" s="3" t="s">
        <v>67992</v>
      </c>
      <c r="I13649" s="3" t="s">
        <v>68901</v>
      </c>
      <c r="J13649" s="3" t="s">
        <v>68902</v>
      </c>
      <c r="K13649" s="3" t="s">
        <v>68903</v>
      </c>
      <c r="L13649" s="3" t="s">
        <v>68904</v>
      </c>
      <c r="M13649" s="4"/>
      <c r="N13649" s="3" t="s">
        <v>37</v>
      </c>
      <c r="O13649" s="3" t="s">
        <v>52</v>
      </c>
      <c r="P13649" s="5">
        <v>11</v>
      </c>
      <c r="Q13649" s="5">
        <v>142</v>
      </c>
      <c r="R13649" s="5">
        <v>11</v>
      </c>
      <c r="S13649" s="5">
        <v>142</v>
      </c>
    </row>
    <row r="13650" spans="1:19" ht="42" x14ac:dyDescent="0.15">
      <c r="A13650" s="2">
        <f>HYPERLINK("https://open-school.uspishnemisto.com.ua/school/650189/", 650189)</f>
        <v>650189</v>
      </c>
      <c r="B13650" s="3" t="s">
        <v>68905</v>
      </c>
      <c r="C13650" s="3" t="s">
        <v>31</v>
      </c>
      <c r="D13650" s="3" t="s">
        <v>32</v>
      </c>
      <c r="E13650" s="4" t="s">
        <v>22</v>
      </c>
      <c r="F13650" s="4" t="s">
        <v>68906</v>
      </c>
      <c r="G13650" s="4" t="s">
        <v>68907</v>
      </c>
      <c r="H13650" s="3" t="s">
        <v>67992</v>
      </c>
      <c r="I13650" s="3" t="s">
        <v>65570</v>
      </c>
      <c r="J13650" s="3" t="s">
        <v>68908</v>
      </c>
      <c r="K13650" s="3" t="s">
        <v>68909</v>
      </c>
      <c r="L13650" s="3"/>
      <c r="M13650" s="4"/>
      <c r="N13650" s="3" t="s">
        <v>37</v>
      </c>
      <c r="O13650" s="3" t="s">
        <v>52</v>
      </c>
      <c r="P13650" s="5">
        <v>8</v>
      </c>
      <c r="Q13650" s="5">
        <v>64</v>
      </c>
      <c r="R13650" s="5">
        <v>9</v>
      </c>
      <c r="S13650" s="5">
        <v>63</v>
      </c>
    </row>
    <row r="13651" spans="1:19" ht="28" x14ac:dyDescent="0.15">
      <c r="A13651" s="2">
        <f>HYPERLINK("https://open-school.uspishnemisto.com.ua/school/650190/", 650190)</f>
        <v>650190</v>
      </c>
      <c r="B13651" s="3" t="s">
        <v>68910</v>
      </c>
      <c r="C13651" s="3" t="s">
        <v>31</v>
      </c>
      <c r="D13651" s="3" t="s">
        <v>32</v>
      </c>
      <c r="E13651" s="4" t="s">
        <v>22</v>
      </c>
      <c r="F13651" s="4" t="s">
        <v>68911</v>
      </c>
      <c r="G13651" s="4" t="s">
        <v>68912</v>
      </c>
      <c r="H13651" s="3" t="s">
        <v>67992</v>
      </c>
      <c r="I13651" s="3" t="s">
        <v>68913</v>
      </c>
      <c r="J13651" s="3" t="s">
        <v>68914</v>
      </c>
      <c r="K13651" s="3" t="s">
        <v>68915</v>
      </c>
      <c r="L13651" s="3" t="s">
        <v>68916</v>
      </c>
      <c r="M13651" s="4"/>
      <c r="N13651" s="3" t="s">
        <v>37</v>
      </c>
      <c r="O13651" s="3" t="s">
        <v>2740</v>
      </c>
      <c r="P13651" s="5">
        <v>11</v>
      </c>
      <c r="Q13651" s="5">
        <v>81</v>
      </c>
      <c r="R13651" s="5">
        <v>11</v>
      </c>
      <c r="S13651" s="5">
        <v>84</v>
      </c>
    </row>
    <row r="13652" spans="1:19" ht="28" x14ac:dyDescent="0.15">
      <c r="A13652" s="2">
        <f>HYPERLINK("https://open-school.uspishnemisto.com.ua/school/650191/", 650191)</f>
        <v>650191</v>
      </c>
      <c r="B13652" s="3" t="s">
        <v>68917</v>
      </c>
      <c r="C13652" s="3" t="s">
        <v>293</v>
      </c>
      <c r="D13652" s="3" t="s">
        <v>32</v>
      </c>
      <c r="E13652" s="4" t="s">
        <v>22</v>
      </c>
      <c r="F13652" s="4" t="s">
        <v>68918</v>
      </c>
      <c r="G13652" s="4" t="s">
        <v>68919</v>
      </c>
      <c r="H13652" s="3" t="s">
        <v>67992</v>
      </c>
      <c r="I13652" s="3" t="s">
        <v>26667</v>
      </c>
      <c r="J13652" s="3" t="s">
        <v>4062</v>
      </c>
      <c r="K13652" s="3" t="s">
        <v>68920</v>
      </c>
      <c r="L13652" s="3" t="s">
        <v>68921</v>
      </c>
      <c r="M13652" s="4"/>
      <c r="N13652" s="3" t="s">
        <v>37</v>
      </c>
      <c r="O13652" s="3" t="s">
        <v>52</v>
      </c>
      <c r="P13652" s="5">
        <v>11</v>
      </c>
      <c r="Q13652" s="5">
        <v>83</v>
      </c>
      <c r="R13652" s="5">
        <v>11</v>
      </c>
      <c r="S13652" s="5">
        <v>85</v>
      </c>
    </row>
    <row r="13653" spans="1:19" ht="42" x14ac:dyDescent="0.15">
      <c r="A13653" s="2">
        <f>HYPERLINK("https://open-school.uspishnemisto.com.ua/school/650192/", 650192)</f>
        <v>650192</v>
      </c>
      <c r="B13653" s="3" t="s">
        <v>68922</v>
      </c>
      <c r="C13653" s="3" t="s">
        <v>4989</v>
      </c>
      <c r="D13653" s="3" t="s">
        <v>21</v>
      </c>
      <c r="E13653" s="4" t="s">
        <v>22</v>
      </c>
      <c r="F13653" s="4" t="s">
        <v>68923</v>
      </c>
      <c r="G13653" s="4" t="s">
        <v>68924</v>
      </c>
      <c r="H13653" s="3" t="s">
        <v>67992</v>
      </c>
      <c r="I13653" s="3" t="s">
        <v>14829</v>
      </c>
      <c r="J13653" s="3" t="s">
        <v>32317</v>
      </c>
      <c r="K13653" s="3" t="s">
        <v>68925</v>
      </c>
      <c r="L13653" s="3"/>
      <c r="M13653" s="4" t="s">
        <v>68926</v>
      </c>
      <c r="N13653" s="3" t="s">
        <v>37</v>
      </c>
      <c r="O13653" s="3" t="s">
        <v>46</v>
      </c>
      <c r="P13653" s="5">
        <v>10</v>
      </c>
      <c r="Q13653" s="5">
        <v>245</v>
      </c>
      <c r="R13653" s="5">
        <v>10</v>
      </c>
      <c r="S13653" s="5">
        <v>243</v>
      </c>
    </row>
    <row r="13654" spans="1:19" ht="42" x14ac:dyDescent="0.15">
      <c r="A13654" s="2">
        <f>HYPERLINK("https://open-school.uspishnemisto.com.ua/school/650193/", 650193)</f>
        <v>650193</v>
      </c>
      <c r="B13654" s="3" t="s">
        <v>68927</v>
      </c>
      <c r="C13654" s="3" t="s">
        <v>31</v>
      </c>
      <c r="D13654" s="3" t="s">
        <v>32</v>
      </c>
      <c r="E13654" s="4" t="s">
        <v>22</v>
      </c>
      <c r="F13654" s="4" t="s">
        <v>68923</v>
      </c>
      <c r="G13654" s="4" t="s">
        <v>68924</v>
      </c>
      <c r="H13654" s="3" t="s">
        <v>67992</v>
      </c>
      <c r="I13654" s="3" t="s">
        <v>14829</v>
      </c>
      <c r="J13654" s="3" t="s">
        <v>19901</v>
      </c>
      <c r="K13654" s="3" t="s">
        <v>68928</v>
      </c>
      <c r="L13654" s="3"/>
      <c r="M13654" s="4" t="s">
        <v>68929</v>
      </c>
      <c r="N13654" s="3" t="s">
        <v>37</v>
      </c>
      <c r="O13654" s="3" t="s">
        <v>46</v>
      </c>
      <c r="P13654" s="5">
        <v>19</v>
      </c>
      <c r="Q13654" s="5">
        <v>447</v>
      </c>
      <c r="R13654" s="5">
        <v>19</v>
      </c>
      <c r="S13654" s="5">
        <v>461</v>
      </c>
    </row>
    <row r="13655" spans="1:19" ht="56" x14ac:dyDescent="0.15">
      <c r="A13655" s="2">
        <f>HYPERLINK("https://open-school.uspishnemisto.com.ua/school/650194/", 650194)</f>
        <v>650194</v>
      </c>
      <c r="B13655" s="3" t="s">
        <v>68930</v>
      </c>
      <c r="C13655" s="3" t="s">
        <v>54</v>
      </c>
      <c r="D13655" s="3" t="s">
        <v>60</v>
      </c>
      <c r="E13655" s="4" t="s">
        <v>22</v>
      </c>
      <c r="F13655" s="4" t="s">
        <v>68931</v>
      </c>
      <c r="G13655" s="4" t="s">
        <v>68932</v>
      </c>
      <c r="H13655" s="3" t="s">
        <v>67992</v>
      </c>
      <c r="I13655" s="3" t="s">
        <v>68933</v>
      </c>
      <c r="J13655" s="3" t="s">
        <v>466</v>
      </c>
      <c r="K13655" s="3"/>
      <c r="L13655" s="3"/>
      <c r="M13655" s="4" t="s">
        <v>68934</v>
      </c>
      <c r="N13655" s="3" t="s">
        <v>37</v>
      </c>
      <c r="O13655" s="3" t="s">
        <v>52</v>
      </c>
      <c r="P13655" s="5">
        <v>2</v>
      </c>
      <c r="Q13655" s="5">
        <v>16</v>
      </c>
      <c r="R13655" s="5">
        <v>3</v>
      </c>
      <c r="S13655" s="5">
        <v>24</v>
      </c>
    </row>
    <row r="13656" spans="1:19" ht="42" x14ac:dyDescent="0.15">
      <c r="A13656" s="2">
        <f>HYPERLINK("https://open-school.uspishnemisto.com.ua/school/650195/", 650195)</f>
        <v>650195</v>
      </c>
      <c r="B13656" s="3" t="s">
        <v>68935</v>
      </c>
      <c r="C13656" s="3" t="s">
        <v>31</v>
      </c>
      <c r="D13656" s="3" t="s">
        <v>32</v>
      </c>
      <c r="E13656" s="4" t="s">
        <v>22</v>
      </c>
      <c r="F13656" s="4" t="s">
        <v>68936</v>
      </c>
      <c r="G13656" s="4" t="s">
        <v>68937</v>
      </c>
      <c r="H13656" s="3" t="s">
        <v>67992</v>
      </c>
      <c r="I13656" s="3" t="s">
        <v>68938</v>
      </c>
      <c r="J13656" s="3" t="s">
        <v>68939</v>
      </c>
      <c r="K13656" s="3" t="s">
        <v>68940</v>
      </c>
      <c r="L13656" s="3"/>
      <c r="M13656" s="4" t="s">
        <v>68941</v>
      </c>
      <c r="N13656" s="3" t="s">
        <v>37</v>
      </c>
      <c r="O13656" s="3" t="s">
        <v>70</v>
      </c>
      <c r="P13656" s="5">
        <v>11</v>
      </c>
      <c r="Q13656" s="5">
        <v>206</v>
      </c>
      <c r="R13656" s="5">
        <v>11</v>
      </c>
      <c r="S13656" s="5">
        <v>195</v>
      </c>
    </row>
    <row r="13657" spans="1:19" ht="28" x14ac:dyDescent="0.15">
      <c r="A13657" s="2">
        <f>HYPERLINK("https://open-school.uspishnemisto.com.ua/school/650196/", 650196)</f>
        <v>650196</v>
      </c>
      <c r="B13657" s="3" t="s">
        <v>68942</v>
      </c>
      <c r="C13657" s="3" t="s">
        <v>31</v>
      </c>
      <c r="D13657" s="3" t="s">
        <v>60</v>
      </c>
      <c r="E13657" s="4" t="s">
        <v>22</v>
      </c>
      <c r="F13657" s="4" t="s">
        <v>68943</v>
      </c>
      <c r="G13657" s="4" t="s">
        <v>68944</v>
      </c>
      <c r="H13657" s="3" t="s">
        <v>67992</v>
      </c>
      <c r="I13657" s="3" t="s">
        <v>3784</v>
      </c>
      <c r="J13657" s="3" t="s">
        <v>5606</v>
      </c>
      <c r="K13657" s="3"/>
      <c r="L13657" s="3"/>
      <c r="M13657" s="4"/>
      <c r="N13657" s="3" t="s">
        <v>37</v>
      </c>
      <c r="O13657" s="3" t="s">
        <v>52</v>
      </c>
      <c r="P13657" s="5">
        <v>1</v>
      </c>
      <c r="Q13657" s="5">
        <v>15</v>
      </c>
      <c r="R13657" s="5">
        <v>1</v>
      </c>
      <c r="S13657" s="5">
        <v>12</v>
      </c>
    </row>
    <row r="13658" spans="1:19" ht="42" x14ac:dyDescent="0.15">
      <c r="A13658" s="2">
        <f>HYPERLINK("https://open-school.uspishnemisto.com.ua/school/650197/", 650197)</f>
        <v>650197</v>
      </c>
      <c r="B13658" s="3" t="s">
        <v>68945</v>
      </c>
      <c r="C13658" s="3" t="s">
        <v>54</v>
      </c>
      <c r="D13658" s="3" t="s">
        <v>32</v>
      </c>
      <c r="E13658" s="4" t="s">
        <v>22</v>
      </c>
      <c r="F13658" s="4" t="s">
        <v>68946</v>
      </c>
      <c r="G13658" s="4" t="s">
        <v>68947</v>
      </c>
      <c r="H13658" s="3" t="s">
        <v>67992</v>
      </c>
      <c r="I13658" s="3" t="s">
        <v>883</v>
      </c>
      <c r="J13658" s="3" t="s">
        <v>68948</v>
      </c>
      <c r="K13658" s="3" t="s">
        <v>68949</v>
      </c>
      <c r="L13658" s="3"/>
      <c r="M13658" s="4" t="s">
        <v>68950</v>
      </c>
      <c r="N13658" s="3" t="s">
        <v>37</v>
      </c>
      <c r="O13658" s="3" t="s">
        <v>52</v>
      </c>
      <c r="P13658" s="5">
        <v>6</v>
      </c>
      <c r="Q13658" s="5">
        <v>61</v>
      </c>
      <c r="R13658" s="5">
        <v>7</v>
      </c>
      <c r="S13658" s="5">
        <v>70</v>
      </c>
    </row>
    <row r="13659" spans="1:19" ht="70" x14ac:dyDescent="0.15">
      <c r="A13659" s="2">
        <f>HYPERLINK("https://open-school.uspishnemisto.com.ua/school/650459/", 650459)</f>
        <v>650459</v>
      </c>
      <c r="B13659" s="3" t="s">
        <v>68951</v>
      </c>
      <c r="C13659" s="3" t="s">
        <v>31</v>
      </c>
      <c r="D13659" s="3" t="s">
        <v>32</v>
      </c>
      <c r="E13659" s="4" t="s">
        <v>22</v>
      </c>
      <c r="F13659" s="4" t="s">
        <v>68952</v>
      </c>
      <c r="G13659" s="4" t="s">
        <v>68953</v>
      </c>
      <c r="H13659" s="3" t="s">
        <v>67992</v>
      </c>
      <c r="I13659" s="3" t="s">
        <v>54203</v>
      </c>
      <c r="J13659" s="3" t="s">
        <v>68954</v>
      </c>
      <c r="K13659" s="3" t="s">
        <v>68955</v>
      </c>
      <c r="L13659" s="3"/>
      <c r="M13659" s="4"/>
      <c r="N13659" s="3"/>
      <c r="O13659" s="3"/>
      <c r="P13659" s="5">
        <v>0</v>
      </c>
      <c r="Q13659" s="5">
        <v>0</v>
      </c>
      <c r="R13659" s="5"/>
      <c r="S13659" s="5"/>
    </row>
    <row r="13660" spans="1:19" ht="56" x14ac:dyDescent="0.15">
      <c r="A13660" s="2">
        <f>HYPERLINK("https://open-school.uspishnemisto.com.ua/school/650198/", 650198)</f>
        <v>650198</v>
      </c>
      <c r="B13660" s="3" t="s">
        <v>68956</v>
      </c>
      <c r="C13660" s="3" t="s">
        <v>54</v>
      </c>
      <c r="D13660" s="3" t="s">
        <v>175</v>
      </c>
      <c r="E13660" s="4" t="s">
        <v>22</v>
      </c>
      <c r="F13660" s="4" t="s">
        <v>68957</v>
      </c>
      <c r="G13660" s="4" t="s">
        <v>68958</v>
      </c>
      <c r="H13660" s="3" t="s">
        <v>67992</v>
      </c>
      <c r="I13660" s="3" t="s">
        <v>68959</v>
      </c>
      <c r="J13660" s="3" t="s">
        <v>3173</v>
      </c>
      <c r="K13660" s="3"/>
      <c r="L13660" s="3"/>
      <c r="M13660" s="4" t="s">
        <v>68960</v>
      </c>
      <c r="N13660" s="3" t="s">
        <v>37</v>
      </c>
      <c r="O13660" s="3" t="s">
        <v>38</v>
      </c>
      <c r="P13660" s="5">
        <v>4</v>
      </c>
      <c r="Q13660" s="5">
        <v>46</v>
      </c>
      <c r="R13660" s="5">
        <v>5</v>
      </c>
      <c r="S13660" s="5">
        <v>47</v>
      </c>
    </row>
    <row r="13661" spans="1:19" ht="56" x14ac:dyDescent="0.15">
      <c r="A13661" s="2">
        <f>HYPERLINK("https://open-school.uspishnemisto.com.ua/school/650199/", 650199)</f>
        <v>650199</v>
      </c>
      <c r="B13661" s="3" t="s">
        <v>68961</v>
      </c>
      <c r="C13661" s="3" t="s">
        <v>54</v>
      </c>
      <c r="D13661" s="3" t="s">
        <v>175</v>
      </c>
      <c r="E13661" s="4" t="s">
        <v>22</v>
      </c>
      <c r="F13661" s="4" t="s">
        <v>68962</v>
      </c>
      <c r="G13661" s="4" t="s">
        <v>68963</v>
      </c>
      <c r="H13661" s="3" t="s">
        <v>67992</v>
      </c>
      <c r="I13661" s="3" t="s">
        <v>68964</v>
      </c>
      <c r="J13661" s="3" t="s">
        <v>31719</v>
      </c>
      <c r="K13661" s="3" t="s">
        <v>68965</v>
      </c>
      <c r="L13661" s="3"/>
      <c r="M13661" s="4" t="s">
        <v>68966</v>
      </c>
      <c r="N13661" s="3" t="s">
        <v>37</v>
      </c>
      <c r="O13661" s="3" t="s">
        <v>38</v>
      </c>
      <c r="P13661" s="5">
        <v>8</v>
      </c>
      <c r="Q13661" s="5">
        <v>53</v>
      </c>
      <c r="R13661" s="5">
        <v>7</v>
      </c>
      <c r="S13661" s="5">
        <v>52</v>
      </c>
    </row>
    <row r="13662" spans="1:19" ht="28" x14ac:dyDescent="0.15">
      <c r="A13662" s="2">
        <f>HYPERLINK("https://open-school.uspishnemisto.com.ua/school/650200/", 650200)</f>
        <v>650200</v>
      </c>
      <c r="B13662" s="3" t="s">
        <v>68967</v>
      </c>
      <c r="C13662" s="3" t="s">
        <v>54</v>
      </c>
      <c r="D13662" s="3" t="s">
        <v>175</v>
      </c>
      <c r="E13662" s="4" t="s">
        <v>22</v>
      </c>
      <c r="F13662" s="4" t="s">
        <v>68968</v>
      </c>
      <c r="G13662" s="4" t="s">
        <v>68969</v>
      </c>
      <c r="H13662" s="3" t="s">
        <v>67992</v>
      </c>
      <c r="I13662" s="3" t="s">
        <v>11119</v>
      </c>
      <c r="J13662" s="3" t="s">
        <v>3173</v>
      </c>
      <c r="K13662" s="3" t="s">
        <v>68970</v>
      </c>
      <c r="L13662" s="3"/>
      <c r="M13662" s="4" t="s">
        <v>68971</v>
      </c>
      <c r="N13662" s="3" t="s">
        <v>37</v>
      </c>
      <c r="O13662" s="3" t="s">
        <v>52</v>
      </c>
      <c r="P13662" s="5">
        <v>8</v>
      </c>
      <c r="Q13662" s="5">
        <v>67</v>
      </c>
      <c r="R13662" s="5">
        <v>8</v>
      </c>
      <c r="S13662" s="5">
        <v>67</v>
      </c>
    </row>
    <row r="13663" spans="1:19" ht="42" x14ac:dyDescent="0.15">
      <c r="A13663" s="2">
        <f>HYPERLINK("https://open-school.uspishnemisto.com.ua/school/650201/", 650201)</f>
        <v>650201</v>
      </c>
      <c r="B13663" s="3" t="s">
        <v>68972</v>
      </c>
      <c r="C13663" s="3" t="s">
        <v>54</v>
      </c>
      <c r="D13663" s="3" t="s">
        <v>175</v>
      </c>
      <c r="E13663" s="4" t="s">
        <v>22</v>
      </c>
      <c r="F13663" s="4" t="s">
        <v>68973</v>
      </c>
      <c r="G13663" s="4" t="s">
        <v>68974</v>
      </c>
      <c r="H13663" s="3" t="s">
        <v>67992</v>
      </c>
      <c r="I13663" s="3" t="s">
        <v>11724</v>
      </c>
      <c r="J13663" s="3" t="s">
        <v>68975</v>
      </c>
      <c r="K13663" s="3" t="s">
        <v>68976</v>
      </c>
      <c r="L13663" s="3"/>
      <c r="M13663" s="4" t="s">
        <v>68977</v>
      </c>
      <c r="N13663" s="3" t="s">
        <v>37</v>
      </c>
      <c r="O13663" s="3" t="s">
        <v>46</v>
      </c>
      <c r="P13663" s="5">
        <v>7</v>
      </c>
      <c r="Q13663" s="5">
        <v>47</v>
      </c>
      <c r="R13663" s="5">
        <v>6</v>
      </c>
      <c r="S13663" s="5">
        <v>49</v>
      </c>
    </row>
    <row r="13664" spans="1:19" ht="70" x14ac:dyDescent="0.15">
      <c r="A13664" s="2">
        <f>HYPERLINK("https://open-school.uspishnemisto.com.ua/school/650202/", 650202)</f>
        <v>650202</v>
      </c>
      <c r="B13664" s="3" t="s">
        <v>68978</v>
      </c>
      <c r="C13664" s="3" t="s">
        <v>54</v>
      </c>
      <c r="D13664" s="3" t="s">
        <v>32</v>
      </c>
      <c r="E13664" s="4" t="s">
        <v>22</v>
      </c>
      <c r="F13664" s="4" t="s">
        <v>68979</v>
      </c>
      <c r="G13664" s="4" t="s">
        <v>68980</v>
      </c>
      <c r="H13664" s="3" t="s">
        <v>67992</v>
      </c>
      <c r="I13664" s="3" t="s">
        <v>25842</v>
      </c>
      <c r="J13664" s="3" t="s">
        <v>68981</v>
      </c>
      <c r="K13664" s="3" t="s">
        <v>68982</v>
      </c>
      <c r="L13664" s="3"/>
      <c r="M13664" s="4" t="s">
        <v>68983</v>
      </c>
      <c r="N13664" s="3" t="s">
        <v>37</v>
      </c>
      <c r="O13664" s="3" t="s">
        <v>70</v>
      </c>
      <c r="P13664" s="5">
        <v>20</v>
      </c>
      <c r="Q13664" s="5">
        <v>216</v>
      </c>
      <c r="R13664" s="5">
        <v>27</v>
      </c>
      <c r="S13664" s="5">
        <v>226</v>
      </c>
    </row>
    <row r="13665" spans="1:19" ht="28" x14ac:dyDescent="0.15">
      <c r="A13665" s="2">
        <f>HYPERLINK("https://open-school.uspishnemisto.com.ua/school/650203/", 650203)</f>
        <v>650203</v>
      </c>
      <c r="B13665" s="3" t="s">
        <v>68984</v>
      </c>
      <c r="C13665" s="3" t="s">
        <v>20</v>
      </c>
      <c r="D13665" s="3" t="s">
        <v>21</v>
      </c>
      <c r="E13665" s="4" t="s">
        <v>22</v>
      </c>
      <c r="F13665" s="4" t="s">
        <v>68985</v>
      </c>
      <c r="G13665" s="4" t="s">
        <v>68986</v>
      </c>
      <c r="H13665" s="3" t="s">
        <v>67992</v>
      </c>
      <c r="I13665" s="3" t="s">
        <v>68987</v>
      </c>
      <c r="J13665" s="3" t="s">
        <v>68988</v>
      </c>
      <c r="K13665" s="3" t="s">
        <v>68989</v>
      </c>
      <c r="L13665" s="3"/>
      <c r="M13665" s="4"/>
      <c r="N13665" s="3"/>
      <c r="O13665" s="3"/>
      <c r="P13665" s="5">
        <v>0</v>
      </c>
      <c r="Q13665" s="5">
        <v>0</v>
      </c>
      <c r="R13665" s="5"/>
      <c r="S13665" s="5"/>
    </row>
    <row r="13666" spans="1:19" ht="28" x14ac:dyDescent="0.15">
      <c r="A13666" s="2">
        <f>HYPERLINK("https://open-school.uspishnemisto.com.ua/school/650204/", 650204)</f>
        <v>650204</v>
      </c>
      <c r="B13666" s="3" t="s">
        <v>68990</v>
      </c>
      <c r="C13666" s="3" t="s">
        <v>31</v>
      </c>
      <c r="D13666" s="3" t="s">
        <v>32</v>
      </c>
      <c r="E13666" s="4" t="s">
        <v>22</v>
      </c>
      <c r="F13666" s="4" t="s">
        <v>68985</v>
      </c>
      <c r="G13666" s="4" t="s">
        <v>68986</v>
      </c>
      <c r="H13666" s="3" t="s">
        <v>67992</v>
      </c>
      <c r="I13666" s="3" t="s">
        <v>68987</v>
      </c>
      <c r="J13666" s="3" t="s">
        <v>68991</v>
      </c>
      <c r="K13666" s="3" t="s">
        <v>68992</v>
      </c>
      <c r="L13666" s="3" t="s">
        <v>68993</v>
      </c>
      <c r="M13666" s="4"/>
      <c r="N13666" s="3" t="s">
        <v>128</v>
      </c>
      <c r="O13666" s="3" t="s">
        <v>70</v>
      </c>
      <c r="P13666" s="5">
        <v>22</v>
      </c>
      <c r="Q13666" s="5">
        <v>516</v>
      </c>
      <c r="R13666" s="5">
        <v>22</v>
      </c>
      <c r="S13666" s="5">
        <v>495</v>
      </c>
    </row>
    <row r="13667" spans="1:19" ht="28" x14ac:dyDescent="0.15">
      <c r="A13667" s="2">
        <f>HYPERLINK("https://open-school.uspishnemisto.com.ua/school/650205/", 650205)</f>
        <v>650205</v>
      </c>
      <c r="B13667" s="3" t="s">
        <v>68994</v>
      </c>
      <c r="C13667" s="3" t="s">
        <v>31</v>
      </c>
      <c r="D13667" s="3" t="s">
        <v>32</v>
      </c>
      <c r="E13667" s="4" t="s">
        <v>22</v>
      </c>
      <c r="F13667" s="4" t="s">
        <v>68985</v>
      </c>
      <c r="G13667" s="4" t="s">
        <v>68986</v>
      </c>
      <c r="H13667" s="3" t="s">
        <v>67992</v>
      </c>
      <c r="I13667" s="3" t="s">
        <v>68987</v>
      </c>
      <c r="J13667" s="3" t="s">
        <v>68995</v>
      </c>
      <c r="K13667" s="3" t="s">
        <v>68996</v>
      </c>
      <c r="L13667" s="3" t="s">
        <v>68997</v>
      </c>
      <c r="M13667" s="4"/>
      <c r="N13667" s="3" t="s">
        <v>37</v>
      </c>
      <c r="O13667" s="3" t="s">
        <v>70</v>
      </c>
      <c r="P13667" s="5">
        <v>14</v>
      </c>
      <c r="Q13667" s="5">
        <v>319</v>
      </c>
      <c r="R13667" s="5">
        <v>13</v>
      </c>
      <c r="S13667" s="5">
        <v>303</v>
      </c>
    </row>
    <row r="13668" spans="1:19" ht="28" x14ac:dyDescent="0.15">
      <c r="A13668" s="2">
        <f>HYPERLINK("https://open-school.uspishnemisto.com.ua/school/650206/", 650206)</f>
        <v>650206</v>
      </c>
      <c r="B13668" s="3" t="s">
        <v>68998</v>
      </c>
      <c r="C13668" s="3" t="s">
        <v>2634</v>
      </c>
      <c r="D13668" s="3" t="s">
        <v>32</v>
      </c>
      <c r="E13668" s="4" t="s">
        <v>22</v>
      </c>
      <c r="F13668" s="4" t="s">
        <v>68985</v>
      </c>
      <c r="G13668" s="4" t="s">
        <v>68986</v>
      </c>
      <c r="H13668" s="3" t="s">
        <v>67992</v>
      </c>
      <c r="I13668" s="3" t="s">
        <v>68987</v>
      </c>
      <c r="J13668" s="3" t="s">
        <v>68999</v>
      </c>
      <c r="K13668" s="3" t="s">
        <v>69000</v>
      </c>
      <c r="L13668" s="3"/>
      <c r="M13668" s="4" t="s">
        <v>69001</v>
      </c>
      <c r="N13668" s="3" t="s">
        <v>37</v>
      </c>
      <c r="O13668" s="3" t="s">
        <v>52</v>
      </c>
      <c r="P13668" s="5">
        <v>11</v>
      </c>
      <c r="Q13668" s="5">
        <v>252</v>
      </c>
      <c r="R13668" s="5">
        <v>11</v>
      </c>
      <c r="S13668" s="5">
        <v>261</v>
      </c>
    </row>
    <row r="13669" spans="1:19" ht="42" x14ac:dyDescent="0.15">
      <c r="A13669" s="2">
        <f>HYPERLINK("https://open-school.uspishnemisto.com.ua/school/650207/", 650207)</f>
        <v>650207</v>
      </c>
      <c r="B13669" s="3" t="s">
        <v>69002</v>
      </c>
      <c r="C13669" s="3" t="s">
        <v>54</v>
      </c>
      <c r="D13669" s="3" t="s">
        <v>32</v>
      </c>
      <c r="E13669" s="4" t="s">
        <v>22</v>
      </c>
      <c r="F13669" s="4" t="s">
        <v>68985</v>
      </c>
      <c r="G13669" s="4" t="s">
        <v>68986</v>
      </c>
      <c r="H13669" s="3" t="s">
        <v>67992</v>
      </c>
      <c r="I13669" s="3" t="s">
        <v>68987</v>
      </c>
      <c r="J13669" s="3" t="s">
        <v>69003</v>
      </c>
      <c r="K13669" s="3" t="s">
        <v>69004</v>
      </c>
      <c r="L13669" s="3"/>
      <c r="M13669" s="4"/>
      <c r="N13669" s="3" t="s">
        <v>128</v>
      </c>
      <c r="O13669" s="3" t="s">
        <v>70</v>
      </c>
      <c r="P13669" s="5">
        <v>30</v>
      </c>
      <c r="Q13669" s="5">
        <v>732</v>
      </c>
      <c r="R13669" s="5">
        <v>29</v>
      </c>
      <c r="S13669" s="5">
        <v>703</v>
      </c>
    </row>
    <row r="13670" spans="1:19" ht="42" x14ac:dyDescent="0.15">
      <c r="A13670" s="2">
        <f>HYPERLINK("https://open-school.uspishnemisto.com.ua/school/650208/", 650208)</f>
        <v>650208</v>
      </c>
      <c r="B13670" s="3" t="s">
        <v>69005</v>
      </c>
      <c r="C13670" s="3" t="s">
        <v>40</v>
      </c>
      <c r="D13670" s="3" t="s">
        <v>32</v>
      </c>
      <c r="E13670" s="4" t="s">
        <v>22</v>
      </c>
      <c r="F13670" s="4" t="s">
        <v>68985</v>
      </c>
      <c r="G13670" s="4" t="s">
        <v>68986</v>
      </c>
      <c r="H13670" s="3" t="s">
        <v>67992</v>
      </c>
      <c r="I13670" s="3" t="s">
        <v>68987</v>
      </c>
      <c r="J13670" s="3" t="s">
        <v>69006</v>
      </c>
      <c r="K13670" s="3" t="s">
        <v>69007</v>
      </c>
      <c r="L13670" s="3"/>
      <c r="M13670" s="4"/>
      <c r="N13670" s="3" t="s">
        <v>37</v>
      </c>
      <c r="O13670" s="3" t="s">
        <v>70</v>
      </c>
      <c r="P13670" s="5">
        <v>22</v>
      </c>
      <c r="Q13670" s="5">
        <v>496</v>
      </c>
      <c r="R13670" s="5">
        <v>21</v>
      </c>
      <c r="S13670" s="5">
        <v>479</v>
      </c>
    </row>
    <row r="13671" spans="1:19" ht="28" x14ac:dyDescent="0.15">
      <c r="A13671" s="2">
        <f>HYPERLINK("https://open-school.uspishnemisto.com.ua/school/650209/", 650209)</f>
        <v>650209</v>
      </c>
      <c r="B13671" s="3" t="s">
        <v>69008</v>
      </c>
      <c r="C13671" s="3" t="s">
        <v>31</v>
      </c>
      <c r="D13671" s="3" t="s">
        <v>32</v>
      </c>
      <c r="E13671" s="4" t="s">
        <v>22</v>
      </c>
      <c r="F13671" s="4" t="s">
        <v>69009</v>
      </c>
      <c r="G13671" s="4" t="s">
        <v>69010</v>
      </c>
      <c r="H13671" s="3" t="s">
        <v>67992</v>
      </c>
      <c r="I13671" s="3" t="s">
        <v>15360</v>
      </c>
      <c r="J13671" s="3" t="s">
        <v>52007</v>
      </c>
      <c r="K13671" s="3" t="s">
        <v>69011</v>
      </c>
      <c r="L13671" s="3" t="s">
        <v>69012</v>
      </c>
      <c r="M13671" s="4"/>
      <c r="N13671" s="3" t="s">
        <v>69013</v>
      </c>
      <c r="O13671" s="3" t="s">
        <v>69014</v>
      </c>
      <c r="P13671" s="5">
        <v>27</v>
      </c>
      <c r="Q13671" s="5">
        <v>596</v>
      </c>
      <c r="R13671" s="5">
        <v>25</v>
      </c>
      <c r="S13671" s="5">
        <v>569</v>
      </c>
    </row>
    <row r="13672" spans="1:19" ht="28" x14ac:dyDescent="0.15">
      <c r="A13672" s="2">
        <f>HYPERLINK("https://open-school.uspishnemisto.com.ua/school/650210/", 650210)</f>
        <v>650210</v>
      </c>
      <c r="B13672" s="3" t="s">
        <v>69015</v>
      </c>
      <c r="C13672" s="3" t="s">
        <v>31</v>
      </c>
      <c r="D13672" s="3" t="s">
        <v>32</v>
      </c>
      <c r="E13672" s="4" t="s">
        <v>22</v>
      </c>
      <c r="F13672" s="4" t="s">
        <v>69009</v>
      </c>
      <c r="G13672" s="4" t="s">
        <v>69010</v>
      </c>
      <c r="H13672" s="3" t="s">
        <v>67992</v>
      </c>
      <c r="I13672" s="3" t="s">
        <v>15360</v>
      </c>
      <c r="J13672" s="3" t="s">
        <v>69016</v>
      </c>
      <c r="K13672" s="3" t="s">
        <v>69017</v>
      </c>
      <c r="L13672" s="3" t="s">
        <v>69018</v>
      </c>
      <c r="M13672" s="4"/>
      <c r="N13672" s="3" t="s">
        <v>37</v>
      </c>
      <c r="O13672" s="3" t="s">
        <v>38</v>
      </c>
      <c r="P13672" s="5">
        <v>22</v>
      </c>
      <c r="Q13672" s="5">
        <v>473</v>
      </c>
      <c r="R13672" s="5">
        <v>20</v>
      </c>
      <c r="S13672" s="5">
        <v>453</v>
      </c>
    </row>
    <row r="13673" spans="1:19" ht="28" x14ac:dyDescent="0.15">
      <c r="A13673" s="2">
        <f>HYPERLINK("https://open-school.uspishnemisto.com.ua/school/650211/", 650211)</f>
        <v>650211</v>
      </c>
      <c r="B13673" s="3" t="s">
        <v>69019</v>
      </c>
      <c r="C13673" s="3" t="s">
        <v>31</v>
      </c>
      <c r="D13673" s="3" t="s">
        <v>32</v>
      </c>
      <c r="E13673" s="4" t="s">
        <v>22</v>
      </c>
      <c r="F13673" s="4" t="s">
        <v>69020</v>
      </c>
      <c r="G13673" s="4" t="s">
        <v>69021</v>
      </c>
      <c r="H13673" s="3" t="s">
        <v>67992</v>
      </c>
      <c r="I13673" s="3" t="s">
        <v>69022</v>
      </c>
      <c r="J13673" s="3" t="s">
        <v>69023</v>
      </c>
      <c r="K13673" s="3" t="s">
        <v>69024</v>
      </c>
      <c r="L13673" s="3" t="s">
        <v>69025</v>
      </c>
      <c r="M13673" s="4"/>
      <c r="N13673" s="3" t="s">
        <v>128</v>
      </c>
      <c r="O13673" s="3" t="s">
        <v>70</v>
      </c>
      <c r="P13673" s="5">
        <v>20</v>
      </c>
      <c r="Q13673" s="5">
        <v>417</v>
      </c>
      <c r="R13673" s="5">
        <v>20</v>
      </c>
      <c r="S13673" s="5">
        <v>403</v>
      </c>
    </row>
    <row r="13674" spans="1:19" ht="28" x14ac:dyDescent="0.15">
      <c r="A13674" s="2">
        <f>HYPERLINK("https://open-school.uspishnemisto.com.ua/school/650212/", 650212)</f>
        <v>650212</v>
      </c>
      <c r="B13674" s="3" t="s">
        <v>69026</v>
      </c>
      <c r="C13674" s="3" t="s">
        <v>31</v>
      </c>
      <c r="D13674" s="3" t="s">
        <v>32</v>
      </c>
      <c r="E13674" s="4" t="s">
        <v>22</v>
      </c>
      <c r="F13674" s="4" t="s">
        <v>69027</v>
      </c>
      <c r="G13674" s="4" t="s">
        <v>69028</v>
      </c>
      <c r="H13674" s="3" t="s">
        <v>67992</v>
      </c>
      <c r="I13674" s="3" t="s">
        <v>69029</v>
      </c>
      <c r="J13674" s="3" t="s">
        <v>1167</v>
      </c>
      <c r="K13674" s="3" t="s">
        <v>69030</v>
      </c>
      <c r="L13674" s="3" t="s">
        <v>69031</v>
      </c>
      <c r="M13674" s="4"/>
      <c r="N13674" s="3" t="s">
        <v>37</v>
      </c>
      <c r="O13674" s="3" t="s">
        <v>38</v>
      </c>
      <c r="P13674" s="5">
        <v>9</v>
      </c>
      <c r="Q13674" s="5">
        <v>90</v>
      </c>
      <c r="R13674" s="5">
        <v>10</v>
      </c>
      <c r="S13674" s="5">
        <v>98</v>
      </c>
    </row>
    <row r="13675" spans="1:19" ht="28" x14ac:dyDescent="0.15">
      <c r="A13675" s="2">
        <f>HYPERLINK("https://open-school.uspishnemisto.com.ua/school/650213/", 650213)</f>
        <v>650213</v>
      </c>
      <c r="B13675" s="3" t="s">
        <v>69032</v>
      </c>
      <c r="C13675" s="3" t="s">
        <v>31</v>
      </c>
      <c r="D13675" s="3" t="s">
        <v>32</v>
      </c>
      <c r="E13675" s="4" t="s">
        <v>22</v>
      </c>
      <c r="F13675" s="4" t="s">
        <v>69033</v>
      </c>
      <c r="G13675" s="4" t="s">
        <v>69034</v>
      </c>
      <c r="H13675" s="3" t="s">
        <v>67992</v>
      </c>
      <c r="I13675" s="3" t="s">
        <v>69035</v>
      </c>
      <c r="J13675" s="3" t="s">
        <v>2253</v>
      </c>
      <c r="K13675" s="3" t="s">
        <v>69036</v>
      </c>
      <c r="L13675" s="3" t="s">
        <v>69037</v>
      </c>
      <c r="M13675" s="4"/>
      <c r="N13675" s="3" t="s">
        <v>37</v>
      </c>
      <c r="O13675" s="3" t="s">
        <v>70</v>
      </c>
      <c r="P13675" s="5">
        <v>9</v>
      </c>
      <c r="Q13675" s="5">
        <v>73</v>
      </c>
      <c r="R13675" s="5">
        <v>9</v>
      </c>
      <c r="S13675" s="5">
        <v>67</v>
      </c>
    </row>
    <row r="13676" spans="1:19" ht="28" x14ac:dyDescent="0.15">
      <c r="A13676" s="2">
        <f>HYPERLINK("https://open-school.uspishnemisto.com.ua/school/650214/", 650214)</f>
        <v>650214</v>
      </c>
      <c r="B13676" s="3" t="s">
        <v>69038</v>
      </c>
      <c r="C13676" s="3" t="s">
        <v>31</v>
      </c>
      <c r="D13676" s="3" t="s">
        <v>32</v>
      </c>
      <c r="E13676" s="4" t="s">
        <v>22</v>
      </c>
      <c r="F13676" s="4" t="s">
        <v>69039</v>
      </c>
      <c r="G13676" s="4" t="s">
        <v>69040</v>
      </c>
      <c r="H13676" s="3" t="s">
        <v>67992</v>
      </c>
      <c r="I13676" s="3" t="s">
        <v>11056</v>
      </c>
      <c r="J13676" s="3" t="s">
        <v>58049</v>
      </c>
      <c r="K13676" s="3" t="s">
        <v>69041</v>
      </c>
      <c r="L13676" s="3"/>
      <c r="M13676" s="4"/>
      <c r="N13676" s="3" t="s">
        <v>128</v>
      </c>
      <c r="O13676" s="3" t="s">
        <v>70</v>
      </c>
      <c r="P13676" s="5">
        <v>11</v>
      </c>
      <c r="Q13676" s="5">
        <v>195</v>
      </c>
      <c r="R13676" s="5">
        <v>11</v>
      </c>
      <c r="S13676" s="5">
        <v>200</v>
      </c>
    </row>
    <row r="13677" spans="1:19" ht="28" x14ac:dyDescent="0.15">
      <c r="A13677" s="2">
        <f>HYPERLINK("https://open-school.uspishnemisto.com.ua/school/650215/", 650215)</f>
        <v>650215</v>
      </c>
      <c r="B13677" s="3" t="s">
        <v>69042</v>
      </c>
      <c r="C13677" s="3" t="s">
        <v>31</v>
      </c>
      <c r="D13677" s="3" t="s">
        <v>32</v>
      </c>
      <c r="E13677" s="4" t="s">
        <v>22</v>
      </c>
      <c r="F13677" s="4" t="s">
        <v>69043</v>
      </c>
      <c r="G13677" s="4" t="s">
        <v>69044</v>
      </c>
      <c r="H13677" s="3" t="s">
        <v>67992</v>
      </c>
      <c r="I13677" s="3" t="s">
        <v>15691</v>
      </c>
      <c r="J13677" s="3" t="s">
        <v>3363</v>
      </c>
      <c r="K13677" s="3" t="s">
        <v>69045</v>
      </c>
      <c r="L13677" s="3"/>
      <c r="M13677" s="4"/>
      <c r="N13677" s="3" t="s">
        <v>37</v>
      </c>
      <c r="O13677" s="3" t="s">
        <v>38</v>
      </c>
      <c r="P13677" s="5">
        <v>11</v>
      </c>
      <c r="Q13677" s="5">
        <v>126</v>
      </c>
      <c r="R13677" s="5">
        <v>11</v>
      </c>
      <c r="S13677" s="5">
        <v>127</v>
      </c>
    </row>
    <row r="13678" spans="1:19" ht="28" x14ac:dyDescent="0.15">
      <c r="A13678" s="2">
        <f>HYPERLINK("https://open-school.uspishnemisto.com.ua/school/650217/", 650217)</f>
        <v>650217</v>
      </c>
      <c r="B13678" s="3" t="s">
        <v>69046</v>
      </c>
      <c r="C13678" s="3" t="s">
        <v>31</v>
      </c>
      <c r="D13678" s="3" t="s">
        <v>32</v>
      </c>
      <c r="E13678" s="4" t="s">
        <v>22</v>
      </c>
      <c r="F13678" s="4" t="s">
        <v>69047</v>
      </c>
      <c r="G13678" s="4" t="s">
        <v>69048</v>
      </c>
      <c r="H13678" s="3" t="s">
        <v>67992</v>
      </c>
      <c r="I13678" s="3" t="s">
        <v>8368</v>
      </c>
      <c r="J13678" s="3" t="s">
        <v>69049</v>
      </c>
      <c r="K13678" s="3" t="s">
        <v>69050</v>
      </c>
      <c r="L13678" s="3" t="s">
        <v>69051</v>
      </c>
      <c r="M13678" s="4"/>
      <c r="N13678" s="3" t="s">
        <v>37</v>
      </c>
      <c r="O13678" s="3" t="s">
        <v>38</v>
      </c>
      <c r="P13678" s="5">
        <v>5</v>
      </c>
      <c r="Q13678" s="5">
        <v>42</v>
      </c>
      <c r="R13678" s="5">
        <v>6</v>
      </c>
      <c r="S13678" s="5">
        <v>43</v>
      </c>
    </row>
    <row r="13679" spans="1:19" ht="28" x14ac:dyDescent="0.15">
      <c r="A13679" s="2">
        <f>HYPERLINK("https://open-school.uspishnemisto.com.ua/school/650218/", 650218)</f>
        <v>650218</v>
      </c>
      <c r="B13679" s="3" t="s">
        <v>69052</v>
      </c>
      <c r="C13679" s="3" t="s">
        <v>31</v>
      </c>
      <c r="D13679" s="3" t="s">
        <v>32</v>
      </c>
      <c r="E13679" s="4" t="s">
        <v>22</v>
      </c>
      <c r="F13679" s="4" t="s">
        <v>69053</v>
      </c>
      <c r="G13679" s="4" t="s">
        <v>69054</v>
      </c>
      <c r="H13679" s="3" t="s">
        <v>67992</v>
      </c>
      <c r="I13679" s="3" t="s">
        <v>1587</v>
      </c>
      <c r="J13679" s="3" t="s">
        <v>69055</v>
      </c>
      <c r="K13679" s="3" t="s">
        <v>69056</v>
      </c>
      <c r="L13679" s="3"/>
      <c r="M13679" s="4"/>
      <c r="N13679" s="3" t="s">
        <v>37</v>
      </c>
      <c r="O13679" s="3" t="s">
        <v>38</v>
      </c>
      <c r="P13679" s="5">
        <v>9</v>
      </c>
      <c r="Q13679" s="5">
        <v>91</v>
      </c>
      <c r="R13679" s="5">
        <v>10</v>
      </c>
      <c r="S13679" s="5">
        <v>89</v>
      </c>
    </row>
    <row r="13680" spans="1:19" ht="28" x14ac:dyDescent="0.15">
      <c r="A13680" s="2">
        <f>HYPERLINK("https://open-school.uspishnemisto.com.ua/school/650219/", 650219)</f>
        <v>650219</v>
      </c>
      <c r="B13680" s="3" t="s">
        <v>69057</v>
      </c>
      <c r="C13680" s="3" t="s">
        <v>31</v>
      </c>
      <c r="D13680" s="3" t="s">
        <v>32</v>
      </c>
      <c r="E13680" s="4" t="s">
        <v>22</v>
      </c>
      <c r="F13680" s="4" t="s">
        <v>69058</v>
      </c>
      <c r="G13680" s="4" t="s">
        <v>69059</v>
      </c>
      <c r="H13680" s="3" t="s">
        <v>67992</v>
      </c>
      <c r="I13680" s="3" t="s">
        <v>12478</v>
      </c>
      <c r="J13680" s="3" t="s">
        <v>69060</v>
      </c>
      <c r="K13680" s="3" t="s">
        <v>69061</v>
      </c>
      <c r="L13680" s="3"/>
      <c r="M13680" s="4"/>
      <c r="N13680" s="3" t="s">
        <v>128</v>
      </c>
      <c r="O13680" s="3" t="s">
        <v>70</v>
      </c>
      <c r="P13680" s="5">
        <v>11</v>
      </c>
      <c r="Q13680" s="5">
        <v>160</v>
      </c>
      <c r="R13680" s="5">
        <v>11</v>
      </c>
      <c r="S13680" s="5">
        <v>156</v>
      </c>
    </row>
    <row r="13681" spans="1:19" ht="28" x14ac:dyDescent="0.15">
      <c r="A13681" s="2">
        <f>HYPERLINK("https://open-school.uspishnemisto.com.ua/school/650220/", 650220)</f>
        <v>650220</v>
      </c>
      <c r="B13681" s="3" t="s">
        <v>69062</v>
      </c>
      <c r="C13681" s="3" t="s">
        <v>31</v>
      </c>
      <c r="D13681" s="3" t="s">
        <v>32</v>
      </c>
      <c r="E13681" s="4" t="s">
        <v>22</v>
      </c>
      <c r="F13681" s="4" t="s">
        <v>69063</v>
      </c>
      <c r="G13681" s="4" t="s">
        <v>69064</v>
      </c>
      <c r="H13681" s="3" t="s">
        <v>67992</v>
      </c>
      <c r="I13681" s="3" t="s">
        <v>13072</v>
      </c>
      <c r="J13681" s="3" t="s">
        <v>69065</v>
      </c>
      <c r="K13681" s="3" t="s">
        <v>69066</v>
      </c>
      <c r="L13681" s="3" t="s">
        <v>69067</v>
      </c>
      <c r="M13681" s="4"/>
      <c r="N13681" s="3" t="s">
        <v>37</v>
      </c>
      <c r="O13681" s="3" t="s">
        <v>112</v>
      </c>
      <c r="P13681" s="5">
        <v>11</v>
      </c>
      <c r="Q13681" s="5">
        <v>94</v>
      </c>
      <c r="R13681" s="5">
        <v>11</v>
      </c>
      <c r="S13681" s="5">
        <v>83</v>
      </c>
    </row>
    <row r="13682" spans="1:19" ht="28" x14ac:dyDescent="0.15">
      <c r="A13682" s="2">
        <f>HYPERLINK("https://open-school.uspishnemisto.com.ua/school/650221/", 650221)</f>
        <v>650221</v>
      </c>
      <c r="B13682" s="3" t="s">
        <v>69068</v>
      </c>
      <c r="C13682" s="3" t="s">
        <v>31</v>
      </c>
      <c r="D13682" s="3" t="s">
        <v>32</v>
      </c>
      <c r="E13682" s="4" t="s">
        <v>22</v>
      </c>
      <c r="F13682" s="4" t="s">
        <v>69069</v>
      </c>
      <c r="G13682" s="4" t="s">
        <v>69070</v>
      </c>
      <c r="H13682" s="3" t="s">
        <v>67992</v>
      </c>
      <c r="I13682" s="3" t="s">
        <v>2744</v>
      </c>
      <c r="J13682" s="3" t="s">
        <v>17237</v>
      </c>
      <c r="K13682" s="3" t="s">
        <v>69071</v>
      </c>
      <c r="L13682" s="3" t="s">
        <v>69072</v>
      </c>
      <c r="M13682" s="4"/>
      <c r="N13682" s="3" t="s">
        <v>37</v>
      </c>
      <c r="O13682" s="3" t="s">
        <v>38</v>
      </c>
      <c r="P13682" s="5">
        <v>10</v>
      </c>
      <c r="Q13682" s="5">
        <v>167</v>
      </c>
      <c r="R13682" s="5">
        <v>11</v>
      </c>
      <c r="S13682" s="5">
        <v>157</v>
      </c>
    </row>
    <row r="13683" spans="1:19" ht="28" x14ac:dyDescent="0.15">
      <c r="A13683" s="2">
        <f>HYPERLINK("https://open-school.uspishnemisto.com.ua/school/650222/", 650222)</f>
        <v>650222</v>
      </c>
      <c r="B13683" s="3" t="s">
        <v>69073</v>
      </c>
      <c r="C13683" s="3" t="s">
        <v>31</v>
      </c>
      <c r="D13683" s="3" t="s">
        <v>32</v>
      </c>
      <c r="E13683" s="4" t="s">
        <v>22</v>
      </c>
      <c r="F13683" s="4" t="s">
        <v>69074</v>
      </c>
      <c r="G13683" s="4" t="s">
        <v>69075</v>
      </c>
      <c r="H13683" s="3" t="s">
        <v>67992</v>
      </c>
      <c r="I13683" s="3" t="s">
        <v>69076</v>
      </c>
      <c r="J13683" s="3" t="s">
        <v>2080</v>
      </c>
      <c r="K13683" s="3" t="s">
        <v>69077</v>
      </c>
      <c r="L13683" s="3" t="s">
        <v>69078</v>
      </c>
      <c r="M13683" s="4"/>
      <c r="N13683" s="3" t="s">
        <v>37</v>
      </c>
      <c r="O13683" s="3" t="s">
        <v>70</v>
      </c>
      <c r="P13683" s="5">
        <v>11</v>
      </c>
      <c r="Q13683" s="5">
        <v>115</v>
      </c>
      <c r="R13683" s="5">
        <v>11</v>
      </c>
      <c r="S13683" s="5">
        <v>112</v>
      </c>
    </row>
    <row r="13684" spans="1:19" ht="28" x14ac:dyDescent="0.15">
      <c r="A13684" s="2">
        <f>HYPERLINK("https://open-school.uspishnemisto.com.ua/school/650223/", 650223)</f>
        <v>650223</v>
      </c>
      <c r="B13684" s="3" t="s">
        <v>69079</v>
      </c>
      <c r="C13684" s="3" t="s">
        <v>31</v>
      </c>
      <c r="D13684" s="3" t="s">
        <v>32</v>
      </c>
      <c r="E13684" s="4" t="s">
        <v>22</v>
      </c>
      <c r="F13684" s="4" t="s">
        <v>69080</v>
      </c>
      <c r="G13684" s="4" t="s">
        <v>69081</v>
      </c>
      <c r="H13684" s="3" t="s">
        <v>67992</v>
      </c>
      <c r="I13684" s="3" t="s">
        <v>69082</v>
      </c>
      <c r="J13684" s="3" t="s">
        <v>17503</v>
      </c>
      <c r="K13684" s="3" t="s">
        <v>69083</v>
      </c>
      <c r="L13684" s="3" t="s">
        <v>69084</v>
      </c>
      <c r="M13684" s="4"/>
      <c r="N13684" s="3" t="s">
        <v>37</v>
      </c>
      <c r="O13684" s="3" t="s">
        <v>46</v>
      </c>
      <c r="P13684" s="5">
        <v>6</v>
      </c>
      <c r="Q13684" s="5">
        <v>53</v>
      </c>
      <c r="R13684" s="5">
        <v>7</v>
      </c>
      <c r="S13684" s="5">
        <v>55</v>
      </c>
    </row>
    <row r="13685" spans="1:19" ht="28" x14ac:dyDescent="0.15">
      <c r="A13685" s="2">
        <f>HYPERLINK("https://open-school.uspishnemisto.com.ua/school/650224/", 650224)</f>
        <v>650224</v>
      </c>
      <c r="B13685" s="3" t="s">
        <v>69085</v>
      </c>
      <c r="C13685" s="3" t="s">
        <v>31</v>
      </c>
      <c r="D13685" s="3" t="s">
        <v>32</v>
      </c>
      <c r="E13685" s="4" t="s">
        <v>22</v>
      </c>
      <c r="F13685" s="4" t="s">
        <v>69086</v>
      </c>
      <c r="G13685" s="4" t="s">
        <v>69087</v>
      </c>
      <c r="H13685" s="3" t="s">
        <v>67992</v>
      </c>
      <c r="I13685" s="3" t="s">
        <v>69088</v>
      </c>
      <c r="J13685" s="3" t="s">
        <v>8128</v>
      </c>
      <c r="K13685" s="3" t="s">
        <v>69089</v>
      </c>
      <c r="L13685" s="3"/>
      <c r="M13685" s="4"/>
      <c r="N13685" s="3" t="s">
        <v>128</v>
      </c>
      <c r="O13685" s="3" t="s">
        <v>70</v>
      </c>
      <c r="P13685" s="5">
        <v>10</v>
      </c>
      <c r="Q13685" s="5">
        <v>139</v>
      </c>
      <c r="R13685" s="5">
        <v>10</v>
      </c>
      <c r="S13685" s="5">
        <v>136</v>
      </c>
    </row>
    <row r="13686" spans="1:19" ht="28" x14ac:dyDescent="0.15">
      <c r="A13686" s="2">
        <f>HYPERLINK("https://open-school.uspishnemisto.com.ua/school/650225/", 650225)</f>
        <v>650225</v>
      </c>
      <c r="B13686" s="3" t="s">
        <v>69090</v>
      </c>
      <c r="C13686" s="3" t="s">
        <v>31</v>
      </c>
      <c r="D13686" s="3" t="s">
        <v>32</v>
      </c>
      <c r="E13686" s="4" t="s">
        <v>22</v>
      </c>
      <c r="F13686" s="4" t="s">
        <v>69091</v>
      </c>
      <c r="G13686" s="4" t="s">
        <v>69092</v>
      </c>
      <c r="H13686" s="3" t="s">
        <v>67992</v>
      </c>
      <c r="I13686" s="3" t="s">
        <v>69093</v>
      </c>
      <c r="J13686" s="3" t="s">
        <v>69094</v>
      </c>
      <c r="K13686" s="3" t="s">
        <v>69095</v>
      </c>
      <c r="L13686" s="3"/>
      <c r="M13686" s="4"/>
      <c r="N13686" s="3" t="s">
        <v>128</v>
      </c>
      <c r="O13686" s="3" t="s">
        <v>38</v>
      </c>
      <c r="P13686" s="5">
        <v>13</v>
      </c>
      <c r="Q13686" s="5">
        <v>207</v>
      </c>
      <c r="R13686" s="5">
        <v>11</v>
      </c>
      <c r="S13686" s="5">
        <v>199</v>
      </c>
    </row>
    <row r="13687" spans="1:19" ht="28" x14ac:dyDescent="0.15">
      <c r="A13687" s="2">
        <f>HYPERLINK("https://open-school.uspishnemisto.com.ua/school/650226/", 650226)</f>
        <v>650226</v>
      </c>
      <c r="B13687" s="3" t="s">
        <v>69096</v>
      </c>
      <c r="C13687" s="3" t="s">
        <v>31</v>
      </c>
      <c r="D13687" s="3" t="s">
        <v>32</v>
      </c>
      <c r="E13687" s="4" t="s">
        <v>22</v>
      </c>
      <c r="F13687" s="4" t="s">
        <v>69097</v>
      </c>
      <c r="G13687" s="4" t="s">
        <v>69098</v>
      </c>
      <c r="H13687" s="3" t="s">
        <v>67992</v>
      </c>
      <c r="I13687" s="3" t="s">
        <v>24694</v>
      </c>
      <c r="J13687" s="3" t="s">
        <v>3363</v>
      </c>
      <c r="K13687" s="3" t="s">
        <v>69099</v>
      </c>
      <c r="L13687" s="3"/>
      <c r="M13687" s="4"/>
      <c r="N13687" s="3" t="s">
        <v>37</v>
      </c>
      <c r="O13687" s="3" t="s">
        <v>70</v>
      </c>
      <c r="P13687" s="5">
        <v>16</v>
      </c>
      <c r="Q13687" s="5">
        <v>280</v>
      </c>
      <c r="R13687" s="5">
        <v>15</v>
      </c>
      <c r="S13687" s="5">
        <v>282</v>
      </c>
    </row>
    <row r="13688" spans="1:19" ht="28" x14ac:dyDescent="0.15">
      <c r="A13688" s="2">
        <f>HYPERLINK("https://open-school.uspishnemisto.com.ua/school/650227/", 650227)</f>
        <v>650227</v>
      </c>
      <c r="B13688" s="3" t="s">
        <v>69100</v>
      </c>
      <c r="C13688" s="3" t="s">
        <v>31</v>
      </c>
      <c r="D13688" s="3" t="s">
        <v>32</v>
      </c>
      <c r="E13688" s="4" t="s">
        <v>22</v>
      </c>
      <c r="F13688" s="4" t="s">
        <v>69101</v>
      </c>
      <c r="G13688" s="4" t="s">
        <v>69102</v>
      </c>
      <c r="H13688" s="3" t="s">
        <v>67992</v>
      </c>
      <c r="I13688" s="3" t="s">
        <v>11464</v>
      </c>
      <c r="J13688" s="3" t="s">
        <v>2417</v>
      </c>
      <c r="K13688" s="3" t="s">
        <v>69103</v>
      </c>
      <c r="L13688" s="3" t="s">
        <v>69104</v>
      </c>
      <c r="M13688" s="4"/>
      <c r="N13688" s="3" t="s">
        <v>37</v>
      </c>
      <c r="O13688" s="3" t="s">
        <v>70</v>
      </c>
      <c r="P13688" s="5">
        <v>8</v>
      </c>
      <c r="Q13688" s="5">
        <v>72</v>
      </c>
      <c r="R13688" s="5">
        <v>8</v>
      </c>
      <c r="S13688" s="5">
        <v>75</v>
      </c>
    </row>
    <row r="13689" spans="1:19" ht="28" x14ac:dyDescent="0.15">
      <c r="A13689" s="2">
        <f>HYPERLINK("https://open-school.uspishnemisto.com.ua/school/650228/", 650228)</f>
        <v>650228</v>
      </c>
      <c r="B13689" s="3" t="s">
        <v>69105</v>
      </c>
      <c r="C13689" s="3" t="s">
        <v>31</v>
      </c>
      <c r="D13689" s="3" t="s">
        <v>32</v>
      </c>
      <c r="E13689" s="4" t="s">
        <v>22</v>
      </c>
      <c r="F13689" s="4" t="s">
        <v>69106</v>
      </c>
      <c r="G13689" s="4" t="s">
        <v>69107</v>
      </c>
      <c r="H13689" s="3" t="s">
        <v>67992</v>
      </c>
      <c r="I13689" s="3" t="s">
        <v>69108</v>
      </c>
      <c r="J13689" s="3" t="s">
        <v>69109</v>
      </c>
      <c r="K13689" s="3" t="s">
        <v>69110</v>
      </c>
      <c r="L13689" s="3"/>
      <c r="M13689" s="4"/>
      <c r="N13689" s="3" t="s">
        <v>37</v>
      </c>
      <c r="O13689" s="3" t="s">
        <v>70</v>
      </c>
      <c r="P13689" s="5">
        <v>11</v>
      </c>
      <c r="Q13689" s="5">
        <v>253</v>
      </c>
      <c r="R13689" s="5">
        <v>12</v>
      </c>
      <c r="S13689" s="5">
        <v>250</v>
      </c>
    </row>
    <row r="13690" spans="1:19" ht="28" x14ac:dyDescent="0.15">
      <c r="A13690" s="2">
        <f>HYPERLINK("https://open-school.uspishnemisto.com.ua/school/650229/", 650229)</f>
        <v>650229</v>
      </c>
      <c r="B13690" s="3" t="s">
        <v>69111</v>
      </c>
      <c r="C13690" s="3" t="s">
        <v>31</v>
      </c>
      <c r="D13690" s="3" t="s">
        <v>60</v>
      </c>
      <c r="E13690" s="4" t="s">
        <v>22</v>
      </c>
      <c r="F13690" s="4" t="s">
        <v>69112</v>
      </c>
      <c r="G13690" s="4" t="s">
        <v>69113</v>
      </c>
      <c r="H13690" s="3" t="s">
        <v>67992</v>
      </c>
      <c r="I13690" s="3" t="s">
        <v>1740</v>
      </c>
      <c r="J13690" s="3" t="s">
        <v>1668</v>
      </c>
      <c r="K13690" s="3" t="s">
        <v>69114</v>
      </c>
      <c r="L13690" s="3"/>
      <c r="M13690" s="4"/>
      <c r="N13690" s="3" t="s">
        <v>37</v>
      </c>
      <c r="O13690" s="3" t="s">
        <v>38</v>
      </c>
      <c r="P13690" s="5">
        <v>4</v>
      </c>
      <c r="Q13690" s="5">
        <v>24</v>
      </c>
      <c r="R13690" s="5">
        <v>3</v>
      </c>
      <c r="S13690" s="5">
        <v>22</v>
      </c>
    </row>
    <row r="13691" spans="1:19" ht="28" x14ac:dyDescent="0.15">
      <c r="A13691" s="2">
        <f>HYPERLINK("https://open-school.uspishnemisto.com.ua/school/650230/", 650230)</f>
        <v>650230</v>
      </c>
      <c r="B13691" s="3" t="s">
        <v>69115</v>
      </c>
      <c r="C13691" s="3" t="s">
        <v>31</v>
      </c>
      <c r="D13691" s="3" t="s">
        <v>32</v>
      </c>
      <c r="E13691" s="4" t="s">
        <v>22</v>
      </c>
      <c r="F13691" s="4" t="s">
        <v>69116</v>
      </c>
      <c r="G13691" s="4" t="s">
        <v>69117</v>
      </c>
      <c r="H13691" s="3" t="s">
        <v>67992</v>
      </c>
      <c r="I13691" s="3" t="s">
        <v>11964</v>
      </c>
      <c r="J13691" s="3" t="s">
        <v>69118</v>
      </c>
      <c r="K13691" s="3" t="s">
        <v>69119</v>
      </c>
      <c r="L13691" s="3"/>
      <c r="M13691" s="4"/>
      <c r="N13691" s="3" t="s">
        <v>37</v>
      </c>
      <c r="O13691" s="3" t="s">
        <v>70</v>
      </c>
      <c r="P13691" s="5">
        <v>11</v>
      </c>
      <c r="Q13691" s="5">
        <v>151</v>
      </c>
      <c r="R13691" s="5">
        <v>11</v>
      </c>
      <c r="S13691" s="5">
        <v>161</v>
      </c>
    </row>
    <row r="13692" spans="1:19" ht="42" x14ac:dyDescent="0.15">
      <c r="A13692" s="2">
        <f>HYPERLINK("https://open-school.uspishnemisto.com.ua/school/650231/", 650231)</f>
        <v>650231</v>
      </c>
      <c r="B13692" s="3" t="s">
        <v>69120</v>
      </c>
      <c r="C13692" s="3" t="s">
        <v>31</v>
      </c>
      <c r="D13692" s="3" t="s">
        <v>32</v>
      </c>
      <c r="E13692" s="4" t="s">
        <v>22</v>
      </c>
      <c r="F13692" s="4" t="s">
        <v>69121</v>
      </c>
      <c r="G13692" s="4" t="s">
        <v>69122</v>
      </c>
      <c r="H13692" s="3" t="s">
        <v>67992</v>
      </c>
      <c r="I13692" s="3" t="s">
        <v>11964</v>
      </c>
      <c r="J13692" s="3" t="s">
        <v>3538</v>
      </c>
      <c r="K13692" s="3" t="s">
        <v>69123</v>
      </c>
      <c r="L13692" s="3" t="s">
        <v>69124</v>
      </c>
      <c r="M13692" s="4"/>
      <c r="N13692" s="3" t="s">
        <v>37</v>
      </c>
      <c r="O13692" s="3" t="s">
        <v>38</v>
      </c>
      <c r="P13692" s="5">
        <v>11</v>
      </c>
      <c r="Q13692" s="5">
        <v>108</v>
      </c>
      <c r="R13692" s="5">
        <v>10</v>
      </c>
      <c r="S13692" s="5">
        <v>107</v>
      </c>
    </row>
    <row r="13693" spans="1:19" ht="42" x14ac:dyDescent="0.15">
      <c r="A13693" s="2">
        <f>HYPERLINK("https://open-school.uspishnemisto.com.ua/school/650232/", 650232)</f>
        <v>650232</v>
      </c>
      <c r="B13693" s="3" t="s">
        <v>69125</v>
      </c>
      <c r="C13693" s="3" t="s">
        <v>31</v>
      </c>
      <c r="D13693" s="3" t="s">
        <v>32</v>
      </c>
      <c r="E13693" s="4" t="s">
        <v>22</v>
      </c>
      <c r="F13693" s="4" t="s">
        <v>69126</v>
      </c>
      <c r="G13693" s="4" t="s">
        <v>69127</v>
      </c>
      <c r="H13693" s="3" t="s">
        <v>67992</v>
      </c>
      <c r="I13693" s="3" t="s">
        <v>69128</v>
      </c>
      <c r="J13693" s="3" t="s">
        <v>946</v>
      </c>
      <c r="K13693" s="3" t="s">
        <v>69129</v>
      </c>
      <c r="L13693" s="3"/>
      <c r="M13693" s="4"/>
      <c r="N13693" s="3" t="s">
        <v>37</v>
      </c>
      <c r="O13693" s="3" t="s">
        <v>38</v>
      </c>
      <c r="P13693" s="5">
        <v>20</v>
      </c>
      <c r="Q13693" s="5">
        <v>331</v>
      </c>
      <c r="R13693" s="5">
        <v>19</v>
      </c>
      <c r="S13693" s="5">
        <v>346</v>
      </c>
    </row>
    <row r="13694" spans="1:19" ht="42" x14ac:dyDescent="0.15">
      <c r="A13694" s="2">
        <f>HYPERLINK("https://open-school.uspishnemisto.com.ua/school/650233/", 650233)</f>
        <v>650233</v>
      </c>
      <c r="B13694" s="3" t="s">
        <v>69130</v>
      </c>
      <c r="C13694" s="3" t="s">
        <v>31</v>
      </c>
      <c r="D13694" s="3" t="s">
        <v>32</v>
      </c>
      <c r="E13694" s="4" t="s">
        <v>22</v>
      </c>
      <c r="F13694" s="4" t="s">
        <v>69131</v>
      </c>
      <c r="G13694" s="4" t="s">
        <v>69132</v>
      </c>
      <c r="H13694" s="3" t="s">
        <v>67992</v>
      </c>
      <c r="I13694" s="3" t="s">
        <v>69133</v>
      </c>
      <c r="J13694" s="3" t="s">
        <v>1636</v>
      </c>
      <c r="K13694" s="3" t="s">
        <v>69134</v>
      </c>
      <c r="L13694" s="3"/>
      <c r="M13694" s="4"/>
      <c r="N13694" s="3" t="s">
        <v>37</v>
      </c>
      <c r="O13694" s="3" t="s">
        <v>38</v>
      </c>
      <c r="P13694" s="5">
        <v>11</v>
      </c>
      <c r="Q13694" s="5">
        <v>147</v>
      </c>
      <c r="R13694" s="5">
        <v>11</v>
      </c>
      <c r="S13694" s="5">
        <v>141</v>
      </c>
    </row>
    <row r="13695" spans="1:19" ht="42" x14ac:dyDescent="0.15">
      <c r="A13695" s="2">
        <f>HYPERLINK("https://open-school.uspishnemisto.com.ua/school/650234/", 650234)</f>
        <v>650234</v>
      </c>
      <c r="B13695" s="3" t="s">
        <v>69135</v>
      </c>
      <c r="C13695" s="3" t="s">
        <v>31</v>
      </c>
      <c r="D13695" s="3" t="s">
        <v>175</v>
      </c>
      <c r="E13695" s="4" t="s">
        <v>22</v>
      </c>
      <c r="F13695" s="4" t="s">
        <v>69136</v>
      </c>
      <c r="G13695" s="4" t="s">
        <v>69137</v>
      </c>
      <c r="H13695" s="3" t="s">
        <v>67992</v>
      </c>
      <c r="I13695" s="3" t="s">
        <v>69138</v>
      </c>
      <c r="J13695" s="3" t="s">
        <v>69139</v>
      </c>
      <c r="K13695" s="3" t="s">
        <v>69140</v>
      </c>
      <c r="L13695" s="3" t="s">
        <v>69141</v>
      </c>
      <c r="M13695" s="4"/>
      <c r="N13695" s="3" t="s">
        <v>37</v>
      </c>
      <c r="O13695" s="3" t="s">
        <v>38</v>
      </c>
      <c r="P13695" s="5">
        <v>8</v>
      </c>
      <c r="Q13695" s="5">
        <v>65</v>
      </c>
      <c r="R13695" s="5">
        <v>9</v>
      </c>
      <c r="S13695" s="5">
        <v>64</v>
      </c>
    </row>
    <row r="13696" spans="1:19" ht="42" x14ac:dyDescent="0.15">
      <c r="A13696" s="2">
        <f>HYPERLINK("https://open-school.uspishnemisto.com.ua/school/650235/", 650235)</f>
        <v>650235</v>
      </c>
      <c r="B13696" s="3" t="s">
        <v>69142</v>
      </c>
      <c r="C13696" s="3" t="s">
        <v>31</v>
      </c>
      <c r="D13696" s="3" t="s">
        <v>175</v>
      </c>
      <c r="E13696" s="4" t="s">
        <v>22</v>
      </c>
      <c r="F13696" s="4" t="s">
        <v>69143</v>
      </c>
      <c r="G13696" s="4" t="s">
        <v>69144</v>
      </c>
      <c r="H13696" s="3" t="s">
        <v>67992</v>
      </c>
      <c r="I13696" s="3" t="s">
        <v>69145</v>
      </c>
      <c r="J13696" s="3" t="s">
        <v>6432</v>
      </c>
      <c r="K13696" s="3" t="s">
        <v>69146</v>
      </c>
      <c r="L13696" s="3"/>
      <c r="M13696" s="4"/>
      <c r="N13696" s="3" t="s">
        <v>37</v>
      </c>
      <c r="O13696" s="3" t="s">
        <v>38</v>
      </c>
      <c r="P13696" s="5">
        <v>9</v>
      </c>
      <c r="Q13696" s="5">
        <v>78</v>
      </c>
      <c r="R13696" s="5">
        <v>9</v>
      </c>
      <c r="S13696" s="5">
        <v>70</v>
      </c>
    </row>
    <row r="13697" spans="1:19" ht="42" x14ac:dyDescent="0.15">
      <c r="A13697" s="2">
        <f>HYPERLINK("https://open-school.uspishnemisto.com.ua/school/650236/", 650236)</f>
        <v>650236</v>
      </c>
      <c r="B13697" s="3" t="s">
        <v>69147</v>
      </c>
      <c r="C13697" s="3" t="s">
        <v>31</v>
      </c>
      <c r="D13697" s="3" t="s">
        <v>32</v>
      </c>
      <c r="E13697" s="4" t="s">
        <v>22</v>
      </c>
      <c r="F13697" s="4" t="s">
        <v>69148</v>
      </c>
      <c r="G13697" s="4" t="s">
        <v>69149</v>
      </c>
      <c r="H13697" s="3" t="s">
        <v>67992</v>
      </c>
      <c r="I13697" s="3" t="s">
        <v>69150</v>
      </c>
      <c r="J13697" s="3" t="s">
        <v>69151</v>
      </c>
      <c r="K13697" s="3" t="s">
        <v>69152</v>
      </c>
      <c r="L13697" s="3"/>
      <c r="M13697" s="4"/>
      <c r="N13697" s="3" t="s">
        <v>37</v>
      </c>
      <c r="O13697" s="3" t="s">
        <v>38</v>
      </c>
      <c r="P13697" s="5">
        <v>5</v>
      </c>
      <c r="Q13697" s="5">
        <v>45</v>
      </c>
      <c r="R13697" s="5">
        <v>5</v>
      </c>
      <c r="S13697" s="5">
        <v>46</v>
      </c>
    </row>
    <row r="13698" spans="1:19" ht="42" x14ac:dyDescent="0.15">
      <c r="A13698" s="2">
        <f>HYPERLINK("https://open-school.uspishnemisto.com.ua/school/650237/", 650237)</f>
        <v>650237</v>
      </c>
      <c r="B13698" s="3" t="s">
        <v>69153</v>
      </c>
      <c r="C13698" s="3" t="s">
        <v>31</v>
      </c>
      <c r="D13698" s="3" t="s">
        <v>32</v>
      </c>
      <c r="E13698" s="4" t="s">
        <v>22</v>
      </c>
      <c r="F13698" s="4" t="s">
        <v>69154</v>
      </c>
      <c r="G13698" s="4" t="s">
        <v>69155</v>
      </c>
      <c r="H13698" s="3" t="s">
        <v>67992</v>
      </c>
      <c r="I13698" s="3" t="s">
        <v>69156</v>
      </c>
      <c r="J13698" s="3" t="s">
        <v>69157</v>
      </c>
      <c r="K13698" s="3"/>
      <c r="L13698" s="3" t="s">
        <v>69158</v>
      </c>
      <c r="M13698" s="4"/>
      <c r="N13698" s="3" t="s">
        <v>37</v>
      </c>
      <c r="O13698" s="3" t="s">
        <v>70</v>
      </c>
      <c r="P13698" s="5">
        <v>16</v>
      </c>
      <c r="Q13698" s="5">
        <v>289</v>
      </c>
      <c r="R13698" s="5">
        <v>16</v>
      </c>
      <c r="S13698" s="5">
        <v>287</v>
      </c>
    </row>
    <row r="13699" spans="1:19" ht="42" x14ac:dyDescent="0.15">
      <c r="A13699" s="2">
        <f>HYPERLINK("https://open-school.uspishnemisto.com.ua/school/650238/", 650238)</f>
        <v>650238</v>
      </c>
      <c r="B13699" s="3" t="s">
        <v>69159</v>
      </c>
      <c r="C13699" s="3" t="s">
        <v>31</v>
      </c>
      <c r="D13699" s="3" t="s">
        <v>32</v>
      </c>
      <c r="E13699" s="4" t="s">
        <v>22</v>
      </c>
      <c r="F13699" s="4" t="s">
        <v>69160</v>
      </c>
      <c r="G13699" s="4" t="s">
        <v>69161</v>
      </c>
      <c r="H13699" s="3" t="s">
        <v>67992</v>
      </c>
      <c r="I13699" s="3" t="s">
        <v>13794</v>
      </c>
      <c r="J13699" s="3" t="s">
        <v>2601</v>
      </c>
      <c r="K13699" s="3"/>
      <c r="L13699" s="3" t="s">
        <v>69162</v>
      </c>
      <c r="M13699" s="4"/>
      <c r="N13699" s="3" t="s">
        <v>37</v>
      </c>
      <c r="O13699" s="3" t="s">
        <v>46</v>
      </c>
      <c r="P13699" s="5">
        <v>11</v>
      </c>
      <c r="Q13699" s="5">
        <v>208</v>
      </c>
      <c r="R13699" s="5">
        <v>12</v>
      </c>
      <c r="S13699" s="5">
        <v>195</v>
      </c>
    </row>
    <row r="13700" spans="1:19" ht="42" x14ac:dyDescent="0.15">
      <c r="A13700" s="2">
        <f>HYPERLINK("https://open-school.uspishnemisto.com.ua/school/650239/", 650239)</f>
        <v>650239</v>
      </c>
      <c r="B13700" s="3" t="s">
        <v>69163</v>
      </c>
      <c r="C13700" s="3" t="s">
        <v>31</v>
      </c>
      <c r="D13700" s="3" t="s">
        <v>32</v>
      </c>
      <c r="E13700" s="4" t="s">
        <v>22</v>
      </c>
      <c r="F13700" s="4" t="s">
        <v>69164</v>
      </c>
      <c r="G13700" s="4" t="s">
        <v>69165</v>
      </c>
      <c r="H13700" s="3" t="s">
        <v>67992</v>
      </c>
      <c r="I13700" s="3" t="s">
        <v>69166</v>
      </c>
      <c r="J13700" s="3" t="s">
        <v>69167</v>
      </c>
      <c r="K13700" s="3" t="s">
        <v>69168</v>
      </c>
      <c r="L13700" s="3"/>
      <c r="M13700" s="4"/>
      <c r="N13700" s="3" t="s">
        <v>37</v>
      </c>
      <c r="O13700" s="3" t="s">
        <v>38</v>
      </c>
      <c r="P13700" s="5">
        <v>11</v>
      </c>
      <c r="Q13700" s="5">
        <v>135</v>
      </c>
      <c r="R13700" s="5">
        <v>11</v>
      </c>
      <c r="S13700" s="5">
        <v>146</v>
      </c>
    </row>
    <row r="13701" spans="1:19" ht="42" x14ac:dyDescent="0.15">
      <c r="A13701" s="2">
        <f>HYPERLINK("https://open-school.uspishnemisto.com.ua/school/650240/", 650240)</f>
        <v>650240</v>
      </c>
      <c r="B13701" s="3" t="s">
        <v>69169</v>
      </c>
      <c r="C13701" s="3" t="s">
        <v>31</v>
      </c>
      <c r="D13701" s="3" t="s">
        <v>32</v>
      </c>
      <c r="E13701" s="4" t="s">
        <v>22</v>
      </c>
      <c r="F13701" s="4" t="s">
        <v>69170</v>
      </c>
      <c r="G13701" s="4" t="s">
        <v>69171</v>
      </c>
      <c r="H13701" s="3" t="s">
        <v>67992</v>
      </c>
      <c r="I13701" s="3" t="s">
        <v>69172</v>
      </c>
      <c r="J13701" s="3" t="s">
        <v>69173</v>
      </c>
      <c r="K13701" s="3" t="s">
        <v>69174</v>
      </c>
      <c r="L13701" s="3"/>
      <c r="M13701" s="4"/>
      <c r="N13701" s="3" t="s">
        <v>37</v>
      </c>
      <c r="O13701" s="3" t="s">
        <v>38</v>
      </c>
      <c r="P13701" s="5">
        <v>11</v>
      </c>
      <c r="Q13701" s="5">
        <v>132</v>
      </c>
      <c r="R13701" s="5">
        <v>10</v>
      </c>
      <c r="S13701" s="5">
        <v>126</v>
      </c>
    </row>
    <row r="13702" spans="1:19" ht="42" x14ac:dyDescent="0.15">
      <c r="A13702" s="2">
        <f>HYPERLINK("https://open-school.uspishnemisto.com.ua/school/650241/", 650241)</f>
        <v>650241</v>
      </c>
      <c r="B13702" s="3" t="s">
        <v>69175</v>
      </c>
      <c r="C13702" s="3" t="s">
        <v>31</v>
      </c>
      <c r="D13702" s="3" t="s">
        <v>32</v>
      </c>
      <c r="E13702" s="4" t="s">
        <v>22</v>
      </c>
      <c r="F13702" s="4" t="s">
        <v>69176</v>
      </c>
      <c r="G13702" s="4" t="s">
        <v>69177</v>
      </c>
      <c r="H13702" s="3" t="s">
        <v>67992</v>
      </c>
      <c r="I13702" s="3" t="s">
        <v>1291</v>
      </c>
      <c r="J13702" s="3" t="s">
        <v>69178</v>
      </c>
      <c r="K13702" s="3" t="s">
        <v>69179</v>
      </c>
      <c r="L13702" s="3"/>
      <c r="M13702" s="4"/>
      <c r="N13702" s="3" t="s">
        <v>37</v>
      </c>
      <c r="O13702" s="3" t="s">
        <v>38</v>
      </c>
      <c r="P13702" s="5">
        <v>8</v>
      </c>
      <c r="Q13702" s="5">
        <v>76</v>
      </c>
      <c r="R13702" s="5">
        <v>7</v>
      </c>
      <c r="S13702" s="5">
        <v>75</v>
      </c>
    </row>
    <row r="13703" spans="1:19" ht="42" x14ac:dyDescent="0.15">
      <c r="A13703" s="2">
        <f>HYPERLINK("https://open-school.uspishnemisto.com.ua/school/650242/", 650242)</f>
        <v>650242</v>
      </c>
      <c r="B13703" s="3" t="s">
        <v>69180</v>
      </c>
      <c r="C13703" s="3" t="s">
        <v>31</v>
      </c>
      <c r="D13703" s="3" t="s">
        <v>32</v>
      </c>
      <c r="E13703" s="4" t="s">
        <v>22</v>
      </c>
      <c r="F13703" s="4" t="s">
        <v>69181</v>
      </c>
      <c r="G13703" s="4" t="s">
        <v>69182</v>
      </c>
      <c r="H13703" s="3" t="s">
        <v>67992</v>
      </c>
      <c r="I13703" s="3" t="s">
        <v>69183</v>
      </c>
      <c r="J13703" s="3" t="s">
        <v>1216</v>
      </c>
      <c r="K13703" s="3"/>
      <c r="L13703" s="3"/>
      <c r="M13703" s="4"/>
      <c r="N13703" s="3" t="s">
        <v>37</v>
      </c>
      <c r="O13703" s="3" t="s">
        <v>38</v>
      </c>
      <c r="P13703" s="5">
        <v>11</v>
      </c>
      <c r="Q13703" s="5">
        <v>130</v>
      </c>
      <c r="R13703" s="5">
        <v>11</v>
      </c>
      <c r="S13703" s="5">
        <v>131</v>
      </c>
    </row>
    <row r="13704" spans="1:19" ht="42" x14ac:dyDescent="0.15">
      <c r="A13704" s="2">
        <f>HYPERLINK("https://open-school.uspishnemisto.com.ua/school/650243/", 650243)</f>
        <v>650243</v>
      </c>
      <c r="B13704" s="3" t="s">
        <v>69184</v>
      </c>
      <c r="C13704" s="3" t="s">
        <v>31</v>
      </c>
      <c r="D13704" s="3" t="s">
        <v>32</v>
      </c>
      <c r="E13704" s="4" t="s">
        <v>22</v>
      </c>
      <c r="F13704" s="4" t="s">
        <v>69185</v>
      </c>
      <c r="G13704" s="4" t="s">
        <v>69186</v>
      </c>
      <c r="H13704" s="3" t="s">
        <v>67992</v>
      </c>
      <c r="I13704" s="3" t="s">
        <v>69187</v>
      </c>
      <c r="J13704" s="3" t="s">
        <v>13311</v>
      </c>
      <c r="K13704" s="3"/>
      <c r="L13704" s="3"/>
      <c r="M13704" s="4"/>
      <c r="N13704" s="3" t="s">
        <v>37</v>
      </c>
      <c r="O13704" s="3" t="s">
        <v>38</v>
      </c>
      <c r="P13704" s="5">
        <v>12</v>
      </c>
      <c r="Q13704" s="5">
        <v>244</v>
      </c>
      <c r="R13704" s="5">
        <v>11</v>
      </c>
      <c r="S13704" s="5">
        <v>237</v>
      </c>
    </row>
    <row r="13705" spans="1:19" ht="28" x14ac:dyDescent="0.15">
      <c r="A13705" s="2">
        <f>HYPERLINK("https://open-school.uspishnemisto.com.ua/school/650244/", 650244)</f>
        <v>650244</v>
      </c>
      <c r="B13705" s="3" t="s">
        <v>69188</v>
      </c>
      <c r="C13705" s="3" t="s">
        <v>31</v>
      </c>
      <c r="D13705" s="3" t="s">
        <v>32</v>
      </c>
      <c r="E13705" s="4" t="s">
        <v>22</v>
      </c>
      <c r="F13705" s="4" t="s">
        <v>69189</v>
      </c>
      <c r="G13705" s="4" t="s">
        <v>69190</v>
      </c>
      <c r="H13705" s="3" t="s">
        <v>67992</v>
      </c>
      <c r="I13705" s="3" t="s">
        <v>45210</v>
      </c>
      <c r="J13705" s="3" t="s">
        <v>69191</v>
      </c>
      <c r="K13705" s="3"/>
      <c r="L13705" s="3" t="s">
        <v>69192</v>
      </c>
      <c r="M13705" s="4"/>
      <c r="N13705" s="3" t="s">
        <v>37</v>
      </c>
      <c r="O13705" s="3" t="s">
        <v>38</v>
      </c>
      <c r="P13705" s="5">
        <v>11</v>
      </c>
      <c r="Q13705" s="5">
        <v>174</v>
      </c>
      <c r="R13705" s="5">
        <v>11</v>
      </c>
      <c r="S13705" s="5">
        <v>168</v>
      </c>
    </row>
    <row r="13706" spans="1:19" ht="42" x14ac:dyDescent="0.15">
      <c r="A13706" s="2">
        <f>HYPERLINK("https://open-school.uspishnemisto.com.ua/school/650245/", 650245)</f>
        <v>650245</v>
      </c>
      <c r="B13706" s="3" t="s">
        <v>69193</v>
      </c>
      <c r="C13706" s="3" t="s">
        <v>31</v>
      </c>
      <c r="D13706" s="3" t="s">
        <v>175</v>
      </c>
      <c r="E13706" s="4" t="s">
        <v>22</v>
      </c>
      <c r="F13706" s="4" t="s">
        <v>69194</v>
      </c>
      <c r="G13706" s="4" t="s">
        <v>69195</v>
      </c>
      <c r="H13706" s="3" t="s">
        <v>67992</v>
      </c>
      <c r="I13706" s="3" t="s">
        <v>69196</v>
      </c>
      <c r="J13706" s="3" t="s">
        <v>69197</v>
      </c>
      <c r="K13706" s="3" t="s">
        <v>69198</v>
      </c>
      <c r="L13706" s="3"/>
      <c r="M13706" s="4"/>
      <c r="N13706" s="3" t="s">
        <v>37</v>
      </c>
      <c r="O13706" s="3" t="s">
        <v>38</v>
      </c>
      <c r="P13706" s="5">
        <v>9</v>
      </c>
      <c r="Q13706" s="5">
        <v>140</v>
      </c>
      <c r="R13706" s="5">
        <v>9</v>
      </c>
      <c r="S13706" s="5">
        <v>128</v>
      </c>
    </row>
    <row r="13707" spans="1:19" ht="42" x14ac:dyDescent="0.15">
      <c r="A13707" s="2">
        <f>HYPERLINK("https://open-school.uspishnemisto.com.ua/school/650246/", 650246)</f>
        <v>650246</v>
      </c>
      <c r="B13707" s="3" t="s">
        <v>69199</v>
      </c>
      <c r="C13707" s="3" t="s">
        <v>31</v>
      </c>
      <c r="D13707" s="3" t="s">
        <v>32</v>
      </c>
      <c r="E13707" s="4" t="s">
        <v>22</v>
      </c>
      <c r="F13707" s="4" t="s">
        <v>69194</v>
      </c>
      <c r="G13707" s="4" t="s">
        <v>69195</v>
      </c>
      <c r="H13707" s="3" t="s">
        <v>67992</v>
      </c>
      <c r="I13707" s="3" t="s">
        <v>69196</v>
      </c>
      <c r="J13707" s="3" t="s">
        <v>69200</v>
      </c>
      <c r="K13707" s="3" t="s">
        <v>69201</v>
      </c>
      <c r="L13707" s="3"/>
      <c r="M13707" s="4"/>
      <c r="N13707" s="3" t="s">
        <v>37</v>
      </c>
      <c r="O13707" s="3" t="s">
        <v>38</v>
      </c>
      <c r="P13707" s="5">
        <v>22</v>
      </c>
      <c r="Q13707" s="5">
        <v>406</v>
      </c>
      <c r="R13707" s="5">
        <v>22</v>
      </c>
      <c r="S13707" s="5">
        <v>393</v>
      </c>
    </row>
    <row r="13708" spans="1:19" ht="42" x14ac:dyDescent="0.15">
      <c r="A13708" s="2">
        <f>HYPERLINK("https://open-school.uspishnemisto.com.ua/school/650247/", 650247)</f>
        <v>650247</v>
      </c>
      <c r="B13708" s="3" t="s">
        <v>69202</v>
      </c>
      <c r="C13708" s="3" t="s">
        <v>31</v>
      </c>
      <c r="D13708" s="3" t="s">
        <v>32</v>
      </c>
      <c r="E13708" s="4" t="s">
        <v>22</v>
      </c>
      <c r="F13708" s="4" t="s">
        <v>69194</v>
      </c>
      <c r="G13708" s="4" t="s">
        <v>69195</v>
      </c>
      <c r="H13708" s="3" t="s">
        <v>67992</v>
      </c>
      <c r="I13708" s="3" t="s">
        <v>69196</v>
      </c>
      <c r="J13708" s="3" t="s">
        <v>26366</v>
      </c>
      <c r="K13708" s="3" t="s">
        <v>69203</v>
      </c>
      <c r="L13708" s="3" t="s">
        <v>69204</v>
      </c>
      <c r="M13708" s="4"/>
      <c r="N13708" s="3" t="s">
        <v>37</v>
      </c>
      <c r="O13708" s="3" t="s">
        <v>38</v>
      </c>
      <c r="P13708" s="5">
        <v>11</v>
      </c>
      <c r="Q13708" s="5">
        <v>152</v>
      </c>
      <c r="R13708" s="5">
        <v>11</v>
      </c>
      <c r="S13708" s="5">
        <v>158</v>
      </c>
    </row>
    <row r="13709" spans="1:19" ht="42" x14ac:dyDescent="0.15">
      <c r="A13709" s="2">
        <f>HYPERLINK("https://open-school.uspishnemisto.com.ua/school/650248/", 650248)</f>
        <v>650248</v>
      </c>
      <c r="B13709" s="3" t="s">
        <v>69205</v>
      </c>
      <c r="C13709" s="3" t="s">
        <v>31</v>
      </c>
      <c r="D13709" s="3" t="s">
        <v>32</v>
      </c>
      <c r="E13709" s="4" t="s">
        <v>22</v>
      </c>
      <c r="F13709" s="4" t="s">
        <v>69206</v>
      </c>
      <c r="G13709" s="4" t="s">
        <v>69207</v>
      </c>
      <c r="H13709" s="3" t="s">
        <v>67992</v>
      </c>
      <c r="I13709" s="3" t="s">
        <v>11975</v>
      </c>
      <c r="J13709" s="3" t="s">
        <v>69208</v>
      </c>
      <c r="K13709" s="3" t="s">
        <v>69209</v>
      </c>
      <c r="L13709" s="3"/>
      <c r="M13709" s="4"/>
      <c r="N13709" s="3" t="s">
        <v>37</v>
      </c>
      <c r="O13709" s="3" t="s">
        <v>10453</v>
      </c>
      <c r="P13709" s="5">
        <v>10</v>
      </c>
      <c r="Q13709" s="5">
        <v>146</v>
      </c>
      <c r="R13709" s="5">
        <v>11</v>
      </c>
      <c r="S13709" s="5">
        <v>157</v>
      </c>
    </row>
    <row r="13710" spans="1:19" ht="42" x14ac:dyDescent="0.15">
      <c r="A13710" s="2">
        <f>HYPERLINK("https://open-school.uspishnemisto.com.ua/school/650249/", 650249)</f>
        <v>650249</v>
      </c>
      <c r="B13710" s="3" t="s">
        <v>69210</v>
      </c>
      <c r="C13710" s="3" t="s">
        <v>31</v>
      </c>
      <c r="D13710" s="3" t="s">
        <v>32</v>
      </c>
      <c r="E13710" s="4" t="s">
        <v>22</v>
      </c>
      <c r="F13710" s="4" t="s">
        <v>69211</v>
      </c>
      <c r="G13710" s="4" t="s">
        <v>69212</v>
      </c>
      <c r="H13710" s="3" t="s">
        <v>67992</v>
      </c>
      <c r="I13710" s="3" t="s">
        <v>26243</v>
      </c>
      <c r="J13710" s="3" t="s">
        <v>69213</v>
      </c>
      <c r="K13710" s="3" t="s">
        <v>69214</v>
      </c>
      <c r="L13710" s="3"/>
      <c r="M13710" s="4"/>
      <c r="N13710" s="3" t="s">
        <v>37</v>
      </c>
      <c r="O13710" s="3" t="s">
        <v>52</v>
      </c>
      <c r="P13710" s="5">
        <v>8</v>
      </c>
      <c r="Q13710" s="5">
        <v>72</v>
      </c>
      <c r="R13710" s="5">
        <v>9</v>
      </c>
      <c r="S13710" s="5">
        <v>80</v>
      </c>
    </row>
    <row r="13711" spans="1:19" ht="42" x14ac:dyDescent="0.15">
      <c r="A13711" s="2">
        <f>HYPERLINK("https://open-school.uspishnemisto.com.ua/school/650250/", 650250)</f>
        <v>650250</v>
      </c>
      <c r="B13711" s="3" t="s">
        <v>69215</v>
      </c>
      <c r="C13711" s="3" t="s">
        <v>31</v>
      </c>
      <c r="D13711" s="3" t="s">
        <v>32</v>
      </c>
      <c r="E13711" s="4" t="s">
        <v>22</v>
      </c>
      <c r="F13711" s="4" t="s">
        <v>69216</v>
      </c>
      <c r="G13711" s="4" t="s">
        <v>69217</v>
      </c>
      <c r="H13711" s="3" t="s">
        <v>67992</v>
      </c>
      <c r="I13711" s="3" t="s">
        <v>69218</v>
      </c>
      <c r="J13711" s="3" t="s">
        <v>5971</v>
      </c>
      <c r="K13711" s="3" t="s">
        <v>69219</v>
      </c>
      <c r="L13711" s="3" t="s">
        <v>69220</v>
      </c>
      <c r="M13711" s="4"/>
      <c r="N13711" s="3" t="s">
        <v>37</v>
      </c>
      <c r="O13711" s="3" t="s">
        <v>38</v>
      </c>
      <c r="P13711" s="5">
        <v>11</v>
      </c>
      <c r="Q13711" s="5">
        <v>135</v>
      </c>
      <c r="R13711" s="5">
        <v>11</v>
      </c>
      <c r="S13711" s="5">
        <v>151</v>
      </c>
    </row>
    <row r="13712" spans="1:19" ht="42" x14ac:dyDescent="0.15">
      <c r="A13712" s="2">
        <f>HYPERLINK("https://open-school.uspishnemisto.com.ua/school/650251/", 650251)</f>
        <v>650251</v>
      </c>
      <c r="B13712" s="3" t="s">
        <v>69221</v>
      </c>
      <c r="C13712" s="3" t="s">
        <v>31</v>
      </c>
      <c r="D13712" s="3" t="s">
        <v>32</v>
      </c>
      <c r="E13712" s="4" t="s">
        <v>22</v>
      </c>
      <c r="F13712" s="4" t="s">
        <v>69222</v>
      </c>
      <c r="G13712" s="4" t="s">
        <v>69223</v>
      </c>
      <c r="H13712" s="3" t="s">
        <v>67992</v>
      </c>
      <c r="I13712" s="3" t="s">
        <v>69224</v>
      </c>
      <c r="J13712" s="3" t="s">
        <v>69225</v>
      </c>
      <c r="K13712" s="3" t="s">
        <v>69226</v>
      </c>
      <c r="L13712" s="3" t="s">
        <v>69227</v>
      </c>
      <c r="M13712" s="4"/>
      <c r="N13712" s="3" t="s">
        <v>37</v>
      </c>
      <c r="O13712" s="3" t="s">
        <v>38</v>
      </c>
      <c r="P13712" s="5">
        <v>10</v>
      </c>
      <c r="Q13712" s="5">
        <v>84</v>
      </c>
      <c r="R13712" s="5">
        <v>11</v>
      </c>
      <c r="S13712" s="5">
        <v>80</v>
      </c>
    </row>
    <row r="13713" spans="1:19" ht="28" x14ac:dyDescent="0.15">
      <c r="A13713" s="2">
        <f>HYPERLINK("https://open-school.uspishnemisto.com.ua/school/650252/", 650252)</f>
        <v>650252</v>
      </c>
      <c r="B13713" s="3" t="s">
        <v>69228</v>
      </c>
      <c r="C13713" s="3" t="s">
        <v>31</v>
      </c>
      <c r="D13713" s="3" t="s">
        <v>32</v>
      </c>
      <c r="E13713" s="4" t="s">
        <v>22</v>
      </c>
      <c r="F13713" s="4" t="s">
        <v>69229</v>
      </c>
      <c r="G13713" s="4" t="s">
        <v>69230</v>
      </c>
      <c r="H13713" s="3" t="s">
        <v>67992</v>
      </c>
      <c r="I13713" s="3" t="s">
        <v>18131</v>
      </c>
      <c r="J13713" s="3" t="s">
        <v>69231</v>
      </c>
      <c r="K13713" s="3"/>
      <c r="L13713" s="3"/>
      <c r="M13713" s="4"/>
      <c r="N13713" s="3" t="s">
        <v>37</v>
      </c>
      <c r="O13713" s="3" t="s">
        <v>52</v>
      </c>
      <c r="P13713" s="5">
        <v>10</v>
      </c>
      <c r="Q13713" s="5">
        <v>115</v>
      </c>
      <c r="R13713" s="5">
        <v>10</v>
      </c>
      <c r="S13713" s="5">
        <v>104</v>
      </c>
    </row>
    <row r="13714" spans="1:19" ht="42" x14ac:dyDescent="0.15">
      <c r="A13714" s="2">
        <f>HYPERLINK("https://open-school.uspishnemisto.com.ua/school/650253/", 650253)</f>
        <v>650253</v>
      </c>
      <c r="B13714" s="3" t="s">
        <v>69232</v>
      </c>
      <c r="C13714" s="3" t="s">
        <v>31</v>
      </c>
      <c r="D13714" s="3" t="s">
        <v>32</v>
      </c>
      <c r="E13714" s="4" t="s">
        <v>22</v>
      </c>
      <c r="F13714" s="4" t="s">
        <v>69233</v>
      </c>
      <c r="G13714" s="4" t="s">
        <v>69234</v>
      </c>
      <c r="H13714" s="3" t="s">
        <v>67992</v>
      </c>
      <c r="I13714" s="3" t="s">
        <v>69235</v>
      </c>
      <c r="J13714" s="3" t="s">
        <v>17341</v>
      </c>
      <c r="K13714" s="3" t="s">
        <v>69236</v>
      </c>
      <c r="L13714" s="3"/>
      <c r="M13714" s="4"/>
      <c r="N13714" s="3" t="s">
        <v>37</v>
      </c>
      <c r="O13714" s="3" t="s">
        <v>70</v>
      </c>
      <c r="P13714" s="5">
        <v>11</v>
      </c>
      <c r="Q13714" s="5">
        <v>134</v>
      </c>
      <c r="R13714" s="5">
        <v>11</v>
      </c>
      <c r="S13714" s="5">
        <v>134</v>
      </c>
    </row>
    <row r="13715" spans="1:19" ht="28" x14ac:dyDescent="0.15">
      <c r="A13715" s="2">
        <f>HYPERLINK("https://open-school.uspishnemisto.com.ua/school/650254/", 650254)</f>
        <v>650254</v>
      </c>
      <c r="B13715" s="3" t="s">
        <v>69237</v>
      </c>
      <c r="C13715" s="3" t="s">
        <v>2634</v>
      </c>
      <c r="D13715" s="3" t="s">
        <v>175</v>
      </c>
      <c r="E13715" s="4" t="s">
        <v>22</v>
      </c>
      <c r="F13715" s="4" t="s">
        <v>69238</v>
      </c>
      <c r="G13715" s="4" t="s">
        <v>69239</v>
      </c>
      <c r="H13715" s="3" t="s">
        <v>67992</v>
      </c>
      <c r="I13715" s="3" t="s">
        <v>69240</v>
      </c>
      <c r="J13715" s="3" t="s">
        <v>69241</v>
      </c>
      <c r="K13715" s="3" t="s">
        <v>69242</v>
      </c>
      <c r="L13715" s="3" t="s">
        <v>69243</v>
      </c>
      <c r="M13715" s="4" t="s">
        <v>69244</v>
      </c>
      <c r="N13715" s="3" t="s">
        <v>37</v>
      </c>
      <c r="O13715" s="3" t="s">
        <v>52</v>
      </c>
      <c r="P13715" s="5">
        <v>9</v>
      </c>
      <c r="Q13715" s="5">
        <v>112</v>
      </c>
      <c r="R13715" s="5">
        <v>9</v>
      </c>
      <c r="S13715" s="5">
        <v>122</v>
      </c>
    </row>
    <row r="13716" spans="1:19" ht="28" x14ac:dyDescent="0.15">
      <c r="A13716" s="2">
        <f>HYPERLINK("https://open-school.uspishnemisto.com.ua/school/650255/", 650255)</f>
        <v>650255</v>
      </c>
      <c r="B13716" s="3" t="s">
        <v>69245</v>
      </c>
      <c r="C13716" s="3" t="s">
        <v>181</v>
      </c>
      <c r="D13716" s="3" t="s">
        <v>175</v>
      </c>
      <c r="E13716" s="4" t="s">
        <v>22</v>
      </c>
      <c r="F13716" s="4" t="s">
        <v>69238</v>
      </c>
      <c r="G13716" s="4" t="s">
        <v>69239</v>
      </c>
      <c r="H13716" s="3" t="s">
        <v>67992</v>
      </c>
      <c r="I13716" s="3" t="s">
        <v>69240</v>
      </c>
      <c r="J13716" s="3" t="s">
        <v>3173</v>
      </c>
      <c r="K13716" s="3" t="s">
        <v>69246</v>
      </c>
      <c r="L13716" s="3" t="s">
        <v>69247</v>
      </c>
      <c r="M13716" s="4" t="s">
        <v>69248</v>
      </c>
      <c r="N13716" s="3" t="s">
        <v>37</v>
      </c>
      <c r="O13716" s="3"/>
      <c r="P13716" s="5">
        <v>9</v>
      </c>
      <c r="Q13716" s="5">
        <v>115</v>
      </c>
      <c r="R13716" s="5">
        <v>9</v>
      </c>
      <c r="S13716" s="5">
        <v>114</v>
      </c>
    </row>
    <row r="13717" spans="1:19" ht="42" x14ac:dyDescent="0.15">
      <c r="A13717" s="2">
        <f>HYPERLINK("https://open-school.uspishnemisto.com.ua/school/650256/", 650256)</f>
        <v>650256</v>
      </c>
      <c r="B13717" s="3" t="s">
        <v>69249</v>
      </c>
      <c r="C13717" s="3" t="s">
        <v>31</v>
      </c>
      <c r="D13717" s="3" t="s">
        <v>32</v>
      </c>
      <c r="E13717" s="4" t="s">
        <v>22</v>
      </c>
      <c r="F13717" s="4" t="s">
        <v>69238</v>
      </c>
      <c r="G13717" s="4" t="s">
        <v>69239</v>
      </c>
      <c r="H13717" s="3" t="s">
        <v>67992</v>
      </c>
      <c r="I13717" s="3" t="s">
        <v>69240</v>
      </c>
      <c r="J13717" s="3" t="s">
        <v>69250</v>
      </c>
      <c r="K13717" s="3" t="s">
        <v>69251</v>
      </c>
      <c r="L13717" s="3"/>
      <c r="M13717" s="4"/>
      <c r="N13717" s="3" t="s">
        <v>37</v>
      </c>
      <c r="O13717" s="3" t="s">
        <v>38</v>
      </c>
      <c r="P13717" s="5">
        <v>11</v>
      </c>
      <c r="Q13717" s="5">
        <v>194</v>
      </c>
      <c r="R13717" s="5">
        <v>11</v>
      </c>
      <c r="S13717" s="5">
        <v>205</v>
      </c>
    </row>
    <row r="13718" spans="1:19" ht="42" x14ac:dyDescent="0.15">
      <c r="A13718" s="2">
        <f>HYPERLINK("https://open-school.uspishnemisto.com.ua/school/650257/", 650257)</f>
        <v>650257</v>
      </c>
      <c r="B13718" s="3" t="s">
        <v>69252</v>
      </c>
      <c r="C13718" s="3" t="s">
        <v>31</v>
      </c>
      <c r="D13718" s="3" t="s">
        <v>32</v>
      </c>
      <c r="E13718" s="4" t="s">
        <v>22</v>
      </c>
      <c r="F13718" s="4" t="s">
        <v>69253</v>
      </c>
      <c r="G13718" s="4" t="s">
        <v>69254</v>
      </c>
      <c r="H13718" s="3" t="s">
        <v>67992</v>
      </c>
      <c r="I13718" s="3" t="s">
        <v>24617</v>
      </c>
      <c r="J13718" s="3" t="s">
        <v>69255</v>
      </c>
      <c r="K13718" s="3" t="s">
        <v>69256</v>
      </c>
      <c r="L13718" s="3" t="s">
        <v>69257</v>
      </c>
      <c r="M13718" s="4"/>
      <c r="N13718" s="3" t="s">
        <v>37</v>
      </c>
      <c r="O13718" s="3" t="s">
        <v>70</v>
      </c>
      <c r="P13718" s="5">
        <v>14</v>
      </c>
      <c r="Q13718" s="5">
        <v>276</v>
      </c>
      <c r="R13718" s="5">
        <v>15</v>
      </c>
      <c r="S13718" s="5">
        <v>280</v>
      </c>
    </row>
    <row r="13719" spans="1:19" ht="42" x14ac:dyDescent="0.15">
      <c r="A13719" s="2">
        <f>HYPERLINK("https://open-school.uspishnemisto.com.ua/school/650258/", 650258)</f>
        <v>650258</v>
      </c>
      <c r="B13719" s="3" t="s">
        <v>69258</v>
      </c>
      <c r="C13719" s="3" t="s">
        <v>31</v>
      </c>
      <c r="D13719" s="3" t="s">
        <v>32</v>
      </c>
      <c r="E13719" s="4" t="s">
        <v>22</v>
      </c>
      <c r="F13719" s="4" t="s">
        <v>69259</v>
      </c>
      <c r="G13719" s="4" t="s">
        <v>69260</v>
      </c>
      <c r="H13719" s="3" t="s">
        <v>67992</v>
      </c>
      <c r="I13719" s="3" t="s">
        <v>49294</v>
      </c>
      <c r="J13719" s="3" t="s">
        <v>35572</v>
      </c>
      <c r="K13719" s="3"/>
      <c r="L13719" s="3" t="s">
        <v>69261</v>
      </c>
      <c r="M13719" s="4"/>
      <c r="N13719" s="3" t="s">
        <v>37</v>
      </c>
      <c r="O13719" s="3" t="s">
        <v>38</v>
      </c>
      <c r="P13719" s="5">
        <v>11</v>
      </c>
      <c r="Q13719" s="5">
        <v>151</v>
      </c>
      <c r="R13719" s="5">
        <v>12</v>
      </c>
      <c r="S13719" s="5">
        <v>150</v>
      </c>
    </row>
    <row r="13720" spans="1:19" ht="42" x14ac:dyDescent="0.15">
      <c r="A13720" s="2">
        <f>HYPERLINK("https://open-school.uspishnemisto.com.ua/school/650259/", 650259)</f>
        <v>650259</v>
      </c>
      <c r="B13720" s="3" t="s">
        <v>69262</v>
      </c>
      <c r="C13720" s="3" t="s">
        <v>31</v>
      </c>
      <c r="D13720" s="3" t="s">
        <v>60</v>
      </c>
      <c r="E13720" s="4" t="s">
        <v>22</v>
      </c>
      <c r="F13720" s="4" t="s">
        <v>69259</v>
      </c>
      <c r="G13720" s="4" t="s">
        <v>69263</v>
      </c>
      <c r="H13720" s="3" t="s">
        <v>67992</v>
      </c>
      <c r="I13720" s="3" t="s">
        <v>69264</v>
      </c>
      <c r="J13720" s="3" t="s">
        <v>69265</v>
      </c>
      <c r="K13720" s="3"/>
      <c r="L13720" s="3"/>
      <c r="M13720" s="4"/>
      <c r="N13720" s="3" t="s">
        <v>37</v>
      </c>
      <c r="O13720" s="3" t="s">
        <v>52</v>
      </c>
      <c r="P13720" s="5">
        <v>2</v>
      </c>
      <c r="Q13720" s="5">
        <v>12</v>
      </c>
      <c r="R13720" s="5">
        <v>2</v>
      </c>
      <c r="S13720" s="5">
        <v>14</v>
      </c>
    </row>
    <row r="13721" spans="1:19" ht="42" x14ac:dyDescent="0.15">
      <c r="A13721" s="2">
        <f>HYPERLINK("https://open-school.uspishnemisto.com.ua/school/650260/", 650260)</f>
        <v>650260</v>
      </c>
      <c r="B13721" s="3" t="s">
        <v>69266</v>
      </c>
      <c r="C13721" s="3" t="s">
        <v>31</v>
      </c>
      <c r="D13721" s="3" t="s">
        <v>32</v>
      </c>
      <c r="E13721" s="4" t="s">
        <v>22</v>
      </c>
      <c r="F13721" s="4" t="s">
        <v>69267</v>
      </c>
      <c r="G13721" s="4" t="s">
        <v>69268</v>
      </c>
      <c r="H13721" s="3" t="s">
        <v>67992</v>
      </c>
      <c r="I13721" s="3" t="s">
        <v>69269</v>
      </c>
      <c r="J13721" s="3" t="s">
        <v>69270</v>
      </c>
      <c r="K13721" s="3" t="s">
        <v>69271</v>
      </c>
      <c r="L13721" s="3" t="s">
        <v>69272</v>
      </c>
      <c r="M13721" s="4"/>
      <c r="N13721" s="3" t="s">
        <v>37</v>
      </c>
      <c r="O13721" s="3" t="s">
        <v>38</v>
      </c>
      <c r="P13721" s="5">
        <v>20</v>
      </c>
      <c r="Q13721" s="5">
        <v>373</v>
      </c>
      <c r="R13721" s="5">
        <v>19</v>
      </c>
      <c r="S13721" s="5">
        <v>374</v>
      </c>
    </row>
    <row r="13722" spans="1:19" ht="28" x14ac:dyDescent="0.15">
      <c r="A13722" s="2">
        <f>HYPERLINK("https://open-school.uspishnemisto.com.ua/school/650261/", 650261)</f>
        <v>650261</v>
      </c>
      <c r="B13722" s="3" t="s">
        <v>69273</v>
      </c>
      <c r="C13722" s="3" t="s">
        <v>31</v>
      </c>
      <c r="D13722" s="3" t="s">
        <v>32</v>
      </c>
      <c r="E13722" s="4" t="s">
        <v>22</v>
      </c>
      <c r="F13722" s="4" t="s">
        <v>69274</v>
      </c>
      <c r="G13722" s="4" t="s">
        <v>69275</v>
      </c>
      <c r="H13722" s="3" t="s">
        <v>67992</v>
      </c>
      <c r="I13722" s="3" t="s">
        <v>69276</v>
      </c>
      <c r="J13722" s="3" t="s">
        <v>69277</v>
      </c>
      <c r="K13722" s="3" t="s">
        <v>69278</v>
      </c>
      <c r="L13722" s="3"/>
      <c r="M13722" s="4" t="s">
        <v>69279</v>
      </c>
      <c r="N13722" s="3" t="s">
        <v>37</v>
      </c>
      <c r="O13722" s="3" t="s">
        <v>46</v>
      </c>
      <c r="P13722" s="5">
        <v>22</v>
      </c>
      <c r="Q13722" s="5">
        <v>536</v>
      </c>
      <c r="R13722" s="5">
        <v>22</v>
      </c>
      <c r="S13722" s="5">
        <v>527</v>
      </c>
    </row>
    <row r="13723" spans="1:19" ht="56" x14ac:dyDescent="0.15">
      <c r="A13723" s="2">
        <f>HYPERLINK("https://open-school.uspishnemisto.com.ua/school/650262/", 650262)</f>
        <v>650262</v>
      </c>
      <c r="B13723" s="3" t="s">
        <v>69280</v>
      </c>
      <c r="C13723" s="3" t="s">
        <v>54</v>
      </c>
      <c r="D13723" s="3" t="s">
        <v>32</v>
      </c>
      <c r="E13723" s="4" t="s">
        <v>22</v>
      </c>
      <c r="F13723" s="4" t="s">
        <v>69274</v>
      </c>
      <c r="G13723" s="4" t="s">
        <v>69275</v>
      </c>
      <c r="H13723" s="3" t="s">
        <v>67992</v>
      </c>
      <c r="I13723" s="3" t="s">
        <v>69276</v>
      </c>
      <c r="J13723" s="3" t="s">
        <v>69281</v>
      </c>
      <c r="K13723" s="3" t="s">
        <v>69282</v>
      </c>
      <c r="L13723" s="3"/>
      <c r="M13723" s="4" t="s">
        <v>69283</v>
      </c>
      <c r="N13723" s="3" t="s">
        <v>37</v>
      </c>
      <c r="O13723" s="3" t="s">
        <v>38</v>
      </c>
      <c r="P13723" s="5">
        <v>11</v>
      </c>
      <c r="Q13723" s="5">
        <v>196</v>
      </c>
      <c r="R13723" s="5">
        <v>11</v>
      </c>
      <c r="S13723" s="5">
        <v>186</v>
      </c>
    </row>
    <row r="13724" spans="1:19" ht="56" x14ac:dyDescent="0.15">
      <c r="A13724" s="2">
        <f>HYPERLINK("https://open-school.uspishnemisto.com.ua/school/650263/", 650263)</f>
        <v>650263</v>
      </c>
      <c r="B13724" s="3" t="s">
        <v>69284</v>
      </c>
      <c r="C13724" s="3" t="s">
        <v>54</v>
      </c>
      <c r="D13724" s="3" t="s">
        <v>60</v>
      </c>
      <c r="E13724" s="4" t="s">
        <v>22</v>
      </c>
      <c r="F13724" s="4" t="s">
        <v>69285</v>
      </c>
      <c r="G13724" s="4" t="s">
        <v>69286</v>
      </c>
      <c r="H13724" s="3" t="s">
        <v>67992</v>
      </c>
      <c r="I13724" s="3" t="s">
        <v>3481</v>
      </c>
      <c r="J13724" s="3" t="s">
        <v>69287</v>
      </c>
      <c r="K13724" s="3" t="s">
        <v>69288</v>
      </c>
      <c r="L13724" s="3"/>
      <c r="M13724" s="4" t="s">
        <v>69289</v>
      </c>
      <c r="N13724" s="3" t="s">
        <v>37</v>
      </c>
      <c r="O13724" s="3" t="s">
        <v>52</v>
      </c>
      <c r="P13724" s="5">
        <v>2</v>
      </c>
      <c r="Q13724" s="5">
        <v>13</v>
      </c>
      <c r="R13724" s="5">
        <v>2</v>
      </c>
      <c r="S13724" s="5">
        <v>14</v>
      </c>
    </row>
    <row r="13725" spans="1:19" ht="28" x14ac:dyDescent="0.15">
      <c r="A13725" s="2">
        <f>HYPERLINK("https://open-school.uspishnemisto.com.ua/school/650264/", 650264)</f>
        <v>650264</v>
      </c>
      <c r="B13725" s="3" t="s">
        <v>69290</v>
      </c>
      <c r="C13725" s="3" t="s">
        <v>31</v>
      </c>
      <c r="D13725" s="3" t="s">
        <v>60</v>
      </c>
      <c r="E13725" s="4" t="s">
        <v>22</v>
      </c>
      <c r="F13725" s="4" t="s">
        <v>69285</v>
      </c>
      <c r="G13725" s="4" t="s">
        <v>69291</v>
      </c>
      <c r="H13725" s="3" t="s">
        <v>67992</v>
      </c>
      <c r="I13725" s="3" t="s">
        <v>69292</v>
      </c>
      <c r="J13725" s="3" t="s">
        <v>69293</v>
      </c>
      <c r="K13725" s="3"/>
      <c r="L13725" s="3"/>
      <c r="M13725" s="4"/>
      <c r="N13725" s="3"/>
      <c r="O13725" s="3"/>
      <c r="P13725" s="5">
        <v>0</v>
      </c>
      <c r="Q13725" s="5">
        <v>0</v>
      </c>
      <c r="R13725" s="5"/>
      <c r="S13725" s="5"/>
    </row>
    <row r="13726" spans="1:19" ht="42" x14ac:dyDescent="0.15">
      <c r="A13726" s="2">
        <f>HYPERLINK("https://open-school.uspishnemisto.com.ua/school/650265/", 650265)</f>
        <v>650265</v>
      </c>
      <c r="B13726" s="3" t="s">
        <v>69294</v>
      </c>
      <c r="C13726" s="3" t="s">
        <v>31</v>
      </c>
      <c r="D13726" s="3" t="s">
        <v>32</v>
      </c>
      <c r="E13726" s="4" t="s">
        <v>22</v>
      </c>
      <c r="F13726" s="4" t="s">
        <v>69295</v>
      </c>
      <c r="G13726" s="4" t="s">
        <v>69296</v>
      </c>
      <c r="H13726" s="3" t="s">
        <v>67992</v>
      </c>
      <c r="I13726" s="3" t="s">
        <v>69297</v>
      </c>
      <c r="J13726" s="3" t="s">
        <v>18170</v>
      </c>
      <c r="K13726" s="3"/>
      <c r="L13726" s="3"/>
      <c r="M13726" s="4"/>
      <c r="N13726" s="3" t="s">
        <v>37</v>
      </c>
      <c r="O13726" s="3" t="s">
        <v>70</v>
      </c>
      <c r="P13726" s="5">
        <v>9</v>
      </c>
      <c r="Q13726" s="5">
        <v>80</v>
      </c>
      <c r="R13726" s="5">
        <v>9</v>
      </c>
      <c r="S13726" s="5">
        <v>72</v>
      </c>
    </row>
    <row r="13727" spans="1:19" ht="28" x14ac:dyDescent="0.15">
      <c r="A13727" s="2">
        <f>HYPERLINK("https://open-school.uspishnemisto.com.ua/school/650266/", 650266)</f>
        <v>650266</v>
      </c>
      <c r="B13727" s="3" t="s">
        <v>69298</v>
      </c>
      <c r="C13727" s="3" t="s">
        <v>31</v>
      </c>
      <c r="D13727" s="3" t="s">
        <v>32</v>
      </c>
      <c r="E13727" s="4" t="s">
        <v>22</v>
      </c>
      <c r="F13727" s="4" t="s">
        <v>69299</v>
      </c>
      <c r="G13727" s="4" t="s">
        <v>69300</v>
      </c>
      <c r="H13727" s="3" t="s">
        <v>67992</v>
      </c>
      <c r="I13727" s="3" t="s">
        <v>33954</v>
      </c>
      <c r="J13727" s="3" t="s">
        <v>49714</v>
      </c>
      <c r="K13727" s="3" t="s">
        <v>69301</v>
      </c>
      <c r="L13727" s="3"/>
      <c r="M13727" s="4"/>
      <c r="N13727" s="3" t="s">
        <v>37</v>
      </c>
      <c r="O13727" s="3" t="s">
        <v>38</v>
      </c>
      <c r="P13727" s="5">
        <v>9</v>
      </c>
      <c r="Q13727" s="5">
        <v>82</v>
      </c>
      <c r="R13727" s="5">
        <v>9</v>
      </c>
      <c r="S13727" s="5">
        <v>85</v>
      </c>
    </row>
    <row r="13728" spans="1:19" ht="42" x14ac:dyDescent="0.15">
      <c r="A13728" s="2">
        <f>HYPERLINK("https://open-school.uspishnemisto.com.ua/school/650267/", 650267)</f>
        <v>650267</v>
      </c>
      <c r="B13728" s="3" t="s">
        <v>69302</v>
      </c>
      <c r="C13728" s="3" t="s">
        <v>54</v>
      </c>
      <c r="D13728" s="3" t="s">
        <v>32</v>
      </c>
      <c r="E13728" s="4" t="s">
        <v>22</v>
      </c>
      <c r="F13728" s="4" t="s">
        <v>69303</v>
      </c>
      <c r="G13728" s="4" t="s">
        <v>69304</v>
      </c>
      <c r="H13728" s="3" t="s">
        <v>67992</v>
      </c>
      <c r="I13728" s="3" t="s">
        <v>48538</v>
      </c>
      <c r="J13728" s="3" t="s">
        <v>69305</v>
      </c>
      <c r="K13728" s="3" t="s">
        <v>69306</v>
      </c>
      <c r="L13728" s="3"/>
      <c r="M13728" s="4"/>
      <c r="N13728" s="3" t="s">
        <v>37</v>
      </c>
      <c r="O13728" s="3" t="s">
        <v>52</v>
      </c>
      <c r="P13728" s="5">
        <v>9</v>
      </c>
      <c r="Q13728" s="5">
        <v>75</v>
      </c>
      <c r="R13728" s="5">
        <v>9</v>
      </c>
      <c r="S13728" s="5">
        <v>86</v>
      </c>
    </row>
    <row r="13729" spans="1:19" ht="42" x14ac:dyDescent="0.15">
      <c r="A13729" s="2">
        <f>HYPERLINK("https://open-school.uspishnemisto.com.ua/school/650268/", 650268)</f>
        <v>650268</v>
      </c>
      <c r="B13729" s="3" t="s">
        <v>69307</v>
      </c>
      <c r="C13729" s="3" t="s">
        <v>31</v>
      </c>
      <c r="D13729" s="3" t="s">
        <v>175</v>
      </c>
      <c r="E13729" s="4" t="s">
        <v>22</v>
      </c>
      <c r="F13729" s="4" t="s">
        <v>69308</v>
      </c>
      <c r="G13729" s="4" t="s">
        <v>69309</v>
      </c>
      <c r="H13729" s="3" t="s">
        <v>67992</v>
      </c>
      <c r="I13729" s="3" t="s">
        <v>69310</v>
      </c>
      <c r="J13729" s="3" t="s">
        <v>694</v>
      </c>
      <c r="K13729" s="3" t="s">
        <v>69311</v>
      </c>
      <c r="L13729" s="3"/>
      <c r="M13729" s="4"/>
      <c r="N13729" s="3" t="s">
        <v>37</v>
      </c>
      <c r="O13729" s="3" t="s">
        <v>38</v>
      </c>
      <c r="P13729" s="5">
        <v>4</v>
      </c>
      <c r="Q13729" s="5">
        <v>37</v>
      </c>
      <c r="R13729" s="5">
        <v>3</v>
      </c>
      <c r="S13729" s="5">
        <v>35</v>
      </c>
    </row>
    <row r="13730" spans="1:19" ht="28" x14ac:dyDescent="0.15">
      <c r="A13730" s="2">
        <f>HYPERLINK("https://open-school.uspishnemisto.com.ua/school/650269/", 650269)</f>
        <v>650269</v>
      </c>
      <c r="B13730" s="3" t="s">
        <v>69312</v>
      </c>
      <c r="C13730" s="3" t="s">
        <v>31</v>
      </c>
      <c r="D13730" s="3" t="s">
        <v>32</v>
      </c>
      <c r="E13730" s="4" t="s">
        <v>22</v>
      </c>
      <c r="F13730" s="4" t="s">
        <v>69313</v>
      </c>
      <c r="G13730" s="4" t="s">
        <v>69314</v>
      </c>
      <c r="H13730" s="3" t="s">
        <v>67992</v>
      </c>
      <c r="I13730" s="3" t="s">
        <v>49321</v>
      </c>
      <c r="J13730" s="3" t="s">
        <v>69315</v>
      </c>
      <c r="K13730" s="3" t="s">
        <v>69316</v>
      </c>
      <c r="L13730" s="3"/>
      <c r="M13730" s="4" t="s">
        <v>69317</v>
      </c>
      <c r="N13730" s="3" t="s">
        <v>37</v>
      </c>
      <c r="O13730" s="3" t="s">
        <v>38</v>
      </c>
      <c r="P13730" s="5">
        <v>15</v>
      </c>
      <c r="Q13730" s="5">
        <v>295</v>
      </c>
      <c r="R13730" s="5">
        <v>15</v>
      </c>
      <c r="S13730" s="5">
        <v>305</v>
      </c>
    </row>
    <row r="13731" spans="1:19" ht="28" x14ac:dyDescent="0.15">
      <c r="A13731" s="2">
        <f>HYPERLINK("https://open-school.uspishnemisto.com.ua/school/650270/", 650270)</f>
        <v>650270</v>
      </c>
      <c r="B13731" s="3" t="s">
        <v>69318</v>
      </c>
      <c r="C13731" s="3" t="s">
        <v>31</v>
      </c>
      <c r="D13731" s="3" t="s">
        <v>60</v>
      </c>
      <c r="E13731" s="4" t="s">
        <v>22</v>
      </c>
      <c r="F13731" s="4" t="s">
        <v>69313</v>
      </c>
      <c r="G13731" s="4" t="s">
        <v>69314</v>
      </c>
      <c r="H13731" s="3" t="s">
        <v>67992</v>
      </c>
      <c r="I13731" s="3" t="s">
        <v>49321</v>
      </c>
      <c r="J13731" s="3" t="s">
        <v>69319</v>
      </c>
      <c r="K13731" s="3"/>
      <c r="L13731" s="3"/>
      <c r="M13731" s="4"/>
      <c r="N13731" s="3"/>
      <c r="O13731" s="3"/>
      <c r="P13731" s="5">
        <v>0</v>
      </c>
      <c r="Q13731" s="5">
        <v>0</v>
      </c>
      <c r="R13731" s="5"/>
      <c r="S13731" s="5"/>
    </row>
    <row r="13732" spans="1:19" ht="28" x14ac:dyDescent="0.15">
      <c r="A13732" s="2">
        <f>HYPERLINK("https://open-school.uspishnemisto.com.ua/school/650271/", 650271)</f>
        <v>650271</v>
      </c>
      <c r="B13732" s="3" t="s">
        <v>69320</v>
      </c>
      <c r="C13732" s="3" t="s">
        <v>31</v>
      </c>
      <c r="D13732" s="3" t="s">
        <v>32</v>
      </c>
      <c r="E13732" s="4" t="s">
        <v>22</v>
      </c>
      <c r="F13732" s="4" t="s">
        <v>69321</v>
      </c>
      <c r="G13732" s="4" t="s">
        <v>69322</v>
      </c>
      <c r="H13732" s="3" t="s">
        <v>67992</v>
      </c>
      <c r="I13732" s="3" t="s">
        <v>2179</v>
      </c>
      <c r="J13732" s="3" t="s">
        <v>69323</v>
      </c>
      <c r="K13732" s="3"/>
      <c r="L13732" s="3"/>
      <c r="M13732" s="4" t="s">
        <v>69324</v>
      </c>
      <c r="N13732" s="3" t="s">
        <v>37</v>
      </c>
      <c r="O13732" s="3" t="s">
        <v>38</v>
      </c>
      <c r="P13732" s="5">
        <v>11</v>
      </c>
      <c r="Q13732" s="5">
        <v>150</v>
      </c>
      <c r="R13732" s="5">
        <v>11</v>
      </c>
      <c r="S13732" s="5">
        <v>136</v>
      </c>
    </row>
    <row r="13733" spans="1:19" ht="28" x14ac:dyDescent="0.15">
      <c r="A13733" s="2">
        <f>HYPERLINK("https://open-school.uspishnemisto.com.ua/school/650272/", 650272)</f>
        <v>650272</v>
      </c>
      <c r="B13733" s="3" t="s">
        <v>69325</v>
      </c>
      <c r="C13733" s="3" t="s">
        <v>2128</v>
      </c>
      <c r="D13733" s="3" t="s">
        <v>32</v>
      </c>
      <c r="E13733" s="4" t="s">
        <v>22</v>
      </c>
      <c r="F13733" s="4" t="s">
        <v>69326</v>
      </c>
      <c r="G13733" s="4" t="s">
        <v>69327</v>
      </c>
      <c r="H13733" s="3" t="s">
        <v>67992</v>
      </c>
      <c r="I13733" s="3" t="s">
        <v>35527</v>
      </c>
      <c r="J13733" s="3" t="s">
        <v>55665</v>
      </c>
      <c r="K13733" s="3"/>
      <c r="L13733" s="3"/>
      <c r="M13733" s="4"/>
      <c r="N13733" s="3"/>
      <c r="O13733" s="3"/>
      <c r="P13733" s="5">
        <v>0</v>
      </c>
      <c r="Q13733" s="5">
        <v>0</v>
      </c>
      <c r="R13733" s="5"/>
      <c r="S13733" s="5"/>
    </row>
    <row r="13734" spans="1:19" ht="28" x14ac:dyDescent="0.15">
      <c r="A13734" s="2">
        <f>HYPERLINK("https://open-school.uspishnemisto.com.ua/school/650273/", 650273)</f>
        <v>650273</v>
      </c>
      <c r="B13734" s="3" t="s">
        <v>69328</v>
      </c>
      <c r="C13734" s="3" t="s">
        <v>31</v>
      </c>
      <c r="D13734" s="3" t="s">
        <v>32</v>
      </c>
      <c r="E13734" s="4" t="s">
        <v>22</v>
      </c>
      <c r="F13734" s="4" t="s">
        <v>69329</v>
      </c>
      <c r="G13734" s="4" t="s">
        <v>69330</v>
      </c>
      <c r="H13734" s="3" t="s">
        <v>67992</v>
      </c>
      <c r="I13734" s="3" t="s">
        <v>69331</v>
      </c>
      <c r="J13734" s="3" t="s">
        <v>2253</v>
      </c>
      <c r="K13734" s="3" t="s">
        <v>69332</v>
      </c>
      <c r="L13734" s="3"/>
      <c r="M13734" s="4"/>
      <c r="N13734" s="3" t="s">
        <v>37</v>
      </c>
      <c r="O13734" s="3" t="s">
        <v>618</v>
      </c>
      <c r="P13734" s="5">
        <v>6</v>
      </c>
      <c r="Q13734" s="5">
        <v>56</v>
      </c>
      <c r="R13734" s="5">
        <v>6</v>
      </c>
      <c r="S13734" s="5">
        <v>57</v>
      </c>
    </row>
    <row r="13735" spans="1:19" ht="28" x14ac:dyDescent="0.15">
      <c r="A13735" s="2">
        <f>HYPERLINK("https://open-school.uspishnemisto.com.ua/school/650274/", 650274)</f>
        <v>650274</v>
      </c>
      <c r="B13735" s="3" t="s">
        <v>69333</v>
      </c>
      <c r="C13735" s="3" t="s">
        <v>31</v>
      </c>
      <c r="D13735" s="3" t="s">
        <v>32</v>
      </c>
      <c r="E13735" s="4" t="s">
        <v>22</v>
      </c>
      <c r="F13735" s="4" t="s">
        <v>69334</v>
      </c>
      <c r="G13735" s="4" t="s">
        <v>69335</v>
      </c>
      <c r="H13735" s="3" t="s">
        <v>67992</v>
      </c>
      <c r="I13735" s="3" t="s">
        <v>69336</v>
      </c>
      <c r="J13735" s="3" t="s">
        <v>18747</v>
      </c>
      <c r="K13735" s="3" t="s">
        <v>69337</v>
      </c>
      <c r="L13735" s="3"/>
      <c r="M13735" s="4"/>
      <c r="N13735" s="3" t="s">
        <v>37</v>
      </c>
      <c r="O13735" s="3" t="s">
        <v>52</v>
      </c>
      <c r="P13735" s="5">
        <v>11</v>
      </c>
      <c r="Q13735" s="5">
        <v>156</v>
      </c>
      <c r="R13735" s="5">
        <v>11</v>
      </c>
      <c r="S13735" s="5">
        <v>140</v>
      </c>
    </row>
    <row r="13736" spans="1:19" ht="56" x14ac:dyDescent="0.15">
      <c r="A13736" s="2">
        <f>HYPERLINK("https://open-school.uspishnemisto.com.ua/school/650275/", 650275)</f>
        <v>650275</v>
      </c>
      <c r="B13736" s="3" t="s">
        <v>69338</v>
      </c>
      <c r="C13736" s="3" t="s">
        <v>54</v>
      </c>
      <c r="D13736" s="3" t="s">
        <v>175</v>
      </c>
      <c r="E13736" s="4" t="s">
        <v>22</v>
      </c>
      <c r="F13736" s="4" t="s">
        <v>69339</v>
      </c>
      <c r="G13736" s="4" t="s">
        <v>69340</v>
      </c>
      <c r="H13736" s="3" t="s">
        <v>67992</v>
      </c>
      <c r="I13736" s="3" t="s">
        <v>69341</v>
      </c>
      <c r="J13736" s="3" t="s">
        <v>3173</v>
      </c>
      <c r="K13736" s="3"/>
      <c r="L13736" s="3"/>
      <c r="M13736" s="4"/>
      <c r="N13736" s="3" t="s">
        <v>37</v>
      </c>
      <c r="O13736" s="3" t="s">
        <v>38</v>
      </c>
      <c r="P13736" s="5">
        <v>5</v>
      </c>
      <c r="Q13736" s="5">
        <v>33</v>
      </c>
      <c r="R13736" s="5">
        <v>3</v>
      </c>
      <c r="S13736" s="5">
        <v>32</v>
      </c>
    </row>
    <row r="13737" spans="1:19" ht="56" x14ac:dyDescent="0.15">
      <c r="A13737" s="2">
        <f>HYPERLINK("https://open-school.uspishnemisto.com.ua/school/650276/", 650276)</f>
        <v>650276</v>
      </c>
      <c r="B13737" s="3" t="s">
        <v>69342</v>
      </c>
      <c r="C13737" s="3" t="s">
        <v>54</v>
      </c>
      <c r="D13737" s="3" t="s">
        <v>32</v>
      </c>
      <c r="E13737" s="4" t="s">
        <v>22</v>
      </c>
      <c r="F13737" s="4" t="s">
        <v>69326</v>
      </c>
      <c r="G13737" s="4" t="s">
        <v>69343</v>
      </c>
      <c r="H13737" s="3" t="s">
        <v>67992</v>
      </c>
      <c r="I13737" s="3" t="s">
        <v>69344</v>
      </c>
      <c r="J13737" s="3" t="s">
        <v>69345</v>
      </c>
      <c r="K13737" s="3" t="s">
        <v>69346</v>
      </c>
      <c r="L13737" s="3"/>
      <c r="M13737" s="4"/>
      <c r="N13737" s="3" t="s">
        <v>37</v>
      </c>
      <c r="O13737" s="3" t="s">
        <v>38</v>
      </c>
      <c r="P13737" s="5">
        <v>10</v>
      </c>
      <c r="Q13737" s="5">
        <v>109</v>
      </c>
      <c r="R13737" s="5">
        <v>11</v>
      </c>
      <c r="S13737" s="5">
        <v>109</v>
      </c>
    </row>
    <row r="13738" spans="1:19" ht="28" x14ac:dyDescent="0.15">
      <c r="A13738" s="2">
        <f>HYPERLINK("https://open-school.uspishnemisto.com.ua/school/650277/", 650277)</f>
        <v>650277</v>
      </c>
      <c r="B13738" s="3" t="s">
        <v>69347</v>
      </c>
      <c r="C13738" s="3" t="s">
        <v>31</v>
      </c>
      <c r="D13738" s="3" t="s">
        <v>32</v>
      </c>
      <c r="E13738" s="4" t="s">
        <v>22</v>
      </c>
      <c r="F13738" s="4" t="s">
        <v>69285</v>
      </c>
      <c r="G13738" s="4" t="s">
        <v>69348</v>
      </c>
      <c r="H13738" s="3" t="s">
        <v>67992</v>
      </c>
      <c r="I13738" s="3" t="s">
        <v>35500</v>
      </c>
      <c r="J13738" s="3" t="s">
        <v>1900</v>
      </c>
      <c r="K13738" s="3" t="s">
        <v>69349</v>
      </c>
      <c r="L13738" s="3"/>
      <c r="M13738" s="4"/>
      <c r="N13738" s="3" t="s">
        <v>37</v>
      </c>
      <c r="O13738" s="3" t="s">
        <v>38</v>
      </c>
      <c r="P13738" s="5">
        <v>8</v>
      </c>
      <c r="Q13738" s="5">
        <v>86</v>
      </c>
      <c r="R13738" s="5">
        <v>11</v>
      </c>
      <c r="S13738" s="5">
        <v>92</v>
      </c>
    </row>
    <row r="13739" spans="1:19" ht="42" x14ac:dyDescent="0.15">
      <c r="A13739" s="2">
        <f>HYPERLINK("https://open-school.uspishnemisto.com.ua/school/650278/", 650278)</f>
        <v>650278</v>
      </c>
      <c r="B13739" s="3" t="s">
        <v>69350</v>
      </c>
      <c r="C13739" s="3" t="s">
        <v>54</v>
      </c>
      <c r="D13739" s="3" t="s">
        <v>60</v>
      </c>
      <c r="E13739" s="4" t="s">
        <v>22</v>
      </c>
      <c r="F13739" s="4" t="s">
        <v>69285</v>
      </c>
      <c r="G13739" s="4" t="s">
        <v>69351</v>
      </c>
      <c r="H13739" s="3" t="s">
        <v>67992</v>
      </c>
      <c r="I13739" s="3" t="s">
        <v>69352</v>
      </c>
      <c r="J13739" s="3" t="s">
        <v>19882</v>
      </c>
      <c r="K13739" s="3" t="s">
        <v>69353</v>
      </c>
      <c r="L13739" s="3"/>
      <c r="M13739" s="4" t="s">
        <v>69354</v>
      </c>
      <c r="N13739" s="3" t="s">
        <v>37</v>
      </c>
      <c r="O13739" s="3" t="s">
        <v>52</v>
      </c>
      <c r="P13739" s="5">
        <v>2</v>
      </c>
      <c r="Q13739" s="5">
        <v>14</v>
      </c>
      <c r="R13739" s="5">
        <v>2</v>
      </c>
      <c r="S13739" s="5">
        <v>15</v>
      </c>
    </row>
    <row r="13740" spans="1:19" ht="28" x14ac:dyDescent="0.15">
      <c r="A13740" s="2">
        <f>HYPERLINK("https://open-school.uspishnemisto.com.ua/school/650279/", 650279)</f>
        <v>650279</v>
      </c>
      <c r="B13740" s="3" t="s">
        <v>69355</v>
      </c>
      <c r="C13740" s="3" t="s">
        <v>40</v>
      </c>
      <c r="D13740" s="3" t="s">
        <v>32</v>
      </c>
      <c r="E13740" s="4" t="s">
        <v>22</v>
      </c>
      <c r="F13740" s="4" t="s">
        <v>69356</v>
      </c>
      <c r="G13740" s="4" t="s">
        <v>69357</v>
      </c>
      <c r="H13740" s="3" t="s">
        <v>67992</v>
      </c>
      <c r="I13740" s="3" t="s">
        <v>883</v>
      </c>
      <c r="J13740" s="3" t="s">
        <v>69358</v>
      </c>
      <c r="K13740" s="3" t="s">
        <v>69359</v>
      </c>
      <c r="L13740" s="3" t="s">
        <v>69360</v>
      </c>
      <c r="M13740" s="4"/>
      <c r="N13740" s="3" t="s">
        <v>37</v>
      </c>
      <c r="O13740" s="3" t="s">
        <v>70</v>
      </c>
      <c r="P13740" s="5">
        <v>19</v>
      </c>
      <c r="Q13740" s="5">
        <v>419</v>
      </c>
      <c r="R13740" s="5">
        <v>20</v>
      </c>
      <c r="S13740" s="5">
        <v>423</v>
      </c>
    </row>
    <row r="13741" spans="1:19" ht="28" x14ac:dyDescent="0.15">
      <c r="A13741" s="2">
        <f>HYPERLINK("https://open-school.uspishnemisto.com.ua/school/650280/", 650280)</f>
        <v>650280</v>
      </c>
      <c r="B13741" s="3" t="s">
        <v>69361</v>
      </c>
      <c r="C13741" s="3" t="s">
        <v>31</v>
      </c>
      <c r="D13741" s="3" t="s">
        <v>32</v>
      </c>
      <c r="E13741" s="4" t="s">
        <v>22</v>
      </c>
      <c r="F13741" s="4" t="s">
        <v>69362</v>
      </c>
      <c r="G13741" s="4" t="s">
        <v>69357</v>
      </c>
      <c r="H13741" s="3" t="s">
        <v>67992</v>
      </c>
      <c r="I13741" s="3" t="s">
        <v>883</v>
      </c>
      <c r="J13741" s="3" t="s">
        <v>69363</v>
      </c>
      <c r="K13741" s="3" t="s">
        <v>69364</v>
      </c>
      <c r="L13741" s="3"/>
      <c r="M13741" s="4"/>
      <c r="N13741" s="3" t="s">
        <v>37</v>
      </c>
      <c r="O13741" s="3" t="s">
        <v>70</v>
      </c>
      <c r="P13741" s="5">
        <v>9</v>
      </c>
      <c r="Q13741" s="5">
        <v>100</v>
      </c>
      <c r="R13741" s="5">
        <v>9</v>
      </c>
      <c r="S13741" s="5">
        <v>96</v>
      </c>
    </row>
    <row r="13742" spans="1:19" ht="28" x14ac:dyDescent="0.15">
      <c r="A13742" s="2">
        <f>HYPERLINK("https://open-school.uspishnemisto.com.ua/school/650281/", 650281)</f>
        <v>650281</v>
      </c>
      <c r="B13742" s="3" t="s">
        <v>69365</v>
      </c>
      <c r="C13742" s="3" t="s">
        <v>31</v>
      </c>
      <c r="D13742" s="3" t="s">
        <v>32</v>
      </c>
      <c r="E13742" s="4" t="s">
        <v>22</v>
      </c>
      <c r="F13742" s="4" t="s">
        <v>69366</v>
      </c>
      <c r="G13742" s="4" t="s">
        <v>69367</v>
      </c>
      <c r="H13742" s="3" t="s">
        <v>67992</v>
      </c>
      <c r="I13742" s="3" t="s">
        <v>5088</v>
      </c>
      <c r="J13742" s="3" t="s">
        <v>7340</v>
      </c>
      <c r="K13742" s="3" t="s">
        <v>69368</v>
      </c>
      <c r="L13742" s="3"/>
      <c r="M13742" s="4"/>
      <c r="N13742" s="3" t="s">
        <v>37</v>
      </c>
      <c r="O13742" s="3" t="s">
        <v>38</v>
      </c>
      <c r="P13742" s="5">
        <v>7</v>
      </c>
      <c r="Q13742" s="5">
        <v>74</v>
      </c>
      <c r="R13742" s="5">
        <v>8</v>
      </c>
      <c r="S13742" s="5">
        <v>87</v>
      </c>
    </row>
    <row r="13743" spans="1:19" ht="28" x14ac:dyDescent="0.15">
      <c r="A13743" s="2">
        <f>HYPERLINK("https://open-school.uspishnemisto.com.ua/school/650282/", 650282)</f>
        <v>650282</v>
      </c>
      <c r="B13743" s="3" t="s">
        <v>69369</v>
      </c>
      <c r="C13743" s="3" t="s">
        <v>31</v>
      </c>
      <c r="D13743" s="3" t="s">
        <v>32</v>
      </c>
      <c r="E13743" s="4" t="s">
        <v>22</v>
      </c>
      <c r="F13743" s="4" t="s">
        <v>69370</v>
      </c>
      <c r="G13743" s="4" t="s">
        <v>69371</v>
      </c>
      <c r="H13743" s="3" t="s">
        <v>67992</v>
      </c>
      <c r="I13743" s="3" t="s">
        <v>26292</v>
      </c>
      <c r="J13743" s="3" t="s">
        <v>3370</v>
      </c>
      <c r="K13743" s="3"/>
      <c r="L13743" s="3"/>
      <c r="M13743" s="4"/>
      <c r="N13743" s="3" t="s">
        <v>37</v>
      </c>
      <c r="O13743" s="3" t="s">
        <v>38</v>
      </c>
      <c r="P13743" s="5">
        <v>7</v>
      </c>
      <c r="Q13743" s="5">
        <v>49</v>
      </c>
      <c r="R13743" s="5">
        <v>7</v>
      </c>
      <c r="S13743" s="5">
        <v>63</v>
      </c>
    </row>
    <row r="13744" spans="1:19" ht="28" x14ac:dyDescent="0.15">
      <c r="A13744" s="2">
        <f>HYPERLINK("https://open-school.uspishnemisto.com.ua/school/650283/", 650283)</f>
        <v>650283</v>
      </c>
      <c r="B13744" s="3" t="s">
        <v>69372</v>
      </c>
      <c r="C13744" s="3" t="s">
        <v>31</v>
      </c>
      <c r="D13744" s="3" t="s">
        <v>32</v>
      </c>
      <c r="E13744" s="4" t="s">
        <v>22</v>
      </c>
      <c r="F13744" s="4" t="s">
        <v>69373</v>
      </c>
      <c r="G13744" s="4" t="s">
        <v>69374</v>
      </c>
      <c r="H13744" s="3" t="s">
        <v>67992</v>
      </c>
      <c r="I13744" s="3" t="s">
        <v>69375</v>
      </c>
      <c r="J13744" s="3" t="s">
        <v>903</v>
      </c>
      <c r="K13744" s="3" t="s">
        <v>69376</v>
      </c>
      <c r="L13744" s="3"/>
      <c r="M13744" s="4"/>
      <c r="N13744" s="3" t="s">
        <v>37</v>
      </c>
      <c r="O13744" s="3" t="s">
        <v>112</v>
      </c>
      <c r="P13744" s="5">
        <v>6</v>
      </c>
      <c r="Q13744" s="5">
        <v>46</v>
      </c>
      <c r="R13744" s="5">
        <v>7</v>
      </c>
      <c r="S13744" s="5">
        <v>48</v>
      </c>
    </row>
    <row r="13745" spans="1:19" ht="28" x14ac:dyDescent="0.15">
      <c r="A13745" s="2">
        <f>HYPERLINK("https://open-school.uspishnemisto.com.ua/school/650284/", 650284)</f>
        <v>650284</v>
      </c>
      <c r="B13745" s="3" t="s">
        <v>69377</v>
      </c>
      <c r="C13745" s="3" t="s">
        <v>31</v>
      </c>
      <c r="D13745" s="3" t="s">
        <v>32</v>
      </c>
      <c r="E13745" s="4" t="s">
        <v>22</v>
      </c>
      <c r="F13745" s="4" t="s">
        <v>69378</v>
      </c>
      <c r="G13745" s="4" t="s">
        <v>69379</v>
      </c>
      <c r="H13745" s="3" t="s">
        <v>67992</v>
      </c>
      <c r="I13745" s="3" t="s">
        <v>11256</v>
      </c>
      <c r="J13745" s="3" t="s">
        <v>4606</v>
      </c>
      <c r="K13745" s="3" t="s">
        <v>69380</v>
      </c>
      <c r="L13745" s="3"/>
      <c r="M13745" s="4"/>
      <c r="N13745" s="3" t="s">
        <v>37</v>
      </c>
      <c r="O13745" s="3" t="s">
        <v>38</v>
      </c>
      <c r="P13745" s="5">
        <v>9</v>
      </c>
      <c r="Q13745" s="5">
        <v>84</v>
      </c>
      <c r="R13745" s="5">
        <v>8</v>
      </c>
      <c r="S13745" s="5">
        <v>77</v>
      </c>
    </row>
    <row r="13746" spans="1:19" ht="56" x14ac:dyDescent="0.15">
      <c r="A13746" s="2">
        <f>HYPERLINK("https://open-school.uspishnemisto.com.ua/school/650285/", 650285)</f>
        <v>650285</v>
      </c>
      <c r="B13746" s="3" t="s">
        <v>69381</v>
      </c>
      <c r="C13746" s="3" t="s">
        <v>54</v>
      </c>
      <c r="D13746" s="3" t="s">
        <v>32</v>
      </c>
      <c r="E13746" s="4" t="s">
        <v>22</v>
      </c>
      <c r="F13746" s="4" t="s">
        <v>69382</v>
      </c>
      <c r="G13746" s="4" t="s">
        <v>69383</v>
      </c>
      <c r="H13746" s="3" t="s">
        <v>67992</v>
      </c>
      <c r="I13746" s="3" t="s">
        <v>13182</v>
      </c>
      <c r="J13746" s="3" t="s">
        <v>5145</v>
      </c>
      <c r="K13746" s="3" t="s">
        <v>69384</v>
      </c>
      <c r="L13746" s="3" t="s">
        <v>69385</v>
      </c>
      <c r="M13746" s="4" t="s">
        <v>69386</v>
      </c>
      <c r="N13746" s="3" t="s">
        <v>37</v>
      </c>
      <c r="O13746" s="3" t="s">
        <v>46</v>
      </c>
      <c r="P13746" s="5">
        <v>8</v>
      </c>
      <c r="Q13746" s="5">
        <v>64</v>
      </c>
      <c r="R13746" s="5">
        <v>8</v>
      </c>
      <c r="S13746" s="5">
        <v>57</v>
      </c>
    </row>
    <row r="13747" spans="1:19" ht="28" x14ac:dyDescent="0.15">
      <c r="A13747" s="2">
        <f>HYPERLINK("https://open-school.uspishnemisto.com.ua/school/650286/", 650286)</f>
        <v>650286</v>
      </c>
      <c r="B13747" s="3" t="s">
        <v>69387</v>
      </c>
      <c r="C13747" s="3" t="s">
        <v>31</v>
      </c>
      <c r="D13747" s="3" t="s">
        <v>32</v>
      </c>
      <c r="E13747" s="4" t="s">
        <v>22</v>
      </c>
      <c r="F13747" s="4" t="s">
        <v>69388</v>
      </c>
      <c r="G13747" s="4" t="s">
        <v>69389</v>
      </c>
      <c r="H13747" s="3" t="s">
        <v>67992</v>
      </c>
      <c r="I13747" s="3" t="s">
        <v>69390</v>
      </c>
      <c r="J13747" s="3" t="s">
        <v>554</v>
      </c>
      <c r="K13747" s="3" t="s">
        <v>69391</v>
      </c>
      <c r="L13747" s="3" t="s">
        <v>69392</v>
      </c>
      <c r="M13747" s="4"/>
      <c r="N13747" s="3" t="s">
        <v>128</v>
      </c>
      <c r="O13747" s="3" t="s">
        <v>46</v>
      </c>
      <c r="P13747" s="5">
        <v>9</v>
      </c>
      <c r="Q13747" s="5">
        <v>88</v>
      </c>
      <c r="R13747" s="5">
        <v>9</v>
      </c>
      <c r="S13747" s="5">
        <v>84</v>
      </c>
    </row>
    <row r="13748" spans="1:19" ht="28" x14ac:dyDescent="0.15">
      <c r="A13748" s="2">
        <f>HYPERLINK("https://open-school.uspishnemisto.com.ua/school/650287/", 650287)</f>
        <v>650287</v>
      </c>
      <c r="B13748" s="3" t="s">
        <v>69393</v>
      </c>
      <c r="C13748" s="3" t="s">
        <v>31</v>
      </c>
      <c r="D13748" s="3" t="s">
        <v>32</v>
      </c>
      <c r="E13748" s="4" t="s">
        <v>22</v>
      </c>
      <c r="F13748" s="4" t="s">
        <v>69394</v>
      </c>
      <c r="G13748" s="4" t="s">
        <v>69395</v>
      </c>
      <c r="H13748" s="3" t="s">
        <v>67992</v>
      </c>
      <c r="I13748" s="3" t="s">
        <v>69396</v>
      </c>
      <c r="J13748" s="3" t="s">
        <v>584</v>
      </c>
      <c r="K13748" s="3" t="s">
        <v>69397</v>
      </c>
      <c r="L13748" s="3" t="s">
        <v>69398</v>
      </c>
      <c r="M13748" s="4"/>
      <c r="N13748" s="3" t="s">
        <v>37</v>
      </c>
      <c r="O13748" s="3" t="s">
        <v>70</v>
      </c>
      <c r="P13748" s="5">
        <v>7</v>
      </c>
      <c r="Q13748" s="5">
        <v>62</v>
      </c>
      <c r="R13748" s="5">
        <v>8</v>
      </c>
      <c r="S13748" s="5">
        <v>68</v>
      </c>
    </row>
    <row r="13749" spans="1:19" ht="56" x14ac:dyDescent="0.15">
      <c r="A13749" s="2">
        <f>HYPERLINK("https://open-school.uspishnemisto.com.ua/school/650288/", 650288)</f>
        <v>650288</v>
      </c>
      <c r="B13749" s="3" t="s">
        <v>69399</v>
      </c>
      <c r="C13749" s="3" t="s">
        <v>54</v>
      </c>
      <c r="D13749" s="3" t="s">
        <v>32</v>
      </c>
      <c r="E13749" s="4" t="s">
        <v>22</v>
      </c>
      <c r="F13749" s="4" t="s">
        <v>69400</v>
      </c>
      <c r="G13749" s="4" t="s">
        <v>69401</v>
      </c>
      <c r="H13749" s="3" t="s">
        <v>67992</v>
      </c>
      <c r="I13749" s="3" t="s">
        <v>69402</v>
      </c>
      <c r="J13749" s="3" t="s">
        <v>466</v>
      </c>
      <c r="K13749" s="3" t="s">
        <v>69403</v>
      </c>
      <c r="L13749" s="3" t="s">
        <v>69404</v>
      </c>
      <c r="M13749" s="4"/>
      <c r="N13749" s="3" t="s">
        <v>37</v>
      </c>
      <c r="O13749" s="3" t="s">
        <v>38</v>
      </c>
      <c r="P13749" s="5">
        <v>9</v>
      </c>
      <c r="Q13749" s="5">
        <v>58</v>
      </c>
      <c r="R13749" s="5">
        <v>8</v>
      </c>
      <c r="S13749" s="5">
        <v>56</v>
      </c>
    </row>
    <row r="13750" spans="1:19" ht="28" x14ac:dyDescent="0.15">
      <c r="A13750" s="2">
        <f>HYPERLINK("https://open-school.uspishnemisto.com.ua/school/650289/", 650289)</f>
        <v>650289</v>
      </c>
      <c r="B13750" s="3" t="s">
        <v>69405</v>
      </c>
      <c r="C13750" s="3" t="s">
        <v>31</v>
      </c>
      <c r="D13750" s="3" t="s">
        <v>32</v>
      </c>
      <c r="E13750" s="4" t="s">
        <v>22</v>
      </c>
      <c r="F13750" s="4" t="s">
        <v>69406</v>
      </c>
      <c r="G13750" s="4" t="s">
        <v>69407</v>
      </c>
      <c r="H13750" s="3" t="s">
        <v>67992</v>
      </c>
      <c r="I13750" s="3" t="s">
        <v>69408</v>
      </c>
      <c r="J13750" s="3" t="s">
        <v>12112</v>
      </c>
      <c r="K13750" s="3" t="s">
        <v>69409</v>
      </c>
      <c r="L13750" s="3"/>
      <c r="M13750" s="4"/>
      <c r="N13750" s="3" t="s">
        <v>37</v>
      </c>
      <c r="O13750" s="3" t="s">
        <v>38</v>
      </c>
      <c r="P13750" s="5">
        <v>11</v>
      </c>
      <c r="Q13750" s="5">
        <v>104</v>
      </c>
      <c r="R13750" s="5">
        <v>11</v>
      </c>
      <c r="S13750" s="5">
        <v>104</v>
      </c>
    </row>
    <row r="13751" spans="1:19" ht="28" x14ac:dyDescent="0.15">
      <c r="A13751" s="2">
        <f>HYPERLINK("https://open-school.uspishnemisto.com.ua/school/650290/", 650290)</f>
        <v>650290</v>
      </c>
      <c r="B13751" s="3" t="s">
        <v>69410</v>
      </c>
      <c r="C13751" s="3" t="s">
        <v>20</v>
      </c>
      <c r="D13751" s="3" t="s">
        <v>21</v>
      </c>
      <c r="E13751" s="4" t="s">
        <v>22</v>
      </c>
      <c r="F13751" s="4" t="s">
        <v>69411</v>
      </c>
      <c r="G13751" s="4" t="s">
        <v>69412</v>
      </c>
      <c r="H13751" s="3" t="s">
        <v>67992</v>
      </c>
      <c r="I13751" s="3" t="s">
        <v>48977</v>
      </c>
      <c r="J13751" s="3" t="s">
        <v>2921</v>
      </c>
      <c r="K13751" s="3" t="s">
        <v>69413</v>
      </c>
      <c r="L13751" s="3"/>
      <c r="M13751" s="4" t="s">
        <v>69414</v>
      </c>
      <c r="N13751" s="3"/>
      <c r="O13751" s="3"/>
      <c r="P13751" s="5">
        <v>0</v>
      </c>
      <c r="Q13751" s="5">
        <v>0</v>
      </c>
      <c r="R13751" s="5"/>
      <c r="S13751" s="5"/>
    </row>
    <row r="13752" spans="1:19" ht="28" x14ac:dyDescent="0.15">
      <c r="A13752" s="2">
        <f>HYPERLINK("https://open-school.uspishnemisto.com.ua/school/650291/", 650291)</f>
        <v>650291</v>
      </c>
      <c r="B13752" s="3" t="s">
        <v>69415</v>
      </c>
      <c r="C13752" s="3" t="s">
        <v>31</v>
      </c>
      <c r="D13752" s="3" t="s">
        <v>60</v>
      </c>
      <c r="E13752" s="4" t="s">
        <v>22</v>
      </c>
      <c r="F13752" s="4" t="s">
        <v>69411</v>
      </c>
      <c r="G13752" s="4" t="s">
        <v>69412</v>
      </c>
      <c r="H13752" s="3" t="s">
        <v>67992</v>
      </c>
      <c r="I13752" s="3" t="s">
        <v>48977</v>
      </c>
      <c r="J13752" s="3" t="s">
        <v>69416</v>
      </c>
      <c r="K13752" s="3" t="s">
        <v>69417</v>
      </c>
      <c r="L13752" s="3" t="s">
        <v>69418</v>
      </c>
      <c r="M13752" s="4" t="s">
        <v>69419</v>
      </c>
      <c r="N13752" s="3" t="s">
        <v>37</v>
      </c>
      <c r="O13752" s="3" t="s">
        <v>52</v>
      </c>
      <c r="P13752" s="5">
        <v>4</v>
      </c>
      <c r="Q13752" s="5">
        <v>48</v>
      </c>
      <c r="R13752" s="5">
        <v>4</v>
      </c>
      <c r="S13752" s="5">
        <v>41</v>
      </c>
    </row>
    <row r="13753" spans="1:19" ht="28" x14ac:dyDescent="0.15">
      <c r="A13753" s="2">
        <f>HYPERLINK("https://open-school.uspishnemisto.com.ua/school/650292/", 650292)</f>
        <v>650292</v>
      </c>
      <c r="B13753" s="3" t="s">
        <v>69420</v>
      </c>
      <c r="C13753" s="3" t="s">
        <v>31</v>
      </c>
      <c r="D13753" s="3" t="s">
        <v>32</v>
      </c>
      <c r="E13753" s="4" t="s">
        <v>22</v>
      </c>
      <c r="F13753" s="4" t="s">
        <v>69411</v>
      </c>
      <c r="G13753" s="4" t="s">
        <v>69412</v>
      </c>
      <c r="H13753" s="3" t="s">
        <v>67992</v>
      </c>
      <c r="I13753" s="3" t="s">
        <v>48977</v>
      </c>
      <c r="J13753" s="3" t="s">
        <v>69421</v>
      </c>
      <c r="K13753" s="3" t="s">
        <v>69422</v>
      </c>
      <c r="L13753" s="3" t="s">
        <v>69423</v>
      </c>
      <c r="M13753" s="4" t="s">
        <v>69424</v>
      </c>
      <c r="N13753" s="3" t="s">
        <v>37</v>
      </c>
      <c r="O13753" s="3" t="s">
        <v>721</v>
      </c>
      <c r="P13753" s="5">
        <v>30</v>
      </c>
      <c r="Q13753" s="5">
        <v>679</v>
      </c>
      <c r="R13753" s="5">
        <v>29</v>
      </c>
      <c r="S13753" s="5">
        <v>667</v>
      </c>
    </row>
    <row r="13754" spans="1:19" ht="28" x14ac:dyDescent="0.15">
      <c r="A13754" s="2">
        <f>HYPERLINK("https://open-school.uspishnemisto.com.ua/school/650293/", 650293)</f>
        <v>650293</v>
      </c>
      <c r="B13754" s="3" t="s">
        <v>69425</v>
      </c>
      <c r="C13754" s="3" t="s">
        <v>31</v>
      </c>
      <c r="D13754" s="3" t="s">
        <v>32</v>
      </c>
      <c r="E13754" s="4" t="s">
        <v>22</v>
      </c>
      <c r="F13754" s="4" t="s">
        <v>69411</v>
      </c>
      <c r="G13754" s="4" t="s">
        <v>69412</v>
      </c>
      <c r="H13754" s="3" t="s">
        <v>67992</v>
      </c>
      <c r="I13754" s="3" t="s">
        <v>48977</v>
      </c>
      <c r="J13754" s="3" t="s">
        <v>27248</v>
      </c>
      <c r="K13754" s="3" t="s">
        <v>69426</v>
      </c>
      <c r="L13754" s="3" t="s">
        <v>69427</v>
      </c>
      <c r="M13754" s="4" t="s">
        <v>69428</v>
      </c>
      <c r="N13754" s="3" t="s">
        <v>37</v>
      </c>
      <c r="O13754" s="3" t="s">
        <v>38</v>
      </c>
      <c r="P13754" s="5">
        <v>17</v>
      </c>
      <c r="Q13754" s="5">
        <v>340</v>
      </c>
      <c r="R13754" s="5">
        <v>17</v>
      </c>
      <c r="S13754" s="5">
        <v>328</v>
      </c>
    </row>
    <row r="13755" spans="1:19" ht="42" x14ac:dyDescent="0.15">
      <c r="A13755" s="2">
        <f>HYPERLINK("https://open-school.uspishnemisto.com.ua/school/650294/", 650294)</f>
        <v>650294</v>
      </c>
      <c r="B13755" s="3" t="s">
        <v>69429</v>
      </c>
      <c r="C13755" s="3" t="s">
        <v>31</v>
      </c>
      <c r="D13755" s="3" t="s">
        <v>32</v>
      </c>
      <c r="E13755" s="4" t="s">
        <v>22</v>
      </c>
      <c r="F13755" s="4" t="s">
        <v>69430</v>
      </c>
      <c r="G13755" s="4" t="s">
        <v>69431</v>
      </c>
      <c r="H13755" s="3" t="s">
        <v>67992</v>
      </c>
      <c r="I13755" s="3" t="s">
        <v>1889</v>
      </c>
      <c r="J13755" s="3" t="s">
        <v>6405</v>
      </c>
      <c r="K13755" s="3" t="s">
        <v>69432</v>
      </c>
      <c r="L13755" s="3" t="s">
        <v>69433</v>
      </c>
      <c r="M13755" s="4"/>
      <c r="N13755" s="3" t="s">
        <v>37</v>
      </c>
      <c r="O13755" s="3" t="s">
        <v>52</v>
      </c>
      <c r="P13755" s="5">
        <v>11</v>
      </c>
      <c r="Q13755" s="5">
        <v>203</v>
      </c>
      <c r="R13755" s="5">
        <v>11</v>
      </c>
      <c r="S13755" s="5">
        <v>197</v>
      </c>
    </row>
    <row r="13756" spans="1:19" ht="28" x14ac:dyDescent="0.15">
      <c r="A13756" s="2">
        <f>HYPERLINK("https://open-school.uspishnemisto.com.ua/school/650295/", 650295)</f>
        <v>650295</v>
      </c>
      <c r="B13756" s="3" t="s">
        <v>69434</v>
      </c>
      <c r="C13756" s="3" t="s">
        <v>31</v>
      </c>
      <c r="D13756" s="3" t="s">
        <v>32</v>
      </c>
      <c r="E13756" s="4" t="s">
        <v>22</v>
      </c>
      <c r="F13756" s="4" t="s">
        <v>69435</v>
      </c>
      <c r="G13756" s="4" t="s">
        <v>69436</v>
      </c>
      <c r="H13756" s="3" t="s">
        <v>67992</v>
      </c>
      <c r="I13756" s="3" t="s">
        <v>1291</v>
      </c>
      <c r="J13756" s="3" t="s">
        <v>69437</v>
      </c>
      <c r="K13756" s="3" t="s">
        <v>69438</v>
      </c>
      <c r="L13756" s="3" t="s">
        <v>69439</v>
      </c>
      <c r="M13756" s="4" t="s">
        <v>69440</v>
      </c>
      <c r="N13756" s="3" t="s">
        <v>37</v>
      </c>
      <c r="O13756" s="3" t="s">
        <v>38</v>
      </c>
      <c r="P13756" s="5">
        <v>10</v>
      </c>
      <c r="Q13756" s="5">
        <v>96</v>
      </c>
      <c r="R13756" s="5">
        <v>9</v>
      </c>
      <c r="S13756" s="5">
        <v>93</v>
      </c>
    </row>
    <row r="13757" spans="1:19" ht="28" x14ac:dyDescent="0.15">
      <c r="A13757" s="2">
        <f>HYPERLINK("https://open-school.uspishnemisto.com.ua/school/650296/", 650296)</f>
        <v>650296</v>
      </c>
      <c r="B13757" s="3" t="s">
        <v>69441</v>
      </c>
      <c r="C13757" s="3" t="s">
        <v>31</v>
      </c>
      <c r="D13757" s="3" t="s">
        <v>32</v>
      </c>
      <c r="E13757" s="4" t="s">
        <v>22</v>
      </c>
      <c r="F13757" s="4" t="s">
        <v>69442</v>
      </c>
      <c r="G13757" s="4" t="s">
        <v>69443</v>
      </c>
      <c r="H13757" s="3" t="s">
        <v>67992</v>
      </c>
      <c r="I13757" s="3" t="s">
        <v>11964</v>
      </c>
      <c r="J13757" s="3" t="s">
        <v>2185</v>
      </c>
      <c r="K13757" s="3" t="s">
        <v>69444</v>
      </c>
      <c r="L13757" s="3" t="s">
        <v>69445</v>
      </c>
      <c r="M13757" s="4"/>
      <c r="N13757" s="3" t="s">
        <v>37</v>
      </c>
      <c r="O13757" s="3" t="s">
        <v>38</v>
      </c>
      <c r="P13757" s="5">
        <v>7</v>
      </c>
      <c r="Q13757" s="5">
        <v>55</v>
      </c>
      <c r="R13757" s="5">
        <v>9</v>
      </c>
      <c r="S13757" s="5">
        <v>55</v>
      </c>
    </row>
    <row r="13758" spans="1:19" ht="28" x14ac:dyDescent="0.15">
      <c r="A13758" s="2">
        <f>HYPERLINK("https://open-school.uspishnemisto.com.ua/school/650297/", 650297)</f>
        <v>650297</v>
      </c>
      <c r="B13758" s="3" t="s">
        <v>69446</v>
      </c>
      <c r="C13758" s="3" t="s">
        <v>31</v>
      </c>
      <c r="D13758" s="3" t="s">
        <v>32</v>
      </c>
      <c r="E13758" s="4" t="s">
        <v>22</v>
      </c>
      <c r="F13758" s="4" t="s">
        <v>69447</v>
      </c>
      <c r="G13758" s="4" t="s">
        <v>69448</v>
      </c>
      <c r="H13758" s="3" t="s">
        <v>67992</v>
      </c>
      <c r="I13758" s="3" t="s">
        <v>69449</v>
      </c>
      <c r="J13758" s="3" t="s">
        <v>1946</v>
      </c>
      <c r="K13758" s="3" t="s">
        <v>69450</v>
      </c>
      <c r="L13758" s="3"/>
      <c r="M13758" s="4" t="s">
        <v>69451</v>
      </c>
      <c r="N13758" s="3" t="s">
        <v>37</v>
      </c>
      <c r="O13758" s="3" t="s">
        <v>38</v>
      </c>
      <c r="P13758" s="5">
        <v>11</v>
      </c>
      <c r="Q13758" s="5">
        <v>125</v>
      </c>
      <c r="R13758" s="5">
        <v>11</v>
      </c>
      <c r="S13758" s="5">
        <v>118</v>
      </c>
    </row>
    <row r="13759" spans="1:19" ht="28" x14ac:dyDescent="0.15">
      <c r="A13759" s="2">
        <f>HYPERLINK("https://open-school.uspishnemisto.com.ua/school/650298/", 650298)</f>
        <v>650298</v>
      </c>
      <c r="B13759" s="3" t="s">
        <v>69452</v>
      </c>
      <c r="C13759" s="3" t="s">
        <v>31</v>
      </c>
      <c r="D13759" s="3" t="s">
        <v>32</v>
      </c>
      <c r="E13759" s="4" t="s">
        <v>22</v>
      </c>
      <c r="F13759" s="4" t="s">
        <v>69453</v>
      </c>
      <c r="G13759" s="4" t="s">
        <v>69454</v>
      </c>
      <c r="H13759" s="3" t="s">
        <v>67992</v>
      </c>
      <c r="I13759" s="3" t="s">
        <v>11267</v>
      </c>
      <c r="J13759" s="3" t="s">
        <v>20742</v>
      </c>
      <c r="K13759" s="3" t="s">
        <v>69455</v>
      </c>
      <c r="L13759" s="3"/>
      <c r="M13759" s="4"/>
      <c r="N13759" s="3" t="s">
        <v>37</v>
      </c>
      <c r="O13759" s="3" t="s">
        <v>38</v>
      </c>
      <c r="P13759" s="5">
        <v>11</v>
      </c>
      <c r="Q13759" s="5">
        <v>126</v>
      </c>
      <c r="R13759" s="5">
        <v>11</v>
      </c>
      <c r="S13759" s="5">
        <v>130</v>
      </c>
    </row>
    <row r="13760" spans="1:19" ht="56" x14ac:dyDescent="0.15">
      <c r="A13760" s="2">
        <f>HYPERLINK("https://open-school.uspishnemisto.com.ua/school/650299/", 650299)</f>
        <v>650299</v>
      </c>
      <c r="B13760" s="3" t="s">
        <v>69456</v>
      </c>
      <c r="C13760" s="3" t="s">
        <v>54</v>
      </c>
      <c r="D13760" s="3" t="s">
        <v>32</v>
      </c>
      <c r="E13760" s="4" t="s">
        <v>22</v>
      </c>
      <c r="F13760" s="4" t="s">
        <v>69457</v>
      </c>
      <c r="G13760" s="4" t="s">
        <v>69458</v>
      </c>
      <c r="H13760" s="3" t="s">
        <v>67992</v>
      </c>
      <c r="I13760" s="3" t="s">
        <v>46854</v>
      </c>
      <c r="J13760" s="3" t="s">
        <v>69459</v>
      </c>
      <c r="K13760" s="3" t="s">
        <v>69460</v>
      </c>
      <c r="L13760" s="3" t="s">
        <v>69461</v>
      </c>
      <c r="M13760" s="4" t="s">
        <v>69462</v>
      </c>
      <c r="N13760" s="3" t="s">
        <v>37</v>
      </c>
      <c r="O13760" s="3" t="s">
        <v>38</v>
      </c>
      <c r="P13760" s="5">
        <v>11</v>
      </c>
      <c r="Q13760" s="5">
        <v>153</v>
      </c>
      <c r="R13760" s="5">
        <v>11</v>
      </c>
      <c r="S13760" s="5">
        <v>144</v>
      </c>
    </row>
    <row r="13761" spans="1:19" ht="28" x14ac:dyDescent="0.15">
      <c r="A13761" s="2">
        <f>HYPERLINK("https://open-school.uspishnemisto.com.ua/school/650300/", 650300)</f>
        <v>650300</v>
      </c>
      <c r="B13761" s="3" t="s">
        <v>69463</v>
      </c>
      <c r="C13761" s="3" t="s">
        <v>181</v>
      </c>
      <c r="D13761" s="3" t="s">
        <v>32</v>
      </c>
      <c r="E13761" s="4" t="s">
        <v>22</v>
      </c>
      <c r="F13761" s="4" t="s">
        <v>69457</v>
      </c>
      <c r="G13761" s="4" t="s">
        <v>69458</v>
      </c>
      <c r="H13761" s="3" t="s">
        <v>67992</v>
      </c>
      <c r="I13761" s="3" t="s">
        <v>46854</v>
      </c>
      <c r="J13761" s="3" t="s">
        <v>11664</v>
      </c>
      <c r="K13761" s="3" t="s">
        <v>69464</v>
      </c>
      <c r="L13761" s="3"/>
      <c r="M13761" s="4" t="s">
        <v>69465</v>
      </c>
      <c r="N13761" s="3" t="s">
        <v>37</v>
      </c>
      <c r="O13761" s="3"/>
      <c r="P13761" s="5">
        <v>9</v>
      </c>
      <c r="Q13761" s="5">
        <v>79</v>
      </c>
      <c r="R13761" s="5">
        <v>9</v>
      </c>
      <c r="S13761" s="5">
        <v>79</v>
      </c>
    </row>
    <row r="13762" spans="1:19" ht="56" x14ac:dyDescent="0.15">
      <c r="A13762" s="2">
        <f>HYPERLINK("https://open-school.uspishnemisto.com.ua/school/650301/", 650301)</f>
        <v>650301</v>
      </c>
      <c r="B13762" s="3" t="s">
        <v>69466</v>
      </c>
      <c r="C13762" s="3" t="s">
        <v>54</v>
      </c>
      <c r="D13762" s="3" t="s">
        <v>32</v>
      </c>
      <c r="E13762" s="4" t="s">
        <v>22</v>
      </c>
      <c r="F13762" s="4" t="s">
        <v>69467</v>
      </c>
      <c r="G13762" s="4" t="s">
        <v>69468</v>
      </c>
      <c r="H13762" s="3" t="s">
        <v>67992</v>
      </c>
      <c r="I13762" s="3" t="s">
        <v>11880</v>
      </c>
      <c r="J13762" s="3" t="s">
        <v>2476</v>
      </c>
      <c r="K13762" s="3" t="s">
        <v>69469</v>
      </c>
      <c r="L13762" s="3"/>
      <c r="M13762" s="4" t="s">
        <v>69470</v>
      </c>
      <c r="N13762" s="3" t="s">
        <v>37</v>
      </c>
      <c r="O13762" s="3" t="s">
        <v>52</v>
      </c>
      <c r="P13762" s="5">
        <v>9</v>
      </c>
      <c r="Q13762" s="5">
        <v>62</v>
      </c>
      <c r="R13762" s="5">
        <v>8</v>
      </c>
      <c r="S13762" s="5">
        <v>62</v>
      </c>
    </row>
    <row r="13763" spans="1:19" ht="28" x14ac:dyDescent="0.15">
      <c r="A13763" s="2">
        <f>HYPERLINK("https://open-school.uspishnemisto.com.ua/school/650302/", 650302)</f>
        <v>650302</v>
      </c>
      <c r="B13763" s="3" t="s">
        <v>69471</v>
      </c>
      <c r="C13763" s="3" t="s">
        <v>31</v>
      </c>
      <c r="D13763" s="3" t="s">
        <v>60</v>
      </c>
      <c r="E13763" s="4" t="s">
        <v>22</v>
      </c>
      <c r="F13763" s="4" t="s">
        <v>69472</v>
      </c>
      <c r="G13763" s="4" t="s">
        <v>69473</v>
      </c>
      <c r="H13763" s="3" t="s">
        <v>67992</v>
      </c>
      <c r="I13763" s="3" t="s">
        <v>16228</v>
      </c>
      <c r="J13763" s="3" t="s">
        <v>2476</v>
      </c>
      <c r="K13763" s="3" t="s">
        <v>69474</v>
      </c>
      <c r="L13763" s="3"/>
      <c r="M13763" s="4" t="s">
        <v>69475</v>
      </c>
      <c r="N13763" s="3" t="s">
        <v>37</v>
      </c>
      <c r="O13763" s="3" t="s">
        <v>52</v>
      </c>
      <c r="P13763" s="5">
        <v>3</v>
      </c>
      <c r="Q13763" s="5">
        <v>20</v>
      </c>
      <c r="R13763" s="5">
        <v>4</v>
      </c>
      <c r="S13763" s="5">
        <v>22</v>
      </c>
    </row>
    <row r="13764" spans="1:19" ht="28" x14ac:dyDescent="0.15">
      <c r="A13764" s="2">
        <f>HYPERLINK("https://open-school.uspishnemisto.com.ua/school/650303/", 650303)</f>
        <v>650303</v>
      </c>
      <c r="B13764" s="3" t="s">
        <v>69476</v>
      </c>
      <c r="C13764" s="3" t="s">
        <v>31</v>
      </c>
      <c r="D13764" s="3" t="s">
        <v>32</v>
      </c>
      <c r="E13764" s="4" t="s">
        <v>22</v>
      </c>
      <c r="F13764" s="4" t="s">
        <v>69477</v>
      </c>
      <c r="G13764" s="4" t="s">
        <v>69478</v>
      </c>
      <c r="H13764" s="3" t="s">
        <v>67992</v>
      </c>
      <c r="I13764" s="3" t="s">
        <v>24556</v>
      </c>
      <c r="J13764" s="3" t="s">
        <v>466</v>
      </c>
      <c r="K13764" s="3" t="s">
        <v>69479</v>
      </c>
      <c r="L13764" s="3" t="s">
        <v>69480</v>
      </c>
      <c r="M13764" s="4" t="s">
        <v>69481</v>
      </c>
      <c r="N13764" s="3" t="s">
        <v>37</v>
      </c>
      <c r="O13764" s="3" t="s">
        <v>38</v>
      </c>
      <c r="P13764" s="5">
        <v>11</v>
      </c>
      <c r="Q13764" s="5">
        <v>88</v>
      </c>
      <c r="R13764" s="5">
        <v>10</v>
      </c>
      <c r="S13764" s="5">
        <v>86</v>
      </c>
    </row>
    <row r="13765" spans="1:19" ht="56" x14ac:dyDescent="0.15">
      <c r="A13765" s="2">
        <f>HYPERLINK("https://open-school.uspishnemisto.com.ua/school/650304/", 650304)</f>
        <v>650304</v>
      </c>
      <c r="B13765" s="3" t="s">
        <v>69482</v>
      </c>
      <c r="C13765" s="3" t="s">
        <v>54</v>
      </c>
      <c r="D13765" s="3" t="s">
        <v>32</v>
      </c>
      <c r="E13765" s="4" t="s">
        <v>22</v>
      </c>
      <c r="F13765" s="4" t="s">
        <v>69483</v>
      </c>
      <c r="G13765" s="4" t="s">
        <v>69484</v>
      </c>
      <c r="H13765" s="3" t="s">
        <v>67992</v>
      </c>
      <c r="I13765" s="3" t="s">
        <v>15189</v>
      </c>
      <c r="J13765" s="3" t="s">
        <v>3173</v>
      </c>
      <c r="K13765" s="3" t="s">
        <v>69485</v>
      </c>
      <c r="L13765" s="3" t="s">
        <v>69486</v>
      </c>
      <c r="M13765" s="4" t="s">
        <v>69487</v>
      </c>
      <c r="N13765" s="3" t="s">
        <v>37</v>
      </c>
      <c r="O13765" s="3" t="s">
        <v>38</v>
      </c>
      <c r="P13765" s="5">
        <v>11</v>
      </c>
      <c r="Q13765" s="5">
        <v>124</v>
      </c>
      <c r="R13765" s="5">
        <v>11</v>
      </c>
      <c r="S13765" s="5">
        <v>126</v>
      </c>
    </row>
    <row r="13766" spans="1:19" ht="28" x14ac:dyDescent="0.15">
      <c r="A13766" s="2">
        <f>HYPERLINK("https://open-school.uspishnemisto.com.ua/school/650305/", 650305)</f>
        <v>650305</v>
      </c>
      <c r="B13766" s="3" t="s">
        <v>69488</v>
      </c>
      <c r="C13766" s="3" t="s">
        <v>31</v>
      </c>
      <c r="D13766" s="3" t="s">
        <v>32</v>
      </c>
      <c r="E13766" s="4" t="s">
        <v>22</v>
      </c>
      <c r="F13766" s="4" t="s">
        <v>69489</v>
      </c>
      <c r="G13766" s="4" t="s">
        <v>69490</v>
      </c>
      <c r="H13766" s="3" t="s">
        <v>67992</v>
      </c>
      <c r="I13766" s="3" t="s">
        <v>69491</v>
      </c>
      <c r="J13766" s="3" t="s">
        <v>69492</v>
      </c>
      <c r="K13766" s="3" t="s">
        <v>69493</v>
      </c>
      <c r="L13766" s="3" t="s">
        <v>69494</v>
      </c>
      <c r="M13766" s="4"/>
      <c r="N13766" s="3" t="s">
        <v>37</v>
      </c>
      <c r="O13766" s="3" t="s">
        <v>52</v>
      </c>
      <c r="P13766" s="5">
        <v>5</v>
      </c>
      <c r="Q13766" s="5">
        <v>42</v>
      </c>
      <c r="R13766" s="5">
        <v>5</v>
      </c>
      <c r="S13766" s="5">
        <v>41</v>
      </c>
    </row>
    <row r="13767" spans="1:19" ht="42" x14ac:dyDescent="0.15">
      <c r="A13767" s="2">
        <f>HYPERLINK("https://open-school.uspishnemisto.com.ua/school/650306/", 650306)</f>
        <v>650306</v>
      </c>
      <c r="B13767" s="3" t="s">
        <v>69495</v>
      </c>
      <c r="C13767" s="3" t="s">
        <v>31</v>
      </c>
      <c r="D13767" s="3" t="s">
        <v>32</v>
      </c>
      <c r="E13767" s="4" t="s">
        <v>22</v>
      </c>
      <c r="F13767" s="4" t="s">
        <v>69496</v>
      </c>
      <c r="G13767" s="4" t="s">
        <v>69497</v>
      </c>
      <c r="H13767" s="3" t="s">
        <v>67992</v>
      </c>
      <c r="I13767" s="3" t="s">
        <v>11594</v>
      </c>
      <c r="J13767" s="3" t="s">
        <v>6677</v>
      </c>
      <c r="K13767" s="3" t="s">
        <v>69498</v>
      </c>
      <c r="L13767" s="3"/>
      <c r="M13767" s="4"/>
      <c r="N13767" s="3" t="s">
        <v>37</v>
      </c>
      <c r="O13767" s="3" t="s">
        <v>52</v>
      </c>
      <c r="P13767" s="5">
        <v>11</v>
      </c>
      <c r="Q13767" s="5">
        <v>160</v>
      </c>
      <c r="R13767" s="5">
        <v>10</v>
      </c>
      <c r="S13767" s="5">
        <v>161</v>
      </c>
    </row>
    <row r="13768" spans="1:19" ht="56" x14ac:dyDescent="0.15">
      <c r="A13768" s="2">
        <f>HYPERLINK("https://open-school.uspishnemisto.com.ua/school/650307/", 650307)</f>
        <v>650307</v>
      </c>
      <c r="B13768" s="3" t="s">
        <v>69499</v>
      </c>
      <c r="C13768" s="3" t="s">
        <v>54</v>
      </c>
      <c r="D13768" s="3" t="s">
        <v>60</v>
      </c>
      <c r="E13768" s="4" t="s">
        <v>22</v>
      </c>
      <c r="F13768" s="4" t="s">
        <v>69500</v>
      </c>
      <c r="G13768" s="4" t="s">
        <v>69501</v>
      </c>
      <c r="H13768" s="3" t="s">
        <v>67992</v>
      </c>
      <c r="I13768" s="3" t="s">
        <v>69502</v>
      </c>
      <c r="J13768" s="3" t="s">
        <v>466</v>
      </c>
      <c r="K13768" s="3" t="s">
        <v>69503</v>
      </c>
      <c r="L13768" s="3"/>
      <c r="M13768" s="4"/>
      <c r="N13768" s="3" t="s">
        <v>37</v>
      </c>
      <c r="O13768" s="3" t="s">
        <v>52</v>
      </c>
      <c r="P13768" s="5">
        <v>4</v>
      </c>
      <c r="Q13768" s="5">
        <v>26</v>
      </c>
      <c r="R13768" s="5">
        <v>3</v>
      </c>
      <c r="S13768" s="5">
        <v>19</v>
      </c>
    </row>
    <row r="13769" spans="1:19" ht="42" x14ac:dyDescent="0.15">
      <c r="A13769" s="2">
        <f>HYPERLINK("https://open-school.uspishnemisto.com.ua/school/650308/", 650308)</f>
        <v>650308</v>
      </c>
      <c r="B13769" s="3" t="s">
        <v>69504</v>
      </c>
      <c r="C13769" s="3" t="s">
        <v>54</v>
      </c>
      <c r="D13769" s="3" t="s">
        <v>32</v>
      </c>
      <c r="E13769" s="4" t="s">
        <v>22</v>
      </c>
      <c r="F13769" s="4" t="s">
        <v>69505</v>
      </c>
      <c r="G13769" s="4" t="s">
        <v>69506</v>
      </c>
      <c r="H13769" s="3" t="s">
        <v>67992</v>
      </c>
      <c r="I13769" s="3" t="s">
        <v>11256</v>
      </c>
      <c r="J13769" s="3" t="s">
        <v>69507</v>
      </c>
      <c r="K13769" s="3" t="s">
        <v>69508</v>
      </c>
      <c r="L13769" s="3" t="s">
        <v>69509</v>
      </c>
      <c r="M13769" s="4"/>
      <c r="N13769" s="3" t="s">
        <v>37</v>
      </c>
      <c r="O13769" s="3" t="s">
        <v>38</v>
      </c>
      <c r="P13769" s="5">
        <v>11</v>
      </c>
      <c r="Q13769" s="5">
        <v>195</v>
      </c>
      <c r="R13769" s="5">
        <v>12</v>
      </c>
      <c r="S13769" s="5">
        <v>226</v>
      </c>
    </row>
    <row r="13770" spans="1:19" ht="42" x14ac:dyDescent="0.15">
      <c r="A13770" s="2">
        <f>HYPERLINK("https://open-school.uspishnemisto.com.ua/school/650309/", 650309)</f>
        <v>650309</v>
      </c>
      <c r="B13770" s="3" t="s">
        <v>69510</v>
      </c>
      <c r="C13770" s="3" t="s">
        <v>54</v>
      </c>
      <c r="D13770" s="3" t="s">
        <v>32</v>
      </c>
      <c r="E13770" s="4" t="s">
        <v>22</v>
      </c>
      <c r="F13770" s="4" t="s">
        <v>69505</v>
      </c>
      <c r="G13770" s="4" t="s">
        <v>69506</v>
      </c>
      <c r="H13770" s="3" t="s">
        <v>67992</v>
      </c>
      <c r="I13770" s="3" t="s">
        <v>11256</v>
      </c>
      <c r="J13770" s="3" t="s">
        <v>927</v>
      </c>
      <c r="K13770" s="3" t="s">
        <v>69511</v>
      </c>
      <c r="L13770" s="3" t="s">
        <v>69512</v>
      </c>
      <c r="M13770" s="4"/>
      <c r="N13770" s="3" t="s">
        <v>37</v>
      </c>
      <c r="O13770" s="3" t="s">
        <v>38</v>
      </c>
      <c r="P13770" s="5">
        <v>19</v>
      </c>
      <c r="Q13770" s="5">
        <v>373</v>
      </c>
      <c r="R13770" s="5">
        <v>18</v>
      </c>
      <c r="S13770" s="5">
        <v>337</v>
      </c>
    </row>
    <row r="13771" spans="1:19" ht="28" x14ac:dyDescent="0.15">
      <c r="A13771" s="2">
        <f>HYPERLINK("https://open-school.uspishnemisto.com.ua/school/650310/", 650310)</f>
        <v>650310</v>
      </c>
      <c r="B13771" s="3" t="s">
        <v>69513</v>
      </c>
      <c r="C13771" s="3" t="s">
        <v>31</v>
      </c>
      <c r="D13771" s="3" t="s">
        <v>32</v>
      </c>
      <c r="E13771" s="4" t="s">
        <v>22</v>
      </c>
      <c r="F13771" s="4" t="s">
        <v>69514</v>
      </c>
      <c r="G13771" s="4" t="s">
        <v>69515</v>
      </c>
      <c r="H13771" s="3" t="s">
        <v>67992</v>
      </c>
      <c r="I13771" s="3" t="s">
        <v>1500</v>
      </c>
      <c r="J13771" s="3" t="s">
        <v>16428</v>
      </c>
      <c r="K13771" s="3" t="s">
        <v>69516</v>
      </c>
      <c r="L13771" s="3"/>
      <c r="M13771" s="4"/>
      <c r="N13771" s="3" t="s">
        <v>37</v>
      </c>
      <c r="O13771" s="3" t="s">
        <v>38</v>
      </c>
      <c r="P13771" s="5">
        <v>11</v>
      </c>
      <c r="Q13771" s="5">
        <v>161</v>
      </c>
      <c r="R13771" s="5">
        <v>10</v>
      </c>
      <c r="S13771" s="5">
        <v>157</v>
      </c>
    </row>
    <row r="13772" spans="1:19" ht="28" x14ac:dyDescent="0.15">
      <c r="A13772" s="2">
        <f>HYPERLINK("https://open-school.uspishnemisto.com.ua/school/650311/", 650311)</f>
        <v>650311</v>
      </c>
      <c r="B13772" s="3" t="s">
        <v>69517</v>
      </c>
      <c r="C13772" s="3" t="s">
        <v>31</v>
      </c>
      <c r="D13772" s="3" t="s">
        <v>60</v>
      </c>
      <c r="E13772" s="4" t="s">
        <v>22</v>
      </c>
      <c r="F13772" s="4" t="s">
        <v>69518</v>
      </c>
      <c r="G13772" s="4" t="s">
        <v>69519</v>
      </c>
      <c r="H13772" s="3" t="s">
        <v>67992</v>
      </c>
      <c r="I13772" s="3" t="s">
        <v>11355</v>
      </c>
      <c r="J13772" s="3" t="s">
        <v>466</v>
      </c>
      <c r="K13772" s="3" t="s">
        <v>69520</v>
      </c>
      <c r="L13772" s="3"/>
      <c r="M13772" s="4"/>
      <c r="N13772" s="3" t="s">
        <v>37</v>
      </c>
      <c r="O13772" s="3" t="s">
        <v>52</v>
      </c>
      <c r="P13772" s="5">
        <v>4</v>
      </c>
      <c r="Q13772" s="5">
        <v>29</v>
      </c>
      <c r="R13772" s="5">
        <v>4</v>
      </c>
      <c r="S13772" s="5">
        <v>31</v>
      </c>
    </row>
    <row r="13773" spans="1:19" ht="28" x14ac:dyDescent="0.15">
      <c r="A13773" s="2">
        <f>HYPERLINK("https://open-school.uspishnemisto.com.ua/school/650312/", 650312)</f>
        <v>650312</v>
      </c>
      <c r="B13773" s="3" t="s">
        <v>69521</v>
      </c>
      <c r="C13773" s="3" t="s">
        <v>31</v>
      </c>
      <c r="D13773" s="3" t="s">
        <v>32</v>
      </c>
      <c r="E13773" s="4" t="s">
        <v>22</v>
      </c>
      <c r="F13773" s="4" t="s">
        <v>69522</v>
      </c>
      <c r="G13773" s="4" t="s">
        <v>69523</v>
      </c>
      <c r="H13773" s="3" t="s">
        <v>67992</v>
      </c>
      <c r="I13773" s="3" t="s">
        <v>11923</v>
      </c>
      <c r="J13773" s="3" t="s">
        <v>69524</v>
      </c>
      <c r="K13773" s="3" t="s">
        <v>69525</v>
      </c>
      <c r="L13773" s="3"/>
      <c r="M13773" s="4"/>
      <c r="N13773" s="3" t="s">
        <v>37</v>
      </c>
      <c r="O13773" s="3" t="s">
        <v>38</v>
      </c>
      <c r="P13773" s="5">
        <v>10</v>
      </c>
      <c r="Q13773" s="5">
        <v>87</v>
      </c>
      <c r="R13773" s="5">
        <v>10</v>
      </c>
      <c r="S13773" s="5">
        <v>83</v>
      </c>
    </row>
    <row r="13774" spans="1:19" ht="28" x14ac:dyDescent="0.15">
      <c r="A13774" s="2">
        <f>HYPERLINK("https://open-school.uspishnemisto.com.ua/school/650313/", 650313)</f>
        <v>650313</v>
      </c>
      <c r="B13774" s="3" t="s">
        <v>69526</v>
      </c>
      <c r="C13774" s="3" t="s">
        <v>31</v>
      </c>
      <c r="D13774" s="3" t="s">
        <v>32</v>
      </c>
      <c r="E13774" s="4" t="s">
        <v>22</v>
      </c>
      <c r="F13774" s="4" t="s">
        <v>69527</v>
      </c>
      <c r="G13774" s="4" t="s">
        <v>69528</v>
      </c>
      <c r="H13774" s="3" t="s">
        <v>67992</v>
      </c>
      <c r="I13774" s="3" t="s">
        <v>69529</v>
      </c>
      <c r="J13774" s="3" t="s">
        <v>10965</v>
      </c>
      <c r="K13774" s="3" t="s">
        <v>50319</v>
      </c>
      <c r="L13774" s="3"/>
      <c r="M13774" s="4"/>
      <c r="N13774" s="3" t="s">
        <v>37</v>
      </c>
      <c r="O13774" s="3" t="s">
        <v>38</v>
      </c>
      <c r="P13774" s="5">
        <v>10</v>
      </c>
      <c r="Q13774" s="5">
        <v>100</v>
      </c>
      <c r="R13774" s="5">
        <v>11</v>
      </c>
      <c r="S13774" s="5">
        <v>99</v>
      </c>
    </row>
    <row r="13775" spans="1:19" ht="42" x14ac:dyDescent="0.15">
      <c r="A13775" s="2">
        <f>HYPERLINK("https://open-school.uspishnemisto.com.ua/school/650314/", 650314)</f>
        <v>650314</v>
      </c>
      <c r="B13775" s="3" t="s">
        <v>69530</v>
      </c>
      <c r="C13775" s="3" t="s">
        <v>31</v>
      </c>
      <c r="D13775" s="3" t="s">
        <v>175</v>
      </c>
      <c r="E13775" s="4" t="s">
        <v>22</v>
      </c>
      <c r="F13775" s="4" t="s">
        <v>69531</v>
      </c>
      <c r="G13775" s="4" t="s">
        <v>69532</v>
      </c>
      <c r="H13775" s="3" t="s">
        <v>67992</v>
      </c>
      <c r="I13775" s="3" t="s">
        <v>3774</v>
      </c>
      <c r="J13775" s="3" t="s">
        <v>554</v>
      </c>
      <c r="K13775" s="3" t="s">
        <v>69533</v>
      </c>
      <c r="L13775" s="3" t="s">
        <v>69534</v>
      </c>
      <c r="M13775" s="4"/>
      <c r="N13775" s="3" t="s">
        <v>37</v>
      </c>
      <c r="O13775" s="3" t="s">
        <v>38</v>
      </c>
      <c r="P13775" s="5">
        <v>8</v>
      </c>
      <c r="Q13775" s="5">
        <v>50</v>
      </c>
      <c r="R13775" s="5">
        <v>8</v>
      </c>
      <c r="S13775" s="5">
        <v>54</v>
      </c>
    </row>
    <row r="13776" spans="1:19" ht="56" x14ac:dyDescent="0.15">
      <c r="A13776" s="2">
        <f>HYPERLINK("https://open-school.uspishnemisto.com.ua/school/650315/", 650315)</f>
        <v>650315</v>
      </c>
      <c r="B13776" s="3" t="s">
        <v>69535</v>
      </c>
      <c r="C13776" s="3" t="s">
        <v>54</v>
      </c>
      <c r="D13776" s="3" t="s">
        <v>32</v>
      </c>
      <c r="E13776" s="4" t="s">
        <v>22</v>
      </c>
      <c r="F13776" s="4" t="s">
        <v>69536</v>
      </c>
      <c r="G13776" s="4" t="s">
        <v>69537</v>
      </c>
      <c r="H13776" s="3" t="s">
        <v>67992</v>
      </c>
      <c r="I13776" s="3" t="s">
        <v>10829</v>
      </c>
      <c r="J13776" s="3" t="s">
        <v>17826</v>
      </c>
      <c r="K13776" s="3" t="s">
        <v>69538</v>
      </c>
      <c r="L13776" s="3"/>
      <c r="M13776" s="4"/>
      <c r="N13776" s="3" t="s">
        <v>37</v>
      </c>
      <c r="O13776" s="3" t="s">
        <v>70</v>
      </c>
      <c r="P13776" s="5">
        <v>12</v>
      </c>
      <c r="Q13776" s="5">
        <v>183</v>
      </c>
      <c r="R13776" s="5">
        <v>11</v>
      </c>
      <c r="S13776" s="5">
        <v>161</v>
      </c>
    </row>
    <row r="13777" spans="1:19" ht="28" x14ac:dyDescent="0.15">
      <c r="A13777" s="2">
        <f>HYPERLINK("https://open-school.uspishnemisto.com.ua/school/650316/", 650316)</f>
        <v>650316</v>
      </c>
      <c r="B13777" s="3" t="s">
        <v>69539</v>
      </c>
      <c r="C13777" s="3" t="s">
        <v>31</v>
      </c>
      <c r="D13777" s="3" t="s">
        <v>175</v>
      </c>
      <c r="E13777" s="4" t="s">
        <v>22</v>
      </c>
      <c r="F13777" s="4" t="s">
        <v>69540</v>
      </c>
      <c r="G13777" s="4" t="s">
        <v>69541</v>
      </c>
      <c r="H13777" s="3" t="s">
        <v>67992</v>
      </c>
      <c r="I13777" s="3" t="s">
        <v>13213</v>
      </c>
      <c r="J13777" s="3" t="s">
        <v>41243</v>
      </c>
      <c r="K13777" s="3" t="s">
        <v>69542</v>
      </c>
      <c r="L13777" s="3"/>
      <c r="M13777" s="4"/>
      <c r="N13777" s="3" t="s">
        <v>37</v>
      </c>
      <c r="O13777" s="3" t="s">
        <v>38</v>
      </c>
      <c r="P13777" s="5">
        <v>7</v>
      </c>
      <c r="Q13777" s="5">
        <v>75</v>
      </c>
      <c r="R13777" s="5">
        <v>7</v>
      </c>
      <c r="S13777" s="5">
        <v>72</v>
      </c>
    </row>
    <row r="13778" spans="1:19" ht="28" x14ac:dyDescent="0.15">
      <c r="A13778" s="2">
        <f>HYPERLINK("https://open-school.uspishnemisto.com.ua/school/650317/", 650317)</f>
        <v>650317</v>
      </c>
      <c r="B13778" s="3" t="s">
        <v>69543</v>
      </c>
      <c r="C13778" s="3" t="s">
        <v>31</v>
      </c>
      <c r="D13778" s="3" t="s">
        <v>32</v>
      </c>
      <c r="E13778" s="4" t="s">
        <v>22</v>
      </c>
      <c r="F13778" s="4" t="s">
        <v>69544</v>
      </c>
      <c r="G13778" s="4" t="s">
        <v>69545</v>
      </c>
      <c r="H13778" s="3" t="s">
        <v>67992</v>
      </c>
      <c r="I13778" s="3" t="s">
        <v>69546</v>
      </c>
      <c r="J13778" s="3" t="s">
        <v>69547</v>
      </c>
      <c r="K13778" s="3" t="s">
        <v>69548</v>
      </c>
      <c r="L13778" s="3"/>
      <c r="M13778" s="4"/>
      <c r="N13778" s="3" t="s">
        <v>37</v>
      </c>
      <c r="O13778" s="3" t="s">
        <v>52</v>
      </c>
      <c r="P13778" s="5">
        <v>9</v>
      </c>
      <c r="Q13778" s="5">
        <v>174</v>
      </c>
      <c r="R13778" s="5">
        <v>9</v>
      </c>
      <c r="S13778" s="5">
        <v>172</v>
      </c>
    </row>
    <row r="13779" spans="1:19" ht="28" x14ac:dyDescent="0.15">
      <c r="A13779" s="2">
        <f>HYPERLINK("https://open-school.uspishnemisto.com.ua/school/650318/", 650318)</f>
        <v>650318</v>
      </c>
      <c r="B13779" s="3" t="s">
        <v>69549</v>
      </c>
      <c r="C13779" s="3" t="s">
        <v>31</v>
      </c>
      <c r="D13779" s="3" t="s">
        <v>32</v>
      </c>
      <c r="E13779" s="4" t="s">
        <v>22</v>
      </c>
      <c r="F13779" s="4" t="s">
        <v>69550</v>
      </c>
      <c r="G13779" s="4" t="s">
        <v>69551</v>
      </c>
      <c r="H13779" s="3" t="s">
        <v>67992</v>
      </c>
      <c r="I13779" s="3" t="s">
        <v>69552</v>
      </c>
      <c r="J13779" s="3" t="s">
        <v>69553</v>
      </c>
      <c r="K13779" s="3"/>
      <c r="L13779" s="3"/>
      <c r="M13779" s="4"/>
      <c r="N13779" s="3" t="s">
        <v>37</v>
      </c>
      <c r="O13779" s="3" t="s">
        <v>38</v>
      </c>
      <c r="P13779" s="5">
        <v>9</v>
      </c>
      <c r="Q13779" s="5">
        <v>77</v>
      </c>
      <c r="R13779" s="5">
        <v>9</v>
      </c>
      <c r="S13779" s="5">
        <v>72</v>
      </c>
    </row>
    <row r="13780" spans="1:19" ht="28" x14ac:dyDescent="0.15">
      <c r="A13780" s="2">
        <f>HYPERLINK("https://open-school.uspishnemisto.com.ua/school/650319/", 650319)</f>
        <v>650319</v>
      </c>
      <c r="B13780" s="3" t="s">
        <v>69554</v>
      </c>
      <c r="C13780" s="3" t="s">
        <v>31</v>
      </c>
      <c r="D13780" s="3" t="s">
        <v>175</v>
      </c>
      <c r="E13780" s="4" t="s">
        <v>22</v>
      </c>
      <c r="F13780" s="4" t="s">
        <v>69555</v>
      </c>
      <c r="G13780" s="4" t="s">
        <v>69556</v>
      </c>
      <c r="H13780" s="3" t="s">
        <v>67992</v>
      </c>
      <c r="I13780" s="3" t="s">
        <v>3790</v>
      </c>
      <c r="J13780" s="3" t="s">
        <v>584</v>
      </c>
      <c r="K13780" s="3" t="s">
        <v>69557</v>
      </c>
      <c r="L13780" s="3"/>
      <c r="M13780" s="4"/>
      <c r="N13780" s="3" t="s">
        <v>37</v>
      </c>
      <c r="O13780" s="3" t="s">
        <v>38</v>
      </c>
      <c r="P13780" s="5">
        <v>8</v>
      </c>
      <c r="Q13780" s="5">
        <v>58</v>
      </c>
      <c r="R13780" s="5">
        <v>8</v>
      </c>
      <c r="S13780" s="5">
        <v>56</v>
      </c>
    </row>
    <row r="13781" spans="1:19" ht="56" x14ac:dyDescent="0.15">
      <c r="A13781" s="2">
        <f>HYPERLINK("https://open-school.uspishnemisto.com.ua/school/650320/", 650320)</f>
        <v>650320</v>
      </c>
      <c r="B13781" s="3" t="s">
        <v>69558</v>
      </c>
      <c r="C13781" s="3" t="s">
        <v>54</v>
      </c>
      <c r="D13781" s="3"/>
      <c r="E13781" s="4" t="s">
        <v>22</v>
      </c>
      <c r="F13781" s="4" t="s">
        <v>69559</v>
      </c>
      <c r="G13781" s="4" t="s">
        <v>69560</v>
      </c>
      <c r="H13781" s="3" t="s">
        <v>67992</v>
      </c>
      <c r="I13781" s="3" t="s">
        <v>69561</v>
      </c>
      <c r="J13781" s="3" t="s">
        <v>927</v>
      </c>
      <c r="K13781" s="3" t="s">
        <v>69562</v>
      </c>
      <c r="L13781" s="3" t="s">
        <v>69563</v>
      </c>
      <c r="M13781" s="4"/>
      <c r="N13781" s="3" t="s">
        <v>128</v>
      </c>
      <c r="O13781" s="3" t="s">
        <v>38</v>
      </c>
      <c r="P13781" s="5">
        <v>16</v>
      </c>
      <c r="Q13781" s="5">
        <v>224</v>
      </c>
      <c r="R13781" s="5">
        <v>16</v>
      </c>
      <c r="S13781" s="5">
        <v>230</v>
      </c>
    </row>
    <row r="13782" spans="1:19" ht="28" x14ac:dyDescent="0.15">
      <c r="A13782" s="2">
        <f>HYPERLINK("https://open-school.uspishnemisto.com.ua/school/650321/", 650321)</f>
        <v>650321</v>
      </c>
      <c r="B13782" s="3" t="s">
        <v>69564</v>
      </c>
      <c r="C13782" s="3" t="s">
        <v>31</v>
      </c>
      <c r="D13782" s="3" t="s">
        <v>32</v>
      </c>
      <c r="E13782" s="4" t="s">
        <v>22</v>
      </c>
      <c r="F13782" s="4" t="s">
        <v>69565</v>
      </c>
      <c r="G13782" s="4" t="s">
        <v>69566</v>
      </c>
      <c r="H13782" s="3" t="s">
        <v>67992</v>
      </c>
      <c r="I13782" s="3" t="s">
        <v>69567</v>
      </c>
      <c r="J13782" s="3" t="s">
        <v>23076</v>
      </c>
      <c r="K13782" s="3" t="s">
        <v>69568</v>
      </c>
      <c r="L13782" s="3"/>
      <c r="M13782" s="4"/>
      <c r="N13782" s="3" t="s">
        <v>37</v>
      </c>
      <c r="O13782" s="3" t="s">
        <v>52</v>
      </c>
      <c r="P13782" s="5">
        <v>4</v>
      </c>
      <c r="Q13782" s="5">
        <v>42</v>
      </c>
      <c r="R13782" s="5">
        <v>5</v>
      </c>
      <c r="S13782" s="5">
        <v>44</v>
      </c>
    </row>
    <row r="13783" spans="1:19" ht="42" x14ac:dyDescent="0.15">
      <c r="A13783" s="2">
        <f>HYPERLINK("https://open-school.uspishnemisto.com.ua/school/650322/", 650322)</f>
        <v>650322</v>
      </c>
      <c r="B13783" s="3" t="s">
        <v>69569</v>
      </c>
      <c r="C13783" s="3" t="s">
        <v>54</v>
      </c>
      <c r="D13783" s="3" t="s">
        <v>32</v>
      </c>
      <c r="E13783" s="4" t="s">
        <v>22</v>
      </c>
      <c r="F13783" s="4" t="s">
        <v>69570</v>
      </c>
      <c r="G13783" s="4" t="s">
        <v>69571</v>
      </c>
      <c r="H13783" s="3" t="s">
        <v>67992</v>
      </c>
      <c r="I13783" s="3" t="s">
        <v>15189</v>
      </c>
      <c r="J13783" s="3" t="s">
        <v>1360</v>
      </c>
      <c r="K13783" s="3"/>
      <c r="L13783" s="3"/>
      <c r="M13783" s="4"/>
      <c r="N13783" s="3" t="s">
        <v>37</v>
      </c>
      <c r="O13783" s="3" t="s">
        <v>38</v>
      </c>
      <c r="P13783" s="5">
        <v>11</v>
      </c>
      <c r="Q13783" s="5">
        <v>213</v>
      </c>
      <c r="R13783" s="5">
        <v>11</v>
      </c>
      <c r="S13783" s="5">
        <v>209</v>
      </c>
    </row>
    <row r="13784" spans="1:19" ht="28" x14ac:dyDescent="0.15">
      <c r="A13784" s="2">
        <f>HYPERLINK("https://open-school.uspishnemisto.com.ua/school/650323/", 650323)</f>
        <v>650323</v>
      </c>
      <c r="B13784" s="3" t="s">
        <v>69572</v>
      </c>
      <c r="C13784" s="3" t="s">
        <v>31</v>
      </c>
      <c r="D13784" s="3" t="s">
        <v>32</v>
      </c>
      <c r="E13784" s="4" t="s">
        <v>22</v>
      </c>
      <c r="F13784" s="4" t="s">
        <v>69573</v>
      </c>
      <c r="G13784" s="4" t="s">
        <v>69574</v>
      </c>
      <c r="H13784" s="3" t="s">
        <v>67992</v>
      </c>
      <c r="I13784" s="3" t="s">
        <v>4683</v>
      </c>
      <c r="J13784" s="3" t="s">
        <v>44721</v>
      </c>
      <c r="K13784" s="3" t="s">
        <v>69575</v>
      </c>
      <c r="L13784" s="3"/>
      <c r="M13784" s="4"/>
      <c r="N13784" s="3" t="s">
        <v>37</v>
      </c>
      <c r="O13784" s="3" t="s">
        <v>38</v>
      </c>
      <c r="P13784" s="5">
        <v>10</v>
      </c>
      <c r="Q13784" s="5">
        <v>138</v>
      </c>
      <c r="R13784" s="5">
        <v>11</v>
      </c>
      <c r="S13784" s="5">
        <v>132</v>
      </c>
    </row>
    <row r="13785" spans="1:19" ht="56" x14ac:dyDescent="0.15">
      <c r="A13785" s="2">
        <f>HYPERLINK("https://open-school.uspishnemisto.com.ua/school/650324/", 650324)</f>
        <v>650324</v>
      </c>
      <c r="B13785" s="3" t="s">
        <v>69576</v>
      </c>
      <c r="C13785" s="3" t="s">
        <v>54</v>
      </c>
      <c r="D13785" s="3" t="s">
        <v>32</v>
      </c>
      <c r="E13785" s="4" t="s">
        <v>22</v>
      </c>
      <c r="F13785" s="4" t="s">
        <v>69577</v>
      </c>
      <c r="G13785" s="4" t="s">
        <v>69578</v>
      </c>
      <c r="H13785" s="3" t="s">
        <v>67992</v>
      </c>
      <c r="I13785" s="3" t="s">
        <v>11605</v>
      </c>
      <c r="J13785" s="3" t="s">
        <v>69579</v>
      </c>
      <c r="K13785" s="3" t="s">
        <v>69580</v>
      </c>
      <c r="L13785" s="3" t="s">
        <v>69581</v>
      </c>
      <c r="M13785" s="4"/>
      <c r="N13785" s="3" t="s">
        <v>37</v>
      </c>
      <c r="O13785" s="3" t="s">
        <v>38</v>
      </c>
      <c r="P13785" s="5">
        <v>11</v>
      </c>
      <c r="Q13785" s="5">
        <v>119</v>
      </c>
      <c r="R13785" s="5">
        <v>11</v>
      </c>
      <c r="S13785" s="5">
        <v>114</v>
      </c>
    </row>
    <row r="13786" spans="1:19" ht="28" x14ac:dyDescent="0.15">
      <c r="A13786" s="2">
        <f>HYPERLINK("https://open-school.uspishnemisto.com.ua/school/650325/", 650325)</f>
        <v>650325</v>
      </c>
      <c r="B13786" s="3" t="s">
        <v>69582</v>
      </c>
      <c r="C13786" s="3" t="s">
        <v>31</v>
      </c>
      <c r="D13786" s="3" t="s">
        <v>32</v>
      </c>
      <c r="E13786" s="4" t="s">
        <v>22</v>
      </c>
      <c r="F13786" s="4" t="s">
        <v>69583</v>
      </c>
      <c r="G13786" s="4" t="s">
        <v>69584</v>
      </c>
      <c r="H13786" s="3" t="s">
        <v>67992</v>
      </c>
      <c r="I13786" s="3" t="s">
        <v>69585</v>
      </c>
      <c r="J13786" s="3" t="s">
        <v>69586</v>
      </c>
      <c r="K13786" s="3" t="s">
        <v>69587</v>
      </c>
      <c r="L13786" s="3"/>
      <c r="M13786" s="4"/>
      <c r="N13786" s="3" t="s">
        <v>37</v>
      </c>
      <c r="O13786" s="3" t="s">
        <v>38</v>
      </c>
      <c r="P13786" s="5">
        <v>9</v>
      </c>
      <c r="Q13786" s="5">
        <v>89</v>
      </c>
      <c r="R13786" s="5">
        <v>10</v>
      </c>
      <c r="S13786" s="5">
        <v>93</v>
      </c>
    </row>
    <row r="13787" spans="1:19" ht="56" x14ac:dyDescent="0.15">
      <c r="A13787" s="2">
        <f>HYPERLINK("https://open-school.uspishnemisto.com.ua/school/650326/", 650326)</f>
        <v>650326</v>
      </c>
      <c r="B13787" s="3" t="s">
        <v>69588</v>
      </c>
      <c r="C13787" s="3" t="s">
        <v>54</v>
      </c>
      <c r="D13787" s="3" t="s">
        <v>32</v>
      </c>
      <c r="E13787" s="4" t="s">
        <v>22</v>
      </c>
      <c r="F13787" s="4" t="s">
        <v>69589</v>
      </c>
      <c r="G13787" s="4" t="s">
        <v>69590</v>
      </c>
      <c r="H13787" s="3" t="s">
        <v>67992</v>
      </c>
      <c r="I13787" s="3" t="s">
        <v>69591</v>
      </c>
      <c r="J13787" s="3" t="s">
        <v>69592</v>
      </c>
      <c r="K13787" s="3" t="s">
        <v>69593</v>
      </c>
      <c r="L13787" s="3"/>
      <c r="M13787" s="4"/>
      <c r="N13787" s="3" t="s">
        <v>37</v>
      </c>
      <c r="O13787" s="3" t="s">
        <v>38</v>
      </c>
      <c r="P13787" s="5">
        <v>12</v>
      </c>
      <c r="Q13787" s="5">
        <v>243</v>
      </c>
      <c r="R13787" s="5">
        <v>11</v>
      </c>
      <c r="S13787" s="5">
        <v>218</v>
      </c>
    </row>
    <row r="13788" spans="1:19" ht="42" x14ac:dyDescent="0.15">
      <c r="A13788" s="2">
        <f>HYPERLINK("https://open-school.uspishnemisto.com.ua/school/650327/", 650327)</f>
        <v>650327</v>
      </c>
      <c r="B13788" s="3" t="s">
        <v>69594</v>
      </c>
      <c r="C13788" s="3" t="s">
        <v>31</v>
      </c>
      <c r="D13788" s="3" t="s">
        <v>175</v>
      </c>
      <c r="E13788" s="4" t="s">
        <v>22</v>
      </c>
      <c r="F13788" s="4" t="s">
        <v>69595</v>
      </c>
      <c r="G13788" s="4" t="s">
        <v>69596</v>
      </c>
      <c r="H13788" s="3" t="s">
        <v>67992</v>
      </c>
      <c r="I13788" s="3" t="s">
        <v>440</v>
      </c>
      <c r="J13788" s="3" t="s">
        <v>69597</v>
      </c>
      <c r="K13788" s="3" t="s">
        <v>69598</v>
      </c>
      <c r="L13788" s="3"/>
      <c r="M13788" s="4"/>
      <c r="N13788" s="3" t="s">
        <v>37</v>
      </c>
      <c r="O13788" s="3" t="s">
        <v>38</v>
      </c>
      <c r="P13788" s="5">
        <v>9</v>
      </c>
      <c r="Q13788" s="5">
        <v>68</v>
      </c>
      <c r="R13788" s="5">
        <v>9</v>
      </c>
      <c r="S13788" s="5">
        <v>68</v>
      </c>
    </row>
    <row r="13789" spans="1:19" ht="28" x14ac:dyDescent="0.15">
      <c r="A13789" s="2">
        <f>HYPERLINK("https://open-school.uspishnemisto.com.ua/school/650328/", 650328)</f>
        <v>650328</v>
      </c>
      <c r="B13789" s="3" t="s">
        <v>69599</v>
      </c>
      <c r="C13789" s="3" t="s">
        <v>31</v>
      </c>
      <c r="D13789" s="3" t="s">
        <v>32</v>
      </c>
      <c r="E13789" s="4" t="s">
        <v>22</v>
      </c>
      <c r="F13789" s="4" t="s">
        <v>69600</v>
      </c>
      <c r="G13789" s="4" t="s">
        <v>69601</v>
      </c>
      <c r="H13789" s="3" t="s">
        <v>67992</v>
      </c>
      <c r="I13789" s="3" t="s">
        <v>69602</v>
      </c>
      <c r="J13789" s="3" t="s">
        <v>69603</v>
      </c>
      <c r="K13789" s="3" t="s">
        <v>69604</v>
      </c>
      <c r="L13789" s="3"/>
      <c r="M13789" s="4"/>
      <c r="N13789" s="3" t="s">
        <v>37</v>
      </c>
      <c r="O13789" s="3" t="s">
        <v>38</v>
      </c>
      <c r="P13789" s="5">
        <v>12</v>
      </c>
      <c r="Q13789" s="5">
        <v>192</v>
      </c>
      <c r="R13789" s="5">
        <v>11</v>
      </c>
      <c r="S13789" s="5">
        <v>159</v>
      </c>
    </row>
    <row r="13790" spans="1:19" ht="28" x14ac:dyDescent="0.15">
      <c r="A13790" s="2">
        <f>HYPERLINK("https://open-school.uspishnemisto.com.ua/school/650330/", 650330)</f>
        <v>650330</v>
      </c>
      <c r="B13790" s="3" t="s">
        <v>69605</v>
      </c>
      <c r="C13790" s="3" t="s">
        <v>31</v>
      </c>
      <c r="D13790" s="3" t="s">
        <v>60</v>
      </c>
      <c r="E13790" s="4" t="s">
        <v>22</v>
      </c>
      <c r="F13790" s="4" t="s">
        <v>69600</v>
      </c>
      <c r="G13790" s="4" t="s">
        <v>69606</v>
      </c>
      <c r="H13790" s="3" t="s">
        <v>67992</v>
      </c>
      <c r="I13790" s="3" t="s">
        <v>69607</v>
      </c>
      <c r="J13790" s="3" t="s">
        <v>69608</v>
      </c>
      <c r="K13790" s="3" t="s">
        <v>69609</v>
      </c>
      <c r="L13790" s="3"/>
      <c r="M13790" s="4"/>
      <c r="N13790" s="3" t="s">
        <v>37</v>
      </c>
      <c r="O13790" s="3" t="s">
        <v>38</v>
      </c>
      <c r="P13790" s="5">
        <v>3</v>
      </c>
      <c r="Q13790" s="5">
        <v>18</v>
      </c>
      <c r="R13790" s="5">
        <v>3</v>
      </c>
      <c r="S13790" s="5">
        <v>20</v>
      </c>
    </row>
    <row r="13791" spans="1:19" ht="28" x14ac:dyDescent="0.15">
      <c r="A13791" s="2">
        <f>HYPERLINK("https://open-school.uspishnemisto.com.ua/school/650331/", 650331)</f>
        <v>650331</v>
      </c>
      <c r="B13791" s="3" t="s">
        <v>69610</v>
      </c>
      <c r="C13791" s="3" t="s">
        <v>31</v>
      </c>
      <c r="D13791" s="3" t="s">
        <v>32</v>
      </c>
      <c r="E13791" s="4" t="s">
        <v>22</v>
      </c>
      <c r="F13791" s="4" t="s">
        <v>69611</v>
      </c>
      <c r="G13791" s="4" t="s">
        <v>69612</v>
      </c>
      <c r="H13791" s="3" t="s">
        <v>67992</v>
      </c>
      <c r="I13791" s="3" t="s">
        <v>69613</v>
      </c>
      <c r="J13791" s="3" t="s">
        <v>3173</v>
      </c>
      <c r="K13791" s="3" t="s">
        <v>69614</v>
      </c>
      <c r="L13791" s="3" t="s">
        <v>69615</v>
      </c>
      <c r="M13791" s="4"/>
      <c r="N13791" s="3" t="s">
        <v>37</v>
      </c>
      <c r="O13791" s="3" t="s">
        <v>38</v>
      </c>
      <c r="P13791" s="5">
        <v>20</v>
      </c>
      <c r="Q13791" s="5">
        <v>373</v>
      </c>
      <c r="R13791" s="5">
        <v>21</v>
      </c>
      <c r="S13791" s="5">
        <v>382</v>
      </c>
    </row>
    <row r="13792" spans="1:19" ht="28" x14ac:dyDescent="0.15">
      <c r="A13792" s="2">
        <f>HYPERLINK("https://open-school.uspishnemisto.com.ua/school/650332/", 650332)</f>
        <v>650332</v>
      </c>
      <c r="B13792" s="3" t="s">
        <v>69616</v>
      </c>
      <c r="C13792" s="3" t="s">
        <v>31</v>
      </c>
      <c r="D13792" s="3" t="s">
        <v>32</v>
      </c>
      <c r="E13792" s="4" t="s">
        <v>22</v>
      </c>
      <c r="F13792" s="4" t="s">
        <v>69617</v>
      </c>
      <c r="G13792" s="4" t="s">
        <v>69618</v>
      </c>
      <c r="H13792" s="3" t="s">
        <v>67992</v>
      </c>
      <c r="I13792" s="3" t="s">
        <v>69619</v>
      </c>
      <c r="J13792" s="3" t="s">
        <v>69620</v>
      </c>
      <c r="K13792" s="3" t="s">
        <v>69621</v>
      </c>
      <c r="L13792" s="3" t="s">
        <v>69622</v>
      </c>
      <c r="M13792" s="4"/>
      <c r="N13792" s="3" t="s">
        <v>37</v>
      </c>
      <c r="O13792" s="3" t="s">
        <v>70</v>
      </c>
      <c r="P13792" s="5">
        <v>11</v>
      </c>
      <c r="Q13792" s="5">
        <v>94</v>
      </c>
      <c r="R13792" s="5">
        <v>10</v>
      </c>
      <c r="S13792" s="5">
        <v>79</v>
      </c>
    </row>
    <row r="13793" spans="1:19" ht="28" x14ac:dyDescent="0.15">
      <c r="A13793" s="2">
        <f>HYPERLINK("https://open-school.uspishnemisto.com.ua/school/650333/", 650333)</f>
        <v>650333</v>
      </c>
      <c r="B13793" s="3" t="s">
        <v>69623</v>
      </c>
      <c r="C13793" s="3" t="s">
        <v>31</v>
      </c>
      <c r="D13793" s="3" t="s">
        <v>32</v>
      </c>
      <c r="E13793" s="4" t="s">
        <v>22</v>
      </c>
      <c r="F13793" s="4" t="s">
        <v>69624</v>
      </c>
      <c r="G13793" s="4" t="s">
        <v>69625</v>
      </c>
      <c r="H13793" s="3" t="s">
        <v>67992</v>
      </c>
      <c r="I13793" s="3" t="s">
        <v>69626</v>
      </c>
      <c r="J13793" s="3" t="s">
        <v>69627</v>
      </c>
      <c r="K13793" s="3" t="s">
        <v>69628</v>
      </c>
      <c r="L13793" s="3" t="s">
        <v>69629</v>
      </c>
      <c r="M13793" s="4" t="s">
        <v>69630</v>
      </c>
      <c r="N13793" s="3" t="s">
        <v>37</v>
      </c>
      <c r="O13793" s="3" t="s">
        <v>38</v>
      </c>
      <c r="P13793" s="5">
        <v>20</v>
      </c>
      <c r="Q13793" s="5">
        <v>465</v>
      </c>
      <c r="R13793" s="5">
        <v>21</v>
      </c>
      <c r="S13793" s="5">
        <v>465</v>
      </c>
    </row>
    <row r="13794" spans="1:19" ht="42" x14ac:dyDescent="0.15">
      <c r="A13794" s="2">
        <f>HYPERLINK("https://open-school.uspishnemisto.com.ua/school/650334/", 650334)</f>
        <v>650334</v>
      </c>
      <c r="B13794" s="3" t="s">
        <v>69631</v>
      </c>
      <c r="C13794" s="3" t="s">
        <v>31</v>
      </c>
      <c r="D13794" s="3" t="s">
        <v>175</v>
      </c>
      <c r="E13794" s="4" t="s">
        <v>22</v>
      </c>
      <c r="F13794" s="4" t="s">
        <v>69632</v>
      </c>
      <c r="G13794" s="4" t="s">
        <v>69633</v>
      </c>
      <c r="H13794" s="3" t="s">
        <v>67992</v>
      </c>
      <c r="I13794" s="3" t="s">
        <v>45065</v>
      </c>
      <c r="J13794" s="3" t="s">
        <v>50722</v>
      </c>
      <c r="K13794" s="3" t="s">
        <v>69634</v>
      </c>
      <c r="L13794" s="3"/>
      <c r="M13794" s="4" t="s">
        <v>69635</v>
      </c>
      <c r="N13794" s="3" t="s">
        <v>37</v>
      </c>
      <c r="O13794" s="3" t="s">
        <v>38</v>
      </c>
      <c r="P13794" s="5">
        <v>4</v>
      </c>
      <c r="Q13794" s="5">
        <v>26</v>
      </c>
      <c r="R13794" s="5">
        <v>4</v>
      </c>
      <c r="S13794" s="5">
        <v>27</v>
      </c>
    </row>
    <row r="13795" spans="1:19" ht="28" x14ac:dyDescent="0.15">
      <c r="A13795" s="2">
        <f>HYPERLINK("https://open-school.uspishnemisto.com.ua/school/650335/", 650335)</f>
        <v>650335</v>
      </c>
      <c r="B13795" s="3" t="s">
        <v>69636</v>
      </c>
      <c r="C13795" s="3" t="s">
        <v>54</v>
      </c>
      <c r="D13795" s="3" t="s">
        <v>60</v>
      </c>
      <c r="E13795" s="4" t="s">
        <v>22</v>
      </c>
      <c r="F13795" s="4"/>
      <c r="G13795" s="4" t="s">
        <v>69637</v>
      </c>
      <c r="H13795" s="3" t="s">
        <v>67992</v>
      </c>
      <c r="I13795" s="3" t="s">
        <v>12551</v>
      </c>
      <c r="J13795" s="3" t="s">
        <v>13617</v>
      </c>
      <c r="K13795" s="3" t="s">
        <v>69638</v>
      </c>
      <c r="L13795" s="3"/>
      <c r="M13795" s="4"/>
      <c r="N13795" s="3" t="s">
        <v>37</v>
      </c>
      <c r="O13795" s="3" t="s">
        <v>52</v>
      </c>
      <c r="P13795" s="5">
        <v>1</v>
      </c>
      <c r="Q13795" s="5">
        <v>12</v>
      </c>
      <c r="R13795" s="5">
        <v>1</v>
      </c>
      <c r="S13795" s="5">
        <v>15</v>
      </c>
    </row>
    <row r="13796" spans="1:19" ht="28" x14ac:dyDescent="0.15">
      <c r="A13796" s="2">
        <f>HYPERLINK("https://open-school.uspishnemisto.com.ua/school/650336/", 650336)</f>
        <v>650336</v>
      </c>
      <c r="B13796" s="3" t="s">
        <v>69639</v>
      </c>
      <c r="C13796" s="3" t="s">
        <v>31</v>
      </c>
      <c r="D13796" s="3" t="s">
        <v>32</v>
      </c>
      <c r="E13796" s="4" t="s">
        <v>22</v>
      </c>
      <c r="F13796" s="4" t="s">
        <v>69640</v>
      </c>
      <c r="G13796" s="4" t="s">
        <v>69641</v>
      </c>
      <c r="H13796" s="3" t="s">
        <v>67992</v>
      </c>
      <c r="I13796" s="3" t="s">
        <v>69642</v>
      </c>
      <c r="J13796" s="3" t="s">
        <v>69643</v>
      </c>
      <c r="K13796" s="3" t="s">
        <v>69644</v>
      </c>
      <c r="L13796" s="3"/>
      <c r="M13796" s="4" t="s">
        <v>69645</v>
      </c>
      <c r="N13796" s="3" t="s">
        <v>37</v>
      </c>
      <c r="O13796" s="3" t="s">
        <v>721</v>
      </c>
      <c r="P13796" s="5">
        <v>10</v>
      </c>
      <c r="Q13796" s="5">
        <v>87</v>
      </c>
      <c r="R13796" s="5">
        <v>8</v>
      </c>
      <c r="S13796" s="5">
        <v>87</v>
      </c>
    </row>
    <row r="13797" spans="1:19" ht="28" x14ac:dyDescent="0.15">
      <c r="A13797" s="2">
        <f>HYPERLINK("https://open-school.uspishnemisto.com.ua/school/650337/", 650337)</f>
        <v>650337</v>
      </c>
      <c r="B13797" s="3" t="s">
        <v>69646</v>
      </c>
      <c r="C13797" s="3" t="s">
        <v>31</v>
      </c>
      <c r="D13797" s="3" t="s">
        <v>32</v>
      </c>
      <c r="E13797" s="4" t="s">
        <v>22</v>
      </c>
      <c r="F13797" s="4" t="s">
        <v>69647</v>
      </c>
      <c r="G13797" s="4" t="s">
        <v>69648</v>
      </c>
      <c r="H13797" s="3" t="s">
        <v>67992</v>
      </c>
      <c r="I13797" s="3" t="s">
        <v>69649</v>
      </c>
      <c r="J13797" s="3" t="s">
        <v>2253</v>
      </c>
      <c r="K13797" s="3" t="s">
        <v>69650</v>
      </c>
      <c r="L13797" s="3" t="s">
        <v>69651</v>
      </c>
      <c r="M13797" s="4" t="s">
        <v>69652</v>
      </c>
      <c r="N13797" s="3" t="s">
        <v>128</v>
      </c>
      <c r="O13797" s="3" t="s">
        <v>38</v>
      </c>
      <c r="P13797" s="5">
        <v>10</v>
      </c>
      <c r="Q13797" s="5">
        <v>115</v>
      </c>
      <c r="R13797" s="5">
        <v>10</v>
      </c>
      <c r="S13797" s="5">
        <v>108</v>
      </c>
    </row>
    <row r="13798" spans="1:19" ht="28" x14ac:dyDescent="0.15">
      <c r="A13798" s="2">
        <f>HYPERLINK("https://open-school.uspishnemisto.com.ua/school/650338/", 650338)</f>
        <v>650338</v>
      </c>
      <c r="B13798" s="3" t="s">
        <v>69653</v>
      </c>
      <c r="C13798" s="3" t="s">
        <v>31</v>
      </c>
      <c r="D13798" s="3" t="s">
        <v>175</v>
      </c>
      <c r="E13798" s="4" t="s">
        <v>22</v>
      </c>
      <c r="F13798" s="4" t="s">
        <v>69654</v>
      </c>
      <c r="G13798" s="4" t="s">
        <v>69655</v>
      </c>
      <c r="H13798" s="3" t="s">
        <v>67992</v>
      </c>
      <c r="I13798" s="3" t="s">
        <v>69656</v>
      </c>
      <c r="J13798" s="3" t="s">
        <v>69657</v>
      </c>
      <c r="K13798" s="3" t="s">
        <v>69658</v>
      </c>
      <c r="L13798" s="3"/>
      <c r="M13798" s="4" t="s">
        <v>69659</v>
      </c>
      <c r="N13798" s="3" t="s">
        <v>37</v>
      </c>
      <c r="O13798" s="3" t="s">
        <v>112</v>
      </c>
      <c r="P13798" s="5">
        <v>6</v>
      </c>
      <c r="Q13798" s="5">
        <v>46</v>
      </c>
      <c r="R13798" s="5">
        <v>5</v>
      </c>
      <c r="S13798" s="5">
        <v>37</v>
      </c>
    </row>
    <row r="13799" spans="1:19" ht="28" x14ac:dyDescent="0.15">
      <c r="A13799" s="2">
        <f>HYPERLINK("https://open-school.uspishnemisto.com.ua/school/650339/", 650339)</f>
        <v>650339</v>
      </c>
      <c r="B13799" s="3" t="s">
        <v>69660</v>
      </c>
      <c r="C13799" s="3" t="s">
        <v>31</v>
      </c>
      <c r="D13799" s="3" t="s">
        <v>32</v>
      </c>
      <c r="E13799" s="4" t="s">
        <v>22</v>
      </c>
      <c r="F13799" s="4" t="s">
        <v>69661</v>
      </c>
      <c r="G13799" s="4" t="s">
        <v>69662</v>
      </c>
      <c r="H13799" s="3" t="s">
        <v>67992</v>
      </c>
      <c r="I13799" s="3" t="s">
        <v>10822</v>
      </c>
      <c r="J13799" s="3" t="s">
        <v>2253</v>
      </c>
      <c r="K13799" s="3" t="s">
        <v>69663</v>
      </c>
      <c r="L13799" s="3"/>
      <c r="M13799" s="4" t="s">
        <v>69664</v>
      </c>
      <c r="N13799" s="3" t="s">
        <v>37</v>
      </c>
      <c r="O13799" s="3" t="s">
        <v>70</v>
      </c>
      <c r="P13799" s="5">
        <v>10</v>
      </c>
      <c r="Q13799" s="5">
        <v>95</v>
      </c>
      <c r="R13799" s="5">
        <v>9</v>
      </c>
      <c r="S13799" s="5">
        <v>80</v>
      </c>
    </row>
    <row r="13800" spans="1:19" ht="28" x14ac:dyDescent="0.15">
      <c r="A13800" s="2">
        <f>HYPERLINK("https://open-school.uspishnemisto.com.ua/school/650340/", 650340)</f>
        <v>650340</v>
      </c>
      <c r="B13800" s="3" t="s">
        <v>69665</v>
      </c>
      <c r="C13800" s="3" t="s">
        <v>31</v>
      </c>
      <c r="D13800" s="3" t="s">
        <v>175</v>
      </c>
      <c r="E13800" s="4" t="s">
        <v>22</v>
      </c>
      <c r="F13800" s="4" t="s">
        <v>69666</v>
      </c>
      <c r="G13800" s="4" t="s">
        <v>69667</v>
      </c>
      <c r="H13800" s="3" t="s">
        <v>67992</v>
      </c>
      <c r="I13800" s="3" t="s">
        <v>16099</v>
      </c>
      <c r="J13800" s="3" t="s">
        <v>7304</v>
      </c>
      <c r="K13800" s="3" t="s">
        <v>69668</v>
      </c>
      <c r="L13800" s="3" t="s">
        <v>69669</v>
      </c>
      <c r="M13800" s="4" t="s">
        <v>69670</v>
      </c>
      <c r="N13800" s="3" t="s">
        <v>37</v>
      </c>
      <c r="O13800" s="3" t="s">
        <v>38</v>
      </c>
      <c r="P13800" s="5">
        <v>5</v>
      </c>
      <c r="Q13800" s="5">
        <v>45</v>
      </c>
      <c r="R13800" s="5">
        <v>6</v>
      </c>
      <c r="S13800" s="5">
        <v>41</v>
      </c>
    </row>
    <row r="13801" spans="1:19" ht="28" x14ac:dyDescent="0.15">
      <c r="A13801" s="2">
        <f>HYPERLINK("https://open-school.uspishnemisto.com.ua/school/650341/", 650341)</f>
        <v>650341</v>
      </c>
      <c r="B13801" s="3" t="s">
        <v>69671</v>
      </c>
      <c r="C13801" s="3" t="s">
        <v>31</v>
      </c>
      <c r="D13801" s="3" t="s">
        <v>32</v>
      </c>
      <c r="E13801" s="4" t="s">
        <v>22</v>
      </c>
      <c r="F13801" s="4" t="s">
        <v>69672</v>
      </c>
      <c r="G13801" s="4" t="s">
        <v>69673</v>
      </c>
      <c r="H13801" s="3" t="s">
        <v>67992</v>
      </c>
      <c r="I13801" s="3" t="s">
        <v>69674</v>
      </c>
      <c r="J13801" s="3" t="s">
        <v>7717</v>
      </c>
      <c r="K13801" s="3" t="s">
        <v>69675</v>
      </c>
      <c r="L13801" s="3" t="s">
        <v>69676</v>
      </c>
      <c r="M13801" s="4" t="s">
        <v>69677</v>
      </c>
      <c r="N13801" s="3" t="s">
        <v>37</v>
      </c>
      <c r="O13801" s="3" t="s">
        <v>70</v>
      </c>
      <c r="P13801" s="5">
        <v>9</v>
      </c>
      <c r="Q13801" s="5">
        <v>95</v>
      </c>
      <c r="R13801" s="5">
        <v>10</v>
      </c>
      <c r="S13801" s="5">
        <v>100</v>
      </c>
    </row>
    <row r="13802" spans="1:19" ht="28" x14ac:dyDescent="0.15">
      <c r="A13802" s="2">
        <f>HYPERLINK("https://open-school.uspishnemisto.com.ua/school/650342/", 650342)</f>
        <v>650342</v>
      </c>
      <c r="B13802" s="3" t="s">
        <v>69678</v>
      </c>
      <c r="C13802" s="3" t="s">
        <v>31</v>
      </c>
      <c r="D13802" s="3" t="s">
        <v>32</v>
      </c>
      <c r="E13802" s="4" t="s">
        <v>22</v>
      </c>
      <c r="F13802" s="4" t="s">
        <v>69679</v>
      </c>
      <c r="G13802" s="4" t="s">
        <v>69680</v>
      </c>
      <c r="H13802" s="3" t="s">
        <v>67992</v>
      </c>
      <c r="I13802" s="3" t="s">
        <v>11267</v>
      </c>
      <c r="J13802" s="3" t="s">
        <v>69681</v>
      </c>
      <c r="K13802" s="3" t="s">
        <v>69682</v>
      </c>
      <c r="L13802" s="3" t="s">
        <v>69683</v>
      </c>
      <c r="M13802" s="4" t="s">
        <v>69684</v>
      </c>
      <c r="N13802" s="3" t="s">
        <v>37</v>
      </c>
      <c r="O13802" s="3" t="s">
        <v>38</v>
      </c>
      <c r="P13802" s="5">
        <v>10</v>
      </c>
      <c r="Q13802" s="5">
        <v>104</v>
      </c>
      <c r="R13802" s="5">
        <v>11</v>
      </c>
      <c r="S13802" s="5">
        <v>104</v>
      </c>
    </row>
    <row r="13803" spans="1:19" ht="28" x14ac:dyDescent="0.15">
      <c r="A13803" s="2">
        <f>HYPERLINK("https://open-school.uspishnemisto.com.ua/school/650343/", 650343)</f>
        <v>650343</v>
      </c>
      <c r="B13803" s="3" t="s">
        <v>69685</v>
      </c>
      <c r="C13803" s="3" t="s">
        <v>31</v>
      </c>
      <c r="D13803" s="3" t="s">
        <v>32</v>
      </c>
      <c r="E13803" s="4" t="s">
        <v>22</v>
      </c>
      <c r="F13803" s="4" t="s">
        <v>69686</v>
      </c>
      <c r="G13803" s="4" t="s">
        <v>69687</v>
      </c>
      <c r="H13803" s="3" t="s">
        <v>67992</v>
      </c>
      <c r="I13803" s="3" t="s">
        <v>11724</v>
      </c>
      <c r="J13803" s="3" t="s">
        <v>69688</v>
      </c>
      <c r="K13803" s="3" t="s">
        <v>69689</v>
      </c>
      <c r="L13803" s="3"/>
      <c r="M13803" s="4" t="s">
        <v>69690</v>
      </c>
      <c r="N13803" s="3" t="s">
        <v>37</v>
      </c>
      <c r="O13803" s="3" t="s">
        <v>38</v>
      </c>
      <c r="P13803" s="5">
        <v>6</v>
      </c>
      <c r="Q13803" s="5">
        <v>46</v>
      </c>
      <c r="R13803" s="5">
        <v>5</v>
      </c>
      <c r="S13803" s="5">
        <v>38</v>
      </c>
    </row>
    <row r="13804" spans="1:19" ht="28" x14ac:dyDescent="0.15">
      <c r="A13804" s="2">
        <f>HYPERLINK("https://open-school.uspishnemisto.com.ua/school/650344/", 650344)</f>
        <v>650344</v>
      </c>
      <c r="B13804" s="3" t="s">
        <v>69691</v>
      </c>
      <c r="C13804" s="3" t="s">
        <v>31</v>
      </c>
      <c r="D13804" s="3" t="s">
        <v>32</v>
      </c>
      <c r="E13804" s="4" t="s">
        <v>22</v>
      </c>
      <c r="F13804" s="4" t="s">
        <v>69692</v>
      </c>
      <c r="G13804" s="4" t="s">
        <v>69693</v>
      </c>
      <c r="H13804" s="3" t="s">
        <v>67992</v>
      </c>
      <c r="I13804" s="3" t="s">
        <v>69694</v>
      </c>
      <c r="J13804" s="3" t="s">
        <v>2052</v>
      </c>
      <c r="K13804" s="3" t="s">
        <v>69695</v>
      </c>
      <c r="L13804" s="3" t="s">
        <v>69696</v>
      </c>
      <c r="M13804" s="4" t="s">
        <v>69697</v>
      </c>
      <c r="N13804" s="3" t="s">
        <v>37</v>
      </c>
      <c r="O13804" s="3" t="s">
        <v>70</v>
      </c>
      <c r="P13804" s="5">
        <v>10</v>
      </c>
      <c r="Q13804" s="5">
        <v>96</v>
      </c>
      <c r="R13804" s="5">
        <v>11</v>
      </c>
      <c r="S13804" s="5">
        <v>100</v>
      </c>
    </row>
    <row r="13805" spans="1:19" ht="28" x14ac:dyDescent="0.15">
      <c r="A13805" s="2">
        <f>HYPERLINK("https://open-school.uspishnemisto.com.ua/school/650345/", 650345)</f>
        <v>650345</v>
      </c>
      <c r="B13805" s="3" t="s">
        <v>69698</v>
      </c>
      <c r="C13805" s="3" t="s">
        <v>31</v>
      </c>
      <c r="D13805" s="3" t="s">
        <v>32</v>
      </c>
      <c r="E13805" s="4" t="s">
        <v>22</v>
      </c>
      <c r="F13805" s="4" t="s">
        <v>69699</v>
      </c>
      <c r="G13805" s="4" t="s">
        <v>69700</v>
      </c>
      <c r="H13805" s="3" t="s">
        <v>67992</v>
      </c>
      <c r="I13805" s="3" t="s">
        <v>69701</v>
      </c>
      <c r="J13805" s="3" t="s">
        <v>69702</v>
      </c>
      <c r="K13805" s="3" t="s">
        <v>69703</v>
      </c>
      <c r="L13805" s="3"/>
      <c r="M13805" s="4" t="s">
        <v>69704</v>
      </c>
      <c r="N13805" s="3" t="s">
        <v>128</v>
      </c>
      <c r="O13805" s="3" t="s">
        <v>38</v>
      </c>
      <c r="P13805" s="5">
        <v>7</v>
      </c>
      <c r="Q13805" s="5">
        <v>41</v>
      </c>
      <c r="R13805" s="5">
        <v>7</v>
      </c>
      <c r="S13805" s="5">
        <v>41</v>
      </c>
    </row>
    <row r="13806" spans="1:19" ht="28" x14ac:dyDescent="0.15">
      <c r="A13806" s="2">
        <f>HYPERLINK("https://open-school.uspishnemisto.com.ua/school/650346/", 650346)</f>
        <v>650346</v>
      </c>
      <c r="B13806" s="3" t="s">
        <v>69705</v>
      </c>
      <c r="C13806" s="3" t="s">
        <v>31</v>
      </c>
      <c r="D13806" s="3" t="s">
        <v>32</v>
      </c>
      <c r="E13806" s="4" t="s">
        <v>22</v>
      </c>
      <c r="F13806" s="4" t="s">
        <v>69706</v>
      </c>
      <c r="G13806" s="4" t="s">
        <v>69707</v>
      </c>
      <c r="H13806" s="3" t="s">
        <v>67992</v>
      </c>
      <c r="I13806" s="3" t="s">
        <v>15426</v>
      </c>
      <c r="J13806" s="3" t="s">
        <v>17309</v>
      </c>
      <c r="K13806" s="3" t="s">
        <v>69708</v>
      </c>
      <c r="L13806" s="3"/>
      <c r="M13806" s="4" t="s">
        <v>69709</v>
      </c>
      <c r="N13806" s="3" t="s">
        <v>37</v>
      </c>
      <c r="O13806" s="3" t="s">
        <v>38</v>
      </c>
      <c r="P13806" s="5">
        <v>10</v>
      </c>
      <c r="Q13806" s="5">
        <v>81</v>
      </c>
      <c r="R13806" s="5">
        <v>10</v>
      </c>
      <c r="S13806" s="5">
        <v>82</v>
      </c>
    </row>
    <row r="13807" spans="1:19" ht="42" x14ac:dyDescent="0.15">
      <c r="A13807" s="2">
        <f>HYPERLINK("https://open-school.uspishnemisto.com.ua/school/650347/", 650347)</f>
        <v>650347</v>
      </c>
      <c r="B13807" s="3" t="s">
        <v>69710</v>
      </c>
      <c r="C13807" s="3" t="s">
        <v>31</v>
      </c>
      <c r="D13807" s="3" t="s">
        <v>32</v>
      </c>
      <c r="E13807" s="4" t="s">
        <v>22</v>
      </c>
      <c r="F13807" s="4" t="s">
        <v>69711</v>
      </c>
      <c r="G13807" s="4" t="s">
        <v>69712</v>
      </c>
      <c r="H13807" s="3" t="s">
        <v>67992</v>
      </c>
      <c r="I13807" s="3" t="s">
        <v>69713</v>
      </c>
      <c r="J13807" s="3" t="s">
        <v>69714</v>
      </c>
      <c r="K13807" s="3" t="s">
        <v>69715</v>
      </c>
      <c r="L13807" s="3" t="s">
        <v>69716</v>
      </c>
      <c r="M13807" s="4" t="s">
        <v>69717</v>
      </c>
      <c r="N13807" s="3" t="s">
        <v>37</v>
      </c>
      <c r="O13807" s="3" t="s">
        <v>52</v>
      </c>
      <c r="P13807" s="5">
        <v>22</v>
      </c>
      <c r="Q13807" s="5">
        <v>486</v>
      </c>
      <c r="R13807" s="5">
        <v>22</v>
      </c>
      <c r="S13807" s="5">
        <v>488</v>
      </c>
    </row>
    <row r="13808" spans="1:19" ht="42" x14ac:dyDescent="0.15">
      <c r="A13808" s="2">
        <f>HYPERLINK("https://open-school.uspishnemisto.com.ua/school/650348/", 650348)</f>
        <v>650348</v>
      </c>
      <c r="B13808" s="3" t="s">
        <v>69718</v>
      </c>
      <c r="C13808" s="3" t="s">
        <v>31</v>
      </c>
      <c r="D13808" s="3" t="s">
        <v>32</v>
      </c>
      <c r="E13808" s="4" t="s">
        <v>22</v>
      </c>
      <c r="F13808" s="4" t="s">
        <v>69711</v>
      </c>
      <c r="G13808" s="4" t="s">
        <v>69712</v>
      </c>
      <c r="H13808" s="3" t="s">
        <v>67992</v>
      </c>
      <c r="I13808" s="3" t="s">
        <v>69713</v>
      </c>
      <c r="J13808" s="3" t="s">
        <v>69719</v>
      </c>
      <c r="K13808" s="3" t="s">
        <v>69720</v>
      </c>
      <c r="L13808" s="3" t="s">
        <v>69721</v>
      </c>
      <c r="M13808" s="4" t="s">
        <v>69722</v>
      </c>
      <c r="N13808" s="3" t="s">
        <v>37</v>
      </c>
      <c r="O13808" s="3" t="s">
        <v>721</v>
      </c>
      <c r="P13808" s="5">
        <v>11</v>
      </c>
      <c r="Q13808" s="5">
        <v>217</v>
      </c>
      <c r="R13808" s="5">
        <v>11</v>
      </c>
      <c r="S13808" s="5">
        <v>200</v>
      </c>
    </row>
    <row r="13809" spans="1:19" ht="56" x14ac:dyDescent="0.15">
      <c r="A13809" s="2">
        <f>HYPERLINK("https://open-school.uspishnemisto.com.ua/school/650349/", 650349)</f>
        <v>650349</v>
      </c>
      <c r="B13809" s="3" t="s">
        <v>69723</v>
      </c>
      <c r="C13809" s="3" t="s">
        <v>54</v>
      </c>
      <c r="D13809" s="3" t="s">
        <v>32</v>
      </c>
      <c r="E13809" s="4" t="s">
        <v>22</v>
      </c>
      <c r="F13809" s="4" t="s">
        <v>69724</v>
      </c>
      <c r="G13809" s="4" t="s">
        <v>69725</v>
      </c>
      <c r="H13809" s="3" t="s">
        <v>67992</v>
      </c>
      <c r="I13809" s="3" t="s">
        <v>47616</v>
      </c>
      <c r="J13809" s="3" t="s">
        <v>43406</v>
      </c>
      <c r="K13809" s="3" t="s">
        <v>69726</v>
      </c>
      <c r="L13809" s="3" t="s">
        <v>69727</v>
      </c>
      <c r="M13809" s="4" t="s">
        <v>69728</v>
      </c>
      <c r="N13809" s="3" t="s">
        <v>37</v>
      </c>
      <c r="O13809" s="3" t="s">
        <v>38</v>
      </c>
      <c r="P13809" s="5">
        <v>9</v>
      </c>
      <c r="Q13809" s="5">
        <v>66</v>
      </c>
      <c r="R13809" s="5">
        <v>10</v>
      </c>
      <c r="S13809" s="5">
        <v>70</v>
      </c>
    </row>
    <row r="13810" spans="1:19" ht="42" x14ac:dyDescent="0.15">
      <c r="A13810" s="2">
        <f>HYPERLINK("https://open-school.uspishnemisto.com.ua/school/650350/", 650350)</f>
        <v>650350</v>
      </c>
      <c r="B13810" s="3" t="s">
        <v>69729</v>
      </c>
      <c r="C13810" s="3" t="s">
        <v>31</v>
      </c>
      <c r="D13810" s="3" t="s">
        <v>32</v>
      </c>
      <c r="E13810" s="4" t="s">
        <v>22</v>
      </c>
      <c r="F13810" s="4" t="s">
        <v>69730</v>
      </c>
      <c r="G13810" s="4" t="s">
        <v>69731</v>
      </c>
      <c r="H13810" s="3" t="s">
        <v>67992</v>
      </c>
      <c r="I13810" s="3" t="s">
        <v>12585</v>
      </c>
      <c r="J13810" s="3" t="s">
        <v>69732</v>
      </c>
      <c r="K13810" s="3" t="s">
        <v>69733</v>
      </c>
      <c r="L13810" s="3" t="s">
        <v>69734</v>
      </c>
      <c r="M13810" s="4" t="s">
        <v>69735</v>
      </c>
      <c r="N13810" s="3" t="s">
        <v>37</v>
      </c>
      <c r="O13810" s="3" t="s">
        <v>52</v>
      </c>
      <c r="P13810" s="5">
        <v>11</v>
      </c>
      <c r="Q13810" s="5">
        <v>84</v>
      </c>
      <c r="R13810" s="5">
        <v>11</v>
      </c>
      <c r="S13810" s="5">
        <v>85</v>
      </c>
    </row>
    <row r="13811" spans="1:19" ht="56" x14ac:dyDescent="0.15">
      <c r="A13811" s="2">
        <f>HYPERLINK("https://open-school.uspishnemisto.com.ua/school/650351/", 650351)</f>
        <v>650351</v>
      </c>
      <c r="B13811" s="3" t="s">
        <v>69736</v>
      </c>
      <c r="C13811" s="3" t="s">
        <v>54</v>
      </c>
      <c r="D13811" s="3" t="s">
        <v>32</v>
      </c>
      <c r="E13811" s="4" t="s">
        <v>22</v>
      </c>
      <c r="F13811" s="4" t="s">
        <v>69737</v>
      </c>
      <c r="G13811" s="4" t="s">
        <v>69738</v>
      </c>
      <c r="H13811" s="3" t="s">
        <v>67992</v>
      </c>
      <c r="I13811" s="3" t="s">
        <v>69739</v>
      </c>
      <c r="J13811" s="3" t="s">
        <v>69740</v>
      </c>
      <c r="K13811" s="3" t="s">
        <v>69741</v>
      </c>
      <c r="L13811" s="3" t="s">
        <v>69742</v>
      </c>
      <c r="M13811" s="4" t="s">
        <v>69743</v>
      </c>
      <c r="N13811" s="3" t="s">
        <v>37</v>
      </c>
      <c r="O13811" s="3" t="s">
        <v>38</v>
      </c>
      <c r="P13811" s="5">
        <v>11</v>
      </c>
      <c r="Q13811" s="5">
        <v>177</v>
      </c>
      <c r="R13811" s="5">
        <v>11</v>
      </c>
      <c r="S13811" s="5">
        <v>171</v>
      </c>
    </row>
    <row r="13812" spans="1:19" ht="42" x14ac:dyDescent="0.15">
      <c r="A13812" s="2">
        <f>HYPERLINK("https://open-school.uspishnemisto.com.ua/school/650352/", 650352)</f>
        <v>650352</v>
      </c>
      <c r="B13812" s="3" t="s">
        <v>69744</v>
      </c>
      <c r="C13812" s="3" t="s">
        <v>31</v>
      </c>
      <c r="D13812" s="3" t="s">
        <v>32</v>
      </c>
      <c r="E13812" s="4" t="s">
        <v>22</v>
      </c>
      <c r="F13812" s="4" t="s">
        <v>69745</v>
      </c>
      <c r="G13812" s="4" t="s">
        <v>69746</v>
      </c>
      <c r="H13812" s="3" t="s">
        <v>67992</v>
      </c>
      <c r="I13812" s="3" t="s">
        <v>69747</v>
      </c>
      <c r="J13812" s="3" t="s">
        <v>2601</v>
      </c>
      <c r="K13812" s="3" t="s">
        <v>69748</v>
      </c>
      <c r="L13812" s="3" t="s">
        <v>69749</v>
      </c>
      <c r="M13812" s="4" t="s">
        <v>69750</v>
      </c>
      <c r="N13812" s="3" t="s">
        <v>37</v>
      </c>
      <c r="O13812" s="3" t="s">
        <v>70</v>
      </c>
      <c r="P13812" s="5">
        <v>10</v>
      </c>
      <c r="Q13812" s="5">
        <v>96</v>
      </c>
      <c r="R13812" s="5">
        <v>11</v>
      </c>
      <c r="S13812" s="5">
        <v>102</v>
      </c>
    </row>
    <row r="13813" spans="1:19" ht="42" x14ac:dyDescent="0.15">
      <c r="A13813" s="2">
        <f>HYPERLINK("https://open-school.uspishnemisto.com.ua/school/650353/", 650353)</f>
        <v>650353</v>
      </c>
      <c r="B13813" s="3" t="s">
        <v>69751</v>
      </c>
      <c r="C13813" s="3" t="s">
        <v>31</v>
      </c>
      <c r="D13813" s="3" t="s">
        <v>32</v>
      </c>
      <c r="E13813" s="4" t="s">
        <v>22</v>
      </c>
      <c r="F13813" s="4" t="s">
        <v>69752</v>
      </c>
      <c r="G13813" s="4" t="s">
        <v>69753</v>
      </c>
      <c r="H13813" s="3" t="s">
        <v>67992</v>
      </c>
      <c r="I13813" s="3" t="s">
        <v>69754</v>
      </c>
      <c r="J13813" s="3" t="s">
        <v>69755</v>
      </c>
      <c r="K13813" s="3" t="s">
        <v>69756</v>
      </c>
      <c r="L13813" s="3" t="s">
        <v>69757</v>
      </c>
      <c r="M13813" s="4" t="s">
        <v>69758</v>
      </c>
      <c r="N13813" s="3" t="s">
        <v>37</v>
      </c>
      <c r="O13813" s="3" t="s">
        <v>2740</v>
      </c>
      <c r="P13813" s="5">
        <v>11</v>
      </c>
      <c r="Q13813" s="5">
        <v>94</v>
      </c>
      <c r="R13813" s="5">
        <v>11</v>
      </c>
      <c r="S13813" s="5">
        <v>92</v>
      </c>
    </row>
    <row r="13814" spans="1:19" ht="42" x14ac:dyDescent="0.15">
      <c r="A13814" s="2">
        <f>HYPERLINK("https://open-school.uspishnemisto.com.ua/school/650354/", 650354)</f>
        <v>650354</v>
      </c>
      <c r="B13814" s="3" t="s">
        <v>69759</v>
      </c>
      <c r="C13814" s="3" t="s">
        <v>31</v>
      </c>
      <c r="D13814" s="3" t="s">
        <v>32</v>
      </c>
      <c r="E13814" s="4" t="s">
        <v>22</v>
      </c>
      <c r="F13814" s="4" t="s">
        <v>69760</v>
      </c>
      <c r="G13814" s="4" t="s">
        <v>69761</v>
      </c>
      <c r="H13814" s="3" t="s">
        <v>67992</v>
      </c>
      <c r="I13814" s="3" t="s">
        <v>11256</v>
      </c>
      <c r="J13814" s="3" t="s">
        <v>69762</v>
      </c>
      <c r="K13814" s="3" t="s">
        <v>69763</v>
      </c>
      <c r="L13814" s="3" t="s">
        <v>69764</v>
      </c>
      <c r="M13814" s="4" t="s">
        <v>69765</v>
      </c>
      <c r="N13814" s="3" t="s">
        <v>37</v>
      </c>
      <c r="O13814" s="3" t="s">
        <v>52</v>
      </c>
      <c r="P13814" s="5">
        <v>11</v>
      </c>
      <c r="Q13814" s="5">
        <v>142</v>
      </c>
      <c r="R13814" s="5">
        <v>11</v>
      </c>
      <c r="S13814" s="5">
        <v>146</v>
      </c>
    </row>
    <row r="13815" spans="1:19" ht="56" x14ac:dyDescent="0.15">
      <c r="A13815" s="2">
        <f>HYPERLINK("https://open-school.uspishnemisto.com.ua/school/650355/", 650355)</f>
        <v>650355</v>
      </c>
      <c r="B13815" s="3" t="s">
        <v>69766</v>
      </c>
      <c r="C13815" s="3" t="s">
        <v>54</v>
      </c>
      <c r="D13815" s="3" t="s">
        <v>32</v>
      </c>
      <c r="E13815" s="4" t="s">
        <v>22</v>
      </c>
      <c r="F13815" s="4" t="s">
        <v>69767</v>
      </c>
      <c r="G13815" s="4" t="s">
        <v>69768</v>
      </c>
      <c r="H13815" s="3" t="s">
        <v>67992</v>
      </c>
      <c r="I13815" s="3" t="s">
        <v>3145</v>
      </c>
      <c r="J13815" s="3" t="s">
        <v>17555</v>
      </c>
      <c r="K13815" s="3"/>
      <c r="L13815" s="3" t="s">
        <v>69769</v>
      </c>
      <c r="M13815" s="4" t="s">
        <v>69770</v>
      </c>
      <c r="N13815" s="3" t="s">
        <v>37</v>
      </c>
      <c r="O13815" s="3" t="s">
        <v>46</v>
      </c>
      <c r="P13815" s="5">
        <v>9</v>
      </c>
      <c r="Q13815" s="5">
        <v>63</v>
      </c>
      <c r="R13815" s="5">
        <v>9</v>
      </c>
      <c r="S13815" s="5">
        <v>62</v>
      </c>
    </row>
    <row r="13816" spans="1:19" ht="42" x14ac:dyDescent="0.15">
      <c r="A13816" s="2">
        <f>HYPERLINK("https://open-school.uspishnemisto.com.ua/school/650356/", 650356)</f>
        <v>650356</v>
      </c>
      <c r="B13816" s="3" t="s">
        <v>69771</v>
      </c>
      <c r="C13816" s="3" t="s">
        <v>31</v>
      </c>
      <c r="D13816" s="3" t="s">
        <v>32</v>
      </c>
      <c r="E13816" s="4" t="s">
        <v>22</v>
      </c>
      <c r="F13816" s="4" t="s">
        <v>19388</v>
      </c>
      <c r="G13816" s="4" t="s">
        <v>69772</v>
      </c>
      <c r="H13816" s="3" t="s">
        <v>67992</v>
      </c>
      <c r="I13816" s="3" t="s">
        <v>688</v>
      </c>
      <c r="J13816" s="3" t="s">
        <v>69773</v>
      </c>
      <c r="K13816" s="3" t="s">
        <v>69774</v>
      </c>
      <c r="L13816" s="3"/>
      <c r="M13816" s="4" t="s">
        <v>69775</v>
      </c>
      <c r="N13816" s="3" t="s">
        <v>37</v>
      </c>
      <c r="O13816" s="3" t="s">
        <v>52</v>
      </c>
      <c r="P13816" s="5">
        <v>10</v>
      </c>
      <c r="Q13816" s="5">
        <v>93</v>
      </c>
      <c r="R13816" s="5">
        <v>9</v>
      </c>
      <c r="S13816" s="5">
        <v>96</v>
      </c>
    </row>
    <row r="13817" spans="1:19" ht="42" x14ac:dyDescent="0.15">
      <c r="A13817" s="2">
        <f>HYPERLINK("https://open-school.uspishnemisto.com.ua/school/650357/", 650357)</f>
        <v>650357</v>
      </c>
      <c r="B13817" s="3" t="s">
        <v>69776</v>
      </c>
      <c r="C13817" s="3" t="s">
        <v>54</v>
      </c>
      <c r="D13817" s="3" t="s">
        <v>32</v>
      </c>
      <c r="E13817" s="4" t="s">
        <v>22</v>
      </c>
      <c r="F13817" s="4" t="s">
        <v>69777</v>
      </c>
      <c r="G13817" s="4" t="s">
        <v>69778</v>
      </c>
      <c r="H13817" s="3" t="s">
        <v>67992</v>
      </c>
      <c r="I13817" s="3" t="s">
        <v>11267</v>
      </c>
      <c r="J13817" s="3" t="s">
        <v>69779</v>
      </c>
      <c r="K13817" s="3" t="s">
        <v>69780</v>
      </c>
      <c r="L13817" s="3" t="s">
        <v>69781</v>
      </c>
      <c r="M13817" s="4" t="s">
        <v>69782</v>
      </c>
      <c r="N13817" s="3" t="s">
        <v>37</v>
      </c>
      <c r="O13817" s="3" t="s">
        <v>52</v>
      </c>
      <c r="P13817" s="5">
        <v>11</v>
      </c>
      <c r="Q13817" s="5">
        <v>122</v>
      </c>
      <c r="R13817" s="5">
        <v>11</v>
      </c>
      <c r="S13817" s="5">
        <v>130</v>
      </c>
    </row>
    <row r="13818" spans="1:19" ht="42" x14ac:dyDescent="0.15">
      <c r="A13818" s="2">
        <f>HYPERLINK("https://open-school.uspishnemisto.com.ua/school/650358/", 650358)</f>
        <v>650358</v>
      </c>
      <c r="B13818" s="3" t="s">
        <v>69783</v>
      </c>
      <c r="C13818" s="3" t="s">
        <v>31</v>
      </c>
      <c r="D13818" s="3" t="s">
        <v>32</v>
      </c>
      <c r="E13818" s="4" t="s">
        <v>22</v>
      </c>
      <c r="F13818" s="4" t="s">
        <v>69784</v>
      </c>
      <c r="G13818" s="4" t="s">
        <v>69785</v>
      </c>
      <c r="H13818" s="3" t="s">
        <v>67992</v>
      </c>
      <c r="I13818" s="3" t="s">
        <v>69786</v>
      </c>
      <c r="J13818" s="3" t="s">
        <v>44571</v>
      </c>
      <c r="K13818" s="3" t="s">
        <v>69787</v>
      </c>
      <c r="L13818" s="3" t="s">
        <v>69788</v>
      </c>
      <c r="M13818" s="4" t="s">
        <v>69789</v>
      </c>
      <c r="N13818" s="3" t="s">
        <v>37</v>
      </c>
      <c r="O13818" s="3" t="s">
        <v>38</v>
      </c>
      <c r="P13818" s="5">
        <v>11</v>
      </c>
      <c r="Q13818" s="5">
        <v>114</v>
      </c>
      <c r="R13818" s="5">
        <v>11</v>
      </c>
      <c r="S13818" s="5">
        <v>126</v>
      </c>
    </row>
    <row r="13819" spans="1:19" ht="42" x14ac:dyDescent="0.15">
      <c r="A13819" s="2">
        <f>HYPERLINK("https://open-school.uspishnemisto.com.ua/school/650359/", 650359)</f>
        <v>650359</v>
      </c>
      <c r="B13819" s="3" t="s">
        <v>69790</v>
      </c>
      <c r="C13819" s="3" t="s">
        <v>31</v>
      </c>
      <c r="D13819" s="3" t="s">
        <v>32</v>
      </c>
      <c r="E13819" s="4" t="s">
        <v>22</v>
      </c>
      <c r="F13819" s="4" t="s">
        <v>69791</v>
      </c>
      <c r="G13819" s="4" t="s">
        <v>69792</v>
      </c>
      <c r="H13819" s="3" t="s">
        <v>67992</v>
      </c>
      <c r="I13819" s="3" t="s">
        <v>69793</v>
      </c>
      <c r="J13819" s="3" t="s">
        <v>3934</v>
      </c>
      <c r="K13819" s="3" t="s">
        <v>69794</v>
      </c>
      <c r="L13819" s="3" t="s">
        <v>69795</v>
      </c>
      <c r="M13819" s="4" t="s">
        <v>69796</v>
      </c>
      <c r="N13819" s="3" t="s">
        <v>37</v>
      </c>
      <c r="O13819" s="3" t="s">
        <v>38</v>
      </c>
      <c r="P13819" s="5">
        <v>11</v>
      </c>
      <c r="Q13819" s="5">
        <v>194</v>
      </c>
      <c r="R13819" s="5">
        <v>11</v>
      </c>
      <c r="S13819" s="5">
        <v>193</v>
      </c>
    </row>
    <row r="13820" spans="1:19" ht="56" x14ac:dyDescent="0.15">
      <c r="A13820" s="2">
        <f>HYPERLINK("https://open-school.uspishnemisto.com.ua/school/650360/", 650360)</f>
        <v>650360</v>
      </c>
      <c r="B13820" s="3" t="s">
        <v>69797</v>
      </c>
      <c r="C13820" s="3" t="s">
        <v>54</v>
      </c>
      <c r="D13820" s="3" t="s">
        <v>60</v>
      </c>
      <c r="E13820" s="4" t="s">
        <v>22</v>
      </c>
      <c r="F13820" s="4" t="s">
        <v>69798</v>
      </c>
      <c r="G13820" s="4" t="s">
        <v>69799</v>
      </c>
      <c r="H13820" s="3" t="s">
        <v>67992</v>
      </c>
      <c r="I13820" s="3" t="s">
        <v>12423</v>
      </c>
      <c r="J13820" s="3" t="s">
        <v>69800</v>
      </c>
      <c r="K13820" s="3" t="s">
        <v>69801</v>
      </c>
      <c r="L13820" s="3" t="s">
        <v>69802</v>
      </c>
      <c r="M13820" s="4" t="s">
        <v>69803</v>
      </c>
      <c r="N13820" s="3" t="s">
        <v>37</v>
      </c>
      <c r="O13820" s="3" t="s">
        <v>52</v>
      </c>
      <c r="P13820" s="5">
        <v>2</v>
      </c>
      <c r="Q13820" s="5">
        <v>15</v>
      </c>
      <c r="R13820" s="5">
        <v>3</v>
      </c>
      <c r="S13820" s="5">
        <v>17</v>
      </c>
    </row>
    <row r="13821" spans="1:19" ht="28" x14ac:dyDescent="0.15">
      <c r="A13821" s="2">
        <f>HYPERLINK("https://open-school.uspishnemisto.com.ua/school/650361/", 650361)</f>
        <v>650361</v>
      </c>
      <c r="B13821" s="3" t="s">
        <v>69804</v>
      </c>
      <c r="C13821" s="3" t="s">
        <v>20</v>
      </c>
      <c r="D13821" s="3" t="s">
        <v>21</v>
      </c>
      <c r="E13821" s="4" t="s">
        <v>22</v>
      </c>
      <c r="F13821" s="4" t="s">
        <v>10510</v>
      </c>
      <c r="G13821" s="4" t="s">
        <v>69805</v>
      </c>
      <c r="H13821" s="3" t="s">
        <v>67992</v>
      </c>
      <c r="I13821" s="3" t="s">
        <v>12168</v>
      </c>
      <c r="J13821" s="3" t="s">
        <v>69806</v>
      </c>
      <c r="K13821" s="3"/>
      <c r="L13821" s="3"/>
      <c r="M13821" s="4"/>
      <c r="N13821" s="3"/>
      <c r="O13821" s="3"/>
      <c r="P13821" s="5">
        <v>0</v>
      </c>
      <c r="Q13821" s="5">
        <v>0</v>
      </c>
      <c r="R13821" s="5"/>
      <c r="S13821" s="5"/>
    </row>
    <row r="13822" spans="1:19" ht="28" x14ac:dyDescent="0.15">
      <c r="A13822" s="2">
        <f>HYPERLINK("https://open-school.uspishnemisto.com.ua/school/650362/", 650362)</f>
        <v>650362</v>
      </c>
      <c r="B13822" s="3" t="s">
        <v>69807</v>
      </c>
      <c r="C13822" s="3" t="s">
        <v>31</v>
      </c>
      <c r="D13822" s="3" t="s">
        <v>32</v>
      </c>
      <c r="E13822" s="4" t="s">
        <v>22</v>
      </c>
      <c r="F13822" s="4" t="s">
        <v>10510</v>
      </c>
      <c r="G13822" s="4" t="s">
        <v>69805</v>
      </c>
      <c r="H13822" s="3" t="s">
        <v>67992</v>
      </c>
      <c r="I13822" s="3" t="s">
        <v>12168</v>
      </c>
      <c r="J13822" s="3" t="s">
        <v>69808</v>
      </c>
      <c r="K13822" s="3" t="s">
        <v>69809</v>
      </c>
      <c r="L13822" s="3"/>
      <c r="M13822" s="4"/>
      <c r="N13822" s="3" t="s">
        <v>128</v>
      </c>
      <c r="O13822" s="3" t="s">
        <v>197</v>
      </c>
      <c r="P13822" s="5">
        <v>34</v>
      </c>
      <c r="Q13822" s="5">
        <v>787</v>
      </c>
      <c r="R13822" s="5">
        <v>34</v>
      </c>
      <c r="S13822" s="5">
        <v>766</v>
      </c>
    </row>
    <row r="13823" spans="1:19" ht="42" x14ac:dyDescent="0.15">
      <c r="A13823" s="2">
        <f>HYPERLINK("https://open-school.uspishnemisto.com.ua/school/650363/", 650363)</f>
        <v>650363</v>
      </c>
      <c r="B13823" s="3" t="s">
        <v>69810</v>
      </c>
      <c r="C13823" s="3" t="s">
        <v>54</v>
      </c>
      <c r="D13823" s="3" t="s">
        <v>32</v>
      </c>
      <c r="E13823" s="4" t="s">
        <v>22</v>
      </c>
      <c r="F13823" s="4" t="s">
        <v>10510</v>
      </c>
      <c r="G13823" s="4" t="s">
        <v>69805</v>
      </c>
      <c r="H13823" s="3" t="s">
        <v>67992</v>
      </c>
      <c r="I13823" s="3" t="s">
        <v>12168</v>
      </c>
      <c r="J13823" s="3" t="s">
        <v>69806</v>
      </c>
      <c r="K13823" s="3" t="s">
        <v>69811</v>
      </c>
      <c r="L13823" s="3" t="s">
        <v>69812</v>
      </c>
      <c r="M13823" s="4"/>
      <c r="N13823" s="3" t="s">
        <v>37</v>
      </c>
      <c r="O13823" s="3" t="s">
        <v>46</v>
      </c>
      <c r="P13823" s="5">
        <v>22</v>
      </c>
      <c r="Q13823" s="5">
        <v>372</v>
      </c>
      <c r="R13823" s="5">
        <v>22</v>
      </c>
      <c r="S13823" s="5">
        <v>381</v>
      </c>
    </row>
    <row r="13824" spans="1:19" ht="28" x14ac:dyDescent="0.15">
      <c r="A13824" s="2">
        <f>HYPERLINK("https://open-school.uspishnemisto.com.ua/school/650364/", 650364)</f>
        <v>650364</v>
      </c>
      <c r="B13824" s="3" t="s">
        <v>69813</v>
      </c>
      <c r="C13824" s="3" t="s">
        <v>31</v>
      </c>
      <c r="D13824" s="3" t="s">
        <v>32</v>
      </c>
      <c r="E13824" s="4" t="s">
        <v>22</v>
      </c>
      <c r="F13824" s="4" t="s">
        <v>69814</v>
      </c>
      <c r="G13824" s="4" t="s">
        <v>69815</v>
      </c>
      <c r="H13824" s="3" t="s">
        <v>67992</v>
      </c>
      <c r="I13824" s="3" t="s">
        <v>69816</v>
      </c>
      <c r="J13824" s="3" t="s">
        <v>69817</v>
      </c>
      <c r="K13824" s="3" t="s">
        <v>69818</v>
      </c>
      <c r="L13824" s="3" t="s">
        <v>69819</v>
      </c>
      <c r="M13824" s="4"/>
      <c r="N13824" s="3" t="s">
        <v>37</v>
      </c>
      <c r="O13824" s="3" t="s">
        <v>38</v>
      </c>
      <c r="P13824" s="5">
        <v>12</v>
      </c>
      <c r="Q13824" s="5">
        <v>231</v>
      </c>
      <c r="R13824" s="5">
        <v>12</v>
      </c>
      <c r="S13824" s="5">
        <v>221</v>
      </c>
    </row>
    <row r="13825" spans="1:19" ht="28" x14ac:dyDescent="0.15">
      <c r="A13825" s="2">
        <f>HYPERLINK("https://open-school.uspishnemisto.com.ua/school/650365/", 650365)</f>
        <v>650365</v>
      </c>
      <c r="B13825" s="3" t="s">
        <v>69820</v>
      </c>
      <c r="C13825" s="3" t="s">
        <v>31</v>
      </c>
      <c r="D13825" s="3" t="s">
        <v>32</v>
      </c>
      <c r="E13825" s="4" t="s">
        <v>22</v>
      </c>
      <c r="F13825" s="4" t="s">
        <v>69821</v>
      </c>
      <c r="G13825" s="4" t="s">
        <v>69815</v>
      </c>
      <c r="H13825" s="3" t="s">
        <v>67992</v>
      </c>
      <c r="I13825" s="3" t="s">
        <v>69816</v>
      </c>
      <c r="J13825" s="3" t="s">
        <v>69822</v>
      </c>
      <c r="K13825" s="3" t="s">
        <v>69823</v>
      </c>
      <c r="L13825" s="3"/>
      <c r="M13825" s="4"/>
      <c r="N13825" s="3" t="s">
        <v>37</v>
      </c>
      <c r="O13825" s="3" t="s">
        <v>38</v>
      </c>
      <c r="P13825" s="5">
        <v>11</v>
      </c>
      <c r="Q13825" s="5">
        <v>182</v>
      </c>
      <c r="R13825" s="5">
        <v>11</v>
      </c>
      <c r="S13825" s="5">
        <v>187</v>
      </c>
    </row>
    <row r="13826" spans="1:19" ht="28" x14ac:dyDescent="0.15">
      <c r="A13826" s="2">
        <f>HYPERLINK("https://open-school.uspishnemisto.com.ua/school/650366/", 650366)</f>
        <v>650366</v>
      </c>
      <c r="B13826" s="3" t="s">
        <v>69824</v>
      </c>
      <c r="C13826" s="3" t="s">
        <v>181</v>
      </c>
      <c r="D13826" s="3" t="s">
        <v>175</v>
      </c>
      <c r="E13826" s="4" t="s">
        <v>22</v>
      </c>
      <c r="F13826" s="4" t="s">
        <v>69821</v>
      </c>
      <c r="G13826" s="4" t="s">
        <v>69815</v>
      </c>
      <c r="H13826" s="3" t="s">
        <v>67992</v>
      </c>
      <c r="I13826" s="3" t="s">
        <v>69816</v>
      </c>
      <c r="J13826" s="3" t="s">
        <v>69825</v>
      </c>
      <c r="K13826" s="3" t="s">
        <v>69826</v>
      </c>
      <c r="L13826" s="3"/>
      <c r="M13826" s="4" t="s">
        <v>69827</v>
      </c>
      <c r="N13826" s="3" t="s">
        <v>37</v>
      </c>
      <c r="O13826" s="3"/>
      <c r="P13826" s="5">
        <v>11</v>
      </c>
      <c r="Q13826" s="5">
        <v>103</v>
      </c>
      <c r="R13826" s="5">
        <v>11</v>
      </c>
      <c r="S13826" s="5">
        <v>104</v>
      </c>
    </row>
    <row r="13827" spans="1:19" ht="28" x14ac:dyDescent="0.15">
      <c r="A13827" s="2">
        <f>HYPERLINK("https://open-school.uspishnemisto.com.ua/school/650367/", 650367)</f>
        <v>650367</v>
      </c>
      <c r="B13827" s="3" t="s">
        <v>69828</v>
      </c>
      <c r="C13827" s="3" t="s">
        <v>31</v>
      </c>
      <c r="D13827" s="3" t="s">
        <v>32</v>
      </c>
      <c r="E13827" s="4" t="s">
        <v>22</v>
      </c>
      <c r="F13827" s="4" t="s">
        <v>69829</v>
      </c>
      <c r="G13827" s="4" t="s">
        <v>69830</v>
      </c>
      <c r="H13827" s="3" t="s">
        <v>67992</v>
      </c>
      <c r="I13827" s="3" t="s">
        <v>1291</v>
      </c>
      <c r="J13827" s="3" t="s">
        <v>501</v>
      </c>
      <c r="K13827" s="3" t="s">
        <v>69831</v>
      </c>
      <c r="L13827" s="3"/>
      <c r="M13827" s="4"/>
      <c r="N13827" s="3" t="s">
        <v>37</v>
      </c>
      <c r="O13827" s="3" t="s">
        <v>38</v>
      </c>
      <c r="P13827" s="5">
        <v>8</v>
      </c>
      <c r="Q13827" s="5">
        <v>100</v>
      </c>
      <c r="R13827" s="5">
        <v>8</v>
      </c>
      <c r="S13827" s="5">
        <v>115</v>
      </c>
    </row>
    <row r="13828" spans="1:19" ht="28" x14ac:dyDescent="0.15">
      <c r="A13828" s="2">
        <f>HYPERLINK("https://open-school.uspishnemisto.com.ua/school/650368/", 650368)</f>
        <v>650368</v>
      </c>
      <c r="B13828" s="3" t="s">
        <v>69832</v>
      </c>
      <c r="C13828" s="3" t="s">
        <v>31</v>
      </c>
      <c r="D13828" s="3" t="s">
        <v>175</v>
      </c>
      <c r="E13828" s="4" t="s">
        <v>22</v>
      </c>
      <c r="F13828" s="4" t="s">
        <v>69833</v>
      </c>
      <c r="G13828" s="4" t="s">
        <v>69834</v>
      </c>
      <c r="H13828" s="3" t="s">
        <v>67992</v>
      </c>
      <c r="I13828" s="3" t="s">
        <v>1500</v>
      </c>
      <c r="J13828" s="3" t="s">
        <v>69835</v>
      </c>
      <c r="K13828" s="3" t="s">
        <v>69836</v>
      </c>
      <c r="L13828" s="3"/>
      <c r="M13828" s="4"/>
      <c r="N13828" s="3" t="s">
        <v>37</v>
      </c>
      <c r="O13828" s="3" t="s">
        <v>46</v>
      </c>
      <c r="P13828" s="5">
        <v>6</v>
      </c>
      <c r="Q13828" s="5">
        <v>41</v>
      </c>
      <c r="R13828" s="5">
        <v>6</v>
      </c>
      <c r="S13828" s="5">
        <v>42</v>
      </c>
    </row>
    <row r="13829" spans="1:19" ht="28" x14ac:dyDescent="0.15">
      <c r="A13829" s="2">
        <f>HYPERLINK("https://open-school.uspishnemisto.com.ua/school/650369/", 650369)</f>
        <v>650369</v>
      </c>
      <c r="B13829" s="3" t="s">
        <v>69837</v>
      </c>
      <c r="C13829" s="3" t="s">
        <v>31</v>
      </c>
      <c r="D13829" s="3" t="s">
        <v>32</v>
      </c>
      <c r="E13829" s="4" t="s">
        <v>22</v>
      </c>
      <c r="F13829" s="4" t="s">
        <v>69838</v>
      </c>
      <c r="G13829" s="4" t="s">
        <v>69839</v>
      </c>
      <c r="H13829" s="3" t="s">
        <v>67992</v>
      </c>
      <c r="I13829" s="3" t="s">
        <v>69840</v>
      </c>
      <c r="J13829" s="3" t="s">
        <v>69841</v>
      </c>
      <c r="K13829" s="3" t="s">
        <v>69842</v>
      </c>
      <c r="L13829" s="3"/>
      <c r="M13829" s="4"/>
      <c r="N13829" s="3" t="s">
        <v>37</v>
      </c>
      <c r="O13829" s="3" t="s">
        <v>46</v>
      </c>
      <c r="P13829" s="5">
        <v>8</v>
      </c>
      <c r="Q13829" s="5">
        <v>65</v>
      </c>
      <c r="R13829" s="5">
        <v>8</v>
      </c>
      <c r="S13829" s="5">
        <v>72</v>
      </c>
    </row>
    <row r="13830" spans="1:19" ht="42" x14ac:dyDescent="0.15">
      <c r="A13830" s="2">
        <f>HYPERLINK("https://open-school.uspishnemisto.com.ua/school/650370/", 650370)</f>
        <v>650370</v>
      </c>
      <c r="B13830" s="3" t="s">
        <v>69843</v>
      </c>
      <c r="C13830" s="3" t="s">
        <v>54</v>
      </c>
      <c r="D13830" s="3" t="s">
        <v>60</v>
      </c>
      <c r="E13830" s="4" t="s">
        <v>22</v>
      </c>
      <c r="F13830" s="4" t="s">
        <v>69844</v>
      </c>
      <c r="G13830" s="4" t="s">
        <v>69845</v>
      </c>
      <c r="H13830" s="3" t="s">
        <v>67992</v>
      </c>
      <c r="I13830" s="3" t="s">
        <v>69846</v>
      </c>
      <c r="J13830" s="3" t="s">
        <v>69847</v>
      </c>
      <c r="K13830" s="3"/>
      <c r="L13830" s="3"/>
      <c r="M13830" s="4"/>
      <c r="N13830" s="3" t="s">
        <v>37</v>
      </c>
      <c r="O13830" s="3" t="s">
        <v>618</v>
      </c>
      <c r="P13830" s="5">
        <v>1</v>
      </c>
      <c r="Q13830" s="5">
        <v>8</v>
      </c>
      <c r="R13830" s="5">
        <v>1</v>
      </c>
      <c r="S13830" s="5">
        <v>8</v>
      </c>
    </row>
    <row r="13831" spans="1:19" ht="28" x14ac:dyDescent="0.15">
      <c r="A13831" s="2">
        <f>HYPERLINK("https://open-school.uspishnemisto.com.ua/school/650371/", 650371)</f>
        <v>650371</v>
      </c>
      <c r="B13831" s="3" t="s">
        <v>69848</v>
      </c>
      <c r="C13831" s="3" t="s">
        <v>54</v>
      </c>
      <c r="D13831" s="3" t="s">
        <v>60</v>
      </c>
      <c r="E13831" s="4" t="s">
        <v>22</v>
      </c>
      <c r="F13831" s="4" t="s">
        <v>69849</v>
      </c>
      <c r="G13831" s="4" t="s">
        <v>69850</v>
      </c>
      <c r="H13831" s="3" t="s">
        <v>67992</v>
      </c>
      <c r="I13831" s="3" t="s">
        <v>11355</v>
      </c>
      <c r="J13831" s="3" t="s">
        <v>62466</v>
      </c>
      <c r="K13831" s="3" t="s">
        <v>69851</v>
      </c>
      <c r="L13831" s="3"/>
      <c r="M13831" s="4"/>
      <c r="N13831" s="3" t="s">
        <v>37</v>
      </c>
      <c r="O13831" s="3" t="s">
        <v>38</v>
      </c>
      <c r="P13831" s="5">
        <v>2</v>
      </c>
      <c r="Q13831" s="5">
        <v>13</v>
      </c>
      <c r="R13831" s="5">
        <v>2</v>
      </c>
      <c r="S13831" s="5">
        <v>12</v>
      </c>
    </row>
    <row r="13832" spans="1:19" ht="28" x14ac:dyDescent="0.15">
      <c r="A13832" s="2">
        <f>HYPERLINK("https://open-school.uspishnemisto.com.ua/school/650372/", 650372)</f>
        <v>650372</v>
      </c>
      <c r="B13832" s="3" t="s">
        <v>69852</v>
      </c>
      <c r="C13832" s="3" t="s">
        <v>31</v>
      </c>
      <c r="D13832" s="3" t="s">
        <v>175</v>
      </c>
      <c r="E13832" s="4" t="s">
        <v>22</v>
      </c>
      <c r="F13832" s="4" t="s">
        <v>69853</v>
      </c>
      <c r="G13832" s="4" t="s">
        <v>69854</v>
      </c>
      <c r="H13832" s="3" t="s">
        <v>67992</v>
      </c>
      <c r="I13832" s="3" t="s">
        <v>26292</v>
      </c>
      <c r="J13832" s="3" t="s">
        <v>69855</v>
      </c>
      <c r="K13832" s="3" t="s">
        <v>69856</v>
      </c>
      <c r="L13832" s="3"/>
      <c r="M13832" s="4"/>
      <c r="N13832" s="3" t="s">
        <v>37</v>
      </c>
      <c r="O13832" s="3" t="s">
        <v>52</v>
      </c>
      <c r="P13832" s="5">
        <v>9</v>
      </c>
      <c r="Q13832" s="5">
        <v>75</v>
      </c>
      <c r="R13832" s="5">
        <v>9</v>
      </c>
      <c r="S13832" s="5">
        <v>75</v>
      </c>
    </row>
    <row r="13833" spans="1:19" ht="28" x14ac:dyDescent="0.15">
      <c r="A13833" s="2">
        <f>HYPERLINK("https://open-school.uspishnemisto.com.ua/school/650373/", 650373)</f>
        <v>650373</v>
      </c>
      <c r="B13833" s="3" t="s">
        <v>69857</v>
      </c>
      <c r="C13833" s="3" t="s">
        <v>31</v>
      </c>
      <c r="D13833" s="3" t="s">
        <v>32</v>
      </c>
      <c r="E13833" s="4" t="s">
        <v>22</v>
      </c>
      <c r="F13833" s="4" t="s">
        <v>69858</v>
      </c>
      <c r="G13833" s="4" t="s">
        <v>69859</v>
      </c>
      <c r="H13833" s="3" t="s">
        <v>67992</v>
      </c>
      <c r="I13833" s="3" t="s">
        <v>69276</v>
      </c>
      <c r="J13833" s="3" t="s">
        <v>69860</v>
      </c>
      <c r="K13833" s="3" t="s">
        <v>69861</v>
      </c>
      <c r="L13833" s="3"/>
      <c r="M13833" s="4"/>
      <c r="N13833" s="3" t="s">
        <v>37</v>
      </c>
      <c r="O13833" s="3" t="s">
        <v>38</v>
      </c>
      <c r="P13833" s="5">
        <v>6</v>
      </c>
      <c r="Q13833" s="5">
        <v>63</v>
      </c>
      <c r="R13833" s="5">
        <v>5</v>
      </c>
      <c r="S13833" s="5">
        <v>55</v>
      </c>
    </row>
    <row r="13834" spans="1:19" ht="28" x14ac:dyDescent="0.15">
      <c r="A13834" s="2">
        <f>HYPERLINK("https://open-school.uspishnemisto.com.ua/school/650374/", 650374)</f>
        <v>650374</v>
      </c>
      <c r="B13834" s="3" t="s">
        <v>69862</v>
      </c>
      <c r="C13834" s="3" t="s">
        <v>31</v>
      </c>
      <c r="D13834" s="3" t="s">
        <v>32</v>
      </c>
      <c r="E13834" s="4" t="s">
        <v>22</v>
      </c>
      <c r="F13834" s="4" t="s">
        <v>69863</v>
      </c>
      <c r="G13834" s="4" t="s">
        <v>69864</v>
      </c>
      <c r="H13834" s="3" t="s">
        <v>67992</v>
      </c>
      <c r="I13834" s="3" t="s">
        <v>69865</v>
      </c>
      <c r="J13834" s="3" t="s">
        <v>69866</v>
      </c>
      <c r="K13834" s="3" t="s">
        <v>69867</v>
      </c>
      <c r="L13834" s="3"/>
      <c r="M13834" s="4"/>
      <c r="N13834" s="3" t="s">
        <v>37</v>
      </c>
      <c r="O13834" s="3" t="s">
        <v>46</v>
      </c>
      <c r="P13834" s="5">
        <v>10</v>
      </c>
      <c r="Q13834" s="5">
        <v>161</v>
      </c>
      <c r="R13834" s="5">
        <v>11</v>
      </c>
      <c r="S13834" s="5">
        <v>167</v>
      </c>
    </row>
    <row r="13835" spans="1:19" ht="28" x14ac:dyDescent="0.15">
      <c r="A13835" s="2">
        <f>HYPERLINK("https://open-school.uspishnemisto.com.ua/school/650375/", 650375)</f>
        <v>650375</v>
      </c>
      <c r="B13835" s="3" t="s">
        <v>69868</v>
      </c>
      <c r="C13835" s="3" t="s">
        <v>31</v>
      </c>
      <c r="D13835" s="3" t="s">
        <v>32</v>
      </c>
      <c r="E13835" s="4" t="s">
        <v>22</v>
      </c>
      <c r="F13835" s="4" t="s">
        <v>69869</v>
      </c>
      <c r="G13835" s="4" t="s">
        <v>69870</v>
      </c>
      <c r="H13835" s="3" t="s">
        <v>67992</v>
      </c>
      <c r="I13835" s="3" t="s">
        <v>69871</v>
      </c>
      <c r="J13835" s="3" t="s">
        <v>69872</v>
      </c>
      <c r="K13835" s="3"/>
      <c r="L13835" s="3"/>
      <c r="M13835" s="4"/>
      <c r="N13835" s="3" t="s">
        <v>37</v>
      </c>
      <c r="O13835" s="3" t="s">
        <v>197</v>
      </c>
      <c r="P13835" s="5">
        <v>11</v>
      </c>
      <c r="Q13835" s="5">
        <v>97</v>
      </c>
      <c r="R13835" s="5">
        <v>11</v>
      </c>
      <c r="S13835" s="5">
        <v>100</v>
      </c>
    </row>
    <row r="13836" spans="1:19" ht="28" x14ac:dyDescent="0.15">
      <c r="A13836" s="2">
        <f>HYPERLINK("https://open-school.uspishnemisto.com.ua/school/650376/", 650376)</f>
        <v>650376</v>
      </c>
      <c r="B13836" s="3" t="s">
        <v>69873</v>
      </c>
      <c r="C13836" s="3" t="s">
        <v>54</v>
      </c>
      <c r="D13836" s="3" t="s">
        <v>60</v>
      </c>
      <c r="E13836" s="4" t="s">
        <v>22</v>
      </c>
      <c r="F13836" s="4" t="s">
        <v>69874</v>
      </c>
      <c r="G13836" s="4" t="s">
        <v>69875</v>
      </c>
      <c r="H13836" s="3" t="s">
        <v>67992</v>
      </c>
      <c r="I13836" s="3" t="s">
        <v>5477</v>
      </c>
      <c r="J13836" s="3" t="s">
        <v>25880</v>
      </c>
      <c r="K13836" s="3"/>
      <c r="L13836" s="3"/>
      <c r="M13836" s="4"/>
      <c r="N13836" s="3" t="s">
        <v>37</v>
      </c>
      <c r="O13836" s="3" t="s">
        <v>38</v>
      </c>
      <c r="P13836" s="5">
        <v>1</v>
      </c>
      <c r="Q13836" s="5">
        <v>15</v>
      </c>
      <c r="R13836" s="5">
        <v>0</v>
      </c>
      <c r="S13836" s="5">
        <v>7</v>
      </c>
    </row>
    <row r="13837" spans="1:19" ht="28" x14ac:dyDescent="0.15">
      <c r="A13837" s="2">
        <f>HYPERLINK("https://open-school.uspishnemisto.com.ua/school/650377/", 650377)</f>
        <v>650377</v>
      </c>
      <c r="B13837" s="3" t="s">
        <v>69876</v>
      </c>
      <c r="C13837" s="3" t="s">
        <v>31</v>
      </c>
      <c r="D13837" s="3" t="s">
        <v>32</v>
      </c>
      <c r="E13837" s="4" t="s">
        <v>22</v>
      </c>
      <c r="F13837" s="4" t="s">
        <v>69877</v>
      </c>
      <c r="G13837" s="4" t="s">
        <v>69878</v>
      </c>
      <c r="H13837" s="3" t="s">
        <v>67992</v>
      </c>
      <c r="I13837" s="3" t="s">
        <v>16021</v>
      </c>
      <c r="J13837" s="3" t="s">
        <v>12324</v>
      </c>
      <c r="K13837" s="3" t="s">
        <v>69879</v>
      </c>
      <c r="L13837" s="3"/>
      <c r="M13837" s="4"/>
      <c r="N13837" s="3" t="s">
        <v>37</v>
      </c>
      <c r="O13837" s="3" t="s">
        <v>38</v>
      </c>
      <c r="P13837" s="5">
        <v>9</v>
      </c>
      <c r="Q13837" s="5">
        <v>82</v>
      </c>
      <c r="R13837" s="5">
        <v>9</v>
      </c>
      <c r="S13837" s="5">
        <v>81</v>
      </c>
    </row>
    <row r="13838" spans="1:19" ht="28" x14ac:dyDescent="0.15">
      <c r="A13838" s="2">
        <f>HYPERLINK("https://open-school.uspishnemisto.com.ua/school/650378/", 650378)</f>
        <v>650378</v>
      </c>
      <c r="B13838" s="3" t="s">
        <v>69880</v>
      </c>
      <c r="C13838" s="3" t="s">
        <v>54</v>
      </c>
      <c r="D13838" s="3" t="s">
        <v>32</v>
      </c>
      <c r="E13838" s="4" t="s">
        <v>22</v>
      </c>
      <c r="F13838" s="4" t="s">
        <v>69881</v>
      </c>
      <c r="G13838" s="4" t="s">
        <v>69882</v>
      </c>
      <c r="H13838" s="3" t="s">
        <v>67992</v>
      </c>
      <c r="I13838" s="3" t="s">
        <v>11119</v>
      </c>
      <c r="J13838" s="3" t="s">
        <v>69883</v>
      </c>
      <c r="K13838" s="3" t="s">
        <v>69884</v>
      </c>
      <c r="L13838" s="3"/>
      <c r="M13838" s="4"/>
      <c r="N13838" s="3" t="s">
        <v>37</v>
      </c>
      <c r="O13838" s="3" t="s">
        <v>70</v>
      </c>
      <c r="P13838" s="5">
        <v>9</v>
      </c>
      <c r="Q13838" s="5">
        <v>62</v>
      </c>
      <c r="R13838" s="5">
        <v>9</v>
      </c>
      <c r="S13838" s="5">
        <v>67</v>
      </c>
    </row>
    <row r="13839" spans="1:19" ht="28" x14ac:dyDescent="0.15">
      <c r="A13839" s="2">
        <f>HYPERLINK("https://open-school.uspishnemisto.com.ua/school/650379/", 650379)</f>
        <v>650379</v>
      </c>
      <c r="B13839" s="3" t="s">
        <v>69885</v>
      </c>
      <c r="C13839" s="3" t="s">
        <v>31</v>
      </c>
      <c r="D13839" s="3" t="s">
        <v>32</v>
      </c>
      <c r="E13839" s="4" t="s">
        <v>22</v>
      </c>
      <c r="F13839" s="4" t="s">
        <v>69886</v>
      </c>
      <c r="G13839" s="4" t="s">
        <v>69887</v>
      </c>
      <c r="H13839" s="3" t="s">
        <v>67992</v>
      </c>
      <c r="I13839" s="3" t="s">
        <v>12945</v>
      </c>
      <c r="J13839" s="3" t="s">
        <v>69888</v>
      </c>
      <c r="K13839" s="3" t="s">
        <v>69889</v>
      </c>
      <c r="L13839" s="3"/>
      <c r="M13839" s="4"/>
      <c r="N13839" s="3" t="s">
        <v>967</v>
      </c>
      <c r="O13839" s="3" t="s">
        <v>618</v>
      </c>
      <c r="P13839" s="5">
        <v>10</v>
      </c>
      <c r="Q13839" s="5">
        <v>92</v>
      </c>
      <c r="R13839" s="5">
        <v>10</v>
      </c>
      <c r="S13839" s="5">
        <v>91</v>
      </c>
    </row>
    <row r="13840" spans="1:19" ht="28" x14ac:dyDescent="0.15">
      <c r="A13840" s="2">
        <f>HYPERLINK("https://open-school.uspishnemisto.com.ua/school/650380/", 650380)</f>
        <v>650380</v>
      </c>
      <c r="B13840" s="3" t="s">
        <v>69890</v>
      </c>
      <c r="C13840" s="3" t="s">
        <v>31</v>
      </c>
      <c r="D13840" s="3" t="s">
        <v>32</v>
      </c>
      <c r="E13840" s="4" t="s">
        <v>22</v>
      </c>
      <c r="F13840" s="4" t="s">
        <v>69891</v>
      </c>
      <c r="G13840" s="4" t="s">
        <v>69892</v>
      </c>
      <c r="H13840" s="3" t="s">
        <v>67992</v>
      </c>
      <c r="I13840" s="3" t="s">
        <v>69893</v>
      </c>
      <c r="J13840" s="3" t="s">
        <v>69894</v>
      </c>
      <c r="K13840" s="3" t="s">
        <v>69895</v>
      </c>
      <c r="L13840" s="3" t="s">
        <v>69896</v>
      </c>
      <c r="M13840" s="4"/>
      <c r="N13840" s="3" t="s">
        <v>37</v>
      </c>
      <c r="O13840" s="3" t="s">
        <v>38</v>
      </c>
      <c r="P13840" s="5">
        <v>11</v>
      </c>
      <c r="Q13840" s="5">
        <v>118</v>
      </c>
      <c r="R13840" s="5">
        <v>11</v>
      </c>
      <c r="S13840" s="5">
        <v>128</v>
      </c>
    </row>
    <row r="13841" spans="1:19" ht="28" x14ac:dyDescent="0.15">
      <c r="A13841" s="2">
        <f>HYPERLINK("https://open-school.uspishnemisto.com.ua/school/650381/", 650381)</f>
        <v>650381</v>
      </c>
      <c r="B13841" s="3" t="s">
        <v>69897</v>
      </c>
      <c r="C13841" s="3" t="s">
        <v>54</v>
      </c>
      <c r="D13841" s="3" t="s">
        <v>32</v>
      </c>
      <c r="E13841" s="4" t="s">
        <v>22</v>
      </c>
      <c r="F13841" s="4" t="s">
        <v>69898</v>
      </c>
      <c r="G13841" s="4" t="s">
        <v>69899</v>
      </c>
      <c r="H13841" s="3" t="s">
        <v>67992</v>
      </c>
      <c r="I13841" s="3" t="s">
        <v>69900</v>
      </c>
      <c r="J13841" s="3" t="s">
        <v>2719</v>
      </c>
      <c r="K13841" s="3" t="s">
        <v>69901</v>
      </c>
      <c r="L13841" s="3"/>
      <c r="M13841" s="4"/>
      <c r="N13841" s="3" t="s">
        <v>37</v>
      </c>
      <c r="O13841" s="3" t="s">
        <v>70</v>
      </c>
      <c r="P13841" s="5">
        <v>9</v>
      </c>
      <c r="Q13841" s="5">
        <v>82</v>
      </c>
      <c r="R13841" s="5">
        <v>8</v>
      </c>
      <c r="S13841" s="5">
        <v>77</v>
      </c>
    </row>
    <row r="13842" spans="1:19" ht="28" x14ac:dyDescent="0.15">
      <c r="A13842" s="2">
        <f>HYPERLINK("https://open-school.uspishnemisto.com.ua/school/650382/", 650382)</f>
        <v>650382</v>
      </c>
      <c r="B13842" s="3" t="s">
        <v>69902</v>
      </c>
      <c r="C13842" s="3" t="s">
        <v>31</v>
      </c>
      <c r="D13842" s="3" t="s">
        <v>32</v>
      </c>
      <c r="E13842" s="4" t="s">
        <v>22</v>
      </c>
      <c r="F13842" s="4" t="s">
        <v>69903</v>
      </c>
      <c r="G13842" s="4" t="s">
        <v>69904</v>
      </c>
      <c r="H13842" s="3" t="s">
        <v>67992</v>
      </c>
      <c r="I13842" s="3" t="s">
        <v>13213</v>
      </c>
      <c r="J13842" s="3" t="s">
        <v>69905</v>
      </c>
      <c r="K13842" s="3" t="s">
        <v>69906</v>
      </c>
      <c r="L13842" s="3"/>
      <c r="M13842" s="4"/>
      <c r="N13842" s="3" t="s">
        <v>37</v>
      </c>
      <c r="O13842" s="3" t="s">
        <v>70</v>
      </c>
      <c r="P13842" s="5">
        <v>11</v>
      </c>
      <c r="Q13842" s="5">
        <v>93</v>
      </c>
      <c r="R13842" s="5">
        <v>11</v>
      </c>
      <c r="S13842" s="5">
        <v>95</v>
      </c>
    </row>
    <row r="13843" spans="1:19" ht="28" x14ac:dyDescent="0.15">
      <c r="A13843" s="2">
        <f>HYPERLINK("https://open-school.uspishnemisto.com.ua/school/650383/", 650383)</f>
        <v>650383</v>
      </c>
      <c r="B13843" s="3" t="s">
        <v>69907</v>
      </c>
      <c r="C13843" s="3" t="s">
        <v>31</v>
      </c>
      <c r="D13843" s="3" t="s">
        <v>32</v>
      </c>
      <c r="E13843" s="4" t="s">
        <v>22</v>
      </c>
      <c r="F13843" s="4" t="s">
        <v>69908</v>
      </c>
      <c r="G13843" s="4" t="s">
        <v>69909</v>
      </c>
      <c r="H13843" s="3" t="s">
        <v>67992</v>
      </c>
      <c r="I13843" s="3" t="s">
        <v>69910</v>
      </c>
      <c r="J13843" s="3" t="s">
        <v>466</v>
      </c>
      <c r="K13843" s="3" t="s">
        <v>69911</v>
      </c>
      <c r="L13843" s="3"/>
      <c r="M13843" s="4"/>
      <c r="N13843" s="3" t="s">
        <v>37</v>
      </c>
      <c r="O13843" s="3" t="s">
        <v>38</v>
      </c>
      <c r="P13843" s="5">
        <v>10</v>
      </c>
      <c r="Q13843" s="5">
        <v>91</v>
      </c>
      <c r="R13843" s="5">
        <v>10</v>
      </c>
      <c r="S13843" s="5">
        <v>92</v>
      </c>
    </row>
    <row r="13844" spans="1:19" ht="28" x14ac:dyDescent="0.15">
      <c r="A13844" s="2">
        <f>HYPERLINK("https://open-school.uspishnemisto.com.ua/school/650384/", 650384)</f>
        <v>650384</v>
      </c>
      <c r="B13844" s="3" t="s">
        <v>69912</v>
      </c>
      <c r="C13844" s="3" t="s">
        <v>31</v>
      </c>
      <c r="D13844" s="3" t="s">
        <v>32</v>
      </c>
      <c r="E13844" s="4" t="s">
        <v>22</v>
      </c>
      <c r="F13844" s="4" t="s">
        <v>69913</v>
      </c>
      <c r="G13844" s="4" t="s">
        <v>69914</v>
      </c>
      <c r="H13844" s="3" t="s">
        <v>67992</v>
      </c>
      <c r="I13844" s="3" t="s">
        <v>4683</v>
      </c>
      <c r="J13844" s="3" t="s">
        <v>634</v>
      </c>
      <c r="K13844" s="3" t="s">
        <v>69915</v>
      </c>
      <c r="L13844" s="3"/>
      <c r="M13844" s="4"/>
      <c r="N13844" s="3" t="s">
        <v>37</v>
      </c>
      <c r="O13844" s="3" t="s">
        <v>38</v>
      </c>
      <c r="P13844" s="5">
        <v>10</v>
      </c>
      <c r="Q13844" s="5">
        <v>65</v>
      </c>
      <c r="R13844" s="5">
        <v>9</v>
      </c>
      <c r="S13844" s="5">
        <v>64</v>
      </c>
    </row>
    <row r="13845" spans="1:19" ht="42" x14ac:dyDescent="0.15">
      <c r="A13845" s="2">
        <f>HYPERLINK("https://open-school.uspishnemisto.com.ua/school/650385/", 650385)</f>
        <v>650385</v>
      </c>
      <c r="B13845" s="3" t="s">
        <v>69916</v>
      </c>
      <c r="C13845" s="3" t="s">
        <v>54</v>
      </c>
      <c r="D13845" s="3" t="s">
        <v>175</v>
      </c>
      <c r="E13845" s="4" t="s">
        <v>22</v>
      </c>
      <c r="F13845" s="4" t="s">
        <v>69917</v>
      </c>
      <c r="G13845" s="4" t="s">
        <v>69918</v>
      </c>
      <c r="H13845" s="3" t="s">
        <v>67992</v>
      </c>
      <c r="I13845" s="3" t="s">
        <v>69919</v>
      </c>
      <c r="J13845" s="3" t="s">
        <v>15310</v>
      </c>
      <c r="K13845" s="3"/>
      <c r="L13845" s="3"/>
      <c r="M13845" s="4"/>
      <c r="N13845" s="3" t="s">
        <v>37</v>
      </c>
      <c r="O13845" s="3" t="s">
        <v>112</v>
      </c>
      <c r="P13845" s="5">
        <v>4</v>
      </c>
      <c r="Q13845" s="5">
        <v>34</v>
      </c>
      <c r="R13845" s="5">
        <v>4</v>
      </c>
      <c r="S13845" s="5">
        <v>32</v>
      </c>
    </row>
    <row r="13846" spans="1:19" ht="28" x14ac:dyDescent="0.15">
      <c r="A13846" s="2">
        <f>HYPERLINK("https://open-school.uspishnemisto.com.ua/school/650386/", 650386)</f>
        <v>650386</v>
      </c>
      <c r="B13846" s="3" t="s">
        <v>69920</v>
      </c>
      <c r="C13846" s="3" t="s">
        <v>31</v>
      </c>
      <c r="D13846" s="3" t="s">
        <v>32</v>
      </c>
      <c r="E13846" s="4" t="s">
        <v>22</v>
      </c>
      <c r="F13846" s="4" t="s">
        <v>69921</v>
      </c>
      <c r="G13846" s="4" t="s">
        <v>69922</v>
      </c>
      <c r="H13846" s="3" t="s">
        <v>67992</v>
      </c>
      <c r="I13846" s="3" t="s">
        <v>12028</v>
      </c>
      <c r="J13846" s="3" t="s">
        <v>39787</v>
      </c>
      <c r="K13846" s="3" t="s">
        <v>69923</v>
      </c>
      <c r="L13846" s="3"/>
      <c r="M13846" s="4"/>
      <c r="N13846" s="3" t="s">
        <v>37</v>
      </c>
      <c r="O13846" s="3" t="s">
        <v>38</v>
      </c>
      <c r="P13846" s="5">
        <v>11</v>
      </c>
      <c r="Q13846" s="5">
        <v>255</v>
      </c>
      <c r="R13846" s="5">
        <v>11</v>
      </c>
      <c r="S13846" s="5">
        <v>266</v>
      </c>
    </row>
    <row r="13847" spans="1:19" ht="28" x14ac:dyDescent="0.15">
      <c r="A13847" s="2">
        <f>HYPERLINK("https://open-school.uspishnemisto.com.ua/school/650387/", 650387)</f>
        <v>650387</v>
      </c>
      <c r="B13847" s="3" t="s">
        <v>69924</v>
      </c>
      <c r="C13847" s="3" t="s">
        <v>31</v>
      </c>
      <c r="D13847" s="3" t="s">
        <v>60</v>
      </c>
      <c r="E13847" s="4" t="s">
        <v>22</v>
      </c>
      <c r="F13847" s="4" t="s">
        <v>69925</v>
      </c>
      <c r="G13847" s="4" t="s">
        <v>69926</v>
      </c>
      <c r="H13847" s="3" t="s">
        <v>67992</v>
      </c>
      <c r="I13847" s="3" t="s">
        <v>45816</v>
      </c>
      <c r="J13847" s="3" t="s">
        <v>7392</v>
      </c>
      <c r="K13847" s="3"/>
      <c r="L13847" s="3"/>
      <c r="M13847" s="4"/>
      <c r="N13847" s="3" t="s">
        <v>37</v>
      </c>
      <c r="O13847" s="3" t="s">
        <v>38</v>
      </c>
      <c r="P13847" s="5">
        <v>2</v>
      </c>
      <c r="Q13847" s="5">
        <v>14</v>
      </c>
      <c r="R13847" s="5">
        <v>2</v>
      </c>
      <c r="S13847" s="5">
        <v>19</v>
      </c>
    </row>
    <row r="13848" spans="1:19" ht="28" x14ac:dyDescent="0.15">
      <c r="A13848" s="2">
        <f>HYPERLINK("https://open-school.uspishnemisto.com.ua/school/650388/", 650388)</f>
        <v>650388</v>
      </c>
      <c r="B13848" s="3" t="s">
        <v>69927</v>
      </c>
      <c r="C13848" s="3" t="s">
        <v>54</v>
      </c>
      <c r="D13848" s="3" t="s">
        <v>60</v>
      </c>
      <c r="E13848" s="4" t="s">
        <v>22</v>
      </c>
      <c r="F13848" s="4" t="s">
        <v>69928</v>
      </c>
      <c r="G13848" s="4" t="s">
        <v>69929</v>
      </c>
      <c r="H13848" s="3" t="s">
        <v>67992</v>
      </c>
      <c r="I13848" s="3" t="s">
        <v>69930</v>
      </c>
      <c r="J13848" s="3" t="s">
        <v>69931</v>
      </c>
      <c r="K13848" s="3" t="s">
        <v>69932</v>
      </c>
      <c r="L13848" s="3"/>
      <c r="M13848" s="4"/>
      <c r="N13848" s="3" t="s">
        <v>37</v>
      </c>
      <c r="O13848" s="3" t="s">
        <v>38</v>
      </c>
      <c r="P13848" s="5">
        <v>2</v>
      </c>
      <c r="Q13848" s="5">
        <v>17</v>
      </c>
      <c r="R13848" s="5">
        <v>3</v>
      </c>
      <c r="S13848" s="5">
        <v>19</v>
      </c>
    </row>
    <row r="13849" spans="1:19" ht="42" x14ac:dyDescent="0.15">
      <c r="A13849" s="2">
        <f>HYPERLINK("https://open-school.uspishnemisto.com.ua/school/650389/", 650389)</f>
        <v>650389</v>
      </c>
      <c r="B13849" s="3" t="s">
        <v>69933</v>
      </c>
      <c r="C13849" s="3" t="s">
        <v>54</v>
      </c>
      <c r="D13849" s="3" t="s">
        <v>32</v>
      </c>
      <c r="E13849" s="4" t="s">
        <v>22</v>
      </c>
      <c r="F13849" s="4" t="s">
        <v>69934</v>
      </c>
      <c r="G13849" s="4" t="s">
        <v>69935</v>
      </c>
      <c r="H13849" s="3" t="s">
        <v>67992</v>
      </c>
      <c r="I13849" s="3" t="s">
        <v>69936</v>
      </c>
      <c r="J13849" s="3" t="s">
        <v>69937</v>
      </c>
      <c r="K13849" s="3" t="s">
        <v>69938</v>
      </c>
      <c r="L13849" s="3"/>
      <c r="M13849" s="4"/>
      <c r="N13849" s="3" t="s">
        <v>37</v>
      </c>
      <c r="O13849" s="3" t="s">
        <v>46</v>
      </c>
      <c r="P13849" s="5">
        <v>51</v>
      </c>
      <c r="Q13849" s="5">
        <v>1062</v>
      </c>
      <c r="R13849" s="5">
        <v>51</v>
      </c>
      <c r="S13849" s="5">
        <v>1035</v>
      </c>
    </row>
    <row r="13850" spans="1:19" ht="56" x14ac:dyDescent="0.15">
      <c r="A13850" s="2">
        <f>HYPERLINK("https://open-school.uspishnemisto.com.ua/school/650390/", 650390)</f>
        <v>650390</v>
      </c>
      <c r="B13850" s="3" t="s">
        <v>69939</v>
      </c>
      <c r="C13850" s="3" t="s">
        <v>244</v>
      </c>
      <c r="D13850" s="3" t="s">
        <v>32</v>
      </c>
      <c r="E13850" s="4" t="s">
        <v>22</v>
      </c>
      <c r="F13850" s="4" t="s">
        <v>69934</v>
      </c>
      <c r="G13850" s="4" t="s">
        <v>69935</v>
      </c>
      <c r="H13850" s="3" t="s">
        <v>67992</v>
      </c>
      <c r="I13850" s="3" t="s">
        <v>69936</v>
      </c>
      <c r="J13850" s="3" t="s">
        <v>69940</v>
      </c>
      <c r="K13850" s="3" t="s">
        <v>69941</v>
      </c>
      <c r="L13850" s="3" t="s">
        <v>69942</v>
      </c>
      <c r="M13850" s="4"/>
      <c r="N13850" s="3" t="s">
        <v>37</v>
      </c>
      <c r="O13850" s="3" t="s">
        <v>52</v>
      </c>
      <c r="P13850" s="5">
        <v>22</v>
      </c>
      <c r="Q13850" s="5">
        <v>399</v>
      </c>
      <c r="R13850" s="5">
        <v>21</v>
      </c>
      <c r="S13850" s="5">
        <v>387</v>
      </c>
    </row>
    <row r="13851" spans="1:19" ht="28" x14ac:dyDescent="0.15">
      <c r="A13851" s="2">
        <f>HYPERLINK("https://open-school.uspishnemisto.com.ua/school/650391/", 650391)</f>
        <v>650391</v>
      </c>
      <c r="B13851" s="3" t="s">
        <v>69943</v>
      </c>
      <c r="C13851" s="3" t="s">
        <v>31</v>
      </c>
      <c r="D13851" s="3" t="s">
        <v>32</v>
      </c>
      <c r="E13851" s="4" t="s">
        <v>22</v>
      </c>
      <c r="F13851" s="4" t="s">
        <v>69934</v>
      </c>
      <c r="G13851" s="4" t="s">
        <v>69935</v>
      </c>
      <c r="H13851" s="3" t="s">
        <v>67992</v>
      </c>
      <c r="I13851" s="3" t="s">
        <v>69936</v>
      </c>
      <c r="J13851" s="3" t="s">
        <v>69944</v>
      </c>
      <c r="K13851" s="3" t="s">
        <v>12949</v>
      </c>
      <c r="L13851" s="3" t="s">
        <v>69945</v>
      </c>
      <c r="M13851" s="4"/>
      <c r="N13851" s="3" t="s">
        <v>37</v>
      </c>
      <c r="O13851" s="3" t="s">
        <v>46</v>
      </c>
      <c r="P13851" s="5">
        <v>32</v>
      </c>
      <c r="Q13851" s="5">
        <v>708</v>
      </c>
      <c r="R13851" s="5">
        <v>32</v>
      </c>
      <c r="S13851" s="5">
        <v>719</v>
      </c>
    </row>
    <row r="13852" spans="1:19" ht="28" x14ac:dyDescent="0.15">
      <c r="A13852" s="2">
        <f>HYPERLINK("https://open-school.uspishnemisto.com.ua/school/650392/", 650392)</f>
        <v>650392</v>
      </c>
      <c r="B13852" s="3" t="s">
        <v>69946</v>
      </c>
      <c r="C13852" s="3" t="s">
        <v>31</v>
      </c>
      <c r="D13852" s="3" t="s">
        <v>32</v>
      </c>
      <c r="E13852" s="4" t="s">
        <v>22</v>
      </c>
      <c r="F13852" s="4" t="s">
        <v>69947</v>
      </c>
      <c r="G13852" s="4" t="s">
        <v>69948</v>
      </c>
      <c r="H13852" s="3" t="s">
        <v>67992</v>
      </c>
      <c r="I13852" s="3" t="s">
        <v>25830</v>
      </c>
      <c r="J13852" s="3" t="s">
        <v>1147</v>
      </c>
      <c r="K13852" s="3" t="s">
        <v>69949</v>
      </c>
      <c r="L13852" s="3" t="s">
        <v>69950</v>
      </c>
      <c r="M13852" s="4"/>
      <c r="N13852" s="3" t="s">
        <v>37</v>
      </c>
      <c r="O13852" s="3" t="s">
        <v>46</v>
      </c>
      <c r="P13852" s="5">
        <v>15</v>
      </c>
      <c r="Q13852" s="5">
        <v>303</v>
      </c>
      <c r="R13852" s="5">
        <v>14</v>
      </c>
      <c r="S13852" s="5">
        <v>292</v>
      </c>
    </row>
    <row r="13853" spans="1:19" ht="28" x14ac:dyDescent="0.15">
      <c r="A13853" s="2">
        <f>HYPERLINK("https://open-school.uspishnemisto.com.ua/school/650393/", 650393)</f>
        <v>650393</v>
      </c>
      <c r="B13853" s="3" t="s">
        <v>69951</v>
      </c>
      <c r="C13853" s="3" t="s">
        <v>31</v>
      </c>
      <c r="D13853" s="3" t="s">
        <v>32</v>
      </c>
      <c r="E13853" s="4" t="s">
        <v>22</v>
      </c>
      <c r="F13853" s="4" t="s">
        <v>69952</v>
      </c>
      <c r="G13853" s="4" t="s">
        <v>69953</v>
      </c>
      <c r="H13853" s="3" t="s">
        <v>67992</v>
      </c>
      <c r="I13853" s="3" t="s">
        <v>10816</v>
      </c>
      <c r="J13853" s="3" t="s">
        <v>3363</v>
      </c>
      <c r="K13853" s="3" t="s">
        <v>69954</v>
      </c>
      <c r="L13853" s="3"/>
      <c r="M13853" s="4"/>
      <c r="N13853" s="3" t="s">
        <v>37</v>
      </c>
      <c r="O13853" s="3" t="s">
        <v>46</v>
      </c>
      <c r="P13853" s="5">
        <v>11</v>
      </c>
      <c r="Q13853" s="5">
        <v>182</v>
      </c>
      <c r="R13853" s="5">
        <v>11</v>
      </c>
      <c r="S13853" s="5">
        <v>182</v>
      </c>
    </row>
    <row r="13854" spans="1:19" ht="28" x14ac:dyDescent="0.15">
      <c r="A13854" s="2">
        <f>HYPERLINK("https://open-school.uspishnemisto.com.ua/school/650394/", 650394)</f>
        <v>650394</v>
      </c>
      <c r="B13854" s="3" t="s">
        <v>69955</v>
      </c>
      <c r="C13854" s="3" t="s">
        <v>31</v>
      </c>
      <c r="D13854" s="3" t="s">
        <v>32</v>
      </c>
      <c r="E13854" s="4" t="s">
        <v>22</v>
      </c>
      <c r="F13854" s="4" t="s">
        <v>69956</v>
      </c>
      <c r="G13854" s="4" t="s">
        <v>69957</v>
      </c>
      <c r="H13854" s="3" t="s">
        <v>67992</v>
      </c>
      <c r="I13854" s="3" t="s">
        <v>4005</v>
      </c>
      <c r="J13854" s="3" t="s">
        <v>69958</v>
      </c>
      <c r="K13854" s="3" t="s">
        <v>69959</v>
      </c>
      <c r="L13854" s="3" t="s">
        <v>69960</v>
      </c>
      <c r="M13854" s="4"/>
      <c r="N13854" s="3" t="s">
        <v>37</v>
      </c>
      <c r="O13854" s="3" t="s">
        <v>46</v>
      </c>
      <c r="P13854" s="5">
        <v>12</v>
      </c>
      <c r="Q13854" s="5">
        <v>215</v>
      </c>
      <c r="R13854" s="5">
        <v>12</v>
      </c>
      <c r="S13854" s="5">
        <v>219</v>
      </c>
    </row>
    <row r="13855" spans="1:19" ht="28" x14ac:dyDescent="0.15">
      <c r="A13855" s="2">
        <f>HYPERLINK("https://open-school.uspishnemisto.com.ua/school/650395/", 650395)</f>
        <v>650395</v>
      </c>
      <c r="B13855" s="3" t="s">
        <v>69961</v>
      </c>
      <c r="C13855" s="3" t="s">
        <v>31</v>
      </c>
      <c r="D13855" s="3" t="s">
        <v>32</v>
      </c>
      <c r="E13855" s="4" t="s">
        <v>22</v>
      </c>
      <c r="F13855" s="4" t="s">
        <v>69962</v>
      </c>
      <c r="G13855" s="4" t="s">
        <v>69963</v>
      </c>
      <c r="H13855" s="3" t="s">
        <v>67992</v>
      </c>
      <c r="I13855" s="3" t="s">
        <v>688</v>
      </c>
      <c r="J13855" s="3" t="s">
        <v>3604</v>
      </c>
      <c r="K13855" s="3" t="s">
        <v>69964</v>
      </c>
      <c r="L13855" s="3"/>
      <c r="M13855" s="4"/>
      <c r="N13855" s="3" t="s">
        <v>128</v>
      </c>
      <c r="O13855" s="3" t="s">
        <v>46</v>
      </c>
      <c r="P13855" s="5">
        <v>14</v>
      </c>
      <c r="Q13855" s="5">
        <v>245</v>
      </c>
      <c r="R13855" s="5">
        <v>13</v>
      </c>
      <c r="S13855" s="5">
        <v>237</v>
      </c>
    </row>
    <row r="13856" spans="1:19" ht="28" x14ac:dyDescent="0.15">
      <c r="A13856" s="2">
        <f>HYPERLINK("https://open-school.uspishnemisto.com.ua/school/650396/", 650396)</f>
        <v>650396</v>
      </c>
      <c r="B13856" s="3" t="s">
        <v>69965</v>
      </c>
      <c r="C13856" s="3" t="s">
        <v>31</v>
      </c>
      <c r="D13856" s="3" t="s">
        <v>32</v>
      </c>
      <c r="E13856" s="4" t="s">
        <v>22</v>
      </c>
      <c r="F13856" s="4" t="s">
        <v>69966</v>
      </c>
      <c r="G13856" s="4" t="s">
        <v>69967</v>
      </c>
      <c r="H13856" s="3" t="s">
        <v>67992</v>
      </c>
      <c r="I13856" s="3" t="s">
        <v>11119</v>
      </c>
      <c r="J13856" s="3" t="s">
        <v>5971</v>
      </c>
      <c r="K13856" s="3" t="s">
        <v>69968</v>
      </c>
      <c r="L13856" s="3" t="s">
        <v>69969</v>
      </c>
      <c r="M13856" s="4"/>
      <c r="N13856" s="3" t="s">
        <v>37</v>
      </c>
      <c r="O13856" s="3" t="s">
        <v>46</v>
      </c>
      <c r="P13856" s="5">
        <v>18</v>
      </c>
      <c r="Q13856" s="5">
        <v>339</v>
      </c>
      <c r="R13856" s="5">
        <v>18</v>
      </c>
      <c r="S13856" s="5">
        <v>338</v>
      </c>
    </row>
    <row r="13857" spans="1:19" ht="28" x14ac:dyDescent="0.15">
      <c r="A13857" s="2">
        <f>HYPERLINK("https://open-school.uspishnemisto.com.ua/school/650397/", 650397)</f>
        <v>650397</v>
      </c>
      <c r="B13857" s="3" t="s">
        <v>69970</v>
      </c>
      <c r="C13857" s="3" t="s">
        <v>31</v>
      </c>
      <c r="D13857" s="3" t="s">
        <v>32</v>
      </c>
      <c r="E13857" s="4" t="s">
        <v>22</v>
      </c>
      <c r="F13857" s="4" t="s">
        <v>69971</v>
      </c>
      <c r="G13857" s="4" t="s">
        <v>69972</v>
      </c>
      <c r="H13857" s="3" t="s">
        <v>67992</v>
      </c>
      <c r="I13857" s="3" t="s">
        <v>1291</v>
      </c>
      <c r="J13857" s="3" t="s">
        <v>12389</v>
      </c>
      <c r="K13857" s="3" t="s">
        <v>69973</v>
      </c>
      <c r="L13857" s="3" t="s">
        <v>69974</v>
      </c>
      <c r="M13857" s="4"/>
      <c r="N13857" s="3" t="s">
        <v>37</v>
      </c>
      <c r="O13857" s="3" t="s">
        <v>52</v>
      </c>
      <c r="P13857" s="5">
        <v>11</v>
      </c>
      <c r="Q13857" s="5">
        <v>149</v>
      </c>
      <c r="R13857" s="5">
        <v>11</v>
      </c>
      <c r="S13857" s="5">
        <v>151</v>
      </c>
    </row>
    <row r="13858" spans="1:19" ht="28" x14ac:dyDescent="0.15">
      <c r="A13858" s="2">
        <f>HYPERLINK("https://open-school.uspishnemisto.com.ua/school/650398/", 650398)</f>
        <v>650398</v>
      </c>
      <c r="B13858" s="3" t="s">
        <v>69975</v>
      </c>
      <c r="C13858" s="3" t="s">
        <v>31</v>
      </c>
      <c r="D13858" s="3" t="s">
        <v>175</v>
      </c>
      <c r="E13858" s="4" t="s">
        <v>22</v>
      </c>
      <c r="F13858" s="4" t="s">
        <v>69976</v>
      </c>
      <c r="G13858" s="4" t="s">
        <v>69977</v>
      </c>
      <c r="H13858" s="3" t="s">
        <v>67992</v>
      </c>
      <c r="I13858" s="3" t="s">
        <v>69978</v>
      </c>
      <c r="J13858" s="3" t="s">
        <v>1857</v>
      </c>
      <c r="K13858" s="3" t="s">
        <v>69979</v>
      </c>
      <c r="L13858" s="3"/>
      <c r="M13858" s="4"/>
      <c r="N13858" s="3" t="s">
        <v>37</v>
      </c>
      <c r="O13858" s="3" t="s">
        <v>52</v>
      </c>
      <c r="P13858" s="5">
        <v>3</v>
      </c>
      <c r="Q13858" s="5">
        <v>25</v>
      </c>
      <c r="R13858" s="5">
        <v>3</v>
      </c>
      <c r="S13858" s="5">
        <v>32</v>
      </c>
    </row>
    <row r="13859" spans="1:19" ht="28" x14ac:dyDescent="0.15">
      <c r="A13859" s="2">
        <f>HYPERLINK("https://open-school.uspishnemisto.com.ua/school/650399/", 650399)</f>
        <v>650399</v>
      </c>
      <c r="B13859" s="3" t="s">
        <v>69980</v>
      </c>
      <c r="C13859" s="3" t="s">
        <v>31</v>
      </c>
      <c r="D13859" s="3" t="s">
        <v>60</v>
      </c>
      <c r="E13859" s="4" t="s">
        <v>22</v>
      </c>
      <c r="F13859" s="4" t="s">
        <v>69971</v>
      </c>
      <c r="G13859" s="4" t="s">
        <v>69981</v>
      </c>
      <c r="H13859" s="3" t="s">
        <v>67992</v>
      </c>
      <c r="I13859" s="3" t="s">
        <v>69982</v>
      </c>
      <c r="J13859" s="3" t="s">
        <v>12836</v>
      </c>
      <c r="K13859" s="3" t="s">
        <v>69983</v>
      </c>
      <c r="L13859" s="3"/>
      <c r="M13859" s="4"/>
      <c r="N13859" s="3" t="s">
        <v>37</v>
      </c>
      <c r="O13859" s="3" t="s">
        <v>52</v>
      </c>
      <c r="P13859" s="5">
        <v>1</v>
      </c>
      <c r="Q13859" s="5">
        <v>9</v>
      </c>
      <c r="R13859" s="5">
        <v>0</v>
      </c>
      <c r="S13859" s="5">
        <v>10</v>
      </c>
    </row>
    <row r="13860" spans="1:19" ht="28" x14ac:dyDescent="0.15">
      <c r="A13860" s="2">
        <f>HYPERLINK("https://open-school.uspishnemisto.com.ua/school/650400/", 650400)</f>
        <v>650400</v>
      </c>
      <c r="B13860" s="3" t="s">
        <v>69984</v>
      </c>
      <c r="C13860" s="3" t="s">
        <v>31</v>
      </c>
      <c r="D13860" s="3" t="s">
        <v>32</v>
      </c>
      <c r="E13860" s="4" t="s">
        <v>22</v>
      </c>
      <c r="F13860" s="4" t="s">
        <v>69985</v>
      </c>
      <c r="G13860" s="4" t="s">
        <v>69986</v>
      </c>
      <c r="H13860" s="3" t="s">
        <v>67992</v>
      </c>
      <c r="I13860" s="3" t="s">
        <v>5088</v>
      </c>
      <c r="J13860" s="3" t="s">
        <v>7686</v>
      </c>
      <c r="K13860" s="3" t="s">
        <v>69987</v>
      </c>
      <c r="L13860" s="3"/>
      <c r="M13860" s="4"/>
      <c r="N13860" s="3" t="s">
        <v>37</v>
      </c>
      <c r="O13860" s="3" t="s">
        <v>38</v>
      </c>
      <c r="P13860" s="5">
        <v>11</v>
      </c>
      <c r="Q13860" s="5">
        <v>173</v>
      </c>
      <c r="R13860" s="5">
        <v>11</v>
      </c>
      <c r="S13860" s="5">
        <v>168</v>
      </c>
    </row>
    <row r="13861" spans="1:19" ht="28" x14ac:dyDescent="0.15">
      <c r="A13861" s="2">
        <f>HYPERLINK("https://open-school.uspishnemisto.com.ua/school/650401/", 650401)</f>
        <v>650401</v>
      </c>
      <c r="B13861" s="3" t="s">
        <v>69988</v>
      </c>
      <c r="C13861" s="3" t="s">
        <v>31</v>
      </c>
      <c r="D13861" s="3" t="s">
        <v>175</v>
      </c>
      <c r="E13861" s="4" t="s">
        <v>22</v>
      </c>
      <c r="F13861" s="4" t="s">
        <v>69976</v>
      </c>
      <c r="G13861" s="4" t="s">
        <v>69989</v>
      </c>
      <c r="H13861" s="3" t="s">
        <v>67992</v>
      </c>
      <c r="I13861" s="3" t="s">
        <v>12423</v>
      </c>
      <c r="J13861" s="3" t="s">
        <v>69990</v>
      </c>
      <c r="K13861" s="3" t="s">
        <v>69991</v>
      </c>
      <c r="L13861" s="3" t="s">
        <v>69992</v>
      </c>
      <c r="M13861" s="4"/>
      <c r="N13861" s="3" t="s">
        <v>37</v>
      </c>
      <c r="O13861" s="3" t="s">
        <v>52</v>
      </c>
      <c r="P13861" s="5">
        <v>4</v>
      </c>
      <c r="Q13861" s="5">
        <v>42</v>
      </c>
      <c r="R13861" s="5">
        <v>2</v>
      </c>
      <c r="S13861" s="5">
        <v>36</v>
      </c>
    </row>
    <row r="13862" spans="1:19" ht="28" x14ac:dyDescent="0.15">
      <c r="A13862" s="2">
        <f>HYPERLINK("https://open-school.uspishnemisto.com.ua/school/650402/", 650402)</f>
        <v>650402</v>
      </c>
      <c r="B13862" s="3" t="s">
        <v>69993</v>
      </c>
      <c r="C13862" s="3" t="s">
        <v>31</v>
      </c>
      <c r="D13862" s="3" t="s">
        <v>32</v>
      </c>
      <c r="E13862" s="4" t="s">
        <v>22</v>
      </c>
      <c r="F13862" s="4" t="s">
        <v>69994</v>
      </c>
      <c r="G13862" s="4" t="s">
        <v>69995</v>
      </c>
      <c r="H13862" s="3" t="s">
        <v>67992</v>
      </c>
      <c r="I13862" s="3" t="s">
        <v>25015</v>
      </c>
      <c r="J13862" s="3" t="s">
        <v>1857</v>
      </c>
      <c r="K13862" s="3" t="s">
        <v>69996</v>
      </c>
      <c r="L13862" s="3" t="s">
        <v>69997</v>
      </c>
      <c r="M13862" s="4"/>
      <c r="N13862" s="3" t="s">
        <v>37</v>
      </c>
      <c r="O13862" s="3" t="s">
        <v>618</v>
      </c>
      <c r="P13862" s="5">
        <v>11</v>
      </c>
      <c r="Q13862" s="5">
        <v>150</v>
      </c>
      <c r="R13862" s="5">
        <v>11</v>
      </c>
      <c r="S13862" s="5">
        <v>138</v>
      </c>
    </row>
    <row r="13863" spans="1:19" ht="28" x14ac:dyDescent="0.15">
      <c r="A13863" s="2">
        <f>HYPERLINK("https://open-school.uspishnemisto.com.ua/school/650403/", 650403)</f>
        <v>650403</v>
      </c>
      <c r="B13863" s="3" t="s">
        <v>69998</v>
      </c>
      <c r="C13863" s="3" t="s">
        <v>31</v>
      </c>
      <c r="D13863" s="3" t="s">
        <v>60</v>
      </c>
      <c r="E13863" s="4" t="s">
        <v>22</v>
      </c>
      <c r="F13863" s="4" t="s">
        <v>69994</v>
      </c>
      <c r="G13863" s="4" t="s">
        <v>69999</v>
      </c>
      <c r="H13863" s="3" t="s">
        <v>67992</v>
      </c>
      <c r="I13863" s="3" t="s">
        <v>12579</v>
      </c>
      <c r="J13863" s="3" t="s">
        <v>2481</v>
      </c>
      <c r="K13863" s="3" t="s">
        <v>70000</v>
      </c>
      <c r="L13863" s="3"/>
      <c r="M13863" s="4"/>
      <c r="N13863" s="3" t="s">
        <v>37</v>
      </c>
      <c r="O13863" s="3" t="s">
        <v>618</v>
      </c>
      <c r="P13863" s="5">
        <v>2</v>
      </c>
      <c r="Q13863" s="5">
        <v>15</v>
      </c>
      <c r="R13863" s="5">
        <v>2</v>
      </c>
      <c r="S13863" s="5">
        <v>18</v>
      </c>
    </row>
    <row r="13864" spans="1:19" ht="28" x14ac:dyDescent="0.15">
      <c r="A13864" s="2">
        <f>HYPERLINK("https://open-school.uspishnemisto.com.ua/school/650404/", 650404)</f>
        <v>650404</v>
      </c>
      <c r="B13864" s="3" t="s">
        <v>70001</v>
      </c>
      <c r="C13864" s="3" t="s">
        <v>31</v>
      </c>
      <c r="D13864" s="3" t="s">
        <v>32</v>
      </c>
      <c r="E13864" s="4" t="s">
        <v>22</v>
      </c>
      <c r="F13864" s="4" t="s">
        <v>10499</v>
      </c>
      <c r="G13864" s="4" t="s">
        <v>70002</v>
      </c>
      <c r="H13864" s="3" t="s">
        <v>67992</v>
      </c>
      <c r="I13864" s="3" t="s">
        <v>1439</v>
      </c>
      <c r="J13864" s="3" t="s">
        <v>3173</v>
      </c>
      <c r="K13864" s="3" t="s">
        <v>70003</v>
      </c>
      <c r="L13864" s="3" t="s">
        <v>70004</v>
      </c>
      <c r="M13864" s="4"/>
      <c r="N13864" s="3" t="s">
        <v>37</v>
      </c>
      <c r="O13864" s="3" t="s">
        <v>38</v>
      </c>
      <c r="P13864" s="5">
        <v>10</v>
      </c>
      <c r="Q13864" s="5">
        <v>131</v>
      </c>
      <c r="R13864" s="5">
        <v>10</v>
      </c>
      <c r="S13864" s="5">
        <v>133</v>
      </c>
    </row>
    <row r="13865" spans="1:19" ht="28" x14ac:dyDescent="0.15">
      <c r="A13865" s="2">
        <f>HYPERLINK("https://open-school.uspishnemisto.com.ua/school/650405/", 650405)</f>
        <v>650405</v>
      </c>
      <c r="B13865" s="3" t="s">
        <v>70005</v>
      </c>
      <c r="C13865" s="3" t="s">
        <v>31</v>
      </c>
      <c r="D13865" s="3" t="s">
        <v>32</v>
      </c>
      <c r="E13865" s="4" t="s">
        <v>22</v>
      </c>
      <c r="F13865" s="4" t="s">
        <v>70006</v>
      </c>
      <c r="G13865" s="4" t="s">
        <v>70007</v>
      </c>
      <c r="H13865" s="3" t="s">
        <v>67992</v>
      </c>
      <c r="I13865" s="3" t="s">
        <v>33531</v>
      </c>
      <c r="J13865" s="3" t="s">
        <v>70008</v>
      </c>
      <c r="K13865" s="3" t="s">
        <v>70009</v>
      </c>
      <c r="L13865" s="3"/>
      <c r="M13865" s="4"/>
      <c r="N13865" s="3" t="s">
        <v>37</v>
      </c>
      <c r="O13865" s="3" t="s">
        <v>52</v>
      </c>
      <c r="P13865" s="5">
        <v>10</v>
      </c>
      <c r="Q13865" s="5">
        <v>123</v>
      </c>
      <c r="R13865" s="5">
        <v>9</v>
      </c>
      <c r="S13865" s="5">
        <v>124</v>
      </c>
    </row>
    <row r="13866" spans="1:19" ht="28" x14ac:dyDescent="0.15">
      <c r="A13866" s="2">
        <f>HYPERLINK("https://open-school.uspishnemisto.com.ua/school/650406/", 650406)</f>
        <v>650406</v>
      </c>
      <c r="B13866" s="3" t="s">
        <v>70010</v>
      </c>
      <c r="C13866" s="3" t="s">
        <v>31</v>
      </c>
      <c r="D13866" s="3" t="s">
        <v>60</v>
      </c>
      <c r="E13866" s="4" t="s">
        <v>22</v>
      </c>
      <c r="F13866" s="4" t="s">
        <v>70006</v>
      </c>
      <c r="G13866" s="4" t="s">
        <v>70011</v>
      </c>
      <c r="H13866" s="3" t="s">
        <v>67992</v>
      </c>
      <c r="I13866" s="3" t="s">
        <v>4594</v>
      </c>
      <c r="J13866" s="3" t="s">
        <v>70012</v>
      </c>
      <c r="K13866" s="3" t="s">
        <v>70013</v>
      </c>
      <c r="L13866" s="3"/>
      <c r="M13866" s="4"/>
      <c r="N13866" s="3" t="s">
        <v>37</v>
      </c>
      <c r="O13866" s="3" t="s">
        <v>52</v>
      </c>
      <c r="P13866" s="5">
        <v>2</v>
      </c>
      <c r="Q13866" s="5">
        <v>15</v>
      </c>
      <c r="R13866" s="5">
        <v>2</v>
      </c>
      <c r="S13866" s="5">
        <v>17</v>
      </c>
    </row>
    <row r="13867" spans="1:19" ht="28" x14ac:dyDescent="0.15">
      <c r="A13867" s="2">
        <f>HYPERLINK("https://open-school.uspishnemisto.com.ua/school/650407/", 650407)</f>
        <v>650407</v>
      </c>
      <c r="B13867" s="3" t="s">
        <v>70014</v>
      </c>
      <c r="C13867" s="3" t="s">
        <v>31</v>
      </c>
      <c r="D13867" s="3" t="s">
        <v>32</v>
      </c>
      <c r="E13867" s="4" t="s">
        <v>22</v>
      </c>
      <c r="F13867" s="4" t="s">
        <v>70015</v>
      </c>
      <c r="G13867" s="4" t="s">
        <v>70016</v>
      </c>
      <c r="H13867" s="3" t="s">
        <v>67992</v>
      </c>
      <c r="I13867" s="3" t="s">
        <v>2445</v>
      </c>
      <c r="J13867" s="3" t="s">
        <v>70017</v>
      </c>
      <c r="K13867" s="3" t="s">
        <v>55537</v>
      </c>
      <c r="L13867" s="3" t="s">
        <v>70018</v>
      </c>
      <c r="M13867" s="4"/>
      <c r="N13867" s="3" t="s">
        <v>37</v>
      </c>
      <c r="O13867" s="3" t="s">
        <v>52</v>
      </c>
      <c r="P13867" s="5">
        <v>10</v>
      </c>
      <c r="Q13867" s="5">
        <v>124</v>
      </c>
      <c r="R13867" s="5">
        <v>11</v>
      </c>
      <c r="S13867" s="5">
        <v>123</v>
      </c>
    </row>
    <row r="13868" spans="1:19" ht="28" x14ac:dyDescent="0.15">
      <c r="A13868" s="2">
        <f>HYPERLINK("https://open-school.uspishnemisto.com.ua/school/650408/", 650408)</f>
        <v>650408</v>
      </c>
      <c r="B13868" s="3" t="s">
        <v>70019</v>
      </c>
      <c r="C13868" s="3" t="s">
        <v>31</v>
      </c>
      <c r="D13868" s="3" t="s">
        <v>32</v>
      </c>
      <c r="E13868" s="4" t="s">
        <v>22</v>
      </c>
      <c r="F13868" s="4" t="s">
        <v>70020</v>
      </c>
      <c r="G13868" s="4" t="s">
        <v>70021</v>
      </c>
      <c r="H13868" s="3" t="s">
        <v>67992</v>
      </c>
      <c r="I13868" s="3" t="s">
        <v>5519</v>
      </c>
      <c r="J13868" s="3" t="s">
        <v>70022</v>
      </c>
      <c r="K13868" s="3" t="s">
        <v>70023</v>
      </c>
      <c r="L13868" s="3" t="s">
        <v>70024</v>
      </c>
      <c r="M13868" s="4"/>
      <c r="N13868" s="3" t="s">
        <v>37</v>
      </c>
      <c r="O13868" s="3" t="s">
        <v>70</v>
      </c>
      <c r="P13868" s="5">
        <v>11</v>
      </c>
      <c r="Q13868" s="5">
        <v>158</v>
      </c>
      <c r="R13868" s="5">
        <v>11</v>
      </c>
      <c r="S13868" s="5">
        <v>158</v>
      </c>
    </row>
    <row r="13869" spans="1:19" ht="28" x14ac:dyDescent="0.15">
      <c r="A13869" s="2">
        <f>HYPERLINK("https://open-school.uspishnemisto.com.ua/school/650409/", 650409)</f>
        <v>650409</v>
      </c>
      <c r="B13869" s="3" t="s">
        <v>70025</v>
      </c>
      <c r="C13869" s="3" t="s">
        <v>31</v>
      </c>
      <c r="D13869" s="3" t="s">
        <v>60</v>
      </c>
      <c r="E13869" s="4" t="s">
        <v>22</v>
      </c>
      <c r="F13869" s="4" t="s">
        <v>70020</v>
      </c>
      <c r="G13869" s="4" t="s">
        <v>70026</v>
      </c>
      <c r="H13869" s="3" t="s">
        <v>67992</v>
      </c>
      <c r="I13869" s="3" t="s">
        <v>70027</v>
      </c>
      <c r="J13869" s="3" t="s">
        <v>2434</v>
      </c>
      <c r="K13869" s="3"/>
      <c r="L13869" s="3" t="s">
        <v>70028</v>
      </c>
      <c r="M13869" s="4"/>
      <c r="N13869" s="3" t="s">
        <v>37</v>
      </c>
      <c r="O13869" s="3" t="s">
        <v>52</v>
      </c>
      <c r="P13869" s="5">
        <v>2</v>
      </c>
      <c r="Q13869" s="5">
        <v>20</v>
      </c>
      <c r="R13869" s="5">
        <v>1</v>
      </c>
      <c r="S13869" s="5">
        <v>16</v>
      </c>
    </row>
    <row r="13870" spans="1:19" ht="42" x14ac:dyDescent="0.15">
      <c r="A13870" s="2">
        <f>HYPERLINK("https://open-school.uspishnemisto.com.ua/school/650410/", 650410)</f>
        <v>650410</v>
      </c>
      <c r="B13870" s="3" t="s">
        <v>70029</v>
      </c>
      <c r="C13870" s="3" t="s">
        <v>174</v>
      </c>
      <c r="D13870" s="3" t="s">
        <v>32</v>
      </c>
      <c r="E13870" s="4" t="s">
        <v>22</v>
      </c>
      <c r="F13870" s="4"/>
      <c r="G13870" s="4" t="s">
        <v>70030</v>
      </c>
      <c r="H13870" s="3" t="s">
        <v>67992</v>
      </c>
      <c r="I13870" s="3" t="s">
        <v>70031</v>
      </c>
      <c r="J13870" s="3" t="s">
        <v>2584</v>
      </c>
      <c r="K13870" s="3" t="s">
        <v>70032</v>
      </c>
      <c r="L13870" s="3"/>
      <c r="M13870" s="4" t="s">
        <v>70033</v>
      </c>
      <c r="N13870" s="3" t="s">
        <v>37</v>
      </c>
      <c r="O13870" s="3" t="s">
        <v>52</v>
      </c>
      <c r="P13870" s="5">
        <v>14</v>
      </c>
      <c r="Q13870" s="5">
        <v>117</v>
      </c>
      <c r="R13870" s="5">
        <v>15</v>
      </c>
      <c r="S13870" s="5">
        <v>119</v>
      </c>
    </row>
    <row r="13871" spans="1:19" ht="28" x14ac:dyDescent="0.15">
      <c r="A13871" s="2">
        <f>HYPERLINK("https://open-school.uspishnemisto.com.ua/school/650411/", 650411)</f>
        <v>650411</v>
      </c>
      <c r="B13871" s="3" t="s">
        <v>70034</v>
      </c>
      <c r="C13871" s="3" t="s">
        <v>40</v>
      </c>
      <c r="D13871" s="3" t="s">
        <v>32</v>
      </c>
      <c r="E13871" s="4" t="s">
        <v>22</v>
      </c>
      <c r="F13871" s="4" t="s">
        <v>70035</v>
      </c>
      <c r="G13871" s="4" t="s">
        <v>70030</v>
      </c>
      <c r="H13871" s="3" t="s">
        <v>67992</v>
      </c>
      <c r="I13871" s="3" t="s">
        <v>70031</v>
      </c>
      <c r="J13871" s="3" t="s">
        <v>70036</v>
      </c>
      <c r="K13871" s="3" t="s">
        <v>70037</v>
      </c>
      <c r="L13871" s="3" t="s">
        <v>70038</v>
      </c>
      <c r="M13871" s="4"/>
      <c r="N13871" s="3" t="s">
        <v>37</v>
      </c>
      <c r="O13871" s="3" t="s">
        <v>46</v>
      </c>
      <c r="P13871" s="5">
        <v>27</v>
      </c>
      <c r="Q13871" s="5">
        <v>698</v>
      </c>
      <c r="R13871" s="5">
        <v>25</v>
      </c>
      <c r="S13871" s="5">
        <v>637</v>
      </c>
    </row>
    <row r="13872" spans="1:19" ht="56" x14ac:dyDescent="0.15">
      <c r="A13872" s="2">
        <f>HYPERLINK("https://open-school.uspishnemisto.com.ua/school/650412/", 650412)</f>
        <v>650412</v>
      </c>
      <c r="B13872" s="3" t="s">
        <v>70039</v>
      </c>
      <c r="C13872" s="3" t="s">
        <v>244</v>
      </c>
      <c r="D13872" s="3" t="s">
        <v>32</v>
      </c>
      <c r="E13872" s="4" t="s">
        <v>22</v>
      </c>
      <c r="F13872" s="4" t="s">
        <v>70040</v>
      </c>
      <c r="G13872" s="4" t="s">
        <v>70030</v>
      </c>
      <c r="H13872" s="3" t="s">
        <v>67992</v>
      </c>
      <c r="I13872" s="3" t="s">
        <v>70031</v>
      </c>
      <c r="J13872" s="3" t="s">
        <v>70041</v>
      </c>
      <c r="K13872" s="3" t="s">
        <v>70042</v>
      </c>
      <c r="L13872" s="3" t="s">
        <v>70043</v>
      </c>
      <c r="M13872" s="4"/>
      <c r="N13872" s="3" t="s">
        <v>128</v>
      </c>
      <c r="O13872" s="3" t="s">
        <v>70</v>
      </c>
      <c r="P13872" s="5">
        <v>43</v>
      </c>
      <c r="Q13872" s="5">
        <v>1030</v>
      </c>
      <c r="R13872" s="5">
        <v>43</v>
      </c>
      <c r="S13872" s="5">
        <v>1001</v>
      </c>
    </row>
    <row r="13873" spans="1:19" ht="42" x14ac:dyDescent="0.15">
      <c r="A13873" s="2">
        <f>HYPERLINK("https://open-school.uspishnemisto.com.ua/school/650413/", 650413)</f>
        <v>650413</v>
      </c>
      <c r="B13873" s="3" t="s">
        <v>70044</v>
      </c>
      <c r="C13873" s="3" t="s">
        <v>244</v>
      </c>
      <c r="D13873" s="3" t="s">
        <v>32</v>
      </c>
      <c r="E13873" s="4" t="s">
        <v>22</v>
      </c>
      <c r="F13873" s="4" t="s">
        <v>70035</v>
      </c>
      <c r="G13873" s="4" t="s">
        <v>70030</v>
      </c>
      <c r="H13873" s="3" t="s">
        <v>67992</v>
      </c>
      <c r="I13873" s="3" t="s">
        <v>70031</v>
      </c>
      <c r="J13873" s="3" t="s">
        <v>70045</v>
      </c>
      <c r="K13873" s="3" t="s">
        <v>70046</v>
      </c>
      <c r="L13873" s="3" t="s">
        <v>70047</v>
      </c>
      <c r="M13873" s="4"/>
      <c r="N13873" s="3" t="s">
        <v>37</v>
      </c>
      <c r="O13873" s="3" t="s">
        <v>9891</v>
      </c>
      <c r="P13873" s="5">
        <v>38</v>
      </c>
      <c r="Q13873" s="5">
        <v>969</v>
      </c>
      <c r="R13873" s="5">
        <v>38</v>
      </c>
      <c r="S13873" s="5">
        <v>967</v>
      </c>
    </row>
    <row r="13874" spans="1:19" ht="28" x14ac:dyDescent="0.15">
      <c r="A13874" s="2">
        <f>HYPERLINK("https://open-school.uspishnemisto.com.ua/school/650414/", 650414)</f>
        <v>650414</v>
      </c>
      <c r="B13874" s="3" t="s">
        <v>70048</v>
      </c>
      <c r="C13874" s="3" t="s">
        <v>31</v>
      </c>
      <c r="D13874" s="3" t="s">
        <v>32</v>
      </c>
      <c r="E13874" s="4" t="s">
        <v>22</v>
      </c>
      <c r="F13874" s="4" t="s">
        <v>70049</v>
      </c>
      <c r="G13874" s="4" t="s">
        <v>70050</v>
      </c>
      <c r="H13874" s="3" t="s">
        <v>67992</v>
      </c>
      <c r="I13874" s="3" t="s">
        <v>33811</v>
      </c>
      <c r="J13874" s="3" t="s">
        <v>1348</v>
      </c>
      <c r="K13874" s="3" t="s">
        <v>70051</v>
      </c>
      <c r="L13874" s="3"/>
      <c r="M13874" s="4"/>
      <c r="N13874" s="3" t="s">
        <v>37</v>
      </c>
      <c r="O13874" s="3" t="s">
        <v>46</v>
      </c>
      <c r="P13874" s="5">
        <v>20</v>
      </c>
      <c r="Q13874" s="5">
        <v>414</v>
      </c>
      <c r="R13874" s="5">
        <v>21</v>
      </c>
      <c r="S13874" s="5">
        <v>428</v>
      </c>
    </row>
    <row r="13875" spans="1:19" ht="28" x14ac:dyDescent="0.15">
      <c r="A13875" s="2">
        <f>HYPERLINK("https://open-school.uspishnemisto.com.ua/school/650415/", 650415)</f>
        <v>650415</v>
      </c>
      <c r="B13875" s="3" t="s">
        <v>70052</v>
      </c>
      <c r="C13875" s="3" t="s">
        <v>31</v>
      </c>
      <c r="D13875" s="3" t="s">
        <v>175</v>
      </c>
      <c r="E13875" s="4" t="s">
        <v>22</v>
      </c>
      <c r="F13875" s="4" t="s">
        <v>70053</v>
      </c>
      <c r="G13875" s="4" t="s">
        <v>70054</v>
      </c>
      <c r="H13875" s="3" t="s">
        <v>67992</v>
      </c>
      <c r="I13875" s="3" t="s">
        <v>70055</v>
      </c>
      <c r="J13875" s="3" t="s">
        <v>70056</v>
      </c>
      <c r="K13875" s="3" t="s">
        <v>70057</v>
      </c>
      <c r="L13875" s="3" t="s">
        <v>70058</v>
      </c>
      <c r="M13875" s="4"/>
      <c r="N13875" s="3" t="s">
        <v>128</v>
      </c>
      <c r="O13875" s="3" t="s">
        <v>52</v>
      </c>
      <c r="P13875" s="5">
        <v>9</v>
      </c>
      <c r="Q13875" s="5">
        <v>96</v>
      </c>
      <c r="R13875" s="5">
        <v>9</v>
      </c>
      <c r="S13875" s="5">
        <v>100</v>
      </c>
    </row>
    <row r="13876" spans="1:19" ht="28" x14ac:dyDescent="0.15">
      <c r="A13876" s="2">
        <f>HYPERLINK("https://open-school.uspishnemisto.com.ua/school/650416/", 650416)</f>
        <v>650416</v>
      </c>
      <c r="B13876" s="3" t="s">
        <v>70059</v>
      </c>
      <c r="C13876" s="3" t="s">
        <v>31</v>
      </c>
      <c r="D13876" s="3" t="s">
        <v>32</v>
      </c>
      <c r="E13876" s="4" t="s">
        <v>22</v>
      </c>
      <c r="F13876" s="4" t="s">
        <v>70053</v>
      </c>
      <c r="G13876" s="4" t="s">
        <v>70054</v>
      </c>
      <c r="H13876" s="3" t="s">
        <v>67992</v>
      </c>
      <c r="I13876" s="3" t="s">
        <v>70055</v>
      </c>
      <c r="J13876" s="3" t="s">
        <v>70060</v>
      </c>
      <c r="K13876" s="3" t="s">
        <v>70061</v>
      </c>
      <c r="L13876" s="3"/>
      <c r="M13876" s="4"/>
      <c r="N13876" s="3" t="s">
        <v>37</v>
      </c>
      <c r="O13876" s="3" t="s">
        <v>52</v>
      </c>
      <c r="P13876" s="5">
        <v>29</v>
      </c>
      <c r="Q13876" s="5">
        <v>640</v>
      </c>
      <c r="R13876" s="5">
        <v>29</v>
      </c>
      <c r="S13876" s="5">
        <v>648</v>
      </c>
    </row>
    <row r="13877" spans="1:19" ht="28" x14ac:dyDescent="0.15">
      <c r="A13877" s="2">
        <f>HYPERLINK("https://open-school.uspishnemisto.com.ua/school/650417/", 650417)</f>
        <v>650417</v>
      </c>
      <c r="B13877" s="3" t="s">
        <v>70062</v>
      </c>
      <c r="C13877" s="3" t="s">
        <v>31</v>
      </c>
      <c r="D13877" s="3" t="s">
        <v>32</v>
      </c>
      <c r="E13877" s="4" t="s">
        <v>22</v>
      </c>
      <c r="F13877" s="4" t="s">
        <v>70063</v>
      </c>
      <c r="G13877" s="4" t="s">
        <v>70064</v>
      </c>
      <c r="H13877" s="3" t="s">
        <v>67992</v>
      </c>
      <c r="I13877" s="3" t="s">
        <v>70065</v>
      </c>
      <c r="J13877" s="3" t="s">
        <v>2978</v>
      </c>
      <c r="K13877" s="3"/>
      <c r="L13877" s="3" t="s">
        <v>70066</v>
      </c>
      <c r="M13877" s="4"/>
      <c r="N13877" s="3" t="s">
        <v>37</v>
      </c>
      <c r="O13877" s="3" t="s">
        <v>52</v>
      </c>
      <c r="P13877" s="5">
        <v>11</v>
      </c>
      <c r="Q13877" s="5">
        <v>101</v>
      </c>
      <c r="R13877" s="5">
        <v>10</v>
      </c>
      <c r="S13877" s="5">
        <v>100</v>
      </c>
    </row>
    <row r="13878" spans="1:19" ht="28" x14ac:dyDescent="0.15">
      <c r="A13878" s="2">
        <f>HYPERLINK("https://open-school.uspishnemisto.com.ua/school/650418/", 650418)</f>
        <v>650418</v>
      </c>
      <c r="B13878" s="3" t="s">
        <v>70067</v>
      </c>
      <c r="C13878" s="3" t="s">
        <v>31</v>
      </c>
      <c r="D13878" s="3" t="s">
        <v>32</v>
      </c>
      <c r="E13878" s="4" t="s">
        <v>22</v>
      </c>
      <c r="F13878" s="4" t="s">
        <v>70068</v>
      </c>
      <c r="G13878" s="4" t="s">
        <v>70069</v>
      </c>
      <c r="H13878" s="3" t="s">
        <v>67992</v>
      </c>
      <c r="I13878" s="3" t="s">
        <v>70070</v>
      </c>
      <c r="J13878" s="3" t="s">
        <v>70071</v>
      </c>
      <c r="K13878" s="3" t="s">
        <v>70072</v>
      </c>
      <c r="L13878" s="3" t="s">
        <v>70073</v>
      </c>
      <c r="M13878" s="4"/>
      <c r="N13878" s="3" t="s">
        <v>37</v>
      </c>
      <c r="O13878" s="3" t="s">
        <v>70</v>
      </c>
      <c r="P13878" s="5">
        <v>35</v>
      </c>
      <c r="Q13878" s="5">
        <v>792</v>
      </c>
      <c r="R13878" s="5">
        <v>35</v>
      </c>
      <c r="S13878" s="5">
        <v>802</v>
      </c>
    </row>
    <row r="13879" spans="1:19" ht="28" x14ac:dyDescent="0.15">
      <c r="A13879" s="2">
        <f>HYPERLINK("https://open-school.uspishnemisto.com.ua/school/650419/", 650419)</f>
        <v>650419</v>
      </c>
      <c r="B13879" s="3" t="s">
        <v>70074</v>
      </c>
      <c r="C13879" s="3" t="s">
        <v>31</v>
      </c>
      <c r="D13879" s="3" t="s">
        <v>32</v>
      </c>
      <c r="E13879" s="4" t="s">
        <v>22</v>
      </c>
      <c r="F13879" s="4" t="s">
        <v>70075</v>
      </c>
      <c r="G13879" s="4" t="s">
        <v>70076</v>
      </c>
      <c r="H13879" s="3" t="s">
        <v>67992</v>
      </c>
      <c r="I13879" s="3" t="s">
        <v>70077</v>
      </c>
      <c r="J13879" s="3" t="s">
        <v>3421</v>
      </c>
      <c r="K13879" s="3" t="s">
        <v>70078</v>
      </c>
      <c r="L13879" s="3"/>
      <c r="M13879" s="4"/>
      <c r="N13879" s="3" t="s">
        <v>37</v>
      </c>
      <c r="O13879" s="3" t="s">
        <v>46</v>
      </c>
      <c r="P13879" s="5">
        <v>23</v>
      </c>
      <c r="Q13879" s="5">
        <v>528</v>
      </c>
      <c r="R13879" s="5">
        <v>23</v>
      </c>
      <c r="S13879" s="5">
        <v>535</v>
      </c>
    </row>
    <row r="13880" spans="1:19" ht="28" x14ac:dyDescent="0.15">
      <c r="A13880" s="2">
        <f>HYPERLINK("https://open-school.uspishnemisto.com.ua/school/650420/", 650420)</f>
        <v>650420</v>
      </c>
      <c r="B13880" s="3" t="s">
        <v>70079</v>
      </c>
      <c r="C13880" s="3" t="s">
        <v>31</v>
      </c>
      <c r="D13880" s="3" t="s">
        <v>32</v>
      </c>
      <c r="E13880" s="4" t="s">
        <v>22</v>
      </c>
      <c r="F13880" s="4" t="s">
        <v>70080</v>
      </c>
      <c r="G13880" s="4" t="s">
        <v>70081</v>
      </c>
      <c r="H13880" s="3" t="s">
        <v>67992</v>
      </c>
      <c r="I13880" s="3" t="s">
        <v>69310</v>
      </c>
      <c r="J13880" s="3" t="s">
        <v>20560</v>
      </c>
      <c r="K13880" s="3" t="s">
        <v>70082</v>
      </c>
      <c r="L13880" s="3"/>
      <c r="M13880" s="4"/>
      <c r="N13880" s="3" t="s">
        <v>37</v>
      </c>
      <c r="O13880" s="3" t="s">
        <v>52</v>
      </c>
      <c r="P13880" s="5">
        <v>19</v>
      </c>
      <c r="Q13880" s="5">
        <v>370</v>
      </c>
      <c r="R13880" s="5">
        <v>19</v>
      </c>
      <c r="S13880" s="5">
        <v>378</v>
      </c>
    </row>
    <row r="13881" spans="1:19" ht="28" x14ac:dyDescent="0.15">
      <c r="A13881" s="2">
        <f>HYPERLINK("https://open-school.uspishnemisto.com.ua/school/650421/", 650421)</f>
        <v>650421</v>
      </c>
      <c r="B13881" s="3" t="s">
        <v>70083</v>
      </c>
      <c r="C13881" s="3" t="s">
        <v>31</v>
      </c>
      <c r="D13881" s="3" t="s">
        <v>175</v>
      </c>
      <c r="E13881" s="4" t="s">
        <v>22</v>
      </c>
      <c r="F13881" s="4" t="s">
        <v>70084</v>
      </c>
      <c r="G13881" s="4" t="s">
        <v>70085</v>
      </c>
      <c r="H13881" s="3" t="s">
        <v>67992</v>
      </c>
      <c r="I13881" s="3" t="s">
        <v>70086</v>
      </c>
      <c r="J13881" s="3" t="s">
        <v>70087</v>
      </c>
      <c r="K13881" s="3" t="s">
        <v>70088</v>
      </c>
      <c r="L13881" s="3" t="s">
        <v>70089</v>
      </c>
      <c r="M13881" s="4"/>
      <c r="N13881" s="3" t="s">
        <v>37</v>
      </c>
      <c r="O13881" s="3" t="s">
        <v>52</v>
      </c>
      <c r="P13881" s="5">
        <v>9</v>
      </c>
      <c r="Q13881" s="5">
        <v>73</v>
      </c>
      <c r="R13881" s="5">
        <v>9</v>
      </c>
      <c r="S13881" s="5">
        <v>67</v>
      </c>
    </row>
    <row r="13882" spans="1:19" ht="28" x14ac:dyDescent="0.15">
      <c r="A13882" s="2">
        <f>HYPERLINK("https://open-school.uspishnemisto.com.ua/school/650422/", 650422)</f>
        <v>650422</v>
      </c>
      <c r="B13882" s="3" t="s">
        <v>70090</v>
      </c>
      <c r="C13882" s="3" t="s">
        <v>31</v>
      </c>
      <c r="D13882" s="3" t="s">
        <v>32</v>
      </c>
      <c r="E13882" s="4" t="s">
        <v>22</v>
      </c>
      <c r="F13882" s="4" t="s">
        <v>70091</v>
      </c>
      <c r="G13882" s="4" t="s">
        <v>70092</v>
      </c>
      <c r="H13882" s="3" t="s">
        <v>67992</v>
      </c>
      <c r="I13882" s="3" t="s">
        <v>69552</v>
      </c>
      <c r="J13882" s="3" t="s">
        <v>70093</v>
      </c>
      <c r="K13882" s="3"/>
      <c r="L13882" s="3"/>
      <c r="M13882" s="4"/>
      <c r="N13882" s="3" t="s">
        <v>37</v>
      </c>
      <c r="O13882" s="3" t="s">
        <v>52</v>
      </c>
      <c r="P13882" s="5">
        <v>11</v>
      </c>
      <c r="Q13882" s="5">
        <v>219</v>
      </c>
      <c r="R13882" s="5">
        <v>11</v>
      </c>
      <c r="S13882" s="5">
        <v>218</v>
      </c>
    </row>
    <row r="13883" spans="1:19" ht="28" x14ac:dyDescent="0.15">
      <c r="A13883" s="2">
        <f>HYPERLINK("https://open-school.uspishnemisto.com.ua/school/650423/", 650423)</f>
        <v>650423</v>
      </c>
      <c r="B13883" s="3" t="s">
        <v>70094</v>
      </c>
      <c r="C13883" s="3" t="s">
        <v>31</v>
      </c>
      <c r="D13883" s="3" t="s">
        <v>32</v>
      </c>
      <c r="E13883" s="4" t="s">
        <v>22</v>
      </c>
      <c r="F13883" s="4" t="s">
        <v>70095</v>
      </c>
      <c r="G13883" s="4" t="s">
        <v>70096</v>
      </c>
      <c r="H13883" s="3" t="s">
        <v>67992</v>
      </c>
      <c r="I13883" s="3" t="s">
        <v>70097</v>
      </c>
      <c r="J13883" s="3" t="s">
        <v>634</v>
      </c>
      <c r="K13883" s="3" t="s">
        <v>70098</v>
      </c>
      <c r="L13883" s="3" t="s">
        <v>70099</v>
      </c>
      <c r="M13883" s="4"/>
      <c r="N13883" s="3" t="s">
        <v>37</v>
      </c>
      <c r="O13883" s="3" t="s">
        <v>52</v>
      </c>
      <c r="P13883" s="5">
        <v>11</v>
      </c>
      <c r="Q13883" s="5">
        <v>182</v>
      </c>
      <c r="R13883" s="5">
        <v>11</v>
      </c>
      <c r="S13883" s="5">
        <v>176</v>
      </c>
    </row>
    <row r="13884" spans="1:19" ht="28" x14ac:dyDescent="0.15">
      <c r="A13884" s="2">
        <f>HYPERLINK("https://open-school.uspishnemisto.com.ua/school/650424/", 650424)</f>
        <v>650424</v>
      </c>
      <c r="B13884" s="3" t="s">
        <v>70100</v>
      </c>
      <c r="C13884" s="3" t="s">
        <v>31</v>
      </c>
      <c r="D13884" s="3" t="s">
        <v>60</v>
      </c>
      <c r="E13884" s="4" t="s">
        <v>22</v>
      </c>
      <c r="F13884" s="4" t="s">
        <v>70101</v>
      </c>
      <c r="G13884" s="4" t="s">
        <v>70102</v>
      </c>
      <c r="H13884" s="3" t="s">
        <v>67992</v>
      </c>
      <c r="I13884" s="3" t="s">
        <v>70103</v>
      </c>
      <c r="J13884" s="3" t="s">
        <v>6177</v>
      </c>
      <c r="K13884" s="3" t="s">
        <v>70104</v>
      </c>
      <c r="L13884" s="3"/>
      <c r="M13884" s="4"/>
      <c r="N13884" s="3" t="s">
        <v>37</v>
      </c>
      <c r="O13884" s="3" t="s">
        <v>38</v>
      </c>
      <c r="P13884" s="5">
        <v>4</v>
      </c>
      <c r="Q13884" s="5">
        <v>28</v>
      </c>
      <c r="R13884" s="5">
        <v>4</v>
      </c>
      <c r="S13884" s="5">
        <v>25</v>
      </c>
    </row>
    <row r="13885" spans="1:19" ht="28" x14ac:dyDescent="0.15">
      <c r="A13885" s="2">
        <f>HYPERLINK("https://open-school.uspishnemisto.com.ua/school/650425/", 650425)</f>
        <v>650425</v>
      </c>
      <c r="B13885" s="3" t="s">
        <v>70105</v>
      </c>
      <c r="C13885" s="3" t="s">
        <v>31</v>
      </c>
      <c r="D13885" s="3" t="s">
        <v>175</v>
      </c>
      <c r="E13885" s="4" t="s">
        <v>22</v>
      </c>
      <c r="F13885" s="4" t="s">
        <v>70106</v>
      </c>
      <c r="G13885" s="4" t="s">
        <v>70107</v>
      </c>
      <c r="H13885" s="3" t="s">
        <v>67992</v>
      </c>
      <c r="I13885" s="3" t="s">
        <v>70108</v>
      </c>
      <c r="J13885" s="3" t="s">
        <v>70109</v>
      </c>
      <c r="K13885" s="3" t="s">
        <v>70110</v>
      </c>
      <c r="L13885" s="3" t="s">
        <v>70111</v>
      </c>
      <c r="M13885" s="4"/>
      <c r="N13885" s="3" t="s">
        <v>37</v>
      </c>
      <c r="O13885" s="3" t="s">
        <v>38</v>
      </c>
      <c r="P13885" s="5">
        <v>9</v>
      </c>
      <c r="Q13885" s="5">
        <v>69</v>
      </c>
      <c r="R13885" s="5">
        <v>9</v>
      </c>
      <c r="S13885" s="5">
        <v>66</v>
      </c>
    </row>
    <row r="13886" spans="1:19" ht="28" x14ac:dyDescent="0.15">
      <c r="A13886" s="2">
        <f>HYPERLINK("https://open-school.uspishnemisto.com.ua/school/650426/", 650426)</f>
        <v>650426</v>
      </c>
      <c r="B13886" s="3" t="s">
        <v>70112</v>
      </c>
      <c r="C13886" s="3" t="s">
        <v>31</v>
      </c>
      <c r="D13886" s="3" t="s">
        <v>60</v>
      </c>
      <c r="E13886" s="4" t="s">
        <v>22</v>
      </c>
      <c r="F13886" s="4" t="s">
        <v>70106</v>
      </c>
      <c r="G13886" s="4" t="s">
        <v>70113</v>
      </c>
      <c r="H13886" s="3" t="s">
        <v>67992</v>
      </c>
      <c r="I13886" s="3" t="s">
        <v>70114</v>
      </c>
      <c r="J13886" s="3" t="s">
        <v>70115</v>
      </c>
      <c r="K13886" s="3" t="s">
        <v>70116</v>
      </c>
      <c r="L13886" s="3"/>
      <c r="M13886" s="4"/>
      <c r="N13886" s="3" t="s">
        <v>37</v>
      </c>
      <c r="O13886" s="3" t="s">
        <v>52</v>
      </c>
      <c r="P13886" s="5">
        <v>3</v>
      </c>
      <c r="Q13886" s="5">
        <v>19</v>
      </c>
      <c r="R13886" s="5">
        <v>2</v>
      </c>
      <c r="S13886" s="5">
        <v>14</v>
      </c>
    </row>
    <row r="13887" spans="1:19" ht="28" x14ac:dyDescent="0.15">
      <c r="A13887" s="2">
        <f>HYPERLINK("https://open-school.uspishnemisto.com.ua/school/650427/", 650427)</f>
        <v>650427</v>
      </c>
      <c r="B13887" s="3" t="s">
        <v>70117</v>
      </c>
      <c r="C13887" s="3" t="s">
        <v>31</v>
      </c>
      <c r="D13887" s="3" t="s">
        <v>32</v>
      </c>
      <c r="E13887" s="4" t="s">
        <v>22</v>
      </c>
      <c r="F13887" s="4" t="s">
        <v>70118</v>
      </c>
      <c r="G13887" s="4" t="s">
        <v>70119</v>
      </c>
      <c r="H13887" s="3" t="s">
        <v>67992</v>
      </c>
      <c r="I13887" s="3" t="s">
        <v>70120</v>
      </c>
      <c r="J13887" s="3" t="s">
        <v>70121</v>
      </c>
      <c r="K13887" s="3" t="s">
        <v>70122</v>
      </c>
      <c r="L13887" s="3"/>
      <c r="M13887" s="4"/>
      <c r="N13887" s="3" t="s">
        <v>37</v>
      </c>
      <c r="O13887" s="3" t="s">
        <v>46</v>
      </c>
      <c r="P13887" s="5">
        <v>19</v>
      </c>
      <c r="Q13887" s="5">
        <v>390</v>
      </c>
      <c r="R13887" s="5">
        <v>19</v>
      </c>
      <c r="S13887" s="5">
        <v>386</v>
      </c>
    </row>
    <row r="13888" spans="1:19" ht="28" x14ac:dyDescent="0.15">
      <c r="A13888" s="2">
        <f>HYPERLINK("https://open-school.uspishnemisto.com.ua/school/650428/", 650428)</f>
        <v>650428</v>
      </c>
      <c r="B13888" s="3" t="s">
        <v>70123</v>
      </c>
      <c r="C13888" s="3" t="s">
        <v>31</v>
      </c>
      <c r="D13888" s="3" t="s">
        <v>175</v>
      </c>
      <c r="E13888" s="4" t="s">
        <v>22</v>
      </c>
      <c r="F13888" s="4" t="s">
        <v>70124</v>
      </c>
      <c r="G13888" s="4" t="s">
        <v>70125</v>
      </c>
      <c r="H13888" s="3" t="s">
        <v>67992</v>
      </c>
      <c r="I13888" s="3" t="s">
        <v>70126</v>
      </c>
      <c r="J13888" s="3" t="s">
        <v>37590</v>
      </c>
      <c r="K13888" s="3" t="s">
        <v>70127</v>
      </c>
      <c r="L13888" s="3"/>
      <c r="M13888" s="4"/>
      <c r="N13888" s="3" t="s">
        <v>37</v>
      </c>
      <c r="O13888" s="3" t="s">
        <v>38</v>
      </c>
      <c r="P13888" s="5">
        <v>9</v>
      </c>
      <c r="Q13888" s="5">
        <v>56</v>
      </c>
      <c r="R13888" s="5">
        <v>8</v>
      </c>
      <c r="S13888" s="5">
        <v>54</v>
      </c>
    </row>
    <row r="13889" spans="1:19" ht="28" x14ac:dyDescent="0.15">
      <c r="A13889" s="2">
        <f>HYPERLINK("https://open-school.uspishnemisto.com.ua/school/650429/", 650429)</f>
        <v>650429</v>
      </c>
      <c r="B13889" s="3" t="s">
        <v>70128</v>
      </c>
      <c r="C13889" s="3" t="s">
        <v>31</v>
      </c>
      <c r="D13889" s="3" t="s">
        <v>175</v>
      </c>
      <c r="E13889" s="4" t="s">
        <v>22</v>
      </c>
      <c r="F13889" s="4" t="s">
        <v>70129</v>
      </c>
      <c r="G13889" s="4" t="s">
        <v>70130</v>
      </c>
      <c r="H13889" s="3" t="s">
        <v>67992</v>
      </c>
      <c r="I13889" s="3" t="s">
        <v>70131</v>
      </c>
      <c r="J13889" s="3" t="s">
        <v>70132</v>
      </c>
      <c r="K13889" s="3"/>
      <c r="L13889" s="3"/>
      <c r="M13889" s="4"/>
      <c r="N13889" s="3" t="s">
        <v>37</v>
      </c>
      <c r="O13889" s="3" t="s">
        <v>38</v>
      </c>
      <c r="P13889" s="5">
        <v>9</v>
      </c>
      <c r="Q13889" s="5">
        <v>104</v>
      </c>
      <c r="R13889" s="5">
        <v>9</v>
      </c>
      <c r="S13889" s="5">
        <v>104</v>
      </c>
    </row>
    <row r="13890" spans="1:19" ht="28" x14ac:dyDescent="0.15">
      <c r="A13890" s="2">
        <f>HYPERLINK("https://open-school.uspishnemisto.com.ua/school/650430/", 650430)</f>
        <v>650430</v>
      </c>
      <c r="B13890" s="3" t="s">
        <v>70133</v>
      </c>
      <c r="C13890" s="3" t="s">
        <v>31</v>
      </c>
      <c r="D13890" s="3" t="s">
        <v>32</v>
      </c>
      <c r="E13890" s="4" t="s">
        <v>22</v>
      </c>
      <c r="F13890" s="4" t="s">
        <v>70134</v>
      </c>
      <c r="G13890" s="4" t="s">
        <v>70135</v>
      </c>
      <c r="H13890" s="3" t="s">
        <v>67992</v>
      </c>
      <c r="I13890" s="3" t="s">
        <v>1439</v>
      </c>
      <c r="J13890" s="3" t="s">
        <v>70136</v>
      </c>
      <c r="K13890" s="3" t="s">
        <v>70137</v>
      </c>
      <c r="L13890" s="3" t="s">
        <v>70138</v>
      </c>
      <c r="M13890" s="4"/>
      <c r="N13890" s="3" t="s">
        <v>37</v>
      </c>
      <c r="O13890" s="3" t="s">
        <v>52</v>
      </c>
      <c r="P13890" s="5">
        <v>15</v>
      </c>
      <c r="Q13890" s="5">
        <v>296</v>
      </c>
      <c r="R13890" s="5">
        <v>15</v>
      </c>
      <c r="S13890" s="5">
        <v>300</v>
      </c>
    </row>
    <row r="13891" spans="1:19" ht="42" x14ac:dyDescent="0.15">
      <c r="A13891" s="2">
        <f>HYPERLINK("https://open-school.uspishnemisto.com.ua/school/650431/", 650431)</f>
        <v>650431</v>
      </c>
      <c r="B13891" s="3" t="s">
        <v>70139</v>
      </c>
      <c r="C13891" s="3" t="s">
        <v>31</v>
      </c>
      <c r="D13891" s="3" t="s">
        <v>175</v>
      </c>
      <c r="E13891" s="4" t="s">
        <v>22</v>
      </c>
      <c r="F13891" s="4" t="s">
        <v>70140</v>
      </c>
      <c r="G13891" s="4" t="s">
        <v>70141</v>
      </c>
      <c r="H13891" s="3" t="s">
        <v>67992</v>
      </c>
      <c r="I13891" s="3" t="s">
        <v>70142</v>
      </c>
      <c r="J13891" s="3" t="s">
        <v>45823</v>
      </c>
      <c r="K13891" s="3"/>
      <c r="L13891" s="3"/>
      <c r="M13891" s="4"/>
      <c r="N13891" s="3" t="s">
        <v>37</v>
      </c>
      <c r="O13891" s="3" t="s">
        <v>38</v>
      </c>
      <c r="P13891" s="5">
        <v>7</v>
      </c>
      <c r="Q13891" s="5">
        <v>55</v>
      </c>
      <c r="R13891" s="5">
        <v>9</v>
      </c>
      <c r="S13891" s="5">
        <v>60</v>
      </c>
    </row>
    <row r="13892" spans="1:19" ht="28" x14ac:dyDescent="0.15">
      <c r="A13892" s="2">
        <f>HYPERLINK("https://open-school.uspishnemisto.com.ua/school/650432/", 650432)</f>
        <v>650432</v>
      </c>
      <c r="B13892" s="3" t="s">
        <v>70143</v>
      </c>
      <c r="C13892" s="3" t="s">
        <v>31</v>
      </c>
      <c r="D13892" s="3" t="s">
        <v>32</v>
      </c>
      <c r="E13892" s="4" t="s">
        <v>22</v>
      </c>
      <c r="F13892" s="4" t="s">
        <v>70144</v>
      </c>
      <c r="G13892" s="4" t="s">
        <v>70145</v>
      </c>
      <c r="H13892" s="3" t="s">
        <v>67992</v>
      </c>
      <c r="I13892" s="3" t="s">
        <v>21936</v>
      </c>
      <c r="J13892" s="3" t="s">
        <v>1792</v>
      </c>
      <c r="K13892" s="3" t="s">
        <v>70146</v>
      </c>
      <c r="L13892" s="3"/>
      <c r="M13892" s="4"/>
      <c r="N13892" s="3" t="s">
        <v>37</v>
      </c>
      <c r="O13892" s="3" t="s">
        <v>38</v>
      </c>
      <c r="P13892" s="5">
        <v>10</v>
      </c>
      <c r="Q13892" s="5">
        <v>132</v>
      </c>
      <c r="R13892" s="5">
        <v>11</v>
      </c>
      <c r="S13892" s="5">
        <v>128</v>
      </c>
    </row>
    <row r="13893" spans="1:19" ht="28" x14ac:dyDescent="0.15">
      <c r="A13893" s="2">
        <f>HYPERLINK("https://open-school.uspishnemisto.com.ua/school/650433/", 650433)</f>
        <v>650433</v>
      </c>
      <c r="B13893" s="3" t="s">
        <v>70147</v>
      </c>
      <c r="C13893" s="3" t="s">
        <v>31</v>
      </c>
      <c r="D13893" s="3" t="s">
        <v>32</v>
      </c>
      <c r="E13893" s="4" t="s">
        <v>22</v>
      </c>
      <c r="F13893" s="4" t="s">
        <v>70148</v>
      </c>
      <c r="G13893" s="4" t="s">
        <v>70149</v>
      </c>
      <c r="H13893" s="3" t="s">
        <v>67992</v>
      </c>
      <c r="I13893" s="3" t="s">
        <v>70150</v>
      </c>
      <c r="J13893" s="3" t="s">
        <v>70151</v>
      </c>
      <c r="K13893" s="3"/>
      <c r="L13893" s="3"/>
      <c r="M13893" s="4"/>
      <c r="N13893" s="3" t="s">
        <v>37</v>
      </c>
      <c r="O13893" s="3" t="s">
        <v>52</v>
      </c>
      <c r="P13893" s="5">
        <v>11</v>
      </c>
      <c r="Q13893" s="5">
        <v>250</v>
      </c>
      <c r="R13893" s="5">
        <v>11</v>
      </c>
      <c r="S13893" s="5">
        <v>248</v>
      </c>
    </row>
    <row r="13894" spans="1:19" ht="42" x14ac:dyDescent="0.15">
      <c r="A13894" s="2">
        <f>HYPERLINK("https://open-school.uspishnemisto.com.ua/school/650434/", 650434)</f>
        <v>650434</v>
      </c>
      <c r="B13894" s="3" t="s">
        <v>70152</v>
      </c>
      <c r="C13894" s="3" t="s">
        <v>40</v>
      </c>
      <c r="D13894" s="3" t="s">
        <v>32</v>
      </c>
      <c r="E13894" s="4" t="s">
        <v>22</v>
      </c>
      <c r="F13894" s="4" t="s">
        <v>70153</v>
      </c>
      <c r="G13894" s="4" t="s">
        <v>70154</v>
      </c>
      <c r="H13894" s="3" t="s">
        <v>67992</v>
      </c>
      <c r="I13894" s="3" t="s">
        <v>12411</v>
      </c>
      <c r="J13894" s="3" t="s">
        <v>70155</v>
      </c>
      <c r="K13894" s="3"/>
      <c r="L13894" s="3"/>
      <c r="M13894" s="4"/>
      <c r="N13894" s="3" t="s">
        <v>37</v>
      </c>
      <c r="O13894" s="3" t="s">
        <v>70</v>
      </c>
      <c r="P13894" s="5">
        <v>44</v>
      </c>
      <c r="Q13894" s="5">
        <v>750</v>
      </c>
      <c r="R13894" s="5">
        <v>27</v>
      </c>
      <c r="S13894" s="5">
        <v>589</v>
      </c>
    </row>
    <row r="13895" spans="1:19" ht="28" x14ac:dyDescent="0.15">
      <c r="A13895" s="2">
        <f>HYPERLINK("https://open-school.uspishnemisto.com.ua/school/650435/", 650435)</f>
        <v>650435</v>
      </c>
      <c r="B13895" s="3" t="s">
        <v>70156</v>
      </c>
      <c r="C13895" s="3" t="s">
        <v>244</v>
      </c>
      <c r="D13895" s="3" t="s">
        <v>32</v>
      </c>
      <c r="E13895" s="4" t="s">
        <v>22</v>
      </c>
      <c r="F13895" s="4" t="s">
        <v>70157</v>
      </c>
      <c r="G13895" s="4" t="s">
        <v>70154</v>
      </c>
      <c r="H13895" s="3" t="s">
        <v>67992</v>
      </c>
      <c r="I13895" s="3" t="s">
        <v>12411</v>
      </c>
      <c r="J13895" s="3" t="s">
        <v>70158</v>
      </c>
      <c r="K13895" s="3"/>
      <c r="L13895" s="3"/>
      <c r="M13895" s="4"/>
      <c r="N13895" s="3" t="s">
        <v>37</v>
      </c>
      <c r="O13895" s="3" t="s">
        <v>38</v>
      </c>
      <c r="P13895" s="5">
        <v>35</v>
      </c>
      <c r="Q13895" s="5">
        <v>618</v>
      </c>
      <c r="R13895" s="5">
        <v>25</v>
      </c>
      <c r="S13895" s="5">
        <v>507</v>
      </c>
    </row>
    <row r="13896" spans="1:19" ht="56" x14ac:dyDescent="0.15">
      <c r="A13896" s="2">
        <f>HYPERLINK("https://open-school.uspishnemisto.com.ua/school/650437/", 650437)</f>
        <v>650437</v>
      </c>
      <c r="B13896" s="3" t="s">
        <v>70159</v>
      </c>
      <c r="C13896" s="3" t="s">
        <v>54</v>
      </c>
      <c r="D13896" s="3" t="s">
        <v>32</v>
      </c>
      <c r="E13896" s="4" t="s">
        <v>22</v>
      </c>
      <c r="F13896" s="4" t="s">
        <v>70160</v>
      </c>
      <c r="G13896" s="4" t="s">
        <v>70161</v>
      </c>
      <c r="H13896" s="3" t="s">
        <v>67992</v>
      </c>
      <c r="I13896" s="3" t="s">
        <v>70162</v>
      </c>
      <c r="J13896" s="3" t="s">
        <v>946</v>
      </c>
      <c r="K13896" s="3" t="s">
        <v>70163</v>
      </c>
      <c r="L13896" s="3"/>
      <c r="M13896" s="4"/>
      <c r="N13896" s="3" t="s">
        <v>37</v>
      </c>
      <c r="O13896" s="3" t="s">
        <v>6354</v>
      </c>
      <c r="P13896" s="5">
        <v>24</v>
      </c>
      <c r="Q13896" s="5">
        <v>426</v>
      </c>
      <c r="R13896" s="5">
        <v>17</v>
      </c>
      <c r="S13896" s="5">
        <v>351</v>
      </c>
    </row>
    <row r="13897" spans="1:19" ht="28" x14ac:dyDescent="0.15">
      <c r="A13897" s="2">
        <f>HYPERLINK("https://open-school.uspishnemisto.com.ua/school/650440/", 650440)</f>
        <v>650440</v>
      </c>
      <c r="B13897" s="3" t="s">
        <v>70164</v>
      </c>
      <c r="C13897" s="3" t="s">
        <v>31</v>
      </c>
      <c r="D13897" s="3" t="s">
        <v>32</v>
      </c>
      <c r="E13897" s="4" t="s">
        <v>22</v>
      </c>
      <c r="F13897" s="4" t="s">
        <v>70165</v>
      </c>
      <c r="G13897" s="4" t="s">
        <v>70166</v>
      </c>
      <c r="H13897" s="3" t="s">
        <v>67992</v>
      </c>
      <c r="I13897" s="3" t="s">
        <v>70167</v>
      </c>
      <c r="J13897" s="3" t="s">
        <v>792</v>
      </c>
      <c r="K13897" s="3"/>
      <c r="L13897" s="3"/>
      <c r="M13897" s="4"/>
      <c r="N13897" s="3" t="s">
        <v>37</v>
      </c>
      <c r="O13897" s="3" t="s">
        <v>38</v>
      </c>
      <c r="P13897" s="5">
        <v>11</v>
      </c>
      <c r="Q13897" s="5">
        <v>165</v>
      </c>
      <c r="R13897" s="5">
        <v>11</v>
      </c>
      <c r="S13897" s="5">
        <v>167</v>
      </c>
    </row>
    <row r="13898" spans="1:19" ht="42" x14ac:dyDescent="0.15">
      <c r="A13898" s="2">
        <f>HYPERLINK("https://open-school.uspishnemisto.com.ua/school/650441/", 650441)</f>
        <v>650441</v>
      </c>
      <c r="B13898" s="3" t="s">
        <v>70168</v>
      </c>
      <c r="C13898" s="3" t="s">
        <v>31</v>
      </c>
      <c r="D13898" s="3" t="s">
        <v>32</v>
      </c>
      <c r="E13898" s="4" t="s">
        <v>22</v>
      </c>
      <c r="F13898" s="4" t="s">
        <v>70169</v>
      </c>
      <c r="G13898" s="4" t="s">
        <v>70170</v>
      </c>
      <c r="H13898" s="3" t="s">
        <v>67992</v>
      </c>
      <c r="I13898" s="3" t="s">
        <v>2475</v>
      </c>
      <c r="J13898" s="3" t="s">
        <v>70171</v>
      </c>
      <c r="K13898" s="3" t="s">
        <v>70172</v>
      </c>
      <c r="L13898" s="3"/>
      <c r="M13898" s="4"/>
      <c r="N13898" s="3" t="s">
        <v>37</v>
      </c>
      <c r="O13898" s="3" t="s">
        <v>38</v>
      </c>
      <c r="P13898" s="5">
        <v>11</v>
      </c>
      <c r="Q13898" s="5">
        <v>113</v>
      </c>
      <c r="R13898" s="5">
        <v>11</v>
      </c>
      <c r="S13898" s="5">
        <v>109</v>
      </c>
    </row>
    <row r="13899" spans="1:19" ht="28" x14ac:dyDescent="0.15">
      <c r="A13899" s="2">
        <f>HYPERLINK("https://open-school.uspishnemisto.com.ua/school/650442/", 650442)</f>
        <v>650442</v>
      </c>
      <c r="B13899" s="3" t="s">
        <v>70173</v>
      </c>
      <c r="C13899" s="3" t="s">
        <v>31</v>
      </c>
      <c r="D13899" s="3" t="s">
        <v>32</v>
      </c>
      <c r="E13899" s="4" t="s">
        <v>22</v>
      </c>
      <c r="F13899" s="4" t="s">
        <v>70174</v>
      </c>
      <c r="G13899" s="4" t="s">
        <v>70175</v>
      </c>
      <c r="H13899" s="3" t="s">
        <v>67992</v>
      </c>
      <c r="I13899" s="3" t="s">
        <v>12730</v>
      </c>
      <c r="J13899" s="3" t="s">
        <v>1999</v>
      </c>
      <c r="K13899" s="3" t="s">
        <v>70176</v>
      </c>
      <c r="L13899" s="3"/>
      <c r="M13899" s="4" t="s">
        <v>70177</v>
      </c>
      <c r="N13899" s="3" t="s">
        <v>37</v>
      </c>
      <c r="O13899" s="3" t="s">
        <v>52</v>
      </c>
      <c r="P13899" s="5">
        <v>10</v>
      </c>
      <c r="Q13899" s="5">
        <v>120</v>
      </c>
      <c r="R13899" s="5">
        <v>10</v>
      </c>
      <c r="S13899" s="5">
        <v>117</v>
      </c>
    </row>
    <row r="13900" spans="1:19" ht="28" x14ac:dyDescent="0.15">
      <c r="A13900" s="2">
        <f>HYPERLINK("https://open-school.uspishnemisto.com.ua/school/650443/", 650443)</f>
        <v>650443</v>
      </c>
      <c r="B13900" s="3" t="s">
        <v>70178</v>
      </c>
      <c r="C13900" s="3" t="s">
        <v>31</v>
      </c>
      <c r="D13900" s="3" t="s">
        <v>175</v>
      </c>
      <c r="E13900" s="4" t="s">
        <v>22</v>
      </c>
      <c r="F13900" s="4" t="s">
        <v>70179</v>
      </c>
      <c r="G13900" s="4" t="s">
        <v>70180</v>
      </c>
      <c r="H13900" s="3" t="s">
        <v>67992</v>
      </c>
      <c r="I13900" s="3" t="s">
        <v>883</v>
      </c>
      <c r="J13900" s="3" t="s">
        <v>70181</v>
      </c>
      <c r="K13900" s="3" t="s">
        <v>70182</v>
      </c>
      <c r="L13900" s="3"/>
      <c r="M13900" s="4"/>
      <c r="N13900" s="3" t="s">
        <v>37</v>
      </c>
      <c r="O13900" s="3" t="s">
        <v>70</v>
      </c>
      <c r="P13900" s="5">
        <v>8</v>
      </c>
      <c r="Q13900" s="5">
        <v>56</v>
      </c>
      <c r="R13900" s="5">
        <v>8</v>
      </c>
      <c r="S13900" s="5">
        <v>57</v>
      </c>
    </row>
    <row r="13901" spans="1:19" ht="42" x14ac:dyDescent="0.15">
      <c r="A13901" s="2">
        <f>HYPERLINK("https://open-school.uspishnemisto.com.ua/school/650444/", 650444)</f>
        <v>650444</v>
      </c>
      <c r="B13901" s="3" t="s">
        <v>70183</v>
      </c>
      <c r="C13901" s="3" t="s">
        <v>31</v>
      </c>
      <c r="D13901" s="3" t="s">
        <v>32</v>
      </c>
      <c r="E13901" s="4" t="s">
        <v>22</v>
      </c>
      <c r="F13901" s="4" t="s">
        <v>70184</v>
      </c>
      <c r="G13901" s="4" t="s">
        <v>70185</v>
      </c>
      <c r="H13901" s="3" t="s">
        <v>67992</v>
      </c>
      <c r="I13901" s="3" t="s">
        <v>70186</v>
      </c>
      <c r="J13901" s="3" t="s">
        <v>3363</v>
      </c>
      <c r="K13901" s="3" t="s">
        <v>70187</v>
      </c>
      <c r="L13901" s="3"/>
      <c r="M13901" s="4" t="s">
        <v>70188</v>
      </c>
      <c r="N13901" s="3" t="s">
        <v>37</v>
      </c>
      <c r="O13901" s="3" t="s">
        <v>38</v>
      </c>
      <c r="P13901" s="5">
        <v>19</v>
      </c>
      <c r="Q13901" s="5">
        <v>293</v>
      </c>
      <c r="R13901" s="5">
        <v>13</v>
      </c>
      <c r="S13901" s="5">
        <v>242</v>
      </c>
    </row>
    <row r="13902" spans="1:19" ht="28" x14ac:dyDescent="0.15">
      <c r="A13902" s="2">
        <f>HYPERLINK("https://open-school.uspishnemisto.com.ua/school/650447/", 650447)</f>
        <v>650447</v>
      </c>
      <c r="B13902" s="3" t="s">
        <v>70189</v>
      </c>
      <c r="C13902" s="3" t="s">
        <v>31</v>
      </c>
      <c r="D13902" s="3" t="s">
        <v>32</v>
      </c>
      <c r="E13902" s="4" t="s">
        <v>22</v>
      </c>
      <c r="F13902" s="4" t="s">
        <v>70190</v>
      </c>
      <c r="G13902" s="4" t="s">
        <v>70191</v>
      </c>
      <c r="H13902" s="3" t="s">
        <v>67992</v>
      </c>
      <c r="I13902" s="3" t="s">
        <v>11430</v>
      </c>
      <c r="J13902" s="3" t="s">
        <v>10702</v>
      </c>
      <c r="K13902" s="3"/>
      <c r="L13902" s="3"/>
      <c r="M13902" s="4" t="s">
        <v>70192</v>
      </c>
      <c r="N13902" s="3" t="s">
        <v>37</v>
      </c>
      <c r="O13902" s="3" t="s">
        <v>38</v>
      </c>
      <c r="P13902" s="5">
        <v>12</v>
      </c>
      <c r="Q13902" s="5">
        <v>195</v>
      </c>
      <c r="R13902" s="5">
        <v>12</v>
      </c>
      <c r="S13902" s="5">
        <v>183</v>
      </c>
    </row>
    <row r="13903" spans="1:19" ht="56" x14ac:dyDescent="0.15">
      <c r="A13903" s="2">
        <f>HYPERLINK("https://open-school.uspishnemisto.com.ua/school/650448/", 650448)</f>
        <v>650448</v>
      </c>
      <c r="B13903" s="3" t="s">
        <v>70193</v>
      </c>
      <c r="C13903" s="3" t="s">
        <v>31</v>
      </c>
      <c r="D13903" s="3" t="s">
        <v>175</v>
      </c>
      <c r="E13903" s="4" t="s">
        <v>22</v>
      </c>
      <c r="F13903" s="4" t="s">
        <v>70194</v>
      </c>
      <c r="G13903" s="4" t="s">
        <v>70195</v>
      </c>
      <c r="H13903" s="3" t="s">
        <v>67992</v>
      </c>
      <c r="I13903" s="3" t="s">
        <v>70196</v>
      </c>
      <c r="J13903" s="3" t="s">
        <v>70197</v>
      </c>
      <c r="K13903" s="3"/>
      <c r="L13903" s="3"/>
      <c r="M13903" s="4"/>
      <c r="N13903" s="3" t="s">
        <v>37</v>
      </c>
      <c r="O13903" s="3" t="s">
        <v>52</v>
      </c>
      <c r="P13903" s="5">
        <v>0</v>
      </c>
      <c r="Q13903" s="5">
        <v>0</v>
      </c>
      <c r="R13903" s="5">
        <v>8</v>
      </c>
      <c r="S13903" s="5">
        <v>66</v>
      </c>
    </row>
    <row r="13904" spans="1:19" ht="28" x14ac:dyDescent="0.15">
      <c r="A13904" s="2">
        <f>HYPERLINK("https://open-school.uspishnemisto.com.ua/school/650449/", 650449)</f>
        <v>650449</v>
      </c>
      <c r="B13904" s="3" t="s">
        <v>70198</v>
      </c>
      <c r="C13904" s="3" t="s">
        <v>31</v>
      </c>
      <c r="D13904" s="3" t="s">
        <v>175</v>
      </c>
      <c r="E13904" s="4" t="s">
        <v>22</v>
      </c>
      <c r="F13904" s="4" t="s">
        <v>70199</v>
      </c>
      <c r="G13904" s="4" t="s">
        <v>70200</v>
      </c>
      <c r="H13904" s="3" t="s">
        <v>67992</v>
      </c>
      <c r="I13904" s="3" t="s">
        <v>70201</v>
      </c>
      <c r="J13904" s="3" t="s">
        <v>1636</v>
      </c>
      <c r="K13904" s="3" t="s">
        <v>70202</v>
      </c>
      <c r="L13904" s="3"/>
      <c r="M13904" s="4"/>
      <c r="N13904" s="3" t="s">
        <v>37</v>
      </c>
      <c r="O13904" s="3" t="s">
        <v>52</v>
      </c>
      <c r="P13904" s="5">
        <v>2</v>
      </c>
      <c r="Q13904" s="5">
        <v>25</v>
      </c>
      <c r="R13904" s="5">
        <v>3</v>
      </c>
      <c r="S13904" s="5">
        <v>23</v>
      </c>
    </row>
    <row r="13905" spans="1:19" ht="28" x14ac:dyDescent="0.15">
      <c r="A13905" s="2">
        <f>HYPERLINK("https://open-school.uspishnemisto.com.ua/school/650450/", 650450)</f>
        <v>650450</v>
      </c>
      <c r="B13905" s="3" t="s">
        <v>70203</v>
      </c>
      <c r="C13905" s="3" t="s">
        <v>31</v>
      </c>
      <c r="D13905" s="3" t="s">
        <v>32</v>
      </c>
      <c r="E13905" s="4" t="s">
        <v>22</v>
      </c>
      <c r="F13905" s="4" t="s">
        <v>70204</v>
      </c>
      <c r="G13905" s="4" t="s">
        <v>70205</v>
      </c>
      <c r="H13905" s="3" t="s">
        <v>67992</v>
      </c>
      <c r="I13905" s="3" t="s">
        <v>1587</v>
      </c>
      <c r="J13905" s="3" t="s">
        <v>5632</v>
      </c>
      <c r="K13905" s="3" t="s">
        <v>70206</v>
      </c>
      <c r="L13905" s="3"/>
      <c r="M13905" s="4"/>
      <c r="N13905" s="3" t="s">
        <v>37</v>
      </c>
      <c r="O13905" s="3" t="s">
        <v>38</v>
      </c>
      <c r="P13905" s="5">
        <v>11</v>
      </c>
      <c r="Q13905" s="5">
        <v>87</v>
      </c>
      <c r="R13905" s="5">
        <v>11</v>
      </c>
      <c r="S13905" s="5">
        <v>84</v>
      </c>
    </row>
    <row r="13906" spans="1:19" ht="28" x14ac:dyDescent="0.15">
      <c r="A13906" s="2">
        <f>HYPERLINK("https://open-school.uspishnemisto.com.ua/school/650451/", 650451)</f>
        <v>650451</v>
      </c>
      <c r="B13906" s="3" t="s">
        <v>70207</v>
      </c>
      <c r="C13906" s="3" t="s">
        <v>31</v>
      </c>
      <c r="D13906" s="3" t="s">
        <v>32</v>
      </c>
      <c r="E13906" s="4" t="s">
        <v>22</v>
      </c>
      <c r="F13906" s="4" t="s">
        <v>70208</v>
      </c>
      <c r="G13906" s="4" t="s">
        <v>70209</v>
      </c>
      <c r="H13906" s="3" t="s">
        <v>67992</v>
      </c>
      <c r="I13906" s="3" t="s">
        <v>70210</v>
      </c>
      <c r="J13906" s="3" t="s">
        <v>70211</v>
      </c>
      <c r="K13906" s="3"/>
      <c r="L13906" s="3"/>
      <c r="M13906" s="4"/>
      <c r="N13906" s="3" t="s">
        <v>37</v>
      </c>
      <c r="O13906" s="3" t="s">
        <v>38</v>
      </c>
      <c r="P13906" s="5">
        <v>11</v>
      </c>
      <c r="Q13906" s="5">
        <v>119</v>
      </c>
      <c r="R13906" s="5">
        <v>11</v>
      </c>
      <c r="S13906" s="5">
        <v>116</v>
      </c>
    </row>
    <row r="13907" spans="1:19" ht="28" x14ac:dyDescent="0.15">
      <c r="A13907" s="2">
        <f>HYPERLINK("https://open-school.uspishnemisto.com.ua/school/650452/", 650452)</f>
        <v>650452</v>
      </c>
      <c r="B13907" s="3" t="s">
        <v>70212</v>
      </c>
      <c r="C13907" s="3" t="s">
        <v>31</v>
      </c>
      <c r="D13907" s="3" t="s">
        <v>32</v>
      </c>
      <c r="E13907" s="4" t="s">
        <v>22</v>
      </c>
      <c r="F13907" s="4" t="s">
        <v>70213</v>
      </c>
      <c r="G13907" s="4" t="s">
        <v>70214</v>
      </c>
      <c r="H13907" s="3" t="s">
        <v>67992</v>
      </c>
      <c r="I13907" s="3" t="s">
        <v>11594</v>
      </c>
      <c r="J13907" s="3" t="s">
        <v>2226</v>
      </c>
      <c r="K13907" s="3" t="s">
        <v>70215</v>
      </c>
      <c r="L13907" s="3"/>
      <c r="M13907" s="4"/>
      <c r="N13907" s="3" t="s">
        <v>37</v>
      </c>
      <c r="O13907" s="3" t="s">
        <v>38</v>
      </c>
      <c r="P13907" s="5">
        <v>12</v>
      </c>
      <c r="Q13907" s="5">
        <v>222</v>
      </c>
      <c r="R13907" s="5">
        <v>12</v>
      </c>
      <c r="S13907" s="5">
        <v>230</v>
      </c>
    </row>
    <row r="13908" spans="1:19" ht="28" x14ac:dyDescent="0.15">
      <c r="A13908" s="2">
        <f>HYPERLINK("https://open-school.uspishnemisto.com.ua/school/650453/", 650453)</f>
        <v>650453</v>
      </c>
      <c r="B13908" s="3" t="s">
        <v>70216</v>
      </c>
      <c r="C13908" s="3" t="s">
        <v>31</v>
      </c>
      <c r="D13908" s="3" t="s">
        <v>32</v>
      </c>
      <c r="E13908" s="4" t="s">
        <v>22</v>
      </c>
      <c r="F13908" s="4" t="s">
        <v>70217</v>
      </c>
      <c r="G13908" s="4" t="s">
        <v>70218</v>
      </c>
      <c r="H13908" s="3" t="s">
        <v>67992</v>
      </c>
      <c r="I13908" s="3" t="s">
        <v>70219</v>
      </c>
      <c r="J13908" s="3" t="s">
        <v>466</v>
      </c>
      <c r="K13908" s="3"/>
      <c r="L13908" s="3"/>
      <c r="M13908" s="4"/>
      <c r="N13908" s="3" t="s">
        <v>37</v>
      </c>
      <c r="O13908" s="3" t="s">
        <v>70</v>
      </c>
      <c r="P13908" s="5">
        <v>11</v>
      </c>
      <c r="Q13908" s="5">
        <v>135</v>
      </c>
      <c r="R13908" s="5">
        <v>11</v>
      </c>
      <c r="S13908" s="5">
        <v>130</v>
      </c>
    </row>
    <row r="13909" spans="1:19" ht="28" x14ac:dyDescent="0.15">
      <c r="A13909" s="2">
        <f>HYPERLINK("https://open-school.uspishnemisto.com.ua/school/650454/", 650454)</f>
        <v>650454</v>
      </c>
      <c r="B13909" s="3" t="s">
        <v>70220</v>
      </c>
      <c r="C13909" s="3" t="s">
        <v>31</v>
      </c>
      <c r="D13909" s="3" t="s">
        <v>32</v>
      </c>
      <c r="E13909" s="4" t="s">
        <v>22</v>
      </c>
      <c r="F13909" s="4" t="s">
        <v>70221</v>
      </c>
      <c r="G13909" s="4" t="s">
        <v>70222</v>
      </c>
      <c r="H13909" s="3" t="s">
        <v>67992</v>
      </c>
      <c r="I13909" s="3" t="s">
        <v>70223</v>
      </c>
      <c r="J13909" s="3" t="s">
        <v>8007</v>
      </c>
      <c r="K13909" s="3" t="s">
        <v>70224</v>
      </c>
      <c r="L13909" s="3"/>
      <c r="M13909" s="4"/>
      <c r="N13909" s="3" t="s">
        <v>37</v>
      </c>
      <c r="O13909" s="3" t="s">
        <v>70</v>
      </c>
      <c r="P13909" s="5">
        <v>11</v>
      </c>
      <c r="Q13909" s="5">
        <v>124</v>
      </c>
      <c r="R13909" s="5">
        <v>11</v>
      </c>
      <c r="S13909" s="5">
        <v>131</v>
      </c>
    </row>
    <row r="13910" spans="1:19" ht="56" x14ac:dyDescent="0.15">
      <c r="A13910" s="2">
        <f>HYPERLINK("https://open-school.uspishnemisto.com.ua/school/650455/", 650455)</f>
        <v>650455</v>
      </c>
      <c r="B13910" s="3" t="s">
        <v>70225</v>
      </c>
      <c r="C13910" s="3" t="s">
        <v>54</v>
      </c>
      <c r="D13910" s="3" t="s">
        <v>32</v>
      </c>
      <c r="E13910" s="4" t="s">
        <v>22</v>
      </c>
      <c r="F13910" s="4" t="s">
        <v>70226</v>
      </c>
      <c r="G13910" s="4" t="s">
        <v>70227</v>
      </c>
      <c r="H13910" s="3" t="s">
        <v>67992</v>
      </c>
      <c r="I13910" s="3" t="s">
        <v>15431</v>
      </c>
      <c r="J13910" s="3" t="s">
        <v>70228</v>
      </c>
      <c r="K13910" s="3"/>
      <c r="L13910" s="3"/>
      <c r="M13910" s="4"/>
      <c r="N13910" s="3" t="s">
        <v>37</v>
      </c>
      <c r="O13910" s="3" t="s">
        <v>2740</v>
      </c>
      <c r="P13910" s="5">
        <v>11</v>
      </c>
      <c r="Q13910" s="5">
        <v>158</v>
      </c>
      <c r="R13910" s="5">
        <v>11</v>
      </c>
      <c r="S13910" s="5">
        <v>175</v>
      </c>
    </row>
    <row r="13911" spans="1:19" ht="28" x14ac:dyDescent="0.15">
      <c r="A13911" s="2">
        <f>HYPERLINK("https://open-school.uspishnemisto.com.ua/school/650457/", 650457)</f>
        <v>650457</v>
      </c>
      <c r="B13911" s="3" t="s">
        <v>70229</v>
      </c>
      <c r="C13911" s="3" t="s">
        <v>31</v>
      </c>
      <c r="D13911" s="3" t="s">
        <v>32</v>
      </c>
      <c r="E13911" s="4" t="s">
        <v>22</v>
      </c>
      <c r="F13911" s="4" t="s">
        <v>70230</v>
      </c>
      <c r="G13911" s="4" t="s">
        <v>70231</v>
      </c>
      <c r="H13911" s="3" t="s">
        <v>67992</v>
      </c>
      <c r="I13911" s="3" t="s">
        <v>2445</v>
      </c>
      <c r="J13911" s="3" t="s">
        <v>4728</v>
      </c>
      <c r="K13911" s="3" t="s">
        <v>70232</v>
      </c>
      <c r="L13911" s="3" t="s">
        <v>70233</v>
      </c>
      <c r="M13911" s="4" t="s">
        <v>70234</v>
      </c>
      <c r="N13911" s="3" t="s">
        <v>37</v>
      </c>
      <c r="O13911" s="3" t="s">
        <v>38</v>
      </c>
      <c r="P13911" s="5">
        <v>11</v>
      </c>
      <c r="Q13911" s="5">
        <v>110</v>
      </c>
      <c r="R13911" s="5">
        <v>10</v>
      </c>
      <c r="S13911" s="5">
        <v>95</v>
      </c>
    </row>
    <row r="13912" spans="1:19" ht="28" x14ac:dyDescent="0.15">
      <c r="A13912" s="2">
        <f>HYPERLINK("https://open-school.uspishnemisto.com.ua/school/680001/", 680001)</f>
        <v>680001</v>
      </c>
      <c r="B13912" s="3" t="s">
        <v>70235</v>
      </c>
      <c r="C13912" s="3" t="s">
        <v>40</v>
      </c>
      <c r="D13912" s="3" t="s">
        <v>32</v>
      </c>
      <c r="E13912" s="4" t="s">
        <v>22</v>
      </c>
      <c r="F13912" s="4" t="s">
        <v>70236</v>
      </c>
      <c r="G13912" s="4" t="s">
        <v>70237</v>
      </c>
      <c r="H13912" s="3" t="s">
        <v>70238</v>
      </c>
      <c r="I13912" s="3" t="s">
        <v>70239</v>
      </c>
      <c r="J13912" s="3" t="s">
        <v>70240</v>
      </c>
      <c r="K13912" s="3" t="s">
        <v>70241</v>
      </c>
      <c r="L13912" s="3"/>
      <c r="M13912" s="4" t="s">
        <v>70242</v>
      </c>
      <c r="N13912" s="3" t="s">
        <v>37</v>
      </c>
      <c r="O13912" s="3" t="s">
        <v>46</v>
      </c>
      <c r="P13912" s="5">
        <v>30</v>
      </c>
      <c r="Q13912" s="5">
        <v>962</v>
      </c>
      <c r="R13912" s="5">
        <v>28</v>
      </c>
      <c r="S13912" s="5">
        <v>920</v>
      </c>
    </row>
    <row r="13913" spans="1:19" ht="28" x14ac:dyDescent="0.15">
      <c r="A13913" s="2">
        <f>HYPERLINK("https://open-school.uspishnemisto.com.ua/school/680002/", 680002)</f>
        <v>680002</v>
      </c>
      <c r="B13913" s="3" t="s">
        <v>70243</v>
      </c>
      <c r="C13913" s="3" t="s">
        <v>54</v>
      </c>
      <c r="D13913" s="3" t="s">
        <v>32</v>
      </c>
      <c r="E13913" s="4" t="s">
        <v>22</v>
      </c>
      <c r="F13913" s="4" t="s">
        <v>70244</v>
      </c>
      <c r="G13913" s="4" t="s">
        <v>70237</v>
      </c>
      <c r="H13913" s="3" t="s">
        <v>70238</v>
      </c>
      <c r="I13913" s="3" t="s">
        <v>70239</v>
      </c>
      <c r="J13913" s="3" t="s">
        <v>70245</v>
      </c>
      <c r="K13913" s="3" t="s">
        <v>70246</v>
      </c>
      <c r="L13913" s="3" t="s">
        <v>70247</v>
      </c>
      <c r="M13913" s="4"/>
      <c r="N13913" s="3" t="s">
        <v>37</v>
      </c>
      <c r="O13913" s="3" t="s">
        <v>52</v>
      </c>
      <c r="P13913" s="5">
        <v>10</v>
      </c>
      <c r="Q13913" s="5">
        <v>226</v>
      </c>
      <c r="R13913" s="5">
        <v>9</v>
      </c>
      <c r="S13913" s="5">
        <v>198</v>
      </c>
    </row>
    <row r="13914" spans="1:19" ht="28" x14ac:dyDescent="0.15">
      <c r="A13914" s="2">
        <f>HYPERLINK("https://open-school.uspishnemisto.com.ua/school/680003/", 680003)</f>
        <v>680003</v>
      </c>
      <c r="B13914" s="3" t="s">
        <v>70248</v>
      </c>
      <c r="C13914" s="3" t="s">
        <v>40</v>
      </c>
      <c r="D13914" s="3" t="s">
        <v>32</v>
      </c>
      <c r="E13914" s="4" t="s">
        <v>22</v>
      </c>
      <c r="F13914" s="4" t="s">
        <v>70249</v>
      </c>
      <c r="G13914" s="4" t="s">
        <v>70237</v>
      </c>
      <c r="H13914" s="3" t="s">
        <v>70238</v>
      </c>
      <c r="I13914" s="3" t="s">
        <v>70239</v>
      </c>
      <c r="J13914" s="3" t="s">
        <v>6847</v>
      </c>
      <c r="K13914" s="3" t="s">
        <v>70250</v>
      </c>
      <c r="L13914" s="3"/>
      <c r="M13914" s="4" t="s">
        <v>70251</v>
      </c>
      <c r="N13914" s="3" t="s">
        <v>37</v>
      </c>
      <c r="O13914" s="3" t="s">
        <v>46</v>
      </c>
      <c r="P13914" s="5">
        <v>35</v>
      </c>
      <c r="Q13914" s="5">
        <v>1039</v>
      </c>
      <c r="R13914" s="5">
        <v>36</v>
      </c>
      <c r="S13914" s="5">
        <v>984</v>
      </c>
    </row>
    <row r="13915" spans="1:19" ht="28" x14ac:dyDescent="0.15">
      <c r="A13915" s="2">
        <f>HYPERLINK("https://open-school.uspishnemisto.com.ua/school/680004/", 680004)</f>
        <v>680004</v>
      </c>
      <c r="B13915" s="3" t="s">
        <v>70252</v>
      </c>
      <c r="C13915" s="3" t="s">
        <v>188</v>
      </c>
      <c r="D13915" s="3" t="s">
        <v>32</v>
      </c>
      <c r="E13915" s="4" t="s">
        <v>22</v>
      </c>
      <c r="F13915" s="4" t="s">
        <v>70249</v>
      </c>
      <c r="G13915" s="4" t="s">
        <v>70237</v>
      </c>
      <c r="H13915" s="3" t="s">
        <v>70238</v>
      </c>
      <c r="I13915" s="3" t="s">
        <v>70239</v>
      </c>
      <c r="J13915" s="3" t="s">
        <v>70253</v>
      </c>
      <c r="K13915" s="3" t="s">
        <v>70254</v>
      </c>
      <c r="L13915" s="3"/>
      <c r="M13915" s="4" t="s">
        <v>70255</v>
      </c>
      <c r="N13915" s="3" t="s">
        <v>37</v>
      </c>
      <c r="O13915" s="3" t="s">
        <v>2740</v>
      </c>
      <c r="P13915" s="5">
        <v>48</v>
      </c>
      <c r="Q13915" s="5">
        <v>1418</v>
      </c>
      <c r="R13915" s="5">
        <v>47</v>
      </c>
      <c r="S13915" s="5">
        <v>1377</v>
      </c>
    </row>
    <row r="13916" spans="1:19" ht="28" x14ac:dyDescent="0.15">
      <c r="A13916" s="2">
        <f>HYPERLINK("https://open-school.uspishnemisto.com.ua/school/680005/", 680005)</f>
        <v>680005</v>
      </c>
      <c r="B13916" s="3" t="s">
        <v>70256</v>
      </c>
      <c r="C13916" s="3" t="s">
        <v>2128</v>
      </c>
      <c r="D13916" s="3" t="s">
        <v>32</v>
      </c>
      <c r="E13916" s="4" t="s">
        <v>22</v>
      </c>
      <c r="F13916" s="4" t="s">
        <v>70257</v>
      </c>
      <c r="G13916" s="4" t="s">
        <v>70237</v>
      </c>
      <c r="H13916" s="3" t="s">
        <v>70238</v>
      </c>
      <c r="I13916" s="3" t="s">
        <v>70239</v>
      </c>
      <c r="J13916" s="3" t="s">
        <v>70258</v>
      </c>
      <c r="K13916" s="3" t="s">
        <v>70259</v>
      </c>
      <c r="L13916" s="3"/>
      <c r="M13916" s="4" t="s">
        <v>70260</v>
      </c>
      <c r="N13916" s="3" t="s">
        <v>37</v>
      </c>
      <c r="O13916" s="3" t="s">
        <v>52</v>
      </c>
      <c r="P13916" s="5">
        <v>38</v>
      </c>
      <c r="Q13916" s="5">
        <v>1090</v>
      </c>
      <c r="R13916" s="5">
        <v>37</v>
      </c>
      <c r="S13916" s="5">
        <v>1051</v>
      </c>
    </row>
    <row r="13917" spans="1:19" ht="28" x14ac:dyDescent="0.15">
      <c r="A13917" s="2">
        <f>HYPERLINK("https://open-school.uspishnemisto.com.ua/school/680006/", 680006)</f>
        <v>680006</v>
      </c>
      <c r="B13917" s="3" t="s">
        <v>70261</v>
      </c>
      <c r="C13917" s="3" t="s">
        <v>188</v>
      </c>
      <c r="D13917" s="3" t="s">
        <v>32</v>
      </c>
      <c r="E13917" s="4" t="s">
        <v>22</v>
      </c>
      <c r="F13917" s="4" t="s">
        <v>70262</v>
      </c>
      <c r="G13917" s="4" t="s">
        <v>70237</v>
      </c>
      <c r="H13917" s="3" t="s">
        <v>70238</v>
      </c>
      <c r="I13917" s="3" t="s">
        <v>70239</v>
      </c>
      <c r="J13917" s="3" t="s">
        <v>70263</v>
      </c>
      <c r="K13917" s="3" t="s">
        <v>70264</v>
      </c>
      <c r="L13917" s="3" t="s">
        <v>70265</v>
      </c>
      <c r="M13917" s="4" t="s">
        <v>70266</v>
      </c>
      <c r="N13917" s="3" t="s">
        <v>37</v>
      </c>
      <c r="O13917" s="3" t="s">
        <v>46</v>
      </c>
      <c r="P13917" s="5">
        <v>27</v>
      </c>
      <c r="Q13917" s="5">
        <v>758</v>
      </c>
      <c r="R13917" s="5">
        <v>26</v>
      </c>
      <c r="S13917" s="5">
        <v>700</v>
      </c>
    </row>
    <row r="13918" spans="1:19" ht="28" x14ac:dyDescent="0.15">
      <c r="A13918" s="2">
        <f>HYPERLINK("https://open-school.uspishnemisto.com.ua/school/680007/", 680007)</f>
        <v>680007</v>
      </c>
      <c r="B13918" s="3" t="s">
        <v>70267</v>
      </c>
      <c r="C13918" s="3" t="s">
        <v>188</v>
      </c>
      <c r="D13918" s="3" t="s">
        <v>32</v>
      </c>
      <c r="E13918" s="4" t="s">
        <v>22</v>
      </c>
      <c r="F13918" s="4" t="s">
        <v>70268</v>
      </c>
      <c r="G13918" s="4" t="s">
        <v>70237</v>
      </c>
      <c r="H13918" s="3" t="s">
        <v>70238</v>
      </c>
      <c r="I13918" s="3" t="s">
        <v>70239</v>
      </c>
      <c r="J13918" s="3" t="s">
        <v>70269</v>
      </c>
      <c r="K13918" s="3" t="s">
        <v>70270</v>
      </c>
      <c r="L13918" s="3" t="s">
        <v>70271</v>
      </c>
      <c r="M13918" s="4" t="s">
        <v>70272</v>
      </c>
      <c r="N13918" s="3" t="s">
        <v>37</v>
      </c>
      <c r="O13918" s="3" t="s">
        <v>52</v>
      </c>
      <c r="P13918" s="5">
        <v>38</v>
      </c>
      <c r="Q13918" s="5">
        <v>1084</v>
      </c>
      <c r="R13918" s="5">
        <v>37</v>
      </c>
      <c r="S13918" s="5">
        <v>1055</v>
      </c>
    </row>
    <row r="13919" spans="1:19" ht="28" x14ac:dyDescent="0.15">
      <c r="A13919" s="2">
        <f>HYPERLINK("https://open-school.uspishnemisto.com.ua/school/680008/", 680008)</f>
        <v>680008</v>
      </c>
      <c r="B13919" s="3" t="s">
        <v>70273</v>
      </c>
      <c r="C13919" s="3" t="s">
        <v>188</v>
      </c>
      <c r="D13919" s="3" t="s">
        <v>32</v>
      </c>
      <c r="E13919" s="4" t="s">
        <v>22</v>
      </c>
      <c r="F13919" s="4" t="s">
        <v>70274</v>
      </c>
      <c r="G13919" s="4" t="s">
        <v>70237</v>
      </c>
      <c r="H13919" s="3" t="s">
        <v>70238</v>
      </c>
      <c r="I13919" s="3" t="s">
        <v>70239</v>
      </c>
      <c r="J13919" s="3" t="s">
        <v>70275</v>
      </c>
      <c r="K13919" s="3" t="s">
        <v>70276</v>
      </c>
      <c r="L13919" s="3" t="s">
        <v>70277</v>
      </c>
      <c r="M13919" s="4" t="s">
        <v>70278</v>
      </c>
      <c r="N13919" s="3" t="s">
        <v>37</v>
      </c>
      <c r="O13919" s="3" t="s">
        <v>46</v>
      </c>
      <c r="P13919" s="5">
        <v>31</v>
      </c>
      <c r="Q13919" s="5">
        <v>850</v>
      </c>
      <c r="R13919" s="5">
        <v>30</v>
      </c>
      <c r="S13919" s="5">
        <v>849</v>
      </c>
    </row>
    <row r="13920" spans="1:19" ht="42" x14ac:dyDescent="0.15">
      <c r="A13920" s="2">
        <f>HYPERLINK("https://open-school.uspishnemisto.com.ua/school/680009/", 680009)</f>
        <v>680009</v>
      </c>
      <c r="B13920" s="3" t="s">
        <v>70279</v>
      </c>
      <c r="C13920" s="3" t="s">
        <v>54</v>
      </c>
      <c r="D13920" s="3" t="s">
        <v>60</v>
      </c>
      <c r="E13920" s="4" t="s">
        <v>41</v>
      </c>
      <c r="F13920" s="4" t="s">
        <v>70280</v>
      </c>
      <c r="G13920" s="4" t="s">
        <v>70237</v>
      </c>
      <c r="H13920" s="3" t="s">
        <v>70238</v>
      </c>
      <c r="I13920" s="3" t="s">
        <v>70239</v>
      </c>
      <c r="J13920" s="3" t="s">
        <v>70281</v>
      </c>
      <c r="K13920" s="3"/>
      <c r="L13920" s="3"/>
      <c r="M13920" s="4"/>
      <c r="N13920" s="3" t="s">
        <v>37</v>
      </c>
      <c r="O13920" s="3" t="s">
        <v>52</v>
      </c>
      <c r="P13920" s="5">
        <v>5</v>
      </c>
      <c r="Q13920" s="5">
        <v>74</v>
      </c>
      <c r="R13920" s="5">
        <v>3</v>
      </c>
      <c r="S13920" s="5">
        <v>39</v>
      </c>
    </row>
    <row r="13921" spans="1:19" ht="28" x14ac:dyDescent="0.15">
      <c r="A13921" s="2">
        <f>HYPERLINK("https://open-school.uspishnemisto.com.ua/school/680010/", 680010)</f>
        <v>680010</v>
      </c>
      <c r="B13921" s="3" t="s">
        <v>70282</v>
      </c>
      <c r="C13921" s="3" t="s">
        <v>244</v>
      </c>
      <c r="D13921" s="3" t="s">
        <v>32</v>
      </c>
      <c r="E13921" s="4" t="s">
        <v>22</v>
      </c>
      <c r="F13921" s="4" t="s">
        <v>70249</v>
      </c>
      <c r="G13921" s="4" t="s">
        <v>70237</v>
      </c>
      <c r="H13921" s="3" t="s">
        <v>70238</v>
      </c>
      <c r="I13921" s="3" t="s">
        <v>70239</v>
      </c>
      <c r="J13921" s="3" t="s">
        <v>1074</v>
      </c>
      <c r="K13921" s="3" t="s">
        <v>70283</v>
      </c>
      <c r="L13921" s="3"/>
      <c r="M13921" s="4" t="s">
        <v>70284</v>
      </c>
      <c r="N13921" s="3" t="s">
        <v>52</v>
      </c>
      <c r="O13921" s="3" t="s">
        <v>46</v>
      </c>
      <c r="P13921" s="5">
        <v>21</v>
      </c>
      <c r="Q13921" s="5">
        <v>542</v>
      </c>
      <c r="R13921" s="5">
        <v>19</v>
      </c>
      <c r="S13921" s="5">
        <v>504</v>
      </c>
    </row>
    <row r="13922" spans="1:19" ht="28" x14ac:dyDescent="0.15">
      <c r="A13922" s="2">
        <f>HYPERLINK("https://open-school.uspishnemisto.com.ua/school/680011/", 680011)</f>
        <v>680011</v>
      </c>
      <c r="B13922" s="3" t="s">
        <v>70285</v>
      </c>
      <c r="C13922" s="3" t="s">
        <v>244</v>
      </c>
      <c r="D13922" s="3" t="s">
        <v>32</v>
      </c>
      <c r="E13922" s="4" t="s">
        <v>22</v>
      </c>
      <c r="F13922" s="4" t="s">
        <v>70268</v>
      </c>
      <c r="G13922" s="4" t="s">
        <v>70237</v>
      </c>
      <c r="H13922" s="3" t="s">
        <v>70238</v>
      </c>
      <c r="I13922" s="3" t="s">
        <v>70239</v>
      </c>
      <c r="J13922" s="3" t="s">
        <v>70286</v>
      </c>
      <c r="K13922" s="3" t="s">
        <v>70287</v>
      </c>
      <c r="L13922" s="3" t="s">
        <v>70288</v>
      </c>
      <c r="M13922" s="4" t="s">
        <v>70289</v>
      </c>
      <c r="N13922" s="3" t="s">
        <v>37</v>
      </c>
      <c r="O13922" s="3" t="s">
        <v>139</v>
      </c>
      <c r="P13922" s="5">
        <v>37</v>
      </c>
      <c r="Q13922" s="5">
        <v>1087</v>
      </c>
      <c r="R13922" s="5">
        <v>36</v>
      </c>
      <c r="S13922" s="5">
        <v>1045</v>
      </c>
    </row>
    <row r="13923" spans="1:19" ht="28" x14ac:dyDescent="0.15">
      <c r="A13923" s="2">
        <f>HYPERLINK("https://open-school.uspishnemisto.com.ua/school/680012/", 680012)</f>
        <v>680012</v>
      </c>
      <c r="B13923" s="3" t="s">
        <v>70290</v>
      </c>
      <c r="C13923" s="3" t="s">
        <v>244</v>
      </c>
      <c r="D13923" s="3" t="s">
        <v>32</v>
      </c>
      <c r="E13923" s="4" t="s">
        <v>22</v>
      </c>
      <c r="F13923" s="4" t="s">
        <v>70274</v>
      </c>
      <c r="G13923" s="4" t="s">
        <v>70237</v>
      </c>
      <c r="H13923" s="3" t="s">
        <v>70238</v>
      </c>
      <c r="I13923" s="3" t="s">
        <v>70239</v>
      </c>
      <c r="J13923" s="3" t="s">
        <v>70291</v>
      </c>
      <c r="K13923" s="3" t="s">
        <v>70292</v>
      </c>
      <c r="L13923" s="3"/>
      <c r="M13923" s="4" t="s">
        <v>70293</v>
      </c>
      <c r="N13923" s="3" t="s">
        <v>37</v>
      </c>
      <c r="O13923" s="3" t="s">
        <v>46</v>
      </c>
      <c r="P13923" s="5">
        <v>35</v>
      </c>
      <c r="Q13923" s="5">
        <v>990</v>
      </c>
      <c r="R13923" s="5">
        <v>35</v>
      </c>
      <c r="S13923" s="5">
        <v>962</v>
      </c>
    </row>
    <row r="13924" spans="1:19" ht="28" x14ac:dyDescent="0.15">
      <c r="A13924" s="2">
        <f>HYPERLINK("https://open-school.uspishnemisto.com.ua/school/680013/", 680013)</f>
        <v>680013</v>
      </c>
      <c r="B13924" s="3" t="s">
        <v>70294</v>
      </c>
      <c r="C13924" s="3" t="s">
        <v>244</v>
      </c>
      <c r="D13924" s="3" t="s">
        <v>32</v>
      </c>
      <c r="E13924" s="4" t="s">
        <v>22</v>
      </c>
      <c r="F13924" s="4" t="s">
        <v>70262</v>
      </c>
      <c r="G13924" s="4" t="s">
        <v>70237</v>
      </c>
      <c r="H13924" s="3" t="s">
        <v>70238</v>
      </c>
      <c r="I13924" s="3" t="s">
        <v>70239</v>
      </c>
      <c r="J13924" s="3" t="s">
        <v>70295</v>
      </c>
      <c r="K13924" s="3" t="s">
        <v>70296</v>
      </c>
      <c r="L13924" s="3"/>
      <c r="M13924" s="4" t="s">
        <v>70297</v>
      </c>
      <c r="N13924" s="3" t="s">
        <v>37</v>
      </c>
      <c r="O13924" s="3" t="s">
        <v>52</v>
      </c>
      <c r="P13924" s="5">
        <v>28</v>
      </c>
      <c r="Q13924" s="5">
        <v>821</v>
      </c>
      <c r="R13924" s="5">
        <v>27</v>
      </c>
      <c r="S13924" s="5">
        <v>771</v>
      </c>
    </row>
    <row r="13925" spans="1:19" ht="28" x14ac:dyDescent="0.15">
      <c r="A13925" s="2">
        <f>HYPERLINK("https://open-school.uspishnemisto.com.ua/school/680014/", 680014)</f>
        <v>680014</v>
      </c>
      <c r="B13925" s="3" t="s">
        <v>70298</v>
      </c>
      <c r="C13925" s="3" t="s">
        <v>244</v>
      </c>
      <c r="D13925" s="3" t="s">
        <v>32</v>
      </c>
      <c r="E13925" s="4" t="s">
        <v>22</v>
      </c>
      <c r="F13925" s="4" t="s">
        <v>70299</v>
      </c>
      <c r="G13925" s="4" t="s">
        <v>70237</v>
      </c>
      <c r="H13925" s="3" t="s">
        <v>70238</v>
      </c>
      <c r="I13925" s="3" t="s">
        <v>70239</v>
      </c>
      <c r="J13925" s="3" t="s">
        <v>70300</v>
      </c>
      <c r="K13925" s="3" t="s">
        <v>70301</v>
      </c>
      <c r="L13925" s="3"/>
      <c r="M13925" s="4" t="s">
        <v>70302</v>
      </c>
      <c r="N13925" s="3" t="s">
        <v>37</v>
      </c>
      <c r="O13925" s="3" t="s">
        <v>46</v>
      </c>
      <c r="P13925" s="5">
        <v>33</v>
      </c>
      <c r="Q13925" s="5">
        <v>814</v>
      </c>
      <c r="R13925" s="5">
        <v>34</v>
      </c>
      <c r="S13925" s="5">
        <v>803</v>
      </c>
    </row>
    <row r="13926" spans="1:19" ht="42" x14ac:dyDescent="0.15">
      <c r="A13926" s="2">
        <f>HYPERLINK("https://open-school.uspishnemisto.com.ua/school/680015/", 680015)</f>
        <v>680015</v>
      </c>
      <c r="B13926" s="3" t="s">
        <v>70303</v>
      </c>
      <c r="C13926" s="3" t="s">
        <v>188</v>
      </c>
      <c r="D13926" s="3" t="s">
        <v>32</v>
      </c>
      <c r="E13926" s="4" t="s">
        <v>22</v>
      </c>
      <c r="F13926" s="4" t="s">
        <v>70249</v>
      </c>
      <c r="G13926" s="4" t="s">
        <v>70237</v>
      </c>
      <c r="H13926" s="3" t="s">
        <v>70238</v>
      </c>
      <c r="I13926" s="3" t="s">
        <v>70239</v>
      </c>
      <c r="J13926" s="3" t="s">
        <v>70304</v>
      </c>
      <c r="K13926" s="3" t="s">
        <v>70305</v>
      </c>
      <c r="L13926" s="3" t="s">
        <v>70306</v>
      </c>
      <c r="M13926" s="4" t="s">
        <v>70307</v>
      </c>
      <c r="N13926" s="3" t="s">
        <v>37</v>
      </c>
      <c r="O13926" s="3" t="s">
        <v>237</v>
      </c>
      <c r="P13926" s="5">
        <v>22</v>
      </c>
      <c r="Q13926" s="5">
        <v>657</v>
      </c>
      <c r="R13926" s="5">
        <v>22</v>
      </c>
      <c r="S13926" s="5">
        <v>651</v>
      </c>
    </row>
    <row r="13927" spans="1:19" ht="28" x14ac:dyDescent="0.15">
      <c r="A13927" s="2">
        <f>HYPERLINK("https://open-school.uspishnemisto.com.ua/school/680016/", 680016)</f>
        <v>680016</v>
      </c>
      <c r="B13927" s="3" t="s">
        <v>70308</v>
      </c>
      <c r="C13927" s="3" t="s">
        <v>40</v>
      </c>
      <c r="D13927" s="3" t="s">
        <v>32</v>
      </c>
      <c r="E13927" s="4" t="s">
        <v>22</v>
      </c>
      <c r="F13927" s="4" t="s">
        <v>70249</v>
      </c>
      <c r="G13927" s="4" t="s">
        <v>70237</v>
      </c>
      <c r="H13927" s="3" t="s">
        <v>70238</v>
      </c>
      <c r="I13927" s="3" t="s">
        <v>70239</v>
      </c>
      <c r="J13927" s="3" t="s">
        <v>70309</v>
      </c>
      <c r="K13927" s="3" t="s">
        <v>70310</v>
      </c>
      <c r="L13927" s="3"/>
      <c r="M13927" s="4" t="s">
        <v>70311</v>
      </c>
      <c r="N13927" s="3" t="s">
        <v>37</v>
      </c>
      <c r="O13927" s="3" t="s">
        <v>46</v>
      </c>
      <c r="P13927" s="5">
        <v>21</v>
      </c>
      <c r="Q13927" s="5">
        <v>660</v>
      </c>
      <c r="R13927" s="5">
        <v>21</v>
      </c>
      <c r="S13927" s="5">
        <v>618</v>
      </c>
    </row>
    <row r="13928" spans="1:19" ht="28" x14ac:dyDescent="0.15">
      <c r="A13928" s="2">
        <f>HYPERLINK("https://open-school.uspishnemisto.com.ua/school/680017/", 680017)</f>
        <v>680017</v>
      </c>
      <c r="B13928" s="3" t="s">
        <v>70312</v>
      </c>
      <c r="C13928" s="3" t="s">
        <v>2634</v>
      </c>
      <c r="D13928" s="3" t="s">
        <v>32</v>
      </c>
      <c r="E13928" s="4" t="s">
        <v>22</v>
      </c>
      <c r="F13928" s="4" t="s">
        <v>70274</v>
      </c>
      <c r="G13928" s="4" t="s">
        <v>70237</v>
      </c>
      <c r="H13928" s="3" t="s">
        <v>70238</v>
      </c>
      <c r="I13928" s="3" t="s">
        <v>70239</v>
      </c>
      <c r="J13928" s="3" t="s">
        <v>70313</v>
      </c>
      <c r="K13928" s="3"/>
      <c r="L13928" s="3"/>
      <c r="M13928" s="4" t="s">
        <v>70314</v>
      </c>
      <c r="N13928" s="3" t="s">
        <v>37</v>
      </c>
      <c r="O13928" s="3" t="s">
        <v>46</v>
      </c>
      <c r="P13928" s="5">
        <v>13</v>
      </c>
      <c r="Q13928" s="5">
        <v>207</v>
      </c>
      <c r="R13928" s="5">
        <v>12</v>
      </c>
      <c r="S13928" s="5">
        <v>201</v>
      </c>
    </row>
    <row r="13929" spans="1:19" ht="28" x14ac:dyDescent="0.15">
      <c r="A13929" s="2">
        <f>HYPERLINK("https://open-school.uspishnemisto.com.ua/school/680018/", 680018)</f>
        <v>680018</v>
      </c>
      <c r="B13929" s="3" t="s">
        <v>70315</v>
      </c>
      <c r="C13929" s="3" t="s">
        <v>31</v>
      </c>
      <c r="D13929" s="3" t="s">
        <v>60</v>
      </c>
      <c r="E13929" s="4" t="s">
        <v>22</v>
      </c>
      <c r="F13929" s="4" t="s">
        <v>70316</v>
      </c>
      <c r="G13929" s="4" t="s">
        <v>70237</v>
      </c>
      <c r="H13929" s="3" t="s">
        <v>70238</v>
      </c>
      <c r="I13929" s="3" t="s">
        <v>70239</v>
      </c>
      <c r="J13929" s="3" t="s">
        <v>70317</v>
      </c>
      <c r="K13929" s="3" t="s">
        <v>70318</v>
      </c>
      <c r="L13929" s="3" t="s">
        <v>70319</v>
      </c>
      <c r="M13929" s="4" t="s">
        <v>70320</v>
      </c>
      <c r="N13929" s="3" t="s">
        <v>37</v>
      </c>
      <c r="O13929" s="3" t="s">
        <v>52</v>
      </c>
      <c r="P13929" s="5">
        <v>14</v>
      </c>
      <c r="Q13929" s="5">
        <v>449</v>
      </c>
      <c r="R13929" s="5">
        <v>14</v>
      </c>
      <c r="S13929" s="5">
        <v>433</v>
      </c>
    </row>
    <row r="13930" spans="1:19" ht="28" x14ac:dyDescent="0.15">
      <c r="A13930" s="2">
        <f>HYPERLINK("https://open-school.uspishnemisto.com.ua/school/680019/", 680019)</f>
        <v>680019</v>
      </c>
      <c r="B13930" s="3" t="s">
        <v>70321</v>
      </c>
      <c r="C13930" s="3" t="s">
        <v>20</v>
      </c>
      <c r="D13930" s="3" t="s">
        <v>21</v>
      </c>
      <c r="E13930" s="4" t="s">
        <v>22</v>
      </c>
      <c r="F13930" s="4" t="s">
        <v>70322</v>
      </c>
      <c r="G13930" s="4" t="s">
        <v>70237</v>
      </c>
      <c r="H13930" s="3" t="s">
        <v>70238</v>
      </c>
      <c r="I13930" s="3" t="s">
        <v>70239</v>
      </c>
      <c r="J13930" s="3" t="s">
        <v>70323</v>
      </c>
      <c r="K13930" s="3" t="s">
        <v>70324</v>
      </c>
      <c r="L13930" s="3" t="s">
        <v>70325</v>
      </c>
      <c r="M13930" s="4"/>
      <c r="N13930" s="3"/>
      <c r="O13930" s="3"/>
      <c r="P13930" s="5">
        <v>0</v>
      </c>
      <c r="Q13930" s="5">
        <v>0</v>
      </c>
      <c r="R13930" s="5"/>
      <c r="S13930" s="5"/>
    </row>
    <row r="13931" spans="1:19" ht="28" x14ac:dyDescent="0.15">
      <c r="A13931" s="2">
        <f>HYPERLINK("https://open-school.uspishnemisto.com.ua/school/680020/", 680020)</f>
        <v>680020</v>
      </c>
      <c r="B13931" s="3" t="s">
        <v>70326</v>
      </c>
      <c r="C13931" s="3" t="s">
        <v>31</v>
      </c>
      <c r="D13931" s="3" t="s">
        <v>32</v>
      </c>
      <c r="E13931" s="4" t="s">
        <v>41</v>
      </c>
      <c r="F13931" s="4" t="s">
        <v>70262</v>
      </c>
      <c r="G13931" s="4" t="s">
        <v>70237</v>
      </c>
      <c r="H13931" s="3" t="s">
        <v>70238</v>
      </c>
      <c r="I13931" s="3" t="s">
        <v>70239</v>
      </c>
      <c r="J13931" s="3" t="s">
        <v>70327</v>
      </c>
      <c r="K13931" s="3" t="s">
        <v>70328</v>
      </c>
      <c r="L13931" s="3"/>
      <c r="M13931" s="4" t="s">
        <v>70329</v>
      </c>
      <c r="N13931" s="3" t="s">
        <v>37</v>
      </c>
      <c r="O13931" s="3" t="s">
        <v>123</v>
      </c>
      <c r="P13931" s="5">
        <v>10</v>
      </c>
      <c r="Q13931" s="5">
        <v>133</v>
      </c>
      <c r="R13931" s="5">
        <v>10</v>
      </c>
      <c r="S13931" s="5">
        <v>111</v>
      </c>
    </row>
    <row r="13932" spans="1:19" ht="28" x14ac:dyDescent="0.15">
      <c r="A13932" s="2">
        <f>HYPERLINK("https://open-school.uspishnemisto.com.ua/school/680021/", 680021)</f>
        <v>680021</v>
      </c>
      <c r="B13932" s="3" t="s">
        <v>70330</v>
      </c>
      <c r="C13932" s="3" t="s">
        <v>31</v>
      </c>
      <c r="D13932" s="3" t="s">
        <v>32</v>
      </c>
      <c r="E13932" s="4" t="s">
        <v>22</v>
      </c>
      <c r="F13932" s="4" t="s">
        <v>70331</v>
      </c>
      <c r="G13932" s="4" t="s">
        <v>70237</v>
      </c>
      <c r="H13932" s="3" t="s">
        <v>70238</v>
      </c>
      <c r="I13932" s="3" t="s">
        <v>70239</v>
      </c>
      <c r="J13932" s="3" t="s">
        <v>70332</v>
      </c>
      <c r="K13932" s="3" t="s">
        <v>70333</v>
      </c>
      <c r="L13932" s="3"/>
      <c r="M13932" s="4" t="s">
        <v>70334</v>
      </c>
      <c r="N13932" s="3" t="s">
        <v>37</v>
      </c>
      <c r="O13932" s="3" t="s">
        <v>46</v>
      </c>
      <c r="P13932" s="5">
        <v>42</v>
      </c>
      <c r="Q13932" s="5">
        <v>1169</v>
      </c>
      <c r="R13932" s="5">
        <v>42</v>
      </c>
      <c r="S13932" s="5">
        <v>1165</v>
      </c>
    </row>
    <row r="13933" spans="1:19" ht="28" x14ac:dyDescent="0.15">
      <c r="A13933" s="2">
        <f>HYPERLINK("https://open-school.uspishnemisto.com.ua/school/680022/", 680022)</f>
        <v>680022</v>
      </c>
      <c r="B13933" s="3" t="s">
        <v>70335</v>
      </c>
      <c r="C13933" s="3" t="s">
        <v>31</v>
      </c>
      <c r="D13933" s="3" t="s">
        <v>32</v>
      </c>
      <c r="E13933" s="4" t="s">
        <v>22</v>
      </c>
      <c r="F13933" s="4" t="s">
        <v>70336</v>
      </c>
      <c r="G13933" s="4" t="s">
        <v>70237</v>
      </c>
      <c r="H13933" s="3" t="s">
        <v>70238</v>
      </c>
      <c r="I13933" s="3" t="s">
        <v>70239</v>
      </c>
      <c r="J13933" s="3" t="s">
        <v>70337</v>
      </c>
      <c r="K13933" s="3" t="s">
        <v>70338</v>
      </c>
      <c r="L13933" s="3" t="s">
        <v>70339</v>
      </c>
      <c r="M13933" s="4" t="s">
        <v>70340</v>
      </c>
      <c r="N13933" s="3" t="s">
        <v>37</v>
      </c>
      <c r="O13933" s="3" t="s">
        <v>52</v>
      </c>
      <c r="P13933" s="5">
        <v>25</v>
      </c>
      <c r="Q13933" s="5">
        <v>714</v>
      </c>
      <c r="R13933" s="5">
        <v>24</v>
      </c>
      <c r="S13933" s="5">
        <v>689</v>
      </c>
    </row>
    <row r="13934" spans="1:19" ht="28" x14ac:dyDescent="0.15">
      <c r="A13934" s="2">
        <f>HYPERLINK("https://open-school.uspishnemisto.com.ua/school/680023/", 680023)</f>
        <v>680023</v>
      </c>
      <c r="B13934" s="3" t="s">
        <v>70341</v>
      </c>
      <c r="C13934" s="3" t="s">
        <v>31</v>
      </c>
      <c r="D13934" s="3" t="s">
        <v>32</v>
      </c>
      <c r="E13934" s="4" t="s">
        <v>22</v>
      </c>
      <c r="F13934" s="4" t="s">
        <v>70342</v>
      </c>
      <c r="G13934" s="4" t="s">
        <v>70237</v>
      </c>
      <c r="H13934" s="3" t="s">
        <v>70238</v>
      </c>
      <c r="I13934" s="3" t="s">
        <v>70239</v>
      </c>
      <c r="J13934" s="3" t="s">
        <v>70343</v>
      </c>
      <c r="K13934" s="3" t="s">
        <v>70344</v>
      </c>
      <c r="L13934" s="3"/>
      <c r="M13934" s="4" t="s">
        <v>70345</v>
      </c>
      <c r="N13934" s="3" t="s">
        <v>37</v>
      </c>
      <c r="O13934" s="3" t="s">
        <v>52</v>
      </c>
      <c r="P13934" s="5">
        <v>30</v>
      </c>
      <c r="Q13934" s="5">
        <v>796</v>
      </c>
      <c r="R13934" s="5">
        <v>29</v>
      </c>
      <c r="S13934" s="5">
        <v>764</v>
      </c>
    </row>
    <row r="13935" spans="1:19" ht="28" x14ac:dyDescent="0.15">
      <c r="A13935" s="2">
        <f>HYPERLINK("https://open-school.uspishnemisto.com.ua/school/680024/", 680024)</f>
        <v>680024</v>
      </c>
      <c r="B13935" s="3" t="s">
        <v>70346</v>
      </c>
      <c r="C13935" s="3" t="s">
        <v>31</v>
      </c>
      <c r="D13935" s="3" t="s">
        <v>32</v>
      </c>
      <c r="E13935" s="4" t="s">
        <v>22</v>
      </c>
      <c r="F13935" s="4" t="s">
        <v>70347</v>
      </c>
      <c r="G13935" s="4" t="s">
        <v>70237</v>
      </c>
      <c r="H13935" s="3" t="s">
        <v>70238</v>
      </c>
      <c r="I13935" s="3" t="s">
        <v>70239</v>
      </c>
      <c r="J13935" s="3" t="s">
        <v>70348</v>
      </c>
      <c r="K13935" s="3" t="s">
        <v>70349</v>
      </c>
      <c r="L13935" s="3"/>
      <c r="M13935" s="4"/>
      <c r="N13935" s="3" t="s">
        <v>37</v>
      </c>
      <c r="O13935" s="3" t="s">
        <v>46</v>
      </c>
      <c r="P13935" s="5">
        <v>15</v>
      </c>
      <c r="Q13935" s="5">
        <v>338</v>
      </c>
      <c r="R13935" s="5">
        <v>15</v>
      </c>
      <c r="S13935" s="5">
        <v>334</v>
      </c>
    </row>
    <row r="13936" spans="1:19" ht="28" x14ac:dyDescent="0.15">
      <c r="A13936" s="2">
        <f>HYPERLINK("https://open-school.uspishnemisto.com.ua/school/680025/", 680025)</f>
        <v>680025</v>
      </c>
      <c r="B13936" s="3" t="s">
        <v>70350</v>
      </c>
      <c r="C13936" s="3" t="s">
        <v>31</v>
      </c>
      <c r="D13936" s="3" t="s">
        <v>32</v>
      </c>
      <c r="E13936" s="4" t="s">
        <v>22</v>
      </c>
      <c r="F13936" s="4" t="s">
        <v>70351</v>
      </c>
      <c r="G13936" s="4" t="s">
        <v>70237</v>
      </c>
      <c r="H13936" s="3" t="s">
        <v>70238</v>
      </c>
      <c r="I13936" s="3" t="s">
        <v>70239</v>
      </c>
      <c r="J13936" s="3" t="s">
        <v>70352</v>
      </c>
      <c r="K13936" s="3" t="s">
        <v>70353</v>
      </c>
      <c r="L13936" s="3" t="s">
        <v>70354</v>
      </c>
      <c r="M13936" s="4" t="s">
        <v>70355</v>
      </c>
      <c r="N13936" s="3" t="s">
        <v>37</v>
      </c>
      <c r="O13936" s="3" t="s">
        <v>46</v>
      </c>
      <c r="P13936" s="5">
        <v>28</v>
      </c>
      <c r="Q13936" s="5">
        <v>680</v>
      </c>
      <c r="R13936" s="5">
        <v>28</v>
      </c>
      <c r="S13936" s="5">
        <v>670</v>
      </c>
    </row>
    <row r="13937" spans="1:19" ht="28" x14ac:dyDescent="0.15">
      <c r="A13937" s="2">
        <f>HYPERLINK("https://open-school.uspishnemisto.com.ua/school/680026/", 680026)</f>
        <v>680026</v>
      </c>
      <c r="B13937" s="3" t="s">
        <v>70356</v>
      </c>
      <c r="C13937" s="3" t="s">
        <v>31</v>
      </c>
      <c r="D13937" s="3" t="s">
        <v>32</v>
      </c>
      <c r="E13937" s="4" t="s">
        <v>22</v>
      </c>
      <c r="F13937" s="4" t="s">
        <v>70236</v>
      </c>
      <c r="G13937" s="4" t="s">
        <v>70237</v>
      </c>
      <c r="H13937" s="3" t="s">
        <v>70238</v>
      </c>
      <c r="I13937" s="3" t="s">
        <v>70239</v>
      </c>
      <c r="J13937" s="3" t="s">
        <v>70357</v>
      </c>
      <c r="K13937" s="3" t="s">
        <v>70358</v>
      </c>
      <c r="L13937" s="3"/>
      <c r="M13937" s="4" t="s">
        <v>70359</v>
      </c>
      <c r="N13937" s="3" t="s">
        <v>37</v>
      </c>
      <c r="O13937" s="3" t="s">
        <v>46</v>
      </c>
      <c r="P13937" s="5">
        <v>29</v>
      </c>
      <c r="Q13937" s="5">
        <v>859</v>
      </c>
      <c r="R13937" s="5">
        <v>28</v>
      </c>
      <c r="S13937" s="5">
        <v>770</v>
      </c>
    </row>
    <row r="13938" spans="1:19" ht="28" x14ac:dyDescent="0.15">
      <c r="A13938" s="2">
        <f>HYPERLINK("https://open-school.uspishnemisto.com.ua/school/680027/", 680027)</f>
        <v>680027</v>
      </c>
      <c r="B13938" s="3" t="s">
        <v>70360</v>
      </c>
      <c r="C13938" s="3" t="s">
        <v>31</v>
      </c>
      <c r="D13938" s="3" t="s">
        <v>32</v>
      </c>
      <c r="E13938" s="4" t="s">
        <v>22</v>
      </c>
      <c r="F13938" s="4" t="s">
        <v>70262</v>
      </c>
      <c r="G13938" s="4" t="s">
        <v>70237</v>
      </c>
      <c r="H13938" s="3" t="s">
        <v>70238</v>
      </c>
      <c r="I13938" s="3" t="s">
        <v>70239</v>
      </c>
      <c r="J13938" s="3" t="s">
        <v>70361</v>
      </c>
      <c r="K13938" s="3"/>
      <c r="L13938" s="3"/>
      <c r="M13938" s="4" t="s">
        <v>70362</v>
      </c>
      <c r="N13938" s="3" t="s">
        <v>37</v>
      </c>
      <c r="O13938" s="3" t="s">
        <v>46</v>
      </c>
      <c r="P13938" s="5">
        <v>41</v>
      </c>
      <c r="Q13938" s="5">
        <v>1245</v>
      </c>
      <c r="R13938" s="5">
        <v>38</v>
      </c>
      <c r="S13938" s="5">
        <v>1154</v>
      </c>
    </row>
    <row r="13939" spans="1:19" ht="28" x14ac:dyDescent="0.15">
      <c r="A13939" s="2">
        <f>HYPERLINK("https://open-school.uspishnemisto.com.ua/school/680028/", 680028)</f>
        <v>680028</v>
      </c>
      <c r="B13939" s="3" t="s">
        <v>70363</v>
      </c>
      <c r="C13939" s="3" t="s">
        <v>31</v>
      </c>
      <c r="D13939" s="3" t="s">
        <v>32</v>
      </c>
      <c r="E13939" s="4" t="s">
        <v>22</v>
      </c>
      <c r="F13939" s="4" t="s">
        <v>70280</v>
      </c>
      <c r="G13939" s="4" t="s">
        <v>70237</v>
      </c>
      <c r="H13939" s="3" t="s">
        <v>70238</v>
      </c>
      <c r="I13939" s="3" t="s">
        <v>70239</v>
      </c>
      <c r="J13939" s="3" t="s">
        <v>70364</v>
      </c>
      <c r="K13939" s="3" t="s">
        <v>70365</v>
      </c>
      <c r="L13939" s="3"/>
      <c r="M13939" s="4" t="s">
        <v>70366</v>
      </c>
      <c r="N13939" s="3" t="s">
        <v>37</v>
      </c>
      <c r="O13939" s="3" t="s">
        <v>52</v>
      </c>
      <c r="P13939" s="5">
        <v>40</v>
      </c>
      <c r="Q13939" s="5">
        <v>1195</v>
      </c>
      <c r="R13939" s="5">
        <v>37</v>
      </c>
      <c r="S13939" s="5">
        <v>1115</v>
      </c>
    </row>
    <row r="13940" spans="1:19" ht="28" x14ac:dyDescent="0.15">
      <c r="A13940" s="2">
        <f>HYPERLINK("https://open-school.uspishnemisto.com.ua/school/680029/", 680029)</f>
        <v>680029</v>
      </c>
      <c r="B13940" s="3" t="s">
        <v>70367</v>
      </c>
      <c r="C13940" s="3" t="s">
        <v>244</v>
      </c>
      <c r="D13940" s="3" t="s">
        <v>32</v>
      </c>
      <c r="E13940" s="4" t="s">
        <v>22</v>
      </c>
      <c r="F13940" s="4" t="s">
        <v>70368</v>
      </c>
      <c r="G13940" s="4" t="s">
        <v>70237</v>
      </c>
      <c r="H13940" s="3" t="s">
        <v>70238</v>
      </c>
      <c r="I13940" s="3" t="s">
        <v>70239</v>
      </c>
      <c r="J13940" s="3" t="s">
        <v>70369</v>
      </c>
      <c r="K13940" s="3" t="s">
        <v>70370</v>
      </c>
      <c r="L13940" s="3"/>
      <c r="M13940" s="4" t="s">
        <v>70371</v>
      </c>
      <c r="N13940" s="3" t="s">
        <v>37</v>
      </c>
      <c r="O13940" s="3" t="s">
        <v>46</v>
      </c>
      <c r="P13940" s="5">
        <v>20</v>
      </c>
      <c r="Q13940" s="5">
        <v>520</v>
      </c>
      <c r="R13940" s="5">
        <v>20</v>
      </c>
      <c r="S13940" s="5">
        <v>479</v>
      </c>
    </row>
    <row r="13941" spans="1:19" ht="28" x14ac:dyDescent="0.15">
      <c r="A13941" s="2">
        <f>HYPERLINK("https://open-school.uspishnemisto.com.ua/school/680030/", 680030)</f>
        <v>680030</v>
      </c>
      <c r="B13941" s="3" t="s">
        <v>70372</v>
      </c>
      <c r="C13941" s="3" t="s">
        <v>244</v>
      </c>
      <c r="D13941" s="3" t="s">
        <v>32</v>
      </c>
      <c r="E13941" s="4" t="s">
        <v>22</v>
      </c>
      <c r="F13941" s="4" t="s">
        <v>70322</v>
      </c>
      <c r="G13941" s="4" t="s">
        <v>70237</v>
      </c>
      <c r="H13941" s="3" t="s">
        <v>70238</v>
      </c>
      <c r="I13941" s="3" t="s">
        <v>70239</v>
      </c>
      <c r="J13941" s="3" t="s">
        <v>70323</v>
      </c>
      <c r="K13941" s="3" t="s">
        <v>70373</v>
      </c>
      <c r="L13941" s="3" t="s">
        <v>70374</v>
      </c>
      <c r="M13941" s="4" t="s">
        <v>70375</v>
      </c>
      <c r="N13941" s="3" t="s">
        <v>37</v>
      </c>
      <c r="O13941" s="3" t="s">
        <v>46</v>
      </c>
      <c r="P13941" s="5">
        <v>30</v>
      </c>
      <c r="Q13941" s="5">
        <v>760</v>
      </c>
      <c r="R13941" s="5">
        <v>28</v>
      </c>
      <c r="S13941" s="5">
        <v>721</v>
      </c>
    </row>
    <row r="13942" spans="1:19" ht="42" x14ac:dyDescent="0.15">
      <c r="A13942" s="2">
        <f>HYPERLINK("https://open-school.uspishnemisto.com.ua/school/680031/", 680031)</f>
        <v>680031</v>
      </c>
      <c r="B13942" s="3" t="s">
        <v>70376</v>
      </c>
      <c r="C13942" s="3" t="s">
        <v>244</v>
      </c>
      <c r="D13942" s="3" t="s">
        <v>32</v>
      </c>
      <c r="E13942" s="4" t="s">
        <v>22</v>
      </c>
      <c r="F13942" s="4" t="s">
        <v>70249</v>
      </c>
      <c r="G13942" s="4" t="s">
        <v>70237</v>
      </c>
      <c r="H13942" s="3" t="s">
        <v>70238</v>
      </c>
      <c r="I13942" s="3" t="s">
        <v>70239</v>
      </c>
      <c r="J13942" s="3" t="s">
        <v>70377</v>
      </c>
      <c r="K13942" s="3" t="s">
        <v>70378</v>
      </c>
      <c r="L13942" s="3" t="s">
        <v>70379</v>
      </c>
      <c r="M13942" s="4" t="s">
        <v>70380</v>
      </c>
      <c r="N13942" s="3" t="s">
        <v>37</v>
      </c>
      <c r="O13942" s="3" t="s">
        <v>46</v>
      </c>
      <c r="P13942" s="5">
        <v>25</v>
      </c>
      <c r="Q13942" s="5">
        <v>663</v>
      </c>
      <c r="R13942" s="5">
        <v>25</v>
      </c>
      <c r="S13942" s="5">
        <v>652</v>
      </c>
    </row>
    <row r="13943" spans="1:19" ht="28" x14ac:dyDescent="0.15">
      <c r="A13943" s="2">
        <f>HYPERLINK("https://open-school.uspishnemisto.com.ua/school/680032/", 680032)</f>
        <v>680032</v>
      </c>
      <c r="B13943" s="3" t="s">
        <v>70381</v>
      </c>
      <c r="C13943" s="3" t="s">
        <v>244</v>
      </c>
      <c r="D13943" s="3" t="s">
        <v>32</v>
      </c>
      <c r="E13943" s="4" t="s">
        <v>22</v>
      </c>
      <c r="F13943" s="4" t="s">
        <v>70322</v>
      </c>
      <c r="G13943" s="4" t="s">
        <v>70237</v>
      </c>
      <c r="H13943" s="3" t="s">
        <v>70238</v>
      </c>
      <c r="I13943" s="3" t="s">
        <v>70239</v>
      </c>
      <c r="J13943" s="3" t="s">
        <v>70382</v>
      </c>
      <c r="K13943" s="3" t="s">
        <v>70383</v>
      </c>
      <c r="L13943" s="3" t="s">
        <v>70384</v>
      </c>
      <c r="M13943" s="4" t="s">
        <v>70385</v>
      </c>
      <c r="N13943" s="3" t="s">
        <v>37</v>
      </c>
      <c r="O13943" s="3" t="s">
        <v>46</v>
      </c>
      <c r="P13943" s="5">
        <v>33</v>
      </c>
      <c r="Q13943" s="5">
        <v>974</v>
      </c>
      <c r="R13943" s="5">
        <v>33</v>
      </c>
      <c r="S13943" s="5">
        <v>955</v>
      </c>
    </row>
    <row r="13944" spans="1:19" ht="28" x14ac:dyDescent="0.15">
      <c r="A13944" s="2">
        <f>HYPERLINK("https://open-school.uspishnemisto.com.ua/school/680033/", 680033)</f>
        <v>680033</v>
      </c>
      <c r="B13944" s="3" t="s">
        <v>70386</v>
      </c>
      <c r="C13944" s="3" t="s">
        <v>244</v>
      </c>
      <c r="D13944" s="3" t="s">
        <v>60</v>
      </c>
      <c r="E13944" s="4" t="s">
        <v>22</v>
      </c>
      <c r="F13944" s="4" t="s">
        <v>70249</v>
      </c>
      <c r="G13944" s="4" t="s">
        <v>70237</v>
      </c>
      <c r="H13944" s="3" t="s">
        <v>70238</v>
      </c>
      <c r="I13944" s="3" t="s">
        <v>70239</v>
      </c>
      <c r="J13944" s="3" t="s">
        <v>70387</v>
      </c>
      <c r="K13944" s="3" t="s">
        <v>70388</v>
      </c>
      <c r="L13944" s="3"/>
      <c r="M13944" s="4" t="s">
        <v>70389</v>
      </c>
      <c r="N13944" s="3" t="s">
        <v>37</v>
      </c>
      <c r="O13944" s="3" t="s">
        <v>52</v>
      </c>
      <c r="P13944" s="5">
        <v>20</v>
      </c>
      <c r="Q13944" s="5">
        <v>645</v>
      </c>
      <c r="R13944" s="5">
        <v>20</v>
      </c>
      <c r="S13944" s="5">
        <v>640</v>
      </c>
    </row>
    <row r="13945" spans="1:19" ht="28" x14ac:dyDescent="0.15">
      <c r="A13945" s="2">
        <f>HYPERLINK("https://open-school.uspishnemisto.com.ua/school/680034/", 680034)</f>
        <v>680034</v>
      </c>
      <c r="B13945" s="3" t="s">
        <v>70390</v>
      </c>
      <c r="C13945" s="3" t="s">
        <v>174</v>
      </c>
      <c r="D13945" s="3" t="s">
        <v>32</v>
      </c>
      <c r="E13945" s="4" t="s">
        <v>22</v>
      </c>
      <c r="F13945" s="4" t="s">
        <v>70322</v>
      </c>
      <c r="G13945" s="4" t="s">
        <v>70237</v>
      </c>
      <c r="H13945" s="3" t="s">
        <v>70238</v>
      </c>
      <c r="I13945" s="3" t="s">
        <v>70239</v>
      </c>
      <c r="J13945" s="3" t="s">
        <v>70391</v>
      </c>
      <c r="K13945" s="3" t="s">
        <v>70392</v>
      </c>
      <c r="L13945" s="3"/>
      <c r="M13945" s="4"/>
      <c r="N13945" s="3" t="s">
        <v>37</v>
      </c>
      <c r="O13945" s="3" t="s">
        <v>52</v>
      </c>
      <c r="P13945" s="5">
        <v>10</v>
      </c>
      <c r="Q13945" s="5">
        <v>46</v>
      </c>
      <c r="R13945" s="5">
        <v>9</v>
      </c>
      <c r="S13945" s="5">
        <v>42</v>
      </c>
    </row>
    <row r="13946" spans="1:19" ht="28" x14ac:dyDescent="0.15">
      <c r="A13946" s="2">
        <f>HYPERLINK("https://open-school.uspishnemisto.com.ua/school/680035/", 680035)</f>
        <v>680035</v>
      </c>
      <c r="B13946" s="3" t="s">
        <v>70393</v>
      </c>
      <c r="C13946" s="3" t="s">
        <v>174</v>
      </c>
      <c r="D13946" s="3" t="s">
        <v>175</v>
      </c>
      <c r="E13946" s="4" t="s">
        <v>22</v>
      </c>
      <c r="F13946" s="4" t="s">
        <v>70249</v>
      </c>
      <c r="G13946" s="4" t="s">
        <v>70237</v>
      </c>
      <c r="H13946" s="3" t="s">
        <v>70238</v>
      </c>
      <c r="I13946" s="3" t="s">
        <v>70239</v>
      </c>
      <c r="J13946" s="3" t="s">
        <v>26515</v>
      </c>
      <c r="K13946" s="3" t="s">
        <v>70394</v>
      </c>
      <c r="L13946" s="3"/>
      <c r="M13946" s="4" t="s">
        <v>70395</v>
      </c>
      <c r="N13946" s="3" t="s">
        <v>37</v>
      </c>
      <c r="O13946" s="3"/>
      <c r="P13946" s="5">
        <v>10</v>
      </c>
      <c r="Q13946" s="5">
        <v>97</v>
      </c>
      <c r="R13946" s="5">
        <v>10</v>
      </c>
      <c r="S13946" s="5">
        <v>107</v>
      </c>
    </row>
    <row r="13947" spans="1:19" ht="28" x14ac:dyDescent="0.15">
      <c r="A13947" s="2">
        <f>HYPERLINK("https://open-school.uspishnemisto.com.ua/school/680036/", 680036)</f>
        <v>680036</v>
      </c>
      <c r="B13947" s="3" t="s">
        <v>70396</v>
      </c>
      <c r="C13947" s="3" t="s">
        <v>2128</v>
      </c>
      <c r="D13947" s="3" t="s">
        <v>32</v>
      </c>
      <c r="E13947" s="4" t="s">
        <v>22</v>
      </c>
      <c r="F13947" s="4" t="s">
        <v>70397</v>
      </c>
      <c r="G13947" s="4" t="s">
        <v>70237</v>
      </c>
      <c r="H13947" s="3" t="s">
        <v>70238</v>
      </c>
      <c r="I13947" s="3" t="s">
        <v>70239</v>
      </c>
      <c r="J13947" s="3" t="s">
        <v>70398</v>
      </c>
      <c r="K13947" s="3" t="s">
        <v>70399</v>
      </c>
      <c r="L13947" s="3"/>
      <c r="M13947" s="4" t="s">
        <v>70400</v>
      </c>
      <c r="N13947" s="3" t="s">
        <v>37</v>
      </c>
      <c r="O13947" s="3" t="s">
        <v>52</v>
      </c>
      <c r="P13947" s="5">
        <v>59</v>
      </c>
      <c r="Q13947" s="5">
        <v>1751</v>
      </c>
      <c r="R13947" s="5">
        <v>53</v>
      </c>
      <c r="S13947" s="5">
        <v>1582</v>
      </c>
    </row>
    <row r="13948" spans="1:19" ht="42" x14ac:dyDescent="0.15">
      <c r="A13948" s="2">
        <f>HYPERLINK("https://open-school.uspishnemisto.com.ua/school/680037/", 680037)</f>
        <v>680037</v>
      </c>
      <c r="B13948" s="3" t="s">
        <v>70401</v>
      </c>
      <c r="C13948" s="3" t="s">
        <v>54</v>
      </c>
      <c r="D13948" s="3" t="s">
        <v>60</v>
      </c>
      <c r="E13948" s="4" t="s">
        <v>22</v>
      </c>
      <c r="F13948" s="4" t="s">
        <v>70236</v>
      </c>
      <c r="G13948" s="4" t="s">
        <v>70237</v>
      </c>
      <c r="H13948" s="3" t="s">
        <v>70238</v>
      </c>
      <c r="I13948" s="3" t="s">
        <v>70239</v>
      </c>
      <c r="J13948" s="3" t="s">
        <v>70402</v>
      </c>
      <c r="K13948" s="3" t="s">
        <v>70403</v>
      </c>
      <c r="L13948" s="3"/>
      <c r="M13948" s="4" t="s">
        <v>70404</v>
      </c>
      <c r="N13948" s="3" t="s">
        <v>37</v>
      </c>
      <c r="O13948" s="3" t="s">
        <v>52</v>
      </c>
      <c r="P13948" s="5">
        <v>14</v>
      </c>
      <c r="Q13948" s="5">
        <v>451</v>
      </c>
      <c r="R13948" s="5">
        <v>14</v>
      </c>
      <c r="S13948" s="5">
        <v>426</v>
      </c>
    </row>
    <row r="13949" spans="1:19" ht="28" x14ac:dyDescent="0.15">
      <c r="A13949" s="2">
        <f>HYPERLINK("https://open-school.uspishnemisto.com.ua/school/680038/", 680038)</f>
        <v>680038</v>
      </c>
      <c r="B13949" s="3" t="s">
        <v>70405</v>
      </c>
      <c r="C13949" s="3" t="s">
        <v>2128</v>
      </c>
      <c r="D13949" s="3" t="s">
        <v>32</v>
      </c>
      <c r="E13949" s="4" t="s">
        <v>22</v>
      </c>
      <c r="F13949" s="4" t="s">
        <v>70249</v>
      </c>
      <c r="G13949" s="4" t="s">
        <v>70237</v>
      </c>
      <c r="H13949" s="3" t="s">
        <v>70238</v>
      </c>
      <c r="I13949" s="3" t="s">
        <v>70239</v>
      </c>
      <c r="J13949" s="3" t="s">
        <v>70406</v>
      </c>
      <c r="K13949" s="3" t="s">
        <v>70407</v>
      </c>
      <c r="L13949" s="3"/>
      <c r="M13949" s="4" t="s">
        <v>70408</v>
      </c>
      <c r="N13949" s="3" t="s">
        <v>37</v>
      </c>
      <c r="O13949" s="3" t="s">
        <v>46</v>
      </c>
      <c r="P13949" s="5">
        <v>45</v>
      </c>
      <c r="Q13949" s="5">
        <v>1422</v>
      </c>
      <c r="R13949" s="5">
        <v>44</v>
      </c>
      <c r="S13949" s="5">
        <v>1402</v>
      </c>
    </row>
    <row r="13950" spans="1:19" ht="28" x14ac:dyDescent="0.15">
      <c r="A13950" s="2">
        <f>HYPERLINK("https://open-school.uspishnemisto.com.ua/school/680039/", 680039)</f>
        <v>680039</v>
      </c>
      <c r="B13950" s="3" t="s">
        <v>70409</v>
      </c>
      <c r="C13950" s="3" t="s">
        <v>188</v>
      </c>
      <c r="D13950" s="3" t="s">
        <v>32</v>
      </c>
      <c r="E13950" s="4" t="s">
        <v>22</v>
      </c>
      <c r="F13950" s="4" t="s">
        <v>70322</v>
      </c>
      <c r="G13950" s="4" t="s">
        <v>70237</v>
      </c>
      <c r="H13950" s="3" t="s">
        <v>70238</v>
      </c>
      <c r="I13950" s="3" t="s">
        <v>70239</v>
      </c>
      <c r="J13950" s="3" t="s">
        <v>70410</v>
      </c>
      <c r="K13950" s="3" t="s">
        <v>70411</v>
      </c>
      <c r="L13950" s="3" t="s">
        <v>70412</v>
      </c>
      <c r="M13950" s="4" t="s">
        <v>70413</v>
      </c>
      <c r="N13950" s="3" t="s">
        <v>37</v>
      </c>
      <c r="O13950" s="3" t="s">
        <v>46</v>
      </c>
      <c r="P13950" s="5">
        <v>47</v>
      </c>
      <c r="Q13950" s="5">
        <v>1448</v>
      </c>
      <c r="R13950" s="5">
        <v>46</v>
      </c>
      <c r="S13950" s="5">
        <v>1432</v>
      </c>
    </row>
    <row r="13951" spans="1:19" ht="28" x14ac:dyDescent="0.15">
      <c r="A13951" s="2">
        <f>HYPERLINK("https://open-school.uspishnemisto.com.ua/school/680040/", 680040)</f>
        <v>680040</v>
      </c>
      <c r="B13951" s="3" t="s">
        <v>70414</v>
      </c>
      <c r="C13951" s="3" t="s">
        <v>188</v>
      </c>
      <c r="D13951" s="3" t="s">
        <v>32</v>
      </c>
      <c r="E13951" s="4" t="s">
        <v>22</v>
      </c>
      <c r="F13951" s="4" t="s">
        <v>70280</v>
      </c>
      <c r="G13951" s="4" t="s">
        <v>70237</v>
      </c>
      <c r="H13951" s="3" t="s">
        <v>70238</v>
      </c>
      <c r="I13951" s="3" t="s">
        <v>70239</v>
      </c>
      <c r="J13951" s="3" t="s">
        <v>4255</v>
      </c>
      <c r="K13951" s="3" t="s">
        <v>70415</v>
      </c>
      <c r="L13951" s="3"/>
      <c r="M13951" s="4" t="s">
        <v>70416</v>
      </c>
      <c r="N13951" s="3" t="s">
        <v>37</v>
      </c>
      <c r="O13951" s="3" t="s">
        <v>70</v>
      </c>
      <c r="P13951" s="5">
        <v>52</v>
      </c>
      <c r="Q13951" s="5">
        <v>1590</v>
      </c>
      <c r="R13951" s="5">
        <v>51</v>
      </c>
      <c r="S13951" s="5">
        <v>1564</v>
      </c>
    </row>
    <row r="13952" spans="1:19" ht="42" x14ac:dyDescent="0.15">
      <c r="A13952" s="2">
        <f>HYPERLINK("https://open-school.uspishnemisto.com.ua/school/680041/", 680041)</f>
        <v>680041</v>
      </c>
      <c r="B13952" s="3" t="s">
        <v>70417</v>
      </c>
      <c r="C13952" s="3" t="s">
        <v>54</v>
      </c>
      <c r="D13952" s="3" t="s">
        <v>60</v>
      </c>
      <c r="E13952" s="4" t="s">
        <v>22</v>
      </c>
      <c r="F13952" s="4" t="s">
        <v>70280</v>
      </c>
      <c r="G13952" s="4" t="s">
        <v>70237</v>
      </c>
      <c r="H13952" s="3" t="s">
        <v>70238</v>
      </c>
      <c r="I13952" s="3" t="s">
        <v>70239</v>
      </c>
      <c r="J13952" s="3" t="s">
        <v>70418</v>
      </c>
      <c r="K13952" s="3"/>
      <c r="L13952" s="3"/>
      <c r="M13952" s="4" t="s">
        <v>70419</v>
      </c>
      <c r="N13952" s="3" t="s">
        <v>37</v>
      </c>
      <c r="O13952" s="3" t="s">
        <v>139</v>
      </c>
      <c r="P13952" s="5">
        <v>8</v>
      </c>
      <c r="Q13952" s="5">
        <v>229</v>
      </c>
      <c r="R13952" s="5">
        <v>6</v>
      </c>
      <c r="S13952" s="5">
        <v>174</v>
      </c>
    </row>
    <row r="13953" spans="1:19" ht="28" x14ac:dyDescent="0.15">
      <c r="A13953" s="2">
        <f>HYPERLINK("https://open-school.uspishnemisto.com.ua/school/680042/", 680042)</f>
        <v>680042</v>
      </c>
      <c r="B13953" s="3" t="s">
        <v>70420</v>
      </c>
      <c r="C13953" s="3" t="s">
        <v>48</v>
      </c>
      <c r="D13953" s="3" t="s">
        <v>32</v>
      </c>
      <c r="E13953" s="4" t="s">
        <v>22</v>
      </c>
      <c r="F13953" s="4" t="s">
        <v>70397</v>
      </c>
      <c r="G13953" s="4" t="s">
        <v>70237</v>
      </c>
      <c r="H13953" s="3" t="s">
        <v>70238</v>
      </c>
      <c r="I13953" s="3" t="s">
        <v>70239</v>
      </c>
      <c r="J13953" s="3" t="s">
        <v>70421</v>
      </c>
      <c r="K13953" s="3"/>
      <c r="L13953" s="3" t="s">
        <v>70422</v>
      </c>
      <c r="M13953" s="4" t="s">
        <v>70423</v>
      </c>
      <c r="N13953" s="3" t="s">
        <v>37</v>
      </c>
      <c r="O13953" s="3" t="s">
        <v>46</v>
      </c>
      <c r="P13953" s="5">
        <v>14</v>
      </c>
      <c r="Q13953" s="5">
        <v>425</v>
      </c>
      <c r="R13953" s="5">
        <v>14</v>
      </c>
      <c r="S13953" s="5">
        <v>432</v>
      </c>
    </row>
    <row r="13954" spans="1:19" ht="28" x14ac:dyDescent="0.15">
      <c r="A13954" s="2">
        <f>HYPERLINK("https://open-school.uspishnemisto.com.ua/school/680043/", 680043)</f>
        <v>680043</v>
      </c>
      <c r="B13954" s="3" t="s">
        <v>70424</v>
      </c>
      <c r="C13954" s="3" t="s">
        <v>31</v>
      </c>
      <c r="D13954" s="3" t="s">
        <v>21</v>
      </c>
      <c r="E13954" s="4" t="s">
        <v>22</v>
      </c>
      <c r="F13954" s="4" t="s">
        <v>70425</v>
      </c>
      <c r="G13954" s="4" t="s">
        <v>70426</v>
      </c>
      <c r="H13954" s="3" t="s">
        <v>70238</v>
      </c>
      <c r="I13954" s="3" t="s">
        <v>70427</v>
      </c>
      <c r="J13954" s="3" t="s">
        <v>70428</v>
      </c>
      <c r="K13954" s="3" t="s">
        <v>70429</v>
      </c>
      <c r="L13954" s="3"/>
      <c r="M13954" s="4"/>
      <c r="N13954" s="3"/>
      <c r="O13954" s="3"/>
      <c r="P13954" s="5">
        <v>0</v>
      </c>
      <c r="Q13954" s="5">
        <v>0</v>
      </c>
      <c r="R13954" s="5"/>
      <c r="S13954" s="5"/>
    </row>
    <row r="13955" spans="1:19" ht="42" x14ac:dyDescent="0.15">
      <c r="A13955" s="2">
        <f>HYPERLINK("https://open-school.uspishnemisto.com.ua/school/680044/", 680044)</f>
        <v>680044</v>
      </c>
      <c r="B13955" s="3" t="s">
        <v>70430</v>
      </c>
      <c r="C13955" s="3" t="s">
        <v>31</v>
      </c>
      <c r="D13955" s="3" t="s">
        <v>32</v>
      </c>
      <c r="E13955" s="4" t="s">
        <v>22</v>
      </c>
      <c r="F13955" s="4" t="s">
        <v>70425</v>
      </c>
      <c r="G13955" s="4" t="s">
        <v>70426</v>
      </c>
      <c r="H13955" s="3" t="s">
        <v>70238</v>
      </c>
      <c r="I13955" s="3" t="s">
        <v>70427</v>
      </c>
      <c r="J13955" s="3" t="s">
        <v>3501</v>
      </c>
      <c r="K13955" s="3" t="s">
        <v>70431</v>
      </c>
      <c r="L13955" s="3" t="s">
        <v>70432</v>
      </c>
      <c r="M13955" s="4"/>
      <c r="N13955" s="3" t="s">
        <v>37</v>
      </c>
      <c r="O13955" s="3" t="s">
        <v>46</v>
      </c>
      <c r="P13955" s="5">
        <v>20</v>
      </c>
      <c r="Q13955" s="5">
        <v>476</v>
      </c>
      <c r="R13955" s="5">
        <v>20</v>
      </c>
      <c r="S13955" s="5">
        <v>485</v>
      </c>
    </row>
    <row r="13956" spans="1:19" ht="28" x14ac:dyDescent="0.15">
      <c r="A13956" s="2">
        <f>HYPERLINK("https://open-school.uspishnemisto.com.ua/school/680045/", 680045)</f>
        <v>680045</v>
      </c>
      <c r="B13956" s="3" t="s">
        <v>70433</v>
      </c>
      <c r="C13956" s="3" t="s">
        <v>31</v>
      </c>
      <c r="D13956" s="3" t="s">
        <v>32</v>
      </c>
      <c r="E13956" s="4" t="s">
        <v>22</v>
      </c>
      <c r="F13956" s="4" t="s">
        <v>70425</v>
      </c>
      <c r="G13956" s="4" t="s">
        <v>70426</v>
      </c>
      <c r="H13956" s="3" t="s">
        <v>70238</v>
      </c>
      <c r="I13956" s="3" t="s">
        <v>70427</v>
      </c>
      <c r="J13956" s="3" t="s">
        <v>70434</v>
      </c>
      <c r="K13956" s="3" t="s">
        <v>70435</v>
      </c>
      <c r="L13956" s="3" t="s">
        <v>70436</v>
      </c>
      <c r="M13956" s="4"/>
      <c r="N13956" s="3" t="s">
        <v>37</v>
      </c>
      <c r="O13956" s="3" t="s">
        <v>38</v>
      </c>
      <c r="P13956" s="5">
        <v>23</v>
      </c>
      <c r="Q13956" s="5">
        <v>564</v>
      </c>
      <c r="R13956" s="5">
        <v>23</v>
      </c>
      <c r="S13956" s="5">
        <v>548</v>
      </c>
    </row>
    <row r="13957" spans="1:19" ht="28" x14ac:dyDescent="0.15">
      <c r="A13957" s="2">
        <f>HYPERLINK("https://open-school.uspishnemisto.com.ua/school/680046/", 680046)</f>
        <v>680046</v>
      </c>
      <c r="B13957" s="3" t="s">
        <v>70437</v>
      </c>
      <c r="C13957" s="3" t="s">
        <v>31</v>
      </c>
      <c r="D13957" s="3" t="s">
        <v>32</v>
      </c>
      <c r="E13957" s="4" t="s">
        <v>22</v>
      </c>
      <c r="F13957" s="4" t="s">
        <v>70438</v>
      </c>
      <c r="G13957" s="4" t="s">
        <v>70426</v>
      </c>
      <c r="H13957" s="3" t="s">
        <v>70238</v>
      </c>
      <c r="I13957" s="3" t="s">
        <v>70427</v>
      </c>
      <c r="J13957" s="3" t="s">
        <v>70439</v>
      </c>
      <c r="K13957" s="3" t="s">
        <v>70440</v>
      </c>
      <c r="L13957" s="3" t="s">
        <v>70441</v>
      </c>
      <c r="M13957" s="4"/>
      <c r="N13957" s="3" t="s">
        <v>37</v>
      </c>
      <c r="O13957" s="3" t="s">
        <v>46</v>
      </c>
      <c r="P13957" s="5">
        <v>25</v>
      </c>
      <c r="Q13957" s="5">
        <v>709</v>
      </c>
      <c r="R13957" s="5">
        <v>24</v>
      </c>
      <c r="S13957" s="5">
        <v>682</v>
      </c>
    </row>
    <row r="13958" spans="1:19" ht="28" x14ac:dyDescent="0.15">
      <c r="A13958" s="2">
        <f>HYPERLINK("https://open-school.uspishnemisto.com.ua/school/680047/", 680047)</f>
        <v>680047</v>
      </c>
      <c r="B13958" s="3" t="s">
        <v>70442</v>
      </c>
      <c r="C13958" s="3" t="s">
        <v>31</v>
      </c>
      <c r="D13958" s="3" t="s">
        <v>175</v>
      </c>
      <c r="E13958" s="4" t="s">
        <v>22</v>
      </c>
      <c r="F13958" s="4" t="s">
        <v>70425</v>
      </c>
      <c r="G13958" s="4" t="s">
        <v>70426</v>
      </c>
      <c r="H13958" s="3" t="s">
        <v>70238</v>
      </c>
      <c r="I13958" s="3" t="s">
        <v>70427</v>
      </c>
      <c r="J13958" s="3" t="s">
        <v>70443</v>
      </c>
      <c r="K13958" s="3" t="s">
        <v>70444</v>
      </c>
      <c r="L13958" s="3"/>
      <c r="M13958" s="4"/>
      <c r="N13958" s="3" t="s">
        <v>37</v>
      </c>
      <c r="O13958" s="3" t="s">
        <v>52</v>
      </c>
      <c r="P13958" s="5">
        <v>11</v>
      </c>
      <c r="Q13958" s="5">
        <v>223</v>
      </c>
      <c r="R13958" s="5">
        <v>11</v>
      </c>
      <c r="S13958" s="5">
        <v>222</v>
      </c>
    </row>
    <row r="13959" spans="1:19" ht="28" x14ac:dyDescent="0.15">
      <c r="A13959" s="2">
        <f>HYPERLINK("https://open-school.uspishnemisto.com.ua/school/680048/", 680048)</f>
        <v>680048</v>
      </c>
      <c r="B13959" s="3" t="s">
        <v>70445</v>
      </c>
      <c r="C13959" s="3" t="s">
        <v>31</v>
      </c>
      <c r="D13959" s="3" t="s">
        <v>32</v>
      </c>
      <c r="E13959" s="4" t="s">
        <v>22</v>
      </c>
      <c r="F13959" s="4" t="s">
        <v>70446</v>
      </c>
      <c r="G13959" s="4" t="s">
        <v>70426</v>
      </c>
      <c r="H13959" s="3" t="s">
        <v>70238</v>
      </c>
      <c r="I13959" s="3" t="s">
        <v>70427</v>
      </c>
      <c r="J13959" s="3" t="s">
        <v>70447</v>
      </c>
      <c r="K13959" s="3" t="s">
        <v>70448</v>
      </c>
      <c r="L13959" s="3" t="s">
        <v>70449</v>
      </c>
      <c r="M13959" s="4"/>
      <c r="N13959" s="3" t="s">
        <v>37</v>
      </c>
      <c r="O13959" s="3" t="s">
        <v>52</v>
      </c>
      <c r="P13959" s="5">
        <v>19</v>
      </c>
      <c r="Q13959" s="5">
        <v>391</v>
      </c>
      <c r="R13959" s="5">
        <v>19</v>
      </c>
      <c r="S13959" s="5">
        <v>384</v>
      </c>
    </row>
    <row r="13960" spans="1:19" ht="28" x14ac:dyDescent="0.15">
      <c r="A13960" s="2">
        <f>HYPERLINK("https://open-school.uspishnemisto.com.ua/school/680049/", 680049)</f>
        <v>680049</v>
      </c>
      <c r="B13960" s="3" t="s">
        <v>70450</v>
      </c>
      <c r="C13960" s="3" t="s">
        <v>31</v>
      </c>
      <c r="D13960" s="3" t="s">
        <v>32</v>
      </c>
      <c r="E13960" s="4" t="s">
        <v>22</v>
      </c>
      <c r="F13960" s="4" t="s">
        <v>70425</v>
      </c>
      <c r="G13960" s="4" t="s">
        <v>70426</v>
      </c>
      <c r="H13960" s="3" t="s">
        <v>70238</v>
      </c>
      <c r="I13960" s="3" t="s">
        <v>70427</v>
      </c>
      <c r="J13960" s="3" t="s">
        <v>70451</v>
      </c>
      <c r="K13960" s="3" t="s">
        <v>70452</v>
      </c>
      <c r="L13960" s="3" t="s">
        <v>70453</v>
      </c>
      <c r="M13960" s="4"/>
      <c r="N13960" s="3" t="s">
        <v>37</v>
      </c>
      <c r="O13960" s="3" t="s">
        <v>46</v>
      </c>
      <c r="P13960" s="5">
        <v>22</v>
      </c>
      <c r="Q13960" s="5">
        <v>624</v>
      </c>
      <c r="R13960" s="5">
        <v>21</v>
      </c>
      <c r="S13960" s="5">
        <v>604</v>
      </c>
    </row>
    <row r="13961" spans="1:19" ht="28" x14ac:dyDescent="0.15">
      <c r="A13961" s="2">
        <f>HYPERLINK("https://open-school.uspishnemisto.com.ua/school/680050/", 680050)</f>
        <v>680050</v>
      </c>
      <c r="B13961" s="3" t="s">
        <v>70454</v>
      </c>
      <c r="C13961" s="3" t="s">
        <v>31</v>
      </c>
      <c r="D13961" s="3" t="s">
        <v>32</v>
      </c>
      <c r="E13961" s="4" t="s">
        <v>22</v>
      </c>
      <c r="F13961" s="4" t="s">
        <v>70455</v>
      </c>
      <c r="G13961" s="4" t="s">
        <v>70426</v>
      </c>
      <c r="H13961" s="3" t="s">
        <v>70238</v>
      </c>
      <c r="I13961" s="3" t="s">
        <v>70427</v>
      </c>
      <c r="J13961" s="3" t="s">
        <v>70456</v>
      </c>
      <c r="K13961" s="3" t="s">
        <v>70457</v>
      </c>
      <c r="L13961" s="3"/>
      <c r="M13961" s="4"/>
      <c r="N13961" s="3" t="s">
        <v>37</v>
      </c>
      <c r="O13961" s="3" t="s">
        <v>38</v>
      </c>
      <c r="P13961" s="5">
        <v>23</v>
      </c>
      <c r="Q13961" s="5">
        <v>603</v>
      </c>
      <c r="R13961" s="5">
        <v>22</v>
      </c>
      <c r="S13961" s="5">
        <v>592</v>
      </c>
    </row>
    <row r="13962" spans="1:19" ht="28" x14ac:dyDescent="0.15">
      <c r="A13962" s="2">
        <f>HYPERLINK("https://open-school.uspishnemisto.com.ua/school/680051/", 680051)</f>
        <v>680051</v>
      </c>
      <c r="B13962" s="3" t="s">
        <v>70458</v>
      </c>
      <c r="C13962" s="3" t="s">
        <v>31</v>
      </c>
      <c r="D13962" s="3" t="s">
        <v>32</v>
      </c>
      <c r="E13962" s="4" t="s">
        <v>22</v>
      </c>
      <c r="F13962" s="4" t="s">
        <v>70425</v>
      </c>
      <c r="G13962" s="4" t="s">
        <v>70426</v>
      </c>
      <c r="H13962" s="3" t="s">
        <v>70238</v>
      </c>
      <c r="I13962" s="3" t="s">
        <v>70427</v>
      </c>
      <c r="J13962" s="3" t="s">
        <v>70459</v>
      </c>
      <c r="K13962" s="3" t="s">
        <v>70460</v>
      </c>
      <c r="L13962" s="3"/>
      <c r="M13962" s="4"/>
      <c r="N13962" s="3" t="s">
        <v>37</v>
      </c>
      <c r="O13962" s="3" t="s">
        <v>46</v>
      </c>
      <c r="P13962" s="5">
        <v>10</v>
      </c>
      <c r="Q13962" s="5">
        <v>238</v>
      </c>
      <c r="R13962" s="5">
        <v>11</v>
      </c>
      <c r="S13962" s="5">
        <v>256</v>
      </c>
    </row>
    <row r="13963" spans="1:19" ht="28" x14ac:dyDescent="0.15">
      <c r="A13963" s="2">
        <f>HYPERLINK("https://open-school.uspishnemisto.com.ua/school/680052/", 680052)</f>
        <v>680052</v>
      </c>
      <c r="B13963" s="3" t="s">
        <v>70461</v>
      </c>
      <c r="C13963" s="3" t="s">
        <v>31</v>
      </c>
      <c r="D13963" s="3" t="s">
        <v>32</v>
      </c>
      <c r="E13963" s="4" t="s">
        <v>22</v>
      </c>
      <c r="F13963" s="4" t="s">
        <v>70438</v>
      </c>
      <c r="G13963" s="4" t="s">
        <v>70426</v>
      </c>
      <c r="H13963" s="3" t="s">
        <v>70238</v>
      </c>
      <c r="I13963" s="3" t="s">
        <v>70427</v>
      </c>
      <c r="J13963" s="3" t="s">
        <v>70462</v>
      </c>
      <c r="K13963" s="3" t="s">
        <v>70463</v>
      </c>
      <c r="L13963" s="3" t="s">
        <v>70464</v>
      </c>
      <c r="M13963" s="4"/>
      <c r="N13963" s="3" t="s">
        <v>37</v>
      </c>
      <c r="O13963" s="3" t="s">
        <v>46</v>
      </c>
      <c r="P13963" s="5">
        <v>28</v>
      </c>
      <c r="Q13963" s="5">
        <v>770</v>
      </c>
      <c r="R13963" s="5">
        <v>27</v>
      </c>
      <c r="S13963" s="5">
        <v>756</v>
      </c>
    </row>
    <row r="13964" spans="1:19" ht="42" x14ac:dyDescent="0.15">
      <c r="A13964" s="2">
        <f>HYPERLINK("https://open-school.uspishnemisto.com.ua/school/680053/", 680053)</f>
        <v>680053</v>
      </c>
      <c r="B13964" s="3" t="s">
        <v>70465</v>
      </c>
      <c r="C13964" s="3" t="s">
        <v>244</v>
      </c>
      <c r="D13964" s="3" t="s">
        <v>32</v>
      </c>
      <c r="E13964" s="4" t="s">
        <v>22</v>
      </c>
      <c r="F13964" s="4" t="s">
        <v>70425</v>
      </c>
      <c r="G13964" s="4" t="s">
        <v>70426</v>
      </c>
      <c r="H13964" s="3" t="s">
        <v>70238</v>
      </c>
      <c r="I13964" s="3" t="s">
        <v>70427</v>
      </c>
      <c r="J13964" s="3" t="s">
        <v>70466</v>
      </c>
      <c r="K13964" s="3" t="s">
        <v>70467</v>
      </c>
      <c r="L13964" s="3" t="s">
        <v>70468</v>
      </c>
      <c r="M13964" s="4"/>
      <c r="N13964" s="3" t="s">
        <v>37</v>
      </c>
      <c r="O13964" s="3" t="s">
        <v>46</v>
      </c>
      <c r="P13964" s="5">
        <v>10</v>
      </c>
      <c r="Q13964" s="5">
        <v>196</v>
      </c>
      <c r="R13964" s="5">
        <v>11</v>
      </c>
      <c r="S13964" s="5">
        <v>198</v>
      </c>
    </row>
    <row r="13965" spans="1:19" ht="42" x14ac:dyDescent="0.15">
      <c r="A13965" s="2">
        <f>HYPERLINK("https://open-school.uspishnemisto.com.ua/school/680054/", 680054)</f>
        <v>680054</v>
      </c>
      <c r="B13965" s="3" t="s">
        <v>70469</v>
      </c>
      <c r="C13965" s="3" t="s">
        <v>31</v>
      </c>
      <c r="D13965" s="3" t="s">
        <v>32</v>
      </c>
      <c r="E13965" s="4" t="s">
        <v>22</v>
      </c>
      <c r="F13965" s="4" t="s">
        <v>70425</v>
      </c>
      <c r="G13965" s="4" t="s">
        <v>70426</v>
      </c>
      <c r="H13965" s="3" t="s">
        <v>70238</v>
      </c>
      <c r="I13965" s="3" t="s">
        <v>70427</v>
      </c>
      <c r="J13965" s="3" t="s">
        <v>70470</v>
      </c>
      <c r="K13965" s="3" t="s">
        <v>70471</v>
      </c>
      <c r="L13965" s="3"/>
      <c r="M13965" s="4"/>
      <c r="N13965" s="3" t="s">
        <v>37</v>
      </c>
      <c r="O13965" s="3" t="s">
        <v>52</v>
      </c>
      <c r="P13965" s="5">
        <v>24</v>
      </c>
      <c r="Q13965" s="5">
        <v>626</v>
      </c>
      <c r="R13965" s="5">
        <v>23</v>
      </c>
      <c r="S13965" s="5">
        <v>611</v>
      </c>
    </row>
    <row r="13966" spans="1:19" ht="28" x14ac:dyDescent="0.15">
      <c r="A13966" s="2">
        <f>HYPERLINK("https://open-school.uspishnemisto.com.ua/school/680055/", 680055)</f>
        <v>680055</v>
      </c>
      <c r="B13966" s="3" t="s">
        <v>70472</v>
      </c>
      <c r="C13966" s="3" t="s">
        <v>4989</v>
      </c>
      <c r="D13966" s="3" t="s">
        <v>32</v>
      </c>
      <c r="E13966" s="4" t="s">
        <v>22</v>
      </c>
      <c r="F13966" s="4" t="s">
        <v>70425</v>
      </c>
      <c r="G13966" s="4" t="s">
        <v>70426</v>
      </c>
      <c r="H13966" s="3" t="s">
        <v>70238</v>
      </c>
      <c r="I13966" s="3" t="s">
        <v>70427</v>
      </c>
      <c r="J13966" s="3" t="s">
        <v>16463</v>
      </c>
      <c r="K13966" s="3"/>
      <c r="L13966" s="3" t="s">
        <v>70473</v>
      </c>
      <c r="M13966" s="4" t="s">
        <v>70474</v>
      </c>
      <c r="N13966" s="3" t="s">
        <v>37</v>
      </c>
      <c r="O13966" s="3" t="s">
        <v>237</v>
      </c>
      <c r="P13966" s="5">
        <v>13</v>
      </c>
      <c r="Q13966" s="5">
        <v>346</v>
      </c>
      <c r="R13966" s="5">
        <v>12</v>
      </c>
      <c r="S13966" s="5">
        <v>303</v>
      </c>
    </row>
    <row r="13967" spans="1:19" ht="28" x14ac:dyDescent="0.15">
      <c r="A13967" s="2">
        <f>HYPERLINK("https://open-school.uspishnemisto.com.ua/school/680056/", 680056)</f>
        <v>680056</v>
      </c>
      <c r="B13967" s="3" t="s">
        <v>70475</v>
      </c>
      <c r="C13967" s="3" t="s">
        <v>181</v>
      </c>
      <c r="D13967" s="3" t="s">
        <v>32</v>
      </c>
      <c r="E13967" s="4" t="s">
        <v>22</v>
      </c>
      <c r="F13967" s="4" t="s">
        <v>70425</v>
      </c>
      <c r="G13967" s="4" t="s">
        <v>70426</v>
      </c>
      <c r="H13967" s="3" t="s">
        <v>70238</v>
      </c>
      <c r="I13967" s="3" t="s">
        <v>70427</v>
      </c>
      <c r="J13967" s="3" t="s">
        <v>70476</v>
      </c>
      <c r="K13967" s="3" t="s">
        <v>70477</v>
      </c>
      <c r="L13967" s="3" t="s">
        <v>70478</v>
      </c>
      <c r="M13967" s="4" t="s">
        <v>70479</v>
      </c>
      <c r="N13967" s="3" t="s">
        <v>37</v>
      </c>
      <c r="O13967" s="3" t="s">
        <v>52</v>
      </c>
      <c r="P13967" s="5">
        <v>24</v>
      </c>
      <c r="Q13967" s="5">
        <v>320</v>
      </c>
      <c r="R13967" s="5">
        <v>23</v>
      </c>
      <c r="S13967" s="5">
        <v>310</v>
      </c>
    </row>
    <row r="13968" spans="1:19" ht="28" x14ac:dyDescent="0.15">
      <c r="A13968" s="2">
        <f>HYPERLINK("https://open-school.uspishnemisto.com.ua/school/680057/", 680057)</f>
        <v>680057</v>
      </c>
      <c r="B13968" s="3" t="s">
        <v>70480</v>
      </c>
      <c r="C13968" s="3" t="s">
        <v>181</v>
      </c>
      <c r="D13968" s="3" t="s">
        <v>175</v>
      </c>
      <c r="E13968" s="4" t="s">
        <v>22</v>
      </c>
      <c r="F13968" s="4" t="s">
        <v>70425</v>
      </c>
      <c r="G13968" s="4" t="s">
        <v>70426</v>
      </c>
      <c r="H13968" s="3" t="s">
        <v>70238</v>
      </c>
      <c r="I13968" s="3" t="s">
        <v>70427</v>
      </c>
      <c r="J13968" s="3" t="s">
        <v>6134</v>
      </c>
      <c r="K13968" s="3" t="s">
        <v>70481</v>
      </c>
      <c r="L13968" s="3" t="s">
        <v>70482</v>
      </c>
      <c r="M13968" s="4" t="s">
        <v>70483</v>
      </c>
      <c r="N13968" s="3" t="s">
        <v>37</v>
      </c>
      <c r="O13968" s="3" t="s">
        <v>52</v>
      </c>
      <c r="P13968" s="5">
        <v>19</v>
      </c>
      <c r="Q13968" s="5">
        <v>125</v>
      </c>
      <c r="R13968" s="5">
        <v>18</v>
      </c>
      <c r="S13968" s="5">
        <v>122</v>
      </c>
    </row>
    <row r="13969" spans="1:19" ht="28" x14ac:dyDescent="0.15">
      <c r="A13969" s="2">
        <f>HYPERLINK("https://open-school.uspishnemisto.com.ua/school/680058/", 680058)</f>
        <v>680058</v>
      </c>
      <c r="B13969" s="3" t="s">
        <v>70484</v>
      </c>
      <c r="C13969" s="3" t="s">
        <v>188</v>
      </c>
      <c r="D13969" s="3" t="s">
        <v>32</v>
      </c>
      <c r="E13969" s="4" t="s">
        <v>22</v>
      </c>
      <c r="F13969" s="4" t="s">
        <v>70425</v>
      </c>
      <c r="G13969" s="4" t="s">
        <v>70426</v>
      </c>
      <c r="H13969" s="3" t="s">
        <v>70238</v>
      </c>
      <c r="I13969" s="3" t="s">
        <v>70427</v>
      </c>
      <c r="J13969" s="3" t="s">
        <v>70485</v>
      </c>
      <c r="K13969" s="3" t="s">
        <v>70486</v>
      </c>
      <c r="L13969" s="3"/>
      <c r="M13969" s="4"/>
      <c r="N13969" s="3" t="s">
        <v>37</v>
      </c>
      <c r="O13969" s="3" t="s">
        <v>237</v>
      </c>
      <c r="P13969" s="5">
        <v>13</v>
      </c>
      <c r="Q13969" s="5">
        <v>341</v>
      </c>
      <c r="R13969" s="5">
        <v>13</v>
      </c>
      <c r="S13969" s="5">
        <v>347</v>
      </c>
    </row>
    <row r="13970" spans="1:19" ht="28" x14ac:dyDescent="0.15">
      <c r="A13970" s="2">
        <f>HYPERLINK("https://open-school.uspishnemisto.com.ua/school/680059/", 680059)</f>
        <v>680059</v>
      </c>
      <c r="B13970" s="3" t="s">
        <v>70487</v>
      </c>
      <c r="C13970" s="3" t="s">
        <v>188</v>
      </c>
      <c r="D13970" s="3" t="s">
        <v>32</v>
      </c>
      <c r="E13970" s="4" t="s">
        <v>253</v>
      </c>
      <c r="F13970" s="4" t="s">
        <v>70425</v>
      </c>
      <c r="G13970" s="4" t="s">
        <v>70426</v>
      </c>
      <c r="H13970" s="3" t="s">
        <v>70238</v>
      </c>
      <c r="I13970" s="3" t="s">
        <v>70427</v>
      </c>
      <c r="J13970" s="3" t="s">
        <v>70488</v>
      </c>
      <c r="K13970" s="3" t="s">
        <v>70489</v>
      </c>
      <c r="L13970" s="3" t="s">
        <v>70490</v>
      </c>
      <c r="M13970" s="4" t="s">
        <v>70491</v>
      </c>
      <c r="N13970" s="3" t="s">
        <v>37</v>
      </c>
      <c r="O13970" s="3" t="s">
        <v>46</v>
      </c>
      <c r="P13970" s="5">
        <v>14</v>
      </c>
      <c r="Q13970" s="5">
        <v>484</v>
      </c>
      <c r="R13970" s="5">
        <v>14</v>
      </c>
      <c r="S13970" s="5">
        <v>468</v>
      </c>
    </row>
    <row r="13971" spans="1:19" ht="56" x14ac:dyDescent="0.15">
      <c r="A13971" s="2">
        <f>HYPERLINK("https://open-school.uspishnemisto.com.ua/school/680060/", 680060)</f>
        <v>680060</v>
      </c>
      <c r="B13971" s="3" t="s">
        <v>70492</v>
      </c>
      <c r="C13971" s="3" t="s">
        <v>54</v>
      </c>
      <c r="D13971" s="3" t="s">
        <v>32</v>
      </c>
      <c r="E13971" s="4" t="s">
        <v>22</v>
      </c>
      <c r="F13971" s="4" t="s">
        <v>70425</v>
      </c>
      <c r="G13971" s="4" t="s">
        <v>70426</v>
      </c>
      <c r="H13971" s="3" t="s">
        <v>70238</v>
      </c>
      <c r="I13971" s="3" t="s">
        <v>70427</v>
      </c>
      <c r="J13971" s="3" t="s">
        <v>70493</v>
      </c>
      <c r="K13971" s="3" t="s">
        <v>70494</v>
      </c>
      <c r="L13971" s="3" t="s">
        <v>70495</v>
      </c>
      <c r="M13971" s="4"/>
      <c r="N13971" s="3" t="s">
        <v>37</v>
      </c>
      <c r="O13971" s="3" t="s">
        <v>266</v>
      </c>
      <c r="P13971" s="5">
        <v>27</v>
      </c>
      <c r="Q13971" s="5">
        <v>687</v>
      </c>
      <c r="R13971" s="5">
        <v>26</v>
      </c>
      <c r="S13971" s="5">
        <v>647</v>
      </c>
    </row>
    <row r="13972" spans="1:19" ht="56" x14ac:dyDescent="0.15">
      <c r="A13972" s="2">
        <f>HYPERLINK("https://open-school.uspishnemisto.com.ua/school/680061/", 680061)</f>
        <v>680061</v>
      </c>
      <c r="B13972" s="3" t="s">
        <v>70496</v>
      </c>
      <c r="C13972" s="3" t="s">
        <v>54</v>
      </c>
      <c r="D13972" s="3" t="s">
        <v>32</v>
      </c>
      <c r="E13972" s="4" t="s">
        <v>22</v>
      </c>
      <c r="F13972" s="4" t="s">
        <v>70425</v>
      </c>
      <c r="G13972" s="4" t="s">
        <v>70426</v>
      </c>
      <c r="H13972" s="3" t="s">
        <v>70238</v>
      </c>
      <c r="I13972" s="3" t="s">
        <v>70427</v>
      </c>
      <c r="J13972" s="3" t="s">
        <v>70497</v>
      </c>
      <c r="K13972" s="3" t="s">
        <v>70498</v>
      </c>
      <c r="L13972" s="3"/>
      <c r="M13972" s="4"/>
      <c r="N13972" s="3" t="s">
        <v>37</v>
      </c>
      <c r="O13972" s="3" t="s">
        <v>68077</v>
      </c>
      <c r="P13972" s="5">
        <v>39</v>
      </c>
      <c r="Q13972" s="5">
        <v>1123</v>
      </c>
      <c r="R13972" s="5">
        <v>39</v>
      </c>
      <c r="S13972" s="5">
        <v>1108</v>
      </c>
    </row>
    <row r="13973" spans="1:19" ht="42" x14ac:dyDescent="0.15">
      <c r="A13973" s="2">
        <f>HYPERLINK("https://open-school.uspishnemisto.com.ua/school/680062/", 680062)</f>
        <v>680062</v>
      </c>
      <c r="B13973" s="3" t="s">
        <v>70499</v>
      </c>
      <c r="C13973" s="3" t="s">
        <v>54</v>
      </c>
      <c r="D13973" s="3" t="s">
        <v>32</v>
      </c>
      <c r="E13973" s="4" t="s">
        <v>22</v>
      </c>
      <c r="F13973" s="4" t="s">
        <v>70425</v>
      </c>
      <c r="G13973" s="4" t="s">
        <v>70426</v>
      </c>
      <c r="H13973" s="3" t="s">
        <v>70238</v>
      </c>
      <c r="I13973" s="3" t="s">
        <v>70427</v>
      </c>
      <c r="J13973" s="3" t="s">
        <v>70500</v>
      </c>
      <c r="K13973" s="3" t="s">
        <v>70501</v>
      </c>
      <c r="L13973" s="3" t="s">
        <v>70502</v>
      </c>
      <c r="M13973" s="4"/>
      <c r="N13973" s="3" t="s">
        <v>37</v>
      </c>
      <c r="O13973" s="3" t="s">
        <v>46</v>
      </c>
      <c r="P13973" s="5">
        <v>22</v>
      </c>
      <c r="Q13973" s="5">
        <v>536</v>
      </c>
      <c r="R13973" s="5">
        <v>21</v>
      </c>
      <c r="S13973" s="5">
        <v>507</v>
      </c>
    </row>
    <row r="13974" spans="1:19" ht="28" x14ac:dyDescent="0.15">
      <c r="A13974" s="2">
        <f>HYPERLINK("https://open-school.uspishnemisto.com.ua/school/680063/", 680063)</f>
        <v>680063</v>
      </c>
      <c r="B13974" s="3" t="s">
        <v>70503</v>
      </c>
      <c r="C13974" s="3" t="s">
        <v>31</v>
      </c>
      <c r="D13974" s="3" t="s">
        <v>32</v>
      </c>
      <c r="E13974" s="4" t="s">
        <v>22</v>
      </c>
      <c r="F13974" s="4" t="s">
        <v>70425</v>
      </c>
      <c r="G13974" s="4" t="s">
        <v>70426</v>
      </c>
      <c r="H13974" s="3" t="s">
        <v>70238</v>
      </c>
      <c r="I13974" s="3" t="s">
        <v>70427</v>
      </c>
      <c r="J13974" s="3" t="s">
        <v>32717</v>
      </c>
      <c r="K13974" s="3" t="s">
        <v>70504</v>
      </c>
      <c r="L13974" s="3"/>
      <c r="M13974" s="4"/>
      <c r="N13974" s="3" t="s">
        <v>128</v>
      </c>
      <c r="O13974" s="3" t="s">
        <v>52</v>
      </c>
      <c r="P13974" s="5">
        <v>22</v>
      </c>
      <c r="Q13974" s="5">
        <v>500</v>
      </c>
      <c r="R13974" s="5">
        <v>22</v>
      </c>
      <c r="S13974" s="5">
        <v>465</v>
      </c>
    </row>
    <row r="13975" spans="1:19" ht="70" x14ac:dyDescent="0.15">
      <c r="A13975" s="2">
        <f>HYPERLINK("https://open-school.uspishnemisto.com.ua/school/680064/", 680064)</f>
        <v>680064</v>
      </c>
      <c r="B13975" s="3" t="s">
        <v>70505</v>
      </c>
      <c r="C13975" s="3" t="s">
        <v>54</v>
      </c>
      <c r="D13975" s="3" t="s">
        <v>32</v>
      </c>
      <c r="E13975" s="4" t="s">
        <v>22</v>
      </c>
      <c r="F13975" s="4" t="s">
        <v>70425</v>
      </c>
      <c r="G13975" s="4" t="s">
        <v>70426</v>
      </c>
      <c r="H13975" s="3" t="s">
        <v>70238</v>
      </c>
      <c r="I13975" s="3" t="s">
        <v>70427</v>
      </c>
      <c r="J13975" s="3" t="s">
        <v>70506</v>
      </c>
      <c r="K13975" s="3" t="s">
        <v>70507</v>
      </c>
      <c r="L13975" s="3" t="s">
        <v>70508</v>
      </c>
      <c r="M13975" s="4" t="s">
        <v>70509</v>
      </c>
      <c r="N13975" s="3" t="s">
        <v>37</v>
      </c>
      <c r="O13975" s="3" t="s">
        <v>46</v>
      </c>
      <c r="P13975" s="5">
        <v>31</v>
      </c>
      <c r="Q13975" s="5">
        <v>935</v>
      </c>
      <c r="R13975" s="5">
        <v>32</v>
      </c>
      <c r="S13975" s="5">
        <v>951</v>
      </c>
    </row>
    <row r="13976" spans="1:19" ht="42" x14ac:dyDescent="0.15">
      <c r="A13976" s="2">
        <f>HYPERLINK("https://open-school.uspishnemisto.com.ua/school/680065/", 680065)</f>
        <v>680065</v>
      </c>
      <c r="B13976" s="3" t="s">
        <v>70510</v>
      </c>
      <c r="C13976" s="3" t="s">
        <v>54</v>
      </c>
      <c r="D13976" s="3" t="s">
        <v>21</v>
      </c>
      <c r="E13976" s="4" t="s">
        <v>41</v>
      </c>
      <c r="F13976" s="4" t="s">
        <v>70425</v>
      </c>
      <c r="G13976" s="4" t="s">
        <v>70426</v>
      </c>
      <c r="H13976" s="3" t="s">
        <v>70238</v>
      </c>
      <c r="I13976" s="3" t="s">
        <v>70427</v>
      </c>
      <c r="J13976" s="3" t="s">
        <v>18170</v>
      </c>
      <c r="K13976" s="3" t="s">
        <v>70511</v>
      </c>
      <c r="L13976" s="3"/>
      <c r="M13976" s="4"/>
      <c r="N13976" s="3" t="s">
        <v>37</v>
      </c>
      <c r="O13976" s="3" t="s">
        <v>52</v>
      </c>
      <c r="P13976" s="5">
        <v>8</v>
      </c>
      <c r="Q13976" s="5">
        <v>132</v>
      </c>
      <c r="R13976" s="5">
        <v>8</v>
      </c>
      <c r="S13976" s="5">
        <v>98</v>
      </c>
    </row>
    <row r="13977" spans="1:19" ht="28" x14ac:dyDescent="0.15">
      <c r="A13977" s="2">
        <f>HYPERLINK("https://open-school.uspishnemisto.com.ua/school/680066/", 680066)</f>
        <v>680066</v>
      </c>
      <c r="B13977" s="3" t="s">
        <v>70512</v>
      </c>
      <c r="C13977" s="3" t="s">
        <v>31</v>
      </c>
      <c r="D13977" s="3" t="s">
        <v>32</v>
      </c>
      <c r="E13977" s="4" t="s">
        <v>22</v>
      </c>
      <c r="F13977" s="4" t="s">
        <v>70513</v>
      </c>
      <c r="G13977" s="4" t="s">
        <v>70514</v>
      </c>
      <c r="H13977" s="3" t="s">
        <v>70238</v>
      </c>
      <c r="I13977" s="3" t="s">
        <v>70515</v>
      </c>
      <c r="J13977" s="3" t="s">
        <v>70516</v>
      </c>
      <c r="K13977" s="3"/>
      <c r="L13977" s="3" t="s">
        <v>70517</v>
      </c>
      <c r="M13977" s="4" t="s">
        <v>70518</v>
      </c>
      <c r="N13977" s="3" t="s">
        <v>37</v>
      </c>
      <c r="O13977" s="3" t="s">
        <v>197</v>
      </c>
      <c r="P13977" s="5">
        <v>39</v>
      </c>
      <c r="Q13977" s="5">
        <v>968</v>
      </c>
      <c r="R13977" s="5">
        <v>39</v>
      </c>
      <c r="S13977" s="5">
        <v>964</v>
      </c>
    </row>
    <row r="13978" spans="1:19" ht="42" x14ac:dyDescent="0.15">
      <c r="A13978" s="2">
        <f>HYPERLINK("https://open-school.uspishnemisto.com.ua/school/680067/", 680067)</f>
        <v>680067</v>
      </c>
      <c r="B13978" s="3" t="s">
        <v>70519</v>
      </c>
      <c r="C13978" s="3" t="s">
        <v>31</v>
      </c>
      <c r="D13978" s="3" t="s">
        <v>32</v>
      </c>
      <c r="E13978" s="4" t="s">
        <v>22</v>
      </c>
      <c r="F13978" s="4" t="s">
        <v>70513</v>
      </c>
      <c r="G13978" s="4" t="s">
        <v>70514</v>
      </c>
      <c r="H13978" s="3" t="s">
        <v>70238</v>
      </c>
      <c r="I13978" s="3" t="s">
        <v>70515</v>
      </c>
      <c r="J13978" s="3" t="s">
        <v>70520</v>
      </c>
      <c r="K13978" s="3"/>
      <c r="L13978" s="3" t="s">
        <v>70521</v>
      </c>
      <c r="M13978" s="4" t="s">
        <v>70522</v>
      </c>
      <c r="N13978" s="3" t="s">
        <v>37</v>
      </c>
      <c r="O13978" s="3" t="s">
        <v>167</v>
      </c>
      <c r="P13978" s="5">
        <v>36</v>
      </c>
      <c r="Q13978" s="5">
        <v>953</v>
      </c>
      <c r="R13978" s="5">
        <v>35</v>
      </c>
      <c r="S13978" s="5">
        <v>908</v>
      </c>
    </row>
    <row r="13979" spans="1:19" ht="28" x14ac:dyDescent="0.15">
      <c r="A13979" s="2">
        <f>HYPERLINK("https://open-school.uspishnemisto.com.ua/school/680068/", 680068)</f>
        <v>680068</v>
      </c>
      <c r="B13979" s="3" t="s">
        <v>70523</v>
      </c>
      <c r="C13979" s="3" t="s">
        <v>31</v>
      </c>
      <c r="D13979" s="3" t="s">
        <v>32</v>
      </c>
      <c r="E13979" s="4" t="s">
        <v>22</v>
      </c>
      <c r="F13979" s="4" t="s">
        <v>70513</v>
      </c>
      <c r="G13979" s="4" t="s">
        <v>70514</v>
      </c>
      <c r="H13979" s="3" t="s">
        <v>70238</v>
      </c>
      <c r="I13979" s="3" t="s">
        <v>70515</v>
      </c>
      <c r="J13979" s="3" t="s">
        <v>70524</v>
      </c>
      <c r="K13979" s="3"/>
      <c r="L13979" s="3" t="s">
        <v>70525</v>
      </c>
      <c r="M13979" s="4" t="s">
        <v>70526</v>
      </c>
      <c r="N13979" s="3" t="s">
        <v>37</v>
      </c>
      <c r="O13979" s="3" t="s">
        <v>6354</v>
      </c>
      <c r="P13979" s="5">
        <v>30</v>
      </c>
      <c r="Q13979" s="5">
        <v>751</v>
      </c>
      <c r="R13979" s="5">
        <v>31</v>
      </c>
      <c r="S13979" s="5">
        <v>747</v>
      </c>
    </row>
    <row r="13980" spans="1:19" ht="42" x14ac:dyDescent="0.15">
      <c r="A13980" s="2">
        <f>HYPERLINK("https://open-school.uspishnemisto.com.ua/school/680069/", 680069)</f>
        <v>680069</v>
      </c>
      <c r="B13980" s="3" t="s">
        <v>70527</v>
      </c>
      <c r="C13980" s="3" t="s">
        <v>188</v>
      </c>
      <c r="D13980" s="3" t="s">
        <v>32</v>
      </c>
      <c r="E13980" s="4" t="s">
        <v>22</v>
      </c>
      <c r="F13980" s="4" t="s">
        <v>70513</v>
      </c>
      <c r="G13980" s="4" t="s">
        <v>70514</v>
      </c>
      <c r="H13980" s="3" t="s">
        <v>70238</v>
      </c>
      <c r="I13980" s="3" t="s">
        <v>70515</v>
      </c>
      <c r="J13980" s="3" t="s">
        <v>70528</v>
      </c>
      <c r="K13980" s="3" t="s">
        <v>70529</v>
      </c>
      <c r="L13980" s="3" t="s">
        <v>70530</v>
      </c>
      <c r="M13980" s="4" t="s">
        <v>70531</v>
      </c>
      <c r="N13980" s="3" t="s">
        <v>37</v>
      </c>
      <c r="O13980" s="3" t="s">
        <v>197</v>
      </c>
      <c r="P13980" s="5">
        <v>44</v>
      </c>
      <c r="Q13980" s="5">
        <v>1233</v>
      </c>
      <c r="R13980" s="5">
        <v>45</v>
      </c>
      <c r="S13980" s="5">
        <v>1239</v>
      </c>
    </row>
    <row r="13981" spans="1:19" ht="28" x14ac:dyDescent="0.15">
      <c r="A13981" s="2">
        <f>HYPERLINK("https://open-school.uspishnemisto.com.ua/school/680070/", 680070)</f>
        <v>680070</v>
      </c>
      <c r="B13981" s="3" t="s">
        <v>70532</v>
      </c>
      <c r="C13981" s="3" t="s">
        <v>31</v>
      </c>
      <c r="D13981" s="3" t="s">
        <v>32</v>
      </c>
      <c r="E13981" s="4" t="s">
        <v>22</v>
      </c>
      <c r="F13981" s="4" t="s">
        <v>70533</v>
      </c>
      <c r="G13981" s="4" t="s">
        <v>70534</v>
      </c>
      <c r="H13981" s="3" t="s">
        <v>70238</v>
      </c>
      <c r="I13981" s="3" t="s">
        <v>70535</v>
      </c>
      <c r="J13981" s="3" t="s">
        <v>16125</v>
      </c>
      <c r="K13981" s="3" t="s">
        <v>70536</v>
      </c>
      <c r="L13981" s="3" t="s">
        <v>70537</v>
      </c>
      <c r="M13981" s="4" t="s">
        <v>70538</v>
      </c>
      <c r="N13981" s="3" t="s">
        <v>37</v>
      </c>
      <c r="O13981" s="3" t="s">
        <v>1081</v>
      </c>
      <c r="P13981" s="5">
        <v>18</v>
      </c>
      <c r="Q13981" s="5">
        <v>437</v>
      </c>
      <c r="R13981" s="5">
        <v>17</v>
      </c>
      <c r="S13981" s="5">
        <v>418</v>
      </c>
    </row>
    <row r="13982" spans="1:19" ht="28" x14ac:dyDescent="0.15">
      <c r="A13982" s="2">
        <f>HYPERLINK("https://open-school.uspishnemisto.com.ua/school/680071/", 680071)</f>
        <v>680071</v>
      </c>
      <c r="B13982" s="3" t="s">
        <v>70539</v>
      </c>
      <c r="C13982" s="3" t="s">
        <v>31</v>
      </c>
      <c r="D13982" s="3" t="s">
        <v>32</v>
      </c>
      <c r="E13982" s="4" t="s">
        <v>22</v>
      </c>
      <c r="F13982" s="4" t="s">
        <v>70533</v>
      </c>
      <c r="G13982" s="4" t="s">
        <v>70534</v>
      </c>
      <c r="H13982" s="3" t="s">
        <v>70238</v>
      </c>
      <c r="I13982" s="3" t="s">
        <v>70535</v>
      </c>
      <c r="J13982" s="3" t="s">
        <v>70540</v>
      </c>
      <c r="K13982" s="3" t="s">
        <v>70541</v>
      </c>
      <c r="L13982" s="3" t="s">
        <v>70542</v>
      </c>
      <c r="M13982" s="4" t="s">
        <v>70543</v>
      </c>
      <c r="N13982" s="3" t="s">
        <v>37</v>
      </c>
      <c r="O13982" s="3" t="s">
        <v>46</v>
      </c>
      <c r="P13982" s="5">
        <v>31</v>
      </c>
      <c r="Q13982" s="5">
        <v>857</v>
      </c>
      <c r="R13982" s="5">
        <v>31</v>
      </c>
      <c r="S13982" s="5">
        <v>851</v>
      </c>
    </row>
    <row r="13983" spans="1:19" ht="28" x14ac:dyDescent="0.15">
      <c r="A13983" s="2">
        <f>HYPERLINK("https://open-school.uspishnemisto.com.ua/school/680072/", 680072)</f>
        <v>680072</v>
      </c>
      <c r="B13983" s="3" t="s">
        <v>70544</v>
      </c>
      <c r="C13983" s="3" t="s">
        <v>31</v>
      </c>
      <c r="D13983" s="3" t="s">
        <v>32</v>
      </c>
      <c r="E13983" s="4" t="s">
        <v>22</v>
      </c>
      <c r="F13983" s="4" t="s">
        <v>70533</v>
      </c>
      <c r="G13983" s="4" t="s">
        <v>70534</v>
      </c>
      <c r="H13983" s="3" t="s">
        <v>70238</v>
      </c>
      <c r="I13983" s="3" t="s">
        <v>70535</v>
      </c>
      <c r="J13983" s="3" t="s">
        <v>70545</v>
      </c>
      <c r="K13983" s="3" t="s">
        <v>70546</v>
      </c>
      <c r="L13983" s="3" t="s">
        <v>70547</v>
      </c>
      <c r="M13983" s="4" t="s">
        <v>70548</v>
      </c>
      <c r="N13983" s="3" t="s">
        <v>37</v>
      </c>
      <c r="O13983" s="3" t="s">
        <v>46</v>
      </c>
      <c r="P13983" s="5">
        <v>18</v>
      </c>
      <c r="Q13983" s="5">
        <v>465</v>
      </c>
      <c r="R13983" s="5">
        <v>18</v>
      </c>
      <c r="S13983" s="5">
        <v>456</v>
      </c>
    </row>
    <row r="13984" spans="1:19" ht="28" x14ac:dyDescent="0.15">
      <c r="A13984" s="2">
        <f>HYPERLINK("https://open-school.uspishnemisto.com.ua/school/680073/", 680073)</f>
        <v>680073</v>
      </c>
      <c r="B13984" s="3" t="s">
        <v>70549</v>
      </c>
      <c r="C13984" s="3" t="s">
        <v>31</v>
      </c>
      <c r="D13984" s="3" t="s">
        <v>32</v>
      </c>
      <c r="E13984" s="4" t="s">
        <v>22</v>
      </c>
      <c r="F13984" s="4" t="s">
        <v>70533</v>
      </c>
      <c r="G13984" s="4" t="s">
        <v>70534</v>
      </c>
      <c r="H13984" s="3" t="s">
        <v>70238</v>
      </c>
      <c r="I13984" s="3" t="s">
        <v>70535</v>
      </c>
      <c r="J13984" s="3" t="s">
        <v>70550</v>
      </c>
      <c r="K13984" s="3" t="s">
        <v>70551</v>
      </c>
      <c r="L13984" s="3" t="s">
        <v>70552</v>
      </c>
      <c r="M13984" s="4" t="s">
        <v>70553</v>
      </c>
      <c r="N13984" s="3" t="s">
        <v>37</v>
      </c>
      <c r="O13984" s="3" t="s">
        <v>46</v>
      </c>
      <c r="P13984" s="5">
        <v>19</v>
      </c>
      <c r="Q13984" s="5">
        <v>433</v>
      </c>
      <c r="R13984" s="5">
        <v>19</v>
      </c>
      <c r="S13984" s="5">
        <v>446</v>
      </c>
    </row>
    <row r="13985" spans="1:19" ht="28" x14ac:dyDescent="0.15">
      <c r="A13985" s="2">
        <f>HYPERLINK("https://open-school.uspishnemisto.com.ua/school/680074/", 680074)</f>
        <v>680074</v>
      </c>
      <c r="B13985" s="3" t="s">
        <v>70554</v>
      </c>
      <c r="C13985" s="3" t="s">
        <v>31</v>
      </c>
      <c r="D13985" s="3" t="s">
        <v>32</v>
      </c>
      <c r="E13985" s="4" t="s">
        <v>22</v>
      </c>
      <c r="F13985" s="4" t="s">
        <v>70533</v>
      </c>
      <c r="G13985" s="4" t="s">
        <v>70534</v>
      </c>
      <c r="H13985" s="3" t="s">
        <v>70238</v>
      </c>
      <c r="I13985" s="3" t="s">
        <v>70535</v>
      </c>
      <c r="J13985" s="3" t="s">
        <v>70555</v>
      </c>
      <c r="K13985" s="3" t="s">
        <v>70556</v>
      </c>
      <c r="L13985" s="3" t="s">
        <v>70557</v>
      </c>
      <c r="M13985" s="4" t="s">
        <v>70558</v>
      </c>
      <c r="N13985" s="3" t="s">
        <v>37</v>
      </c>
      <c r="O13985" s="3" t="s">
        <v>46</v>
      </c>
      <c r="P13985" s="5">
        <v>10</v>
      </c>
      <c r="Q13985" s="5">
        <v>234</v>
      </c>
      <c r="R13985" s="5">
        <v>11</v>
      </c>
      <c r="S13985" s="5">
        <v>244</v>
      </c>
    </row>
    <row r="13986" spans="1:19" ht="42" x14ac:dyDescent="0.15">
      <c r="A13986" s="2">
        <f>HYPERLINK("https://open-school.uspishnemisto.com.ua/school/680075/", 680075)</f>
        <v>680075</v>
      </c>
      <c r="B13986" s="3" t="s">
        <v>70559</v>
      </c>
      <c r="C13986" s="3" t="s">
        <v>54</v>
      </c>
      <c r="D13986" s="3" t="s">
        <v>60</v>
      </c>
      <c r="E13986" s="4" t="s">
        <v>22</v>
      </c>
      <c r="F13986" s="4" t="s">
        <v>70560</v>
      </c>
      <c r="G13986" s="4" t="s">
        <v>70534</v>
      </c>
      <c r="H13986" s="3" t="s">
        <v>70238</v>
      </c>
      <c r="I13986" s="3" t="s">
        <v>70535</v>
      </c>
      <c r="J13986" s="3" t="s">
        <v>70561</v>
      </c>
      <c r="K13986" s="3" t="s">
        <v>70562</v>
      </c>
      <c r="L13986" s="3"/>
      <c r="M13986" s="4" t="s">
        <v>70563</v>
      </c>
      <c r="N13986" s="3" t="s">
        <v>37</v>
      </c>
      <c r="O13986" s="3" t="s">
        <v>52</v>
      </c>
      <c r="P13986" s="5">
        <v>4</v>
      </c>
      <c r="Q13986" s="5">
        <v>101</v>
      </c>
      <c r="R13986" s="5">
        <v>4</v>
      </c>
      <c r="S13986" s="5">
        <v>105</v>
      </c>
    </row>
    <row r="13987" spans="1:19" ht="42" x14ac:dyDescent="0.15">
      <c r="A13987" s="2">
        <f>HYPERLINK("https://open-school.uspishnemisto.com.ua/school/680076/", 680076)</f>
        <v>680076</v>
      </c>
      <c r="B13987" s="3" t="s">
        <v>70564</v>
      </c>
      <c r="C13987" s="3" t="s">
        <v>40</v>
      </c>
      <c r="D13987" s="3" t="s">
        <v>32</v>
      </c>
      <c r="E13987" s="4" t="s">
        <v>22</v>
      </c>
      <c r="F13987" s="4" t="s">
        <v>70533</v>
      </c>
      <c r="G13987" s="4" t="s">
        <v>70534</v>
      </c>
      <c r="H13987" s="3" t="s">
        <v>70238</v>
      </c>
      <c r="I13987" s="3" t="s">
        <v>70535</v>
      </c>
      <c r="J13987" s="3" t="s">
        <v>53648</v>
      </c>
      <c r="K13987" s="3" t="s">
        <v>70565</v>
      </c>
      <c r="L13987" s="3" t="s">
        <v>70566</v>
      </c>
      <c r="M13987" s="4" t="s">
        <v>70567</v>
      </c>
      <c r="N13987" s="3" t="s">
        <v>37</v>
      </c>
      <c r="O13987" s="3" t="s">
        <v>46</v>
      </c>
      <c r="P13987" s="5">
        <v>17</v>
      </c>
      <c r="Q13987" s="5">
        <v>464</v>
      </c>
      <c r="R13987" s="5">
        <v>16</v>
      </c>
      <c r="S13987" s="5">
        <v>446</v>
      </c>
    </row>
    <row r="13988" spans="1:19" ht="28" x14ac:dyDescent="0.15">
      <c r="A13988" s="2">
        <f>HYPERLINK("https://open-school.uspishnemisto.com.ua/school/680077/", 680077)</f>
        <v>680077</v>
      </c>
      <c r="B13988" s="3" t="s">
        <v>70568</v>
      </c>
      <c r="C13988" s="3" t="s">
        <v>40</v>
      </c>
      <c r="D13988" s="3" t="s">
        <v>32</v>
      </c>
      <c r="E13988" s="4" t="s">
        <v>22</v>
      </c>
      <c r="F13988" s="4" t="s">
        <v>70533</v>
      </c>
      <c r="G13988" s="4" t="s">
        <v>70534</v>
      </c>
      <c r="H13988" s="3" t="s">
        <v>70238</v>
      </c>
      <c r="I13988" s="3" t="s">
        <v>70535</v>
      </c>
      <c r="J13988" s="3" t="s">
        <v>70569</v>
      </c>
      <c r="K13988" s="3" t="s">
        <v>70570</v>
      </c>
      <c r="L13988" s="3" t="s">
        <v>70571</v>
      </c>
      <c r="M13988" s="4" t="s">
        <v>70572</v>
      </c>
      <c r="N13988" s="3" t="s">
        <v>37</v>
      </c>
      <c r="O13988" s="3" t="s">
        <v>237</v>
      </c>
      <c r="P13988" s="5">
        <v>16</v>
      </c>
      <c r="Q13988" s="5">
        <v>445</v>
      </c>
      <c r="R13988" s="5">
        <v>15</v>
      </c>
      <c r="S13988" s="5">
        <v>401</v>
      </c>
    </row>
    <row r="13989" spans="1:19" ht="28" x14ac:dyDescent="0.15">
      <c r="A13989" s="2">
        <f>HYPERLINK("https://open-school.uspishnemisto.com.ua/school/680078/", 680078)</f>
        <v>680078</v>
      </c>
      <c r="B13989" s="3" t="s">
        <v>70573</v>
      </c>
      <c r="C13989" s="3" t="s">
        <v>188</v>
      </c>
      <c r="D13989" s="3" t="s">
        <v>32</v>
      </c>
      <c r="E13989" s="4" t="s">
        <v>22</v>
      </c>
      <c r="F13989" s="4" t="s">
        <v>70533</v>
      </c>
      <c r="G13989" s="4" t="s">
        <v>70534</v>
      </c>
      <c r="H13989" s="3" t="s">
        <v>70238</v>
      </c>
      <c r="I13989" s="3" t="s">
        <v>70535</v>
      </c>
      <c r="J13989" s="3" t="s">
        <v>70574</v>
      </c>
      <c r="K13989" s="3" t="s">
        <v>70575</v>
      </c>
      <c r="L13989" s="3"/>
      <c r="M13989" s="4" t="s">
        <v>70576</v>
      </c>
      <c r="N13989" s="3" t="s">
        <v>37</v>
      </c>
      <c r="O13989" s="3" t="s">
        <v>139</v>
      </c>
      <c r="P13989" s="5">
        <v>27</v>
      </c>
      <c r="Q13989" s="5">
        <v>727</v>
      </c>
      <c r="R13989" s="5">
        <v>28</v>
      </c>
      <c r="S13989" s="5">
        <v>737</v>
      </c>
    </row>
    <row r="13990" spans="1:19" ht="28" x14ac:dyDescent="0.15">
      <c r="A13990" s="2">
        <f>HYPERLINK("https://open-school.uspishnemisto.com.ua/school/680079/", 680079)</f>
        <v>680079</v>
      </c>
      <c r="B13990" s="3" t="s">
        <v>70577</v>
      </c>
      <c r="C13990" s="3" t="s">
        <v>48</v>
      </c>
      <c r="D13990" s="3" t="s">
        <v>32</v>
      </c>
      <c r="E13990" s="4" t="s">
        <v>22</v>
      </c>
      <c r="F13990" s="4" t="s">
        <v>70533</v>
      </c>
      <c r="G13990" s="4" t="s">
        <v>70534</v>
      </c>
      <c r="H13990" s="3" t="s">
        <v>70238</v>
      </c>
      <c r="I13990" s="3" t="s">
        <v>70535</v>
      </c>
      <c r="J13990" s="3" t="s">
        <v>70578</v>
      </c>
      <c r="K13990" s="3"/>
      <c r="L13990" s="3" t="s">
        <v>70579</v>
      </c>
      <c r="M13990" s="4" t="s">
        <v>70580</v>
      </c>
      <c r="N13990" s="3" t="s">
        <v>37</v>
      </c>
      <c r="O13990" s="3" t="s">
        <v>46</v>
      </c>
      <c r="P13990" s="5">
        <v>15</v>
      </c>
      <c r="Q13990" s="5">
        <v>354</v>
      </c>
      <c r="R13990" s="5">
        <v>14</v>
      </c>
      <c r="S13990" s="5">
        <v>327</v>
      </c>
    </row>
    <row r="13991" spans="1:19" ht="28" x14ac:dyDescent="0.15">
      <c r="A13991" s="2">
        <f>HYPERLINK("https://open-school.uspishnemisto.com.ua/school/680080/", 680080)</f>
        <v>680080</v>
      </c>
      <c r="B13991" s="3" t="s">
        <v>70581</v>
      </c>
      <c r="C13991" s="3" t="s">
        <v>31</v>
      </c>
      <c r="D13991" s="3" t="s">
        <v>32</v>
      </c>
      <c r="E13991" s="4" t="s">
        <v>22</v>
      </c>
      <c r="F13991" s="4" t="s">
        <v>70582</v>
      </c>
      <c r="G13991" s="4" t="s">
        <v>70583</v>
      </c>
      <c r="H13991" s="3" t="s">
        <v>70238</v>
      </c>
      <c r="I13991" s="3" t="s">
        <v>70584</v>
      </c>
      <c r="J13991" s="3" t="s">
        <v>70585</v>
      </c>
      <c r="K13991" s="3" t="s">
        <v>70586</v>
      </c>
      <c r="L13991" s="3"/>
      <c r="M13991" s="4" t="s">
        <v>70587</v>
      </c>
      <c r="N13991" s="3" t="s">
        <v>37</v>
      </c>
      <c r="O13991" s="3" t="s">
        <v>70</v>
      </c>
      <c r="P13991" s="5">
        <v>18</v>
      </c>
      <c r="Q13991" s="5">
        <v>381</v>
      </c>
      <c r="R13991" s="5">
        <v>18</v>
      </c>
      <c r="S13991" s="5">
        <v>395</v>
      </c>
    </row>
    <row r="13992" spans="1:19" ht="28" x14ac:dyDescent="0.15">
      <c r="A13992" s="2">
        <f>HYPERLINK("https://open-school.uspishnemisto.com.ua/school/680081/", 680081)</f>
        <v>680081</v>
      </c>
      <c r="B13992" s="3" t="s">
        <v>70588</v>
      </c>
      <c r="C13992" s="3" t="s">
        <v>31</v>
      </c>
      <c r="D13992" s="3" t="s">
        <v>32</v>
      </c>
      <c r="E13992" s="4" t="s">
        <v>22</v>
      </c>
      <c r="F13992" s="4" t="s">
        <v>70589</v>
      </c>
      <c r="G13992" s="4" t="s">
        <v>70583</v>
      </c>
      <c r="H13992" s="3" t="s">
        <v>70238</v>
      </c>
      <c r="I13992" s="3" t="s">
        <v>70584</v>
      </c>
      <c r="J13992" s="3" t="s">
        <v>70590</v>
      </c>
      <c r="K13992" s="3"/>
      <c r="L13992" s="3" t="s">
        <v>70591</v>
      </c>
      <c r="M13992" s="4" t="s">
        <v>70592</v>
      </c>
      <c r="N13992" s="3" t="s">
        <v>70593</v>
      </c>
      <c r="O13992" s="3" t="s">
        <v>38</v>
      </c>
      <c r="P13992" s="5">
        <v>20</v>
      </c>
      <c r="Q13992" s="5">
        <v>407</v>
      </c>
      <c r="R13992" s="5">
        <v>20</v>
      </c>
      <c r="S13992" s="5">
        <v>400</v>
      </c>
    </row>
    <row r="13993" spans="1:19" ht="28" x14ac:dyDescent="0.15">
      <c r="A13993" s="2">
        <f>HYPERLINK("https://open-school.uspishnemisto.com.ua/school/680082/", 680082)</f>
        <v>680082</v>
      </c>
      <c r="B13993" s="3" t="s">
        <v>70594</v>
      </c>
      <c r="C13993" s="3" t="s">
        <v>31</v>
      </c>
      <c r="D13993" s="3" t="s">
        <v>32</v>
      </c>
      <c r="E13993" s="4" t="s">
        <v>22</v>
      </c>
      <c r="F13993" s="4" t="s">
        <v>70595</v>
      </c>
      <c r="G13993" s="4" t="s">
        <v>70583</v>
      </c>
      <c r="H13993" s="3" t="s">
        <v>70238</v>
      </c>
      <c r="I13993" s="3" t="s">
        <v>70584</v>
      </c>
      <c r="J13993" s="3" t="s">
        <v>70596</v>
      </c>
      <c r="K13993" s="3" t="s">
        <v>70597</v>
      </c>
      <c r="L13993" s="3"/>
      <c r="M13993" s="4" t="s">
        <v>70598</v>
      </c>
      <c r="N13993" s="3" t="s">
        <v>37</v>
      </c>
      <c r="O13993" s="3" t="s">
        <v>70</v>
      </c>
      <c r="P13993" s="5">
        <v>26</v>
      </c>
      <c r="Q13993" s="5">
        <v>733</v>
      </c>
      <c r="R13993" s="5">
        <v>25</v>
      </c>
      <c r="S13993" s="5">
        <v>698</v>
      </c>
    </row>
    <row r="13994" spans="1:19" ht="28" x14ac:dyDescent="0.15">
      <c r="A13994" s="2">
        <f>HYPERLINK("https://open-school.uspishnemisto.com.ua/school/680083/", 680083)</f>
        <v>680083</v>
      </c>
      <c r="B13994" s="3" t="s">
        <v>70599</v>
      </c>
      <c r="C13994" s="3" t="s">
        <v>31</v>
      </c>
      <c r="D13994" s="3" t="s">
        <v>32</v>
      </c>
      <c r="E13994" s="4" t="s">
        <v>22</v>
      </c>
      <c r="F13994" s="4" t="s">
        <v>70589</v>
      </c>
      <c r="G13994" s="4" t="s">
        <v>70583</v>
      </c>
      <c r="H13994" s="3" t="s">
        <v>70238</v>
      </c>
      <c r="I13994" s="3" t="s">
        <v>70584</v>
      </c>
      <c r="J13994" s="3" t="s">
        <v>70600</v>
      </c>
      <c r="K13994" s="3" t="s">
        <v>70601</v>
      </c>
      <c r="L13994" s="3" t="s">
        <v>70602</v>
      </c>
      <c r="M13994" s="4" t="s">
        <v>70603</v>
      </c>
      <c r="N13994" s="3" t="s">
        <v>37</v>
      </c>
      <c r="O13994" s="3" t="s">
        <v>38</v>
      </c>
      <c r="P13994" s="5">
        <v>17</v>
      </c>
      <c r="Q13994" s="5">
        <v>396</v>
      </c>
      <c r="R13994" s="5">
        <v>16</v>
      </c>
      <c r="S13994" s="5">
        <v>384</v>
      </c>
    </row>
    <row r="13995" spans="1:19" ht="28" x14ac:dyDescent="0.15">
      <c r="A13995" s="2">
        <f>HYPERLINK("https://open-school.uspishnemisto.com.ua/school/680084/", 680084)</f>
        <v>680084</v>
      </c>
      <c r="B13995" s="3" t="s">
        <v>70604</v>
      </c>
      <c r="C13995" s="3" t="s">
        <v>31</v>
      </c>
      <c r="D13995" s="3" t="s">
        <v>32</v>
      </c>
      <c r="E13995" s="4" t="s">
        <v>22</v>
      </c>
      <c r="F13995" s="4" t="s">
        <v>70589</v>
      </c>
      <c r="G13995" s="4" t="s">
        <v>70583</v>
      </c>
      <c r="H13995" s="3" t="s">
        <v>70238</v>
      </c>
      <c r="I13995" s="3" t="s">
        <v>70584</v>
      </c>
      <c r="J13995" s="3" t="s">
        <v>70605</v>
      </c>
      <c r="K13995" s="3" t="s">
        <v>70606</v>
      </c>
      <c r="L13995" s="3" t="s">
        <v>70607</v>
      </c>
      <c r="M13995" s="4" t="s">
        <v>70608</v>
      </c>
      <c r="N13995" s="3" t="s">
        <v>37</v>
      </c>
      <c r="O13995" s="3" t="s">
        <v>70</v>
      </c>
      <c r="P13995" s="5">
        <v>17</v>
      </c>
      <c r="Q13995" s="5">
        <v>372</v>
      </c>
      <c r="R13995" s="5">
        <v>16</v>
      </c>
      <c r="S13995" s="5">
        <v>356</v>
      </c>
    </row>
    <row r="13996" spans="1:19" ht="42" x14ac:dyDescent="0.15">
      <c r="A13996" s="2">
        <f>HYPERLINK("https://open-school.uspishnemisto.com.ua/school/680085/", 680085)</f>
        <v>680085</v>
      </c>
      <c r="B13996" s="3" t="s">
        <v>70609</v>
      </c>
      <c r="C13996" s="3" t="s">
        <v>244</v>
      </c>
      <c r="D13996" s="3" t="s">
        <v>32</v>
      </c>
      <c r="E13996" s="4" t="s">
        <v>22</v>
      </c>
      <c r="F13996" s="4" t="s">
        <v>70589</v>
      </c>
      <c r="G13996" s="4" t="s">
        <v>70583</v>
      </c>
      <c r="H13996" s="3" t="s">
        <v>70238</v>
      </c>
      <c r="I13996" s="3" t="s">
        <v>70584</v>
      </c>
      <c r="J13996" s="3" t="s">
        <v>70610</v>
      </c>
      <c r="K13996" s="3"/>
      <c r="L13996" s="3" t="s">
        <v>70611</v>
      </c>
      <c r="M13996" s="4" t="s">
        <v>70612</v>
      </c>
      <c r="N13996" s="3" t="s">
        <v>37</v>
      </c>
      <c r="O13996" s="3" t="s">
        <v>70</v>
      </c>
      <c r="P13996" s="5">
        <v>25</v>
      </c>
      <c r="Q13996" s="5">
        <v>655</v>
      </c>
      <c r="R13996" s="5">
        <v>25</v>
      </c>
      <c r="S13996" s="5">
        <v>663</v>
      </c>
    </row>
    <row r="13997" spans="1:19" ht="42" x14ac:dyDescent="0.15">
      <c r="A13997" s="2">
        <f>HYPERLINK("https://open-school.uspishnemisto.com.ua/school/680086/", 680086)</f>
        <v>680086</v>
      </c>
      <c r="B13997" s="3" t="s">
        <v>70613</v>
      </c>
      <c r="C13997" s="3" t="s">
        <v>4989</v>
      </c>
      <c r="D13997" s="3" t="s">
        <v>32</v>
      </c>
      <c r="E13997" s="4" t="s">
        <v>22</v>
      </c>
      <c r="F13997" s="4" t="s">
        <v>70589</v>
      </c>
      <c r="G13997" s="4" t="s">
        <v>70583</v>
      </c>
      <c r="H13997" s="3" t="s">
        <v>70238</v>
      </c>
      <c r="I13997" s="3" t="s">
        <v>70584</v>
      </c>
      <c r="J13997" s="3" t="s">
        <v>16353</v>
      </c>
      <c r="K13997" s="3" t="s">
        <v>70614</v>
      </c>
      <c r="L13997" s="3" t="s">
        <v>70615</v>
      </c>
      <c r="M13997" s="4" t="s">
        <v>70616</v>
      </c>
      <c r="N13997" s="3" t="s">
        <v>37</v>
      </c>
      <c r="O13997" s="3" t="s">
        <v>38</v>
      </c>
      <c r="P13997" s="5">
        <v>11</v>
      </c>
      <c r="Q13997" s="5">
        <v>233</v>
      </c>
      <c r="R13997" s="5">
        <v>11</v>
      </c>
      <c r="S13997" s="5">
        <v>233</v>
      </c>
    </row>
    <row r="13998" spans="1:19" ht="42" x14ac:dyDescent="0.15">
      <c r="A13998" s="2">
        <f>HYPERLINK("https://open-school.uspishnemisto.com.ua/school/680087/", 680087)</f>
        <v>680087</v>
      </c>
      <c r="B13998" s="3" t="s">
        <v>70617</v>
      </c>
      <c r="C13998" s="3" t="s">
        <v>40</v>
      </c>
      <c r="D13998" s="3" t="s">
        <v>32</v>
      </c>
      <c r="E13998" s="4" t="s">
        <v>22</v>
      </c>
      <c r="F13998" s="4" t="s">
        <v>70589</v>
      </c>
      <c r="G13998" s="4" t="s">
        <v>70583</v>
      </c>
      <c r="H13998" s="3" t="s">
        <v>70238</v>
      </c>
      <c r="I13998" s="3" t="s">
        <v>70584</v>
      </c>
      <c r="J13998" s="3" t="s">
        <v>70618</v>
      </c>
      <c r="K13998" s="3" t="s">
        <v>70619</v>
      </c>
      <c r="L13998" s="3" t="s">
        <v>70620</v>
      </c>
      <c r="M13998" s="4" t="s">
        <v>70621</v>
      </c>
      <c r="N13998" s="3" t="s">
        <v>37</v>
      </c>
      <c r="O13998" s="3" t="s">
        <v>70</v>
      </c>
      <c r="P13998" s="5">
        <v>23</v>
      </c>
      <c r="Q13998" s="5">
        <v>644</v>
      </c>
      <c r="R13998" s="5">
        <v>23</v>
      </c>
      <c r="S13998" s="5">
        <v>625</v>
      </c>
    </row>
    <row r="13999" spans="1:19" ht="42" x14ac:dyDescent="0.15">
      <c r="A13999" s="2">
        <f>HYPERLINK("https://open-school.uspishnemisto.com.ua/school/680088/", 680088)</f>
        <v>680088</v>
      </c>
      <c r="B13999" s="3" t="s">
        <v>70622</v>
      </c>
      <c r="C13999" s="3" t="s">
        <v>188</v>
      </c>
      <c r="D13999" s="3" t="s">
        <v>32</v>
      </c>
      <c r="E13999" s="4" t="s">
        <v>22</v>
      </c>
      <c r="F13999" s="4" t="s">
        <v>70589</v>
      </c>
      <c r="G13999" s="4" t="s">
        <v>70583</v>
      </c>
      <c r="H13999" s="3" t="s">
        <v>70238</v>
      </c>
      <c r="I13999" s="3" t="s">
        <v>70584</v>
      </c>
      <c r="J13999" s="3" t="s">
        <v>70623</v>
      </c>
      <c r="K13999" s="3" t="s">
        <v>70624</v>
      </c>
      <c r="L13999" s="3" t="s">
        <v>70625</v>
      </c>
      <c r="M13999" s="4" t="s">
        <v>70626</v>
      </c>
      <c r="N13999" s="3" t="s">
        <v>37</v>
      </c>
      <c r="O13999" s="3" t="s">
        <v>70</v>
      </c>
      <c r="P13999" s="5">
        <v>30</v>
      </c>
      <c r="Q13999" s="5">
        <v>887</v>
      </c>
      <c r="R13999" s="5">
        <v>29</v>
      </c>
      <c r="S13999" s="5">
        <v>867</v>
      </c>
    </row>
    <row r="14000" spans="1:19" ht="56" x14ac:dyDescent="0.15">
      <c r="A14000" s="2">
        <f>HYPERLINK("https://open-school.uspishnemisto.com.ua/school/680089/", 680089)</f>
        <v>680089</v>
      </c>
      <c r="B14000" s="3" t="s">
        <v>70627</v>
      </c>
      <c r="C14000" s="3" t="s">
        <v>188</v>
      </c>
      <c r="D14000" s="3" t="s">
        <v>32</v>
      </c>
      <c r="E14000" s="4" t="s">
        <v>22</v>
      </c>
      <c r="F14000" s="4" t="s">
        <v>70589</v>
      </c>
      <c r="G14000" s="4" t="s">
        <v>70583</v>
      </c>
      <c r="H14000" s="3" t="s">
        <v>70238</v>
      </c>
      <c r="I14000" s="3" t="s">
        <v>70584</v>
      </c>
      <c r="J14000" s="3" t="s">
        <v>70628</v>
      </c>
      <c r="K14000" s="3" t="s">
        <v>70629</v>
      </c>
      <c r="L14000" s="3" t="s">
        <v>70630</v>
      </c>
      <c r="M14000" s="4" t="s">
        <v>70631</v>
      </c>
      <c r="N14000" s="3" t="s">
        <v>37</v>
      </c>
      <c r="O14000" s="3" t="s">
        <v>70</v>
      </c>
      <c r="P14000" s="5">
        <v>30</v>
      </c>
      <c r="Q14000" s="5">
        <v>805</v>
      </c>
      <c r="R14000" s="5">
        <v>29</v>
      </c>
      <c r="S14000" s="5">
        <v>796</v>
      </c>
    </row>
    <row r="14001" spans="1:19" ht="42" x14ac:dyDescent="0.15">
      <c r="A14001" s="2">
        <f>HYPERLINK("https://open-school.uspishnemisto.com.ua/school/680090/", 680090)</f>
        <v>680090</v>
      </c>
      <c r="B14001" s="3" t="s">
        <v>70632</v>
      </c>
      <c r="C14001" s="3" t="s">
        <v>31</v>
      </c>
      <c r="D14001" s="3" t="s">
        <v>32</v>
      </c>
      <c r="E14001" s="4" t="s">
        <v>22</v>
      </c>
      <c r="F14001" s="4" t="s">
        <v>70633</v>
      </c>
      <c r="G14001" s="4" t="s">
        <v>70634</v>
      </c>
      <c r="H14001" s="3" t="s">
        <v>70238</v>
      </c>
      <c r="I14001" s="3" t="s">
        <v>70635</v>
      </c>
      <c r="J14001" s="3" t="s">
        <v>70636</v>
      </c>
      <c r="K14001" s="3" t="s">
        <v>70637</v>
      </c>
      <c r="L14001" s="3"/>
      <c r="M14001" s="4"/>
      <c r="N14001" s="3" t="s">
        <v>37</v>
      </c>
      <c r="O14001" s="3" t="s">
        <v>52</v>
      </c>
      <c r="P14001" s="5">
        <v>32</v>
      </c>
      <c r="Q14001" s="5">
        <v>925</v>
      </c>
      <c r="R14001" s="5">
        <v>32</v>
      </c>
      <c r="S14001" s="5">
        <v>908</v>
      </c>
    </row>
    <row r="14002" spans="1:19" ht="42" x14ac:dyDescent="0.15">
      <c r="A14002" s="2">
        <f>HYPERLINK("https://open-school.uspishnemisto.com.ua/school/680091/", 680091)</f>
        <v>680091</v>
      </c>
      <c r="B14002" s="3" t="s">
        <v>70638</v>
      </c>
      <c r="C14002" s="3" t="s">
        <v>31</v>
      </c>
      <c r="D14002" s="3" t="s">
        <v>32</v>
      </c>
      <c r="E14002" s="4" t="s">
        <v>22</v>
      </c>
      <c r="F14002" s="4" t="s">
        <v>70633</v>
      </c>
      <c r="G14002" s="4" t="s">
        <v>70634</v>
      </c>
      <c r="H14002" s="3" t="s">
        <v>70238</v>
      </c>
      <c r="I14002" s="3" t="s">
        <v>70635</v>
      </c>
      <c r="J14002" s="3" t="s">
        <v>70639</v>
      </c>
      <c r="K14002" s="3" t="s">
        <v>70640</v>
      </c>
      <c r="L14002" s="3"/>
      <c r="M14002" s="4"/>
      <c r="N14002" s="3" t="s">
        <v>37</v>
      </c>
      <c r="O14002" s="3" t="s">
        <v>46</v>
      </c>
      <c r="P14002" s="5">
        <v>11</v>
      </c>
      <c r="Q14002" s="5">
        <v>302</v>
      </c>
      <c r="R14002" s="5">
        <v>11</v>
      </c>
      <c r="S14002" s="5">
        <v>306</v>
      </c>
    </row>
    <row r="14003" spans="1:19" ht="42" x14ac:dyDescent="0.15">
      <c r="A14003" s="2">
        <f>HYPERLINK("https://open-school.uspishnemisto.com.ua/school/680092/", 680092)</f>
        <v>680092</v>
      </c>
      <c r="B14003" s="3" t="s">
        <v>70641</v>
      </c>
      <c r="C14003" s="3" t="s">
        <v>31</v>
      </c>
      <c r="D14003" s="3" t="s">
        <v>32</v>
      </c>
      <c r="E14003" s="4" t="s">
        <v>22</v>
      </c>
      <c r="F14003" s="4" t="s">
        <v>70633</v>
      </c>
      <c r="G14003" s="4" t="s">
        <v>70634</v>
      </c>
      <c r="H14003" s="3" t="s">
        <v>70238</v>
      </c>
      <c r="I14003" s="3" t="s">
        <v>70635</v>
      </c>
      <c r="J14003" s="3" t="s">
        <v>70642</v>
      </c>
      <c r="K14003" s="3" t="s">
        <v>70643</v>
      </c>
      <c r="L14003" s="3"/>
      <c r="M14003" s="4"/>
      <c r="N14003" s="3" t="s">
        <v>37</v>
      </c>
      <c r="O14003" s="3" t="s">
        <v>46</v>
      </c>
      <c r="P14003" s="5">
        <v>11</v>
      </c>
      <c r="Q14003" s="5">
        <v>180</v>
      </c>
      <c r="R14003" s="5">
        <v>11</v>
      </c>
      <c r="S14003" s="5">
        <v>174</v>
      </c>
    </row>
    <row r="14004" spans="1:19" ht="42" x14ac:dyDescent="0.15">
      <c r="A14004" s="2">
        <f>HYPERLINK("https://open-school.uspishnemisto.com.ua/school/680093/", 680093)</f>
        <v>680093</v>
      </c>
      <c r="B14004" s="3" t="s">
        <v>70644</v>
      </c>
      <c r="C14004" s="3" t="s">
        <v>31</v>
      </c>
      <c r="D14004" s="3" t="s">
        <v>32</v>
      </c>
      <c r="E14004" s="4" t="s">
        <v>22</v>
      </c>
      <c r="F14004" s="4" t="s">
        <v>70633</v>
      </c>
      <c r="G14004" s="4" t="s">
        <v>70634</v>
      </c>
      <c r="H14004" s="3" t="s">
        <v>70238</v>
      </c>
      <c r="I14004" s="3" t="s">
        <v>70635</v>
      </c>
      <c r="J14004" s="3" t="s">
        <v>17916</v>
      </c>
      <c r="K14004" s="3" t="s">
        <v>70645</v>
      </c>
      <c r="L14004" s="3"/>
      <c r="M14004" s="4"/>
      <c r="N14004" s="3" t="s">
        <v>37</v>
      </c>
      <c r="O14004" s="3" t="s">
        <v>46</v>
      </c>
      <c r="P14004" s="5">
        <v>11</v>
      </c>
      <c r="Q14004" s="5">
        <v>174</v>
      </c>
      <c r="R14004" s="5">
        <v>11</v>
      </c>
      <c r="S14004" s="5">
        <v>195</v>
      </c>
    </row>
    <row r="14005" spans="1:19" ht="42" x14ac:dyDescent="0.15">
      <c r="A14005" s="2">
        <f>HYPERLINK("https://open-school.uspishnemisto.com.ua/school/680094/", 680094)</f>
        <v>680094</v>
      </c>
      <c r="B14005" s="3" t="s">
        <v>70646</v>
      </c>
      <c r="C14005" s="3" t="s">
        <v>31</v>
      </c>
      <c r="D14005" s="3" t="s">
        <v>32</v>
      </c>
      <c r="E14005" s="4" t="s">
        <v>22</v>
      </c>
      <c r="F14005" s="4" t="s">
        <v>70647</v>
      </c>
      <c r="G14005" s="4" t="s">
        <v>70634</v>
      </c>
      <c r="H14005" s="3" t="s">
        <v>70238</v>
      </c>
      <c r="I14005" s="3" t="s">
        <v>70635</v>
      </c>
      <c r="J14005" s="3" t="s">
        <v>70648</v>
      </c>
      <c r="K14005" s="3" t="s">
        <v>70649</v>
      </c>
      <c r="L14005" s="3" t="s">
        <v>70650</v>
      </c>
      <c r="M14005" s="4"/>
      <c r="N14005" s="3" t="s">
        <v>37</v>
      </c>
      <c r="O14005" s="3" t="s">
        <v>46</v>
      </c>
      <c r="P14005" s="5">
        <v>20</v>
      </c>
      <c r="Q14005" s="5">
        <v>515</v>
      </c>
      <c r="R14005" s="5">
        <v>20</v>
      </c>
      <c r="S14005" s="5">
        <v>513</v>
      </c>
    </row>
    <row r="14006" spans="1:19" ht="42" x14ac:dyDescent="0.15">
      <c r="A14006" s="2">
        <f>HYPERLINK("https://open-school.uspishnemisto.com.ua/school/680095/", 680095)</f>
        <v>680095</v>
      </c>
      <c r="B14006" s="3" t="s">
        <v>70651</v>
      </c>
      <c r="C14006" s="3" t="s">
        <v>31</v>
      </c>
      <c r="D14006" s="3" t="s">
        <v>32</v>
      </c>
      <c r="E14006" s="4" t="s">
        <v>22</v>
      </c>
      <c r="F14006" s="4" t="s">
        <v>70633</v>
      </c>
      <c r="G14006" s="4" t="s">
        <v>70634</v>
      </c>
      <c r="H14006" s="3" t="s">
        <v>70238</v>
      </c>
      <c r="I14006" s="3" t="s">
        <v>70635</v>
      </c>
      <c r="J14006" s="3" t="s">
        <v>70652</v>
      </c>
      <c r="K14006" s="3" t="s">
        <v>70653</v>
      </c>
      <c r="L14006" s="3"/>
      <c r="M14006" s="4"/>
      <c r="N14006" s="3" t="s">
        <v>37</v>
      </c>
      <c r="O14006" s="3" t="s">
        <v>52</v>
      </c>
      <c r="P14006" s="5">
        <v>24</v>
      </c>
      <c r="Q14006" s="5">
        <v>642</v>
      </c>
      <c r="R14006" s="5">
        <v>23</v>
      </c>
      <c r="S14006" s="5">
        <v>612</v>
      </c>
    </row>
    <row r="14007" spans="1:19" ht="42" x14ac:dyDescent="0.15">
      <c r="A14007" s="2">
        <f>HYPERLINK("https://open-school.uspishnemisto.com.ua/school/680096/", 680096)</f>
        <v>680096</v>
      </c>
      <c r="B14007" s="3" t="s">
        <v>70654</v>
      </c>
      <c r="C14007" s="3" t="s">
        <v>188</v>
      </c>
      <c r="D14007" s="3" t="s">
        <v>32</v>
      </c>
      <c r="E14007" s="4" t="s">
        <v>22</v>
      </c>
      <c r="F14007" s="4" t="s">
        <v>70633</v>
      </c>
      <c r="G14007" s="4" t="s">
        <v>70634</v>
      </c>
      <c r="H14007" s="3" t="s">
        <v>70238</v>
      </c>
      <c r="I14007" s="3" t="s">
        <v>70635</v>
      </c>
      <c r="J14007" s="3" t="s">
        <v>35572</v>
      </c>
      <c r="K14007" s="3" t="s">
        <v>70655</v>
      </c>
      <c r="L14007" s="3" t="s">
        <v>70656</v>
      </c>
      <c r="M14007" s="4"/>
      <c r="N14007" s="3" t="s">
        <v>37</v>
      </c>
      <c r="O14007" s="3" t="s">
        <v>52</v>
      </c>
      <c r="P14007" s="5">
        <v>30</v>
      </c>
      <c r="Q14007" s="5">
        <v>792</v>
      </c>
      <c r="R14007" s="5">
        <v>29</v>
      </c>
      <c r="S14007" s="5">
        <v>771</v>
      </c>
    </row>
    <row r="14008" spans="1:19" ht="56" x14ac:dyDescent="0.15">
      <c r="A14008" s="2">
        <f>HYPERLINK("https://open-school.uspishnemisto.com.ua/school/680097/", 680097)</f>
        <v>680097</v>
      </c>
      <c r="B14008" s="3" t="s">
        <v>70657</v>
      </c>
      <c r="C14008" s="3" t="s">
        <v>40</v>
      </c>
      <c r="D14008" s="3" t="s">
        <v>32</v>
      </c>
      <c r="E14008" s="4" t="s">
        <v>22</v>
      </c>
      <c r="F14008" s="4" t="s">
        <v>70633</v>
      </c>
      <c r="G14008" s="4" t="s">
        <v>70634</v>
      </c>
      <c r="H14008" s="3" t="s">
        <v>70238</v>
      </c>
      <c r="I14008" s="3" t="s">
        <v>70635</v>
      </c>
      <c r="J14008" s="3" t="s">
        <v>70658</v>
      </c>
      <c r="K14008" s="3" t="s">
        <v>70659</v>
      </c>
      <c r="L14008" s="3" t="s">
        <v>70660</v>
      </c>
      <c r="M14008" s="4"/>
      <c r="N14008" s="3" t="s">
        <v>37</v>
      </c>
      <c r="O14008" s="3" t="s">
        <v>46</v>
      </c>
      <c r="P14008" s="5">
        <v>34</v>
      </c>
      <c r="Q14008" s="5">
        <v>909</v>
      </c>
      <c r="R14008" s="5">
        <v>35</v>
      </c>
      <c r="S14008" s="5">
        <v>909</v>
      </c>
    </row>
    <row r="14009" spans="1:19" ht="42" x14ac:dyDescent="0.15">
      <c r="A14009" s="2">
        <f>HYPERLINK("https://open-school.uspishnemisto.com.ua/school/680098/", 680098)</f>
        <v>680098</v>
      </c>
      <c r="B14009" s="3" t="s">
        <v>70661</v>
      </c>
      <c r="C14009" s="3" t="s">
        <v>54</v>
      </c>
      <c r="D14009" s="3" t="s">
        <v>32</v>
      </c>
      <c r="E14009" s="4" t="s">
        <v>22</v>
      </c>
      <c r="F14009" s="4" t="s">
        <v>70662</v>
      </c>
      <c r="G14009" s="4" t="s">
        <v>70663</v>
      </c>
      <c r="H14009" s="3" t="s">
        <v>70238</v>
      </c>
      <c r="I14009" s="3" t="s">
        <v>70664</v>
      </c>
      <c r="J14009" s="3" t="s">
        <v>4734</v>
      </c>
      <c r="K14009" s="3" t="s">
        <v>70665</v>
      </c>
      <c r="L14009" s="3" t="s">
        <v>70666</v>
      </c>
      <c r="M14009" s="4"/>
      <c r="N14009" s="3" t="s">
        <v>37</v>
      </c>
      <c r="O14009" s="3" t="s">
        <v>70</v>
      </c>
      <c r="P14009" s="5">
        <v>27</v>
      </c>
      <c r="Q14009" s="5">
        <v>646</v>
      </c>
      <c r="R14009" s="5">
        <v>28</v>
      </c>
      <c r="S14009" s="5">
        <v>651</v>
      </c>
    </row>
    <row r="14010" spans="1:19" ht="28" x14ac:dyDescent="0.15">
      <c r="A14010" s="2">
        <f>HYPERLINK("https://open-school.uspishnemisto.com.ua/school/680099/", 680099)</f>
        <v>680099</v>
      </c>
      <c r="B14010" s="3" t="s">
        <v>70667</v>
      </c>
      <c r="C14010" s="3" t="s">
        <v>31</v>
      </c>
      <c r="D14010" s="3" t="s">
        <v>60</v>
      </c>
      <c r="E14010" s="4" t="s">
        <v>22</v>
      </c>
      <c r="F14010" s="4" t="s">
        <v>70662</v>
      </c>
      <c r="G14010" s="4" t="s">
        <v>70668</v>
      </c>
      <c r="H14010" s="3" t="s">
        <v>70238</v>
      </c>
      <c r="I14010" s="3" t="s">
        <v>70669</v>
      </c>
      <c r="J14010" s="3" t="s">
        <v>747</v>
      </c>
      <c r="K14010" s="3"/>
      <c r="L14010" s="3"/>
      <c r="M14010" s="4"/>
      <c r="N14010" s="3" t="s">
        <v>37</v>
      </c>
      <c r="O14010" s="3" t="s">
        <v>52</v>
      </c>
      <c r="P14010" s="5">
        <v>2</v>
      </c>
      <c r="Q14010" s="5">
        <v>22</v>
      </c>
      <c r="R14010" s="5">
        <v>1</v>
      </c>
      <c r="S14010" s="5">
        <v>17</v>
      </c>
    </row>
    <row r="14011" spans="1:19" ht="28" x14ac:dyDescent="0.15">
      <c r="A14011" s="2">
        <f>HYPERLINK("https://open-school.uspishnemisto.com.ua/school/680100/", 680100)</f>
        <v>680100</v>
      </c>
      <c r="B14011" s="3" t="s">
        <v>70670</v>
      </c>
      <c r="C14011" s="3" t="s">
        <v>31</v>
      </c>
      <c r="D14011" s="3" t="s">
        <v>32</v>
      </c>
      <c r="E14011" s="4" t="s">
        <v>22</v>
      </c>
      <c r="F14011" s="4" t="s">
        <v>70671</v>
      </c>
      <c r="G14011" s="4" t="s">
        <v>70672</v>
      </c>
      <c r="H14011" s="3" t="s">
        <v>70238</v>
      </c>
      <c r="I14011" s="3" t="s">
        <v>4708</v>
      </c>
      <c r="J14011" s="3" t="s">
        <v>70673</v>
      </c>
      <c r="K14011" s="3" t="s">
        <v>70674</v>
      </c>
      <c r="L14011" s="3" t="s">
        <v>70675</v>
      </c>
      <c r="M14011" s="4"/>
      <c r="N14011" s="3" t="s">
        <v>37</v>
      </c>
      <c r="O14011" s="3" t="s">
        <v>38</v>
      </c>
      <c r="P14011" s="5">
        <v>18</v>
      </c>
      <c r="Q14011" s="5">
        <v>366</v>
      </c>
      <c r="R14011" s="5">
        <v>18</v>
      </c>
      <c r="S14011" s="5">
        <v>353</v>
      </c>
    </row>
    <row r="14012" spans="1:19" ht="28" x14ac:dyDescent="0.15">
      <c r="A14012" s="2">
        <f>HYPERLINK("https://open-school.uspishnemisto.com.ua/school/680101/", 680101)</f>
        <v>680101</v>
      </c>
      <c r="B14012" s="3" t="s">
        <v>70676</v>
      </c>
      <c r="C14012" s="3" t="s">
        <v>181</v>
      </c>
      <c r="D14012" s="3" t="s">
        <v>32</v>
      </c>
      <c r="E14012" s="4" t="s">
        <v>22</v>
      </c>
      <c r="F14012" s="4" t="s">
        <v>70671</v>
      </c>
      <c r="G14012" s="4" t="s">
        <v>70672</v>
      </c>
      <c r="H14012" s="3" t="s">
        <v>70238</v>
      </c>
      <c r="I14012" s="3" t="s">
        <v>4708</v>
      </c>
      <c r="J14012" s="3" t="s">
        <v>70677</v>
      </c>
      <c r="K14012" s="3" t="s">
        <v>70678</v>
      </c>
      <c r="L14012" s="3"/>
      <c r="M14012" s="4" t="s">
        <v>70679</v>
      </c>
      <c r="N14012" s="3" t="s">
        <v>37</v>
      </c>
      <c r="O14012" s="3"/>
      <c r="P14012" s="5">
        <v>12</v>
      </c>
      <c r="Q14012" s="5">
        <v>90</v>
      </c>
      <c r="R14012" s="5">
        <v>12</v>
      </c>
      <c r="S14012" s="5">
        <v>96</v>
      </c>
    </row>
    <row r="14013" spans="1:19" ht="28" x14ac:dyDescent="0.15">
      <c r="A14013" s="2">
        <f>HYPERLINK("https://open-school.uspishnemisto.com.ua/school/680102/", 680102)</f>
        <v>680102</v>
      </c>
      <c r="B14013" s="3" t="s">
        <v>70680</v>
      </c>
      <c r="C14013" s="3" t="s">
        <v>31</v>
      </c>
      <c r="D14013" s="3" t="s">
        <v>175</v>
      </c>
      <c r="E14013" s="4" t="s">
        <v>22</v>
      </c>
      <c r="F14013" s="4" t="s">
        <v>70671</v>
      </c>
      <c r="G14013" s="4" t="s">
        <v>70681</v>
      </c>
      <c r="H14013" s="3" t="s">
        <v>70238</v>
      </c>
      <c r="I14013" s="3" t="s">
        <v>19982</v>
      </c>
      <c r="J14013" s="3" t="s">
        <v>27315</v>
      </c>
      <c r="K14013" s="3" t="s">
        <v>70682</v>
      </c>
      <c r="L14013" s="3" t="s">
        <v>70683</v>
      </c>
      <c r="M14013" s="4"/>
      <c r="N14013" s="3" t="s">
        <v>37</v>
      </c>
      <c r="O14013" s="3" t="s">
        <v>38</v>
      </c>
      <c r="P14013" s="5">
        <v>8</v>
      </c>
      <c r="Q14013" s="5">
        <v>68</v>
      </c>
      <c r="R14013" s="5">
        <v>0</v>
      </c>
      <c r="S14013" s="5">
        <v>69</v>
      </c>
    </row>
    <row r="14014" spans="1:19" ht="28" x14ac:dyDescent="0.15">
      <c r="A14014" s="2">
        <f>HYPERLINK("https://open-school.uspishnemisto.com.ua/school/680103/", 680103)</f>
        <v>680103</v>
      </c>
      <c r="B14014" s="3" t="s">
        <v>70684</v>
      </c>
      <c r="C14014" s="3" t="s">
        <v>31</v>
      </c>
      <c r="D14014" s="3" t="s">
        <v>60</v>
      </c>
      <c r="E14014" s="4" t="s">
        <v>22</v>
      </c>
      <c r="F14014" s="4" t="s">
        <v>70671</v>
      </c>
      <c r="G14014" s="4" t="s">
        <v>70685</v>
      </c>
      <c r="H14014" s="3" t="s">
        <v>70238</v>
      </c>
      <c r="I14014" s="3" t="s">
        <v>70686</v>
      </c>
      <c r="J14014" s="3" t="s">
        <v>5606</v>
      </c>
      <c r="K14014" s="3"/>
      <c r="L14014" s="3"/>
      <c r="M14014" s="4"/>
      <c r="N14014" s="3" t="s">
        <v>37</v>
      </c>
      <c r="O14014" s="3" t="s">
        <v>52</v>
      </c>
      <c r="P14014" s="5">
        <v>0</v>
      </c>
      <c r="Q14014" s="5">
        <v>8</v>
      </c>
      <c r="R14014" s="5">
        <v>1</v>
      </c>
      <c r="S14014" s="5">
        <v>10</v>
      </c>
    </row>
    <row r="14015" spans="1:19" ht="28" x14ac:dyDescent="0.15">
      <c r="A14015" s="2">
        <f>HYPERLINK("https://open-school.uspishnemisto.com.ua/school/680104/", 680104)</f>
        <v>680104</v>
      </c>
      <c r="B14015" s="3" t="s">
        <v>70687</v>
      </c>
      <c r="C14015" s="3" t="s">
        <v>31</v>
      </c>
      <c r="D14015" s="3" t="s">
        <v>32</v>
      </c>
      <c r="E14015" s="4" t="s">
        <v>22</v>
      </c>
      <c r="F14015" s="4" t="s">
        <v>70688</v>
      </c>
      <c r="G14015" s="4" t="s">
        <v>70689</v>
      </c>
      <c r="H14015" s="3" t="s">
        <v>70238</v>
      </c>
      <c r="I14015" s="3" t="s">
        <v>70690</v>
      </c>
      <c r="J14015" s="3" t="s">
        <v>2384</v>
      </c>
      <c r="K14015" s="3" t="s">
        <v>70691</v>
      </c>
      <c r="L14015" s="3" t="s">
        <v>70692</v>
      </c>
      <c r="M14015" s="4"/>
      <c r="N14015" s="3" t="s">
        <v>37</v>
      </c>
      <c r="O14015" s="3" t="s">
        <v>46</v>
      </c>
      <c r="P14015" s="5">
        <v>9</v>
      </c>
      <c r="Q14015" s="5">
        <v>68</v>
      </c>
      <c r="R14015" s="5">
        <v>16</v>
      </c>
      <c r="S14015" s="5">
        <v>132</v>
      </c>
    </row>
    <row r="14016" spans="1:19" ht="28" x14ac:dyDescent="0.15">
      <c r="A14016" s="2">
        <f>HYPERLINK("https://open-school.uspishnemisto.com.ua/school/680105/", 680105)</f>
        <v>680105</v>
      </c>
      <c r="B14016" s="3" t="s">
        <v>70693</v>
      </c>
      <c r="C14016" s="3" t="s">
        <v>31</v>
      </c>
      <c r="D14016" s="3" t="s">
        <v>175</v>
      </c>
      <c r="E14016" s="4" t="s">
        <v>22</v>
      </c>
      <c r="F14016" s="4" t="s">
        <v>70694</v>
      </c>
      <c r="G14016" s="4" t="s">
        <v>70695</v>
      </c>
      <c r="H14016" s="3" t="s">
        <v>70238</v>
      </c>
      <c r="I14016" s="3" t="s">
        <v>48872</v>
      </c>
      <c r="J14016" s="3" t="s">
        <v>694</v>
      </c>
      <c r="K14016" s="3" t="s">
        <v>70696</v>
      </c>
      <c r="L14016" s="3"/>
      <c r="M14016" s="4"/>
      <c r="N14016" s="3" t="s">
        <v>37</v>
      </c>
      <c r="O14016" s="3" t="s">
        <v>46</v>
      </c>
      <c r="P14016" s="5">
        <v>6</v>
      </c>
      <c r="Q14016" s="5">
        <v>50</v>
      </c>
      <c r="R14016" s="5">
        <v>6</v>
      </c>
      <c r="S14016" s="5">
        <v>43</v>
      </c>
    </row>
    <row r="14017" spans="1:19" ht="28" x14ac:dyDescent="0.15">
      <c r="A14017" s="2">
        <f>HYPERLINK("https://open-school.uspishnemisto.com.ua/school/680106/", 680106)</f>
        <v>680106</v>
      </c>
      <c r="B14017" s="3" t="s">
        <v>70697</v>
      </c>
      <c r="C14017" s="3" t="s">
        <v>31</v>
      </c>
      <c r="D14017" s="3" t="s">
        <v>60</v>
      </c>
      <c r="E14017" s="4" t="s">
        <v>22</v>
      </c>
      <c r="F14017" s="4" t="s">
        <v>70694</v>
      </c>
      <c r="G14017" s="4" t="s">
        <v>70698</v>
      </c>
      <c r="H14017" s="3" t="s">
        <v>70238</v>
      </c>
      <c r="I14017" s="3" t="s">
        <v>70699</v>
      </c>
      <c r="J14017" s="3" t="s">
        <v>4046</v>
      </c>
      <c r="K14017" s="3" t="s">
        <v>70700</v>
      </c>
      <c r="L14017" s="3"/>
      <c r="M14017" s="4"/>
      <c r="N14017" s="3" t="s">
        <v>37</v>
      </c>
      <c r="O14017" s="3" t="s">
        <v>52</v>
      </c>
      <c r="P14017" s="5">
        <v>1</v>
      </c>
      <c r="Q14017" s="5">
        <v>8</v>
      </c>
      <c r="R14017" s="5">
        <v>0</v>
      </c>
      <c r="S14017" s="5">
        <v>4</v>
      </c>
    </row>
    <row r="14018" spans="1:19" ht="28" x14ac:dyDescent="0.15">
      <c r="A14018" s="2">
        <f>HYPERLINK("https://open-school.uspishnemisto.com.ua/school/680107/", 680107)</f>
        <v>680107</v>
      </c>
      <c r="B14018" s="3" t="s">
        <v>70701</v>
      </c>
      <c r="C14018" s="3" t="s">
        <v>31</v>
      </c>
      <c r="D14018" s="3" t="s">
        <v>19078</v>
      </c>
      <c r="E14018" s="4" t="s">
        <v>22</v>
      </c>
      <c r="F14018" s="4" t="s">
        <v>70702</v>
      </c>
      <c r="G14018" s="4" t="s">
        <v>70703</v>
      </c>
      <c r="H14018" s="3" t="s">
        <v>70238</v>
      </c>
      <c r="I14018" s="3" t="s">
        <v>70704</v>
      </c>
      <c r="J14018" s="3" t="s">
        <v>2253</v>
      </c>
      <c r="K14018" s="3" t="s">
        <v>70705</v>
      </c>
      <c r="L14018" s="3" t="s">
        <v>70706</v>
      </c>
      <c r="M14018" s="4"/>
      <c r="N14018" s="3" t="s">
        <v>37</v>
      </c>
      <c r="O14018" s="3" t="s">
        <v>38</v>
      </c>
      <c r="P14018" s="5">
        <v>9</v>
      </c>
      <c r="Q14018" s="5">
        <v>82</v>
      </c>
      <c r="R14018" s="5">
        <v>11</v>
      </c>
      <c r="S14018" s="5">
        <v>82</v>
      </c>
    </row>
    <row r="14019" spans="1:19" ht="42" x14ac:dyDescent="0.15">
      <c r="A14019" s="2">
        <f>HYPERLINK("https://open-school.uspishnemisto.com.ua/school/680108/", 680108)</f>
        <v>680108</v>
      </c>
      <c r="B14019" s="3" t="s">
        <v>70707</v>
      </c>
      <c r="C14019" s="3" t="s">
        <v>31</v>
      </c>
      <c r="D14019" s="3" t="s">
        <v>32</v>
      </c>
      <c r="E14019" s="4" t="s">
        <v>22</v>
      </c>
      <c r="F14019" s="4" t="s">
        <v>70708</v>
      </c>
      <c r="G14019" s="4" t="s">
        <v>70709</v>
      </c>
      <c r="H14019" s="3" t="s">
        <v>70238</v>
      </c>
      <c r="I14019" s="3" t="s">
        <v>70710</v>
      </c>
      <c r="J14019" s="3" t="s">
        <v>70711</v>
      </c>
      <c r="K14019" s="3" t="s">
        <v>70712</v>
      </c>
      <c r="L14019" s="3" t="s">
        <v>70713</v>
      </c>
      <c r="M14019" s="4"/>
      <c r="N14019" s="3" t="s">
        <v>37</v>
      </c>
      <c r="O14019" s="3" t="s">
        <v>70</v>
      </c>
      <c r="P14019" s="5">
        <v>9</v>
      </c>
      <c r="Q14019" s="5">
        <v>86</v>
      </c>
      <c r="R14019" s="5">
        <v>9</v>
      </c>
      <c r="S14019" s="5">
        <v>87</v>
      </c>
    </row>
    <row r="14020" spans="1:19" ht="28" x14ac:dyDescent="0.15">
      <c r="A14020" s="2">
        <f>HYPERLINK("https://open-school.uspishnemisto.com.ua/school/680109/", 680109)</f>
        <v>680109</v>
      </c>
      <c r="B14020" s="3" t="s">
        <v>70714</v>
      </c>
      <c r="C14020" s="3" t="s">
        <v>31</v>
      </c>
      <c r="D14020" s="3" t="s">
        <v>175</v>
      </c>
      <c r="E14020" s="4" t="s">
        <v>22</v>
      </c>
      <c r="F14020" s="4" t="s">
        <v>70715</v>
      </c>
      <c r="G14020" s="4" t="s">
        <v>70716</v>
      </c>
      <c r="H14020" s="3" t="s">
        <v>70238</v>
      </c>
      <c r="I14020" s="3" t="s">
        <v>53325</v>
      </c>
      <c r="J14020" s="3" t="s">
        <v>785</v>
      </c>
      <c r="K14020" s="3" t="s">
        <v>70717</v>
      </c>
      <c r="L14020" s="3" t="s">
        <v>70718</v>
      </c>
      <c r="M14020" s="4"/>
      <c r="N14020" s="3" t="s">
        <v>37</v>
      </c>
      <c r="O14020" s="3" t="s">
        <v>46</v>
      </c>
      <c r="P14020" s="5">
        <v>9</v>
      </c>
      <c r="Q14020" s="5">
        <v>58</v>
      </c>
      <c r="R14020" s="5">
        <v>9</v>
      </c>
      <c r="S14020" s="5">
        <v>63</v>
      </c>
    </row>
    <row r="14021" spans="1:19" ht="28" x14ac:dyDescent="0.15">
      <c r="A14021" s="2">
        <f>HYPERLINK("https://open-school.uspishnemisto.com.ua/school/680110/", 680110)</f>
        <v>680110</v>
      </c>
      <c r="B14021" s="3" t="s">
        <v>70719</v>
      </c>
      <c r="C14021" s="3" t="s">
        <v>31</v>
      </c>
      <c r="D14021" s="3" t="s">
        <v>175</v>
      </c>
      <c r="E14021" s="4" t="s">
        <v>22</v>
      </c>
      <c r="F14021" s="4" t="s">
        <v>70720</v>
      </c>
      <c r="G14021" s="4" t="s">
        <v>70721</v>
      </c>
      <c r="H14021" s="3" t="s">
        <v>70238</v>
      </c>
      <c r="I14021" s="3" t="s">
        <v>70722</v>
      </c>
      <c r="J14021" s="3" t="s">
        <v>5971</v>
      </c>
      <c r="K14021" s="3"/>
      <c r="L14021" s="3"/>
      <c r="M14021" s="4"/>
      <c r="N14021" s="3" t="s">
        <v>37</v>
      </c>
      <c r="O14021" s="3" t="s">
        <v>46</v>
      </c>
      <c r="P14021" s="5">
        <v>2</v>
      </c>
      <c r="Q14021" s="5">
        <v>27</v>
      </c>
      <c r="R14021" s="5">
        <v>2</v>
      </c>
      <c r="S14021" s="5">
        <v>25</v>
      </c>
    </row>
    <row r="14022" spans="1:19" ht="28" x14ac:dyDescent="0.15">
      <c r="A14022" s="2">
        <f>HYPERLINK("https://open-school.uspishnemisto.com.ua/school/680111/", 680111)</f>
        <v>680111</v>
      </c>
      <c r="B14022" s="3" t="s">
        <v>70723</v>
      </c>
      <c r="C14022" s="3" t="s">
        <v>31</v>
      </c>
      <c r="D14022" s="3" t="s">
        <v>32</v>
      </c>
      <c r="E14022" s="4" t="s">
        <v>22</v>
      </c>
      <c r="F14022" s="4" t="s">
        <v>70724</v>
      </c>
      <c r="G14022" s="4" t="s">
        <v>70725</v>
      </c>
      <c r="H14022" s="3" t="s">
        <v>70238</v>
      </c>
      <c r="I14022" s="3" t="s">
        <v>3217</v>
      </c>
      <c r="J14022" s="3" t="s">
        <v>297</v>
      </c>
      <c r="K14022" s="3" t="s">
        <v>70726</v>
      </c>
      <c r="L14022" s="3" t="s">
        <v>70727</v>
      </c>
      <c r="M14022" s="4"/>
      <c r="N14022" s="3" t="s">
        <v>37</v>
      </c>
      <c r="O14022" s="3" t="s">
        <v>38</v>
      </c>
      <c r="P14022" s="5">
        <v>5</v>
      </c>
      <c r="Q14022" s="5">
        <v>46</v>
      </c>
      <c r="R14022" s="5">
        <v>8</v>
      </c>
      <c r="S14022" s="5">
        <v>63</v>
      </c>
    </row>
    <row r="14023" spans="1:19" ht="28" x14ac:dyDescent="0.15">
      <c r="A14023" s="2">
        <f>HYPERLINK("https://open-school.uspishnemisto.com.ua/school/680112/", 680112)</f>
        <v>680112</v>
      </c>
      <c r="B14023" s="3" t="s">
        <v>70728</v>
      </c>
      <c r="C14023" s="3" t="s">
        <v>31</v>
      </c>
      <c r="D14023" s="3" t="s">
        <v>32</v>
      </c>
      <c r="E14023" s="4" t="s">
        <v>22</v>
      </c>
      <c r="F14023" s="4" t="s">
        <v>70729</v>
      </c>
      <c r="G14023" s="4" t="s">
        <v>70730</v>
      </c>
      <c r="H14023" s="3" t="s">
        <v>70238</v>
      </c>
      <c r="I14023" s="3" t="s">
        <v>3357</v>
      </c>
      <c r="J14023" s="3" t="s">
        <v>6666</v>
      </c>
      <c r="K14023" s="3"/>
      <c r="L14023" s="3"/>
      <c r="M14023" s="4"/>
      <c r="N14023" s="3" t="s">
        <v>37</v>
      </c>
      <c r="O14023" s="3" t="s">
        <v>38</v>
      </c>
      <c r="P14023" s="5">
        <v>11</v>
      </c>
      <c r="Q14023" s="5">
        <v>96</v>
      </c>
      <c r="R14023" s="5">
        <v>11</v>
      </c>
      <c r="S14023" s="5">
        <v>100</v>
      </c>
    </row>
    <row r="14024" spans="1:19" ht="28" x14ac:dyDescent="0.15">
      <c r="A14024" s="2">
        <f>HYPERLINK("https://open-school.uspishnemisto.com.ua/school/680113/", 680113)</f>
        <v>680113</v>
      </c>
      <c r="B14024" s="3" t="s">
        <v>70731</v>
      </c>
      <c r="C14024" s="3" t="s">
        <v>31</v>
      </c>
      <c r="D14024" s="3" t="s">
        <v>175</v>
      </c>
      <c r="E14024" s="4" t="s">
        <v>22</v>
      </c>
      <c r="F14024" s="4"/>
      <c r="G14024" s="4" t="s">
        <v>70732</v>
      </c>
      <c r="H14024" s="3" t="s">
        <v>70238</v>
      </c>
      <c r="I14024" s="3" t="s">
        <v>70733</v>
      </c>
      <c r="J14024" s="3" t="s">
        <v>1792</v>
      </c>
      <c r="K14024" s="3"/>
      <c r="L14024" s="3"/>
      <c r="M14024" s="4"/>
      <c r="N14024" s="3" t="s">
        <v>37</v>
      </c>
      <c r="O14024" s="3" t="s">
        <v>46</v>
      </c>
      <c r="P14024" s="5">
        <v>2</v>
      </c>
      <c r="Q14024" s="5">
        <v>29</v>
      </c>
      <c r="R14024" s="5">
        <v>0</v>
      </c>
      <c r="S14024" s="5">
        <v>0</v>
      </c>
    </row>
    <row r="14025" spans="1:19" ht="28" x14ac:dyDescent="0.15">
      <c r="A14025" s="2">
        <f>HYPERLINK("https://open-school.uspishnemisto.com.ua/school/680114/", 680114)</f>
        <v>680114</v>
      </c>
      <c r="B14025" s="3" t="s">
        <v>70734</v>
      </c>
      <c r="C14025" s="3" t="s">
        <v>31</v>
      </c>
      <c r="D14025" s="3" t="s">
        <v>32</v>
      </c>
      <c r="E14025" s="4" t="s">
        <v>22</v>
      </c>
      <c r="F14025" s="4" t="s">
        <v>70735</v>
      </c>
      <c r="G14025" s="4" t="s">
        <v>70736</v>
      </c>
      <c r="H14025" s="3" t="s">
        <v>70238</v>
      </c>
      <c r="I14025" s="3" t="s">
        <v>8067</v>
      </c>
      <c r="J14025" s="3" t="s">
        <v>2372</v>
      </c>
      <c r="K14025" s="3" t="s">
        <v>70737</v>
      </c>
      <c r="L14025" s="3" t="s">
        <v>70738</v>
      </c>
      <c r="M14025" s="4"/>
      <c r="N14025" s="3" t="s">
        <v>37</v>
      </c>
      <c r="O14025" s="3" t="s">
        <v>46</v>
      </c>
      <c r="P14025" s="5">
        <v>9</v>
      </c>
      <c r="Q14025" s="5">
        <v>99</v>
      </c>
      <c r="R14025" s="5">
        <v>9</v>
      </c>
      <c r="S14025" s="5">
        <v>76</v>
      </c>
    </row>
    <row r="14026" spans="1:19" ht="28" x14ac:dyDescent="0.15">
      <c r="A14026" s="2">
        <f>HYPERLINK("https://open-school.uspishnemisto.com.ua/school/680116/", 680116)</f>
        <v>680116</v>
      </c>
      <c r="B14026" s="3" t="s">
        <v>70739</v>
      </c>
      <c r="C14026" s="3" t="s">
        <v>31</v>
      </c>
      <c r="D14026" s="3" t="s">
        <v>175</v>
      </c>
      <c r="E14026" s="4" t="s">
        <v>22</v>
      </c>
      <c r="F14026" s="4" t="s">
        <v>70735</v>
      </c>
      <c r="G14026" s="4" t="s">
        <v>70740</v>
      </c>
      <c r="H14026" s="3" t="s">
        <v>70238</v>
      </c>
      <c r="I14026" s="3" t="s">
        <v>5965</v>
      </c>
      <c r="J14026" s="3" t="s">
        <v>1668</v>
      </c>
      <c r="K14026" s="3" t="s">
        <v>70741</v>
      </c>
      <c r="L14026" s="3" t="s">
        <v>70742</v>
      </c>
      <c r="M14026" s="4"/>
      <c r="N14026" s="3" t="s">
        <v>37</v>
      </c>
      <c r="O14026" s="3" t="s">
        <v>38</v>
      </c>
      <c r="P14026" s="5">
        <v>8</v>
      </c>
      <c r="Q14026" s="5">
        <v>58</v>
      </c>
      <c r="R14026" s="5">
        <v>8</v>
      </c>
      <c r="S14026" s="5">
        <v>58</v>
      </c>
    </row>
    <row r="14027" spans="1:19" ht="28" x14ac:dyDescent="0.15">
      <c r="A14027" s="2">
        <f>HYPERLINK("https://open-school.uspishnemisto.com.ua/school/680117/", 680117)</f>
        <v>680117</v>
      </c>
      <c r="B14027" s="3" t="s">
        <v>70743</v>
      </c>
      <c r="C14027" s="3" t="s">
        <v>31</v>
      </c>
      <c r="D14027" s="3" t="s">
        <v>175</v>
      </c>
      <c r="E14027" s="4" t="s">
        <v>22</v>
      </c>
      <c r="F14027" s="4"/>
      <c r="G14027" s="4" t="s">
        <v>70744</v>
      </c>
      <c r="H14027" s="3" t="s">
        <v>70238</v>
      </c>
      <c r="I14027" s="3" t="s">
        <v>48066</v>
      </c>
      <c r="J14027" s="3" t="s">
        <v>12702</v>
      </c>
      <c r="K14027" s="3"/>
      <c r="L14027" s="3" t="s">
        <v>70745</v>
      </c>
      <c r="M14027" s="4"/>
      <c r="N14027" s="3" t="s">
        <v>37</v>
      </c>
      <c r="O14027" s="3" t="s">
        <v>46</v>
      </c>
      <c r="P14027" s="5">
        <v>6</v>
      </c>
      <c r="Q14027" s="5">
        <v>43</v>
      </c>
      <c r="R14027" s="5">
        <v>5</v>
      </c>
      <c r="S14027" s="5">
        <v>41</v>
      </c>
    </row>
    <row r="14028" spans="1:19" ht="28" x14ac:dyDescent="0.15">
      <c r="A14028" s="2">
        <f>HYPERLINK("https://open-school.uspishnemisto.com.ua/school/680118/", 680118)</f>
        <v>680118</v>
      </c>
      <c r="B14028" s="3" t="s">
        <v>70746</v>
      </c>
      <c r="C14028" s="3" t="s">
        <v>31</v>
      </c>
      <c r="D14028" s="3" t="s">
        <v>175</v>
      </c>
      <c r="E14028" s="4" t="s">
        <v>22</v>
      </c>
      <c r="F14028" s="4" t="s">
        <v>70747</v>
      </c>
      <c r="G14028" s="4" t="s">
        <v>70748</v>
      </c>
      <c r="H14028" s="3" t="s">
        <v>70238</v>
      </c>
      <c r="I14028" s="3" t="s">
        <v>61821</v>
      </c>
      <c r="J14028" s="3" t="s">
        <v>70749</v>
      </c>
      <c r="K14028" s="3" t="s">
        <v>70750</v>
      </c>
      <c r="L14028" s="3" t="s">
        <v>70751</v>
      </c>
      <c r="M14028" s="4"/>
      <c r="N14028" s="3" t="s">
        <v>37</v>
      </c>
      <c r="O14028" s="3" t="s">
        <v>46</v>
      </c>
      <c r="P14028" s="5">
        <v>1</v>
      </c>
      <c r="Q14028" s="5">
        <v>26</v>
      </c>
      <c r="R14028" s="5">
        <v>7</v>
      </c>
      <c r="S14028" s="5">
        <v>25</v>
      </c>
    </row>
    <row r="14029" spans="1:19" ht="28" x14ac:dyDescent="0.15">
      <c r="A14029" s="2">
        <f>HYPERLINK("https://open-school.uspishnemisto.com.ua/school/680119/", 680119)</f>
        <v>680119</v>
      </c>
      <c r="B14029" s="3" t="s">
        <v>70752</v>
      </c>
      <c r="C14029" s="3" t="s">
        <v>31</v>
      </c>
      <c r="D14029" s="3" t="s">
        <v>32</v>
      </c>
      <c r="E14029" s="4" t="s">
        <v>22</v>
      </c>
      <c r="F14029" s="4" t="s">
        <v>70753</v>
      </c>
      <c r="G14029" s="4" t="s">
        <v>70754</v>
      </c>
      <c r="H14029" s="3" t="s">
        <v>70238</v>
      </c>
      <c r="I14029" s="3" t="s">
        <v>70755</v>
      </c>
      <c r="J14029" s="3" t="s">
        <v>70756</v>
      </c>
      <c r="K14029" s="3" t="s">
        <v>70757</v>
      </c>
      <c r="L14029" s="3" t="s">
        <v>70758</v>
      </c>
      <c r="M14029" s="4"/>
      <c r="N14029" s="3" t="s">
        <v>37</v>
      </c>
      <c r="O14029" s="3" t="s">
        <v>70</v>
      </c>
      <c r="P14029" s="5">
        <v>8</v>
      </c>
      <c r="Q14029" s="5">
        <v>52</v>
      </c>
      <c r="R14029" s="5">
        <v>10</v>
      </c>
      <c r="S14029" s="5">
        <v>67</v>
      </c>
    </row>
    <row r="14030" spans="1:19" ht="28" x14ac:dyDescent="0.15">
      <c r="A14030" s="2">
        <f>HYPERLINK("https://open-school.uspishnemisto.com.ua/school/680120/", 680120)</f>
        <v>680120</v>
      </c>
      <c r="B14030" s="3" t="s">
        <v>70759</v>
      </c>
      <c r="C14030" s="3" t="s">
        <v>31</v>
      </c>
      <c r="D14030" s="3" t="s">
        <v>60</v>
      </c>
      <c r="E14030" s="4" t="s">
        <v>22</v>
      </c>
      <c r="F14030" s="4"/>
      <c r="G14030" s="4" t="s">
        <v>70760</v>
      </c>
      <c r="H14030" s="3" t="s">
        <v>70238</v>
      </c>
      <c r="I14030" s="3" t="s">
        <v>70761</v>
      </c>
      <c r="J14030" s="3" t="s">
        <v>70762</v>
      </c>
      <c r="K14030" s="3" t="s">
        <v>70763</v>
      </c>
      <c r="L14030" s="3"/>
      <c r="M14030" s="4"/>
      <c r="N14030" s="3" t="s">
        <v>37</v>
      </c>
      <c r="O14030" s="3" t="s">
        <v>52</v>
      </c>
      <c r="P14030" s="5">
        <v>0</v>
      </c>
      <c r="Q14030" s="5">
        <v>8</v>
      </c>
      <c r="R14030" s="5">
        <v>3</v>
      </c>
      <c r="S14030" s="5">
        <v>9</v>
      </c>
    </row>
    <row r="14031" spans="1:19" ht="28" x14ac:dyDescent="0.15">
      <c r="A14031" s="2">
        <f>HYPERLINK("https://open-school.uspishnemisto.com.ua/school/680122/", 680122)</f>
        <v>680122</v>
      </c>
      <c r="B14031" s="3" t="s">
        <v>70764</v>
      </c>
      <c r="C14031" s="3" t="s">
        <v>31</v>
      </c>
      <c r="D14031" s="3" t="s">
        <v>60</v>
      </c>
      <c r="E14031" s="4" t="s">
        <v>22</v>
      </c>
      <c r="F14031" s="4" t="s">
        <v>70765</v>
      </c>
      <c r="G14031" s="4" t="s">
        <v>70766</v>
      </c>
      <c r="H14031" s="3" t="s">
        <v>70238</v>
      </c>
      <c r="I14031" s="3" t="s">
        <v>70767</v>
      </c>
      <c r="J14031" s="3" t="s">
        <v>21270</v>
      </c>
      <c r="K14031" s="3"/>
      <c r="L14031" s="3"/>
      <c r="M14031" s="4"/>
      <c r="N14031" s="3" t="s">
        <v>37</v>
      </c>
      <c r="O14031" s="3" t="s">
        <v>52</v>
      </c>
      <c r="P14031" s="5">
        <v>3</v>
      </c>
      <c r="Q14031" s="5">
        <v>27</v>
      </c>
      <c r="R14031" s="5">
        <v>2</v>
      </c>
      <c r="S14031" s="5">
        <v>22</v>
      </c>
    </row>
    <row r="14032" spans="1:19" ht="28" x14ac:dyDescent="0.15">
      <c r="A14032" s="2">
        <f>HYPERLINK("https://open-school.uspishnemisto.com.ua/school/680121/", 680121)</f>
        <v>680121</v>
      </c>
      <c r="B14032" s="3" t="s">
        <v>70768</v>
      </c>
      <c r="C14032" s="3" t="s">
        <v>31</v>
      </c>
      <c r="D14032" s="3" t="s">
        <v>60</v>
      </c>
      <c r="E14032" s="4" t="s">
        <v>22</v>
      </c>
      <c r="F14032" s="4" t="s">
        <v>70765</v>
      </c>
      <c r="G14032" s="4" t="s">
        <v>70769</v>
      </c>
      <c r="H14032" s="3" t="s">
        <v>70238</v>
      </c>
      <c r="I14032" s="3" t="s">
        <v>70770</v>
      </c>
      <c r="J14032" s="3" t="s">
        <v>5606</v>
      </c>
      <c r="K14032" s="3" t="s">
        <v>70771</v>
      </c>
      <c r="L14032" s="3"/>
      <c r="M14032" s="4"/>
      <c r="N14032" s="3" t="s">
        <v>37</v>
      </c>
      <c r="O14032" s="3" t="s">
        <v>52</v>
      </c>
      <c r="P14032" s="5">
        <v>3</v>
      </c>
      <c r="Q14032" s="5">
        <v>17</v>
      </c>
      <c r="R14032" s="5">
        <v>2</v>
      </c>
      <c r="S14032" s="5">
        <v>21</v>
      </c>
    </row>
    <row r="14033" spans="1:19" ht="28" x14ac:dyDescent="0.15">
      <c r="A14033" s="2">
        <f>HYPERLINK("https://open-school.uspishnemisto.com.ua/school/680123/", 680123)</f>
        <v>680123</v>
      </c>
      <c r="B14033" s="3" t="s">
        <v>70772</v>
      </c>
      <c r="C14033" s="3" t="s">
        <v>31</v>
      </c>
      <c r="D14033" s="3" t="s">
        <v>60</v>
      </c>
      <c r="E14033" s="4" t="s">
        <v>22</v>
      </c>
      <c r="F14033" s="4" t="s">
        <v>70735</v>
      </c>
      <c r="G14033" s="4" t="s">
        <v>70773</v>
      </c>
      <c r="H14033" s="3" t="s">
        <v>70238</v>
      </c>
      <c r="I14033" s="3" t="s">
        <v>70774</v>
      </c>
      <c r="J14033" s="3" t="s">
        <v>5394</v>
      </c>
      <c r="K14033" s="3"/>
      <c r="L14033" s="3"/>
      <c r="M14033" s="4"/>
      <c r="N14033" s="3" t="s">
        <v>37</v>
      </c>
      <c r="O14033" s="3" t="s">
        <v>52</v>
      </c>
      <c r="P14033" s="5">
        <v>2</v>
      </c>
      <c r="Q14033" s="5">
        <v>21</v>
      </c>
      <c r="R14033" s="5">
        <v>4</v>
      </c>
      <c r="S14033" s="5">
        <v>28</v>
      </c>
    </row>
    <row r="14034" spans="1:19" ht="28" x14ac:dyDescent="0.15">
      <c r="A14034" s="2">
        <f>HYPERLINK("https://open-school.uspishnemisto.com.ua/school/680124/", 680124)</f>
        <v>680124</v>
      </c>
      <c r="B14034" s="3" t="s">
        <v>70775</v>
      </c>
      <c r="C14034" s="3" t="s">
        <v>31</v>
      </c>
      <c r="D14034" s="3" t="s">
        <v>175</v>
      </c>
      <c r="E14034" s="4" t="s">
        <v>22</v>
      </c>
      <c r="F14034" s="4" t="s">
        <v>70776</v>
      </c>
      <c r="G14034" s="4" t="s">
        <v>70777</v>
      </c>
      <c r="H14034" s="3" t="s">
        <v>70238</v>
      </c>
      <c r="I14034" s="3" t="s">
        <v>70778</v>
      </c>
      <c r="J14034" s="3" t="s">
        <v>2978</v>
      </c>
      <c r="K14034" s="3" t="s">
        <v>70779</v>
      </c>
      <c r="L14034" s="3" t="s">
        <v>70780</v>
      </c>
      <c r="M14034" s="4"/>
      <c r="N14034" s="3" t="s">
        <v>37</v>
      </c>
      <c r="O14034" s="3" t="s">
        <v>70</v>
      </c>
      <c r="P14034" s="5">
        <v>5</v>
      </c>
      <c r="Q14034" s="5">
        <v>44</v>
      </c>
      <c r="R14034" s="5">
        <v>5</v>
      </c>
      <c r="S14034" s="5">
        <v>43</v>
      </c>
    </row>
    <row r="14035" spans="1:19" ht="28" x14ac:dyDescent="0.15">
      <c r="A14035" s="2">
        <f>HYPERLINK("https://open-school.uspishnemisto.com.ua/school/680125/", 680125)</f>
        <v>680125</v>
      </c>
      <c r="B14035" s="3" t="s">
        <v>70781</v>
      </c>
      <c r="C14035" s="3" t="s">
        <v>31</v>
      </c>
      <c r="D14035" s="3" t="s">
        <v>175</v>
      </c>
      <c r="E14035" s="4" t="s">
        <v>22</v>
      </c>
      <c r="F14035" s="4" t="s">
        <v>70782</v>
      </c>
      <c r="G14035" s="4" t="s">
        <v>70783</v>
      </c>
      <c r="H14035" s="3" t="s">
        <v>70238</v>
      </c>
      <c r="I14035" s="3" t="s">
        <v>30399</v>
      </c>
      <c r="J14035" s="3" t="s">
        <v>70784</v>
      </c>
      <c r="K14035" s="3" t="s">
        <v>70785</v>
      </c>
      <c r="L14035" s="3" t="s">
        <v>70786</v>
      </c>
      <c r="M14035" s="4"/>
      <c r="N14035" s="3" t="s">
        <v>37</v>
      </c>
      <c r="O14035" s="3" t="s">
        <v>112</v>
      </c>
      <c r="P14035" s="5">
        <v>4</v>
      </c>
      <c r="Q14035" s="5">
        <v>38</v>
      </c>
      <c r="R14035" s="5">
        <v>8</v>
      </c>
      <c r="S14035" s="5">
        <v>35</v>
      </c>
    </row>
    <row r="14036" spans="1:19" ht="28" x14ac:dyDescent="0.15">
      <c r="A14036" s="2">
        <f>HYPERLINK("https://open-school.uspishnemisto.com.ua/school/680126/", 680126)</f>
        <v>680126</v>
      </c>
      <c r="B14036" s="3" t="s">
        <v>70787</v>
      </c>
      <c r="C14036" s="3" t="s">
        <v>31</v>
      </c>
      <c r="D14036" s="3" t="s">
        <v>32</v>
      </c>
      <c r="E14036" s="4" t="s">
        <v>22</v>
      </c>
      <c r="F14036" s="4" t="s">
        <v>70747</v>
      </c>
      <c r="G14036" s="4" t="s">
        <v>70788</v>
      </c>
      <c r="H14036" s="3" t="s">
        <v>70238</v>
      </c>
      <c r="I14036" s="3" t="s">
        <v>70789</v>
      </c>
      <c r="J14036" s="3" t="s">
        <v>70790</v>
      </c>
      <c r="K14036" s="3" t="s">
        <v>70791</v>
      </c>
      <c r="L14036" s="3"/>
      <c r="M14036" s="4"/>
      <c r="N14036" s="3" t="s">
        <v>37</v>
      </c>
      <c r="O14036" s="3" t="s">
        <v>46</v>
      </c>
      <c r="P14036" s="5">
        <v>9</v>
      </c>
      <c r="Q14036" s="5">
        <v>65</v>
      </c>
      <c r="R14036" s="5">
        <v>9</v>
      </c>
      <c r="S14036" s="5">
        <v>67</v>
      </c>
    </row>
    <row r="14037" spans="1:19" ht="28" x14ac:dyDescent="0.15">
      <c r="A14037" s="2">
        <f>HYPERLINK("https://open-school.uspishnemisto.com.ua/school/680127/", 680127)</f>
        <v>680127</v>
      </c>
      <c r="B14037" s="3" t="s">
        <v>70792</v>
      </c>
      <c r="C14037" s="3" t="s">
        <v>31</v>
      </c>
      <c r="D14037" s="3" t="s">
        <v>175</v>
      </c>
      <c r="E14037" s="4" t="s">
        <v>22</v>
      </c>
      <c r="F14037" s="4" t="s">
        <v>70793</v>
      </c>
      <c r="G14037" s="4" t="s">
        <v>70794</v>
      </c>
      <c r="H14037" s="3" t="s">
        <v>70238</v>
      </c>
      <c r="I14037" s="3" t="s">
        <v>63256</v>
      </c>
      <c r="J14037" s="3" t="s">
        <v>8152</v>
      </c>
      <c r="K14037" s="3" t="s">
        <v>70795</v>
      </c>
      <c r="L14037" s="3" t="s">
        <v>70796</v>
      </c>
      <c r="M14037" s="4"/>
      <c r="N14037" s="3" t="s">
        <v>37</v>
      </c>
      <c r="O14037" s="3" t="s">
        <v>70</v>
      </c>
      <c r="P14037" s="5">
        <v>2</v>
      </c>
      <c r="Q14037" s="5">
        <v>25</v>
      </c>
      <c r="R14037" s="5">
        <v>7</v>
      </c>
      <c r="S14037" s="5">
        <v>35</v>
      </c>
    </row>
    <row r="14038" spans="1:19" ht="28" x14ac:dyDescent="0.15">
      <c r="A14038" s="2">
        <f>HYPERLINK("https://open-school.uspishnemisto.com.ua/school/680128/", 680128)</f>
        <v>680128</v>
      </c>
      <c r="B14038" s="3" t="s">
        <v>70797</v>
      </c>
      <c r="C14038" s="3" t="s">
        <v>31</v>
      </c>
      <c r="D14038" s="3" t="s">
        <v>175</v>
      </c>
      <c r="E14038" s="4" t="s">
        <v>22</v>
      </c>
      <c r="F14038" s="4" t="s">
        <v>70798</v>
      </c>
      <c r="G14038" s="4" t="s">
        <v>70799</v>
      </c>
      <c r="H14038" s="3" t="s">
        <v>70238</v>
      </c>
      <c r="I14038" s="3" t="s">
        <v>70800</v>
      </c>
      <c r="J14038" s="3" t="s">
        <v>70801</v>
      </c>
      <c r="K14038" s="3" t="s">
        <v>70802</v>
      </c>
      <c r="L14038" s="3"/>
      <c r="M14038" s="4"/>
      <c r="N14038" s="3" t="s">
        <v>37</v>
      </c>
      <c r="O14038" s="3" t="s">
        <v>46</v>
      </c>
      <c r="P14038" s="5">
        <v>5</v>
      </c>
      <c r="Q14038" s="5">
        <v>34</v>
      </c>
      <c r="R14038" s="5">
        <v>4</v>
      </c>
      <c r="S14038" s="5">
        <v>32</v>
      </c>
    </row>
    <row r="14039" spans="1:19" ht="28" x14ac:dyDescent="0.15">
      <c r="A14039" s="2">
        <f>HYPERLINK("https://open-school.uspishnemisto.com.ua/school/680129/", 680129)</f>
        <v>680129</v>
      </c>
      <c r="B14039" s="3" t="s">
        <v>70803</v>
      </c>
      <c r="C14039" s="3" t="s">
        <v>31</v>
      </c>
      <c r="D14039" s="3" t="s">
        <v>60</v>
      </c>
      <c r="E14039" s="4" t="s">
        <v>22</v>
      </c>
      <c r="F14039" s="4" t="s">
        <v>70804</v>
      </c>
      <c r="G14039" s="4" t="s">
        <v>70805</v>
      </c>
      <c r="H14039" s="3" t="s">
        <v>70238</v>
      </c>
      <c r="I14039" s="3" t="s">
        <v>70806</v>
      </c>
      <c r="J14039" s="3" t="s">
        <v>3266</v>
      </c>
      <c r="K14039" s="3"/>
      <c r="L14039" s="3"/>
      <c r="M14039" s="4"/>
      <c r="N14039" s="3" t="s">
        <v>37</v>
      </c>
      <c r="O14039" s="3" t="s">
        <v>52</v>
      </c>
      <c r="P14039" s="5">
        <v>0</v>
      </c>
      <c r="Q14039" s="5">
        <v>14</v>
      </c>
      <c r="R14039" s="5">
        <v>1</v>
      </c>
      <c r="S14039" s="5">
        <v>15</v>
      </c>
    </row>
    <row r="14040" spans="1:19" ht="28" x14ac:dyDescent="0.15">
      <c r="A14040" s="2">
        <f>HYPERLINK("https://open-school.uspishnemisto.com.ua/school/680130/", 680130)</f>
        <v>680130</v>
      </c>
      <c r="B14040" s="3" t="s">
        <v>70807</v>
      </c>
      <c r="C14040" s="3" t="s">
        <v>31</v>
      </c>
      <c r="D14040" s="3" t="s">
        <v>32</v>
      </c>
      <c r="E14040" s="4" t="s">
        <v>22</v>
      </c>
      <c r="F14040" s="4" t="s">
        <v>70808</v>
      </c>
      <c r="G14040" s="4" t="s">
        <v>70809</v>
      </c>
      <c r="H14040" s="3" t="s">
        <v>70238</v>
      </c>
      <c r="I14040" s="3" t="s">
        <v>70810</v>
      </c>
      <c r="J14040" s="3" t="s">
        <v>70811</v>
      </c>
      <c r="K14040" s="3" t="s">
        <v>70812</v>
      </c>
      <c r="L14040" s="3"/>
      <c r="M14040" s="4"/>
      <c r="N14040" s="3" t="s">
        <v>37</v>
      </c>
      <c r="O14040" s="3" t="s">
        <v>46</v>
      </c>
      <c r="P14040" s="5">
        <v>7</v>
      </c>
      <c r="Q14040" s="5">
        <v>52</v>
      </c>
      <c r="R14040" s="5">
        <v>6</v>
      </c>
      <c r="S14040" s="5">
        <v>54</v>
      </c>
    </row>
    <row r="14041" spans="1:19" ht="28" x14ac:dyDescent="0.15">
      <c r="A14041" s="2">
        <f>HYPERLINK("https://open-school.uspishnemisto.com.ua/school/680131/", 680131)</f>
        <v>680131</v>
      </c>
      <c r="B14041" s="3" t="s">
        <v>70813</v>
      </c>
      <c r="C14041" s="3" t="s">
        <v>31</v>
      </c>
      <c r="D14041" s="3" t="s">
        <v>32</v>
      </c>
      <c r="E14041" s="4" t="s">
        <v>22</v>
      </c>
      <c r="F14041" s="4" t="s">
        <v>70814</v>
      </c>
      <c r="G14041" s="4" t="s">
        <v>70815</v>
      </c>
      <c r="H14041" s="3" t="s">
        <v>70238</v>
      </c>
      <c r="I14041" s="3" t="s">
        <v>70816</v>
      </c>
      <c r="J14041" s="3" t="s">
        <v>10830</v>
      </c>
      <c r="K14041" s="3" t="s">
        <v>70817</v>
      </c>
      <c r="L14041" s="3" t="s">
        <v>70818</v>
      </c>
      <c r="M14041" s="4"/>
      <c r="N14041" s="3" t="s">
        <v>37</v>
      </c>
      <c r="O14041" s="3" t="s">
        <v>46</v>
      </c>
      <c r="P14041" s="5">
        <v>9</v>
      </c>
      <c r="Q14041" s="5">
        <v>71</v>
      </c>
      <c r="R14041" s="5">
        <v>8</v>
      </c>
      <c r="S14041" s="5">
        <v>60</v>
      </c>
    </row>
    <row r="14042" spans="1:19" ht="28" x14ac:dyDescent="0.15">
      <c r="A14042" s="2">
        <f>HYPERLINK("https://open-school.uspishnemisto.com.ua/school/680132/", 680132)</f>
        <v>680132</v>
      </c>
      <c r="B14042" s="3" t="s">
        <v>70819</v>
      </c>
      <c r="C14042" s="3" t="s">
        <v>31</v>
      </c>
      <c r="D14042" s="3" t="s">
        <v>32</v>
      </c>
      <c r="E14042" s="4" t="s">
        <v>22</v>
      </c>
      <c r="F14042" s="4" t="s">
        <v>70820</v>
      </c>
      <c r="G14042" s="4" t="s">
        <v>70821</v>
      </c>
      <c r="H14042" s="3" t="s">
        <v>70238</v>
      </c>
      <c r="I14042" s="3" t="s">
        <v>17185</v>
      </c>
      <c r="J14042" s="3" t="s">
        <v>792</v>
      </c>
      <c r="K14042" s="3" t="s">
        <v>70822</v>
      </c>
      <c r="L14042" s="3"/>
      <c r="M14042" s="4"/>
      <c r="N14042" s="3" t="s">
        <v>37</v>
      </c>
      <c r="O14042" s="3" t="s">
        <v>46</v>
      </c>
      <c r="P14042" s="5">
        <v>11</v>
      </c>
      <c r="Q14042" s="5">
        <v>113</v>
      </c>
      <c r="R14042" s="5">
        <v>11</v>
      </c>
      <c r="S14042" s="5">
        <v>115</v>
      </c>
    </row>
    <row r="14043" spans="1:19" ht="28" x14ac:dyDescent="0.15">
      <c r="A14043" s="2">
        <f>HYPERLINK("https://open-school.uspishnemisto.com.ua/school/680133/", 680133)</f>
        <v>680133</v>
      </c>
      <c r="B14043" s="3" t="s">
        <v>70823</v>
      </c>
      <c r="C14043" s="3" t="s">
        <v>31</v>
      </c>
      <c r="D14043" s="3" t="s">
        <v>60</v>
      </c>
      <c r="E14043" s="4" t="s">
        <v>22</v>
      </c>
      <c r="F14043" s="4" t="s">
        <v>70820</v>
      </c>
      <c r="G14043" s="4" t="s">
        <v>70824</v>
      </c>
      <c r="H14043" s="3" t="s">
        <v>70238</v>
      </c>
      <c r="I14043" s="3" t="s">
        <v>70825</v>
      </c>
      <c r="J14043" s="3" t="s">
        <v>1719</v>
      </c>
      <c r="K14043" s="3" t="s">
        <v>70826</v>
      </c>
      <c r="L14043" s="3"/>
      <c r="M14043" s="4"/>
      <c r="N14043" s="3" t="s">
        <v>37</v>
      </c>
      <c r="O14043" s="3" t="s">
        <v>52</v>
      </c>
      <c r="P14043" s="5">
        <v>1</v>
      </c>
      <c r="Q14043" s="5">
        <v>15</v>
      </c>
      <c r="R14043" s="5">
        <v>4</v>
      </c>
      <c r="S14043" s="5">
        <v>14</v>
      </c>
    </row>
    <row r="14044" spans="1:19" ht="28" x14ac:dyDescent="0.15">
      <c r="A14044" s="2">
        <f>HYPERLINK("https://open-school.uspishnemisto.com.ua/school/680134/", 680134)</f>
        <v>680134</v>
      </c>
      <c r="B14044" s="3" t="s">
        <v>70827</v>
      </c>
      <c r="C14044" s="3" t="s">
        <v>31</v>
      </c>
      <c r="D14044" s="3" t="s">
        <v>175</v>
      </c>
      <c r="E14044" s="4" t="s">
        <v>22</v>
      </c>
      <c r="F14044" s="4" t="s">
        <v>70820</v>
      </c>
      <c r="G14044" s="4" t="s">
        <v>70828</v>
      </c>
      <c r="H14044" s="3" t="s">
        <v>70238</v>
      </c>
      <c r="I14044" s="3" t="s">
        <v>1033</v>
      </c>
      <c r="J14044" s="3" t="s">
        <v>70829</v>
      </c>
      <c r="K14044" s="3" t="s">
        <v>70830</v>
      </c>
      <c r="L14044" s="3" t="s">
        <v>70831</v>
      </c>
      <c r="M14044" s="4"/>
      <c r="N14044" s="3" t="s">
        <v>37</v>
      </c>
      <c r="O14044" s="3" t="s">
        <v>46</v>
      </c>
      <c r="P14044" s="5">
        <v>4</v>
      </c>
      <c r="Q14044" s="5">
        <v>32</v>
      </c>
      <c r="R14044" s="5">
        <v>4</v>
      </c>
      <c r="S14044" s="5">
        <v>32</v>
      </c>
    </row>
    <row r="14045" spans="1:19" ht="28" x14ac:dyDescent="0.15">
      <c r="A14045" s="2">
        <f>HYPERLINK("https://open-school.uspishnemisto.com.ua/school/680135/", 680135)</f>
        <v>680135</v>
      </c>
      <c r="B14045" s="3" t="s">
        <v>70832</v>
      </c>
      <c r="C14045" s="3" t="s">
        <v>31</v>
      </c>
      <c r="D14045" s="3" t="s">
        <v>32</v>
      </c>
      <c r="E14045" s="4" t="s">
        <v>22</v>
      </c>
      <c r="F14045" s="4" t="s">
        <v>70833</v>
      </c>
      <c r="G14045" s="4" t="s">
        <v>70834</v>
      </c>
      <c r="H14045" s="3" t="s">
        <v>70238</v>
      </c>
      <c r="I14045" s="3" t="s">
        <v>1797</v>
      </c>
      <c r="J14045" s="3" t="s">
        <v>70835</v>
      </c>
      <c r="K14045" s="3" t="s">
        <v>70836</v>
      </c>
      <c r="L14045" s="3"/>
      <c r="M14045" s="4"/>
      <c r="N14045" s="3" t="s">
        <v>37</v>
      </c>
      <c r="O14045" s="3" t="s">
        <v>46</v>
      </c>
      <c r="P14045" s="5">
        <v>10</v>
      </c>
      <c r="Q14045" s="5">
        <v>83</v>
      </c>
      <c r="R14045" s="5">
        <v>10</v>
      </c>
      <c r="S14045" s="5">
        <v>84</v>
      </c>
    </row>
    <row r="14046" spans="1:19" ht="42" x14ac:dyDescent="0.15">
      <c r="A14046" s="2">
        <f>HYPERLINK("https://open-school.uspishnemisto.com.ua/school/680136/", 680136)</f>
        <v>680136</v>
      </c>
      <c r="B14046" s="3" t="s">
        <v>70837</v>
      </c>
      <c r="C14046" s="3" t="s">
        <v>40</v>
      </c>
      <c r="D14046" s="3" t="s">
        <v>32</v>
      </c>
      <c r="E14046" s="4" t="s">
        <v>22</v>
      </c>
      <c r="F14046" s="4" t="s">
        <v>70838</v>
      </c>
      <c r="G14046" s="4" t="s">
        <v>70839</v>
      </c>
      <c r="H14046" s="3" t="s">
        <v>70238</v>
      </c>
      <c r="I14046" s="3" t="s">
        <v>70840</v>
      </c>
      <c r="J14046" s="3" t="s">
        <v>70841</v>
      </c>
      <c r="K14046" s="3" t="s">
        <v>70842</v>
      </c>
      <c r="L14046" s="3" t="s">
        <v>70843</v>
      </c>
      <c r="M14046" s="4"/>
      <c r="N14046" s="3" t="s">
        <v>37</v>
      </c>
      <c r="O14046" s="3" t="s">
        <v>38</v>
      </c>
      <c r="P14046" s="5">
        <v>31</v>
      </c>
      <c r="Q14046" s="5">
        <v>644</v>
      </c>
      <c r="R14046" s="5">
        <v>30</v>
      </c>
      <c r="S14046" s="5">
        <v>639</v>
      </c>
    </row>
    <row r="14047" spans="1:19" ht="56" x14ac:dyDescent="0.15">
      <c r="A14047" s="2">
        <f>HYPERLINK("https://open-school.uspishnemisto.com.ua/school/680137/", 680137)</f>
        <v>680137</v>
      </c>
      <c r="B14047" s="3" t="s">
        <v>70844</v>
      </c>
      <c r="C14047" s="3" t="s">
        <v>54</v>
      </c>
      <c r="D14047" s="3" t="s">
        <v>60</v>
      </c>
      <c r="E14047" s="4" t="s">
        <v>22</v>
      </c>
      <c r="F14047" s="4" t="s">
        <v>70845</v>
      </c>
      <c r="G14047" s="4" t="s">
        <v>70846</v>
      </c>
      <c r="H14047" s="3" t="s">
        <v>70238</v>
      </c>
      <c r="I14047" s="3" t="s">
        <v>70847</v>
      </c>
      <c r="J14047" s="3" t="s">
        <v>70848</v>
      </c>
      <c r="K14047" s="3" t="s">
        <v>70849</v>
      </c>
      <c r="L14047" s="3" t="s">
        <v>70850</v>
      </c>
      <c r="M14047" s="4"/>
      <c r="N14047" s="3" t="s">
        <v>37</v>
      </c>
      <c r="O14047" s="3" t="s">
        <v>52</v>
      </c>
      <c r="P14047" s="5">
        <v>2</v>
      </c>
      <c r="Q14047" s="5">
        <v>15</v>
      </c>
      <c r="R14047" s="5">
        <v>2</v>
      </c>
      <c r="S14047" s="5">
        <v>28</v>
      </c>
    </row>
    <row r="14048" spans="1:19" ht="56" x14ac:dyDescent="0.15">
      <c r="A14048" s="2">
        <f>HYPERLINK("https://open-school.uspishnemisto.com.ua/school/680138/", 680138)</f>
        <v>680138</v>
      </c>
      <c r="B14048" s="3" t="s">
        <v>70851</v>
      </c>
      <c r="C14048" s="3" t="s">
        <v>54</v>
      </c>
      <c r="D14048" s="3" t="s">
        <v>175</v>
      </c>
      <c r="E14048" s="4" t="s">
        <v>22</v>
      </c>
      <c r="F14048" s="4" t="s">
        <v>70852</v>
      </c>
      <c r="G14048" s="4" t="s">
        <v>70853</v>
      </c>
      <c r="H14048" s="3" t="s">
        <v>70238</v>
      </c>
      <c r="I14048" s="3" t="s">
        <v>70854</v>
      </c>
      <c r="J14048" s="3" t="s">
        <v>70855</v>
      </c>
      <c r="K14048" s="3" t="s">
        <v>70856</v>
      </c>
      <c r="L14048" s="3" t="s">
        <v>70857</v>
      </c>
      <c r="M14048" s="4"/>
      <c r="N14048" s="3" t="s">
        <v>37</v>
      </c>
      <c r="O14048" s="3" t="s">
        <v>38</v>
      </c>
      <c r="P14048" s="5">
        <v>7</v>
      </c>
      <c r="Q14048" s="5">
        <v>62</v>
      </c>
      <c r="R14048" s="5">
        <v>9</v>
      </c>
      <c r="S14048" s="5">
        <v>70</v>
      </c>
    </row>
    <row r="14049" spans="1:19" ht="56" x14ac:dyDescent="0.15">
      <c r="A14049" s="2">
        <f>HYPERLINK("https://open-school.uspishnemisto.com.ua/school/680139/", 680139)</f>
        <v>680139</v>
      </c>
      <c r="B14049" s="3" t="s">
        <v>70858</v>
      </c>
      <c r="C14049" s="3" t="s">
        <v>54</v>
      </c>
      <c r="D14049" s="3" t="s">
        <v>175</v>
      </c>
      <c r="E14049" s="4" t="s">
        <v>22</v>
      </c>
      <c r="F14049" s="4" t="s">
        <v>70859</v>
      </c>
      <c r="G14049" s="4" t="s">
        <v>70860</v>
      </c>
      <c r="H14049" s="3" t="s">
        <v>70238</v>
      </c>
      <c r="I14049" s="3" t="s">
        <v>70861</v>
      </c>
      <c r="J14049" s="3" t="s">
        <v>2253</v>
      </c>
      <c r="K14049" s="3" t="s">
        <v>70862</v>
      </c>
      <c r="L14049" s="3" t="s">
        <v>70863</v>
      </c>
      <c r="M14049" s="4"/>
      <c r="N14049" s="3" t="s">
        <v>37</v>
      </c>
      <c r="O14049" s="3" t="s">
        <v>46</v>
      </c>
      <c r="P14049" s="5">
        <v>6</v>
      </c>
      <c r="Q14049" s="5">
        <v>52</v>
      </c>
      <c r="R14049" s="5">
        <v>5</v>
      </c>
      <c r="S14049" s="5">
        <v>47</v>
      </c>
    </row>
    <row r="14050" spans="1:19" ht="56" x14ac:dyDescent="0.15">
      <c r="A14050" s="2">
        <f>HYPERLINK("https://open-school.uspishnemisto.com.ua/school/680140/", 680140)</f>
        <v>680140</v>
      </c>
      <c r="B14050" s="3" t="s">
        <v>70864</v>
      </c>
      <c r="C14050" s="3" t="s">
        <v>54</v>
      </c>
      <c r="D14050" s="3" t="s">
        <v>60</v>
      </c>
      <c r="E14050" s="4" t="s">
        <v>22</v>
      </c>
      <c r="F14050" s="4" t="s">
        <v>70865</v>
      </c>
      <c r="G14050" s="4" t="s">
        <v>70866</v>
      </c>
      <c r="H14050" s="3" t="s">
        <v>70238</v>
      </c>
      <c r="I14050" s="3" t="s">
        <v>70867</v>
      </c>
      <c r="J14050" s="3" t="s">
        <v>7410</v>
      </c>
      <c r="K14050" s="3" t="s">
        <v>70868</v>
      </c>
      <c r="L14050" s="3"/>
      <c r="M14050" s="4"/>
      <c r="N14050" s="3" t="s">
        <v>37</v>
      </c>
      <c r="O14050" s="3" t="s">
        <v>52</v>
      </c>
      <c r="P14050" s="5">
        <v>1</v>
      </c>
      <c r="Q14050" s="5">
        <v>11</v>
      </c>
      <c r="R14050" s="5">
        <v>1</v>
      </c>
      <c r="S14050" s="5">
        <v>13</v>
      </c>
    </row>
    <row r="14051" spans="1:19" ht="42" x14ac:dyDescent="0.15">
      <c r="A14051" s="2">
        <f>HYPERLINK("https://open-school.uspishnemisto.com.ua/school/680141/", 680141)</f>
        <v>680141</v>
      </c>
      <c r="B14051" s="3" t="s">
        <v>70869</v>
      </c>
      <c r="C14051" s="3" t="s">
        <v>188</v>
      </c>
      <c r="D14051" s="3" t="s">
        <v>32</v>
      </c>
      <c r="E14051" s="4" t="s">
        <v>22</v>
      </c>
      <c r="F14051" s="4" t="s">
        <v>70870</v>
      </c>
      <c r="G14051" s="4" t="s">
        <v>70871</v>
      </c>
      <c r="H14051" s="3" t="s">
        <v>70238</v>
      </c>
      <c r="I14051" s="3" t="s">
        <v>2312</v>
      </c>
      <c r="J14051" s="3" t="s">
        <v>70872</v>
      </c>
      <c r="K14051" s="3" t="s">
        <v>70873</v>
      </c>
      <c r="L14051" s="3"/>
      <c r="M14051" s="4"/>
      <c r="N14051" s="3" t="s">
        <v>37</v>
      </c>
      <c r="O14051" s="3" t="s">
        <v>46</v>
      </c>
      <c r="P14051" s="5">
        <v>11</v>
      </c>
      <c r="Q14051" s="5">
        <v>122</v>
      </c>
      <c r="R14051" s="5">
        <v>11</v>
      </c>
      <c r="S14051" s="5">
        <v>139</v>
      </c>
    </row>
    <row r="14052" spans="1:19" ht="28" x14ac:dyDescent="0.15">
      <c r="A14052" s="2">
        <f>HYPERLINK("https://open-school.uspishnemisto.com.ua/school/680142/", 680142)</f>
        <v>680142</v>
      </c>
      <c r="B14052" s="3" t="s">
        <v>70874</v>
      </c>
      <c r="C14052" s="3" t="s">
        <v>31</v>
      </c>
      <c r="D14052" s="3" t="s">
        <v>32</v>
      </c>
      <c r="E14052" s="4" t="s">
        <v>22</v>
      </c>
      <c r="F14052" s="4" t="s">
        <v>70875</v>
      </c>
      <c r="G14052" s="4" t="s">
        <v>70876</v>
      </c>
      <c r="H14052" s="3" t="s">
        <v>70238</v>
      </c>
      <c r="I14052" s="3" t="s">
        <v>70877</v>
      </c>
      <c r="J14052" s="3" t="s">
        <v>70878</v>
      </c>
      <c r="K14052" s="3" t="s">
        <v>70879</v>
      </c>
      <c r="L14052" s="3" t="s">
        <v>70880</v>
      </c>
      <c r="M14052" s="4"/>
      <c r="N14052" s="3" t="s">
        <v>37</v>
      </c>
      <c r="O14052" s="3" t="s">
        <v>70</v>
      </c>
      <c r="P14052" s="5">
        <v>11</v>
      </c>
      <c r="Q14052" s="5">
        <v>87</v>
      </c>
      <c r="R14052" s="5">
        <v>11</v>
      </c>
      <c r="S14052" s="5">
        <v>93</v>
      </c>
    </row>
    <row r="14053" spans="1:19" ht="42" x14ac:dyDescent="0.15">
      <c r="A14053" s="2">
        <f>HYPERLINK("https://open-school.uspishnemisto.com.ua/school/680143/", 680143)</f>
        <v>680143</v>
      </c>
      <c r="B14053" s="3" t="s">
        <v>70881</v>
      </c>
      <c r="C14053" s="3" t="s">
        <v>2128</v>
      </c>
      <c r="D14053" s="3" t="s">
        <v>32</v>
      </c>
      <c r="E14053" s="4" t="s">
        <v>22</v>
      </c>
      <c r="F14053" s="4" t="s">
        <v>70882</v>
      </c>
      <c r="G14053" s="4" t="s">
        <v>70883</v>
      </c>
      <c r="H14053" s="3" t="s">
        <v>70238</v>
      </c>
      <c r="I14053" s="3" t="s">
        <v>52073</v>
      </c>
      <c r="J14053" s="3" t="s">
        <v>10823</v>
      </c>
      <c r="K14053" s="3"/>
      <c r="L14053" s="3"/>
      <c r="M14053" s="4"/>
      <c r="N14053" s="3" t="s">
        <v>37</v>
      </c>
      <c r="O14053" s="3" t="s">
        <v>112</v>
      </c>
      <c r="P14053" s="5">
        <v>14</v>
      </c>
      <c r="Q14053" s="5">
        <v>276</v>
      </c>
      <c r="R14053" s="5">
        <v>13</v>
      </c>
      <c r="S14053" s="5">
        <v>251</v>
      </c>
    </row>
    <row r="14054" spans="1:19" ht="56" x14ac:dyDescent="0.15">
      <c r="A14054" s="2">
        <f>HYPERLINK("https://open-school.uspishnemisto.com.ua/school/680144/", 680144)</f>
        <v>680144</v>
      </c>
      <c r="B14054" s="3" t="s">
        <v>70884</v>
      </c>
      <c r="C14054" s="3" t="s">
        <v>54</v>
      </c>
      <c r="D14054" s="3" t="s">
        <v>175</v>
      </c>
      <c r="E14054" s="4" t="s">
        <v>22</v>
      </c>
      <c r="F14054" s="4" t="s">
        <v>70885</v>
      </c>
      <c r="G14054" s="4" t="s">
        <v>70886</v>
      </c>
      <c r="H14054" s="3" t="s">
        <v>70238</v>
      </c>
      <c r="I14054" s="3" t="s">
        <v>7799</v>
      </c>
      <c r="J14054" s="3" t="s">
        <v>70887</v>
      </c>
      <c r="K14054" s="3" t="s">
        <v>70888</v>
      </c>
      <c r="L14054" s="3"/>
      <c r="M14054" s="4"/>
      <c r="N14054" s="3" t="s">
        <v>37</v>
      </c>
      <c r="O14054" s="3" t="s">
        <v>38</v>
      </c>
      <c r="P14054" s="5">
        <v>3</v>
      </c>
      <c r="Q14054" s="5">
        <v>32</v>
      </c>
      <c r="R14054" s="5">
        <v>4</v>
      </c>
      <c r="S14054" s="5">
        <v>38</v>
      </c>
    </row>
    <row r="14055" spans="1:19" ht="56" x14ac:dyDescent="0.15">
      <c r="A14055" s="2">
        <f>HYPERLINK("https://open-school.uspishnemisto.com.ua/school/680145/", 680145)</f>
        <v>680145</v>
      </c>
      <c r="B14055" s="3" t="s">
        <v>70889</v>
      </c>
      <c r="C14055" s="3" t="s">
        <v>54</v>
      </c>
      <c r="D14055" s="3" t="s">
        <v>175</v>
      </c>
      <c r="E14055" s="4" t="s">
        <v>22</v>
      </c>
      <c r="F14055" s="4" t="s">
        <v>70890</v>
      </c>
      <c r="G14055" s="4" t="s">
        <v>70891</v>
      </c>
      <c r="H14055" s="3" t="s">
        <v>70238</v>
      </c>
      <c r="I14055" s="3" t="s">
        <v>70892</v>
      </c>
      <c r="J14055" s="3" t="s">
        <v>12378</v>
      </c>
      <c r="K14055" s="3" t="s">
        <v>70893</v>
      </c>
      <c r="L14055" s="3" t="s">
        <v>70894</v>
      </c>
      <c r="M14055" s="4"/>
      <c r="N14055" s="3" t="s">
        <v>37</v>
      </c>
      <c r="O14055" s="3" t="s">
        <v>46</v>
      </c>
      <c r="P14055" s="5">
        <v>2</v>
      </c>
      <c r="Q14055" s="5">
        <v>30</v>
      </c>
      <c r="R14055" s="5">
        <v>2</v>
      </c>
      <c r="S14055" s="5">
        <v>30</v>
      </c>
    </row>
    <row r="14056" spans="1:19" ht="56" x14ac:dyDescent="0.15">
      <c r="A14056" s="2">
        <f>HYPERLINK("https://open-school.uspishnemisto.com.ua/school/680146/", 680146)</f>
        <v>680146</v>
      </c>
      <c r="B14056" s="3" t="s">
        <v>70895</v>
      </c>
      <c r="C14056" s="3" t="s">
        <v>54</v>
      </c>
      <c r="D14056" s="3" t="s">
        <v>175</v>
      </c>
      <c r="E14056" s="4" t="s">
        <v>22</v>
      </c>
      <c r="F14056" s="4" t="s">
        <v>70896</v>
      </c>
      <c r="G14056" s="4" t="s">
        <v>70897</v>
      </c>
      <c r="H14056" s="3" t="s">
        <v>70238</v>
      </c>
      <c r="I14056" s="3" t="s">
        <v>70898</v>
      </c>
      <c r="J14056" s="3" t="s">
        <v>5525</v>
      </c>
      <c r="K14056" s="3" t="s">
        <v>70899</v>
      </c>
      <c r="L14056" s="3" t="s">
        <v>70900</v>
      </c>
      <c r="M14056" s="4"/>
      <c r="N14056" s="3" t="s">
        <v>37</v>
      </c>
      <c r="O14056" s="3" t="s">
        <v>38</v>
      </c>
      <c r="P14056" s="5">
        <v>4</v>
      </c>
      <c r="Q14056" s="5">
        <v>28</v>
      </c>
      <c r="R14056" s="5">
        <v>3</v>
      </c>
      <c r="S14056" s="5">
        <v>28</v>
      </c>
    </row>
    <row r="14057" spans="1:19" ht="28" x14ac:dyDescent="0.15">
      <c r="A14057" s="2">
        <f>HYPERLINK("https://open-school.uspishnemisto.com.ua/school/680147/", 680147)</f>
        <v>680147</v>
      </c>
      <c r="B14057" s="3" t="s">
        <v>70901</v>
      </c>
      <c r="C14057" s="3" t="s">
        <v>31</v>
      </c>
      <c r="D14057" s="3" t="s">
        <v>32</v>
      </c>
      <c r="E14057" s="4" t="s">
        <v>22</v>
      </c>
      <c r="F14057" s="4" t="s">
        <v>70902</v>
      </c>
      <c r="G14057" s="4" t="s">
        <v>70903</v>
      </c>
      <c r="H14057" s="3" t="s">
        <v>70238</v>
      </c>
      <c r="I14057" s="3" t="s">
        <v>70904</v>
      </c>
      <c r="J14057" s="3" t="s">
        <v>37590</v>
      </c>
      <c r="K14057" s="3" t="s">
        <v>70905</v>
      </c>
      <c r="L14057" s="3" t="s">
        <v>70906</v>
      </c>
      <c r="M14057" s="4"/>
      <c r="N14057" s="3" t="s">
        <v>37</v>
      </c>
      <c r="O14057" s="3" t="s">
        <v>38</v>
      </c>
      <c r="P14057" s="5">
        <v>9</v>
      </c>
      <c r="Q14057" s="5">
        <v>107</v>
      </c>
      <c r="R14057" s="5">
        <v>11</v>
      </c>
      <c r="S14057" s="5">
        <v>101</v>
      </c>
    </row>
    <row r="14058" spans="1:19" ht="56" x14ac:dyDescent="0.15">
      <c r="A14058" s="2">
        <f>HYPERLINK("https://open-school.uspishnemisto.com.ua/school/680148/", 680148)</f>
        <v>680148</v>
      </c>
      <c r="B14058" s="3" t="s">
        <v>70907</v>
      </c>
      <c r="C14058" s="3" t="s">
        <v>54</v>
      </c>
      <c r="D14058" s="3" t="s">
        <v>175</v>
      </c>
      <c r="E14058" s="4" t="s">
        <v>22</v>
      </c>
      <c r="F14058" s="4" t="s">
        <v>70908</v>
      </c>
      <c r="G14058" s="4" t="s">
        <v>70909</v>
      </c>
      <c r="H14058" s="3" t="s">
        <v>70238</v>
      </c>
      <c r="I14058" s="3" t="s">
        <v>70910</v>
      </c>
      <c r="J14058" s="3" t="s">
        <v>792</v>
      </c>
      <c r="K14058" s="3"/>
      <c r="L14058" s="3" t="s">
        <v>70911</v>
      </c>
      <c r="M14058" s="4"/>
      <c r="N14058" s="3" t="s">
        <v>37</v>
      </c>
      <c r="O14058" s="3" t="s">
        <v>46</v>
      </c>
      <c r="P14058" s="5">
        <v>4</v>
      </c>
      <c r="Q14058" s="5">
        <v>36</v>
      </c>
      <c r="R14058" s="5">
        <v>3</v>
      </c>
      <c r="S14058" s="5">
        <v>33</v>
      </c>
    </row>
    <row r="14059" spans="1:19" ht="28" x14ac:dyDescent="0.15">
      <c r="A14059" s="2">
        <f>HYPERLINK("https://open-school.uspishnemisto.com.ua/school/680149/", 680149)</f>
        <v>680149</v>
      </c>
      <c r="B14059" s="3" t="s">
        <v>70912</v>
      </c>
      <c r="C14059" s="3" t="s">
        <v>31</v>
      </c>
      <c r="D14059" s="3" t="s">
        <v>32</v>
      </c>
      <c r="E14059" s="4" t="s">
        <v>22</v>
      </c>
      <c r="F14059" s="4" t="s">
        <v>70913</v>
      </c>
      <c r="G14059" s="4" t="s">
        <v>70914</v>
      </c>
      <c r="H14059" s="3" t="s">
        <v>70238</v>
      </c>
      <c r="I14059" s="3" t="s">
        <v>70915</v>
      </c>
      <c r="J14059" s="3" t="s">
        <v>2372</v>
      </c>
      <c r="K14059" s="3" t="s">
        <v>70916</v>
      </c>
      <c r="L14059" s="3" t="s">
        <v>70917</v>
      </c>
      <c r="M14059" s="4"/>
      <c r="N14059" s="3" t="s">
        <v>37</v>
      </c>
      <c r="O14059" s="3" t="s">
        <v>46</v>
      </c>
      <c r="P14059" s="5">
        <v>11</v>
      </c>
      <c r="Q14059" s="5">
        <v>123</v>
      </c>
      <c r="R14059" s="5">
        <v>11</v>
      </c>
      <c r="S14059" s="5">
        <v>122</v>
      </c>
    </row>
    <row r="14060" spans="1:19" ht="56" x14ac:dyDescent="0.15">
      <c r="A14060" s="2">
        <f>HYPERLINK("https://open-school.uspishnemisto.com.ua/school/680150/", 680150)</f>
        <v>680150</v>
      </c>
      <c r="B14060" s="3" t="s">
        <v>70918</v>
      </c>
      <c r="C14060" s="3" t="s">
        <v>54</v>
      </c>
      <c r="D14060" s="3" t="s">
        <v>32</v>
      </c>
      <c r="E14060" s="4" t="s">
        <v>22</v>
      </c>
      <c r="F14060" s="4" t="s">
        <v>70919</v>
      </c>
      <c r="G14060" s="4" t="s">
        <v>70920</v>
      </c>
      <c r="H14060" s="3" t="s">
        <v>70238</v>
      </c>
      <c r="I14060" s="3" t="s">
        <v>70921</v>
      </c>
      <c r="J14060" s="3" t="s">
        <v>6666</v>
      </c>
      <c r="K14060" s="3" t="s">
        <v>70922</v>
      </c>
      <c r="L14060" s="3" t="s">
        <v>70923</v>
      </c>
      <c r="M14060" s="4"/>
      <c r="N14060" s="3" t="s">
        <v>37</v>
      </c>
      <c r="O14060" s="3" t="s">
        <v>38</v>
      </c>
      <c r="P14060" s="5">
        <v>10</v>
      </c>
      <c r="Q14060" s="5">
        <v>85</v>
      </c>
      <c r="R14060" s="5">
        <v>10</v>
      </c>
      <c r="S14060" s="5">
        <v>91</v>
      </c>
    </row>
    <row r="14061" spans="1:19" ht="56" x14ac:dyDescent="0.15">
      <c r="A14061" s="2">
        <f>HYPERLINK("https://open-school.uspishnemisto.com.ua/school/680151/", 680151)</f>
        <v>680151</v>
      </c>
      <c r="B14061" s="3" t="s">
        <v>70924</v>
      </c>
      <c r="C14061" s="3" t="s">
        <v>54</v>
      </c>
      <c r="D14061" s="3" t="s">
        <v>175</v>
      </c>
      <c r="E14061" s="4" t="s">
        <v>22</v>
      </c>
      <c r="F14061" s="4" t="s">
        <v>70925</v>
      </c>
      <c r="G14061" s="4" t="s">
        <v>70926</v>
      </c>
      <c r="H14061" s="3" t="s">
        <v>70238</v>
      </c>
      <c r="I14061" s="3" t="s">
        <v>70927</v>
      </c>
      <c r="J14061" s="3" t="s">
        <v>1360</v>
      </c>
      <c r="K14061" s="3" t="s">
        <v>70928</v>
      </c>
      <c r="L14061" s="3" t="s">
        <v>70929</v>
      </c>
      <c r="M14061" s="4"/>
      <c r="N14061" s="3" t="s">
        <v>37</v>
      </c>
      <c r="O14061" s="3" t="s">
        <v>52</v>
      </c>
      <c r="P14061" s="5">
        <v>8</v>
      </c>
      <c r="Q14061" s="5">
        <v>56</v>
      </c>
      <c r="R14061" s="5">
        <v>8</v>
      </c>
      <c r="S14061" s="5">
        <v>50</v>
      </c>
    </row>
    <row r="14062" spans="1:19" ht="56" x14ac:dyDescent="0.15">
      <c r="A14062" s="2">
        <f>HYPERLINK("https://open-school.uspishnemisto.com.ua/school/680152/", 680152)</f>
        <v>680152</v>
      </c>
      <c r="B14062" s="3" t="s">
        <v>70930</v>
      </c>
      <c r="C14062" s="3" t="s">
        <v>54</v>
      </c>
      <c r="D14062" s="3" t="s">
        <v>32</v>
      </c>
      <c r="E14062" s="4" t="s">
        <v>22</v>
      </c>
      <c r="F14062" s="4" t="s">
        <v>70931</v>
      </c>
      <c r="G14062" s="4" t="s">
        <v>70932</v>
      </c>
      <c r="H14062" s="3" t="s">
        <v>70238</v>
      </c>
      <c r="I14062" s="3" t="s">
        <v>3392</v>
      </c>
      <c r="J14062" s="3" t="s">
        <v>70933</v>
      </c>
      <c r="K14062" s="3" t="s">
        <v>70934</v>
      </c>
      <c r="L14062" s="3"/>
      <c r="M14062" s="4"/>
      <c r="N14062" s="3" t="s">
        <v>37</v>
      </c>
      <c r="O14062" s="3" t="s">
        <v>38</v>
      </c>
      <c r="P14062" s="5">
        <v>8</v>
      </c>
      <c r="Q14062" s="5">
        <v>77</v>
      </c>
      <c r="R14062" s="5">
        <v>9</v>
      </c>
      <c r="S14062" s="5">
        <v>86</v>
      </c>
    </row>
    <row r="14063" spans="1:19" ht="28" x14ac:dyDescent="0.15">
      <c r="A14063" s="2">
        <f>HYPERLINK("https://open-school.uspishnemisto.com.ua/school/680153/", 680153)</f>
        <v>680153</v>
      </c>
      <c r="B14063" s="3" t="s">
        <v>70935</v>
      </c>
      <c r="C14063" s="3" t="s">
        <v>31</v>
      </c>
      <c r="D14063" s="3" t="s">
        <v>32</v>
      </c>
      <c r="E14063" s="4" t="s">
        <v>22</v>
      </c>
      <c r="F14063" s="4" t="s">
        <v>70936</v>
      </c>
      <c r="G14063" s="4" t="s">
        <v>70937</v>
      </c>
      <c r="H14063" s="3" t="s">
        <v>70238</v>
      </c>
      <c r="I14063" s="3" t="s">
        <v>70938</v>
      </c>
      <c r="J14063" s="3" t="s">
        <v>2052</v>
      </c>
      <c r="K14063" s="3" t="s">
        <v>70939</v>
      </c>
      <c r="L14063" s="3" t="s">
        <v>70940</v>
      </c>
      <c r="M14063" s="4"/>
      <c r="N14063" s="3" t="s">
        <v>37</v>
      </c>
      <c r="O14063" s="3" t="s">
        <v>70</v>
      </c>
      <c r="P14063" s="5">
        <v>10</v>
      </c>
      <c r="Q14063" s="5">
        <v>78</v>
      </c>
      <c r="R14063" s="5">
        <v>11</v>
      </c>
      <c r="S14063" s="5">
        <v>86</v>
      </c>
    </row>
    <row r="14064" spans="1:19" ht="56" x14ac:dyDescent="0.15">
      <c r="A14064" s="2">
        <f>HYPERLINK("https://open-school.uspishnemisto.com.ua/school/680155/", 680155)</f>
        <v>680155</v>
      </c>
      <c r="B14064" s="3" t="s">
        <v>70941</v>
      </c>
      <c r="C14064" s="3" t="s">
        <v>54</v>
      </c>
      <c r="D14064" s="3" t="s">
        <v>175</v>
      </c>
      <c r="E14064" s="4" t="s">
        <v>22</v>
      </c>
      <c r="F14064" s="4" t="s">
        <v>70942</v>
      </c>
      <c r="G14064" s="4" t="s">
        <v>70943</v>
      </c>
      <c r="H14064" s="3" t="s">
        <v>70238</v>
      </c>
      <c r="I14064" s="3" t="s">
        <v>70944</v>
      </c>
      <c r="J14064" s="3" t="s">
        <v>70945</v>
      </c>
      <c r="K14064" s="3" t="s">
        <v>70946</v>
      </c>
      <c r="L14064" s="3" t="s">
        <v>70947</v>
      </c>
      <c r="M14064" s="4"/>
      <c r="N14064" s="3" t="s">
        <v>37</v>
      </c>
      <c r="O14064" s="3" t="s">
        <v>46</v>
      </c>
      <c r="P14064" s="5">
        <v>4</v>
      </c>
      <c r="Q14064" s="5">
        <v>36</v>
      </c>
      <c r="R14064" s="5">
        <v>4</v>
      </c>
      <c r="S14064" s="5">
        <v>38</v>
      </c>
    </row>
    <row r="14065" spans="1:19" ht="28" x14ac:dyDescent="0.15">
      <c r="A14065" s="2">
        <f>HYPERLINK("https://open-school.uspishnemisto.com.ua/school/680156/", 680156)</f>
        <v>680156</v>
      </c>
      <c r="B14065" s="3" t="s">
        <v>70948</v>
      </c>
      <c r="C14065" s="3" t="s">
        <v>31</v>
      </c>
      <c r="D14065" s="3" t="s">
        <v>175</v>
      </c>
      <c r="E14065" s="4" t="s">
        <v>22</v>
      </c>
      <c r="F14065" s="4" t="s">
        <v>70949</v>
      </c>
      <c r="G14065" s="4" t="s">
        <v>70950</v>
      </c>
      <c r="H14065" s="3" t="s">
        <v>70238</v>
      </c>
      <c r="I14065" s="3" t="s">
        <v>70951</v>
      </c>
      <c r="J14065" s="3" t="s">
        <v>566</v>
      </c>
      <c r="K14065" s="3" t="s">
        <v>70952</v>
      </c>
      <c r="L14065" s="3"/>
      <c r="M14065" s="4"/>
      <c r="N14065" s="3" t="s">
        <v>37</v>
      </c>
      <c r="O14065" s="3" t="s">
        <v>46</v>
      </c>
      <c r="P14065" s="5">
        <v>7</v>
      </c>
      <c r="Q14065" s="5">
        <v>68</v>
      </c>
      <c r="R14065" s="5">
        <v>7</v>
      </c>
      <c r="S14065" s="5">
        <v>74</v>
      </c>
    </row>
    <row r="14066" spans="1:19" ht="28" x14ac:dyDescent="0.15">
      <c r="A14066" s="2">
        <f>HYPERLINK("https://open-school.uspishnemisto.com.ua/school/680157/", 680157)</f>
        <v>680157</v>
      </c>
      <c r="B14066" s="3" t="s">
        <v>70953</v>
      </c>
      <c r="C14066" s="3" t="s">
        <v>31</v>
      </c>
      <c r="D14066" s="3" t="s">
        <v>32</v>
      </c>
      <c r="E14066" s="4" t="s">
        <v>22</v>
      </c>
      <c r="F14066" s="4" t="s">
        <v>70949</v>
      </c>
      <c r="G14066" s="4" t="s">
        <v>70950</v>
      </c>
      <c r="H14066" s="3" t="s">
        <v>70238</v>
      </c>
      <c r="I14066" s="3" t="s">
        <v>70951</v>
      </c>
      <c r="J14066" s="3" t="s">
        <v>70954</v>
      </c>
      <c r="K14066" s="3" t="s">
        <v>70955</v>
      </c>
      <c r="L14066" s="3"/>
      <c r="M14066" s="4" t="s">
        <v>70956</v>
      </c>
      <c r="N14066" s="3" t="s">
        <v>37</v>
      </c>
      <c r="O14066" s="3" t="s">
        <v>70</v>
      </c>
      <c r="P14066" s="5">
        <v>30</v>
      </c>
      <c r="Q14066" s="5">
        <v>732</v>
      </c>
      <c r="R14066" s="5">
        <v>28</v>
      </c>
      <c r="S14066" s="5">
        <v>674</v>
      </c>
    </row>
    <row r="14067" spans="1:19" ht="28" x14ac:dyDescent="0.15">
      <c r="A14067" s="2">
        <f>HYPERLINK("https://open-school.uspishnemisto.com.ua/school/680158/", 680158)</f>
        <v>680158</v>
      </c>
      <c r="B14067" s="3" t="s">
        <v>70957</v>
      </c>
      <c r="C14067" s="3" t="s">
        <v>31</v>
      </c>
      <c r="D14067" s="3" t="s">
        <v>32</v>
      </c>
      <c r="E14067" s="4" t="s">
        <v>22</v>
      </c>
      <c r="F14067" s="4" t="s">
        <v>70949</v>
      </c>
      <c r="G14067" s="4" t="s">
        <v>70950</v>
      </c>
      <c r="H14067" s="3" t="s">
        <v>70238</v>
      </c>
      <c r="I14067" s="3" t="s">
        <v>70951</v>
      </c>
      <c r="J14067" s="3" t="s">
        <v>70958</v>
      </c>
      <c r="K14067" s="3" t="s">
        <v>70959</v>
      </c>
      <c r="L14067" s="3" t="s">
        <v>70960</v>
      </c>
      <c r="M14067" s="4"/>
      <c r="N14067" s="3" t="s">
        <v>37</v>
      </c>
      <c r="O14067" s="3" t="s">
        <v>70</v>
      </c>
      <c r="P14067" s="5">
        <v>34</v>
      </c>
      <c r="Q14067" s="5">
        <v>810</v>
      </c>
      <c r="R14067" s="5">
        <v>32</v>
      </c>
      <c r="S14067" s="5">
        <v>786</v>
      </c>
    </row>
    <row r="14068" spans="1:19" ht="42" x14ac:dyDescent="0.15">
      <c r="A14068" s="2">
        <f>HYPERLINK("https://open-school.uspishnemisto.com.ua/school/680159/", 680159)</f>
        <v>680159</v>
      </c>
      <c r="B14068" s="3" t="s">
        <v>70961</v>
      </c>
      <c r="C14068" s="3" t="s">
        <v>54</v>
      </c>
      <c r="D14068" s="3" t="s">
        <v>32</v>
      </c>
      <c r="E14068" s="4" t="s">
        <v>22</v>
      </c>
      <c r="F14068" s="4" t="s">
        <v>70949</v>
      </c>
      <c r="G14068" s="4" t="s">
        <v>70950</v>
      </c>
      <c r="H14068" s="3" t="s">
        <v>70238</v>
      </c>
      <c r="I14068" s="3" t="s">
        <v>70951</v>
      </c>
      <c r="J14068" s="3" t="s">
        <v>70962</v>
      </c>
      <c r="K14068" s="3"/>
      <c r="L14068" s="3"/>
      <c r="M14068" s="4" t="s">
        <v>70963</v>
      </c>
      <c r="N14068" s="3" t="s">
        <v>37</v>
      </c>
      <c r="O14068" s="3" t="s">
        <v>129</v>
      </c>
      <c r="P14068" s="5">
        <v>34</v>
      </c>
      <c r="Q14068" s="5">
        <v>844</v>
      </c>
      <c r="R14068" s="5">
        <v>35</v>
      </c>
      <c r="S14068" s="5">
        <v>835</v>
      </c>
    </row>
    <row r="14069" spans="1:19" ht="28" x14ac:dyDescent="0.15">
      <c r="A14069" s="2">
        <f>HYPERLINK("https://open-school.uspishnemisto.com.ua/school/680160/", 680160)</f>
        <v>680160</v>
      </c>
      <c r="B14069" s="3" t="s">
        <v>70964</v>
      </c>
      <c r="C14069" s="3" t="s">
        <v>31</v>
      </c>
      <c r="D14069" s="3" t="s">
        <v>32</v>
      </c>
      <c r="E14069" s="4" t="s">
        <v>22</v>
      </c>
      <c r="F14069" s="4" t="s">
        <v>70965</v>
      </c>
      <c r="G14069" s="4" t="s">
        <v>70966</v>
      </c>
      <c r="H14069" s="3" t="s">
        <v>70238</v>
      </c>
      <c r="I14069" s="3" t="s">
        <v>4110</v>
      </c>
      <c r="J14069" s="3" t="s">
        <v>11705</v>
      </c>
      <c r="K14069" s="3" t="s">
        <v>70967</v>
      </c>
      <c r="L14069" s="3" t="s">
        <v>70968</v>
      </c>
      <c r="M14069" s="4"/>
      <c r="N14069" s="3" t="s">
        <v>37</v>
      </c>
      <c r="O14069" s="3" t="s">
        <v>38</v>
      </c>
      <c r="P14069" s="5">
        <v>9</v>
      </c>
      <c r="Q14069" s="5">
        <v>150</v>
      </c>
      <c r="R14069" s="5">
        <v>10</v>
      </c>
      <c r="S14069" s="5">
        <v>148</v>
      </c>
    </row>
    <row r="14070" spans="1:19" ht="42" x14ac:dyDescent="0.15">
      <c r="A14070" s="2">
        <f>HYPERLINK("https://open-school.uspishnemisto.com.ua/school/680161/", 680161)</f>
        <v>680161</v>
      </c>
      <c r="B14070" s="3" t="s">
        <v>70969</v>
      </c>
      <c r="C14070" s="3" t="s">
        <v>31</v>
      </c>
      <c r="D14070" s="3" t="s">
        <v>32</v>
      </c>
      <c r="E14070" s="4" t="s">
        <v>22</v>
      </c>
      <c r="F14070" s="4" t="s">
        <v>70970</v>
      </c>
      <c r="G14070" s="4" t="s">
        <v>70971</v>
      </c>
      <c r="H14070" s="3" t="s">
        <v>70238</v>
      </c>
      <c r="I14070" s="3" t="s">
        <v>70972</v>
      </c>
      <c r="J14070" s="3" t="s">
        <v>18285</v>
      </c>
      <c r="K14070" s="3" t="s">
        <v>70973</v>
      </c>
      <c r="L14070" s="3"/>
      <c r="M14070" s="4"/>
      <c r="N14070" s="3" t="s">
        <v>37</v>
      </c>
      <c r="O14070" s="3" t="s">
        <v>38</v>
      </c>
      <c r="P14070" s="5">
        <v>15</v>
      </c>
      <c r="Q14070" s="5">
        <v>276</v>
      </c>
      <c r="R14070" s="5">
        <v>15</v>
      </c>
      <c r="S14070" s="5">
        <v>271</v>
      </c>
    </row>
    <row r="14071" spans="1:19" ht="28" x14ac:dyDescent="0.15">
      <c r="A14071" s="2">
        <f>HYPERLINK("https://open-school.uspishnemisto.com.ua/school/680163/", 680163)</f>
        <v>680163</v>
      </c>
      <c r="B14071" s="3" t="s">
        <v>70974</v>
      </c>
      <c r="C14071" s="3" t="s">
        <v>31</v>
      </c>
      <c r="D14071" s="3" t="s">
        <v>175</v>
      </c>
      <c r="E14071" s="4" t="s">
        <v>22</v>
      </c>
      <c r="F14071" s="4" t="s">
        <v>70975</v>
      </c>
      <c r="G14071" s="4" t="s">
        <v>70976</v>
      </c>
      <c r="H14071" s="3" t="s">
        <v>70238</v>
      </c>
      <c r="I14071" s="3" t="s">
        <v>3790</v>
      </c>
      <c r="J14071" s="3" t="s">
        <v>1360</v>
      </c>
      <c r="K14071" s="3" t="s">
        <v>70977</v>
      </c>
      <c r="L14071" s="3"/>
      <c r="M14071" s="4"/>
      <c r="N14071" s="3" t="s">
        <v>37</v>
      </c>
      <c r="O14071" s="3" t="s">
        <v>52</v>
      </c>
      <c r="P14071" s="5">
        <v>6</v>
      </c>
      <c r="Q14071" s="5">
        <v>45</v>
      </c>
      <c r="R14071" s="5">
        <v>6</v>
      </c>
      <c r="S14071" s="5">
        <v>42</v>
      </c>
    </row>
    <row r="14072" spans="1:19" ht="42" x14ac:dyDescent="0.15">
      <c r="A14072" s="2">
        <f>HYPERLINK("https://open-school.uspishnemisto.com.ua/school/680164/", 680164)</f>
        <v>680164</v>
      </c>
      <c r="B14072" s="3" t="s">
        <v>70978</v>
      </c>
      <c r="C14072" s="3" t="s">
        <v>54</v>
      </c>
      <c r="D14072" s="3" t="s">
        <v>175</v>
      </c>
      <c r="E14072" s="4" t="s">
        <v>22</v>
      </c>
      <c r="F14072" s="4" t="s">
        <v>70979</v>
      </c>
      <c r="G14072" s="4" t="s">
        <v>70980</v>
      </c>
      <c r="H14072" s="3" t="s">
        <v>70238</v>
      </c>
      <c r="I14072" s="3" t="s">
        <v>70981</v>
      </c>
      <c r="J14072" s="3" t="s">
        <v>70982</v>
      </c>
      <c r="K14072" s="3"/>
      <c r="L14072" s="3"/>
      <c r="M14072" s="4"/>
      <c r="N14072" s="3" t="s">
        <v>37</v>
      </c>
      <c r="O14072" s="3" t="s">
        <v>38</v>
      </c>
      <c r="P14072" s="5">
        <v>4</v>
      </c>
      <c r="Q14072" s="5">
        <v>37</v>
      </c>
      <c r="R14072" s="5">
        <v>3</v>
      </c>
      <c r="S14072" s="5">
        <v>34</v>
      </c>
    </row>
    <row r="14073" spans="1:19" ht="28" x14ac:dyDescent="0.15">
      <c r="A14073" s="2">
        <f>HYPERLINK("https://open-school.uspishnemisto.com.ua/school/680165/", 680165)</f>
        <v>680165</v>
      </c>
      <c r="B14073" s="3" t="s">
        <v>70983</v>
      </c>
      <c r="C14073" s="3" t="s">
        <v>31</v>
      </c>
      <c r="D14073" s="3" t="s">
        <v>32</v>
      </c>
      <c r="E14073" s="4" t="s">
        <v>22</v>
      </c>
      <c r="F14073" s="4" t="s">
        <v>70984</v>
      </c>
      <c r="G14073" s="4" t="s">
        <v>70985</v>
      </c>
      <c r="H14073" s="3" t="s">
        <v>70238</v>
      </c>
      <c r="I14073" s="3" t="s">
        <v>1096</v>
      </c>
      <c r="J14073" s="3" t="s">
        <v>2719</v>
      </c>
      <c r="K14073" s="3" t="s">
        <v>70986</v>
      </c>
      <c r="L14073" s="3"/>
      <c r="M14073" s="4"/>
      <c r="N14073" s="3" t="s">
        <v>37</v>
      </c>
      <c r="O14073" s="3" t="s">
        <v>46</v>
      </c>
      <c r="P14073" s="5">
        <v>10</v>
      </c>
      <c r="Q14073" s="5">
        <v>128</v>
      </c>
      <c r="R14073" s="5">
        <v>11</v>
      </c>
      <c r="S14073" s="5">
        <v>111</v>
      </c>
    </row>
    <row r="14074" spans="1:19" ht="42" x14ac:dyDescent="0.15">
      <c r="A14074" s="2">
        <f>HYPERLINK("https://open-school.uspishnemisto.com.ua/school/680166/", 680166)</f>
        <v>680166</v>
      </c>
      <c r="B14074" s="3" t="s">
        <v>70987</v>
      </c>
      <c r="C14074" s="3" t="s">
        <v>31</v>
      </c>
      <c r="D14074" s="3" t="s">
        <v>175</v>
      </c>
      <c r="E14074" s="4" t="s">
        <v>22</v>
      </c>
      <c r="F14074" s="4" t="s">
        <v>70988</v>
      </c>
      <c r="G14074" s="4" t="s">
        <v>70989</v>
      </c>
      <c r="H14074" s="3" t="s">
        <v>70238</v>
      </c>
      <c r="I14074" s="3" t="s">
        <v>70990</v>
      </c>
      <c r="J14074" s="3" t="s">
        <v>466</v>
      </c>
      <c r="K14074" s="3" t="s">
        <v>70991</v>
      </c>
      <c r="L14074" s="3"/>
      <c r="M14074" s="4"/>
      <c r="N14074" s="3" t="s">
        <v>37</v>
      </c>
      <c r="O14074" s="3" t="s">
        <v>38</v>
      </c>
      <c r="P14074" s="5">
        <v>1</v>
      </c>
      <c r="Q14074" s="5">
        <v>25</v>
      </c>
      <c r="R14074" s="5">
        <v>8</v>
      </c>
      <c r="S14074" s="5">
        <v>25</v>
      </c>
    </row>
    <row r="14075" spans="1:19" ht="28" x14ac:dyDescent="0.15">
      <c r="A14075" s="2">
        <f>HYPERLINK("https://open-school.uspishnemisto.com.ua/school/680167/", 680167)</f>
        <v>680167</v>
      </c>
      <c r="B14075" s="3" t="s">
        <v>70992</v>
      </c>
      <c r="C14075" s="3" t="s">
        <v>31</v>
      </c>
      <c r="D14075" s="3" t="s">
        <v>32</v>
      </c>
      <c r="E14075" s="4" t="s">
        <v>22</v>
      </c>
      <c r="F14075" s="4" t="s">
        <v>70993</v>
      </c>
      <c r="G14075" s="4" t="s">
        <v>70994</v>
      </c>
      <c r="H14075" s="3" t="s">
        <v>70238</v>
      </c>
      <c r="I14075" s="3" t="s">
        <v>70995</v>
      </c>
      <c r="J14075" s="3" t="s">
        <v>37590</v>
      </c>
      <c r="K14075" s="3" t="s">
        <v>70996</v>
      </c>
      <c r="L14075" s="3"/>
      <c r="M14075" s="4"/>
      <c r="N14075" s="3" t="s">
        <v>37</v>
      </c>
      <c r="O14075" s="3" t="s">
        <v>38</v>
      </c>
      <c r="P14075" s="5">
        <v>11</v>
      </c>
      <c r="Q14075" s="5">
        <v>74</v>
      </c>
      <c r="R14075" s="5">
        <v>11</v>
      </c>
      <c r="S14075" s="5">
        <v>78</v>
      </c>
    </row>
    <row r="14076" spans="1:19" ht="56" x14ac:dyDescent="0.15">
      <c r="A14076" s="2">
        <f>HYPERLINK("https://open-school.uspishnemisto.com.ua/school/680168/", 680168)</f>
        <v>680168</v>
      </c>
      <c r="B14076" s="3" t="s">
        <v>70997</v>
      </c>
      <c r="C14076" s="3" t="s">
        <v>54</v>
      </c>
      <c r="D14076" s="3" t="s">
        <v>32</v>
      </c>
      <c r="E14076" s="4" t="s">
        <v>22</v>
      </c>
      <c r="F14076" s="4" t="s">
        <v>70998</v>
      </c>
      <c r="G14076" s="4" t="s">
        <v>70999</v>
      </c>
      <c r="H14076" s="3" t="s">
        <v>70238</v>
      </c>
      <c r="I14076" s="3" t="s">
        <v>71000</v>
      </c>
      <c r="J14076" s="3" t="s">
        <v>3363</v>
      </c>
      <c r="K14076" s="3"/>
      <c r="L14076" s="3"/>
      <c r="M14076" s="4"/>
      <c r="N14076" s="3" t="s">
        <v>37</v>
      </c>
      <c r="O14076" s="3" t="s">
        <v>52</v>
      </c>
      <c r="P14076" s="5">
        <v>0</v>
      </c>
      <c r="Q14076" s="5">
        <v>0</v>
      </c>
      <c r="R14076" s="5">
        <v>9</v>
      </c>
      <c r="S14076" s="5">
        <v>82</v>
      </c>
    </row>
    <row r="14077" spans="1:19" ht="28" x14ac:dyDescent="0.15">
      <c r="A14077" s="2">
        <f>HYPERLINK("https://open-school.uspishnemisto.com.ua/school/680169/", 680169)</f>
        <v>680169</v>
      </c>
      <c r="B14077" s="3" t="s">
        <v>71001</v>
      </c>
      <c r="C14077" s="3" t="s">
        <v>31</v>
      </c>
      <c r="D14077" s="3" t="s">
        <v>32</v>
      </c>
      <c r="E14077" s="4" t="s">
        <v>22</v>
      </c>
      <c r="F14077" s="4" t="s">
        <v>71002</v>
      </c>
      <c r="G14077" s="4" t="s">
        <v>71003</v>
      </c>
      <c r="H14077" s="3" t="s">
        <v>70238</v>
      </c>
      <c r="I14077" s="3" t="s">
        <v>7951</v>
      </c>
      <c r="J14077" s="3" t="s">
        <v>466</v>
      </c>
      <c r="K14077" s="3"/>
      <c r="L14077" s="3"/>
      <c r="M14077" s="4"/>
      <c r="N14077" s="3" t="s">
        <v>37</v>
      </c>
      <c r="O14077" s="3" t="s">
        <v>46</v>
      </c>
      <c r="P14077" s="5">
        <v>8</v>
      </c>
      <c r="Q14077" s="5">
        <v>72</v>
      </c>
      <c r="R14077" s="5">
        <v>8</v>
      </c>
      <c r="S14077" s="5">
        <v>73</v>
      </c>
    </row>
    <row r="14078" spans="1:19" ht="28" x14ac:dyDescent="0.15">
      <c r="A14078" s="2">
        <f>HYPERLINK("https://open-school.uspishnemisto.com.ua/school/680170/", 680170)</f>
        <v>680170</v>
      </c>
      <c r="B14078" s="3" t="s">
        <v>71004</v>
      </c>
      <c r="C14078" s="3" t="s">
        <v>31</v>
      </c>
      <c r="D14078" s="3" t="s">
        <v>175</v>
      </c>
      <c r="E14078" s="4" t="s">
        <v>22</v>
      </c>
      <c r="F14078" s="4" t="s">
        <v>71002</v>
      </c>
      <c r="G14078" s="4" t="s">
        <v>71005</v>
      </c>
      <c r="H14078" s="3" t="s">
        <v>70238</v>
      </c>
      <c r="I14078" s="3" t="s">
        <v>4171</v>
      </c>
      <c r="J14078" s="3" t="s">
        <v>52302</v>
      </c>
      <c r="K14078" s="3" t="s">
        <v>71006</v>
      </c>
      <c r="L14078" s="3"/>
      <c r="M14078" s="4"/>
      <c r="N14078" s="3" t="s">
        <v>37</v>
      </c>
      <c r="O14078" s="3" t="s">
        <v>38</v>
      </c>
      <c r="P14078" s="5">
        <v>7</v>
      </c>
      <c r="Q14078" s="5">
        <v>55</v>
      </c>
      <c r="R14078" s="5">
        <v>8</v>
      </c>
      <c r="S14078" s="5">
        <v>59</v>
      </c>
    </row>
    <row r="14079" spans="1:19" ht="28" x14ac:dyDescent="0.15">
      <c r="A14079" s="2">
        <f>HYPERLINK("https://open-school.uspishnemisto.com.ua/school/680171/", 680171)</f>
        <v>680171</v>
      </c>
      <c r="B14079" s="3" t="s">
        <v>71007</v>
      </c>
      <c r="C14079" s="3" t="s">
        <v>31</v>
      </c>
      <c r="D14079" s="3" t="s">
        <v>175</v>
      </c>
      <c r="E14079" s="4" t="s">
        <v>22</v>
      </c>
      <c r="F14079" s="4"/>
      <c r="G14079" s="4" t="s">
        <v>71008</v>
      </c>
      <c r="H14079" s="3" t="s">
        <v>70238</v>
      </c>
      <c r="I14079" s="3" t="s">
        <v>62832</v>
      </c>
      <c r="J14079" s="3" t="s">
        <v>3393</v>
      </c>
      <c r="K14079" s="3" t="s">
        <v>71009</v>
      </c>
      <c r="L14079" s="3"/>
      <c r="M14079" s="4"/>
      <c r="N14079" s="3" t="s">
        <v>37</v>
      </c>
      <c r="O14079" s="3" t="s">
        <v>38</v>
      </c>
      <c r="P14079" s="5">
        <v>9</v>
      </c>
      <c r="Q14079" s="5">
        <v>24</v>
      </c>
      <c r="R14079" s="5">
        <v>3</v>
      </c>
      <c r="S14079" s="5">
        <v>33</v>
      </c>
    </row>
    <row r="14080" spans="1:19" ht="56" x14ac:dyDescent="0.15">
      <c r="A14080" s="2">
        <f>HYPERLINK("https://open-school.uspishnemisto.com.ua/school/680172/", 680172)</f>
        <v>680172</v>
      </c>
      <c r="B14080" s="3" t="s">
        <v>71010</v>
      </c>
      <c r="C14080" s="3" t="s">
        <v>54</v>
      </c>
      <c r="D14080" s="3" t="s">
        <v>32</v>
      </c>
      <c r="E14080" s="4" t="s">
        <v>22</v>
      </c>
      <c r="F14080" s="4" t="s">
        <v>71011</v>
      </c>
      <c r="G14080" s="4" t="s">
        <v>71012</v>
      </c>
      <c r="H14080" s="3" t="s">
        <v>70238</v>
      </c>
      <c r="I14080" s="3" t="s">
        <v>71013</v>
      </c>
      <c r="J14080" s="3" t="s">
        <v>71014</v>
      </c>
      <c r="K14080" s="3" t="s">
        <v>71015</v>
      </c>
      <c r="L14080" s="3"/>
      <c r="M14080" s="4"/>
      <c r="N14080" s="3" t="s">
        <v>37</v>
      </c>
      <c r="O14080" s="3" t="s">
        <v>139</v>
      </c>
      <c r="P14080" s="5">
        <v>11</v>
      </c>
      <c r="Q14080" s="5">
        <v>137</v>
      </c>
      <c r="R14080" s="5">
        <v>10</v>
      </c>
      <c r="S14080" s="5">
        <v>137</v>
      </c>
    </row>
    <row r="14081" spans="1:19" ht="56" x14ac:dyDescent="0.15">
      <c r="A14081" s="2">
        <f>HYPERLINK("https://open-school.uspishnemisto.com.ua/school/680173/", 680173)</f>
        <v>680173</v>
      </c>
      <c r="B14081" s="3" t="s">
        <v>71016</v>
      </c>
      <c r="C14081" s="3" t="s">
        <v>54</v>
      </c>
      <c r="D14081" s="3" t="s">
        <v>175</v>
      </c>
      <c r="E14081" s="4" t="s">
        <v>22</v>
      </c>
      <c r="F14081" s="4" t="s">
        <v>71017</v>
      </c>
      <c r="G14081" s="4" t="s">
        <v>71018</v>
      </c>
      <c r="H14081" s="3" t="s">
        <v>70238</v>
      </c>
      <c r="I14081" s="3" t="s">
        <v>71019</v>
      </c>
      <c r="J14081" s="3" t="s">
        <v>694</v>
      </c>
      <c r="K14081" s="3" t="s">
        <v>71020</v>
      </c>
      <c r="L14081" s="3" t="s">
        <v>71021</v>
      </c>
      <c r="M14081" s="4"/>
      <c r="N14081" s="3" t="s">
        <v>37</v>
      </c>
      <c r="O14081" s="3" t="s">
        <v>38</v>
      </c>
      <c r="P14081" s="5">
        <v>4</v>
      </c>
      <c r="Q14081" s="5">
        <v>32</v>
      </c>
      <c r="R14081" s="5">
        <v>5</v>
      </c>
      <c r="S14081" s="5">
        <v>42</v>
      </c>
    </row>
    <row r="14082" spans="1:19" ht="56" x14ac:dyDescent="0.15">
      <c r="A14082" s="2">
        <f>HYPERLINK("https://open-school.uspishnemisto.com.ua/school/680174/", 680174)</f>
        <v>680174</v>
      </c>
      <c r="B14082" s="3" t="s">
        <v>71022</v>
      </c>
      <c r="C14082" s="3" t="s">
        <v>54</v>
      </c>
      <c r="D14082" s="3" t="s">
        <v>60</v>
      </c>
      <c r="E14082" s="4" t="s">
        <v>22</v>
      </c>
      <c r="F14082" s="4" t="s">
        <v>70993</v>
      </c>
      <c r="G14082" s="4" t="s">
        <v>71023</v>
      </c>
      <c r="H14082" s="3" t="s">
        <v>70238</v>
      </c>
      <c r="I14082" s="3" t="s">
        <v>1569</v>
      </c>
      <c r="J14082" s="3" t="s">
        <v>71024</v>
      </c>
      <c r="K14082" s="3" t="s">
        <v>71025</v>
      </c>
      <c r="L14082" s="3"/>
      <c r="M14082" s="4"/>
      <c r="N14082" s="3" t="s">
        <v>37</v>
      </c>
      <c r="O14082" s="3" t="s">
        <v>52</v>
      </c>
      <c r="P14082" s="5">
        <v>1</v>
      </c>
      <c r="Q14082" s="5">
        <v>23</v>
      </c>
      <c r="R14082" s="5">
        <v>2</v>
      </c>
      <c r="S14082" s="5">
        <v>20</v>
      </c>
    </row>
    <row r="14083" spans="1:19" ht="28" x14ac:dyDescent="0.15">
      <c r="A14083" s="2">
        <f>HYPERLINK("https://open-school.uspishnemisto.com.ua/school/680175/", 680175)</f>
        <v>680175</v>
      </c>
      <c r="B14083" s="3" t="s">
        <v>71026</v>
      </c>
      <c r="C14083" s="3" t="s">
        <v>31</v>
      </c>
      <c r="D14083" s="3" t="s">
        <v>32</v>
      </c>
      <c r="E14083" s="4" t="s">
        <v>22</v>
      </c>
      <c r="F14083" s="4" t="s">
        <v>71027</v>
      </c>
      <c r="G14083" s="4" t="s">
        <v>71028</v>
      </c>
      <c r="H14083" s="3" t="s">
        <v>70238</v>
      </c>
      <c r="I14083" s="3" t="s">
        <v>71029</v>
      </c>
      <c r="J14083" s="3" t="s">
        <v>3415</v>
      </c>
      <c r="K14083" s="3" t="s">
        <v>71030</v>
      </c>
      <c r="L14083" s="3"/>
      <c r="M14083" s="4"/>
      <c r="N14083" s="3" t="s">
        <v>37</v>
      </c>
      <c r="O14083" s="3" t="s">
        <v>38</v>
      </c>
      <c r="P14083" s="5">
        <v>12</v>
      </c>
      <c r="Q14083" s="5">
        <v>192</v>
      </c>
      <c r="R14083" s="5">
        <v>12</v>
      </c>
      <c r="S14083" s="5">
        <v>202</v>
      </c>
    </row>
    <row r="14084" spans="1:19" ht="28" x14ac:dyDescent="0.15">
      <c r="A14084" s="2">
        <f>HYPERLINK("https://open-school.uspishnemisto.com.ua/school/680176/", 680176)</f>
        <v>680176</v>
      </c>
      <c r="B14084" s="3" t="s">
        <v>71031</v>
      </c>
      <c r="C14084" s="3" t="s">
        <v>31</v>
      </c>
      <c r="D14084" s="3" t="s">
        <v>175</v>
      </c>
      <c r="E14084" s="4" t="s">
        <v>22</v>
      </c>
      <c r="F14084" s="4" t="s">
        <v>71032</v>
      </c>
      <c r="G14084" s="4" t="s">
        <v>71033</v>
      </c>
      <c r="H14084" s="3" t="s">
        <v>70238</v>
      </c>
      <c r="I14084" s="3" t="s">
        <v>4198</v>
      </c>
      <c r="J14084" s="3" t="s">
        <v>466</v>
      </c>
      <c r="K14084" s="3"/>
      <c r="L14084" s="3"/>
      <c r="M14084" s="4"/>
      <c r="N14084" s="3" t="s">
        <v>37</v>
      </c>
      <c r="O14084" s="3" t="s">
        <v>46</v>
      </c>
      <c r="P14084" s="5">
        <v>9</v>
      </c>
      <c r="Q14084" s="5">
        <v>61</v>
      </c>
      <c r="R14084" s="5">
        <v>8</v>
      </c>
      <c r="S14084" s="5">
        <v>59</v>
      </c>
    </row>
    <row r="14085" spans="1:19" ht="28" x14ac:dyDescent="0.15">
      <c r="A14085" s="2">
        <f>HYPERLINK("https://open-school.uspishnemisto.com.ua/school/680177/", 680177)</f>
        <v>680177</v>
      </c>
      <c r="B14085" s="3" t="s">
        <v>71034</v>
      </c>
      <c r="C14085" s="3" t="s">
        <v>31</v>
      </c>
      <c r="D14085" s="3" t="s">
        <v>32</v>
      </c>
      <c r="E14085" s="4" t="s">
        <v>22</v>
      </c>
      <c r="F14085" s="4" t="s">
        <v>71035</v>
      </c>
      <c r="G14085" s="4" t="s">
        <v>71036</v>
      </c>
      <c r="H14085" s="3" t="s">
        <v>70238</v>
      </c>
      <c r="I14085" s="3" t="s">
        <v>71037</v>
      </c>
      <c r="J14085" s="3" t="s">
        <v>718</v>
      </c>
      <c r="K14085" s="3" t="s">
        <v>71038</v>
      </c>
      <c r="L14085" s="3"/>
      <c r="M14085" s="4"/>
      <c r="N14085" s="3" t="s">
        <v>37</v>
      </c>
      <c r="O14085" s="3" t="s">
        <v>70</v>
      </c>
      <c r="P14085" s="5">
        <v>9</v>
      </c>
      <c r="Q14085" s="5">
        <v>104</v>
      </c>
      <c r="R14085" s="5">
        <v>10</v>
      </c>
      <c r="S14085" s="5">
        <v>101</v>
      </c>
    </row>
    <row r="14086" spans="1:19" ht="42" x14ac:dyDescent="0.15">
      <c r="A14086" s="2">
        <f>HYPERLINK("https://open-school.uspishnemisto.com.ua/school/680178/", 680178)</f>
        <v>680178</v>
      </c>
      <c r="B14086" s="3" t="s">
        <v>71039</v>
      </c>
      <c r="C14086" s="3" t="s">
        <v>31</v>
      </c>
      <c r="D14086" s="3" t="s">
        <v>175</v>
      </c>
      <c r="E14086" s="4" t="s">
        <v>22</v>
      </c>
      <c r="F14086" s="4" t="s">
        <v>71040</v>
      </c>
      <c r="G14086" s="4" t="s">
        <v>71041</v>
      </c>
      <c r="H14086" s="3" t="s">
        <v>70238</v>
      </c>
      <c r="I14086" s="3" t="s">
        <v>71042</v>
      </c>
      <c r="J14086" s="3" t="s">
        <v>1636</v>
      </c>
      <c r="K14086" s="3" t="s">
        <v>71043</v>
      </c>
      <c r="L14086" s="3" t="s">
        <v>71044</v>
      </c>
      <c r="M14086" s="4"/>
      <c r="N14086" s="3" t="s">
        <v>37</v>
      </c>
      <c r="O14086" s="3" t="s">
        <v>46</v>
      </c>
      <c r="P14086" s="5">
        <v>6</v>
      </c>
      <c r="Q14086" s="5">
        <v>44</v>
      </c>
      <c r="R14086" s="5">
        <v>8</v>
      </c>
      <c r="S14086" s="5">
        <v>53</v>
      </c>
    </row>
    <row r="14087" spans="1:19" ht="28" x14ac:dyDescent="0.15">
      <c r="A14087" s="2">
        <f>HYPERLINK("https://open-school.uspishnemisto.com.ua/school/680179/", 680179)</f>
        <v>680179</v>
      </c>
      <c r="B14087" s="3" t="s">
        <v>71045</v>
      </c>
      <c r="C14087" s="3" t="s">
        <v>31</v>
      </c>
      <c r="D14087" s="3" t="s">
        <v>175</v>
      </c>
      <c r="E14087" s="4" t="s">
        <v>22</v>
      </c>
      <c r="F14087" s="4" t="s">
        <v>71046</v>
      </c>
      <c r="G14087" s="4" t="s">
        <v>71047</v>
      </c>
      <c r="H14087" s="3" t="s">
        <v>70238</v>
      </c>
      <c r="I14087" s="3" t="s">
        <v>71048</v>
      </c>
      <c r="J14087" s="3" t="s">
        <v>4537</v>
      </c>
      <c r="K14087" s="3"/>
      <c r="L14087" s="3"/>
      <c r="M14087" s="4"/>
      <c r="N14087" s="3" t="s">
        <v>37</v>
      </c>
      <c r="O14087" s="3" t="s">
        <v>38</v>
      </c>
      <c r="P14087" s="5">
        <v>4</v>
      </c>
      <c r="Q14087" s="5">
        <v>31</v>
      </c>
      <c r="R14087" s="5">
        <v>5</v>
      </c>
      <c r="S14087" s="5">
        <v>33</v>
      </c>
    </row>
    <row r="14088" spans="1:19" ht="28" x14ac:dyDescent="0.15">
      <c r="A14088" s="2">
        <f>HYPERLINK("https://open-school.uspishnemisto.com.ua/school/680180/", 680180)</f>
        <v>680180</v>
      </c>
      <c r="B14088" s="3" t="s">
        <v>71049</v>
      </c>
      <c r="C14088" s="3" t="s">
        <v>31</v>
      </c>
      <c r="D14088" s="3" t="s">
        <v>32</v>
      </c>
      <c r="E14088" s="4" t="s">
        <v>22</v>
      </c>
      <c r="F14088" s="4" t="s">
        <v>71050</v>
      </c>
      <c r="G14088" s="4" t="s">
        <v>71051</v>
      </c>
      <c r="H14088" s="3" t="s">
        <v>70238</v>
      </c>
      <c r="I14088" s="3" t="s">
        <v>987</v>
      </c>
      <c r="J14088" s="3" t="s">
        <v>3393</v>
      </c>
      <c r="K14088" s="3" t="s">
        <v>71052</v>
      </c>
      <c r="L14088" s="3"/>
      <c r="M14088" s="4"/>
      <c r="N14088" s="3" t="s">
        <v>37</v>
      </c>
      <c r="O14088" s="3" t="s">
        <v>266</v>
      </c>
      <c r="P14088" s="5">
        <v>11</v>
      </c>
      <c r="Q14088" s="5">
        <v>161</v>
      </c>
      <c r="R14088" s="5">
        <v>11</v>
      </c>
      <c r="S14088" s="5">
        <v>155</v>
      </c>
    </row>
    <row r="14089" spans="1:19" ht="28" x14ac:dyDescent="0.15">
      <c r="A14089" s="2">
        <f>HYPERLINK("https://open-school.uspishnemisto.com.ua/school/680181/", 680181)</f>
        <v>680181</v>
      </c>
      <c r="B14089" s="3" t="s">
        <v>71053</v>
      </c>
      <c r="C14089" s="3" t="s">
        <v>31</v>
      </c>
      <c r="D14089" s="3" t="s">
        <v>32</v>
      </c>
      <c r="E14089" s="4" t="s">
        <v>22</v>
      </c>
      <c r="F14089" s="4" t="s">
        <v>71054</v>
      </c>
      <c r="G14089" s="4" t="s">
        <v>71055</v>
      </c>
      <c r="H14089" s="3" t="s">
        <v>70238</v>
      </c>
      <c r="I14089" s="3" t="s">
        <v>40544</v>
      </c>
      <c r="J14089" s="3" t="s">
        <v>71056</v>
      </c>
      <c r="K14089" s="3" t="s">
        <v>71057</v>
      </c>
      <c r="L14089" s="3"/>
      <c r="M14089" s="4"/>
      <c r="N14089" s="3" t="s">
        <v>37</v>
      </c>
      <c r="O14089" s="3" t="s">
        <v>46</v>
      </c>
      <c r="P14089" s="5">
        <v>9</v>
      </c>
      <c r="Q14089" s="5">
        <v>86</v>
      </c>
      <c r="R14089" s="5">
        <v>10</v>
      </c>
      <c r="S14089" s="5">
        <v>87</v>
      </c>
    </row>
    <row r="14090" spans="1:19" ht="28" x14ac:dyDescent="0.15">
      <c r="A14090" s="2">
        <f>HYPERLINK("https://open-school.uspishnemisto.com.ua/school/680182/", 680182)</f>
        <v>680182</v>
      </c>
      <c r="B14090" s="3" t="s">
        <v>71058</v>
      </c>
      <c r="C14090" s="3" t="s">
        <v>31</v>
      </c>
      <c r="D14090" s="3" t="s">
        <v>175</v>
      </c>
      <c r="E14090" s="4" t="s">
        <v>22</v>
      </c>
      <c r="F14090" s="4" t="s">
        <v>71059</v>
      </c>
      <c r="G14090" s="4" t="s">
        <v>71060</v>
      </c>
      <c r="H14090" s="3" t="s">
        <v>70238</v>
      </c>
      <c r="I14090" s="3" t="s">
        <v>553</v>
      </c>
      <c r="J14090" s="3" t="s">
        <v>5632</v>
      </c>
      <c r="K14090" s="3" t="s">
        <v>71061</v>
      </c>
      <c r="L14090" s="3"/>
      <c r="M14090" s="4"/>
      <c r="N14090" s="3" t="s">
        <v>37</v>
      </c>
      <c r="O14090" s="3" t="s">
        <v>52</v>
      </c>
      <c r="P14090" s="5">
        <v>7</v>
      </c>
      <c r="Q14090" s="5">
        <v>56</v>
      </c>
      <c r="R14090" s="5">
        <v>8</v>
      </c>
      <c r="S14090" s="5">
        <v>50</v>
      </c>
    </row>
    <row r="14091" spans="1:19" ht="42" x14ac:dyDescent="0.15">
      <c r="A14091" s="2">
        <f>HYPERLINK("https://open-school.uspishnemisto.com.ua/school/680183/", 680183)</f>
        <v>680183</v>
      </c>
      <c r="B14091" s="3" t="s">
        <v>71062</v>
      </c>
      <c r="C14091" s="3" t="s">
        <v>54</v>
      </c>
      <c r="D14091" s="3" t="s">
        <v>60</v>
      </c>
      <c r="E14091" s="4" t="s">
        <v>22</v>
      </c>
      <c r="F14091" s="4" t="s">
        <v>71063</v>
      </c>
      <c r="G14091" s="4" t="s">
        <v>71064</v>
      </c>
      <c r="H14091" s="3" t="s">
        <v>70238</v>
      </c>
      <c r="I14091" s="3" t="s">
        <v>71065</v>
      </c>
      <c r="J14091" s="3" t="s">
        <v>19322</v>
      </c>
      <c r="K14091" s="3"/>
      <c r="L14091" s="3"/>
      <c r="M14091" s="4"/>
      <c r="N14091" s="3" t="s">
        <v>37</v>
      </c>
      <c r="O14091" s="3" t="s">
        <v>52</v>
      </c>
      <c r="P14091" s="5">
        <v>1</v>
      </c>
      <c r="Q14091" s="5">
        <v>12</v>
      </c>
      <c r="R14091" s="5">
        <v>1</v>
      </c>
      <c r="S14091" s="5">
        <v>7</v>
      </c>
    </row>
    <row r="14092" spans="1:19" ht="56" x14ac:dyDescent="0.15">
      <c r="A14092" s="2">
        <f>HYPERLINK("https://open-school.uspishnemisto.com.ua/school/680184/", 680184)</f>
        <v>680184</v>
      </c>
      <c r="B14092" s="3" t="s">
        <v>71066</v>
      </c>
      <c r="C14092" s="3" t="s">
        <v>54</v>
      </c>
      <c r="D14092" s="3" t="s">
        <v>175</v>
      </c>
      <c r="E14092" s="4" t="s">
        <v>22</v>
      </c>
      <c r="F14092" s="4" t="s">
        <v>71067</v>
      </c>
      <c r="G14092" s="4" t="s">
        <v>71068</v>
      </c>
      <c r="H14092" s="3" t="s">
        <v>70238</v>
      </c>
      <c r="I14092" s="3" t="s">
        <v>71069</v>
      </c>
      <c r="J14092" s="3" t="s">
        <v>634</v>
      </c>
      <c r="K14092" s="3" t="s">
        <v>71070</v>
      </c>
      <c r="L14092" s="3"/>
      <c r="M14092" s="4"/>
      <c r="N14092" s="3" t="s">
        <v>37</v>
      </c>
      <c r="O14092" s="3" t="s">
        <v>70</v>
      </c>
      <c r="P14092" s="5">
        <v>5</v>
      </c>
      <c r="Q14092" s="5">
        <v>47</v>
      </c>
      <c r="R14092" s="5">
        <v>4</v>
      </c>
      <c r="S14092" s="5">
        <v>39</v>
      </c>
    </row>
    <row r="14093" spans="1:19" ht="28" x14ac:dyDescent="0.15">
      <c r="A14093" s="2">
        <f>HYPERLINK("https://open-school.uspishnemisto.com.ua/school/680185/", 680185)</f>
        <v>680185</v>
      </c>
      <c r="B14093" s="3" t="s">
        <v>71071</v>
      </c>
      <c r="C14093" s="3" t="s">
        <v>31</v>
      </c>
      <c r="D14093" s="3" t="s">
        <v>32</v>
      </c>
      <c r="E14093" s="4" t="s">
        <v>22</v>
      </c>
      <c r="F14093" s="4" t="s">
        <v>71072</v>
      </c>
      <c r="G14093" s="4" t="s">
        <v>71073</v>
      </c>
      <c r="H14093" s="3" t="s">
        <v>70238</v>
      </c>
      <c r="I14093" s="3" t="s">
        <v>71074</v>
      </c>
      <c r="J14093" s="3" t="s">
        <v>71075</v>
      </c>
      <c r="K14093" s="3" t="s">
        <v>71076</v>
      </c>
      <c r="L14093" s="3" t="s">
        <v>71077</v>
      </c>
      <c r="M14093" s="4"/>
      <c r="N14093" s="3" t="s">
        <v>37</v>
      </c>
      <c r="O14093" s="3" t="s">
        <v>38</v>
      </c>
      <c r="P14093" s="5">
        <v>11</v>
      </c>
      <c r="Q14093" s="5">
        <v>102</v>
      </c>
      <c r="R14093" s="5">
        <v>9</v>
      </c>
      <c r="S14093" s="5">
        <v>89</v>
      </c>
    </row>
    <row r="14094" spans="1:19" ht="28" x14ac:dyDescent="0.15">
      <c r="A14094" s="2">
        <f>HYPERLINK("https://open-school.uspishnemisto.com.ua/school/680186/", 680186)</f>
        <v>680186</v>
      </c>
      <c r="B14094" s="3" t="s">
        <v>71078</v>
      </c>
      <c r="C14094" s="3" t="s">
        <v>31</v>
      </c>
      <c r="D14094" s="3" t="s">
        <v>175</v>
      </c>
      <c r="E14094" s="4" t="s">
        <v>22</v>
      </c>
      <c r="F14094" s="4" t="s">
        <v>71072</v>
      </c>
      <c r="G14094" s="4" t="s">
        <v>71079</v>
      </c>
      <c r="H14094" s="3" t="s">
        <v>70238</v>
      </c>
      <c r="I14094" s="3" t="s">
        <v>71080</v>
      </c>
      <c r="J14094" s="3" t="s">
        <v>297</v>
      </c>
      <c r="K14094" s="3" t="s">
        <v>71081</v>
      </c>
      <c r="L14094" s="3"/>
      <c r="M14094" s="4"/>
      <c r="N14094" s="3" t="s">
        <v>37</v>
      </c>
      <c r="O14094" s="3" t="s">
        <v>38</v>
      </c>
      <c r="P14094" s="5">
        <v>4</v>
      </c>
      <c r="Q14094" s="5">
        <v>32</v>
      </c>
      <c r="R14094" s="5">
        <v>3</v>
      </c>
      <c r="S14094" s="5">
        <v>28</v>
      </c>
    </row>
    <row r="14095" spans="1:19" ht="28" x14ac:dyDescent="0.15">
      <c r="A14095" s="2">
        <f>HYPERLINK("https://open-school.uspishnemisto.com.ua/school/680187/", 680187)</f>
        <v>680187</v>
      </c>
      <c r="B14095" s="3" t="s">
        <v>71082</v>
      </c>
      <c r="C14095" s="3" t="s">
        <v>31</v>
      </c>
      <c r="D14095" s="3" t="s">
        <v>32</v>
      </c>
      <c r="E14095" s="4" t="s">
        <v>22</v>
      </c>
      <c r="F14095" s="4" t="s">
        <v>71083</v>
      </c>
      <c r="G14095" s="4" t="s">
        <v>71084</v>
      </c>
      <c r="H14095" s="3" t="s">
        <v>70238</v>
      </c>
      <c r="I14095" s="3" t="s">
        <v>71085</v>
      </c>
      <c r="J14095" s="3" t="s">
        <v>466</v>
      </c>
      <c r="K14095" s="3" t="s">
        <v>71086</v>
      </c>
      <c r="L14095" s="3"/>
      <c r="M14095" s="4"/>
      <c r="N14095" s="3" t="s">
        <v>37</v>
      </c>
      <c r="O14095" s="3" t="s">
        <v>38</v>
      </c>
      <c r="P14095" s="5">
        <v>10</v>
      </c>
      <c r="Q14095" s="5">
        <v>73</v>
      </c>
      <c r="R14095" s="5">
        <v>10</v>
      </c>
      <c r="S14095" s="5">
        <v>77</v>
      </c>
    </row>
    <row r="14096" spans="1:19" ht="56" x14ac:dyDescent="0.15">
      <c r="A14096" s="2">
        <f>HYPERLINK("https://open-school.uspishnemisto.com.ua/school/680188/", 680188)</f>
        <v>680188</v>
      </c>
      <c r="B14096" s="3" t="s">
        <v>71087</v>
      </c>
      <c r="C14096" s="3" t="s">
        <v>54</v>
      </c>
      <c r="D14096" s="3"/>
      <c r="E14096" s="4" t="s">
        <v>22</v>
      </c>
      <c r="F14096" s="4" t="s">
        <v>71088</v>
      </c>
      <c r="G14096" s="4" t="s">
        <v>71089</v>
      </c>
      <c r="H14096" s="3" t="s">
        <v>70238</v>
      </c>
      <c r="I14096" s="3" t="s">
        <v>36526</v>
      </c>
      <c r="J14096" s="3" t="s">
        <v>1348</v>
      </c>
      <c r="K14096" s="3" t="s">
        <v>71090</v>
      </c>
      <c r="L14096" s="3"/>
      <c r="M14096" s="4"/>
      <c r="N14096" s="3" t="s">
        <v>37</v>
      </c>
      <c r="O14096" s="3" t="s">
        <v>38</v>
      </c>
      <c r="P14096" s="5">
        <v>8</v>
      </c>
      <c r="Q14096" s="5">
        <v>54</v>
      </c>
      <c r="R14096" s="5">
        <v>8</v>
      </c>
      <c r="S14096" s="5">
        <v>52</v>
      </c>
    </row>
    <row r="14097" spans="1:19" ht="28" x14ac:dyDescent="0.15">
      <c r="A14097" s="2">
        <f>HYPERLINK("https://open-school.uspishnemisto.com.ua/school/680189/", 680189)</f>
        <v>680189</v>
      </c>
      <c r="B14097" s="3" t="s">
        <v>71091</v>
      </c>
      <c r="C14097" s="3" t="s">
        <v>31</v>
      </c>
      <c r="D14097" s="3" t="s">
        <v>60</v>
      </c>
      <c r="E14097" s="4" t="s">
        <v>22</v>
      </c>
      <c r="F14097" s="4" t="s">
        <v>71092</v>
      </c>
      <c r="G14097" s="4" t="s">
        <v>71093</v>
      </c>
      <c r="H14097" s="3" t="s">
        <v>70238</v>
      </c>
      <c r="I14097" s="3" t="s">
        <v>71094</v>
      </c>
      <c r="J14097" s="3" t="s">
        <v>466</v>
      </c>
      <c r="K14097" s="3" t="s">
        <v>71095</v>
      </c>
      <c r="L14097" s="3"/>
      <c r="M14097" s="4"/>
      <c r="N14097" s="3" t="s">
        <v>37</v>
      </c>
      <c r="O14097" s="3" t="s">
        <v>52</v>
      </c>
      <c r="P14097" s="5">
        <v>1</v>
      </c>
      <c r="Q14097" s="5">
        <v>13</v>
      </c>
      <c r="R14097" s="5">
        <v>1</v>
      </c>
      <c r="S14097" s="5">
        <v>27</v>
      </c>
    </row>
    <row r="14098" spans="1:19" ht="28" x14ac:dyDescent="0.15">
      <c r="A14098" s="2">
        <f>HYPERLINK("https://open-school.uspishnemisto.com.ua/school/680190/", 680190)</f>
        <v>680190</v>
      </c>
      <c r="B14098" s="3" t="s">
        <v>71096</v>
      </c>
      <c r="C14098" s="3" t="s">
        <v>31</v>
      </c>
      <c r="D14098" s="3" t="s">
        <v>175</v>
      </c>
      <c r="E14098" s="4" t="s">
        <v>22</v>
      </c>
      <c r="F14098" s="4"/>
      <c r="G14098" s="4" t="s">
        <v>71097</v>
      </c>
      <c r="H14098" s="3" t="s">
        <v>70238</v>
      </c>
      <c r="I14098" s="3" t="s">
        <v>71098</v>
      </c>
      <c r="J14098" s="3" t="s">
        <v>4544</v>
      </c>
      <c r="K14098" s="3"/>
      <c r="L14098" s="3"/>
      <c r="M14098" s="4"/>
      <c r="N14098" s="3" t="s">
        <v>37</v>
      </c>
      <c r="O14098" s="3" t="s">
        <v>38</v>
      </c>
      <c r="P14098" s="5">
        <v>4</v>
      </c>
      <c r="Q14098" s="5">
        <v>41</v>
      </c>
      <c r="R14098" s="5">
        <v>5</v>
      </c>
      <c r="S14098" s="5">
        <v>42</v>
      </c>
    </row>
    <row r="14099" spans="1:19" ht="28" x14ac:dyDescent="0.15">
      <c r="A14099" s="2">
        <f>HYPERLINK("https://open-school.uspishnemisto.com.ua/school/680191/", 680191)</f>
        <v>680191</v>
      </c>
      <c r="B14099" s="3" t="s">
        <v>71099</v>
      </c>
      <c r="C14099" s="3" t="s">
        <v>54</v>
      </c>
      <c r="D14099" s="3" t="s">
        <v>32</v>
      </c>
      <c r="E14099" s="4" t="s">
        <v>22</v>
      </c>
      <c r="F14099" s="4" t="s">
        <v>71100</v>
      </c>
      <c r="G14099" s="4" t="s">
        <v>71101</v>
      </c>
      <c r="H14099" s="3" t="s">
        <v>70238</v>
      </c>
      <c r="I14099" s="3" t="s">
        <v>71102</v>
      </c>
      <c r="J14099" s="3" t="s">
        <v>71103</v>
      </c>
      <c r="K14099" s="3" t="s">
        <v>71104</v>
      </c>
      <c r="L14099" s="3" t="s">
        <v>71105</v>
      </c>
      <c r="M14099" s="4"/>
      <c r="N14099" s="3" t="s">
        <v>37</v>
      </c>
      <c r="O14099" s="3" t="s">
        <v>46</v>
      </c>
      <c r="P14099" s="5">
        <v>7</v>
      </c>
      <c r="Q14099" s="5">
        <v>62</v>
      </c>
      <c r="R14099" s="5">
        <v>7</v>
      </c>
      <c r="S14099" s="5">
        <v>59</v>
      </c>
    </row>
    <row r="14100" spans="1:19" ht="56" x14ac:dyDescent="0.15">
      <c r="A14100" s="2">
        <f>HYPERLINK("https://open-school.uspishnemisto.com.ua/school/680192/", 680192)</f>
        <v>680192</v>
      </c>
      <c r="B14100" s="3" t="s">
        <v>71106</v>
      </c>
      <c r="C14100" s="3" t="s">
        <v>31</v>
      </c>
      <c r="D14100" s="3" t="s">
        <v>32</v>
      </c>
      <c r="E14100" s="4" t="s">
        <v>22</v>
      </c>
      <c r="F14100" s="4" t="s">
        <v>71107</v>
      </c>
      <c r="G14100" s="4" t="s">
        <v>71108</v>
      </c>
      <c r="H14100" s="3" t="s">
        <v>70238</v>
      </c>
      <c r="I14100" s="3" t="s">
        <v>71109</v>
      </c>
      <c r="J14100" s="3" t="s">
        <v>7277</v>
      </c>
      <c r="K14100" s="3" t="s">
        <v>71110</v>
      </c>
      <c r="L14100" s="3"/>
      <c r="M14100" s="4"/>
      <c r="N14100" s="3" t="s">
        <v>37</v>
      </c>
      <c r="O14100" s="3" t="s">
        <v>46</v>
      </c>
      <c r="P14100" s="5">
        <v>10</v>
      </c>
      <c r="Q14100" s="5">
        <v>93</v>
      </c>
      <c r="R14100" s="5">
        <v>6</v>
      </c>
      <c r="S14100" s="5">
        <v>47</v>
      </c>
    </row>
    <row r="14101" spans="1:19" ht="28" x14ac:dyDescent="0.15">
      <c r="A14101" s="2">
        <f>HYPERLINK("https://open-school.uspishnemisto.com.ua/school/680194/", 680194)</f>
        <v>680194</v>
      </c>
      <c r="B14101" s="3" t="s">
        <v>71111</v>
      </c>
      <c r="C14101" s="3" t="s">
        <v>40</v>
      </c>
      <c r="D14101" s="3" t="s">
        <v>32</v>
      </c>
      <c r="E14101" s="4" t="s">
        <v>22</v>
      </c>
      <c r="F14101" s="4" t="s">
        <v>71112</v>
      </c>
      <c r="G14101" s="4" t="s">
        <v>71113</v>
      </c>
      <c r="H14101" s="3" t="s">
        <v>70238</v>
      </c>
      <c r="I14101" s="3" t="s">
        <v>1506</v>
      </c>
      <c r="J14101" s="3" t="s">
        <v>18837</v>
      </c>
      <c r="K14101" s="3" t="s">
        <v>71114</v>
      </c>
      <c r="L14101" s="3"/>
      <c r="M14101" s="4"/>
      <c r="N14101" s="3" t="s">
        <v>37</v>
      </c>
      <c r="O14101" s="3" t="s">
        <v>123</v>
      </c>
      <c r="P14101" s="5">
        <v>15</v>
      </c>
      <c r="Q14101" s="5">
        <v>382</v>
      </c>
      <c r="R14101" s="5">
        <v>14</v>
      </c>
      <c r="S14101" s="5">
        <v>358</v>
      </c>
    </row>
    <row r="14102" spans="1:19" ht="28" x14ac:dyDescent="0.15">
      <c r="A14102" s="2">
        <f>HYPERLINK("https://open-school.uspishnemisto.com.ua/school/680195/", 680195)</f>
        <v>680195</v>
      </c>
      <c r="B14102" s="3" t="s">
        <v>71115</v>
      </c>
      <c r="C14102" s="3" t="s">
        <v>31</v>
      </c>
      <c r="D14102" s="3" t="s">
        <v>60</v>
      </c>
      <c r="E14102" s="4" t="s">
        <v>22</v>
      </c>
      <c r="F14102" s="4" t="s">
        <v>71112</v>
      </c>
      <c r="G14102" s="4" t="s">
        <v>71113</v>
      </c>
      <c r="H14102" s="3" t="s">
        <v>70238</v>
      </c>
      <c r="I14102" s="3" t="s">
        <v>1506</v>
      </c>
      <c r="J14102" s="3" t="s">
        <v>4046</v>
      </c>
      <c r="K14102" s="3" t="s">
        <v>71116</v>
      </c>
      <c r="L14102" s="3" t="s">
        <v>71117</v>
      </c>
      <c r="M14102" s="4"/>
      <c r="N14102" s="3" t="s">
        <v>37</v>
      </c>
      <c r="O14102" s="3" t="s">
        <v>52</v>
      </c>
      <c r="P14102" s="5">
        <v>10</v>
      </c>
      <c r="Q14102" s="5">
        <v>250</v>
      </c>
      <c r="R14102" s="5">
        <v>11</v>
      </c>
      <c r="S14102" s="5">
        <v>268</v>
      </c>
    </row>
    <row r="14103" spans="1:19" ht="28" x14ac:dyDescent="0.15">
      <c r="A14103" s="2">
        <f>HYPERLINK("https://open-school.uspishnemisto.com.ua/school/680196/", 680196)</f>
        <v>680196</v>
      </c>
      <c r="B14103" s="3" t="s">
        <v>71118</v>
      </c>
      <c r="C14103" s="3" t="s">
        <v>31</v>
      </c>
      <c r="D14103" s="3" t="s">
        <v>32</v>
      </c>
      <c r="E14103" s="4" t="s">
        <v>22</v>
      </c>
      <c r="F14103" s="4" t="s">
        <v>71119</v>
      </c>
      <c r="G14103" s="4" t="s">
        <v>71113</v>
      </c>
      <c r="H14103" s="3" t="s">
        <v>70238</v>
      </c>
      <c r="I14103" s="3" t="s">
        <v>1506</v>
      </c>
      <c r="J14103" s="3" t="s">
        <v>71120</v>
      </c>
      <c r="K14103" s="3" t="s">
        <v>71121</v>
      </c>
      <c r="L14103" s="3"/>
      <c r="M14103" s="4"/>
      <c r="N14103" s="3" t="s">
        <v>37</v>
      </c>
      <c r="O14103" s="3" t="s">
        <v>2740</v>
      </c>
      <c r="P14103" s="5">
        <v>21</v>
      </c>
      <c r="Q14103" s="5">
        <v>453</v>
      </c>
      <c r="R14103" s="5">
        <v>22</v>
      </c>
      <c r="S14103" s="5">
        <v>465</v>
      </c>
    </row>
    <row r="14104" spans="1:19" ht="28" x14ac:dyDescent="0.15">
      <c r="A14104" s="2">
        <f>HYPERLINK("https://open-school.uspishnemisto.com.ua/school/680197/", 680197)</f>
        <v>680197</v>
      </c>
      <c r="B14104" s="3" t="s">
        <v>71122</v>
      </c>
      <c r="C14104" s="3" t="s">
        <v>31</v>
      </c>
      <c r="D14104" s="3" t="s">
        <v>32</v>
      </c>
      <c r="E14104" s="4" t="s">
        <v>22</v>
      </c>
      <c r="F14104" s="4" t="s">
        <v>71112</v>
      </c>
      <c r="G14104" s="4" t="s">
        <v>71113</v>
      </c>
      <c r="H14104" s="3" t="s">
        <v>70238</v>
      </c>
      <c r="I14104" s="3" t="s">
        <v>1506</v>
      </c>
      <c r="J14104" s="3" t="s">
        <v>32371</v>
      </c>
      <c r="K14104" s="3"/>
      <c r="L14104" s="3"/>
      <c r="M14104" s="4"/>
      <c r="N14104" s="3" t="s">
        <v>37</v>
      </c>
      <c r="O14104" s="3" t="s">
        <v>197</v>
      </c>
      <c r="P14104" s="5">
        <v>22</v>
      </c>
      <c r="Q14104" s="5">
        <v>438</v>
      </c>
      <c r="R14104" s="5">
        <v>23</v>
      </c>
      <c r="S14104" s="5">
        <v>421</v>
      </c>
    </row>
    <row r="14105" spans="1:19" ht="28" x14ac:dyDescent="0.15">
      <c r="A14105" s="2">
        <f>HYPERLINK("https://open-school.uspishnemisto.com.ua/school/680198/", 680198)</f>
        <v>680198</v>
      </c>
      <c r="B14105" s="3" t="s">
        <v>71123</v>
      </c>
      <c r="C14105" s="3" t="s">
        <v>31</v>
      </c>
      <c r="D14105" s="3" t="s">
        <v>32</v>
      </c>
      <c r="E14105" s="4" t="s">
        <v>22</v>
      </c>
      <c r="F14105" s="4" t="s">
        <v>71112</v>
      </c>
      <c r="G14105" s="4" t="s">
        <v>71113</v>
      </c>
      <c r="H14105" s="3" t="s">
        <v>70238</v>
      </c>
      <c r="I14105" s="3" t="s">
        <v>1506</v>
      </c>
      <c r="J14105" s="3" t="s">
        <v>32460</v>
      </c>
      <c r="K14105" s="3" t="s">
        <v>71124</v>
      </c>
      <c r="L14105" s="3"/>
      <c r="M14105" s="4"/>
      <c r="N14105" s="3" t="s">
        <v>38230</v>
      </c>
      <c r="O14105" s="3" t="s">
        <v>38</v>
      </c>
      <c r="P14105" s="5">
        <v>16</v>
      </c>
      <c r="Q14105" s="5">
        <v>303</v>
      </c>
      <c r="R14105" s="5">
        <v>14</v>
      </c>
      <c r="S14105" s="5">
        <v>302</v>
      </c>
    </row>
    <row r="14106" spans="1:19" ht="28" x14ac:dyDescent="0.15">
      <c r="A14106" s="2">
        <f>HYPERLINK("https://open-school.uspishnemisto.com.ua/school/680199/", 680199)</f>
        <v>680199</v>
      </c>
      <c r="B14106" s="3" t="s">
        <v>71125</v>
      </c>
      <c r="C14106" s="3" t="s">
        <v>31</v>
      </c>
      <c r="D14106" s="3" t="s">
        <v>175</v>
      </c>
      <c r="E14106" s="4" t="s">
        <v>22</v>
      </c>
      <c r="F14106" s="4" t="s">
        <v>71112</v>
      </c>
      <c r="G14106" s="4" t="s">
        <v>71113</v>
      </c>
      <c r="H14106" s="3" t="s">
        <v>70238</v>
      </c>
      <c r="I14106" s="3" t="s">
        <v>1506</v>
      </c>
      <c r="J14106" s="3" t="s">
        <v>27209</v>
      </c>
      <c r="K14106" s="3" t="s">
        <v>70970</v>
      </c>
      <c r="L14106" s="3"/>
      <c r="M14106" s="4"/>
      <c r="N14106" s="3" t="s">
        <v>37</v>
      </c>
      <c r="O14106" s="3" t="s">
        <v>38</v>
      </c>
      <c r="P14106" s="5">
        <v>9</v>
      </c>
      <c r="Q14106" s="5">
        <v>125</v>
      </c>
      <c r="R14106" s="5">
        <v>9</v>
      </c>
      <c r="S14106" s="5">
        <v>124</v>
      </c>
    </row>
    <row r="14107" spans="1:19" ht="28" x14ac:dyDescent="0.15">
      <c r="A14107" s="2">
        <f>HYPERLINK("https://open-school.uspishnemisto.com.ua/school/680200/", 680200)</f>
        <v>680200</v>
      </c>
      <c r="B14107" s="3" t="s">
        <v>71126</v>
      </c>
      <c r="C14107" s="3" t="s">
        <v>31</v>
      </c>
      <c r="D14107" s="3" t="s">
        <v>32</v>
      </c>
      <c r="E14107" s="4" t="s">
        <v>22</v>
      </c>
      <c r="F14107" s="4" t="s">
        <v>71127</v>
      </c>
      <c r="G14107" s="4" t="s">
        <v>71128</v>
      </c>
      <c r="H14107" s="3" t="s">
        <v>70238</v>
      </c>
      <c r="I14107" s="3" t="s">
        <v>71129</v>
      </c>
      <c r="J14107" s="3" t="s">
        <v>1070</v>
      </c>
      <c r="K14107" s="3" t="s">
        <v>71130</v>
      </c>
      <c r="L14107" s="3"/>
      <c r="M14107" s="4"/>
      <c r="N14107" s="3" t="s">
        <v>37</v>
      </c>
      <c r="O14107" s="3" t="s">
        <v>721</v>
      </c>
      <c r="P14107" s="5">
        <v>18</v>
      </c>
      <c r="Q14107" s="5">
        <v>381</v>
      </c>
      <c r="R14107" s="5">
        <v>18</v>
      </c>
      <c r="S14107" s="5">
        <v>371</v>
      </c>
    </row>
    <row r="14108" spans="1:19" ht="28" x14ac:dyDescent="0.15">
      <c r="A14108" s="2">
        <f>HYPERLINK("https://open-school.uspishnemisto.com.ua/school/680201/", 680201)</f>
        <v>680201</v>
      </c>
      <c r="B14108" s="3" t="s">
        <v>71131</v>
      </c>
      <c r="C14108" s="3" t="s">
        <v>31</v>
      </c>
      <c r="D14108" s="3" t="s">
        <v>32</v>
      </c>
      <c r="E14108" s="4" t="s">
        <v>22</v>
      </c>
      <c r="F14108" s="4" t="s">
        <v>71132</v>
      </c>
      <c r="G14108" s="4" t="s">
        <v>71133</v>
      </c>
      <c r="H14108" s="3" t="s">
        <v>70238</v>
      </c>
      <c r="I14108" s="3" t="s">
        <v>61430</v>
      </c>
      <c r="J14108" s="3" t="s">
        <v>2719</v>
      </c>
      <c r="K14108" s="3" t="s">
        <v>71134</v>
      </c>
      <c r="L14108" s="3"/>
      <c r="M14108" s="4"/>
      <c r="N14108" s="3" t="s">
        <v>37</v>
      </c>
      <c r="O14108" s="3" t="s">
        <v>38</v>
      </c>
      <c r="P14108" s="5">
        <v>8</v>
      </c>
      <c r="Q14108" s="5">
        <v>67</v>
      </c>
      <c r="R14108" s="5">
        <v>9</v>
      </c>
      <c r="S14108" s="5">
        <v>72</v>
      </c>
    </row>
    <row r="14109" spans="1:19" ht="28" x14ac:dyDescent="0.15">
      <c r="A14109" s="2">
        <f>HYPERLINK("https://open-school.uspishnemisto.com.ua/school/680202/", 680202)</f>
        <v>680202</v>
      </c>
      <c r="B14109" s="3" t="s">
        <v>71135</v>
      </c>
      <c r="C14109" s="3" t="s">
        <v>54</v>
      </c>
      <c r="D14109" s="3" t="s">
        <v>32</v>
      </c>
      <c r="E14109" s="4" t="s">
        <v>22</v>
      </c>
      <c r="F14109" s="4" t="s">
        <v>71136</v>
      </c>
      <c r="G14109" s="4" t="s">
        <v>71137</v>
      </c>
      <c r="H14109" s="3" t="s">
        <v>70238</v>
      </c>
      <c r="I14109" s="3" t="s">
        <v>1096</v>
      </c>
      <c r="J14109" s="3" t="s">
        <v>466</v>
      </c>
      <c r="K14109" s="3"/>
      <c r="L14109" s="3"/>
      <c r="M14109" s="4"/>
      <c r="N14109" s="3" t="s">
        <v>37</v>
      </c>
      <c r="O14109" s="3" t="s">
        <v>112</v>
      </c>
      <c r="P14109" s="5">
        <v>3</v>
      </c>
      <c r="Q14109" s="5">
        <v>34</v>
      </c>
      <c r="R14109" s="5">
        <v>4</v>
      </c>
      <c r="S14109" s="5">
        <v>37</v>
      </c>
    </row>
    <row r="14110" spans="1:19" ht="28" x14ac:dyDescent="0.15">
      <c r="A14110" s="2">
        <f>HYPERLINK("https://open-school.uspishnemisto.com.ua/school/680203/", 680203)</f>
        <v>680203</v>
      </c>
      <c r="B14110" s="3" t="s">
        <v>71138</v>
      </c>
      <c r="C14110" s="3" t="s">
        <v>31</v>
      </c>
      <c r="D14110" s="3" t="s">
        <v>60</v>
      </c>
      <c r="E14110" s="4" t="s">
        <v>22</v>
      </c>
      <c r="F14110" s="4" t="s">
        <v>71139</v>
      </c>
      <c r="G14110" s="4" t="s">
        <v>71140</v>
      </c>
      <c r="H14110" s="3" t="s">
        <v>70238</v>
      </c>
      <c r="I14110" s="3" t="s">
        <v>71141</v>
      </c>
      <c r="J14110" s="3" t="s">
        <v>554</v>
      </c>
      <c r="K14110" s="3"/>
      <c r="L14110" s="3"/>
      <c r="M14110" s="4"/>
      <c r="N14110" s="3" t="s">
        <v>37</v>
      </c>
      <c r="O14110" s="3" t="s">
        <v>52</v>
      </c>
      <c r="P14110" s="5">
        <v>0</v>
      </c>
      <c r="Q14110" s="5">
        <v>0</v>
      </c>
      <c r="R14110" s="5">
        <v>0</v>
      </c>
      <c r="S14110" s="5">
        <v>9</v>
      </c>
    </row>
    <row r="14111" spans="1:19" ht="28" x14ac:dyDescent="0.15">
      <c r="A14111" s="2">
        <f>HYPERLINK("https://open-school.uspishnemisto.com.ua/school/680204/", 680204)</f>
        <v>680204</v>
      </c>
      <c r="B14111" s="3" t="s">
        <v>71142</v>
      </c>
      <c r="C14111" s="3" t="s">
        <v>31</v>
      </c>
      <c r="D14111" s="3" t="s">
        <v>32</v>
      </c>
      <c r="E14111" s="4" t="s">
        <v>22</v>
      </c>
      <c r="F14111" s="4" t="s">
        <v>71143</v>
      </c>
      <c r="G14111" s="4" t="s">
        <v>71144</v>
      </c>
      <c r="H14111" s="3" t="s">
        <v>70238</v>
      </c>
      <c r="I14111" s="3" t="s">
        <v>71145</v>
      </c>
      <c r="J14111" s="3" t="s">
        <v>71146</v>
      </c>
      <c r="K14111" s="3" t="s">
        <v>71147</v>
      </c>
      <c r="L14111" s="3"/>
      <c r="M14111" s="4"/>
      <c r="N14111" s="3" t="s">
        <v>37</v>
      </c>
      <c r="O14111" s="3" t="s">
        <v>38</v>
      </c>
      <c r="P14111" s="5">
        <v>11</v>
      </c>
      <c r="Q14111" s="5">
        <v>108</v>
      </c>
      <c r="R14111" s="5">
        <v>11</v>
      </c>
      <c r="S14111" s="5">
        <v>109</v>
      </c>
    </row>
    <row r="14112" spans="1:19" ht="28" x14ac:dyDescent="0.15">
      <c r="A14112" s="2">
        <f>HYPERLINK("https://open-school.uspishnemisto.com.ua/school/680205/", 680205)</f>
        <v>680205</v>
      </c>
      <c r="B14112" s="3" t="s">
        <v>71148</v>
      </c>
      <c r="C14112" s="3" t="s">
        <v>31</v>
      </c>
      <c r="D14112" s="3" t="s">
        <v>175</v>
      </c>
      <c r="E14112" s="4" t="s">
        <v>22</v>
      </c>
      <c r="F14112" s="4" t="s">
        <v>71149</v>
      </c>
      <c r="G14112" s="4" t="s">
        <v>71150</v>
      </c>
      <c r="H14112" s="3" t="s">
        <v>70238</v>
      </c>
      <c r="I14112" s="3" t="s">
        <v>71151</v>
      </c>
      <c r="J14112" s="3" t="s">
        <v>28384</v>
      </c>
      <c r="K14112" s="3" t="s">
        <v>71152</v>
      </c>
      <c r="L14112" s="3"/>
      <c r="M14112" s="4"/>
      <c r="N14112" s="3" t="s">
        <v>37</v>
      </c>
      <c r="O14112" s="3" t="s">
        <v>721</v>
      </c>
      <c r="P14112" s="5">
        <v>3</v>
      </c>
      <c r="Q14112" s="5">
        <v>34</v>
      </c>
      <c r="R14112" s="5">
        <v>5</v>
      </c>
      <c r="S14112" s="5">
        <v>38</v>
      </c>
    </row>
    <row r="14113" spans="1:19" ht="28" x14ac:dyDescent="0.15">
      <c r="A14113" s="2">
        <f>HYPERLINK("https://open-school.uspishnemisto.com.ua/school/680206/", 680206)</f>
        <v>680206</v>
      </c>
      <c r="B14113" s="3" t="s">
        <v>71153</v>
      </c>
      <c r="C14113" s="3" t="s">
        <v>31</v>
      </c>
      <c r="D14113" s="3" t="s">
        <v>32</v>
      </c>
      <c r="E14113" s="4" t="s">
        <v>22</v>
      </c>
      <c r="F14113" s="4" t="s">
        <v>71154</v>
      </c>
      <c r="G14113" s="4" t="s">
        <v>71155</v>
      </c>
      <c r="H14113" s="3" t="s">
        <v>70238</v>
      </c>
      <c r="I14113" s="3" t="s">
        <v>71156</v>
      </c>
      <c r="J14113" s="3" t="s">
        <v>28133</v>
      </c>
      <c r="K14113" s="3" t="s">
        <v>71157</v>
      </c>
      <c r="L14113" s="3"/>
      <c r="M14113" s="4"/>
      <c r="N14113" s="3" t="s">
        <v>37</v>
      </c>
      <c r="O14113" s="3" t="s">
        <v>38</v>
      </c>
      <c r="P14113" s="5">
        <v>11</v>
      </c>
      <c r="Q14113" s="5">
        <v>99</v>
      </c>
      <c r="R14113" s="5">
        <v>11</v>
      </c>
      <c r="S14113" s="5">
        <v>104</v>
      </c>
    </row>
    <row r="14114" spans="1:19" ht="28" x14ac:dyDescent="0.15">
      <c r="A14114" s="2">
        <f>HYPERLINK("https://open-school.uspishnemisto.com.ua/school/680207/", 680207)</f>
        <v>680207</v>
      </c>
      <c r="B14114" s="3" t="s">
        <v>71158</v>
      </c>
      <c r="C14114" s="3" t="s">
        <v>31</v>
      </c>
      <c r="D14114" s="3" t="s">
        <v>32</v>
      </c>
      <c r="E14114" s="4" t="s">
        <v>22</v>
      </c>
      <c r="F14114" s="4" t="s">
        <v>71159</v>
      </c>
      <c r="G14114" s="4" t="s">
        <v>71160</v>
      </c>
      <c r="H14114" s="3" t="s">
        <v>70238</v>
      </c>
      <c r="I14114" s="3" t="s">
        <v>1694</v>
      </c>
      <c r="J14114" s="3" t="s">
        <v>71161</v>
      </c>
      <c r="K14114" s="3"/>
      <c r="L14114" s="3"/>
      <c r="M14114" s="4"/>
      <c r="N14114" s="3" t="s">
        <v>37</v>
      </c>
      <c r="O14114" s="3" t="s">
        <v>721</v>
      </c>
      <c r="P14114" s="5">
        <v>8</v>
      </c>
      <c r="Q14114" s="5">
        <v>65</v>
      </c>
      <c r="R14114" s="5">
        <v>9</v>
      </c>
      <c r="S14114" s="5">
        <v>72</v>
      </c>
    </row>
    <row r="14115" spans="1:19" ht="42" x14ac:dyDescent="0.15">
      <c r="A14115" s="2">
        <f>HYPERLINK("https://open-school.uspishnemisto.com.ua/school/680208/", 680208)</f>
        <v>680208</v>
      </c>
      <c r="B14115" s="3" t="s">
        <v>71162</v>
      </c>
      <c r="C14115" s="3" t="s">
        <v>54</v>
      </c>
      <c r="D14115" s="3" t="s">
        <v>175</v>
      </c>
      <c r="E14115" s="4" t="s">
        <v>253</v>
      </c>
      <c r="F14115" s="4" t="s">
        <v>71163</v>
      </c>
      <c r="G14115" s="4" t="s">
        <v>71164</v>
      </c>
      <c r="H14115" s="3" t="s">
        <v>70238</v>
      </c>
      <c r="I14115" s="3" t="s">
        <v>10829</v>
      </c>
      <c r="J14115" s="3" t="s">
        <v>71165</v>
      </c>
      <c r="K14115" s="3" t="s">
        <v>71166</v>
      </c>
      <c r="L14115" s="3"/>
      <c r="M14115" s="4"/>
      <c r="N14115" s="3" t="s">
        <v>37</v>
      </c>
      <c r="O14115" s="3" t="s">
        <v>721</v>
      </c>
      <c r="P14115" s="5">
        <v>3</v>
      </c>
      <c r="Q14115" s="5">
        <v>46</v>
      </c>
      <c r="R14115" s="5">
        <v>5</v>
      </c>
      <c r="S14115" s="5">
        <v>52</v>
      </c>
    </row>
    <row r="14116" spans="1:19" ht="28" x14ac:dyDescent="0.15">
      <c r="A14116" s="2">
        <f>HYPERLINK("https://open-school.uspishnemisto.com.ua/school/680209/", 680209)</f>
        <v>680209</v>
      </c>
      <c r="B14116" s="3" t="s">
        <v>71167</v>
      </c>
      <c r="C14116" s="3" t="s">
        <v>31</v>
      </c>
      <c r="D14116" s="3" t="s">
        <v>32</v>
      </c>
      <c r="E14116" s="4" t="s">
        <v>22</v>
      </c>
      <c r="F14116" s="4" t="s">
        <v>71168</v>
      </c>
      <c r="G14116" s="4" t="s">
        <v>71169</v>
      </c>
      <c r="H14116" s="3" t="s">
        <v>70238</v>
      </c>
      <c r="I14116" s="3" t="s">
        <v>15025</v>
      </c>
      <c r="J14116" s="3" t="s">
        <v>71170</v>
      </c>
      <c r="K14116" s="3"/>
      <c r="L14116" s="3"/>
      <c r="M14116" s="4"/>
      <c r="N14116" s="3" t="s">
        <v>37</v>
      </c>
      <c r="O14116" s="3" t="s">
        <v>38</v>
      </c>
      <c r="P14116" s="5">
        <v>11</v>
      </c>
      <c r="Q14116" s="5">
        <v>134</v>
      </c>
      <c r="R14116" s="5">
        <v>11</v>
      </c>
      <c r="S14116" s="5">
        <v>125</v>
      </c>
    </row>
    <row r="14117" spans="1:19" ht="28" x14ac:dyDescent="0.15">
      <c r="A14117" s="2">
        <f>HYPERLINK("https://open-school.uspishnemisto.com.ua/school/680210/", 680210)</f>
        <v>680210</v>
      </c>
      <c r="B14117" s="3" t="s">
        <v>71171</v>
      </c>
      <c r="C14117" s="3" t="s">
        <v>31</v>
      </c>
      <c r="D14117" s="3" t="s">
        <v>175</v>
      </c>
      <c r="E14117" s="4" t="s">
        <v>22</v>
      </c>
      <c r="F14117" s="4" t="s">
        <v>71172</v>
      </c>
      <c r="G14117" s="4" t="s">
        <v>71173</v>
      </c>
      <c r="H14117" s="3" t="s">
        <v>70238</v>
      </c>
      <c r="I14117" s="3" t="s">
        <v>37083</v>
      </c>
      <c r="J14117" s="3" t="s">
        <v>45050</v>
      </c>
      <c r="K14117" s="3" t="s">
        <v>71174</v>
      </c>
      <c r="L14117" s="3"/>
      <c r="M14117" s="4"/>
      <c r="N14117" s="3" t="s">
        <v>37</v>
      </c>
      <c r="O14117" s="3" t="s">
        <v>38</v>
      </c>
      <c r="P14117" s="5">
        <v>8</v>
      </c>
      <c r="Q14117" s="5">
        <v>78</v>
      </c>
      <c r="R14117" s="5">
        <v>9</v>
      </c>
      <c r="S14117" s="5">
        <v>84</v>
      </c>
    </row>
    <row r="14118" spans="1:19" ht="42" x14ac:dyDescent="0.15">
      <c r="A14118" s="2">
        <f>HYPERLINK("https://open-school.uspishnemisto.com.ua/school/680211/", 680211)</f>
        <v>680211</v>
      </c>
      <c r="B14118" s="3" t="s">
        <v>71175</v>
      </c>
      <c r="C14118" s="3" t="s">
        <v>54</v>
      </c>
      <c r="D14118" s="3" t="s">
        <v>32</v>
      </c>
      <c r="E14118" s="4" t="s">
        <v>22</v>
      </c>
      <c r="F14118" s="4" t="s">
        <v>71176</v>
      </c>
      <c r="G14118" s="4" t="s">
        <v>71177</v>
      </c>
      <c r="H14118" s="3" t="s">
        <v>70238</v>
      </c>
      <c r="I14118" s="3" t="s">
        <v>71178</v>
      </c>
      <c r="J14118" s="3" t="s">
        <v>71179</v>
      </c>
      <c r="K14118" s="3" t="s">
        <v>71180</v>
      </c>
      <c r="L14118" s="3" t="s">
        <v>71181</v>
      </c>
      <c r="M14118" s="4"/>
      <c r="N14118" s="3" t="s">
        <v>37</v>
      </c>
      <c r="O14118" s="3" t="s">
        <v>2740</v>
      </c>
      <c r="P14118" s="5">
        <v>10</v>
      </c>
      <c r="Q14118" s="5">
        <v>87</v>
      </c>
      <c r="R14118" s="5">
        <v>10</v>
      </c>
      <c r="S14118" s="5">
        <v>92</v>
      </c>
    </row>
    <row r="14119" spans="1:19" ht="28" x14ac:dyDescent="0.15">
      <c r="A14119" s="2">
        <f>HYPERLINK("https://open-school.uspishnemisto.com.ua/school/680212/", 680212)</f>
        <v>680212</v>
      </c>
      <c r="B14119" s="3" t="s">
        <v>71182</v>
      </c>
      <c r="C14119" s="3" t="s">
        <v>31</v>
      </c>
      <c r="D14119" s="3" t="s">
        <v>175</v>
      </c>
      <c r="E14119" s="4" t="s">
        <v>22</v>
      </c>
      <c r="F14119" s="4" t="s">
        <v>71183</v>
      </c>
      <c r="G14119" s="4" t="s">
        <v>71184</v>
      </c>
      <c r="H14119" s="3" t="s">
        <v>70238</v>
      </c>
      <c r="I14119" s="3" t="s">
        <v>71185</v>
      </c>
      <c r="J14119" s="3" t="s">
        <v>71186</v>
      </c>
      <c r="K14119" s="3" t="s">
        <v>71187</v>
      </c>
      <c r="L14119" s="3"/>
      <c r="M14119" s="4"/>
      <c r="N14119" s="3" t="s">
        <v>37</v>
      </c>
      <c r="O14119" s="3" t="s">
        <v>38</v>
      </c>
      <c r="P14119" s="5">
        <v>7</v>
      </c>
      <c r="Q14119" s="5">
        <v>48</v>
      </c>
      <c r="R14119" s="5">
        <v>6</v>
      </c>
      <c r="S14119" s="5">
        <v>42</v>
      </c>
    </row>
    <row r="14120" spans="1:19" ht="28" x14ac:dyDescent="0.15">
      <c r="A14120" s="2">
        <f>HYPERLINK("https://open-school.uspishnemisto.com.ua/school/680213/", 680213)</f>
        <v>680213</v>
      </c>
      <c r="B14120" s="3" t="s">
        <v>71188</v>
      </c>
      <c r="C14120" s="3" t="s">
        <v>31</v>
      </c>
      <c r="D14120" s="3" t="s">
        <v>32</v>
      </c>
      <c r="E14120" s="4" t="s">
        <v>22</v>
      </c>
      <c r="F14120" s="4" t="s">
        <v>71189</v>
      </c>
      <c r="G14120" s="4" t="s">
        <v>71190</v>
      </c>
      <c r="H14120" s="3" t="s">
        <v>70238</v>
      </c>
      <c r="I14120" s="3" t="s">
        <v>71191</v>
      </c>
      <c r="J14120" s="3" t="s">
        <v>71192</v>
      </c>
      <c r="K14120" s="3" t="s">
        <v>71193</v>
      </c>
      <c r="L14120" s="3"/>
      <c r="M14120" s="4"/>
      <c r="N14120" s="3" t="s">
        <v>37</v>
      </c>
      <c r="O14120" s="3" t="s">
        <v>197</v>
      </c>
      <c r="P14120" s="5">
        <v>11</v>
      </c>
      <c r="Q14120" s="5">
        <v>148</v>
      </c>
      <c r="R14120" s="5">
        <v>11</v>
      </c>
      <c r="S14120" s="5">
        <v>140</v>
      </c>
    </row>
    <row r="14121" spans="1:19" ht="42" x14ac:dyDescent="0.15">
      <c r="A14121" s="2">
        <f>HYPERLINK("https://open-school.uspishnemisto.com.ua/school/680214/", 680214)</f>
        <v>680214</v>
      </c>
      <c r="B14121" s="3" t="s">
        <v>71194</v>
      </c>
      <c r="C14121" s="3" t="s">
        <v>54</v>
      </c>
      <c r="D14121" s="3" t="s">
        <v>32</v>
      </c>
      <c r="E14121" s="4" t="s">
        <v>22</v>
      </c>
      <c r="F14121" s="4" t="s">
        <v>71195</v>
      </c>
      <c r="G14121" s="4" t="s">
        <v>71196</v>
      </c>
      <c r="H14121" s="3" t="s">
        <v>70238</v>
      </c>
      <c r="I14121" s="3" t="s">
        <v>71197</v>
      </c>
      <c r="J14121" s="3" t="s">
        <v>29258</v>
      </c>
      <c r="K14121" s="3" t="s">
        <v>71198</v>
      </c>
      <c r="L14121" s="3"/>
      <c r="M14121" s="4"/>
      <c r="N14121" s="3" t="s">
        <v>37</v>
      </c>
      <c r="O14121" s="3" t="s">
        <v>112</v>
      </c>
      <c r="P14121" s="5">
        <v>1</v>
      </c>
      <c r="Q14121" s="5">
        <v>35</v>
      </c>
      <c r="R14121" s="5">
        <v>3</v>
      </c>
      <c r="S14121" s="5">
        <v>41</v>
      </c>
    </row>
    <row r="14122" spans="1:19" ht="28" x14ac:dyDescent="0.15">
      <c r="A14122" s="2">
        <f>HYPERLINK("https://open-school.uspishnemisto.com.ua/school/680215/", 680215)</f>
        <v>680215</v>
      </c>
      <c r="B14122" s="3" t="s">
        <v>71199</v>
      </c>
      <c r="C14122" s="3" t="s">
        <v>31</v>
      </c>
      <c r="D14122" s="3" t="s">
        <v>32</v>
      </c>
      <c r="E14122" s="4" t="s">
        <v>22</v>
      </c>
      <c r="F14122" s="4" t="s">
        <v>71200</v>
      </c>
      <c r="G14122" s="4" t="s">
        <v>71201</v>
      </c>
      <c r="H14122" s="3" t="s">
        <v>70238</v>
      </c>
      <c r="I14122" s="3" t="s">
        <v>71202</v>
      </c>
      <c r="J14122" s="3" t="s">
        <v>7905</v>
      </c>
      <c r="K14122" s="3" t="s">
        <v>71203</v>
      </c>
      <c r="L14122" s="3"/>
      <c r="M14122" s="4"/>
      <c r="N14122" s="3" t="s">
        <v>37</v>
      </c>
      <c r="O14122" s="3" t="s">
        <v>38</v>
      </c>
      <c r="P14122" s="5">
        <v>12</v>
      </c>
      <c r="Q14122" s="5">
        <v>221</v>
      </c>
      <c r="R14122" s="5">
        <v>11</v>
      </c>
      <c r="S14122" s="5">
        <v>221</v>
      </c>
    </row>
    <row r="14123" spans="1:19" ht="28" x14ac:dyDescent="0.15">
      <c r="A14123" s="2">
        <f>HYPERLINK("https://open-school.uspishnemisto.com.ua/school/680216/", 680216)</f>
        <v>680216</v>
      </c>
      <c r="B14123" s="3" t="s">
        <v>71204</v>
      </c>
      <c r="C14123" s="3" t="s">
        <v>31</v>
      </c>
      <c r="D14123" s="3" t="s">
        <v>175</v>
      </c>
      <c r="E14123" s="4" t="s">
        <v>22</v>
      </c>
      <c r="F14123" s="4" t="s">
        <v>71205</v>
      </c>
      <c r="G14123" s="4" t="s">
        <v>71206</v>
      </c>
      <c r="H14123" s="3" t="s">
        <v>70238</v>
      </c>
      <c r="I14123" s="3" t="s">
        <v>71207</v>
      </c>
      <c r="J14123" s="3" t="s">
        <v>49700</v>
      </c>
      <c r="K14123" s="3" t="s">
        <v>71208</v>
      </c>
      <c r="L14123" s="3"/>
      <c r="M14123" s="4"/>
      <c r="N14123" s="3" t="s">
        <v>37</v>
      </c>
      <c r="O14123" s="3" t="s">
        <v>52</v>
      </c>
      <c r="P14123" s="5">
        <v>6</v>
      </c>
      <c r="Q14123" s="5">
        <v>54</v>
      </c>
      <c r="R14123" s="5">
        <v>6</v>
      </c>
      <c r="S14123" s="5">
        <v>57</v>
      </c>
    </row>
    <row r="14124" spans="1:19" ht="42" x14ac:dyDescent="0.15">
      <c r="A14124" s="2">
        <f>HYPERLINK("https://open-school.uspishnemisto.com.ua/school/680217/", 680217)</f>
        <v>680217</v>
      </c>
      <c r="B14124" s="3" t="s">
        <v>71209</v>
      </c>
      <c r="C14124" s="3" t="s">
        <v>54</v>
      </c>
      <c r="D14124" s="3" t="s">
        <v>32</v>
      </c>
      <c r="E14124" s="4" t="s">
        <v>22</v>
      </c>
      <c r="F14124" s="4" t="s">
        <v>71100</v>
      </c>
      <c r="G14124" s="4" t="s">
        <v>71210</v>
      </c>
      <c r="H14124" s="3" t="s">
        <v>70238</v>
      </c>
      <c r="I14124" s="3" t="s">
        <v>19676</v>
      </c>
      <c r="J14124" s="3" t="s">
        <v>71211</v>
      </c>
      <c r="K14124" s="3" t="s">
        <v>71212</v>
      </c>
      <c r="L14124" s="3"/>
      <c r="M14124" s="4"/>
      <c r="N14124" s="3" t="s">
        <v>37</v>
      </c>
      <c r="O14124" s="3" t="s">
        <v>70</v>
      </c>
      <c r="P14124" s="5">
        <v>6</v>
      </c>
      <c r="Q14124" s="5">
        <v>40</v>
      </c>
      <c r="R14124" s="5">
        <v>7</v>
      </c>
      <c r="S14124" s="5">
        <v>44</v>
      </c>
    </row>
    <row r="14125" spans="1:19" ht="42" x14ac:dyDescent="0.15">
      <c r="A14125" s="2">
        <f>HYPERLINK("https://open-school.uspishnemisto.com.ua/school/680218/", 680218)</f>
        <v>680218</v>
      </c>
      <c r="B14125" s="3" t="s">
        <v>71213</v>
      </c>
      <c r="C14125" s="3" t="s">
        <v>54</v>
      </c>
      <c r="D14125" s="3" t="s">
        <v>60</v>
      </c>
      <c r="E14125" s="4" t="s">
        <v>22</v>
      </c>
      <c r="F14125" s="4" t="s">
        <v>71214</v>
      </c>
      <c r="G14125" s="4" t="s">
        <v>71215</v>
      </c>
      <c r="H14125" s="3" t="s">
        <v>70238</v>
      </c>
      <c r="I14125" s="3" t="s">
        <v>71216</v>
      </c>
      <c r="J14125" s="3" t="s">
        <v>71217</v>
      </c>
      <c r="K14125" s="3" t="s">
        <v>71218</v>
      </c>
      <c r="L14125" s="3"/>
      <c r="M14125" s="4"/>
      <c r="N14125" s="3" t="s">
        <v>37</v>
      </c>
      <c r="O14125" s="3" t="s">
        <v>618</v>
      </c>
      <c r="P14125" s="5">
        <v>1</v>
      </c>
      <c r="Q14125" s="5">
        <v>11</v>
      </c>
      <c r="R14125" s="5">
        <v>1</v>
      </c>
      <c r="S14125" s="5">
        <v>10</v>
      </c>
    </row>
    <row r="14126" spans="1:19" ht="28" x14ac:dyDescent="0.15">
      <c r="A14126" s="2">
        <f>HYPERLINK("https://open-school.uspishnemisto.com.ua/school/680219/", 680219)</f>
        <v>680219</v>
      </c>
      <c r="B14126" s="3" t="s">
        <v>71219</v>
      </c>
      <c r="C14126" s="3" t="s">
        <v>54</v>
      </c>
      <c r="D14126" s="3" t="s">
        <v>32</v>
      </c>
      <c r="E14126" s="4" t="s">
        <v>22</v>
      </c>
      <c r="F14126" s="4" t="s">
        <v>71220</v>
      </c>
      <c r="G14126" s="4" t="s">
        <v>71221</v>
      </c>
      <c r="H14126" s="3" t="s">
        <v>70238</v>
      </c>
      <c r="I14126" s="3" t="s">
        <v>3581</v>
      </c>
      <c r="J14126" s="3" t="s">
        <v>40372</v>
      </c>
      <c r="K14126" s="3" t="s">
        <v>71222</v>
      </c>
      <c r="L14126" s="3"/>
      <c r="M14126" s="4"/>
      <c r="N14126" s="3" t="s">
        <v>37</v>
      </c>
      <c r="O14126" s="3" t="s">
        <v>2740</v>
      </c>
      <c r="P14126" s="5">
        <v>5</v>
      </c>
      <c r="Q14126" s="5">
        <v>49</v>
      </c>
      <c r="R14126" s="5">
        <v>7</v>
      </c>
      <c r="S14126" s="5">
        <v>52</v>
      </c>
    </row>
    <row r="14127" spans="1:19" ht="28" x14ac:dyDescent="0.15">
      <c r="A14127" s="2">
        <f>HYPERLINK("https://open-school.uspishnemisto.com.ua/school/680220/", 680220)</f>
        <v>680220</v>
      </c>
      <c r="B14127" s="3" t="s">
        <v>71223</v>
      </c>
      <c r="C14127" s="3" t="s">
        <v>31</v>
      </c>
      <c r="D14127" s="3" t="s">
        <v>175</v>
      </c>
      <c r="E14127" s="4" t="s">
        <v>22</v>
      </c>
      <c r="F14127" s="4" t="s">
        <v>71224</v>
      </c>
      <c r="G14127" s="4" t="s">
        <v>71225</v>
      </c>
      <c r="H14127" s="3" t="s">
        <v>70238</v>
      </c>
      <c r="I14127" s="3" t="s">
        <v>71226</v>
      </c>
      <c r="J14127" s="3" t="s">
        <v>3393</v>
      </c>
      <c r="K14127" s="3" t="s">
        <v>71227</v>
      </c>
      <c r="L14127" s="3"/>
      <c r="M14127" s="4"/>
      <c r="N14127" s="3" t="s">
        <v>37</v>
      </c>
      <c r="O14127" s="3" t="s">
        <v>70</v>
      </c>
      <c r="P14127" s="5">
        <v>5</v>
      </c>
      <c r="Q14127" s="5">
        <v>50</v>
      </c>
      <c r="R14127" s="5">
        <v>5</v>
      </c>
      <c r="S14127" s="5">
        <v>44</v>
      </c>
    </row>
    <row r="14128" spans="1:19" ht="28" x14ac:dyDescent="0.15">
      <c r="A14128" s="2">
        <f>HYPERLINK("https://open-school.uspishnemisto.com.ua/school/680221/", 680221)</f>
        <v>680221</v>
      </c>
      <c r="B14128" s="3" t="s">
        <v>71228</v>
      </c>
      <c r="C14128" s="3" t="s">
        <v>31</v>
      </c>
      <c r="D14128" s="3" t="s">
        <v>32</v>
      </c>
      <c r="E14128" s="4" t="s">
        <v>22</v>
      </c>
      <c r="F14128" s="4" t="s">
        <v>71229</v>
      </c>
      <c r="G14128" s="4" t="s">
        <v>71230</v>
      </c>
      <c r="H14128" s="3" t="s">
        <v>70238</v>
      </c>
      <c r="I14128" s="3" t="s">
        <v>71231</v>
      </c>
      <c r="J14128" s="3" t="s">
        <v>447</v>
      </c>
      <c r="K14128" s="3" t="s">
        <v>71232</v>
      </c>
      <c r="L14128" s="3"/>
      <c r="M14128" s="4"/>
      <c r="N14128" s="3" t="s">
        <v>37</v>
      </c>
      <c r="O14128" s="3" t="s">
        <v>70</v>
      </c>
      <c r="P14128" s="5">
        <v>8</v>
      </c>
      <c r="Q14128" s="5">
        <v>59</v>
      </c>
      <c r="R14128" s="5">
        <v>8</v>
      </c>
      <c r="S14128" s="5">
        <v>60</v>
      </c>
    </row>
    <row r="14129" spans="1:19" ht="28" x14ac:dyDescent="0.15">
      <c r="A14129" s="2">
        <f>HYPERLINK("https://open-school.uspishnemisto.com.ua/school/680222/", 680222)</f>
        <v>680222</v>
      </c>
      <c r="B14129" s="3" t="s">
        <v>71233</v>
      </c>
      <c r="C14129" s="3" t="s">
        <v>31</v>
      </c>
      <c r="D14129" s="3" t="s">
        <v>175</v>
      </c>
      <c r="E14129" s="4" t="s">
        <v>22</v>
      </c>
      <c r="F14129" s="4" t="s">
        <v>71234</v>
      </c>
      <c r="G14129" s="4" t="s">
        <v>71235</v>
      </c>
      <c r="H14129" s="3" t="s">
        <v>70238</v>
      </c>
      <c r="I14129" s="3" t="s">
        <v>56358</v>
      </c>
      <c r="J14129" s="3" t="s">
        <v>16202</v>
      </c>
      <c r="K14129" s="3" t="s">
        <v>71236</v>
      </c>
      <c r="L14129" s="3"/>
      <c r="M14129" s="4"/>
      <c r="N14129" s="3" t="s">
        <v>37</v>
      </c>
      <c r="O14129" s="3" t="s">
        <v>52</v>
      </c>
      <c r="P14129" s="5">
        <v>4</v>
      </c>
      <c r="Q14129" s="5">
        <v>43</v>
      </c>
      <c r="R14129" s="5">
        <v>5</v>
      </c>
      <c r="S14129" s="5">
        <v>43</v>
      </c>
    </row>
    <row r="14130" spans="1:19" ht="28" x14ac:dyDescent="0.15">
      <c r="A14130" s="2">
        <f>HYPERLINK("https://open-school.uspishnemisto.com.ua/school/680223/", 680223)</f>
        <v>680223</v>
      </c>
      <c r="B14130" s="3" t="s">
        <v>71237</v>
      </c>
      <c r="C14130" s="3" t="s">
        <v>31</v>
      </c>
      <c r="D14130" s="3" t="s">
        <v>32</v>
      </c>
      <c r="E14130" s="4" t="s">
        <v>22</v>
      </c>
      <c r="F14130" s="4" t="s">
        <v>71238</v>
      </c>
      <c r="G14130" s="4" t="s">
        <v>71239</v>
      </c>
      <c r="H14130" s="3" t="s">
        <v>70238</v>
      </c>
      <c r="I14130" s="3" t="s">
        <v>71240</v>
      </c>
      <c r="J14130" s="3" t="s">
        <v>71241</v>
      </c>
      <c r="K14130" s="3"/>
      <c r="L14130" s="3"/>
      <c r="M14130" s="4"/>
      <c r="N14130" s="3" t="s">
        <v>37</v>
      </c>
      <c r="O14130" s="3" t="s">
        <v>52</v>
      </c>
      <c r="P14130" s="5">
        <v>4</v>
      </c>
      <c r="Q14130" s="5">
        <v>36</v>
      </c>
      <c r="R14130" s="5">
        <v>4</v>
      </c>
      <c r="S14130" s="5">
        <v>40</v>
      </c>
    </row>
    <row r="14131" spans="1:19" ht="28" x14ac:dyDescent="0.15">
      <c r="A14131" s="2">
        <f>HYPERLINK("https://open-school.uspishnemisto.com.ua/school/680224/", 680224)</f>
        <v>680224</v>
      </c>
      <c r="B14131" s="3" t="s">
        <v>71242</v>
      </c>
      <c r="C14131" s="3" t="s">
        <v>31</v>
      </c>
      <c r="D14131" s="3" t="s">
        <v>175</v>
      </c>
      <c r="E14131" s="4" t="s">
        <v>22</v>
      </c>
      <c r="F14131" s="4" t="s">
        <v>71243</v>
      </c>
      <c r="G14131" s="4" t="s">
        <v>71244</v>
      </c>
      <c r="H14131" s="3" t="s">
        <v>70238</v>
      </c>
      <c r="I14131" s="3" t="s">
        <v>71245</v>
      </c>
      <c r="J14131" s="3" t="s">
        <v>71246</v>
      </c>
      <c r="K14131" s="3" t="s">
        <v>71247</v>
      </c>
      <c r="L14131" s="3"/>
      <c r="M14131" s="4"/>
      <c r="N14131" s="3" t="s">
        <v>37</v>
      </c>
      <c r="O14131" s="3" t="s">
        <v>721</v>
      </c>
      <c r="P14131" s="5">
        <v>9</v>
      </c>
      <c r="Q14131" s="5">
        <v>96</v>
      </c>
      <c r="R14131" s="5">
        <v>9</v>
      </c>
      <c r="S14131" s="5">
        <v>106</v>
      </c>
    </row>
    <row r="14132" spans="1:19" ht="42" x14ac:dyDescent="0.15">
      <c r="A14132" s="2">
        <f>HYPERLINK("https://open-school.uspishnemisto.com.ua/school/680225/", 680225)</f>
        <v>680225</v>
      </c>
      <c r="B14132" s="3" t="s">
        <v>71248</v>
      </c>
      <c r="C14132" s="3" t="s">
        <v>54</v>
      </c>
      <c r="D14132" s="3" t="s">
        <v>32</v>
      </c>
      <c r="E14132" s="4" t="s">
        <v>22</v>
      </c>
      <c r="F14132" s="4" t="s">
        <v>71249</v>
      </c>
      <c r="G14132" s="4" t="s">
        <v>71250</v>
      </c>
      <c r="H14132" s="3" t="s">
        <v>70238</v>
      </c>
      <c r="I14132" s="3" t="s">
        <v>71251</v>
      </c>
      <c r="J14132" s="3" t="s">
        <v>29807</v>
      </c>
      <c r="K14132" s="3"/>
      <c r="L14132" s="3"/>
      <c r="M14132" s="4"/>
      <c r="N14132" s="3" t="s">
        <v>37</v>
      </c>
      <c r="O14132" s="3" t="s">
        <v>618</v>
      </c>
      <c r="P14132" s="5">
        <v>6</v>
      </c>
      <c r="Q14132" s="5">
        <v>52</v>
      </c>
      <c r="R14132" s="5">
        <v>7</v>
      </c>
      <c r="S14132" s="5">
        <v>55</v>
      </c>
    </row>
    <row r="14133" spans="1:19" ht="28" x14ac:dyDescent="0.15">
      <c r="A14133" s="2">
        <f>HYPERLINK("https://open-school.uspishnemisto.com.ua/school/680226/", 680226)</f>
        <v>680226</v>
      </c>
      <c r="B14133" s="3" t="s">
        <v>71252</v>
      </c>
      <c r="C14133" s="3" t="s">
        <v>31</v>
      </c>
      <c r="D14133" s="3" t="s">
        <v>32</v>
      </c>
      <c r="E14133" s="4" t="s">
        <v>22</v>
      </c>
      <c r="F14133" s="4" t="s">
        <v>71253</v>
      </c>
      <c r="G14133" s="4" t="s">
        <v>71254</v>
      </c>
      <c r="H14133" s="3" t="s">
        <v>70238</v>
      </c>
      <c r="I14133" s="3" t="s">
        <v>71255</v>
      </c>
      <c r="J14133" s="3" t="s">
        <v>718</v>
      </c>
      <c r="K14133" s="3" t="s">
        <v>71256</v>
      </c>
      <c r="L14133" s="3"/>
      <c r="M14133" s="4"/>
      <c r="N14133" s="3" t="s">
        <v>37</v>
      </c>
      <c r="O14133" s="3" t="s">
        <v>38</v>
      </c>
      <c r="P14133" s="5">
        <v>11</v>
      </c>
      <c r="Q14133" s="5">
        <v>171</v>
      </c>
      <c r="R14133" s="5">
        <v>11</v>
      </c>
      <c r="S14133" s="5">
        <v>188</v>
      </c>
    </row>
    <row r="14134" spans="1:19" ht="28" x14ac:dyDescent="0.15">
      <c r="A14134" s="2">
        <f>HYPERLINK("https://open-school.uspishnemisto.com.ua/school/680227/", 680227)</f>
        <v>680227</v>
      </c>
      <c r="B14134" s="3" t="s">
        <v>71257</v>
      </c>
      <c r="C14134" s="3" t="s">
        <v>31</v>
      </c>
      <c r="D14134" s="3" t="s">
        <v>175</v>
      </c>
      <c r="E14134" s="4" t="s">
        <v>22</v>
      </c>
      <c r="F14134" s="4" t="s">
        <v>71127</v>
      </c>
      <c r="G14134" s="4" t="s">
        <v>71258</v>
      </c>
      <c r="H14134" s="3" t="s">
        <v>70238</v>
      </c>
      <c r="I14134" s="3" t="s">
        <v>71259</v>
      </c>
      <c r="J14134" s="3" t="s">
        <v>63448</v>
      </c>
      <c r="K14134" s="3" t="s">
        <v>71260</v>
      </c>
      <c r="L14134" s="3"/>
      <c r="M14134" s="4"/>
      <c r="N14134" s="3" t="s">
        <v>37</v>
      </c>
      <c r="O14134" s="3" t="s">
        <v>38</v>
      </c>
      <c r="P14134" s="5">
        <v>3</v>
      </c>
      <c r="Q14134" s="5">
        <v>29</v>
      </c>
      <c r="R14134" s="5">
        <v>3</v>
      </c>
      <c r="S14134" s="5">
        <v>30</v>
      </c>
    </row>
    <row r="14135" spans="1:19" ht="28" x14ac:dyDescent="0.15">
      <c r="A14135" s="2">
        <f>HYPERLINK("https://open-school.uspishnemisto.com.ua/school/680228/", 680228)</f>
        <v>680228</v>
      </c>
      <c r="B14135" s="3" t="s">
        <v>71261</v>
      </c>
      <c r="C14135" s="3" t="s">
        <v>31</v>
      </c>
      <c r="D14135" s="3" t="s">
        <v>32</v>
      </c>
      <c r="E14135" s="4" t="s">
        <v>22</v>
      </c>
      <c r="F14135" s="4" t="s">
        <v>71262</v>
      </c>
      <c r="G14135" s="4" t="s">
        <v>71263</v>
      </c>
      <c r="H14135" s="3" t="s">
        <v>70238</v>
      </c>
      <c r="I14135" s="3" t="s">
        <v>71264</v>
      </c>
      <c r="J14135" s="3" t="s">
        <v>71265</v>
      </c>
      <c r="K14135" s="3"/>
      <c r="L14135" s="3" t="s">
        <v>71266</v>
      </c>
      <c r="M14135" s="4"/>
      <c r="N14135" s="3" t="s">
        <v>37</v>
      </c>
      <c r="O14135" s="3" t="s">
        <v>721</v>
      </c>
      <c r="P14135" s="5">
        <v>19</v>
      </c>
      <c r="Q14135" s="5">
        <v>344</v>
      </c>
      <c r="R14135" s="5">
        <v>18</v>
      </c>
      <c r="S14135" s="5">
        <v>326</v>
      </c>
    </row>
    <row r="14136" spans="1:19" ht="42" x14ac:dyDescent="0.15">
      <c r="A14136" s="2">
        <f>HYPERLINK("https://open-school.uspishnemisto.com.ua/school/680229/", 680229)</f>
        <v>680229</v>
      </c>
      <c r="B14136" s="3" t="s">
        <v>71267</v>
      </c>
      <c r="C14136" s="3" t="s">
        <v>31</v>
      </c>
      <c r="D14136" s="3" t="s">
        <v>32</v>
      </c>
      <c r="E14136" s="4" t="s">
        <v>22</v>
      </c>
      <c r="F14136" s="4" t="s">
        <v>71262</v>
      </c>
      <c r="G14136" s="4" t="s">
        <v>71263</v>
      </c>
      <c r="H14136" s="3" t="s">
        <v>70238</v>
      </c>
      <c r="I14136" s="3" t="s">
        <v>71264</v>
      </c>
      <c r="J14136" s="3" t="s">
        <v>33907</v>
      </c>
      <c r="K14136" s="3" t="s">
        <v>71268</v>
      </c>
      <c r="L14136" s="3"/>
      <c r="M14136" s="4"/>
      <c r="N14136" s="3" t="s">
        <v>37</v>
      </c>
      <c r="O14136" s="3" t="s">
        <v>38</v>
      </c>
      <c r="P14136" s="5">
        <v>23</v>
      </c>
      <c r="Q14136" s="5">
        <v>562</v>
      </c>
      <c r="R14136" s="5">
        <v>22</v>
      </c>
      <c r="S14136" s="5">
        <v>534</v>
      </c>
    </row>
    <row r="14137" spans="1:19" ht="42" x14ac:dyDescent="0.15">
      <c r="A14137" s="2">
        <f>HYPERLINK("https://open-school.uspishnemisto.com.ua/school/680230/", 680230)</f>
        <v>680230</v>
      </c>
      <c r="B14137" s="3" t="s">
        <v>71269</v>
      </c>
      <c r="C14137" s="3" t="s">
        <v>31</v>
      </c>
      <c r="D14137" s="3" t="s">
        <v>32</v>
      </c>
      <c r="E14137" s="4" t="s">
        <v>22</v>
      </c>
      <c r="F14137" s="4" t="s">
        <v>71262</v>
      </c>
      <c r="G14137" s="4" t="s">
        <v>71263</v>
      </c>
      <c r="H14137" s="3" t="s">
        <v>70238</v>
      </c>
      <c r="I14137" s="3" t="s">
        <v>71264</v>
      </c>
      <c r="J14137" s="3" t="s">
        <v>71270</v>
      </c>
      <c r="K14137" s="3" t="s">
        <v>71271</v>
      </c>
      <c r="L14137" s="3"/>
      <c r="M14137" s="4"/>
      <c r="N14137" s="3" t="s">
        <v>37</v>
      </c>
      <c r="O14137" s="3" t="s">
        <v>721</v>
      </c>
      <c r="P14137" s="5">
        <v>20</v>
      </c>
      <c r="Q14137" s="5">
        <v>438</v>
      </c>
      <c r="R14137" s="5">
        <v>20</v>
      </c>
      <c r="S14137" s="5">
        <v>424</v>
      </c>
    </row>
    <row r="14138" spans="1:19" ht="28" x14ac:dyDescent="0.15">
      <c r="A14138" s="2">
        <f>HYPERLINK("https://open-school.uspishnemisto.com.ua/school/680231/", 680231)</f>
        <v>680231</v>
      </c>
      <c r="B14138" s="3" t="s">
        <v>71272</v>
      </c>
      <c r="C14138" s="3" t="s">
        <v>31</v>
      </c>
      <c r="D14138" s="3" t="s">
        <v>32</v>
      </c>
      <c r="E14138" s="4" t="s">
        <v>22</v>
      </c>
      <c r="F14138" s="4" t="s">
        <v>71273</v>
      </c>
      <c r="G14138" s="4" t="s">
        <v>71274</v>
      </c>
      <c r="H14138" s="3" t="s">
        <v>70238</v>
      </c>
      <c r="I14138" s="3" t="s">
        <v>71275</v>
      </c>
      <c r="J14138" s="3" t="s">
        <v>71276</v>
      </c>
      <c r="K14138" s="3" t="s">
        <v>71277</v>
      </c>
      <c r="L14138" s="3"/>
      <c r="M14138" s="4"/>
      <c r="N14138" s="3" t="s">
        <v>37</v>
      </c>
      <c r="O14138" s="3" t="s">
        <v>38</v>
      </c>
      <c r="P14138" s="5">
        <v>16</v>
      </c>
      <c r="Q14138" s="5">
        <v>287</v>
      </c>
      <c r="R14138" s="5">
        <v>18</v>
      </c>
      <c r="S14138" s="5">
        <v>308</v>
      </c>
    </row>
    <row r="14139" spans="1:19" ht="28" x14ac:dyDescent="0.15">
      <c r="A14139" s="2">
        <f>HYPERLINK("https://open-school.uspishnemisto.com.ua/school/680232/", 680232)</f>
        <v>680232</v>
      </c>
      <c r="B14139" s="3" t="s">
        <v>71278</v>
      </c>
      <c r="C14139" s="3" t="s">
        <v>293</v>
      </c>
      <c r="D14139" s="3" t="s">
        <v>32</v>
      </c>
      <c r="E14139" s="4" t="s">
        <v>22</v>
      </c>
      <c r="F14139" s="4" t="s">
        <v>71273</v>
      </c>
      <c r="G14139" s="4" t="s">
        <v>71274</v>
      </c>
      <c r="H14139" s="3" t="s">
        <v>70238</v>
      </c>
      <c r="I14139" s="3" t="s">
        <v>71275</v>
      </c>
      <c r="J14139" s="3" t="s">
        <v>12373</v>
      </c>
      <c r="K14139" s="3"/>
      <c r="L14139" s="3"/>
      <c r="M14139" s="4" t="s">
        <v>71279</v>
      </c>
      <c r="N14139" s="3" t="s">
        <v>37</v>
      </c>
      <c r="O14139" s="3" t="s">
        <v>46</v>
      </c>
      <c r="P14139" s="5">
        <v>11</v>
      </c>
      <c r="Q14139" s="5">
        <v>123</v>
      </c>
      <c r="R14139" s="5">
        <v>10</v>
      </c>
      <c r="S14139" s="5">
        <v>100</v>
      </c>
    </row>
    <row r="14140" spans="1:19" ht="28" x14ac:dyDescent="0.15">
      <c r="A14140" s="2">
        <f>HYPERLINK("https://open-school.uspishnemisto.com.ua/school/680233/", 680233)</f>
        <v>680233</v>
      </c>
      <c r="B14140" s="3" t="s">
        <v>71280</v>
      </c>
      <c r="C14140" s="3" t="s">
        <v>31</v>
      </c>
      <c r="D14140" s="3" t="s">
        <v>32</v>
      </c>
      <c r="E14140" s="4" t="s">
        <v>22</v>
      </c>
      <c r="F14140" s="4" t="s">
        <v>71281</v>
      </c>
      <c r="G14140" s="4" t="s">
        <v>71282</v>
      </c>
      <c r="H14140" s="3" t="s">
        <v>70238</v>
      </c>
      <c r="I14140" s="3" t="s">
        <v>4348</v>
      </c>
      <c r="J14140" s="3" t="s">
        <v>71283</v>
      </c>
      <c r="K14140" s="3" t="s">
        <v>71284</v>
      </c>
      <c r="L14140" s="3" t="s">
        <v>71285</v>
      </c>
      <c r="M14140" s="4"/>
      <c r="N14140" s="3" t="s">
        <v>37</v>
      </c>
      <c r="O14140" s="3" t="s">
        <v>38</v>
      </c>
      <c r="P14140" s="5">
        <v>11</v>
      </c>
      <c r="Q14140" s="5">
        <v>160</v>
      </c>
      <c r="R14140" s="5">
        <v>11</v>
      </c>
      <c r="S14140" s="5">
        <v>149</v>
      </c>
    </row>
    <row r="14141" spans="1:19" ht="56" x14ac:dyDescent="0.15">
      <c r="A14141" s="2">
        <f>HYPERLINK("https://open-school.uspishnemisto.com.ua/school/680234/", 680234)</f>
        <v>680234</v>
      </c>
      <c r="B14141" s="3" t="s">
        <v>71286</v>
      </c>
      <c r="C14141" s="3" t="s">
        <v>54</v>
      </c>
      <c r="D14141" s="3" t="s">
        <v>175</v>
      </c>
      <c r="E14141" s="4" t="s">
        <v>22</v>
      </c>
      <c r="F14141" s="4" t="s">
        <v>71287</v>
      </c>
      <c r="G14141" s="4" t="s">
        <v>71288</v>
      </c>
      <c r="H14141" s="3" t="s">
        <v>70238</v>
      </c>
      <c r="I14141" s="3" t="s">
        <v>71289</v>
      </c>
      <c r="J14141" s="3" t="s">
        <v>5971</v>
      </c>
      <c r="K14141" s="3" t="s">
        <v>71290</v>
      </c>
      <c r="L14141" s="3"/>
      <c r="M14141" s="4"/>
      <c r="N14141" s="3" t="s">
        <v>37</v>
      </c>
      <c r="O14141" s="3" t="s">
        <v>38</v>
      </c>
      <c r="P14141" s="5">
        <v>6</v>
      </c>
      <c r="Q14141" s="5">
        <v>44</v>
      </c>
      <c r="R14141" s="5">
        <v>5</v>
      </c>
      <c r="S14141" s="5">
        <v>42</v>
      </c>
    </row>
    <row r="14142" spans="1:19" ht="56" x14ac:dyDescent="0.15">
      <c r="A14142" s="2">
        <f>HYPERLINK("https://open-school.uspishnemisto.com.ua/school/680235/", 680235)</f>
        <v>680235</v>
      </c>
      <c r="B14142" s="3" t="s">
        <v>71291</v>
      </c>
      <c r="C14142" s="3" t="s">
        <v>54</v>
      </c>
      <c r="D14142" s="3" t="s">
        <v>32</v>
      </c>
      <c r="E14142" s="4" t="s">
        <v>22</v>
      </c>
      <c r="F14142" s="4" t="s">
        <v>71292</v>
      </c>
      <c r="G14142" s="4" t="s">
        <v>71293</v>
      </c>
      <c r="H14142" s="3" t="s">
        <v>70238</v>
      </c>
      <c r="I14142" s="3" t="s">
        <v>71294</v>
      </c>
      <c r="J14142" s="3" t="s">
        <v>71295</v>
      </c>
      <c r="K14142" s="3" t="s">
        <v>71296</v>
      </c>
      <c r="L14142" s="3" t="s">
        <v>71297</v>
      </c>
      <c r="M14142" s="4"/>
      <c r="N14142" s="3" t="s">
        <v>37</v>
      </c>
      <c r="O14142" s="3" t="s">
        <v>70</v>
      </c>
      <c r="P14142" s="5">
        <v>9</v>
      </c>
      <c r="Q14142" s="5">
        <v>67</v>
      </c>
      <c r="R14142" s="5">
        <v>10</v>
      </c>
      <c r="S14142" s="5">
        <v>67</v>
      </c>
    </row>
    <row r="14143" spans="1:19" ht="56" x14ac:dyDescent="0.15">
      <c r="A14143" s="2">
        <f>HYPERLINK("https://open-school.uspishnemisto.com.ua/school/680236/", 680236)</f>
        <v>680236</v>
      </c>
      <c r="B14143" s="3" t="s">
        <v>71298</v>
      </c>
      <c r="C14143" s="3" t="s">
        <v>54</v>
      </c>
      <c r="D14143" s="3" t="s">
        <v>32</v>
      </c>
      <c r="E14143" s="4" t="s">
        <v>22</v>
      </c>
      <c r="F14143" s="4" t="s">
        <v>71299</v>
      </c>
      <c r="G14143" s="4" t="s">
        <v>71300</v>
      </c>
      <c r="H14143" s="3" t="s">
        <v>70238</v>
      </c>
      <c r="I14143" s="3" t="s">
        <v>11238</v>
      </c>
      <c r="J14143" s="3" t="s">
        <v>634</v>
      </c>
      <c r="K14143" s="3" t="s">
        <v>71301</v>
      </c>
      <c r="L14143" s="3" t="s">
        <v>71302</v>
      </c>
      <c r="M14143" s="4"/>
      <c r="N14143" s="3" t="s">
        <v>37</v>
      </c>
      <c r="O14143" s="3" t="s">
        <v>70</v>
      </c>
      <c r="P14143" s="5">
        <v>9</v>
      </c>
      <c r="Q14143" s="5">
        <v>120</v>
      </c>
      <c r="R14143" s="5">
        <v>9</v>
      </c>
      <c r="S14143" s="5">
        <v>98</v>
      </c>
    </row>
    <row r="14144" spans="1:19" ht="56" x14ac:dyDescent="0.15">
      <c r="A14144" s="2">
        <f>HYPERLINK("https://open-school.uspishnemisto.com.ua/school/680238/", 680238)</f>
        <v>680238</v>
      </c>
      <c r="B14144" s="3" t="s">
        <v>71303</v>
      </c>
      <c r="C14144" s="3" t="s">
        <v>54</v>
      </c>
      <c r="D14144" s="3" t="s">
        <v>175</v>
      </c>
      <c r="E14144" s="4" t="s">
        <v>22</v>
      </c>
      <c r="F14144" s="4" t="s">
        <v>71304</v>
      </c>
      <c r="G14144" s="4" t="s">
        <v>71305</v>
      </c>
      <c r="H14144" s="3" t="s">
        <v>70238</v>
      </c>
      <c r="I14144" s="3" t="s">
        <v>71306</v>
      </c>
      <c r="J14144" s="3" t="s">
        <v>71307</v>
      </c>
      <c r="K14144" s="3" t="s">
        <v>71308</v>
      </c>
      <c r="L14144" s="3" t="s">
        <v>71309</v>
      </c>
      <c r="M14144" s="4"/>
      <c r="N14144" s="3" t="s">
        <v>37</v>
      </c>
      <c r="O14144" s="3" t="s">
        <v>38</v>
      </c>
      <c r="P14144" s="5">
        <v>7</v>
      </c>
      <c r="Q14144" s="5">
        <v>44</v>
      </c>
      <c r="R14144" s="5">
        <v>5</v>
      </c>
      <c r="S14144" s="5">
        <v>37</v>
      </c>
    </row>
    <row r="14145" spans="1:19" ht="56" x14ac:dyDescent="0.15">
      <c r="A14145" s="2">
        <f>HYPERLINK("https://open-school.uspishnemisto.com.ua/school/680239/", 680239)</f>
        <v>680239</v>
      </c>
      <c r="B14145" s="3" t="s">
        <v>71310</v>
      </c>
      <c r="C14145" s="3" t="s">
        <v>54</v>
      </c>
      <c r="D14145" s="3" t="s">
        <v>175</v>
      </c>
      <c r="E14145" s="4" t="s">
        <v>22</v>
      </c>
      <c r="F14145" s="4" t="s">
        <v>71311</v>
      </c>
      <c r="G14145" s="4" t="s">
        <v>71312</v>
      </c>
      <c r="H14145" s="3" t="s">
        <v>70238</v>
      </c>
      <c r="I14145" s="3" t="s">
        <v>71313</v>
      </c>
      <c r="J14145" s="3" t="s">
        <v>3661</v>
      </c>
      <c r="K14145" s="3"/>
      <c r="L14145" s="3"/>
      <c r="M14145" s="4"/>
      <c r="N14145" s="3" t="s">
        <v>37</v>
      </c>
      <c r="O14145" s="3" t="s">
        <v>38</v>
      </c>
      <c r="P14145" s="5">
        <v>8</v>
      </c>
      <c r="Q14145" s="5">
        <v>71</v>
      </c>
      <c r="R14145" s="5">
        <v>8</v>
      </c>
      <c r="S14145" s="5">
        <v>63</v>
      </c>
    </row>
    <row r="14146" spans="1:19" ht="42" x14ac:dyDescent="0.15">
      <c r="A14146" s="2">
        <f>HYPERLINK("https://open-school.uspishnemisto.com.ua/school/680240/", 680240)</f>
        <v>680240</v>
      </c>
      <c r="B14146" s="3" t="s">
        <v>71314</v>
      </c>
      <c r="C14146" s="3" t="s">
        <v>54</v>
      </c>
      <c r="D14146" s="3" t="s">
        <v>32</v>
      </c>
      <c r="E14146" s="4" t="s">
        <v>22</v>
      </c>
      <c r="F14146" s="4" t="s">
        <v>71315</v>
      </c>
      <c r="G14146" s="4" t="s">
        <v>71316</v>
      </c>
      <c r="H14146" s="3" t="s">
        <v>70238</v>
      </c>
      <c r="I14146" s="3" t="s">
        <v>2846</v>
      </c>
      <c r="J14146" s="3" t="s">
        <v>7495</v>
      </c>
      <c r="K14146" s="3" t="s">
        <v>71317</v>
      </c>
      <c r="L14146" s="3"/>
      <c r="M14146" s="4"/>
      <c r="N14146" s="3" t="s">
        <v>37</v>
      </c>
      <c r="O14146" s="3" t="s">
        <v>46</v>
      </c>
      <c r="P14146" s="5">
        <v>10</v>
      </c>
      <c r="Q14146" s="5">
        <v>81</v>
      </c>
      <c r="R14146" s="5">
        <v>10</v>
      </c>
      <c r="S14146" s="5">
        <v>80</v>
      </c>
    </row>
    <row r="14147" spans="1:19" ht="56" x14ac:dyDescent="0.15">
      <c r="A14147" s="2">
        <f>HYPERLINK("https://open-school.uspishnemisto.com.ua/school/680242/", 680242)</f>
        <v>680242</v>
      </c>
      <c r="B14147" s="3" t="s">
        <v>71318</v>
      </c>
      <c r="C14147" s="3" t="s">
        <v>54</v>
      </c>
      <c r="D14147" s="3" t="s">
        <v>175</v>
      </c>
      <c r="E14147" s="4" t="s">
        <v>22</v>
      </c>
      <c r="F14147" s="4" t="s">
        <v>71319</v>
      </c>
      <c r="G14147" s="4" t="s">
        <v>71320</v>
      </c>
      <c r="H14147" s="3" t="s">
        <v>70238</v>
      </c>
      <c r="I14147" s="3" t="s">
        <v>7951</v>
      </c>
      <c r="J14147" s="3" t="s">
        <v>34733</v>
      </c>
      <c r="K14147" s="3" t="s">
        <v>71321</v>
      </c>
      <c r="L14147" s="3"/>
      <c r="M14147" s="4"/>
      <c r="N14147" s="3" t="s">
        <v>37</v>
      </c>
      <c r="O14147" s="3" t="s">
        <v>38</v>
      </c>
      <c r="P14147" s="5">
        <v>6</v>
      </c>
      <c r="Q14147" s="5">
        <v>55</v>
      </c>
      <c r="R14147" s="5">
        <v>5</v>
      </c>
      <c r="S14147" s="5">
        <v>49</v>
      </c>
    </row>
    <row r="14148" spans="1:19" ht="56" x14ac:dyDescent="0.15">
      <c r="A14148" s="2">
        <f>HYPERLINK("https://open-school.uspishnemisto.com.ua/school/680243/", 680243)</f>
        <v>680243</v>
      </c>
      <c r="B14148" s="3" t="s">
        <v>71322</v>
      </c>
      <c r="C14148" s="3" t="s">
        <v>54</v>
      </c>
      <c r="D14148" s="3" t="s">
        <v>175</v>
      </c>
      <c r="E14148" s="4" t="s">
        <v>22</v>
      </c>
      <c r="F14148" s="4" t="s">
        <v>71323</v>
      </c>
      <c r="G14148" s="4" t="s">
        <v>71324</v>
      </c>
      <c r="H14148" s="3" t="s">
        <v>70238</v>
      </c>
      <c r="I14148" s="3" t="s">
        <v>71325</v>
      </c>
      <c r="J14148" s="3" t="s">
        <v>12324</v>
      </c>
      <c r="K14148" s="3"/>
      <c r="L14148" s="3"/>
      <c r="M14148" s="4"/>
      <c r="N14148" s="3" t="s">
        <v>37</v>
      </c>
      <c r="O14148" s="3" t="s">
        <v>139</v>
      </c>
      <c r="P14148" s="5">
        <v>6</v>
      </c>
      <c r="Q14148" s="5">
        <v>55</v>
      </c>
      <c r="R14148" s="5">
        <v>6</v>
      </c>
      <c r="S14148" s="5">
        <v>57</v>
      </c>
    </row>
    <row r="14149" spans="1:19" ht="56" x14ac:dyDescent="0.15">
      <c r="A14149" s="2">
        <f>HYPERLINK("https://open-school.uspishnemisto.com.ua/school/680244/", 680244)</f>
        <v>680244</v>
      </c>
      <c r="B14149" s="3" t="s">
        <v>71326</v>
      </c>
      <c r="C14149" s="3" t="s">
        <v>54</v>
      </c>
      <c r="D14149" s="3" t="s">
        <v>60</v>
      </c>
      <c r="E14149" s="4" t="s">
        <v>22</v>
      </c>
      <c r="F14149" s="4" t="s">
        <v>71327</v>
      </c>
      <c r="G14149" s="4" t="s">
        <v>71328</v>
      </c>
      <c r="H14149" s="3" t="s">
        <v>70238</v>
      </c>
      <c r="I14149" s="3" t="s">
        <v>71329</v>
      </c>
      <c r="J14149" s="3" t="s">
        <v>11622</v>
      </c>
      <c r="K14149" s="3" t="s">
        <v>71330</v>
      </c>
      <c r="L14149" s="3"/>
      <c r="M14149" s="4"/>
      <c r="N14149" s="3" t="s">
        <v>37</v>
      </c>
      <c r="O14149" s="3" t="s">
        <v>52</v>
      </c>
      <c r="P14149" s="5">
        <v>2</v>
      </c>
      <c r="Q14149" s="5">
        <v>11</v>
      </c>
      <c r="R14149" s="5">
        <v>2</v>
      </c>
      <c r="S14149" s="5">
        <v>13</v>
      </c>
    </row>
    <row r="14150" spans="1:19" ht="28" x14ac:dyDescent="0.15">
      <c r="A14150" s="2">
        <f>HYPERLINK("https://open-school.uspishnemisto.com.ua/school/680245/", 680245)</f>
        <v>680245</v>
      </c>
      <c r="B14150" s="3" t="s">
        <v>71331</v>
      </c>
      <c r="C14150" s="3" t="s">
        <v>31</v>
      </c>
      <c r="D14150" s="3" t="s">
        <v>175</v>
      </c>
      <c r="E14150" s="4" t="s">
        <v>22</v>
      </c>
      <c r="F14150" s="4" t="s">
        <v>71332</v>
      </c>
      <c r="G14150" s="4" t="s">
        <v>71333</v>
      </c>
      <c r="H14150" s="3" t="s">
        <v>70238</v>
      </c>
      <c r="I14150" s="3" t="s">
        <v>50838</v>
      </c>
      <c r="J14150" s="3" t="s">
        <v>946</v>
      </c>
      <c r="K14150" s="3" t="s">
        <v>71334</v>
      </c>
      <c r="L14150" s="3"/>
      <c r="M14150" s="4"/>
      <c r="N14150" s="3" t="s">
        <v>37</v>
      </c>
      <c r="O14150" s="3" t="s">
        <v>38</v>
      </c>
      <c r="P14150" s="5">
        <v>6</v>
      </c>
      <c r="Q14150" s="5">
        <v>49</v>
      </c>
      <c r="R14150" s="5">
        <v>7</v>
      </c>
      <c r="S14150" s="5">
        <v>54</v>
      </c>
    </row>
    <row r="14151" spans="1:19" ht="28" x14ac:dyDescent="0.15">
      <c r="A14151" s="2">
        <f>HYPERLINK("https://open-school.uspishnemisto.com.ua/school/680246/", 680246)</f>
        <v>680246</v>
      </c>
      <c r="B14151" s="3" t="s">
        <v>71335</v>
      </c>
      <c r="C14151" s="3" t="s">
        <v>31</v>
      </c>
      <c r="D14151" s="3" t="s">
        <v>32</v>
      </c>
      <c r="E14151" s="4" t="s">
        <v>22</v>
      </c>
      <c r="F14151" s="4" t="s">
        <v>71336</v>
      </c>
      <c r="G14151" s="4" t="s">
        <v>71337</v>
      </c>
      <c r="H14151" s="3" t="s">
        <v>70238</v>
      </c>
      <c r="I14151" s="3" t="s">
        <v>71338</v>
      </c>
      <c r="J14151" s="3" t="s">
        <v>71339</v>
      </c>
      <c r="K14151" s="3" t="s">
        <v>71340</v>
      </c>
      <c r="L14151" s="3" t="s">
        <v>71341</v>
      </c>
      <c r="M14151" s="4"/>
      <c r="N14151" s="3" t="s">
        <v>37</v>
      </c>
      <c r="O14151" s="3" t="s">
        <v>139</v>
      </c>
      <c r="P14151" s="5">
        <v>11</v>
      </c>
      <c r="Q14151" s="5">
        <v>132</v>
      </c>
      <c r="R14151" s="5">
        <v>11</v>
      </c>
      <c r="S14151" s="5">
        <v>128</v>
      </c>
    </row>
    <row r="14152" spans="1:19" ht="56" x14ac:dyDescent="0.15">
      <c r="A14152" s="2">
        <f>HYPERLINK("https://open-school.uspishnemisto.com.ua/school/680247/", 680247)</f>
        <v>680247</v>
      </c>
      <c r="B14152" s="3" t="s">
        <v>71342</v>
      </c>
      <c r="C14152" s="3" t="s">
        <v>54</v>
      </c>
      <c r="D14152" s="3" t="s">
        <v>32</v>
      </c>
      <c r="E14152" s="4" t="s">
        <v>22</v>
      </c>
      <c r="F14152" s="4" t="s">
        <v>71343</v>
      </c>
      <c r="G14152" s="4" t="s">
        <v>71344</v>
      </c>
      <c r="H14152" s="3" t="s">
        <v>70238</v>
      </c>
      <c r="I14152" s="3" t="s">
        <v>35353</v>
      </c>
      <c r="J14152" s="3" t="s">
        <v>71345</v>
      </c>
      <c r="K14152" s="3" t="s">
        <v>71346</v>
      </c>
      <c r="L14152" s="3"/>
      <c r="M14152" s="4"/>
      <c r="N14152" s="3" t="s">
        <v>37</v>
      </c>
      <c r="O14152" s="3" t="s">
        <v>266</v>
      </c>
      <c r="P14152" s="5">
        <v>11</v>
      </c>
      <c r="Q14152" s="5">
        <v>97</v>
      </c>
      <c r="R14152" s="5">
        <v>11</v>
      </c>
      <c r="S14152" s="5">
        <v>100</v>
      </c>
    </row>
    <row r="14153" spans="1:19" ht="56" x14ac:dyDescent="0.15">
      <c r="A14153" s="2">
        <f>HYPERLINK("https://open-school.uspishnemisto.com.ua/school/680248/", 680248)</f>
        <v>680248</v>
      </c>
      <c r="B14153" s="3" t="s">
        <v>71347</v>
      </c>
      <c r="C14153" s="3" t="s">
        <v>54</v>
      </c>
      <c r="D14153" s="3" t="s">
        <v>32</v>
      </c>
      <c r="E14153" s="4" t="s">
        <v>22</v>
      </c>
      <c r="F14153" s="4" t="s">
        <v>71348</v>
      </c>
      <c r="G14153" s="4" t="s">
        <v>71349</v>
      </c>
      <c r="H14153" s="3" t="s">
        <v>70238</v>
      </c>
      <c r="I14153" s="3" t="s">
        <v>71350</v>
      </c>
      <c r="J14153" s="3" t="s">
        <v>71351</v>
      </c>
      <c r="K14153" s="3" t="s">
        <v>71352</v>
      </c>
      <c r="L14153" s="3"/>
      <c r="M14153" s="4"/>
      <c r="N14153" s="3" t="s">
        <v>37</v>
      </c>
      <c r="O14153" s="3" t="s">
        <v>38</v>
      </c>
      <c r="P14153" s="5">
        <v>10</v>
      </c>
      <c r="Q14153" s="5">
        <v>106</v>
      </c>
      <c r="R14153" s="5">
        <v>11</v>
      </c>
      <c r="S14153" s="5">
        <v>113</v>
      </c>
    </row>
    <row r="14154" spans="1:19" ht="56" x14ac:dyDescent="0.15">
      <c r="A14154" s="2">
        <f>HYPERLINK("https://open-school.uspishnemisto.com.ua/school/680250/", 680250)</f>
        <v>680250</v>
      </c>
      <c r="B14154" s="3" t="s">
        <v>71353</v>
      </c>
      <c r="C14154" s="3" t="s">
        <v>54</v>
      </c>
      <c r="D14154" s="3" t="s">
        <v>32</v>
      </c>
      <c r="E14154" s="4" t="s">
        <v>22</v>
      </c>
      <c r="F14154" s="4" t="s">
        <v>71354</v>
      </c>
      <c r="G14154" s="4" t="s">
        <v>71355</v>
      </c>
      <c r="H14154" s="3" t="s">
        <v>70238</v>
      </c>
      <c r="I14154" s="3" t="s">
        <v>17601</v>
      </c>
      <c r="J14154" s="3" t="s">
        <v>36685</v>
      </c>
      <c r="K14154" s="3" t="s">
        <v>71356</v>
      </c>
      <c r="L14154" s="3"/>
      <c r="M14154" s="4"/>
      <c r="N14154" s="3" t="s">
        <v>37</v>
      </c>
      <c r="O14154" s="3" t="s">
        <v>38</v>
      </c>
      <c r="P14154" s="5">
        <v>11</v>
      </c>
      <c r="Q14154" s="5">
        <v>136</v>
      </c>
      <c r="R14154" s="5">
        <v>11</v>
      </c>
      <c r="S14154" s="5">
        <v>139</v>
      </c>
    </row>
    <row r="14155" spans="1:19" ht="56" x14ac:dyDescent="0.15">
      <c r="A14155" s="2">
        <f>HYPERLINK("https://open-school.uspishnemisto.com.ua/school/680251/", 680251)</f>
        <v>680251</v>
      </c>
      <c r="B14155" s="3" t="s">
        <v>71357</v>
      </c>
      <c r="C14155" s="3" t="s">
        <v>54</v>
      </c>
      <c r="D14155" s="3" t="s">
        <v>175</v>
      </c>
      <c r="E14155" s="4" t="s">
        <v>22</v>
      </c>
      <c r="F14155" s="4" t="s">
        <v>71358</v>
      </c>
      <c r="G14155" s="4" t="s">
        <v>71359</v>
      </c>
      <c r="H14155" s="3" t="s">
        <v>70238</v>
      </c>
      <c r="I14155" s="3" t="s">
        <v>71360</v>
      </c>
      <c r="J14155" s="3" t="s">
        <v>71361</v>
      </c>
      <c r="K14155" s="3" t="s">
        <v>71362</v>
      </c>
      <c r="L14155" s="3" t="s">
        <v>71363</v>
      </c>
      <c r="M14155" s="4"/>
      <c r="N14155" s="3" t="s">
        <v>37</v>
      </c>
      <c r="O14155" s="3" t="s">
        <v>46</v>
      </c>
      <c r="P14155" s="5">
        <v>1</v>
      </c>
      <c r="Q14155" s="5">
        <v>27</v>
      </c>
      <c r="R14155" s="5">
        <v>2</v>
      </c>
      <c r="S14155" s="5">
        <v>34</v>
      </c>
    </row>
    <row r="14156" spans="1:19" ht="28" x14ac:dyDescent="0.15">
      <c r="A14156" s="2">
        <f>HYPERLINK("https://open-school.uspishnemisto.com.ua/school/680252/", 680252)</f>
        <v>680252</v>
      </c>
      <c r="B14156" s="3" t="s">
        <v>71364</v>
      </c>
      <c r="C14156" s="3" t="s">
        <v>31</v>
      </c>
      <c r="D14156" s="3" t="s">
        <v>32</v>
      </c>
      <c r="E14156" s="4" t="s">
        <v>22</v>
      </c>
      <c r="F14156" s="4" t="s">
        <v>71365</v>
      </c>
      <c r="G14156" s="4" t="s">
        <v>71366</v>
      </c>
      <c r="H14156" s="3" t="s">
        <v>70238</v>
      </c>
      <c r="I14156" s="3" t="s">
        <v>71367</v>
      </c>
      <c r="J14156" s="3" t="s">
        <v>71368</v>
      </c>
      <c r="K14156" s="3" t="s">
        <v>71369</v>
      </c>
      <c r="L14156" s="3" t="s">
        <v>71370</v>
      </c>
      <c r="M14156" s="4"/>
      <c r="N14156" s="3" t="s">
        <v>37</v>
      </c>
      <c r="O14156" s="3" t="s">
        <v>38</v>
      </c>
      <c r="P14156" s="5">
        <v>16</v>
      </c>
      <c r="Q14156" s="5">
        <v>403</v>
      </c>
      <c r="R14156" s="5">
        <v>16</v>
      </c>
      <c r="S14156" s="5">
        <v>394</v>
      </c>
    </row>
    <row r="14157" spans="1:19" ht="28" x14ac:dyDescent="0.15">
      <c r="A14157" s="2">
        <f>HYPERLINK("https://open-school.uspishnemisto.com.ua/school/680253/", 680253)</f>
        <v>680253</v>
      </c>
      <c r="B14157" s="3" t="s">
        <v>71371</v>
      </c>
      <c r="C14157" s="3" t="s">
        <v>31</v>
      </c>
      <c r="D14157" s="3" t="s">
        <v>32</v>
      </c>
      <c r="E14157" s="4" t="s">
        <v>22</v>
      </c>
      <c r="F14157" s="4" t="s">
        <v>71365</v>
      </c>
      <c r="G14157" s="4" t="s">
        <v>71366</v>
      </c>
      <c r="H14157" s="3" t="s">
        <v>70238</v>
      </c>
      <c r="I14157" s="3" t="s">
        <v>71367</v>
      </c>
      <c r="J14157" s="3" t="s">
        <v>71372</v>
      </c>
      <c r="K14157" s="3" t="s">
        <v>71373</v>
      </c>
      <c r="L14157" s="3" t="s">
        <v>71374</v>
      </c>
      <c r="M14157" s="4"/>
      <c r="N14157" s="3" t="s">
        <v>37</v>
      </c>
      <c r="O14157" s="3" t="s">
        <v>46</v>
      </c>
      <c r="P14157" s="5">
        <v>18</v>
      </c>
      <c r="Q14157" s="5">
        <v>378</v>
      </c>
      <c r="R14157" s="5">
        <v>17</v>
      </c>
      <c r="S14157" s="5">
        <v>366</v>
      </c>
    </row>
    <row r="14158" spans="1:19" ht="28" x14ac:dyDescent="0.15">
      <c r="A14158" s="2">
        <f>HYPERLINK("https://open-school.uspishnemisto.com.ua/school/680254/", 680254)</f>
        <v>680254</v>
      </c>
      <c r="B14158" s="3" t="s">
        <v>71375</v>
      </c>
      <c r="C14158" s="3" t="s">
        <v>31</v>
      </c>
      <c r="D14158" s="3" t="s">
        <v>32</v>
      </c>
      <c r="E14158" s="4" t="s">
        <v>22</v>
      </c>
      <c r="F14158" s="4" t="s">
        <v>71365</v>
      </c>
      <c r="G14158" s="4" t="s">
        <v>71366</v>
      </c>
      <c r="H14158" s="3" t="s">
        <v>70238</v>
      </c>
      <c r="I14158" s="3" t="s">
        <v>71367</v>
      </c>
      <c r="J14158" s="3" t="s">
        <v>71376</v>
      </c>
      <c r="K14158" s="3" t="s">
        <v>71377</v>
      </c>
      <c r="L14158" s="3" t="s">
        <v>71378</v>
      </c>
      <c r="M14158" s="4" t="s">
        <v>71379</v>
      </c>
      <c r="N14158" s="3" t="s">
        <v>37</v>
      </c>
      <c r="O14158" s="3" t="s">
        <v>38</v>
      </c>
      <c r="P14158" s="5">
        <v>22</v>
      </c>
      <c r="Q14158" s="5">
        <v>568</v>
      </c>
      <c r="R14158" s="5">
        <v>21</v>
      </c>
      <c r="S14158" s="5">
        <v>535</v>
      </c>
    </row>
    <row r="14159" spans="1:19" ht="42" x14ac:dyDescent="0.15">
      <c r="A14159" s="2">
        <f>HYPERLINK("https://open-school.uspishnemisto.com.ua/school/680255/", 680255)</f>
        <v>680255</v>
      </c>
      <c r="B14159" s="3" t="s">
        <v>71380</v>
      </c>
      <c r="C14159" s="3" t="s">
        <v>40</v>
      </c>
      <c r="D14159" s="3" t="s">
        <v>32</v>
      </c>
      <c r="E14159" s="4" t="s">
        <v>22</v>
      </c>
      <c r="F14159" s="4" t="s">
        <v>71365</v>
      </c>
      <c r="G14159" s="4" t="s">
        <v>71366</v>
      </c>
      <c r="H14159" s="3" t="s">
        <v>70238</v>
      </c>
      <c r="I14159" s="3" t="s">
        <v>71367</v>
      </c>
      <c r="J14159" s="3" t="s">
        <v>71381</v>
      </c>
      <c r="K14159" s="3" t="s">
        <v>71382</v>
      </c>
      <c r="L14159" s="3" t="s">
        <v>71383</v>
      </c>
      <c r="M14159" s="4"/>
      <c r="N14159" s="3" t="s">
        <v>37</v>
      </c>
      <c r="O14159" s="3" t="s">
        <v>237</v>
      </c>
      <c r="P14159" s="5">
        <v>30</v>
      </c>
      <c r="Q14159" s="5">
        <v>726</v>
      </c>
      <c r="R14159" s="5">
        <v>29</v>
      </c>
      <c r="S14159" s="5">
        <v>700</v>
      </c>
    </row>
    <row r="14160" spans="1:19" ht="28" x14ac:dyDescent="0.15">
      <c r="A14160" s="2">
        <f>HYPERLINK("https://open-school.uspishnemisto.com.ua/school/680256/", 680256)</f>
        <v>680256</v>
      </c>
      <c r="B14160" s="3" t="s">
        <v>71384</v>
      </c>
      <c r="C14160" s="3" t="s">
        <v>31</v>
      </c>
      <c r="D14160" s="3" t="s">
        <v>32</v>
      </c>
      <c r="E14160" s="4" t="s">
        <v>22</v>
      </c>
      <c r="F14160" s="4" t="s">
        <v>71385</v>
      </c>
      <c r="G14160" s="4" t="s">
        <v>71386</v>
      </c>
      <c r="H14160" s="3" t="s">
        <v>70238</v>
      </c>
      <c r="I14160" s="3" t="s">
        <v>71387</v>
      </c>
      <c r="J14160" s="3" t="s">
        <v>71388</v>
      </c>
      <c r="K14160" s="3" t="s">
        <v>71389</v>
      </c>
      <c r="L14160" s="3" t="s">
        <v>71390</v>
      </c>
      <c r="M14160" s="4"/>
      <c r="N14160" s="3" t="s">
        <v>37</v>
      </c>
      <c r="O14160" s="3" t="s">
        <v>38</v>
      </c>
      <c r="P14160" s="5">
        <v>11</v>
      </c>
      <c r="Q14160" s="5">
        <v>105</v>
      </c>
      <c r="R14160" s="5">
        <v>11</v>
      </c>
      <c r="S14160" s="5">
        <v>104</v>
      </c>
    </row>
    <row r="14161" spans="1:19" ht="28" x14ac:dyDescent="0.15">
      <c r="A14161" s="2">
        <f>HYPERLINK("https://open-school.uspishnemisto.com.ua/school/680257/", 680257)</f>
        <v>680257</v>
      </c>
      <c r="B14161" s="3" t="s">
        <v>71391</v>
      </c>
      <c r="C14161" s="3" t="s">
        <v>31</v>
      </c>
      <c r="D14161" s="3" t="s">
        <v>32</v>
      </c>
      <c r="E14161" s="4" t="s">
        <v>22</v>
      </c>
      <c r="F14161" s="4" t="s">
        <v>71392</v>
      </c>
      <c r="G14161" s="4" t="s">
        <v>71393</v>
      </c>
      <c r="H14161" s="3" t="s">
        <v>70238</v>
      </c>
      <c r="I14161" s="3" t="s">
        <v>71367</v>
      </c>
      <c r="J14161" s="3" t="s">
        <v>71394</v>
      </c>
      <c r="K14161" s="3" t="s">
        <v>71395</v>
      </c>
      <c r="L14161" s="3" t="s">
        <v>71396</v>
      </c>
      <c r="M14161" s="4"/>
      <c r="N14161" s="3" t="s">
        <v>37</v>
      </c>
      <c r="O14161" s="3" t="s">
        <v>46</v>
      </c>
      <c r="P14161" s="5">
        <v>16</v>
      </c>
      <c r="Q14161" s="5">
        <v>309</v>
      </c>
      <c r="R14161" s="5">
        <v>16</v>
      </c>
      <c r="S14161" s="5">
        <v>297</v>
      </c>
    </row>
    <row r="14162" spans="1:19" ht="42" x14ac:dyDescent="0.15">
      <c r="A14162" s="2">
        <f>HYPERLINK("https://open-school.uspishnemisto.com.ua/school/680258/", 680258)</f>
        <v>680258</v>
      </c>
      <c r="B14162" s="3" t="s">
        <v>71397</v>
      </c>
      <c r="C14162" s="3" t="s">
        <v>31</v>
      </c>
      <c r="D14162" s="3" t="s">
        <v>32</v>
      </c>
      <c r="E14162" s="4" t="s">
        <v>22</v>
      </c>
      <c r="F14162" s="4" t="s">
        <v>71398</v>
      </c>
      <c r="G14162" s="4" t="s">
        <v>71399</v>
      </c>
      <c r="H14162" s="3" t="s">
        <v>70238</v>
      </c>
      <c r="I14162" s="3" t="s">
        <v>71400</v>
      </c>
      <c r="J14162" s="3" t="s">
        <v>71401</v>
      </c>
      <c r="K14162" s="3" t="s">
        <v>71402</v>
      </c>
      <c r="L14162" s="3"/>
      <c r="M14162" s="4" t="s">
        <v>71403</v>
      </c>
      <c r="N14162" s="3" t="s">
        <v>37</v>
      </c>
      <c r="O14162" s="3" t="s">
        <v>139</v>
      </c>
      <c r="P14162" s="5">
        <v>14</v>
      </c>
      <c r="Q14162" s="5">
        <v>274</v>
      </c>
      <c r="R14162" s="5">
        <v>13</v>
      </c>
      <c r="S14162" s="5">
        <v>277</v>
      </c>
    </row>
    <row r="14163" spans="1:19" ht="42" x14ac:dyDescent="0.15">
      <c r="A14163" s="2">
        <f>HYPERLINK("https://open-school.uspishnemisto.com.ua/school/680259/", 680259)</f>
        <v>680259</v>
      </c>
      <c r="B14163" s="3" t="s">
        <v>71404</v>
      </c>
      <c r="C14163" s="3" t="s">
        <v>54</v>
      </c>
      <c r="D14163" s="3" t="s">
        <v>175</v>
      </c>
      <c r="E14163" s="4" t="s">
        <v>22</v>
      </c>
      <c r="F14163" s="4" t="s">
        <v>71405</v>
      </c>
      <c r="G14163" s="4" t="s">
        <v>71406</v>
      </c>
      <c r="H14163" s="3" t="s">
        <v>70238</v>
      </c>
      <c r="I14163" s="3" t="s">
        <v>11128</v>
      </c>
      <c r="J14163" s="3" t="s">
        <v>2372</v>
      </c>
      <c r="K14163" s="3" t="s">
        <v>71407</v>
      </c>
      <c r="L14163" s="3" t="s">
        <v>71408</v>
      </c>
      <c r="M14163" s="4"/>
      <c r="N14163" s="3" t="s">
        <v>37</v>
      </c>
      <c r="O14163" s="3" t="s">
        <v>46</v>
      </c>
      <c r="P14163" s="5">
        <v>7</v>
      </c>
      <c r="Q14163" s="5">
        <v>64</v>
      </c>
      <c r="R14163" s="5">
        <v>9</v>
      </c>
      <c r="S14163" s="5">
        <v>76</v>
      </c>
    </row>
    <row r="14164" spans="1:19" ht="28" x14ac:dyDescent="0.15">
      <c r="A14164" s="2">
        <f>HYPERLINK("https://open-school.uspishnemisto.com.ua/school/680260/", 680260)</f>
        <v>680260</v>
      </c>
      <c r="B14164" s="3" t="s">
        <v>71409</v>
      </c>
      <c r="C14164" s="3" t="s">
        <v>31</v>
      </c>
      <c r="D14164" s="3" t="s">
        <v>32</v>
      </c>
      <c r="E14164" s="4" t="s">
        <v>22</v>
      </c>
      <c r="F14164" s="4" t="s">
        <v>71410</v>
      </c>
      <c r="G14164" s="4" t="s">
        <v>71411</v>
      </c>
      <c r="H14164" s="3" t="s">
        <v>70238</v>
      </c>
      <c r="I14164" s="3" t="s">
        <v>2365</v>
      </c>
      <c r="J14164" s="3" t="s">
        <v>726</v>
      </c>
      <c r="K14164" s="3" t="s">
        <v>71412</v>
      </c>
      <c r="L14164" s="3" t="s">
        <v>71413</v>
      </c>
      <c r="M14164" s="4" t="s">
        <v>71414</v>
      </c>
      <c r="N14164" s="3" t="s">
        <v>37</v>
      </c>
      <c r="O14164" s="3" t="s">
        <v>52</v>
      </c>
      <c r="P14164" s="5">
        <v>11</v>
      </c>
      <c r="Q14164" s="5">
        <v>163</v>
      </c>
      <c r="R14164" s="5">
        <v>11</v>
      </c>
      <c r="S14164" s="5">
        <v>160</v>
      </c>
    </row>
    <row r="14165" spans="1:19" ht="28" x14ac:dyDescent="0.15">
      <c r="A14165" s="2">
        <f>HYPERLINK("https://open-school.uspishnemisto.com.ua/school/680261/", 680261)</f>
        <v>680261</v>
      </c>
      <c r="B14165" s="3" t="s">
        <v>71415</v>
      </c>
      <c r="C14165" s="3" t="s">
        <v>31</v>
      </c>
      <c r="D14165" s="3" t="s">
        <v>32</v>
      </c>
      <c r="E14165" s="4" t="s">
        <v>22</v>
      </c>
      <c r="F14165" s="4" t="s">
        <v>71416</v>
      </c>
      <c r="G14165" s="4" t="s">
        <v>71417</v>
      </c>
      <c r="H14165" s="3" t="s">
        <v>70238</v>
      </c>
      <c r="I14165" s="3" t="s">
        <v>71418</v>
      </c>
      <c r="J14165" s="3" t="s">
        <v>12466</v>
      </c>
      <c r="K14165" s="3" t="s">
        <v>71419</v>
      </c>
      <c r="L14165" s="3" t="s">
        <v>71420</v>
      </c>
      <c r="M14165" s="4" t="s">
        <v>71421</v>
      </c>
      <c r="N14165" s="3" t="s">
        <v>37</v>
      </c>
      <c r="O14165" s="3" t="s">
        <v>70</v>
      </c>
      <c r="P14165" s="5">
        <v>10</v>
      </c>
      <c r="Q14165" s="5">
        <v>118</v>
      </c>
      <c r="R14165" s="5">
        <v>10</v>
      </c>
      <c r="S14165" s="5">
        <v>119</v>
      </c>
    </row>
    <row r="14166" spans="1:19" ht="28" x14ac:dyDescent="0.15">
      <c r="A14166" s="2">
        <f>HYPERLINK("https://open-school.uspishnemisto.com.ua/school/680262/", 680262)</f>
        <v>680262</v>
      </c>
      <c r="B14166" s="3" t="s">
        <v>71422</v>
      </c>
      <c r="C14166" s="3" t="s">
        <v>54</v>
      </c>
      <c r="D14166" s="3" t="s">
        <v>175</v>
      </c>
      <c r="E14166" s="4" t="s">
        <v>22</v>
      </c>
      <c r="F14166" s="4" t="s">
        <v>71423</v>
      </c>
      <c r="G14166" s="4" t="s">
        <v>71424</v>
      </c>
      <c r="H14166" s="3" t="s">
        <v>70238</v>
      </c>
      <c r="I14166" s="3" t="s">
        <v>71425</v>
      </c>
      <c r="J14166" s="3" t="s">
        <v>792</v>
      </c>
      <c r="K14166" s="3" t="s">
        <v>71426</v>
      </c>
      <c r="L14166" s="3" t="s">
        <v>71427</v>
      </c>
      <c r="M14166" s="4"/>
      <c r="N14166" s="3" t="s">
        <v>37</v>
      </c>
      <c r="O14166" s="3" t="s">
        <v>112</v>
      </c>
      <c r="P14166" s="5">
        <v>4</v>
      </c>
      <c r="Q14166" s="5">
        <v>34</v>
      </c>
      <c r="R14166" s="5">
        <v>4</v>
      </c>
      <c r="S14166" s="5">
        <v>35</v>
      </c>
    </row>
    <row r="14167" spans="1:19" ht="28" x14ac:dyDescent="0.15">
      <c r="A14167" s="2">
        <f>HYPERLINK("https://open-school.uspishnemisto.com.ua/school/680263/", 680263)</f>
        <v>680263</v>
      </c>
      <c r="B14167" s="3" t="s">
        <v>71428</v>
      </c>
      <c r="C14167" s="3" t="s">
        <v>31</v>
      </c>
      <c r="D14167" s="3" t="s">
        <v>32</v>
      </c>
      <c r="E14167" s="4" t="s">
        <v>22</v>
      </c>
      <c r="F14167" s="4" t="s">
        <v>71429</v>
      </c>
      <c r="G14167" s="4" t="s">
        <v>71430</v>
      </c>
      <c r="H14167" s="3" t="s">
        <v>70238</v>
      </c>
      <c r="I14167" s="3" t="s">
        <v>71431</v>
      </c>
      <c r="J14167" s="3" t="s">
        <v>71432</v>
      </c>
      <c r="K14167" s="3" t="s">
        <v>71433</v>
      </c>
      <c r="L14167" s="3"/>
      <c r="M14167" s="4"/>
      <c r="N14167" s="3" t="s">
        <v>37</v>
      </c>
      <c r="O14167" s="3" t="s">
        <v>46</v>
      </c>
      <c r="P14167" s="5">
        <v>11</v>
      </c>
      <c r="Q14167" s="5">
        <v>86</v>
      </c>
      <c r="R14167" s="5">
        <v>11</v>
      </c>
      <c r="S14167" s="5">
        <v>95</v>
      </c>
    </row>
    <row r="14168" spans="1:19" ht="28" x14ac:dyDescent="0.15">
      <c r="A14168" s="2">
        <f>HYPERLINK("https://open-school.uspishnemisto.com.ua/school/680264/", 680264)</f>
        <v>680264</v>
      </c>
      <c r="B14168" s="3" t="s">
        <v>71434</v>
      </c>
      <c r="C14168" s="3" t="s">
        <v>31</v>
      </c>
      <c r="D14168" s="3" t="s">
        <v>175</v>
      </c>
      <c r="E14168" s="4" t="s">
        <v>22</v>
      </c>
      <c r="F14168" s="4" t="s">
        <v>71435</v>
      </c>
      <c r="G14168" s="4" t="s">
        <v>71436</v>
      </c>
      <c r="H14168" s="3" t="s">
        <v>70238</v>
      </c>
      <c r="I14168" s="3" t="s">
        <v>71437</v>
      </c>
      <c r="J14168" s="3" t="s">
        <v>6598</v>
      </c>
      <c r="K14168" s="3" t="s">
        <v>71438</v>
      </c>
      <c r="L14168" s="3" t="s">
        <v>71439</v>
      </c>
      <c r="M14168" s="4"/>
      <c r="N14168" s="3" t="s">
        <v>37</v>
      </c>
      <c r="O14168" s="3" t="s">
        <v>46</v>
      </c>
      <c r="P14168" s="5">
        <v>8</v>
      </c>
      <c r="Q14168" s="5">
        <v>78</v>
      </c>
      <c r="R14168" s="5">
        <v>8</v>
      </c>
      <c r="S14168" s="5">
        <v>80</v>
      </c>
    </row>
    <row r="14169" spans="1:19" ht="28" x14ac:dyDescent="0.15">
      <c r="A14169" s="2">
        <f>HYPERLINK("https://open-school.uspishnemisto.com.ua/school/680265/", 680265)</f>
        <v>680265</v>
      </c>
      <c r="B14169" s="3" t="s">
        <v>71440</v>
      </c>
      <c r="C14169" s="3" t="s">
        <v>31</v>
      </c>
      <c r="D14169" s="3" t="s">
        <v>175</v>
      </c>
      <c r="E14169" s="4" t="s">
        <v>22</v>
      </c>
      <c r="F14169" s="4" t="s">
        <v>71441</v>
      </c>
      <c r="G14169" s="4" t="s">
        <v>71442</v>
      </c>
      <c r="H14169" s="3" t="s">
        <v>70238</v>
      </c>
      <c r="I14169" s="3" t="s">
        <v>48872</v>
      </c>
      <c r="J14169" s="3" t="s">
        <v>14952</v>
      </c>
      <c r="K14169" s="3" t="s">
        <v>71443</v>
      </c>
      <c r="L14169" s="3" t="s">
        <v>71444</v>
      </c>
      <c r="M14169" s="4"/>
      <c r="N14169" s="3" t="s">
        <v>37</v>
      </c>
      <c r="O14169" s="3" t="s">
        <v>46</v>
      </c>
      <c r="P14169" s="5">
        <v>4</v>
      </c>
      <c r="Q14169" s="5">
        <v>42</v>
      </c>
      <c r="R14169" s="5">
        <v>4</v>
      </c>
      <c r="S14169" s="5">
        <v>40</v>
      </c>
    </row>
    <row r="14170" spans="1:19" ht="28" x14ac:dyDescent="0.15">
      <c r="A14170" s="2">
        <f>HYPERLINK("https://open-school.uspishnemisto.com.ua/school/680266/", 680266)</f>
        <v>680266</v>
      </c>
      <c r="B14170" s="3" t="s">
        <v>71445</v>
      </c>
      <c r="C14170" s="3" t="s">
        <v>31</v>
      </c>
      <c r="D14170" s="3" t="s">
        <v>32</v>
      </c>
      <c r="E14170" s="4" t="s">
        <v>22</v>
      </c>
      <c r="F14170" s="4" t="s">
        <v>71446</v>
      </c>
      <c r="G14170" s="4" t="s">
        <v>71447</v>
      </c>
      <c r="H14170" s="3" t="s">
        <v>70238</v>
      </c>
      <c r="I14170" s="3" t="s">
        <v>71448</v>
      </c>
      <c r="J14170" s="3" t="s">
        <v>5303</v>
      </c>
      <c r="K14170" s="3" t="s">
        <v>71449</v>
      </c>
      <c r="L14170" s="3"/>
      <c r="M14170" s="4"/>
      <c r="N14170" s="3" t="s">
        <v>37</v>
      </c>
      <c r="O14170" s="3" t="s">
        <v>139</v>
      </c>
      <c r="P14170" s="5">
        <v>11</v>
      </c>
      <c r="Q14170" s="5">
        <v>121</v>
      </c>
      <c r="R14170" s="5">
        <v>11</v>
      </c>
      <c r="S14170" s="5">
        <v>125</v>
      </c>
    </row>
    <row r="14171" spans="1:19" ht="42" x14ac:dyDescent="0.15">
      <c r="A14171" s="2">
        <f>HYPERLINK("https://open-school.uspishnemisto.com.ua/school/680267/", 680267)</f>
        <v>680267</v>
      </c>
      <c r="B14171" s="3" t="s">
        <v>71450</v>
      </c>
      <c r="C14171" s="3" t="s">
        <v>54</v>
      </c>
      <c r="D14171" s="3" t="s">
        <v>175</v>
      </c>
      <c r="E14171" s="4" t="s">
        <v>22</v>
      </c>
      <c r="F14171" s="4" t="s">
        <v>71451</v>
      </c>
      <c r="G14171" s="4" t="s">
        <v>71452</v>
      </c>
      <c r="H14171" s="3" t="s">
        <v>70238</v>
      </c>
      <c r="I14171" s="3" t="s">
        <v>71453</v>
      </c>
      <c r="J14171" s="3" t="s">
        <v>30603</v>
      </c>
      <c r="K14171" s="3" t="s">
        <v>71454</v>
      </c>
      <c r="L14171" s="3" t="s">
        <v>71455</v>
      </c>
      <c r="M14171" s="4"/>
      <c r="N14171" s="3" t="s">
        <v>37</v>
      </c>
      <c r="O14171" s="3" t="s">
        <v>38</v>
      </c>
      <c r="P14171" s="5">
        <v>2</v>
      </c>
      <c r="Q14171" s="5">
        <v>26</v>
      </c>
      <c r="R14171" s="5">
        <v>5</v>
      </c>
      <c r="S14171" s="5">
        <v>28</v>
      </c>
    </row>
    <row r="14172" spans="1:19" ht="42" x14ac:dyDescent="0.15">
      <c r="A14172" s="2">
        <f>HYPERLINK("https://open-school.uspishnemisto.com.ua/school/680268/", 680268)</f>
        <v>680268</v>
      </c>
      <c r="B14172" s="3" t="s">
        <v>71456</v>
      </c>
      <c r="C14172" s="3" t="s">
        <v>54</v>
      </c>
      <c r="D14172" s="3" t="s">
        <v>175</v>
      </c>
      <c r="E14172" s="4" t="s">
        <v>22</v>
      </c>
      <c r="F14172" s="4" t="s">
        <v>71457</v>
      </c>
      <c r="G14172" s="4" t="s">
        <v>71458</v>
      </c>
      <c r="H14172" s="3" t="s">
        <v>70238</v>
      </c>
      <c r="I14172" s="3" t="s">
        <v>7935</v>
      </c>
      <c r="J14172" s="3" t="s">
        <v>71459</v>
      </c>
      <c r="K14172" s="3" t="s">
        <v>71460</v>
      </c>
      <c r="L14172" s="3" t="s">
        <v>71461</v>
      </c>
      <c r="M14172" s="4"/>
      <c r="N14172" s="3" t="s">
        <v>37</v>
      </c>
      <c r="O14172" s="3" t="s">
        <v>38</v>
      </c>
      <c r="P14172" s="5">
        <v>9</v>
      </c>
      <c r="Q14172" s="5">
        <v>86</v>
      </c>
      <c r="R14172" s="5">
        <v>9</v>
      </c>
      <c r="S14172" s="5">
        <v>89</v>
      </c>
    </row>
    <row r="14173" spans="1:19" ht="28" x14ac:dyDescent="0.15">
      <c r="A14173" s="2">
        <f>HYPERLINK("https://open-school.uspishnemisto.com.ua/school/680269/", 680269)</f>
        <v>680269</v>
      </c>
      <c r="B14173" s="3" t="s">
        <v>71462</v>
      </c>
      <c r="C14173" s="3" t="s">
        <v>31</v>
      </c>
      <c r="D14173" s="3" t="s">
        <v>175</v>
      </c>
      <c r="E14173" s="4" t="s">
        <v>22</v>
      </c>
      <c r="F14173" s="4" t="s">
        <v>71463</v>
      </c>
      <c r="G14173" s="4" t="s">
        <v>71464</v>
      </c>
      <c r="H14173" s="3" t="s">
        <v>70238</v>
      </c>
      <c r="I14173" s="3" t="s">
        <v>71465</v>
      </c>
      <c r="J14173" s="3" t="s">
        <v>71466</v>
      </c>
      <c r="K14173" s="3" t="s">
        <v>71467</v>
      </c>
      <c r="L14173" s="3"/>
      <c r="M14173" s="4"/>
      <c r="N14173" s="3" t="s">
        <v>37</v>
      </c>
      <c r="O14173" s="3" t="s">
        <v>38</v>
      </c>
      <c r="P14173" s="5">
        <v>8</v>
      </c>
      <c r="Q14173" s="5">
        <v>67</v>
      </c>
      <c r="R14173" s="5">
        <v>8</v>
      </c>
      <c r="S14173" s="5">
        <v>63</v>
      </c>
    </row>
    <row r="14174" spans="1:19" ht="28" x14ac:dyDescent="0.15">
      <c r="A14174" s="2">
        <f>HYPERLINK("https://open-school.uspishnemisto.com.ua/school/680270/", 680270)</f>
        <v>680270</v>
      </c>
      <c r="B14174" s="3" t="s">
        <v>71468</v>
      </c>
      <c r="C14174" s="3" t="s">
        <v>31</v>
      </c>
      <c r="D14174" s="3" t="s">
        <v>32</v>
      </c>
      <c r="E14174" s="4" t="s">
        <v>22</v>
      </c>
      <c r="F14174" s="4" t="s">
        <v>71469</v>
      </c>
      <c r="G14174" s="4" t="s">
        <v>71470</v>
      </c>
      <c r="H14174" s="3" t="s">
        <v>70238</v>
      </c>
      <c r="I14174" s="3" t="s">
        <v>1694</v>
      </c>
      <c r="J14174" s="3" t="s">
        <v>2601</v>
      </c>
      <c r="K14174" s="3" t="s">
        <v>71471</v>
      </c>
      <c r="L14174" s="3" t="s">
        <v>71472</v>
      </c>
      <c r="M14174" s="4"/>
      <c r="N14174" s="3" t="s">
        <v>37</v>
      </c>
      <c r="O14174" s="3" t="s">
        <v>46</v>
      </c>
      <c r="P14174" s="5">
        <v>11</v>
      </c>
      <c r="Q14174" s="5">
        <v>145</v>
      </c>
      <c r="R14174" s="5">
        <v>11</v>
      </c>
      <c r="S14174" s="5">
        <v>152</v>
      </c>
    </row>
    <row r="14175" spans="1:19" ht="28" x14ac:dyDescent="0.15">
      <c r="A14175" s="2">
        <f>HYPERLINK("https://open-school.uspishnemisto.com.ua/school/680271/", 680271)</f>
        <v>680271</v>
      </c>
      <c r="B14175" s="3" t="s">
        <v>71473</v>
      </c>
      <c r="C14175" s="3" t="s">
        <v>31</v>
      </c>
      <c r="D14175" s="3" t="s">
        <v>175</v>
      </c>
      <c r="E14175" s="4" t="s">
        <v>22</v>
      </c>
      <c r="F14175" s="4" t="s">
        <v>71474</v>
      </c>
      <c r="G14175" s="4" t="s">
        <v>71475</v>
      </c>
      <c r="H14175" s="3" t="s">
        <v>70238</v>
      </c>
      <c r="I14175" s="3" t="s">
        <v>71476</v>
      </c>
      <c r="J14175" s="3" t="s">
        <v>71477</v>
      </c>
      <c r="K14175" s="3"/>
      <c r="L14175" s="3"/>
      <c r="M14175" s="4"/>
      <c r="N14175" s="3" t="s">
        <v>37</v>
      </c>
      <c r="O14175" s="3" t="s">
        <v>52</v>
      </c>
      <c r="P14175" s="5">
        <v>9</v>
      </c>
      <c r="Q14175" s="5">
        <v>102</v>
      </c>
      <c r="R14175" s="5">
        <v>9</v>
      </c>
      <c r="S14175" s="5">
        <v>111</v>
      </c>
    </row>
    <row r="14176" spans="1:19" ht="28" x14ac:dyDescent="0.15">
      <c r="A14176" s="2">
        <f>HYPERLINK("https://open-school.uspishnemisto.com.ua/school/680272/", 680272)</f>
        <v>680272</v>
      </c>
      <c r="B14176" s="3" t="s">
        <v>71478</v>
      </c>
      <c r="C14176" s="3" t="s">
        <v>31</v>
      </c>
      <c r="D14176" s="3" t="s">
        <v>32</v>
      </c>
      <c r="E14176" s="4" t="s">
        <v>22</v>
      </c>
      <c r="F14176" s="4" t="s">
        <v>71479</v>
      </c>
      <c r="G14176" s="4" t="s">
        <v>71480</v>
      </c>
      <c r="H14176" s="3" t="s">
        <v>70238</v>
      </c>
      <c r="I14176" s="3" t="s">
        <v>30317</v>
      </c>
      <c r="J14176" s="3" t="s">
        <v>946</v>
      </c>
      <c r="K14176" s="3" t="s">
        <v>71481</v>
      </c>
      <c r="L14176" s="3" t="s">
        <v>71482</v>
      </c>
      <c r="M14176" s="4"/>
      <c r="N14176" s="3" t="s">
        <v>37</v>
      </c>
      <c r="O14176" s="3" t="s">
        <v>618</v>
      </c>
      <c r="P14176" s="5">
        <v>8</v>
      </c>
      <c r="Q14176" s="5">
        <v>65</v>
      </c>
      <c r="R14176" s="5">
        <v>8</v>
      </c>
      <c r="S14176" s="5">
        <v>66</v>
      </c>
    </row>
    <row r="14177" spans="1:19" ht="42" x14ac:dyDescent="0.15">
      <c r="A14177" s="2">
        <f>HYPERLINK("https://open-school.uspishnemisto.com.ua/school/680273/", 680273)</f>
        <v>680273</v>
      </c>
      <c r="B14177" s="3" t="s">
        <v>71483</v>
      </c>
      <c r="C14177" s="3" t="s">
        <v>31</v>
      </c>
      <c r="D14177" s="3" t="s">
        <v>32</v>
      </c>
      <c r="E14177" s="4" t="s">
        <v>22</v>
      </c>
      <c r="F14177" s="4" t="s">
        <v>71484</v>
      </c>
      <c r="G14177" s="4" t="s">
        <v>71485</v>
      </c>
      <c r="H14177" s="3" t="s">
        <v>70238</v>
      </c>
      <c r="I14177" s="3" t="s">
        <v>71486</v>
      </c>
      <c r="J14177" s="3" t="s">
        <v>48579</v>
      </c>
      <c r="K14177" s="3" t="s">
        <v>71487</v>
      </c>
      <c r="L14177" s="3" t="s">
        <v>71488</v>
      </c>
      <c r="M14177" s="4"/>
      <c r="N14177" s="3" t="s">
        <v>37</v>
      </c>
      <c r="O14177" s="3" t="s">
        <v>46</v>
      </c>
      <c r="P14177" s="5">
        <v>12</v>
      </c>
      <c r="Q14177" s="5">
        <v>231</v>
      </c>
      <c r="R14177" s="5">
        <v>12</v>
      </c>
      <c r="S14177" s="5">
        <v>227</v>
      </c>
    </row>
    <row r="14178" spans="1:19" ht="42" x14ac:dyDescent="0.15">
      <c r="A14178" s="2">
        <f>HYPERLINK("https://open-school.uspishnemisto.com.ua/school/680274/", 680274)</f>
        <v>680274</v>
      </c>
      <c r="B14178" s="3" t="s">
        <v>71489</v>
      </c>
      <c r="C14178" s="3" t="s">
        <v>31</v>
      </c>
      <c r="D14178" s="3" t="s">
        <v>175</v>
      </c>
      <c r="E14178" s="4" t="s">
        <v>22</v>
      </c>
      <c r="F14178" s="4" t="s">
        <v>71490</v>
      </c>
      <c r="G14178" s="4" t="s">
        <v>71491</v>
      </c>
      <c r="H14178" s="3" t="s">
        <v>70238</v>
      </c>
      <c r="I14178" s="3" t="s">
        <v>71492</v>
      </c>
      <c r="J14178" s="3" t="s">
        <v>71493</v>
      </c>
      <c r="K14178" s="3" t="s">
        <v>71494</v>
      </c>
      <c r="L14178" s="3" t="s">
        <v>71495</v>
      </c>
      <c r="M14178" s="4"/>
      <c r="N14178" s="3" t="s">
        <v>37</v>
      </c>
      <c r="O14178" s="3" t="s">
        <v>38</v>
      </c>
      <c r="P14178" s="5">
        <v>9</v>
      </c>
      <c r="Q14178" s="5">
        <v>83</v>
      </c>
      <c r="R14178" s="5">
        <v>8</v>
      </c>
      <c r="S14178" s="5">
        <v>78</v>
      </c>
    </row>
    <row r="14179" spans="1:19" ht="56" x14ac:dyDescent="0.15">
      <c r="A14179" s="2">
        <f>HYPERLINK("https://open-school.uspishnemisto.com.ua/school/680275/", 680275)</f>
        <v>680275</v>
      </c>
      <c r="B14179" s="3" t="s">
        <v>71496</v>
      </c>
      <c r="C14179" s="3" t="s">
        <v>31</v>
      </c>
      <c r="D14179" s="3" t="s">
        <v>32</v>
      </c>
      <c r="E14179" s="4" t="s">
        <v>22</v>
      </c>
      <c r="F14179" s="4" t="s">
        <v>71484</v>
      </c>
      <c r="G14179" s="4" t="s">
        <v>71497</v>
      </c>
      <c r="H14179" s="3" t="s">
        <v>70238</v>
      </c>
      <c r="I14179" s="3" t="s">
        <v>71498</v>
      </c>
      <c r="J14179" s="3" t="s">
        <v>71499</v>
      </c>
      <c r="K14179" s="3"/>
      <c r="L14179" s="3" t="s">
        <v>71500</v>
      </c>
      <c r="M14179" s="4"/>
      <c r="N14179" s="3" t="s">
        <v>37</v>
      </c>
      <c r="O14179" s="3" t="s">
        <v>46</v>
      </c>
      <c r="P14179" s="5">
        <v>11</v>
      </c>
      <c r="Q14179" s="5">
        <v>193</v>
      </c>
      <c r="R14179" s="5">
        <v>11</v>
      </c>
      <c r="S14179" s="5">
        <v>205</v>
      </c>
    </row>
    <row r="14180" spans="1:19" ht="56" x14ac:dyDescent="0.15">
      <c r="A14180" s="2">
        <f>HYPERLINK("https://open-school.uspishnemisto.com.ua/school/680276/", 680276)</f>
        <v>680276</v>
      </c>
      <c r="B14180" s="3" t="s">
        <v>71501</v>
      </c>
      <c r="C14180" s="3" t="s">
        <v>31</v>
      </c>
      <c r="D14180" s="3" t="s">
        <v>175</v>
      </c>
      <c r="E14180" s="4" t="s">
        <v>22</v>
      </c>
      <c r="F14180" s="4" t="s">
        <v>71502</v>
      </c>
      <c r="G14180" s="4" t="s">
        <v>71503</v>
      </c>
      <c r="H14180" s="3" t="s">
        <v>70238</v>
      </c>
      <c r="I14180" s="3" t="s">
        <v>71504</v>
      </c>
      <c r="J14180" s="3" t="s">
        <v>71505</v>
      </c>
      <c r="K14180" s="3" t="s">
        <v>71506</v>
      </c>
      <c r="L14180" s="3"/>
      <c r="M14180" s="4"/>
      <c r="N14180" s="3" t="s">
        <v>37</v>
      </c>
      <c r="O14180" s="3" t="s">
        <v>38</v>
      </c>
      <c r="P14180" s="5">
        <v>4</v>
      </c>
      <c r="Q14180" s="5">
        <v>43</v>
      </c>
      <c r="R14180" s="5">
        <v>4</v>
      </c>
      <c r="S14180" s="5">
        <v>40</v>
      </c>
    </row>
    <row r="14181" spans="1:19" ht="42" x14ac:dyDescent="0.15">
      <c r="A14181" s="2">
        <f>HYPERLINK("https://open-school.uspishnemisto.com.ua/school/680277/", 680277)</f>
        <v>680277</v>
      </c>
      <c r="B14181" s="3" t="s">
        <v>71507</v>
      </c>
      <c r="C14181" s="3" t="s">
        <v>54</v>
      </c>
      <c r="D14181" s="3" t="s">
        <v>175</v>
      </c>
      <c r="E14181" s="4" t="s">
        <v>22</v>
      </c>
      <c r="F14181" s="4" t="s">
        <v>71508</v>
      </c>
      <c r="G14181" s="4" t="s">
        <v>71509</v>
      </c>
      <c r="H14181" s="3" t="s">
        <v>70238</v>
      </c>
      <c r="I14181" s="3" t="s">
        <v>71510</v>
      </c>
      <c r="J14181" s="3" t="s">
        <v>71511</v>
      </c>
      <c r="K14181" s="3" t="s">
        <v>71512</v>
      </c>
      <c r="L14181" s="3" t="s">
        <v>71513</v>
      </c>
      <c r="M14181" s="4"/>
      <c r="N14181" s="3" t="s">
        <v>37</v>
      </c>
      <c r="O14181" s="3" t="s">
        <v>112</v>
      </c>
      <c r="P14181" s="5">
        <v>5</v>
      </c>
      <c r="Q14181" s="5">
        <v>41</v>
      </c>
      <c r="R14181" s="5">
        <v>5</v>
      </c>
      <c r="S14181" s="5">
        <v>46</v>
      </c>
    </row>
    <row r="14182" spans="1:19" ht="28" x14ac:dyDescent="0.15">
      <c r="A14182" s="2">
        <f>HYPERLINK("https://open-school.uspishnemisto.com.ua/school/680278/", 680278)</f>
        <v>680278</v>
      </c>
      <c r="B14182" s="3" t="s">
        <v>71514</v>
      </c>
      <c r="C14182" s="3" t="s">
        <v>31</v>
      </c>
      <c r="D14182" s="3" t="s">
        <v>32</v>
      </c>
      <c r="E14182" s="4" t="s">
        <v>22</v>
      </c>
      <c r="F14182" s="4" t="s">
        <v>71515</v>
      </c>
      <c r="G14182" s="4" t="s">
        <v>71516</v>
      </c>
      <c r="H14182" s="3" t="s">
        <v>70238</v>
      </c>
      <c r="I14182" s="3" t="s">
        <v>71517</v>
      </c>
      <c r="J14182" s="3" t="s">
        <v>71518</v>
      </c>
      <c r="K14182" s="3" t="s">
        <v>71519</v>
      </c>
      <c r="L14182" s="3" t="s">
        <v>71520</v>
      </c>
      <c r="M14182" s="4" t="s">
        <v>71521</v>
      </c>
      <c r="N14182" s="3" t="s">
        <v>37</v>
      </c>
      <c r="O14182" s="3" t="s">
        <v>46</v>
      </c>
      <c r="P14182" s="5">
        <v>11</v>
      </c>
      <c r="Q14182" s="5">
        <v>143</v>
      </c>
      <c r="R14182" s="5">
        <v>11</v>
      </c>
      <c r="S14182" s="5">
        <v>147</v>
      </c>
    </row>
    <row r="14183" spans="1:19" ht="56" x14ac:dyDescent="0.15">
      <c r="A14183" s="2">
        <f>HYPERLINK("https://open-school.uspishnemisto.com.ua/school/680279/", 680279)</f>
        <v>680279</v>
      </c>
      <c r="B14183" s="3" t="s">
        <v>71522</v>
      </c>
      <c r="C14183" s="3" t="s">
        <v>54</v>
      </c>
      <c r="D14183" s="3" t="s">
        <v>175</v>
      </c>
      <c r="E14183" s="4" t="s">
        <v>22</v>
      </c>
      <c r="F14183" s="4" t="s">
        <v>71523</v>
      </c>
      <c r="G14183" s="4" t="s">
        <v>71524</v>
      </c>
      <c r="H14183" s="3" t="s">
        <v>70238</v>
      </c>
      <c r="I14183" s="3" t="s">
        <v>688</v>
      </c>
      <c r="J14183" s="3" t="s">
        <v>7871</v>
      </c>
      <c r="K14183" s="3"/>
      <c r="L14183" s="3"/>
      <c r="M14183" s="4"/>
      <c r="N14183" s="3" t="s">
        <v>37</v>
      </c>
      <c r="O14183" s="3" t="s">
        <v>46</v>
      </c>
      <c r="P14183" s="5">
        <v>4</v>
      </c>
      <c r="Q14183" s="5">
        <v>41</v>
      </c>
      <c r="R14183" s="5">
        <v>4</v>
      </c>
      <c r="S14183" s="5">
        <v>42</v>
      </c>
    </row>
    <row r="14184" spans="1:19" ht="28" x14ac:dyDescent="0.15">
      <c r="A14184" s="2">
        <f>HYPERLINK("https://open-school.uspishnemisto.com.ua/school/680280/", 680280)</f>
        <v>680280</v>
      </c>
      <c r="B14184" s="3" t="s">
        <v>71525</v>
      </c>
      <c r="C14184" s="3" t="s">
        <v>31</v>
      </c>
      <c r="D14184" s="3" t="s">
        <v>175</v>
      </c>
      <c r="E14184" s="4" t="s">
        <v>22</v>
      </c>
      <c r="F14184" s="4" t="s">
        <v>71526</v>
      </c>
      <c r="G14184" s="4" t="s">
        <v>71527</v>
      </c>
      <c r="H14184" s="3" t="s">
        <v>70238</v>
      </c>
      <c r="I14184" s="3" t="s">
        <v>71528</v>
      </c>
      <c r="J14184" s="3" t="s">
        <v>71529</v>
      </c>
      <c r="K14184" s="3" t="s">
        <v>71530</v>
      </c>
      <c r="L14184" s="3" t="s">
        <v>71531</v>
      </c>
      <c r="M14184" s="4"/>
      <c r="N14184" s="3" t="s">
        <v>37</v>
      </c>
      <c r="O14184" s="3" t="s">
        <v>38</v>
      </c>
      <c r="P14184" s="5">
        <v>9</v>
      </c>
      <c r="Q14184" s="5">
        <v>102</v>
      </c>
      <c r="R14184" s="5">
        <v>9</v>
      </c>
      <c r="S14184" s="5">
        <v>97</v>
      </c>
    </row>
    <row r="14185" spans="1:19" ht="56" x14ac:dyDescent="0.15">
      <c r="A14185" s="2">
        <f>HYPERLINK("https://open-school.uspishnemisto.com.ua/school/680281/", 680281)</f>
        <v>680281</v>
      </c>
      <c r="B14185" s="3" t="s">
        <v>71532</v>
      </c>
      <c r="C14185" s="3" t="s">
        <v>31</v>
      </c>
      <c r="D14185" s="3" t="s">
        <v>32</v>
      </c>
      <c r="E14185" s="4" t="s">
        <v>22</v>
      </c>
      <c r="F14185" s="4" t="s">
        <v>71533</v>
      </c>
      <c r="G14185" s="4" t="s">
        <v>71534</v>
      </c>
      <c r="H14185" s="3" t="s">
        <v>70238</v>
      </c>
      <c r="I14185" s="3" t="s">
        <v>71535</v>
      </c>
      <c r="J14185" s="3" t="s">
        <v>17319</v>
      </c>
      <c r="K14185" s="3" t="s">
        <v>71536</v>
      </c>
      <c r="L14185" s="3"/>
      <c r="M14185" s="4"/>
      <c r="N14185" s="3" t="s">
        <v>37</v>
      </c>
      <c r="O14185" s="3" t="s">
        <v>38</v>
      </c>
      <c r="P14185" s="5">
        <v>9</v>
      </c>
      <c r="Q14185" s="5">
        <v>67</v>
      </c>
      <c r="R14185" s="5">
        <v>10</v>
      </c>
      <c r="S14185" s="5">
        <v>76</v>
      </c>
    </row>
    <row r="14186" spans="1:19" ht="28" x14ac:dyDescent="0.15">
      <c r="A14186" s="2">
        <f>HYPERLINK("https://open-school.uspishnemisto.com.ua/school/680282/", 680282)</f>
        <v>680282</v>
      </c>
      <c r="B14186" s="3" t="s">
        <v>71537</v>
      </c>
      <c r="C14186" s="3" t="s">
        <v>31</v>
      </c>
      <c r="D14186" s="3" t="s">
        <v>32</v>
      </c>
      <c r="E14186" s="4" t="s">
        <v>22</v>
      </c>
      <c r="F14186" s="4" t="s">
        <v>71538</v>
      </c>
      <c r="G14186" s="4" t="s">
        <v>71539</v>
      </c>
      <c r="H14186" s="3" t="s">
        <v>70238</v>
      </c>
      <c r="I14186" s="3" t="s">
        <v>61982</v>
      </c>
      <c r="J14186" s="3" t="s">
        <v>3146</v>
      </c>
      <c r="K14186" s="3" t="s">
        <v>71540</v>
      </c>
      <c r="L14186" s="3" t="s">
        <v>71541</v>
      </c>
      <c r="M14186" s="4"/>
      <c r="N14186" s="3" t="s">
        <v>37</v>
      </c>
      <c r="O14186" s="3" t="s">
        <v>46</v>
      </c>
      <c r="P14186" s="5">
        <v>11</v>
      </c>
      <c r="Q14186" s="5">
        <v>110</v>
      </c>
      <c r="R14186" s="5">
        <v>11</v>
      </c>
      <c r="S14186" s="5">
        <v>114</v>
      </c>
    </row>
    <row r="14187" spans="1:19" ht="42" x14ac:dyDescent="0.15">
      <c r="A14187" s="2">
        <f>HYPERLINK("https://open-school.uspishnemisto.com.ua/school/680283/", 680283)</f>
        <v>680283</v>
      </c>
      <c r="B14187" s="3" t="s">
        <v>71542</v>
      </c>
      <c r="C14187" s="3" t="s">
        <v>31</v>
      </c>
      <c r="D14187" s="3" t="s">
        <v>32</v>
      </c>
      <c r="E14187" s="4" t="s">
        <v>22</v>
      </c>
      <c r="F14187" s="4" t="s">
        <v>71543</v>
      </c>
      <c r="G14187" s="4" t="s">
        <v>71544</v>
      </c>
      <c r="H14187" s="3" t="s">
        <v>70238</v>
      </c>
      <c r="I14187" s="3" t="s">
        <v>71545</v>
      </c>
      <c r="J14187" s="3" t="s">
        <v>447</v>
      </c>
      <c r="K14187" s="3" t="s">
        <v>71546</v>
      </c>
      <c r="L14187" s="3" t="s">
        <v>71547</v>
      </c>
      <c r="M14187" s="4"/>
      <c r="N14187" s="3" t="s">
        <v>37</v>
      </c>
      <c r="O14187" s="3" t="s">
        <v>46</v>
      </c>
      <c r="P14187" s="5">
        <v>8</v>
      </c>
      <c r="Q14187" s="5">
        <v>63</v>
      </c>
      <c r="R14187" s="5">
        <v>9</v>
      </c>
      <c r="S14187" s="5">
        <v>71</v>
      </c>
    </row>
    <row r="14188" spans="1:19" ht="56" x14ac:dyDescent="0.15">
      <c r="A14188" s="2">
        <f>HYPERLINK("https://open-school.uspishnemisto.com.ua/school/680284/", 680284)</f>
        <v>680284</v>
      </c>
      <c r="B14188" s="3" t="s">
        <v>71548</v>
      </c>
      <c r="C14188" s="3" t="s">
        <v>54</v>
      </c>
      <c r="D14188" s="3" t="s">
        <v>60</v>
      </c>
      <c r="E14188" s="4" t="s">
        <v>22</v>
      </c>
      <c r="F14188" s="4" t="s">
        <v>71549</v>
      </c>
      <c r="G14188" s="4" t="s">
        <v>71550</v>
      </c>
      <c r="H14188" s="3" t="s">
        <v>70238</v>
      </c>
      <c r="I14188" s="3" t="s">
        <v>71551</v>
      </c>
      <c r="J14188" s="3" t="s">
        <v>71552</v>
      </c>
      <c r="K14188" s="3" t="s">
        <v>71553</v>
      </c>
      <c r="L14188" s="3"/>
      <c r="M14188" s="4"/>
      <c r="N14188" s="3" t="s">
        <v>37</v>
      </c>
      <c r="O14188" s="3" t="s">
        <v>52</v>
      </c>
      <c r="P14188" s="5">
        <v>2</v>
      </c>
      <c r="Q14188" s="5">
        <v>10</v>
      </c>
      <c r="R14188" s="5">
        <v>1</v>
      </c>
      <c r="S14188" s="5">
        <v>5</v>
      </c>
    </row>
    <row r="14189" spans="1:19" ht="42" x14ac:dyDescent="0.15">
      <c r="A14189" s="2">
        <f>HYPERLINK("https://open-school.uspishnemisto.com.ua/school/680285/", 680285)</f>
        <v>680285</v>
      </c>
      <c r="B14189" s="3" t="s">
        <v>71554</v>
      </c>
      <c r="C14189" s="3" t="s">
        <v>54</v>
      </c>
      <c r="D14189" s="3" t="s">
        <v>32</v>
      </c>
      <c r="E14189" s="4" t="s">
        <v>22</v>
      </c>
      <c r="F14189" s="4" t="s">
        <v>71555</v>
      </c>
      <c r="G14189" s="4" t="s">
        <v>71556</v>
      </c>
      <c r="H14189" s="3" t="s">
        <v>70238</v>
      </c>
      <c r="I14189" s="3" t="s">
        <v>1265</v>
      </c>
      <c r="J14189" s="3" t="s">
        <v>1636</v>
      </c>
      <c r="K14189" s="3" t="s">
        <v>71557</v>
      </c>
      <c r="L14189" s="3" t="s">
        <v>71558</v>
      </c>
      <c r="M14189" s="4" t="s">
        <v>71559</v>
      </c>
      <c r="N14189" s="3" t="s">
        <v>37</v>
      </c>
      <c r="O14189" s="3" t="s">
        <v>46</v>
      </c>
      <c r="P14189" s="5">
        <v>10</v>
      </c>
      <c r="Q14189" s="5">
        <v>69</v>
      </c>
      <c r="R14189" s="5">
        <v>10</v>
      </c>
      <c r="S14189" s="5">
        <v>70</v>
      </c>
    </row>
    <row r="14190" spans="1:19" ht="28" x14ac:dyDescent="0.15">
      <c r="A14190" s="2">
        <f>HYPERLINK("https://open-school.uspishnemisto.com.ua/school/680286/", 680286)</f>
        <v>680286</v>
      </c>
      <c r="B14190" s="3" t="s">
        <v>71560</v>
      </c>
      <c r="C14190" s="3" t="s">
        <v>31</v>
      </c>
      <c r="D14190" s="3" t="s">
        <v>175</v>
      </c>
      <c r="E14190" s="4" t="s">
        <v>22</v>
      </c>
      <c r="F14190" s="4" t="s">
        <v>71561</v>
      </c>
      <c r="G14190" s="4" t="s">
        <v>71562</v>
      </c>
      <c r="H14190" s="3" t="s">
        <v>70238</v>
      </c>
      <c r="I14190" s="3" t="s">
        <v>6991</v>
      </c>
      <c r="J14190" s="3" t="s">
        <v>71563</v>
      </c>
      <c r="K14190" s="3"/>
      <c r="L14190" s="3"/>
      <c r="M14190" s="4"/>
      <c r="N14190" s="3" t="s">
        <v>37</v>
      </c>
      <c r="O14190" s="3" t="s">
        <v>46</v>
      </c>
      <c r="P14190" s="5">
        <v>6</v>
      </c>
      <c r="Q14190" s="5">
        <v>51</v>
      </c>
      <c r="R14190" s="5">
        <v>7</v>
      </c>
      <c r="S14190" s="5">
        <v>56</v>
      </c>
    </row>
    <row r="14191" spans="1:19" ht="28" x14ac:dyDescent="0.15">
      <c r="A14191" s="2">
        <f>HYPERLINK("https://open-school.uspishnemisto.com.ua/school/680287/", 680287)</f>
        <v>680287</v>
      </c>
      <c r="B14191" s="3" t="s">
        <v>71564</v>
      </c>
      <c r="C14191" s="3" t="s">
        <v>54</v>
      </c>
      <c r="D14191" s="3" t="s">
        <v>175</v>
      </c>
      <c r="E14191" s="4" t="s">
        <v>22</v>
      </c>
      <c r="F14191" s="4" t="s">
        <v>71565</v>
      </c>
      <c r="G14191" s="4" t="s">
        <v>71566</v>
      </c>
      <c r="H14191" s="3" t="s">
        <v>70238</v>
      </c>
      <c r="I14191" s="3" t="s">
        <v>71567</v>
      </c>
      <c r="J14191" s="3" t="s">
        <v>25678</v>
      </c>
      <c r="K14191" s="3" t="s">
        <v>71568</v>
      </c>
      <c r="L14191" s="3" t="s">
        <v>71569</v>
      </c>
      <c r="M14191" s="4"/>
      <c r="N14191" s="3" t="s">
        <v>37</v>
      </c>
      <c r="O14191" s="3" t="s">
        <v>52</v>
      </c>
      <c r="P14191" s="5">
        <v>7</v>
      </c>
      <c r="Q14191" s="5">
        <v>62</v>
      </c>
      <c r="R14191" s="5">
        <v>8</v>
      </c>
      <c r="S14191" s="5">
        <v>69</v>
      </c>
    </row>
    <row r="14192" spans="1:19" ht="42" x14ac:dyDescent="0.15">
      <c r="A14192" s="2">
        <f>HYPERLINK("https://open-school.uspishnemisto.com.ua/school/680288/", 680288)</f>
        <v>680288</v>
      </c>
      <c r="B14192" s="3" t="s">
        <v>71570</v>
      </c>
      <c r="C14192" s="3" t="s">
        <v>54</v>
      </c>
      <c r="D14192" s="3" t="s">
        <v>60</v>
      </c>
      <c r="E14192" s="4" t="s">
        <v>22</v>
      </c>
      <c r="F14192" s="4" t="s">
        <v>71479</v>
      </c>
      <c r="G14192" s="4" t="s">
        <v>71571</v>
      </c>
      <c r="H14192" s="3" t="s">
        <v>70238</v>
      </c>
      <c r="I14192" s="3" t="s">
        <v>2920</v>
      </c>
      <c r="J14192" s="3" t="s">
        <v>3363</v>
      </c>
      <c r="K14192" s="3" t="s">
        <v>71572</v>
      </c>
      <c r="L14192" s="3" t="s">
        <v>71573</v>
      </c>
      <c r="M14192" s="4"/>
      <c r="N14192" s="3" t="s">
        <v>37</v>
      </c>
      <c r="O14192" s="3" t="s">
        <v>618</v>
      </c>
      <c r="P14192" s="5">
        <v>0</v>
      </c>
      <c r="Q14192" s="5">
        <v>6</v>
      </c>
      <c r="R14192" s="5">
        <v>2</v>
      </c>
      <c r="S14192" s="5">
        <v>27</v>
      </c>
    </row>
    <row r="14193" spans="1:19" ht="42" x14ac:dyDescent="0.15">
      <c r="A14193" s="2">
        <f>HYPERLINK("https://open-school.uspishnemisto.com.ua/school/680289/", 680289)</f>
        <v>680289</v>
      </c>
      <c r="B14193" s="3" t="s">
        <v>71574</v>
      </c>
      <c r="C14193" s="3" t="s">
        <v>54</v>
      </c>
      <c r="D14193" s="3" t="s">
        <v>175</v>
      </c>
      <c r="E14193" s="4" t="s">
        <v>22</v>
      </c>
      <c r="F14193" s="4" t="s">
        <v>71575</v>
      </c>
      <c r="G14193" s="4" t="s">
        <v>71576</v>
      </c>
      <c r="H14193" s="3" t="s">
        <v>70238</v>
      </c>
      <c r="I14193" s="3" t="s">
        <v>17169</v>
      </c>
      <c r="J14193" s="3" t="s">
        <v>946</v>
      </c>
      <c r="K14193" s="3" t="s">
        <v>71577</v>
      </c>
      <c r="L14193" s="3"/>
      <c r="M14193" s="4"/>
      <c r="N14193" s="3" t="s">
        <v>37</v>
      </c>
      <c r="O14193" s="3" t="s">
        <v>46</v>
      </c>
      <c r="P14193" s="5">
        <v>4</v>
      </c>
      <c r="Q14193" s="5">
        <v>32</v>
      </c>
      <c r="R14193" s="5">
        <v>5</v>
      </c>
      <c r="S14193" s="5">
        <v>41</v>
      </c>
    </row>
    <row r="14194" spans="1:19" ht="56" x14ac:dyDescent="0.15">
      <c r="A14194" s="2">
        <f>HYPERLINK("https://open-school.uspishnemisto.com.ua/school/680290/", 680290)</f>
        <v>680290</v>
      </c>
      <c r="B14194" s="3" t="s">
        <v>71578</v>
      </c>
      <c r="C14194" s="3" t="s">
        <v>54</v>
      </c>
      <c r="D14194" s="3" t="s">
        <v>175</v>
      </c>
      <c r="E14194" s="4" t="s">
        <v>22</v>
      </c>
      <c r="F14194" s="4" t="s">
        <v>71579</v>
      </c>
      <c r="G14194" s="4" t="s">
        <v>71580</v>
      </c>
      <c r="H14194" s="3" t="s">
        <v>70238</v>
      </c>
      <c r="I14194" s="3" t="s">
        <v>8236</v>
      </c>
      <c r="J14194" s="3" t="s">
        <v>71581</v>
      </c>
      <c r="K14194" s="3" t="s">
        <v>71582</v>
      </c>
      <c r="L14194" s="3" t="s">
        <v>71583</v>
      </c>
      <c r="M14194" s="4"/>
      <c r="N14194" s="3" t="s">
        <v>37</v>
      </c>
      <c r="O14194" s="3" t="s">
        <v>70</v>
      </c>
      <c r="P14194" s="5">
        <v>8</v>
      </c>
      <c r="Q14194" s="5">
        <v>67</v>
      </c>
      <c r="R14194" s="5">
        <v>9</v>
      </c>
      <c r="S14194" s="5">
        <v>65</v>
      </c>
    </row>
    <row r="14195" spans="1:19" ht="28" x14ac:dyDescent="0.15">
      <c r="A14195" s="2">
        <f>HYPERLINK("https://open-school.uspishnemisto.com.ua/school/680291/", 680291)</f>
        <v>680291</v>
      </c>
      <c r="B14195" s="3" t="s">
        <v>71584</v>
      </c>
      <c r="C14195" s="3" t="s">
        <v>31</v>
      </c>
      <c r="D14195" s="3" t="s">
        <v>32</v>
      </c>
      <c r="E14195" s="4" t="s">
        <v>22</v>
      </c>
      <c r="F14195" s="4" t="s">
        <v>71585</v>
      </c>
      <c r="G14195" s="4" t="s">
        <v>71586</v>
      </c>
      <c r="H14195" s="3" t="s">
        <v>70238</v>
      </c>
      <c r="I14195" s="3" t="s">
        <v>34237</v>
      </c>
      <c r="J14195" s="3" t="s">
        <v>12702</v>
      </c>
      <c r="K14195" s="3" t="s">
        <v>71587</v>
      </c>
      <c r="L14195" s="3" t="s">
        <v>71588</v>
      </c>
      <c r="M14195" s="4"/>
      <c r="N14195" s="3" t="s">
        <v>37</v>
      </c>
      <c r="O14195" s="3" t="s">
        <v>46</v>
      </c>
      <c r="P14195" s="5">
        <v>11</v>
      </c>
      <c r="Q14195" s="5">
        <v>106</v>
      </c>
      <c r="R14195" s="5">
        <v>11</v>
      </c>
      <c r="S14195" s="5">
        <v>117</v>
      </c>
    </row>
    <row r="14196" spans="1:19" ht="28" x14ac:dyDescent="0.15">
      <c r="A14196" s="2">
        <f>HYPERLINK("https://open-school.uspishnemisto.com.ua/school/680292/", 680292)</f>
        <v>680292</v>
      </c>
      <c r="B14196" s="3" t="s">
        <v>71589</v>
      </c>
      <c r="C14196" s="3" t="s">
        <v>31</v>
      </c>
      <c r="D14196" s="3" t="s">
        <v>32</v>
      </c>
      <c r="E14196" s="4" t="s">
        <v>22</v>
      </c>
      <c r="F14196" s="4" t="s">
        <v>71590</v>
      </c>
      <c r="G14196" s="4" t="s">
        <v>71591</v>
      </c>
      <c r="H14196" s="3" t="s">
        <v>70238</v>
      </c>
      <c r="I14196" s="3" t="s">
        <v>71592</v>
      </c>
      <c r="J14196" s="3" t="s">
        <v>28925</v>
      </c>
      <c r="K14196" s="3" t="s">
        <v>71593</v>
      </c>
      <c r="L14196" s="3"/>
      <c r="M14196" s="4" t="s">
        <v>71594</v>
      </c>
      <c r="N14196" s="3" t="s">
        <v>37</v>
      </c>
      <c r="O14196" s="3" t="s">
        <v>112</v>
      </c>
      <c r="P14196" s="5">
        <v>10</v>
      </c>
      <c r="Q14196" s="5">
        <v>100</v>
      </c>
      <c r="R14196" s="5">
        <v>11</v>
      </c>
      <c r="S14196" s="5">
        <v>107</v>
      </c>
    </row>
    <row r="14197" spans="1:19" ht="28" x14ac:dyDescent="0.15">
      <c r="A14197" s="2">
        <f>HYPERLINK("https://open-school.uspishnemisto.com.ua/school/680293/", 680293)</f>
        <v>680293</v>
      </c>
      <c r="B14197" s="3" t="s">
        <v>71595</v>
      </c>
      <c r="C14197" s="3" t="s">
        <v>31</v>
      </c>
      <c r="D14197" s="3" t="s">
        <v>32</v>
      </c>
      <c r="E14197" s="4" t="s">
        <v>22</v>
      </c>
      <c r="F14197" s="4" t="s">
        <v>71596</v>
      </c>
      <c r="G14197" s="4" t="s">
        <v>71597</v>
      </c>
      <c r="H14197" s="3" t="s">
        <v>70238</v>
      </c>
      <c r="I14197" s="3" t="s">
        <v>71598</v>
      </c>
      <c r="J14197" s="3" t="s">
        <v>71599</v>
      </c>
      <c r="K14197" s="3" t="s">
        <v>71600</v>
      </c>
      <c r="L14197" s="3"/>
      <c r="M14197" s="4"/>
      <c r="N14197" s="3" t="s">
        <v>37</v>
      </c>
      <c r="O14197" s="3" t="s">
        <v>38</v>
      </c>
      <c r="P14197" s="5">
        <v>11</v>
      </c>
      <c r="Q14197" s="5">
        <v>102</v>
      </c>
      <c r="R14197" s="5">
        <v>10</v>
      </c>
      <c r="S14197" s="5">
        <v>100</v>
      </c>
    </row>
    <row r="14198" spans="1:19" ht="42" x14ac:dyDescent="0.15">
      <c r="A14198" s="2">
        <f>HYPERLINK("https://open-school.uspishnemisto.com.ua/school/680294/", 680294)</f>
        <v>680294</v>
      </c>
      <c r="B14198" s="3" t="s">
        <v>71601</v>
      </c>
      <c r="C14198" s="3" t="s">
        <v>31</v>
      </c>
      <c r="D14198" s="3" t="s">
        <v>175</v>
      </c>
      <c r="E14198" s="4" t="s">
        <v>22</v>
      </c>
      <c r="F14198" s="4" t="s">
        <v>71602</v>
      </c>
      <c r="G14198" s="4" t="s">
        <v>71603</v>
      </c>
      <c r="H14198" s="3" t="s">
        <v>70238</v>
      </c>
      <c r="I14198" s="3" t="s">
        <v>4374</v>
      </c>
      <c r="J14198" s="3" t="s">
        <v>1192</v>
      </c>
      <c r="K14198" s="3" t="s">
        <v>71604</v>
      </c>
      <c r="L14198" s="3" t="s">
        <v>71605</v>
      </c>
      <c r="M14198" s="4"/>
      <c r="N14198" s="3" t="s">
        <v>37</v>
      </c>
      <c r="O14198" s="3" t="s">
        <v>38</v>
      </c>
      <c r="P14198" s="5">
        <v>9</v>
      </c>
      <c r="Q14198" s="5">
        <v>71</v>
      </c>
      <c r="R14198" s="5">
        <v>0</v>
      </c>
      <c r="S14198" s="5">
        <v>0</v>
      </c>
    </row>
    <row r="14199" spans="1:19" ht="42" x14ac:dyDescent="0.15">
      <c r="A14199" s="2">
        <f>HYPERLINK("https://open-school.uspishnemisto.com.ua/school/680295/", 680295)</f>
        <v>680295</v>
      </c>
      <c r="B14199" s="3" t="s">
        <v>71606</v>
      </c>
      <c r="C14199" s="3" t="s">
        <v>31</v>
      </c>
      <c r="D14199" s="3" t="s">
        <v>175</v>
      </c>
      <c r="E14199" s="4" t="s">
        <v>22</v>
      </c>
      <c r="F14199" s="4" t="s">
        <v>71607</v>
      </c>
      <c r="G14199" s="4" t="s">
        <v>71608</v>
      </c>
      <c r="H14199" s="3" t="s">
        <v>70238</v>
      </c>
      <c r="I14199" s="3" t="s">
        <v>71609</v>
      </c>
      <c r="J14199" s="3" t="s">
        <v>71610</v>
      </c>
      <c r="K14199" s="3" t="s">
        <v>71611</v>
      </c>
      <c r="L14199" s="3"/>
      <c r="M14199" s="4"/>
      <c r="N14199" s="3" t="s">
        <v>37</v>
      </c>
      <c r="O14199" s="3" t="s">
        <v>38</v>
      </c>
      <c r="P14199" s="5">
        <v>9</v>
      </c>
      <c r="Q14199" s="5">
        <v>104</v>
      </c>
      <c r="R14199" s="5">
        <v>9</v>
      </c>
      <c r="S14199" s="5">
        <v>103</v>
      </c>
    </row>
    <row r="14200" spans="1:19" ht="28" x14ac:dyDescent="0.15">
      <c r="A14200" s="2">
        <f>HYPERLINK("https://open-school.uspishnemisto.com.ua/school/680296/", 680296)</f>
        <v>680296</v>
      </c>
      <c r="B14200" s="3" t="s">
        <v>71612</v>
      </c>
      <c r="C14200" s="3" t="s">
        <v>31</v>
      </c>
      <c r="D14200" s="3" t="s">
        <v>32</v>
      </c>
      <c r="E14200" s="4" t="s">
        <v>22</v>
      </c>
      <c r="F14200" s="4" t="s">
        <v>71607</v>
      </c>
      <c r="G14200" s="4" t="s">
        <v>71608</v>
      </c>
      <c r="H14200" s="3" t="s">
        <v>70238</v>
      </c>
      <c r="I14200" s="3" t="s">
        <v>71609</v>
      </c>
      <c r="J14200" s="3" t="s">
        <v>5998</v>
      </c>
      <c r="K14200" s="3" t="s">
        <v>71613</v>
      </c>
      <c r="L14200" s="3" t="s">
        <v>71614</v>
      </c>
      <c r="M14200" s="4"/>
      <c r="N14200" s="3" t="s">
        <v>37</v>
      </c>
      <c r="O14200" s="3" t="s">
        <v>70</v>
      </c>
      <c r="P14200" s="5">
        <v>14</v>
      </c>
      <c r="Q14200" s="5">
        <v>300</v>
      </c>
      <c r="R14200" s="5">
        <v>15</v>
      </c>
      <c r="S14200" s="5">
        <v>318</v>
      </c>
    </row>
    <row r="14201" spans="1:19" ht="28" x14ac:dyDescent="0.15">
      <c r="A14201" s="2">
        <f>HYPERLINK("https://open-school.uspishnemisto.com.ua/school/680297/", 680297)</f>
        <v>680297</v>
      </c>
      <c r="B14201" s="3" t="s">
        <v>71615</v>
      </c>
      <c r="C14201" s="3" t="s">
        <v>181</v>
      </c>
      <c r="D14201" s="3" t="s">
        <v>32</v>
      </c>
      <c r="E14201" s="4" t="s">
        <v>22</v>
      </c>
      <c r="F14201" s="4" t="s">
        <v>71607</v>
      </c>
      <c r="G14201" s="4" t="s">
        <v>71608</v>
      </c>
      <c r="H14201" s="3" t="s">
        <v>70238</v>
      </c>
      <c r="I14201" s="3" t="s">
        <v>71609</v>
      </c>
      <c r="J14201" s="3" t="s">
        <v>71616</v>
      </c>
      <c r="K14201" s="3"/>
      <c r="L14201" s="3"/>
      <c r="M14201" s="4" t="s">
        <v>71617</v>
      </c>
      <c r="N14201" s="3" t="s">
        <v>37</v>
      </c>
      <c r="O14201" s="3" t="s">
        <v>52</v>
      </c>
      <c r="P14201" s="5">
        <v>13</v>
      </c>
      <c r="Q14201" s="5">
        <v>89</v>
      </c>
      <c r="R14201" s="5">
        <v>13</v>
      </c>
      <c r="S14201" s="5">
        <v>91</v>
      </c>
    </row>
    <row r="14202" spans="1:19" ht="42" x14ac:dyDescent="0.15">
      <c r="A14202" s="2">
        <f>HYPERLINK("https://open-school.uspishnemisto.com.ua/school/680298/", 680298)</f>
        <v>680298</v>
      </c>
      <c r="B14202" s="3" t="s">
        <v>71618</v>
      </c>
      <c r="C14202" s="3" t="s">
        <v>54</v>
      </c>
      <c r="D14202" s="3" t="s">
        <v>60</v>
      </c>
      <c r="E14202" s="4" t="s">
        <v>22</v>
      </c>
      <c r="F14202" s="4" t="s">
        <v>71607</v>
      </c>
      <c r="G14202" s="4" t="s">
        <v>71608</v>
      </c>
      <c r="H14202" s="3" t="s">
        <v>70238</v>
      </c>
      <c r="I14202" s="3" t="s">
        <v>71609</v>
      </c>
      <c r="J14202" s="3" t="s">
        <v>71619</v>
      </c>
      <c r="K14202" s="3" t="s">
        <v>71620</v>
      </c>
      <c r="L14202" s="3"/>
      <c r="M14202" s="4" t="s">
        <v>71621</v>
      </c>
      <c r="N14202" s="3" t="s">
        <v>37</v>
      </c>
      <c r="O14202" s="3" t="s">
        <v>52</v>
      </c>
      <c r="P14202" s="5">
        <v>4</v>
      </c>
      <c r="Q14202" s="5">
        <v>54</v>
      </c>
      <c r="R14202" s="5">
        <v>4</v>
      </c>
      <c r="S14202" s="5">
        <v>55</v>
      </c>
    </row>
    <row r="14203" spans="1:19" ht="42" x14ac:dyDescent="0.15">
      <c r="A14203" s="2">
        <f>HYPERLINK("https://open-school.uspishnemisto.com.ua/school/680299/", 680299)</f>
        <v>680299</v>
      </c>
      <c r="B14203" s="3" t="s">
        <v>71622</v>
      </c>
      <c r="C14203" s="3" t="s">
        <v>54</v>
      </c>
      <c r="D14203" s="3" t="s">
        <v>32</v>
      </c>
      <c r="E14203" s="4" t="s">
        <v>22</v>
      </c>
      <c r="F14203" s="4" t="s">
        <v>71607</v>
      </c>
      <c r="G14203" s="4" t="s">
        <v>71608</v>
      </c>
      <c r="H14203" s="3" t="s">
        <v>70238</v>
      </c>
      <c r="I14203" s="3" t="s">
        <v>71609</v>
      </c>
      <c r="J14203" s="3" t="s">
        <v>71623</v>
      </c>
      <c r="K14203" s="3" t="s">
        <v>71624</v>
      </c>
      <c r="L14203" s="3" t="s">
        <v>71625</v>
      </c>
      <c r="M14203" s="4"/>
      <c r="N14203" s="3" t="s">
        <v>37</v>
      </c>
      <c r="O14203" s="3" t="s">
        <v>70</v>
      </c>
      <c r="P14203" s="5">
        <v>24</v>
      </c>
      <c r="Q14203" s="5">
        <v>527</v>
      </c>
      <c r="R14203" s="5">
        <v>23</v>
      </c>
      <c r="S14203" s="5">
        <v>495</v>
      </c>
    </row>
    <row r="14204" spans="1:19" ht="42" x14ac:dyDescent="0.15">
      <c r="A14204" s="2">
        <f>HYPERLINK("https://open-school.uspishnemisto.com.ua/school/680300/", 680300)</f>
        <v>680300</v>
      </c>
      <c r="B14204" s="3" t="s">
        <v>71626</v>
      </c>
      <c r="C14204" s="3" t="s">
        <v>54</v>
      </c>
      <c r="D14204" s="3" t="s">
        <v>32</v>
      </c>
      <c r="E14204" s="4" t="s">
        <v>22</v>
      </c>
      <c r="F14204" s="4" t="s">
        <v>71607</v>
      </c>
      <c r="G14204" s="4" t="s">
        <v>71608</v>
      </c>
      <c r="H14204" s="3" t="s">
        <v>70238</v>
      </c>
      <c r="I14204" s="3" t="s">
        <v>71609</v>
      </c>
      <c r="J14204" s="3" t="s">
        <v>7035</v>
      </c>
      <c r="K14204" s="3" t="s">
        <v>71627</v>
      </c>
      <c r="L14204" s="3" t="s">
        <v>71628</v>
      </c>
      <c r="M14204" s="4"/>
      <c r="N14204" s="3" t="s">
        <v>37</v>
      </c>
      <c r="O14204" s="3" t="s">
        <v>70</v>
      </c>
      <c r="P14204" s="5">
        <v>27</v>
      </c>
      <c r="Q14204" s="5">
        <v>477</v>
      </c>
      <c r="R14204" s="5">
        <v>29</v>
      </c>
      <c r="S14204" s="5">
        <v>458</v>
      </c>
    </row>
    <row r="14205" spans="1:19" ht="42" x14ac:dyDescent="0.15">
      <c r="A14205" s="2">
        <f>HYPERLINK("https://open-school.uspishnemisto.com.ua/school/680301/", 680301)</f>
        <v>680301</v>
      </c>
      <c r="B14205" s="3" t="s">
        <v>71629</v>
      </c>
      <c r="C14205" s="3" t="s">
        <v>54</v>
      </c>
      <c r="D14205" s="3" t="s">
        <v>60</v>
      </c>
      <c r="E14205" s="4" t="s">
        <v>22</v>
      </c>
      <c r="F14205" s="4" t="s">
        <v>71607</v>
      </c>
      <c r="G14205" s="4" t="s">
        <v>71608</v>
      </c>
      <c r="H14205" s="3" t="s">
        <v>70238</v>
      </c>
      <c r="I14205" s="3" t="s">
        <v>71609</v>
      </c>
      <c r="J14205" s="3" t="s">
        <v>71630</v>
      </c>
      <c r="K14205" s="3" t="s">
        <v>71631</v>
      </c>
      <c r="L14205" s="3"/>
      <c r="M14205" s="4" t="s">
        <v>71632</v>
      </c>
      <c r="N14205" s="3" t="s">
        <v>37</v>
      </c>
      <c r="O14205" s="3" t="s">
        <v>52</v>
      </c>
      <c r="P14205" s="5">
        <v>5</v>
      </c>
      <c r="Q14205" s="5">
        <v>113</v>
      </c>
      <c r="R14205" s="5">
        <v>5</v>
      </c>
      <c r="S14205" s="5">
        <v>109</v>
      </c>
    </row>
    <row r="14206" spans="1:19" ht="56" x14ac:dyDescent="0.15">
      <c r="A14206" s="2">
        <f>HYPERLINK("https://open-school.uspishnemisto.com.ua/school/680302/", 680302)</f>
        <v>680302</v>
      </c>
      <c r="B14206" s="3" t="s">
        <v>71633</v>
      </c>
      <c r="C14206" s="3" t="s">
        <v>54</v>
      </c>
      <c r="D14206" s="3" t="s">
        <v>60</v>
      </c>
      <c r="E14206" s="4" t="s">
        <v>22</v>
      </c>
      <c r="F14206" s="4" t="s">
        <v>71607</v>
      </c>
      <c r="G14206" s="4" t="s">
        <v>71608</v>
      </c>
      <c r="H14206" s="3" t="s">
        <v>70238</v>
      </c>
      <c r="I14206" s="3" t="s">
        <v>71609</v>
      </c>
      <c r="J14206" s="3" t="s">
        <v>71634</v>
      </c>
      <c r="K14206" s="3" t="s">
        <v>71635</v>
      </c>
      <c r="L14206" s="3"/>
      <c r="M14206" s="4" t="s">
        <v>71636</v>
      </c>
      <c r="N14206" s="3" t="s">
        <v>37</v>
      </c>
      <c r="O14206" s="3" t="s">
        <v>52</v>
      </c>
      <c r="P14206" s="5">
        <v>8</v>
      </c>
      <c r="Q14206" s="5">
        <v>187</v>
      </c>
      <c r="R14206" s="5">
        <v>8</v>
      </c>
      <c r="S14206" s="5">
        <v>172</v>
      </c>
    </row>
    <row r="14207" spans="1:19" ht="42" x14ac:dyDescent="0.15">
      <c r="A14207" s="2">
        <f>HYPERLINK("https://open-school.uspishnemisto.com.ua/school/680303/", 680303)</f>
        <v>680303</v>
      </c>
      <c r="B14207" s="3" t="s">
        <v>71637</v>
      </c>
      <c r="C14207" s="3" t="s">
        <v>54</v>
      </c>
      <c r="D14207" s="3" t="s">
        <v>32</v>
      </c>
      <c r="E14207" s="4" t="s">
        <v>22</v>
      </c>
      <c r="F14207" s="4" t="s">
        <v>71638</v>
      </c>
      <c r="G14207" s="4" t="s">
        <v>71639</v>
      </c>
      <c r="H14207" s="3" t="s">
        <v>70238</v>
      </c>
      <c r="I14207" s="3" t="s">
        <v>71640</v>
      </c>
      <c r="J14207" s="3" t="s">
        <v>71641</v>
      </c>
      <c r="K14207" s="3" t="s">
        <v>71642</v>
      </c>
      <c r="L14207" s="3" t="s">
        <v>71643</v>
      </c>
      <c r="M14207" s="4"/>
      <c r="N14207" s="3" t="s">
        <v>37</v>
      </c>
      <c r="O14207" s="3" t="s">
        <v>38</v>
      </c>
      <c r="P14207" s="5">
        <v>11</v>
      </c>
      <c r="Q14207" s="5">
        <v>99</v>
      </c>
      <c r="R14207" s="5">
        <v>10</v>
      </c>
      <c r="S14207" s="5">
        <v>98</v>
      </c>
    </row>
    <row r="14208" spans="1:19" ht="28" x14ac:dyDescent="0.15">
      <c r="A14208" s="2">
        <f>HYPERLINK("https://open-school.uspishnemisto.com.ua/school/680304/", 680304)</f>
        <v>680304</v>
      </c>
      <c r="B14208" s="3" t="s">
        <v>71644</v>
      </c>
      <c r="C14208" s="3" t="s">
        <v>31</v>
      </c>
      <c r="D14208" s="3" t="s">
        <v>32</v>
      </c>
      <c r="E14208" s="4" t="s">
        <v>22</v>
      </c>
      <c r="F14208" s="4" t="s">
        <v>71645</v>
      </c>
      <c r="G14208" s="4" t="s">
        <v>71646</v>
      </c>
      <c r="H14208" s="3" t="s">
        <v>70238</v>
      </c>
      <c r="I14208" s="3" t="s">
        <v>32807</v>
      </c>
      <c r="J14208" s="3" t="s">
        <v>297</v>
      </c>
      <c r="K14208" s="3"/>
      <c r="L14208" s="3"/>
      <c r="M14208" s="4"/>
      <c r="N14208" s="3" t="s">
        <v>37</v>
      </c>
      <c r="O14208" s="3" t="s">
        <v>70</v>
      </c>
      <c r="P14208" s="5">
        <v>11</v>
      </c>
      <c r="Q14208" s="5">
        <v>184</v>
      </c>
      <c r="R14208" s="5">
        <v>11</v>
      </c>
      <c r="S14208" s="5">
        <v>177</v>
      </c>
    </row>
    <row r="14209" spans="1:19" ht="42" x14ac:dyDescent="0.15">
      <c r="A14209" s="2">
        <f>HYPERLINK("https://open-school.uspishnemisto.com.ua/school/680305/", 680305)</f>
        <v>680305</v>
      </c>
      <c r="B14209" s="3" t="s">
        <v>71647</v>
      </c>
      <c r="C14209" s="3" t="s">
        <v>54</v>
      </c>
      <c r="D14209" s="3" t="s">
        <v>60</v>
      </c>
      <c r="E14209" s="4" t="s">
        <v>22</v>
      </c>
      <c r="F14209" s="4" t="s">
        <v>71648</v>
      </c>
      <c r="G14209" s="4" t="s">
        <v>71649</v>
      </c>
      <c r="H14209" s="3" t="s">
        <v>70238</v>
      </c>
      <c r="I14209" s="3" t="s">
        <v>71650</v>
      </c>
      <c r="J14209" s="3" t="s">
        <v>2978</v>
      </c>
      <c r="K14209" s="3" t="s">
        <v>71651</v>
      </c>
      <c r="L14209" s="3"/>
      <c r="M14209" s="4"/>
      <c r="N14209" s="3" t="s">
        <v>37</v>
      </c>
      <c r="O14209" s="3" t="s">
        <v>52</v>
      </c>
      <c r="P14209" s="5">
        <v>1</v>
      </c>
      <c r="Q14209" s="5">
        <v>9</v>
      </c>
      <c r="R14209" s="5">
        <v>0</v>
      </c>
      <c r="S14209" s="5">
        <v>0</v>
      </c>
    </row>
    <row r="14210" spans="1:19" ht="42" x14ac:dyDescent="0.15">
      <c r="A14210" s="2">
        <f>HYPERLINK("https://open-school.uspishnemisto.com.ua/school/680306/", 680306)</f>
        <v>680306</v>
      </c>
      <c r="B14210" s="3" t="s">
        <v>71652</v>
      </c>
      <c r="C14210" s="3" t="s">
        <v>54</v>
      </c>
      <c r="D14210" s="3" t="s">
        <v>32</v>
      </c>
      <c r="E14210" s="4" t="s">
        <v>22</v>
      </c>
      <c r="F14210" s="4" t="s">
        <v>71653</v>
      </c>
      <c r="G14210" s="4" t="s">
        <v>71654</v>
      </c>
      <c r="H14210" s="3" t="s">
        <v>70238</v>
      </c>
      <c r="I14210" s="3" t="s">
        <v>71655</v>
      </c>
      <c r="J14210" s="3" t="s">
        <v>2978</v>
      </c>
      <c r="K14210" s="3" t="s">
        <v>71656</v>
      </c>
      <c r="L14210" s="3" t="s">
        <v>71657</v>
      </c>
      <c r="M14210" s="4"/>
      <c r="N14210" s="3" t="s">
        <v>37</v>
      </c>
      <c r="O14210" s="3" t="s">
        <v>38</v>
      </c>
      <c r="P14210" s="5">
        <v>10</v>
      </c>
      <c r="Q14210" s="5">
        <v>71</v>
      </c>
      <c r="R14210" s="5">
        <v>10</v>
      </c>
      <c r="S14210" s="5">
        <v>80</v>
      </c>
    </row>
    <row r="14211" spans="1:19" ht="42" x14ac:dyDescent="0.15">
      <c r="A14211" s="2">
        <f>HYPERLINK("https://open-school.uspishnemisto.com.ua/school/680307/", 680307)</f>
        <v>680307</v>
      </c>
      <c r="B14211" s="3" t="s">
        <v>71658</v>
      </c>
      <c r="C14211" s="3" t="s">
        <v>54</v>
      </c>
      <c r="D14211" s="3" t="s">
        <v>60</v>
      </c>
      <c r="E14211" s="4" t="s">
        <v>22</v>
      </c>
      <c r="F14211" s="4" t="s">
        <v>71659</v>
      </c>
      <c r="G14211" s="4" t="s">
        <v>71660</v>
      </c>
      <c r="H14211" s="3" t="s">
        <v>70238</v>
      </c>
      <c r="I14211" s="3" t="s">
        <v>71661</v>
      </c>
      <c r="J14211" s="3" t="s">
        <v>71662</v>
      </c>
      <c r="K14211" s="3" t="s">
        <v>71663</v>
      </c>
      <c r="L14211" s="3"/>
      <c r="M14211" s="4"/>
      <c r="N14211" s="3" t="s">
        <v>37</v>
      </c>
      <c r="O14211" s="3" t="s">
        <v>52</v>
      </c>
      <c r="P14211" s="5">
        <v>0</v>
      </c>
      <c r="Q14211" s="5">
        <v>5</v>
      </c>
      <c r="R14211" s="5">
        <v>0</v>
      </c>
      <c r="S14211" s="5">
        <v>4</v>
      </c>
    </row>
    <row r="14212" spans="1:19" ht="28" x14ac:dyDescent="0.15">
      <c r="A14212" s="2">
        <f>HYPERLINK("https://open-school.uspishnemisto.com.ua/school/680308/", 680308)</f>
        <v>680308</v>
      </c>
      <c r="B14212" s="3" t="s">
        <v>71664</v>
      </c>
      <c r="C14212" s="3" t="s">
        <v>31</v>
      </c>
      <c r="D14212" s="3" t="s">
        <v>175</v>
      </c>
      <c r="E14212" s="4" t="s">
        <v>22</v>
      </c>
      <c r="F14212" s="4" t="s">
        <v>71665</v>
      </c>
      <c r="G14212" s="4" t="s">
        <v>71666</v>
      </c>
      <c r="H14212" s="3" t="s">
        <v>70238</v>
      </c>
      <c r="I14212" s="3" t="s">
        <v>71667</v>
      </c>
      <c r="J14212" s="3" t="s">
        <v>42810</v>
      </c>
      <c r="K14212" s="3" t="s">
        <v>71668</v>
      </c>
      <c r="L14212" s="3"/>
      <c r="M14212" s="4"/>
      <c r="N14212" s="3" t="s">
        <v>37</v>
      </c>
      <c r="O14212" s="3" t="s">
        <v>112</v>
      </c>
      <c r="P14212" s="5">
        <v>5</v>
      </c>
      <c r="Q14212" s="5">
        <v>38</v>
      </c>
      <c r="R14212" s="5">
        <v>5</v>
      </c>
      <c r="S14212" s="5">
        <v>39</v>
      </c>
    </row>
    <row r="14213" spans="1:19" ht="28" x14ac:dyDescent="0.15">
      <c r="A14213" s="2">
        <f>HYPERLINK("https://open-school.uspishnemisto.com.ua/school/680309/", 680309)</f>
        <v>680309</v>
      </c>
      <c r="B14213" s="3" t="s">
        <v>71669</v>
      </c>
      <c r="C14213" s="3" t="s">
        <v>31</v>
      </c>
      <c r="D14213" s="3" t="s">
        <v>32</v>
      </c>
      <c r="E14213" s="4" t="s">
        <v>22</v>
      </c>
      <c r="F14213" s="4" t="s">
        <v>71670</v>
      </c>
      <c r="G14213" s="4" t="s">
        <v>71671</v>
      </c>
      <c r="H14213" s="3" t="s">
        <v>70238</v>
      </c>
      <c r="I14213" s="3" t="s">
        <v>71672</v>
      </c>
      <c r="J14213" s="3" t="s">
        <v>33163</v>
      </c>
      <c r="K14213" s="3" t="s">
        <v>71673</v>
      </c>
      <c r="L14213" s="3" t="s">
        <v>71674</v>
      </c>
      <c r="M14213" s="4"/>
      <c r="N14213" s="3" t="s">
        <v>37</v>
      </c>
      <c r="O14213" s="3" t="s">
        <v>38</v>
      </c>
      <c r="P14213" s="5">
        <v>11</v>
      </c>
      <c r="Q14213" s="5">
        <v>141</v>
      </c>
      <c r="R14213" s="5">
        <v>11</v>
      </c>
      <c r="S14213" s="5">
        <v>139</v>
      </c>
    </row>
    <row r="14214" spans="1:19" ht="28" x14ac:dyDescent="0.15">
      <c r="A14214" s="2">
        <f>HYPERLINK("https://open-school.uspishnemisto.com.ua/school/680310/", 680310)</f>
        <v>680310</v>
      </c>
      <c r="B14214" s="3" t="s">
        <v>71675</v>
      </c>
      <c r="C14214" s="3" t="s">
        <v>31</v>
      </c>
      <c r="D14214" s="3" t="s">
        <v>32</v>
      </c>
      <c r="E14214" s="4" t="s">
        <v>22</v>
      </c>
      <c r="F14214" s="4" t="s">
        <v>71676</v>
      </c>
      <c r="G14214" s="4" t="s">
        <v>71677</v>
      </c>
      <c r="H14214" s="3" t="s">
        <v>70238</v>
      </c>
      <c r="I14214" s="3" t="s">
        <v>71678</v>
      </c>
      <c r="J14214" s="3" t="s">
        <v>792</v>
      </c>
      <c r="K14214" s="3" t="s">
        <v>71679</v>
      </c>
      <c r="L14214" s="3"/>
      <c r="M14214" s="4"/>
      <c r="N14214" s="3" t="s">
        <v>37</v>
      </c>
      <c r="O14214" s="3" t="s">
        <v>38</v>
      </c>
      <c r="P14214" s="5">
        <v>10</v>
      </c>
      <c r="Q14214" s="5">
        <v>142</v>
      </c>
      <c r="R14214" s="5">
        <v>0</v>
      </c>
      <c r="S14214" s="5">
        <v>0</v>
      </c>
    </row>
    <row r="14215" spans="1:19" ht="42" x14ac:dyDescent="0.15">
      <c r="A14215" s="2">
        <f>HYPERLINK("https://open-school.uspishnemisto.com.ua/school/680311/", 680311)</f>
        <v>680311</v>
      </c>
      <c r="B14215" s="3" t="s">
        <v>71680</v>
      </c>
      <c r="C14215" s="3" t="s">
        <v>54</v>
      </c>
      <c r="D14215" s="3" t="s">
        <v>60</v>
      </c>
      <c r="E14215" s="4" t="s">
        <v>22</v>
      </c>
      <c r="F14215" s="4" t="s">
        <v>71676</v>
      </c>
      <c r="G14215" s="4" t="s">
        <v>71681</v>
      </c>
      <c r="H14215" s="3" t="s">
        <v>70238</v>
      </c>
      <c r="I14215" s="3" t="s">
        <v>10829</v>
      </c>
      <c r="J14215" s="3" t="s">
        <v>71682</v>
      </c>
      <c r="K14215" s="3" t="s">
        <v>71683</v>
      </c>
      <c r="L14215" s="3"/>
      <c r="M14215" s="4"/>
      <c r="N14215" s="3" t="s">
        <v>37</v>
      </c>
      <c r="O14215" s="3" t="s">
        <v>52</v>
      </c>
      <c r="P14215" s="5">
        <v>0</v>
      </c>
      <c r="Q14215" s="5">
        <v>8</v>
      </c>
      <c r="R14215" s="5">
        <v>1</v>
      </c>
      <c r="S14215" s="5">
        <v>10</v>
      </c>
    </row>
    <row r="14216" spans="1:19" ht="28" x14ac:dyDescent="0.15">
      <c r="A14216" s="2">
        <f>HYPERLINK("https://open-school.uspishnemisto.com.ua/school/680312/", 680312)</f>
        <v>680312</v>
      </c>
      <c r="B14216" s="3" t="s">
        <v>71684</v>
      </c>
      <c r="C14216" s="3" t="s">
        <v>31</v>
      </c>
      <c r="D14216" s="3" t="s">
        <v>32</v>
      </c>
      <c r="E14216" s="4" t="s">
        <v>22</v>
      </c>
      <c r="F14216" s="4" t="s">
        <v>71685</v>
      </c>
      <c r="G14216" s="4" t="s">
        <v>71686</v>
      </c>
      <c r="H14216" s="3" t="s">
        <v>70238</v>
      </c>
      <c r="I14216" s="3" t="s">
        <v>71687</v>
      </c>
      <c r="J14216" s="3" t="s">
        <v>71688</v>
      </c>
      <c r="K14216" s="3" t="s">
        <v>71689</v>
      </c>
      <c r="L14216" s="3"/>
      <c r="M14216" s="4"/>
      <c r="N14216" s="3" t="s">
        <v>37</v>
      </c>
      <c r="O14216" s="3" t="s">
        <v>38</v>
      </c>
      <c r="P14216" s="5">
        <v>6</v>
      </c>
      <c r="Q14216" s="5">
        <v>66</v>
      </c>
      <c r="R14216" s="5">
        <v>11</v>
      </c>
      <c r="S14216" s="5">
        <v>62</v>
      </c>
    </row>
    <row r="14217" spans="1:19" ht="42" x14ac:dyDescent="0.15">
      <c r="A14217" s="2">
        <f>HYPERLINK("https://open-school.uspishnemisto.com.ua/school/680313/", 680313)</f>
        <v>680313</v>
      </c>
      <c r="B14217" s="3" t="s">
        <v>71690</v>
      </c>
      <c r="C14217" s="3" t="s">
        <v>54</v>
      </c>
      <c r="D14217" s="3" t="s">
        <v>60</v>
      </c>
      <c r="E14217" s="4" t="s">
        <v>22</v>
      </c>
      <c r="F14217" s="4" t="s">
        <v>71691</v>
      </c>
      <c r="G14217" s="4" t="s">
        <v>71692</v>
      </c>
      <c r="H14217" s="3" t="s">
        <v>70238</v>
      </c>
      <c r="I14217" s="3" t="s">
        <v>71693</v>
      </c>
      <c r="J14217" s="3" t="s">
        <v>6438</v>
      </c>
      <c r="K14217" s="3"/>
      <c r="L14217" s="3"/>
      <c r="M14217" s="4"/>
      <c r="N14217" s="3" t="s">
        <v>37</v>
      </c>
      <c r="O14217" s="3" t="s">
        <v>52</v>
      </c>
      <c r="P14217" s="5">
        <v>0</v>
      </c>
      <c r="Q14217" s="5">
        <v>14</v>
      </c>
      <c r="R14217" s="5">
        <v>0</v>
      </c>
      <c r="S14217" s="5">
        <v>0</v>
      </c>
    </row>
    <row r="14218" spans="1:19" ht="28" x14ac:dyDescent="0.15">
      <c r="A14218" s="2">
        <f>HYPERLINK("https://open-school.uspishnemisto.com.ua/school/680314/", 680314)</f>
        <v>680314</v>
      </c>
      <c r="B14218" s="3" t="s">
        <v>71694</v>
      </c>
      <c r="C14218" s="3" t="s">
        <v>31</v>
      </c>
      <c r="D14218" s="3" t="s">
        <v>32</v>
      </c>
      <c r="E14218" s="4" t="s">
        <v>22</v>
      </c>
      <c r="F14218" s="4" t="s">
        <v>71691</v>
      </c>
      <c r="G14218" s="4" t="s">
        <v>71695</v>
      </c>
      <c r="H14218" s="3" t="s">
        <v>70238</v>
      </c>
      <c r="I14218" s="3" t="s">
        <v>71696</v>
      </c>
      <c r="J14218" s="3" t="s">
        <v>71697</v>
      </c>
      <c r="K14218" s="3" t="s">
        <v>71698</v>
      </c>
      <c r="L14218" s="3" t="s">
        <v>71699</v>
      </c>
      <c r="M14218" s="4"/>
      <c r="N14218" s="3" t="s">
        <v>37</v>
      </c>
      <c r="O14218" s="3" t="s">
        <v>38</v>
      </c>
      <c r="P14218" s="5">
        <v>11</v>
      </c>
      <c r="Q14218" s="5">
        <v>158</v>
      </c>
      <c r="R14218" s="5">
        <v>11</v>
      </c>
      <c r="S14218" s="5">
        <v>154</v>
      </c>
    </row>
    <row r="14219" spans="1:19" ht="28" x14ac:dyDescent="0.15">
      <c r="A14219" s="2">
        <f>HYPERLINK("https://open-school.uspishnemisto.com.ua/school/680315/", 680315)</f>
        <v>680315</v>
      </c>
      <c r="B14219" s="3" t="s">
        <v>71700</v>
      </c>
      <c r="C14219" s="3" t="s">
        <v>54</v>
      </c>
      <c r="D14219" s="3" t="s">
        <v>175</v>
      </c>
      <c r="E14219" s="4" t="s">
        <v>253</v>
      </c>
      <c r="F14219" s="4" t="s">
        <v>71691</v>
      </c>
      <c r="G14219" s="4" t="s">
        <v>71701</v>
      </c>
      <c r="H14219" s="3" t="s">
        <v>70238</v>
      </c>
      <c r="I14219" s="3" t="s">
        <v>8330</v>
      </c>
      <c r="J14219" s="3" t="s">
        <v>5029</v>
      </c>
      <c r="K14219" s="3" t="s">
        <v>71702</v>
      </c>
      <c r="L14219" s="3" t="s">
        <v>71703</v>
      </c>
      <c r="M14219" s="4"/>
      <c r="N14219" s="3" t="s">
        <v>37</v>
      </c>
      <c r="O14219" s="3" t="s">
        <v>38</v>
      </c>
      <c r="P14219" s="5">
        <v>7</v>
      </c>
      <c r="Q14219" s="5">
        <v>43</v>
      </c>
      <c r="R14219" s="5">
        <v>7</v>
      </c>
      <c r="S14219" s="5">
        <v>45</v>
      </c>
    </row>
    <row r="14220" spans="1:19" ht="28" x14ac:dyDescent="0.15">
      <c r="A14220" s="2">
        <f>HYPERLINK("https://open-school.uspishnemisto.com.ua/school/680316/", 680316)</f>
        <v>680316</v>
      </c>
      <c r="B14220" s="3" t="s">
        <v>71704</v>
      </c>
      <c r="C14220" s="3" t="s">
        <v>31</v>
      </c>
      <c r="D14220" s="3" t="s">
        <v>32</v>
      </c>
      <c r="E14220" s="4" t="s">
        <v>22</v>
      </c>
      <c r="F14220" s="4" t="s">
        <v>71705</v>
      </c>
      <c r="G14220" s="4" t="s">
        <v>71706</v>
      </c>
      <c r="H14220" s="3" t="s">
        <v>70238</v>
      </c>
      <c r="I14220" s="3" t="s">
        <v>71707</v>
      </c>
      <c r="J14220" s="3" t="s">
        <v>2052</v>
      </c>
      <c r="K14220" s="3" t="s">
        <v>71708</v>
      </c>
      <c r="L14220" s="3"/>
      <c r="M14220" s="4"/>
      <c r="N14220" s="3" t="s">
        <v>37</v>
      </c>
      <c r="O14220" s="3" t="s">
        <v>46</v>
      </c>
      <c r="P14220" s="5">
        <v>11</v>
      </c>
      <c r="Q14220" s="5">
        <v>119</v>
      </c>
      <c r="R14220" s="5">
        <v>10</v>
      </c>
      <c r="S14220" s="5">
        <v>113</v>
      </c>
    </row>
    <row r="14221" spans="1:19" ht="28" x14ac:dyDescent="0.15">
      <c r="A14221" s="2">
        <f>HYPERLINK("https://open-school.uspishnemisto.com.ua/school/680317/", 680317)</f>
        <v>680317</v>
      </c>
      <c r="B14221" s="3" t="s">
        <v>71709</v>
      </c>
      <c r="C14221" s="3" t="s">
        <v>31</v>
      </c>
      <c r="D14221" s="3" t="s">
        <v>32</v>
      </c>
      <c r="E14221" s="4" t="s">
        <v>22</v>
      </c>
      <c r="F14221" s="4" t="s">
        <v>71710</v>
      </c>
      <c r="G14221" s="4" t="s">
        <v>71711</v>
      </c>
      <c r="H14221" s="3" t="s">
        <v>70238</v>
      </c>
      <c r="I14221" s="3" t="s">
        <v>71712</v>
      </c>
      <c r="J14221" s="3" t="s">
        <v>2978</v>
      </c>
      <c r="K14221" s="3" t="s">
        <v>71713</v>
      </c>
      <c r="L14221" s="3" t="s">
        <v>71714</v>
      </c>
      <c r="M14221" s="4"/>
      <c r="N14221" s="3" t="s">
        <v>37</v>
      </c>
      <c r="O14221" s="3" t="s">
        <v>52</v>
      </c>
      <c r="P14221" s="5">
        <v>10</v>
      </c>
      <c r="Q14221" s="5">
        <v>77</v>
      </c>
      <c r="R14221" s="5">
        <v>10</v>
      </c>
      <c r="S14221" s="5">
        <v>83</v>
      </c>
    </row>
    <row r="14222" spans="1:19" ht="28" x14ac:dyDescent="0.15">
      <c r="A14222" s="2">
        <f>HYPERLINK("https://open-school.uspishnemisto.com.ua/school/680318/", 680318)</f>
        <v>680318</v>
      </c>
      <c r="B14222" s="3" t="s">
        <v>71715</v>
      </c>
      <c r="C14222" s="3" t="s">
        <v>31</v>
      </c>
      <c r="D14222" s="3" t="s">
        <v>32</v>
      </c>
      <c r="E14222" s="4" t="s">
        <v>22</v>
      </c>
      <c r="F14222" s="4" t="s">
        <v>71716</v>
      </c>
      <c r="G14222" s="4" t="s">
        <v>71717</v>
      </c>
      <c r="H14222" s="3" t="s">
        <v>70238</v>
      </c>
      <c r="I14222" s="3" t="s">
        <v>71718</v>
      </c>
      <c r="J14222" s="3" t="s">
        <v>71719</v>
      </c>
      <c r="K14222" s="3" t="s">
        <v>71720</v>
      </c>
      <c r="L14222" s="3"/>
      <c r="M14222" s="4"/>
      <c r="N14222" s="3" t="s">
        <v>37</v>
      </c>
      <c r="O14222" s="3" t="s">
        <v>70</v>
      </c>
      <c r="P14222" s="5">
        <v>9</v>
      </c>
      <c r="Q14222" s="5">
        <v>112</v>
      </c>
      <c r="R14222" s="5">
        <v>9</v>
      </c>
      <c r="S14222" s="5">
        <v>101</v>
      </c>
    </row>
    <row r="14223" spans="1:19" ht="28" x14ac:dyDescent="0.15">
      <c r="A14223" s="2">
        <f>HYPERLINK("https://open-school.uspishnemisto.com.ua/school/680319/", 680319)</f>
        <v>680319</v>
      </c>
      <c r="B14223" s="3" t="s">
        <v>71721</v>
      </c>
      <c r="C14223" s="3" t="s">
        <v>31</v>
      </c>
      <c r="D14223" s="3" t="s">
        <v>175</v>
      </c>
      <c r="E14223" s="4" t="s">
        <v>22</v>
      </c>
      <c r="F14223" s="4" t="s">
        <v>71722</v>
      </c>
      <c r="G14223" s="4" t="s">
        <v>71723</v>
      </c>
      <c r="H14223" s="3" t="s">
        <v>70238</v>
      </c>
      <c r="I14223" s="3" t="s">
        <v>71724</v>
      </c>
      <c r="J14223" s="3" t="s">
        <v>71725</v>
      </c>
      <c r="K14223" s="3"/>
      <c r="L14223" s="3"/>
      <c r="M14223" s="4"/>
      <c r="N14223" s="3" t="s">
        <v>37</v>
      </c>
      <c r="O14223" s="3" t="s">
        <v>38</v>
      </c>
      <c r="P14223" s="5">
        <v>3</v>
      </c>
      <c r="Q14223" s="5">
        <v>30</v>
      </c>
      <c r="R14223" s="5">
        <v>2</v>
      </c>
      <c r="S14223" s="5">
        <v>25</v>
      </c>
    </row>
    <row r="14224" spans="1:19" ht="28" x14ac:dyDescent="0.15">
      <c r="A14224" s="2">
        <f>HYPERLINK("https://open-school.uspishnemisto.com.ua/school/680320/", 680320)</f>
        <v>680320</v>
      </c>
      <c r="B14224" s="3" t="s">
        <v>71726</v>
      </c>
      <c r="C14224" s="3" t="s">
        <v>31</v>
      </c>
      <c r="D14224" s="3" t="s">
        <v>32</v>
      </c>
      <c r="E14224" s="4" t="s">
        <v>22</v>
      </c>
      <c r="F14224" s="4" t="s">
        <v>71727</v>
      </c>
      <c r="G14224" s="4" t="s">
        <v>71728</v>
      </c>
      <c r="H14224" s="3" t="s">
        <v>70238</v>
      </c>
      <c r="I14224" s="3" t="s">
        <v>20972</v>
      </c>
      <c r="J14224" s="3" t="s">
        <v>71729</v>
      </c>
      <c r="K14224" s="3"/>
      <c r="L14224" s="3"/>
      <c r="M14224" s="4"/>
      <c r="N14224" s="3" t="s">
        <v>37</v>
      </c>
      <c r="O14224" s="3" t="s">
        <v>70</v>
      </c>
      <c r="P14224" s="5">
        <v>11</v>
      </c>
      <c r="Q14224" s="5">
        <v>90</v>
      </c>
      <c r="R14224" s="5">
        <v>11</v>
      </c>
      <c r="S14224" s="5">
        <v>92</v>
      </c>
    </row>
    <row r="14225" spans="1:19" ht="56" x14ac:dyDescent="0.15">
      <c r="A14225" s="2">
        <f>HYPERLINK("https://open-school.uspishnemisto.com.ua/school/680321/", 680321)</f>
        <v>680321</v>
      </c>
      <c r="B14225" s="3" t="s">
        <v>71730</v>
      </c>
      <c r="C14225" s="3" t="s">
        <v>54</v>
      </c>
      <c r="D14225" s="3" t="s">
        <v>32</v>
      </c>
      <c r="E14225" s="4" t="s">
        <v>22</v>
      </c>
      <c r="F14225" s="4" t="s">
        <v>71731</v>
      </c>
      <c r="G14225" s="4" t="s">
        <v>71732</v>
      </c>
      <c r="H14225" s="3" t="s">
        <v>70238</v>
      </c>
      <c r="I14225" s="3" t="s">
        <v>71733</v>
      </c>
      <c r="J14225" s="3" t="s">
        <v>71734</v>
      </c>
      <c r="K14225" s="3" t="s">
        <v>71735</v>
      </c>
      <c r="L14225" s="3"/>
      <c r="M14225" s="4"/>
      <c r="N14225" s="3" t="s">
        <v>37</v>
      </c>
      <c r="O14225" s="3" t="s">
        <v>38</v>
      </c>
      <c r="P14225" s="5">
        <v>11</v>
      </c>
      <c r="Q14225" s="5">
        <v>200</v>
      </c>
      <c r="R14225" s="5">
        <v>11</v>
      </c>
      <c r="S14225" s="5">
        <v>196</v>
      </c>
    </row>
    <row r="14226" spans="1:19" ht="28" x14ac:dyDescent="0.15">
      <c r="A14226" s="2">
        <f>HYPERLINK("https://open-school.uspishnemisto.com.ua/school/680322/", 680322)</f>
        <v>680322</v>
      </c>
      <c r="B14226" s="3" t="s">
        <v>71736</v>
      </c>
      <c r="C14226" s="3" t="s">
        <v>2634</v>
      </c>
      <c r="D14226" s="3" t="s">
        <v>175</v>
      </c>
      <c r="E14226" s="4" t="s">
        <v>22</v>
      </c>
      <c r="F14226" s="4" t="s">
        <v>71731</v>
      </c>
      <c r="G14226" s="4" t="s">
        <v>71732</v>
      </c>
      <c r="H14226" s="3" t="s">
        <v>70238</v>
      </c>
      <c r="I14226" s="3" t="s">
        <v>71733</v>
      </c>
      <c r="J14226" s="3" t="s">
        <v>1278</v>
      </c>
      <c r="K14226" s="3" t="s">
        <v>71737</v>
      </c>
      <c r="L14226" s="3"/>
      <c r="M14226" s="4" t="s">
        <v>71738</v>
      </c>
      <c r="N14226" s="3" t="s">
        <v>37</v>
      </c>
      <c r="O14226" s="3" t="s">
        <v>38</v>
      </c>
      <c r="P14226" s="5">
        <v>9</v>
      </c>
      <c r="Q14226" s="5">
        <v>181</v>
      </c>
      <c r="R14226" s="5">
        <v>9</v>
      </c>
      <c r="S14226" s="5">
        <v>177</v>
      </c>
    </row>
    <row r="14227" spans="1:19" ht="28" x14ac:dyDescent="0.15">
      <c r="A14227" s="2">
        <f>HYPERLINK("https://open-school.uspishnemisto.com.ua/school/680323/", 680323)</f>
        <v>680323</v>
      </c>
      <c r="B14227" s="3" t="s">
        <v>71739</v>
      </c>
      <c r="C14227" s="3" t="s">
        <v>31</v>
      </c>
      <c r="D14227" s="3" t="s">
        <v>175</v>
      </c>
      <c r="E14227" s="4" t="s">
        <v>22</v>
      </c>
      <c r="F14227" s="4" t="s">
        <v>71740</v>
      </c>
      <c r="G14227" s="4" t="s">
        <v>71741</v>
      </c>
      <c r="H14227" s="3" t="s">
        <v>70238</v>
      </c>
      <c r="I14227" s="3" t="s">
        <v>8169</v>
      </c>
      <c r="J14227" s="3" t="s">
        <v>2372</v>
      </c>
      <c r="K14227" s="3" t="s">
        <v>71742</v>
      </c>
      <c r="L14227" s="3"/>
      <c r="M14227" s="4"/>
      <c r="N14227" s="3" t="s">
        <v>37</v>
      </c>
      <c r="O14227" s="3" t="s">
        <v>112</v>
      </c>
      <c r="P14227" s="5">
        <v>5</v>
      </c>
      <c r="Q14227" s="5">
        <v>45</v>
      </c>
      <c r="R14227" s="5">
        <v>9</v>
      </c>
      <c r="S14227" s="5">
        <v>44</v>
      </c>
    </row>
    <row r="14228" spans="1:19" ht="28" x14ac:dyDescent="0.15">
      <c r="A14228" s="2">
        <f>HYPERLINK("https://open-school.uspishnemisto.com.ua/school/680324/", 680324)</f>
        <v>680324</v>
      </c>
      <c r="B14228" s="3" t="s">
        <v>71743</v>
      </c>
      <c r="C14228" s="3" t="s">
        <v>31</v>
      </c>
      <c r="D14228" s="3" t="s">
        <v>32</v>
      </c>
      <c r="E14228" s="4" t="s">
        <v>22</v>
      </c>
      <c r="F14228" s="4" t="s">
        <v>71744</v>
      </c>
      <c r="G14228" s="4" t="s">
        <v>71745</v>
      </c>
      <c r="H14228" s="3" t="s">
        <v>70238</v>
      </c>
      <c r="I14228" s="3" t="s">
        <v>63892</v>
      </c>
      <c r="J14228" s="3" t="s">
        <v>2978</v>
      </c>
      <c r="K14228" s="3" t="s">
        <v>71746</v>
      </c>
      <c r="L14228" s="3" t="s">
        <v>71747</v>
      </c>
      <c r="M14228" s="4"/>
      <c r="N14228" s="3" t="s">
        <v>37</v>
      </c>
      <c r="O14228" s="3" t="s">
        <v>38</v>
      </c>
      <c r="P14228" s="5">
        <v>11</v>
      </c>
      <c r="Q14228" s="5">
        <v>133</v>
      </c>
      <c r="R14228" s="5">
        <v>11</v>
      </c>
      <c r="S14228" s="5">
        <v>131</v>
      </c>
    </row>
    <row r="14229" spans="1:19" ht="42" x14ac:dyDescent="0.15">
      <c r="A14229" s="2">
        <f>HYPERLINK("https://open-school.uspishnemisto.com.ua/school/680325/", 680325)</f>
        <v>680325</v>
      </c>
      <c r="B14229" s="3" t="s">
        <v>71748</v>
      </c>
      <c r="C14229" s="3" t="s">
        <v>54</v>
      </c>
      <c r="D14229" s="3" t="s">
        <v>32</v>
      </c>
      <c r="E14229" s="4" t="s">
        <v>22</v>
      </c>
      <c r="F14229" s="4" t="s">
        <v>71749</v>
      </c>
      <c r="G14229" s="4" t="s">
        <v>71750</v>
      </c>
      <c r="H14229" s="3" t="s">
        <v>70238</v>
      </c>
      <c r="I14229" s="3" t="s">
        <v>71751</v>
      </c>
      <c r="J14229" s="3" t="s">
        <v>6992</v>
      </c>
      <c r="K14229" s="3" t="s">
        <v>71752</v>
      </c>
      <c r="L14229" s="3"/>
      <c r="M14229" s="4"/>
      <c r="N14229" s="3" t="s">
        <v>37</v>
      </c>
      <c r="O14229" s="3" t="s">
        <v>52</v>
      </c>
      <c r="P14229" s="5">
        <v>8</v>
      </c>
      <c r="Q14229" s="5">
        <v>82</v>
      </c>
      <c r="R14229" s="5">
        <v>9</v>
      </c>
      <c r="S14229" s="5">
        <v>78</v>
      </c>
    </row>
    <row r="14230" spans="1:19" ht="28" x14ac:dyDescent="0.15">
      <c r="A14230" s="2">
        <f>HYPERLINK("https://open-school.uspishnemisto.com.ua/school/680326/", 680326)</f>
        <v>680326</v>
      </c>
      <c r="B14230" s="3" t="s">
        <v>71753</v>
      </c>
      <c r="C14230" s="3" t="s">
        <v>31</v>
      </c>
      <c r="D14230" s="3" t="s">
        <v>32</v>
      </c>
      <c r="E14230" s="4" t="s">
        <v>22</v>
      </c>
      <c r="F14230" s="4" t="s">
        <v>71754</v>
      </c>
      <c r="G14230" s="4" t="s">
        <v>71755</v>
      </c>
      <c r="H14230" s="3" t="s">
        <v>70238</v>
      </c>
      <c r="I14230" s="3" t="s">
        <v>71756</v>
      </c>
      <c r="J14230" s="3" t="s">
        <v>5955</v>
      </c>
      <c r="K14230" s="3" t="s">
        <v>71757</v>
      </c>
      <c r="L14230" s="3" t="s">
        <v>71758</v>
      </c>
      <c r="M14230" s="4"/>
      <c r="N14230" s="3" t="s">
        <v>37</v>
      </c>
      <c r="O14230" s="3" t="s">
        <v>70</v>
      </c>
      <c r="P14230" s="5">
        <v>11</v>
      </c>
      <c r="Q14230" s="5">
        <v>121</v>
      </c>
      <c r="R14230" s="5">
        <v>11</v>
      </c>
      <c r="S14230" s="5">
        <v>119</v>
      </c>
    </row>
    <row r="14231" spans="1:19" ht="28" x14ac:dyDescent="0.15">
      <c r="A14231" s="2">
        <f>HYPERLINK("https://open-school.uspishnemisto.com.ua/school/680327/", 680327)</f>
        <v>680327</v>
      </c>
      <c r="B14231" s="3" t="s">
        <v>71759</v>
      </c>
      <c r="C14231" s="3" t="s">
        <v>31</v>
      </c>
      <c r="D14231" s="3" t="s">
        <v>175</v>
      </c>
      <c r="E14231" s="4" t="s">
        <v>22</v>
      </c>
      <c r="F14231" s="4" t="s">
        <v>71760</v>
      </c>
      <c r="G14231" s="4" t="s">
        <v>71761</v>
      </c>
      <c r="H14231" s="3" t="s">
        <v>70238</v>
      </c>
      <c r="I14231" s="3" t="s">
        <v>34150</v>
      </c>
      <c r="J14231" s="3" t="s">
        <v>2978</v>
      </c>
      <c r="K14231" s="3"/>
      <c r="L14231" s="3"/>
      <c r="M14231" s="4"/>
      <c r="N14231" s="3" t="s">
        <v>37</v>
      </c>
      <c r="O14231" s="3" t="s">
        <v>38</v>
      </c>
      <c r="P14231" s="5">
        <v>3</v>
      </c>
      <c r="Q14231" s="5">
        <v>34</v>
      </c>
      <c r="R14231" s="5">
        <v>4</v>
      </c>
      <c r="S14231" s="5">
        <v>34</v>
      </c>
    </row>
    <row r="14232" spans="1:19" ht="28" x14ac:dyDescent="0.15">
      <c r="A14232" s="2">
        <f>HYPERLINK("https://open-school.uspishnemisto.com.ua/school/680328/", 680328)</f>
        <v>680328</v>
      </c>
      <c r="B14232" s="3" t="s">
        <v>71762</v>
      </c>
      <c r="C14232" s="3" t="s">
        <v>54</v>
      </c>
      <c r="D14232" s="3" t="s">
        <v>175</v>
      </c>
      <c r="E14232" s="4" t="s">
        <v>22</v>
      </c>
      <c r="F14232" s="4" t="s">
        <v>71763</v>
      </c>
      <c r="G14232" s="4" t="s">
        <v>71764</v>
      </c>
      <c r="H14232" s="3" t="s">
        <v>70238</v>
      </c>
      <c r="I14232" s="3" t="s">
        <v>42709</v>
      </c>
      <c r="J14232" s="3" t="s">
        <v>71765</v>
      </c>
      <c r="K14232" s="3" t="s">
        <v>71766</v>
      </c>
      <c r="L14232" s="3"/>
      <c r="M14232" s="4"/>
      <c r="N14232" s="3" t="s">
        <v>37</v>
      </c>
      <c r="O14232" s="3" t="s">
        <v>38</v>
      </c>
      <c r="P14232" s="5">
        <v>9</v>
      </c>
      <c r="Q14232" s="5">
        <v>65</v>
      </c>
      <c r="R14232" s="5">
        <v>8</v>
      </c>
      <c r="S14232" s="5">
        <v>62</v>
      </c>
    </row>
    <row r="14233" spans="1:19" ht="28" x14ac:dyDescent="0.15">
      <c r="A14233" s="2">
        <f>HYPERLINK("https://open-school.uspishnemisto.com.ua/school/680329/", 680329)</f>
        <v>680329</v>
      </c>
      <c r="B14233" s="3" t="s">
        <v>71767</v>
      </c>
      <c r="C14233" s="3" t="s">
        <v>31</v>
      </c>
      <c r="D14233" s="3" t="s">
        <v>32</v>
      </c>
      <c r="E14233" s="4" t="s">
        <v>22</v>
      </c>
      <c r="F14233" s="4" t="s">
        <v>71768</v>
      </c>
      <c r="G14233" s="4" t="s">
        <v>71769</v>
      </c>
      <c r="H14233" s="3" t="s">
        <v>70238</v>
      </c>
      <c r="I14233" s="3" t="s">
        <v>71770</v>
      </c>
      <c r="J14233" s="3" t="s">
        <v>1495</v>
      </c>
      <c r="K14233" s="3" t="s">
        <v>71771</v>
      </c>
      <c r="L14233" s="3"/>
      <c r="M14233" s="4"/>
      <c r="N14233" s="3" t="s">
        <v>37</v>
      </c>
      <c r="O14233" s="3" t="s">
        <v>38</v>
      </c>
      <c r="P14233" s="5">
        <v>9</v>
      </c>
      <c r="Q14233" s="5">
        <v>68</v>
      </c>
      <c r="R14233" s="5">
        <v>10</v>
      </c>
      <c r="S14233" s="5">
        <v>72</v>
      </c>
    </row>
    <row r="14234" spans="1:19" ht="42" x14ac:dyDescent="0.15">
      <c r="A14234" s="2">
        <f>HYPERLINK("https://open-school.uspishnemisto.com.ua/school/680330/", 680330)</f>
        <v>680330</v>
      </c>
      <c r="B14234" s="3" t="s">
        <v>71772</v>
      </c>
      <c r="C14234" s="3" t="s">
        <v>54</v>
      </c>
      <c r="D14234" s="3" t="s">
        <v>32</v>
      </c>
      <c r="E14234" s="4" t="s">
        <v>22</v>
      </c>
      <c r="F14234" s="4" t="s">
        <v>71773</v>
      </c>
      <c r="G14234" s="4" t="s">
        <v>71774</v>
      </c>
      <c r="H14234" s="3" t="s">
        <v>70238</v>
      </c>
      <c r="I14234" s="3" t="s">
        <v>71775</v>
      </c>
      <c r="J14234" s="3" t="s">
        <v>1192</v>
      </c>
      <c r="K14234" s="3" t="s">
        <v>71776</v>
      </c>
      <c r="L14234" s="3"/>
      <c r="M14234" s="4"/>
      <c r="N14234" s="3" t="s">
        <v>37</v>
      </c>
      <c r="O14234" s="3" t="s">
        <v>38</v>
      </c>
      <c r="P14234" s="5">
        <v>8</v>
      </c>
      <c r="Q14234" s="5">
        <v>67</v>
      </c>
      <c r="R14234" s="5">
        <v>8</v>
      </c>
      <c r="S14234" s="5">
        <v>65</v>
      </c>
    </row>
    <row r="14235" spans="1:19" ht="28" x14ac:dyDescent="0.15">
      <c r="A14235" s="2">
        <f>HYPERLINK("https://open-school.uspishnemisto.com.ua/school/680331/", 680331)</f>
        <v>680331</v>
      </c>
      <c r="B14235" s="3" t="s">
        <v>71777</v>
      </c>
      <c r="C14235" s="3" t="s">
        <v>54</v>
      </c>
      <c r="D14235" s="3" t="s">
        <v>60</v>
      </c>
      <c r="E14235" s="4" t="s">
        <v>22</v>
      </c>
      <c r="F14235" s="4" t="s">
        <v>71778</v>
      </c>
      <c r="G14235" s="4" t="s">
        <v>71779</v>
      </c>
      <c r="H14235" s="3" t="s">
        <v>70238</v>
      </c>
      <c r="I14235" s="3" t="s">
        <v>71780</v>
      </c>
      <c r="J14235" s="3"/>
      <c r="K14235" s="3"/>
      <c r="L14235" s="3"/>
      <c r="M14235" s="4"/>
      <c r="N14235" s="3" t="s">
        <v>37</v>
      </c>
      <c r="O14235" s="3" t="s">
        <v>52</v>
      </c>
      <c r="P14235" s="5">
        <v>2</v>
      </c>
      <c r="Q14235" s="5">
        <v>11</v>
      </c>
      <c r="R14235" s="5">
        <v>1</v>
      </c>
      <c r="S14235" s="5">
        <v>10</v>
      </c>
    </row>
    <row r="14236" spans="1:19" ht="28" x14ac:dyDescent="0.15">
      <c r="A14236" s="2">
        <f>HYPERLINK("https://open-school.uspishnemisto.com.ua/school/680332/", 680332)</f>
        <v>680332</v>
      </c>
      <c r="B14236" s="3" t="s">
        <v>71781</v>
      </c>
      <c r="C14236" s="3" t="s">
        <v>31</v>
      </c>
      <c r="D14236" s="3" t="s">
        <v>175</v>
      </c>
      <c r="E14236" s="4" t="s">
        <v>22</v>
      </c>
      <c r="F14236" s="4" t="s">
        <v>71778</v>
      </c>
      <c r="G14236" s="4" t="s">
        <v>71782</v>
      </c>
      <c r="H14236" s="3" t="s">
        <v>70238</v>
      </c>
      <c r="I14236" s="3" t="s">
        <v>71783</v>
      </c>
      <c r="J14236" s="3" t="s">
        <v>19284</v>
      </c>
      <c r="K14236" s="3"/>
      <c r="L14236" s="3"/>
      <c r="M14236" s="4"/>
      <c r="N14236" s="3" t="s">
        <v>37</v>
      </c>
      <c r="O14236" s="3" t="s">
        <v>38</v>
      </c>
      <c r="P14236" s="5">
        <v>4</v>
      </c>
      <c r="Q14236" s="5">
        <v>28</v>
      </c>
      <c r="R14236" s="5">
        <v>4</v>
      </c>
      <c r="S14236" s="5">
        <v>30</v>
      </c>
    </row>
    <row r="14237" spans="1:19" ht="42" x14ac:dyDescent="0.15">
      <c r="A14237" s="2">
        <f>HYPERLINK("https://open-school.uspishnemisto.com.ua/school/680333/", 680333)</f>
        <v>680333</v>
      </c>
      <c r="B14237" s="3" t="s">
        <v>71784</v>
      </c>
      <c r="C14237" s="3" t="s">
        <v>244</v>
      </c>
      <c r="D14237" s="3" t="s">
        <v>32</v>
      </c>
      <c r="E14237" s="4" t="s">
        <v>22</v>
      </c>
      <c r="F14237" s="4" t="s">
        <v>71785</v>
      </c>
      <c r="G14237" s="4" t="s">
        <v>71786</v>
      </c>
      <c r="H14237" s="3" t="s">
        <v>70238</v>
      </c>
      <c r="I14237" s="3" t="s">
        <v>71787</v>
      </c>
      <c r="J14237" s="3" t="s">
        <v>71788</v>
      </c>
      <c r="K14237" s="3" t="s">
        <v>71789</v>
      </c>
      <c r="L14237" s="3"/>
      <c r="M14237" s="4"/>
      <c r="N14237" s="3" t="s">
        <v>37</v>
      </c>
      <c r="O14237" s="3" t="s">
        <v>46</v>
      </c>
      <c r="P14237" s="5">
        <v>11</v>
      </c>
      <c r="Q14237" s="5">
        <v>124</v>
      </c>
      <c r="R14237" s="5">
        <v>11</v>
      </c>
      <c r="S14237" s="5">
        <v>140</v>
      </c>
    </row>
    <row r="14238" spans="1:19" ht="28" x14ac:dyDescent="0.15">
      <c r="A14238" s="2">
        <f>HYPERLINK("https://open-school.uspishnemisto.com.ua/school/680334/", 680334)</f>
        <v>680334</v>
      </c>
      <c r="B14238" s="3" t="s">
        <v>71790</v>
      </c>
      <c r="C14238" s="3" t="s">
        <v>31</v>
      </c>
      <c r="D14238" s="3" t="s">
        <v>175</v>
      </c>
      <c r="E14238" s="4" t="s">
        <v>22</v>
      </c>
      <c r="F14238" s="4" t="s">
        <v>71791</v>
      </c>
      <c r="G14238" s="4" t="s">
        <v>71792</v>
      </c>
      <c r="H14238" s="3" t="s">
        <v>70238</v>
      </c>
      <c r="I14238" s="3" t="s">
        <v>71793</v>
      </c>
      <c r="J14238" s="3" t="s">
        <v>11043</v>
      </c>
      <c r="K14238" s="3"/>
      <c r="L14238" s="3"/>
      <c r="M14238" s="4"/>
      <c r="N14238" s="3" t="s">
        <v>37</v>
      </c>
      <c r="O14238" s="3" t="s">
        <v>46</v>
      </c>
      <c r="P14238" s="5">
        <v>2</v>
      </c>
      <c r="Q14238" s="5">
        <v>28</v>
      </c>
      <c r="R14238" s="5">
        <v>2</v>
      </c>
      <c r="S14238" s="5">
        <v>27</v>
      </c>
    </row>
    <row r="14239" spans="1:19" ht="42" x14ac:dyDescent="0.15">
      <c r="A14239" s="2">
        <f>HYPERLINK("https://open-school.uspishnemisto.com.ua/school/680336/", 680336)</f>
        <v>680336</v>
      </c>
      <c r="B14239" s="3" t="s">
        <v>71794</v>
      </c>
      <c r="C14239" s="3" t="s">
        <v>31</v>
      </c>
      <c r="D14239" s="3" t="s">
        <v>32</v>
      </c>
      <c r="E14239" s="4" t="s">
        <v>22</v>
      </c>
      <c r="F14239" s="4" t="s">
        <v>71795</v>
      </c>
      <c r="G14239" s="4" t="s">
        <v>71796</v>
      </c>
      <c r="H14239" s="3" t="s">
        <v>70238</v>
      </c>
      <c r="I14239" s="3" t="s">
        <v>71797</v>
      </c>
      <c r="J14239" s="3" t="s">
        <v>466</v>
      </c>
      <c r="K14239" s="3" t="s">
        <v>71798</v>
      </c>
      <c r="L14239" s="3" t="s">
        <v>71799</v>
      </c>
      <c r="M14239" s="4"/>
      <c r="N14239" s="3" t="s">
        <v>37</v>
      </c>
      <c r="O14239" s="3" t="s">
        <v>46</v>
      </c>
      <c r="P14239" s="5">
        <v>7</v>
      </c>
      <c r="Q14239" s="5">
        <v>60</v>
      </c>
      <c r="R14239" s="5">
        <v>7</v>
      </c>
      <c r="S14239" s="5">
        <v>68</v>
      </c>
    </row>
    <row r="14240" spans="1:19" ht="42" x14ac:dyDescent="0.15">
      <c r="A14240" s="2">
        <f>HYPERLINK("https://open-school.uspishnemisto.com.ua/school/680337/", 680337)</f>
        <v>680337</v>
      </c>
      <c r="B14240" s="3" t="s">
        <v>71800</v>
      </c>
      <c r="C14240" s="3" t="s">
        <v>31</v>
      </c>
      <c r="D14240" s="3" t="s">
        <v>32</v>
      </c>
      <c r="E14240" s="4" t="s">
        <v>22</v>
      </c>
      <c r="F14240" s="4" t="s">
        <v>71801</v>
      </c>
      <c r="G14240" s="4" t="s">
        <v>71802</v>
      </c>
      <c r="H14240" s="3" t="s">
        <v>70238</v>
      </c>
      <c r="I14240" s="3" t="s">
        <v>28539</v>
      </c>
      <c r="J14240" s="3" t="s">
        <v>37758</v>
      </c>
      <c r="K14240" s="3" t="s">
        <v>71803</v>
      </c>
      <c r="L14240" s="3" t="s">
        <v>71804</v>
      </c>
      <c r="M14240" s="4"/>
      <c r="N14240" s="3" t="s">
        <v>37</v>
      </c>
      <c r="O14240" s="3" t="s">
        <v>46</v>
      </c>
      <c r="P14240" s="5">
        <v>11</v>
      </c>
      <c r="Q14240" s="5">
        <v>180</v>
      </c>
      <c r="R14240" s="5">
        <v>10</v>
      </c>
      <c r="S14240" s="5">
        <v>166</v>
      </c>
    </row>
    <row r="14241" spans="1:19" ht="56" x14ac:dyDescent="0.15">
      <c r="A14241" s="2">
        <f>HYPERLINK("https://open-school.uspishnemisto.com.ua/school/680339/", 680339)</f>
        <v>680339</v>
      </c>
      <c r="B14241" s="3" t="s">
        <v>71805</v>
      </c>
      <c r="C14241" s="3" t="s">
        <v>188</v>
      </c>
      <c r="D14241" s="3" t="s">
        <v>32</v>
      </c>
      <c r="E14241" s="4" t="s">
        <v>22</v>
      </c>
      <c r="F14241" s="4" t="s">
        <v>71806</v>
      </c>
      <c r="G14241" s="4" t="s">
        <v>71807</v>
      </c>
      <c r="H14241" s="3" t="s">
        <v>70238</v>
      </c>
      <c r="I14241" s="3" t="s">
        <v>30168</v>
      </c>
      <c r="J14241" s="3" t="s">
        <v>71808</v>
      </c>
      <c r="K14241" s="3" t="s">
        <v>71809</v>
      </c>
      <c r="L14241" s="3"/>
      <c r="M14241" s="4"/>
      <c r="N14241" s="3" t="s">
        <v>37</v>
      </c>
      <c r="O14241" s="3" t="s">
        <v>70</v>
      </c>
      <c r="P14241" s="5">
        <v>11</v>
      </c>
      <c r="Q14241" s="5">
        <v>104</v>
      </c>
      <c r="R14241" s="5">
        <v>11</v>
      </c>
      <c r="S14241" s="5">
        <v>107</v>
      </c>
    </row>
    <row r="14242" spans="1:19" ht="56" x14ac:dyDescent="0.15">
      <c r="A14242" s="2">
        <f>HYPERLINK("https://open-school.uspishnemisto.com.ua/school/680340/", 680340)</f>
        <v>680340</v>
      </c>
      <c r="B14242" s="3" t="s">
        <v>71810</v>
      </c>
      <c r="C14242" s="3" t="s">
        <v>40</v>
      </c>
      <c r="D14242" s="3" t="s">
        <v>32</v>
      </c>
      <c r="E14242" s="4" t="s">
        <v>22</v>
      </c>
      <c r="F14242" s="4" t="s">
        <v>71811</v>
      </c>
      <c r="G14242" s="4" t="s">
        <v>71812</v>
      </c>
      <c r="H14242" s="3" t="s">
        <v>70238</v>
      </c>
      <c r="I14242" s="3" t="s">
        <v>71813</v>
      </c>
      <c r="J14242" s="3" t="s">
        <v>634</v>
      </c>
      <c r="K14242" s="3" t="s">
        <v>71814</v>
      </c>
      <c r="L14242" s="3"/>
      <c r="M14242" s="4"/>
      <c r="N14242" s="3" t="s">
        <v>37</v>
      </c>
      <c r="O14242" s="3" t="s">
        <v>46</v>
      </c>
      <c r="P14242" s="5">
        <v>21</v>
      </c>
      <c r="Q14242" s="5">
        <v>238</v>
      </c>
      <c r="R14242" s="5">
        <v>17</v>
      </c>
      <c r="S14242" s="5">
        <v>198</v>
      </c>
    </row>
    <row r="14243" spans="1:19" ht="42" x14ac:dyDescent="0.15">
      <c r="A14243" s="2">
        <f>HYPERLINK("https://open-school.uspishnemisto.com.ua/school/680341/", 680341)</f>
        <v>680341</v>
      </c>
      <c r="B14243" s="3" t="s">
        <v>71815</v>
      </c>
      <c r="C14243" s="3" t="s">
        <v>31</v>
      </c>
      <c r="D14243" s="3" t="s">
        <v>175</v>
      </c>
      <c r="E14243" s="4" t="s">
        <v>22</v>
      </c>
      <c r="F14243" s="4" t="s">
        <v>71816</v>
      </c>
      <c r="G14243" s="4" t="s">
        <v>71817</v>
      </c>
      <c r="H14243" s="3" t="s">
        <v>70238</v>
      </c>
      <c r="I14243" s="3" t="s">
        <v>2020</v>
      </c>
      <c r="J14243" s="3" t="s">
        <v>466</v>
      </c>
      <c r="K14243" s="3" t="s">
        <v>71818</v>
      </c>
      <c r="L14243" s="3"/>
      <c r="M14243" s="4"/>
      <c r="N14243" s="3" t="s">
        <v>37</v>
      </c>
      <c r="O14243" s="3" t="s">
        <v>46</v>
      </c>
      <c r="P14243" s="5">
        <v>9</v>
      </c>
      <c r="Q14243" s="5">
        <v>148</v>
      </c>
      <c r="R14243" s="5">
        <v>9</v>
      </c>
      <c r="S14243" s="5">
        <v>143</v>
      </c>
    </row>
    <row r="14244" spans="1:19" ht="42" x14ac:dyDescent="0.15">
      <c r="A14244" s="2">
        <f>HYPERLINK("https://open-school.uspishnemisto.com.ua/school/680342/", 680342)</f>
        <v>680342</v>
      </c>
      <c r="B14244" s="3" t="s">
        <v>71819</v>
      </c>
      <c r="C14244" s="3" t="s">
        <v>31</v>
      </c>
      <c r="D14244" s="3" t="s">
        <v>175</v>
      </c>
      <c r="E14244" s="4" t="s">
        <v>22</v>
      </c>
      <c r="F14244" s="4" t="s">
        <v>71820</v>
      </c>
      <c r="G14244" s="4" t="s">
        <v>71821</v>
      </c>
      <c r="H14244" s="3" t="s">
        <v>70238</v>
      </c>
      <c r="I14244" s="3" t="s">
        <v>71822</v>
      </c>
      <c r="J14244" s="3" t="s">
        <v>71823</v>
      </c>
      <c r="K14244" s="3"/>
      <c r="L14244" s="3"/>
      <c r="M14244" s="4"/>
      <c r="N14244" s="3" t="s">
        <v>37</v>
      </c>
      <c r="O14244" s="3" t="s">
        <v>46</v>
      </c>
      <c r="P14244" s="5">
        <v>8</v>
      </c>
      <c r="Q14244" s="5">
        <v>65</v>
      </c>
      <c r="R14244" s="5">
        <v>7</v>
      </c>
      <c r="S14244" s="5">
        <v>57</v>
      </c>
    </row>
    <row r="14245" spans="1:19" ht="28" x14ac:dyDescent="0.15">
      <c r="A14245" s="2">
        <f>HYPERLINK("https://open-school.uspishnemisto.com.ua/school/680343/", 680343)</f>
        <v>680343</v>
      </c>
      <c r="B14245" s="3" t="s">
        <v>71824</v>
      </c>
      <c r="C14245" s="3" t="s">
        <v>31</v>
      </c>
      <c r="D14245" s="3" t="s">
        <v>32</v>
      </c>
      <c r="E14245" s="4" t="s">
        <v>22</v>
      </c>
      <c r="F14245" s="4" t="s">
        <v>71825</v>
      </c>
      <c r="G14245" s="4" t="s">
        <v>71826</v>
      </c>
      <c r="H14245" s="3" t="s">
        <v>70238</v>
      </c>
      <c r="I14245" s="3" t="s">
        <v>71827</v>
      </c>
      <c r="J14245" s="3" t="s">
        <v>554</v>
      </c>
      <c r="K14245" s="3"/>
      <c r="L14245" s="3" t="s">
        <v>71828</v>
      </c>
      <c r="M14245" s="4"/>
      <c r="N14245" s="3" t="s">
        <v>37</v>
      </c>
      <c r="O14245" s="3" t="s">
        <v>38</v>
      </c>
      <c r="P14245" s="5">
        <v>2</v>
      </c>
      <c r="Q14245" s="5">
        <v>35</v>
      </c>
      <c r="R14245" s="5">
        <v>5</v>
      </c>
      <c r="S14245" s="5">
        <v>53</v>
      </c>
    </row>
    <row r="14246" spans="1:19" ht="42" x14ac:dyDescent="0.15">
      <c r="A14246" s="2">
        <f>HYPERLINK("https://open-school.uspishnemisto.com.ua/school/680344/", 680344)</f>
        <v>680344</v>
      </c>
      <c r="B14246" s="3" t="s">
        <v>71829</v>
      </c>
      <c r="C14246" s="3" t="s">
        <v>2128</v>
      </c>
      <c r="D14246" s="3" t="s">
        <v>32</v>
      </c>
      <c r="E14246" s="4" t="s">
        <v>22</v>
      </c>
      <c r="F14246" s="4" t="s">
        <v>71830</v>
      </c>
      <c r="G14246" s="4" t="s">
        <v>71831</v>
      </c>
      <c r="H14246" s="3" t="s">
        <v>70238</v>
      </c>
      <c r="I14246" s="3" t="s">
        <v>4525</v>
      </c>
      <c r="J14246" s="3" t="s">
        <v>634</v>
      </c>
      <c r="K14246" s="3" t="s">
        <v>71832</v>
      </c>
      <c r="L14246" s="3" t="s">
        <v>71833</v>
      </c>
      <c r="M14246" s="4" t="s">
        <v>71834</v>
      </c>
      <c r="N14246" s="3" t="s">
        <v>37</v>
      </c>
      <c r="O14246" s="3" t="s">
        <v>46</v>
      </c>
      <c r="P14246" s="5">
        <v>16</v>
      </c>
      <c r="Q14246" s="5">
        <v>271</v>
      </c>
      <c r="R14246" s="5">
        <v>15</v>
      </c>
      <c r="S14246" s="5">
        <v>259</v>
      </c>
    </row>
    <row r="14247" spans="1:19" ht="56" x14ac:dyDescent="0.15">
      <c r="A14247" s="2">
        <f>HYPERLINK("https://open-school.uspishnemisto.com.ua/school/680345/", 680345)</f>
        <v>680345</v>
      </c>
      <c r="B14247" s="3" t="s">
        <v>71835</v>
      </c>
      <c r="C14247" s="3" t="s">
        <v>54</v>
      </c>
      <c r="D14247" s="3" t="s">
        <v>175</v>
      </c>
      <c r="E14247" s="4" t="s">
        <v>22</v>
      </c>
      <c r="F14247" s="4" t="s">
        <v>31020</v>
      </c>
      <c r="G14247" s="4" t="s">
        <v>71836</v>
      </c>
      <c r="H14247" s="3" t="s">
        <v>70238</v>
      </c>
      <c r="I14247" s="3" t="s">
        <v>61552</v>
      </c>
      <c r="J14247" s="3" t="s">
        <v>71837</v>
      </c>
      <c r="K14247" s="3" t="s">
        <v>71838</v>
      </c>
      <c r="L14247" s="3"/>
      <c r="M14247" s="4"/>
      <c r="N14247" s="3" t="s">
        <v>37</v>
      </c>
      <c r="O14247" s="3" t="s">
        <v>46</v>
      </c>
      <c r="P14247" s="5">
        <v>5</v>
      </c>
      <c r="Q14247" s="5">
        <v>51</v>
      </c>
      <c r="R14247" s="5">
        <v>4</v>
      </c>
      <c r="S14247" s="5">
        <v>48</v>
      </c>
    </row>
    <row r="14248" spans="1:19" ht="56" x14ac:dyDescent="0.15">
      <c r="A14248" s="2">
        <f>HYPERLINK("https://open-school.uspishnemisto.com.ua/school/680346/", 680346)</f>
        <v>680346</v>
      </c>
      <c r="B14248" s="3" t="s">
        <v>71839</v>
      </c>
      <c r="C14248" s="3" t="s">
        <v>54</v>
      </c>
      <c r="D14248" s="3" t="s">
        <v>175</v>
      </c>
      <c r="E14248" s="4" t="s">
        <v>22</v>
      </c>
      <c r="F14248" s="4" t="s">
        <v>71840</v>
      </c>
      <c r="G14248" s="4" t="s">
        <v>71841</v>
      </c>
      <c r="H14248" s="3" t="s">
        <v>70238</v>
      </c>
      <c r="I14248" s="3" t="s">
        <v>71842</v>
      </c>
      <c r="J14248" s="3" t="s">
        <v>71843</v>
      </c>
      <c r="K14248" s="3" t="s">
        <v>71844</v>
      </c>
      <c r="L14248" s="3" t="s">
        <v>71845</v>
      </c>
      <c r="M14248" s="4"/>
      <c r="N14248" s="3" t="s">
        <v>37</v>
      </c>
      <c r="O14248" s="3" t="s">
        <v>46</v>
      </c>
      <c r="P14248" s="5">
        <v>9</v>
      </c>
      <c r="Q14248" s="5">
        <v>68</v>
      </c>
      <c r="R14248" s="5">
        <v>9</v>
      </c>
      <c r="S14248" s="5">
        <v>64</v>
      </c>
    </row>
    <row r="14249" spans="1:19" ht="28" x14ac:dyDescent="0.15">
      <c r="A14249" s="2">
        <f>HYPERLINK("https://open-school.uspishnemisto.com.ua/school/680347/", 680347)</f>
        <v>680347</v>
      </c>
      <c r="B14249" s="3" t="s">
        <v>71846</v>
      </c>
      <c r="C14249" s="3" t="s">
        <v>31</v>
      </c>
      <c r="D14249" s="3" t="s">
        <v>32</v>
      </c>
      <c r="E14249" s="4" t="s">
        <v>22</v>
      </c>
      <c r="F14249" s="4" t="s">
        <v>71847</v>
      </c>
      <c r="G14249" s="4" t="s">
        <v>71848</v>
      </c>
      <c r="H14249" s="3" t="s">
        <v>70238</v>
      </c>
      <c r="I14249" s="3" t="s">
        <v>71849</v>
      </c>
      <c r="J14249" s="3" t="s">
        <v>2820</v>
      </c>
      <c r="K14249" s="3" t="s">
        <v>71850</v>
      </c>
      <c r="L14249" s="3"/>
      <c r="M14249" s="4"/>
      <c r="N14249" s="3" t="s">
        <v>37</v>
      </c>
      <c r="O14249" s="3" t="s">
        <v>38</v>
      </c>
      <c r="P14249" s="5">
        <v>9</v>
      </c>
      <c r="Q14249" s="5">
        <v>110</v>
      </c>
      <c r="R14249" s="5">
        <v>10</v>
      </c>
      <c r="S14249" s="5">
        <v>103</v>
      </c>
    </row>
    <row r="14250" spans="1:19" ht="28" x14ac:dyDescent="0.15">
      <c r="A14250" s="2">
        <f>HYPERLINK("https://open-school.uspishnemisto.com.ua/school/680348/", 680348)</f>
        <v>680348</v>
      </c>
      <c r="B14250" s="3" t="s">
        <v>71851</v>
      </c>
      <c r="C14250" s="3" t="s">
        <v>31</v>
      </c>
      <c r="D14250" s="3" t="s">
        <v>32</v>
      </c>
      <c r="E14250" s="4" t="s">
        <v>22</v>
      </c>
      <c r="F14250" s="4" t="s">
        <v>71852</v>
      </c>
      <c r="G14250" s="4" t="s">
        <v>71853</v>
      </c>
      <c r="H14250" s="3" t="s">
        <v>70238</v>
      </c>
      <c r="I14250" s="3" t="s">
        <v>29935</v>
      </c>
      <c r="J14250" s="3" t="s">
        <v>71854</v>
      </c>
      <c r="K14250" s="3"/>
      <c r="L14250" s="3"/>
      <c r="M14250" s="4"/>
      <c r="N14250" s="3" t="s">
        <v>37</v>
      </c>
      <c r="O14250" s="3" t="s">
        <v>46</v>
      </c>
      <c r="P14250" s="5">
        <v>6</v>
      </c>
      <c r="Q14250" s="5">
        <v>53</v>
      </c>
      <c r="R14250" s="5">
        <v>7</v>
      </c>
      <c r="S14250" s="5">
        <v>51</v>
      </c>
    </row>
    <row r="14251" spans="1:19" ht="28" x14ac:dyDescent="0.15">
      <c r="A14251" s="2">
        <f>HYPERLINK("https://open-school.uspishnemisto.com.ua/school/680349/", 680349)</f>
        <v>680349</v>
      </c>
      <c r="B14251" s="3" t="s">
        <v>71855</v>
      </c>
      <c r="C14251" s="3" t="s">
        <v>31</v>
      </c>
      <c r="D14251" s="3" t="s">
        <v>175</v>
      </c>
      <c r="E14251" s="4" t="s">
        <v>22</v>
      </c>
      <c r="F14251" s="4" t="s">
        <v>71856</v>
      </c>
      <c r="G14251" s="4" t="s">
        <v>71857</v>
      </c>
      <c r="H14251" s="3" t="s">
        <v>70238</v>
      </c>
      <c r="I14251" s="3" t="s">
        <v>71858</v>
      </c>
      <c r="J14251" s="3" t="s">
        <v>4822</v>
      </c>
      <c r="K14251" s="3" t="s">
        <v>71859</v>
      </c>
      <c r="L14251" s="3" t="s">
        <v>71860</v>
      </c>
      <c r="M14251" s="4"/>
      <c r="N14251" s="3" t="s">
        <v>37</v>
      </c>
      <c r="O14251" s="3" t="s">
        <v>38</v>
      </c>
      <c r="P14251" s="5">
        <v>9</v>
      </c>
      <c r="Q14251" s="5">
        <v>83</v>
      </c>
      <c r="R14251" s="5">
        <v>9</v>
      </c>
      <c r="S14251" s="5">
        <v>81</v>
      </c>
    </row>
    <row r="14252" spans="1:19" ht="56" x14ac:dyDescent="0.15">
      <c r="A14252" s="2">
        <f>HYPERLINK("https://open-school.uspishnemisto.com.ua/school/680350/", 680350)</f>
        <v>680350</v>
      </c>
      <c r="B14252" s="3" t="s">
        <v>71861</v>
      </c>
      <c r="C14252" s="3" t="s">
        <v>54</v>
      </c>
      <c r="D14252" s="3" t="s">
        <v>32</v>
      </c>
      <c r="E14252" s="4" t="s">
        <v>22</v>
      </c>
      <c r="F14252" s="4" t="s">
        <v>71862</v>
      </c>
      <c r="G14252" s="4" t="s">
        <v>71863</v>
      </c>
      <c r="H14252" s="3" t="s">
        <v>70238</v>
      </c>
      <c r="I14252" s="3" t="s">
        <v>71864</v>
      </c>
      <c r="J14252" s="3" t="s">
        <v>47144</v>
      </c>
      <c r="K14252" s="3"/>
      <c r="L14252" s="3"/>
      <c r="M14252" s="4"/>
      <c r="N14252" s="3" t="s">
        <v>37</v>
      </c>
      <c r="O14252" s="3" t="s">
        <v>46</v>
      </c>
      <c r="P14252" s="5">
        <v>10</v>
      </c>
      <c r="Q14252" s="5">
        <v>71</v>
      </c>
      <c r="R14252" s="5">
        <v>9</v>
      </c>
      <c r="S14252" s="5">
        <v>69</v>
      </c>
    </row>
    <row r="14253" spans="1:19" ht="42" x14ac:dyDescent="0.15">
      <c r="A14253" s="2">
        <f>HYPERLINK("https://open-school.uspishnemisto.com.ua/school/680351/", 680351)</f>
        <v>680351</v>
      </c>
      <c r="B14253" s="3" t="s">
        <v>71865</v>
      </c>
      <c r="C14253" s="3" t="s">
        <v>31</v>
      </c>
      <c r="D14253" s="3" t="s">
        <v>32</v>
      </c>
      <c r="E14253" s="4" t="s">
        <v>22</v>
      </c>
      <c r="F14253" s="4" t="s">
        <v>71866</v>
      </c>
      <c r="G14253" s="4" t="s">
        <v>71867</v>
      </c>
      <c r="H14253" s="3" t="s">
        <v>70238</v>
      </c>
      <c r="I14253" s="3" t="s">
        <v>71868</v>
      </c>
      <c r="J14253" s="3" t="s">
        <v>1624</v>
      </c>
      <c r="K14253" s="3" t="s">
        <v>71869</v>
      </c>
      <c r="L14253" s="3"/>
      <c r="M14253" s="4"/>
      <c r="N14253" s="3" t="s">
        <v>37</v>
      </c>
      <c r="O14253" s="3" t="s">
        <v>38</v>
      </c>
      <c r="P14253" s="5">
        <v>11</v>
      </c>
      <c r="Q14253" s="5">
        <v>145</v>
      </c>
      <c r="R14253" s="5">
        <v>10</v>
      </c>
      <c r="S14253" s="5">
        <v>139</v>
      </c>
    </row>
    <row r="14254" spans="1:19" ht="28" x14ac:dyDescent="0.15">
      <c r="A14254" s="2">
        <f>HYPERLINK("https://open-school.uspishnemisto.com.ua/school/680352/", 680352)</f>
        <v>680352</v>
      </c>
      <c r="B14254" s="3" t="s">
        <v>71870</v>
      </c>
      <c r="C14254" s="3" t="s">
        <v>31</v>
      </c>
      <c r="D14254" s="3" t="s">
        <v>175</v>
      </c>
      <c r="E14254" s="4" t="s">
        <v>22</v>
      </c>
      <c r="F14254" s="4" t="s">
        <v>71871</v>
      </c>
      <c r="G14254" s="4" t="s">
        <v>71872</v>
      </c>
      <c r="H14254" s="3" t="s">
        <v>70238</v>
      </c>
      <c r="I14254" s="3" t="s">
        <v>71873</v>
      </c>
      <c r="J14254" s="3" t="s">
        <v>71874</v>
      </c>
      <c r="K14254" s="3" t="s">
        <v>71875</v>
      </c>
      <c r="L14254" s="3"/>
      <c r="M14254" s="4"/>
      <c r="N14254" s="3" t="s">
        <v>37</v>
      </c>
      <c r="O14254" s="3" t="s">
        <v>46</v>
      </c>
      <c r="P14254" s="5">
        <v>0</v>
      </c>
      <c r="Q14254" s="5">
        <v>0</v>
      </c>
      <c r="R14254" s="5">
        <v>0</v>
      </c>
      <c r="S14254" s="5">
        <v>27</v>
      </c>
    </row>
    <row r="14255" spans="1:19" ht="28" x14ac:dyDescent="0.15">
      <c r="A14255" s="2">
        <f>HYPERLINK("https://open-school.uspishnemisto.com.ua/school/680353/", 680353)</f>
        <v>680353</v>
      </c>
      <c r="B14255" s="3" t="s">
        <v>71876</v>
      </c>
      <c r="C14255" s="3" t="s">
        <v>31</v>
      </c>
      <c r="D14255" s="3" t="s">
        <v>32</v>
      </c>
      <c r="E14255" s="4" t="s">
        <v>22</v>
      </c>
      <c r="F14255" s="4" t="s">
        <v>71877</v>
      </c>
      <c r="G14255" s="4" t="s">
        <v>71878</v>
      </c>
      <c r="H14255" s="3" t="s">
        <v>70238</v>
      </c>
      <c r="I14255" s="3" t="s">
        <v>3999</v>
      </c>
      <c r="J14255" s="3" t="s">
        <v>4747</v>
      </c>
      <c r="K14255" s="3" t="s">
        <v>71879</v>
      </c>
      <c r="L14255" s="3" t="s">
        <v>71880</v>
      </c>
      <c r="M14255" s="4"/>
      <c r="N14255" s="3" t="s">
        <v>37</v>
      </c>
      <c r="O14255" s="3" t="s">
        <v>46</v>
      </c>
      <c r="P14255" s="5">
        <v>10</v>
      </c>
      <c r="Q14255" s="5">
        <v>90</v>
      </c>
      <c r="R14255" s="5">
        <v>9</v>
      </c>
      <c r="S14255" s="5">
        <v>75</v>
      </c>
    </row>
    <row r="14256" spans="1:19" ht="28" x14ac:dyDescent="0.15">
      <c r="A14256" s="2">
        <f>HYPERLINK("https://open-school.uspishnemisto.com.ua/school/680354/", 680354)</f>
        <v>680354</v>
      </c>
      <c r="B14256" s="3" t="s">
        <v>71881</v>
      </c>
      <c r="C14256" s="3" t="s">
        <v>31</v>
      </c>
      <c r="D14256" s="3" t="s">
        <v>175</v>
      </c>
      <c r="E14256" s="4" t="s">
        <v>22</v>
      </c>
      <c r="F14256" s="4" t="s">
        <v>71882</v>
      </c>
      <c r="G14256" s="4" t="s">
        <v>71883</v>
      </c>
      <c r="H14256" s="3" t="s">
        <v>70238</v>
      </c>
      <c r="I14256" s="3" t="s">
        <v>10829</v>
      </c>
      <c r="J14256" s="3" t="s">
        <v>6288</v>
      </c>
      <c r="K14256" s="3" t="s">
        <v>71884</v>
      </c>
      <c r="L14256" s="3"/>
      <c r="M14256" s="4"/>
      <c r="N14256" s="3" t="s">
        <v>37</v>
      </c>
      <c r="O14256" s="3" t="s">
        <v>46</v>
      </c>
      <c r="P14256" s="5">
        <v>9</v>
      </c>
      <c r="Q14256" s="5">
        <v>80</v>
      </c>
      <c r="R14256" s="5">
        <v>9</v>
      </c>
      <c r="S14256" s="5">
        <v>79</v>
      </c>
    </row>
    <row r="14257" spans="1:19" ht="42" x14ac:dyDescent="0.15">
      <c r="A14257" s="2">
        <f>HYPERLINK("https://open-school.uspishnemisto.com.ua/school/680355/", 680355)</f>
        <v>680355</v>
      </c>
      <c r="B14257" s="3" t="s">
        <v>71885</v>
      </c>
      <c r="C14257" s="3" t="s">
        <v>54</v>
      </c>
      <c r="D14257" s="3" t="s">
        <v>32</v>
      </c>
      <c r="E14257" s="4" t="s">
        <v>22</v>
      </c>
      <c r="F14257" s="4" t="s">
        <v>71886</v>
      </c>
      <c r="G14257" s="4" t="s">
        <v>71887</v>
      </c>
      <c r="H14257" s="3" t="s">
        <v>70238</v>
      </c>
      <c r="I14257" s="3" t="s">
        <v>1541</v>
      </c>
      <c r="J14257" s="3" t="s">
        <v>6191</v>
      </c>
      <c r="K14257" s="3" t="s">
        <v>71888</v>
      </c>
      <c r="L14257" s="3"/>
      <c r="M14257" s="4"/>
      <c r="N14257" s="3" t="s">
        <v>37</v>
      </c>
      <c r="O14257" s="3" t="s">
        <v>38</v>
      </c>
      <c r="P14257" s="5">
        <v>3</v>
      </c>
      <c r="Q14257" s="5">
        <v>31</v>
      </c>
      <c r="R14257" s="5">
        <v>2</v>
      </c>
      <c r="S14257" s="5">
        <v>27</v>
      </c>
    </row>
    <row r="14258" spans="1:19" ht="28" x14ac:dyDescent="0.15">
      <c r="A14258" s="2">
        <f>HYPERLINK("https://open-school.uspishnemisto.com.ua/school/680356/", 680356)</f>
        <v>680356</v>
      </c>
      <c r="B14258" s="3" t="s">
        <v>71889</v>
      </c>
      <c r="C14258" s="3" t="s">
        <v>31</v>
      </c>
      <c r="D14258" s="3" t="s">
        <v>175</v>
      </c>
      <c r="E14258" s="4" t="s">
        <v>22</v>
      </c>
      <c r="F14258" s="4" t="s">
        <v>71890</v>
      </c>
      <c r="G14258" s="4" t="s">
        <v>71891</v>
      </c>
      <c r="H14258" s="3" t="s">
        <v>70238</v>
      </c>
      <c r="I14258" s="3" t="s">
        <v>71892</v>
      </c>
      <c r="J14258" s="3" t="s">
        <v>7277</v>
      </c>
      <c r="K14258" s="3" t="s">
        <v>71893</v>
      </c>
      <c r="L14258" s="3"/>
      <c r="M14258" s="4"/>
      <c r="N14258" s="3" t="s">
        <v>37</v>
      </c>
      <c r="O14258" s="3" t="s">
        <v>52</v>
      </c>
      <c r="P14258" s="5">
        <v>3</v>
      </c>
      <c r="Q14258" s="5">
        <v>25</v>
      </c>
      <c r="R14258" s="5">
        <v>3</v>
      </c>
      <c r="S14258" s="5">
        <v>26</v>
      </c>
    </row>
    <row r="14259" spans="1:19" ht="28" x14ac:dyDescent="0.15">
      <c r="A14259" s="2">
        <f>HYPERLINK("https://open-school.uspishnemisto.com.ua/school/680357/", 680357)</f>
        <v>680357</v>
      </c>
      <c r="B14259" s="3" t="s">
        <v>71894</v>
      </c>
      <c r="C14259" s="3" t="s">
        <v>31</v>
      </c>
      <c r="D14259" s="3" t="s">
        <v>175</v>
      </c>
      <c r="E14259" s="4" t="s">
        <v>22</v>
      </c>
      <c r="F14259" s="4" t="s">
        <v>71895</v>
      </c>
      <c r="G14259" s="4" t="s">
        <v>71896</v>
      </c>
      <c r="H14259" s="3" t="s">
        <v>70238</v>
      </c>
      <c r="I14259" s="3" t="s">
        <v>43310</v>
      </c>
      <c r="J14259" s="3" t="s">
        <v>466</v>
      </c>
      <c r="K14259" s="3"/>
      <c r="L14259" s="3"/>
      <c r="M14259" s="4"/>
      <c r="N14259" s="3" t="s">
        <v>37</v>
      </c>
      <c r="O14259" s="3" t="s">
        <v>46</v>
      </c>
      <c r="P14259" s="5">
        <v>6</v>
      </c>
      <c r="Q14259" s="5">
        <v>46</v>
      </c>
      <c r="R14259" s="5">
        <v>5</v>
      </c>
      <c r="S14259" s="5">
        <v>39</v>
      </c>
    </row>
    <row r="14260" spans="1:19" ht="28" x14ac:dyDescent="0.15">
      <c r="A14260" s="2">
        <f>HYPERLINK("https://open-school.uspishnemisto.com.ua/school/680358/", 680358)</f>
        <v>680358</v>
      </c>
      <c r="B14260" s="3" t="s">
        <v>71897</v>
      </c>
      <c r="C14260" s="3" t="s">
        <v>31</v>
      </c>
      <c r="D14260" s="3" t="s">
        <v>32</v>
      </c>
      <c r="E14260" s="4" t="s">
        <v>22</v>
      </c>
      <c r="F14260" s="4" t="s">
        <v>71898</v>
      </c>
      <c r="G14260" s="4" t="s">
        <v>71899</v>
      </c>
      <c r="H14260" s="3" t="s">
        <v>70238</v>
      </c>
      <c r="I14260" s="3" t="s">
        <v>30359</v>
      </c>
      <c r="J14260" s="3" t="s">
        <v>71900</v>
      </c>
      <c r="K14260" s="3" t="s">
        <v>71901</v>
      </c>
      <c r="L14260" s="3" t="s">
        <v>71902</v>
      </c>
      <c r="M14260" s="4"/>
      <c r="N14260" s="3" t="s">
        <v>37</v>
      </c>
      <c r="O14260" s="3" t="s">
        <v>618</v>
      </c>
      <c r="P14260" s="5">
        <v>7</v>
      </c>
      <c r="Q14260" s="5">
        <v>53</v>
      </c>
      <c r="R14260" s="5">
        <v>7</v>
      </c>
      <c r="S14260" s="5">
        <v>50</v>
      </c>
    </row>
    <row r="14261" spans="1:19" ht="42" x14ac:dyDescent="0.15">
      <c r="A14261" s="2">
        <f>HYPERLINK("https://open-school.uspishnemisto.com.ua/school/680359/", 680359)</f>
        <v>680359</v>
      </c>
      <c r="B14261" s="3" t="s">
        <v>71903</v>
      </c>
      <c r="C14261" s="3" t="s">
        <v>31</v>
      </c>
      <c r="D14261" s="3" t="s">
        <v>175</v>
      </c>
      <c r="E14261" s="4" t="s">
        <v>22</v>
      </c>
      <c r="F14261" s="4" t="s">
        <v>71904</v>
      </c>
      <c r="G14261" s="4" t="s">
        <v>71905</v>
      </c>
      <c r="H14261" s="3" t="s">
        <v>70238</v>
      </c>
      <c r="I14261" s="3" t="s">
        <v>71906</v>
      </c>
      <c r="J14261" s="3" t="s">
        <v>946</v>
      </c>
      <c r="K14261" s="3" t="s">
        <v>71907</v>
      </c>
      <c r="L14261" s="3" t="s">
        <v>71908</v>
      </c>
      <c r="M14261" s="4"/>
      <c r="N14261" s="3" t="s">
        <v>37</v>
      </c>
      <c r="O14261" s="3" t="s">
        <v>38</v>
      </c>
      <c r="P14261" s="5">
        <v>9</v>
      </c>
      <c r="Q14261" s="5">
        <v>125</v>
      </c>
      <c r="R14261" s="5">
        <v>9</v>
      </c>
      <c r="S14261" s="5">
        <v>108</v>
      </c>
    </row>
    <row r="14262" spans="1:19" ht="42" x14ac:dyDescent="0.15">
      <c r="A14262" s="2">
        <f>HYPERLINK("https://open-school.uspishnemisto.com.ua/school/680360/", 680360)</f>
        <v>680360</v>
      </c>
      <c r="B14262" s="3" t="s">
        <v>71909</v>
      </c>
      <c r="C14262" s="3" t="s">
        <v>31</v>
      </c>
      <c r="D14262" s="3" t="s">
        <v>175</v>
      </c>
      <c r="E14262" s="4" t="s">
        <v>22</v>
      </c>
      <c r="F14262" s="4" t="s">
        <v>71910</v>
      </c>
      <c r="G14262" s="4" t="s">
        <v>71911</v>
      </c>
      <c r="H14262" s="3" t="s">
        <v>70238</v>
      </c>
      <c r="I14262" s="3" t="s">
        <v>71912</v>
      </c>
      <c r="J14262" s="3" t="s">
        <v>7277</v>
      </c>
      <c r="K14262" s="3" t="s">
        <v>71913</v>
      </c>
      <c r="L14262" s="3"/>
      <c r="M14262" s="4"/>
      <c r="N14262" s="3" t="s">
        <v>37</v>
      </c>
      <c r="O14262" s="3" t="s">
        <v>46</v>
      </c>
      <c r="P14262" s="5">
        <v>4</v>
      </c>
      <c r="Q14262" s="5">
        <v>35</v>
      </c>
      <c r="R14262" s="5">
        <v>4</v>
      </c>
      <c r="S14262" s="5">
        <v>37</v>
      </c>
    </row>
    <row r="14263" spans="1:19" ht="42" x14ac:dyDescent="0.15">
      <c r="A14263" s="2">
        <f>HYPERLINK("https://open-school.uspishnemisto.com.ua/school/680361/", 680361)</f>
        <v>680361</v>
      </c>
      <c r="B14263" s="3" t="s">
        <v>71914</v>
      </c>
      <c r="C14263" s="3" t="s">
        <v>31</v>
      </c>
      <c r="D14263" s="3" t="s">
        <v>32</v>
      </c>
      <c r="E14263" s="4" t="s">
        <v>22</v>
      </c>
      <c r="F14263" s="4" t="s">
        <v>71915</v>
      </c>
      <c r="G14263" s="4" t="s">
        <v>71916</v>
      </c>
      <c r="H14263" s="3" t="s">
        <v>70238</v>
      </c>
      <c r="I14263" s="3" t="s">
        <v>71917</v>
      </c>
      <c r="J14263" s="3" t="s">
        <v>71918</v>
      </c>
      <c r="K14263" s="3" t="s">
        <v>71919</v>
      </c>
      <c r="L14263" s="3"/>
      <c r="M14263" s="4"/>
      <c r="N14263" s="3" t="s">
        <v>37</v>
      </c>
      <c r="O14263" s="3" t="s">
        <v>70</v>
      </c>
      <c r="P14263" s="5">
        <v>11</v>
      </c>
      <c r="Q14263" s="5">
        <v>114</v>
      </c>
      <c r="R14263" s="5">
        <v>11</v>
      </c>
      <c r="S14263" s="5">
        <v>108</v>
      </c>
    </row>
    <row r="14264" spans="1:19" ht="56" x14ac:dyDescent="0.15">
      <c r="A14264" s="2">
        <f>HYPERLINK("https://open-school.uspishnemisto.com.ua/school/680362/", 680362)</f>
        <v>680362</v>
      </c>
      <c r="B14264" s="3" t="s">
        <v>71920</v>
      </c>
      <c r="C14264" s="3" t="s">
        <v>54</v>
      </c>
      <c r="D14264" s="3" t="s">
        <v>175</v>
      </c>
      <c r="E14264" s="4" t="s">
        <v>22</v>
      </c>
      <c r="F14264" s="4" t="s">
        <v>71921</v>
      </c>
      <c r="G14264" s="4" t="s">
        <v>71922</v>
      </c>
      <c r="H14264" s="3" t="s">
        <v>70238</v>
      </c>
      <c r="I14264" s="3" t="s">
        <v>27436</v>
      </c>
      <c r="J14264" s="3" t="s">
        <v>21790</v>
      </c>
      <c r="K14264" s="3" t="s">
        <v>71923</v>
      </c>
      <c r="L14264" s="3"/>
      <c r="M14264" s="4"/>
      <c r="N14264" s="3" t="s">
        <v>37</v>
      </c>
      <c r="O14264" s="3" t="s">
        <v>38</v>
      </c>
      <c r="P14264" s="5">
        <v>4</v>
      </c>
      <c r="Q14264" s="5">
        <v>36</v>
      </c>
      <c r="R14264" s="5">
        <v>4</v>
      </c>
      <c r="S14264" s="5">
        <v>35</v>
      </c>
    </row>
    <row r="14265" spans="1:19" ht="28" x14ac:dyDescent="0.15">
      <c r="A14265" s="2">
        <f>HYPERLINK("https://open-school.uspishnemisto.com.ua/school/680363/", 680363)</f>
        <v>680363</v>
      </c>
      <c r="B14265" s="3" t="s">
        <v>71924</v>
      </c>
      <c r="C14265" s="3" t="s">
        <v>54</v>
      </c>
      <c r="D14265" s="3" t="s">
        <v>60</v>
      </c>
      <c r="E14265" s="4" t="s">
        <v>22</v>
      </c>
      <c r="F14265" s="4" t="s">
        <v>71925</v>
      </c>
      <c r="G14265" s="4" t="s">
        <v>71926</v>
      </c>
      <c r="H14265" s="3" t="s">
        <v>70238</v>
      </c>
      <c r="I14265" s="3" t="s">
        <v>71927</v>
      </c>
      <c r="J14265" s="3" t="s">
        <v>28832</v>
      </c>
      <c r="K14265" s="3" t="s">
        <v>71928</v>
      </c>
      <c r="L14265" s="3"/>
      <c r="M14265" s="4"/>
      <c r="N14265" s="3" t="s">
        <v>37</v>
      </c>
      <c r="O14265" s="3" t="s">
        <v>52</v>
      </c>
      <c r="P14265" s="5">
        <v>2</v>
      </c>
      <c r="Q14265" s="5">
        <v>14</v>
      </c>
      <c r="R14265" s="5">
        <v>2</v>
      </c>
      <c r="S14265" s="5">
        <v>26</v>
      </c>
    </row>
    <row r="14266" spans="1:19" ht="42" x14ac:dyDescent="0.15">
      <c r="A14266" s="2">
        <f>HYPERLINK("https://open-school.uspishnemisto.com.ua/school/680364/", 680364)</f>
        <v>680364</v>
      </c>
      <c r="B14266" s="3" t="s">
        <v>71929</v>
      </c>
      <c r="C14266" s="3" t="s">
        <v>31</v>
      </c>
      <c r="D14266" s="3" t="s">
        <v>32</v>
      </c>
      <c r="E14266" s="4" t="s">
        <v>22</v>
      </c>
      <c r="F14266" s="4" t="s">
        <v>71930</v>
      </c>
      <c r="G14266" s="4" t="s">
        <v>71931</v>
      </c>
      <c r="H14266" s="3" t="s">
        <v>70238</v>
      </c>
      <c r="I14266" s="3" t="s">
        <v>71932</v>
      </c>
      <c r="J14266" s="3" t="s">
        <v>11664</v>
      </c>
      <c r="K14266" s="3" t="s">
        <v>71933</v>
      </c>
      <c r="L14266" s="3" t="s">
        <v>71934</v>
      </c>
      <c r="M14266" s="4"/>
      <c r="N14266" s="3" t="s">
        <v>37</v>
      </c>
      <c r="O14266" s="3" t="s">
        <v>46</v>
      </c>
      <c r="P14266" s="5">
        <v>11</v>
      </c>
      <c r="Q14266" s="5">
        <v>124</v>
      </c>
      <c r="R14266" s="5">
        <v>10</v>
      </c>
      <c r="S14266" s="5">
        <v>121</v>
      </c>
    </row>
    <row r="14267" spans="1:19" ht="42" x14ac:dyDescent="0.15">
      <c r="A14267" s="2">
        <f>HYPERLINK("https://open-school.uspishnemisto.com.ua/school/680365/", 680365)</f>
        <v>680365</v>
      </c>
      <c r="B14267" s="3" t="s">
        <v>71935</v>
      </c>
      <c r="C14267" s="3" t="s">
        <v>31</v>
      </c>
      <c r="D14267" s="3" t="s">
        <v>175</v>
      </c>
      <c r="E14267" s="4" t="s">
        <v>22</v>
      </c>
      <c r="F14267" s="4" t="s">
        <v>71936</v>
      </c>
      <c r="G14267" s="4" t="s">
        <v>71937</v>
      </c>
      <c r="H14267" s="3" t="s">
        <v>70238</v>
      </c>
      <c r="I14267" s="3" t="s">
        <v>71938</v>
      </c>
      <c r="J14267" s="3" t="s">
        <v>71939</v>
      </c>
      <c r="K14267" s="3" t="s">
        <v>71940</v>
      </c>
      <c r="L14267" s="3" t="s">
        <v>71941</v>
      </c>
      <c r="M14267" s="4"/>
      <c r="N14267" s="3" t="s">
        <v>37</v>
      </c>
      <c r="O14267" s="3" t="s">
        <v>46</v>
      </c>
      <c r="P14267" s="5">
        <v>7</v>
      </c>
      <c r="Q14267" s="5">
        <v>69</v>
      </c>
      <c r="R14267" s="5">
        <v>7</v>
      </c>
      <c r="S14267" s="5">
        <v>67</v>
      </c>
    </row>
    <row r="14268" spans="1:19" ht="28" x14ac:dyDescent="0.15">
      <c r="A14268" s="2">
        <f>HYPERLINK("https://open-school.uspishnemisto.com.ua/school/680366/", 680366)</f>
        <v>680366</v>
      </c>
      <c r="B14268" s="3" t="s">
        <v>71942</v>
      </c>
      <c r="C14268" s="3" t="s">
        <v>31</v>
      </c>
      <c r="D14268" s="3" t="s">
        <v>175</v>
      </c>
      <c r="E14268" s="4" t="s">
        <v>22</v>
      </c>
      <c r="F14268" s="4" t="s">
        <v>71943</v>
      </c>
      <c r="G14268" s="4" t="s">
        <v>71944</v>
      </c>
      <c r="H14268" s="3" t="s">
        <v>70238</v>
      </c>
      <c r="I14268" s="3" t="s">
        <v>71945</v>
      </c>
      <c r="J14268" s="3" t="s">
        <v>37384</v>
      </c>
      <c r="K14268" s="3" t="s">
        <v>71946</v>
      </c>
      <c r="L14268" s="3"/>
      <c r="M14268" s="4"/>
      <c r="N14268" s="3" t="s">
        <v>37</v>
      </c>
      <c r="O14268" s="3" t="s">
        <v>46</v>
      </c>
      <c r="P14268" s="5">
        <v>3</v>
      </c>
      <c r="Q14268" s="5">
        <v>36</v>
      </c>
      <c r="R14268" s="5">
        <v>3</v>
      </c>
      <c r="S14268" s="5">
        <v>38</v>
      </c>
    </row>
    <row r="14269" spans="1:19" ht="28" x14ac:dyDescent="0.15">
      <c r="A14269" s="2">
        <f>HYPERLINK("https://open-school.uspishnemisto.com.ua/school/680367/", 680367)</f>
        <v>680367</v>
      </c>
      <c r="B14269" s="3" t="s">
        <v>71947</v>
      </c>
      <c r="C14269" s="3" t="s">
        <v>31</v>
      </c>
      <c r="D14269" s="3" t="s">
        <v>32</v>
      </c>
      <c r="E14269" s="4" t="s">
        <v>22</v>
      </c>
      <c r="F14269" s="4" t="s">
        <v>71948</v>
      </c>
      <c r="G14269" s="4" t="s">
        <v>71949</v>
      </c>
      <c r="H14269" s="3" t="s">
        <v>70238</v>
      </c>
      <c r="I14269" s="3" t="s">
        <v>71950</v>
      </c>
      <c r="J14269" s="3" t="s">
        <v>36611</v>
      </c>
      <c r="K14269" s="3" t="s">
        <v>71951</v>
      </c>
      <c r="L14269" s="3"/>
      <c r="M14269" s="4"/>
      <c r="N14269" s="3" t="s">
        <v>37</v>
      </c>
      <c r="O14269" s="3" t="s">
        <v>70</v>
      </c>
      <c r="P14269" s="5">
        <v>11</v>
      </c>
      <c r="Q14269" s="5">
        <v>178</v>
      </c>
      <c r="R14269" s="5">
        <v>11</v>
      </c>
      <c r="S14269" s="5">
        <v>178</v>
      </c>
    </row>
    <row r="14270" spans="1:19" ht="28" x14ac:dyDescent="0.15">
      <c r="A14270" s="2">
        <f>HYPERLINK("https://open-school.uspishnemisto.com.ua/school/680368/", 680368)</f>
        <v>680368</v>
      </c>
      <c r="B14270" s="3" t="s">
        <v>71952</v>
      </c>
      <c r="C14270" s="3" t="s">
        <v>293</v>
      </c>
      <c r="D14270" s="3" t="s">
        <v>32</v>
      </c>
      <c r="E14270" s="4" t="s">
        <v>22</v>
      </c>
      <c r="F14270" s="4" t="s">
        <v>71948</v>
      </c>
      <c r="G14270" s="4" t="s">
        <v>71949</v>
      </c>
      <c r="H14270" s="3" t="s">
        <v>70238</v>
      </c>
      <c r="I14270" s="3" t="s">
        <v>71950</v>
      </c>
      <c r="J14270" s="3" t="s">
        <v>21445</v>
      </c>
      <c r="K14270" s="3" t="s">
        <v>71953</v>
      </c>
      <c r="L14270" s="3"/>
      <c r="M14270" s="4" t="s">
        <v>71954</v>
      </c>
      <c r="N14270" s="3" t="s">
        <v>37</v>
      </c>
      <c r="O14270" s="3" t="s">
        <v>46</v>
      </c>
      <c r="P14270" s="5">
        <v>11</v>
      </c>
      <c r="Q14270" s="5">
        <v>165</v>
      </c>
      <c r="R14270" s="5">
        <v>10</v>
      </c>
      <c r="S14270" s="5">
        <v>162</v>
      </c>
    </row>
    <row r="14271" spans="1:19" ht="28" x14ac:dyDescent="0.15">
      <c r="A14271" s="2">
        <f>HYPERLINK("https://open-school.uspishnemisto.com.ua/school/680369/", 680369)</f>
        <v>680369</v>
      </c>
      <c r="B14271" s="3" t="s">
        <v>71955</v>
      </c>
      <c r="C14271" s="3" t="s">
        <v>31</v>
      </c>
      <c r="D14271" s="3" t="s">
        <v>175</v>
      </c>
      <c r="E14271" s="4" t="s">
        <v>22</v>
      </c>
      <c r="F14271" s="4" t="s">
        <v>71956</v>
      </c>
      <c r="G14271" s="4" t="s">
        <v>71957</v>
      </c>
      <c r="H14271" s="3" t="s">
        <v>70238</v>
      </c>
      <c r="I14271" s="3" t="s">
        <v>60812</v>
      </c>
      <c r="J14271" s="3" t="s">
        <v>8254</v>
      </c>
      <c r="K14271" s="3" t="s">
        <v>71958</v>
      </c>
      <c r="L14271" s="3"/>
      <c r="M14271" s="4"/>
      <c r="N14271" s="3" t="s">
        <v>37</v>
      </c>
      <c r="O14271" s="3" t="s">
        <v>38</v>
      </c>
      <c r="P14271" s="5">
        <v>9</v>
      </c>
      <c r="Q14271" s="5">
        <v>69</v>
      </c>
      <c r="R14271" s="5">
        <v>9</v>
      </c>
      <c r="S14271" s="5">
        <v>73</v>
      </c>
    </row>
    <row r="14272" spans="1:19" ht="42" x14ac:dyDescent="0.15">
      <c r="A14272" s="2">
        <f>HYPERLINK("https://open-school.uspishnemisto.com.ua/school/680370/", 680370)</f>
        <v>680370</v>
      </c>
      <c r="B14272" s="3" t="s">
        <v>71959</v>
      </c>
      <c r="C14272" s="3" t="s">
        <v>31</v>
      </c>
      <c r="D14272" s="3" t="s">
        <v>175</v>
      </c>
      <c r="E14272" s="4" t="s">
        <v>22</v>
      </c>
      <c r="F14272" s="4" t="s">
        <v>71960</v>
      </c>
      <c r="G14272" s="4" t="s">
        <v>71961</v>
      </c>
      <c r="H14272" s="3" t="s">
        <v>70238</v>
      </c>
      <c r="I14272" s="3" t="s">
        <v>71962</v>
      </c>
      <c r="J14272" s="3" t="s">
        <v>466</v>
      </c>
      <c r="K14272" s="3" t="s">
        <v>71963</v>
      </c>
      <c r="L14272" s="3"/>
      <c r="M14272" s="4"/>
      <c r="N14272" s="3" t="s">
        <v>37</v>
      </c>
      <c r="O14272" s="3" t="s">
        <v>46</v>
      </c>
      <c r="P14272" s="5">
        <v>2</v>
      </c>
      <c r="Q14272" s="5">
        <v>26</v>
      </c>
      <c r="R14272" s="5">
        <v>2</v>
      </c>
      <c r="S14272" s="5">
        <v>30</v>
      </c>
    </row>
    <row r="14273" spans="1:19" ht="28" x14ac:dyDescent="0.15">
      <c r="A14273" s="2">
        <f>HYPERLINK("https://open-school.uspishnemisto.com.ua/school/680371/", 680371)</f>
        <v>680371</v>
      </c>
      <c r="B14273" s="3" t="s">
        <v>71964</v>
      </c>
      <c r="C14273" s="3" t="s">
        <v>31</v>
      </c>
      <c r="D14273" s="3" t="s">
        <v>32</v>
      </c>
      <c r="E14273" s="4" t="s">
        <v>22</v>
      </c>
      <c r="F14273" s="4" t="s">
        <v>71965</v>
      </c>
      <c r="G14273" s="4" t="s">
        <v>71966</v>
      </c>
      <c r="H14273" s="3" t="s">
        <v>70238</v>
      </c>
      <c r="I14273" s="3" t="s">
        <v>71967</v>
      </c>
      <c r="J14273" s="3" t="s">
        <v>71968</v>
      </c>
      <c r="K14273" s="3" t="s">
        <v>71969</v>
      </c>
      <c r="L14273" s="3"/>
      <c r="M14273" s="4"/>
      <c r="N14273" s="3" t="s">
        <v>37</v>
      </c>
      <c r="O14273" s="3" t="s">
        <v>46</v>
      </c>
      <c r="P14273" s="5">
        <v>8</v>
      </c>
      <c r="Q14273" s="5">
        <v>63</v>
      </c>
      <c r="R14273" s="5">
        <v>8</v>
      </c>
      <c r="S14273" s="5">
        <v>60</v>
      </c>
    </row>
    <row r="14274" spans="1:19" ht="42" x14ac:dyDescent="0.15">
      <c r="A14274" s="2">
        <f>HYPERLINK("https://open-school.uspishnemisto.com.ua/school/680372/", 680372)</f>
        <v>680372</v>
      </c>
      <c r="B14274" s="3" t="s">
        <v>71970</v>
      </c>
      <c r="C14274" s="3" t="s">
        <v>31</v>
      </c>
      <c r="D14274" s="3" t="s">
        <v>32</v>
      </c>
      <c r="E14274" s="4" t="s">
        <v>22</v>
      </c>
      <c r="F14274" s="4" t="s">
        <v>71971</v>
      </c>
      <c r="G14274" s="4" t="s">
        <v>71972</v>
      </c>
      <c r="H14274" s="3" t="s">
        <v>70238</v>
      </c>
      <c r="I14274" s="3" t="s">
        <v>17146</v>
      </c>
      <c r="J14274" s="3" t="s">
        <v>22278</v>
      </c>
      <c r="K14274" s="3" t="s">
        <v>71973</v>
      </c>
      <c r="L14274" s="3"/>
      <c r="M14274" s="4"/>
      <c r="N14274" s="3" t="s">
        <v>37</v>
      </c>
      <c r="O14274" s="3" t="s">
        <v>46</v>
      </c>
      <c r="P14274" s="5">
        <v>9</v>
      </c>
      <c r="Q14274" s="5">
        <v>81</v>
      </c>
      <c r="R14274" s="5">
        <v>10</v>
      </c>
      <c r="S14274" s="5">
        <v>83</v>
      </c>
    </row>
    <row r="14275" spans="1:19" ht="28" x14ac:dyDescent="0.15">
      <c r="A14275" s="2">
        <f>HYPERLINK("https://open-school.uspishnemisto.com.ua/school/680373/", 680373)</f>
        <v>680373</v>
      </c>
      <c r="B14275" s="3" t="s">
        <v>71974</v>
      </c>
      <c r="C14275" s="3" t="s">
        <v>31</v>
      </c>
      <c r="D14275" s="3" t="s">
        <v>175</v>
      </c>
      <c r="E14275" s="4" t="s">
        <v>22</v>
      </c>
      <c r="F14275" s="4" t="s">
        <v>71975</v>
      </c>
      <c r="G14275" s="4" t="s">
        <v>71976</v>
      </c>
      <c r="H14275" s="3" t="s">
        <v>70238</v>
      </c>
      <c r="I14275" s="3" t="s">
        <v>7377</v>
      </c>
      <c r="J14275" s="3" t="s">
        <v>71977</v>
      </c>
      <c r="K14275" s="3" t="s">
        <v>71978</v>
      </c>
      <c r="L14275" s="3"/>
      <c r="M14275" s="4"/>
      <c r="N14275" s="3" t="s">
        <v>37</v>
      </c>
      <c r="O14275" s="3" t="s">
        <v>38</v>
      </c>
      <c r="P14275" s="5">
        <v>8</v>
      </c>
      <c r="Q14275" s="5">
        <v>62</v>
      </c>
      <c r="R14275" s="5">
        <v>8</v>
      </c>
      <c r="S14275" s="5">
        <v>61</v>
      </c>
    </row>
    <row r="14276" spans="1:19" ht="84" x14ac:dyDescent="0.15">
      <c r="A14276" s="2">
        <f>HYPERLINK("https://open-school.uspishnemisto.com.ua/school/680374/", 680374)</f>
        <v>680374</v>
      </c>
      <c r="B14276" s="3" t="s">
        <v>71979</v>
      </c>
      <c r="C14276" s="3" t="s">
        <v>54</v>
      </c>
      <c r="D14276" s="3" t="s">
        <v>175</v>
      </c>
      <c r="E14276" s="4" t="s">
        <v>22</v>
      </c>
      <c r="F14276" s="4" t="s">
        <v>71980</v>
      </c>
      <c r="G14276" s="4" t="s">
        <v>71981</v>
      </c>
      <c r="H14276" s="3" t="s">
        <v>70238</v>
      </c>
      <c r="I14276" s="3" t="s">
        <v>71982</v>
      </c>
      <c r="J14276" s="3" t="s">
        <v>55934</v>
      </c>
      <c r="K14276" s="3" t="s">
        <v>71983</v>
      </c>
      <c r="L14276" s="3"/>
      <c r="M14276" s="4"/>
      <c r="N14276" s="3" t="s">
        <v>37</v>
      </c>
      <c r="O14276" s="3" t="s">
        <v>52</v>
      </c>
      <c r="P14276" s="5">
        <v>5</v>
      </c>
      <c r="Q14276" s="5">
        <v>42</v>
      </c>
      <c r="R14276" s="5">
        <v>4</v>
      </c>
      <c r="S14276" s="5">
        <v>41</v>
      </c>
    </row>
    <row r="14277" spans="1:19" ht="42" x14ac:dyDescent="0.15">
      <c r="A14277" s="2">
        <f>HYPERLINK("https://open-school.uspishnemisto.com.ua/school/680375/", 680375)</f>
        <v>680375</v>
      </c>
      <c r="B14277" s="3" t="s">
        <v>71984</v>
      </c>
      <c r="C14277" s="3" t="s">
        <v>54</v>
      </c>
      <c r="D14277" s="3" t="s">
        <v>175</v>
      </c>
      <c r="E14277" s="4" t="s">
        <v>22</v>
      </c>
      <c r="F14277" s="4" t="s">
        <v>70425</v>
      </c>
      <c r="G14277" s="4" t="s">
        <v>71985</v>
      </c>
      <c r="H14277" s="3" t="s">
        <v>70238</v>
      </c>
      <c r="I14277" s="3" t="s">
        <v>71986</v>
      </c>
      <c r="J14277" s="3" t="s">
        <v>71987</v>
      </c>
      <c r="K14277" s="3" t="s">
        <v>71988</v>
      </c>
      <c r="L14277" s="3"/>
      <c r="M14277" s="4"/>
      <c r="N14277" s="3" t="s">
        <v>37</v>
      </c>
      <c r="O14277" s="3" t="s">
        <v>618</v>
      </c>
      <c r="P14277" s="5">
        <v>2</v>
      </c>
      <c r="Q14277" s="5">
        <v>27</v>
      </c>
      <c r="R14277" s="5">
        <v>2</v>
      </c>
      <c r="S14277" s="5">
        <v>26</v>
      </c>
    </row>
    <row r="14278" spans="1:19" ht="28" x14ac:dyDescent="0.15">
      <c r="A14278" s="2">
        <f>HYPERLINK("https://open-school.uspishnemisto.com.ua/school/680376/", 680376)</f>
        <v>680376</v>
      </c>
      <c r="B14278" s="3" t="s">
        <v>71989</v>
      </c>
      <c r="C14278" s="3" t="s">
        <v>31</v>
      </c>
      <c r="D14278" s="3" t="s">
        <v>175</v>
      </c>
      <c r="E14278" s="4" t="s">
        <v>22</v>
      </c>
      <c r="F14278" s="4" t="s">
        <v>71990</v>
      </c>
      <c r="G14278" s="4" t="s">
        <v>71991</v>
      </c>
      <c r="H14278" s="3" t="s">
        <v>70238</v>
      </c>
      <c r="I14278" s="3" t="s">
        <v>71992</v>
      </c>
      <c r="J14278" s="3" t="s">
        <v>71993</v>
      </c>
      <c r="K14278" s="3" t="s">
        <v>71994</v>
      </c>
      <c r="L14278" s="3" t="s">
        <v>71995</v>
      </c>
      <c r="M14278" s="4"/>
      <c r="N14278" s="3" t="s">
        <v>37</v>
      </c>
      <c r="O14278" s="3" t="s">
        <v>38</v>
      </c>
      <c r="P14278" s="5">
        <v>9</v>
      </c>
      <c r="Q14278" s="5">
        <v>69</v>
      </c>
      <c r="R14278" s="5">
        <v>9</v>
      </c>
      <c r="S14278" s="5">
        <v>69</v>
      </c>
    </row>
    <row r="14279" spans="1:19" ht="28" x14ac:dyDescent="0.15">
      <c r="A14279" s="2">
        <f>HYPERLINK("https://open-school.uspishnemisto.com.ua/school/680377/", 680377)</f>
        <v>680377</v>
      </c>
      <c r="B14279" s="3" t="s">
        <v>71996</v>
      </c>
      <c r="C14279" s="3" t="s">
        <v>31</v>
      </c>
      <c r="D14279" s="3" t="s">
        <v>175</v>
      </c>
      <c r="E14279" s="4" t="s">
        <v>22</v>
      </c>
      <c r="F14279" s="4" t="s">
        <v>71997</v>
      </c>
      <c r="G14279" s="4" t="s">
        <v>71998</v>
      </c>
      <c r="H14279" s="3" t="s">
        <v>70238</v>
      </c>
      <c r="I14279" s="3" t="s">
        <v>71999</v>
      </c>
      <c r="J14279" s="3" t="s">
        <v>72000</v>
      </c>
      <c r="K14279" s="3" t="s">
        <v>72001</v>
      </c>
      <c r="L14279" s="3"/>
      <c r="M14279" s="4"/>
      <c r="N14279" s="3" t="s">
        <v>37</v>
      </c>
      <c r="O14279" s="3" t="s">
        <v>38</v>
      </c>
      <c r="P14279" s="5">
        <v>7</v>
      </c>
      <c r="Q14279" s="5">
        <v>43</v>
      </c>
      <c r="R14279" s="5">
        <v>6</v>
      </c>
      <c r="S14279" s="5">
        <v>41</v>
      </c>
    </row>
    <row r="14280" spans="1:19" ht="28" x14ac:dyDescent="0.15">
      <c r="A14280" s="2">
        <f>HYPERLINK("https://open-school.uspishnemisto.com.ua/school/680378/", 680378)</f>
        <v>680378</v>
      </c>
      <c r="B14280" s="3" t="s">
        <v>72002</v>
      </c>
      <c r="C14280" s="3" t="s">
        <v>31</v>
      </c>
      <c r="D14280" s="3" t="s">
        <v>32</v>
      </c>
      <c r="E14280" s="4" t="s">
        <v>22</v>
      </c>
      <c r="F14280" s="4" t="s">
        <v>71820</v>
      </c>
      <c r="G14280" s="4" t="s">
        <v>72003</v>
      </c>
      <c r="H14280" s="3" t="s">
        <v>70238</v>
      </c>
      <c r="I14280" s="3" t="s">
        <v>60686</v>
      </c>
      <c r="J14280" s="3" t="s">
        <v>45887</v>
      </c>
      <c r="K14280" s="3"/>
      <c r="L14280" s="3"/>
      <c r="M14280" s="4"/>
      <c r="N14280" s="3" t="s">
        <v>37</v>
      </c>
      <c r="O14280" s="3" t="s">
        <v>46</v>
      </c>
      <c r="P14280" s="5">
        <v>6</v>
      </c>
      <c r="Q14280" s="5">
        <v>59</v>
      </c>
      <c r="R14280" s="5">
        <v>5</v>
      </c>
      <c r="S14280" s="5">
        <v>53</v>
      </c>
    </row>
    <row r="14281" spans="1:19" ht="42" x14ac:dyDescent="0.15">
      <c r="A14281" s="2">
        <f>HYPERLINK("https://open-school.uspishnemisto.com.ua/school/680379/", 680379)</f>
        <v>680379</v>
      </c>
      <c r="B14281" s="3" t="s">
        <v>72004</v>
      </c>
      <c r="C14281" s="3" t="s">
        <v>31</v>
      </c>
      <c r="D14281" s="3" t="s">
        <v>32</v>
      </c>
      <c r="E14281" s="4" t="s">
        <v>22</v>
      </c>
      <c r="F14281" s="4" t="s">
        <v>72005</v>
      </c>
      <c r="G14281" s="4" t="s">
        <v>72006</v>
      </c>
      <c r="H14281" s="3" t="s">
        <v>70238</v>
      </c>
      <c r="I14281" s="3" t="s">
        <v>72007</v>
      </c>
      <c r="J14281" s="3" t="s">
        <v>72008</v>
      </c>
      <c r="K14281" s="3" t="s">
        <v>72009</v>
      </c>
      <c r="L14281" s="3" t="s">
        <v>72010</v>
      </c>
      <c r="M14281" s="4"/>
      <c r="N14281" s="3" t="s">
        <v>37</v>
      </c>
      <c r="O14281" s="3" t="s">
        <v>46</v>
      </c>
      <c r="P14281" s="5">
        <v>11</v>
      </c>
      <c r="Q14281" s="5">
        <v>133</v>
      </c>
      <c r="R14281" s="5">
        <v>11</v>
      </c>
      <c r="S14281" s="5">
        <v>125</v>
      </c>
    </row>
    <row r="14282" spans="1:19" ht="28" x14ac:dyDescent="0.15">
      <c r="A14282" s="2">
        <f>HYPERLINK("https://open-school.uspishnemisto.com.ua/school/680380/", 680380)</f>
        <v>680380</v>
      </c>
      <c r="B14282" s="3" t="s">
        <v>72011</v>
      </c>
      <c r="C14282" s="3" t="s">
        <v>31</v>
      </c>
      <c r="D14282" s="3" t="s">
        <v>32</v>
      </c>
      <c r="E14282" s="4" t="s">
        <v>22</v>
      </c>
      <c r="F14282" s="4" t="s">
        <v>72012</v>
      </c>
      <c r="G14282" s="4" t="s">
        <v>72013</v>
      </c>
      <c r="H14282" s="3" t="s">
        <v>70238</v>
      </c>
      <c r="I14282" s="3" t="s">
        <v>72014</v>
      </c>
      <c r="J14282" s="3" t="s">
        <v>72015</v>
      </c>
      <c r="K14282" s="3" t="s">
        <v>72016</v>
      </c>
      <c r="L14282" s="3"/>
      <c r="M14282" s="4"/>
      <c r="N14282" s="3" t="s">
        <v>37</v>
      </c>
      <c r="O14282" s="3" t="s">
        <v>52</v>
      </c>
      <c r="P14282" s="5">
        <v>11</v>
      </c>
      <c r="Q14282" s="5">
        <v>155</v>
      </c>
      <c r="R14282" s="5">
        <v>11</v>
      </c>
      <c r="S14282" s="5">
        <v>162</v>
      </c>
    </row>
    <row r="14283" spans="1:19" ht="28" x14ac:dyDescent="0.15">
      <c r="A14283" s="2">
        <f>HYPERLINK("https://open-school.uspishnemisto.com.ua/school/680381/", 680381)</f>
        <v>680381</v>
      </c>
      <c r="B14283" s="3" t="s">
        <v>72017</v>
      </c>
      <c r="C14283" s="3" t="s">
        <v>31</v>
      </c>
      <c r="D14283" s="3" t="s">
        <v>32</v>
      </c>
      <c r="E14283" s="4" t="s">
        <v>22</v>
      </c>
      <c r="F14283" s="4" t="s">
        <v>72018</v>
      </c>
      <c r="G14283" s="4" t="s">
        <v>72019</v>
      </c>
      <c r="H14283" s="3" t="s">
        <v>70238</v>
      </c>
      <c r="I14283" s="3" t="s">
        <v>4368</v>
      </c>
      <c r="J14283" s="3" t="s">
        <v>8298</v>
      </c>
      <c r="K14283" s="3" t="s">
        <v>72020</v>
      </c>
      <c r="L14283" s="3"/>
      <c r="M14283" s="4"/>
      <c r="N14283" s="3" t="s">
        <v>37</v>
      </c>
      <c r="O14283" s="3" t="s">
        <v>46</v>
      </c>
      <c r="P14283" s="5">
        <v>7</v>
      </c>
      <c r="Q14283" s="5">
        <v>66</v>
      </c>
      <c r="R14283" s="5">
        <v>8</v>
      </c>
      <c r="S14283" s="5">
        <v>74</v>
      </c>
    </row>
    <row r="14284" spans="1:19" ht="28" x14ac:dyDescent="0.15">
      <c r="A14284" s="2">
        <f>HYPERLINK("https://open-school.uspishnemisto.com.ua/school/680384/", 680384)</f>
        <v>680384</v>
      </c>
      <c r="B14284" s="3" t="s">
        <v>72021</v>
      </c>
      <c r="C14284" s="3" t="s">
        <v>31</v>
      </c>
      <c r="D14284" s="3" t="s">
        <v>32</v>
      </c>
      <c r="E14284" s="4" t="s">
        <v>22</v>
      </c>
      <c r="F14284" s="4" t="s">
        <v>72022</v>
      </c>
      <c r="G14284" s="4" t="s">
        <v>72023</v>
      </c>
      <c r="H14284" s="3" t="s">
        <v>70238</v>
      </c>
      <c r="I14284" s="3" t="s">
        <v>72024</v>
      </c>
      <c r="J14284" s="3" t="s">
        <v>554</v>
      </c>
      <c r="K14284" s="3" t="s">
        <v>72025</v>
      </c>
      <c r="L14284" s="3"/>
      <c r="M14284" s="4"/>
      <c r="N14284" s="3" t="s">
        <v>37</v>
      </c>
      <c r="O14284" s="3" t="s">
        <v>46</v>
      </c>
      <c r="P14284" s="5">
        <v>11</v>
      </c>
      <c r="Q14284" s="5">
        <v>121</v>
      </c>
      <c r="R14284" s="5">
        <v>11</v>
      </c>
      <c r="S14284" s="5">
        <v>113</v>
      </c>
    </row>
    <row r="14285" spans="1:19" ht="28" x14ac:dyDescent="0.15">
      <c r="A14285" s="2">
        <f>HYPERLINK("https://open-school.uspishnemisto.com.ua/school/680385/", 680385)</f>
        <v>680385</v>
      </c>
      <c r="B14285" s="3" t="s">
        <v>72026</v>
      </c>
      <c r="C14285" s="3" t="s">
        <v>31</v>
      </c>
      <c r="D14285" s="3" t="s">
        <v>175</v>
      </c>
      <c r="E14285" s="4" t="s">
        <v>22</v>
      </c>
      <c r="F14285" s="4" t="s">
        <v>72027</v>
      </c>
      <c r="G14285" s="4" t="s">
        <v>72028</v>
      </c>
      <c r="H14285" s="3" t="s">
        <v>70238</v>
      </c>
      <c r="I14285" s="3" t="s">
        <v>72029</v>
      </c>
      <c r="J14285" s="3" t="s">
        <v>72030</v>
      </c>
      <c r="K14285" s="3" t="s">
        <v>72031</v>
      </c>
      <c r="L14285" s="3"/>
      <c r="M14285" s="4"/>
      <c r="N14285" s="3" t="s">
        <v>37</v>
      </c>
      <c r="O14285" s="3" t="s">
        <v>46</v>
      </c>
      <c r="P14285" s="5">
        <v>7</v>
      </c>
      <c r="Q14285" s="5">
        <v>52</v>
      </c>
      <c r="R14285" s="5">
        <v>8</v>
      </c>
      <c r="S14285" s="5">
        <v>55</v>
      </c>
    </row>
    <row r="14286" spans="1:19" ht="42" x14ac:dyDescent="0.15">
      <c r="A14286" s="2">
        <f>HYPERLINK("https://open-school.uspishnemisto.com.ua/school/680386/", 680386)</f>
        <v>680386</v>
      </c>
      <c r="B14286" s="3" t="s">
        <v>72032</v>
      </c>
      <c r="C14286" s="3" t="s">
        <v>31</v>
      </c>
      <c r="D14286" s="3" t="s">
        <v>32</v>
      </c>
      <c r="E14286" s="4" t="s">
        <v>22</v>
      </c>
      <c r="F14286" s="4" t="s">
        <v>72033</v>
      </c>
      <c r="G14286" s="4" t="s">
        <v>72034</v>
      </c>
      <c r="H14286" s="3" t="s">
        <v>70238</v>
      </c>
      <c r="I14286" s="3" t="s">
        <v>72035</v>
      </c>
      <c r="J14286" s="3" t="s">
        <v>3370</v>
      </c>
      <c r="K14286" s="3" t="s">
        <v>72036</v>
      </c>
      <c r="L14286" s="3"/>
      <c r="M14286" s="4"/>
      <c r="N14286" s="3" t="s">
        <v>37</v>
      </c>
      <c r="O14286" s="3" t="s">
        <v>52</v>
      </c>
      <c r="P14286" s="5">
        <v>11</v>
      </c>
      <c r="Q14286" s="5">
        <v>87</v>
      </c>
      <c r="R14286" s="5">
        <v>10</v>
      </c>
      <c r="S14286" s="5">
        <v>73</v>
      </c>
    </row>
    <row r="14287" spans="1:19" ht="42" x14ac:dyDescent="0.15">
      <c r="A14287" s="2">
        <f>HYPERLINK("https://open-school.uspishnemisto.com.ua/school/680387/", 680387)</f>
        <v>680387</v>
      </c>
      <c r="B14287" s="3" t="s">
        <v>72037</v>
      </c>
      <c r="C14287" s="3" t="s">
        <v>31</v>
      </c>
      <c r="D14287" s="3" t="s">
        <v>60</v>
      </c>
      <c r="E14287" s="4" t="s">
        <v>22</v>
      </c>
      <c r="F14287" s="4" t="s">
        <v>72038</v>
      </c>
      <c r="G14287" s="4" t="s">
        <v>72039</v>
      </c>
      <c r="H14287" s="3" t="s">
        <v>70238</v>
      </c>
      <c r="I14287" s="3" t="s">
        <v>55364</v>
      </c>
      <c r="J14287" s="3" t="s">
        <v>30469</v>
      </c>
      <c r="K14287" s="3" t="s">
        <v>72040</v>
      </c>
      <c r="L14287" s="3"/>
      <c r="M14287" s="4"/>
      <c r="N14287" s="3" t="s">
        <v>37</v>
      </c>
      <c r="O14287" s="3" t="s">
        <v>52</v>
      </c>
      <c r="P14287" s="5">
        <v>1</v>
      </c>
      <c r="Q14287" s="5">
        <v>12</v>
      </c>
      <c r="R14287" s="5">
        <v>1</v>
      </c>
      <c r="S14287" s="5">
        <v>25</v>
      </c>
    </row>
    <row r="14288" spans="1:19" ht="42" x14ac:dyDescent="0.15">
      <c r="A14288" s="2">
        <f>HYPERLINK("https://open-school.uspishnemisto.com.ua/school/680388/", 680388)</f>
        <v>680388</v>
      </c>
      <c r="B14288" s="3" t="s">
        <v>72041</v>
      </c>
      <c r="C14288" s="3" t="s">
        <v>31</v>
      </c>
      <c r="D14288" s="3" t="s">
        <v>175</v>
      </c>
      <c r="E14288" s="4" t="s">
        <v>22</v>
      </c>
      <c r="F14288" s="4" t="s">
        <v>72042</v>
      </c>
      <c r="G14288" s="4" t="s">
        <v>72043</v>
      </c>
      <c r="H14288" s="3" t="s">
        <v>70238</v>
      </c>
      <c r="I14288" s="3" t="s">
        <v>72044</v>
      </c>
      <c r="J14288" s="3" t="s">
        <v>72045</v>
      </c>
      <c r="K14288" s="3" t="s">
        <v>72046</v>
      </c>
      <c r="L14288" s="3"/>
      <c r="M14288" s="4"/>
      <c r="N14288" s="3" t="s">
        <v>37</v>
      </c>
      <c r="O14288" s="3" t="s">
        <v>38</v>
      </c>
      <c r="P14288" s="5">
        <v>6</v>
      </c>
      <c r="Q14288" s="5">
        <v>48</v>
      </c>
      <c r="R14288" s="5">
        <v>8</v>
      </c>
      <c r="S14288" s="5">
        <v>52</v>
      </c>
    </row>
    <row r="14289" spans="1:19" ht="42" x14ac:dyDescent="0.15">
      <c r="A14289" s="2">
        <f>HYPERLINK("https://open-school.uspishnemisto.com.ua/school/680389/", 680389)</f>
        <v>680389</v>
      </c>
      <c r="B14289" s="3" t="s">
        <v>72047</v>
      </c>
      <c r="C14289" s="3" t="s">
        <v>54</v>
      </c>
      <c r="D14289" s="3" t="s">
        <v>32</v>
      </c>
      <c r="E14289" s="4" t="s">
        <v>22</v>
      </c>
      <c r="F14289" s="4" t="s">
        <v>72048</v>
      </c>
      <c r="G14289" s="4" t="s">
        <v>72049</v>
      </c>
      <c r="H14289" s="3" t="s">
        <v>70238</v>
      </c>
      <c r="I14289" s="3" t="s">
        <v>23146</v>
      </c>
      <c r="J14289" s="3" t="s">
        <v>72050</v>
      </c>
      <c r="K14289" s="3" t="s">
        <v>72051</v>
      </c>
      <c r="L14289" s="3"/>
      <c r="M14289" s="4"/>
      <c r="N14289" s="3" t="s">
        <v>37</v>
      </c>
      <c r="O14289" s="3" t="s">
        <v>46</v>
      </c>
      <c r="P14289" s="5">
        <v>7</v>
      </c>
      <c r="Q14289" s="5">
        <v>62</v>
      </c>
      <c r="R14289" s="5">
        <v>8</v>
      </c>
      <c r="S14289" s="5">
        <v>64</v>
      </c>
    </row>
    <row r="14290" spans="1:19" ht="56" x14ac:dyDescent="0.15">
      <c r="A14290" s="2">
        <f>HYPERLINK("https://open-school.uspishnemisto.com.ua/school/680390/", 680390)</f>
        <v>680390</v>
      </c>
      <c r="B14290" s="3" t="s">
        <v>72052</v>
      </c>
      <c r="C14290" s="3" t="s">
        <v>54</v>
      </c>
      <c r="D14290" s="3" t="s">
        <v>175</v>
      </c>
      <c r="E14290" s="4" t="s">
        <v>22</v>
      </c>
      <c r="F14290" s="4" t="s">
        <v>72053</v>
      </c>
      <c r="G14290" s="4" t="s">
        <v>72054</v>
      </c>
      <c r="H14290" s="3" t="s">
        <v>70238</v>
      </c>
      <c r="I14290" s="3" t="s">
        <v>72055</v>
      </c>
      <c r="J14290" s="3" t="s">
        <v>5421</v>
      </c>
      <c r="K14290" s="3" t="s">
        <v>72056</v>
      </c>
      <c r="L14290" s="3"/>
      <c r="M14290" s="4"/>
      <c r="N14290" s="3" t="s">
        <v>37</v>
      </c>
      <c r="O14290" s="3" t="s">
        <v>46</v>
      </c>
      <c r="P14290" s="5">
        <v>2</v>
      </c>
      <c r="Q14290" s="5">
        <v>27</v>
      </c>
      <c r="R14290" s="5">
        <v>2</v>
      </c>
      <c r="S14290" s="5">
        <v>30</v>
      </c>
    </row>
    <row r="14291" spans="1:19" ht="56" x14ac:dyDescent="0.15">
      <c r="A14291" s="2">
        <f>HYPERLINK("https://open-school.uspishnemisto.com.ua/school/680391/", 680391)</f>
        <v>680391</v>
      </c>
      <c r="B14291" s="3" t="s">
        <v>72057</v>
      </c>
      <c r="C14291" s="3" t="s">
        <v>54</v>
      </c>
      <c r="D14291" s="3" t="s">
        <v>32</v>
      </c>
      <c r="E14291" s="4" t="s">
        <v>22</v>
      </c>
      <c r="F14291" s="4" t="s">
        <v>72058</v>
      </c>
      <c r="G14291" s="4" t="s">
        <v>72059</v>
      </c>
      <c r="H14291" s="3" t="s">
        <v>70238</v>
      </c>
      <c r="I14291" s="3" t="s">
        <v>72060</v>
      </c>
      <c r="J14291" s="3" t="s">
        <v>72061</v>
      </c>
      <c r="K14291" s="3" t="s">
        <v>72062</v>
      </c>
      <c r="L14291" s="3"/>
      <c r="M14291" s="4"/>
      <c r="N14291" s="3" t="s">
        <v>37</v>
      </c>
      <c r="O14291" s="3" t="s">
        <v>46</v>
      </c>
      <c r="P14291" s="5">
        <v>4</v>
      </c>
      <c r="Q14291" s="5">
        <v>51</v>
      </c>
      <c r="R14291" s="5">
        <v>5</v>
      </c>
      <c r="S14291" s="5">
        <v>52</v>
      </c>
    </row>
    <row r="14292" spans="1:19" ht="28" x14ac:dyDescent="0.15">
      <c r="A14292" s="2">
        <f>HYPERLINK("https://open-school.uspishnemisto.com.ua/school/680392/", 680392)</f>
        <v>680392</v>
      </c>
      <c r="B14292" s="3" t="s">
        <v>72063</v>
      </c>
      <c r="C14292" s="3" t="s">
        <v>31</v>
      </c>
      <c r="D14292" s="3" t="s">
        <v>32</v>
      </c>
      <c r="E14292" s="4" t="s">
        <v>22</v>
      </c>
      <c r="F14292" s="4" t="s">
        <v>72064</v>
      </c>
      <c r="G14292" s="4" t="s">
        <v>72065</v>
      </c>
      <c r="H14292" s="3" t="s">
        <v>70238</v>
      </c>
      <c r="I14292" s="3" t="s">
        <v>72066</v>
      </c>
      <c r="J14292" s="3" t="s">
        <v>10957</v>
      </c>
      <c r="K14292" s="3" t="s">
        <v>72067</v>
      </c>
      <c r="L14292" s="3"/>
      <c r="M14292" s="4"/>
      <c r="N14292" s="3" t="s">
        <v>37</v>
      </c>
      <c r="O14292" s="3" t="s">
        <v>46</v>
      </c>
      <c r="P14292" s="5">
        <v>27</v>
      </c>
      <c r="Q14292" s="5">
        <v>696</v>
      </c>
      <c r="R14292" s="5">
        <v>26</v>
      </c>
      <c r="S14292" s="5">
        <v>692</v>
      </c>
    </row>
    <row r="14293" spans="1:19" ht="28" x14ac:dyDescent="0.15">
      <c r="A14293" s="2">
        <f>HYPERLINK("https://open-school.uspishnemisto.com.ua/school/680393/", 680393)</f>
        <v>680393</v>
      </c>
      <c r="B14293" s="3" t="s">
        <v>72068</v>
      </c>
      <c r="C14293" s="3" t="s">
        <v>31</v>
      </c>
      <c r="D14293" s="3" t="s">
        <v>32</v>
      </c>
      <c r="E14293" s="4" t="s">
        <v>22</v>
      </c>
      <c r="F14293" s="4" t="s">
        <v>72064</v>
      </c>
      <c r="G14293" s="4" t="s">
        <v>72065</v>
      </c>
      <c r="H14293" s="3" t="s">
        <v>70238</v>
      </c>
      <c r="I14293" s="3" t="s">
        <v>72066</v>
      </c>
      <c r="J14293" s="3" t="s">
        <v>72069</v>
      </c>
      <c r="K14293" s="3" t="s">
        <v>72070</v>
      </c>
      <c r="L14293" s="3" t="s">
        <v>72071</v>
      </c>
      <c r="M14293" s="4"/>
      <c r="N14293" s="3" t="s">
        <v>37</v>
      </c>
      <c r="O14293" s="3" t="s">
        <v>46</v>
      </c>
      <c r="P14293" s="5">
        <v>19</v>
      </c>
      <c r="Q14293" s="5">
        <v>381</v>
      </c>
      <c r="R14293" s="5">
        <v>19</v>
      </c>
      <c r="S14293" s="5">
        <v>378</v>
      </c>
    </row>
    <row r="14294" spans="1:19" ht="28" x14ac:dyDescent="0.15">
      <c r="A14294" s="2">
        <f>HYPERLINK("https://open-school.uspishnemisto.com.ua/school/680394/", 680394)</f>
        <v>680394</v>
      </c>
      <c r="B14294" s="3" t="s">
        <v>72072</v>
      </c>
      <c r="C14294" s="3" t="s">
        <v>31</v>
      </c>
      <c r="D14294" s="3" t="s">
        <v>32</v>
      </c>
      <c r="E14294" s="4" t="s">
        <v>22</v>
      </c>
      <c r="F14294" s="4" t="s">
        <v>72064</v>
      </c>
      <c r="G14294" s="4" t="s">
        <v>72065</v>
      </c>
      <c r="H14294" s="3" t="s">
        <v>70238</v>
      </c>
      <c r="I14294" s="3" t="s">
        <v>72066</v>
      </c>
      <c r="J14294" s="3" t="s">
        <v>11022</v>
      </c>
      <c r="K14294" s="3" t="s">
        <v>72073</v>
      </c>
      <c r="L14294" s="3" t="s">
        <v>72074</v>
      </c>
      <c r="M14294" s="4"/>
      <c r="N14294" s="3" t="s">
        <v>37</v>
      </c>
      <c r="O14294" s="3" t="s">
        <v>46</v>
      </c>
      <c r="P14294" s="5">
        <v>23</v>
      </c>
      <c r="Q14294" s="5">
        <v>599</v>
      </c>
      <c r="R14294" s="5">
        <v>23</v>
      </c>
      <c r="S14294" s="5">
        <v>611</v>
      </c>
    </row>
    <row r="14295" spans="1:19" ht="28" x14ac:dyDescent="0.15">
      <c r="A14295" s="2">
        <f>HYPERLINK("https://open-school.uspishnemisto.com.ua/school/680395/", 680395)</f>
        <v>680395</v>
      </c>
      <c r="B14295" s="3" t="s">
        <v>72075</v>
      </c>
      <c r="C14295" s="3" t="s">
        <v>31</v>
      </c>
      <c r="D14295" s="3" t="s">
        <v>32</v>
      </c>
      <c r="E14295" s="4" t="s">
        <v>22</v>
      </c>
      <c r="F14295" s="4" t="s">
        <v>72064</v>
      </c>
      <c r="G14295" s="4" t="s">
        <v>72065</v>
      </c>
      <c r="H14295" s="3" t="s">
        <v>70238</v>
      </c>
      <c r="I14295" s="3" t="s">
        <v>72066</v>
      </c>
      <c r="J14295" s="3" t="s">
        <v>1360</v>
      </c>
      <c r="K14295" s="3" t="s">
        <v>72076</v>
      </c>
      <c r="L14295" s="3"/>
      <c r="M14295" s="4"/>
      <c r="N14295" s="3" t="s">
        <v>37</v>
      </c>
      <c r="O14295" s="3" t="s">
        <v>2740</v>
      </c>
      <c r="P14295" s="5">
        <v>11</v>
      </c>
      <c r="Q14295" s="5">
        <v>247</v>
      </c>
      <c r="R14295" s="5">
        <v>10</v>
      </c>
      <c r="S14295" s="5">
        <v>225</v>
      </c>
    </row>
    <row r="14296" spans="1:19" ht="42" x14ac:dyDescent="0.15">
      <c r="A14296" s="2">
        <f>HYPERLINK("https://open-school.uspishnemisto.com.ua/school/680396/", 680396)</f>
        <v>680396</v>
      </c>
      <c r="B14296" s="3" t="s">
        <v>72077</v>
      </c>
      <c r="C14296" s="3" t="s">
        <v>54</v>
      </c>
      <c r="D14296" s="3" t="s">
        <v>32</v>
      </c>
      <c r="E14296" s="4" t="s">
        <v>22</v>
      </c>
      <c r="F14296" s="4" t="s">
        <v>72064</v>
      </c>
      <c r="G14296" s="4" t="s">
        <v>72065</v>
      </c>
      <c r="H14296" s="3" t="s">
        <v>70238</v>
      </c>
      <c r="I14296" s="3" t="s">
        <v>72066</v>
      </c>
      <c r="J14296" s="3" t="s">
        <v>10957</v>
      </c>
      <c r="K14296" s="3" t="s">
        <v>72078</v>
      </c>
      <c r="L14296" s="3" t="s">
        <v>72079</v>
      </c>
      <c r="M14296" s="4"/>
      <c r="N14296" s="3" t="s">
        <v>37</v>
      </c>
      <c r="O14296" s="3" t="s">
        <v>2776</v>
      </c>
      <c r="P14296" s="5">
        <v>18</v>
      </c>
      <c r="Q14296" s="5">
        <v>388</v>
      </c>
      <c r="R14296" s="5">
        <v>17</v>
      </c>
      <c r="S14296" s="5">
        <v>359</v>
      </c>
    </row>
    <row r="14297" spans="1:19" ht="28" x14ac:dyDescent="0.15">
      <c r="A14297" s="2">
        <f>HYPERLINK("https://open-school.uspishnemisto.com.ua/school/680397/", 680397)</f>
        <v>680397</v>
      </c>
      <c r="B14297" s="3" t="s">
        <v>72080</v>
      </c>
      <c r="C14297" s="3" t="s">
        <v>31</v>
      </c>
      <c r="D14297" s="3" t="s">
        <v>32</v>
      </c>
      <c r="E14297" s="4" t="s">
        <v>22</v>
      </c>
      <c r="F14297" s="4" t="s">
        <v>72081</v>
      </c>
      <c r="G14297" s="4" t="s">
        <v>72082</v>
      </c>
      <c r="H14297" s="3" t="s">
        <v>70238</v>
      </c>
      <c r="I14297" s="3" t="s">
        <v>72083</v>
      </c>
      <c r="J14297" s="3" t="s">
        <v>72084</v>
      </c>
      <c r="K14297" s="3"/>
      <c r="L14297" s="3"/>
      <c r="M14297" s="4"/>
      <c r="N14297" s="3" t="s">
        <v>37</v>
      </c>
      <c r="O14297" s="3" t="s">
        <v>46</v>
      </c>
      <c r="P14297" s="5">
        <v>12</v>
      </c>
      <c r="Q14297" s="5">
        <v>273</v>
      </c>
      <c r="R14297" s="5">
        <v>13</v>
      </c>
      <c r="S14297" s="5">
        <v>274</v>
      </c>
    </row>
    <row r="14298" spans="1:19" ht="28" x14ac:dyDescent="0.15">
      <c r="A14298" s="2">
        <f>HYPERLINK("https://open-school.uspishnemisto.com.ua/school/680398/", 680398)</f>
        <v>680398</v>
      </c>
      <c r="B14298" s="3" t="s">
        <v>72085</v>
      </c>
      <c r="C14298" s="3" t="s">
        <v>181</v>
      </c>
      <c r="D14298" s="3" t="s">
        <v>32</v>
      </c>
      <c r="E14298" s="4" t="s">
        <v>22</v>
      </c>
      <c r="F14298" s="4" t="s">
        <v>72081</v>
      </c>
      <c r="G14298" s="4" t="s">
        <v>72082</v>
      </c>
      <c r="H14298" s="3" t="s">
        <v>70238</v>
      </c>
      <c r="I14298" s="3" t="s">
        <v>72083</v>
      </c>
      <c r="J14298" s="3" t="s">
        <v>72086</v>
      </c>
      <c r="K14298" s="3"/>
      <c r="L14298" s="3"/>
      <c r="M14298" s="4" t="s">
        <v>72087</v>
      </c>
      <c r="N14298" s="3" t="s">
        <v>37</v>
      </c>
      <c r="O14298" s="3"/>
      <c r="P14298" s="5">
        <v>11</v>
      </c>
      <c r="Q14298" s="5">
        <v>82</v>
      </c>
      <c r="R14298" s="5">
        <v>11</v>
      </c>
      <c r="S14298" s="5">
        <v>84</v>
      </c>
    </row>
    <row r="14299" spans="1:19" ht="28" x14ac:dyDescent="0.15">
      <c r="A14299" s="2">
        <f>HYPERLINK("https://open-school.uspishnemisto.com.ua/school/680399/", 680399)</f>
        <v>680399</v>
      </c>
      <c r="B14299" s="3" t="s">
        <v>72088</v>
      </c>
      <c r="C14299" s="3" t="s">
        <v>31</v>
      </c>
      <c r="D14299" s="3" t="s">
        <v>175</v>
      </c>
      <c r="E14299" s="4" t="s">
        <v>22</v>
      </c>
      <c r="F14299" s="4" t="s">
        <v>72081</v>
      </c>
      <c r="G14299" s="4" t="s">
        <v>72089</v>
      </c>
      <c r="H14299" s="3" t="s">
        <v>70238</v>
      </c>
      <c r="I14299" s="3" t="s">
        <v>16902</v>
      </c>
      <c r="J14299" s="3" t="s">
        <v>1348</v>
      </c>
      <c r="K14299" s="3"/>
      <c r="L14299" s="3"/>
      <c r="M14299" s="4"/>
      <c r="N14299" s="3" t="s">
        <v>37</v>
      </c>
      <c r="O14299" s="3" t="s">
        <v>52</v>
      </c>
      <c r="P14299" s="5">
        <v>5</v>
      </c>
      <c r="Q14299" s="5">
        <v>37</v>
      </c>
      <c r="R14299" s="5">
        <v>5</v>
      </c>
      <c r="S14299" s="5">
        <v>40</v>
      </c>
    </row>
    <row r="14300" spans="1:19" ht="28" x14ac:dyDescent="0.15">
      <c r="A14300" s="2">
        <f>HYPERLINK("https://open-school.uspishnemisto.com.ua/school/680400/", 680400)</f>
        <v>680400</v>
      </c>
      <c r="B14300" s="3" t="s">
        <v>72090</v>
      </c>
      <c r="C14300" s="3" t="s">
        <v>31</v>
      </c>
      <c r="D14300" s="3" t="s">
        <v>175</v>
      </c>
      <c r="E14300" s="4" t="s">
        <v>22</v>
      </c>
      <c r="F14300" s="4" t="s">
        <v>72081</v>
      </c>
      <c r="G14300" s="4" t="s">
        <v>72091</v>
      </c>
      <c r="H14300" s="3" t="s">
        <v>70238</v>
      </c>
      <c r="I14300" s="3" t="s">
        <v>72092</v>
      </c>
      <c r="J14300" s="3" t="s">
        <v>1348</v>
      </c>
      <c r="K14300" s="3"/>
      <c r="L14300" s="3"/>
      <c r="M14300" s="4"/>
      <c r="N14300" s="3" t="s">
        <v>37</v>
      </c>
      <c r="O14300" s="3" t="s">
        <v>46</v>
      </c>
      <c r="P14300" s="5">
        <v>2</v>
      </c>
      <c r="Q14300" s="5">
        <v>28</v>
      </c>
      <c r="R14300" s="5">
        <v>2</v>
      </c>
      <c r="S14300" s="5">
        <v>27</v>
      </c>
    </row>
    <row r="14301" spans="1:19" ht="28" x14ac:dyDescent="0.15">
      <c r="A14301" s="2">
        <f>HYPERLINK("https://open-school.uspishnemisto.com.ua/school/680401/", 680401)</f>
        <v>680401</v>
      </c>
      <c r="B14301" s="3" t="s">
        <v>72093</v>
      </c>
      <c r="C14301" s="3" t="s">
        <v>31</v>
      </c>
      <c r="D14301" s="3" t="s">
        <v>60</v>
      </c>
      <c r="E14301" s="4" t="s">
        <v>22</v>
      </c>
      <c r="F14301" s="4" t="s">
        <v>72094</v>
      </c>
      <c r="G14301" s="4" t="s">
        <v>72095</v>
      </c>
      <c r="H14301" s="3" t="s">
        <v>70238</v>
      </c>
      <c r="I14301" s="3" t="s">
        <v>72096</v>
      </c>
      <c r="J14301" s="3" t="s">
        <v>2757</v>
      </c>
      <c r="K14301" s="3"/>
      <c r="L14301" s="3"/>
      <c r="M14301" s="4"/>
      <c r="N14301" s="3" t="s">
        <v>37</v>
      </c>
      <c r="O14301" s="3" t="s">
        <v>618</v>
      </c>
      <c r="P14301" s="5">
        <v>0</v>
      </c>
      <c r="Q14301" s="5">
        <v>4</v>
      </c>
      <c r="R14301" s="5">
        <v>0</v>
      </c>
      <c r="S14301" s="5">
        <v>8</v>
      </c>
    </row>
    <row r="14302" spans="1:19" ht="28" x14ac:dyDescent="0.15">
      <c r="A14302" s="2">
        <f>HYPERLINK("https://open-school.uspishnemisto.com.ua/school/680402/", 680402)</f>
        <v>680402</v>
      </c>
      <c r="B14302" s="3" t="s">
        <v>72097</v>
      </c>
      <c r="C14302" s="3" t="s">
        <v>31</v>
      </c>
      <c r="D14302" s="3" t="s">
        <v>32</v>
      </c>
      <c r="E14302" s="4" t="s">
        <v>22</v>
      </c>
      <c r="F14302" s="4" t="s">
        <v>72098</v>
      </c>
      <c r="G14302" s="4" t="s">
        <v>72099</v>
      </c>
      <c r="H14302" s="3" t="s">
        <v>70238</v>
      </c>
      <c r="I14302" s="3" t="s">
        <v>72100</v>
      </c>
      <c r="J14302" s="3" t="s">
        <v>15992</v>
      </c>
      <c r="K14302" s="3" t="s">
        <v>72101</v>
      </c>
      <c r="L14302" s="3"/>
      <c r="M14302" s="4"/>
      <c r="N14302" s="3" t="s">
        <v>37</v>
      </c>
      <c r="O14302" s="3" t="s">
        <v>46</v>
      </c>
      <c r="P14302" s="5">
        <v>10</v>
      </c>
      <c r="Q14302" s="5">
        <v>82</v>
      </c>
      <c r="R14302" s="5">
        <v>10</v>
      </c>
      <c r="S14302" s="5">
        <v>78</v>
      </c>
    </row>
    <row r="14303" spans="1:19" ht="28" x14ac:dyDescent="0.15">
      <c r="A14303" s="2">
        <f>HYPERLINK("https://open-school.uspishnemisto.com.ua/school/680403/", 680403)</f>
        <v>680403</v>
      </c>
      <c r="B14303" s="3" t="s">
        <v>72102</v>
      </c>
      <c r="C14303" s="3" t="s">
        <v>31</v>
      </c>
      <c r="D14303" s="3" t="s">
        <v>175</v>
      </c>
      <c r="E14303" s="4" t="s">
        <v>22</v>
      </c>
      <c r="F14303" s="4" t="s">
        <v>72103</v>
      </c>
      <c r="G14303" s="4" t="s">
        <v>72104</v>
      </c>
      <c r="H14303" s="3" t="s">
        <v>70238</v>
      </c>
      <c r="I14303" s="3" t="s">
        <v>72105</v>
      </c>
      <c r="J14303" s="3" t="s">
        <v>501</v>
      </c>
      <c r="K14303" s="3" t="s">
        <v>72106</v>
      </c>
      <c r="L14303" s="3" t="s">
        <v>72107</v>
      </c>
      <c r="M14303" s="4"/>
      <c r="N14303" s="3" t="s">
        <v>37</v>
      </c>
      <c r="O14303" s="3" t="s">
        <v>46</v>
      </c>
      <c r="P14303" s="5">
        <v>7</v>
      </c>
      <c r="Q14303" s="5">
        <v>72</v>
      </c>
      <c r="R14303" s="5">
        <v>7</v>
      </c>
      <c r="S14303" s="5">
        <v>65</v>
      </c>
    </row>
    <row r="14304" spans="1:19" ht="28" x14ac:dyDescent="0.15">
      <c r="A14304" s="2">
        <f>HYPERLINK("https://open-school.uspishnemisto.com.ua/school/680404/", 680404)</f>
        <v>680404</v>
      </c>
      <c r="B14304" s="3" t="s">
        <v>72108</v>
      </c>
      <c r="C14304" s="3" t="s">
        <v>31</v>
      </c>
      <c r="D14304" s="3" t="s">
        <v>175</v>
      </c>
      <c r="E14304" s="4" t="s">
        <v>22</v>
      </c>
      <c r="F14304" s="4" t="s">
        <v>72109</v>
      </c>
      <c r="G14304" s="4" t="s">
        <v>72110</v>
      </c>
      <c r="H14304" s="3" t="s">
        <v>70238</v>
      </c>
      <c r="I14304" s="3" t="s">
        <v>72111</v>
      </c>
      <c r="J14304" s="3" t="s">
        <v>2372</v>
      </c>
      <c r="K14304" s="3" t="s">
        <v>72112</v>
      </c>
      <c r="L14304" s="3"/>
      <c r="M14304" s="4"/>
      <c r="N14304" s="3" t="s">
        <v>37</v>
      </c>
      <c r="O14304" s="3" t="s">
        <v>46</v>
      </c>
      <c r="P14304" s="5">
        <v>5</v>
      </c>
      <c r="Q14304" s="5">
        <v>34</v>
      </c>
      <c r="R14304" s="5">
        <v>4</v>
      </c>
      <c r="S14304" s="5">
        <v>29</v>
      </c>
    </row>
    <row r="14305" spans="1:19" ht="28" x14ac:dyDescent="0.15">
      <c r="A14305" s="2">
        <f>HYPERLINK("https://open-school.uspishnemisto.com.ua/school/680405/", 680405)</f>
        <v>680405</v>
      </c>
      <c r="B14305" s="3" t="s">
        <v>72113</v>
      </c>
      <c r="C14305" s="3" t="s">
        <v>31</v>
      </c>
      <c r="D14305" s="3" t="s">
        <v>175</v>
      </c>
      <c r="E14305" s="4" t="s">
        <v>22</v>
      </c>
      <c r="F14305" s="4" t="s">
        <v>72114</v>
      </c>
      <c r="G14305" s="4" t="s">
        <v>72115</v>
      </c>
      <c r="H14305" s="3" t="s">
        <v>70238</v>
      </c>
      <c r="I14305" s="3" t="s">
        <v>3346</v>
      </c>
      <c r="J14305" s="3" t="s">
        <v>16157</v>
      </c>
      <c r="K14305" s="3" t="s">
        <v>72116</v>
      </c>
      <c r="L14305" s="3"/>
      <c r="M14305" s="4"/>
      <c r="N14305" s="3" t="s">
        <v>37</v>
      </c>
      <c r="O14305" s="3" t="s">
        <v>52</v>
      </c>
      <c r="P14305" s="5">
        <v>2</v>
      </c>
      <c r="Q14305" s="5">
        <v>29</v>
      </c>
      <c r="R14305" s="5">
        <v>2</v>
      </c>
      <c r="S14305" s="5">
        <v>25</v>
      </c>
    </row>
    <row r="14306" spans="1:19" ht="28" x14ac:dyDescent="0.15">
      <c r="A14306" s="2">
        <f>HYPERLINK("https://open-school.uspishnemisto.com.ua/school/680406/", 680406)</f>
        <v>680406</v>
      </c>
      <c r="B14306" s="3" t="s">
        <v>72117</v>
      </c>
      <c r="C14306" s="3" t="s">
        <v>31</v>
      </c>
      <c r="D14306" s="3" t="s">
        <v>32</v>
      </c>
      <c r="E14306" s="4" t="s">
        <v>22</v>
      </c>
      <c r="F14306" s="4" t="s">
        <v>72118</v>
      </c>
      <c r="G14306" s="4" t="s">
        <v>72119</v>
      </c>
      <c r="H14306" s="3" t="s">
        <v>70238</v>
      </c>
      <c r="I14306" s="3" t="s">
        <v>5961</v>
      </c>
      <c r="J14306" s="3" t="s">
        <v>634</v>
      </c>
      <c r="K14306" s="3" t="s">
        <v>72120</v>
      </c>
      <c r="L14306" s="3"/>
      <c r="M14306" s="4"/>
      <c r="N14306" s="3" t="s">
        <v>37</v>
      </c>
      <c r="O14306" s="3" t="s">
        <v>46</v>
      </c>
      <c r="P14306" s="5">
        <v>9</v>
      </c>
      <c r="Q14306" s="5">
        <v>86</v>
      </c>
      <c r="R14306" s="5">
        <v>10</v>
      </c>
      <c r="S14306" s="5">
        <v>97</v>
      </c>
    </row>
    <row r="14307" spans="1:19" ht="28" x14ac:dyDescent="0.15">
      <c r="A14307" s="2">
        <f>HYPERLINK("https://open-school.uspishnemisto.com.ua/school/680407/", 680407)</f>
        <v>680407</v>
      </c>
      <c r="B14307" s="3" t="s">
        <v>72121</v>
      </c>
      <c r="C14307" s="3" t="s">
        <v>31</v>
      </c>
      <c r="D14307" s="3" t="s">
        <v>175</v>
      </c>
      <c r="E14307" s="4" t="s">
        <v>22</v>
      </c>
      <c r="F14307" s="4" t="s">
        <v>72122</v>
      </c>
      <c r="G14307" s="4" t="s">
        <v>72123</v>
      </c>
      <c r="H14307" s="3" t="s">
        <v>70238</v>
      </c>
      <c r="I14307" s="3" t="s">
        <v>72124</v>
      </c>
      <c r="J14307" s="3" t="s">
        <v>72125</v>
      </c>
      <c r="K14307" s="3" t="s">
        <v>72126</v>
      </c>
      <c r="L14307" s="3"/>
      <c r="M14307" s="4"/>
      <c r="N14307" s="3" t="s">
        <v>37</v>
      </c>
      <c r="O14307" s="3" t="s">
        <v>52</v>
      </c>
      <c r="P14307" s="5">
        <v>4</v>
      </c>
      <c r="Q14307" s="5">
        <v>30</v>
      </c>
      <c r="R14307" s="5">
        <v>3</v>
      </c>
      <c r="S14307" s="5">
        <v>26</v>
      </c>
    </row>
    <row r="14308" spans="1:19" ht="28" x14ac:dyDescent="0.15">
      <c r="A14308" s="2">
        <f>HYPERLINK("https://open-school.uspishnemisto.com.ua/school/680408/", 680408)</f>
        <v>680408</v>
      </c>
      <c r="B14308" s="3" t="s">
        <v>72127</v>
      </c>
      <c r="C14308" s="3" t="s">
        <v>31</v>
      </c>
      <c r="D14308" s="3" t="s">
        <v>60</v>
      </c>
      <c r="E14308" s="4" t="s">
        <v>22</v>
      </c>
      <c r="F14308" s="4" t="s">
        <v>72128</v>
      </c>
      <c r="G14308" s="4" t="s">
        <v>72129</v>
      </c>
      <c r="H14308" s="3" t="s">
        <v>70238</v>
      </c>
      <c r="I14308" s="3" t="s">
        <v>72130</v>
      </c>
      <c r="J14308" s="3" t="s">
        <v>1417</v>
      </c>
      <c r="K14308" s="3" t="s">
        <v>72131</v>
      </c>
      <c r="L14308" s="3"/>
      <c r="M14308" s="4"/>
      <c r="N14308" s="3" t="s">
        <v>37</v>
      </c>
      <c r="O14308" s="3" t="s">
        <v>52</v>
      </c>
      <c r="P14308" s="5">
        <v>3</v>
      </c>
      <c r="Q14308" s="5">
        <v>5</v>
      </c>
      <c r="R14308" s="5">
        <v>4</v>
      </c>
      <c r="S14308" s="5">
        <v>11</v>
      </c>
    </row>
    <row r="14309" spans="1:19" ht="28" x14ac:dyDescent="0.15">
      <c r="A14309" s="2">
        <f>HYPERLINK("https://open-school.uspishnemisto.com.ua/school/680409/", 680409)</f>
        <v>680409</v>
      </c>
      <c r="B14309" s="3" t="s">
        <v>72132</v>
      </c>
      <c r="C14309" s="3" t="s">
        <v>31</v>
      </c>
      <c r="D14309" s="3" t="s">
        <v>175</v>
      </c>
      <c r="E14309" s="4" t="s">
        <v>22</v>
      </c>
      <c r="F14309" s="4" t="s">
        <v>72133</v>
      </c>
      <c r="G14309" s="4" t="s">
        <v>72134</v>
      </c>
      <c r="H14309" s="3" t="s">
        <v>70238</v>
      </c>
      <c r="I14309" s="3" t="s">
        <v>72135</v>
      </c>
      <c r="J14309" s="3" t="s">
        <v>466</v>
      </c>
      <c r="K14309" s="3" t="s">
        <v>72136</v>
      </c>
      <c r="L14309" s="3"/>
      <c r="M14309" s="4"/>
      <c r="N14309" s="3" t="s">
        <v>37</v>
      </c>
      <c r="O14309" s="3" t="s">
        <v>46</v>
      </c>
      <c r="P14309" s="5">
        <v>4</v>
      </c>
      <c r="Q14309" s="5">
        <v>35</v>
      </c>
      <c r="R14309" s="5">
        <v>4</v>
      </c>
      <c r="S14309" s="5">
        <v>35</v>
      </c>
    </row>
    <row r="14310" spans="1:19" ht="28" x14ac:dyDescent="0.15">
      <c r="A14310" s="2">
        <f>HYPERLINK("https://open-school.uspishnemisto.com.ua/school/680410/", 680410)</f>
        <v>680410</v>
      </c>
      <c r="B14310" s="3" t="s">
        <v>72137</v>
      </c>
      <c r="C14310" s="3" t="s">
        <v>31</v>
      </c>
      <c r="D14310" s="3" t="s">
        <v>175</v>
      </c>
      <c r="E14310" s="4" t="s">
        <v>22</v>
      </c>
      <c r="F14310" s="4" t="s">
        <v>72138</v>
      </c>
      <c r="G14310" s="4" t="s">
        <v>72139</v>
      </c>
      <c r="H14310" s="3" t="s">
        <v>70238</v>
      </c>
      <c r="I14310" s="3" t="s">
        <v>1850</v>
      </c>
      <c r="J14310" s="3" t="s">
        <v>2555</v>
      </c>
      <c r="K14310" s="3" t="s">
        <v>72140</v>
      </c>
      <c r="L14310" s="3"/>
      <c r="M14310" s="4"/>
      <c r="N14310" s="3" t="s">
        <v>37</v>
      </c>
      <c r="O14310" s="3" t="s">
        <v>46</v>
      </c>
      <c r="P14310" s="5">
        <v>9</v>
      </c>
      <c r="Q14310" s="5">
        <v>80</v>
      </c>
      <c r="R14310" s="5">
        <v>9</v>
      </c>
      <c r="S14310" s="5">
        <v>82</v>
      </c>
    </row>
    <row r="14311" spans="1:19" ht="28" x14ac:dyDescent="0.15">
      <c r="A14311" s="2">
        <f>HYPERLINK("https://open-school.uspishnemisto.com.ua/school/680411/", 680411)</f>
        <v>680411</v>
      </c>
      <c r="B14311" s="3" t="s">
        <v>72141</v>
      </c>
      <c r="C14311" s="3" t="s">
        <v>31</v>
      </c>
      <c r="D14311" s="3" t="s">
        <v>32</v>
      </c>
      <c r="E14311" s="4" t="s">
        <v>22</v>
      </c>
      <c r="F14311" s="4" t="s">
        <v>72142</v>
      </c>
      <c r="G14311" s="4" t="s">
        <v>72143</v>
      </c>
      <c r="H14311" s="3" t="s">
        <v>70238</v>
      </c>
      <c r="I14311" s="3" t="s">
        <v>72144</v>
      </c>
      <c r="J14311" s="3" t="s">
        <v>72145</v>
      </c>
      <c r="K14311" s="3" t="s">
        <v>72146</v>
      </c>
      <c r="L14311" s="3"/>
      <c r="M14311" s="4"/>
      <c r="N14311" s="3" t="s">
        <v>37</v>
      </c>
      <c r="O14311" s="3" t="s">
        <v>46</v>
      </c>
      <c r="P14311" s="5">
        <v>9</v>
      </c>
      <c r="Q14311" s="5">
        <v>69</v>
      </c>
      <c r="R14311" s="5">
        <v>8</v>
      </c>
      <c r="S14311" s="5">
        <v>73</v>
      </c>
    </row>
    <row r="14312" spans="1:19" ht="42" x14ac:dyDescent="0.15">
      <c r="A14312" s="2">
        <f>HYPERLINK("https://open-school.uspishnemisto.com.ua/school/680412/", 680412)</f>
        <v>680412</v>
      </c>
      <c r="B14312" s="3" t="s">
        <v>72147</v>
      </c>
      <c r="C14312" s="3" t="s">
        <v>31</v>
      </c>
      <c r="D14312" s="3" t="s">
        <v>32</v>
      </c>
      <c r="E14312" s="4" t="s">
        <v>22</v>
      </c>
      <c r="F14312" s="4" t="s">
        <v>72148</v>
      </c>
      <c r="G14312" s="4" t="s">
        <v>72149</v>
      </c>
      <c r="H14312" s="3" t="s">
        <v>70238</v>
      </c>
      <c r="I14312" s="3" t="s">
        <v>72150</v>
      </c>
      <c r="J14312" s="3" t="s">
        <v>466</v>
      </c>
      <c r="K14312" s="3"/>
      <c r="L14312" s="3"/>
      <c r="M14312" s="4"/>
      <c r="N14312" s="3" t="s">
        <v>37</v>
      </c>
      <c r="O14312" s="3" t="s">
        <v>46</v>
      </c>
      <c r="P14312" s="5">
        <v>11</v>
      </c>
      <c r="Q14312" s="5">
        <v>143</v>
      </c>
      <c r="R14312" s="5">
        <v>11</v>
      </c>
      <c r="S14312" s="5">
        <v>146</v>
      </c>
    </row>
    <row r="14313" spans="1:19" ht="28" x14ac:dyDescent="0.15">
      <c r="A14313" s="2">
        <f>HYPERLINK("https://open-school.uspishnemisto.com.ua/school/680413/", 680413)</f>
        <v>680413</v>
      </c>
      <c r="B14313" s="3" t="s">
        <v>72151</v>
      </c>
      <c r="C14313" s="3" t="s">
        <v>293</v>
      </c>
      <c r="D14313" s="3" t="s">
        <v>175</v>
      </c>
      <c r="E14313" s="4" t="s">
        <v>22</v>
      </c>
      <c r="F14313" s="4" t="s">
        <v>72152</v>
      </c>
      <c r="G14313" s="4" t="s">
        <v>72153</v>
      </c>
      <c r="H14313" s="3" t="s">
        <v>70238</v>
      </c>
      <c r="I14313" s="3" t="s">
        <v>72154</v>
      </c>
      <c r="J14313" s="3" t="s">
        <v>11705</v>
      </c>
      <c r="K14313" s="3"/>
      <c r="L14313" s="3"/>
      <c r="M14313" s="4"/>
      <c r="N14313" s="3" t="s">
        <v>37</v>
      </c>
      <c r="O14313" s="3" t="s">
        <v>46</v>
      </c>
      <c r="P14313" s="5">
        <v>7</v>
      </c>
      <c r="Q14313" s="5">
        <v>44</v>
      </c>
      <c r="R14313" s="5">
        <v>6</v>
      </c>
      <c r="S14313" s="5">
        <v>40</v>
      </c>
    </row>
    <row r="14314" spans="1:19" ht="28" x14ac:dyDescent="0.15">
      <c r="A14314" s="2">
        <f>HYPERLINK("https://open-school.uspishnemisto.com.ua/school/680414/", 680414)</f>
        <v>680414</v>
      </c>
      <c r="B14314" s="3" t="s">
        <v>72155</v>
      </c>
      <c r="C14314" s="3" t="s">
        <v>31</v>
      </c>
      <c r="D14314" s="3" t="s">
        <v>32</v>
      </c>
      <c r="E14314" s="4" t="s">
        <v>22</v>
      </c>
      <c r="F14314" s="4" t="s">
        <v>72156</v>
      </c>
      <c r="G14314" s="4" t="s">
        <v>72157</v>
      </c>
      <c r="H14314" s="3" t="s">
        <v>70238</v>
      </c>
      <c r="I14314" s="3" t="s">
        <v>72158</v>
      </c>
      <c r="J14314" s="3" t="s">
        <v>1636</v>
      </c>
      <c r="K14314" s="3" t="s">
        <v>72159</v>
      </c>
      <c r="L14314" s="3"/>
      <c r="M14314" s="4"/>
      <c r="N14314" s="3" t="s">
        <v>37</v>
      </c>
      <c r="O14314" s="3" t="s">
        <v>46</v>
      </c>
      <c r="P14314" s="5">
        <v>11</v>
      </c>
      <c r="Q14314" s="5">
        <v>69</v>
      </c>
      <c r="R14314" s="5">
        <v>10</v>
      </c>
      <c r="S14314" s="5">
        <v>69</v>
      </c>
    </row>
    <row r="14315" spans="1:19" ht="28" x14ac:dyDescent="0.15">
      <c r="A14315" s="2">
        <f>HYPERLINK("https://open-school.uspishnemisto.com.ua/school/680415/", 680415)</f>
        <v>680415</v>
      </c>
      <c r="B14315" s="3" t="s">
        <v>72160</v>
      </c>
      <c r="C14315" s="3" t="s">
        <v>31</v>
      </c>
      <c r="D14315" s="3" t="s">
        <v>175</v>
      </c>
      <c r="E14315" s="4" t="s">
        <v>22</v>
      </c>
      <c r="F14315" s="4" t="s">
        <v>72161</v>
      </c>
      <c r="G14315" s="4" t="s">
        <v>72162</v>
      </c>
      <c r="H14315" s="3" t="s">
        <v>70238</v>
      </c>
      <c r="I14315" s="3" t="s">
        <v>72163</v>
      </c>
      <c r="J14315" s="3" t="s">
        <v>792</v>
      </c>
      <c r="K14315" s="3"/>
      <c r="L14315" s="3"/>
      <c r="M14315" s="4"/>
      <c r="N14315" s="3" t="s">
        <v>37</v>
      </c>
      <c r="O14315" s="3" t="s">
        <v>46</v>
      </c>
      <c r="P14315" s="5">
        <v>7</v>
      </c>
      <c r="Q14315" s="5">
        <v>49</v>
      </c>
      <c r="R14315" s="5">
        <v>6</v>
      </c>
      <c r="S14315" s="5">
        <v>45</v>
      </c>
    </row>
    <row r="14316" spans="1:19" ht="42" x14ac:dyDescent="0.15">
      <c r="A14316" s="2">
        <f>HYPERLINK("https://open-school.uspishnemisto.com.ua/school/680416/", 680416)</f>
        <v>680416</v>
      </c>
      <c r="B14316" s="3" t="s">
        <v>72164</v>
      </c>
      <c r="C14316" s="3" t="s">
        <v>31</v>
      </c>
      <c r="D14316" s="3" t="s">
        <v>32</v>
      </c>
      <c r="E14316" s="4" t="s">
        <v>22</v>
      </c>
      <c r="F14316" s="4" t="s">
        <v>72165</v>
      </c>
      <c r="G14316" s="4" t="s">
        <v>72166</v>
      </c>
      <c r="H14316" s="3" t="s">
        <v>70238</v>
      </c>
      <c r="I14316" s="3" t="s">
        <v>72167</v>
      </c>
      <c r="J14316" s="3" t="s">
        <v>72168</v>
      </c>
      <c r="K14316" s="3" t="s">
        <v>72169</v>
      </c>
      <c r="L14316" s="3"/>
      <c r="M14316" s="4"/>
      <c r="N14316" s="3" t="s">
        <v>37</v>
      </c>
      <c r="O14316" s="3" t="s">
        <v>46</v>
      </c>
      <c r="P14316" s="5">
        <v>11</v>
      </c>
      <c r="Q14316" s="5">
        <v>162</v>
      </c>
      <c r="R14316" s="5">
        <v>11</v>
      </c>
      <c r="S14316" s="5">
        <v>151</v>
      </c>
    </row>
    <row r="14317" spans="1:19" ht="28" x14ac:dyDescent="0.15">
      <c r="A14317" s="2">
        <f>HYPERLINK("https://open-school.uspishnemisto.com.ua/school/680417/", 680417)</f>
        <v>680417</v>
      </c>
      <c r="B14317" s="3" t="s">
        <v>72170</v>
      </c>
      <c r="C14317" s="3" t="s">
        <v>31</v>
      </c>
      <c r="D14317" s="3" t="s">
        <v>175</v>
      </c>
      <c r="E14317" s="4" t="s">
        <v>22</v>
      </c>
      <c r="F14317" s="4" t="s">
        <v>72171</v>
      </c>
      <c r="G14317" s="4" t="s">
        <v>72172</v>
      </c>
      <c r="H14317" s="3" t="s">
        <v>70238</v>
      </c>
      <c r="I14317" s="3" t="s">
        <v>72173</v>
      </c>
      <c r="J14317" s="3" t="s">
        <v>24498</v>
      </c>
      <c r="K14317" s="3" t="s">
        <v>72174</v>
      </c>
      <c r="L14317" s="3"/>
      <c r="M14317" s="4"/>
      <c r="N14317" s="3" t="s">
        <v>37</v>
      </c>
      <c r="O14317" s="3" t="s">
        <v>46</v>
      </c>
      <c r="P14317" s="5">
        <v>6</v>
      </c>
      <c r="Q14317" s="5">
        <v>39</v>
      </c>
      <c r="R14317" s="5">
        <v>6</v>
      </c>
      <c r="S14317" s="5">
        <v>49</v>
      </c>
    </row>
    <row r="14318" spans="1:19" ht="28" x14ac:dyDescent="0.15">
      <c r="A14318" s="2">
        <f>HYPERLINK("https://open-school.uspishnemisto.com.ua/school/680418/", 680418)</f>
        <v>680418</v>
      </c>
      <c r="B14318" s="3" t="s">
        <v>72175</v>
      </c>
      <c r="C14318" s="3" t="s">
        <v>31</v>
      </c>
      <c r="D14318" s="3" t="s">
        <v>32</v>
      </c>
      <c r="E14318" s="4" t="s">
        <v>22</v>
      </c>
      <c r="F14318" s="4" t="s">
        <v>72176</v>
      </c>
      <c r="G14318" s="4" t="s">
        <v>72177</v>
      </c>
      <c r="H14318" s="3" t="s">
        <v>70238</v>
      </c>
      <c r="I14318" s="3" t="s">
        <v>71178</v>
      </c>
      <c r="J14318" s="3" t="s">
        <v>634</v>
      </c>
      <c r="K14318" s="3" t="s">
        <v>72178</v>
      </c>
      <c r="L14318" s="3"/>
      <c r="M14318" s="4"/>
      <c r="N14318" s="3" t="s">
        <v>37</v>
      </c>
      <c r="O14318" s="3" t="s">
        <v>2740</v>
      </c>
      <c r="P14318" s="5">
        <v>11</v>
      </c>
      <c r="Q14318" s="5">
        <v>127</v>
      </c>
      <c r="R14318" s="5">
        <v>11</v>
      </c>
      <c r="S14318" s="5">
        <v>126</v>
      </c>
    </row>
    <row r="14319" spans="1:19" ht="28" x14ac:dyDescent="0.15">
      <c r="A14319" s="2">
        <f>HYPERLINK("https://open-school.uspishnemisto.com.ua/school/680419/", 680419)</f>
        <v>680419</v>
      </c>
      <c r="B14319" s="3" t="s">
        <v>72179</v>
      </c>
      <c r="C14319" s="3" t="s">
        <v>31</v>
      </c>
      <c r="D14319" s="3" t="s">
        <v>32</v>
      </c>
      <c r="E14319" s="4" t="s">
        <v>22</v>
      </c>
      <c r="F14319" s="4" t="s">
        <v>72180</v>
      </c>
      <c r="G14319" s="4" t="s">
        <v>72181</v>
      </c>
      <c r="H14319" s="3" t="s">
        <v>70238</v>
      </c>
      <c r="I14319" s="3" t="s">
        <v>72182</v>
      </c>
      <c r="J14319" s="3" t="s">
        <v>1192</v>
      </c>
      <c r="K14319" s="3" t="s">
        <v>72183</v>
      </c>
      <c r="L14319" s="3"/>
      <c r="M14319" s="4"/>
      <c r="N14319" s="3" t="s">
        <v>37</v>
      </c>
      <c r="O14319" s="3" t="s">
        <v>46</v>
      </c>
      <c r="P14319" s="5">
        <v>8</v>
      </c>
      <c r="Q14319" s="5">
        <v>79</v>
      </c>
      <c r="R14319" s="5">
        <v>9</v>
      </c>
      <c r="S14319" s="5">
        <v>76</v>
      </c>
    </row>
    <row r="14320" spans="1:19" ht="28" x14ac:dyDescent="0.15">
      <c r="A14320" s="2">
        <f>HYPERLINK("https://open-school.uspishnemisto.com.ua/school/680420/", 680420)</f>
        <v>680420</v>
      </c>
      <c r="B14320" s="3" t="s">
        <v>72184</v>
      </c>
      <c r="C14320" s="3" t="s">
        <v>31</v>
      </c>
      <c r="D14320" s="3" t="s">
        <v>175</v>
      </c>
      <c r="E14320" s="4" t="s">
        <v>22</v>
      </c>
      <c r="F14320" s="4" t="s">
        <v>72185</v>
      </c>
      <c r="G14320" s="4" t="s">
        <v>72186</v>
      </c>
      <c r="H14320" s="3" t="s">
        <v>70238</v>
      </c>
      <c r="I14320" s="3" t="s">
        <v>72187</v>
      </c>
      <c r="J14320" s="3" t="s">
        <v>40428</v>
      </c>
      <c r="K14320" s="3" t="s">
        <v>72188</v>
      </c>
      <c r="L14320" s="3" t="s">
        <v>72189</v>
      </c>
      <c r="M14320" s="4"/>
      <c r="N14320" s="3" t="s">
        <v>37</v>
      </c>
      <c r="O14320" s="3" t="s">
        <v>46</v>
      </c>
      <c r="P14320" s="5">
        <v>8</v>
      </c>
      <c r="Q14320" s="5">
        <v>62</v>
      </c>
      <c r="R14320" s="5">
        <v>8</v>
      </c>
      <c r="S14320" s="5">
        <v>64</v>
      </c>
    </row>
    <row r="14321" spans="1:19" ht="28" x14ac:dyDescent="0.15">
      <c r="A14321" s="2">
        <f>HYPERLINK("https://open-school.uspishnemisto.com.ua/school/680421/", 680421)</f>
        <v>680421</v>
      </c>
      <c r="B14321" s="3" t="s">
        <v>72190</v>
      </c>
      <c r="C14321" s="3" t="s">
        <v>31</v>
      </c>
      <c r="D14321" s="3" t="s">
        <v>32</v>
      </c>
      <c r="E14321" s="4" t="s">
        <v>22</v>
      </c>
      <c r="F14321" s="4" t="s">
        <v>72191</v>
      </c>
      <c r="G14321" s="4" t="s">
        <v>72192</v>
      </c>
      <c r="H14321" s="3" t="s">
        <v>70238</v>
      </c>
      <c r="I14321" s="3" t="s">
        <v>72193</v>
      </c>
      <c r="J14321" s="3" t="s">
        <v>297</v>
      </c>
      <c r="K14321" s="3" t="s">
        <v>72194</v>
      </c>
      <c r="L14321" s="3" t="s">
        <v>72195</v>
      </c>
      <c r="M14321" s="4"/>
      <c r="N14321" s="3" t="s">
        <v>37</v>
      </c>
      <c r="O14321" s="3" t="s">
        <v>46</v>
      </c>
      <c r="P14321" s="5">
        <v>9</v>
      </c>
      <c r="Q14321" s="5">
        <v>95</v>
      </c>
      <c r="R14321" s="5">
        <v>10</v>
      </c>
      <c r="S14321" s="5">
        <v>100</v>
      </c>
    </row>
    <row r="14322" spans="1:19" ht="28" x14ac:dyDescent="0.15">
      <c r="A14322" s="2">
        <f>HYPERLINK("https://open-school.uspishnemisto.com.ua/school/680422/", 680422)</f>
        <v>680422</v>
      </c>
      <c r="B14322" s="3" t="s">
        <v>72196</v>
      </c>
      <c r="C14322" s="3" t="s">
        <v>31</v>
      </c>
      <c r="D14322" s="3" t="s">
        <v>32</v>
      </c>
      <c r="E14322" s="4" t="s">
        <v>22</v>
      </c>
      <c r="F14322" s="4" t="s">
        <v>72197</v>
      </c>
      <c r="G14322" s="4" t="s">
        <v>72198</v>
      </c>
      <c r="H14322" s="3" t="s">
        <v>70238</v>
      </c>
      <c r="I14322" s="3" t="s">
        <v>4683</v>
      </c>
      <c r="J14322" s="3" t="s">
        <v>1348</v>
      </c>
      <c r="K14322" s="3" t="s">
        <v>72199</v>
      </c>
      <c r="L14322" s="3"/>
      <c r="M14322" s="4"/>
      <c r="N14322" s="3" t="s">
        <v>37</v>
      </c>
      <c r="O14322" s="3" t="s">
        <v>112</v>
      </c>
      <c r="P14322" s="5">
        <v>11</v>
      </c>
      <c r="Q14322" s="5">
        <v>102</v>
      </c>
      <c r="R14322" s="5">
        <v>11</v>
      </c>
      <c r="S14322" s="5">
        <v>104</v>
      </c>
    </row>
    <row r="14323" spans="1:19" ht="28" x14ac:dyDescent="0.15">
      <c r="A14323" s="2">
        <f>HYPERLINK("https://open-school.uspishnemisto.com.ua/school/680423/", 680423)</f>
        <v>680423</v>
      </c>
      <c r="B14323" s="3" t="s">
        <v>19740</v>
      </c>
      <c r="C14323" s="3" t="s">
        <v>31</v>
      </c>
      <c r="D14323" s="3" t="s">
        <v>32</v>
      </c>
      <c r="E14323" s="4" t="s">
        <v>22</v>
      </c>
      <c r="F14323" s="4" t="s">
        <v>72200</v>
      </c>
      <c r="G14323" s="4" t="s">
        <v>72201</v>
      </c>
      <c r="H14323" s="3" t="s">
        <v>70238</v>
      </c>
      <c r="I14323" s="3" t="s">
        <v>19743</v>
      </c>
      <c r="J14323" s="3" t="s">
        <v>72202</v>
      </c>
      <c r="K14323" s="3" t="s">
        <v>72203</v>
      </c>
      <c r="L14323" s="3"/>
      <c r="M14323" s="4"/>
      <c r="N14323" s="3" t="s">
        <v>37</v>
      </c>
      <c r="O14323" s="3" t="s">
        <v>46</v>
      </c>
      <c r="P14323" s="5">
        <v>11</v>
      </c>
      <c r="Q14323" s="5">
        <v>147</v>
      </c>
      <c r="R14323" s="5">
        <v>11</v>
      </c>
      <c r="S14323" s="5">
        <v>149</v>
      </c>
    </row>
    <row r="14324" spans="1:19" ht="28" x14ac:dyDescent="0.15">
      <c r="A14324" s="2">
        <f>HYPERLINK("https://open-school.uspishnemisto.com.ua/school/680424/", 680424)</f>
        <v>680424</v>
      </c>
      <c r="B14324" s="3" t="s">
        <v>72204</v>
      </c>
      <c r="C14324" s="3" t="s">
        <v>31</v>
      </c>
      <c r="D14324" s="3" t="s">
        <v>175</v>
      </c>
      <c r="E14324" s="4" t="s">
        <v>22</v>
      </c>
      <c r="F14324" s="4" t="s">
        <v>72205</v>
      </c>
      <c r="G14324" s="4" t="s">
        <v>72206</v>
      </c>
      <c r="H14324" s="3" t="s">
        <v>70238</v>
      </c>
      <c r="I14324" s="3" t="s">
        <v>72207</v>
      </c>
      <c r="J14324" s="3" t="s">
        <v>792</v>
      </c>
      <c r="K14324" s="3" t="s">
        <v>72208</v>
      </c>
      <c r="L14324" s="3"/>
      <c r="M14324" s="4"/>
      <c r="N14324" s="3" t="s">
        <v>37</v>
      </c>
      <c r="O14324" s="3" t="s">
        <v>70</v>
      </c>
      <c r="P14324" s="5">
        <v>4</v>
      </c>
      <c r="Q14324" s="5">
        <v>43</v>
      </c>
      <c r="R14324" s="5">
        <v>5</v>
      </c>
      <c r="S14324" s="5">
        <v>43</v>
      </c>
    </row>
    <row r="14325" spans="1:19" ht="28" x14ac:dyDescent="0.15">
      <c r="A14325" s="2">
        <f>HYPERLINK("https://open-school.uspishnemisto.com.ua/school/680425/", 680425)</f>
        <v>680425</v>
      </c>
      <c r="B14325" s="3" t="s">
        <v>72209</v>
      </c>
      <c r="C14325" s="3" t="s">
        <v>31</v>
      </c>
      <c r="D14325" s="3" t="s">
        <v>32</v>
      </c>
      <c r="E14325" s="4" t="s">
        <v>22</v>
      </c>
      <c r="F14325" s="4" t="s">
        <v>72210</v>
      </c>
      <c r="G14325" s="4" t="s">
        <v>72211</v>
      </c>
      <c r="H14325" s="3" t="s">
        <v>70238</v>
      </c>
      <c r="I14325" s="3" t="s">
        <v>2711</v>
      </c>
      <c r="J14325" s="3" t="s">
        <v>2063</v>
      </c>
      <c r="K14325" s="3" t="s">
        <v>72212</v>
      </c>
      <c r="L14325" s="3" t="s">
        <v>72213</v>
      </c>
      <c r="M14325" s="4"/>
      <c r="N14325" s="3" t="s">
        <v>37</v>
      </c>
      <c r="O14325" s="3" t="s">
        <v>38</v>
      </c>
      <c r="P14325" s="5">
        <v>8</v>
      </c>
      <c r="Q14325" s="5">
        <v>60</v>
      </c>
      <c r="R14325" s="5">
        <v>8</v>
      </c>
      <c r="S14325" s="5">
        <v>67</v>
      </c>
    </row>
    <row r="14326" spans="1:19" ht="28" x14ac:dyDescent="0.15">
      <c r="A14326" s="2">
        <f>HYPERLINK("https://open-school.uspishnemisto.com.ua/school/680426/", 680426)</f>
        <v>680426</v>
      </c>
      <c r="B14326" s="3" t="s">
        <v>72214</v>
      </c>
      <c r="C14326" s="3" t="s">
        <v>31</v>
      </c>
      <c r="D14326" s="3" t="s">
        <v>32</v>
      </c>
      <c r="E14326" s="4" t="s">
        <v>22</v>
      </c>
      <c r="F14326" s="4" t="s">
        <v>72215</v>
      </c>
      <c r="G14326" s="4" t="s">
        <v>72216</v>
      </c>
      <c r="H14326" s="3" t="s">
        <v>70238</v>
      </c>
      <c r="I14326" s="3" t="s">
        <v>72217</v>
      </c>
      <c r="J14326" s="3" t="s">
        <v>72218</v>
      </c>
      <c r="K14326" s="3" t="s">
        <v>72219</v>
      </c>
      <c r="L14326" s="3"/>
      <c r="M14326" s="4"/>
      <c r="N14326" s="3" t="s">
        <v>37</v>
      </c>
      <c r="O14326" s="3" t="s">
        <v>46</v>
      </c>
      <c r="P14326" s="5">
        <v>10</v>
      </c>
      <c r="Q14326" s="5">
        <v>98</v>
      </c>
      <c r="R14326" s="5">
        <v>11</v>
      </c>
      <c r="S14326" s="5">
        <v>94</v>
      </c>
    </row>
    <row r="14327" spans="1:19" ht="28" x14ac:dyDescent="0.15">
      <c r="A14327" s="2">
        <f>HYPERLINK("https://open-school.uspishnemisto.com.ua/school/680427/", 680427)</f>
        <v>680427</v>
      </c>
      <c r="B14327" s="3" t="s">
        <v>72220</v>
      </c>
      <c r="C14327" s="3" t="s">
        <v>31</v>
      </c>
      <c r="D14327" s="3" t="s">
        <v>32</v>
      </c>
      <c r="E14327" s="4" t="s">
        <v>22</v>
      </c>
      <c r="F14327" s="4" t="s">
        <v>72221</v>
      </c>
      <c r="G14327" s="4" t="s">
        <v>72222</v>
      </c>
      <c r="H14327" s="3" t="s">
        <v>70238</v>
      </c>
      <c r="I14327" s="3" t="s">
        <v>72223</v>
      </c>
      <c r="J14327" s="3" t="s">
        <v>2139</v>
      </c>
      <c r="K14327" s="3" t="s">
        <v>72224</v>
      </c>
      <c r="L14327" s="3"/>
      <c r="M14327" s="4"/>
      <c r="N14327" s="3" t="s">
        <v>37</v>
      </c>
      <c r="O14327" s="3" t="s">
        <v>46</v>
      </c>
      <c r="P14327" s="5">
        <v>11</v>
      </c>
      <c r="Q14327" s="5">
        <v>97</v>
      </c>
      <c r="R14327" s="5">
        <v>11</v>
      </c>
      <c r="S14327" s="5">
        <v>94</v>
      </c>
    </row>
    <row r="14328" spans="1:19" ht="28" x14ac:dyDescent="0.15">
      <c r="A14328" s="2">
        <f>HYPERLINK("https://open-school.uspishnemisto.com.ua/school/680428/", 680428)</f>
        <v>680428</v>
      </c>
      <c r="B14328" s="3" t="s">
        <v>72225</v>
      </c>
      <c r="C14328" s="3" t="s">
        <v>31</v>
      </c>
      <c r="D14328" s="3" t="s">
        <v>32</v>
      </c>
      <c r="E14328" s="4" t="s">
        <v>22</v>
      </c>
      <c r="F14328" s="4" t="s">
        <v>72226</v>
      </c>
      <c r="G14328" s="4" t="s">
        <v>72227</v>
      </c>
      <c r="H14328" s="3" t="s">
        <v>70238</v>
      </c>
      <c r="I14328" s="3" t="s">
        <v>72228</v>
      </c>
      <c r="J14328" s="3" t="s">
        <v>2417</v>
      </c>
      <c r="K14328" s="3" t="s">
        <v>72229</v>
      </c>
      <c r="L14328" s="3"/>
      <c r="M14328" s="4"/>
      <c r="N14328" s="3" t="s">
        <v>37</v>
      </c>
      <c r="O14328" s="3" t="s">
        <v>38</v>
      </c>
      <c r="P14328" s="5">
        <v>11</v>
      </c>
      <c r="Q14328" s="5">
        <v>110</v>
      </c>
      <c r="R14328" s="5">
        <v>11</v>
      </c>
      <c r="S14328" s="5">
        <v>108</v>
      </c>
    </row>
    <row r="14329" spans="1:19" ht="28" x14ac:dyDescent="0.15">
      <c r="A14329" s="2">
        <f>HYPERLINK("https://open-school.uspishnemisto.com.ua/school/680429/", 680429)</f>
        <v>680429</v>
      </c>
      <c r="B14329" s="3" t="s">
        <v>72230</v>
      </c>
      <c r="C14329" s="3" t="s">
        <v>31</v>
      </c>
      <c r="D14329" s="3" t="s">
        <v>32</v>
      </c>
      <c r="E14329" s="4" t="s">
        <v>22</v>
      </c>
      <c r="F14329" s="4" t="s">
        <v>72231</v>
      </c>
      <c r="G14329" s="4" t="s">
        <v>72232</v>
      </c>
      <c r="H14329" s="3" t="s">
        <v>70238</v>
      </c>
      <c r="I14329" s="3" t="s">
        <v>72233</v>
      </c>
      <c r="J14329" s="3" t="s">
        <v>4728</v>
      </c>
      <c r="K14329" s="3" t="s">
        <v>72234</v>
      </c>
      <c r="L14329" s="3"/>
      <c r="M14329" s="4"/>
      <c r="N14329" s="3" t="s">
        <v>37</v>
      </c>
      <c r="O14329" s="3" t="s">
        <v>46</v>
      </c>
      <c r="P14329" s="5">
        <v>7</v>
      </c>
      <c r="Q14329" s="5">
        <v>57</v>
      </c>
      <c r="R14329" s="5">
        <v>7</v>
      </c>
      <c r="S14329" s="5">
        <v>55</v>
      </c>
    </row>
    <row r="14330" spans="1:19" ht="28" x14ac:dyDescent="0.15">
      <c r="A14330" s="2">
        <f>HYPERLINK("https://open-school.uspishnemisto.com.ua/school/680430/", 680430)</f>
        <v>680430</v>
      </c>
      <c r="B14330" s="3" t="s">
        <v>72235</v>
      </c>
      <c r="C14330" s="3" t="s">
        <v>31</v>
      </c>
      <c r="D14330" s="3" t="s">
        <v>32</v>
      </c>
      <c r="E14330" s="4" t="s">
        <v>22</v>
      </c>
      <c r="F14330" s="4" t="s">
        <v>72236</v>
      </c>
      <c r="G14330" s="4" t="s">
        <v>72237</v>
      </c>
      <c r="H14330" s="3" t="s">
        <v>70238</v>
      </c>
      <c r="I14330" s="3" t="s">
        <v>565</v>
      </c>
      <c r="J14330" s="3" t="s">
        <v>3415</v>
      </c>
      <c r="K14330" s="3" t="s">
        <v>72238</v>
      </c>
      <c r="L14330" s="3"/>
      <c r="M14330" s="4"/>
      <c r="N14330" s="3" t="s">
        <v>37</v>
      </c>
      <c r="O14330" s="3" t="s">
        <v>46</v>
      </c>
      <c r="P14330" s="5">
        <v>11</v>
      </c>
      <c r="Q14330" s="5">
        <v>102</v>
      </c>
      <c r="R14330" s="5">
        <v>9</v>
      </c>
      <c r="S14330" s="5">
        <v>94</v>
      </c>
    </row>
    <row r="14331" spans="1:19" ht="42" x14ac:dyDescent="0.15">
      <c r="A14331" s="2">
        <f>HYPERLINK("https://open-school.uspishnemisto.com.ua/school/680431/", 680431)</f>
        <v>680431</v>
      </c>
      <c r="B14331" s="3" t="s">
        <v>72239</v>
      </c>
      <c r="C14331" s="3" t="s">
        <v>31</v>
      </c>
      <c r="D14331" s="3" t="s">
        <v>32</v>
      </c>
      <c r="E14331" s="4" t="s">
        <v>22</v>
      </c>
      <c r="F14331" s="4" t="s">
        <v>72122</v>
      </c>
      <c r="G14331" s="4" t="s">
        <v>72240</v>
      </c>
      <c r="H14331" s="3" t="s">
        <v>70238</v>
      </c>
      <c r="I14331" s="3" t="s">
        <v>72241</v>
      </c>
      <c r="J14331" s="3" t="s">
        <v>72242</v>
      </c>
      <c r="K14331" s="3" t="s">
        <v>72243</v>
      </c>
      <c r="L14331" s="3"/>
      <c r="M14331" s="4"/>
      <c r="N14331" s="3" t="s">
        <v>37</v>
      </c>
      <c r="O14331" s="3" t="s">
        <v>46</v>
      </c>
      <c r="P14331" s="5">
        <v>10</v>
      </c>
      <c r="Q14331" s="5">
        <v>88</v>
      </c>
      <c r="R14331" s="5">
        <v>11</v>
      </c>
      <c r="S14331" s="5">
        <v>81</v>
      </c>
    </row>
    <row r="14332" spans="1:19" ht="42" x14ac:dyDescent="0.15">
      <c r="A14332" s="2">
        <f>HYPERLINK("https://open-school.uspishnemisto.com.ua/school/680432/", 680432)</f>
        <v>680432</v>
      </c>
      <c r="B14332" s="3" t="s">
        <v>72244</v>
      </c>
      <c r="C14332" s="3" t="s">
        <v>31</v>
      </c>
      <c r="D14332" s="3" t="s">
        <v>32</v>
      </c>
      <c r="E14332" s="4" t="s">
        <v>22</v>
      </c>
      <c r="F14332" s="4" t="s">
        <v>72245</v>
      </c>
      <c r="G14332" s="4" t="s">
        <v>72246</v>
      </c>
      <c r="H14332" s="3" t="s">
        <v>70238</v>
      </c>
      <c r="I14332" s="3" t="s">
        <v>72247</v>
      </c>
      <c r="J14332" s="3" t="s">
        <v>466</v>
      </c>
      <c r="K14332" s="3" t="s">
        <v>72248</v>
      </c>
      <c r="L14332" s="3"/>
      <c r="M14332" s="4"/>
      <c r="N14332" s="3" t="s">
        <v>37</v>
      </c>
      <c r="O14332" s="3" t="s">
        <v>38</v>
      </c>
      <c r="P14332" s="5">
        <v>11</v>
      </c>
      <c r="Q14332" s="5">
        <v>115</v>
      </c>
      <c r="R14332" s="5">
        <v>11</v>
      </c>
      <c r="S14332" s="5">
        <v>122</v>
      </c>
    </row>
    <row r="14333" spans="1:19" ht="28" x14ac:dyDescent="0.15">
      <c r="A14333" s="2">
        <f>HYPERLINK("https://open-school.uspishnemisto.com.ua/school/680433/", 680433)</f>
        <v>680433</v>
      </c>
      <c r="B14333" s="3" t="s">
        <v>72249</v>
      </c>
      <c r="C14333" s="3" t="s">
        <v>31</v>
      </c>
      <c r="D14333" s="3" t="s">
        <v>32</v>
      </c>
      <c r="E14333" s="4" t="s">
        <v>22</v>
      </c>
      <c r="F14333" s="4" t="s">
        <v>72250</v>
      </c>
      <c r="G14333" s="4" t="s">
        <v>72251</v>
      </c>
      <c r="H14333" s="3" t="s">
        <v>70238</v>
      </c>
      <c r="I14333" s="3" t="s">
        <v>72252</v>
      </c>
      <c r="J14333" s="3" t="s">
        <v>72253</v>
      </c>
      <c r="K14333" s="3" t="s">
        <v>72254</v>
      </c>
      <c r="L14333" s="3" t="s">
        <v>72255</v>
      </c>
      <c r="M14333" s="4"/>
      <c r="N14333" s="3" t="s">
        <v>37</v>
      </c>
      <c r="O14333" s="3" t="s">
        <v>46</v>
      </c>
      <c r="P14333" s="5">
        <v>10</v>
      </c>
      <c r="Q14333" s="5">
        <v>96</v>
      </c>
      <c r="R14333" s="5">
        <v>11</v>
      </c>
      <c r="S14333" s="5">
        <v>103</v>
      </c>
    </row>
    <row r="14334" spans="1:19" ht="28" x14ac:dyDescent="0.15">
      <c r="A14334" s="2">
        <f>HYPERLINK("https://open-school.uspishnemisto.com.ua/school/680434/", 680434)</f>
        <v>680434</v>
      </c>
      <c r="B14334" s="3" t="s">
        <v>72256</v>
      </c>
      <c r="C14334" s="3" t="s">
        <v>31</v>
      </c>
      <c r="D14334" s="3" t="s">
        <v>32</v>
      </c>
      <c r="E14334" s="4" t="s">
        <v>22</v>
      </c>
      <c r="F14334" s="4" t="s">
        <v>72257</v>
      </c>
      <c r="G14334" s="4" t="s">
        <v>72258</v>
      </c>
      <c r="H14334" s="3" t="s">
        <v>70238</v>
      </c>
      <c r="I14334" s="3" t="s">
        <v>48890</v>
      </c>
      <c r="J14334" s="3" t="s">
        <v>17503</v>
      </c>
      <c r="K14334" s="3" t="s">
        <v>72259</v>
      </c>
      <c r="L14334" s="3"/>
      <c r="M14334" s="4"/>
      <c r="N14334" s="3" t="s">
        <v>37</v>
      </c>
      <c r="O14334" s="3" t="s">
        <v>38</v>
      </c>
      <c r="P14334" s="5">
        <v>8</v>
      </c>
      <c r="Q14334" s="5">
        <v>71</v>
      </c>
      <c r="R14334" s="5">
        <v>10</v>
      </c>
      <c r="S14334" s="5">
        <v>72</v>
      </c>
    </row>
    <row r="14335" spans="1:19" ht="28" x14ac:dyDescent="0.15">
      <c r="A14335" s="2">
        <f>HYPERLINK("https://open-school.uspishnemisto.com.ua/school/680435/", 680435)</f>
        <v>680435</v>
      </c>
      <c r="B14335" s="3" t="s">
        <v>72260</v>
      </c>
      <c r="C14335" s="3" t="s">
        <v>31</v>
      </c>
      <c r="D14335" s="3" t="s">
        <v>175</v>
      </c>
      <c r="E14335" s="4" t="s">
        <v>22</v>
      </c>
      <c r="F14335" s="4" t="s">
        <v>72261</v>
      </c>
      <c r="G14335" s="4" t="s">
        <v>72262</v>
      </c>
      <c r="H14335" s="3" t="s">
        <v>70238</v>
      </c>
      <c r="I14335" s="3" t="s">
        <v>72263</v>
      </c>
      <c r="J14335" s="3" t="s">
        <v>634</v>
      </c>
      <c r="K14335" s="3" t="s">
        <v>72264</v>
      </c>
      <c r="L14335" s="3"/>
      <c r="M14335" s="4"/>
      <c r="N14335" s="3" t="s">
        <v>37</v>
      </c>
      <c r="O14335" s="3" t="s">
        <v>2740</v>
      </c>
      <c r="P14335" s="5">
        <v>2</v>
      </c>
      <c r="Q14335" s="5">
        <v>32</v>
      </c>
      <c r="R14335" s="5">
        <v>3</v>
      </c>
      <c r="S14335" s="5">
        <v>39</v>
      </c>
    </row>
    <row r="14336" spans="1:19" ht="28" x14ac:dyDescent="0.15">
      <c r="A14336" s="2">
        <f>HYPERLINK("https://open-school.uspishnemisto.com.ua/school/680436/", 680436)</f>
        <v>680436</v>
      </c>
      <c r="B14336" s="3" t="s">
        <v>72265</v>
      </c>
      <c r="C14336" s="3" t="s">
        <v>31</v>
      </c>
      <c r="D14336" s="3" t="s">
        <v>32</v>
      </c>
      <c r="E14336" s="4" t="s">
        <v>22</v>
      </c>
      <c r="F14336" s="4" t="s">
        <v>72064</v>
      </c>
      <c r="G14336" s="4" t="s">
        <v>72266</v>
      </c>
      <c r="H14336" s="3" t="s">
        <v>70238</v>
      </c>
      <c r="I14336" s="3" t="s">
        <v>72267</v>
      </c>
      <c r="J14336" s="3" t="s">
        <v>72268</v>
      </c>
      <c r="K14336" s="3" t="s">
        <v>72269</v>
      </c>
      <c r="L14336" s="3"/>
      <c r="M14336" s="4"/>
      <c r="N14336" s="3" t="s">
        <v>37</v>
      </c>
      <c r="O14336" s="3" t="s">
        <v>46</v>
      </c>
      <c r="P14336" s="5">
        <v>9</v>
      </c>
      <c r="Q14336" s="5">
        <v>59</v>
      </c>
      <c r="R14336" s="5">
        <v>9</v>
      </c>
      <c r="S14336" s="5">
        <v>57</v>
      </c>
    </row>
    <row r="14337" spans="1:19" ht="42" x14ac:dyDescent="0.15">
      <c r="A14337" s="2">
        <f>HYPERLINK("https://open-school.uspishnemisto.com.ua/school/680437/", 680437)</f>
        <v>680437</v>
      </c>
      <c r="B14337" s="3" t="s">
        <v>72270</v>
      </c>
      <c r="C14337" s="3" t="s">
        <v>40</v>
      </c>
      <c r="D14337" s="3" t="s">
        <v>32</v>
      </c>
      <c r="E14337" s="4" t="s">
        <v>22</v>
      </c>
      <c r="F14337" s="4" t="s">
        <v>72271</v>
      </c>
      <c r="G14337" s="4" t="s">
        <v>72272</v>
      </c>
      <c r="H14337" s="3" t="s">
        <v>70238</v>
      </c>
      <c r="I14337" s="3" t="s">
        <v>72273</v>
      </c>
      <c r="J14337" s="3" t="s">
        <v>72274</v>
      </c>
      <c r="K14337" s="3" t="s">
        <v>72275</v>
      </c>
      <c r="L14337" s="3" t="s">
        <v>72276</v>
      </c>
      <c r="M14337" s="4"/>
      <c r="N14337" s="3" t="s">
        <v>37</v>
      </c>
      <c r="O14337" s="3" t="s">
        <v>237</v>
      </c>
      <c r="P14337" s="5">
        <v>20</v>
      </c>
      <c r="Q14337" s="5">
        <v>495</v>
      </c>
      <c r="R14337" s="5">
        <v>21</v>
      </c>
      <c r="S14337" s="5">
        <v>490</v>
      </c>
    </row>
    <row r="14338" spans="1:19" ht="42" x14ac:dyDescent="0.15">
      <c r="A14338" s="2">
        <f>HYPERLINK("https://open-school.uspishnemisto.com.ua/school/680438/", 680438)</f>
        <v>680438</v>
      </c>
      <c r="B14338" s="3" t="s">
        <v>72277</v>
      </c>
      <c r="C14338" s="3" t="s">
        <v>54</v>
      </c>
      <c r="D14338" s="3" t="s">
        <v>32</v>
      </c>
      <c r="E14338" s="4" t="s">
        <v>22</v>
      </c>
      <c r="F14338" s="4" t="s">
        <v>72271</v>
      </c>
      <c r="G14338" s="4" t="s">
        <v>72272</v>
      </c>
      <c r="H14338" s="3" t="s">
        <v>70238</v>
      </c>
      <c r="I14338" s="3" t="s">
        <v>72273</v>
      </c>
      <c r="J14338" s="3" t="s">
        <v>72278</v>
      </c>
      <c r="K14338" s="3" t="s">
        <v>72279</v>
      </c>
      <c r="L14338" s="3" t="s">
        <v>72280</v>
      </c>
      <c r="M14338" s="4"/>
      <c r="N14338" s="3" t="s">
        <v>37</v>
      </c>
      <c r="O14338" s="3" t="s">
        <v>38</v>
      </c>
      <c r="P14338" s="5">
        <v>11</v>
      </c>
      <c r="Q14338" s="5">
        <v>135</v>
      </c>
      <c r="R14338" s="5">
        <v>11</v>
      </c>
      <c r="S14338" s="5">
        <v>131</v>
      </c>
    </row>
    <row r="14339" spans="1:19" ht="42" x14ac:dyDescent="0.15">
      <c r="A14339" s="2">
        <f>HYPERLINK("https://open-school.uspishnemisto.com.ua/school/680439/", 680439)</f>
        <v>680439</v>
      </c>
      <c r="B14339" s="3" t="s">
        <v>72281</v>
      </c>
      <c r="C14339" s="3" t="s">
        <v>188</v>
      </c>
      <c r="D14339" s="3" t="s">
        <v>32</v>
      </c>
      <c r="E14339" s="4" t="s">
        <v>22</v>
      </c>
      <c r="F14339" s="4" t="s">
        <v>72271</v>
      </c>
      <c r="G14339" s="4" t="s">
        <v>72272</v>
      </c>
      <c r="H14339" s="3" t="s">
        <v>70238</v>
      </c>
      <c r="I14339" s="3" t="s">
        <v>72273</v>
      </c>
      <c r="J14339" s="3" t="s">
        <v>25057</v>
      </c>
      <c r="K14339" s="3" t="s">
        <v>72282</v>
      </c>
      <c r="L14339" s="3" t="s">
        <v>72283</v>
      </c>
      <c r="M14339" s="4"/>
      <c r="N14339" s="3" t="s">
        <v>37</v>
      </c>
      <c r="O14339" s="3" t="s">
        <v>129</v>
      </c>
      <c r="P14339" s="5">
        <v>41</v>
      </c>
      <c r="Q14339" s="5">
        <v>932</v>
      </c>
      <c r="R14339" s="5">
        <v>42</v>
      </c>
      <c r="S14339" s="5">
        <v>942</v>
      </c>
    </row>
    <row r="14340" spans="1:19" ht="28" x14ac:dyDescent="0.15">
      <c r="A14340" s="2">
        <f>HYPERLINK("https://open-school.uspishnemisto.com.ua/school/680440/", 680440)</f>
        <v>680440</v>
      </c>
      <c r="B14340" s="3" t="s">
        <v>72284</v>
      </c>
      <c r="C14340" s="3" t="s">
        <v>31</v>
      </c>
      <c r="D14340" s="3" t="s">
        <v>32</v>
      </c>
      <c r="E14340" s="4" t="s">
        <v>22</v>
      </c>
      <c r="F14340" s="4" t="s">
        <v>72285</v>
      </c>
      <c r="G14340" s="4" t="s">
        <v>72286</v>
      </c>
      <c r="H14340" s="3" t="s">
        <v>70238</v>
      </c>
      <c r="I14340" s="3" t="s">
        <v>72287</v>
      </c>
      <c r="J14340" s="3" t="s">
        <v>72288</v>
      </c>
      <c r="K14340" s="3" t="s">
        <v>72289</v>
      </c>
      <c r="L14340" s="3"/>
      <c r="M14340" s="4"/>
      <c r="N14340" s="3" t="s">
        <v>37</v>
      </c>
      <c r="O14340" s="3" t="s">
        <v>38</v>
      </c>
      <c r="P14340" s="5">
        <v>10</v>
      </c>
      <c r="Q14340" s="5">
        <v>138</v>
      </c>
      <c r="R14340" s="5">
        <v>11</v>
      </c>
      <c r="S14340" s="5">
        <v>130</v>
      </c>
    </row>
    <row r="14341" spans="1:19" ht="28" x14ac:dyDescent="0.15">
      <c r="A14341" s="2">
        <f>HYPERLINK("https://open-school.uspishnemisto.com.ua/school/680441/", 680441)</f>
        <v>680441</v>
      </c>
      <c r="B14341" s="3" t="s">
        <v>72290</v>
      </c>
      <c r="C14341" s="3" t="s">
        <v>31</v>
      </c>
      <c r="D14341" s="3" t="s">
        <v>175</v>
      </c>
      <c r="E14341" s="4" t="s">
        <v>22</v>
      </c>
      <c r="F14341" s="4" t="s">
        <v>72291</v>
      </c>
      <c r="G14341" s="4" t="s">
        <v>72292</v>
      </c>
      <c r="H14341" s="3" t="s">
        <v>70238</v>
      </c>
      <c r="I14341" s="3" t="s">
        <v>72293</v>
      </c>
      <c r="J14341" s="3" t="s">
        <v>72294</v>
      </c>
      <c r="K14341" s="3" t="s">
        <v>72295</v>
      </c>
      <c r="L14341" s="3"/>
      <c r="M14341" s="4"/>
      <c r="N14341" s="3" t="s">
        <v>37</v>
      </c>
      <c r="O14341" s="3" t="s">
        <v>38</v>
      </c>
      <c r="P14341" s="5">
        <v>7</v>
      </c>
      <c r="Q14341" s="5">
        <v>59</v>
      </c>
      <c r="R14341" s="5">
        <v>9</v>
      </c>
      <c r="S14341" s="5">
        <v>61</v>
      </c>
    </row>
    <row r="14342" spans="1:19" ht="28" x14ac:dyDescent="0.15">
      <c r="A14342" s="2">
        <f>HYPERLINK("https://open-school.uspishnemisto.com.ua/school/680442/", 680442)</f>
        <v>680442</v>
      </c>
      <c r="B14342" s="3" t="s">
        <v>72296</v>
      </c>
      <c r="C14342" s="3" t="s">
        <v>31</v>
      </c>
      <c r="D14342" s="3" t="s">
        <v>32</v>
      </c>
      <c r="E14342" s="4" t="s">
        <v>22</v>
      </c>
      <c r="F14342" s="4" t="s">
        <v>72297</v>
      </c>
      <c r="G14342" s="4" t="s">
        <v>72298</v>
      </c>
      <c r="H14342" s="3" t="s">
        <v>70238</v>
      </c>
      <c r="I14342" s="3" t="s">
        <v>72299</v>
      </c>
      <c r="J14342" s="3" t="s">
        <v>72300</v>
      </c>
      <c r="K14342" s="3" t="s">
        <v>72301</v>
      </c>
      <c r="L14342" s="3"/>
      <c r="M14342" s="4"/>
      <c r="N14342" s="3" t="s">
        <v>37</v>
      </c>
      <c r="O14342" s="3" t="s">
        <v>38</v>
      </c>
      <c r="P14342" s="5">
        <v>10</v>
      </c>
      <c r="Q14342" s="5">
        <v>108</v>
      </c>
      <c r="R14342" s="5">
        <v>10</v>
      </c>
      <c r="S14342" s="5">
        <v>111</v>
      </c>
    </row>
    <row r="14343" spans="1:19" ht="28" x14ac:dyDescent="0.15">
      <c r="A14343" s="2">
        <f>HYPERLINK("https://open-school.uspishnemisto.com.ua/school/680443/", 680443)</f>
        <v>680443</v>
      </c>
      <c r="B14343" s="3" t="s">
        <v>72302</v>
      </c>
      <c r="C14343" s="3" t="s">
        <v>31</v>
      </c>
      <c r="D14343" s="3" t="s">
        <v>32</v>
      </c>
      <c r="E14343" s="4" t="s">
        <v>22</v>
      </c>
      <c r="F14343" s="4" t="s">
        <v>72303</v>
      </c>
      <c r="G14343" s="4" t="s">
        <v>72304</v>
      </c>
      <c r="H14343" s="3" t="s">
        <v>70238</v>
      </c>
      <c r="I14343" s="3" t="s">
        <v>28539</v>
      </c>
      <c r="J14343" s="3" t="s">
        <v>297</v>
      </c>
      <c r="K14343" s="3" t="s">
        <v>72305</v>
      </c>
      <c r="L14343" s="3" t="s">
        <v>72306</v>
      </c>
      <c r="M14343" s="4"/>
      <c r="N14343" s="3" t="s">
        <v>37</v>
      </c>
      <c r="O14343" s="3" t="s">
        <v>46</v>
      </c>
      <c r="P14343" s="5">
        <v>11</v>
      </c>
      <c r="Q14343" s="5">
        <v>166</v>
      </c>
      <c r="R14343" s="5">
        <v>11</v>
      </c>
      <c r="S14343" s="5">
        <v>140</v>
      </c>
    </row>
    <row r="14344" spans="1:19" ht="42" x14ac:dyDescent="0.15">
      <c r="A14344" s="2">
        <f>HYPERLINK("https://open-school.uspishnemisto.com.ua/school/680444/", 680444)</f>
        <v>680444</v>
      </c>
      <c r="B14344" s="3" t="s">
        <v>72307</v>
      </c>
      <c r="C14344" s="3" t="s">
        <v>54</v>
      </c>
      <c r="D14344" s="3" t="s">
        <v>32</v>
      </c>
      <c r="E14344" s="4" t="s">
        <v>22</v>
      </c>
      <c r="F14344" s="4" t="s">
        <v>72308</v>
      </c>
      <c r="G14344" s="4" t="s">
        <v>72309</v>
      </c>
      <c r="H14344" s="3" t="s">
        <v>70238</v>
      </c>
      <c r="I14344" s="3" t="s">
        <v>72310</v>
      </c>
      <c r="J14344" s="3" t="s">
        <v>792</v>
      </c>
      <c r="K14344" s="3" t="s">
        <v>72311</v>
      </c>
      <c r="L14344" s="3"/>
      <c r="M14344" s="4"/>
      <c r="N14344" s="3" t="s">
        <v>37</v>
      </c>
      <c r="O14344" s="3" t="s">
        <v>38</v>
      </c>
      <c r="P14344" s="5">
        <v>9</v>
      </c>
      <c r="Q14344" s="5">
        <v>57</v>
      </c>
      <c r="R14344" s="5">
        <v>8</v>
      </c>
      <c r="S14344" s="5">
        <v>56</v>
      </c>
    </row>
    <row r="14345" spans="1:19" ht="28" x14ac:dyDescent="0.15">
      <c r="A14345" s="2">
        <f>HYPERLINK("https://open-school.uspishnemisto.com.ua/school/680445/", 680445)</f>
        <v>680445</v>
      </c>
      <c r="B14345" s="3" t="s">
        <v>72312</v>
      </c>
      <c r="C14345" s="3" t="s">
        <v>31</v>
      </c>
      <c r="D14345" s="3" t="s">
        <v>175</v>
      </c>
      <c r="E14345" s="4" t="s">
        <v>22</v>
      </c>
      <c r="F14345" s="4" t="s">
        <v>72313</v>
      </c>
      <c r="G14345" s="4" t="s">
        <v>72314</v>
      </c>
      <c r="H14345" s="3" t="s">
        <v>70238</v>
      </c>
      <c r="I14345" s="3" t="s">
        <v>1820</v>
      </c>
      <c r="J14345" s="3" t="s">
        <v>72315</v>
      </c>
      <c r="K14345" s="3" t="s">
        <v>72316</v>
      </c>
      <c r="L14345" s="3"/>
      <c r="M14345" s="4"/>
      <c r="N14345" s="3"/>
      <c r="O14345" s="3"/>
      <c r="P14345" s="5">
        <v>0</v>
      </c>
      <c r="Q14345" s="5">
        <v>0</v>
      </c>
      <c r="R14345" s="5"/>
      <c r="S14345" s="5"/>
    </row>
    <row r="14346" spans="1:19" ht="28" x14ac:dyDescent="0.15">
      <c r="A14346" s="2">
        <f>HYPERLINK("https://open-school.uspishnemisto.com.ua/school/680446/", 680446)</f>
        <v>680446</v>
      </c>
      <c r="B14346" s="3" t="s">
        <v>72317</v>
      </c>
      <c r="C14346" s="3" t="s">
        <v>31</v>
      </c>
      <c r="D14346" s="3" t="s">
        <v>175</v>
      </c>
      <c r="E14346" s="4" t="s">
        <v>22</v>
      </c>
      <c r="F14346" s="4" t="s">
        <v>72318</v>
      </c>
      <c r="G14346" s="4" t="s">
        <v>72319</v>
      </c>
      <c r="H14346" s="3" t="s">
        <v>70238</v>
      </c>
      <c r="I14346" s="3" t="s">
        <v>72320</v>
      </c>
      <c r="J14346" s="3" t="s">
        <v>72321</v>
      </c>
      <c r="K14346" s="3" t="s">
        <v>72322</v>
      </c>
      <c r="L14346" s="3"/>
      <c r="M14346" s="4"/>
      <c r="N14346" s="3"/>
      <c r="O14346" s="3"/>
      <c r="P14346" s="5">
        <v>0</v>
      </c>
      <c r="Q14346" s="5">
        <v>0</v>
      </c>
      <c r="R14346" s="5"/>
      <c r="S14346" s="5"/>
    </row>
    <row r="14347" spans="1:19" ht="28" x14ac:dyDescent="0.15">
      <c r="A14347" s="2">
        <f>HYPERLINK("https://open-school.uspishnemisto.com.ua/school/680447/", 680447)</f>
        <v>680447</v>
      </c>
      <c r="B14347" s="3" t="s">
        <v>72323</v>
      </c>
      <c r="C14347" s="3" t="s">
        <v>31</v>
      </c>
      <c r="D14347" s="3" t="s">
        <v>32</v>
      </c>
      <c r="E14347" s="4" t="s">
        <v>22</v>
      </c>
      <c r="F14347" s="4" t="s">
        <v>72324</v>
      </c>
      <c r="G14347" s="4" t="s">
        <v>72325</v>
      </c>
      <c r="H14347" s="3" t="s">
        <v>70238</v>
      </c>
      <c r="I14347" s="3" t="s">
        <v>72326</v>
      </c>
      <c r="J14347" s="3" t="s">
        <v>3088</v>
      </c>
      <c r="K14347" s="3" t="s">
        <v>72327</v>
      </c>
      <c r="L14347" s="3"/>
      <c r="M14347" s="4"/>
      <c r="N14347" s="3"/>
      <c r="O14347" s="3"/>
      <c r="P14347" s="5">
        <v>0</v>
      </c>
      <c r="Q14347" s="5">
        <v>0</v>
      </c>
      <c r="R14347" s="5"/>
      <c r="S14347" s="5"/>
    </row>
    <row r="14348" spans="1:19" ht="56" x14ac:dyDescent="0.15">
      <c r="A14348" s="2">
        <f>HYPERLINK("https://open-school.uspishnemisto.com.ua/school/680448/", 680448)</f>
        <v>680448</v>
      </c>
      <c r="B14348" s="3" t="s">
        <v>72328</v>
      </c>
      <c r="C14348" s="3" t="s">
        <v>54</v>
      </c>
      <c r="D14348" s="3" t="s">
        <v>32</v>
      </c>
      <c r="E14348" s="4" t="s">
        <v>22</v>
      </c>
      <c r="F14348" s="4" t="s">
        <v>72329</v>
      </c>
      <c r="G14348" s="4" t="s">
        <v>72330</v>
      </c>
      <c r="H14348" s="3" t="s">
        <v>70238</v>
      </c>
      <c r="I14348" s="3" t="s">
        <v>72331</v>
      </c>
      <c r="J14348" s="3" t="s">
        <v>72332</v>
      </c>
      <c r="K14348" s="3" t="s">
        <v>72333</v>
      </c>
      <c r="L14348" s="3"/>
      <c r="M14348" s="4"/>
      <c r="N14348" s="3" t="s">
        <v>37</v>
      </c>
      <c r="O14348" s="3" t="s">
        <v>38</v>
      </c>
      <c r="P14348" s="5">
        <v>6</v>
      </c>
      <c r="Q14348" s="5">
        <v>59</v>
      </c>
      <c r="R14348" s="5">
        <v>7</v>
      </c>
      <c r="S14348" s="5">
        <v>65</v>
      </c>
    </row>
    <row r="14349" spans="1:19" ht="28" x14ac:dyDescent="0.15">
      <c r="A14349" s="2">
        <f>HYPERLINK("https://open-school.uspishnemisto.com.ua/school/680449/", 680449)</f>
        <v>680449</v>
      </c>
      <c r="B14349" s="3" t="s">
        <v>72334</v>
      </c>
      <c r="C14349" s="3" t="s">
        <v>31</v>
      </c>
      <c r="D14349" s="3" t="s">
        <v>32</v>
      </c>
      <c r="E14349" s="4" t="s">
        <v>22</v>
      </c>
      <c r="F14349" s="4" t="s">
        <v>72335</v>
      </c>
      <c r="G14349" s="4" t="s">
        <v>72336</v>
      </c>
      <c r="H14349" s="3" t="s">
        <v>70238</v>
      </c>
      <c r="I14349" s="3" t="s">
        <v>72337</v>
      </c>
      <c r="J14349" s="3"/>
      <c r="K14349" s="3" t="s">
        <v>72338</v>
      </c>
      <c r="L14349" s="3"/>
      <c r="M14349" s="4"/>
      <c r="N14349" s="3" t="s">
        <v>37</v>
      </c>
      <c r="O14349" s="3" t="s">
        <v>38</v>
      </c>
      <c r="P14349" s="5">
        <v>10</v>
      </c>
      <c r="Q14349" s="5">
        <v>89</v>
      </c>
      <c r="R14349" s="5">
        <v>10</v>
      </c>
      <c r="S14349" s="5">
        <v>94</v>
      </c>
    </row>
    <row r="14350" spans="1:19" ht="28" x14ac:dyDescent="0.15">
      <c r="A14350" s="2">
        <f>HYPERLINK("https://open-school.uspishnemisto.com.ua/school/680450/", 680450)</f>
        <v>680450</v>
      </c>
      <c r="B14350" s="3" t="s">
        <v>72339</v>
      </c>
      <c r="C14350" s="3" t="s">
        <v>31</v>
      </c>
      <c r="D14350" s="3" t="s">
        <v>32</v>
      </c>
      <c r="E14350" s="4" t="s">
        <v>22</v>
      </c>
      <c r="F14350" s="4" t="s">
        <v>72340</v>
      </c>
      <c r="G14350" s="4" t="s">
        <v>72341</v>
      </c>
      <c r="H14350" s="3" t="s">
        <v>70238</v>
      </c>
      <c r="I14350" s="3" t="s">
        <v>72342</v>
      </c>
      <c r="J14350" s="3" t="s">
        <v>447</v>
      </c>
      <c r="K14350" s="3" t="s">
        <v>72343</v>
      </c>
      <c r="L14350" s="3"/>
      <c r="M14350" s="4"/>
      <c r="N14350" s="3" t="s">
        <v>37</v>
      </c>
      <c r="O14350" s="3" t="s">
        <v>38</v>
      </c>
      <c r="P14350" s="5">
        <v>10</v>
      </c>
      <c r="Q14350" s="5">
        <v>78</v>
      </c>
      <c r="R14350" s="5">
        <v>9</v>
      </c>
      <c r="S14350" s="5">
        <v>78</v>
      </c>
    </row>
    <row r="14351" spans="1:19" ht="28" x14ac:dyDescent="0.15">
      <c r="A14351" s="2">
        <f>HYPERLINK("https://open-school.uspishnemisto.com.ua/school/680451/", 680451)</f>
        <v>680451</v>
      </c>
      <c r="B14351" s="3" t="s">
        <v>72344</v>
      </c>
      <c r="C14351" s="3" t="s">
        <v>31</v>
      </c>
      <c r="D14351" s="3" t="s">
        <v>32</v>
      </c>
      <c r="E14351" s="4" t="s">
        <v>22</v>
      </c>
      <c r="F14351" s="4" t="s">
        <v>72285</v>
      </c>
      <c r="G14351" s="4" t="s">
        <v>72345</v>
      </c>
      <c r="H14351" s="3" t="s">
        <v>70238</v>
      </c>
      <c r="I14351" s="3" t="s">
        <v>72346</v>
      </c>
      <c r="J14351" s="3" t="s">
        <v>1078</v>
      </c>
      <c r="K14351" s="3" t="s">
        <v>72347</v>
      </c>
      <c r="L14351" s="3"/>
      <c r="M14351" s="4"/>
      <c r="N14351" s="3" t="s">
        <v>37</v>
      </c>
      <c r="O14351" s="3" t="s">
        <v>46</v>
      </c>
      <c r="P14351" s="5">
        <v>11</v>
      </c>
      <c r="Q14351" s="5">
        <v>118</v>
      </c>
      <c r="R14351" s="5">
        <v>10</v>
      </c>
      <c r="S14351" s="5">
        <v>109</v>
      </c>
    </row>
    <row r="14352" spans="1:19" ht="28" x14ac:dyDescent="0.15">
      <c r="A14352" s="2">
        <f>HYPERLINK("https://open-school.uspishnemisto.com.ua/school/680452/", 680452)</f>
        <v>680452</v>
      </c>
      <c r="B14352" s="3" t="s">
        <v>72348</v>
      </c>
      <c r="C14352" s="3" t="s">
        <v>31</v>
      </c>
      <c r="D14352" s="3" t="s">
        <v>175</v>
      </c>
      <c r="E14352" s="4" t="s">
        <v>22</v>
      </c>
      <c r="F14352" s="4" t="s">
        <v>72349</v>
      </c>
      <c r="G14352" s="4" t="s">
        <v>72350</v>
      </c>
      <c r="H14352" s="3" t="s">
        <v>70238</v>
      </c>
      <c r="I14352" s="3" t="s">
        <v>72351</v>
      </c>
      <c r="J14352" s="3" t="s">
        <v>72352</v>
      </c>
      <c r="K14352" s="3" t="s">
        <v>72353</v>
      </c>
      <c r="L14352" s="3"/>
      <c r="M14352" s="4"/>
      <c r="N14352" s="3" t="s">
        <v>37</v>
      </c>
      <c r="O14352" s="3" t="s">
        <v>38</v>
      </c>
      <c r="P14352" s="5">
        <v>3</v>
      </c>
      <c r="Q14352" s="5">
        <v>36</v>
      </c>
      <c r="R14352" s="5">
        <v>4</v>
      </c>
      <c r="S14352" s="5">
        <v>40</v>
      </c>
    </row>
    <row r="14353" spans="1:19" ht="28" x14ac:dyDescent="0.15">
      <c r="A14353" s="2">
        <f>HYPERLINK("https://open-school.uspishnemisto.com.ua/school/680453/", 680453)</f>
        <v>680453</v>
      </c>
      <c r="B14353" s="3" t="s">
        <v>72354</v>
      </c>
      <c r="C14353" s="3" t="s">
        <v>31</v>
      </c>
      <c r="D14353" s="3" t="s">
        <v>175</v>
      </c>
      <c r="E14353" s="4" t="s">
        <v>22</v>
      </c>
      <c r="F14353" s="4" t="s">
        <v>72355</v>
      </c>
      <c r="G14353" s="4" t="s">
        <v>72356</v>
      </c>
      <c r="H14353" s="3" t="s">
        <v>70238</v>
      </c>
      <c r="I14353" s="3" t="s">
        <v>25451</v>
      </c>
      <c r="J14353" s="3" t="s">
        <v>2841</v>
      </c>
      <c r="K14353" s="3" t="s">
        <v>72357</v>
      </c>
      <c r="L14353" s="3"/>
      <c r="M14353" s="4"/>
      <c r="N14353" s="3" t="s">
        <v>37</v>
      </c>
      <c r="O14353" s="3" t="s">
        <v>123</v>
      </c>
      <c r="P14353" s="5">
        <v>9</v>
      </c>
      <c r="Q14353" s="5">
        <v>60</v>
      </c>
      <c r="R14353" s="5">
        <v>9</v>
      </c>
      <c r="S14353" s="5">
        <v>62</v>
      </c>
    </row>
    <row r="14354" spans="1:19" ht="56" x14ac:dyDescent="0.15">
      <c r="A14354" s="2">
        <f>HYPERLINK("https://open-school.uspishnemisto.com.ua/school/680454/", 680454)</f>
        <v>680454</v>
      </c>
      <c r="B14354" s="3" t="s">
        <v>72358</v>
      </c>
      <c r="C14354" s="3" t="s">
        <v>54</v>
      </c>
      <c r="D14354" s="3" t="s">
        <v>175</v>
      </c>
      <c r="E14354" s="4" t="s">
        <v>22</v>
      </c>
      <c r="F14354" s="4" t="s">
        <v>72359</v>
      </c>
      <c r="G14354" s="4" t="s">
        <v>72360</v>
      </c>
      <c r="H14354" s="3" t="s">
        <v>70238</v>
      </c>
      <c r="I14354" s="3" t="s">
        <v>72361</v>
      </c>
      <c r="J14354" s="3" t="s">
        <v>12191</v>
      </c>
      <c r="K14354" s="3" t="s">
        <v>72362</v>
      </c>
      <c r="L14354" s="3"/>
      <c r="M14354" s="4"/>
      <c r="N14354" s="3" t="s">
        <v>37</v>
      </c>
      <c r="O14354" s="3" t="s">
        <v>38</v>
      </c>
      <c r="P14354" s="5">
        <v>2</v>
      </c>
      <c r="Q14354" s="5">
        <v>32</v>
      </c>
      <c r="R14354" s="5">
        <v>2</v>
      </c>
      <c r="S14354" s="5">
        <v>38</v>
      </c>
    </row>
    <row r="14355" spans="1:19" ht="28" x14ac:dyDescent="0.15">
      <c r="A14355" s="2">
        <f>HYPERLINK("https://open-school.uspishnemisto.com.ua/school/680455/", 680455)</f>
        <v>680455</v>
      </c>
      <c r="B14355" s="3" t="s">
        <v>72363</v>
      </c>
      <c r="C14355" s="3" t="s">
        <v>31</v>
      </c>
      <c r="D14355" s="3" t="s">
        <v>175</v>
      </c>
      <c r="E14355" s="4" t="s">
        <v>22</v>
      </c>
      <c r="F14355" s="4" t="s">
        <v>72364</v>
      </c>
      <c r="G14355" s="4" t="s">
        <v>72365</v>
      </c>
      <c r="H14355" s="3" t="s">
        <v>70238</v>
      </c>
      <c r="I14355" s="3" t="s">
        <v>2020</v>
      </c>
      <c r="J14355" s="3" t="s">
        <v>72366</v>
      </c>
      <c r="K14355" s="3" t="s">
        <v>72367</v>
      </c>
      <c r="L14355" s="3"/>
      <c r="M14355" s="4"/>
      <c r="N14355" s="3" t="s">
        <v>37</v>
      </c>
      <c r="O14355" s="3" t="s">
        <v>38</v>
      </c>
      <c r="P14355" s="5">
        <v>8</v>
      </c>
      <c r="Q14355" s="5">
        <v>67</v>
      </c>
      <c r="R14355" s="5">
        <v>8</v>
      </c>
      <c r="S14355" s="5">
        <v>62</v>
      </c>
    </row>
    <row r="14356" spans="1:19" ht="28" x14ac:dyDescent="0.15">
      <c r="A14356" s="2">
        <f>HYPERLINK("https://open-school.uspishnemisto.com.ua/school/680456/", 680456)</f>
        <v>680456</v>
      </c>
      <c r="B14356" s="3" t="s">
        <v>72368</v>
      </c>
      <c r="C14356" s="3" t="s">
        <v>31</v>
      </c>
      <c r="D14356" s="3" t="s">
        <v>32</v>
      </c>
      <c r="E14356" s="4" t="s">
        <v>22</v>
      </c>
      <c r="F14356" s="4" t="s">
        <v>72369</v>
      </c>
      <c r="G14356" s="4" t="s">
        <v>72370</v>
      </c>
      <c r="H14356" s="3" t="s">
        <v>70238</v>
      </c>
      <c r="I14356" s="3" t="s">
        <v>72371</v>
      </c>
      <c r="J14356" s="3" t="s">
        <v>72372</v>
      </c>
      <c r="K14356" s="3" t="s">
        <v>72373</v>
      </c>
      <c r="L14356" s="3"/>
      <c r="M14356" s="4"/>
      <c r="N14356" s="3" t="s">
        <v>37</v>
      </c>
      <c r="O14356" s="3" t="s">
        <v>46</v>
      </c>
      <c r="P14356" s="5">
        <v>11</v>
      </c>
      <c r="Q14356" s="5">
        <v>164</v>
      </c>
      <c r="R14356" s="5">
        <v>11</v>
      </c>
      <c r="S14356" s="5">
        <v>177</v>
      </c>
    </row>
    <row r="14357" spans="1:19" ht="28" x14ac:dyDescent="0.15">
      <c r="A14357" s="2">
        <f>HYPERLINK("https://open-school.uspishnemisto.com.ua/school/680457/", 680457)</f>
        <v>680457</v>
      </c>
      <c r="B14357" s="3" t="s">
        <v>72374</v>
      </c>
      <c r="C14357" s="3" t="s">
        <v>181</v>
      </c>
      <c r="D14357" s="3" t="s">
        <v>32</v>
      </c>
      <c r="E14357" s="4" t="s">
        <v>22</v>
      </c>
      <c r="F14357" s="4" t="s">
        <v>72369</v>
      </c>
      <c r="G14357" s="4" t="s">
        <v>72370</v>
      </c>
      <c r="H14357" s="3" t="s">
        <v>70238</v>
      </c>
      <c r="I14357" s="3" t="s">
        <v>72371</v>
      </c>
      <c r="J14357" s="3" t="s">
        <v>39899</v>
      </c>
      <c r="K14357" s="3"/>
      <c r="L14357" s="3"/>
      <c r="M14357" s="4" t="s">
        <v>72375</v>
      </c>
      <c r="N14357" s="3" t="s">
        <v>37</v>
      </c>
      <c r="O14357" s="3" t="s">
        <v>52</v>
      </c>
      <c r="P14357" s="5">
        <v>9</v>
      </c>
      <c r="Q14357" s="5">
        <v>66</v>
      </c>
      <c r="R14357" s="5">
        <v>10</v>
      </c>
      <c r="S14357" s="5">
        <v>68</v>
      </c>
    </row>
    <row r="14358" spans="1:19" ht="42" x14ac:dyDescent="0.15">
      <c r="A14358" s="2">
        <f>HYPERLINK("https://open-school.uspishnemisto.com.ua/school/680458/", 680458)</f>
        <v>680458</v>
      </c>
      <c r="B14358" s="3" t="s">
        <v>72376</v>
      </c>
      <c r="C14358" s="3" t="s">
        <v>40</v>
      </c>
      <c r="D14358" s="3" t="s">
        <v>32</v>
      </c>
      <c r="E14358" s="4" t="s">
        <v>22</v>
      </c>
      <c r="F14358" s="4" t="s">
        <v>72369</v>
      </c>
      <c r="G14358" s="4" t="s">
        <v>72370</v>
      </c>
      <c r="H14358" s="3" t="s">
        <v>70238</v>
      </c>
      <c r="I14358" s="3" t="s">
        <v>72371</v>
      </c>
      <c r="J14358" s="3" t="s">
        <v>72377</v>
      </c>
      <c r="K14358" s="3" t="s">
        <v>72378</v>
      </c>
      <c r="L14358" s="3" t="s">
        <v>72379</v>
      </c>
      <c r="M14358" s="4"/>
      <c r="N14358" s="3" t="s">
        <v>37</v>
      </c>
      <c r="O14358" s="3" t="s">
        <v>46</v>
      </c>
      <c r="P14358" s="5">
        <v>25</v>
      </c>
      <c r="Q14358" s="5">
        <v>500</v>
      </c>
      <c r="R14358" s="5">
        <v>22</v>
      </c>
      <c r="S14358" s="5">
        <v>480</v>
      </c>
    </row>
    <row r="14359" spans="1:19" ht="28" x14ac:dyDescent="0.15">
      <c r="A14359" s="2">
        <f>HYPERLINK("https://open-school.uspishnemisto.com.ua/school/680459/", 680459)</f>
        <v>680459</v>
      </c>
      <c r="B14359" s="3" t="s">
        <v>72380</v>
      </c>
      <c r="C14359" s="3" t="s">
        <v>31</v>
      </c>
      <c r="D14359" s="3" t="s">
        <v>175</v>
      </c>
      <c r="E14359" s="4" t="s">
        <v>22</v>
      </c>
      <c r="F14359" s="4" t="s">
        <v>72381</v>
      </c>
      <c r="G14359" s="4" t="s">
        <v>72382</v>
      </c>
      <c r="H14359" s="3" t="s">
        <v>70238</v>
      </c>
      <c r="I14359" s="3" t="s">
        <v>48037</v>
      </c>
      <c r="J14359" s="3" t="s">
        <v>72383</v>
      </c>
      <c r="K14359" s="3" t="s">
        <v>72384</v>
      </c>
      <c r="L14359" s="3"/>
      <c r="M14359" s="4"/>
      <c r="N14359" s="3" t="s">
        <v>37</v>
      </c>
      <c r="O14359" s="3" t="s">
        <v>618</v>
      </c>
      <c r="P14359" s="5">
        <v>4</v>
      </c>
      <c r="Q14359" s="5">
        <v>48</v>
      </c>
      <c r="R14359" s="5">
        <v>5</v>
      </c>
      <c r="S14359" s="5">
        <v>48</v>
      </c>
    </row>
    <row r="14360" spans="1:19" ht="28" x14ac:dyDescent="0.15">
      <c r="A14360" s="2">
        <f>HYPERLINK("https://open-school.uspishnemisto.com.ua/school/680460/", 680460)</f>
        <v>680460</v>
      </c>
      <c r="B14360" s="3" t="s">
        <v>72385</v>
      </c>
      <c r="C14360" s="3" t="s">
        <v>31</v>
      </c>
      <c r="D14360" s="3" t="s">
        <v>32</v>
      </c>
      <c r="E14360" s="4" t="s">
        <v>22</v>
      </c>
      <c r="F14360" s="4" t="s">
        <v>72386</v>
      </c>
      <c r="G14360" s="4" t="s">
        <v>72387</v>
      </c>
      <c r="H14360" s="3" t="s">
        <v>70238</v>
      </c>
      <c r="I14360" s="3" t="s">
        <v>725</v>
      </c>
      <c r="J14360" s="3" t="s">
        <v>72388</v>
      </c>
      <c r="K14360" s="3"/>
      <c r="L14360" s="3"/>
      <c r="M14360" s="4"/>
      <c r="N14360" s="3" t="s">
        <v>37</v>
      </c>
      <c r="O14360" s="3" t="s">
        <v>618</v>
      </c>
      <c r="P14360" s="5">
        <v>6</v>
      </c>
      <c r="Q14360" s="5">
        <v>46</v>
      </c>
      <c r="R14360" s="5">
        <v>7</v>
      </c>
      <c r="S14360" s="5">
        <v>47</v>
      </c>
    </row>
    <row r="14361" spans="1:19" ht="28" x14ac:dyDescent="0.15">
      <c r="A14361" s="2">
        <f>HYPERLINK("https://open-school.uspishnemisto.com.ua/school/680461/", 680461)</f>
        <v>680461</v>
      </c>
      <c r="B14361" s="3" t="s">
        <v>72389</v>
      </c>
      <c r="C14361" s="3" t="s">
        <v>31</v>
      </c>
      <c r="D14361" s="3" t="s">
        <v>175</v>
      </c>
      <c r="E14361" s="4" t="s">
        <v>22</v>
      </c>
      <c r="F14361" s="4" t="s">
        <v>72390</v>
      </c>
      <c r="G14361" s="4" t="s">
        <v>72391</v>
      </c>
      <c r="H14361" s="3" t="s">
        <v>70238</v>
      </c>
      <c r="I14361" s="3" t="s">
        <v>72392</v>
      </c>
      <c r="J14361" s="3" t="s">
        <v>72393</v>
      </c>
      <c r="K14361" s="3" t="s">
        <v>72394</v>
      </c>
      <c r="L14361" s="3"/>
      <c r="M14361" s="4"/>
      <c r="N14361" s="3" t="s">
        <v>37</v>
      </c>
      <c r="O14361" s="3" t="s">
        <v>46</v>
      </c>
      <c r="P14361" s="5">
        <v>9</v>
      </c>
      <c r="Q14361" s="5">
        <v>77</v>
      </c>
      <c r="R14361" s="5">
        <v>8</v>
      </c>
      <c r="S14361" s="5">
        <v>75</v>
      </c>
    </row>
    <row r="14362" spans="1:19" ht="28" x14ac:dyDescent="0.15">
      <c r="A14362" s="2">
        <f>HYPERLINK("https://open-school.uspishnemisto.com.ua/school/680462/", 680462)</f>
        <v>680462</v>
      </c>
      <c r="B14362" s="3" t="s">
        <v>72395</v>
      </c>
      <c r="C14362" s="3" t="s">
        <v>31</v>
      </c>
      <c r="D14362" s="3" t="s">
        <v>32</v>
      </c>
      <c r="E14362" s="4" t="s">
        <v>22</v>
      </c>
      <c r="F14362" s="4" t="s">
        <v>72396</v>
      </c>
      <c r="G14362" s="4" t="s">
        <v>72397</v>
      </c>
      <c r="H14362" s="3" t="s">
        <v>70238</v>
      </c>
      <c r="I14362" s="3" t="s">
        <v>61210</v>
      </c>
      <c r="J14362" s="3" t="s">
        <v>72398</v>
      </c>
      <c r="K14362" s="3" t="s">
        <v>72399</v>
      </c>
      <c r="L14362" s="3"/>
      <c r="M14362" s="4"/>
      <c r="N14362" s="3" t="s">
        <v>37</v>
      </c>
      <c r="O14362" s="3" t="s">
        <v>46</v>
      </c>
      <c r="P14362" s="5">
        <v>9</v>
      </c>
      <c r="Q14362" s="5">
        <v>68</v>
      </c>
      <c r="R14362" s="5">
        <v>10</v>
      </c>
      <c r="S14362" s="5">
        <v>81</v>
      </c>
    </row>
    <row r="14363" spans="1:19" ht="28" x14ac:dyDescent="0.15">
      <c r="A14363" s="2">
        <f>HYPERLINK("https://open-school.uspishnemisto.com.ua/school/680463/", 680463)</f>
        <v>680463</v>
      </c>
      <c r="B14363" s="3" t="s">
        <v>72400</v>
      </c>
      <c r="C14363" s="3" t="s">
        <v>31</v>
      </c>
      <c r="D14363" s="3" t="s">
        <v>32</v>
      </c>
      <c r="E14363" s="4" t="s">
        <v>22</v>
      </c>
      <c r="F14363" s="4" t="s">
        <v>72401</v>
      </c>
      <c r="G14363" s="4" t="s">
        <v>72402</v>
      </c>
      <c r="H14363" s="3" t="s">
        <v>70238</v>
      </c>
      <c r="I14363" s="3" t="s">
        <v>72403</v>
      </c>
      <c r="J14363" s="3" t="s">
        <v>6800</v>
      </c>
      <c r="K14363" s="3" t="s">
        <v>72404</v>
      </c>
      <c r="L14363" s="3"/>
      <c r="M14363" s="4"/>
      <c r="N14363" s="3" t="s">
        <v>37</v>
      </c>
      <c r="O14363" s="3" t="s">
        <v>618</v>
      </c>
      <c r="P14363" s="5">
        <v>11</v>
      </c>
      <c r="Q14363" s="5">
        <v>98</v>
      </c>
      <c r="R14363" s="5">
        <v>11</v>
      </c>
      <c r="S14363" s="5">
        <v>90</v>
      </c>
    </row>
    <row r="14364" spans="1:19" ht="28" x14ac:dyDescent="0.15">
      <c r="A14364" s="2">
        <f>HYPERLINK("https://open-school.uspishnemisto.com.ua/school/680464/", 680464)</f>
        <v>680464</v>
      </c>
      <c r="B14364" s="3" t="s">
        <v>72405</v>
      </c>
      <c r="C14364" s="3" t="s">
        <v>31</v>
      </c>
      <c r="D14364" s="3" t="s">
        <v>32</v>
      </c>
      <c r="E14364" s="4" t="s">
        <v>22</v>
      </c>
      <c r="F14364" s="4" t="s">
        <v>72406</v>
      </c>
      <c r="G14364" s="4" t="s">
        <v>72407</v>
      </c>
      <c r="H14364" s="3" t="s">
        <v>70238</v>
      </c>
      <c r="I14364" s="3" t="s">
        <v>72408</v>
      </c>
      <c r="J14364" s="3" t="s">
        <v>72409</v>
      </c>
      <c r="K14364" s="3" t="s">
        <v>72410</v>
      </c>
      <c r="L14364" s="3"/>
      <c r="M14364" s="4"/>
      <c r="N14364" s="3" t="s">
        <v>37</v>
      </c>
      <c r="O14364" s="3" t="s">
        <v>618</v>
      </c>
      <c r="P14364" s="5">
        <v>11</v>
      </c>
      <c r="Q14364" s="5">
        <v>99</v>
      </c>
      <c r="R14364" s="5">
        <v>11</v>
      </c>
      <c r="S14364" s="5">
        <v>100</v>
      </c>
    </row>
    <row r="14365" spans="1:19" ht="28" x14ac:dyDescent="0.15">
      <c r="A14365" s="2">
        <f>HYPERLINK("https://open-school.uspishnemisto.com.ua/school/680465/", 680465)</f>
        <v>680465</v>
      </c>
      <c r="B14365" s="3" t="s">
        <v>72411</v>
      </c>
      <c r="C14365" s="3" t="s">
        <v>31</v>
      </c>
      <c r="D14365" s="3" t="s">
        <v>175</v>
      </c>
      <c r="E14365" s="4" t="s">
        <v>22</v>
      </c>
      <c r="F14365" s="4" t="s">
        <v>72412</v>
      </c>
      <c r="G14365" s="4" t="s">
        <v>72413</v>
      </c>
      <c r="H14365" s="3" t="s">
        <v>70238</v>
      </c>
      <c r="I14365" s="3" t="s">
        <v>72414</v>
      </c>
      <c r="J14365" s="3" t="s">
        <v>6312</v>
      </c>
      <c r="K14365" s="3" t="s">
        <v>72415</v>
      </c>
      <c r="L14365" s="3"/>
      <c r="M14365" s="4"/>
      <c r="N14365" s="3" t="s">
        <v>37</v>
      </c>
      <c r="O14365" s="3" t="s">
        <v>618</v>
      </c>
      <c r="P14365" s="5">
        <v>3</v>
      </c>
      <c r="Q14365" s="5">
        <v>27</v>
      </c>
      <c r="R14365" s="5">
        <v>4</v>
      </c>
      <c r="S14365" s="5">
        <v>34</v>
      </c>
    </row>
    <row r="14366" spans="1:19" ht="28" x14ac:dyDescent="0.15">
      <c r="A14366" s="2">
        <f>HYPERLINK("https://open-school.uspishnemisto.com.ua/school/680466/", 680466)</f>
        <v>680466</v>
      </c>
      <c r="B14366" s="3" t="s">
        <v>72416</v>
      </c>
      <c r="C14366" s="3" t="s">
        <v>31</v>
      </c>
      <c r="D14366" s="3" t="s">
        <v>175</v>
      </c>
      <c r="E14366" s="4" t="s">
        <v>22</v>
      </c>
      <c r="F14366" s="4" t="s">
        <v>72417</v>
      </c>
      <c r="G14366" s="4" t="s">
        <v>72418</v>
      </c>
      <c r="H14366" s="3" t="s">
        <v>70238</v>
      </c>
      <c r="I14366" s="3" t="s">
        <v>4536</v>
      </c>
      <c r="J14366" s="3" t="s">
        <v>72419</v>
      </c>
      <c r="K14366" s="3" t="s">
        <v>72420</v>
      </c>
      <c r="L14366" s="3" t="s">
        <v>72421</v>
      </c>
      <c r="M14366" s="4"/>
      <c r="N14366" s="3" t="s">
        <v>37</v>
      </c>
      <c r="O14366" s="3" t="s">
        <v>52</v>
      </c>
      <c r="P14366" s="5">
        <v>6</v>
      </c>
      <c r="Q14366" s="5">
        <v>42</v>
      </c>
      <c r="R14366" s="5">
        <v>6</v>
      </c>
      <c r="S14366" s="5">
        <v>41</v>
      </c>
    </row>
    <row r="14367" spans="1:19" ht="28" x14ac:dyDescent="0.15">
      <c r="A14367" s="2">
        <f>HYPERLINK("https://open-school.uspishnemisto.com.ua/school/680467/", 680467)</f>
        <v>680467</v>
      </c>
      <c r="B14367" s="3" t="s">
        <v>72422</v>
      </c>
      <c r="C14367" s="3" t="s">
        <v>31</v>
      </c>
      <c r="D14367" s="3" t="s">
        <v>175</v>
      </c>
      <c r="E14367" s="4" t="s">
        <v>22</v>
      </c>
      <c r="F14367" s="4" t="s">
        <v>72423</v>
      </c>
      <c r="G14367" s="4" t="s">
        <v>72424</v>
      </c>
      <c r="H14367" s="3" t="s">
        <v>70238</v>
      </c>
      <c r="I14367" s="3" t="s">
        <v>3641</v>
      </c>
      <c r="J14367" s="3" t="s">
        <v>72425</v>
      </c>
      <c r="K14367" s="3" t="s">
        <v>72426</v>
      </c>
      <c r="L14367" s="3" t="s">
        <v>72427</v>
      </c>
      <c r="M14367" s="4"/>
      <c r="N14367" s="3" t="s">
        <v>37</v>
      </c>
      <c r="O14367" s="3" t="s">
        <v>46</v>
      </c>
      <c r="P14367" s="5">
        <v>6</v>
      </c>
      <c r="Q14367" s="5">
        <v>46</v>
      </c>
      <c r="R14367" s="5">
        <v>5</v>
      </c>
      <c r="S14367" s="5">
        <v>41</v>
      </c>
    </row>
    <row r="14368" spans="1:19" ht="28" x14ac:dyDescent="0.15">
      <c r="A14368" s="2">
        <f>HYPERLINK("https://open-school.uspishnemisto.com.ua/school/680468/", 680468)</f>
        <v>680468</v>
      </c>
      <c r="B14368" s="3" t="s">
        <v>72428</v>
      </c>
      <c r="C14368" s="3" t="s">
        <v>31</v>
      </c>
      <c r="D14368" s="3" t="s">
        <v>175</v>
      </c>
      <c r="E14368" s="4" t="s">
        <v>22</v>
      </c>
      <c r="F14368" s="4" t="s">
        <v>72429</v>
      </c>
      <c r="G14368" s="4" t="s">
        <v>72430</v>
      </c>
      <c r="H14368" s="3" t="s">
        <v>70238</v>
      </c>
      <c r="I14368" s="3" t="s">
        <v>3614</v>
      </c>
      <c r="J14368" s="3" t="s">
        <v>72431</v>
      </c>
      <c r="K14368" s="3" t="s">
        <v>72432</v>
      </c>
      <c r="L14368" s="3" t="s">
        <v>72433</v>
      </c>
      <c r="M14368" s="4"/>
      <c r="N14368" s="3" t="s">
        <v>37</v>
      </c>
      <c r="O14368" s="3" t="s">
        <v>618</v>
      </c>
      <c r="P14368" s="5">
        <v>2</v>
      </c>
      <c r="Q14368" s="5">
        <v>29</v>
      </c>
      <c r="R14368" s="5">
        <v>1</v>
      </c>
      <c r="S14368" s="5">
        <v>31</v>
      </c>
    </row>
    <row r="14369" spans="1:19" ht="28" x14ac:dyDescent="0.15">
      <c r="A14369" s="2">
        <f>HYPERLINK("https://open-school.uspishnemisto.com.ua/school/680469/", 680469)</f>
        <v>680469</v>
      </c>
      <c r="B14369" s="3" t="s">
        <v>72434</v>
      </c>
      <c r="C14369" s="3" t="s">
        <v>31</v>
      </c>
      <c r="D14369" s="3" t="s">
        <v>32</v>
      </c>
      <c r="E14369" s="4" t="s">
        <v>22</v>
      </c>
      <c r="F14369" s="4" t="s">
        <v>72435</v>
      </c>
      <c r="G14369" s="4" t="s">
        <v>72436</v>
      </c>
      <c r="H14369" s="3" t="s">
        <v>70238</v>
      </c>
      <c r="I14369" s="3" t="s">
        <v>72437</v>
      </c>
      <c r="J14369" s="3" t="s">
        <v>952</v>
      </c>
      <c r="K14369" s="3" t="s">
        <v>72438</v>
      </c>
      <c r="L14369" s="3"/>
      <c r="M14369" s="4"/>
      <c r="N14369" s="3" t="s">
        <v>37</v>
      </c>
      <c r="O14369" s="3" t="s">
        <v>618</v>
      </c>
      <c r="P14369" s="5">
        <v>3</v>
      </c>
      <c r="Q14369" s="5">
        <v>42</v>
      </c>
      <c r="R14369" s="5">
        <v>5</v>
      </c>
      <c r="S14369" s="5">
        <v>54</v>
      </c>
    </row>
    <row r="14370" spans="1:19" ht="28" x14ac:dyDescent="0.15">
      <c r="A14370" s="2">
        <f>HYPERLINK("https://open-school.uspishnemisto.com.ua/school/680470/", 680470)</f>
        <v>680470</v>
      </c>
      <c r="B14370" s="3" t="s">
        <v>72439</v>
      </c>
      <c r="C14370" s="3" t="s">
        <v>31</v>
      </c>
      <c r="D14370" s="3" t="s">
        <v>32</v>
      </c>
      <c r="E14370" s="4" t="s">
        <v>22</v>
      </c>
      <c r="F14370" s="4" t="s">
        <v>72440</v>
      </c>
      <c r="G14370" s="4" t="s">
        <v>72441</v>
      </c>
      <c r="H14370" s="3" t="s">
        <v>70238</v>
      </c>
      <c r="I14370" s="3" t="s">
        <v>72442</v>
      </c>
      <c r="J14370" s="3" t="s">
        <v>297</v>
      </c>
      <c r="K14370" s="3" t="s">
        <v>72443</v>
      </c>
      <c r="L14370" s="3" t="s">
        <v>72444</v>
      </c>
      <c r="M14370" s="4"/>
      <c r="N14370" s="3" t="s">
        <v>37</v>
      </c>
      <c r="O14370" s="3" t="s">
        <v>618</v>
      </c>
      <c r="P14370" s="5">
        <v>9</v>
      </c>
      <c r="Q14370" s="5">
        <v>65</v>
      </c>
      <c r="R14370" s="5">
        <v>9</v>
      </c>
      <c r="S14370" s="5">
        <v>66</v>
      </c>
    </row>
    <row r="14371" spans="1:19" ht="28" x14ac:dyDescent="0.15">
      <c r="A14371" s="2">
        <f>HYPERLINK("https://open-school.uspishnemisto.com.ua/school/680471/", 680471)</f>
        <v>680471</v>
      </c>
      <c r="B14371" s="3" t="s">
        <v>72445</v>
      </c>
      <c r="C14371" s="3" t="s">
        <v>31</v>
      </c>
      <c r="D14371" s="3" t="s">
        <v>32</v>
      </c>
      <c r="E14371" s="4" t="s">
        <v>22</v>
      </c>
      <c r="F14371" s="4" t="s">
        <v>72446</v>
      </c>
      <c r="G14371" s="4" t="s">
        <v>72447</v>
      </c>
      <c r="H14371" s="3" t="s">
        <v>70238</v>
      </c>
      <c r="I14371" s="3" t="s">
        <v>72448</v>
      </c>
      <c r="J14371" s="3" t="s">
        <v>946</v>
      </c>
      <c r="K14371" s="3" t="s">
        <v>72449</v>
      </c>
      <c r="L14371" s="3"/>
      <c r="M14371" s="4"/>
      <c r="N14371" s="3" t="s">
        <v>37</v>
      </c>
      <c r="O14371" s="3" t="s">
        <v>46</v>
      </c>
      <c r="P14371" s="5">
        <v>10</v>
      </c>
      <c r="Q14371" s="5">
        <v>112</v>
      </c>
      <c r="R14371" s="5">
        <v>11</v>
      </c>
      <c r="S14371" s="5">
        <v>118</v>
      </c>
    </row>
    <row r="14372" spans="1:19" ht="28" x14ac:dyDescent="0.15">
      <c r="A14372" s="2">
        <f>HYPERLINK("https://open-school.uspishnemisto.com.ua/school/680472/", 680472)</f>
        <v>680472</v>
      </c>
      <c r="B14372" s="3" t="s">
        <v>72450</v>
      </c>
      <c r="C14372" s="3" t="s">
        <v>31</v>
      </c>
      <c r="D14372" s="3" t="s">
        <v>175</v>
      </c>
      <c r="E14372" s="4" t="s">
        <v>22</v>
      </c>
      <c r="F14372" s="4" t="s">
        <v>72451</v>
      </c>
      <c r="G14372" s="4" t="s">
        <v>72452</v>
      </c>
      <c r="H14372" s="3" t="s">
        <v>70238</v>
      </c>
      <c r="I14372" s="3" t="s">
        <v>72453</v>
      </c>
      <c r="J14372" s="3" t="s">
        <v>297</v>
      </c>
      <c r="K14372" s="3" t="s">
        <v>72454</v>
      </c>
      <c r="L14372" s="3"/>
      <c r="M14372" s="4"/>
      <c r="N14372" s="3" t="s">
        <v>37</v>
      </c>
      <c r="O14372" s="3" t="s">
        <v>46</v>
      </c>
      <c r="P14372" s="5">
        <v>3</v>
      </c>
      <c r="Q14372" s="5">
        <v>35</v>
      </c>
      <c r="R14372" s="5">
        <v>6</v>
      </c>
      <c r="S14372" s="5">
        <v>42</v>
      </c>
    </row>
    <row r="14373" spans="1:19" ht="28" x14ac:dyDescent="0.15">
      <c r="A14373" s="2">
        <f>HYPERLINK("https://open-school.uspishnemisto.com.ua/school/680473/", 680473)</f>
        <v>680473</v>
      </c>
      <c r="B14373" s="3" t="s">
        <v>72455</v>
      </c>
      <c r="C14373" s="3" t="s">
        <v>31</v>
      </c>
      <c r="D14373" s="3" t="s">
        <v>32</v>
      </c>
      <c r="E14373" s="4" t="s">
        <v>22</v>
      </c>
      <c r="F14373" s="4" t="s">
        <v>72456</v>
      </c>
      <c r="G14373" s="4" t="s">
        <v>72457</v>
      </c>
      <c r="H14373" s="3" t="s">
        <v>70238</v>
      </c>
      <c r="I14373" s="3" t="s">
        <v>41781</v>
      </c>
      <c r="J14373" s="3" t="s">
        <v>664</v>
      </c>
      <c r="K14373" s="3"/>
      <c r="L14373" s="3"/>
      <c r="M14373" s="4"/>
      <c r="N14373" s="3" t="s">
        <v>37</v>
      </c>
      <c r="O14373" s="3" t="s">
        <v>52</v>
      </c>
      <c r="P14373" s="5">
        <v>11</v>
      </c>
      <c r="Q14373" s="5">
        <v>151</v>
      </c>
      <c r="R14373" s="5">
        <v>11</v>
      </c>
      <c r="S14373" s="5">
        <v>151</v>
      </c>
    </row>
    <row r="14374" spans="1:19" ht="28" x14ac:dyDescent="0.15">
      <c r="A14374" s="2">
        <f>HYPERLINK("https://open-school.uspishnemisto.com.ua/school/680474/", 680474)</f>
        <v>680474</v>
      </c>
      <c r="B14374" s="3" t="s">
        <v>72458</v>
      </c>
      <c r="C14374" s="3" t="s">
        <v>31</v>
      </c>
      <c r="D14374" s="3" t="s">
        <v>175</v>
      </c>
      <c r="E14374" s="4" t="s">
        <v>22</v>
      </c>
      <c r="F14374" s="4" t="s">
        <v>72459</v>
      </c>
      <c r="G14374" s="4" t="s">
        <v>72460</v>
      </c>
      <c r="H14374" s="3" t="s">
        <v>70238</v>
      </c>
      <c r="I14374" s="3" t="s">
        <v>40328</v>
      </c>
      <c r="J14374" s="3" t="s">
        <v>792</v>
      </c>
      <c r="K14374" s="3" t="s">
        <v>72461</v>
      </c>
      <c r="L14374" s="3"/>
      <c r="M14374" s="4"/>
      <c r="N14374" s="3" t="s">
        <v>37</v>
      </c>
      <c r="O14374" s="3" t="s">
        <v>618</v>
      </c>
      <c r="P14374" s="5">
        <v>1</v>
      </c>
      <c r="Q14374" s="5">
        <v>32</v>
      </c>
      <c r="R14374" s="5">
        <v>2</v>
      </c>
      <c r="S14374" s="5">
        <v>34</v>
      </c>
    </row>
    <row r="14375" spans="1:19" ht="28" x14ac:dyDescent="0.15">
      <c r="A14375" s="2">
        <f>HYPERLINK("https://open-school.uspishnemisto.com.ua/school/680475/", 680475)</f>
        <v>680475</v>
      </c>
      <c r="B14375" s="3" t="s">
        <v>72462</v>
      </c>
      <c r="C14375" s="3" t="s">
        <v>31</v>
      </c>
      <c r="D14375" s="3" t="s">
        <v>32</v>
      </c>
      <c r="E14375" s="4" t="s">
        <v>22</v>
      </c>
      <c r="F14375" s="4" t="s">
        <v>72463</v>
      </c>
      <c r="G14375" s="4" t="s">
        <v>72464</v>
      </c>
      <c r="H14375" s="3" t="s">
        <v>70238</v>
      </c>
      <c r="I14375" s="3" t="s">
        <v>72465</v>
      </c>
      <c r="J14375" s="3" t="s">
        <v>297</v>
      </c>
      <c r="K14375" s="3" t="s">
        <v>72466</v>
      </c>
      <c r="L14375" s="3" t="s">
        <v>72467</v>
      </c>
      <c r="M14375" s="4"/>
      <c r="N14375" s="3" t="s">
        <v>37</v>
      </c>
      <c r="O14375" s="3" t="s">
        <v>618</v>
      </c>
      <c r="P14375" s="5">
        <v>10</v>
      </c>
      <c r="Q14375" s="5">
        <v>81</v>
      </c>
      <c r="R14375" s="5">
        <v>11</v>
      </c>
      <c r="S14375" s="5">
        <v>81</v>
      </c>
    </row>
    <row r="14376" spans="1:19" ht="28" x14ac:dyDescent="0.15">
      <c r="A14376" s="2">
        <f>HYPERLINK("https://open-school.uspishnemisto.com.ua/school/680476/", 680476)</f>
        <v>680476</v>
      </c>
      <c r="B14376" s="3" t="s">
        <v>72468</v>
      </c>
      <c r="C14376" s="3" t="s">
        <v>31</v>
      </c>
      <c r="D14376" s="3" t="s">
        <v>175</v>
      </c>
      <c r="E14376" s="4" t="s">
        <v>22</v>
      </c>
      <c r="F14376" s="4" t="s">
        <v>72469</v>
      </c>
      <c r="G14376" s="4" t="s">
        <v>72470</v>
      </c>
      <c r="H14376" s="3" t="s">
        <v>70238</v>
      </c>
      <c r="I14376" s="3" t="s">
        <v>72471</v>
      </c>
      <c r="J14376" s="3" t="s">
        <v>72472</v>
      </c>
      <c r="K14376" s="3" t="s">
        <v>72473</v>
      </c>
      <c r="L14376" s="3"/>
      <c r="M14376" s="4"/>
      <c r="N14376" s="3" t="s">
        <v>37</v>
      </c>
      <c r="O14376" s="3" t="s">
        <v>46</v>
      </c>
      <c r="P14376" s="5">
        <v>8</v>
      </c>
      <c r="Q14376" s="5">
        <v>62</v>
      </c>
      <c r="R14376" s="5">
        <v>7</v>
      </c>
      <c r="S14376" s="5">
        <v>49</v>
      </c>
    </row>
    <row r="14377" spans="1:19" ht="28" x14ac:dyDescent="0.15">
      <c r="A14377" s="2">
        <f>HYPERLINK("https://open-school.uspishnemisto.com.ua/school/680477/", 680477)</f>
        <v>680477</v>
      </c>
      <c r="B14377" s="3" t="s">
        <v>72474</v>
      </c>
      <c r="C14377" s="3" t="s">
        <v>31</v>
      </c>
      <c r="D14377" s="3" t="s">
        <v>175</v>
      </c>
      <c r="E14377" s="4" t="s">
        <v>22</v>
      </c>
      <c r="F14377" s="4" t="s">
        <v>72475</v>
      </c>
      <c r="G14377" s="4" t="s">
        <v>72476</v>
      </c>
      <c r="H14377" s="3" t="s">
        <v>70238</v>
      </c>
      <c r="I14377" s="3" t="s">
        <v>72477</v>
      </c>
      <c r="J14377" s="3" t="s">
        <v>72478</v>
      </c>
      <c r="K14377" s="3" t="s">
        <v>72479</v>
      </c>
      <c r="L14377" s="3"/>
      <c r="M14377" s="4"/>
      <c r="N14377" s="3" t="s">
        <v>37</v>
      </c>
      <c r="O14377" s="3" t="s">
        <v>618</v>
      </c>
      <c r="P14377" s="5">
        <v>7</v>
      </c>
      <c r="Q14377" s="5">
        <v>52</v>
      </c>
      <c r="R14377" s="5">
        <v>9</v>
      </c>
      <c r="S14377" s="5">
        <v>59</v>
      </c>
    </row>
    <row r="14378" spans="1:19" ht="28" x14ac:dyDescent="0.15">
      <c r="A14378" s="2">
        <f>HYPERLINK("https://open-school.uspishnemisto.com.ua/school/680478/", 680478)</f>
        <v>680478</v>
      </c>
      <c r="B14378" s="3" t="s">
        <v>72480</v>
      </c>
      <c r="C14378" s="3" t="s">
        <v>31</v>
      </c>
      <c r="D14378" s="3" t="s">
        <v>32</v>
      </c>
      <c r="E14378" s="4" t="s">
        <v>22</v>
      </c>
      <c r="F14378" s="4" t="s">
        <v>72481</v>
      </c>
      <c r="G14378" s="4" t="s">
        <v>72482</v>
      </c>
      <c r="H14378" s="3" t="s">
        <v>70238</v>
      </c>
      <c r="I14378" s="3" t="s">
        <v>72483</v>
      </c>
      <c r="J14378" s="3" t="s">
        <v>72484</v>
      </c>
      <c r="K14378" s="3"/>
      <c r="L14378" s="3"/>
      <c r="M14378" s="4"/>
      <c r="N14378" s="3" t="s">
        <v>967</v>
      </c>
      <c r="O14378" s="3" t="s">
        <v>52</v>
      </c>
      <c r="P14378" s="5">
        <v>6</v>
      </c>
      <c r="Q14378" s="5">
        <v>38</v>
      </c>
      <c r="R14378" s="5">
        <v>6</v>
      </c>
      <c r="S14378" s="5">
        <v>40</v>
      </c>
    </row>
    <row r="14379" spans="1:19" ht="28" x14ac:dyDescent="0.15">
      <c r="A14379" s="2">
        <f>HYPERLINK("https://open-school.uspishnemisto.com.ua/school/680479/", 680479)</f>
        <v>680479</v>
      </c>
      <c r="B14379" s="3" t="s">
        <v>72485</v>
      </c>
      <c r="C14379" s="3" t="s">
        <v>31</v>
      </c>
      <c r="D14379" s="3" t="s">
        <v>32</v>
      </c>
      <c r="E14379" s="4" t="s">
        <v>22</v>
      </c>
      <c r="F14379" s="4" t="s">
        <v>72486</v>
      </c>
      <c r="G14379" s="4" t="s">
        <v>72487</v>
      </c>
      <c r="H14379" s="3" t="s">
        <v>70238</v>
      </c>
      <c r="I14379" s="3" t="s">
        <v>72488</v>
      </c>
      <c r="J14379" s="3" t="s">
        <v>878</v>
      </c>
      <c r="K14379" s="3" t="s">
        <v>72489</v>
      </c>
      <c r="L14379" s="3" t="s">
        <v>72490</v>
      </c>
      <c r="M14379" s="4"/>
      <c r="N14379" s="3" t="s">
        <v>37</v>
      </c>
      <c r="O14379" s="3" t="s">
        <v>46</v>
      </c>
      <c r="P14379" s="5">
        <v>9</v>
      </c>
      <c r="Q14379" s="5">
        <v>144</v>
      </c>
      <c r="R14379" s="5">
        <v>11</v>
      </c>
      <c r="S14379" s="5">
        <v>156</v>
      </c>
    </row>
    <row r="14380" spans="1:19" ht="28" x14ac:dyDescent="0.15">
      <c r="A14380" s="2">
        <f>HYPERLINK("https://open-school.uspishnemisto.com.ua/school/680480/", 680480)</f>
        <v>680480</v>
      </c>
      <c r="B14380" s="3" t="s">
        <v>72491</v>
      </c>
      <c r="C14380" s="3" t="s">
        <v>54</v>
      </c>
      <c r="D14380" s="3" t="s">
        <v>60</v>
      </c>
      <c r="E14380" s="4" t="s">
        <v>22</v>
      </c>
      <c r="F14380" s="4" t="s">
        <v>72492</v>
      </c>
      <c r="G14380" s="4" t="s">
        <v>72493</v>
      </c>
      <c r="H14380" s="3" t="s">
        <v>70238</v>
      </c>
      <c r="I14380" s="3" t="s">
        <v>72494</v>
      </c>
      <c r="J14380" s="3" t="s">
        <v>72495</v>
      </c>
      <c r="K14380" s="3" t="s">
        <v>72496</v>
      </c>
      <c r="L14380" s="3"/>
      <c r="M14380" s="4"/>
      <c r="N14380" s="3" t="s">
        <v>37</v>
      </c>
      <c r="O14380" s="3" t="s">
        <v>38</v>
      </c>
      <c r="P14380" s="5">
        <v>4</v>
      </c>
      <c r="Q14380" s="5">
        <v>46</v>
      </c>
      <c r="R14380" s="5">
        <v>4</v>
      </c>
      <c r="S14380" s="5">
        <v>46</v>
      </c>
    </row>
    <row r="14381" spans="1:19" ht="28" x14ac:dyDescent="0.15">
      <c r="A14381" s="2">
        <f>HYPERLINK("https://open-school.uspishnemisto.com.ua/school/680481/", 680481)</f>
        <v>680481</v>
      </c>
      <c r="B14381" s="3" t="s">
        <v>72497</v>
      </c>
      <c r="C14381" s="3" t="s">
        <v>40</v>
      </c>
      <c r="D14381" s="3" t="s">
        <v>32</v>
      </c>
      <c r="E14381" s="4" t="s">
        <v>22</v>
      </c>
      <c r="F14381" s="4" t="s">
        <v>72492</v>
      </c>
      <c r="G14381" s="4" t="s">
        <v>72493</v>
      </c>
      <c r="H14381" s="3" t="s">
        <v>70238</v>
      </c>
      <c r="I14381" s="3" t="s">
        <v>72494</v>
      </c>
      <c r="J14381" s="3" t="s">
        <v>72498</v>
      </c>
      <c r="K14381" s="3" t="s">
        <v>72499</v>
      </c>
      <c r="L14381" s="3" t="s">
        <v>72500</v>
      </c>
      <c r="M14381" s="4"/>
      <c r="N14381" s="3" t="s">
        <v>37</v>
      </c>
      <c r="O14381" s="3" t="s">
        <v>129</v>
      </c>
      <c r="P14381" s="5">
        <v>30</v>
      </c>
      <c r="Q14381" s="5">
        <v>771</v>
      </c>
      <c r="R14381" s="5">
        <v>30</v>
      </c>
      <c r="S14381" s="5">
        <v>777</v>
      </c>
    </row>
    <row r="14382" spans="1:19" ht="42" x14ac:dyDescent="0.15">
      <c r="A14382" s="2">
        <f>HYPERLINK("https://open-school.uspishnemisto.com.ua/school/680482/", 680482)</f>
        <v>680482</v>
      </c>
      <c r="B14382" s="3" t="s">
        <v>72501</v>
      </c>
      <c r="C14382" s="3" t="s">
        <v>31</v>
      </c>
      <c r="D14382" s="3" t="s">
        <v>175</v>
      </c>
      <c r="E14382" s="4" t="s">
        <v>22</v>
      </c>
      <c r="F14382" s="4" t="s">
        <v>72492</v>
      </c>
      <c r="G14382" s="4" t="s">
        <v>72493</v>
      </c>
      <c r="H14382" s="3" t="s">
        <v>70238</v>
      </c>
      <c r="I14382" s="3" t="s">
        <v>72494</v>
      </c>
      <c r="J14382" s="3" t="s">
        <v>72502</v>
      </c>
      <c r="K14382" s="3" t="s">
        <v>72503</v>
      </c>
      <c r="L14382" s="3"/>
      <c r="M14382" s="4"/>
      <c r="N14382" s="3" t="s">
        <v>37</v>
      </c>
      <c r="O14382" s="3" t="s">
        <v>38</v>
      </c>
      <c r="P14382" s="5">
        <v>9</v>
      </c>
      <c r="Q14382" s="5">
        <v>174</v>
      </c>
      <c r="R14382" s="5">
        <v>9</v>
      </c>
      <c r="S14382" s="5">
        <v>175</v>
      </c>
    </row>
    <row r="14383" spans="1:19" ht="42" x14ac:dyDescent="0.15">
      <c r="A14383" s="2">
        <f>HYPERLINK("https://open-school.uspishnemisto.com.ua/school/680483/", 680483)</f>
        <v>680483</v>
      </c>
      <c r="B14383" s="3" t="s">
        <v>72504</v>
      </c>
      <c r="C14383" s="3" t="s">
        <v>31</v>
      </c>
      <c r="D14383" s="3" t="s">
        <v>32</v>
      </c>
      <c r="E14383" s="4" t="s">
        <v>22</v>
      </c>
      <c r="F14383" s="4" t="s">
        <v>72492</v>
      </c>
      <c r="G14383" s="4" t="s">
        <v>72493</v>
      </c>
      <c r="H14383" s="3" t="s">
        <v>70238</v>
      </c>
      <c r="I14383" s="3" t="s">
        <v>72494</v>
      </c>
      <c r="J14383" s="3" t="s">
        <v>72505</v>
      </c>
      <c r="K14383" s="3" t="s">
        <v>72506</v>
      </c>
      <c r="L14383" s="3"/>
      <c r="M14383" s="4"/>
      <c r="N14383" s="3" t="s">
        <v>37</v>
      </c>
      <c r="O14383" s="3" t="s">
        <v>70</v>
      </c>
      <c r="P14383" s="5">
        <v>18</v>
      </c>
      <c r="Q14383" s="5">
        <v>433</v>
      </c>
      <c r="R14383" s="5">
        <v>18</v>
      </c>
      <c r="S14383" s="5">
        <v>431</v>
      </c>
    </row>
    <row r="14384" spans="1:19" ht="42" x14ac:dyDescent="0.15">
      <c r="A14384" s="2">
        <f>HYPERLINK("https://open-school.uspishnemisto.com.ua/school/680484/", 680484)</f>
        <v>680484</v>
      </c>
      <c r="B14384" s="3" t="s">
        <v>72507</v>
      </c>
      <c r="C14384" s="3" t="s">
        <v>31</v>
      </c>
      <c r="D14384" s="3" t="s">
        <v>32</v>
      </c>
      <c r="E14384" s="4" t="s">
        <v>22</v>
      </c>
      <c r="F14384" s="4" t="s">
        <v>72492</v>
      </c>
      <c r="G14384" s="4" t="s">
        <v>72493</v>
      </c>
      <c r="H14384" s="3" t="s">
        <v>70238</v>
      </c>
      <c r="I14384" s="3" t="s">
        <v>72494</v>
      </c>
      <c r="J14384" s="3" t="s">
        <v>72508</v>
      </c>
      <c r="K14384" s="3" t="s">
        <v>72509</v>
      </c>
      <c r="L14384" s="3" t="s">
        <v>72510</v>
      </c>
      <c r="M14384" s="4"/>
      <c r="N14384" s="3" t="s">
        <v>37</v>
      </c>
      <c r="O14384" s="3" t="s">
        <v>38</v>
      </c>
      <c r="P14384" s="5">
        <v>26</v>
      </c>
      <c r="Q14384" s="5">
        <v>624</v>
      </c>
      <c r="R14384" s="5">
        <v>25</v>
      </c>
      <c r="S14384" s="5">
        <v>603</v>
      </c>
    </row>
    <row r="14385" spans="1:19" ht="42" x14ac:dyDescent="0.15">
      <c r="A14385" s="2">
        <f>HYPERLINK("https://open-school.uspishnemisto.com.ua/school/680485/", 680485)</f>
        <v>680485</v>
      </c>
      <c r="B14385" s="3" t="s">
        <v>72511</v>
      </c>
      <c r="C14385" s="3" t="s">
        <v>31</v>
      </c>
      <c r="D14385" s="3" t="s">
        <v>32</v>
      </c>
      <c r="E14385" s="4" t="s">
        <v>22</v>
      </c>
      <c r="F14385" s="4" t="s">
        <v>72492</v>
      </c>
      <c r="G14385" s="4" t="s">
        <v>72493</v>
      </c>
      <c r="H14385" s="3" t="s">
        <v>70238</v>
      </c>
      <c r="I14385" s="3" t="s">
        <v>72494</v>
      </c>
      <c r="J14385" s="3" t="s">
        <v>72512</v>
      </c>
      <c r="K14385" s="3" t="s">
        <v>72513</v>
      </c>
      <c r="L14385" s="3" t="s">
        <v>72514</v>
      </c>
      <c r="M14385" s="4"/>
      <c r="N14385" s="3" t="s">
        <v>37</v>
      </c>
      <c r="O14385" s="3" t="s">
        <v>38</v>
      </c>
      <c r="P14385" s="5">
        <v>20</v>
      </c>
      <c r="Q14385" s="5">
        <v>415</v>
      </c>
      <c r="R14385" s="5">
        <v>20</v>
      </c>
      <c r="S14385" s="5">
        <v>424</v>
      </c>
    </row>
    <row r="14386" spans="1:19" ht="56" x14ac:dyDescent="0.15">
      <c r="A14386" s="2">
        <f>HYPERLINK("https://open-school.uspishnemisto.com.ua/school/680486/", 680486)</f>
        <v>680486</v>
      </c>
      <c r="B14386" s="3" t="s">
        <v>72515</v>
      </c>
      <c r="C14386" s="3" t="s">
        <v>54</v>
      </c>
      <c r="D14386" s="3" t="s">
        <v>32</v>
      </c>
      <c r="E14386" s="4" t="s">
        <v>22</v>
      </c>
      <c r="F14386" s="4" t="s">
        <v>72492</v>
      </c>
      <c r="G14386" s="4" t="s">
        <v>72493</v>
      </c>
      <c r="H14386" s="3" t="s">
        <v>70238</v>
      </c>
      <c r="I14386" s="3" t="s">
        <v>72494</v>
      </c>
      <c r="J14386" s="3" t="s">
        <v>14152</v>
      </c>
      <c r="K14386" s="3" t="s">
        <v>72516</v>
      </c>
      <c r="L14386" s="3" t="s">
        <v>72517</v>
      </c>
      <c r="M14386" s="4"/>
      <c r="N14386" s="3" t="s">
        <v>37</v>
      </c>
      <c r="O14386" s="3" t="s">
        <v>46</v>
      </c>
      <c r="P14386" s="5">
        <v>14</v>
      </c>
      <c r="Q14386" s="5">
        <v>265</v>
      </c>
      <c r="R14386" s="5">
        <v>12</v>
      </c>
      <c r="S14386" s="5">
        <v>250</v>
      </c>
    </row>
    <row r="14387" spans="1:19" ht="28" x14ac:dyDescent="0.15">
      <c r="A14387" s="2">
        <f>HYPERLINK("https://open-school.uspishnemisto.com.ua/school/680487/", 680487)</f>
        <v>680487</v>
      </c>
      <c r="B14387" s="3" t="s">
        <v>72518</v>
      </c>
      <c r="C14387" s="3" t="s">
        <v>31</v>
      </c>
      <c r="D14387" s="3" t="s">
        <v>175</v>
      </c>
      <c r="E14387" s="4" t="s">
        <v>22</v>
      </c>
      <c r="F14387" s="4" t="s">
        <v>72519</v>
      </c>
      <c r="G14387" s="4" t="s">
        <v>72520</v>
      </c>
      <c r="H14387" s="3" t="s">
        <v>70238</v>
      </c>
      <c r="I14387" s="3" t="s">
        <v>72521</v>
      </c>
      <c r="J14387" s="3" t="s">
        <v>72522</v>
      </c>
      <c r="K14387" s="3" t="s">
        <v>72523</v>
      </c>
      <c r="L14387" s="3"/>
      <c r="M14387" s="4"/>
      <c r="N14387" s="3" t="s">
        <v>37</v>
      </c>
      <c r="O14387" s="3" t="s">
        <v>38</v>
      </c>
      <c r="P14387" s="5">
        <v>9</v>
      </c>
      <c r="Q14387" s="5">
        <v>114</v>
      </c>
      <c r="R14387" s="5">
        <v>9</v>
      </c>
      <c r="S14387" s="5">
        <v>103</v>
      </c>
    </row>
    <row r="14388" spans="1:19" ht="42" x14ac:dyDescent="0.15">
      <c r="A14388" s="2">
        <f>HYPERLINK("https://open-school.uspishnemisto.com.ua/school/680488/", 680488)</f>
        <v>680488</v>
      </c>
      <c r="B14388" s="3" t="s">
        <v>72524</v>
      </c>
      <c r="C14388" s="3" t="s">
        <v>40</v>
      </c>
      <c r="D14388" s="3" t="s">
        <v>32</v>
      </c>
      <c r="E14388" s="4" t="s">
        <v>22</v>
      </c>
      <c r="F14388" s="4" t="s">
        <v>72519</v>
      </c>
      <c r="G14388" s="4" t="s">
        <v>72520</v>
      </c>
      <c r="H14388" s="3" t="s">
        <v>70238</v>
      </c>
      <c r="I14388" s="3" t="s">
        <v>72521</v>
      </c>
      <c r="J14388" s="3" t="s">
        <v>72525</v>
      </c>
      <c r="K14388" s="3" t="s">
        <v>72526</v>
      </c>
      <c r="L14388" s="3" t="s">
        <v>72527</v>
      </c>
      <c r="M14388" s="4"/>
      <c r="N14388" s="3" t="s">
        <v>37</v>
      </c>
      <c r="O14388" s="3" t="s">
        <v>266</v>
      </c>
      <c r="P14388" s="5">
        <v>27</v>
      </c>
      <c r="Q14388" s="5">
        <v>613</v>
      </c>
      <c r="R14388" s="5">
        <v>26</v>
      </c>
      <c r="S14388" s="5">
        <v>610</v>
      </c>
    </row>
    <row r="14389" spans="1:19" ht="42" x14ac:dyDescent="0.15">
      <c r="A14389" s="2">
        <f>HYPERLINK("https://open-school.uspishnemisto.com.ua/school/680489/", 680489)</f>
        <v>680489</v>
      </c>
      <c r="B14389" s="3" t="s">
        <v>72528</v>
      </c>
      <c r="C14389" s="3" t="s">
        <v>54</v>
      </c>
      <c r="D14389" s="3" t="s">
        <v>60</v>
      </c>
      <c r="E14389" s="4" t="s">
        <v>22</v>
      </c>
      <c r="F14389" s="4" t="s">
        <v>72529</v>
      </c>
      <c r="G14389" s="4" t="s">
        <v>72530</v>
      </c>
      <c r="H14389" s="3" t="s">
        <v>70238</v>
      </c>
      <c r="I14389" s="3" t="s">
        <v>72531</v>
      </c>
      <c r="J14389" s="3" t="s">
        <v>3146</v>
      </c>
      <c r="K14389" s="3" t="s">
        <v>72532</v>
      </c>
      <c r="L14389" s="3"/>
      <c r="M14389" s="4"/>
      <c r="N14389" s="3" t="s">
        <v>37</v>
      </c>
      <c r="O14389" s="3" t="s">
        <v>52</v>
      </c>
      <c r="P14389" s="5">
        <v>2</v>
      </c>
      <c r="Q14389" s="5">
        <v>16</v>
      </c>
      <c r="R14389" s="5">
        <v>2</v>
      </c>
      <c r="S14389" s="5">
        <v>10</v>
      </c>
    </row>
    <row r="14390" spans="1:19" ht="42" x14ac:dyDescent="0.15">
      <c r="A14390" s="2">
        <f>HYPERLINK("https://open-school.uspishnemisto.com.ua/school/680490/", 680490)</f>
        <v>680490</v>
      </c>
      <c r="B14390" s="3" t="s">
        <v>72533</v>
      </c>
      <c r="C14390" s="3" t="s">
        <v>54</v>
      </c>
      <c r="D14390" s="3" t="s">
        <v>175</v>
      </c>
      <c r="E14390" s="4" t="s">
        <v>22</v>
      </c>
      <c r="F14390" s="4" t="s">
        <v>72534</v>
      </c>
      <c r="G14390" s="4" t="s">
        <v>72535</v>
      </c>
      <c r="H14390" s="3" t="s">
        <v>70238</v>
      </c>
      <c r="I14390" s="3" t="s">
        <v>72536</v>
      </c>
      <c r="J14390" s="3" t="s">
        <v>566</v>
      </c>
      <c r="K14390" s="3" t="s">
        <v>72537</v>
      </c>
      <c r="L14390" s="3"/>
      <c r="M14390" s="4"/>
      <c r="N14390" s="3" t="s">
        <v>37</v>
      </c>
      <c r="O14390" s="3" t="s">
        <v>70</v>
      </c>
      <c r="P14390" s="5">
        <v>9</v>
      </c>
      <c r="Q14390" s="5">
        <v>83</v>
      </c>
      <c r="R14390" s="5">
        <v>9</v>
      </c>
      <c r="S14390" s="5">
        <v>77</v>
      </c>
    </row>
    <row r="14391" spans="1:19" ht="28" x14ac:dyDescent="0.15">
      <c r="A14391" s="2">
        <f>HYPERLINK("https://open-school.uspishnemisto.com.ua/school/680491/", 680491)</f>
        <v>680491</v>
      </c>
      <c r="B14391" s="3" t="s">
        <v>72538</v>
      </c>
      <c r="C14391" s="3" t="s">
        <v>31</v>
      </c>
      <c r="D14391" s="3" t="s">
        <v>32</v>
      </c>
      <c r="E14391" s="4" t="s">
        <v>22</v>
      </c>
      <c r="F14391" s="4" t="s">
        <v>72539</v>
      </c>
      <c r="G14391" s="4" t="s">
        <v>72540</v>
      </c>
      <c r="H14391" s="3" t="s">
        <v>70238</v>
      </c>
      <c r="I14391" s="3" t="s">
        <v>72541</v>
      </c>
      <c r="J14391" s="3" t="s">
        <v>72542</v>
      </c>
      <c r="K14391" s="3" t="s">
        <v>72543</v>
      </c>
      <c r="L14391" s="3"/>
      <c r="M14391" s="4"/>
      <c r="N14391" s="3" t="s">
        <v>37</v>
      </c>
      <c r="O14391" s="3" t="s">
        <v>38</v>
      </c>
      <c r="P14391" s="5">
        <v>11</v>
      </c>
      <c r="Q14391" s="5">
        <v>106</v>
      </c>
      <c r="R14391" s="5">
        <v>10</v>
      </c>
      <c r="S14391" s="5">
        <v>104</v>
      </c>
    </row>
    <row r="14392" spans="1:19" ht="42" x14ac:dyDescent="0.15">
      <c r="A14392" s="2">
        <f>HYPERLINK("https://open-school.uspishnemisto.com.ua/school/680492/", 680492)</f>
        <v>680492</v>
      </c>
      <c r="B14392" s="3" t="s">
        <v>72544</v>
      </c>
      <c r="C14392" s="3" t="s">
        <v>31</v>
      </c>
      <c r="D14392" s="3" t="s">
        <v>32</v>
      </c>
      <c r="E14392" s="4" t="s">
        <v>22</v>
      </c>
      <c r="F14392" s="4" t="s">
        <v>72545</v>
      </c>
      <c r="G14392" s="4" t="s">
        <v>72546</v>
      </c>
      <c r="H14392" s="3" t="s">
        <v>70238</v>
      </c>
      <c r="I14392" s="3" t="s">
        <v>72547</v>
      </c>
      <c r="J14392" s="3" t="s">
        <v>72548</v>
      </c>
      <c r="K14392" s="3" t="s">
        <v>72549</v>
      </c>
      <c r="L14392" s="3"/>
      <c r="M14392" s="4"/>
      <c r="N14392" s="3" t="s">
        <v>37</v>
      </c>
      <c r="O14392" s="3" t="s">
        <v>38</v>
      </c>
      <c r="P14392" s="5">
        <v>10</v>
      </c>
      <c r="Q14392" s="5">
        <v>111</v>
      </c>
      <c r="R14392" s="5">
        <v>9</v>
      </c>
      <c r="S14392" s="5">
        <v>110</v>
      </c>
    </row>
    <row r="14393" spans="1:19" ht="70" x14ac:dyDescent="0.15">
      <c r="A14393" s="2">
        <f>HYPERLINK("https://open-school.uspishnemisto.com.ua/school/680493/", 680493)</f>
        <v>680493</v>
      </c>
      <c r="B14393" s="3" t="s">
        <v>72550</v>
      </c>
      <c r="C14393" s="3" t="s">
        <v>54</v>
      </c>
      <c r="D14393" s="3" t="s">
        <v>60</v>
      </c>
      <c r="E14393" s="4" t="s">
        <v>22</v>
      </c>
      <c r="F14393" s="4" t="s">
        <v>72551</v>
      </c>
      <c r="G14393" s="4" t="s">
        <v>72552</v>
      </c>
      <c r="H14393" s="3" t="s">
        <v>70238</v>
      </c>
      <c r="I14393" s="3" t="s">
        <v>12816</v>
      </c>
      <c r="J14393" s="3" t="s">
        <v>72553</v>
      </c>
      <c r="K14393" s="3" t="s">
        <v>72554</v>
      </c>
      <c r="L14393" s="3"/>
      <c r="M14393" s="4"/>
      <c r="N14393" s="3" t="s">
        <v>37</v>
      </c>
      <c r="O14393" s="3" t="s">
        <v>52</v>
      </c>
      <c r="P14393" s="5">
        <v>0</v>
      </c>
      <c r="Q14393" s="5">
        <v>0</v>
      </c>
      <c r="R14393" s="5">
        <v>2</v>
      </c>
      <c r="S14393" s="5">
        <v>15</v>
      </c>
    </row>
    <row r="14394" spans="1:19" ht="42" x14ac:dyDescent="0.15">
      <c r="A14394" s="2">
        <f>HYPERLINK("https://open-school.uspishnemisto.com.ua/school/680494/", 680494)</f>
        <v>680494</v>
      </c>
      <c r="B14394" s="3" t="s">
        <v>72555</v>
      </c>
      <c r="C14394" s="3" t="s">
        <v>31</v>
      </c>
      <c r="D14394" s="3" t="s">
        <v>32</v>
      </c>
      <c r="E14394" s="4" t="s">
        <v>22</v>
      </c>
      <c r="F14394" s="4" t="s">
        <v>72556</v>
      </c>
      <c r="G14394" s="4" t="s">
        <v>72557</v>
      </c>
      <c r="H14394" s="3" t="s">
        <v>70238</v>
      </c>
      <c r="I14394" s="3" t="s">
        <v>72558</v>
      </c>
      <c r="J14394" s="3" t="s">
        <v>10938</v>
      </c>
      <c r="K14394" s="3" t="s">
        <v>72559</v>
      </c>
      <c r="L14394" s="3"/>
      <c r="M14394" s="4"/>
      <c r="N14394" s="3" t="s">
        <v>37</v>
      </c>
      <c r="O14394" s="3" t="s">
        <v>38</v>
      </c>
      <c r="P14394" s="5">
        <v>10</v>
      </c>
      <c r="Q14394" s="5">
        <v>77</v>
      </c>
      <c r="R14394" s="5">
        <v>9</v>
      </c>
      <c r="S14394" s="5">
        <v>73</v>
      </c>
    </row>
    <row r="14395" spans="1:19" ht="42" x14ac:dyDescent="0.15">
      <c r="A14395" s="2">
        <f>HYPERLINK("https://open-school.uspishnemisto.com.ua/school/680495/", 680495)</f>
        <v>680495</v>
      </c>
      <c r="B14395" s="3" t="s">
        <v>72560</v>
      </c>
      <c r="C14395" s="3" t="s">
        <v>54</v>
      </c>
      <c r="D14395" s="3" t="s">
        <v>60</v>
      </c>
      <c r="E14395" s="4" t="s">
        <v>22</v>
      </c>
      <c r="F14395" s="4" t="s">
        <v>72561</v>
      </c>
      <c r="G14395" s="4" t="s">
        <v>72562</v>
      </c>
      <c r="H14395" s="3" t="s">
        <v>70238</v>
      </c>
      <c r="I14395" s="3" t="s">
        <v>48872</v>
      </c>
      <c r="J14395" s="3" t="s">
        <v>5606</v>
      </c>
      <c r="K14395" s="3"/>
      <c r="L14395" s="3"/>
      <c r="M14395" s="4"/>
      <c r="N14395" s="3" t="s">
        <v>37</v>
      </c>
      <c r="O14395" s="3" t="s">
        <v>52</v>
      </c>
      <c r="P14395" s="5">
        <v>2</v>
      </c>
      <c r="Q14395" s="5">
        <v>17</v>
      </c>
      <c r="R14395" s="5">
        <v>3</v>
      </c>
      <c r="S14395" s="5">
        <v>24</v>
      </c>
    </row>
    <row r="14396" spans="1:19" ht="56" x14ac:dyDescent="0.15">
      <c r="A14396" s="2">
        <f>HYPERLINK("https://open-school.uspishnemisto.com.ua/school/680497/", 680497)</f>
        <v>680497</v>
      </c>
      <c r="B14396" s="3" t="s">
        <v>72563</v>
      </c>
      <c r="C14396" s="3" t="s">
        <v>54</v>
      </c>
      <c r="D14396" s="3" t="s">
        <v>175</v>
      </c>
      <c r="E14396" s="4" t="s">
        <v>22</v>
      </c>
      <c r="F14396" s="4" t="s">
        <v>72564</v>
      </c>
      <c r="G14396" s="4" t="s">
        <v>72565</v>
      </c>
      <c r="H14396" s="3" t="s">
        <v>70238</v>
      </c>
      <c r="I14396" s="3" t="s">
        <v>72163</v>
      </c>
      <c r="J14396" s="3" t="s">
        <v>72566</v>
      </c>
      <c r="K14396" s="3" t="s">
        <v>72567</v>
      </c>
      <c r="L14396" s="3"/>
      <c r="M14396" s="4"/>
      <c r="N14396" s="3" t="s">
        <v>37</v>
      </c>
      <c r="O14396" s="3" t="s">
        <v>52</v>
      </c>
      <c r="P14396" s="5">
        <v>2</v>
      </c>
      <c r="Q14396" s="5">
        <v>29</v>
      </c>
      <c r="R14396" s="5">
        <v>5</v>
      </c>
      <c r="S14396" s="5">
        <v>33</v>
      </c>
    </row>
    <row r="14397" spans="1:19" ht="28" x14ac:dyDescent="0.15">
      <c r="A14397" s="2">
        <f>HYPERLINK("https://open-school.uspishnemisto.com.ua/school/680498/", 680498)</f>
        <v>680498</v>
      </c>
      <c r="B14397" s="3" t="s">
        <v>72568</v>
      </c>
      <c r="C14397" s="3" t="s">
        <v>31</v>
      </c>
      <c r="D14397" s="3" t="s">
        <v>32</v>
      </c>
      <c r="E14397" s="4" t="s">
        <v>22</v>
      </c>
      <c r="F14397" s="4" t="s">
        <v>72569</v>
      </c>
      <c r="G14397" s="4" t="s">
        <v>72570</v>
      </c>
      <c r="H14397" s="3" t="s">
        <v>70238</v>
      </c>
      <c r="I14397" s="3" t="s">
        <v>4147</v>
      </c>
      <c r="J14397" s="3" t="s">
        <v>72571</v>
      </c>
      <c r="K14397" s="3"/>
      <c r="L14397" s="3"/>
      <c r="M14397" s="4"/>
      <c r="N14397" s="3" t="s">
        <v>37</v>
      </c>
      <c r="O14397" s="3" t="s">
        <v>38</v>
      </c>
      <c r="P14397" s="5">
        <v>11</v>
      </c>
      <c r="Q14397" s="5">
        <v>172</v>
      </c>
      <c r="R14397" s="5">
        <v>11</v>
      </c>
      <c r="S14397" s="5">
        <v>157</v>
      </c>
    </row>
    <row r="14398" spans="1:19" ht="28" x14ac:dyDescent="0.15">
      <c r="A14398" s="2">
        <f>HYPERLINK("https://open-school.uspishnemisto.com.ua/school/680499/", 680499)</f>
        <v>680499</v>
      </c>
      <c r="B14398" s="3" t="s">
        <v>72572</v>
      </c>
      <c r="C14398" s="3" t="s">
        <v>31</v>
      </c>
      <c r="D14398" s="3" t="s">
        <v>175</v>
      </c>
      <c r="E14398" s="4" t="s">
        <v>22</v>
      </c>
      <c r="F14398" s="4" t="s">
        <v>72573</v>
      </c>
      <c r="G14398" s="4" t="s">
        <v>72574</v>
      </c>
      <c r="H14398" s="3" t="s">
        <v>70238</v>
      </c>
      <c r="I14398" s="3" t="s">
        <v>72575</v>
      </c>
      <c r="J14398" s="3" t="s">
        <v>72576</v>
      </c>
      <c r="K14398" s="3" t="s">
        <v>72577</v>
      </c>
      <c r="L14398" s="3"/>
      <c r="M14398" s="4"/>
      <c r="N14398" s="3" t="s">
        <v>37</v>
      </c>
      <c r="O14398" s="3" t="s">
        <v>70</v>
      </c>
      <c r="P14398" s="5">
        <v>2</v>
      </c>
      <c r="Q14398" s="5">
        <v>26</v>
      </c>
      <c r="R14398" s="5">
        <v>3</v>
      </c>
      <c r="S14398" s="5">
        <v>33</v>
      </c>
    </row>
    <row r="14399" spans="1:19" ht="28" x14ac:dyDescent="0.15">
      <c r="A14399" s="2">
        <f>HYPERLINK("https://open-school.uspishnemisto.com.ua/school/680500/", 680500)</f>
        <v>680500</v>
      </c>
      <c r="B14399" s="3" t="s">
        <v>72578</v>
      </c>
      <c r="C14399" s="3" t="s">
        <v>31</v>
      </c>
      <c r="D14399" s="3" t="s">
        <v>175</v>
      </c>
      <c r="E14399" s="4" t="s">
        <v>22</v>
      </c>
      <c r="F14399" s="4" t="s">
        <v>72579</v>
      </c>
      <c r="G14399" s="4" t="s">
        <v>72580</v>
      </c>
      <c r="H14399" s="3" t="s">
        <v>70238</v>
      </c>
      <c r="I14399" s="3" t="s">
        <v>72581</v>
      </c>
      <c r="J14399" s="3" t="s">
        <v>72582</v>
      </c>
      <c r="K14399" s="3" t="s">
        <v>72583</v>
      </c>
      <c r="L14399" s="3"/>
      <c r="M14399" s="4"/>
      <c r="N14399" s="3" t="s">
        <v>37</v>
      </c>
      <c r="O14399" s="3" t="s">
        <v>38</v>
      </c>
      <c r="P14399" s="5">
        <v>8</v>
      </c>
      <c r="Q14399" s="5">
        <v>56</v>
      </c>
      <c r="R14399" s="5">
        <v>8</v>
      </c>
      <c r="S14399" s="5">
        <v>57</v>
      </c>
    </row>
    <row r="14400" spans="1:19" ht="42" x14ac:dyDescent="0.15">
      <c r="A14400" s="2">
        <f>HYPERLINK("https://open-school.uspishnemisto.com.ua/school/680501/", 680501)</f>
        <v>680501</v>
      </c>
      <c r="B14400" s="3" t="s">
        <v>72584</v>
      </c>
      <c r="C14400" s="3" t="s">
        <v>31</v>
      </c>
      <c r="D14400" s="3" t="s">
        <v>32</v>
      </c>
      <c r="E14400" s="4" t="s">
        <v>22</v>
      </c>
      <c r="F14400" s="4" t="s">
        <v>72585</v>
      </c>
      <c r="G14400" s="4" t="s">
        <v>72586</v>
      </c>
      <c r="H14400" s="3" t="s">
        <v>70238</v>
      </c>
      <c r="I14400" s="3" t="s">
        <v>72587</v>
      </c>
      <c r="J14400" s="3" t="s">
        <v>2662</v>
      </c>
      <c r="K14400" s="3" t="s">
        <v>72588</v>
      </c>
      <c r="L14400" s="3"/>
      <c r="M14400" s="4"/>
      <c r="N14400" s="3" t="s">
        <v>37</v>
      </c>
      <c r="O14400" s="3" t="s">
        <v>70</v>
      </c>
      <c r="P14400" s="5">
        <v>11</v>
      </c>
      <c r="Q14400" s="5">
        <v>165</v>
      </c>
      <c r="R14400" s="5">
        <v>11</v>
      </c>
      <c r="S14400" s="5">
        <v>165</v>
      </c>
    </row>
    <row r="14401" spans="1:19" ht="42" x14ac:dyDescent="0.15">
      <c r="A14401" s="2">
        <f>HYPERLINK("https://open-school.uspishnemisto.com.ua/school/680502/", 680502)</f>
        <v>680502</v>
      </c>
      <c r="B14401" s="3" t="s">
        <v>72589</v>
      </c>
      <c r="C14401" s="3" t="s">
        <v>31</v>
      </c>
      <c r="D14401" s="3" t="s">
        <v>32</v>
      </c>
      <c r="E14401" s="4" t="s">
        <v>22</v>
      </c>
      <c r="F14401" s="4" t="s">
        <v>72590</v>
      </c>
      <c r="G14401" s="4" t="s">
        <v>72591</v>
      </c>
      <c r="H14401" s="3" t="s">
        <v>70238</v>
      </c>
      <c r="I14401" s="3" t="s">
        <v>2296</v>
      </c>
      <c r="J14401" s="3" t="s">
        <v>72592</v>
      </c>
      <c r="K14401" s="3" t="s">
        <v>72593</v>
      </c>
      <c r="L14401" s="3"/>
      <c r="M14401" s="4"/>
      <c r="N14401" s="3" t="s">
        <v>37</v>
      </c>
      <c r="O14401" s="3" t="s">
        <v>266</v>
      </c>
      <c r="P14401" s="5">
        <v>31</v>
      </c>
      <c r="Q14401" s="5">
        <v>448</v>
      </c>
      <c r="R14401" s="5">
        <v>31</v>
      </c>
      <c r="S14401" s="5">
        <v>447</v>
      </c>
    </row>
    <row r="14402" spans="1:19" ht="56" x14ac:dyDescent="0.15">
      <c r="A14402" s="2">
        <f>HYPERLINK("https://open-school.uspishnemisto.com.ua/school/680503/", 680503)</f>
        <v>680503</v>
      </c>
      <c r="B14402" s="3" t="s">
        <v>72594</v>
      </c>
      <c r="C14402" s="3" t="s">
        <v>54</v>
      </c>
      <c r="D14402" s="3" t="s">
        <v>175</v>
      </c>
      <c r="E14402" s="4" t="s">
        <v>22</v>
      </c>
      <c r="F14402" s="4" t="s">
        <v>72595</v>
      </c>
      <c r="G14402" s="4" t="s">
        <v>72596</v>
      </c>
      <c r="H14402" s="3" t="s">
        <v>70238</v>
      </c>
      <c r="I14402" s="3" t="s">
        <v>72597</v>
      </c>
      <c r="J14402" s="3" t="s">
        <v>5843</v>
      </c>
      <c r="K14402" s="3"/>
      <c r="L14402" s="3"/>
      <c r="M14402" s="4"/>
      <c r="N14402" s="3" t="s">
        <v>37</v>
      </c>
      <c r="O14402" s="3" t="s">
        <v>38</v>
      </c>
      <c r="P14402" s="5">
        <v>3</v>
      </c>
      <c r="Q14402" s="5">
        <v>32</v>
      </c>
      <c r="R14402" s="5">
        <v>5</v>
      </c>
      <c r="S14402" s="5">
        <v>44</v>
      </c>
    </row>
    <row r="14403" spans="1:19" ht="56" x14ac:dyDescent="0.15">
      <c r="A14403" s="2">
        <f>HYPERLINK("https://open-school.uspishnemisto.com.ua/school/680504/", 680504)</f>
        <v>680504</v>
      </c>
      <c r="B14403" s="3" t="s">
        <v>72598</v>
      </c>
      <c r="C14403" s="3" t="s">
        <v>54</v>
      </c>
      <c r="D14403" s="3" t="s">
        <v>32</v>
      </c>
      <c r="E14403" s="4" t="s">
        <v>22</v>
      </c>
      <c r="F14403" s="4" t="s">
        <v>72599</v>
      </c>
      <c r="G14403" s="4" t="s">
        <v>72600</v>
      </c>
      <c r="H14403" s="3" t="s">
        <v>70238</v>
      </c>
      <c r="I14403" s="3" t="s">
        <v>54729</v>
      </c>
      <c r="J14403" s="3" t="s">
        <v>14725</v>
      </c>
      <c r="K14403" s="3" t="s">
        <v>72601</v>
      </c>
      <c r="L14403" s="3"/>
      <c r="M14403" s="4"/>
      <c r="N14403" s="3" t="s">
        <v>37</v>
      </c>
      <c r="O14403" s="3" t="s">
        <v>52</v>
      </c>
      <c r="P14403" s="5">
        <v>0</v>
      </c>
      <c r="Q14403" s="5">
        <v>0</v>
      </c>
      <c r="R14403" s="5">
        <v>7</v>
      </c>
      <c r="S14403" s="5">
        <v>54</v>
      </c>
    </row>
    <row r="14404" spans="1:19" ht="56" x14ac:dyDescent="0.15">
      <c r="A14404" s="2">
        <f>HYPERLINK("https://open-school.uspishnemisto.com.ua/school/680505/", 680505)</f>
        <v>680505</v>
      </c>
      <c r="B14404" s="3" t="s">
        <v>72602</v>
      </c>
      <c r="C14404" s="3" t="s">
        <v>54</v>
      </c>
      <c r="D14404" s="3" t="s">
        <v>175</v>
      </c>
      <c r="E14404" s="4" t="s">
        <v>22</v>
      </c>
      <c r="F14404" s="4" t="s">
        <v>72603</v>
      </c>
      <c r="G14404" s="4" t="s">
        <v>72604</v>
      </c>
      <c r="H14404" s="3" t="s">
        <v>70238</v>
      </c>
      <c r="I14404" s="3" t="s">
        <v>11464</v>
      </c>
      <c r="J14404" s="3" t="s">
        <v>72605</v>
      </c>
      <c r="K14404" s="3"/>
      <c r="L14404" s="3"/>
      <c r="M14404" s="4"/>
      <c r="N14404" s="3" t="s">
        <v>37</v>
      </c>
      <c r="O14404" s="3" t="s">
        <v>38</v>
      </c>
      <c r="P14404" s="5">
        <v>8</v>
      </c>
      <c r="Q14404" s="5">
        <v>64</v>
      </c>
      <c r="R14404" s="5">
        <v>8</v>
      </c>
      <c r="S14404" s="5">
        <v>64</v>
      </c>
    </row>
    <row r="14405" spans="1:19" ht="28" x14ac:dyDescent="0.15">
      <c r="A14405" s="2">
        <f>HYPERLINK("https://open-school.uspishnemisto.com.ua/school/680506/", 680506)</f>
        <v>680506</v>
      </c>
      <c r="B14405" s="3" t="s">
        <v>72606</v>
      </c>
      <c r="C14405" s="3" t="s">
        <v>31</v>
      </c>
      <c r="D14405" s="3" t="s">
        <v>175</v>
      </c>
      <c r="E14405" s="4" t="s">
        <v>22</v>
      </c>
      <c r="F14405" s="4" t="s">
        <v>72607</v>
      </c>
      <c r="G14405" s="4" t="s">
        <v>72608</v>
      </c>
      <c r="H14405" s="3" t="s">
        <v>70238</v>
      </c>
      <c r="I14405" s="3" t="s">
        <v>72609</v>
      </c>
      <c r="J14405" s="3" t="s">
        <v>72610</v>
      </c>
      <c r="K14405" s="3"/>
      <c r="L14405" s="3"/>
      <c r="M14405" s="4"/>
      <c r="N14405" s="3" t="s">
        <v>37</v>
      </c>
      <c r="O14405" s="3" t="s">
        <v>52</v>
      </c>
      <c r="P14405" s="5">
        <v>5</v>
      </c>
      <c r="Q14405" s="5">
        <v>46</v>
      </c>
      <c r="R14405" s="5">
        <v>6</v>
      </c>
      <c r="S14405" s="5">
        <v>43</v>
      </c>
    </row>
    <row r="14406" spans="1:19" ht="56" x14ac:dyDescent="0.15">
      <c r="A14406" s="2">
        <f>HYPERLINK("https://open-school.uspishnemisto.com.ua/school/680507/", 680507)</f>
        <v>680507</v>
      </c>
      <c r="B14406" s="3" t="s">
        <v>72611</v>
      </c>
      <c r="C14406" s="3" t="s">
        <v>54</v>
      </c>
      <c r="D14406" s="3" t="s">
        <v>32</v>
      </c>
      <c r="E14406" s="4" t="s">
        <v>22</v>
      </c>
      <c r="F14406" s="4" t="s">
        <v>72612</v>
      </c>
      <c r="G14406" s="4" t="s">
        <v>72613</v>
      </c>
      <c r="H14406" s="3" t="s">
        <v>70238</v>
      </c>
      <c r="I14406" s="3" t="s">
        <v>3737</v>
      </c>
      <c r="J14406" s="3" t="s">
        <v>72614</v>
      </c>
      <c r="K14406" s="3" t="s">
        <v>72615</v>
      </c>
      <c r="L14406" s="3" t="s">
        <v>72616</v>
      </c>
      <c r="M14406" s="4"/>
      <c r="N14406" s="3" t="s">
        <v>37</v>
      </c>
      <c r="O14406" s="3" t="s">
        <v>52</v>
      </c>
      <c r="P14406" s="5">
        <v>11</v>
      </c>
      <c r="Q14406" s="5">
        <v>192</v>
      </c>
      <c r="R14406" s="5">
        <v>11</v>
      </c>
      <c r="S14406" s="5">
        <v>177</v>
      </c>
    </row>
    <row r="14407" spans="1:19" ht="28" x14ac:dyDescent="0.15">
      <c r="A14407" s="2">
        <f>HYPERLINK("https://open-school.uspishnemisto.com.ua/school/680508/", 680508)</f>
        <v>680508</v>
      </c>
      <c r="B14407" s="3" t="s">
        <v>72617</v>
      </c>
      <c r="C14407" s="3" t="s">
        <v>181</v>
      </c>
      <c r="D14407" s="3" t="s">
        <v>175</v>
      </c>
      <c r="E14407" s="4" t="s">
        <v>22</v>
      </c>
      <c r="F14407" s="4" t="s">
        <v>72618</v>
      </c>
      <c r="G14407" s="4" t="s">
        <v>72619</v>
      </c>
      <c r="H14407" s="3" t="s">
        <v>70238</v>
      </c>
      <c r="I14407" s="3" t="s">
        <v>72620</v>
      </c>
      <c r="J14407" s="3" t="s">
        <v>72621</v>
      </c>
      <c r="K14407" s="3"/>
      <c r="L14407" s="3"/>
      <c r="M14407" s="4" t="s">
        <v>72622</v>
      </c>
      <c r="N14407" s="3" t="s">
        <v>37</v>
      </c>
      <c r="O14407" s="3"/>
      <c r="P14407" s="5">
        <v>5</v>
      </c>
      <c r="Q14407" s="5">
        <v>41</v>
      </c>
      <c r="R14407" s="5">
        <v>6</v>
      </c>
      <c r="S14407" s="5">
        <v>48</v>
      </c>
    </row>
    <row r="14408" spans="1:19" ht="56" x14ac:dyDescent="0.15">
      <c r="A14408" s="2">
        <f>HYPERLINK("https://open-school.uspishnemisto.com.ua/school/680509/", 680509)</f>
        <v>680509</v>
      </c>
      <c r="B14408" s="3" t="s">
        <v>72623</v>
      </c>
      <c r="C14408" s="3" t="s">
        <v>54</v>
      </c>
      <c r="D14408" s="3" t="s">
        <v>32</v>
      </c>
      <c r="E14408" s="4" t="s">
        <v>22</v>
      </c>
      <c r="F14408" s="4" t="s">
        <v>72618</v>
      </c>
      <c r="G14408" s="4" t="s">
        <v>72619</v>
      </c>
      <c r="H14408" s="3" t="s">
        <v>70238</v>
      </c>
      <c r="I14408" s="3" t="s">
        <v>72620</v>
      </c>
      <c r="J14408" s="3" t="s">
        <v>72624</v>
      </c>
      <c r="K14408" s="3" t="s">
        <v>72625</v>
      </c>
      <c r="L14408" s="3" t="s">
        <v>72626</v>
      </c>
      <c r="M14408" s="4" t="s">
        <v>72627</v>
      </c>
      <c r="N14408" s="3" t="s">
        <v>37</v>
      </c>
      <c r="O14408" s="3" t="s">
        <v>129</v>
      </c>
      <c r="P14408" s="5">
        <v>32</v>
      </c>
      <c r="Q14408" s="5">
        <v>407</v>
      </c>
      <c r="R14408" s="5">
        <v>11</v>
      </c>
      <c r="S14408" s="5">
        <v>259</v>
      </c>
    </row>
    <row r="14409" spans="1:19" ht="56" x14ac:dyDescent="0.15">
      <c r="A14409" s="2">
        <f>HYPERLINK("https://open-school.uspishnemisto.com.ua/school/680510/", 680510)</f>
        <v>680510</v>
      </c>
      <c r="B14409" s="3" t="s">
        <v>72628</v>
      </c>
      <c r="C14409" s="3" t="s">
        <v>54</v>
      </c>
      <c r="D14409" s="3" t="s">
        <v>175</v>
      </c>
      <c r="E14409" s="4" t="s">
        <v>22</v>
      </c>
      <c r="F14409" s="4" t="s">
        <v>72629</v>
      </c>
      <c r="G14409" s="4" t="s">
        <v>72630</v>
      </c>
      <c r="H14409" s="3" t="s">
        <v>70238</v>
      </c>
      <c r="I14409" s="3" t="s">
        <v>12816</v>
      </c>
      <c r="J14409" s="3" t="s">
        <v>37859</v>
      </c>
      <c r="K14409" s="3" t="s">
        <v>72631</v>
      </c>
      <c r="L14409" s="3"/>
      <c r="M14409" s="4"/>
      <c r="N14409" s="3" t="s">
        <v>37</v>
      </c>
      <c r="O14409" s="3" t="s">
        <v>52</v>
      </c>
      <c r="P14409" s="5">
        <v>9</v>
      </c>
      <c r="Q14409" s="5">
        <v>62</v>
      </c>
      <c r="R14409" s="5">
        <v>9</v>
      </c>
      <c r="S14409" s="5">
        <v>65</v>
      </c>
    </row>
    <row r="14410" spans="1:19" ht="56" x14ac:dyDescent="0.15">
      <c r="A14410" s="2">
        <f>HYPERLINK("https://open-school.uspishnemisto.com.ua/school/680511/", 680511)</f>
        <v>680511</v>
      </c>
      <c r="B14410" s="3" t="s">
        <v>72632</v>
      </c>
      <c r="C14410" s="3" t="s">
        <v>54</v>
      </c>
      <c r="D14410" s="3" t="s">
        <v>175</v>
      </c>
      <c r="E14410" s="4" t="s">
        <v>22</v>
      </c>
      <c r="F14410" s="4" t="s">
        <v>72633</v>
      </c>
      <c r="G14410" s="4" t="s">
        <v>72634</v>
      </c>
      <c r="H14410" s="3" t="s">
        <v>70238</v>
      </c>
      <c r="I14410" s="3" t="s">
        <v>72635</v>
      </c>
      <c r="J14410" s="3" t="s">
        <v>466</v>
      </c>
      <c r="K14410" s="3" t="s">
        <v>72636</v>
      </c>
      <c r="L14410" s="3"/>
      <c r="M14410" s="4"/>
      <c r="N14410" s="3" t="s">
        <v>37</v>
      </c>
      <c r="O14410" s="3" t="s">
        <v>46</v>
      </c>
      <c r="P14410" s="5">
        <v>0</v>
      </c>
      <c r="Q14410" s="5">
        <v>0</v>
      </c>
      <c r="R14410" s="5">
        <v>8</v>
      </c>
      <c r="S14410" s="5">
        <v>56</v>
      </c>
    </row>
    <row r="14411" spans="1:19" ht="56" x14ac:dyDescent="0.15">
      <c r="A14411" s="2">
        <f>HYPERLINK("https://open-school.uspishnemisto.com.ua/school/680512/", 680512)</f>
        <v>680512</v>
      </c>
      <c r="B14411" s="3" t="s">
        <v>72637</v>
      </c>
      <c r="C14411" s="3" t="s">
        <v>54</v>
      </c>
      <c r="D14411" s="3" t="s">
        <v>32</v>
      </c>
      <c r="E14411" s="4" t="s">
        <v>22</v>
      </c>
      <c r="F14411" s="4" t="s">
        <v>72638</v>
      </c>
      <c r="G14411" s="4" t="s">
        <v>72639</v>
      </c>
      <c r="H14411" s="3" t="s">
        <v>70238</v>
      </c>
      <c r="I14411" s="3" t="s">
        <v>72640</v>
      </c>
      <c r="J14411" s="3" t="s">
        <v>72641</v>
      </c>
      <c r="K14411" s="3" t="s">
        <v>72642</v>
      </c>
      <c r="L14411" s="3"/>
      <c r="M14411" s="4"/>
      <c r="N14411" s="3" t="s">
        <v>37</v>
      </c>
      <c r="O14411" s="3" t="s">
        <v>46</v>
      </c>
      <c r="P14411" s="5">
        <v>11</v>
      </c>
      <c r="Q14411" s="5">
        <v>131</v>
      </c>
      <c r="R14411" s="5">
        <v>11</v>
      </c>
      <c r="S14411" s="5">
        <v>102</v>
      </c>
    </row>
    <row r="14412" spans="1:19" ht="42" x14ac:dyDescent="0.15">
      <c r="A14412" s="2">
        <f>HYPERLINK("https://open-school.uspishnemisto.com.ua/school/680514/", 680514)</f>
        <v>680514</v>
      </c>
      <c r="B14412" s="3" t="s">
        <v>72643</v>
      </c>
      <c r="C14412" s="3" t="s">
        <v>54</v>
      </c>
      <c r="D14412" s="3" t="s">
        <v>175</v>
      </c>
      <c r="E14412" s="4" t="s">
        <v>22</v>
      </c>
      <c r="F14412" s="4" t="s">
        <v>72644</v>
      </c>
      <c r="G14412" s="4" t="s">
        <v>72645</v>
      </c>
      <c r="H14412" s="3" t="s">
        <v>70238</v>
      </c>
      <c r="I14412" s="3" t="s">
        <v>72646</v>
      </c>
      <c r="J14412" s="3" t="s">
        <v>1348</v>
      </c>
      <c r="K14412" s="3" t="s">
        <v>72647</v>
      </c>
      <c r="L14412" s="3"/>
      <c r="M14412" s="4"/>
      <c r="N14412" s="3" t="s">
        <v>37</v>
      </c>
      <c r="O14412" s="3" t="s">
        <v>46</v>
      </c>
      <c r="P14412" s="5">
        <v>8</v>
      </c>
      <c r="Q14412" s="5">
        <v>73</v>
      </c>
      <c r="R14412" s="5">
        <v>8</v>
      </c>
      <c r="S14412" s="5">
        <v>68</v>
      </c>
    </row>
    <row r="14413" spans="1:19" ht="42" x14ac:dyDescent="0.15">
      <c r="A14413" s="2">
        <f>HYPERLINK("https://open-school.uspishnemisto.com.ua/school/680515/", 680515)</f>
        <v>680515</v>
      </c>
      <c r="B14413" s="3" t="s">
        <v>72648</v>
      </c>
      <c r="C14413" s="3" t="s">
        <v>54</v>
      </c>
      <c r="D14413" s="3" t="s">
        <v>175</v>
      </c>
      <c r="E14413" s="4" t="s">
        <v>22</v>
      </c>
      <c r="F14413" s="4" t="s">
        <v>72649</v>
      </c>
      <c r="G14413" s="4" t="s">
        <v>72650</v>
      </c>
      <c r="H14413" s="3" t="s">
        <v>70238</v>
      </c>
      <c r="I14413" s="3" t="s">
        <v>72651</v>
      </c>
      <c r="J14413" s="3" t="s">
        <v>72652</v>
      </c>
      <c r="K14413" s="3" t="s">
        <v>72653</v>
      </c>
      <c r="L14413" s="3"/>
      <c r="M14413" s="4"/>
      <c r="N14413" s="3" t="s">
        <v>37</v>
      </c>
      <c r="O14413" s="3" t="s">
        <v>52</v>
      </c>
      <c r="P14413" s="5">
        <v>4</v>
      </c>
      <c r="Q14413" s="5">
        <v>42</v>
      </c>
      <c r="R14413" s="5">
        <v>6</v>
      </c>
      <c r="S14413" s="5">
        <v>49</v>
      </c>
    </row>
    <row r="14414" spans="1:19" ht="56" x14ac:dyDescent="0.15">
      <c r="A14414" s="2">
        <f>HYPERLINK("https://open-school.uspishnemisto.com.ua/school/680516/", 680516)</f>
        <v>680516</v>
      </c>
      <c r="B14414" s="3" t="s">
        <v>72654</v>
      </c>
      <c r="C14414" s="3" t="s">
        <v>54</v>
      </c>
      <c r="D14414" s="3" t="s">
        <v>32</v>
      </c>
      <c r="E14414" s="4" t="s">
        <v>22</v>
      </c>
      <c r="F14414" s="4" t="s">
        <v>72655</v>
      </c>
      <c r="G14414" s="4" t="s">
        <v>72656</v>
      </c>
      <c r="H14414" s="3" t="s">
        <v>70238</v>
      </c>
      <c r="I14414" s="3" t="s">
        <v>72657</v>
      </c>
      <c r="J14414" s="3" t="s">
        <v>946</v>
      </c>
      <c r="K14414" s="3"/>
      <c r="L14414" s="3"/>
      <c r="M14414" s="4" t="s">
        <v>72658</v>
      </c>
      <c r="N14414" s="3" t="s">
        <v>37</v>
      </c>
      <c r="O14414" s="3" t="s">
        <v>38</v>
      </c>
      <c r="P14414" s="5">
        <v>11</v>
      </c>
      <c r="Q14414" s="5">
        <v>92</v>
      </c>
      <c r="R14414" s="5">
        <v>11</v>
      </c>
      <c r="S14414" s="5">
        <v>91</v>
      </c>
    </row>
    <row r="14415" spans="1:19" ht="56" x14ac:dyDescent="0.15">
      <c r="A14415" s="2">
        <f>HYPERLINK("https://open-school.uspishnemisto.com.ua/school/680517/", 680517)</f>
        <v>680517</v>
      </c>
      <c r="B14415" s="3" t="s">
        <v>72659</v>
      </c>
      <c r="C14415" s="3" t="s">
        <v>54</v>
      </c>
      <c r="D14415" s="3" t="s">
        <v>32</v>
      </c>
      <c r="E14415" s="4" t="s">
        <v>22</v>
      </c>
      <c r="F14415" s="4" t="s">
        <v>72660</v>
      </c>
      <c r="G14415" s="4" t="s">
        <v>72661</v>
      </c>
      <c r="H14415" s="3" t="s">
        <v>70238</v>
      </c>
      <c r="I14415" s="3" t="s">
        <v>42648</v>
      </c>
      <c r="J14415" s="3" t="s">
        <v>72662</v>
      </c>
      <c r="K14415" s="3" t="s">
        <v>72663</v>
      </c>
      <c r="L14415" s="3"/>
      <c r="M14415" s="4"/>
      <c r="N14415" s="3" t="s">
        <v>37</v>
      </c>
      <c r="O14415" s="3" t="s">
        <v>52</v>
      </c>
      <c r="P14415" s="5">
        <v>10</v>
      </c>
      <c r="Q14415" s="5">
        <v>95</v>
      </c>
      <c r="R14415" s="5">
        <v>10</v>
      </c>
      <c r="S14415" s="5">
        <v>90</v>
      </c>
    </row>
    <row r="14416" spans="1:19" ht="56" x14ac:dyDescent="0.15">
      <c r="A14416" s="2">
        <f>HYPERLINK("https://open-school.uspishnemisto.com.ua/school/680518/", 680518)</f>
        <v>680518</v>
      </c>
      <c r="B14416" s="3" t="s">
        <v>72664</v>
      </c>
      <c r="C14416" s="3" t="s">
        <v>54</v>
      </c>
      <c r="D14416" s="3" t="s">
        <v>32</v>
      </c>
      <c r="E14416" s="4" t="s">
        <v>22</v>
      </c>
      <c r="F14416" s="4" t="s">
        <v>72665</v>
      </c>
      <c r="G14416" s="4" t="s">
        <v>72666</v>
      </c>
      <c r="H14416" s="3" t="s">
        <v>70238</v>
      </c>
      <c r="I14416" s="3" t="s">
        <v>30190</v>
      </c>
      <c r="J14416" s="3" t="s">
        <v>1576</v>
      </c>
      <c r="K14416" s="3"/>
      <c r="L14416" s="3"/>
      <c r="M14416" s="4"/>
      <c r="N14416" s="3" t="s">
        <v>37</v>
      </c>
      <c r="O14416" s="3" t="s">
        <v>52</v>
      </c>
      <c r="P14416" s="5">
        <v>10</v>
      </c>
      <c r="Q14416" s="5">
        <v>77</v>
      </c>
      <c r="R14416" s="5">
        <v>9</v>
      </c>
      <c r="S14416" s="5">
        <v>70</v>
      </c>
    </row>
    <row r="14417" spans="1:19" ht="42" x14ac:dyDescent="0.15">
      <c r="A14417" s="2">
        <f>HYPERLINK("https://open-school.uspishnemisto.com.ua/school/680519/", 680519)</f>
        <v>680519</v>
      </c>
      <c r="B14417" s="3" t="s">
        <v>72667</v>
      </c>
      <c r="C14417" s="3" t="s">
        <v>54</v>
      </c>
      <c r="D14417" s="3" t="s">
        <v>175</v>
      </c>
      <c r="E14417" s="4" t="s">
        <v>22</v>
      </c>
      <c r="F14417" s="4" t="s">
        <v>72668</v>
      </c>
      <c r="G14417" s="4" t="s">
        <v>72669</v>
      </c>
      <c r="H14417" s="3" t="s">
        <v>70238</v>
      </c>
      <c r="I14417" s="3" t="s">
        <v>72670</v>
      </c>
      <c r="J14417" s="3" t="s">
        <v>72671</v>
      </c>
      <c r="K14417" s="3" t="s">
        <v>72672</v>
      </c>
      <c r="L14417" s="3"/>
      <c r="M14417" s="4"/>
      <c r="N14417" s="3" t="s">
        <v>37</v>
      </c>
      <c r="O14417" s="3" t="s">
        <v>52</v>
      </c>
      <c r="P14417" s="5">
        <v>0</v>
      </c>
      <c r="Q14417" s="5">
        <v>0</v>
      </c>
      <c r="R14417" s="5">
        <v>7</v>
      </c>
      <c r="S14417" s="5">
        <v>46</v>
      </c>
    </row>
    <row r="14418" spans="1:19" ht="56" x14ac:dyDescent="0.15">
      <c r="A14418" s="2">
        <f>HYPERLINK("https://open-school.uspishnemisto.com.ua/school/680520/", 680520)</f>
        <v>680520</v>
      </c>
      <c r="B14418" s="3" t="s">
        <v>72673</v>
      </c>
      <c r="C14418" s="3" t="s">
        <v>54</v>
      </c>
      <c r="D14418" s="3" t="s">
        <v>175</v>
      </c>
      <c r="E14418" s="4" t="s">
        <v>22</v>
      </c>
      <c r="F14418" s="4" t="s">
        <v>72674</v>
      </c>
      <c r="G14418" s="4" t="s">
        <v>72675</v>
      </c>
      <c r="H14418" s="3" t="s">
        <v>70238</v>
      </c>
      <c r="I14418" s="3" t="s">
        <v>883</v>
      </c>
      <c r="J14418" s="3" t="s">
        <v>2745</v>
      </c>
      <c r="K14418" s="3" t="s">
        <v>72676</v>
      </c>
      <c r="L14418" s="3" t="s">
        <v>72677</v>
      </c>
      <c r="M14418" s="4"/>
      <c r="N14418" s="3" t="s">
        <v>37</v>
      </c>
      <c r="O14418" s="3" t="s">
        <v>52</v>
      </c>
      <c r="P14418" s="5">
        <v>9</v>
      </c>
      <c r="Q14418" s="5">
        <v>56</v>
      </c>
      <c r="R14418" s="5">
        <v>8</v>
      </c>
      <c r="S14418" s="5">
        <v>54</v>
      </c>
    </row>
    <row r="14419" spans="1:19" ht="56" x14ac:dyDescent="0.15">
      <c r="A14419" s="2">
        <f>HYPERLINK("https://open-school.uspishnemisto.com.ua/school/680521/", 680521)</f>
        <v>680521</v>
      </c>
      <c r="B14419" s="3" t="s">
        <v>72678</v>
      </c>
      <c r="C14419" s="3" t="s">
        <v>54</v>
      </c>
      <c r="D14419" s="3" t="s">
        <v>32</v>
      </c>
      <c r="E14419" s="4" t="s">
        <v>22</v>
      </c>
      <c r="F14419" s="4" t="s">
        <v>72679</v>
      </c>
      <c r="G14419" s="4" t="s">
        <v>72680</v>
      </c>
      <c r="H14419" s="3" t="s">
        <v>70238</v>
      </c>
      <c r="I14419" s="3" t="s">
        <v>72681</v>
      </c>
      <c r="J14419" s="3" t="s">
        <v>72682</v>
      </c>
      <c r="K14419" s="3" t="s">
        <v>72683</v>
      </c>
      <c r="L14419" s="3" t="s">
        <v>72684</v>
      </c>
      <c r="M14419" s="4"/>
      <c r="N14419" s="3" t="s">
        <v>37</v>
      </c>
      <c r="O14419" s="3" t="s">
        <v>52</v>
      </c>
      <c r="P14419" s="5">
        <v>11</v>
      </c>
      <c r="Q14419" s="5">
        <v>78</v>
      </c>
      <c r="R14419" s="5">
        <v>11</v>
      </c>
      <c r="S14419" s="5">
        <v>77</v>
      </c>
    </row>
    <row r="14420" spans="1:19" ht="42" x14ac:dyDescent="0.15">
      <c r="A14420" s="2">
        <f>HYPERLINK("https://open-school.uspishnemisto.com.ua/school/680522/", 680522)</f>
        <v>680522</v>
      </c>
      <c r="B14420" s="3" t="s">
        <v>72685</v>
      </c>
      <c r="C14420" s="3" t="s">
        <v>54</v>
      </c>
      <c r="D14420" s="3" t="s">
        <v>175</v>
      </c>
      <c r="E14420" s="4" t="s">
        <v>22</v>
      </c>
      <c r="F14420" s="4" t="s">
        <v>72686</v>
      </c>
      <c r="G14420" s="4" t="s">
        <v>72687</v>
      </c>
      <c r="H14420" s="3" t="s">
        <v>70238</v>
      </c>
      <c r="I14420" s="3" t="s">
        <v>53971</v>
      </c>
      <c r="J14420" s="3" t="s">
        <v>3363</v>
      </c>
      <c r="K14420" s="3" t="s">
        <v>72688</v>
      </c>
      <c r="L14420" s="3" t="s">
        <v>72689</v>
      </c>
      <c r="M14420" s="4"/>
      <c r="N14420" s="3" t="s">
        <v>37</v>
      </c>
      <c r="O14420" s="3" t="s">
        <v>46</v>
      </c>
      <c r="P14420" s="5">
        <v>9</v>
      </c>
      <c r="Q14420" s="5">
        <v>64</v>
      </c>
      <c r="R14420" s="5">
        <v>9</v>
      </c>
      <c r="S14420" s="5">
        <v>68</v>
      </c>
    </row>
    <row r="14421" spans="1:19" ht="56" x14ac:dyDescent="0.15">
      <c r="A14421" s="2">
        <f>HYPERLINK("https://open-school.uspishnemisto.com.ua/school/680523/", 680523)</f>
        <v>680523</v>
      </c>
      <c r="B14421" s="3" t="s">
        <v>72690</v>
      </c>
      <c r="C14421" s="3" t="s">
        <v>54</v>
      </c>
      <c r="D14421" s="3" t="s">
        <v>32</v>
      </c>
      <c r="E14421" s="4" t="s">
        <v>22</v>
      </c>
      <c r="F14421" s="4" t="s">
        <v>72691</v>
      </c>
      <c r="G14421" s="4" t="s">
        <v>72692</v>
      </c>
      <c r="H14421" s="3" t="s">
        <v>70238</v>
      </c>
      <c r="I14421" s="3" t="s">
        <v>57555</v>
      </c>
      <c r="J14421" s="3" t="s">
        <v>466</v>
      </c>
      <c r="K14421" s="3" t="s">
        <v>72693</v>
      </c>
      <c r="L14421" s="3" t="s">
        <v>72694</v>
      </c>
      <c r="M14421" s="4"/>
      <c r="N14421" s="3" t="s">
        <v>37</v>
      </c>
      <c r="O14421" s="3" t="s">
        <v>52</v>
      </c>
      <c r="P14421" s="5">
        <v>11</v>
      </c>
      <c r="Q14421" s="5">
        <v>174</v>
      </c>
      <c r="R14421" s="5">
        <v>11</v>
      </c>
      <c r="S14421" s="5">
        <v>181</v>
      </c>
    </row>
    <row r="14422" spans="1:19" ht="56" x14ac:dyDescent="0.15">
      <c r="A14422" s="2">
        <f>HYPERLINK("https://open-school.uspishnemisto.com.ua/school/680524/", 680524)</f>
        <v>680524</v>
      </c>
      <c r="B14422" s="3" t="s">
        <v>72695</v>
      </c>
      <c r="C14422" s="3" t="s">
        <v>54</v>
      </c>
      <c r="D14422" s="3" t="s">
        <v>175</v>
      </c>
      <c r="E14422" s="4" t="s">
        <v>22</v>
      </c>
      <c r="F14422" s="4" t="s">
        <v>72696</v>
      </c>
      <c r="G14422" s="4" t="s">
        <v>72697</v>
      </c>
      <c r="H14422" s="3" t="s">
        <v>70238</v>
      </c>
      <c r="I14422" s="3" t="s">
        <v>72698</v>
      </c>
      <c r="J14422" s="3" t="s">
        <v>3363</v>
      </c>
      <c r="K14422" s="3" t="s">
        <v>72699</v>
      </c>
      <c r="L14422" s="3" t="s">
        <v>72700</v>
      </c>
      <c r="M14422" s="4"/>
      <c r="N14422" s="3" t="s">
        <v>37</v>
      </c>
      <c r="O14422" s="3" t="s">
        <v>52</v>
      </c>
      <c r="P14422" s="5">
        <v>2</v>
      </c>
      <c r="Q14422" s="5">
        <v>37</v>
      </c>
      <c r="R14422" s="5">
        <v>3</v>
      </c>
      <c r="S14422" s="5">
        <v>38</v>
      </c>
    </row>
    <row r="14423" spans="1:19" ht="56" x14ac:dyDescent="0.15">
      <c r="A14423" s="2">
        <f>HYPERLINK("https://open-school.uspishnemisto.com.ua/school/680525/", 680525)</f>
        <v>680525</v>
      </c>
      <c r="B14423" s="3" t="s">
        <v>72701</v>
      </c>
      <c r="C14423" s="3" t="s">
        <v>54</v>
      </c>
      <c r="D14423" s="3" t="s">
        <v>32</v>
      </c>
      <c r="E14423" s="4" t="s">
        <v>22</v>
      </c>
      <c r="F14423" s="4" t="s">
        <v>72702</v>
      </c>
      <c r="G14423" s="4" t="s">
        <v>72703</v>
      </c>
      <c r="H14423" s="3" t="s">
        <v>70238</v>
      </c>
      <c r="I14423" s="3" t="s">
        <v>72704</v>
      </c>
      <c r="J14423" s="3" t="s">
        <v>1857</v>
      </c>
      <c r="K14423" s="3" t="s">
        <v>72705</v>
      </c>
      <c r="L14423" s="3" t="s">
        <v>72706</v>
      </c>
      <c r="M14423" s="4" t="s">
        <v>72707</v>
      </c>
      <c r="N14423" s="3" t="s">
        <v>37</v>
      </c>
      <c r="O14423" s="3" t="s">
        <v>46</v>
      </c>
      <c r="P14423" s="5">
        <v>31</v>
      </c>
      <c r="Q14423" s="5">
        <v>238</v>
      </c>
      <c r="R14423" s="5">
        <v>10</v>
      </c>
      <c r="S14423" s="5">
        <v>89</v>
      </c>
    </row>
    <row r="14424" spans="1:19" ht="56" x14ac:dyDescent="0.15">
      <c r="A14424" s="2">
        <f>HYPERLINK("https://open-school.uspishnemisto.com.ua/school/680526/", 680526)</f>
        <v>680526</v>
      </c>
      <c r="B14424" s="3" t="s">
        <v>72708</v>
      </c>
      <c r="C14424" s="3" t="s">
        <v>54</v>
      </c>
      <c r="D14424" s="3" t="s">
        <v>32</v>
      </c>
      <c r="E14424" s="4" t="s">
        <v>22</v>
      </c>
      <c r="F14424" s="4" t="s">
        <v>72709</v>
      </c>
      <c r="G14424" s="4" t="s">
        <v>72710</v>
      </c>
      <c r="H14424" s="3" t="s">
        <v>70238</v>
      </c>
      <c r="I14424" s="3" t="s">
        <v>72711</v>
      </c>
      <c r="J14424" s="3" t="s">
        <v>2384</v>
      </c>
      <c r="K14424" s="3" t="s">
        <v>72712</v>
      </c>
      <c r="L14424" s="3"/>
      <c r="M14424" s="4"/>
      <c r="N14424" s="3" t="s">
        <v>37</v>
      </c>
      <c r="O14424" s="3" t="s">
        <v>46</v>
      </c>
      <c r="P14424" s="5">
        <v>9</v>
      </c>
      <c r="Q14424" s="5">
        <v>67</v>
      </c>
      <c r="R14424" s="5">
        <v>8</v>
      </c>
      <c r="S14424" s="5">
        <v>59</v>
      </c>
    </row>
    <row r="14425" spans="1:19" ht="70" x14ac:dyDescent="0.15">
      <c r="A14425" s="2">
        <f>HYPERLINK("https://open-school.uspishnemisto.com.ua/school/680527/", 680527)</f>
        <v>680527</v>
      </c>
      <c r="B14425" s="3" t="s">
        <v>72713</v>
      </c>
      <c r="C14425" s="3" t="s">
        <v>54</v>
      </c>
      <c r="D14425" s="3" t="s">
        <v>175</v>
      </c>
      <c r="E14425" s="4" t="s">
        <v>22</v>
      </c>
      <c r="F14425" s="4" t="s">
        <v>72714</v>
      </c>
      <c r="G14425" s="4" t="s">
        <v>72715</v>
      </c>
      <c r="H14425" s="3" t="s">
        <v>70238</v>
      </c>
      <c r="I14425" s="3" t="s">
        <v>72716</v>
      </c>
      <c r="J14425" s="3" t="s">
        <v>72717</v>
      </c>
      <c r="K14425" s="3" t="s">
        <v>72718</v>
      </c>
      <c r="L14425" s="3"/>
      <c r="M14425" s="4"/>
      <c r="N14425" s="3" t="s">
        <v>37</v>
      </c>
      <c r="O14425" s="3" t="s">
        <v>52</v>
      </c>
      <c r="P14425" s="5">
        <v>0</v>
      </c>
      <c r="Q14425" s="5">
        <v>0</v>
      </c>
      <c r="R14425" s="5">
        <v>10</v>
      </c>
      <c r="S14425" s="5">
        <v>74</v>
      </c>
    </row>
    <row r="14426" spans="1:19" ht="56" x14ac:dyDescent="0.15">
      <c r="A14426" s="2">
        <f>HYPERLINK("https://open-school.uspishnemisto.com.ua/school/680528/", 680528)</f>
        <v>680528</v>
      </c>
      <c r="B14426" s="3" t="s">
        <v>72719</v>
      </c>
      <c r="C14426" s="3" t="s">
        <v>54</v>
      </c>
      <c r="D14426" s="3" t="s">
        <v>32</v>
      </c>
      <c r="E14426" s="4" t="s">
        <v>22</v>
      </c>
      <c r="F14426" s="4" t="s">
        <v>72720</v>
      </c>
      <c r="G14426" s="4" t="s">
        <v>72721</v>
      </c>
      <c r="H14426" s="3" t="s">
        <v>70238</v>
      </c>
      <c r="I14426" s="3" t="s">
        <v>71517</v>
      </c>
      <c r="J14426" s="3" t="s">
        <v>19518</v>
      </c>
      <c r="K14426" s="3" t="s">
        <v>72722</v>
      </c>
      <c r="L14426" s="3"/>
      <c r="M14426" s="4"/>
      <c r="N14426" s="3" t="s">
        <v>37</v>
      </c>
      <c r="O14426" s="3" t="s">
        <v>721</v>
      </c>
      <c r="P14426" s="5">
        <v>11</v>
      </c>
      <c r="Q14426" s="5">
        <v>130</v>
      </c>
      <c r="R14426" s="5">
        <v>11</v>
      </c>
      <c r="S14426" s="5">
        <v>131</v>
      </c>
    </row>
    <row r="14427" spans="1:19" ht="56" x14ac:dyDescent="0.15">
      <c r="A14427" s="2">
        <f>HYPERLINK("https://open-school.uspishnemisto.com.ua/school/680529/", 680529)</f>
        <v>680529</v>
      </c>
      <c r="B14427" s="3" t="s">
        <v>72723</v>
      </c>
      <c r="C14427" s="3" t="s">
        <v>54</v>
      </c>
      <c r="D14427" s="3" t="s">
        <v>32</v>
      </c>
      <c r="E14427" s="4" t="s">
        <v>22</v>
      </c>
      <c r="F14427" s="4" t="s">
        <v>72724</v>
      </c>
      <c r="G14427" s="4" t="s">
        <v>72725</v>
      </c>
      <c r="H14427" s="3" t="s">
        <v>70238</v>
      </c>
      <c r="I14427" s="3" t="s">
        <v>72726</v>
      </c>
      <c r="J14427" s="3" t="s">
        <v>13483</v>
      </c>
      <c r="K14427" s="3" t="s">
        <v>72727</v>
      </c>
      <c r="L14427" s="3" t="s">
        <v>72728</v>
      </c>
      <c r="M14427" s="4" t="s">
        <v>72729</v>
      </c>
      <c r="N14427" s="3" t="s">
        <v>37</v>
      </c>
      <c r="O14427" s="3" t="s">
        <v>38</v>
      </c>
      <c r="P14427" s="5">
        <v>16</v>
      </c>
      <c r="Q14427" s="5">
        <v>147</v>
      </c>
      <c r="R14427" s="5">
        <v>10</v>
      </c>
      <c r="S14427" s="5">
        <v>103</v>
      </c>
    </row>
    <row r="14428" spans="1:19" ht="42" x14ac:dyDescent="0.15">
      <c r="A14428" s="2">
        <f>HYPERLINK("https://open-school.uspishnemisto.com.ua/school/680530/", 680530)</f>
        <v>680530</v>
      </c>
      <c r="B14428" s="3" t="s">
        <v>72730</v>
      </c>
      <c r="C14428" s="3" t="s">
        <v>54</v>
      </c>
      <c r="D14428" s="3" t="s">
        <v>32</v>
      </c>
      <c r="E14428" s="4" t="s">
        <v>22</v>
      </c>
      <c r="F14428" s="4" t="s">
        <v>72731</v>
      </c>
      <c r="G14428" s="4" t="s">
        <v>72732</v>
      </c>
      <c r="H14428" s="3" t="s">
        <v>70238</v>
      </c>
      <c r="I14428" s="3" t="s">
        <v>72733</v>
      </c>
      <c r="J14428" s="3" t="s">
        <v>7166</v>
      </c>
      <c r="K14428" s="3"/>
      <c r="L14428" s="3"/>
      <c r="M14428" s="4"/>
      <c r="N14428" s="3" t="s">
        <v>37</v>
      </c>
      <c r="O14428" s="3" t="s">
        <v>52</v>
      </c>
      <c r="P14428" s="5">
        <v>0</v>
      </c>
      <c r="Q14428" s="5">
        <v>0</v>
      </c>
      <c r="R14428" s="5">
        <v>3</v>
      </c>
      <c r="S14428" s="5">
        <v>34</v>
      </c>
    </row>
    <row r="14429" spans="1:19" ht="42" x14ac:dyDescent="0.15">
      <c r="A14429" s="2">
        <f>HYPERLINK("https://open-school.uspishnemisto.com.ua/school/680531/", 680531)</f>
        <v>680531</v>
      </c>
      <c r="B14429" s="3" t="s">
        <v>72734</v>
      </c>
      <c r="C14429" s="3" t="s">
        <v>54</v>
      </c>
      <c r="D14429" s="3"/>
      <c r="E14429" s="4" t="s">
        <v>22</v>
      </c>
      <c r="F14429" s="4" t="s">
        <v>72735</v>
      </c>
      <c r="G14429" s="4" t="s">
        <v>72736</v>
      </c>
      <c r="H14429" s="3" t="s">
        <v>70238</v>
      </c>
      <c r="I14429" s="3" t="s">
        <v>6918</v>
      </c>
      <c r="J14429" s="3" t="s">
        <v>466</v>
      </c>
      <c r="K14429" s="3"/>
      <c r="L14429" s="3"/>
      <c r="M14429" s="4"/>
      <c r="N14429" s="3" t="s">
        <v>37</v>
      </c>
      <c r="O14429" s="3" t="s">
        <v>52</v>
      </c>
      <c r="P14429" s="5">
        <v>0</v>
      </c>
      <c r="Q14429" s="5">
        <v>0</v>
      </c>
      <c r="R14429" s="5">
        <v>6</v>
      </c>
      <c r="S14429" s="5">
        <v>58</v>
      </c>
    </row>
    <row r="14430" spans="1:19" ht="42" x14ac:dyDescent="0.15">
      <c r="A14430" s="2">
        <f>HYPERLINK("https://open-school.uspishnemisto.com.ua/school/680532/", 680532)</f>
        <v>680532</v>
      </c>
      <c r="B14430" s="3" t="s">
        <v>72737</v>
      </c>
      <c r="C14430" s="3" t="s">
        <v>54</v>
      </c>
      <c r="D14430" s="3" t="s">
        <v>175</v>
      </c>
      <c r="E14430" s="4" t="s">
        <v>22</v>
      </c>
      <c r="F14430" s="4" t="s">
        <v>72738</v>
      </c>
      <c r="G14430" s="4" t="s">
        <v>72739</v>
      </c>
      <c r="H14430" s="3" t="s">
        <v>70238</v>
      </c>
      <c r="I14430" s="3" t="s">
        <v>72740</v>
      </c>
      <c r="J14430" s="3" t="s">
        <v>72741</v>
      </c>
      <c r="K14430" s="3" t="s">
        <v>72742</v>
      </c>
      <c r="L14430" s="3" t="s">
        <v>72743</v>
      </c>
      <c r="M14430" s="4"/>
      <c r="N14430" s="3" t="s">
        <v>37</v>
      </c>
      <c r="O14430" s="3" t="s">
        <v>52</v>
      </c>
      <c r="P14430" s="5">
        <v>7</v>
      </c>
      <c r="Q14430" s="5">
        <v>52</v>
      </c>
      <c r="R14430" s="5">
        <v>7</v>
      </c>
      <c r="S14430" s="5">
        <v>55</v>
      </c>
    </row>
    <row r="14431" spans="1:19" ht="42" x14ac:dyDescent="0.15">
      <c r="A14431" s="2">
        <f>HYPERLINK("https://open-school.uspishnemisto.com.ua/school/680533/", 680533)</f>
        <v>680533</v>
      </c>
      <c r="B14431" s="3" t="s">
        <v>72744</v>
      </c>
      <c r="C14431" s="3" t="s">
        <v>54</v>
      </c>
      <c r="D14431" s="3" t="s">
        <v>175</v>
      </c>
      <c r="E14431" s="4" t="s">
        <v>22</v>
      </c>
      <c r="F14431" s="4" t="s">
        <v>72745</v>
      </c>
      <c r="G14431" s="4" t="s">
        <v>72746</v>
      </c>
      <c r="H14431" s="3" t="s">
        <v>70238</v>
      </c>
      <c r="I14431" s="3" t="s">
        <v>1286</v>
      </c>
      <c r="J14431" s="3" t="s">
        <v>6677</v>
      </c>
      <c r="K14431" s="3" t="s">
        <v>72747</v>
      </c>
      <c r="L14431" s="3"/>
      <c r="M14431" s="4"/>
      <c r="N14431" s="3" t="s">
        <v>37</v>
      </c>
      <c r="O14431" s="3" t="s">
        <v>618</v>
      </c>
      <c r="P14431" s="5">
        <v>0</v>
      </c>
      <c r="Q14431" s="5">
        <v>0</v>
      </c>
      <c r="R14431" s="5">
        <v>6</v>
      </c>
      <c r="S14431" s="5">
        <v>41</v>
      </c>
    </row>
    <row r="14432" spans="1:19" ht="42" x14ac:dyDescent="0.15">
      <c r="A14432" s="2">
        <f>HYPERLINK("https://open-school.uspishnemisto.com.ua/school/680534/", 680534)</f>
        <v>680534</v>
      </c>
      <c r="B14432" s="3" t="s">
        <v>72748</v>
      </c>
      <c r="C14432" s="3" t="s">
        <v>54</v>
      </c>
      <c r="D14432" s="3" t="s">
        <v>175</v>
      </c>
      <c r="E14432" s="4" t="s">
        <v>22</v>
      </c>
      <c r="F14432" s="4" t="s">
        <v>72749</v>
      </c>
      <c r="G14432" s="4" t="s">
        <v>72750</v>
      </c>
      <c r="H14432" s="3" t="s">
        <v>70238</v>
      </c>
      <c r="I14432" s="3" t="s">
        <v>72751</v>
      </c>
      <c r="J14432" s="3" t="s">
        <v>466</v>
      </c>
      <c r="K14432" s="3" t="s">
        <v>72752</v>
      </c>
      <c r="L14432" s="3"/>
      <c r="M14432" s="4"/>
      <c r="N14432" s="3" t="s">
        <v>37</v>
      </c>
      <c r="O14432" s="3" t="s">
        <v>46</v>
      </c>
      <c r="P14432" s="5">
        <v>0</v>
      </c>
      <c r="Q14432" s="5">
        <v>0</v>
      </c>
      <c r="R14432" s="5">
        <v>1</v>
      </c>
      <c r="S14432" s="5">
        <v>28</v>
      </c>
    </row>
    <row r="14433" spans="1:19" ht="42" x14ac:dyDescent="0.15">
      <c r="A14433" s="2">
        <f>HYPERLINK("https://open-school.uspishnemisto.com.ua/school/680535/", 680535)</f>
        <v>680535</v>
      </c>
      <c r="B14433" s="3" t="s">
        <v>72753</v>
      </c>
      <c r="C14433" s="3" t="s">
        <v>54</v>
      </c>
      <c r="D14433" s="3" t="s">
        <v>32</v>
      </c>
      <c r="E14433" s="4" t="s">
        <v>22</v>
      </c>
      <c r="F14433" s="4" t="s">
        <v>72754</v>
      </c>
      <c r="G14433" s="4" t="s">
        <v>72755</v>
      </c>
      <c r="H14433" s="3" t="s">
        <v>70238</v>
      </c>
      <c r="I14433" s="3" t="s">
        <v>72756</v>
      </c>
      <c r="J14433" s="3" t="s">
        <v>72757</v>
      </c>
      <c r="K14433" s="3" t="s">
        <v>72758</v>
      </c>
      <c r="L14433" s="3"/>
      <c r="M14433" s="4"/>
      <c r="N14433" s="3" t="s">
        <v>37</v>
      </c>
      <c r="O14433" s="3" t="s">
        <v>52</v>
      </c>
      <c r="P14433" s="5">
        <v>11</v>
      </c>
      <c r="Q14433" s="5">
        <v>126</v>
      </c>
      <c r="R14433" s="5">
        <v>11</v>
      </c>
      <c r="S14433" s="5">
        <v>119</v>
      </c>
    </row>
    <row r="14434" spans="1:19" ht="56" x14ac:dyDescent="0.15">
      <c r="A14434" s="2">
        <f>HYPERLINK("https://open-school.uspishnemisto.com.ua/school/680536/", 680536)</f>
        <v>680536</v>
      </c>
      <c r="B14434" s="3" t="s">
        <v>72759</v>
      </c>
      <c r="C14434" s="3" t="s">
        <v>54</v>
      </c>
      <c r="D14434" s="3" t="s">
        <v>32</v>
      </c>
      <c r="E14434" s="4" t="s">
        <v>22</v>
      </c>
      <c r="F14434" s="4" t="s">
        <v>72760</v>
      </c>
      <c r="G14434" s="4" t="s">
        <v>72761</v>
      </c>
      <c r="H14434" s="3" t="s">
        <v>70238</v>
      </c>
      <c r="I14434" s="3" t="s">
        <v>72762</v>
      </c>
      <c r="J14434" s="3" t="s">
        <v>554</v>
      </c>
      <c r="K14434" s="3" t="s">
        <v>72763</v>
      </c>
      <c r="L14434" s="3" t="s">
        <v>72764</v>
      </c>
      <c r="M14434" s="4"/>
      <c r="N14434" s="3" t="s">
        <v>37</v>
      </c>
      <c r="O14434" s="3" t="s">
        <v>38</v>
      </c>
      <c r="P14434" s="5">
        <v>11</v>
      </c>
      <c r="Q14434" s="5">
        <v>166</v>
      </c>
      <c r="R14434" s="5">
        <v>11</v>
      </c>
      <c r="S14434" s="5">
        <v>157</v>
      </c>
    </row>
    <row r="14435" spans="1:19" ht="56" x14ac:dyDescent="0.15">
      <c r="A14435" s="2">
        <f>HYPERLINK("https://open-school.uspishnemisto.com.ua/school/680537/", 680537)</f>
        <v>680537</v>
      </c>
      <c r="B14435" s="3" t="s">
        <v>72765</v>
      </c>
      <c r="C14435" s="3" t="s">
        <v>54</v>
      </c>
      <c r="D14435" s="3" t="s">
        <v>175</v>
      </c>
      <c r="E14435" s="4" t="s">
        <v>22</v>
      </c>
      <c r="F14435" s="4" t="s">
        <v>72766</v>
      </c>
      <c r="G14435" s="4" t="s">
        <v>72767</v>
      </c>
      <c r="H14435" s="3" t="s">
        <v>70238</v>
      </c>
      <c r="I14435" s="3" t="s">
        <v>72768</v>
      </c>
      <c r="J14435" s="3" t="s">
        <v>72769</v>
      </c>
      <c r="K14435" s="3" t="s">
        <v>72770</v>
      </c>
      <c r="L14435" s="3"/>
      <c r="M14435" s="4"/>
      <c r="N14435" s="3" t="s">
        <v>37</v>
      </c>
      <c r="O14435" s="3" t="s">
        <v>52</v>
      </c>
      <c r="P14435" s="5">
        <v>9</v>
      </c>
      <c r="Q14435" s="5">
        <v>95</v>
      </c>
      <c r="R14435" s="5">
        <v>9</v>
      </c>
      <c r="S14435" s="5">
        <v>85</v>
      </c>
    </row>
    <row r="14436" spans="1:19" ht="42" x14ac:dyDescent="0.15">
      <c r="A14436" s="2">
        <f>HYPERLINK("https://open-school.uspishnemisto.com.ua/school/680538/", 680538)</f>
        <v>680538</v>
      </c>
      <c r="B14436" s="3" t="s">
        <v>72771</v>
      </c>
      <c r="C14436" s="3" t="s">
        <v>54</v>
      </c>
      <c r="D14436" s="3" t="s">
        <v>175</v>
      </c>
      <c r="E14436" s="4" t="s">
        <v>22</v>
      </c>
      <c r="F14436" s="4" t="s">
        <v>72772</v>
      </c>
      <c r="G14436" s="4" t="s">
        <v>72773</v>
      </c>
      <c r="H14436" s="3" t="s">
        <v>70238</v>
      </c>
      <c r="I14436" s="3" t="s">
        <v>72774</v>
      </c>
      <c r="J14436" s="3" t="s">
        <v>466</v>
      </c>
      <c r="K14436" s="3" t="s">
        <v>72775</v>
      </c>
      <c r="L14436" s="3" t="s">
        <v>72776</v>
      </c>
      <c r="M14436" s="4"/>
      <c r="N14436" s="3" t="s">
        <v>37</v>
      </c>
      <c r="O14436" s="3" t="s">
        <v>46</v>
      </c>
      <c r="P14436" s="5">
        <v>0</v>
      </c>
      <c r="Q14436" s="5">
        <v>0</v>
      </c>
      <c r="R14436" s="5">
        <v>4</v>
      </c>
      <c r="S14436" s="5">
        <v>36</v>
      </c>
    </row>
    <row r="14437" spans="1:19" ht="56" x14ac:dyDescent="0.15">
      <c r="A14437" s="2">
        <f>HYPERLINK("https://open-school.uspishnemisto.com.ua/school/680539/", 680539)</f>
        <v>680539</v>
      </c>
      <c r="B14437" s="3" t="s">
        <v>72777</v>
      </c>
      <c r="C14437" s="3" t="s">
        <v>54</v>
      </c>
      <c r="D14437" s="3" t="s">
        <v>60</v>
      </c>
      <c r="E14437" s="4" t="s">
        <v>22</v>
      </c>
      <c r="F14437" s="4" t="s">
        <v>72778</v>
      </c>
      <c r="G14437" s="4" t="s">
        <v>72779</v>
      </c>
      <c r="H14437" s="3" t="s">
        <v>70238</v>
      </c>
      <c r="I14437" s="3" t="s">
        <v>72780</v>
      </c>
      <c r="J14437" s="3" t="s">
        <v>1015</v>
      </c>
      <c r="K14437" s="3"/>
      <c r="L14437" s="3"/>
      <c r="M14437" s="4"/>
      <c r="N14437" s="3" t="s">
        <v>37</v>
      </c>
      <c r="O14437" s="3" t="s">
        <v>52</v>
      </c>
      <c r="P14437" s="5">
        <v>1</v>
      </c>
      <c r="Q14437" s="5">
        <v>18</v>
      </c>
      <c r="R14437" s="5">
        <v>4</v>
      </c>
      <c r="S14437" s="5">
        <v>36</v>
      </c>
    </row>
    <row r="14438" spans="1:19" ht="42" x14ac:dyDescent="0.15">
      <c r="A14438" s="2">
        <f>HYPERLINK("https://open-school.uspishnemisto.com.ua/school/680540/", 680540)</f>
        <v>680540</v>
      </c>
      <c r="B14438" s="3" t="s">
        <v>72781</v>
      </c>
      <c r="C14438" s="3" t="s">
        <v>54</v>
      </c>
      <c r="D14438" s="3" t="s">
        <v>32</v>
      </c>
      <c r="E14438" s="4" t="s">
        <v>22</v>
      </c>
      <c r="F14438" s="4" t="s">
        <v>72782</v>
      </c>
      <c r="G14438" s="4" t="s">
        <v>72783</v>
      </c>
      <c r="H14438" s="3" t="s">
        <v>70238</v>
      </c>
      <c r="I14438" s="3" t="s">
        <v>72784</v>
      </c>
      <c r="J14438" s="3" t="s">
        <v>72785</v>
      </c>
      <c r="K14438" s="3" t="s">
        <v>72786</v>
      </c>
      <c r="L14438" s="3" t="s">
        <v>72787</v>
      </c>
      <c r="M14438" s="4"/>
      <c r="N14438" s="3" t="s">
        <v>37</v>
      </c>
      <c r="O14438" s="3" t="s">
        <v>38</v>
      </c>
      <c r="P14438" s="5">
        <v>11</v>
      </c>
      <c r="Q14438" s="5">
        <v>114</v>
      </c>
      <c r="R14438" s="5">
        <v>11</v>
      </c>
      <c r="S14438" s="5">
        <v>118</v>
      </c>
    </row>
    <row r="14439" spans="1:19" ht="56" x14ac:dyDescent="0.15">
      <c r="A14439" s="2">
        <f>HYPERLINK("https://open-school.uspishnemisto.com.ua/school/680541/", 680541)</f>
        <v>680541</v>
      </c>
      <c r="B14439" s="3" t="s">
        <v>72788</v>
      </c>
      <c r="C14439" s="3" t="s">
        <v>54</v>
      </c>
      <c r="D14439" s="3" t="s">
        <v>32</v>
      </c>
      <c r="E14439" s="4" t="s">
        <v>22</v>
      </c>
      <c r="F14439" s="4" t="s">
        <v>72789</v>
      </c>
      <c r="G14439" s="4" t="s">
        <v>72790</v>
      </c>
      <c r="H14439" s="3" t="s">
        <v>70238</v>
      </c>
      <c r="I14439" s="3" t="s">
        <v>72791</v>
      </c>
      <c r="J14439" s="3" t="s">
        <v>785</v>
      </c>
      <c r="K14439" s="3" t="s">
        <v>72792</v>
      </c>
      <c r="L14439" s="3"/>
      <c r="M14439" s="4"/>
      <c r="N14439" s="3" t="s">
        <v>37</v>
      </c>
      <c r="O14439" s="3" t="s">
        <v>38</v>
      </c>
      <c r="P14439" s="5">
        <v>11</v>
      </c>
      <c r="Q14439" s="5">
        <v>173</v>
      </c>
      <c r="R14439" s="5">
        <v>11</v>
      </c>
      <c r="S14439" s="5">
        <v>155</v>
      </c>
    </row>
    <row r="14440" spans="1:19" ht="42" x14ac:dyDescent="0.15">
      <c r="A14440" s="2">
        <f>HYPERLINK("https://open-school.uspishnemisto.com.ua/school/680542/", 680542)</f>
        <v>680542</v>
      </c>
      <c r="B14440" s="3" t="s">
        <v>72793</v>
      </c>
      <c r="C14440" s="3" t="s">
        <v>31</v>
      </c>
      <c r="D14440" s="3" t="s">
        <v>60</v>
      </c>
      <c r="E14440" s="4" t="s">
        <v>22</v>
      </c>
      <c r="F14440" s="4" t="s">
        <v>72794</v>
      </c>
      <c r="G14440" s="4" t="s">
        <v>72795</v>
      </c>
      <c r="H14440" s="3" t="s">
        <v>70238</v>
      </c>
      <c r="I14440" s="3" t="s">
        <v>72796</v>
      </c>
      <c r="J14440" s="3" t="s">
        <v>1348</v>
      </c>
      <c r="K14440" s="3"/>
      <c r="L14440" s="3"/>
      <c r="M14440" s="4"/>
      <c r="N14440" s="3" t="s">
        <v>37</v>
      </c>
      <c r="O14440" s="3" t="s">
        <v>52</v>
      </c>
      <c r="P14440" s="5">
        <v>1</v>
      </c>
      <c r="Q14440" s="5">
        <v>13</v>
      </c>
      <c r="R14440" s="5">
        <v>1</v>
      </c>
      <c r="S14440" s="5">
        <v>9</v>
      </c>
    </row>
    <row r="14441" spans="1:19" ht="42" x14ac:dyDescent="0.15">
      <c r="A14441" s="2">
        <f>HYPERLINK("https://open-school.uspishnemisto.com.ua/school/680543/", 680543)</f>
        <v>680543</v>
      </c>
      <c r="B14441" s="3" t="s">
        <v>72797</v>
      </c>
      <c r="C14441" s="3" t="s">
        <v>31</v>
      </c>
      <c r="D14441" s="3" t="s">
        <v>21</v>
      </c>
      <c r="E14441" s="4" t="s">
        <v>22</v>
      </c>
      <c r="F14441" s="4" t="s">
        <v>72798</v>
      </c>
      <c r="G14441" s="4" t="s">
        <v>72799</v>
      </c>
      <c r="H14441" s="3" t="s">
        <v>70238</v>
      </c>
      <c r="I14441" s="3" t="s">
        <v>72800</v>
      </c>
      <c r="J14441" s="3" t="s">
        <v>1348</v>
      </c>
      <c r="K14441" s="3" t="s">
        <v>72801</v>
      </c>
      <c r="L14441" s="3"/>
      <c r="M14441" s="4"/>
      <c r="N14441" s="3" t="s">
        <v>37</v>
      </c>
      <c r="O14441" s="3" t="s">
        <v>46</v>
      </c>
      <c r="P14441" s="5">
        <v>4</v>
      </c>
      <c r="Q14441" s="5">
        <v>44</v>
      </c>
      <c r="R14441" s="5">
        <v>5</v>
      </c>
      <c r="S14441" s="5">
        <v>49</v>
      </c>
    </row>
    <row r="14442" spans="1:19" ht="42" x14ac:dyDescent="0.15">
      <c r="A14442" s="2">
        <f>HYPERLINK("https://open-school.uspishnemisto.com.ua/school/680544/", 680544)</f>
        <v>680544</v>
      </c>
      <c r="B14442" s="3" t="s">
        <v>72802</v>
      </c>
      <c r="C14442" s="3" t="s">
        <v>31</v>
      </c>
      <c r="D14442" s="3" t="s">
        <v>32</v>
      </c>
      <c r="E14442" s="4" t="s">
        <v>22</v>
      </c>
      <c r="F14442" s="4" t="s">
        <v>72803</v>
      </c>
      <c r="G14442" s="4" t="s">
        <v>72804</v>
      </c>
      <c r="H14442" s="3" t="s">
        <v>70238</v>
      </c>
      <c r="I14442" s="3" t="s">
        <v>72805</v>
      </c>
      <c r="J14442" s="3" t="s">
        <v>72806</v>
      </c>
      <c r="K14442" s="3" t="s">
        <v>72807</v>
      </c>
      <c r="L14442" s="3" t="s">
        <v>72808</v>
      </c>
      <c r="M14442" s="4"/>
      <c r="N14442" s="3" t="s">
        <v>37</v>
      </c>
      <c r="O14442" s="3" t="s">
        <v>46</v>
      </c>
      <c r="P14442" s="5">
        <v>9</v>
      </c>
      <c r="Q14442" s="5">
        <v>100</v>
      </c>
      <c r="R14442" s="5">
        <v>10</v>
      </c>
      <c r="S14442" s="5">
        <v>100</v>
      </c>
    </row>
    <row r="14443" spans="1:19" ht="56" x14ac:dyDescent="0.15">
      <c r="A14443" s="2">
        <f>HYPERLINK("https://open-school.uspishnemisto.com.ua/school/680545/", 680545)</f>
        <v>680545</v>
      </c>
      <c r="B14443" s="3" t="s">
        <v>72809</v>
      </c>
      <c r="C14443" s="3" t="s">
        <v>54</v>
      </c>
      <c r="D14443" s="3" t="s">
        <v>32</v>
      </c>
      <c r="E14443" s="4" t="s">
        <v>22</v>
      </c>
      <c r="F14443" s="4" t="s">
        <v>72810</v>
      </c>
      <c r="G14443" s="4" t="s">
        <v>72811</v>
      </c>
      <c r="H14443" s="3" t="s">
        <v>70238</v>
      </c>
      <c r="I14443" s="3" t="s">
        <v>72812</v>
      </c>
      <c r="J14443" s="3" t="s">
        <v>946</v>
      </c>
      <c r="K14443" s="3" t="s">
        <v>72813</v>
      </c>
      <c r="L14443" s="3" t="s">
        <v>72814</v>
      </c>
      <c r="M14443" s="4"/>
      <c r="N14443" s="3" t="s">
        <v>37</v>
      </c>
      <c r="O14443" s="3" t="s">
        <v>38</v>
      </c>
      <c r="P14443" s="5">
        <v>9</v>
      </c>
      <c r="Q14443" s="5">
        <v>86</v>
      </c>
      <c r="R14443" s="5">
        <v>10</v>
      </c>
      <c r="S14443" s="5">
        <v>93</v>
      </c>
    </row>
    <row r="14444" spans="1:19" ht="42" x14ac:dyDescent="0.15">
      <c r="A14444" s="2">
        <f>HYPERLINK("https://open-school.uspishnemisto.com.ua/school/680546/", 680546)</f>
        <v>680546</v>
      </c>
      <c r="B14444" s="3" t="s">
        <v>72815</v>
      </c>
      <c r="C14444" s="3" t="s">
        <v>31</v>
      </c>
      <c r="D14444" s="3" t="s">
        <v>32</v>
      </c>
      <c r="E14444" s="4" t="s">
        <v>22</v>
      </c>
      <c r="F14444" s="4" t="s">
        <v>72816</v>
      </c>
      <c r="G14444" s="4" t="s">
        <v>72817</v>
      </c>
      <c r="H14444" s="3" t="s">
        <v>70238</v>
      </c>
      <c r="I14444" s="3" t="s">
        <v>72818</v>
      </c>
      <c r="J14444" s="3" t="s">
        <v>72819</v>
      </c>
      <c r="K14444" s="3" t="s">
        <v>72820</v>
      </c>
      <c r="L14444" s="3" t="s">
        <v>72821</v>
      </c>
      <c r="M14444" s="4"/>
      <c r="N14444" s="3" t="s">
        <v>37</v>
      </c>
      <c r="O14444" s="3" t="s">
        <v>46</v>
      </c>
      <c r="P14444" s="5">
        <v>10</v>
      </c>
      <c r="Q14444" s="5">
        <v>105</v>
      </c>
      <c r="R14444" s="5">
        <v>10</v>
      </c>
      <c r="S14444" s="5">
        <v>106</v>
      </c>
    </row>
    <row r="14445" spans="1:19" ht="42" x14ac:dyDescent="0.15">
      <c r="A14445" s="2">
        <f>HYPERLINK("https://open-school.uspishnemisto.com.ua/school/680547/", 680547)</f>
        <v>680547</v>
      </c>
      <c r="B14445" s="3" t="s">
        <v>72822</v>
      </c>
      <c r="C14445" s="3" t="s">
        <v>31</v>
      </c>
      <c r="D14445" s="3" t="s">
        <v>175</v>
      </c>
      <c r="E14445" s="4" t="s">
        <v>22</v>
      </c>
      <c r="F14445" s="4" t="s">
        <v>72816</v>
      </c>
      <c r="G14445" s="4" t="s">
        <v>72823</v>
      </c>
      <c r="H14445" s="3" t="s">
        <v>70238</v>
      </c>
      <c r="I14445" s="3" t="s">
        <v>72824</v>
      </c>
      <c r="J14445" s="3" t="s">
        <v>5606</v>
      </c>
      <c r="K14445" s="3" t="s">
        <v>72825</v>
      </c>
      <c r="L14445" s="3" t="s">
        <v>72826</v>
      </c>
      <c r="M14445" s="4"/>
      <c r="N14445" s="3" t="s">
        <v>37</v>
      </c>
      <c r="O14445" s="3" t="s">
        <v>52</v>
      </c>
      <c r="P14445" s="5">
        <v>5</v>
      </c>
      <c r="Q14445" s="5">
        <v>46</v>
      </c>
      <c r="R14445" s="5">
        <v>6</v>
      </c>
      <c r="S14445" s="5">
        <v>50</v>
      </c>
    </row>
    <row r="14446" spans="1:19" ht="42" x14ac:dyDescent="0.15">
      <c r="A14446" s="2">
        <f>HYPERLINK("https://open-school.uspishnemisto.com.ua/school/680548/", 680548)</f>
        <v>680548</v>
      </c>
      <c r="B14446" s="3" t="s">
        <v>72827</v>
      </c>
      <c r="C14446" s="3" t="s">
        <v>31</v>
      </c>
      <c r="D14446" s="3" t="s">
        <v>32</v>
      </c>
      <c r="E14446" s="4" t="s">
        <v>22</v>
      </c>
      <c r="F14446" s="4" t="s">
        <v>72828</v>
      </c>
      <c r="G14446" s="4" t="s">
        <v>72829</v>
      </c>
      <c r="H14446" s="3" t="s">
        <v>70238</v>
      </c>
      <c r="I14446" s="3" t="s">
        <v>6217</v>
      </c>
      <c r="J14446" s="3" t="s">
        <v>72830</v>
      </c>
      <c r="K14446" s="3" t="s">
        <v>72831</v>
      </c>
      <c r="L14446" s="3"/>
      <c r="M14446" s="4"/>
      <c r="N14446" s="3" t="s">
        <v>37</v>
      </c>
      <c r="O14446" s="3" t="s">
        <v>46</v>
      </c>
      <c r="P14446" s="5">
        <v>10</v>
      </c>
      <c r="Q14446" s="5">
        <v>105</v>
      </c>
      <c r="R14446" s="5">
        <v>10</v>
      </c>
      <c r="S14446" s="5">
        <v>105</v>
      </c>
    </row>
    <row r="14447" spans="1:19" ht="56" x14ac:dyDescent="0.15">
      <c r="A14447" s="2">
        <f>HYPERLINK("https://open-school.uspishnemisto.com.ua/school/680549/", 680549)</f>
        <v>680549</v>
      </c>
      <c r="B14447" s="3" t="s">
        <v>72832</v>
      </c>
      <c r="C14447" s="3" t="s">
        <v>54</v>
      </c>
      <c r="D14447" s="3" t="s">
        <v>175</v>
      </c>
      <c r="E14447" s="4" t="s">
        <v>22</v>
      </c>
      <c r="F14447" s="4" t="s">
        <v>72833</v>
      </c>
      <c r="G14447" s="4" t="s">
        <v>72834</v>
      </c>
      <c r="H14447" s="3" t="s">
        <v>70238</v>
      </c>
      <c r="I14447" s="3" t="s">
        <v>72835</v>
      </c>
      <c r="J14447" s="3" t="s">
        <v>2841</v>
      </c>
      <c r="K14447" s="3" t="s">
        <v>72836</v>
      </c>
      <c r="L14447" s="3" t="s">
        <v>72837</v>
      </c>
      <c r="M14447" s="4"/>
      <c r="N14447" s="3" t="s">
        <v>37</v>
      </c>
      <c r="O14447" s="3" t="s">
        <v>46</v>
      </c>
      <c r="P14447" s="5">
        <v>9</v>
      </c>
      <c r="Q14447" s="5">
        <v>76</v>
      </c>
      <c r="R14447" s="5">
        <v>9</v>
      </c>
      <c r="S14447" s="5">
        <v>75</v>
      </c>
    </row>
    <row r="14448" spans="1:19" ht="28" x14ac:dyDescent="0.15">
      <c r="A14448" s="2">
        <f>HYPERLINK("https://open-school.uspishnemisto.com.ua/school/680550/", 680550)</f>
        <v>680550</v>
      </c>
      <c r="B14448" s="3" t="s">
        <v>72838</v>
      </c>
      <c r="C14448" s="3" t="s">
        <v>31</v>
      </c>
      <c r="D14448" s="3" t="s">
        <v>60</v>
      </c>
      <c r="E14448" s="4" t="s">
        <v>22</v>
      </c>
      <c r="F14448" s="4" t="s">
        <v>72839</v>
      </c>
      <c r="G14448" s="4" t="s">
        <v>72840</v>
      </c>
      <c r="H14448" s="3" t="s">
        <v>70238</v>
      </c>
      <c r="I14448" s="3" t="s">
        <v>72841</v>
      </c>
      <c r="J14448" s="3" t="s">
        <v>72842</v>
      </c>
      <c r="K14448" s="3" t="s">
        <v>72843</v>
      </c>
      <c r="L14448" s="3"/>
      <c r="M14448" s="4"/>
      <c r="N14448" s="3" t="s">
        <v>37</v>
      </c>
      <c r="O14448" s="3" t="s">
        <v>52</v>
      </c>
      <c r="P14448" s="5">
        <v>3</v>
      </c>
      <c r="Q14448" s="5">
        <v>22</v>
      </c>
      <c r="R14448" s="5">
        <v>3</v>
      </c>
      <c r="S14448" s="5">
        <v>22</v>
      </c>
    </row>
    <row r="14449" spans="1:19" ht="42" x14ac:dyDescent="0.15">
      <c r="A14449" s="2">
        <f>HYPERLINK("https://open-school.uspishnemisto.com.ua/school/680551/", 680551)</f>
        <v>680551</v>
      </c>
      <c r="B14449" s="3" t="s">
        <v>72844</v>
      </c>
      <c r="C14449" s="3" t="s">
        <v>31</v>
      </c>
      <c r="D14449" s="3" t="s">
        <v>32</v>
      </c>
      <c r="E14449" s="4" t="s">
        <v>22</v>
      </c>
      <c r="F14449" s="4" t="s">
        <v>72845</v>
      </c>
      <c r="G14449" s="4" t="s">
        <v>72846</v>
      </c>
      <c r="H14449" s="3" t="s">
        <v>70238</v>
      </c>
      <c r="I14449" s="3" t="s">
        <v>2475</v>
      </c>
      <c r="J14449" s="3" t="s">
        <v>5145</v>
      </c>
      <c r="K14449" s="3" t="s">
        <v>72847</v>
      </c>
      <c r="L14449" s="3" t="s">
        <v>72848</v>
      </c>
      <c r="M14449" s="4"/>
      <c r="N14449" s="3" t="s">
        <v>37</v>
      </c>
      <c r="O14449" s="3" t="s">
        <v>46</v>
      </c>
      <c r="P14449" s="5">
        <v>10</v>
      </c>
      <c r="Q14449" s="5">
        <v>113</v>
      </c>
      <c r="R14449" s="5">
        <v>10</v>
      </c>
      <c r="S14449" s="5">
        <v>118</v>
      </c>
    </row>
    <row r="14450" spans="1:19" ht="42" x14ac:dyDescent="0.15">
      <c r="A14450" s="2">
        <f>HYPERLINK("https://open-school.uspishnemisto.com.ua/school/680552/", 680552)</f>
        <v>680552</v>
      </c>
      <c r="B14450" s="3" t="s">
        <v>72849</v>
      </c>
      <c r="C14450" s="3" t="s">
        <v>31</v>
      </c>
      <c r="D14450" s="3" t="s">
        <v>32</v>
      </c>
      <c r="E14450" s="4" t="s">
        <v>22</v>
      </c>
      <c r="F14450" s="4" t="s">
        <v>72850</v>
      </c>
      <c r="G14450" s="4" t="s">
        <v>72851</v>
      </c>
      <c r="H14450" s="3" t="s">
        <v>70238</v>
      </c>
      <c r="I14450" s="3" t="s">
        <v>72852</v>
      </c>
      <c r="J14450" s="3" t="s">
        <v>72853</v>
      </c>
      <c r="K14450" s="3" t="s">
        <v>72854</v>
      </c>
      <c r="L14450" s="3"/>
      <c r="M14450" s="4"/>
      <c r="N14450" s="3" t="s">
        <v>37</v>
      </c>
      <c r="O14450" s="3" t="s">
        <v>46</v>
      </c>
      <c r="P14450" s="5">
        <v>11</v>
      </c>
      <c r="Q14450" s="5">
        <v>100</v>
      </c>
      <c r="R14450" s="5">
        <v>11</v>
      </c>
      <c r="S14450" s="5">
        <v>105</v>
      </c>
    </row>
    <row r="14451" spans="1:19" ht="56" x14ac:dyDescent="0.15">
      <c r="A14451" s="2">
        <f>HYPERLINK("https://open-school.uspishnemisto.com.ua/school/680553/", 680553)</f>
        <v>680553</v>
      </c>
      <c r="B14451" s="3" t="s">
        <v>72855</v>
      </c>
      <c r="C14451" s="3" t="s">
        <v>54</v>
      </c>
      <c r="D14451" s="3" t="s">
        <v>32</v>
      </c>
      <c r="E14451" s="4" t="s">
        <v>22</v>
      </c>
      <c r="F14451" s="4" t="s">
        <v>72856</v>
      </c>
      <c r="G14451" s="4" t="s">
        <v>72857</v>
      </c>
      <c r="H14451" s="3" t="s">
        <v>70238</v>
      </c>
      <c r="I14451" s="3" t="s">
        <v>72858</v>
      </c>
      <c r="J14451" s="3" t="s">
        <v>72859</v>
      </c>
      <c r="K14451" s="3" t="s">
        <v>72860</v>
      </c>
      <c r="L14451" s="3" t="s">
        <v>72861</v>
      </c>
      <c r="M14451" s="4"/>
      <c r="N14451" s="3" t="s">
        <v>37</v>
      </c>
      <c r="O14451" s="3" t="s">
        <v>46</v>
      </c>
      <c r="P14451" s="5">
        <v>6</v>
      </c>
      <c r="Q14451" s="5">
        <v>48</v>
      </c>
      <c r="R14451" s="5">
        <v>7</v>
      </c>
      <c r="S14451" s="5">
        <v>49</v>
      </c>
    </row>
    <row r="14452" spans="1:19" ht="42" x14ac:dyDescent="0.15">
      <c r="A14452" s="2">
        <f>HYPERLINK("https://open-school.uspishnemisto.com.ua/school/680554/", 680554)</f>
        <v>680554</v>
      </c>
      <c r="B14452" s="3" t="s">
        <v>72862</v>
      </c>
      <c r="C14452" s="3" t="s">
        <v>31</v>
      </c>
      <c r="D14452" s="3" t="s">
        <v>32</v>
      </c>
      <c r="E14452" s="4" t="s">
        <v>22</v>
      </c>
      <c r="F14452" s="4" t="s">
        <v>72863</v>
      </c>
      <c r="G14452" s="4" t="s">
        <v>72864</v>
      </c>
      <c r="H14452" s="3" t="s">
        <v>70238</v>
      </c>
      <c r="I14452" s="3" t="s">
        <v>3635</v>
      </c>
      <c r="J14452" s="3" t="s">
        <v>32623</v>
      </c>
      <c r="K14452" s="3" t="s">
        <v>72865</v>
      </c>
      <c r="L14452" s="3" t="s">
        <v>72866</v>
      </c>
      <c r="M14452" s="4"/>
      <c r="N14452" s="3" t="s">
        <v>37</v>
      </c>
      <c r="O14452" s="3" t="s">
        <v>618</v>
      </c>
      <c r="P14452" s="5">
        <v>6</v>
      </c>
      <c r="Q14452" s="5">
        <v>41</v>
      </c>
      <c r="R14452" s="5">
        <v>6</v>
      </c>
      <c r="S14452" s="5">
        <v>42</v>
      </c>
    </row>
    <row r="14453" spans="1:19" ht="56" x14ac:dyDescent="0.15">
      <c r="A14453" s="2">
        <f>HYPERLINK("https://open-school.uspishnemisto.com.ua/school/680555/", 680555)</f>
        <v>680555</v>
      </c>
      <c r="B14453" s="3" t="s">
        <v>72867</v>
      </c>
      <c r="C14453" s="3" t="s">
        <v>54</v>
      </c>
      <c r="D14453" s="3" t="s">
        <v>32</v>
      </c>
      <c r="E14453" s="4" t="s">
        <v>22</v>
      </c>
      <c r="F14453" s="4" t="s">
        <v>72868</v>
      </c>
      <c r="G14453" s="4" t="s">
        <v>72869</v>
      </c>
      <c r="H14453" s="3" t="s">
        <v>70238</v>
      </c>
      <c r="I14453" s="3" t="s">
        <v>72870</v>
      </c>
      <c r="J14453" s="3" t="s">
        <v>72871</v>
      </c>
      <c r="K14453" s="3" t="s">
        <v>72872</v>
      </c>
      <c r="L14453" s="3" t="s">
        <v>72873</v>
      </c>
      <c r="M14453" s="4"/>
      <c r="N14453" s="3" t="s">
        <v>37</v>
      </c>
      <c r="O14453" s="3" t="s">
        <v>46</v>
      </c>
      <c r="P14453" s="5">
        <v>10</v>
      </c>
      <c r="Q14453" s="5">
        <v>76</v>
      </c>
      <c r="R14453" s="5">
        <v>11</v>
      </c>
      <c r="S14453" s="5">
        <v>80</v>
      </c>
    </row>
    <row r="14454" spans="1:19" ht="42" x14ac:dyDescent="0.15">
      <c r="A14454" s="2">
        <f>HYPERLINK("https://open-school.uspishnemisto.com.ua/school/680556/", 680556)</f>
        <v>680556</v>
      </c>
      <c r="B14454" s="3" t="s">
        <v>72874</v>
      </c>
      <c r="C14454" s="3" t="s">
        <v>31</v>
      </c>
      <c r="D14454" s="3" t="s">
        <v>175</v>
      </c>
      <c r="E14454" s="4" t="s">
        <v>22</v>
      </c>
      <c r="F14454" s="4" t="s">
        <v>72875</v>
      </c>
      <c r="G14454" s="4" t="s">
        <v>72876</v>
      </c>
      <c r="H14454" s="3" t="s">
        <v>70238</v>
      </c>
      <c r="I14454" s="3" t="s">
        <v>72877</v>
      </c>
      <c r="J14454" s="3" t="s">
        <v>5256</v>
      </c>
      <c r="K14454" s="3" t="s">
        <v>72878</v>
      </c>
      <c r="L14454" s="3" t="s">
        <v>72879</v>
      </c>
      <c r="M14454" s="4"/>
      <c r="N14454" s="3" t="s">
        <v>37</v>
      </c>
      <c r="O14454" s="3" t="s">
        <v>52</v>
      </c>
      <c r="P14454" s="5">
        <v>2</v>
      </c>
      <c r="Q14454" s="5">
        <v>25</v>
      </c>
      <c r="R14454" s="5">
        <v>4</v>
      </c>
      <c r="S14454" s="5">
        <v>34</v>
      </c>
    </row>
    <row r="14455" spans="1:19" ht="56" x14ac:dyDescent="0.15">
      <c r="A14455" s="2">
        <f>HYPERLINK("https://open-school.uspishnemisto.com.ua/school/680557/", 680557)</f>
        <v>680557</v>
      </c>
      <c r="B14455" s="3" t="s">
        <v>72880</v>
      </c>
      <c r="C14455" s="3" t="s">
        <v>54</v>
      </c>
      <c r="D14455" s="3" t="s">
        <v>32</v>
      </c>
      <c r="E14455" s="4" t="s">
        <v>22</v>
      </c>
      <c r="F14455" s="4" t="s">
        <v>72881</v>
      </c>
      <c r="G14455" s="4" t="s">
        <v>72882</v>
      </c>
      <c r="H14455" s="3" t="s">
        <v>70238</v>
      </c>
      <c r="I14455" s="3" t="s">
        <v>72883</v>
      </c>
      <c r="J14455" s="3" t="s">
        <v>26450</v>
      </c>
      <c r="K14455" s="3" t="s">
        <v>72884</v>
      </c>
      <c r="L14455" s="3" t="s">
        <v>72885</v>
      </c>
      <c r="M14455" s="4"/>
      <c r="N14455" s="3" t="s">
        <v>37</v>
      </c>
      <c r="O14455" s="3" t="s">
        <v>46</v>
      </c>
      <c r="P14455" s="5">
        <v>11</v>
      </c>
      <c r="Q14455" s="5">
        <v>89</v>
      </c>
      <c r="R14455" s="5">
        <v>11</v>
      </c>
      <c r="S14455" s="5">
        <v>98</v>
      </c>
    </row>
    <row r="14456" spans="1:19" ht="42" x14ac:dyDescent="0.15">
      <c r="A14456" s="2">
        <f>HYPERLINK("https://open-school.uspishnemisto.com.ua/school/680558/", 680558)</f>
        <v>680558</v>
      </c>
      <c r="B14456" s="3" t="s">
        <v>72886</v>
      </c>
      <c r="C14456" s="3" t="s">
        <v>31</v>
      </c>
      <c r="D14456" s="3" t="s">
        <v>32</v>
      </c>
      <c r="E14456" s="4" t="s">
        <v>22</v>
      </c>
      <c r="F14456" s="4" t="s">
        <v>72887</v>
      </c>
      <c r="G14456" s="4" t="s">
        <v>72888</v>
      </c>
      <c r="H14456" s="3" t="s">
        <v>70238</v>
      </c>
      <c r="I14456" s="3" t="s">
        <v>72889</v>
      </c>
      <c r="J14456" s="3" t="s">
        <v>72890</v>
      </c>
      <c r="K14456" s="3" t="s">
        <v>72891</v>
      </c>
      <c r="L14456" s="3" t="s">
        <v>72892</v>
      </c>
      <c r="M14456" s="4"/>
      <c r="N14456" s="3" t="s">
        <v>37</v>
      </c>
      <c r="O14456" s="3" t="s">
        <v>52</v>
      </c>
      <c r="P14456" s="5">
        <v>11</v>
      </c>
      <c r="Q14456" s="5">
        <v>131</v>
      </c>
      <c r="R14456" s="5">
        <v>11</v>
      </c>
      <c r="S14456" s="5">
        <v>133</v>
      </c>
    </row>
    <row r="14457" spans="1:19" ht="28" x14ac:dyDescent="0.15">
      <c r="A14457" s="2">
        <f>HYPERLINK("https://open-school.uspishnemisto.com.ua/school/680559/", 680559)</f>
        <v>680559</v>
      </c>
      <c r="B14457" s="3" t="s">
        <v>72893</v>
      </c>
      <c r="C14457" s="3" t="s">
        <v>31</v>
      </c>
      <c r="D14457" s="3" t="s">
        <v>60</v>
      </c>
      <c r="E14457" s="4" t="s">
        <v>22</v>
      </c>
      <c r="F14457" s="4" t="s">
        <v>72887</v>
      </c>
      <c r="G14457" s="4" t="s">
        <v>72894</v>
      </c>
      <c r="H14457" s="3" t="s">
        <v>70238</v>
      </c>
      <c r="I14457" s="3" t="s">
        <v>72895</v>
      </c>
      <c r="J14457" s="3" t="s">
        <v>72896</v>
      </c>
      <c r="K14457" s="3" t="s">
        <v>72897</v>
      </c>
      <c r="L14457" s="3" t="s">
        <v>72898</v>
      </c>
      <c r="M14457" s="4"/>
      <c r="N14457" s="3" t="s">
        <v>37</v>
      </c>
      <c r="O14457" s="3" t="s">
        <v>52</v>
      </c>
      <c r="P14457" s="5">
        <v>2</v>
      </c>
      <c r="Q14457" s="5">
        <v>18</v>
      </c>
      <c r="R14457" s="5">
        <v>2</v>
      </c>
      <c r="S14457" s="5">
        <v>15</v>
      </c>
    </row>
    <row r="14458" spans="1:19" ht="56" x14ac:dyDescent="0.15">
      <c r="A14458" s="2">
        <f>HYPERLINK("https://open-school.uspishnemisto.com.ua/school/680560/", 680560)</f>
        <v>680560</v>
      </c>
      <c r="B14458" s="3" t="s">
        <v>72899</v>
      </c>
      <c r="C14458" s="3" t="s">
        <v>54</v>
      </c>
      <c r="D14458" s="3" t="s">
        <v>60</v>
      </c>
      <c r="E14458" s="4" t="s">
        <v>22</v>
      </c>
      <c r="F14458" s="4" t="s">
        <v>72900</v>
      </c>
      <c r="G14458" s="4" t="s">
        <v>72901</v>
      </c>
      <c r="H14458" s="3" t="s">
        <v>70238</v>
      </c>
      <c r="I14458" s="3" t="s">
        <v>2718</v>
      </c>
      <c r="J14458" s="3" t="s">
        <v>72902</v>
      </c>
      <c r="K14458" s="3" t="s">
        <v>72903</v>
      </c>
      <c r="L14458" s="3"/>
      <c r="M14458" s="4"/>
      <c r="N14458" s="3" t="s">
        <v>37</v>
      </c>
      <c r="O14458" s="3" t="s">
        <v>46</v>
      </c>
      <c r="P14458" s="5">
        <v>1</v>
      </c>
      <c r="Q14458" s="5">
        <v>15</v>
      </c>
      <c r="R14458" s="5">
        <v>1</v>
      </c>
      <c r="S14458" s="5">
        <v>13</v>
      </c>
    </row>
    <row r="14459" spans="1:19" ht="56" x14ac:dyDescent="0.15">
      <c r="A14459" s="2">
        <f>HYPERLINK("https://open-school.uspishnemisto.com.ua/school/680561/", 680561)</f>
        <v>680561</v>
      </c>
      <c r="B14459" s="3" t="s">
        <v>72904</v>
      </c>
      <c r="C14459" s="3" t="s">
        <v>54</v>
      </c>
      <c r="D14459" s="3" t="s">
        <v>60</v>
      </c>
      <c r="E14459" s="4" t="s">
        <v>22</v>
      </c>
      <c r="F14459" s="4" t="s">
        <v>72900</v>
      </c>
      <c r="G14459" s="4" t="s">
        <v>72905</v>
      </c>
      <c r="H14459" s="3" t="s">
        <v>70238</v>
      </c>
      <c r="I14459" s="3" t="s">
        <v>21500</v>
      </c>
      <c r="J14459" s="3" t="s">
        <v>72906</v>
      </c>
      <c r="K14459" s="3" t="s">
        <v>72907</v>
      </c>
      <c r="L14459" s="3"/>
      <c r="M14459" s="4"/>
      <c r="N14459" s="3" t="s">
        <v>37</v>
      </c>
      <c r="O14459" s="3" t="s">
        <v>52</v>
      </c>
      <c r="P14459" s="5">
        <v>2</v>
      </c>
      <c r="Q14459" s="5">
        <v>17</v>
      </c>
      <c r="R14459" s="5">
        <v>1</v>
      </c>
      <c r="S14459" s="5">
        <v>16</v>
      </c>
    </row>
    <row r="14460" spans="1:19" ht="42" x14ac:dyDescent="0.15">
      <c r="A14460" s="2">
        <f>HYPERLINK("https://open-school.uspishnemisto.com.ua/school/680562/", 680562)</f>
        <v>680562</v>
      </c>
      <c r="B14460" s="3" t="s">
        <v>72908</v>
      </c>
      <c r="C14460" s="3" t="s">
        <v>31</v>
      </c>
      <c r="D14460" s="3" t="s">
        <v>32</v>
      </c>
      <c r="E14460" s="4" t="s">
        <v>22</v>
      </c>
      <c r="F14460" s="4" t="s">
        <v>72900</v>
      </c>
      <c r="G14460" s="4" t="s">
        <v>72909</v>
      </c>
      <c r="H14460" s="3" t="s">
        <v>70238</v>
      </c>
      <c r="I14460" s="3" t="s">
        <v>19676</v>
      </c>
      <c r="J14460" s="3" t="s">
        <v>634</v>
      </c>
      <c r="K14460" s="3" t="s">
        <v>72910</v>
      </c>
      <c r="L14460" s="3"/>
      <c r="M14460" s="4"/>
      <c r="N14460" s="3" t="s">
        <v>37</v>
      </c>
      <c r="O14460" s="3" t="s">
        <v>46</v>
      </c>
      <c r="P14460" s="5">
        <v>11</v>
      </c>
      <c r="Q14460" s="5">
        <v>123</v>
      </c>
      <c r="R14460" s="5">
        <v>11</v>
      </c>
      <c r="S14460" s="5">
        <v>129</v>
      </c>
    </row>
    <row r="14461" spans="1:19" ht="56" x14ac:dyDescent="0.15">
      <c r="A14461" s="2">
        <f>HYPERLINK("https://open-school.uspishnemisto.com.ua/school/680563/", 680563)</f>
        <v>680563</v>
      </c>
      <c r="B14461" s="3" t="s">
        <v>72911</v>
      </c>
      <c r="C14461" s="3" t="s">
        <v>54</v>
      </c>
      <c r="D14461" s="3" t="s">
        <v>32</v>
      </c>
      <c r="E14461" s="4" t="s">
        <v>22</v>
      </c>
      <c r="F14461" s="4" t="s">
        <v>72912</v>
      </c>
      <c r="G14461" s="4" t="s">
        <v>72913</v>
      </c>
      <c r="H14461" s="3" t="s">
        <v>70238</v>
      </c>
      <c r="I14461" s="3" t="s">
        <v>72914</v>
      </c>
      <c r="J14461" s="3" t="s">
        <v>6598</v>
      </c>
      <c r="K14461" s="3" t="s">
        <v>72915</v>
      </c>
      <c r="L14461" s="3" t="s">
        <v>72916</v>
      </c>
      <c r="M14461" s="4"/>
      <c r="N14461" s="3" t="s">
        <v>37</v>
      </c>
      <c r="O14461" s="3" t="s">
        <v>46</v>
      </c>
      <c r="P14461" s="5">
        <v>10</v>
      </c>
      <c r="Q14461" s="5">
        <v>112</v>
      </c>
      <c r="R14461" s="5">
        <v>10</v>
      </c>
      <c r="S14461" s="5">
        <v>102</v>
      </c>
    </row>
    <row r="14462" spans="1:19" ht="42" x14ac:dyDescent="0.15">
      <c r="A14462" s="2">
        <f>HYPERLINK("https://open-school.uspishnemisto.com.ua/school/680564/", 680564)</f>
        <v>680564</v>
      </c>
      <c r="B14462" s="3" t="s">
        <v>72917</v>
      </c>
      <c r="C14462" s="3" t="s">
        <v>31</v>
      </c>
      <c r="D14462" s="3" t="s">
        <v>60</v>
      </c>
      <c r="E14462" s="4" t="s">
        <v>22</v>
      </c>
      <c r="F14462" s="4" t="s">
        <v>72912</v>
      </c>
      <c r="G14462" s="4" t="s">
        <v>72918</v>
      </c>
      <c r="H14462" s="3" t="s">
        <v>70238</v>
      </c>
      <c r="I14462" s="3" t="s">
        <v>72919</v>
      </c>
      <c r="J14462" s="3" t="s">
        <v>72920</v>
      </c>
      <c r="K14462" s="3"/>
      <c r="L14462" s="3" t="s">
        <v>72921</v>
      </c>
      <c r="M14462" s="4"/>
      <c r="N14462" s="3" t="s">
        <v>37</v>
      </c>
      <c r="O14462" s="3" t="s">
        <v>52</v>
      </c>
      <c r="P14462" s="5">
        <v>2</v>
      </c>
      <c r="Q14462" s="5">
        <v>14</v>
      </c>
      <c r="R14462" s="5">
        <v>1</v>
      </c>
      <c r="S14462" s="5">
        <v>12</v>
      </c>
    </row>
    <row r="14463" spans="1:19" ht="56" x14ac:dyDescent="0.15">
      <c r="A14463" s="2">
        <f>HYPERLINK("https://open-school.uspishnemisto.com.ua/school/680565/", 680565)</f>
        <v>680565</v>
      </c>
      <c r="B14463" s="3" t="s">
        <v>72922</v>
      </c>
      <c r="C14463" s="3" t="s">
        <v>54</v>
      </c>
      <c r="D14463" s="3" t="s">
        <v>175</v>
      </c>
      <c r="E14463" s="4" t="s">
        <v>22</v>
      </c>
      <c r="F14463" s="4" t="s">
        <v>72923</v>
      </c>
      <c r="G14463" s="4" t="s">
        <v>72924</v>
      </c>
      <c r="H14463" s="3" t="s">
        <v>70238</v>
      </c>
      <c r="I14463" s="3" t="s">
        <v>553</v>
      </c>
      <c r="J14463" s="3" t="s">
        <v>72925</v>
      </c>
      <c r="K14463" s="3"/>
      <c r="L14463" s="3" t="s">
        <v>72926</v>
      </c>
      <c r="M14463" s="4"/>
      <c r="N14463" s="3" t="s">
        <v>37</v>
      </c>
      <c r="O14463" s="3" t="s">
        <v>46</v>
      </c>
      <c r="P14463" s="5">
        <v>7</v>
      </c>
      <c r="Q14463" s="5">
        <v>49</v>
      </c>
      <c r="R14463" s="5">
        <v>8</v>
      </c>
      <c r="S14463" s="5">
        <v>49</v>
      </c>
    </row>
    <row r="14464" spans="1:19" ht="56" x14ac:dyDescent="0.15">
      <c r="A14464" s="2">
        <f>HYPERLINK("https://open-school.uspishnemisto.com.ua/school/680566/", 680566)</f>
        <v>680566</v>
      </c>
      <c r="B14464" s="3" t="s">
        <v>72927</v>
      </c>
      <c r="C14464" s="3" t="s">
        <v>54</v>
      </c>
      <c r="D14464" s="3" t="s">
        <v>32</v>
      </c>
      <c r="E14464" s="4" t="s">
        <v>22</v>
      </c>
      <c r="F14464" s="4" t="s">
        <v>72928</v>
      </c>
      <c r="G14464" s="4" t="s">
        <v>72929</v>
      </c>
      <c r="H14464" s="3" t="s">
        <v>70238</v>
      </c>
      <c r="I14464" s="3" t="s">
        <v>72930</v>
      </c>
      <c r="J14464" s="3" t="s">
        <v>8152</v>
      </c>
      <c r="K14464" s="3" t="s">
        <v>72931</v>
      </c>
      <c r="L14464" s="3" t="s">
        <v>72932</v>
      </c>
      <c r="M14464" s="4"/>
      <c r="N14464" s="3" t="s">
        <v>37</v>
      </c>
      <c r="O14464" s="3" t="s">
        <v>46</v>
      </c>
      <c r="P14464" s="5">
        <v>8</v>
      </c>
      <c r="Q14464" s="5">
        <v>55</v>
      </c>
      <c r="R14464" s="5">
        <v>7</v>
      </c>
      <c r="S14464" s="5">
        <v>57</v>
      </c>
    </row>
    <row r="14465" spans="1:19" ht="42" x14ac:dyDescent="0.15">
      <c r="A14465" s="2">
        <f>HYPERLINK("https://open-school.uspishnemisto.com.ua/school/680567/", 680567)</f>
        <v>680567</v>
      </c>
      <c r="B14465" s="3" t="s">
        <v>72933</v>
      </c>
      <c r="C14465" s="3" t="s">
        <v>31</v>
      </c>
      <c r="D14465" s="3" t="s">
        <v>60</v>
      </c>
      <c r="E14465" s="4" t="s">
        <v>22</v>
      </c>
      <c r="F14465" s="4" t="s">
        <v>72934</v>
      </c>
      <c r="G14465" s="4" t="s">
        <v>72935</v>
      </c>
      <c r="H14465" s="3" t="s">
        <v>70238</v>
      </c>
      <c r="I14465" s="3" t="s">
        <v>72936</v>
      </c>
      <c r="J14465" s="3" t="s">
        <v>72937</v>
      </c>
      <c r="K14465" s="3" t="s">
        <v>72938</v>
      </c>
      <c r="L14465" s="3" t="s">
        <v>72939</v>
      </c>
      <c r="M14465" s="4"/>
      <c r="N14465" s="3" t="s">
        <v>37</v>
      </c>
      <c r="O14465" s="3" t="s">
        <v>52</v>
      </c>
      <c r="P14465" s="5">
        <v>2</v>
      </c>
      <c r="Q14465" s="5">
        <v>13</v>
      </c>
      <c r="R14465" s="5">
        <v>2</v>
      </c>
      <c r="S14465" s="5">
        <v>17</v>
      </c>
    </row>
    <row r="14466" spans="1:19" ht="56" x14ac:dyDescent="0.15">
      <c r="A14466" s="2">
        <f>HYPERLINK("https://open-school.uspishnemisto.com.ua/school/680568/", 680568)</f>
        <v>680568</v>
      </c>
      <c r="B14466" s="3" t="s">
        <v>72940</v>
      </c>
      <c r="C14466" s="3" t="s">
        <v>54</v>
      </c>
      <c r="D14466" s="3" t="s">
        <v>175</v>
      </c>
      <c r="E14466" s="4" t="s">
        <v>22</v>
      </c>
      <c r="F14466" s="4" t="s">
        <v>72941</v>
      </c>
      <c r="G14466" s="4" t="s">
        <v>72942</v>
      </c>
      <c r="H14466" s="3" t="s">
        <v>70238</v>
      </c>
      <c r="I14466" s="3" t="s">
        <v>61826</v>
      </c>
      <c r="J14466" s="3" t="s">
        <v>72943</v>
      </c>
      <c r="K14466" s="3" t="s">
        <v>72944</v>
      </c>
      <c r="L14466" s="3" t="s">
        <v>72945</v>
      </c>
      <c r="M14466" s="4"/>
      <c r="N14466" s="3" t="s">
        <v>37</v>
      </c>
      <c r="O14466" s="3" t="s">
        <v>46</v>
      </c>
      <c r="P14466" s="5">
        <v>5</v>
      </c>
      <c r="Q14466" s="5">
        <v>37</v>
      </c>
      <c r="R14466" s="5">
        <v>6</v>
      </c>
      <c r="S14466" s="5">
        <v>43</v>
      </c>
    </row>
    <row r="14467" spans="1:19" ht="42" x14ac:dyDescent="0.15">
      <c r="A14467" s="2">
        <f>HYPERLINK("https://open-school.uspishnemisto.com.ua/school/680569/", 680569)</f>
        <v>680569</v>
      </c>
      <c r="B14467" s="3" t="s">
        <v>72946</v>
      </c>
      <c r="C14467" s="3" t="s">
        <v>31</v>
      </c>
      <c r="D14467" s="3" t="s">
        <v>32</v>
      </c>
      <c r="E14467" s="4" t="s">
        <v>22</v>
      </c>
      <c r="F14467" s="4" t="s">
        <v>72947</v>
      </c>
      <c r="G14467" s="4" t="s">
        <v>72948</v>
      </c>
      <c r="H14467" s="3" t="s">
        <v>70238</v>
      </c>
      <c r="I14467" s="3" t="s">
        <v>72949</v>
      </c>
      <c r="J14467" s="3" t="s">
        <v>72950</v>
      </c>
      <c r="K14467" s="3" t="s">
        <v>72951</v>
      </c>
      <c r="L14467" s="3" t="s">
        <v>72952</v>
      </c>
      <c r="M14467" s="4"/>
      <c r="N14467" s="3" t="s">
        <v>37</v>
      </c>
      <c r="O14467" s="3" t="s">
        <v>2740</v>
      </c>
      <c r="P14467" s="5">
        <v>11</v>
      </c>
      <c r="Q14467" s="5">
        <v>188</v>
      </c>
      <c r="R14467" s="5">
        <v>11</v>
      </c>
      <c r="S14467" s="5">
        <v>176</v>
      </c>
    </row>
    <row r="14468" spans="1:19" ht="42" x14ac:dyDescent="0.15">
      <c r="A14468" s="2">
        <f>HYPERLINK("https://open-school.uspishnemisto.com.ua/school/680570/", 680570)</f>
        <v>680570</v>
      </c>
      <c r="B14468" s="3" t="s">
        <v>72953</v>
      </c>
      <c r="C14468" s="3" t="s">
        <v>31</v>
      </c>
      <c r="D14468" s="3" t="s">
        <v>32</v>
      </c>
      <c r="E14468" s="4" t="s">
        <v>22</v>
      </c>
      <c r="F14468" s="4" t="s">
        <v>72954</v>
      </c>
      <c r="G14468" s="4" t="s">
        <v>72955</v>
      </c>
      <c r="H14468" s="3" t="s">
        <v>70238</v>
      </c>
      <c r="I14468" s="3" t="s">
        <v>71756</v>
      </c>
      <c r="J14468" s="3" t="s">
        <v>4448</v>
      </c>
      <c r="K14468" s="3" t="s">
        <v>72956</v>
      </c>
      <c r="L14468" s="3"/>
      <c r="M14468" s="4"/>
      <c r="N14468" s="3" t="s">
        <v>37</v>
      </c>
      <c r="O14468" s="3" t="s">
        <v>70</v>
      </c>
      <c r="P14468" s="5">
        <v>13</v>
      </c>
      <c r="Q14468" s="5">
        <v>217</v>
      </c>
      <c r="R14468" s="5">
        <v>12</v>
      </c>
      <c r="S14468" s="5">
        <v>201</v>
      </c>
    </row>
    <row r="14469" spans="1:19" ht="42" x14ac:dyDescent="0.15">
      <c r="A14469" s="2">
        <f>HYPERLINK("https://open-school.uspishnemisto.com.ua/school/680571/", 680571)</f>
        <v>680571</v>
      </c>
      <c r="B14469" s="3" t="s">
        <v>72957</v>
      </c>
      <c r="C14469" s="3" t="s">
        <v>31</v>
      </c>
      <c r="D14469" s="3" t="s">
        <v>175</v>
      </c>
      <c r="E14469" s="4" t="s">
        <v>22</v>
      </c>
      <c r="F14469" s="4" t="s">
        <v>72958</v>
      </c>
      <c r="G14469" s="4" t="s">
        <v>72959</v>
      </c>
      <c r="H14469" s="3" t="s">
        <v>70238</v>
      </c>
      <c r="I14469" s="3" t="s">
        <v>66669</v>
      </c>
      <c r="J14469" s="3" t="s">
        <v>2820</v>
      </c>
      <c r="K14469" s="3"/>
      <c r="L14469" s="3"/>
      <c r="M14469" s="4"/>
      <c r="N14469" s="3" t="s">
        <v>37</v>
      </c>
      <c r="O14469" s="3" t="s">
        <v>46</v>
      </c>
      <c r="P14469" s="5">
        <v>9</v>
      </c>
      <c r="Q14469" s="5">
        <v>80</v>
      </c>
      <c r="R14469" s="5">
        <v>9</v>
      </c>
      <c r="S14469" s="5">
        <v>80</v>
      </c>
    </row>
    <row r="14470" spans="1:19" ht="56" x14ac:dyDescent="0.15">
      <c r="A14470" s="2">
        <f>HYPERLINK("https://open-school.uspishnemisto.com.ua/school/680572/", 680572)</f>
        <v>680572</v>
      </c>
      <c r="B14470" s="3" t="s">
        <v>72960</v>
      </c>
      <c r="C14470" s="3" t="s">
        <v>54</v>
      </c>
      <c r="D14470" s="3" t="s">
        <v>175</v>
      </c>
      <c r="E14470" s="4" t="s">
        <v>22</v>
      </c>
      <c r="F14470" s="4" t="s">
        <v>72961</v>
      </c>
      <c r="G14470" s="4" t="s">
        <v>72962</v>
      </c>
      <c r="H14470" s="3" t="s">
        <v>70238</v>
      </c>
      <c r="I14470" s="3" t="s">
        <v>72963</v>
      </c>
      <c r="J14470" s="3" t="s">
        <v>72964</v>
      </c>
      <c r="K14470" s="3" t="s">
        <v>72965</v>
      </c>
      <c r="L14470" s="3" t="s">
        <v>72966</v>
      </c>
      <c r="M14470" s="4"/>
      <c r="N14470" s="3" t="s">
        <v>37</v>
      </c>
      <c r="O14470" s="3" t="s">
        <v>70</v>
      </c>
      <c r="P14470" s="5">
        <v>8</v>
      </c>
      <c r="Q14470" s="5">
        <v>55</v>
      </c>
      <c r="R14470" s="5">
        <v>8</v>
      </c>
      <c r="S14470" s="5">
        <v>58</v>
      </c>
    </row>
    <row r="14471" spans="1:19" ht="56" x14ac:dyDescent="0.15">
      <c r="A14471" s="2">
        <f>HYPERLINK("https://open-school.uspishnemisto.com.ua/school/680573/", 680573)</f>
        <v>680573</v>
      </c>
      <c r="B14471" s="3" t="s">
        <v>72967</v>
      </c>
      <c r="C14471" s="3" t="s">
        <v>40</v>
      </c>
      <c r="D14471" s="3" t="s">
        <v>32</v>
      </c>
      <c r="E14471" s="4" t="s">
        <v>22</v>
      </c>
      <c r="F14471" s="4" t="s">
        <v>72958</v>
      </c>
      <c r="G14471" s="4" t="s">
        <v>72968</v>
      </c>
      <c r="H14471" s="3" t="s">
        <v>70238</v>
      </c>
      <c r="I14471" s="3" t="s">
        <v>72969</v>
      </c>
      <c r="J14471" s="3" t="s">
        <v>72970</v>
      </c>
      <c r="K14471" s="3" t="s">
        <v>72971</v>
      </c>
      <c r="L14471" s="3" t="s">
        <v>72972</v>
      </c>
      <c r="M14471" s="4"/>
      <c r="N14471" s="3" t="s">
        <v>37</v>
      </c>
      <c r="O14471" s="3" t="s">
        <v>46</v>
      </c>
      <c r="P14471" s="5">
        <v>18</v>
      </c>
      <c r="Q14471" s="5">
        <v>297</v>
      </c>
      <c r="R14471" s="5">
        <v>18</v>
      </c>
      <c r="S14471" s="5">
        <v>312</v>
      </c>
    </row>
    <row r="14472" spans="1:19" ht="56" x14ac:dyDescent="0.15">
      <c r="A14472" s="2">
        <f>HYPERLINK("https://open-school.uspishnemisto.com.ua/school/680574/", 680574)</f>
        <v>680574</v>
      </c>
      <c r="B14472" s="3" t="s">
        <v>72973</v>
      </c>
      <c r="C14472" s="3" t="s">
        <v>54</v>
      </c>
      <c r="D14472" s="3" t="s">
        <v>32</v>
      </c>
      <c r="E14472" s="4" t="s">
        <v>22</v>
      </c>
      <c r="F14472" s="4" t="s">
        <v>72974</v>
      </c>
      <c r="G14472" s="4" t="s">
        <v>72975</v>
      </c>
      <c r="H14472" s="3" t="s">
        <v>70238</v>
      </c>
      <c r="I14472" s="3" t="s">
        <v>72976</v>
      </c>
      <c r="J14472" s="3" t="s">
        <v>3393</v>
      </c>
      <c r="K14472" s="3" t="s">
        <v>72977</v>
      </c>
      <c r="L14472" s="3"/>
      <c r="M14472" s="4"/>
      <c r="N14472" s="3" t="s">
        <v>37</v>
      </c>
      <c r="O14472" s="3" t="s">
        <v>46</v>
      </c>
      <c r="P14472" s="5">
        <v>10</v>
      </c>
      <c r="Q14472" s="5">
        <v>75</v>
      </c>
      <c r="R14472" s="5">
        <v>9</v>
      </c>
      <c r="S14472" s="5">
        <v>77</v>
      </c>
    </row>
    <row r="14473" spans="1:19" ht="42" x14ac:dyDescent="0.15">
      <c r="A14473" s="2">
        <f>HYPERLINK("https://open-school.uspishnemisto.com.ua/school/680575/", 680575)</f>
        <v>680575</v>
      </c>
      <c r="B14473" s="3" t="s">
        <v>72978</v>
      </c>
      <c r="C14473" s="3" t="s">
        <v>54</v>
      </c>
      <c r="D14473" s="3" t="s">
        <v>32</v>
      </c>
      <c r="E14473" s="4" t="s">
        <v>22</v>
      </c>
      <c r="F14473" s="4" t="s">
        <v>72979</v>
      </c>
      <c r="G14473" s="4" t="s">
        <v>72980</v>
      </c>
      <c r="H14473" s="3" t="s">
        <v>70238</v>
      </c>
      <c r="I14473" s="3" t="s">
        <v>72981</v>
      </c>
      <c r="J14473" s="3" t="s">
        <v>72982</v>
      </c>
      <c r="K14473" s="3" t="s">
        <v>72983</v>
      </c>
      <c r="L14473" s="3"/>
      <c r="M14473" s="4"/>
      <c r="N14473" s="3" t="s">
        <v>37</v>
      </c>
      <c r="O14473" s="3" t="s">
        <v>46</v>
      </c>
      <c r="P14473" s="5">
        <v>8</v>
      </c>
      <c r="Q14473" s="5">
        <v>58</v>
      </c>
      <c r="R14473" s="5">
        <v>8</v>
      </c>
      <c r="S14473" s="5">
        <v>56</v>
      </c>
    </row>
    <row r="14474" spans="1:19" ht="42" x14ac:dyDescent="0.15">
      <c r="A14474" s="2">
        <f>HYPERLINK("https://open-school.uspishnemisto.com.ua/school/680576/", 680576)</f>
        <v>680576</v>
      </c>
      <c r="B14474" s="3" t="s">
        <v>72984</v>
      </c>
      <c r="C14474" s="3" t="s">
        <v>31</v>
      </c>
      <c r="D14474" s="3" t="s">
        <v>175</v>
      </c>
      <c r="E14474" s="4" t="s">
        <v>22</v>
      </c>
      <c r="F14474" s="4" t="s">
        <v>72985</v>
      </c>
      <c r="G14474" s="4" t="s">
        <v>72986</v>
      </c>
      <c r="H14474" s="3" t="s">
        <v>70238</v>
      </c>
      <c r="I14474" s="3" t="s">
        <v>49667</v>
      </c>
      <c r="J14474" s="3" t="s">
        <v>26366</v>
      </c>
      <c r="K14474" s="3" t="s">
        <v>72987</v>
      </c>
      <c r="L14474" s="3" t="s">
        <v>72988</v>
      </c>
      <c r="M14474" s="4"/>
      <c r="N14474" s="3" t="s">
        <v>37</v>
      </c>
      <c r="O14474" s="3" t="s">
        <v>46</v>
      </c>
      <c r="P14474" s="5">
        <v>4</v>
      </c>
      <c r="Q14474" s="5">
        <v>25</v>
      </c>
      <c r="R14474" s="5">
        <v>3</v>
      </c>
      <c r="S14474" s="5">
        <v>25</v>
      </c>
    </row>
    <row r="14475" spans="1:19" ht="42" x14ac:dyDescent="0.15">
      <c r="A14475" s="2">
        <f>HYPERLINK("https://open-school.uspishnemisto.com.ua/school/680577/", 680577)</f>
        <v>680577</v>
      </c>
      <c r="B14475" s="3" t="s">
        <v>72989</v>
      </c>
      <c r="C14475" s="3" t="s">
        <v>31</v>
      </c>
      <c r="D14475" s="3" t="s">
        <v>175</v>
      </c>
      <c r="E14475" s="4" t="s">
        <v>22</v>
      </c>
      <c r="F14475" s="4" t="s">
        <v>51096</v>
      </c>
      <c r="G14475" s="4" t="s">
        <v>72990</v>
      </c>
      <c r="H14475" s="3" t="s">
        <v>70238</v>
      </c>
      <c r="I14475" s="3" t="s">
        <v>72991</v>
      </c>
      <c r="J14475" s="3" t="s">
        <v>72992</v>
      </c>
      <c r="K14475" s="3" t="s">
        <v>72993</v>
      </c>
      <c r="L14475" s="3"/>
      <c r="M14475" s="4"/>
      <c r="N14475" s="3" t="s">
        <v>37</v>
      </c>
      <c r="O14475" s="3" t="s">
        <v>38</v>
      </c>
      <c r="P14475" s="5">
        <v>9</v>
      </c>
      <c r="Q14475" s="5">
        <v>91</v>
      </c>
      <c r="R14475" s="5">
        <v>9</v>
      </c>
      <c r="S14475" s="5">
        <v>88</v>
      </c>
    </row>
    <row r="14476" spans="1:19" ht="42" x14ac:dyDescent="0.15">
      <c r="A14476" s="2">
        <f>HYPERLINK("https://open-school.uspishnemisto.com.ua/school/680578/", 680578)</f>
        <v>680578</v>
      </c>
      <c r="B14476" s="3" t="s">
        <v>72994</v>
      </c>
      <c r="C14476" s="3" t="s">
        <v>31</v>
      </c>
      <c r="D14476" s="3" t="s">
        <v>175</v>
      </c>
      <c r="E14476" s="4" t="s">
        <v>22</v>
      </c>
      <c r="F14476" s="4" t="s">
        <v>51096</v>
      </c>
      <c r="G14476" s="4" t="s">
        <v>72990</v>
      </c>
      <c r="H14476" s="3" t="s">
        <v>70238</v>
      </c>
      <c r="I14476" s="3" t="s">
        <v>72991</v>
      </c>
      <c r="J14476" s="3" t="s">
        <v>72995</v>
      </c>
      <c r="K14476" s="3" t="s">
        <v>72996</v>
      </c>
      <c r="L14476" s="3"/>
      <c r="M14476" s="4"/>
      <c r="N14476" s="3" t="s">
        <v>37</v>
      </c>
      <c r="O14476" s="3" t="s">
        <v>46</v>
      </c>
      <c r="P14476" s="5">
        <v>9</v>
      </c>
      <c r="Q14476" s="5">
        <v>74</v>
      </c>
      <c r="R14476" s="5">
        <v>9</v>
      </c>
      <c r="S14476" s="5">
        <v>78</v>
      </c>
    </row>
    <row r="14477" spans="1:19" ht="56" x14ac:dyDescent="0.15">
      <c r="A14477" s="2">
        <f>HYPERLINK("https://open-school.uspishnemisto.com.ua/school/680579/", 680579)</f>
        <v>680579</v>
      </c>
      <c r="B14477" s="3" t="s">
        <v>72997</v>
      </c>
      <c r="C14477" s="3" t="s">
        <v>40</v>
      </c>
      <c r="D14477" s="3" t="s">
        <v>32</v>
      </c>
      <c r="E14477" s="4" t="s">
        <v>22</v>
      </c>
      <c r="F14477" s="4" t="s">
        <v>51096</v>
      </c>
      <c r="G14477" s="4" t="s">
        <v>72990</v>
      </c>
      <c r="H14477" s="3" t="s">
        <v>70238</v>
      </c>
      <c r="I14477" s="3" t="s">
        <v>72991</v>
      </c>
      <c r="J14477" s="3" t="s">
        <v>27253</v>
      </c>
      <c r="K14477" s="3" t="s">
        <v>72998</v>
      </c>
      <c r="L14477" s="3"/>
      <c r="M14477" s="4" t="s">
        <v>72999</v>
      </c>
      <c r="N14477" s="3" t="s">
        <v>37</v>
      </c>
      <c r="O14477" s="3" t="s">
        <v>46</v>
      </c>
      <c r="P14477" s="5">
        <v>29</v>
      </c>
      <c r="Q14477" s="5">
        <v>465</v>
      </c>
      <c r="R14477" s="5">
        <v>31</v>
      </c>
      <c r="S14477" s="5">
        <v>489</v>
      </c>
    </row>
    <row r="14478" spans="1:19" ht="42" x14ac:dyDescent="0.15">
      <c r="A14478" s="2">
        <f>HYPERLINK("https://open-school.uspishnemisto.com.ua/school/680580/", 680580)</f>
        <v>680580</v>
      </c>
      <c r="B14478" s="3" t="s">
        <v>73000</v>
      </c>
      <c r="C14478" s="3" t="s">
        <v>31</v>
      </c>
      <c r="D14478" s="3" t="s">
        <v>32</v>
      </c>
      <c r="E14478" s="4" t="s">
        <v>22</v>
      </c>
      <c r="F14478" s="4" t="s">
        <v>73001</v>
      </c>
      <c r="G14478" s="4" t="s">
        <v>73002</v>
      </c>
      <c r="H14478" s="3" t="s">
        <v>70238</v>
      </c>
      <c r="I14478" s="3" t="s">
        <v>73003</v>
      </c>
      <c r="J14478" s="3" t="s">
        <v>566</v>
      </c>
      <c r="K14478" s="3" t="s">
        <v>73004</v>
      </c>
      <c r="L14478" s="3"/>
      <c r="M14478" s="4"/>
      <c r="N14478" s="3" t="s">
        <v>37</v>
      </c>
      <c r="O14478" s="3" t="s">
        <v>46</v>
      </c>
      <c r="P14478" s="5">
        <v>11</v>
      </c>
      <c r="Q14478" s="5">
        <v>129</v>
      </c>
      <c r="R14478" s="5">
        <v>11</v>
      </c>
      <c r="S14478" s="5">
        <v>144</v>
      </c>
    </row>
    <row r="14479" spans="1:19" ht="42" x14ac:dyDescent="0.15">
      <c r="A14479" s="2">
        <f>HYPERLINK("https://open-school.uspishnemisto.com.ua/school/680581/", 680581)</f>
        <v>680581</v>
      </c>
      <c r="B14479" s="3" t="s">
        <v>73005</v>
      </c>
      <c r="C14479" s="3" t="s">
        <v>31</v>
      </c>
      <c r="D14479" s="3" t="s">
        <v>32</v>
      </c>
      <c r="E14479" s="4" t="s">
        <v>22</v>
      </c>
      <c r="F14479" s="4" t="s">
        <v>73006</v>
      </c>
      <c r="G14479" s="4" t="s">
        <v>73007</v>
      </c>
      <c r="H14479" s="3" t="s">
        <v>70238</v>
      </c>
      <c r="I14479" s="3" t="s">
        <v>73008</v>
      </c>
      <c r="J14479" s="3" t="s">
        <v>73009</v>
      </c>
      <c r="K14479" s="3" t="s">
        <v>73010</v>
      </c>
      <c r="L14479" s="3"/>
      <c r="M14479" s="4"/>
      <c r="N14479" s="3" t="s">
        <v>37</v>
      </c>
      <c r="O14479" s="3" t="s">
        <v>52</v>
      </c>
      <c r="P14479" s="5">
        <v>4</v>
      </c>
      <c r="Q14479" s="5">
        <v>37</v>
      </c>
      <c r="R14479" s="5">
        <v>10</v>
      </c>
      <c r="S14479" s="5">
        <v>44</v>
      </c>
    </row>
    <row r="14480" spans="1:19" ht="42" x14ac:dyDescent="0.15">
      <c r="A14480" s="2">
        <f>HYPERLINK("https://open-school.uspishnemisto.com.ua/school/680582/", 680582)</f>
        <v>680582</v>
      </c>
      <c r="B14480" s="3" t="s">
        <v>73011</v>
      </c>
      <c r="C14480" s="3" t="s">
        <v>31</v>
      </c>
      <c r="D14480" s="3" t="s">
        <v>175</v>
      </c>
      <c r="E14480" s="4" t="s">
        <v>22</v>
      </c>
      <c r="F14480" s="4" t="s">
        <v>73012</v>
      </c>
      <c r="G14480" s="4" t="s">
        <v>73013</v>
      </c>
      <c r="H14480" s="3" t="s">
        <v>70238</v>
      </c>
      <c r="I14480" s="3" t="s">
        <v>5865</v>
      </c>
      <c r="J14480" s="3" t="s">
        <v>6394</v>
      </c>
      <c r="K14480" s="3" t="s">
        <v>73014</v>
      </c>
      <c r="L14480" s="3"/>
      <c r="M14480" s="4"/>
      <c r="N14480" s="3" t="s">
        <v>37</v>
      </c>
      <c r="O14480" s="3" t="s">
        <v>52</v>
      </c>
      <c r="P14480" s="5">
        <v>6</v>
      </c>
      <c r="Q14480" s="5">
        <v>43</v>
      </c>
      <c r="R14480" s="5">
        <v>6</v>
      </c>
      <c r="S14480" s="5">
        <v>47</v>
      </c>
    </row>
    <row r="14481" spans="1:19" ht="42" x14ac:dyDescent="0.15">
      <c r="A14481" s="2">
        <f>HYPERLINK("https://open-school.uspishnemisto.com.ua/school/680583/", 680583)</f>
        <v>680583</v>
      </c>
      <c r="B14481" s="3" t="s">
        <v>73015</v>
      </c>
      <c r="C14481" s="3" t="s">
        <v>31</v>
      </c>
      <c r="D14481" s="3" t="s">
        <v>175</v>
      </c>
      <c r="E14481" s="4" t="s">
        <v>22</v>
      </c>
      <c r="F14481" s="4" t="s">
        <v>51096</v>
      </c>
      <c r="G14481" s="4" t="s">
        <v>73016</v>
      </c>
      <c r="H14481" s="3" t="s">
        <v>70238</v>
      </c>
      <c r="I14481" s="3" t="s">
        <v>73017</v>
      </c>
      <c r="J14481" s="3" t="s">
        <v>73018</v>
      </c>
      <c r="K14481" s="3" t="s">
        <v>73019</v>
      </c>
      <c r="L14481" s="3"/>
      <c r="M14481" s="4"/>
      <c r="N14481" s="3" t="s">
        <v>37</v>
      </c>
      <c r="O14481" s="3" t="s">
        <v>46</v>
      </c>
      <c r="P14481" s="5">
        <v>0</v>
      </c>
      <c r="Q14481" s="5">
        <v>0</v>
      </c>
      <c r="R14481" s="5">
        <v>9</v>
      </c>
      <c r="S14481" s="5">
        <v>69</v>
      </c>
    </row>
    <row r="14482" spans="1:19" ht="56" x14ac:dyDescent="0.15">
      <c r="A14482" s="2">
        <f>HYPERLINK("https://open-school.uspishnemisto.com.ua/school/680584/", 680584)</f>
        <v>680584</v>
      </c>
      <c r="B14482" s="3" t="s">
        <v>73020</v>
      </c>
      <c r="C14482" s="3" t="s">
        <v>54</v>
      </c>
      <c r="D14482" s="3" t="s">
        <v>60</v>
      </c>
      <c r="E14482" s="4" t="s">
        <v>22</v>
      </c>
      <c r="F14482" s="4" t="s">
        <v>73021</v>
      </c>
      <c r="G14482" s="4" t="s">
        <v>73022</v>
      </c>
      <c r="H14482" s="3" t="s">
        <v>70238</v>
      </c>
      <c r="I14482" s="3" t="s">
        <v>73023</v>
      </c>
      <c r="J14482" s="3" t="s">
        <v>554</v>
      </c>
      <c r="K14482" s="3"/>
      <c r="L14482" s="3"/>
      <c r="M14482" s="4"/>
      <c r="N14482" s="3" t="s">
        <v>37</v>
      </c>
      <c r="O14482" s="3" t="s">
        <v>618</v>
      </c>
      <c r="P14482" s="5">
        <v>0</v>
      </c>
      <c r="Q14482" s="5">
        <v>0</v>
      </c>
      <c r="R14482" s="5">
        <v>0</v>
      </c>
      <c r="S14482" s="5">
        <v>5</v>
      </c>
    </row>
    <row r="14483" spans="1:19" ht="42" x14ac:dyDescent="0.15">
      <c r="A14483" s="2">
        <f>HYPERLINK("https://open-school.uspishnemisto.com.ua/school/680585/", 680585)</f>
        <v>680585</v>
      </c>
      <c r="B14483" s="3" t="s">
        <v>73024</v>
      </c>
      <c r="C14483" s="3" t="s">
        <v>31</v>
      </c>
      <c r="D14483" s="3" t="s">
        <v>32</v>
      </c>
      <c r="E14483" s="4" t="s">
        <v>22</v>
      </c>
      <c r="F14483" s="4" t="s">
        <v>73025</v>
      </c>
      <c r="G14483" s="4" t="s">
        <v>73026</v>
      </c>
      <c r="H14483" s="3" t="s">
        <v>70238</v>
      </c>
      <c r="I14483" s="3" t="s">
        <v>73027</v>
      </c>
      <c r="J14483" s="3" t="s">
        <v>55665</v>
      </c>
      <c r="K14483" s="3" t="s">
        <v>73028</v>
      </c>
      <c r="L14483" s="3"/>
      <c r="M14483" s="4"/>
      <c r="N14483" s="3" t="s">
        <v>37</v>
      </c>
      <c r="O14483" s="3" t="s">
        <v>618</v>
      </c>
      <c r="P14483" s="5">
        <v>4</v>
      </c>
      <c r="Q14483" s="5">
        <v>53</v>
      </c>
      <c r="R14483" s="5">
        <v>6</v>
      </c>
      <c r="S14483" s="5">
        <v>63</v>
      </c>
    </row>
    <row r="14484" spans="1:19" ht="56" x14ac:dyDescent="0.15">
      <c r="A14484" s="2">
        <f>HYPERLINK("https://open-school.uspishnemisto.com.ua/school/680586/", 680586)</f>
        <v>680586</v>
      </c>
      <c r="B14484" s="3" t="s">
        <v>73029</v>
      </c>
      <c r="C14484" s="3" t="s">
        <v>54</v>
      </c>
      <c r="D14484" s="3" t="s">
        <v>175</v>
      </c>
      <c r="E14484" s="4" t="s">
        <v>22</v>
      </c>
      <c r="F14484" s="4" t="s">
        <v>73030</v>
      </c>
      <c r="G14484" s="4" t="s">
        <v>73031</v>
      </c>
      <c r="H14484" s="3" t="s">
        <v>70238</v>
      </c>
      <c r="I14484" s="3" t="s">
        <v>70686</v>
      </c>
      <c r="J14484" s="3" t="s">
        <v>946</v>
      </c>
      <c r="K14484" s="3"/>
      <c r="L14484" s="3"/>
      <c r="M14484" s="4"/>
      <c r="N14484" s="3" t="s">
        <v>37</v>
      </c>
      <c r="O14484" s="3" t="s">
        <v>46</v>
      </c>
      <c r="P14484" s="5">
        <v>2</v>
      </c>
      <c r="Q14484" s="5">
        <v>32</v>
      </c>
      <c r="R14484" s="5">
        <v>3</v>
      </c>
      <c r="S14484" s="5">
        <v>37</v>
      </c>
    </row>
    <row r="14485" spans="1:19" ht="56" x14ac:dyDescent="0.15">
      <c r="A14485" s="2">
        <f>HYPERLINK("https://open-school.uspishnemisto.com.ua/school/680587/", 680587)</f>
        <v>680587</v>
      </c>
      <c r="B14485" s="3" t="s">
        <v>73032</v>
      </c>
      <c r="C14485" s="3" t="s">
        <v>54</v>
      </c>
      <c r="D14485" s="3" t="s">
        <v>32</v>
      </c>
      <c r="E14485" s="4" t="s">
        <v>22</v>
      </c>
      <c r="F14485" s="4" t="s">
        <v>73033</v>
      </c>
      <c r="G14485" s="4" t="s">
        <v>73034</v>
      </c>
      <c r="H14485" s="3" t="s">
        <v>70238</v>
      </c>
      <c r="I14485" s="3" t="s">
        <v>62015</v>
      </c>
      <c r="J14485" s="3" t="s">
        <v>3415</v>
      </c>
      <c r="K14485" s="3" t="s">
        <v>73035</v>
      </c>
      <c r="L14485" s="3" t="s">
        <v>73036</v>
      </c>
      <c r="M14485" s="4"/>
      <c r="N14485" s="3" t="s">
        <v>37</v>
      </c>
      <c r="O14485" s="3" t="s">
        <v>46</v>
      </c>
      <c r="P14485" s="5">
        <v>7</v>
      </c>
      <c r="Q14485" s="5">
        <v>59</v>
      </c>
      <c r="R14485" s="5">
        <v>6</v>
      </c>
      <c r="S14485" s="5">
        <v>56</v>
      </c>
    </row>
    <row r="14486" spans="1:19" ht="42" x14ac:dyDescent="0.15">
      <c r="A14486" s="2">
        <f>HYPERLINK("https://open-school.uspishnemisto.com.ua/school/680588/", 680588)</f>
        <v>680588</v>
      </c>
      <c r="B14486" s="3" t="s">
        <v>73037</v>
      </c>
      <c r="C14486" s="3" t="s">
        <v>31</v>
      </c>
      <c r="D14486" s="3" t="s">
        <v>32</v>
      </c>
      <c r="E14486" s="4" t="s">
        <v>22</v>
      </c>
      <c r="F14486" s="4" t="s">
        <v>73038</v>
      </c>
      <c r="G14486" s="4" t="s">
        <v>73039</v>
      </c>
      <c r="H14486" s="3" t="s">
        <v>70238</v>
      </c>
      <c r="I14486" s="3" t="s">
        <v>73040</v>
      </c>
      <c r="J14486" s="3" t="s">
        <v>18848</v>
      </c>
      <c r="K14486" s="3" t="s">
        <v>73041</v>
      </c>
      <c r="L14486" s="3" t="s">
        <v>73042</v>
      </c>
      <c r="M14486" s="4"/>
      <c r="N14486" s="3" t="s">
        <v>37</v>
      </c>
      <c r="O14486" s="3" t="s">
        <v>46</v>
      </c>
      <c r="P14486" s="5">
        <v>11</v>
      </c>
      <c r="Q14486" s="5">
        <v>85</v>
      </c>
      <c r="R14486" s="5">
        <v>10</v>
      </c>
      <c r="S14486" s="5">
        <v>76</v>
      </c>
    </row>
    <row r="14487" spans="1:19" ht="56" x14ac:dyDescent="0.15">
      <c r="A14487" s="2">
        <f>HYPERLINK("https://open-school.uspishnemisto.com.ua/school/680589/", 680589)</f>
        <v>680589</v>
      </c>
      <c r="B14487" s="3" t="s">
        <v>73043</v>
      </c>
      <c r="C14487" s="3" t="s">
        <v>54</v>
      </c>
      <c r="D14487" s="3" t="s">
        <v>60</v>
      </c>
      <c r="E14487" s="4" t="s">
        <v>22</v>
      </c>
      <c r="F14487" s="4" t="s">
        <v>73044</v>
      </c>
      <c r="G14487" s="4" t="s">
        <v>73045</v>
      </c>
      <c r="H14487" s="3" t="s">
        <v>70238</v>
      </c>
      <c r="I14487" s="3" t="s">
        <v>73046</v>
      </c>
      <c r="J14487" s="3" t="s">
        <v>67866</v>
      </c>
      <c r="K14487" s="3" t="s">
        <v>73047</v>
      </c>
      <c r="L14487" s="3"/>
      <c r="M14487" s="4"/>
      <c r="N14487" s="3" t="s">
        <v>37</v>
      </c>
      <c r="O14487" s="3" t="s">
        <v>618</v>
      </c>
      <c r="P14487" s="5">
        <v>1</v>
      </c>
      <c r="Q14487" s="5">
        <v>9</v>
      </c>
      <c r="R14487" s="5">
        <v>1</v>
      </c>
      <c r="S14487" s="5">
        <v>10</v>
      </c>
    </row>
    <row r="14488" spans="1:19" ht="42" x14ac:dyDescent="0.15">
      <c r="A14488" s="2">
        <f>HYPERLINK("https://open-school.uspishnemisto.com.ua/school/680590/", 680590)</f>
        <v>680590</v>
      </c>
      <c r="B14488" s="3" t="s">
        <v>73048</v>
      </c>
      <c r="C14488" s="3" t="s">
        <v>31</v>
      </c>
      <c r="D14488" s="3" t="s">
        <v>175</v>
      </c>
      <c r="E14488" s="4" t="s">
        <v>22</v>
      </c>
      <c r="F14488" s="4" t="s">
        <v>73049</v>
      </c>
      <c r="G14488" s="4" t="s">
        <v>73050</v>
      </c>
      <c r="H14488" s="3" t="s">
        <v>70238</v>
      </c>
      <c r="I14488" s="3" t="s">
        <v>73051</v>
      </c>
      <c r="J14488" s="3" t="s">
        <v>73052</v>
      </c>
      <c r="K14488" s="3" t="s">
        <v>73053</v>
      </c>
      <c r="L14488" s="3"/>
      <c r="M14488" s="4"/>
      <c r="N14488" s="3" t="s">
        <v>37</v>
      </c>
      <c r="O14488" s="3" t="s">
        <v>46</v>
      </c>
      <c r="P14488" s="5">
        <v>7</v>
      </c>
      <c r="Q14488" s="5">
        <v>60</v>
      </c>
      <c r="R14488" s="5">
        <v>6</v>
      </c>
      <c r="S14488" s="5">
        <v>54</v>
      </c>
    </row>
    <row r="14489" spans="1:19" ht="56" x14ac:dyDescent="0.15">
      <c r="A14489" s="2">
        <f>HYPERLINK("https://open-school.uspishnemisto.com.ua/school/680591/", 680591)</f>
        <v>680591</v>
      </c>
      <c r="B14489" s="3" t="s">
        <v>73054</v>
      </c>
      <c r="C14489" s="3" t="s">
        <v>188</v>
      </c>
      <c r="D14489" s="3" t="s">
        <v>32</v>
      </c>
      <c r="E14489" s="4" t="s">
        <v>22</v>
      </c>
      <c r="F14489" s="4" t="s">
        <v>73055</v>
      </c>
      <c r="G14489" s="4" t="s">
        <v>73056</v>
      </c>
      <c r="H14489" s="3" t="s">
        <v>70238</v>
      </c>
      <c r="I14489" s="3" t="s">
        <v>29278</v>
      </c>
      <c r="J14489" s="3" t="s">
        <v>73057</v>
      </c>
      <c r="K14489" s="3" t="s">
        <v>73058</v>
      </c>
      <c r="L14489" s="3" t="s">
        <v>73059</v>
      </c>
      <c r="M14489" s="4"/>
      <c r="N14489" s="3" t="s">
        <v>37</v>
      </c>
      <c r="O14489" s="3" t="s">
        <v>52</v>
      </c>
      <c r="P14489" s="5">
        <v>11</v>
      </c>
      <c r="Q14489" s="5">
        <v>187</v>
      </c>
      <c r="R14489" s="5">
        <v>12</v>
      </c>
      <c r="S14489" s="5">
        <v>204</v>
      </c>
    </row>
    <row r="14490" spans="1:19" ht="56" x14ac:dyDescent="0.15">
      <c r="A14490" s="2">
        <f>HYPERLINK("https://open-school.uspishnemisto.com.ua/school/680592/", 680592)</f>
        <v>680592</v>
      </c>
      <c r="B14490" s="3" t="s">
        <v>73060</v>
      </c>
      <c r="C14490" s="3" t="s">
        <v>54</v>
      </c>
      <c r="D14490" s="3" t="s">
        <v>175</v>
      </c>
      <c r="E14490" s="4" t="s">
        <v>22</v>
      </c>
      <c r="F14490" s="4" t="s">
        <v>73061</v>
      </c>
      <c r="G14490" s="4" t="s">
        <v>73062</v>
      </c>
      <c r="H14490" s="3" t="s">
        <v>70238</v>
      </c>
      <c r="I14490" s="3" t="s">
        <v>73063</v>
      </c>
      <c r="J14490" s="3" t="s">
        <v>297</v>
      </c>
      <c r="K14490" s="3" t="s">
        <v>73064</v>
      </c>
      <c r="L14490" s="3"/>
      <c r="M14490" s="4"/>
      <c r="N14490" s="3" t="s">
        <v>37</v>
      </c>
      <c r="O14490" s="3" t="s">
        <v>46</v>
      </c>
      <c r="P14490" s="5">
        <v>4</v>
      </c>
      <c r="Q14490" s="5">
        <v>28</v>
      </c>
      <c r="R14490" s="5">
        <v>5</v>
      </c>
      <c r="S14490" s="5">
        <v>35</v>
      </c>
    </row>
    <row r="14491" spans="1:19" ht="56" x14ac:dyDescent="0.15">
      <c r="A14491" s="2">
        <f>HYPERLINK("https://open-school.uspishnemisto.com.ua/school/680593/", 680593)</f>
        <v>680593</v>
      </c>
      <c r="B14491" s="3" t="s">
        <v>73065</v>
      </c>
      <c r="C14491" s="3" t="s">
        <v>31</v>
      </c>
      <c r="D14491" s="3" t="s">
        <v>32</v>
      </c>
      <c r="E14491" s="4" t="s">
        <v>22</v>
      </c>
      <c r="F14491" s="4" t="s">
        <v>73066</v>
      </c>
      <c r="G14491" s="4" t="s">
        <v>73067</v>
      </c>
      <c r="H14491" s="3" t="s">
        <v>70238</v>
      </c>
      <c r="I14491" s="3" t="s">
        <v>11964</v>
      </c>
      <c r="J14491" s="3" t="s">
        <v>17419</v>
      </c>
      <c r="K14491" s="3" t="s">
        <v>73068</v>
      </c>
      <c r="L14491" s="3" t="s">
        <v>73069</v>
      </c>
      <c r="M14491" s="4"/>
      <c r="N14491" s="3" t="s">
        <v>37</v>
      </c>
      <c r="O14491" s="3" t="s">
        <v>46</v>
      </c>
      <c r="P14491" s="5">
        <v>10</v>
      </c>
      <c r="Q14491" s="5">
        <v>75</v>
      </c>
      <c r="R14491" s="5">
        <v>10</v>
      </c>
      <c r="S14491" s="5">
        <v>79</v>
      </c>
    </row>
    <row r="14492" spans="1:19" ht="56" x14ac:dyDescent="0.15">
      <c r="A14492" s="2">
        <f>HYPERLINK("https://open-school.uspishnemisto.com.ua/school/680594/", 680594)</f>
        <v>680594</v>
      </c>
      <c r="B14492" s="3" t="s">
        <v>73070</v>
      </c>
      <c r="C14492" s="3" t="s">
        <v>54</v>
      </c>
      <c r="D14492" s="3" t="s">
        <v>32</v>
      </c>
      <c r="E14492" s="4" t="s">
        <v>22</v>
      </c>
      <c r="F14492" s="4" t="s">
        <v>73071</v>
      </c>
      <c r="G14492" s="4" t="s">
        <v>73072</v>
      </c>
      <c r="H14492" s="3" t="s">
        <v>70238</v>
      </c>
      <c r="I14492" s="3" t="s">
        <v>2312</v>
      </c>
      <c r="J14492" s="3" t="s">
        <v>5955</v>
      </c>
      <c r="K14492" s="3" t="s">
        <v>73073</v>
      </c>
      <c r="L14492" s="3"/>
      <c r="M14492" s="4"/>
      <c r="N14492" s="3" t="s">
        <v>37</v>
      </c>
      <c r="O14492" s="3" t="s">
        <v>46</v>
      </c>
      <c r="P14492" s="5">
        <v>10</v>
      </c>
      <c r="Q14492" s="5">
        <v>84</v>
      </c>
      <c r="R14492" s="5">
        <v>10</v>
      </c>
      <c r="S14492" s="5">
        <v>85</v>
      </c>
    </row>
    <row r="14493" spans="1:19" ht="56" x14ac:dyDescent="0.15">
      <c r="A14493" s="2">
        <f>HYPERLINK("https://open-school.uspishnemisto.com.ua/school/680595/", 680595)</f>
        <v>680595</v>
      </c>
      <c r="B14493" s="3" t="s">
        <v>73074</v>
      </c>
      <c r="C14493" s="3" t="s">
        <v>54</v>
      </c>
      <c r="D14493" s="3" t="s">
        <v>175</v>
      </c>
      <c r="E14493" s="4" t="s">
        <v>22</v>
      </c>
      <c r="F14493" s="4" t="s">
        <v>73075</v>
      </c>
      <c r="G14493" s="4" t="s">
        <v>73076</v>
      </c>
      <c r="H14493" s="3" t="s">
        <v>70238</v>
      </c>
      <c r="I14493" s="3" t="s">
        <v>73077</v>
      </c>
      <c r="J14493" s="3" t="s">
        <v>73078</v>
      </c>
      <c r="K14493" s="3" t="s">
        <v>73079</v>
      </c>
      <c r="L14493" s="3"/>
      <c r="M14493" s="4"/>
      <c r="N14493" s="3" t="s">
        <v>37</v>
      </c>
      <c r="O14493" s="3" t="s">
        <v>52</v>
      </c>
      <c r="P14493" s="5">
        <v>4</v>
      </c>
      <c r="Q14493" s="5">
        <v>36</v>
      </c>
      <c r="R14493" s="5">
        <v>4</v>
      </c>
      <c r="S14493" s="5">
        <v>36</v>
      </c>
    </row>
    <row r="14494" spans="1:19" ht="28" x14ac:dyDescent="0.15">
      <c r="A14494" s="2">
        <f>HYPERLINK("https://open-school.uspishnemisto.com.ua/school/680596/", 680596)</f>
        <v>680596</v>
      </c>
      <c r="B14494" s="3" t="s">
        <v>73080</v>
      </c>
      <c r="C14494" s="3" t="s">
        <v>31</v>
      </c>
      <c r="D14494" s="3" t="s">
        <v>32</v>
      </c>
      <c r="E14494" s="4" t="s">
        <v>22</v>
      </c>
      <c r="F14494" s="4" t="s">
        <v>73081</v>
      </c>
      <c r="G14494" s="4" t="s">
        <v>73082</v>
      </c>
      <c r="H14494" s="3" t="s">
        <v>70238</v>
      </c>
      <c r="I14494" s="3" t="s">
        <v>73083</v>
      </c>
      <c r="J14494" s="3" t="s">
        <v>73084</v>
      </c>
      <c r="K14494" s="3" t="s">
        <v>73085</v>
      </c>
      <c r="L14494" s="3" t="s">
        <v>73086</v>
      </c>
      <c r="M14494" s="4" t="s">
        <v>73087</v>
      </c>
      <c r="N14494" s="3" t="s">
        <v>37</v>
      </c>
      <c r="O14494" s="3" t="s">
        <v>46</v>
      </c>
      <c r="P14494" s="5">
        <v>13</v>
      </c>
      <c r="Q14494" s="5">
        <v>280</v>
      </c>
      <c r="R14494" s="5">
        <v>15</v>
      </c>
      <c r="S14494" s="5">
        <v>282</v>
      </c>
    </row>
    <row r="14495" spans="1:19" ht="28" x14ac:dyDescent="0.15">
      <c r="A14495" s="2">
        <f>HYPERLINK("https://open-school.uspishnemisto.com.ua/school/680597/", 680597)</f>
        <v>680597</v>
      </c>
      <c r="B14495" s="3" t="s">
        <v>73088</v>
      </c>
      <c r="C14495" s="3" t="s">
        <v>31</v>
      </c>
      <c r="D14495" s="3" t="s">
        <v>32</v>
      </c>
      <c r="E14495" s="4" t="s">
        <v>22</v>
      </c>
      <c r="F14495" s="4" t="s">
        <v>73089</v>
      </c>
      <c r="G14495" s="4" t="s">
        <v>73082</v>
      </c>
      <c r="H14495" s="3" t="s">
        <v>70238</v>
      </c>
      <c r="I14495" s="3" t="s">
        <v>73083</v>
      </c>
      <c r="J14495" s="3" t="s">
        <v>73090</v>
      </c>
      <c r="K14495" s="3" t="s">
        <v>73091</v>
      </c>
      <c r="L14495" s="3" t="s">
        <v>73092</v>
      </c>
      <c r="M14495" s="4" t="s">
        <v>73093</v>
      </c>
      <c r="N14495" s="3" t="s">
        <v>37</v>
      </c>
      <c r="O14495" s="3" t="s">
        <v>52</v>
      </c>
      <c r="P14495" s="5">
        <v>20</v>
      </c>
      <c r="Q14495" s="5">
        <v>433</v>
      </c>
      <c r="R14495" s="5">
        <v>21</v>
      </c>
      <c r="S14495" s="5">
        <v>405</v>
      </c>
    </row>
    <row r="14496" spans="1:19" ht="42" x14ac:dyDescent="0.15">
      <c r="A14496" s="2">
        <f>HYPERLINK("https://open-school.uspishnemisto.com.ua/school/680598/", 680598)</f>
        <v>680598</v>
      </c>
      <c r="B14496" s="3" t="s">
        <v>73094</v>
      </c>
      <c r="C14496" s="3" t="s">
        <v>40</v>
      </c>
      <c r="D14496" s="3" t="s">
        <v>32</v>
      </c>
      <c r="E14496" s="4" t="s">
        <v>22</v>
      </c>
      <c r="F14496" s="4" t="s">
        <v>73095</v>
      </c>
      <c r="G14496" s="4" t="s">
        <v>73082</v>
      </c>
      <c r="H14496" s="3" t="s">
        <v>70238</v>
      </c>
      <c r="I14496" s="3" t="s">
        <v>73083</v>
      </c>
      <c r="J14496" s="3" t="s">
        <v>73096</v>
      </c>
      <c r="K14496" s="3" t="s">
        <v>73097</v>
      </c>
      <c r="L14496" s="3" t="s">
        <v>73098</v>
      </c>
      <c r="M14496" s="4" t="s">
        <v>73099</v>
      </c>
      <c r="N14496" s="3" t="s">
        <v>37</v>
      </c>
      <c r="O14496" s="3" t="s">
        <v>46</v>
      </c>
      <c r="P14496" s="5">
        <v>12</v>
      </c>
      <c r="Q14496" s="5">
        <v>216</v>
      </c>
      <c r="R14496" s="5">
        <v>12</v>
      </c>
      <c r="S14496" s="5">
        <v>207</v>
      </c>
    </row>
    <row r="14497" spans="1:19" ht="28" x14ac:dyDescent="0.15">
      <c r="A14497" s="2">
        <f>HYPERLINK("https://open-school.uspishnemisto.com.ua/school/680599/", 680599)</f>
        <v>680599</v>
      </c>
      <c r="B14497" s="3" t="s">
        <v>73100</v>
      </c>
      <c r="C14497" s="3" t="s">
        <v>31</v>
      </c>
      <c r="D14497" s="3" t="s">
        <v>32</v>
      </c>
      <c r="E14497" s="4" t="s">
        <v>22</v>
      </c>
      <c r="F14497" s="4" t="s">
        <v>73101</v>
      </c>
      <c r="G14497" s="4" t="s">
        <v>73102</v>
      </c>
      <c r="H14497" s="3" t="s">
        <v>70238</v>
      </c>
      <c r="I14497" s="3" t="s">
        <v>73103</v>
      </c>
      <c r="J14497" s="3" t="s">
        <v>57953</v>
      </c>
      <c r="K14497" s="3" t="s">
        <v>73104</v>
      </c>
      <c r="L14497" s="3"/>
      <c r="M14497" s="4" t="s">
        <v>73105</v>
      </c>
      <c r="N14497" s="3" t="s">
        <v>37</v>
      </c>
      <c r="O14497" s="3" t="s">
        <v>52</v>
      </c>
      <c r="P14497" s="5">
        <v>12</v>
      </c>
      <c r="Q14497" s="5">
        <v>198</v>
      </c>
      <c r="R14497" s="5">
        <v>12</v>
      </c>
      <c r="S14497" s="5">
        <v>190</v>
      </c>
    </row>
    <row r="14498" spans="1:19" ht="28" x14ac:dyDescent="0.15">
      <c r="A14498" s="2">
        <f>HYPERLINK("https://open-school.uspishnemisto.com.ua/school/680600/", 680600)</f>
        <v>680600</v>
      </c>
      <c r="B14498" s="3" t="s">
        <v>73106</v>
      </c>
      <c r="C14498" s="3" t="s">
        <v>54</v>
      </c>
      <c r="D14498" s="3" t="s">
        <v>175</v>
      </c>
      <c r="E14498" s="4" t="s">
        <v>22</v>
      </c>
      <c r="F14498" s="4" t="s">
        <v>73107</v>
      </c>
      <c r="G14498" s="4" t="s">
        <v>73108</v>
      </c>
      <c r="H14498" s="3" t="s">
        <v>70238</v>
      </c>
      <c r="I14498" s="3" t="s">
        <v>73109</v>
      </c>
      <c r="J14498" s="3" t="s">
        <v>1636</v>
      </c>
      <c r="K14498" s="3"/>
      <c r="L14498" s="3" t="s">
        <v>73110</v>
      </c>
      <c r="M14498" s="4"/>
      <c r="N14498" s="3" t="s">
        <v>37</v>
      </c>
      <c r="O14498" s="3" t="s">
        <v>46</v>
      </c>
      <c r="P14498" s="5">
        <v>8</v>
      </c>
      <c r="Q14498" s="5">
        <v>64</v>
      </c>
      <c r="R14498" s="5">
        <v>8</v>
      </c>
      <c r="S14498" s="5">
        <v>62</v>
      </c>
    </row>
    <row r="14499" spans="1:19" ht="28" x14ac:dyDescent="0.15">
      <c r="A14499" s="2">
        <f>HYPERLINK("https://open-school.uspishnemisto.com.ua/school/680601/", 680601)</f>
        <v>680601</v>
      </c>
      <c r="B14499" s="3" t="s">
        <v>73111</v>
      </c>
      <c r="C14499" s="3" t="s">
        <v>31</v>
      </c>
      <c r="D14499" s="3" t="s">
        <v>175</v>
      </c>
      <c r="E14499" s="4" t="s">
        <v>22</v>
      </c>
      <c r="F14499" s="4" t="s">
        <v>73112</v>
      </c>
      <c r="G14499" s="4" t="s">
        <v>73113</v>
      </c>
      <c r="H14499" s="3" t="s">
        <v>70238</v>
      </c>
      <c r="I14499" s="3" t="s">
        <v>73114</v>
      </c>
      <c r="J14499" s="3" t="s">
        <v>34942</v>
      </c>
      <c r="K14499" s="3"/>
      <c r="L14499" s="3"/>
      <c r="M14499" s="4" t="s">
        <v>73115</v>
      </c>
      <c r="N14499" s="3" t="s">
        <v>37</v>
      </c>
      <c r="O14499" s="3" t="s">
        <v>618</v>
      </c>
      <c r="P14499" s="5">
        <v>2</v>
      </c>
      <c r="Q14499" s="5">
        <v>29</v>
      </c>
      <c r="R14499" s="5">
        <v>3</v>
      </c>
      <c r="S14499" s="5">
        <v>29</v>
      </c>
    </row>
    <row r="14500" spans="1:19" ht="28" x14ac:dyDescent="0.15">
      <c r="A14500" s="2">
        <f>HYPERLINK("https://open-school.uspishnemisto.com.ua/school/680602/", 680602)</f>
        <v>680602</v>
      </c>
      <c r="B14500" s="3" t="s">
        <v>73116</v>
      </c>
      <c r="C14500" s="3" t="s">
        <v>31</v>
      </c>
      <c r="D14500" s="3" t="s">
        <v>32</v>
      </c>
      <c r="E14500" s="4" t="s">
        <v>22</v>
      </c>
      <c r="F14500" s="4" t="s">
        <v>73117</v>
      </c>
      <c r="G14500" s="4" t="s">
        <v>73118</v>
      </c>
      <c r="H14500" s="3" t="s">
        <v>70238</v>
      </c>
      <c r="I14500" s="3" t="s">
        <v>73119</v>
      </c>
      <c r="J14500" s="3" t="s">
        <v>1192</v>
      </c>
      <c r="K14500" s="3" t="s">
        <v>73120</v>
      </c>
      <c r="L14500" s="3"/>
      <c r="M14500" s="4" t="s">
        <v>73121</v>
      </c>
      <c r="N14500" s="3" t="s">
        <v>37</v>
      </c>
      <c r="O14500" s="3" t="s">
        <v>46</v>
      </c>
      <c r="P14500" s="5">
        <v>11</v>
      </c>
      <c r="Q14500" s="5">
        <v>142</v>
      </c>
      <c r="R14500" s="5">
        <v>11</v>
      </c>
      <c r="S14500" s="5">
        <v>136</v>
      </c>
    </row>
    <row r="14501" spans="1:19" ht="28" x14ac:dyDescent="0.15">
      <c r="A14501" s="2">
        <f>HYPERLINK("https://open-school.uspishnemisto.com.ua/school/680603/", 680603)</f>
        <v>680603</v>
      </c>
      <c r="B14501" s="3" t="s">
        <v>73122</v>
      </c>
      <c r="C14501" s="3" t="s">
        <v>31</v>
      </c>
      <c r="D14501" s="3" t="s">
        <v>175</v>
      </c>
      <c r="E14501" s="4" t="s">
        <v>22</v>
      </c>
      <c r="F14501" s="4" t="s">
        <v>73123</v>
      </c>
      <c r="G14501" s="4" t="s">
        <v>73124</v>
      </c>
      <c r="H14501" s="3" t="s">
        <v>70238</v>
      </c>
      <c r="I14501" s="3" t="s">
        <v>5961</v>
      </c>
      <c r="J14501" s="3" t="s">
        <v>16282</v>
      </c>
      <c r="K14501" s="3"/>
      <c r="L14501" s="3"/>
      <c r="M14501" s="4" t="s">
        <v>73125</v>
      </c>
      <c r="N14501" s="3" t="s">
        <v>37</v>
      </c>
      <c r="O14501" s="3" t="s">
        <v>46</v>
      </c>
      <c r="P14501" s="5">
        <v>8</v>
      </c>
      <c r="Q14501" s="5">
        <v>67</v>
      </c>
      <c r="R14501" s="5">
        <v>8</v>
      </c>
      <c r="S14501" s="5">
        <v>62</v>
      </c>
    </row>
    <row r="14502" spans="1:19" ht="28" x14ac:dyDescent="0.15">
      <c r="A14502" s="2">
        <f>HYPERLINK("https://open-school.uspishnemisto.com.ua/school/680604/", 680604)</f>
        <v>680604</v>
      </c>
      <c r="B14502" s="3" t="s">
        <v>73126</v>
      </c>
      <c r="C14502" s="3" t="s">
        <v>31</v>
      </c>
      <c r="D14502" s="3" t="s">
        <v>32</v>
      </c>
      <c r="E14502" s="4" t="s">
        <v>22</v>
      </c>
      <c r="F14502" s="4" t="s">
        <v>73127</v>
      </c>
      <c r="G14502" s="4" t="s">
        <v>73128</v>
      </c>
      <c r="H14502" s="3" t="s">
        <v>70238</v>
      </c>
      <c r="I14502" s="3" t="s">
        <v>4264</v>
      </c>
      <c r="J14502" s="3" t="s">
        <v>19218</v>
      </c>
      <c r="K14502" s="3" t="s">
        <v>73129</v>
      </c>
      <c r="L14502" s="3"/>
      <c r="M14502" s="4"/>
      <c r="N14502" s="3" t="s">
        <v>37</v>
      </c>
      <c r="O14502" s="3" t="s">
        <v>46</v>
      </c>
      <c r="P14502" s="5">
        <v>8</v>
      </c>
      <c r="Q14502" s="5">
        <v>71</v>
      </c>
      <c r="R14502" s="5">
        <v>8</v>
      </c>
      <c r="S14502" s="5">
        <v>73</v>
      </c>
    </row>
    <row r="14503" spans="1:19" ht="28" x14ac:dyDescent="0.15">
      <c r="A14503" s="2">
        <f>HYPERLINK("https://open-school.uspishnemisto.com.ua/school/680605/", 680605)</f>
        <v>680605</v>
      </c>
      <c r="B14503" s="3" t="s">
        <v>73130</v>
      </c>
      <c r="C14503" s="3" t="s">
        <v>31</v>
      </c>
      <c r="D14503" s="3" t="s">
        <v>32</v>
      </c>
      <c r="E14503" s="4" t="s">
        <v>22</v>
      </c>
      <c r="F14503" s="4" t="s">
        <v>73131</v>
      </c>
      <c r="G14503" s="4" t="s">
        <v>73132</v>
      </c>
      <c r="H14503" s="3" t="s">
        <v>70238</v>
      </c>
      <c r="I14503" s="3" t="s">
        <v>12585</v>
      </c>
      <c r="J14503" s="3" t="s">
        <v>554</v>
      </c>
      <c r="K14503" s="3" t="s">
        <v>73133</v>
      </c>
      <c r="L14503" s="3" t="s">
        <v>73134</v>
      </c>
      <c r="M14503" s="4" t="s">
        <v>73135</v>
      </c>
      <c r="N14503" s="3" t="s">
        <v>37</v>
      </c>
      <c r="O14503" s="3" t="s">
        <v>618</v>
      </c>
      <c r="P14503" s="5">
        <v>10</v>
      </c>
      <c r="Q14503" s="5">
        <v>80</v>
      </c>
      <c r="R14503" s="5">
        <v>10</v>
      </c>
      <c r="S14503" s="5">
        <v>82</v>
      </c>
    </row>
    <row r="14504" spans="1:19" ht="56" x14ac:dyDescent="0.15">
      <c r="A14504" s="2">
        <f>HYPERLINK("https://open-school.uspishnemisto.com.ua/school/680606/", 680606)</f>
        <v>680606</v>
      </c>
      <c r="B14504" s="3" t="s">
        <v>73136</v>
      </c>
      <c r="C14504" s="3" t="s">
        <v>54</v>
      </c>
      <c r="D14504" s="3" t="s">
        <v>32</v>
      </c>
      <c r="E14504" s="4" t="s">
        <v>22</v>
      </c>
      <c r="F14504" s="4" t="s">
        <v>73137</v>
      </c>
      <c r="G14504" s="4" t="s">
        <v>73138</v>
      </c>
      <c r="H14504" s="3" t="s">
        <v>70238</v>
      </c>
      <c r="I14504" s="3" t="s">
        <v>73139</v>
      </c>
      <c r="J14504" s="3" t="s">
        <v>1636</v>
      </c>
      <c r="K14504" s="3"/>
      <c r="L14504" s="3" t="s">
        <v>73140</v>
      </c>
      <c r="M14504" s="4" t="s">
        <v>73141</v>
      </c>
      <c r="N14504" s="3" t="s">
        <v>37</v>
      </c>
      <c r="O14504" s="3" t="s">
        <v>46</v>
      </c>
      <c r="P14504" s="5">
        <v>11</v>
      </c>
      <c r="Q14504" s="5">
        <v>87</v>
      </c>
      <c r="R14504" s="5">
        <v>10</v>
      </c>
      <c r="S14504" s="5">
        <v>74</v>
      </c>
    </row>
    <row r="14505" spans="1:19" ht="28" x14ac:dyDescent="0.15">
      <c r="A14505" s="2">
        <f>HYPERLINK("https://open-school.uspishnemisto.com.ua/school/680607/", 680607)</f>
        <v>680607</v>
      </c>
      <c r="B14505" s="3" t="s">
        <v>73142</v>
      </c>
      <c r="C14505" s="3" t="s">
        <v>54</v>
      </c>
      <c r="D14505" s="3" t="s">
        <v>60</v>
      </c>
      <c r="E14505" s="4" t="s">
        <v>22</v>
      </c>
      <c r="F14505" s="4" t="s">
        <v>73143</v>
      </c>
      <c r="G14505" s="4" t="s">
        <v>73144</v>
      </c>
      <c r="H14505" s="3" t="s">
        <v>70238</v>
      </c>
      <c r="I14505" s="3" t="s">
        <v>73145</v>
      </c>
      <c r="J14505" s="3" t="s">
        <v>73146</v>
      </c>
      <c r="K14505" s="3" t="s">
        <v>73147</v>
      </c>
      <c r="L14505" s="3"/>
      <c r="M14505" s="4"/>
      <c r="N14505" s="3" t="s">
        <v>37</v>
      </c>
      <c r="O14505" s="3" t="s">
        <v>618</v>
      </c>
      <c r="P14505" s="5">
        <v>0</v>
      </c>
      <c r="Q14505" s="5">
        <v>7</v>
      </c>
      <c r="R14505" s="5">
        <v>0</v>
      </c>
      <c r="S14505" s="5">
        <v>11</v>
      </c>
    </row>
    <row r="14506" spans="1:19" ht="28" x14ac:dyDescent="0.15">
      <c r="A14506" s="2">
        <f>HYPERLINK("https://open-school.uspishnemisto.com.ua/school/680608/", 680608)</f>
        <v>680608</v>
      </c>
      <c r="B14506" s="3" t="s">
        <v>73148</v>
      </c>
      <c r="C14506" s="3" t="s">
        <v>31</v>
      </c>
      <c r="D14506" s="3" t="s">
        <v>175</v>
      </c>
      <c r="E14506" s="4" t="s">
        <v>22</v>
      </c>
      <c r="F14506" s="4" t="s">
        <v>73149</v>
      </c>
      <c r="G14506" s="4" t="s">
        <v>73150</v>
      </c>
      <c r="H14506" s="3" t="s">
        <v>70238</v>
      </c>
      <c r="I14506" s="3" t="s">
        <v>73151</v>
      </c>
      <c r="J14506" s="3" t="s">
        <v>73152</v>
      </c>
      <c r="K14506" s="3" t="s">
        <v>73153</v>
      </c>
      <c r="L14506" s="3"/>
      <c r="M14506" s="4" t="s">
        <v>73154</v>
      </c>
      <c r="N14506" s="3" t="s">
        <v>37</v>
      </c>
      <c r="O14506" s="3" t="s">
        <v>52</v>
      </c>
      <c r="P14506" s="5">
        <v>6</v>
      </c>
      <c r="Q14506" s="5">
        <v>46</v>
      </c>
      <c r="R14506" s="5">
        <v>7</v>
      </c>
      <c r="S14506" s="5">
        <v>48</v>
      </c>
    </row>
    <row r="14507" spans="1:19" ht="28" x14ac:dyDescent="0.15">
      <c r="A14507" s="2">
        <f>HYPERLINK("https://open-school.uspishnemisto.com.ua/school/680609/", 680609)</f>
        <v>680609</v>
      </c>
      <c r="B14507" s="3" t="s">
        <v>73155</v>
      </c>
      <c r="C14507" s="3" t="s">
        <v>31</v>
      </c>
      <c r="D14507" s="3" t="s">
        <v>175</v>
      </c>
      <c r="E14507" s="4" t="s">
        <v>22</v>
      </c>
      <c r="F14507" s="4" t="s">
        <v>73156</v>
      </c>
      <c r="G14507" s="4" t="s">
        <v>73157</v>
      </c>
      <c r="H14507" s="3" t="s">
        <v>70238</v>
      </c>
      <c r="I14507" s="3" t="s">
        <v>73158</v>
      </c>
      <c r="J14507" s="3" t="s">
        <v>5525</v>
      </c>
      <c r="K14507" s="3" t="s">
        <v>73159</v>
      </c>
      <c r="L14507" s="3"/>
      <c r="M14507" s="4" t="s">
        <v>73160</v>
      </c>
      <c r="N14507" s="3" t="s">
        <v>37</v>
      </c>
      <c r="O14507" s="3" t="s">
        <v>618</v>
      </c>
      <c r="P14507" s="5">
        <v>2</v>
      </c>
      <c r="Q14507" s="5">
        <v>36</v>
      </c>
      <c r="R14507" s="5">
        <v>3</v>
      </c>
      <c r="S14507" s="5">
        <v>39</v>
      </c>
    </row>
    <row r="14508" spans="1:19" ht="28" x14ac:dyDescent="0.15">
      <c r="A14508" s="2">
        <f>HYPERLINK("https://open-school.uspishnemisto.com.ua/school/680610/", 680610)</f>
        <v>680610</v>
      </c>
      <c r="B14508" s="3" t="s">
        <v>73161</v>
      </c>
      <c r="C14508" s="3" t="s">
        <v>31</v>
      </c>
      <c r="D14508" s="3" t="s">
        <v>175</v>
      </c>
      <c r="E14508" s="4" t="s">
        <v>22</v>
      </c>
      <c r="F14508" s="4" t="s">
        <v>73162</v>
      </c>
      <c r="G14508" s="4" t="s">
        <v>73163</v>
      </c>
      <c r="H14508" s="3" t="s">
        <v>70238</v>
      </c>
      <c r="I14508" s="3" t="s">
        <v>73164</v>
      </c>
      <c r="J14508" s="3" t="s">
        <v>73165</v>
      </c>
      <c r="K14508" s="3" t="s">
        <v>73166</v>
      </c>
      <c r="L14508" s="3" t="s">
        <v>73167</v>
      </c>
      <c r="M14508" s="4" t="s">
        <v>73168</v>
      </c>
      <c r="N14508" s="3" t="s">
        <v>37</v>
      </c>
      <c r="O14508" s="3" t="s">
        <v>52</v>
      </c>
      <c r="P14508" s="5">
        <v>8</v>
      </c>
      <c r="Q14508" s="5">
        <v>65</v>
      </c>
      <c r="R14508" s="5">
        <v>8</v>
      </c>
      <c r="S14508" s="5">
        <v>58</v>
      </c>
    </row>
    <row r="14509" spans="1:19" ht="56" x14ac:dyDescent="0.15">
      <c r="A14509" s="2">
        <f>HYPERLINK("https://open-school.uspishnemisto.com.ua/school/680611/", 680611)</f>
        <v>680611</v>
      </c>
      <c r="B14509" s="3" t="s">
        <v>73169</v>
      </c>
      <c r="C14509" s="3" t="s">
        <v>54</v>
      </c>
      <c r="D14509" s="3" t="s">
        <v>175</v>
      </c>
      <c r="E14509" s="4" t="s">
        <v>22</v>
      </c>
      <c r="F14509" s="4" t="s">
        <v>73170</v>
      </c>
      <c r="G14509" s="4" t="s">
        <v>73171</v>
      </c>
      <c r="H14509" s="3" t="s">
        <v>70238</v>
      </c>
      <c r="I14509" s="3" t="s">
        <v>73172</v>
      </c>
      <c r="J14509" s="3" t="s">
        <v>73173</v>
      </c>
      <c r="K14509" s="3" t="s">
        <v>73174</v>
      </c>
      <c r="L14509" s="3"/>
      <c r="M14509" s="4" t="s">
        <v>73175</v>
      </c>
      <c r="N14509" s="3" t="s">
        <v>37</v>
      </c>
      <c r="O14509" s="3" t="s">
        <v>46</v>
      </c>
      <c r="P14509" s="5">
        <v>7</v>
      </c>
      <c r="Q14509" s="5">
        <v>55</v>
      </c>
      <c r="R14509" s="5">
        <v>7</v>
      </c>
      <c r="S14509" s="5">
        <v>62</v>
      </c>
    </row>
    <row r="14510" spans="1:19" ht="28" x14ac:dyDescent="0.15">
      <c r="A14510" s="2">
        <f>HYPERLINK("https://open-school.uspishnemisto.com.ua/school/680612/", 680612)</f>
        <v>680612</v>
      </c>
      <c r="B14510" s="3" t="s">
        <v>73176</v>
      </c>
      <c r="C14510" s="3" t="s">
        <v>31</v>
      </c>
      <c r="D14510" s="3" t="s">
        <v>175</v>
      </c>
      <c r="E14510" s="4" t="s">
        <v>22</v>
      </c>
      <c r="F14510" s="4" t="s">
        <v>73177</v>
      </c>
      <c r="G14510" s="4" t="s">
        <v>73178</v>
      </c>
      <c r="H14510" s="3" t="s">
        <v>70238</v>
      </c>
      <c r="I14510" s="3" t="s">
        <v>53772</v>
      </c>
      <c r="J14510" s="3" t="s">
        <v>466</v>
      </c>
      <c r="K14510" s="3" t="s">
        <v>73179</v>
      </c>
      <c r="L14510" s="3"/>
      <c r="M14510" s="4" t="s">
        <v>73180</v>
      </c>
      <c r="N14510" s="3" t="s">
        <v>37</v>
      </c>
      <c r="O14510" s="3" t="s">
        <v>52</v>
      </c>
      <c r="P14510" s="5">
        <v>9</v>
      </c>
      <c r="Q14510" s="5">
        <v>58</v>
      </c>
      <c r="R14510" s="5">
        <v>9</v>
      </c>
      <c r="S14510" s="5">
        <v>64</v>
      </c>
    </row>
    <row r="14511" spans="1:19" ht="28" x14ac:dyDescent="0.15">
      <c r="A14511" s="2">
        <f>HYPERLINK("https://open-school.uspishnemisto.com.ua/school/680613/", 680613)</f>
        <v>680613</v>
      </c>
      <c r="B14511" s="3" t="s">
        <v>73181</v>
      </c>
      <c r="C14511" s="3" t="s">
        <v>31</v>
      </c>
      <c r="D14511" s="3" t="s">
        <v>32</v>
      </c>
      <c r="E14511" s="4" t="s">
        <v>22</v>
      </c>
      <c r="F14511" s="4" t="s">
        <v>73182</v>
      </c>
      <c r="G14511" s="4" t="s">
        <v>73183</v>
      </c>
      <c r="H14511" s="3" t="s">
        <v>70238</v>
      </c>
      <c r="I14511" s="3" t="s">
        <v>73184</v>
      </c>
      <c r="J14511" s="3" t="s">
        <v>33595</v>
      </c>
      <c r="K14511" s="3" t="s">
        <v>73185</v>
      </c>
      <c r="L14511" s="3"/>
      <c r="M14511" s="4" t="s">
        <v>73186</v>
      </c>
      <c r="N14511" s="3" t="s">
        <v>37</v>
      </c>
      <c r="O14511" s="3" t="s">
        <v>46</v>
      </c>
      <c r="P14511" s="5">
        <v>11</v>
      </c>
      <c r="Q14511" s="5">
        <v>203</v>
      </c>
      <c r="R14511" s="5">
        <v>11</v>
      </c>
      <c r="S14511" s="5">
        <v>207</v>
      </c>
    </row>
    <row r="14512" spans="1:19" ht="28" x14ac:dyDescent="0.15">
      <c r="A14512" s="2">
        <f>HYPERLINK("https://open-school.uspishnemisto.com.ua/school/680614/", 680614)</f>
        <v>680614</v>
      </c>
      <c r="B14512" s="3" t="s">
        <v>73187</v>
      </c>
      <c r="C14512" s="3" t="s">
        <v>31</v>
      </c>
      <c r="D14512" s="3" t="s">
        <v>175</v>
      </c>
      <c r="E14512" s="4" t="s">
        <v>22</v>
      </c>
      <c r="F14512" s="4" t="s">
        <v>73188</v>
      </c>
      <c r="G14512" s="4" t="s">
        <v>73189</v>
      </c>
      <c r="H14512" s="3" t="s">
        <v>70238</v>
      </c>
      <c r="I14512" s="3" t="s">
        <v>25451</v>
      </c>
      <c r="J14512" s="3" t="s">
        <v>16705</v>
      </c>
      <c r="K14512" s="3" t="s">
        <v>73190</v>
      </c>
      <c r="L14512" s="3" t="s">
        <v>73191</v>
      </c>
      <c r="M14512" s="4" t="s">
        <v>73192</v>
      </c>
      <c r="N14512" s="3" t="s">
        <v>37</v>
      </c>
      <c r="O14512" s="3" t="s">
        <v>618</v>
      </c>
      <c r="P14512" s="5">
        <v>8</v>
      </c>
      <c r="Q14512" s="5">
        <v>60</v>
      </c>
      <c r="R14512" s="5">
        <v>8</v>
      </c>
      <c r="S14512" s="5">
        <v>59</v>
      </c>
    </row>
    <row r="14513" spans="1:19" ht="28" x14ac:dyDescent="0.15">
      <c r="A14513" s="2">
        <f>HYPERLINK("https://open-school.uspishnemisto.com.ua/school/680615/", 680615)</f>
        <v>680615</v>
      </c>
      <c r="B14513" s="3" t="s">
        <v>73193</v>
      </c>
      <c r="C14513" s="3" t="s">
        <v>31</v>
      </c>
      <c r="D14513" s="3" t="s">
        <v>175</v>
      </c>
      <c r="E14513" s="4" t="s">
        <v>22</v>
      </c>
      <c r="F14513" s="4" t="s">
        <v>73188</v>
      </c>
      <c r="G14513" s="4" t="s">
        <v>73194</v>
      </c>
      <c r="H14513" s="3" t="s">
        <v>70238</v>
      </c>
      <c r="I14513" s="3" t="s">
        <v>440</v>
      </c>
      <c r="J14513" s="3" t="s">
        <v>73195</v>
      </c>
      <c r="K14513" s="3" t="s">
        <v>73196</v>
      </c>
      <c r="L14513" s="3" t="s">
        <v>73197</v>
      </c>
      <c r="M14513" s="4" t="s">
        <v>73198</v>
      </c>
      <c r="N14513" s="3" t="s">
        <v>37</v>
      </c>
      <c r="O14513" s="3" t="s">
        <v>618</v>
      </c>
      <c r="P14513" s="5">
        <v>1</v>
      </c>
      <c r="Q14513" s="5">
        <v>26</v>
      </c>
      <c r="R14513" s="5">
        <v>1</v>
      </c>
      <c r="S14513" s="5">
        <v>26</v>
      </c>
    </row>
    <row r="14514" spans="1:19" ht="42" x14ac:dyDescent="0.15">
      <c r="A14514" s="2">
        <f>HYPERLINK("https://open-school.uspishnemisto.com.ua/school/680616/", 680616)</f>
        <v>680616</v>
      </c>
      <c r="B14514" s="3" t="s">
        <v>73199</v>
      </c>
      <c r="C14514" s="3" t="s">
        <v>31</v>
      </c>
      <c r="D14514" s="3" t="s">
        <v>175</v>
      </c>
      <c r="E14514" s="4" t="s">
        <v>22</v>
      </c>
      <c r="F14514" s="4" t="s">
        <v>73200</v>
      </c>
      <c r="G14514" s="4" t="s">
        <v>73201</v>
      </c>
      <c r="H14514" s="3" t="s">
        <v>70238</v>
      </c>
      <c r="I14514" s="3" t="s">
        <v>73202</v>
      </c>
      <c r="J14514" s="3" t="s">
        <v>73203</v>
      </c>
      <c r="K14514" s="3" t="s">
        <v>73204</v>
      </c>
      <c r="L14514" s="3" t="s">
        <v>73205</v>
      </c>
      <c r="M14514" s="4"/>
      <c r="N14514" s="3" t="s">
        <v>37</v>
      </c>
      <c r="O14514" s="3" t="s">
        <v>46</v>
      </c>
      <c r="P14514" s="5">
        <v>1</v>
      </c>
      <c r="Q14514" s="5">
        <v>27</v>
      </c>
      <c r="R14514" s="5">
        <v>1</v>
      </c>
      <c r="S14514" s="5">
        <v>29</v>
      </c>
    </row>
    <row r="14515" spans="1:19" ht="28" x14ac:dyDescent="0.15">
      <c r="A14515" s="2">
        <f>HYPERLINK("https://open-school.uspishnemisto.com.ua/school/680617/", 680617)</f>
        <v>680617</v>
      </c>
      <c r="B14515" s="3" t="s">
        <v>73206</v>
      </c>
      <c r="C14515" s="3" t="s">
        <v>31</v>
      </c>
      <c r="D14515" s="3" t="s">
        <v>32</v>
      </c>
      <c r="E14515" s="4" t="s">
        <v>22</v>
      </c>
      <c r="F14515" s="4" t="s">
        <v>73207</v>
      </c>
      <c r="G14515" s="4" t="s">
        <v>73208</v>
      </c>
      <c r="H14515" s="3" t="s">
        <v>70238</v>
      </c>
      <c r="I14515" s="3" t="s">
        <v>61058</v>
      </c>
      <c r="J14515" s="3" t="s">
        <v>73209</v>
      </c>
      <c r="K14515" s="3" t="s">
        <v>73210</v>
      </c>
      <c r="L14515" s="3"/>
      <c r="M14515" s="4" t="s">
        <v>73211</v>
      </c>
      <c r="N14515" s="3" t="s">
        <v>37</v>
      </c>
      <c r="O14515" s="3" t="s">
        <v>46</v>
      </c>
      <c r="P14515" s="5">
        <v>11</v>
      </c>
      <c r="Q14515" s="5">
        <v>134</v>
      </c>
      <c r="R14515" s="5">
        <v>11</v>
      </c>
      <c r="S14515" s="5">
        <v>129</v>
      </c>
    </row>
    <row r="14516" spans="1:19" ht="42" x14ac:dyDescent="0.15">
      <c r="A14516" s="2">
        <f>HYPERLINK("https://open-school.uspishnemisto.com.ua/school/680618/", 680618)</f>
        <v>680618</v>
      </c>
      <c r="B14516" s="3" t="s">
        <v>73212</v>
      </c>
      <c r="C14516" s="3" t="s">
        <v>54</v>
      </c>
      <c r="D14516" s="3" t="s">
        <v>175</v>
      </c>
      <c r="E14516" s="4" t="s">
        <v>22</v>
      </c>
      <c r="F14516" s="4" t="s">
        <v>73081</v>
      </c>
      <c r="G14516" s="4" t="s">
        <v>73213</v>
      </c>
      <c r="H14516" s="3" t="s">
        <v>70238</v>
      </c>
      <c r="I14516" s="3" t="s">
        <v>73214</v>
      </c>
      <c r="J14516" s="3" t="s">
        <v>6992</v>
      </c>
      <c r="K14516" s="3" t="s">
        <v>73215</v>
      </c>
      <c r="L14516" s="3"/>
      <c r="M14516" s="4" t="s">
        <v>73216</v>
      </c>
      <c r="N14516" s="3" t="s">
        <v>37</v>
      </c>
      <c r="O14516" s="3" t="s">
        <v>52</v>
      </c>
      <c r="P14516" s="5">
        <v>6</v>
      </c>
      <c r="Q14516" s="5">
        <v>48</v>
      </c>
      <c r="R14516" s="5">
        <v>5</v>
      </c>
      <c r="S14516" s="5">
        <v>46</v>
      </c>
    </row>
    <row r="14517" spans="1:19" ht="42" x14ac:dyDescent="0.15">
      <c r="A14517" s="2">
        <f>HYPERLINK("https://open-school.uspishnemisto.com.ua/school/680619/", 680619)</f>
        <v>680619</v>
      </c>
      <c r="B14517" s="3" t="s">
        <v>73217</v>
      </c>
      <c r="C14517" s="3" t="s">
        <v>54</v>
      </c>
      <c r="D14517" s="3" t="s">
        <v>60</v>
      </c>
      <c r="E14517" s="4" t="s">
        <v>22</v>
      </c>
      <c r="F14517" s="4" t="s">
        <v>73218</v>
      </c>
      <c r="G14517" s="4" t="s">
        <v>73219</v>
      </c>
      <c r="H14517" s="3" t="s">
        <v>70238</v>
      </c>
      <c r="I14517" s="3" t="s">
        <v>7404</v>
      </c>
      <c r="J14517" s="3" t="s">
        <v>40487</v>
      </c>
      <c r="K14517" s="3" t="s">
        <v>73220</v>
      </c>
      <c r="L14517" s="3"/>
      <c r="M14517" s="4"/>
      <c r="N14517" s="3" t="s">
        <v>37</v>
      </c>
      <c r="O14517" s="3" t="s">
        <v>52</v>
      </c>
      <c r="P14517" s="5">
        <v>0</v>
      </c>
      <c r="Q14517" s="5">
        <v>11</v>
      </c>
      <c r="R14517" s="5">
        <v>0</v>
      </c>
      <c r="S14517" s="5">
        <v>11</v>
      </c>
    </row>
    <row r="14518" spans="1:19" ht="42" x14ac:dyDescent="0.15">
      <c r="A14518" s="2">
        <f>HYPERLINK("https://open-school.uspishnemisto.com.ua/school/680620/", 680620)</f>
        <v>680620</v>
      </c>
      <c r="B14518" s="3" t="s">
        <v>73221</v>
      </c>
      <c r="C14518" s="3" t="s">
        <v>54</v>
      </c>
      <c r="D14518" s="3" t="s">
        <v>19078</v>
      </c>
      <c r="E14518" s="4" t="s">
        <v>22</v>
      </c>
      <c r="F14518" s="4" t="s">
        <v>73222</v>
      </c>
      <c r="G14518" s="4" t="s">
        <v>73223</v>
      </c>
      <c r="H14518" s="3" t="s">
        <v>70238</v>
      </c>
      <c r="I14518" s="3" t="s">
        <v>73224</v>
      </c>
      <c r="J14518" s="3" t="s">
        <v>1993</v>
      </c>
      <c r="K14518" s="3" t="s">
        <v>73225</v>
      </c>
      <c r="L14518" s="3"/>
      <c r="M14518" s="4" t="s">
        <v>73226</v>
      </c>
      <c r="N14518" s="3" t="s">
        <v>37</v>
      </c>
      <c r="O14518" s="3" t="s">
        <v>52</v>
      </c>
      <c r="P14518" s="5">
        <v>8</v>
      </c>
      <c r="Q14518" s="5">
        <v>57</v>
      </c>
      <c r="R14518" s="5">
        <v>7</v>
      </c>
      <c r="S14518" s="5">
        <v>57</v>
      </c>
    </row>
    <row r="14519" spans="1:19" ht="56" x14ac:dyDescent="0.15">
      <c r="A14519" s="2">
        <f>HYPERLINK("https://open-school.uspishnemisto.com.ua/school/680621/", 680621)</f>
        <v>680621</v>
      </c>
      <c r="B14519" s="3" t="s">
        <v>73227</v>
      </c>
      <c r="C14519" s="3" t="s">
        <v>54</v>
      </c>
      <c r="D14519" s="3" t="s">
        <v>60</v>
      </c>
      <c r="E14519" s="4" t="s">
        <v>22</v>
      </c>
      <c r="F14519" s="4" t="s">
        <v>73222</v>
      </c>
      <c r="G14519" s="4" t="s">
        <v>73228</v>
      </c>
      <c r="H14519" s="3" t="s">
        <v>70238</v>
      </c>
      <c r="I14519" s="3" t="s">
        <v>73229</v>
      </c>
      <c r="J14519" s="3" t="s">
        <v>73230</v>
      </c>
      <c r="K14519" s="3" t="s">
        <v>73231</v>
      </c>
      <c r="L14519" s="3"/>
      <c r="M14519" s="4"/>
      <c r="N14519" s="3" t="s">
        <v>37</v>
      </c>
      <c r="O14519" s="3" t="s">
        <v>52</v>
      </c>
      <c r="P14519" s="5">
        <v>0</v>
      </c>
      <c r="Q14519" s="5">
        <v>9</v>
      </c>
      <c r="R14519" s="5">
        <v>0</v>
      </c>
      <c r="S14519" s="5">
        <v>7</v>
      </c>
    </row>
    <row r="14520" spans="1:19" ht="28" x14ac:dyDescent="0.15">
      <c r="A14520" s="2">
        <f>HYPERLINK("https://open-school.uspishnemisto.com.ua/school/680622/", 680622)</f>
        <v>680622</v>
      </c>
      <c r="B14520" s="3" t="s">
        <v>73232</v>
      </c>
      <c r="C14520" s="3" t="s">
        <v>31</v>
      </c>
      <c r="D14520" s="3" t="s">
        <v>32</v>
      </c>
      <c r="E14520" s="4" t="s">
        <v>22</v>
      </c>
      <c r="F14520" s="4" t="s">
        <v>73233</v>
      </c>
      <c r="G14520" s="4" t="s">
        <v>73234</v>
      </c>
      <c r="H14520" s="3" t="s">
        <v>70238</v>
      </c>
      <c r="I14520" s="3" t="s">
        <v>73235</v>
      </c>
      <c r="J14520" s="3" t="s">
        <v>466</v>
      </c>
      <c r="K14520" s="3" t="s">
        <v>73236</v>
      </c>
      <c r="L14520" s="3"/>
      <c r="M14520" s="4" t="s">
        <v>73237</v>
      </c>
      <c r="N14520" s="3" t="s">
        <v>37</v>
      </c>
      <c r="O14520" s="3" t="s">
        <v>46</v>
      </c>
      <c r="P14520" s="5">
        <v>11</v>
      </c>
      <c r="Q14520" s="5">
        <v>151</v>
      </c>
      <c r="R14520" s="5">
        <v>11</v>
      </c>
      <c r="S14520" s="5">
        <v>150</v>
      </c>
    </row>
    <row r="14521" spans="1:19" ht="28" x14ac:dyDescent="0.15">
      <c r="A14521" s="2">
        <f>HYPERLINK("https://open-school.uspishnemisto.com.ua/school/680623/", 680623)</f>
        <v>680623</v>
      </c>
      <c r="B14521" s="3" t="s">
        <v>73238</v>
      </c>
      <c r="C14521" s="3" t="s">
        <v>31</v>
      </c>
      <c r="D14521" s="3" t="s">
        <v>175</v>
      </c>
      <c r="E14521" s="4" t="s">
        <v>22</v>
      </c>
      <c r="F14521" s="4" t="s">
        <v>73239</v>
      </c>
      <c r="G14521" s="4" t="s">
        <v>73240</v>
      </c>
      <c r="H14521" s="3" t="s">
        <v>70238</v>
      </c>
      <c r="I14521" s="3" t="s">
        <v>496</v>
      </c>
      <c r="J14521" s="3" t="s">
        <v>73241</v>
      </c>
      <c r="K14521" s="3" t="s">
        <v>73242</v>
      </c>
      <c r="L14521" s="3" t="s">
        <v>73243</v>
      </c>
      <c r="M14521" s="4" t="s">
        <v>73244</v>
      </c>
      <c r="N14521" s="3" t="s">
        <v>37</v>
      </c>
      <c r="O14521" s="3" t="s">
        <v>46</v>
      </c>
      <c r="P14521" s="5">
        <v>4</v>
      </c>
      <c r="Q14521" s="5">
        <v>35</v>
      </c>
      <c r="R14521" s="5">
        <v>3</v>
      </c>
      <c r="S14521" s="5">
        <v>39</v>
      </c>
    </row>
    <row r="14522" spans="1:19" ht="56" x14ac:dyDescent="0.15">
      <c r="A14522" s="2">
        <f>HYPERLINK("https://open-school.uspishnemisto.com.ua/school/680624/", 680624)</f>
        <v>680624</v>
      </c>
      <c r="B14522" s="3" t="s">
        <v>73245</v>
      </c>
      <c r="C14522" s="3" t="s">
        <v>54</v>
      </c>
      <c r="D14522" s="3" t="s">
        <v>60</v>
      </c>
      <c r="E14522" s="4" t="s">
        <v>22</v>
      </c>
      <c r="F14522" s="4" t="s">
        <v>73233</v>
      </c>
      <c r="G14522" s="4" t="s">
        <v>73246</v>
      </c>
      <c r="H14522" s="3" t="s">
        <v>70238</v>
      </c>
      <c r="I14522" s="3" t="s">
        <v>6951</v>
      </c>
      <c r="J14522" s="3" t="s">
        <v>28919</v>
      </c>
      <c r="K14522" s="3" t="s">
        <v>73247</v>
      </c>
      <c r="L14522" s="3"/>
      <c r="M14522" s="4"/>
      <c r="N14522" s="3" t="s">
        <v>37</v>
      </c>
      <c r="O14522" s="3" t="s">
        <v>52</v>
      </c>
      <c r="P14522" s="5">
        <v>0</v>
      </c>
      <c r="Q14522" s="5">
        <v>9</v>
      </c>
      <c r="R14522" s="5">
        <v>0</v>
      </c>
      <c r="S14522" s="5">
        <v>9</v>
      </c>
    </row>
    <row r="14523" spans="1:19" ht="28" x14ac:dyDescent="0.15">
      <c r="A14523" s="2">
        <f>HYPERLINK("https://open-school.uspishnemisto.com.ua/school/680625/", 680625)</f>
        <v>680625</v>
      </c>
      <c r="B14523" s="3" t="s">
        <v>73248</v>
      </c>
      <c r="C14523" s="3" t="s">
        <v>31</v>
      </c>
      <c r="D14523" s="3" t="s">
        <v>175</v>
      </c>
      <c r="E14523" s="4" t="s">
        <v>22</v>
      </c>
      <c r="F14523" s="4" t="s">
        <v>73249</v>
      </c>
      <c r="G14523" s="4" t="s">
        <v>73250</v>
      </c>
      <c r="H14523" s="3" t="s">
        <v>70238</v>
      </c>
      <c r="I14523" s="3" t="s">
        <v>32459</v>
      </c>
      <c r="J14523" s="3" t="s">
        <v>3064</v>
      </c>
      <c r="K14523" s="3" t="s">
        <v>73251</v>
      </c>
      <c r="L14523" s="3"/>
      <c r="M14523" s="4" t="s">
        <v>73252</v>
      </c>
      <c r="N14523" s="3" t="s">
        <v>37</v>
      </c>
      <c r="O14523" s="3" t="s">
        <v>46</v>
      </c>
      <c r="P14523" s="5">
        <v>6</v>
      </c>
      <c r="Q14523" s="5">
        <v>56</v>
      </c>
      <c r="R14523" s="5">
        <v>9</v>
      </c>
      <c r="S14523" s="5">
        <v>49</v>
      </c>
    </row>
    <row r="14524" spans="1:19" ht="28" x14ac:dyDescent="0.15">
      <c r="A14524" s="2">
        <f>HYPERLINK("https://open-school.uspishnemisto.com.ua/school/680626/", 680626)</f>
        <v>680626</v>
      </c>
      <c r="B14524" s="3" t="s">
        <v>73253</v>
      </c>
      <c r="C14524" s="3" t="s">
        <v>31</v>
      </c>
      <c r="D14524" s="3" t="s">
        <v>175</v>
      </c>
      <c r="E14524" s="4" t="s">
        <v>22</v>
      </c>
      <c r="F14524" s="4" t="s">
        <v>73254</v>
      </c>
      <c r="G14524" s="4" t="s">
        <v>73255</v>
      </c>
      <c r="H14524" s="3" t="s">
        <v>70238</v>
      </c>
      <c r="I14524" s="3" t="s">
        <v>73256</v>
      </c>
      <c r="J14524" s="3" t="s">
        <v>4105</v>
      </c>
      <c r="K14524" s="3" t="s">
        <v>73257</v>
      </c>
      <c r="L14524" s="3"/>
      <c r="M14524" s="4" t="s">
        <v>73258</v>
      </c>
      <c r="N14524" s="3" t="s">
        <v>37</v>
      </c>
      <c r="O14524" s="3" t="s">
        <v>46</v>
      </c>
      <c r="P14524" s="5">
        <v>9</v>
      </c>
      <c r="Q14524" s="5">
        <v>81</v>
      </c>
      <c r="R14524" s="5">
        <v>9</v>
      </c>
      <c r="S14524" s="5">
        <v>88</v>
      </c>
    </row>
    <row r="14525" spans="1:19" ht="28" x14ac:dyDescent="0.15">
      <c r="A14525" s="2">
        <f>HYPERLINK("https://open-school.uspishnemisto.com.ua/school/680627/", 680627)</f>
        <v>680627</v>
      </c>
      <c r="B14525" s="3" t="s">
        <v>73259</v>
      </c>
      <c r="C14525" s="3" t="s">
        <v>31</v>
      </c>
      <c r="D14525" s="3" t="s">
        <v>32</v>
      </c>
      <c r="E14525" s="4" t="s">
        <v>22</v>
      </c>
      <c r="F14525" s="4" t="s">
        <v>73260</v>
      </c>
      <c r="G14525" s="4" t="s">
        <v>73261</v>
      </c>
      <c r="H14525" s="3" t="s">
        <v>70238</v>
      </c>
      <c r="I14525" s="3" t="s">
        <v>73262</v>
      </c>
      <c r="J14525" s="3" t="s">
        <v>1636</v>
      </c>
      <c r="K14525" s="3" t="s">
        <v>73263</v>
      </c>
      <c r="L14525" s="3"/>
      <c r="M14525" s="4" t="s">
        <v>73264</v>
      </c>
      <c r="N14525" s="3" t="s">
        <v>37</v>
      </c>
      <c r="O14525" s="3" t="s">
        <v>2740</v>
      </c>
      <c r="P14525" s="5">
        <v>10</v>
      </c>
      <c r="Q14525" s="5">
        <v>73</v>
      </c>
      <c r="R14525" s="5">
        <v>10</v>
      </c>
      <c r="S14525" s="5">
        <v>74</v>
      </c>
    </row>
    <row r="14526" spans="1:19" ht="42" x14ac:dyDescent="0.15">
      <c r="A14526" s="2">
        <f>HYPERLINK("https://open-school.uspishnemisto.com.ua/school/680629/", 680629)</f>
        <v>680629</v>
      </c>
      <c r="B14526" s="3" t="s">
        <v>73265</v>
      </c>
      <c r="C14526" s="3" t="s">
        <v>54</v>
      </c>
      <c r="D14526" s="3" t="s">
        <v>32</v>
      </c>
      <c r="E14526" s="4" t="s">
        <v>22</v>
      </c>
      <c r="F14526" s="4" t="s">
        <v>73266</v>
      </c>
      <c r="G14526" s="4" t="s">
        <v>73267</v>
      </c>
      <c r="H14526" s="3" t="s">
        <v>70238</v>
      </c>
      <c r="I14526" s="3" t="s">
        <v>40353</v>
      </c>
      <c r="J14526" s="3" t="s">
        <v>73268</v>
      </c>
      <c r="K14526" s="3"/>
      <c r="L14526" s="3" t="s">
        <v>73269</v>
      </c>
      <c r="M14526" s="4"/>
      <c r="N14526" s="3" t="s">
        <v>37</v>
      </c>
      <c r="O14526" s="3" t="s">
        <v>70</v>
      </c>
      <c r="P14526" s="5">
        <v>13</v>
      </c>
      <c r="Q14526" s="5">
        <v>288</v>
      </c>
      <c r="R14526" s="5">
        <v>13</v>
      </c>
      <c r="S14526" s="5">
        <v>268</v>
      </c>
    </row>
    <row r="14527" spans="1:19" ht="28" x14ac:dyDescent="0.15">
      <c r="A14527" s="2">
        <f>HYPERLINK("https://open-school.uspishnemisto.com.ua/school/680628/", 680628)</f>
        <v>680628</v>
      </c>
      <c r="B14527" s="3" t="s">
        <v>73270</v>
      </c>
      <c r="C14527" s="3" t="s">
        <v>31</v>
      </c>
      <c r="D14527" s="3" t="s">
        <v>175</v>
      </c>
      <c r="E14527" s="4" t="s">
        <v>22</v>
      </c>
      <c r="F14527" s="4" t="s">
        <v>73271</v>
      </c>
      <c r="G14527" s="4" t="s">
        <v>73272</v>
      </c>
      <c r="H14527" s="3" t="s">
        <v>70238</v>
      </c>
      <c r="I14527" s="3" t="s">
        <v>440</v>
      </c>
      <c r="J14527" s="3" t="s">
        <v>73273</v>
      </c>
      <c r="K14527" s="3" t="s">
        <v>73274</v>
      </c>
      <c r="L14527" s="3"/>
      <c r="M14527" s="4"/>
      <c r="N14527" s="3" t="s">
        <v>37</v>
      </c>
      <c r="O14527" s="3" t="s">
        <v>70</v>
      </c>
      <c r="P14527" s="5">
        <v>9</v>
      </c>
      <c r="Q14527" s="5">
        <v>152</v>
      </c>
      <c r="R14527" s="5">
        <v>9</v>
      </c>
      <c r="S14527" s="5">
        <v>135</v>
      </c>
    </row>
    <row r="14528" spans="1:19" ht="28" x14ac:dyDescent="0.15">
      <c r="A14528" s="2">
        <f>HYPERLINK("https://open-school.uspishnemisto.com.ua/school/680630/", 680630)</f>
        <v>680630</v>
      </c>
      <c r="B14528" s="3" t="s">
        <v>73275</v>
      </c>
      <c r="C14528" s="3" t="s">
        <v>31</v>
      </c>
      <c r="D14528" s="3" t="s">
        <v>175</v>
      </c>
      <c r="E14528" s="4" t="s">
        <v>22</v>
      </c>
      <c r="F14528" s="4" t="s">
        <v>73276</v>
      </c>
      <c r="G14528" s="4" t="s">
        <v>73277</v>
      </c>
      <c r="H14528" s="3" t="s">
        <v>70238</v>
      </c>
      <c r="I14528" s="3" t="s">
        <v>73278</v>
      </c>
      <c r="J14528" s="3" t="s">
        <v>2372</v>
      </c>
      <c r="K14528" s="3" t="s">
        <v>73279</v>
      </c>
      <c r="L14528" s="3"/>
      <c r="M14528" s="4"/>
      <c r="N14528" s="3" t="s">
        <v>37</v>
      </c>
      <c r="O14528" s="3" t="s">
        <v>52</v>
      </c>
      <c r="P14528" s="5">
        <v>9</v>
      </c>
      <c r="Q14528" s="5">
        <v>52</v>
      </c>
      <c r="R14528" s="5">
        <v>8</v>
      </c>
      <c r="S14528" s="5">
        <v>52</v>
      </c>
    </row>
    <row r="14529" spans="1:19" ht="28" x14ac:dyDescent="0.15">
      <c r="A14529" s="2">
        <f>HYPERLINK("https://open-school.uspishnemisto.com.ua/school/680631/", 680631)</f>
        <v>680631</v>
      </c>
      <c r="B14529" s="3" t="s">
        <v>73280</v>
      </c>
      <c r="C14529" s="3" t="s">
        <v>31</v>
      </c>
      <c r="D14529" s="3" t="s">
        <v>175</v>
      </c>
      <c r="E14529" s="4" t="s">
        <v>22</v>
      </c>
      <c r="F14529" s="4" t="s">
        <v>73281</v>
      </c>
      <c r="G14529" s="4" t="s">
        <v>73282</v>
      </c>
      <c r="H14529" s="3" t="s">
        <v>70238</v>
      </c>
      <c r="I14529" s="3" t="s">
        <v>73283</v>
      </c>
      <c r="J14529" s="3" t="s">
        <v>73284</v>
      </c>
      <c r="K14529" s="3" t="s">
        <v>73285</v>
      </c>
      <c r="L14529" s="3"/>
      <c r="M14529" s="4"/>
      <c r="N14529" s="3" t="s">
        <v>37</v>
      </c>
      <c r="O14529" s="3" t="s">
        <v>70</v>
      </c>
      <c r="P14529" s="5">
        <v>3</v>
      </c>
      <c r="Q14529" s="5">
        <v>35</v>
      </c>
      <c r="R14529" s="5">
        <v>2</v>
      </c>
      <c r="S14529" s="5">
        <v>38</v>
      </c>
    </row>
    <row r="14530" spans="1:19" ht="28" x14ac:dyDescent="0.15">
      <c r="A14530" s="2">
        <f>HYPERLINK("https://open-school.uspishnemisto.com.ua/school/680632/", 680632)</f>
        <v>680632</v>
      </c>
      <c r="B14530" s="3" t="s">
        <v>73286</v>
      </c>
      <c r="C14530" s="3" t="s">
        <v>31</v>
      </c>
      <c r="D14530" s="3" t="s">
        <v>175</v>
      </c>
      <c r="E14530" s="4" t="s">
        <v>22</v>
      </c>
      <c r="F14530" s="4" t="s">
        <v>73287</v>
      </c>
      <c r="G14530" s="4" t="s">
        <v>73288</v>
      </c>
      <c r="H14530" s="3" t="s">
        <v>70238</v>
      </c>
      <c r="I14530" s="3" t="s">
        <v>73289</v>
      </c>
      <c r="J14530" s="3" t="s">
        <v>16428</v>
      </c>
      <c r="K14530" s="3" t="s">
        <v>73290</v>
      </c>
      <c r="L14530" s="3"/>
      <c r="M14530" s="4"/>
      <c r="N14530" s="3" t="s">
        <v>37</v>
      </c>
      <c r="O14530" s="3" t="s">
        <v>52</v>
      </c>
      <c r="P14530" s="5">
        <v>1</v>
      </c>
      <c r="Q14530" s="5">
        <v>27</v>
      </c>
      <c r="R14530" s="5">
        <v>1</v>
      </c>
      <c r="S14530" s="5">
        <v>28</v>
      </c>
    </row>
    <row r="14531" spans="1:19" ht="28" x14ac:dyDescent="0.15">
      <c r="A14531" s="2">
        <f>HYPERLINK("https://open-school.uspishnemisto.com.ua/school/680633/", 680633)</f>
        <v>680633</v>
      </c>
      <c r="B14531" s="3" t="s">
        <v>73291</v>
      </c>
      <c r="C14531" s="3" t="s">
        <v>31</v>
      </c>
      <c r="D14531" s="3" t="s">
        <v>175</v>
      </c>
      <c r="E14531" s="4" t="s">
        <v>22</v>
      </c>
      <c r="F14531" s="4" t="s">
        <v>73292</v>
      </c>
      <c r="G14531" s="4" t="s">
        <v>73293</v>
      </c>
      <c r="H14531" s="3" t="s">
        <v>70238</v>
      </c>
      <c r="I14531" s="3" t="s">
        <v>73294</v>
      </c>
      <c r="J14531" s="3" t="s">
        <v>73295</v>
      </c>
      <c r="K14531" s="3"/>
      <c r="L14531" s="3"/>
      <c r="M14531" s="4"/>
      <c r="N14531" s="3" t="s">
        <v>37</v>
      </c>
      <c r="O14531" s="3" t="s">
        <v>38</v>
      </c>
      <c r="P14531" s="5">
        <v>5</v>
      </c>
      <c r="Q14531" s="5">
        <v>40</v>
      </c>
      <c r="R14531" s="5">
        <v>7</v>
      </c>
      <c r="S14531" s="5">
        <v>47</v>
      </c>
    </row>
    <row r="14532" spans="1:19" ht="56" x14ac:dyDescent="0.15">
      <c r="A14532" s="2">
        <f>HYPERLINK("https://open-school.uspishnemisto.com.ua/school/680634/", 680634)</f>
        <v>680634</v>
      </c>
      <c r="B14532" s="3" t="s">
        <v>73296</v>
      </c>
      <c r="C14532" s="3" t="s">
        <v>54</v>
      </c>
      <c r="D14532" s="3" t="s">
        <v>32</v>
      </c>
      <c r="E14532" s="4" t="s">
        <v>22</v>
      </c>
      <c r="F14532" s="4" t="s">
        <v>73297</v>
      </c>
      <c r="G14532" s="4" t="s">
        <v>73298</v>
      </c>
      <c r="H14532" s="3" t="s">
        <v>70238</v>
      </c>
      <c r="I14532" s="3" t="s">
        <v>12070</v>
      </c>
      <c r="J14532" s="3" t="s">
        <v>73299</v>
      </c>
      <c r="K14532" s="3" t="s">
        <v>73300</v>
      </c>
      <c r="L14532" s="3" t="s">
        <v>73301</v>
      </c>
      <c r="M14532" s="4"/>
      <c r="N14532" s="3" t="s">
        <v>37</v>
      </c>
      <c r="O14532" s="3" t="s">
        <v>70</v>
      </c>
      <c r="P14532" s="5">
        <v>18</v>
      </c>
      <c r="Q14532" s="5">
        <v>298</v>
      </c>
      <c r="R14532" s="5">
        <v>18</v>
      </c>
      <c r="S14532" s="5">
        <v>276</v>
      </c>
    </row>
    <row r="14533" spans="1:19" ht="42" x14ac:dyDescent="0.15">
      <c r="A14533" s="2">
        <f>HYPERLINK("https://open-school.uspishnemisto.com.ua/school/680635/", 680635)</f>
        <v>680635</v>
      </c>
      <c r="B14533" s="3" t="s">
        <v>73302</v>
      </c>
      <c r="C14533" s="3" t="s">
        <v>31</v>
      </c>
      <c r="D14533" s="3" t="s">
        <v>175</v>
      </c>
      <c r="E14533" s="4" t="s">
        <v>22</v>
      </c>
      <c r="F14533" s="4" t="s">
        <v>73303</v>
      </c>
      <c r="G14533" s="4" t="s">
        <v>73304</v>
      </c>
      <c r="H14533" s="3" t="s">
        <v>70238</v>
      </c>
      <c r="I14533" s="3" t="s">
        <v>73305</v>
      </c>
      <c r="J14533" s="3" t="s">
        <v>1078</v>
      </c>
      <c r="K14533" s="3" t="s">
        <v>73306</v>
      </c>
      <c r="L14533" s="3"/>
      <c r="M14533" s="4"/>
      <c r="N14533" s="3" t="s">
        <v>37</v>
      </c>
      <c r="O14533" s="3" t="s">
        <v>46</v>
      </c>
      <c r="P14533" s="5">
        <v>6</v>
      </c>
      <c r="Q14533" s="5">
        <v>55</v>
      </c>
      <c r="R14533" s="5">
        <v>9</v>
      </c>
      <c r="S14533" s="5">
        <v>50</v>
      </c>
    </row>
    <row r="14534" spans="1:19" ht="42" x14ac:dyDescent="0.15">
      <c r="A14534" s="2">
        <f>HYPERLINK("https://open-school.uspishnemisto.com.ua/school/680636/", 680636)</f>
        <v>680636</v>
      </c>
      <c r="B14534" s="3" t="s">
        <v>73307</v>
      </c>
      <c r="C14534" s="3" t="s">
        <v>31</v>
      </c>
      <c r="D14534" s="3" t="s">
        <v>175</v>
      </c>
      <c r="E14534" s="4" t="s">
        <v>22</v>
      </c>
      <c r="F14534" s="4" t="s">
        <v>73308</v>
      </c>
      <c r="G14534" s="4" t="s">
        <v>73309</v>
      </c>
      <c r="H14534" s="3" t="s">
        <v>70238</v>
      </c>
      <c r="I14534" s="3" t="s">
        <v>73310</v>
      </c>
      <c r="J14534" s="3" t="s">
        <v>13483</v>
      </c>
      <c r="K14534" s="3" t="s">
        <v>73311</v>
      </c>
      <c r="L14534" s="3"/>
      <c r="M14534" s="4"/>
      <c r="N14534" s="3" t="s">
        <v>37</v>
      </c>
      <c r="O14534" s="3" t="s">
        <v>112</v>
      </c>
      <c r="P14534" s="5">
        <v>8</v>
      </c>
      <c r="Q14534" s="5">
        <v>32</v>
      </c>
      <c r="R14534" s="5">
        <v>8</v>
      </c>
      <c r="S14534" s="5">
        <v>32</v>
      </c>
    </row>
    <row r="14535" spans="1:19" ht="28" x14ac:dyDescent="0.15">
      <c r="A14535" s="2">
        <f>HYPERLINK("https://open-school.uspishnemisto.com.ua/school/680637/", 680637)</f>
        <v>680637</v>
      </c>
      <c r="B14535" s="3" t="s">
        <v>73312</v>
      </c>
      <c r="C14535" s="3" t="s">
        <v>31</v>
      </c>
      <c r="D14535" s="3" t="s">
        <v>32</v>
      </c>
      <c r="E14535" s="4" t="s">
        <v>22</v>
      </c>
      <c r="F14535" s="4" t="s">
        <v>73313</v>
      </c>
      <c r="G14535" s="4" t="s">
        <v>73314</v>
      </c>
      <c r="H14535" s="3" t="s">
        <v>70238</v>
      </c>
      <c r="I14535" s="3" t="s">
        <v>73315</v>
      </c>
      <c r="J14535" s="3" t="s">
        <v>8348</v>
      </c>
      <c r="K14535" s="3"/>
      <c r="L14535" s="3" t="s">
        <v>73316</v>
      </c>
      <c r="M14535" s="4"/>
      <c r="N14535" s="3" t="s">
        <v>37</v>
      </c>
      <c r="O14535" s="3" t="s">
        <v>70</v>
      </c>
      <c r="P14535" s="5">
        <v>11</v>
      </c>
      <c r="Q14535" s="5">
        <v>158</v>
      </c>
      <c r="R14535" s="5">
        <v>11</v>
      </c>
      <c r="S14535" s="5">
        <v>164</v>
      </c>
    </row>
    <row r="14536" spans="1:19" ht="28" x14ac:dyDescent="0.15">
      <c r="A14536" s="2">
        <f>HYPERLINK("https://open-school.uspishnemisto.com.ua/school/680638/", 680638)</f>
        <v>680638</v>
      </c>
      <c r="B14536" s="3" t="s">
        <v>73317</v>
      </c>
      <c r="C14536" s="3" t="s">
        <v>31</v>
      </c>
      <c r="D14536" s="3" t="s">
        <v>32</v>
      </c>
      <c r="E14536" s="4" t="s">
        <v>22</v>
      </c>
      <c r="F14536" s="4" t="s">
        <v>73318</v>
      </c>
      <c r="G14536" s="4" t="s">
        <v>73319</v>
      </c>
      <c r="H14536" s="3" t="s">
        <v>70238</v>
      </c>
      <c r="I14536" s="3" t="s">
        <v>63579</v>
      </c>
      <c r="J14536" s="3" t="s">
        <v>73320</v>
      </c>
      <c r="K14536" s="3" t="s">
        <v>73321</v>
      </c>
      <c r="L14536" s="3"/>
      <c r="M14536" s="4"/>
      <c r="N14536" s="3" t="s">
        <v>37</v>
      </c>
      <c r="O14536" s="3" t="s">
        <v>266</v>
      </c>
      <c r="P14536" s="5">
        <v>11</v>
      </c>
      <c r="Q14536" s="5">
        <v>185</v>
      </c>
      <c r="R14536" s="5">
        <v>11</v>
      </c>
      <c r="S14536" s="5">
        <v>170</v>
      </c>
    </row>
    <row r="14537" spans="1:19" ht="42" x14ac:dyDescent="0.15">
      <c r="A14537" s="2">
        <f>HYPERLINK("https://open-school.uspishnemisto.com.ua/school/680639/", 680639)</f>
        <v>680639</v>
      </c>
      <c r="B14537" s="3" t="s">
        <v>73322</v>
      </c>
      <c r="C14537" s="3" t="s">
        <v>31</v>
      </c>
      <c r="D14537" s="3" t="s">
        <v>175</v>
      </c>
      <c r="E14537" s="4" t="s">
        <v>22</v>
      </c>
      <c r="F14537" s="4" t="s">
        <v>73323</v>
      </c>
      <c r="G14537" s="4" t="s">
        <v>73324</v>
      </c>
      <c r="H14537" s="3" t="s">
        <v>70238</v>
      </c>
      <c r="I14537" s="3" t="s">
        <v>73325</v>
      </c>
      <c r="J14537" s="3" t="s">
        <v>2372</v>
      </c>
      <c r="K14537" s="3" t="s">
        <v>73326</v>
      </c>
      <c r="L14537" s="3" t="s">
        <v>73327</v>
      </c>
      <c r="M14537" s="4"/>
      <c r="N14537" s="3" t="s">
        <v>37</v>
      </c>
      <c r="O14537" s="3" t="s">
        <v>38</v>
      </c>
      <c r="P14537" s="5">
        <v>7</v>
      </c>
      <c r="Q14537" s="5">
        <v>53</v>
      </c>
      <c r="R14537" s="5">
        <v>7</v>
      </c>
      <c r="S14537" s="5">
        <v>60</v>
      </c>
    </row>
    <row r="14538" spans="1:19" ht="28" x14ac:dyDescent="0.15">
      <c r="A14538" s="2">
        <f>HYPERLINK("https://open-school.uspishnemisto.com.ua/school/680640/", 680640)</f>
        <v>680640</v>
      </c>
      <c r="B14538" s="3" t="s">
        <v>73328</v>
      </c>
      <c r="C14538" s="3" t="s">
        <v>31</v>
      </c>
      <c r="D14538" s="3" t="s">
        <v>175</v>
      </c>
      <c r="E14538" s="4" t="s">
        <v>22</v>
      </c>
      <c r="F14538" s="4" t="s">
        <v>73329</v>
      </c>
      <c r="G14538" s="4" t="s">
        <v>73330</v>
      </c>
      <c r="H14538" s="3" t="s">
        <v>70238</v>
      </c>
      <c r="I14538" s="3" t="s">
        <v>73331</v>
      </c>
      <c r="J14538" s="3" t="s">
        <v>8007</v>
      </c>
      <c r="K14538" s="3"/>
      <c r="L14538" s="3" t="s">
        <v>73332</v>
      </c>
      <c r="M14538" s="4"/>
      <c r="N14538" s="3" t="s">
        <v>37</v>
      </c>
      <c r="O14538" s="3" t="s">
        <v>38</v>
      </c>
      <c r="P14538" s="5">
        <v>7</v>
      </c>
      <c r="Q14538" s="5">
        <v>58</v>
      </c>
      <c r="R14538" s="5">
        <v>8</v>
      </c>
      <c r="S14538" s="5">
        <v>61</v>
      </c>
    </row>
    <row r="14539" spans="1:19" ht="56" x14ac:dyDescent="0.15">
      <c r="A14539" s="2">
        <f>HYPERLINK("https://open-school.uspishnemisto.com.ua/school/680641/", 680641)</f>
        <v>680641</v>
      </c>
      <c r="B14539" s="3" t="s">
        <v>73333</v>
      </c>
      <c r="C14539" s="3" t="s">
        <v>54</v>
      </c>
      <c r="D14539" s="3" t="s">
        <v>32</v>
      </c>
      <c r="E14539" s="4" t="s">
        <v>22</v>
      </c>
      <c r="F14539" s="4" t="s">
        <v>73334</v>
      </c>
      <c r="G14539" s="4" t="s">
        <v>73335</v>
      </c>
      <c r="H14539" s="3" t="s">
        <v>70238</v>
      </c>
      <c r="I14539" s="3" t="s">
        <v>73336</v>
      </c>
      <c r="J14539" s="3" t="s">
        <v>73337</v>
      </c>
      <c r="K14539" s="3" t="s">
        <v>73338</v>
      </c>
      <c r="L14539" s="3"/>
      <c r="M14539" s="4"/>
      <c r="N14539" s="3" t="s">
        <v>37</v>
      </c>
      <c r="O14539" s="3" t="s">
        <v>46</v>
      </c>
      <c r="P14539" s="5">
        <v>12</v>
      </c>
      <c r="Q14539" s="5">
        <v>206</v>
      </c>
      <c r="R14539" s="5">
        <v>12</v>
      </c>
      <c r="S14539" s="5">
        <v>201</v>
      </c>
    </row>
    <row r="14540" spans="1:19" ht="42" x14ac:dyDescent="0.15">
      <c r="A14540" s="2">
        <f>HYPERLINK("https://open-school.uspishnemisto.com.ua/school/680642/", 680642)</f>
        <v>680642</v>
      </c>
      <c r="B14540" s="3" t="s">
        <v>73339</v>
      </c>
      <c r="C14540" s="3" t="s">
        <v>31</v>
      </c>
      <c r="D14540" s="3" t="s">
        <v>32</v>
      </c>
      <c r="E14540" s="4" t="s">
        <v>22</v>
      </c>
      <c r="F14540" s="4" t="s">
        <v>73340</v>
      </c>
      <c r="G14540" s="4" t="s">
        <v>73341</v>
      </c>
      <c r="H14540" s="3" t="s">
        <v>70238</v>
      </c>
      <c r="I14540" s="3" t="s">
        <v>73342</v>
      </c>
      <c r="J14540" s="3" t="s">
        <v>73343</v>
      </c>
      <c r="K14540" s="3" t="s">
        <v>73344</v>
      </c>
      <c r="L14540" s="3" t="s">
        <v>73345</v>
      </c>
      <c r="M14540" s="4"/>
      <c r="N14540" s="3" t="s">
        <v>37</v>
      </c>
      <c r="O14540" s="3" t="s">
        <v>52</v>
      </c>
      <c r="P14540" s="5">
        <v>10</v>
      </c>
      <c r="Q14540" s="5">
        <v>146</v>
      </c>
      <c r="R14540" s="5">
        <v>11</v>
      </c>
      <c r="S14540" s="5">
        <v>152</v>
      </c>
    </row>
    <row r="14541" spans="1:19" ht="28" x14ac:dyDescent="0.15">
      <c r="A14541" s="2">
        <f>HYPERLINK("https://open-school.uspishnemisto.com.ua/school/680643/", 680643)</f>
        <v>680643</v>
      </c>
      <c r="B14541" s="3" t="s">
        <v>73346</v>
      </c>
      <c r="C14541" s="3" t="s">
        <v>31</v>
      </c>
      <c r="D14541" s="3" t="s">
        <v>60</v>
      </c>
      <c r="E14541" s="4" t="s">
        <v>22</v>
      </c>
      <c r="F14541" s="4" t="s">
        <v>73347</v>
      </c>
      <c r="G14541" s="4" t="s">
        <v>73348</v>
      </c>
      <c r="H14541" s="3" t="s">
        <v>70238</v>
      </c>
      <c r="I14541" s="3" t="s">
        <v>73349</v>
      </c>
      <c r="J14541" s="3" t="s">
        <v>73350</v>
      </c>
      <c r="K14541" s="3"/>
      <c r="L14541" s="3"/>
      <c r="M14541" s="4"/>
      <c r="N14541" s="3" t="s">
        <v>37</v>
      </c>
      <c r="O14541" s="3" t="s">
        <v>52</v>
      </c>
      <c r="P14541" s="5">
        <v>1</v>
      </c>
      <c r="Q14541" s="5">
        <v>11</v>
      </c>
      <c r="R14541" s="5">
        <v>1</v>
      </c>
      <c r="S14541" s="5">
        <v>15</v>
      </c>
    </row>
    <row r="14542" spans="1:19" ht="42" x14ac:dyDescent="0.15">
      <c r="A14542" s="2">
        <f>HYPERLINK("https://open-school.uspishnemisto.com.ua/school/680644/", 680644)</f>
        <v>680644</v>
      </c>
      <c r="B14542" s="3" t="s">
        <v>73351</v>
      </c>
      <c r="C14542" s="3" t="s">
        <v>31</v>
      </c>
      <c r="D14542" s="3" t="s">
        <v>32</v>
      </c>
      <c r="E14542" s="4" t="s">
        <v>22</v>
      </c>
      <c r="F14542" s="4" t="s">
        <v>73352</v>
      </c>
      <c r="G14542" s="4" t="s">
        <v>73353</v>
      </c>
      <c r="H14542" s="3" t="s">
        <v>70238</v>
      </c>
      <c r="I14542" s="3" t="s">
        <v>73354</v>
      </c>
      <c r="J14542" s="3" t="s">
        <v>2555</v>
      </c>
      <c r="K14542" s="3" t="s">
        <v>73355</v>
      </c>
      <c r="L14542" s="3"/>
      <c r="M14542" s="4"/>
      <c r="N14542" s="3" t="s">
        <v>37</v>
      </c>
      <c r="O14542" s="3" t="s">
        <v>46</v>
      </c>
      <c r="P14542" s="5">
        <v>11</v>
      </c>
      <c r="Q14542" s="5">
        <v>143</v>
      </c>
      <c r="R14542" s="5">
        <v>11</v>
      </c>
      <c r="S14542" s="5">
        <v>138</v>
      </c>
    </row>
    <row r="14543" spans="1:19" ht="28" x14ac:dyDescent="0.15">
      <c r="A14543" s="2">
        <f>HYPERLINK("https://open-school.uspishnemisto.com.ua/school/680645/", 680645)</f>
        <v>680645</v>
      </c>
      <c r="B14543" s="3" t="s">
        <v>73356</v>
      </c>
      <c r="C14543" s="3" t="s">
        <v>31</v>
      </c>
      <c r="D14543" s="3" t="s">
        <v>175</v>
      </c>
      <c r="E14543" s="4" t="s">
        <v>22</v>
      </c>
      <c r="F14543" s="4" t="s">
        <v>73357</v>
      </c>
      <c r="G14543" s="4" t="s">
        <v>73358</v>
      </c>
      <c r="H14543" s="3" t="s">
        <v>70238</v>
      </c>
      <c r="I14543" s="3" t="s">
        <v>73359</v>
      </c>
      <c r="J14543" s="3" t="s">
        <v>73360</v>
      </c>
      <c r="K14543" s="3" t="s">
        <v>73361</v>
      </c>
      <c r="L14543" s="3"/>
      <c r="M14543" s="4"/>
      <c r="N14543" s="3" t="s">
        <v>37</v>
      </c>
      <c r="O14543" s="3" t="s">
        <v>38</v>
      </c>
      <c r="P14543" s="5">
        <v>3</v>
      </c>
      <c r="Q14543" s="5">
        <v>25</v>
      </c>
      <c r="R14543" s="5">
        <v>2</v>
      </c>
      <c r="S14543" s="5">
        <v>25</v>
      </c>
    </row>
    <row r="14544" spans="1:19" ht="28" x14ac:dyDescent="0.15">
      <c r="A14544" s="2">
        <f>HYPERLINK("https://open-school.uspishnemisto.com.ua/school/680646/", 680646)</f>
        <v>680646</v>
      </c>
      <c r="B14544" s="3" t="s">
        <v>73362</v>
      </c>
      <c r="C14544" s="3" t="s">
        <v>31</v>
      </c>
      <c r="D14544" s="3" t="s">
        <v>175</v>
      </c>
      <c r="E14544" s="4" t="s">
        <v>22</v>
      </c>
      <c r="F14544" s="4" t="s">
        <v>73363</v>
      </c>
      <c r="G14544" s="4" t="s">
        <v>73364</v>
      </c>
      <c r="H14544" s="3" t="s">
        <v>70238</v>
      </c>
      <c r="I14544" s="3" t="s">
        <v>73365</v>
      </c>
      <c r="J14544" s="3" t="s">
        <v>12702</v>
      </c>
      <c r="K14544" s="3" t="s">
        <v>73366</v>
      </c>
      <c r="L14544" s="3"/>
      <c r="M14544" s="4"/>
      <c r="N14544" s="3" t="s">
        <v>37</v>
      </c>
      <c r="O14544" s="3" t="s">
        <v>38</v>
      </c>
      <c r="P14544" s="5">
        <v>9</v>
      </c>
      <c r="Q14544" s="5">
        <v>75</v>
      </c>
      <c r="R14544" s="5">
        <v>9</v>
      </c>
      <c r="S14544" s="5">
        <v>69</v>
      </c>
    </row>
    <row r="14545" spans="1:19" ht="28" x14ac:dyDescent="0.15">
      <c r="A14545" s="2">
        <f>HYPERLINK("https://open-school.uspishnemisto.com.ua/school/680647/", 680647)</f>
        <v>680647</v>
      </c>
      <c r="B14545" s="3" t="s">
        <v>73367</v>
      </c>
      <c r="C14545" s="3" t="s">
        <v>31</v>
      </c>
      <c r="D14545" s="3" t="s">
        <v>32</v>
      </c>
      <c r="E14545" s="4" t="s">
        <v>22</v>
      </c>
      <c r="F14545" s="4" t="s">
        <v>73368</v>
      </c>
      <c r="G14545" s="4" t="s">
        <v>73369</v>
      </c>
      <c r="H14545" s="3" t="s">
        <v>70238</v>
      </c>
      <c r="I14545" s="3" t="s">
        <v>41412</v>
      </c>
      <c r="J14545" s="3" t="s">
        <v>73370</v>
      </c>
      <c r="K14545" s="3" t="s">
        <v>73371</v>
      </c>
      <c r="L14545" s="3"/>
      <c r="M14545" s="4"/>
      <c r="N14545" s="3" t="s">
        <v>37</v>
      </c>
      <c r="O14545" s="3" t="s">
        <v>38</v>
      </c>
      <c r="P14545" s="5">
        <v>4</v>
      </c>
      <c r="Q14545" s="5">
        <v>40</v>
      </c>
      <c r="R14545" s="5">
        <v>5</v>
      </c>
      <c r="S14545" s="5">
        <v>48</v>
      </c>
    </row>
    <row r="14546" spans="1:19" ht="28" x14ac:dyDescent="0.15">
      <c r="A14546" s="2">
        <f>HYPERLINK("https://open-school.uspishnemisto.com.ua/school/680648/", 680648)</f>
        <v>680648</v>
      </c>
      <c r="B14546" s="3" t="s">
        <v>73372</v>
      </c>
      <c r="C14546" s="3" t="s">
        <v>31</v>
      </c>
      <c r="D14546" s="3" t="s">
        <v>175</v>
      </c>
      <c r="E14546" s="4" t="s">
        <v>22</v>
      </c>
      <c r="F14546" s="4" t="s">
        <v>73373</v>
      </c>
      <c r="G14546" s="4" t="s">
        <v>73374</v>
      </c>
      <c r="H14546" s="3" t="s">
        <v>70238</v>
      </c>
      <c r="I14546" s="3" t="s">
        <v>73375</v>
      </c>
      <c r="J14546" s="3" t="s">
        <v>2601</v>
      </c>
      <c r="K14546" s="3" t="s">
        <v>73376</v>
      </c>
      <c r="L14546" s="3" t="s">
        <v>73377</v>
      </c>
      <c r="M14546" s="4"/>
      <c r="N14546" s="3" t="s">
        <v>37</v>
      </c>
      <c r="O14546" s="3" t="s">
        <v>721</v>
      </c>
      <c r="P14546" s="5">
        <v>9</v>
      </c>
      <c r="Q14546" s="5">
        <v>134</v>
      </c>
      <c r="R14546" s="5">
        <v>9</v>
      </c>
      <c r="S14546" s="5">
        <v>119</v>
      </c>
    </row>
    <row r="14547" spans="1:19" ht="42" x14ac:dyDescent="0.15">
      <c r="A14547" s="2">
        <f>HYPERLINK("https://open-school.uspishnemisto.com.ua/school/680649/", 680649)</f>
        <v>680649</v>
      </c>
      <c r="B14547" s="3" t="s">
        <v>73378</v>
      </c>
      <c r="C14547" s="3" t="s">
        <v>54</v>
      </c>
      <c r="D14547" s="3" t="s">
        <v>32</v>
      </c>
      <c r="E14547" s="4" t="s">
        <v>22</v>
      </c>
      <c r="F14547" s="4" t="s">
        <v>73373</v>
      </c>
      <c r="G14547" s="4" t="s">
        <v>73379</v>
      </c>
      <c r="H14547" s="3" t="s">
        <v>70238</v>
      </c>
      <c r="I14547" s="3" t="s">
        <v>1694</v>
      </c>
      <c r="J14547" s="3" t="s">
        <v>634</v>
      </c>
      <c r="K14547" s="3" t="s">
        <v>73380</v>
      </c>
      <c r="L14547" s="3"/>
      <c r="M14547" s="4"/>
      <c r="N14547" s="3" t="s">
        <v>37</v>
      </c>
      <c r="O14547" s="3" t="s">
        <v>46</v>
      </c>
      <c r="P14547" s="5">
        <v>11</v>
      </c>
      <c r="Q14547" s="5">
        <v>205</v>
      </c>
      <c r="R14547" s="5">
        <v>11</v>
      </c>
      <c r="S14547" s="5">
        <v>197</v>
      </c>
    </row>
    <row r="14548" spans="1:19" ht="28" x14ac:dyDescent="0.15">
      <c r="A14548" s="2">
        <f>HYPERLINK("https://open-school.uspishnemisto.com.ua/school/680650/", 680650)</f>
        <v>680650</v>
      </c>
      <c r="B14548" s="3" t="s">
        <v>73381</v>
      </c>
      <c r="C14548" s="3" t="s">
        <v>31</v>
      </c>
      <c r="D14548" s="3" t="s">
        <v>175</v>
      </c>
      <c r="E14548" s="4" t="s">
        <v>22</v>
      </c>
      <c r="F14548" s="4" t="s">
        <v>73382</v>
      </c>
      <c r="G14548" s="4" t="s">
        <v>73383</v>
      </c>
      <c r="H14548" s="3" t="s">
        <v>70238</v>
      </c>
      <c r="I14548" s="3" t="s">
        <v>73384</v>
      </c>
      <c r="J14548" s="3" t="s">
        <v>10823</v>
      </c>
      <c r="K14548" s="3"/>
      <c r="L14548" s="3" t="s">
        <v>73385</v>
      </c>
      <c r="M14548" s="4"/>
      <c r="N14548" s="3" t="s">
        <v>37</v>
      </c>
      <c r="O14548" s="3" t="s">
        <v>38</v>
      </c>
      <c r="P14548" s="5">
        <v>2</v>
      </c>
      <c r="Q14548" s="5">
        <v>30</v>
      </c>
      <c r="R14548" s="5">
        <v>3</v>
      </c>
      <c r="S14548" s="5">
        <v>34</v>
      </c>
    </row>
    <row r="14549" spans="1:19" ht="28" x14ac:dyDescent="0.15">
      <c r="A14549" s="2">
        <f>HYPERLINK("https://open-school.uspishnemisto.com.ua/school/680651/", 680651)</f>
        <v>680651</v>
      </c>
      <c r="B14549" s="3" t="s">
        <v>73386</v>
      </c>
      <c r="C14549" s="3" t="s">
        <v>31</v>
      </c>
      <c r="D14549" s="3" t="s">
        <v>175</v>
      </c>
      <c r="E14549" s="4" t="s">
        <v>22</v>
      </c>
      <c r="F14549" s="4" t="s">
        <v>73387</v>
      </c>
      <c r="G14549" s="4" t="s">
        <v>73388</v>
      </c>
      <c r="H14549" s="3" t="s">
        <v>70238</v>
      </c>
      <c r="I14549" s="3" t="s">
        <v>73389</v>
      </c>
      <c r="J14549" s="3" t="s">
        <v>4550</v>
      </c>
      <c r="K14549" s="3" t="s">
        <v>73390</v>
      </c>
      <c r="L14549" s="3"/>
      <c r="M14549" s="4"/>
      <c r="N14549" s="3" t="s">
        <v>37</v>
      </c>
      <c r="O14549" s="3" t="s">
        <v>38</v>
      </c>
      <c r="P14549" s="5">
        <v>9</v>
      </c>
      <c r="Q14549" s="5">
        <v>75</v>
      </c>
      <c r="R14549" s="5">
        <v>9</v>
      </c>
      <c r="S14549" s="5">
        <v>77</v>
      </c>
    </row>
    <row r="14550" spans="1:19" ht="28" x14ac:dyDescent="0.15">
      <c r="A14550" s="2">
        <f>HYPERLINK("https://open-school.uspishnemisto.com.ua/school/680652/", 680652)</f>
        <v>680652</v>
      </c>
      <c r="B14550" s="3" t="s">
        <v>73391</v>
      </c>
      <c r="C14550" s="3" t="s">
        <v>31</v>
      </c>
      <c r="D14550" s="3" t="s">
        <v>32</v>
      </c>
      <c r="E14550" s="4" t="s">
        <v>22</v>
      </c>
      <c r="F14550" s="4" t="s">
        <v>73392</v>
      </c>
      <c r="G14550" s="4" t="s">
        <v>73393</v>
      </c>
      <c r="H14550" s="3" t="s">
        <v>70238</v>
      </c>
      <c r="I14550" s="3" t="s">
        <v>73394</v>
      </c>
      <c r="J14550" s="3" t="s">
        <v>73395</v>
      </c>
      <c r="K14550" s="3" t="s">
        <v>73396</v>
      </c>
      <c r="L14550" s="3" t="s">
        <v>73397</v>
      </c>
      <c r="M14550" s="4"/>
      <c r="N14550" s="3" t="s">
        <v>37</v>
      </c>
      <c r="O14550" s="3" t="s">
        <v>38</v>
      </c>
      <c r="P14550" s="5">
        <v>10</v>
      </c>
      <c r="Q14550" s="5">
        <v>97</v>
      </c>
      <c r="R14550" s="5">
        <v>11</v>
      </c>
      <c r="S14550" s="5">
        <v>101</v>
      </c>
    </row>
    <row r="14551" spans="1:19" ht="42" x14ac:dyDescent="0.15">
      <c r="A14551" s="2">
        <f>HYPERLINK("https://open-school.uspishnemisto.com.ua/school/680653/", 680653)</f>
        <v>680653</v>
      </c>
      <c r="B14551" s="3" t="s">
        <v>73398</v>
      </c>
      <c r="C14551" s="3" t="s">
        <v>31</v>
      </c>
      <c r="D14551" s="3" t="s">
        <v>175</v>
      </c>
      <c r="E14551" s="4" t="s">
        <v>22</v>
      </c>
      <c r="F14551" s="4" t="s">
        <v>73399</v>
      </c>
      <c r="G14551" s="4" t="s">
        <v>73400</v>
      </c>
      <c r="H14551" s="3" t="s">
        <v>70238</v>
      </c>
      <c r="I14551" s="3" t="s">
        <v>72914</v>
      </c>
      <c r="J14551" s="3" t="s">
        <v>51597</v>
      </c>
      <c r="K14551" s="3" t="s">
        <v>73401</v>
      </c>
      <c r="L14551" s="3"/>
      <c r="M14551" s="4"/>
      <c r="N14551" s="3" t="s">
        <v>37</v>
      </c>
      <c r="O14551" s="3" t="s">
        <v>52</v>
      </c>
      <c r="P14551" s="5">
        <v>5</v>
      </c>
      <c r="Q14551" s="5">
        <v>45</v>
      </c>
      <c r="R14551" s="5">
        <v>5</v>
      </c>
      <c r="S14551" s="5">
        <v>48</v>
      </c>
    </row>
    <row r="14552" spans="1:19" ht="28" x14ac:dyDescent="0.15">
      <c r="A14552" s="2">
        <f>HYPERLINK("https://open-school.uspishnemisto.com.ua/school/680654/", 680654)</f>
        <v>680654</v>
      </c>
      <c r="B14552" s="3" t="s">
        <v>73402</v>
      </c>
      <c r="C14552" s="3" t="s">
        <v>54</v>
      </c>
      <c r="D14552" s="3" t="s">
        <v>60</v>
      </c>
      <c r="E14552" s="4" t="s">
        <v>22</v>
      </c>
      <c r="F14552" s="4" t="s">
        <v>73403</v>
      </c>
      <c r="G14552" s="4" t="s">
        <v>73404</v>
      </c>
      <c r="H14552" s="3" t="s">
        <v>70238</v>
      </c>
      <c r="I14552" s="3" t="s">
        <v>73405</v>
      </c>
      <c r="J14552" s="3" t="s">
        <v>297</v>
      </c>
      <c r="K14552" s="3" t="s">
        <v>73406</v>
      </c>
      <c r="L14552" s="3" t="s">
        <v>73407</v>
      </c>
      <c r="M14552" s="4"/>
      <c r="N14552" s="3" t="s">
        <v>37</v>
      </c>
      <c r="O14552" s="3" t="s">
        <v>52</v>
      </c>
      <c r="P14552" s="5">
        <v>4</v>
      </c>
      <c r="Q14552" s="5">
        <v>21</v>
      </c>
      <c r="R14552" s="5">
        <v>4</v>
      </c>
      <c r="S14552" s="5">
        <v>24</v>
      </c>
    </row>
    <row r="14553" spans="1:19" ht="28" x14ac:dyDescent="0.15">
      <c r="A14553" s="2">
        <f>HYPERLINK("https://open-school.uspishnemisto.com.ua/school/680655/", 680655)</f>
        <v>680655</v>
      </c>
      <c r="B14553" s="3" t="s">
        <v>73408</v>
      </c>
      <c r="C14553" s="3" t="s">
        <v>31</v>
      </c>
      <c r="D14553" s="3" t="s">
        <v>175</v>
      </c>
      <c r="E14553" s="4" t="s">
        <v>22</v>
      </c>
      <c r="F14553" s="4" t="s">
        <v>73403</v>
      </c>
      <c r="G14553" s="4" t="s">
        <v>73409</v>
      </c>
      <c r="H14553" s="3" t="s">
        <v>70238</v>
      </c>
      <c r="I14553" s="3" t="s">
        <v>5263</v>
      </c>
      <c r="J14553" s="3" t="s">
        <v>1348</v>
      </c>
      <c r="K14553" s="3"/>
      <c r="L14553" s="3" t="s">
        <v>73410</v>
      </c>
      <c r="M14553" s="4"/>
      <c r="N14553" s="3" t="s">
        <v>37</v>
      </c>
      <c r="O14553" s="3" t="s">
        <v>46</v>
      </c>
      <c r="P14553" s="5">
        <v>9</v>
      </c>
      <c r="Q14553" s="5">
        <v>91</v>
      </c>
      <c r="R14553" s="5">
        <v>9</v>
      </c>
      <c r="S14553" s="5">
        <v>84</v>
      </c>
    </row>
    <row r="14554" spans="1:19" ht="42" x14ac:dyDescent="0.15">
      <c r="A14554" s="2">
        <f>HYPERLINK("https://open-school.uspishnemisto.com.ua/school/680656/", 680656)</f>
        <v>680656</v>
      </c>
      <c r="B14554" s="3" t="s">
        <v>73411</v>
      </c>
      <c r="C14554" s="3" t="s">
        <v>31</v>
      </c>
      <c r="D14554" s="3" t="s">
        <v>175</v>
      </c>
      <c r="E14554" s="4" t="s">
        <v>22</v>
      </c>
      <c r="F14554" s="4" t="s">
        <v>73412</v>
      </c>
      <c r="G14554" s="4" t="s">
        <v>73413</v>
      </c>
      <c r="H14554" s="3" t="s">
        <v>70238</v>
      </c>
      <c r="I14554" s="3" t="s">
        <v>73414</v>
      </c>
      <c r="J14554" s="3" t="s">
        <v>1900</v>
      </c>
      <c r="K14554" s="3" t="s">
        <v>73415</v>
      </c>
      <c r="L14554" s="3"/>
      <c r="M14554" s="4"/>
      <c r="N14554" s="3" t="s">
        <v>37</v>
      </c>
      <c r="O14554" s="3" t="s">
        <v>46</v>
      </c>
      <c r="P14554" s="5">
        <v>1</v>
      </c>
      <c r="Q14554" s="5">
        <v>30</v>
      </c>
      <c r="R14554" s="5">
        <v>2</v>
      </c>
      <c r="S14554" s="5">
        <v>32</v>
      </c>
    </row>
    <row r="14555" spans="1:19" ht="28" x14ac:dyDescent="0.15">
      <c r="A14555" s="2">
        <f>HYPERLINK("https://open-school.uspishnemisto.com.ua/school/680657/", 680657)</f>
        <v>680657</v>
      </c>
      <c r="B14555" s="3" t="s">
        <v>73416</v>
      </c>
      <c r="C14555" s="3" t="s">
        <v>31</v>
      </c>
      <c r="D14555" s="3" t="s">
        <v>32</v>
      </c>
      <c r="E14555" s="4" t="s">
        <v>22</v>
      </c>
      <c r="F14555" s="4" t="s">
        <v>73417</v>
      </c>
      <c r="G14555" s="4" t="s">
        <v>73418</v>
      </c>
      <c r="H14555" s="3" t="s">
        <v>70238</v>
      </c>
      <c r="I14555" s="3" t="s">
        <v>73419</v>
      </c>
      <c r="J14555" s="3" t="s">
        <v>14272</v>
      </c>
      <c r="K14555" s="3" t="s">
        <v>73420</v>
      </c>
      <c r="L14555" s="3"/>
      <c r="M14555" s="4"/>
      <c r="N14555" s="3" t="s">
        <v>37</v>
      </c>
      <c r="O14555" s="3" t="s">
        <v>46</v>
      </c>
      <c r="P14555" s="5">
        <v>10</v>
      </c>
      <c r="Q14555" s="5">
        <v>122</v>
      </c>
      <c r="R14555" s="5">
        <v>11</v>
      </c>
      <c r="S14555" s="5">
        <v>114</v>
      </c>
    </row>
    <row r="14556" spans="1:19" ht="28" x14ac:dyDescent="0.15">
      <c r="A14556" s="2">
        <f>HYPERLINK("https://open-school.uspishnemisto.com.ua/school/680658/", 680658)</f>
        <v>680658</v>
      </c>
      <c r="B14556" s="3" t="s">
        <v>73421</v>
      </c>
      <c r="C14556" s="3" t="s">
        <v>31</v>
      </c>
      <c r="D14556" s="3" t="s">
        <v>32</v>
      </c>
      <c r="E14556" s="4" t="s">
        <v>22</v>
      </c>
      <c r="F14556" s="4" t="s">
        <v>73422</v>
      </c>
      <c r="G14556" s="4" t="s">
        <v>73423</v>
      </c>
      <c r="H14556" s="3" t="s">
        <v>70238</v>
      </c>
      <c r="I14556" s="3" t="s">
        <v>73424</v>
      </c>
      <c r="J14556" s="3" t="s">
        <v>73425</v>
      </c>
      <c r="K14556" s="3" t="s">
        <v>73426</v>
      </c>
      <c r="L14556" s="3"/>
      <c r="M14556" s="4"/>
      <c r="N14556" s="3" t="s">
        <v>37</v>
      </c>
      <c r="O14556" s="3" t="s">
        <v>70</v>
      </c>
      <c r="P14556" s="5">
        <v>10</v>
      </c>
      <c r="Q14556" s="5">
        <v>87</v>
      </c>
      <c r="R14556" s="5">
        <v>10</v>
      </c>
      <c r="S14556" s="5">
        <v>93</v>
      </c>
    </row>
    <row r="14557" spans="1:19" ht="28" x14ac:dyDescent="0.15">
      <c r="A14557" s="2">
        <f>HYPERLINK("https://open-school.uspishnemisto.com.ua/school/680659/", 680659)</f>
        <v>680659</v>
      </c>
      <c r="B14557" s="3" t="s">
        <v>73427</v>
      </c>
      <c r="C14557" s="3" t="s">
        <v>31</v>
      </c>
      <c r="D14557" s="3" t="s">
        <v>175</v>
      </c>
      <c r="E14557" s="4" t="s">
        <v>22</v>
      </c>
      <c r="F14557" s="4" t="s">
        <v>73428</v>
      </c>
      <c r="G14557" s="4" t="s">
        <v>73429</v>
      </c>
      <c r="H14557" s="3" t="s">
        <v>70238</v>
      </c>
      <c r="I14557" s="3" t="s">
        <v>73430</v>
      </c>
      <c r="J14557" s="3" t="s">
        <v>73431</v>
      </c>
      <c r="K14557" s="3" t="s">
        <v>73432</v>
      </c>
      <c r="L14557" s="3"/>
      <c r="M14557" s="4"/>
      <c r="N14557" s="3" t="s">
        <v>37</v>
      </c>
      <c r="O14557" s="3" t="s">
        <v>46</v>
      </c>
      <c r="P14557" s="5">
        <v>6</v>
      </c>
      <c r="Q14557" s="5">
        <v>46</v>
      </c>
      <c r="R14557" s="5">
        <v>5</v>
      </c>
      <c r="S14557" s="5">
        <v>45</v>
      </c>
    </row>
    <row r="14558" spans="1:19" ht="56" x14ac:dyDescent="0.15">
      <c r="A14558" s="2">
        <f>HYPERLINK("https://open-school.uspishnemisto.com.ua/school/680660/", 680660)</f>
        <v>680660</v>
      </c>
      <c r="B14558" s="3" t="s">
        <v>73433</v>
      </c>
      <c r="C14558" s="3" t="s">
        <v>31</v>
      </c>
      <c r="D14558" s="3" t="s">
        <v>32</v>
      </c>
      <c r="E14558" s="4" t="s">
        <v>22</v>
      </c>
      <c r="F14558" s="4" t="s">
        <v>73434</v>
      </c>
      <c r="G14558" s="4" t="s">
        <v>73435</v>
      </c>
      <c r="H14558" s="3" t="s">
        <v>70238</v>
      </c>
      <c r="I14558" s="3" t="s">
        <v>73436</v>
      </c>
      <c r="J14558" s="3" t="s">
        <v>17154</v>
      </c>
      <c r="K14558" s="3"/>
      <c r="L14558" s="3"/>
      <c r="M14558" s="4"/>
      <c r="N14558" s="3" t="s">
        <v>37</v>
      </c>
      <c r="O14558" s="3" t="s">
        <v>38</v>
      </c>
      <c r="P14558" s="5">
        <v>11</v>
      </c>
      <c r="Q14558" s="5">
        <v>146</v>
      </c>
      <c r="R14558" s="5">
        <v>11</v>
      </c>
      <c r="S14558" s="5">
        <v>144</v>
      </c>
    </row>
    <row r="14559" spans="1:19" ht="56" x14ac:dyDescent="0.15">
      <c r="A14559" s="2">
        <f>HYPERLINK("https://open-school.uspishnemisto.com.ua/school/680661/", 680661)</f>
        <v>680661</v>
      </c>
      <c r="B14559" s="3" t="s">
        <v>73437</v>
      </c>
      <c r="C14559" s="3" t="s">
        <v>31</v>
      </c>
      <c r="D14559" s="3" t="s">
        <v>32</v>
      </c>
      <c r="E14559" s="4" t="s">
        <v>22</v>
      </c>
      <c r="F14559" s="4" t="s">
        <v>73438</v>
      </c>
      <c r="G14559" s="4" t="s">
        <v>73439</v>
      </c>
      <c r="H14559" s="3" t="s">
        <v>70238</v>
      </c>
      <c r="I14559" s="3" t="s">
        <v>73440</v>
      </c>
      <c r="J14559" s="3" t="s">
        <v>5264</v>
      </c>
      <c r="K14559" s="3" t="s">
        <v>73441</v>
      </c>
      <c r="L14559" s="3"/>
      <c r="M14559" s="4"/>
      <c r="N14559" s="3" t="s">
        <v>37</v>
      </c>
      <c r="O14559" s="3" t="s">
        <v>38</v>
      </c>
      <c r="P14559" s="5">
        <v>11</v>
      </c>
      <c r="Q14559" s="5">
        <v>198</v>
      </c>
      <c r="R14559" s="5">
        <v>11</v>
      </c>
      <c r="S14559" s="5">
        <v>191</v>
      </c>
    </row>
    <row r="14560" spans="1:19" ht="28" x14ac:dyDescent="0.15">
      <c r="A14560" s="2">
        <f>HYPERLINK("https://open-school.uspishnemisto.com.ua/school/680662/", 680662)</f>
        <v>680662</v>
      </c>
      <c r="B14560" s="3" t="s">
        <v>73442</v>
      </c>
      <c r="C14560" s="3" t="s">
        <v>31</v>
      </c>
      <c r="D14560" s="3" t="s">
        <v>175</v>
      </c>
      <c r="E14560" s="4" t="s">
        <v>22</v>
      </c>
      <c r="F14560" s="4" t="s">
        <v>73443</v>
      </c>
      <c r="G14560" s="4" t="s">
        <v>73444</v>
      </c>
      <c r="H14560" s="3" t="s">
        <v>70238</v>
      </c>
      <c r="I14560" s="3" t="s">
        <v>73445</v>
      </c>
      <c r="J14560" s="3" t="s">
        <v>8152</v>
      </c>
      <c r="K14560" s="3" t="s">
        <v>73446</v>
      </c>
      <c r="L14560" s="3"/>
      <c r="M14560" s="4"/>
      <c r="N14560" s="3" t="s">
        <v>37</v>
      </c>
      <c r="O14560" s="3" t="s">
        <v>46</v>
      </c>
      <c r="P14560" s="5">
        <v>8</v>
      </c>
      <c r="Q14560" s="5">
        <v>60</v>
      </c>
      <c r="R14560" s="5">
        <v>8</v>
      </c>
      <c r="S14560" s="5">
        <v>60</v>
      </c>
    </row>
    <row r="14561" spans="1:19" ht="28" x14ac:dyDescent="0.15">
      <c r="A14561" s="2">
        <f>HYPERLINK("https://open-school.uspishnemisto.com.ua/school/680663/", 680663)</f>
        <v>680663</v>
      </c>
      <c r="B14561" s="3" t="s">
        <v>73447</v>
      </c>
      <c r="C14561" s="3" t="s">
        <v>31</v>
      </c>
      <c r="D14561" s="3" t="s">
        <v>32</v>
      </c>
      <c r="E14561" s="4" t="s">
        <v>22</v>
      </c>
      <c r="F14561" s="4" t="s">
        <v>73448</v>
      </c>
      <c r="G14561" s="4" t="s">
        <v>73449</v>
      </c>
      <c r="H14561" s="3" t="s">
        <v>70238</v>
      </c>
      <c r="I14561" s="3" t="s">
        <v>73450</v>
      </c>
      <c r="J14561" s="3" t="s">
        <v>3604</v>
      </c>
      <c r="K14561" s="3" t="s">
        <v>73451</v>
      </c>
      <c r="L14561" s="3"/>
      <c r="M14561" s="4"/>
      <c r="N14561" s="3" t="s">
        <v>37</v>
      </c>
      <c r="O14561" s="3" t="s">
        <v>2740</v>
      </c>
      <c r="P14561" s="5">
        <v>11</v>
      </c>
      <c r="Q14561" s="5">
        <v>93</v>
      </c>
      <c r="R14561" s="5">
        <v>11</v>
      </c>
      <c r="S14561" s="5">
        <v>93</v>
      </c>
    </row>
    <row r="14562" spans="1:19" ht="42" x14ac:dyDescent="0.15">
      <c r="A14562" s="2">
        <f>HYPERLINK("https://open-school.uspishnemisto.com.ua/school/680664/", 680664)</f>
        <v>680664</v>
      </c>
      <c r="B14562" s="3" t="s">
        <v>73452</v>
      </c>
      <c r="C14562" s="3" t="s">
        <v>31</v>
      </c>
      <c r="D14562" s="3" t="s">
        <v>175</v>
      </c>
      <c r="E14562" s="4" t="s">
        <v>22</v>
      </c>
      <c r="F14562" s="4" t="s">
        <v>73453</v>
      </c>
      <c r="G14562" s="4" t="s">
        <v>73454</v>
      </c>
      <c r="H14562" s="3" t="s">
        <v>70238</v>
      </c>
      <c r="I14562" s="3" t="s">
        <v>73455</v>
      </c>
      <c r="J14562" s="3" t="s">
        <v>45966</v>
      </c>
      <c r="K14562" s="3" t="s">
        <v>73456</v>
      </c>
      <c r="L14562" s="3"/>
      <c r="M14562" s="4"/>
      <c r="N14562" s="3" t="s">
        <v>37</v>
      </c>
      <c r="O14562" s="3" t="s">
        <v>38</v>
      </c>
      <c r="P14562" s="5">
        <v>2</v>
      </c>
      <c r="Q14562" s="5">
        <v>33</v>
      </c>
      <c r="R14562" s="5">
        <v>3</v>
      </c>
      <c r="S14562" s="5">
        <v>28</v>
      </c>
    </row>
    <row r="14563" spans="1:19" ht="28" x14ac:dyDescent="0.15">
      <c r="A14563" s="2">
        <f>HYPERLINK("https://open-school.uspishnemisto.com.ua/school/680665/", 680665)</f>
        <v>680665</v>
      </c>
      <c r="B14563" s="3" t="s">
        <v>73457</v>
      </c>
      <c r="C14563" s="3" t="s">
        <v>31</v>
      </c>
      <c r="D14563" s="3" t="s">
        <v>175</v>
      </c>
      <c r="E14563" s="4" t="s">
        <v>22</v>
      </c>
      <c r="F14563" s="4" t="s">
        <v>73458</v>
      </c>
      <c r="G14563" s="4" t="s">
        <v>73459</v>
      </c>
      <c r="H14563" s="3" t="s">
        <v>70238</v>
      </c>
      <c r="I14563" s="3" t="s">
        <v>58490</v>
      </c>
      <c r="J14563" s="3" t="s">
        <v>73460</v>
      </c>
      <c r="K14563" s="3" t="s">
        <v>73461</v>
      </c>
      <c r="L14563" s="3"/>
      <c r="M14563" s="4"/>
      <c r="N14563" s="3" t="s">
        <v>37</v>
      </c>
      <c r="O14563" s="3" t="s">
        <v>46</v>
      </c>
      <c r="P14563" s="5">
        <v>2</v>
      </c>
      <c r="Q14563" s="5">
        <v>35</v>
      </c>
      <c r="R14563" s="5">
        <v>3</v>
      </c>
      <c r="S14563" s="5">
        <v>37</v>
      </c>
    </row>
    <row r="14564" spans="1:19" ht="28" x14ac:dyDescent="0.15">
      <c r="A14564" s="2">
        <f>HYPERLINK("https://open-school.uspishnemisto.com.ua/school/680666/", 680666)</f>
        <v>680666</v>
      </c>
      <c r="B14564" s="3" t="s">
        <v>73462</v>
      </c>
      <c r="C14564" s="3" t="s">
        <v>31</v>
      </c>
      <c r="D14564" s="3" t="s">
        <v>32</v>
      </c>
      <c r="E14564" s="4" t="s">
        <v>22</v>
      </c>
      <c r="F14564" s="4" t="s">
        <v>73463</v>
      </c>
      <c r="G14564" s="4" t="s">
        <v>73464</v>
      </c>
      <c r="H14564" s="3" t="s">
        <v>70238</v>
      </c>
      <c r="I14564" s="3" t="s">
        <v>73465</v>
      </c>
      <c r="J14564" s="3" t="s">
        <v>554</v>
      </c>
      <c r="K14564" s="3"/>
      <c r="L14564" s="3"/>
      <c r="M14564" s="4"/>
      <c r="N14564" s="3" t="s">
        <v>37</v>
      </c>
      <c r="O14564" s="3" t="s">
        <v>266</v>
      </c>
      <c r="P14564" s="5">
        <v>10</v>
      </c>
      <c r="Q14564" s="5">
        <v>154</v>
      </c>
      <c r="R14564" s="5">
        <v>10</v>
      </c>
      <c r="S14564" s="5">
        <v>155</v>
      </c>
    </row>
    <row r="14565" spans="1:19" ht="28" x14ac:dyDescent="0.15">
      <c r="A14565" s="2">
        <f>HYPERLINK("https://open-school.uspishnemisto.com.ua/school/680667/", 680667)</f>
        <v>680667</v>
      </c>
      <c r="B14565" s="3" t="s">
        <v>73466</v>
      </c>
      <c r="C14565" s="3" t="s">
        <v>31</v>
      </c>
      <c r="D14565" s="3" t="s">
        <v>175</v>
      </c>
      <c r="E14565" s="4" t="s">
        <v>22</v>
      </c>
      <c r="F14565" s="4" t="s">
        <v>73467</v>
      </c>
      <c r="G14565" s="4" t="s">
        <v>73468</v>
      </c>
      <c r="H14565" s="3" t="s">
        <v>70238</v>
      </c>
      <c r="I14565" s="3" t="s">
        <v>73469</v>
      </c>
      <c r="J14565" s="3" t="s">
        <v>21995</v>
      </c>
      <c r="K14565" s="3" t="s">
        <v>73470</v>
      </c>
      <c r="L14565" s="3" t="s">
        <v>73471</v>
      </c>
      <c r="M14565" s="4"/>
      <c r="N14565" s="3" t="s">
        <v>37</v>
      </c>
      <c r="O14565" s="3" t="s">
        <v>139</v>
      </c>
      <c r="P14565" s="5">
        <v>7</v>
      </c>
      <c r="Q14565" s="5">
        <v>59</v>
      </c>
      <c r="R14565" s="5">
        <v>6</v>
      </c>
      <c r="S14565" s="5">
        <v>53</v>
      </c>
    </row>
    <row r="14566" spans="1:19" ht="42" x14ac:dyDescent="0.15">
      <c r="A14566" s="2">
        <f>HYPERLINK("https://open-school.uspishnemisto.com.ua/school/680668/", 680668)</f>
        <v>680668</v>
      </c>
      <c r="B14566" s="3" t="s">
        <v>73472</v>
      </c>
      <c r="C14566" s="3" t="s">
        <v>31</v>
      </c>
      <c r="D14566" s="3" t="s">
        <v>175</v>
      </c>
      <c r="E14566" s="4" t="s">
        <v>22</v>
      </c>
      <c r="F14566" s="4" t="s">
        <v>73473</v>
      </c>
      <c r="G14566" s="4" t="s">
        <v>73474</v>
      </c>
      <c r="H14566" s="3" t="s">
        <v>70238</v>
      </c>
      <c r="I14566" s="3" t="s">
        <v>73475</v>
      </c>
      <c r="J14566" s="3" t="s">
        <v>57054</v>
      </c>
      <c r="K14566" s="3"/>
      <c r="L14566" s="3"/>
      <c r="M14566" s="4"/>
      <c r="N14566" s="3" t="s">
        <v>37</v>
      </c>
      <c r="O14566" s="3" t="s">
        <v>52</v>
      </c>
      <c r="P14566" s="5">
        <v>0</v>
      </c>
      <c r="Q14566" s="5">
        <v>12</v>
      </c>
      <c r="R14566" s="5">
        <v>0</v>
      </c>
      <c r="S14566" s="5">
        <v>8</v>
      </c>
    </row>
    <row r="14567" spans="1:19" ht="28" x14ac:dyDescent="0.15">
      <c r="A14567" s="2">
        <f>HYPERLINK("https://open-school.uspishnemisto.com.ua/school/680669/", 680669)</f>
        <v>680669</v>
      </c>
      <c r="B14567" s="3" t="s">
        <v>73476</v>
      </c>
      <c r="C14567" s="3" t="s">
        <v>31</v>
      </c>
      <c r="D14567" s="3" t="s">
        <v>175</v>
      </c>
      <c r="E14567" s="4" t="s">
        <v>22</v>
      </c>
      <c r="F14567" s="4" t="s">
        <v>73438</v>
      </c>
      <c r="G14567" s="4" t="s">
        <v>73477</v>
      </c>
      <c r="H14567" s="3" t="s">
        <v>70238</v>
      </c>
      <c r="I14567" s="3" t="s">
        <v>73478</v>
      </c>
      <c r="J14567" s="3" t="s">
        <v>73479</v>
      </c>
      <c r="K14567" s="3" t="s">
        <v>73480</v>
      </c>
      <c r="L14567" s="3"/>
      <c r="M14567" s="4"/>
      <c r="N14567" s="3" t="s">
        <v>37</v>
      </c>
      <c r="O14567" s="3" t="s">
        <v>52</v>
      </c>
      <c r="P14567" s="5">
        <v>5</v>
      </c>
      <c r="Q14567" s="5">
        <v>43</v>
      </c>
      <c r="R14567" s="5">
        <v>5</v>
      </c>
      <c r="S14567" s="5">
        <v>41</v>
      </c>
    </row>
    <row r="14568" spans="1:19" ht="56" x14ac:dyDescent="0.15">
      <c r="A14568" s="2">
        <f>HYPERLINK("https://open-school.uspishnemisto.com.ua/school/680670/", 680670)</f>
        <v>680670</v>
      </c>
      <c r="B14568" s="3" t="s">
        <v>73481</v>
      </c>
      <c r="C14568" s="3" t="s">
        <v>188</v>
      </c>
      <c r="D14568" s="3" t="s">
        <v>32</v>
      </c>
      <c r="E14568" s="4" t="s">
        <v>22</v>
      </c>
      <c r="F14568" s="4" t="s">
        <v>73482</v>
      </c>
      <c r="G14568" s="4" t="s">
        <v>73483</v>
      </c>
      <c r="H14568" s="3" t="s">
        <v>70238</v>
      </c>
      <c r="I14568" s="3" t="s">
        <v>73484</v>
      </c>
      <c r="J14568" s="3" t="s">
        <v>3106</v>
      </c>
      <c r="K14568" s="3" t="s">
        <v>73485</v>
      </c>
      <c r="L14568" s="3" t="s">
        <v>73486</v>
      </c>
      <c r="M14568" s="4" t="s">
        <v>73487</v>
      </c>
      <c r="N14568" s="3" t="s">
        <v>37</v>
      </c>
      <c r="O14568" s="3" t="s">
        <v>46</v>
      </c>
      <c r="P14568" s="5">
        <v>27</v>
      </c>
      <c r="Q14568" s="5">
        <v>561</v>
      </c>
      <c r="R14568" s="5">
        <v>25</v>
      </c>
      <c r="S14568" s="5">
        <v>529</v>
      </c>
    </row>
    <row r="14569" spans="1:19" ht="42" x14ac:dyDescent="0.15">
      <c r="A14569" s="2">
        <f>HYPERLINK("https://open-school.uspishnemisto.com.ua/school/680671/", 680671)</f>
        <v>680671</v>
      </c>
      <c r="B14569" s="3" t="s">
        <v>73488</v>
      </c>
      <c r="C14569" s="3" t="s">
        <v>40</v>
      </c>
      <c r="D14569" s="3" t="s">
        <v>32</v>
      </c>
      <c r="E14569" s="4" t="s">
        <v>22</v>
      </c>
      <c r="F14569" s="4" t="s">
        <v>73482</v>
      </c>
      <c r="G14569" s="4" t="s">
        <v>73483</v>
      </c>
      <c r="H14569" s="3" t="s">
        <v>70238</v>
      </c>
      <c r="I14569" s="3" t="s">
        <v>73484</v>
      </c>
      <c r="J14569" s="3" t="s">
        <v>2978</v>
      </c>
      <c r="K14569" s="3" t="s">
        <v>73489</v>
      </c>
      <c r="L14569" s="3" t="s">
        <v>73490</v>
      </c>
      <c r="M14569" s="4"/>
      <c r="N14569" s="3" t="s">
        <v>37</v>
      </c>
      <c r="O14569" s="3" t="s">
        <v>46</v>
      </c>
      <c r="P14569" s="5">
        <v>11</v>
      </c>
      <c r="Q14569" s="5">
        <v>145</v>
      </c>
      <c r="R14569" s="5">
        <v>11</v>
      </c>
      <c r="S14569" s="5">
        <v>143</v>
      </c>
    </row>
    <row r="14570" spans="1:19" ht="28" x14ac:dyDescent="0.15">
      <c r="A14570" s="2">
        <f>HYPERLINK("https://open-school.uspishnemisto.com.ua/school/680672/", 680672)</f>
        <v>680672</v>
      </c>
      <c r="B14570" s="3" t="s">
        <v>73491</v>
      </c>
      <c r="C14570" s="3" t="s">
        <v>31</v>
      </c>
      <c r="D14570" s="3" t="s">
        <v>32</v>
      </c>
      <c r="E14570" s="4" t="s">
        <v>22</v>
      </c>
      <c r="F14570" s="4" t="s">
        <v>73492</v>
      </c>
      <c r="G14570" s="4" t="s">
        <v>73493</v>
      </c>
      <c r="H14570" s="3" t="s">
        <v>70238</v>
      </c>
      <c r="I14570" s="3" t="s">
        <v>73494</v>
      </c>
      <c r="J14570" s="3" t="s">
        <v>2417</v>
      </c>
      <c r="K14570" s="3" t="s">
        <v>73495</v>
      </c>
      <c r="L14570" s="3" t="s">
        <v>73496</v>
      </c>
      <c r="M14570" s="4"/>
      <c r="N14570" s="3" t="s">
        <v>37</v>
      </c>
      <c r="O14570" s="3" t="s">
        <v>46</v>
      </c>
      <c r="P14570" s="5">
        <v>11</v>
      </c>
      <c r="Q14570" s="5">
        <v>180</v>
      </c>
      <c r="R14570" s="5">
        <v>11</v>
      </c>
      <c r="S14570" s="5">
        <v>182</v>
      </c>
    </row>
    <row r="14571" spans="1:19" ht="28" x14ac:dyDescent="0.15">
      <c r="A14571" s="2">
        <f>HYPERLINK("https://open-school.uspishnemisto.com.ua/school/680673/", 680673)</f>
        <v>680673</v>
      </c>
      <c r="B14571" s="3" t="s">
        <v>73497</v>
      </c>
      <c r="C14571" s="3" t="s">
        <v>31</v>
      </c>
      <c r="D14571" s="3" t="s">
        <v>32</v>
      </c>
      <c r="E14571" s="4" t="s">
        <v>22</v>
      </c>
      <c r="F14571" s="4" t="s">
        <v>73498</v>
      </c>
      <c r="G14571" s="4" t="s">
        <v>73499</v>
      </c>
      <c r="H14571" s="3" t="s">
        <v>70238</v>
      </c>
      <c r="I14571" s="3" t="s">
        <v>2144</v>
      </c>
      <c r="J14571" s="3" t="s">
        <v>39346</v>
      </c>
      <c r="K14571" s="3" t="s">
        <v>73500</v>
      </c>
      <c r="L14571" s="3"/>
      <c r="M14571" s="4"/>
      <c r="N14571" s="3" t="s">
        <v>37</v>
      </c>
      <c r="O14571" s="3" t="s">
        <v>46</v>
      </c>
      <c r="P14571" s="5">
        <v>8</v>
      </c>
      <c r="Q14571" s="5">
        <v>68</v>
      </c>
      <c r="R14571" s="5">
        <v>9</v>
      </c>
      <c r="S14571" s="5">
        <v>72</v>
      </c>
    </row>
    <row r="14572" spans="1:19" ht="28" x14ac:dyDescent="0.15">
      <c r="A14572" s="2">
        <f>HYPERLINK("https://open-school.uspishnemisto.com.ua/school/680675/", 680675)</f>
        <v>680675</v>
      </c>
      <c r="B14572" s="3" t="s">
        <v>73501</v>
      </c>
      <c r="C14572" s="3" t="s">
        <v>31</v>
      </c>
      <c r="D14572" s="3" t="s">
        <v>175</v>
      </c>
      <c r="E14572" s="4" t="s">
        <v>22</v>
      </c>
      <c r="F14572" s="4" t="s">
        <v>73502</v>
      </c>
      <c r="G14572" s="4" t="s">
        <v>73503</v>
      </c>
      <c r="H14572" s="3" t="s">
        <v>70238</v>
      </c>
      <c r="I14572" s="3" t="s">
        <v>62136</v>
      </c>
      <c r="J14572" s="3" t="s">
        <v>73504</v>
      </c>
      <c r="K14572" s="3" t="s">
        <v>73505</v>
      </c>
      <c r="L14572" s="3" t="s">
        <v>73506</v>
      </c>
      <c r="M14572" s="4"/>
      <c r="N14572" s="3" t="s">
        <v>37</v>
      </c>
      <c r="O14572" s="3" t="s">
        <v>52</v>
      </c>
      <c r="P14572" s="5">
        <v>4</v>
      </c>
      <c r="Q14572" s="5">
        <v>39</v>
      </c>
      <c r="R14572" s="5">
        <v>3</v>
      </c>
      <c r="S14572" s="5">
        <v>35</v>
      </c>
    </row>
    <row r="14573" spans="1:19" ht="42" x14ac:dyDescent="0.15">
      <c r="A14573" s="2">
        <f>HYPERLINK("https://open-school.uspishnemisto.com.ua/school/680676/", 680676)</f>
        <v>680676</v>
      </c>
      <c r="B14573" s="3" t="s">
        <v>73507</v>
      </c>
      <c r="C14573" s="3" t="s">
        <v>31</v>
      </c>
      <c r="D14573" s="3" t="s">
        <v>32</v>
      </c>
      <c r="E14573" s="4" t="s">
        <v>22</v>
      </c>
      <c r="F14573" s="4" t="s">
        <v>73508</v>
      </c>
      <c r="G14573" s="4" t="s">
        <v>73509</v>
      </c>
      <c r="H14573" s="3" t="s">
        <v>70238</v>
      </c>
      <c r="I14573" s="3" t="s">
        <v>41668</v>
      </c>
      <c r="J14573" s="3" t="s">
        <v>19448</v>
      </c>
      <c r="K14573" s="3" t="s">
        <v>73510</v>
      </c>
      <c r="L14573" s="3" t="s">
        <v>73511</v>
      </c>
      <c r="M14573" s="4"/>
      <c r="N14573" s="3" t="s">
        <v>37</v>
      </c>
      <c r="O14573" s="3" t="s">
        <v>46</v>
      </c>
      <c r="P14573" s="5">
        <v>11</v>
      </c>
      <c r="Q14573" s="5">
        <v>129</v>
      </c>
      <c r="R14573" s="5">
        <v>11</v>
      </c>
      <c r="S14573" s="5">
        <v>120</v>
      </c>
    </row>
    <row r="14574" spans="1:19" ht="28" x14ac:dyDescent="0.15">
      <c r="A14574" s="2">
        <f>HYPERLINK("https://open-school.uspishnemisto.com.ua/school/680677/", 680677)</f>
        <v>680677</v>
      </c>
      <c r="B14574" s="3" t="s">
        <v>73512</v>
      </c>
      <c r="C14574" s="3" t="s">
        <v>31</v>
      </c>
      <c r="D14574" s="3" t="s">
        <v>175</v>
      </c>
      <c r="E14574" s="4" t="s">
        <v>22</v>
      </c>
      <c r="F14574" s="4" t="s">
        <v>73508</v>
      </c>
      <c r="G14574" s="4" t="s">
        <v>73513</v>
      </c>
      <c r="H14574" s="3" t="s">
        <v>70238</v>
      </c>
      <c r="I14574" s="3" t="s">
        <v>3351</v>
      </c>
      <c r="J14574" s="3" t="s">
        <v>933</v>
      </c>
      <c r="K14574" s="3" t="s">
        <v>73514</v>
      </c>
      <c r="L14574" s="3" t="s">
        <v>73515</v>
      </c>
      <c r="M14574" s="4"/>
      <c r="N14574" s="3" t="s">
        <v>37</v>
      </c>
      <c r="O14574" s="3" t="s">
        <v>52</v>
      </c>
      <c r="P14574" s="5">
        <v>4</v>
      </c>
      <c r="Q14574" s="5">
        <v>45</v>
      </c>
      <c r="R14574" s="5">
        <v>3</v>
      </c>
      <c r="S14574" s="5">
        <v>37</v>
      </c>
    </row>
    <row r="14575" spans="1:19" ht="28" x14ac:dyDescent="0.15">
      <c r="A14575" s="2">
        <f>HYPERLINK("https://open-school.uspishnemisto.com.ua/school/680678/", 680678)</f>
        <v>680678</v>
      </c>
      <c r="B14575" s="3" t="s">
        <v>73516</v>
      </c>
      <c r="C14575" s="3" t="s">
        <v>181</v>
      </c>
      <c r="D14575" s="3" t="s">
        <v>175</v>
      </c>
      <c r="E14575" s="4" t="s">
        <v>22</v>
      </c>
      <c r="F14575" s="4" t="s">
        <v>73517</v>
      </c>
      <c r="G14575" s="4" t="s">
        <v>73518</v>
      </c>
      <c r="H14575" s="3" t="s">
        <v>70238</v>
      </c>
      <c r="I14575" s="3" t="s">
        <v>72299</v>
      </c>
      <c r="J14575" s="3" t="s">
        <v>2555</v>
      </c>
      <c r="K14575" s="3"/>
      <c r="L14575" s="3"/>
      <c r="M14575" s="4" t="s">
        <v>73519</v>
      </c>
      <c r="N14575" s="3" t="s">
        <v>37</v>
      </c>
      <c r="O14575" s="3"/>
      <c r="P14575" s="5">
        <v>8</v>
      </c>
      <c r="Q14575" s="5">
        <v>51</v>
      </c>
      <c r="R14575" s="5">
        <v>7</v>
      </c>
      <c r="S14575" s="5">
        <v>44</v>
      </c>
    </row>
    <row r="14576" spans="1:19" ht="28" x14ac:dyDescent="0.15">
      <c r="A14576" s="2">
        <f>HYPERLINK("https://open-school.uspishnemisto.com.ua/school/680679/", 680679)</f>
        <v>680679</v>
      </c>
      <c r="B14576" s="3" t="s">
        <v>73520</v>
      </c>
      <c r="C14576" s="3" t="s">
        <v>31</v>
      </c>
      <c r="D14576" s="3" t="s">
        <v>32</v>
      </c>
      <c r="E14576" s="4" t="s">
        <v>22</v>
      </c>
      <c r="F14576" s="4" t="s">
        <v>73521</v>
      </c>
      <c r="G14576" s="4" t="s">
        <v>73522</v>
      </c>
      <c r="H14576" s="3" t="s">
        <v>70238</v>
      </c>
      <c r="I14576" s="3" t="s">
        <v>73523</v>
      </c>
      <c r="J14576" s="3" t="s">
        <v>73524</v>
      </c>
      <c r="K14576" s="3" t="s">
        <v>73525</v>
      </c>
      <c r="L14576" s="3" t="s">
        <v>73526</v>
      </c>
      <c r="M14576" s="4"/>
      <c r="N14576" s="3" t="s">
        <v>37</v>
      </c>
      <c r="O14576" s="3" t="s">
        <v>46</v>
      </c>
      <c r="P14576" s="5">
        <v>10</v>
      </c>
      <c r="Q14576" s="5">
        <v>86</v>
      </c>
      <c r="R14576" s="5">
        <v>10</v>
      </c>
      <c r="S14576" s="5">
        <v>87</v>
      </c>
    </row>
    <row r="14577" spans="1:19" ht="28" x14ac:dyDescent="0.15">
      <c r="A14577" s="2">
        <f>HYPERLINK("https://open-school.uspishnemisto.com.ua/school/680680/", 680680)</f>
        <v>680680</v>
      </c>
      <c r="B14577" s="3" t="s">
        <v>73527</v>
      </c>
      <c r="C14577" s="3" t="s">
        <v>31</v>
      </c>
      <c r="D14577" s="3" t="s">
        <v>60</v>
      </c>
      <c r="E14577" s="4" t="s">
        <v>22</v>
      </c>
      <c r="F14577" s="4" t="s">
        <v>73521</v>
      </c>
      <c r="G14577" s="4" t="s">
        <v>73528</v>
      </c>
      <c r="H14577" s="3" t="s">
        <v>70238</v>
      </c>
      <c r="I14577" s="3" t="s">
        <v>440</v>
      </c>
      <c r="J14577" s="3" t="s">
        <v>73529</v>
      </c>
      <c r="K14577" s="3" t="s">
        <v>73530</v>
      </c>
      <c r="L14577" s="3"/>
      <c r="M14577" s="4"/>
      <c r="N14577" s="3" t="s">
        <v>37</v>
      </c>
      <c r="O14577" s="3" t="s">
        <v>52</v>
      </c>
      <c r="P14577" s="5">
        <v>2</v>
      </c>
      <c r="Q14577" s="5">
        <v>10</v>
      </c>
      <c r="R14577" s="5">
        <v>1</v>
      </c>
      <c r="S14577" s="5">
        <v>0</v>
      </c>
    </row>
    <row r="14578" spans="1:19" ht="28" x14ac:dyDescent="0.15">
      <c r="A14578" s="2">
        <f>HYPERLINK("https://open-school.uspishnemisto.com.ua/school/680681/", 680681)</f>
        <v>680681</v>
      </c>
      <c r="B14578" s="3" t="s">
        <v>73531</v>
      </c>
      <c r="C14578" s="3" t="s">
        <v>31</v>
      </c>
      <c r="D14578" s="3" t="s">
        <v>32</v>
      </c>
      <c r="E14578" s="4" t="s">
        <v>22</v>
      </c>
      <c r="F14578" s="4" t="s">
        <v>73532</v>
      </c>
      <c r="G14578" s="4" t="s">
        <v>73533</v>
      </c>
      <c r="H14578" s="3" t="s">
        <v>70238</v>
      </c>
      <c r="I14578" s="3" t="s">
        <v>61181</v>
      </c>
      <c r="J14578" s="3" t="s">
        <v>73534</v>
      </c>
      <c r="K14578" s="3" t="s">
        <v>73535</v>
      </c>
      <c r="L14578" s="3" t="s">
        <v>73536</v>
      </c>
      <c r="M14578" s="4"/>
      <c r="N14578" s="3" t="s">
        <v>37</v>
      </c>
      <c r="O14578" s="3" t="s">
        <v>46</v>
      </c>
      <c r="P14578" s="5">
        <v>9</v>
      </c>
      <c r="Q14578" s="5">
        <v>101</v>
      </c>
      <c r="R14578" s="5">
        <v>9</v>
      </c>
      <c r="S14578" s="5">
        <v>111</v>
      </c>
    </row>
    <row r="14579" spans="1:19" ht="28" x14ac:dyDescent="0.15">
      <c r="A14579" s="2">
        <f>HYPERLINK("https://open-school.uspishnemisto.com.ua/school/680682/", 680682)</f>
        <v>680682</v>
      </c>
      <c r="B14579" s="3" t="s">
        <v>73537</v>
      </c>
      <c r="C14579" s="3" t="s">
        <v>31</v>
      </c>
      <c r="D14579" s="3" t="s">
        <v>60</v>
      </c>
      <c r="E14579" s="4" t="s">
        <v>22</v>
      </c>
      <c r="F14579" s="4" t="s">
        <v>73532</v>
      </c>
      <c r="G14579" s="4" t="s">
        <v>73538</v>
      </c>
      <c r="H14579" s="3" t="s">
        <v>70238</v>
      </c>
      <c r="I14579" s="3" t="s">
        <v>73539</v>
      </c>
      <c r="J14579" s="3" t="s">
        <v>66144</v>
      </c>
      <c r="K14579" s="3" t="s">
        <v>73540</v>
      </c>
      <c r="L14579" s="3"/>
      <c r="M14579" s="4"/>
      <c r="N14579" s="3" t="s">
        <v>37</v>
      </c>
      <c r="O14579" s="3" t="s">
        <v>52</v>
      </c>
      <c r="P14579" s="5">
        <v>0</v>
      </c>
      <c r="Q14579" s="5">
        <v>6</v>
      </c>
      <c r="R14579" s="5">
        <v>0</v>
      </c>
      <c r="S14579" s="5">
        <v>6</v>
      </c>
    </row>
    <row r="14580" spans="1:19" ht="42" x14ac:dyDescent="0.15">
      <c r="A14580" s="2">
        <f>HYPERLINK("https://open-school.uspishnemisto.com.ua/school/680683/", 680683)</f>
        <v>680683</v>
      </c>
      <c r="B14580" s="3" t="s">
        <v>73541</v>
      </c>
      <c r="C14580" s="3" t="s">
        <v>54</v>
      </c>
      <c r="D14580" s="3" t="s">
        <v>175</v>
      </c>
      <c r="E14580" s="4" t="s">
        <v>22</v>
      </c>
      <c r="F14580" s="4" t="s">
        <v>73542</v>
      </c>
      <c r="G14580" s="4" t="s">
        <v>73543</v>
      </c>
      <c r="H14580" s="3" t="s">
        <v>70238</v>
      </c>
      <c r="I14580" s="3" t="s">
        <v>61221</v>
      </c>
      <c r="J14580" s="3" t="s">
        <v>10823</v>
      </c>
      <c r="K14580" s="3" t="s">
        <v>73544</v>
      </c>
      <c r="L14580" s="3"/>
      <c r="M14580" s="4"/>
      <c r="N14580" s="3" t="s">
        <v>37</v>
      </c>
      <c r="O14580" s="3" t="s">
        <v>618</v>
      </c>
      <c r="P14580" s="5">
        <v>2</v>
      </c>
      <c r="Q14580" s="5">
        <v>27</v>
      </c>
      <c r="R14580" s="5">
        <v>9</v>
      </c>
      <c r="S14580" s="5">
        <v>26</v>
      </c>
    </row>
    <row r="14581" spans="1:19" ht="28" x14ac:dyDescent="0.15">
      <c r="A14581" s="2">
        <f>HYPERLINK("https://open-school.uspishnemisto.com.ua/school/680684/", 680684)</f>
        <v>680684</v>
      </c>
      <c r="B14581" s="3" t="s">
        <v>73545</v>
      </c>
      <c r="C14581" s="3" t="s">
        <v>31</v>
      </c>
      <c r="D14581" s="3" t="s">
        <v>32</v>
      </c>
      <c r="E14581" s="4" t="s">
        <v>22</v>
      </c>
      <c r="F14581" s="4" t="s">
        <v>73546</v>
      </c>
      <c r="G14581" s="4" t="s">
        <v>73547</v>
      </c>
      <c r="H14581" s="3" t="s">
        <v>70238</v>
      </c>
      <c r="I14581" s="3" t="s">
        <v>73548</v>
      </c>
      <c r="J14581" s="3" t="s">
        <v>627</v>
      </c>
      <c r="K14581" s="3" t="s">
        <v>73549</v>
      </c>
      <c r="L14581" s="3"/>
      <c r="M14581" s="4"/>
      <c r="N14581" s="3" t="s">
        <v>37</v>
      </c>
      <c r="O14581" s="3" t="s">
        <v>46</v>
      </c>
      <c r="P14581" s="5">
        <v>9</v>
      </c>
      <c r="Q14581" s="5">
        <v>97</v>
      </c>
      <c r="R14581" s="5">
        <v>11</v>
      </c>
      <c r="S14581" s="5">
        <v>97</v>
      </c>
    </row>
    <row r="14582" spans="1:19" ht="28" x14ac:dyDescent="0.15">
      <c r="A14582" s="2">
        <f>HYPERLINK("https://open-school.uspishnemisto.com.ua/school/680685/", 680685)</f>
        <v>680685</v>
      </c>
      <c r="B14582" s="3" t="s">
        <v>73550</v>
      </c>
      <c r="C14582" s="3" t="s">
        <v>31</v>
      </c>
      <c r="D14582" s="3" t="s">
        <v>32</v>
      </c>
      <c r="E14582" s="4" t="s">
        <v>22</v>
      </c>
      <c r="F14582" s="4" t="s">
        <v>73551</v>
      </c>
      <c r="G14582" s="4" t="s">
        <v>73552</v>
      </c>
      <c r="H14582" s="3" t="s">
        <v>70238</v>
      </c>
      <c r="I14582" s="3" t="s">
        <v>6026</v>
      </c>
      <c r="J14582" s="3" t="s">
        <v>1495</v>
      </c>
      <c r="K14582" s="3" t="s">
        <v>73553</v>
      </c>
      <c r="L14582" s="3" t="s">
        <v>73554</v>
      </c>
      <c r="M14582" s="4"/>
      <c r="N14582" s="3" t="s">
        <v>37</v>
      </c>
      <c r="O14582" s="3" t="s">
        <v>46</v>
      </c>
      <c r="P14582" s="5">
        <v>10</v>
      </c>
      <c r="Q14582" s="5">
        <v>89</v>
      </c>
      <c r="R14582" s="5">
        <v>11</v>
      </c>
      <c r="S14582" s="5">
        <v>89</v>
      </c>
    </row>
    <row r="14583" spans="1:19" ht="28" x14ac:dyDescent="0.15">
      <c r="A14583" s="2">
        <f>HYPERLINK("https://open-school.uspishnemisto.com.ua/school/680686/", 680686)</f>
        <v>680686</v>
      </c>
      <c r="B14583" s="3" t="s">
        <v>73555</v>
      </c>
      <c r="C14583" s="3" t="s">
        <v>31</v>
      </c>
      <c r="D14583" s="3" t="s">
        <v>32</v>
      </c>
      <c r="E14583" s="4" t="s">
        <v>22</v>
      </c>
      <c r="F14583" s="4" t="s">
        <v>73556</v>
      </c>
      <c r="G14583" s="4" t="s">
        <v>73557</v>
      </c>
      <c r="H14583" s="3" t="s">
        <v>70238</v>
      </c>
      <c r="I14583" s="3" t="s">
        <v>73558</v>
      </c>
      <c r="J14583" s="3" t="s">
        <v>73559</v>
      </c>
      <c r="K14583" s="3" t="s">
        <v>73560</v>
      </c>
      <c r="L14583" s="3" t="s">
        <v>73561</v>
      </c>
      <c r="M14583" s="4"/>
      <c r="N14583" s="3" t="s">
        <v>37</v>
      </c>
      <c r="O14583" s="3" t="s">
        <v>139</v>
      </c>
      <c r="P14583" s="5">
        <v>8</v>
      </c>
      <c r="Q14583" s="5">
        <v>86</v>
      </c>
      <c r="R14583" s="5">
        <v>8</v>
      </c>
      <c r="S14583" s="5">
        <v>93</v>
      </c>
    </row>
    <row r="14584" spans="1:19" ht="28" x14ac:dyDescent="0.15">
      <c r="A14584" s="2">
        <f>HYPERLINK("https://open-school.uspishnemisto.com.ua/school/680687/", 680687)</f>
        <v>680687</v>
      </c>
      <c r="B14584" s="3" t="s">
        <v>73562</v>
      </c>
      <c r="C14584" s="3" t="s">
        <v>31</v>
      </c>
      <c r="D14584" s="3" t="s">
        <v>175</v>
      </c>
      <c r="E14584" s="4" t="s">
        <v>22</v>
      </c>
      <c r="F14584" s="4" t="s">
        <v>73563</v>
      </c>
      <c r="G14584" s="4" t="s">
        <v>73564</v>
      </c>
      <c r="H14584" s="3" t="s">
        <v>70238</v>
      </c>
      <c r="I14584" s="3" t="s">
        <v>73565</v>
      </c>
      <c r="J14584" s="3" t="s">
        <v>718</v>
      </c>
      <c r="K14584" s="3"/>
      <c r="L14584" s="3"/>
      <c r="M14584" s="4"/>
      <c r="N14584" s="3" t="s">
        <v>37</v>
      </c>
      <c r="O14584" s="3" t="s">
        <v>46</v>
      </c>
      <c r="P14584" s="5">
        <v>9</v>
      </c>
      <c r="Q14584" s="5">
        <v>75</v>
      </c>
      <c r="R14584" s="5">
        <v>9</v>
      </c>
      <c r="S14584" s="5">
        <v>75</v>
      </c>
    </row>
    <row r="14585" spans="1:19" ht="28" x14ac:dyDescent="0.15">
      <c r="A14585" s="2">
        <f>HYPERLINK("https://open-school.uspishnemisto.com.ua/school/680688/", 680688)</f>
        <v>680688</v>
      </c>
      <c r="B14585" s="3" t="s">
        <v>73566</v>
      </c>
      <c r="C14585" s="3" t="s">
        <v>31</v>
      </c>
      <c r="D14585" s="3" t="s">
        <v>175</v>
      </c>
      <c r="E14585" s="4" t="s">
        <v>22</v>
      </c>
      <c r="F14585" s="4" t="s">
        <v>73567</v>
      </c>
      <c r="G14585" s="4" t="s">
        <v>73568</v>
      </c>
      <c r="H14585" s="3" t="s">
        <v>70238</v>
      </c>
      <c r="I14585" s="3" t="s">
        <v>73569</v>
      </c>
      <c r="J14585" s="3" t="s">
        <v>2226</v>
      </c>
      <c r="K14585" s="3" t="s">
        <v>73570</v>
      </c>
      <c r="L14585" s="3"/>
      <c r="M14585" s="4"/>
      <c r="N14585" s="3" t="s">
        <v>37</v>
      </c>
      <c r="O14585" s="3" t="s">
        <v>618</v>
      </c>
      <c r="P14585" s="5">
        <v>5</v>
      </c>
      <c r="Q14585" s="5">
        <v>37</v>
      </c>
      <c r="R14585" s="5">
        <v>8</v>
      </c>
      <c r="S14585" s="5">
        <v>32</v>
      </c>
    </row>
    <row r="14586" spans="1:19" ht="42" x14ac:dyDescent="0.15">
      <c r="A14586" s="2">
        <f>HYPERLINK("https://open-school.uspishnemisto.com.ua/school/680689/", 680689)</f>
        <v>680689</v>
      </c>
      <c r="B14586" s="3" t="s">
        <v>73571</v>
      </c>
      <c r="C14586" s="3" t="s">
        <v>54</v>
      </c>
      <c r="D14586" s="3" t="s">
        <v>175</v>
      </c>
      <c r="E14586" s="4" t="s">
        <v>22</v>
      </c>
      <c r="F14586" s="4" t="s">
        <v>73572</v>
      </c>
      <c r="G14586" s="4" t="s">
        <v>73573</v>
      </c>
      <c r="H14586" s="3" t="s">
        <v>70238</v>
      </c>
      <c r="I14586" s="3" t="s">
        <v>73574</v>
      </c>
      <c r="J14586" s="3" t="s">
        <v>785</v>
      </c>
      <c r="K14586" s="3" t="s">
        <v>73575</v>
      </c>
      <c r="L14586" s="3"/>
      <c r="M14586" s="4"/>
      <c r="N14586" s="3" t="s">
        <v>37</v>
      </c>
      <c r="O14586" s="3" t="s">
        <v>618</v>
      </c>
      <c r="P14586" s="5">
        <v>1</v>
      </c>
      <c r="Q14586" s="5">
        <v>26</v>
      </c>
      <c r="R14586" s="5">
        <v>0</v>
      </c>
      <c r="S14586" s="5">
        <v>26</v>
      </c>
    </row>
    <row r="14587" spans="1:19" ht="28" x14ac:dyDescent="0.15">
      <c r="A14587" s="2">
        <f>HYPERLINK("https://open-school.uspishnemisto.com.ua/school/680690/", 680690)</f>
        <v>680690</v>
      </c>
      <c r="B14587" s="3" t="s">
        <v>73576</v>
      </c>
      <c r="C14587" s="3" t="s">
        <v>31</v>
      </c>
      <c r="D14587" s="3" t="s">
        <v>32</v>
      </c>
      <c r="E14587" s="4" t="s">
        <v>22</v>
      </c>
      <c r="F14587" s="4" t="s">
        <v>73577</v>
      </c>
      <c r="G14587" s="4" t="s">
        <v>73578</v>
      </c>
      <c r="H14587" s="3" t="s">
        <v>70238</v>
      </c>
      <c r="I14587" s="3" t="s">
        <v>29962</v>
      </c>
      <c r="J14587" s="3" t="s">
        <v>7686</v>
      </c>
      <c r="K14587" s="3" t="s">
        <v>73579</v>
      </c>
      <c r="L14587" s="3" t="s">
        <v>73580</v>
      </c>
      <c r="M14587" s="4"/>
      <c r="N14587" s="3" t="s">
        <v>37</v>
      </c>
      <c r="O14587" s="3" t="s">
        <v>46</v>
      </c>
      <c r="P14587" s="5">
        <v>9</v>
      </c>
      <c r="Q14587" s="5">
        <v>73</v>
      </c>
      <c r="R14587" s="5">
        <v>9</v>
      </c>
      <c r="S14587" s="5">
        <v>74</v>
      </c>
    </row>
    <row r="14588" spans="1:19" ht="28" x14ac:dyDescent="0.15">
      <c r="A14588" s="2">
        <f>HYPERLINK("https://open-school.uspishnemisto.com.ua/school/680691/", 680691)</f>
        <v>680691</v>
      </c>
      <c r="B14588" s="3" t="s">
        <v>73581</v>
      </c>
      <c r="C14588" s="3" t="s">
        <v>31</v>
      </c>
      <c r="D14588" s="3" t="s">
        <v>32</v>
      </c>
      <c r="E14588" s="4" t="s">
        <v>22</v>
      </c>
      <c r="F14588" s="4" t="s">
        <v>73582</v>
      </c>
      <c r="G14588" s="4" t="s">
        <v>73583</v>
      </c>
      <c r="H14588" s="3" t="s">
        <v>70238</v>
      </c>
      <c r="I14588" s="3" t="s">
        <v>73584</v>
      </c>
      <c r="J14588" s="3" t="s">
        <v>13496</v>
      </c>
      <c r="K14588" s="3"/>
      <c r="L14588" s="3"/>
      <c r="M14588" s="4"/>
      <c r="N14588" s="3" t="s">
        <v>37</v>
      </c>
      <c r="O14588" s="3" t="s">
        <v>46</v>
      </c>
      <c r="P14588" s="5">
        <v>11</v>
      </c>
      <c r="Q14588" s="5">
        <v>91</v>
      </c>
      <c r="R14588" s="5">
        <v>11</v>
      </c>
      <c r="S14588" s="5">
        <v>91</v>
      </c>
    </row>
    <row r="14589" spans="1:19" ht="28" x14ac:dyDescent="0.15">
      <c r="A14589" s="2">
        <f>HYPERLINK("https://open-school.uspishnemisto.com.ua/school/680692/", 680692)</f>
        <v>680692</v>
      </c>
      <c r="B14589" s="3" t="s">
        <v>73585</v>
      </c>
      <c r="C14589" s="3" t="s">
        <v>31</v>
      </c>
      <c r="D14589" s="3" t="s">
        <v>175</v>
      </c>
      <c r="E14589" s="4" t="s">
        <v>22</v>
      </c>
      <c r="F14589" s="4" t="s">
        <v>73586</v>
      </c>
      <c r="G14589" s="4" t="s">
        <v>73587</v>
      </c>
      <c r="H14589" s="3" t="s">
        <v>70238</v>
      </c>
      <c r="I14589" s="3" t="s">
        <v>73588</v>
      </c>
      <c r="J14589" s="3" t="s">
        <v>73589</v>
      </c>
      <c r="K14589" s="3" t="s">
        <v>73590</v>
      </c>
      <c r="L14589" s="3" t="s">
        <v>73591</v>
      </c>
      <c r="M14589" s="4"/>
      <c r="N14589" s="3" t="s">
        <v>37</v>
      </c>
      <c r="O14589" s="3" t="s">
        <v>46</v>
      </c>
      <c r="P14589" s="5">
        <v>8</v>
      </c>
      <c r="Q14589" s="5">
        <v>72</v>
      </c>
      <c r="R14589" s="5">
        <v>9</v>
      </c>
      <c r="S14589" s="5">
        <v>75</v>
      </c>
    </row>
    <row r="14590" spans="1:19" ht="28" x14ac:dyDescent="0.15">
      <c r="A14590" s="2">
        <f>HYPERLINK("https://open-school.uspishnemisto.com.ua/school/680693/", 680693)</f>
        <v>680693</v>
      </c>
      <c r="B14590" s="3" t="s">
        <v>73592</v>
      </c>
      <c r="C14590" s="3" t="s">
        <v>31</v>
      </c>
      <c r="D14590" s="3" t="s">
        <v>32</v>
      </c>
      <c r="E14590" s="4" t="s">
        <v>22</v>
      </c>
      <c r="F14590" s="4" t="s">
        <v>73593</v>
      </c>
      <c r="G14590" s="4" t="s">
        <v>73594</v>
      </c>
      <c r="H14590" s="3" t="s">
        <v>70238</v>
      </c>
      <c r="I14590" s="3" t="s">
        <v>73595</v>
      </c>
      <c r="J14590" s="3" t="s">
        <v>18484</v>
      </c>
      <c r="K14590" s="3"/>
      <c r="L14590" s="3"/>
      <c r="M14590" s="4"/>
      <c r="N14590" s="3" t="s">
        <v>37</v>
      </c>
      <c r="O14590" s="3" t="s">
        <v>46</v>
      </c>
      <c r="P14590" s="5">
        <v>11</v>
      </c>
      <c r="Q14590" s="5">
        <v>159</v>
      </c>
      <c r="R14590" s="5">
        <v>11</v>
      </c>
      <c r="S14590" s="5">
        <v>171</v>
      </c>
    </row>
    <row r="14591" spans="1:19" ht="42" x14ac:dyDescent="0.15">
      <c r="A14591" s="2">
        <f>HYPERLINK("https://open-school.uspishnemisto.com.ua/school/680694/", 680694)</f>
        <v>680694</v>
      </c>
      <c r="B14591" s="3" t="s">
        <v>73596</v>
      </c>
      <c r="C14591" s="3" t="s">
        <v>31</v>
      </c>
      <c r="D14591" s="3" t="s">
        <v>32</v>
      </c>
      <c r="E14591" s="4" t="s">
        <v>22</v>
      </c>
      <c r="F14591" s="4" t="s">
        <v>73597</v>
      </c>
      <c r="G14591" s="4" t="s">
        <v>73598</v>
      </c>
      <c r="H14591" s="3" t="s">
        <v>70238</v>
      </c>
      <c r="I14591" s="3" t="s">
        <v>22906</v>
      </c>
      <c r="J14591" s="3" t="s">
        <v>19322</v>
      </c>
      <c r="K14591" s="3" t="s">
        <v>73599</v>
      </c>
      <c r="L14591" s="3" t="s">
        <v>73600</v>
      </c>
      <c r="M14591" s="4"/>
      <c r="N14591" s="3" t="s">
        <v>37</v>
      </c>
      <c r="O14591" s="3" t="s">
        <v>46</v>
      </c>
      <c r="P14591" s="5">
        <v>11</v>
      </c>
      <c r="Q14591" s="5">
        <v>130</v>
      </c>
      <c r="R14591" s="5">
        <v>11</v>
      </c>
      <c r="S14591" s="5">
        <v>129</v>
      </c>
    </row>
    <row r="14592" spans="1:19" ht="28" x14ac:dyDescent="0.15">
      <c r="A14592" s="2">
        <f>HYPERLINK("https://open-school.uspishnemisto.com.ua/school/680695/", 680695)</f>
        <v>680695</v>
      </c>
      <c r="B14592" s="3" t="s">
        <v>73601</v>
      </c>
      <c r="C14592" s="3" t="s">
        <v>31</v>
      </c>
      <c r="D14592" s="3" t="s">
        <v>175</v>
      </c>
      <c r="E14592" s="4" t="s">
        <v>22</v>
      </c>
      <c r="F14592" s="4" t="s">
        <v>73602</v>
      </c>
      <c r="G14592" s="4" t="s">
        <v>73603</v>
      </c>
      <c r="H14592" s="3" t="s">
        <v>70238</v>
      </c>
      <c r="I14592" s="3" t="s">
        <v>1397</v>
      </c>
      <c r="J14592" s="3" t="s">
        <v>73604</v>
      </c>
      <c r="K14592" s="3" t="s">
        <v>73605</v>
      </c>
      <c r="L14592" s="3" t="s">
        <v>73606</v>
      </c>
      <c r="M14592" s="4"/>
      <c r="N14592" s="3" t="s">
        <v>37</v>
      </c>
      <c r="O14592" s="3" t="s">
        <v>46</v>
      </c>
      <c r="P14592" s="5">
        <v>9</v>
      </c>
      <c r="Q14592" s="5">
        <v>70</v>
      </c>
      <c r="R14592" s="5">
        <v>9</v>
      </c>
      <c r="S14592" s="5">
        <v>70</v>
      </c>
    </row>
    <row r="14593" spans="1:19" ht="42" x14ac:dyDescent="0.15">
      <c r="A14593" s="2">
        <f>HYPERLINK("https://open-school.uspishnemisto.com.ua/school/680696/", 680696)</f>
        <v>680696</v>
      </c>
      <c r="B14593" s="3" t="s">
        <v>73607</v>
      </c>
      <c r="C14593" s="3" t="s">
        <v>54</v>
      </c>
      <c r="D14593" s="3" t="s">
        <v>175</v>
      </c>
      <c r="E14593" s="4" t="s">
        <v>22</v>
      </c>
      <c r="F14593" s="4" t="s">
        <v>73608</v>
      </c>
      <c r="G14593" s="4" t="s">
        <v>73609</v>
      </c>
      <c r="H14593" s="3" t="s">
        <v>70238</v>
      </c>
      <c r="I14593" s="3" t="s">
        <v>73610</v>
      </c>
      <c r="J14593" s="3" t="s">
        <v>1636</v>
      </c>
      <c r="K14593" s="3" t="s">
        <v>73611</v>
      </c>
      <c r="L14593" s="3"/>
      <c r="M14593" s="4"/>
      <c r="N14593" s="3" t="s">
        <v>37</v>
      </c>
      <c r="O14593" s="3" t="s">
        <v>618</v>
      </c>
      <c r="P14593" s="5">
        <v>2</v>
      </c>
      <c r="Q14593" s="5">
        <v>30</v>
      </c>
      <c r="R14593" s="5">
        <v>3</v>
      </c>
      <c r="S14593" s="5">
        <v>34</v>
      </c>
    </row>
    <row r="14594" spans="1:19" ht="56" x14ac:dyDescent="0.15">
      <c r="A14594" s="2">
        <f>HYPERLINK("https://open-school.uspishnemisto.com.ua/school/680697/", 680697)</f>
        <v>680697</v>
      </c>
      <c r="B14594" s="3" t="s">
        <v>73612</v>
      </c>
      <c r="C14594" s="3" t="s">
        <v>54</v>
      </c>
      <c r="D14594" s="3" t="s">
        <v>175</v>
      </c>
      <c r="E14594" s="4" t="s">
        <v>22</v>
      </c>
      <c r="F14594" s="4" t="s">
        <v>73521</v>
      </c>
      <c r="G14594" s="4" t="s">
        <v>73613</v>
      </c>
      <c r="H14594" s="3" t="s">
        <v>70238</v>
      </c>
      <c r="I14594" s="3" t="s">
        <v>43717</v>
      </c>
      <c r="J14594" s="3" t="s">
        <v>21518</v>
      </c>
      <c r="K14594" s="3" t="s">
        <v>73614</v>
      </c>
      <c r="L14594" s="3" t="s">
        <v>73615</v>
      </c>
      <c r="M14594" s="4"/>
      <c r="N14594" s="3" t="s">
        <v>37</v>
      </c>
      <c r="O14594" s="3" t="s">
        <v>52</v>
      </c>
      <c r="P14594" s="5">
        <v>5</v>
      </c>
      <c r="Q14594" s="5">
        <v>35</v>
      </c>
      <c r="R14594" s="5">
        <v>8</v>
      </c>
      <c r="S14594" s="5">
        <v>32</v>
      </c>
    </row>
    <row r="14595" spans="1:19" ht="28" x14ac:dyDescent="0.15">
      <c r="A14595" s="2">
        <f>HYPERLINK("https://open-school.uspishnemisto.com.ua/school/680698/", 680698)</f>
        <v>680698</v>
      </c>
      <c r="B14595" s="3" t="s">
        <v>73616</v>
      </c>
      <c r="C14595" s="3" t="s">
        <v>31</v>
      </c>
      <c r="D14595" s="3" t="s">
        <v>32</v>
      </c>
      <c r="E14595" s="4" t="s">
        <v>22</v>
      </c>
      <c r="F14595" s="4" t="s">
        <v>73617</v>
      </c>
      <c r="G14595" s="4" t="s">
        <v>73618</v>
      </c>
      <c r="H14595" s="3" t="s">
        <v>70238</v>
      </c>
      <c r="I14595" s="3" t="s">
        <v>73619</v>
      </c>
      <c r="J14595" s="3" t="s">
        <v>792</v>
      </c>
      <c r="K14595" s="3" t="s">
        <v>73620</v>
      </c>
      <c r="L14595" s="3" t="s">
        <v>73621</v>
      </c>
      <c r="M14595" s="4"/>
      <c r="N14595" s="3" t="s">
        <v>37</v>
      </c>
      <c r="O14595" s="3" t="s">
        <v>46</v>
      </c>
      <c r="P14595" s="5">
        <v>11</v>
      </c>
      <c r="Q14595" s="5">
        <v>135</v>
      </c>
      <c r="R14595" s="5">
        <v>11</v>
      </c>
      <c r="S14595" s="5">
        <v>141</v>
      </c>
    </row>
    <row r="14596" spans="1:19" ht="28" x14ac:dyDescent="0.15">
      <c r="A14596" s="2">
        <f>HYPERLINK("https://open-school.uspishnemisto.com.ua/school/680699/", 680699)</f>
        <v>680699</v>
      </c>
      <c r="B14596" s="3" t="s">
        <v>73622</v>
      </c>
      <c r="C14596" s="3" t="s">
        <v>31</v>
      </c>
      <c r="D14596" s="3" t="s">
        <v>32</v>
      </c>
      <c r="E14596" s="4" t="s">
        <v>22</v>
      </c>
      <c r="F14596" s="4" t="s">
        <v>65286</v>
      </c>
      <c r="G14596" s="4" t="s">
        <v>73623</v>
      </c>
      <c r="H14596" s="3" t="s">
        <v>70238</v>
      </c>
      <c r="I14596" s="3" t="s">
        <v>1014</v>
      </c>
      <c r="J14596" s="3" t="s">
        <v>447</v>
      </c>
      <c r="K14596" s="3" t="s">
        <v>73624</v>
      </c>
      <c r="L14596" s="3"/>
      <c r="M14596" s="4"/>
      <c r="N14596" s="3" t="s">
        <v>37</v>
      </c>
      <c r="O14596" s="3" t="s">
        <v>46</v>
      </c>
      <c r="P14596" s="5">
        <v>11</v>
      </c>
      <c r="Q14596" s="5">
        <v>84</v>
      </c>
      <c r="R14596" s="5">
        <v>11</v>
      </c>
      <c r="S14596" s="5">
        <v>80</v>
      </c>
    </row>
    <row r="14597" spans="1:19" ht="28" x14ac:dyDescent="0.15">
      <c r="A14597" s="2">
        <f>HYPERLINK("https://open-school.uspishnemisto.com.ua/school/680700/", 680700)</f>
        <v>680700</v>
      </c>
      <c r="B14597" s="3" t="s">
        <v>73625</v>
      </c>
      <c r="C14597" s="3" t="s">
        <v>54</v>
      </c>
      <c r="D14597" s="3" t="s">
        <v>175</v>
      </c>
      <c r="E14597" s="4" t="s">
        <v>22</v>
      </c>
      <c r="F14597" s="4" t="s">
        <v>73626</v>
      </c>
      <c r="G14597" s="4" t="s">
        <v>73627</v>
      </c>
      <c r="H14597" s="3" t="s">
        <v>70238</v>
      </c>
      <c r="I14597" s="3" t="s">
        <v>1033</v>
      </c>
      <c r="J14597" s="3" t="s">
        <v>466</v>
      </c>
      <c r="K14597" s="3" t="s">
        <v>73628</v>
      </c>
      <c r="L14597" s="3"/>
      <c r="M14597" s="4"/>
      <c r="N14597" s="3" t="s">
        <v>37</v>
      </c>
      <c r="O14597" s="3" t="s">
        <v>618</v>
      </c>
      <c r="P14597" s="5">
        <v>2</v>
      </c>
      <c r="Q14597" s="5">
        <v>29</v>
      </c>
      <c r="R14597" s="5">
        <v>2</v>
      </c>
      <c r="S14597" s="5">
        <v>29</v>
      </c>
    </row>
    <row r="14598" spans="1:19" ht="28" x14ac:dyDescent="0.15">
      <c r="A14598" s="2">
        <f>HYPERLINK("https://open-school.uspishnemisto.com.ua/school/680701/", 680701)</f>
        <v>680701</v>
      </c>
      <c r="B14598" s="3" t="s">
        <v>73629</v>
      </c>
      <c r="C14598" s="3" t="s">
        <v>54</v>
      </c>
      <c r="D14598" s="3" t="s">
        <v>175</v>
      </c>
      <c r="E14598" s="4" t="s">
        <v>22</v>
      </c>
      <c r="F14598" s="4" t="s">
        <v>73630</v>
      </c>
      <c r="G14598" s="4" t="s">
        <v>73631</v>
      </c>
      <c r="H14598" s="3" t="s">
        <v>70238</v>
      </c>
      <c r="I14598" s="3" t="s">
        <v>73632</v>
      </c>
      <c r="J14598" s="3" t="s">
        <v>73633</v>
      </c>
      <c r="K14598" s="3"/>
      <c r="L14598" s="3"/>
      <c r="M14598" s="4"/>
      <c r="N14598" s="3" t="s">
        <v>37</v>
      </c>
      <c r="O14598" s="3" t="s">
        <v>46</v>
      </c>
      <c r="P14598" s="5">
        <v>2</v>
      </c>
      <c r="Q14598" s="5">
        <v>26</v>
      </c>
      <c r="R14598" s="5">
        <v>3</v>
      </c>
      <c r="S14598" s="5">
        <v>32</v>
      </c>
    </row>
    <row r="14599" spans="1:19" ht="28" x14ac:dyDescent="0.15">
      <c r="A14599" s="2">
        <f>HYPERLINK("https://open-school.uspishnemisto.com.ua/school/680702/", 680702)</f>
        <v>680702</v>
      </c>
      <c r="B14599" s="3" t="s">
        <v>73634</v>
      </c>
      <c r="C14599" s="3" t="s">
        <v>31</v>
      </c>
      <c r="D14599" s="3" t="s">
        <v>175</v>
      </c>
      <c r="E14599" s="4" t="s">
        <v>22</v>
      </c>
      <c r="F14599" s="4" t="s">
        <v>73635</v>
      </c>
      <c r="G14599" s="4" t="s">
        <v>73636</v>
      </c>
      <c r="H14599" s="3" t="s">
        <v>70238</v>
      </c>
      <c r="I14599" s="3" t="s">
        <v>73637</v>
      </c>
      <c r="J14599" s="3" t="s">
        <v>73638</v>
      </c>
      <c r="K14599" s="3" t="s">
        <v>73639</v>
      </c>
      <c r="L14599" s="3"/>
      <c r="M14599" s="4"/>
      <c r="N14599" s="3" t="s">
        <v>37</v>
      </c>
      <c r="O14599" s="3" t="s">
        <v>46</v>
      </c>
      <c r="P14599" s="5">
        <v>7</v>
      </c>
      <c r="Q14599" s="5">
        <v>53</v>
      </c>
      <c r="R14599" s="5">
        <v>6</v>
      </c>
      <c r="S14599" s="5">
        <v>50</v>
      </c>
    </row>
    <row r="14600" spans="1:19" ht="28" x14ac:dyDescent="0.15">
      <c r="A14600" s="2">
        <f>HYPERLINK("https://open-school.uspishnemisto.com.ua/school/680703/", 680703)</f>
        <v>680703</v>
      </c>
      <c r="B14600" s="3" t="s">
        <v>73640</v>
      </c>
      <c r="C14600" s="3" t="s">
        <v>31</v>
      </c>
      <c r="D14600" s="3" t="s">
        <v>32</v>
      </c>
      <c r="E14600" s="4" t="s">
        <v>22</v>
      </c>
      <c r="F14600" s="4" t="s">
        <v>2435</v>
      </c>
      <c r="G14600" s="4" t="s">
        <v>73641</v>
      </c>
      <c r="H14600" s="3" t="s">
        <v>70238</v>
      </c>
      <c r="I14600" s="3" t="s">
        <v>49667</v>
      </c>
      <c r="J14600" s="3" t="s">
        <v>73642</v>
      </c>
      <c r="K14600" s="3" t="s">
        <v>73643</v>
      </c>
      <c r="L14600" s="3"/>
      <c r="M14600" s="4"/>
      <c r="N14600" s="3" t="s">
        <v>37</v>
      </c>
      <c r="O14600" s="3" t="s">
        <v>46</v>
      </c>
      <c r="P14600" s="5">
        <v>7</v>
      </c>
      <c r="Q14600" s="5">
        <v>58</v>
      </c>
      <c r="R14600" s="5">
        <v>10</v>
      </c>
      <c r="S14600" s="5">
        <v>76</v>
      </c>
    </row>
    <row r="14601" spans="1:19" ht="28" x14ac:dyDescent="0.15">
      <c r="A14601" s="2">
        <f>HYPERLINK("https://open-school.uspishnemisto.com.ua/school/680704/", 680704)</f>
        <v>680704</v>
      </c>
      <c r="B14601" s="3" t="s">
        <v>73644</v>
      </c>
      <c r="C14601" s="3" t="s">
        <v>31</v>
      </c>
      <c r="D14601" s="3" t="s">
        <v>175</v>
      </c>
      <c r="E14601" s="4" t="s">
        <v>22</v>
      </c>
      <c r="F14601" s="4" t="s">
        <v>73645</v>
      </c>
      <c r="G14601" s="4" t="s">
        <v>73646</v>
      </c>
      <c r="H14601" s="3" t="s">
        <v>70238</v>
      </c>
      <c r="I14601" s="3" t="s">
        <v>73647</v>
      </c>
      <c r="J14601" s="3" t="s">
        <v>7495</v>
      </c>
      <c r="K14601" s="3" t="s">
        <v>73648</v>
      </c>
      <c r="L14601" s="3"/>
      <c r="M14601" s="4"/>
      <c r="N14601" s="3" t="s">
        <v>37</v>
      </c>
      <c r="O14601" s="3" t="s">
        <v>38</v>
      </c>
      <c r="P14601" s="5">
        <v>5</v>
      </c>
      <c r="Q14601" s="5">
        <v>37</v>
      </c>
      <c r="R14601" s="5">
        <v>6</v>
      </c>
      <c r="S14601" s="5">
        <v>40</v>
      </c>
    </row>
    <row r="14602" spans="1:19" ht="56" x14ac:dyDescent="0.15">
      <c r="A14602" s="2">
        <f>HYPERLINK("https://open-school.uspishnemisto.com.ua/school/680705/", 680705)</f>
        <v>680705</v>
      </c>
      <c r="B14602" s="3" t="s">
        <v>73649</v>
      </c>
      <c r="C14602" s="3" t="s">
        <v>54</v>
      </c>
      <c r="D14602" s="3" t="s">
        <v>175</v>
      </c>
      <c r="E14602" s="4" t="s">
        <v>22</v>
      </c>
      <c r="F14602" s="4" t="s">
        <v>73645</v>
      </c>
      <c r="G14602" s="4" t="s">
        <v>73650</v>
      </c>
      <c r="H14602" s="3" t="s">
        <v>70238</v>
      </c>
      <c r="I14602" s="3" t="s">
        <v>73651</v>
      </c>
      <c r="J14602" s="3" t="s">
        <v>73652</v>
      </c>
      <c r="K14602" s="3" t="s">
        <v>73653</v>
      </c>
      <c r="L14602" s="3"/>
      <c r="M14602" s="4"/>
      <c r="N14602" s="3" t="s">
        <v>37</v>
      </c>
      <c r="O14602" s="3" t="s">
        <v>618</v>
      </c>
      <c r="P14602" s="5">
        <v>3</v>
      </c>
      <c r="Q14602" s="5">
        <v>31</v>
      </c>
      <c r="R14602" s="5">
        <v>4</v>
      </c>
      <c r="S14602" s="5">
        <v>36</v>
      </c>
    </row>
    <row r="14603" spans="1:19" ht="28" x14ac:dyDescent="0.15">
      <c r="A14603" s="2">
        <f>HYPERLINK("https://open-school.uspishnemisto.com.ua/school/680706/", 680706)</f>
        <v>680706</v>
      </c>
      <c r="B14603" s="3" t="s">
        <v>73654</v>
      </c>
      <c r="C14603" s="3" t="s">
        <v>31</v>
      </c>
      <c r="D14603" s="3" t="s">
        <v>175</v>
      </c>
      <c r="E14603" s="4" t="s">
        <v>22</v>
      </c>
      <c r="F14603" s="4" t="s">
        <v>73655</v>
      </c>
      <c r="G14603" s="4" t="s">
        <v>73656</v>
      </c>
      <c r="H14603" s="3" t="s">
        <v>70238</v>
      </c>
      <c r="I14603" s="3" t="s">
        <v>2612</v>
      </c>
      <c r="J14603" s="3" t="s">
        <v>73657</v>
      </c>
      <c r="K14603" s="3" t="s">
        <v>73658</v>
      </c>
      <c r="L14603" s="3" t="s">
        <v>73659</v>
      </c>
      <c r="M14603" s="4"/>
      <c r="N14603" s="3" t="s">
        <v>37</v>
      </c>
      <c r="O14603" s="3" t="s">
        <v>46</v>
      </c>
      <c r="P14603" s="5">
        <v>6</v>
      </c>
      <c r="Q14603" s="5">
        <v>52</v>
      </c>
      <c r="R14603" s="5">
        <v>6</v>
      </c>
      <c r="S14603" s="5">
        <v>55</v>
      </c>
    </row>
    <row r="14604" spans="1:19" ht="28" x14ac:dyDescent="0.15">
      <c r="A14604" s="2">
        <f>HYPERLINK("https://open-school.uspishnemisto.com.ua/school/680707/", 680707)</f>
        <v>680707</v>
      </c>
      <c r="B14604" s="3" t="s">
        <v>73660</v>
      </c>
      <c r="C14604" s="3" t="s">
        <v>31</v>
      </c>
      <c r="D14604" s="3" t="s">
        <v>32</v>
      </c>
      <c r="E14604" s="4" t="s">
        <v>22</v>
      </c>
      <c r="F14604" s="4" t="s">
        <v>73661</v>
      </c>
      <c r="G14604" s="4" t="s">
        <v>73662</v>
      </c>
      <c r="H14604" s="3" t="s">
        <v>70238</v>
      </c>
      <c r="I14604" s="3" t="s">
        <v>73663</v>
      </c>
      <c r="J14604" s="3" t="s">
        <v>17503</v>
      </c>
      <c r="K14604" s="3"/>
      <c r="L14604" s="3"/>
      <c r="M14604" s="4"/>
      <c r="N14604" s="3" t="s">
        <v>37</v>
      </c>
      <c r="O14604" s="3" t="s">
        <v>70</v>
      </c>
      <c r="P14604" s="5">
        <v>20</v>
      </c>
      <c r="Q14604" s="5">
        <v>439</v>
      </c>
      <c r="R14604" s="5">
        <v>20</v>
      </c>
      <c r="S14604" s="5">
        <v>428</v>
      </c>
    </row>
    <row r="14605" spans="1:19" ht="42" x14ac:dyDescent="0.15">
      <c r="A14605" s="2">
        <f>HYPERLINK("https://open-school.uspishnemisto.com.ua/school/680708/", 680708)</f>
        <v>680708</v>
      </c>
      <c r="B14605" s="3" t="s">
        <v>73664</v>
      </c>
      <c r="C14605" s="3" t="s">
        <v>54</v>
      </c>
      <c r="D14605" s="3" t="s">
        <v>175</v>
      </c>
      <c r="E14605" s="4" t="s">
        <v>22</v>
      </c>
      <c r="F14605" s="4" t="s">
        <v>73665</v>
      </c>
      <c r="G14605" s="4" t="s">
        <v>73666</v>
      </c>
      <c r="H14605" s="3" t="s">
        <v>70238</v>
      </c>
      <c r="I14605" s="3" t="s">
        <v>73667</v>
      </c>
      <c r="J14605" s="3" t="s">
        <v>73668</v>
      </c>
      <c r="K14605" s="3" t="s">
        <v>73669</v>
      </c>
      <c r="L14605" s="3" t="s">
        <v>73670</v>
      </c>
      <c r="M14605" s="4"/>
      <c r="N14605" s="3" t="s">
        <v>37</v>
      </c>
      <c r="O14605" s="3" t="s">
        <v>38</v>
      </c>
      <c r="P14605" s="5">
        <v>2</v>
      </c>
      <c r="Q14605" s="5">
        <v>29</v>
      </c>
      <c r="R14605" s="5">
        <v>3</v>
      </c>
      <c r="S14605" s="5">
        <v>29</v>
      </c>
    </row>
    <row r="14606" spans="1:19" ht="56" x14ac:dyDescent="0.15">
      <c r="A14606" s="2">
        <f>HYPERLINK("https://open-school.uspishnemisto.com.ua/school/680709/", 680709)</f>
        <v>680709</v>
      </c>
      <c r="B14606" s="3" t="s">
        <v>73671</v>
      </c>
      <c r="C14606" s="3" t="s">
        <v>54</v>
      </c>
      <c r="D14606" s="3" t="s">
        <v>60</v>
      </c>
      <c r="E14606" s="4" t="s">
        <v>22</v>
      </c>
      <c r="F14606" s="4" t="s">
        <v>73672</v>
      </c>
      <c r="G14606" s="4" t="s">
        <v>73673</v>
      </c>
      <c r="H14606" s="3" t="s">
        <v>70238</v>
      </c>
      <c r="I14606" s="3" t="s">
        <v>73674</v>
      </c>
      <c r="J14606" s="3" t="s">
        <v>1668</v>
      </c>
      <c r="K14606" s="3" t="s">
        <v>73675</v>
      </c>
      <c r="L14606" s="3"/>
      <c r="M14606" s="4"/>
      <c r="N14606" s="3" t="s">
        <v>37</v>
      </c>
      <c r="O14606" s="3" t="s">
        <v>52</v>
      </c>
      <c r="P14606" s="5">
        <v>4</v>
      </c>
      <c r="Q14606" s="5">
        <v>22</v>
      </c>
      <c r="R14606" s="5">
        <v>5</v>
      </c>
      <c r="S14606" s="5">
        <v>39</v>
      </c>
    </row>
    <row r="14607" spans="1:19" ht="28" x14ac:dyDescent="0.15">
      <c r="A14607" s="2">
        <f>HYPERLINK("https://open-school.uspishnemisto.com.ua/school/680710/", 680710)</f>
        <v>680710</v>
      </c>
      <c r="B14607" s="3" t="s">
        <v>73676</v>
      </c>
      <c r="C14607" s="3" t="s">
        <v>31</v>
      </c>
      <c r="D14607" s="3" t="s">
        <v>175</v>
      </c>
      <c r="E14607" s="4" t="s">
        <v>22</v>
      </c>
      <c r="F14607" s="4" t="s">
        <v>73677</v>
      </c>
      <c r="G14607" s="4" t="s">
        <v>73678</v>
      </c>
      <c r="H14607" s="3" t="s">
        <v>70238</v>
      </c>
      <c r="I14607" s="3" t="s">
        <v>27834</v>
      </c>
      <c r="J14607" s="3" t="s">
        <v>73679</v>
      </c>
      <c r="K14607" s="3" t="s">
        <v>73680</v>
      </c>
      <c r="L14607" s="3"/>
      <c r="M14607" s="4"/>
      <c r="N14607" s="3" t="s">
        <v>37</v>
      </c>
      <c r="O14607" s="3" t="s">
        <v>112</v>
      </c>
      <c r="P14607" s="5">
        <v>9</v>
      </c>
      <c r="Q14607" s="5">
        <v>76</v>
      </c>
      <c r="R14607" s="5">
        <v>9</v>
      </c>
      <c r="S14607" s="5">
        <v>80</v>
      </c>
    </row>
    <row r="14608" spans="1:19" ht="56" x14ac:dyDescent="0.15">
      <c r="A14608" s="2">
        <f>HYPERLINK("https://open-school.uspishnemisto.com.ua/school/680711/", 680711)</f>
        <v>680711</v>
      </c>
      <c r="B14608" s="3" t="s">
        <v>73681</v>
      </c>
      <c r="C14608" s="3" t="s">
        <v>31</v>
      </c>
      <c r="D14608" s="3"/>
      <c r="E14608" s="4" t="s">
        <v>22</v>
      </c>
      <c r="F14608" s="4" t="s">
        <v>73682</v>
      </c>
      <c r="G14608" s="4" t="s">
        <v>73683</v>
      </c>
      <c r="H14608" s="3" t="s">
        <v>70238</v>
      </c>
      <c r="I14608" s="3" t="s">
        <v>60671</v>
      </c>
      <c r="J14608" s="3" t="s">
        <v>6438</v>
      </c>
      <c r="K14608" s="3" t="s">
        <v>73684</v>
      </c>
      <c r="L14608" s="3"/>
      <c r="M14608" s="4"/>
      <c r="N14608" s="3" t="s">
        <v>37</v>
      </c>
      <c r="O14608" s="3" t="s">
        <v>38</v>
      </c>
      <c r="P14608" s="5">
        <v>1</v>
      </c>
      <c r="Q14608" s="5">
        <v>28</v>
      </c>
      <c r="R14608" s="5">
        <v>1</v>
      </c>
      <c r="S14608" s="5">
        <v>33</v>
      </c>
    </row>
    <row r="14609" spans="1:19" ht="42" x14ac:dyDescent="0.15">
      <c r="A14609" s="2">
        <f>HYPERLINK("https://open-school.uspishnemisto.com.ua/school/680712/", 680712)</f>
        <v>680712</v>
      </c>
      <c r="B14609" s="3" t="s">
        <v>73685</v>
      </c>
      <c r="C14609" s="3" t="s">
        <v>31</v>
      </c>
      <c r="D14609" s="3" t="s">
        <v>32</v>
      </c>
      <c r="E14609" s="4" t="s">
        <v>22</v>
      </c>
      <c r="F14609" s="4" t="s">
        <v>73686</v>
      </c>
      <c r="G14609" s="4" t="s">
        <v>73687</v>
      </c>
      <c r="H14609" s="3" t="s">
        <v>70238</v>
      </c>
      <c r="I14609" s="3" t="s">
        <v>2422</v>
      </c>
      <c r="J14609" s="3" t="s">
        <v>8007</v>
      </c>
      <c r="K14609" s="3" t="s">
        <v>73688</v>
      </c>
      <c r="L14609" s="3" t="s">
        <v>73689</v>
      </c>
      <c r="M14609" s="4"/>
      <c r="N14609" s="3" t="s">
        <v>37</v>
      </c>
      <c r="O14609" s="3" t="s">
        <v>38</v>
      </c>
      <c r="P14609" s="5">
        <v>11</v>
      </c>
      <c r="Q14609" s="5">
        <v>216</v>
      </c>
      <c r="R14609" s="5">
        <v>11</v>
      </c>
      <c r="S14609" s="5">
        <v>207</v>
      </c>
    </row>
    <row r="14610" spans="1:19" ht="28" x14ac:dyDescent="0.15">
      <c r="A14610" s="2">
        <f>HYPERLINK("https://open-school.uspishnemisto.com.ua/school/680713/", 680713)</f>
        <v>680713</v>
      </c>
      <c r="B14610" s="3" t="s">
        <v>73690</v>
      </c>
      <c r="C14610" s="3" t="s">
        <v>31</v>
      </c>
      <c r="D14610" s="3" t="s">
        <v>32</v>
      </c>
      <c r="E14610" s="4" t="s">
        <v>22</v>
      </c>
      <c r="F14610" s="4" t="s">
        <v>73691</v>
      </c>
      <c r="G14610" s="4" t="s">
        <v>73692</v>
      </c>
      <c r="H14610" s="3" t="s">
        <v>70238</v>
      </c>
      <c r="I14610" s="3" t="s">
        <v>73693</v>
      </c>
      <c r="J14610" s="3" t="s">
        <v>73694</v>
      </c>
      <c r="K14610" s="3" t="s">
        <v>73695</v>
      </c>
      <c r="L14610" s="3" t="s">
        <v>73696</v>
      </c>
      <c r="M14610" s="4"/>
      <c r="N14610" s="3" t="s">
        <v>37</v>
      </c>
      <c r="O14610" s="3" t="s">
        <v>38</v>
      </c>
      <c r="P14610" s="5">
        <v>11</v>
      </c>
      <c r="Q14610" s="5">
        <v>181</v>
      </c>
      <c r="R14610" s="5">
        <v>11</v>
      </c>
      <c r="S14610" s="5">
        <v>184</v>
      </c>
    </row>
    <row r="14611" spans="1:19" ht="28" x14ac:dyDescent="0.15">
      <c r="A14611" s="2">
        <f>HYPERLINK("https://open-school.uspishnemisto.com.ua/school/680714/", 680714)</f>
        <v>680714</v>
      </c>
      <c r="B14611" s="3" t="s">
        <v>73697</v>
      </c>
      <c r="C14611" s="3" t="s">
        <v>31</v>
      </c>
      <c r="D14611" s="3" t="s">
        <v>175</v>
      </c>
      <c r="E14611" s="4" t="s">
        <v>22</v>
      </c>
      <c r="F14611" s="4" t="s">
        <v>73698</v>
      </c>
      <c r="G14611" s="4" t="s">
        <v>73699</v>
      </c>
      <c r="H14611" s="3" t="s">
        <v>70238</v>
      </c>
      <c r="I14611" s="3" t="s">
        <v>73700</v>
      </c>
      <c r="J14611" s="3" t="s">
        <v>36292</v>
      </c>
      <c r="K14611" s="3" t="s">
        <v>73701</v>
      </c>
      <c r="L14611" s="3" t="s">
        <v>73702</v>
      </c>
      <c r="M14611" s="4"/>
      <c r="N14611" s="3" t="s">
        <v>37</v>
      </c>
      <c r="O14611" s="3" t="s">
        <v>38</v>
      </c>
      <c r="P14611" s="5">
        <v>9</v>
      </c>
      <c r="Q14611" s="5">
        <v>67</v>
      </c>
      <c r="R14611" s="5">
        <v>9</v>
      </c>
      <c r="S14611" s="5">
        <v>71</v>
      </c>
    </row>
    <row r="14612" spans="1:19" ht="56" x14ac:dyDescent="0.15">
      <c r="A14612" s="2">
        <f>HYPERLINK("https://open-school.uspishnemisto.com.ua/school/680715/", 680715)</f>
        <v>680715</v>
      </c>
      <c r="B14612" s="3" t="s">
        <v>73703</v>
      </c>
      <c r="C14612" s="3" t="s">
        <v>54</v>
      </c>
      <c r="D14612" s="3" t="s">
        <v>32</v>
      </c>
      <c r="E14612" s="4" t="s">
        <v>22</v>
      </c>
      <c r="F14612" s="4" t="s">
        <v>73704</v>
      </c>
      <c r="G14612" s="4" t="s">
        <v>73705</v>
      </c>
      <c r="H14612" s="3" t="s">
        <v>70238</v>
      </c>
      <c r="I14612" s="3" t="s">
        <v>73706</v>
      </c>
      <c r="J14612" s="3" t="s">
        <v>73707</v>
      </c>
      <c r="K14612" s="3" t="s">
        <v>73708</v>
      </c>
      <c r="L14612" s="3"/>
      <c r="M14612" s="4"/>
      <c r="N14612" s="3" t="s">
        <v>37</v>
      </c>
      <c r="O14612" s="3" t="s">
        <v>38</v>
      </c>
      <c r="P14612" s="5">
        <v>10</v>
      </c>
      <c r="Q14612" s="5">
        <v>90</v>
      </c>
      <c r="R14612" s="5">
        <v>11</v>
      </c>
      <c r="S14612" s="5">
        <v>95</v>
      </c>
    </row>
    <row r="14613" spans="1:19" ht="56" x14ac:dyDescent="0.15">
      <c r="A14613" s="2">
        <f>HYPERLINK("https://open-school.uspishnemisto.com.ua/school/680716/", 680716)</f>
        <v>680716</v>
      </c>
      <c r="B14613" s="3" t="s">
        <v>73709</v>
      </c>
      <c r="C14613" s="3" t="s">
        <v>54</v>
      </c>
      <c r="D14613" s="3" t="s">
        <v>175</v>
      </c>
      <c r="E14613" s="4" t="s">
        <v>22</v>
      </c>
      <c r="F14613" s="4" t="s">
        <v>73704</v>
      </c>
      <c r="G14613" s="4" t="s">
        <v>73710</v>
      </c>
      <c r="H14613" s="3" t="s">
        <v>70238</v>
      </c>
      <c r="I14613" s="3" t="s">
        <v>73711</v>
      </c>
      <c r="J14613" s="3" t="s">
        <v>2253</v>
      </c>
      <c r="K14613" s="3" t="s">
        <v>73712</v>
      </c>
      <c r="L14613" s="3"/>
      <c r="M14613" s="4"/>
      <c r="N14613" s="3" t="s">
        <v>37</v>
      </c>
      <c r="O14613" s="3" t="s">
        <v>52</v>
      </c>
      <c r="P14613" s="5">
        <v>8</v>
      </c>
      <c r="Q14613" s="5">
        <v>66</v>
      </c>
      <c r="R14613" s="5">
        <v>8</v>
      </c>
      <c r="S14613" s="5">
        <v>64</v>
      </c>
    </row>
    <row r="14614" spans="1:19" ht="28" x14ac:dyDescent="0.15">
      <c r="A14614" s="2">
        <f>HYPERLINK("https://open-school.uspishnemisto.com.ua/school/680717/", 680717)</f>
        <v>680717</v>
      </c>
      <c r="B14614" s="3" t="s">
        <v>73713</v>
      </c>
      <c r="C14614" s="3" t="s">
        <v>31</v>
      </c>
      <c r="D14614" s="3" t="s">
        <v>32</v>
      </c>
      <c r="E14614" s="4" t="s">
        <v>22</v>
      </c>
      <c r="F14614" s="4" t="s">
        <v>73714</v>
      </c>
      <c r="G14614" s="4" t="s">
        <v>73715</v>
      </c>
      <c r="H14614" s="3" t="s">
        <v>70238</v>
      </c>
      <c r="I14614" s="3" t="s">
        <v>73716</v>
      </c>
      <c r="J14614" s="3" t="s">
        <v>73717</v>
      </c>
      <c r="K14614" s="3" t="s">
        <v>73718</v>
      </c>
      <c r="L14614" s="3" t="s">
        <v>73719</v>
      </c>
      <c r="M14614" s="4"/>
      <c r="N14614" s="3" t="s">
        <v>37</v>
      </c>
      <c r="O14614" s="3" t="s">
        <v>46</v>
      </c>
      <c r="P14614" s="5">
        <v>11</v>
      </c>
      <c r="Q14614" s="5">
        <v>93</v>
      </c>
      <c r="R14614" s="5">
        <v>11</v>
      </c>
      <c r="S14614" s="5">
        <v>89</v>
      </c>
    </row>
    <row r="14615" spans="1:19" ht="42" x14ac:dyDescent="0.15">
      <c r="A14615" s="2">
        <f>HYPERLINK("https://open-school.uspishnemisto.com.ua/school/680718/", 680718)</f>
        <v>680718</v>
      </c>
      <c r="B14615" s="3" t="s">
        <v>73720</v>
      </c>
      <c r="C14615" s="3" t="s">
        <v>31</v>
      </c>
      <c r="D14615" s="3" t="s">
        <v>32</v>
      </c>
      <c r="E14615" s="4" t="s">
        <v>22</v>
      </c>
      <c r="F14615" s="4" t="s">
        <v>73721</v>
      </c>
      <c r="G14615" s="4" t="s">
        <v>73722</v>
      </c>
      <c r="H14615" s="3" t="s">
        <v>70238</v>
      </c>
      <c r="I14615" s="3" t="s">
        <v>73723</v>
      </c>
      <c r="J14615" s="3" t="s">
        <v>73724</v>
      </c>
      <c r="K14615" s="3" t="s">
        <v>73725</v>
      </c>
      <c r="L14615" s="3" t="s">
        <v>73726</v>
      </c>
      <c r="M14615" s="4"/>
      <c r="N14615" s="3" t="s">
        <v>37</v>
      </c>
      <c r="O14615" s="3" t="s">
        <v>46</v>
      </c>
      <c r="P14615" s="5">
        <v>11</v>
      </c>
      <c r="Q14615" s="5">
        <v>138</v>
      </c>
      <c r="R14615" s="5">
        <v>11</v>
      </c>
      <c r="S14615" s="5">
        <v>134</v>
      </c>
    </row>
    <row r="14616" spans="1:19" ht="28" x14ac:dyDescent="0.15">
      <c r="A14616" s="2">
        <f>HYPERLINK("https://open-school.uspishnemisto.com.ua/school/680719/", 680719)</f>
        <v>680719</v>
      </c>
      <c r="B14616" s="3" t="s">
        <v>73727</v>
      </c>
      <c r="C14616" s="3" t="s">
        <v>31</v>
      </c>
      <c r="D14616" s="3" t="s">
        <v>32</v>
      </c>
      <c r="E14616" s="4" t="s">
        <v>22</v>
      </c>
      <c r="F14616" s="4" t="s">
        <v>73728</v>
      </c>
      <c r="G14616" s="4" t="s">
        <v>73729</v>
      </c>
      <c r="H14616" s="3" t="s">
        <v>70238</v>
      </c>
      <c r="I14616" s="3" t="s">
        <v>73730</v>
      </c>
      <c r="J14616" s="3" t="s">
        <v>73731</v>
      </c>
      <c r="K14616" s="3" t="s">
        <v>73732</v>
      </c>
      <c r="L14616" s="3" t="s">
        <v>73733</v>
      </c>
      <c r="M14616" s="4"/>
      <c r="N14616" s="3" t="s">
        <v>37</v>
      </c>
      <c r="O14616" s="3" t="s">
        <v>38</v>
      </c>
      <c r="P14616" s="5">
        <v>11</v>
      </c>
      <c r="Q14616" s="5">
        <v>206</v>
      </c>
      <c r="R14616" s="5">
        <v>11</v>
      </c>
      <c r="S14616" s="5">
        <v>203</v>
      </c>
    </row>
    <row r="14617" spans="1:19" ht="42" x14ac:dyDescent="0.15">
      <c r="A14617" s="2">
        <f>HYPERLINK("https://open-school.uspishnemisto.com.ua/school/680720/", 680720)</f>
        <v>680720</v>
      </c>
      <c r="B14617" s="3" t="s">
        <v>73734</v>
      </c>
      <c r="C14617" s="3" t="s">
        <v>31</v>
      </c>
      <c r="D14617" s="3" t="s">
        <v>32</v>
      </c>
      <c r="E14617" s="4" t="s">
        <v>22</v>
      </c>
      <c r="F14617" s="4" t="s">
        <v>73735</v>
      </c>
      <c r="G14617" s="4" t="s">
        <v>73736</v>
      </c>
      <c r="H14617" s="3" t="s">
        <v>70238</v>
      </c>
      <c r="I14617" s="3" t="s">
        <v>73737</v>
      </c>
      <c r="J14617" s="3" t="s">
        <v>2601</v>
      </c>
      <c r="K14617" s="3" t="s">
        <v>73738</v>
      </c>
      <c r="L14617" s="3" t="s">
        <v>73739</v>
      </c>
      <c r="M14617" s="4"/>
      <c r="N14617" s="3" t="s">
        <v>37</v>
      </c>
      <c r="O14617" s="3" t="s">
        <v>38</v>
      </c>
      <c r="P14617" s="5">
        <v>11</v>
      </c>
      <c r="Q14617" s="5">
        <v>107</v>
      </c>
      <c r="R14617" s="5">
        <v>11</v>
      </c>
      <c r="S14617" s="5">
        <v>110</v>
      </c>
    </row>
    <row r="14618" spans="1:19" ht="56" x14ac:dyDescent="0.15">
      <c r="A14618" s="2">
        <f>HYPERLINK("https://open-school.uspishnemisto.com.ua/school/680721/", 680721)</f>
        <v>680721</v>
      </c>
      <c r="B14618" s="3" t="s">
        <v>73740</v>
      </c>
      <c r="C14618" s="3" t="s">
        <v>54</v>
      </c>
      <c r="D14618" s="3" t="s">
        <v>32</v>
      </c>
      <c r="E14618" s="4" t="s">
        <v>22</v>
      </c>
      <c r="F14618" s="4" t="s">
        <v>73741</v>
      </c>
      <c r="G14618" s="4" t="s">
        <v>73742</v>
      </c>
      <c r="H14618" s="3" t="s">
        <v>70238</v>
      </c>
      <c r="I14618" s="3" t="s">
        <v>73743</v>
      </c>
      <c r="J14618" s="3" t="s">
        <v>73744</v>
      </c>
      <c r="K14618" s="3" t="s">
        <v>73745</v>
      </c>
      <c r="L14618" s="3"/>
      <c r="M14618" s="4"/>
      <c r="N14618" s="3" t="s">
        <v>37</v>
      </c>
      <c r="O14618" s="3" t="s">
        <v>46</v>
      </c>
      <c r="P14618" s="5">
        <v>4</v>
      </c>
      <c r="Q14618" s="5">
        <v>26</v>
      </c>
      <c r="R14618" s="5">
        <v>3</v>
      </c>
      <c r="S14618" s="5">
        <v>31</v>
      </c>
    </row>
    <row r="14619" spans="1:19" ht="42" x14ac:dyDescent="0.15">
      <c r="A14619" s="2">
        <f>HYPERLINK("https://open-school.uspishnemisto.com.ua/school/680722/", 680722)</f>
        <v>680722</v>
      </c>
      <c r="B14619" s="3" t="s">
        <v>73746</v>
      </c>
      <c r="C14619" s="3" t="s">
        <v>31</v>
      </c>
      <c r="D14619" s="3" t="s">
        <v>32</v>
      </c>
      <c r="E14619" s="4" t="s">
        <v>22</v>
      </c>
      <c r="F14619" s="4" t="s">
        <v>73747</v>
      </c>
      <c r="G14619" s="4" t="s">
        <v>73748</v>
      </c>
      <c r="H14619" s="3" t="s">
        <v>70238</v>
      </c>
      <c r="I14619" s="3" t="s">
        <v>22558</v>
      </c>
      <c r="J14619" s="3" t="s">
        <v>73749</v>
      </c>
      <c r="K14619" s="3" t="s">
        <v>73750</v>
      </c>
      <c r="L14619" s="3"/>
      <c r="M14619" s="4"/>
      <c r="N14619" s="3" t="s">
        <v>37</v>
      </c>
      <c r="O14619" s="3" t="s">
        <v>38</v>
      </c>
      <c r="P14619" s="5">
        <v>8</v>
      </c>
      <c r="Q14619" s="5">
        <v>76</v>
      </c>
      <c r="R14619" s="5">
        <v>8</v>
      </c>
      <c r="S14619" s="5">
        <v>72</v>
      </c>
    </row>
    <row r="14620" spans="1:19" ht="28" x14ac:dyDescent="0.15">
      <c r="A14620" s="2">
        <f>HYPERLINK("https://open-school.uspishnemisto.com.ua/school/680723/", 680723)</f>
        <v>680723</v>
      </c>
      <c r="B14620" s="3" t="s">
        <v>73751</v>
      </c>
      <c r="C14620" s="3" t="s">
        <v>31</v>
      </c>
      <c r="D14620" s="3" t="s">
        <v>32</v>
      </c>
      <c r="E14620" s="4" t="s">
        <v>22</v>
      </c>
      <c r="F14620" s="4" t="s">
        <v>73752</v>
      </c>
      <c r="G14620" s="4" t="s">
        <v>73753</v>
      </c>
      <c r="H14620" s="3" t="s">
        <v>70238</v>
      </c>
      <c r="I14620" s="3" t="s">
        <v>73754</v>
      </c>
      <c r="J14620" s="3" t="s">
        <v>3047</v>
      </c>
      <c r="K14620" s="3" t="s">
        <v>73755</v>
      </c>
      <c r="L14620" s="3" t="s">
        <v>73756</v>
      </c>
      <c r="M14620" s="4"/>
      <c r="N14620" s="3" t="s">
        <v>37</v>
      </c>
      <c r="O14620" s="3" t="s">
        <v>70</v>
      </c>
      <c r="P14620" s="5">
        <v>11</v>
      </c>
      <c r="Q14620" s="5">
        <v>128</v>
      </c>
      <c r="R14620" s="5">
        <v>11</v>
      </c>
      <c r="S14620" s="5">
        <v>136</v>
      </c>
    </row>
    <row r="14621" spans="1:19" ht="28" x14ac:dyDescent="0.15">
      <c r="A14621" s="2">
        <f>HYPERLINK("https://open-school.uspishnemisto.com.ua/school/680724/", 680724)</f>
        <v>680724</v>
      </c>
      <c r="B14621" s="3" t="s">
        <v>73757</v>
      </c>
      <c r="C14621" s="3" t="s">
        <v>31</v>
      </c>
      <c r="D14621" s="3" t="s">
        <v>32</v>
      </c>
      <c r="E14621" s="4" t="s">
        <v>22</v>
      </c>
      <c r="F14621" s="4" t="s">
        <v>73758</v>
      </c>
      <c r="G14621" s="4" t="s">
        <v>73759</v>
      </c>
      <c r="H14621" s="3" t="s">
        <v>70238</v>
      </c>
      <c r="I14621" s="3" t="s">
        <v>73760</v>
      </c>
      <c r="J14621" s="3" t="s">
        <v>73761</v>
      </c>
      <c r="K14621" s="3" t="s">
        <v>73762</v>
      </c>
      <c r="L14621" s="3" t="s">
        <v>73763</v>
      </c>
      <c r="M14621" s="4"/>
      <c r="N14621" s="3" t="s">
        <v>37</v>
      </c>
      <c r="O14621" s="3" t="s">
        <v>38</v>
      </c>
      <c r="P14621" s="5">
        <v>11</v>
      </c>
      <c r="Q14621" s="5">
        <v>116</v>
      </c>
      <c r="R14621" s="5">
        <v>11</v>
      </c>
      <c r="S14621" s="5">
        <v>120</v>
      </c>
    </row>
    <row r="14622" spans="1:19" ht="56" x14ac:dyDescent="0.15">
      <c r="A14622" s="2">
        <f>HYPERLINK("https://open-school.uspishnemisto.com.ua/school/680725/", 680725)</f>
        <v>680725</v>
      </c>
      <c r="B14622" s="3" t="s">
        <v>73764</v>
      </c>
      <c r="C14622" s="3" t="s">
        <v>54</v>
      </c>
      <c r="D14622" s="3" t="s">
        <v>175</v>
      </c>
      <c r="E14622" s="4" t="s">
        <v>22</v>
      </c>
      <c r="F14622" s="4" t="s">
        <v>73765</v>
      </c>
      <c r="G14622" s="4" t="s">
        <v>73766</v>
      </c>
      <c r="H14622" s="3" t="s">
        <v>70238</v>
      </c>
      <c r="I14622" s="3" t="s">
        <v>73767</v>
      </c>
      <c r="J14622" s="3" t="s">
        <v>6840</v>
      </c>
      <c r="K14622" s="3" t="s">
        <v>73768</v>
      </c>
      <c r="L14622" s="3" t="s">
        <v>73769</v>
      </c>
      <c r="M14622" s="4"/>
      <c r="N14622" s="3" t="s">
        <v>37</v>
      </c>
      <c r="O14622" s="3" t="s">
        <v>52</v>
      </c>
      <c r="P14622" s="5">
        <v>3</v>
      </c>
      <c r="Q14622" s="5">
        <v>27</v>
      </c>
      <c r="R14622" s="5">
        <v>3</v>
      </c>
      <c r="S14622" s="5">
        <v>28</v>
      </c>
    </row>
    <row r="14623" spans="1:19" ht="42" x14ac:dyDescent="0.15">
      <c r="A14623" s="2">
        <f>HYPERLINK("https://open-school.uspishnemisto.com.ua/school/680726/", 680726)</f>
        <v>680726</v>
      </c>
      <c r="B14623" s="3" t="s">
        <v>73770</v>
      </c>
      <c r="C14623" s="3" t="s">
        <v>31</v>
      </c>
      <c r="D14623" s="3" t="s">
        <v>32</v>
      </c>
      <c r="E14623" s="4" t="s">
        <v>22</v>
      </c>
      <c r="F14623" s="4" t="s">
        <v>73771</v>
      </c>
      <c r="G14623" s="4" t="s">
        <v>73772</v>
      </c>
      <c r="H14623" s="3" t="s">
        <v>70238</v>
      </c>
      <c r="I14623" s="3" t="s">
        <v>73773</v>
      </c>
      <c r="J14623" s="3" t="s">
        <v>73774</v>
      </c>
      <c r="K14623" s="3" t="s">
        <v>73775</v>
      </c>
      <c r="L14623" s="3"/>
      <c r="M14623" s="4"/>
      <c r="N14623" s="3" t="s">
        <v>37</v>
      </c>
      <c r="O14623" s="3" t="s">
        <v>38</v>
      </c>
      <c r="P14623" s="5">
        <v>10</v>
      </c>
      <c r="Q14623" s="5">
        <v>93</v>
      </c>
      <c r="R14623" s="5">
        <v>10</v>
      </c>
      <c r="S14623" s="5">
        <v>94</v>
      </c>
    </row>
    <row r="14624" spans="1:19" ht="42" x14ac:dyDescent="0.15">
      <c r="A14624" s="2">
        <f>HYPERLINK("https://open-school.uspishnemisto.com.ua/school/680727/", 680727)</f>
        <v>680727</v>
      </c>
      <c r="B14624" s="3" t="s">
        <v>73776</v>
      </c>
      <c r="C14624" s="3" t="s">
        <v>31</v>
      </c>
      <c r="D14624" s="3" t="s">
        <v>175</v>
      </c>
      <c r="E14624" s="4" t="s">
        <v>22</v>
      </c>
      <c r="F14624" s="4" t="s">
        <v>73777</v>
      </c>
      <c r="G14624" s="4" t="s">
        <v>73778</v>
      </c>
      <c r="H14624" s="3" t="s">
        <v>70238</v>
      </c>
      <c r="I14624" s="3" t="s">
        <v>73779</v>
      </c>
      <c r="J14624" s="3" t="s">
        <v>45406</v>
      </c>
      <c r="K14624" s="3"/>
      <c r="L14624" s="3" t="s">
        <v>73780</v>
      </c>
      <c r="M14624" s="4"/>
      <c r="N14624" s="3" t="s">
        <v>37</v>
      </c>
      <c r="O14624" s="3" t="s">
        <v>38</v>
      </c>
      <c r="P14624" s="5">
        <v>7</v>
      </c>
      <c r="Q14624" s="5">
        <v>50</v>
      </c>
      <c r="R14624" s="5">
        <v>7</v>
      </c>
      <c r="S14624" s="5">
        <v>54</v>
      </c>
    </row>
    <row r="14625" spans="1:19" ht="42" x14ac:dyDescent="0.15">
      <c r="A14625" s="2">
        <f>HYPERLINK("https://open-school.uspishnemisto.com.ua/school/680728/", 680728)</f>
        <v>680728</v>
      </c>
      <c r="B14625" s="3" t="s">
        <v>73781</v>
      </c>
      <c r="C14625" s="3" t="s">
        <v>31</v>
      </c>
      <c r="D14625" s="3" t="s">
        <v>32</v>
      </c>
      <c r="E14625" s="4" t="s">
        <v>22</v>
      </c>
      <c r="F14625" s="4" t="s">
        <v>73782</v>
      </c>
      <c r="G14625" s="4" t="s">
        <v>73783</v>
      </c>
      <c r="H14625" s="3" t="s">
        <v>70238</v>
      </c>
      <c r="I14625" s="3" t="s">
        <v>73784</v>
      </c>
      <c r="J14625" s="3" t="s">
        <v>878</v>
      </c>
      <c r="K14625" s="3" t="s">
        <v>73785</v>
      </c>
      <c r="L14625" s="3"/>
      <c r="M14625" s="4"/>
      <c r="N14625" s="3" t="s">
        <v>37</v>
      </c>
      <c r="O14625" s="3" t="s">
        <v>70</v>
      </c>
      <c r="P14625" s="5">
        <v>27</v>
      </c>
      <c r="Q14625" s="5">
        <v>558</v>
      </c>
      <c r="R14625" s="5">
        <v>21</v>
      </c>
      <c r="S14625" s="5">
        <v>484</v>
      </c>
    </row>
    <row r="14626" spans="1:19" ht="70" x14ac:dyDescent="0.15">
      <c r="A14626" s="2">
        <f>HYPERLINK("https://open-school.uspishnemisto.com.ua/school/680729/", 680729)</f>
        <v>680729</v>
      </c>
      <c r="B14626" s="3" t="s">
        <v>73786</v>
      </c>
      <c r="C14626" s="3" t="s">
        <v>54</v>
      </c>
      <c r="D14626" s="3" t="s">
        <v>175</v>
      </c>
      <c r="E14626" s="4" t="s">
        <v>22</v>
      </c>
      <c r="F14626" s="4" t="s">
        <v>73782</v>
      </c>
      <c r="G14626" s="4" t="s">
        <v>73783</v>
      </c>
      <c r="H14626" s="3" t="s">
        <v>70238</v>
      </c>
      <c r="I14626" s="3" t="s">
        <v>73784</v>
      </c>
      <c r="J14626" s="3" t="s">
        <v>73787</v>
      </c>
      <c r="K14626" s="3" t="s">
        <v>73788</v>
      </c>
      <c r="L14626" s="3"/>
      <c r="M14626" s="4"/>
      <c r="N14626" s="3" t="s">
        <v>37</v>
      </c>
      <c r="O14626" s="3" t="s">
        <v>46</v>
      </c>
      <c r="P14626" s="5">
        <v>0</v>
      </c>
      <c r="Q14626" s="5">
        <v>0</v>
      </c>
      <c r="R14626" s="5">
        <v>8</v>
      </c>
      <c r="S14626" s="5">
        <v>70</v>
      </c>
    </row>
    <row r="14627" spans="1:19" ht="56" x14ac:dyDescent="0.15">
      <c r="A14627" s="2">
        <f>HYPERLINK("https://open-school.uspishnemisto.com.ua/school/680730/", 680730)</f>
        <v>680730</v>
      </c>
      <c r="B14627" s="3" t="s">
        <v>73789</v>
      </c>
      <c r="C14627" s="3" t="s">
        <v>54</v>
      </c>
      <c r="D14627" s="3" t="s">
        <v>175</v>
      </c>
      <c r="E14627" s="4" t="s">
        <v>22</v>
      </c>
      <c r="F14627" s="4" t="s">
        <v>73790</v>
      </c>
      <c r="G14627" s="4" t="s">
        <v>73791</v>
      </c>
      <c r="H14627" s="3" t="s">
        <v>70238</v>
      </c>
      <c r="I14627" s="3" t="s">
        <v>73792</v>
      </c>
      <c r="J14627" s="3" t="s">
        <v>1636</v>
      </c>
      <c r="K14627" s="3" t="s">
        <v>73793</v>
      </c>
      <c r="L14627" s="3"/>
      <c r="M14627" s="4"/>
      <c r="N14627" s="3" t="s">
        <v>37</v>
      </c>
      <c r="O14627" s="3" t="s">
        <v>46</v>
      </c>
      <c r="P14627" s="5">
        <v>0</v>
      </c>
      <c r="Q14627" s="5">
        <v>0</v>
      </c>
      <c r="R14627" s="5">
        <v>4</v>
      </c>
      <c r="S14627" s="5">
        <v>40</v>
      </c>
    </row>
    <row r="14628" spans="1:19" ht="42" x14ac:dyDescent="0.15">
      <c r="A14628" s="2">
        <f>HYPERLINK("https://open-school.uspishnemisto.com.ua/school/680731/", 680731)</f>
        <v>680731</v>
      </c>
      <c r="B14628" s="3" t="s">
        <v>73794</v>
      </c>
      <c r="C14628" s="3" t="s">
        <v>20</v>
      </c>
      <c r="D14628" s="3" t="s">
        <v>21</v>
      </c>
      <c r="E14628" s="4" t="s">
        <v>22</v>
      </c>
      <c r="F14628" s="4" t="s">
        <v>73795</v>
      </c>
      <c r="G14628" s="4" t="s">
        <v>73796</v>
      </c>
      <c r="H14628" s="3" t="s">
        <v>70238</v>
      </c>
      <c r="I14628" s="3" t="s">
        <v>73797</v>
      </c>
      <c r="J14628" s="3"/>
      <c r="K14628" s="3"/>
      <c r="L14628" s="3"/>
      <c r="M14628" s="4"/>
      <c r="N14628" s="3"/>
      <c r="O14628" s="3"/>
      <c r="P14628" s="5">
        <v>0</v>
      </c>
      <c r="Q14628" s="5">
        <v>0</v>
      </c>
      <c r="R14628" s="5"/>
      <c r="S14628" s="5"/>
    </row>
    <row r="14629" spans="1:19" ht="42" x14ac:dyDescent="0.15">
      <c r="A14629" s="2">
        <f>HYPERLINK("https://open-school.uspishnemisto.com.ua/school/680732/", 680732)</f>
        <v>680732</v>
      </c>
      <c r="B14629" s="3" t="s">
        <v>73798</v>
      </c>
      <c r="C14629" s="3" t="s">
        <v>31</v>
      </c>
      <c r="D14629" s="3" t="s">
        <v>175</v>
      </c>
      <c r="E14629" s="4" t="s">
        <v>22</v>
      </c>
      <c r="F14629" s="4" t="s">
        <v>73799</v>
      </c>
      <c r="G14629" s="4" t="s">
        <v>73800</v>
      </c>
      <c r="H14629" s="3" t="s">
        <v>70238</v>
      </c>
      <c r="I14629" s="3" t="s">
        <v>73801</v>
      </c>
      <c r="J14629" s="3" t="s">
        <v>17711</v>
      </c>
      <c r="K14629" s="3" t="s">
        <v>73802</v>
      </c>
      <c r="L14629" s="3"/>
      <c r="M14629" s="4"/>
      <c r="N14629" s="3" t="s">
        <v>37</v>
      </c>
      <c r="O14629" s="3" t="s">
        <v>52</v>
      </c>
      <c r="P14629" s="5">
        <v>7</v>
      </c>
      <c r="Q14629" s="5">
        <v>55</v>
      </c>
      <c r="R14629" s="5">
        <v>5</v>
      </c>
      <c r="S14629" s="5">
        <v>51</v>
      </c>
    </row>
    <row r="14630" spans="1:19" ht="42" x14ac:dyDescent="0.15">
      <c r="A14630" s="2">
        <f>HYPERLINK("https://open-school.uspishnemisto.com.ua/school/680733/", 680733)</f>
        <v>680733</v>
      </c>
      <c r="B14630" s="3" t="s">
        <v>73803</v>
      </c>
      <c r="C14630" s="3" t="s">
        <v>31</v>
      </c>
      <c r="D14630" s="3" t="s">
        <v>60</v>
      </c>
      <c r="E14630" s="4" t="s">
        <v>22</v>
      </c>
      <c r="F14630" s="4"/>
      <c r="G14630" s="4" t="s">
        <v>73804</v>
      </c>
      <c r="H14630" s="3" t="s">
        <v>70238</v>
      </c>
      <c r="I14630" s="3" t="s">
        <v>73805</v>
      </c>
      <c r="J14630" s="3" t="s">
        <v>73806</v>
      </c>
      <c r="K14630" s="3" t="s">
        <v>73807</v>
      </c>
      <c r="L14630" s="3"/>
      <c r="M14630" s="4"/>
      <c r="N14630" s="3" t="s">
        <v>37</v>
      </c>
      <c r="O14630" s="3" t="s">
        <v>52</v>
      </c>
      <c r="P14630" s="5">
        <v>0</v>
      </c>
      <c r="Q14630" s="5">
        <v>10</v>
      </c>
      <c r="R14630" s="5">
        <v>0</v>
      </c>
      <c r="S14630" s="5">
        <v>11</v>
      </c>
    </row>
    <row r="14631" spans="1:19" ht="42" x14ac:dyDescent="0.15">
      <c r="A14631" s="2">
        <f>HYPERLINK("https://open-school.uspishnemisto.com.ua/school/680734/", 680734)</f>
        <v>680734</v>
      </c>
      <c r="B14631" s="3" t="s">
        <v>73808</v>
      </c>
      <c r="C14631" s="3" t="s">
        <v>31</v>
      </c>
      <c r="D14631" s="3" t="s">
        <v>175</v>
      </c>
      <c r="E14631" s="4" t="s">
        <v>22</v>
      </c>
      <c r="F14631" s="4" t="s">
        <v>73809</v>
      </c>
      <c r="G14631" s="4" t="s">
        <v>73810</v>
      </c>
      <c r="H14631" s="3" t="s">
        <v>70238</v>
      </c>
      <c r="I14631" s="3" t="s">
        <v>73811</v>
      </c>
      <c r="J14631" s="3" t="s">
        <v>4584</v>
      </c>
      <c r="K14631" s="3" t="s">
        <v>73812</v>
      </c>
      <c r="L14631" s="3"/>
      <c r="M14631" s="4"/>
      <c r="N14631" s="3" t="s">
        <v>37</v>
      </c>
      <c r="O14631" s="3" t="s">
        <v>38</v>
      </c>
      <c r="P14631" s="5">
        <v>8</v>
      </c>
      <c r="Q14631" s="5">
        <v>46</v>
      </c>
      <c r="R14631" s="5">
        <v>6</v>
      </c>
      <c r="S14631" s="5">
        <v>39</v>
      </c>
    </row>
    <row r="14632" spans="1:19" ht="56" x14ac:dyDescent="0.15">
      <c r="A14632" s="2">
        <f>HYPERLINK("https://open-school.uspishnemisto.com.ua/school/680735/", 680735)</f>
        <v>680735</v>
      </c>
      <c r="B14632" s="3" t="s">
        <v>73813</v>
      </c>
      <c r="C14632" s="3" t="s">
        <v>31</v>
      </c>
      <c r="D14632" s="3" t="s">
        <v>32</v>
      </c>
      <c r="E14632" s="4" t="s">
        <v>22</v>
      </c>
      <c r="F14632" s="4" t="s">
        <v>73814</v>
      </c>
      <c r="G14632" s="4" t="s">
        <v>73815</v>
      </c>
      <c r="H14632" s="3" t="s">
        <v>70238</v>
      </c>
      <c r="I14632" s="3" t="s">
        <v>73816</v>
      </c>
      <c r="J14632" s="3" t="s">
        <v>73817</v>
      </c>
      <c r="K14632" s="3" t="s">
        <v>73818</v>
      </c>
      <c r="L14632" s="3"/>
      <c r="M14632" s="4"/>
      <c r="N14632" s="3" t="s">
        <v>37</v>
      </c>
      <c r="O14632" s="3" t="s">
        <v>38</v>
      </c>
      <c r="P14632" s="5">
        <v>10</v>
      </c>
      <c r="Q14632" s="5">
        <v>62</v>
      </c>
      <c r="R14632" s="5">
        <v>9</v>
      </c>
      <c r="S14632" s="5">
        <v>62</v>
      </c>
    </row>
    <row r="14633" spans="1:19" ht="42" x14ac:dyDescent="0.15">
      <c r="A14633" s="2">
        <f>HYPERLINK("https://open-school.uspishnemisto.com.ua/school/680736/", 680736)</f>
        <v>680736</v>
      </c>
      <c r="B14633" s="3" t="s">
        <v>73819</v>
      </c>
      <c r="C14633" s="3" t="s">
        <v>31</v>
      </c>
      <c r="D14633" s="3" t="s">
        <v>32</v>
      </c>
      <c r="E14633" s="4" t="s">
        <v>22</v>
      </c>
      <c r="F14633" s="4" t="s">
        <v>73809</v>
      </c>
      <c r="G14633" s="4" t="s">
        <v>73820</v>
      </c>
      <c r="H14633" s="3" t="s">
        <v>70238</v>
      </c>
      <c r="I14633" s="3" t="s">
        <v>73821</v>
      </c>
      <c r="J14633" s="3" t="s">
        <v>2465</v>
      </c>
      <c r="K14633" s="3" t="s">
        <v>73822</v>
      </c>
      <c r="L14633" s="3"/>
      <c r="M14633" s="4"/>
      <c r="N14633" s="3" t="s">
        <v>37</v>
      </c>
      <c r="O14633" s="3" t="s">
        <v>70</v>
      </c>
      <c r="P14633" s="5">
        <v>10</v>
      </c>
      <c r="Q14633" s="5">
        <v>97</v>
      </c>
      <c r="R14633" s="5">
        <v>11</v>
      </c>
      <c r="S14633" s="5">
        <v>78</v>
      </c>
    </row>
    <row r="14634" spans="1:19" ht="28" x14ac:dyDescent="0.15">
      <c r="A14634" s="2">
        <f>HYPERLINK("https://open-school.uspishnemisto.com.ua/school/680737/", 680737)</f>
        <v>680737</v>
      </c>
      <c r="B14634" s="3" t="s">
        <v>73823</v>
      </c>
      <c r="C14634" s="3" t="s">
        <v>31</v>
      </c>
      <c r="D14634" s="3" t="s">
        <v>32</v>
      </c>
      <c r="E14634" s="4" t="s">
        <v>22</v>
      </c>
      <c r="F14634" s="4" t="s">
        <v>73824</v>
      </c>
      <c r="G14634" s="4" t="s">
        <v>73825</v>
      </c>
      <c r="H14634" s="3" t="s">
        <v>70238</v>
      </c>
      <c r="I14634" s="3" t="s">
        <v>73826</v>
      </c>
      <c r="J14634" s="3" t="s">
        <v>5955</v>
      </c>
      <c r="K14634" s="3" t="s">
        <v>73827</v>
      </c>
      <c r="L14634" s="3" t="s">
        <v>73828</v>
      </c>
      <c r="M14634" s="4"/>
      <c r="N14634" s="3" t="s">
        <v>37</v>
      </c>
      <c r="O14634" s="3" t="s">
        <v>46</v>
      </c>
      <c r="P14634" s="5">
        <v>11</v>
      </c>
      <c r="Q14634" s="5">
        <v>101</v>
      </c>
      <c r="R14634" s="5">
        <v>11</v>
      </c>
      <c r="S14634" s="5">
        <v>107</v>
      </c>
    </row>
    <row r="14635" spans="1:19" ht="28" x14ac:dyDescent="0.15">
      <c r="A14635" s="2">
        <f>HYPERLINK("https://open-school.uspishnemisto.com.ua/school/680738/", 680738)</f>
        <v>680738</v>
      </c>
      <c r="B14635" s="3" t="s">
        <v>73829</v>
      </c>
      <c r="C14635" s="3" t="s">
        <v>31</v>
      </c>
      <c r="D14635" s="3" t="s">
        <v>32</v>
      </c>
      <c r="E14635" s="4" t="s">
        <v>22</v>
      </c>
      <c r="F14635" s="4" t="s">
        <v>73830</v>
      </c>
      <c r="G14635" s="4" t="s">
        <v>73831</v>
      </c>
      <c r="H14635" s="3" t="s">
        <v>70238</v>
      </c>
      <c r="I14635" s="3" t="s">
        <v>1271</v>
      </c>
      <c r="J14635" s="3" t="s">
        <v>73832</v>
      </c>
      <c r="K14635" s="3" t="s">
        <v>73833</v>
      </c>
      <c r="L14635" s="3"/>
      <c r="M14635" s="4"/>
      <c r="N14635" s="3" t="s">
        <v>37</v>
      </c>
      <c r="O14635" s="3" t="s">
        <v>38</v>
      </c>
      <c r="P14635" s="5">
        <v>13</v>
      </c>
      <c r="Q14635" s="5">
        <v>239</v>
      </c>
      <c r="R14635" s="5">
        <v>12</v>
      </c>
      <c r="S14635" s="5">
        <v>225</v>
      </c>
    </row>
    <row r="14636" spans="1:19" ht="42" x14ac:dyDescent="0.15">
      <c r="A14636" s="2">
        <f>HYPERLINK("https://open-school.uspishnemisto.com.ua/school/680739/", 680739)</f>
        <v>680739</v>
      </c>
      <c r="B14636" s="3" t="s">
        <v>73834</v>
      </c>
      <c r="C14636" s="3" t="s">
        <v>40</v>
      </c>
      <c r="D14636" s="3" t="s">
        <v>32</v>
      </c>
      <c r="E14636" s="4" t="s">
        <v>22</v>
      </c>
      <c r="F14636" s="4" t="s">
        <v>73830</v>
      </c>
      <c r="G14636" s="4" t="s">
        <v>73831</v>
      </c>
      <c r="H14636" s="3" t="s">
        <v>70238</v>
      </c>
      <c r="I14636" s="3" t="s">
        <v>1271</v>
      </c>
      <c r="J14636" s="3" t="s">
        <v>73835</v>
      </c>
      <c r="K14636" s="3"/>
      <c r="L14636" s="3"/>
      <c r="M14636" s="4"/>
      <c r="N14636" s="3" t="s">
        <v>37</v>
      </c>
      <c r="O14636" s="3" t="s">
        <v>46</v>
      </c>
      <c r="P14636" s="5">
        <v>32</v>
      </c>
      <c r="Q14636" s="5">
        <v>721</v>
      </c>
      <c r="R14636" s="5">
        <v>30</v>
      </c>
      <c r="S14636" s="5">
        <v>681</v>
      </c>
    </row>
    <row r="14637" spans="1:19" ht="28" x14ac:dyDescent="0.15">
      <c r="A14637" s="2">
        <f>HYPERLINK("https://open-school.uspishnemisto.com.ua/school/680740/", 680740)</f>
        <v>680740</v>
      </c>
      <c r="B14637" s="3" t="s">
        <v>73836</v>
      </c>
      <c r="C14637" s="3" t="s">
        <v>188</v>
      </c>
      <c r="D14637" s="3" t="s">
        <v>32</v>
      </c>
      <c r="E14637" s="4" t="s">
        <v>22</v>
      </c>
      <c r="F14637" s="4" t="s">
        <v>73830</v>
      </c>
      <c r="G14637" s="4" t="s">
        <v>73831</v>
      </c>
      <c r="H14637" s="3" t="s">
        <v>70238</v>
      </c>
      <c r="I14637" s="3" t="s">
        <v>1271</v>
      </c>
      <c r="J14637" s="3" t="s">
        <v>16884</v>
      </c>
      <c r="K14637" s="3" t="s">
        <v>73837</v>
      </c>
      <c r="L14637" s="3"/>
      <c r="M14637" s="4"/>
      <c r="N14637" s="3" t="s">
        <v>37</v>
      </c>
      <c r="O14637" s="3" t="s">
        <v>46</v>
      </c>
      <c r="P14637" s="5">
        <v>2</v>
      </c>
      <c r="Q14637" s="5">
        <v>29</v>
      </c>
      <c r="R14637" s="5">
        <v>2</v>
      </c>
      <c r="S14637" s="5">
        <v>27</v>
      </c>
    </row>
    <row r="14638" spans="1:19" ht="56" x14ac:dyDescent="0.15">
      <c r="A14638" s="2">
        <f>HYPERLINK("https://open-school.uspishnemisto.com.ua/school/680741/", 680741)</f>
        <v>680741</v>
      </c>
      <c r="B14638" s="3" t="s">
        <v>73838</v>
      </c>
      <c r="C14638" s="3" t="s">
        <v>54</v>
      </c>
      <c r="D14638" s="3" t="s">
        <v>175</v>
      </c>
      <c r="E14638" s="4" t="s">
        <v>22</v>
      </c>
      <c r="F14638" s="4" t="s">
        <v>73839</v>
      </c>
      <c r="G14638" s="4" t="s">
        <v>73840</v>
      </c>
      <c r="H14638" s="3" t="s">
        <v>70238</v>
      </c>
      <c r="I14638" s="3" t="s">
        <v>73841</v>
      </c>
      <c r="J14638" s="3" t="s">
        <v>73842</v>
      </c>
      <c r="K14638" s="3"/>
      <c r="L14638" s="3"/>
      <c r="M14638" s="4"/>
      <c r="N14638" s="3" t="s">
        <v>37</v>
      </c>
      <c r="O14638" s="3" t="s">
        <v>46</v>
      </c>
      <c r="P14638" s="5">
        <v>6</v>
      </c>
      <c r="Q14638" s="5">
        <v>41</v>
      </c>
      <c r="R14638" s="5">
        <v>6</v>
      </c>
      <c r="S14638" s="5">
        <v>44</v>
      </c>
    </row>
    <row r="14639" spans="1:19" ht="56" x14ac:dyDescent="0.15">
      <c r="A14639" s="2">
        <f>HYPERLINK("https://open-school.uspishnemisto.com.ua/school/680742/", 680742)</f>
        <v>680742</v>
      </c>
      <c r="B14639" s="3" t="s">
        <v>73843</v>
      </c>
      <c r="C14639" s="3" t="s">
        <v>54</v>
      </c>
      <c r="D14639" s="3" t="s">
        <v>32</v>
      </c>
      <c r="E14639" s="4" t="s">
        <v>22</v>
      </c>
      <c r="F14639" s="4" t="s">
        <v>73844</v>
      </c>
      <c r="G14639" s="4" t="s">
        <v>73845</v>
      </c>
      <c r="H14639" s="3" t="s">
        <v>70238</v>
      </c>
      <c r="I14639" s="3" t="s">
        <v>73846</v>
      </c>
      <c r="J14639" s="3" t="s">
        <v>73847</v>
      </c>
      <c r="K14639" s="3" t="s">
        <v>73848</v>
      </c>
      <c r="L14639" s="3"/>
      <c r="M14639" s="4"/>
      <c r="N14639" s="3" t="s">
        <v>37</v>
      </c>
      <c r="O14639" s="3" t="s">
        <v>46</v>
      </c>
      <c r="P14639" s="5">
        <v>11</v>
      </c>
      <c r="Q14639" s="5">
        <v>106</v>
      </c>
      <c r="R14639" s="5">
        <v>10</v>
      </c>
      <c r="S14639" s="5">
        <v>99</v>
      </c>
    </row>
    <row r="14640" spans="1:19" ht="28" x14ac:dyDescent="0.15">
      <c r="A14640" s="2">
        <f>HYPERLINK("https://open-school.uspishnemisto.com.ua/school/680743/", 680743)</f>
        <v>680743</v>
      </c>
      <c r="B14640" s="3" t="s">
        <v>73849</v>
      </c>
      <c r="C14640" s="3" t="s">
        <v>31</v>
      </c>
      <c r="D14640" s="3" t="s">
        <v>32</v>
      </c>
      <c r="E14640" s="4" t="s">
        <v>22</v>
      </c>
      <c r="F14640" s="4" t="s">
        <v>73850</v>
      </c>
      <c r="G14640" s="4" t="s">
        <v>73851</v>
      </c>
      <c r="H14640" s="3" t="s">
        <v>70238</v>
      </c>
      <c r="I14640" s="3" t="s">
        <v>73852</v>
      </c>
      <c r="J14640" s="3" t="s">
        <v>32886</v>
      </c>
      <c r="K14640" s="3"/>
      <c r="L14640" s="3"/>
      <c r="M14640" s="4"/>
      <c r="N14640" s="3" t="s">
        <v>37</v>
      </c>
      <c r="O14640" s="3" t="s">
        <v>38</v>
      </c>
      <c r="P14640" s="5">
        <v>11</v>
      </c>
      <c r="Q14640" s="5">
        <v>87</v>
      </c>
      <c r="R14640" s="5">
        <v>11</v>
      </c>
      <c r="S14640" s="5">
        <v>91</v>
      </c>
    </row>
    <row r="14641" spans="1:19" ht="28" x14ac:dyDescent="0.15">
      <c r="A14641" s="2">
        <f>HYPERLINK("https://open-school.uspishnemisto.com.ua/school/680744/", 680744)</f>
        <v>680744</v>
      </c>
      <c r="B14641" s="3" t="s">
        <v>73853</v>
      </c>
      <c r="C14641" s="3" t="s">
        <v>31</v>
      </c>
      <c r="D14641" s="3" t="s">
        <v>175</v>
      </c>
      <c r="E14641" s="4" t="s">
        <v>22</v>
      </c>
      <c r="F14641" s="4"/>
      <c r="G14641" s="4" t="s">
        <v>73854</v>
      </c>
      <c r="H14641" s="3" t="s">
        <v>70238</v>
      </c>
      <c r="I14641" s="3" t="s">
        <v>60742</v>
      </c>
      <c r="J14641" s="3" t="s">
        <v>73855</v>
      </c>
      <c r="K14641" s="3" t="s">
        <v>73856</v>
      </c>
      <c r="L14641" s="3"/>
      <c r="M14641" s="4"/>
      <c r="N14641" s="3" t="s">
        <v>37</v>
      </c>
      <c r="O14641" s="3" t="s">
        <v>38</v>
      </c>
      <c r="P14641" s="5">
        <v>9</v>
      </c>
      <c r="Q14641" s="5">
        <v>85</v>
      </c>
      <c r="R14641" s="5">
        <v>9</v>
      </c>
      <c r="S14641" s="5">
        <v>81</v>
      </c>
    </row>
    <row r="14642" spans="1:19" ht="28" x14ac:dyDescent="0.15">
      <c r="A14642" s="2">
        <f>HYPERLINK("https://open-school.uspishnemisto.com.ua/school/680745/", 680745)</f>
        <v>680745</v>
      </c>
      <c r="B14642" s="3" t="s">
        <v>73857</v>
      </c>
      <c r="C14642" s="3" t="s">
        <v>31</v>
      </c>
      <c r="D14642" s="3" t="s">
        <v>175</v>
      </c>
      <c r="E14642" s="4" t="s">
        <v>22</v>
      </c>
      <c r="F14642" s="4" t="s">
        <v>73858</v>
      </c>
      <c r="G14642" s="4" t="s">
        <v>73859</v>
      </c>
      <c r="H14642" s="3" t="s">
        <v>70238</v>
      </c>
      <c r="I14642" s="3" t="s">
        <v>73860</v>
      </c>
      <c r="J14642" s="3" t="s">
        <v>466</v>
      </c>
      <c r="K14642" s="3" t="s">
        <v>73861</v>
      </c>
      <c r="L14642" s="3"/>
      <c r="M14642" s="4"/>
      <c r="N14642" s="3" t="s">
        <v>37</v>
      </c>
      <c r="O14642" s="3" t="s">
        <v>38</v>
      </c>
      <c r="P14642" s="5">
        <v>7</v>
      </c>
      <c r="Q14642" s="5">
        <v>51</v>
      </c>
      <c r="R14642" s="5">
        <v>8</v>
      </c>
      <c r="S14642" s="5">
        <v>54</v>
      </c>
    </row>
    <row r="14643" spans="1:19" ht="56" x14ac:dyDescent="0.15">
      <c r="A14643" s="2">
        <f>HYPERLINK("https://open-school.uspishnemisto.com.ua/school/680746/", 680746)</f>
        <v>680746</v>
      </c>
      <c r="B14643" s="3" t="s">
        <v>73862</v>
      </c>
      <c r="C14643" s="3" t="s">
        <v>54</v>
      </c>
      <c r="D14643" s="3" t="s">
        <v>175</v>
      </c>
      <c r="E14643" s="4" t="s">
        <v>22</v>
      </c>
      <c r="F14643" s="4" t="s">
        <v>73863</v>
      </c>
      <c r="G14643" s="4" t="s">
        <v>73864</v>
      </c>
      <c r="H14643" s="3" t="s">
        <v>70238</v>
      </c>
      <c r="I14643" s="3" t="s">
        <v>73865</v>
      </c>
      <c r="J14643" s="3" t="s">
        <v>73866</v>
      </c>
      <c r="K14643" s="3"/>
      <c r="L14643" s="3"/>
      <c r="M14643" s="4"/>
      <c r="N14643" s="3" t="s">
        <v>37</v>
      </c>
      <c r="O14643" s="3" t="s">
        <v>70</v>
      </c>
      <c r="P14643" s="5">
        <v>2</v>
      </c>
      <c r="Q14643" s="5">
        <v>29</v>
      </c>
      <c r="R14643" s="5">
        <v>2</v>
      </c>
      <c r="S14643" s="5">
        <v>31</v>
      </c>
    </row>
    <row r="14644" spans="1:19" ht="28" x14ac:dyDescent="0.15">
      <c r="A14644" s="2">
        <f>HYPERLINK("https://open-school.uspishnemisto.com.ua/school/680747/", 680747)</f>
        <v>680747</v>
      </c>
      <c r="B14644" s="3" t="s">
        <v>73867</v>
      </c>
      <c r="C14644" s="3" t="s">
        <v>31</v>
      </c>
      <c r="D14644" s="3" t="s">
        <v>32</v>
      </c>
      <c r="E14644" s="4" t="s">
        <v>22</v>
      </c>
      <c r="F14644" s="4" t="s">
        <v>73868</v>
      </c>
      <c r="G14644" s="4" t="s">
        <v>73869</v>
      </c>
      <c r="H14644" s="3" t="s">
        <v>70238</v>
      </c>
      <c r="I14644" s="3" t="s">
        <v>688</v>
      </c>
      <c r="J14644" s="3" t="s">
        <v>1167</v>
      </c>
      <c r="K14644" s="3" t="s">
        <v>73870</v>
      </c>
      <c r="L14644" s="3"/>
      <c r="M14644" s="4"/>
      <c r="N14644" s="3" t="s">
        <v>37</v>
      </c>
      <c r="O14644" s="3" t="s">
        <v>38</v>
      </c>
      <c r="P14644" s="5">
        <v>9</v>
      </c>
      <c r="Q14644" s="5">
        <v>70</v>
      </c>
      <c r="R14644" s="5">
        <v>9</v>
      </c>
      <c r="S14644" s="5">
        <v>73</v>
      </c>
    </row>
    <row r="14645" spans="1:19" ht="28" x14ac:dyDescent="0.15">
      <c r="A14645" s="2">
        <f>HYPERLINK("https://open-school.uspishnemisto.com.ua/school/680748/", 680748)</f>
        <v>680748</v>
      </c>
      <c r="B14645" s="3" t="s">
        <v>73871</v>
      </c>
      <c r="C14645" s="3" t="s">
        <v>31</v>
      </c>
      <c r="D14645" s="3" t="s">
        <v>175</v>
      </c>
      <c r="E14645" s="4" t="s">
        <v>22</v>
      </c>
      <c r="F14645" s="4" t="s">
        <v>73872</v>
      </c>
      <c r="G14645" s="4" t="s">
        <v>73873</v>
      </c>
      <c r="H14645" s="3" t="s">
        <v>70238</v>
      </c>
      <c r="I14645" s="3" t="s">
        <v>41188</v>
      </c>
      <c r="J14645" s="3" t="s">
        <v>2656</v>
      </c>
      <c r="K14645" s="3"/>
      <c r="L14645" s="3"/>
      <c r="M14645" s="4"/>
      <c r="N14645" s="3" t="s">
        <v>37</v>
      </c>
      <c r="O14645" s="3" t="s">
        <v>38</v>
      </c>
      <c r="P14645" s="5">
        <v>4</v>
      </c>
      <c r="Q14645" s="5">
        <v>40</v>
      </c>
      <c r="R14645" s="5">
        <v>6</v>
      </c>
      <c r="S14645" s="5">
        <v>41</v>
      </c>
    </row>
    <row r="14646" spans="1:19" ht="28" x14ac:dyDescent="0.15">
      <c r="A14646" s="2">
        <f>HYPERLINK("https://open-school.uspishnemisto.com.ua/school/680749/", 680749)</f>
        <v>680749</v>
      </c>
      <c r="B14646" s="3" t="s">
        <v>73874</v>
      </c>
      <c r="C14646" s="3" t="s">
        <v>31</v>
      </c>
      <c r="D14646" s="3" t="s">
        <v>32</v>
      </c>
      <c r="E14646" s="4" t="s">
        <v>22</v>
      </c>
      <c r="F14646" s="4" t="s">
        <v>73875</v>
      </c>
      <c r="G14646" s="4" t="s">
        <v>73876</v>
      </c>
      <c r="H14646" s="3" t="s">
        <v>70238</v>
      </c>
      <c r="I14646" s="3" t="s">
        <v>62593</v>
      </c>
      <c r="J14646" s="3" t="s">
        <v>831</v>
      </c>
      <c r="K14646" s="3"/>
      <c r="L14646" s="3"/>
      <c r="M14646" s="4"/>
      <c r="N14646" s="3" t="s">
        <v>37</v>
      </c>
      <c r="O14646" s="3" t="s">
        <v>38</v>
      </c>
      <c r="P14646" s="5">
        <v>11</v>
      </c>
      <c r="Q14646" s="5">
        <v>103</v>
      </c>
      <c r="R14646" s="5">
        <v>11</v>
      </c>
      <c r="S14646" s="5">
        <v>98</v>
      </c>
    </row>
    <row r="14647" spans="1:19" ht="28" x14ac:dyDescent="0.15">
      <c r="A14647" s="2">
        <f>HYPERLINK("https://open-school.uspishnemisto.com.ua/school/680750/", 680750)</f>
        <v>680750</v>
      </c>
      <c r="B14647" s="3" t="s">
        <v>73877</v>
      </c>
      <c r="C14647" s="3" t="s">
        <v>31</v>
      </c>
      <c r="D14647" s="3" t="s">
        <v>32</v>
      </c>
      <c r="E14647" s="4" t="s">
        <v>22</v>
      </c>
      <c r="F14647" s="4" t="s">
        <v>73878</v>
      </c>
      <c r="G14647" s="4" t="s">
        <v>73879</v>
      </c>
      <c r="H14647" s="3" t="s">
        <v>70238</v>
      </c>
      <c r="I14647" s="3" t="s">
        <v>73880</v>
      </c>
      <c r="J14647" s="3" t="s">
        <v>32927</v>
      </c>
      <c r="K14647" s="3" t="s">
        <v>73881</v>
      </c>
      <c r="L14647" s="3" t="s">
        <v>73882</v>
      </c>
      <c r="M14647" s="4"/>
      <c r="N14647" s="3" t="s">
        <v>37</v>
      </c>
      <c r="O14647" s="3" t="s">
        <v>46</v>
      </c>
      <c r="P14647" s="5">
        <v>10</v>
      </c>
      <c r="Q14647" s="5">
        <v>100</v>
      </c>
      <c r="R14647" s="5">
        <v>11</v>
      </c>
      <c r="S14647" s="5">
        <v>97</v>
      </c>
    </row>
    <row r="14648" spans="1:19" ht="28" x14ac:dyDescent="0.15">
      <c r="A14648" s="2">
        <f>HYPERLINK("https://open-school.uspishnemisto.com.ua/school/680751/", 680751)</f>
        <v>680751</v>
      </c>
      <c r="B14648" s="3" t="s">
        <v>73883</v>
      </c>
      <c r="C14648" s="3" t="s">
        <v>31</v>
      </c>
      <c r="D14648" s="3" t="s">
        <v>175</v>
      </c>
      <c r="E14648" s="4" t="s">
        <v>22</v>
      </c>
      <c r="F14648" s="4" t="s">
        <v>73884</v>
      </c>
      <c r="G14648" s="4" t="s">
        <v>73885</v>
      </c>
      <c r="H14648" s="3" t="s">
        <v>70238</v>
      </c>
      <c r="I14648" s="3" t="s">
        <v>73886</v>
      </c>
      <c r="J14648" s="3" t="s">
        <v>792</v>
      </c>
      <c r="K14648" s="3" t="s">
        <v>73887</v>
      </c>
      <c r="L14648" s="3"/>
      <c r="M14648" s="4"/>
      <c r="N14648" s="3" t="s">
        <v>37</v>
      </c>
      <c r="O14648" s="3" t="s">
        <v>112</v>
      </c>
      <c r="P14648" s="5">
        <v>4</v>
      </c>
      <c r="Q14648" s="5">
        <v>30</v>
      </c>
      <c r="R14648" s="5">
        <v>5</v>
      </c>
      <c r="S14648" s="5">
        <v>40</v>
      </c>
    </row>
    <row r="14649" spans="1:19" ht="28" x14ac:dyDescent="0.15">
      <c r="A14649" s="2">
        <f>HYPERLINK("https://open-school.uspishnemisto.com.ua/school/680752/", 680752)</f>
        <v>680752</v>
      </c>
      <c r="B14649" s="3" t="s">
        <v>73888</v>
      </c>
      <c r="C14649" s="3" t="s">
        <v>31</v>
      </c>
      <c r="D14649" s="3" t="s">
        <v>32</v>
      </c>
      <c r="E14649" s="4" t="s">
        <v>22</v>
      </c>
      <c r="F14649" s="4" t="s">
        <v>73889</v>
      </c>
      <c r="G14649" s="4" t="s">
        <v>73890</v>
      </c>
      <c r="H14649" s="3" t="s">
        <v>70238</v>
      </c>
      <c r="I14649" s="3" t="s">
        <v>3676</v>
      </c>
      <c r="J14649" s="3" t="s">
        <v>73891</v>
      </c>
      <c r="K14649" s="3" t="s">
        <v>73892</v>
      </c>
      <c r="L14649" s="3" t="s">
        <v>73893</v>
      </c>
      <c r="M14649" s="4"/>
      <c r="N14649" s="3" t="s">
        <v>37</v>
      </c>
      <c r="O14649" s="3" t="s">
        <v>46</v>
      </c>
      <c r="P14649" s="5">
        <v>8</v>
      </c>
      <c r="Q14649" s="5">
        <v>61</v>
      </c>
      <c r="R14649" s="5">
        <v>8</v>
      </c>
      <c r="S14649" s="5">
        <v>71</v>
      </c>
    </row>
    <row r="14650" spans="1:19" ht="28" x14ac:dyDescent="0.15">
      <c r="A14650" s="2">
        <f>HYPERLINK("https://open-school.uspishnemisto.com.ua/school/680753/", 680753)</f>
        <v>680753</v>
      </c>
      <c r="B14650" s="3" t="s">
        <v>73894</v>
      </c>
      <c r="C14650" s="3" t="s">
        <v>31</v>
      </c>
      <c r="D14650" s="3" t="s">
        <v>32</v>
      </c>
      <c r="E14650" s="4" t="s">
        <v>22</v>
      </c>
      <c r="F14650" s="4" t="s">
        <v>73895</v>
      </c>
      <c r="G14650" s="4" t="s">
        <v>73896</v>
      </c>
      <c r="H14650" s="3" t="s">
        <v>70238</v>
      </c>
      <c r="I14650" s="3" t="s">
        <v>4236</v>
      </c>
      <c r="J14650" s="3" t="s">
        <v>1348</v>
      </c>
      <c r="K14650" s="3"/>
      <c r="L14650" s="3"/>
      <c r="M14650" s="4"/>
      <c r="N14650" s="3" t="s">
        <v>37</v>
      </c>
      <c r="O14650" s="3" t="s">
        <v>46</v>
      </c>
      <c r="P14650" s="5">
        <v>11</v>
      </c>
      <c r="Q14650" s="5">
        <v>168</v>
      </c>
      <c r="R14650" s="5">
        <v>11</v>
      </c>
      <c r="S14650" s="5">
        <v>160</v>
      </c>
    </row>
    <row r="14651" spans="1:19" ht="28" x14ac:dyDescent="0.15">
      <c r="A14651" s="2">
        <f>HYPERLINK("https://open-school.uspishnemisto.com.ua/school/680754/", 680754)</f>
        <v>680754</v>
      </c>
      <c r="B14651" s="3" t="s">
        <v>73897</v>
      </c>
      <c r="C14651" s="3" t="s">
        <v>31</v>
      </c>
      <c r="D14651" s="3" t="s">
        <v>32</v>
      </c>
      <c r="E14651" s="4" t="s">
        <v>22</v>
      </c>
      <c r="F14651" s="4" t="s">
        <v>73898</v>
      </c>
      <c r="G14651" s="4" t="s">
        <v>73899</v>
      </c>
      <c r="H14651" s="3" t="s">
        <v>70238</v>
      </c>
      <c r="I14651" s="3" t="s">
        <v>2096</v>
      </c>
      <c r="J14651" s="3" t="s">
        <v>10830</v>
      </c>
      <c r="K14651" s="3"/>
      <c r="L14651" s="3"/>
      <c r="M14651" s="4"/>
      <c r="N14651" s="3" t="s">
        <v>37</v>
      </c>
      <c r="O14651" s="3" t="s">
        <v>70</v>
      </c>
      <c r="P14651" s="5">
        <v>11</v>
      </c>
      <c r="Q14651" s="5">
        <v>171</v>
      </c>
      <c r="R14651" s="5">
        <v>11</v>
      </c>
      <c r="S14651" s="5">
        <v>170</v>
      </c>
    </row>
    <row r="14652" spans="1:19" ht="28" x14ac:dyDescent="0.15">
      <c r="A14652" s="2">
        <f>HYPERLINK("https://open-school.uspishnemisto.com.ua/school/680755/", 680755)</f>
        <v>680755</v>
      </c>
      <c r="B14652" s="3" t="s">
        <v>73900</v>
      </c>
      <c r="C14652" s="3" t="s">
        <v>181</v>
      </c>
      <c r="D14652" s="3" t="s">
        <v>175</v>
      </c>
      <c r="E14652" s="4" t="s">
        <v>22</v>
      </c>
      <c r="F14652" s="4" t="s">
        <v>73898</v>
      </c>
      <c r="G14652" s="4" t="s">
        <v>73899</v>
      </c>
      <c r="H14652" s="3" t="s">
        <v>70238</v>
      </c>
      <c r="I14652" s="3" t="s">
        <v>2096</v>
      </c>
      <c r="J14652" s="3" t="s">
        <v>73901</v>
      </c>
      <c r="K14652" s="3"/>
      <c r="L14652" s="3"/>
      <c r="M14652" s="4" t="s">
        <v>73902</v>
      </c>
      <c r="N14652" s="3" t="s">
        <v>37</v>
      </c>
      <c r="O14652" s="3" t="s">
        <v>52</v>
      </c>
      <c r="P14652" s="5">
        <v>7</v>
      </c>
      <c r="Q14652" s="5">
        <v>58</v>
      </c>
      <c r="R14652" s="5">
        <v>8</v>
      </c>
      <c r="S14652" s="5">
        <v>56</v>
      </c>
    </row>
    <row r="14653" spans="1:19" ht="28" x14ac:dyDescent="0.15">
      <c r="A14653" s="2">
        <f>HYPERLINK("https://open-school.uspishnemisto.com.ua/school/680756/", 680756)</f>
        <v>680756</v>
      </c>
      <c r="B14653" s="3" t="s">
        <v>73903</v>
      </c>
      <c r="C14653" s="3" t="s">
        <v>31</v>
      </c>
      <c r="D14653" s="3" t="s">
        <v>32</v>
      </c>
      <c r="E14653" s="4" t="s">
        <v>22</v>
      </c>
      <c r="F14653" s="4" t="s">
        <v>73904</v>
      </c>
      <c r="G14653" s="4" t="s">
        <v>73905</v>
      </c>
      <c r="H14653" s="3" t="s">
        <v>70238</v>
      </c>
      <c r="I14653" s="3" t="s">
        <v>73906</v>
      </c>
      <c r="J14653" s="3" t="s">
        <v>28001</v>
      </c>
      <c r="K14653" s="3" t="s">
        <v>73907</v>
      </c>
      <c r="L14653" s="3"/>
      <c r="M14653" s="4"/>
      <c r="N14653" s="3" t="s">
        <v>37</v>
      </c>
      <c r="O14653" s="3" t="s">
        <v>46</v>
      </c>
      <c r="P14653" s="5">
        <v>11</v>
      </c>
      <c r="Q14653" s="5">
        <v>197</v>
      </c>
      <c r="R14653" s="5">
        <v>11</v>
      </c>
      <c r="S14653" s="5">
        <v>197</v>
      </c>
    </row>
    <row r="14654" spans="1:19" ht="28" x14ac:dyDescent="0.15">
      <c r="A14654" s="2">
        <f>HYPERLINK("https://open-school.uspishnemisto.com.ua/school/680757/", 680757)</f>
        <v>680757</v>
      </c>
      <c r="B14654" s="3" t="s">
        <v>73908</v>
      </c>
      <c r="C14654" s="3" t="s">
        <v>181</v>
      </c>
      <c r="D14654" s="3" t="s">
        <v>175</v>
      </c>
      <c r="E14654" s="4" t="s">
        <v>22</v>
      </c>
      <c r="F14654" s="4" t="s">
        <v>73904</v>
      </c>
      <c r="G14654" s="4" t="s">
        <v>73905</v>
      </c>
      <c r="H14654" s="3" t="s">
        <v>70238</v>
      </c>
      <c r="I14654" s="3" t="s">
        <v>73906</v>
      </c>
      <c r="J14654" s="3" t="s">
        <v>73909</v>
      </c>
      <c r="K14654" s="3" t="s">
        <v>73910</v>
      </c>
      <c r="L14654" s="3" t="s">
        <v>73911</v>
      </c>
      <c r="M14654" s="4" t="s">
        <v>73912</v>
      </c>
      <c r="N14654" s="3" t="s">
        <v>37</v>
      </c>
      <c r="O14654" s="3" t="s">
        <v>52</v>
      </c>
      <c r="P14654" s="5">
        <v>15</v>
      </c>
      <c r="Q14654" s="5">
        <v>99</v>
      </c>
      <c r="R14654" s="5">
        <v>14</v>
      </c>
      <c r="S14654" s="5">
        <v>98</v>
      </c>
    </row>
    <row r="14655" spans="1:19" ht="28" x14ac:dyDescent="0.15">
      <c r="A14655" s="2">
        <f>HYPERLINK("https://open-school.uspishnemisto.com.ua/school/680758/", 680758)</f>
        <v>680758</v>
      </c>
      <c r="B14655" s="3" t="s">
        <v>73913</v>
      </c>
      <c r="C14655" s="3" t="s">
        <v>31</v>
      </c>
      <c r="D14655" s="3" t="s">
        <v>175</v>
      </c>
      <c r="E14655" s="4" t="s">
        <v>22</v>
      </c>
      <c r="F14655" s="4" t="s">
        <v>73914</v>
      </c>
      <c r="G14655" s="4" t="s">
        <v>73915</v>
      </c>
      <c r="H14655" s="3" t="s">
        <v>70238</v>
      </c>
      <c r="I14655" s="3" t="s">
        <v>73916</v>
      </c>
      <c r="J14655" s="3" t="s">
        <v>466</v>
      </c>
      <c r="K14655" s="3" t="s">
        <v>73917</v>
      </c>
      <c r="L14655" s="3"/>
      <c r="M14655" s="4"/>
      <c r="N14655" s="3" t="s">
        <v>37</v>
      </c>
      <c r="O14655" s="3" t="s">
        <v>46</v>
      </c>
      <c r="P14655" s="5">
        <v>9</v>
      </c>
      <c r="Q14655" s="5">
        <v>71</v>
      </c>
      <c r="R14655" s="5">
        <v>8</v>
      </c>
      <c r="S14655" s="5">
        <v>71</v>
      </c>
    </row>
    <row r="14656" spans="1:19" ht="42" x14ac:dyDescent="0.15">
      <c r="A14656" s="2">
        <f>HYPERLINK("https://open-school.uspishnemisto.com.ua/school/680759/", 680759)</f>
        <v>680759</v>
      </c>
      <c r="B14656" s="3" t="s">
        <v>73918</v>
      </c>
      <c r="C14656" s="3" t="s">
        <v>31</v>
      </c>
      <c r="D14656" s="3" t="s">
        <v>32</v>
      </c>
      <c r="E14656" s="4" t="s">
        <v>22</v>
      </c>
      <c r="F14656" s="4" t="s">
        <v>73919</v>
      </c>
      <c r="G14656" s="4" t="s">
        <v>73920</v>
      </c>
      <c r="H14656" s="3" t="s">
        <v>70238</v>
      </c>
      <c r="I14656" s="3" t="s">
        <v>73921</v>
      </c>
      <c r="J14656" s="3" t="s">
        <v>903</v>
      </c>
      <c r="K14656" s="3"/>
      <c r="L14656" s="3" t="s">
        <v>73922</v>
      </c>
      <c r="M14656" s="4"/>
      <c r="N14656" s="3" t="s">
        <v>37</v>
      </c>
      <c r="O14656" s="3" t="s">
        <v>38</v>
      </c>
      <c r="P14656" s="5">
        <v>9</v>
      </c>
      <c r="Q14656" s="5">
        <v>86</v>
      </c>
      <c r="R14656" s="5">
        <v>10</v>
      </c>
      <c r="S14656" s="5">
        <v>90</v>
      </c>
    </row>
    <row r="14657" spans="1:19" ht="28" x14ac:dyDescent="0.15">
      <c r="A14657" s="2">
        <f>HYPERLINK("https://open-school.uspishnemisto.com.ua/school/680760/", 680760)</f>
        <v>680760</v>
      </c>
      <c r="B14657" s="3" t="s">
        <v>73923</v>
      </c>
      <c r="C14657" s="3" t="s">
        <v>31</v>
      </c>
      <c r="D14657" s="3" t="s">
        <v>32</v>
      </c>
      <c r="E14657" s="4" t="s">
        <v>22</v>
      </c>
      <c r="F14657" s="4" t="s">
        <v>73924</v>
      </c>
      <c r="G14657" s="4" t="s">
        <v>73925</v>
      </c>
      <c r="H14657" s="3" t="s">
        <v>70238</v>
      </c>
      <c r="I14657" s="3" t="s">
        <v>20972</v>
      </c>
      <c r="J14657" s="3" t="s">
        <v>878</v>
      </c>
      <c r="K14657" s="3" t="s">
        <v>73926</v>
      </c>
      <c r="L14657" s="3"/>
      <c r="M14657" s="4"/>
      <c r="N14657" s="3" t="s">
        <v>37</v>
      </c>
      <c r="O14657" s="3" t="s">
        <v>38</v>
      </c>
      <c r="P14657" s="5">
        <v>10</v>
      </c>
      <c r="Q14657" s="5">
        <v>151</v>
      </c>
      <c r="R14657" s="5">
        <v>10</v>
      </c>
      <c r="S14657" s="5">
        <v>150</v>
      </c>
    </row>
    <row r="14658" spans="1:19" ht="28" x14ac:dyDescent="0.15">
      <c r="A14658" s="2">
        <f>HYPERLINK("https://open-school.uspishnemisto.com.ua/school/680761/", 680761)</f>
        <v>680761</v>
      </c>
      <c r="B14658" s="3" t="s">
        <v>73927</v>
      </c>
      <c r="C14658" s="3" t="s">
        <v>31</v>
      </c>
      <c r="D14658" s="3" t="s">
        <v>32</v>
      </c>
      <c r="E14658" s="4" t="s">
        <v>22</v>
      </c>
      <c r="F14658" s="4" t="s">
        <v>73928</v>
      </c>
      <c r="G14658" s="4" t="s">
        <v>73929</v>
      </c>
      <c r="H14658" s="3" t="s">
        <v>70238</v>
      </c>
      <c r="I14658" s="3" t="s">
        <v>34849</v>
      </c>
      <c r="J14658" s="3" t="s">
        <v>2476</v>
      </c>
      <c r="K14658" s="3" t="s">
        <v>73930</v>
      </c>
      <c r="L14658" s="3"/>
      <c r="M14658" s="4"/>
      <c r="N14658" s="3" t="s">
        <v>37</v>
      </c>
      <c r="O14658" s="3" t="s">
        <v>70</v>
      </c>
      <c r="P14658" s="5">
        <v>11</v>
      </c>
      <c r="Q14658" s="5">
        <v>106</v>
      </c>
      <c r="R14658" s="5">
        <v>11</v>
      </c>
      <c r="S14658" s="5">
        <v>111</v>
      </c>
    </row>
    <row r="14659" spans="1:19" ht="28" x14ac:dyDescent="0.15">
      <c r="A14659" s="2">
        <f>HYPERLINK("https://open-school.uspishnemisto.com.ua/school/680762/", 680762)</f>
        <v>680762</v>
      </c>
      <c r="B14659" s="3" t="s">
        <v>73931</v>
      </c>
      <c r="C14659" s="3" t="s">
        <v>31</v>
      </c>
      <c r="D14659" s="3" t="s">
        <v>175</v>
      </c>
      <c r="E14659" s="4" t="s">
        <v>22</v>
      </c>
      <c r="F14659" s="4" t="s">
        <v>73932</v>
      </c>
      <c r="G14659" s="4" t="s">
        <v>73933</v>
      </c>
      <c r="H14659" s="3" t="s">
        <v>70238</v>
      </c>
      <c r="I14659" s="3" t="s">
        <v>8077</v>
      </c>
      <c r="J14659" s="3" t="s">
        <v>27428</v>
      </c>
      <c r="K14659" s="3" t="s">
        <v>73934</v>
      </c>
      <c r="L14659" s="3"/>
      <c r="M14659" s="4"/>
      <c r="N14659" s="3" t="s">
        <v>37</v>
      </c>
      <c r="O14659" s="3" t="s">
        <v>46</v>
      </c>
      <c r="P14659" s="5">
        <v>7</v>
      </c>
      <c r="Q14659" s="5">
        <v>59</v>
      </c>
      <c r="R14659" s="5">
        <v>8</v>
      </c>
      <c r="S14659" s="5">
        <v>59</v>
      </c>
    </row>
    <row r="14660" spans="1:19" ht="28" x14ac:dyDescent="0.15">
      <c r="A14660" s="2">
        <f>HYPERLINK("https://open-school.uspishnemisto.com.ua/school/710001/", 710001)</f>
        <v>710001</v>
      </c>
      <c r="B14660" s="3" t="s">
        <v>73935</v>
      </c>
      <c r="C14660" s="3" t="s">
        <v>181</v>
      </c>
      <c r="D14660" s="3" t="s">
        <v>32</v>
      </c>
      <c r="E14660" s="4" t="s">
        <v>22</v>
      </c>
      <c r="F14660" s="4" t="s">
        <v>73936</v>
      </c>
      <c r="G14660" s="4" t="s">
        <v>73937</v>
      </c>
      <c r="H14660" s="3" t="s">
        <v>73938</v>
      </c>
      <c r="I14660" s="3" t="s">
        <v>73939</v>
      </c>
      <c r="J14660" s="3" t="s">
        <v>73940</v>
      </c>
      <c r="K14660" s="3" t="s">
        <v>73941</v>
      </c>
      <c r="L14660" s="3"/>
      <c r="M14660" s="4" t="s">
        <v>73942</v>
      </c>
      <c r="N14660" s="3" t="s">
        <v>37</v>
      </c>
      <c r="O14660" s="3" t="s">
        <v>38</v>
      </c>
      <c r="P14660" s="5">
        <v>12</v>
      </c>
      <c r="Q14660" s="5">
        <v>120</v>
      </c>
      <c r="R14660" s="5">
        <v>12</v>
      </c>
      <c r="S14660" s="5">
        <v>117</v>
      </c>
    </row>
    <row r="14661" spans="1:19" ht="28" x14ac:dyDescent="0.15">
      <c r="A14661" s="2">
        <f>HYPERLINK("https://open-school.uspishnemisto.com.ua/school/710002/", 710002)</f>
        <v>710002</v>
      </c>
      <c r="B14661" s="3" t="s">
        <v>73943</v>
      </c>
      <c r="C14661" s="3" t="s">
        <v>181</v>
      </c>
      <c r="D14661" s="3" t="s">
        <v>32</v>
      </c>
      <c r="E14661" s="4" t="s">
        <v>22</v>
      </c>
      <c r="F14661" s="4" t="s">
        <v>73944</v>
      </c>
      <c r="G14661" s="4" t="s">
        <v>73937</v>
      </c>
      <c r="H14661" s="3" t="s">
        <v>73938</v>
      </c>
      <c r="I14661" s="3" t="s">
        <v>73939</v>
      </c>
      <c r="J14661" s="3" t="s">
        <v>73945</v>
      </c>
      <c r="K14661" s="3" t="s">
        <v>73946</v>
      </c>
      <c r="L14661" s="3"/>
      <c r="M14661" s="4" t="s">
        <v>73947</v>
      </c>
      <c r="N14661" s="3" t="s">
        <v>37</v>
      </c>
      <c r="O14661" s="3" t="s">
        <v>52</v>
      </c>
      <c r="P14661" s="5">
        <v>4</v>
      </c>
      <c r="Q14661" s="5">
        <v>32</v>
      </c>
      <c r="R14661" s="5">
        <v>4</v>
      </c>
      <c r="S14661" s="5">
        <v>33</v>
      </c>
    </row>
    <row r="14662" spans="1:19" ht="28" x14ac:dyDescent="0.15">
      <c r="A14662" s="2">
        <f>HYPERLINK("https://open-school.uspishnemisto.com.ua/school/710004/", 710004)</f>
        <v>710004</v>
      </c>
      <c r="B14662" s="3" t="s">
        <v>73948</v>
      </c>
      <c r="C14662" s="3" t="s">
        <v>2634</v>
      </c>
      <c r="D14662" s="3" t="s">
        <v>175</v>
      </c>
      <c r="E14662" s="4" t="s">
        <v>22</v>
      </c>
      <c r="F14662" s="4" t="s">
        <v>73949</v>
      </c>
      <c r="G14662" s="4" t="s">
        <v>73937</v>
      </c>
      <c r="H14662" s="3" t="s">
        <v>73938</v>
      </c>
      <c r="I14662" s="3" t="s">
        <v>73939</v>
      </c>
      <c r="J14662" s="3" t="s">
        <v>73950</v>
      </c>
      <c r="K14662" s="3" t="s">
        <v>73951</v>
      </c>
      <c r="L14662" s="3" t="s">
        <v>73952</v>
      </c>
      <c r="M14662" s="4" t="s">
        <v>73953</v>
      </c>
      <c r="N14662" s="3" t="s">
        <v>37</v>
      </c>
      <c r="O14662" s="3" t="s">
        <v>38</v>
      </c>
      <c r="P14662" s="5">
        <v>29</v>
      </c>
      <c r="Q14662" s="5">
        <v>555</v>
      </c>
      <c r="R14662" s="5">
        <v>29</v>
      </c>
      <c r="S14662" s="5">
        <v>534</v>
      </c>
    </row>
    <row r="14663" spans="1:19" ht="28" x14ac:dyDescent="0.15">
      <c r="A14663" s="2">
        <f>HYPERLINK("https://open-school.uspishnemisto.com.ua/school/710005/", 710005)</f>
        <v>710005</v>
      </c>
      <c r="B14663" s="3" t="s">
        <v>73954</v>
      </c>
      <c r="C14663" s="3" t="s">
        <v>31</v>
      </c>
      <c r="D14663" s="3" t="s">
        <v>32</v>
      </c>
      <c r="E14663" s="4" t="s">
        <v>22</v>
      </c>
      <c r="F14663" s="4" t="s">
        <v>73955</v>
      </c>
      <c r="G14663" s="4" t="s">
        <v>73937</v>
      </c>
      <c r="H14663" s="3" t="s">
        <v>73938</v>
      </c>
      <c r="I14663" s="3" t="s">
        <v>73939</v>
      </c>
      <c r="J14663" s="3" t="s">
        <v>73956</v>
      </c>
      <c r="K14663" s="3" t="s">
        <v>73957</v>
      </c>
      <c r="L14663" s="3"/>
      <c r="M14663" s="4" t="s">
        <v>73958</v>
      </c>
      <c r="N14663" s="3" t="s">
        <v>37</v>
      </c>
      <c r="O14663" s="3" t="s">
        <v>38</v>
      </c>
      <c r="P14663" s="5">
        <v>22</v>
      </c>
      <c r="Q14663" s="5">
        <v>601</v>
      </c>
      <c r="R14663" s="5">
        <v>22</v>
      </c>
      <c r="S14663" s="5">
        <v>612</v>
      </c>
    </row>
    <row r="14664" spans="1:19" ht="28" x14ac:dyDescent="0.15">
      <c r="A14664" s="2">
        <f>HYPERLINK("https://open-school.uspishnemisto.com.ua/school/710006/", 710006)</f>
        <v>710006</v>
      </c>
      <c r="B14664" s="3" t="s">
        <v>73959</v>
      </c>
      <c r="C14664" s="3" t="s">
        <v>31</v>
      </c>
      <c r="D14664" s="3" t="s">
        <v>32</v>
      </c>
      <c r="E14664" s="4" t="s">
        <v>22</v>
      </c>
      <c r="F14664" s="4" t="s">
        <v>73960</v>
      </c>
      <c r="G14664" s="4" t="s">
        <v>73937</v>
      </c>
      <c r="H14664" s="3" t="s">
        <v>73938</v>
      </c>
      <c r="I14664" s="3" t="s">
        <v>73939</v>
      </c>
      <c r="J14664" s="3" t="s">
        <v>73961</v>
      </c>
      <c r="K14664" s="3" t="s">
        <v>73962</v>
      </c>
      <c r="L14664" s="3"/>
      <c r="M14664" s="4" t="s">
        <v>73963</v>
      </c>
      <c r="N14664" s="3" t="s">
        <v>37</v>
      </c>
      <c r="O14664" s="3" t="s">
        <v>721</v>
      </c>
      <c r="P14664" s="5">
        <v>19</v>
      </c>
      <c r="Q14664" s="5">
        <v>513</v>
      </c>
      <c r="R14664" s="5">
        <v>19</v>
      </c>
      <c r="S14664" s="5">
        <v>512</v>
      </c>
    </row>
    <row r="14665" spans="1:19" ht="28" x14ac:dyDescent="0.15">
      <c r="A14665" s="2">
        <f>HYPERLINK("https://open-school.uspishnemisto.com.ua/school/710007/", 710007)</f>
        <v>710007</v>
      </c>
      <c r="B14665" s="3" t="s">
        <v>73964</v>
      </c>
      <c r="C14665" s="3" t="s">
        <v>31</v>
      </c>
      <c r="D14665" s="3" t="s">
        <v>32</v>
      </c>
      <c r="E14665" s="4" t="s">
        <v>22</v>
      </c>
      <c r="F14665" s="4" t="s">
        <v>73949</v>
      </c>
      <c r="G14665" s="4" t="s">
        <v>73937</v>
      </c>
      <c r="H14665" s="3" t="s">
        <v>73938</v>
      </c>
      <c r="I14665" s="3" t="s">
        <v>73939</v>
      </c>
      <c r="J14665" s="3" t="s">
        <v>73965</v>
      </c>
      <c r="K14665" s="3" t="s">
        <v>73966</v>
      </c>
      <c r="L14665" s="3" t="s">
        <v>73967</v>
      </c>
      <c r="M14665" s="4" t="s">
        <v>73968</v>
      </c>
      <c r="N14665" s="3" t="s">
        <v>37</v>
      </c>
      <c r="O14665" s="3" t="s">
        <v>52</v>
      </c>
      <c r="P14665" s="5">
        <v>16</v>
      </c>
      <c r="Q14665" s="5">
        <v>436</v>
      </c>
      <c r="R14665" s="5">
        <v>15</v>
      </c>
      <c r="S14665" s="5">
        <v>402</v>
      </c>
    </row>
    <row r="14666" spans="1:19" ht="28" x14ac:dyDescent="0.15">
      <c r="A14666" s="2">
        <f>HYPERLINK("https://open-school.uspishnemisto.com.ua/school/710008/", 710008)</f>
        <v>710008</v>
      </c>
      <c r="B14666" s="3" t="s">
        <v>73969</v>
      </c>
      <c r="C14666" s="3" t="s">
        <v>31</v>
      </c>
      <c r="D14666" s="3" t="s">
        <v>32</v>
      </c>
      <c r="E14666" s="4" t="s">
        <v>22</v>
      </c>
      <c r="F14666" s="4" t="s">
        <v>73970</v>
      </c>
      <c r="G14666" s="4" t="s">
        <v>73937</v>
      </c>
      <c r="H14666" s="3" t="s">
        <v>73938</v>
      </c>
      <c r="I14666" s="3" t="s">
        <v>73939</v>
      </c>
      <c r="J14666" s="3" t="s">
        <v>73971</v>
      </c>
      <c r="K14666" s="3" t="s">
        <v>73972</v>
      </c>
      <c r="L14666" s="3" t="s">
        <v>73973</v>
      </c>
      <c r="M14666" s="4" t="s">
        <v>73974</v>
      </c>
      <c r="N14666" s="3" t="s">
        <v>37</v>
      </c>
      <c r="O14666" s="3" t="s">
        <v>46</v>
      </c>
      <c r="P14666" s="5">
        <v>22</v>
      </c>
      <c r="Q14666" s="5">
        <v>642</v>
      </c>
      <c r="R14666" s="5">
        <v>21</v>
      </c>
      <c r="S14666" s="5">
        <v>596</v>
      </c>
    </row>
    <row r="14667" spans="1:19" ht="28" x14ac:dyDescent="0.15">
      <c r="A14667" s="2">
        <f>HYPERLINK("https://open-school.uspishnemisto.com.ua/school/710009/", 710009)</f>
        <v>710009</v>
      </c>
      <c r="B14667" s="3" t="s">
        <v>73975</v>
      </c>
      <c r="C14667" s="3" t="s">
        <v>31</v>
      </c>
      <c r="D14667" s="3" t="s">
        <v>32</v>
      </c>
      <c r="E14667" s="4" t="s">
        <v>22</v>
      </c>
      <c r="F14667" s="4" t="s">
        <v>73976</v>
      </c>
      <c r="G14667" s="4" t="s">
        <v>73937</v>
      </c>
      <c r="H14667" s="3" t="s">
        <v>73938</v>
      </c>
      <c r="I14667" s="3" t="s">
        <v>73939</v>
      </c>
      <c r="J14667" s="3" t="s">
        <v>73977</v>
      </c>
      <c r="K14667" s="3" t="s">
        <v>73978</v>
      </c>
      <c r="L14667" s="3" t="s">
        <v>73979</v>
      </c>
      <c r="M14667" s="4" t="s">
        <v>73980</v>
      </c>
      <c r="N14667" s="3" t="s">
        <v>37</v>
      </c>
      <c r="O14667" s="3" t="s">
        <v>46</v>
      </c>
      <c r="P14667" s="5">
        <v>20</v>
      </c>
      <c r="Q14667" s="5">
        <v>530</v>
      </c>
      <c r="R14667" s="5">
        <v>19</v>
      </c>
      <c r="S14667" s="5">
        <v>505</v>
      </c>
    </row>
    <row r="14668" spans="1:19" ht="28" x14ac:dyDescent="0.15">
      <c r="A14668" s="2">
        <f>HYPERLINK("https://open-school.uspishnemisto.com.ua/school/710010/", 710010)</f>
        <v>710010</v>
      </c>
      <c r="B14668" s="3" t="s">
        <v>73981</v>
      </c>
      <c r="C14668" s="3" t="s">
        <v>31</v>
      </c>
      <c r="D14668" s="3" t="s">
        <v>32</v>
      </c>
      <c r="E14668" s="4" t="s">
        <v>22</v>
      </c>
      <c r="F14668" s="4" t="s">
        <v>73970</v>
      </c>
      <c r="G14668" s="4" t="s">
        <v>73937</v>
      </c>
      <c r="H14668" s="3" t="s">
        <v>73938</v>
      </c>
      <c r="I14668" s="3" t="s">
        <v>73939</v>
      </c>
      <c r="J14668" s="3" t="s">
        <v>73982</v>
      </c>
      <c r="K14668" s="3" t="s">
        <v>73983</v>
      </c>
      <c r="L14668" s="3" t="s">
        <v>73984</v>
      </c>
      <c r="M14668" s="4" t="s">
        <v>73985</v>
      </c>
      <c r="N14668" s="3" t="s">
        <v>37</v>
      </c>
      <c r="O14668" s="3" t="s">
        <v>70</v>
      </c>
      <c r="P14668" s="5">
        <v>33</v>
      </c>
      <c r="Q14668" s="5">
        <v>961</v>
      </c>
      <c r="R14668" s="5">
        <v>33</v>
      </c>
      <c r="S14668" s="5">
        <v>939</v>
      </c>
    </row>
    <row r="14669" spans="1:19" ht="28" x14ac:dyDescent="0.15">
      <c r="A14669" s="2">
        <f>HYPERLINK("https://open-school.uspishnemisto.com.ua/school/710011/", 710011)</f>
        <v>710011</v>
      </c>
      <c r="B14669" s="3" t="s">
        <v>73986</v>
      </c>
      <c r="C14669" s="3" t="s">
        <v>31</v>
      </c>
      <c r="D14669" s="3" t="s">
        <v>32</v>
      </c>
      <c r="E14669" s="4" t="s">
        <v>41</v>
      </c>
      <c r="F14669" s="4" t="s">
        <v>73949</v>
      </c>
      <c r="G14669" s="4" t="s">
        <v>73937</v>
      </c>
      <c r="H14669" s="3" t="s">
        <v>73938</v>
      </c>
      <c r="I14669" s="3" t="s">
        <v>73939</v>
      </c>
      <c r="J14669" s="3" t="s">
        <v>73987</v>
      </c>
      <c r="K14669" s="3" t="s">
        <v>73988</v>
      </c>
      <c r="L14669" s="3"/>
      <c r="M14669" s="4"/>
      <c r="N14669" s="3" t="s">
        <v>37</v>
      </c>
      <c r="O14669" s="3" t="s">
        <v>52</v>
      </c>
      <c r="P14669" s="5">
        <v>10</v>
      </c>
      <c r="Q14669" s="5">
        <v>106</v>
      </c>
      <c r="R14669" s="5">
        <v>11</v>
      </c>
      <c r="S14669" s="5">
        <v>91</v>
      </c>
    </row>
    <row r="14670" spans="1:19" ht="28" x14ac:dyDescent="0.15">
      <c r="A14670" s="2">
        <f>HYPERLINK("https://open-school.uspishnemisto.com.ua/school/710012/", 710012)</f>
        <v>710012</v>
      </c>
      <c r="B14670" s="3" t="s">
        <v>73989</v>
      </c>
      <c r="C14670" s="3" t="s">
        <v>31</v>
      </c>
      <c r="D14670" s="3" t="s">
        <v>32</v>
      </c>
      <c r="E14670" s="4" t="s">
        <v>41</v>
      </c>
      <c r="F14670" s="4" t="s">
        <v>73955</v>
      </c>
      <c r="G14670" s="4" t="s">
        <v>73937</v>
      </c>
      <c r="H14670" s="3" t="s">
        <v>73938</v>
      </c>
      <c r="I14670" s="3" t="s">
        <v>73939</v>
      </c>
      <c r="J14670" s="3" t="s">
        <v>73990</v>
      </c>
      <c r="K14670" s="3" t="s">
        <v>73991</v>
      </c>
      <c r="L14670" s="3" t="s">
        <v>73992</v>
      </c>
      <c r="M14670" s="4"/>
      <c r="N14670" s="3" t="s">
        <v>37</v>
      </c>
      <c r="O14670" s="3" t="s">
        <v>46</v>
      </c>
      <c r="P14670" s="5">
        <v>12</v>
      </c>
      <c r="Q14670" s="5">
        <v>131</v>
      </c>
      <c r="R14670" s="5">
        <v>11</v>
      </c>
      <c r="S14670" s="5">
        <v>110</v>
      </c>
    </row>
    <row r="14671" spans="1:19" ht="28" x14ac:dyDescent="0.15">
      <c r="A14671" s="2">
        <f>HYPERLINK("https://open-school.uspishnemisto.com.ua/school/710013/", 710013)</f>
        <v>710013</v>
      </c>
      <c r="B14671" s="3" t="s">
        <v>73993</v>
      </c>
      <c r="C14671" s="3" t="s">
        <v>31</v>
      </c>
      <c r="D14671" s="3" t="s">
        <v>32</v>
      </c>
      <c r="E14671" s="4" t="s">
        <v>41</v>
      </c>
      <c r="F14671" s="4" t="s">
        <v>73994</v>
      </c>
      <c r="G14671" s="4" t="s">
        <v>73937</v>
      </c>
      <c r="H14671" s="3" t="s">
        <v>73938</v>
      </c>
      <c r="I14671" s="3" t="s">
        <v>73939</v>
      </c>
      <c r="J14671" s="3" t="s">
        <v>73995</v>
      </c>
      <c r="K14671" s="3" t="s">
        <v>73996</v>
      </c>
      <c r="L14671" s="3"/>
      <c r="M14671" s="4"/>
      <c r="N14671" s="3" t="s">
        <v>37</v>
      </c>
      <c r="O14671" s="3" t="s">
        <v>52</v>
      </c>
      <c r="P14671" s="5">
        <v>10</v>
      </c>
      <c r="Q14671" s="5">
        <v>20</v>
      </c>
      <c r="R14671" s="5">
        <v>9</v>
      </c>
      <c r="S14671" s="5">
        <v>21</v>
      </c>
    </row>
    <row r="14672" spans="1:19" ht="28" x14ac:dyDescent="0.15">
      <c r="A14672" s="2">
        <f>HYPERLINK("https://open-school.uspishnemisto.com.ua/school/710014/", 710014)</f>
        <v>710014</v>
      </c>
      <c r="B14672" s="3" t="s">
        <v>73997</v>
      </c>
      <c r="C14672" s="3" t="s">
        <v>244</v>
      </c>
      <c r="D14672" s="3" t="s">
        <v>32</v>
      </c>
      <c r="E14672" s="4" t="s">
        <v>22</v>
      </c>
      <c r="F14672" s="4" t="s">
        <v>73960</v>
      </c>
      <c r="G14672" s="4" t="s">
        <v>73937</v>
      </c>
      <c r="H14672" s="3" t="s">
        <v>73938</v>
      </c>
      <c r="I14672" s="3" t="s">
        <v>73939</v>
      </c>
      <c r="J14672" s="3" t="s">
        <v>73998</v>
      </c>
      <c r="K14672" s="3" t="s">
        <v>73999</v>
      </c>
      <c r="L14672" s="3"/>
      <c r="M14672" s="4" t="s">
        <v>74000</v>
      </c>
      <c r="N14672" s="3" t="s">
        <v>37</v>
      </c>
      <c r="O14672" s="3" t="s">
        <v>52</v>
      </c>
      <c r="P14672" s="5">
        <v>27</v>
      </c>
      <c r="Q14672" s="5">
        <v>765</v>
      </c>
      <c r="R14672" s="5">
        <v>26</v>
      </c>
      <c r="S14672" s="5">
        <v>736</v>
      </c>
    </row>
    <row r="14673" spans="1:19" ht="42" x14ac:dyDescent="0.15">
      <c r="A14673" s="2">
        <f>HYPERLINK("https://open-school.uspishnemisto.com.ua/school/710015/", 710015)</f>
        <v>710015</v>
      </c>
      <c r="B14673" s="3" t="s">
        <v>74001</v>
      </c>
      <c r="C14673" s="3" t="s">
        <v>181</v>
      </c>
      <c r="D14673" s="3" t="s">
        <v>32</v>
      </c>
      <c r="E14673" s="4" t="s">
        <v>22</v>
      </c>
      <c r="F14673" s="4" t="s">
        <v>73949</v>
      </c>
      <c r="G14673" s="4" t="s">
        <v>74002</v>
      </c>
      <c r="H14673" s="3" t="s">
        <v>73938</v>
      </c>
      <c r="I14673" s="3" t="s">
        <v>74003</v>
      </c>
      <c r="J14673" s="3" t="s">
        <v>74004</v>
      </c>
      <c r="K14673" s="3" t="s">
        <v>74005</v>
      </c>
      <c r="L14673" s="3" t="s">
        <v>74006</v>
      </c>
      <c r="M14673" s="4" t="s">
        <v>74007</v>
      </c>
      <c r="N14673" s="3" t="s">
        <v>37</v>
      </c>
      <c r="O14673" s="3" t="s">
        <v>52</v>
      </c>
      <c r="P14673" s="5">
        <v>12</v>
      </c>
      <c r="Q14673" s="5">
        <v>76</v>
      </c>
      <c r="R14673" s="5">
        <v>12</v>
      </c>
      <c r="S14673" s="5">
        <v>76</v>
      </c>
    </row>
    <row r="14674" spans="1:19" ht="42" x14ac:dyDescent="0.15">
      <c r="A14674" s="2">
        <f>HYPERLINK("https://open-school.uspishnemisto.com.ua/school/710016/", 710016)</f>
        <v>710016</v>
      </c>
      <c r="B14674" s="3" t="s">
        <v>74008</v>
      </c>
      <c r="C14674" s="3" t="s">
        <v>40</v>
      </c>
      <c r="D14674" s="3" t="s">
        <v>32</v>
      </c>
      <c r="E14674" s="4" t="s">
        <v>22</v>
      </c>
      <c r="F14674" s="4" t="s">
        <v>74009</v>
      </c>
      <c r="G14674" s="4" t="s">
        <v>74002</v>
      </c>
      <c r="H14674" s="3" t="s">
        <v>73938</v>
      </c>
      <c r="I14674" s="3" t="s">
        <v>74003</v>
      </c>
      <c r="J14674" s="3" t="s">
        <v>74010</v>
      </c>
      <c r="K14674" s="3" t="s">
        <v>74011</v>
      </c>
      <c r="L14674" s="3" t="s">
        <v>74012</v>
      </c>
      <c r="M14674" s="4" t="s">
        <v>74013</v>
      </c>
      <c r="N14674" s="3" t="s">
        <v>37</v>
      </c>
      <c r="O14674" s="3" t="s">
        <v>4858</v>
      </c>
      <c r="P14674" s="5">
        <v>42</v>
      </c>
      <c r="Q14674" s="5">
        <v>1261</v>
      </c>
      <c r="R14674" s="5">
        <v>41</v>
      </c>
      <c r="S14674" s="5">
        <v>1259</v>
      </c>
    </row>
    <row r="14675" spans="1:19" ht="42" x14ac:dyDescent="0.15">
      <c r="A14675" s="2">
        <f>HYPERLINK("https://open-school.uspishnemisto.com.ua/school/710017/", 710017)</f>
        <v>710017</v>
      </c>
      <c r="B14675" s="3" t="s">
        <v>74014</v>
      </c>
      <c r="C14675" s="3" t="s">
        <v>40</v>
      </c>
      <c r="D14675" s="3" t="s">
        <v>32</v>
      </c>
      <c r="E14675" s="4" t="s">
        <v>22</v>
      </c>
      <c r="F14675" s="4" t="s">
        <v>74015</v>
      </c>
      <c r="G14675" s="4" t="s">
        <v>74002</v>
      </c>
      <c r="H14675" s="3" t="s">
        <v>73938</v>
      </c>
      <c r="I14675" s="3" t="s">
        <v>74003</v>
      </c>
      <c r="J14675" s="3" t="s">
        <v>74016</v>
      </c>
      <c r="K14675" s="3" t="s">
        <v>74017</v>
      </c>
      <c r="L14675" s="3" t="s">
        <v>74018</v>
      </c>
      <c r="M14675" s="4" t="s">
        <v>74019</v>
      </c>
      <c r="N14675" s="3" t="s">
        <v>37</v>
      </c>
      <c r="O14675" s="3" t="s">
        <v>123</v>
      </c>
      <c r="P14675" s="5">
        <v>49</v>
      </c>
      <c r="Q14675" s="5">
        <v>1515</v>
      </c>
      <c r="R14675" s="5">
        <v>46</v>
      </c>
      <c r="S14675" s="5">
        <v>1405</v>
      </c>
    </row>
    <row r="14676" spans="1:19" ht="42" x14ac:dyDescent="0.15">
      <c r="A14676" s="2">
        <f>HYPERLINK("https://open-school.uspishnemisto.com.ua/school/710018/", 710018)</f>
        <v>710018</v>
      </c>
      <c r="B14676" s="3" t="s">
        <v>74020</v>
      </c>
      <c r="C14676" s="3" t="s">
        <v>31</v>
      </c>
      <c r="D14676" s="3" t="s">
        <v>32</v>
      </c>
      <c r="E14676" s="4" t="s">
        <v>22</v>
      </c>
      <c r="F14676" s="4" t="s">
        <v>73955</v>
      </c>
      <c r="G14676" s="4" t="s">
        <v>74002</v>
      </c>
      <c r="H14676" s="3" t="s">
        <v>73938</v>
      </c>
      <c r="I14676" s="3" t="s">
        <v>74003</v>
      </c>
      <c r="J14676" s="3" t="s">
        <v>74021</v>
      </c>
      <c r="K14676" s="3" t="s">
        <v>74022</v>
      </c>
      <c r="L14676" s="3" t="s">
        <v>74023</v>
      </c>
      <c r="M14676" s="4" t="s">
        <v>74024</v>
      </c>
      <c r="N14676" s="3" t="s">
        <v>37</v>
      </c>
      <c r="O14676" s="3" t="s">
        <v>38</v>
      </c>
      <c r="P14676" s="5">
        <v>21</v>
      </c>
      <c r="Q14676" s="5">
        <v>598</v>
      </c>
      <c r="R14676" s="5">
        <v>20</v>
      </c>
      <c r="S14676" s="5">
        <v>573</v>
      </c>
    </row>
    <row r="14677" spans="1:19" ht="42" x14ac:dyDescent="0.15">
      <c r="A14677" s="2">
        <f>HYPERLINK("https://open-school.uspishnemisto.com.ua/school/710019/", 710019)</f>
        <v>710019</v>
      </c>
      <c r="B14677" s="3" t="s">
        <v>74025</v>
      </c>
      <c r="C14677" s="3" t="s">
        <v>31</v>
      </c>
      <c r="D14677" s="3" t="s">
        <v>32</v>
      </c>
      <c r="E14677" s="4" t="s">
        <v>22</v>
      </c>
      <c r="F14677" s="4" t="s">
        <v>74026</v>
      </c>
      <c r="G14677" s="4" t="s">
        <v>74002</v>
      </c>
      <c r="H14677" s="3" t="s">
        <v>73938</v>
      </c>
      <c r="I14677" s="3" t="s">
        <v>74003</v>
      </c>
      <c r="J14677" s="3" t="s">
        <v>74027</v>
      </c>
      <c r="K14677" s="3" t="s">
        <v>74028</v>
      </c>
      <c r="L14677" s="3" t="s">
        <v>74029</v>
      </c>
      <c r="M14677" s="4" t="s">
        <v>74030</v>
      </c>
      <c r="N14677" s="3" t="s">
        <v>37</v>
      </c>
      <c r="O14677" s="3" t="s">
        <v>46</v>
      </c>
      <c r="P14677" s="5">
        <v>20</v>
      </c>
      <c r="Q14677" s="5">
        <v>546</v>
      </c>
      <c r="R14677" s="5">
        <v>19</v>
      </c>
      <c r="S14677" s="5">
        <v>517</v>
      </c>
    </row>
    <row r="14678" spans="1:19" ht="42" x14ac:dyDescent="0.15">
      <c r="A14678" s="2">
        <f>HYPERLINK("https://open-school.uspishnemisto.com.ua/school/710020/", 710020)</f>
        <v>710020</v>
      </c>
      <c r="B14678" s="3" t="s">
        <v>74031</v>
      </c>
      <c r="C14678" s="3" t="s">
        <v>31</v>
      </c>
      <c r="D14678" s="3" t="s">
        <v>32</v>
      </c>
      <c r="E14678" s="4" t="s">
        <v>22</v>
      </c>
      <c r="F14678" s="4" t="s">
        <v>74032</v>
      </c>
      <c r="G14678" s="4" t="s">
        <v>74002</v>
      </c>
      <c r="H14678" s="3" t="s">
        <v>73938</v>
      </c>
      <c r="I14678" s="3" t="s">
        <v>74003</v>
      </c>
      <c r="J14678" s="3" t="s">
        <v>74033</v>
      </c>
      <c r="K14678" s="3" t="s">
        <v>74034</v>
      </c>
      <c r="L14678" s="3" t="s">
        <v>74035</v>
      </c>
      <c r="M14678" s="4" t="s">
        <v>74036</v>
      </c>
      <c r="N14678" s="3" t="s">
        <v>37</v>
      </c>
      <c r="O14678" s="3" t="s">
        <v>46</v>
      </c>
      <c r="P14678" s="5">
        <v>26</v>
      </c>
      <c r="Q14678" s="5">
        <v>758</v>
      </c>
      <c r="R14678" s="5">
        <v>25</v>
      </c>
      <c r="S14678" s="5">
        <v>714</v>
      </c>
    </row>
    <row r="14679" spans="1:19" ht="42" x14ac:dyDescent="0.15">
      <c r="A14679" s="2">
        <f>HYPERLINK("https://open-school.uspishnemisto.com.ua/school/710021/", 710021)</f>
        <v>710021</v>
      </c>
      <c r="B14679" s="3" t="s">
        <v>74037</v>
      </c>
      <c r="C14679" s="3" t="s">
        <v>31</v>
      </c>
      <c r="D14679" s="3" t="s">
        <v>32</v>
      </c>
      <c r="E14679" s="4" t="s">
        <v>22</v>
      </c>
      <c r="F14679" s="4" t="s">
        <v>74038</v>
      </c>
      <c r="G14679" s="4" t="s">
        <v>74002</v>
      </c>
      <c r="H14679" s="3" t="s">
        <v>73938</v>
      </c>
      <c r="I14679" s="3" t="s">
        <v>74003</v>
      </c>
      <c r="J14679" s="3" t="s">
        <v>74039</v>
      </c>
      <c r="K14679" s="3" t="s">
        <v>74040</v>
      </c>
      <c r="L14679" s="3" t="s">
        <v>74041</v>
      </c>
      <c r="M14679" s="4" t="s">
        <v>74042</v>
      </c>
      <c r="N14679" s="3" t="s">
        <v>967</v>
      </c>
      <c r="O14679" s="3" t="s">
        <v>8542</v>
      </c>
      <c r="P14679" s="5">
        <v>20</v>
      </c>
      <c r="Q14679" s="5">
        <v>585</v>
      </c>
      <c r="R14679" s="5">
        <v>20</v>
      </c>
      <c r="S14679" s="5">
        <v>564</v>
      </c>
    </row>
    <row r="14680" spans="1:19" ht="42" x14ac:dyDescent="0.15">
      <c r="A14680" s="2">
        <f>HYPERLINK("https://open-school.uspishnemisto.com.ua/school/710022/", 710022)</f>
        <v>710022</v>
      </c>
      <c r="B14680" s="3" t="s">
        <v>74043</v>
      </c>
      <c r="C14680" s="3" t="s">
        <v>31</v>
      </c>
      <c r="D14680" s="3" t="s">
        <v>32</v>
      </c>
      <c r="E14680" s="4" t="s">
        <v>22</v>
      </c>
      <c r="F14680" s="4" t="s">
        <v>74044</v>
      </c>
      <c r="G14680" s="4" t="s">
        <v>74002</v>
      </c>
      <c r="H14680" s="3" t="s">
        <v>73938</v>
      </c>
      <c r="I14680" s="3" t="s">
        <v>74003</v>
      </c>
      <c r="J14680" s="3" t="s">
        <v>74045</v>
      </c>
      <c r="K14680" s="3" t="s">
        <v>74046</v>
      </c>
      <c r="L14680" s="3"/>
      <c r="M14680" s="4" t="s">
        <v>74047</v>
      </c>
      <c r="N14680" s="3" t="s">
        <v>37</v>
      </c>
      <c r="O14680" s="3" t="s">
        <v>70</v>
      </c>
      <c r="P14680" s="5">
        <v>27</v>
      </c>
      <c r="Q14680" s="5">
        <v>782</v>
      </c>
      <c r="R14680" s="5">
        <v>27</v>
      </c>
      <c r="S14680" s="5">
        <v>759</v>
      </c>
    </row>
    <row r="14681" spans="1:19" ht="42" x14ac:dyDescent="0.15">
      <c r="A14681" s="2">
        <f>HYPERLINK("https://open-school.uspishnemisto.com.ua/school/710023/", 710023)</f>
        <v>710023</v>
      </c>
      <c r="B14681" s="3" t="s">
        <v>74048</v>
      </c>
      <c r="C14681" s="3" t="s">
        <v>31</v>
      </c>
      <c r="D14681" s="3" t="s">
        <v>32</v>
      </c>
      <c r="E14681" s="4" t="s">
        <v>22</v>
      </c>
      <c r="F14681" s="4" t="s">
        <v>73955</v>
      </c>
      <c r="G14681" s="4" t="s">
        <v>74002</v>
      </c>
      <c r="H14681" s="3" t="s">
        <v>73938</v>
      </c>
      <c r="I14681" s="3" t="s">
        <v>74003</v>
      </c>
      <c r="J14681" s="3" t="s">
        <v>74049</v>
      </c>
      <c r="K14681" s="3" t="s">
        <v>74050</v>
      </c>
      <c r="L14681" s="3" t="s">
        <v>74051</v>
      </c>
      <c r="M14681" s="4" t="s">
        <v>74052</v>
      </c>
      <c r="N14681" s="3" t="s">
        <v>37</v>
      </c>
      <c r="O14681" s="3" t="s">
        <v>46</v>
      </c>
      <c r="P14681" s="5">
        <v>27</v>
      </c>
      <c r="Q14681" s="5">
        <v>769</v>
      </c>
      <c r="R14681" s="5">
        <v>27</v>
      </c>
      <c r="S14681" s="5">
        <v>754</v>
      </c>
    </row>
    <row r="14682" spans="1:19" ht="42" x14ac:dyDescent="0.15">
      <c r="A14682" s="2">
        <f>HYPERLINK("https://open-school.uspishnemisto.com.ua/school/710024/", 710024)</f>
        <v>710024</v>
      </c>
      <c r="B14682" s="3" t="s">
        <v>74053</v>
      </c>
      <c r="C14682" s="3" t="s">
        <v>244</v>
      </c>
      <c r="D14682" s="3" t="s">
        <v>32</v>
      </c>
      <c r="E14682" s="4" t="s">
        <v>22</v>
      </c>
      <c r="F14682" s="4" t="s">
        <v>74054</v>
      </c>
      <c r="G14682" s="4" t="s">
        <v>74002</v>
      </c>
      <c r="H14682" s="3" t="s">
        <v>73938</v>
      </c>
      <c r="I14682" s="3" t="s">
        <v>74003</v>
      </c>
      <c r="J14682" s="3" t="s">
        <v>74055</v>
      </c>
      <c r="K14682" s="3" t="s">
        <v>74056</v>
      </c>
      <c r="L14682" s="3" t="s">
        <v>74057</v>
      </c>
      <c r="M14682" s="4" t="s">
        <v>74058</v>
      </c>
      <c r="N14682" s="3" t="s">
        <v>37</v>
      </c>
      <c r="O14682" s="3" t="s">
        <v>123</v>
      </c>
      <c r="P14682" s="5">
        <v>36</v>
      </c>
      <c r="Q14682" s="5">
        <v>1027</v>
      </c>
      <c r="R14682" s="5">
        <v>36</v>
      </c>
      <c r="S14682" s="5">
        <v>1001</v>
      </c>
    </row>
    <row r="14683" spans="1:19" ht="42" x14ac:dyDescent="0.15">
      <c r="A14683" s="2">
        <f>HYPERLINK("https://open-school.uspishnemisto.com.ua/school/710025/", 710025)</f>
        <v>710025</v>
      </c>
      <c r="B14683" s="3" t="s">
        <v>74059</v>
      </c>
      <c r="C14683" s="3" t="s">
        <v>244</v>
      </c>
      <c r="D14683" s="3" t="s">
        <v>32</v>
      </c>
      <c r="E14683" s="4" t="s">
        <v>22</v>
      </c>
      <c r="F14683" s="4" t="s">
        <v>73949</v>
      </c>
      <c r="G14683" s="4" t="s">
        <v>74002</v>
      </c>
      <c r="H14683" s="3" t="s">
        <v>73938</v>
      </c>
      <c r="I14683" s="3" t="s">
        <v>74003</v>
      </c>
      <c r="J14683" s="3" t="s">
        <v>74060</v>
      </c>
      <c r="K14683" s="3" t="s">
        <v>74061</v>
      </c>
      <c r="L14683" s="3" t="s">
        <v>74062</v>
      </c>
      <c r="M14683" s="4" t="s">
        <v>74063</v>
      </c>
      <c r="N14683" s="3" t="s">
        <v>37</v>
      </c>
      <c r="O14683" s="3" t="s">
        <v>52</v>
      </c>
      <c r="P14683" s="5">
        <v>25</v>
      </c>
      <c r="Q14683" s="5">
        <v>680</v>
      </c>
      <c r="R14683" s="5">
        <v>25</v>
      </c>
      <c r="S14683" s="5">
        <v>683</v>
      </c>
    </row>
    <row r="14684" spans="1:19" ht="42" x14ac:dyDescent="0.15">
      <c r="A14684" s="2">
        <f>HYPERLINK("https://open-school.uspishnemisto.com.ua/school/710026/", 710026)</f>
        <v>710026</v>
      </c>
      <c r="B14684" s="3" t="s">
        <v>74064</v>
      </c>
      <c r="C14684" s="3" t="s">
        <v>244</v>
      </c>
      <c r="D14684" s="3" t="s">
        <v>32</v>
      </c>
      <c r="E14684" s="4" t="s">
        <v>22</v>
      </c>
      <c r="F14684" s="4" t="s">
        <v>74032</v>
      </c>
      <c r="G14684" s="4" t="s">
        <v>74002</v>
      </c>
      <c r="H14684" s="3" t="s">
        <v>73938</v>
      </c>
      <c r="I14684" s="3" t="s">
        <v>74003</v>
      </c>
      <c r="J14684" s="3" t="s">
        <v>74065</v>
      </c>
      <c r="K14684" s="3" t="s">
        <v>74066</v>
      </c>
      <c r="L14684" s="3" t="s">
        <v>74067</v>
      </c>
      <c r="M14684" s="4" t="s">
        <v>74068</v>
      </c>
      <c r="N14684" s="3" t="s">
        <v>37</v>
      </c>
      <c r="O14684" s="3" t="s">
        <v>123</v>
      </c>
      <c r="P14684" s="5">
        <v>26</v>
      </c>
      <c r="Q14684" s="5">
        <v>780</v>
      </c>
      <c r="R14684" s="5">
        <v>25</v>
      </c>
      <c r="S14684" s="5">
        <v>726</v>
      </c>
    </row>
    <row r="14685" spans="1:19" ht="42" x14ac:dyDescent="0.15">
      <c r="A14685" s="2">
        <f>HYPERLINK("https://open-school.uspishnemisto.com.ua/school/710027/", 710027)</f>
        <v>710027</v>
      </c>
      <c r="B14685" s="3" t="s">
        <v>74069</v>
      </c>
      <c r="C14685" s="3" t="s">
        <v>244</v>
      </c>
      <c r="D14685" s="3" t="s">
        <v>32</v>
      </c>
      <c r="E14685" s="4" t="s">
        <v>22</v>
      </c>
      <c r="F14685" s="4" t="s">
        <v>74032</v>
      </c>
      <c r="G14685" s="4" t="s">
        <v>74002</v>
      </c>
      <c r="H14685" s="3" t="s">
        <v>73938</v>
      </c>
      <c r="I14685" s="3" t="s">
        <v>74003</v>
      </c>
      <c r="J14685" s="3" t="s">
        <v>74070</v>
      </c>
      <c r="K14685" s="3" t="s">
        <v>74071</v>
      </c>
      <c r="L14685" s="3" t="s">
        <v>74072</v>
      </c>
      <c r="M14685" s="4" t="s">
        <v>74073</v>
      </c>
      <c r="N14685" s="3" t="s">
        <v>37</v>
      </c>
      <c r="O14685" s="3" t="s">
        <v>9891</v>
      </c>
      <c r="P14685" s="5">
        <v>65</v>
      </c>
      <c r="Q14685" s="5">
        <v>2101</v>
      </c>
      <c r="R14685" s="5">
        <v>63</v>
      </c>
      <c r="S14685" s="5">
        <v>2008</v>
      </c>
    </row>
    <row r="14686" spans="1:19" ht="42" x14ac:dyDescent="0.15">
      <c r="A14686" s="2">
        <f>HYPERLINK("https://open-school.uspishnemisto.com.ua/school/710028/", 710028)</f>
        <v>710028</v>
      </c>
      <c r="B14686" s="3" t="s">
        <v>74074</v>
      </c>
      <c r="C14686" s="3" t="s">
        <v>244</v>
      </c>
      <c r="D14686" s="3" t="s">
        <v>32</v>
      </c>
      <c r="E14686" s="4" t="s">
        <v>22</v>
      </c>
      <c r="F14686" s="4" t="s">
        <v>74009</v>
      </c>
      <c r="G14686" s="4" t="s">
        <v>74002</v>
      </c>
      <c r="H14686" s="3" t="s">
        <v>73938</v>
      </c>
      <c r="I14686" s="3" t="s">
        <v>74003</v>
      </c>
      <c r="J14686" s="3" t="s">
        <v>74075</v>
      </c>
      <c r="K14686" s="3" t="s">
        <v>74076</v>
      </c>
      <c r="L14686" s="3"/>
      <c r="M14686" s="4" t="s">
        <v>74077</v>
      </c>
      <c r="N14686" s="3" t="s">
        <v>37</v>
      </c>
      <c r="O14686" s="3" t="s">
        <v>46</v>
      </c>
      <c r="P14686" s="5">
        <v>30</v>
      </c>
      <c r="Q14686" s="5">
        <v>861</v>
      </c>
      <c r="R14686" s="5">
        <v>30</v>
      </c>
      <c r="S14686" s="5">
        <v>831</v>
      </c>
    </row>
    <row r="14687" spans="1:19" ht="42" x14ac:dyDescent="0.15">
      <c r="A14687" s="2">
        <f>HYPERLINK("https://open-school.uspishnemisto.com.ua/school/710029/", 710029)</f>
        <v>710029</v>
      </c>
      <c r="B14687" s="3" t="s">
        <v>74078</v>
      </c>
      <c r="C14687" s="3" t="s">
        <v>188</v>
      </c>
      <c r="D14687" s="3" t="s">
        <v>32</v>
      </c>
      <c r="E14687" s="4" t="s">
        <v>22</v>
      </c>
      <c r="F14687" s="4" t="s">
        <v>74038</v>
      </c>
      <c r="G14687" s="4" t="s">
        <v>74002</v>
      </c>
      <c r="H14687" s="3" t="s">
        <v>73938</v>
      </c>
      <c r="I14687" s="3" t="s">
        <v>74003</v>
      </c>
      <c r="J14687" s="3" t="s">
        <v>74079</v>
      </c>
      <c r="K14687" s="3" t="s">
        <v>74080</v>
      </c>
      <c r="L14687" s="3" t="s">
        <v>74081</v>
      </c>
      <c r="M14687" s="4" t="s">
        <v>74082</v>
      </c>
      <c r="N14687" s="3" t="s">
        <v>37</v>
      </c>
      <c r="O14687" s="3" t="s">
        <v>123</v>
      </c>
      <c r="P14687" s="5">
        <v>11</v>
      </c>
      <c r="Q14687" s="5">
        <v>302</v>
      </c>
      <c r="R14687" s="5">
        <v>11</v>
      </c>
      <c r="S14687" s="5">
        <v>314</v>
      </c>
    </row>
    <row r="14688" spans="1:19" ht="42" x14ac:dyDescent="0.15">
      <c r="A14688" s="2">
        <f>HYPERLINK("https://open-school.uspishnemisto.com.ua/school/710030/", 710030)</f>
        <v>710030</v>
      </c>
      <c r="B14688" s="3" t="s">
        <v>74083</v>
      </c>
      <c r="C14688" s="3" t="s">
        <v>31</v>
      </c>
      <c r="D14688" s="3" t="s">
        <v>32</v>
      </c>
      <c r="E14688" s="4" t="s">
        <v>22</v>
      </c>
      <c r="F14688" s="4" t="s">
        <v>74009</v>
      </c>
      <c r="G14688" s="4" t="s">
        <v>74002</v>
      </c>
      <c r="H14688" s="3" t="s">
        <v>73938</v>
      </c>
      <c r="I14688" s="3" t="s">
        <v>74003</v>
      </c>
      <c r="J14688" s="3" t="s">
        <v>74084</v>
      </c>
      <c r="K14688" s="3" t="s">
        <v>74085</v>
      </c>
      <c r="L14688" s="3"/>
      <c r="M14688" s="4" t="s">
        <v>74086</v>
      </c>
      <c r="N14688" s="3" t="s">
        <v>37</v>
      </c>
      <c r="O14688" s="3" t="s">
        <v>46</v>
      </c>
      <c r="P14688" s="5">
        <v>27</v>
      </c>
      <c r="Q14688" s="5">
        <v>778</v>
      </c>
      <c r="R14688" s="5">
        <v>26</v>
      </c>
      <c r="S14688" s="5">
        <v>706</v>
      </c>
    </row>
    <row r="14689" spans="1:19" ht="42" x14ac:dyDescent="0.15">
      <c r="A14689" s="2">
        <f>HYPERLINK("https://open-school.uspishnemisto.com.ua/school/710031/", 710031)</f>
        <v>710031</v>
      </c>
      <c r="B14689" s="3" t="s">
        <v>74087</v>
      </c>
      <c r="C14689" s="3" t="s">
        <v>188</v>
      </c>
      <c r="D14689" s="3" t="s">
        <v>32</v>
      </c>
      <c r="E14689" s="4" t="s">
        <v>22</v>
      </c>
      <c r="F14689" s="4" t="s">
        <v>73955</v>
      </c>
      <c r="G14689" s="4" t="s">
        <v>74002</v>
      </c>
      <c r="H14689" s="3" t="s">
        <v>73938</v>
      </c>
      <c r="I14689" s="3" t="s">
        <v>74003</v>
      </c>
      <c r="J14689" s="3" t="s">
        <v>74088</v>
      </c>
      <c r="K14689" s="3" t="s">
        <v>74089</v>
      </c>
      <c r="L14689" s="3" t="s">
        <v>74090</v>
      </c>
      <c r="M14689" s="4" t="s">
        <v>74091</v>
      </c>
      <c r="N14689" s="3" t="s">
        <v>37</v>
      </c>
      <c r="O14689" s="3" t="s">
        <v>52</v>
      </c>
      <c r="P14689" s="5">
        <v>12</v>
      </c>
      <c r="Q14689" s="5">
        <v>352</v>
      </c>
      <c r="R14689" s="5">
        <v>12</v>
      </c>
      <c r="S14689" s="5">
        <v>361</v>
      </c>
    </row>
    <row r="14690" spans="1:19" ht="28" x14ac:dyDescent="0.15">
      <c r="A14690" s="2">
        <f>HYPERLINK("https://open-school.uspishnemisto.com.ua/school/710032/", 710032)</f>
        <v>710032</v>
      </c>
      <c r="B14690" s="3" t="s">
        <v>74092</v>
      </c>
      <c r="C14690" s="3" t="s">
        <v>40</v>
      </c>
      <c r="D14690" s="3" t="s">
        <v>32</v>
      </c>
      <c r="E14690" s="4" t="s">
        <v>22</v>
      </c>
      <c r="F14690" s="4" t="s">
        <v>74093</v>
      </c>
      <c r="G14690" s="4" t="s">
        <v>74094</v>
      </c>
      <c r="H14690" s="3" t="s">
        <v>73938</v>
      </c>
      <c r="I14690" s="3" t="s">
        <v>74095</v>
      </c>
      <c r="J14690" s="3" t="s">
        <v>74096</v>
      </c>
      <c r="K14690" s="3" t="s">
        <v>74097</v>
      </c>
      <c r="L14690" s="3" t="s">
        <v>74098</v>
      </c>
      <c r="M14690" s="4" t="s">
        <v>74099</v>
      </c>
      <c r="N14690" s="3" t="s">
        <v>37</v>
      </c>
      <c r="O14690" s="3" t="s">
        <v>4858</v>
      </c>
      <c r="P14690" s="5">
        <v>22</v>
      </c>
      <c r="Q14690" s="5">
        <v>677</v>
      </c>
      <c r="R14690" s="5">
        <v>22</v>
      </c>
      <c r="S14690" s="5">
        <v>675</v>
      </c>
    </row>
    <row r="14691" spans="1:19" ht="28" x14ac:dyDescent="0.15">
      <c r="A14691" s="2">
        <f>HYPERLINK("https://open-school.uspishnemisto.com.ua/school/710033/", 710033)</f>
        <v>710033</v>
      </c>
      <c r="B14691" s="3" t="s">
        <v>74100</v>
      </c>
      <c r="C14691" s="3" t="s">
        <v>31</v>
      </c>
      <c r="D14691" s="3" t="s">
        <v>32</v>
      </c>
      <c r="E14691" s="4" t="s">
        <v>22</v>
      </c>
      <c r="F14691" s="4" t="s">
        <v>74101</v>
      </c>
      <c r="G14691" s="4" t="s">
        <v>74094</v>
      </c>
      <c r="H14691" s="3" t="s">
        <v>73938</v>
      </c>
      <c r="I14691" s="3" t="s">
        <v>74095</v>
      </c>
      <c r="J14691" s="3" t="s">
        <v>74102</v>
      </c>
      <c r="K14691" s="3" t="s">
        <v>74103</v>
      </c>
      <c r="L14691" s="3"/>
      <c r="M14691" s="4" t="s">
        <v>74104</v>
      </c>
      <c r="N14691" s="3" t="s">
        <v>37</v>
      </c>
      <c r="O14691" s="3" t="s">
        <v>52</v>
      </c>
      <c r="P14691" s="5">
        <v>19</v>
      </c>
      <c r="Q14691" s="5">
        <v>497</v>
      </c>
      <c r="R14691" s="5">
        <v>18</v>
      </c>
      <c r="S14691" s="5">
        <v>497</v>
      </c>
    </row>
    <row r="14692" spans="1:19" ht="28" x14ac:dyDescent="0.15">
      <c r="A14692" s="2">
        <f>HYPERLINK("https://open-school.uspishnemisto.com.ua/school/710034/", 710034)</f>
        <v>710034</v>
      </c>
      <c r="B14692" s="3" t="s">
        <v>74105</v>
      </c>
      <c r="C14692" s="3" t="s">
        <v>31</v>
      </c>
      <c r="D14692" s="3" t="s">
        <v>32</v>
      </c>
      <c r="E14692" s="4" t="s">
        <v>22</v>
      </c>
      <c r="F14692" s="4" t="s">
        <v>73970</v>
      </c>
      <c r="G14692" s="4" t="s">
        <v>74094</v>
      </c>
      <c r="H14692" s="3" t="s">
        <v>73938</v>
      </c>
      <c r="I14692" s="3" t="s">
        <v>74095</v>
      </c>
      <c r="J14692" s="3" t="s">
        <v>74106</v>
      </c>
      <c r="K14692" s="3" t="s">
        <v>74107</v>
      </c>
      <c r="L14692" s="3" t="s">
        <v>74108</v>
      </c>
      <c r="M14692" s="4" t="s">
        <v>74109</v>
      </c>
      <c r="N14692" s="3" t="s">
        <v>37</v>
      </c>
      <c r="O14692" s="3" t="s">
        <v>46</v>
      </c>
      <c r="P14692" s="5">
        <v>31</v>
      </c>
      <c r="Q14692" s="5">
        <v>859</v>
      </c>
      <c r="R14692" s="5">
        <v>31</v>
      </c>
      <c r="S14692" s="5">
        <v>890</v>
      </c>
    </row>
    <row r="14693" spans="1:19" ht="28" x14ac:dyDescent="0.15">
      <c r="A14693" s="2">
        <f>HYPERLINK("https://open-school.uspishnemisto.com.ua/school/710035/", 710035)</f>
        <v>710035</v>
      </c>
      <c r="B14693" s="3" t="s">
        <v>74110</v>
      </c>
      <c r="C14693" s="3" t="s">
        <v>31</v>
      </c>
      <c r="D14693" s="3" t="s">
        <v>32</v>
      </c>
      <c r="E14693" s="4" t="s">
        <v>22</v>
      </c>
      <c r="F14693" s="4" t="s">
        <v>74111</v>
      </c>
      <c r="G14693" s="4" t="s">
        <v>74094</v>
      </c>
      <c r="H14693" s="3" t="s">
        <v>73938</v>
      </c>
      <c r="I14693" s="3" t="s">
        <v>74095</v>
      </c>
      <c r="J14693" s="3" t="s">
        <v>74112</v>
      </c>
      <c r="K14693" s="3" t="s">
        <v>74113</v>
      </c>
      <c r="L14693" s="3" t="s">
        <v>74114</v>
      </c>
      <c r="M14693" s="4" t="s">
        <v>74115</v>
      </c>
      <c r="N14693" s="3" t="s">
        <v>37</v>
      </c>
      <c r="O14693" s="3" t="s">
        <v>46</v>
      </c>
      <c r="P14693" s="5">
        <v>15</v>
      </c>
      <c r="Q14693" s="5">
        <v>365</v>
      </c>
      <c r="R14693" s="5">
        <v>15</v>
      </c>
      <c r="S14693" s="5">
        <v>355</v>
      </c>
    </row>
    <row r="14694" spans="1:19" ht="28" x14ac:dyDescent="0.15">
      <c r="A14694" s="2">
        <f>HYPERLINK("https://open-school.uspishnemisto.com.ua/school/710036/", 710036)</f>
        <v>710036</v>
      </c>
      <c r="B14694" s="3" t="s">
        <v>74116</v>
      </c>
      <c r="C14694" s="3" t="s">
        <v>31</v>
      </c>
      <c r="D14694" s="3" t="s">
        <v>32</v>
      </c>
      <c r="E14694" s="4" t="s">
        <v>22</v>
      </c>
      <c r="F14694" s="4" t="s">
        <v>74111</v>
      </c>
      <c r="G14694" s="4" t="s">
        <v>74094</v>
      </c>
      <c r="H14694" s="3" t="s">
        <v>73938</v>
      </c>
      <c r="I14694" s="3" t="s">
        <v>74095</v>
      </c>
      <c r="J14694" s="3" t="s">
        <v>74117</v>
      </c>
      <c r="K14694" s="3" t="s">
        <v>74118</v>
      </c>
      <c r="L14694" s="3" t="s">
        <v>74119</v>
      </c>
      <c r="M14694" s="4" t="s">
        <v>74120</v>
      </c>
      <c r="N14694" s="3" t="s">
        <v>37</v>
      </c>
      <c r="O14694" s="3" t="s">
        <v>38</v>
      </c>
      <c r="P14694" s="5">
        <v>22</v>
      </c>
      <c r="Q14694" s="5">
        <v>608</v>
      </c>
      <c r="R14694" s="5">
        <v>21</v>
      </c>
      <c r="S14694" s="5">
        <v>579</v>
      </c>
    </row>
    <row r="14695" spans="1:19" ht="28" x14ac:dyDescent="0.15">
      <c r="A14695" s="2">
        <f>HYPERLINK("https://open-school.uspishnemisto.com.ua/school/710037/", 710037)</f>
        <v>710037</v>
      </c>
      <c r="B14695" s="3" t="s">
        <v>74121</v>
      </c>
      <c r="C14695" s="3" t="s">
        <v>31</v>
      </c>
      <c r="D14695" s="3" t="s">
        <v>32</v>
      </c>
      <c r="E14695" s="4" t="s">
        <v>22</v>
      </c>
      <c r="F14695" s="4" t="s">
        <v>74122</v>
      </c>
      <c r="G14695" s="4" t="s">
        <v>74094</v>
      </c>
      <c r="H14695" s="3" t="s">
        <v>73938</v>
      </c>
      <c r="I14695" s="3" t="s">
        <v>74095</v>
      </c>
      <c r="J14695" s="3" t="s">
        <v>74123</v>
      </c>
      <c r="K14695" s="3" t="s">
        <v>74124</v>
      </c>
      <c r="L14695" s="3" t="s">
        <v>74125</v>
      </c>
      <c r="M14695" s="4" t="s">
        <v>74126</v>
      </c>
      <c r="N14695" s="3" t="s">
        <v>37</v>
      </c>
      <c r="O14695" s="3" t="s">
        <v>52</v>
      </c>
      <c r="P14695" s="5">
        <v>10</v>
      </c>
      <c r="Q14695" s="5">
        <v>230</v>
      </c>
      <c r="R14695" s="5">
        <v>11</v>
      </c>
      <c r="S14695" s="5">
        <v>229</v>
      </c>
    </row>
    <row r="14696" spans="1:19" ht="28" x14ac:dyDescent="0.15">
      <c r="A14696" s="2">
        <f>HYPERLINK("https://open-school.uspishnemisto.com.ua/school/710038/", 710038)</f>
        <v>710038</v>
      </c>
      <c r="B14696" s="3" t="s">
        <v>74127</v>
      </c>
      <c r="C14696" s="3" t="s">
        <v>31</v>
      </c>
      <c r="D14696" s="3" t="s">
        <v>32</v>
      </c>
      <c r="E14696" s="4" t="s">
        <v>22</v>
      </c>
      <c r="F14696" s="4" t="s">
        <v>74111</v>
      </c>
      <c r="G14696" s="4" t="s">
        <v>74094</v>
      </c>
      <c r="H14696" s="3" t="s">
        <v>73938</v>
      </c>
      <c r="I14696" s="3" t="s">
        <v>74095</v>
      </c>
      <c r="J14696" s="3" t="s">
        <v>74128</v>
      </c>
      <c r="K14696" s="3" t="s">
        <v>74129</v>
      </c>
      <c r="L14696" s="3" t="s">
        <v>74130</v>
      </c>
      <c r="M14696" s="4" t="s">
        <v>74131</v>
      </c>
      <c r="N14696" s="3" t="s">
        <v>37</v>
      </c>
      <c r="O14696" s="3" t="s">
        <v>46</v>
      </c>
      <c r="P14696" s="5">
        <v>20</v>
      </c>
      <c r="Q14696" s="5">
        <v>501</v>
      </c>
      <c r="R14696" s="5">
        <v>19</v>
      </c>
      <c r="S14696" s="5">
        <v>502</v>
      </c>
    </row>
    <row r="14697" spans="1:19" ht="28" x14ac:dyDescent="0.15">
      <c r="A14697" s="2">
        <f>HYPERLINK("https://open-school.uspishnemisto.com.ua/school/710039/", 710039)</f>
        <v>710039</v>
      </c>
      <c r="B14697" s="3" t="s">
        <v>74132</v>
      </c>
      <c r="C14697" s="3" t="s">
        <v>31</v>
      </c>
      <c r="D14697" s="3" t="s">
        <v>32</v>
      </c>
      <c r="E14697" s="4" t="s">
        <v>22</v>
      </c>
      <c r="F14697" s="4" t="s">
        <v>74054</v>
      </c>
      <c r="G14697" s="4" t="s">
        <v>74094</v>
      </c>
      <c r="H14697" s="3" t="s">
        <v>73938</v>
      </c>
      <c r="I14697" s="3" t="s">
        <v>74095</v>
      </c>
      <c r="J14697" s="3" t="s">
        <v>74133</v>
      </c>
      <c r="K14697" s="3" t="s">
        <v>74134</v>
      </c>
      <c r="L14697" s="3"/>
      <c r="M14697" s="4" t="s">
        <v>74135</v>
      </c>
      <c r="N14697" s="3" t="s">
        <v>37</v>
      </c>
      <c r="O14697" s="3" t="s">
        <v>70</v>
      </c>
      <c r="P14697" s="5">
        <v>25</v>
      </c>
      <c r="Q14697" s="5">
        <v>716</v>
      </c>
      <c r="R14697" s="5">
        <v>25</v>
      </c>
      <c r="S14697" s="5">
        <v>700</v>
      </c>
    </row>
    <row r="14698" spans="1:19" ht="28" x14ac:dyDescent="0.15">
      <c r="A14698" s="2">
        <f>HYPERLINK("https://open-school.uspishnemisto.com.ua/school/710040/", 710040)</f>
        <v>710040</v>
      </c>
      <c r="B14698" s="3" t="s">
        <v>74136</v>
      </c>
      <c r="C14698" s="3" t="s">
        <v>244</v>
      </c>
      <c r="D14698" s="3" t="s">
        <v>32</v>
      </c>
      <c r="E14698" s="4" t="s">
        <v>22</v>
      </c>
      <c r="F14698" s="4" t="s">
        <v>74137</v>
      </c>
      <c r="G14698" s="4" t="s">
        <v>74094</v>
      </c>
      <c r="H14698" s="3" t="s">
        <v>73938</v>
      </c>
      <c r="I14698" s="3" t="s">
        <v>74095</v>
      </c>
      <c r="J14698" s="3" t="s">
        <v>3532</v>
      </c>
      <c r="K14698" s="3" t="s">
        <v>74138</v>
      </c>
      <c r="L14698" s="3" t="s">
        <v>74139</v>
      </c>
      <c r="M14698" s="4" t="s">
        <v>74140</v>
      </c>
      <c r="N14698" s="3" t="s">
        <v>37</v>
      </c>
      <c r="O14698" s="3" t="s">
        <v>46</v>
      </c>
      <c r="P14698" s="5">
        <v>35</v>
      </c>
      <c r="Q14698" s="5">
        <v>1048</v>
      </c>
      <c r="R14698" s="5">
        <v>34</v>
      </c>
      <c r="S14698" s="5">
        <v>1004</v>
      </c>
    </row>
    <row r="14699" spans="1:19" ht="28" x14ac:dyDescent="0.15">
      <c r="A14699" s="2">
        <f>HYPERLINK("https://open-school.uspishnemisto.com.ua/school/710041/", 710041)</f>
        <v>710041</v>
      </c>
      <c r="B14699" s="3" t="s">
        <v>74141</v>
      </c>
      <c r="C14699" s="3" t="s">
        <v>244</v>
      </c>
      <c r="D14699" s="3" t="s">
        <v>32</v>
      </c>
      <c r="E14699" s="4" t="s">
        <v>22</v>
      </c>
      <c r="F14699" s="4" t="s">
        <v>74137</v>
      </c>
      <c r="G14699" s="4" t="s">
        <v>74094</v>
      </c>
      <c r="H14699" s="3" t="s">
        <v>73938</v>
      </c>
      <c r="I14699" s="3" t="s">
        <v>74095</v>
      </c>
      <c r="J14699" s="3" t="s">
        <v>74142</v>
      </c>
      <c r="K14699" s="3" t="s">
        <v>74143</v>
      </c>
      <c r="L14699" s="3"/>
      <c r="M14699" s="4" t="s">
        <v>74144</v>
      </c>
      <c r="N14699" s="3" t="s">
        <v>128</v>
      </c>
      <c r="O14699" s="3" t="s">
        <v>70</v>
      </c>
      <c r="P14699" s="5">
        <v>29</v>
      </c>
      <c r="Q14699" s="5">
        <v>757</v>
      </c>
      <c r="R14699" s="5">
        <v>28</v>
      </c>
      <c r="S14699" s="5">
        <v>728</v>
      </c>
    </row>
    <row r="14700" spans="1:19" ht="56" x14ac:dyDescent="0.15">
      <c r="A14700" s="2">
        <f>HYPERLINK("https://open-school.uspishnemisto.com.ua/school/710042/", 710042)</f>
        <v>710042</v>
      </c>
      <c r="B14700" s="3" t="s">
        <v>74145</v>
      </c>
      <c r="C14700" s="3" t="s">
        <v>54</v>
      </c>
      <c r="D14700" s="3" t="s">
        <v>175</v>
      </c>
      <c r="E14700" s="4" t="s">
        <v>22</v>
      </c>
      <c r="F14700" s="4" t="s">
        <v>74146</v>
      </c>
      <c r="G14700" s="4" t="s">
        <v>74094</v>
      </c>
      <c r="H14700" s="3" t="s">
        <v>73938</v>
      </c>
      <c r="I14700" s="3" t="s">
        <v>74095</v>
      </c>
      <c r="J14700" s="3" t="s">
        <v>19901</v>
      </c>
      <c r="K14700" s="3" t="s">
        <v>74147</v>
      </c>
      <c r="L14700" s="3" t="s">
        <v>74148</v>
      </c>
      <c r="M14700" s="4"/>
      <c r="N14700" s="3" t="s">
        <v>37</v>
      </c>
      <c r="O14700" s="3" t="s">
        <v>52</v>
      </c>
      <c r="P14700" s="5">
        <v>8</v>
      </c>
      <c r="Q14700" s="5">
        <v>89</v>
      </c>
      <c r="R14700" s="5">
        <v>9</v>
      </c>
      <c r="S14700" s="5">
        <v>113</v>
      </c>
    </row>
    <row r="14701" spans="1:19" ht="28" x14ac:dyDescent="0.15">
      <c r="A14701" s="2">
        <f>HYPERLINK("https://open-school.uspishnemisto.com.ua/school/710043/", 710043)</f>
        <v>710043</v>
      </c>
      <c r="B14701" s="3" t="s">
        <v>74149</v>
      </c>
      <c r="C14701" s="3" t="s">
        <v>2128</v>
      </c>
      <c r="D14701" s="3" t="s">
        <v>32</v>
      </c>
      <c r="E14701" s="4" t="s">
        <v>22</v>
      </c>
      <c r="F14701" s="4" t="s">
        <v>74101</v>
      </c>
      <c r="G14701" s="4" t="s">
        <v>74094</v>
      </c>
      <c r="H14701" s="3" t="s">
        <v>73938</v>
      </c>
      <c r="I14701" s="3" t="s">
        <v>74095</v>
      </c>
      <c r="J14701" s="3" t="s">
        <v>74150</v>
      </c>
      <c r="K14701" s="3" t="s">
        <v>74151</v>
      </c>
      <c r="L14701" s="3"/>
      <c r="M14701" s="4" t="s">
        <v>74152</v>
      </c>
      <c r="N14701" s="3" t="s">
        <v>37</v>
      </c>
      <c r="O14701" s="3" t="s">
        <v>46</v>
      </c>
      <c r="P14701" s="5">
        <v>33</v>
      </c>
      <c r="Q14701" s="5">
        <v>1023</v>
      </c>
      <c r="R14701" s="5">
        <v>34</v>
      </c>
      <c r="S14701" s="5">
        <v>1024</v>
      </c>
    </row>
    <row r="14702" spans="1:19" ht="28" x14ac:dyDescent="0.15">
      <c r="A14702" s="2">
        <f>HYPERLINK("https://open-school.uspishnemisto.com.ua/school/710044/", 710044)</f>
        <v>710044</v>
      </c>
      <c r="B14702" s="3" t="s">
        <v>74153</v>
      </c>
      <c r="C14702" s="3" t="s">
        <v>31</v>
      </c>
      <c r="D14702" s="3" t="s">
        <v>32</v>
      </c>
      <c r="E14702" s="4" t="s">
        <v>22</v>
      </c>
      <c r="F14702" s="4" t="s">
        <v>74154</v>
      </c>
      <c r="G14702" s="4" t="s">
        <v>74155</v>
      </c>
      <c r="H14702" s="3" t="s">
        <v>73938</v>
      </c>
      <c r="I14702" s="3" t="s">
        <v>67250</v>
      </c>
      <c r="J14702" s="3" t="s">
        <v>74156</v>
      </c>
      <c r="K14702" s="3" t="s">
        <v>74157</v>
      </c>
      <c r="L14702" s="3" t="s">
        <v>74158</v>
      </c>
      <c r="M14702" s="4"/>
      <c r="N14702" s="3" t="s">
        <v>37</v>
      </c>
      <c r="O14702" s="3" t="s">
        <v>52</v>
      </c>
      <c r="P14702" s="5">
        <v>12</v>
      </c>
      <c r="Q14702" s="5">
        <v>310</v>
      </c>
      <c r="R14702" s="5">
        <v>12</v>
      </c>
      <c r="S14702" s="5">
        <v>295</v>
      </c>
    </row>
    <row r="14703" spans="1:19" ht="28" x14ac:dyDescent="0.15">
      <c r="A14703" s="2">
        <f>HYPERLINK("https://open-school.uspishnemisto.com.ua/school/710045/", 710045)</f>
        <v>710045</v>
      </c>
      <c r="B14703" s="3" t="s">
        <v>74159</v>
      </c>
      <c r="C14703" s="3" t="s">
        <v>31</v>
      </c>
      <c r="D14703" s="3" t="s">
        <v>32</v>
      </c>
      <c r="E14703" s="4" t="s">
        <v>22</v>
      </c>
      <c r="F14703" s="4" t="s">
        <v>74154</v>
      </c>
      <c r="G14703" s="4" t="s">
        <v>74155</v>
      </c>
      <c r="H14703" s="3" t="s">
        <v>73938</v>
      </c>
      <c r="I14703" s="3" t="s">
        <v>67250</v>
      </c>
      <c r="J14703" s="3" t="s">
        <v>11008</v>
      </c>
      <c r="K14703" s="3" t="s">
        <v>74160</v>
      </c>
      <c r="L14703" s="3" t="s">
        <v>74161</v>
      </c>
      <c r="M14703" s="4"/>
      <c r="N14703" s="3" t="s">
        <v>37</v>
      </c>
      <c r="O14703" s="3" t="s">
        <v>46</v>
      </c>
      <c r="P14703" s="5">
        <v>22</v>
      </c>
      <c r="Q14703" s="5">
        <v>621</v>
      </c>
      <c r="R14703" s="5">
        <v>22</v>
      </c>
      <c r="S14703" s="5">
        <v>615</v>
      </c>
    </row>
    <row r="14704" spans="1:19" ht="28" x14ac:dyDescent="0.15">
      <c r="A14704" s="2">
        <f>HYPERLINK("https://open-school.uspishnemisto.com.ua/school/710046/", 710046)</f>
        <v>710046</v>
      </c>
      <c r="B14704" s="3" t="s">
        <v>74162</v>
      </c>
      <c r="C14704" s="3" t="s">
        <v>31</v>
      </c>
      <c r="D14704" s="3" t="s">
        <v>32</v>
      </c>
      <c r="E14704" s="4" t="s">
        <v>22</v>
      </c>
      <c r="F14704" s="4" t="s">
        <v>74163</v>
      </c>
      <c r="G14704" s="4" t="s">
        <v>74155</v>
      </c>
      <c r="H14704" s="3" t="s">
        <v>73938</v>
      </c>
      <c r="I14704" s="3" t="s">
        <v>67250</v>
      </c>
      <c r="J14704" s="3" t="s">
        <v>74164</v>
      </c>
      <c r="K14704" s="3" t="s">
        <v>74165</v>
      </c>
      <c r="L14704" s="3" t="s">
        <v>74166</v>
      </c>
      <c r="M14704" s="4"/>
      <c r="N14704" s="3" t="s">
        <v>37</v>
      </c>
      <c r="O14704" s="3" t="s">
        <v>46</v>
      </c>
      <c r="P14704" s="5">
        <v>16</v>
      </c>
      <c r="Q14704" s="5">
        <v>368</v>
      </c>
      <c r="R14704" s="5">
        <v>15</v>
      </c>
      <c r="S14704" s="5">
        <v>364</v>
      </c>
    </row>
    <row r="14705" spans="1:19" ht="28" x14ac:dyDescent="0.15">
      <c r="A14705" s="2">
        <f>HYPERLINK("https://open-school.uspishnemisto.com.ua/school/710047/", 710047)</f>
        <v>710047</v>
      </c>
      <c r="B14705" s="3" t="s">
        <v>74167</v>
      </c>
      <c r="C14705" s="3" t="s">
        <v>244</v>
      </c>
      <c r="D14705" s="3" t="s">
        <v>32</v>
      </c>
      <c r="E14705" s="4" t="s">
        <v>22</v>
      </c>
      <c r="F14705" s="4" t="s">
        <v>74163</v>
      </c>
      <c r="G14705" s="4" t="s">
        <v>74155</v>
      </c>
      <c r="H14705" s="3" t="s">
        <v>73938</v>
      </c>
      <c r="I14705" s="3" t="s">
        <v>67250</v>
      </c>
      <c r="J14705" s="3" t="s">
        <v>74168</v>
      </c>
      <c r="K14705" s="3" t="s">
        <v>74169</v>
      </c>
      <c r="L14705" s="3"/>
      <c r="M14705" s="4"/>
      <c r="N14705" s="3" t="s">
        <v>37</v>
      </c>
      <c r="O14705" s="3" t="s">
        <v>123</v>
      </c>
      <c r="P14705" s="5">
        <v>16</v>
      </c>
      <c r="Q14705" s="5">
        <v>346</v>
      </c>
      <c r="R14705" s="5">
        <v>15</v>
      </c>
      <c r="S14705" s="5">
        <v>344</v>
      </c>
    </row>
    <row r="14706" spans="1:19" ht="28" x14ac:dyDescent="0.15">
      <c r="A14706" s="2">
        <f>HYPERLINK("https://open-school.uspishnemisto.com.ua/school/710048/", 710048)</f>
        <v>710048</v>
      </c>
      <c r="B14706" s="3" t="s">
        <v>74170</v>
      </c>
      <c r="C14706" s="3" t="s">
        <v>40</v>
      </c>
      <c r="D14706" s="3" t="s">
        <v>32</v>
      </c>
      <c r="E14706" s="4" t="s">
        <v>22</v>
      </c>
      <c r="F14706" s="4" t="s">
        <v>74171</v>
      </c>
      <c r="G14706" s="4" t="s">
        <v>74172</v>
      </c>
      <c r="H14706" s="3" t="s">
        <v>73938</v>
      </c>
      <c r="I14706" s="3" t="s">
        <v>74173</v>
      </c>
      <c r="J14706" s="3" t="s">
        <v>74174</v>
      </c>
      <c r="K14706" s="3" t="s">
        <v>74175</v>
      </c>
      <c r="L14706" s="3"/>
      <c r="M14706" s="4"/>
      <c r="N14706" s="3" t="s">
        <v>37</v>
      </c>
      <c r="O14706" s="3" t="s">
        <v>46</v>
      </c>
      <c r="P14706" s="5">
        <v>15</v>
      </c>
      <c r="Q14706" s="5">
        <v>372</v>
      </c>
      <c r="R14706" s="5">
        <v>15</v>
      </c>
      <c r="S14706" s="5">
        <v>376</v>
      </c>
    </row>
    <row r="14707" spans="1:19" ht="28" x14ac:dyDescent="0.15">
      <c r="A14707" s="2">
        <f>HYPERLINK("https://open-school.uspishnemisto.com.ua/school/710049/", 710049)</f>
        <v>710049</v>
      </c>
      <c r="B14707" s="3" t="s">
        <v>74176</v>
      </c>
      <c r="C14707" s="3" t="s">
        <v>31</v>
      </c>
      <c r="D14707" s="3" t="s">
        <v>32</v>
      </c>
      <c r="E14707" s="4" t="s">
        <v>22</v>
      </c>
      <c r="F14707" s="4" t="s">
        <v>74171</v>
      </c>
      <c r="G14707" s="4" t="s">
        <v>74172</v>
      </c>
      <c r="H14707" s="3" t="s">
        <v>73938</v>
      </c>
      <c r="I14707" s="3" t="s">
        <v>74173</v>
      </c>
      <c r="J14707" s="3" t="s">
        <v>74177</v>
      </c>
      <c r="K14707" s="3" t="s">
        <v>74178</v>
      </c>
      <c r="L14707" s="3" t="s">
        <v>74179</v>
      </c>
      <c r="M14707" s="4"/>
      <c r="N14707" s="3" t="s">
        <v>128</v>
      </c>
      <c r="O14707" s="3" t="s">
        <v>70</v>
      </c>
      <c r="P14707" s="5">
        <v>29</v>
      </c>
      <c r="Q14707" s="5">
        <v>723</v>
      </c>
      <c r="R14707" s="5">
        <v>28</v>
      </c>
      <c r="S14707" s="5">
        <v>719</v>
      </c>
    </row>
    <row r="14708" spans="1:19" ht="28" x14ac:dyDescent="0.15">
      <c r="A14708" s="2">
        <f>HYPERLINK("https://open-school.uspishnemisto.com.ua/school/710050/", 710050)</f>
        <v>710050</v>
      </c>
      <c r="B14708" s="3" t="s">
        <v>74180</v>
      </c>
      <c r="C14708" s="3" t="s">
        <v>31</v>
      </c>
      <c r="D14708" s="3" t="s">
        <v>32</v>
      </c>
      <c r="E14708" s="4" t="s">
        <v>22</v>
      </c>
      <c r="F14708" s="4" t="s">
        <v>74181</v>
      </c>
      <c r="G14708" s="4" t="s">
        <v>74172</v>
      </c>
      <c r="H14708" s="3" t="s">
        <v>73938</v>
      </c>
      <c r="I14708" s="3" t="s">
        <v>74173</v>
      </c>
      <c r="J14708" s="3" t="s">
        <v>74182</v>
      </c>
      <c r="K14708" s="3" t="s">
        <v>74183</v>
      </c>
      <c r="L14708" s="3" t="s">
        <v>74184</v>
      </c>
      <c r="M14708" s="4"/>
      <c r="N14708" s="3" t="s">
        <v>37</v>
      </c>
      <c r="O14708" s="3" t="s">
        <v>46</v>
      </c>
      <c r="P14708" s="5">
        <v>18</v>
      </c>
      <c r="Q14708" s="5">
        <v>468</v>
      </c>
      <c r="R14708" s="5">
        <v>18</v>
      </c>
      <c r="S14708" s="5">
        <v>457</v>
      </c>
    </row>
    <row r="14709" spans="1:19" ht="28" x14ac:dyDescent="0.15">
      <c r="A14709" s="2">
        <f>HYPERLINK("https://open-school.uspishnemisto.com.ua/school/710051/", 710051)</f>
        <v>710051</v>
      </c>
      <c r="B14709" s="3" t="s">
        <v>74185</v>
      </c>
      <c r="C14709" s="3" t="s">
        <v>31</v>
      </c>
      <c r="D14709" s="3" t="s">
        <v>32</v>
      </c>
      <c r="E14709" s="4" t="s">
        <v>22</v>
      </c>
      <c r="F14709" s="4" t="s">
        <v>74171</v>
      </c>
      <c r="G14709" s="4" t="s">
        <v>74172</v>
      </c>
      <c r="H14709" s="3" t="s">
        <v>73938</v>
      </c>
      <c r="I14709" s="3" t="s">
        <v>74173</v>
      </c>
      <c r="J14709" s="3" t="s">
        <v>74186</v>
      </c>
      <c r="K14709" s="3" t="s">
        <v>74187</v>
      </c>
      <c r="L14709" s="3" t="s">
        <v>74188</v>
      </c>
      <c r="M14709" s="4"/>
      <c r="N14709" s="3" t="s">
        <v>37</v>
      </c>
      <c r="O14709" s="3" t="s">
        <v>46</v>
      </c>
      <c r="P14709" s="5">
        <v>20</v>
      </c>
      <c r="Q14709" s="5">
        <v>511</v>
      </c>
      <c r="R14709" s="5">
        <v>19</v>
      </c>
      <c r="S14709" s="5">
        <v>485</v>
      </c>
    </row>
    <row r="14710" spans="1:19" ht="42" x14ac:dyDescent="0.15">
      <c r="A14710" s="2">
        <f>HYPERLINK("https://open-school.uspishnemisto.com.ua/school/710052/", 710052)</f>
        <v>710052</v>
      </c>
      <c r="B14710" s="3" t="s">
        <v>74189</v>
      </c>
      <c r="C14710" s="3" t="s">
        <v>244</v>
      </c>
      <c r="D14710" s="3" t="s">
        <v>32</v>
      </c>
      <c r="E14710" s="4" t="s">
        <v>22</v>
      </c>
      <c r="F14710" s="4" t="s">
        <v>74171</v>
      </c>
      <c r="G14710" s="4" t="s">
        <v>74172</v>
      </c>
      <c r="H14710" s="3" t="s">
        <v>73938</v>
      </c>
      <c r="I14710" s="3" t="s">
        <v>74173</v>
      </c>
      <c r="J14710" s="3" t="s">
        <v>72425</v>
      </c>
      <c r="K14710" s="3" t="s">
        <v>74190</v>
      </c>
      <c r="L14710" s="3"/>
      <c r="M14710" s="4"/>
      <c r="N14710" s="3" t="s">
        <v>37</v>
      </c>
      <c r="O14710" s="3" t="s">
        <v>123</v>
      </c>
      <c r="P14710" s="5">
        <v>14</v>
      </c>
      <c r="Q14710" s="5">
        <v>303</v>
      </c>
      <c r="R14710" s="5">
        <v>13</v>
      </c>
      <c r="S14710" s="5">
        <v>300</v>
      </c>
    </row>
    <row r="14711" spans="1:19" ht="42" x14ac:dyDescent="0.15">
      <c r="A14711" s="2">
        <f>HYPERLINK("https://open-school.uspishnemisto.com.ua/school/710053/", 710053)</f>
        <v>710053</v>
      </c>
      <c r="B14711" s="3" t="s">
        <v>74191</v>
      </c>
      <c r="C14711" s="3" t="s">
        <v>293</v>
      </c>
      <c r="D14711" s="3" t="s">
        <v>32</v>
      </c>
      <c r="E14711" s="4" t="s">
        <v>22</v>
      </c>
      <c r="F14711" s="4" t="s">
        <v>74171</v>
      </c>
      <c r="G14711" s="4" t="s">
        <v>74172</v>
      </c>
      <c r="H14711" s="3" t="s">
        <v>73938</v>
      </c>
      <c r="I14711" s="3" t="s">
        <v>74173</v>
      </c>
      <c r="J14711" s="3" t="s">
        <v>74192</v>
      </c>
      <c r="K14711" s="3" t="s">
        <v>74193</v>
      </c>
      <c r="L14711" s="3"/>
      <c r="M14711" s="4" t="s">
        <v>74194</v>
      </c>
      <c r="N14711" s="3" t="s">
        <v>37</v>
      </c>
      <c r="O14711" s="3" t="s">
        <v>70</v>
      </c>
      <c r="P14711" s="5">
        <v>14</v>
      </c>
      <c r="Q14711" s="5">
        <v>275</v>
      </c>
      <c r="R14711" s="5">
        <v>13</v>
      </c>
      <c r="S14711" s="5">
        <v>256</v>
      </c>
    </row>
    <row r="14712" spans="1:19" ht="28" x14ac:dyDescent="0.15">
      <c r="A14712" s="2">
        <f>HYPERLINK("https://open-school.uspishnemisto.com.ua/school/710054/", 710054)</f>
        <v>710054</v>
      </c>
      <c r="B14712" s="3" t="s">
        <v>74195</v>
      </c>
      <c r="C14712" s="3" t="s">
        <v>40</v>
      </c>
      <c r="D14712" s="3" t="s">
        <v>32</v>
      </c>
      <c r="E14712" s="4" t="s">
        <v>22</v>
      </c>
      <c r="F14712" s="4" t="s">
        <v>74196</v>
      </c>
      <c r="G14712" s="4" t="s">
        <v>74197</v>
      </c>
      <c r="H14712" s="3" t="s">
        <v>73938</v>
      </c>
      <c r="I14712" s="3" t="s">
        <v>74198</v>
      </c>
      <c r="J14712" s="3" t="s">
        <v>74199</v>
      </c>
      <c r="K14712" s="3" t="s">
        <v>74200</v>
      </c>
      <c r="L14712" s="3" t="s">
        <v>74201</v>
      </c>
      <c r="M14712" s="4"/>
      <c r="N14712" s="3" t="s">
        <v>37</v>
      </c>
      <c r="O14712" s="3" t="s">
        <v>197</v>
      </c>
      <c r="P14712" s="5">
        <v>24</v>
      </c>
      <c r="Q14712" s="5">
        <v>641</v>
      </c>
      <c r="R14712" s="5">
        <v>24</v>
      </c>
      <c r="S14712" s="5">
        <v>608</v>
      </c>
    </row>
    <row r="14713" spans="1:19" ht="28" x14ac:dyDescent="0.15">
      <c r="A14713" s="2">
        <f>HYPERLINK("https://open-school.uspishnemisto.com.ua/school/710055/", 710055)</f>
        <v>710055</v>
      </c>
      <c r="B14713" s="3" t="s">
        <v>74202</v>
      </c>
      <c r="C14713" s="3" t="s">
        <v>2634</v>
      </c>
      <c r="D14713" s="3" t="s">
        <v>32</v>
      </c>
      <c r="E14713" s="4" t="s">
        <v>22</v>
      </c>
      <c r="F14713" s="4" t="s">
        <v>74196</v>
      </c>
      <c r="G14713" s="4" t="s">
        <v>74197</v>
      </c>
      <c r="H14713" s="3" t="s">
        <v>73938</v>
      </c>
      <c r="I14713" s="3" t="s">
        <v>74198</v>
      </c>
      <c r="J14713" s="3" t="s">
        <v>41797</v>
      </c>
      <c r="K14713" s="3"/>
      <c r="L14713" s="3" t="s">
        <v>74203</v>
      </c>
      <c r="M14713" s="4" t="s">
        <v>74204</v>
      </c>
      <c r="N14713" s="3" t="s">
        <v>37</v>
      </c>
      <c r="O14713" s="3" t="s">
        <v>70</v>
      </c>
      <c r="P14713" s="5">
        <v>14</v>
      </c>
      <c r="Q14713" s="5">
        <v>266</v>
      </c>
      <c r="R14713" s="5">
        <v>14</v>
      </c>
      <c r="S14713" s="5">
        <v>257</v>
      </c>
    </row>
    <row r="14714" spans="1:19" ht="28" x14ac:dyDescent="0.15">
      <c r="A14714" s="2">
        <f>HYPERLINK("https://open-school.uspishnemisto.com.ua/school/710056/", 710056)</f>
        <v>710056</v>
      </c>
      <c r="B14714" s="3" t="s">
        <v>74205</v>
      </c>
      <c r="C14714" s="3" t="s">
        <v>31</v>
      </c>
      <c r="D14714" s="3" t="s">
        <v>32</v>
      </c>
      <c r="E14714" s="4" t="s">
        <v>22</v>
      </c>
      <c r="F14714" s="4" t="s">
        <v>74196</v>
      </c>
      <c r="G14714" s="4" t="s">
        <v>74197</v>
      </c>
      <c r="H14714" s="3" t="s">
        <v>73938</v>
      </c>
      <c r="I14714" s="3" t="s">
        <v>74198</v>
      </c>
      <c r="J14714" s="3" t="s">
        <v>74206</v>
      </c>
      <c r="K14714" s="3" t="s">
        <v>74207</v>
      </c>
      <c r="L14714" s="3" t="s">
        <v>74208</v>
      </c>
      <c r="M14714" s="4"/>
      <c r="N14714" s="3" t="s">
        <v>37</v>
      </c>
      <c r="O14714" s="3" t="s">
        <v>70</v>
      </c>
      <c r="P14714" s="5">
        <v>22</v>
      </c>
      <c r="Q14714" s="5">
        <v>567</v>
      </c>
      <c r="R14714" s="5">
        <v>21</v>
      </c>
      <c r="S14714" s="5">
        <v>552</v>
      </c>
    </row>
    <row r="14715" spans="1:19" ht="28" x14ac:dyDescent="0.15">
      <c r="A14715" s="2">
        <f>HYPERLINK("https://open-school.uspishnemisto.com.ua/school/710057/", 710057)</f>
        <v>710057</v>
      </c>
      <c r="B14715" s="3" t="s">
        <v>74209</v>
      </c>
      <c r="C14715" s="3" t="s">
        <v>31</v>
      </c>
      <c r="D14715" s="3" t="s">
        <v>32</v>
      </c>
      <c r="E14715" s="4" t="s">
        <v>22</v>
      </c>
      <c r="F14715" s="4" t="s">
        <v>74196</v>
      </c>
      <c r="G14715" s="4" t="s">
        <v>74197</v>
      </c>
      <c r="H14715" s="3" t="s">
        <v>73938</v>
      </c>
      <c r="I14715" s="3" t="s">
        <v>74198</v>
      </c>
      <c r="J14715" s="3" t="s">
        <v>74210</v>
      </c>
      <c r="K14715" s="3" t="s">
        <v>74211</v>
      </c>
      <c r="L14715" s="3" t="s">
        <v>74212</v>
      </c>
      <c r="M14715" s="4"/>
      <c r="N14715" s="3" t="s">
        <v>37</v>
      </c>
      <c r="O14715" s="3" t="s">
        <v>52</v>
      </c>
      <c r="P14715" s="5">
        <v>11</v>
      </c>
      <c r="Q14715" s="5">
        <v>230</v>
      </c>
      <c r="R14715" s="5">
        <v>11</v>
      </c>
      <c r="S14715" s="5">
        <v>228</v>
      </c>
    </row>
    <row r="14716" spans="1:19" ht="28" x14ac:dyDescent="0.15">
      <c r="A14716" s="2">
        <f>HYPERLINK("https://open-school.uspishnemisto.com.ua/school/710058/", 710058)</f>
        <v>710058</v>
      </c>
      <c r="B14716" s="3" t="s">
        <v>74213</v>
      </c>
      <c r="C14716" s="3" t="s">
        <v>31</v>
      </c>
      <c r="D14716" s="3" t="s">
        <v>32</v>
      </c>
      <c r="E14716" s="4" t="s">
        <v>22</v>
      </c>
      <c r="F14716" s="4" t="s">
        <v>74196</v>
      </c>
      <c r="G14716" s="4" t="s">
        <v>74197</v>
      </c>
      <c r="H14716" s="3" t="s">
        <v>73938</v>
      </c>
      <c r="I14716" s="3" t="s">
        <v>74198</v>
      </c>
      <c r="J14716" s="3" t="s">
        <v>74214</v>
      </c>
      <c r="K14716" s="3" t="s">
        <v>74215</v>
      </c>
      <c r="L14716" s="3" t="s">
        <v>74216</v>
      </c>
      <c r="M14716" s="4"/>
      <c r="N14716" s="3" t="s">
        <v>37</v>
      </c>
      <c r="O14716" s="3" t="s">
        <v>38</v>
      </c>
      <c r="P14716" s="5">
        <v>18</v>
      </c>
      <c r="Q14716" s="5">
        <v>405</v>
      </c>
      <c r="R14716" s="5">
        <v>18</v>
      </c>
      <c r="S14716" s="5">
        <v>409</v>
      </c>
    </row>
    <row r="14717" spans="1:19" ht="42" x14ac:dyDescent="0.15">
      <c r="A14717" s="2">
        <f>HYPERLINK("https://open-school.uspishnemisto.com.ua/school/710059/", 710059)</f>
        <v>710059</v>
      </c>
      <c r="B14717" s="3" t="s">
        <v>74217</v>
      </c>
      <c r="C14717" s="3" t="s">
        <v>244</v>
      </c>
      <c r="D14717" s="3" t="s">
        <v>32</v>
      </c>
      <c r="E14717" s="4" t="s">
        <v>22</v>
      </c>
      <c r="F14717" s="4" t="s">
        <v>74196</v>
      </c>
      <c r="G14717" s="4" t="s">
        <v>74197</v>
      </c>
      <c r="H14717" s="3" t="s">
        <v>73938</v>
      </c>
      <c r="I14717" s="3" t="s">
        <v>74198</v>
      </c>
      <c r="J14717" s="3" t="s">
        <v>74218</v>
      </c>
      <c r="K14717" s="3" t="s">
        <v>74219</v>
      </c>
      <c r="L14717" s="3"/>
      <c r="M14717" s="4"/>
      <c r="N14717" s="3" t="s">
        <v>37</v>
      </c>
      <c r="O14717" s="3" t="s">
        <v>70</v>
      </c>
      <c r="P14717" s="5">
        <v>20</v>
      </c>
      <c r="Q14717" s="5">
        <v>453</v>
      </c>
      <c r="R14717" s="5">
        <v>20</v>
      </c>
      <c r="S14717" s="5">
        <v>449</v>
      </c>
    </row>
    <row r="14718" spans="1:19" ht="28" x14ac:dyDescent="0.15">
      <c r="A14718" s="2">
        <f>HYPERLINK("https://open-school.uspishnemisto.com.ua/school/710060/", 710060)</f>
        <v>710060</v>
      </c>
      <c r="B14718" s="3" t="s">
        <v>74220</v>
      </c>
      <c r="C14718" s="3" t="s">
        <v>244</v>
      </c>
      <c r="D14718" s="3" t="s">
        <v>32</v>
      </c>
      <c r="E14718" s="4" t="s">
        <v>22</v>
      </c>
      <c r="F14718" s="4" t="s">
        <v>74196</v>
      </c>
      <c r="G14718" s="4" t="s">
        <v>74197</v>
      </c>
      <c r="H14718" s="3" t="s">
        <v>73938</v>
      </c>
      <c r="I14718" s="3" t="s">
        <v>74198</v>
      </c>
      <c r="J14718" s="3" t="s">
        <v>74221</v>
      </c>
      <c r="K14718" s="3" t="s">
        <v>74222</v>
      </c>
      <c r="L14718" s="3"/>
      <c r="M14718" s="4"/>
      <c r="N14718" s="3" t="s">
        <v>37</v>
      </c>
      <c r="O14718" s="3" t="s">
        <v>70</v>
      </c>
      <c r="P14718" s="5">
        <v>19</v>
      </c>
      <c r="Q14718" s="5">
        <v>425</v>
      </c>
      <c r="R14718" s="5">
        <v>17</v>
      </c>
      <c r="S14718" s="5">
        <v>415</v>
      </c>
    </row>
    <row r="14719" spans="1:19" ht="28" x14ac:dyDescent="0.15">
      <c r="A14719" s="2">
        <f>HYPERLINK("https://open-school.uspishnemisto.com.ua/school/710061/", 710061)</f>
        <v>710061</v>
      </c>
      <c r="B14719" s="3" t="s">
        <v>74223</v>
      </c>
      <c r="C14719" s="3" t="s">
        <v>181</v>
      </c>
      <c r="D14719" s="3" t="s">
        <v>175</v>
      </c>
      <c r="E14719" s="4" t="s">
        <v>22</v>
      </c>
      <c r="F14719" s="4" t="s">
        <v>74196</v>
      </c>
      <c r="G14719" s="4" t="s">
        <v>74197</v>
      </c>
      <c r="H14719" s="3" t="s">
        <v>73938</v>
      </c>
      <c r="I14719" s="3" t="s">
        <v>74198</v>
      </c>
      <c r="J14719" s="3" t="s">
        <v>74224</v>
      </c>
      <c r="K14719" s="3" t="s">
        <v>74225</v>
      </c>
      <c r="L14719" s="3" t="s">
        <v>74226</v>
      </c>
      <c r="M14719" s="4" t="s">
        <v>74227</v>
      </c>
      <c r="N14719" s="3" t="s">
        <v>37</v>
      </c>
      <c r="O14719" s="3"/>
      <c r="P14719" s="5">
        <v>9</v>
      </c>
      <c r="Q14719" s="5">
        <v>85</v>
      </c>
      <c r="R14719" s="5">
        <v>9</v>
      </c>
      <c r="S14719" s="5">
        <v>82</v>
      </c>
    </row>
    <row r="14720" spans="1:19" ht="42" x14ac:dyDescent="0.15">
      <c r="A14720" s="2">
        <f>HYPERLINK("https://open-school.uspishnemisto.com.ua/school/710062/", 710062)</f>
        <v>710062</v>
      </c>
      <c r="B14720" s="3" t="s">
        <v>74228</v>
      </c>
      <c r="C14720" s="3" t="s">
        <v>7651</v>
      </c>
      <c r="D14720" s="3" t="s">
        <v>32</v>
      </c>
      <c r="E14720" s="4" t="s">
        <v>22</v>
      </c>
      <c r="F14720" s="4" t="s">
        <v>74196</v>
      </c>
      <c r="G14720" s="4" t="s">
        <v>74197</v>
      </c>
      <c r="H14720" s="3" t="s">
        <v>73938</v>
      </c>
      <c r="I14720" s="3" t="s">
        <v>74198</v>
      </c>
      <c r="J14720" s="3" t="s">
        <v>74229</v>
      </c>
      <c r="K14720" s="3" t="s">
        <v>74230</v>
      </c>
      <c r="L14720" s="3"/>
      <c r="M14720" s="4"/>
      <c r="N14720" s="3"/>
      <c r="O14720" s="3"/>
      <c r="P14720" s="5">
        <v>0</v>
      </c>
      <c r="Q14720" s="5">
        <v>0</v>
      </c>
      <c r="R14720" s="5"/>
      <c r="S14720" s="5"/>
    </row>
    <row r="14721" spans="1:19" ht="28" x14ac:dyDescent="0.15">
      <c r="A14721" s="2">
        <f>HYPERLINK("https://open-school.uspishnemisto.com.ua/school/710063/", 710063)</f>
        <v>710063</v>
      </c>
      <c r="B14721" s="3" t="s">
        <v>74231</v>
      </c>
      <c r="C14721" s="3" t="s">
        <v>181</v>
      </c>
      <c r="D14721" s="3"/>
      <c r="E14721" s="4" t="s">
        <v>22</v>
      </c>
      <c r="F14721" s="4" t="s">
        <v>74232</v>
      </c>
      <c r="G14721" s="4" t="s">
        <v>74233</v>
      </c>
      <c r="H14721" s="3" t="s">
        <v>73938</v>
      </c>
      <c r="I14721" s="3" t="s">
        <v>74234</v>
      </c>
      <c r="J14721" s="3" t="s">
        <v>74235</v>
      </c>
      <c r="K14721" s="3" t="s">
        <v>74236</v>
      </c>
      <c r="L14721" s="3"/>
      <c r="M14721" s="4" t="s">
        <v>74237</v>
      </c>
      <c r="N14721" s="3" t="s">
        <v>37</v>
      </c>
      <c r="O14721" s="3"/>
      <c r="P14721" s="5">
        <v>10</v>
      </c>
      <c r="Q14721" s="5">
        <v>116</v>
      </c>
      <c r="R14721" s="5">
        <v>10</v>
      </c>
      <c r="S14721" s="5">
        <v>108</v>
      </c>
    </row>
    <row r="14722" spans="1:19" ht="42" x14ac:dyDescent="0.15">
      <c r="A14722" s="2">
        <f>HYPERLINK("https://open-school.uspishnemisto.com.ua/school/710064/", 710064)</f>
        <v>710064</v>
      </c>
      <c r="B14722" s="3" t="s">
        <v>74238</v>
      </c>
      <c r="C14722" s="3" t="s">
        <v>31</v>
      </c>
      <c r="D14722" s="3" t="s">
        <v>32</v>
      </c>
      <c r="E14722" s="4" t="s">
        <v>22</v>
      </c>
      <c r="F14722" s="4" t="s">
        <v>74232</v>
      </c>
      <c r="G14722" s="4" t="s">
        <v>74233</v>
      </c>
      <c r="H14722" s="3" t="s">
        <v>73938</v>
      </c>
      <c r="I14722" s="3" t="s">
        <v>74234</v>
      </c>
      <c r="J14722" s="3" t="s">
        <v>2453</v>
      </c>
      <c r="K14722" s="3" t="s">
        <v>74239</v>
      </c>
      <c r="L14722" s="3" t="s">
        <v>74240</v>
      </c>
      <c r="M14722" s="4" t="s">
        <v>74241</v>
      </c>
      <c r="N14722" s="3" t="s">
        <v>37</v>
      </c>
      <c r="O14722" s="3" t="s">
        <v>2740</v>
      </c>
      <c r="P14722" s="5">
        <v>22</v>
      </c>
      <c r="Q14722" s="5">
        <v>716</v>
      </c>
      <c r="R14722" s="5">
        <v>20</v>
      </c>
      <c r="S14722" s="5">
        <v>664</v>
      </c>
    </row>
    <row r="14723" spans="1:19" ht="28" x14ac:dyDescent="0.15">
      <c r="A14723" s="2">
        <f>HYPERLINK("https://open-school.uspishnemisto.com.ua/school/710065/", 710065)</f>
        <v>710065</v>
      </c>
      <c r="B14723" s="3" t="s">
        <v>74242</v>
      </c>
      <c r="C14723" s="3" t="s">
        <v>54</v>
      </c>
      <c r="D14723" s="3" t="s">
        <v>32</v>
      </c>
      <c r="E14723" s="4" t="s">
        <v>22</v>
      </c>
      <c r="F14723" s="4" t="s">
        <v>74243</v>
      </c>
      <c r="G14723" s="4" t="s">
        <v>74233</v>
      </c>
      <c r="H14723" s="3" t="s">
        <v>73938</v>
      </c>
      <c r="I14723" s="3" t="s">
        <v>74234</v>
      </c>
      <c r="J14723" s="3" t="s">
        <v>74244</v>
      </c>
      <c r="K14723" s="3" t="s">
        <v>74245</v>
      </c>
      <c r="L14723" s="3" t="s">
        <v>74246</v>
      </c>
      <c r="M14723" s="4" t="s">
        <v>74247</v>
      </c>
      <c r="N14723" s="3" t="s">
        <v>37</v>
      </c>
      <c r="O14723" s="3" t="s">
        <v>46</v>
      </c>
      <c r="P14723" s="5">
        <v>10</v>
      </c>
      <c r="Q14723" s="5">
        <v>262</v>
      </c>
      <c r="R14723" s="5">
        <v>10</v>
      </c>
      <c r="S14723" s="5">
        <v>252</v>
      </c>
    </row>
    <row r="14724" spans="1:19" ht="28" x14ac:dyDescent="0.15">
      <c r="A14724" s="2">
        <f>HYPERLINK("https://open-school.uspishnemisto.com.ua/school/710066/", 710066)</f>
        <v>710066</v>
      </c>
      <c r="B14724" s="3" t="s">
        <v>74248</v>
      </c>
      <c r="C14724" s="3" t="s">
        <v>31</v>
      </c>
      <c r="D14724" s="3" t="s">
        <v>32</v>
      </c>
      <c r="E14724" s="4" t="s">
        <v>22</v>
      </c>
      <c r="F14724" s="4" t="s">
        <v>74249</v>
      </c>
      <c r="G14724" s="4" t="s">
        <v>74233</v>
      </c>
      <c r="H14724" s="3" t="s">
        <v>73938</v>
      </c>
      <c r="I14724" s="3" t="s">
        <v>74234</v>
      </c>
      <c r="J14724" s="3" t="s">
        <v>74250</v>
      </c>
      <c r="K14724" s="3" t="s">
        <v>74251</v>
      </c>
      <c r="L14724" s="3" t="s">
        <v>74252</v>
      </c>
      <c r="M14724" s="4" t="s">
        <v>74253</v>
      </c>
      <c r="N14724" s="3" t="s">
        <v>37</v>
      </c>
      <c r="O14724" s="3" t="s">
        <v>46</v>
      </c>
      <c r="P14724" s="5">
        <v>10</v>
      </c>
      <c r="Q14724" s="5">
        <v>229</v>
      </c>
      <c r="R14724" s="5">
        <v>9</v>
      </c>
      <c r="S14724" s="5">
        <v>208</v>
      </c>
    </row>
    <row r="14725" spans="1:19" ht="28" x14ac:dyDescent="0.15">
      <c r="A14725" s="2">
        <f>HYPERLINK("https://open-school.uspishnemisto.com.ua/school/710067/", 710067)</f>
        <v>710067</v>
      </c>
      <c r="B14725" s="3" t="s">
        <v>74254</v>
      </c>
      <c r="C14725" s="3" t="s">
        <v>31</v>
      </c>
      <c r="D14725" s="3" t="s">
        <v>32</v>
      </c>
      <c r="E14725" s="4" t="s">
        <v>22</v>
      </c>
      <c r="F14725" s="4" t="s">
        <v>74232</v>
      </c>
      <c r="G14725" s="4" t="s">
        <v>74233</v>
      </c>
      <c r="H14725" s="3" t="s">
        <v>73938</v>
      </c>
      <c r="I14725" s="3" t="s">
        <v>74234</v>
      </c>
      <c r="J14725" s="3" t="s">
        <v>74255</v>
      </c>
      <c r="K14725" s="3" t="s">
        <v>74256</v>
      </c>
      <c r="L14725" s="3" t="s">
        <v>74257</v>
      </c>
      <c r="M14725" s="4" t="s">
        <v>74258</v>
      </c>
      <c r="N14725" s="3" t="s">
        <v>37</v>
      </c>
      <c r="O14725" s="3" t="s">
        <v>10453</v>
      </c>
      <c r="P14725" s="5">
        <v>31</v>
      </c>
      <c r="Q14725" s="5">
        <v>890</v>
      </c>
      <c r="R14725" s="5">
        <v>32</v>
      </c>
      <c r="S14725" s="5">
        <v>887</v>
      </c>
    </row>
    <row r="14726" spans="1:19" ht="28" x14ac:dyDescent="0.15">
      <c r="A14726" s="2">
        <f>HYPERLINK("https://open-school.uspishnemisto.com.ua/school/710068/", 710068)</f>
        <v>710068</v>
      </c>
      <c r="B14726" s="3" t="s">
        <v>74259</v>
      </c>
      <c r="C14726" s="3" t="s">
        <v>31</v>
      </c>
      <c r="D14726" s="3" t="s">
        <v>32</v>
      </c>
      <c r="E14726" s="4" t="s">
        <v>22</v>
      </c>
      <c r="F14726" s="4" t="s">
        <v>74260</v>
      </c>
      <c r="G14726" s="4" t="s">
        <v>74233</v>
      </c>
      <c r="H14726" s="3" t="s">
        <v>73938</v>
      </c>
      <c r="I14726" s="3" t="s">
        <v>74234</v>
      </c>
      <c r="J14726" s="3" t="s">
        <v>74261</v>
      </c>
      <c r="K14726" s="3" t="s">
        <v>74262</v>
      </c>
      <c r="L14726" s="3"/>
      <c r="M14726" s="4" t="s">
        <v>74263</v>
      </c>
      <c r="N14726" s="3" t="s">
        <v>37</v>
      </c>
      <c r="O14726" s="3" t="s">
        <v>46</v>
      </c>
      <c r="P14726" s="5">
        <v>9</v>
      </c>
      <c r="Q14726" s="5">
        <v>148</v>
      </c>
      <c r="R14726" s="5">
        <v>9</v>
      </c>
      <c r="S14726" s="5">
        <v>155</v>
      </c>
    </row>
    <row r="14727" spans="1:19" ht="28" x14ac:dyDescent="0.15">
      <c r="A14727" s="2">
        <f>HYPERLINK("https://open-school.uspishnemisto.com.ua/school/710069/", 710069)</f>
        <v>710069</v>
      </c>
      <c r="B14727" s="3" t="s">
        <v>74264</v>
      </c>
      <c r="C14727" s="3" t="s">
        <v>31</v>
      </c>
      <c r="D14727" s="3" t="s">
        <v>32</v>
      </c>
      <c r="E14727" s="4" t="s">
        <v>22</v>
      </c>
      <c r="F14727" s="4" t="s">
        <v>74265</v>
      </c>
      <c r="G14727" s="4" t="s">
        <v>74233</v>
      </c>
      <c r="H14727" s="3" t="s">
        <v>73938</v>
      </c>
      <c r="I14727" s="3" t="s">
        <v>74234</v>
      </c>
      <c r="J14727" s="3" t="s">
        <v>40610</v>
      </c>
      <c r="K14727" s="3" t="s">
        <v>74266</v>
      </c>
      <c r="L14727" s="3" t="s">
        <v>74267</v>
      </c>
      <c r="M14727" s="4" t="s">
        <v>74268</v>
      </c>
      <c r="N14727" s="3" t="s">
        <v>37</v>
      </c>
      <c r="O14727" s="3" t="s">
        <v>70</v>
      </c>
      <c r="P14727" s="5">
        <v>26</v>
      </c>
      <c r="Q14727" s="5">
        <v>737</v>
      </c>
      <c r="R14727" s="5">
        <v>26</v>
      </c>
      <c r="S14727" s="5">
        <v>713</v>
      </c>
    </row>
    <row r="14728" spans="1:19" ht="28" x14ac:dyDescent="0.15">
      <c r="A14728" s="2">
        <f>HYPERLINK("https://open-school.uspishnemisto.com.ua/school/710070/", 710070)</f>
        <v>710070</v>
      </c>
      <c r="B14728" s="3" t="s">
        <v>74269</v>
      </c>
      <c r="C14728" s="3" t="s">
        <v>31</v>
      </c>
      <c r="D14728" s="3" t="s">
        <v>32</v>
      </c>
      <c r="E14728" s="4" t="s">
        <v>22</v>
      </c>
      <c r="F14728" s="4" t="s">
        <v>74270</v>
      </c>
      <c r="G14728" s="4" t="s">
        <v>74233</v>
      </c>
      <c r="H14728" s="3" t="s">
        <v>73938</v>
      </c>
      <c r="I14728" s="3" t="s">
        <v>74234</v>
      </c>
      <c r="J14728" s="3" t="s">
        <v>74271</v>
      </c>
      <c r="K14728" s="3" t="s">
        <v>74272</v>
      </c>
      <c r="L14728" s="3"/>
      <c r="M14728" s="4" t="s">
        <v>74273</v>
      </c>
      <c r="N14728" s="3" t="s">
        <v>37</v>
      </c>
      <c r="O14728" s="3" t="s">
        <v>38</v>
      </c>
      <c r="P14728" s="5">
        <v>24</v>
      </c>
      <c r="Q14728" s="5">
        <v>607</v>
      </c>
      <c r="R14728" s="5">
        <v>20</v>
      </c>
      <c r="S14728" s="5">
        <v>513</v>
      </c>
    </row>
    <row r="14729" spans="1:19" ht="28" x14ac:dyDescent="0.15">
      <c r="A14729" s="2">
        <f>HYPERLINK("https://open-school.uspishnemisto.com.ua/school/710072/", 710072)</f>
        <v>710072</v>
      </c>
      <c r="B14729" s="3" t="s">
        <v>74274</v>
      </c>
      <c r="C14729" s="3" t="s">
        <v>31</v>
      </c>
      <c r="D14729" s="3" t="s">
        <v>32</v>
      </c>
      <c r="E14729" s="4" t="s">
        <v>22</v>
      </c>
      <c r="F14729" s="4" t="s">
        <v>74232</v>
      </c>
      <c r="G14729" s="4" t="s">
        <v>74233</v>
      </c>
      <c r="H14729" s="3" t="s">
        <v>73938</v>
      </c>
      <c r="I14729" s="3" t="s">
        <v>74234</v>
      </c>
      <c r="J14729" s="3" t="s">
        <v>74275</v>
      </c>
      <c r="K14729" s="3" t="s">
        <v>74276</v>
      </c>
      <c r="L14729" s="3"/>
      <c r="M14729" s="4" t="s">
        <v>74277</v>
      </c>
      <c r="N14729" s="3" t="s">
        <v>37</v>
      </c>
      <c r="O14729" s="3" t="s">
        <v>70</v>
      </c>
      <c r="P14729" s="5">
        <v>10</v>
      </c>
      <c r="Q14729" s="5">
        <v>248</v>
      </c>
      <c r="R14729" s="5">
        <v>10</v>
      </c>
      <c r="S14729" s="5">
        <v>254</v>
      </c>
    </row>
    <row r="14730" spans="1:19" ht="28" x14ac:dyDescent="0.15">
      <c r="A14730" s="2">
        <f>HYPERLINK("https://open-school.uspishnemisto.com.ua/school/710073/", 710073)</f>
        <v>710073</v>
      </c>
      <c r="B14730" s="3" t="s">
        <v>74278</v>
      </c>
      <c r="C14730" s="3" t="s">
        <v>31</v>
      </c>
      <c r="D14730" s="3" t="s">
        <v>32</v>
      </c>
      <c r="E14730" s="4" t="s">
        <v>22</v>
      </c>
      <c r="F14730" s="4" t="s">
        <v>74265</v>
      </c>
      <c r="G14730" s="4" t="s">
        <v>74233</v>
      </c>
      <c r="H14730" s="3" t="s">
        <v>73938</v>
      </c>
      <c r="I14730" s="3" t="s">
        <v>74234</v>
      </c>
      <c r="J14730" s="3" t="s">
        <v>74279</v>
      </c>
      <c r="K14730" s="3" t="s">
        <v>74280</v>
      </c>
      <c r="L14730" s="3"/>
      <c r="M14730" s="4" t="s">
        <v>74281</v>
      </c>
      <c r="N14730" s="3" t="s">
        <v>37</v>
      </c>
      <c r="O14730" s="3" t="s">
        <v>46</v>
      </c>
      <c r="P14730" s="5">
        <v>10</v>
      </c>
      <c r="Q14730" s="5">
        <v>240</v>
      </c>
      <c r="R14730" s="5">
        <v>10</v>
      </c>
      <c r="S14730" s="5">
        <v>232</v>
      </c>
    </row>
    <row r="14731" spans="1:19" ht="28" x14ac:dyDescent="0.15">
      <c r="A14731" s="2">
        <f>HYPERLINK("https://open-school.uspishnemisto.com.ua/school/710074/", 710074)</f>
        <v>710074</v>
      </c>
      <c r="B14731" s="3" t="s">
        <v>74282</v>
      </c>
      <c r="C14731" s="3" t="s">
        <v>31</v>
      </c>
      <c r="D14731" s="3" t="s">
        <v>32</v>
      </c>
      <c r="E14731" s="4" t="s">
        <v>22</v>
      </c>
      <c r="F14731" s="4" t="s">
        <v>74283</v>
      </c>
      <c r="G14731" s="4" t="s">
        <v>74233</v>
      </c>
      <c r="H14731" s="3" t="s">
        <v>73938</v>
      </c>
      <c r="I14731" s="3" t="s">
        <v>74234</v>
      </c>
      <c r="J14731" s="3" t="s">
        <v>74284</v>
      </c>
      <c r="K14731" s="3" t="s">
        <v>74285</v>
      </c>
      <c r="L14731" s="3" t="s">
        <v>74286</v>
      </c>
      <c r="M14731" s="4" t="s">
        <v>74287</v>
      </c>
      <c r="N14731" s="3" t="s">
        <v>37</v>
      </c>
      <c r="O14731" s="3" t="s">
        <v>38</v>
      </c>
      <c r="P14731" s="5">
        <v>27</v>
      </c>
      <c r="Q14731" s="5">
        <v>712</v>
      </c>
      <c r="R14731" s="5">
        <v>26</v>
      </c>
      <c r="S14731" s="5">
        <v>683</v>
      </c>
    </row>
    <row r="14732" spans="1:19" ht="28" x14ac:dyDescent="0.15">
      <c r="A14732" s="2">
        <f>HYPERLINK("https://open-school.uspishnemisto.com.ua/school/710075/", 710075)</f>
        <v>710075</v>
      </c>
      <c r="B14732" s="3" t="s">
        <v>74288</v>
      </c>
      <c r="C14732" s="3" t="s">
        <v>293</v>
      </c>
      <c r="D14732" s="3" t="s">
        <v>32</v>
      </c>
      <c r="E14732" s="4" t="s">
        <v>22</v>
      </c>
      <c r="F14732" s="4" t="s">
        <v>74283</v>
      </c>
      <c r="G14732" s="4" t="s">
        <v>74233</v>
      </c>
      <c r="H14732" s="3" t="s">
        <v>73938</v>
      </c>
      <c r="I14732" s="3" t="s">
        <v>74234</v>
      </c>
      <c r="J14732" s="3" t="s">
        <v>74289</v>
      </c>
      <c r="K14732" s="3"/>
      <c r="L14732" s="3" t="s">
        <v>74290</v>
      </c>
      <c r="M14732" s="4" t="s">
        <v>74291</v>
      </c>
      <c r="N14732" s="3" t="s">
        <v>37</v>
      </c>
      <c r="O14732" s="3" t="s">
        <v>52</v>
      </c>
      <c r="P14732" s="5">
        <v>10</v>
      </c>
      <c r="Q14732" s="5">
        <v>142</v>
      </c>
      <c r="R14732" s="5">
        <v>9</v>
      </c>
      <c r="S14732" s="5">
        <v>116</v>
      </c>
    </row>
    <row r="14733" spans="1:19" ht="28" x14ac:dyDescent="0.15">
      <c r="A14733" s="2">
        <f>HYPERLINK("https://open-school.uspishnemisto.com.ua/school/710076/", 710076)</f>
        <v>710076</v>
      </c>
      <c r="B14733" s="3" t="s">
        <v>74292</v>
      </c>
      <c r="C14733" s="3" t="s">
        <v>244</v>
      </c>
      <c r="D14733" s="3" t="s">
        <v>32</v>
      </c>
      <c r="E14733" s="4" t="s">
        <v>22</v>
      </c>
      <c r="F14733" s="4" t="s">
        <v>74283</v>
      </c>
      <c r="G14733" s="4" t="s">
        <v>74233</v>
      </c>
      <c r="H14733" s="3" t="s">
        <v>73938</v>
      </c>
      <c r="I14733" s="3" t="s">
        <v>74234</v>
      </c>
      <c r="J14733" s="3" t="s">
        <v>74293</v>
      </c>
      <c r="K14733" s="3" t="s">
        <v>74294</v>
      </c>
      <c r="L14733" s="3"/>
      <c r="M14733" s="4" t="s">
        <v>74295</v>
      </c>
      <c r="N14733" s="3" t="s">
        <v>37</v>
      </c>
      <c r="O14733" s="3" t="s">
        <v>46</v>
      </c>
      <c r="P14733" s="5">
        <v>20</v>
      </c>
      <c r="Q14733" s="5">
        <v>500</v>
      </c>
      <c r="R14733" s="5">
        <v>20</v>
      </c>
      <c r="S14733" s="5">
        <v>488</v>
      </c>
    </row>
    <row r="14734" spans="1:19" ht="42" x14ac:dyDescent="0.15">
      <c r="A14734" s="2">
        <f>HYPERLINK("https://open-school.uspishnemisto.com.ua/school/710078/", 710078)</f>
        <v>710078</v>
      </c>
      <c r="B14734" s="3" t="s">
        <v>74296</v>
      </c>
      <c r="C14734" s="3" t="s">
        <v>7651</v>
      </c>
      <c r="D14734" s="3"/>
      <c r="E14734" s="4" t="s">
        <v>22</v>
      </c>
      <c r="F14734" s="4" t="s">
        <v>74232</v>
      </c>
      <c r="G14734" s="4" t="s">
        <v>74233</v>
      </c>
      <c r="H14734" s="3" t="s">
        <v>73938</v>
      </c>
      <c r="I14734" s="3" t="s">
        <v>74234</v>
      </c>
      <c r="J14734" s="3" t="s">
        <v>74297</v>
      </c>
      <c r="K14734" s="3" t="s">
        <v>74298</v>
      </c>
      <c r="L14734" s="3"/>
      <c r="M14734" s="4"/>
      <c r="N14734" s="3"/>
      <c r="O14734" s="3"/>
      <c r="P14734" s="5">
        <v>0</v>
      </c>
      <c r="Q14734" s="5">
        <v>0</v>
      </c>
      <c r="R14734" s="5"/>
      <c r="S14734" s="5"/>
    </row>
    <row r="14735" spans="1:19" ht="56" x14ac:dyDescent="0.15">
      <c r="A14735" s="2">
        <f>HYPERLINK("https://open-school.uspishnemisto.com.ua/school/710079/", 710079)</f>
        <v>710079</v>
      </c>
      <c r="B14735" s="3" t="s">
        <v>74299</v>
      </c>
      <c r="C14735" s="3" t="s">
        <v>31</v>
      </c>
      <c r="D14735" s="3" t="s">
        <v>32</v>
      </c>
      <c r="E14735" s="4" t="s">
        <v>22</v>
      </c>
      <c r="F14735" s="4" t="s">
        <v>74232</v>
      </c>
      <c r="G14735" s="4" t="s">
        <v>74233</v>
      </c>
      <c r="H14735" s="3" t="s">
        <v>73938</v>
      </c>
      <c r="I14735" s="3" t="s">
        <v>74234</v>
      </c>
      <c r="J14735" s="3" t="s">
        <v>74300</v>
      </c>
      <c r="K14735" s="3" t="s">
        <v>74301</v>
      </c>
      <c r="L14735" s="3" t="s">
        <v>74302</v>
      </c>
      <c r="M14735" s="4" t="s">
        <v>74303</v>
      </c>
      <c r="N14735" s="3" t="s">
        <v>37</v>
      </c>
      <c r="O14735" s="3" t="s">
        <v>46</v>
      </c>
      <c r="P14735" s="5">
        <v>22</v>
      </c>
      <c r="Q14735" s="5">
        <v>601</v>
      </c>
      <c r="R14735" s="5">
        <v>22</v>
      </c>
      <c r="S14735" s="5">
        <v>608</v>
      </c>
    </row>
    <row r="14736" spans="1:19" ht="28" x14ac:dyDescent="0.15">
      <c r="A14736" s="2">
        <f>HYPERLINK("https://open-school.uspishnemisto.com.ua/school/710080/", 710080)</f>
        <v>710080</v>
      </c>
      <c r="B14736" s="3" t="s">
        <v>74304</v>
      </c>
      <c r="C14736" s="3" t="s">
        <v>31</v>
      </c>
      <c r="D14736" s="3" t="s">
        <v>32</v>
      </c>
      <c r="E14736" s="4" t="s">
        <v>22</v>
      </c>
      <c r="F14736" s="4" t="s">
        <v>74305</v>
      </c>
      <c r="G14736" s="4" t="s">
        <v>74233</v>
      </c>
      <c r="H14736" s="3" t="s">
        <v>73938</v>
      </c>
      <c r="I14736" s="3" t="s">
        <v>74234</v>
      </c>
      <c r="J14736" s="3" t="s">
        <v>74306</v>
      </c>
      <c r="K14736" s="3" t="s">
        <v>74307</v>
      </c>
      <c r="L14736" s="3"/>
      <c r="M14736" s="4" t="s">
        <v>74308</v>
      </c>
      <c r="N14736" s="3" t="s">
        <v>37</v>
      </c>
      <c r="O14736" s="3" t="s">
        <v>123</v>
      </c>
      <c r="P14736" s="5">
        <v>27</v>
      </c>
      <c r="Q14736" s="5">
        <v>673</v>
      </c>
      <c r="R14736" s="5">
        <v>7</v>
      </c>
      <c r="S14736" s="5">
        <v>153</v>
      </c>
    </row>
    <row r="14737" spans="1:19" ht="28" x14ac:dyDescent="0.15">
      <c r="A14737" s="2">
        <f>HYPERLINK("https://open-school.uspishnemisto.com.ua/school/710081/", 710081)</f>
        <v>710081</v>
      </c>
      <c r="B14737" s="3" t="s">
        <v>74309</v>
      </c>
      <c r="C14737" s="3" t="s">
        <v>174</v>
      </c>
      <c r="D14737" s="3" t="s">
        <v>32</v>
      </c>
      <c r="E14737" s="4" t="s">
        <v>22</v>
      </c>
      <c r="F14737" s="4" t="s">
        <v>74310</v>
      </c>
      <c r="G14737" s="4" t="s">
        <v>74311</v>
      </c>
      <c r="H14737" s="3" t="s">
        <v>73938</v>
      </c>
      <c r="I14737" s="3" t="s">
        <v>74312</v>
      </c>
      <c r="J14737" s="3" t="s">
        <v>74313</v>
      </c>
      <c r="K14737" s="3" t="s">
        <v>74314</v>
      </c>
      <c r="L14737" s="3"/>
      <c r="M14737" s="4" t="s">
        <v>74315</v>
      </c>
      <c r="N14737" s="3" t="s">
        <v>37</v>
      </c>
      <c r="O14737" s="3"/>
      <c r="P14737" s="5">
        <v>2</v>
      </c>
      <c r="Q14737" s="5">
        <v>19</v>
      </c>
      <c r="R14737" s="5">
        <v>2</v>
      </c>
      <c r="S14737" s="5">
        <v>19</v>
      </c>
    </row>
    <row r="14738" spans="1:19" ht="42" x14ac:dyDescent="0.15">
      <c r="A14738" s="2">
        <f>HYPERLINK("https://open-school.uspishnemisto.com.ua/school/710082/", 710082)</f>
        <v>710082</v>
      </c>
      <c r="B14738" s="3" t="s">
        <v>74316</v>
      </c>
      <c r="C14738" s="3" t="s">
        <v>54</v>
      </c>
      <c r="D14738" s="3" t="s">
        <v>60</v>
      </c>
      <c r="E14738" s="4" t="s">
        <v>22</v>
      </c>
      <c r="F14738" s="4" t="s">
        <v>74317</v>
      </c>
      <c r="G14738" s="4" t="s">
        <v>74311</v>
      </c>
      <c r="H14738" s="3" t="s">
        <v>73938</v>
      </c>
      <c r="I14738" s="3" t="s">
        <v>74312</v>
      </c>
      <c r="J14738" s="3" t="s">
        <v>74318</v>
      </c>
      <c r="K14738" s="3" t="s">
        <v>74319</v>
      </c>
      <c r="L14738" s="3" t="s">
        <v>74320</v>
      </c>
      <c r="M14738" s="4"/>
      <c r="N14738" s="3" t="s">
        <v>37</v>
      </c>
      <c r="O14738" s="3" t="s">
        <v>52</v>
      </c>
      <c r="P14738" s="5">
        <v>4</v>
      </c>
      <c r="Q14738" s="5">
        <v>127</v>
      </c>
      <c r="R14738" s="5">
        <v>4</v>
      </c>
      <c r="S14738" s="5">
        <v>129</v>
      </c>
    </row>
    <row r="14739" spans="1:19" ht="42" x14ac:dyDescent="0.15">
      <c r="A14739" s="2">
        <f>HYPERLINK("https://open-school.uspishnemisto.com.ua/school/710083/", 710083)</f>
        <v>710083</v>
      </c>
      <c r="B14739" s="3" t="s">
        <v>74321</v>
      </c>
      <c r="C14739" s="3" t="s">
        <v>31</v>
      </c>
      <c r="D14739" s="3" t="s">
        <v>32</v>
      </c>
      <c r="E14739" s="4" t="s">
        <v>22</v>
      </c>
      <c r="F14739" s="4" t="s">
        <v>74310</v>
      </c>
      <c r="G14739" s="4" t="s">
        <v>74311</v>
      </c>
      <c r="H14739" s="3" t="s">
        <v>73938</v>
      </c>
      <c r="I14739" s="3" t="s">
        <v>74312</v>
      </c>
      <c r="J14739" s="3" t="s">
        <v>74322</v>
      </c>
      <c r="K14739" s="3" t="s">
        <v>74323</v>
      </c>
      <c r="L14739" s="3" t="s">
        <v>74324</v>
      </c>
      <c r="M14739" s="4"/>
      <c r="N14739" s="3" t="s">
        <v>37</v>
      </c>
      <c r="O14739" s="3" t="s">
        <v>46</v>
      </c>
      <c r="P14739" s="5">
        <v>30</v>
      </c>
      <c r="Q14739" s="5">
        <v>781</v>
      </c>
      <c r="R14739" s="5">
        <v>30</v>
      </c>
      <c r="S14739" s="5">
        <v>783</v>
      </c>
    </row>
    <row r="14740" spans="1:19" ht="28" x14ac:dyDescent="0.15">
      <c r="A14740" s="2">
        <f>HYPERLINK("https://open-school.uspishnemisto.com.ua/school/710084/", 710084)</f>
        <v>710084</v>
      </c>
      <c r="B14740" s="3" t="s">
        <v>74325</v>
      </c>
      <c r="C14740" s="3" t="s">
        <v>31</v>
      </c>
      <c r="D14740" s="3" t="s">
        <v>32</v>
      </c>
      <c r="E14740" s="4" t="s">
        <v>22</v>
      </c>
      <c r="F14740" s="4" t="s">
        <v>74310</v>
      </c>
      <c r="G14740" s="4" t="s">
        <v>74311</v>
      </c>
      <c r="H14740" s="3" t="s">
        <v>73938</v>
      </c>
      <c r="I14740" s="3" t="s">
        <v>74312</v>
      </c>
      <c r="J14740" s="3" t="s">
        <v>74326</v>
      </c>
      <c r="K14740" s="3" t="s">
        <v>74327</v>
      </c>
      <c r="L14740" s="3" t="s">
        <v>74328</v>
      </c>
      <c r="M14740" s="4"/>
      <c r="N14740" s="3" t="s">
        <v>37</v>
      </c>
      <c r="O14740" s="3" t="s">
        <v>38</v>
      </c>
      <c r="P14740" s="5">
        <v>23</v>
      </c>
      <c r="Q14740" s="5">
        <v>559</v>
      </c>
      <c r="R14740" s="5">
        <v>23</v>
      </c>
      <c r="S14740" s="5">
        <v>523</v>
      </c>
    </row>
    <row r="14741" spans="1:19" ht="28" x14ac:dyDescent="0.15">
      <c r="A14741" s="2">
        <f>HYPERLINK("https://open-school.uspishnemisto.com.ua/school/710085/", 710085)</f>
        <v>710085</v>
      </c>
      <c r="B14741" s="3" t="s">
        <v>74329</v>
      </c>
      <c r="C14741" s="3" t="s">
        <v>31</v>
      </c>
      <c r="D14741" s="3" t="s">
        <v>32</v>
      </c>
      <c r="E14741" s="4" t="s">
        <v>22</v>
      </c>
      <c r="F14741" s="4" t="s">
        <v>74310</v>
      </c>
      <c r="G14741" s="4" t="s">
        <v>74311</v>
      </c>
      <c r="H14741" s="3" t="s">
        <v>73938</v>
      </c>
      <c r="I14741" s="3" t="s">
        <v>74312</v>
      </c>
      <c r="J14741" s="3" t="s">
        <v>74330</v>
      </c>
      <c r="K14741" s="3" t="s">
        <v>74331</v>
      </c>
      <c r="L14741" s="3" t="s">
        <v>74332</v>
      </c>
      <c r="M14741" s="4"/>
      <c r="N14741" s="3" t="s">
        <v>37</v>
      </c>
      <c r="O14741" s="3" t="s">
        <v>38</v>
      </c>
      <c r="P14741" s="5">
        <v>11</v>
      </c>
      <c r="Q14741" s="5">
        <v>249</v>
      </c>
      <c r="R14741" s="5">
        <v>11</v>
      </c>
      <c r="S14741" s="5">
        <v>254</v>
      </c>
    </row>
    <row r="14742" spans="1:19" ht="28" x14ac:dyDescent="0.15">
      <c r="A14742" s="2">
        <f>HYPERLINK("https://open-school.uspishnemisto.com.ua/school/710086/", 710086)</f>
        <v>710086</v>
      </c>
      <c r="B14742" s="3" t="s">
        <v>74333</v>
      </c>
      <c r="C14742" s="3" t="s">
        <v>31</v>
      </c>
      <c r="D14742" s="3" t="s">
        <v>32</v>
      </c>
      <c r="E14742" s="4" t="s">
        <v>22</v>
      </c>
      <c r="F14742" s="4" t="s">
        <v>74310</v>
      </c>
      <c r="G14742" s="4" t="s">
        <v>74311</v>
      </c>
      <c r="H14742" s="3" t="s">
        <v>73938</v>
      </c>
      <c r="I14742" s="3" t="s">
        <v>74312</v>
      </c>
      <c r="J14742" s="3" t="s">
        <v>74334</v>
      </c>
      <c r="K14742" s="3" t="s">
        <v>74335</v>
      </c>
      <c r="L14742" s="3" t="s">
        <v>74336</v>
      </c>
      <c r="M14742" s="4"/>
      <c r="N14742" s="3" t="s">
        <v>37</v>
      </c>
      <c r="O14742" s="3" t="s">
        <v>46</v>
      </c>
      <c r="P14742" s="5">
        <v>19</v>
      </c>
      <c r="Q14742" s="5">
        <v>441</v>
      </c>
      <c r="R14742" s="5">
        <v>19</v>
      </c>
      <c r="S14742" s="5">
        <v>432</v>
      </c>
    </row>
    <row r="14743" spans="1:19" ht="28" x14ac:dyDescent="0.15">
      <c r="A14743" s="2">
        <f>HYPERLINK("https://open-school.uspishnemisto.com.ua/school/710087/", 710087)</f>
        <v>710087</v>
      </c>
      <c r="B14743" s="3" t="s">
        <v>74337</v>
      </c>
      <c r="C14743" s="3" t="s">
        <v>31</v>
      </c>
      <c r="D14743" s="3" t="s">
        <v>32</v>
      </c>
      <c r="E14743" s="4" t="s">
        <v>22</v>
      </c>
      <c r="F14743" s="4" t="s">
        <v>74310</v>
      </c>
      <c r="G14743" s="4" t="s">
        <v>74311</v>
      </c>
      <c r="H14743" s="3" t="s">
        <v>73938</v>
      </c>
      <c r="I14743" s="3" t="s">
        <v>74312</v>
      </c>
      <c r="J14743" s="3" t="s">
        <v>10850</v>
      </c>
      <c r="K14743" s="3" t="s">
        <v>74338</v>
      </c>
      <c r="L14743" s="3"/>
      <c r="M14743" s="4"/>
      <c r="N14743" s="3" t="s">
        <v>37</v>
      </c>
      <c r="O14743" s="3" t="s">
        <v>46</v>
      </c>
      <c r="P14743" s="5">
        <v>11</v>
      </c>
      <c r="Q14743" s="5">
        <v>280</v>
      </c>
      <c r="R14743" s="5">
        <v>11</v>
      </c>
      <c r="S14743" s="5">
        <v>283</v>
      </c>
    </row>
    <row r="14744" spans="1:19" ht="28" x14ac:dyDescent="0.15">
      <c r="A14744" s="2">
        <f>HYPERLINK("https://open-school.uspishnemisto.com.ua/school/710088/", 710088)</f>
        <v>710088</v>
      </c>
      <c r="B14744" s="3" t="s">
        <v>74339</v>
      </c>
      <c r="C14744" s="3" t="s">
        <v>31</v>
      </c>
      <c r="D14744" s="3" t="s">
        <v>32</v>
      </c>
      <c r="E14744" s="4" t="s">
        <v>22</v>
      </c>
      <c r="F14744" s="4" t="s">
        <v>74310</v>
      </c>
      <c r="G14744" s="4" t="s">
        <v>74311</v>
      </c>
      <c r="H14744" s="3" t="s">
        <v>73938</v>
      </c>
      <c r="I14744" s="3" t="s">
        <v>74312</v>
      </c>
      <c r="J14744" s="3" t="s">
        <v>65429</v>
      </c>
      <c r="K14744" s="3" t="s">
        <v>74340</v>
      </c>
      <c r="L14744" s="3" t="s">
        <v>74341</v>
      </c>
      <c r="M14744" s="4"/>
      <c r="N14744" s="3" t="s">
        <v>37</v>
      </c>
      <c r="O14744" s="3" t="s">
        <v>70</v>
      </c>
      <c r="P14744" s="5">
        <v>45</v>
      </c>
      <c r="Q14744" s="5">
        <v>1337</v>
      </c>
      <c r="R14744" s="5">
        <v>43</v>
      </c>
      <c r="S14744" s="5">
        <v>1276</v>
      </c>
    </row>
    <row r="14745" spans="1:19" ht="28" x14ac:dyDescent="0.15">
      <c r="A14745" s="2">
        <f>HYPERLINK("https://open-school.uspishnemisto.com.ua/school/710089/", 710089)</f>
        <v>710089</v>
      </c>
      <c r="B14745" s="3" t="s">
        <v>74342</v>
      </c>
      <c r="C14745" s="3" t="s">
        <v>31</v>
      </c>
      <c r="D14745" s="3" t="s">
        <v>32</v>
      </c>
      <c r="E14745" s="4" t="s">
        <v>22</v>
      </c>
      <c r="F14745" s="4" t="s">
        <v>74310</v>
      </c>
      <c r="G14745" s="4" t="s">
        <v>74311</v>
      </c>
      <c r="H14745" s="3" t="s">
        <v>73938</v>
      </c>
      <c r="I14745" s="3" t="s">
        <v>74312</v>
      </c>
      <c r="J14745" s="3" t="s">
        <v>74343</v>
      </c>
      <c r="K14745" s="3" t="s">
        <v>74344</v>
      </c>
      <c r="L14745" s="3" t="s">
        <v>74345</v>
      </c>
      <c r="M14745" s="4"/>
      <c r="N14745" s="3" t="s">
        <v>37</v>
      </c>
      <c r="O14745" s="3" t="s">
        <v>70</v>
      </c>
      <c r="P14745" s="5">
        <v>38</v>
      </c>
      <c r="Q14745" s="5">
        <v>1083</v>
      </c>
      <c r="R14745" s="5">
        <v>36</v>
      </c>
      <c r="S14745" s="5">
        <v>1060</v>
      </c>
    </row>
    <row r="14746" spans="1:19" ht="28" x14ac:dyDescent="0.15">
      <c r="A14746" s="2">
        <f>HYPERLINK("https://open-school.uspishnemisto.com.ua/school/710090/", 710090)</f>
        <v>710090</v>
      </c>
      <c r="B14746" s="3" t="s">
        <v>74346</v>
      </c>
      <c r="C14746" s="3" t="s">
        <v>31</v>
      </c>
      <c r="D14746" s="3" t="s">
        <v>32</v>
      </c>
      <c r="E14746" s="4" t="s">
        <v>22</v>
      </c>
      <c r="F14746" s="4" t="s">
        <v>74310</v>
      </c>
      <c r="G14746" s="4" t="s">
        <v>74311</v>
      </c>
      <c r="H14746" s="3" t="s">
        <v>73938</v>
      </c>
      <c r="I14746" s="3" t="s">
        <v>74312</v>
      </c>
      <c r="J14746" s="3" t="s">
        <v>74347</v>
      </c>
      <c r="K14746" s="3" t="s">
        <v>74348</v>
      </c>
      <c r="L14746" s="3" t="s">
        <v>74349</v>
      </c>
      <c r="M14746" s="4"/>
      <c r="N14746" s="3" t="s">
        <v>37</v>
      </c>
      <c r="O14746" s="3" t="s">
        <v>70</v>
      </c>
      <c r="P14746" s="5">
        <v>40</v>
      </c>
      <c r="Q14746" s="5">
        <v>1071</v>
      </c>
      <c r="R14746" s="5">
        <v>39</v>
      </c>
      <c r="S14746" s="5">
        <v>1057</v>
      </c>
    </row>
    <row r="14747" spans="1:19" ht="28" x14ac:dyDescent="0.15">
      <c r="A14747" s="2">
        <f>HYPERLINK("https://open-school.uspishnemisto.com.ua/school/710091/", 710091)</f>
        <v>710091</v>
      </c>
      <c r="B14747" s="3" t="s">
        <v>74350</v>
      </c>
      <c r="C14747" s="3" t="s">
        <v>31</v>
      </c>
      <c r="D14747" s="3" t="s">
        <v>32</v>
      </c>
      <c r="E14747" s="4" t="s">
        <v>22</v>
      </c>
      <c r="F14747" s="4" t="s">
        <v>74310</v>
      </c>
      <c r="G14747" s="4" t="s">
        <v>74311</v>
      </c>
      <c r="H14747" s="3" t="s">
        <v>73938</v>
      </c>
      <c r="I14747" s="3" t="s">
        <v>74312</v>
      </c>
      <c r="J14747" s="3" t="s">
        <v>74351</v>
      </c>
      <c r="K14747" s="3" t="s">
        <v>74352</v>
      </c>
      <c r="L14747" s="3" t="s">
        <v>74353</v>
      </c>
      <c r="M14747" s="4"/>
      <c r="N14747" s="3" t="s">
        <v>37</v>
      </c>
      <c r="O14747" s="3" t="s">
        <v>16509</v>
      </c>
      <c r="P14747" s="5">
        <v>22</v>
      </c>
      <c r="Q14747" s="5">
        <v>538</v>
      </c>
      <c r="R14747" s="5">
        <v>21</v>
      </c>
      <c r="S14747" s="5">
        <v>509</v>
      </c>
    </row>
    <row r="14748" spans="1:19" ht="42" x14ac:dyDescent="0.15">
      <c r="A14748" s="2">
        <f>HYPERLINK("https://open-school.uspishnemisto.com.ua/school/710092/", 710092)</f>
        <v>710092</v>
      </c>
      <c r="B14748" s="3" t="s">
        <v>74354</v>
      </c>
      <c r="C14748" s="3" t="s">
        <v>244</v>
      </c>
      <c r="D14748" s="3" t="s">
        <v>32</v>
      </c>
      <c r="E14748" s="4" t="s">
        <v>22</v>
      </c>
      <c r="F14748" s="4" t="s">
        <v>74310</v>
      </c>
      <c r="G14748" s="4" t="s">
        <v>74311</v>
      </c>
      <c r="H14748" s="3" t="s">
        <v>73938</v>
      </c>
      <c r="I14748" s="3" t="s">
        <v>74312</v>
      </c>
      <c r="J14748" s="3" t="s">
        <v>74355</v>
      </c>
      <c r="K14748" s="3" t="s">
        <v>74356</v>
      </c>
      <c r="L14748" s="3" t="s">
        <v>74357</v>
      </c>
      <c r="M14748" s="4"/>
      <c r="N14748" s="3" t="s">
        <v>37</v>
      </c>
      <c r="O14748" s="3" t="s">
        <v>46</v>
      </c>
      <c r="P14748" s="5">
        <v>18</v>
      </c>
      <c r="Q14748" s="5">
        <v>426</v>
      </c>
      <c r="R14748" s="5">
        <v>17</v>
      </c>
      <c r="S14748" s="5">
        <v>396</v>
      </c>
    </row>
    <row r="14749" spans="1:19" ht="42" x14ac:dyDescent="0.15">
      <c r="A14749" s="2">
        <f>HYPERLINK("https://open-school.uspishnemisto.com.ua/school/710093/", 710093)</f>
        <v>710093</v>
      </c>
      <c r="B14749" s="3" t="s">
        <v>74358</v>
      </c>
      <c r="C14749" s="3" t="s">
        <v>7651</v>
      </c>
      <c r="D14749" s="3" t="s">
        <v>32</v>
      </c>
      <c r="E14749" s="4" t="s">
        <v>22</v>
      </c>
      <c r="F14749" s="4" t="s">
        <v>74310</v>
      </c>
      <c r="G14749" s="4" t="s">
        <v>74311</v>
      </c>
      <c r="H14749" s="3" t="s">
        <v>73938</v>
      </c>
      <c r="I14749" s="3" t="s">
        <v>74312</v>
      </c>
      <c r="J14749" s="3" t="s">
        <v>74359</v>
      </c>
      <c r="K14749" s="3" t="s">
        <v>74360</v>
      </c>
      <c r="L14749" s="3"/>
      <c r="M14749" s="4"/>
      <c r="N14749" s="3"/>
      <c r="O14749" s="3"/>
      <c r="P14749" s="5">
        <v>0</v>
      </c>
      <c r="Q14749" s="5">
        <v>0</v>
      </c>
      <c r="R14749" s="5"/>
      <c r="S14749" s="5"/>
    </row>
    <row r="14750" spans="1:19" ht="56" x14ac:dyDescent="0.15">
      <c r="A14750" s="2">
        <f>HYPERLINK("https://open-school.uspishnemisto.com.ua/school/710094/", 710094)</f>
        <v>710094</v>
      </c>
      <c r="B14750" s="3" t="s">
        <v>74361</v>
      </c>
      <c r="C14750" s="3" t="s">
        <v>31</v>
      </c>
      <c r="D14750" s="3" t="s">
        <v>32</v>
      </c>
      <c r="E14750" s="4" t="s">
        <v>22</v>
      </c>
      <c r="F14750" s="4" t="s">
        <v>74362</v>
      </c>
      <c r="G14750" s="4" t="s">
        <v>74311</v>
      </c>
      <c r="H14750" s="3" t="s">
        <v>73938</v>
      </c>
      <c r="I14750" s="3" t="s">
        <v>74312</v>
      </c>
      <c r="J14750" s="3" t="s">
        <v>1451</v>
      </c>
      <c r="K14750" s="3" t="s">
        <v>74363</v>
      </c>
      <c r="L14750" s="3" t="s">
        <v>74364</v>
      </c>
      <c r="M14750" s="4"/>
      <c r="N14750" s="3" t="s">
        <v>37</v>
      </c>
      <c r="O14750" s="3" t="s">
        <v>46</v>
      </c>
      <c r="P14750" s="5">
        <v>11</v>
      </c>
      <c r="Q14750" s="5">
        <v>259</v>
      </c>
      <c r="R14750" s="5">
        <v>11</v>
      </c>
      <c r="S14750" s="5">
        <v>254</v>
      </c>
    </row>
    <row r="14751" spans="1:19" ht="42" x14ac:dyDescent="0.15">
      <c r="A14751" s="2">
        <f>HYPERLINK("https://open-school.uspishnemisto.com.ua/school/710095/", 710095)</f>
        <v>710095</v>
      </c>
      <c r="B14751" s="3" t="s">
        <v>74365</v>
      </c>
      <c r="C14751" s="3" t="s">
        <v>31</v>
      </c>
      <c r="D14751" s="3" t="s">
        <v>32</v>
      </c>
      <c r="E14751" s="4" t="s">
        <v>22</v>
      </c>
      <c r="F14751" s="4" t="s">
        <v>74310</v>
      </c>
      <c r="G14751" s="4" t="s">
        <v>74311</v>
      </c>
      <c r="H14751" s="3" t="s">
        <v>73938</v>
      </c>
      <c r="I14751" s="3" t="s">
        <v>74312</v>
      </c>
      <c r="J14751" s="3" t="s">
        <v>74366</v>
      </c>
      <c r="K14751" s="3" t="s">
        <v>74367</v>
      </c>
      <c r="L14751" s="3" t="s">
        <v>74368</v>
      </c>
      <c r="M14751" s="4"/>
      <c r="N14751" s="3" t="s">
        <v>128</v>
      </c>
      <c r="O14751" s="3" t="s">
        <v>70</v>
      </c>
      <c r="P14751" s="5">
        <v>27</v>
      </c>
      <c r="Q14751" s="5">
        <v>635</v>
      </c>
      <c r="R14751" s="5">
        <v>27</v>
      </c>
      <c r="S14751" s="5">
        <v>611</v>
      </c>
    </row>
    <row r="14752" spans="1:19" ht="56" x14ac:dyDescent="0.15">
      <c r="A14752" s="2">
        <f>HYPERLINK("https://open-school.uspishnemisto.com.ua/school/710096/", 710096)</f>
        <v>710096</v>
      </c>
      <c r="B14752" s="3" t="s">
        <v>74369</v>
      </c>
      <c r="C14752" s="3" t="s">
        <v>54</v>
      </c>
      <c r="D14752" s="3" t="s">
        <v>32</v>
      </c>
      <c r="E14752" s="4" t="s">
        <v>22</v>
      </c>
      <c r="F14752" s="4" t="s">
        <v>74310</v>
      </c>
      <c r="G14752" s="4" t="s">
        <v>74311</v>
      </c>
      <c r="H14752" s="3" t="s">
        <v>73938</v>
      </c>
      <c r="I14752" s="3" t="s">
        <v>74312</v>
      </c>
      <c r="J14752" s="3" t="s">
        <v>74370</v>
      </c>
      <c r="K14752" s="3" t="s">
        <v>74371</v>
      </c>
      <c r="L14752" s="3" t="s">
        <v>74372</v>
      </c>
      <c r="M14752" s="4"/>
      <c r="N14752" s="3" t="s">
        <v>37</v>
      </c>
      <c r="O14752" s="3" t="s">
        <v>52</v>
      </c>
      <c r="P14752" s="5">
        <v>11</v>
      </c>
      <c r="Q14752" s="5">
        <v>226</v>
      </c>
      <c r="R14752" s="5">
        <v>11</v>
      </c>
      <c r="S14752" s="5">
        <v>247</v>
      </c>
    </row>
    <row r="14753" spans="1:19" ht="56" x14ac:dyDescent="0.15">
      <c r="A14753" s="2">
        <f>HYPERLINK("https://open-school.uspishnemisto.com.ua/school/710097/", 710097)</f>
        <v>710097</v>
      </c>
      <c r="B14753" s="3" t="s">
        <v>74373</v>
      </c>
      <c r="C14753" s="3" t="s">
        <v>54</v>
      </c>
      <c r="D14753" s="3" t="s">
        <v>60</v>
      </c>
      <c r="E14753" s="4" t="s">
        <v>22</v>
      </c>
      <c r="F14753" s="4" t="s">
        <v>74310</v>
      </c>
      <c r="G14753" s="4" t="s">
        <v>74311</v>
      </c>
      <c r="H14753" s="3" t="s">
        <v>73938</v>
      </c>
      <c r="I14753" s="3" t="s">
        <v>74312</v>
      </c>
      <c r="J14753" s="3" t="s">
        <v>74374</v>
      </c>
      <c r="K14753" s="3" t="s">
        <v>74375</v>
      </c>
      <c r="L14753" s="3"/>
      <c r="M14753" s="4" t="s">
        <v>74376</v>
      </c>
      <c r="N14753" s="3" t="s">
        <v>37</v>
      </c>
      <c r="O14753" s="3" t="s">
        <v>52</v>
      </c>
      <c r="P14753" s="5">
        <v>4</v>
      </c>
      <c r="Q14753" s="5">
        <v>110</v>
      </c>
      <c r="R14753" s="5">
        <v>4</v>
      </c>
      <c r="S14753" s="5">
        <v>120</v>
      </c>
    </row>
    <row r="14754" spans="1:19" ht="28" x14ac:dyDescent="0.15">
      <c r="A14754" s="2">
        <f>HYPERLINK("https://open-school.uspishnemisto.com.ua/school/710098/", 710098)</f>
        <v>710098</v>
      </c>
      <c r="B14754" s="3" t="s">
        <v>74377</v>
      </c>
      <c r="C14754" s="3" t="s">
        <v>54</v>
      </c>
      <c r="D14754" s="3" t="s">
        <v>175</v>
      </c>
      <c r="E14754" s="4" t="s">
        <v>22</v>
      </c>
      <c r="F14754" s="4" t="s">
        <v>74310</v>
      </c>
      <c r="G14754" s="4" t="s">
        <v>74311</v>
      </c>
      <c r="H14754" s="3" t="s">
        <v>73938</v>
      </c>
      <c r="I14754" s="3" t="s">
        <v>74312</v>
      </c>
      <c r="J14754" s="3" t="s">
        <v>74378</v>
      </c>
      <c r="K14754" s="3" t="s">
        <v>74379</v>
      </c>
      <c r="L14754" s="3" t="s">
        <v>74380</v>
      </c>
      <c r="M14754" s="4"/>
      <c r="N14754" s="3" t="s">
        <v>37</v>
      </c>
      <c r="O14754" s="3" t="s">
        <v>52</v>
      </c>
      <c r="P14754" s="5">
        <v>9</v>
      </c>
      <c r="Q14754" s="5">
        <v>130</v>
      </c>
      <c r="R14754" s="5">
        <v>9</v>
      </c>
      <c r="S14754" s="5">
        <v>126</v>
      </c>
    </row>
    <row r="14755" spans="1:19" ht="28" x14ac:dyDescent="0.15">
      <c r="A14755" s="2">
        <f>HYPERLINK("https://open-school.uspishnemisto.com.ua/school/710629/", 710629)</f>
        <v>710629</v>
      </c>
      <c r="B14755" s="3" t="s">
        <v>74381</v>
      </c>
      <c r="C14755" s="3" t="s">
        <v>188</v>
      </c>
      <c r="D14755" s="3" t="s">
        <v>32</v>
      </c>
      <c r="E14755" s="4" t="s">
        <v>41</v>
      </c>
      <c r="F14755" s="4" t="s">
        <v>74310</v>
      </c>
      <c r="G14755" s="4" t="s">
        <v>74311</v>
      </c>
      <c r="H14755" s="3" t="s">
        <v>73938</v>
      </c>
      <c r="I14755" s="3" t="s">
        <v>74312</v>
      </c>
      <c r="J14755" s="3" t="s">
        <v>74382</v>
      </c>
      <c r="K14755" s="3" t="s">
        <v>74383</v>
      </c>
      <c r="L14755" s="3"/>
      <c r="M14755" s="4"/>
      <c r="N14755" s="3" t="s">
        <v>37</v>
      </c>
      <c r="O14755" s="3" t="s">
        <v>52</v>
      </c>
      <c r="P14755" s="5">
        <v>2</v>
      </c>
      <c r="Q14755" s="5">
        <v>47</v>
      </c>
      <c r="R14755" s="5"/>
      <c r="S14755" s="5"/>
    </row>
    <row r="14756" spans="1:19" ht="42" x14ac:dyDescent="0.15">
      <c r="A14756" s="2">
        <f>HYPERLINK("https://open-school.uspishnemisto.com.ua/school/710099/", 710099)</f>
        <v>710099</v>
      </c>
      <c r="B14756" s="3" t="s">
        <v>74384</v>
      </c>
      <c r="C14756" s="3" t="s">
        <v>31</v>
      </c>
      <c r="D14756" s="3" t="s">
        <v>32</v>
      </c>
      <c r="E14756" s="4" t="s">
        <v>22</v>
      </c>
      <c r="F14756" s="4" t="s">
        <v>74385</v>
      </c>
      <c r="G14756" s="4" t="s">
        <v>74386</v>
      </c>
      <c r="H14756" s="3" t="s">
        <v>73938</v>
      </c>
      <c r="I14756" s="3" t="s">
        <v>2422</v>
      </c>
      <c r="J14756" s="3" t="s">
        <v>74387</v>
      </c>
      <c r="K14756" s="3" t="s">
        <v>74388</v>
      </c>
      <c r="L14756" s="3" t="s">
        <v>74389</v>
      </c>
      <c r="M14756" s="4"/>
      <c r="N14756" s="3" t="s">
        <v>37</v>
      </c>
      <c r="O14756" s="3" t="s">
        <v>46</v>
      </c>
      <c r="P14756" s="5">
        <v>18</v>
      </c>
      <c r="Q14756" s="5">
        <v>385</v>
      </c>
      <c r="R14756" s="5">
        <v>17</v>
      </c>
      <c r="S14756" s="5">
        <v>358</v>
      </c>
    </row>
    <row r="14757" spans="1:19" ht="28" x14ac:dyDescent="0.15">
      <c r="A14757" s="2">
        <f>HYPERLINK("https://open-school.uspishnemisto.com.ua/school/710100/", 710100)</f>
        <v>710100</v>
      </c>
      <c r="B14757" s="3" t="s">
        <v>74390</v>
      </c>
      <c r="C14757" s="3" t="s">
        <v>31</v>
      </c>
      <c r="D14757" s="3" t="s">
        <v>32</v>
      </c>
      <c r="E14757" s="4" t="s">
        <v>22</v>
      </c>
      <c r="F14757" s="4" t="s">
        <v>74391</v>
      </c>
      <c r="G14757" s="4" t="s">
        <v>74386</v>
      </c>
      <c r="H14757" s="3" t="s">
        <v>73938</v>
      </c>
      <c r="I14757" s="3" t="s">
        <v>2422</v>
      </c>
      <c r="J14757" s="3" t="s">
        <v>74392</v>
      </c>
      <c r="K14757" s="3" t="s">
        <v>74393</v>
      </c>
      <c r="L14757" s="3" t="s">
        <v>74394</v>
      </c>
      <c r="M14757" s="4"/>
      <c r="N14757" s="3" t="s">
        <v>37</v>
      </c>
      <c r="O14757" s="3" t="s">
        <v>70</v>
      </c>
      <c r="P14757" s="5">
        <v>20</v>
      </c>
      <c r="Q14757" s="5">
        <v>431</v>
      </c>
      <c r="R14757" s="5">
        <v>20</v>
      </c>
      <c r="S14757" s="5">
        <v>418</v>
      </c>
    </row>
    <row r="14758" spans="1:19" ht="28" x14ac:dyDescent="0.15">
      <c r="A14758" s="2">
        <f>HYPERLINK("https://open-school.uspishnemisto.com.ua/school/710101/", 710101)</f>
        <v>710101</v>
      </c>
      <c r="B14758" s="3" t="s">
        <v>74395</v>
      </c>
      <c r="C14758" s="3" t="s">
        <v>188</v>
      </c>
      <c r="D14758" s="3" t="s">
        <v>32</v>
      </c>
      <c r="E14758" s="4" t="s">
        <v>22</v>
      </c>
      <c r="F14758" s="4" t="s">
        <v>74391</v>
      </c>
      <c r="G14758" s="4" t="s">
        <v>74386</v>
      </c>
      <c r="H14758" s="3" t="s">
        <v>73938</v>
      </c>
      <c r="I14758" s="3" t="s">
        <v>2422</v>
      </c>
      <c r="J14758" s="3" t="s">
        <v>74396</v>
      </c>
      <c r="K14758" s="3" t="s">
        <v>74397</v>
      </c>
      <c r="L14758" s="3" t="s">
        <v>74398</v>
      </c>
      <c r="M14758" s="4"/>
      <c r="N14758" s="3" t="s">
        <v>37</v>
      </c>
      <c r="O14758" s="3" t="s">
        <v>52</v>
      </c>
      <c r="P14758" s="5">
        <v>6</v>
      </c>
      <c r="Q14758" s="5">
        <v>88</v>
      </c>
      <c r="R14758" s="5">
        <v>6</v>
      </c>
      <c r="S14758" s="5">
        <v>86</v>
      </c>
    </row>
    <row r="14759" spans="1:19" ht="42" x14ac:dyDescent="0.15">
      <c r="A14759" s="2">
        <f>HYPERLINK("https://open-school.uspishnemisto.com.ua/school/710102/", 710102)</f>
        <v>710102</v>
      </c>
      <c r="B14759" s="3" t="s">
        <v>74399</v>
      </c>
      <c r="C14759" s="3" t="s">
        <v>31</v>
      </c>
      <c r="D14759" s="3" t="s">
        <v>32</v>
      </c>
      <c r="E14759" s="4" t="s">
        <v>22</v>
      </c>
      <c r="F14759" s="4" t="s">
        <v>74391</v>
      </c>
      <c r="G14759" s="4" t="s">
        <v>74386</v>
      </c>
      <c r="H14759" s="3" t="s">
        <v>73938</v>
      </c>
      <c r="I14759" s="3" t="s">
        <v>2422</v>
      </c>
      <c r="J14759" s="3" t="s">
        <v>74396</v>
      </c>
      <c r="K14759" s="3" t="s">
        <v>74400</v>
      </c>
      <c r="L14759" s="3" t="s">
        <v>74401</v>
      </c>
      <c r="M14759" s="4"/>
      <c r="N14759" s="3" t="s">
        <v>37</v>
      </c>
      <c r="O14759" s="3" t="s">
        <v>46</v>
      </c>
      <c r="P14759" s="5">
        <v>20</v>
      </c>
      <c r="Q14759" s="5">
        <v>425</v>
      </c>
      <c r="R14759" s="5">
        <v>18</v>
      </c>
      <c r="S14759" s="5">
        <v>396</v>
      </c>
    </row>
    <row r="14760" spans="1:19" ht="28" x14ac:dyDescent="0.15">
      <c r="A14760" s="2">
        <f>HYPERLINK("https://open-school.uspishnemisto.com.ua/school/710103/", 710103)</f>
        <v>710103</v>
      </c>
      <c r="B14760" s="3" t="s">
        <v>74402</v>
      </c>
      <c r="C14760" s="3" t="s">
        <v>31</v>
      </c>
      <c r="D14760" s="3" t="s">
        <v>32</v>
      </c>
      <c r="E14760" s="4" t="s">
        <v>22</v>
      </c>
      <c r="F14760" s="4" t="s">
        <v>74403</v>
      </c>
      <c r="G14760" s="4" t="s">
        <v>74404</v>
      </c>
      <c r="H14760" s="3" t="s">
        <v>73938</v>
      </c>
      <c r="I14760" s="3" t="s">
        <v>59395</v>
      </c>
      <c r="J14760" s="3" t="s">
        <v>3112</v>
      </c>
      <c r="K14760" s="3" t="s">
        <v>74405</v>
      </c>
      <c r="L14760" s="3" t="s">
        <v>74406</v>
      </c>
      <c r="M14760" s="4"/>
      <c r="N14760" s="3" t="s">
        <v>37</v>
      </c>
      <c r="O14760" s="3" t="s">
        <v>52</v>
      </c>
      <c r="P14760" s="5">
        <v>11</v>
      </c>
      <c r="Q14760" s="5">
        <v>155</v>
      </c>
      <c r="R14760" s="5">
        <v>11</v>
      </c>
      <c r="S14760" s="5">
        <v>157</v>
      </c>
    </row>
    <row r="14761" spans="1:19" ht="28" x14ac:dyDescent="0.15">
      <c r="A14761" s="2">
        <f>HYPERLINK("https://open-school.uspishnemisto.com.ua/school/710104/", 710104)</f>
        <v>710104</v>
      </c>
      <c r="B14761" s="3" t="s">
        <v>74407</v>
      </c>
      <c r="C14761" s="3" t="s">
        <v>31</v>
      </c>
      <c r="D14761" s="3" t="s">
        <v>175</v>
      </c>
      <c r="E14761" s="4" t="s">
        <v>22</v>
      </c>
      <c r="F14761" s="4" t="s">
        <v>74403</v>
      </c>
      <c r="G14761" s="4" t="s">
        <v>74404</v>
      </c>
      <c r="H14761" s="3" t="s">
        <v>73938</v>
      </c>
      <c r="I14761" s="3" t="s">
        <v>59395</v>
      </c>
      <c r="J14761" s="3" t="s">
        <v>74408</v>
      </c>
      <c r="K14761" s="3" t="s">
        <v>74409</v>
      </c>
      <c r="L14761" s="3" t="s">
        <v>74410</v>
      </c>
      <c r="M14761" s="4"/>
      <c r="N14761" s="3" t="s">
        <v>37</v>
      </c>
      <c r="O14761" s="3" t="s">
        <v>38</v>
      </c>
      <c r="P14761" s="5">
        <v>9</v>
      </c>
      <c r="Q14761" s="5">
        <v>80</v>
      </c>
      <c r="R14761" s="5">
        <v>9</v>
      </c>
      <c r="S14761" s="5">
        <v>77</v>
      </c>
    </row>
    <row r="14762" spans="1:19" ht="42" x14ac:dyDescent="0.15">
      <c r="A14762" s="2">
        <f>HYPERLINK("https://open-school.uspishnemisto.com.ua/school/710105/", 710105)</f>
        <v>710105</v>
      </c>
      <c r="B14762" s="3" t="s">
        <v>74411</v>
      </c>
      <c r="C14762" s="3" t="s">
        <v>181</v>
      </c>
      <c r="D14762" s="3" t="s">
        <v>175</v>
      </c>
      <c r="E14762" s="4" t="s">
        <v>22</v>
      </c>
      <c r="F14762" s="4" t="s">
        <v>74403</v>
      </c>
      <c r="G14762" s="4" t="s">
        <v>74404</v>
      </c>
      <c r="H14762" s="3" t="s">
        <v>73938</v>
      </c>
      <c r="I14762" s="3" t="s">
        <v>59395</v>
      </c>
      <c r="J14762" s="3" t="s">
        <v>74412</v>
      </c>
      <c r="K14762" s="3" t="s">
        <v>74413</v>
      </c>
      <c r="L14762" s="3"/>
      <c r="M14762" s="4" t="s">
        <v>74414</v>
      </c>
      <c r="N14762" s="3" t="s">
        <v>37</v>
      </c>
      <c r="O14762" s="3"/>
      <c r="P14762" s="5">
        <v>9</v>
      </c>
      <c r="Q14762" s="5">
        <v>88</v>
      </c>
      <c r="R14762" s="5">
        <v>9</v>
      </c>
      <c r="S14762" s="5">
        <v>88</v>
      </c>
    </row>
    <row r="14763" spans="1:19" ht="28" x14ac:dyDescent="0.15">
      <c r="A14763" s="2">
        <f>HYPERLINK("https://open-school.uspishnemisto.com.ua/school/710106/", 710106)</f>
        <v>710106</v>
      </c>
      <c r="B14763" s="3" t="s">
        <v>74415</v>
      </c>
      <c r="C14763" s="3" t="s">
        <v>31</v>
      </c>
      <c r="D14763" s="3" t="s">
        <v>32</v>
      </c>
      <c r="E14763" s="4" t="s">
        <v>22</v>
      </c>
      <c r="F14763" s="4" t="s">
        <v>74416</v>
      </c>
      <c r="G14763" s="4" t="s">
        <v>74417</v>
      </c>
      <c r="H14763" s="3" t="s">
        <v>73938</v>
      </c>
      <c r="I14763" s="3" t="s">
        <v>45643</v>
      </c>
      <c r="J14763" s="3" t="s">
        <v>74418</v>
      </c>
      <c r="K14763" s="3" t="s">
        <v>74419</v>
      </c>
      <c r="L14763" s="3" t="s">
        <v>74420</v>
      </c>
      <c r="M14763" s="4"/>
      <c r="N14763" s="3" t="s">
        <v>37</v>
      </c>
      <c r="O14763" s="3" t="s">
        <v>38</v>
      </c>
      <c r="P14763" s="5">
        <v>11</v>
      </c>
      <c r="Q14763" s="5">
        <v>135</v>
      </c>
      <c r="R14763" s="5">
        <v>11</v>
      </c>
      <c r="S14763" s="5">
        <v>141</v>
      </c>
    </row>
    <row r="14764" spans="1:19" ht="28" x14ac:dyDescent="0.15">
      <c r="A14764" s="2">
        <f>HYPERLINK("https://open-school.uspishnemisto.com.ua/school/710107/", 710107)</f>
        <v>710107</v>
      </c>
      <c r="B14764" s="3" t="s">
        <v>74421</v>
      </c>
      <c r="C14764" s="3" t="s">
        <v>31</v>
      </c>
      <c r="D14764" s="3" t="s">
        <v>32</v>
      </c>
      <c r="E14764" s="4" t="s">
        <v>22</v>
      </c>
      <c r="F14764" s="4" t="s">
        <v>74422</v>
      </c>
      <c r="G14764" s="4" t="s">
        <v>74423</v>
      </c>
      <c r="H14764" s="3" t="s">
        <v>73938</v>
      </c>
      <c r="I14764" s="3" t="s">
        <v>74424</v>
      </c>
      <c r="J14764" s="3" t="s">
        <v>10957</v>
      </c>
      <c r="K14764" s="3" t="s">
        <v>74425</v>
      </c>
      <c r="L14764" s="3" t="s">
        <v>74426</v>
      </c>
      <c r="M14764" s="4"/>
      <c r="N14764" s="3" t="s">
        <v>37</v>
      </c>
      <c r="O14764" s="3" t="s">
        <v>38</v>
      </c>
      <c r="P14764" s="5">
        <v>11</v>
      </c>
      <c r="Q14764" s="5">
        <v>135</v>
      </c>
      <c r="R14764" s="5">
        <v>11</v>
      </c>
      <c r="S14764" s="5">
        <v>125</v>
      </c>
    </row>
    <row r="14765" spans="1:19" ht="28" x14ac:dyDescent="0.15">
      <c r="A14765" s="2">
        <f>HYPERLINK("https://open-school.uspishnemisto.com.ua/school/710108/", 710108)</f>
        <v>710108</v>
      </c>
      <c r="B14765" s="3" t="s">
        <v>74427</v>
      </c>
      <c r="C14765" s="3" t="s">
        <v>31</v>
      </c>
      <c r="D14765" s="3" t="s">
        <v>32</v>
      </c>
      <c r="E14765" s="4" t="s">
        <v>22</v>
      </c>
      <c r="F14765" s="4" t="s">
        <v>74428</v>
      </c>
      <c r="G14765" s="4" t="s">
        <v>74429</v>
      </c>
      <c r="H14765" s="3" t="s">
        <v>73938</v>
      </c>
      <c r="I14765" s="3" t="s">
        <v>3046</v>
      </c>
      <c r="J14765" s="3" t="s">
        <v>1198</v>
      </c>
      <c r="K14765" s="3" t="s">
        <v>74430</v>
      </c>
      <c r="L14765" s="3" t="s">
        <v>74431</v>
      </c>
      <c r="M14765" s="4"/>
      <c r="N14765" s="3" t="s">
        <v>37</v>
      </c>
      <c r="O14765" s="3" t="s">
        <v>46</v>
      </c>
      <c r="P14765" s="5">
        <v>11</v>
      </c>
      <c r="Q14765" s="5">
        <v>90</v>
      </c>
      <c r="R14765" s="5">
        <v>11</v>
      </c>
      <c r="S14765" s="5">
        <v>94</v>
      </c>
    </row>
    <row r="14766" spans="1:19" ht="56" x14ac:dyDescent="0.15">
      <c r="A14766" s="2">
        <f>HYPERLINK("https://open-school.uspishnemisto.com.ua/school/710109/", 710109)</f>
        <v>710109</v>
      </c>
      <c r="B14766" s="3" t="s">
        <v>74432</v>
      </c>
      <c r="C14766" s="3" t="s">
        <v>54</v>
      </c>
      <c r="D14766" s="3" t="s">
        <v>175</v>
      </c>
      <c r="E14766" s="4" t="s">
        <v>22</v>
      </c>
      <c r="F14766" s="4" t="s">
        <v>74433</v>
      </c>
      <c r="G14766" s="4" t="s">
        <v>74434</v>
      </c>
      <c r="H14766" s="3" t="s">
        <v>73938</v>
      </c>
      <c r="I14766" s="3" t="s">
        <v>36298</v>
      </c>
      <c r="J14766" s="3" t="s">
        <v>35108</v>
      </c>
      <c r="K14766" s="3" t="s">
        <v>74435</v>
      </c>
      <c r="L14766" s="3" t="s">
        <v>74436</v>
      </c>
      <c r="M14766" s="4"/>
      <c r="N14766" s="3" t="s">
        <v>37</v>
      </c>
      <c r="O14766" s="3" t="s">
        <v>38</v>
      </c>
      <c r="P14766" s="5">
        <v>9</v>
      </c>
      <c r="Q14766" s="5">
        <v>47</v>
      </c>
      <c r="R14766" s="5">
        <v>8</v>
      </c>
      <c r="S14766" s="5">
        <v>46</v>
      </c>
    </row>
    <row r="14767" spans="1:19" ht="28" x14ac:dyDescent="0.15">
      <c r="A14767" s="2">
        <f>HYPERLINK("https://open-school.uspishnemisto.com.ua/school/710110/", 710110)</f>
        <v>710110</v>
      </c>
      <c r="B14767" s="3" t="s">
        <v>74437</v>
      </c>
      <c r="C14767" s="3" t="s">
        <v>31</v>
      </c>
      <c r="D14767" s="3" t="s">
        <v>32</v>
      </c>
      <c r="E14767" s="4" t="s">
        <v>22</v>
      </c>
      <c r="F14767" s="4" t="s">
        <v>74438</v>
      </c>
      <c r="G14767" s="4" t="s">
        <v>74439</v>
      </c>
      <c r="H14767" s="3" t="s">
        <v>73938</v>
      </c>
      <c r="I14767" s="3" t="s">
        <v>12304</v>
      </c>
      <c r="J14767" s="3" t="s">
        <v>501</v>
      </c>
      <c r="K14767" s="3" t="s">
        <v>74440</v>
      </c>
      <c r="L14767" s="3" t="s">
        <v>74441</v>
      </c>
      <c r="M14767" s="4"/>
      <c r="N14767" s="3" t="s">
        <v>37</v>
      </c>
      <c r="O14767" s="3" t="s">
        <v>52</v>
      </c>
      <c r="P14767" s="5">
        <v>11</v>
      </c>
      <c r="Q14767" s="5">
        <v>174</v>
      </c>
      <c r="R14767" s="5">
        <v>11</v>
      </c>
      <c r="S14767" s="5">
        <v>184</v>
      </c>
    </row>
    <row r="14768" spans="1:19" ht="28" x14ac:dyDescent="0.15">
      <c r="A14768" s="2">
        <f>HYPERLINK("https://open-school.uspishnemisto.com.ua/school/710111/", 710111)</f>
        <v>710111</v>
      </c>
      <c r="B14768" s="3" t="s">
        <v>74442</v>
      </c>
      <c r="C14768" s="3" t="s">
        <v>31</v>
      </c>
      <c r="D14768" s="3" t="s">
        <v>175</v>
      </c>
      <c r="E14768" s="4" t="s">
        <v>22</v>
      </c>
      <c r="F14768" s="4" t="s">
        <v>74443</v>
      </c>
      <c r="G14768" s="4" t="s">
        <v>74444</v>
      </c>
      <c r="H14768" s="3" t="s">
        <v>73938</v>
      </c>
      <c r="I14768" s="3" t="s">
        <v>74445</v>
      </c>
      <c r="J14768" s="3" t="s">
        <v>74446</v>
      </c>
      <c r="K14768" s="3" t="s">
        <v>74447</v>
      </c>
      <c r="L14768" s="3" t="s">
        <v>74448</v>
      </c>
      <c r="M14768" s="4"/>
      <c r="N14768" s="3" t="s">
        <v>37</v>
      </c>
      <c r="O14768" s="3" t="s">
        <v>52</v>
      </c>
      <c r="P14768" s="5">
        <v>9</v>
      </c>
      <c r="Q14768" s="5">
        <v>88</v>
      </c>
      <c r="R14768" s="5">
        <v>9</v>
      </c>
      <c r="S14768" s="5">
        <v>81</v>
      </c>
    </row>
    <row r="14769" spans="1:19" ht="56" x14ac:dyDescent="0.15">
      <c r="A14769" s="2">
        <f>HYPERLINK("https://open-school.uspishnemisto.com.ua/school/710112/", 710112)</f>
        <v>710112</v>
      </c>
      <c r="B14769" s="3" t="s">
        <v>74449</v>
      </c>
      <c r="C14769" s="3" t="s">
        <v>54</v>
      </c>
      <c r="D14769" s="3" t="s">
        <v>175</v>
      </c>
      <c r="E14769" s="4" t="s">
        <v>22</v>
      </c>
      <c r="F14769" s="4" t="s">
        <v>74450</v>
      </c>
      <c r="G14769" s="4" t="s">
        <v>74451</v>
      </c>
      <c r="H14769" s="3" t="s">
        <v>73938</v>
      </c>
      <c r="I14769" s="3" t="s">
        <v>59720</v>
      </c>
      <c r="J14769" s="3" t="s">
        <v>18285</v>
      </c>
      <c r="K14769" s="3" t="s">
        <v>74452</v>
      </c>
      <c r="L14769" s="3" t="s">
        <v>74453</v>
      </c>
      <c r="M14769" s="4"/>
      <c r="N14769" s="3" t="s">
        <v>37</v>
      </c>
      <c r="O14769" s="3" t="s">
        <v>46</v>
      </c>
      <c r="P14769" s="5">
        <v>5</v>
      </c>
      <c r="Q14769" s="5">
        <v>26</v>
      </c>
      <c r="R14769" s="5">
        <v>6</v>
      </c>
      <c r="S14769" s="5">
        <v>30</v>
      </c>
    </row>
    <row r="14770" spans="1:19" ht="56" x14ac:dyDescent="0.15">
      <c r="A14770" s="2">
        <f>HYPERLINK("https://open-school.uspishnemisto.com.ua/school/710113/", 710113)</f>
        <v>710113</v>
      </c>
      <c r="B14770" s="3" t="s">
        <v>74454</v>
      </c>
      <c r="C14770" s="3" t="s">
        <v>54</v>
      </c>
      <c r="D14770" s="3" t="s">
        <v>60</v>
      </c>
      <c r="E14770" s="4" t="s">
        <v>22</v>
      </c>
      <c r="F14770" s="4" t="s">
        <v>74455</v>
      </c>
      <c r="G14770" s="4" t="s">
        <v>74456</v>
      </c>
      <c r="H14770" s="3" t="s">
        <v>73938</v>
      </c>
      <c r="I14770" s="3" t="s">
        <v>1803</v>
      </c>
      <c r="J14770" s="3" t="s">
        <v>297</v>
      </c>
      <c r="K14770" s="3" t="s">
        <v>74457</v>
      </c>
      <c r="L14770" s="3" t="s">
        <v>74458</v>
      </c>
      <c r="M14770" s="4"/>
      <c r="N14770" s="3" t="s">
        <v>37</v>
      </c>
      <c r="O14770" s="3" t="s">
        <v>52</v>
      </c>
      <c r="P14770" s="5">
        <v>3</v>
      </c>
      <c r="Q14770" s="5">
        <v>19</v>
      </c>
      <c r="R14770" s="5">
        <v>3</v>
      </c>
      <c r="S14770" s="5">
        <v>19</v>
      </c>
    </row>
    <row r="14771" spans="1:19" ht="42" x14ac:dyDescent="0.15">
      <c r="A14771" s="2">
        <f>HYPERLINK("https://open-school.uspishnemisto.com.ua/school/710114/", 710114)</f>
        <v>710114</v>
      </c>
      <c r="B14771" s="3" t="s">
        <v>74459</v>
      </c>
      <c r="C14771" s="3" t="s">
        <v>31</v>
      </c>
      <c r="D14771" s="3" t="s">
        <v>32</v>
      </c>
      <c r="E14771" s="4" t="s">
        <v>22</v>
      </c>
      <c r="F14771" s="4" t="s">
        <v>74460</v>
      </c>
      <c r="G14771" s="4" t="s">
        <v>74461</v>
      </c>
      <c r="H14771" s="3" t="s">
        <v>73938</v>
      </c>
      <c r="I14771" s="3" t="s">
        <v>74462</v>
      </c>
      <c r="J14771" s="3" t="s">
        <v>74463</v>
      </c>
      <c r="K14771" s="3" t="s">
        <v>74464</v>
      </c>
      <c r="L14771" s="3" t="s">
        <v>74465</v>
      </c>
      <c r="M14771" s="4"/>
      <c r="N14771" s="3" t="s">
        <v>37</v>
      </c>
      <c r="O14771" s="3" t="s">
        <v>38</v>
      </c>
      <c r="P14771" s="5">
        <v>11</v>
      </c>
      <c r="Q14771" s="5">
        <v>173</v>
      </c>
      <c r="R14771" s="5">
        <v>11</v>
      </c>
      <c r="S14771" s="5">
        <v>171</v>
      </c>
    </row>
    <row r="14772" spans="1:19" ht="42" x14ac:dyDescent="0.15">
      <c r="A14772" s="2">
        <f>HYPERLINK("https://open-school.uspishnemisto.com.ua/school/710115/", 710115)</f>
        <v>710115</v>
      </c>
      <c r="B14772" s="3" t="s">
        <v>74466</v>
      </c>
      <c r="C14772" s="3" t="s">
        <v>31</v>
      </c>
      <c r="D14772" s="3" t="s">
        <v>32</v>
      </c>
      <c r="E14772" s="4" t="s">
        <v>22</v>
      </c>
      <c r="F14772" s="4" t="s">
        <v>74467</v>
      </c>
      <c r="G14772" s="4" t="s">
        <v>74461</v>
      </c>
      <c r="H14772" s="3" t="s">
        <v>73938</v>
      </c>
      <c r="I14772" s="3" t="s">
        <v>74462</v>
      </c>
      <c r="J14772" s="3" t="s">
        <v>74468</v>
      </c>
      <c r="K14772" s="3" t="s">
        <v>74469</v>
      </c>
      <c r="L14772" s="3" t="s">
        <v>74470</v>
      </c>
      <c r="M14772" s="4"/>
      <c r="N14772" s="3" t="s">
        <v>37</v>
      </c>
      <c r="O14772" s="3" t="s">
        <v>38</v>
      </c>
      <c r="P14772" s="5">
        <v>11</v>
      </c>
      <c r="Q14772" s="5">
        <v>83</v>
      </c>
      <c r="R14772" s="5">
        <v>11</v>
      </c>
      <c r="S14772" s="5">
        <v>80</v>
      </c>
    </row>
    <row r="14773" spans="1:19" ht="28" x14ac:dyDescent="0.15">
      <c r="A14773" s="2">
        <f>HYPERLINK("https://open-school.uspishnemisto.com.ua/school/710116/", 710116)</f>
        <v>710116</v>
      </c>
      <c r="B14773" s="3" t="s">
        <v>74471</v>
      </c>
      <c r="C14773" s="3" t="s">
        <v>31</v>
      </c>
      <c r="D14773" s="3" t="s">
        <v>32</v>
      </c>
      <c r="E14773" s="4" t="s">
        <v>22</v>
      </c>
      <c r="F14773" s="4" t="s">
        <v>74472</v>
      </c>
      <c r="G14773" s="4" t="s">
        <v>74473</v>
      </c>
      <c r="H14773" s="3" t="s">
        <v>73938</v>
      </c>
      <c r="I14773" s="3" t="s">
        <v>74474</v>
      </c>
      <c r="J14773" s="3" t="s">
        <v>74475</v>
      </c>
      <c r="K14773" s="3" t="s">
        <v>74476</v>
      </c>
      <c r="L14773" s="3" t="s">
        <v>74477</v>
      </c>
      <c r="M14773" s="4"/>
      <c r="N14773" s="3" t="s">
        <v>37</v>
      </c>
      <c r="O14773" s="3" t="s">
        <v>38</v>
      </c>
      <c r="P14773" s="5">
        <v>11</v>
      </c>
      <c r="Q14773" s="5">
        <v>135</v>
      </c>
      <c r="R14773" s="5">
        <v>11</v>
      </c>
      <c r="S14773" s="5">
        <v>151</v>
      </c>
    </row>
    <row r="14774" spans="1:19" ht="56" x14ac:dyDescent="0.15">
      <c r="A14774" s="2">
        <f>HYPERLINK("https://open-school.uspishnemisto.com.ua/school/710117/", 710117)</f>
        <v>710117</v>
      </c>
      <c r="B14774" s="3" t="s">
        <v>74478</v>
      </c>
      <c r="C14774" s="3" t="s">
        <v>54</v>
      </c>
      <c r="D14774" s="3" t="s">
        <v>175</v>
      </c>
      <c r="E14774" s="4" t="s">
        <v>22</v>
      </c>
      <c r="F14774" s="4" t="s">
        <v>74479</v>
      </c>
      <c r="G14774" s="4" t="s">
        <v>74480</v>
      </c>
      <c r="H14774" s="3" t="s">
        <v>73938</v>
      </c>
      <c r="I14774" s="3" t="s">
        <v>12423</v>
      </c>
      <c r="J14774" s="3" t="s">
        <v>74481</v>
      </c>
      <c r="K14774" s="3" t="s">
        <v>74482</v>
      </c>
      <c r="L14774" s="3" t="s">
        <v>74483</v>
      </c>
      <c r="M14774" s="4"/>
      <c r="N14774" s="3" t="s">
        <v>37</v>
      </c>
      <c r="O14774" s="3" t="s">
        <v>38</v>
      </c>
      <c r="P14774" s="5">
        <v>8</v>
      </c>
      <c r="Q14774" s="5">
        <v>54</v>
      </c>
      <c r="R14774" s="5">
        <v>8</v>
      </c>
      <c r="S14774" s="5">
        <v>51</v>
      </c>
    </row>
    <row r="14775" spans="1:19" ht="28" x14ac:dyDescent="0.15">
      <c r="A14775" s="2">
        <f>HYPERLINK("https://open-school.uspishnemisto.com.ua/school/710118/", 710118)</f>
        <v>710118</v>
      </c>
      <c r="B14775" s="3" t="s">
        <v>74484</v>
      </c>
      <c r="C14775" s="3" t="s">
        <v>31</v>
      </c>
      <c r="D14775" s="3" t="s">
        <v>32</v>
      </c>
      <c r="E14775" s="4" t="s">
        <v>22</v>
      </c>
      <c r="F14775" s="4" t="s">
        <v>74485</v>
      </c>
      <c r="G14775" s="4" t="s">
        <v>74486</v>
      </c>
      <c r="H14775" s="3" t="s">
        <v>73938</v>
      </c>
      <c r="I14775" s="3" t="s">
        <v>5674</v>
      </c>
      <c r="J14775" s="3" t="s">
        <v>2745</v>
      </c>
      <c r="K14775" s="3" t="s">
        <v>74487</v>
      </c>
      <c r="L14775" s="3" t="s">
        <v>74488</v>
      </c>
      <c r="M14775" s="4"/>
      <c r="N14775" s="3" t="s">
        <v>37</v>
      </c>
      <c r="O14775" s="3" t="s">
        <v>38</v>
      </c>
      <c r="P14775" s="5">
        <v>11</v>
      </c>
      <c r="Q14775" s="5">
        <v>105</v>
      </c>
      <c r="R14775" s="5">
        <v>11</v>
      </c>
      <c r="S14775" s="5">
        <v>115</v>
      </c>
    </row>
    <row r="14776" spans="1:19" ht="56" x14ac:dyDescent="0.15">
      <c r="A14776" s="2">
        <f>HYPERLINK("https://open-school.uspishnemisto.com.ua/school/710119/", 710119)</f>
        <v>710119</v>
      </c>
      <c r="B14776" s="3" t="s">
        <v>74489</v>
      </c>
      <c r="C14776" s="3" t="s">
        <v>54</v>
      </c>
      <c r="D14776" s="3" t="s">
        <v>32</v>
      </c>
      <c r="E14776" s="4" t="s">
        <v>22</v>
      </c>
      <c r="F14776" s="4" t="s">
        <v>74490</v>
      </c>
      <c r="G14776" s="4" t="s">
        <v>74491</v>
      </c>
      <c r="H14776" s="3" t="s">
        <v>73938</v>
      </c>
      <c r="I14776" s="3" t="s">
        <v>58375</v>
      </c>
      <c r="J14776" s="3" t="s">
        <v>2253</v>
      </c>
      <c r="K14776" s="3" t="s">
        <v>74492</v>
      </c>
      <c r="L14776" s="3" t="s">
        <v>74493</v>
      </c>
      <c r="M14776" s="4"/>
      <c r="N14776" s="3" t="s">
        <v>37</v>
      </c>
      <c r="O14776" s="3" t="s">
        <v>38</v>
      </c>
      <c r="P14776" s="5">
        <v>11</v>
      </c>
      <c r="Q14776" s="5">
        <v>60</v>
      </c>
      <c r="R14776" s="5">
        <v>10</v>
      </c>
      <c r="S14776" s="5">
        <v>61</v>
      </c>
    </row>
    <row r="14777" spans="1:19" ht="28" x14ac:dyDescent="0.15">
      <c r="A14777" s="2">
        <f>HYPERLINK("https://open-school.uspishnemisto.com.ua/school/710120/", 710120)</f>
        <v>710120</v>
      </c>
      <c r="B14777" s="3" t="s">
        <v>74494</v>
      </c>
      <c r="C14777" s="3" t="s">
        <v>31</v>
      </c>
      <c r="D14777" s="3" t="s">
        <v>32</v>
      </c>
      <c r="E14777" s="4" t="s">
        <v>22</v>
      </c>
      <c r="F14777" s="4" t="s">
        <v>74495</v>
      </c>
      <c r="G14777" s="4" t="s">
        <v>74496</v>
      </c>
      <c r="H14777" s="3" t="s">
        <v>73938</v>
      </c>
      <c r="I14777" s="3" t="s">
        <v>74497</v>
      </c>
      <c r="J14777" s="3" t="s">
        <v>74498</v>
      </c>
      <c r="K14777" s="3" t="s">
        <v>74499</v>
      </c>
      <c r="L14777" s="3" t="s">
        <v>74500</v>
      </c>
      <c r="M14777" s="4"/>
      <c r="N14777" s="3" t="s">
        <v>37</v>
      </c>
      <c r="O14777" s="3" t="s">
        <v>52</v>
      </c>
      <c r="P14777" s="5">
        <v>11</v>
      </c>
      <c r="Q14777" s="5">
        <v>170</v>
      </c>
      <c r="R14777" s="5">
        <v>11</v>
      </c>
      <c r="S14777" s="5">
        <v>170</v>
      </c>
    </row>
    <row r="14778" spans="1:19" ht="56" x14ac:dyDescent="0.15">
      <c r="A14778" s="2">
        <f>HYPERLINK("https://open-school.uspishnemisto.com.ua/school/710121/", 710121)</f>
        <v>710121</v>
      </c>
      <c r="B14778" s="3" t="s">
        <v>74501</v>
      </c>
      <c r="C14778" s="3" t="s">
        <v>31</v>
      </c>
      <c r="D14778" s="3" t="s">
        <v>32</v>
      </c>
      <c r="E14778" s="4" t="s">
        <v>22</v>
      </c>
      <c r="F14778" s="4" t="s">
        <v>74502</v>
      </c>
      <c r="G14778" s="4" t="s">
        <v>74503</v>
      </c>
      <c r="H14778" s="3" t="s">
        <v>73938</v>
      </c>
      <c r="I14778" s="3" t="s">
        <v>74504</v>
      </c>
      <c r="J14778" s="3" t="s">
        <v>5264</v>
      </c>
      <c r="K14778" s="3" t="s">
        <v>74505</v>
      </c>
      <c r="L14778" s="3" t="s">
        <v>74506</v>
      </c>
      <c r="M14778" s="4"/>
      <c r="N14778" s="3" t="s">
        <v>37</v>
      </c>
      <c r="O14778" s="3" t="s">
        <v>52</v>
      </c>
      <c r="P14778" s="5">
        <v>28</v>
      </c>
      <c r="Q14778" s="5">
        <v>590</v>
      </c>
      <c r="R14778" s="5">
        <v>27</v>
      </c>
      <c r="S14778" s="5">
        <v>575</v>
      </c>
    </row>
    <row r="14779" spans="1:19" ht="28" x14ac:dyDescent="0.15">
      <c r="A14779" s="2">
        <f>HYPERLINK("https://open-school.uspishnemisto.com.ua/school/710122/", 710122)</f>
        <v>710122</v>
      </c>
      <c r="B14779" s="3" t="s">
        <v>74507</v>
      </c>
      <c r="C14779" s="3" t="s">
        <v>31</v>
      </c>
      <c r="D14779" s="3" t="s">
        <v>32</v>
      </c>
      <c r="E14779" s="4" t="s">
        <v>22</v>
      </c>
      <c r="F14779" s="4" t="s">
        <v>74508</v>
      </c>
      <c r="G14779" s="4" t="s">
        <v>74509</v>
      </c>
      <c r="H14779" s="3" t="s">
        <v>73938</v>
      </c>
      <c r="I14779" s="3" t="s">
        <v>74510</v>
      </c>
      <c r="J14779" s="3" t="s">
        <v>74511</v>
      </c>
      <c r="K14779" s="3"/>
      <c r="L14779" s="3"/>
      <c r="M14779" s="4"/>
      <c r="N14779" s="3" t="s">
        <v>37</v>
      </c>
      <c r="O14779" s="3" t="s">
        <v>52</v>
      </c>
      <c r="P14779" s="5">
        <v>11</v>
      </c>
      <c r="Q14779" s="5">
        <v>205</v>
      </c>
      <c r="R14779" s="5">
        <v>11</v>
      </c>
      <c r="S14779" s="5">
        <v>211</v>
      </c>
    </row>
    <row r="14780" spans="1:19" ht="42" x14ac:dyDescent="0.15">
      <c r="A14780" s="2">
        <f>HYPERLINK("https://open-school.uspishnemisto.com.ua/school/710123/", 710123)</f>
        <v>710123</v>
      </c>
      <c r="B14780" s="3" t="s">
        <v>74512</v>
      </c>
      <c r="C14780" s="3" t="s">
        <v>54</v>
      </c>
      <c r="D14780" s="3" t="s">
        <v>60</v>
      </c>
      <c r="E14780" s="4" t="s">
        <v>22</v>
      </c>
      <c r="F14780" s="4"/>
      <c r="G14780" s="4" t="s">
        <v>74513</v>
      </c>
      <c r="H14780" s="3" t="s">
        <v>73938</v>
      </c>
      <c r="I14780" s="3" t="s">
        <v>12579</v>
      </c>
      <c r="J14780" s="3"/>
      <c r="K14780" s="3" t="s">
        <v>74514</v>
      </c>
      <c r="L14780" s="3"/>
      <c r="M14780" s="4"/>
      <c r="N14780" s="3" t="s">
        <v>37</v>
      </c>
      <c r="O14780" s="3" t="s">
        <v>52</v>
      </c>
      <c r="P14780" s="5">
        <v>0</v>
      </c>
      <c r="Q14780" s="5">
        <v>12</v>
      </c>
      <c r="R14780" s="5">
        <v>4</v>
      </c>
      <c r="S14780" s="5">
        <v>14</v>
      </c>
    </row>
    <row r="14781" spans="1:19" ht="28" x14ac:dyDescent="0.15">
      <c r="A14781" s="2">
        <f>HYPERLINK("https://open-school.uspishnemisto.com.ua/school/710124/", 710124)</f>
        <v>710124</v>
      </c>
      <c r="B14781" s="3" t="s">
        <v>74515</v>
      </c>
      <c r="C14781" s="3" t="s">
        <v>31</v>
      </c>
      <c r="D14781" s="3" t="s">
        <v>32</v>
      </c>
      <c r="E14781" s="4" t="s">
        <v>22</v>
      </c>
      <c r="F14781" s="4" t="s">
        <v>74516</v>
      </c>
      <c r="G14781" s="4" t="s">
        <v>74517</v>
      </c>
      <c r="H14781" s="3" t="s">
        <v>73938</v>
      </c>
      <c r="I14781" s="3" t="s">
        <v>74518</v>
      </c>
      <c r="J14781" s="3" t="s">
        <v>1668</v>
      </c>
      <c r="K14781" s="3" t="s">
        <v>74519</v>
      </c>
      <c r="L14781" s="3"/>
      <c r="M14781" s="4"/>
      <c r="N14781" s="3" t="s">
        <v>37</v>
      </c>
      <c r="O14781" s="3" t="s">
        <v>46</v>
      </c>
      <c r="P14781" s="5">
        <v>10</v>
      </c>
      <c r="Q14781" s="5">
        <v>81</v>
      </c>
      <c r="R14781" s="5">
        <v>8</v>
      </c>
      <c r="S14781" s="5">
        <v>78</v>
      </c>
    </row>
    <row r="14782" spans="1:19" ht="28" x14ac:dyDescent="0.15">
      <c r="A14782" s="2">
        <f>HYPERLINK("https://open-school.uspishnemisto.com.ua/school/710125/", 710125)</f>
        <v>710125</v>
      </c>
      <c r="B14782" s="3" t="s">
        <v>74520</v>
      </c>
      <c r="C14782" s="3" t="s">
        <v>31</v>
      </c>
      <c r="D14782" s="3" t="s">
        <v>32</v>
      </c>
      <c r="E14782" s="4" t="s">
        <v>22</v>
      </c>
      <c r="F14782" s="4" t="s">
        <v>74521</v>
      </c>
      <c r="G14782" s="4" t="s">
        <v>74522</v>
      </c>
      <c r="H14782" s="3" t="s">
        <v>73938</v>
      </c>
      <c r="I14782" s="3" t="s">
        <v>3744</v>
      </c>
      <c r="J14782" s="3" t="s">
        <v>74523</v>
      </c>
      <c r="K14782" s="3" t="s">
        <v>74524</v>
      </c>
      <c r="L14782" s="3"/>
      <c r="M14782" s="4"/>
      <c r="N14782" s="3" t="s">
        <v>37</v>
      </c>
      <c r="O14782" s="3" t="s">
        <v>52</v>
      </c>
      <c r="P14782" s="5">
        <v>11</v>
      </c>
      <c r="Q14782" s="5">
        <v>125</v>
      </c>
      <c r="R14782" s="5">
        <v>11</v>
      </c>
      <c r="S14782" s="5">
        <v>125</v>
      </c>
    </row>
    <row r="14783" spans="1:19" ht="28" x14ac:dyDescent="0.15">
      <c r="A14783" s="2">
        <f>HYPERLINK("https://open-school.uspishnemisto.com.ua/school/710126/", 710126)</f>
        <v>710126</v>
      </c>
      <c r="B14783" s="3" t="s">
        <v>74525</v>
      </c>
      <c r="C14783" s="3" t="s">
        <v>31</v>
      </c>
      <c r="D14783" s="3" t="s">
        <v>175</v>
      </c>
      <c r="E14783" s="4" t="s">
        <v>22</v>
      </c>
      <c r="F14783" s="4" t="s">
        <v>74526</v>
      </c>
      <c r="G14783" s="4" t="s">
        <v>74527</v>
      </c>
      <c r="H14783" s="3" t="s">
        <v>73938</v>
      </c>
      <c r="I14783" s="3" t="s">
        <v>74528</v>
      </c>
      <c r="J14783" s="3" t="s">
        <v>74529</v>
      </c>
      <c r="K14783" s="3" t="s">
        <v>74530</v>
      </c>
      <c r="L14783" s="3"/>
      <c r="M14783" s="4"/>
      <c r="N14783" s="3" t="s">
        <v>37</v>
      </c>
      <c r="O14783" s="3" t="s">
        <v>52</v>
      </c>
      <c r="P14783" s="5">
        <v>1</v>
      </c>
      <c r="Q14783" s="5">
        <v>26</v>
      </c>
      <c r="R14783" s="5">
        <v>2</v>
      </c>
      <c r="S14783" s="5">
        <v>29</v>
      </c>
    </row>
    <row r="14784" spans="1:19" ht="28" x14ac:dyDescent="0.15">
      <c r="A14784" s="2">
        <f>HYPERLINK("https://open-school.uspishnemisto.com.ua/school/710127/", 710127)</f>
        <v>710127</v>
      </c>
      <c r="B14784" s="3" t="s">
        <v>74531</v>
      </c>
      <c r="C14784" s="3" t="s">
        <v>31</v>
      </c>
      <c r="D14784" s="3" t="s">
        <v>32</v>
      </c>
      <c r="E14784" s="4" t="s">
        <v>22</v>
      </c>
      <c r="F14784" s="4" t="s">
        <v>74532</v>
      </c>
      <c r="G14784" s="4" t="s">
        <v>74533</v>
      </c>
      <c r="H14784" s="3" t="s">
        <v>73938</v>
      </c>
      <c r="I14784" s="3" t="s">
        <v>74534</v>
      </c>
      <c r="J14784" s="3" t="s">
        <v>2745</v>
      </c>
      <c r="K14784" s="3" t="s">
        <v>74535</v>
      </c>
      <c r="L14784" s="3" t="s">
        <v>74536</v>
      </c>
      <c r="M14784" s="4"/>
      <c r="N14784" s="3" t="s">
        <v>37</v>
      </c>
      <c r="O14784" s="3" t="s">
        <v>52</v>
      </c>
      <c r="P14784" s="5">
        <v>3</v>
      </c>
      <c r="Q14784" s="5">
        <v>37</v>
      </c>
      <c r="R14784" s="5">
        <v>3</v>
      </c>
      <c r="S14784" s="5">
        <v>33</v>
      </c>
    </row>
    <row r="14785" spans="1:19" ht="28" x14ac:dyDescent="0.15">
      <c r="A14785" s="2">
        <f>HYPERLINK("https://open-school.uspishnemisto.com.ua/school/710128/", 710128)</f>
        <v>710128</v>
      </c>
      <c r="B14785" s="3" t="s">
        <v>74537</v>
      </c>
      <c r="C14785" s="3" t="s">
        <v>31</v>
      </c>
      <c r="D14785" s="3" t="s">
        <v>32</v>
      </c>
      <c r="E14785" s="4" t="s">
        <v>22</v>
      </c>
      <c r="F14785" s="4" t="s">
        <v>74538</v>
      </c>
      <c r="G14785" s="4" t="s">
        <v>74539</v>
      </c>
      <c r="H14785" s="3" t="s">
        <v>73938</v>
      </c>
      <c r="I14785" s="3" t="s">
        <v>604</v>
      </c>
      <c r="J14785" s="3" t="s">
        <v>2226</v>
      </c>
      <c r="K14785" s="3" t="s">
        <v>74540</v>
      </c>
      <c r="L14785" s="3"/>
      <c r="M14785" s="4"/>
      <c r="N14785" s="3" t="s">
        <v>37</v>
      </c>
      <c r="O14785" s="3" t="s">
        <v>52</v>
      </c>
      <c r="P14785" s="5">
        <v>11</v>
      </c>
      <c r="Q14785" s="5">
        <v>106</v>
      </c>
      <c r="R14785" s="5">
        <v>11</v>
      </c>
      <c r="S14785" s="5">
        <v>113</v>
      </c>
    </row>
    <row r="14786" spans="1:19" ht="28" x14ac:dyDescent="0.15">
      <c r="A14786" s="2">
        <f>HYPERLINK("https://open-school.uspishnemisto.com.ua/school/710129/", 710129)</f>
        <v>710129</v>
      </c>
      <c r="B14786" s="3" t="s">
        <v>74541</v>
      </c>
      <c r="C14786" s="3" t="s">
        <v>31</v>
      </c>
      <c r="D14786" s="3" t="s">
        <v>32</v>
      </c>
      <c r="E14786" s="4" t="s">
        <v>22</v>
      </c>
      <c r="F14786" s="4" t="s">
        <v>74542</v>
      </c>
      <c r="G14786" s="4" t="s">
        <v>74543</v>
      </c>
      <c r="H14786" s="3" t="s">
        <v>73938</v>
      </c>
      <c r="I14786" s="3" t="s">
        <v>74544</v>
      </c>
      <c r="J14786" s="3" t="s">
        <v>74545</v>
      </c>
      <c r="K14786" s="3"/>
      <c r="L14786" s="3"/>
      <c r="M14786" s="4"/>
      <c r="N14786" s="3" t="s">
        <v>37</v>
      </c>
      <c r="O14786" s="3" t="s">
        <v>38</v>
      </c>
      <c r="P14786" s="5">
        <v>11</v>
      </c>
      <c r="Q14786" s="5">
        <v>138</v>
      </c>
      <c r="R14786" s="5">
        <v>11</v>
      </c>
      <c r="S14786" s="5">
        <v>135</v>
      </c>
    </row>
    <row r="14787" spans="1:19" ht="28" x14ac:dyDescent="0.15">
      <c r="A14787" s="2">
        <f>HYPERLINK("https://open-school.uspishnemisto.com.ua/school/710130/", 710130)</f>
        <v>710130</v>
      </c>
      <c r="B14787" s="3" t="s">
        <v>74546</v>
      </c>
      <c r="C14787" s="3" t="s">
        <v>31</v>
      </c>
      <c r="D14787" s="3" t="s">
        <v>32</v>
      </c>
      <c r="E14787" s="4" t="s">
        <v>22</v>
      </c>
      <c r="F14787" s="4" t="s">
        <v>74547</v>
      </c>
      <c r="G14787" s="4" t="s">
        <v>74548</v>
      </c>
      <c r="H14787" s="3" t="s">
        <v>73938</v>
      </c>
      <c r="I14787" s="3" t="s">
        <v>74549</v>
      </c>
      <c r="J14787" s="3" t="s">
        <v>2687</v>
      </c>
      <c r="K14787" s="3" t="s">
        <v>74550</v>
      </c>
      <c r="L14787" s="3"/>
      <c r="M14787" s="4"/>
      <c r="N14787" s="3" t="s">
        <v>37</v>
      </c>
      <c r="O14787" s="3" t="s">
        <v>52</v>
      </c>
      <c r="P14787" s="5">
        <v>11</v>
      </c>
      <c r="Q14787" s="5">
        <v>100</v>
      </c>
      <c r="R14787" s="5">
        <v>11</v>
      </c>
      <c r="S14787" s="5">
        <v>110</v>
      </c>
    </row>
    <row r="14788" spans="1:19" ht="28" x14ac:dyDescent="0.15">
      <c r="A14788" s="2">
        <f>HYPERLINK("https://open-school.uspishnemisto.com.ua/school/710131/", 710131)</f>
        <v>710131</v>
      </c>
      <c r="B14788" s="3" t="s">
        <v>74551</v>
      </c>
      <c r="C14788" s="3" t="s">
        <v>31</v>
      </c>
      <c r="D14788" s="3" t="s">
        <v>32</v>
      </c>
      <c r="E14788" s="4" t="s">
        <v>22</v>
      </c>
      <c r="F14788" s="4" t="s">
        <v>74552</v>
      </c>
      <c r="G14788" s="4" t="s">
        <v>74553</v>
      </c>
      <c r="H14788" s="3" t="s">
        <v>73938</v>
      </c>
      <c r="I14788" s="3" t="s">
        <v>74554</v>
      </c>
      <c r="J14788" s="3" t="s">
        <v>74555</v>
      </c>
      <c r="K14788" s="3" t="s">
        <v>74556</v>
      </c>
      <c r="L14788" s="3"/>
      <c r="M14788" s="4"/>
      <c r="N14788" s="3" t="s">
        <v>37</v>
      </c>
      <c r="O14788" s="3" t="s">
        <v>52</v>
      </c>
      <c r="P14788" s="5">
        <v>11</v>
      </c>
      <c r="Q14788" s="5">
        <v>125</v>
      </c>
      <c r="R14788" s="5">
        <v>11</v>
      </c>
      <c r="S14788" s="5">
        <v>125</v>
      </c>
    </row>
    <row r="14789" spans="1:19" ht="42" x14ac:dyDescent="0.15">
      <c r="A14789" s="2">
        <f>HYPERLINK("https://open-school.uspishnemisto.com.ua/school/710132/", 710132)</f>
        <v>710132</v>
      </c>
      <c r="B14789" s="3" t="s">
        <v>74557</v>
      </c>
      <c r="C14789" s="3" t="s">
        <v>54</v>
      </c>
      <c r="D14789" s="3" t="s">
        <v>60</v>
      </c>
      <c r="E14789" s="4" t="s">
        <v>22</v>
      </c>
      <c r="F14789" s="4" t="s">
        <v>74558</v>
      </c>
      <c r="G14789" s="4" t="s">
        <v>74559</v>
      </c>
      <c r="H14789" s="3" t="s">
        <v>73938</v>
      </c>
      <c r="I14789" s="3" t="s">
        <v>74560</v>
      </c>
      <c r="J14789" s="3" t="s">
        <v>6042</v>
      </c>
      <c r="K14789" s="3" t="s">
        <v>74561</v>
      </c>
      <c r="L14789" s="3"/>
      <c r="M14789" s="4"/>
      <c r="N14789" s="3" t="s">
        <v>37</v>
      </c>
      <c r="O14789" s="3" t="s">
        <v>52</v>
      </c>
      <c r="P14789" s="5">
        <v>0</v>
      </c>
      <c r="Q14789" s="5">
        <v>7</v>
      </c>
      <c r="R14789" s="5">
        <v>1</v>
      </c>
      <c r="S14789" s="5">
        <v>9</v>
      </c>
    </row>
    <row r="14790" spans="1:19" ht="28" x14ac:dyDescent="0.15">
      <c r="A14790" s="2">
        <f>HYPERLINK("https://open-school.uspishnemisto.com.ua/school/710133/", 710133)</f>
        <v>710133</v>
      </c>
      <c r="B14790" s="3" t="s">
        <v>74562</v>
      </c>
      <c r="C14790" s="3" t="s">
        <v>31</v>
      </c>
      <c r="D14790" s="3" t="s">
        <v>32</v>
      </c>
      <c r="E14790" s="4" t="s">
        <v>22</v>
      </c>
      <c r="F14790" s="4" t="s">
        <v>74563</v>
      </c>
      <c r="G14790" s="4" t="s">
        <v>74564</v>
      </c>
      <c r="H14790" s="3" t="s">
        <v>73938</v>
      </c>
      <c r="I14790" s="3" t="s">
        <v>74565</v>
      </c>
      <c r="J14790" s="3" t="s">
        <v>6405</v>
      </c>
      <c r="K14790" s="3" t="s">
        <v>53931</v>
      </c>
      <c r="L14790" s="3"/>
      <c r="M14790" s="4"/>
      <c r="N14790" s="3" t="s">
        <v>37</v>
      </c>
      <c r="O14790" s="3" t="s">
        <v>52</v>
      </c>
      <c r="P14790" s="5">
        <v>9</v>
      </c>
      <c r="Q14790" s="5">
        <v>69</v>
      </c>
      <c r="R14790" s="5">
        <v>9</v>
      </c>
      <c r="S14790" s="5">
        <v>65</v>
      </c>
    </row>
    <row r="14791" spans="1:19" ht="42" x14ac:dyDescent="0.15">
      <c r="A14791" s="2">
        <f>HYPERLINK("https://open-school.uspishnemisto.com.ua/school/710134/", 710134)</f>
        <v>710134</v>
      </c>
      <c r="B14791" s="3" t="s">
        <v>74566</v>
      </c>
      <c r="C14791" s="3" t="s">
        <v>54</v>
      </c>
      <c r="D14791" s="3" t="s">
        <v>32</v>
      </c>
      <c r="E14791" s="4" t="s">
        <v>22</v>
      </c>
      <c r="F14791" s="4" t="s">
        <v>74567</v>
      </c>
      <c r="G14791" s="4" t="s">
        <v>74568</v>
      </c>
      <c r="H14791" s="3" t="s">
        <v>73938</v>
      </c>
      <c r="I14791" s="3" t="s">
        <v>74569</v>
      </c>
      <c r="J14791" s="3" t="s">
        <v>74570</v>
      </c>
      <c r="K14791" s="3" t="s">
        <v>39428</v>
      </c>
      <c r="L14791" s="3"/>
      <c r="M14791" s="4"/>
      <c r="N14791" s="3" t="s">
        <v>37</v>
      </c>
      <c r="O14791" s="3" t="s">
        <v>46</v>
      </c>
      <c r="P14791" s="5">
        <v>10</v>
      </c>
      <c r="Q14791" s="5">
        <v>90</v>
      </c>
      <c r="R14791" s="5">
        <v>11</v>
      </c>
      <c r="S14791" s="5">
        <v>99</v>
      </c>
    </row>
    <row r="14792" spans="1:19" ht="56" x14ac:dyDescent="0.15">
      <c r="A14792" s="2">
        <f>HYPERLINK("https://open-school.uspishnemisto.com.ua/school/710135/", 710135)</f>
        <v>710135</v>
      </c>
      <c r="B14792" s="3" t="s">
        <v>74571</v>
      </c>
      <c r="C14792" s="3" t="s">
        <v>54</v>
      </c>
      <c r="D14792" s="3" t="s">
        <v>32</v>
      </c>
      <c r="E14792" s="4" t="s">
        <v>22</v>
      </c>
      <c r="F14792" s="4" t="s">
        <v>74572</v>
      </c>
      <c r="G14792" s="4" t="s">
        <v>74573</v>
      </c>
      <c r="H14792" s="3" t="s">
        <v>73938</v>
      </c>
      <c r="I14792" s="3" t="s">
        <v>2857</v>
      </c>
      <c r="J14792" s="3" t="s">
        <v>74574</v>
      </c>
      <c r="K14792" s="3" t="s">
        <v>74575</v>
      </c>
      <c r="L14792" s="3"/>
      <c r="M14792" s="4"/>
      <c r="N14792" s="3" t="s">
        <v>37</v>
      </c>
      <c r="O14792" s="3" t="s">
        <v>46</v>
      </c>
      <c r="P14792" s="5">
        <v>11</v>
      </c>
      <c r="Q14792" s="5">
        <v>86</v>
      </c>
      <c r="R14792" s="5">
        <v>11</v>
      </c>
      <c r="S14792" s="5">
        <v>88</v>
      </c>
    </row>
    <row r="14793" spans="1:19" ht="28" x14ac:dyDescent="0.15">
      <c r="A14793" s="2">
        <f>HYPERLINK("https://open-school.uspishnemisto.com.ua/school/710136/", 710136)</f>
        <v>710136</v>
      </c>
      <c r="B14793" s="3" t="s">
        <v>74576</v>
      </c>
      <c r="C14793" s="3" t="s">
        <v>54</v>
      </c>
      <c r="D14793" s="3" t="s">
        <v>60</v>
      </c>
      <c r="E14793" s="4" t="s">
        <v>22</v>
      </c>
      <c r="F14793" s="4" t="s">
        <v>74577</v>
      </c>
      <c r="G14793" s="4" t="s">
        <v>74578</v>
      </c>
      <c r="H14793" s="3" t="s">
        <v>73938</v>
      </c>
      <c r="I14793" s="3" t="s">
        <v>74579</v>
      </c>
      <c r="J14793" s="3" t="s">
        <v>74580</v>
      </c>
      <c r="K14793" s="3"/>
      <c r="L14793" s="3"/>
      <c r="M14793" s="4"/>
      <c r="N14793" s="3" t="s">
        <v>37</v>
      </c>
      <c r="O14793" s="3" t="s">
        <v>52</v>
      </c>
      <c r="P14793" s="5">
        <v>1</v>
      </c>
      <c r="Q14793" s="5">
        <v>10</v>
      </c>
      <c r="R14793" s="5">
        <v>1</v>
      </c>
      <c r="S14793" s="5">
        <v>10</v>
      </c>
    </row>
    <row r="14794" spans="1:19" ht="28" x14ac:dyDescent="0.15">
      <c r="A14794" s="2">
        <f>HYPERLINK("https://open-school.uspishnemisto.com.ua/school/710137/", 710137)</f>
        <v>710137</v>
      </c>
      <c r="B14794" s="3" t="s">
        <v>74581</v>
      </c>
      <c r="C14794" s="3" t="s">
        <v>31</v>
      </c>
      <c r="D14794" s="3" t="s">
        <v>32</v>
      </c>
      <c r="E14794" s="4" t="s">
        <v>22</v>
      </c>
      <c r="F14794" s="4" t="s">
        <v>74582</v>
      </c>
      <c r="G14794" s="4" t="s">
        <v>74583</v>
      </c>
      <c r="H14794" s="3" t="s">
        <v>73938</v>
      </c>
      <c r="I14794" s="3" t="s">
        <v>36970</v>
      </c>
      <c r="J14794" s="3" t="s">
        <v>32629</v>
      </c>
      <c r="K14794" s="3" t="s">
        <v>7680</v>
      </c>
      <c r="L14794" s="3"/>
      <c r="M14794" s="4"/>
      <c r="N14794" s="3" t="s">
        <v>37</v>
      </c>
      <c r="O14794" s="3" t="s">
        <v>52</v>
      </c>
      <c r="P14794" s="5">
        <v>8</v>
      </c>
      <c r="Q14794" s="5">
        <v>72</v>
      </c>
      <c r="R14794" s="5">
        <v>9</v>
      </c>
      <c r="S14794" s="5">
        <v>76</v>
      </c>
    </row>
    <row r="14795" spans="1:19" ht="42" x14ac:dyDescent="0.15">
      <c r="A14795" s="2">
        <f>HYPERLINK("https://open-school.uspishnemisto.com.ua/school/710138/", 710138)</f>
        <v>710138</v>
      </c>
      <c r="B14795" s="3" t="s">
        <v>74584</v>
      </c>
      <c r="C14795" s="3" t="s">
        <v>54</v>
      </c>
      <c r="D14795" s="3" t="s">
        <v>175</v>
      </c>
      <c r="E14795" s="4" t="s">
        <v>22</v>
      </c>
      <c r="F14795" s="4"/>
      <c r="G14795" s="4" t="s">
        <v>74585</v>
      </c>
      <c r="H14795" s="3" t="s">
        <v>73938</v>
      </c>
      <c r="I14795" s="3" t="s">
        <v>74586</v>
      </c>
      <c r="J14795" s="3" t="s">
        <v>43253</v>
      </c>
      <c r="K14795" s="3"/>
      <c r="L14795" s="3"/>
      <c r="M14795" s="4"/>
      <c r="N14795" s="3" t="s">
        <v>37</v>
      </c>
      <c r="O14795" s="3" t="s">
        <v>52</v>
      </c>
      <c r="P14795" s="5">
        <v>6</v>
      </c>
      <c r="Q14795" s="5">
        <v>38</v>
      </c>
      <c r="R14795" s="5">
        <v>6</v>
      </c>
      <c r="S14795" s="5">
        <v>39</v>
      </c>
    </row>
    <row r="14796" spans="1:19" ht="28" x14ac:dyDescent="0.15">
      <c r="A14796" s="2">
        <f>HYPERLINK("https://open-school.uspishnemisto.com.ua/school/710139/", 710139)</f>
        <v>710139</v>
      </c>
      <c r="B14796" s="3" t="s">
        <v>74587</v>
      </c>
      <c r="C14796" s="3" t="s">
        <v>31</v>
      </c>
      <c r="D14796" s="3" t="s">
        <v>60</v>
      </c>
      <c r="E14796" s="4" t="s">
        <v>22</v>
      </c>
      <c r="F14796" s="4" t="s">
        <v>74588</v>
      </c>
      <c r="G14796" s="4" t="s">
        <v>74589</v>
      </c>
      <c r="H14796" s="3" t="s">
        <v>73938</v>
      </c>
      <c r="I14796" s="3" t="s">
        <v>3790</v>
      </c>
      <c r="J14796" s="3" t="s">
        <v>74590</v>
      </c>
      <c r="K14796" s="3" t="s">
        <v>74591</v>
      </c>
      <c r="L14796" s="3"/>
      <c r="M14796" s="4"/>
      <c r="N14796" s="3" t="s">
        <v>37</v>
      </c>
      <c r="O14796" s="3" t="s">
        <v>52</v>
      </c>
      <c r="P14796" s="5">
        <v>1</v>
      </c>
      <c r="Q14796" s="5">
        <v>11</v>
      </c>
      <c r="R14796" s="5">
        <v>1</v>
      </c>
      <c r="S14796" s="5">
        <v>8</v>
      </c>
    </row>
    <row r="14797" spans="1:19" ht="28" x14ac:dyDescent="0.15">
      <c r="A14797" s="2">
        <f>HYPERLINK("https://open-school.uspishnemisto.com.ua/school/710140/", 710140)</f>
        <v>710140</v>
      </c>
      <c r="B14797" s="3" t="s">
        <v>74592</v>
      </c>
      <c r="C14797" s="3" t="s">
        <v>31</v>
      </c>
      <c r="D14797" s="3" t="s">
        <v>32</v>
      </c>
      <c r="E14797" s="4" t="s">
        <v>22</v>
      </c>
      <c r="F14797" s="4" t="s">
        <v>74593</v>
      </c>
      <c r="G14797" s="4" t="s">
        <v>74594</v>
      </c>
      <c r="H14797" s="3" t="s">
        <v>73938</v>
      </c>
      <c r="I14797" s="3" t="s">
        <v>74595</v>
      </c>
      <c r="J14797" s="3" t="s">
        <v>74596</v>
      </c>
      <c r="K14797" s="3" t="s">
        <v>74597</v>
      </c>
      <c r="L14797" s="3" t="s">
        <v>74598</v>
      </c>
      <c r="M14797" s="4"/>
      <c r="N14797" s="3" t="s">
        <v>37</v>
      </c>
      <c r="O14797" s="3" t="s">
        <v>52</v>
      </c>
      <c r="P14797" s="5">
        <v>5</v>
      </c>
      <c r="Q14797" s="5">
        <v>48</v>
      </c>
      <c r="R14797" s="5">
        <v>7</v>
      </c>
      <c r="S14797" s="5">
        <v>61</v>
      </c>
    </row>
    <row r="14798" spans="1:19" ht="56" x14ac:dyDescent="0.15">
      <c r="A14798" s="2">
        <f>HYPERLINK("https://open-school.uspishnemisto.com.ua/school/710141/", 710141)</f>
        <v>710141</v>
      </c>
      <c r="B14798" s="3" t="s">
        <v>74599</v>
      </c>
      <c r="C14798" s="3" t="s">
        <v>54</v>
      </c>
      <c r="D14798" s="3" t="s">
        <v>175</v>
      </c>
      <c r="E14798" s="4" t="s">
        <v>22</v>
      </c>
      <c r="F14798" s="4" t="s">
        <v>74600</v>
      </c>
      <c r="G14798" s="4" t="s">
        <v>74601</v>
      </c>
      <c r="H14798" s="3" t="s">
        <v>73938</v>
      </c>
      <c r="I14798" s="3" t="s">
        <v>74602</v>
      </c>
      <c r="J14798" s="3" t="s">
        <v>74603</v>
      </c>
      <c r="K14798" s="3" t="s">
        <v>74604</v>
      </c>
      <c r="L14798" s="3"/>
      <c r="M14798" s="4"/>
      <c r="N14798" s="3" t="s">
        <v>37</v>
      </c>
      <c r="O14798" s="3" t="s">
        <v>52</v>
      </c>
      <c r="P14798" s="5">
        <v>9</v>
      </c>
      <c r="Q14798" s="5">
        <v>109</v>
      </c>
      <c r="R14798" s="5">
        <v>9</v>
      </c>
      <c r="S14798" s="5">
        <v>113</v>
      </c>
    </row>
    <row r="14799" spans="1:19" ht="28" x14ac:dyDescent="0.15">
      <c r="A14799" s="2">
        <f>HYPERLINK("https://open-school.uspishnemisto.com.ua/school/710142/", 710142)</f>
        <v>710142</v>
      </c>
      <c r="B14799" s="3" t="s">
        <v>74605</v>
      </c>
      <c r="C14799" s="3" t="s">
        <v>31</v>
      </c>
      <c r="D14799" s="3" t="s">
        <v>175</v>
      </c>
      <c r="E14799" s="4" t="s">
        <v>22</v>
      </c>
      <c r="F14799" s="4" t="s">
        <v>74606</v>
      </c>
      <c r="G14799" s="4" t="s">
        <v>74607</v>
      </c>
      <c r="H14799" s="3" t="s">
        <v>73938</v>
      </c>
      <c r="I14799" s="3" t="s">
        <v>688</v>
      </c>
      <c r="J14799" s="3" t="s">
        <v>2384</v>
      </c>
      <c r="K14799" s="3" t="s">
        <v>74608</v>
      </c>
      <c r="L14799" s="3"/>
      <c r="M14799" s="4"/>
      <c r="N14799" s="3" t="s">
        <v>37</v>
      </c>
      <c r="O14799" s="3" t="s">
        <v>52</v>
      </c>
      <c r="P14799" s="5">
        <v>5</v>
      </c>
      <c r="Q14799" s="5">
        <v>49</v>
      </c>
      <c r="R14799" s="5">
        <v>6</v>
      </c>
      <c r="S14799" s="5">
        <v>49</v>
      </c>
    </row>
    <row r="14800" spans="1:19" ht="56" x14ac:dyDescent="0.15">
      <c r="A14800" s="2">
        <f>HYPERLINK("https://open-school.uspishnemisto.com.ua/school/710143/", 710143)</f>
        <v>710143</v>
      </c>
      <c r="B14800" s="3" t="s">
        <v>74609</v>
      </c>
      <c r="C14800" s="3" t="s">
        <v>54</v>
      </c>
      <c r="D14800" s="3" t="s">
        <v>32</v>
      </c>
      <c r="E14800" s="4" t="s">
        <v>22</v>
      </c>
      <c r="F14800" s="4" t="s">
        <v>74610</v>
      </c>
      <c r="G14800" s="4" t="s">
        <v>74611</v>
      </c>
      <c r="H14800" s="3" t="s">
        <v>73938</v>
      </c>
      <c r="I14800" s="3" t="s">
        <v>74612</v>
      </c>
      <c r="J14800" s="3" t="s">
        <v>2601</v>
      </c>
      <c r="K14800" s="3" t="s">
        <v>74613</v>
      </c>
      <c r="L14800" s="3"/>
      <c r="M14800" s="4"/>
      <c r="N14800" s="3" t="s">
        <v>37</v>
      </c>
      <c r="O14800" s="3" t="s">
        <v>52</v>
      </c>
      <c r="P14800" s="5">
        <v>10</v>
      </c>
      <c r="Q14800" s="5">
        <v>81</v>
      </c>
      <c r="R14800" s="5">
        <v>9</v>
      </c>
      <c r="S14800" s="5">
        <v>80</v>
      </c>
    </row>
    <row r="14801" spans="1:19" ht="42" x14ac:dyDescent="0.15">
      <c r="A14801" s="2">
        <f>HYPERLINK("https://open-school.uspishnemisto.com.ua/school/710144/", 710144)</f>
        <v>710144</v>
      </c>
      <c r="B14801" s="3" t="s">
        <v>74614</v>
      </c>
      <c r="C14801" s="3" t="s">
        <v>54</v>
      </c>
      <c r="D14801" s="3" t="s">
        <v>60</v>
      </c>
      <c r="E14801" s="4" t="s">
        <v>22</v>
      </c>
      <c r="F14801" s="4" t="s">
        <v>74610</v>
      </c>
      <c r="G14801" s="4" t="s">
        <v>74615</v>
      </c>
      <c r="H14801" s="3" t="s">
        <v>73938</v>
      </c>
      <c r="I14801" s="3" t="s">
        <v>6722</v>
      </c>
      <c r="J14801" s="3" t="s">
        <v>55077</v>
      </c>
      <c r="K14801" s="3"/>
      <c r="L14801" s="3"/>
      <c r="M14801" s="4"/>
      <c r="N14801" s="3" t="s">
        <v>37</v>
      </c>
      <c r="O14801" s="3" t="s">
        <v>52</v>
      </c>
      <c r="P14801" s="5">
        <v>0</v>
      </c>
      <c r="Q14801" s="5">
        <v>4</v>
      </c>
      <c r="R14801" s="5">
        <v>0</v>
      </c>
      <c r="S14801" s="5">
        <v>5</v>
      </c>
    </row>
    <row r="14802" spans="1:19" ht="56" x14ac:dyDescent="0.15">
      <c r="A14802" s="2">
        <f>HYPERLINK("https://open-school.uspishnemisto.com.ua/school/710145/", 710145)</f>
        <v>710145</v>
      </c>
      <c r="B14802" s="3" t="s">
        <v>74616</v>
      </c>
      <c r="C14802" s="3" t="s">
        <v>54</v>
      </c>
      <c r="D14802" s="3" t="s">
        <v>60</v>
      </c>
      <c r="E14802" s="4" t="s">
        <v>22</v>
      </c>
      <c r="F14802" s="4" t="s">
        <v>74617</v>
      </c>
      <c r="G14802" s="4" t="s">
        <v>74618</v>
      </c>
      <c r="H14802" s="3" t="s">
        <v>73938</v>
      </c>
      <c r="I14802" s="3" t="s">
        <v>53104</v>
      </c>
      <c r="J14802" s="3" t="s">
        <v>7647</v>
      </c>
      <c r="K14802" s="3"/>
      <c r="L14802" s="3"/>
      <c r="M14802" s="4"/>
      <c r="N14802" s="3" t="s">
        <v>37</v>
      </c>
      <c r="O14802" s="3" t="s">
        <v>52</v>
      </c>
      <c r="P14802" s="5">
        <v>0</v>
      </c>
      <c r="Q14802" s="5">
        <v>4</v>
      </c>
      <c r="R14802" s="5">
        <v>0</v>
      </c>
      <c r="S14802" s="5">
        <v>6</v>
      </c>
    </row>
    <row r="14803" spans="1:19" ht="56" x14ac:dyDescent="0.15">
      <c r="A14803" s="2">
        <f>HYPERLINK("https://open-school.uspishnemisto.com.ua/school/710146/", 710146)</f>
        <v>710146</v>
      </c>
      <c r="B14803" s="3" t="s">
        <v>74619</v>
      </c>
      <c r="C14803" s="3" t="s">
        <v>54</v>
      </c>
      <c r="D14803" s="3" t="s">
        <v>32</v>
      </c>
      <c r="E14803" s="4" t="s">
        <v>22</v>
      </c>
      <c r="F14803" s="4" t="s">
        <v>74620</v>
      </c>
      <c r="G14803" s="4" t="s">
        <v>74621</v>
      </c>
      <c r="H14803" s="3" t="s">
        <v>73938</v>
      </c>
      <c r="I14803" s="3" t="s">
        <v>74622</v>
      </c>
      <c r="J14803" s="3" t="s">
        <v>35513</v>
      </c>
      <c r="K14803" s="3"/>
      <c r="L14803" s="3"/>
      <c r="M14803" s="4"/>
      <c r="N14803" s="3" t="s">
        <v>37</v>
      </c>
      <c r="O14803" s="3" t="s">
        <v>52</v>
      </c>
      <c r="P14803" s="5">
        <v>7</v>
      </c>
      <c r="Q14803" s="5">
        <v>57</v>
      </c>
      <c r="R14803" s="5">
        <v>8</v>
      </c>
      <c r="S14803" s="5">
        <v>56</v>
      </c>
    </row>
    <row r="14804" spans="1:19" ht="28" x14ac:dyDescent="0.15">
      <c r="A14804" s="2">
        <f>HYPERLINK("https://open-school.uspishnemisto.com.ua/school/710147/", 710147)</f>
        <v>710147</v>
      </c>
      <c r="B14804" s="3" t="s">
        <v>74623</v>
      </c>
      <c r="C14804" s="3" t="s">
        <v>31</v>
      </c>
      <c r="D14804" s="3" t="s">
        <v>32</v>
      </c>
      <c r="E14804" s="4" t="s">
        <v>22</v>
      </c>
      <c r="F14804" s="4" t="s">
        <v>74624</v>
      </c>
      <c r="G14804" s="4" t="s">
        <v>74625</v>
      </c>
      <c r="H14804" s="3" t="s">
        <v>73938</v>
      </c>
      <c r="I14804" s="3" t="s">
        <v>31875</v>
      </c>
      <c r="J14804" s="3" t="s">
        <v>74626</v>
      </c>
      <c r="K14804" s="3" t="s">
        <v>74627</v>
      </c>
      <c r="L14804" s="3" t="s">
        <v>74628</v>
      </c>
      <c r="M14804" s="4"/>
      <c r="N14804" s="3" t="s">
        <v>37</v>
      </c>
      <c r="O14804" s="3" t="s">
        <v>52</v>
      </c>
      <c r="P14804" s="5">
        <v>10</v>
      </c>
      <c r="Q14804" s="5">
        <v>89</v>
      </c>
      <c r="R14804" s="5">
        <v>11</v>
      </c>
      <c r="S14804" s="5">
        <v>91</v>
      </c>
    </row>
    <row r="14805" spans="1:19" ht="56" x14ac:dyDescent="0.15">
      <c r="A14805" s="2">
        <f>HYPERLINK("https://open-school.uspishnemisto.com.ua/school/710148/", 710148)</f>
        <v>710148</v>
      </c>
      <c r="B14805" s="3" t="s">
        <v>74629</v>
      </c>
      <c r="C14805" s="3" t="s">
        <v>54</v>
      </c>
      <c r="D14805" s="3" t="s">
        <v>175</v>
      </c>
      <c r="E14805" s="4" t="s">
        <v>22</v>
      </c>
      <c r="F14805" s="4" t="s">
        <v>74630</v>
      </c>
      <c r="G14805" s="4" t="s">
        <v>74631</v>
      </c>
      <c r="H14805" s="3" t="s">
        <v>73938</v>
      </c>
      <c r="I14805" s="3" t="s">
        <v>74632</v>
      </c>
      <c r="J14805" s="3" t="s">
        <v>32629</v>
      </c>
      <c r="K14805" s="3" t="s">
        <v>74633</v>
      </c>
      <c r="L14805" s="3"/>
      <c r="M14805" s="4"/>
      <c r="N14805" s="3" t="s">
        <v>37</v>
      </c>
      <c r="O14805" s="3" t="s">
        <v>52</v>
      </c>
      <c r="P14805" s="5">
        <v>6</v>
      </c>
      <c r="Q14805" s="5">
        <v>38</v>
      </c>
      <c r="R14805" s="5">
        <v>6</v>
      </c>
      <c r="S14805" s="5">
        <v>39</v>
      </c>
    </row>
    <row r="14806" spans="1:19" ht="56" x14ac:dyDescent="0.15">
      <c r="A14806" s="2">
        <f>HYPERLINK("https://open-school.uspishnemisto.com.ua/school/710149/", 710149)</f>
        <v>710149</v>
      </c>
      <c r="B14806" s="3" t="s">
        <v>74634</v>
      </c>
      <c r="C14806" s="3" t="s">
        <v>31</v>
      </c>
      <c r="D14806" s="3" t="s">
        <v>32</v>
      </c>
      <c r="E14806" s="4" t="s">
        <v>22</v>
      </c>
      <c r="F14806" s="4"/>
      <c r="G14806" s="4" t="s">
        <v>74635</v>
      </c>
      <c r="H14806" s="3" t="s">
        <v>73938</v>
      </c>
      <c r="I14806" s="3" t="s">
        <v>74636</v>
      </c>
      <c r="J14806" s="3" t="s">
        <v>74637</v>
      </c>
      <c r="K14806" s="3"/>
      <c r="L14806" s="3"/>
      <c r="M14806" s="4"/>
      <c r="N14806" s="3" t="s">
        <v>37</v>
      </c>
      <c r="O14806" s="3" t="s">
        <v>52</v>
      </c>
      <c r="P14806" s="5">
        <v>8</v>
      </c>
      <c r="Q14806" s="5">
        <v>63</v>
      </c>
      <c r="R14806" s="5">
        <v>8</v>
      </c>
      <c r="S14806" s="5">
        <v>64</v>
      </c>
    </row>
    <row r="14807" spans="1:19" ht="28" x14ac:dyDescent="0.15">
      <c r="A14807" s="2">
        <f>HYPERLINK("https://open-school.uspishnemisto.com.ua/school/710150/", 710150)</f>
        <v>710150</v>
      </c>
      <c r="B14807" s="3" t="s">
        <v>74638</v>
      </c>
      <c r="C14807" s="3" t="s">
        <v>31</v>
      </c>
      <c r="D14807" s="3" t="s">
        <v>175</v>
      </c>
      <c r="E14807" s="4" t="s">
        <v>22</v>
      </c>
      <c r="F14807" s="4" t="s">
        <v>74639</v>
      </c>
      <c r="G14807" s="4" t="s">
        <v>74640</v>
      </c>
      <c r="H14807" s="3" t="s">
        <v>73938</v>
      </c>
      <c r="I14807" s="3" t="s">
        <v>1033</v>
      </c>
      <c r="J14807" s="3" t="s">
        <v>392</v>
      </c>
      <c r="K14807" s="3" t="s">
        <v>74641</v>
      </c>
      <c r="L14807" s="3" t="s">
        <v>74642</v>
      </c>
      <c r="M14807" s="4"/>
      <c r="N14807" s="3" t="s">
        <v>37</v>
      </c>
      <c r="O14807" s="3" t="s">
        <v>70</v>
      </c>
      <c r="P14807" s="5">
        <v>7</v>
      </c>
      <c r="Q14807" s="5">
        <v>49</v>
      </c>
      <c r="R14807" s="5">
        <v>8</v>
      </c>
      <c r="S14807" s="5">
        <v>56</v>
      </c>
    </row>
    <row r="14808" spans="1:19" ht="56" x14ac:dyDescent="0.15">
      <c r="A14808" s="2">
        <f>HYPERLINK("https://open-school.uspishnemisto.com.ua/school/710151/", 710151)</f>
        <v>710151</v>
      </c>
      <c r="B14808" s="3" t="s">
        <v>74643</v>
      </c>
      <c r="C14808" s="3" t="s">
        <v>54</v>
      </c>
      <c r="D14808" s="3" t="s">
        <v>175</v>
      </c>
      <c r="E14808" s="4" t="s">
        <v>22</v>
      </c>
      <c r="F14808" s="4" t="s">
        <v>74644</v>
      </c>
      <c r="G14808" s="4" t="s">
        <v>74645</v>
      </c>
      <c r="H14808" s="3" t="s">
        <v>73938</v>
      </c>
      <c r="I14808" s="3" t="s">
        <v>3178</v>
      </c>
      <c r="J14808" s="3" t="s">
        <v>74646</v>
      </c>
      <c r="K14808" s="3"/>
      <c r="L14808" s="3"/>
      <c r="M14808" s="4"/>
      <c r="N14808" s="3" t="s">
        <v>37</v>
      </c>
      <c r="O14808" s="3" t="s">
        <v>618</v>
      </c>
      <c r="P14808" s="5">
        <v>5</v>
      </c>
      <c r="Q14808" s="5">
        <v>38</v>
      </c>
      <c r="R14808" s="5">
        <v>7</v>
      </c>
      <c r="S14808" s="5">
        <v>43</v>
      </c>
    </row>
    <row r="14809" spans="1:19" ht="42" x14ac:dyDescent="0.15">
      <c r="A14809" s="2">
        <f>HYPERLINK("https://open-school.uspishnemisto.com.ua/school/710152/", 710152)</f>
        <v>710152</v>
      </c>
      <c r="B14809" s="3" t="s">
        <v>74647</v>
      </c>
      <c r="C14809" s="3" t="s">
        <v>31</v>
      </c>
      <c r="D14809" s="3" t="s">
        <v>32</v>
      </c>
      <c r="E14809" s="4" t="s">
        <v>22</v>
      </c>
      <c r="F14809" s="4" t="s">
        <v>74648</v>
      </c>
      <c r="G14809" s="4" t="s">
        <v>74649</v>
      </c>
      <c r="H14809" s="3" t="s">
        <v>73938</v>
      </c>
      <c r="I14809" s="3" t="s">
        <v>74650</v>
      </c>
      <c r="J14809" s="3" t="s">
        <v>74651</v>
      </c>
      <c r="K14809" s="3" t="s">
        <v>74652</v>
      </c>
      <c r="L14809" s="3"/>
      <c r="M14809" s="4"/>
      <c r="N14809" s="3" t="s">
        <v>37</v>
      </c>
      <c r="O14809" s="3" t="s">
        <v>38</v>
      </c>
      <c r="P14809" s="5">
        <v>22</v>
      </c>
      <c r="Q14809" s="5">
        <v>523</v>
      </c>
      <c r="R14809" s="5">
        <v>21</v>
      </c>
      <c r="S14809" s="5">
        <v>498</v>
      </c>
    </row>
    <row r="14810" spans="1:19" ht="28" x14ac:dyDescent="0.15">
      <c r="A14810" s="2">
        <f>HYPERLINK("https://open-school.uspishnemisto.com.ua/school/710153/", 710153)</f>
        <v>710153</v>
      </c>
      <c r="B14810" s="3" t="s">
        <v>74653</v>
      </c>
      <c r="C14810" s="3" t="s">
        <v>31</v>
      </c>
      <c r="D14810" s="3" t="s">
        <v>32</v>
      </c>
      <c r="E14810" s="4" t="s">
        <v>22</v>
      </c>
      <c r="F14810" s="4" t="s">
        <v>74648</v>
      </c>
      <c r="G14810" s="4" t="s">
        <v>74649</v>
      </c>
      <c r="H14810" s="3" t="s">
        <v>73938</v>
      </c>
      <c r="I14810" s="3" t="s">
        <v>74650</v>
      </c>
      <c r="J14810" s="3" t="s">
        <v>74654</v>
      </c>
      <c r="K14810" s="3" t="s">
        <v>74655</v>
      </c>
      <c r="L14810" s="3" t="s">
        <v>74656</v>
      </c>
      <c r="M14810" s="4"/>
      <c r="N14810" s="3" t="s">
        <v>37</v>
      </c>
      <c r="O14810" s="3" t="s">
        <v>52</v>
      </c>
      <c r="P14810" s="5">
        <v>11</v>
      </c>
      <c r="Q14810" s="5">
        <v>154</v>
      </c>
      <c r="R14810" s="5">
        <v>11</v>
      </c>
      <c r="S14810" s="5">
        <v>144</v>
      </c>
    </row>
    <row r="14811" spans="1:19" ht="28" x14ac:dyDescent="0.15">
      <c r="A14811" s="2">
        <f>HYPERLINK("https://open-school.uspishnemisto.com.ua/school/710154/", 710154)</f>
        <v>710154</v>
      </c>
      <c r="B14811" s="3" t="s">
        <v>74657</v>
      </c>
      <c r="C14811" s="3" t="s">
        <v>31</v>
      </c>
      <c r="D14811" s="3" t="s">
        <v>32</v>
      </c>
      <c r="E14811" s="4" t="s">
        <v>22</v>
      </c>
      <c r="F14811" s="4" t="s">
        <v>74648</v>
      </c>
      <c r="G14811" s="4" t="s">
        <v>74649</v>
      </c>
      <c r="H14811" s="3" t="s">
        <v>73938</v>
      </c>
      <c r="I14811" s="3" t="s">
        <v>74650</v>
      </c>
      <c r="J14811" s="3" t="s">
        <v>74658</v>
      </c>
      <c r="K14811" s="3" t="s">
        <v>74659</v>
      </c>
      <c r="L14811" s="3" t="s">
        <v>74660</v>
      </c>
      <c r="M14811" s="4"/>
      <c r="N14811" s="3" t="s">
        <v>37</v>
      </c>
      <c r="O14811" s="3" t="s">
        <v>38</v>
      </c>
      <c r="P14811" s="5">
        <v>11</v>
      </c>
      <c r="Q14811" s="5">
        <v>216</v>
      </c>
      <c r="R14811" s="5">
        <v>11</v>
      </c>
      <c r="S14811" s="5">
        <v>214</v>
      </c>
    </row>
    <row r="14812" spans="1:19" ht="28" x14ac:dyDescent="0.15">
      <c r="A14812" s="2">
        <f>HYPERLINK("https://open-school.uspishnemisto.com.ua/school/710155/", 710155)</f>
        <v>710155</v>
      </c>
      <c r="B14812" s="3" t="s">
        <v>74661</v>
      </c>
      <c r="C14812" s="3" t="s">
        <v>31</v>
      </c>
      <c r="D14812" s="3" t="s">
        <v>32</v>
      </c>
      <c r="E14812" s="4" t="s">
        <v>22</v>
      </c>
      <c r="F14812" s="4" t="s">
        <v>74648</v>
      </c>
      <c r="G14812" s="4" t="s">
        <v>74649</v>
      </c>
      <c r="H14812" s="3" t="s">
        <v>73938</v>
      </c>
      <c r="I14812" s="3" t="s">
        <v>74650</v>
      </c>
      <c r="J14812" s="3" t="s">
        <v>74662</v>
      </c>
      <c r="K14812" s="3" t="s">
        <v>74663</v>
      </c>
      <c r="L14812" s="3" t="s">
        <v>74664</v>
      </c>
      <c r="M14812" s="4"/>
      <c r="N14812" s="3" t="s">
        <v>37</v>
      </c>
      <c r="O14812" s="3" t="s">
        <v>52</v>
      </c>
      <c r="P14812" s="5">
        <v>11</v>
      </c>
      <c r="Q14812" s="5">
        <v>201</v>
      </c>
      <c r="R14812" s="5">
        <v>11</v>
      </c>
      <c r="S14812" s="5">
        <v>201</v>
      </c>
    </row>
    <row r="14813" spans="1:19" ht="28" x14ac:dyDescent="0.15">
      <c r="A14813" s="2">
        <f>HYPERLINK("https://open-school.uspishnemisto.com.ua/school/710156/", 710156)</f>
        <v>710156</v>
      </c>
      <c r="B14813" s="3" t="s">
        <v>74665</v>
      </c>
      <c r="C14813" s="3" t="s">
        <v>244</v>
      </c>
      <c r="D14813" s="3" t="s">
        <v>32</v>
      </c>
      <c r="E14813" s="4" t="s">
        <v>22</v>
      </c>
      <c r="F14813" s="4" t="s">
        <v>74648</v>
      </c>
      <c r="G14813" s="4" t="s">
        <v>74649</v>
      </c>
      <c r="H14813" s="3" t="s">
        <v>73938</v>
      </c>
      <c r="I14813" s="3" t="s">
        <v>74650</v>
      </c>
      <c r="J14813" s="3" t="s">
        <v>2884</v>
      </c>
      <c r="K14813" s="3" t="s">
        <v>74666</v>
      </c>
      <c r="L14813" s="3" t="s">
        <v>74667</v>
      </c>
      <c r="M14813" s="4"/>
      <c r="N14813" s="3" t="s">
        <v>37</v>
      </c>
      <c r="O14813" s="3" t="s">
        <v>123</v>
      </c>
      <c r="P14813" s="5">
        <v>33</v>
      </c>
      <c r="Q14813" s="5">
        <v>703</v>
      </c>
      <c r="R14813" s="5">
        <v>32</v>
      </c>
      <c r="S14813" s="5">
        <v>679</v>
      </c>
    </row>
    <row r="14814" spans="1:19" ht="28" x14ac:dyDescent="0.15">
      <c r="A14814" s="2">
        <f>HYPERLINK("https://open-school.uspishnemisto.com.ua/school/710157/", 710157)</f>
        <v>710157</v>
      </c>
      <c r="B14814" s="3" t="s">
        <v>74668</v>
      </c>
      <c r="C14814" s="3" t="s">
        <v>31</v>
      </c>
      <c r="D14814" s="3" t="s">
        <v>32</v>
      </c>
      <c r="E14814" s="4" t="s">
        <v>22</v>
      </c>
      <c r="F14814" s="4" t="s">
        <v>74669</v>
      </c>
      <c r="G14814" s="4" t="s">
        <v>74670</v>
      </c>
      <c r="H14814" s="3" t="s">
        <v>73938</v>
      </c>
      <c r="I14814" s="3" t="s">
        <v>1291</v>
      </c>
      <c r="J14814" s="3" t="s">
        <v>74671</v>
      </c>
      <c r="K14814" s="3" t="s">
        <v>74672</v>
      </c>
      <c r="L14814" s="3" t="s">
        <v>74673</v>
      </c>
      <c r="M14814" s="4"/>
      <c r="N14814" s="3" t="s">
        <v>37</v>
      </c>
      <c r="O14814" s="3" t="s">
        <v>38</v>
      </c>
      <c r="P14814" s="5">
        <v>10</v>
      </c>
      <c r="Q14814" s="5">
        <v>69</v>
      </c>
      <c r="R14814" s="5">
        <v>10</v>
      </c>
      <c r="S14814" s="5">
        <v>71</v>
      </c>
    </row>
    <row r="14815" spans="1:19" ht="28" x14ac:dyDescent="0.15">
      <c r="A14815" s="2">
        <f>HYPERLINK("https://open-school.uspishnemisto.com.ua/school/710158/", 710158)</f>
        <v>710158</v>
      </c>
      <c r="B14815" s="3" t="s">
        <v>74674</v>
      </c>
      <c r="C14815" s="3" t="s">
        <v>31</v>
      </c>
      <c r="D14815" s="3" t="s">
        <v>32</v>
      </c>
      <c r="E14815" s="4" t="s">
        <v>22</v>
      </c>
      <c r="F14815" s="4" t="s">
        <v>74675</v>
      </c>
      <c r="G14815" s="4" t="s">
        <v>74676</v>
      </c>
      <c r="H14815" s="3" t="s">
        <v>73938</v>
      </c>
      <c r="I14815" s="3" t="s">
        <v>74677</v>
      </c>
      <c r="J14815" s="3" t="s">
        <v>35572</v>
      </c>
      <c r="K14815" s="3" t="s">
        <v>74678</v>
      </c>
      <c r="L14815" s="3" t="s">
        <v>74679</v>
      </c>
      <c r="M14815" s="4"/>
      <c r="N14815" s="3" t="s">
        <v>37</v>
      </c>
      <c r="O14815" s="3" t="s">
        <v>52</v>
      </c>
      <c r="P14815" s="5">
        <v>9</v>
      </c>
      <c r="Q14815" s="5">
        <v>69</v>
      </c>
      <c r="R14815" s="5">
        <v>10</v>
      </c>
      <c r="S14815" s="5">
        <v>70</v>
      </c>
    </row>
    <row r="14816" spans="1:19" ht="28" x14ac:dyDescent="0.15">
      <c r="A14816" s="2">
        <f>HYPERLINK("https://open-school.uspishnemisto.com.ua/school/710159/", 710159)</f>
        <v>710159</v>
      </c>
      <c r="B14816" s="3" t="s">
        <v>74680</v>
      </c>
      <c r="C14816" s="3" t="s">
        <v>31</v>
      </c>
      <c r="D14816" s="3" t="s">
        <v>32</v>
      </c>
      <c r="E14816" s="4" t="s">
        <v>22</v>
      </c>
      <c r="F14816" s="4" t="s">
        <v>74681</v>
      </c>
      <c r="G14816" s="4" t="s">
        <v>74682</v>
      </c>
      <c r="H14816" s="3" t="s">
        <v>73938</v>
      </c>
      <c r="I14816" s="3" t="s">
        <v>11644</v>
      </c>
      <c r="J14816" s="3" t="s">
        <v>16287</v>
      </c>
      <c r="K14816" s="3" t="s">
        <v>74683</v>
      </c>
      <c r="L14816" s="3" t="s">
        <v>74684</v>
      </c>
      <c r="M14816" s="4"/>
      <c r="N14816" s="3" t="s">
        <v>37</v>
      </c>
      <c r="O14816" s="3" t="s">
        <v>46</v>
      </c>
      <c r="P14816" s="5">
        <v>13</v>
      </c>
      <c r="Q14816" s="5">
        <v>259</v>
      </c>
      <c r="R14816" s="5">
        <v>12</v>
      </c>
      <c r="S14816" s="5">
        <v>257</v>
      </c>
    </row>
    <row r="14817" spans="1:19" ht="28" x14ac:dyDescent="0.15">
      <c r="A14817" s="2">
        <f>HYPERLINK("https://open-school.uspishnemisto.com.ua/school/710160/", 710160)</f>
        <v>710160</v>
      </c>
      <c r="B14817" s="3" t="s">
        <v>74685</v>
      </c>
      <c r="C14817" s="3" t="s">
        <v>31</v>
      </c>
      <c r="D14817" s="3" t="s">
        <v>32</v>
      </c>
      <c r="E14817" s="4" t="s">
        <v>22</v>
      </c>
      <c r="F14817" s="4" t="s">
        <v>74686</v>
      </c>
      <c r="G14817" s="4" t="s">
        <v>74687</v>
      </c>
      <c r="H14817" s="3" t="s">
        <v>73938</v>
      </c>
      <c r="I14817" s="3" t="s">
        <v>74688</v>
      </c>
      <c r="J14817" s="3" t="s">
        <v>6468</v>
      </c>
      <c r="K14817" s="3" t="s">
        <v>74689</v>
      </c>
      <c r="L14817" s="3" t="s">
        <v>74690</v>
      </c>
      <c r="M14817" s="4"/>
      <c r="N14817" s="3" t="s">
        <v>37</v>
      </c>
      <c r="O14817" s="3" t="s">
        <v>46</v>
      </c>
      <c r="P14817" s="5">
        <v>10</v>
      </c>
      <c r="Q14817" s="5">
        <v>96</v>
      </c>
      <c r="R14817" s="5">
        <v>10</v>
      </c>
      <c r="S14817" s="5">
        <v>98</v>
      </c>
    </row>
    <row r="14818" spans="1:19" ht="28" x14ac:dyDescent="0.15">
      <c r="A14818" s="2">
        <f>HYPERLINK("https://open-school.uspishnemisto.com.ua/school/710161/", 710161)</f>
        <v>710161</v>
      </c>
      <c r="B14818" s="3" t="s">
        <v>74691</v>
      </c>
      <c r="C14818" s="3" t="s">
        <v>31</v>
      </c>
      <c r="D14818" s="3" t="s">
        <v>32</v>
      </c>
      <c r="E14818" s="4" t="s">
        <v>22</v>
      </c>
      <c r="F14818" s="4" t="s">
        <v>74692</v>
      </c>
      <c r="G14818" s="4" t="s">
        <v>74693</v>
      </c>
      <c r="H14818" s="3" t="s">
        <v>73938</v>
      </c>
      <c r="I14818" s="3" t="s">
        <v>74694</v>
      </c>
      <c r="J14818" s="3" t="s">
        <v>15380</v>
      </c>
      <c r="K14818" s="3" t="s">
        <v>74695</v>
      </c>
      <c r="L14818" s="3" t="s">
        <v>74696</v>
      </c>
      <c r="M14818" s="4"/>
      <c r="N14818" s="3" t="s">
        <v>37</v>
      </c>
      <c r="O14818" s="3" t="s">
        <v>52</v>
      </c>
      <c r="P14818" s="5">
        <v>6</v>
      </c>
      <c r="Q14818" s="5">
        <v>42</v>
      </c>
      <c r="R14818" s="5">
        <v>6</v>
      </c>
      <c r="S14818" s="5">
        <v>51</v>
      </c>
    </row>
    <row r="14819" spans="1:19" ht="28" x14ac:dyDescent="0.15">
      <c r="A14819" s="2">
        <f>HYPERLINK("https://open-school.uspishnemisto.com.ua/school/710162/", 710162)</f>
        <v>710162</v>
      </c>
      <c r="B14819" s="3" t="s">
        <v>74697</v>
      </c>
      <c r="C14819" s="3" t="s">
        <v>31</v>
      </c>
      <c r="D14819" s="3" t="s">
        <v>32</v>
      </c>
      <c r="E14819" s="4" t="s">
        <v>22</v>
      </c>
      <c r="F14819" s="4" t="s">
        <v>74698</v>
      </c>
      <c r="G14819" s="4" t="s">
        <v>74699</v>
      </c>
      <c r="H14819" s="3" t="s">
        <v>73938</v>
      </c>
      <c r="I14819" s="3" t="s">
        <v>74700</v>
      </c>
      <c r="J14819" s="3" t="s">
        <v>5029</v>
      </c>
      <c r="K14819" s="3" t="s">
        <v>74701</v>
      </c>
      <c r="L14819" s="3" t="s">
        <v>74702</v>
      </c>
      <c r="M14819" s="4"/>
      <c r="N14819" s="3" t="s">
        <v>37</v>
      </c>
      <c r="O14819" s="3" t="s">
        <v>46</v>
      </c>
      <c r="P14819" s="5">
        <v>10</v>
      </c>
      <c r="Q14819" s="5">
        <v>65</v>
      </c>
      <c r="R14819" s="5">
        <v>11</v>
      </c>
      <c r="S14819" s="5">
        <v>70</v>
      </c>
    </row>
    <row r="14820" spans="1:19" ht="28" x14ac:dyDescent="0.15">
      <c r="A14820" s="2">
        <f>HYPERLINK("https://open-school.uspishnemisto.com.ua/school/710163/", 710163)</f>
        <v>710163</v>
      </c>
      <c r="B14820" s="3" t="s">
        <v>74703</v>
      </c>
      <c r="C14820" s="3" t="s">
        <v>31</v>
      </c>
      <c r="D14820" s="3" t="s">
        <v>32</v>
      </c>
      <c r="E14820" s="4" t="s">
        <v>22</v>
      </c>
      <c r="F14820" s="4" t="s">
        <v>74704</v>
      </c>
      <c r="G14820" s="4" t="s">
        <v>74705</v>
      </c>
      <c r="H14820" s="3" t="s">
        <v>73938</v>
      </c>
      <c r="I14820" s="3" t="s">
        <v>74706</v>
      </c>
      <c r="J14820" s="3" t="s">
        <v>5264</v>
      </c>
      <c r="K14820" s="3" t="s">
        <v>74707</v>
      </c>
      <c r="L14820" s="3" t="s">
        <v>74708</v>
      </c>
      <c r="M14820" s="4"/>
      <c r="N14820" s="3" t="s">
        <v>37</v>
      </c>
      <c r="O14820" s="3" t="s">
        <v>46</v>
      </c>
      <c r="P14820" s="5">
        <v>7</v>
      </c>
      <c r="Q14820" s="5">
        <v>61</v>
      </c>
      <c r="R14820" s="5">
        <v>6</v>
      </c>
      <c r="S14820" s="5">
        <v>54</v>
      </c>
    </row>
    <row r="14821" spans="1:19" ht="28" x14ac:dyDescent="0.15">
      <c r="A14821" s="2">
        <f>HYPERLINK("https://open-school.uspishnemisto.com.ua/school/710164/", 710164)</f>
        <v>710164</v>
      </c>
      <c r="B14821" s="3" t="s">
        <v>74709</v>
      </c>
      <c r="C14821" s="3" t="s">
        <v>31</v>
      </c>
      <c r="D14821" s="3" t="s">
        <v>32</v>
      </c>
      <c r="E14821" s="4" t="s">
        <v>22</v>
      </c>
      <c r="F14821" s="4" t="s">
        <v>74710</v>
      </c>
      <c r="G14821" s="4" t="s">
        <v>74711</v>
      </c>
      <c r="H14821" s="3" t="s">
        <v>73938</v>
      </c>
      <c r="I14821" s="3" t="s">
        <v>74712</v>
      </c>
      <c r="J14821" s="3" t="s">
        <v>2745</v>
      </c>
      <c r="K14821" s="3" t="s">
        <v>74713</v>
      </c>
      <c r="L14821" s="3" t="s">
        <v>74714</v>
      </c>
      <c r="M14821" s="4"/>
      <c r="N14821" s="3" t="s">
        <v>37</v>
      </c>
      <c r="O14821" s="3" t="s">
        <v>38</v>
      </c>
      <c r="P14821" s="5">
        <v>6</v>
      </c>
      <c r="Q14821" s="5">
        <v>49</v>
      </c>
      <c r="R14821" s="5">
        <v>8</v>
      </c>
      <c r="S14821" s="5">
        <v>60</v>
      </c>
    </row>
    <row r="14822" spans="1:19" ht="28" x14ac:dyDescent="0.15">
      <c r="A14822" s="2">
        <f>HYPERLINK("https://open-school.uspishnemisto.com.ua/school/710165/", 710165)</f>
        <v>710165</v>
      </c>
      <c r="B14822" s="3" t="s">
        <v>74715</v>
      </c>
      <c r="C14822" s="3" t="s">
        <v>31</v>
      </c>
      <c r="D14822" s="3" t="s">
        <v>32</v>
      </c>
      <c r="E14822" s="4" t="s">
        <v>22</v>
      </c>
      <c r="F14822" s="4" t="s">
        <v>74716</v>
      </c>
      <c r="G14822" s="4" t="s">
        <v>74717</v>
      </c>
      <c r="H14822" s="3" t="s">
        <v>73938</v>
      </c>
      <c r="I14822" s="3" t="s">
        <v>74718</v>
      </c>
      <c r="J14822" s="3" t="s">
        <v>74719</v>
      </c>
      <c r="K14822" s="3" t="s">
        <v>74720</v>
      </c>
      <c r="L14822" s="3" t="s">
        <v>74721</v>
      </c>
      <c r="M14822" s="4"/>
      <c r="N14822" s="3" t="s">
        <v>37</v>
      </c>
      <c r="O14822" s="3" t="s">
        <v>52</v>
      </c>
      <c r="P14822" s="5">
        <v>10</v>
      </c>
      <c r="Q14822" s="5">
        <v>60</v>
      </c>
      <c r="R14822" s="5">
        <v>10</v>
      </c>
      <c r="S14822" s="5">
        <v>59</v>
      </c>
    </row>
    <row r="14823" spans="1:19" ht="28" x14ac:dyDescent="0.15">
      <c r="A14823" s="2">
        <f>HYPERLINK("https://open-school.uspishnemisto.com.ua/school/710166/", 710166)</f>
        <v>710166</v>
      </c>
      <c r="B14823" s="3" t="s">
        <v>74722</v>
      </c>
      <c r="C14823" s="3" t="s">
        <v>31</v>
      </c>
      <c r="D14823" s="3" t="s">
        <v>175</v>
      </c>
      <c r="E14823" s="4" t="s">
        <v>22</v>
      </c>
      <c r="F14823" s="4" t="s">
        <v>74723</v>
      </c>
      <c r="G14823" s="4" t="s">
        <v>74724</v>
      </c>
      <c r="H14823" s="3" t="s">
        <v>73938</v>
      </c>
      <c r="I14823" s="3" t="s">
        <v>74725</v>
      </c>
      <c r="J14823" s="3" t="s">
        <v>74726</v>
      </c>
      <c r="K14823" s="3" t="s">
        <v>74727</v>
      </c>
      <c r="L14823" s="3"/>
      <c r="M14823" s="4"/>
      <c r="N14823" s="3" t="s">
        <v>37</v>
      </c>
      <c r="O14823" s="3" t="s">
        <v>38</v>
      </c>
      <c r="P14823" s="5">
        <v>7</v>
      </c>
      <c r="Q14823" s="5">
        <v>49</v>
      </c>
      <c r="R14823" s="5">
        <v>6</v>
      </c>
      <c r="S14823" s="5">
        <v>49</v>
      </c>
    </row>
    <row r="14824" spans="1:19" ht="28" x14ac:dyDescent="0.15">
      <c r="A14824" s="2">
        <f>HYPERLINK("https://open-school.uspishnemisto.com.ua/school/710167/", 710167)</f>
        <v>710167</v>
      </c>
      <c r="B14824" s="3" t="s">
        <v>74728</v>
      </c>
      <c r="C14824" s="3" t="s">
        <v>31</v>
      </c>
      <c r="D14824" s="3" t="s">
        <v>175</v>
      </c>
      <c r="E14824" s="4" t="s">
        <v>22</v>
      </c>
      <c r="F14824" s="4" t="s">
        <v>74729</v>
      </c>
      <c r="G14824" s="4" t="s">
        <v>74730</v>
      </c>
      <c r="H14824" s="3" t="s">
        <v>73938</v>
      </c>
      <c r="I14824" s="3" t="s">
        <v>32306</v>
      </c>
      <c r="J14824" s="3" t="s">
        <v>22094</v>
      </c>
      <c r="K14824" s="3" t="s">
        <v>74731</v>
      </c>
      <c r="L14824" s="3" t="s">
        <v>74732</v>
      </c>
      <c r="M14824" s="4"/>
      <c r="N14824" s="3" t="s">
        <v>37</v>
      </c>
      <c r="O14824" s="3" t="s">
        <v>52</v>
      </c>
      <c r="P14824" s="5">
        <v>9</v>
      </c>
      <c r="Q14824" s="5">
        <v>73</v>
      </c>
      <c r="R14824" s="5">
        <v>9</v>
      </c>
      <c r="S14824" s="5">
        <v>79</v>
      </c>
    </row>
    <row r="14825" spans="1:19" ht="28" x14ac:dyDescent="0.15">
      <c r="A14825" s="2">
        <f>HYPERLINK("https://open-school.uspishnemisto.com.ua/school/710168/", 710168)</f>
        <v>710168</v>
      </c>
      <c r="B14825" s="3" t="s">
        <v>74733</v>
      </c>
      <c r="C14825" s="3" t="s">
        <v>31</v>
      </c>
      <c r="D14825" s="3" t="s">
        <v>32</v>
      </c>
      <c r="E14825" s="4" t="s">
        <v>22</v>
      </c>
      <c r="F14825" s="4" t="s">
        <v>74734</v>
      </c>
      <c r="G14825" s="4" t="s">
        <v>74735</v>
      </c>
      <c r="H14825" s="3" t="s">
        <v>73938</v>
      </c>
      <c r="I14825" s="3" t="s">
        <v>74736</v>
      </c>
      <c r="J14825" s="3" t="s">
        <v>74737</v>
      </c>
      <c r="K14825" s="3" t="s">
        <v>74738</v>
      </c>
      <c r="L14825" s="3"/>
      <c r="M14825" s="4"/>
      <c r="N14825" s="3" t="s">
        <v>37</v>
      </c>
      <c r="O14825" s="3" t="s">
        <v>52</v>
      </c>
      <c r="P14825" s="5">
        <v>8</v>
      </c>
      <c r="Q14825" s="5">
        <v>82</v>
      </c>
      <c r="R14825" s="5">
        <v>9</v>
      </c>
      <c r="S14825" s="5">
        <v>90</v>
      </c>
    </row>
    <row r="14826" spans="1:19" ht="28" x14ac:dyDescent="0.15">
      <c r="A14826" s="2">
        <f>HYPERLINK("https://open-school.uspishnemisto.com.ua/school/710169/", 710169)</f>
        <v>710169</v>
      </c>
      <c r="B14826" s="3" t="s">
        <v>74739</v>
      </c>
      <c r="C14826" s="3" t="s">
        <v>31</v>
      </c>
      <c r="D14826" s="3" t="s">
        <v>32</v>
      </c>
      <c r="E14826" s="4" t="s">
        <v>22</v>
      </c>
      <c r="F14826" s="4" t="s">
        <v>74740</v>
      </c>
      <c r="G14826" s="4" t="s">
        <v>74741</v>
      </c>
      <c r="H14826" s="3" t="s">
        <v>73938</v>
      </c>
      <c r="I14826" s="3" t="s">
        <v>1945</v>
      </c>
      <c r="J14826" s="3" t="s">
        <v>356</v>
      </c>
      <c r="K14826" s="3" t="s">
        <v>74742</v>
      </c>
      <c r="L14826" s="3" t="s">
        <v>74743</v>
      </c>
      <c r="M14826" s="4"/>
      <c r="N14826" s="3" t="s">
        <v>37</v>
      </c>
      <c r="O14826" s="3" t="s">
        <v>38</v>
      </c>
      <c r="P14826" s="5">
        <v>9</v>
      </c>
      <c r="Q14826" s="5">
        <v>63</v>
      </c>
      <c r="R14826" s="5">
        <v>9</v>
      </c>
      <c r="S14826" s="5">
        <v>70</v>
      </c>
    </row>
    <row r="14827" spans="1:19" ht="28" x14ac:dyDescent="0.15">
      <c r="A14827" s="2">
        <f>HYPERLINK("https://open-school.uspishnemisto.com.ua/school/710170/", 710170)</f>
        <v>710170</v>
      </c>
      <c r="B14827" s="3" t="s">
        <v>74744</v>
      </c>
      <c r="C14827" s="3" t="s">
        <v>31</v>
      </c>
      <c r="D14827" s="3" t="s">
        <v>32</v>
      </c>
      <c r="E14827" s="4" t="s">
        <v>22</v>
      </c>
      <c r="F14827" s="4" t="s">
        <v>74745</v>
      </c>
      <c r="G14827" s="4" t="s">
        <v>74746</v>
      </c>
      <c r="H14827" s="3" t="s">
        <v>73938</v>
      </c>
      <c r="I14827" s="3" t="s">
        <v>74747</v>
      </c>
      <c r="J14827" s="3" t="s">
        <v>466</v>
      </c>
      <c r="K14827" s="3" t="s">
        <v>74748</v>
      </c>
      <c r="L14827" s="3" t="s">
        <v>74749</v>
      </c>
      <c r="M14827" s="4"/>
      <c r="N14827" s="3" t="s">
        <v>37</v>
      </c>
      <c r="O14827" s="3" t="s">
        <v>46</v>
      </c>
      <c r="P14827" s="5">
        <v>11</v>
      </c>
      <c r="Q14827" s="5">
        <v>97</v>
      </c>
      <c r="R14827" s="5">
        <v>11</v>
      </c>
      <c r="S14827" s="5">
        <v>97</v>
      </c>
    </row>
    <row r="14828" spans="1:19" ht="28" x14ac:dyDescent="0.15">
      <c r="A14828" s="2">
        <f>HYPERLINK("https://open-school.uspishnemisto.com.ua/school/710171/", 710171)</f>
        <v>710171</v>
      </c>
      <c r="B14828" s="3" t="s">
        <v>74750</v>
      </c>
      <c r="C14828" s="3" t="s">
        <v>31</v>
      </c>
      <c r="D14828" s="3" t="s">
        <v>175</v>
      </c>
      <c r="E14828" s="4" t="s">
        <v>22</v>
      </c>
      <c r="F14828" s="4" t="s">
        <v>74751</v>
      </c>
      <c r="G14828" s="4" t="s">
        <v>74752</v>
      </c>
      <c r="H14828" s="3" t="s">
        <v>73938</v>
      </c>
      <c r="I14828" s="3" t="s">
        <v>74753</v>
      </c>
      <c r="J14828" s="3" t="s">
        <v>16428</v>
      </c>
      <c r="K14828" s="3" t="s">
        <v>74754</v>
      </c>
      <c r="L14828" s="3" t="s">
        <v>74755</v>
      </c>
      <c r="M14828" s="4"/>
      <c r="N14828" s="3" t="s">
        <v>37</v>
      </c>
      <c r="O14828" s="3" t="s">
        <v>38</v>
      </c>
      <c r="P14828" s="5">
        <v>8</v>
      </c>
      <c r="Q14828" s="5">
        <v>55</v>
      </c>
      <c r="R14828" s="5">
        <v>8</v>
      </c>
      <c r="S14828" s="5">
        <v>53</v>
      </c>
    </row>
    <row r="14829" spans="1:19" ht="28" x14ac:dyDescent="0.15">
      <c r="A14829" s="2">
        <f>HYPERLINK("https://open-school.uspishnemisto.com.ua/school/710172/", 710172)</f>
        <v>710172</v>
      </c>
      <c r="B14829" s="3" t="s">
        <v>74756</v>
      </c>
      <c r="C14829" s="3" t="s">
        <v>31</v>
      </c>
      <c r="D14829" s="3" t="s">
        <v>32</v>
      </c>
      <c r="E14829" s="4" t="s">
        <v>22</v>
      </c>
      <c r="F14829" s="4" t="s">
        <v>74757</v>
      </c>
      <c r="G14829" s="4" t="s">
        <v>74758</v>
      </c>
      <c r="H14829" s="3" t="s">
        <v>73938</v>
      </c>
      <c r="I14829" s="3" t="s">
        <v>1587</v>
      </c>
      <c r="J14829" s="3" t="s">
        <v>74759</v>
      </c>
      <c r="K14829" s="3" t="s">
        <v>74760</v>
      </c>
      <c r="L14829" s="3" t="s">
        <v>74761</v>
      </c>
      <c r="M14829" s="4"/>
      <c r="N14829" s="3" t="s">
        <v>37</v>
      </c>
      <c r="O14829" s="3" t="s">
        <v>52</v>
      </c>
      <c r="P14829" s="5">
        <v>11</v>
      </c>
      <c r="Q14829" s="5">
        <v>70</v>
      </c>
      <c r="R14829" s="5">
        <v>9</v>
      </c>
      <c r="S14829" s="5">
        <v>63</v>
      </c>
    </row>
    <row r="14830" spans="1:19" ht="28" x14ac:dyDescent="0.15">
      <c r="A14830" s="2">
        <f>HYPERLINK("https://open-school.uspishnemisto.com.ua/school/710173/", 710173)</f>
        <v>710173</v>
      </c>
      <c r="B14830" s="3" t="s">
        <v>74762</v>
      </c>
      <c r="C14830" s="3" t="s">
        <v>31</v>
      </c>
      <c r="D14830" s="3" t="s">
        <v>32</v>
      </c>
      <c r="E14830" s="4" t="s">
        <v>22</v>
      </c>
      <c r="F14830" s="4" t="s">
        <v>74763</v>
      </c>
      <c r="G14830" s="4" t="s">
        <v>74764</v>
      </c>
      <c r="H14830" s="3" t="s">
        <v>73938</v>
      </c>
      <c r="I14830" s="3" t="s">
        <v>56563</v>
      </c>
      <c r="J14830" s="3" t="s">
        <v>74765</v>
      </c>
      <c r="K14830" s="3" t="s">
        <v>74766</v>
      </c>
      <c r="L14830" s="3" t="s">
        <v>74767</v>
      </c>
      <c r="M14830" s="4"/>
      <c r="N14830" s="3" t="s">
        <v>37</v>
      </c>
      <c r="O14830" s="3" t="s">
        <v>52</v>
      </c>
      <c r="P14830" s="5">
        <v>10</v>
      </c>
      <c r="Q14830" s="5">
        <v>106</v>
      </c>
      <c r="R14830" s="5">
        <v>10</v>
      </c>
      <c r="S14830" s="5">
        <v>106</v>
      </c>
    </row>
    <row r="14831" spans="1:19" ht="28" x14ac:dyDescent="0.15">
      <c r="A14831" s="2">
        <f>HYPERLINK("https://open-school.uspishnemisto.com.ua/school/710174/", 710174)</f>
        <v>710174</v>
      </c>
      <c r="B14831" s="3" t="s">
        <v>74768</v>
      </c>
      <c r="C14831" s="3" t="s">
        <v>31</v>
      </c>
      <c r="D14831" s="3" t="s">
        <v>32</v>
      </c>
      <c r="E14831" s="4" t="s">
        <v>22</v>
      </c>
      <c r="F14831" s="4" t="s">
        <v>74769</v>
      </c>
      <c r="G14831" s="4" t="s">
        <v>74770</v>
      </c>
      <c r="H14831" s="3" t="s">
        <v>73938</v>
      </c>
      <c r="I14831" s="3" t="s">
        <v>74771</v>
      </c>
      <c r="J14831" s="3" t="s">
        <v>38173</v>
      </c>
      <c r="K14831" s="3" t="s">
        <v>74772</v>
      </c>
      <c r="L14831" s="3" t="s">
        <v>74773</v>
      </c>
      <c r="M14831" s="4"/>
      <c r="N14831" s="3" t="s">
        <v>37</v>
      </c>
      <c r="O14831" s="3" t="s">
        <v>721</v>
      </c>
      <c r="P14831" s="5">
        <v>12</v>
      </c>
      <c r="Q14831" s="5">
        <v>210</v>
      </c>
      <c r="R14831" s="5">
        <v>13</v>
      </c>
      <c r="S14831" s="5">
        <v>217</v>
      </c>
    </row>
    <row r="14832" spans="1:19" ht="42" x14ac:dyDescent="0.15">
      <c r="A14832" s="2">
        <f>HYPERLINK("https://open-school.uspishnemisto.com.ua/school/710175/", 710175)</f>
        <v>710175</v>
      </c>
      <c r="B14832" s="3" t="s">
        <v>74774</v>
      </c>
      <c r="C14832" s="3" t="s">
        <v>31</v>
      </c>
      <c r="D14832" s="3" t="s">
        <v>32</v>
      </c>
      <c r="E14832" s="4" t="s">
        <v>22</v>
      </c>
      <c r="F14832" s="4" t="s">
        <v>74775</v>
      </c>
      <c r="G14832" s="4" t="s">
        <v>74776</v>
      </c>
      <c r="H14832" s="3" t="s">
        <v>73938</v>
      </c>
      <c r="I14832" s="3" t="s">
        <v>2096</v>
      </c>
      <c r="J14832" s="3" t="s">
        <v>946</v>
      </c>
      <c r="K14832" s="3" t="s">
        <v>74777</v>
      </c>
      <c r="L14832" s="3" t="s">
        <v>74778</v>
      </c>
      <c r="M14832" s="4"/>
      <c r="N14832" s="3" t="s">
        <v>37</v>
      </c>
      <c r="O14832" s="3" t="s">
        <v>52</v>
      </c>
      <c r="P14832" s="5">
        <v>11</v>
      </c>
      <c r="Q14832" s="5">
        <v>116</v>
      </c>
      <c r="R14832" s="5">
        <v>12</v>
      </c>
      <c r="S14832" s="5">
        <v>113</v>
      </c>
    </row>
    <row r="14833" spans="1:19" ht="28" x14ac:dyDescent="0.15">
      <c r="A14833" s="2">
        <f>HYPERLINK("https://open-school.uspishnemisto.com.ua/school/710176/", 710176)</f>
        <v>710176</v>
      </c>
      <c r="B14833" s="3" t="s">
        <v>74779</v>
      </c>
      <c r="C14833" s="3" t="s">
        <v>31</v>
      </c>
      <c r="D14833" s="3" t="s">
        <v>32</v>
      </c>
      <c r="E14833" s="4" t="s">
        <v>22</v>
      </c>
      <c r="F14833" s="4" t="s">
        <v>74780</v>
      </c>
      <c r="G14833" s="4" t="s">
        <v>74781</v>
      </c>
      <c r="H14833" s="3" t="s">
        <v>73938</v>
      </c>
      <c r="I14833" s="3" t="s">
        <v>74782</v>
      </c>
      <c r="J14833" s="3" t="s">
        <v>74783</v>
      </c>
      <c r="K14833" s="3" t="s">
        <v>74784</v>
      </c>
      <c r="L14833" s="3" t="s">
        <v>74785</v>
      </c>
      <c r="M14833" s="4"/>
      <c r="N14833" s="3" t="s">
        <v>37</v>
      </c>
      <c r="O14833" s="3" t="s">
        <v>46</v>
      </c>
      <c r="P14833" s="5">
        <v>7</v>
      </c>
      <c r="Q14833" s="5">
        <v>51</v>
      </c>
      <c r="R14833" s="5">
        <v>7</v>
      </c>
      <c r="S14833" s="5">
        <v>55</v>
      </c>
    </row>
    <row r="14834" spans="1:19" ht="28" x14ac:dyDescent="0.15">
      <c r="A14834" s="2">
        <f>HYPERLINK("https://open-school.uspishnemisto.com.ua/school/710177/", 710177)</f>
        <v>710177</v>
      </c>
      <c r="B14834" s="3" t="s">
        <v>74786</v>
      </c>
      <c r="C14834" s="3" t="s">
        <v>31</v>
      </c>
      <c r="D14834" s="3" t="s">
        <v>32</v>
      </c>
      <c r="E14834" s="4" t="s">
        <v>22</v>
      </c>
      <c r="F14834" s="4" t="s">
        <v>74787</v>
      </c>
      <c r="G14834" s="4" t="s">
        <v>74788</v>
      </c>
      <c r="H14834" s="3" t="s">
        <v>73938</v>
      </c>
      <c r="I14834" s="3" t="s">
        <v>17831</v>
      </c>
      <c r="J14834" s="3" t="s">
        <v>54757</v>
      </c>
      <c r="K14834" s="3" t="s">
        <v>74789</v>
      </c>
      <c r="L14834" s="3" t="s">
        <v>74790</v>
      </c>
      <c r="M14834" s="4"/>
      <c r="N14834" s="3" t="s">
        <v>37</v>
      </c>
      <c r="O14834" s="3" t="s">
        <v>52</v>
      </c>
      <c r="P14834" s="5">
        <v>11</v>
      </c>
      <c r="Q14834" s="5">
        <v>99</v>
      </c>
      <c r="R14834" s="5">
        <v>11</v>
      </c>
      <c r="S14834" s="5">
        <v>106</v>
      </c>
    </row>
    <row r="14835" spans="1:19" ht="28" x14ac:dyDescent="0.15">
      <c r="A14835" s="2">
        <f>HYPERLINK("https://open-school.uspishnemisto.com.ua/school/710178/", 710178)</f>
        <v>710178</v>
      </c>
      <c r="B14835" s="3" t="s">
        <v>74791</v>
      </c>
      <c r="C14835" s="3" t="s">
        <v>31</v>
      </c>
      <c r="D14835" s="3" t="s">
        <v>32</v>
      </c>
      <c r="E14835" s="4" t="s">
        <v>22</v>
      </c>
      <c r="F14835" s="4" t="s">
        <v>74792</v>
      </c>
      <c r="G14835" s="4" t="s">
        <v>74793</v>
      </c>
      <c r="H14835" s="3" t="s">
        <v>73938</v>
      </c>
      <c r="I14835" s="3" t="s">
        <v>74794</v>
      </c>
      <c r="J14835" s="3" t="s">
        <v>6191</v>
      </c>
      <c r="K14835" s="3" t="s">
        <v>74795</v>
      </c>
      <c r="L14835" s="3" t="s">
        <v>74796</v>
      </c>
      <c r="M14835" s="4"/>
      <c r="N14835" s="3" t="s">
        <v>37</v>
      </c>
      <c r="O14835" s="3" t="s">
        <v>38</v>
      </c>
      <c r="P14835" s="5">
        <v>11</v>
      </c>
      <c r="Q14835" s="5">
        <v>123</v>
      </c>
      <c r="R14835" s="5">
        <v>11</v>
      </c>
      <c r="S14835" s="5">
        <v>125</v>
      </c>
    </row>
    <row r="14836" spans="1:19" ht="28" x14ac:dyDescent="0.15">
      <c r="A14836" s="2">
        <f>HYPERLINK("https://open-school.uspishnemisto.com.ua/school/710179/", 710179)</f>
        <v>710179</v>
      </c>
      <c r="B14836" s="3" t="s">
        <v>74797</v>
      </c>
      <c r="C14836" s="3" t="s">
        <v>31</v>
      </c>
      <c r="D14836" s="3" t="s">
        <v>32</v>
      </c>
      <c r="E14836" s="4" t="s">
        <v>22</v>
      </c>
      <c r="F14836" s="4" t="s">
        <v>74798</v>
      </c>
      <c r="G14836" s="4" t="s">
        <v>74799</v>
      </c>
      <c r="H14836" s="3" t="s">
        <v>73938</v>
      </c>
      <c r="I14836" s="3" t="s">
        <v>74800</v>
      </c>
      <c r="J14836" s="3" t="s">
        <v>466</v>
      </c>
      <c r="K14836" s="3" t="s">
        <v>74801</v>
      </c>
      <c r="L14836" s="3" t="s">
        <v>74802</v>
      </c>
      <c r="M14836" s="4"/>
      <c r="N14836" s="3" t="s">
        <v>37</v>
      </c>
      <c r="O14836" s="3" t="s">
        <v>2740</v>
      </c>
      <c r="P14836" s="5">
        <v>4</v>
      </c>
      <c r="Q14836" s="5">
        <v>43</v>
      </c>
      <c r="R14836" s="5">
        <v>3</v>
      </c>
      <c r="S14836" s="5">
        <v>39</v>
      </c>
    </row>
    <row r="14837" spans="1:19" ht="28" x14ac:dyDescent="0.15">
      <c r="A14837" s="2">
        <f>HYPERLINK("https://open-school.uspishnemisto.com.ua/school/710180/", 710180)</f>
        <v>710180</v>
      </c>
      <c r="B14837" s="3" t="s">
        <v>74803</v>
      </c>
      <c r="C14837" s="3" t="s">
        <v>31</v>
      </c>
      <c r="D14837" s="3" t="s">
        <v>32</v>
      </c>
      <c r="E14837" s="4" t="s">
        <v>22</v>
      </c>
      <c r="F14837" s="4" t="s">
        <v>74804</v>
      </c>
      <c r="G14837" s="4" t="s">
        <v>74805</v>
      </c>
      <c r="H14837" s="3" t="s">
        <v>73938</v>
      </c>
      <c r="I14837" s="3" t="s">
        <v>74806</v>
      </c>
      <c r="J14837" s="3" t="s">
        <v>3393</v>
      </c>
      <c r="K14837" s="3" t="s">
        <v>74807</v>
      </c>
      <c r="L14837" s="3" t="s">
        <v>74808</v>
      </c>
      <c r="M14837" s="4"/>
      <c r="N14837" s="3" t="s">
        <v>37</v>
      </c>
      <c r="O14837" s="3" t="s">
        <v>52</v>
      </c>
      <c r="P14837" s="5">
        <v>11</v>
      </c>
      <c r="Q14837" s="5">
        <v>98</v>
      </c>
      <c r="R14837" s="5">
        <v>11</v>
      </c>
      <c r="S14837" s="5">
        <v>103</v>
      </c>
    </row>
    <row r="14838" spans="1:19" ht="56" x14ac:dyDescent="0.15">
      <c r="A14838" s="2">
        <f>HYPERLINK("https://open-school.uspishnemisto.com.ua/school/710181/", 710181)</f>
        <v>710181</v>
      </c>
      <c r="B14838" s="3" t="s">
        <v>74809</v>
      </c>
      <c r="C14838" s="3" t="s">
        <v>54</v>
      </c>
      <c r="D14838" s="3" t="s">
        <v>60</v>
      </c>
      <c r="E14838" s="4" t="s">
        <v>22</v>
      </c>
      <c r="F14838" s="4" t="s">
        <v>74810</v>
      </c>
      <c r="G14838" s="4" t="s">
        <v>74811</v>
      </c>
      <c r="H14838" s="3" t="s">
        <v>73938</v>
      </c>
      <c r="I14838" s="3" t="s">
        <v>74812</v>
      </c>
      <c r="J14838" s="3" t="s">
        <v>14959</v>
      </c>
      <c r="K14838" s="3" t="s">
        <v>74813</v>
      </c>
      <c r="L14838" s="3"/>
      <c r="M14838" s="4"/>
      <c r="N14838" s="3" t="s">
        <v>37</v>
      </c>
      <c r="O14838" s="3" t="s">
        <v>52</v>
      </c>
      <c r="P14838" s="5">
        <v>1</v>
      </c>
      <c r="Q14838" s="5">
        <v>8</v>
      </c>
      <c r="R14838" s="5">
        <v>1</v>
      </c>
      <c r="S14838" s="5">
        <v>11</v>
      </c>
    </row>
    <row r="14839" spans="1:19" ht="28" x14ac:dyDescent="0.15">
      <c r="A14839" s="2">
        <f>HYPERLINK("https://open-school.uspishnemisto.com.ua/school/710182/", 710182)</f>
        <v>710182</v>
      </c>
      <c r="B14839" s="3" t="s">
        <v>74814</v>
      </c>
      <c r="C14839" s="3" t="s">
        <v>31</v>
      </c>
      <c r="D14839" s="3" t="s">
        <v>175</v>
      </c>
      <c r="E14839" s="4" t="s">
        <v>22</v>
      </c>
      <c r="F14839" s="4" t="s">
        <v>74815</v>
      </c>
      <c r="G14839" s="4" t="s">
        <v>74816</v>
      </c>
      <c r="H14839" s="3" t="s">
        <v>73938</v>
      </c>
      <c r="I14839" s="3" t="s">
        <v>34643</v>
      </c>
      <c r="J14839" s="3" t="s">
        <v>74817</v>
      </c>
      <c r="K14839" s="3" t="s">
        <v>74818</v>
      </c>
      <c r="L14839" s="3" t="s">
        <v>74819</v>
      </c>
      <c r="M14839" s="4"/>
      <c r="N14839" s="3" t="s">
        <v>37</v>
      </c>
      <c r="O14839" s="3" t="s">
        <v>38</v>
      </c>
      <c r="P14839" s="5">
        <v>9</v>
      </c>
      <c r="Q14839" s="5">
        <v>171</v>
      </c>
      <c r="R14839" s="5">
        <v>9</v>
      </c>
      <c r="S14839" s="5">
        <v>169</v>
      </c>
    </row>
    <row r="14840" spans="1:19" ht="28" x14ac:dyDescent="0.15">
      <c r="A14840" s="2">
        <f>HYPERLINK("https://open-school.uspishnemisto.com.ua/school/710183/", 710183)</f>
        <v>710183</v>
      </c>
      <c r="B14840" s="3" t="s">
        <v>74820</v>
      </c>
      <c r="C14840" s="3" t="s">
        <v>31</v>
      </c>
      <c r="D14840" s="3" t="s">
        <v>175</v>
      </c>
      <c r="E14840" s="4" t="s">
        <v>22</v>
      </c>
      <c r="F14840" s="4" t="s">
        <v>74815</v>
      </c>
      <c r="G14840" s="4" t="s">
        <v>74816</v>
      </c>
      <c r="H14840" s="3" t="s">
        <v>73938</v>
      </c>
      <c r="I14840" s="3" t="s">
        <v>34643</v>
      </c>
      <c r="J14840" s="3" t="s">
        <v>74821</v>
      </c>
      <c r="K14840" s="3" t="s">
        <v>74822</v>
      </c>
      <c r="L14840" s="3"/>
      <c r="M14840" s="4"/>
      <c r="N14840" s="3" t="s">
        <v>37</v>
      </c>
      <c r="O14840" s="3" t="s">
        <v>38</v>
      </c>
      <c r="P14840" s="5">
        <v>9</v>
      </c>
      <c r="Q14840" s="5">
        <v>123</v>
      </c>
      <c r="R14840" s="5">
        <v>9</v>
      </c>
      <c r="S14840" s="5">
        <v>118</v>
      </c>
    </row>
    <row r="14841" spans="1:19" ht="28" x14ac:dyDescent="0.15">
      <c r="A14841" s="2">
        <f>HYPERLINK("https://open-school.uspishnemisto.com.ua/school/710184/", 710184)</f>
        <v>710184</v>
      </c>
      <c r="B14841" s="3" t="s">
        <v>74823</v>
      </c>
      <c r="C14841" s="3" t="s">
        <v>31</v>
      </c>
      <c r="D14841" s="3" t="s">
        <v>32</v>
      </c>
      <c r="E14841" s="4" t="s">
        <v>22</v>
      </c>
      <c r="F14841" s="4" t="s">
        <v>74815</v>
      </c>
      <c r="G14841" s="4" t="s">
        <v>74816</v>
      </c>
      <c r="H14841" s="3" t="s">
        <v>73938</v>
      </c>
      <c r="I14841" s="3" t="s">
        <v>34643</v>
      </c>
      <c r="J14841" s="3" t="s">
        <v>5843</v>
      </c>
      <c r="K14841" s="3" t="s">
        <v>74824</v>
      </c>
      <c r="L14841" s="3"/>
      <c r="M14841" s="4"/>
      <c r="N14841" s="3" t="s">
        <v>37</v>
      </c>
      <c r="O14841" s="3" t="s">
        <v>38</v>
      </c>
      <c r="P14841" s="5">
        <v>11</v>
      </c>
      <c r="Q14841" s="5">
        <v>195</v>
      </c>
      <c r="R14841" s="5">
        <v>11</v>
      </c>
      <c r="S14841" s="5">
        <v>199</v>
      </c>
    </row>
    <row r="14842" spans="1:19" ht="42" x14ac:dyDescent="0.15">
      <c r="A14842" s="2">
        <f>HYPERLINK("https://open-school.uspishnemisto.com.ua/school/710185/", 710185)</f>
        <v>710185</v>
      </c>
      <c r="B14842" s="3" t="s">
        <v>74825</v>
      </c>
      <c r="C14842" s="3" t="s">
        <v>293</v>
      </c>
      <c r="D14842" s="3" t="s">
        <v>32</v>
      </c>
      <c r="E14842" s="4" t="s">
        <v>22</v>
      </c>
      <c r="F14842" s="4" t="s">
        <v>74815</v>
      </c>
      <c r="G14842" s="4" t="s">
        <v>74816</v>
      </c>
      <c r="H14842" s="3" t="s">
        <v>73938</v>
      </c>
      <c r="I14842" s="3" t="s">
        <v>34643</v>
      </c>
      <c r="J14842" s="3" t="s">
        <v>74826</v>
      </c>
      <c r="K14842" s="3" t="s">
        <v>74827</v>
      </c>
      <c r="L14842" s="3" t="s">
        <v>74828</v>
      </c>
      <c r="M14842" s="4" t="s">
        <v>74829</v>
      </c>
      <c r="N14842" s="3" t="s">
        <v>37</v>
      </c>
      <c r="O14842" s="3" t="s">
        <v>38</v>
      </c>
      <c r="P14842" s="5">
        <v>13</v>
      </c>
      <c r="Q14842" s="5">
        <v>308</v>
      </c>
      <c r="R14842" s="5">
        <v>13</v>
      </c>
      <c r="S14842" s="5">
        <v>307</v>
      </c>
    </row>
    <row r="14843" spans="1:19" ht="28" x14ac:dyDescent="0.15">
      <c r="A14843" s="2">
        <f>HYPERLINK("https://open-school.uspishnemisto.com.ua/school/710186/", 710186)</f>
        <v>710186</v>
      </c>
      <c r="B14843" s="3" t="s">
        <v>74830</v>
      </c>
      <c r="C14843" s="3" t="s">
        <v>244</v>
      </c>
      <c r="D14843" s="3" t="s">
        <v>32</v>
      </c>
      <c r="E14843" s="4" t="s">
        <v>22</v>
      </c>
      <c r="F14843" s="4" t="s">
        <v>74815</v>
      </c>
      <c r="G14843" s="4" t="s">
        <v>74816</v>
      </c>
      <c r="H14843" s="3" t="s">
        <v>73938</v>
      </c>
      <c r="I14843" s="3" t="s">
        <v>34643</v>
      </c>
      <c r="J14843" s="3" t="s">
        <v>74831</v>
      </c>
      <c r="K14843" s="3" t="s">
        <v>74832</v>
      </c>
      <c r="L14843" s="3" t="s">
        <v>74833</v>
      </c>
      <c r="M14843" s="4"/>
      <c r="N14843" s="3" t="s">
        <v>37</v>
      </c>
      <c r="O14843" s="3" t="s">
        <v>52</v>
      </c>
      <c r="P14843" s="5">
        <v>15</v>
      </c>
      <c r="Q14843" s="5">
        <v>379</v>
      </c>
      <c r="R14843" s="5">
        <v>15</v>
      </c>
      <c r="S14843" s="5">
        <v>370</v>
      </c>
    </row>
    <row r="14844" spans="1:19" ht="28" x14ac:dyDescent="0.15">
      <c r="A14844" s="2">
        <f>HYPERLINK("https://open-school.uspishnemisto.com.ua/school/710187/", 710187)</f>
        <v>710187</v>
      </c>
      <c r="B14844" s="3" t="s">
        <v>74834</v>
      </c>
      <c r="C14844" s="3" t="s">
        <v>244</v>
      </c>
      <c r="D14844" s="3" t="s">
        <v>32</v>
      </c>
      <c r="E14844" s="4" t="s">
        <v>22</v>
      </c>
      <c r="F14844" s="4" t="s">
        <v>74815</v>
      </c>
      <c r="G14844" s="4" t="s">
        <v>74816</v>
      </c>
      <c r="H14844" s="3" t="s">
        <v>73938</v>
      </c>
      <c r="I14844" s="3" t="s">
        <v>34643</v>
      </c>
      <c r="J14844" s="3" t="s">
        <v>74835</v>
      </c>
      <c r="K14844" s="3" t="s">
        <v>74836</v>
      </c>
      <c r="L14844" s="3" t="s">
        <v>74837</v>
      </c>
      <c r="M14844" s="4"/>
      <c r="N14844" s="3" t="s">
        <v>37</v>
      </c>
      <c r="O14844" s="3" t="s">
        <v>46</v>
      </c>
      <c r="P14844" s="5">
        <v>17</v>
      </c>
      <c r="Q14844" s="5">
        <v>380</v>
      </c>
      <c r="R14844" s="5">
        <v>17</v>
      </c>
      <c r="S14844" s="5">
        <v>394</v>
      </c>
    </row>
    <row r="14845" spans="1:19" ht="42" x14ac:dyDescent="0.15">
      <c r="A14845" s="2">
        <f>HYPERLINK("https://open-school.uspishnemisto.com.ua/school/710188/", 710188)</f>
        <v>710188</v>
      </c>
      <c r="B14845" s="3" t="s">
        <v>74838</v>
      </c>
      <c r="C14845" s="3" t="s">
        <v>244</v>
      </c>
      <c r="D14845" s="3" t="s">
        <v>32</v>
      </c>
      <c r="E14845" s="4" t="s">
        <v>22</v>
      </c>
      <c r="F14845" s="4" t="s">
        <v>74839</v>
      </c>
      <c r="G14845" s="4" t="s">
        <v>74816</v>
      </c>
      <c r="H14845" s="3" t="s">
        <v>73938</v>
      </c>
      <c r="I14845" s="3" t="s">
        <v>34643</v>
      </c>
      <c r="J14845" s="3" t="s">
        <v>74840</v>
      </c>
      <c r="K14845" s="3" t="s">
        <v>74841</v>
      </c>
      <c r="L14845" s="3" t="s">
        <v>74842</v>
      </c>
      <c r="M14845" s="4"/>
      <c r="N14845" s="3" t="s">
        <v>37</v>
      </c>
      <c r="O14845" s="3" t="s">
        <v>38</v>
      </c>
      <c r="P14845" s="5">
        <v>21</v>
      </c>
      <c r="Q14845" s="5">
        <v>508</v>
      </c>
      <c r="R14845" s="5">
        <v>22</v>
      </c>
      <c r="S14845" s="5">
        <v>485</v>
      </c>
    </row>
    <row r="14846" spans="1:19" ht="56" x14ac:dyDescent="0.15">
      <c r="A14846" s="2">
        <f>HYPERLINK("https://open-school.uspishnemisto.com.ua/school/710189/", 710189)</f>
        <v>710189</v>
      </c>
      <c r="B14846" s="3" t="s">
        <v>74843</v>
      </c>
      <c r="C14846" s="3" t="s">
        <v>54</v>
      </c>
      <c r="D14846" s="3" t="s">
        <v>60</v>
      </c>
      <c r="E14846" s="4" t="s">
        <v>22</v>
      </c>
      <c r="F14846" s="4" t="s">
        <v>74844</v>
      </c>
      <c r="G14846" s="4" t="s">
        <v>74845</v>
      </c>
      <c r="H14846" s="3" t="s">
        <v>73938</v>
      </c>
      <c r="I14846" s="3" t="s">
        <v>46097</v>
      </c>
      <c r="J14846" s="3" t="s">
        <v>22123</v>
      </c>
      <c r="K14846" s="3" t="s">
        <v>74846</v>
      </c>
      <c r="L14846" s="3"/>
      <c r="M14846" s="4"/>
      <c r="N14846" s="3" t="s">
        <v>37</v>
      </c>
      <c r="O14846" s="3" t="s">
        <v>52</v>
      </c>
      <c r="P14846" s="5">
        <v>0</v>
      </c>
      <c r="Q14846" s="5">
        <v>10</v>
      </c>
      <c r="R14846" s="5">
        <v>1</v>
      </c>
      <c r="S14846" s="5">
        <v>14</v>
      </c>
    </row>
    <row r="14847" spans="1:19" ht="56" x14ac:dyDescent="0.15">
      <c r="A14847" s="2">
        <f>HYPERLINK("https://open-school.uspishnemisto.com.ua/school/710190/", 710190)</f>
        <v>710190</v>
      </c>
      <c r="B14847" s="3" t="s">
        <v>74847</v>
      </c>
      <c r="C14847" s="3" t="s">
        <v>54</v>
      </c>
      <c r="D14847" s="3" t="s">
        <v>175</v>
      </c>
      <c r="E14847" s="4" t="s">
        <v>22</v>
      </c>
      <c r="F14847" s="4" t="s">
        <v>74848</v>
      </c>
      <c r="G14847" s="4" t="s">
        <v>74849</v>
      </c>
      <c r="H14847" s="3" t="s">
        <v>73938</v>
      </c>
      <c r="I14847" s="3" t="s">
        <v>74850</v>
      </c>
      <c r="J14847" s="3" t="s">
        <v>74851</v>
      </c>
      <c r="K14847" s="3" t="s">
        <v>74852</v>
      </c>
      <c r="L14847" s="3"/>
      <c r="M14847" s="4"/>
      <c r="N14847" s="3" t="s">
        <v>37</v>
      </c>
      <c r="O14847" s="3" t="s">
        <v>38</v>
      </c>
      <c r="P14847" s="5">
        <v>4</v>
      </c>
      <c r="Q14847" s="5">
        <v>38</v>
      </c>
      <c r="R14847" s="5">
        <v>4</v>
      </c>
      <c r="S14847" s="5">
        <v>34</v>
      </c>
    </row>
    <row r="14848" spans="1:19" ht="42" x14ac:dyDescent="0.15">
      <c r="A14848" s="2">
        <f>HYPERLINK("https://open-school.uspishnemisto.com.ua/school/710191/", 710191)</f>
        <v>710191</v>
      </c>
      <c r="B14848" s="3" t="s">
        <v>74853</v>
      </c>
      <c r="C14848" s="3" t="s">
        <v>54</v>
      </c>
      <c r="D14848" s="3" t="s">
        <v>175</v>
      </c>
      <c r="E14848" s="4" t="s">
        <v>22</v>
      </c>
      <c r="F14848" s="4" t="s">
        <v>74854</v>
      </c>
      <c r="G14848" s="4" t="s">
        <v>74855</v>
      </c>
      <c r="H14848" s="3" t="s">
        <v>73938</v>
      </c>
      <c r="I14848" s="3" t="s">
        <v>74856</v>
      </c>
      <c r="J14848" s="3" t="s">
        <v>1636</v>
      </c>
      <c r="K14848" s="3" t="s">
        <v>74857</v>
      </c>
      <c r="L14848" s="3"/>
      <c r="M14848" s="4"/>
      <c r="N14848" s="3" t="s">
        <v>37</v>
      </c>
      <c r="O14848" s="3" t="s">
        <v>38</v>
      </c>
      <c r="P14848" s="5">
        <v>6</v>
      </c>
      <c r="Q14848" s="5">
        <v>52</v>
      </c>
      <c r="R14848" s="5">
        <v>5</v>
      </c>
      <c r="S14848" s="5">
        <v>43</v>
      </c>
    </row>
    <row r="14849" spans="1:19" ht="28" x14ac:dyDescent="0.15">
      <c r="A14849" s="2">
        <f>HYPERLINK("https://open-school.uspishnemisto.com.ua/school/710192/", 710192)</f>
        <v>710192</v>
      </c>
      <c r="B14849" s="3" t="s">
        <v>74858</v>
      </c>
      <c r="C14849" s="3" t="s">
        <v>31</v>
      </c>
      <c r="D14849" s="3" t="s">
        <v>60</v>
      </c>
      <c r="E14849" s="4" t="s">
        <v>22</v>
      </c>
      <c r="F14849" s="4"/>
      <c r="G14849" s="4" t="s">
        <v>74859</v>
      </c>
      <c r="H14849" s="3" t="s">
        <v>73938</v>
      </c>
      <c r="I14849" s="3" t="s">
        <v>74860</v>
      </c>
      <c r="J14849" s="3"/>
      <c r="K14849" s="3" t="s">
        <v>74861</v>
      </c>
      <c r="L14849" s="3"/>
      <c r="M14849" s="4"/>
      <c r="N14849" s="3" t="s">
        <v>37</v>
      </c>
      <c r="O14849" s="3" t="s">
        <v>52</v>
      </c>
      <c r="P14849" s="5">
        <v>1</v>
      </c>
      <c r="Q14849" s="5">
        <v>9</v>
      </c>
      <c r="R14849" s="5">
        <v>0</v>
      </c>
      <c r="S14849" s="5">
        <v>10</v>
      </c>
    </row>
    <row r="14850" spans="1:19" ht="28" x14ac:dyDescent="0.15">
      <c r="A14850" s="2">
        <f>HYPERLINK("https://open-school.uspishnemisto.com.ua/school/710193/", 710193)</f>
        <v>710193</v>
      </c>
      <c r="B14850" s="3" t="s">
        <v>74862</v>
      </c>
      <c r="C14850" s="3" t="s">
        <v>31</v>
      </c>
      <c r="D14850" s="3" t="s">
        <v>32</v>
      </c>
      <c r="E14850" s="4" t="s">
        <v>22</v>
      </c>
      <c r="F14850" s="4" t="s">
        <v>74863</v>
      </c>
      <c r="G14850" s="4" t="s">
        <v>74864</v>
      </c>
      <c r="H14850" s="3" t="s">
        <v>73938</v>
      </c>
      <c r="I14850" s="3" t="s">
        <v>36452</v>
      </c>
      <c r="J14850" s="3" t="s">
        <v>9314</v>
      </c>
      <c r="K14850" s="3" t="s">
        <v>74865</v>
      </c>
      <c r="L14850" s="3"/>
      <c r="M14850" s="4"/>
      <c r="N14850" s="3" t="s">
        <v>37</v>
      </c>
      <c r="O14850" s="3" t="s">
        <v>46</v>
      </c>
      <c r="P14850" s="5">
        <v>10</v>
      </c>
      <c r="Q14850" s="5">
        <v>113</v>
      </c>
      <c r="R14850" s="5">
        <v>11</v>
      </c>
      <c r="S14850" s="5">
        <v>119</v>
      </c>
    </row>
    <row r="14851" spans="1:19" ht="56" x14ac:dyDescent="0.15">
      <c r="A14851" s="2">
        <f>HYPERLINK("https://open-school.uspishnemisto.com.ua/school/710194/", 710194)</f>
        <v>710194</v>
      </c>
      <c r="B14851" s="3" t="s">
        <v>74866</v>
      </c>
      <c r="C14851" s="3" t="s">
        <v>54</v>
      </c>
      <c r="D14851" s="3" t="s">
        <v>32</v>
      </c>
      <c r="E14851" s="4" t="s">
        <v>22</v>
      </c>
      <c r="F14851" s="4" t="s">
        <v>74867</v>
      </c>
      <c r="G14851" s="4" t="s">
        <v>74868</v>
      </c>
      <c r="H14851" s="3" t="s">
        <v>73938</v>
      </c>
      <c r="I14851" s="3" t="s">
        <v>74869</v>
      </c>
      <c r="J14851" s="3" t="s">
        <v>74870</v>
      </c>
      <c r="K14851" s="3" t="s">
        <v>74871</v>
      </c>
      <c r="L14851" s="3"/>
      <c r="M14851" s="4"/>
      <c r="N14851" s="3" t="s">
        <v>37</v>
      </c>
      <c r="O14851" s="3" t="s">
        <v>38</v>
      </c>
      <c r="P14851" s="5">
        <v>11</v>
      </c>
      <c r="Q14851" s="5">
        <v>77</v>
      </c>
      <c r="R14851" s="5">
        <v>11</v>
      </c>
      <c r="S14851" s="5">
        <v>78</v>
      </c>
    </row>
    <row r="14852" spans="1:19" ht="56" x14ac:dyDescent="0.15">
      <c r="A14852" s="2">
        <f>HYPERLINK("https://open-school.uspishnemisto.com.ua/school/710195/", 710195)</f>
        <v>710195</v>
      </c>
      <c r="B14852" s="3" t="s">
        <v>74872</v>
      </c>
      <c r="C14852" s="3" t="s">
        <v>54</v>
      </c>
      <c r="D14852" s="3" t="s">
        <v>32</v>
      </c>
      <c r="E14852" s="4" t="s">
        <v>22</v>
      </c>
      <c r="F14852" s="4" t="s">
        <v>74873</v>
      </c>
      <c r="G14852" s="4" t="s">
        <v>74874</v>
      </c>
      <c r="H14852" s="3" t="s">
        <v>73938</v>
      </c>
      <c r="I14852" s="3" t="s">
        <v>74875</v>
      </c>
      <c r="J14852" s="3" t="s">
        <v>13745</v>
      </c>
      <c r="K14852" s="3" t="s">
        <v>74876</v>
      </c>
      <c r="L14852" s="3"/>
      <c r="M14852" s="4"/>
      <c r="N14852" s="3" t="s">
        <v>37</v>
      </c>
      <c r="O14852" s="3" t="s">
        <v>38</v>
      </c>
      <c r="P14852" s="5">
        <v>10</v>
      </c>
      <c r="Q14852" s="5">
        <v>140</v>
      </c>
      <c r="R14852" s="5">
        <v>10</v>
      </c>
      <c r="S14852" s="5">
        <v>142</v>
      </c>
    </row>
    <row r="14853" spans="1:19" ht="28" x14ac:dyDescent="0.15">
      <c r="A14853" s="2">
        <f>HYPERLINK("https://open-school.uspishnemisto.com.ua/school/710196/", 710196)</f>
        <v>710196</v>
      </c>
      <c r="B14853" s="3" t="s">
        <v>74877</v>
      </c>
      <c r="C14853" s="3" t="s">
        <v>31</v>
      </c>
      <c r="D14853" s="3" t="s">
        <v>175</v>
      </c>
      <c r="E14853" s="4" t="s">
        <v>22</v>
      </c>
      <c r="F14853" s="4" t="s">
        <v>74878</v>
      </c>
      <c r="G14853" s="4" t="s">
        <v>74879</v>
      </c>
      <c r="H14853" s="3" t="s">
        <v>73938</v>
      </c>
      <c r="I14853" s="3" t="s">
        <v>74880</v>
      </c>
      <c r="J14853" s="3" t="s">
        <v>27802</v>
      </c>
      <c r="K14853" s="3" t="s">
        <v>74881</v>
      </c>
      <c r="L14853" s="3" t="s">
        <v>74882</v>
      </c>
      <c r="M14853" s="4"/>
      <c r="N14853" s="3" t="s">
        <v>37</v>
      </c>
      <c r="O14853" s="3" t="s">
        <v>70</v>
      </c>
      <c r="P14853" s="5">
        <v>8</v>
      </c>
      <c r="Q14853" s="5">
        <v>57</v>
      </c>
      <c r="R14853" s="5">
        <v>7</v>
      </c>
      <c r="S14853" s="5">
        <v>48</v>
      </c>
    </row>
    <row r="14854" spans="1:19" ht="28" x14ac:dyDescent="0.15">
      <c r="A14854" s="2">
        <f>HYPERLINK("https://open-school.uspishnemisto.com.ua/school/710197/", 710197)</f>
        <v>710197</v>
      </c>
      <c r="B14854" s="3" t="s">
        <v>74883</v>
      </c>
      <c r="C14854" s="3" t="s">
        <v>31</v>
      </c>
      <c r="D14854" s="3" t="s">
        <v>175</v>
      </c>
      <c r="E14854" s="4" t="s">
        <v>22</v>
      </c>
      <c r="F14854" s="4" t="s">
        <v>74884</v>
      </c>
      <c r="G14854" s="4" t="s">
        <v>74885</v>
      </c>
      <c r="H14854" s="3" t="s">
        <v>73938</v>
      </c>
      <c r="I14854" s="3" t="s">
        <v>74886</v>
      </c>
      <c r="J14854" s="3" t="s">
        <v>74887</v>
      </c>
      <c r="K14854" s="3" t="s">
        <v>74888</v>
      </c>
      <c r="L14854" s="3"/>
      <c r="M14854" s="4"/>
      <c r="N14854" s="3" t="s">
        <v>37</v>
      </c>
      <c r="O14854" s="3" t="s">
        <v>38</v>
      </c>
      <c r="P14854" s="5">
        <v>8</v>
      </c>
      <c r="Q14854" s="5">
        <v>90</v>
      </c>
      <c r="R14854" s="5">
        <v>9</v>
      </c>
      <c r="S14854" s="5">
        <v>97</v>
      </c>
    </row>
    <row r="14855" spans="1:19" ht="56" x14ac:dyDescent="0.15">
      <c r="A14855" s="2">
        <f>HYPERLINK("https://open-school.uspishnemisto.com.ua/school/710198/", 710198)</f>
        <v>710198</v>
      </c>
      <c r="B14855" s="3" t="s">
        <v>74889</v>
      </c>
      <c r="C14855" s="3" t="s">
        <v>54</v>
      </c>
      <c r="D14855" s="3" t="s">
        <v>32</v>
      </c>
      <c r="E14855" s="4" t="s">
        <v>22</v>
      </c>
      <c r="F14855" s="4" t="s">
        <v>74890</v>
      </c>
      <c r="G14855" s="4" t="s">
        <v>74891</v>
      </c>
      <c r="H14855" s="3" t="s">
        <v>73938</v>
      </c>
      <c r="I14855" s="3" t="s">
        <v>41781</v>
      </c>
      <c r="J14855" s="3" t="s">
        <v>12836</v>
      </c>
      <c r="K14855" s="3" t="s">
        <v>74892</v>
      </c>
      <c r="L14855" s="3" t="s">
        <v>74893</v>
      </c>
      <c r="M14855" s="4"/>
      <c r="N14855" s="3" t="s">
        <v>37</v>
      </c>
      <c r="O14855" s="3" t="s">
        <v>38</v>
      </c>
      <c r="P14855" s="5">
        <v>11</v>
      </c>
      <c r="Q14855" s="5">
        <v>139</v>
      </c>
      <c r="R14855" s="5">
        <v>11</v>
      </c>
      <c r="S14855" s="5">
        <v>132</v>
      </c>
    </row>
    <row r="14856" spans="1:19" ht="28" x14ac:dyDescent="0.15">
      <c r="A14856" s="2">
        <f>HYPERLINK("https://open-school.uspishnemisto.com.ua/school/710199/", 710199)</f>
        <v>710199</v>
      </c>
      <c r="B14856" s="3" t="s">
        <v>74894</v>
      </c>
      <c r="C14856" s="3" t="s">
        <v>31</v>
      </c>
      <c r="D14856" s="3" t="s">
        <v>175</v>
      </c>
      <c r="E14856" s="4" t="s">
        <v>22</v>
      </c>
      <c r="F14856" s="4" t="s">
        <v>74895</v>
      </c>
      <c r="G14856" s="4" t="s">
        <v>74896</v>
      </c>
      <c r="H14856" s="3" t="s">
        <v>73938</v>
      </c>
      <c r="I14856" s="3" t="s">
        <v>74897</v>
      </c>
      <c r="J14856" s="3" t="s">
        <v>74898</v>
      </c>
      <c r="K14856" s="3" t="s">
        <v>74899</v>
      </c>
      <c r="L14856" s="3" t="s">
        <v>74900</v>
      </c>
      <c r="M14856" s="4"/>
      <c r="N14856" s="3" t="s">
        <v>37</v>
      </c>
      <c r="O14856" s="3" t="s">
        <v>52</v>
      </c>
      <c r="P14856" s="5">
        <v>6</v>
      </c>
      <c r="Q14856" s="5">
        <v>54</v>
      </c>
      <c r="R14856" s="5">
        <v>5</v>
      </c>
      <c r="S14856" s="5">
        <v>48</v>
      </c>
    </row>
    <row r="14857" spans="1:19" ht="42" x14ac:dyDescent="0.15">
      <c r="A14857" s="2">
        <f>HYPERLINK("https://open-school.uspishnemisto.com.ua/school/710200/", 710200)</f>
        <v>710200</v>
      </c>
      <c r="B14857" s="3" t="s">
        <v>74901</v>
      </c>
      <c r="C14857" s="3" t="s">
        <v>54</v>
      </c>
      <c r="D14857" s="3" t="s">
        <v>60</v>
      </c>
      <c r="E14857" s="4" t="s">
        <v>22</v>
      </c>
      <c r="F14857" s="4" t="s">
        <v>74902</v>
      </c>
      <c r="G14857" s="4" t="s">
        <v>74903</v>
      </c>
      <c r="H14857" s="3" t="s">
        <v>73938</v>
      </c>
      <c r="I14857" s="3" t="s">
        <v>2202</v>
      </c>
      <c r="J14857" s="3" t="s">
        <v>74904</v>
      </c>
      <c r="K14857" s="3" t="s">
        <v>74905</v>
      </c>
      <c r="L14857" s="3"/>
      <c r="M14857" s="4"/>
      <c r="N14857" s="3" t="s">
        <v>37</v>
      </c>
      <c r="O14857" s="3" t="s">
        <v>52</v>
      </c>
      <c r="P14857" s="5">
        <v>0</v>
      </c>
      <c r="Q14857" s="5">
        <v>4</v>
      </c>
      <c r="R14857" s="5">
        <v>1</v>
      </c>
      <c r="S14857" s="5">
        <v>8</v>
      </c>
    </row>
    <row r="14858" spans="1:19" ht="28" x14ac:dyDescent="0.15">
      <c r="A14858" s="2">
        <f>HYPERLINK("https://open-school.uspishnemisto.com.ua/school/710201/", 710201)</f>
        <v>710201</v>
      </c>
      <c r="B14858" s="3" t="s">
        <v>74906</v>
      </c>
      <c r="C14858" s="3" t="s">
        <v>31</v>
      </c>
      <c r="D14858" s="3" t="s">
        <v>32</v>
      </c>
      <c r="E14858" s="4" t="s">
        <v>22</v>
      </c>
      <c r="F14858" s="4" t="s">
        <v>74907</v>
      </c>
      <c r="G14858" s="4" t="s">
        <v>74908</v>
      </c>
      <c r="H14858" s="3" t="s">
        <v>73938</v>
      </c>
      <c r="I14858" s="3" t="s">
        <v>74909</v>
      </c>
      <c r="J14858" s="3" t="s">
        <v>5394</v>
      </c>
      <c r="K14858" s="3" t="s">
        <v>74910</v>
      </c>
      <c r="L14858" s="3" t="s">
        <v>74911</v>
      </c>
      <c r="M14858" s="4"/>
      <c r="N14858" s="3" t="s">
        <v>37</v>
      </c>
      <c r="O14858" s="3" t="s">
        <v>70</v>
      </c>
      <c r="P14858" s="5">
        <v>11</v>
      </c>
      <c r="Q14858" s="5">
        <v>101</v>
      </c>
      <c r="R14858" s="5">
        <v>11</v>
      </c>
      <c r="S14858" s="5">
        <v>107</v>
      </c>
    </row>
    <row r="14859" spans="1:19" ht="56" x14ac:dyDescent="0.15">
      <c r="A14859" s="2">
        <f>HYPERLINK("https://open-school.uspishnemisto.com.ua/school/710202/", 710202)</f>
        <v>710202</v>
      </c>
      <c r="B14859" s="3" t="s">
        <v>74912</v>
      </c>
      <c r="C14859" s="3" t="s">
        <v>54</v>
      </c>
      <c r="D14859" s="3" t="s">
        <v>32</v>
      </c>
      <c r="E14859" s="4" t="s">
        <v>22</v>
      </c>
      <c r="F14859" s="4" t="s">
        <v>74913</v>
      </c>
      <c r="G14859" s="4" t="s">
        <v>74914</v>
      </c>
      <c r="H14859" s="3" t="s">
        <v>73938</v>
      </c>
      <c r="I14859" s="3" t="s">
        <v>74915</v>
      </c>
      <c r="J14859" s="3" t="s">
        <v>74916</v>
      </c>
      <c r="K14859" s="3" t="s">
        <v>74917</v>
      </c>
      <c r="L14859" s="3"/>
      <c r="M14859" s="4"/>
      <c r="N14859" s="3" t="s">
        <v>37</v>
      </c>
      <c r="O14859" s="3" t="s">
        <v>70</v>
      </c>
      <c r="P14859" s="5">
        <v>11</v>
      </c>
      <c r="Q14859" s="5">
        <v>133</v>
      </c>
      <c r="R14859" s="5">
        <v>11</v>
      </c>
      <c r="S14859" s="5">
        <v>143</v>
      </c>
    </row>
    <row r="14860" spans="1:19" ht="28" x14ac:dyDescent="0.15">
      <c r="A14860" s="2">
        <f>HYPERLINK("https://open-school.uspishnemisto.com.ua/school/710203/", 710203)</f>
        <v>710203</v>
      </c>
      <c r="B14860" s="3" t="s">
        <v>74918</v>
      </c>
      <c r="C14860" s="3" t="s">
        <v>31</v>
      </c>
      <c r="D14860" s="3" t="s">
        <v>32</v>
      </c>
      <c r="E14860" s="4" t="s">
        <v>22</v>
      </c>
      <c r="F14860" s="4" t="s">
        <v>74919</v>
      </c>
      <c r="G14860" s="4" t="s">
        <v>74920</v>
      </c>
      <c r="H14860" s="3" t="s">
        <v>73938</v>
      </c>
      <c r="I14860" s="3" t="s">
        <v>74921</v>
      </c>
      <c r="J14860" s="3" t="s">
        <v>74922</v>
      </c>
      <c r="K14860" s="3" t="s">
        <v>74923</v>
      </c>
      <c r="L14860" s="3"/>
      <c r="M14860" s="4"/>
      <c r="N14860" s="3" t="s">
        <v>37</v>
      </c>
      <c r="O14860" s="3" t="s">
        <v>52</v>
      </c>
      <c r="P14860" s="5">
        <v>11</v>
      </c>
      <c r="Q14860" s="5">
        <v>89</v>
      </c>
      <c r="R14860" s="5">
        <v>10</v>
      </c>
      <c r="S14860" s="5">
        <v>86</v>
      </c>
    </row>
    <row r="14861" spans="1:19" ht="56" x14ac:dyDescent="0.15">
      <c r="A14861" s="2">
        <f>HYPERLINK("https://open-school.uspishnemisto.com.ua/school/710204/", 710204)</f>
        <v>710204</v>
      </c>
      <c r="B14861" s="3" t="s">
        <v>74924</v>
      </c>
      <c r="C14861" s="3" t="s">
        <v>54</v>
      </c>
      <c r="D14861" s="3" t="s">
        <v>32</v>
      </c>
      <c r="E14861" s="4" t="s">
        <v>22</v>
      </c>
      <c r="F14861" s="4" t="s">
        <v>74925</v>
      </c>
      <c r="G14861" s="4" t="s">
        <v>74926</v>
      </c>
      <c r="H14861" s="3" t="s">
        <v>73938</v>
      </c>
      <c r="I14861" s="3" t="s">
        <v>74927</v>
      </c>
      <c r="J14861" s="3" t="s">
        <v>466</v>
      </c>
      <c r="K14861" s="3" t="s">
        <v>74928</v>
      </c>
      <c r="L14861" s="3"/>
      <c r="M14861" s="4"/>
      <c r="N14861" s="3" t="s">
        <v>37</v>
      </c>
      <c r="O14861" s="3" t="s">
        <v>38</v>
      </c>
      <c r="P14861" s="5">
        <v>11</v>
      </c>
      <c r="Q14861" s="5">
        <v>110</v>
      </c>
      <c r="R14861" s="5">
        <v>11</v>
      </c>
      <c r="S14861" s="5">
        <v>117</v>
      </c>
    </row>
    <row r="14862" spans="1:19" ht="28" x14ac:dyDescent="0.15">
      <c r="A14862" s="2">
        <f>HYPERLINK("https://open-school.uspishnemisto.com.ua/school/710205/", 710205)</f>
        <v>710205</v>
      </c>
      <c r="B14862" s="3" t="s">
        <v>74929</v>
      </c>
      <c r="C14862" s="3" t="s">
        <v>31</v>
      </c>
      <c r="D14862" s="3" t="s">
        <v>32</v>
      </c>
      <c r="E14862" s="4" t="s">
        <v>22</v>
      </c>
      <c r="F14862" s="4" t="s">
        <v>74930</v>
      </c>
      <c r="G14862" s="4" t="s">
        <v>74931</v>
      </c>
      <c r="H14862" s="3" t="s">
        <v>73938</v>
      </c>
      <c r="I14862" s="3" t="s">
        <v>1439</v>
      </c>
      <c r="J14862" s="3" t="s">
        <v>13277</v>
      </c>
      <c r="K14862" s="3" t="s">
        <v>74932</v>
      </c>
      <c r="L14862" s="3" t="s">
        <v>74933</v>
      </c>
      <c r="M14862" s="4"/>
      <c r="N14862" s="3" t="s">
        <v>37</v>
      </c>
      <c r="O14862" s="3" t="s">
        <v>38</v>
      </c>
      <c r="P14862" s="5">
        <v>6</v>
      </c>
      <c r="Q14862" s="5">
        <v>50</v>
      </c>
      <c r="R14862" s="5">
        <v>6</v>
      </c>
      <c r="S14862" s="5">
        <v>56</v>
      </c>
    </row>
    <row r="14863" spans="1:19" ht="28" x14ac:dyDescent="0.15">
      <c r="A14863" s="2">
        <f>HYPERLINK("https://open-school.uspishnemisto.com.ua/school/710206/", 710206)</f>
        <v>710206</v>
      </c>
      <c r="B14863" s="3" t="s">
        <v>74934</v>
      </c>
      <c r="C14863" s="3" t="s">
        <v>31</v>
      </c>
      <c r="D14863" s="3" t="s">
        <v>175</v>
      </c>
      <c r="E14863" s="4" t="s">
        <v>22</v>
      </c>
      <c r="F14863" s="4" t="s">
        <v>74935</v>
      </c>
      <c r="G14863" s="4" t="s">
        <v>74936</v>
      </c>
      <c r="H14863" s="3" t="s">
        <v>73938</v>
      </c>
      <c r="I14863" s="3" t="s">
        <v>74937</v>
      </c>
      <c r="J14863" s="3" t="s">
        <v>74938</v>
      </c>
      <c r="K14863" s="3" t="s">
        <v>74939</v>
      </c>
      <c r="L14863" s="3"/>
      <c r="M14863" s="4"/>
      <c r="N14863" s="3" t="s">
        <v>37</v>
      </c>
      <c r="O14863" s="3" t="s">
        <v>52</v>
      </c>
      <c r="P14863" s="5">
        <v>2</v>
      </c>
      <c r="Q14863" s="5">
        <v>33</v>
      </c>
      <c r="R14863" s="5">
        <v>4</v>
      </c>
      <c r="S14863" s="5">
        <v>38</v>
      </c>
    </row>
    <row r="14864" spans="1:19" ht="28" x14ac:dyDescent="0.15">
      <c r="A14864" s="2">
        <f>HYPERLINK("https://open-school.uspishnemisto.com.ua/school/710207/", 710207)</f>
        <v>710207</v>
      </c>
      <c r="B14864" s="3" t="s">
        <v>74940</v>
      </c>
      <c r="C14864" s="3" t="s">
        <v>31</v>
      </c>
      <c r="D14864" s="3" t="s">
        <v>32</v>
      </c>
      <c r="E14864" s="4" t="s">
        <v>22</v>
      </c>
      <c r="F14864" s="4" t="s">
        <v>74941</v>
      </c>
      <c r="G14864" s="4" t="s">
        <v>74942</v>
      </c>
      <c r="H14864" s="3" t="s">
        <v>73938</v>
      </c>
      <c r="I14864" s="3" t="s">
        <v>18859</v>
      </c>
      <c r="J14864" s="3" t="s">
        <v>3064</v>
      </c>
      <c r="K14864" s="3" t="s">
        <v>74943</v>
      </c>
      <c r="L14864" s="3"/>
      <c r="M14864" s="4"/>
      <c r="N14864" s="3" t="s">
        <v>37</v>
      </c>
      <c r="O14864" s="3" t="s">
        <v>46</v>
      </c>
      <c r="P14864" s="5">
        <v>5</v>
      </c>
      <c r="Q14864" s="5">
        <v>51</v>
      </c>
      <c r="R14864" s="5">
        <v>8</v>
      </c>
      <c r="S14864" s="5">
        <v>61</v>
      </c>
    </row>
    <row r="14865" spans="1:19" ht="56" x14ac:dyDescent="0.15">
      <c r="A14865" s="2">
        <f>HYPERLINK("https://open-school.uspishnemisto.com.ua/school/710208/", 710208)</f>
        <v>710208</v>
      </c>
      <c r="B14865" s="3" t="s">
        <v>74944</v>
      </c>
      <c r="C14865" s="3" t="s">
        <v>54</v>
      </c>
      <c r="D14865" s="3" t="s">
        <v>60</v>
      </c>
      <c r="E14865" s="4" t="s">
        <v>22</v>
      </c>
      <c r="F14865" s="4" t="s">
        <v>74945</v>
      </c>
      <c r="G14865" s="4" t="s">
        <v>74946</v>
      </c>
      <c r="H14865" s="3" t="s">
        <v>73938</v>
      </c>
      <c r="I14865" s="3" t="s">
        <v>74947</v>
      </c>
      <c r="J14865" s="3" t="s">
        <v>74948</v>
      </c>
      <c r="K14865" s="3" t="s">
        <v>74949</v>
      </c>
      <c r="L14865" s="3" t="s">
        <v>74950</v>
      </c>
      <c r="M14865" s="4"/>
      <c r="N14865" s="3" t="s">
        <v>37</v>
      </c>
      <c r="O14865" s="3" t="s">
        <v>52</v>
      </c>
      <c r="P14865" s="5">
        <v>1</v>
      </c>
      <c r="Q14865" s="5">
        <v>10</v>
      </c>
      <c r="R14865" s="5">
        <v>0</v>
      </c>
      <c r="S14865" s="5">
        <v>8</v>
      </c>
    </row>
    <row r="14866" spans="1:19" ht="42" x14ac:dyDescent="0.15">
      <c r="A14866" s="2">
        <f>HYPERLINK("https://open-school.uspishnemisto.com.ua/school/710209/", 710209)</f>
        <v>710209</v>
      </c>
      <c r="B14866" s="3" t="s">
        <v>74951</v>
      </c>
      <c r="C14866" s="3" t="s">
        <v>4989</v>
      </c>
      <c r="D14866" s="3" t="s">
        <v>32</v>
      </c>
      <c r="E14866" s="4" t="s">
        <v>22</v>
      </c>
      <c r="F14866" s="4" t="s">
        <v>74952</v>
      </c>
      <c r="G14866" s="4" t="s">
        <v>74953</v>
      </c>
      <c r="H14866" s="3" t="s">
        <v>73938</v>
      </c>
      <c r="I14866" s="3" t="s">
        <v>11064</v>
      </c>
      <c r="J14866" s="3" t="s">
        <v>17555</v>
      </c>
      <c r="K14866" s="3" t="s">
        <v>74954</v>
      </c>
      <c r="L14866" s="3" t="s">
        <v>74955</v>
      </c>
      <c r="M14866" s="4" t="s">
        <v>74956</v>
      </c>
      <c r="N14866" s="3" t="s">
        <v>37</v>
      </c>
      <c r="O14866" s="3" t="s">
        <v>52</v>
      </c>
      <c r="P14866" s="5">
        <v>11</v>
      </c>
      <c r="Q14866" s="5">
        <v>195</v>
      </c>
      <c r="R14866" s="5">
        <v>11</v>
      </c>
      <c r="S14866" s="5">
        <v>196</v>
      </c>
    </row>
    <row r="14867" spans="1:19" ht="56" x14ac:dyDescent="0.15">
      <c r="A14867" s="2">
        <f>HYPERLINK("https://open-school.uspishnemisto.com.ua/school/710210/", 710210)</f>
        <v>710210</v>
      </c>
      <c r="B14867" s="3" t="s">
        <v>74957</v>
      </c>
      <c r="C14867" s="3" t="s">
        <v>54</v>
      </c>
      <c r="D14867" s="3" t="s">
        <v>32</v>
      </c>
      <c r="E14867" s="4" t="s">
        <v>22</v>
      </c>
      <c r="F14867" s="4" t="s">
        <v>74952</v>
      </c>
      <c r="G14867" s="4" t="s">
        <v>74953</v>
      </c>
      <c r="H14867" s="3" t="s">
        <v>73938</v>
      </c>
      <c r="I14867" s="3" t="s">
        <v>11064</v>
      </c>
      <c r="J14867" s="3" t="s">
        <v>25366</v>
      </c>
      <c r="K14867" s="3" t="s">
        <v>74958</v>
      </c>
      <c r="L14867" s="3" t="s">
        <v>74959</v>
      </c>
      <c r="M14867" s="4"/>
      <c r="N14867" s="3" t="s">
        <v>37</v>
      </c>
      <c r="O14867" s="3" t="s">
        <v>52</v>
      </c>
      <c r="P14867" s="5">
        <v>11</v>
      </c>
      <c r="Q14867" s="5">
        <v>179</v>
      </c>
      <c r="R14867" s="5">
        <v>11</v>
      </c>
      <c r="S14867" s="5">
        <v>200</v>
      </c>
    </row>
    <row r="14868" spans="1:19" ht="28" x14ac:dyDescent="0.15">
      <c r="A14868" s="2">
        <f>HYPERLINK("https://open-school.uspishnemisto.com.ua/school/710211/", 710211)</f>
        <v>710211</v>
      </c>
      <c r="B14868" s="3" t="s">
        <v>74960</v>
      </c>
      <c r="C14868" s="3" t="s">
        <v>31</v>
      </c>
      <c r="D14868" s="3" t="s">
        <v>32</v>
      </c>
      <c r="E14868" s="4" t="s">
        <v>22</v>
      </c>
      <c r="F14868" s="4" t="s">
        <v>74961</v>
      </c>
      <c r="G14868" s="4" t="s">
        <v>74962</v>
      </c>
      <c r="H14868" s="3" t="s">
        <v>73938</v>
      </c>
      <c r="I14868" s="3" t="s">
        <v>3895</v>
      </c>
      <c r="J14868" s="3" t="s">
        <v>74963</v>
      </c>
      <c r="K14868" s="3" t="s">
        <v>74964</v>
      </c>
      <c r="L14868" s="3" t="s">
        <v>74965</v>
      </c>
      <c r="M14868" s="4"/>
      <c r="N14868" s="3" t="s">
        <v>37</v>
      </c>
      <c r="O14868" s="3" t="s">
        <v>38</v>
      </c>
      <c r="P14868" s="5">
        <v>11</v>
      </c>
      <c r="Q14868" s="5">
        <v>113</v>
      </c>
      <c r="R14868" s="5">
        <v>11</v>
      </c>
      <c r="S14868" s="5">
        <v>134</v>
      </c>
    </row>
    <row r="14869" spans="1:19" ht="56" x14ac:dyDescent="0.15">
      <c r="A14869" s="2">
        <f>HYPERLINK("https://open-school.uspishnemisto.com.ua/school/710212/", 710212)</f>
        <v>710212</v>
      </c>
      <c r="B14869" s="3" t="s">
        <v>74966</v>
      </c>
      <c r="C14869" s="3" t="s">
        <v>54</v>
      </c>
      <c r="D14869" s="3" t="s">
        <v>32</v>
      </c>
      <c r="E14869" s="4" t="s">
        <v>22</v>
      </c>
      <c r="F14869" s="4" t="s">
        <v>74967</v>
      </c>
      <c r="G14869" s="4" t="s">
        <v>74968</v>
      </c>
      <c r="H14869" s="3" t="s">
        <v>73938</v>
      </c>
      <c r="I14869" s="3" t="s">
        <v>74969</v>
      </c>
      <c r="J14869" s="3" t="s">
        <v>74970</v>
      </c>
      <c r="K14869" s="3" t="s">
        <v>74971</v>
      </c>
      <c r="L14869" s="3"/>
      <c r="M14869" s="4"/>
      <c r="N14869" s="3" t="s">
        <v>37</v>
      </c>
      <c r="O14869" s="3" t="s">
        <v>38</v>
      </c>
      <c r="P14869" s="5">
        <v>5</v>
      </c>
      <c r="Q14869" s="5">
        <v>50</v>
      </c>
      <c r="R14869" s="5">
        <v>6</v>
      </c>
      <c r="S14869" s="5">
        <v>52</v>
      </c>
    </row>
    <row r="14870" spans="1:19" ht="56" x14ac:dyDescent="0.15">
      <c r="A14870" s="2">
        <f>HYPERLINK("https://open-school.uspishnemisto.com.ua/school/710213/", 710213)</f>
        <v>710213</v>
      </c>
      <c r="B14870" s="3" t="s">
        <v>74972</v>
      </c>
      <c r="C14870" s="3" t="s">
        <v>54</v>
      </c>
      <c r="D14870" s="3" t="s">
        <v>32</v>
      </c>
      <c r="E14870" s="4" t="s">
        <v>22</v>
      </c>
      <c r="F14870" s="4" t="s">
        <v>74973</v>
      </c>
      <c r="G14870" s="4" t="s">
        <v>74974</v>
      </c>
      <c r="H14870" s="3" t="s">
        <v>73938</v>
      </c>
      <c r="I14870" s="3" t="s">
        <v>74975</v>
      </c>
      <c r="J14870" s="3" t="s">
        <v>18484</v>
      </c>
      <c r="K14870" s="3" t="s">
        <v>74976</v>
      </c>
      <c r="L14870" s="3"/>
      <c r="M14870" s="4"/>
      <c r="N14870" s="3" t="s">
        <v>37</v>
      </c>
      <c r="O14870" s="3" t="s">
        <v>38</v>
      </c>
      <c r="P14870" s="5">
        <v>3</v>
      </c>
      <c r="Q14870" s="5">
        <v>32</v>
      </c>
      <c r="R14870" s="5">
        <v>3</v>
      </c>
      <c r="S14870" s="5">
        <v>36</v>
      </c>
    </row>
    <row r="14871" spans="1:19" ht="56" x14ac:dyDescent="0.15">
      <c r="A14871" s="2">
        <f>HYPERLINK("https://open-school.uspishnemisto.com.ua/school/710214/", 710214)</f>
        <v>710214</v>
      </c>
      <c r="B14871" s="3" t="s">
        <v>74977</v>
      </c>
      <c r="C14871" s="3" t="s">
        <v>54</v>
      </c>
      <c r="D14871" s="3" t="s">
        <v>32</v>
      </c>
      <c r="E14871" s="4" t="s">
        <v>22</v>
      </c>
      <c r="F14871" s="4" t="s">
        <v>74978</v>
      </c>
      <c r="G14871" s="4" t="s">
        <v>74979</v>
      </c>
      <c r="H14871" s="3" t="s">
        <v>73938</v>
      </c>
      <c r="I14871" s="3" t="s">
        <v>74980</v>
      </c>
      <c r="J14871" s="3" t="s">
        <v>74981</v>
      </c>
      <c r="K14871" s="3" t="s">
        <v>74982</v>
      </c>
      <c r="L14871" s="3"/>
      <c r="M14871" s="4"/>
      <c r="N14871" s="3" t="s">
        <v>37</v>
      </c>
      <c r="O14871" s="3" t="s">
        <v>38</v>
      </c>
      <c r="P14871" s="5">
        <v>10</v>
      </c>
      <c r="Q14871" s="5">
        <v>90</v>
      </c>
      <c r="R14871" s="5">
        <v>9</v>
      </c>
      <c r="S14871" s="5">
        <v>80</v>
      </c>
    </row>
    <row r="14872" spans="1:19" ht="56" x14ac:dyDescent="0.15">
      <c r="A14872" s="2">
        <f>HYPERLINK("https://open-school.uspishnemisto.com.ua/school/710215/", 710215)</f>
        <v>710215</v>
      </c>
      <c r="B14872" s="3" t="s">
        <v>74983</v>
      </c>
      <c r="C14872" s="3" t="s">
        <v>54</v>
      </c>
      <c r="D14872" s="3" t="s">
        <v>175</v>
      </c>
      <c r="E14872" s="4" t="s">
        <v>22</v>
      </c>
      <c r="F14872" s="4" t="s">
        <v>74984</v>
      </c>
      <c r="G14872" s="4" t="s">
        <v>74985</v>
      </c>
      <c r="H14872" s="3" t="s">
        <v>73938</v>
      </c>
      <c r="I14872" s="3" t="s">
        <v>51785</v>
      </c>
      <c r="J14872" s="3" t="s">
        <v>74986</v>
      </c>
      <c r="K14872" s="3" t="s">
        <v>74987</v>
      </c>
      <c r="L14872" s="3"/>
      <c r="M14872" s="4"/>
      <c r="N14872" s="3" t="s">
        <v>37</v>
      </c>
      <c r="O14872" s="3" t="s">
        <v>52</v>
      </c>
      <c r="P14872" s="5">
        <v>4</v>
      </c>
      <c r="Q14872" s="5">
        <v>30</v>
      </c>
      <c r="R14872" s="5">
        <v>4</v>
      </c>
      <c r="S14872" s="5">
        <v>28</v>
      </c>
    </row>
    <row r="14873" spans="1:19" ht="56" x14ac:dyDescent="0.15">
      <c r="A14873" s="2">
        <f>HYPERLINK("https://open-school.uspishnemisto.com.ua/school/710216/", 710216)</f>
        <v>710216</v>
      </c>
      <c r="B14873" s="3" t="s">
        <v>74988</v>
      </c>
      <c r="C14873" s="3" t="s">
        <v>54</v>
      </c>
      <c r="D14873" s="3" t="s">
        <v>32</v>
      </c>
      <c r="E14873" s="4" t="s">
        <v>22</v>
      </c>
      <c r="F14873" s="4" t="s">
        <v>74989</v>
      </c>
      <c r="G14873" s="4" t="s">
        <v>74990</v>
      </c>
      <c r="H14873" s="3" t="s">
        <v>73938</v>
      </c>
      <c r="I14873" s="3" t="s">
        <v>74991</v>
      </c>
      <c r="J14873" s="3" t="s">
        <v>74992</v>
      </c>
      <c r="K14873" s="3" t="s">
        <v>66871</v>
      </c>
      <c r="L14873" s="3"/>
      <c r="M14873" s="4"/>
      <c r="N14873" s="3" t="s">
        <v>37</v>
      </c>
      <c r="O14873" s="3" t="s">
        <v>38</v>
      </c>
      <c r="P14873" s="5">
        <v>11</v>
      </c>
      <c r="Q14873" s="5">
        <v>118</v>
      </c>
      <c r="R14873" s="5">
        <v>11</v>
      </c>
      <c r="S14873" s="5">
        <v>129</v>
      </c>
    </row>
    <row r="14874" spans="1:19" ht="42" x14ac:dyDescent="0.15">
      <c r="A14874" s="2">
        <f>HYPERLINK("https://open-school.uspishnemisto.com.ua/school/710217/", 710217)</f>
        <v>710217</v>
      </c>
      <c r="B14874" s="3" t="s">
        <v>74993</v>
      </c>
      <c r="C14874" s="3" t="s">
        <v>54</v>
      </c>
      <c r="D14874" s="3" t="s">
        <v>60</v>
      </c>
      <c r="E14874" s="4" t="s">
        <v>22</v>
      </c>
      <c r="F14874" s="4" t="s">
        <v>74994</v>
      </c>
      <c r="G14874" s="4" t="s">
        <v>74995</v>
      </c>
      <c r="H14874" s="3" t="s">
        <v>73938</v>
      </c>
      <c r="I14874" s="3" t="s">
        <v>74996</v>
      </c>
      <c r="J14874" s="3" t="s">
        <v>2052</v>
      </c>
      <c r="K14874" s="3" t="s">
        <v>74997</v>
      </c>
      <c r="L14874" s="3"/>
      <c r="M14874" s="4"/>
      <c r="N14874" s="3" t="s">
        <v>37</v>
      </c>
      <c r="O14874" s="3" t="s">
        <v>52</v>
      </c>
      <c r="P14874" s="5">
        <v>1</v>
      </c>
      <c r="Q14874" s="5">
        <v>16</v>
      </c>
      <c r="R14874" s="5">
        <v>2</v>
      </c>
      <c r="S14874" s="5">
        <v>13</v>
      </c>
    </row>
    <row r="14875" spans="1:19" ht="28" x14ac:dyDescent="0.15">
      <c r="A14875" s="2">
        <f>HYPERLINK("https://open-school.uspishnemisto.com.ua/school/710218/", 710218)</f>
        <v>710218</v>
      </c>
      <c r="B14875" s="3" t="s">
        <v>74998</v>
      </c>
      <c r="C14875" s="3" t="s">
        <v>31</v>
      </c>
      <c r="D14875" s="3" t="s">
        <v>32</v>
      </c>
      <c r="E14875" s="4" t="s">
        <v>22</v>
      </c>
      <c r="F14875" s="4" t="s">
        <v>74999</v>
      </c>
      <c r="G14875" s="4" t="s">
        <v>75000</v>
      </c>
      <c r="H14875" s="3" t="s">
        <v>73938</v>
      </c>
      <c r="I14875" s="3" t="s">
        <v>32416</v>
      </c>
      <c r="J14875" s="3" t="s">
        <v>513</v>
      </c>
      <c r="K14875" s="3" t="s">
        <v>75001</v>
      </c>
      <c r="L14875" s="3" t="s">
        <v>75002</v>
      </c>
      <c r="M14875" s="4"/>
      <c r="N14875" s="3" t="s">
        <v>37</v>
      </c>
      <c r="O14875" s="3" t="s">
        <v>38</v>
      </c>
      <c r="P14875" s="5">
        <v>11</v>
      </c>
      <c r="Q14875" s="5">
        <v>130</v>
      </c>
      <c r="R14875" s="5">
        <v>11</v>
      </c>
      <c r="S14875" s="5">
        <v>135</v>
      </c>
    </row>
    <row r="14876" spans="1:19" ht="28" x14ac:dyDescent="0.15">
      <c r="A14876" s="2">
        <f>HYPERLINK("https://open-school.uspishnemisto.com.ua/school/710219/", 710219)</f>
        <v>710219</v>
      </c>
      <c r="B14876" s="3" t="s">
        <v>75003</v>
      </c>
      <c r="C14876" s="3" t="s">
        <v>31</v>
      </c>
      <c r="D14876" s="3" t="s">
        <v>32</v>
      </c>
      <c r="E14876" s="4" t="s">
        <v>22</v>
      </c>
      <c r="F14876" s="4" t="s">
        <v>75004</v>
      </c>
      <c r="G14876" s="4" t="s">
        <v>75005</v>
      </c>
      <c r="H14876" s="3" t="s">
        <v>73938</v>
      </c>
      <c r="I14876" s="3" t="s">
        <v>75006</v>
      </c>
      <c r="J14876" s="3" t="s">
        <v>75007</v>
      </c>
      <c r="K14876" s="3" t="s">
        <v>75008</v>
      </c>
      <c r="L14876" s="3" t="s">
        <v>75009</v>
      </c>
      <c r="M14876" s="4"/>
      <c r="N14876" s="3" t="s">
        <v>37</v>
      </c>
      <c r="O14876" s="3" t="s">
        <v>38</v>
      </c>
      <c r="P14876" s="5">
        <v>11</v>
      </c>
      <c r="Q14876" s="5">
        <v>143</v>
      </c>
      <c r="R14876" s="5">
        <v>11</v>
      </c>
      <c r="S14876" s="5">
        <v>118</v>
      </c>
    </row>
    <row r="14877" spans="1:19" ht="28" x14ac:dyDescent="0.15">
      <c r="A14877" s="2">
        <f>HYPERLINK("https://open-school.uspishnemisto.com.ua/school/710220/", 710220)</f>
        <v>710220</v>
      </c>
      <c r="B14877" s="3" t="s">
        <v>75010</v>
      </c>
      <c r="C14877" s="3" t="s">
        <v>31</v>
      </c>
      <c r="D14877" s="3" t="s">
        <v>32</v>
      </c>
      <c r="E14877" s="4" t="s">
        <v>22</v>
      </c>
      <c r="F14877" s="4" t="s">
        <v>75011</v>
      </c>
      <c r="G14877" s="4" t="s">
        <v>75012</v>
      </c>
      <c r="H14877" s="3" t="s">
        <v>73938</v>
      </c>
      <c r="I14877" s="3" t="s">
        <v>75013</v>
      </c>
      <c r="J14877" s="3" t="s">
        <v>75014</v>
      </c>
      <c r="K14877" s="3" t="s">
        <v>75015</v>
      </c>
      <c r="L14877" s="3" t="s">
        <v>75016</v>
      </c>
      <c r="M14877" s="4"/>
      <c r="N14877" s="3" t="s">
        <v>37</v>
      </c>
      <c r="O14877" s="3" t="s">
        <v>70</v>
      </c>
      <c r="P14877" s="5">
        <v>21</v>
      </c>
      <c r="Q14877" s="5">
        <v>425</v>
      </c>
      <c r="R14877" s="5">
        <v>22</v>
      </c>
      <c r="S14877" s="5">
        <v>443</v>
      </c>
    </row>
    <row r="14878" spans="1:19" ht="56" x14ac:dyDescent="0.15">
      <c r="A14878" s="2">
        <f>HYPERLINK("https://open-school.uspishnemisto.com.ua/school/710221/", 710221)</f>
        <v>710221</v>
      </c>
      <c r="B14878" s="3" t="s">
        <v>75017</v>
      </c>
      <c r="C14878" s="3" t="s">
        <v>54</v>
      </c>
      <c r="D14878" s="3" t="s">
        <v>32</v>
      </c>
      <c r="E14878" s="4" t="s">
        <v>22</v>
      </c>
      <c r="F14878" s="4" t="s">
        <v>75018</v>
      </c>
      <c r="G14878" s="4" t="s">
        <v>75019</v>
      </c>
      <c r="H14878" s="3" t="s">
        <v>73938</v>
      </c>
      <c r="I14878" s="3" t="s">
        <v>75020</v>
      </c>
      <c r="J14878" s="3" t="s">
        <v>75021</v>
      </c>
      <c r="K14878" s="3" t="s">
        <v>75022</v>
      </c>
      <c r="L14878" s="3"/>
      <c r="M14878" s="4"/>
      <c r="N14878" s="3" t="s">
        <v>37</v>
      </c>
      <c r="O14878" s="3" t="s">
        <v>38</v>
      </c>
      <c r="P14878" s="5">
        <v>10</v>
      </c>
      <c r="Q14878" s="5">
        <v>107</v>
      </c>
      <c r="R14878" s="5">
        <v>9</v>
      </c>
      <c r="S14878" s="5">
        <v>94</v>
      </c>
    </row>
    <row r="14879" spans="1:19" ht="56" x14ac:dyDescent="0.15">
      <c r="A14879" s="2">
        <f>HYPERLINK("https://open-school.uspishnemisto.com.ua/school/710222/", 710222)</f>
        <v>710222</v>
      </c>
      <c r="B14879" s="3" t="s">
        <v>75023</v>
      </c>
      <c r="C14879" s="3" t="s">
        <v>54</v>
      </c>
      <c r="D14879" s="3" t="s">
        <v>32</v>
      </c>
      <c r="E14879" s="4" t="s">
        <v>22</v>
      </c>
      <c r="F14879" s="4" t="s">
        <v>75024</v>
      </c>
      <c r="G14879" s="4" t="s">
        <v>75025</v>
      </c>
      <c r="H14879" s="3" t="s">
        <v>73938</v>
      </c>
      <c r="I14879" s="3" t="s">
        <v>75026</v>
      </c>
      <c r="J14879" s="3" t="s">
        <v>75027</v>
      </c>
      <c r="K14879" s="3" t="s">
        <v>75028</v>
      </c>
      <c r="L14879" s="3"/>
      <c r="M14879" s="4"/>
      <c r="N14879" s="3" t="s">
        <v>37</v>
      </c>
      <c r="O14879" s="3" t="s">
        <v>38</v>
      </c>
      <c r="P14879" s="5">
        <v>10</v>
      </c>
      <c r="Q14879" s="5">
        <v>91</v>
      </c>
      <c r="R14879" s="5">
        <v>10</v>
      </c>
      <c r="S14879" s="5">
        <v>88</v>
      </c>
    </row>
    <row r="14880" spans="1:19" ht="42" x14ac:dyDescent="0.15">
      <c r="A14880" s="2">
        <f>HYPERLINK("https://open-school.uspishnemisto.com.ua/school/710223/", 710223)</f>
        <v>710223</v>
      </c>
      <c r="B14880" s="3" t="s">
        <v>75029</v>
      </c>
      <c r="C14880" s="3" t="s">
        <v>54</v>
      </c>
      <c r="D14880" s="3" t="s">
        <v>32</v>
      </c>
      <c r="E14880" s="4" t="s">
        <v>22</v>
      </c>
      <c r="F14880" s="4" t="s">
        <v>75030</v>
      </c>
      <c r="G14880" s="4" t="s">
        <v>75031</v>
      </c>
      <c r="H14880" s="3" t="s">
        <v>73938</v>
      </c>
      <c r="I14880" s="3" t="s">
        <v>11923</v>
      </c>
      <c r="J14880" s="3" t="s">
        <v>75032</v>
      </c>
      <c r="K14880" s="3" t="s">
        <v>75033</v>
      </c>
      <c r="L14880" s="3"/>
      <c r="M14880" s="4"/>
      <c r="N14880" s="3" t="s">
        <v>37</v>
      </c>
      <c r="O14880" s="3" t="s">
        <v>38</v>
      </c>
      <c r="P14880" s="5">
        <v>9</v>
      </c>
      <c r="Q14880" s="5">
        <v>86</v>
      </c>
      <c r="R14880" s="5">
        <v>9</v>
      </c>
      <c r="S14880" s="5">
        <v>86</v>
      </c>
    </row>
    <row r="14881" spans="1:19" ht="56" x14ac:dyDescent="0.15">
      <c r="A14881" s="2">
        <f>HYPERLINK("https://open-school.uspishnemisto.com.ua/school/710224/", 710224)</f>
        <v>710224</v>
      </c>
      <c r="B14881" s="3" t="s">
        <v>75034</v>
      </c>
      <c r="C14881" s="3" t="s">
        <v>54</v>
      </c>
      <c r="D14881" s="3" t="s">
        <v>32</v>
      </c>
      <c r="E14881" s="4" t="s">
        <v>22</v>
      </c>
      <c r="F14881" s="4" t="s">
        <v>75035</v>
      </c>
      <c r="G14881" s="4" t="s">
        <v>75036</v>
      </c>
      <c r="H14881" s="3" t="s">
        <v>73938</v>
      </c>
      <c r="I14881" s="3" t="s">
        <v>75037</v>
      </c>
      <c r="J14881" s="3" t="s">
        <v>2901</v>
      </c>
      <c r="K14881" s="3" t="s">
        <v>75038</v>
      </c>
      <c r="L14881" s="3"/>
      <c r="M14881" s="4"/>
      <c r="N14881" s="3" t="s">
        <v>37</v>
      </c>
      <c r="O14881" s="3" t="s">
        <v>38</v>
      </c>
      <c r="P14881" s="5">
        <v>11</v>
      </c>
      <c r="Q14881" s="5">
        <v>158</v>
      </c>
      <c r="R14881" s="5">
        <v>11</v>
      </c>
      <c r="S14881" s="5">
        <v>164</v>
      </c>
    </row>
    <row r="14882" spans="1:19" ht="56" x14ac:dyDescent="0.15">
      <c r="A14882" s="2">
        <f>HYPERLINK("https://open-school.uspishnemisto.com.ua/school/710225/", 710225)</f>
        <v>710225</v>
      </c>
      <c r="B14882" s="3" t="s">
        <v>75039</v>
      </c>
      <c r="C14882" s="3" t="s">
        <v>54</v>
      </c>
      <c r="D14882" s="3" t="s">
        <v>32</v>
      </c>
      <c r="E14882" s="4" t="s">
        <v>22</v>
      </c>
      <c r="F14882" s="4" t="s">
        <v>75040</v>
      </c>
      <c r="G14882" s="4" t="s">
        <v>75041</v>
      </c>
      <c r="H14882" s="3" t="s">
        <v>73938</v>
      </c>
      <c r="I14882" s="3" t="s">
        <v>75042</v>
      </c>
      <c r="J14882" s="3" t="s">
        <v>6598</v>
      </c>
      <c r="K14882" s="3" t="s">
        <v>75043</v>
      </c>
      <c r="L14882" s="3"/>
      <c r="M14882" s="4"/>
      <c r="N14882" s="3" t="s">
        <v>37</v>
      </c>
      <c r="O14882" s="3" t="s">
        <v>52</v>
      </c>
      <c r="P14882" s="5">
        <v>9</v>
      </c>
      <c r="Q14882" s="5">
        <v>83</v>
      </c>
      <c r="R14882" s="5">
        <v>10</v>
      </c>
      <c r="S14882" s="5">
        <v>77</v>
      </c>
    </row>
    <row r="14883" spans="1:19" ht="28" x14ac:dyDescent="0.15">
      <c r="A14883" s="2">
        <f>HYPERLINK("https://open-school.uspishnemisto.com.ua/school/710226/", 710226)</f>
        <v>710226</v>
      </c>
      <c r="B14883" s="3" t="s">
        <v>75044</v>
      </c>
      <c r="C14883" s="3" t="s">
        <v>31</v>
      </c>
      <c r="D14883" s="3" t="s">
        <v>32</v>
      </c>
      <c r="E14883" s="4" t="s">
        <v>22</v>
      </c>
      <c r="F14883" s="4" t="s">
        <v>75045</v>
      </c>
      <c r="G14883" s="4" t="s">
        <v>75046</v>
      </c>
      <c r="H14883" s="3" t="s">
        <v>73938</v>
      </c>
      <c r="I14883" s="3" t="s">
        <v>75047</v>
      </c>
      <c r="J14883" s="3" t="s">
        <v>75048</v>
      </c>
      <c r="K14883" s="3" t="s">
        <v>75049</v>
      </c>
      <c r="L14883" s="3"/>
      <c r="M14883" s="4"/>
      <c r="N14883" s="3" t="s">
        <v>37</v>
      </c>
      <c r="O14883" s="3" t="s">
        <v>38</v>
      </c>
      <c r="P14883" s="5">
        <v>11</v>
      </c>
      <c r="Q14883" s="5">
        <v>126</v>
      </c>
      <c r="R14883" s="5">
        <v>10</v>
      </c>
      <c r="S14883" s="5">
        <v>108</v>
      </c>
    </row>
    <row r="14884" spans="1:19" ht="56" x14ac:dyDescent="0.15">
      <c r="A14884" s="2">
        <f>HYPERLINK("https://open-school.uspishnemisto.com.ua/school/710227/", 710227)</f>
        <v>710227</v>
      </c>
      <c r="B14884" s="3" t="s">
        <v>75050</v>
      </c>
      <c r="C14884" s="3" t="s">
        <v>54</v>
      </c>
      <c r="D14884" s="3" t="s">
        <v>32</v>
      </c>
      <c r="E14884" s="4" t="s">
        <v>22</v>
      </c>
      <c r="F14884" s="4" t="s">
        <v>75051</v>
      </c>
      <c r="G14884" s="4" t="s">
        <v>75052</v>
      </c>
      <c r="H14884" s="3" t="s">
        <v>73938</v>
      </c>
      <c r="I14884" s="3" t="s">
        <v>53726</v>
      </c>
      <c r="J14884" s="3" t="s">
        <v>75053</v>
      </c>
      <c r="K14884" s="3" t="s">
        <v>75054</v>
      </c>
      <c r="L14884" s="3"/>
      <c r="M14884" s="4"/>
      <c r="N14884" s="3" t="s">
        <v>37</v>
      </c>
      <c r="O14884" s="3" t="s">
        <v>46</v>
      </c>
      <c r="P14884" s="5">
        <v>4</v>
      </c>
      <c r="Q14884" s="5">
        <v>42</v>
      </c>
      <c r="R14884" s="5">
        <v>7</v>
      </c>
      <c r="S14884" s="5">
        <v>44</v>
      </c>
    </row>
    <row r="14885" spans="1:19" ht="56" x14ac:dyDescent="0.15">
      <c r="A14885" s="2">
        <f>HYPERLINK("https://open-school.uspishnemisto.com.ua/school/710228/", 710228)</f>
        <v>710228</v>
      </c>
      <c r="B14885" s="3" t="s">
        <v>75055</v>
      </c>
      <c r="C14885" s="3" t="s">
        <v>54</v>
      </c>
      <c r="D14885" s="3" t="s">
        <v>32</v>
      </c>
      <c r="E14885" s="4" t="s">
        <v>22</v>
      </c>
      <c r="F14885" s="4" t="s">
        <v>75056</v>
      </c>
      <c r="G14885" s="4" t="s">
        <v>75057</v>
      </c>
      <c r="H14885" s="3" t="s">
        <v>73938</v>
      </c>
      <c r="I14885" s="3" t="s">
        <v>75058</v>
      </c>
      <c r="J14885" s="3" t="s">
        <v>2978</v>
      </c>
      <c r="K14885" s="3"/>
      <c r="L14885" s="3"/>
      <c r="M14885" s="4"/>
      <c r="N14885" s="3" t="s">
        <v>37</v>
      </c>
      <c r="O14885" s="3" t="s">
        <v>70</v>
      </c>
      <c r="P14885" s="5">
        <v>10</v>
      </c>
      <c r="Q14885" s="5">
        <v>74</v>
      </c>
      <c r="R14885" s="5">
        <v>10</v>
      </c>
      <c r="S14885" s="5">
        <v>71</v>
      </c>
    </row>
    <row r="14886" spans="1:19" ht="56" x14ac:dyDescent="0.15">
      <c r="A14886" s="2">
        <f>HYPERLINK("https://open-school.uspishnemisto.com.ua/school/710229/", 710229)</f>
        <v>710229</v>
      </c>
      <c r="B14886" s="3" t="s">
        <v>75059</v>
      </c>
      <c r="C14886" s="3" t="s">
        <v>54</v>
      </c>
      <c r="D14886" s="3" t="s">
        <v>32</v>
      </c>
      <c r="E14886" s="4" t="s">
        <v>22</v>
      </c>
      <c r="F14886" s="4" t="s">
        <v>75060</v>
      </c>
      <c r="G14886" s="4" t="s">
        <v>75061</v>
      </c>
      <c r="H14886" s="3" t="s">
        <v>73938</v>
      </c>
      <c r="I14886" s="3" t="s">
        <v>75062</v>
      </c>
      <c r="J14886" s="3" t="s">
        <v>75063</v>
      </c>
      <c r="K14886" s="3" t="s">
        <v>75064</v>
      </c>
      <c r="L14886" s="3" t="s">
        <v>75065</v>
      </c>
      <c r="M14886" s="4"/>
      <c r="N14886" s="3" t="s">
        <v>37</v>
      </c>
      <c r="O14886" s="3" t="s">
        <v>38</v>
      </c>
      <c r="P14886" s="5">
        <v>10</v>
      </c>
      <c r="Q14886" s="5">
        <v>76</v>
      </c>
      <c r="R14886" s="5">
        <v>10</v>
      </c>
      <c r="S14886" s="5">
        <v>70</v>
      </c>
    </row>
    <row r="14887" spans="1:19" ht="56" x14ac:dyDescent="0.15">
      <c r="A14887" s="2">
        <f>HYPERLINK("https://open-school.uspishnemisto.com.ua/school/710230/", 710230)</f>
        <v>710230</v>
      </c>
      <c r="B14887" s="3" t="s">
        <v>75066</v>
      </c>
      <c r="C14887" s="3" t="s">
        <v>54</v>
      </c>
      <c r="D14887" s="3"/>
      <c r="E14887" s="4" t="s">
        <v>22</v>
      </c>
      <c r="F14887" s="4"/>
      <c r="G14887" s="4" t="s">
        <v>75067</v>
      </c>
      <c r="H14887" s="3" t="s">
        <v>73938</v>
      </c>
      <c r="I14887" s="3" t="s">
        <v>75068</v>
      </c>
      <c r="J14887" s="3" t="s">
        <v>75069</v>
      </c>
      <c r="K14887" s="3" t="s">
        <v>75070</v>
      </c>
      <c r="L14887" s="3"/>
      <c r="M14887" s="4"/>
      <c r="N14887" s="3" t="s">
        <v>37</v>
      </c>
      <c r="O14887" s="3" t="s">
        <v>38</v>
      </c>
      <c r="P14887" s="5">
        <v>10</v>
      </c>
      <c r="Q14887" s="5">
        <v>115</v>
      </c>
      <c r="R14887" s="5">
        <v>10</v>
      </c>
      <c r="S14887" s="5">
        <v>119</v>
      </c>
    </row>
    <row r="14888" spans="1:19" ht="28" x14ac:dyDescent="0.15">
      <c r="A14888" s="2">
        <f>HYPERLINK("https://open-school.uspishnemisto.com.ua/school/710231/", 710231)</f>
        <v>710231</v>
      </c>
      <c r="B14888" s="3" t="s">
        <v>75071</v>
      </c>
      <c r="C14888" s="3" t="s">
        <v>31</v>
      </c>
      <c r="D14888" s="3" t="s">
        <v>32</v>
      </c>
      <c r="E14888" s="4" t="s">
        <v>22</v>
      </c>
      <c r="F14888" s="4" t="s">
        <v>75072</v>
      </c>
      <c r="G14888" s="4" t="s">
        <v>75073</v>
      </c>
      <c r="H14888" s="3" t="s">
        <v>73938</v>
      </c>
      <c r="I14888" s="3" t="s">
        <v>4135</v>
      </c>
      <c r="J14888" s="3" t="s">
        <v>1636</v>
      </c>
      <c r="K14888" s="3" t="s">
        <v>75074</v>
      </c>
      <c r="L14888" s="3" t="s">
        <v>75075</v>
      </c>
      <c r="M14888" s="4"/>
      <c r="N14888" s="3" t="s">
        <v>37</v>
      </c>
      <c r="O14888" s="3" t="s">
        <v>38</v>
      </c>
      <c r="P14888" s="5">
        <v>10</v>
      </c>
      <c r="Q14888" s="5">
        <v>114</v>
      </c>
      <c r="R14888" s="5">
        <v>11</v>
      </c>
      <c r="S14888" s="5">
        <v>117</v>
      </c>
    </row>
    <row r="14889" spans="1:19" ht="56" x14ac:dyDescent="0.15">
      <c r="A14889" s="2">
        <f>HYPERLINK("https://open-school.uspishnemisto.com.ua/school/710232/", 710232)</f>
        <v>710232</v>
      </c>
      <c r="B14889" s="3" t="s">
        <v>75076</v>
      </c>
      <c r="C14889" s="3" t="s">
        <v>54</v>
      </c>
      <c r="D14889" s="3" t="s">
        <v>175</v>
      </c>
      <c r="E14889" s="4" t="s">
        <v>22</v>
      </c>
      <c r="F14889" s="4" t="s">
        <v>75077</v>
      </c>
      <c r="G14889" s="4" t="s">
        <v>75078</v>
      </c>
      <c r="H14889" s="3" t="s">
        <v>73938</v>
      </c>
      <c r="I14889" s="3" t="s">
        <v>75079</v>
      </c>
      <c r="J14889" s="3" t="s">
        <v>75080</v>
      </c>
      <c r="K14889" s="3" t="s">
        <v>75081</v>
      </c>
      <c r="L14889" s="3"/>
      <c r="M14889" s="4"/>
      <c r="N14889" s="3" t="s">
        <v>37</v>
      </c>
      <c r="O14889" s="3" t="s">
        <v>38</v>
      </c>
      <c r="P14889" s="5">
        <v>2</v>
      </c>
      <c r="Q14889" s="5">
        <v>18</v>
      </c>
      <c r="R14889" s="5">
        <v>2</v>
      </c>
      <c r="S14889" s="5">
        <v>18</v>
      </c>
    </row>
    <row r="14890" spans="1:19" ht="42" x14ac:dyDescent="0.15">
      <c r="A14890" s="2">
        <f>HYPERLINK("https://open-school.uspishnemisto.com.ua/school/710233/", 710233)</f>
        <v>710233</v>
      </c>
      <c r="B14890" s="3" t="s">
        <v>75082</v>
      </c>
      <c r="C14890" s="3" t="s">
        <v>54</v>
      </c>
      <c r="D14890" s="3" t="s">
        <v>32</v>
      </c>
      <c r="E14890" s="4" t="s">
        <v>22</v>
      </c>
      <c r="F14890" s="4" t="s">
        <v>75083</v>
      </c>
      <c r="G14890" s="4" t="s">
        <v>75084</v>
      </c>
      <c r="H14890" s="3" t="s">
        <v>73938</v>
      </c>
      <c r="I14890" s="3" t="s">
        <v>41532</v>
      </c>
      <c r="J14890" s="3" t="s">
        <v>17207</v>
      </c>
      <c r="K14890" s="3" t="s">
        <v>75085</v>
      </c>
      <c r="L14890" s="3"/>
      <c r="M14890" s="4"/>
      <c r="N14890" s="3" t="s">
        <v>37</v>
      </c>
      <c r="O14890" s="3" t="s">
        <v>46</v>
      </c>
      <c r="P14890" s="5">
        <v>7</v>
      </c>
      <c r="Q14890" s="5">
        <v>55</v>
      </c>
      <c r="R14890" s="5">
        <v>9</v>
      </c>
      <c r="S14890" s="5">
        <v>68</v>
      </c>
    </row>
    <row r="14891" spans="1:19" ht="56" x14ac:dyDescent="0.15">
      <c r="A14891" s="2">
        <f>HYPERLINK("https://open-school.uspishnemisto.com.ua/school/710234/", 710234)</f>
        <v>710234</v>
      </c>
      <c r="B14891" s="3" t="s">
        <v>75086</v>
      </c>
      <c r="C14891" s="3" t="s">
        <v>54</v>
      </c>
      <c r="D14891" s="3" t="s">
        <v>32</v>
      </c>
      <c r="E14891" s="4" t="s">
        <v>22</v>
      </c>
      <c r="F14891" s="4" t="s">
        <v>75087</v>
      </c>
      <c r="G14891" s="4" t="s">
        <v>75088</v>
      </c>
      <c r="H14891" s="3" t="s">
        <v>73938</v>
      </c>
      <c r="I14891" s="3" t="s">
        <v>75089</v>
      </c>
      <c r="J14891" s="3" t="s">
        <v>2384</v>
      </c>
      <c r="K14891" s="3" t="s">
        <v>75090</v>
      </c>
      <c r="L14891" s="3"/>
      <c r="M14891" s="4"/>
      <c r="N14891" s="3" t="s">
        <v>37</v>
      </c>
      <c r="O14891" s="3" t="s">
        <v>70</v>
      </c>
      <c r="P14891" s="5">
        <v>10</v>
      </c>
      <c r="Q14891" s="5">
        <v>91</v>
      </c>
      <c r="R14891" s="5">
        <v>11</v>
      </c>
      <c r="S14891" s="5">
        <v>99</v>
      </c>
    </row>
    <row r="14892" spans="1:19" ht="28" x14ac:dyDescent="0.15">
      <c r="A14892" s="2">
        <f>HYPERLINK("https://open-school.uspishnemisto.com.ua/school/710235/", 710235)</f>
        <v>710235</v>
      </c>
      <c r="B14892" s="3" t="s">
        <v>75091</v>
      </c>
      <c r="C14892" s="3" t="s">
        <v>31</v>
      </c>
      <c r="D14892" s="3" t="s">
        <v>32</v>
      </c>
      <c r="E14892" s="4" t="s">
        <v>22</v>
      </c>
      <c r="F14892" s="4" t="s">
        <v>75092</v>
      </c>
      <c r="G14892" s="4" t="s">
        <v>75093</v>
      </c>
      <c r="H14892" s="3" t="s">
        <v>73938</v>
      </c>
      <c r="I14892" s="3" t="s">
        <v>75094</v>
      </c>
      <c r="J14892" s="3" t="s">
        <v>7277</v>
      </c>
      <c r="K14892" s="3" t="s">
        <v>75095</v>
      </c>
      <c r="L14892" s="3"/>
      <c r="M14892" s="4"/>
      <c r="N14892" s="3" t="s">
        <v>37</v>
      </c>
      <c r="O14892" s="3" t="s">
        <v>38</v>
      </c>
      <c r="P14892" s="5">
        <v>11</v>
      </c>
      <c r="Q14892" s="5">
        <v>182</v>
      </c>
      <c r="R14892" s="5">
        <v>10</v>
      </c>
      <c r="S14892" s="5">
        <v>165</v>
      </c>
    </row>
    <row r="14893" spans="1:19" ht="42" x14ac:dyDescent="0.15">
      <c r="A14893" s="2">
        <f>HYPERLINK("https://open-school.uspishnemisto.com.ua/school/710236/", 710236)</f>
        <v>710236</v>
      </c>
      <c r="B14893" s="3" t="s">
        <v>75096</v>
      </c>
      <c r="C14893" s="3" t="s">
        <v>54</v>
      </c>
      <c r="D14893" s="3" t="s">
        <v>32</v>
      </c>
      <c r="E14893" s="4" t="s">
        <v>22</v>
      </c>
      <c r="F14893" s="4" t="s">
        <v>75097</v>
      </c>
      <c r="G14893" s="4" t="s">
        <v>75098</v>
      </c>
      <c r="H14893" s="3" t="s">
        <v>73938</v>
      </c>
      <c r="I14893" s="3" t="s">
        <v>75099</v>
      </c>
      <c r="J14893" s="3" t="s">
        <v>18848</v>
      </c>
      <c r="K14893" s="3" t="s">
        <v>75100</v>
      </c>
      <c r="L14893" s="3"/>
      <c r="M14893" s="4"/>
      <c r="N14893" s="3" t="s">
        <v>37</v>
      </c>
      <c r="O14893" s="3" t="s">
        <v>38</v>
      </c>
      <c r="P14893" s="5">
        <v>2</v>
      </c>
      <c r="Q14893" s="5">
        <v>14</v>
      </c>
      <c r="R14893" s="5">
        <v>4</v>
      </c>
      <c r="S14893" s="5">
        <v>27</v>
      </c>
    </row>
    <row r="14894" spans="1:19" ht="28" x14ac:dyDescent="0.15">
      <c r="A14894" s="2">
        <f>HYPERLINK("https://open-school.uspishnemisto.com.ua/school/710237/", 710237)</f>
        <v>710237</v>
      </c>
      <c r="B14894" s="3" t="s">
        <v>75101</v>
      </c>
      <c r="C14894" s="3" t="s">
        <v>31</v>
      </c>
      <c r="D14894" s="3" t="s">
        <v>32</v>
      </c>
      <c r="E14894" s="4" t="s">
        <v>22</v>
      </c>
      <c r="F14894" s="4" t="s">
        <v>75102</v>
      </c>
      <c r="G14894" s="4" t="s">
        <v>75103</v>
      </c>
      <c r="H14894" s="3" t="s">
        <v>73938</v>
      </c>
      <c r="I14894" s="3" t="s">
        <v>5947</v>
      </c>
      <c r="J14894" s="3" t="s">
        <v>75104</v>
      </c>
      <c r="K14894" s="3" t="s">
        <v>75105</v>
      </c>
      <c r="L14894" s="3"/>
      <c r="M14894" s="4"/>
      <c r="N14894" s="3" t="s">
        <v>37</v>
      </c>
      <c r="O14894" s="3" t="s">
        <v>38</v>
      </c>
      <c r="P14894" s="5">
        <v>13</v>
      </c>
      <c r="Q14894" s="5">
        <v>291</v>
      </c>
      <c r="R14894" s="5">
        <v>15</v>
      </c>
      <c r="S14894" s="5">
        <v>281</v>
      </c>
    </row>
    <row r="14895" spans="1:19" ht="56" x14ac:dyDescent="0.15">
      <c r="A14895" s="2">
        <f>HYPERLINK("https://open-school.uspishnemisto.com.ua/school/710238/", 710238)</f>
        <v>710238</v>
      </c>
      <c r="B14895" s="3" t="s">
        <v>75106</v>
      </c>
      <c r="C14895" s="3" t="s">
        <v>54</v>
      </c>
      <c r="D14895" s="3" t="s">
        <v>175</v>
      </c>
      <c r="E14895" s="4" t="s">
        <v>22</v>
      </c>
      <c r="F14895" s="4" t="s">
        <v>75107</v>
      </c>
      <c r="G14895" s="4" t="s">
        <v>75108</v>
      </c>
      <c r="H14895" s="3" t="s">
        <v>73938</v>
      </c>
      <c r="I14895" s="3" t="s">
        <v>75109</v>
      </c>
      <c r="J14895" s="3" t="s">
        <v>55748</v>
      </c>
      <c r="K14895" s="3" t="s">
        <v>75110</v>
      </c>
      <c r="L14895" s="3"/>
      <c r="M14895" s="4"/>
      <c r="N14895" s="3" t="s">
        <v>37</v>
      </c>
      <c r="O14895" s="3" t="s">
        <v>38</v>
      </c>
      <c r="P14895" s="5">
        <v>5</v>
      </c>
      <c r="Q14895" s="5">
        <v>48</v>
      </c>
      <c r="R14895" s="5">
        <v>5</v>
      </c>
      <c r="S14895" s="5">
        <v>48</v>
      </c>
    </row>
    <row r="14896" spans="1:19" ht="56" x14ac:dyDescent="0.15">
      <c r="A14896" s="2">
        <f>HYPERLINK("https://open-school.uspishnemisto.com.ua/school/710239/", 710239)</f>
        <v>710239</v>
      </c>
      <c r="B14896" s="3" t="s">
        <v>75111</v>
      </c>
      <c r="C14896" s="3" t="s">
        <v>54</v>
      </c>
      <c r="D14896" s="3" t="s">
        <v>32</v>
      </c>
      <c r="E14896" s="4" t="s">
        <v>22</v>
      </c>
      <c r="F14896" s="4" t="s">
        <v>75112</v>
      </c>
      <c r="G14896" s="4" t="s">
        <v>75113</v>
      </c>
      <c r="H14896" s="3" t="s">
        <v>73938</v>
      </c>
      <c r="I14896" s="3" t="s">
        <v>71967</v>
      </c>
      <c r="J14896" s="3" t="s">
        <v>12373</v>
      </c>
      <c r="K14896" s="3" t="s">
        <v>75114</v>
      </c>
      <c r="L14896" s="3"/>
      <c r="M14896" s="4"/>
      <c r="N14896" s="3" t="s">
        <v>37</v>
      </c>
      <c r="O14896" s="3" t="s">
        <v>38</v>
      </c>
      <c r="P14896" s="5">
        <v>9</v>
      </c>
      <c r="Q14896" s="5">
        <v>59</v>
      </c>
      <c r="R14896" s="5">
        <v>10</v>
      </c>
      <c r="S14896" s="5">
        <v>64</v>
      </c>
    </row>
    <row r="14897" spans="1:19" ht="56" x14ac:dyDescent="0.15">
      <c r="A14897" s="2">
        <f>HYPERLINK("https://open-school.uspishnemisto.com.ua/school/710240/", 710240)</f>
        <v>710240</v>
      </c>
      <c r="B14897" s="3" t="s">
        <v>75115</v>
      </c>
      <c r="C14897" s="3" t="s">
        <v>54</v>
      </c>
      <c r="D14897" s="3" t="s">
        <v>175</v>
      </c>
      <c r="E14897" s="4" t="s">
        <v>22</v>
      </c>
      <c r="F14897" s="4" t="s">
        <v>75116</v>
      </c>
      <c r="G14897" s="4" t="s">
        <v>75117</v>
      </c>
      <c r="H14897" s="3" t="s">
        <v>73938</v>
      </c>
      <c r="I14897" s="3" t="s">
        <v>59304</v>
      </c>
      <c r="J14897" s="3" t="s">
        <v>4105</v>
      </c>
      <c r="K14897" s="3" t="s">
        <v>75118</v>
      </c>
      <c r="L14897" s="3"/>
      <c r="M14897" s="4"/>
      <c r="N14897" s="3" t="s">
        <v>37</v>
      </c>
      <c r="O14897" s="3" t="s">
        <v>38</v>
      </c>
      <c r="P14897" s="5">
        <v>2</v>
      </c>
      <c r="Q14897" s="5">
        <v>25</v>
      </c>
      <c r="R14897" s="5">
        <v>1</v>
      </c>
      <c r="S14897" s="5">
        <v>25</v>
      </c>
    </row>
    <row r="14898" spans="1:19" ht="56" x14ac:dyDescent="0.15">
      <c r="A14898" s="2">
        <f>HYPERLINK("https://open-school.uspishnemisto.com.ua/school/710241/", 710241)</f>
        <v>710241</v>
      </c>
      <c r="B14898" s="3" t="s">
        <v>75119</v>
      </c>
      <c r="C14898" s="3" t="s">
        <v>54</v>
      </c>
      <c r="D14898" s="3" t="s">
        <v>175</v>
      </c>
      <c r="E14898" s="4" t="s">
        <v>22</v>
      </c>
      <c r="F14898" s="4" t="s">
        <v>75120</v>
      </c>
      <c r="G14898" s="4" t="s">
        <v>75121</v>
      </c>
      <c r="H14898" s="3" t="s">
        <v>73938</v>
      </c>
      <c r="I14898" s="3" t="s">
        <v>6722</v>
      </c>
      <c r="J14898" s="3" t="s">
        <v>1078</v>
      </c>
      <c r="K14898" s="3" t="s">
        <v>75122</v>
      </c>
      <c r="L14898" s="3"/>
      <c r="M14898" s="4"/>
      <c r="N14898" s="3" t="s">
        <v>37</v>
      </c>
      <c r="O14898" s="3" t="s">
        <v>38</v>
      </c>
      <c r="P14898" s="5">
        <v>0</v>
      </c>
      <c r="Q14898" s="5">
        <v>22</v>
      </c>
      <c r="R14898" s="5">
        <v>1</v>
      </c>
      <c r="S14898" s="5">
        <v>21</v>
      </c>
    </row>
    <row r="14899" spans="1:19" ht="56" x14ac:dyDescent="0.15">
      <c r="A14899" s="2">
        <f>HYPERLINK("https://open-school.uspishnemisto.com.ua/school/710242/", 710242)</f>
        <v>710242</v>
      </c>
      <c r="B14899" s="3" t="s">
        <v>75123</v>
      </c>
      <c r="C14899" s="3" t="s">
        <v>54</v>
      </c>
      <c r="D14899" s="3" t="s">
        <v>175</v>
      </c>
      <c r="E14899" s="4" t="s">
        <v>22</v>
      </c>
      <c r="F14899" s="4" t="s">
        <v>75124</v>
      </c>
      <c r="G14899" s="4" t="s">
        <v>75125</v>
      </c>
      <c r="H14899" s="3" t="s">
        <v>73938</v>
      </c>
      <c r="I14899" s="3" t="s">
        <v>75126</v>
      </c>
      <c r="J14899" s="3" t="s">
        <v>3858</v>
      </c>
      <c r="K14899" s="3" t="s">
        <v>75127</v>
      </c>
      <c r="L14899" s="3"/>
      <c r="M14899" s="4"/>
      <c r="N14899" s="3" t="s">
        <v>37</v>
      </c>
      <c r="O14899" s="3" t="s">
        <v>38</v>
      </c>
      <c r="P14899" s="5">
        <v>0</v>
      </c>
      <c r="Q14899" s="5">
        <v>14</v>
      </c>
      <c r="R14899" s="5">
        <v>1</v>
      </c>
      <c r="S14899" s="5">
        <v>17</v>
      </c>
    </row>
    <row r="14900" spans="1:19" ht="28" x14ac:dyDescent="0.15">
      <c r="A14900" s="2">
        <f>HYPERLINK("https://open-school.uspishnemisto.com.ua/school/710243/", 710243)</f>
        <v>710243</v>
      </c>
      <c r="B14900" s="3" t="s">
        <v>75128</v>
      </c>
      <c r="C14900" s="3" t="s">
        <v>31</v>
      </c>
      <c r="D14900" s="3" t="s">
        <v>32</v>
      </c>
      <c r="E14900" s="4" t="s">
        <v>22</v>
      </c>
      <c r="F14900" s="4" t="s">
        <v>75129</v>
      </c>
      <c r="G14900" s="4" t="s">
        <v>75130</v>
      </c>
      <c r="H14900" s="3" t="s">
        <v>73938</v>
      </c>
      <c r="I14900" s="3" t="s">
        <v>75131</v>
      </c>
      <c r="J14900" s="3" t="s">
        <v>75132</v>
      </c>
      <c r="K14900" s="3"/>
      <c r="L14900" s="3"/>
      <c r="M14900" s="4"/>
      <c r="N14900" s="3" t="s">
        <v>37</v>
      </c>
      <c r="O14900" s="3" t="s">
        <v>38</v>
      </c>
      <c r="P14900" s="5">
        <v>9</v>
      </c>
      <c r="Q14900" s="5">
        <v>67</v>
      </c>
      <c r="R14900" s="5">
        <v>9</v>
      </c>
      <c r="S14900" s="5">
        <v>70</v>
      </c>
    </row>
    <row r="14901" spans="1:19" ht="56" x14ac:dyDescent="0.15">
      <c r="A14901" s="2">
        <f>HYPERLINK("https://open-school.uspishnemisto.com.ua/school/710244/", 710244)</f>
        <v>710244</v>
      </c>
      <c r="B14901" s="3" t="s">
        <v>75133</v>
      </c>
      <c r="C14901" s="3" t="s">
        <v>54</v>
      </c>
      <c r="D14901" s="3" t="s">
        <v>32</v>
      </c>
      <c r="E14901" s="4" t="s">
        <v>22</v>
      </c>
      <c r="F14901" s="4" t="s">
        <v>75134</v>
      </c>
      <c r="G14901" s="4" t="s">
        <v>75135</v>
      </c>
      <c r="H14901" s="3" t="s">
        <v>73938</v>
      </c>
      <c r="I14901" s="3" t="s">
        <v>11355</v>
      </c>
      <c r="J14901" s="3" t="s">
        <v>75136</v>
      </c>
      <c r="K14901" s="3" t="s">
        <v>75137</v>
      </c>
      <c r="L14901" s="3"/>
      <c r="M14901" s="4"/>
      <c r="N14901" s="3" t="s">
        <v>37</v>
      </c>
      <c r="O14901" s="3" t="s">
        <v>38</v>
      </c>
      <c r="P14901" s="5">
        <v>10</v>
      </c>
      <c r="Q14901" s="5">
        <v>64</v>
      </c>
      <c r="R14901" s="5">
        <v>9</v>
      </c>
      <c r="S14901" s="5">
        <v>60</v>
      </c>
    </row>
    <row r="14902" spans="1:19" ht="42" x14ac:dyDescent="0.15">
      <c r="A14902" s="2">
        <f>HYPERLINK("https://open-school.uspishnemisto.com.ua/school/710245/", 710245)</f>
        <v>710245</v>
      </c>
      <c r="B14902" s="3" t="s">
        <v>75138</v>
      </c>
      <c r="C14902" s="3" t="s">
        <v>31</v>
      </c>
      <c r="D14902" s="3" t="s">
        <v>32</v>
      </c>
      <c r="E14902" s="4" t="s">
        <v>22</v>
      </c>
      <c r="F14902" s="4" t="s">
        <v>75139</v>
      </c>
      <c r="G14902" s="4" t="s">
        <v>75140</v>
      </c>
      <c r="H14902" s="3" t="s">
        <v>73938</v>
      </c>
      <c r="I14902" s="3" t="s">
        <v>5088</v>
      </c>
      <c r="J14902" s="3" t="s">
        <v>297</v>
      </c>
      <c r="K14902" s="3" t="s">
        <v>75141</v>
      </c>
      <c r="L14902" s="3"/>
      <c r="M14902" s="4"/>
      <c r="N14902" s="3" t="s">
        <v>37</v>
      </c>
      <c r="O14902" s="3" t="s">
        <v>38</v>
      </c>
      <c r="P14902" s="5">
        <v>17</v>
      </c>
      <c r="Q14902" s="5">
        <v>306</v>
      </c>
      <c r="R14902" s="5">
        <v>16</v>
      </c>
      <c r="S14902" s="5">
        <v>285</v>
      </c>
    </row>
    <row r="14903" spans="1:19" ht="56" x14ac:dyDescent="0.15">
      <c r="A14903" s="2">
        <f>HYPERLINK("https://open-school.uspishnemisto.com.ua/school/710246/", 710246)</f>
        <v>710246</v>
      </c>
      <c r="B14903" s="3" t="s">
        <v>75142</v>
      </c>
      <c r="C14903" s="3" t="s">
        <v>54</v>
      </c>
      <c r="D14903" s="3" t="s">
        <v>32</v>
      </c>
      <c r="E14903" s="4" t="s">
        <v>22</v>
      </c>
      <c r="F14903" s="4" t="s">
        <v>75143</v>
      </c>
      <c r="G14903" s="4" t="s">
        <v>75144</v>
      </c>
      <c r="H14903" s="3" t="s">
        <v>73938</v>
      </c>
      <c r="I14903" s="3" t="s">
        <v>49869</v>
      </c>
      <c r="J14903" s="3" t="s">
        <v>75145</v>
      </c>
      <c r="K14903" s="3" t="s">
        <v>75146</v>
      </c>
      <c r="L14903" s="3"/>
      <c r="M14903" s="4"/>
      <c r="N14903" s="3" t="s">
        <v>37</v>
      </c>
      <c r="O14903" s="3" t="s">
        <v>46</v>
      </c>
      <c r="P14903" s="5">
        <v>8</v>
      </c>
      <c r="Q14903" s="5">
        <v>56</v>
      </c>
      <c r="R14903" s="5">
        <v>9</v>
      </c>
      <c r="S14903" s="5">
        <v>63</v>
      </c>
    </row>
    <row r="14904" spans="1:19" ht="42" x14ac:dyDescent="0.15">
      <c r="A14904" s="2">
        <f>HYPERLINK("https://open-school.uspishnemisto.com.ua/school/710247/", 710247)</f>
        <v>710247</v>
      </c>
      <c r="B14904" s="3" t="s">
        <v>75147</v>
      </c>
      <c r="C14904" s="3" t="s">
        <v>244</v>
      </c>
      <c r="D14904" s="3" t="s">
        <v>32</v>
      </c>
      <c r="E14904" s="4" t="s">
        <v>22</v>
      </c>
      <c r="F14904" s="4" t="s">
        <v>75148</v>
      </c>
      <c r="G14904" s="4" t="s">
        <v>75149</v>
      </c>
      <c r="H14904" s="3" t="s">
        <v>73938</v>
      </c>
      <c r="I14904" s="3" t="s">
        <v>10829</v>
      </c>
      <c r="J14904" s="3" t="s">
        <v>75150</v>
      </c>
      <c r="K14904" s="3" t="s">
        <v>75151</v>
      </c>
      <c r="L14904" s="3" t="s">
        <v>75152</v>
      </c>
      <c r="M14904" s="4"/>
      <c r="N14904" s="3" t="s">
        <v>37</v>
      </c>
      <c r="O14904" s="3" t="s">
        <v>46</v>
      </c>
      <c r="P14904" s="5">
        <v>22</v>
      </c>
      <c r="Q14904" s="5">
        <v>421</v>
      </c>
      <c r="R14904" s="5">
        <v>22</v>
      </c>
      <c r="S14904" s="5">
        <v>402</v>
      </c>
    </row>
    <row r="14905" spans="1:19" ht="28" x14ac:dyDescent="0.15">
      <c r="A14905" s="2">
        <f>HYPERLINK("https://open-school.uspishnemisto.com.ua/school/710248/", 710248)</f>
        <v>710248</v>
      </c>
      <c r="B14905" s="3" t="s">
        <v>75153</v>
      </c>
      <c r="C14905" s="3" t="s">
        <v>31</v>
      </c>
      <c r="D14905" s="3" t="s">
        <v>175</v>
      </c>
      <c r="E14905" s="4" t="s">
        <v>22</v>
      </c>
      <c r="F14905" s="4" t="s">
        <v>75148</v>
      </c>
      <c r="G14905" s="4" t="s">
        <v>75149</v>
      </c>
      <c r="H14905" s="3" t="s">
        <v>73938</v>
      </c>
      <c r="I14905" s="3" t="s">
        <v>10829</v>
      </c>
      <c r="J14905" s="3" t="s">
        <v>75154</v>
      </c>
      <c r="K14905" s="3" t="s">
        <v>75155</v>
      </c>
      <c r="L14905" s="3" t="s">
        <v>75156</v>
      </c>
      <c r="M14905" s="4"/>
      <c r="N14905" s="3" t="s">
        <v>37</v>
      </c>
      <c r="O14905" s="3" t="s">
        <v>52</v>
      </c>
      <c r="P14905" s="5">
        <v>8</v>
      </c>
      <c r="Q14905" s="5">
        <v>59</v>
      </c>
      <c r="R14905" s="5">
        <v>9</v>
      </c>
      <c r="S14905" s="5">
        <v>57</v>
      </c>
    </row>
    <row r="14906" spans="1:19" ht="28" x14ac:dyDescent="0.15">
      <c r="A14906" s="2">
        <f>HYPERLINK("https://open-school.uspishnemisto.com.ua/school/710249/", 710249)</f>
        <v>710249</v>
      </c>
      <c r="B14906" s="3" t="s">
        <v>75157</v>
      </c>
      <c r="C14906" s="3" t="s">
        <v>31</v>
      </c>
      <c r="D14906" s="3" t="s">
        <v>32</v>
      </c>
      <c r="E14906" s="4" t="s">
        <v>22</v>
      </c>
      <c r="F14906" s="4" t="s">
        <v>75148</v>
      </c>
      <c r="G14906" s="4" t="s">
        <v>75149</v>
      </c>
      <c r="H14906" s="3" t="s">
        <v>73938</v>
      </c>
      <c r="I14906" s="3" t="s">
        <v>10829</v>
      </c>
      <c r="J14906" s="3" t="s">
        <v>75158</v>
      </c>
      <c r="K14906" s="3" t="s">
        <v>75159</v>
      </c>
      <c r="L14906" s="3" t="s">
        <v>75160</v>
      </c>
      <c r="M14906" s="4"/>
      <c r="N14906" s="3" t="s">
        <v>37</v>
      </c>
      <c r="O14906" s="3" t="s">
        <v>70</v>
      </c>
      <c r="P14906" s="5">
        <v>33</v>
      </c>
      <c r="Q14906" s="5">
        <v>660</v>
      </c>
      <c r="R14906" s="5">
        <v>33</v>
      </c>
      <c r="S14906" s="5">
        <v>652</v>
      </c>
    </row>
    <row r="14907" spans="1:19" ht="28" x14ac:dyDescent="0.15">
      <c r="A14907" s="2">
        <f>HYPERLINK("https://open-school.uspishnemisto.com.ua/school/710250/", 710250)</f>
        <v>710250</v>
      </c>
      <c r="B14907" s="3" t="s">
        <v>75161</v>
      </c>
      <c r="C14907" s="3" t="s">
        <v>188</v>
      </c>
      <c r="D14907" s="3" t="s">
        <v>32</v>
      </c>
      <c r="E14907" s="4" t="s">
        <v>22</v>
      </c>
      <c r="F14907" s="4" t="s">
        <v>75162</v>
      </c>
      <c r="G14907" s="4" t="s">
        <v>75149</v>
      </c>
      <c r="H14907" s="3" t="s">
        <v>73938</v>
      </c>
      <c r="I14907" s="3" t="s">
        <v>10829</v>
      </c>
      <c r="J14907" s="3" t="s">
        <v>75163</v>
      </c>
      <c r="K14907" s="3" t="s">
        <v>75164</v>
      </c>
      <c r="L14907" s="3" t="s">
        <v>75165</v>
      </c>
      <c r="M14907" s="4"/>
      <c r="N14907" s="3" t="s">
        <v>37</v>
      </c>
      <c r="O14907" s="3" t="s">
        <v>52</v>
      </c>
      <c r="P14907" s="5">
        <v>8</v>
      </c>
      <c r="Q14907" s="5">
        <v>77</v>
      </c>
      <c r="R14907" s="5">
        <v>8</v>
      </c>
      <c r="S14907" s="5">
        <v>94</v>
      </c>
    </row>
    <row r="14908" spans="1:19" ht="28" x14ac:dyDescent="0.15">
      <c r="A14908" s="2">
        <f>HYPERLINK("https://open-school.uspishnemisto.com.ua/school/710251/", 710251)</f>
        <v>710251</v>
      </c>
      <c r="B14908" s="3" t="s">
        <v>75166</v>
      </c>
      <c r="C14908" s="3" t="s">
        <v>31</v>
      </c>
      <c r="D14908" s="3" t="s">
        <v>32</v>
      </c>
      <c r="E14908" s="4" t="s">
        <v>22</v>
      </c>
      <c r="F14908" s="4" t="s">
        <v>75167</v>
      </c>
      <c r="G14908" s="4" t="s">
        <v>75168</v>
      </c>
      <c r="H14908" s="3" t="s">
        <v>73938</v>
      </c>
      <c r="I14908" s="3" t="s">
        <v>75169</v>
      </c>
      <c r="J14908" s="3" t="s">
        <v>18645</v>
      </c>
      <c r="K14908" s="3" t="s">
        <v>75170</v>
      </c>
      <c r="L14908" s="3" t="s">
        <v>75171</v>
      </c>
      <c r="M14908" s="4"/>
      <c r="N14908" s="3" t="s">
        <v>37</v>
      </c>
      <c r="O14908" s="3" t="s">
        <v>52</v>
      </c>
      <c r="P14908" s="5">
        <v>8</v>
      </c>
      <c r="Q14908" s="5">
        <v>58</v>
      </c>
      <c r="R14908" s="5">
        <v>9</v>
      </c>
      <c r="S14908" s="5">
        <v>65</v>
      </c>
    </row>
    <row r="14909" spans="1:19" ht="28" x14ac:dyDescent="0.15">
      <c r="A14909" s="2">
        <f>HYPERLINK("https://open-school.uspishnemisto.com.ua/school/710252/", 710252)</f>
        <v>710252</v>
      </c>
      <c r="B14909" s="3" t="s">
        <v>75172</v>
      </c>
      <c r="C14909" s="3" t="s">
        <v>31</v>
      </c>
      <c r="D14909" s="3" t="s">
        <v>32</v>
      </c>
      <c r="E14909" s="4" t="s">
        <v>22</v>
      </c>
      <c r="F14909" s="4" t="s">
        <v>75173</v>
      </c>
      <c r="G14909" s="4" t="s">
        <v>75174</v>
      </c>
      <c r="H14909" s="3" t="s">
        <v>73938</v>
      </c>
      <c r="I14909" s="3" t="s">
        <v>3046</v>
      </c>
      <c r="J14909" s="3" t="s">
        <v>10830</v>
      </c>
      <c r="K14909" s="3" t="s">
        <v>75175</v>
      </c>
      <c r="L14909" s="3"/>
      <c r="M14909" s="4"/>
      <c r="N14909" s="3" t="s">
        <v>37</v>
      </c>
      <c r="O14909" s="3" t="s">
        <v>52</v>
      </c>
      <c r="P14909" s="5">
        <v>6</v>
      </c>
      <c r="Q14909" s="5">
        <v>41</v>
      </c>
      <c r="R14909" s="5">
        <v>6</v>
      </c>
      <c r="S14909" s="5">
        <v>42</v>
      </c>
    </row>
    <row r="14910" spans="1:19" ht="28" x14ac:dyDescent="0.15">
      <c r="A14910" s="2">
        <f>HYPERLINK("https://open-school.uspishnemisto.com.ua/school/710253/", 710253)</f>
        <v>710253</v>
      </c>
      <c r="B14910" s="3" t="s">
        <v>75176</v>
      </c>
      <c r="C14910" s="3" t="s">
        <v>31</v>
      </c>
      <c r="D14910" s="3" t="s">
        <v>32</v>
      </c>
      <c r="E14910" s="4" t="s">
        <v>22</v>
      </c>
      <c r="F14910" s="4" t="s">
        <v>75177</v>
      </c>
      <c r="G14910" s="4" t="s">
        <v>75178</v>
      </c>
      <c r="H14910" s="3" t="s">
        <v>73938</v>
      </c>
      <c r="I14910" s="3" t="s">
        <v>75179</v>
      </c>
      <c r="J14910" s="3" t="s">
        <v>3915</v>
      </c>
      <c r="K14910" s="3" t="s">
        <v>17890</v>
      </c>
      <c r="L14910" s="3" t="s">
        <v>75180</v>
      </c>
      <c r="M14910" s="4"/>
      <c r="N14910" s="3" t="s">
        <v>37</v>
      </c>
      <c r="O14910" s="3" t="s">
        <v>52</v>
      </c>
      <c r="P14910" s="5">
        <v>9</v>
      </c>
      <c r="Q14910" s="5">
        <v>66</v>
      </c>
      <c r="R14910" s="5">
        <v>11</v>
      </c>
      <c r="S14910" s="5">
        <v>73</v>
      </c>
    </row>
    <row r="14911" spans="1:19" ht="28" x14ac:dyDescent="0.15">
      <c r="A14911" s="2">
        <f>HYPERLINK("https://open-school.uspishnemisto.com.ua/school/710254/", 710254)</f>
        <v>710254</v>
      </c>
      <c r="B14911" s="3" t="s">
        <v>75181</v>
      </c>
      <c r="C14911" s="3" t="s">
        <v>31</v>
      </c>
      <c r="D14911" s="3" t="s">
        <v>32</v>
      </c>
      <c r="E14911" s="4" t="s">
        <v>22</v>
      </c>
      <c r="F14911" s="4" t="s">
        <v>75182</v>
      </c>
      <c r="G14911" s="4" t="s">
        <v>75183</v>
      </c>
      <c r="H14911" s="3" t="s">
        <v>73938</v>
      </c>
      <c r="I14911" s="3" t="s">
        <v>75184</v>
      </c>
      <c r="J14911" s="3" t="s">
        <v>554</v>
      </c>
      <c r="K14911" s="3" t="s">
        <v>75185</v>
      </c>
      <c r="L14911" s="3" t="s">
        <v>75186</v>
      </c>
      <c r="M14911" s="4"/>
      <c r="N14911" s="3" t="s">
        <v>37</v>
      </c>
      <c r="O14911" s="3" t="s">
        <v>52</v>
      </c>
      <c r="P14911" s="5">
        <v>11</v>
      </c>
      <c r="Q14911" s="5">
        <v>123</v>
      </c>
      <c r="R14911" s="5">
        <v>11</v>
      </c>
      <c r="S14911" s="5">
        <v>113</v>
      </c>
    </row>
    <row r="14912" spans="1:19" ht="28" x14ac:dyDescent="0.15">
      <c r="A14912" s="2">
        <f>HYPERLINK("https://open-school.uspishnemisto.com.ua/school/710255/", 710255)</f>
        <v>710255</v>
      </c>
      <c r="B14912" s="3" t="s">
        <v>75187</v>
      </c>
      <c r="C14912" s="3" t="s">
        <v>31</v>
      </c>
      <c r="D14912" s="3" t="s">
        <v>32</v>
      </c>
      <c r="E14912" s="4" t="s">
        <v>22</v>
      </c>
      <c r="F14912" s="4" t="s">
        <v>75188</v>
      </c>
      <c r="G14912" s="4" t="s">
        <v>75189</v>
      </c>
      <c r="H14912" s="3" t="s">
        <v>73938</v>
      </c>
      <c r="I14912" s="3" t="s">
        <v>75190</v>
      </c>
      <c r="J14912" s="3" t="s">
        <v>75191</v>
      </c>
      <c r="K14912" s="3" t="s">
        <v>75192</v>
      </c>
      <c r="L14912" s="3" t="s">
        <v>75193</v>
      </c>
      <c r="M14912" s="4"/>
      <c r="N14912" s="3" t="s">
        <v>37</v>
      </c>
      <c r="O14912" s="3" t="s">
        <v>38</v>
      </c>
      <c r="P14912" s="5">
        <v>11</v>
      </c>
      <c r="Q14912" s="5">
        <v>146</v>
      </c>
      <c r="R14912" s="5">
        <v>11</v>
      </c>
      <c r="S14912" s="5">
        <v>140</v>
      </c>
    </row>
    <row r="14913" spans="1:19" ht="28" x14ac:dyDescent="0.15">
      <c r="A14913" s="2">
        <f>HYPERLINK("https://open-school.uspishnemisto.com.ua/school/710256/", 710256)</f>
        <v>710256</v>
      </c>
      <c r="B14913" s="3" t="s">
        <v>75194</v>
      </c>
      <c r="C14913" s="3" t="s">
        <v>31</v>
      </c>
      <c r="D14913" s="3" t="s">
        <v>32</v>
      </c>
      <c r="E14913" s="4" t="s">
        <v>22</v>
      </c>
      <c r="F14913" s="4" t="s">
        <v>75195</v>
      </c>
      <c r="G14913" s="4" t="s">
        <v>75196</v>
      </c>
      <c r="H14913" s="3" t="s">
        <v>73938</v>
      </c>
      <c r="I14913" s="3" t="s">
        <v>32299</v>
      </c>
      <c r="J14913" s="3" t="s">
        <v>73589</v>
      </c>
      <c r="K14913" s="3" t="s">
        <v>75197</v>
      </c>
      <c r="L14913" s="3"/>
      <c r="M14913" s="4"/>
      <c r="N14913" s="3" t="s">
        <v>37</v>
      </c>
      <c r="O14913" s="3" t="s">
        <v>52</v>
      </c>
      <c r="P14913" s="5">
        <v>6</v>
      </c>
      <c r="Q14913" s="5">
        <v>50</v>
      </c>
      <c r="R14913" s="5">
        <v>6</v>
      </c>
      <c r="S14913" s="5">
        <v>43</v>
      </c>
    </row>
    <row r="14914" spans="1:19" ht="28" x14ac:dyDescent="0.15">
      <c r="A14914" s="2">
        <f>HYPERLINK("https://open-school.uspishnemisto.com.ua/school/710257/", 710257)</f>
        <v>710257</v>
      </c>
      <c r="B14914" s="3" t="s">
        <v>75198</v>
      </c>
      <c r="C14914" s="3" t="s">
        <v>31</v>
      </c>
      <c r="D14914" s="3" t="s">
        <v>32</v>
      </c>
      <c r="E14914" s="4" t="s">
        <v>22</v>
      </c>
      <c r="F14914" s="4" t="s">
        <v>75199</v>
      </c>
      <c r="G14914" s="4" t="s">
        <v>75200</v>
      </c>
      <c r="H14914" s="3" t="s">
        <v>73938</v>
      </c>
      <c r="I14914" s="3" t="s">
        <v>75201</v>
      </c>
      <c r="J14914" s="3" t="s">
        <v>1167</v>
      </c>
      <c r="K14914" s="3" t="s">
        <v>75202</v>
      </c>
      <c r="L14914" s="3" t="s">
        <v>75203</v>
      </c>
      <c r="M14914" s="4"/>
      <c r="N14914" s="3" t="s">
        <v>37</v>
      </c>
      <c r="O14914" s="3" t="s">
        <v>52</v>
      </c>
      <c r="P14914" s="5">
        <v>4</v>
      </c>
      <c r="Q14914" s="5">
        <v>35</v>
      </c>
      <c r="R14914" s="5">
        <v>4</v>
      </c>
      <c r="S14914" s="5">
        <v>33</v>
      </c>
    </row>
    <row r="14915" spans="1:19" ht="42" x14ac:dyDescent="0.15">
      <c r="A14915" s="2">
        <f>HYPERLINK("https://open-school.uspishnemisto.com.ua/school/710258/", 710258)</f>
        <v>710258</v>
      </c>
      <c r="B14915" s="3" t="s">
        <v>75204</v>
      </c>
      <c r="C14915" s="3" t="s">
        <v>181</v>
      </c>
      <c r="D14915" s="3"/>
      <c r="E14915" s="4" t="s">
        <v>22</v>
      </c>
      <c r="F14915" s="4" t="s">
        <v>75205</v>
      </c>
      <c r="G14915" s="4" t="s">
        <v>75206</v>
      </c>
      <c r="H14915" s="3" t="s">
        <v>73938</v>
      </c>
      <c r="I14915" s="3" t="s">
        <v>688</v>
      </c>
      <c r="J14915" s="3" t="s">
        <v>36368</v>
      </c>
      <c r="K14915" s="3" t="s">
        <v>75207</v>
      </c>
      <c r="L14915" s="3" t="s">
        <v>75208</v>
      </c>
      <c r="M14915" s="4" t="s">
        <v>75209</v>
      </c>
      <c r="N14915" s="3" t="s">
        <v>37</v>
      </c>
      <c r="O14915" s="3"/>
      <c r="P14915" s="5">
        <v>10</v>
      </c>
      <c r="Q14915" s="5">
        <v>92</v>
      </c>
      <c r="R14915" s="5">
        <v>10</v>
      </c>
      <c r="S14915" s="5">
        <v>97</v>
      </c>
    </row>
    <row r="14916" spans="1:19" ht="28" x14ac:dyDescent="0.15">
      <c r="A14916" s="2">
        <f>HYPERLINK("https://open-school.uspishnemisto.com.ua/school/710259/", 710259)</f>
        <v>710259</v>
      </c>
      <c r="B14916" s="3" t="s">
        <v>75210</v>
      </c>
      <c r="C14916" s="3" t="s">
        <v>31</v>
      </c>
      <c r="D14916" s="3" t="s">
        <v>32</v>
      </c>
      <c r="E14916" s="4" t="s">
        <v>22</v>
      </c>
      <c r="F14916" s="4" t="s">
        <v>75205</v>
      </c>
      <c r="G14916" s="4" t="s">
        <v>75206</v>
      </c>
      <c r="H14916" s="3" t="s">
        <v>73938</v>
      </c>
      <c r="I14916" s="3" t="s">
        <v>688</v>
      </c>
      <c r="J14916" s="3" t="s">
        <v>75211</v>
      </c>
      <c r="K14916" s="3"/>
      <c r="L14916" s="3"/>
      <c r="M14916" s="4"/>
      <c r="N14916" s="3" t="s">
        <v>37</v>
      </c>
      <c r="O14916" s="3" t="s">
        <v>38</v>
      </c>
      <c r="P14916" s="5">
        <v>11</v>
      </c>
      <c r="Q14916" s="5">
        <v>140</v>
      </c>
      <c r="R14916" s="5">
        <v>11</v>
      </c>
      <c r="S14916" s="5">
        <v>129</v>
      </c>
    </row>
    <row r="14917" spans="1:19" ht="28" x14ac:dyDescent="0.15">
      <c r="A14917" s="2">
        <f>HYPERLINK("https://open-school.uspishnemisto.com.ua/school/710261/", 710261)</f>
        <v>710261</v>
      </c>
      <c r="B14917" s="3" t="s">
        <v>75212</v>
      </c>
      <c r="C14917" s="3" t="s">
        <v>31</v>
      </c>
      <c r="D14917" s="3" t="s">
        <v>32</v>
      </c>
      <c r="E14917" s="4" t="s">
        <v>22</v>
      </c>
      <c r="F14917" s="4" t="s">
        <v>75213</v>
      </c>
      <c r="G14917" s="4" t="s">
        <v>75214</v>
      </c>
      <c r="H14917" s="3" t="s">
        <v>73938</v>
      </c>
      <c r="I14917" s="3" t="s">
        <v>2910</v>
      </c>
      <c r="J14917" s="3" t="s">
        <v>610</v>
      </c>
      <c r="K14917" s="3" t="s">
        <v>75215</v>
      </c>
      <c r="L14917" s="3" t="s">
        <v>75216</v>
      </c>
      <c r="M14917" s="4"/>
      <c r="N14917" s="3" t="s">
        <v>37</v>
      </c>
      <c r="O14917" s="3" t="s">
        <v>46</v>
      </c>
      <c r="P14917" s="5">
        <v>10</v>
      </c>
      <c r="Q14917" s="5">
        <v>83</v>
      </c>
      <c r="R14917" s="5">
        <v>10</v>
      </c>
      <c r="S14917" s="5">
        <v>81</v>
      </c>
    </row>
    <row r="14918" spans="1:19" ht="28" x14ac:dyDescent="0.15">
      <c r="A14918" s="2">
        <f>HYPERLINK("https://open-school.uspishnemisto.com.ua/school/710262/", 710262)</f>
        <v>710262</v>
      </c>
      <c r="B14918" s="3" t="s">
        <v>75217</v>
      </c>
      <c r="C14918" s="3" t="s">
        <v>31</v>
      </c>
      <c r="D14918" s="3" t="s">
        <v>32</v>
      </c>
      <c r="E14918" s="4" t="s">
        <v>22</v>
      </c>
      <c r="F14918" s="4" t="s">
        <v>75218</v>
      </c>
      <c r="G14918" s="4" t="s">
        <v>75219</v>
      </c>
      <c r="H14918" s="3" t="s">
        <v>73938</v>
      </c>
      <c r="I14918" s="3" t="s">
        <v>75220</v>
      </c>
      <c r="J14918" s="3" t="s">
        <v>75221</v>
      </c>
      <c r="K14918" s="3" t="s">
        <v>75222</v>
      </c>
      <c r="L14918" s="3" t="s">
        <v>75223</v>
      </c>
      <c r="M14918" s="4"/>
      <c r="N14918" s="3" t="s">
        <v>37</v>
      </c>
      <c r="O14918" s="3" t="s">
        <v>52</v>
      </c>
      <c r="P14918" s="5">
        <v>8</v>
      </c>
      <c r="Q14918" s="5">
        <v>67</v>
      </c>
      <c r="R14918" s="5">
        <v>9</v>
      </c>
      <c r="S14918" s="5">
        <v>65</v>
      </c>
    </row>
    <row r="14919" spans="1:19" ht="28" x14ac:dyDescent="0.15">
      <c r="A14919" s="2">
        <f>HYPERLINK("https://open-school.uspishnemisto.com.ua/school/710263/", 710263)</f>
        <v>710263</v>
      </c>
      <c r="B14919" s="3" t="s">
        <v>75224</v>
      </c>
      <c r="C14919" s="3" t="s">
        <v>31</v>
      </c>
      <c r="D14919" s="3" t="s">
        <v>32</v>
      </c>
      <c r="E14919" s="4" t="s">
        <v>22</v>
      </c>
      <c r="F14919" s="4" t="s">
        <v>75225</v>
      </c>
      <c r="G14919" s="4" t="s">
        <v>75226</v>
      </c>
      <c r="H14919" s="3" t="s">
        <v>73938</v>
      </c>
      <c r="I14919" s="3" t="s">
        <v>75227</v>
      </c>
      <c r="J14919" s="3" t="s">
        <v>75228</v>
      </c>
      <c r="K14919" s="3" t="s">
        <v>75229</v>
      </c>
      <c r="L14919" s="3" t="s">
        <v>75230</v>
      </c>
      <c r="M14919" s="4"/>
      <c r="N14919" s="3" t="s">
        <v>37</v>
      </c>
      <c r="O14919" s="3" t="s">
        <v>46</v>
      </c>
      <c r="P14919" s="5">
        <v>11</v>
      </c>
      <c r="Q14919" s="5">
        <v>102</v>
      </c>
      <c r="R14919" s="5">
        <v>11</v>
      </c>
      <c r="S14919" s="5">
        <v>98</v>
      </c>
    </row>
    <row r="14920" spans="1:19" ht="28" x14ac:dyDescent="0.15">
      <c r="A14920" s="2">
        <f>HYPERLINK("https://open-school.uspishnemisto.com.ua/school/710264/", 710264)</f>
        <v>710264</v>
      </c>
      <c r="B14920" s="3" t="s">
        <v>75231</v>
      </c>
      <c r="C14920" s="3" t="s">
        <v>31</v>
      </c>
      <c r="D14920" s="3" t="s">
        <v>32</v>
      </c>
      <c r="E14920" s="4" t="s">
        <v>22</v>
      </c>
      <c r="F14920" s="4" t="s">
        <v>75232</v>
      </c>
      <c r="G14920" s="4" t="s">
        <v>75233</v>
      </c>
      <c r="H14920" s="3" t="s">
        <v>73938</v>
      </c>
      <c r="I14920" s="3" t="s">
        <v>75234</v>
      </c>
      <c r="J14920" s="3" t="s">
        <v>2226</v>
      </c>
      <c r="K14920" s="3" t="s">
        <v>75235</v>
      </c>
      <c r="L14920" s="3" t="s">
        <v>75236</v>
      </c>
      <c r="M14920" s="4"/>
      <c r="N14920" s="3" t="s">
        <v>37</v>
      </c>
      <c r="O14920" s="3" t="s">
        <v>52</v>
      </c>
      <c r="P14920" s="5">
        <v>11</v>
      </c>
      <c r="Q14920" s="5">
        <v>133</v>
      </c>
      <c r="R14920" s="5">
        <v>10</v>
      </c>
      <c r="S14920" s="5">
        <v>115</v>
      </c>
    </row>
    <row r="14921" spans="1:19" ht="42" x14ac:dyDescent="0.15">
      <c r="A14921" s="2">
        <f>HYPERLINK("https://open-school.uspishnemisto.com.ua/school/710265/", 710265)</f>
        <v>710265</v>
      </c>
      <c r="B14921" s="3" t="s">
        <v>75237</v>
      </c>
      <c r="C14921" s="3" t="s">
        <v>31</v>
      </c>
      <c r="D14921" s="3" t="s">
        <v>32</v>
      </c>
      <c r="E14921" s="4" t="s">
        <v>22</v>
      </c>
      <c r="F14921" s="4" t="s">
        <v>75238</v>
      </c>
      <c r="G14921" s="4" t="s">
        <v>75239</v>
      </c>
      <c r="H14921" s="3" t="s">
        <v>73938</v>
      </c>
      <c r="I14921" s="3" t="s">
        <v>26008</v>
      </c>
      <c r="J14921" s="3" t="s">
        <v>58000</v>
      </c>
      <c r="K14921" s="3" t="s">
        <v>75240</v>
      </c>
      <c r="L14921" s="3"/>
      <c r="M14921" s="4"/>
      <c r="N14921" s="3" t="s">
        <v>37</v>
      </c>
      <c r="O14921" s="3" t="s">
        <v>52</v>
      </c>
      <c r="P14921" s="5">
        <v>10</v>
      </c>
      <c r="Q14921" s="5">
        <v>56</v>
      </c>
      <c r="R14921" s="5">
        <v>10</v>
      </c>
      <c r="S14921" s="5">
        <v>58</v>
      </c>
    </row>
    <row r="14922" spans="1:19" ht="28" x14ac:dyDescent="0.15">
      <c r="A14922" s="2">
        <f>HYPERLINK("https://open-school.uspishnemisto.com.ua/school/710266/", 710266)</f>
        <v>710266</v>
      </c>
      <c r="B14922" s="3" t="s">
        <v>75241</v>
      </c>
      <c r="C14922" s="3" t="s">
        <v>31</v>
      </c>
      <c r="D14922" s="3" t="s">
        <v>175</v>
      </c>
      <c r="E14922" s="4" t="s">
        <v>22</v>
      </c>
      <c r="F14922" s="4" t="s">
        <v>75242</v>
      </c>
      <c r="G14922" s="4" t="s">
        <v>75243</v>
      </c>
      <c r="H14922" s="3" t="s">
        <v>73938</v>
      </c>
      <c r="I14922" s="3" t="s">
        <v>75244</v>
      </c>
      <c r="J14922" s="3" t="s">
        <v>75245</v>
      </c>
      <c r="K14922" s="3" t="s">
        <v>75246</v>
      </c>
      <c r="L14922" s="3" t="s">
        <v>75247</v>
      </c>
      <c r="M14922" s="4"/>
      <c r="N14922" s="3" t="s">
        <v>37</v>
      </c>
      <c r="O14922" s="3" t="s">
        <v>52</v>
      </c>
      <c r="P14922" s="5">
        <v>6</v>
      </c>
      <c r="Q14922" s="5">
        <v>45</v>
      </c>
      <c r="R14922" s="5">
        <v>7</v>
      </c>
      <c r="S14922" s="5">
        <v>46</v>
      </c>
    </row>
    <row r="14923" spans="1:19" ht="42" x14ac:dyDescent="0.15">
      <c r="A14923" s="2">
        <f>HYPERLINK("https://open-school.uspishnemisto.com.ua/school/710267/", 710267)</f>
        <v>710267</v>
      </c>
      <c r="B14923" s="3" t="s">
        <v>75248</v>
      </c>
      <c r="C14923" s="3" t="s">
        <v>54</v>
      </c>
      <c r="D14923" s="3" t="s">
        <v>175</v>
      </c>
      <c r="E14923" s="4" t="s">
        <v>22</v>
      </c>
      <c r="F14923" s="4" t="s">
        <v>75249</v>
      </c>
      <c r="G14923" s="4" t="s">
        <v>75250</v>
      </c>
      <c r="H14923" s="3" t="s">
        <v>73938</v>
      </c>
      <c r="I14923" s="3" t="s">
        <v>75251</v>
      </c>
      <c r="J14923" s="3" t="s">
        <v>5492</v>
      </c>
      <c r="K14923" s="3" t="s">
        <v>75252</v>
      </c>
      <c r="L14923" s="3"/>
      <c r="M14923" s="4"/>
      <c r="N14923" s="3" t="s">
        <v>37</v>
      </c>
      <c r="O14923" s="3" t="s">
        <v>52</v>
      </c>
      <c r="P14923" s="5">
        <v>6</v>
      </c>
      <c r="Q14923" s="5">
        <v>37</v>
      </c>
      <c r="R14923" s="5">
        <v>4</v>
      </c>
      <c r="S14923" s="5">
        <v>28</v>
      </c>
    </row>
    <row r="14924" spans="1:19" ht="42" x14ac:dyDescent="0.15">
      <c r="A14924" s="2">
        <f>HYPERLINK("https://open-school.uspishnemisto.com.ua/school/710268/", 710268)</f>
        <v>710268</v>
      </c>
      <c r="B14924" s="3" t="s">
        <v>75253</v>
      </c>
      <c r="C14924" s="3" t="s">
        <v>54</v>
      </c>
      <c r="D14924" s="3" t="s">
        <v>32</v>
      </c>
      <c r="E14924" s="4" t="s">
        <v>22</v>
      </c>
      <c r="F14924" s="4" t="s">
        <v>75254</v>
      </c>
      <c r="G14924" s="4" t="s">
        <v>75255</v>
      </c>
      <c r="H14924" s="3" t="s">
        <v>73938</v>
      </c>
      <c r="I14924" s="3" t="s">
        <v>32817</v>
      </c>
      <c r="J14924" s="3" t="s">
        <v>75256</v>
      </c>
      <c r="K14924" s="3" t="s">
        <v>75257</v>
      </c>
      <c r="L14924" s="3"/>
      <c r="M14924" s="4"/>
      <c r="N14924" s="3" t="s">
        <v>37</v>
      </c>
      <c r="O14924" s="3" t="s">
        <v>46</v>
      </c>
      <c r="P14924" s="5">
        <v>11</v>
      </c>
      <c r="Q14924" s="5">
        <v>100</v>
      </c>
      <c r="R14924" s="5">
        <v>11</v>
      </c>
      <c r="S14924" s="5">
        <v>102</v>
      </c>
    </row>
    <row r="14925" spans="1:19" ht="42" x14ac:dyDescent="0.15">
      <c r="A14925" s="2">
        <f>HYPERLINK("https://open-school.uspishnemisto.com.ua/school/710269/", 710269)</f>
        <v>710269</v>
      </c>
      <c r="B14925" s="3" t="s">
        <v>75258</v>
      </c>
      <c r="C14925" s="3" t="s">
        <v>54</v>
      </c>
      <c r="D14925" s="3" t="s">
        <v>32</v>
      </c>
      <c r="E14925" s="4" t="s">
        <v>22</v>
      </c>
      <c r="F14925" s="4" t="s">
        <v>75259</v>
      </c>
      <c r="G14925" s="4" t="s">
        <v>75260</v>
      </c>
      <c r="H14925" s="3" t="s">
        <v>73938</v>
      </c>
      <c r="I14925" s="3" t="s">
        <v>75261</v>
      </c>
      <c r="J14925" s="3" t="s">
        <v>75262</v>
      </c>
      <c r="K14925" s="3" t="s">
        <v>75263</v>
      </c>
      <c r="L14925" s="3" t="s">
        <v>75264</v>
      </c>
      <c r="M14925" s="4"/>
      <c r="N14925" s="3" t="s">
        <v>37</v>
      </c>
      <c r="O14925" s="3" t="s">
        <v>52</v>
      </c>
      <c r="P14925" s="5">
        <v>8</v>
      </c>
      <c r="Q14925" s="5">
        <v>79</v>
      </c>
      <c r="R14925" s="5">
        <v>8</v>
      </c>
      <c r="S14925" s="5">
        <v>67</v>
      </c>
    </row>
    <row r="14926" spans="1:19" ht="42" x14ac:dyDescent="0.15">
      <c r="A14926" s="2">
        <f>HYPERLINK("https://open-school.uspishnemisto.com.ua/school/710270/", 710270)</f>
        <v>710270</v>
      </c>
      <c r="B14926" s="3" t="s">
        <v>75265</v>
      </c>
      <c r="C14926" s="3" t="s">
        <v>54</v>
      </c>
      <c r="D14926" s="3" t="s">
        <v>32</v>
      </c>
      <c r="E14926" s="4" t="s">
        <v>22</v>
      </c>
      <c r="F14926" s="4" t="s">
        <v>75266</v>
      </c>
      <c r="G14926" s="4" t="s">
        <v>75267</v>
      </c>
      <c r="H14926" s="3" t="s">
        <v>73938</v>
      </c>
      <c r="I14926" s="3" t="s">
        <v>75268</v>
      </c>
      <c r="J14926" s="3" t="s">
        <v>75269</v>
      </c>
      <c r="K14926" s="3"/>
      <c r="L14926" s="3" t="s">
        <v>75270</v>
      </c>
      <c r="M14926" s="4"/>
      <c r="N14926" s="3" t="s">
        <v>37</v>
      </c>
      <c r="O14926" s="3" t="s">
        <v>52</v>
      </c>
      <c r="P14926" s="5">
        <v>10</v>
      </c>
      <c r="Q14926" s="5">
        <v>99</v>
      </c>
      <c r="R14926" s="5">
        <v>9</v>
      </c>
      <c r="S14926" s="5">
        <v>102</v>
      </c>
    </row>
    <row r="14927" spans="1:19" ht="42" x14ac:dyDescent="0.15">
      <c r="A14927" s="2">
        <f>HYPERLINK("https://open-school.uspishnemisto.com.ua/school/710271/", 710271)</f>
        <v>710271</v>
      </c>
      <c r="B14927" s="3" t="s">
        <v>75271</v>
      </c>
      <c r="C14927" s="3" t="s">
        <v>54</v>
      </c>
      <c r="D14927" s="3" t="s">
        <v>60</v>
      </c>
      <c r="E14927" s="4" t="s">
        <v>22</v>
      </c>
      <c r="F14927" s="4" t="s">
        <v>75272</v>
      </c>
      <c r="G14927" s="4" t="s">
        <v>75273</v>
      </c>
      <c r="H14927" s="3" t="s">
        <v>73938</v>
      </c>
      <c r="I14927" s="3" t="s">
        <v>75274</v>
      </c>
      <c r="J14927" s="3" t="s">
        <v>11424</v>
      </c>
      <c r="K14927" s="3" t="s">
        <v>75275</v>
      </c>
      <c r="L14927" s="3"/>
      <c r="M14927" s="4"/>
      <c r="N14927" s="3" t="s">
        <v>37</v>
      </c>
      <c r="O14927" s="3" t="s">
        <v>52</v>
      </c>
      <c r="P14927" s="5">
        <v>2</v>
      </c>
      <c r="Q14927" s="5">
        <v>20</v>
      </c>
      <c r="R14927" s="5">
        <v>3</v>
      </c>
      <c r="S14927" s="5">
        <v>24</v>
      </c>
    </row>
    <row r="14928" spans="1:19" ht="42" x14ac:dyDescent="0.15">
      <c r="A14928" s="2">
        <f>HYPERLINK("https://open-school.uspishnemisto.com.ua/school/710272/", 710272)</f>
        <v>710272</v>
      </c>
      <c r="B14928" s="3" t="s">
        <v>75276</v>
      </c>
      <c r="C14928" s="3" t="s">
        <v>54</v>
      </c>
      <c r="D14928" s="3" t="s">
        <v>175</v>
      </c>
      <c r="E14928" s="4" t="s">
        <v>22</v>
      </c>
      <c r="F14928" s="4" t="s">
        <v>75277</v>
      </c>
      <c r="G14928" s="4" t="s">
        <v>75278</v>
      </c>
      <c r="H14928" s="3" t="s">
        <v>73938</v>
      </c>
      <c r="I14928" s="3" t="s">
        <v>75279</v>
      </c>
      <c r="J14928" s="3" t="s">
        <v>75280</v>
      </c>
      <c r="K14928" s="3" t="s">
        <v>75281</v>
      </c>
      <c r="L14928" s="3" t="s">
        <v>75282</v>
      </c>
      <c r="M14928" s="4"/>
      <c r="N14928" s="3" t="s">
        <v>37</v>
      </c>
      <c r="O14928" s="3" t="s">
        <v>52</v>
      </c>
      <c r="P14928" s="5">
        <v>9</v>
      </c>
      <c r="Q14928" s="5">
        <v>51</v>
      </c>
      <c r="R14928" s="5">
        <v>8</v>
      </c>
      <c r="S14928" s="5">
        <v>51</v>
      </c>
    </row>
    <row r="14929" spans="1:19" ht="42" x14ac:dyDescent="0.15">
      <c r="A14929" s="2">
        <f>HYPERLINK("https://open-school.uspishnemisto.com.ua/school/710273/", 710273)</f>
        <v>710273</v>
      </c>
      <c r="B14929" s="3" t="s">
        <v>75283</v>
      </c>
      <c r="C14929" s="3" t="s">
        <v>54</v>
      </c>
      <c r="D14929" s="3" t="s">
        <v>32</v>
      </c>
      <c r="E14929" s="4" t="s">
        <v>22</v>
      </c>
      <c r="F14929" s="4" t="s">
        <v>75284</v>
      </c>
      <c r="G14929" s="4" t="s">
        <v>75285</v>
      </c>
      <c r="H14929" s="3" t="s">
        <v>73938</v>
      </c>
      <c r="I14929" s="3" t="s">
        <v>75286</v>
      </c>
      <c r="J14929" s="3" t="s">
        <v>75287</v>
      </c>
      <c r="K14929" s="3" t="s">
        <v>75288</v>
      </c>
      <c r="L14929" s="3"/>
      <c r="M14929" s="4"/>
      <c r="N14929" s="3" t="s">
        <v>37</v>
      </c>
      <c r="O14929" s="3" t="s">
        <v>52</v>
      </c>
      <c r="P14929" s="5">
        <v>11</v>
      </c>
      <c r="Q14929" s="5">
        <v>191</v>
      </c>
      <c r="R14929" s="5">
        <v>11</v>
      </c>
      <c r="S14929" s="5">
        <v>181</v>
      </c>
    </row>
    <row r="14930" spans="1:19" ht="28" x14ac:dyDescent="0.15">
      <c r="A14930" s="2">
        <f>HYPERLINK("https://open-school.uspishnemisto.com.ua/school/710274/", 710274)</f>
        <v>710274</v>
      </c>
      <c r="B14930" s="3" t="s">
        <v>75289</v>
      </c>
      <c r="C14930" s="3" t="s">
        <v>31</v>
      </c>
      <c r="D14930" s="3" t="s">
        <v>32</v>
      </c>
      <c r="E14930" s="4" t="s">
        <v>22</v>
      </c>
      <c r="F14930" s="4" t="s">
        <v>75290</v>
      </c>
      <c r="G14930" s="4" t="s">
        <v>75291</v>
      </c>
      <c r="H14930" s="3" t="s">
        <v>73938</v>
      </c>
      <c r="I14930" s="3" t="s">
        <v>75292</v>
      </c>
      <c r="J14930" s="3" t="s">
        <v>7495</v>
      </c>
      <c r="K14930" s="3" t="s">
        <v>75293</v>
      </c>
      <c r="L14930" s="3" t="s">
        <v>75294</v>
      </c>
      <c r="M14930" s="4"/>
      <c r="N14930" s="3" t="s">
        <v>37</v>
      </c>
      <c r="O14930" s="3" t="s">
        <v>70</v>
      </c>
      <c r="P14930" s="5">
        <v>10</v>
      </c>
      <c r="Q14930" s="5">
        <v>95</v>
      </c>
      <c r="R14930" s="5">
        <v>10</v>
      </c>
      <c r="S14930" s="5">
        <v>91</v>
      </c>
    </row>
    <row r="14931" spans="1:19" ht="42" x14ac:dyDescent="0.15">
      <c r="A14931" s="2">
        <f>HYPERLINK("https://open-school.uspishnemisto.com.ua/school/710275/", 710275)</f>
        <v>710275</v>
      </c>
      <c r="B14931" s="3" t="s">
        <v>75295</v>
      </c>
      <c r="C14931" s="3" t="s">
        <v>54</v>
      </c>
      <c r="D14931" s="3" t="s">
        <v>32</v>
      </c>
      <c r="E14931" s="4" t="s">
        <v>22</v>
      </c>
      <c r="F14931" s="4" t="s">
        <v>75296</v>
      </c>
      <c r="G14931" s="4" t="s">
        <v>75297</v>
      </c>
      <c r="H14931" s="3" t="s">
        <v>73938</v>
      </c>
      <c r="I14931" s="3" t="s">
        <v>1308</v>
      </c>
      <c r="J14931" s="3" t="s">
        <v>75298</v>
      </c>
      <c r="K14931" s="3" t="s">
        <v>75299</v>
      </c>
      <c r="L14931" s="3"/>
      <c r="M14931" s="4"/>
      <c r="N14931" s="3" t="s">
        <v>37</v>
      </c>
      <c r="O14931" s="3" t="s">
        <v>52</v>
      </c>
      <c r="P14931" s="5">
        <v>11</v>
      </c>
      <c r="Q14931" s="5">
        <v>136</v>
      </c>
      <c r="R14931" s="5">
        <v>11</v>
      </c>
      <c r="S14931" s="5">
        <v>132</v>
      </c>
    </row>
    <row r="14932" spans="1:19" ht="28" x14ac:dyDescent="0.15">
      <c r="A14932" s="2">
        <f>HYPERLINK("https://open-school.uspishnemisto.com.ua/school/710276/", 710276)</f>
        <v>710276</v>
      </c>
      <c r="B14932" s="3" t="s">
        <v>75300</v>
      </c>
      <c r="C14932" s="3" t="s">
        <v>31</v>
      </c>
      <c r="D14932" s="3" t="s">
        <v>32</v>
      </c>
      <c r="E14932" s="4" t="s">
        <v>22</v>
      </c>
      <c r="F14932" s="4" t="s">
        <v>75301</v>
      </c>
      <c r="G14932" s="4" t="s">
        <v>75302</v>
      </c>
      <c r="H14932" s="3" t="s">
        <v>73938</v>
      </c>
      <c r="I14932" s="3" t="s">
        <v>12323</v>
      </c>
      <c r="J14932" s="3" t="s">
        <v>75303</v>
      </c>
      <c r="K14932" s="3" t="s">
        <v>37926</v>
      </c>
      <c r="L14932" s="3"/>
      <c r="M14932" s="4"/>
      <c r="N14932" s="3" t="s">
        <v>37</v>
      </c>
      <c r="O14932" s="3" t="s">
        <v>38</v>
      </c>
      <c r="P14932" s="5">
        <v>11</v>
      </c>
      <c r="Q14932" s="5">
        <v>107</v>
      </c>
      <c r="R14932" s="5">
        <v>11</v>
      </c>
      <c r="S14932" s="5">
        <v>107</v>
      </c>
    </row>
    <row r="14933" spans="1:19" ht="42" x14ac:dyDescent="0.15">
      <c r="A14933" s="2">
        <f>HYPERLINK("https://open-school.uspishnemisto.com.ua/school/710277/", 710277)</f>
        <v>710277</v>
      </c>
      <c r="B14933" s="3" t="s">
        <v>75304</v>
      </c>
      <c r="C14933" s="3" t="s">
        <v>54</v>
      </c>
      <c r="D14933" s="3" t="s">
        <v>32</v>
      </c>
      <c r="E14933" s="4" t="s">
        <v>22</v>
      </c>
      <c r="F14933" s="4" t="s">
        <v>75305</v>
      </c>
      <c r="G14933" s="4" t="s">
        <v>75306</v>
      </c>
      <c r="H14933" s="3" t="s">
        <v>73938</v>
      </c>
      <c r="I14933" s="3" t="s">
        <v>8409</v>
      </c>
      <c r="J14933" s="3" t="s">
        <v>1636</v>
      </c>
      <c r="K14933" s="3" t="s">
        <v>75307</v>
      </c>
      <c r="L14933" s="3"/>
      <c r="M14933" s="4"/>
      <c r="N14933" s="3" t="s">
        <v>37</v>
      </c>
      <c r="O14933" s="3" t="s">
        <v>46</v>
      </c>
      <c r="P14933" s="5">
        <v>6</v>
      </c>
      <c r="Q14933" s="5">
        <v>31</v>
      </c>
      <c r="R14933" s="5">
        <v>7</v>
      </c>
      <c r="S14933" s="5">
        <v>37</v>
      </c>
    </row>
    <row r="14934" spans="1:19" ht="56" x14ac:dyDescent="0.15">
      <c r="A14934" s="2">
        <f>HYPERLINK("https://open-school.uspishnemisto.com.ua/school/710279/", 710279)</f>
        <v>710279</v>
      </c>
      <c r="B14934" s="3" t="s">
        <v>75308</v>
      </c>
      <c r="C14934" s="3" t="s">
        <v>54</v>
      </c>
      <c r="D14934" s="3" t="s">
        <v>32</v>
      </c>
      <c r="E14934" s="4" t="s">
        <v>22</v>
      </c>
      <c r="F14934" s="4" t="s">
        <v>75309</v>
      </c>
      <c r="G14934" s="4" t="s">
        <v>75310</v>
      </c>
      <c r="H14934" s="3" t="s">
        <v>73938</v>
      </c>
      <c r="I14934" s="3" t="s">
        <v>75311</v>
      </c>
      <c r="J14934" s="3" t="s">
        <v>75312</v>
      </c>
      <c r="K14934" s="3" t="s">
        <v>75313</v>
      </c>
      <c r="L14934" s="3" t="s">
        <v>75314</v>
      </c>
      <c r="M14934" s="4"/>
      <c r="N14934" s="3" t="s">
        <v>37</v>
      </c>
      <c r="O14934" s="3" t="s">
        <v>46</v>
      </c>
      <c r="P14934" s="5">
        <v>9</v>
      </c>
      <c r="Q14934" s="5">
        <v>39</v>
      </c>
      <c r="R14934" s="5">
        <v>9</v>
      </c>
      <c r="S14934" s="5">
        <v>38</v>
      </c>
    </row>
    <row r="14935" spans="1:19" ht="42" x14ac:dyDescent="0.15">
      <c r="A14935" s="2">
        <f>HYPERLINK("https://open-school.uspishnemisto.com.ua/school/710280/", 710280)</f>
        <v>710280</v>
      </c>
      <c r="B14935" s="3" t="s">
        <v>75315</v>
      </c>
      <c r="C14935" s="3" t="s">
        <v>54</v>
      </c>
      <c r="D14935" s="3" t="s">
        <v>32</v>
      </c>
      <c r="E14935" s="4" t="s">
        <v>22</v>
      </c>
      <c r="F14935" s="4" t="s">
        <v>75316</v>
      </c>
      <c r="G14935" s="4" t="s">
        <v>75317</v>
      </c>
      <c r="H14935" s="3" t="s">
        <v>73938</v>
      </c>
      <c r="I14935" s="3" t="s">
        <v>75318</v>
      </c>
      <c r="J14935" s="3" t="s">
        <v>75319</v>
      </c>
      <c r="K14935" s="3" t="s">
        <v>75320</v>
      </c>
      <c r="L14935" s="3"/>
      <c r="M14935" s="4"/>
      <c r="N14935" s="3" t="s">
        <v>37</v>
      </c>
      <c r="O14935" s="3" t="s">
        <v>52</v>
      </c>
      <c r="P14935" s="5">
        <v>6</v>
      </c>
      <c r="Q14935" s="5">
        <v>33</v>
      </c>
      <c r="R14935" s="5">
        <v>7</v>
      </c>
      <c r="S14935" s="5">
        <v>41</v>
      </c>
    </row>
    <row r="14936" spans="1:19" ht="42" x14ac:dyDescent="0.15">
      <c r="A14936" s="2">
        <f>HYPERLINK("https://open-school.uspishnemisto.com.ua/school/710281/", 710281)</f>
        <v>710281</v>
      </c>
      <c r="B14936" s="3" t="s">
        <v>75321</v>
      </c>
      <c r="C14936" s="3" t="s">
        <v>54</v>
      </c>
      <c r="D14936" s="3" t="s">
        <v>175</v>
      </c>
      <c r="E14936" s="4" t="s">
        <v>22</v>
      </c>
      <c r="F14936" s="4" t="s">
        <v>75322</v>
      </c>
      <c r="G14936" s="4" t="s">
        <v>75323</v>
      </c>
      <c r="H14936" s="3" t="s">
        <v>73938</v>
      </c>
      <c r="I14936" s="3" t="s">
        <v>17981</v>
      </c>
      <c r="J14936" s="3" t="s">
        <v>75324</v>
      </c>
      <c r="K14936" s="3" t="s">
        <v>75325</v>
      </c>
      <c r="L14936" s="3"/>
      <c r="M14936" s="4"/>
      <c r="N14936" s="3" t="s">
        <v>37</v>
      </c>
      <c r="O14936" s="3" t="s">
        <v>52</v>
      </c>
      <c r="P14936" s="5">
        <v>2</v>
      </c>
      <c r="Q14936" s="5">
        <v>29</v>
      </c>
      <c r="R14936" s="5">
        <v>2</v>
      </c>
      <c r="S14936" s="5">
        <v>25</v>
      </c>
    </row>
    <row r="14937" spans="1:19" ht="28" x14ac:dyDescent="0.15">
      <c r="A14937" s="2">
        <f>HYPERLINK("https://open-school.uspishnemisto.com.ua/school/710282/", 710282)</f>
        <v>710282</v>
      </c>
      <c r="B14937" s="3" t="s">
        <v>75326</v>
      </c>
      <c r="C14937" s="3" t="s">
        <v>244</v>
      </c>
      <c r="D14937" s="3" t="s">
        <v>32</v>
      </c>
      <c r="E14937" s="4" t="s">
        <v>22</v>
      </c>
      <c r="F14937" s="4" t="s">
        <v>75327</v>
      </c>
      <c r="G14937" s="4" t="s">
        <v>75328</v>
      </c>
      <c r="H14937" s="3" t="s">
        <v>73938</v>
      </c>
      <c r="I14937" s="3" t="s">
        <v>75329</v>
      </c>
      <c r="J14937" s="3" t="s">
        <v>817</v>
      </c>
      <c r="K14937" s="3" t="s">
        <v>75330</v>
      </c>
      <c r="L14937" s="3" t="s">
        <v>75331</v>
      </c>
      <c r="M14937" s="4"/>
      <c r="N14937" s="3" t="s">
        <v>37</v>
      </c>
      <c r="O14937" s="3" t="s">
        <v>52</v>
      </c>
      <c r="P14937" s="5">
        <v>11</v>
      </c>
      <c r="Q14937" s="5">
        <v>186</v>
      </c>
      <c r="R14937" s="5">
        <v>11</v>
      </c>
      <c r="S14937" s="5">
        <v>164</v>
      </c>
    </row>
    <row r="14938" spans="1:19" ht="42" x14ac:dyDescent="0.15">
      <c r="A14938" s="2">
        <f>HYPERLINK("https://open-school.uspishnemisto.com.ua/school/710283/", 710283)</f>
        <v>710283</v>
      </c>
      <c r="B14938" s="3" t="s">
        <v>75332</v>
      </c>
      <c r="C14938" s="3" t="s">
        <v>31</v>
      </c>
      <c r="D14938" s="3" t="s">
        <v>32</v>
      </c>
      <c r="E14938" s="4" t="s">
        <v>22</v>
      </c>
      <c r="F14938" s="4" t="s">
        <v>75333</v>
      </c>
      <c r="G14938" s="4" t="s">
        <v>75334</v>
      </c>
      <c r="H14938" s="3" t="s">
        <v>73938</v>
      </c>
      <c r="I14938" s="3" t="s">
        <v>75335</v>
      </c>
      <c r="J14938" s="3" t="s">
        <v>75336</v>
      </c>
      <c r="K14938" s="3" t="s">
        <v>75337</v>
      </c>
      <c r="L14938" s="3" t="s">
        <v>75338</v>
      </c>
      <c r="M14938" s="4"/>
      <c r="N14938" s="3" t="s">
        <v>37</v>
      </c>
      <c r="O14938" s="3" t="s">
        <v>38</v>
      </c>
      <c r="P14938" s="5">
        <v>11</v>
      </c>
      <c r="Q14938" s="5">
        <v>118</v>
      </c>
      <c r="R14938" s="5">
        <v>11</v>
      </c>
      <c r="S14938" s="5">
        <v>106</v>
      </c>
    </row>
    <row r="14939" spans="1:19" ht="42" x14ac:dyDescent="0.15">
      <c r="A14939" s="2">
        <f>HYPERLINK("https://open-school.uspishnemisto.com.ua/school/710284/", 710284)</f>
        <v>710284</v>
      </c>
      <c r="B14939" s="3" t="s">
        <v>75339</v>
      </c>
      <c r="C14939" s="3" t="s">
        <v>54</v>
      </c>
      <c r="D14939" s="3" t="s">
        <v>32</v>
      </c>
      <c r="E14939" s="4" t="s">
        <v>22</v>
      </c>
      <c r="F14939" s="4" t="s">
        <v>75340</v>
      </c>
      <c r="G14939" s="4" t="s">
        <v>75341</v>
      </c>
      <c r="H14939" s="3" t="s">
        <v>73938</v>
      </c>
      <c r="I14939" s="3" t="s">
        <v>75342</v>
      </c>
      <c r="J14939" s="3" t="s">
        <v>53778</v>
      </c>
      <c r="K14939" s="3" t="s">
        <v>75343</v>
      </c>
      <c r="L14939" s="3" t="s">
        <v>75344</v>
      </c>
      <c r="M14939" s="4"/>
      <c r="N14939" s="3" t="s">
        <v>37</v>
      </c>
      <c r="O14939" s="3" t="s">
        <v>38</v>
      </c>
      <c r="P14939" s="5">
        <v>10</v>
      </c>
      <c r="Q14939" s="5">
        <v>86</v>
      </c>
      <c r="R14939" s="5">
        <v>10</v>
      </c>
      <c r="S14939" s="5">
        <v>95</v>
      </c>
    </row>
    <row r="14940" spans="1:19" ht="42" x14ac:dyDescent="0.15">
      <c r="A14940" s="2">
        <f>HYPERLINK("https://open-school.uspishnemisto.com.ua/school/710285/", 710285)</f>
        <v>710285</v>
      </c>
      <c r="B14940" s="3" t="s">
        <v>75345</v>
      </c>
      <c r="C14940" s="3" t="s">
        <v>54</v>
      </c>
      <c r="D14940" s="3" t="s">
        <v>175</v>
      </c>
      <c r="E14940" s="4" t="s">
        <v>22</v>
      </c>
      <c r="F14940" s="4" t="s">
        <v>75346</v>
      </c>
      <c r="G14940" s="4" t="s">
        <v>75347</v>
      </c>
      <c r="H14940" s="3" t="s">
        <v>73938</v>
      </c>
      <c r="I14940" s="3" t="s">
        <v>22077</v>
      </c>
      <c r="J14940" s="3" t="s">
        <v>71765</v>
      </c>
      <c r="K14940" s="3" t="s">
        <v>75348</v>
      </c>
      <c r="L14940" s="3" t="s">
        <v>75349</v>
      </c>
      <c r="M14940" s="4"/>
      <c r="N14940" s="3" t="s">
        <v>37</v>
      </c>
      <c r="O14940" s="3" t="s">
        <v>52</v>
      </c>
      <c r="P14940" s="5">
        <v>5</v>
      </c>
      <c r="Q14940" s="5">
        <v>42</v>
      </c>
      <c r="R14940" s="5">
        <v>6</v>
      </c>
      <c r="S14940" s="5">
        <v>42</v>
      </c>
    </row>
    <row r="14941" spans="1:19" ht="56" x14ac:dyDescent="0.15">
      <c r="A14941" s="2">
        <f>HYPERLINK("https://open-school.uspishnemisto.com.ua/school/710286/", 710286)</f>
        <v>710286</v>
      </c>
      <c r="B14941" s="3" t="s">
        <v>75350</v>
      </c>
      <c r="C14941" s="3" t="s">
        <v>31</v>
      </c>
      <c r="D14941" s="3" t="s">
        <v>32</v>
      </c>
      <c r="E14941" s="4" t="s">
        <v>22</v>
      </c>
      <c r="F14941" s="4" t="s">
        <v>75351</v>
      </c>
      <c r="G14941" s="4" t="s">
        <v>75352</v>
      </c>
      <c r="H14941" s="3" t="s">
        <v>73938</v>
      </c>
      <c r="I14941" s="3" t="s">
        <v>11560</v>
      </c>
      <c r="J14941" s="3" t="s">
        <v>75353</v>
      </c>
      <c r="K14941" s="3" t="s">
        <v>75354</v>
      </c>
      <c r="L14941" s="3" t="s">
        <v>75355</v>
      </c>
      <c r="M14941" s="4"/>
      <c r="N14941" s="3" t="s">
        <v>37</v>
      </c>
      <c r="O14941" s="3" t="s">
        <v>52</v>
      </c>
      <c r="P14941" s="5">
        <v>30</v>
      </c>
      <c r="Q14941" s="5">
        <v>407</v>
      </c>
      <c r="R14941" s="5">
        <v>17</v>
      </c>
      <c r="S14941" s="5">
        <v>313</v>
      </c>
    </row>
    <row r="14942" spans="1:19" ht="56" x14ac:dyDescent="0.15">
      <c r="A14942" s="2">
        <f>HYPERLINK("https://open-school.uspishnemisto.com.ua/school/710287/", 710287)</f>
        <v>710287</v>
      </c>
      <c r="B14942" s="3" t="s">
        <v>75356</v>
      </c>
      <c r="C14942" s="3" t="s">
        <v>31</v>
      </c>
      <c r="D14942" s="3" t="s">
        <v>32</v>
      </c>
      <c r="E14942" s="4" t="s">
        <v>22</v>
      </c>
      <c r="F14942" s="4" t="s">
        <v>75351</v>
      </c>
      <c r="G14942" s="4" t="s">
        <v>75352</v>
      </c>
      <c r="H14942" s="3" t="s">
        <v>73938</v>
      </c>
      <c r="I14942" s="3" t="s">
        <v>11560</v>
      </c>
      <c r="J14942" s="3" t="s">
        <v>3162</v>
      </c>
      <c r="K14942" s="3" t="s">
        <v>75357</v>
      </c>
      <c r="L14942" s="3" t="s">
        <v>75358</v>
      </c>
      <c r="M14942" s="4"/>
      <c r="N14942" s="3" t="s">
        <v>37</v>
      </c>
      <c r="O14942" s="3" t="s">
        <v>52</v>
      </c>
      <c r="P14942" s="5">
        <v>29</v>
      </c>
      <c r="Q14942" s="5">
        <v>450</v>
      </c>
      <c r="R14942" s="5">
        <v>16</v>
      </c>
      <c r="S14942" s="5">
        <v>318</v>
      </c>
    </row>
    <row r="14943" spans="1:19" ht="28" x14ac:dyDescent="0.15">
      <c r="A14943" s="2">
        <f>HYPERLINK("https://open-school.uspishnemisto.com.ua/school/710288/", 710288)</f>
        <v>710288</v>
      </c>
      <c r="B14943" s="3" t="s">
        <v>75359</v>
      </c>
      <c r="C14943" s="3" t="s">
        <v>188</v>
      </c>
      <c r="D14943" s="3" t="s">
        <v>32</v>
      </c>
      <c r="E14943" s="4" t="s">
        <v>22</v>
      </c>
      <c r="F14943" s="4" t="s">
        <v>75351</v>
      </c>
      <c r="G14943" s="4" t="s">
        <v>75352</v>
      </c>
      <c r="H14943" s="3" t="s">
        <v>73938</v>
      </c>
      <c r="I14943" s="3" t="s">
        <v>11560</v>
      </c>
      <c r="J14943" s="3" t="s">
        <v>75360</v>
      </c>
      <c r="K14943" s="3" t="s">
        <v>75361</v>
      </c>
      <c r="L14943" s="3"/>
      <c r="M14943" s="4"/>
      <c r="N14943" s="3" t="s">
        <v>37</v>
      </c>
      <c r="O14943" s="3" t="s">
        <v>52</v>
      </c>
      <c r="P14943" s="5">
        <v>4</v>
      </c>
      <c r="Q14943" s="5">
        <v>61</v>
      </c>
      <c r="R14943" s="5">
        <v>4</v>
      </c>
      <c r="S14943" s="5">
        <v>61</v>
      </c>
    </row>
    <row r="14944" spans="1:19" ht="42" x14ac:dyDescent="0.15">
      <c r="A14944" s="2">
        <f>HYPERLINK("https://open-school.uspishnemisto.com.ua/school/710289/", 710289)</f>
        <v>710289</v>
      </c>
      <c r="B14944" s="3" t="s">
        <v>75362</v>
      </c>
      <c r="C14944" s="3" t="s">
        <v>31</v>
      </c>
      <c r="D14944" s="3" t="s">
        <v>32</v>
      </c>
      <c r="E14944" s="4" t="s">
        <v>22</v>
      </c>
      <c r="F14944" s="4" t="s">
        <v>75363</v>
      </c>
      <c r="G14944" s="4" t="s">
        <v>75364</v>
      </c>
      <c r="H14944" s="3" t="s">
        <v>73938</v>
      </c>
      <c r="I14944" s="3" t="s">
        <v>75365</v>
      </c>
      <c r="J14944" s="3" t="s">
        <v>75366</v>
      </c>
      <c r="K14944" s="3" t="s">
        <v>4681</v>
      </c>
      <c r="L14944" s="3"/>
      <c r="M14944" s="4"/>
      <c r="N14944" s="3" t="s">
        <v>37</v>
      </c>
      <c r="O14944" s="3" t="s">
        <v>52</v>
      </c>
      <c r="P14944" s="5">
        <v>22</v>
      </c>
      <c r="Q14944" s="5">
        <v>461</v>
      </c>
      <c r="R14944" s="5">
        <v>21</v>
      </c>
      <c r="S14944" s="5">
        <v>448</v>
      </c>
    </row>
    <row r="14945" spans="1:19" ht="28" x14ac:dyDescent="0.15">
      <c r="A14945" s="2">
        <f>HYPERLINK("https://open-school.uspishnemisto.com.ua/school/710290/", 710290)</f>
        <v>710290</v>
      </c>
      <c r="B14945" s="3" t="s">
        <v>75367</v>
      </c>
      <c r="C14945" s="3" t="s">
        <v>54</v>
      </c>
      <c r="D14945" s="3" t="s">
        <v>60</v>
      </c>
      <c r="E14945" s="4" t="s">
        <v>22</v>
      </c>
      <c r="F14945" s="4" t="s">
        <v>75368</v>
      </c>
      <c r="G14945" s="4" t="s">
        <v>75369</v>
      </c>
      <c r="H14945" s="3" t="s">
        <v>73938</v>
      </c>
      <c r="I14945" s="3" t="s">
        <v>1629</v>
      </c>
      <c r="J14945" s="3" t="s">
        <v>75370</v>
      </c>
      <c r="K14945" s="3" t="s">
        <v>75371</v>
      </c>
      <c r="L14945" s="3"/>
      <c r="M14945" s="4"/>
      <c r="N14945" s="3" t="s">
        <v>37</v>
      </c>
      <c r="O14945" s="3" t="s">
        <v>52</v>
      </c>
      <c r="P14945" s="5">
        <v>0</v>
      </c>
      <c r="Q14945" s="5">
        <v>0</v>
      </c>
      <c r="R14945" s="5">
        <v>1</v>
      </c>
      <c r="S14945" s="5">
        <v>10</v>
      </c>
    </row>
    <row r="14946" spans="1:19" ht="56" x14ac:dyDescent="0.15">
      <c r="A14946" s="2">
        <f>HYPERLINK("https://open-school.uspishnemisto.com.ua/school/710291/", 710291)</f>
        <v>710291</v>
      </c>
      <c r="B14946" s="3" t="s">
        <v>75372</v>
      </c>
      <c r="C14946" s="3" t="s">
        <v>54</v>
      </c>
      <c r="D14946" s="3" t="s">
        <v>175</v>
      </c>
      <c r="E14946" s="4" t="s">
        <v>22</v>
      </c>
      <c r="F14946" s="4" t="s">
        <v>75373</v>
      </c>
      <c r="G14946" s="4" t="s">
        <v>75374</v>
      </c>
      <c r="H14946" s="3" t="s">
        <v>73938</v>
      </c>
      <c r="I14946" s="3" t="s">
        <v>2655</v>
      </c>
      <c r="J14946" s="3" t="s">
        <v>75375</v>
      </c>
      <c r="K14946" s="3" t="s">
        <v>75376</v>
      </c>
      <c r="L14946" s="3" t="s">
        <v>75377</v>
      </c>
      <c r="M14946" s="4"/>
      <c r="N14946" s="3" t="s">
        <v>37</v>
      </c>
      <c r="O14946" s="3" t="s">
        <v>52</v>
      </c>
      <c r="P14946" s="5">
        <v>0</v>
      </c>
      <c r="Q14946" s="5">
        <v>0</v>
      </c>
      <c r="R14946" s="5">
        <v>5</v>
      </c>
      <c r="S14946" s="5">
        <v>29</v>
      </c>
    </row>
    <row r="14947" spans="1:19" ht="28" x14ac:dyDescent="0.15">
      <c r="A14947" s="2">
        <f>HYPERLINK("https://open-school.uspishnemisto.com.ua/school/710292/", 710292)</f>
        <v>710292</v>
      </c>
      <c r="B14947" s="3" t="s">
        <v>75378</v>
      </c>
      <c r="C14947" s="3" t="s">
        <v>31</v>
      </c>
      <c r="D14947" s="3" t="s">
        <v>175</v>
      </c>
      <c r="E14947" s="4" t="s">
        <v>22</v>
      </c>
      <c r="F14947" s="4" t="s">
        <v>75379</v>
      </c>
      <c r="G14947" s="4" t="s">
        <v>75380</v>
      </c>
      <c r="H14947" s="3" t="s">
        <v>73938</v>
      </c>
      <c r="I14947" s="3" t="s">
        <v>75381</v>
      </c>
      <c r="J14947" s="3" t="s">
        <v>75382</v>
      </c>
      <c r="K14947" s="3" t="s">
        <v>75383</v>
      </c>
      <c r="L14947" s="3" t="s">
        <v>75384</v>
      </c>
      <c r="M14947" s="4"/>
      <c r="N14947" s="3" t="s">
        <v>37</v>
      </c>
      <c r="O14947" s="3" t="s">
        <v>52</v>
      </c>
      <c r="P14947" s="5">
        <v>1</v>
      </c>
      <c r="Q14947" s="5">
        <v>25</v>
      </c>
      <c r="R14947" s="5">
        <v>3</v>
      </c>
      <c r="S14947" s="5">
        <v>34</v>
      </c>
    </row>
    <row r="14948" spans="1:19" ht="70" x14ac:dyDescent="0.15">
      <c r="A14948" s="2">
        <f>HYPERLINK("https://open-school.uspishnemisto.com.ua/school/710293/", 710293)</f>
        <v>710293</v>
      </c>
      <c r="B14948" s="3" t="s">
        <v>75385</v>
      </c>
      <c r="C14948" s="3" t="s">
        <v>54</v>
      </c>
      <c r="D14948" s="3" t="s">
        <v>175</v>
      </c>
      <c r="E14948" s="4" t="s">
        <v>22</v>
      </c>
      <c r="F14948" s="4" t="s">
        <v>75386</v>
      </c>
      <c r="G14948" s="4" t="s">
        <v>75387</v>
      </c>
      <c r="H14948" s="3" t="s">
        <v>73938</v>
      </c>
      <c r="I14948" s="3" t="s">
        <v>11532</v>
      </c>
      <c r="J14948" s="3" t="s">
        <v>36991</v>
      </c>
      <c r="K14948" s="3" t="s">
        <v>75388</v>
      </c>
      <c r="L14948" s="3"/>
      <c r="M14948" s="4"/>
      <c r="N14948" s="3" t="s">
        <v>37</v>
      </c>
      <c r="O14948" s="3" t="s">
        <v>52</v>
      </c>
      <c r="P14948" s="5">
        <v>0</v>
      </c>
      <c r="Q14948" s="5">
        <v>0</v>
      </c>
      <c r="R14948" s="5">
        <v>2</v>
      </c>
      <c r="S14948" s="5">
        <v>27</v>
      </c>
    </row>
    <row r="14949" spans="1:19" ht="70" x14ac:dyDescent="0.15">
      <c r="A14949" s="2">
        <f>HYPERLINK("https://open-school.uspishnemisto.com.ua/school/710294/", 710294)</f>
        <v>710294</v>
      </c>
      <c r="B14949" s="3" t="s">
        <v>75389</v>
      </c>
      <c r="C14949" s="3" t="s">
        <v>31</v>
      </c>
      <c r="D14949" s="3"/>
      <c r="E14949" s="4" t="s">
        <v>22</v>
      </c>
      <c r="F14949" s="4" t="s">
        <v>75390</v>
      </c>
      <c r="G14949" s="4" t="s">
        <v>75391</v>
      </c>
      <c r="H14949" s="3" t="s">
        <v>73938</v>
      </c>
      <c r="I14949" s="3" t="s">
        <v>75392</v>
      </c>
      <c r="J14949" s="3" t="s">
        <v>2578</v>
      </c>
      <c r="K14949" s="3" t="s">
        <v>75393</v>
      </c>
      <c r="L14949" s="3"/>
      <c r="M14949" s="4"/>
      <c r="N14949" s="3" t="s">
        <v>37</v>
      </c>
      <c r="O14949" s="3" t="s">
        <v>52</v>
      </c>
      <c r="P14949" s="5">
        <v>0</v>
      </c>
      <c r="Q14949" s="5">
        <v>0</v>
      </c>
      <c r="R14949" s="5">
        <v>9</v>
      </c>
      <c r="S14949" s="5">
        <v>60</v>
      </c>
    </row>
    <row r="14950" spans="1:19" ht="28" x14ac:dyDescent="0.15">
      <c r="A14950" s="2">
        <f>HYPERLINK("https://open-school.uspishnemisto.com.ua/school/710295/", 710295)</f>
        <v>710295</v>
      </c>
      <c r="B14950" s="3" t="s">
        <v>75394</v>
      </c>
      <c r="C14950" s="3" t="s">
        <v>54</v>
      </c>
      <c r="D14950" s="3" t="s">
        <v>60</v>
      </c>
      <c r="E14950" s="4" t="s">
        <v>22</v>
      </c>
      <c r="F14950" s="4" t="s">
        <v>75351</v>
      </c>
      <c r="G14950" s="4" t="s">
        <v>75395</v>
      </c>
      <c r="H14950" s="3" t="s">
        <v>73938</v>
      </c>
      <c r="I14950" s="3" t="s">
        <v>46823</v>
      </c>
      <c r="J14950" s="3" t="s">
        <v>12836</v>
      </c>
      <c r="K14950" s="3" t="s">
        <v>75396</v>
      </c>
      <c r="L14950" s="3"/>
      <c r="M14950" s="4"/>
      <c r="N14950" s="3" t="s">
        <v>37</v>
      </c>
      <c r="O14950" s="3" t="s">
        <v>52</v>
      </c>
      <c r="P14950" s="5">
        <v>1</v>
      </c>
      <c r="Q14950" s="5">
        <v>11</v>
      </c>
      <c r="R14950" s="5">
        <v>0</v>
      </c>
      <c r="S14950" s="5">
        <v>9</v>
      </c>
    </row>
    <row r="14951" spans="1:19" ht="42" x14ac:dyDescent="0.15">
      <c r="A14951" s="2">
        <f>HYPERLINK("https://open-school.uspishnemisto.com.ua/school/710296/", 710296)</f>
        <v>710296</v>
      </c>
      <c r="B14951" s="3" t="s">
        <v>75397</v>
      </c>
      <c r="C14951" s="3" t="s">
        <v>54</v>
      </c>
      <c r="D14951" s="3" t="s">
        <v>175</v>
      </c>
      <c r="E14951" s="4" t="s">
        <v>22</v>
      </c>
      <c r="F14951" s="4" t="s">
        <v>75398</v>
      </c>
      <c r="G14951" s="4" t="s">
        <v>75399</v>
      </c>
      <c r="H14951" s="3" t="s">
        <v>73938</v>
      </c>
      <c r="I14951" s="3" t="s">
        <v>75400</v>
      </c>
      <c r="J14951" s="3" t="s">
        <v>2191</v>
      </c>
      <c r="K14951" s="3" t="s">
        <v>75401</v>
      </c>
      <c r="L14951" s="3" t="s">
        <v>75402</v>
      </c>
      <c r="M14951" s="4"/>
      <c r="N14951" s="3" t="s">
        <v>37</v>
      </c>
      <c r="O14951" s="3" t="s">
        <v>52</v>
      </c>
      <c r="P14951" s="5">
        <v>7</v>
      </c>
      <c r="Q14951" s="5">
        <v>55</v>
      </c>
      <c r="R14951" s="5">
        <v>7</v>
      </c>
      <c r="S14951" s="5">
        <v>48</v>
      </c>
    </row>
    <row r="14952" spans="1:19" ht="42" x14ac:dyDescent="0.15">
      <c r="A14952" s="2">
        <f>HYPERLINK("https://open-school.uspishnemisto.com.ua/school/710297/", 710297)</f>
        <v>710297</v>
      </c>
      <c r="B14952" s="3" t="s">
        <v>75403</v>
      </c>
      <c r="C14952" s="3" t="s">
        <v>31</v>
      </c>
      <c r="D14952" s="3" t="s">
        <v>32</v>
      </c>
      <c r="E14952" s="4" t="s">
        <v>22</v>
      </c>
      <c r="F14952" s="4" t="s">
        <v>75404</v>
      </c>
      <c r="G14952" s="4" t="s">
        <v>75405</v>
      </c>
      <c r="H14952" s="3" t="s">
        <v>73938</v>
      </c>
      <c r="I14952" s="3" t="s">
        <v>75406</v>
      </c>
      <c r="J14952" s="3" t="s">
        <v>73787</v>
      </c>
      <c r="K14952" s="3" t="s">
        <v>75407</v>
      </c>
      <c r="L14952" s="3"/>
      <c r="M14952" s="4"/>
      <c r="N14952" s="3" t="s">
        <v>37</v>
      </c>
      <c r="O14952" s="3" t="s">
        <v>52</v>
      </c>
      <c r="P14952" s="5">
        <v>11</v>
      </c>
      <c r="Q14952" s="5">
        <v>220</v>
      </c>
      <c r="R14952" s="5">
        <v>11</v>
      </c>
      <c r="S14952" s="5">
        <v>217</v>
      </c>
    </row>
    <row r="14953" spans="1:19" ht="56" x14ac:dyDescent="0.15">
      <c r="A14953" s="2">
        <f>HYPERLINK("https://open-school.uspishnemisto.com.ua/school/710298/", 710298)</f>
        <v>710298</v>
      </c>
      <c r="B14953" s="3" t="s">
        <v>75408</v>
      </c>
      <c r="C14953" s="3" t="s">
        <v>54</v>
      </c>
      <c r="D14953" s="3" t="s">
        <v>175</v>
      </c>
      <c r="E14953" s="4" t="s">
        <v>22</v>
      </c>
      <c r="F14953" s="4"/>
      <c r="G14953" s="4" t="s">
        <v>75409</v>
      </c>
      <c r="H14953" s="3" t="s">
        <v>73938</v>
      </c>
      <c r="I14953" s="3" t="s">
        <v>2296</v>
      </c>
      <c r="J14953" s="3" t="s">
        <v>75410</v>
      </c>
      <c r="K14953" s="3" t="s">
        <v>75411</v>
      </c>
      <c r="L14953" s="3" t="s">
        <v>75412</v>
      </c>
      <c r="M14953" s="4"/>
      <c r="N14953" s="3" t="s">
        <v>37</v>
      </c>
      <c r="O14953" s="3" t="s">
        <v>52</v>
      </c>
      <c r="P14953" s="5">
        <v>0</v>
      </c>
      <c r="Q14953" s="5">
        <v>0</v>
      </c>
      <c r="R14953" s="5">
        <v>7</v>
      </c>
      <c r="S14953" s="5">
        <v>61</v>
      </c>
    </row>
    <row r="14954" spans="1:19" ht="42" x14ac:dyDescent="0.15">
      <c r="A14954" s="2">
        <f>HYPERLINK("https://open-school.uspishnemisto.com.ua/school/710299/", 710299)</f>
        <v>710299</v>
      </c>
      <c r="B14954" s="3" t="s">
        <v>75413</v>
      </c>
      <c r="C14954" s="3" t="s">
        <v>54</v>
      </c>
      <c r="D14954" s="3" t="s">
        <v>32</v>
      </c>
      <c r="E14954" s="4" t="s">
        <v>22</v>
      </c>
      <c r="F14954" s="4" t="s">
        <v>75414</v>
      </c>
      <c r="G14954" s="4" t="s">
        <v>75415</v>
      </c>
      <c r="H14954" s="3" t="s">
        <v>73938</v>
      </c>
      <c r="I14954" s="3" t="s">
        <v>75416</v>
      </c>
      <c r="J14954" s="3" t="s">
        <v>75417</v>
      </c>
      <c r="K14954" s="3" t="s">
        <v>75418</v>
      </c>
      <c r="L14954" s="3"/>
      <c r="M14954" s="4"/>
      <c r="N14954" s="3" t="s">
        <v>37</v>
      </c>
      <c r="O14954" s="3" t="s">
        <v>52</v>
      </c>
      <c r="P14954" s="5">
        <v>11</v>
      </c>
      <c r="Q14954" s="5">
        <v>95</v>
      </c>
      <c r="R14954" s="5">
        <v>10</v>
      </c>
      <c r="S14954" s="5">
        <v>86</v>
      </c>
    </row>
    <row r="14955" spans="1:19" ht="28" x14ac:dyDescent="0.15">
      <c r="A14955" s="2">
        <f>HYPERLINK("https://open-school.uspishnemisto.com.ua/school/710300/", 710300)</f>
        <v>710300</v>
      </c>
      <c r="B14955" s="3" t="s">
        <v>75419</v>
      </c>
      <c r="C14955" s="3" t="s">
        <v>54</v>
      </c>
      <c r="D14955" s="3" t="s">
        <v>175</v>
      </c>
      <c r="E14955" s="4" t="s">
        <v>22</v>
      </c>
      <c r="F14955" s="4" t="s">
        <v>75420</v>
      </c>
      <c r="G14955" s="4" t="s">
        <v>75421</v>
      </c>
      <c r="H14955" s="3" t="s">
        <v>73938</v>
      </c>
      <c r="I14955" s="3" t="s">
        <v>75422</v>
      </c>
      <c r="J14955" s="3" t="s">
        <v>33037</v>
      </c>
      <c r="K14955" s="3" t="s">
        <v>75423</v>
      </c>
      <c r="L14955" s="3"/>
      <c r="M14955" s="4"/>
      <c r="N14955" s="3" t="s">
        <v>37</v>
      </c>
      <c r="O14955" s="3" t="s">
        <v>52</v>
      </c>
      <c r="P14955" s="5">
        <v>8</v>
      </c>
      <c r="Q14955" s="5">
        <v>59</v>
      </c>
      <c r="R14955" s="5">
        <v>7</v>
      </c>
      <c r="S14955" s="5">
        <v>53</v>
      </c>
    </row>
    <row r="14956" spans="1:19" ht="42" x14ac:dyDescent="0.15">
      <c r="A14956" s="2">
        <f>HYPERLINK("https://open-school.uspishnemisto.com.ua/school/710301/", 710301)</f>
        <v>710301</v>
      </c>
      <c r="B14956" s="3" t="s">
        <v>75424</v>
      </c>
      <c r="C14956" s="3" t="s">
        <v>54</v>
      </c>
      <c r="D14956" s="3" t="s">
        <v>32</v>
      </c>
      <c r="E14956" s="4" t="s">
        <v>22</v>
      </c>
      <c r="F14956" s="4" t="s">
        <v>75425</v>
      </c>
      <c r="G14956" s="4" t="s">
        <v>75426</v>
      </c>
      <c r="H14956" s="3" t="s">
        <v>73938</v>
      </c>
      <c r="I14956" s="3" t="s">
        <v>75427</v>
      </c>
      <c r="J14956" s="3" t="s">
        <v>75428</v>
      </c>
      <c r="K14956" s="3" t="s">
        <v>75429</v>
      </c>
      <c r="L14956" s="3" t="s">
        <v>75430</v>
      </c>
      <c r="M14956" s="4"/>
      <c r="N14956" s="3" t="s">
        <v>37</v>
      </c>
      <c r="O14956" s="3" t="s">
        <v>52</v>
      </c>
      <c r="P14956" s="5">
        <v>9</v>
      </c>
      <c r="Q14956" s="5">
        <v>70</v>
      </c>
      <c r="R14956" s="5">
        <v>9</v>
      </c>
      <c r="S14956" s="5">
        <v>67</v>
      </c>
    </row>
    <row r="14957" spans="1:19" ht="42" x14ac:dyDescent="0.15">
      <c r="A14957" s="2">
        <f>HYPERLINK("https://open-school.uspishnemisto.com.ua/school/710302/", 710302)</f>
        <v>710302</v>
      </c>
      <c r="B14957" s="3" t="s">
        <v>75431</v>
      </c>
      <c r="C14957" s="3" t="s">
        <v>54</v>
      </c>
      <c r="D14957" s="3" t="s">
        <v>175</v>
      </c>
      <c r="E14957" s="4" t="s">
        <v>22</v>
      </c>
      <c r="F14957" s="4" t="s">
        <v>75432</v>
      </c>
      <c r="G14957" s="4" t="s">
        <v>75433</v>
      </c>
      <c r="H14957" s="3" t="s">
        <v>73938</v>
      </c>
      <c r="I14957" s="3" t="s">
        <v>35931</v>
      </c>
      <c r="J14957" s="3" t="s">
        <v>75434</v>
      </c>
      <c r="K14957" s="3" t="s">
        <v>75435</v>
      </c>
      <c r="L14957" s="3"/>
      <c r="M14957" s="4"/>
      <c r="N14957" s="3" t="s">
        <v>37</v>
      </c>
      <c r="O14957" s="3" t="s">
        <v>52</v>
      </c>
      <c r="P14957" s="5">
        <v>0</v>
      </c>
      <c r="Q14957" s="5">
        <v>0</v>
      </c>
      <c r="R14957" s="5">
        <v>8</v>
      </c>
      <c r="S14957" s="5">
        <v>52</v>
      </c>
    </row>
    <row r="14958" spans="1:19" ht="28" x14ac:dyDescent="0.15">
      <c r="A14958" s="2">
        <f>HYPERLINK("https://open-school.uspishnemisto.com.ua/school/710303/", 710303)</f>
        <v>710303</v>
      </c>
      <c r="B14958" s="3" t="s">
        <v>75436</v>
      </c>
      <c r="C14958" s="3" t="s">
        <v>31</v>
      </c>
      <c r="D14958" s="3" t="s">
        <v>175</v>
      </c>
      <c r="E14958" s="4" t="s">
        <v>22</v>
      </c>
      <c r="F14958" s="4" t="s">
        <v>75437</v>
      </c>
      <c r="G14958" s="4" t="s">
        <v>75438</v>
      </c>
      <c r="H14958" s="3" t="s">
        <v>73938</v>
      </c>
      <c r="I14958" s="3" t="s">
        <v>75439</v>
      </c>
      <c r="J14958" s="3" t="s">
        <v>1668</v>
      </c>
      <c r="K14958" s="3" t="s">
        <v>75440</v>
      </c>
      <c r="L14958" s="3" t="s">
        <v>75441</v>
      </c>
      <c r="M14958" s="4"/>
      <c r="N14958" s="3" t="s">
        <v>37</v>
      </c>
      <c r="O14958" s="3" t="s">
        <v>52</v>
      </c>
      <c r="P14958" s="5">
        <v>6</v>
      </c>
      <c r="Q14958" s="5">
        <v>37</v>
      </c>
      <c r="R14958" s="5">
        <v>5</v>
      </c>
      <c r="S14958" s="5">
        <v>36</v>
      </c>
    </row>
    <row r="14959" spans="1:19" ht="42" x14ac:dyDescent="0.15">
      <c r="A14959" s="2">
        <f>HYPERLINK("https://open-school.uspishnemisto.com.ua/school/710304/", 710304)</f>
        <v>710304</v>
      </c>
      <c r="B14959" s="3" t="s">
        <v>75442</v>
      </c>
      <c r="C14959" s="3" t="s">
        <v>54</v>
      </c>
      <c r="D14959" s="3" t="s">
        <v>175</v>
      </c>
      <c r="E14959" s="4" t="s">
        <v>22</v>
      </c>
      <c r="F14959" s="4" t="s">
        <v>75443</v>
      </c>
      <c r="G14959" s="4" t="s">
        <v>75444</v>
      </c>
      <c r="H14959" s="3" t="s">
        <v>73938</v>
      </c>
      <c r="I14959" s="3" t="s">
        <v>46306</v>
      </c>
      <c r="J14959" s="3" t="s">
        <v>12378</v>
      </c>
      <c r="K14959" s="3" t="s">
        <v>75445</v>
      </c>
      <c r="L14959" s="3" t="s">
        <v>75446</v>
      </c>
      <c r="M14959" s="4"/>
      <c r="N14959" s="3" t="s">
        <v>37</v>
      </c>
      <c r="O14959" s="3" t="s">
        <v>52</v>
      </c>
      <c r="P14959" s="5">
        <v>6</v>
      </c>
      <c r="Q14959" s="5">
        <v>39</v>
      </c>
      <c r="R14959" s="5">
        <v>4</v>
      </c>
      <c r="S14959" s="5">
        <v>35</v>
      </c>
    </row>
    <row r="14960" spans="1:19" ht="42" x14ac:dyDescent="0.15">
      <c r="A14960" s="2">
        <f>HYPERLINK("https://open-school.uspishnemisto.com.ua/school/710305/", 710305)</f>
        <v>710305</v>
      </c>
      <c r="B14960" s="3" t="s">
        <v>75447</v>
      </c>
      <c r="C14960" s="3" t="s">
        <v>31</v>
      </c>
      <c r="D14960" s="3" t="s">
        <v>32</v>
      </c>
      <c r="E14960" s="4" t="s">
        <v>22</v>
      </c>
      <c r="F14960" s="4" t="s">
        <v>75448</v>
      </c>
      <c r="G14960" s="4" t="s">
        <v>75449</v>
      </c>
      <c r="H14960" s="3" t="s">
        <v>73938</v>
      </c>
      <c r="I14960" s="3" t="s">
        <v>59675</v>
      </c>
      <c r="J14960" s="3" t="s">
        <v>466</v>
      </c>
      <c r="K14960" s="3" t="s">
        <v>75450</v>
      </c>
      <c r="L14960" s="3" t="s">
        <v>75451</v>
      </c>
      <c r="M14960" s="4"/>
      <c r="N14960" s="3" t="s">
        <v>37</v>
      </c>
      <c r="O14960" s="3" t="s">
        <v>52</v>
      </c>
      <c r="P14960" s="5">
        <v>11</v>
      </c>
      <c r="Q14960" s="5">
        <v>123</v>
      </c>
      <c r="R14960" s="5">
        <v>11</v>
      </c>
      <c r="S14960" s="5">
        <v>125</v>
      </c>
    </row>
    <row r="14961" spans="1:19" ht="42" x14ac:dyDescent="0.15">
      <c r="A14961" s="2">
        <f>HYPERLINK("https://open-school.uspishnemisto.com.ua/school/710306/", 710306)</f>
        <v>710306</v>
      </c>
      <c r="B14961" s="3" t="s">
        <v>75452</v>
      </c>
      <c r="C14961" s="3" t="s">
        <v>181</v>
      </c>
      <c r="D14961" s="3" t="s">
        <v>32</v>
      </c>
      <c r="E14961" s="4" t="s">
        <v>22</v>
      </c>
      <c r="F14961" s="4" t="s">
        <v>75453</v>
      </c>
      <c r="G14961" s="4" t="s">
        <v>75454</v>
      </c>
      <c r="H14961" s="3" t="s">
        <v>73938</v>
      </c>
      <c r="I14961" s="3" t="s">
        <v>75455</v>
      </c>
      <c r="J14961" s="3" t="s">
        <v>75456</v>
      </c>
      <c r="K14961" s="3" t="s">
        <v>75457</v>
      </c>
      <c r="L14961" s="3"/>
      <c r="M14961" s="4" t="s">
        <v>75458</v>
      </c>
      <c r="N14961" s="3" t="s">
        <v>37</v>
      </c>
      <c r="O14961" s="3" t="s">
        <v>52</v>
      </c>
      <c r="P14961" s="5">
        <v>19</v>
      </c>
      <c r="Q14961" s="5">
        <v>188</v>
      </c>
      <c r="R14961" s="5">
        <v>15</v>
      </c>
      <c r="S14961" s="5">
        <v>166</v>
      </c>
    </row>
    <row r="14962" spans="1:19" ht="28" x14ac:dyDescent="0.15">
      <c r="A14962" s="2">
        <f>HYPERLINK("https://open-school.uspishnemisto.com.ua/school/710307/", 710307)</f>
        <v>710307</v>
      </c>
      <c r="B14962" s="3" t="s">
        <v>75459</v>
      </c>
      <c r="C14962" s="3" t="s">
        <v>40</v>
      </c>
      <c r="D14962" s="3" t="s">
        <v>32</v>
      </c>
      <c r="E14962" s="4" t="s">
        <v>22</v>
      </c>
      <c r="F14962" s="4" t="s">
        <v>75453</v>
      </c>
      <c r="G14962" s="4" t="s">
        <v>75454</v>
      </c>
      <c r="H14962" s="3" t="s">
        <v>73938</v>
      </c>
      <c r="I14962" s="3" t="s">
        <v>75455</v>
      </c>
      <c r="J14962" s="3" t="s">
        <v>5606</v>
      </c>
      <c r="K14962" s="3" t="s">
        <v>75460</v>
      </c>
      <c r="L14962" s="3" t="s">
        <v>75461</v>
      </c>
      <c r="M14962" s="4"/>
      <c r="N14962" s="3" t="s">
        <v>37</v>
      </c>
      <c r="O14962" s="3" t="s">
        <v>197</v>
      </c>
      <c r="P14962" s="5">
        <v>15</v>
      </c>
      <c r="Q14962" s="5">
        <v>322</v>
      </c>
      <c r="R14962" s="5">
        <v>14</v>
      </c>
      <c r="S14962" s="5">
        <v>305</v>
      </c>
    </row>
    <row r="14963" spans="1:19" ht="56" x14ac:dyDescent="0.15">
      <c r="A14963" s="2">
        <f>HYPERLINK("https://open-school.uspishnemisto.com.ua/school/710308/", 710308)</f>
        <v>710308</v>
      </c>
      <c r="B14963" s="3" t="s">
        <v>75462</v>
      </c>
      <c r="C14963" s="3" t="s">
        <v>244</v>
      </c>
      <c r="D14963" s="3" t="s">
        <v>32</v>
      </c>
      <c r="E14963" s="4" t="s">
        <v>22</v>
      </c>
      <c r="F14963" s="4" t="s">
        <v>75463</v>
      </c>
      <c r="G14963" s="4" t="s">
        <v>75454</v>
      </c>
      <c r="H14963" s="3" t="s">
        <v>73938</v>
      </c>
      <c r="I14963" s="3" t="s">
        <v>75455</v>
      </c>
      <c r="J14963" s="3" t="s">
        <v>75464</v>
      </c>
      <c r="K14963" s="3" t="s">
        <v>75465</v>
      </c>
      <c r="L14963" s="3" t="s">
        <v>75466</v>
      </c>
      <c r="M14963" s="4"/>
      <c r="N14963" s="3" t="s">
        <v>37</v>
      </c>
      <c r="O14963" s="3" t="s">
        <v>2740</v>
      </c>
      <c r="P14963" s="5">
        <v>15</v>
      </c>
      <c r="Q14963" s="5">
        <v>298</v>
      </c>
      <c r="R14963" s="5">
        <v>15</v>
      </c>
      <c r="S14963" s="5">
        <v>294</v>
      </c>
    </row>
    <row r="14964" spans="1:19" ht="42" x14ac:dyDescent="0.15">
      <c r="A14964" s="2">
        <f>HYPERLINK("https://open-school.uspishnemisto.com.ua/school/710309/", 710309)</f>
        <v>710309</v>
      </c>
      <c r="B14964" s="3" t="s">
        <v>75467</v>
      </c>
      <c r="C14964" s="3" t="s">
        <v>31</v>
      </c>
      <c r="D14964" s="3" t="s">
        <v>32</v>
      </c>
      <c r="E14964" s="4" t="s">
        <v>22</v>
      </c>
      <c r="F14964" s="4" t="s">
        <v>75468</v>
      </c>
      <c r="G14964" s="4" t="s">
        <v>75454</v>
      </c>
      <c r="H14964" s="3" t="s">
        <v>73938</v>
      </c>
      <c r="I14964" s="3" t="s">
        <v>75455</v>
      </c>
      <c r="J14964" s="3" t="s">
        <v>75469</v>
      </c>
      <c r="K14964" s="3" t="s">
        <v>75470</v>
      </c>
      <c r="L14964" s="3" t="s">
        <v>75471</v>
      </c>
      <c r="M14964" s="4"/>
      <c r="N14964" s="3" t="s">
        <v>37</v>
      </c>
      <c r="O14964" s="3" t="s">
        <v>46</v>
      </c>
      <c r="P14964" s="5">
        <v>16</v>
      </c>
      <c r="Q14964" s="5">
        <v>327</v>
      </c>
      <c r="R14964" s="5">
        <v>15</v>
      </c>
      <c r="S14964" s="5">
        <v>330</v>
      </c>
    </row>
    <row r="14965" spans="1:19" ht="28" x14ac:dyDescent="0.15">
      <c r="A14965" s="2">
        <f>HYPERLINK("https://open-school.uspishnemisto.com.ua/school/710310/", 710310)</f>
        <v>710310</v>
      </c>
      <c r="B14965" s="3" t="s">
        <v>75472</v>
      </c>
      <c r="C14965" s="3" t="s">
        <v>31</v>
      </c>
      <c r="D14965" s="3" t="s">
        <v>32</v>
      </c>
      <c r="E14965" s="4" t="s">
        <v>22</v>
      </c>
      <c r="F14965" s="4" t="s">
        <v>75453</v>
      </c>
      <c r="G14965" s="4" t="s">
        <v>75454</v>
      </c>
      <c r="H14965" s="3" t="s">
        <v>73938</v>
      </c>
      <c r="I14965" s="3" t="s">
        <v>75455</v>
      </c>
      <c r="J14965" s="3" t="s">
        <v>75473</v>
      </c>
      <c r="K14965" s="3" t="s">
        <v>75474</v>
      </c>
      <c r="L14965" s="3"/>
      <c r="M14965" s="4"/>
      <c r="N14965" s="3" t="s">
        <v>37</v>
      </c>
      <c r="O14965" s="3" t="s">
        <v>46</v>
      </c>
      <c r="P14965" s="5">
        <v>31</v>
      </c>
      <c r="Q14965" s="5">
        <v>826</v>
      </c>
      <c r="R14965" s="5">
        <v>33</v>
      </c>
      <c r="S14965" s="5">
        <v>826</v>
      </c>
    </row>
    <row r="14966" spans="1:19" ht="28" x14ac:dyDescent="0.15">
      <c r="A14966" s="2">
        <f>HYPERLINK("https://open-school.uspishnemisto.com.ua/school/710311/", 710311)</f>
        <v>710311</v>
      </c>
      <c r="B14966" s="3" t="s">
        <v>75475</v>
      </c>
      <c r="C14966" s="3" t="s">
        <v>188</v>
      </c>
      <c r="D14966" s="3" t="s">
        <v>32</v>
      </c>
      <c r="E14966" s="4" t="s">
        <v>22</v>
      </c>
      <c r="F14966" s="4" t="s">
        <v>75453</v>
      </c>
      <c r="G14966" s="4" t="s">
        <v>75454</v>
      </c>
      <c r="H14966" s="3" t="s">
        <v>73938</v>
      </c>
      <c r="I14966" s="3" t="s">
        <v>75455</v>
      </c>
      <c r="J14966" s="3" t="s">
        <v>75476</v>
      </c>
      <c r="K14966" s="3" t="s">
        <v>75477</v>
      </c>
      <c r="L14966" s="3" t="s">
        <v>75478</v>
      </c>
      <c r="M14966" s="4"/>
      <c r="N14966" s="3" t="s">
        <v>37</v>
      </c>
      <c r="O14966" s="3" t="s">
        <v>52</v>
      </c>
      <c r="P14966" s="5">
        <v>5</v>
      </c>
      <c r="Q14966" s="5">
        <v>118</v>
      </c>
      <c r="R14966" s="5">
        <v>5</v>
      </c>
      <c r="S14966" s="5">
        <v>116</v>
      </c>
    </row>
    <row r="14967" spans="1:19" ht="42" x14ac:dyDescent="0.15">
      <c r="A14967" s="2">
        <f>HYPERLINK("https://open-school.uspishnemisto.com.ua/school/710312/", 710312)</f>
        <v>710312</v>
      </c>
      <c r="B14967" s="3" t="s">
        <v>75479</v>
      </c>
      <c r="C14967" s="3" t="s">
        <v>54</v>
      </c>
      <c r="D14967" s="3" t="s">
        <v>32</v>
      </c>
      <c r="E14967" s="4" t="s">
        <v>22</v>
      </c>
      <c r="F14967" s="4" t="s">
        <v>75480</v>
      </c>
      <c r="G14967" s="4" t="s">
        <v>75481</v>
      </c>
      <c r="H14967" s="3" t="s">
        <v>73938</v>
      </c>
      <c r="I14967" s="3" t="s">
        <v>75482</v>
      </c>
      <c r="J14967" s="3" t="s">
        <v>75483</v>
      </c>
      <c r="K14967" s="3" t="s">
        <v>75484</v>
      </c>
      <c r="L14967" s="3" t="s">
        <v>75485</v>
      </c>
      <c r="M14967" s="4"/>
      <c r="N14967" s="3" t="s">
        <v>37</v>
      </c>
      <c r="O14967" s="3" t="s">
        <v>46</v>
      </c>
      <c r="P14967" s="5">
        <v>11</v>
      </c>
      <c r="Q14967" s="5">
        <v>150</v>
      </c>
      <c r="R14967" s="5">
        <v>11</v>
      </c>
      <c r="S14967" s="5">
        <v>151</v>
      </c>
    </row>
    <row r="14968" spans="1:19" ht="42" x14ac:dyDescent="0.15">
      <c r="A14968" s="2">
        <f>HYPERLINK("https://open-school.uspishnemisto.com.ua/school/710313/", 710313)</f>
        <v>710313</v>
      </c>
      <c r="B14968" s="3" t="s">
        <v>75486</v>
      </c>
      <c r="C14968" s="3" t="s">
        <v>31</v>
      </c>
      <c r="D14968" s="3" t="s">
        <v>32</v>
      </c>
      <c r="E14968" s="4" t="s">
        <v>22</v>
      </c>
      <c r="F14968" s="4" t="s">
        <v>75487</v>
      </c>
      <c r="G14968" s="4" t="s">
        <v>75488</v>
      </c>
      <c r="H14968" s="3" t="s">
        <v>73938</v>
      </c>
      <c r="I14968" s="3" t="s">
        <v>75489</v>
      </c>
      <c r="J14968" s="3" t="s">
        <v>33315</v>
      </c>
      <c r="K14968" s="3" t="s">
        <v>75490</v>
      </c>
      <c r="L14968" s="3" t="s">
        <v>75491</v>
      </c>
      <c r="M14968" s="4"/>
      <c r="N14968" s="3" t="s">
        <v>37</v>
      </c>
      <c r="O14968" s="3" t="s">
        <v>38</v>
      </c>
      <c r="P14968" s="5">
        <v>12</v>
      </c>
      <c r="Q14968" s="5">
        <v>257</v>
      </c>
      <c r="R14968" s="5">
        <v>12</v>
      </c>
      <c r="S14968" s="5">
        <v>258</v>
      </c>
    </row>
    <row r="14969" spans="1:19" ht="42" x14ac:dyDescent="0.15">
      <c r="A14969" s="2">
        <f>HYPERLINK("https://open-school.uspishnemisto.com.ua/school/710314/", 710314)</f>
        <v>710314</v>
      </c>
      <c r="B14969" s="3" t="s">
        <v>75492</v>
      </c>
      <c r="C14969" s="3" t="s">
        <v>54</v>
      </c>
      <c r="D14969" s="3" t="s">
        <v>32</v>
      </c>
      <c r="E14969" s="4" t="s">
        <v>22</v>
      </c>
      <c r="F14969" s="4" t="s">
        <v>75493</v>
      </c>
      <c r="G14969" s="4" t="s">
        <v>75494</v>
      </c>
      <c r="H14969" s="3" t="s">
        <v>73938</v>
      </c>
      <c r="I14969" s="3" t="s">
        <v>75495</v>
      </c>
      <c r="J14969" s="3" t="s">
        <v>75496</v>
      </c>
      <c r="K14969" s="3" t="s">
        <v>75497</v>
      </c>
      <c r="L14969" s="3"/>
      <c r="M14969" s="4"/>
      <c r="N14969" s="3" t="s">
        <v>37</v>
      </c>
      <c r="O14969" s="3" t="s">
        <v>52</v>
      </c>
      <c r="P14969" s="5">
        <v>9</v>
      </c>
      <c r="Q14969" s="5">
        <v>67</v>
      </c>
      <c r="R14969" s="5">
        <v>9</v>
      </c>
      <c r="S14969" s="5">
        <v>73</v>
      </c>
    </row>
    <row r="14970" spans="1:19" ht="42" x14ac:dyDescent="0.15">
      <c r="A14970" s="2">
        <f>HYPERLINK("https://open-school.uspishnemisto.com.ua/school/710315/", 710315)</f>
        <v>710315</v>
      </c>
      <c r="B14970" s="3" t="s">
        <v>75498</v>
      </c>
      <c r="C14970" s="3" t="s">
        <v>54</v>
      </c>
      <c r="D14970" s="3" t="s">
        <v>32</v>
      </c>
      <c r="E14970" s="4" t="s">
        <v>22</v>
      </c>
      <c r="F14970" s="4" t="s">
        <v>75499</v>
      </c>
      <c r="G14970" s="4" t="s">
        <v>75500</v>
      </c>
      <c r="H14970" s="3" t="s">
        <v>73938</v>
      </c>
      <c r="I14970" s="3" t="s">
        <v>75501</v>
      </c>
      <c r="J14970" s="3" t="s">
        <v>75502</v>
      </c>
      <c r="K14970" s="3" t="s">
        <v>75503</v>
      </c>
      <c r="L14970" s="3"/>
      <c r="M14970" s="4"/>
      <c r="N14970" s="3" t="s">
        <v>37</v>
      </c>
      <c r="O14970" s="3" t="s">
        <v>52</v>
      </c>
      <c r="P14970" s="5">
        <v>8</v>
      </c>
      <c r="Q14970" s="5">
        <v>63</v>
      </c>
      <c r="R14970" s="5">
        <v>8</v>
      </c>
      <c r="S14970" s="5">
        <v>65</v>
      </c>
    </row>
    <row r="14971" spans="1:19" ht="42" x14ac:dyDescent="0.15">
      <c r="A14971" s="2">
        <f>HYPERLINK("https://open-school.uspishnemisto.com.ua/school/710316/", 710316)</f>
        <v>710316</v>
      </c>
      <c r="B14971" s="3" t="s">
        <v>75504</v>
      </c>
      <c r="C14971" s="3" t="s">
        <v>54</v>
      </c>
      <c r="D14971" s="3" t="s">
        <v>175</v>
      </c>
      <c r="E14971" s="4" t="s">
        <v>22</v>
      </c>
      <c r="F14971" s="4" t="s">
        <v>75505</v>
      </c>
      <c r="G14971" s="4" t="s">
        <v>75506</v>
      </c>
      <c r="H14971" s="3" t="s">
        <v>73938</v>
      </c>
      <c r="I14971" s="3" t="s">
        <v>3351</v>
      </c>
      <c r="J14971" s="3" t="s">
        <v>12389</v>
      </c>
      <c r="K14971" s="3"/>
      <c r="L14971" s="3"/>
      <c r="M14971" s="4"/>
      <c r="N14971" s="3" t="s">
        <v>37</v>
      </c>
      <c r="O14971" s="3" t="s">
        <v>52</v>
      </c>
      <c r="P14971" s="5">
        <v>1</v>
      </c>
      <c r="Q14971" s="5">
        <v>28</v>
      </c>
      <c r="R14971" s="5">
        <v>1</v>
      </c>
      <c r="S14971" s="5">
        <v>29</v>
      </c>
    </row>
    <row r="14972" spans="1:19" ht="42" x14ac:dyDescent="0.15">
      <c r="A14972" s="2">
        <f>HYPERLINK("https://open-school.uspishnemisto.com.ua/school/710317/", 710317)</f>
        <v>710317</v>
      </c>
      <c r="B14972" s="3" t="s">
        <v>75507</v>
      </c>
      <c r="C14972" s="3" t="s">
        <v>54</v>
      </c>
      <c r="D14972" s="3" t="s">
        <v>175</v>
      </c>
      <c r="E14972" s="4" t="s">
        <v>22</v>
      </c>
      <c r="F14972" s="4" t="s">
        <v>75508</v>
      </c>
      <c r="G14972" s="4" t="s">
        <v>75509</v>
      </c>
      <c r="H14972" s="3" t="s">
        <v>73938</v>
      </c>
      <c r="I14972" s="3" t="s">
        <v>7441</v>
      </c>
      <c r="J14972" s="3" t="s">
        <v>466</v>
      </c>
      <c r="K14972" s="3" t="s">
        <v>75510</v>
      </c>
      <c r="L14972" s="3"/>
      <c r="M14972" s="4"/>
      <c r="N14972" s="3" t="s">
        <v>37</v>
      </c>
      <c r="O14972" s="3" t="s">
        <v>52</v>
      </c>
      <c r="P14972" s="5">
        <v>9</v>
      </c>
      <c r="Q14972" s="5">
        <v>66</v>
      </c>
      <c r="R14972" s="5">
        <v>9</v>
      </c>
      <c r="S14972" s="5">
        <v>75</v>
      </c>
    </row>
    <row r="14973" spans="1:19" ht="56" x14ac:dyDescent="0.15">
      <c r="A14973" s="2">
        <f>HYPERLINK("https://open-school.uspishnemisto.com.ua/school/710318/", 710318)</f>
        <v>710318</v>
      </c>
      <c r="B14973" s="3" t="s">
        <v>75511</v>
      </c>
      <c r="C14973" s="3" t="s">
        <v>54</v>
      </c>
      <c r="D14973" s="3" t="s">
        <v>32</v>
      </c>
      <c r="E14973" s="4" t="s">
        <v>22</v>
      </c>
      <c r="F14973" s="4" t="s">
        <v>75512</v>
      </c>
      <c r="G14973" s="4" t="s">
        <v>75513</v>
      </c>
      <c r="H14973" s="3" t="s">
        <v>73938</v>
      </c>
      <c r="I14973" s="3" t="s">
        <v>75514</v>
      </c>
      <c r="J14973" s="3" t="s">
        <v>75515</v>
      </c>
      <c r="K14973" s="3" t="s">
        <v>75516</v>
      </c>
      <c r="L14973" s="3"/>
      <c r="M14973" s="4"/>
      <c r="N14973" s="3" t="s">
        <v>37</v>
      </c>
      <c r="O14973" s="3" t="s">
        <v>52</v>
      </c>
      <c r="P14973" s="5">
        <v>10</v>
      </c>
      <c r="Q14973" s="5">
        <v>101</v>
      </c>
      <c r="R14973" s="5">
        <v>11</v>
      </c>
      <c r="S14973" s="5">
        <v>107</v>
      </c>
    </row>
    <row r="14974" spans="1:19" ht="42" x14ac:dyDescent="0.15">
      <c r="A14974" s="2">
        <f>HYPERLINK("https://open-school.uspishnemisto.com.ua/school/710319/", 710319)</f>
        <v>710319</v>
      </c>
      <c r="B14974" s="3" t="s">
        <v>75517</v>
      </c>
      <c r="C14974" s="3" t="s">
        <v>54</v>
      </c>
      <c r="D14974" s="3" t="s">
        <v>60</v>
      </c>
      <c r="E14974" s="4" t="s">
        <v>22</v>
      </c>
      <c r="F14974" s="4" t="s">
        <v>75518</v>
      </c>
      <c r="G14974" s="4" t="s">
        <v>75519</v>
      </c>
      <c r="H14974" s="3" t="s">
        <v>73938</v>
      </c>
      <c r="I14974" s="3" t="s">
        <v>75520</v>
      </c>
      <c r="J14974" s="3" t="s">
        <v>75521</v>
      </c>
      <c r="K14974" s="3" t="s">
        <v>75522</v>
      </c>
      <c r="L14974" s="3"/>
      <c r="M14974" s="4"/>
      <c r="N14974" s="3" t="s">
        <v>37</v>
      </c>
      <c r="O14974" s="3" t="s">
        <v>52</v>
      </c>
      <c r="P14974" s="5">
        <v>0</v>
      </c>
      <c r="Q14974" s="5">
        <v>12</v>
      </c>
      <c r="R14974" s="5">
        <v>2</v>
      </c>
      <c r="S14974" s="5">
        <v>12</v>
      </c>
    </row>
    <row r="14975" spans="1:19" ht="70" x14ac:dyDescent="0.15">
      <c r="A14975" s="2">
        <f>HYPERLINK("https://open-school.uspishnemisto.com.ua/school/710320/", 710320)</f>
        <v>710320</v>
      </c>
      <c r="B14975" s="3" t="s">
        <v>75523</v>
      </c>
      <c r="C14975" s="3" t="s">
        <v>54</v>
      </c>
      <c r="D14975" s="3" t="s">
        <v>32</v>
      </c>
      <c r="E14975" s="4" t="s">
        <v>22</v>
      </c>
      <c r="F14975" s="4" t="s">
        <v>75524</v>
      </c>
      <c r="G14975" s="4" t="s">
        <v>75525</v>
      </c>
      <c r="H14975" s="3" t="s">
        <v>73938</v>
      </c>
      <c r="I14975" s="3" t="s">
        <v>74875</v>
      </c>
      <c r="J14975" s="3" t="s">
        <v>792</v>
      </c>
      <c r="K14975" s="3" t="s">
        <v>75526</v>
      </c>
      <c r="L14975" s="3" t="s">
        <v>75527</v>
      </c>
      <c r="M14975" s="4"/>
      <c r="N14975" s="3" t="s">
        <v>37</v>
      </c>
      <c r="O14975" s="3" t="s">
        <v>52</v>
      </c>
      <c r="P14975" s="5">
        <v>10</v>
      </c>
      <c r="Q14975" s="5">
        <v>114</v>
      </c>
      <c r="R14975" s="5">
        <v>11</v>
      </c>
      <c r="S14975" s="5">
        <v>109</v>
      </c>
    </row>
    <row r="14976" spans="1:19" ht="56" x14ac:dyDescent="0.15">
      <c r="A14976" s="2">
        <f>HYPERLINK("https://open-school.uspishnemisto.com.ua/school/710321/", 710321)</f>
        <v>710321</v>
      </c>
      <c r="B14976" s="3" t="s">
        <v>75528</v>
      </c>
      <c r="C14976" s="3" t="s">
        <v>54</v>
      </c>
      <c r="D14976" s="3" t="s">
        <v>32</v>
      </c>
      <c r="E14976" s="4" t="s">
        <v>22</v>
      </c>
      <c r="F14976" s="4" t="s">
        <v>75529</v>
      </c>
      <c r="G14976" s="4" t="s">
        <v>75530</v>
      </c>
      <c r="H14976" s="3" t="s">
        <v>73938</v>
      </c>
      <c r="I14976" s="3" t="s">
        <v>75531</v>
      </c>
      <c r="J14976" s="3" t="s">
        <v>44017</v>
      </c>
      <c r="K14976" s="3" t="s">
        <v>22348</v>
      </c>
      <c r="L14976" s="3"/>
      <c r="M14976" s="4"/>
      <c r="N14976" s="3" t="s">
        <v>37</v>
      </c>
      <c r="O14976" s="3" t="s">
        <v>52</v>
      </c>
      <c r="P14976" s="5">
        <v>8</v>
      </c>
      <c r="Q14976" s="5">
        <v>78</v>
      </c>
      <c r="R14976" s="5">
        <v>8</v>
      </c>
      <c r="S14976" s="5">
        <v>82</v>
      </c>
    </row>
    <row r="14977" spans="1:19" ht="42" x14ac:dyDescent="0.15">
      <c r="A14977" s="2">
        <f>HYPERLINK("https://open-school.uspishnemisto.com.ua/school/710322/", 710322)</f>
        <v>710322</v>
      </c>
      <c r="B14977" s="3" t="s">
        <v>75532</v>
      </c>
      <c r="C14977" s="3" t="s">
        <v>54</v>
      </c>
      <c r="D14977" s="3" t="s">
        <v>32</v>
      </c>
      <c r="E14977" s="4" t="s">
        <v>22</v>
      </c>
      <c r="F14977" s="4" t="s">
        <v>75533</v>
      </c>
      <c r="G14977" s="4" t="s">
        <v>75534</v>
      </c>
      <c r="H14977" s="3" t="s">
        <v>73938</v>
      </c>
      <c r="I14977" s="3" t="s">
        <v>44137</v>
      </c>
      <c r="J14977" s="3" t="s">
        <v>3146</v>
      </c>
      <c r="K14977" s="3" t="s">
        <v>75535</v>
      </c>
      <c r="L14977" s="3"/>
      <c r="M14977" s="4"/>
      <c r="N14977" s="3" t="s">
        <v>37</v>
      </c>
      <c r="O14977" s="3" t="s">
        <v>2740</v>
      </c>
      <c r="P14977" s="5">
        <v>9</v>
      </c>
      <c r="Q14977" s="5">
        <v>73</v>
      </c>
      <c r="R14977" s="5">
        <v>10</v>
      </c>
      <c r="S14977" s="5">
        <v>76</v>
      </c>
    </row>
    <row r="14978" spans="1:19" ht="42" x14ac:dyDescent="0.15">
      <c r="A14978" s="2">
        <f>HYPERLINK("https://open-school.uspishnemisto.com.ua/school/710323/", 710323)</f>
        <v>710323</v>
      </c>
      <c r="B14978" s="3" t="s">
        <v>75536</v>
      </c>
      <c r="C14978" s="3" t="s">
        <v>54</v>
      </c>
      <c r="D14978" s="3" t="s">
        <v>32</v>
      </c>
      <c r="E14978" s="4" t="s">
        <v>22</v>
      </c>
      <c r="F14978" s="4" t="s">
        <v>75537</v>
      </c>
      <c r="G14978" s="4" t="s">
        <v>75538</v>
      </c>
      <c r="H14978" s="3" t="s">
        <v>73938</v>
      </c>
      <c r="I14978" s="3" t="s">
        <v>75539</v>
      </c>
      <c r="J14978" s="3" t="s">
        <v>75540</v>
      </c>
      <c r="K14978" s="3" t="s">
        <v>39428</v>
      </c>
      <c r="L14978" s="3"/>
      <c r="M14978" s="4"/>
      <c r="N14978" s="3" t="s">
        <v>37</v>
      </c>
      <c r="O14978" s="3" t="s">
        <v>2740</v>
      </c>
      <c r="P14978" s="5">
        <v>10</v>
      </c>
      <c r="Q14978" s="5">
        <v>88</v>
      </c>
      <c r="R14978" s="5">
        <v>11</v>
      </c>
      <c r="S14978" s="5">
        <v>94</v>
      </c>
    </row>
    <row r="14979" spans="1:19" ht="42" x14ac:dyDescent="0.15">
      <c r="A14979" s="2">
        <f>HYPERLINK("https://open-school.uspishnemisto.com.ua/school/710324/", 710324)</f>
        <v>710324</v>
      </c>
      <c r="B14979" s="3" t="s">
        <v>75541</v>
      </c>
      <c r="C14979" s="3" t="s">
        <v>54</v>
      </c>
      <c r="D14979" s="3" t="s">
        <v>32</v>
      </c>
      <c r="E14979" s="4" t="s">
        <v>22</v>
      </c>
      <c r="F14979" s="4" t="s">
        <v>75542</v>
      </c>
      <c r="G14979" s="4" t="s">
        <v>75543</v>
      </c>
      <c r="H14979" s="3" t="s">
        <v>73938</v>
      </c>
      <c r="I14979" s="3" t="s">
        <v>2410</v>
      </c>
      <c r="J14979" s="3" t="s">
        <v>25268</v>
      </c>
      <c r="K14979" s="3" t="s">
        <v>75544</v>
      </c>
      <c r="L14979" s="3" t="s">
        <v>75545</v>
      </c>
      <c r="M14979" s="4"/>
      <c r="N14979" s="3" t="s">
        <v>37</v>
      </c>
      <c r="O14979" s="3" t="s">
        <v>52</v>
      </c>
      <c r="P14979" s="5">
        <v>11</v>
      </c>
      <c r="Q14979" s="5">
        <v>118</v>
      </c>
      <c r="R14979" s="5">
        <v>11</v>
      </c>
      <c r="S14979" s="5">
        <v>121</v>
      </c>
    </row>
    <row r="14980" spans="1:19" ht="42" x14ac:dyDescent="0.15">
      <c r="A14980" s="2">
        <f>HYPERLINK("https://open-school.uspishnemisto.com.ua/school/710325/", 710325)</f>
        <v>710325</v>
      </c>
      <c r="B14980" s="3" t="s">
        <v>75546</v>
      </c>
      <c r="C14980" s="3" t="s">
        <v>54</v>
      </c>
      <c r="D14980" s="3" t="s">
        <v>32</v>
      </c>
      <c r="E14980" s="4" t="s">
        <v>22</v>
      </c>
      <c r="F14980" s="4" t="s">
        <v>75547</v>
      </c>
      <c r="G14980" s="4" t="s">
        <v>75548</v>
      </c>
      <c r="H14980" s="3" t="s">
        <v>73938</v>
      </c>
      <c r="I14980" s="3" t="s">
        <v>75549</v>
      </c>
      <c r="J14980" s="3" t="s">
        <v>75550</v>
      </c>
      <c r="K14980" s="3" t="s">
        <v>75551</v>
      </c>
      <c r="L14980" s="3" t="s">
        <v>75552</v>
      </c>
      <c r="M14980" s="4"/>
      <c r="N14980" s="3" t="s">
        <v>37</v>
      </c>
      <c r="O14980" s="3" t="s">
        <v>46</v>
      </c>
      <c r="P14980" s="5">
        <v>10</v>
      </c>
      <c r="Q14980" s="5">
        <v>73</v>
      </c>
      <c r="R14980" s="5">
        <v>9</v>
      </c>
      <c r="S14980" s="5">
        <v>69</v>
      </c>
    </row>
    <row r="14981" spans="1:19" ht="42" x14ac:dyDescent="0.15">
      <c r="A14981" s="2">
        <f>HYPERLINK("https://open-school.uspishnemisto.com.ua/school/710326/", 710326)</f>
        <v>710326</v>
      </c>
      <c r="B14981" s="3" t="s">
        <v>75553</v>
      </c>
      <c r="C14981" s="3" t="s">
        <v>54</v>
      </c>
      <c r="D14981" s="3" t="s">
        <v>32</v>
      </c>
      <c r="E14981" s="4" t="s">
        <v>22</v>
      </c>
      <c r="F14981" s="4" t="s">
        <v>75554</v>
      </c>
      <c r="G14981" s="4" t="s">
        <v>75555</v>
      </c>
      <c r="H14981" s="3" t="s">
        <v>73938</v>
      </c>
      <c r="I14981" s="3" t="s">
        <v>75556</v>
      </c>
      <c r="J14981" s="3" t="s">
        <v>20742</v>
      </c>
      <c r="K14981" s="3" t="s">
        <v>75557</v>
      </c>
      <c r="L14981" s="3" t="s">
        <v>75558</v>
      </c>
      <c r="M14981" s="4"/>
      <c r="N14981" s="3" t="s">
        <v>37</v>
      </c>
      <c r="O14981" s="3" t="s">
        <v>2740</v>
      </c>
      <c r="P14981" s="5">
        <v>2</v>
      </c>
      <c r="Q14981" s="5">
        <v>40</v>
      </c>
      <c r="R14981" s="5">
        <v>3</v>
      </c>
      <c r="S14981" s="5">
        <v>40</v>
      </c>
    </row>
    <row r="14982" spans="1:19" ht="70" x14ac:dyDescent="0.15">
      <c r="A14982" s="2">
        <f>HYPERLINK("https://open-school.uspishnemisto.com.ua/school/710327/", 710327)</f>
        <v>710327</v>
      </c>
      <c r="B14982" s="3" t="s">
        <v>75559</v>
      </c>
      <c r="C14982" s="3" t="s">
        <v>54</v>
      </c>
      <c r="D14982" s="3" t="s">
        <v>175</v>
      </c>
      <c r="E14982" s="4" t="s">
        <v>22</v>
      </c>
      <c r="F14982" s="4" t="s">
        <v>75560</v>
      </c>
      <c r="G14982" s="4" t="s">
        <v>75561</v>
      </c>
      <c r="H14982" s="3" t="s">
        <v>73938</v>
      </c>
      <c r="I14982" s="3" t="s">
        <v>19056</v>
      </c>
      <c r="J14982" s="3" t="s">
        <v>20560</v>
      </c>
      <c r="K14982" s="3" t="s">
        <v>75562</v>
      </c>
      <c r="L14982" s="3"/>
      <c r="M14982" s="4"/>
      <c r="N14982" s="3" t="s">
        <v>37</v>
      </c>
      <c r="O14982" s="3" t="s">
        <v>52</v>
      </c>
      <c r="P14982" s="5">
        <v>3</v>
      </c>
      <c r="Q14982" s="5">
        <v>30</v>
      </c>
      <c r="R14982" s="5">
        <v>6</v>
      </c>
      <c r="S14982" s="5">
        <v>39</v>
      </c>
    </row>
    <row r="14983" spans="1:19" ht="56" x14ac:dyDescent="0.15">
      <c r="A14983" s="2">
        <f>HYPERLINK("https://open-school.uspishnemisto.com.ua/school/710328/", 710328)</f>
        <v>710328</v>
      </c>
      <c r="B14983" s="3" t="s">
        <v>75563</v>
      </c>
      <c r="C14983" s="3" t="s">
        <v>54</v>
      </c>
      <c r="D14983" s="3" t="s">
        <v>32</v>
      </c>
      <c r="E14983" s="4" t="s">
        <v>22</v>
      </c>
      <c r="F14983" s="4" t="s">
        <v>75564</v>
      </c>
      <c r="G14983" s="4" t="s">
        <v>75565</v>
      </c>
      <c r="H14983" s="3" t="s">
        <v>73938</v>
      </c>
      <c r="I14983" s="3" t="s">
        <v>75566</v>
      </c>
      <c r="J14983" s="3" t="s">
        <v>3538</v>
      </c>
      <c r="K14983" s="3" t="s">
        <v>75567</v>
      </c>
      <c r="L14983" s="3" t="s">
        <v>75568</v>
      </c>
      <c r="M14983" s="4"/>
      <c r="N14983" s="3" t="s">
        <v>37</v>
      </c>
      <c r="O14983" s="3" t="s">
        <v>52</v>
      </c>
      <c r="P14983" s="5">
        <v>10</v>
      </c>
      <c r="Q14983" s="5">
        <v>111</v>
      </c>
      <c r="R14983" s="5">
        <v>10</v>
      </c>
      <c r="S14983" s="5">
        <v>105</v>
      </c>
    </row>
    <row r="14984" spans="1:19" ht="28" x14ac:dyDescent="0.15">
      <c r="A14984" s="2">
        <f>HYPERLINK("https://open-school.uspishnemisto.com.ua/school/710329/", 710329)</f>
        <v>710329</v>
      </c>
      <c r="B14984" s="3" t="s">
        <v>75569</v>
      </c>
      <c r="C14984" s="3" t="s">
        <v>31</v>
      </c>
      <c r="D14984" s="3" t="s">
        <v>32</v>
      </c>
      <c r="E14984" s="4" t="s">
        <v>22</v>
      </c>
      <c r="F14984" s="4" t="s">
        <v>75570</v>
      </c>
      <c r="G14984" s="4" t="s">
        <v>75571</v>
      </c>
      <c r="H14984" s="3" t="s">
        <v>73938</v>
      </c>
      <c r="I14984" s="3" t="s">
        <v>75572</v>
      </c>
      <c r="J14984" s="3" t="s">
        <v>75573</v>
      </c>
      <c r="K14984" s="3"/>
      <c r="L14984" s="3"/>
      <c r="M14984" s="4"/>
      <c r="N14984" s="3" t="s">
        <v>37</v>
      </c>
      <c r="O14984" s="3" t="s">
        <v>38</v>
      </c>
      <c r="P14984" s="5">
        <v>18</v>
      </c>
      <c r="Q14984" s="5">
        <v>311</v>
      </c>
      <c r="R14984" s="5">
        <v>17</v>
      </c>
      <c r="S14984" s="5">
        <v>294</v>
      </c>
    </row>
    <row r="14985" spans="1:19" ht="42" x14ac:dyDescent="0.15">
      <c r="A14985" s="2">
        <f>HYPERLINK("https://open-school.uspishnemisto.com.ua/school/710330/", 710330)</f>
        <v>710330</v>
      </c>
      <c r="B14985" s="3" t="s">
        <v>75574</v>
      </c>
      <c r="C14985" s="3" t="s">
        <v>31</v>
      </c>
      <c r="D14985" s="3" t="s">
        <v>32</v>
      </c>
      <c r="E14985" s="4" t="s">
        <v>22</v>
      </c>
      <c r="F14985" s="4" t="s">
        <v>75570</v>
      </c>
      <c r="G14985" s="4" t="s">
        <v>75571</v>
      </c>
      <c r="H14985" s="3" t="s">
        <v>73938</v>
      </c>
      <c r="I14985" s="3" t="s">
        <v>75572</v>
      </c>
      <c r="J14985" s="3" t="s">
        <v>33601</v>
      </c>
      <c r="K14985" s="3" t="s">
        <v>75575</v>
      </c>
      <c r="L14985" s="3" t="s">
        <v>75576</v>
      </c>
      <c r="M14985" s="4"/>
      <c r="N14985" s="3" t="s">
        <v>37</v>
      </c>
      <c r="O14985" s="3" t="s">
        <v>70</v>
      </c>
      <c r="P14985" s="5">
        <v>25</v>
      </c>
      <c r="Q14985" s="5">
        <v>459</v>
      </c>
      <c r="R14985" s="5">
        <v>24</v>
      </c>
      <c r="S14985" s="5">
        <v>468</v>
      </c>
    </row>
    <row r="14986" spans="1:19" ht="28" x14ac:dyDescent="0.15">
      <c r="A14986" s="2">
        <f>HYPERLINK("https://open-school.uspishnemisto.com.ua/school/710331/", 710331)</f>
        <v>710331</v>
      </c>
      <c r="B14986" s="3" t="s">
        <v>75577</v>
      </c>
      <c r="C14986" s="3" t="s">
        <v>31</v>
      </c>
      <c r="D14986" s="3" t="s">
        <v>175</v>
      </c>
      <c r="E14986" s="4" t="s">
        <v>22</v>
      </c>
      <c r="F14986" s="4" t="s">
        <v>75578</v>
      </c>
      <c r="G14986" s="4" t="s">
        <v>75579</v>
      </c>
      <c r="H14986" s="3" t="s">
        <v>73938</v>
      </c>
      <c r="I14986" s="3" t="s">
        <v>75580</v>
      </c>
      <c r="J14986" s="3" t="s">
        <v>75581</v>
      </c>
      <c r="K14986" s="3" t="s">
        <v>75582</v>
      </c>
      <c r="L14986" s="3"/>
      <c r="M14986" s="4"/>
      <c r="N14986" s="3" t="s">
        <v>37</v>
      </c>
      <c r="O14986" s="3" t="s">
        <v>70</v>
      </c>
      <c r="P14986" s="5">
        <v>2</v>
      </c>
      <c r="Q14986" s="5">
        <v>33</v>
      </c>
      <c r="R14986" s="5">
        <v>2</v>
      </c>
      <c r="S14986" s="5">
        <v>34</v>
      </c>
    </row>
    <row r="14987" spans="1:19" ht="42" x14ac:dyDescent="0.15">
      <c r="A14987" s="2">
        <f>HYPERLINK("https://open-school.uspishnemisto.com.ua/school/710332/", 710332)</f>
        <v>710332</v>
      </c>
      <c r="B14987" s="3" t="s">
        <v>75583</v>
      </c>
      <c r="C14987" s="3" t="s">
        <v>54</v>
      </c>
      <c r="D14987" s="3" t="s">
        <v>32</v>
      </c>
      <c r="E14987" s="4" t="s">
        <v>22</v>
      </c>
      <c r="F14987" s="4" t="s">
        <v>75584</v>
      </c>
      <c r="G14987" s="4" t="s">
        <v>75585</v>
      </c>
      <c r="H14987" s="3" t="s">
        <v>73938</v>
      </c>
      <c r="I14987" s="3" t="s">
        <v>32741</v>
      </c>
      <c r="J14987" s="3" t="s">
        <v>13311</v>
      </c>
      <c r="K14987" s="3" t="s">
        <v>75586</v>
      </c>
      <c r="L14987" s="3"/>
      <c r="M14987" s="4"/>
      <c r="N14987" s="3" t="s">
        <v>37</v>
      </c>
      <c r="O14987" s="3" t="s">
        <v>38</v>
      </c>
      <c r="P14987" s="5">
        <v>11</v>
      </c>
      <c r="Q14987" s="5">
        <v>91</v>
      </c>
      <c r="R14987" s="5">
        <v>11</v>
      </c>
      <c r="S14987" s="5">
        <v>81</v>
      </c>
    </row>
    <row r="14988" spans="1:19" ht="28" x14ac:dyDescent="0.15">
      <c r="A14988" s="2">
        <f>HYPERLINK("https://open-school.uspishnemisto.com.ua/school/710333/", 710333)</f>
        <v>710333</v>
      </c>
      <c r="B14988" s="3" t="s">
        <v>75587</v>
      </c>
      <c r="C14988" s="3" t="s">
        <v>31</v>
      </c>
      <c r="D14988" s="3" t="s">
        <v>32</v>
      </c>
      <c r="E14988" s="4" t="s">
        <v>22</v>
      </c>
      <c r="F14988" s="4" t="s">
        <v>75588</v>
      </c>
      <c r="G14988" s="4" t="s">
        <v>75589</v>
      </c>
      <c r="H14988" s="3" t="s">
        <v>73938</v>
      </c>
      <c r="I14988" s="3" t="s">
        <v>5549</v>
      </c>
      <c r="J14988" s="3" t="s">
        <v>75590</v>
      </c>
      <c r="K14988" s="3" t="s">
        <v>75591</v>
      </c>
      <c r="L14988" s="3" t="s">
        <v>75592</v>
      </c>
      <c r="M14988" s="4"/>
      <c r="N14988" s="3" t="s">
        <v>37</v>
      </c>
      <c r="O14988" s="3" t="s">
        <v>38</v>
      </c>
      <c r="P14988" s="5">
        <v>10</v>
      </c>
      <c r="Q14988" s="5">
        <v>167</v>
      </c>
      <c r="R14988" s="5">
        <v>11</v>
      </c>
      <c r="S14988" s="5">
        <v>165</v>
      </c>
    </row>
    <row r="14989" spans="1:19" ht="42" x14ac:dyDescent="0.15">
      <c r="A14989" s="2">
        <f>HYPERLINK("https://open-school.uspishnemisto.com.ua/school/710334/", 710334)</f>
        <v>710334</v>
      </c>
      <c r="B14989" s="3" t="s">
        <v>75593</v>
      </c>
      <c r="C14989" s="3" t="s">
        <v>7651</v>
      </c>
      <c r="D14989" s="3"/>
      <c r="E14989" s="4" t="s">
        <v>22</v>
      </c>
      <c r="F14989" s="4" t="s">
        <v>75588</v>
      </c>
      <c r="G14989" s="4" t="s">
        <v>75589</v>
      </c>
      <c r="H14989" s="3" t="s">
        <v>73938</v>
      </c>
      <c r="I14989" s="3" t="s">
        <v>5549</v>
      </c>
      <c r="J14989" s="3" t="s">
        <v>75594</v>
      </c>
      <c r="K14989" s="3" t="s">
        <v>75595</v>
      </c>
      <c r="L14989" s="3"/>
      <c r="M14989" s="4"/>
      <c r="N14989" s="3"/>
      <c r="O14989" s="3"/>
      <c r="P14989" s="5">
        <v>0</v>
      </c>
      <c r="Q14989" s="5">
        <v>0</v>
      </c>
      <c r="R14989" s="5"/>
      <c r="S14989" s="5"/>
    </row>
    <row r="14990" spans="1:19" ht="56" x14ac:dyDescent="0.15">
      <c r="A14990" s="2">
        <f>HYPERLINK("https://open-school.uspishnemisto.com.ua/school/710335/", 710335)</f>
        <v>710335</v>
      </c>
      <c r="B14990" s="3" t="s">
        <v>75596</v>
      </c>
      <c r="C14990" s="3" t="s">
        <v>54</v>
      </c>
      <c r="D14990" s="3" t="s">
        <v>32</v>
      </c>
      <c r="E14990" s="4" t="s">
        <v>22</v>
      </c>
      <c r="F14990" s="4" t="s">
        <v>75597</v>
      </c>
      <c r="G14990" s="4" t="s">
        <v>75598</v>
      </c>
      <c r="H14990" s="3" t="s">
        <v>73938</v>
      </c>
      <c r="I14990" s="3" t="s">
        <v>27840</v>
      </c>
      <c r="J14990" s="3" t="s">
        <v>11022</v>
      </c>
      <c r="K14990" s="3" t="s">
        <v>75599</v>
      </c>
      <c r="L14990" s="3" t="s">
        <v>75600</v>
      </c>
      <c r="M14990" s="4"/>
      <c r="N14990" s="3" t="s">
        <v>37</v>
      </c>
      <c r="O14990" s="3" t="s">
        <v>70</v>
      </c>
      <c r="P14990" s="5">
        <v>10</v>
      </c>
      <c r="Q14990" s="5">
        <v>90</v>
      </c>
      <c r="R14990" s="5">
        <v>10</v>
      </c>
      <c r="S14990" s="5">
        <v>95</v>
      </c>
    </row>
    <row r="14991" spans="1:19" ht="56" x14ac:dyDescent="0.15">
      <c r="A14991" s="2">
        <f>HYPERLINK("https://open-school.uspishnemisto.com.ua/school/710336/", 710336)</f>
        <v>710336</v>
      </c>
      <c r="B14991" s="3" t="s">
        <v>75601</v>
      </c>
      <c r="C14991" s="3" t="s">
        <v>54</v>
      </c>
      <c r="D14991" s="3" t="s">
        <v>32</v>
      </c>
      <c r="E14991" s="4" t="s">
        <v>22</v>
      </c>
      <c r="F14991" s="4" t="s">
        <v>75602</v>
      </c>
      <c r="G14991" s="4" t="s">
        <v>75603</v>
      </c>
      <c r="H14991" s="3" t="s">
        <v>73938</v>
      </c>
      <c r="I14991" s="3" t="s">
        <v>75604</v>
      </c>
      <c r="J14991" s="3" t="s">
        <v>75605</v>
      </c>
      <c r="K14991" s="3" t="s">
        <v>75606</v>
      </c>
      <c r="L14991" s="3" t="s">
        <v>75607</v>
      </c>
      <c r="M14991" s="4"/>
      <c r="N14991" s="3" t="s">
        <v>37</v>
      </c>
      <c r="O14991" s="3" t="s">
        <v>38</v>
      </c>
      <c r="P14991" s="5">
        <v>10</v>
      </c>
      <c r="Q14991" s="5">
        <v>74</v>
      </c>
      <c r="R14991" s="5">
        <v>10</v>
      </c>
      <c r="S14991" s="5">
        <v>79</v>
      </c>
    </row>
    <row r="14992" spans="1:19" ht="28" x14ac:dyDescent="0.15">
      <c r="A14992" s="2">
        <f>HYPERLINK("https://open-school.uspishnemisto.com.ua/school/710337/", 710337)</f>
        <v>710337</v>
      </c>
      <c r="B14992" s="3" t="s">
        <v>75608</v>
      </c>
      <c r="C14992" s="3" t="s">
        <v>31</v>
      </c>
      <c r="D14992" s="3" t="s">
        <v>175</v>
      </c>
      <c r="E14992" s="4" t="s">
        <v>22</v>
      </c>
      <c r="F14992" s="4" t="s">
        <v>75609</v>
      </c>
      <c r="G14992" s="4" t="s">
        <v>75610</v>
      </c>
      <c r="H14992" s="3" t="s">
        <v>73938</v>
      </c>
      <c r="I14992" s="3" t="s">
        <v>75611</v>
      </c>
      <c r="J14992" s="3" t="s">
        <v>75612</v>
      </c>
      <c r="K14992" s="3" t="s">
        <v>75613</v>
      </c>
      <c r="L14992" s="3"/>
      <c r="M14992" s="4"/>
      <c r="N14992" s="3" t="s">
        <v>37</v>
      </c>
      <c r="O14992" s="3" t="s">
        <v>38</v>
      </c>
      <c r="P14992" s="5">
        <v>3</v>
      </c>
      <c r="Q14992" s="5">
        <v>30</v>
      </c>
      <c r="R14992" s="5">
        <v>3</v>
      </c>
      <c r="S14992" s="5">
        <v>30</v>
      </c>
    </row>
    <row r="14993" spans="1:19" ht="42" x14ac:dyDescent="0.15">
      <c r="A14993" s="2">
        <f>HYPERLINK("https://open-school.uspishnemisto.com.ua/school/710338/", 710338)</f>
        <v>710338</v>
      </c>
      <c r="B14993" s="3" t="s">
        <v>75614</v>
      </c>
      <c r="C14993" s="3" t="s">
        <v>54</v>
      </c>
      <c r="D14993" s="3" t="s">
        <v>32</v>
      </c>
      <c r="E14993" s="4" t="s">
        <v>22</v>
      </c>
      <c r="F14993" s="4" t="s">
        <v>75615</v>
      </c>
      <c r="G14993" s="4" t="s">
        <v>75616</v>
      </c>
      <c r="H14993" s="3" t="s">
        <v>73938</v>
      </c>
      <c r="I14993" s="3" t="s">
        <v>75617</v>
      </c>
      <c r="J14993" s="3" t="s">
        <v>75618</v>
      </c>
      <c r="K14993" s="3" t="s">
        <v>75619</v>
      </c>
      <c r="L14993" s="3"/>
      <c r="M14993" s="4"/>
      <c r="N14993" s="3" t="s">
        <v>37</v>
      </c>
      <c r="O14993" s="3" t="s">
        <v>38</v>
      </c>
      <c r="P14993" s="5">
        <v>8</v>
      </c>
      <c r="Q14993" s="5">
        <v>65</v>
      </c>
      <c r="R14993" s="5">
        <v>9</v>
      </c>
      <c r="S14993" s="5">
        <v>73</v>
      </c>
    </row>
    <row r="14994" spans="1:19" ht="56" x14ac:dyDescent="0.15">
      <c r="A14994" s="2">
        <f>HYPERLINK("https://open-school.uspishnemisto.com.ua/school/710339/", 710339)</f>
        <v>710339</v>
      </c>
      <c r="B14994" s="3" t="s">
        <v>75620</v>
      </c>
      <c r="C14994" s="3" t="s">
        <v>54</v>
      </c>
      <c r="D14994" s="3" t="s">
        <v>32</v>
      </c>
      <c r="E14994" s="4" t="s">
        <v>22</v>
      </c>
      <c r="F14994" s="4" t="s">
        <v>75621</v>
      </c>
      <c r="G14994" s="4" t="s">
        <v>75622</v>
      </c>
      <c r="H14994" s="3" t="s">
        <v>73938</v>
      </c>
      <c r="I14994" s="3" t="s">
        <v>16826</v>
      </c>
      <c r="J14994" s="3" t="s">
        <v>466</v>
      </c>
      <c r="K14994" s="3" t="s">
        <v>75623</v>
      </c>
      <c r="L14994" s="3"/>
      <c r="M14994" s="4"/>
      <c r="N14994" s="3" t="s">
        <v>37</v>
      </c>
      <c r="O14994" s="3" t="s">
        <v>70</v>
      </c>
      <c r="P14994" s="5">
        <v>2</v>
      </c>
      <c r="Q14994" s="5">
        <v>33</v>
      </c>
      <c r="R14994" s="5">
        <v>3</v>
      </c>
      <c r="S14994" s="5">
        <v>32</v>
      </c>
    </row>
    <row r="14995" spans="1:19" ht="42" x14ac:dyDescent="0.15">
      <c r="A14995" s="2">
        <f>HYPERLINK("https://open-school.uspishnemisto.com.ua/school/710340/", 710340)</f>
        <v>710340</v>
      </c>
      <c r="B14995" s="3" t="s">
        <v>75624</v>
      </c>
      <c r="C14995" s="3" t="s">
        <v>54</v>
      </c>
      <c r="D14995" s="3" t="s">
        <v>32</v>
      </c>
      <c r="E14995" s="4" t="s">
        <v>22</v>
      </c>
      <c r="F14995" s="4" t="s">
        <v>75625</v>
      </c>
      <c r="G14995" s="4" t="s">
        <v>75626</v>
      </c>
      <c r="H14995" s="3" t="s">
        <v>73938</v>
      </c>
      <c r="I14995" s="3" t="s">
        <v>440</v>
      </c>
      <c r="J14995" s="3" t="s">
        <v>466</v>
      </c>
      <c r="K14995" s="3" t="s">
        <v>75627</v>
      </c>
      <c r="L14995" s="3"/>
      <c r="M14995" s="4"/>
      <c r="N14995" s="3" t="s">
        <v>37</v>
      </c>
      <c r="O14995" s="3" t="s">
        <v>46</v>
      </c>
      <c r="P14995" s="5">
        <v>10</v>
      </c>
      <c r="Q14995" s="5">
        <v>76</v>
      </c>
      <c r="R14995" s="5">
        <v>10</v>
      </c>
      <c r="S14995" s="5">
        <v>74</v>
      </c>
    </row>
    <row r="14996" spans="1:19" ht="42" x14ac:dyDescent="0.15">
      <c r="A14996" s="2">
        <f>HYPERLINK("https://open-school.uspishnemisto.com.ua/school/710341/", 710341)</f>
        <v>710341</v>
      </c>
      <c r="B14996" s="3" t="s">
        <v>75628</v>
      </c>
      <c r="C14996" s="3" t="s">
        <v>54</v>
      </c>
      <c r="D14996" s="3" t="s">
        <v>60</v>
      </c>
      <c r="E14996" s="4" t="s">
        <v>22</v>
      </c>
      <c r="F14996" s="4"/>
      <c r="G14996" s="4" t="s">
        <v>75629</v>
      </c>
      <c r="H14996" s="3" t="s">
        <v>73938</v>
      </c>
      <c r="I14996" s="3" t="s">
        <v>75630</v>
      </c>
      <c r="J14996" s="3" t="s">
        <v>27802</v>
      </c>
      <c r="K14996" s="3"/>
      <c r="L14996" s="3"/>
      <c r="M14996" s="4"/>
      <c r="N14996" s="3" t="s">
        <v>37</v>
      </c>
      <c r="O14996" s="3" t="s">
        <v>52</v>
      </c>
      <c r="P14996" s="5">
        <v>0</v>
      </c>
      <c r="Q14996" s="5">
        <v>10</v>
      </c>
      <c r="R14996" s="5">
        <v>0</v>
      </c>
      <c r="S14996" s="5">
        <v>13</v>
      </c>
    </row>
    <row r="14997" spans="1:19" ht="42" x14ac:dyDescent="0.15">
      <c r="A14997" s="2">
        <f>HYPERLINK("https://open-school.uspishnemisto.com.ua/school/710342/", 710342)</f>
        <v>710342</v>
      </c>
      <c r="B14997" s="3" t="s">
        <v>75631</v>
      </c>
      <c r="C14997" s="3" t="s">
        <v>54</v>
      </c>
      <c r="D14997" s="3" t="s">
        <v>32</v>
      </c>
      <c r="E14997" s="4" t="s">
        <v>22</v>
      </c>
      <c r="F14997" s="4" t="s">
        <v>75632</v>
      </c>
      <c r="G14997" s="4" t="s">
        <v>75633</v>
      </c>
      <c r="H14997" s="3" t="s">
        <v>73938</v>
      </c>
      <c r="I14997" s="3" t="s">
        <v>75634</v>
      </c>
      <c r="J14997" s="3" t="s">
        <v>75635</v>
      </c>
      <c r="K14997" s="3" t="s">
        <v>75636</v>
      </c>
      <c r="L14997" s="3" t="s">
        <v>75637</v>
      </c>
      <c r="M14997" s="4"/>
      <c r="N14997" s="3" t="s">
        <v>37</v>
      </c>
      <c r="O14997" s="3" t="s">
        <v>52</v>
      </c>
      <c r="P14997" s="5">
        <v>9</v>
      </c>
      <c r="Q14997" s="5">
        <v>68</v>
      </c>
      <c r="R14997" s="5">
        <v>10</v>
      </c>
      <c r="S14997" s="5">
        <v>67</v>
      </c>
    </row>
    <row r="14998" spans="1:19" ht="42" x14ac:dyDescent="0.15">
      <c r="A14998" s="2">
        <f>HYPERLINK("https://open-school.uspishnemisto.com.ua/school/710343/", 710343)</f>
        <v>710343</v>
      </c>
      <c r="B14998" s="3" t="s">
        <v>75638</v>
      </c>
      <c r="C14998" s="3" t="s">
        <v>54</v>
      </c>
      <c r="D14998" s="3" t="s">
        <v>32</v>
      </c>
      <c r="E14998" s="4" t="s">
        <v>22</v>
      </c>
      <c r="F14998" s="4" t="s">
        <v>75639</v>
      </c>
      <c r="G14998" s="4" t="s">
        <v>75640</v>
      </c>
      <c r="H14998" s="3" t="s">
        <v>73938</v>
      </c>
      <c r="I14998" s="3" t="s">
        <v>1397</v>
      </c>
      <c r="J14998" s="3" t="s">
        <v>1360</v>
      </c>
      <c r="K14998" s="3" t="s">
        <v>75641</v>
      </c>
      <c r="L14998" s="3" t="s">
        <v>75642</v>
      </c>
      <c r="M14998" s="4"/>
      <c r="N14998" s="3" t="s">
        <v>37</v>
      </c>
      <c r="O14998" s="3" t="s">
        <v>70</v>
      </c>
      <c r="P14998" s="5">
        <v>11</v>
      </c>
      <c r="Q14998" s="5">
        <v>123</v>
      </c>
      <c r="R14998" s="5">
        <v>11</v>
      </c>
      <c r="S14998" s="5">
        <v>123</v>
      </c>
    </row>
    <row r="14999" spans="1:19" ht="28" x14ac:dyDescent="0.15">
      <c r="A14999" s="2">
        <f>HYPERLINK("https://open-school.uspishnemisto.com.ua/school/710344/", 710344)</f>
        <v>710344</v>
      </c>
      <c r="B14999" s="3" t="s">
        <v>75643</v>
      </c>
      <c r="C14999" s="3" t="s">
        <v>31</v>
      </c>
      <c r="D14999" s="3" t="s">
        <v>175</v>
      </c>
      <c r="E14999" s="4" t="s">
        <v>22</v>
      </c>
      <c r="F14999" s="4" t="s">
        <v>75644</v>
      </c>
      <c r="G14999" s="4" t="s">
        <v>75645</v>
      </c>
      <c r="H14999" s="3" t="s">
        <v>73938</v>
      </c>
      <c r="I14999" s="3" t="s">
        <v>71751</v>
      </c>
      <c r="J14999" s="3" t="s">
        <v>2185</v>
      </c>
      <c r="K14999" s="3" t="s">
        <v>75646</v>
      </c>
      <c r="L14999" s="3"/>
      <c r="M14999" s="4"/>
      <c r="N14999" s="3" t="s">
        <v>37</v>
      </c>
      <c r="O14999" s="3" t="s">
        <v>38</v>
      </c>
      <c r="P14999" s="5">
        <v>3</v>
      </c>
      <c r="Q14999" s="5">
        <v>33</v>
      </c>
      <c r="R14999" s="5">
        <v>4</v>
      </c>
      <c r="S14999" s="5">
        <v>37</v>
      </c>
    </row>
    <row r="15000" spans="1:19" ht="56" x14ac:dyDescent="0.15">
      <c r="A15000" s="2">
        <f>HYPERLINK("https://open-school.uspishnemisto.com.ua/school/710345/", 710345)</f>
        <v>710345</v>
      </c>
      <c r="B15000" s="3" t="s">
        <v>75647</v>
      </c>
      <c r="C15000" s="3" t="s">
        <v>54</v>
      </c>
      <c r="D15000" s="3" t="s">
        <v>60</v>
      </c>
      <c r="E15000" s="4" t="s">
        <v>22</v>
      </c>
      <c r="F15000" s="4" t="s">
        <v>75648</v>
      </c>
      <c r="G15000" s="4" t="s">
        <v>75649</v>
      </c>
      <c r="H15000" s="3" t="s">
        <v>73938</v>
      </c>
      <c r="I15000" s="3" t="s">
        <v>75650</v>
      </c>
      <c r="J15000" s="3" t="s">
        <v>75651</v>
      </c>
      <c r="K15000" s="3"/>
      <c r="L15000" s="3"/>
      <c r="M15000" s="4"/>
      <c r="N15000" s="3" t="s">
        <v>37</v>
      </c>
      <c r="O15000" s="3" t="s">
        <v>52</v>
      </c>
      <c r="P15000" s="5">
        <v>0</v>
      </c>
      <c r="Q15000" s="5">
        <v>5</v>
      </c>
      <c r="R15000" s="5">
        <v>0</v>
      </c>
      <c r="S15000" s="5">
        <v>8</v>
      </c>
    </row>
    <row r="15001" spans="1:19" ht="42" x14ac:dyDescent="0.15">
      <c r="A15001" s="2">
        <f>HYPERLINK("https://open-school.uspishnemisto.com.ua/school/710346/", 710346)</f>
        <v>710346</v>
      </c>
      <c r="B15001" s="3" t="s">
        <v>75652</v>
      </c>
      <c r="C15001" s="3" t="s">
        <v>54</v>
      </c>
      <c r="D15001" s="3" t="s">
        <v>32</v>
      </c>
      <c r="E15001" s="4" t="s">
        <v>22</v>
      </c>
      <c r="F15001" s="4" t="s">
        <v>75653</v>
      </c>
      <c r="G15001" s="4" t="s">
        <v>75654</v>
      </c>
      <c r="H15001" s="3" t="s">
        <v>73938</v>
      </c>
      <c r="I15001" s="3" t="s">
        <v>75655</v>
      </c>
      <c r="J15001" s="3" t="s">
        <v>75656</v>
      </c>
      <c r="K15001" s="3" t="s">
        <v>75657</v>
      </c>
      <c r="L15001" s="3" t="s">
        <v>75658</v>
      </c>
      <c r="M15001" s="4"/>
      <c r="N15001" s="3" t="s">
        <v>37</v>
      </c>
      <c r="O15001" s="3" t="s">
        <v>70</v>
      </c>
      <c r="P15001" s="5">
        <v>6</v>
      </c>
      <c r="Q15001" s="5">
        <v>60</v>
      </c>
      <c r="R15001" s="5">
        <v>8</v>
      </c>
      <c r="S15001" s="5">
        <v>67</v>
      </c>
    </row>
    <row r="15002" spans="1:19" ht="42" x14ac:dyDescent="0.15">
      <c r="A15002" s="2">
        <f>HYPERLINK("https://open-school.uspishnemisto.com.ua/school/710347/", 710347)</f>
        <v>710347</v>
      </c>
      <c r="B15002" s="3" t="s">
        <v>75659</v>
      </c>
      <c r="C15002" s="3" t="s">
        <v>54</v>
      </c>
      <c r="D15002" s="3" t="s">
        <v>60</v>
      </c>
      <c r="E15002" s="4" t="s">
        <v>22</v>
      </c>
      <c r="F15002" s="4" t="s">
        <v>75660</v>
      </c>
      <c r="G15002" s="4" t="s">
        <v>75661</v>
      </c>
      <c r="H15002" s="3" t="s">
        <v>73938</v>
      </c>
      <c r="I15002" s="3" t="s">
        <v>75662</v>
      </c>
      <c r="J15002" s="3" t="s">
        <v>75663</v>
      </c>
      <c r="K15002" s="3" t="s">
        <v>75664</v>
      </c>
      <c r="L15002" s="3"/>
      <c r="M15002" s="4"/>
      <c r="N15002" s="3" t="s">
        <v>37</v>
      </c>
      <c r="O15002" s="3" t="s">
        <v>52</v>
      </c>
      <c r="P15002" s="5">
        <v>0</v>
      </c>
      <c r="Q15002" s="5">
        <v>9</v>
      </c>
      <c r="R15002" s="5">
        <v>0</v>
      </c>
      <c r="S15002" s="5">
        <v>7</v>
      </c>
    </row>
    <row r="15003" spans="1:19" ht="56" x14ac:dyDescent="0.15">
      <c r="A15003" s="2">
        <f>HYPERLINK("https://open-school.uspishnemisto.com.ua/school/710348/", 710348)</f>
        <v>710348</v>
      </c>
      <c r="B15003" s="3" t="s">
        <v>75665</v>
      </c>
      <c r="C15003" s="3" t="s">
        <v>54</v>
      </c>
      <c r="D15003" s="3" t="s">
        <v>32</v>
      </c>
      <c r="E15003" s="4" t="s">
        <v>22</v>
      </c>
      <c r="F15003" s="4" t="s">
        <v>75666</v>
      </c>
      <c r="G15003" s="4" t="s">
        <v>75667</v>
      </c>
      <c r="H15003" s="3" t="s">
        <v>73938</v>
      </c>
      <c r="I15003" s="3" t="s">
        <v>981</v>
      </c>
      <c r="J15003" s="3" t="s">
        <v>75668</v>
      </c>
      <c r="K15003" s="3" t="s">
        <v>75669</v>
      </c>
      <c r="L15003" s="3"/>
      <c r="M15003" s="4"/>
      <c r="N15003" s="3" t="s">
        <v>37</v>
      </c>
      <c r="O15003" s="3" t="s">
        <v>70</v>
      </c>
      <c r="P15003" s="5">
        <v>5</v>
      </c>
      <c r="Q15003" s="5">
        <v>45</v>
      </c>
      <c r="R15003" s="5">
        <v>5</v>
      </c>
      <c r="S15003" s="5">
        <v>41</v>
      </c>
    </row>
    <row r="15004" spans="1:19" ht="42" x14ac:dyDescent="0.15">
      <c r="A15004" s="2">
        <f>HYPERLINK("https://open-school.uspishnemisto.com.ua/school/710349/", 710349)</f>
        <v>710349</v>
      </c>
      <c r="B15004" s="3" t="s">
        <v>75670</v>
      </c>
      <c r="C15004" s="3" t="s">
        <v>54</v>
      </c>
      <c r="D15004" s="3" t="s">
        <v>175</v>
      </c>
      <c r="E15004" s="4" t="s">
        <v>22</v>
      </c>
      <c r="F15004" s="4" t="s">
        <v>75671</v>
      </c>
      <c r="G15004" s="4" t="s">
        <v>75672</v>
      </c>
      <c r="H15004" s="3" t="s">
        <v>73938</v>
      </c>
      <c r="I15004" s="3" t="s">
        <v>12411</v>
      </c>
      <c r="J15004" s="3" t="s">
        <v>17503</v>
      </c>
      <c r="K15004" s="3" t="s">
        <v>75673</v>
      </c>
      <c r="L15004" s="3"/>
      <c r="M15004" s="4"/>
      <c r="N15004" s="3" t="s">
        <v>37</v>
      </c>
      <c r="O15004" s="3" t="s">
        <v>38</v>
      </c>
      <c r="P15004" s="5">
        <v>6</v>
      </c>
      <c r="Q15004" s="5">
        <v>49</v>
      </c>
      <c r="R15004" s="5">
        <v>6</v>
      </c>
      <c r="S15004" s="5">
        <v>54</v>
      </c>
    </row>
    <row r="15005" spans="1:19" ht="42" x14ac:dyDescent="0.15">
      <c r="A15005" s="2">
        <f>HYPERLINK("https://open-school.uspishnemisto.com.ua/school/710350/", 710350)</f>
        <v>710350</v>
      </c>
      <c r="B15005" s="3" t="s">
        <v>75674</v>
      </c>
      <c r="C15005" s="3" t="s">
        <v>54</v>
      </c>
      <c r="D15005" s="3" t="s">
        <v>32</v>
      </c>
      <c r="E15005" s="4" t="s">
        <v>22</v>
      </c>
      <c r="F15005" s="4" t="s">
        <v>75675</v>
      </c>
      <c r="G15005" s="4" t="s">
        <v>75676</v>
      </c>
      <c r="H15005" s="3" t="s">
        <v>73938</v>
      </c>
      <c r="I15005" s="3" t="s">
        <v>75677</v>
      </c>
      <c r="J15005" s="3" t="s">
        <v>75678</v>
      </c>
      <c r="K15005" s="3" t="s">
        <v>75679</v>
      </c>
      <c r="L15005" s="3"/>
      <c r="M15005" s="4"/>
      <c r="N15005" s="3" t="s">
        <v>37</v>
      </c>
      <c r="O15005" s="3" t="s">
        <v>38</v>
      </c>
      <c r="P15005" s="5">
        <v>7</v>
      </c>
      <c r="Q15005" s="5">
        <v>53</v>
      </c>
      <c r="R15005" s="5">
        <v>8</v>
      </c>
      <c r="S15005" s="5">
        <v>52</v>
      </c>
    </row>
    <row r="15006" spans="1:19" ht="28" x14ac:dyDescent="0.15">
      <c r="A15006" s="2">
        <f>HYPERLINK("https://open-school.uspishnemisto.com.ua/school/710351/", 710351)</f>
        <v>710351</v>
      </c>
      <c r="B15006" s="3" t="s">
        <v>75680</v>
      </c>
      <c r="C15006" s="3" t="s">
        <v>31</v>
      </c>
      <c r="D15006" s="3" t="s">
        <v>32</v>
      </c>
      <c r="E15006" s="4" t="s">
        <v>22</v>
      </c>
      <c r="F15006" s="4" t="s">
        <v>75681</v>
      </c>
      <c r="G15006" s="4" t="s">
        <v>75682</v>
      </c>
      <c r="H15006" s="3" t="s">
        <v>73938</v>
      </c>
      <c r="I15006" s="3" t="s">
        <v>75683</v>
      </c>
      <c r="J15006" s="3" t="s">
        <v>75684</v>
      </c>
      <c r="K15006" s="3" t="s">
        <v>75685</v>
      </c>
      <c r="L15006" s="3" t="s">
        <v>75686</v>
      </c>
      <c r="M15006" s="4"/>
      <c r="N15006" s="3" t="s">
        <v>37</v>
      </c>
      <c r="O15006" s="3" t="s">
        <v>46</v>
      </c>
      <c r="P15006" s="5">
        <v>9</v>
      </c>
      <c r="Q15006" s="5">
        <v>71</v>
      </c>
      <c r="R15006" s="5">
        <v>10</v>
      </c>
      <c r="S15006" s="5">
        <v>76</v>
      </c>
    </row>
    <row r="15007" spans="1:19" ht="28" x14ac:dyDescent="0.15">
      <c r="A15007" s="2">
        <f>HYPERLINK("https://open-school.uspishnemisto.com.ua/school/710352/", 710352)</f>
        <v>710352</v>
      </c>
      <c r="B15007" s="3" t="s">
        <v>75687</v>
      </c>
      <c r="C15007" s="3" t="s">
        <v>54</v>
      </c>
      <c r="D15007" s="3" t="s">
        <v>32</v>
      </c>
      <c r="E15007" s="4" t="s">
        <v>22</v>
      </c>
      <c r="F15007" s="4" t="s">
        <v>75688</v>
      </c>
      <c r="G15007" s="4" t="s">
        <v>75689</v>
      </c>
      <c r="H15007" s="3" t="s">
        <v>73938</v>
      </c>
      <c r="I15007" s="3" t="s">
        <v>17601</v>
      </c>
      <c r="J15007" s="3" t="s">
        <v>2191</v>
      </c>
      <c r="K15007" s="3" t="s">
        <v>75690</v>
      </c>
      <c r="L15007" s="3"/>
      <c r="M15007" s="4"/>
      <c r="N15007" s="3" t="s">
        <v>37</v>
      </c>
      <c r="O15007" s="3" t="s">
        <v>46</v>
      </c>
      <c r="P15007" s="5">
        <v>5</v>
      </c>
      <c r="Q15007" s="5">
        <v>56</v>
      </c>
      <c r="R15007" s="5">
        <v>5</v>
      </c>
      <c r="S15007" s="5">
        <v>51</v>
      </c>
    </row>
    <row r="15008" spans="1:19" ht="28" x14ac:dyDescent="0.15">
      <c r="A15008" s="2">
        <f>HYPERLINK("https://open-school.uspishnemisto.com.ua/school/710353/", 710353)</f>
        <v>710353</v>
      </c>
      <c r="B15008" s="3" t="s">
        <v>75691</v>
      </c>
      <c r="C15008" s="3" t="s">
        <v>31</v>
      </c>
      <c r="D15008" s="3" t="s">
        <v>32</v>
      </c>
      <c r="E15008" s="4" t="s">
        <v>22</v>
      </c>
      <c r="F15008" s="4" t="s">
        <v>75692</v>
      </c>
      <c r="G15008" s="4" t="s">
        <v>75693</v>
      </c>
      <c r="H15008" s="3" t="s">
        <v>73938</v>
      </c>
      <c r="I15008" s="3" t="s">
        <v>670</v>
      </c>
      <c r="J15008" s="3" t="s">
        <v>53727</v>
      </c>
      <c r="K15008" s="3" t="s">
        <v>75694</v>
      </c>
      <c r="L15008" s="3" t="s">
        <v>75695</v>
      </c>
      <c r="M15008" s="4"/>
      <c r="N15008" s="3" t="s">
        <v>37</v>
      </c>
      <c r="O15008" s="3" t="s">
        <v>123</v>
      </c>
      <c r="P15008" s="5">
        <v>30</v>
      </c>
      <c r="Q15008" s="5">
        <v>603</v>
      </c>
      <c r="R15008" s="5">
        <v>32</v>
      </c>
      <c r="S15008" s="5">
        <v>627</v>
      </c>
    </row>
    <row r="15009" spans="1:19" ht="42" x14ac:dyDescent="0.15">
      <c r="A15009" s="2">
        <f>HYPERLINK("https://open-school.uspishnemisto.com.ua/school/710354/", 710354)</f>
        <v>710354</v>
      </c>
      <c r="B15009" s="3" t="s">
        <v>75696</v>
      </c>
      <c r="C15009" s="3" t="s">
        <v>7651</v>
      </c>
      <c r="D15009" s="3" t="s">
        <v>32</v>
      </c>
      <c r="E15009" s="4" t="s">
        <v>22</v>
      </c>
      <c r="F15009" s="4" t="s">
        <v>75697</v>
      </c>
      <c r="G15009" s="4" t="s">
        <v>75693</v>
      </c>
      <c r="H15009" s="3" t="s">
        <v>73938</v>
      </c>
      <c r="I15009" s="3" t="s">
        <v>670</v>
      </c>
      <c r="J15009" s="3" t="s">
        <v>1198</v>
      </c>
      <c r="K15009" s="3" t="s">
        <v>75698</v>
      </c>
      <c r="L15009" s="3"/>
      <c r="M15009" s="4"/>
      <c r="N15009" s="3"/>
      <c r="O15009" s="3"/>
      <c r="P15009" s="5">
        <v>0</v>
      </c>
      <c r="Q15009" s="5">
        <v>0</v>
      </c>
      <c r="R15009" s="5"/>
      <c r="S15009" s="5"/>
    </row>
    <row r="15010" spans="1:19" ht="42" x14ac:dyDescent="0.15">
      <c r="A15010" s="2">
        <f>HYPERLINK("https://open-school.uspishnemisto.com.ua/school/710355/", 710355)</f>
        <v>710355</v>
      </c>
      <c r="B15010" s="3" t="s">
        <v>75699</v>
      </c>
      <c r="C15010" s="3" t="s">
        <v>31</v>
      </c>
      <c r="D15010" s="3" t="s">
        <v>32</v>
      </c>
      <c r="E15010" s="4" t="s">
        <v>22</v>
      </c>
      <c r="F15010" s="4" t="s">
        <v>75697</v>
      </c>
      <c r="G15010" s="4" t="s">
        <v>75693</v>
      </c>
      <c r="H15010" s="3" t="s">
        <v>73938</v>
      </c>
      <c r="I15010" s="3" t="s">
        <v>670</v>
      </c>
      <c r="J15010" s="3" t="s">
        <v>75700</v>
      </c>
      <c r="K15010" s="3" t="s">
        <v>75701</v>
      </c>
      <c r="L15010" s="3" t="s">
        <v>75702</v>
      </c>
      <c r="M15010" s="4"/>
      <c r="N15010" s="3" t="s">
        <v>37</v>
      </c>
      <c r="O15010" s="3" t="s">
        <v>46</v>
      </c>
      <c r="P15010" s="5">
        <v>18</v>
      </c>
      <c r="Q15010" s="5">
        <v>322</v>
      </c>
      <c r="R15010" s="5">
        <v>18</v>
      </c>
      <c r="S15010" s="5">
        <v>325</v>
      </c>
    </row>
    <row r="15011" spans="1:19" ht="28" x14ac:dyDescent="0.15">
      <c r="A15011" s="2">
        <f>HYPERLINK("https://open-school.uspishnemisto.com.ua/school/710356/", 710356)</f>
        <v>710356</v>
      </c>
      <c r="B15011" s="3" t="s">
        <v>75703</v>
      </c>
      <c r="C15011" s="3" t="s">
        <v>31</v>
      </c>
      <c r="D15011" s="3" t="s">
        <v>32</v>
      </c>
      <c r="E15011" s="4" t="s">
        <v>22</v>
      </c>
      <c r="F15011" s="4" t="s">
        <v>75704</v>
      </c>
      <c r="G15011" s="4" t="s">
        <v>75705</v>
      </c>
      <c r="H15011" s="3" t="s">
        <v>73938</v>
      </c>
      <c r="I15011" s="3" t="s">
        <v>33704</v>
      </c>
      <c r="J15011" s="3" t="s">
        <v>6460</v>
      </c>
      <c r="K15011" s="3" t="s">
        <v>75706</v>
      </c>
      <c r="L15011" s="3"/>
      <c r="M15011" s="4"/>
      <c r="N15011" s="3" t="s">
        <v>37</v>
      </c>
      <c r="O15011" s="3" t="s">
        <v>52</v>
      </c>
      <c r="P15011" s="5">
        <v>13</v>
      </c>
      <c r="Q15011" s="5">
        <v>238</v>
      </c>
      <c r="R15011" s="5">
        <v>12</v>
      </c>
      <c r="S15011" s="5">
        <v>222</v>
      </c>
    </row>
    <row r="15012" spans="1:19" ht="28" x14ac:dyDescent="0.15">
      <c r="A15012" s="2">
        <f>HYPERLINK("https://open-school.uspishnemisto.com.ua/school/710357/", 710357)</f>
        <v>710357</v>
      </c>
      <c r="B15012" s="3" t="s">
        <v>75707</v>
      </c>
      <c r="C15012" s="3" t="s">
        <v>31</v>
      </c>
      <c r="D15012" s="3" t="s">
        <v>175</v>
      </c>
      <c r="E15012" s="4" t="s">
        <v>22</v>
      </c>
      <c r="F15012" s="4" t="s">
        <v>75708</v>
      </c>
      <c r="G15012" s="4" t="s">
        <v>75709</v>
      </c>
      <c r="H15012" s="3" t="s">
        <v>73938</v>
      </c>
      <c r="I15012" s="3" t="s">
        <v>75710</v>
      </c>
      <c r="J15012" s="3" t="s">
        <v>75711</v>
      </c>
      <c r="K15012" s="3" t="s">
        <v>75712</v>
      </c>
      <c r="L15012" s="3" t="s">
        <v>75713</v>
      </c>
      <c r="M15012" s="4"/>
      <c r="N15012" s="3" t="s">
        <v>37</v>
      </c>
      <c r="O15012" s="3" t="s">
        <v>52</v>
      </c>
      <c r="P15012" s="5">
        <v>5</v>
      </c>
      <c r="Q15012" s="5">
        <v>54</v>
      </c>
      <c r="R15012" s="5">
        <v>6</v>
      </c>
      <c r="S15012" s="5">
        <v>55</v>
      </c>
    </row>
    <row r="15013" spans="1:19" ht="28" x14ac:dyDescent="0.15">
      <c r="A15013" s="2">
        <f>HYPERLINK("https://open-school.uspishnemisto.com.ua/school/710358/", 710358)</f>
        <v>710358</v>
      </c>
      <c r="B15013" s="3" t="s">
        <v>75714</v>
      </c>
      <c r="C15013" s="3" t="s">
        <v>31</v>
      </c>
      <c r="D15013" s="3" t="s">
        <v>32</v>
      </c>
      <c r="E15013" s="4" t="s">
        <v>22</v>
      </c>
      <c r="F15013" s="4" t="s">
        <v>75715</v>
      </c>
      <c r="G15013" s="4" t="s">
        <v>75716</v>
      </c>
      <c r="H15013" s="3" t="s">
        <v>73938</v>
      </c>
      <c r="I15013" s="3" t="s">
        <v>75717</v>
      </c>
      <c r="J15013" s="3" t="s">
        <v>554</v>
      </c>
      <c r="K15013" s="3" t="s">
        <v>75718</v>
      </c>
      <c r="L15013" s="3" t="s">
        <v>75719</v>
      </c>
      <c r="M15013" s="4"/>
      <c r="N15013" s="3" t="s">
        <v>37</v>
      </c>
      <c r="O15013" s="3" t="s">
        <v>38</v>
      </c>
      <c r="P15013" s="5">
        <v>10</v>
      </c>
      <c r="Q15013" s="5">
        <v>99</v>
      </c>
      <c r="R15013" s="5">
        <v>11</v>
      </c>
      <c r="S15013" s="5">
        <v>99</v>
      </c>
    </row>
    <row r="15014" spans="1:19" ht="28" x14ac:dyDescent="0.15">
      <c r="A15014" s="2">
        <f>HYPERLINK("https://open-school.uspishnemisto.com.ua/school/710359/", 710359)</f>
        <v>710359</v>
      </c>
      <c r="B15014" s="3" t="s">
        <v>75720</v>
      </c>
      <c r="C15014" s="3" t="s">
        <v>31</v>
      </c>
      <c r="D15014" s="3" t="s">
        <v>32</v>
      </c>
      <c r="E15014" s="4" t="s">
        <v>22</v>
      </c>
      <c r="F15014" s="4" t="s">
        <v>75721</v>
      </c>
      <c r="G15014" s="4" t="s">
        <v>75722</v>
      </c>
      <c r="H15014" s="3" t="s">
        <v>73938</v>
      </c>
      <c r="I15014" s="3" t="s">
        <v>75723</v>
      </c>
      <c r="J15014" s="3" t="s">
        <v>726</v>
      </c>
      <c r="K15014" s="3" t="s">
        <v>75724</v>
      </c>
      <c r="L15014" s="3" t="s">
        <v>75725</v>
      </c>
      <c r="M15014" s="4"/>
      <c r="N15014" s="3" t="s">
        <v>37</v>
      </c>
      <c r="O15014" s="3" t="s">
        <v>38</v>
      </c>
      <c r="P15014" s="5">
        <v>11</v>
      </c>
      <c r="Q15014" s="5">
        <v>130</v>
      </c>
      <c r="R15014" s="5">
        <v>11</v>
      </c>
      <c r="S15014" s="5">
        <v>135</v>
      </c>
    </row>
    <row r="15015" spans="1:19" ht="42" x14ac:dyDescent="0.15">
      <c r="A15015" s="2">
        <f>HYPERLINK("https://open-school.uspishnemisto.com.ua/school/710360/", 710360)</f>
        <v>710360</v>
      </c>
      <c r="B15015" s="3" t="s">
        <v>75726</v>
      </c>
      <c r="C15015" s="3" t="s">
        <v>31</v>
      </c>
      <c r="D15015" s="3" t="s">
        <v>32</v>
      </c>
      <c r="E15015" s="4" t="s">
        <v>22</v>
      </c>
      <c r="F15015" s="4" t="s">
        <v>75727</v>
      </c>
      <c r="G15015" s="4" t="s">
        <v>75728</v>
      </c>
      <c r="H15015" s="3" t="s">
        <v>73938</v>
      </c>
      <c r="I15015" s="3" t="s">
        <v>75729</v>
      </c>
      <c r="J15015" s="3" t="s">
        <v>5432</v>
      </c>
      <c r="K15015" s="3" t="s">
        <v>75730</v>
      </c>
      <c r="L15015" s="3" t="s">
        <v>75731</v>
      </c>
      <c r="M15015" s="4"/>
      <c r="N15015" s="3" t="s">
        <v>37</v>
      </c>
      <c r="O15015" s="3" t="s">
        <v>38</v>
      </c>
      <c r="P15015" s="5">
        <v>6</v>
      </c>
      <c r="Q15015" s="5">
        <v>68</v>
      </c>
      <c r="R15015" s="5">
        <v>8</v>
      </c>
      <c r="S15015" s="5">
        <v>69</v>
      </c>
    </row>
    <row r="15016" spans="1:19" ht="28" x14ac:dyDescent="0.15">
      <c r="A15016" s="2">
        <f>HYPERLINK("https://open-school.uspishnemisto.com.ua/school/710361/", 710361)</f>
        <v>710361</v>
      </c>
      <c r="B15016" s="3" t="s">
        <v>75732</v>
      </c>
      <c r="C15016" s="3" t="s">
        <v>31</v>
      </c>
      <c r="D15016" s="3" t="s">
        <v>32</v>
      </c>
      <c r="E15016" s="4" t="s">
        <v>22</v>
      </c>
      <c r="F15016" s="4" t="s">
        <v>75733</v>
      </c>
      <c r="G15016" s="4" t="s">
        <v>75734</v>
      </c>
      <c r="H15016" s="3" t="s">
        <v>73938</v>
      </c>
      <c r="I15016" s="3" t="s">
        <v>2168</v>
      </c>
      <c r="J15016" s="3" t="s">
        <v>75735</v>
      </c>
      <c r="K15016" s="3" t="s">
        <v>75736</v>
      </c>
      <c r="L15016" s="3"/>
      <c r="M15016" s="4"/>
      <c r="N15016" s="3" t="s">
        <v>37</v>
      </c>
      <c r="O15016" s="3" t="s">
        <v>46</v>
      </c>
      <c r="P15016" s="5">
        <v>14</v>
      </c>
      <c r="Q15016" s="5">
        <v>244</v>
      </c>
      <c r="R15016" s="5">
        <v>14</v>
      </c>
      <c r="S15016" s="5">
        <v>247</v>
      </c>
    </row>
    <row r="15017" spans="1:19" ht="28" x14ac:dyDescent="0.15">
      <c r="A15017" s="2">
        <f>HYPERLINK("https://open-school.uspishnemisto.com.ua/school/710362/", 710362)</f>
        <v>710362</v>
      </c>
      <c r="B15017" s="3" t="s">
        <v>75737</v>
      </c>
      <c r="C15017" s="3" t="s">
        <v>31</v>
      </c>
      <c r="D15017" s="3" t="s">
        <v>60</v>
      </c>
      <c r="E15017" s="4" t="s">
        <v>22</v>
      </c>
      <c r="F15017" s="4" t="s">
        <v>75738</v>
      </c>
      <c r="G15017" s="4" t="s">
        <v>75739</v>
      </c>
      <c r="H15017" s="3" t="s">
        <v>73938</v>
      </c>
      <c r="I15017" s="3" t="s">
        <v>75740</v>
      </c>
      <c r="J15017" s="3" t="s">
        <v>1576</v>
      </c>
      <c r="K15017" s="3" t="s">
        <v>75741</v>
      </c>
      <c r="L15017" s="3"/>
      <c r="M15017" s="4"/>
      <c r="N15017" s="3" t="s">
        <v>37</v>
      </c>
      <c r="O15017" s="3" t="s">
        <v>52</v>
      </c>
      <c r="P15017" s="5">
        <v>0</v>
      </c>
      <c r="Q15017" s="5">
        <v>0</v>
      </c>
      <c r="R15017" s="5">
        <v>0</v>
      </c>
      <c r="S15017" s="5">
        <v>5</v>
      </c>
    </row>
    <row r="15018" spans="1:19" ht="28" x14ac:dyDescent="0.15">
      <c r="A15018" s="2">
        <f>HYPERLINK("https://open-school.uspishnemisto.com.ua/school/710363/", 710363)</f>
        <v>710363</v>
      </c>
      <c r="B15018" s="3" t="s">
        <v>75742</v>
      </c>
      <c r="C15018" s="3" t="s">
        <v>31</v>
      </c>
      <c r="D15018" s="3" t="s">
        <v>32</v>
      </c>
      <c r="E15018" s="4" t="s">
        <v>22</v>
      </c>
      <c r="F15018" s="4" t="s">
        <v>75743</v>
      </c>
      <c r="G15018" s="4" t="s">
        <v>75744</v>
      </c>
      <c r="H15018" s="3" t="s">
        <v>73938</v>
      </c>
      <c r="I15018" s="3" t="s">
        <v>75745</v>
      </c>
      <c r="J15018" s="3" t="s">
        <v>75746</v>
      </c>
      <c r="K15018" s="3" t="s">
        <v>75747</v>
      </c>
      <c r="L15018" s="3" t="s">
        <v>75748</v>
      </c>
      <c r="M15018" s="4"/>
      <c r="N15018" s="3" t="s">
        <v>37</v>
      </c>
      <c r="O15018" s="3" t="s">
        <v>52</v>
      </c>
      <c r="P15018" s="5">
        <v>9</v>
      </c>
      <c r="Q15018" s="5">
        <v>96</v>
      </c>
      <c r="R15018" s="5">
        <v>9</v>
      </c>
      <c r="S15018" s="5">
        <v>92</v>
      </c>
    </row>
    <row r="15019" spans="1:19" ht="28" x14ac:dyDescent="0.15">
      <c r="A15019" s="2">
        <f>HYPERLINK("https://open-school.uspishnemisto.com.ua/school/710364/", 710364)</f>
        <v>710364</v>
      </c>
      <c r="B15019" s="3" t="s">
        <v>75749</v>
      </c>
      <c r="C15019" s="3" t="s">
        <v>31</v>
      </c>
      <c r="D15019" s="3" t="s">
        <v>175</v>
      </c>
      <c r="E15019" s="4" t="s">
        <v>22</v>
      </c>
      <c r="F15019" s="4" t="s">
        <v>75750</v>
      </c>
      <c r="G15019" s="4" t="s">
        <v>75751</v>
      </c>
      <c r="H15019" s="3" t="s">
        <v>73938</v>
      </c>
      <c r="I15019" s="3" t="s">
        <v>75752</v>
      </c>
      <c r="J15019" s="3" t="s">
        <v>75753</v>
      </c>
      <c r="K15019" s="3" t="s">
        <v>75754</v>
      </c>
      <c r="L15019" s="3" t="s">
        <v>75755</v>
      </c>
      <c r="M15019" s="4"/>
      <c r="N15019" s="3" t="s">
        <v>37</v>
      </c>
      <c r="O15019" s="3" t="s">
        <v>52</v>
      </c>
      <c r="P15019" s="5">
        <v>6</v>
      </c>
      <c r="Q15019" s="5">
        <v>58</v>
      </c>
      <c r="R15019" s="5">
        <v>6</v>
      </c>
      <c r="S15019" s="5">
        <v>60</v>
      </c>
    </row>
    <row r="15020" spans="1:19" ht="28" x14ac:dyDescent="0.15">
      <c r="A15020" s="2">
        <f>HYPERLINK("https://open-school.uspishnemisto.com.ua/school/710365/", 710365)</f>
        <v>710365</v>
      </c>
      <c r="B15020" s="3" t="s">
        <v>75756</v>
      </c>
      <c r="C15020" s="3" t="s">
        <v>31</v>
      </c>
      <c r="D15020" s="3" t="s">
        <v>175</v>
      </c>
      <c r="E15020" s="4" t="s">
        <v>22</v>
      </c>
      <c r="F15020" s="4" t="s">
        <v>75757</v>
      </c>
      <c r="G15020" s="4" t="s">
        <v>75758</v>
      </c>
      <c r="H15020" s="3" t="s">
        <v>73938</v>
      </c>
      <c r="I15020" s="3" t="s">
        <v>27335</v>
      </c>
      <c r="J15020" s="3" t="s">
        <v>75759</v>
      </c>
      <c r="K15020" s="3" t="s">
        <v>75760</v>
      </c>
      <c r="L15020" s="3" t="s">
        <v>75761</v>
      </c>
      <c r="M15020" s="4"/>
      <c r="N15020" s="3" t="s">
        <v>37</v>
      </c>
      <c r="O15020" s="3" t="s">
        <v>52</v>
      </c>
      <c r="P15020" s="5">
        <v>4</v>
      </c>
      <c r="Q15020" s="5">
        <v>34</v>
      </c>
      <c r="R15020" s="5">
        <v>2</v>
      </c>
      <c r="S15020" s="5">
        <v>30</v>
      </c>
    </row>
    <row r="15021" spans="1:19" ht="28" x14ac:dyDescent="0.15">
      <c r="A15021" s="2">
        <f>HYPERLINK("https://open-school.uspishnemisto.com.ua/school/710366/", 710366)</f>
        <v>710366</v>
      </c>
      <c r="B15021" s="3" t="s">
        <v>75762</v>
      </c>
      <c r="C15021" s="3" t="s">
        <v>31</v>
      </c>
      <c r="D15021" s="3" t="s">
        <v>32</v>
      </c>
      <c r="E15021" s="4" t="s">
        <v>22</v>
      </c>
      <c r="F15021" s="4" t="s">
        <v>75763</v>
      </c>
      <c r="G15021" s="4" t="s">
        <v>75764</v>
      </c>
      <c r="H15021" s="3" t="s">
        <v>73938</v>
      </c>
      <c r="I15021" s="3" t="s">
        <v>75765</v>
      </c>
      <c r="J15021" s="3" t="s">
        <v>5432</v>
      </c>
      <c r="K15021" s="3" t="s">
        <v>75766</v>
      </c>
      <c r="L15021" s="3" t="s">
        <v>75767</v>
      </c>
      <c r="M15021" s="4"/>
      <c r="N15021" s="3" t="s">
        <v>37</v>
      </c>
      <c r="O15021" s="3" t="s">
        <v>52</v>
      </c>
      <c r="P15021" s="5">
        <v>11</v>
      </c>
      <c r="Q15021" s="5">
        <v>166</v>
      </c>
      <c r="R15021" s="5">
        <v>11</v>
      </c>
      <c r="S15021" s="5">
        <v>178</v>
      </c>
    </row>
    <row r="15022" spans="1:19" ht="28" x14ac:dyDescent="0.15">
      <c r="A15022" s="2">
        <f>HYPERLINK("https://open-school.uspishnemisto.com.ua/school/710367/", 710367)</f>
        <v>710367</v>
      </c>
      <c r="B15022" s="3" t="s">
        <v>75768</v>
      </c>
      <c r="C15022" s="3" t="s">
        <v>31</v>
      </c>
      <c r="D15022" s="3" t="s">
        <v>32</v>
      </c>
      <c r="E15022" s="4" t="s">
        <v>22</v>
      </c>
      <c r="F15022" s="4" t="s">
        <v>75769</v>
      </c>
      <c r="G15022" s="4" t="s">
        <v>75770</v>
      </c>
      <c r="H15022" s="3" t="s">
        <v>73938</v>
      </c>
      <c r="I15022" s="3" t="s">
        <v>75771</v>
      </c>
      <c r="J15022" s="3" t="s">
        <v>946</v>
      </c>
      <c r="K15022" s="3" t="s">
        <v>28600</v>
      </c>
      <c r="L15022" s="3" t="s">
        <v>75772</v>
      </c>
      <c r="M15022" s="4"/>
      <c r="N15022" s="3" t="s">
        <v>37</v>
      </c>
      <c r="O15022" s="3" t="s">
        <v>52</v>
      </c>
      <c r="P15022" s="5">
        <v>7</v>
      </c>
      <c r="Q15022" s="5">
        <v>62</v>
      </c>
      <c r="R15022" s="5">
        <v>8</v>
      </c>
      <c r="S15022" s="5">
        <v>59</v>
      </c>
    </row>
    <row r="15023" spans="1:19" ht="28" x14ac:dyDescent="0.15">
      <c r="A15023" s="2">
        <f>HYPERLINK("https://open-school.uspishnemisto.com.ua/school/710368/", 710368)</f>
        <v>710368</v>
      </c>
      <c r="B15023" s="3" t="s">
        <v>75773</v>
      </c>
      <c r="C15023" s="3" t="s">
        <v>31</v>
      </c>
      <c r="D15023" s="3" t="s">
        <v>32</v>
      </c>
      <c r="E15023" s="4" t="s">
        <v>22</v>
      </c>
      <c r="F15023" s="4" t="s">
        <v>75774</v>
      </c>
      <c r="G15023" s="4" t="s">
        <v>75775</v>
      </c>
      <c r="H15023" s="3" t="s">
        <v>73938</v>
      </c>
      <c r="I15023" s="3" t="s">
        <v>75776</v>
      </c>
      <c r="J15023" s="3" t="s">
        <v>15451</v>
      </c>
      <c r="K15023" s="3" t="s">
        <v>24615</v>
      </c>
      <c r="L15023" s="3" t="s">
        <v>75777</v>
      </c>
      <c r="M15023" s="4"/>
      <c r="N15023" s="3" t="s">
        <v>37</v>
      </c>
      <c r="O15023" s="3" t="s">
        <v>52</v>
      </c>
      <c r="P15023" s="5">
        <v>10</v>
      </c>
      <c r="Q15023" s="5">
        <v>86</v>
      </c>
      <c r="R15023" s="5">
        <v>9</v>
      </c>
      <c r="S15023" s="5">
        <v>73</v>
      </c>
    </row>
    <row r="15024" spans="1:19" ht="28" x14ac:dyDescent="0.15">
      <c r="A15024" s="2">
        <f>HYPERLINK("https://open-school.uspishnemisto.com.ua/school/710369/", 710369)</f>
        <v>710369</v>
      </c>
      <c r="B15024" s="3" t="s">
        <v>75778</v>
      </c>
      <c r="C15024" s="3" t="s">
        <v>31</v>
      </c>
      <c r="D15024" s="3" t="s">
        <v>175</v>
      </c>
      <c r="E15024" s="4" t="s">
        <v>22</v>
      </c>
      <c r="F15024" s="4" t="s">
        <v>75779</v>
      </c>
      <c r="G15024" s="4" t="s">
        <v>75780</v>
      </c>
      <c r="H15024" s="3" t="s">
        <v>73938</v>
      </c>
      <c r="I15024" s="3" t="s">
        <v>2202</v>
      </c>
      <c r="J15024" s="3" t="s">
        <v>75781</v>
      </c>
      <c r="K15024" s="3" t="s">
        <v>75782</v>
      </c>
      <c r="L15024" s="3" t="s">
        <v>75783</v>
      </c>
      <c r="M15024" s="4"/>
      <c r="N15024" s="3" t="s">
        <v>37</v>
      </c>
      <c r="O15024" s="3" t="s">
        <v>52</v>
      </c>
      <c r="P15024" s="5">
        <v>5</v>
      </c>
      <c r="Q15024" s="5">
        <v>47</v>
      </c>
      <c r="R15024" s="5">
        <v>5</v>
      </c>
      <c r="S15024" s="5">
        <v>43</v>
      </c>
    </row>
    <row r="15025" spans="1:19" ht="28" x14ac:dyDescent="0.15">
      <c r="A15025" s="2">
        <f>HYPERLINK("https://open-school.uspishnemisto.com.ua/school/710370/", 710370)</f>
        <v>710370</v>
      </c>
      <c r="B15025" s="3" t="s">
        <v>75784</v>
      </c>
      <c r="C15025" s="3" t="s">
        <v>31</v>
      </c>
      <c r="D15025" s="3" t="s">
        <v>175</v>
      </c>
      <c r="E15025" s="4" t="s">
        <v>22</v>
      </c>
      <c r="F15025" s="4" t="s">
        <v>75785</v>
      </c>
      <c r="G15025" s="4" t="s">
        <v>75786</v>
      </c>
      <c r="H15025" s="3" t="s">
        <v>73938</v>
      </c>
      <c r="I15025" s="3" t="s">
        <v>75787</v>
      </c>
      <c r="J15025" s="3" t="s">
        <v>75788</v>
      </c>
      <c r="K15025" s="3" t="s">
        <v>75789</v>
      </c>
      <c r="L15025" s="3" t="s">
        <v>75790</v>
      </c>
      <c r="M15025" s="4"/>
      <c r="N15025" s="3" t="s">
        <v>37</v>
      </c>
      <c r="O15025" s="3" t="s">
        <v>967</v>
      </c>
      <c r="P15025" s="5">
        <v>9</v>
      </c>
      <c r="Q15025" s="5">
        <v>78</v>
      </c>
      <c r="R15025" s="5">
        <v>8</v>
      </c>
      <c r="S15025" s="5">
        <v>78</v>
      </c>
    </row>
    <row r="15026" spans="1:19" ht="28" x14ac:dyDescent="0.15">
      <c r="A15026" s="2">
        <f>HYPERLINK("https://open-school.uspishnemisto.com.ua/school/710371/", 710371)</f>
        <v>710371</v>
      </c>
      <c r="B15026" s="3" t="s">
        <v>75791</v>
      </c>
      <c r="C15026" s="3" t="s">
        <v>31</v>
      </c>
      <c r="D15026" s="3" t="s">
        <v>32</v>
      </c>
      <c r="E15026" s="4" t="s">
        <v>22</v>
      </c>
      <c r="F15026" s="4" t="s">
        <v>75792</v>
      </c>
      <c r="G15026" s="4" t="s">
        <v>75793</v>
      </c>
      <c r="H15026" s="3" t="s">
        <v>73938</v>
      </c>
      <c r="I15026" s="3" t="s">
        <v>75794</v>
      </c>
      <c r="J15026" s="3" t="s">
        <v>75795</v>
      </c>
      <c r="K15026" s="3" t="s">
        <v>75796</v>
      </c>
      <c r="L15026" s="3" t="s">
        <v>75797</v>
      </c>
      <c r="M15026" s="4"/>
      <c r="N15026" s="3" t="s">
        <v>37</v>
      </c>
      <c r="O15026" s="3" t="s">
        <v>2740</v>
      </c>
      <c r="P15026" s="5">
        <v>10</v>
      </c>
      <c r="Q15026" s="5">
        <v>103</v>
      </c>
      <c r="R15026" s="5">
        <v>10</v>
      </c>
      <c r="S15026" s="5">
        <v>100</v>
      </c>
    </row>
    <row r="15027" spans="1:19" ht="28" x14ac:dyDescent="0.15">
      <c r="A15027" s="2">
        <f>HYPERLINK("https://open-school.uspishnemisto.com.ua/school/710372/", 710372)</f>
        <v>710372</v>
      </c>
      <c r="B15027" s="3" t="s">
        <v>75798</v>
      </c>
      <c r="C15027" s="3" t="s">
        <v>31</v>
      </c>
      <c r="D15027" s="3" t="s">
        <v>32</v>
      </c>
      <c r="E15027" s="4" t="s">
        <v>22</v>
      </c>
      <c r="F15027" s="4" t="s">
        <v>75799</v>
      </c>
      <c r="G15027" s="4" t="s">
        <v>75800</v>
      </c>
      <c r="H15027" s="3" t="s">
        <v>73938</v>
      </c>
      <c r="I15027" s="3" t="s">
        <v>75801</v>
      </c>
      <c r="J15027" s="3" t="s">
        <v>29416</v>
      </c>
      <c r="K15027" s="3" t="s">
        <v>75802</v>
      </c>
      <c r="L15027" s="3" t="s">
        <v>75803</v>
      </c>
      <c r="M15027" s="4"/>
      <c r="N15027" s="3" t="s">
        <v>37</v>
      </c>
      <c r="O15027" s="3" t="s">
        <v>2740</v>
      </c>
      <c r="P15027" s="5">
        <v>9</v>
      </c>
      <c r="Q15027" s="5">
        <v>71</v>
      </c>
      <c r="R15027" s="5">
        <v>9</v>
      </c>
      <c r="S15027" s="5">
        <v>73</v>
      </c>
    </row>
    <row r="15028" spans="1:19" ht="28" x14ac:dyDescent="0.15">
      <c r="A15028" s="2">
        <f>HYPERLINK("https://open-school.uspishnemisto.com.ua/school/710373/", 710373)</f>
        <v>710373</v>
      </c>
      <c r="B15028" s="3" t="s">
        <v>75804</v>
      </c>
      <c r="C15028" s="3" t="s">
        <v>31</v>
      </c>
      <c r="D15028" s="3" t="s">
        <v>32</v>
      </c>
      <c r="E15028" s="4" t="s">
        <v>22</v>
      </c>
      <c r="F15028" s="4" t="s">
        <v>75805</v>
      </c>
      <c r="G15028" s="4" t="s">
        <v>75806</v>
      </c>
      <c r="H15028" s="3" t="s">
        <v>73938</v>
      </c>
      <c r="I15028" s="3" t="s">
        <v>75807</v>
      </c>
      <c r="J15028" s="3" t="s">
        <v>75808</v>
      </c>
      <c r="K15028" s="3" t="s">
        <v>75809</v>
      </c>
      <c r="L15028" s="3" t="s">
        <v>75810</v>
      </c>
      <c r="M15028" s="4"/>
      <c r="N15028" s="3" t="s">
        <v>37</v>
      </c>
      <c r="O15028" s="3" t="s">
        <v>52</v>
      </c>
      <c r="P15028" s="5">
        <v>17</v>
      </c>
      <c r="Q15028" s="5">
        <v>317</v>
      </c>
      <c r="R15028" s="5">
        <v>17</v>
      </c>
      <c r="S15028" s="5">
        <v>307</v>
      </c>
    </row>
    <row r="15029" spans="1:19" ht="42" x14ac:dyDescent="0.15">
      <c r="A15029" s="2">
        <f>HYPERLINK("https://open-school.uspishnemisto.com.ua/school/710374/", 710374)</f>
        <v>710374</v>
      </c>
      <c r="B15029" s="3" t="s">
        <v>75811</v>
      </c>
      <c r="C15029" s="3" t="s">
        <v>244</v>
      </c>
      <c r="D15029" s="3" t="s">
        <v>32</v>
      </c>
      <c r="E15029" s="4" t="s">
        <v>22</v>
      </c>
      <c r="F15029" s="4" t="s">
        <v>75805</v>
      </c>
      <c r="G15029" s="4" t="s">
        <v>75806</v>
      </c>
      <c r="H15029" s="3" t="s">
        <v>73938</v>
      </c>
      <c r="I15029" s="3" t="s">
        <v>75807</v>
      </c>
      <c r="J15029" s="3" t="s">
        <v>75812</v>
      </c>
      <c r="K15029" s="3" t="s">
        <v>75813</v>
      </c>
      <c r="L15029" s="3" t="s">
        <v>75814</v>
      </c>
      <c r="M15029" s="4"/>
      <c r="N15029" s="3" t="s">
        <v>37</v>
      </c>
      <c r="O15029" s="3" t="s">
        <v>46</v>
      </c>
      <c r="P15029" s="5">
        <v>30</v>
      </c>
      <c r="Q15029" s="5">
        <v>460</v>
      </c>
      <c r="R15029" s="5">
        <v>22</v>
      </c>
      <c r="S15029" s="5">
        <v>382</v>
      </c>
    </row>
    <row r="15030" spans="1:19" ht="42" x14ac:dyDescent="0.15">
      <c r="A15030" s="2">
        <f>HYPERLINK("https://open-school.uspishnemisto.com.ua/school/710375/", 710375)</f>
        <v>710375</v>
      </c>
      <c r="B15030" s="3" t="s">
        <v>75815</v>
      </c>
      <c r="C15030" s="3" t="s">
        <v>4989</v>
      </c>
      <c r="D15030" s="3" t="s">
        <v>32</v>
      </c>
      <c r="E15030" s="4" t="s">
        <v>22</v>
      </c>
      <c r="F15030" s="4" t="s">
        <v>75805</v>
      </c>
      <c r="G15030" s="4" t="s">
        <v>75806</v>
      </c>
      <c r="H15030" s="3" t="s">
        <v>73938</v>
      </c>
      <c r="I15030" s="3" t="s">
        <v>75807</v>
      </c>
      <c r="J15030" s="3" t="s">
        <v>75816</v>
      </c>
      <c r="K15030" s="3" t="s">
        <v>75817</v>
      </c>
      <c r="L15030" s="3" t="s">
        <v>75818</v>
      </c>
      <c r="M15030" s="4" t="s">
        <v>75819</v>
      </c>
      <c r="N15030" s="3" t="s">
        <v>37</v>
      </c>
      <c r="O15030" s="3" t="s">
        <v>52</v>
      </c>
      <c r="P15030" s="5">
        <v>11</v>
      </c>
      <c r="Q15030" s="5">
        <v>128</v>
      </c>
      <c r="R15030" s="5">
        <v>10</v>
      </c>
      <c r="S15030" s="5">
        <v>132</v>
      </c>
    </row>
    <row r="15031" spans="1:19" ht="42" x14ac:dyDescent="0.15">
      <c r="A15031" s="2">
        <f>HYPERLINK("https://open-school.uspishnemisto.com.ua/school/710376/", 710376)</f>
        <v>710376</v>
      </c>
      <c r="B15031" s="3" t="s">
        <v>75820</v>
      </c>
      <c r="C15031" s="3" t="s">
        <v>31</v>
      </c>
      <c r="D15031" s="3" t="s">
        <v>32</v>
      </c>
      <c r="E15031" s="4" t="s">
        <v>22</v>
      </c>
      <c r="F15031" s="4" t="s">
        <v>75805</v>
      </c>
      <c r="G15031" s="4" t="s">
        <v>75806</v>
      </c>
      <c r="H15031" s="3" t="s">
        <v>73938</v>
      </c>
      <c r="I15031" s="3" t="s">
        <v>75807</v>
      </c>
      <c r="J15031" s="3" t="s">
        <v>3304</v>
      </c>
      <c r="K15031" s="3" t="s">
        <v>75821</v>
      </c>
      <c r="L15031" s="3" t="s">
        <v>75822</v>
      </c>
      <c r="M15031" s="4"/>
      <c r="N15031" s="3" t="s">
        <v>37</v>
      </c>
      <c r="O15031" s="3" t="s">
        <v>52</v>
      </c>
      <c r="P15031" s="5">
        <v>31</v>
      </c>
      <c r="Q15031" s="5">
        <v>658</v>
      </c>
      <c r="R15031" s="5">
        <v>30</v>
      </c>
      <c r="S15031" s="5">
        <v>643</v>
      </c>
    </row>
    <row r="15032" spans="1:19" ht="28" x14ac:dyDescent="0.15">
      <c r="A15032" s="2">
        <f>HYPERLINK("https://open-school.uspishnemisto.com.ua/school/710377/", 710377)</f>
        <v>710377</v>
      </c>
      <c r="B15032" s="3" t="s">
        <v>75823</v>
      </c>
      <c r="C15032" s="3" t="s">
        <v>31</v>
      </c>
      <c r="D15032" s="3" t="s">
        <v>32</v>
      </c>
      <c r="E15032" s="4" t="s">
        <v>22</v>
      </c>
      <c r="F15032" s="4" t="s">
        <v>75824</v>
      </c>
      <c r="G15032" s="4" t="s">
        <v>75825</v>
      </c>
      <c r="H15032" s="3" t="s">
        <v>73938</v>
      </c>
      <c r="I15032" s="3" t="s">
        <v>75826</v>
      </c>
      <c r="J15032" s="3" t="s">
        <v>75827</v>
      </c>
      <c r="K15032" s="3" t="s">
        <v>75828</v>
      </c>
      <c r="L15032" s="3" t="s">
        <v>75829</v>
      </c>
      <c r="M15032" s="4"/>
      <c r="N15032" s="3" t="s">
        <v>37</v>
      </c>
      <c r="O15032" s="3" t="s">
        <v>52</v>
      </c>
      <c r="P15032" s="5">
        <v>18</v>
      </c>
      <c r="Q15032" s="5">
        <v>350</v>
      </c>
      <c r="R15032" s="5">
        <v>19</v>
      </c>
      <c r="S15032" s="5">
        <v>349</v>
      </c>
    </row>
    <row r="15033" spans="1:19" ht="56" x14ac:dyDescent="0.15">
      <c r="A15033" s="2">
        <f>HYPERLINK("https://open-school.uspishnemisto.com.ua/school/710378/", 710378)</f>
        <v>710378</v>
      </c>
      <c r="B15033" s="3" t="s">
        <v>75830</v>
      </c>
      <c r="C15033" s="3" t="s">
        <v>31</v>
      </c>
      <c r="D15033" s="3" t="s">
        <v>175</v>
      </c>
      <c r="E15033" s="4" t="s">
        <v>22</v>
      </c>
      <c r="F15033" s="4" t="s">
        <v>75805</v>
      </c>
      <c r="G15033" s="4" t="s">
        <v>75831</v>
      </c>
      <c r="H15033" s="3" t="s">
        <v>73938</v>
      </c>
      <c r="I15033" s="3" t="s">
        <v>75832</v>
      </c>
      <c r="J15033" s="3" t="s">
        <v>75833</v>
      </c>
      <c r="K15033" s="3" t="s">
        <v>75834</v>
      </c>
      <c r="L15033" s="3"/>
      <c r="M15033" s="4"/>
      <c r="N15033" s="3" t="s">
        <v>37</v>
      </c>
      <c r="O15033" s="3" t="s">
        <v>52</v>
      </c>
      <c r="P15033" s="5">
        <v>0</v>
      </c>
      <c r="Q15033" s="5">
        <v>0</v>
      </c>
      <c r="R15033" s="5">
        <v>8</v>
      </c>
      <c r="S15033" s="5">
        <v>65</v>
      </c>
    </row>
    <row r="15034" spans="1:19" ht="28" x14ac:dyDescent="0.15">
      <c r="A15034" s="2">
        <f>HYPERLINK("https://open-school.uspishnemisto.com.ua/school/710379/", 710379)</f>
        <v>710379</v>
      </c>
      <c r="B15034" s="3" t="s">
        <v>75835</v>
      </c>
      <c r="C15034" s="3" t="s">
        <v>31</v>
      </c>
      <c r="D15034" s="3" t="s">
        <v>175</v>
      </c>
      <c r="E15034" s="4" t="s">
        <v>22</v>
      </c>
      <c r="F15034" s="4" t="s">
        <v>75805</v>
      </c>
      <c r="G15034" s="4" t="s">
        <v>75836</v>
      </c>
      <c r="H15034" s="3" t="s">
        <v>73938</v>
      </c>
      <c r="I15034" s="3" t="s">
        <v>75837</v>
      </c>
      <c r="J15034" s="3" t="s">
        <v>75838</v>
      </c>
      <c r="K15034" s="3" t="s">
        <v>75839</v>
      </c>
      <c r="L15034" s="3"/>
      <c r="M15034" s="4"/>
      <c r="N15034" s="3" t="s">
        <v>37</v>
      </c>
      <c r="O15034" s="3" t="s">
        <v>52</v>
      </c>
      <c r="P15034" s="5">
        <v>8</v>
      </c>
      <c r="Q15034" s="5">
        <v>60</v>
      </c>
      <c r="R15034" s="5">
        <v>9</v>
      </c>
      <c r="S15034" s="5">
        <v>72</v>
      </c>
    </row>
    <row r="15035" spans="1:19" ht="28" x14ac:dyDescent="0.15">
      <c r="A15035" s="2">
        <f>HYPERLINK("https://open-school.uspishnemisto.com.ua/school/710380/", 710380)</f>
        <v>710380</v>
      </c>
      <c r="B15035" s="3" t="s">
        <v>75840</v>
      </c>
      <c r="C15035" s="3" t="s">
        <v>31</v>
      </c>
      <c r="D15035" s="3" t="s">
        <v>32</v>
      </c>
      <c r="E15035" s="4" t="s">
        <v>22</v>
      </c>
      <c r="F15035" s="4" t="s">
        <v>75841</v>
      </c>
      <c r="G15035" s="4" t="s">
        <v>75842</v>
      </c>
      <c r="H15035" s="3" t="s">
        <v>73938</v>
      </c>
      <c r="I15035" s="3" t="s">
        <v>75843</v>
      </c>
      <c r="J15035" s="3" t="s">
        <v>1348</v>
      </c>
      <c r="K15035" s="3" t="s">
        <v>75844</v>
      </c>
      <c r="L15035" s="3" t="s">
        <v>75845</v>
      </c>
      <c r="M15035" s="4"/>
      <c r="N15035" s="3" t="s">
        <v>37</v>
      </c>
      <c r="O15035" s="3" t="s">
        <v>52</v>
      </c>
      <c r="P15035" s="5">
        <v>8</v>
      </c>
      <c r="Q15035" s="5">
        <v>59</v>
      </c>
      <c r="R15035" s="5">
        <v>8</v>
      </c>
      <c r="S15035" s="5">
        <v>58</v>
      </c>
    </row>
    <row r="15036" spans="1:19" ht="28" x14ac:dyDescent="0.15">
      <c r="A15036" s="2">
        <f>HYPERLINK("https://open-school.uspishnemisto.com.ua/school/710381/", 710381)</f>
        <v>710381</v>
      </c>
      <c r="B15036" s="3" t="s">
        <v>75846</v>
      </c>
      <c r="C15036" s="3" t="s">
        <v>31</v>
      </c>
      <c r="D15036" s="3" t="s">
        <v>175</v>
      </c>
      <c r="E15036" s="4" t="s">
        <v>22</v>
      </c>
      <c r="F15036" s="4" t="s">
        <v>75847</v>
      </c>
      <c r="G15036" s="4" t="s">
        <v>75848</v>
      </c>
      <c r="H15036" s="3" t="s">
        <v>73938</v>
      </c>
      <c r="I15036" s="3" t="s">
        <v>5544</v>
      </c>
      <c r="J15036" s="3" t="s">
        <v>5971</v>
      </c>
      <c r="K15036" s="3" t="s">
        <v>75849</v>
      </c>
      <c r="L15036" s="3"/>
      <c r="M15036" s="4"/>
      <c r="N15036" s="3" t="s">
        <v>37</v>
      </c>
      <c r="O15036" s="3" t="s">
        <v>52</v>
      </c>
      <c r="P15036" s="5">
        <v>5</v>
      </c>
      <c r="Q15036" s="5">
        <v>32</v>
      </c>
      <c r="R15036" s="5">
        <v>4</v>
      </c>
      <c r="S15036" s="5">
        <v>28</v>
      </c>
    </row>
    <row r="15037" spans="1:19" ht="28" x14ac:dyDescent="0.15">
      <c r="A15037" s="2">
        <f>HYPERLINK("https://open-school.uspishnemisto.com.ua/school/710382/", 710382)</f>
        <v>710382</v>
      </c>
      <c r="B15037" s="3" t="s">
        <v>75850</v>
      </c>
      <c r="C15037" s="3" t="s">
        <v>31</v>
      </c>
      <c r="D15037" s="3" t="s">
        <v>32</v>
      </c>
      <c r="E15037" s="4" t="s">
        <v>22</v>
      </c>
      <c r="F15037" s="4" t="s">
        <v>75851</v>
      </c>
      <c r="G15037" s="4" t="s">
        <v>75852</v>
      </c>
      <c r="H15037" s="3" t="s">
        <v>73938</v>
      </c>
      <c r="I15037" s="3" t="s">
        <v>75853</v>
      </c>
      <c r="J15037" s="3" t="s">
        <v>75854</v>
      </c>
      <c r="K15037" s="3" t="s">
        <v>75855</v>
      </c>
      <c r="L15037" s="3"/>
      <c r="M15037" s="4"/>
      <c r="N15037" s="3" t="s">
        <v>37</v>
      </c>
      <c r="O15037" s="3" t="s">
        <v>52</v>
      </c>
      <c r="P15037" s="5">
        <v>9</v>
      </c>
      <c r="Q15037" s="5">
        <v>81</v>
      </c>
      <c r="R15037" s="5">
        <v>10</v>
      </c>
      <c r="S15037" s="5">
        <v>91</v>
      </c>
    </row>
    <row r="15038" spans="1:19" ht="28" x14ac:dyDescent="0.15">
      <c r="A15038" s="2">
        <f>HYPERLINK("https://open-school.uspishnemisto.com.ua/school/710383/", 710383)</f>
        <v>710383</v>
      </c>
      <c r="B15038" s="3" t="s">
        <v>75856</v>
      </c>
      <c r="C15038" s="3" t="s">
        <v>31</v>
      </c>
      <c r="D15038" s="3" t="s">
        <v>60</v>
      </c>
      <c r="E15038" s="4" t="s">
        <v>22</v>
      </c>
      <c r="F15038" s="4" t="s">
        <v>75857</v>
      </c>
      <c r="G15038" s="4" t="s">
        <v>75858</v>
      </c>
      <c r="H15038" s="3" t="s">
        <v>73938</v>
      </c>
      <c r="I15038" s="3" t="s">
        <v>75859</v>
      </c>
      <c r="J15038" s="3" t="s">
        <v>75860</v>
      </c>
      <c r="K15038" s="3" t="s">
        <v>75861</v>
      </c>
      <c r="L15038" s="3"/>
      <c r="M15038" s="4"/>
      <c r="N15038" s="3" t="s">
        <v>37</v>
      </c>
      <c r="O15038" s="3" t="s">
        <v>52</v>
      </c>
      <c r="P15038" s="5">
        <v>0</v>
      </c>
      <c r="Q15038" s="5">
        <v>16</v>
      </c>
      <c r="R15038" s="5">
        <v>1</v>
      </c>
      <c r="S15038" s="5">
        <v>16</v>
      </c>
    </row>
    <row r="15039" spans="1:19" ht="28" x14ac:dyDescent="0.15">
      <c r="A15039" s="2">
        <f>HYPERLINK("https://open-school.uspishnemisto.com.ua/school/710384/", 710384)</f>
        <v>710384</v>
      </c>
      <c r="B15039" s="3" t="s">
        <v>75862</v>
      </c>
      <c r="C15039" s="3" t="s">
        <v>31</v>
      </c>
      <c r="D15039" s="3" t="s">
        <v>32</v>
      </c>
      <c r="E15039" s="4" t="s">
        <v>22</v>
      </c>
      <c r="F15039" s="4" t="s">
        <v>75863</v>
      </c>
      <c r="G15039" s="4" t="s">
        <v>75864</v>
      </c>
      <c r="H15039" s="3" t="s">
        <v>73938</v>
      </c>
      <c r="I15039" s="3" t="s">
        <v>75865</v>
      </c>
      <c r="J15039" s="3" t="s">
        <v>75866</v>
      </c>
      <c r="K15039" s="3"/>
      <c r="L15039" s="3"/>
      <c r="M15039" s="4"/>
      <c r="N15039" s="3" t="s">
        <v>37</v>
      </c>
      <c r="O15039" s="3" t="s">
        <v>52</v>
      </c>
      <c r="P15039" s="5">
        <v>11</v>
      </c>
      <c r="Q15039" s="5">
        <v>82</v>
      </c>
      <c r="R15039" s="5">
        <v>11</v>
      </c>
      <c r="S15039" s="5">
        <v>83</v>
      </c>
    </row>
    <row r="15040" spans="1:19" ht="28" x14ac:dyDescent="0.15">
      <c r="A15040" s="2">
        <f>HYPERLINK("https://open-school.uspishnemisto.com.ua/school/710385/", 710385)</f>
        <v>710385</v>
      </c>
      <c r="B15040" s="3" t="s">
        <v>75867</v>
      </c>
      <c r="C15040" s="3" t="s">
        <v>31</v>
      </c>
      <c r="D15040" s="3" t="s">
        <v>32</v>
      </c>
      <c r="E15040" s="4" t="s">
        <v>22</v>
      </c>
      <c r="F15040" s="4" t="s">
        <v>75868</v>
      </c>
      <c r="G15040" s="4" t="s">
        <v>75869</v>
      </c>
      <c r="H15040" s="3" t="s">
        <v>73938</v>
      </c>
      <c r="I15040" s="3" t="s">
        <v>75870</v>
      </c>
      <c r="J15040" s="3" t="s">
        <v>447</v>
      </c>
      <c r="K15040" s="3" t="s">
        <v>75871</v>
      </c>
      <c r="L15040" s="3"/>
      <c r="M15040" s="4"/>
      <c r="N15040" s="3" t="s">
        <v>37</v>
      </c>
      <c r="O15040" s="3" t="s">
        <v>52</v>
      </c>
      <c r="P15040" s="5">
        <v>9</v>
      </c>
      <c r="Q15040" s="5">
        <v>77</v>
      </c>
      <c r="R15040" s="5">
        <v>8</v>
      </c>
      <c r="S15040" s="5">
        <v>80</v>
      </c>
    </row>
    <row r="15041" spans="1:19" ht="42" x14ac:dyDescent="0.15">
      <c r="A15041" s="2">
        <f>HYPERLINK("https://open-school.uspishnemisto.com.ua/school/710386/", 710386)</f>
        <v>710386</v>
      </c>
      <c r="B15041" s="3" t="s">
        <v>75872</v>
      </c>
      <c r="C15041" s="3" t="s">
        <v>54</v>
      </c>
      <c r="D15041" s="3" t="s">
        <v>32</v>
      </c>
      <c r="E15041" s="4" t="s">
        <v>22</v>
      </c>
      <c r="F15041" s="4" t="s">
        <v>75873</v>
      </c>
      <c r="G15041" s="4" t="s">
        <v>75874</v>
      </c>
      <c r="H15041" s="3" t="s">
        <v>73938</v>
      </c>
      <c r="I15041" s="3" t="s">
        <v>75875</v>
      </c>
      <c r="J15041" s="3" t="s">
        <v>61955</v>
      </c>
      <c r="K15041" s="3" t="s">
        <v>75876</v>
      </c>
      <c r="L15041" s="3"/>
      <c r="M15041" s="4"/>
      <c r="N15041" s="3" t="s">
        <v>37</v>
      </c>
      <c r="O15041" s="3" t="s">
        <v>52</v>
      </c>
      <c r="P15041" s="5">
        <v>9</v>
      </c>
      <c r="Q15041" s="5">
        <v>97</v>
      </c>
      <c r="R15041" s="5">
        <v>9</v>
      </c>
      <c r="S15041" s="5">
        <v>87</v>
      </c>
    </row>
    <row r="15042" spans="1:19" ht="42" x14ac:dyDescent="0.15">
      <c r="A15042" s="2">
        <f>HYPERLINK("https://open-school.uspishnemisto.com.ua/school/710387/", 710387)</f>
        <v>710387</v>
      </c>
      <c r="B15042" s="3" t="s">
        <v>75877</v>
      </c>
      <c r="C15042" s="3" t="s">
        <v>54</v>
      </c>
      <c r="D15042" s="3" t="s">
        <v>32</v>
      </c>
      <c r="E15042" s="4" t="s">
        <v>22</v>
      </c>
      <c r="F15042" s="4" t="s">
        <v>75878</v>
      </c>
      <c r="G15042" s="4" t="s">
        <v>75879</v>
      </c>
      <c r="H15042" s="3" t="s">
        <v>73938</v>
      </c>
      <c r="I15042" s="3" t="s">
        <v>75880</v>
      </c>
      <c r="J15042" s="3" t="s">
        <v>75881</v>
      </c>
      <c r="K15042" s="3" t="s">
        <v>75882</v>
      </c>
      <c r="L15042" s="3" t="s">
        <v>75883</v>
      </c>
      <c r="M15042" s="4"/>
      <c r="N15042" s="3" t="s">
        <v>37</v>
      </c>
      <c r="O15042" s="3" t="s">
        <v>52</v>
      </c>
      <c r="P15042" s="5">
        <v>11</v>
      </c>
      <c r="Q15042" s="5">
        <v>80</v>
      </c>
      <c r="R15042" s="5">
        <v>10</v>
      </c>
      <c r="S15042" s="5">
        <v>84</v>
      </c>
    </row>
    <row r="15043" spans="1:19" ht="28" x14ac:dyDescent="0.15">
      <c r="A15043" s="2">
        <f>HYPERLINK("https://open-school.uspishnemisto.com.ua/school/710388/", 710388)</f>
        <v>710388</v>
      </c>
      <c r="B15043" s="3" t="s">
        <v>75884</v>
      </c>
      <c r="C15043" s="3" t="s">
        <v>31</v>
      </c>
      <c r="D15043" s="3" t="s">
        <v>32</v>
      </c>
      <c r="E15043" s="4" t="s">
        <v>22</v>
      </c>
      <c r="F15043" s="4" t="s">
        <v>75873</v>
      </c>
      <c r="G15043" s="4" t="s">
        <v>75885</v>
      </c>
      <c r="H15043" s="3" t="s">
        <v>73938</v>
      </c>
      <c r="I15043" s="3" t="s">
        <v>75886</v>
      </c>
      <c r="J15043" s="3" t="s">
        <v>6438</v>
      </c>
      <c r="K15043" s="3" t="s">
        <v>75887</v>
      </c>
      <c r="L15043" s="3"/>
      <c r="M15043" s="4"/>
      <c r="N15043" s="3" t="s">
        <v>37</v>
      </c>
      <c r="O15043" s="3" t="s">
        <v>52</v>
      </c>
      <c r="P15043" s="5">
        <v>9</v>
      </c>
      <c r="Q15043" s="5">
        <v>80</v>
      </c>
      <c r="R15043" s="5">
        <v>8</v>
      </c>
      <c r="S15043" s="5">
        <v>81</v>
      </c>
    </row>
    <row r="15044" spans="1:19" ht="42" x14ac:dyDescent="0.15">
      <c r="A15044" s="2">
        <f>HYPERLINK("https://open-school.uspishnemisto.com.ua/school/710389/", 710389)</f>
        <v>710389</v>
      </c>
      <c r="B15044" s="3" t="s">
        <v>75888</v>
      </c>
      <c r="C15044" s="3" t="s">
        <v>54</v>
      </c>
      <c r="D15044" s="3" t="s">
        <v>32</v>
      </c>
      <c r="E15044" s="4" t="s">
        <v>22</v>
      </c>
      <c r="F15044" s="4" t="s">
        <v>75889</v>
      </c>
      <c r="G15044" s="4" t="s">
        <v>75890</v>
      </c>
      <c r="H15044" s="3" t="s">
        <v>73938</v>
      </c>
      <c r="I15044" s="3" t="s">
        <v>362</v>
      </c>
      <c r="J15044" s="3" t="s">
        <v>75891</v>
      </c>
      <c r="K15044" s="3" t="s">
        <v>75892</v>
      </c>
      <c r="L15044" s="3" t="s">
        <v>75893</v>
      </c>
      <c r="M15044" s="4"/>
      <c r="N15044" s="3" t="s">
        <v>37</v>
      </c>
      <c r="O15044" s="3" t="s">
        <v>52</v>
      </c>
      <c r="P15044" s="5">
        <v>4</v>
      </c>
      <c r="Q15044" s="5">
        <v>45</v>
      </c>
      <c r="R15044" s="5">
        <v>5</v>
      </c>
      <c r="S15044" s="5">
        <v>49</v>
      </c>
    </row>
    <row r="15045" spans="1:19" ht="42" x14ac:dyDescent="0.15">
      <c r="A15045" s="2">
        <f>HYPERLINK("https://open-school.uspishnemisto.com.ua/school/710390/", 710390)</f>
        <v>710390</v>
      </c>
      <c r="B15045" s="3" t="s">
        <v>75894</v>
      </c>
      <c r="C15045" s="3" t="s">
        <v>54</v>
      </c>
      <c r="D15045" s="3" t="s">
        <v>175</v>
      </c>
      <c r="E15045" s="4" t="s">
        <v>22</v>
      </c>
      <c r="F15045" s="4" t="s">
        <v>75895</v>
      </c>
      <c r="G15045" s="4" t="s">
        <v>75896</v>
      </c>
      <c r="H15045" s="3" t="s">
        <v>73938</v>
      </c>
      <c r="I15045" s="3" t="s">
        <v>75897</v>
      </c>
      <c r="J15045" s="3" t="s">
        <v>75898</v>
      </c>
      <c r="K15045" s="3"/>
      <c r="L15045" s="3"/>
      <c r="M15045" s="4"/>
      <c r="N15045" s="3" t="s">
        <v>37</v>
      </c>
      <c r="O15045" s="3" t="s">
        <v>52</v>
      </c>
      <c r="P15045" s="5">
        <v>3</v>
      </c>
      <c r="Q15045" s="5">
        <v>27</v>
      </c>
      <c r="R15045" s="5">
        <v>3</v>
      </c>
      <c r="S15045" s="5">
        <v>31</v>
      </c>
    </row>
    <row r="15046" spans="1:19" ht="28" x14ac:dyDescent="0.15">
      <c r="A15046" s="2">
        <f>HYPERLINK("https://open-school.uspishnemisto.com.ua/school/710391/", 710391)</f>
        <v>710391</v>
      </c>
      <c r="B15046" s="3" t="s">
        <v>75899</v>
      </c>
      <c r="C15046" s="3" t="s">
        <v>31</v>
      </c>
      <c r="D15046" s="3" t="s">
        <v>32</v>
      </c>
      <c r="E15046" s="4" t="s">
        <v>22</v>
      </c>
      <c r="F15046" s="4" t="s">
        <v>75900</v>
      </c>
      <c r="G15046" s="4" t="s">
        <v>75901</v>
      </c>
      <c r="H15046" s="3" t="s">
        <v>73938</v>
      </c>
      <c r="I15046" s="3" t="s">
        <v>75902</v>
      </c>
      <c r="J15046" s="3" t="s">
        <v>75903</v>
      </c>
      <c r="K15046" s="3" t="s">
        <v>75904</v>
      </c>
      <c r="L15046" s="3"/>
      <c r="M15046" s="4"/>
      <c r="N15046" s="3" t="s">
        <v>37</v>
      </c>
      <c r="O15046" s="3" t="s">
        <v>52</v>
      </c>
      <c r="P15046" s="5">
        <v>6</v>
      </c>
      <c r="Q15046" s="5">
        <v>44</v>
      </c>
      <c r="R15046" s="5">
        <v>4</v>
      </c>
      <c r="S15046" s="5">
        <v>33</v>
      </c>
    </row>
    <row r="15047" spans="1:19" ht="42" x14ac:dyDescent="0.15">
      <c r="A15047" s="2">
        <f>HYPERLINK("https://open-school.uspishnemisto.com.ua/school/710392/", 710392)</f>
        <v>710392</v>
      </c>
      <c r="B15047" s="3" t="s">
        <v>75905</v>
      </c>
      <c r="C15047" s="3" t="s">
        <v>54</v>
      </c>
      <c r="D15047" s="3" t="s">
        <v>32</v>
      </c>
      <c r="E15047" s="4" t="s">
        <v>22</v>
      </c>
      <c r="F15047" s="4" t="s">
        <v>75906</v>
      </c>
      <c r="G15047" s="4" t="s">
        <v>75907</v>
      </c>
      <c r="H15047" s="3" t="s">
        <v>73938</v>
      </c>
      <c r="I15047" s="3" t="s">
        <v>44290</v>
      </c>
      <c r="J15047" s="3" t="s">
        <v>4425</v>
      </c>
      <c r="K15047" s="3" t="s">
        <v>75908</v>
      </c>
      <c r="L15047" s="3"/>
      <c r="M15047" s="4"/>
      <c r="N15047" s="3" t="s">
        <v>37</v>
      </c>
      <c r="O15047" s="3" t="s">
        <v>52</v>
      </c>
      <c r="P15047" s="5">
        <v>7</v>
      </c>
      <c r="Q15047" s="5">
        <v>53</v>
      </c>
      <c r="R15047" s="5">
        <v>6</v>
      </c>
      <c r="S15047" s="5">
        <v>47</v>
      </c>
    </row>
    <row r="15048" spans="1:19" ht="28" x14ac:dyDescent="0.15">
      <c r="A15048" s="2">
        <f>HYPERLINK("https://open-school.uspishnemisto.com.ua/school/710393/", 710393)</f>
        <v>710393</v>
      </c>
      <c r="B15048" s="3" t="s">
        <v>75909</v>
      </c>
      <c r="C15048" s="3" t="s">
        <v>31</v>
      </c>
      <c r="D15048" s="3" t="s">
        <v>32</v>
      </c>
      <c r="E15048" s="4" t="s">
        <v>22</v>
      </c>
      <c r="F15048" s="4" t="s">
        <v>75910</v>
      </c>
      <c r="G15048" s="4" t="s">
        <v>75911</v>
      </c>
      <c r="H15048" s="3" t="s">
        <v>73938</v>
      </c>
      <c r="I15048" s="3" t="s">
        <v>71259</v>
      </c>
      <c r="J15048" s="3" t="s">
        <v>75912</v>
      </c>
      <c r="K15048" s="3" t="s">
        <v>75913</v>
      </c>
      <c r="L15048" s="3"/>
      <c r="M15048" s="4"/>
      <c r="N15048" s="3" t="s">
        <v>37</v>
      </c>
      <c r="O15048" s="3" t="s">
        <v>52</v>
      </c>
      <c r="P15048" s="5">
        <v>10</v>
      </c>
      <c r="Q15048" s="5">
        <v>111</v>
      </c>
      <c r="R15048" s="5">
        <v>10</v>
      </c>
      <c r="S15048" s="5">
        <v>109</v>
      </c>
    </row>
    <row r="15049" spans="1:19" ht="42" x14ac:dyDescent="0.15">
      <c r="A15049" s="2">
        <f>HYPERLINK("https://open-school.uspishnemisto.com.ua/school/710395/", 710395)</f>
        <v>710395</v>
      </c>
      <c r="B15049" s="3" t="s">
        <v>75914</v>
      </c>
      <c r="C15049" s="3" t="s">
        <v>54</v>
      </c>
      <c r="D15049" s="3" t="s">
        <v>32</v>
      </c>
      <c r="E15049" s="4" t="s">
        <v>22</v>
      </c>
      <c r="F15049" s="4" t="s">
        <v>75915</v>
      </c>
      <c r="G15049" s="4" t="s">
        <v>75916</v>
      </c>
      <c r="H15049" s="3" t="s">
        <v>73938</v>
      </c>
      <c r="I15049" s="3" t="s">
        <v>75917</v>
      </c>
      <c r="J15049" s="3" t="s">
        <v>2191</v>
      </c>
      <c r="K15049" s="3"/>
      <c r="L15049" s="3"/>
      <c r="M15049" s="4"/>
      <c r="N15049" s="3" t="s">
        <v>37</v>
      </c>
      <c r="O15049" s="3" t="s">
        <v>52</v>
      </c>
      <c r="P15049" s="5">
        <v>6</v>
      </c>
      <c r="Q15049" s="5">
        <v>50</v>
      </c>
      <c r="R15049" s="5">
        <v>4</v>
      </c>
      <c r="S15049" s="5">
        <v>45</v>
      </c>
    </row>
    <row r="15050" spans="1:19" ht="28" x14ac:dyDescent="0.15">
      <c r="A15050" s="2">
        <f>HYPERLINK("https://open-school.uspishnemisto.com.ua/school/710396/", 710396)</f>
        <v>710396</v>
      </c>
      <c r="B15050" s="3" t="s">
        <v>75918</v>
      </c>
      <c r="C15050" s="3" t="s">
        <v>31</v>
      </c>
      <c r="D15050" s="3" t="s">
        <v>32</v>
      </c>
      <c r="E15050" s="4" t="s">
        <v>22</v>
      </c>
      <c r="F15050" s="4" t="s">
        <v>75878</v>
      </c>
      <c r="G15050" s="4" t="s">
        <v>75919</v>
      </c>
      <c r="H15050" s="3" t="s">
        <v>73938</v>
      </c>
      <c r="I15050" s="3" t="s">
        <v>75920</v>
      </c>
      <c r="J15050" s="3" t="s">
        <v>2465</v>
      </c>
      <c r="K15050" s="3" t="s">
        <v>75921</v>
      </c>
      <c r="L15050" s="3"/>
      <c r="M15050" s="4"/>
      <c r="N15050" s="3" t="s">
        <v>37</v>
      </c>
      <c r="O15050" s="3" t="s">
        <v>52</v>
      </c>
      <c r="P15050" s="5">
        <v>9</v>
      </c>
      <c r="Q15050" s="5">
        <v>87</v>
      </c>
      <c r="R15050" s="5">
        <v>11</v>
      </c>
      <c r="S15050" s="5">
        <v>82</v>
      </c>
    </row>
    <row r="15051" spans="1:19" ht="28" x14ac:dyDescent="0.15">
      <c r="A15051" s="2">
        <f>HYPERLINK("https://open-school.uspishnemisto.com.ua/school/710397/", 710397)</f>
        <v>710397</v>
      </c>
      <c r="B15051" s="3" t="s">
        <v>75922</v>
      </c>
      <c r="C15051" s="3" t="s">
        <v>31</v>
      </c>
      <c r="D15051" s="3" t="s">
        <v>32</v>
      </c>
      <c r="E15051" s="4" t="s">
        <v>22</v>
      </c>
      <c r="F15051" s="4" t="s">
        <v>75923</v>
      </c>
      <c r="G15051" s="4" t="s">
        <v>75924</v>
      </c>
      <c r="H15051" s="3" t="s">
        <v>73938</v>
      </c>
      <c r="I15051" s="3" t="s">
        <v>75925</v>
      </c>
      <c r="J15051" s="3" t="s">
        <v>1348</v>
      </c>
      <c r="K15051" s="3" t="s">
        <v>75926</v>
      </c>
      <c r="L15051" s="3"/>
      <c r="M15051" s="4"/>
      <c r="N15051" s="3" t="s">
        <v>37</v>
      </c>
      <c r="O15051" s="3" t="s">
        <v>52</v>
      </c>
      <c r="P15051" s="5">
        <v>5</v>
      </c>
      <c r="Q15051" s="5">
        <v>44</v>
      </c>
      <c r="R15051" s="5">
        <v>5</v>
      </c>
      <c r="S15051" s="5">
        <v>42</v>
      </c>
    </row>
    <row r="15052" spans="1:19" ht="28" x14ac:dyDescent="0.15">
      <c r="A15052" s="2">
        <f>HYPERLINK("https://open-school.uspishnemisto.com.ua/school/710398/", 710398)</f>
        <v>710398</v>
      </c>
      <c r="B15052" s="3" t="s">
        <v>75927</v>
      </c>
      <c r="C15052" s="3" t="s">
        <v>54</v>
      </c>
      <c r="D15052" s="3" t="s">
        <v>32</v>
      </c>
      <c r="E15052" s="4" t="s">
        <v>22</v>
      </c>
      <c r="F15052" s="4" t="s">
        <v>75928</v>
      </c>
      <c r="G15052" s="4" t="s">
        <v>75929</v>
      </c>
      <c r="H15052" s="3" t="s">
        <v>73938</v>
      </c>
      <c r="I15052" s="3" t="s">
        <v>75930</v>
      </c>
      <c r="J15052" s="3" t="s">
        <v>75931</v>
      </c>
      <c r="K15052" s="3" t="s">
        <v>75932</v>
      </c>
      <c r="L15052" s="3"/>
      <c r="M15052" s="4"/>
      <c r="N15052" s="3" t="s">
        <v>37</v>
      </c>
      <c r="O15052" s="3" t="s">
        <v>52</v>
      </c>
      <c r="P15052" s="5">
        <v>8</v>
      </c>
      <c r="Q15052" s="5">
        <v>64</v>
      </c>
      <c r="R15052" s="5">
        <v>8</v>
      </c>
      <c r="S15052" s="5">
        <v>60</v>
      </c>
    </row>
    <row r="15053" spans="1:19" ht="28" x14ac:dyDescent="0.15">
      <c r="A15053" s="2">
        <f>HYPERLINK("https://open-school.uspishnemisto.com.ua/school/710399/", 710399)</f>
        <v>710399</v>
      </c>
      <c r="B15053" s="3" t="s">
        <v>75933</v>
      </c>
      <c r="C15053" s="3" t="s">
        <v>31</v>
      </c>
      <c r="D15053" s="3" t="s">
        <v>175</v>
      </c>
      <c r="E15053" s="4" t="s">
        <v>22</v>
      </c>
      <c r="F15053" s="4" t="s">
        <v>75934</v>
      </c>
      <c r="G15053" s="4" t="s">
        <v>75935</v>
      </c>
      <c r="H15053" s="3" t="s">
        <v>73938</v>
      </c>
      <c r="I15053" s="3" t="s">
        <v>75936</v>
      </c>
      <c r="J15053" s="3" t="s">
        <v>75937</v>
      </c>
      <c r="K15053" s="3" t="s">
        <v>75938</v>
      </c>
      <c r="L15053" s="3"/>
      <c r="M15053" s="4"/>
      <c r="N15053" s="3" t="s">
        <v>37</v>
      </c>
      <c r="O15053" s="3" t="s">
        <v>38</v>
      </c>
      <c r="P15053" s="5">
        <v>9</v>
      </c>
      <c r="Q15053" s="5">
        <v>106</v>
      </c>
      <c r="R15053" s="5">
        <v>9</v>
      </c>
      <c r="S15053" s="5">
        <v>106</v>
      </c>
    </row>
    <row r="15054" spans="1:19" ht="28" x14ac:dyDescent="0.15">
      <c r="A15054" s="2">
        <f>HYPERLINK("https://open-school.uspishnemisto.com.ua/school/710400/", 710400)</f>
        <v>710400</v>
      </c>
      <c r="B15054" s="3" t="s">
        <v>75939</v>
      </c>
      <c r="C15054" s="3" t="s">
        <v>31</v>
      </c>
      <c r="D15054" s="3" t="s">
        <v>175</v>
      </c>
      <c r="E15054" s="4" t="s">
        <v>22</v>
      </c>
      <c r="F15054" s="4" t="s">
        <v>75940</v>
      </c>
      <c r="G15054" s="4" t="s">
        <v>75935</v>
      </c>
      <c r="H15054" s="3" t="s">
        <v>73938</v>
      </c>
      <c r="I15054" s="3" t="s">
        <v>75936</v>
      </c>
      <c r="J15054" s="3" t="s">
        <v>75941</v>
      </c>
      <c r="K15054" s="3" t="s">
        <v>75942</v>
      </c>
      <c r="L15054" s="3"/>
      <c r="M15054" s="4"/>
      <c r="N15054" s="3" t="s">
        <v>37</v>
      </c>
      <c r="O15054" s="3" t="s">
        <v>38</v>
      </c>
      <c r="P15054" s="5">
        <v>9</v>
      </c>
      <c r="Q15054" s="5">
        <v>73</v>
      </c>
      <c r="R15054" s="5">
        <v>9</v>
      </c>
      <c r="S15054" s="5">
        <v>74</v>
      </c>
    </row>
    <row r="15055" spans="1:19" ht="28" x14ac:dyDescent="0.15">
      <c r="A15055" s="2">
        <f>HYPERLINK("https://open-school.uspishnemisto.com.ua/school/710401/", 710401)</f>
        <v>710401</v>
      </c>
      <c r="B15055" s="3" t="s">
        <v>75943</v>
      </c>
      <c r="C15055" s="3" t="s">
        <v>244</v>
      </c>
      <c r="D15055" s="3" t="s">
        <v>32</v>
      </c>
      <c r="E15055" s="4" t="s">
        <v>22</v>
      </c>
      <c r="F15055" s="4" t="s">
        <v>75940</v>
      </c>
      <c r="G15055" s="4" t="s">
        <v>75935</v>
      </c>
      <c r="H15055" s="3" t="s">
        <v>73938</v>
      </c>
      <c r="I15055" s="3" t="s">
        <v>75936</v>
      </c>
      <c r="J15055" s="3" t="s">
        <v>55050</v>
      </c>
      <c r="K15055" s="3" t="s">
        <v>75944</v>
      </c>
      <c r="L15055" s="3"/>
      <c r="M15055" s="4"/>
      <c r="N15055" s="3" t="s">
        <v>37</v>
      </c>
      <c r="O15055" s="3" t="s">
        <v>52</v>
      </c>
      <c r="P15055" s="5">
        <v>11</v>
      </c>
      <c r="Q15055" s="5">
        <v>232</v>
      </c>
      <c r="R15055" s="5">
        <v>11</v>
      </c>
      <c r="S15055" s="5">
        <v>222</v>
      </c>
    </row>
    <row r="15056" spans="1:19" ht="28" x14ac:dyDescent="0.15">
      <c r="A15056" s="2">
        <f>HYPERLINK("https://open-school.uspishnemisto.com.ua/school/710402/", 710402)</f>
        <v>710402</v>
      </c>
      <c r="B15056" s="3" t="s">
        <v>75945</v>
      </c>
      <c r="C15056" s="3" t="s">
        <v>31</v>
      </c>
      <c r="D15056" s="3" t="s">
        <v>175</v>
      </c>
      <c r="E15056" s="4" t="s">
        <v>22</v>
      </c>
      <c r="F15056" s="4" t="s">
        <v>75946</v>
      </c>
      <c r="G15056" s="4" t="s">
        <v>75947</v>
      </c>
      <c r="H15056" s="3" t="s">
        <v>73938</v>
      </c>
      <c r="I15056" s="3" t="s">
        <v>5842</v>
      </c>
      <c r="J15056" s="3" t="s">
        <v>8298</v>
      </c>
      <c r="K15056" s="3" t="s">
        <v>75948</v>
      </c>
      <c r="L15056" s="3"/>
      <c r="M15056" s="4"/>
      <c r="N15056" s="3" t="s">
        <v>37</v>
      </c>
      <c r="O15056" s="3" t="s">
        <v>52</v>
      </c>
      <c r="P15056" s="5">
        <v>8</v>
      </c>
      <c r="Q15056" s="5">
        <v>60</v>
      </c>
      <c r="R15056" s="5">
        <v>9</v>
      </c>
      <c r="S15056" s="5">
        <v>65</v>
      </c>
    </row>
    <row r="15057" spans="1:19" ht="28" x14ac:dyDescent="0.15">
      <c r="A15057" s="2">
        <f>HYPERLINK("https://open-school.uspishnemisto.com.ua/school/710403/", 710403)</f>
        <v>710403</v>
      </c>
      <c r="B15057" s="3" t="s">
        <v>75949</v>
      </c>
      <c r="C15057" s="3" t="s">
        <v>31</v>
      </c>
      <c r="D15057" s="3" t="s">
        <v>32</v>
      </c>
      <c r="E15057" s="4" t="s">
        <v>22</v>
      </c>
      <c r="F15057" s="4"/>
      <c r="G15057" s="4" t="s">
        <v>75950</v>
      </c>
      <c r="H15057" s="3" t="s">
        <v>73938</v>
      </c>
      <c r="I15057" s="3" t="s">
        <v>75951</v>
      </c>
      <c r="J15057" s="3" t="s">
        <v>75952</v>
      </c>
      <c r="K15057" s="3"/>
      <c r="L15057" s="3"/>
      <c r="M15057" s="4"/>
      <c r="N15057" s="3" t="s">
        <v>37</v>
      </c>
      <c r="O15057" s="3" t="s">
        <v>38</v>
      </c>
      <c r="P15057" s="5">
        <v>11</v>
      </c>
      <c r="Q15057" s="5">
        <v>166</v>
      </c>
      <c r="R15057" s="5">
        <v>11</v>
      </c>
      <c r="S15057" s="5">
        <v>166</v>
      </c>
    </row>
    <row r="15058" spans="1:19" ht="28" x14ac:dyDescent="0.15">
      <c r="A15058" s="2">
        <f>HYPERLINK("https://open-school.uspishnemisto.com.ua/school/710404/", 710404)</f>
        <v>710404</v>
      </c>
      <c r="B15058" s="3" t="s">
        <v>75953</v>
      </c>
      <c r="C15058" s="3" t="s">
        <v>31</v>
      </c>
      <c r="D15058" s="3" t="s">
        <v>32</v>
      </c>
      <c r="E15058" s="4" t="s">
        <v>22</v>
      </c>
      <c r="F15058" s="4" t="s">
        <v>75954</v>
      </c>
      <c r="G15058" s="4" t="s">
        <v>75955</v>
      </c>
      <c r="H15058" s="3" t="s">
        <v>73938</v>
      </c>
      <c r="I15058" s="3" t="s">
        <v>75956</v>
      </c>
      <c r="J15058" s="3" t="s">
        <v>75957</v>
      </c>
      <c r="K15058" s="3" t="s">
        <v>75958</v>
      </c>
      <c r="L15058" s="3"/>
      <c r="M15058" s="4"/>
      <c r="N15058" s="3" t="s">
        <v>37</v>
      </c>
      <c r="O15058" s="3" t="s">
        <v>38</v>
      </c>
      <c r="P15058" s="5">
        <v>11</v>
      </c>
      <c r="Q15058" s="5">
        <v>103</v>
      </c>
      <c r="R15058" s="5">
        <v>11</v>
      </c>
      <c r="S15058" s="5">
        <v>108</v>
      </c>
    </row>
    <row r="15059" spans="1:19" ht="28" x14ac:dyDescent="0.15">
      <c r="A15059" s="2">
        <f>HYPERLINK("https://open-school.uspishnemisto.com.ua/school/710405/", 710405)</f>
        <v>710405</v>
      </c>
      <c r="B15059" s="3" t="s">
        <v>75959</v>
      </c>
      <c r="C15059" s="3" t="s">
        <v>31</v>
      </c>
      <c r="D15059" s="3" t="s">
        <v>32</v>
      </c>
      <c r="E15059" s="4" t="s">
        <v>22</v>
      </c>
      <c r="F15059" s="4" t="s">
        <v>75960</v>
      </c>
      <c r="G15059" s="4" t="s">
        <v>75961</v>
      </c>
      <c r="H15059" s="3" t="s">
        <v>73938</v>
      </c>
      <c r="I15059" s="3" t="s">
        <v>75962</v>
      </c>
      <c r="J15059" s="3" t="s">
        <v>75963</v>
      </c>
      <c r="K15059" s="3" t="s">
        <v>75964</v>
      </c>
      <c r="L15059" s="3"/>
      <c r="M15059" s="4"/>
      <c r="N15059" s="3" t="s">
        <v>37</v>
      </c>
      <c r="O15059" s="3" t="s">
        <v>52</v>
      </c>
      <c r="P15059" s="5">
        <v>10</v>
      </c>
      <c r="Q15059" s="5">
        <v>70</v>
      </c>
      <c r="R15059" s="5">
        <v>10</v>
      </c>
      <c r="S15059" s="5">
        <v>81</v>
      </c>
    </row>
    <row r="15060" spans="1:19" ht="28" x14ac:dyDescent="0.15">
      <c r="A15060" s="2">
        <f>HYPERLINK("https://open-school.uspishnemisto.com.ua/school/710406/", 710406)</f>
        <v>710406</v>
      </c>
      <c r="B15060" s="3" t="s">
        <v>75965</v>
      </c>
      <c r="C15060" s="3" t="s">
        <v>31</v>
      </c>
      <c r="D15060" s="3" t="s">
        <v>175</v>
      </c>
      <c r="E15060" s="4" t="s">
        <v>22</v>
      </c>
      <c r="F15060" s="4" t="s">
        <v>75966</v>
      </c>
      <c r="G15060" s="4" t="s">
        <v>75967</v>
      </c>
      <c r="H15060" s="3" t="s">
        <v>73938</v>
      </c>
      <c r="I15060" s="3" t="s">
        <v>75968</v>
      </c>
      <c r="J15060" s="3" t="s">
        <v>75969</v>
      </c>
      <c r="K15060" s="3" t="s">
        <v>75970</v>
      </c>
      <c r="L15060" s="3"/>
      <c r="M15060" s="4"/>
      <c r="N15060" s="3" t="s">
        <v>37</v>
      </c>
      <c r="O15060" s="3" t="s">
        <v>38</v>
      </c>
      <c r="P15060" s="5">
        <v>8</v>
      </c>
      <c r="Q15060" s="5">
        <v>57</v>
      </c>
      <c r="R15060" s="5">
        <v>8</v>
      </c>
      <c r="S15060" s="5">
        <v>57</v>
      </c>
    </row>
    <row r="15061" spans="1:19" ht="28" x14ac:dyDescent="0.15">
      <c r="A15061" s="2">
        <f>HYPERLINK("https://open-school.uspishnemisto.com.ua/school/710407/", 710407)</f>
        <v>710407</v>
      </c>
      <c r="B15061" s="3" t="s">
        <v>75971</v>
      </c>
      <c r="C15061" s="3" t="s">
        <v>244</v>
      </c>
      <c r="D15061" s="3" t="s">
        <v>32</v>
      </c>
      <c r="E15061" s="4" t="s">
        <v>22</v>
      </c>
      <c r="F15061" s="4" t="s">
        <v>75972</v>
      </c>
      <c r="G15061" s="4" t="s">
        <v>75973</v>
      </c>
      <c r="H15061" s="3" t="s">
        <v>73938</v>
      </c>
      <c r="I15061" s="3" t="s">
        <v>2179</v>
      </c>
      <c r="J15061" s="3" t="s">
        <v>4425</v>
      </c>
      <c r="K15061" s="3" t="s">
        <v>75974</v>
      </c>
      <c r="L15061" s="3"/>
      <c r="M15061" s="4"/>
      <c r="N15061" s="3" t="s">
        <v>37</v>
      </c>
      <c r="O15061" s="3" t="s">
        <v>46</v>
      </c>
      <c r="P15061" s="5">
        <v>11</v>
      </c>
      <c r="Q15061" s="5">
        <v>216</v>
      </c>
      <c r="R15061" s="5">
        <v>11</v>
      </c>
      <c r="S15061" s="5">
        <v>206</v>
      </c>
    </row>
    <row r="15062" spans="1:19" ht="28" x14ac:dyDescent="0.15">
      <c r="A15062" s="2">
        <f>HYPERLINK("https://open-school.uspishnemisto.com.ua/school/710408/", 710408)</f>
        <v>710408</v>
      </c>
      <c r="B15062" s="3" t="s">
        <v>75975</v>
      </c>
      <c r="C15062" s="3" t="s">
        <v>31</v>
      </c>
      <c r="D15062" s="3" t="s">
        <v>175</v>
      </c>
      <c r="E15062" s="4" t="s">
        <v>22</v>
      </c>
      <c r="F15062" s="4" t="s">
        <v>75976</v>
      </c>
      <c r="G15062" s="4" t="s">
        <v>75977</v>
      </c>
      <c r="H15062" s="3" t="s">
        <v>73938</v>
      </c>
      <c r="I15062" s="3" t="s">
        <v>75978</v>
      </c>
      <c r="J15062" s="3" t="s">
        <v>3745</v>
      </c>
      <c r="K15062" s="3" t="s">
        <v>75979</v>
      </c>
      <c r="L15062" s="3"/>
      <c r="M15062" s="4"/>
      <c r="N15062" s="3" t="s">
        <v>37</v>
      </c>
      <c r="O15062" s="3" t="s">
        <v>38</v>
      </c>
      <c r="P15062" s="5">
        <v>2</v>
      </c>
      <c r="Q15062" s="5">
        <v>33</v>
      </c>
      <c r="R15062" s="5">
        <v>3</v>
      </c>
      <c r="S15062" s="5">
        <v>36</v>
      </c>
    </row>
    <row r="15063" spans="1:19" ht="28" x14ac:dyDescent="0.15">
      <c r="A15063" s="2">
        <f>HYPERLINK("https://open-school.uspishnemisto.com.ua/school/710409/", 710409)</f>
        <v>710409</v>
      </c>
      <c r="B15063" s="3" t="s">
        <v>75980</v>
      </c>
      <c r="C15063" s="3" t="s">
        <v>31</v>
      </c>
      <c r="D15063" s="3" t="s">
        <v>32</v>
      </c>
      <c r="E15063" s="4" t="s">
        <v>22</v>
      </c>
      <c r="F15063" s="4" t="s">
        <v>75981</v>
      </c>
      <c r="G15063" s="4" t="s">
        <v>75982</v>
      </c>
      <c r="H15063" s="3" t="s">
        <v>73938</v>
      </c>
      <c r="I15063" s="3" t="s">
        <v>31249</v>
      </c>
      <c r="J15063" s="3" t="s">
        <v>75983</v>
      </c>
      <c r="K15063" s="3" t="s">
        <v>75984</v>
      </c>
      <c r="L15063" s="3"/>
      <c r="M15063" s="4"/>
      <c r="N15063" s="3" t="s">
        <v>37</v>
      </c>
      <c r="O15063" s="3" t="s">
        <v>46</v>
      </c>
      <c r="P15063" s="5">
        <v>11</v>
      </c>
      <c r="Q15063" s="5">
        <v>148</v>
      </c>
      <c r="R15063" s="5">
        <v>11</v>
      </c>
      <c r="S15063" s="5">
        <v>149</v>
      </c>
    </row>
    <row r="15064" spans="1:19" ht="28" x14ac:dyDescent="0.15">
      <c r="A15064" s="2">
        <f>HYPERLINK("https://open-school.uspishnemisto.com.ua/school/710410/", 710410)</f>
        <v>710410</v>
      </c>
      <c r="B15064" s="3" t="s">
        <v>75985</v>
      </c>
      <c r="C15064" s="3" t="s">
        <v>31</v>
      </c>
      <c r="D15064" s="3" t="s">
        <v>175</v>
      </c>
      <c r="E15064" s="4" t="s">
        <v>22</v>
      </c>
      <c r="F15064" s="4" t="s">
        <v>75986</v>
      </c>
      <c r="G15064" s="4" t="s">
        <v>75987</v>
      </c>
      <c r="H15064" s="3" t="s">
        <v>73938</v>
      </c>
      <c r="I15064" s="3" t="s">
        <v>75988</v>
      </c>
      <c r="J15064" s="3" t="s">
        <v>2465</v>
      </c>
      <c r="K15064" s="3" t="s">
        <v>75989</v>
      </c>
      <c r="L15064" s="3"/>
      <c r="M15064" s="4"/>
      <c r="N15064" s="3" t="s">
        <v>37</v>
      </c>
      <c r="O15064" s="3" t="s">
        <v>38</v>
      </c>
      <c r="P15064" s="5">
        <v>7</v>
      </c>
      <c r="Q15064" s="5">
        <v>57</v>
      </c>
      <c r="R15064" s="5">
        <v>8</v>
      </c>
      <c r="S15064" s="5">
        <v>54</v>
      </c>
    </row>
    <row r="15065" spans="1:19" ht="28" x14ac:dyDescent="0.15">
      <c r="A15065" s="2">
        <f>HYPERLINK("https://open-school.uspishnemisto.com.ua/school/710411/", 710411)</f>
        <v>710411</v>
      </c>
      <c r="B15065" s="3" t="s">
        <v>75990</v>
      </c>
      <c r="C15065" s="3" t="s">
        <v>31</v>
      </c>
      <c r="D15065" s="3" t="s">
        <v>175</v>
      </c>
      <c r="E15065" s="4" t="s">
        <v>22</v>
      </c>
      <c r="F15065" s="4" t="s">
        <v>75991</v>
      </c>
      <c r="G15065" s="4" t="s">
        <v>75992</v>
      </c>
      <c r="H15065" s="3" t="s">
        <v>73938</v>
      </c>
      <c r="I15065" s="3" t="s">
        <v>75993</v>
      </c>
      <c r="J15065" s="3" t="s">
        <v>75994</v>
      </c>
      <c r="K15065" s="3" t="s">
        <v>75995</v>
      </c>
      <c r="L15065" s="3" t="s">
        <v>75996</v>
      </c>
      <c r="M15065" s="4"/>
      <c r="N15065" s="3" t="s">
        <v>37</v>
      </c>
      <c r="O15065" s="3" t="s">
        <v>38</v>
      </c>
      <c r="P15065" s="5">
        <v>9</v>
      </c>
      <c r="Q15065" s="5">
        <v>72</v>
      </c>
      <c r="R15065" s="5">
        <v>9</v>
      </c>
      <c r="S15065" s="5">
        <v>72</v>
      </c>
    </row>
    <row r="15066" spans="1:19" ht="28" x14ac:dyDescent="0.15">
      <c r="A15066" s="2">
        <f>HYPERLINK("https://open-school.uspishnemisto.com.ua/school/710412/", 710412)</f>
        <v>710412</v>
      </c>
      <c r="B15066" s="3" t="s">
        <v>75997</v>
      </c>
      <c r="C15066" s="3" t="s">
        <v>31</v>
      </c>
      <c r="D15066" s="3" t="s">
        <v>175</v>
      </c>
      <c r="E15066" s="4" t="s">
        <v>22</v>
      </c>
      <c r="F15066" s="4" t="s">
        <v>75998</v>
      </c>
      <c r="G15066" s="4" t="s">
        <v>75999</v>
      </c>
      <c r="H15066" s="3" t="s">
        <v>73938</v>
      </c>
      <c r="I15066" s="3" t="s">
        <v>76000</v>
      </c>
      <c r="J15066" s="3" t="s">
        <v>2555</v>
      </c>
      <c r="K15066" s="3" t="s">
        <v>76001</v>
      </c>
      <c r="L15066" s="3" t="s">
        <v>76002</v>
      </c>
      <c r="M15066" s="4"/>
      <c r="N15066" s="3" t="s">
        <v>37</v>
      </c>
      <c r="O15066" s="3" t="s">
        <v>38</v>
      </c>
      <c r="P15066" s="5">
        <v>7</v>
      </c>
      <c r="Q15066" s="5">
        <v>51</v>
      </c>
      <c r="R15066" s="5">
        <v>8</v>
      </c>
      <c r="S15066" s="5">
        <v>51</v>
      </c>
    </row>
    <row r="15067" spans="1:19" ht="28" x14ac:dyDescent="0.15">
      <c r="A15067" s="2">
        <f>HYPERLINK("https://open-school.uspishnemisto.com.ua/school/710413/", 710413)</f>
        <v>710413</v>
      </c>
      <c r="B15067" s="3" t="s">
        <v>76003</v>
      </c>
      <c r="C15067" s="3" t="s">
        <v>31</v>
      </c>
      <c r="D15067" s="3" t="s">
        <v>32</v>
      </c>
      <c r="E15067" s="4" t="s">
        <v>22</v>
      </c>
      <c r="F15067" s="4" t="s">
        <v>76004</v>
      </c>
      <c r="G15067" s="4" t="s">
        <v>76005</v>
      </c>
      <c r="H15067" s="3" t="s">
        <v>73938</v>
      </c>
      <c r="I15067" s="3" t="s">
        <v>76006</v>
      </c>
      <c r="J15067" s="3" t="s">
        <v>76007</v>
      </c>
      <c r="K15067" s="3" t="s">
        <v>76008</v>
      </c>
      <c r="L15067" s="3"/>
      <c r="M15067" s="4"/>
      <c r="N15067" s="3" t="s">
        <v>37</v>
      </c>
      <c r="O15067" s="3" t="s">
        <v>38</v>
      </c>
      <c r="P15067" s="5">
        <v>10</v>
      </c>
      <c r="Q15067" s="5">
        <v>95</v>
      </c>
      <c r="R15067" s="5">
        <v>11</v>
      </c>
      <c r="S15067" s="5">
        <v>91</v>
      </c>
    </row>
    <row r="15068" spans="1:19" ht="28" x14ac:dyDescent="0.15">
      <c r="A15068" s="2">
        <f>HYPERLINK("https://open-school.uspishnemisto.com.ua/school/710414/", 710414)</f>
        <v>710414</v>
      </c>
      <c r="B15068" s="3" t="s">
        <v>76009</v>
      </c>
      <c r="C15068" s="3" t="s">
        <v>31</v>
      </c>
      <c r="D15068" s="3" t="s">
        <v>175</v>
      </c>
      <c r="E15068" s="4" t="s">
        <v>22</v>
      </c>
      <c r="F15068" s="4" t="s">
        <v>76010</v>
      </c>
      <c r="G15068" s="4" t="s">
        <v>76011</v>
      </c>
      <c r="H15068" s="3" t="s">
        <v>73938</v>
      </c>
      <c r="I15068" s="3" t="s">
        <v>76012</v>
      </c>
      <c r="J15068" s="3" t="s">
        <v>76013</v>
      </c>
      <c r="K15068" s="3" t="s">
        <v>76014</v>
      </c>
      <c r="L15068" s="3" t="s">
        <v>76015</v>
      </c>
      <c r="M15068" s="4"/>
      <c r="N15068" s="3" t="s">
        <v>37</v>
      </c>
      <c r="O15068" s="3" t="s">
        <v>52</v>
      </c>
      <c r="P15068" s="5">
        <v>1</v>
      </c>
      <c r="Q15068" s="5">
        <v>27</v>
      </c>
      <c r="R15068" s="5">
        <v>3</v>
      </c>
      <c r="S15068" s="5">
        <v>29</v>
      </c>
    </row>
    <row r="15069" spans="1:19" ht="28" x14ac:dyDescent="0.15">
      <c r="A15069" s="2">
        <f>HYPERLINK("https://open-school.uspishnemisto.com.ua/school/710415/", 710415)</f>
        <v>710415</v>
      </c>
      <c r="B15069" s="3" t="s">
        <v>76016</v>
      </c>
      <c r="C15069" s="3" t="s">
        <v>31</v>
      </c>
      <c r="D15069" s="3" t="s">
        <v>175</v>
      </c>
      <c r="E15069" s="4" t="s">
        <v>22</v>
      </c>
      <c r="F15069" s="4" t="s">
        <v>76017</v>
      </c>
      <c r="G15069" s="4" t="s">
        <v>76018</v>
      </c>
      <c r="H15069" s="3" t="s">
        <v>73938</v>
      </c>
      <c r="I15069" s="3" t="s">
        <v>76019</v>
      </c>
      <c r="J15069" s="3" t="s">
        <v>59782</v>
      </c>
      <c r="K15069" s="3" t="s">
        <v>76020</v>
      </c>
      <c r="L15069" s="3"/>
      <c r="M15069" s="4"/>
      <c r="N15069" s="3" t="s">
        <v>37</v>
      </c>
      <c r="O15069" s="3" t="s">
        <v>46</v>
      </c>
      <c r="P15069" s="5">
        <v>3</v>
      </c>
      <c r="Q15069" s="5">
        <v>33</v>
      </c>
      <c r="R15069" s="5">
        <v>3</v>
      </c>
      <c r="S15069" s="5">
        <v>28</v>
      </c>
    </row>
    <row r="15070" spans="1:19" ht="28" x14ac:dyDescent="0.15">
      <c r="A15070" s="2">
        <f>HYPERLINK("https://open-school.uspishnemisto.com.ua/school/710416/", 710416)</f>
        <v>710416</v>
      </c>
      <c r="B15070" s="3" t="s">
        <v>76021</v>
      </c>
      <c r="C15070" s="3" t="s">
        <v>31</v>
      </c>
      <c r="D15070" s="3" t="s">
        <v>175</v>
      </c>
      <c r="E15070" s="4" t="s">
        <v>22</v>
      </c>
      <c r="F15070" s="4" t="s">
        <v>76022</v>
      </c>
      <c r="G15070" s="4" t="s">
        <v>76023</v>
      </c>
      <c r="H15070" s="3" t="s">
        <v>73938</v>
      </c>
      <c r="I15070" s="3" t="s">
        <v>2202</v>
      </c>
      <c r="J15070" s="3" t="s">
        <v>76024</v>
      </c>
      <c r="K15070" s="3"/>
      <c r="L15070" s="3"/>
      <c r="M15070" s="4"/>
      <c r="N15070" s="3" t="s">
        <v>37</v>
      </c>
      <c r="O15070" s="3" t="s">
        <v>38</v>
      </c>
      <c r="P15070" s="5">
        <v>6</v>
      </c>
      <c r="Q15070" s="5">
        <v>49</v>
      </c>
      <c r="R15070" s="5">
        <v>6</v>
      </c>
      <c r="S15070" s="5">
        <v>45</v>
      </c>
    </row>
    <row r="15071" spans="1:19" ht="28" x14ac:dyDescent="0.15">
      <c r="A15071" s="2">
        <f>HYPERLINK("https://open-school.uspishnemisto.com.ua/school/710417/", 710417)</f>
        <v>710417</v>
      </c>
      <c r="B15071" s="3" t="s">
        <v>76025</v>
      </c>
      <c r="C15071" s="3" t="s">
        <v>31</v>
      </c>
      <c r="D15071" s="3" t="s">
        <v>32</v>
      </c>
      <c r="E15071" s="4" t="s">
        <v>22</v>
      </c>
      <c r="F15071" s="4" t="s">
        <v>76026</v>
      </c>
      <c r="G15071" s="4" t="s">
        <v>76027</v>
      </c>
      <c r="H15071" s="3" t="s">
        <v>73938</v>
      </c>
      <c r="I15071" s="3" t="s">
        <v>76028</v>
      </c>
      <c r="J15071" s="3" t="s">
        <v>69825</v>
      </c>
      <c r="K15071" s="3" t="s">
        <v>76029</v>
      </c>
      <c r="L15071" s="3"/>
      <c r="M15071" s="4"/>
      <c r="N15071" s="3" t="s">
        <v>37</v>
      </c>
      <c r="O15071" s="3" t="s">
        <v>46</v>
      </c>
      <c r="P15071" s="5">
        <v>11</v>
      </c>
      <c r="Q15071" s="5">
        <v>147</v>
      </c>
      <c r="R15071" s="5">
        <v>11</v>
      </c>
      <c r="S15071" s="5">
        <v>148</v>
      </c>
    </row>
    <row r="15072" spans="1:19" ht="28" x14ac:dyDescent="0.15">
      <c r="A15072" s="2">
        <f>HYPERLINK("https://open-school.uspishnemisto.com.ua/school/710418/", 710418)</f>
        <v>710418</v>
      </c>
      <c r="B15072" s="3" t="s">
        <v>76030</v>
      </c>
      <c r="C15072" s="3" t="s">
        <v>31</v>
      </c>
      <c r="D15072" s="3" t="s">
        <v>175</v>
      </c>
      <c r="E15072" s="4" t="s">
        <v>22</v>
      </c>
      <c r="F15072" s="4" t="s">
        <v>76031</v>
      </c>
      <c r="G15072" s="4" t="s">
        <v>76032</v>
      </c>
      <c r="H15072" s="3" t="s">
        <v>73938</v>
      </c>
      <c r="I15072" s="3" t="s">
        <v>76033</v>
      </c>
      <c r="J15072" s="3" t="s">
        <v>3173</v>
      </c>
      <c r="K15072" s="3" t="s">
        <v>76034</v>
      </c>
      <c r="L15072" s="3"/>
      <c r="M15072" s="4"/>
      <c r="N15072" s="3" t="s">
        <v>37</v>
      </c>
      <c r="O15072" s="3" t="s">
        <v>52</v>
      </c>
      <c r="P15072" s="5">
        <v>1</v>
      </c>
      <c r="Q15072" s="5">
        <v>20</v>
      </c>
      <c r="R15072" s="5">
        <v>2</v>
      </c>
      <c r="S15072" s="5">
        <v>25</v>
      </c>
    </row>
    <row r="15073" spans="1:19" ht="28" x14ac:dyDescent="0.15">
      <c r="A15073" s="2">
        <f>HYPERLINK("https://open-school.uspishnemisto.com.ua/school/710419/", 710419)</f>
        <v>710419</v>
      </c>
      <c r="B15073" s="3" t="s">
        <v>76035</v>
      </c>
      <c r="C15073" s="3" t="s">
        <v>31</v>
      </c>
      <c r="D15073" s="3" t="s">
        <v>175</v>
      </c>
      <c r="E15073" s="4" t="s">
        <v>22</v>
      </c>
      <c r="F15073" s="4" t="s">
        <v>76036</v>
      </c>
      <c r="G15073" s="4" t="s">
        <v>76037</v>
      </c>
      <c r="H15073" s="3" t="s">
        <v>73938</v>
      </c>
      <c r="I15073" s="3" t="s">
        <v>76038</v>
      </c>
      <c r="J15073" s="3" t="s">
        <v>76039</v>
      </c>
      <c r="K15073" s="3" t="s">
        <v>76040</v>
      </c>
      <c r="L15073" s="3"/>
      <c r="M15073" s="4"/>
      <c r="N15073" s="3" t="s">
        <v>37</v>
      </c>
      <c r="O15073" s="3" t="s">
        <v>46</v>
      </c>
      <c r="P15073" s="5">
        <v>6</v>
      </c>
      <c r="Q15073" s="5">
        <v>40</v>
      </c>
      <c r="R15073" s="5">
        <v>5</v>
      </c>
      <c r="S15073" s="5">
        <v>37</v>
      </c>
    </row>
    <row r="15074" spans="1:19" ht="28" x14ac:dyDescent="0.15">
      <c r="A15074" s="2">
        <f>HYPERLINK("https://open-school.uspishnemisto.com.ua/school/710420/", 710420)</f>
        <v>710420</v>
      </c>
      <c r="B15074" s="3" t="s">
        <v>76041</v>
      </c>
      <c r="C15074" s="3" t="s">
        <v>31</v>
      </c>
      <c r="D15074" s="3" t="s">
        <v>32</v>
      </c>
      <c r="E15074" s="4" t="s">
        <v>22</v>
      </c>
      <c r="F15074" s="4" t="s">
        <v>76042</v>
      </c>
      <c r="G15074" s="4" t="s">
        <v>76043</v>
      </c>
      <c r="H15074" s="3" t="s">
        <v>73938</v>
      </c>
      <c r="I15074" s="3" t="s">
        <v>76044</v>
      </c>
      <c r="J15074" s="3" t="s">
        <v>10830</v>
      </c>
      <c r="K15074" s="3" t="s">
        <v>76045</v>
      </c>
      <c r="L15074" s="3" t="s">
        <v>76046</v>
      </c>
      <c r="M15074" s="4"/>
      <c r="N15074" s="3" t="s">
        <v>37</v>
      </c>
      <c r="O15074" s="3" t="s">
        <v>46</v>
      </c>
      <c r="P15074" s="5">
        <v>11</v>
      </c>
      <c r="Q15074" s="5">
        <v>107</v>
      </c>
      <c r="R15074" s="5">
        <v>11</v>
      </c>
      <c r="S15074" s="5">
        <v>104</v>
      </c>
    </row>
    <row r="15075" spans="1:19" ht="28" x14ac:dyDescent="0.15">
      <c r="A15075" s="2">
        <f>HYPERLINK("https://open-school.uspishnemisto.com.ua/school/710421/", 710421)</f>
        <v>710421</v>
      </c>
      <c r="B15075" s="3" t="s">
        <v>76047</v>
      </c>
      <c r="C15075" s="3" t="s">
        <v>31</v>
      </c>
      <c r="D15075" s="3" t="s">
        <v>32</v>
      </c>
      <c r="E15075" s="4" t="s">
        <v>22</v>
      </c>
      <c r="F15075" s="4" t="s">
        <v>76048</v>
      </c>
      <c r="G15075" s="4" t="s">
        <v>76049</v>
      </c>
      <c r="H15075" s="3" t="s">
        <v>73938</v>
      </c>
      <c r="I15075" s="3" t="s">
        <v>76050</v>
      </c>
      <c r="J15075" s="3" t="s">
        <v>76051</v>
      </c>
      <c r="K15075" s="3" t="s">
        <v>76052</v>
      </c>
      <c r="L15075" s="3"/>
      <c r="M15075" s="4"/>
      <c r="N15075" s="3" t="s">
        <v>37</v>
      </c>
      <c r="O15075" s="3" t="s">
        <v>38</v>
      </c>
      <c r="P15075" s="5">
        <v>11</v>
      </c>
      <c r="Q15075" s="5">
        <v>114</v>
      </c>
      <c r="R15075" s="5">
        <v>11</v>
      </c>
      <c r="S15075" s="5">
        <v>109</v>
      </c>
    </row>
    <row r="15076" spans="1:19" ht="28" x14ac:dyDescent="0.15">
      <c r="A15076" s="2">
        <f>HYPERLINK("https://open-school.uspishnemisto.com.ua/school/710422/", 710422)</f>
        <v>710422</v>
      </c>
      <c r="B15076" s="3" t="s">
        <v>76053</v>
      </c>
      <c r="C15076" s="3" t="s">
        <v>31</v>
      </c>
      <c r="D15076" s="3" t="s">
        <v>32</v>
      </c>
      <c r="E15076" s="4" t="s">
        <v>22</v>
      </c>
      <c r="F15076" s="4" t="s">
        <v>76054</v>
      </c>
      <c r="G15076" s="4" t="s">
        <v>76055</v>
      </c>
      <c r="H15076" s="3" t="s">
        <v>73938</v>
      </c>
      <c r="I15076" s="3" t="s">
        <v>753</v>
      </c>
      <c r="J15076" s="3" t="s">
        <v>76056</v>
      </c>
      <c r="K15076" s="3" t="s">
        <v>76057</v>
      </c>
      <c r="L15076" s="3" t="s">
        <v>76058</v>
      </c>
      <c r="M15076" s="4"/>
      <c r="N15076" s="3" t="s">
        <v>37</v>
      </c>
      <c r="O15076" s="3" t="s">
        <v>46</v>
      </c>
      <c r="P15076" s="5">
        <v>11</v>
      </c>
      <c r="Q15076" s="5">
        <v>100</v>
      </c>
      <c r="R15076" s="5">
        <v>11</v>
      </c>
      <c r="S15076" s="5">
        <v>101</v>
      </c>
    </row>
    <row r="15077" spans="1:19" ht="28" x14ac:dyDescent="0.15">
      <c r="A15077" s="2">
        <f>HYPERLINK("https://open-school.uspishnemisto.com.ua/school/710423/", 710423)</f>
        <v>710423</v>
      </c>
      <c r="B15077" s="3" t="s">
        <v>76059</v>
      </c>
      <c r="C15077" s="3" t="s">
        <v>2634</v>
      </c>
      <c r="D15077" s="3" t="s">
        <v>32</v>
      </c>
      <c r="E15077" s="4" t="s">
        <v>22</v>
      </c>
      <c r="F15077" s="4" t="s">
        <v>76060</v>
      </c>
      <c r="G15077" s="4" t="s">
        <v>76061</v>
      </c>
      <c r="H15077" s="3" t="s">
        <v>73938</v>
      </c>
      <c r="I15077" s="3" t="s">
        <v>76062</v>
      </c>
      <c r="J15077" s="3" t="s">
        <v>76063</v>
      </c>
      <c r="K15077" s="3" t="s">
        <v>76064</v>
      </c>
      <c r="L15077" s="3" t="s">
        <v>76065</v>
      </c>
      <c r="M15077" s="4" t="s">
        <v>76066</v>
      </c>
      <c r="N15077" s="3" t="s">
        <v>37</v>
      </c>
      <c r="O15077" s="3" t="s">
        <v>266</v>
      </c>
      <c r="P15077" s="5">
        <v>11</v>
      </c>
      <c r="Q15077" s="5">
        <v>192</v>
      </c>
      <c r="R15077" s="5">
        <v>11</v>
      </c>
      <c r="S15077" s="5">
        <v>201</v>
      </c>
    </row>
    <row r="15078" spans="1:19" ht="28" x14ac:dyDescent="0.15">
      <c r="A15078" s="2">
        <f>HYPERLINK("https://open-school.uspishnemisto.com.ua/school/710424/", 710424)</f>
        <v>710424</v>
      </c>
      <c r="B15078" s="3" t="s">
        <v>76067</v>
      </c>
      <c r="C15078" s="3" t="s">
        <v>31</v>
      </c>
      <c r="D15078" s="3" t="s">
        <v>175</v>
      </c>
      <c r="E15078" s="4" t="s">
        <v>22</v>
      </c>
      <c r="F15078" s="4" t="s">
        <v>76060</v>
      </c>
      <c r="G15078" s="4" t="s">
        <v>76061</v>
      </c>
      <c r="H15078" s="3" t="s">
        <v>73938</v>
      </c>
      <c r="I15078" s="3" t="s">
        <v>76062</v>
      </c>
      <c r="J15078" s="3" t="s">
        <v>76068</v>
      </c>
      <c r="K15078" s="3" t="s">
        <v>76069</v>
      </c>
      <c r="L15078" s="3" t="s">
        <v>76070</v>
      </c>
      <c r="M15078" s="4"/>
      <c r="N15078" s="3" t="s">
        <v>37</v>
      </c>
      <c r="O15078" s="3" t="s">
        <v>46</v>
      </c>
      <c r="P15078" s="5">
        <v>9</v>
      </c>
      <c r="Q15078" s="5">
        <v>131</v>
      </c>
      <c r="R15078" s="5">
        <v>9</v>
      </c>
      <c r="S15078" s="5">
        <v>127</v>
      </c>
    </row>
    <row r="15079" spans="1:19" ht="28" x14ac:dyDescent="0.15">
      <c r="A15079" s="2">
        <f>HYPERLINK("https://open-school.uspishnemisto.com.ua/school/710425/", 710425)</f>
        <v>710425</v>
      </c>
      <c r="B15079" s="3" t="s">
        <v>76071</v>
      </c>
      <c r="C15079" s="3" t="s">
        <v>31</v>
      </c>
      <c r="D15079" s="3" t="s">
        <v>32</v>
      </c>
      <c r="E15079" s="4" t="s">
        <v>22</v>
      </c>
      <c r="F15079" s="4" t="s">
        <v>76072</v>
      </c>
      <c r="G15079" s="4" t="s">
        <v>76061</v>
      </c>
      <c r="H15079" s="3" t="s">
        <v>73938</v>
      </c>
      <c r="I15079" s="3" t="s">
        <v>76062</v>
      </c>
      <c r="J15079" s="3" t="s">
        <v>76073</v>
      </c>
      <c r="K15079" s="3" t="s">
        <v>76074</v>
      </c>
      <c r="L15079" s="3" t="s">
        <v>76075</v>
      </c>
      <c r="M15079" s="4"/>
      <c r="N15079" s="3" t="s">
        <v>37</v>
      </c>
      <c r="O15079" s="3" t="s">
        <v>46</v>
      </c>
      <c r="P15079" s="5">
        <v>34</v>
      </c>
      <c r="Q15079" s="5">
        <v>778</v>
      </c>
      <c r="R15079" s="5">
        <v>33</v>
      </c>
      <c r="S15079" s="5">
        <v>770</v>
      </c>
    </row>
    <row r="15080" spans="1:19" ht="28" x14ac:dyDescent="0.15">
      <c r="A15080" s="2">
        <f>HYPERLINK("https://open-school.uspishnemisto.com.ua/school/710426/", 710426)</f>
        <v>710426</v>
      </c>
      <c r="B15080" s="3" t="s">
        <v>76076</v>
      </c>
      <c r="C15080" s="3" t="s">
        <v>188</v>
      </c>
      <c r="D15080" s="3" t="s">
        <v>32</v>
      </c>
      <c r="E15080" s="4" t="s">
        <v>22</v>
      </c>
      <c r="F15080" s="4" t="s">
        <v>76060</v>
      </c>
      <c r="G15080" s="4" t="s">
        <v>76061</v>
      </c>
      <c r="H15080" s="3" t="s">
        <v>73938</v>
      </c>
      <c r="I15080" s="3" t="s">
        <v>76062</v>
      </c>
      <c r="J15080" s="3" t="s">
        <v>76077</v>
      </c>
      <c r="K15080" s="3" t="s">
        <v>76078</v>
      </c>
      <c r="L15080" s="3" t="s">
        <v>76079</v>
      </c>
      <c r="M15080" s="4" t="s">
        <v>76080</v>
      </c>
      <c r="N15080" s="3" t="s">
        <v>37</v>
      </c>
      <c r="O15080" s="3" t="s">
        <v>52</v>
      </c>
      <c r="P15080" s="5">
        <v>4</v>
      </c>
      <c r="Q15080" s="5">
        <v>89</v>
      </c>
      <c r="R15080" s="5">
        <v>4</v>
      </c>
      <c r="S15080" s="5">
        <v>99</v>
      </c>
    </row>
    <row r="15081" spans="1:19" ht="56" x14ac:dyDescent="0.15">
      <c r="A15081" s="2">
        <f>HYPERLINK("https://open-school.uspishnemisto.com.ua/school/710427/", 710427)</f>
        <v>710427</v>
      </c>
      <c r="B15081" s="3" t="s">
        <v>76081</v>
      </c>
      <c r="C15081" s="3" t="s">
        <v>31</v>
      </c>
      <c r="D15081" s="3" t="s">
        <v>32</v>
      </c>
      <c r="E15081" s="4" t="s">
        <v>22</v>
      </c>
      <c r="F15081" s="4" t="s">
        <v>76072</v>
      </c>
      <c r="G15081" s="4" t="s">
        <v>76061</v>
      </c>
      <c r="H15081" s="3" t="s">
        <v>73938</v>
      </c>
      <c r="I15081" s="3" t="s">
        <v>76062</v>
      </c>
      <c r="J15081" s="3" t="s">
        <v>76082</v>
      </c>
      <c r="K15081" s="3" t="s">
        <v>76083</v>
      </c>
      <c r="L15081" s="3" t="s">
        <v>76084</v>
      </c>
      <c r="M15081" s="4"/>
      <c r="N15081" s="3" t="s">
        <v>37</v>
      </c>
      <c r="O15081" s="3" t="s">
        <v>46</v>
      </c>
      <c r="P15081" s="5">
        <v>31</v>
      </c>
      <c r="Q15081" s="5">
        <v>574</v>
      </c>
      <c r="R15081" s="5">
        <v>31</v>
      </c>
      <c r="S15081" s="5">
        <v>564</v>
      </c>
    </row>
    <row r="15082" spans="1:19" ht="28" x14ac:dyDescent="0.15">
      <c r="A15082" s="2">
        <f>HYPERLINK("https://open-school.uspishnemisto.com.ua/school/710428/", 710428)</f>
        <v>710428</v>
      </c>
      <c r="B15082" s="3" t="s">
        <v>76085</v>
      </c>
      <c r="C15082" s="3" t="s">
        <v>31</v>
      </c>
      <c r="D15082" s="3" t="s">
        <v>32</v>
      </c>
      <c r="E15082" s="4" t="s">
        <v>22</v>
      </c>
      <c r="F15082" s="4" t="s">
        <v>76086</v>
      </c>
      <c r="G15082" s="4" t="s">
        <v>76087</v>
      </c>
      <c r="H15082" s="3" t="s">
        <v>73938</v>
      </c>
      <c r="I15082" s="3" t="s">
        <v>76088</v>
      </c>
      <c r="J15082" s="3" t="s">
        <v>38995</v>
      </c>
      <c r="K15082" s="3" t="s">
        <v>76089</v>
      </c>
      <c r="L15082" s="3" t="s">
        <v>76090</v>
      </c>
      <c r="M15082" s="4"/>
      <c r="N15082" s="3" t="s">
        <v>37</v>
      </c>
      <c r="O15082" s="3" t="s">
        <v>38</v>
      </c>
      <c r="P15082" s="5">
        <v>9</v>
      </c>
      <c r="Q15082" s="5">
        <v>86</v>
      </c>
      <c r="R15082" s="5">
        <v>9</v>
      </c>
      <c r="S15082" s="5">
        <v>87</v>
      </c>
    </row>
    <row r="15083" spans="1:19" ht="42" x14ac:dyDescent="0.15">
      <c r="A15083" s="2">
        <f>HYPERLINK("https://open-school.uspishnemisto.com.ua/school/710429/", 710429)</f>
        <v>710429</v>
      </c>
      <c r="B15083" s="3" t="s">
        <v>76091</v>
      </c>
      <c r="C15083" s="3" t="s">
        <v>54</v>
      </c>
      <c r="D15083" s="3" t="s">
        <v>175</v>
      </c>
      <c r="E15083" s="4" t="s">
        <v>22</v>
      </c>
      <c r="F15083" s="4" t="s">
        <v>76092</v>
      </c>
      <c r="G15083" s="4" t="s">
        <v>76093</v>
      </c>
      <c r="H15083" s="3" t="s">
        <v>73938</v>
      </c>
      <c r="I15083" s="3" t="s">
        <v>33947</v>
      </c>
      <c r="J15083" s="3" t="s">
        <v>76094</v>
      </c>
      <c r="K15083" s="3" t="s">
        <v>76095</v>
      </c>
      <c r="L15083" s="3" t="s">
        <v>76096</v>
      </c>
      <c r="M15083" s="4"/>
      <c r="N15083" s="3" t="s">
        <v>37</v>
      </c>
      <c r="O15083" s="3" t="s">
        <v>38</v>
      </c>
      <c r="P15083" s="5">
        <v>7</v>
      </c>
      <c r="Q15083" s="5">
        <v>54</v>
      </c>
      <c r="R15083" s="5">
        <v>8</v>
      </c>
      <c r="S15083" s="5">
        <v>53</v>
      </c>
    </row>
    <row r="15084" spans="1:19" ht="28" x14ac:dyDescent="0.15">
      <c r="A15084" s="2">
        <f>HYPERLINK("https://open-school.uspishnemisto.com.ua/school/710430/", 710430)</f>
        <v>710430</v>
      </c>
      <c r="B15084" s="3" t="s">
        <v>76097</v>
      </c>
      <c r="C15084" s="3" t="s">
        <v>31</v>
      </c>
      <c r="D15084" s="3" t="s">
        <v>32</v>
      </c>
      <c r="E15084" s="4" t="s">
        <v>22</v>
      </c>
      <c r="F15084" s="4" t="s">
        <v>76098</v>
      </c>
      <c r="G15084" s="4" t="s">
        <v>76099</v>
      </c>
      <c r="H15084" s="3" t="s">
        <v>73938</v>
      </c>
      <c r="I15084" s="3" t="s">
        <v>72835</v>
      </c>
      <c r="J15084" s="3" t="s">
        <v>1668</v>
      </c>
      <c r="K15084" s="3" t="s">
        <v>76100</v>
      </c>
      <c r="L15084" s="3" t="s">
        <v>76101</v>
      </c>
      <c r="M15084" s="4"/>
      <c r="N15084" s="3" t="s">
        <v>37</v>
      </c>
      <c r="O15084" s="3" t="s">
        <v>38</v>
      </c>
      <c r="P15084" s="5">
        <v>10</v>
      </c>
      <c r="Q15084" s="5">
        <v>78</v>
      </c>
      <c r="R15084" s="5">
        <v>10</v>
      </c>
      <c r="S15084" s="5">
        <v>73</v>
      </c>
    </row>
    <row r="15085" spans="1:19" ht="42" x14ac:dyDescent="0.15">
      <c r="A15085" s="2">
        <f>HYPERLINK("https://open-school.uspishnemisto.com.ua/school/710431/", 710431)</f>
        <v>710431</v>
      </c>
      <c r="B15085" s="3" t="s">
        <v>76102</v>
      </c>
      <c r="C15085" s="3" t="s">
        <v>54</v>
      </c>
      <c r="D15085" s="3" t="s">
        <v>175</v>
      </c>
      <c r="E15085" s="4" t="s">
        <v>22</v>
      </c>
      <c r="F15085" s="4" t="s">
        <v>76103</v>
      </c>
      <c r="G15085" s="4" t="s">
        <v>76104</v>
      </c>
      <c r="H15085" s="3" t="s">
        <v>73938</v>
      </c>
      <c r="I15085" s="3" t="s">
        <v>3614</v>
      </c>
      <c r="J15085" s="3" t="s">
        <v>74817</v>
      </c>
      <c r="K15085" s="3" t="s">
        <v>76105</v>
      </c>
      <c r="L15085" s="3" t="s">
        <v>76106</v>
      </c>
      <c r="M15085" s="4"/>
      <c r="N15085" s="3" t="s">
        <v>37</v>
      </c>
      <c r="O15085" s="3" t="s">
        <v>52</v>
      </c>
      <c r="P15085" s="5">
        <v>3</v>
      </c>
      <c r="Q15085" s="5">
        <v>30</v>
      </c>
      <c r="R15085" s="5">
        <v>2</v>
      </c>
      <c r="S15085" s="5">
        <v>28</v>
      </c>
    </row>
    <row r="15086" spans="1:19" ht="42" x14ac:dyDescent="0.15">
      <c r="A15086" s="2">
        <f>HYPERLINK("https://open-school.uspishnemisto.com.ua/school/710432/", 710432)</f>
        <v>710432</v>
      </c>
      <c r="B15086" s="3" t="s">
        <v>76107</v>
      </c>
      <c r="C15086" s="3" t="s">
        <v>54</v>
      </c>
      <c r="D15086" s="3" t="s">
        <v>60</v>
      </c>
      <c r="E15086" s="4" t="s">
        <v>22</v>
      </c>
      <c r="F15086" s="4" t="s">
        <v>76108</v>
      </c>
      <c r="G15086" s="4" t="s">
        <v>76109</v>
      </c>
      <c r="H15086" s="3" t="s">
        <v>73938</v>
      </c>
      <c r="I15086" s="3" t="s">
        <v>76110</v>
      </c>
      <c r="J15086" s="3" t="s">
        <v>76111</v>
      </c>
      <c r="K15086" s="3" t="s">
        <v>76112</v>
      </c>
      <c r="L15086" s="3" t="s">
        <v>76113</v>
      </c>
      <c r="M15086" s="4"/>
      <c r="N15086" s="3" t="s">
        <v>37</v>
      </c>
      <c r="O15086" s="3" t="s">
        <v>52</v>
      </c>
      <c r="P15086" s="5">
        <v>2</v>
      </c>
      <c r="Q15086" s="5">
        <v>20</v>
      </c>
      <c r="R15086" s="5">
        <v>4</v>
      </c>
      <c r="S15086" s="5">
        <v>36</v>
      </c>
    </row>
    <row r="15087" spans="1:19" ht="28" x14ac:dyDescent="0.15">
      <c r="A15087" s="2">
        <f>HYPERLINK("https://open-school.uspishnemisto.com.ua/school/710433/", 710433)</f>
        <v>710433</v>
      </c>
      <c r="B15087" s="3" t="s">
        <v>76114</v>
      </c>
      <c r="C15087" s="3" t="s">
        <v>31</v>
      </c>
      <c r="D15087" s="3" t="s">
        <v>175</v>
      </c>
      <c r="E15087" s="4" t="s">
        <v>22</v>
      </c>
      <c r="F15087" s="4" t="s">
        <v>76115</v>
      </c>
      <c r="G15087" s="4" t="s">
        <v>76116</v>
      </c>
      <c r="H15087" s="3" t="s">
        <v>73938</v>
      </c>
      <c r="I15087" s="3" t="s">
        <v>76117</v>
      </c>
      <c r="J15087" s="3" t="s">
        <v>2745</v>
      </c>
      <c r="K15087" s="3" t="s">
        <v>76118</v>
      </c>
      <c r="L15087" s="3" t="s">
        <v>76119</v>
      </c>
      <c r="M15087" s="4"/>
      <c r="N15087" s="3" t="s">
        <v>37</v>
      </c>
      <c r="O15087" s="3" t="s">
        <v>46</v>
      </c>
      <c r="P15087" s="5">
        <v>5</v>
      </c>
      <c r="Q15087" s="5">
        <v>42</v>
      </c>
      <c r="R15087" s="5">
        <v>7</v>
      </c>
      <c r="S15087" s="5">
        <v>50</v>
      </c>
    </row>
    <row r="15088" spans="1:19" ht="42" x14ac:dyDescent="0.15">
      <c r="A15088" s="2">
        <f>HYPERLINK("https://open-school.uspishnemisto.com.ua/school/710434/", 710434)</f>
        <v>710434</v>
      </c>
      <c r="B15088" s="3" t="s">
        <v>76120</v>
      </c>
      <c r="C15088" s="3" t="s">
        <v>54</v>
      </c>
      <c r="D15088" s="3" t="s">
        <v>32</v>
      </c>
      <c r="E15088" s="4" t="s">
        <v>22</v>
      </c>
      <c r="F15088" s="4" t="s">
        <v>76121</v>
      </c>
      <c r="G15088" s="4" t="s">
        <v>76122</v>
      </c>
      <c r="H15088" s="3" t="s">
        <v>73938</v>
      </c>
      <c r="I15088" s="3" t="s">
        <v>76123</v>
      </c>
      <c r="J15088" s="3" t="s">
        <v>33907</v>
      </c>
      <c r="K15088" s="3" t="s">
        <v>76124</v>
      </c>
      <c r="L15088" s="3" t="s">
        <v>76125</v>
      </c>
      <c r="M15088" s="4"/>
      <c r="N15088" s="3" t="s">
        <v>37</v>
      </c>
      <c r="O15088" s="3" t="s">
        <v>46</v>
      </c>
      <c r="P15088" s="5">
        <v>11</v>
      </c>
      <c r="Q15088" s="5">
        <v>92</v>
      </c>
      <c r="R15088" s="5">
        <v>10</v>
      </c>
      <c r="S15088" s="5">
        <v>67</v>
      </c>
    </row>
    <row r="15089" spans="1:19" ht="42" x14ac:dyDescent="0.15">
      <c r="A15089" s="2">
        <f>HYPERLINK("https://open-school.uspishnemisto.com.ua/school/710435/", 710435)</f>
        <v>710435</v>
      </c>
      <c r="B15089" s="3" t="s">
        <v>76126</v>
      </c>
      <c r="C15089" s="3" t="s">
        <v>54</v>
      </c>
      <c r="D15089" s="3" t="s">
        <v>175</v>
      </c>
      <c r="E15089" s="4" t="s">
        <v>22</v>
      </c>
      <c r="F15089" s="4" t="s">
        <v>76127</v>
      </c>
      <c r="G15089" s="4" t="s">
        <v>76128</v>
      </c>
      <c r="H15089" s="3" t="s">
        <v>73938</v>
      </c>
      <c r="I15089" s="3" t="s">
        <v>76129</v>
      </c>
      <c r="J15089" s="3" t="s">
        <v>466</v>
      </c>
      <c r="K15089" s="3" t="s">
        <v>76130</v>
      </c>
      <c r="L15089" s="3" t="s">
        <v>76131</v>
      </c>
      <c r="M15089" s="4"/>
      <c r="N15089" s="3" t="s">
        <v>37</v>
      </c>
      <c r="O15089" s="3" t="s">
        <v>46</v>
      </c>
      <c r="P15089" s="5">
        <v>5</v>
      </c>
      <c r="Q15089" s="5">
        <v>39</v>
      </c>
      <c r="R15089" s="5">
        <v>6</v>
      </c>
      <c r="S15089" s="5">
        <v>48</v>
      </c>
    </row>
    <row r="15090" spans="1:19" ht="56" x14ac:dyDescent="0.15">
      <c r="A15090" s="2">
        <f>HYPERLINK("https://open-school.uspishnemisto.com.ua/school/710436/", 710436)</f>
        <v>710436</v>
      </c>
      <c r="B15090" s="3" t="s">
        <v>76132</v>
      </c>
      <c r="C15090" s="3" t="s">
        <v>54</v>
      </c>
      <c r="D15090" s="3" t="s">
        <v>32</v>
      </c>
      <c r="E15090" s="4" t="s">
        <v>22</v>
      </c>
      <c r="F15090" s="4" t="s">
        <v>76133</v>
      </c>
      <c r="G15090" s="4" t="s">
        <v>76134</v>
      </c>
      <c r="H15090" s="3" t="s">
        <v>73938</v>
      </c>
      <c r="I15090" s="3" t="s">
        <v>76135</v>
      </c>
      <c r="J15090" s="3" t="s">
        <v>566</v>
      </c>
      <c r="K15090" s="3" t="s">
        <v>76136</v>
      </c>
      <c r="L15090" s="3" t="s">
        <v>76137</v>
      </c>
      <c r="M15090" s="4"/>
      <c r="N15090" s="3" t="s">
        <v>37</v>
      </c>
      <c r="O15090" s="3" t="s">
        <v>38</v>
      </c>
      <c r="P15090" s="5">
        <v>8</v>
      </c>
      <c r="Q15090" s="5">
        <v>48</v>
      </c>
      <c r="R15090" s="5">
        <v>8</v>
      </c>
      <c r="S15090" s="5">
        <v>50</v>
      </c>
    </row>
    <row r="15091" spans="1:19" ht="28" x14ac:dyDescent="0.15">
      <c r="A15091" s="2">
        <f>HYPERLINK("https://open-school.uspishnemisto.com.ua/school/710437/", 710437)</f>
        <v>710437</v>
      </c>
      <c r="B15091" s="3" t="s">
        <v>76138</v>
      </c>
      <c r="C15091" s="3" t="s">
        <v>31</v>
      </c>
      <c r="D15091" s="3" t="s">
        <v>175</v>
      </c>
      <c r="E15091" s="4" t="s">
        <v>22</v>
      </c>
      <c r="F15091" s="4" t="s">
        <v>76139</v>
      </c>
      <c r="G15091" s="4" t="s">
        <v>76140</v>
      </c>
      <c r="H15091" s="3" t="s">
        <v>73938</v>
      </c>
      <c r="I15091" s="3" t="s">
        <v>68372</v>
      </c>
      <c r="J15091" s="3" t="s">
        <v>24024</v>
      </c>
      <c r="K15091" s="3" t="s">
        <v>76141</v>
      </c>
      <c r="L15091" s="3"/>
      <c r="M15091" s="4"/>
      <c r="N15091" s="3" t="s">
        <v>37</v>
      </c>
      <c r="O15091" s="3" t="s">
        <v>266</v>
      </c>
      <c r="P15091" s="5">
        <v>4</v>
      </c>
      <c r="Q15091" s="5">
        <v>33</v>
      </c>
      <c r="R15091" s="5">
        <v>5</v>
      </c>
      <c r="S15091" s="5">
        <v>38</v>
      </c>
    </row>
    <row r="15092" spans="1:19" ht="42" x14ac:dyDescent="0.15">
      <c r="A15092" s="2">
        <f>HYPERLINK("https://open-school.uspishnemisto.com.ua/school/710438/", 710438)</f>
        <v>710438</v>
      </c>
      <c r="B15092" s="3" t="s">
        <v>76142</v>
      </c>
      <c r="C15092" s="3" t="s">
        <v>54</v>
      </c>
      <c r="D15092" s="3" t="s">
        <v>32</v>
      </c>
      <c r="E15092" s="4" t="s">
        <v>22</v>
      </c>
      <c r="F15092" s="4" t="s">
        <v>76143</v>
      </c>
      <c r="G15092" s="4" t="s">
        <v>76144</v>
      </c>
      <c r="H15092" s="3" t="s">
        <v>73938</v>
      </c>
      <c r="I15092" s="3" t="s">
        <v>76145</v>
      </c>
      <c r="J15092" s="3" t="s">
        <v>76146</v>
      </c>
      <c r="K15092" s="3" t="s">
        <v>76147</v>
      </c>
      <c r="L15092" s="3" t="s">
        <v>76148</v>
      </c>
      <c r="M15092" s="4"/>
      <c r="N15092" s="3" t="s">
        <v>37</v>
      </c>
      <c r="O15092" s="3" t="s">
        <v>46</v>
      </c>
      <c r="P15092" s="5">
        <v>8</v>
      </c>
      <c r="Q15092" s="5">
        <v>81</v>
      </c>
      <c r="R15092" s="5">
        <v>8</v>
      </c>
      <c r="S15092" s="5">
        <v>74</v>
      </c>
    </row>
    <row r="15093" spans="1:19" ht="42" x14ac:dyDescent="0.15">
      <c r="A15093" s="2">
        <f>HYPERLINK("https://open-school.uspishnemisto.com.ua/school/710439/", 710439)</f>
        <v>710439</v>
      </c>
      <c r="B15093" s="3" t="s">
        <v>76149</v>
      </c>
      <c r="C15093" s="3" t="s">
        <v>54</v>
      </c>
      <c r="D15093" s="3" t="s">
        <v>175</v>
      </c>
      <c r="E15093" s="4" t="s">
        <v>22</v>
      </c>
      <c r="F15093" s="4" t="s">
        <v>76150</v>
      </c>
      <c r="G15093" s="4" t="s">
        <v>76151</v>
      </c>
      <c r="H15093" s="3" t="s">
        <v>73938</v>
      </c>
      <c r="I15093" s="3" t="s">
        <v>76152</v>
      </c>
      <c r="J15093" s="3" t="s">
        <v>466</v>
      </c>
      <c r="K15093" s="3" t="s">
        <v>76153</v>
      </c>
      <c r="L15093" s="3" t="s">
        <v>76154</v>
      </c>
      <c r="M15093" s="4"/>
      <c r="N15093" s="3" t="s">
        <v>37</v>
      </c>
      <c r="O15093" s="3" t="s">
        <v>38</v>
      </c>
      <c r="P15093" s="5">
        <v>1</v>
      </c>
      <c r="Q15093" s="5">
        <v>25</v>
      </c>
      <c r="R15093" s="5">
        <v>4</v>
      </c>
      <c r="S15093" s="5">
        <v>30</v>
      </c>
    </row>
    <row r="15094" spans="1:19" ht="28" x14ac:dyDescent="0.15">
      <c r="A15094" s="2">
        <f>HYPERLINK("https://open-school.uspishnemisto.com.ua/school/710440/", 710440)</f>
        <v>710440</v>
      </c>
      <c r="B15094" s="3" t="s">
        <v>76155</v>
      </c>
      <c r="C15094" s="3" t="s">
        <v>31</v>
      </c>
      <c r="D15094" s="3" t="s">
        <v>32</v>
      </c>
      <c r="E15094" s="4" t="s">
        <v>22</v>
      </c>
      <c r="F15094" s="4" t="s">
        <v>76156</v>
      </c>
      <c r="G15094" s="4" t="s">
        <v>76157</v>
      </c>
      <c r="H15094" s="3" t="s">
        <v>73938</v>
      </c>
      <c r="I15094" s="3" t="s">
        <v>76158</v>
      </c>
      <c r="J15094" s="3" t="s">
        <v>57279</v>
      </c>
      <c r="K15094" s="3" t="s">
        <v>76159</v>
      </c>
      <c r="L15094" s="3" t="s">
        <v>76160</v>
      </c>
      <c r="M15094" s="4"/>
      <c r="N15094" s="3" t="s">
        <v>37</v>
      </c>
      <c r="O15094" s="3" t="s">
        <v>52</v>
      </c>
      <c r="P15094" s="5">
        <v>9</v>
      </c>
      <c r="Q15094" s="5">
        <v>63</v>
      </c>
      <c r="R15094" s="5">
        <v>9</v>
      </c>
      <c r="S15094" s="5">
        <v>65</v>
      </c>
    </row>
    <row r="15095" spans="1:19" ht="28" x14ac:dyDescent="0.15">
      <c r="A15095" s="2">
        <f>HYPERLINK("https://open-school.uspishnemisto.com.ua/school/710441/", 710441)</f>
        <v>710441</v>
      </c>
      <c r="B15095" s="3" t="s">
        <v>76161</v>
      </c>
      <c r="C15095" s="3" t="s">
        <v>31</v>
      </c>
      <c r="D15095" s="3" t="s">
        <v>32</v>
      </c>
      <c r="E15095" s="4" t="s">
        <v>22</v>
      </c>
      <c r="F15095" s="4" t="s">
        <v>76162</v>
      </c>
      <c r="G15095" s="4" t="s">
        <v>76163</v>
      </c>
      <c r="H15095" s="3" t="s">
        <v>73938</v>
      </c>
      <c r="I15095" s="3" t="s">
        <v>500</v>
      </c>
      <c r="J15095" s="3" t="s">
        <v>76164</v>
      </c>
      <c r="K15095" s="3" t="s">
        <v>76165</v>
      </c>
      <c r="L15095" s="3"/>
      <c r="M15095" s="4"/>
      <c r="N15095" s="3" t="s">
        <v>37</v>
      </c>
      <c r="O15095" s="3" t="s">
        <v>46</v>
      </c>
      <c r="P15095" s="5">
        <v>8</v>
      </c>
      <c r="Q15095" s="5">
        <v>87</v>
      </c>
      <c r="R15095" s="5">
        <v>9</v>
      </c>
      <c r="S15095" s="5">
        <v>103</v>
      </c>
    </row>
    <row r="15096" spans="1:19" ht="42" x14ac:dyDescent="0.15">
      <c r="A15096" s="2">
        <f>HYPERLINK("https://open-school.uspishnemisto.com.ua/school/710442/", 710442)</f>
        <v>710442</v>
      </c>
      <c r="B15096" s="3" t="s">
        <v>76166</v>
      </c>
      <c r="C15096" s="3" t="s">
        <v>54</v>
      </c>
      <c r="D15096" s="3" t="s">
        <v>175</v>
      </c>
      <c r="E15096" s="4" t="s">
        <v>22</v>
      </c>
      <c r="F15096" s="4" t="s">
        <v>76167</v>
      </c>
      <c r="G15096" s="4" t="s">
        <v>76168</v>
      </c>
      <c r="H15096" s="3" t="s">
        <v>73938</v>
      </c>
      <c r="I15096" s="3" t="s">
        <v>31293</v>
      </c>
      <c r="J15096" s="3" t="s">
        <v>3780</v>
      </c>
      <c r="K15096" s="3" t="s">
        <v>76169</v>
      </c>
      <c r="L15096" s="3" t="s">
        <v>76170</v>
      </c>
      <c r="M15096" s="4"/>
      <c r="N15096" s="3" t="s">
        <v>37</v>
      </c>
      <c r="O15096" s="3" t="s">
        <v>38</v>
      </c>
      <c r="P15096" s="5">
        <v>4</v>
      </c>
      <c r="Q15096" s="5">
        <v>42</v>
      </c>
      <c r="R15096" s="5">
        <v>6</v>
      </c>
      <c r="S15096" s="5">
        <v>45</v>
      </c>
    </row>
    <row r="15097" spans="1:19" ht="28" x14ac:dyDescent="0.15">
      <c r="A15097" s="2">
        <f>HYPERLINK("https://open-school.uspishnemisto.com.ua/school/710443/", 710443)</f>
        <v>710443</v>
      </c>
      <c r="B15097" s="3" t="s">
        <v>76171</v>
      </c>
      <c r="C15097" s="3" t="s">
        <v>31</v>
      </c>
      <c r="D15097" s="3" t="s">
        <v>32</v>
      </c>
      <c r="E15097" s="4" t="s">
        <v>22</v>
      </c>
      <c r="F15097" s="4" t="s">
        <v>76172</v>
      </c>
      <c r="G15097" s="4" t="s">
        <v>76173</v>
      </c>
      <c r="H15097" s="3" t="s">
        <v>73938</v>
      </c>
      <c r="I15097" s="3" t="s">
        <v>76174</v>
      </c>
      <c r="J15097" s="3" t="s">
        <v>1001</v>
      </c>
      <c r="K15097" s="3" t="s">
        <v>76175</v>
      </c>
      <c r="L15097" s="3" t="s">
        <v>76176</v>
      </c>
      <c r="M15097" s="4"/>
      <c r="N15097" s="3" t="s">
        <v>37</v>
      </c>
      <c r="O15097" s="3" t="s">
        <v>46</v>
      </c>
      <c r="P15097" s="5">
        <v>11</v>
      </c>
      <c r="Q15097" s="5">
        <v>143</v>
      </c>
      <c r="R15097" s="5">
        <v>11</v>
      </c>
      <c r="S15097" s="5">
        <v>141</v>
      </c>
    </row>
    <row r="15098" spans="1:19" ht="28" x14ac:dyDescent="0.15">
      <c r="A15098" s="2">
        <f>HYPERLINK("https://open-school.uspishnemisto.com.ua/school/710444/", 710444)</f>
        <v>710444</v>
      </c>
      <c r="B15098" s="3" t="s">
        <v>76177</v>
      </c>
      <c r="C15098" s="3" t="s">
        <v>31</v>
      </c>
      <c r="D15098" s="3" t="s">
        <v>32</v>
      </c>
      <c r="E15098" s="4" t="s">
        <v>22</v>
      </c>
      <c r="F15098" s="4" t="s">
        <v>76178</v>
      </c>
      <c r="G15098" s="4" t="s">
        <v>76179</v>
      </c>
      <c r="H15098" s="3" t="s">
        <v>73938</v>
      </c>
      <c r="I15098" s="3" t="s">
        <v>76180</v>
      </c>
      <c r="J15098" s="3" t="s">
        <v>2417</v>
      </c>
      <c r="K15098" s="3" t="s">
        <v>76181</v>
      </c>
      <c r="L15098" s="3" t="s">
        <v>76182</v>
      </c>
      <c r="M15098" s="4"/>
      <c r="N15098" s="3" t="s">
        <v>37</v>
      </c>
      <c r="O15098" s="3" t="s">
        <v>38</v>
      </c>
      <c r="P15098" s="5">
        <v>11</v>
      </c>
      <c r="Q15098" s="5">
        <v>135</v>
      </c>
      <c r="R15098" s="5">
        <v>11</v>
      </c>
      <c r="S15098" s="5">
        <v>122</v>
      </c>
    </row>
    <row r="15099" spans="1:19" ht="28" x14ac:dyDescent="0.15">
      <c r="A15099" s="2">
        <f>HYPERLINK("https://open-school.uspishnemisto.com.ua/school/710445/", 710445)</f>
        <v>710445</v>
      </c>
      <c r="B15099" s="3" t="s">
        <v>76183</v>
      </c>
      <c r="C15099" s="3" t="s">
        <v>54</v>
      </c>
      <c r="D15099" s="3" t="s">
        <v>175</v>
      </c>
      <c r="E15099" s="4" t="s">
        <v>22</v>
      </c>
      <c r="F15099" s="4" t="s">
        <v>76184</v>
      </c>
      <c r="G15099" s="4" t="s">
        <v>76185</v>
      </c>
      <c r="H15099" s="3" t="s">
        <v>73938</v>
      </c>
      <c r="I15099" s="3" t="s">
        <v>76186</v>
      </c>
      <c r="J15099" s="3" t="s">
        <v>634</v>
      </c>
      <c r="K15099" s="3" t="s">
        <v>76187</v>
      </c>
      <c r="L15099" s="3" t="s">
        <v>76188</v>
      </c>
      <c r="M15099" s="4"/>
      <c r="N15099" s="3" t="s">
        <v>37</v>
      </c>
      <c r="O15099" s="3" t="s">
        <v>38</v>
      </c>
      <c r="P15099" s="5">
        <v>4</v>
      </c>
      <c r="Q15099" s="5">
        <v>37</v>
      </c>
      <c r="R15099" s="5">
        <v>4</v>
      </c>
      <c r="S15099" s="5">
        <v>38</v>
      </c>
    </row>
    <row r="15100" spans="1:19" ht="42" x14ac:dyDescent="0.15">
      <c r="A15100" s="2">
        <f>HYPERLINK("https://open-school.uspishnemisto.com.ua/school/710446/", 710446)</f>
        <v>710446</v>
      </c>
      <c r="B15100" s="3" t="s">
        <v>76189</v>
      </c>
      <c r="C15100" s="3" t="s">
        <v>54</v>
      </c>
      <c r="D15100" s="3" t="s">
        <v>175</v>
      </c>
      <c r="E15100" s="4" t="s">
        <v>22</v>
      </c>
      <c r="F15100" s="4" t="s">
        <v>76190</v>
      </c>
      <c r="G15100" s="4" t="s">
        <v>76191</v>
      </c>
      <c r="H15100" s="3" t="s">
        <v>73938</v>
      </c>
      <c r="I15100" s="3" t="s">
        <v>76192</v>
      </c>
      <c r="J15100" s="3" t="s">
        <v>76193</v>
      </c>
      <c r="K15100" s="3" t="s">
        <v>76194</v>
      </c>
      <c r="L15100" s="3" t="s">
        <v>76195</v>
      </c>
      <c r="M15100" s="4"/>
      <c r="N15100" s="3" t="s">
        <v>37</v>
      </c>
      <c r="O15100" s="3" t="s">
        <v>38</v>
      </c>
      <c r="P15100" s="5">
        <v>2</v>
      </c>
      <c r="Q15100" s="5">
        <v>32</v>
      </c>
      <c r="R15100" s="5">
        <v>3</v>
      </c>
      <c r="S15100" s="5">
        <v>34</v>
      </c>
    </row>
    <row r="15101" spans="1:19" ht="42" x14ac:dyDescent="0.15">
      <c r="A15101" s="2">
        <f>HYPERLINK("https://open-school.uspishnemisto.com.ua/school/710447/", 710447)</f>
        <v>710447</v>
      </c>
      <c r="B15101" s="3" t="s">
        <v>76196</v>
      </c>
      <c r="C15101" s="3" t="s">
        <v>54</v>
      </c>
      <c r="D15101" s="3" t="s">
        <v>175</v>
      </c>
      <c r="E15101" s="4" t="s">
        <v>22</v>
      </c>
      <c r="F15101" s="4" t="s">
        <v>76197</v>
      </c>
      <c r="G15101" s="4" t="s">
        <v>76198</v>
      </c>
      <c r="H15101" s="3" t="s">
        <v>73938</v>
      </c>
      <c r="I15101" s="3" t="s">
        <v>76199</v>
      </c>
      <c r="J15101" s="3" t="s">
        <v>1636</v>
      </c>
      <c r="K15101" s="3" t="s">
        <v>76200</v>
      </c>
      <c r="L15101" s="3" t="s">
        <v>76201</v>
      </c>
      <c r="M15101" s="4"/>
      <c r="N15101" s="3" t="s">
        <v>37</v>
      </c>
      <c r="O15101" s="3" t="s">
        <v>46</v>
      </c>
      <c r="P15101" s="5">
        <v>5</v>
      </c>
      <c r="Q15101" s="5">
        <v>36</v>
      </c>
      <c r="R15101" s="5">
        <v>6</v>
      </c>
      <c r="S15101" s="5">
        <v>44</v>
      </c>
    </row>
    <row r="15102" spans="1:19" ht="42" x14ac:dyDescent="0.15">
      <c r="A15102" s="2">
        <f>HYPERLINK("https://open-school.uspishnemisto.com.ua/school/710448/", 710448)</f>
        <v>710448</v>
      </c>
      <c r="B15102" s="3" t="s">
        <v>76202</v>
      </c>
      <c r="C15102" s="3" t="s">
        <v>54</v>
      </c>
      <c r="D15102" s="3" t="s">
        <v>175</v>
      </c>
      <c r="E15102" s="4" t="s">
        <v>22</v>
      </c>
      <c r="F15102" s="4" t="s">
        <v>76203</v>
      </c>
      <c r="G15102" s="4" t="s">
        <v>76204</v>
      </c>
      <c r="H15102" s="3" t="s">
        <v>73938</v>
      </c>
      <c r="I15102" s="3" t="s">
        <v>75787</v>
      </c>
      <c r="J15102" s="3" t="s">
        <v>76205</v>
      </c>
      <c r="K15102" s="3" t="s">
        <v>76206</v>
      </c>
      <c r="L15102" s="3" t="s">
        <v>76207</v>
      </c>
      <c r="M15102" s="4"/>
      <c r="N15102" s="3" t="s">
        <v>37</v>
      </c>
      <c r="O15102" s="3" t="s">
        <v>38</v>
      </c>
      <c r="P15102" s="5">
        <v>4</v>
      </c>
      <c r="Q15102" s="5">
        <v>46</v>
      </c>
      <c r="R15102" s="5">
        <v>5</v>
      </c>
      <c r="S15102" s="5">
        <v>47</v>
      </c>
    </row>
    <row r="15103" spans="1:19" ht="42" x14ac:dyDescent="0.15">
      <c r="A15103" s="2">
        <f>HYPERLINK("https://open-school.uspishnemisto.com.ua/school/710449/", 710449)</f>
        <v>710449</v>
      </c>
      <c r="B15103" s="3" t="s">
        <v>76208</v>
      </c>
      <c r="C15103" s="3" t="s">
        <v>54</v>
      </c>
      <c r="D15103" s="3" t="s">
        <v>175</v>
      </c>
      <c r="E15103" s="4" t="s">
        <v>22</v>
      </c>
      <c r="F15103" s="4" t="s">
        <v>76209</v>
      </c>
      <c r="G15103" s="4" t="s">
        <v>76210</v>
      </c>
      <c r="H15103" s="3" t="s">
        <v>73938</v>
      </c>
      <c r="I15103" s="3" t="s">
        <v>17032</v>
      </c>
      <c r="J15103" s="3" t="s">
        <v>694</v>
      </c>
      <c r="K15103" s="3" t="s">
        <v>76211</v>
      </c>
      <c r="L15103" s="3" t="s">
        <v>76212</v>
      </c>
      <c r="M15103" s="4"/>
      <c r="N15103" s="3" t="s">
        <v>37</v>
      </c>
      <c r="O15103" s="3" t="s">
        <v>52</v>
      </c>
      <c r="P15103" s="5">
        <v>3</v>
      </c>
      <c r="Q15103" s="5">
        <v>29</v>
      </c>
      <c r="R15103" s="5">
        <v>2</v>
      </c>
      <c r="S15103" s="5">
        <v>25</v>
      </c>
    </row>
    <row r="15104" spans="1:19" ht="42" x14ac:dyDescent="0.15">
      <c r="A15104" s="2">
        <f>HYPERLINK("https://open-school.uspishnemisto.com.ua/school/710450/", 710450)</f>
        <v>710450</v>
      </c>
      <c r="B15104" s="3" t="s">
        <v>76213</v>
      </c>
      <c r="C15104" s="3" t="s">
        <v>31</v>
      </c>
      <c r="D15104" s="3" t="s">
        <v>32</v>
      </c>
      <c r="E15104" s="4" t="s">
        <v>22</v>
      </c>
      <c r="F15104" s="4" t="s">
        <v>76214</v>
      </c>
      <c r="G15104" s="4" t="s">
        <v>76215</v>
      </c>
      <c r="H15104" s="3" t="s">
        <v>73938</v>
      </c>
      <c r="I15104" s="3" t="s">
        <v>76216</v>
      </c>
      <c r="J15104" s="3" t="s">
        <v>76217</v>
      </c>
      <c r="K15104" s="3" t="s">
        <v>76218</v>
      </c>
      <c r="L15104" s="3" t="s">
        <v>76219</v>
      </c>
      <c r="M15104" s="4"/>
      <c r="N15104" s="3" t="s">
        <v>37</v>
      </c>
      <c r="O15104" s="3" t="s">
        <v>52</v>
      </c>
      <c r="P15104" s="5">
        <v>10</v>
      </c>
      <c r="Q15104" s="5">
        <v>78</v>
      </c>
      <c r="R15104" s="5">
        <v>10</v>
      </c>
      <c r="S15104" s="5">
        <v>65</v>
      </c>
    </row>
    <row r="15105" spans="1:19" ht="28" x14ac:dyDescent="0.15">
      <c r="A15105" s="2">
        <f>HYPERLINK("https://open-school.uspishnemisto.com.ua/school/710451/", 710451)</f>
        <v>710451</v>
      </c>
      <c r="B15105" s="3" t="s">
        <v>76220</v>
      </c>
      <c r="C15105" s="3" t="s">
        <v>31</v>
      </c>
      <c r="D15105" s="3" t="s">
        <v>175</v>
      </c>
      <c r="E15105" s="4" t="s">
        <v>22</v>
      </c>
      <c r="F15105" s="4" t="s">
        <v>76221</v>
      </c>
      <c r="G15105" s="4" t="s">
        <v>76222</v>
      </c>
      <c r="H15105" s="3" t="s">
        <v>73938</v>
      </c>
      <c r="I15105" s="3" t="s">
        <v>76223</v>
      </c>
      <c r="J15105" s="3" t="s">
        <v>25024</v>
      </c>
      <c r="K15105" s="3" t="s">
        <v>76224</v>
      </c>
      <c r="L15105" s="3" t="s">
        <v>76225</v>
      </c>
      <c r="M15105" s="4"/>
      <c r="N15105" s="3" t="s">
        <v>37</v>
      </c>
      <c r="O15105" s="3" t="s">
        <v>38</v>
      </c>
      <c r="P15105" s="5">
        <v>9</v>
      </c>
      <c r="Q15105" s="5">
        <v>82</v>
      </c>
      <c r="R15105" s="5">
        <v>9</v>
      </c>
      <c r="S15105" s="5">
        <v>88</v>
      </c>
    </row>
    <row r="15106" spans="1:19" ht="56" x14ac:dyDescent="0.15">
      <c r="A15106" s="2">
        <f>HYPERLINK("https://open-school.uspishnemisto.com.ua/school/710452/", 710452)</f>
        <v>710452</v>
      </c>
      <c r="B15106" s="3" t="s">
        <v>76226</v>
      </c>
      <c r="C15106" s="3" t="s">
        <v>54</v>
      </c>
      <c r="D15106" s="3" t="s">
        <v>60</v>
      </c>
      <c r="E15106" s="4" t="s">
        <v>22</v>
      </c>
      <c r="F15106" s="4" t="s">
        <v>76227</v>
      </c>
      <c r="G15106" s="4" t="s">
        <v>76228</v>
      </c>
      <c r="H15106" s="3" t="s">
        <v>73938</v>
      </c>
      <c r="I15106" s="3" t="s">
        <v>3481</v>
      </c>
      <c r="J15106" s="3" t="s">
        <v>76229</v>
      </c>
      <c r="K15106" s="3" t="s">
        <v>76230</v>
      </c>
      <c r="L15106" s="3"/>
      <c r="M15106" s="4"/>
      <c r="N15106" s="3" t="s">
        <v>37</v>
      </c>
      <c r="O15106" s="3" t="s">
        <v>52</v>
      </c>
      <c r="P15106" s="5">
        <v>1</v>
      </c>
      <c r="Q15106" s="5">
        <v>6</v>
      </c>
      <c r="R15106" s="5">
        <v>2</v>
      </c>
      <c r="S15106" s="5">
        <v>12</v>
      </c>
    </row>
    <row r="15107" spans="1:19" ht="28" x14ac:dyDescent="0.15">
      <c r="A15107" s="2">
        <f>HYPERLINK("https://open-school.uspishnemisto.com.ua/school/710453/", 710453)</f>
        <v>710453</v>
      </c>
      <c r="B15107" s="3" t="s">
        <v>76231</v>
      </c>
      <c r="C15107" s="3" t="s">
        <v>31</v>
      </c>
      <c r="D15107" s="3" t="s">
        <v>175</v>
      </c>
      <c r="E15107" s="4" t="s">
        <v>22</v>
      </c>
      <c r="F15107" s="4" t="s">
        <v>76232</v>
      </c>
      <c r="G15107" s="4" t="s">
        <v>76233</v>
      </c>
      <c r="H15107" s="3" t="s">
        <v>73938</v>
      </c>
      <c r="I15107" s="3" t="s">
        <v>76234</v>
      </c>
      <c r="J15107" s="3" t="s">
        <v>76235</v>
      </c>
      <c r="K15107" s="3"/>
      <c r="L15107" s="3"/>
      <c r="M15107" s="4"/>
      <c r="N15107" s="3" t="s">
        <v>37</v>
      </c>
      <c r="O15107" s="3" t="s">
        <v>52</v>
      </c>
      <c r="P15107" s="5">
        <v>9</v>
      </c>
      <c r="Q15107" s="5">
        <v>58</v>
      </c>
      <c r="R15107" s="5">
        <v>9</v>
      </c>
      <c r="S15107" s="5">
        <v>56</v>
      </c>
    </row>
    <row r="15108" spans="1:19" ht="42" x14ac:dyDescent="0.15">
      <c r="A15108" s="2">
        <f>HYPERLINK("https://open-school.uspishnemisto.com.ua/school/710454/", 710454)</f>
        <v>710454</v>
      </c>
      <c r="B15108" s="3" t="s">
        <v>76236</v>
      </c>
      <c r="C15108" s="3" t="s">
        <v>54</v>
      </c>
      <c r="D15108" s="3" t="s">
        <v>32</v>
      </c>
      <c r="E15108" s="4" t="s">
        <v>22</v>
      </c>
      <c r="F15108" s="4" t="s">
        <v>76237</v>
      </c>
      <c r="G15108" s="4" t="s">
        <v>76238</v>
      </c>
      <c r="H15108" s="3" t="s">
        <v>73938</v>
      </c>
      <c r="I15108" s="3" t="s">
        <v>76239</v>
      </c>
      <c r="J15108" s="3" t="s">
        <v>466</v>
      </c>
      <c r="K15108" s="3" t="s">
        <v>76240</v>
      </c>
      <c r="L15108" s="3"/>
      <c r="M15108" s="4"/>
      <c r="N15108" s="3" t="s">
        <v>37</v>
      </c>
      <c r="O15108" s="3" t="s">
        <v>52</v>
      </c>
      <c r="P15108" s="5">
        <v>9</v>
      </c>
      <c r="Q15108" s="5">
        <v>85</v>
      </c>
      <c r="R15108" s="5">
        <v>10</v>
      </c>
      <c r="S15108" s="5">
        <v>80</v>
      </c>
    </row>
    <row r="15109" spans="1:19" ht="28" x14ac:dyDescent="0.15">
      <c r="A15109" s="2">
        <f>HYPERLINK("https://open-school.uspishnemisto.com.ua/school/710455/", 710455)</f>
        <v>710455</v>
      </c>
      <c r="B15109" s="3" t="s">
        <v>76241</v>
      </c>
      <c r="C15109" s="3" t="s">
        <v>31</v>
      </c>
      <c r="D15109" s="3" t="s">
        <v>32</v>
      </c>
      <c r="E15109" s="4" t="s">
        <v>22</v>
      </c>
      <c r="F15109" s="4" t="s">
        <v>76242</v>
      </c>
      <c r="G15109" s="4" t="s">
        <v>76243</v>
      </c>
      <c r="H15109" s="3" t="s">
        <v>73938</v>
      </c>
      <c r="I15109" s="3" t="s">
        <v>76244</v>
      </c>
      <c r="J15109" s="3" t="s">
        <v>76245</v>
      </c>
      <c r="K15109" s="3" t="s">
        <v>76246</v>
      </c>
      <c r="L15109" s="3"/>
      <c r="M15109" s="4"/>
      <c r="N15109" s="3" t="s">
        <v>37</v>
      </c>
      <c r="O15109" s="3" t="s">
        <v>46</v>
      </c>
      <c r="P15109" s="5">
        <v>11</v>
      </c>
      <c r="Q15109" s="5">
        <v>86</v>
      </c>
      <c r="R15109" s="5">
        <v>11</v>
      </c>
      <c r="S15109" s="5">
        <v>84</v>
      </c>
    </row>
    <row r="15110" spans="1:19" ht="28" x14ac:dyDescent="0.15">
      <c r="A15110" s="2">
        <f>HYPERLINK("https://open-school.uspishnemisto.com.ua/school/710456/", 710456)</f>
        <v>710456</v>
      </c>
      <c r="B15110" s="3" t="s">
        <v>76247</v>
      </c>
      <c r="C15110" s="3" t="s">
        <v>31</v>
      </c>
      <c r="D15110" s="3" t="s">
        <v>175</v>
      </c>
      <c r="E15110" s="4" t="s">
        <v>22</v>
      </c>
      <c r="F15110" s="4" t="s">
        <v>76248</v>
      </c>
      <c r="G15110" s="4" t="s">
        <v>76249</v>
      </c>
      <c r="H15110" s="3" t="s">
        <v>73938</v>
      </c>
      <c r="I15110" s="3" t="s">
        <v>18593</v>
      </c>
      <c r="J15110" s="3" t="s">
        <v>1845</v>
      </c>
      <c r="K15110" s="3" t="s">
        <v>76250</v>
      </c>
      <c r="L15110" s="3"/>
      <c r="M15110" s="4"/>
      <c r="N15110" s="3" t="s">
        <v>37</v>
      </c>
      <c r="O15110" s="3" t="s">
        <v>52</v>
      </c>
      <c r="P15110" s="5">
        <v>7</v>
      </c>
      <c r="Q15110" s="5">
        <v>46</v>
      </c>
      <c r="R15110" s="5">
        <v>8</v>
      </c>
      <c r="S15110" s="5">
        <v>50</v>
      </c>
    </row>
    <row r="15111" spans="1:19" ht="56" x14ac:dyDescent="0.15">
      <c r="A15111" s="2">
        <f>HYPERLINK("https://open-school.uspishnemisto.com.ua/school/710457/", 710457)</f>
        <v>710457</v>
      </c>
      <c r="B15111" s="3" t="s">
        <v>76251</v>
      </c>
      <c r="C15111" s="3" t="s">
        <v>54</v>
      </c>
      <c r="D15111" s="3" t="s">
        <v>60</v>
      </c>
      <c r="E15111" s="4" t="s">
        <v>22</v>
      </c>
      <c r="F15111" s="4" t="s">
        <v>76252</v>
      </c>
      <c r="G15111" s="4" t="s">
        <v>76253</v>
      </c>
      <c r="H15111" s="3" t="s">
        <v>73938</v>
      </c>
      <c r="I15111" s="3" t="s">
        <v>76254</v>
      </c>
      <c r="J15111" s="3" t="s">
        <v>6422</v>
      </c>
      <c r="K15111" s="3" t="s">
        <v>76255</v>
      </c>
      <c r="L15111" s="3" t="s">
        <v>76256</v>
      </c>
      <c r="M15111" s="4"/>
      <c r="N15111" s="3" t="s">
        <v>37</v>
      </c>
      <c r="O15111" s="3" t="s">
        <v>52</v>
      </c>
      <c r="P15111" s="5">
        <v>2</v>
      </c>
      <c r="Q15111" s="5">
        <v>20</v>
      </c>
      <c r="R15111" s="5">
        <v>2</v>
      </c>
      <c r="S15111" s="5">
        <v>19</v>
      </c>
    </row>
    <row r="15112" spans="1:19" ht="42" x14ac:dyDescent="0.15">
      <c r="A15112" s="2">
        <f>HYPERLINK("https://open-school.uspishnemisto.com.ua/school/710458/", 710458)</f>
        <v>710458</v>
      </c>
      <c r="B15112" s="3" t="s">
        <v>76257</v>
      </c>
      <c r="C15112" s="3" t="s">
        <v>54</v>
      </c>
      <c r="D15112" s="3" t="s">
        <v>32</v>
      </c>
      <c r="E15112" s="4" t="s">
        <v>22</v>
      </c>
      <c r="F15112" s="4" t="s">
        <v>76258</v>
      </c>
      <c r="G15112" s="4" t="s">
        <v>76259</v>
      </c>
      <c r="H15112" s="3" t="s">
        <v>73938</v>
      </c>
      <c r="I15112" s="3" t="s">
        <v>76260</v>
      </c>
      <c r="J15112" s="3" t="s">
        <v>19579</v>
      </c>
      <c r="K15112" s="3" t="s">
        <v>76261</v>
      </c>
      <c r="L15112" s="3"/>
      <c r="M15112" s="4"/>
      <c r="N15112" s="3" t="s">
        <v>37</v>
      </c>
      <c r="O15112" s="3" t="s">
        <v>46</v>
      </c>
      <c r="P15112" s="5">
        <v>10</v>
      </c>
      <c r="Q15112" s="5">
        <v>88</v>
      </c>
      <c r="R15112" s="5">
        <v>10</v>
      </c>
      <c r="S15112" s="5">
        <v>89</v>
      </c>
    </row>
    <row r="15113" spans="1:19" ht="28" x14ac:dyDescent="0.15">
      <c r="A15113" s="2">
        <f>HYPERLINK("https://open-school.uspishnemisto.com.ua/school/710459/", 710459)</f>
        <v>710459</v>
      </c>
      <c r="B15113" s="3" t="s">
        <v>76262</v>
      </c>
      <c r="C15113" s="3" t="s">
        <v>31</v>
      </c>
      <c r="D15113" s="3" t="s">
        <v>32</v>
      </c>
      <c r="E15113" s="4" t="s">
        <v>22</v>
      </c>
      <c r="F15113" s="4" t="s">
        <v>76263</v>
      </c>
      <c r="G15113" s="4" t="s">
        <v>76264</v>
      </c>
      <c r="H15113" s="3" t="s">
        <v>73938</v>
      </c>
      <c r="I15113" s="3" t="s">
        <v>76265</v>
      </c>
      <c r="J15113" s="3" t="s">
        <v>76266</v>
      </c>
      <c r="K15113" s="3" t="s">
        <v>76267</v>
      </c>
      <c r="L15113" s="3"/>
      <c r="M15113" s="4"/>
      <c r="N15113" s="3" t="s">
        <v>37</v>
      </c>
      <c r="O15113" s="3" t="s">
        <v>46</v>
      </c>
      <c r="P15113" s="5">
        <v>14</v>
      </c>
      <c r="Q15113" s="5">
        <v>243</v>
      </c>
      <c r="R15113" s="5">
        <v>12</v>
      </c>
      <c r="S15113" s="5">
        <v>217</v>
      </c>
    </row>
    <row r="15114" spans="1:19" ht="42" x14ac:dyDescent="0.15">
      <c r="A15114" s="2">
        <f>HYPERLINK("https://open-school.uspishnemisto.com.ua/school/710460/", 710460)</f>
        <v>710460</v>
      </c>
      <c r="B15114" s="3" t="s">
        <v>76268</v>
      </c>
      <c r="C15114" s="3" t="s">
        <v>54</v>
      </c>
      <c r="D15114" s="3" t="s">
        <v>32</v>
      </c>
      <c r="E15114" s="4" t="s">
        <v>22</v>
      </c>
      <c r="F15114" s="4" t="s">
        <v>76269</v>
      </c>
      <c r="G15114" s="4" t="s">
        <v>76270</v>
      </c>
      <c r="H15114" s="3" t="s">
        <v>73938</v>
      </c>
      <c r="I15114" s="3" t="s">
        <v>61675</v>
      </c>
      <c r="J15114" s="3" t="s">
        <v>76271</v>
      </c>
      <c r="K15114" s="3" t="s">
        <v>76272</v>
      </c>
      <c r="L15114" s="3"/>
      <c r="M15114" s="4"/>
      <c r="N15114" s="3" t="s">
        <v>37</v>
      </c>
      <c r="O15114" s="3" t="s">
        <v>52</v>
      </c>
      <c r="P15114" s="5">
        <v>11</v>
      </c>
      <c r="Q15114" s="5">
        <v>144</v>
      </c>
      <c r="R15114" s="5">
        <v>11</v>
      </c>
      <c r="S15114" s="5">
        <v>134</v>
      </c>
    </row>
    <row r="15115" spans="1:19" ht="42" x14ac:dyDescent="0.15">
      <c r="A15115" s="2">
        <f>HYPERLINK("https://open-school.uspishnemisto.com.ua/school/710461/", 710461)</f>
        <v>710461</v>
      </c>
      <c r="B15115" s="3" t="s">
        <v>76273</v>
      </c>
      <c r="C15115" s="3" t="s">
        <v>54</v>
      </c>
      <c r="D15115" s="3" t="s">
        <v>32</v>
      </c>
      <c r="E15115" s="4" t="s">
        <v>22</v>
      </c>
      <c r="F15115" s="4" t="s">
        <v>76274</v>
      </c>
      <c r="G15115" s="4" t="s">
        <v>76275</v>
      </c>
      <c r="H15115" s="3" t="s">
        <v>73938</v>
      </c>
      <c r="I15115" s="3" t="s">
        <v>1326</v>
      </c>
      <c r="J15115" s="3" t="s">
        <v>718</v>
      </c>
      <c r="K15115" s="3" t="s">
        <v>76276</v>
      </c>
      <c r="L15115" s="3" t="s">
        <v>76277</v>
      </c>
      <c r="M15115" s="4"/>
      <c r="N15115" s="3" t="s">
        <v>37</v>
      </c>
      <c r="O15115" s="3" t="s">
        <v>52</v>
      </c>
      <c r="P15115" s="5">
        <v>11</v>
      </c>
      <c r="Q15115" s="5">
        <v>135</v>
      </c>
      <c r="R15115" s="5">
        <v>11</v>
      </c>
      <c r="S15115" s="5">
        <v>123</v>
      </c>
    </row>
    <row r="15116" spans="1:19" ht="28" x14ac:dyDescent="0.15">
      <c r="A15116" s="2">
        <f>HYPERLINK("https://open-school.uspishnemisto.com.ua/school/710463/", 710463)</f>
        <v>710463</v>
      </c>
      <c r="B15116" s="3" t="s">
        <v>76278</v>
      </c>
      <c r="C15116" s="3" t="s">
        <v>31</v>
      </c>
      <c r="D15116" s="3" t="s">
        <v>32</v>
      </c>
      <c r="E15116" s="4" t="s">
        <v>22</v>
      </c>
      <c r="F15116" s="4" t="s">
        <v>76279</v>
      </c>
      <c r="G15116" s="4" t="s">
        <v>76280</v>
      </c>
      <c r="H15116" s="3" t="s">
        <v>73938</v>
      </c>
      <c r="I15116" s="3" t="s">
        <v>883</v>
      </c>
      <c r="J15116" s="3" t="s">
        <v>3244</v>
      </c>
      <c r="K15116" s="3" t="s">
        <v>76281</v>
      </c>
      <c r="L15116" s="3" t="s">
        <v>76282</v>
      </c>
      <c r="M15116" s="4"/>
      <c r="N15116" s="3" t="s">
        <v>37</v>
      </c>
      <c r="O15116" s="3" t="s">
        <v>52</v>
      </c>
      <c r="P15116" s="5">
        <v>11</v>
      </c>
      <c r="Q15116" s="5">
        <v>101</v>
      </c>
      <c r="R15116" s="5">
        <v>11</v>
      </c>
      <c r="S15116" s="5">
        <v>108</v>
      </c>
    </row>
    <row r="15117" spans="1:19" ht="28" x14ac:dyDescent="0.15">
      <c r="A15117" s="2">
        <f>HYPERLINK("https://open-school.uspishnemisto.com.ua/school/710464/", 710464)</f>
        <v>710464</v>
      </c>
      <c r="B15117" s="3" t="s">
        <v>76283</v>
      </c>
      <c r="C15117" s="3" t="s">
        <v>31</v>
      </c>
      <c r="D15117" s="3" t="s">
        <v>32</v>
      </c>
      <c r="E15117" s="4" t="s">
        <v>22</v>
      </c>
      <c r="F15117" s="4" t="s">
        <v>76284</v>
      </c>
      <c r="G15117" s="4" t="s">
        <v>76285</v>
      </c>
      <c r="H15117" s="3" t="s">
        <v>73938</v>
      </c>
      <c r="I15117" s="3" t="s">
        <v>76135</v>
      </c>
      <c r="J15117" s="3" t="s">
        <v>76286</v>
      </c>
      <c r="K15117" s="3" t="s">
        <v>76287</v>
      </c>
      <c r="L15117" s="3"/>
      <c r="M15117" s="4"/>
      <c r="N15117" s="3" t="s">
        <v>37</v>
      </c>
      <c r="O15117" s="3" t="s">
        <v>52</v>
      </c>
      <c r="P15117" s="5">
        <v>11</v>
      </c>
      <c r="Q15117" s="5">
        <v>132</v>
      </c>
      <c r="R15117" s="5">
        <v>11</v>
      </c>
      <c r="S15117" s="5">
        <v>118</v>
      </c>
    </row>
    <row r="15118" spans="1:19" ht="42" x14ac:dyDescent="0.15">
      <c r="A15118" s="2">
        <f>HYPERLINK("https://open-school.uspishnemisto.com.ua/school/710465/", 710465)</f>
        <v>710465</v>
      </c>
      <c r="B15118" s="3" t="s">
        <v>76288</v>
      </c>
      <c r="C15118" s="3" t="s">
        <v>54</v>
      </c>
      <c r="D15118" s="3" t="s">
        <v>32</v>
      </c>
      <c r="E15118" s="4" t="s">
        <v>22</v>
      </c>
      <c r="F15118" s="4" t="s">
        <v>76289</v>
      </c>
      <c r="G15118" s="4" t="s">
        <v>76290</v>
      </c>
      <c r="H15118" s="3" t="s">
        <v>73938</v>
      </c>
      <c r="I15118" s="3" t="s">
        <v>76291</v>
      </c>
      <c r="J15118" s="3" t="s">
        <v>76292</v>
      </c>
      <c r="K15118" s="3"/>
      <c r="L15118" s="3"/>
      <c r="M15118" s="4"/>
      <c r="N15118" s="3" t="s">
        <v>37</v>
      </c>
      <c r="O15118" s="3" t="s">
        <v>52</v>
      </c>
      <c r="P15118" s="5">
        <v>11</v>
      </c>
      <c r="Q15118" s="5">
        <v>91</v>
      </c>
      <c r="R15118" s="5">
        <v>11</v>
      </c>
      <c r="S15118" s="5">
        <v>87</v>
      </c>
    </row>
    <row r="15119" spans="1:19" ht="42" x14ac:dyDescent="0.15">
      <c r="A15119" s="2">
        <f>HYPERLINK("https://open-school.uspishnemisto.com.ua/school/710466/", 710466)</f>
        <v>710466</v>
      </c>
      <c r="B15119" s="3" t="s">
        <v>76293</v>
      </c>
      <c r="C15119" s="3" t="s">
        <v>54</v>
      </c>
      <c r="D15119" s="3" t="s">
        <v>32</v>
      </c>
      <c r="E15119" s="4" t="s">
        <v>22</v>
      </c>
      <c r="F15119" s="4" t="s">
        <v>76294</v>
      </c>
      <c r="G15119" s="4" t="s">
        <v>76295</v>
      </c>
      <c r="H15119" s="3" t="s">
        <v>73938</v>
      </c>
      <c r="I15119" s="3" t="s">
        <v>76296</v>
      </c>
      <c r="J15119" s="3" t="s">
        <v>76297</v>
      </c>
      <c r="K15119" s="3" t="s">
        <v>76298</v>
      </c>
      <c r="L15119" s="3" t="s">
        <v>76299</v>
      </c>
      <c r="M15119" s="4"/>
      <c r="N15119" s="3" t="s">
        <v>37</v>
      </c>
      <c r="O15119" s="3" t="s">
        <v>52</v>
      </c>
      <c r="P15119" s="5">
        <v>9</v>
      </c>
      <c r="Q15119" s="5">
        <v>81</v>
      </c>
      <c r="R15119" s="5">
        <v>9</v>
      </c>
      <c r="S15119" s="5">
        <v>74</v>
      </c>
    </row>
    <row r="15120" spans="1:19" ht="28" x14ac:dyDescent="0.15">
      <c r="A15120" s="2">
        <f>HYPERLINK("https://open-school.uspishnemisto.com.ua/school/710467/", 710467)</f>
        <v>710467</v>
      </c>
      <c r="B15120" s="3" t="s">
        <v>76300</v>
      </c>
      <c r="C15120" s="3" t="s">
        <v>31</v>
      </c>
      <c r="D15120" s="3" t="s">
        <v>32</v>
      </c>
      <c r="E15120" s="4" t="s">
        <v>22</v>
      </c>
      <c r="F15120" s="4" t="s">
        <v>76301</v>
      </c>
      <c r="G15120" s="4" t="s">
        <v>76302</v>
      </c>
      <c r="H15120" s="3" t="s">
        <v>73938</v>
      </c>
      <c r="I15120" s="3" t="s">
        <v>76303</v>
      </c>
      <c r="J15120" s="3" t="s">
        <v>70673</v>
      </c>
      <c r="K15120" s="3" t="s">
        <v>76304</v>
      </c>
      <c r="L15120" s="3"/>
      <c r="M15120" s="4"/>
      <c r="N15120" s="3" t="s">
        <v>37</v>
      </c>
      <c r="O15120" s="3" t="s">
        <v>46</v>
      </c>
      <c r="P15120" s="5">
        <v>10</v>
      </c>
      <c r="Q15120" s="5">
        <v>69</v>
      </c>
      <c r="R15120" s="5">
        <v>10</v>
      </c>
      <c r="S15120" s="5">
        <v>72</v>
      </c>
    </row>
    <row r="15121" spans="1:19" ht="42" x14ac:dyDescent="0.15">
      <c r="A15121" s="2">
        <f>HYPERLINK("https://open-school.uspishnemisto.com.ua/school/710468/", 710468)</f>
        <v>710468</v>
      </c>
      <c r="B15121" s="3" t="s">
        <v>76305</v>
      </c>
      <c r="C15121" s="3" t="s">
        <v>54</v>
      </c>
      <c r="D15121" s="3" t="s">
        <v>175</v>
      </c>
      <c r="E15121" s="4" t="s">
        <v>22</v>
      </c>
      <c r="F15121" s="4" t="s">
        <v>76306</v>
      </c>
      <c r="G15121" s="4" t="s">
        <v>76307</v>
      </c>
      <c r="H15121" s="3" t="s">
        <v>73938</v>
      </c>
      <c r="I15121" s="3" t="s">
        <v>1166</v>
      </c>
      <c r="J15121" s="3" t="s">
        <v>634</v>
      </c>
      <c r="K15121" s="3"/>
      <c r="L15121" s="3"/>
      <c r="M15121" s="4"/>
      <c r="N15121" s="3" t="s">
        <v>37</v>
      </c>
      <c r="O15121" s="3" t="s">
        <v>52</v>
      </c>
      <c r="P15121" s="5">
        <v>7</v>
      </c>
      <c r="Q15121" s="5">
        <v>43</v>
      </c>
      <c r="R15121" s="5">
        <v>9</v>
      </c>
      <c r="S15121" s="5">
        <v>58</v>
      </c>
    </row>
    <row r="15122" spans="1:19" ht="28" x14ac:dyDescent="0.15">
      <c r="A15122" s="2">
        <f>HYPERLINK("https://open-school.uspishnemisto.com.ua/school/710469/", 710469)</f>
        <v>710469</v>
      </c>
      <c r="B15122" s="3" t="s">
        <v>76308</v>
      </c>
      <c r="C15122" s="3" t="s">
        <v>31</v>
      </c>
      <c r="D15122" s="3" t="s">
        <v>32</v>
      </c>
      <c r="E15122" s="4" t="s">
        <v>22</v>
      </c>
      <c r="F15122" s="4" t="s">
        <v>76309</v>
      </c>
      <c r="G15122" s="4" t="s">
        <v>76310</v>
      </c>
      <c r="H15122" s="3" t="s">
        <v>73938</v>
      </c>
      <c r="I15122" s="3" t="s">
        <v>76311</v>
      </c>
      <c r="J15122" s="3" t="s">
        <v>44721</v>
      </c>
      <c r="K15122" s="3" t="s">
        <v>76312</v>
      </c>
      <c r="L15122" s="3" t="s">
        <v>76313</v>
      </c>
      <c r="M15122" s="4"/>
      <c r="N15122" s="3" t="s">
        <v>37</v>
      </c>
      <c r="O15122" s="3" t="s">
        <v>52</v>
      </c>
      <c r="P15122" s="5">
        <v>12</v>
      </c>
      <c r="Q15122" s="5">
        <v>233</v>
      </c>
      <c r="R15122" s="5">
        <v>11</v>
      </c>
      <c r="S15122" s="5">
        <v>226</v>
      </c>
    </row>
    <row r="15123" spans="1:19" ht="28" x14ac:dyDescent="0.15">
      <c r="A15123" s="2">
        <f>HYPERLINK("https://open-school.uspishnemisto.com.ua/school/710470/", 710470)</f>
        <v>710470</v>
      </c>
      <c r="B15123" s="3" t="s">
        <v>76314</v>
      </c>
      <c r="C15123" s="3" t="s">
        <v>181</v>
      </c>
      <c r="D15123" s="3" t="s">
        <v>32</v>
      </c>
      <c r="E15123" s="4" t="s">
        <v>22</v>
      </c>
      <c r="F15123" s="4" t="s">
        <v>76309</v>
      </c>
      <c r="G15123" s="4" t="s">
        <v>76310</v>
      </c>
      <c r="H15123" s="3" t="s">
        <v>73938</v>
      </c>
      <c r="I15123" s="3" t="s">
        <v>76311</v>
      </c>
      <c r="J15123" s="3" t="s">
        <v>76315</v>
      </c>
      <c r="K15123" s="3" t="s">
        <v>76316</v>
      </c>
      <c r="L15123" s="3"/>
      <c r="M15123" s="4" t="s">
        <v>76317</v>
      </c>
      <c r="N15123" s="3" t="s">
        <v>37</v>
      </c>
      <c r="O15123" s="3"/>
      <c r="P15123" s="5">
        <v>9</v>
      </c>
      <c r="Q15123" s="5">
        <v>83</v>
      </c>
      <c r="R15123" s="5">
        <v>9</v>
      </c>
      <c r="S15123" s="5">
        <v>82</v>
      </c>
    </row>
    <row r="15124" spans="1:19" ht="42" x14ac:dyDescent="0.15">
      <c r="A15124" s="2">
        <f>HYPERLINK("https://open-school.uspishnemisto.com.ua/school/710471/", 710471)</f>
        <v>710471</v>
      </c>
      <c r="B15124" s="3" t="s">
        <v>76318</v>
      </c>
      <c r="C15124" s="3" t="s">
        <v>54</v>
      </c>
      <c r="D15124" s="3" t="s">
        <v>60</v>
      </c>
      <c r="E15124" s="4" t="s">
        <v>22</v>
      </c>
      <c r="F15124" s="4" t="s">
        <v>76319</v>
      </c>
      <c r="G15124" s="4" t="s">
        <v>76320</v>
      </c>
      <c r="H15124" s="3" t="s">
        <v>73938</v>
      </c>
      <c r="I15124" s="3" t="s">
        <v>16036</v>
      </c>
      <c r="J15124" s="3" t="s">
        <v>7647</v>
      </c>
      <c r="K15124" s="3" t="s">
        <v>76321</v>
      </c>
      <c r="L15124" s="3"/>
      <c r="M15124" s="4"/>
      <c r="N15124" s="3" t="s">
        <v>37</v>
      </c>
      <c r="O15124" s="3" t="s">
        <v>52</v>
      </c>
      <c r="P15124" s="5">
        <v>1</v>
      </c>
      <c r="Q15124" s="5">
        <v>5</v>
      </c>
      <c r="R15124" s="5">
        <v>1</v>
      </c>
      <c r="S15124" s="5">
        <v>8</v>
      </c>
    </row>
    <row r="15125" spans="1:19" ht="28" x14ac:dyDescent="0.15">
      <c r="A15125" s="2">
        <f>HYPERLINK("https://open-school.uspishnemisto.com.ua/school/710472/", 710472)</f>
        <v>710472</v>
      </c>
      <c r="B15125" s="3" t="s">
        <v>76322</v>
      </c>
      <c r="C15125" s="3" t="s">
        <v>31</v>
      </c>
      <c r="D15125" s="3" t="s">
        <v>32</v>
      </c>
      <c r="E15125" s="4" t="s">
        <v>22</v>
      </c>
      <c r="F15125" s="4" t="s">
        <v>76323</v>
      </c>
      <c r="G15125" s="4" t="s">
        <v>76324</v>
      </c>
      <c r="H15125" s="3" t="s">
        <v>73938</v>
      </c>
      <c r="I15125" s="3" t="s">
        <v>76325</v>
      </c>
      <c r="J15125" s="3" t="s">
        <v>76326</v>
      </c>
      <c r="K15125" s="3" t="s">
        <v>76327</v>
      </c>
      <c r="L15125" s="3" t="s">
        <v>76328</v>
      </c>
      <c r="M15125" s="4"/>
      <c r="N15125" s="3" t="s">
        <v>37</v>
      </c>
      <c r="O15125" s="3" t="s">
        <v>52</v>
      </c>
      <c r="P15125" s="5">
        <v>11</v>
      </c>
      <c r="Q15125" s="5">
        <v>94</v>
      </c>
      <c r="R15125" s="5">
        <v>11</v>
      </c>
      <c r="S15125" s="5">
        <v>87</v>
      </c>
    </row>
    <row r="15126" spans="1:19" ht="28" x14ac:dyDescent="0.15">
      <c r="A15126" s="2">
        <f>HYPERLINK("https://open-school.uspishnemisto.com.ua/school/710473/", 710473)</f>
        <v>710473</v>
      </c>
      <c r="B15126" s="3" t="s">
        <v>76329</v>
      </c>
      <c r="C15126" s="3" t="s">
        <v>31</v>
      </c>
      <c r="D15126" s="3" t="s">
        <v>32</v>
      </c>
      <c r="E15126" s="4" t="s">
        <v>22</v>
      </c>
      <c r="F15126" s="4" t="s">
        <v>76330</v>
      </c>
      <c r="G15126" s="4" t="s">
        <v>76331</v>
      </c>
      <c r="H15126" s="3" t="s">
        <v>73938</v>
      </c>
      <c r="I15126" s="3" t="s">
        <v>76332</v>
      </c>
      <c r="J15126" s="3" t="s">
        <v>47841</v>
      </c>
      <c r="K15126" s="3" t="s">
        <v>76333</v>
      </c>
      <c r="L15126" s="3"/>
      <c r="M15126" s="4"/>
      <c r="N15126" s="3" t="s">
        <v>37</v>
      </c>
      <c r="O15126" s="3" t="s">
        <v>139</v>
      </c>
      <c r="P15126" s="5">
        <v>10</v>
      </c>
      <c r="Q15126" s="5">
        <v>131</v>
      </c>
      <c r="R15126" s="5">
        <v>11</v>
      </c>
      <c r="S15126" s="5">
        <v>133</v>
      </c>
    </row>
    <row r="15127" spans="1:19" ht="28" x14ac:dyDescent="0.15">
      <c r="A15127" s="2">
        <f>HYPERLINK("https://open-school.uspishnemisto.com.ua/school/710474/", 710474)</f>
        <v>710474</v>
      </c>
      <c r="B15127" s="3" t="s">
        <v>76334</v>
      </c>
      <c r="C15127" s="3" t="s">
        <v>31</v>
      </c>
      <c r="D15127" s="3" t="s">
        <v>32</v>
      </c>
      <c r="E15127" s="4" t="s">
        <v>22</v>
      </c>
      <c r="F15127" s="4" t="s">
        <v>76335</v>
      </c>
      <c r="G15127" s="4" t="s">
        <v>76336</v>
      </c>
      <c r="H15127" s="3" t="s">
        <v>73938</v>
      </c>
      <c r="I15127" s="3" t="s">
        <v>50279</v>
      </c>
      <c r="J15127" s="3" t="s">
        <v>2820</v>
      </c>
      <c r="K15127" s="3" t="s">
        <v>76337</v>
      </c>
      <c r="L15127" s="3"/>
      <c r="M15127" s="4"/>
      <c r="N15127" s="3" t="s">
        <v>37</v>
      </c>
      <c r="O15127" s="3" t="s">
        <v>52</v>
      </c>
      <c r="P15127" s="5">
        <v>11</v>
      </c>
      <c r="Q15127" s="5">
        <v>128</v>
      </c>
      <c r="R15127" s="5">
        <v>11</v>
      </c>
      <c r="S15127" s="5">
        <v>125</v>
      </c>
    </row>
    <row r="15128" spans="1:19" ht="42" x14ac:dyDescent="0.15">
      <c r="A15128" s="2">
        <f>HYPERLINK("https://open-school.uspishnemisto.com.ua/school/710475/", 710475)</f>
        <v>710475</v>
      </c>
      <c r="B15128" s="3" t="s">
        <v>76338</v>
      </c>
      <c r="C15128" s="3" t="s">
        <v>54</v>
      </c>
      <c r="D15128" s="3" t="s">
        <v>60</v>
      </c>
      <c r="E15128" s="4" t="s">
        <v>22</v>
      </c>
      <c r="F15128" s="4" t="s">
        <v>76339</v>
      </c>
      <c r="G15128" s="4" t="s">
        <v>76340</v>
      </c>
      <c r="H15128" s="3" t="s">
        <v>73938</v>
      </c>
      <c r="I15128" s="3" t="s">
        <v>56563</v>
      </c>
      <c r="J15128" s="3" t="s">
        <v>3363</v>
      </c>
      <c r="K15128" s="3"/>
      <c r="L15128" s="3" t="s">
        <v>76341</v>
      </c>
      <c r="M15128" s="4"/>
      <c r="N15128" s="3" t="s">
        <v>37</v>
      </c>
      <c r="O15128" s="3" t="s">
        <v>52</v>
      </c>
      <c r="P15128" s="5">
        <v>3</v>
      </c>
      <c r="Q15128" s="5">
        <v>16</v>
      </c>
      <c r="R15128" s="5">
        <v>3</v>
      </c>
      <c r="S15128" s="5">
        <v>18</v>
      </c>
    </row>
    <row r="15129" spans="1:19" ht="28" x14ac:dyDescent="0.15">
      <c r="A15129" s="2">
        <f>HYPERLINK("https://open-school.uspishnemisto.com.ua/school/710476/", 710476)</f>
        <v>710476</v>
      </c>
      <c r="B15129" s="3" t="s">
        <v>76342</v>
      </c>
      <c r="C15129" s="3" t="s">
        <v>54</v>
      </c>
      <c r="D15129" s="3" t="s">
        <v>175</v>
      </c>
      <c r="E15129" s="4" t="s">
        <v>22</v>
      </c>
      <c r="F15129" s="4" t="s">
        <v>76227</v>
      </c>
      <c r="G15129" s="4" t="s">
        <v>76343</v>
      </c>
      <c r="H15129" s="3" t="s">
        <v>73938</v>
      </c>
      <c r="I15129" s="3" t="s">
        <v>76344</v>
      </c>
      <c r="J15129" s="3" t="s">
        <v>46685</v>
      </c>
      <c r="K15129" s="3"/>
      <c r="L15129" s="3"/>
      <c r="M15129" s="4"/>
      <c r="N15129" s="3" t="s">
        <v>37</v>
      </c>
      <c r="O15129" s="3" t="s">
        <v>52</v>
      </c>
      <c r="P15129" s="5">
        <v>9</v>
      </c>
      <c r="Q15129" s="5">
        <v>73</v>
      </c>
      <c r="R15129" s="5">
        <v>7</v>
      </c>
      <c r="S15129" s="5">
        <v>57</v>
      </c>
    </row>
    <row r="15130" spans="1:19" ht="28" x14ac:dyDescent="0.15">
      <c r="A15130" s="2">
        <f>HYPERLINK("https://open-school.uspishnemisto.com.ua/school/710477/", 710477)</f>
        <v>710477</v>
      </c>
      <c r="B15130" s="3" t="s">
        <v>76345</v>
      </c>
      <c r="C15130" s="3" t="s">
        <v>31</v>
      </c>
      <c r="D15130" s="3" t="s">
        <v>32</v>
      </c>
      <c r="E15130" s="4" t="s">
        <v>22</v>
      </c>
      <c r="F15130" s="4" t="s">
        <v>76346</v>
      </c>
      <c r="G15130" s="4" t="s">
        <v>76347</v>
      </c>
      <c r="H15130" s="3" t="s">
        <v>73938</v>
      </c>
      <c r="I15130" s="3" t="s">
        <v>22564</v>
      </c>
      <c r="J15130" s="3" t="s">
        <v>76348</v>
      </c>
      <c r="K15130" s="3" t="s">
        <v>76349</v>
      </c>
      <c r="L15130" s="3" t="s">
        <v>76350</v>
      </c>
      <c r="M15130" s="4"/>
      <c r="N15130" s="3" t="s">
        <v>37</v>
      </c>
      <c r="O15130" s="3" t="s">
        <v>46</v>
      </c>
      <c r="P15130" s="5">
        <v>15</v>
      </c>
      <c r="Q15130" s="5">
        <v>245</v>
      </c>
      <c r="R15130" s="5">
        <v>15</v>
      </c>
      <c r="S15130" s="5">
        <v>230</v>
      </c>
    </row>
    <row r="15131" spans="1:19" ht="42" x14ac:dyDescent="0.15">
      <c r="A15131" s="2">
        <f>HYPERLINK("https://open-school.uspishnemisto.com.ua/school/710478/", 710478)</f>
        <v>710478</v>
      </c>
      <c r="B15131" s="3" t="s">
        <v>76351</v>
      </c>
      <c r="C15131" s="3" t="s">
        <v>54</v>
      </c>
      <c r="D15131" s="3" t="s">
        <v>175</v>
      </c>
      <c r="E15131" s="4" t="s">
        <v>22</v>
      </c>
      <c r="F15131" s="4" t="s">
        <v>76352</v>
      </c>
      <c r="G15131" s="4" t="s">
        <v>76353</v>
      </c>
      <c r="H15131" s="3" t="s">
        <v>73938</v>
      </c>
      <c r="I15131" s="3" t="s">
        <v>76354</v>
      </c>
      <c r="J15131" s="3" t="s">
        <v>297</v>
      </c>
      <c r="K15131" s="3"/>
      <c r="L15131" s="3"/>
      <c r="M15131" s="4"/>
      <c r="N15131" s="3" t="s">
        <v>37</v>
      </c>
      <c r="O15131" s="3" t="s">
        <v>52</v>
      </c>
      <c r="P15131" s="5">
        <v>7</v>
      </c>
      <c r="Q15131" s="5">
        <v>40</v>
      </c>
      <c r="R15131" s="5">
        <v>8</v>
      </c>
      <c r="S15131" s="5">
        <v>47</v>
      </c>
    </row>
    <row r="15132" spans="1:19" ht="42" x14ac:dyDescent="0.15">
      <c r="A15132" s="2">
        <f>HYPERLINK("https://open-school.uspishnemisto.com.ua/school/710479/", 710479)</f>
        <v>710479</v>
      </c>
      <c r="B15132" s="3" t="s">
        <v>76355</v>
      </c>
      <c r="C15132" s="3" t="s">
        <v>7651</v>
      </c>
      <c r="D15132" s="3"/>
      <c r="E15132" s="4" t="s">
        <v>22</v>
      </c>
      <c r="F15132" s="4"/>
      <c r="G15132" s="4" t="s">
        <v>76356</v>
      </c>
      <c r="H15132" s="3" t="s">
        <v>73938</v>
      </c>
      <c r="I15132" s="3" t="s">
        <v>76357</v>
      </c>
      <c r="J15132" s="3" t="s">
        <v>76358</v>
      </c>
      <c r="K15132" s="3" t="s">
        <v>76359</v>
      </c>
      <c r="L15132" s="3"/>
      <c r="M15132" s="4"/>
      <c r="N15132" s="3"/>
      <c r="O15132" s="3"/>
      <c r="P15132" s="5">
        <v>0</v>
      </c>
      <c r="Q15132" s="5">
        <v>0</v>
      </c>
      <c r="R15132" s="5"/>
      <c r="S15132" s="5"/>
    </row>
    <row r="15133" spans="1:19" ht="42" x14ac:dyDescent="0.15">
      <c r="A15133" s="2">
        <f>HYPERLINK("https://open-school.uspishnemisto.com.ua/school/710480/", 710480)</f>
        <v>710480</v>
      </c>
      <c r="B15133" s="3" t="s">
        <v>76360</v>
      </c>
      <c r="C15133" s="3" t="s">
        <v>54</v>
      </c>
      <c r="D15133" s="3" t="s">
        <v>175</v>
      </c>
      <c r="E15133" s="4" t="s">
        <v>22</v>
      </c>
      <c r="F15133" s="4" t="s">
        <v>76361</v>
      </c>
      <c r="G15133" s="4" t="s">
        <v>76356</v>
      </c>
      <c r="H15133" s="3" t="s">
        <v>73938</v>
      </c>
      <c r="I15133" s="3" t="s">
        <v>76357</v>
      </c>
      <c r="J15133" s="3" t="s">
        <v>76362</v>
      </c>
      <c r="K15133" s="3" t="s">
        <v>76363</v>
      </c>
      <c r="L15133" s="3"/>
      <c r="M15133" s="4"/>
      <c r="N15133" s="3" t="s">
        <v>37</v>
      </c>
      <c r="O15133" s="3" t="s">
        <v>52</v>
      </c>
      <c r="P15133" s="5">
        <v>7</v>
      </c>
      <c r="Q15133" s="5">
        <v>45</v>
      </c>
      <c r="R15133" s="5">
        <v>8</v>
      </c>
      <c r="S15133" s="5">
        <v>51</v>
      </c>
    </row>
    <row r="15134" spans="1:19" ht="28" x14ac:dyDescent="0.15">
      <c r="A15134" s="2">
        <f>HYPERLINK("https://open-school.uspishnemisto.com.ua/school/710481/", 710481)</f>
        <v>710481</v>
      </c>
      <c r="B15134" s="3" t="s">
        <v>76364</v>
      </c>
      <c r="C15134" s="3" t="s">
        <v>31</v>
      </c>
      <c r="D15134" s="3" t="s">
        <v>32</v>
      </c>
      <c r="E15134" s="4" t="s">
        <v>22</v>
      </c>
      <c r="F15134" s="4" t="s">
        <v>76365</v>
      </c>
      <c r="G15134" s="4" t="s">
        <v>76366</v>
      </c>
      <c r="H15134" s="3" t="s">
        <v>73938</v>
      </c>
      <c r="I15134" s="3" t="s">
        <v>76367</v>
      </c>
      <c r="J15134" s="3" t="s">
        <v>19901</v>
      </c>
      <c r="K15134" s="3" t="s">
        <v>76368</v>
      </c>
      <c r="L15134" s="3"/>
      <c r="M15134" s="4"/>
      <c r="N15134" s="3" t="s">
        <v>37</v>
      </c>
      <c r="O15134" s="3" t="s">
        <v>52</v>
      </c>
      <c r="P15134" s="5">
        <v>12</v>
      </c>
      <c r="Q15134" s="5">
        <v>209</v>
      </c>
      <c r="R15134" s="5">
        <v>11</v>
      </c>
      <c r="S15134" s="5">
        <v>194</v>
      </c>
    </row>
    <row r="15135" spans="1:19" ht="42" x14ac:dyDescent="0.15">
      <c r="A15135" s="2">
        <f>HYPERLINK("https://open-school.uspishnemisto.com.ua/school/710482/", 710482)</f>
        <v>710482</v>
      </c>
      <c r="B15135" s="3" t="s">
        <v>76369</v>
      </c>
      <c r="C15135" s="3" t="s">
        <v>181</v>
      </c>
      <c r="D15135" s="3" t="s">
        <v>32</v>
      </c>
      <c r="E15135" s="4" t="s">
        <v>22</v>
      </c>
      <c r="F15135" s="4" t="s">
        <v>76365</v>
      </c>
      <c r="G15135" s="4" t="s">
        <v>76366</v>
      </c>
      <c r="H15135" s="3" t="s">
        <v>73938</v>
      </c>
      <c r="I15135" s="3" t="s">
        <v>76367</v>
      </c>
      <c r="J15135" s="3" t="s">
        <v>778</v>
      </c>
      <c r="K15135" s="3" t="s">
        <v>76370</v>
      </c>
      <c r="L15135" s="3"/>
      <c r="M15135" s="4" t="s">
        <v>76371</v>
      </c>
      <c r="N15135" s="3" t="s">
        <v>37</v>
      </c>
      <c r="O15135" s="3"/>
      <c r="P15135" s="5">
        <v>10</v>
      </c>
      <c r="Q15135" s="5">
        <v>92</v>
      </c>
      <c r="R15135" s="5">
        <v>10</v>
      </c>
      <c r="S15135" s="5">
        <v>88</v>
      </c>
    </row>
    <row r="15136" spans="1:19" ht="42" x14ac:dyDescent="0.15">
      <c r="A15136" s="2">
        <f>HYPERLINK("https://open-school.uspishnemisto.com.ua/school/710483/", 710483)</f>
        <v>710483</v>
      </c>
      <c r="B15136" s="3" t="s">
        <v>76372</v>
      </c>
      <c r="C15136" s="3" t="s">
        <v>54</v>
      </c>
      <c r="D15136" s="3" t="s">
        <v>32</v>
      </c>
      <c r="E15136" s="4" t="s">
        <v>22</v>
      </c>
      <c r="F15136" s="4" t="s">
        <v>76373</v>
      </c>
      <c r="G15136" s="4" t="s">
        <v>76374</v>
      </c>
      <c r="H15136" s="3" t="s">
        <v>73938</v>
      </c>
      <c r="I15136" s="3" t="s">
        <v>76375</v>
      </c>
      <c r="J15136" s="3" t="s">
        <v>1186</v>
      </c>
      <c r="K15136" s="3" t="s">
        <v>76376</v>
      </c>
      <c r="L15136" s="3"/>
      <c r="M15136" s="4"/>
      <c r="N15136" s="3" t="s">
        <v>37</v>
      </c>
      <c r="O15136" s="3" t="s">
        <v>52</v>
      </c>
      <c r="P15136" s="5">
        <v>10</v>
      </c>
      <c r="Q15136" s="5">
        <v>70</v>
      </c>
      <c r="R15136" s="5">
        <v>9</v>
      </c>
      <c r="S15136" s="5">
        <v>61</v>
      </c>
    </row>
    <row r="15137" spans="1:19" ht="28" x14ac:dyDescent="0.15">
      <c r="A15137" s="2">
        <f>HYPERLINK("https://open-school.uspishnemisto.com.ua/school/710484/", 710484)</f>
        <v>710484</v>
      </c>
      <c r="B15137" s="3" t="s">
        <v>76377</v>
      </c>
      <c r="C15137" s="3" t="s">
        <v>31</v>
      </c>
      <c r="D15137" s="3" t="s">
        <v>32</v>
      </c>
      <c r="E15137" s="4" t="s">
        <v>22</v>
      </c>
      <c r="F15137" s="4" t="s">
        <v>76378</v>
      </c>
      <c r="G15137" s="4" t="s">
        <v>76379</v>
      </c>
      <c r="H15137" s="3" t="s">
        <v>73938</v>
      </c>
      <c r="I15137" s="3" t="s">
        <v>76380</v>
      </c>
      <c r="J15137" s="3" t="s">
        <v>2757</v>
      </c>
      <c r="K15137" s="3" t="s">
        <v>76381</v>
      </c>
      <c r="L15137" s="3" t="s">
        <v>76382</v>
      </c>
      <c r="M15137" s="4"/>
      <c r="N15137" s="3" t="s">
        <v>37</v>
      </c>
      <c r="O15137" s="3" t="s">
        <v>52</v>
      </c>
      <c r="P15137" s="5">
        <v>11</v>
      </c>
      <c r="Q15137" s="5">
        <v>185</v>
      </c>
      <c r="R15137" s="5">
        <v>11</v>
      </c>
      <c r="S15137" s="5">
        <v>187</v>
      </c>
    </row>
    <row r="15138" spans="1:19" ht="28" x14ac:dyDescent="0.15">
      <c r="A15138" s="2">
        <f>HYPERLINK("https://open-school.uspishnemisto.com.ua/school/710485/", 710485)</f>
        <v>710485</v>
      </c>
      <c r="B15138" s="3" t="s">
        <v>76383</v>
      </c>
      <c r="C15138" s="3" t="s">
        <v>31</v>
      </c>
      <c r="D15138" s="3" t="s">
        <v>32</v>
      </c>
      <c r="E15138" s="4" t="s">
        <v>22</v>
      </c>
      <c r="F15138" s="4" t="s">
        <v>76384</v>
      </c>
      <c r="G15138" s="4" t="s">
        <v>76385</v>
      </c>
      <c r="H15138" s="3" t="s">
        <v>73938</v>
      </c>
      <c r="I15138" s="3" t="s">
        <v>76386</v>
      </c>
      <c r="J15138" s="3" t="s">
        <v>76387</v>
      </c>
      <c r="K15138" s="3" t="s">
        <v>76388</v>
      </c>
      <c r="L15138" s="3" t="s">
        <v>76389</v>
      </c>
      <c r="M15138" s="4"/>
      <c r="N15138" s="3" t="s">
        <v>37</v>
      </c>
      <c r="O15138" s="3" t="s">
        <v>46</v>
      </c>
      <c r="P15138" s="5">
        <v>11</v>
      </c>
      <c r="Q15138" s="5">
        <v>123</v>
      </c>
      <c r="R15138" s="5">
        <v>11</v>
      </c>
      <c r="S15138" s="5">
        <v>119</v>
      </c>
    </row>
    <row r="15139" spans="1:19" ht="42" x14ac:dyDescent="0.15">
      <c r="A15139" s="2">
        <f>HYPERLINK("https://open-school.uspishnemisto.com.ua/school/710486/", 710486)</f>
        <v>710486</v>
      </c>
      <c r="B15139" s="3" t="s">
        <v>76390</v>
      </c>
      <c r="C15139" s="3" t="s">
        <v>54</v>
      </c>
      <c r="D15139" s="3" t="s">
        <v>175</v>
      </c>
      <c r="E15139" s="4" t="s">
        <v>22</v>
      </c>
      <c r="F15139" s="4" t="s">
        <v>76391</v>
      </c>
      <c r="G15139" s="4" t="s">
        <v>76392</v>
      </c>
      <c r="H15139" s="3" t="s">
        <v>73938</v>
      </c>
      <c r="I15139" s="3" t="s">
        <v>76393</v>
      </c>
      <c r="J15139" s="3" t="s">
        <v>2555</v>
      </c>
      <c r="K15139" s="3" t="s">
        <v>76394</v>
      </c>
      <c r="L15139" s="3"/>
      <c r="M15139" s="4"/>
      <c r="N15139" s="3" t="s">
        <v>37</v>
      </c>
      <c r="O15139" s="3" t="s">
        <v>52</v>
      </c>
      <c r="P15139" s="5">
        <v>8</v>
      </c>
      <c r="Q15139" s="5">
        <v>64</v>
      </c>
      <c r="R15139" s="5">
        <v>9</v>
      </c>
      <c r="S15139" s="5">
        <v>71</v>
      </c>
    </row>
    <row r="15140" spans="1:19" ht="28" x14ac:dyDescent="0.15">
      <c r="A15140" s="2">
        <f>HYPERLINK("https://open-school.uspishnemisto.com.ua/school/710487/", 710487)</f>
        <v>710487</v>
      </c>
      <c r="B15140" s="3" t="s">
        <v>76395</v>
      </c>
      <c r="C15140" s="3" t="s">
        <v>31</v>
      </c>
      <c r="D15140" s="3" t="s">
        <v>32</v>
      </c>
      <c r="E15140" s="4" t="s">
        <v>22</v>
      </c>
      <c r="F15140" s="4" t="s">
        <v>76396</v>
      </c>
      <c r="G15140" s="4" t="s">
        <v>76397</v>
      </c>
      <c r="H15140" s="3" t="s">
        <v>73938</v>
      </c>
      <c r="I15140" s="3" t="s">
        <v>76398</v>
      </c>
      <c r="J15140" s="3" t="s">
        <v>3415</v>
      </c>
      <c r="K15140" s="3" t="s">
        <v>76399</v>
      </c>
      <c r="L15140" s="3" t="s">
        <v>76400</v>
      </c>
      <c r="M15140" s="4"/>
      <c r="N15140" s="3" t="s">
        <v>37</v>
      </c>
      <c r="O15140" s="3" t="s">
        <v>52</v>
      </c>
      <c r="P15140" s="5">
        <v>10</v>
      </c>
      <c r="Q15140" s="5">
        <v>85</v>
      </c>
      <c r="R15140" s="5">
        <v>10</v>
      </c>
      <c r="S15140" s="5">
        <v>87</v>
      </c>
    </row>
    <row r="15141" spans="1:19" ht="28" x14ac:dyDescent="0.15">
      <c r="A15141" s="2">
        <f>HYPERLINK("https://open-school.uspishnemisto.com.ua/school/710489/", 710489)</f>
        <v>710489</v>
      </c>
      <c r="B15141" s="3" t="s">
        <v>76401</v>
      </c>
      <c r="C15141" s="3" t="s">
        <v>31</v>
      </c>
      <c r="D15141" s="3" t="s">
        <v>175</v>
      </c>
      <c r="E15141" s="4" t="s">
        <v>22</v>
      </c>
      <c r="F15141" s="4" t="s">
        <v>76402</v>
      </c>
      <c r="G15141" s="4" t="s">
        <v>76403</v>
      </c>
      <c r="H15141" s="3" t="s">
        <v>73938</v>
      </c>
      <c r="I15141" s="3" t="s">
        <v>76404</v>
      </c>
      <c r="J15141" s="3" t="s">
        <v>76007</v>
      </c>
      <c r="K15141" s="3" t="s">
        <v>76405</v>
      </c>
      <c r="L15141" s="3" t="s">
        <v>76406</v>
      </c>
      <c r="M15141" s="4"/>
      <c r="N15141" s="3" t="s">
        <v>37</v>
      </c>
      <c r="O15141" s="3" t="s">
        <v>52</v>
      </c>
      <c r="P15141" s="5">
        <v>8</v>
      </c>
      <c r="Q15141" s="5">
        <v>65</v>
      </c>
      <c r="R15141" s="5">
        <v>8</v>
      </c>
      <c r="S15141" s="5">
        <v>65</v>
      </c>
    </row>
    <row r="15142" spans="1:19" ht="42" x14ac:dyDescent="0.15">
      <c r="A15142" s="2">
        <f>HYPERLINK("https://open-school.uspishnemisto.com.ua/school/710490/", 710490)</f>
        <v>710490</v>
      </c>
      <c r="B15142" s="3" t="s">
        <v>76407</v>
      </c>
      <c r="C15142" s="3" t="s">
        <v>54</v>
      </c>
      <c r="D15142" s="3" t="s">
        <v>32</v>
      </c>
      <c r="E15142" s="4" t="s">
        <v>22</v>
      </c>
      <c r="F15142" s="4" t="s">
        <v>76408</v>
      </c>
      <c r="G15142" s="4" t="s">
        <v>76409</v>
      </c>
      <c r="H15142" s="3" t="s">
        <v>73938</v>
      </c>
      <c r="I15142" s="3" t="s">
        <v>76410</v>
      </c>
      <c r="J15142" s="3" t="s">
        <v>3370</v>
      </c>
      <c r="K15142" s="3"/>
      <c r="L15142" s="3"/>
      <c r="M15142" s="4"/>
      <c r="N15142" s="3" t="s">
        <v>37</v>
      </c>
      <c r="O15142" s="3" t="s">
        <v>52</v>
      </c>
      <c r="P15142" s="5">
        <v>7</v>
      </c>
      <c r="Q15142" s="5">
        <v>57</v>
      </c>
      <c r="R15142" s="5">
        <v>6</v>
      </c>
      <c r="S15142" s="5">
        <v>48</v>
      </c>
    </row>
    <row r="15143" spans="1:19" ht="42" x14ac:dyDescent="0.15">
      <c r="A15143" s="2">
        <f>HYPERLINK("https://open-school.uspishnemisto.com.ua/school/710491/", 710491)</f>
        <v>710491</v>
      </c>
      <c r="B15143" s="3" t="s">
        <v>76411</v>
      </c>
      <c r="C15143" s="3" t="s">
        <v>54</v>
      </c>
      <c r="D15143" s="3" t="s">
        <v>32</v>
      </c>
      <c r="E15143" s="4" t="s">
        <v>22</v>
      </c>
      <c r="F15143" s="4" t="s">
        <v>76412</v>
      </c>
      <c r="G15143" s="4" t="s">
        <v>76413</v>
      </c>
      <c r="H15143" s="3" t="s">
        <v>73938</v>
      </c>
      <c r="I15143" s="3" t="s">
        <v>3895</v>
      </c>
      <c r="J15143" s="3" t="s">
        <v>76414</v>
      </c>
      <c r="K15143" s="3" t="s">
        <v>76415</v>
      </c>
      <c r="L15143" s="3" t="s">
        <v>76416</v>
      </c>
      <c r="M15143" s="4"/>
      <c r="N15143" s="3" t="s">
        <v>37</v>
      </c>
      <c r="O15143" s="3" t="s">
        <v>52</v>
      </c>
      <c r="P15143" s="5">
        <v>11</v>
      </c>
      <c r="Q15143" s="5">
        <v>173</v>
      </c>
      <c r="R15143" s="5">
        <v>11</v>
      </c>
      <c r="S15143" s="5">
        <v>164</v>
      </c>
    </row>
    <row r="15144" spans="1:19" ht="28" x14ac:dyDescent="0.15">
      <c r="A15144" s="2">
        <f>HYPERLINK("https://open-school.uspishnemisto.com.ua/school/710492/", 710492)</f>
        <v>710492</v>
      </c>
      <c r="B15144" s="3" t="s">
        <v>76417</v>
      </c>
      <c r="C15144" s="3" t="s">
        <v>31</v>
      </c>
      <c r="D15144" s="3" t="s">
        <v>32</v>
      </c>
      <c r="E15144" s="4" t="s">
        <v>22</v>
      </c>
      <c r="F15144" s="4" t="s">
        <v>73725</v>
      </c>
      <c r="G15144" s="4" t="s">
        <v>76418</v>
      </c>
      <c r="H15144" s="3" t="s">
        <v>73938</v>
      </c>
      <c r="I15144" s="3" t="s">
        <v>76419</v>
      </c>
      <c r="J15144" s="3" t="s">
        <v>2185</v>
      </c>
      <c r="K15144" s="3" t="s">
        <v>76420</v>
      </c>
      <c r="L15144" s="3" t="s">
        <v>76421</v>
      </c>
      <c r="M15144" s="4"/>
      <c r="N15144" s="3" t="s">
        <v>37</v>
      </c>
      <c r="O15144" s="3" t="s">
        <v>52</v>
      </c>
      <c r="P15144" s="5">
        <v>9</v>
      </c>
      <c r="Q15144" s="5">
        <v>80</v>
      </c>
      <c r="R15144" s="5">
        <v>10</v>
      </c>
      <c r="S15144" s="5">
        <v>85</v>
      </c>
    </row>
    <row r="15145" spans="1:19" ht="28" x14ac:dyDescent="0.15">
      <c r="A15145" s="2">
        <f>HYPERLINK("https://open-school.uspishnemisto.com.ua/school/710493/", 710493)</f>
        <v>710493</v>
      </c>
      <c r="B15145" s="3" t="s">
        <v>76422</v>
      </c>
      <c r="C15145" s="3" t="s">
        <v>31</v>
      </c>
      <c r="D15145" s="3" t="s">
        <v>32</v>
      </c>
      <c r="E15145" s="4" t="s">
        <v>22</v>
      </c>
      <c r="F15145" s="4" t="s">
        <v>76423</v>
      </c>
      <c r="G15145" s="4" t="s">
        <v>76424</v>
      </c>
      <c r="H15145" s="3" t="s">
        <v>73938</v>
      </c>
      <c r="I15145" s="3" t="s">
        <v>76425</v>
      </c>
      <c r="J15145" s="3" t="s">
        <v>16729</v>
      </c>
      <c r="K15145" s="3" t="s">
        <v>76426</v>
      </c>
      <c r="L15145" s="3" t="s">
        <v>76427</v>
      </c>
      <c r="M15145" s="4"/>
      <c r="N15145" s="3" t="s">
        <v>37</v>
      </c>
      <c r="O15145" s="3" t="s">
        <v>70</v>
      </c>
      <c r="P15145" s="5">
        <v>27</v>
      </c>
      <c r="Q15145" s="5">
        <v>591</v>
      </c>
      <c r="R15145" s="5">
        <v>25</v>
      </c>
      <c r="S15145" s="5">
        <v>572</v>
      </c>
    </row>
    <row r="15146" spans="1:19" ht="42" x14ac:dyDescent="0.15">
      <c r="A15146" s="2">
        <f>HYPERLINK("https://open-school.uspishnemisto.com.ua/school/710494/", 710494)</f>
        <v>710494</v>
      </c>
      <c r="B15146" s="3" t="s">
        <v>76428</v>
      </c>
      <c r="C15146" s="3" t="s">
        <v>244</v>
      </c>
      <c r="D15146" s="3" t="s">
        <v>32</v>
      </c>
      <c r="E15146" s="4" t="s">
        <v>22</v>
      </c>
      <c r="F15146" s="4" t="s">
        <v>76423</v>
      </c>
      <c r="G15146" s="4" t="s">
        <v>76424</v>
      </c>
      <c r="H15146" s="3" t="s">
        <v>73938</v>
      </c>
      <c r="I15146" s="3" t="s">
        <v>76425</v>
      </c>
      <c r="J15146" s="3" t="s">
        <v>76429</v>
      </c>
      <c r="K15146" s="3" t="s">
        <v>76430</v>
      </c>
      <c r="L15146" s="3" t="s">
        <v>76431</v>
      </c>
      <c r="M15146" s="4"/>
      <c r="N15146" s="3" t="s">
        <v>37</v>
      </c>
      <c r="O15146" s="3" t="s">
        <v>46</v>
      </c>
      <c r="P15146" s="5">
        <v>31</v>
      </c>
      <c r="Q15146" s="5">
        <v>675</v>
      </c>
      <c r="R15146" s="5">
        <v>33</v>
      </c>
      <c r="S15146" s="5">
        <v>687</v>
      </c>
    </row>
    <row r="15147" spans="1:19" ht="28" x14ac:dyDescent="0.15">
      <c r="A15147" s="2">
        <f>HYPERLINK("https://open-school.uspishnemisto.com.ua/school/710495/", 710495)</f>
        <v>710495</v>
      </c>
      <c r="B15147" s="3" t="s">
        <v>76432</v>
      </c>
      <c r="C15147" s="3" t="s">
        <v>31</v>
      </c>
      <c r="D15147" s="3" t="s">
        <v>32</v>
      </c>
      <c r="E15147" s="4" t="s">
        <v>22</v>
      </c>
      <c r="F15147" s="4" t="s">
        <v>76433</v>
      </c>
      <c r="G15147" s="4" t="s">
        <v>76434</v>
      </c>
      <c r="H15147" s="3" t="s">
        <v>73938</v>
      </c>
      <c r="I15147" s="3" t="s">
        <v>42611</v>
      </c>
      <c r="J15147" s="3" t="s">
        <v>1636</v>
      </c>
      <c r="K15147" s="3" t="s">
        <v>76435</v>
      </c>
      <c r="L15147" s="3" t="s">
        <v>76436</v>
      </c>
      <c r="M15147" s="4"/>
      <c r="N15147" s="3" t="s">
        <v>37</v>
      </c>
      <c r="O15147" s="3" t="s">
        <v>38</v>
      </c>
      <c r="P15147" s="5">
        <v>12</v>
      </c>
      <c r="Q15147" s="5">
        <v>206</v>
      </c>
      <c r="R15147" s="5">
        <v>12</v>
      </c>
      <c r="S15147" s="5">
        <v>198</v>
      </c>
    </row>
    <row r="15148" spans="1:19" ht="42" x14ac:dyDescent="0.15">
      <c r="A15148" s="2">
        <f>HYPERLINK("https://open-school.uspishnemisto.com.ua/school/710496/", 710496)</f>
        <v>710496</v>
      </c>
      <c r="B15148" s="3" t="s">
        <v>76437</v>
      </c>
      <c r="C15148" s="3" t="s">
        <v>7651</v>
      </c>
      <c r="D15148" s="3"/>
      <c r="E15148" s="4" t="s">
        <v>22</v>
      </c>
      <c r="F15148" s="4" t="s">
        <v>76433</v>
      </c>
      <c r="G15148" s="4" t="s">
        <v>76434</v>
      </c>
      <c r="H15148" s="3" t="s">
        <v>73938</v>
      </c>
      <c r="I15148" s="3" t="s">
        <v>42611</v>
      </c>
      <c r="J15148" s="3" t="s">
        <v>466</v>
      </c>
      <c r="K15148" s="3" t="s">
        <v>76438</v>
      </c>
      <c r="L15148" s="3"/>
      <c r="M15148" s="4"/>
      <c r="N15148" s="3"/>
      <c r="O15148" s="3"/>
      <c r="P15148" s="5">
        <v>0</v>
      </c>
      <c r="Q15148" s="5">
        <v>0</v>
      </c>
      <c r="R15148" s="5"/>
      <c r="S15148" s="5"/>
    </row>
    <row r="15149" spans="1:19" ht="42" x14ac:dyDescent="0.15">
      <c r="A15149" s="2">
        <f>HYPERLINK("https://open-school.uspishnemisto.com.ua/school/710497/", 710497)</f>
        <v>710497</v>
      </c>
      <c r="B15149" s="3" t="s">
        <v>76439</v>
      </c>
      <c r="C15149" s="3" t="s">
        <v>31</v>
      </c>
      <c r="D15149" s="3" t="s">
        <v>32</v>
      </c>
      <c r="E15149" s="4" t="s">
        <v>22</v>
      </c>
      <c r="F15149" s="4" t="s">
        <v>76433</v>
      </c>
      <c r="G15149" s="4" t="s">
        <v>76434</v>
      </c>
      <c r="H15149" s="3" t="s">
        <v>73938</v>
      </c>
      <c r="I15149" s="3" t="s">
        <v>42611</v>
      </c>
      <c r="J15149" s="3" t="s">
        <v>76440</v>
      </c>
      <c r="K15149" s="3" t="s">
        <v>76441</v>
      </c>
      <c r="L15149" s="3" t="s">
        <v>76442</v>
      </c>
      <c r="M15149" s="4"/>
      <c r="N15149" s="3" t="s">
        <v>37</v>
      </c>
      <c r="O15149" s="3" t="s">
        <v>38</v>
      </c>
      <c r="P15149" s="5">
        <v>14</v>
      </c>
      <c r="Q15149" s="5">
        <v>252</v>
      </c>
      <c r="R15149" s="5">
        <v>15</v>
      </c>
      <c r="S15149" s="5">
        <v>243</v>
      </c>
    </row>
    <row r="15150" spans="1:19" ht="28" x14ac:dyDescent="0.15">
      <c r="A15150" s="2">
        <f>HYPERLINK("https://open-school.uspishnemisto.com.ua/school/710498/", 710498)</f>
        <v>710498</v>
      </c>
      <c r="B15150" s="3" t="s">
        <v>76443</v>
      </c>
      <c r="C15150" s="3" t="s">
        <v>31</v>
      </c>
      <c r="D15150" s="3" t="s">
        <v>32</v>
      </c>
      <c r="E15150" s="4" t="s">
        <v>22</v>
      </c>
      <c r="F15150" s="4" t="s">
        <v>76444</v>
      </c>
      <c r="G15150" s="4" t="s">
        <v>76445</v>
      </c>
      <c r="H15150" s="3" t="s">
        <v>73938</v>
      </c>
      <c r="I15150" s="3" t="s">
        <v>76446</v>
      </c>
      <c r="J15150" s="3" t="s">
        <v>76447</v>
      </c>
      <c r="K15150" s="3" t="s">
        <v>76448</v>
      </c>
      <c r="L15150" s="3" t="s">
        <v>76449</v>
      </c>
      <c r="M15150" s="4"/>
      <c r="N15150" s="3" t="s">
        <v>37</v>
      </c>
      <c r="O15150" s="3" t="s">
        <v>52</v>
      </c>
      <c r="P15150" s="5">
        <v>11</v>
      </c>
      <c r="Q15150" s="5">
        <v>123</v>
      </c>
      <c r="R15150" s="5">
        <v>11</v>
      </c>
      <c r="S15150" s="5">
        <v>126</v>
      </c>
    </row>
    <row r="15151" spans="1:19" ht="56" x14ac:dyDescent="0.15">
      <c r="A15151" s="2">
        <f>HYPERLINK("https://open-school.uspishnemisto.com.ua/school/710499/", 710499)</f>
        <v>710499</v>
      </c>
      <c r="B15151" s="3" t="s">
        <v>76450</v>
      </c>
      <c r="C15151" s="3" t="s">
        <v>54</v>
      </c>
      <c r="D15151" s="3" t="s">
        <v>175</v>
      </c>
      <c r="E15151" s="4" t="s">
        <v>22</v>
      </c>
      <c r="F15151" s="4" t="s">
        <v>76444</v>
      </c>
      <c r="G15151" s="4" t="s">
        <v>76445</v>
      </c>
      <c r="H15151" s="3" t="s">
        <v>73938</v>
      </c>
      <c r="I15151" s="3" t="s">
        <v>76446</v>
      </c>
      <c r="J15151" s="3" t="s">
        <v>76451</v>
      </c>
      <c r="K15151" s="3" t="s">
        <v>76452</v>
      </c>
      <c r="L15151" s="3"/>
      <c r="M15151" s="4"/>
      <c r="N15151" s="3" t="s">
        <v>37</v>
      </c>
      <c r="O15151" s="3" t="s">
        <v>52</v>
      </c>
      <c r="P15151" s="5">
        <v>9</v>
      </c>
      <c r="Q15151" s="5">
        <v>70</v>
      </c>
      <c r="R15151" s="5">
        <v>9</v>
      </c>
      <c r="S15151" s="5">
        <v>72</v>
      </c>
    </row>
    <row r="15152" spans="1:19" ht="42" x14ac:dyDescent="0.15">
      <c r="A15152" s="2">
        <f>HYPERLINK("https://open-school.uspishnemisto.com.ua/school/710500/", 710500)</f>
        <v>710500</v>
      </c>
      <c r="B15152" s="3" t="s">
        <v>76453</v>
      </c>
      <c r="C15152" s="3" t="s">
        <v>54</v>
      </c>
      <c r="D15152" s="3" t="s">
        <v>32</v>
      </c>
      <c r="E15152" s="4" t="s">
        <v>22</v>
      </c>
      <c r="F15152" s="4" t="s">
        <v>76454</v>
      </c>
      <c r="G15152" s="4" t="s">
        <v>76455</v>
      </c>
      <c r="H15152" s="3" t="s">
        <v>73938</v>
      </c>
      <c r="I15152" s="3" t="s">
        <v>76456</v>
      </c>
      <c r="J15152" s="3" t="s">
        <v>15432</v>
      </c>
      <c r="K15152" s="3" t="s">
        <v>76457</v>
      </c>
      <c r="L15152" s="3" t="s">
        <v>76458</v>
      </c>
      <c r="M15152" s="4"/>
      <c r="N15152" s="3" t="s">
        <v>37</v>
      </c>
      <c r="O15152" s="3" t="s">
        <v>52</v>
      </c>
      <c r="P15152" s="5">
        <v>6</v>
      </c>
      <c r="Q15152" s="5">
        <v>41</v>
      </c>
      <c r="R15152" s="5">
        <v>6</v>
      </c>
      <c r="S15152" s="5">
        <v>41</v>
      </c>
    </row>
    <row r="15153" spans="1:19" ht="28" x14ac:dyDescent="0.15">
      <c r="A15153" s="2">
        <f>HYPERLINK("https://open-school.uspishnemisto.com.ua/school/710501/", 710501)</f>
        <v>710501</v>
      </c>
      <c r="B15153" s="3" t="s">
        <v>76459</v>
      </c>
      <c r="C15153" s="3" t="s">
        <v>54</v>
      </c>
      <c r="D15153" s="3" t="s">
        <v>32</v>
      </c>
      <c r="E15153" s="4" t="s">
        <v>22</v>
      </c>
      <c r="F15153" s="4" t="s">
        <v>76460</v>
      </c>
      <c r="G15153" s="4" t="s">
        <v>76461</v>
      </c>
      <c r="H15153" s="3" t="s">
        <v>73938</v>
      </c>
      <c r="I15153" s="3" t="s">
        <v>34905</v>
      </c>
      <c r="J15153" s="3" t="s">
        <v>7564</v>
      </c>
      <c r="K15153" s="3" t="s">
        <v>76462</v>
      </c>
      <c r="L15153" s="3"/>
      <c r="M15153" s="4"/>
      <c r="N15153" s="3" t="s">
        <v>37</v>
      </c>
      <c r="O15153" s="3" t="s">
        <v>52</v>
      </c>
      <c r="P15153" s="5">
        <v>9</v>
      </c>
      <c r="Q15153" s="5">
        <v>66</v>
      </c>
      <c r="R15153" s="5">
        <v>9</v>
      </c>
      <c r="S15153" s="5">
        <v>67</v>
      </c>
    </row>
    <row r="15154" spans="1:19" ht="28" x14ac:dyDescent="0.15">
      <c r="A15154" s="2">
        <f>HYPERLINK("https://open-school.uspishnemisto.com.ua/school/710502/", 710502)</f>
        <v>710502</v>
      </c>
      <c r="B15154" s="3" t="s">
        <v>76463</v>
      </c>
      <c r="C15154" s="3" t="s">
        <v>31</v>
      </c>
      <c r="D15154" s="3" t="s">
        <v>32</v>
      </c>
      <c r="E15154" s="4" t="s">
        <v>22</v>
      </c>
      <c r="F15154" s="4" t="s">
        <v>76464</v>
      </c>
      <c r="G15154" s="4" t="s">
        <v>76465</v>
      </c>
      <c r="H15154" s="3" t="s">
        <v>73938</v>
      </c>
      <c r="I15154" s="3" t="s">
        <v>76466</v>
      </c>
      <c r="J15154" s="3" t="s">
        <v>532</v>
      </c>
      <c r="K15154" s="3" t="s">
        <v>76467</v>
      </c>
      <c r="L15154" s="3" t="s">
        <v>76468</v>
      </c>
      <c r="M15154" s="4"/>
      <c r="N15154" s="3" t="s">
        <v>37</v>
      </c>
      <c r="O15154" s="3" t="s">
        <v>52</v>
      </c>
      <c r="P15154" s="5">
        <v>11</v>
      </c>
      <c r="Q15154" s="5">
        <v>113</v>
      </c>
      <c r="R15154" s="5">
        <v>11</v>
      </c>
      <c r="S15154" s="5">
        <v>108</v>
      </c>
    </row>
    <row r="15155" spans="1:19" ht="28" x14ac:dyDescent="0.15">
      <c r="A15155" s="2">
        <f>HYPERLINK("https://open-school.uspishnemisto.com.ua/school/710503/", 710503)</f>
        <v>710503</v>
      </c>
      <c r="B15155" s="3" t="s">
        <v>76469</v>
      </c>
      <c r="C15155" s="3" t="s">
        <v>31</v>
      </c>
      <c r="D15155" s="3" t="s">
        <v>32</v>
      </c>
      <c r="E15155" s="4" t="s">
        <v>22</v>
      </c>
      <c r="F15155" s="4" t="s">
        <v>76470</v>
      </c>
      <c r="G15155" s="4" t="s">
        <v>76471</v>
      </c>
      <c r="H15155" s="3" t="s">
        <v>73938</v>
      </c>
      <c r="I15155" s="3" t="s">
        <v>76472</v>
      </c>
      <c r="J15155" s="3" t="s">
        <v>76473</v>
      </c>
      <c r="K15155" s="3" t="s">
        <v>76474</v>
      </c>
      <c r="L15155" s="3" t="s">
        <v>76475</v>
      </c>
      <c r="M15155" s="4"/>
      <c r="N15155" s="3" t="s">
        <v>37</v>
      </c>
      <c r="O15155" s="3" t="s">
        <v>52</v>
      </c>
      <c r="P15155" s="5">
        <v>10</v>
      </c>
      <c r="Q15155" s="5">
        <v>94</v>
      </c>
      <c r="R15155" s="5">
        <v>9</v>
      </c>
      <c r="S15155" s="5">
        <v>86</v>
      </c>
    </row>
    <row r="15156" spans="1:19" ht="28" x14ac:dyDescent="0.15">
      <c r="A15156" s="2">
        <f>HYPERLINK("https://open-school.uspishnemisto.com.ua/school/710504/", 710504)</f>
        <v>710504</v>
      </c>
      <c r="B15156" s="3" t="s">
        <v>76476</v>
      </c>
      <c r="C15156" s="3" t="s">
        <v>31</v>
      </c>
      <c r="D15156" s="3" t="s">
        <v>32</v>
      </c>
      <c r="E15156" s="4" t="s">
        <v>22</v>
      </c>
      <c r="F15156" s="4" t="s">
        <v>76477</v>
      </c>
      <c r="G15156" s="4" t="s">
        <v>76478</v>
      </c>
      <c r="H15156" s="3" t="s">
        <v>73938</v>
      </c>
      <c r="I15156" s="3" t="s">
        <v>76479</v>
      </c>
      <c r="J15156" s="3" t="s">
        <v>76480</v>
      </c>
      <c r="K15156" s="3" t="s">
        <v>76481</v>
      </c>
      <c r="L15156" s="3" t="s">
        <v>76482</v>
      </c>
      <c r="M15156" s="4"/>
      <c r="N15156" s="3" t="s">
        <v>37</v>
      </c>
      <c r="O15156" s="3" t="s">
        <v>38</v>
      </c>
      <c r="P15156" s="5">
        <v>11</v>
      </c>
      <c r="Q15156" s="5">
        <v>110</v>
      </c>
      <c r="R15156" s="5">
        <v>10</v>
      </c>
      <c r="S15156" s="5">
        <v>102</v>
      </c>
    </row>
    <row r="15157" spans="1:19" ht="28" x14ac:dyDescent="0.15">
      <c r="A15157" s="2">
        <f>HYPERLINK("https://open-school.uspishnemisto.com.ua/school/710505/", 710505)</f>
        <v>710505</v>
      </c>
      <c r="B15157" s="3" t="s">
        <v>76483</v>
      </c>
      <c r="C15157" s="3" t="s">
        <v>31</v>
      </c>
      <c r="D15157" s="3" t="s">
        <v>32</v>
      </c>
      <c r="E15157" s="4" t="s">
        <v>22</v>
      </c>
      <c r="F15157" s="4" t="s">
        <v>76484</v>
      </c>
      <c r="G15157" s="4" t="s">
        <v>76485</v>
      </c>
      <c r="H15157" s="3" t="s">
        <v>73938</v>
      </c>
      <c r="I15157" s="3" t="s">
        <v>76486</v>
      </c>
      <c r="J15157" s="3" t="s">
        <v>5185</v>
      </c>
      <c r="K15157" s="3" t="s">
        <v>76487</v>
      </c>
      <c r="L15157" s="3"/>
      <c r="M15157" s="4"/>
      <c r="N15157" s="3" t="s">
        <v>37</v>
      </c>
      <c r="O15157" s="3" t="s">
        <v>38</v>
      </c>
      <c r="P15157" s="5">
        <v>8</v>
      </c>
      <c r="Q15157" s="5">
        <v>90</v>
      </c>
      <c r="R15157" s="5">
        <v>7</v>
      </c>
      <c r="S15157" s="5">
        <v>74</v>
      </c>
    </row>
    <row r="15158" spans="1:19" ht="28" x14ac:dyDescent="0.15">
      <c r="A15158" s="2">
        <f>HYPERLINK("https://open-school.uspishnemisto.com.ua/school/710506/", 710506)</f>
        <v>710506</v>
      </c>
      <c r="B15158" s="3" t="s">
        <v>76488</v>
      </c>
      <c r="C15158" s="3" t="s">
        <v>31</v>
      </c>
      <c r="D15158" s="3" t="s">
        <v>175</v>
      </c>
      <c r="E15158" s="4" t="s">
        <v>22</v>
      </c>
      <c r="F15158" s="4" t="s">
        <v>76489</v>
      </c>
      <c r="G15158" s="4" t="s">
        <v>76490</v>
      </c>
      <c r="H15158" s="3" t="s">
        <v>73938</v>
      </c>
      <c r="I15158" s="3" t="s">
        <v>76491</v>
      </c>
      <c r="J15158" s="3" t="s">
        <v>76492</v>
      </c>
      <c r="K15158" s="3" t="s">
        <v>76493</v>
      </c>
      <c r="L15158" s="3"/>
      <c r="M15158" s="4"/>
      <c r="N15158" s="3" t="s">
        <v>37</v>
      </c>
      <c r="O15158" s="3" t="s">
        <v>38</v>
      </c>
      <c r="P15158" s="5">
        <v>7</v>
      </c>
      <c r="Q15158" s="5">
        <v>56</v>
      </c>
      <c r="R15158" s="5">
        <v>6</v>
      </c>
      <c r="S15158" s="5">
        <v>49</v>
      </c>
    </row>
    <row r="15159" spans="1:19" ht="28" x14ac:dyDescent="0.15">
      <c r="A15159" s="2">
        <f>HYPERLINK("https://open-school.uspishnemisto.com.ua/school/710507/", 710507)</f>
        <v>710507</v>
      </c>
      <c r="B15159" s="3" t="s">
        <v>76494</v>
      </c>
      <c r="C15159" s="3" t="s">
        <v>31</v>
      </c>
      <c r="D15159" s="3" t="s">
        <v>32</v>
      </c>
      <c r="E15159" s="4" t="s">
        <v>22</v>
      </c>
      <c r="F15159" s="4" t="s">
        <v>76495</v>
      </c>
      <c r="G15159" s="4" t="s">
        <v>76496</v>
      </c>
      <c r="H15159" s="3" t="s">
        <v>73938</v>
      </c>
      <c r="I15159" s="3" t="s">
        <v>76497</v>
      </c>
      <c r="J15159" s="3" t="s">
        <v>76498</v>
      </c>
      <c r="K15159" s="3" t="s">
        <v>76499</v>
      </c>
      <c r="L15159" s="3"/>
      <c r="M15159" s="4"/>
      <c r="N15159" s="3" t="s">
        <v>37</v>
      </c>
      <c r="O15159" s="3" t="s">
        <v>38</v>
      </c>
      <c r="P15159" s="5">
        <v>10</v>
      </c>
      <c r="Q15159" s="5">
        <v>138</v>
      </c>
      <c r="R15159" s="5">
        <v>10</v>
      </c>
      <c r="S15159" s="5">
        <v>159</v>
      </c>
    </row>
    <row r="15160" spans="1:19" ht="28" x14ac:dyDescent="0.15">
      <c r="A15160" s="2">
        <f>HYPERLINK("https://open-school.uspishnemisto.com.ua/school/710508/", 710508)</f>
        <v>710508</v>
      </c>
      <c r="B15160" s="3" t="s">
        <v>76500</v>
      </c>
      <c r="C15160" s="3" t="s">
        <v>31</v>
      </c>
      <c r="D15160" s="3" t="s">
        <v>32</v>
      </c>
      <c r="E15160" s="4" t="s">
        <v>22</v>
      </c>
      <c r="F15160" s="4" t="s">
        <v>76501</v>
      </c>
      <c r="G15160" s="4" t="s">
        <v>76502</v>
      </c>
      <c r="H15160" s="3" t="s">
        <v>73938</v>
      </c>
      <c r="I15160" s="3" t="s">
        <v>76503</v>
      </c>
      <c r="J15160" s="3" t="s">
        <v>76504</v>
      </c>
      <c r="K15160" s="3" t="s">
        <v>76505</v>
      </c>
      <c r="L15160" s="3" t="s">
        <v>76506</v>
      </c>
      <c r="M15160" s="4"/>
      <c r="N15160" s="3" t="s">
        <v>37</v>
      </c>
      <c r="O15160" s="3" t="s">
        <v>38</v>
      </c>
      <c r="P15160" s="5">
        <v>11</v>
      </c>
      <c r="Q15160" s="5">
        <v>88</v>
      </c>
      <c r="R15160" s="5">
        <v>11</v>
      </c>
      <c r="S15160" s="5">
        <v>88</v>
      </c>
    </row>
    <row r="15161" spans="1:19" ht="42" x14ac:dyDescent="0.15">
      <c r="A15161" s="2">
        <f>HYPERLINK("https://open-school.uspishnemisto.com.ua/school/710509/", 710509)</f>
        <v>710509</v>
      </c>
      <c r="B15161" s="3" t="s">
        <v>76507</v>
      </c>
      <c r="C15161" s="3" t="s">
        <v>54</v>
      </c>
      <c r="D15161" s="3" t="s">
        <v>175</v>
      </c>
      <c r="E15161" s="4" t="s">
        <v>22</v>
      </c>
      <c r="F15161" s="4" t="s">
        <v>76508</v>
      </c>
      <c r="G15161" s="4" t="s">
        <v>76509</v>
      </c>
      <c r="H15161" s="3" t="s">
        <v>73938</v>
      </c>
      <c r="I15161" s="3" t="s">
        <v>76510</v>
      </c>
      <c r="J15161" s="3" t="s">
        <v>76511</v>
      </c>
      <c r="K15161" s="3" t="s">
        <v>76512</v>
      </c>
      <c r="L15161" s="3"/>
      <c r="M15161" s="4"/>
      <c r="N15161" s="3" t="s">
        <v>37</v>
      </c>
      <c r="O15161" s="3" t="s">
        <v>38</v>
      </c>
      <c r="P15161" s="5">
        <v>8</v>
      </c>
      <c r="Q15161" s="5">
        <v>46</v>
      </c>
      <c r="R15161" s="5">
        <v>8</v>
      </c>
      <c r="S15161" s="5">
        <v>50</v>
      </c>
    </row>
    <row r="15162" spans="1:19" ht="42" x14ac:dyDescent="0.15">
      <c r="A15162" s="2">
        <f>HYPERLINK("https://open-school.uspishnemisto.com.ua/school/710510/", 710510)</f>
        <v>710510</v>
      </c>
      <c r="B15162" s="3" t="s">
        <v>76513</v>
      </c>
      <c r="C15162" s="3" t="s">
        <v>54</v>
      </c>
      <c r="D15162" s="3" t="s">
        <v>32</v>
      </c>
      <c r="E15162" s="4" t="s">
        <v>22</v>
      </c>
      <c r="F15162" s="4" t="s">
        <v>76514</v>
      </c>
      <c r="G15162" s="4" t="s">
        <v>76515</v>
      </c>
      <c r="H15162" s="3" t="s">
        <v>73938</v>
      </c>
      <c r="I15162" s="3" t="s">
        <v>76516</v>
      </c>
      <c r="J15162" s="3" t="s">
        <v>76517</v>
      </c>
      <c r="K15162" s="3" t="s">
        <v>76518</v>
      </c>
      <c r="L15162" s="3" t="s">
        <v>76519</v>
      </c>
      <c r="M15162" s="4"/>
      <c r="N15162" s="3" t="s">
        <v>37</v>
      </c>
      <c r="O15162" s="3" t="s">
        <v>38</v>
      </c>
      <c r="P15162" s="5">
        <v>9</v>
      </c>
      <c r="Q15162" s="5">
        <v>80</v>
      </c>
      <c r="R15162" s="5">
        <v>11</v>
      </c>
      <c r="S15162" s="5">
        <v>80</v>
      </c>
    </row>
    <row r="15163" spans="1:19" ht="28" x14ac:dyDescent="0.15">
      <c r="A15163" s="2">
        <f>HYPERLINK("https://open-school.uspishnemisto.com.ua/school/710511/", 710511)</f>
        <v>710511</v>
      </c>
      <c r="B15163" s="3" t="s">
        <v>76520</v>
      </c>
      <c r="C15163" s="3" t="s">
        <v>31</v>
      </c>
      <c r="D15163" s="3" t="s">
        <v>32</v>
      </c>
      <c r="E15163" s="4" t="s">
        <v>22</v>
      </c>
      <c r="F15163" s="4" t="s">
        <v>76521</v>
      </c>
      <c r="G15163" s="4" t="s">
        <v>76522</v>
      </c>
      <c r="H15163" s="3" t="s">
        <v>73938</v>
      </c>
      <c r="I15163" s="3" t="s">
        <v>76425</v>
      </c>
      <c r="J15163" s="3" t="s">
        <v>7304</v>
      </c>
      <c r="K15163" s="3" t="s">
        <v>76523</v>
      </c>
      <c r="L15163" s="3" t="s">
        <v>76524</v>
      </c>
      <c r="M15163" s="4"/>
      <c r="N15163" s="3" t="s">
        <v>37</v>
      </c>
      <c r="O15163" s="3" t="s">
        <v>38</v>
      </c>
      <c r="P15163" s="5">
        <v>14</v>
      </c>
      <c r="Q15163" s="5">
        <v>237</v>
      </c>
      <c r="R15163" s="5">
        <v>13</v>
      </c>
      <c r="S15163" s="5">
        <v>217</v>
      </c>
    </row>
    <row r="15164" spans="1:19" ht="28" x14ac:dyDescent="0.15">
      <c r="A15164" s="2">
        <f>HYPERLINK("https://open-school.uspishnemisto.com.ua/school/710512/", 710512)</f>
        <v>710512</v>
      </c>
      <c r="B15164" s="3" t="s">
        <v>76525</v>
      </c>
      <c r="C15164" s="3" t="s">
        <v>31</v>
      </c>
      <c r="D15164" s="3" t="s">
        <v>32</v>
      </c>
      <c r="E15164" s="4" t="s">
        <v>22</v>
      </c>
      <c r="F15164" s="4" t="s">
        <v>76526</v>
      </c>
      <c r="G15164" s="4" t="s">
        <v>76527</v>
      </c>
      <c r="H15164" s="3" t="s">
        <v>73938</v>
      </c>
      <c r="I15164" s="3" t="s">
        <v>76528</v>
      </c>
      <c r="J15164" s="3" t="s">
        <v>76529</v>
      </c>
      <c r="K15164" s="3" t="s">
        <v>76530</v>
      </c>
      <c r="L15164" s="3" t="s">
        <v>76531</v>
      </c>
      <c r="M15164" s="4"/>
      <c r="N15164" s="3" t="s">
        <v>37</v>
      </c>
      <c r="O15164" s="3" t="s">
        <v>38</v>
      </c>
      <c r="P15164" s="5">
        <v>11</v>
      </c>
      <c r="Q15164" s="5">
        <v>88</v>
      </c>
      <c r="R15164" s="5">
        <v>11</v>
      </c>
      <c r="S15164" s="5">
        <v>86</v>
      </c>
    </row>
    <row r="15165" spans="1:19" ht="42" x14ac:dyDescent="0.15">
      <c r="A15165" s="2">
        <f>HYPERLINK("https://open-school.uspishnemisto.com.ua/school/710513/", 710513)</f>
        <v>710513</v>
      </c>
      <c r="B15165" s="3" t="s">
        <v>76532</v>
      </c>
      <c r="C15165" s="3" t="s">
        <v>54</v>
      </c>
      <c r="D15165" s="3" t="s">
        <v>32</v>
      </c>
      <c r="E15165" s="4" t="s">
        <v>22</v>
      </c>
      <c r="F15165" s="4" t="s">
        <v>76533</v>
      </c>
      <c r="G15165" s="4" t="s">
        <v>76534</v>
      </c>
      <c r="H15165" s="3" t="s">
        <v>73938</v>
      </c>
      <c r="I15165" s="3" t="s">
        <v>76535</v>
      </c>
      <c r="J15165" s="3" t="s">
        <v>4188</v>
      </c>
      <c r="K15165" s="3" t="s">
        <v>76536</v>
      </c>
      <c r="L15165" s="3"/>
      <c r="M15165" s="4"/>
      <c r="N15165" s="3" t="s">
        <v>37</v>
      </c>
      <c r="O15165" s="3" t="s">
        <v>38</v>
      </c>
      <c r="P15165" s="5">
        <v>11</v>
      </c>
      <c r="Q15165" s="5">
        <v>85</v>
      </c>
      <c r="R15165" s="5">
        <v>11</v>
      </c>
      <c r="S15165" s="5">
        <v>85</v>
      </c>
    </row>
    <row r="15166" spans="1:19" ht="28" x14ac:dyDescent="0.15">
      <c r="A15166" s="2">
        <f>HYPERLINK("https://open-school.uspishnemisto.com.ua/school/710514/", 710514)</f>
        <v>710514</v>
      </c>
      <c r="B15166" s="3" t="s">
        <v>76537</v>
      </c>
      <c r="C15166" s="3" t="s">
        <v>31</v>
      </c>
      <c r="D15166" s="3" t="s">
        <v>32</v>
      </c>
      <c r="E15166" s="4" t="s">
        <v>22</v>
      </c>
      <c r="F15166" s="4" t="s">
        <v>76538</v>
      </c>
      <c r="G15166" s="4" t="s">
        <v>76539</v>
      </c>
      <c r="H15166" s="3" t="s">
        <v>73938</v>
      </c>
      <c r="I15166" s="3" t="s">
        <v>76540</v>
      </c>
      <c r="J15166" s="3" t="s">
        <v>3112</v>
      </c>
      <c r="K15166" s="3" t="s">
        <v>76541</v>
      </c>
      <c r="L15166" s="3"/>
      <c r="M15166" s="4"/>
      <c r="N15166" s="3" t="s">
        <v>37</v>
      </c>
      <c r="O15166" s="3" t="s">
        <v>52</v>
      </c>
      <c r="P15166" s="5">
        <v>10</v>
      </c>
      <c r="Q15166" s="5">
        <v>89</v>
      </c>
      <c r="R15166" s="5">
        <v>10</v>
      </c>
      <c r="S15166" s="5">
        <v>86</v>
      </c>
    </row>
    <row r="15167" spans="1:19" ht="56" x14ac:dyDescent="0.15">
      <c r="A15167" s="2">
        <f>HYPERLINK("https://open-school.uspishnemisto.com.ua/school/710515/", 710515)</f>
        <v>710515</v>
      </c>
      <c r="B15167" s="3" t="s">
        <v>76542</v>
      </c>
      <c r="C15167" s="3" t="s">
        <v>54</v>
      </c>
      <c r="D15167" s="3" t="s">
        <v>32</v>
      </c>
      <c r="E15167" s="4" t="s">
        <v>22</v>
      </c>
      <c r="F15167" s="4" t="s">
        <v>76543</v>
      </c>
      <c r="G15167" s="4" t="s">
        <v>76544</v>
      </c>
      <c r="H15167" s="3" t="s">
        <v>73938</v>
      </c>
      <c r="I15167" s="3" t="s">
        <v>76545</v>
      </c>
      <c r="J15167" s="3" t="s">
        <v>873</v>
      </c>
      <c r="K15167" s="3" t="s">
        <v>76546</v>
      </c>
      <c r="L15167" s="3" t="s">
        <v>76547</v>
      </c>
      <c r="M15167" s="4"/>
      <c r="N15167" s="3" t="s">
        <v>37</v>
      </c>
      <c r="O15167" s="3" t="s">
        <v>52</v>
      </c>
      <c r="P15167" s="5">
        <v>11</v>
      </c>
      <c r="Q15167" s="5">
        <v>78</v>
      </c>
      <c r="R15167" s="5">
        <v>11</v>
      </c>
      <c r="S15167" s="5">
        <v>86</v>
      </c>
    </row>
    <row r="15168" spans="1:19" ht="28" x14ac:dyDescent="0.15">
      <c r="A15168" s="2">
        <f>HYPERLINK("https://open-school.uspishnemisto.com.ua/school/710516/", 710516)</f>
        <v>710516</v>
      </c>
      <c r="B15168" s="3" t="s">
        <v>76548</v>
      </c>
      <c r="C15168" s="3" t="s">
        <v>31</v>
      </c>
      <c r="D15168" s="3" t="s">
        <v>32</v>
      </c>
      <c r="E15168" s="4" t="s">
        <v>22</v>
      </c>
      <c r="F15168" s="4" t="s">
        <v>76549</v>
      </c>
      <c r="G15168" s="4" t="s">
        <v>76550</v>
      </c>
      <c r="H15168" s="3" t="s">
        <v>73938</v>
      </c>
      <c r="I15168" s="3" t="s">
        <v>76551</v>
      </c>
      <c r="J15168" s="3" t="s">
        <v>76552</v>
      </c>
      <c r="K15168" s="3" t="s">
        <v>76553</v>
      </c>
      <c r="L15168" s="3" t="s">
        <v>76554</v>
      </c>
      <c r="M15168" s="4"/>
      <c r="N15168" s="3" t="s">
        <v>37</v>
      </c>
      <c r="O15168" s="3" t="s">
        <v>38</v>
      </c>
      <c r="P15168" s="5">
        <v>11</v>
      </c>
      <c r="Q15168" s="5">
        <v>145</v>
      </c>
      <c r="R15168" s="5">
        <v>11</v>
      </c>
      <c r="S15168" s="5">
        <v>148</v>
      </c>
    </row>
    <row r="15169" spans="1:19" ht="56" x14ac:dyDescent="0.15">
      <c r="A15169" s="2">
        <f>HYPERLINK("https://open-school.uspishnemisto.com.ua/school/710517/", 710517)</f>
        <v>710517</v>
      </c>
      <c r="B15169" s="3" t="s">
        <v>76555</v>
      </c>
      <c r="C15169" s="3" t="s">
        <v>31</v>
      </c>
      <c r="D15169" s="3" t="s">
        <v>60</v>
      </c>
      <c r="E15169" s="4" t="s">
        <v>22</v>
      </c>
      <c r="F15169" s="4" t="s">
        <v>76556</v>
      </c>
      <c r="G15169" s="4" t="s">
        <v>76557</v>
      </c>
      <c r="H15169" s="3" t="s">
        <v>73938</v>
      </c>
      <c r="I15169" s="3" t="s">
        <v>76558</v>
      </c>
      <c r="J15169" s="3" t="s">
        <v>76559</v>
      </c>
      <c r="K15169" s="3" t="s">
        <v>76560</v>
      </c>
      <c r="L15169" s="3"/>
      <c r="M15169" s="4"/>
      <c r="N15169" s="3" t="s">
        <v>37</v>
      </c>
      <c r="O15169" s="3" t="s">
        <v>52</v>
      </c>
      <c r="P15169" s="5">
        <v>0</v>
      </c>
      <c r="Q15169" s="5">
        <v>0</v>
      </c>
      <c r="R15169" s="5">
        <v>4</v>
      </c>
      <c r="S15169" s="5">
        <v>57</v>
      </c>
    </row>
    <row r="15170" spans="1:19" ht="70" x14ac:dyDescent="0.15">
      <c r="A15170" s="2">
        <f>HYPERLINK("https://open-school.uspishnemisto.com.ua/school/710518/", 710518)</f>
        <v>710518</v>
      </c>
      <c r="B15170" s="3" t="s">
        <v>76561</v>
      </c>
      <c r="C15170" s="3" t="s">
        <v>31</v>
      </c>
      <c r="D15170" s="3" t="s">
        <v>175</v>
      </c>
      <c r="E15170" s="4" t="s">
        <v>22</v>
      </c>
      <c r="F15170" s="4" t="s">
        <v>76556</v>
      </c>
      <c r="G15170" s="4" t="s">
        <v>76557</v>
      </c>
      <c r="H15170" s="3" t="s">
        <v>73938</v>
      </c>
      <c r="I15170" s="3" t="s">
        <v>76558</v>
      </c>
      <c r="J15170" s="3" t="s">
        <v>76562</v>
      </c>
      <c r="K15170" s="3" t="s">
        <v>76563</v>
      </c>
      <c r="L15170" s="3" t="s">
        <v>76564</v>
      </c>
      <c r="M15170" s="4"/>
      <c r="N15170" s="3" t="s">
        <v>37</v>
      </c>
      <c r="O15170" s="3" t="s">
        <v>46</v>
      </c>
      <c r="P15170" s="5">
        <v>0</v>
      </c>
      <c r="Q15170" s="5">
        <v>0</v>
      </c>
      <c r="R15170" s="5">
        <v>9</v>
      </c>
      <c r="S15170" s="5">
        <v>87</v>
      </c>
    </row>
    <row r="15171" spans="1:19" ht="42" x14ac:dyDescent="0.15">
      <c r="A15171" s="2">
        <f>HYPERLINK("https://open-school.uspishnemisto.com.ua/school/710519/", 710519)</f>
        <v>710519</v>
      </c>
      <c r="B15171" s="3" t="s">
        <v>76565</v>
      </c>
      <c r="C15171" s="3" t="s">
        <v>31</v>
      </c>
      <c r="D15171" s="3" t="s">
        <v>32</v>
      </c>
      <c r="E15171" s="4" t="s">
        <v>22</v>
      </c>
      <c r="F15171" s="4" t="s">
        <v>76556</v>
      </c>
      <c r="G15171" s="4" t="s">
        <v>76557</v>
      </c>
      <c r="H15171" s="3" t="s">
        <v>73938</v>
      </c>
      <c r="I15171" s="3" t="s">
        <v>76558</v>
      </c>
      <c r="J15171" s="3" t="s">
        <v>5786</v>
      </c>
      <c r="K15171" s="3"/>
      <c r="L15171" s="3" t="s">
        <v>76566</v>
      </c>
      <c r="M15171" s="4"/>
      <c r="N15171" s="3" t="s">
        <v>37</v>
      </c>
      <c r="O15171" s="3" t="s">
        <v>46</v>
      </c>
      <c r="P15171" s="5">
        <v>34</v>
      </c>
      <c r="Q15171" s="5">
        <v>630</v>
      </c>
      <c r="R15171" s="5">
        <v>21</v>
      </c>
      <c r="S15171" s="5">
        <v>489</v>
      </c>
    </row>
    <row r="15172" spans="1:19" ht="28" x14ac:dyDescent="0.15">
      <c r="A15172" s="2">
        <f>HYPERLINK("https://open-school.uspishnemisto.com.ua/school/710520/", 710520)</f>
        <v>710520</v>
      </c>
      <c r="B15172" s="3" t="s">
        <v>76567</v>
      </c>
      <c r="C15172" s="3" t="s">
        <v>31</v>
      </c>
      <c r="D15172" s="3" t="s">
        <v>32</v>
      </c>
      <c r="E15172" s="4" t="s">
        <v>22</v>
      </c>
      <c r="F15172" s="4" t="s">
        <v>76568</v>
      </c>
      <c r="G15172" s="4" t="s">
        <v>76569</v>
      </c>
      <c r="H15172" s="3" t="s">
        <v>73938</v>
      </c>
      <c r="I15172" s="3" t="s">
        <v>76570</v>
      </c>
      <c r="J15172" s="3" t="s">
        <v>76571</v>
      </c>
      <c r="K15172" s="3" t="s">
        <v>76572</v>
      </c>
      <c r="L15172" s="3" t="s">
        <v>76573</v>
      </c>
      <c r="M15172" s="4"/>
      <c r="N15172" s="3" t="s">
        <v>37</v>
      </c>
      <c r="O15172" s="3" t="s">
        <v>38</v>
      </c>
      <c r="P15172" s="5">
        <v>12</v>
      </c>
      <c r="Q15172" s="5">
        <v>213</v>
      </c>
      <c r="R15172" s="5">
        <v>12</v>
      </c>
      <c r="S15172" s="5">
        <v>214</v>
      </c>
    </row>
    <row r="15173" spans="1:19" ht="28" x14ac:dyDescent="0.15">
      <c r="A15173" s="2">
        <f>HYPERLINK("https://open-school.uspishnemisto.com.ua/school/710521/", 710521)</f>
        <v>710521</v>
      </c>
      <c r="B15173" s="3" t="s">
        <v>76574</v>
      </c>
      <c r="C15173" s="3" t="s">
        <v>31</v>
      </c>
      <c r="D15173" s="3" t="s">
        <v>32</v>
      </c>
      <c r="E15173" s="4" t="s">
        <v>22</v>
      </c>
      <c r="F15173" s="4" t="s">
        <v>76575</v>
      </c>
      <c r="G15173" s="4" t="s">
        <v>76576</v>
      </c>
      <c r="H15173" s="3" t="s">
        <v>73938</v>
      </c>
      <c r="I15173" s="3" t="s">
        <v>53975</v>
      </c>
      <c r="J15173" s="3" t="s">
        <v>76577</v>
      </c>
      <c r="K15173" s="3" t="s">
        <v>76578</v>
      </c>
      <c r="L15173" s="3" t="s">
        <v>76579</v>
      </c>
      <c r="M15173" s="4"/>
      <c r="N15173" s="3" t="s">
        <v>37</v>
      </c>
      <c r="O15173" s="3" t="s">
        <v>70</v>
      </c>
      <c r="P15173" s="5">
        <v>11</v>
      </c>
      <c r="Q15173" s="5">
        <v>181</v>
      </c>
      <c r="R15173" s="5">
        <v>11</v>
      </c>
      <c r="S15173" s="5">
        <v>180</v>
      </c>
    </row>
    <row r="15174" spans="1:19" ht="28" x14ac:dyDescent="0.15">
      <c r="A15174" s="2">
        <f>HYPERLINK("https://open-school.uspishnemisto.com.ua/school/710522/", 710522)</f>
        <v>710522</v>
      </c>
      <c r="B15174" s="3" t="s">
        <v>76580</v>
      </c>
      <c r="C15174" s="3" t="s">
        <v>31</v>
      </c>
      <c r="D15174" s="3" t="s">
        <v>175</v>
      </c>
      <c r="E15174" s="4" t="s">
        <v>22</v>
      </c>
      <c r="F15174" s="4" t="s">
        <v>76575</v>
      </c>
      <c r="G15174" s="4" t="s">
        <v>76581</v>
      </c>
      <c r="H15174" s="3" t="s">
        <v>73938</v>
      </c>
      <c r="I15174" s="3" t="s">
        <v>35809</v>
      </c>
      <c r="J15174" s="3" t="s">
        <v>933</v>
      </c>
      <c r="K15174" s="3" t="s">
        <v>76582</v>
      </c>
      <c r="L15174" s="3"/>
      <c r="M15174" s="4"/>
      <c r="N15174" s="3" t="s">
        <v>37</v>
      </c>
      <c r="O15174" s="3" t="s">
        <v>38</v>
      </c>
      <c r="P15174" s="5">
        <v>9</v>
      </c>
      <c r="Q15174" s="5">
        <v>96</v>
      </c>
      <c r="R15174" s="5">
        <v>9</v>
      </c>
      <c r="S15174" s="5">
        <v>90</v>
      </c>
    </row>
    <row r="15175" spans="1:19" ht="28" x14ac:dyDescent="0.15">
      <c r="A15175" s="2">
        <f>HYPERLINK("https://open-school.uspishnemisto.com.ua/school/710523/", 710523)</f>
        <v>710523</v>
      </c>
      <c r="B15175" s="3" t="s">
        <v>76583</v>
      </c>
      <c r="C15175" s="3" t="s">
        <v>31</v>
      </c>
      <c r="D15175" s="3" t="s">
        <v>32</v>
      </c>
      <c r="E15175" s="4" t="s">
        <v>22</v>
      </c>
      <c r="F15175" s="4" t="s">
        <v>74146</v>
      </c>
      <c r="G15175" s="4" t="s">
        <v>76584</v>
      </c>
      <c r="H15175" s="3" t="s">
        <v>73938</v>
      </c>
      <c r="I15175" s="3" t="s">
        <v>76585</v>
      </c>
      <c r="J15175" s="3" t="s">
        <v>76586</v>
      </c>
      <c r="K15175" s="3" t="s">
        <v>76587</v>
      </c>
      <c r="L15175" s="3" t="s">
        <v>76588</v>
      </c>
      <c r="M15175" s="4"/>
      <c r="N15175" s="3" t="s">
        <v>37</v>
      </c>
      <c r="O15175" s="3" t="s">
        <v>38</v>
      </c>
      <c r="P15175" s="5">
        <v>15</v>
      </c>
      <c r="Q15175" s="5">
        <v>289</v>
      </c>
      <c r="R15175" s="5">
        <v>14</v>
      </c>
      <c r="S15175" s="5">
        <v>278</v>
      </c>
    </row>
    <row r="15176" spans="1:19" ht="28" x14ac:dyDescent="0.15">
      <c r="A15176" s="2">
        <f>HYPERLINK("https://open-school.uspishnemisto.com.ua/school/710524/", 710524)</f>
        <v>710524</v>
      </c>
      <c r="B15176" s="3" t="s">
        <v>76589</v>
      </c>
      <c r="C15176" s="3" t="s">
        <v>31</v>
      </c>
      <c r="D15176" s="3" t="s">
        <v>32</v>
      </c>
      <c r="E15176" s="4" t="s">
        <v>22</v>
      </c>
      <c r="F15176" s="4" t="s">
        <v>76590</v>
      </c>
      <c r="G15176" s="4" t="s">
        <v>76591</v>
      </c>
      <c r="H15176" s="3" t="s">
        <v>73938</v>
      </c>
      <c r="I15176" s="3" t="s">
        <v>76592</v>
      </c>
      <c r="J15176" s="3" t="s">
        <v>20864</v>
      </c>
      <c r="K15176" s="3" t="s">
        <v>76593</v>
      </c>
      <c r="L15176" s="3" t="s">
        <v>76594</v>
      </c>
      <c r="M15176" s="4"/>
      <c r="N15176" s="3" t="s">
        <v>37</v>
      </c>
      <c r="O15176" s="3" t="s">
        <v>38</v>
      </c>
      <c r="P15176" s="5">
        <v>17</v>
      </c>
      <c r="Q15176" s="5">
        <v>291</v>
      </c>
      <c r="R15176" s="5">
        <v>16</v>
      </c>
      <c r="S15176" s="5">
        <v>283</v>
      </c>
    </row>
    <row r="15177" spans="1:19" ht="28" x14ac:dyDescent="0.15">
      <c r="A15177" s="2">
        <f>HYPERLINK("https://open-school.uspishnemisto.com.ua/school/710525/", 710525)</f>
        <v>710525</v>
      </c>
      <c r="B15177" s="3" t="s">
        <v>76595</v>
      </c>
      <c r="C15177" s="3" t="s">
        <v>31</v>
      </c>
      <c r="D15177" s="3" t="s">
        <v>32</v>
      </c>
      <c r="E15177" s="4" t="s">
        <v>22</v>
      </c>
      <c r="F15177" s="4" t="s">
        <v>76596</v>
      </c>
      <c r="G15177" s="4" t="s">
        <v>76597</v>
      </c>
      <c r="H15177" s="3" t="s">
        <v>73938</v>
      </c>
      <c r="I15177" s="3" t="s">
        <v>76598</v>
      </c>
      <c r="J15177" s="3" t="s">
        <v>76599</v>
      </c>
      <c r="K15177" s="3" t="s">
        <v>76600</v>
      </c>
      <c r="L15177" s="3"/>
      <c r="M15177" s="4"/>
      <c r="N15177" s="3" t="s">
        <v>37</v>
      </c>
      <c r="O15177" s="3" t="s">
        <v>46</v>
      </c>
      <c r="P15177" s="5">
        <v>7</v>
      </c>
      <c r="Q15177" s="5">
        <v>49</v>
      </c>
      <c r="R15177" s="5">
        <v>8</v>
      </c>
      <c r="S15177" s="5">
        <v>50</v>
      </c>
    </row>
    <row r="15178" spans="1:19" ht="28" x14ac:dyDescent="0.15">
      <c r="A15178" s="2">
        <f>HYPERLINK("https://open-school.uspishnemisto.com.ua/school/710526/", 710526)</f>
        <v>710526</v>
      </c>
      <c r="B15178" s="3" t="s">
        <v>76601</v>
      </c>
      <c r="C15178" s="3" t="s">
        <v>31</v>
      </c>
      <c r="D15178" s="3" t="s">
        <v>175</v>
      </c>
      <c r="E15178" s="4" t="s">
        <v>22</v>
      </c>
      <c r="F15178" s="4" t="s">
        <v>76602</v>
      </c>
      <c r="G15178" s="4" t="s">
        <v>76603</v>
      </c>
      <c r="H15178" s="3" t="s">
        <v>73938</v>
      </c>
      <c r="I15178" s="3" t="s">
        <v>76604</v>
      </c>
      <c r="J15178" s="3" t="s">
        <v>76605</v>
      </c>
      <c r="K15178" s="3" t="s">
        <v>76606</v>
      </c>
      <c r="L15178" s="3" t="s">
        <v>76607</v>
      </c>
      <c r="M15178" s="4"/>
      <c r="N15178" s="3" t="s">
        <v>37</v>
      </c>
      <c r="O15178" s="3" t="s">
        <v>38</v>
      </c>
      <c r="P15178" s="5">
        <v>9</v>
      </c>
      <c r="Q15178" s="5">
        <v>54</v>
      </c>
      <c r="R15178" s="5">
        <v>9</v>
      </c>
      <c r="S15178" s="5">
        <v>56</v>
      </c>
    </row>
    <row r="15179" spans="1:19" ht="28" x14ac:dyDescent="0.15">
      <c r="A15179" s="2">
        <f>HYPERLINK("https://open-school.uspishnemisto.com.ua/school/710527/", 710527)</f>
        <v>710527</v>
      </c>
      <c r="B15179" s="3" t="s">
        <v>76608</v>
      </c>
      <c r="C15179" s="3" t="s">
        <v>31</v>
      </c>
      <c r="D15179" s="3" t="s">
        <v>32</v>
      </c>
      <c r="E15179" s="4" t="s">
        <v>22</v>
      </c>
      <c r="F15179" s="4" t="s">
        <v>76609</v>
      </c>
      <c r="G15179" s="4" t="s">
        <v>76610</v>
      </c>
      <c r="H15179" s="3" t="s">
        <v>73938</v>
      </c>
      <c r="I15179" s="3" t="s">
        <v>76611</v>
      </c>
      <c r="J15179" s="3" t="s">
        <v>3106</v>
      </c>
      <c r="K15179" s="3" t="s">
        <v>76612</v>
      </c>
      <c r="L15179" s="3" t="s">
        <v>76613</v>
      </c>
      <c r="M15179" s="4"/>
      <c r="N15179" s="3" t="s">
        <v>37</v>
      </c>
      <c r="O15179" s="3" t="s">
        <v>70</v>
      </c>
      <c r="P15179" s="5">
        <v>18</v>
      </c>
      <c r="Q15179" s="5">
        <v>341</v>
      </c>
      <c r="R15179" s="5">
        <v>18</v>
      </c>
      <c r="S15179" s="5">
        <v>345</v>
      </c>
    </row>
    <row r="15180" spans="1:19" ht="28" x14ac:dyDescent="0.15">
      <c r="A15180" s="2">
        <f>HYPERLINK("https://open-school.uspishnemisto.com.ua/school/710528/", 710528)</f>
        <v>710528</v>
      </c>
      <c r="B15180" s="3" t="s">
        <v>76614</v>
      </c>
      <c r="C15180" s="3" t="s">
        <v>31</v>
      </c>
      <c r="D15180" s="3" t="s">
        <v>32</v>
      </c>
      <c r="E15180" s="4" t="s">
        <v>22</v>
      </c>
      <c r="F15180" s="4" t="s">
        <v>76615</v>
      </c>
      <c r="G15180" s="4" t="s">
        <v>76616</v>
      </c>
      <c r="H15180" s="3" t="s">
        <v>73938</v>
      </c>
      <c r="I15180" s="3" t="s">
        <v>76617</v>
      </c>
      <c r="J15180" s="3" t="s">
        <v>76618</v>
      </c>
      <c r="K15180" s="3" t="s">
        <v>76619</v>
      </c>
      <c r="L15180" s="3" t="s">
        <v>76620</v>
      </c>
      <c r="M15180" s="4"/>
      <c r="N15180" s="3" t="s">
        <v>37</v>
      </c>
      <c r="O15180" s="3" t="s">
        <v>38</v>
      </c>
      <c r="P15180" s="5">
        <v>19</v>
      </c>
      <c r="Q15180" s="5">
        <v>393</v>
      </c>
      <c r="R15180" s="5">
        <v>19</v>
      </c>
      <c r="S15180" s="5">
        <v>388</v>
      </c>
    </row>
    <row r="15181" spans="1:19" ht="28" x14ac:dyDescent="0.15">
      <c r="A15181" s="2">
        <f>HYPERLINK("https://open-school.uspishnemisto.com.ua/school/710529/", 710529)</f>
        <v>710529</v>
      </c>
      <c r="B15181" s="3" t="s">
        <v>76621</v>
      </c>
      <c r="C15181" s="3" t="s">
        <v>31</v>
      </c>
      <c r="D15181" s="3" t="s">
        <v>32</v>
      </c>
      <c r="E15181" s="4" t="s">
        <v>22</v>
      </c>
      <c r="F15181" s="4" t="s">
        <v>76622</v>
      </c>
      <c r="G15181" s="4" t="s">
        <v>76623</v>
      </c>
      <c r="H15181" s="3" t="s">
        <v>73938</v>
      </c>
      <c r="I15181" s="3" t="s">
        <v>76624</v>
      </c>
      <c r="J15181" s="3" t="s">
        <v>76625</v>
      </c>
      <c r="K15181" s="3" t="s">
        <v>76626</v>
      </c>
      <c r="L15181" s="3" t="s">
        <v>76627</v>
      </c>
      <c r="M15181" s="4"/>
      <c r="N15181" s="3" t="s">
        <v>37</v>
      </c>
      <c r="O15181" s="3" t="s">
        <v>70</v>
      </c>
      <c r="P15181" s="5">
        <v>14</v>
      </c>
      <c r="Q15181" s="5">
        <v>260</v>
      </c>
      <c r="R15181" s="5">
        <v>13</v>
      </c>
      <c r="S15181" s="5">
        <v>246</v>
      </c>
    </row>
    <row r="15182" spans="1:19" ht="28" x14ac:dyDescent="0.15">
      <c r="A15182" s="2">
        <f>HYPERLINK("https://open-school.uspishnemisto.com.ua/school/710530/", 710530)</f>
        <v>710530</v>
      </c>
      <c r="B15182" s="3" t="s">
        <v>76628</v>
      </c>
      <c r="C15182" s="3" t="s">
        <v>31</v>
      </c>
      <c r="D15182" s="3" t="s">
        <v>32</v>
      </c>
      <c r="E15182" s="4" t="s">
        <v>22</v>
      </c>
      <c r="F15182" s="4" t="s">
        <v>76622</v>
      </c>
      <c r="G15182" s="4" t="s">
        <v>76623</v>
      </c>
      <c r="H15182" s="3" t="s">
        <v>73938</v>
      </c>
      <c r="I15182" s="3" t="s">
        <v>76624</v>
      </c>
      <c r="J15182" s="3" t="s">
        <v>76629</v>
      </c>
      <c r="K15182" s="3" t="s">
        <v>76630</v>
      </c>
      <c r="L15182" s="3" t="s">
        <v>76631</v>
      </c>
      <c r="M15182" s="4"/>
      <c r="N15182" s="3" t="s">
        <v>37</v>
      </c>
      <c r="O15182" s="3" t="s">
        <v>70</v>
      </c>
      <c r="P15182" s="5">
        <v>25</v>
      </c>
      <c r="Q15182" s="5">
        <v>546</v>
      </c>
      <c r="R15182" s="5">
        <v>25</v>
      </c>
      <c r="S15182" s="5">
        <v>570</v>
      </c>
    </row>
    <row r="15183" spans="1:19" ht="28" x14ac:dyDescent="0.15">
      <c r="A15183" s="2">
        <f>HYPERLINK("https://open-school.uspishnemisto.com.ua/school/710531/", 710531)</f>
        <v>710531</v>
      </c>
      <c r="B15183" s="3" t="s">
        <v>76632</v>
      </c>
      <c r="C15183" s="3" t="s">
        <v>31</v>
      </c>
      <c r="D15183" s="3" t="s">
        <v>32</v>
      </c>
      <c r="E15183" s="4" t="s">
        <v>22</v>
      </c>
      <c r="F15183" s="4" t="s">
        <v>76633</v>
      </c>
      <c r="G15183" s="4" t="s">
        <v>76634</v>
      </c>
      <c r="H15183" s="3" t="s">
        <v>73938</v>
      </c>
      <c r="I15183" s="3" t="s">
        <v>76635</v>
      </c>
      <c r="J15183" s="3" t="s">
        <v>76636</v>
      </c>
      <c r="K15183" s="3" t="s">
        <v>76637</v>
      </c>
      <c r="L15183" s="3" t="s">
        <v>76638</v>
      </c>
      <c r="M15183" s="4"/>
      <c r="N15183" s="3" t="s">
        <v>37</v>
      </c>
      <c r="O15183" s="3" t="s">
        <v>38</v>
      </c>
      <c r="P15183" s="5">
        <v>11</v>
      </c>
      <c r="Q15183" s="5">
        <v>195</v>
      </c>
      <c r="R15183" s="5">
        <v>11</v>
      </c>
      <c r="S15183" s="5">
        <v>197</v>
      </c>
    </row>
    <row r="15184" spans="1:19" ht="28" x14ac:dyDescent="0.15">
      <c r="A15184" s="2">
        <f>HYPERLINK("https://open-school.uspishnemisto.com.ua/school/710532/", 710532)</f>
        <v>710532</v>
      </c>
      <c r="B15184" s="3" t="s">
        <v>76639</v>
      </c>
      <c r="C15184" s="3" t="s">
        <v>31</v>
      </c>
      <c r="D15184" s="3" t="s">
        <v>175</v>
      </c>
      <c r="E15184" s="4" t="s">
        <v>22</v>
      </c>
      <c r="F15184" s="4" t="s">
        <v>76633</v>
      </c>
      <c r="G15184" s="4" t="s">
        <v>76634</v>
      </c>
      <c r="H15184" s="3" t="s">
        <v>73938</v>
      </c>
      <c r="I15184" s="3" t="s">
        <v>76635</v>
      </c>
      <c r="J15184" s="3" t="s">
        <v>76640</v>
      </c>
      <c r="K15184" s="3" t="s">
        <v>76641</v>
      </c>
      <c r="L15184" s="3" t="s">
        <v>76642</v>
      </c>
      <c r="M15184" s="4"/>
      <c r="N15184" s="3" t="s">
        <v>37</v>
      </c>
      <c r="O15184" s="3" t="s">
        <v>70</v>
      </c>
      <c r="P15184" s="5">
        <v>8</v>
      </c>
      <c r="Q15184" s="5">
        <v>59</v>
      </c>
      <c r="R15184" s="5">
        <v>8</v>
      </c>
      <c r="S15184" s="5">
        <v>62</v>
      </c>
    </row>
    <row r="15185" spans="1:19" ht="28" x14ac:dyDescent="0.15">
      <c r="A15185" s="2">
        <f>HYPERLINK("https://open-school.uspishnemisto.com.ua/school/710533/", 710533)</f>
        <v>710533</v>
      </c>
      <c r="B15185" s="3" t="s">
        <v>76643</v>
      </c>
      <c r="C15185" s="3" t="s">
        <v>31</v>
      </c>
      <c r="D15185" s="3" t="s">
        <v>32</v>
      </c>
      <c r="E15185" s="4" t="s">
        <v>22</v>
      </c>
      <c r="F15185" s="4" t="s">
        <v>76644</v>
      </c>
      <c r="G15185" s="4" t="s">
        <v>76645</v>
      </c>
      <c r="H15185" s="3" t="s">
        <v>73938</v>
      </c>
      <c r="I15185" s="3" t="s">
        <v>76646</v>
      </c>
      <c r="J15185" s="3" t="s">
        <v>76647</v>
      </c>
      <c r="K15185" s="3" t="s">
        <v>76648</v>
      </c>
      <c r="L15185" s="3" t="s">
        <v>76649</v>
      </c>
      <c r="M15185" s="4"/>
      <c r="N15185" s="3" t="s">
        <v>37</v>
      </c>
      <c r="O15185" s="3" t="s">
        <v>38</v>
      </c>
      <c r="P15185" s="5">
        <v>12</v>
      </c>
      <c r="Q15185" s="5">
        <v>225</v>
      </c>
      <c r="R15185" s="5">
        <v>11</v>
      </c>
      <c r="S15185" s="5">
        <v>203</v>
      </c>
    </row>
    <row r="15186" spans="1:19" ht="28" x14ac:dyDescent="0.15">
      <c r="A15186" s="2">
        <f>HYPERLINK("https://open-school.uspishnemisto.com.ua/school/710534/", 710534)</f>
        <v>710534</v>
      </c>
      <c r="B15186" s="3" t="s">
        <v>76650</v>
      </c>
      <c r="C15186" s="3" t="s">
        <v>31</v>
      </c>
      <c r="D15186" s="3" t="s">
        <v>175</v>
      </c>
      <c r="E15186" s="4" t="s">
        <v>22</v>
      </c>
      <c r="F15186" s="4" t="s">
        <v>76651</v>
      </c>
      <c r="G15186" s="4" t="s">
        <v>76652</v>
      </c>
      <c r="H15186" s="3" t="s">
        <v>73938</v>
      </c>
      <c r="I15186" s="3" t="s">
        <v>11355</v>
      </c>
      <c r="J15186" s="3" t="s">
        <v>76653</v>
      </c>
      <c r="K15186" s="3" t="s">
        <v>76654</v>
      </c>
      <c r="L15186" s="3" t="s">
        <v>76655</v>
      </c>
      <c r="M15186" s="4"/>
      <c r="N15186" s="3" t="s">
        <v>37</v>
      </c>
      <c r="O15186" s="3" t="s">
        <v>52</v>
      </c>
      <c r="P15186" s="5">
        <v>9</v>
      </c>
      <c r="Q15186" s="5">
        <v>69</v>
      </c>
      <c r="R15186" s="5">
        <v>9</v>
      </c>
      <c r="S15186" s="5">
        <v>52</v>
      </c>
    </row>
    <row r="15187" spans="1:19" ht="28" x14ac:dyDescent="0.15">
      <c r="A15187" s="2">
        <f>HYPERLINK("https://open-school.uspishnemisto.com.ua/school/710535/", 710535)</f>
        <v>710535</v>
      </c>
      <c r="B15187" s="3" t="s">
        <v>76656</v>
      </c>
      <c r="C15187" s="3" t="s">
        <v>31</v>
      </c>
      <c r="D15187" s="3" t="s">
        <v>32</v>
      </c>
      <c r="E15187" s="4" t="s">
        <v>22</v>
      </c>
      <c r="F15187" s="4" t="s">
        <v>76651</v>
      </c>
      <c r="G15187" s="4" t="s">
        <v>76657</v>
      </c>
      <c r="H15187" s="3" t="s">
        <v>73938</v>
      </c>
      <c r="I15187" s="3" t="s">
        <v>76658</v>
      </c>
      <c r="J15187" s="3" t="s">
        <v>76659</v>
      </c>
      <c r="K15187" s="3" t="s">
        <v>76660</v>
      </c>
      <c r="L15187" s="3" t="s">
        <v>76661</v>
      </c>
      <c r="M15187" s="4"/>
      <c r="N15187" s="3" t="s">
        <v>37</v>
      </c>
      <c r="O15187" s="3" t="s">
        <v>38</v>
      </c>
      <c r="P15187" s="5">
        <v>11</v>
      </c>
      <c r="Q15187" s="5">
        <v>73</v>
      </c>
      <c r="R15187" s="5">
        <v>11</v>
      </c>
      <c r="S15187" s="5">
        <v>75</v>
      </c>
    </row>
    <row r="15188" spans="1:19" ht="28" x14ac:dyDescent="0.15">
      <c r="A15188" s="2">
        <f>HYPERLINK("https://open-school.uspishnemisto.com.ua/school/710536/", 710536)</f>
        <v>710536</v>
      </c>
      <c r="B15188" s="3" t="s">
        <v>76662</v>
      </c>
      <c r="C15188" s="3" t="s">
        <v>31</v>
      </c>
      <c r="D15188" s="3" t="s">
        <v>32</v>
      </c>
      <c r="E15188" s="4" t="s">
        <v>22</v>
      </c>
      <c r="F15188" s="4" t="s">
        <v>76663</v>
      </c>
      <c r="G15188" s="4" t="s">
        <v>76664</v>
      </c>
      <c r="H15188" s="3" t="s">
        <v>73938</v>
      </c>
      <c r="I15188" s="3" t="s">
        <v>2756</v>
      </c>
      <c r="J15188" s="3" t="s">
        <v>34695</v>
      </c>
      <c r="K15188" s="3" t="s">
        <v>76665</v>
      </c>
      <c r="L15188" s="3" t="s">
        <v>76666</v>
      </c>
      <c r="M15188" s="4"/>
      <c r="N15188" s="3" t="s">
        <v>37</v>
      </c>
      <c r="O15188" s="3" t="s">
        <v>70</v>
      </c>
      <c r="P15188" s="5">
        <v>13</v>
      </c>
      <c r="Q15188" s="5">
        <v>275</v>
      </c>
      <c r="R15188" s="5">
        <v>14</v>
      </c>
      <c r="S15188" s="5">
        <v>273</v>
      </c>
    </row>
    <row r="15189" spans="1:19" ht="28" x14ac:dyDescent="0.15">
      <c r="A15189" s="2">
        <f>HYPERLINK("https://open-school.uspishnemisto.com.ua/school/710537/", 710537)</f>
        <v>710537</v>
      </c>
      <c r="B15189" s="3" t="s">
        <v>76667</v>
      </c>
      <c r="C15189" s="3" t="s">
        <v>31</v>
      </c>
      <c r="D15189" s="3" t="s">
        <v>32</v>
      </c>
      <c r="E15189" s="4" t="s">
        <v>22</v>
      </c>
      <c r="F15189" s="4" t="s">
        <v>76668</v>
      </c>
      <c r="G15189" s="4" t="s">
        <v>76669</v>
      </c>
      <c r="H15189" s="3" t="s">
        <v>73938</v>
      </c>
      <c r="I15189" s="3" t="s">
        <v>76670</v>
      </c>
      <c r="J15189" s="3" t="s">
        <v>36368</v>
      </c>
      <c r="K15189" s="3" t="s">
        <v>76671</v>
      </c>
      <c r="L15189" s="3" t="s">
        <v>76672</v>
      </c>
      <c r="M15189" s="4"/>
      <c r="N15189" s="3" t="s">
        <v>37</v>
      </c>
      <c r="O15189" s="3" t="s">
        <v>38</v>
      </c>
      <c r="P15189" s="5">
        <v>11</v>
      </c>
      <c r="Q15189" s="5">
        <v>191</v>
      </c>
      <c r="R15189" s="5">
        <v>11</v>
      </c>
      <c r="S15189" s="5">
        <v>178</v>
      </c>
    </row>
    <row r="15190" spans="1:19" ht="28" x14ac:dyDescent="0.15">
      <c r="A15190" s="2">
        <f>HYPERLINK("https://open-school.uspishnemisto.com.ua/school/710538/", 710538)</f>
        <v>710538</v>
      </c>
      <c r="B15190" s="3" t="s">
        <v>76673</v>
      </c>
      <c r="C15190" s="3" t="s">
        <v>31</v>
      </c>
      <c r="D15190" s="3" t="s">
        <v>32</v>
      </c>
      <c r="E15190" s="4" t="s">
        <v>22</v>
      </c>
      <c r="F15190" s="4" t="s">
        <v>76674</v>
      </c>
      <c r="G15190" s="4" t="s">
        <v>76675</v>
      </c>
      <c r="H15190" s="3" t="s">
        <v>73938</v>
      </c>
      <c r="I15190" s="3" t="s">
        <v>76676</v>
      </c>
      <c r="J15190" s="3" t="s">
        <v>76677</v>
      </c>
      <c r="K15190" s="3" t="s">
        <v>76678</v>
      </c>
      <c r="L15190" s="3" t="s">
        <v>76679</v>
      </c>
      <c r="M15190" s="4"/>
      <c r="N15190" s="3" t="s">
        <v>37</v>
      </c>
      <c r="O15190" s="3" t="s">
        <v>70</v>
      </c>
      <c r="P15190" s="5">
        <v>12</v>
      </c>
      <c r="Q15190" s="5">
        <v>244</v>
      </c>
      <c r="R15190" s="5">
        <v>12</v>
      </c>
      <c r="S15190" s="5">
        <v>243</v>
      </c>
    </row>
    <row r="15191" spans="1:19" ht="42" x14ac:dyDescent="0.15">
      <c r="A15191" s="2">
        <f>HYPERLINK("https://open-school.uspishnemisto.com.ua/school/710539/", 710539)</f>
        <v>710539</v>
      </c>
      <c r="B15191" s="3" t="s">
        <v>76680</v>
      </c>
      <c r="C15191" s="3" t="s">
        <v>31</v>
      </c>
      <c r="D15191" s="3" t="s">
        <v>32</v>
      </c>
      <c r="E15191" s="4" t="s">
        <v>22</v>
      </c>
      <c r="F15191" s="4" t="s">
        <v>76681</v>
      </c>
      <c r="G15191" s="4" t="s">
        <v>76682</v>
      </c>
      <c r="H15191" s="3" t="s">
        <v>73938</v>
      </c>
      <c r="I15191" s="3" t="s">
        <v>76683</v>
      </c>
      <c r="J15191" s="3" t="s">
        <v>76684</v>
      </c>
      <c r="K15191" s="3" t="s">
        <v>76685</v>
      </c>
      <c r="L15191" s="3" t="s">
        <v>76686</v>
      </c>
      <c r="M15191" s="4"/>
      <c r="N15191" s="3" t="s">
        <v>37</v>
      </c>
      <c r="O15191" s="3" t="s">
        <v>70</v>
      </c>
      <c r="P15191" s="5">
        <v>11</v>
      </c>
      <c r="Q15191" s="5">
        <v>208</v>
      </c>
      <c r="R15191" s="5">
        <v>11</v>
      </c>
      <c r="S15191" s="5">
        <v>218</v>
      </c>
    </row>
    <row r="15192" spans="1:19" ht="28" x14ac:dyDescent="0.15">
      <c r="A15192" s="2">
        <f>HYPERLINK("https://open-school.uspishnemisto.com.ua/school/710540/", 710540)</f>
        <v>710540</v>
      </c>
      <c r="B15192" s="3" t="s">
        <v>76687</v>
      </c>
      <c r="C15192" s="3" t="s">
        <v>31</v>
      </c>
      <c r="D15192" s="3" t="s">
        <v>32</v>
      </c>
      <c r="E15192" s="4" t="s">
        <v>22</v>
      </c>
      <c r="F15192" s="4" t="s">
        <v>76688</v>
      </c>
      <c r="G15192" s="4" t="s">
        <v>76689</v>
      </c>
      <c r="H15192" s="3" t="s">
        <v>73938</v>
      </c>
      <c r="I15192" s="3" t="s">
        <v>76690</v>
      </c>
      <c r="J15192" s="3" t="s">
        <v>76691</v>
      </c>
      <c r="K15192" s="3" t="s">
        <v>76692</v>
      </c>
      <c r="L15192" s="3" t="s">
        <v>76693</v>
      </c>
      <c r="M15192" s="4"/>
      <c r="N15192" s="3" t="s">
        <v>37</v>
      </c>
      <c r="O15192" s="3" t="s">
        <v>70</v>
      </c>
      <c r="P15192" s="5">
        <v>13</v>
      </c>
      <c r="Q15192" s="5">
        <v>275</v>
      </c>
      <c r="R15192" s="5">
        <v>13</v>
      </c>
      <c r="S15192" s="5">
        <v>271</v>
      </c>
    </row>
    <row r="15193" spans="1:19" ht="28" x14ac:dyDescent="0.15">
      <c r="A15193" s="2">
        <f>HYPERLINK("https://open-school.uspishnemisto.com.ua/school/710541/", 710541)</f>
        <v>710541</v>
      </c>
      <c r="B15193" s="3" t="s">
        <v>76694</v>
      </c>
      <c r="C15193" s="3" t="s">
        <v>31</v>
      </c>
      <c r="D15193" s="3" t="s">
        <v>32</v>
      </c>
      <c r="E15193" s="4" t="s">
        <v>22</v>
      </c>
      <c r="F15193" s="4" t="s">
        <v>76695</v>
      </c>
      <c r="G15193" s="4" t="s">
        <v>76696</v>
      </c>
      <c r="H15193" s="3" t="s">
        <v>73938</v>
      </c>
      <c r="I15193" s="3" t="s">
        <v>33162</v>
      </c>
      <c r="J15193" s="3" t="s">
        <v>76697</v>
      </c>
      <c r="K15193" s="3" t="s">
        <v>76698</v>
      </c>
      <c r="L15193" s="3" t="s">
        <v>76699</v>
      </c>
      <c r="M15193" s="4"/>
      <c r="N15193" s="3" t="s">
        <v>37</v>
      </c>
      <c r="O15193" s="3" t="s">
        <v>70</v>
      </c>
      <c r="P15193" s="5">
        <v>18</v>
      </c>
      <c r="Q15193" s="5">
        <v>338</v>
      </c>
      <c r="R15193" s="5">
        <v>17</v>
      </c>
      <c r="S15193" s="5">
        <v>330</v>
      </c>
    </row>
    <row r="15194" spans="1:19" ht="28" x14ac:dyDescent="0.15">
      <c r="A15194" s="2">
        <f>HYPERLINK("https://open-school.uspishnemisto.com.ua/school/710542/", 710542)</f>
        <v>710542</v>
      </c>
      <c r="B15194" s="3" t="s">
        <v>76700</v>
      </c>
      <c r="C15194" s="3" t="s">
        <v>31</v>
      </c>
      <c r="D15194" s="3" t="s">
        <v>32</v>
      </c>
      <c r="E15194" s="4" t="s">
        <v>22</v>
      </c>
      <c r="F15194" s="4" t="s">
        <v>76695</v>
      </c>
      <c r="G15194" s="4" t="s">
        <v>76696</v>
      </c>
      <c r="H15194" s="3" t="s">
        <v>73938</v>
      </c>
      <c r="I15194" s="3" t="s">
        <v>33162</v>
      </c>
      <c r="J15194" s="3" t="s">
        <v>76701</v>
      </c>
      <c r="K15194" s="3" t="s">
        <v>76702</v>
      </c>
      <c r="L15194" s="3" t="s">
        <v>76703</v>
      </c>
      <c r="M15194" s="4"/>
      <c r="N15194" s="3" t="s">
        <v>37</v>
      </c>
      <c r="O15194" s="3" t="s">
        <v>70</v>
      </c>
      <c r="P15194" s="5">
        <v>21</v>
      </c>
      <c r="Q15194" s="5">
        <v>447</v>
      </c>
      <c r="R15194" s="5">
        <v>21</v>
      </c>
      <c r="S15194" s="5">
        <v>455</v>
      </c>
    </row>
    <row r="15195" spans="1:19" ht="42" x14ac:dyDescent="0.15">
      <c r="A15195" s="2">
        <f>HYPERLINK("https://open-school.uspishnemisto.com.ua/school/710543/", 710543)</f>
        <v>710543</v>
      </c>
      <c r="B15195" s="3" t="s">
        <v>76704</v>
      </c>
      <c r="C15195" s="3" t="s">
        <v>54</v>
      </c>
      <c r="D15195" s="3" t="s">
        <v>32</v>
      </c>
      <c r="E15195" s="4" t="s">
        <v>22</v>
      </c>
      <c r="F15195" s="4" t="s">
        <v>76705</v>
      </c>
      <c r="G15195" s="4" t="s">
        <v>76706</v>
      </c>
      <c r="H15195" s="3" t="s">
        <v>73938</v>
      </c>
      <c r="I15195" s="3" t="s">
        <v>76707</v>
      </c>
      <c r="J15195" s="3" t="s">
        <v>67830</v>
      </c>
      <c r="K15195" s="3" t="s">
        <v>76708</v>
      </c>
      <c r="L15195" s="3" t="s">
        <v>76709</v>
      </c>
      <c r="M15195" s="4"/>
      <c r="N15195" s="3" t="s">
        <v>37</v>
      </c>
      <c r="O15195" s="3" t="s">
        <v>70</v>
      </c>
      <c r="P15195" s="5">
        <v>11</v>
      </c>
      <c r="Q15195" s="5">
        <v>137</v>
      </c>
      <c r="R15195" s="5">
        <v>11</v>
      </c>
      <c r="S15195" s="5">
        <v>131</v>
      </c>
    </row>
    <row r="15196" spans="1:19" ht="28" x14ac:dyDescent="0.15">
      <c r="A15196" s="2">
        <f>HYPERLINK("https://open-school.uspishnemisto.com.ua/school/710544/", 710544)</f>
        <v>710544</v>
      </c>
      <c r="B15196" s="3" t="s">
        <v>76710</v>
      </c>
      <c r="C15196" s="3" t="s">
        <v>31</v>
      </c>
      <c r="D15196" s="3" t="s">
        <v>32</v>
      </c>
      <c r="E15196" s="4" t="s">
        <v>22</v>
      </c>
      <c r="F15196" s="4" t="s">
        <v>76711</v>
      </c>
      <c r="G15196" s="4" t="s">
        <v>76712</v>
      </c>
      <c r="H15196" s="3" t="s">
        <v>73938</v>
      </c>
      <c r="I15196" s="3" t="s">
        <v>70944</v>
      </c>
      <c r="J15196" s="3" t="s">
        <v>4570</v>
      </c>
      <c r="K15196" s="3" t="s">
        <v>76713</v>
      </c>
      <c r="L15196" s="3" t="s">
        <v>76714</v>
      </c>
      <c r="M15196" s="4"/>
      <c r="N15196" s="3" t="s">
        <v>37</v>
      </c>
      <c r="O15196" s="3" t="s">
        <v>38</v>
      </c>
      <c r="P15196" s="5">
        <v>13</v>
      </c>
      <c r="Q15196" s="5">
        <v>247</v>
      </c>
      <c r="R15196" s="5">
        <v>15</v>
      </c>
      <c r="S15196" s="5">
        <v>241</v>
      </c>
    </row>
    <row r="15197" spans="1:19" ht="28" x14ac:dyDescent="0.15">
      <c r="A15197" s="2">
        <f>HYPERLINK("https://open-school.uspishnemisto.com.ua/school/710545/", 710545)</f>
        <v>710545</v>
      </c>
      <c r="B15197" s="3" t="s">
        <v>76715</v>
      </c>
      <c r="C15197" s="3" t="s">
        <v>40</v>
      </c>
      <c r="D15197" s="3" t="s">
        <v>32</v>
      </c>
      <c r="E15197" s="4" t="s">
        <v>22</v>
      </c>
      <c r="F15197" s="4" t="s">
        <v>76716</v>
      </c>
      <c r="G15197" s="4" t="s">
        <v>76717</v>
      </c>
      <c r="H15197" s="3" t="s">
        <v>73938</v>
      </c>
      <c r="I15197" s="3" t="s">
        <v>76718</v>
      </c>
      <c r="J15197" s="3" t="s">
        <v>76719</v>
      </c>
      <c r="K15197" s="3" t="s">
        <v>76720</v>
      </c>
      <c r="L15197" s="3" t="s">
        <v>76721</v>
      </c>
      <c r="M15197" s="4"/>
      <c r="N15197" s="3" t="s">
        <v>37</v>
      </c>
      <c r="O15197" s="3" t="s">
        <v>2740</v>
      </c>
      <c r="P15197" s="5">
        <v>13</v>
      </c>
      <c r="Q15197" s="5">
        <v>228</v>
      </c>
      <c r="R15197" s="5">
        <v>13</v>
      </c>
      <c r="S15197" s="5">
        <v>220</v>
      </c>
    </row>
    <row r="15198" spans="1:19" ht="28" x14ac:dyDescent="0.15">
      <c r="A15198" s="2">
        <f>HYPERLINK("https://open-school.uspishnemisto.com.ua/school/710546/", 710546)</f>
        <v>710546</v>
      </c>
      <c r="B15198" s="3" t="s">
        <v>76722</v>
      </c>
      <c r="C15198" s="3" t="s">
        <v>31</v>
      </c>
      <c r="D15198" s="3" t="s">
        <v>32</v>
      </c>
      <c r="E15198" s="4" t="s">
        <v>22</v>
      </c>
      <c r="F15198" s="4" t="s">
        <v>76716</v>
      </c>
      <c r="G15198" s="4" t="s">
        <v>76717</v>
      </c>
      <c r="H15198" s="3" t="s">
        <v>73938</v>
      </c>
      <c r="I15198" s="3" t="s">
        <v>76718</v>
      </c>
      <c r="J15198" s="3" t="s">
        <v>76719</v>
      </c>
      <c r="K15198" s="3" t="s">
        <v>76723</v>
      </c>
      <c r="L15198" s="3"/>
      <c r="M15198" s="4"/>
      <c r="N15198" s="3" t="s">
        <v>37</v>
      </c>
      <c r="O15198" s="3" t="s">
        <v>46</v>
      </c>
      <c r="P15198" s="5">
        <v>24</v>
      </c>
      <c r="Q15198" s="5">
        <v>506</v>
      </c>
      <c r="R15198" s="5">
        <v>23</v>
      </c>
      <c r="S15198" s="5">
        <v>488</v>
      </c>
    </row>
    <row r="15199" spans="1:19" ht="28" x14ac:dyDescent="0.15">
      <c r="A15199" s="2">
        <f>HYPERLINK("https://open-school.uspishnemisto.com.ua/school/710547/", 710547)</f>
        <v>710547</v>
      </c>
      <c r="B15199" s="3" t="s">
        <v>76724</v>
      </c>
      <c r="C15199" s="3" t="s">
        <v>31</v>
      </c>
      <c r="D15199" s="3" t="s">
        <v>32</v>
      </c>
      <c r="E15199" s="4" t="s">
        <v>22</v>
      </c>
      <c r="F15199" s="4" t="s">
        <v>76716</v>
      </c>
      <c r="G15199" s="4" t="s">
        <v>76717</v>
      </c>
      <c r="H15199" s="3" t="s">
        <v>73938</v>
      </c>
      <c r="I15199" s="3" t="s">
        <v>76718</v>
      </c>
      <c r="J15199" s="3" t="s">
        <v>76725</v>
      </c>
      <c r="K15199" s="3" t="s">
        <v>76726</v>
      </c>
      <c r="L15199" s="3" t="s">
        <v>76727</v>
      </c>
      <c r="M15199" s="4"/>
      <c r="N15199" s="3" t="s">
        <v>37</v>
      </c>
      <c r="O15199" s="3" t="s">
        <v>52</v>
      </c>
      <c r="P15199" s="5">
        <v>10</v>
      </c>
      <c r="Q15199" s="5">
        <v>150</v>
      </c>
      <c r="R15199" s="5">
        <v>11</v>
      </c>
      <c r="S15199" s="5">
        <v>160</v>
      </c>
    </row>
    <row r="15200" spans="1:19" ht="42" x14ac:dyDescent="0.15">
      <c r="A15200" s="2">
        <f>HYPERLINK("https://open-school.uspishnemisto.com.ua/school/710548/", 710548)</f>
        <v>710548</v>
      </c>
      <c r="B15200" s="3" t="s">
        <v>76728</v>
      </c>
      <c r="C15200" s="3" t="s">
        <v>54</v>
      </c>
      <c r="D15200" s="3" t="s">
        <v>32</v>
      </c>
      <c r="E15200" s="4" t="s">
        <v>22</v>
      </c>
      <c r="F15200" s="4" t="s">
        <v>76729</v>
      </c>
      <c r="G15200" s="4" t="s">
        <v>76730</v>
      </c>
      <c r="H15200" s="3" t="s">
        <v>73938</v>
      </c>
      <c r="I15200" s="3" t="s">
        <v>76731</v>
      </c>
      <c r="J15200" s="3" t="s">
        <v>12836</v>
      </c>
      <c r="K15200" s="3" t="s">
        <v>76732</v>
      </c>
      <c r="L15200" s="3" t="s">
        <v>76733</v>
      </c>
      <c r="M15200" s="4"/>
      <c r="N15200" s="3" t="s">
        <v>37</v>
      </c>
      <c r="O15200" s="3" t="s">
        <v>52</v>
      </c>
      <c r="P15200" s="5">
        <v>11</v>
      </c>
      <c r="Q15200" s="5">
        <v>184</v>
      </c>
      <c r="R15200" s="5">
        <v>11</v>
      </c>
      <c r="S15200" s="5">
        <v>192</v>
      </c>
    </row>
    <row r="15201" spans="1:19" ht="42" x14ac:dyDescent="0.15">
      <c r="A15201" s="2">
        <f>HYPERLINK("https://open-school.uspishnemisto.com.ua/school/710549/", 710549)</f>
        <v>710549</v>
      </c>
      <c r="B15201" s="3" t="s">
        <v>76734</v>
      </c>
      <c r="C15201" s="3" t="s">
        <v>54</v>
      </c>
      <c r="D15201" s="3" t="s">
        <v>32</v>
      </c>
      <c r="E15201" s="4" t="s">
        <v>22</v>
      </c>
      <c r="F15201" s="4" t="s">
        <v>76735</v>
      </c>
      <c r="G15201" s="4" t="s">
        <v>76736</v>
      </c>
      <c r="H15201" s="3" t="s">
        <v>73938</v>
      </c>
      <c r="I15201" s="3" t="s">
        <v>76737</v>
      </c>
      <c r="J15201" s="3" t="s">
        <v>76738</v>
      </c>
      <c r="K15201" s="3" t="s">
        <v>46537</v>
      </c>
      <c r="L15201" s="3"/>
      <c r="M15201" s="4"/>
      <c r="N15201" s="3" t="s">
        <v>37</v>
      </c>
      <c r="O15201" s="3" t="s">
        <v>52</v>
      </c>
      <c r="P15201" s="5">
        <v>10</v>
      </c>
      <c r="Q15201" s="5">
        <v>109</v>
      </c>
      <c r="R15201" s="5">
        <v>10</v>
      </c>
      <c r="S15201" s="5">
        <v>106</v>
      </c>
    </row>
    <row r="15202" spans="1:19" ht="28" x14ac:dyDescent="0.15">
      <c r="A15202" s="2">
        <f>HYPERLINK("https://open-school.uspishnemisto.com.ua/school/710550/", 710550)</f>
        <v>710550</v>
      </c>
      <c r="B15202" s="3" t="s">
        <v>76739</v>
      </c>
      <c r="C15202" s="3" t="s">
        <v>31</v>
      </c>
      <c r="D15202" s="3" t="s">
        <v>32</v>
      </c>
      <c r="E15202" s="4" t="s">
        <v>22</v>
      </c>
      <c r="F15202" s="4" t="s">
        <v>76740</v>
      </c>
      <c r="G15202" s="4" t="s">
        <v>76741</v>
      </c>
      <c r="H15202" s="3" t="s">
        <v>73938</v>
      </c>
      <c r="I15202" s="3" t="s">
        <v>76742</v>
      </c>
      <c r="J15202" s="3" t="s">
        <v>1348</v>
      </c>
      <c r="K15202" s="3" t="s">
        <v>76743</v>
      </c>
      <c r="L15202" s="3"/>
      <c r="M15202" s="4"/>
      <c r="N15202" s="3" t="s">
        <v>37</v>
      </c>
      <c r="O15202" s="3" t="s">
        <v>52</v>
      </c>
      <c r="P15202" s="5">
        <v>11</v>
      </c>
      <c r="Q15202" s="5">
        <v>142</v>
      </c>
      <c r="R15202" s="5">
        <v>11</v>
      </c>
      <c r="S15202" s="5">
        <v>135</v>
      </c>
    </row>
    <row r="15203" spans="1:19" ht="56" x14ac:dyDescent="0.15">
      <c r="A15203" s="2">
        <f>HYPERLINK("https://open-school.uspishnemisto.com.ua/school/710551/", 710551)</f>
        <v>710551</v>
      </c>
      <c r="B15203" s="3" t="s">
        <v>76744</v>
      </c>
      <c r="C15203" s="3" t="s">
        <v>54</v>
      </c>
      <c r="D15203" s="3" t="s">
        <v>32</v>
      </c>
      <c r="E15203" s="4" t="s">
        <v>22</v>
      </c>
      <c r="F15203" s="4" t="s">
        <v>76745</v>
      </c>
      <c r="G15203" s="4" t="s">
        <v>76746</v>
      </c>
      <c r="H15203" s="3" t="s">
        <v>73938</v>
      </c>
      <c r="I15203" s="3" t="s">
        <v>76747</v>
      </c>
      <c r="J15203" s="3" t="s">
        <v>76748</v>
      </c>
      <c r="K15203" s="3" t="s">
        <v>76749</v>
      </c>
      <c r="L15203" s="3"/>
      <c r="M15203" s="4"/>
      <c r="N15203" s="3" t="s">
        <v>37</v>
      </c>
      <c r="O15203" s="3" t="s">
        <v>52</v>
      </c>
      <c r="P15203" s="5">
        <v>10</v>
      </c>
      <c r="Q15203" s="5">
        <v>87</v>
      </c>
      <c r="R15203" s="5">
        <v>11</v>
      </c>
      <c r="S15203" s="5">
        <v>89</v>
      </c>
    </row>
    <row r="15204" spans="1:19" ht="28" x14ac:dyDescent="0.15">
      <c r="A15204" s="2">
        <f>HYPERLINK("https://open-school.uspishnemisto.com.ua/school/710552/", 710552)</f>
        <v>710552</v>
      </c>
      <c r="B15204" s="3" t="s">
        <v>76750</v>
      </c>
      <c r="C15204" s="3" t="s">
        <v>31</v>
      </c>
      <c r="D15204" s="3" t="s">
        <v>175</v>
      </c>
      <c r="E15204" s="4" t="s">
        <v>22</v>
      </c>
      <c r="F15204" s="4" t="s">
        <v>76751</v>
      </c>
      <c r="G15204" s="4" t="s">
        <v>76752</v>
      </c>
      <c r="H15204" s="3" t="s">
        <v>73938</v>
      </c>
      <c r="I15204" s="3" t="s">
        <v>76753</v>
      </c>
      <c r="J15204" s="3" t="s">
        <v>52430</v>
      </c>
      <c r="K15204" s="3" t="s">
        <v>61163</v>
      </c>
      <c r="L15204" s="3"/>
      <c r="M15204" s="4"/>
      <c r="N15204" s="3" t="s">
        <v>37</v>
      </c>
      <c r="O15204" s="3" t="s">
        <v>52</v>
      </c>
      <c r="P15204" s="5">
        <v>6</v>
      </c>
      <c r="Q15204" s="5">
        <v>41</v>
      </c>
      <c r="R15204" s="5">
        <v>7</v>
      </c>
      <c r="S15204" s="5">
        <v>45</v>
      </c>
    </row>
    <row r="15205" spans="1:19" ht="56" x14ac:dyDescent="0.15">
      <c r="A15205" s="2">
        <f>HYPERLINK("https://open-school.uspishnemisto.com.ua/school/710553/", 710553)</f>
        <v>710553</v>
      </c>
      <c r="B15205" s="3" t="s">
        <v>76754</v>
      </c>
      <c r="C15205" s="3" t="s">
        <v>54</v>
      </c>
      <c r="D15205" s="3" t="s">
        <v>32</v>
      </c>
      <c r="E15205" s="4" t="s">
        <v>22</v>
      </c>
      <c r="F15205" s="4" t="s">
        <v>76755</v>
      </c>
      <c r="G15205" s="4" t="s">
        <v>76756</v>
      </c>
      <c r="H15205" s="3" t="s">
        <v>73938</v>
      </c>
      <c r="I15205" s="3" t="s">
        <v>76757</v>
      </c>
      <c r="J15205" s="3" t="s">
        <v>76758</v>
      </c>
      <c r="K15205" s="3" t="s">
        <v>76759</v>
      </c>
      <c r="L15205" s="3" t="s">
        <v>76760</v>
      </c>
      <c r="M15205" s="4"/>
      <c r="N15205" s="3" t="s">
        <v>37</v>
      </c>
      <c r="O15205" s="3" t="s">
        <v>52</v>
      </c>
      <c r="P15205" s="5">
        <v>9</v>
      </c>
      <c r="Q15205" s="5">
        <v>97</v>
      </c>
      <c r="R15205" s="5">
        <v>9</v>
      </c>
      <c r="S15205" s="5">
        <v>105</v>
      </c>
    </row>
    <row r="15206" spans="1:19" ht="56" x14ac:dyDescent="0.15">
      <c r="A15206" s="2">
        <f>HYPERLINK("https://open-school.uspishnemisto.com.ua/school/710554/", 710554)</f>
        <v>710554</v>
      </c>
      <c r="B15206" s="3" t="s">
        <v>76761</v>
      </c>
      <c r="C15206" s="3" t="s">
        <v>54</v>
      </c>
      <c r="D15206" s="3" t="s">
        <v>32</v>
      </c>
      <c r="E15206" s="4" t="s">
        <v>22</v>
      </c>
      <c r="F15206" s="4" t="s">
        <v>76762</v>
      </c>
      <c r="G15206" s="4" t="s">
        <v>76763</v>
      </c>
      <c r="H15206" s="3" t="s">
        <v>73938</v>
      </c>
      <c r="I15206" s="3" t="s">
        <v>76764</v>
      </c>
      <c r="J15206" s="3" t="s">
        <v>76765</v>
      </c>
      <c r="K15206" s="3" t="s">
        <v>76766</v>
      </c>
      <c r="L15206" s="3" t="s">
        <v>76767</v>
      </c>
      <c r="M15206" s="4"/>
      <c r="N15206" s="3" t="s">
        <v>37</v>
      </c>
      <c r="O15206" s="3" t="s">
        <v>46</v>
      </c>
      <c r="P15206" s="5">
        <v>9</v>
      </c>
      <c r="Q15206" s="5">
        <v>75</v>
      </c>
      <c r="R15206" s="5">
        <v>9</v>
      </c>
      <c r="S15206" s="5">
        <v>71</v>
      </c>
    </row>
    <row r="15207" spans="1:19" ht="42" x14ac:dyDescent="0.15">
      <c r="A15207" s="2">
        <f>HYPERLINK("https://open-school.uspishnemisto.com.ua/school/710555/", 710555)</f>
        <v>710555</v>
      </c>
      <c r="B15207" s="3" t="s">
        <v>76768</v>
      </c>
      <c r="C15207" s="3" t="s">
        <v>54</v>
      </c>
      <c r="D15207" s="3" t="s">
        <v>32</v>
      </c>
      <c r="E15207" s="4" t="s">
        <v>22</v>
      </c>
      <c r="F15207" s="4" t="s">
        <v>76769</v>
      </c>
      <c r="G15207" s="4" t="s">
        <v>76770</v>
      </c>
      <c r="H15207" s="3" t="s">
        <v>73938</v>
      </c>
      <c r="I15207" s="3" t="s">
        <v>76771</v>
      </c>
      <c r="J15207" s="3" t="s">
        <v>76772</v>
      </c>
      <c r="K15207" s="3" t="s">
        <v>76773</v>
      </c>
      <c r="L15207" s="3"/>
      <c r="M15207" s="4"/>
      <c r="N15207" s="3" t="s">
        <v>37</v>
      </c>
      <c r="O15207" s="3" t="s">
        <v>52</v>
      </c>
      <c r="P15207" s="5">
        <v>9</v>
      </c>
      <c r="Q15207" s="5">
        <v>61</v>
      </c>
      <c r="R15207" s="5">
        <v>8</v>
      </c>
      <c r="S15207" s="5">
        <v>67</v>
      </c>
    </row>
    <row r="15208" spans="1:19" ht="28" x14ac:dyDescent="0.15">
      <c r="A15208" s="2">
        <f>HYPERLINK("https://open-school.uspishnemisto.com.ua/school/710556/", 710556)</f>
        <v>710556</v>
      </c>
      <c r="B15208" s="3" t="s">
        <v>76774</v>
      </c>
      <c r="C15208" s="3" t="s">
        <v>31</v>
      </c>
      <c r="D15208" s="3" t="s">
        <v>32</v>
      </c>
      <c r="E15208" s="4" t="s">
        <v>22</v>
      </c>
      <c r="F15208" s="4" t="s">
        <v>76775</v>
      </c>
      <c r="G15208" s="4" t="s">
        <v>76776</v>
      </c>
      <c r="H15208" s="3" t="s">
        <v>73938</v>
      </c>
      <c r="I15208" s="3" t="s">
        <v>76777</v>
      </c>
      <c r="J15208" s="3" t="s">
        <v>15196</v>
      </c>
      <c r="K15208" s="3" t="s">
        <v>76778</v>
      </c>
      <c r="L15208" s="3"/>
      <c r="M15208" s="4"/>
      <c r="N15208" s="3" t="s">
        <v>37</v>
      </c>
      <c r="O15208" s="3" t="s">
        <v>52</v>
      </c>
      <c r="P15208" s="5">
        <v>11</v>
      </c>
      <c r="Q15208" s="5">
        <v>220</v>
      </c>
      <c r="R15208" s="5">
        <v>11</v>
      </c>
      <c r="S15208" s="5">
        <v>209</v>
      </c>
    </row>
    <row r="15209" spans="1:19" ht="42" x14ac:dyDescent="0.15">
      <c r="A15209" s="2">
        <f>HYPERLINK("https://open-school.uspishnemisto.com.ua/school/710557/", 710557)</f>
        <v>710557</v>
      </c>
      <c r="B15209" s="3" t="s">
        <v>76779</v>
      </c>
      <c r="C15209" s="3" t="s">
        <v>31</v>
      </c>
      <c r="D15209" s="3" t="s">
        <v>175</v>
      </c>
      <c r="E15209" s="4" t="s">
        <v>22</v>
      </c>
      <c r="F15209" s="4" t="s">
        <v>76780</v>
      </c>
      <c r="G15209" s="4" t="s">
        <v>76781</v>
      </c>
      <c r="H15209" s="3" t="s">
        <v>73938</v>
      </c>
      <c r="I15209" s="3" t="s">
        <v>76782</v>
      </c>
      <c r="J15209" s="3" t="s">
        <v>73299</v>
      </c>
      <c r="K15209" s="3" t="s">
        <v>76783</v>
      </c>
      <c r="L15209" s="3"/>
      <c r="M15209" s="4"/>
      <c r="N15209" s="3" t="s">
        <v>37</v>
      </c>
      <c r="O15209" s="3" t="s">
        <v>46</v>
      </c>
      <c r="P15209" s="5">
        <v>8</v>
      </c>
      <c r="Q15209" s="5">
        <v>85</v>
      </c>
      <c r="R15209" s="5">
        <v>9</v>
      </c>
      <c r="S15209" s="5">
        <v>73</v>
      </c>
    </row>
    <row r="15210" spans="1:19" ht="56" x14ac:dyDescent="0.15">
      <c r="A15210" s="2">
        <f>HYPERLINK("https://open-school.uspishnemisto.com.ua/school/710558/", 710558)</f>
        <v>710558</v>
      </c>
      <c r="B15210" s="3" t="s">
        <v>76784</v>
      </c>
      <c r="C15210" s="3" t="s">
        <v>54</v>
      </c>
      <c r="D15210" s="3" t="s">
        <v>60</v>
      </c>
      <c r="E15210" s="4" t="s">
        <v>22</v>
      </c>
      <c r="F15210" s="4" t="s">
        <v>76775</v>
      </c>
      <c r="G15210" s="4" t="s">
        <v>76785</v>
      </c>
      <c r="H15210" s="3" t="s">
        <v>73938</v>
      </c>
      <c r="I15210" s="3" t="s">
        <v>76786</v>
      </c>
      <c r="J15210" s="3" t="s">
        <v>76787</v>
      </c>
      <c r="K15210" s="3" t="s">
        <v>76788</v>
      </c>
      <c r="L15210" s="3"/>
      <c r="M15210" s="4"/>
      <c r="N15210" s="3" t="s">
        <v>37</v>
      </c>
      <c r="O15210" s="3" t="s">
        <v>52</v>
      </c>
      <c r="P15210" s="5">
        <v>0</v>
      </c>
      <c r="Q15210" s="5">
        <v>10</v>
      </c>
      <c r="R15210" s="5">
        <v>0</v>
      </c>
      <c r="S15210" s="5">
        <v>10</v>
      </c>
    </row>
    <row r="15211" spans="1:19" ht="56" x14ac:dyDescent="0.15">
      <c r="A15211" s="2">
        <f>HYPERLINK("https://open-school.uspishnemisto.com.ua/school/710559/", 710559)</f>
        <v>710559</v>
      </c>
      <c r="B15211" s="3" t="s">
        <v>76789</v>
      </c>
      <c r="C15211" s="3" t="s">
        <v>54</v>
      </c>
      <c r="D15211" s="3" t="s">
        <v>32</v>
      </c>
      <c r="E15211" s="4" t="s">
        <v>22</v>
      </c>
      <c r="F15211" s="4" t="s">
        <v>76790</v>
      </c>
      <c r="G15211" s="4" t="s">
        <v>76791</v>
      </c>
      <c r="H15211" s="3" t="s">
        <v>73938</v>
      </c>
      <c r="I15211" s="3" t="s">
        <v>76792</v>
      </c>
      <c r="J15211" s="3" t="s">
        <v>76793</v>
      </c>
      <c r="K15211" s="3" t="s">
        <v>76794</v>
      </c>
      <c r="L15211" s="3"/>
      <c r="M15211" s="4"/>
      <c r="N15211" s="3" t="s">
        <v>37</v>
      </c>
      <c r="O15211" s="3" t="s">
        <v>52</v>
      </c>
      <c r="P15211" s="5">
        <v>9</v>
      </c>
      <c r="Q15211" s="5">
        <v>77</v>
      </c>
      <c r="R15211" s="5">
        <v>9</v>
      </c>
      <c r="S15211" s="5">
        <v>74</v>
      </c>
    </row>
    <row r="15212" spans="1:19" ht="42" x14ac:dyDescent="0.15">
      <c r="A15212" s="2">
        <f>HYPERLINK("https://open-school.uspishnemisto.com.ua/school/710560/", 710560)</f>
        <v>710560</v>
      </c>
      <c r="B15212" s="3" t="s">
        <v>76795</v>
      </c>
      <c r="C15212" s="3" t="s">
        <v>54</v>
      </c>
      <c r="D15212" s="3" t="s">
        <v>32</v>
      </c>
      <c r="E15212" s="4" t="s">
        <v>22</v>
      </c>
      <c r="F15212" s="4" t="s">
        <v>76796</v>
      </c>
      <c r="G15212" s="4" t="s">
        <v>76797</v>
      </c>
      <c r="H15212" s="3" t="s">
        <v>73938</v>
      </c>
      <c r="I15212" s="3" t="s">
        <v>76798</v>
      </c>
      <c r="J15212" s="3" t="s">
        <v>76799</v>
      </c>
      <c r="K15212" s="3"/>
      <c r="L15212" s="3"/>
      <c r="M15212" s="4"/>
      <c r="N15212" s="3" t="s">
        <v>37</v>
      </c>
      <c r="O15212" s="3" t="s">
        <v>52</v>
      </c>
      <c r="P15212" s="5">
        <v>11</v>
      </c>
      <c r="Q15212" s="5">
        <v>127</v>
      </c>
      <c r="R15212" s="5">
        <v>11</v>
      </c>
      <c r="S15212" s="5">
        <v>129</v>
      </c>
    </row>
    <row r="15213" spans="1:19" ht="56" x14ac:dyDescent="0.15">
      <c r="A15213" s="2">
        <f>HYPERLINK("https://open-school.uspishnemisto.com.ua/school/710561/", 710561)</f>
        <v>710561</v>
      </c>
      <c r="B15213" s="3" t="s">
        <v>76800</v>
      </c>
      <c r="C15213" s="3" t="s">
        <v>54</v>
      </c>
      <c r="D15213" s="3" t="s">
        <v>32</v>
      </c>
      <c r="E15213" s="4" t="s">
        <v>22</v>
      </c>
      <c r="F15213" s="4" t="s">
        <v>76801</v>
      </c>
      <c r="G15213" s="4" t="s">
        <v>76802</v>
      </c>
      <c r="H15213" s="3" t="s">
        <v>73938</v>
      </c>
      <c r="I15213" s="3" t="s">
        <v>76803</v>
      </c>
      <c r="J15213" s="3" t="s">
        <v>76804</v>
      </c>
      <c r="K15213" s="3" t="s">
        <v>76805</v>
      </c>
      <c r="L15213" s="3"/>
      <c r="M15213" s="4"/>
      <c r="N15213" s="3" t="s">
        <v>37</v>
      </c>
      <c r="O15213" s="3" t="s">
        <v>52</v>
      </c>
      <c r="P15213" s="5">
        <v>10</v>
      </c>
      <c r="Q15213" s="5">
        <v>120</v>
      </c>
      <c r="R15213" s="5">
        <v>11</v>
      </c>
      <c r="S15213" s="5">
        <v>126</v>
      </c>
    </row>
    <row r="15214" spans="1:19" ht="42" x14ac:dyDescent="0.15">
      <c r="A15214" s="2">
        <f>HYPERLINK("https://open-school.uspishnemisto.com.ua/school/710562/", 710562)</f>
        <v>710562</v>
      </c>
      <c r="B15214" s="3" t="s">
        <v>76806</v>
      </c>
      <c r="C15214" s="3" t="s">
        <v>54</v>
      </c>
      <c r="D15214" s="3" t="s">
        <v>32</v>
      </c>
      <c r="E15214" s="4" t="s">
        <v>22</v>
      </c>
      <c r="F15214" s="4" t="s">
        <v>76807</v>
      </c>
      <c r="G15214" s="4" t="s">
        <v>76808</v>
      </c>
      <c r="H15214" s="3" t="s">
        <v>73938</v>
      </c>
      <c r="I15214" s="3" t="s">
        <v>76809</v>
      </c>
      <c r="J15214" s="3" t="s">
        <v>76810</v>
      </c>
      <c r="K15214" s="3" t="s">
        <v>76811</v>
      </c>
      <c r="L15214" s="3"/>
      <c r="M15214" s="4"/>
      <c r="N15214" s="3" t="s">
        <v>37</v>
      </c>
      <c r="O15214" s="3" t="s">
        <v>52</v>
      </c>
      <c r="P15214" s="5">
        <v>10</v>
      </c>
      <c r="Q15214" s="5">
        <v>132</v>
      </c>
      <c r="R15214" s="5">
        <v>11</v>
      </c>
      <c r="S15214" s="5">
        <v>137</v>
      </c>
    </row>
    <row r="15215" spans="1:19" ht="42" x14ac:dyDescent="0.15">
      <c r="A15215" s="2">
        <f>HYPERLINK("https://open-school.uspishnemisto.com.ua/school/710563/", 710563)</f>
        <v>710563</v>
      </c>
      <c r="B15215" s="3" t="s">
        <v>76812</v>
      </c>
      <c r="C15215" s="3" t="s">
        <v>54</v>
      </c>
      <c r="D15215" s="3" t="s">
        <v>32</v>
      </c>
      <c r="E15215" s="4" t="s">
        <v>22</v>
      </c>
      <c r="F15215" s="4" t="s">
        <v>76813</v>
      </c>
      <c r="G15215" s="4" t="s">
        <v>76814</v>
      </c>
      <c r="H15215" s="3" t="s">
        <v>73938</v>
      </c>
      <c r="I15215" s="3" t="s">
        <v>11305</v>
      </c>
      <c r="J15215" s="3" t="s">
        <v>2584</v>
      </c>
      <c r="K15215" s="3" t="s">
        <v>63783</v>
      </c>
      <c r="L15215" s="3"/>
      <c r="M15215" s="4"/>
      <c r="N15215" s="3" t="s">
        <v>37</v>
      </c>
      <c r="O15215" s="3" t="s">
        <v>2740</v>
      </c>
      <c r="P15215" s="5">
        <v>9</v>
      </c>
      <c r="Q15215" s="5">
        <v>66</v>
      </c>
      <c r="R15215" s="5">
        <v>9</v>
      </c>
      <c r="S15215" s="5">
        <v>66</v>
      </c>
    </row>
    <row r="15216" spans="1:19" ht="42" x14ac:dyDescent="0.15">
      <c r="A15216" s="2">
        <f>HYPERLINK("https://open-school.uspishnemisto.com.ua/school/710564/", 710564)</f>
        <v>710564</v>
      </c>
      <c r="B15216" s="3" t="s">
        <v>76815</v>
      </c>
      <c r="C15216" s="3" t="s">
        <v>54</v>
      </c>
      <c r="D15216" s="3" t="s">
        <v>32</v>
      </c>
      <c r="E15216" s="4" t="s">
        <v>22</v>
      </c>
      <c r="F15216" s="4" t="s">
        <v>76816</v>
      </c>
      <c r="G15216" s="4" t="s">
        <v>76817</v>
      </c>
      <c r="H15216" s="3" t="s">
        <v>73938</v>
      </c>
      <c r="I15216" s="3" t="s">
        <v>76818</v>
      </c>
      <c r="J15216" s="3" t="s">
        <v>12836</v>
      </c>
      <c r="K15216" s="3" t="s">
        <v>76819</v>
      </c>
      <c r="L15216" s="3"/>
      <c r="M15216" s="4"/>
      <c r="N15216" s="3" t="s">
        <v>37</v>
      </c>
      <c r="O15216" s="3" t="s">
        <v>52</v>
      </c>
      <c r="P15216" s="5">
        <v>11</v>
      </c>
      <c r="Q15216" s="5">
        <v>75</v>
      </c>
      <c r="R15216" s="5">
        <v>10</v>
      </c>
      <c r="S15216" s="5">
        <v>74</v>
      </c>
    </row>
    <row r="15217" spans="1:19" ht="42" x14ac:dyDescent="0.15">
      <c r="A15217" s="2">
        <f>HYPERLINK("https://open-school.uspishnemisto.com.ua/school/710565/", 710565)</f>
        <v>710565</v>
      </c>
      <c r="B15217" s="3" t="s">
        <v>76820</v>
      </c>
      <c r="C15217" s="3" t="s">
        <v>54</v>
      </c>
      <c r="D15217" s="3" t="s">
        <v>32</v>
      </c>
      <c r="E15217" s="4" t="s">
        <v>22</v>
      </c>
      <c r="F15217" s="4" t="s">
        <v>76821</v>
      </c>
      <c r="G15217" s="4" t="s">
        <v>76822</v>
      </c>
      <c r="H15217" s="3" t="s">
        <v>73938</v>
      </c>
      <c r="I15217" s="3" t="s">
        <v>362</v>
      </c>
      <c r="J15217" s="3" t="s">
        <v>3738</v>
      </c>
      <c r="K15217" s="3" t="s">
        <v>76823</v>
      </c>
      <c r="L15217" s="3"/>
      <c r="M15217" s="4"/>
      <c r="N15217" s="3" t="s">
        <v>37</v>
      </c>
      <c r="O15217" s="3" t="s">
        <v>52</v>
      </c>
      <c r="P15217" s="5">
        <v>11</v>
      </c>
      <c r="Q15217" s="5">
        <v>171</v>
      </c>
      <c r="R15217" s="5">
        <v>11</v>
      </c>
      <c r="S15217" s="5">
        <v>171</v>
      </c>
    </row>
    <row r="15218" spans="1:19" ht="42" x14ac:dyDescent="0.15">
      <c r="A15218" s="2">
        <f>HYPERLINK("https://open-school.uspishnemisto.com.ua/school/710566/", 710566)</f>
        <v>710566</v>
      </c>
      <c r="B15218" s="3" t="s">
        <v>76824</v>
      </c>
      <c r="C15218" s="3" t="s">
        <v>54</v>
      </c>
      <c r="D15218" s="3" t="s">
        <v>32</v>
      </c>
      <c r="E15218" s="4" t="s">
        <v>22</v>
      </c>
      <c r="F15218" s="4" t="s">
        <v>76825</v>
      </c>
      <c r="G15218" s="4" t="s">
        <v>76826</v>
      </c>
      <c r="H15218" s="3" t="s">
        <v>73938</v>
      </c>
      <c r="I15218" s="3" t="s">
        <v>76827</v>
      </c>
      <c r="J15218" s="3" t="s">
        <v>76828</v>
      </c>
      <c r="K15218" s="3"/>
      <c r="L15218" s="3"/>
      <c r="M15218" s="4"/>
      <c r="N15218" s="3" t="s">
        <v>37</v>
      </c>
      <c r="O15218" s="3" t="s">
        <v>52</v>
      </c>
      <c r="P15218" s="5">
        <v>6</v>
      </c>
      <c r="Q15218" s="5">
        <v>44</v>
      </c>
      <c r="R15218" s="5">
        <v>9</v>
      </c>
      <c r="S15218" s="5">
        <v>59</v>
      </c>
    </row>
    <row r="15219" spans="1:19" ht="28" x14ac:dyDescent="0.15">
      <c r="A15219" s="2">
        <f>HYPERLINK("https://open-school.uspishnemisto.com.ua/school/710567/", 710567)</f>
        <v>710567</v>
      </c>
      <c r="B15219" s="3" t="s">
        <v>76829</v>
      </c>
      <c r="C15219" s="3" t="s">
        <v>31</v>
      </c>
      <c r="D15219" s="3" t="s">
        <v>32</v>
      </c>
      <c r="E15219" s="4" t="s">
        <v>22</v>
      </c>
      <c r="F15219" s="4" t="s">
        <v>76830</v>
      </c>
      <c r="G15219" s="4" t="s">
        <v>76831</v>
      </c>
      <c r="H15219" s="3" t="s">
        <v>73938</v>
      </c>
      <c r="I15219" s="3" t="s">
        <v>76832</v>
      </c>
      <c r="J15219" s="3" t="s">
        <v>76833</v>
      </c>
      <c r="K15219" s="3"/>
      <c r="L15219" s="3"/>
      <c r="M15219" s="4"/>
      <c r="N15219" s="3" t="s">
        <v>37</v>
      </c>
      <c r="O15219" s="3" t="s">
        <v>52</v>
      </c>
      <c r="P15219" s="5">
        <v>9</v>
      </c>
      <c r="Q15219" s="5">
        <v>82</v>
      </c>
      <c r="R15219" s="5">
        <v>11</v>
      </c>
      <c r="S15219" s="5">
        <v>95</v>
      </c>
    </row>
    <row r="15220" spans="1:19" ht="42" x14ac:dyDescent="0.15">
      <c r="A15220" s="2">
        <f>HYPERLINK("https://open-school.uspishnemisto.com.ua/school/710568/", 710568)</f>
        <v>710568</v>
      </c>
      <c r="B15220" s="3" t="s">
        <v>76834</v>
      </c>
      <c r="C15220" s="3" t="s">
        <v>54</v>
      </c>
      <c r="D15220" s="3" t="s">
        <v>32</v>
      </c>
      <c r="E15220" s="4" t="s">
        <v>22</v>
      </c>
      <c r="F15220" s="4" t="s">
        <v>76835</v>
      </c>
      <c r="G15220" s="4" t="s">
        <v>76836</v>
      </c>
      <c r="H15220" s="3" t="s">
        <v>73938</v>
      </c>
      <c r="I15220" s="3" t="s">
        <v>8409</v>
      </c>
      <c r="J15220" s="3" t="s">
        <v>76837</v>
      </c>
      <c r="K15220" s="3" t="s">
        <v>76838</v>
      </c>
      <c r="L15220" s="3" t="s">
        <v>76839</v>
      </c>
      <c r="M15220" s="4"/>
      <c r="N15220" s="3" t="s">
        <v>37</v>
      </c>
      <c r="O15220" s="3" t="s">
        <v>52</v>
      </c>
      <c r="P15220" s="5">
        <v>11</v>
      </c>
      <c r="Q15220" s="5">
        <v>120</v>
      </c>
      <c r="R15220" s="5">
        <v>10</v>
      </c>
      <c r="S15220" s="5">
        <v>117</v>
      </c>
    </row>
    <row r="15221" spans="1:19" ht="56" x14ac:dyDescent="0.15">
      <c r="A15221" s="2">
        <f>HYPERLINK("https://open-school.uspishnemisto.com.ua/school/710569/", 710569)</f>
        <v>710569</v>
      </c>
      <c r="B15221" s="3" t="s">
        <v>76840</v>
      </c>
      <c r="C15221" s="3" t="s">
        <v>54</v>
      </c>
      <c r="D15221" s="3" t="s">
        <v>32</v>
      </c>
      <c r="E15221" s="4" t="s">
        <v>22</v>
      </c>
      <c r="F15221" s="4" t="s">
        <v>76841</v>
      </c>
      <c r="G15221" s="4" t="s">
        <v>76842</v>
      </c>
      <c r="H15221" s="3" t="s">
        <v>73938</v>
      </c>
      <c r="I15221" s="3" t="s">
        <v>76843</v>
      </c>
      <c r="J15221" s="3" t="s">
        <v>10318</v>
      </c>
      <c r="K15221" s="3" t="s">
        <v>76844</v>
      </c>
      <c r="L15221" s="3"/>
      <c r="M15221" s="4"/>
      <c r="N15221" s="3" t="s">
        <v>37</v>
      </c>
      <c r="O15221" s="3" t="s">
        <v>52</v>
      </c>
      <c r="P15221" s="5">
        <v>11</v>
      </c>
      <c r="Q15221" s="5">
        <v>124</v>
      </c>
      <c r="R15221" s="5">
        <v>11</v>
      </c>
      <c r="S15221" s="5">
        <v>135</v>
      </c>
    </row>
    <row r="15222" spans="1:19" ht="56" x14ac:dyDescent="0.15">
      <c r="A15222" s="2">
        <f>HYPERLINK("https://open-school.uspishnemisto.com.ua/school/710570/", 710570)</f>
        <v>710570</v>
      </c>
      <c r="B15222" s="3" t="s">
        <v>76845</v>
      </c>
      <c r="C15222" s="3" t="s">
        <v>54</v>
      </c>
      <c r="D15222" s="3" t="s">
        <v>175</v>
      </c>
      <c r="E15222" s="4" t="s">
        <v>22</v>
      </c>
      <c r="F15222" s="4" t="s">
        <v>76846</v>
      </c>
      <c r="G15222" s="4" t="s">
        <v>76847</v>
      </c>
      <c r="H15222" s="3" t="s">
        <v>73938</v>
      </c>
      <c r="I15222" s="3" t="s">
        <v>76848</v>
      </c>
      <c r="J15222" s="3" t="s">
        <v>76849</v>
      </c>
      <c r="K15222" s="3" t="s">
        <v>76850</v>
      </c>
      <c r="L15222" s="3" t="s">
        <v>76851</v>
      </c>
      <c r="M15222" s="4"/>
      <c r="N15222" s="3" t="s">
        <v>37</v>
      </c>
      <c r="O15222" s="3" t="s">
        <v>52</v>
      </c>
      <c r="P15222" s="5">
        <v>4</v>
      </c>
      <c r="Q15222" s="5">
        <v>39</v>
      </c>
      <c r="R15222" s="5">
        <v>4</v>
      </c>
      <c r="S15222" s="5">
        <v>36</v>
      </c>
    </row>
    <row r="15223" spans="1:19" ht="56" x14ac:dyDescent="0.15">
      <c r="A15223" s="2">
        <f>HYPERLINK("https://open-school.uspishnemisto.com.ua/school/710571/", 710571)</f>
        <v>710571</v>
      </c>
      <c r="B15223" s="3" t="s">
        <v>76852</v>
      </c>
      <c r="C15223" s="3" t="s">
        <v>54</v>
      </c>
      <c r="D15223" s="3" t="s">
        <v>175</v>
      </c>
      <c r="E15223" s="4" t="s">
        <v>22</v>
      </c>
      <c r="F15223" s="4" t="s">
        <v>76853</v>
      </c>
      <c r="G15223" s="4" t="s">
        <v>76854</v>
      </c>
      <c r="H15223" s="3" t="s">
        <v>73938</v>
      </c>
      <c r="I15223" s="3" t="s">
        <v>7563</v>
      </c>
      <c r="J15223" s="3" t="s">
        <v>21943</v>
      </c>
      <c r="K15223" s="3" t="s">
        <v>76855</v>
      </c>
      <c r="L15223" s="3"/>
      <c r="M15223" s="4"/>
      <c r="N15223" s="3" t="s">
        <v>37</v>
      </c>
      <c r="O15223" s="3" t="s">
        <v>52</v>
      </c>
      <c r="P15223" s="5">
        <v>5</v>
      </c>
      <c r="Q15223" s="5">
        <v>54</v>
      </c>
      <c r="R15223" s="5">
        <v>6</v>
      </c>
      <c r="S15223" s="5">
        <v>55</v>
      </c>
    </row>
    <row r="15224" spans="1:19" ht="56" x14ac:dyDescent="0.15">
      <c r="A15224" s="2">
        <f>HYPERLINK("https://open-school.uspishnemisto.com.ua/school/710572/", 710572)</f>
        <v>710572</v>
      </c>
      <c r="B15224" s="3" t="s">
        <v>76856</v>
      </c>
      <c r="C15224" s="3" t="s">
        <v>54</v>
      </c>
      <c r="D15224" s="3" t="s">
        <v>175</v>
      </c>
      <c r="E15224" s="4" t="s">
        <v>22</v>
      </c>
      <c r="F15224" s="4" t="s">
        <v>76857</v>
      </c>
      <c r="G15224" s="4" t="s">
        <v>76858</v>
      </c>
      <c r="H15224" s="3" t="s">
        <v>73938</v>
      </c>
      <c r="I15224" s="3" t="s">
        <v>11989</v>
      </c>
      <c r="J15224" s="3" t="s">
        <v>12094</v>
      </c>
      <c r="K15224" s="3" t="s">
        <v>76859</v>
      </c>
      <c r="L15224" s="3"/>
      <c r="M15224" s="4"/>
      <c r="N15224" s="3" t="s">
        <v>37</v>
      </c>
      <c r="O15224" s="3" t="s">
        <v>52</v>
      </c>
      <c r="P15224" s="5">
        <v>2</v>
      </c>
      <c r="Q15224" s="5">
        <v>25</v>
      </c>
      <c r="R15224" s="5">
        <v>4</v>
      </c>
      <c r="S15224" s="5">
        <v>30</v>
      </c>
    </row>
    <row r="15225" spans="1:19" ht="42" x14ac:dyDescent="0.15">
      <c r="A15225" s="2">
        <f>HYPERLINK("https://open-school.uspishnemisto.com.ua/school/710573/", 710573)</f>
        <v>710573</v>
      </c>
      <c r="B15225" s="3" t="s">
        <v>76860</v>
      </c>
      <c r="C15225" s="3" t="s">
        <v>54</v>
      </c>
      <c r="D15225" s="3" t="s">
        <v>32</v>
      </c>
      <c r="E15225" s="4" t="s">
        <v>22</v>
      </c>
      <c r="F15225" s="4" t="s">
        <v>76861</v>
      </c>
      <c r="G15225" s="4" t="s">
        <v>76862</v>
      </c>
      <c r="H15225" s="3" t="s">
        <v>73938</v>
      </c>
      <c r="I15225" s="3" t="s">
        <v>12015</v>
      </c>
      <c r="J15225" s="3" t="s">
        <v>76863</v>
      </c>
      <c r="K15225" s="3" t="s">
        <v>76864</v>
      </c>
      <c r="L15225" s="3" t="s">
        <v>76865</v>
      </c>
      <c r="M15225" s="4"/>
      <c r="N15225" s="3" t="s">
        <v>37</v>
      </c>
      <c r="O15225" s="3" t="s">
        <v>52</v>
      </c>
      <c r="P15225" s="5">
        <v>8</v>
      </c>
      <c r="Q15225" s="5">
        <v>72</v>
      </c>
      <c r="R15225" s="5">
        <v>9</v>
      </c>
      <c r="S15225" s="5">
        <v>72</v>
      </c>
    </row>
    <row r="15226" spans="1:19" ht="42" x14ac:dyDescent="0.15">
      <c r="A15226" s="2">
        <f>HYPERLINK("https://open-school.uspishnemisto.com.ua/school/710574/", 710574)</f>
        <v>710574</v>
      </c>
      <c r="B15226" s="3" t="s">
        <v>76866</v>
      </c>
      <c r="C15226" s="3" t="s">
        <v>54</v>
      </c>
      <c r="D15226" s="3" t="s">
        <v>175</v>
      </c>
      <c r="E15226" s="4" t="s">
        <v>22</v>
      </c>
      <c r="F15226" s="4" t="s">
        <v>76867</v>
      </c>
      <c r="G15226" s="4" t="s">
        <v>76868</v>
      </c>
      <c r="H15226" s="3" t="s">
        <v>73938</v>
      </c>
      <c r="I15226" s="3" t="s">
        <v>76869</v>
      </c>
      <c r="J15226" s="3" t="s">
        <v>76870</v>
      </c>
      <c r="K15226" s="3" t="s">
        <v>76871</v>
      </c>
      <c r="L15226" s="3"/>
      <c r="M15226" s="4"/>
      <c r="N15226" s="3" t="s">
        <v>37</v>
      </c>
      <c r="O15226" s="3" t="s">
        <v>52</v>
      </c>
      <c r="P15226" s="5">
        <v>3</v>
      </c>
      <c r="Q15226" s="5">
        <v>34</v>
      </c>
      <c r="R15226" s="5">
        <v>5</v>
      </c>
      <c r="S15226" s="5">
        <v>35</v>
      </c>
    </row>
    <row r="15227" spans="1:19" ht="28" x14ac:dyDescent="0.15">
      <c r="A15227" s="2">
        <f>HYPERLINK("https://open-school.uspishnemisto.com.ua/school/710575/", 710575)</f>
        <v>710575</v>
      </c>
      <c r="B15227" s="3" t="s">
        <v>76872</v>
      </c>
      <c r="C15227" s="3" t="s">
        <v>31</v>
      </c>
      <c r="D15227" s="3" t="s">
        <v>32</v>
      </c>
      <c r="E15227" s="4" t="s">
        <v>22</v>
      </c>
      <c r="F15227" s="4" t="s">
        <v>76873</v>
      </c>
      <c r="G15227" s="4" t="s">
        <v>76874</v>
      </c>
      <c r="H15227" s="3" t="s">
        <v>73938</v>
      </c>
      <c r="I15227" s="3" t="s">
        <v>76875</v>
      </c>
      <c r="J15227" s="3" t="s">
        <v>7495</v>
      </c>
      <c r="K15227" s="3" t="s">
        <v>63252</v>
      </c>
      <c r="L15227" s="3"/>
      <c r="M15227" s="4"/>
      <c r="N15227" s="3" t="s">
        <v>37</v>
      </c>
      <c r="O15227" s="3" t="s">
        <v>52</v>
      </c>
      <c r="P15227" s="5">
        <v>9</v>
      </c>
      <c r="Q15227" s="5">
        <v>101</v>
      </c>
      <c r="R15227" s="5">
        <v>9</v>
      </c>
      <c r="S15227" s="5">
        <v>93</v>
      </c>
    </row>
    <row r="15228" spans="1:19" ht="42" x14ac:dyDescent="0.15">
      <c r="A15228" s="2">
        <f>HYPERLINK("https://open-school.uspishnemisto.com.ua/school/710576/", 710576)</f>
        <v>710576</v>
      </c>
      <c r="B15228" s="3" t="s">
        <v>76876</v>
      </c>
      <c r="C15228" s="3" t="s">
        <v>54</v>
      </c>
      <c r="D15228" s="3" t="s">
        <v>32</v>
      </c>
      <c r="E15228" s="4" t="s">
        <v>22</v>
      </c>
      <c r="F15228" s="4" t="s">
        <v>76877</v>
      </c>
      <c r="G15228" s="4" t="s">
        <v>76878</v>
      </c>
      <c r="H15228" s="3" t="s">
        <v>73938</v>
      </c>
      <c r="I15228" s="3" t="s">
        <v>66225</v>
      </c>
      <c r="J15228" s="3" t="s">
        <v>76879</v>
      </c>
      <c r="K15228" s="3" t="s">
        <v>76880</v>
      </c>
      <c r="L15228" s="3" t="s">
        <v>76881</v>
      </c>
      <c r="M15228" s="4"/>
      <c r="N15228" s="3" t="s">
        <v>37</v>
      </c>
      <c r="O15228" s="3" t="s">
        <v>52</v>
      </c>
      <c r="P15228" s="5">
        <v>8</v>
      </c>
      <c r="Q15228" s="5">
        <v>65</v>
      </c>
      <c r="R15228" s="5">
        <v>7</v>
      </c>
      <c r="S15228" s="5">
        <v>64</v>
      </c>
    </row>
    <row r="15229" spans="1:19" ht="42" x14ac:dyDescent="0.15">
      <c r="A15229" s="2">
        <f>HYPERLINK("https://open-school.uspishnemisto.com.ua/school/710577/", 710577)</f>
        <v>710577</v>
      </c>
      <c r="B15229" s="3" t="s">
        <v>76882</v>
      </c>
      <c r="C15229" s="3" t="s">
        <v>54</v>
      </c>
      <c r="D15229" s="3" t="s">
        <v>175</v>
      </c>
      <c r="E15229" s="4" t="s">
        <v>22</v>
      </c>
      <c r="F15229" s="4" t="s">
        <v>76883</v>
      </c>
      <c r="G15229" s="4" t="s">
        <v>76884</v>
      </c>
      <c r="H15229" s="3" t="s">
        <v>73938</v>
      </c>
      <c r="I15229" s="3" t="s">
        <v>76885</v>
      </c>
      <c r="J15229" s="3" t="s">
        <v>34942</v>
      </c>
      <c r="K15229" s="3" t="s">
        <v>76886</v>
      </c>
      <c r="L15229" s="3"/>
      <c r="M15229" s="4"/>
      <c r="N15229" s="3" t="s">
        <v>37</v>
      </c>
      <c r="O15229" s="3" t="s">
        <v>52</v>
      </c>
      <c r="P15229" s="5">
        <v>3</v>
      </c>
      <c r="Q15229" s="5">
        <v>40</v>
      </c>
      <c r="R15229" s="5">
        <v>6</v>
      </c>
      <c r="S15229" s="5">
        <v>47</v>
      </c>
    </row>
    <row r="15230" spans="1:19" ht="28" x14ac:dyDescent="0.15">
      <c r="A15230" s="2">
        <f>HYPERLINK("https://open-school.uspishnemisto.com.ua/school/710578/", 710578)</f>
        <v>710578</v>
      </c>
      <c r="B15230" s="3" t="s">
        <v>76887</v>
      </c>
      <c r="C15230" s="3" t="s">
        <v>54</v>
      </c>
      <c r="D15230" s="3" t="s">
        <v>60</v>
      </c>
      <c r="E15230" s="4" t="s">
        <v>22</v>
      </c>
      <c r="F15230" s="4" t="s">
        <v>76888</v>
      </c>
      <c r="G15230" s="4" t="s">
        <v>76889</v>
      </c>
      <c r="H15230" s="3" t="s">
        <v>73938</v>
      </c>
      <c r="I15230" s="3" t="s">
        <v>76890</v>
      </c>
      <c r="J15230" s="3" t="s">
        <v>2745</v>
      </c>
      <c r="K15230" s="3" t="s">
        <v>76891</v>
      </c>
      <c r="L15230" s="3" t="s">
        <v>76892</v>
      </c>
      <c r="M15230" s="4"/>
      <c r="N15230" s="3" t="s">
        <v>37</v>
      </c>
      <c r="O15230" s="3" t="s">
        <v>52</v>
      </c>
      <c r="P15230" s="5">
        <v>1</v>
      </c>
      <c r="Q15230" s="5">
        <v>11</v>
      </c>
      <c r="R15230" s="5">
        <v>2</v>
      </c>
      <c r="S15230" s="5">
        <v>14</v>
      </c>
    </row>
    <row r="15231" spans="1:19" ht="28" x14ac:dyDescent="0.15">
      <c r="A15231" s="2">
        <f>HYPERLINK("https://open-school.uspishnemisto.com.ua/school/710579/", 710579)</f>
        <v>710579</v>
      </c>
      <c r="B15231" s="3" t="s">
        <v>76893</v>
      </c>
      <c r="C15231" s="3" t="s">
        <v>181</v>
      </c>
      <c r="D15231" s="3"/>
      <c r="E15231" s="4" t="s">
        <v>22</v>
      </c>
      <c r="F15231" s="4" t="s">
        <v>76894</v>
      </c>
      <c r="G15231" s="4" t="s">
        <v>76895</v>
      </c>
      <c r="H15231" s="3" t="s">
        <v>73938</v>
      </c>
      <c r="I15231" s="3" t="s">
        <v>76896</v>
      </c>
      <c r="J15231" s="3" t="s">
        <v>76897</v>
      </c>
      <c r="K15231" s="3" t="s">
        <v>76898</v>
      </c>
      <c r="L15231" s="3"/>
      <c r="M15231" s="4" t="s">
        <v>76899</v>
      </c>
      <c r="N15231" s="3" t="s">
        <v>37</v>
      </c>
      <c r="O15231" s="3" t="s">
        <v>52</v>
      </c>
      <c r="P15231" s="5">
        <v>5</v>
      </c>
      <c r="Q15231" s="5">
        <v>48</v>
      </c>
      <c r="R15231" s="5">
        <v>7</v>
      </c>
      <c r="S15231" s="5">
        <v>63</v>
      </c>
    </row>
    <row r="15232" spans="1:19" ht="42" x14ac:dyDescent="0.15">
      <c r="A15232" s="2">
        <f>HYPERLINK("https://open-school.uspishnemisto.com.ua/school/710580/", 710580)</f>
        <v>710580</v>
      </c>
      <c r="B15232" s="3" t="s">
        <v>76900</v>
      </c>
      <c r="C15232" s="3" t="s">
        <v>31</v>
      </c>
      <c r="D15232" s="3" t="s">
        <v>32</v>
      </c>
      <c r="E15232" s="4" t="s">
        <v>22</v>
      </c>
      <c r="F15232" s="4" t="s">
        <v>76894</v>
      </c>
      <c r="G15232" s="4" t="s">
        <v>76895</v>
      </c>
      <c r="H15232" s="3" t="s">
        <v>73938</v>
      </c>
      <c r="I15232" s="3" t="s">
        <v>76896</v>
      </c>
      <c r="J15232" s="3" t="s">
        <v>76901</v>
      </c>
      <c r="K15232" s="3" t="s">
        <v>76902</v>
      </c>
      <c r="L15232" s="3"/>
      <c r="M15232" s="4"/>
      <c r="N15232" s="3" t="s">
        <v>37</v>
      </c>
      <c r="O15232" s="3" t="s">
        <v>38</v>
      </c>
      <c r="P15232" s="5">
        <v>20</v>
      </c>
      <c r="Q15232" s="5">
        <v>425</v>
      </c>
      <c r="R15232" s="5">
        <v>20</v>
      </c>
      <c r="S15232" s="5">
        <v>414</v>
      </c>
    </row>
    <row r="15233" spans="1:19" ht="42" x14ac:dyDescent="0.15">
      <c r="A15233" s="2">
        <f>HYPERLINK("https://open-school.uspishnemisto.com.ua/school/710581/", 710581)</f>
        <v>710581</v>
      </c>
      <c r="B15233" s="3" t="s">
        <v>76903</v>
      </c>
      <c r="C15233" s="3" t="s">
        <v>54</v>
      </c>
      <c r="D15233" s="3" t="s">
        <v>32</v>
      </c>
      <c r="E15233" s="4" t="s">
        <v>22</v>
      </c>
      <c r="F15233" s="4" t="s">
        <v>76894</v>
      </c>
      <c r="G15233" s="4" t="s">
        <v>76895</v>
      </c>
      <c r="H15233" s="3" t="s">
        <v>73938</v>
      </c>
      <c r="I15233" s="3" t="s">
        <v>76896</v>
      </c>
      <c r="J15233" s="3" t="s">
        <v>76904</v>
      </c>
      <c r="K15233" s="3" t="s">
        <v>76905</v>
      </c>
      <c r="L15233" s="3" t="s">
        <v>76906</v>
      </c>
      <c r="M15233" s="4"/>
      <c r="N15233" s="3" t="s">
        <v>37</v>
      </c>
      <c r="O15233" s="3" t="s">
        <v>70</v>
      </c>
      <c r="P15233" s="5">
        <v>21</v>
      </c>
      <c r="Q15233" s="5">
        <v>428</v>
      </c>
      <c r="R15233" s="5">
        <v>21</v>
      </c>
      <c r="S15233" s="5">
        <v>405</v>
      </c>
    </row>
    <row r="15234" spans="1:19" ht="42" x14ac:dyDescent="0.15">
      <c r="A15234" s="2">
        <f>HYPERLINK("https://open-school.uspishnemisto.com.ua/school/710582/", 710582)</f>
        <v>710582</v>
      </c>
      <c r="B15234" s="3" t="s">
        <v>76907</v>
      </c>
      <c r="C15234" s="3" t="s">
        <v>54</v>
      </c>
      <c r="D15234" s="3" t="s">
        <v>32</v>
      </c>
      <c r="E15234" s="4" t="s">
        <v>22</v>
      </c>
      <c r="F15234" s="4" t="s">
        <v>76894</v>
      </c>
      <c r="G15234" s="4" t="s">
        <v>76895</v>
      </c>
      <c r="H15234" s="3" t="s">
        <v>73938</v>
      </c>
      <c r="I15234" s="3" t="s">
        <v>76896</v>
      </c>
      <c r="J15234" s="3" t="s">
        <v>35572</v>
      </c>
      <c r="K15234" s="3" t="s">
        <v>76908</v>
      </c>
      <c r="L15234" s="3"/>
      <c r="M15234" s="4"/>
      <c r="N15234" s="3" t="s">
        <v>37</v>
      </c>
      <c r="O15234" s="3" t="s">
        <v>70</v>
      </c>
      <c r="P15234" s="5">
        <v>11</v>
      </c>
      <c r="Q15234" s="5">
        <v>222</v>
      </c>
      <c r="R15234" s="5">
        <v>11</v>
      </c>
      <c r="S15234" s="5">
        <v>222</v>
      </c>
    </row>
    <row r="15235" spans="1:19" ht="28" x14ac:dyDescent="0.15">
      <c r="A15235" s="2">
        <f>HYPERLINK("https://open-school.uspishnemisto.com.ua/school/710583/", 710583)</f>
        <v>710583</v>
      </c>
      <c r="B15235" s="3" t="s">
        <v>76909</v>
      </c>
      <c r="C15235" s="3" t="s">
        <v>31</v>
      </c>
      <c r="D15235" s="3" t="s">
        <v>32</v>
      </c>
      <c r="E15235" s="4" t="s">
        <v>22</v>
      </c>
      <c r="F15235" s="4" t="s">
        <v>76910</v>
      </c>
      <c r="G15235" s="4" t="s">
        <v>76911</v>
      </c>
      <c r="H15235" s="3" t="s">
        <v>73938</v>
      </c>
      <c r="I15235" s="3" t="s">
        <v>76912</v>
      </c>
      <c r="J15235" s="3" t="s">
        <v>76913</v>
      </c>
      <c r="K15235" s="3" t="s">
        <v>76914</v>
      </c>
      <c r="L15235" s="3" t="s">
        <v>76915</v>
      </c>
      <c r="M15235" s="4"/>
      <c r="N15235" s="3" t="s">
        <v>37</v>
      </c>
      <c r="O15235" s="3" t="s">
        <v>38</v>
      </c>
      <c r="P15235" s="5">
        <v>11</v>
      </c>
      <c r="Q15235" s="5">
        <v>171</v>
      </c>
      <c r="R15235" s="5">
        <v>11</v>
      </c>
      <c r="S15235" s="5">
        <v>155</v>
      </c>
    </row>
    <row r="15236" spans="1:19" ht="28" x14ac:dyDescent="0.15">
      <c r="A15236" s="2">
        <f>HYPERLINK("https://open-school.uspishnemisto.com.ua/school/710584/", 710584)</f>
        <v>710584</v>
      </c>
      <c r="B15236" s="3" t="s">
        <v>76916</v>
      </c>
      <c r="C15236" s="3" t="s">
        <v>31</v>
      </c>
      <c r="D15236" s="3" t="s">
        <v>32</v>
      </c>
      <c r="E15236" s="4" t="s">
        <v>22</v>
      </c>
      <c r="F15236" s="4" t="s">
        <v>76917</v>
      </c>
      <c r="G15236" s="4" t="s">
        <v>76918</v>
      </c>
      <c r="H15236" s="3" t="s">
        <v>73938</v>
      </c>
      <c r="I15236" s="3" t="s">
        <v>76919</v>
      </c>
      <c r="J15236" s="3" t="s">
        <v>76920</v>
      </c>
      <c r="K15236" s="3" t="s">
        <v>76921</v>
      </c>
      <c r="L15236" s="3" t="s">
        <v>76922</v>
      </c>
      <c r="M15236" s="4"/>
      <c r="N15236" s="3" t="s">
        <v>37</v>
      </c>
      <c r="O15236" s="3" t="s">
        <v>38</v>
      </c>
      <c r="P15236" s="5">
        <v>11</v>
      </c>
      <c r="Q15236" s="5">
        <v>87</v>
      </c>
      <c r="R15236" s="5">
        <v>11</v>
      </c>
      <c r="S15236" s="5">
        <v>86</v>
      </c>
    </row>
    <row r="15237" spans="1:19" ht="42" x14ac:dyDescent="0.15">
      <c r="A15237" s="2">
        <f>HYPERLINK("https://open-school.uspishnemisto.com.ua/school/710585/", 710585)</f>
        <v>710585</v>
      </c>
      <c r="B15237" s="3" t="s">
        <v>76923</v>
      </c>
      <c r="C15237" s="3" t="s">
        <v>54</v>
      </c>
      <c r="D15237" s="3" t="s">
        <v>175</v>
      </c>
      <c r="E15237" s="4" t="s">
        <v>22</v>
      </c>
      <c r="F15237" s="4" t="s">
        <v>76924</v>
      </c>
      <c r="G15237" s="4" t="s">
        <v>76925</v>
      </c>
      <c r="H15237" s="3" t="s">
        <v>73938</v>
      </c>
      <c r="I15237" s="3" t="s">
        <v>46850</v>
      </c>
      <c r="J15237" s="3" t="s">
        <v>76926</v>
      </c>
      <c r="K15237" s="3" t="s">
        <v>76927</v>
      </c>
      <c r="L15237" s="3"/>
      <c r="M15237" s="4"/>
      <c r="N15237" s="3" t="s">
        <v>37</v>
      </c>
      <c r="O15237" s="3" t="s">
        <v>38</v>
      </c>
      <c r="P15237" s="5">
        <v>9</v>
      </c>
      <c r="Q15237" s="5">
        <v>58</v>
      </c>
      <c r="R15237" s="5">
        <v>9</v>
      </c>
      <c r="S15237" s="5">
        <v>63</v>
      </c>
    </row>
    <row r="15238" spans="1:19" ht="56" x14ac:dyDescent="0.15">
      <c r="A15238" s="2">
        <f>HYPERLINK("https://open-school.uspishnemisto.com.ua/school/710586/", 710586)</f>
        <v>710586</v>
      </c>
      <c r="B15238" s="3" t="s">
        <v>76928</v>
      </c>
      <c r="C15238" s="3" t="s">
        <v>54</v>
      </c>
      <c r="D15238" s="3" t="s">
        <v>32</v>
      </c>
      <c r="E15238" s="4" t="s">
        <v>22</v>
      </c>
      <c r="F15238" s="4" t="s">
        <v>76929</v>
      </c>
      <c r="G15238" s="4" t="s">
        <v>76930</v>
      </c>
      <c r="H15238" s="3" t="s">
        <v>73938</v>
      </c>
      <c r="I15238" s="3" t="s">
        <v>34775</v>
      </c>
      <c r="J15238" s="3" t="s">
        <v>12690</v>
      </c>
      <c r="K15238" s="3" t="s">
        <v>76931</v>
      </c>
      <c r="L15238" s="3" t="s">
        <v>76932</v>
      </c>
      <c r="M15238" s="4"/>
      <c r="N15238" s="3" t="s">
        <v>37</v>
      </c>
      <c r="O15238" s="3" t="s">
        <v>38</v>
      </c>
      <c r="P15238" s="5">
        <v>10</v>
      </c>
      <c r="Q15238" s="5">
        <v>83</v>
      </c>
      <c r="R15238" s="5">
        <v>10</v>
      </c>
      <c r="S15238" s="5">
        <v>85</v>
      </c>
    </row>
    <row r="15239" spans="1:19" ht="42" x14ac:dyDescent="0.15">
      <c r="A15239" s="2">
        <f>HYPERLINK("https://open-school.uspishnemisto.com.ua/school/710587/", 710587)</f>
        <v>710587</v>
      </c>
      <c r="B15239" s="3" t="s">
        <v>76933</v>
      </c>
      <c r="C15239" s="3" t="s">
        <v>54</v>
      </c>
      <c r="D15239" s="3" t="s">
        <v>175</v>
      </c>
      <c r="E15239" s="4" t="s">
        <v>22</v>
      </c>
      <c r="F15239" s="4" t="s">
        <v>76934</v>
      </c>
      <c r="G15239" s="4" t="s">
        <v>76935</v>
      </c>
      <c r="H15239" s="3" t="s">
        <v>73938</v>
      </c>
      <c r="I15239" s="3" t="s">
        <v>24998</v>
      </c>
      <c r="J15239" s="3" t="s">
        <v>20228</v>
      </c>
      <c r="K15239" s="3" t="s">
        <v>76936</v>
      </c>
      <c r="L15239" s="3" t="s">
        <v>76937</v>
      </c>
      <c r="M15239" s="4"/>
      <c r="N15239" s="3" t="s">
        <v>37</v>
      </c>
      <c r="O15239" s="3" t="s">
        <v>46</v>
      </c>
      <c r="P15239" s="5">
        <v>3</v>
      </c>
      <c r="Q15239" s="5">
        <v>31</v>
      </c>
      <c r="R15239" s="5">
        <v>5</v>
      </c>
      <c r="S15239" s="5">
        <v>40</v>
      </c>
    </row>
    <row r="15240" spans="1:19" ht="42" x14ac:dyDescent="0.15">
      <c r="A15240" s="2">
        <f>HYPERLINK("https://open-school.uspishnemisto.com.ua/school/710588/", 710588)</f>
        <v>710588</v>
      </c>
      <c r="B15240" s="3" t="s">
        <v>76938</v>
      </c>
      <c r="C15240" s="3" t="s">
        <v>31</v>
      </c>
      <c r="D15240" s="3" t="s">
        <v>32</v>
      </c>
      <c r="E15240" s="4" t="s">
        <v>22</v>
      </c>
      <c r="F15240" s="4" t="s">
        <v>76939</v>
      </c>
      <c r="G15240" s="4" t="s">
        <v>76940</v>
      </c>
      <c r="H15240" s="3" t="s">
        <v>73938</v>
      </c>
      <c r="I15240" s="3" t="s">
        <v>66743</v>
      </c>
      <c r="J15240" s="3" t="s">
        <v>76941</v>
      </c>
      <c r="K15240" s="3" t="s">
        <v>76942</v>
      </c>
      <c r="L15240" s="3" t="s">
        <v>76943</v>
      </c>
      <c r="M15240" s="4"/>
      <c r="N15240" s="3" t="s">
        <v>37</v>
      </c>
      <c r="O15240" s="3" t="s">
        <v>38</v>
      </c>
      <c r="P15240" s="5">
        <v>11</v>
      </c>
      <c r="Q15240" s="5">
        <v>159</v>
      </c>
      <c r="R15240" s="5">
        <v>11</v>
      </c>
      <c r="S15240" s="5">
        <v>147</v>
      </c>
    </row>
    <row r="15241" spans="1:19" ht="42" x14ac:dyDescent="0.15">
      <c r="A15241" s="2">
        <f>HYPERLINK("https://open-school.uspishnemisto.com.ua/school/710589/", 710589)</f>
        <v>710589</v>
      </c>
      <c r="B15241" s="3" t="s">
        <v>76944</v>
      </c>
      <c r="C15241" s="3" t="s">
        <v>54</v>
      </c>
      <c r="D15241" s="3" t="s">
        <v>60</v>
      </c>
      <c r="E15241" s="4" t="s">
        <v>22</v>
      </c>
      <c r="F15241" s="4" t="s">
        <v>76945</v>
      </c>
      <c r="G15241" s="4" t="s">
        <v>76946</v>
      </c>
      <c r="H15241" s="3" t="s">
        <v>73938</v>
      </c>
      <c r="I15241" s="3" t="s">
        <v>8409</v>
      </c>
      <c r="J15241" s="3" t="s">
        <v>76947</v>
      </c>
      <c r="K15241" s="3" t="s">
        <v>76948</v>
      </c>
      <c r="L15241" s="3"/>
      <c r="M15241" s="4"/>
      <c r="N15241" s="3" t="s">
        <v>37</v>
      </c>
      <c r="O15241" s="3" t="s">
        <v>52</v>
      </c>
      <c r="P15241" s="5">
        <v>2</v>
      </c>
      <c r="Q15241" s="5">
        <v>19</v>
      </c>
      <c r="R15241" s="5">
        <v>3</v>
      </c>
      <c r="S15241" s="5">
        <v>13</v>
      </c>
    </row>
    <row r="15242" spans="1:19" ht="28" x14ac:dyDescent="0.15">
      <c r="A15242" s="2">
        <f>HYPERLINK("https://open-school.uspishnemisto.com.ua/school/710590/", 710590)</f>
        <v>710590</v>
      </c>
      <c r="B15242" s="3" t="s">
        <v>76949</v>
      </c>
      <c r="C15242" s="3" t="s">
        <v>31</v>
      </c>
      <c r="D15242" s="3" t="s">
        <v>32</v>
      </c>
      <c r="E15242" s="4" t="s">
        <v>22</v>
      </c>
      <c r="F15242" s="4" t="s">
        <v>76950</v>
      </c>
      <c r="G15242" s="4" t="s">
        <v>76951</v>
      </c>
      <c r="H15242" s="3" t="s">
        <v>73938</v>
      </c>
      <c r="I15242" s="3" t="s">
        <v>76952</v>
      </c>
      <c r="J15242" s="3" t="s">
        <v>26366</v>
      </c>
      <c r="K15242" s="3" t="s">
        <v>76953</v>
      </c>
      <c r="L15242" s="3" t="s">
        <v>76954</v>
      </c>
      <c r="M15242" s="4"/>
      <c r="N15242" s="3" t="s">
        <v>37</v>
      </c>
      <c r="O15242" s="3" t="s">
        <v>38</v>
      </c>
      <c r="P15242" s="5">
        <v>11</v>
      </c>
      <c r="Q15242" s="5">
        <v>173</v>
      </c>
      <c r="R15242" s="5">
        <v>11</v>
      </c>
      <c r="S15242" s="5">
        <v>170</v>
      </c>
    </row>
    <row r="15243" spans="1:19" ht="42" x14ac:dyDescent="0.15">
      <c r="A15243" s="2">
        <f>HYPERLINK("https://open-school.uspishnemisto.com.ua/school/710591/", 710591)</f>
        <v>710591</v>
      </c>
      <c r="B15243" s="3" t="s">
        <v>76955</v>
      </c>
      <c r="C15243" s="3" t="s">
        <v>54</v>
      </c>
      <c r="D15243" s="3" t="s">
        <v>175</v>
      </c>
      <c r="E15243" s="4" t="s">
        <v>22</v>
      </c>
      <c r="F15243" s="4" t="s">
        <v>76956</v>
      </c>
      <c r="G15243" s="4" t="s">
        <v>76957</v>
      </c>
      <c r="H15243" s="3" t="s">
        <v>73938</v>
      </c>
      <c r="I15243" s="3" t="s">
        <v>76958</v>
      </c>
      <c r="J15243" s="3" t="s">
        <v>50722</v>
      </c>
      <c r="K15243" s="3" t="s">
        <v>76959</v>
      </c>
      <c r="L15243" s="3"/>
      <c r="M15243" s="4"/>
      <c r="N15243" s="3" t="s">
        <v>37</v>
      </c>
      <c r="O15243" s="3" t="s">
        <v>38</v>
      </c>
      <c r="P15243" s="5">
        <v>8</v>
      </c>
      <c r="Q15243" s="5">
        <v>62</v>
      </c>
      <c r="R15243" s="5">
        <v>8</v>
      </c>
      <c r="S15243" s="5">
        <v>62</v>
      </c>
    </row>
    <row r="15244" spans="1:19" ht="42" x14ac:dyDescent="0.15">
      <c r="A15244" s="2">
        <f>HYPERLINK("https://open-school.uspishnemisto.com.ua/school/710592/", 710592)</f>
        <v>710592</v>
      </c>
      <c r="B15244" s="3" t="s">
        <v>76960</v>
      </c>
      <c r="C15244" s="3" t="s">
        <v>54</v>
      </c>
      <c r="D15244" s="3" t="s">
        <v>32</v>
      </c>
      <c r="E15244" s="4" t="s">
        <v>22</v>
      </c>
      <c r="F15244" s="4" t="s">
        <v>76961</v>
      </c>
      <c r="G15244" s="4" t="s">
        <v>76962</v>
      </c>
      <c r="H15244" s="3" t="s">
        <v>73938</v>
      </c>
      <c r="I15244" s="3" t="s">
        <v>74927</v>
      </c>
      <c r="J15244" s="3" t="s">
        <v>946</v>
      </c>
      <c r="K15244" s="3" t="s">
        <v>76963</v>
      </c>
      <c r="L15244" s="3" t="s">
        <v>76964</v>
      </c>
      <c r="M15244" s="4"/>
      <c r="N15244" s="3" t="s">
        <v>37</v>
      </c>
      <c r="O15244" s="3" t="s">
        <v>38</v>
      </c>
      <c r="P15244" s="5">
        <v>11</v>
      </c>
      <c r="Q15244" s="5">
        <v>106</v>
      </c>
      <c r="R15244" s="5">
        <v>11</v>
      </c>
      <c r="S15244" s="5">
        <v>123</v>
      </c>
    </row>
    <row r="15245" spans="1:19" ht="28" x14ac:dyDescent="0.15">
      <c r="A15245" s="2">
        <f>HYPERLINK("https://open-school.uspishnemisto.com.ua/school/710593/", 710593)</f>
        <v>710593</v>
      </c>
      <c r="B15245" s="3" t="s">
        <v>76965</v>
      </c>
      <c r="C15245" s="3" t="s">
        <v>31</v>
      </c>
      <c r="D15245" s="3" t="s">
        <v>60</v>
      </c>
      <c r="E15245" s="4" t="s">
        <v>22</v>
      </c>
      <c r="F15245" s="4" t="s">
        <v>76966</v>
      </c>
      <c r="G15245" s="4" t="s">
        <v>76967</v>
      </c>
      <c r="H15245" s="3" t="s">
        <v>73938</v>
      </c>
      <c r="I15245" s="3" t="s">
        <v>76968</v>
      </c>
      <c r="J15245" s="3" t="s">
        <v>466</v>
      </c>
      <c r="K15245" s="3" t="s">
        <v>76969</v>
      </c>
      <c r="L15245" s="3"/>
      <c r="M15245" s="4"/>
      <c r="N15245" s="3" t="s">
        <v>37</v>
      </c>
      <c r="O15245" s="3" t="s">
        <v>52</v>
      </c>
      <c r="P15245" s="5">
        <v>3</v>
      </c>
      <c r="Q15245" s="5">
        <v>20</v>
      </c>
      <c r="R15245" s="5">
        <v>3</v>
      </c>
      <c r="S15245" s="5">
        <v>17</v>
      </c>
    </row>
    <row r="15246" spans="1:19" ht="28" x14ac:dyDescent="0.15">
      <c r="A15246" s="2">
        <f>HYPERLINK("https://open-school.uspishnemisto.com.ua/school/710594/", 710594)</f>
        <v>710594</v>
      </c>
      <c r="B15246" s="3" t="s">
        <v>76970</v>
      </c>
      <c r="C15246" s="3" t="s">
        <v>31</v>
      </c>
      <c r="D15246" s="3" t="s">
        <v>32</v>
      </c>
      <c r="E15246" s="4" t="s">
        <v>22</v>
      </c>
      <c r="F15246" s="4" t="s">
        <v>76971</v>
      </c>
      <c r="G15246" s="4" t="s">
        <v>76972</v>
      </c>
      <c r="H15246" s="3" t="s">
        <v>73938</v>
      </c>
      <c r="I15246" s="3" t="s">
        <v>76973</v>
      </c>
      <c r="J15246" s="3" t="s">
        <v>76974</v>
      </c>
      <c r="K15246" s="3" t="s">
        <v>76975</v>
      </c>
      <c r="L15246" s="3" t="s">
        <v>76976</v>
      </c>
      <c r="M15246" s="4"/>
      <c r="N15246" s="3" t="s">
        <v>37</v>
      </c>
      <c r="O15246" s="3" t="s">
        <v>38</v>
      </c>
      <c r="P15246" s="5">
        <v>11</v>
      </c>
      <c r="Q15246" s="5">
        <v>154</v>
      </c>
      <c r="R15246" s="5">
        <v>11</v>
      </c>
      <c r="S15246" s="5">
        <v>157</v>
      </c>
    </row>
    <row r="15247" spans="1:19" ht="42" x14ac:dyDescent="0.15">
      <c r="A15247" s="2">
        <f>HYPERLINK("https://open-school.uspishnemisto.com.ua/school/710595/", 710595)</f>
        <v>710595</v>
      </c>
      <c r="B15247" s="3" t="s">
        <v>76977</v>
      </c>
      <c r="C15247" s="3" t="s">
        <v>54</v>
      </c>
      <c r="D15247" s="3" t="s">
        <v>60</v>
      </c>
      <c r="E15247" s="4" t="s">
        <v>22</v>
      </c>
      <c r="F15247" s="4" t="s">
        <v>76978</v>
      </c>
      <c r="G15247" s="4" t="s">
        <v>76979</v>
      </c>
      <c r="H15247" s="3" t="s">
        <v>73938</v>
      </c>
      <c r="I15247" s="3" t="s">
        <v>76980</v>
      </c>
      <c r="J15247" s="3" t="s">
        <v>39768</v>
      </c>
      <c r="K15247" s="3" t="s">
        <v>76981</v>
      </c>
      <c r="L15247" s="3"/>
      <c r="M15247" s="4"/>
      <c r="N15247" s="3" t="s">
        <v>37</v>
      </c>
      <c r="O15247" s="3" t="s">
        <v>52</v>
      </c>
      <c r="P15247" s="5">
        <v>2</v>
      </c>
      <c r="Q15247" s="5">
        <v>11</v>
      </c>
      <c r="R15247" s="5">
        <v>7</v>
      </c>
      <c r="S15247" s="5">
        <v>39</v>
      </c>
    </row>
    <row r="15248" spans="1:19" ht="42" x14ac:dyDescent="0.15">
      <c r="A15248" s="2">
        <f>HYPERLINK("https://open-school.uspishnemisto.com.ua/school/710596/", 710596)</f>
        <v>710596</v>
      </c>
      <c r="B15248" s="3" t="s">
        <v>76982</v>
      </c>
      <c r="C15248" s="3" t="s">
        <v>54</v>
      </c>
      <c r="D15248" s="3" t="s">
        <v>32</v>
      </c>
      <c r="E15248" s="4" t="s">
        <v>22</v>
      </c>
      <c r="F15248" s="4" t="s">
        <v>76983</v>
      </c>
      <c r="G15248" s="4" t="s">
        <v>76984</v>
      </c>
      <c r="H15248" s="3" t="s">
        <v>73938</v>
      </c>
      <c r="I15248" s="3" t="s">
        <v>76985</v>
      </c>
      <c r="J15248" s="3" t="s">
        <v>76986</v>
      </c>
      <c r="K15248" s="3" t="s">
        <v>76987</v>
      </c>
      <c r="L15248" s="3"/>
      <c r="M15248" s="4"/>
      <c r="N15248" s="3" t="s">
        <v>37</v>
      </c>
      <c r="O15248" s="3" t="s">
        <v>38</v>
      </c>
      <c r="P15248" s="5">
        <v>11</v>
      </c>
      <c r="Q15248" s="5">
        <v>127</v>
      </c>
      <c r="R15248" s="5">
        <v>11</v>
      </c>
      <c r="S15248" s="5">
        <v>128</v>
      </c>
    </row>
    <row r="15249" spans="1:19" ht="28" x14ac:dyDescent="0.15">
      <c r="A15249" s="2">
        <f>HYPERLINK("https://open-school.uspishnemisto.com.ua/school/710597/", 710597)</f>
        <v>710597</v>
      </c>
      <c r="B15249" s="3" t="s">
        <v>76988</v>
      </c>
      <c r="C15249" s="3" t="s">
        <v>31</v>
      </c>
      <c r="D15249" s="3" t="s">
        <v>32</v>
      </c>
      <c r="E15249" s="4" t="s">
        <v>22</v>
      </c>
      <c r="F15249" s="4" t="s">
        <v>76989</v>
      </c>
      <c r="G15249" s="4" t="s">
        <v>76990</v>
      </c>
      <c r="H15249" s="3" t="s">
        <v>73938</v>
      </c>
      <c r="I15249" s="3" t="s">
        <v>76991</v>
      </c>
      <c r="J15249" s="3" t="s">
        <v>32968</v>
      </c>
      <c r="K15249" s="3" t="s">
        <v>76992</v>
      </c>
      <c r="L15249" s="3"/>
      <c r="M15249" s="4"/>
      <c r="N15249" s="3" t="s">
        <v>37</v>
      </c>
      <c r="O15249" s="3" t="s">
        <v>721</v>
      </c>
      <c r="P15249" s="5">
        <v>22</v>
      </c>
      <c r="Q15249" s="5">
        <v>522</v>
      </c>
      <c r="R15249" s="5">
        <v>22</v>
      </c>
      <c r="S15249" s="5">
        <v>509</v>
      </c>
    </row>
    <row r="15250" spans="1:19" ht="28" x14ac:dyDescent="0.15">
      <c r="A15250" s="2">
        <f>HYPERLINK("https://open-school.uspishnemisto.com.ua/school/710598/", 710598)</f>
        <v>710598</v>
      </c>
      <c r="B15250" s="3" t="s">
        <v>76993</v>
      </c>
      <c r="C15250" s="3" t="s">
        <v>31</v>
      </c>
      <c r="D15250" s="3" t="s">
        <v>32</v>
      </c>
      <c r="E15250" s="4" t="s">
        <v>22</v>
      </c>
      <c r="F15250" s="4" t="s">
        <v>76989</v>
      </c>
      <c r="G15250" s="4" t="s">
        <v>76990</v>
      </c>
      <c r="H15250" s="3" t="s">
        <v>73938</v>
      </c>
      <c r="I15250" s="3" t="s">
        <v>76991</v>
      </c>
      <c r="J15250" s="3" t="s">
        <v>76994</v>
      </c>
      <c r="K15250" s="3" t="s">
        <v>76995</v>
      </c>
      <c r="L15250" s="3" t="s">
        <v>76996</v>
      </c>
      <c r="M15250" s="4"/>
      <c r="N15250" s="3" t="s">
        <v>37</v>
      </c>
      <c r="O15250" s="3" t="s">
        <v>52</v>
      </c>
      <c r="P15250" s="5">
        <v>11</v>
      </c>
      <c r="Q15250" s="5">
        <v>204</v>
      </c>
      <c r="R15250" s="5">
        <v>11</v>
      </c>
      <c r="S15250" s="5">
        <v>187</v>
      </c>
    </row>
    <row r="15251" spans="1:19" ht="28" x14ac:dyDescent="0.15">
      <c r="A15251" s="2">
        <f>HYPERLINK("https://open-school.uspishnemisto.com.ua/school/710599/", 710599)</f>
        <v>710599</v>
      </c>
      <c r="B15251" s="3" t="s">
        <v>76997</v>
      </c>
      <c r="C15251" s="3" t="s">
        <v>181</v>
      </c>
      <c r="D15251" s="3" t="s">
        <v>175</v>
      </c>
      <c r="E15251" s="4" t="s">
        <v>22</v>
      </c>
      <c r="F15251" s="4" t="s">
        <v>76989</v>
      </c>
      <c r="G15251" s="4" t="s">
        <v>76990</v>
      </c>
      <c r="H15251" s="3" t="s">
        <v>73938</v>
      </c>
      <c r="I15251" s="3" t="s">
        <v>76991</v>
      </c>
      <c r="J15251" s="3" t="s">
        <v>53636</v>
      </c>
      <c r="K15251" s="3" t="s">
        <v>76998</v>
      </c>
      <c r="L15251" s="3"/>
      <c r="M15251" s="4" t="s">
        <v>76999</v>
      </c>
      <c r="N15251" s="3" t="s">
        <v>37</v>
      </c>
      <c r="O15251" s="3" t="s">
        <v>52</v>
      </c>
      <c r="P15251" s="5">
        <v>13</v>
      </c>
      <c r="Q15251" s="5">
        <v>139</v>
      </c>
      <c r="R15251" s="5">
        <v>13</v>
      </c>
      <c r="S15251" s="5">
        <v>140</v>
      </c>
    </row>
    <row r="15252" spans="1:19" ht="42" x14ac:dyDescent="0.15">
      <c r="A15252" s="2">
        <f>HYPERLINK("https://open-school.uspishnemisto.com.ua/school/710600/", 710600)</f>
        <v>710600</v>
      </c>
      <c r="B15252" s="3" t="s">
        <v>77000</v>
      </c>
      <c r="C15252" s="3" t="s">
        <v>7651</v>
      </c>
      <c r="D15252" s="3" t="s">
        <v>32</v>
      </c>
      <c r="E15252" s="4" t="s">
        <v>22</v>
      </c>
      <c r="F15252" s="4" t="s">
        <v>76989</v>
      </c>
      <c r="G15252" s="4" t="s">
        <v>76990</v>
      </c>
      <c r="H15252" s="3" t="s">
        <v>73938</v>
      </c>
      <c r="I15252" s="3" t="s">
        <v>76991</v>
      </c>
      <c r="J15252" s="3" t="s">
        <v>77001</v>
      </c>
      <c r="K15252" s="3" t="s">
        <v>77002</v>
      </c>
      <c r="L15252" s="3" t="s">
        <v>77003</v>
      </c>
      <c r="M15252" s="4"/>
      <c r="N15252" s="3"/>
      <c r="O15252" s="3"/>
      <c r="P15252" s="5">
        <v>0</v>
      </c>
      <c r="Q15252" s="5">
        <v>0</v>
      </c>
      <c r="R15252" s="5"/>
      <c r="S15252" s="5"/>
    </row>
    <row r="15253" spans="1:19" ht="42" x14ac:dyDescent="0.15">
      <c r="A15253" s="2">
        <f>HYPERLINK("https://open-school.uspishnemisto.com.ua/school/710601/", 710601)</f>
        <v>710601</v>
      </c>
      <c r="B15253" s="3" t="s">
        <v>77004</v>
      </c>
      <c r="C15253" s="3" t="s">
        <v>31</v>
      </c>
      <c r="D15253" s="3" t="s">
        <v>32</v>
      </c>
      <c r="E15253" s="4" t="s">
        <v>22</v>
      </c>
      <c r="F15253" s="4" t="s">
        <v>76989</v>
      </c>
      <c r="G15253" s="4" t="s">
        <v>76990</v>
      </c>
      <c r="H15253" s="3" t="s">
        <v>73938</v>
      </c>
      <c r="I15253" s="3" t="s">
        <v>76991</v>
      </c>
      <c r="J15253" s="3" t="s">
        <v>77005</v>
      </c>
      <c r="K15253" s="3" t="s">
        <v>77006</v>
      </c>
      <c r="L15253" s="3"/>
      <c r="M15253" s="4"/>
      <c r="N15253" s="3" t="s">
        <v>37</v>
      </c>
      <c r="O15253" s="3" t="s">
        <v>46</v>
      </c>
      <c r="P15253" s="5">
        <v>26</v>
      </c>
      <c r="Q15253" s="5">
        <v>523</v>
      </c>
      <c r="R15253" s="5">
        <v>24</v>
      </c>
      <c r="S15253" s="5">
        <v>524</v>
      </c>
    </row>
    <row r="15254" spans="1:19" ht="42" x14ac:dyDescent="0.15">
      <c r="A15254" s="2">
        <f>HYPERLINK("https://open-school.uspishnemisto.com.ua/school/710602/", 710602)</f>
        <v>710602</v>
      </c>
      <c r="B15254" s="3" t="s">
        <v>77007</v>
      </c>
      <c r="C15254" s="3" t="s">
        <v>31</v>
      </c>
      <c r="D15254" s="3" t="s">
        <v>32</v>
      </c>
      <c r="E15254" s="4" t="s">
        <v>22</v>
      </c>
      <c r="F15254" s="4" t="s">
        <v>76989</v>
      </c>
      <c r="G15254" s="4" t="s">
        <v>76990</v>
      </c>
      <c r="H15254" s="3" t="s">
        <v>73938</v>
      </c>
      <c r="I15254" s="3" t="s">
        <v>76991</v>
      </c>
      <c r="J15254" s="3" t="s">
        <v>3162</v>
      </c>
      <c r="K15254" s="3" t="s">
        <v>77008</v>
      </c>
      <c r="L15254" s="3"/>
      <c r="M15254" s="4"/>
      <c r="N15254" s="3" t="s">
        <v>37</v>
      </c>
      <c r="O15254" s="3" t="s">
        <v>2740</v>
      </c>
      <c r="P15254" s="5">
        <v>25</v>
      </c>
      <c r="Q15254" s="5">
        <v>541</v>
      </c>
      <c r="R15254" s="5">
        <v>25</v>
      </c>
      <c r="S15254" s="5">
        <v>547</v>
      </c>
    </row>
    <row r="15255" spans="1:19" ht="42" x14ac:dyDescent="0.15">
      <c r="A15255" s="2">
        <f>HYPERLINK("https://open-school.uspishnemisto.com.ua/school/710603/", 710603)</f>
        <v>710603</v>
      </c>
      <c r="B15255" s="3" t="s">
        <v>77009</v>
      </c>
      <c r="C15255" s="3" t="s">
        <v>54</v>
      </c>
      <c r="D15255" s="3" t="s">
        <v>175</v>
      </c>
      <c r="E15255" s="4" t="s">
        <v>22</v>
      </c>
      <c r="F15255" s="4" t="s">
        <v>77010</v>
      </c>
      <c r="G15255" s="4" t="s">
        <v>77011</v>
      </c>
      <c r="H15255" s="3" t="s">
        <v>73938</v>
      </c>
      <c r="I15255" s="3" t="s">
        <v>3481</v>
      </c>
      <c r="J15255" s="3" t="s">
        <v>466</v>
      </c>
      <c r="K15255" s="3" t="s">
        <v>77012</v>
      </c>
      <c r="L15255" s="3"/>
      <c r="M15255" s="4"/>
      <c r="N15255" s="3" t="s">
        <v>37</v>
      </c>
      <c r="O15255" s="3" t="s">
        <v>38</v>
      </c>
      <c r="P15255" s="5">
        <v>2</v>
      </c>
      <c r="Q15255" s="5">
        <v>26</v>
      </c>
      <c r="R15255" s="5">
        <v>4</v>
      </c>
      <c r="S15255" s="5">
        <v>41</v>
      </c>
    </row>
    <row r="15256" spans="1:19" ht="42" x14ac:dyDescent="0.15">
      <c r="A15256" s="2">
        <f>HYPERLINK("https://open-school.uspishnemisto.com.ua/school/710604/", 710604)</f>
        <v>710604</v>
      </c>
      <c r="B15256" s="3" t="s">
        <v>77013</v>
      </c>
      <c r="C15256" s="3" t="s">
        <v>54</v>
      </c>
      <c r="D15256" s="3" t="s">
        <v>60</v>
      </c>
      <c r="E15256" s="4" t="s">
        <v>22</v>
      </c>
      <c r="F15256" s="4" t="s">
        <v>77014</v>
      </c>
      <c r="G15256" s="4" t="s">
        <v>77015</v>
      </c>
      <c r="H15256" s="3" t="s">
        <v>73938</v>
      </c>
      <c r="I15256" s="3" t="s">
        <v>32642</v>
      </c>
      <c r="J15256" s="3" t="s">
        <v>30908</v>
      </c>
      <c r="K15256" s="3" t="s">
        <v>77016</v>
      </c>
      <c r="L15256" s="3"/>
      <c r="M15256" s="4"/>
      <c r="N15256" s="3" t="s">
        <v>37</v>
      </c>
      <c r="O15256" s="3" t="s">
        <v>52</v>
      </c>
      <c r="P15256" s="5">
        <v>1</v>
      </c>
      <c r="Q15256" s="5">
        <v>7</v>
      </c>
      <c r="R15256" s="5">
        <v>1</v>
      </c>
      <c r="S15256" s="5">
        <v>6</v>
      </c>
    </row>
    <row r="15257" spans="1:19" ht="42" x14ac:dyDescent="0.15">
      <c r="A15257" s="2">
        <f>HYPERLINK("https://open-school.uspishnemisto.com.ua/school/710605/", 710605)</f>
        <v>710605</v>
      </c>
      <c r="B15257" s="3" t="s">
        <v>77017</v>
      </c>
      <c r="C15257" s="3" t="s">
        <v>54</v>
      </c>
      <c r="D15257" s="3" t="s">
        <v>32</v>
      </c>
      <c r="E15257" s="4" t="s">
        <v>22</v>
      </c>
      <c r="F15257" s="4" t="s">
        <v>77018</v>
      </c>
      <c r="G15257" s="4" t="s">
        <v>77019</v>
      </c>
      <c r="H15257" s="3" t="s">
        <v>73938</v>
      </c>
      <c r="I15257" s="3" t="s">
        <v>30796</v>
      </c>
      <c r="J15257" s="3" t="s">
        <v>77020</v>
      </c>
      <c r="K15257" s="3" t="s">
        <v>77021</v>
      </c>
      <c r="L15257" s="3" t="s">
        <v>77022</v>
      </c>
      <c r="M15257" s="4"/>
      <c r="N15257" s="3" t="s">
        <v>37</v>
      </c>
      <c r="O15257" s="3" t="s">
        <v>38</v>
      </c>
      <c r="P15257" s="5">
        <v>10</v>
      </c>
      <c r="Q15257" s="5">
        <v>131</v>
      </c>
      <c r="R15257" s="5">
        <v>11</v>
      </c>
      <c r="S15257" s="5">
        <v>138</v>
      </c>
    </row>
    <row r="15258" spans="1:19" ht="42" x14ac:dyDescent="0.15">
      <c r="A15258" s="2">
        <f>HYPERLINK("https://open-school.uspishnemisto.com.ua/school/710606/", 710606)</f>
        <v>710606</v>
      </c>
      <c r="B15258" s="3" t="s">
        <v>77023</v>
      </c>
      <c r="C15258" s="3" t="s">
        <v>54</v>
      </c>
      <c r="D15258" s="3" t="s">
        <v>32</v>
      </c>
      <c r="E15258" s="4" t="s">
        <v>22</v>
      </c>
      <c r="F15258" s="4" t="s">
        <v>77024</v>
      </c>
      <c r="G15258" s="4" t="s">
        <v>77025</v>
      </c>
      <c r="H15258" s="3" t="s">
        <v>73938</v>
      </c>
      <c r="I15258" s="3" t="s">
        <v>11147</v>
      </c>
      <c r="J15258" s="3" t="s">
        <v>466</v>
      </c>
      <c r="K15258" s="3" t="s">
        <v>77026</v>
      </c>
      <c r="L15258" s="3"/>
      <c r="M15258" s="4"/>
      <c r="N15258" s="3" t="s">
        <v>37</v>
      </c>
      <c r="O15258" s="3" t="s">
        <v>38</v>
      </c>
      <c r="P15258" s="5">
        <v>10</v>
      </c>
      <c r="Q15258" s="5">
        <v>87</v>
      </c>
      <c r="R15258" s="5">
        <v>10</v>
      </c>
      <c r="S15258" s="5">
        <v>80</v>
      </c>
    </row>
    <row r="15259" spans="1:19" ht="42" x14ac:dyDescent="0.15">
      <c r="A15259" s="2">
        <f>HYPERLINK("https://open-school.uspishnemisto.com.ua/school/710607/", 710607)</f>
        <v>710607</v>
      </c>
      <c r="B15259" s="3" t="s">
        <v>77027</v>
      </c>
      <c r="C15259" s="3" t="s">
        <v>54</v>
      </c>
      <c r="D15259" s="3" t="s">
        <v>32</v>
      </c>
      <c r="E15259" s="4" t="s">
        <v>22</v>
      </c>
      <c r="F15259" s="4" t="s">
        <v>77028</v>
      </c>
      <c r="G15259" s="4" t="s">
        <v>77029</v>
      </c>
      <c r="H15259" s="3" t="s">
        <v>73938</v>
      </c>
      <c r="I15259" s="3" t="s">
        <v>59720</v>
      </c>
      <c r="J15259" s="3" t="s">
        <v>77030</v>
      </c>
      <c r="K15259" s="3" t="s">
        <v>77031</v>
      </c>
      <c r="L15259" s="3"/>
      <c r="M15259" s="4"/>
      <c r="N15259" s="3" t="s">
        <v>37</v>
      </c>
      <c r="O15259" s="3" t="s">
        <v>38</v>
      </c>
      <c r="P15259" s="5">
        <v>11</v>
      </c>
      <c r="Q15259" s="5">
        <v>123</v>
      </c>
      <c r="R15259" s="5">
        <v>10</v>
      </c>
      <c r="S15259" s="5">
        <v>114</v>
      </c>
    </row>
    <row r="15260" spans="1:19" ht="28" x14ac:dyDescent="0.15">
      <c r="A15260" s="2">
        <f>HYPERLINK("https://open-school.uspishnemisto.com.ua/school/710608/", 710608)</f>
        <v>710608</v>
      </c>
      <c r="B15260" s="3" t="s">
        <v>77032</v>
      </c>
      <c r="C15260" s="3" t="s">
        <v>31</v>
      </c>
      <c r="D15260" s="3" t="s">
        <v>32</v>
      </c>
      <c r="E15260" s="4" t="s">
        <v>22</v>
      </c>
      <c r="F15260" s="4" t="s">
        <v>77033</v>
      </c>
      <c r="G15260" s="4" t="s">
        <v>77034</v>
      </c>
      <c r="H15260" s="3" t="s">
        <v>73938</v>
      </c>
      <c r="I15260" s="3" t="s">
        <v>77035</v>
      </c>
      <c r="J15260" s="3" t="s">
        <v>7166</v>
      </c>
      <c r="K15260" s="3" t="s">
        <v>77036</v>
      </c>
      <c r="L15260" s="3"/>
      <c r="M15260" s="4"/>
      <c r="N15260" s="3" t="s">
        <v>37</v>
      </c>
      <c r="O15260" s="3" t="s">
        <v>38</v>
      </c>
      <c r="P15260" s="5">
        <v>10</v>
      </c>
      <c r="Q15260" s="5">
        <v>85</v>
      </c>
      <c r="R15260" s="5">
        <v>10</v>
      </c>
      <c r="S15260" s="5">
        <v>86</v>
      </c>
    </row>
    <row r="15261" spans="1:19" ht="42" x14ac:dyDescent="0.15">
      <c r="A15261" s="2">
        <f>HYPERLINK("https://open-school.uspishnemisto.com.ua/school/710609/", 710609)</f>
        <v>710609</v>
      </c>
      <c r="B15261" s="3" t="s">
        <v>77037</v>
      </c>
      <c r="C15261" s="3" t="s">
        <v>54</v>
      </c>
      <c r="D15261" s="3" t="s">
        <v>175</v>
      </c>
      <c r="E15261" s="4" t="s">
        <v>22</v>
      </c>
      <c r="F15261" s="4" t="s">
        <v>77038</v>
      </c>
      <c r="G15261" s="4" t="s">
        <v>77039</v>
      </c>
      <c r="H15261" s="3" t="s">
        <v>73938</v>
      </c>
      <c r="I15261" s="3" t="s">
        <v>45886</v>
      </c>
      <c r="J15261" s="3" t="s">
        <v>77040</v>
      </c>
      <c r="K15261" s="3" t="s">
        <v>77041</v>
      </c>
      <c r="L15261" s="3"/>
      <c r="M15261" s="4"/>
      <c r="N15261" s="3" t="s">
        <v>37</v>
      </c>
      <c r="O15261" s="3" t="s">
        <v>38</v>
      </c>
      <c r="P15261" s="5">
        <v>3</v>
      </c>
      <c r="Q15261" s="5">
        <v>40</v>
      </c>
      <c r="R15261" s="5">
        <v>3</v>
      </c>
      <c r="S15261" s="5">
        <v>46</v>
      </c>
    </row>
    <row r="15262" spans="1:19" ht="42" x14ac:dyDescent="0.15">
      <c r="A15262" s="2">
        <f>HYPERLINK("https://open-school.uspishnemisto.com.ua/school/710610/", 710610)</f>
        <v>710610</v>
      </c>
      <c r="B15262" s="3" t="s">
        <v>77042</v>
      </c>
      <c r="C15262" s="3" t="s">
        <v>54</v>
      </c>
      <c r="D15262" s="3" t="s">
        <v>175</v>
      </c>
      <c r="E15262" s="4" t="s">
        <v>22</v>
      </c>
      <c r="F15262" s="4" t="s">
        <v>77043</v>
      </c>
      <c r="G15262" s="4" t="s">
        <v>77044</v>
      </c>
      <c r="H15262" s="3" t="s">
        <v>73938</v>
      </c>
      <c r="I15262" s="3" t="s">
        <v>34901</v>
      </c>
      <c r="J15262" s="3" t="s">
        <v>5264</v>
      </c>
      <c r="K15262" s="3" t="s">
        <v>77045</v>
      </c>
      <c r="L15262" s="3"/>
      <c r="M15262" s="4"/>
      <c r="N15262" s="3" t="s">
        <v>37</v>
      </c>
      <c r="O15262" s="3" t="s">
        <v>52</v>
      </c>
      <c r="P15262" s="5">
        <v>5</v>
      </c>
      <c r="Q15262" s="5">
        <v>56</v>
      </c>
      <c r="R15262" s="5">
        <v>5</v>
      </c>
      <c r="S15262" s="5">
        <v>54</v>
      </c>
    </row>
    <row r="15263" spans="1:19" ht="42" x14ac:dyDescent="0.15">
      <c r="A15263" s="2">
        <f>HYPERLINK("https://open-school.uspishnemisto.com.ua/school/710611/", 710611)</f>
        <v>710611</v>
      </c>
      <c r="B15263" s="3" t="s">
        <v>77046</v>
      </c>
      <c r="C15263" s="3" t="s">
        <v>54</v>
      </c>
      <c r="D15263" s="3" t="s">
        <v>175</v>
      </c>
      <c r="E15263" s="4" t="s">
        <v>22</v>
      </c>
      <c r="F15263" s="4" t="s">
        <v>77047</v>
      </c>
      <c r="G15263" s="4" t="s">
        <v>77048</v>
      </c>
      <c r="H15263" s="3" t="s">
        <v>73938</v>
      </c>
      <c r="I15263" s="3" t="s">
        <v>57990</v>
      </c>
      <c r="J15263" s="3" t="s">
        <v>77049</v>
      </c>
      <c r="K15263" s="3" t="s">
        <v>77050</v>
      </c>
      <c r="L15263" s="3"/>
      <c r="M15263" s="4"/>
      <c r="N15263" s="3" t="s">
        <v>37</v>
      </c>
      <c r="O15263" s="3" t="s">
        <v>52</v>
      </c>
      <c r="P15263" s="5">
        <v>9</v>
      </c>
      <c r="Q15263" s="5">
        <v>69</v>
      </c>
      <c r="R15263" s="5">
        <v>8</v>
      </c>
      <c r="S15263" s="5">
        <v>55</v>
      </c>
    </row>
    <row r="15264" spans="1:19" ht="42" x14ac:dyDescent="0.15">
      <c r="A15264" s="2">
        <f>HYPERLINK("https://open-school.uspishnemisto.com.ua/school/710612/", 710612)</f>
        <v>710612</v>
      </c>
      <c r="B15264" s="3" t="s">
        <v>77051</v>
      </c>
      <c r="C15264" s="3" t="s">
        <v>54</v>
      </c>
      <c r="D15264" s="3" t="s">
        <v>32</v>
      </c>
      <c r="E15264" s="4" t="s">
        <v>22</v>
      </c>
      <c r="F15264" s="4" t="s">
        <v>77052</v>
      </c>
      <c r="G15264" s="4" t="s">
        <v>77048</v>
      </c>
      <c r="H15264" s="3" t="s">
        <v>73938</v>
      </c>
      <c r="I15264" s="3" t="s">
        <v>57990</v>
      </c>
      <c r="J15264" s="3" t="s">
        <v>6167</v>
      </c>
      <c r="K15264" s="3"/>
      <c r="L15264" s="3"/>
      <c r="M15264" s="4"/>
      <c r="N15264" s="3" t="s">
        <v>37</v>
      </c>
      <c r="O15264" s="3" t="s">
        <v>38</v>
      </c>
      <c r="P15264" s="5">
        <v>10</v>
      </c>
      <c r="Q15264" s="5">
        <v>159</v>
      </c>
      <c r="R15264" s="5">
        <v>11</v>
      </c>
      <c r="S15264" s="5">
        <v>167</v>
      </c>
    </row>
    <row r="15265" spans="1:19" ht="42" x14ac:dyDescent="0.15">
      <c r="A15265" s="2">
        <f>HYPERLINK("https://open-school.uspishnemisto.com.ua/school/710613/", 710613)</f>
        <v>710613</v>
      </c>
      <c r="B15265" s="3" t="s">
        <v>77053</v>
      </c>
      <c r="C15265" s="3" t="s">
        <v>54</v>
      </c>
      <c r="D15265" s="3" t="s">
        <v>32</v>
      </c>
      <c r="E15265" s="4" t="s">
        <v>22</v>
      </c>
      <c r="F15265" s="4" t="s">
        <v>77047</v>
      </c>
      <c r="G15265" s="4" t="s">
        <v>77048</v>
      </c>
      <c r="H15265" s="3" t="s">
        <v>73938</v>
      </c>
      <c r="I15265" s="3" t="s">
        <v>57990</v>
      </c>
      <c r="J15265" s="3" t="s">
        <v>1588</v>
      </c>
      <c r="K15265" s="3" t="s">
        <v>77054</v>
      </c>
      <c r="L15265" s="3"/>
      <c r="M15265" s="4"/>
      <c r="N15265" s="3" t="s">
        <v>37</v>
      </c>
      <c r="O15265" s="3" t="s">
        <v>46</v>
      </c>
      <c r="P15265" s="5">
        <v>11</v>
      </c>
      <c r="Q15265" s="5">
        <v>110</v>
      </c>
      <c r="R15265" s="5">
        <v>11</v>
      </c>
      <c r="S15265" s="5">
        <v>108</v>
      </c>
    </row>
    <row r="15266" spans="1:19" ht="28" x14ac:dyDescent="0.15">
      <c r="A15266" s="2">
        <f>HYPERLINK("https://open-school.uspishnemisto.com.ua/school/710614/", 710614)</f>
        <v>710614</v>
      </c>
      <c r="B15266" s="3" t="s">
        <v>77055</v>
      </c>
      <c r="C15266" s="3" t="s">
        <v>31</v>
      </c>
      <c r="D15266" s="3" t="s">
        <v>32</v>
      </c>
      <c r="E15266" s="4" t="s">
        <v>22</v>
      </c>
      <c r="F15266" s="4"/>
      <c r="G15266" s="4" t="s">
        <v>77056</v>
      </c>
      <c r="H15266" s="3" t="s">
        <v>73938</v>
      </c>
      <c r="I15266" s="3" t="s">
        <v>52269</v>
      </c>
      <c r="J15266" s="3" t="s">
        <v>12836</v>
      </c>
      <c r="K15266" s="3" t="s">
        <v>77057</v>
      </c>
      <c r="L15266" s="3"/>
      <c r="M15266" s="4"/>
      <c r="N15266" s="3" t="s">
        <v>37</v>
      </c>
      <c r="O15266" s="3" t="s">
        <v>38</v>
      </c>
      <c r="P15266" s="5">
        <v>7</v>
      </c>
      <c r="Q15266" s="5">
        <v>61</v>
      </c>
      <c r="R15266" s="5">
        <v>9</v>
      </c>
      <c r="S15266" s="5">
        <v>62</v>
      </c>
    </row>
    <row r="15267" spans="1:19" ht="28" x14ac:dyDescent="0.15">
      <c r="A15267" s="2">
        <f>HYPERLINK("https://open-school.uspishnemisto.com.ua/school/710615/", 710615)</f>
        <v>710615</v>
      </c>
      <c r="B15267" s="3" t="s">
        <v>77058</v>
      </c>
      <c r="C15267" s="3" t="s">
        <v>31</v>
      </c>
      <c r="D15267" s="3" t="s">
        <v>32</v>
      </c>
      <c r="E15267" s="4" t="s">
        <v>22</v>
      </c>
      <c r="F15267" s="4" t="s">
        <v>77059</v>
      </c>
      <c r="G15267" s="4" t="s">
        <v>77060</v>
      </c>
      <c r="H15267" s="3" t="s">
        <v>73938</v>
      </c>
      <c r="I15267" s="3" t="s">
        <v>11416</v>
      </c>
      <c r="J15267" s="3" t="s">
        <v>946</v>
      </c>
      <c r="K15267" s="3" t="s">
        <v>77061</v>
      </c>
      <c r="L15267" s="3" t="s">
        <v>77062</v>
      </c>
      <c r="M15267" s="4"/>
      <c r="N15267" s="3" t="s">
        <v>37</v>
      </c>
      <c r="O15267" s="3" t="s">
        <v>70</v>
      </c>
      <c r="P15267" s="5">
        <v>11</v>
      </c>
      <c r="Q15267" s="5">
        <v>98</v>
      </c>
      <c r="R15267" s="5">
        <v>11</v>
      </c>
      <c r="S15267" s="5">
        <v>111</v>
      </c>
    </row>
    <row r="15268" spans="1:19" ht="42" x14ac:dyDescent="0.15">
      <c r="A15268" s="2">
        <f>HYPERLINK("https://open-school.uspishnemisto.com.ua/school/710616/", 710616)</f>
        <v>710616</v>
      </c>
      <c r="B15268" s="3" t="s">
        <v>77063</v>
      </c>
      <c r="C15268" s="3" t="s">
        <v>54</v>
      </c>
      <c r="D15268" s="3" t="s">
        <v>32</v>
      </c>
      <c r="E15268" s="4" t="s">
        <v>22</v>
      </c>
      <c r="F15268" s="4" t="s">
        <v>77064</v>
      </c>
      <c r="G15268" s="4" t="s">
        <v>77065</v>
      </c>
      <c r="H15268" s="3" t="s">
        <v>73938</v>
      </c>
      <c r="I15268" s="3" t="s">
        <v>440</v>
      </c>
      <c r="J15268" s="3" t="s">
        <v>16914</v>
      </c>
      <c r="K15268" s="3" t="s">
        <v>77066</v>
      </c>
      <c r="L15268" s="3"/>
      <c r="M15268" s="4"/>
      <c r="N15268" s="3" t="s">
        <v>37</v>
      </c>
      <c r="O15268" s="3" t="s">
        <v>52</v>
      </c>
      <c r="P15268" s="5">
        <v>10</v>
      </c>
      <c r="Q15268" s="5">
        <v>103</v>
      </c>
      <c r="R15268" s="5">
        <v>9</v>
      </c>
      <c r="S15268" s="5">
        <v>90</v>
      </c>
    </row>
    <row r="15269" spans="1:19" ht="42" x14ac:dyDescent="0.15">
      <c r="A15269" s="2">
        <f>HYPERLINK("https://open-school.uspishnemisto.com.ua/school/710617/", 710617)</f>
        <v>710617</v>
      </c>
      <c r="B15269" s="3" t="s">
        <v>77067</v>
      </c>
      <c r="C15269" s="3" t="s">
        <v>54</v>
      </c>
      <c r="D15269" s="3" t="s">
        <v>32</v>
      </c>
      <c r="E15269" s="4" t="s">
        <v>22</v>
      </c>
      <c r="F15269" s="4" t="s">
        <v>77068</v>
      </c>
      <c r="G15269" s="4" t="s">
        <v>77069</v>
      </c>
      <c r="H15269" s="3" t="s">
        <v>73938</v>
      </c>
      <c r="I15269" s="3" t="s">
        <v>77070</v>
      </c>
      <c r="J15269" s="3" t="s">
        <v>77071</v>
      </c>
      <c r="K15269" s="3" t="s">
        <v>77072</v>
      </c>
      <c r="L15269" s="3"/>
      <c r="M15269" s="4"/>
      <c r="N15269" s="3" t="s">
        <v>37</v>
      </c>
      <c r="O15269" s="3" t="s">
        <v>38</v>
      </c>
      <c r="P15269" s="5">
        <v>10</v>
      </c>
      <c r="Q15269" s="5">
        <v>100</v>
      </c>
      <c r="R15269" s="5">
        <v>11</v>
      </c>
      <c r="S15269" s="5">
        <v>104</v>
      </c>
    </row>
    <row r="15270" spans="1:19" ht="42" x14ac:dyDescent="0.15">
      <c r="A15270" s="2">
        <f>HYPERLINK("https://open-school.uspishnemisto.com.ua/school/710618/", 710618)</f>
        <v>710618</v>
      </c>
      <c r="B15270" s="3" t="s">
        <v>77073</v>
      </c>
      <c r="C15270" s="3" t="s">
        <v>54</v>
      </c>
      <c r="D15270" s="3" t="s">
        <v>32</v>
      </c>
      <c r="E15270" s="4" t="s">
        <v>22</v>
      </c>
      <c r="F15270" s="4" t="s">
        <v>77074</v>
      </c>
      <c r="G15270" s="4" t="s">
        <v>77069</v>
      </c>
      <c r="H15270" s="3" t="s">
        <v>73938</v>
      </c>
      <c r="I15270" s="3" t="s">
        <v>77070</v>
      </c>
      <c r="J15270" s="3" t="s">
        <v>77075</v>
      </c>
      <c r="K15270" s="3" t="s">
        <v>77076</v>
      </c>
      <c r="L15270" s="3"/>
      <c r="M15270" s="4"/>
      <c r="N15270" s="3" t="s">
        <v>37</v>
      </c>
      <c r="O15270" s="3" t="s">
        <v>38</v>
      </c>
      <c r="P15270" s="5">
        <v>11</v>
      </c>
      <c r="Q15270" s="5">
        <v>141</v>
      </c>
      <c r="R15270" s="5">
        <v>11</v>
      </c>
      <c r="S15270" s="5">
        <v>138</v>
      </c>
    </row>
    <row r="15271" spans="1:19" ht="42" x14ac:dyDescent="0.15">
      <c r="A15271" s="2">
        <f>HYPERLINK("https://open-school.uspishnemisto.com.ua/school/710619/", 710619)</f>
        <v>710619</v>
      </c>
      <c r="B15271" s="3" t="s">
        <v>77077</v>
      </c>
      <c r="C15271" s="3" t="s">
        <v>54</v>
      </c>
      <c r="D15271" s="3" t="s">
        <v>175</v>
      </c>
      <c r="E15271" s="4" t="s">
        <v>22</v>
      </c>
      <c r="F15271" s="4" t="s">
        <v>77078</v>
      </c>
      <c r="G15271" s="4" t="s">
        <v>77079</v>
      </c>
      <c r="H15271" s="3" t="s">
        <v>73938</v>
      </c>
      <c r="I15271" s="3" t="s">
        <v>77080</v>
      </c>
      <c r="J15271" s="3" t="s">
        <v>48154</v>
      </c>
      <c r="K15271" s="3" t="s">
        <v>22918</v>
      </c>
      <c r="L15271" s="3"/>
      <c r="M15271" s="4"/>
      <c r="N15271" s="3" t="s">
        <v>37</v>
      </c>
      <c r="O15271" s="3" t="s">
        <v>52</v>
      </c>
      <c r="P15271" s="5">
        <v>1</v>
      </c>
      <c r="Q15271" s="5">
        <v>31</v>
      </c>
      <c r="R15271" s="5">
        <v>2</v>
      </c>
      <c r="S15271" s="5">
        <v>29</v>
      </c>
    </row>
    <row r="15272" spans="1:19" ht="42" x14ac:dyDescent="0.15">
      <c r="A15272" s="2">
        <f>HYPERLINK("https://open-school.uspishnemisto.com.ua/school/710620/", 710620)</f>
        <v>710620</v>
      </c>
      <c r="B15272" s="3" t="s">
        <v>77081</v>
      </c>
      <c r="C15272" s="3" t="s">
        <v>54</v>
      </c>
      <c r="D15272" s="3" t="s">
        <v>32</v>
      </c>
      <c r="E15272" s="4" t="s">
        <v>22</v>
      </c>
      <c r="F15272" s="4" t="s">
        <v>77082</v>
      </c>
      <c r="G15272" s="4" t="s">
        <v>77083</v>
      </c>
      <c r="H15272" s="3" t="s">
        <v>73938</v>
      </c>
      <c r="I15272" s="3" t="s">
        <v>77084</v>
      </c>
      <c r="J15272" s="3" t="s">
        <v>77085</v>
      </c>
      <c r="K15272" s="3" t="s">
        <v>77086</v>
      </c>
      <c r="L15272" s="3"/>
      <c r="M15272" s="4"/>
      <c r="N15272" s="3" t="s">
        <v>37</v>
      </c>
      <c r="O15272" s="3" t="s">
        <v>52</v>
      </c>
      <c r="P15272" s="5">
        <v>8</v>
      </c>
      <c r="Q15272" s="5">
        <v>63</v>
      </c>
      <c r="R15272" s="5">
        <v>7</v>
      </c>
      <c r="S15272" s="5">
        <v>55</v>
      </c>
    </row>
    <row r="15273" spans="1:19" ht="42" x14ac:dyDescent="0.15">
      <c r="A15273" s="2">
        <f>HYPERLINK("https://open-school.uspishnemisto.com.ua/school/710621/", 710621)</f>
        <v>710621</v>
      </c>
      <c r="B15273" s="3" t="s">
        <v>77087</v>
      </c>
      <c r="C15273" s="3" t="s">
        <v>54</v>
      </c>
      <c r="D15273" s="3" t="s">
        <v>32</v>
      </c>
      <c r="E15273" s="4" t="s">
        <v>22</v>
      </c>
      <c r="F15273" s="4" t="s">
        <v>77088</v>
      </c>
      <c r="G15273" s="4" t="s">
        <v>77089</v>
      </c>
      <c r="H15273" s="3" t="s">
        <v>73938</v>
      </c>
      <c r="I15273" s="3" t="s">
        <v>77090</v>
      </c>
      <c r="J15273" s="3" t="s">
        <v>77091</v>
      </c>
      <c r="K15273" s="3" t="s">
        <v>77092</v>
      </c>
      <c r="L15273" s="3" t="s">
        <v>77093</v>
      </c>
      <c r="M15273" s="4"/>
      <c r="N15273" s="3" t="s">
        <v>37</v>
      </c>
      <c r="O15273" s="3" t="s">
        <v>70</v>
      </c>
      <c r="P15273" s="5">
        <v>11</v>
      </c>
      <c r="Q15273" s="5">
        <v>137</v>
      </c>
      <c r="R15273" s="5">
        <v>11</v>
      </c>
      <c r="S15273" s="5">
        <v>144</v>
      </c>
    </row>
    <row r="15274" spans="1:19" ht="42" x14ac:dyDescent="0.15">
      <c r="A15274" s="2">
        <f>HYPERLINK("https://open-school.uspishnemisto.com.ua/school/710622/", 710622)</f>
        <v>710622</v>
      </c>
      <c r="B15274" s="3" t="s">
        <v>77094</v>
      </c>
      <c r="C15274" s="3" t="s">
        <v>54</v>
      </c>
      <c r="D15274" s="3" t="s">
        <v>175</v>
      </c>
      <c r="E15274" s="4" t="s">
        <v>22</v>
      </c>
      <c r="F15274" s="4" t="s">
        <v>77095</v>
      </c>
      <c r="G15274" s="4" t="s">
        <v>77096</v>
      </c>
      <c r="H15274" s="3" t="s">
        <v>73938</v>
      </c>
      <c r="I15274" s="3" t="s">
        <v>77097</v>
      </c>
      <c r="J15274" s="3" t="s">
        <v>77098</v>
      </c>
      <c r="K15274" s="3" t="s">
        <v>77099</v>
      </c>
      <c r="L15274" s="3"/>
      <c r="M15274" s="4"/>
      <c r="N15274" s="3" t="s">
        <v>37</v>
      </c>
      <c r="O15274" s="3" t="s">
        <v>46</v>
      </c>
      <c r="P15274" s="5">
        <v>9</v>
      </c>
      <c r="Q15274" s="5">
        <v>64</v>
      </c>
      <c r="R15274" s="5">
        <v>9</v>
      </c>
      <c r="S15274" s="5">
        <v>64</v>
      </c>
    </row>
    <row r="15275" spans="1:19" ht="42" x14ac:dyDescent="0.15">
      <c r="A15275" s="2">
        <f>HYPERLINK("https://open-school.uspishnemisto.com.ua/school/710623/", 710623)</f>
        <v>710623</v>
      </c>
      <c r="B15275" s="3" t="s">
        <v>77100</v>
      </c>
      <c r="C15275" s="3" t="s">
        <v>54</v>
      </c>
      <c r="D15275" s="3" t="s">
        <v>60</v>
      </c>
      <c r="E15275" s="4" t="s">
        <v>22</v>
      </c>
      <c r="F15275" s="4" t="s">
        <v>77101</v>
      </c>
      <c r="G15275" s="4" t="s">
        <v>77102</v>
      </c>
      <c r="H15275" s="3" t="s">
        <v>73938</v>
      </c>
      <c r="I15275" s="3" t="s">
        <v>3420</v>
      </c>
      <c r="J15275" s="3" t="s">
        <v>1348</v>
      </c>
      <c r="K15275" s="3" t="s">
        <v>77103</v>
      </c>
      <c r="L15275" s="3"/>
      <c r="M15275" s="4"/>
      <c r="N15275" s="3" t="s">
        <v>37</v>
      </c>
      <c r="O15275" s="3" t="s">
        <v>52</v>
      </c>
      <c r="P15275" s="5">
        <v>3</v>
      </c>
      <c r="Q15275" s="5">
        <v>19</v>
      </c>
      <c r="R15275" s="5">
        <v>2</v>
      </c>
      <c r="S15275" s="5">
        <v>11</v>
      </c>
    </row>
    <row r="15276" spans="1:19" ht="56" x14ac:dyDescent="0.15">
      <c r="A15276" s="2">
        <f>HYPERLINK("https://open-school.uspishnemisto.com.ua/school/710624/", 710624)</f>
        <v>710624</v>
      </c>
      <c r="B15276" s="3" t="s">
        <v>77104</v>
      </c>
      <c r="C15276" s="3" t="s">
        <v>54</v>
      </c>
      <c r="D15276" s="3" t="s">
        <v>175</v>
      </c>
      <c r="E15276" s="4" t="s">
        <v>22</v>
      </c>
      <c r="F15276" s="4" t="s">
        <v>77105</v>
      </c>
      <c r="G15276" s="4" t="s">
        <v>77106</v>
      </c>
      <c r="H15276" s="3" t="s">
        <v>73938</v>
      </c>
      <c r="I15276" s="3" t="s">
        <v>1427</v>
      </c>
      <c r="J15276" s="3" t="s">
        <v>71217</v>
      </c>
      <c r="K15276" s="3" t="s">
        <v>77107</v>
      </c>
      <c r="L15276" s="3"/>
      <c r="M15276" s="4"/>
      <c r="N15276" s="3" t="s">
        <v>37</v>
      </c>
      <c r="O15276" s="3" t="s">
        <v>46</v>
      </c>
      <c r="P15276" s="5">
        <v>6</v>
      </c>
      <c r="Q15276" s="5">
        <v>35</v>
      </c>
      <c r="R15276" s="5">
        <v>6</v>
      </c>
      <c r="S15276" s="5">
        <v>35</v>
      </c>
    </row>
    <row r="15277" spans="1:19" ht="42" x14ac:dyDescent="0.15">
      <c r="A15277" s="2">
        <f>HYPERLINK("https://open-school.uspishnemisto.com.ua/school/710625/", 710625)</f>
        <v>710625</v>
      </c>
      <c r="B15277" s="3" t="s">
        <v>77108</v>
      </c>
      <c r="C15277" s="3" t="s">
        <v>54</v>
      </c>
      <c r="D15277" s="3" t="s">
        <v>32</v>
      </c>
      <c r="E15277" s="4" t="s">
        <v>22</v>
      </c>
      <c r="F15277" s="4" t="s">
        <v>77109</v>
      </c>
      <c r="G15277" s="4" t="s">
        <v>77110</v>
      </c>
      <c r="H15277" s="3" t="s">
        <v>73938</v>
      </c>
      <c r="I15277" s="3" t="s">
        <v>565</v>
      </c>
      <c r="J15277" s="3" t="s">
        <v>77111</v>
      </c>
      <c r="K15277" s="3" t="s">
        <v>77112</v>
      </c>
      <c r="L15277" s="3"/>
      <c r="M15277" s="4"/>
      <c r="N15277" s="3" t="s">
        <v>37</v>
      </c>
      <c r="O15277" s="3" t="s">
        <v>38</v>
      </c>
      <c r="P15277" s="5">
        <v>11</v>
      </c>
      <c r="Q15277" s="5">
        <v>80</v>
      </c>
      <c r="R15277" s="5">
        <v>10</v>
      </c>
      <c r="S15277" s="5">
        <v>77</v>
      </c>
    </row>
    <row r="15278" spans="1:19" ht="28" x14ac:dyDescent="0.15">
      <c r="A15278" s="2">
        <f>HYPERLINK("https://open-school.uspishnemisto.com.ua/school/710626/", 710626)</f>
        <v>710626</v>
      </c>
      <c r="B15278" s="3" t="s">
        <v>77113</v>
      </c>
      <c r="C15278" s="3" t="s">
        <v>54</v>
      </c>
      <c r="D15278" s="3" t="s">
        <v>32</v>
      </c>
      <c r="E15278" s="4" t="s">
        <v>22</v>
      </c>
      <c r="F15278" s="4" t="s">
        <v>77114</v>
      </c>
      <c r="G15278" s="4" t="s">
        <v>77115</v>
      </c>
      <c r="H15278" s="3" t="s">
        <v>73938</v>
      </c>
      <c r="I15278" s="3" t="s">
        <v>77116</v>
      </c>
      <c r="J15278" s="3" t="s">
        <v>1417</v>
      </c>
      <c r="K15278" s="3" t="s">
        <v>77117</v>
      </c>
      <c r="L15278" s="3"/>
      <c r="M15278" s="4"/>
      <c r="N15278" s="3" t="s">
        <v>37</v>
      </c>
      <c r="O15278" s="3" t="s">
        <v>46</v>
      </c>
      <c r="P15278" s="5">
        <v>9</v>
      </c>
      <c r="Q15278" s="5">
        <v>78</v>
      </c>
      <c r="R15278" s="5">
        <v>9</v>
      </c>
      <c r="S15278" s="5">
        <v>77</v>
      </c>
    </row>
    <row r="15279" spans="1:19" ht="56" x14ac:dyDescent="0.15">
      <c r="A15279" s="2">
        <f>HYPERLINK("https://open-school.uspishnemisto.com.ua/school/710627/", 710627)</f>
        <v>710627</v>
      </c>
      <c r="B15279" s="3" t="s">
        <v>77118</v>
      </c>
      <c r="C15279" s="3" t="s">
        <v>54</v>
      </c>
      <c r="D15279" s="3" t="s">
        <v>32</v>
      </c>
      <c r="E15279" s="4" t="s">
        <v>22</v>
      </c>
      <c r="F15279" s="4" t="s">
        <v>77119</v>
      </c>
      <c r="G15279" s="4" t="s">
        <v>77120</v>
      </c>
      <c r="H15279" s="3" t="s">
        <v>73938</v>
      </c>
      <c r="I15279" s="3" t="s">
        <v>77121</v>
      </c>
      <c r="J15279" s="3" t="s">
        <v>77122</v>
      </c>
      <c r="K15279" s="3" t="s">
        <v>77123</v>
      </c>
      <c r="L15279" s="3"/>
      <c r="M15279" s="4"/>
      <c r="N15279" s="3" t="s">
        <v>37</v>
      </c>
      <c r="O15279" s="3" t="s">
        <v>52</v>
      </c>
      <c r="P15279" s="5">
        <v>8</v>
      </c>
      <c r="Q15279" s="5">
        <v>68</v>
      </c>
      <c r="R15279" s="5">
        <v>8</v>
      </c>
      <c r="S15279" s="5">
        <v>64</v>
      </c>
    </row>
    <row r="15280" spans="1:19" ht="42" x14ac:dyDescent="0.15">
      <c r="A15280" s="2">
        <f>HYPERLINK("https://open-school.uspishnemisto.com.ua/school/710628/", 710628)</f>
        <v>710628</v>
      </c>
      <c r="B15280" s="3" t="s">
        <v>77124</v>
      </c>
      <c r="C15280" s="3" t="s">
        <v>54</v>
      </c>
      <c r="D15280" s="3" t="s">
        <v>175</v>
      </c>
      <c r="E15280" s="4" t="s">
        <v>22</v>
      </c>
      <c r="F15280" s="4" t="s">
        <v>77125</v>
      </c>
      <c r="G15280" s="4" t="s">
        <v>77126</v>
      </c>
      <c r="H15280" s="3" t="s">
        <v>73938</v>
      </c>
      <c r="I15280" s="3" t="s">
        <v>50423</v>
      </c>
      <c r="J15280" s="3"/>
      <c r="K15280" s="3" t="s">
        <v>77127</v>
      </c>
      <c r="L15280" s="3"/>
      <c r="M15280" s="4"/>
      <c r="N15280" s="3" t="s">
        <v>37</v>
      </c>
      <c r="O15280" s="3" t="s">
        <v>38</v>
      </c>
      <c r="P15280" s="5">
        <v>6</v>
      </c>
      <c r="Q15280" s="5">
        <v>54</v>
      </c>
      <c r="R15280" s="5">
        <v>6</v>
      </c>
      <c r="S15280" s="5">
        <v>57</v>
      </c>
    </row>
    <row r="15281" spans="1:19" ht="28" x14ac:dyDescent="0.15">
      <c r="A15281" s="2">
        <f>HYPERLINK("https://open-school.uspishnemisto.com.ua/school/730001/", 730001)</f>
        <v>730001</v>
      </c>
      <c r="B15281" s="3" t="s">
        <v>77128</v>
      </c>
      <c r="C15281" s="3" t="s">
        <v>31</v>
      </c>
      <c r="D15281" s="3" t="s">
        <v>32</v>
      </c>
      <c r="E15281" s="4" t="s">
        <v>22</v>
      </c>
      <c r="F15281" s="4" t="s">
        <v>77129</v>
      </c>
      <c r="G15281" s="4" t="s">
        <v>77130</v>
      </c>
      <c r="H15281" s="3" t="s">
        <v>77131</v>
      </c>
      <c r="I15281" s="3" t="s">
        <v>4285</v>
      </c>
      <c r="J15281" s="3" t="s">
        <v>77132</v>
      </c>
      <c r="K15281" s="3" t="s">
        <v>77133</v>
      </c>
      <c r="L15281" s="3" t="s">
        <v>77134</v>
      </c>
      <c r="M15281" s="4"/>
      <c r="N15281" s="3" t="s">
        <v>37</v>
      </c>
      <c r="O15281" s="3" t="s">
        <v>52</v>
      </c>
      <c r="P15281" s="5">
        <v>20</v>
      </c>
      <c r="Q15281" s="5">
        <v>617</v>
      </c>
      <c r="R15281" s="5">
        <v>18</v>
      </c>
      <c r="S15281" s="5">
        <v>552</v>
      </c>
    </row>
    <row r="15282" spans="1:19" ht="56" x14ac:dyDescent="0.15">
      <c r="A15282" s="2">
        <f>HYPERLINK("https://open-school.uspishnemisto.com.ua/school/730002/", 730002)</f>
        <v>730002</v>
      </c>
      <c r="B15282" s="3" t="s">
        <v>77135</v>
      </c>
      <c r="C15282" s="3" t="s">
        <v>54</v>
      </c>
      <c r="D15282" s="3" t="s">
        <v>175</v>
      </c>
      <c r="E15282" s="4" t="s">
        <v>22</v>
      </c>
      <c r="F15282" s="4" t="s">
        <v>77136</v>
      </c>
      <c r="G15282" s="4" t="s">
        <v>77130</v>
      </c>
      <c r="H15282" s="3" t="s">
        <v>77131</v>
      </c>
      <c r="I15282" s="3" t="s">
        <v>4285</v>
      </c>
      <c r="J15282" s="3" t="s">
        <v>77137</v>
      </c>
      <c r="K15282" s="3" t="s">
        <v>77138</v>
      </c>
      <c r="L15282" s="3" t="s">
        <v>77139</v>
      </c>
      <c r="M15282" s="4"/>
      <c r="N15282" s="3" t="s">
        <v>37</v>
      </c>
      <c r="O15282" s="3" t="s">
        <v>46</v>
      </c>
      <c r="P15282" s="5">
        <v>9</v>
      </c>
      <c r="Q15282" s="5">
        <v>217</v>
      </c>
      <c r="R15282" s="5">
        <v>9</v>
      </c>
      <c r="S15282" s="5">
        <v>211</v>
      </c>
    </row>
    <row r="15283" spans="1:19" ht="42" x14ac:dyDescent="0.15">
      <c r="A15283" s="2">
        <f>HYPERLINK("https://open-school.uspishnemisto.com.ua/school/730003/", 730003)</f>
        <v>730003</v>
      </c>
      <c r="B15283" s="3" t="s">
        <v>77140</v>
      </c>
      <c r="C15283" s="3" t="s">
        <v>54</v>
      </c>
      <c r="D15283" s="3" t="s">
        <v>32</v>
      </c>
      <c r="E15283" s="4" t="s">
        <v>22</v>
      </c>
      <c r="F15283" s="4" t="s">
        <v>77141</v>
      </c>
      <c r="G15283" s="4" t="s">
        <v>77130</v>
      </c>
      <c r="H15283" s="3" t="s">
        <v>77131</v>
      </c>
      <c r="I15283" s="3" t="s">
        <v>4285</v>
      </c>
      <c r="J15283" s="3" t="s">
        <v>77142</v>
      </c>
      <c r="K15283" s="3" t="s">
        <v>77143</v>
      </c>
      <c r="L15283" s="3" t="s">
        <v>77144</v>
      </c>
      <c r="M15283" s="4"/>
      <c r="N15283" s="3" t="s">
        <v>37</v>
      </c>
      <c r="O15283" s="3" t="s">
        <v>38</v>
      </c>
      <c r="P15283" s="5">
        <v>29</v>
      </c>
      <c r="Q15283" s="5">
        <v>803</v>
      </c>
      <c r="R15283" s="5">
        <v>26</v>
      </c>
      <c r="S15283" s="5">
        <v>759</v>
      </c>
    </row>
    <row r="15284" spans="1:19" ht="42" x14ac:dyDescent="0.15">
      <c r="A15284" s="2">
        <f>HYPERLINK("https://open-school.uspishnemisto.com.ua/school/730004/", 730004)</f>
        <v>730004</v>
      </c>
      <c r="B15284" s="3" t="s">
        <v>77145</v>
      </c>
      <c r="C15284" s="3" t="s">
        <v>181</v>
      </c>
      <c r="D15284" s="3" t="s">
        <v>32</v>
      </c>
      <c r="E15284" s="4" t="s">
        <v>22</v>
      </c>
      <c r="F15284" s="4" t="s">
        <v>77146</v>
      </c>
      <c r="G15284" s="4" t="s">
        <v>77130</v>
      </c>
      <c r="H15284" s="3" t="s">
        <v>77131</v>
      </c>
      <c r="I15284" s="3" t="s">
        <v>4285</v>
      </c>
      <c r="J15284" s="3" t="s">
        <v>77147</v>
      </c>
      <c r="K15284" s="3" t="s">
        <v>77148</v>
      </c>
      <c r="L15284" s="3" t="s">
        <v>77149</v>
      </c>
      <c r="M15284" s="4" t="s">
        <v>77150</v>
      </c>
      <c r="N15284" s="3" t="s">
        <v>37</v>
      </c>
      <c r="O15284" s="3" t="s">
        <v>52</v>
      </c>
      <c r="P15284" s="5">
        <v>20</v>
      </c>
      <c r="Q15284" s="5">
        <v>137</v>
      </c>
      <c r="R15284" s="5">
        <v>17</v>
      </c>
      <c r="S15284" s="5">
        <v>115</v>
      </c>
    </row>
    <row r="15285" spans="1:19" ht="28" x14ac:dyDescent="0.15">
      <c r="A15285" s="2">
        <f>HYPERLINK("https://open-school.uspishnemisto.com.ua/school/730005/", 730005)</f>
        <v>730005</v>
      </c>
      <c r="B15285" s="3" t="s">
        <v>77151</v>
      </c>
      <c r="C15285" s="3" t="s">
        <v>174</v>
      </c>
      <c r="D15285" s="3" t="s">
        <v>175</v>
      </c>
      <c r="E15285" s="4" t="s">
        <v>22</v>
      </c>
      <c r="F15285" s="4" t="s">
        <v>77152</v>
      </c>
      <c r="G15285" s="4" t="s">
        <v>77130</v>
      </c>
      <c r="H15285" s="3" t="s">
        <v>77131</v>
      </c>
      <c r="I15285" s="3" t="s">
        <v>4285</v>
      </c>
      <c r="J15285" s="3" t="s">
        <v>77153</v>
      </c>
      <c r="K15285" s="3" t="s">
        <v>77154</v>
      </c>
      <c r="L15285" s="3" t="s">
        <v>77155</v>
      </c>
      <c r="M15285" s="4" t="s">
        <v>77156</v>
      </c>
      <c r="N15285" s="3" t="s">
        <v>37</v>
      </c>
      <c r="O15285" s="3"/>
      <c r="P15285" s="5">
        <v>12</v>
      </c>
      <c r="Q15285" s="5">
        <v>136</v>
      </c>
      <c r="R15285" s="5">
        <v>12</v>
      </c>
      <c r="S15285" s="5">
        <v>131</v>
      </c>
    </row>
    <row r="15286" spans="1:19" ht="42" x14ac:dyDescent="0.15">
      <c r="A15286" s="2">
        <f>HYPERLINK("https://open-school.uspishnemisto.com.ua/school/730006/", 730006)</f>
        <v>730006</v>
      </c>
      <c r="B15286" s="3" t="s">
        <v>77157</v>
      </c>
      <c r="C15286" s="3" t="s">
        <v>181</v>
      </c>
      <c r="D15286" s="3" t="s">
        <v>175</v>
      </c>
      <c r="E15286" s="4" t="s">
        <v>22</v>
      </c>
      <c r="F15286" s="4" t="s">
        <v>77129</v>
      </c>
      <c r="G15286" s="4" t="s">
        <v>77130</v>
      </c>
      <c r="H15286" s="3" t="s">
        <v>77131</v>
      </c>
      <c r="I15286" s="3" t="s">
        <v>4285</v>
      </c>
      <c r="J15286" s="3" t="s">
        <v>77158</v>
      </c>
      <c r="K15286" s="3" t="s">
        <v>77159</v>
      </c>
      <c r="L15286" s="3" t="s">
        <v>77160</v>
      </c>
      <c r="M15286" s="4" t="s">
        <v>77161</v>
      </c>
      <c r="N15286" s="3" t="s">
        <v>37</v>
      </c>
      <c r="O15286" s="3" t="s">
        <v>52</v>
      </c>
      <c r="P15286" s="5">
        <v>17</v>
      </c>
      <c r="Q15286" s="5">
        <v>150</v>
      </c>
      <c r="R15286" s="5">
        <v>17</v>
      </c>
      <c r="S15286" s="5">
        <v>139</v>
      </c>
    </row>
    <row r="15287" spans="1:19" ht="28" x14ac:dyDescent="0.15">
      <c r="A15287" s="2">
        <f>HYPERLINK("https://open-school.uspishnemisto.com.ua/school/730007/", 730007)</f>
        <v>730007</v>
      </c>
      <c r="B15287" s="3" t="s">
        <v>77162</v>
      </c>
      <c r="C15287" s="3" t="s">
        <v>54</v>
      </c>
      <c r="D15287" s="3" t="s">
        <v>32</v>
      </c>
      <c r="E15287" s="4" t="s">
        <v>41</v>
      </c>
      <c r="F15287" s="4" t="s">
        <v>77163</v>
      </c>
      <c r="G15287" s="4" t="s">
        <v>77130</v>
      </c>
      <c r="H15287" s="3" t="s">
        <v>77131</v>
      </c>
      <c r="I15287" s="3" t="s">
        <v>4285</v>
      </c>
      <c r="J15287" s="3" t="s">
        <v>77164</v>
      </c>
      <c r="K15287" s="3" t="s">
        <v>77165</v>
      </c>
      <c r="L15287" s="3"/>
      <c r="M15287" s="4"/>
      <c r="N15287" s="3" t="s">
        <v>37</v>
      </c>
      <c r="O15287" s="3" t="s">
        <v>52</v>
      </c>
      <c r="P15287" s="5">
        <v>4</v>
      </c>
      <c r="Q15287" s="5">
        <v>57</v>
      </c>
      <c r="R15287" s="5">
        <v>4</v>
      </c>
      <c r="S15287" s="5">
        <v>60</v>
      </c>
    </row>
    <row r="15288" spans="1:19" ht="42" x14ac:dyDescent="0.15">
      <c r="A15288" s="2">
        <f>HYPERLINK("https://open-school.uspishnemisto.com.ua/school/730008/", 730008)</f>
        <v>730008</v>
      </c>
      <c r="B15288" s="3" t="s">
        <v>77166</v>
      </c>
      <c r="C15288" s="3" t="s">
        <v>31</v>
      </c>
      <c r="D15288" s="3" t="s">
        <v>175</v>
      </c>
      <c r="E15288" s="4" t="s">
        <v>41</v>
      </c>
      <c r="F15288" s="4" t="s">
        <v>77141</v>
      </c>
      <c r="G15288" s="4" t="s">
        <v>77130</v>
      </c>
      <c r="H15288" s="3" t="s">
        <v>77131</v>
      </c>
      <c r="I15288" s="3" t="s">
        <v>4285</v>
      </c>
      <c r="J15288" s="3" t="s">
        <v>77167</v>
      </c>
      <c r="K15288" s="3" t="s">
        <v>77168</v>
      </c>
      <c r="L15288" s="3"/>
      <c r="M15288" s="4"/>
      <c r="N15288" s="3" t="s">
        <v>37</v>
      </c>
      <c r="O15288" s="3" t="s">
        <v>52</v>
      </c>
      <c r="P15288" s="5">
        <v>12</v>
      </c>
      <c r="Q15288" s="5">
        <v>160</v>
      </c>
      <c r="R15288" s="5">
        <v>11</v>
      </c>
      <c r="S15288" s="5">
        <v>144</v>
      </c>
    </row>
    <row r="15289" spans="1:19" ht="28" x14ac:dyDescent="0.15">
      <c r="A15289" s="2">
        <f>HYPERLINK("https://open-school.uspishnemisto.com.ua/school/730009/", 730009)</f>
        <v>730009</v>
      </c>
      <c r="B15289" s="3" t="s">
        <v>77169</v>
      </c>
      <c r="C15289" s="3" t="s">
        <v>40</v>
      </c>
      <c r="D15289" s="3" t="s">
        <v>32</v>
      </c>
      <c r="E15289" s="4" t="s">
        <v>22</v>
      </c>
      <c r="F15289" s="4" t="s">
        <v>77152</v>
      </c>
      <c r="G15289" s="4" t="s">
        <v>77130</v>
      </c>
      <c r="H15289" s="3" t="s">
        <v>77131</v>
      </c>
      <c r="I15289" s="3" t="s">
        <v>4285</v>
      </c>
      <c r="J15289" s="3" t="s">
        <v>77170</v>
      </c>
      <c r="K15289" s="3" t="s">
        <v>77171</v>
      </c>
      <c r="L15289" s="3" t="s">
        <v>77172</v>
      </c>
      <c r="M15289" s="4"/>
      <c r="N15289" s="3" t="s">
        <v>37</v>
      </c>
      <c r="O15289" s="3" t="s">
        <v>46</v>
      </c>
      <c r="P15289" s="5">
        <v>14</v>
      </c>
      <c r="Q15289" s="5">
        <v>438</v>
      </c>
      <c r="R15289" s="5">
        <v>14</v>
      </c>
      <c r="S15289" s="5">
        <v>436</v>
      </c>
    </row>
    <row r="15290" spans="1:19" ht="28" x14ac:dyDescent="0.15">
      <c r="A15290" s="2">
        <f>HYPERLINK("https://open-school.uspishnemisto.com.ua/school/730010/", 730010)</f>
        <v>730010</v>
      </c>
      <c r="B15290" s="3" t="s">
        <v>77173</v>
      </c>
      <c r="C15290" s="3" t="s">
        <v>40</v>
      </c>
      <c r="D15290" s="3" t="s">
        <v>32</v>
      </c>
      <c r="E15290" s="4" t="s">
        <v>22</v>
      </c>
      <c r="F15290" s="4" t="s">
        <v>77152</v>
      </c>
      <c r="G15290" s="4" t="s">
        <v>77130</v>
      </c>
      <c r="H15290" s="3" t="s">
        <v>77131</v>
      </c>
      <c r="I15290" s="3" t="s">
        <v>4285</v>
      </c>
      <c r="J15290" s="3" t="s">
        <v>77174</v>
      </c>
      <c r="K15290" s="3" t="s">
        <v>77175</v>
      </c>
      <c r="L15290" s="3" t="s">
        <v>77176</v>
      </c>
      <c r="M15290" s="4"/>
      <c r="N15290" s="3" t="s">
        <v>37</v>
      </c>
      <c r="O15290" s="3" t="s">
        <v>2740</v>
      </c>
      <c r="P15290" s="5">
        <v>15</v>
      </c>
      <c r="Q15290" s="5">
        <v>407</v>
      </c>
      <c r="R15290" s="5">
        <v>15</v>
      </c>
      <c r="S15290" s="5">
        <v>409</v>
      </c>
    </row>
    <row r="15291" spans="1:19" ht="28" x14ac:dyDescent="0.15">
      <c r="A15291" s="2">
        <f>HYPERLINK("https://open-school.uspishnemisto.com.ua/school/730011/", 730011)</f>
        <v>730011</v>
      </c>
      <c r="B15291" s="3" t="s">
        <v>77177</v>
      </c>
      <c r="C15291" s="3" t="s">
        <v>40</v>
      </c>
      <c r="D15291" s="3" t="s">
        <v>32</v>
      </c>
      <c r="E15291" s="4" t="s">
        <v>22</v>
      </c>
      <c r="F15291" s="4" t="s">
        <v>77178</v>
      </c>
      <c r="G15291" s="4" t="s">
        <v>77130</v>
      </c>
      <c r="H15291" s="3" t="s">
        <v>77131</v>
      </c>
      <c r="I15291" s="3" t="s">
        <v>4285</v>
      </c>
      <c r="J15291" s="3" t="s">
        <v>77179</v>
      </c>
      <c r="K15291" s="3" t="s">
        <v>77180</v>
      </c>
      <c r="L15291" s="3"/>
      <c r="M15291" s="4" t="s">
        <v>77181</v>
      </c>
      <c r="N15291" s="3" t="s">
        <v>37</v>
      </c>
      <c r="O15291" s="3" t="s">
        <v>46</v>
      </c>
      <c r="P15291" s="5">
        <v>20</v>
      </c>
      <c r="Q15291" s="5">
        <v>613</v>
      </c>
      <c r="R15291" s="5">
        <v>19</v>
      </c>
      <c r="S15291" s="5">
        <v>586</v>
      </c>
    </row>
    <row r="15292" spans="1:19" ht="28" x14ac:dyDescent="0.15">
      <c r="A15292" s="2">
        <f>HYPERLINK("https://open-school.uspishnemisto.com.ua/school/730012/", 730012)</f>
        <v>730012</v>
      </c>
      <c r="B15292" s="3" t="s">
        <v>77182</v>
      </c>
      <c r="C15292" s="3" t="s">
        <v>31</v>
      </c>
      <c r="D15292" s="3" t="s">
        <v>175</v>
      </c>
      <c r="E15292" s="4" t="s">
        <v>22</v>
      </c>
      <c r="F15292" s="4" t="s">
        <v>77183</v>
      </c>
      <c r="G15292" s="4" t="s">
        <v>77130</v>
      </c>
      <c r="H15292" s="3" t="s">
        <v>77131</v>
      </c>
      <c r="I15292" s="3" t="s">
        <v>4285</v>
      </c>
      <c r="J15292" s="3" t="s">
        <v>77184</v>
      </c>
      <c r="K15292" s="3" t="s">
        <v>77185</v>
      </c>
      <c r="L15292" s="3" t="s">
        <v>77186</v>
      </c>
      <c r="M15292" s="4" t="s">
        <v>77187</v>
      </c>
      <c r="N15292" s="3" t="s">
        <v>37</v>
      </c>
      <c r="O15292" s="3" t="s">
        <v>46</v>
      </c>
      <c r="P15292" s="5">
        <v>9</v>
      </c>
      <c r="Q15292" s="5">
        <v>207</v>
      </c>
      <c r="R15292" s="5">
        <v>9</v>
      </c>
      <c r="S15292" s="5">
        <v>191</v>
      </c>
    </row>
    <row r="15293" spans="1:19" ht="28" x14ac:dyDescent="0.15">
      <c r="A15293" s="2">
        <f>HYPERLINK("https://open-school.uspishnemisto.com.ua/school/730013/", 730013)</f>
        <v>730013</v>
      </c>
      <c r="B15293" s="3" t="s">
        <v>77188</v>
      </c>
      <c r="C15293" s="3" t="s">
        <v>31</v>
      </c>
      <c r="D15293" s="3" t="s">
        <v>32</v>
      </c>
      <c r="E15293" s="4" t="s">
        <v>22</v>
      </c>
      <c r="F15293" s="4" t="s">
        <v>77129</v>
      </c>
      <c r="G15293" s="4" t="s">
        <v>77130</v>
      </c>
      <c r="H15293" s="3" t="s">
        <v>77131</v>
      </c>
      <c r="I15293" s="3" t="s">
        <v>4285</v>
      </c>
      <c r="J15293" s="3" t="s">
        <v>77189</v>
      </c>
      <c r="K15293" s="3" t="s">
        <v>77190</v>
      </c>
      <c r="L15293" s="3"/>
      <c r="M15293" s="4"/>
      <c r="N15293" s="3" t="s">
        <v>37</v>
      </c>
      <c r="O15293" s="3" t="s">
        <v>46</v>
      </c>
      <c r="P15293" s="5">
        <v>22</v>
      </c>
      <c r="Q15293" s="5">
        <v>747</v>
      </c>
      <c r="R15293" s="5">
        <v>22</v>
      </c>
      <c r="S15293" s="5">
        <v>694</v>
      </c>
    </row>
    <row r="15294" spans="1:19" ht="28" x14ac:dyDescent="0.15">
      <c r="A15294" s="2">
        <f>HYPERLINK("https://open-school.uspishnemisto.com.ua/school/730014/", 730014)</f>
        <v>730014</v>
      </c>
      <c r="B15294" s="3" t="s">
        <v>77191</v>
      </c>
      <c r="C15294" s="3" t="s">
        <v>31</v>
      </c>
      <c r="D15294" s="3" t="s">
        <v>32</v>
      </c>
      <c r="E15294" s="4" t="s">
        <v>22</v>
      </c>
      <c r="F15294" s="4" t="s">
        <v>77192</v>
      </c>
      <c r="G15294" s="4" t="s">
        <v>77130</v>
      </c>
      <c r="H15294" s="3" t="s">
        <v>77131</v>
      </c>
      <c r="I15294" s="3" t="s">
        <v>4285</v>
      </c>
      <c r="J15294" s="3" t="s">
        <v>77193</v>
      </c>
      <c r="K15294" s="3" t="s">
        <v>77194</v>
      </c>
      <c r="L15294" s="3"/>
      <c r="M15294" s="4" t="s">
        <v>77195</v>
      </c>
      <c r="N15294" s="3" t="s">
        <v>22346</v>
      </c>
      <c r="O15294" s="3" t="s">
        <v>2740</v>
      </c>
      <c r="P15294" s="5">
        <v>10</v>
      </c>
      <c r="Q15294" s="5">
        <v>138</v>
      </c>
      <c r="R15294" s="5">
        <v>11</v>
      </c>
      <c r="S15294" s="5">
        <v>131</v>
      </c>
    </row>
    <row r="15295" spans="1:19" ht="28" x14ac:dyDescent="0.15">
      <c r="A15295" s="2">
        <f>HYPERLINK("https://open-school.uspishnemisto.com.ua/school/730015/", 730015)</f>
        <v>730015</v>
      </c>
      <c r="B15295" s="3" t="s">
        <v>77196</v>
      </c>
      <c r="C15295" s="3" t="s">
        <v>31</v>
      </c>
      <c r="D15295" s="3" t="s">
        <v>32</v>
      </c>
      <c r="E15295" s="4" t="s">
        <v>22</v>
      </c>
      <c r="F15295" s="4" t="s">
        <v>77197</v>
      </c>
      <c r="G15295" s="4" t="s">
        <v>77130</v>
      </c>
      <c r="H15295" s="3" t="s">
        <v>77131</v>
      </c>
      <c r="I15295" s="3" t="s">
        <v>4285</v>
      </c>
      <c r="J15295" s="3" t="s">
        <v>77198</v>
      </c>
      <c r="K15295" s="3" t="s">
        <v>77199</v>
      </c>
      <c r="L15295" s="3" t="s">
        <v>77200</v>
      </c>
      <c r="M15295" s="4" t="s">
        <v>77201</v>
      </c>
      <c r="N15295" s="3" t="s">
        <v>37</v>
      </c>
      <c r="O15295" s="3" t="s">
        <v>46</v>
      </c>
      <c r="P15295" s="5">
        <v>35</v>
      </c>
      <c r="Q15295" s="5">
        <v>1085</v>
      </c>
      <c r="R15295" s="5">
        <v>33</v>
      </c>
      <c r="S15295" s="5">
        <v>1022</v>
      </c>
    </row>
    <row r="15296" spans="1:19" ht="28" x14ac:dyDescent="0.15">
      <c r="A15296" s="2">
        <f>HYPERLINK("https://open-school.uspishnemisto.com.ua/school/730016/", 730016)</f>
        <v>730016</v>
      </c>
      <c r="B15296" s="3" t="s">
        <v>77202</v>
      </c>
      <c r="C15296" s="3" t="s">
        <v>31</v>
      </c>
      <c r="D15296" s="3" t="s">
        <v>32</v>
      </c>
      <c r="E15296" s="4" t="s">
        <v>22</v>
      </c>
      <c r="F15296" s="4" t="s">
        <v>77141</v>
      </c>
      <c r="G15296" s="4" t="s">
        <v>77130</v>
      </c>
      <c r="H15296" s="3" t="s">
        <v>77131</v>
      </c>
      <c r="I15296" s="3" t="s">
        <v>4285</v>
      </c>
      <c r="J15296" s="3" t="s">
        <v>77203</v>
      </c>
      <c r="K15296" s="3" t="s">
        <v>77204</v>
      </c>
      <c r="L15296" s="3"/>
      <c r="M15296" s="4" t="s">
        <v>77205</v>
      </c>
      <c r="N15296" s="3" t="s">
        <v>37</v>
      </c>
      <c r="O15296" s="3" t="s">
        <v>197</v>
      </c>
      <c r="P15296" s="5">
        <v>34</v>
      </c>
      <c r="Q15296" s="5">
        <v>1038</v>
      </c>
      <c r="R15296" s="5">
        <v>32</v>
      </c>
      <c r="S15296" s="5">
        <v>987</v>
      </c>
    </row>
    <row r="15297" spans="1:19" ht="28" x14ac:dyDescent="0.15">
      <c r="A15297" s="2">
        <f>HYPERLINK("https://open-school.uspishnemisto.com.ua/school/730017/", 730017)</f>
        <v>730017</v>
      </c>
      <c r="B15297" s="3" t="s">
        <v>77206</v>
      </c>
      <c r="C15297" s="3" t="s">
        <v>31</v>
      </c>
      <c r="D15297" s="3" t="s">
        <v>32</v>
      </c>
      <c r="E15297" s="4" t="s">
        <v>22</v>
      </c>
      <c r="F15297" s="4" t="s">
        <v>77146</v>
      </c>
      <c r="G15297" s="4" t="s">
        <v>77130</v>
      </c>
      <c r="H15297" s="3" t="s">
        <v>77131</v>
      </c>
      <c r="I15297" s="3" t="s">
        <v>4285</v>
      </c>
      <c r="J15297" s="3" t="s">
        <v>77207</v>
      </c>
      <c r="K15297" s="3" t="s">
        <v>77208</v>
      </c>
      <c r="L15297" s="3" t="s">
        <v>77209</v>
      </c>
      <c r="M15297" s="4"/>
      <c r="N15297" s="3" t="s">
        <v>37</v>
      </c>
      <c r="O15297" s="3" t="s">
        <v>52</v>
      </c>
      <c r="P15297" s="5">
        <v>18</v>
      </c>
      <c r="Q15297" s="5">
        <v>397</v>
      </c>
      <c r="R15297" s="5">
        <v>18</v>
      </c>
      <c r="S15297" s="5">
        <v>395</v>
      </c>
    </row>
    <row r="15298" spans="1:19" ht="28" x14ac:dyDescent="0.15">
      <c r="A15298" s="2">
        <f>HYPERLINK("https://open-school.uspishnemisto.com.ua/school/730018/", 730018)</f>
        <v>730018</v>
      </c>
      <c r="B15298" s="3" t="s">
        <v>77210</v>
      </c>
      <c r="C15298" s="3" t="s">
        <v>31</v>
      </c>
      <c r="D15298" s="3" t="s">
        <v>32</v>
      </c>
      <c r="E15298" s="4" t="s">
        <v>22</v>
      </c>
      <c r="F15298" s="4" t="s">
        <v>77136</v>
      </c>
      <c r="G15298" s="4" t="s">
        <v>77130</v>
      </c>
      <c r="H15298" s="3" t="s">
        <v>77131</v>
      </c>
      <c r="I15298" s="3" t="s">
        <v>4285</v>
      </c>
      <c r="J15298" s="3" t="s">
        <v>77211</v>
      </c>
      <c r="K15298" s="3" t="s">
        <v>77212</v>
      </c>
      <c r="L15298" s="3"/>
      <c r="M15298" s="4" t="s">
        <v>77213</v>
      </c>
      <c r="N15298" s="3" t="s">
        <v>37</v>
      </c>
      <c r="O15298" s="3" t="s">
        <v>46</v>
      </c>
      <c r="P15298" s="5">
        <v>21</v>
      </c>
      <c r="Q15298" s="5">
        <v>580</v>
      </c>
      <c r="R15298" s="5">
        <v>20</v>
      </c>
      <c r="S15298" s="5">
        <v>558</v>
      </c>
    </row>
    <row r="15299" spans="1:19" ht="42" x14ac:dyDescent="0.15">
      <c r="A15299" s="2">
        <f>HYPERLINK("https://open-school.uspishnemisto.com.ua/school/730019/", 730019)</f>
        <v>730019</v>
      </c>
      <c r="B15299" s="3" t="s">
        <v>77214</v>
      </c>
      <c r="C15299" s="3" t="s">
        <v>244</v>
      </c>
      <c r="D15299" s="3" t="s">
        <v>32</v>
      </c>
      <c r="E15299" s="4" t="s">
        <v>22</v>
      </c>
      <c r="F15299" s="4" t="s">
        <v>77152</v>
      </c>
      <c r="G15299" s="4" t="s">
        <v>77130</v>
      </c>
      <c r="H15299" s="3" t="s">
        <v>77131</v>
      </c>
      <c r="I15299" s="3" t="s">
        <v>4285</v>
      </c>
      <c r="J15299" s="3" t="s">
        <v>634</v>
      </c>
      <c r="K15299" s="3" t="s">
        <v>77215</v>
      </c>
      <c r="L15299" s="3" t="s">
        <v>77216</v>
      </c>
      <c r="M15299" s="4" t="s">
        <v>77217</v>
      </c>
      <c r="N15299" s="3" t="s">
        <v>37</v>
      </c>
      <c r="O15299" s="3" t="s">
        <v>16456</v>
      </c>
      <c r="P15299" s="5">
        <v>11</v>
      </c>
      <c r="Q15299" s="5">
        <v>353</v>
      </c>
      <c r="R15299" s="5">
        <v>11</v>
      </c>
      <c r="S15299" s="5">
        <v>339</v>
      </c>
    </row>
    <row r="15300" spans="1:19" ht="28" x14ac:dyDescent="0.15">
      <c r="A15300" s="2">
        <f>HYPERLINK("https://open-school.uspishnemisto.com.ua/school/730020/", 730020)</f>
        <v>730020</v>
      </c>
      <c r="B15300" s="3" t="s">
        <v>77218</v>
      </c>
      <c r="C15300" s="3" t="s">
        <v>244</v>
      </c>
      <c r="D15300" s="3" t="s">
        <v>60</v>
      </c>
      <c r="E15300" s="4" t="s">
        <v>22</v>
      </c>
      <c r="F15300" s="4" t="s">
        <v>77152</v>
      </c>
      <c r="G15300" s="4" t="s">
        <v>77130</v>
      </c>
      <c r="H15300" s="3" t="s">
        <v>77131</v>
      </c>
      <c r="I15300" s="3" t="s">
        <v>4285</v>
      </c>
      <c r="J15300" s="3" t="s">
        <v>77170</v>
      </c>
      <c r="K15300" s="3" t="s">
        <v>77219</v>
      </c>
      <c r="L15300" s="3"/>
      <c r="M15300" s="4"/>
      <c r="N15300" s="3" t="s">
        <v>37</v>
      </c>
      <c r="O15300" s="3" t="s">
        <v>52</v>
      </c>
      <c r="P15300" s="5">
        <v>8</v>
      </c>
      <c r="Q15300" s="5">
        <v>307</v>
      </c>
      <c r="R15300" s="5">
        <v>8</v>
      </c>
      <c r="S15300" s="5">
        <v>321</v>
      </c>
    </row>
    <row r="15301" spans="1:19" ht="28" x14ac:dyDescent="0.15">
      <c r="A15301" s="2">
        <f>HYPERLINK("https://open-school.uspishnemisto.com.ua/school/730021/", 730021)</f>
        <v>730021</v>
      </c>
      <c r="B15301" s="3" t="s">
        <v>77220</v>
      </c>
      <c r="C15301" s="3" t="s">
        <v>244</v>
      </c>
      <c r="D15301" s="3" t="s">
        <v>60</v>
      </c>
      <c r="E15301" s="4" t="s">
        <v>22</v>
      </c>
      <c r="F15301" s="4" t="s">
        <v>77152</v>
      </c>
      <c r="G15301" s="4" t="s">
        <v>77130</v>
      </c>
      <c r="H15301" s="3" t="s">
        <v>77131</v>
      </c>
      <c r="I15301" s="3" t="s">
        <v>4285</v>
      </c>
      <c r="J15301" s="3" t="s">
        <v>77174</v>
      </c>
      <c r="K15301" s="3" t="s">
        <v>77221</v>
      </c>
      <c r="L15301" s="3"/>
      <c r="M15301" s="4"/>
      <c r="N15301" s="3" t="s">
        <v>37</v>
      </c>
      <c r="O15301" s="3" t="s">
        <v>2740</v>
      </c>
      <c r="P15301" s="5">
        <v>12</v>
      </c>
      <c r="Q15301" s="5">
        <v>377</v>
      </c>
      <c r="R15301" s="5">
        <v>12</v>
      </c>
      <c r="S15301" s="5">
        <v>353</v>
      </c>
    </row>
    <row r="15302" spans="1:19" ht="28" x14ac:dyDescent="0.15">
      <c r="A15302" s="2">
        <f>HYPERLINK("https://open-school.uspishnemisto.com.ua/school/730022/", 730022)</f>
        <v>730022</v>
      </c>
      <c r="B15302" s="3" t="s">
        <v>77222</v>
      </c>
      <c r="C15302" s="3" t="s">
        <v>244</v>
      </c>
      <c r="D15302" s="3" t="s">
        <v>60</v>
      </c>
      <c r="E15302" s="4" t="s">
        <v>22</v>
      </c>
      <c r="F15302" s="4" t="s">
        <v>77163</v>
      </c>
      <c r="G15302" s="4" t="s">
        <v>77130</v>
      </c>
      <c r="H15302" s="3" t="s">
        <v>77131</v>
      </c>
      <c r="I15302" s="3" t="s">
        <v>4285</v>
      </c>
      <c r="J15302" s="3" t="s">
        <v>77223</v>
      </c>
      <c r="K15302" s="3" t="s">
        <v>77224</v>
      </c>
      <c r="L15302" s="3" t="s">
        <v>77225</v>
      </c>
      <c r="M15302" s="4"/>
      <c r="N15302" s="3" t="s">
        <v>37</v>
      </c>
      <c r="O15302" s="3" t="s">
        <v>52</v>
      </c>
      <c r="P15302" s="5">
        <v>16</v>
      </c>
      <c r="Q15302" s="5">
        <v>596</v>
      </c>
      <c r="R15302" s="5">
        <v>16</v>
      </c>
      <c r="S15302" s="5">
        <v>587</v>
      </c>
    </row>
    <row r="15303" spans="1:19" ht="28" x14ac:dyDescent="0.15">
      <c r="A15303" s="2">
        <f>HYPERLINK("https://open-school.uspishnemisto.com.ua/school/730023/", 730023)</f>
        <v>730023</v>
      </c>
      <c r="B15303" s="3" t="s">
        <v>77226</v>
      </c>
      <c r="C15303" s="3" t="s">
        <v>188</v>
      </c>
      <c r="D15303" s="3" t="s">
        <v>32</v>
      </c>
      <c r="E15303" s="4" t="s">
        <v>22</v>
      </c>
      <c r="F15303" s="4" t="s">
        <v>77227</v>
      </c>
      <c r="G15303" s="4" t="s">
        <v>77130</v>
      </c>
      <c r="H15303" s="3" t="s">
        <v>77131</v>
      </c>
      <c r="I15303" s="3" t="s">
        <v>4285</v>
      </c>
      <c r="J15303" s="3" t="s">
        <v>77164</v>
      </c>
      <c r="K15303" s="3" t="s">
        <v>77228</v>
      </c>
      <c r="L15303" s="3" t="s">
        <v>77229</v>
      </c>
      <c r="M15303" s="4" t="s">
        <v>77230</v>
      </c>
      <c r="N15303" s="3" t="s">
        <v>37</v>
      </c>
      <c r="O15303" s="3" t="s">
        <v>70</v>
      </c>
      <c r="P15303" s="5">
        <v>30</v>
      </c>
      <c r="Q15303" s="5">
        <v>866</v>
      </c>
      <c r="R15303" s="5">
        <v>28</v>
      </c>
      <c r="S15303" s="5">
        <v>829</v>
      </c>
    </row>
    <row r="15304" spans="1:19" ht="28" x14ac:dyDescent="0.15">
      <c r="A15304" s="2">
        <f>HYPERLINK("https://open-school.uspishnemisto.com.ua/school/730024/", 730024)</f>
        <v>730024</v>
      </c>
      <c r="B15304" s="3" t="s">
        <v>77231</v>
      </c>
      <c r="C15304" s="3" t="s">
        <v>188</v>
      </c>
      <c r="D15304" s="3" t="s">
        <v>32</v>
      </c>
      <c r="E15304" s="4" t="s">
        <v>22</v>
      </c>
      <c r="F15304" s="4" t="s">
        <v>77232</v>
      </c>
      <c r="G15304" s="4" t="s">
        <v>77130</v>
      </c>
      <c r="H15304" s="3" t="s">
        <v>77131</v>
      </c>
      <c r="I15304" s="3" t="s">
        <v>4285</v>
      </c>
      <c r="J15304" s="3" t="s">
        <v>77233</v>
      </c>
      <c r="K15304" s="3" t="s">
        <v>77234</v>
      </c>
      <c r="L15304" s="3" t="s">
        <v>77235</v>
      </c>
      <c r="M15304" s="4" t="s">
        <v>77236</v>
      </c>
      <c r="N15304" s="3" t="s">
        <v>37</v>
      </c>
      <c r="O15304" s="3" t="s">
        <v>123</v>
      </c>
      <c r="P15304" s="5">
        <v>6</v>
      </c>
      <c r="Q15304" s="5">
        <v>158</v>
      </c>
      <c r="R15304" s="5">
        <v>6</v>
      </c>
      <c r="S15304" s="5">
        <v>166</v>
      </c>
    </row>
    <row r="15305" spans="1:19" ht="28" x14ac:dyDescent="0.15">
      <c r="A15305" s="2">
        <f>HYPERLINK("https://open-school.uspishnemisto.com.ua/school/730025/", 730025)</f>
        <v>730025</v>
      </c>
      <c r="B15305" s="3" t="s">
        <v>77237</v>
      </c>
      <c r="C15305" s="3" t="s">
        <v>188</v>
      </c>
      <c r="D15305" s="3" t="s">
        <v>32</v>
      </c>
      <c r="E15305" s="4" t="s">
        <v>22</v>
      </c>
      <c r="F15305" s="4" t="s">
        <v>77146</v>
      </c>
      <c r="G15305" s="4" t="s">
        <v>77130</v>
      </c>
      <c r="H15305" s="3" t="s">
        <v>77131</v>
      </c>
      <c r="I15305" s="3" t="s">
        <v>4285</v>
      </c>
      <c r="J15305" s="3" t="s">
        <v>77238</v>
      </c>
      <c r="K15305" s="3" t="s">
        <v>77239</v>
      </c>
      <c r="L15305" s="3" t="s">
        <v>77240</v>
      </c>
      <c r="M15305" s="4"/>
      <c r="N15305" s="3" t="s">
        <v>37</v>
      </c>
      <c r="O15305" s="3" t="s">
        <v>52</v>
      </c>
      <c r="P15305" s="5">
        <v>14</v>
      </c>
      <c r="Q15305" s="5">
        <v>410</v>
      </c>
      <c r="R15305" s="5">
        <v>13</v>
      </c>
      <c r="S15305" s="5">
        <v>406</v>
      </c>
    </row>
    <row r="15306" spans="1:19" ht="28" x14ac:dyDescent="0.15">
      <c r="A15306" s="2">
        <f>HYPERLINK("https://open-school.uspishnemisto.com.ua/school/730026/", 730026)</f>
        <v>730026</v>
      </c>
      <c r="B15306" s="3" t="s">
        <v>77241</v>
      </c>
      <c r="C15306" s="3" t="s">
        <v>48</v>
      </c>
      <c r="D15306" s="3" t="s">
        <v>32</v>
      </c>
      <c r="E15306" s="4" t="s">
        <v>22</v>
      </c>
      <c r="F15306" s="4" t="s">
        <v>77192</v>
      </c>
      <c r="G15306" s="4" t="s">
        <v>77242</v>
      </c>
      <c r="H15306" s="3" t="s">
        <v>77131</v>
      </c>
      <c r="I15306" s="3" t="s">
        <v>77243</v>
      </c>
      <c r="J15306" s="3" t="s">
        <v>77244</v>
      </c>
      <c r="K15306" s="3" t="s">
        <v>77245</v>
      </c>
      <c r="L15306" s="3" t="s">
        <v>77246</v>
      </c>
      <c r="M15306" s="4" t="s">
        <v>77247</v>
      </c>
      <c r="N15306" s="3" t="s">
        <v>37</v>
      </c>
      <c r="O15306" s="3" t="s">
        <v>46</v>
      </c>
      <c r="P15306" s="5">
        <v>8</v>
      </c>
      <c r="Q15306" s="5">
        <v>203</v>
      </c>
      <c r="R15306" s="5">
        <v>8</v>
      </c>
      <c r="S15306" s="5">
        <v>209</v>
      </c>
    </row>
    <row r="15307" spans="1:19" ht="42" x14ac:dyDescent="0.15">
      <c r="A15307" s="2">
        <f>HYPERLINK("https://open-school.uspishnemisto.com.ua/school/730027/", 730027)</f>
        <v>730027</v>
      </c>
      <c r="B15307" s="3" t="s">
        <v>77248</v>
      </c>
      <c r="C15307" s="3" t="s">
        <v>54</v>
      </c>
      <c r="D15307" s="3" t="s">
        <v>32</v>
      </c>
      <c r="E15307" s="4" t="s">
        <v>22</v>
      </c>
      <c r="F15307" s="4" t="s">
        <v>77129</v>
      </c>
      <c r="G15307" s="4" t="s">
        <v>77242</v>
      </c>
      <c r="H15307" s="3" t="s">
        <v>77131</v>
      </c>
      <c r="I15307" s="3" t="s">
        <v>77243</v>
      </c>
      <c r="J15307" s="3" t="s">
        <v>77249</v>
      </c>
      <c r="K15307" s="3" t="s">
        <v>77250</v>
      </c>
      <c r="L15307" s="3"/>
      <c r="M15307" s="4"/>
      <c r="N15307" s="3" t="s">
        <v>37</v>
      </c>
      <c r="O15307" s="3" t="s">
        <v>123</v>
      </c>
      <c r="P15307" s="5">
        <v>9</v>
      </c>
      <c r="Q15307" s="5">
        <v>283</v>
      </c>
      <c r="R15307" s="5">
        <v>11</v>
      </c>
      <c r="S15307" s="5">
        <v>319</v>
      </c>
    </row>
    <row r="15308" spans="1:19" ht="28" x14ac:dyDescent="0.15">
      <c r="A15308" s="2">
        <f>HYPERLINK("https://open-school.uspishnemisto.com.ua/school/730028/", 730028)</f>
        <v>730028</v>
      </c>
      <c r="B15308" s="3" t="s">
        <v>77251</v>
      </c>
      <c r="C15308" s="3" t="s">
        <v>40</v>
      </c>
      <c r="D15308" s="3" t="s">
        <v>32</v>
      </c>
      <c r="E15308" s="4" t="s">
        <v>22</v>
      </c>
      <c r="F15308" s="4" t="s">
        <v>77252</v>
      </c>
      <c r="G15308" s="4" t="s">
        <v>77242</v>
      </c>
      <c r="H15308" s="3" t="s">
        <v>77131</v>
      </c>
      <c r="I15308" s="3" t="s">
        <v>77243</v>
      </c>
      <c r="J15308" s="3" t="s">
        <v>77253</v>
      </c>
      <c r="K15308" s="3" t="s">
        <v>77254</v>
      </c>
      <c r="L15308" s="3" t="s">
        <v>77255</v>
      </c>
      <c r="M15308" s="4"/>
      <c r="N15308" s="3" t="s">
        <v>37</v>
      </c>
      <c r="O15308" s="3" t="s">
        <v>46</v>
      </c>
      <c r="P15308" s="5">
        <v>19</v>
      </c>
      <c r="Q15308" s="5">
        <v>594</v>
      </c>
      <c r="R15308" s="5">
        <v>20</v>
      </c>
      <c r="S15308" s="5">
        <v>629</v>
      </c>
    </row>
    <row r="15309" spans="1:19" ht="28" x14ac:dyDescent="0.15">
      <c r="A15309" s="2">
        <f>HYPERLINK("https://open-school.uspishnemisto.com.ua/school/730029/", 730029)</f>
        <v>730029</v>
      </c>
      <c r="B15309" s="3" t="s">
        <v>77256</v>
      </c>
      <c r="C15309" s="3" t="s">
        <v>40</v>
      </c>
      <c r="D15309" s="3" t="s">
        <v>32</v>
      </c>
      <c r="E15309" s="4" t="s">
        <v>22</v>
      </c>
      <c r="F15309" s="4" t="s">
        <v>77163</v>
      </c>
      <c r="G15309" s="4" t="s">
        <v>77242</v>
      </c>
      <c r="H15309" s="3" t="s">
        <v>77131</v>
      </c>
      <c r="I15309" s="3" t="s">
        <v>77243</v>
      </c>
      <c r="J15309" s="3" t="s">
        <v>77223</v>
      </c>
      <c r="K15309" s="3" t="s">
        <v>77257</v>
      </c>
      <c r="L15309" s="3" t="s">
        <v>77225</v>
      </c>
      <c r="M15309" s="4" t="s">
        <v>77258</v>
      </c>
      <c r="N15309" s="3" t="s">
        <v>37</v>
      </c>
      <c r="O15309" s="3" t="s">
        <v>618</v>
      </c>
      <c r="P15309" s="5">
        <v>24</v>
      </c>
      <c r="Q15309" s="5">
        <v>719</v>
      </c>
      <c r="R15309" s="5">
        <v>25</v>
      </c>
      <c r="S15309" s="5">
        <v>735</v>
      </c>
    </row>
    <row r="15310" spans="1:19" ht="28" x14ac:dyDescent="0.15">
      <c r="A15310" s="2">
        <f>HYPERLINK("https://open-school.uspishnemisto.com.ua/school/730030/", 730030)</f>
        <v>730030</v>
      </c>
      <c r="B15310" s="3" t="s">
        <v>77259</v>
      </c>
      <c r="C15310" s="3" t="s">
        <v>31</v>
      </c>
      <c r="D15310" s="3" t="s">
        <v>175</v>
      </c>
      <c r="E15310" s="4" t="s">
        <v>22</v>
      </c>
      <c r="F15310" s="4" t="s">
        <v>77260</v>
      </c>
      <c r="G15310" s="4" t="s">
        <v>77242</v>
      </c>
      <c r="H15310" s="3" t="s">
        <v>77131</v>
      </c>
      <c r="I15310" s="3" t="s">
        <v>77243</v>
      </c>
      <c r="J15310" s="3" t="s">
        <v>77261</v>
      </c>
      <c r="K15310" s="3" t="s">
        <v>77262</v>
      </c>
      <c r="L15310" s="3" t="s">
        <v>77263</v>
      </c>
      <c r="M15310" s="4" t="s">
        <v>77264</v>
      </c>
      <c r="N15310" s="3" t="s">
        <v>22346</v>
      </c>
      <c r="O15310" s="3" t="s">
        <v>2740</v>
      </c>
      <c r="P15310" s="5">
        <v>9</v>
      </c>
      <c r="Q15310" s="5">
        <v>77</v>
      </c>
      <c r="R15310" s="5">
        <v>9</v>
      </c>
      <c r="S15310" s="5">
        <v>74</v>
      </c>
    </row>
    <row r="15311" spans="1:19" ht="28" x14ac:dyDescent="0.15">
      <c r="A15311" s="2">
        <f>HYPERLINK("https://open-school.uspishnemisto.com.ua/school/730031/", 730031)</f>
        <v>730031</v>
      </c>
      <c r="B15311" s="3" t="s">
        <v>77265</v>
      </c>
      <c r="C15311" s="3" t="s">
        <v>31</v>
      </c>
      <c r="D15311" s="3" t="s">
        <v>32</v>
      </c>
      <c r="E15311" s="4" t="s">
        <v>22</v>
      </c>
      <c r="F15311" s="4" t="s">
        <v>77192</v>
      </c>
      <c r="G15311" s="4" t="s">
        <v>77242</v>
      </c>
      <c r="H15311" s="3" t="s">
        <v>77131</v>
      </c>
      <c r="I15311" s="3" t="s">
        <v>77243</v>
      </c>
      <c r="J15311" s="3" t="s">
        <v>77266</v>
      </c>
      <c r="K15311" s="3" t="s">
        <v>77267</v>
      </c>
      <c r="L15311" s="3" t="s">
        <v>77268</v>
      </c>
      <c r="M15311" s="4" t="s">
        <v>77269</v>
      </c>
      <c r="N15311" s="3" t="s">
        <v>37</v>
      </c>
      <c r="O15311" s="3" t="s">
        <v>46</v>
      </c>
      <c r="P15311" s="5">
        <v>16</v>
      </c>
      <c r="Q15311" s="5">
        <v>421</v>
      </c>
      <c r="R15311" s="5">
        <v>14</v>
      </c>
      <c r="S15311" s="5">
        <v>358</v>
      </c>
    </row>
    <row r="15312" spans="1:19" ht="28" x14ac:dyDescent="0.15">
      <c r="A15312" s="2">
        <f>HYPERLINK("https://open-school.uspishnemisto.com.ua/school/730032/", 730032)</f>
        <v>730032</v>
      </c>
      <c r="B15312" s="3" t="s">
        <v>77270</v>
      </c>
      <c r="C15312" s="3" t="s">
        <v>31</v>
      </c>
      <c r="D15312" s="3" t="s">
        <v>32</v>
      </c>
      <c r="E15312" s="4" t="s">
        <v>22</v>
      </c>
      <c r="F15312" s="4" t="s">
        <v>77197</v>
      </c>
      <c r="G15312" s="4" t="s">
        <v>77242</v>
      </c>
      <c r="H15312" s="3" t="s">
        <v>77131</v>
      </c>
      <c r="I15312" s="3" t="s">
        <v>77243</v>
      </c>
      <c r="J15312" s="3" t="s">
        <v>77271</v>
      </c>
      <c r="K15312" s="3" t="s">
        <v>77272</v>
      </c>
      <c r="L15312" s="3" t="s">
        <v>77273</v>
      </c>
      <c r="M15312" s="4"/>
      <c r="N15312" s="3" t="s">
        <v>37</v>
      </c>
      <c r="O15312" s="3" t="s">
        <v>46</v>
      </c>
      <c r="P15312" s="5">
        <v>40</v>
      </c>
      <c r="Q15312" s="5">
        <v>1203</v>
      </c>
      <c r="R15312" s="5">
        <v>39</v>
      </c>
      <c r="S15312" s="5">
        <v>1150</v>
      </c>
    </row>
    <row r="15313" spans="1:19" ht="42" x14ac:dyDescent="0.15">
      <c r="A15313" s="2">
        <f>HYPERLINK("https://open-school.uspishnemisto.com.ua/school/730033/", 730033)</f>
        <v>730033</v>
      </c>
      <c r="B15313" s="3" t="s">
        <v>77274</v>
      </c>
      <c r="C15313" s="3" t="s">
        <v>31</v>
      </c>
      <c r="D15313" s="3" t="s">
        <v>32</v>
      </c>
      <c r="E15313" s="4" t="s">
        <v>22</v>
      </c>
      <c r="F15313" s="4" t="s">
        <v>77129</v>
      </c>
      <c r="G15313" s="4" t="s">
        <v>77242</v>
      </c>
      <c r="H15313" s="3" t="s">
        <v>77131</v>
      </c>
      <c r="I15313" s="3" t="s">
        <v>77243</v>
      </c>
      <c r="J15313" s="3" t="s">
        <v>4550</v>
      </c>
      <c r="K15313" s="3" t="s">
        <v>77275</v>
      </c>
      <c r="L15313" s="3"/>
      <c r="M15313" s="4" t="s">
        <v>77276</v>
      </c>
      <c r="N15313" s="3" t="s">
        <v>37</v>
      </c>
      <c r="O15313" s="3" t="s">
        <v>46</v>
      </c>
      <c r="P15313" s="5">
        <v>30</v>
      </c>
      <c r="Q15313" s="5">
        <v>842</v>
      </c>
      <c r="R15313" s="5">
        <v>30</v>
      </c>
      <c r="S15313" s="5">
        <v>845</v>
      </c>
    </row>
    <row r="15314" spans="1:19" ht="28" x14ac:dyDescent="0.15">
      <c r="A15314" s="2">
        <f>HYPERLINK("https://open-school.uspishnemisto.com.ua/school/730034/", 730034)</f>
        <v>730034</v>
      </c>
      <c r="B15314" s="3" t="s">
        <v>77277</v>
      </c>
      <c r="C15314" s="3" t="s">
        <v>31</v>
      </c>
      <c r="D15314" s="3" t="s">
        <v>32</v>
      </c>
      <c r="E15314" s="4" t="s">
        <v>22</v>
      </c>
      <c r="F15314" s="4" t="s">
        <v>77278</v>
      </c>
      <c r="G15314" s="4" t="s">
        <v>77242</v>
      </c>
      <c r="H15314" s="3" t="s">
        <v>77131</v>
      </c>
      <c r="I15314" s="3" t="s">
        <v>77243</v>
      </c>
      <c r="J15314" s="3" t="s">
        <v>77279</v>
      </c>
      <c r="K15314" s="3" t="s">
        <v>77280</v>
      </c>
      <c r="L15314" s="3" t="s">
        <v>77281</v>
      </c>
      <c r="M15314" s="4"/>
      <c r="N15314" s="3" t="s">
        <v>37</v>
      </c>
      <c r="O15314" s="3" t="s">
        <v>46</v>
      </c>
      <c r="P15314" s="5">
        <v>27</v>
      </c>
      <c r="Q15314" s="5">
        <v>691</v>
      </c>
      <c r="R15314" s="5">
        <v>27</v>
      </c>
      <c r="S15314" s="5">
        <v>698</v>
      </c>
    </row>
    <row r="15315" spans="1:19" ht="28" x14ac:dyDescent="0.15">
      <c r="A15315" s="2">
        <f>HYPERLINK("https://open-school.uspishnemisto.com.ua/school/730035/", 730035)</f>
        <v>730035</v>
      </c>
      <c r="B15315" s="3" t="s">
        <v>77282</v>
      </c>
      <c r="C15315" s="3" t="s">
        <v>31</v>
      </c>
      <c r="D15315" s="3" t="s">
        <v>32</v>
      </c>
      <c r="E15315" s="4" t="s">
        <v>22</v>
      </c>
      <c r="F15315" s="4" t="s">
        <v>77192</v>
      </c>
      <c r="G15315" s="4" t="s">
        <v>77242</v>
      </c>
      <c r="H15315" s="3" t="s">
        <v>77131</v>
      </c>
      <c r="I15315" s="3" t="s">
        <v>77243</v>
      </c>
      <c r="J15315" s="3" t="s">
        <v>77283</v>
      </c>
      <c r="K15315" s="3" t="s">
        <v>77284</v>
      </c>
      <c r="L15315" s="3"/>
      <c r="M15315" s="4" t="s">
        <v>77285</v>
      </c>
      <c r="N15315" s="3" t="s">
        <v>37</v>
      </c>
      <c r="O15315" s="3" t="s">
        <v>52</v>
      </c>
      <c r="P15315" s="5">
        <v>20</v>
      </c>
      <c r="Q15315" s="5">
        <v>538</v>
      </c>
      <c r="R15315" s="5">
        <v>20</v>
      </c>
      <c r="S15315" s="5">
        <v>528</v>
      </c>
    </row>
    <row r="15316" spans="1:19" ht="28" x14ac:dyDescent="0.15">
      <c r="A15316" s="2">
        <f>HYPERLINK("https://open-school.uspishnemisto.com.ua/school/730036/", 730036)</f>
        <v>730036</v>
      </c>
      <c r="B15316" s="3" t="s">
        <v>77286</v>
      </c>
      <c r="C15316" s="3" t="s">
        <v>31</v>
      </c>
      <c r="D15316" s="3" t="s">
        <v>32</v>
      </c>
      <c r="E15316" s="4" t="s">
        <v>22</v>
      </c>
      <c r="F15316" s="4" t="s">
        <v>77163</v>
      </c>
      <c r="G15316" s="4" t="s">
        <v>77242</v>
      </c>
      <c r="H15316" s="3" t="s">
        <v>77131</v>
      </c>
      <c r="I15316" s="3" t="s">
        <v>77243</v>
      </c>
      <c r="J15316" s="3" t="s">
        <v>77287</v>
      </c>
      <c r="K15316" s="3" t="s">
        <v>77288</v>
      </c>
      <c r="L15316" s="3"/>
      <c r="M15316" s="4" t="s">
        <v>77289</v>
      </c>
      <c r="N15316" s="3" t="s">
        <v>37</v>
      </c>
      <c r="O15316" s="3" t="s">
        <v>46</v>
      </c>
      <c r="P15316" s="5">
        <v>18</v>
      </c>
      <c r="Q15316" s="5">
        <v>455</v>
      </c>
      <c r="R15316" s="5">
        <v>16</v>
      </c>
      <c r="S15316" s="5">
        <v>407</v>
      </c>
    </row>
    <row r="15317" spans="1:19" ht="42" x14ac:dyDescent="0.15">
      <c r="A15317" s="2">
        <f>HYPERLINK("https://open-school.uspishnemisto.com.ua/school/730037/", 730037)</f>
        <v>730037</v>
      </c>
      <c r="B15317" s="3" t="s">
        <v>77290</v>
      </c>
      <c r="C15317" s="3" t="s">
        <v>244</v>
      </c>
      <c r="D15317" s="3" t="s">
        <v>60</v>
      </c>
      <c r="E15317" s="4" t="s">
        <v>22</v>
      </c>
      <c r="F15317" s="4" t="s">
        <v>77252</v>
      </c>
      <c r="G15317" s="4" t="s">
        <v>77242</v>
      </c>
      <c r="H15317" s="3" t="s">
        <v>77131</v>
      </c>
      <c r="I15317" s="3" t="s">
        <v>77243</v>
      </c>
      <c r="J15317" s="3" t="s">
        <v>77291</v>
      </c>
      <c r="K15317" s="3" t="s">
        <v>77292</v>
      </c>
      <c r="L15317" s="3" t="s">
        <v>77255</v>
      </c>
      <c r="M15317" s="4"/>
      <c r="N15317" s="3" t="s">
        <v>37</v>
      </c>
      <c r="O15317" s="3" t="s">
        <v>618</v>
      </c>
      <c r="P15317" s="5">
        <v>13</v>
      </c>
      <c r="Q15317" s="5">
        <v>449</v>
      </c>
      <c r="R15317" s="5">
        <v>13</v>
      </c>
      <c r="S15317" s="5">
        <v>426</v>
      </c>
    </row>
    <row r="15318" spans="1:19" ht="28" x14ac:dyDescent="0.15">
      <c r="A15318" s="2">
        <f>HYPERLINK("https://open-school.uspishnemisto.com.ua/school/730038/", 730038)</f>
        <v>730038</v>
      </c>
      <c r="B15318" s="3" t="s">
        <v>77293</v>
      </c>
      <c r="C15318" s="3" t="s">
        <v>244</v>
      </c>
      <c r="D15318" s="3" t="s">
        <v>60</v>
      </c>
      <c r="E15318" s="4" t="s">
        <v>22</v>
      </c>
      <c r="F15318" s="4" t="s">
        <v>77178</v>
      </c>
      <c r="G15318" s="4" t="s">
        <v>77242</v>
      </c>
      <c r="H15318" s="3" t="s">
        <v>77131</v>
      </c>
      <c r="I15318" s="3" t="s">
        <v>77243</v>
      </c>
      <c r="J15318" s="3" t="s">
        <v>70485</v>
      </c>
      <c r="K15318" s="3" t="s">
        <v>77294</v>
      </c>
      <c r="L15318" s="3"/>
      <c r="M15318" s="4"/>
      <c r="N15318" s="3" t="s">
        <v>37</v>
      </c>
      <c r="O15318" s="3" t="s">
        <v>52</v>
      </c>
      <c r="P15318" s="5">
        <v>12</v>
      </c>
      <c r="Q15318" s="5">
        <v>439</v>
      </c>
      <c r="R15318" s="5">
        <v>12</v>
      </c>
      <c r="S15318" s="5">
        <v>425</v>
      </c>
    </row>
    <row r="15319" spans="1:19" ht="28" x14ac:dyDescent="0.15">
      <c r="A15319" s="2">
        <f>HYPERLINK("https://open-school.uspishnemisto.com.ua/school/730039/", 730039)</f>
        <v>730039</v>
      </c>
      <c r="B15319" s="3" t="s">
        <v>77295</v>
      </c>
      <c r="C15319" s="3" t="s">
        <v>244</v>
      </c>
      <c r="D15319" s="3" t="s">
        <v>32</v>
      </c>
      <c r="E15319" s="4" t="s">
        <v>22</v>
      </c>
      <c r="F15319" s="4" t="s">
        <v>77296</v>
      </c>
      <c r="G15319" s="4" t="s">
        <v>77242</v>
      </c>
      <c r="H15319" s="3" t="s">
        <v>77131</v>
      </c>
      <c r="I15319" s="3" t="s">
        <v>77243</v>
      </c>
      <c r="J15319" s="3" t="s">
        <v>77297</v>
      </c>
      <c r="K15319" s="3" t="s">
        <v>77298</v>
      </c>
      <c r="L15319" s="3" t="s">
        <v>77299</v>
      </c>
      <c r="M15319" s="4" t="s">
        <v>77300</v>
      </c>
      <c r="N15319" s="3" t="s">
        <v>37</v>
      </c>
      <c r="O15319" s="3" t="s">
        <v>237</v>
      </c>
      <c r="P15319" s="5">
        <v>41</v>
      </c>
      <c r="Q15319" s="5">
        <v>1262</v>
      </c>
      <c r="R15319" s="5">
        <v>39</v>
      </c>
      <c r="S15319" s="5">
        <v>1223</v>
      </c>
    </row>
    <row r="15320" spans="1:19" ht="28" x14ac:dyDescent="0.15">
      <c r="A15320" s="2">
        <f>HYPERLINK("https://open-school.uspishnemisto.com.ua/school/730040/", 730040)</f>
        <v>730040</v>
      </c>
      <c r="B15320" s="3" t="s">
        <v>77301</v>
      </c>
      <c r="C15320" s="3" t="s">
        <v>244</v>
      </c>
      <c r="D15320" s="3" t="s">
        <v>32</v>
      </c>
      <c r="E15320" s="4" t="s">
        <v>22</v>
      </c>
      <c r="F15320" s="4" t="s">
        <v>77278</v>
      </c>
      <c r="G15320" s="4" t="s">
        <v>77242</v>
      </c>
      <c r="H15320" s="3" t="s">
        <v>77131</v>
      </c>
      <c r="I15320" s="3" t="s">
        <v>77243</v>
      </c>
      <c r="J15320" s="3" t="s">
        <v>77302</v>
      </c>
      <c r="K15320" s="3" t="s">
        <v>77303</v>
      </c>
      <c r="L15320" s="3" t="s">
        <v>77304</v>
      </c>
      <c r="M15320" s="4"/>
      <c r="N15320" s="3" t="s">
        <v>37</v>
      </c>
      <c r="O15320" s="3" t="s">
        <v>46</v>
      </c>
      <c r="P15320" s="5">
        <v>34</v>
      </c>
      <c r="Q15320" s="5">
        <v>998</v>
      </c>
      <c r="R15320" s="5">
        <v>33</v>
      </c>
      <c r="S15320" s="5">
        <v>1002</v>
      </c>
    </row>
    <row r="15321" spans="1:19" ht="28" x14ac:dyDescent="0.15">
      <c r="A15321" s="2">
        <f>HYPERLINK("https://open-school.uspishnemisto.com.ua/school/730041/", 730041)</f>
        <v>730041</v>
      </c>
      <c r="B15321" s="3" t="s">
        <v>77305</v>
      </c>
      <c r="C15321" s="3" t="s">
        <v>188</v>
      </c>
      <c r="D15321" s="3" t="s">
        <v>32</v>
      </c>
      <c r="E15321" s="4" t="s">
        <v>22</v>
      </c>
      <c r="F15321" s="4" t="s">
        <v>77152</v>
      </c>
      <c r="G15321" s="4" t="s">
        <v>77242</v>
      </c>
      <c r="H15321" s="3" t="s">
        <v>77131</v>
      </c>
      <c r="I15321" s="3" t="s">
        <v>77243</v>
      </c>
      <c r="J15321" s="3" t="s">
        <v>77306</v>
      </c>
      <c r="K15321" s="3" t="s">
        <v>77307</v>
      </c>
      <c r="L15321" s="3" t="s">
        <v>77308</v>
      </c>
      <c r="M15321" s="4" t="s">
        <v>77309</v>
      </c>
      <c r="N15321" s="3" t="s">
        <v>37</v>
      </c>
      <c r="O15321" s="3" t="s">
        <v>46</v>
      </c>
      <c r="P15321" s="5">
        <v>11</v>
      </c>
      <c r="Q15321" s="5">
        <v>302</v>
      </c>
      <c r="R15321" s="5">
        <v>10</v>
      </c>
      <c r="S15321" s="5">
        <v>285</v>
      </c>
    </row>
    <row r="15322" spans="1:19" ht="42" x14ac:dyDescent="0.15">
      <c r="A15322" s="2">
        <f>HYPERLINK("https://open-school.uspishnemisto.com.ua/school/730042/", 730042)</f>
        <v>730042</v>
      </c>
      <c r="B15322" s="3" t="s">
        <v>77310</v>
      </c>
      <c r="C15322" s="3" t="s">
        <v>48</v>
      </c>
      <c r="D15322" s="3" t="s">
        <v>32</v>
      </c>
      <c r="E15322" s="4" t="s">
        <v>22</v>
      </c>
      <c r="F15322" s="4" t="s">
        <v>77141</v>
      </c>
      <c r="G15322" s="4" t="s">
        <v>77311</v>
      </c>
      <c r="H15322" s="3" t="s">
        <v>77131</v>
      </c>
      <c r="I15322" s="3" t="s">
        <v>77312</v>
      </c>
      <c r="J15322" s="3" t="s">
        <v>77313</v>
      </c>
      <c r="K15322" s="3" t="s">
        <v>77314</v>
      </c>
      <c r="L15322" s="3"/>
      <c r="M15322" s="4" t="s">
        <v>77315</v>
      </c>
      <c r="N15322" s="3" t="s">
        <v>37</v>
      </c>
      <c r="O15322" s="3" t="s">
        <v>123</v>
      </c>
      <c r="P15322" s="5">
        <v>9</v>
      </c>
      <c r="Q15322" s="5">
        <v>161</v>
      </c>
      <c r="R15322" s="5">
        <v>9</v>
      </c>
      <c r="S15322" s="5">
        <v>161</v>
      </c>
    </row>
    <row r="15323" spans="1:19" ht="42" x14ac:dyDescent="0.15">
      <c r="A15323" s="2">
        <f>HYPERLINK("https://open-school.uspishnemisto.com.ua/school/730043/", 730043)</f>
        <v>730043</v>
      </c>
      <c r="B15323" s="3" t="s">
        <v>77316</v>
      </c>
      <c r="C15323" s="3" t="s">
        <v>181</v>
      </c>
      <c r="D15323" s="3" t="s">
        <v>175</v>
      </c>
      <c r="E15323" s="4" t="s">
        <v>22</v>
      </c>
      <c r="F15323" s="4" t="s">
        <v>77141</v>
      </c>
      <c r="G15323" s="4" t="s">
        <v>77311</v>
      </c>
      <c r="H15323" s="3" t="s">
        <v>77131</v>
      </c>
      <c r="I15323" s="3" t="s">
        <v>77312</v>
      </c>
      <c r="J15323" s="3" t="s">
        <v>77317</v>
      </c>
      <c r="K15323" s="3" t="s">
        <v>77318</v>
      </c>
      <c r="L15323" s="3" t="s">
        <v>77319</v>
      </c>
      <c r="M15323" s="4" t="s">
        <v>77320</v>
      </c>
      <c r="N15323" s="3" t="s">
        <v>37</v>
      </c>
      <c r="O15323" s="3"/>
      <c r="P15323" s="5">
        <v>16</v>
      </c>
      <c r="Q15323" s="5">
        <v>180</v>
      </c>
      <c r="R15323" s="5">
        <v>16</v>
      </c>
      <c r="S15323" s="5">
        <v>172</v>
      </c>
    </row>
    <row r="15324" spans="1:19" ht="42" x14ac:dyDescent="0.15">
      <c r="A15324" s="2">
        <f>HYPERLINK("https://open-school.uspishnemisto.com.ua/school/730044/", 730044)</f>
        <v>730044</v>
      </c>
      <c r="B15324" s="3" t="s">
        <v>77321</v>
      </c>
      <c r="C15324" s="3" t="s">
        <v>54</v>
      </c>
      <c r="D15324" s="3" t="s">
        <v>175</v>
      </c>
      <c r="E15324" s="4" t="s">
        <v>41</v>
      </c>
      <c r="F15324" s="4" t="s">
        <v>77322</v>
      </c>
      <c r="G15324" s="4" t="s">
        <v>77311</v>
      </c>
      <c r="H15324" s="3" t="s">
        <v>77131</v>
      </c>
      <c r="I15324" s="3" t="s">
        <v>77312</v>
      </c>
      <c r="J15324" s="3" t="s">
        <v>77323</v>
      </c>
      <c r="K15324" s="3" t="s">
        <v>77324</v>
      </c>
      <c r="L15324" s="3" t="s">
        <v>77325</v>
      </c>
      <c r="M15324" s="4"/>
      <c r="N15324" s="3" t="s">
        <v>37</v>
      </c>
      <c r="O15324" s="3" t="s">
        <v>52</v>
      </c>
      <c r="P15324" s="5">
        <v>11</v>
      </c>
      <c r="Q15324" s="5">
        <v>153</v>
      </c>
      <c r="R15324" s="5">
        <v>9</v>
      </c>
      <c r="S15324" s="5">
        <v>109</v>
      </c>
    </row>
    <row r="15325" spans="1:19" ht="42" x14ac:dyDescent="0.15">
      <c r="A15325" s="2">
        <f>HYPERLINK("https://open-school.uspishnemisto.com.ua/school/730045/", 730045)</f>
        <v>730045</v>
      </c>
      <c r="B15325" s="3" t="s">
        <v>77326</v>
      </c>
      <c r="C15325" s="3" t="s">
        <v>40</v>
      </c>
      <c r="D15325" s="3" t="s">
        <v>32</v>
      </c>
      <c r="E15325" s="4" t="s">
        <v>22</v>
      </c>
      <c r="F15325" s="4" t="s">
        <v>77129</v>
      </c>
      <c r="G15325" s="4" t="s">
        <v>77311</v>
      </c>
      <c r="H15325" s="3" t="s">
        <v>77131</v>
      </c>
      <c r="I15325" s="3" t="s">
        <v>77312</v>
      </c>
      <c r="J15325" s="3" t="s">
        <v>77327</v>
      </c>
      <c r="K15325" s="3" t="s">
        <v>77328</v>
      </c>
      <c r="L15325" s="3" t="s">
        <v>77329</v>
      </c>
      <c r="M15325" s="4"/>
      <c r="N15325" s="3" t="s">
        <v>37</v>
      </c>
      <c r="O15325" s="3" t="s">
        <v>197</v>
      </c>
      <c r="P15325" s="5">
        <v>12</v>
      </c>
      <c r="Q15325" s="5">
        <v>347</v>
      </c>
      <c r="R15325" s="5">
        <v>13</v>
      </c>
      <c r="S15325" s="5">
        <v>361</v>
      </c>
    </row>
    <row r="15326" spans="1:19" ht="42" x14ac:dyDescent="0.15">
      <c r="A15326" s="2">
        <f>HYPERLINK("https://open-school.uspishnemisto.com.ua/school/730046/", 730046)</f>
        <v>730046</v>
      </c>
      <c r="B15326" s="3" t="s">
        <v>77330</v>
      </c>
      <c r="C15326" s="3" t="s">
        <v>40</v>
      </c>
      <c r="D15326" s="3" t="s">
        <v>32</v>
      </c>
      <c r="E15326" s="4" t="s">
        <v>22</v>
      </c>
      <c r="F15326" s="4" t="s">
        <v>77129</v>
      </c>
      <c r="G15326" s="4" t="s">
        <v>77311</v>
      </c>
      <c r="H15326" s="3" t="s">
        <v>77131</v>
      </c>
      <c r="I15326" s="3" t="s">
        <v>77312</v>
      </c>
      <c r="J15326" s="3" t="s">
        <v>77331</v>
      </c>
      <c r="K15326" s="3" t="s">
        <v>77332</v>
      </c>
      <c r="L15326" s="3" t="s">
        <v>77333</v>
      </c>
      <c r="M15326" s="4" t="s">
        <v>77334</v>
      </c>
      <c r="N15326" s="3" t="s">
        <v>22346</v>
      </c>
      <c r="O15326" s="3" t="s">
        <v>77335</v>
      </c>
      <c r="P15326" s="5">
        <v>7</v>
      </c>
      <c r="Q15326" s="5">
        <v>128</v>
      </c>
      <c r="R15326" s="5">
        <v>7</v>
      </c>
      <c r="S15326" s="5">
        <v>117</v>
      </c>
    </row>
    <row r="15327" spans="1:19" ht="42" x14ac:dyDescent="0.15">
      <c r="A15327" s="2">
        <f>HYPERLINK("https://open-school.uspishnemisto.com.ua/school/730047/", 730047)</f>
        <v>730047</v>
      </c>
      <c r="B15327" s="3" t="s">
        <v>77336</v>
      </c>
      <c r="C15327" s="3" t="s">
        <v>31</v>
      </c>
      <c r="D15327" s="3" t="s">
        <v>32</v>
      </c>
      <c r="E15327" s="4" t="s">
        <v>22</v>
      </c>
      <c r="F15327" s="4" t="s">
        <v>77129</v>
      </c>
      <c r="G15327" s="4" t="s">
        <v>77311</v>
      </c>
      <c r="H15327" s="3" t="s">
        <v>77131</v>
      </c>
      <c r="I15327" s="3" t="s">
        <v>77312</v>
      </c>
      <c r="J15327" s="3" t="s">
        <v>946</v>
      </c>
      <c r="K15327" s="3" t="s">
        <v>77337</v>
      </c>
      <c r="L15327" s="3"/>
      <c r="M15327" s="4" t="s">
        <v>77338</v>
      </c>
      <c r="N15327" s="3" t="s">
        <v>37</v>
      </c>
      <c r="O15327" s="3" t="s">
        <v>46</v>
      </c>
      <c r="P15327" s="5">
        <v>21</v>
      </c>
      <c r="Q15327" s="5">
        <v>592</v>
      </c>
      <c r="R15327" s="5">
        <v>18</v>
      </c>
      <c r="S15327" s="5">
        <v>525</v>
      </c>
    </row>
    <row r="15328" spans="1:19" ht="42" x14ac:dyDescent="0.15">
      <c r="A15328" s="2">
        <f>HYPERLINK("https://open-school.uspishnemisto.com.ua/school/730048/", 730048)</f>
        <v>730048</v>
      </c>
      <c r="B15328" s="3" t="s">
        <v>77339</v>
      </c>
      <c r="C15328" s="3" t="s">
        <v>31</v>
      </c>
      <c r="D15328" s="3" t="s">
        <v>175</v>
      </c>
      <c r="E15328" s="4" t="s">
        <v>22</v>
      </c>
      <c r="F15328" s="4" t="s">
        <v>77141</v>
      </c>
      <c r="G15328" s="4" t="s">
        <v>77311</v>
      </c>
      <c r="H15328" s="3" t="s">
        <v>77131</v>
      </c>
      <c r="I15328" s="3" t="s">
        <v>77312</v>
      </c>
      <c r="J15328" s="3" t="s">
        <v>77340</v>
      </c>
      <c r="K15328" s="3" t="s">
        <v>77341</v>
      </c>
      <c r="L15328" s="3" t="s">
        <v>77342</v>
      </c>
      <c r="M15328" s="4" t="s">
        <v>77343</v>
      </c>
      <c r="N15328" s="3" t="s">
        <v>22346</v>
      </c>
      <c r="O15328" s="3" t="s">
        <v>77344</v>
      </c>
      <c r="P15328" s="5">
        <v>9</v>
      </c>
      <c r="Q15328" s="5">
        <v>126</v>
      </c>
      <c r="R15328" s="5">
        <v>9</v>
      </c>
      <c r="S15328" s="5">
        <v>106</v>
      </c>
    </row>
    <row r="15329" spans="1:19" ht="42" x14ac:dyDescent="0.15">
      <c r="A15329" s="2">
        <f>HYPERLINK("https://open-school.uspishnemisto.com.ua/school/730049/", 730049)</f>
        <v>730049</v>
      </c>
      <c r="B15329" s="3" t="s">
        <v>77345</v>
      </c>
      <c r="C15329" s="3" t="s">
        <v>31</v>
      </c>
      <c r="D15329" s="3" t="s">
        <v>32</v>
      </c>
      <c r="E15329" s="4" t="s">
        <v>22</v>
      </c>
      <c r="F15329" s="4" t="s">
        <v>77197</v>
      </c>
      <c r="G15329" s="4" t="s">
        <v>77311</v>
      </c>
      <c r="H15329" s="3" t="s">
        <v>77131</v>
      </c>
      <c r="I15329" s="3" t="s">
        <v>77312</v>
      </c>
      <c r="J15329" s="3" t="s">
        <v>77346</v>
      </c>
      <c r="K15329" s="3" t="s">
        <v>77347</v>
      </c>
      <c r="L15329" s="3"/>
      <c r="M15329" s="4" t="s">
        <v>77348</v>
      </c>
      <c r="N15329" s="3" t="s">
        <v>37</v>
      </c>
      <c r="O15329" s="3" t="s">
        <v>46</v>
      </c>
      <c r="P15329" s="5">
        <v>15</v>
      </c>
      <c r="Q15329" s="5">
        <v>377</v>
      </c>
      <c r="R15329" s="5">
        <v>13</v>
      </c>
      <c r="S15329" s="5">
        <v>331</v>
      </c>
    </row>
    <row r="15330" spans="1:19" ht="42" x14ac:dyDescent="0.15">
      <c r="A15330" s="2">
        <f>HYPERLINK("https://open-school.uspishnemisto.com.ua/school/730050/", 730050)</f>
        <v>730050</v>
      </c>
      <c r="B15330" s="3" t="s">
        <v>77349</v>
      </c>
      <c r="C15330" s="3" t="s">
        <v>31</v>
      </c>
      <c r="D15330" s="3" t="s">
        <v>32</v>
      </c>
      <c r="E15330" s="4" t="s">
        <v>22</v>
      </c>
      <c r="F15330" s="4" t="s">
        <v>77232</v>
      </c>
      <c r="G15330" s="4" t="s">
        <v>77311</v>
      </c>
      <c r="H15330" s="3" t="s">
        <v>77131</v>
      </c>
      <c r="I15330" s="3" t="s">
        <v>77312</v>
      </c>
      <c r="J15330" s="3" t="s">
        <v>77350</v>
      </c>
      <c r="K15330" s="3" t="s">
        <v>77351</v>
      </c>
      <c r="L15330" s="3" t="s">
        <v>77352</v>
      </c>
      <c r="M15330" s="4" t="s">
        <v>77353</v>
      </c>
      <c r="N15330" s="3" t="s">
        <v>37</v>
      </c>
      <c r="O15330" s="3" t="s">
        <v>70</v>
      </c>
      <c r="P15330" s="5">
        <v>24</v>
      </c>
      <c r="Q15330" s="5">
        <v>636</v>
      </c>
      <c r="R15330" s="5">
        <v>23</v>
      </c>
      <c r="S15330" s="5">
        <v>623</v>
      </c>
    </row>
    <row r="15331" spans="1:19" ht="42" x14ac:dyDescent="0.15">
      <c r="A15331" s="2">
        <f>HYPERLINK("https://open-school.uspishnemisto.com.ua/school/730051/", 730051)</f>
        <v>730051</v>
      </c>
      <c r="B15331" s="3" t="s">
        <v>77354</v>
      </c>
      <c r="C15331" s="3" t="s">
        <v>31</v>
      </c>
      <c r="D15331" s="3" t="s">
        <v>32</v>
      </c>
      <c r="E15331" s="4" t="s">
        <v>22</v>
      </c>
      <c r="F15331" s="4" t="s">
        <v>77355</v>
      </c>
      <c r="G15331" s="4" t="s">
        <v>77311</v>
      </c>
      <c r="H15331" s="3" t="s">
        <v>77131</v>
      </c>
      <c r="I15331" s="3" t="s">
        <v>77312</v>
      </c>
      <c r="J15331" s="3" t="s">
        <v>77356</v>
      </c>
      <c r="K15331" s="3" t="s">
        <v>77357</v>
      </c>
      <c r="L15331" s="3" t="s">
        <v>77358</v>
      </c>
      <c r="M15331" s="4"/>
      <c r="N15331" s="3" t="s">
        <v>37</v>
      </c>
      <c r="O15331" s="3" t="s">
        <v>46</v>
      </c>
      <c r="P15331" s="5">
        <v>21</v>
      </c>
      <c r="Q15331" s="5">
        <v>558</v>
      </c>
      <c r="R15331" s="5">
        <v>21</v>
      </c>
      <c r="S15331" s="5">
        <v>533</v>
      </c>
    </row>
    <row r="15332" spans="1:19" ht="42" x14ac:dyDescent="0.15">
      <c r="A15332" s="2">
        <f>HYPERLINK("https://open-school.uspishnemisto.com.ua/school/730052/", 730052)</f>
        <v>730052</v>
      </c>
      <c r="B15332" s="3" t="s">
        <v>77359</v>
      </c>
      <c r="C15332" s="3" t="s">
        <v>31</v>
      </c>
      <c r="D15332" s="3" t="s">
        <v>32</v>
      </c>
      <c r="E15332" s="4" t="s">
        <v>22</v>
      </c>
      <c r="F15332" s="4" t="s">
        <v>77129</v>
      </c>
      <c r="G15332" s="4" t="s">
        <v>77311</v>
      </c>
      <c r="H15332" s="3" t="s">
        <v>77131</v>
      </c>
      <c r="I15332" s="3" t="s">
        <v>77312</v>
      </c>
      <c r="J15332" s="3" t="s">
        <v>77360</v>
      </c>
      <c r="K15332" s="3" t="s">
        <v>77361</v>
      </c>
      <c r="L15332" s="3"/>
      <c r="M15332" s="4" t="s">
        <v>77362</v>
      </c>
      <c r="N15332" s="3" t="s">
        <v>128</v>
      </c>
      <c r="O15332" s="3" t="s">
        <v>70</v>
      </c>
      <c r="P15332" s="5">
        <v>25</v>
      </c>
      <c r="Q15332" s="5">
        <v>575</v>
      </c>
      <c r="R15332" s="5">
        <v>25</v>
      </c>
      <c r="S15332" s="5">
        <v>575</v>
      </c>
    </row>
    <row r="15333" spans="1:19" ht="42" x14ac:dyDescent="0.15">
      <c r="A15333" s="2">
        <f>HYPERLINK("https://open-school.uspishnemisto.com.ua/school/730053/", 730053)</f>
        <v>730053</v>
      </c>
      <c r="B15333" s="3" t="s">
        <v>77363</v>
      </c>
      <c r="C15333" s="3" t="s">
        <v>244</v>
      </c>
      <c r="D15333" s="3" t="s">
        <v>60</v>
      </c>
      <c r="E15333" s="4" t="s">
        <v>22</v>
      </c>
      <c r="F15333" s="4" t="s">
        <v>77129</v>
      </c>
      <c r="G15333" s="4" t="s">
        <v>77311</v>
      </c>
      <c r="H15333" s="3" t="s">
        <v>77131</v>
      </c>
      <c r="I15333" s="3" t="s">
        <v>77312</v>
      </c>
      <c r="J15333" s="3" t="s">
        <v>77331</v>
      </c>
      <c r="K15333" s="3" t="s">
        <v>77364</v>
      </c>
      <c r="L15333" s="3"/>
      <c r="M15333" s="4"/>
      <c r="N15333" s="3" t="s">
        <v>22346</v>
      </c>
      <c r="O15333" s="3" t="s">
        <v>52</v>
      </c>
      <c r="P15333" s="5">
        <v>6</v>
      </c>
      <c r="Q15333" s="5">
        <v>135</v>
      </c>
      <c r="R15333" s="5">
        <v>5</v>
      </c>
      <c r="S15333" s="5">
        <v>110</v>
      </c>
    </row>
    <row r="15334" spans="1:19" ht="42" x14ac:dyDescent="0.15">
      <c r="A15334" s="2">
        <f>HYPERLINK("https://open-school.uspishnemisto.com.ua/school/730054/", 730054)</f>
        <v>730054</v>
      </c>
      <c r="B15334" s="3" t="s">
        <v>77365</v>
      </c>
      <c r="C15334" s="3" t="s">
        <v>244</v>
      </c>
      <c r="D15334" s="3" t="s">
        <v>60</v>
      </c>
      <c r="E15334" s="4" t="s">
        <v>22</v>
      </c>
      <c r="F15334" s="4" t="s">
        <v>77129</v>
      </c>
      <c r="G15334" s="4" t="s">
        <v>77311</v>
      </c>
      <c r="H15334" s="3" t="s">
        <v>77131</v>
      </c>
      <c r="I15334" s="3" t="s">
        <v>77312</v>
      </c>
      <c r="J15334" s="3" t="s">
        <v>77327</v>
      </c>
      <c r="K15334" s="3" t="s">
        <v>77366</v>
      </c>
      <c r="L15334" s="3" t="s">
        <v>77329</v>
      </c>
      <c r="M15334" s="4"/>
      <c r="N15334" s="3" t="s">
        <v>37</v>
      </c>
      <c r="O15334" s="3" t="s">
        <v>52</v>
      </c>
      <c r="P15334" s="5">
        <v>8</v>
      </c>
      <c r="Q15334" s="5">
        <v>254</v>
      </c>
      <c r="R15334" s="5">
        <v>8</v>
      </c>
      <c r="S15334" s="5">
        <v>245</v>
      </c>
    </row>
    <row r="15335" spans="1:19" ht="28" x14ac:dyDescent="0.15">
      <c r="A15335" s="2">
        <f>HYPERLINK("https://open-school.uspishnemisto.com.ua/school/730055/", 730055)</f>
        <v>730055</v>
      </c>
      <c r="B15335" s="3" t="s">
        <v>77367</v>
      </c>
      <c r="C15335" s="3" t="s">
        <v>31</v>
      </c>
      <c r="D15335" s="3" t="s">
        <v>32</v>
      </c>
      <c r="E15335" s="4" t="s">
        <v>22</v>
      </c>
      <c r="F15335" s="4" t="s">
        <v>77183</v>
      </c>
      <c r="G15335" s="4" t="s">
        <v>77368</v>
      </c>
      <c r="H15335" s="3" t="s">
        <v>77131</v>
      </c>
      <c r="I15335" s="3" t="s">
        <v>77369</v>
      </c>
      <c r="J15335" s="3" t="s">
        <v>77370</v>
      </c>
      <c r="K15335" s="3" t="s">
        <v>77371</v>
      </c>
      <c r="L15335" s="3" t="s">
        <v>77372</v>
      </c>
      <c r="M15335" s="4" t="s">
        <v>77373</v>
      </c>
      <c r="N15335" s="3" t="s">
        <v>37</v>
      </c>
      <c r="O15335" s="3" t="s">
        <v>46</v>
      </c>
      <c r="P15335" s="5">
        <v>10</v>
      </c>
      <c r="Q15335" s="5">
        <v>170</v>
      </c>
      <c r="R15335" s="5">
        <v>9</v>
      </c>
      <c r="S15335" s="5">
        <v>167</v>
      </c>
    </row>
    <row r="15336" spans="1:19" ht="28" x14ac:dyDescent="0.15">
      <c r="A15336" s="2">
        <f>HYPERLINK("https://open-school.uspishnemisto.com.ua/school/730056/", 730056)</f>
        <v>730056</v>
      </c>
      <c r="B15336" s="3" t="s">
        <v>77374</v>
      </c>
      <c r="C15336" s="3" t="s">
        <v>31</v>
      </c>
      <c r="D15336" s="3" t="s">
        <v>32</v>
      </c>
      <c r="E15336" s="4" t="s">
        <v>22</v>
      </c>
      <c r="F15336" s="4" t="s">
        <v>77136</v>
      </c>
      <c r="G15336" s="4" t="s">
        <v>77368</v>
      </c>
      <c r="H15336" s="3" t="s">
        <v>77131</v>
      </c>
      <c r="I15336" s="3" t="s">
        <v>77369</v>
      </c>
      <c r="J15336" s="3" t="s">
        <v>77375</v>
      </c>
      <c r="K15336" s="3" t="s">
        <v>77376</v>
      </c>
      <c r="L15336" s="3" t="s">
        <v>77377</v>
      </c>
      <c r="M15336" s="4" t="s">
        <v>77378</v>
      </c>
      <c r="N15336" s="3" t="s">
        <v>37</v>
      </c>
      <c r="O15336" s="3" t="s">
        <v>46</v>
      </c>
      <c r="P15336" s="5">
        <v>26</v>
      </c>
      <c r="Q15336" s="5">
        <v>677</v>
      </c>
      <c r="R15336" s="5">
        <v>25</v>
      </c>
      <c r="S15336" s="5">
        <v>649</v>
      </c>
    </row>
    <row r="15337" spans="1:19" ht="28" x14ac:dyDescent="0.15">
      <c r="A15337" s="2">
        <f>HYPERLINK("https://open-school.uspishnemisto.com.ua/school/730057/", 730057)</f>
        <v>730057</v>
      </c>
      <c r="B15337" s="3" t="s">
        <v>77379</v>
      </c>
      <c r="C15337" s="3" t="s">
        <v>31</v>
      </c>
      <c r="D15337" s="3" t="s">
        <v>32</v>
      </c>
      <c r="E15337" s="4" t="s">
        <v>22</v>
      </c>
      <c r="F15337" s="4" t="s">
        <v>77136</v>
      </c>
      <c r="G15337" s="4" t="s">
        <v>77368</v>
      </c>
      <c r="H15337" s="3" t="s">
        <v>77131</v>
      </c>
      <c r="I15337" s="3" t="s">
        <v>77369</v>
      </c>
      <c r="J15337" s="3" t="s">
        <v>77380</v>
      </c>
      <c r="K15337" s="3" t="s">
        <v>77381</v>
      </c>
      <c r="L15337" s="3" t="s">
        <v>77382</v>
      </c>
      <c r="M15337" s="4" t="s">
        <v>77383</v>
      </c>
      <c r="N15337" s="3" t="s">
        <v>37</v>
      </c>
      <c r="O15337" s="3" t="s">
        <v>52</v>
      </c>
      <c r="P15337" s="5">
        <v>13</v>
      </c>
      <c r="Q15337" s="5">
        <v>300</v>
      </c>
      <c r="R15337" s="5">
        <v>12</v>
      </c>
      <c r="S15337" s="5">
        <v>317</v>
      </c>
    </row>
    <row r="15338" spans="1:19" ht="28" x14ac:dyDescent="0.15">
      <c r="A15338" s="2">
        <f>HYPERLINK("https://open-school.uspishnemisto.com.ua/school/730058/", 730058)</f>
        <v>730058</v>
      </c>
      <c r="B15338" s="3" t="s">
        <v>77384</v>
      </c>
      <c r="C15338" s="3" t="s">
        <v>31</v>
      </c>
      <c r="D15338" s="3" t="s">
        <v>32</v>
      </c>
      <c r="E15338" s="4" t="s">
        <v>22</v>
      </c>
      <c r="F15338" s="4" t="s">
        <v>77136</v>
      </c>
      <c r="G15338" s="4" t="s">
        <v>77368</v>
      </c>
      <c r="H15338" s="3" t="s">
        <v>77131</v>
      </c>
      <c r="I15338" s="3" t="s">
        <v>77369</v>
      </c>
      <c r="J15338" s="3" t="s">
        <v>77385</v>
      </c>
      <c r="K15338" s="3" t="s">
        <v>77386</v>
      </c>
      <c r="L15338" s="3" t="s">
        <v>77387</v>
      </c>
      <c r="M15338" s="4" t="s">
        <v>77388</v>
      </c>
      <c r="N15338" s="3" t="s">
        <v>37</v>
      </c>
      <c r="O15338" s="3" t="s">
        <v>10453</v>
      </c>
      <c r="P15338" s="5">
        <v>20</v>
      </c>
      <c r="Q15338" s="5">
        <v>484</v>
      </c>
      <c r="R15338" s="5">
        <v>20</v>
      </c>
      <c r="S15338" s="5">
        <v>496</v>
      </c>
    </row>
    <row r="15339" spans="1:19" ht="28" x14ac:dyDescent="0.15">
      <c r="A15339" s="2">
        <f>HYPERLINK("https://open-school.uspishnemisto.com.ua/school/730059/", 730059)</f>
        <v>730059</v>
      </c>
      <c r="B15339" s="3" t="s">
        <v>77389</v>
      </c>
      <c r="C15339" s="3" t="s">
        <v>48</v>
      </c>
      <c r="D15339" s="3" t="s">
        <v>32</v>
      </c>
      <c r="E15339" s="4" t="s">
        <v>22</v>
      </c>
      <c r="F15339" s="4" t="s">
        <v>77390</v>
      </c>
      <c r="G15339" s="4" t="s">
        <v>77391</v>
      </c>
      <c r="H15339" s="3" t="s">
        <v>77131</v>
      </c>
      <c r="I15339" s="3" t="s">
        <v>77392</v>
      </c>
      <c r="J15339" s="3" t="s">
        <v>77393</v>
      </c>
      <c r="K15339" s="3" t="s">
        <v>77394</v>
      </c>
      <c r="L15339" s="3" t="s">
        <v>77395</v>
      </c>
      <c r="M15339" s="4" t="s">
        <v>77396</v>
      </c>
      <c r="N15339" s="3" t="s">
        <v>37</v>
      </c>
      <c r="O15339" s="3" t="s">
        <v>46</v>
      </c>
      <c r="P15339" s="5">
        <v>7</v>
      </c>
      <c r="Q15339" s="5">
        <v>164</v>
      </c>
      <c r="R15339" s="5">
        <v>7</v>
      </c>
      <c r="S15339" s="5">
        <v>143</v>
      </c>
    </row>
    <row r="15340" spans="1:19" ht="28" x14ac:dyDescent="0.15">
      <c r="A15340" s="2">
        <f>HYPERLINK("https://open-school.uspishnemisto.com.ua/school/730060/", 730060)</f>
        <v>730060</v>
      </c>
      <c r="B15340" s="3" t="s">
        <v>77397</v>
      </c>
      <c r="C15340" s="3" t="s">
        <v>40</v>
      </c>
      <c r="D15340" s="3" t="s">
        <v>32</v>
      </c>
      <c r="E15340" s="4" t="s">
        <v>22</v>
      </c>
      <c r="F15340" s="4" t="s">
        <v>77390</v>
      </c>
      <c r="G15340" s="4" t="s">
        <v>77391</v>
      </c>
      <c r="H15340" s="3" t="s">
        <v>77131</v>
      </c>
      <c r="I15340" s="3" t="s">
        <v>77392</v>
      </c>
      <c r="J15340" s="3" t="s">
        <v>77398</v>
      </c>
      <c r="K15340" s="3" t="s">
        <v>77399</v>
      </c>
      <c r="L15340" s="3"/>
      <c r="M15340" s="4"/>
      <c r="N15340" s="3" t="s">
        <v>37</v>
      </c>
      <c r="O15340" s="3" t="s">
        <v>52</v>
      </c>
      <c r="P15340" s="5">
        <v>13</v>
      </c>
      <c r="Q15340" s="5">
        <v>295</v>
      </c>
      <c r="R15340" s="5">
        <v>13</v>
      </c>
      <c r="S15340" s="5">
        <v>291</v>
      </c>
    </row>
    <row r="15341" spans="1:19" ht="28" x14ac:dyDescent="0.15">
      <c r="A15341" s="2">
        <f>HYPERLINK("https://open-school.uspishnemisto.com.ua/school/730061/", 730061)</f>
        <v>730061</v>
      </c>
      <c r="B15341" s="3" t="s">
        <v>77400</v>
      </c>
      <c r="C15341" s="3" t="s">
        <v>31</v>
      </c>
      <c r="D15341" s="3" t="s">
        <v>21</v>
      </c>
      <c r="E15341" s="4" t="s">
        <v>22</v>
      </c>
      <c r="F15341" s="4" t="s">
        <v>77390</v>
      </c>
      <c r="G15341" s="4" t="s">
        <v>77391</v>
      </c>
      <c r="H15341" s="3" t="s">
        <v>77131</v>
      </c>
      <c r="I15341" s="3" t="s">
        <v>77392</v>
      </c>
      <c r="J15341" s="3" t="s">
        <v>77401</v>
      </c>
      <c r="K15341" s="3" t="s">
        <v>77402</v>
      </c>
      <c r="L15341" s="3" t="s">
        <v>77403</v>
      </c>
      <c r="M15341" s="4"/>
      <c r="N15341" s="3" t="s">
        <v>37</v>
      </c>
      <c r="O15341" s="3" t="s">
        <v>46</v>
      </c>
      <c r="P15341" s="5">
        <v>14</v>
      </c>
      <c r="Q15341" s="5">
        <v>322</v>
      </c>
      <c r="R15341" s="5">
        <v>13</v>
      </c>
      <c r="S15341" s="5">
        <v>291</v>
      </c>
    </row>
    <row r="15342" spans="1:19" ht="28" x14ac:dyDescent="0.15">
      <c r="A15342" s="2">
        <f>HYPERLINK("https://open-school.uspishnemisto.com.ua/school/730062/", 730062)</f>
        <v>730062</v>
      </c>
      <c r="B15342" s="3" t="s">
        <v>77404</v>
      </c>
      <c r="C15342" s="3" t="s">
        <v>31</v>
      </c>
      <c r="D15342" s="3" t="s">
        <v>60</v>
      </c>
      <c r="E15342" s="4" t="s">
        <v>22</v>
      </c>
      <c r="F15342" s="4" t="s">
        <v>77390</v>
      </c>
      <c r="G15342" s="4" t="s">
        <v>77391</v>
      </c>
      <c r="H15342" s="3" t="s">
        <v>77131</v>
      </c>
      <c r="I15342" s="3" t="s">
        <v>77392</v>
      </c>
      <c r="J15342" s="3" t="s">
        <v>77405</v>
      </c>
      <c r="K15342" s="3" t="s">
        <v>77406</v>
      </c>
      <c r="L15342" s="3"/>
      <c r="M15342" s="4"/>
      <c r="N15342" s="3" t="s">
        <v>37</v>
      </c>
      <c r="O15342" s="3" t="s">
        <v>52</v>
      </c>
      <c r="P15342" s="5">
        <v>19</v>
      </c>
      <c r="Q15342" s="5">
        <v>460</v>
      </c>
      <c r="R15342" s="5">
        <v>19</v>
      </c>
      <c r="S15342" s="5">
        <v>463</v>
      </c>
    </row>
    <row r="15343" spans="1:19" ht="28" x14ac:dyDescent="0.15">
      <c r="A15343" s="2">
        <f>HYPERLINK("https://open-school.uspishnemisto.com.ua/school/730063/", 730063)</f>
        <v>730063</v>
      </c>
      <c r="B15343" s="3" t="s">
        <v>77407</v>
      </c>
      <c r="C15343" s="3" t="s">
        <v>40</v>
      </c>
      <c r="D15343" s="3" t="s">
        <v>32</v>
      </c>
      <c r="E15343" s="4" t="s">
        <v>22</v>
      </c>
      <c r="F15343" s="4" t="s">
        <v>77408</v>
      </c>
      <c r="G15343" s="4" t="s">
        <v>77409</v>
      </c>
      <c r="H15343" s="3" t="s">
        <v>77131</v>
      </c>
      <c r="I15343" s="3" t="s">
        <v>77410</v>
      </c>
      <c r="J15343" s="3" t="s">
        <v>77411</v>
      </c>
      <c r="K15343" s="3" t="s">
        <v>77412</v>
      </c>
      <c r="L15343" s="3" t="s">
        <v>77413</v>
      </c>
      <c r="M15343" s="4" t="s">
        <v>77414</v>
      </c>
      <c r="N15343" s="3" t="s">
        <v>37</v>
      </c>
      <c r="O15343" s="3" t="s">
        <v>46</v>
      </c>
      <c r="P15343" s="5">
        <v>9</v>
      </c>
      <c r="Q15343" s="5">
        <v>177</v>
      </c>
      <c r="R15343" s="5">
        <v>7</v>
      </c>
      <c r="S15343" s="5">
        <v>152</v>
      </c>
    </row>
    <row r="15344" spans="1:19" ht="28" x14ac:dyDescent="0.15">
      <c r="A15344" s="2">
        <f>HYPERLINK("https://open-school.uspishnemisto.com.ua/school/730064/", 730064)</f>
        <v>730064</v>
      </c>
      <c r="B15344" s="3" t="s">
        <v>77415</v>
      </c>
      <c r="C15344" s="3" t="s">
        <v>31</v>
      </c>
      <c r="D15344" s="3" t="s">
        <v>32</v>
      </c>
      <c r="E15344" s="4" t="s">
        <v>22</v>
      </c>
      <c r="F15344" s="4" t="s">
        <v>77408</v>
      </c>
      <c r="G15344" s="4" t="s">
        <v>77409</v>
      </c>
      <c r="H15344" s="3" t="s">
        <v>77131</v>
      </c>
      <c r="I15344" s="3" t="s">
        <v>77410</v>
      </c>
      <c r="J15344" s="3" t="s">
        <v>77416</v>
      </c>
      <c r="K15344" s="3" t="s">
        <v>77417</v>
      </c>
      <c r="L15344" s="3"/>
      <c r="M15344" s="4" t="s">
        <v>77418</v>
      </c>
      <c r="N15344" s="3" t="s">
        <v>37</v>
      </c>
      <c r="O15344" s="3" t="s">
        <v>52</v>
      </c>
      <c r="P15344" s="5">
        <v>29</v>
      </c>
      <c r="Q15344" s="5">
        <v>693</v>
      </c>
      <c r="R15344" s="5">
        <v>28</v>
      </c>
      <c r="S15344" s="5">
        <v>653</v>
      </c>
    </row>
    <row r="15345" spans="1:19" ht="42" x14ac:dyDescent="0.15">
      <c r="A15345" s="2">
        <f>HYPERLINK("https://open-school.uspishnemisto.com.ua/school/730065/", 730065)</f>
        <v>730065</v>
      </c>
      <c r="B15345" s="3" t="s">
        <v>77419</v>
      </c>
      <c r="C15345" s="3" t="s">
        <v>293</v>
      </c>
      <c r="D15345" s="3" t="s">
        <v>32</v>
      </c>
      <c r="E15345" s="4" t="s">
        <v>22</v>
      </c>
      <c r="F15345" s="4" t="s">
        <v>77408</v>
      </c>
      <c r="G15345" s="4" t="s">
        <v>77409</v>
      </c>
      <c r="H15345" s="3" t="s">
        <v>77131</v>
      </c>
      <c r="I15345" s="3" t="s">
        <v>77410</v>
      </c>
      <c r="J15345" s="3" t="s">
        <v>77420</v>
      </c>
      <c r="K15345" s="3" t="s">
        <v>77421</v>
      </c>
      <c r="L15345" s="3" t="s">
        <v>77422</v>
      </c>
      <c r="M15345" s="4" t="s">
        <v>77423</v>
      </c>
      <c r="N15345" s="3" t="s">
        <v>37</v>
      </c>
      <c r="O15345" s="3" t="s">
        <v>52</v>
      </c>
      <c r="P15345" s="5">
        <v>10</v>
      </c>
      <c r="Q15345" s="5">
        <v>178</v>
      </c>
      <c r="R15345" s="5">
        <v>10</v>
      </c>
      <c r="S15345" s="5">
        <v>183</v>
      </c>
    </row>
    <row r="15346" spans="1:19" ht="28" x14ac:dyDescent="0.15">
      <c r="A15346" s="2">
        <f>HYPERLINK("https://open-school.uspishnemisto.com.ua/school/730066/", 730066)</f>
        <v>730066</v>
      </c>
      <c r="B15346" s="3" t="s">
        <v>77424</v>
      </c>
      <c r="C15346" s="3" t="s">
        <v>31</v>
      </c>
      <c r="D15346" s="3" t="s">
        <v>32</v>
      </c>
      <c r="E15346" s="4" t="s">
        <v>22</v>
      </c>
      <c r="F15346" s="4" t="s">
        <v>77425</v>
      </c>
      <c r="G15346" s="4" t="s">
        <v>77426</v>
      </c>
      <c r="H15346" s="3" t="s">
        <v>77131</v>
      </c>
      <c r="I15346" s="3" t="s">
        <v>77427</v>
      </c>
      <c r="J15346" s="3" t="s">
        <v>22278</v>
      </c>
      <c r="K15346" s="3" t="s">
        <v>77428</v>
      </c>
      <c r="L15346" s="3"/>
      <c r="M15346" s="4" t="s">
        <v>77429</v>
      </c>
      <c r="N15346" s="3" t="s">
        <v>37</v>
      </c>
      <c r="O15346" s="3" t="s">
        <v>52</v>
      </c>
      <c r="P15346" s="5">
        <v>27</v>
      </c>
      <c r="Q15346" s="5">
        <v>586</v>
      </c>
      <c r="R15346" s="5">
        <v>25</v>
      </c>
      <c r="S15346" s="5">
        <v>547</v>
      </c>
    </row>
    <row r="15347" spans="1:19" ht="42" x14ac:dyDescent="0.15">
      <c r="A15347" s="2">
        <f>HYPERLINK("https://open-school.uspishnemisto.com.ua/school/730067/", 730067)</f>
        <v>730067</v>
      </c>
      <c r="B15347" s="3" t="s">
        <v>77430</v>
      </c>
      <c r="C15347" s="3" t="s">
        <v>54</v>
      </c>
      <c r="D15347" s="3" t="s">
        <v>32</v>
      </c>
      <c r="E15347" s="4" t="s">
        <v>22</v>
      </c>
      <c r="F15347" s="4" t="s">
        <v>77425</v>
      </c>
      <c r="G15347" s="4" t="s">
        <v>77426</v>
      </c>
      <c r="H15347" s="3" t="s">
        <v>77131</v>
      </c>
      <c r="I15347" s="3" t="s">
        <v>77427</v>
      </c>
      <c r="J15347" s="3" t="s">
        <v>77431</v>
      </c>
      <c r="K15347" s="3" t="s">
        <v>77432</v>
      </c>
      <c r="L15347" s="3"/>
      <c r="M15347" s="4" t="s">
        <v>77433</v>
      </c>
      <c r="N15347" s="3" t="s">
        <v>37</v>
      </c>
      <c r="O15347" s="3" t="s">
        <v>52</v>
      </c>
      <c r="P15347" s="5">
        <v>11</v>
      </c>
      <c r="Q15347" s="5">
        <v>194</v>
      </c>
      <c r="R15347" s="5">
        <v>11</v>
      </c>
      <c r="S15347" s="5">
        <v>204</v>
      </c>
    </row>
    <row r="15348" spans="1:19" ht="56" x14ac:dyDescent="0.15">
      <c r="A15348" s="2">
        <f>HYPERLINK("https://open-school.uspishnemisto.com.ua/school/730068/", 730068)</f>
        <v>730068</v>
      </c>
      <c r="B15348" s="3" t="s">
        <v>77434</v>
      </c>
      <c r="C15348" s="3" t="s">
        <v>54</v>
      </c>
      <c r="D15348" s="3" t="s">
        <v>60</v>
      </c>
      <c r="E15348" s="4" t="s">
        <v>22</v>
      </c>
      <c r="F15348" s="4" t="s">
        <v>77435</v>
      </c>
      <c r="G15348" s="4" t="s">
        <v>77436</v>
      </c>
      <c r="H15348" s="3" t="s">
        <v>77131</v>
      </c>
      <c r="I15348" s="3" t="s">
        <v>77437</v>
      </c>
      <c r="J15348" s="3" t="s">
        <v>77438</v>
      </c>
      <c r="K15348" s="3" t="s">
        <v>77439</v>
      </c>
      <c r="L15348" s="3"/>
      <c r="M15348" s="4" t="s">
        <v>77440</v>
      </c>
      <c r="N15348" s="3" t="s">
        <v>37</v>
      </c>
      <c r="O15348" s="3"/>
      <c r="P15348" s="5">
        <v>0</v>
      </c>
      <c r="Q15348" s="5">
        <v>0</v>
      </c>
      <c r="R15348" s="5">
        <v>1</v>
      </c>
      <c r="S15348" s="5">
        <v>11</v>
      </c>
    </row>
    <row r="15349" spans="1:19" ht="42" x14ac:dyDescent="0.15">
      <c r="A15349" s="2">
        <f>HYPERLINK("https://open-school.uspishnemisto.com.ua/school/730069/", 730069)</f>
        <v>730069</v>
      </c>
      <c r="B15349" s="3" t="s">
        <v>77441</v>
      </c>
      <c r="C15349" s="3" t="s">
        <v>31</v>
      </c>
      <c r="D15349" s="3" t="s">
        <v>32</v>
      </c>
      <c r="E15349" s="4" t="s">
        <v>22</v>
      </c>
      <c r="F15349" s="4" t="s">
        <v>77442</v>
      </c>
      <c r="G15349" s="4" t="s">
        <v>77443</v>
      </c>
      <c r="H15349" s="3" t="s">
        <v>77131</v>
      </c>
      <c r="I15349" s="3" t="s">
        <v>77444</v>
      </c>
      <c r="J15349" s="3" t="s">
        <v>77445</v>
      </c>
      <c r="K15349" s="3" t="s">
        <v>77446</v>
      </c>
      <c r="L15349" s="3" t="s">
        <v>77447</v>
      </c>
      <c r="M15349" s="4" t="s">
        <v>77448</v>
      </c>
      <c r="N15349" s="3" t="s">
        <v>37</v>
      </c>
      <c r="O15349" s="3" t="s">
        <v>52</v>
      </c>
      <c r="P15349" s="5">
        <v>11</v>
      </c>
      <c r="Q15349" s="5">
        <v>226</v>
      </c>
      <c r="R15349" s="5">
        <v>11</v>
      </c>
      <c r="S15349" s="5">
        <v>222</v>
      </c>
    </row>
    <row r="15350" spans="1:19" ht="42" x14ac:dyDescent="0.15">
      <c r="A15350" s="2">
        <f>HYPERLINK("https://open-school.uspishnemisto.com.ua/school/730070/", 730070)</f>
        <v>730070</v>
      </c>
      <c r="B15350" s="3" t="s">
        <v>77449</v>
      </c>
      <c r="C15350" s="3" t="s">
        <v>31</v>
      </c>
      <c r="D15350" s="3" t="s">
        <v>32</v>
      </c>
      <c r="E15350" s="4" t="s">
        <v>22</v>
      </c>
      <c r="F15350" s="4" t="s">
        <v>77442</v>
      </c>
      <c r="G15350" s="4" t="s">
        <v>77443</v>
      </c>
      <c r="H15350" s="3" t="s">
        <v>77131</v>
      </c>
      <c r="I15350" s="3" t="s">
        <v>77444</v>
      </c>
      <c r="J15350" s="3" t="s">
        <v>77450</v>
      </c>
      <c r="K15350" s="3" t="s">
        <v>77451</v>
      </c>
      <c r="L15350" s="3"/>
      <c r="M15350" s="4" t="s">
        <v>77452</v>
      </c>
      <c r="N15350" s="3" t="s">
        <v>37</v>
      </c>
      <c r="O15350" s="3" t="s">
        <v>52</v>
      </c>
      <c r="P15350" s="5">
        <v>12</v>
      </c>
      <c r="Q15350" s="5">
        <v>207</v>
      </c>
      <c r="R15350" s="5">
        <v>12</v>
      </c>
      <c r="S15350" s="5">
        <v>198</v>
      </c>
    </row>
    <row r="15351" spans="1:19" ht="42" x14ac:dyDescent="0.15">
      <c r="A15351" s="2">
        <f>HYPERLINK("https://open-school.uspishnemisto.com.ua/school/730071/", 730071)</f>
        <v>730071</v>
      </c>
      <c r="B15351" s="3" t="s">
        <v>77453</v>
      </c>
      <c r="C15351" s="3" t="s">
        <v>31</v>
      </c>
      <c r="D15351" s="3" t="s">
        <v>32</v>
      </c>
      <c r="E15351" s="4" t="s">
        <v>22</v>
      </c>
      <c r="F15351" s="4" t="s">
        <v>77442</v>
      </c>
      <c r="G15351" s="4" t="s">
        <v>77443</v>
      </c>
      <c r="H15351" s="3" t="s">
        <v>77131</v>
      </c>
      <c r="I15351" s="3" t="s">
        <v>77444</v>
      </c>
      <c r="J15351" s="3" t="s">
        <v>77454</v>
      </c>
      <c r="K15351" s="3" t="s">
        <v>77455</v>
      </c>
      <c r="L15351" s="3"/>
      <c r="M15351" s="4" t="s">
        <v>77456</v>
      </c>
      <c r="N15351" s="3" t="s">
        <v>37</v>
      </c>
      <c r="O15351" s="3" t="s">
        <v>52</v>
      </c>
      <c r="P15351" s="5">
        <v>11</v>
      </c>
      <c r="Q15351" s="5">
        <v>115</v>
      </c>
      <c r="R15351" s="5">
        <v>11</v>
      </c>
      <c r="S15351" s="5">
        <v>109</v>
      </c>
    </row>
    <row r="15352" spans="1:19" ht="28" x14ac:dyDescent="0.15">
      <c r="A15352" s="2">
        <f>HYPERLINK("https://open-school.uspishnemisto.com.ua/school/730072/", 730072)</f>
        <v>730072</v>
      </c>
      <c r="B15352" s="3" t="s">
        <v>77457</v>
      </c>
      <c r="C15352" s="3" t="s">
        <v>54</v>
      </c>
      <c r="D15352" s="3" t="s">
        <v>32</v>
      </c>
      <c r="E15352" s="4" t="s">
        <v>22</v>
      </c>
      <c r="F15352" s="4" t="s">
        <v>77442</v>
      </c>
      <c r="G15352" s="4" t="s">
        <v>77443</v>
      </c>
      <c r="H15352" s="3" t="s">
        <v>77131</v>
      </c>
      <c r="I15352" s="3" t="s">
        <v>77444</v>
      </c>
      <c r="J15352" s="3" t="s">
        <v>5264</v>
      </c>
      <c r="K15352" s="3" t="s">
        <v>77458</v>
      </c>
      <c r="L15352" s="3"/>
      <c r="M15352" s="4" t="s">
        <v>77459</v>
      </c>
      <c r="N15352" s="3" t="s">
        <v>37</v>
      </c>
      <c r="O15352" s="3" t="s">
        <v>46</v>
      </c>
      <c r="P15352" s="5">
        <v>21</v>
      </c>
      <c r="Q15352" s="5">
        <v>442</v>
      </c>
      <c r="R15352" s="5">
        <v>22</v>
      </c>
      <c r="S15352" s="5">
        <v>426</v>
      </c>
    </row>
    <row r="15353" spans="1:19" ht="42" x14ac:dyDescent="0.15">
      <c r="A15353" s="2">
        <f>HYPERLINK("https://open-school.uspishnemisto.com.ua/school/730073/", 730073)</f>
        <v>730073</v>
      </c>
      <c r="B15353" s="3" t="s">
        <v>77460</v>
      </c>
      <c r="C15353" s="3" t="s">
        <v>54</v>
      </c>
      <c r="D15353" s="3" t="s">
        <v>60</v>
      </c>
      <c r="E15353" s="4" t="s">
        <v>22</v>
      </c>
      <c r="F15353" s="4" t="s">
        <v>77442</v>
      </c>
      <c r="G15353" s="4" t="s">
        <v>77443</v>
      </c>
      <c r="H15353" s="3" t="s">
        <v>77131</v>
      </c>
      <c r="I15353" s="3" t="s">
        <v>77444</v>
      </c>
      <c r="J15353" s="3" t="s">
        <v>9110</v>
      </c>
      <c r="K15353" s="3" t="s">
        <v>77461</v>
      </c>
      <c r="L15353" s="3"/>
      <c r="M15353" s="4" t="s">
        <v>77462</v>
      </c>
      <c r="N15353" s="3" t="s">
        <v>37</v>
      </c>
      <c r="O15353" s="3" t="s">
        <v>52</v>
      </c>
      <c r="P15353" s="5">
        <v>4</v>
      </c>
      <c r="Q15353" s="5">
        <v>106</v>
      </c>
      <c r="R15353" s="5">
        <v>4</v>
      </c>
      <c r="S15353" s="5">
        <v>102</v>
      </c>
    </row>
    <row r="15354" spans="1:19" ht="28" x14ac:dyDescent="0.15">
      <c r="A15354" s="2">
        <f>HYPERLINK("https://open-school.uspishnemisto.com.ua/school/730074/", 730074)</f>
        <v>730074</v>
      </c>
      <c r="B15354" s="3" t="s">
        <v>77463</v>
      </c>
      <c r="C15354" s="3" t="s">
        <v>31</v>
      </c>
      <c r="D15354" s="3" t="s">
        <v>32</v>
      </c>
      <c r="E15354" s="4" t="s">
        <v>22</v>
      </c>
      <c r="F15354" s="4" t="s">
        <v>77464</v>
      </c>
      <c r="G15354" s="4" t="s">
        <v>77465</v>
      </c>
      <c r="H15354" s="3" t="s">
        <v>77131</v>
      </c>
      <c r="I15354" s="3" t="s">
        <v>77466</v>
      </c>
      <c r="J15354" s="3" t="s">
        <v>77467</v>
      </c>
      <c r="K15354" s="3" t="s">
        <v>77468</v>
      </c>
      <c r="L15354" s="3"/>
      <c r="M15354" s="4" t="s">
        <v>77469</v>
      </c>
      <c r="N15354" s="3" t="s">
        <v>37</v>
      </c>
      <c r="O15354" s="3" t="s">
        <v>2740</v>
      </c>
      <c r="P15354" s="5">
        <v>21</v>
      </c>
      <c r="Q15354" s="5">
        <v>531</v>
      </c>
      <c r="R15354" s="5">
        <v>22</v>
      </c>
      <c r="S15354" s="5">
        <v>520</v>
      </c>
    </row>
    <row r="15355" spans="1:19" ht="42" x14ac:dyDescent="0.15">
      <c r="A15355" s="2">
        <f>HYPERLINK("https://open-school.uspishnemisto.com.ua/school/730075/", 730075)</f>
        <v>730075</v>
      </c>
      <c r="B15355" s="3" t="s">
        <v>77470</v>
      </c>
      <c r="C15355" s="3" t="s">
        <v>54</v>
      </c>
      <c r="D15355" s="3" t="s">
        <v>175</v>
      </c>
      <c r="E15355" s="4" t="s">
        <v>22</v>
      </c>
      <c r="F15355" s="4" t="s">
        <v>77471</v>
      </c>
      <c r="G15355" s="4" t="s">
        <v>77472</v>
      </c>
      <c r="H15355" s="3" t="s">
        <v>77131</v>
      </c>
      <c r="I15355" s="3" t="s">
        <v>7597</v>
      </c>
      <c r="J15355" s="3" t="s">
        <v>77473</v>
      </c>
      <c r="K15355" s="3" t="s">
        <v>77474</v>
      </c>
      <c r="L15355" s="3"/>
      <c r="M15355" s="4" t="s">
        <v>77475</v>
      </c>
      <c r="N15355" s="3" t="s">
        <v>37</v>
      </c>
      <c r="O15355" s="3" t="s">
        <v>2740</v>
      </c>
      <c r="P15355" s="5">
        <v>8</v>
      </c>
      <c r="Q15355" s="5">
        <v>63</v>
      </c>
      <c r="R15355" s="5">
        <v>8</v>
      </c>
      <c r="S15355" s="5">
        <v>65</v>
      </c>
    </row>
    <row r="15356" spans="1:19" ht="28" x14ac:dyDescent="0.15">
      <c r="A15356" s="2">
        <f>HYPERLINK("https://open-school.uspishnemisto.com.ua/school/730076/", 730076)</f>
        <v>730076</v>
      </c>
      <c r="B15356" s="3" t="s">
        <v>77476</v>
      </c>
      <c r="C15356" s="3" t="s">
        <v>31</v>
      </c>
      <c r="D15356" s="3" t="s">
        <v>175</v>
      </c>
      <c r="E15356" s="4" t="s">
        <v>22</v>
      </c>
      <c r="F15356" s="4" t="s">
        <v>77477</v>
      </c>
      <c r="G15356" s="4" t="s">
        <v>77478</v>
      </c>
      <c r="H15356" s="3" t="s">
        <v>77131</v>
      </c>
      <c r="I15356" s="3" t="s">
        <v>77479</v>
      </c>
      <c r="J15356" s="3" t="s">
        <v>77480</v>
      </c>
      <c r="K15356" s="3" t="s">
        <v>77481</v>
      </c>
      <c r="L15356" s="3"/>
      <c r="M15356" s="4" t="s">
        <v>77482</v>
      </c>
      <c r="N15356" s="3" t="s">
        <v>37</v>
      </c>
      <c r="O15356" s="3" t="s">
        <v>52</v>
      </c>
      <c r="P15356" s="5">
        <v>8</v>
      </c>
      <c r="Q15356" s="5">
        <v>61</v>
      </c>
      <c r="R15356" s="5">
        <v>8</v>
      </c>
      <c r="S15356" s="5">
        <v>63</v>
      </c>
    </row>
    <row r="15357" spans="1:19" ht="42" x14ac:dyDescent="0.15">
      <c r="A15357" s="2">
        <f>HYPERLINK("https://open-school.uspishnemisto.com.ua/school/730077/", 730077)</f>
        <v>730077</v>
      </c>
      <c r="B15357" s="3" t="s">
        <v>77483</v>
      </c>
      <c r="C15357" s="3" t="s">
        <v>54</v>
      </c>
      <c r="D15357" s="3" t="s">
        <v>32</v>
      </c>
      <c r="E15357" s="4" t="s">
        <v>22</v>
      </c>
      <c r="F15357" s="4" t="s">
        <v>77484</v>
      </c>
      <c r="G15357" s="4" t="s">
        <v>77485</v>
      </c>
      <c r="H15357" s="3" t="s">
        <v>77131</v>
      </c>
      <c r="I15357" s="3" t="s">
        <v>77486</v>
      </c>
      <c r="J15357" s="3" t="s">
        <v>77487</v>
      </c>
      <c r="K15357" s="3" t="s">
        <v>77488</v>
      </c>
      <c r="L15357" s="3"/>
      <c r="M15357" s="4" t="s">
        <v>77489</v>
      </c>
      <c r="N15357" s="3" t="s">
        <v>37</v>
      </c>
      <c r="O15357" s="3" t="s">
        <v>52</v>
      </c>
      <c r="P15357" s="5">
        <v>11</v>
      </c>
      <c r="Q15357" s="5">
        <v>194</v>
      </c>
      <c r="R15357" s="5">
        <v>11</v>
      </c>
      <c r="S15357" s="5">
        <v>178</v>
      </c>
    </row>
    <row r="15358" spans="1:19" ht="28" x14ac:dyDescent="0.15">
      <c r="A15358" s="2">
        <f>HYPERLINK("https://open-school.uspishnemisto.com.ua/school/730078/", 730078)</f>
        <v>730078</v>
      </c>
      <c r="B15358" s="3" t="s">
        <v>77490</v>
      </c>
      <c r="C15358" s="3" t="s">
        <v>31</v>
      </c>
      <c r="D15358" s="3" t="s">
        <v>32</v>
      </c>
      <c r="E15358" s="4" t="s">
        <v>22</v>
      </c>
      <c r="F15358" s="4" t="s">
        <v>77491</v>
      </c>
      <c r="G15358" s="4" t="s">
        <v>77492</v>
      </c>
      <c r="H15358" s="3" t="s">
        <v>77131</v>
      </c>
      <c r="I15358" s="3" t="s">
        <v>77493</v>
      </c>
      <c r="J15358" s="3" t="s">
        <v>77494</v>
      </c>
      <c r="K15358" s="3" t="s">
        <v>77495</v>
      </c>
      <c r="L15358" s="3"/>
      <c r="M15358" s="4"/>
      <c r="N15358" s="3" t="s">
        <v>37</v>
      </c>
      <c r="O15358" s="3" t="s">
        <v>46</v>
      </c>
      <c r="P15358" s="5">
        <v>10</v>
      </c>
      <c r="Q15358" s="5">
        <v>137</v>
      </c>
      <c r="R15358" s="5">
        <v>10</v>
      </c>
      <c r="S15358" s="5">
        <v>131</v>
      </c>
    </row>
    <row r="15359" spans="1:19" ht="28" x14ac:dyDescent="0.15">
      <c r="A15359" s="2">
        <f>HYPERLINK("https://open-school.uspishnemisto.com.ua/school/730079/", 730079)</f>
        <v>730079</v>
      </c>
      <c r="B15359" s="3" t="s">
        <v>77496</v>
      </c>
      <c r="C15359" s="3" t="s">
        <v>31</v>
      </c>
      <c r="D15359" s="3" t="s">
        <v>32</v>
      </c>
      <c r="E15359" s="4" t="s">
        <v>22</v>
      </c>
      <c r="F15359" s="4" t="s">
        <v>77497</v>
      </c>
      <c r="G15359" s="4" t="s">
        <v>77498</v>
      </c>
      <c r="H15359" s="3" t="s">
        <v>77131</v>
      </c>
      <c r="I15359" s="3" t="s">
        <v>77499</v>
      </c>
      <c r="J15359" s="3" t="s">
        <v>77500</v>
      </c>
      <c r="K15359" s="3" t="s">
        <v>77501</v>
      </c>
      <c r="L15359" s="3"/>
      <c r="M15359" s="4"/>
      <c r="N15359" s="3" t="s">
        <v>37</v>
      </c>
      <c r="O15359" s="3" t="s">
        <v>52</v>
      </c>
      <c r="P15359" s="5">
        <v>15</v>
      </c>
      <c r="Q15359" s="5">
        <v>276</v>
      </c>
      <c r="R15359" s="5">
        <v>15</v>
      </c>
      <c r="S15359" s="5">
        <v>279</v>
      </c>
    </row>
    <row r="15360" spans="1:19" ht="42" x14ac:dyDescent="0.15">
      <c r="A15360" s="2">
        <f>HYPERLINK("https://open-school.uspishnemisto.com.ua/school/730080/", 730080)</f>
        <v>730080</v>
      </c>
      <c r="B15360" s="3" t="s">
        <v>77502</v>
      </c>
      <c r="C15360" s="3" t="s">
        <v>31</v>
      </c>
      <c r="D15360" s="3" t="s">
        <v>32</v>
      </c>
      <c r="E15360" s="4" t="s">
        <v>22</v>
      </c>
      <c r="F15360" s="4" t="s">
        <v>77503</v>
      </c>
      <c r="G15360" s="4" t="s">
        <v>77504</v>
      </c>
      <c r="H15360" s="3" t="s">
        <v>77131</v>
      </c>
      <c r="I15360" s="3" t="s">
        <v>77505</v>
      </c>
      <c r="J15360" s="3" t="s">
        <v>17529</v>
      </c>
      <c r="K15360" s="3" t="s">
        <v>77506</v>
      </c>
      <c r="L15360" s="3"/>
      <c r="M15360" s="4" t="s">
        <v>77507</v>
      </c>
      <c r="N15360" s="3" t="s">
        <v>37</v>
      </c>
      <c r="O15360" s="3" t="s">
        <v>52</v>
      </c>
      <c r="P15360" s="5">
        <v>26</v>
      </c>
      <c r="Q15360" s="5">
        <v>600</v>
      </c>
      <c r="R15360" s="5">
        <v>25</v>
      </c>
      <c r="S15360" s="5">
        <v>579</v>
      </c>
    </row>
    <row r="15361" spans="1:19" ht="42" x14ac:dyDescent="0.15">
      <c r="A15361" s="2">
        <f>HYPERLINK("https://open-school.uspishnemisto.com.ua/school/730081/", 730081)</f>
        <v>730081</v>
      </c>
      <c r="B15361" s="3" t="s">
        <v>77508</v>
      </c>
      <c r="C15361" s="3" t="s">
        <v>54</v>
      </c>
      <c r="D15361" s="3" t="s">
        <v>175</v>
      </c>
      <c r="E15361" s="4" t="s">
        <v>22</v>
      </c>
      <c r="F15361" s="4" t="s">
        <v>77503</v>
      </c>
      <c r="G15361" s="4" t="s">
        <v>77504</v>
      </c>
      <c r="H15361" s="3" t="s">
        <v>77131</v>
      </c>
      <c r="I15361" s="3" t="s">
        <v>77505</v>
      </c>
      <c r="J15361" s="3" t="s">
        <v>18023</v>
      </c>
      <c r="K15361" s="3" t="s">
        <v>77509</v>
      </c>
      <c r="L15361" s="3" t="s">
        <v>77510</v>
      </c>
      <c r="M15361" s="4" t="s">
        <v>77511</v>
      </c>
      <c r="N15361" s="3" t="s">
        <v>37</v>
      </c>
      <c r="O15361" s="3" t="s">
        <v>52</v>
      </c>
      <c r="P15361" s="5">
        <v>9</v>
      </c>
      <c r="Q15361" s="5">
        <v>110</v>
      </c>
      <c r="R15361" s="5">
        <v>9</v>
      </c>
      <c r="S15361" s="5">
        <v>102</v>
      </c>
    </row>
    <row r="15362" spans="1:19" ht="42" x14ac:dyDescent="0.15">
      <c r="A15362" s="2">
        <f>HYPERLINK("https://open-school.uspishnemisto.com.ua/school/730082/", 730082)</f>
        <v>730082</v>
      </c>
      <c r="B15362" s="3" t="s">
        <v>77512</v>
      </c>
      <c r="C15362" s="3" t="s">
        <v>31</v>
      </c>
      <c r="D15362" s="3" t="s">
        <v>32</v>
      </c>
      <c r="E15362" s="4" t="s">
        <v>22</v>
      </c>
      <c r="F15362" s="4" t="s">
        <v>77513</v>
      </c>
      <c r="G15362" s="4" t="s">
        <v>77514</v>
      </c>
      <c r="H15362" s="3" t="s">
        <v>77131</v>
      </c>
      <c r="I15362" s="3" t="s">
        <v>77515</v>
      </c>
      <c r="J15362" s="3" t="s">
        <v>694</v>
      </c>
      <c r="K15362" s="3" t="s">
        <v>77516</v>
      </c>
      <c r="L15362" s="3"/>
      <c r="M15362" s="4" t="s">
        <v>77517</v>
      </c>
      <c r="N15362" s="3" t="s">
        <v>37</v>
      </c>
      <c r="O15362" s="3" t="s">
        <v>52</v>
      </c>
      <c r="P15362" s="5">
        <v>14</v>
      </c>
      <c r="Q15362" s="5">
        <v>290</v>
      </c>
      <c r="R15362" s="5">
        <v>14</v>
      </c>
      <c r="S15362" s="5">
        <v>285</v>
      </c>
    </row>
    <row r="15363" spans="1:19" ht="56" x14ac:dyDescent="0.15">
      <c r="A15363" s="2">
        <f>HYPERLINK("https://open-school.uspishnemisto.com.ua/school/730083/", 730083)</f>
        <v>730083</v>
      </c>
      <c r="B15363" s="3" t="s">
        <v>77518</v>
      </c>
      <c r="C15363" s="3" t="s">
        <v>54</v>
      </c>
      <c r="D15363" s="3" t="s">
        <v>175</v>
      </c>
      <c r="E15363" s="4" t="s">
        <v>22</v>
      </c>
      <c r="F15363" s="4" t="s">
        <v>77513</v>
      </c>
      <c r="G15363" s="4" t="s">
        <v>77519</v>
      </c>
      <c r="H15363" s="3" t="s">
        <v>77131</v>
      </c>
      <c r="I15363" s="3" t="s">
        <v>73008</v>
      </c>
      <c r="J15363" s="3" t="s">
        <v>466</v>
      </c>
      <c r="K15363" s="3" t="s">
        <v>77520</v>
      </c>
      <c r="L15363" s="3"/>
      <c r="M15363" s="4" t="s">
        <v>77521</v>
      </c>
      <c r="N15363" s="3" t="s">
        <v>37</v>
      </c>
      <c r="O15363" s="3" t="s">
        <v>52</v>
      </c>
      <c r="P15363" s="5">
        <v>9</v>
      </c>
      <c r="Q15363" s="5">
        <v>94</v>
      </c>
      <c r="R15363" s="5">
        <v>9</v>
      </c>
      <c r="S15363" s="5">
        <v>83</v>
      </c>
    </row>
    <row r="15364" spans="1:19" ht="28" x14ac:dyDescent="0.15">
      <c r="A15364" s="2">
        <f>HYPERLINK("https://open-school.uspishnemisto.com.ua/school/730084/", 730084)</f>
        <v>730084</v>
      </c>
      <c r="B15364" s="3" t="s">
        <v>77522</v>
      </c>
      <c r="C15364" s="3" t="s">
        <v>31</v>
      </c>
      <c r="D15364" s="3" t="s">
        <v>175</v>
      </c>
      <c r="E15364" s="4" t="s">
        <v>22</v>
      </c>
      <c r="F15364" s="4" t="s">
        <v>77523</v>
      </c>
      <c r="G15364" s="4" t="s">
        <v>77524</v>
      </c>
      <c r="H15364" s="3" t="s">
        <v>77131</v>
      </c>
      <c r="I15364" s="3" t="s">
        <v>77525</v>
      </c>
      <c r="J15364" s="3" t="s">
        <v>466</v>
      </c>
      <c r="K15364" s="3" t="s">
        <v>77526</v>
      </c>
      <c r="L15364" s="3"/>
      <c r="M15364" s="4"/>
      <c r="N15364" s="3" t="s">
        <v>37</v>
      </c>
      <c r="O15364" s="3" t="s">
        <v>2740</v>
      </c>
      <c r="P15364" s="5">
        <v>8</v>
      </c>
      <c r="Q15364" s="5">
        <v>52</v>
      </c>
      <c r="R15364" s="5">
        <v>8</v>
      </c>
      <c r="S15364" s="5">
        <v>53</v>
      </c>
    </row>
    <row r="15365" spans="1:19" ht="42" x14ac:dyDescent="0.15">
      <c r="A15365" s="2">
        <f>HYPERLINK("https://open-school.uspishnemisto.com.ua/school/730085/", 730085)</f>
        <v>730085</v>
      </c>
      <c r="B15365" s="3" t="s">
        <v>77527</v>
      </c>
      <c r="C15365" s="3" t="s">
        <v>31</v>
      </c>
      <c r="D15365" s="3" t="s">
        <v>32</v>
      </c>
      <c r="E15365" s="4" t="s">
        <v>22</v>
      </c>
      <c r="F15365" s="4" t="s">
        <v>77528</v>
      </c>
      <c r="G15365" s="4" t="s">
        <v>77529</v>
      </c>
      <c r="H15365" s="3" t="s">
        <v>77131</v>
      </c>
      <c r="I15365" s="3" t="s">
        <v>48066</v>
      </c>
      <c r="J15365" s="3" t="s">
        <v>77530</v>
      </c>
      <c r="K15365" s="3" t="s">
        <v>77531</v>
      </c>
      <c r="L15365" s="3"/>
      <c r="M15365" s="4"/>
      <c r="N15365" s="3" t="s">
        <v>37</v>
      </c>
      <c r="O15365" s="3" t="s">
        <v>52</v>
      </c>
      <c r="P15365" s="5">
        <v>20</v>
      </c>
      <c r="Q15365" s="5">
        <v>345</v>
      </c>
      <c r="R15365" s="5">
        <v>20</v>
      </c>
      <c r="S15365" s="5">
        <v>348</v>
      </c>
    </row>
    <row r="15366" spans="1:19" ht="28" x14ac:dyDescent="0.15">
      <c r="A15366" s="2">
        <f>HYPERLINK("https://open-school.uspishnemisto.com.ua/school/730086/", 730086)</f>
        <v>730086</v>
      </c>
      <c r="B15366" s="3" t="s">
        <v>77532</v>
      </c>
      <c r="C15366" s="3" t="s">
        <v>54</v>
      </c>
      <c r="D15366" s="3" t="s">
        <v>175</v>
      </c>
      <c r="E15366" s="4" t="s">
        <v>22</v>
      </c>
      <c r="F15366" s="4" t="s">
        <v>77533</v>
      </c>
      <c r="G15366" s="4" t="s">
        <v>77534</v>
      </c>
      <c r="H15366" s="3" t="s">
        <v>77131</v>
      </c>
      <c r="I15366" s="3" t="s">
        <v>77535</v>
      </c>
      <c r="J15366" s="3" t="s">
        <v>77536</v>
      </c>
      <c r="K15366" s="3" t="s">
        <v>77537</v>
      </c>
      <c r="L15366" s="3"/>
      <c r="M15366" s="4" t="s">
        <v>77538</v>
      </c>
      <c r="N15366" s="3" t="s">
        <v>37</v>
      </c>
      <c r="O15366" s="3" t="s">
        <v>52</v>
      </c>
      <c r="P15366" s="5">
        <v>9</v>
      </c>
      <c r="Q15366" s="5">
        <v>71</v>
      </c>
      <c r="R15366" s="5">
        <v>9</v>
      </c>
      <c r="S15366" s="5">
        <v>64</v>
      </c>
    </row>
    <row r="15367" spans="1:19" ht="28" x14ac:dyDescent="0.15">
      <c r="A15367" s="2">
        <f>HYPERLINK("https://open-school.uspishnemisto.com.ua/school/730087/", 730087)</f>
        <v>730087</v>
      </c>
      <c r="B15367" s="3" t="s">
        <v>77539</v>
      </c>
      <c r="C15367" s="3" t="s">
        <v>31</v>
      </c>
      <c r="D15367" s="3" t="s">
        <v>32</v>
      </c>
      <c r="E15367" s="4" t="s">
        <v>22</v>
      </c>
      <c r="F15367" s="4" t="s">
        <v>77540</v>
      </c>
      <c r="G15367" s="4" t="s">
        <v>77541</v>
      </c>
      <c r="H15367" s="3" t="s">
        <v>77131</v>
      </c>
      <c r="I15367" s="3" t="s">
        <v>77542</v>
      </c>
      <c r="J15367" s="3" t="s">
        <v>77543</v>
      </c>
      <c r="K15367" s="3" t="s">
        <v>46250</v>
      </c>
      <c r="L15367" s="3"/>
      <c r="M15367" s="4" t="s">
        <v>77544</v>
      </c>
      <c r="N15367" s="3" t="s">
        <v>37</v>
      </c>
      <c r="O15367" s="3" t="s">
        <v>46</v>
      </c>
      <c r="P15367" s="5">
        <v>20</v>
      </c>
      <c r="Q15367" s="5">
        <v>416</v>
      </c>
      <c r="R15367" s="5">
        <v>18</v>
      </c>
      <c r="S15367" s="5">
        <v>392</v>
      </c>
    </row>
    <row r="15368" spans="1:19" ht="42" x14ac:dyDescent="0.15">
      <c r="A15368" s="2">
        <f>HYPERLINK("https://open-school.uspishnemisto.com.ua/school/730088/", 730088)</f>
        <v>730088</v>
      </c>
      <c r="B15368" s="3" t="s">
        <v>77545</v>
      </c>
      <c r="C15368" s="3" t="s">
        <v>31</v>
      </c>
      <c r="D15368" s="3" t="s">
        <v>175</v>
      </c>
      <c r="E15368" s="4" t="s">
        <v>22</v>
      </c>
      <c r="F15368" s="4" t="s">
        <v>77546</v>
      </c>
      <c r="G15368" s="4" t="s">
        <v>77547</v>
      </c>
      <c r="H15368" s="3" t="s">
        <v>77131</v>
      </c>
      <c r="I15368" s="3" t="s">
        <v>1656</v>
      </c>
      <c r="J15368" s="3" t="s">
        <v>7304</v>
      </c>
      <c r="K15368" s="3" t="s">
        <v>77548</v>
      </c>
      <c r="L15368" s="3"/>
      <c r="M15368" s="4" t="s">
        <v>77549</v>
      </c>
      <c r="N15368" s="3" t="s">
        <v>37</v>
      </c>
      <c r="O15368" s="3" t="s">
        <v>52</v>
      </c>
      <c r="P15368" s="5">
        <v>9</v>
      </c>
      <c r="Q15368" s="5">
        <v>108</v>
      </c>
      <c r="R15368" s="5">
        <v>9</v>
      </c>
      <c r="S15368" s="5">
        <v>114</v>
      </c>
    </row>
    <row r="15369" spans="1:19" ht="42" x14ac:dyDescent="0.15">
      <c r="A15369" s="2">
        <f>HYPERLINK("https://open-school.uspishnemisto.com.ua/school/730089/", 730089)</f>
        <v>730089</v>
      </c>
      <c r="B15369" s="3" t="s">
        <v>77550</v>
      </c>
      <c r="C15369" s="3" t="s">
        <v>31</v>
      </c>
      <c r="D15369" s="3" t="s">
        <v>32</v>
      </c>
      <c r="E15369" s="4" t="s">
        <v>22</v>
      </c>
      <c r="F15369" s="4" t="s">
        <v>77551</v>
      </c>
      <c r="G15369" s="4" t="s">
        <v>77552</v>
      </c>
      <c r="H15369" s="3" t="s">
        <v>77131</v>
      </c>
      <c r="I15369" s="3" t="s">
        <v>77553</v>
      </c>
      <c r="J15369" s="3" t="s">
        <v>466</v>
      </c>
      <c r="K15369" s="3" t="s">
        <v>77554</v>
      </c>
      <c r="L15369" s="3"/>
      <c r="M15369" s="4"/>
      <c r="N15369" s="3" t="s">
        <v>37</v>
      </c>
      <c r="O15369" s="3" t="s">
        <v>2740</v>
      </c>
      <c r="P15369" s="5">
        <v>16</v>
      </c>
      <c r="Q15369" s="5">
        <v>331</v>
      </c>
      <c r="R15369" s="5">
        <v>15</v>
      </c>
      <c r="S15369" s="5">
        <v>315</v>
      </c>
    </row>
    <row r="15370" spans="1:19" ht="28" x14ac:dyDescent="0.15">
      <c r="A15370" s="2">
        <f>HYPERLINK("https://open-school.uspishnemisto.com.ua/school/730090/", 730090)</f>
        <v>730090</v>
      </c>
      <c r="B15370" s="3" t="s">
        <v>77555</v>
      </c>
      <c r="C15370" s="3" t="s">
        <v>31</v>
      </c>
      <c r="D15370" s="3" t="s">
        <v>175</v>
      </c>
      <c r="E15370" s="4" t="s">
        <v>22</v>
      </c>
      <c r="F15370" s="4" t="s">
        <v>77551</v>
      </c>
      <c r="G15370" s="4" t="s">
        <v>77556</v>
      </c>
      <c r="H15370" s="3" t="s">
        <v>77131</v>
      </c>
      <c r="I15370" s="3" t="s">
        <v>77557</v>
      </c>
      <c r="J15370" s="3" t="s">
        <v>466</v>
      </c>
      <c r="K15370" s="3" t="s">
        <v>77558</v>
      </c>
      <c r="L15370" s="3"/>
      <c r="M15370" s="4" t="s">
        <v>77559</v>
      </c>
      <c r="N15370" s="3" t="s">
        <v>37</v>
      </c>
      <c r="O15370" s="3" t="s">
        <v>52</v>
      </c>
      <c r="P15370" s="5">
        <v>9</v>
      </c>
      <c r="Q15370" s="5">
        <v>69</v>
      </c>
      <c r="R15370" s="5">
        <v>9</v>
      </c>
      <c r="S15370" s="5">
        <v>67</v>
      </c>
    </row>
    <row r="15371" spans="1:19" ht="28" x14ac:dyDescent="0.15">
      <c r="A15371" s="2">
        <f>HYPERLINK("https://open-school.uspishnemisto.com.ua/school/730091/", 730091)</f>
        <v>730091</v>
      </c>
      <c r="B15371" s="3" t="s">
        <v>77560</v>
      </c>
      <c r="C15371" s="3" t="s">
        <v>54</v>
      </c>
      <c r="D15371" s="3" t="s">
        <v>32</v>
      </c>
      <c r="E15371" s="4" t="s">
        <v>22</v>
      </c>
      <c r="F15371" s="4" t="s">
        <v>77561</v>
      </c>
      <c r="G15371" s="4" t="s">
        <v>77562</v>
      </c>
      <c r="H15371" s="3" t="s">
        <v>77131</v>
      </c>
      <c r="I15371" s="3" t="s">
        <v>77563</v>
      </c>
      <c r="J15371" s="3" t="s">
        <v>8429</v>
      </c>
      <c r="K15371" s="3" t="s">
        <v>77564</v>
      </c>
      <c r="L15371" s="3"/>
      <c r="M15371" s="4" t="s">
        <v>77565</v>
      </c>
      <c r="N15371" s="3" t="s">
        <v>37</v>
      </c>
      <c r="O15371" s="3" t="s">
        <v>46</v>
      </c>
      <c r="P15371" s="5">
        <v>22</v>
      </c>
      <c r="Q15371" s="5">
        <v>457</v>
      </c>
      <c r="R15371" s="5">
        <v>20</v>
      </c>
      <c r="S15371" s="5">
        <v>421</v>
      </c>
    </row>
    <row r="15372" spans="1:19" ht="28" x14ac:dyDescent="0.15">
      <c r="A15372" s="2">
        <f>HYPERLINK("https://open-school.uspishnemisto.com.ua/school/730092/", 730092)</f>
        <v>730092</v>
      </c>
      <c r="B15372" s="3" t="s">
        <v>77566</v>
      </c>
      <c r="C15372" s="3" t="s">
        <v>31</v>
      </c>
      <c r="D15372" s="3" t="s">
        <v>60</v>
      </c>
      <c r="E15372" s="4" t="s">
        <v>22</v>
      </c>
      <c r="F15372" s="4" t="s">
        <v>77567</v>
      </c>
      <c r="G15372" s="4" t="s">
        <v>77568</v>
      </c>
      <c r="H15372" s="3" t="s">
        <v>77131</v>
      </c>
      <c r="I15372" s="3" t="s">
        <v>77569</v>
      </c>
      <c r="J15372" s="3" t="s">
        <v>1417</v>
      </c>
      <c r="K15372" s="3" t="s">
        <v>77570</v>
      </c>
      <c r="L15372" s="3" t="s">
        <v>77571</v>
      </c>
      <c r="M15372" s="4" t="s">
        <v>77572</v>
      </c>
      <c r="N15372" s="3" t="s">
        <v>37</v>
      </c>
      <c r="O15372" s="3" t="s">
        <v>52</v>
      </c>
      <c r="P15372" s="5">
        <v>0</v>
      </c>
      <c r="Q15372" s="5">
        <v>0</v>
      </c>
      <c r="R15372" s="5">
        <v>2</v>
      </c>
      <c r="S15372" s="5">
        <v>22</v>
      </c>
    </row>
    <row r="15373" spans="1:19" ht="56" x14ac:dyDescent="0.15">
      <c r="A15373" s="2">
        <f>HYPERLINK("https://open-school.uspishnemisto.com.ua/school/730093/", 730093)</f>
        <v>730093</v>
      </c>
      <c r="B15373" s="3" t="s">
        <v>77573</v>
      </c>
      <c r="C15373" s="3" t="s">
        <v>54</v>
      </c>
      <c r="D15373" s="3" t="s">
        <v>175</v>
      </c>
      <c r="E15373" s="4" t="s">
        <v>22</v>
      </c>
      <c r="F15373" s="4" t="s">
        <v>77574</v>
      </c>
      <c r="G15373" s="4" t="s">
        <v>77575</v>
      </c>
      <c r="H15373" s="3" t="s">
        <v>77131</v>
      </c>
      <c r="I15373" s="3" t="s">
        <v>77576</v>
      </c>
      <c r="J15373" s="3" t="s">
        <v>2645</v>
      </c>
      <c r="K15373" s="3" t="s">
        <v>77577</v>
      </c>
      <c r="L15373" s="3"/>
      <c r="M15373" s="4" t="s">
        <v>77578</v>
      </c>
      <c r="N15373" s="3" t="s">
        <v>37</v>
      </c>
      <c r="O15373" s="3" t="s">
        <v>52</v>
      </c>
      <c r="P15373" s="5">
        <v>9</v>
      </c>
      <c r="Q15373" s="5">
        <v>89</v>
      </c>
      <c r="R15373" s="5">
        <v>9</v>
      </c>
      <c r="S15373" s="5">
        <v>83</v>
      </c>
    </row>
    <row r="15374" spans="1:19" ht="28" x14ac:dyDescent="0.15">
      <c r="A15374" s="2">
        <f>HYPERLINK("https://open-school.uspishnemisto.com.ua/school/730094/", 730094)</f>
        <v>730094</v>
      </c>
      <c r="B15374" s="3" t="s">
        <v>77579</v>
      </c>
      <c r="C15374" s="3" t="s">
        <v>31</v>
      </c>
      <c r="D15374" s="3" t="s">
        <v>32</v>
      </c>
      <c r="E15374" s="4" t="s">
        <v>22</v>
      </c>
      <c r="F15374" s="4" t="s">
        <v>77580</v>
      </c>
      <c r="G15374" s="4" t="s">
        <v>77581</v>
      </c>
      <c r="H15374" s="3" t="s">
        <v>77131</v>
      </c>
      <c r="I15374" s="3" t="s">
        <v>77582</v>
      </c>
      <c r="J15374" s="3" t="s">
        <v>77583</v>
      </c>
      <c r="K15374" s="3" t="s">
        <v>77584</v>
      </c>
      <c r="L15374" s="3" t="s">
        <v>77585</v>
      </c>
      <c r="M15374" s="4" t="s">
        <v>77586</v>
      </c>
      <c r="N15374" s="3" t="s">
        <v>37</v>
      </c>
      <c r="O15374" s="3" t="s">
        <v>52</v>
      </c>
      <c r="P15374" s="5">
        <v>13</v>
      </c>
      <c r="Q15374" s="5">
        <v>255</v>
      </c>
      <c r="R15374" s="5">
        <v>12</v>
      </c>
      <c r="S15374" s="5">
        <v>241</v>
      </c>
    </row>
    <row r="15375" spans="1:19" ht="28" x14ac:dyDescent="0.15">
      <c r="A15375" s="2">
        <f>HYPERLINK("https://open-school.uspishnemisto.com.ua/school/730095/", 730095)</f>
        <v>730095</v>
      </c>
      <c r="B15375" s="3" t="s">
        <v>77587</v>
      </c>
      <c r="C15375" s="3" t="s">
        <v>31</v>
      </c>
      <c r="D15375" s="3" t="s">
        <v>32</v>
      </c>
      <c r="E15375" s="4" t="s">
        <v>22</v>
      </c>
      <c r="F15375" s="4" t="s">
        <v>77588</v>
      </c>
      <c r="G15375" s="4" t="s">
        <v>77589</v>
      </c>
      <c r="H15375" s="3" t="s">
        <v>77131</v>
      </c>
      <c r="I15375" s="3" t="s">
        <v>77590</v>
      </c>
      <c r="J15375" s="3" t="s">
        <v>77591</v>
      </c>
      <c r="K15375" s="3" t="s">
        <v>77592</v>
      </c>
      <c r="L15375" s="3"/>
      <c r="M15375" s="4" t="s">
        <v>77593</v>
      </c>
      <c r="N15375" s="3" t="s">
        <v>37</v>
      </c>
      <c r="O15375" s="3" t="s">
        <v>52</v>
      </c>
      <c r="P15375" s="5">
        <v>12</v>
      </c>
      <c r="Q15375" s="5">
        <v>214</v>
      </c>
      <c r="R15375" s="5">
        <v>12</v>
      </c>
      <c r="S15375" s="5">
        <v>206</v>
      </c>
    </row>
    <row r="15376" spans="1:19" ht="28" x14ac:dyDescent="0.15">
      <c r="A15376" s="2">
        <f>HYPERLINK("https://open-school.uspishnemisto.com.ua/school/730096/", 730096)</f>
        <v>730096</v>
      </c>
      <c r="B15376" s="3" t="s">
        <v>77594</v>
      </c>
      <c r="C15376" s="3" t="s">
        <v>31</v>
      </c>
      <c r="D15376" s="3" t="s">
        <v>32</v>
      </c>
      <c r="E15376" s="4" t="s">
        <v>22</v>
      </c>
      <c r="F15376" s="4" t="s">
        <v>77595</v>
      </c>
      <c r="G15376" s="4" t="s">
        <v>77596</v>
      </c>
      <c r="H15376" s="3" t="s">
        <v>77131</v>
      </c>
      <c r="I15376" s="3" t="s">
        <v>77597</v>
      </c>
      <c r="J15376" s="3" t="s">
        <v>77598</v>
      </c>
      <c r="K15376" s="3" t="s">
        <v>77599</v>
      </c>
      <c r="L15376" s="3" t="s">
        <v>77600</v>
      </c>
      <c r="M15376" s="4"/>
      <c r="N15376" s="3" t="s">
        <v>37</v>
      </c>
      <c r="O15376" s="3" t="s">
        <v>52</v>
      </c>
      <c r="P15376" s="5">
        <v>15</v>
      </c>
      <c r="Q15376" s="5">
        <v>307</v>
      </c>
      <c r="R15376" s="5">
        <v>14</v>
      </c>
      <c r="S15376" s="5">
        <v>293</v>
      </c>
    </row>
    <row r="15377" spans="1:19" ht="28" x14ac:dyDescent="0.15">
      <c r="A15377" s="2">
        <f>HYPERLINK("https://open-school.uspishnemisto.com.ua/school/730097/", 730097)</f>
        <v>730097</v>
      </c>
      <c r="B15377" s="3" t="s">
        <v>77601</v>
      </c>
      <c r="C15377" s="3" t="s">
        <v>188</v>
      </c>
      <c r="D15377" s="3" t="s">
        <v>32</v>
      </c>
      <c r="E15377" s="4" t="s">
        <v>22</v>
      </c>
      <c r="F15377" s="4" t="s">
        <v>77595</v>
      </c>
      <c r="G15377" s="4" t="s">
        <v>77596</v>
      </c>
      <c r="H15377" s="3" t="s">
        <v>77131</v>
      </c>
      <c r="I15377" s="3" t="s">
        <v>77597</v>
      </c>
      <c r="J15377" s="3" t="s">
        <v>77602</v>
      </c>
      <c r="K15377" s="3" t="s">
        <v>77603</v>
      </c>
      <c r="L15377" s="3" t="s">
        <v>77604</v>
      </c>
      <c r="M15377" s="4"/>
      <c r="N15377" s="3" t="s">
        <v>22346</v>
      </c>
      <c r="O15377" s="3" t="s">
        <v>2740</v>
      </c>
      <c r="P15377" s="5">
        <v>11</v>
      </c>
      <c r="Q15377" s="5">
        <v>102</v>
      </c>
      <c r="R15377" s="5">
        <v>11</v>
      </c>
      <c r="S15377" s="5">
        <v>109</v>
      </c>
    </row>
    <row r="15378" spans="1:19" ht="28" x14ac:dyDescent="0.15">
      <c r="A15378" s="2">
        <f>HYPERLINK("https://open-school.uspishnemisto.com.ua/school/730098/", 730098)</f>
        <v>730098</v>
      </c>
      <c r="B15378" s="3" t="s">
        <v>77605</v>
      </c>
      <c r="C15378" s="3" t="s">
        <v>54</v>
      </c>
      <c r="D15378" s="3" t="s">
        <v>32</v>
      </c>
      <c r="E15378" s="4" t="s">
        <v>22</v>
      </c>
      <c r="F15378" s="4" t="s">
        <v>77606</v>
      </c>
      <c r="G15378" s="4" t="s">
        <v>77607</v>
      </c>
      <c r="H15378" s="3" t="s">
        <v>77131</v>
      </c>
      <c r="I15378" s="3" t="s">
        <v>77608</v>
      </c>
      <c r="J15378" s="3" t="s">
        <v>1668</v>
      </c>
      <c r="K15378" s="3" t="s">
        <v>77609</v>
      </c>
      <c r="L15378" s="3"/>
      <c r="M15378" s="4"/>
      <c r="N15378" s="3" t="s">
        <v>22346</v>
      </c>
      <c r="O15378" s="3" t="s">
        <v>11684</v>
      </c>
      <c r="P15378" s="5">
        <v>15</v>
      </c>
      <c r="Q15378" s="5">
        <v>291</v>
      </c>
      <c r="R15378" s="5">
        <v>16</v>
      </c>
      <c r="S15378" s="5">
        <v>303</v>
      </c>
    </row>
    <row r="15379" spans="1:19" ht="42" x14ac:dyDescent="0.15">
      <c r="A15379" s="2">
        <f>HYPERLINK("https://open-school.uspishnemisto.com.ua/school/730099/", 730099)</f>
        <v>730099</v>
      </c>
      <c r="B15379" s="3" t="s">
        <v>77610</v>
      </c>
      <c r="C15379" s="3" t="s">
        <v>54</v>
      </c>
      <c r="D15379" s="3" t="s">
        <v>175</v>
      </c>
      <c r="E15379" s="4" t="s">
        <v>22</v>
      </c>
      <c r="F15379" s="4" t="s">
        <v>77611</v>
      </c>
      <c r="G15379" s="4" t="s">
        <v>77612</v>
      </c>
      <c r="H15379" s="3" t="s">
        <v>77131</v>
      </c>
      <c r="I15379" s="3" t="s">
        <v>77613</v>
      </c>
      <c r="J15379" s="3" t="s">
        <v>48885</v>
      </c>
      <c r="K15379" s="3" t="s">
        <v>77614</v>
      </c>
      <c r="L15379" s="3"/>
      <c r="M15379" s="4"/>
      <c r="N15379" s="3" t="s">
        <v>22346</v>
      </c>
      <c r="O15379" s="3" t="s">
        <v>11684</v>
      </c>
      <c r="P15379" s="5">
        <v>9</v>
      </c>
      <c r="Q15379" s="5">
        <v>59</v>
      </c>
      <c r="R15379" s="5">
        <v>9</v>
      </c>
      <c r="S15379" s="5">
        <v>61</v>
      </c>
    </row>
    <row r="15380" spans="1:19" ht="28" x14ac:dyDescent="0.15">
      <c r="A15380" s="2">
        <f>HYPERLINK("https://open-school.uspishnemisto.com.ua/school/730100/", 730100)</f>
        <v>730100</v>
      </c>
      <c r="B15380" s="3" t="s">
        <v>77615</v>
      </c>
      <c r="C15380" s="3" t="s">
        <v>54</v>
      </c>
      <c r="D15380" s="3" t="s">
        <v>175</v>
      </c>
      <c r="E15380" s="4" t="s">
        <v>22</v>
      </c>
      <c r="F15380" s="4" t="s">
        <v>77616</v>
      </c>
      <c r="G15380" s="4" t="s">
        <v>77617</v>
      </c>
      <c r="H15380" s="3" t="s">
        <v>77131</v>
      </c>
      <c r="I15380" s="3" t="s">
        <v>77618</v>
      </c>
      <c r="J15380" s="3" t="s">
        <v>77619</v>
      </c>
      <c r="K15380" s="3" t="s">
        <v>77620</v>
      </c>
      <c r="L15380" s="3"/>
      <c r="M15380" s="4"/>
      <c r="N15380" s="3" t="s">
        <v>22346</v>
      </c>
      <c r="O15380" s="3" t="s">
        <v>11684</v>
      </c>
      <c r="P15380" s="5">
        <v>9</v>
      </c>
      <c r="Q15380" s="5">
        <v>101</v>
      </c>
      <c r="R15380" s="5">
        <v>9</v>
      </c>
      <c r="S15380" s="5">
        <v>103</v>
      </c>
    </row>
    <row r="15381" spans="1:19" ht="56" x14ac:dyDescent="0.15">
      <c r="A15381" s="2">
        <f>HYPERLINK("https://open-school.uspishnemisto.com.ua/school/730101/", 730101)</f>
        <v>730101</v>
      </c>
      <c r="B15381" s="3" t="s">
        <v>77621</v>
      </c>
      <c r="C15381" s="3" t="s">
        <v>54</v>
      </c>
      <c r="D15381" s="3" t="s">
        <v>32</v>
      </c>
      <c r="E15381" s="4" t="s">
        <v>22</v>
      </c>
      <c r="F15381" s="4" t="s">
        <v>77622</v>
      </c>
      <c r="G15381" s="4" t="s">
        <v>77623</v>
      </c>
      <c r="H15381" s="3" t="s">
        <v>77131</v>
      </c>
      <c r="I15381" s="3" t="s">
        <v>77624</v>
      </c>
      <c r="J15381" s="3" t="s">
        <v>77625</v>
      </c>
      <c r="K15381" s="3" t="s">
        <v>77626</v>
      </c>
      <c r="L15381" s="3" t="s">
        <v>77627</v>
      </c>
      <c r="M15381" s="4"/>
      <c r="N15381" s="3" t="s">
        <v>22346</v>
      </c>
      <c r="O15381" s="3" t="s">
        <v>11684</v>
      </c>
      <c r="P15381" s="5">
        <v>24</v>
      </c>
      <c r="Q15381" s="5">
        <v>372</v>
      </c>
      <c r="R15381" s="5">
        <v>18</v>
      </c>
      <c r="S15381" s="5">
        <v>300</v>
      </c>
    </row>
    <row r="15382" spans="1:19" ht="28" x14ac:dyDescent="0.15">
      <c r="A15382" s="2">
        <f>HYPERLINK("https://open-school.uspishnemisto.com.ua/school/730104/", 730104)</f>
        <v>730104</v>
      </c>
      <c r="B15382" s="3" t="s">
        <v>77628</v>
      </c>
      <c r="C15382" s="3" t="s">
        <v>54</v>
      </c>
      <c r="D15382" s="3" t="s">
        <v>32</v>
      </c>
      <c r="E15382" s="4" t="s">
        <v>22</v>
      </c>
      <c r="F15382" s="4" t="s">
        <v>77629</v>
      </c>
      <c r="G15382" s="4" t="s">
        <v>77630</v>
      </c>
      <c r="H15382" s="3" t="s">
        <v>77131</v>
      </c>
      <c r="I15382" s="3" t="s">
        <v>77631</v>
      </c>
      <c r="J15382" s="3" t="s">
        <v>946</v>
      </c>
      <c r="K15382" s="3" t="s">
        <v>77632</v>
      </c>
      <c r="L15382" s="3" t="s">
        <v>77633</v>
      </c>
      <c r="M15382" s="4"/>
      <c r="N15382" s="3" t="s">
        <v>22346</v>
      </c>
      <c r="O15382" s="3" t="s">
        <v>11684</v>
      </c>
      <c r="P15382" s="5">
        <v>11</v>
      </c>
      <c r="Q15382" s="5">
        <v>152</v>
      </c>
      <c r="R15382" s="5">
        <v>11</v>
      </c>
      <c r="S15382" s="5">
        <v>162</v>
      </c>
    </row>
    <row r="15383" spans="1:19" ht="28" x14ac:dyDescent="0.15">
      <c r="A15383" s="2">
        <f>HYPERLINK("https://open-school.uspishnemisto.com.ua/school/730105/", 730105)</f>
        <v>730105</v>
      </c>
      <c r="B15383" s="3" t="s">
        <v>77634</v>
      </c>
      <c r="C15383" s="3" t="s">
        <v>54</v>
      </c>
      <c r="D15383" s="3" t="s">
        <v>175</v>
      </c>
      <c r="E15383" s="4" t="s">
        <v>22</v>
      </c>
      <c r="F15383" s="4" t="s">
        <v>77635</v>
      </c>
      <c r="G15383" s="4" t="s">
        <v>77636</v>
      </c>
      <c r="H15383" s="3" t="s">
        <v>77131</v>
      </c>
      <c r="I15383" s="3" t="s">
        <v>77637</v>
      </c>
      <c r="J15383" s="3" t="s">
        <v>77638</v>
      </c>
      <c r="K15383" s="3" t="s">
        <v>77639</v>
      </c>
      <c r="L15383" s="3"/>
      <c r="M15383" s="4"/>
      <c r="N15383" s="3" t="s">
        <v>22346</v>
      </c>
      <c r="O15383" s="3" t="s">
        <v>11684</v>
      </c>
      <c r="P15383" s="5">
        <v>9</v>
      </c>
      <c r="Q15383" s="5">
        <v>55</v>
      </c>
      <c r="R15383" s="5">
        <v>9</v>
      </c>
      <c r="S15383" s="5">
        <v>59</v>
      </c>
    </row>
    <row r="15384" spans="1:19" ht="28" x14ac:dyDescent="0.15">
      <c r="A15384" s="2">
        <f>HYPERLINK("https://open-school.uspishnemisto.com.ua/school/730106/", 730106)</f>
        <v>730106</v>
      </c>
      <c r="B15384" s="3" t="s">
        <v>77640</v>
      </c>
      <c r="C15384" s="3" t="s">
        <v>31</v>
      </c>
      <c r="D15384" s="3" t="s">
        <v>32</v>
      </c>
      <c r="E15384" s="4" t="s">
        <v>22</v>
      </c>
      <c r="F15384" s="4" t="s">
        <v>77641</v>
      </c>
      <c r="G15384" s="4" t="s">
        <v>77642</v>
      </c>
      <c r="H15384" s="3" t="s">
        <v>77131</v>
      </c>
      <c r="I15384" s="3" t="s">
        <v>77643</v>
      </c>
      <c r="J15384" s="3" t="s">
        <v>77644</v>
      </c>
      <c r="K15384" s="3" t="s">
        <v>77645</v>
      </c>
      <c r="L15384" s="3" t="s">
        <v>77646</v>
      </c>
      <c r="M15384" s="4"/>
      <c r="N15384" s="3" t="s">
        <v>22346</v>
      </c>
      <c r="O15384" s="3" t="s">
        <v>11684</v>
      </c>
      <c r="P15384" s="5">
        <v>24</v>
      </c>
      <c r="Q15384" s="5">
        <v>505</v>
      </c>
      <c r="R15384" s="5">
        <v>24</v>
      </c>
      <c r="S15384" s="5">
        <v>475</v>
      </c>
    </row>
    <row r="15385" spans="1:19" ht="28" x14ac:dyDescent="0.15">
      <c r="A15385" s="2">
        <f>HYPERLINK("https://open-school.uspishnemisto.com.ua/school/730107/", 730107)</f>
        <v>730107</v>
      </c>
      <c r="B15385" s="3" t="s">
        <v>77647</v>
      </c>
      <c r="C15385" s="3" t="s">
        <v>54</v>
      </c>
      <c r="D15385" s="3" t="s">
        <v>175</v>
      </c>
      <c r="E15385" s="4" t="s">
        <v>22</v>
      </c>
      <c r="F15385" s="4" t="s">
        <v>77648</v>
      </c>
      <c r="G15385" s="4" t="s">
        <v>77649</v>
      </c>
      <c r="H15385" s="3" t="s">
        <v>77131</v>
      </c>
      <c r="I15385" s="3" t="s">
        <v>77650</v>
      </c>
      <c r="J15385" s="3" t="s">
        <v>77651</v>
      </c>
      <c r="K15385" s="3" t="s">
        <v>77652</v>
      </c>
      <c r="L15385" s="3" t="s">
        <v>77653</v>
      </c>
      <c r="M15385" s="4"/>
      <c r="N15385" s="3" t="s">
        <v>22346</v>
      </c>
      <c r="O15385" s="3" t="s">
        <v>11684</v>
      </c>
      <c r="P15385" s="5">
        <v>9</v>
      </c>
      <c r="Q15385" s="5">
        <v>81</v>
      </c>
      <c r="R15385" s="5">
        <v>9</v>
      </c>
      <c r="S15385" s="5">
        <v>82</v>
      </c>
    </row>
    <row r="15386" spans="1:19" ht="28" x14ac:dyDescent="0.15">
      <c r="A15386" s="2">
        <f>HYPERLINK("https://open-school.uspishnemisto.com.ua/school/730108/", 730108)</f>
        <v>730108</v>
      </c>
      <c r="B15386" s="3" t="s">
        <v>77654</v>
      </c>
      <c r="C15386" s="3" t="s">
        <v>31</v>
      </c>
      <c r="D15386" s="3" t="s">
        <v>175</v>
      </c>
      <c r="E15386" s="4" t="s">
        <v>22</v>
      </c>
      <c r="F15386" s="4" t="s">
        <v>77655</v>
      </c>
      <c r="G15386" s="4" t="s">
        <v>77656</v>
      </c>
      <c r="H15386" s="3" t="s">
        <v>77131</v>
      </c>
      <c r="I15386" s="3" t="s">
        <v>43242</v>
      </c>
      <c r="J15386" s="3" t="s">
        <v>77657</v>
      </c>
      <c r="K15386" s="3" t="s">
        <v>77658</v>
      </c>
      <c r="L15386" s="3"/>
      <c r="M15386" s="4"/>
      <c r="N15386" s="3" t="s">
        <v>22346</v>
      </c>
      <c r="O15386" s="3" t="s">
        <v>52</v>
      </c>
      <c r="P15386" s="5">
        <v>9</v>
      </c>
      <c r="Q15386" s="5">
        <v>138</v>
      </c>
      <c r="R15386" s="5">
        <v>9</v>
      </c>
      <c r="S15386" s="5">
        <v>141</v>
      </c>
    </row>
    <row r="15387" spans="1:19" ht="28" x14ac:dyDescent="0.15">
      <c r="A15387" s="2">
        <f>HYPERLINK("https://open-school.uspishnemisto.com.ua/school/730109/", 730109)</f>
        <v>730109</v>
      </c>
      <c r="B15387" s="3" t="s">
        <v>77659</v>
      </c>
      <c r="C15387" s="3" t="s">
        <v>31</v>
      </c>
      <c r="D15387" s="3" t="s">
        <v>175</v>
      </c>
      <c r="E15387" s="4" t="s">
        <v>22</v>
      </c>
      <c r="F15387" s="4" t="s">
        <v>77660</v>
      </c>
      <c r="G15387" s="4" t="s">
        <v>77661</v>
      </c>
      <c r="H15387" s="3" t="s">
        <v>77131</v>
      </c>
      <c r="I15387" s="3" t="s">
        <v>1320</v>
      </c>
      <c r="J15387" s="3" t="s">
        <v>5955</v>
      </c>
      <c r="K15387" s="3" t="s">
        <v>77662</v>
      </c>
      <c r="L15387" s="3"/>
      <c r="M15387" s="4"/>
      <c r="N15387" s="3" t="s">
        <v>22346</v>
      </c>
      <c r="O15387" s="3" t="s">
        <v>11684</v>
      </c>
      <c r="P15387" s="5">
        <v>7</v>
      </c>
      <c r="Q15387" s="5">
        <v>58</v>
      </c>
      <c r="R15387" s="5">
        <v>9</v>
      </c>
      <c r="S15387" s="5">
        <v>58</v>
      </c>
    </row>
    <row r="15388" spans="1:19" ht="28" x14ac:dyDescent="0.15">
      <c r="A15388" s="2">
        <f>HYPERLINK("https://open-school.uspishnemisto.com.ua/school/730110/", 730110)</f>
        <v>730110</v>
      </c>
      <c r="B15388" s="3" t="s">
        <v>77663</v>
      </c>
      <c r="C15388" s="3" t="s">
        <v>31</v>
      </c>
      <c r="D15388" s="3" t="s">
        <v>32</v>
      </c>
      <c r="E15388" s="4" t="s">
        <v>22</v>
      </c>
      <c r="F15388" s="4" t="s">
        <v>77664</v>
      </c>
      <c r="G15388" s="4" t="s">
        <v>77665</v>
      </c>
      <c r="H15388" s="3" t="s">
        <v>77131</v>
      </c>
      <c r="I15388" s="3" t="s">
        <v>77666</v>
      </c>
      <c r="J15388" s="3" t="s">
        <v>77667</v>
      </c>
      <c r="K15388" s="3" t="s">
        <v>77668</v>
      </c>
      <c r="L15388" s="3"/>
      <c r="M15388" s="4"/>
      <c r="N15388" s="3" t="s">
        <v>22346</v>
      </c>
      <c r="O15388" s="3" t="s">
        <v>52</v>
      </c>
      <c r="P15388" s="5">
        <v>20</v>
      </c>
      <c r="Q15388" s="5">
        <v>388</v>
      </c>
      <c r="R15388" s="5">
        <v>19</v>
      </c>
      <c r="S15388" s="5">
        <v>390</v>
      </c>
    </row>
    <row r="15389" spans="1:19" ht="28" x14ac:dyDescent="0.15">
      <c r="A15389" s="2">
        <f>HYPERLINK("https://open-school.uspishnemisto.com.ua/school/730111/", 730111)</f>
        <v>730111</v>
      </c>
      <c r="B15389" s="3" t="s">
        <v>77669</v>
      </c>
      <c r="C15389" s="3" t="s">
        <v>31</v>
      </c>
      <c r="D15389" s="3" t="s">
        <v>32</v>
      </c>
      <c r="E15389" s="4" t="s">
        <v>22</v>
      </c>
      <c r="F15389" s="4" t="s">
        <v>77670</v>
      </c>
      <c r="G15389" s="4" t="s">
        <v>77671</v>
      </c>
      <c r="H15389" s="3" t="s">
        <v>77131</v>
      </c>
      <c r="I15389" s="3" t="s">
        <v>77672</v>
      </c>
      <c r="J15389" s="3" t="s">
        <v>77673</v>
      </c>
      <c r="K15389" s="3" t="s">
        <v>77674</v>
      </c>
      <c r="L15389" s="3"/>
      <c r="M15389" s="4"/>
      <c r="N15389" s="3" t="s">
        <v>22346</v>
      </c>
      <c r="O15389" s="3" t="s">
        <v>2740</v>
      </c>
      <c r="P15389" s="5">
        <v>19</v>
      </c>
      <c r="Q15389" s="5">
        <v>364</v>
      </c>
      <c r="R15389" s="5">
        <v>19</v>
      </c>
      <c r="S15389" s="5">
        <v>371</v>
      </c>
    </row>
    <row r="15390" spans="1:19" ht="28" x14ac:dyDescent="0.15">
      <c r="A15390" s="2">
        <f>HYPERLINK("https://open-school.uspishnemisto.com.ua/school/730112/", 730112)</f>
        <v>730112</v>
      </c>
      <c r="B15390" s="3" t="s">
        <v>77675</v>
      </c>
      <c r="C15390" s="3" t="s">
        <v>54</v>
      </c>
      <c r="D15390" s="3" t="s">
        <v>60</v>
      </c>
      <c r="E15390" s="4" t="s">
        <v>22</v>
      </c>
      <c r="F15390" s="4" t="s">
        <v>77670</v>
      </c>
      <c r="G15390" s="4" t="s">
        <v>77671</v>
      </c>
      <c r="H15390" s="3" t="s">
        <v>77131</v>
      </c>
      <c r="I15390" s="3" t="s">
        <v>77672</v>
      </c>
      <c r="J15390" s="3" t="s">
        <v>33554</v>
      </c>
      <c r="K15390" s="3" t="s">
        <v>77676</v>
      </c>
      <c r="L15390" s="3"/>
      <c r="M15390" s="4"/>
      <c r="N15390" s="3" t="s">
        <v>22346</v>
      </c>
      <c r="O15390" s="3" t="s">
        <v>52</v>
      </c>
      <c r="P15390" s="5">
        <v>4</v>
      </c>
      <c r="Q15390" s="5">
        <v>39</v>
      </c>
      <c r="R15390" s="5">
        <v>4</v>
      </c>
      <c r="S15390" s="5">
        <v>41</v>
      </c>
    </row>
    <row r="15391" spans="1:19" ht="28" x14ac:dyDescent="0.15">
      <c r="A15391" s="2">
        <f>HYPERLINK("https://open-school.uspishnemisto.com.ua/school/730113/", 730113)</f>
        <v>730113</v>
      </c>
      <c r="B15391" s="3" t="s">
        <v>77677</v>
      </c>
      <c r="C15391" s="3" t="s">
        <v>31</v>
      </c>
      <c r="D15391" s="3" t="s">
        <v>32</v>
      </c>
      <c r="E15391" s="4" t="s">
        <v>22</v>
      </c>
      <c r="F15391" s="4" t="s">
        <v>77678</v>
      </c>
      <c r="G15391" s="4" t="s">
        <v>77679</v>
      </c>
      <c r="H15391" s="3" t="s">
        <v>77131</v>
      </c>
      <c r="I15391" s="3" t="s">
        <v>3392</v>
      </c>
      <c r="J15391" s="3" t="s">
        <v>297</v>
      </c>
      <c r="K15391" s="3" t="s">
        <v>77680</v>
      </c>
      <c r="L15391" s="3" t="s">
        <v>77681</v>
      </c>
      <c r="M15391" s="4"/>
      <c r="N15391" s="3" t="s">
        <v>22346</v>
      </c>
      <c r="O15391" s="3" t="s">
        <v>11684</v>
      </c>
      <c r="P15391" s="5">
        <v>17</v>
      </c>
      <c r="Q15391" s="5">
        <v>309</v>
      </c>
      <c r="R15391" s="5">
        <v>17</v>
      </c>
      <c r="S15391" s="5">
        <v>301</v>
      </c>
    </row>
    <row r="15392" spans="1:19" ht="28" x14ac:dyDescent="0.15">
      <c r="A15392" s="2">
        <f>HYPERLINK("https://open-school.uspishnemisto.com.ua/school/730114/", 730114)</f>
        <v>730114</v>
      </c>
      <c r="B15392" s="3" t="s">
        <v>77682</v>
      </c>
      <c r="C15392" s="3" t="s">
        <v>31</v>
      </c>
      <c r="D15392" s="3" t="s">
        <v>60</v>
      </c>
      <c r="E15392" s="4" t="s">
        <v>22</v>
      </c>
      <c r="F15392" s="4" t="s">
        <v>77683</v>
      </c>
      <c r="G15392" s="4" t="s">
        <v>77684</v>
      </c>
      <c r="H15392" s="3" t="s">
        <v>77131</v>
      </c>
      <c r="I15392" s="3" t="s">
        <v>42709</v>
      </c>
      <c r="J15392" s="3" t="s">
        <v>77685</v>
      </c>
      <c r="K15392" s="3" t="s">
        <v>77686</v>
      </c>
      <c r="L15392" s="3"/>
      <c r="M15392" s="4"/>
      <c r="N15392" s="3" t="s">
        <v>22346</v>
      </c>
      <c r="O15392" s="3" t="s">
        <v>11684</v>
      </c>
      <c r="P15392" s="5">
        <v>4</v>
      </c>
      <c r="Q15392" s="5">
        <v>41</v>
      </c>
      <c r="R15392" s="5">
        <v>4</v>
      </c>
      <c r="S15392" s="5">
        <v>41</v>
      </c>
    </row>
    <row r="15393" spans="1:19" ht="28" x14ac:dyDescent="0.15">
      <c r="A15393" s="2">
        <f>HYPERLINK("https://open-school.uspishnemisto.com.ua/school/730115/", 730115)</f>
        <v>730115</v>
      </c>
      <c r="B15393" s="3" t="s">
        <v>77687</v>
      </c>
      <c r="C15393" s="3" t="s">
        <v>54</v>
      </c>
      <c r="D15393" s="3" t="s">
        <v>32</v>
      </c>
      <c r="E15393" s="4" t="s">
        <v>22</v>
      </c>
      <c r="F15393" s="4" t="s">
        <v>77683</v>
      </c>
      <c r="G15393" s="4" t="s">
        <v>77684</v>
      </c>
      <c r="H15393" s="3" t="s">
        <v>77131</v>
      </c>
      <c r="I15393" s="3" t="s">
        <v>42709</v>
      </c>
      <c r="J15393" s="3" t="s">
        <v>77688</v>
      </c>
      <c r="K15393" s="3" t="s">
        <v>77689</v>
      </c>
      <c r="L15393" s="3" t="s">
        <v>77690</v>
      </c>
      <c r="M15393" s="4"/>
      <c r="N15393" s="3" t="s">
        <v>22346</v>
      </c>
      <c r="O15393" s="3" t="s">
        <v>11684</v>
      </c>
      <c r="P15393" s="5">
        <v>11</v>
      </c>
      <c r="Q15393" s="5">
        <v>216</v>
      </c>
      <c r="R15393" s="5">
        <v>12</v>
      </c>
      <c r="S15393" s="5">
        <v>236</v>
      </c>
    </row>
    <row r="15394" spans="1:19" ht="28" x14ac:dyDescent="0.15">
      <c r="A15394" s="2">
        <f>HYPERLINK("https://open-school.uspishnemisto.com.ua/school/730116/", 730116)</f>
        <v>730116</v>
      </c>
      <c r="B15394" s="3" t="s">
        <v>77691</v>
      </c>
      <c r="C15394" s="3" t="s">
        <v>31</v>
      </c>
      <c r="D15394" s="3" t="s">
        <v>60</v>
      </c>
      <c r="E15394" s="4" t="s">
        <v>22</v>
      </c>
      <c r="F15394" s="4" t="s">
        <v>77683</v>
      </c>
      <c r="G15394" s="4" t="s">
        <v>77684</v>
      </c>
      <c r="H15394" s="3" t="s">
        <v>77131</v>
      </c>
      <c r="I15394" s="3" t="s">
        <v>42709</v>
      </c>
      <c r="J15394" s="3" t="s">
        <v>77692</v>
      </c>
      <c r="K15394" s="3" t="s">
        <v>77693</v>
      </c>
      <c r="L15394" s="3"/>
      <c r="M15394" s="4"/>
      <c r="N15394" s="3" t="s">
        <v>22346</v>
      </c>
      <c r="O15394" s="3" t="s">
        <v>11684</v>
      </c>
      <c r="P15394" s="5">
        <v>3</v>
      </c>
      <c r="Q15394" s="5">
        <v>21</v>
      </c>
      <c r="R15394" s="5">
        <v>2</v>
      </c>
      <c r="S15394" s="5">
        <v>17</v>
      </c>
    </row>
    <row r="15395" spans="1:19" ht="28" x14ac:dyDescent="0.15">
      <c r="A15395" s="2">
        <f>HYPERLINK("https://open-school.uspishnemisto.com.ua/school/730117/", 730117)</f>
        <v>730117</v>
      </c>
      <c r="B15395" s="3" t="s">
        <v>77694</v>
      </c>
      <c r="C15395" s="3" t="s">
        <v>31</v>
      </c>
      <c r="D15395" s="3" t="s">
        <v>60</v>
      </c>
      <c r="E15395" s="4" t="s">
        <v>22</v>
      </c>
      <c r="F15395" s="4" t="s">
        <v>77683</v>
      </c>
      <c r="G15395" s="4" t="s">
        <v>77684</v>
      </c>
      <c r="H15395" s="3" t="s">
        <v>77131</v>
      </c>
      <c r="I15395" s="3" t="s">
        <v>42709</v>
      </c>
      <c r="J15395" s="3"/>
      <c r="K15395" s="3"/>
      <c r="L15395" s="3"/>
      <c r="M15395" s="4"/>
      <c r="N15395" s="3" t="s">
        <v>22346</v>
      </c>
      <c r="O15395" s="3" t="s">
        <v>11684</v>
      </c>
      <c r="P15395" s="5">
        <v>1</v>
      </c>
      <c r="Q15395" s="5">
        <v>6</v>
      </c>
      <c r="R15395" s="5">
        <v>1</v>
      </c>
      <c r="S15395" s="5">
        <v>6</v>
      </c>
    </row>
    <row r="15396" spans="1:19" ht="28" x14ac:dyDescent="0.15">
      <c r="A15396" s="2">
        <f>HYPERLINK("https://open-school.uspishnemisto.com.ua/school/730118/", 730118)</f>
        <v>730118</v>
      </c>
      <c r="B15396" s="3" t="s">
        <v>77695</v>
      </c>
      <c r="C15396" s="3" t="s">
        <v>54</v>
      </c>
      <c r="D15396" s="3" t="s">
        <v>175</v>
      </c>
      <c r="E15396" s="4" t="s">
        <v>22</v>
      </c>
      <c r="F15396" s="4" t="s">
        <v>77696</v>
      </c>
      <c r="G15396" s="4" t="s">
        <v>77697</v>
      </c>
      <c r="H15396" s="3" t="s">
        <v>77131</v>
      </c>
      <c r="I15396" s="3" t="s">
        <v>2323</v>
      </c>
      <c r="J15396" s="3" t="s">
        <v>77698</v>
      </c>
      <c r="K15396" s="3" t="s">
        <v>77699</v>
      </c>
      <c r="L15396" s="3" t="s">
        <v>77700</v>
      </c>
      <c r="M15396" s="4"/>
      <c r="N15396" s="3" t="s">
        <v>22346</v>
      </c>
      <c r="O15396" s="3" t="s">
        <v>11684</v>
      </c>
      <c r="P15396" s="5">
        <v>9</v>
      </c>
      <c r="Q15396" s="5">
        <v>86</v>
      </c>
      <c r="R15396" s="5">
        <v>9</v>
      </c>
      <c r="S15396" s="5">
        <v>83</v>
      </c>
    </row>
    <row r="15397" spans="1:19" ht="28" x14ac:dyDescent="0.15">
      <c r="A15397" s="2">
        <f>HYPERLINK("https://open-school.uspishnemisto.com.ua/school/730119/", 730119)</f>
        <v>730119</v>
      </c>
      <c r="B15397" s="3" t="s">
        <v>77701</v>
      </c>
      <c r="C15397" s="3" t="s">
        <v>31</v>
      </c>
      <c r="D15397" s="3" t="s">
        <v>32</v>
      </c>
      <c r="E15397" s="4" t="s">
        <v>22</v>
      </c>
      <c r="F15397" s="4" t="s">
        <v>77696</v>
      </c>
      <c r="G15397" s="4" t="s">
        <v>77697</v>
      </c>
      <c r="H15397" s="3" t="s">
        <v>77131</v>
      </c>
      <c r="I15397" s="3" t="s">
        <v>2323</v>
      </c>
      <c r="J15397" s="3" t="s">
        <v>39711</v>
      </c>
      <c r="K15397" s="3" t="s">
        <v>77702</v>
      </c>
      <c r="L15397" s="3"/>
      <c r="M15397" s="4"/>
      <c r="N15397" s="3" t="s">
        <v>22346</v>
      </c>
      <c r="O15397" s="3" t="s">
        <v>11684</v>
      </c>
      <c r="P15397" s="5">
        <v>0</v>
      </c>
      <c r="Q15397" s="5">
        <v>11</v>
      </c>
      <c r="R15397" s="5">
        <v>4</v>
      </c>
      <c r="S15397" s="5">
        <v>12</v>
      </c>
    </row>
    <row r="15398" spans="1:19" ht="28" x14ac:dyDescent="0.15">
      <c r="A15398" s="2">
        <f>HYPERLINK("https://open-school.uspishnemisto.com.ua/school/730121/", 730121)</f>
        <v>730121</v>
      </c>
      <c r="B15398" s="3" t="s">
        <v>77703</v>
      </c>
      <c r="C15398" s="3" t="s">
        <v>31</v>
      </c>
      <c r="D15398" s="3" t="s">
        <v>60</v>
      </c>
      <c r="E15398" s="4" t="s">
        <v>22</v>
      </c>
      <c r="F15398" s="4" t="s">
        <v>77704</v>
      </c>
      <c r="G15398" s="4" t="s">
        <v>77705</v>
      </c>
      <c r="H15398" s="3" t="s">
        <v>77131</v>
      </c>
      <c r="I15398" s="3" t="s">
        <v>77706</v>
      </c>
      <c r="J15398" s="3" t="s">
        <v>77707</v>
      </c>
      <c r="K15398" s="3" t="s">
        <v>77708</v>
      </c>
      <c r="L15398" s="3"/>
      <c r="M15398" s="4"/>
      <c r="N15398" s="3" t="s">
        <v>22346</v>
      </c>
      <c r="O15398" s="3" t="s">
        <v>11684</v>
      </c>
      <c r="P15398" s="5">
        <v>2</v>
      </c>
      <c r="Q15398" s="5">
        <v>12</v>
      </c>
      <c r="R15398" s="5">
        <v>3</v>
      </c>
      <c r="S15398" s="5">
        <v>12</v>
      </c>
    </row>
    <row r="15399" spans="1:19" ht="28" x14ac:dyDescent="0.15">
      <c r="A15399" s="2">
        <f>HYPERLINK("https://open-school.uspishnemisto.com.ua/school/730122/", 730122)</f>
        <v>730122</v>
      </c>
      <c r="B15399" s="3" t="s">
        <v>77709</v>
      </c>
      <c r="C15399" s="3" t="s">
        <v>54</v>
      </c>
      <c r="D15399" s="3" t="s">
        <v>32</v>
      </c>
      <c r="E15399" s="4" t="s">
        <v>22</v>
      </c>
      <c r="F15399" s="4" t="s">
        <v>77704</v>
      </c>
      <c r="G15399" s="4" t="s">
        <v>77705</v>
      </c>
      <c r="H15399" s="3" t="s">
        <v>77131</v>
      </c>
      <c r="I15399" s="3" t="s">
        <v>77706</v>
      </c>
      <c r="J15399" s="3" t="s">
        <v>77710</v>
      </c>
      <c r="K15399" s="3" t="s">
        <v>77711</v>
      </c>
      <c r="L15399" s="3"/>
      <c r="M15399" s="4"/>
      <c r="N15399" s="3" t="s">
        <v>22346</v>
      </c>
      <c r="O15399" s="3" t="s">
        <v>11684</v>
      </c>
      <c r="P15399" s="5">
        <v>12</v>
      </c>
      <c r="Q15399" s="5">
        <v>212</v>
      </c>
      <c r="R15399" s="5">
        <v>12</v>
      </c>
      <c r="S15399" s="5">
        <v>218</v>
      </c>
    </row>
    <row r="15400" spans="1:19" ht="28" x14ac:dyDescent="0.15">
      <c r="A15400" s="2">
        <f>HYPERLINK("https://open-school.uspishnemisto.com.ua/school/730123/", 730123)</f>
        <v>730123</v>
      </c>
      <c r="B15400" s="3" t="s">
        <v>77712</v>
      </c>
      <c r="C15400" s="3" t="s">
        <v>31</v>
      </c>
      <c r="D15400" s="3" t="s">
        <v>60</v>
      </c>
      <c r="E15400" s="4" t="s">
        <v>22</v>
      </c>
      <c r="F15400" s="4" t="s">
        <v>77713</v>
      </c>
      <c r="G15400" s="4" t="s">
        <v>77714</v>
      </c>
      <c r="H15400" s="3" t="s">
        <v>77131</v>
      </c>
      <c r="I15400" s="3" t="s">
        <v>77715</v>
      </c>
      <c r="J15400" s="3" t="s">
        <v>77716</v>
      </c>
      <c r="K15400" s="3" t="s">
        <v>77717</v>
      </c>
      <c r="L15400" s="3"/>
      <c r="M15400" s="4"/>
      <c r="N15400" s="3" t="s">
        <v>37</v>
      </c>
      <c r="O15400" s="3" t="s">
        <v>52</v>
      </c>
      <c r="P15400" s="5">
        <v>2</v>
      </c>
      <c r="Q15400" s="5">
        <v>16</v>
      </c>
      <c r="R15400" s="5">
        <v>3</v>
      </c>
      <c r="S15400" s="5">
        <v>24</v>
      </c>
    </row>
    <row r="15401" spans="1:19" ht="42" x14ac:dyDescent="0.15">
      <c r="A15401" s="2">
        <f>HYPERLINK("https://open-school.uspishnemisto.com.ua/school/730124/", 730124)</f>
        <v>730124</v>
      </c>
      <c r="B15401" s="3" t="s">
        <v>77718</v>
      </c>
      <c r="C15401" s="3" t="s">
        <v>54</v>
      </c>
      <c r="D15401" s="3" t="s">
        <v>175</v>
      </c>
      <c r="E15401" s="4" t="s">
        <v>22</v>
      </c>
      <c r="F15401" s="4" t="s">
        <v>77713</v>
      </c>
      <c r="G15401" s="4" t="s">
        <v>77719</v>
      </c>
      <c r="H15401" s="3" t="s">
        <v>77131</v>
      </c>
      <c r="I15401" s="3" t="s">
        <v>77720</v>
      </c>
      <c r="J15401" s="3" t="s">
        <v>1348</v>
      </c>
      <c r="K15401" s="3" t="s">
        <v>77721</v>
      </c>
      <c r="L15401" s="3" t="s">
        <v>77722</v>
      </c>
      <c r="M15401" s="4"/>
      <c r="N15401" s="3" t="s">
        <v>22346</v>
      </c>
      <c r="O15401" s="3" t="s">
        <v>11684</v>
      </c>
      <c r="P15401" s="5">
        <v>13</v>
      </c>
      <c r="Q15401" s="5">
        <v>149</v>
      </c>
      <c r="R15401" s="5">
        <v>13</v>
      </c>
      <c r="S15401" s="5">
        <v>144</v>
      </c>
    </row>
    <row r="15402" spans="1:19" ht="28" x14ac:dyDescent="0.15">
      <c r="A15402" s="2">
        <f>HYPERLINK("https://open-school.uspishnemisto.com.ua/school/730125/", 730125)</f>
        <v>730125</v>
      </c>
      <c r="B15402" s="3" t="s">
        <v>77723</v>
      </c>
      <c r="C15402" s="3" t="s">
        <v>40</v>
      </c>
      <c r="D15402" s="3" t="s">
        <v>32</v>
      </c>
      <c r="E15402" s="4" t="s">
        <v>22</v>
      </c>
      <c r="F15402" s="4" t="s">
        <v>77724</v>
      </c>
      <c r="G15402" s="4" t="s">
        <v>77725</v>
      </c>
      <c r="H15402" s="3" t="s">
        <v>77131</v>
      </c>
      <c r="I15402" s="3" t="s">
        <v>27273</v>
      </c>
      <c r="J15402" s="3" t="s">
        <v>77726</v>
      </c>
      <c r="K15402" s="3" t="s">
        <v>77727</v>
      </c>
      <c r="L15402" s="3" t="s">
        <v>77728</v>
      </c>
      <c r="M15402" s="4"/>
      <c r="N15402" s="3" t="s">
        <v>37</v>
      </c>
      <c r="O15402" s="3" t="s">
        <v>52</v>
      </c>
      <c r="P15402" s="5">
        <v>24</v>
      </c>
      <c r="Q15402" s="5">
        <v>597</v>
      </c>
      <c r="R15402" s="5">
        <v>24</v>
      </c>
      <c r="S15402" s="5">
        <v>590</v>
      </c>
    </row>
    <row r="15403" spans="1:19" ht="28" x14ac:dyDescent="0.15">
      <c r="A15403" s="2">
        <f>HYPERLINK("https://open-school.uspishnemisto.com.ua/school/730126/", 730126)</f>
        <v>730126</v>
      </c>
      <c r="B15403" s="3" t="s">
        <v>77729</v>
      </c>
      <c r="C15403" s="3" t="s">
        <v>188</v>
      </c>
      <c r="D15403" s="3" t="s">
        <v>32</v>
      </c>
      <c r="E15403" s="4" t="s">
        <v>22</v>
      </c>
      <c r="F15403" s="4" t="s">
        <v>77724</v>
      </c>
      <c r="G15403" s="4" t="s">
        <v>77725</v>
      </c>
      <c r="H15403" s="3" t="s">
        <v>77131</v>
      </c>
      <c r="I15403" s="3" t="s">
        <v>27273</v>
      </c>
      <c r="J15403" s="3" t="s">
        <v>5606</v>
      </c>
      <c r="K15403" s="3" t="s">
        <v>77730</v>
      </c>
      <c r="L15403" s="3" t="s">
        <v>77731</v>
      </c>
      <c r="M15403" s="4"/>
      <c r="N15403" s="3" t="s">
        <v>37</v>
      </c>
      <c r="O15403" s="3" t="s">
        <v>46</v>
      </c>
      <c r="P15403" s="5">
        <v>32</v>
      </c>
      <c r="Q15403" s="5">
        <v>742</v>
      </c>
      <c r="R15403" s="5">
        <v>31</v>
      </c>
      <c r="S15403" s="5">
        <v>698</v>
      </c>
    </row>
    <row r="15404" spans="1:19" ht="42" x14ac:dyDescent="0.15">
      <c r="A15404" s="2">
        <f>HYPERLINK("https://open-school.uspishnemisto.com.ua/school/730127/", 730127)</f>
        <v>730127</v>
      </c>
      <c r="B15404" s="3" t="s">
        <v>77732</v>
      </c>
      <c r="C15404" s="3" t="s">
        <v>31</v>
      </c>
      <c r="D15404" s="3" t="s">
        <v>32</v>
      </c>
      <c r="E15404" s="4" t="s">
        <v>22</v>
      </c>
      <c r="F15404" s="4" t="s">
        <v>77733</v>
      </c>
      <c r="G15404" s="4" t="s">
        <v>77734</v>
      </c>
      <c r="H15404" s="3" t="s">
        <v>77131</v>
      </c>
      <c r="I15404" s="3" t="s">
        <v>77735</v>
      </c>
      <c r="J15404" s="3" t="s">
        <v>700</v>
      </c>
      <c r="K15404" s="3" t="s">
        <v>77736</v>
      </c>
      <c r="L15404" s="3" t="s">
        <v>77737</v>
      </c>
      <c r="M15404" s="4"/>
      <c r="N15404" s="3" t="s">
        <v>22305</v>
      </c>
      <c r="O15404" s="3" t="s">
        <v>11684</v>
      </c>
      <c r="P15404" s="5">
        <v>17</v>
      </c>
      <c r="Q15404" s="5">
        <v>155</v>
      </c>
      <c r="R15404" s="5">
        <v>17</v>
      </c>
      <c r="S15404" s="5">
        <v>156</v>
      </c>
    </row>
    <row r="15405" spans="1:19" ht="42" x14ac:dyDescent="0.15">
      <c r="A15405" s="2">
        <f>HYPERLINK("https://open-school.uspishnemisto.com.ua/school/730128/", 730128)</f>
        <v>730128</v>
      </c>
      <c r="B15405" s="3" t="s">
        <v>77738</v>
      </c>
      <c r="C15405" s="3" t="s">
        <v>31</v>
      </c>
      <c r="D15405" s="3" t="s">
        <v>175</v>
      </c>
      <c r="E15405" s="4" t="s">
        <v>22</v>
      </c>
      <c r="F15405" s="4" t="s">
        <v>77739</v>
      </c>
      <c r="G15405" s="4" t="s">
        <v>77740</v>
      </c>
      <c r="H15405" s="3" t="s">
        <v>77131</v>
      </c>
      <c r="I15405" s="3" t="s">
        <v>77741</v>
      </c>
      <c r="J15405" s="3" t="s">
        <v>77742</v>
      </c>
      <c r="K15405" s="3" t="s">
        <v>77743</v>
      </c>
      <c r="L15405" s="3" t="s">
        <v>77744</v>
      </c>
      <c r="M15405" s="4"/>
      <c r="N15405" s="3" t="s">
        <v>37</v>
      </c>
      <c r="O15405" s="3" t="s">
        <v>46</v>
      </c>
      <c r="P15405" s="5">
        <v>10</v>
      </c>
      <c r="Q15405" s="5">
        <v>159</v>
      </c>
      <c r="R15405" s="5">
        <v>10</v>
      </c>
      <c r="S15405" s="5">
        <v>150</v>
      </c>
    </row>
    <row r="15406" spans="1:19" ht="42" x14ac:dyDescent="0.15">
      <c r="A15406" s="2">
        <f>HYPERLINK("https://open-school.uspishnemisto.com.ua/school/730129/", 730129)</f>
        <v>730129</v>
      </c>
      <c r="B15406" s="3" t="s">
        <v>77745</v>
      </c>
      <c r="C15406" s="3" t="s">
        <v>31</v>
      </c>
      <c r="D15406" s="3" t="s">
        <v>32</v>
      </c>
      <c r="E15406" s="4" t="s">
        <v>22</v>
      </c>
      <c r="F15406" s="4" t="s">
        <v>77746</v>
      </c>
      <c r="G15406" s="4" t="s">
        <v>77747</v>
      </c>
      <c r="H15406" s="3" t="s">
        <v>77131</v>
      </c>
      <c r="I15406" s="3" t="s">
        <v>77437</v>
      </c>
      <c r="J15406" s="3" t="s">
        <v>77748</v>
      </c>
      <c r="K15406" s="3" t="s">
        <v>77749</v>
      </c>
      <c r="L15406" s="3" t="s">
        <v>77750</v>
      </c>
      <c r="M15406" s="4"/>
      <c r="N15406" s="3" t="s">
        <v>22346</v>
      </c>
      <c r="O15406" s="3" t="s">
        <v>52</v>
      </c>
      <c r="P15406" s="5">
        <v>17</v>
      </c>
      <c r="Q15406" s="5">
        <v>304</v>
      </c>
      <c r="R15406" s="5">
        <v>16</v>
      </c>
      <c r="S15406" s="5">
        <v>303</v>
      </c>
    </row>
    <row r="15407" spans="1:19" ht="28" x14ac:dyDescent="0.15">
      <c r="A15407" s="2">
        <f>HYPERLINK("https://open-school.uspishnemisto.com.ua/school/730130/", 730130)</f>
        <v>730130</v>
      </c>
      <c r="B15407" s="3" t="s">
        <v>77751</v>
      </c>
      <c r="C15407" s="3" t="s">
        <v>54</v>
      </c>
      <c r="D15407" s="3" t="s">
        <v>175</v>
      </c>
      <c r="E15407" s="4" t="s">
        <v>22</v>
      </c>
      <c r="F15407" s="4" t="s">
        <v>77752</v>
      </c>
      <c r="G15407" s="4" t="s">
        <v>77753</v>
      </c>
      <c r="H15407" s="3" t="s">
        <v>77131</v>
      </c>
      <c r="I15407" s="3" t="s">
        <v>10849</v>
      </c>
      <c r="J15407" s="3" t="s">
        <v>77754</v>
      </c>
      <c r="K15407" s="3" t="s">
        <v>77755</v>
      </c>
      <c r="L15407" s="3" t="s">
        <v>77756</v>
      </c>
      <c r="M15407" s="4"/>
      <c r="N15407" s="3" t="s">
        <v>22346</v>
      </c>
      <c r="O15407" s="3" t="s">
        <v>52</v>
      </c>
      <c r="P15407" s="5">
        <v>9</v>
      </c>
      <c r="Q15407" s="5">
        <v>96</v>
      </c>
      <c r="R15407" s="5">
        <v>9</v>
      </c>
      <c r="S15407" s="5">
        <v>93</v>
      </c>
    </row>
    <row r="15408" spans="1:19" ht="28" x14ac:dyDescent="0.15">
      <c r="A15408" s="2">
        <f>HYPERLINK("https://open-school.uspishnemisto.com.ua/school/730131/", 730131)</f>
        <v>730131</v>
      </c>
      <c r="B15408" s="3" t="s">
        <v>77757</v>
      </c>
      <c r="C15408" s="3" t="s">
        <v>31</v>
      </c>
      <c r="D15408" s="3" t="s">
        <v>32</v>
      </c>
      <c r="E15408" s="4" t="s">
        <v>22</v>
      </c>
      <c r="F15408" s="4" t="s">
        <v>77758</v>
      </c>
      <c r="G15408" s="4" t="s">
        <v>77759</v>
      </c>
      <c r="H15408" s="3" t="s">
        <v>77131</v>
      </c>
      <c r="I15408" s="3" t="s">
        <v>77760</v>
      </c>
      <c r="J15408" s="3" t="s">
        <v>77761</v>
      </c>
      <c r="K15408" s="3" t="s">
        <v>77762</v>
      </c>
      <c r="L15408" s="3" t="s">
        <v>77763</v>
      </c>
      <c r="M15408" s="4"/>
      <c r="N15408" s="3" t="s">
        <v>22346</v>
      </c>
      <c r="O15408" s="3" t="s">
        <v>77335</v>
      </c>
      <c r="P15408" s="5">
        <v>14</v>
      </c>
      <c r="Q15408" s="5">
        <v>293</v>
      </c>
      <c r="R15408" s="5">
        <v>17</v>
      </c>
      <c r="S15408" s="5">
        <v>305</v>
      </c>
    </row>
    <row r="15409" spans="1:19" ht="28" x14ac:dyDescent="0.15">
      <c r="A15409" s="2">
        <f>HYPERLINK("https://open-school.uspishnemisto.com.ua/school/730132/", 730132)</f>
        <v>730132</v>
      </c>
      <c r="B15409" s="3" t="s">
        <v>77764</v>
      </c>
      <c r="C15409" s="3" t="s">
        <v>54</v>
      </c>
      <c r="D15409" s="3" t="s">
        <v>175</v>
      </c>
      <c r="E15409" s="4" t="s">
        <v>22</v>
      </c>
      <c r="F15409" s="4" t="s">
        <v>77765</v>
      </c>
      <c r="G15409" s="4" t="s">
        <v>77766</v>
      </c>
      <c r="H15409" s="3" t="s">
        <v>77131</v>
      </c>
      <c r="I15409" s="3" t="s">
        <v>1883</v>
      </c>
      <c r="J15409" s="3" t="s">
        <v>77767</v>
      </c>
      <c r="K15409" s="3" t="s">
        <v>77768</v>
      </c>
      <c r="L15409" s="3" t="s">
        <v>77769</v>
      </c>
      <c r="M15409" s="4"/>
      <c r="N15409" s="3" t="s">
        <v>37</v>
      </c>
      <c r="O15409" s="3" t="s">
        <v>52</v>
      </c>
      <c r="P15409" s="5">
        <v>9</v>
      </c>
      <c r="Q15409" s="5">
        <v>86</v>
      </c>
      <c r="R15409" s="5">
        <v>8</v>
      </c>
      <c r="S15409" s="5">
        <v>75</v>
      </c>
    </row>
    <row r="15410" spans="1:19" ht="28" x14ac:dyDescent="0.15">
      <c r="A15410" s="2">
        <f>HYPERLINK("https://open-school.uspishnemisto.com.ua/school/730133/", 730133)</f>
        <v>730133</v>
      </c>
      <c r="B15410" s="3" t="s">
        <v>77770</v>
      </c>
      <c r="C15410" s="3" t="s">
        <v>54</v>
      </c>
      <c r="D15410" s="3" t="s">
        <v>32</v>
      </c>
      <c r="E15410" s="4" t="s">
        <v>22</v>
      </c>
      <c r="F15410" s="4" t="s">
        <v>77771</v>
      </c>
      <c r="G15410" s="4" t="s">
        <v>77772</v>
      </c>
      <c r="H15410" s="3" t="s">
        <v>77131</v>
      </c>
      <c r="I15410" s="3" t="s">
        <v>77773</v>
      </c>
      <c r="J15410" s="3" t="s">
        <v>7495</v>
      </c>
      <c r="K15410" s="3" t="s">
        <v>77774</v>
      </c>
      <c r="L15410" s="3" t="s">
        <v>77775</v>
      </c>
      <c r="M15410" s="4"/>
      <c r="N15410" s="3" t="s">
        <v>22346</v>
      </c>
      <c r="O15410" s="3" t="s">
        <v>2740</v>
      </c>
      <c r="P15410" s="5">
        <v>12</v>
      </c>
      <c r="Q15410" s="5">
        <v>206</v>
      </c>
      <c r="R15410" s="5">
        <v>12</v>
      </c>
      <c r="S15410" s="5">
        <v>208</v>
      </c>
    </row>
    <row r="15411" spans="1:19" ht="42" x14ac:dyDescent="0.15">
      <c r="A15411" s="2">
        <f>HYPERLINK("https://open-school.uspishnemisto.com.ua/school/730134/", 730134)</f>
        <v>730134</v>
      </c>
      <c r="B15411" s="3" t="s">
        <v>77776</v>
      </c>
      <c r="C15411" s="3" t="s">
        <v>31</v>
      </c>
      <c r="D15411" s="3" t="s">
        <v>175</v>
      </c>
      <c r="E15411" s="4" t="s">
        <v>22</v>
      </c>
      <c r="F15411" s="4" t="s">
        <v>77777</v>
      </c>
      <c r="G15411" s="4" t="s">
        <v>77778</v>
      </c>
      <c r="H15411" s="3" t="s">
        <v>77131</v>
      </c>
      <c r="I15411" s="3" t="s">
        <v>77779</v>
      </c>
      <c r="J15411" s="3" t="s">
        <v>77780</v>
      </c>
      <c r="K15411" s="3" t="s">
        <v>77781</v>
      </c>
      <c r="L15411" s="3" t="s">
        <v>77782</v>
      </c>
      <c r="M15411" s="4"/>
      <c r="N15411" s="3" t="s">
        <v>22346</v>
      </c>
      <c r="O15411" s="3" t="s">
        <v>77335</v>
      </c>
      <c r="P15411" s="5">
        <v>9</v>
      </c>
      <c r="Q15411" s="5">
        <v>112</v>
      </c>
      <c r="R15411" s="5">
        <v>9</v>
      </c>
      <c r="S15411" s="5">
        <v>114</v>
      </c>
    </row>
    <row r="15412" spans="1:19" ht="42" x14ac:dyDescent="0.15">
      <c r="A15412" s="2">
        <f>HYPERLINK("https://open-school.uspishnemisto.com.ua/school/730135/", 730135)</f>
        <v>730135</v>
      </c>
      <c r="B15412" s="3" t="s">
        <v>77783</v>
      </c>
      <c r="C15412" s="3" t="s">
        <v>31</v>
      </c>
      <c r="D15412" s="3" t="s">
        <v>32</v>
      </c>
      <c r="E15412" s="4" t="s">
        <v>22</v>
      </c>
      <c r="F15412" s="4" t="s">
        <v>77777</v>
      </c>
      <c r="G15412" s="4" t="s">
        <v>77778</v>
      </c>
      <c r="H15412" s="3" t="s">
        <v>77131</v>
      </c>
      <c r="I15412" s="3" t="s">
        <v>77779</v>
      </c>
      <c r="J15412" s="3" t="s">
        <v>22476</v>
      </c>
      <c r="K15412" s="3" t="s">
        <v>77784</v>
      </c>
      <c r="L15412" s="3" t="s">
        <v>77785</v>
      </c>
      <c r="M15412" s="4"/>
      <c r="N15412" s="3" t="s">
        <v>22346</v>
      </c>
      <c r="O15412" s="3" t="s">
        <v>77786</v>
      </c>
      <c r="P15412" s="5">
        <v>11</v>
      </c>
      <c r="Q15412" s="5">
        <v>124</v>
      </c>
      <c r="R15412" s="5">
        <v>11</v>
      </c>
      <c r="S15412" s="5">
        <v>137</v>
      </c>
    </row>
    <row r="15413" spans="1:19" ht="28" x14ac:dyDescent="0.15">
      <c r="A15413" s="2">
        <f>HYPERLINK("https://open-school.uspishnemisto.com.ua/school/730136/", 730136)</f>
        <v>730136</v>
      </c>
      <c r="B15413" s="3" t="s">
        <v>77787</v>
      </c>
      <c r="C15413" s="3" t="s">
        <v>31</v>
      </c>
      <c r="D15413" s="3" t="s">
        <v>32</v>
      </c>
      <c r="E15413" s="4" t="s">
        <v>22</v>
      </c>
      <c r="F15413" s="4" t="s">
        <v>77788</v>
      </c>
      <c r="G15413" s="4" t="s">
        <v>77789</v>
      </c>
      <c r="H15413" s="3" t="s">
        <v>77131</v>
      </c>
      <c r="I15413" s="3" t="s">
        <v>10829</v>
      </c>
      <c r="J15413" s="3" t="s">
        <v>77790</v>
      </c>
      <c r="K15413" s="3" t="s">
        <v>77791</v>
      </c>
      <c r="L15413" s="3" t="s">
        <v>77792</v>
      </c>
      <c r="M15413" s="4"/>
      <c r="N15413" s="3" t="s">
        <v>37</v>
      </c>
      <c r="O15413" s="3" t="s">
        <v>52</v>
      </c>
      <c r="P15413" s="5">
        <v>42</v>
      </c>
      <c r="Q15413" s="5">
        <v>1093</v>
      </c>
      <c r="R15413" s="5">
        <v>40</v>
      </c>
      <c r="S15413" s="5">
        <v>1063</v>
      </c>
    </row>
    <row r="15414" spans="1:19" ht="28" x14ac:dyDescent="0.15">
      <c r="A15414" s="2">
        <f>HYPERLINK("https://open-school.uspishnemisto.com.ua/school/730137/", 730137)</f>
        <v>730137</v>
      </c>
      <c r="B15414" s="3" t="s">
        <v>77793</v>
      </c>
      <c r="C15414" s="3" t="s">
        <v>188</v>
      </c>
      <c r="D15414" s="3" t="s">
        <v>32</v>
      </c>
      <c r="E15414" s="4" t="s">
        <v>22</v>
      </c>
      <c r="F15414" s="4" t="s">
        <v>77794</v>
      </c>
      <c r="G15414" s="4" t="s">
        <v>77795</v>
      </c>
      <c r="H15414" s="3" t="s">
        <v>77131</v>
      </c>
      <c r="I15414" s="3" t="s">
        <v>77515</v>
      </c>
      <c r="J15414" s="3" t="s">
        <v>501</v>
      </c>
      <c r="K15414" s="3" t="s">
        <v>77796</v>
      </c>
      <c r="L15414" s="3"/>
      <c r="M15414" s="4"/>
      <c r="N15414" s="3" t="s">
        <v>22346</v>
      </c>
      <c r="O15414" s="3" t="s">
        <v>77335</v>
      </c>
      <c r="P15414" s="5">
        <v>12</v>
      </c>
      <c r="Q15414" s="5">
        <v>250</v>
      </c>
      <c r="R15414" s="5">
        <v>12</v>
      </c>
      <c r="S15414" s="5">
        <v>245</v>
      </c>
    </row>
    <row r="15415" spans="1:19" ht="28" x14ac:dyDescent="0.15">
      <c r="A15415" s="2">
        <f>HYPERLINK("https://open-school.uspishnemisto.com.ua/school/730138/", 730138)</f>
        <v>730138</v>
      </c>
      <c r="B15415" s="3" t="s">
        <v>77797</v>
      </c>
      <c r="C15415" s="3" t="s">
        <v>181</v>
      </c>
      <c r="D15415" s="3"/>
      <c r="E15415" s="4" t="s">
        <v>22</v>
      </c>
      <c r="F15415" s="4" t="s">
        <v>77794</v>
      </c>
      <c r="G15415" s="4" t="s">
        <v>77795</v>
      </c>
      <c r="H15415" s="3" t="s">
        <v>77131</v>
      </c>
      <c r="I15415" s="3" t="s">
        <v>77515</v>
      </c>
      <c r="J15415" s="3" t="s">
        <v>32629</v>
      </c>
      <c r="K15415" s="3" t="s">
        <v>77798</v>
      </c>
      <c r="L15415" s="3"/>
      <c r="M15415" s="4" t="s">
        <v>77799</v>
      </c>
      <c r="N15415" s="3" t="s">
        <v>37</v>
      </c>
      <c r="O15415" s="3" t="s">
        <v>52</v>
      </c>
      <c r="P15415" s="5">
        <v>9</v>
      </c>
      <c r="Q15415" s="5">
        <v>72</v>
      </c>
      <c r="R15415" s="5">
        <v>10</v>
      </c>
      <c r="S15415" s="5">
        <v>84</v>
      </c>
    </row>
    <row r="15416" spans="1:19" ht="42" x14ac:dyDescent="0.15">
      <c r="A15416" s="2">
        <f>HYPERLINK("https://open-school.uspishnemisto.com.ua/school/730139/", 730139)</f>
        <v>730139</v>
      </c>
      <c r="B15416" s="3" t="s">
        <v>77800</v>
      </c>
      <c r="C15416" s="3" t="s">
        <v>31</v>
      </c>
      <c r="D15416" s="3" t="s">
        <v>32</v>
      </c>
      <c r="E15416" s="4" t="s">
        <v>22</v>
      </c>
      <c r="F15416" s="4" t="s">
        <v>77801</v>
      </c>
      <c r="G15416" s="4" t="s">
        <v>77802</v>
      </c>
      <c r="H15416" s="3" t="s">
        <v>77131</v>
      </c>
      <c r="I15416" s="3" t="s">
        <v>77803</v>
      </c>
      <c r="J15416" s="3" t="s">
        <v>878</v>
      </c>
      <c r="K15416" s="3" t="s">
        <v>77804</v>
      </c>
      <c r="L15416" s="3" t="s">
        <v>77805</v>
      </c>
      <c r="M15416" s="4"/>
      <c r="N15416" s="3" t="s">
        <v>37</v>
      </c>
      <c r="O15416" s="3" t="s">
        <v>2740</v>
      </c>
      <c r="P15416" s="5">
        <v>21</v>
      </c>
      <c r="Q15416" s="5">
        <v>457</v>
      </c>
      <c r="R15416" s="5">
        <v>20</v>
      </c>
      <c r="S15416" s="5">
        <v>443</v>
      </c>
    </row>
    <row r="15417" spans="1:19" ht="42" x14ac:dyDescent="0.15">
      <c r="A15417" s="2">
        <f>HYPERLINK("https://open-school.uspishnemisto.com.ua/school/730140/", 730140)</f>
        <v>730140</v>
      </c>
      <c r="B15417" s="3" t="s">
        <v>77806</v>
      </c>
      <c r="C15417" s="3" t="s">
        <v>31</v>
      </c>
      <c r="D15417" s="3" t="s">
        <v>32</v>
      </c>
      <c r="E15417" s="4" t="s">
        <v>22</v>
      </c>
      <c r="F15417" s="4" t="s">
        <v>77807</v>
      </c>
      <c r="G15417" s="4" t="s">
        <v>77808</v>
      </c>
      <c r="H15417" s="3" t="s">
        <v>77131</v>
      </c>
      <c r="I15417" s="3" t="s">
        <v>77809</v>
      </c>
      <c r="J15417" s="3" t="s">
        <v>77810</v>
      </c>
      <c r="K15417" s="3" t="s">
        <v>77811</v>
      </c>
      <c r="L15417" s="3" t="s">
        <v>77812</v>
      </c>
      <c r="M15417" s="4"/>
      <c r="N15417" s="3" t="s">
        <v>37</v>
      </c>
      <c r="O15417" s="3" t="s">
        <v>52</v>
      </c>
      <c r="P15417" s="5">
        <v>13</v>
      </c>
      <c r="Q15417" s="5">
        <v>286</v>
      </c>
      <c r="R15417" s="5">
        <v>13</v>
      </c>
      <c r="S15417" s="5">
        <v>283</v>
      </c>
    </row>
    <row r="15418" spans="1:19" ht="28" x14ac:dyDescent="0.15">
      <c r="A15418" s="2">
        <f>HYPERLINK("https://open-school.uspishnemisto.com.ua/school/730141/", 730141)</f>
        <v>730141</v>
      </c>
      <c r="B15418" s="3" t="s">
        <v>77813</v>
      </c>
      <c r="C15418" s="3" t="s">
        <v>54</v>
      </c>
      <c r="D15418" s="3" t="s">
        <v>32</v>
      </c>
      <c r="E15418" s="4" t="s">
        <v>22</v>
      </c>
      <c r="F15418" s="4" t="s">
        <v>77814</v>
      </c>
      <c r="G15418" s="4" t="s">
        <v>77815</v>
      </c>
      <c r="H15418" s="3" t="s">
        <v>77131</v>
      </c>
      <c r="I15418" s="3" t="s">
        <v>77816</v>
      </c>
      <c r="J15418" s="3" t="s">
        <v>77817</v>
      </c>
      <c r="K15418" s="3" t="s">
        <v>77818</v>
      </c>
      <c r="L15418" s="3" t="s">
        <v>77819</v>
      </c>
      <c r="M15418" s="4"/>
      <c r="N15418" s="3" t="s">
        <v>22346</v>
      </c>
      <c r="O15418" s="3" t="s">
        <v>77344</v>
      </c>
      <c r="P15418" s="5">
        <v>11</v>
      </c>
      <c r="Q15418" s="5">
        <v>140</v>
      </c>
      <c r="R15418" s="5">
        <v>11</v>
      </c>
      <c r="S15418" s="5">
        <v>148</v>
      </c>
    </row>
    <row r="15419" spans="1:19" ht="28" x14ac:dyDescent="0.15">
      <c r="A15419" s="2">
        <f>HYPERLINK("https://open-school.uspishnemisto.com.ua/school/730142/", 730142)</f>
        <v>730142</v>
      </c>
      <c r="B15419" s="3" t="s">
        <v>77820</v>
      </c>
      <c r="C15419" s="3" t="s">
        <v>54</v>
      </c>
      <c r="D15419" s="3" t="s">
        <v>32</v>
      </c>
      <c r="E15419" s="4" t="s">
        <v>22</v>
      </c>
      <c r="F15419" s="4" t="s">
        <v>77814</v>
      </c>
      <c r="G15419" s="4" t="s">
        <v>77815</v>
      </c>
      <c r="H15419" s="3" t="s">
        <v>77131</v>
      </c>
      <c r="I15419" s="3" t="s">
        <v>77816</v>
      </c>
      <c r="J15419" s="3" t="s">
        <v>77821</v>
      </c>
      <c r="K15419" s="3" t="s">
        <v>77822</v>
      </c>
      <c r="L15419" s="3" t="s">
        <v>77823</v>
      </c>
      <c r="M15419" s="4"/>
      <c r="N15419" s="3" t="s">
        <v>22305</v>
      </c>
      <c r="O15419" s="3" t="s">
        <v>52</v>
      </c>
      <c r="P15419" s="5">
        <v>12</v>
      </c>
      <c r="Q15419" s="5">
        <v>188</v>
      </c>
      <c r="R15419" s="5">
        <v>12</v>
      </c>
      <c r="S15419" s="5">
        <v>195</v>
      </c>
    </row>
    <row r="15420" spans="1:19" ht="28" x14ac:dyDescent="0.15">
      <c r="A15420" s="2">
        <f>HYPERLINK("https://open-school.uspishnemisto.com.ua/school/730143/", 730143)</f>
        <v>730143</v>
      </c>
      <c r="B15420" s="3" t="s">
        <v>77824</v>
      </c>
      <c r="C15420" s="3" t="s">
        <v>31</v>
      </c>
      <c r="D15420" s="3" t="s">
        <v>32</v>
      </c>
      <c r="E15420" s="4" t="s">
        <v>22</v>
      </c>
      <c r="F15420" s="4" t="s">
        <v>77825</v>
      </c>
      <c r="G15420" s="4" t="s">
        <v>77826</v>
      </c>
      <c r="H15420" s="3" t="s">
        <v>77131</v>
      </c>
      <c r="I15420" s="3" t="s">
        <v>77637</v>
      </c>
      <c r="J15420" s="3" t="s">
        <v>39504</v>
      </c>
      <c r="K15420" s="3" t="s">
        <v>77827</v>
      </c>
      <c r="L15420" s="3"/>
      <c r="M15420" s="4"/>
      <c r="N15420" s="3" t="s">
        <v>37</v>
      </c>
      <c r="O15420" s="3" t="s">
        <v>52</v>
      </c>
      <c r="P15420" s="5">
        <v>14</v>
      </c>
      <c r="Q15420" s="5">
        <v>266</v>
      </c>
      <c r="R15420" s="5">
        <v>13</v>
      </c>
      <c r="S15420" s="5">
        <v>263</v>
      </c>
    </row>
    <row r="15421" spans="1:19" ht="28" x14ac:dyDescent="0.15">
      <c r="A15421" s="2">
        <f>HYPERLINK("https://open-school.uspishnemisto.com.ua/school/730144/", 730144)</f>
        <v>730144</v>
      </c>
      <c r="B15421" s="3" t="s">
        <v>77828</v>
      </c>
      <c r="C15421" s="3" t="s">
        <v>31</v>
      </c>
      <c r="D15421" s="3" t="s">
        <v>60</v>
      </c>
      <c r="E15421" s="4" t="s">
        <v>22</v>
      </c>
      <c r="F15421" s="4" t="s">
        <v>77825</v>
      </c>
      <c r="G15421" s="4" t="s">
        <v>77829</v>
      </c>
      <c r="H15421" s="3" t="s">
        <v>77131</v>
      </c>
      <c r="I15421" s="3" t="s">
        <v>77830</v>
      </c>
      <c r="J15421" s="3" t="s">
        <v>1636</v>
      </c>
      <c r="K15421" s="3" t="s">
        <v>77831</v>
      </c>
      <c r="L15421" s="3"/>
      <c r="M15421" s="4"/>
      <c r="N15421" s="3" t="s">
        <v>37</v>
      </c>
      <c r="O15421" s="3" t="s">
        <v>52</v>
      </c>
      <c r="P15421" s="5">
        <v>4</v>
      </c>
      <c r="Q15421" s="5">
        <v>32</v>
      </c>
      <c r="R15421" s="5">
        <v>4</v>
      </c>
      <c r="S15421" s="5">
        <v>32</v>
      </c>
    </row>
    <row r="15422" spans="1:19" ht="28" x14ac:dyDescent="0.15">
      <c r="A15422" s="2">
        <f>HYPERLINK("https://open-school.uspishnemisto.com.ua/school/730145/", 730145)</f>
        <v>730145</v>
      </c>
      <c r="B15422" s="3" t="s">
        <v>77832</v>
      </c>
      <c r="C15422" s="3" t="s">
        <v>54</v>
      </c>
      <c r="D15422" s="3" t="s">
        <v>175</v>
      </c>
      <c r="E15422" s="4" t="s">
        <v>22</v>
      </c>
      <c r="F15422" s="4" t="s">
        <v>77833</v>
      </c>
      <c r="G15422" s="4" t="s">
        <v>77834</v>
      </c>
      <c r="H15422" s="3" t="s">
        <v>77131</v>
      </c>
      <c r="I15422" s="3" t="s">
        <v>688</v>
      </c>
      <c r="J15422" s="3" t="s">
        <v>25114</v>
      </c>
      <c r="K15422" s="3" t="s">
        <v>77835</v>
      </c>
      <c r="L15422" s="3" t="s">
        <v>77836</v>
      </c>
      <c r="M15422" s="4"/>
      <c r="N15422" s="3" t="s">
        <v>37</v>
      </c>
      <c r="O15422" s="3" t="s">
        <v>52</v>
      </c>
      <c r="P15422" s="5">
        <v>7</v>
      </c>
      <c r="Q15422" s="5">
        <v>58</v>
      </c>
      <c r="R15422" s="5">
        <v>7</v>
      </c>
      <c r="S15422" s="5">
        <v>54</v>
      </c>
    </row>
    <row r="15423" spans="1:19" ht="42" x14ac:dyDescent="0.15">
      <c r="A15423" s="2">
        <f>HYPERLINK("https://open-school.uspishnemisto.com.ua/school/730146/", 730146)</f>
        <v>730146</v>
      </c>
      <c r="B15423" s="3" t="s">
        <v>77837</v>
      </c>
      <c r="C15423" s="3" t="s">
        <v>54</v>
      </c>
      <c r="D15423" s="3" t="s">
        <v>175</v>
      </c>
      <c r="E15423" s="4" t="s">
        <v>22</v>
      </c>
      <c r="F15423" s="4" t="s">
        <v>77838</v>
      </c>
      <c r="G15423" s="4" t="s">
        <v>77839</v>
      </c>
      <c r="H15423" s="3" t="s">
        <v>77131</v>
      </c>
      <c r="I15423" s="3" t="s">
        <v>77840</v>
      </c>
      <c r="J15423" s="3" t="s">
        <v>71075</v>
      </c>
      <c r="K15423" s="3" t="s">
        <v>77841</v>
      </c>
      <c r="L15423" s="3" t="s">
        <v>77842</v>
      </c>
      <c r="M15423" s="4"/>
      <c r="N15423" s="3" t="s">
        <v>37</v>
      </c>
      <c r="O15423" s="3" t="s">
        <v>52</v>
      </c>
      <c r="P15423" s="5">
        <v>9</v>
      </c>
      <c r="Q15423" s="5">
        <v>79</v>
      </c>
      <c r="R15423" s="5">
        <v>8</v>
      </c>
      <c r="S15423" s="5">
        <v>80</v>
      </c>
    </row>
    <row r="15424" spans="1:19" ht="42" x14ac:dyDescent="0.15">
      <c r="A15424" s="2">
        <f>HYPERLINK("https://open-school.uspishnemisto.com.ua/school/730147/", 730147)</f>
        <v>730147</v>
      </c>
      <c r="B15424" s="3" t="s">
        <v>77843</v>
      </c>
      <c r="C15424" s="3" t="s">
        <v>31</v>
      </c>
      <c r="D15424" s="3" t="s">
        <v>32</v>
      </c>
      <c r="E15424" s="4" t="s">
        <v>22</v>
      </c>
      <c r="F15424" s="4" t="s">
        <v>77844</v>
      </c>
      <c r="G15424" s="4" t="s">
        <v>77845</v>
      </c>
      <c r="H15424" s="3" t="s">
        <v>77131</v>
      </c>
      <c r="I15424" s="3" t="s">
        <v>77846</v>
      </c>
      <c r="J15424" s="3" t="s">
        <v>77847</v>
      </c>
      <c r="K15424" s="3" t="s">
        <v>77848</v>
      </c>
      <c r="L15424" s="3" t="s">
        <v>77849</v>
      </c>
      <c r="M15424" s="4"/>
      <c r="N15424" s="3" t="s">
        <v>37</v>
      </c>
      <c r="O15424" s="3" t="s">
        <v>52</v>
      </c>
      <c r="P15424" s="5">
        <v>21</v>
      </c>
      <c r="Q15424" s="5">
        <v>485</v>
      </c>
      <c r="R15424" s="5">
        <v>21</v>
      </c>
      <c r="S15424" s="5">
        <v>486</v>
      </c>
    </row>
    <row r="15425" spans="1:19" ht="42" x14ac:dyDescent="0.15">
      <c r="A15425" s="2">
        <f>HYPERLINK("https://open-school.uspishnemisto.com.ua/school/730148/", 730148)</f>
        <v>730148</v>
      </c>
      <c r="B15425" s="3" t="s">
        <v>77850</v>
      </c>
      <c r="C15425" s="3" t="s">
        <v>31</v>
      </c>
      <c r="D15425" s="3" t="s">
        <v>32</v>
      </c>
      <c r="E15425" s="4" t="s">
        <v>22</v>
      </c>
      <c r="F15425" s="4" t="s">
        <v>77851</v>
      </c>
      <c r="G15425" s="4" t="s">
        <v>77852</v>
      </c>
      <c r="H15425" s="3" t="s">
        <v>77131</v>
      </c>
      <c r="I15425" s="3" t="s">
        <v>77853</v>
      </c>
      <c r="J15425" s="3" t="s">
        <v>77854</v>
      </c>
      <c r="K15425" s="3" t="s">
        <v>77855</v>
      </c>
      <c r="L15425" s="3" t="s">
        <v>77856</v>
      </c>
      <c r="M15425" s="4" t="s">
        <v>77857</v>
      </c>
      <c r="N15425" s="3" t="s">
        <v>37</v>
      </c>
      <c r="O15425" s="3" t="s">
        <v>52</v>
      </c>
      <c r="P15425" s="5">
        <v>11</v>
      </c>
      <c r="Q15425" s="5">
        <v>166</v>
      </c>
      <c r="R15425" s="5">
        <v>11</v>
      </c>
      <c r="S15425" s="5">
        <v>157</v>
      </c>
    </row>
    <row r="15426" spans="1:19" ht="42" x14ac:dyDescent="0.15">
      <c r="A15426" s="2">
        <f>HYPERLINK("https://open-school.uspishnemisto.com.ua/school/730149/", 730149)</f>
        <v>730149</v>
      </c>
      <c r="B15426" s="3" t="s">
        <v>77858</v>
      </c>
      <c r="C15426" s="3" t="s">
        <v>31</v>
      </c>
      <c r="D15426" s="3" t="s">
        <v>32</v>
      </c>
      <c r="E15426" s="4" t="s">
        <v>22</v>
      </c>
      <c r="F15426" s="4" t="s">
        <v>77851</v>
      </c>
      <c r="G15426" s="4" t="s">
        <v>77852</v>
      </c>
      <c r="H15426" s="3" t="s">
        <v>77131</v>
      </c>
      <c r="I15426" s="3" t="s">
        <v>77853</v>
      </c>
      <c r="J15426" s="3" t="s">
        <v>77859</v>
      </c>
      <c r="K15426" s="3" t="s">
        <v>77860</v>
      </c>
      <c r="L15426" s="3" t="s">
        <v>77861</v>
      </c>
      <c r="M15426" s="4"/>
      <c r="N15426" s="3" t="s">
        <v>22346</v>
      </c>
      <c r="O15426" s="3" t="s">
        <v>77335</v>
      </c>
      <c r="P15426" s="5">
        <v>11</v>
      </c>
      <c r="Q15426" s="5">
        <v>128</v>
      </c>
      <c r="R15426" s="5">
        <v>11</v>
      </c>
      <c r="S15426" s="5">
        <v>127</v>
      </c>
    </row>
    <row r="15427" spans="1:19" ht="42" x14ac:dyDescent="0.15">
      <c r="A15427" s="2">
        <f>HYPERLINK("https://open-school.uspishnemisto.com.ua/school/730150/", 730150)</f>
        <v>730150</v>
      </c>
      <c r="B15427" s="3" t="s">
        <v>77862</v>
      </c>
      <c r="C15427" s="3" t="s">
        <v>31</v>
      </c>
      <c r="D15427" s="3" t="s">
        <v>175</v>
      </c>
      <c r="E15427" s="4" t="s">
        <v>22</v>
      </c>
      <c r="F15427" s="4" t="s">
        <v>77863</v>
      </c>
      <c r="G15427" s="4" t="s">
        <v>77864</v>
      </c>
      <c r="H15427" s="3" t="s">
        <v>77131</v>
      </c>
      <c r="I15427" s="3" t="s">
        <v>77865</v>
      </c>
      <c r="J15427" s="3" t="s">
        <v>77644</v>
      </c>
      <c r="K15427" s="3" t="s">
        <v>77866</v>
      </c>
      <c r="L15427" s="3"/>
      <c r="M15427" s="4"/>
      <c r="N15427" s="3" t="s">
        <v>37</v>
      </c>
      <c r="O15427" s="3" t="s">
        <v>52</v>
      </c>
      <c r="P15427" s="5">
        <v>9</v>
      </c>
      <c r="Q15427" s="5">
        <v>85</v>
      </c>
      <c r="R15427" s="5">
        <v>9</v>
      </c>
      <c r="S15427" s="5">
        <v>83</v>
      </c>
    </row>
    <row r="15428" spans="1:19" ht="42" x14ac:dyDescent="0.15">
      <c r="A15428" s="2">
        <f>HYPERLINK("https://open-school.uspishnemisto.com.ua/school/730151/", 730151)</f>
        <v>730151</v>
      </c>
      <c r="B15428" s="3" t="s">
        <v>77867</v>
      </c>
      <c r="C15428" s="3" t="s">
        <v>31</v>
      </c>
      <c r="D15428" s="3" t="s">
        <v>32</v>
      </c>
      <c r="E15428" s="4" t="s">
        <v>22</v>
      </c>
      <c r="F15428" s="4" t="s">
        <v>77868</v>
      </c>
      <c r="G15428" s="4" t="s">
        <v>77869</v>
      </c>
      <c r="H15428" s="3" t="s">
        <v>77131</v>
      </c>
      <c r="I15428" s="3" t="s">
        <v>77870</v>
      </c>
      <c r="J15428" s="3" t="s">
        <v>466</v>
      </c>
      <c r="K15428" s="3" t="s">
        <v>77871</v>
      </c>
      <c r="L15428" s="3" t="s">
        <v>77872</v>
      </c>
      <c r="M15428" s="4"/>
      <c r="N15428" s="3" t="s">
        <v>22346</v>
      </c>
      <c r="O15428" s="3" t="s">
        <v>11684</v>
      </c>
      <c r="P15428" s="5">
        <v>11</v>
      </c>
      <c r="Q15428" s="5">
        <v>139</v>
      </c>
      <c r="R15428" s="5">
        <v>11</v>
      </c>
      <c r="S15428" s="5">
        <v>147</v>
      </c>
    </row>
    <row r="15429" spans="1:19" ht="28" x14ac:dyDescent="0.15">
      <c r="A15429" s="2">
        <f>HYPERLINK("https://open-school.uspishnemisto.com.ua/school/730152/", 730152)</f>
        <v>730152</v>
      </c>
      <c r="B15429" s="3" t="s">
        <v>77873</v>
      </c>
      <c r="C15429" s="3" t="s">
        <v>54</v>
      </c>
      <c r="D15429" s="3" t="s">
        <v>32</v>
      </c>
      <c r="E15429" s="4" t="s">
        <v>22</v>
      </c>
      <c r="F15429" s="4" t="s">
        <v>77874</v>
      </c>
      <c r="G15429" s="4" t="s">
        <v>77875</v>
      </c>
      <c r="H15429" s="3" t="s">
        <v>77131</v>
      </c>
      <c r="I15429" s="3" t="s">
        <v>77876</v>
      </c>
      <c r="J15429" s="3" t="s">
        <v>77877</v>
      </c>
      <c r="K15429" s="3" t="s">
        <v>77878</v>
      </c>
      <c r="L15429" s="3" t="s">
        <v>77879</v>
      </c>
      <c r="M15429" s="4"/>
      <c r="N15429" s="3" t="s">
        <v>22346</v>
      </c>
      <c r="O15429" s="3" t="s">
        <v>77335</v>
      </c>
      <c r="P15429" s="5">
        <v>20</v>
      </c>
      <c r="Q15429" s="5">
        <v>386</v>
      </c>
      <c r="R15429" s="5">
        <v>22</v>
      </c>
      <c r="S15429" s="5">
        <v>385</v>
      </c>
    </row>
    <row r="15430" spans="1:19" ht="28" x14ac:dyDescent="0.15">
      <c r="A15430" s="2">
        <f>HYPERLINK("https://open-school.uspishnemisto.com.ua/school/730153/", 730153)</f>
        <v>730153</v>
      </c>
      <c r="B15430" s="3" t="s">
        <v>77880</v>
      </c>
      <c r="C15430" s="3" t="s">
        <v>188</v>
      </c>
      <c r="D15430" s="3" t="s">
        <v>32</v>
      </c>
      <c r="E15430" s="4" t="s">
        <v>22</v>
      </c>
      <c r="F15430" s="4" t="s">
        <v>77881</v>
      </c>
      <c r="G15430" s="4" t="s">
        <v>77882</v>
      </c>
      <c r="H15430" s="3" t="s">
        <v>77131</v>
      </c>
      <c r="I15430" s="3" t="s">
        <v>77883</v>
      </c>
      <c r="J15430" s="3" t="s">
        <v>77884</v>
      </c>
      <c r="K15430" s="3" t="s">
        <v>77885</v>
      </c>
      <c r="L15430" s="3" t="s">
        <v>77886</v>
      </c>
      <c r="M15430" s="4"/>
      <c r="N15430" s="3" t="s">
        <v>37</v>
      </c>
      <c r="O15430" s="3" t="s">
        <v>52</v>
      </c>
      <c r="P15430" s="5">
        <v>13</v>
      </c>
      <c r="Q15430" s="5">
        <v>249</v>
      </c>
      <c r="R15430" s="5">
        <v>13</v>
      </c>
      <c r="S15430" s="5">
        <v>255</v>
      </c>
    </row>
    <row r="15431" spans="1:19" ht="42" x14ac:dyDescent="0.15">
      <c r="A15431" s="2">
        <f>HYPERLINK("https://open-school.uspishnemisto.com.ua/school/730154/", 730154)</f>
        <v>730154</v>
      </c>
      <c r="B15431" s="3" t="s">
        <v>77887</v>
      </c>
      <c r="C15431" s="3" t="s">
        <v>31</v>
      </c>
      <c r="D15431" s="3" t="s">
        <v>32</v>
      </c>
      <c r="E15431" s="4" t="s">
        <v>22</v>
      </c>
      <c r="F15431" s="4" t="s">
        <v>77888</v>
      </c>
      <c r="G15431" s="4" t="s">
        <v>77889</v>
      </c>
      <c r="H15431" s="3" t="s">
        <v>77131</v>
      </c>
      <c r="I15431" s="3" t="s">
        <v>77890</v>
      </c>
      <c r="J15431" s="3" t="s">
        <v>554</v>
      </c>
      <c r="K15431" s="3" t="s">
        <v>77891</v>
      </c>
      <c r="L15431" s="3" t="s">
        <v>77892</v>
      </c>
      <c r="M15431" s="4"/>
      <c r="N15431" s="3" t="s">
        <v>37</v>
      </c>
      <c r="O15431" s="3" t="s">
        <v>46</v>
      </c>
      <c r="P15431" s="5">
        <v>11</v>
      </c>
      <c r="Q15431" s="5">
        <v>204</v>
      </c>
      <c r="R15431" s="5">
        <v>12</v>
      </c>
      <c r="S15431" s="5">
        <v>205</v>
      </c>
    </row>
    <row r="15432" spans="1:19" ht="42" x14ac:dyDescent="0.15">
      <c r="A15432" s="2">
        <f>HYPERLINK("https://open-school.uspishnemisto.com.ua/school/730155/", 730155)</f>
        <v>730155</v>
      </c>
      <c r="B15432" s="3" t="s">
        <v>77893</v>
      </c>
      <c r="C15432" s="3" t="s">
        <v>31</v>
      </c>
      <c r="D15432" s="3" t="s">
        <v>32</v>
      </c>
      <c r="E15432" s="4" t="s">
        <v>22</v>
      </c>
      <c r="F15432" s="4" t="s">
        <v>77894</v>
      </c>
      <c r="G15432" s="4" t="s">
        <v>77895</v>
      </c>
      <c r="H15432" s="3" t="s">
        <v>77131</v>
      </c>
      <c r="I15432" s="3" t="s">
        <v>77896</v>
      </c>
      <c r="J15432" s="3" t="s">
        <v>77897</v>
      </c>
      <c r="K15432" s="3" t="s">
        <v>77898</v>
      </c>
      <c r="L15432" s="3"/>
      <c r="M15432" s="4"/>
      <c r="N15432" s="3" t="s">
        <v>37</v>
      </c>
      <c r="O15432" s="3" t="s">
        <v>52</v>
      </c>
      <c r="P15432" s="5">
        <v>11</v>
      </c>
      <c r="Q15432" s="5">
        <v>211</v>
      </c>
      <c r="R15432" s="5">
        <v>11</v>
      </c>
      <c r="S15432" s="5">
        <v>206</v>
      </c>
    </row>
    <row r="15433" spans="1:19" ht="42" x14ac:dyDescent="0.15">
      <c r="A15433" s="2">
        <f>HYPERLINK("https://open-school.uspishnemisto.com.ua/school/730156/", 730156)</f>
        <v>730156</v>
      </c>
      <c r="B15433" s="3" t="s">
        <v>77899</v>
      </c>
      <c r="C15433" s="3" t="s">
        <v>31</v>
      </c>
      <c r="D15433" s="3" t="s">
        <v>175</v>
      </c>
      <c r="E15433" s="4" t="s">
        <v>22</v>
      </c>
      <c r="F15433" s="4" t="s">
        <v>77900</v>
      </c>
      <c r="G15433" s="4" t="s">
        <v>77901</v>
      </c>
      <c r="H15433" s="3" t="s">
        <v>77131</v>
      </c>
      <c r="I15433" s="3" t="s">
        <v>77902</v>
      </c>
      <c r="J15433" s="3" t="s">
        <v>2476</v>
      </c>
      <c r="K15433" s="3" t="s">
        <v>77903</v>
      </c>
      <c r="L15433" s="3" t="s">
        <v>77904</v>
      </c>
      <c r="M15433" s="4"/>
      <c r="N15433" s="3" t="s">
        <v>22305</v>
      </c>
      <c r="O15433" s="3" t="s">
        <v>52</v>
      </c>
      <c r="P15433" s="5">
        <v>11</v>
      </c>
      <c r="Q15433" s="5">
        <v>114</v>
      </c>
      <c r="R15433" s="5">
        <v>10</v>
      </c>
      <c r="S15433" s="5">
        <v>96</v>
      </c>
    </row>
    <row r="15434" spans="1:19" ht="28" x14ac:dyDescent="0.15">
      <c r="A15434" s="2">
        <f>HYPERLINK("https://open-school.uspishnemisto.com.ua/school/730157/", 730157)</f>
        <v>730157</v>
      </c>
      <c r="B15434" s="3" t="s">
        <v>77905</v>
      </c>
      <c r="C15434" s="3" t="s">
        <v>54</v>
      </c>
      <c r="D15434" s="3" t="s">
        <v>32</v>
      </c>
      <c r="E15434" s="4" t="s">
        <v>22</v>
      </c>
      <c r="F15434" s="4" t="s">
        <v>77906</v>
      </c>
      <c r="G15434" s="4" t="s">
        <v>77907</v>
      </c>
      <c r="H15434" s="3" t="s">
        <v>77131</v>
      </c>
      <c r="I15434" s="3" t="s">
        <v>77908</v>
      </c>
      <c r="J15434" s="3" t="s">
        <v>77625</v>
      </c>
      <c r="K15434" s="3" t="s">
        <v>77909</v>
      </c>
      <c r="L15434" s="3" t="s">
        <v>77910</v>
      </c>
      <c r="M15434" s="4"/>
      <c r="N15434" s="3" t="s">
        <v>37</v>
      </c>
      <c r="O15434" s="3" t="s">
        <v>52</v>
      </c>
      <c r="P15434" s="5">
        <v>17</v>
      </c>
      <c r="Q15434" s="5">
        <v>385</v>
      </c>
      <c r="R15434" s="5">
        <v>17</v>
      </c>
      <c r="S15434" s="5">
        <v>393</v>
      </c>
    </row>
    <row r="15435" spans="1:19" ht="28" x14ac:dyDescent="0.15">
      <c r="A15435" s="2">
        <f>HYPERLINK("https://open-school.uspishnemisto.com.ua/school/730158/", 730158)</f>
        <v>730158</v>
      </c>
      <c r="B15435" s="3" t="s">
        <v>77911</v>
      </c>
      <c r="C15435" s="3" t="s">
        <v>31</v>
      </c>
      <c r="D15435" s="3" t="s">
        <v>32</v>
      </c>
      <c r="E15435" s="4" t="s">
        <v>22</v>
      </c>
      <c r="F15435" s="4" t="s">
        <v>77912</v>
      </c>
      <c r="G15435" s="4" t="s">
        <v>77913</v>
      </c>
      <c r="H15435" s="3" t="s">
        <v>77131</v>
      </c>
      <c r="I15435" s="3" t="s">
        <v>77914</v>
      </c>
      <c r="J15435" s="3" t="s">
        <v>3135</v>
      </c>
      <c r="K15435" s="3" t="s">
        <v>77915</v>
      </c>
      <c r="L15435" s="3" t="s">
        <v>77916</v>
      </c>
      <c r="M15435" s="4"/>
      <c r="N15435" s="3" t="s">
        <v>37</v>
      </c>
      <c r="O15435" s="3" t="s">
        <v>46</v>
      </c>
      <c r="P15435" s="5">
        <v>16</v>
      </c>
      <c r="Q15435" s="5">
        <v>306</v>
      </c>
      <c r="R15435" s="5">
        <v>16</v>
      </c>
      <c r="S15435" s="5">
        <v>309</v>
      </c>
    </row>
    <row r="15436" spans="1:19" ht="42" x14ac:dyDescent="0.15">
      <c r="A15436" s="2">
        <f>HYPERLINK("https://open-school.uspishnemisto.com.ua/school/730159/", 730159)</f>
        <v>730159</v>
      </c>
      <c r="B15436" s="3" t="s">
        <v>77917</v>
      </c>
      <c r="C15436" s="3" t="s">
        <v>31</v>
      </c>
      <c r="D15436" s="3" t="s">
        <v>32</v>
      </c>
      <c r="E15436" s="4" t="s">
        <v>22</v>
      </c>
      <c r="F15436" s="4" t="s">
        <v>77918</v>
      </c>
      <c r="G15436" s="4" t="s">
        <v>77919</v>
      </c>
      <c r="H15436" s="3" t="s">
        <v>77131</v>
      </c>
      <c r="I15436" s="3" t="s">
        <v>77920</v>
      </c>
      <c r="J15436" s="3" t="s">
        <v>77921</v>
      </c>
      <c r="K15436" s="3" t="s">
        <v>77922</v>
      </c>
      <c r="L15436" s="3" t="s">
        <v>77923</v>
      </c>
      <c r="M15436" s="4"/>
      <c r="N15436" s="3" t="s">
        <v>37</v>
      </c>
      <c r="O15436" s="3" t="s">
        <v>52</v>
      </c>
      <c r="P15436" s="5">
        <v>12</v>
      </c>
      <c r="Q15436" s="5">
        <v>198</v>
      </c>
      <c r="R15436" s="5">
        <v>12</v>
      </c>
      <c r="S15436" s="5">
        <v>195</v>
      </c>
    </row>
    <row r="15437" spans="1:19" ht="42" x14ac:dyDescent="0.15">
      <c r="A15437" s="2">
        <f>HYPERLINK("https://open-school.uspishnemisto.com.ua/school/730160/", 730160)</f>
        <v>730160</v>
      </c>
      <c r="B15437" s="3" t="s">
        <v>77924</v>
      </c>
      <c r="C15437" s="3" t="s">
        <v>54</v>
      </c>
      <c r="D15437" s="3" t="s">
        <v>60</v>
      </c>
      <c r="E15437" s="4" t="s">
        <v>22</v>
      </c>
      <c r="F15437" s="4" t="s">
        <v>77918</v>
      </c>
      <c r="G15437" s="4" t="s">
        <v>77925</v>
      </c>
      <c r="H15437" s="3" t="s">
        <v>77131</v>
      </c>
      <c r="I15437" s="3" t="s">
        <v>77926</v>
      </c>
      <c r="J15437" s="3" t="s">
        <v>77927</v>
      </c>
      <c r="K15437" s="3" t="s">
        <v>77928</v>
      </c>
      <c r="L15437" s="3"/>
      <c r="M15437" s="4"/>
      <c r="N15437" s="3" t="s">
        <v>37</v>
      </c>
      <c r="O15437" s="3" t="s">
        <v>52</v>
      </c>
      <c r="P15437" s="5">
        <v>2</v>
      </c>
      <c r="Q15437" s="5">
        <v>15</v>
      </c>
      <c r="R15437" s="5">
        <v>3</v>
      </c>
      <c r="S15437" s="5">
        <v>16</v>
      </c>
    </row>
    <row r="15438" spans="1:19" ht="42" x14ac:dyDescent="0.15">
      <c r="A15438" s="2">
        <f>HYPERLINK("https://open-school.uspishnemisto.com.ua/school/730161/", 730161)</f>
        <v>730161</v>
      </c>
      <c r="B15438" s="3" t="s">
        <v>77929</v>
      </c>
      <c r="C15438" s="3" t="s">
        <v>31</v>
      </c>
      <c r="D15438" s="3" t="s">
        <v>32</v>
      </c>
      <c r="E15438" s="4" t="s">
        <v>22</v>
      </c>
      <c r="F15438" s="4" t="s">
        <v>77930</v>
      </c>
      <c r="G15438" s="4" t="s">
        <v>77931</v>
      </c>
      <c r="H15438" s="3" t="s">
        <v>77131</v>
      </c>
      <c r="I15438" s="3" t="s">
        <v>77932</v>
      </c>
      <c r="J15438" s="3" t="s">
        <v>77933</v>
      </c>
      <c r="K15438" s="3" t="s">
        <v>77934</v>
      </c>
      <c r="L15438" s="3" t="s">
        <v>77935</v>
      </c>
      <c r="M15438" s="4"/>
      <c r="N15438" s="3" t="s">
        <v>22346</v>
      </c>
      <c r="O15438" s="3" t="s">
        <v>77335</v>
      </c>
      <c r="P15438" s="5">
        <v>11</v>
      </c>
      <c r="Q15438" s="5">
        <v>199</v>
      </c>
      <c r="R15438" s="5">
        <v>11</v>
      </c>
      <c r="S15438" s="5">
        <v>200</v>
      </c>
    </row>
    <row r="15439" spans="1:19" ht="42" x14ac:dyDescent="0.15">
      <c r="A15439" s="2">
        <f>HYPERLINK("https://open-school.uspishnemisto.com.ua/school/730162/", 730162)</f>
        <v>730162</v>
      </c>
      <c r="B15439" s="3" t="s">
        <v>77936</v>
      </c>
      <c r="C15439" s="3" t="s">
        <v>54</v>
      </c>
      <c r="D15439" s="3" t="s">
        <v>60</v>
      </c>
      <c r="E15439" s="4" t="s">
        <v>22</v>
      </c>
      <c r="F15439" s="4" t="s">
        <v>77937</v>
      </c>
      <c r="G15439" s="4" t="s">
        <v>77938</v>
      </c>
      <c r="H15439" s="3" t="s">
        <v>77131</v>
      </c>
      <c r="I15439" s="3" t="s">
        <v>77939</v>
      </c>
      <c r="J15439" s="3" t="s">
        <v>627</v>
      </c>
      <c r="K15439" s="3" t="s">
        <v>77940</v>
      </c>
      <c r="L15439" s="3" t="s">
        <v>77941</v>
      </c>
      <c r="M15439" s="4"/>
      <c r="N15439" s="3" t="s">
        <v>37</v>
      </c>
      <c r="O15439" s="3" t="s">
        <v>52</v>
      </c>
      <c r="P15439" s="5">
        <v>4</v>
      </c>
      <c r="Q15439" s="5">
        <v>42</v>
      </c>
      <c r="R15439" s="5">
        <v>4</v>
      </c>
      <c r="S15439" s="5">
        <v>41</v>
      </c>
    </row>
    <row r="15440" spans="1:19" ht="42" x14ac:dyDescent="0.15">
      <c r="A15440" s="2">
        <f>HYPERLINK("https://open-school.uspishnemisto.com.ua/school/730163/", 730163)</f>
        <v>730163</v>
      </c>
      <c r="B15440" s="3" t="s">
        <v>77942</v>
      </c>
      <c r="C15440" s="3" t="s">
        <v>31</v>
      </c>
      <c r="D15440" s="3" t="s">
        <v>175</v>
      </c>
      <c r="E15440" s="4" t="s">
        <v>22</v>
      </c>
      <c r="F15440" s="4" t="s">
        <v>77943</v>
      </c>
      <c r="G15440" s="4" t="s">
        <v>77944</v>
      </c>
      <c r="H15440" s="3" t="s">
        <v>77131</v>
      </c>
      <c r="I15440" s="3" t="s">
        <v>77945</v>
      </c>
      <c r="J15440" s="3" t="s">
        <v>77946</v>
      </c>
      <c r="K15440" s="3" t="s">
        <v>77947</v>
      </c>
      <c r="L15440" s="3" t="s">
        <v>77948</v>
      </c>
      <c r="M15440" s="4"/>
      <c r="N15440" s="3" t="s">
        <v>22346</v>
      </c>
      <c r="O15440" s="3" t="s">
        <v>77335</v>
      </c>
      <c r="P15440" s="5">
        <v>8</v>
      </c>
      <c r="Q15440" s="5">
        <v>62</v>
      </c>
      <c r="R15440" s="5">
        <v>8</v>
      </c>
      <c r="S15440" s="5">
        <v>61</v>
      </c>
    </row>
    <row r="15441" spans="1:19" ht="42" x14ac:dyDescent="0.15">
      <c r="A15441" s="2">
        <f>HYPERLINK("https://open-school.uspishnemisto.com.ua/school/730164/", 730164)</f>
        <v>730164</v>
      </c>
      <c r="B15441" s="3" t="s">
        <v>77949</v>
      </c>
      <c r="C15441" s="3" t="s">
        <v>31</v>
      </c>
      <c r="D15441" s="3" t="s">
        <v>60</v>
      </c>
      <c r="E15441" s="4" t="s">
        <v>22</v>
      </c>
      <c r="F15441" s="4" t="s">
        <v>77943</v>
      </c>
      <c r="G15441" s="4" t="s">
        <v>77950</v>
      </c>
      <c r="H15441" s="3" t="s">
        <v>77131</v>
      </c>
      <c r="I15441" s="3" t="s">
        <v>77951</v>
      </c>
      <c r="J15441" s="3" t="s">
        <v>1348</v>
      </c>
      <c r="K15441" s="3" t="s">
        <v>77952</v>
      </c>
      <c r="L15441" s="3"/>
      <c r="M15441" s="4"/>
      <c r="N15441" s="3" t="s">
        <v>37</v>
      </c>
      <c r="O15441" s="3" t="s">
        <v>52</v>
      </c>
      <c r="P15441" s="5">
        <v>3</v>
      </c>
      <c r="Q15441" s="5">
        <v>17</v>
      </c>
      <c r="R15441" s="5">
        <v>3</v>
      </c>
      <c r="S15441" s="5">
        <v>16</v>
      </c>
    </row>
    <row r="15442" spans="1:19" ht="28" x14ac:dyDescent="0.15">
      <c r="A15442" s="2">
        <f>HYPERLINK("https://open-school.uspishnemisto.com.ua/school/730165/", 730165)</f>
        <v>730165</v>
      </c>
      <c r="B15442" s="3" t="s">
        <v>77953</v>
      </c>
      <c r="C15442" s="3" t="s">
        <v>40</v>
      </c>
      <c r="D15442" s="3" t="s">
        <v>32</v>
      </c>
      <c r="E15442" s="4" t="s">
        <v>22</v>
      </c>
      <c r="F15442" s="4" t="s">
        <v>77954</v>
      </c>
      <c r="G15442" s="4" t="s">
        <v>77955</v>
      </c>
      <c r="H15442" s="3" t="s">
        <v>77131</v>
      </c>
      <c r="I15442" s="3" t="s">
        <v>77956</v>
      </c>
      <c r="J15442" s="3" t="s">
        <v>15139</v>
      </c>
      <c r="K15442" s="3" t="s">
        <v>77957</v>
      </c>
      <c r="L15442" s="3" t="s">
        <v>77958</v>
      </c>
      <c r="M15442" s="4"/>
      <c r="N15442" s="3" t="s">
        <v>37</v>
      </c>
      <c r="O15442" s="3" t="s">
        <v>46</v>
      </c>
      <c r="P15442" s="5">
        <v>24</v>
      </c>
      <c r="Q15442" s="5">
        <v>490</v>
      </c>
      <c r="R15442" s="5">
        <v>23</v>
      </c>
      <c r="S15442" s="5">
        <v>478</v>
      </c>
    </row>
    <row r="15443" spans="1:19" ht="28" x14ac:dyDescent="0.15">
      <c r="A15443" s="2">
        <f>HYPERLINK("https://open-school.uspishnemisto.com.ua/school/730166/", 730166)</f>
        <v>730166</v>
      </c>
      <c r="B15443" s="3" t="s">
        <v>77959</v>
      </c>
      <c r="C15443" s="3" t="s">
        <v>31</v>
      </c>
      <c r="D15443" s="3" t="s">
        <v>32</v>
      </c>
      <c r="E15443" s="4" t="s">
        <v>22</v>
      </c>
      <c r="F15443" s="4" t="s">
        <v>77954</v>
      </c>
      <c r="G15443" s="4" t="s">
        <v>77955</v>
      </c>
      <c r="H15443" s="3" t="s">
        <v>77131</v>
      </c>
      <c r="I15443" s="3" t="s">
        <v>77956</v>
      </c>
      <c r="J15443" s="3" t="s">
        <v>77960</v>
      </c>
      <c r="K15443" s="3" t="s">
        <v>77961</v>
      </c>
      <c r="L15443" s="3"/>
      <c r="M15443" s="4"/>
      <c r="N15443" s="3" t="s">
        <v>37</v>
      </c>
      <c r="O15443" s="3" t="s">
        <v>46</v>
      </c>
      <c r="P15443" s="5">
        <v>20</v>
      </c>
      <c r="Q15443" s="5">
        <v>426</v>
      </c>
      <c r="R15443" s="5">
        <v>20</v>
      </c>
      <c r="S15443" s="5">
        <v>408</v>
      </c>
    </row>
    <row r="15444" spans="1:19" ht="28" x14ac:dyDescent="0.15">
      <c r="A15444" s="2">
        <f>HYPERLINK("https://open-school.uspishnemisto.com.ua/school/730167/", 730167)</f>
        <v>730167</v>
      </c>
      <c r="B15444" s="3" t="s">
        <v>77962</v>
      </c>
      <c r="C15444" s="3" t="s">
        <v>31</v>
      </c>
      <c r="D15444" s="3" t="s">
        <v>32</v>
      </c>
      <c r="E15444" s="4" t="s">
        <v>22</v>
      </c>
      <c r="F15444" s="4" t="s">
        <v>77963</v>
      </c>
      <c r="G15444" s="4" t="s">
        <v>77964</v>
      </c>
      <c r="H15444" s="3" t="s">
        <v>77131</v>
      </c>
      <c r="I15444" s="3" t="s">
        <v>77965</v>
      </c>
      <c r="J15444" s="3" t="s">
        <v>77966</v>
      </c>
      <c r="K15444" s="3" t="s">
        <v>77967</v>
      </c>
      <c r="L15444" s="3" t="s">
        <v>77968</v>
      </c>
      <c r="M15444" s="4"/>
      <c r="N15444" s="3" t="s">
        <v>37</v>
      </c>
      <c r="O15444" s="3" t="s">
        <v>46</v>
      </c>
      <c r="P15444" s="5">
        <v>11</v>
      </c>
      <c r="Q15444" s="5">
        <v>262</v>
      </c>
      <c r="R15444" s="5">
        <v>11</v>
      </c>
      <c r="S15444" s="5">
        <v>267</v>
      </c>
    </row>
    <row r="15445" spans="1:19" ht="28" x14ac:dyDescent="0.15">
      <c r="A15445" s="2">
        <f>HYPERLINK("https://open-school.uspishnemisto.com.ua/school/730168/", 730168)</f>
        <v>730168</v>
      </c>
      <c r="B15445" s="3" t="s">
        <v>77969</v>
      </c>
      <c r="C15445" s="3" t="s">
        <v>54</v>
      </c>
      <c r="D15445" s="3" t="s">
        <v>175</v>
      </c>
      <c r="E15445" s="4" t="s">
        <v>22</v>
      </c>
      <c r="F15445" s="4" t="s">
        <v>77970</v>
      </c>
      <c r="G15445" s="4" t="s">
        <v>77971</v>
      </c>
      <c r="H15445" s="3" t="s">
        <v>77131</v>
      </c>
      <c r="I15445" s="3" t="s">
        <v>1488</v>
      </c>
      <c r="J15445" s="3" t="s">
        <v>72015</v>
      </c>
      <c r="K15445" s="3" t="s">
        <v>77972</v>
      </c>
      <c r="L15445" s="3" t="s">
        <v>77973</v>
      </c>
      <c r="M15445" s="4"/>
      <c r="N15445" s="3" t="s">
        <v>37</v>
      </c>
      <c r="O15445" s="3" t="s">
        <v>52</v>
      </c>
      <c r="P15445" s="5">
        <v>6</v>
      </c>
      <c r="Q15445" s="5">
        <v>44</v>
      </c>
      <c r="R15445" s="5">
        <v>6</v>
      </c>
      <c r="S15445" s="5">
        <v>44</v>
      </c>
    </row>
    <row r="15446" spans="1:19" ht="28" x14ac:dyDescent="0.15">
      <c r="A15446" s="2">
        <f>HYPERLINK("https://open-school.uspishnemisto.com.ua/school/730169/", 730169)</f>
        <v>730169</v>
      </c>
      <c r="B15446" s="3" t="s">
        <v>77974</v>
      </c>
      <c r="C15446" s="3" t="s">
        <v>54</v>
      </c>
      <c r="D15446" s="3" t="s">
        <v>32</v>
      </c>
      <c r="E15446" s="4" t="s">
        <v>22</v>
      </c>
      <c r="F15446" s="4" t="s">
        <v>77975</v>
      </c>
      <c r="G15446" s="4" t="s">
        <v>77976</v>
      </c>
      <c r="H15446" s="3" t="s">
        <v>77131</v>
      </c>
      <c r="I15446" s="3" t="s">
        <v>73846</v>
      </c>
      <c r="J15446" s="3" t="s">
        <v>1946</v>
      </c>
      <c r="K15446" s="3" t="s">
        <v>77977</v>
      </c>
      <c r="L15446" s="3"/>
      <c r="M15446" s="4"/>
      <c r="N15446" s="3" t="s">
        <v>37</v>
      </c>
      <c r="O15446" s="3" t="s">
        <v>618</v>
      </c>
      <c r="P15446" s="5">
        <v>11</v>
      </c>
      <c r="Q15446" s="5">
        <v>161</v>
      </c>
      <c r="R15446" s="5">
        <v>11</v>
      </c>
      <c r="S15446" s="5">
        <v>169</v>
      </c>
    </row>
    <row r="15447" spans="1:19" ht="56" x14ac:dyDescent="0.15">
      <c r="A15447" s="2">
        <f>HYPERLINK("https://open-school.uspishnemisto.com.ua/school/730170/", 730170)</f>
        <v>730170</v>
      </c>
      <c r="B15447" s="3" t="s">
        <v>77978</v>
      </c>
      <c r="C15447" s="3" t="s">
        <v>54</v>
      </c>
      <c r="D15447" s="3" t="s">
        <v>175</v>
      </c>
      <c r="E15447" s="4" t="s">
        <v>22</v>
      </c>
      <c r="F15447" s="4" t="s">
        <v>77979</v>
      </c>
      <c r="G15447" s="4" t="s">
        <v>77980</v>
      </c>
      <c r="H15447" s="3" t="s">
        <v>77131</v>
      </c>
      <c r="I15447" s="3" t="s">
        <v>3335</v>
      </c>
      <c r="J15447" s="3" t="s">
        <v>5948</v>
      </c>
      <c r="K15447" s="3" t="s">
        <v>77981</v>
      </c>
      <c r="L15447" s="3"/>
      <c r="M15447" s="4"/>
      <c r="N15447" s="3" t="s">
        <v>37</v>
      </c>
      <c r="O15447" s="3" t="s">
        <v>618</v>
      </c>
      <c r="P15447" s="5">
        <v>1</v>
      </c>
      <c r="Q15447" s="5">
        <v>9</v>
      </c>
      <c r="R15447" s="5">
        <v>2</v>
      </c>
      <c r="S15447" s="5">
        <v>25</v>
      </c>
    </row>
    <row r="15448" spans="1:19" ht="28" x14ac:dyDescent="0.15">
      <c r="A15448" s="2">
        <f>HYPERLINK("https://open-school.uspishnemisto.com.ua/school/730171/", 730171)</f>
        <v>730171</v>
      </c>
      <c r="B15448" s="3" t="s">
        <v>77982</v>
      </c>
      <c r="C15448" s="3" t="s">
        <v>54</v>
      </c>
      <c r="D15448" s="3" t="s">
        <v>32</v>
      </c>
      <c r="E15448" s="4" t="s">
        <v>22</v>
      </c>
      <c r="F15448" s="4" t="s">
        <v>77983</v>
      </c>
      <c r="G15448" s="4" t="s">
        <v>77984</v>
      </c>
      <c r="H15448" s="3" t="s">
        <v>77131</v>
      </c>
      <c r="I15448" s="3" t="s">
        <v>77985</v>
      </c>
      <c r="J15448" s="3" t="s">
        <v>77986</v>
      </c>
      <c r="K15448" s="3" t="s">
        <v>77987</v>
      </c>
      <c r="L15448" s="3"/>
      <c r="M15448" s="4"/>
      <c r="N15448" s="3" t="s">
        <v>37</v>
      </c>
      <c r="O15448" s="3" t="s">
        <v>618</v>
      </c>
      <c r="P15448" s="5">
        <v>11</v>
      </c>
      <c r="Q15448" s="5">
        <v>151</v>
      </c>
      <c r="R15448" s="5">
        <v>11</v>
      </c>
      <c r="S15448" s="5">
        <v>149</v>
      </c>
    </row>
    <row r="15449" spans="1:19" ht="28" x14ac:dyDescent="0.15">
      <c r="A15449" s="2">
        <f>HYPERLINK("https://open-school.uspishnemisto.com.ua/school/730172/", 730172)</f>
        <v>730172</v>
      </c>
      <c r="B15449" s="3" t="s">
        <v>77988</v>
      </c>
      <c r="C15449" s="3" t="s">
        <v>54</v>
      </c>
      <c r="D15449" s="3" t="s">
        <v>32</v>
      </c>
      <c r="E15449" s="4" t="s">
        <v>22</v>
      </c>
      <c r="F15449" s="4" t="s">
        <v>77989</v>
      </c>
      <c r="G15449" s="4" t="s">
        <v>77990</v>
      </c>
      <c r="H15449" s="3" t="s">
        <v>77131</v>
      </c>
      <c r="I15449" s="3" t="s">
        <v>77991</v>
      </c>
      <c r="J15449" s="3" t="s">
        <v>77500</v>
      </c>
      <c r="K15449" s="3" t="s">
        <v>77992</v>
      </c>
      <c r="L15449" s="3" t="s">
        <v>77993</v>
      </c>
      <c r="M15449" s="4"/>
      <c r="N15449" s="3" t="s">
        <v>37</v>
      </c>
      <c r="O15449" s="3" t="s">
        <v>52</v>
      </c>
      <c r="P15449" s="5">
        <v>11</v>
      </c>
      <c r="Q15449" s="5">
        <v>172</v>
      </c>
      <c r="R15449" s="5">
        <v>11</v>
      </c>
      <c r="S15449" s="5">
        <v>167</v>
      </c>
    </row>
    <row r="15450" spans="1:19" ht="28" x14ac:dyDescent="0.15">
      <c r="A15450" s="2">
        <f>HYPERLINK("https://open-school.uspishnemisto.com.ua/school/730173/", 730173)</f>
        <v>730173</v>
      </c>
      <c r="B15450" s="3" t="s">
        <v>77994</v>
      </c>
      <c r="C15450" s="3" t="s">
        <v>54</v>
      </c>
      <c r="D15450" s="3" t="s">
        <v>175</v>
      </c>
      <c r="E15450" s="4" t="s">
        <v>22</v>
      </c>
      <c r="F15450" s="4" t="s">
        <v>77995</v>
      </c>
      <c r="G15450" s="4" t="s">
        <v>77996</v>
      </c>
      <c r="H15450" s="3" t="s">
        <v>77131</v>
      </c>
      <c r="I15450" s="3" t="s">
        <v>27834</v>
      </c>
      <c r="J15450" s="3" t="s">
        <v>77997</v>
      </c>
      <c r="K15450" s="3" t="s">
        <v>77998</v>
      </c>
      <c r="L15450" s="3"/>
      <c r="M15450" s="4"/>
      <c r="N15450" s="3" t="s">
        <v>37</v>
      </c>
      <c r="O15450" s="3" t="s">
        <v>46</v>
      </c>
      <c r="P15450" s="5">
        <v>6</v>
      </c>
      <c r="Q15450" s="5">
        <v>49</v>
      </c>
      <c r="R15450" s="5">
        <v>6</v>
      </c>
      <c r="S15450" s="5">
        <v>49</v>
      </c>
    </row>
    <row r="15451" spans="1:19" ht="28" x14ac:dyDescent="0.15">
      <c r="A15451" s="2">
        <f>HYPERLINK("https://open-school.uspishnemisto.com.ua/school/730174/", 730174)</f>
        <v>730174</v>
      </c>
      <c r="B15451" s="3" t="s">
        <v>77999</v>
      </c>
      <c r="C15451" s="3" t="s">
        <v>31</v>
      </c>
      <c r="D15451" s="3" t="s">
        <v>32</v>
      </c>
      <c r="E15451" s="4" t="s">
        <v>22</v>
      </c>
      <c r="F15451" s="4" t="s">
        <v>78000</v>
      </c>
      <c r="G15451" s="4" t="s">
        <v>78001</v>
      </c>
      <c r="H15451" s="3" t="s">
        <v>77131</v>
      </c>
      <c r="I15451" s="3" t="s">
        <v>78002</v>
      </c>
      <c r="J15451" s="3" t="s">
        <v>39346</v>
      </c>
      <c r="K15451" s="3" t="s">
        <v>78003</v>
      </c>
      <c r="L15451" s="3"/>
      <c r="M15451" s="4"/>
      <c r="N15451" s="3" t="s">
        <v>37</v>
      </c>
      <c r="O15451" s="3" t="s">
        <v>618</v>
      </c>
      <c r="P15451" s="5">
        <v>21</v>
      </c>
      <c r="Q15451" s="5">
        <v>410</v>
      </c>
      <c r="R15451" s="5">
        <v>20</v>
      </c>
      <c r="S15451" s="5">
        <v>411</v>
      </c>
    </row>
    <row r="15452" spans="1:19" ht="28" x14ac:dyDescent="0.15">
      <c r="A15452" s="2">
        <f>HYPERLINK("https://open-school.uspishnemisto.com.ua/school/730175/", 730175)</f>
        <v>730175</v>
      </c>
      <c r="B15452" s="3" t="s">
        <v>78004</v>
      </c>
      <c r="C15452" s="3" t="s">
        <v>54</v>
      </c>
      <c r="D15452" s="3" t="s">
        <v>175</v>
      </c>
      <c r="E15452" s="4" t="s">
        <v>22</v>
      </c>
      <c r="F15452" s="4"/>
      <c r="G15452" s="4" t="s">
        <v>78005</v>
      </c>
      <c r="H15452" s="3" t="s">
        <v>77131</v>
      </c>
      <c r="I15452" s="3" t="s">
        <v>17601</v>
      </c>
      <c r="J15452" s="3" t="s">
        <v>6604</v>
      </c>
      <c r="K15452" s="3"/>
      <c r="L15452" s="3"/>
      <c r="M15452" s="4"/>
      <c r="N15452" s="3" t="s">
        <v>37</v>
      </c>
      <c r="O15452" s="3" t="s">
        <v>52</v>
      </c>
      <c r="P15452" s="5">
        <v>7</v>
      </c>
      <c r="Q15452" s="5">
        <v>53</v>
      </c>
      <c r="R15452" s="5">
        <v>7</v>
      </c>
      <c r="S15452" s="5">
        <v>49</v>
      </c>
    </row>
    <row r="15453" spans="1:19" ht="28" x14ac:dyDescent="0.15">
      <c r="A15453" s="2">
        <f>HYPERLINK("https://open-school.uspishnemisto.com.ua/school/730176/", 730176)</f>
        <v>730176</v>
      </c>
      <c r="B15453" s="3" t="s">
        <v>78006</v>
      </c>
      <c r="C15453" s="3" t="s">
        <v>31</v>
      </c>
      <c r="D15453" s="3" t="s">
        <v>32</v>
      </c>
      <c r="E15453" s="4" t="s">
        <v>22</v>
      </c>
      <c r="F15453" s="4" t="s">
        <v>78007</v>
      </c>
      <c r="G15453" s="4" t="s">
        <v>78008</v>
      </c>
      <c r="H15453" s="3" t="s">
        <v>77131</v>
      </c>
      <c r="I15453" s="3" t="s">
        <v>78009</v>
      </c>
      <c r="J15453" s="3" t="s">
        <v>78010</v>
      </c>
      <c r="K15453" s="3" t="s">
        <v>78011</v>
      </c>
      <c r="L15453" s="3"/>
      <c r="M15453" s="4"/>
      <c r="N15453" s="3" t="s">
        <v>37</v>
      </c>
      <c r="O15453" s="3" t="s">
        <v>52</v>
      </c>
      <c r="P15453" s="5">
        <v>17</v>
      </c>
      <c r="Q15453" s="5">
        <v>321</v>
      </c>
      <c r="R15453" s="5">
        <v>16</v>
      </c>
      <c r="S15453" s="5">
        <v>308</v>
      </c>
    </row>
    <row r="15454" spans="1:19" ht="28" x14ac:dyDescent="0.15">
      <c r="A15454" s="2">
        <f>HYPERLINK("https://open-school.uspishnemisto.com.ua/school/730177/", 730177)</f>
        <v>730177</v>
      </c>
      <c r="B15454" s="3" t="s">
        <v>78012</v>
      </c>
      <c r="C15454" s="3" t="s">
        <v>54</v>
      </c>
      <c r="D15454" s="3" t="s">
        <v>32</v>
      </c>
      <c r="E15454" s="4" t="s">
        <v>22</v>
      </c>
      <c r="F15454" s="4" t="s">
        <v>78013</v>
      </c>
      <c r="G15454" s="4" t="s">
        <v>78014</v>
      </c>
      <c r="H15454" s="3" t="s">
        <v>77131</v>
      </c>
      <c r="I15454" s="3" t="s">
        <v>78015</v>
      </c>
      <c r="J15454" s="3" t="s">
        <v>21031</v>
      </c>
      <c r="K15454" s="3" t="s">
        <v>78016</v>
      </c>
      <c r="L15454" s="3"/>
      <c r="M15454" s="4"/>
      <c r="N15454" s="3" t="s">
        <v>37</v>
      </c>
      <c r="O15454" s="3" t="s">
        <v>52</v>
      </c>
      <c r="P15454" s="5">
        <v>11</v>
      </c>
      <c r="Q15454" s="5">
        <v>222</v>
      </c>
      <c r="R15454" s="5">
        <v>11</v>
      </c>
      <c r="S15454" s="5">
        <v>238</v>
      </c>
    </row>
    <row r="15455" spans="1:19" ht="28" x14ac:dyDescent="0.15">
      <c r="A15455" s="2">
        <f>HYPERLINK("https://open-school.uspishnemisto.com.ua/school/730178/", 730178)</f>
        <v>730178</v>
      </c>
      <c r="B15455" s="3" t="s">
        <v>78017</v>
      </c>
      <c r="C15455" s="3" t="s">
        <v>54</v>
      </c>
      <c r="D15455" s="3" t="s">
        <v>32</v>
      </c>
      <c r="E15455" s="4" t="s">
        <v>22</v>
      </c>
      <c r="F15455" s="4" t="s">
        <v>78018</v>
      </c>
      <c r="G15455" s="4" t="s">
        <v>78019</v>
      </c>
      <c r="H15455" s="3" t="s">
        <v>77131</v>
      </c>
      <c r="I15455" s="3" t="s">
        <v>78020</v>
      </c>
      <c r="J15455" s="3" t="s">
        <v>78021</v>
      </c>
      <c r="K15455" s="3" t="s">
        <v>78022</v>
      </c>
      <c r="L15455" s="3"/>
      <c r="M15455" s="4"/>
      <c r="N15455" s="3" t="s">
        <v>37</v>
      </c>
      <c r="O15455" s="3" t="s">
        <v>618</v>
      </c>
      <c r="P15455" s="5">
        <v>11</v>
      </c>
      <c r="Q15455" s="5">
        <v>129</v>
      </c>
      <c r="R15455" s="5">
        <v>11</v>
      </c>
      <c r="S15455" s="5">
        <v>141</v>
      </c>
    </row>
    <row r="15456" spans="1:19" ht="28" x14ac:dyDescent="0.15">
      <c r="A15456" s="2">
        <f>HYPERLINK("https://open-school.uspishnemisto.com.ua/school/730179/", 730179)</f>
        <v>730179</v>
      </c>
      <c r="B15456" s="3" t="s">
        <v>78023</v>
      </c>
      <c r="C15456" s="3" t="s">
        <v>54</v>
      </c>
      <c r="D15456" s="3" t="s">
        <v>32</v>
      </c>
      <c r="E15456" s="4" t="s">
        <v>22</v>
      </c>
      <c r="F15456" s="4" t="s">
        <v>78024</v>
      </c>
      <c r="G15456" s="4" t="s">
        <v>78025</v>
      </c>
      <c r="H15456" s="3" t="s">
        <v>77131</v>
      </c>
      <c r="I15456" s="3" t="s">
        <v>78026</v>
      </c>
      <c r="J15456" s="3" t="s">
        <v>78027</v>
      </c>
      <c r="K15456" s="3" t="s">
        <v>78028</v>
      </c>
      <c r="L15456" s="3"/>
      <c r="M15456" s="4"/>
      <c r="N15456" s="3" t="s">
        <v>37</v>
      </c>
      <c r="O15456" s="3" t="s">
        <v>46</v>
      </c>
      <c r="P15456" s="5">
        <v>10</v>
      </c>
      <c r="Q15456" s="5">
        <v>130</v>
      </c>
      <c r="R15456" s="5">
        <v>10</v>
      </c>
      <c r="S15456" s="5">
        <v>128</v>
      </c>
    </row>
    <row r="15457" spans="1:19" ht="42" x14ac:dyDescent="0.15">
      <c r="A15457" s="2">
        <f>HYPERLINK("https://open-school.uspishnemisto.com.ua/school/730180/", 730180)</f>
        <v>730180</v>
      </c>
      <c r="B15457" s="3" t="s">
        <v>78029</v>
      </c>
      <c r="C15457" s="3" t="s">
        <v>54</v>
      </c>
      <c r="D15457" s="3" t="s">
        <v>175</v>
      </c>
      <c r="E15457" s="4" t="s">
        <v>22</v>
      </c>
      <c r="F15457" s="4" t="s">
        <v>78030</v>
      </c>
      <c r="G15457" s="4" t="s">
        <v>78031</v>
      </c>
      <c r="H15457" s="3" t="s">
        <v>77131</v>
      </c>
      <c r="I15457" s="3" t="s">
        <v>78032</v>
      </c>
      <c r="J15457" s="3" t="s">
        <v>78033</v>
      </c>
      <c r="K15457" s="3" t="s">
        <v>78034</v>
      </c>
      <c r="L15457" s="3"/>
      <c r="M15457" s="4"/>
      <c r="N15457" s="3" t="s">
        <v>37</v>
      </c>
      <c r="O15457" s="3" t="s">
        <v>52</v>
      </c>
      <c r="P15457" s="5">
        <v>9</v>
      </c>
      <c r="Q15457" s="5">
        <v>78</v>
      </c>
      <c r="R15457" s="5">
        <v>9</v>
      </c>
      <c r="S15457" s="5">
        <v>80</v>
      </c>
    </row>
    <row r="15458" spans="1:19" ht="28" x14ac:dyDescent="0.15">
      <c r="A15458" s="2">
        <f>HYPERLINK("https://open-school.uspishnemisto.com.ua/school/730181/", 730181)</f>
        <v>730181</v>
      </c>
      <c r="B15458" s="3" t="s">
        <v>78035</v>
      </c>
      <c r="C15458" s="3" t="s">
        <v>54</v>
      </c>
      <c r="D15458" s="3" t="s">
        <v>32</v>
      </c>
      <c r="E15458" s="4" t="s">
        <v>22</v>
      </c>
      <c r="F15458" s="4" t="s">
        <v>78036</v>
      </c>
      <c r="G15458" s="4" t="s">
        <v>78037</v>
      </c>
      <c r="H15458" s="3" t="s">
        <v>77131</v>
      </c>
      <c r="I15458" s="3" t="s">
        <v>78038</v>
      </c>
      <c r="J15458" s="3" t="s">
        <v>30417</v>
      </c>
      <c r="K15458" s="3" t="s">
        <v>78039</v>
      </c>
      <c r="L15458" s="3"/>
      <c r="M15458" s="4"/>
      <c r="N15458" s="3" t="s">
        <v>37</v>
      </c>
      <c r="O15458" s="3" t="s">
        <v>46</v>
      </c>
      <c r="P15458" s="5">
        <v>11</v>
      </c>
      <c r="Q15458" s="5">
        <v>152</v>
      </c>
      <c r="R15458" s="5">
        <v>11</v>
      </c>
      <c r="S15458" s="5">
        <v>147</v>
      </c>
    </row>
    <row r="15459" spans="1:19" ht="28" x14ac:dyDescent="0.15">
      <c r="A15459" s="2">
        <f>HYPERLINK("https://open-school.uspishnemisto.com.ua/school/730182/", 730182)</f>
        <v>730182</v>
      </c>
      <c r="B15459" s="3" t="s">
        <v>78040</v>
      </c>
      <c r="C15459" s="3" t="s">
        <v>31</v>
      </c>
      <c r="D15459" s="3" t="s">
        <v>32</v>
      </c>
      <c r="E15459" s="4" t="s">
        <v>22</v>
      </c>
      <c r="F15459" s="4" t="s">
        <v>78041</v>
      </c>
      <c r="G15459" s="4" t="s">
        <v>78042</v>
      </c>
      <c r="H15459" s="3" t="s">
        <v>77131</v>
      </c>
      <c r="I15459" s="3" t="s">
        <v>78043</v>
      </c>
      <c r="J15459" s="3" t="s">
        <v>78044</v>
      </c>
      <c r="K15459" s="3" t="s">
        <v>78045</v>
      </c>
      <c r="L15459" s="3"/>
      <c r="M15459" s="4"/>
      <c r="N15459" s="3" t="s">
        <v>37</v>
      </c>
      <c r="O15459" s="3" t="s">
        <v>52</v>
      </c>
      <c r="P15459" s="5">
        <v>18</v>
      </c>
      <c r="Q15459" s="5">
        <v>337</v>
      </c>
      <c r="R15459" s="5">
        <v>19</v>
      </c>
      <c r="S15459" s="5">
        <v>349</v>
      </c>
    </row>
    <row r="15460" spans="1:19" ht="42" x14ac:dyDescent="0.15">
      <c r="A15460" s="2">
        <f>HYPERLINK("https://open-school.uspishnemisto.com.ua/school/730183/", 730183)</f>
        <v>730183</v>
      </c>
      <c r="B15460" s="3" t="s">
        <v>78046</v>
      </c>
      <c r="C15460" s="3" t="s">
        <v>54</v>
      </c>
      <c r="D15460" s="3" t="s">
        <v>32</v>
      </c>
      <c r="E15460" s="4" t="s">
        <v>22</v>
      </c>
      <c r="F15460" s="4" t="s">
        <v>78047</v>
      </c>
      <c r="G15460" s="4" t="s">
        <v>78048</v>
      </c>
      <c r="H15460" s="3" t="s">
        <v>77131</v>
      </c>
      <c r="I15460" s="3" t="s">
        <v>78049</v>
      </c>
      <c r="J15460" s="3" t="s">
        <v>78050</v>
      </c>
      <c r="K15460" s="3" t="s">
        <v>78051</v>
      </c>
      <c r="L15460" s="3"/>
      <c r="M15460" s="4"/>
      <c r="N15460" s="3" t="s">
        <v>37</v>
      </c>
      <c r="O15460" s="3" t="s">
        <v>52</v>
      </c>
      <c r="P15460" s="5">
        <v>10</v>
      </c>
      <c r="Q15460" s="5">
        <v>128</v>
      </c>
      <c r="R15460" s="5">
        <v>9</v>
      </c>
      <c r="S15460" s="5">
        <v>117</v>
      </c>
    </row>
    <row r="15461" spans="1:19" ht="28" x14ac:dyDescent="0.15">
      <c r="A15461" s="2">
        <f>HYPERLINK("https://open-school.uspishnemisto.com.ua/school/730184/", 730184)</f>
        <v>730184</v>
      </c>
      <c r="B15461" s="3" t="s">
        <v>78052</v>
      </c>
      <c r="C15461" s="3" t="s">
        <v>54</v>
      </c>
      <c r="D15461" s="3" t="s">
        <v>175</v>
      </c>
      <c r="E15461" s="4" t="s">
        <v>22</v>
      </c>
      <c r="F15461" s="4" t="s">
        <v>78053</v>
      </c>
      <c r="G15461" s="4" t="s">
        <v>78054</v>
      </c>
      <c r="H15461" s="3" t="s">
        <v>77131</v>
      </c>
      <c r="I15461" s="3" t="s">
        <v>78055</v>
      </c>
      <c r="J15461" s="3" t="s">
        <v>2253</v>
      </c>
      <c r="K15461" s="3" t="s">
        <v>78056</v>
      </c>
      <c r="L15461" s="3"/>
      <c r="M15461" s="4"/>
      <c r="N15461" s="3" t="s">
        <v>37</v>
      </c>
      <c r="O15461" s="3" t="s">
        <v>618</v>
      </c>
      <c r="P15461" s="5">
        <v>7</v>
      </c>
      <c r="Q15461" s="5">
        <v>60</v>
      </c>
      <c r="R15461" s="5">
        <v>8</v>
      </c>
      <c r="S15461" s="5">
        <v>62</v>
      </c>
    </row>
    <row r="15462" spans="1:19" ht="28" x14ac:dyDescent="0.15">
      <c r="A15462" s="2">
        <f>HYPERLINK("https://open-school.uspishnemisto.com.ua/school/730185/", 730185)</f>
        <v>730185</v>
      </c>
      <c r="B15462" s="3" t="s">
        <v>78057</v>
      </c>
      <c r="C15462" s="3" t="s">
        <v>54</v>
      </c>
      <c r="D15462" s="3" t="s">
        <v>32</v>
      </c>
      <c r="E15462" s="4" t="s">
        <v>22</v>
      </c>
      <c r="F15462" s="4" t="s">
        <v>78058</v>
      </c>
      <c r="G15462" s="4" t="s">
        <v>78059</v>
      </c>
      <c r="H15462" s="3" t="s">
        <v>77131</v>
      </c>
      <c r="I15462" s="3" t="s">
        <v>78060</v>
      </c>
      <c r="J15462" s="3" t="s">
        <v>15310</v>
      </c>
      <c r="K15462" s="3" t="s">
        <v>78061</v>
      </c>
      <c r="L15462" s="3"/>
      <c r="M15462" s="4"/>
      <c r="N15462" s="3" t="s">
        <v>37</v>
      </c>
      <c r="O15462" s="3" t="s">
        <v>52</v>
      </c>
      <c r="P15462" s="5">
        <v>9</v>
      </c>
      <c r="Q15462" s="5">
        <v>113</v>
      </c>
      <c r="R15462" s="5">
        <v>10</v>
      </c>
      <c r="S15462" s="5">
        <v>116</v>
      </c>
    </row>
    <row r="15463" spans="1:19" ht="28" x14ac:dyDescent="0.15">
      <c r="A15463" s="2">
        <f>HYPERLINK("https://open-school.uspishnemisto.com.ua/school/730186/", 730186)</f>
        <v>730186</v>
      </c>
      <c r="B15463" s="3" t="s">
        <v>78062</v>
      </c>
      <c r="C15463" s="3" t="s">
        <v>31</v>
      </c>
      <c r="D15463" s="3" t="s">
        <v>32</v>
      </c>
      <c r="E15463" s="4" t="s">
        <v>22</v>
      </c>
      <c r="F15463" s="4" t="s">
        <v>78063</v>
      </c>
      <c r="G15463" s="4" t="s">
        <v>78064</v>
      </c>
      <c r="H15463" s="3" t="s">
        <v>77131</v>
      </c>
      <c r="I15463" s="3" t="s">
        <v>27907</v>
      </c>
      <c r="J15463" s="3" t="s">
        <v>78065</v>
      </c>
      <c r="K15463" s="3" t="s">
        <v>78066</v>
      </c>
      <c r="L15463" s="3"/>
      <c r="M15463" s="4"/>
      <c r="N15463" s="3" t="s">
        <v>37</v>
      </c>
      <c r="O15463" s="3" t="s">
        <v>46</v>
      </c>
      <c r="P15463" s="5">
        <v>10</v>
      </c>
      <c r="Q15463" s="5">
        <v>179</v>
      </c>
      <c r="R15463" s="5">
        <v>11</v>
      </c>
      <c r="S15463" s="5">
        <v>168</v>
      </c>
    </row>
    <row r="15464" spans="1:19" ht="28" x14ac:dyDescent="0.15">
      <c r="A15464" s="2">
        <f>HYPERLINK("https://open-school.uspishnemisto.com.ua/school/730187/", 730187)</f>
        <v>730187</v>
      </c>
      <c r="B15464" s="3" t="s">
        <v>78067</v>
      </c>
      <c r="C15464" s="3" t="s">
        <v>54</v>
      </c>
      <c r="D15464" s="3" t="s">
        <v>175</v>
      </c>
      <c r="E15464" s="4" t="s">
        <v>22</v>
      </c>
      <c r="F15464" s="4" t="s">
        <v>78068</v>
      </c>
      <c r="G15464" s="4" t="s">
        <v>78069</v>
      </c>
      <c r="H15464" s="3" t="s">
        <v>77131</v>
      </c>
      <c r="I15464" s="3" t="s">
        <v>78070</v>
      </c>
      <c r="J15464" s="3" t="s">
        <v>3047</v>
      </c>
      <c r="K15464" s="3" t="s">
        <v>78071</v>
      </c>
      <c r="L15464" s="3"/>
      <c r="M15464" s="4"/>
      <c r="N15464" s="3" t="s">
        <v>37</v>
      </c>
      <c r="O15464" s="3" t="s">
        <v>618</v>
      </c>
      <c r="P15464" s="5">
        <v>2</v>
      </c>
      <c r="Q15464" s="5">
        <v>26</v>
      </c>
      <c r="R15464" s="5">
        <v>2</v>
      </c>
      <c r="S15464" s="5">
        <v>28</v>
      </c>
    </row>
    <row r="15465" spans="1:19" ht="42" x14ac:dyDescent="0.15">
      <c r="A15465" s="2">
        <f>HYPERLINK("https://open-school.uspishnemisto.com.ua/school/730188/", 730188)</f>
        <v>730188</v>
      </c>
      <c r="B15465" s="3" t="s">
        <v>78072</v>
      </c>
      <c r="C15465" s="3" t="s">
        <v>31</v>
      </c>
      <c r="D15465" s="3" t="s">
        <v>32</v>
      </c>
      <c r="E15465" s="4" t="s">
        <v>22</v>
      </c>
      <c r="F15465" s="4" t="s">
        <v>78073</v>
      </c>
      <c r="G15465" s="4" t="s">
        <v>78074</v>
      </c>
      <c r="H15465" s="3" t="s">
        <v>77131</v>
      </c>
      <c r="I15465" s="3" t="s">
        <v>78075</v>
      </c>
      <c r="J15465" s="3" t="s">
        <v>78076</v>
      </c>
      <c r="K15465" s="3"/>
      <c r="L15465" s="3"/>
      <c r="M15465" s="4"/>
      <c r="N15465" s="3" t="s">
        <v>37</v>
      </c>
      <c r="O15465" s="3" t="s">
        <v>618</v>
      </c>
      <c r="P15465" s="5">
        <v>11</v>
      </c>
      <c r="Q15465" s="5">
        <v>174</v>
      </c>
      <c r="R15465" s="5">
        <v>11</v>
      </c>
      <c r="S15465" s="5">
        <v>175</v>
      </c>
    </row>
    <row r="15466" spans="1:19" ht="28" x14ac:dyDescent="0.15">
      <c r="A15466" s="2">
        <f>HYPERLINK("https://open-school.uspishnemisto.com.ua/school/730189/", 730189)</f>
        <v>730189</v>
      </c>
      <c r="B15466" s="3" t="s">
        <v>78077</v>
      </c>
      <c r="C15466" s="3" t="s">
        <v>54</v>
      </c>
      <c r="D15466" s="3" t="s">
        <v>175</v>
      </c>
      <c r="E15466" s="4" t="s">
        <v>22</v>
      </c>
      <c r="F15466" s="4" t="s">
        <v>78078</v>
      </c>
      <c r="G15466" s="4" t="s">
        <v>78079</v>
      </c>
      <c r="H15466" s="3" t="s">
        <v>77131</v>
      </c>
      <c r="I15466" s="3" t="s">
        <v>78080</v>
      </c>
      <c r="J15466" s="3" t="s">
        <v>78081</v>
      </c>
      <c r="K15466" s="3" t="s">
        <v>78082</v>
      </c>
      <c r="L15466" s="3"/>
      <c r="M15466" s="4"/>
      <c r="N15466" s="3" t="s">
        <v>37</v>
      </c>
      <c r="O15466" s="3" t="s">
        <v>52</v>
      </c>
      <c r="P15466" s="5">
        <v>2</v>
      </c>
      <c r="Q15466" s="5">
        <v>31</v>
      </c>
      <c r="R15466" s="5">
        <v>2</v>
      </c>
      <c r="S15466" s="5">
        <v>32</v>
      </c>
    </row>
    <row r="15467" spans="1:19" ht="28" x14ac:dyDescent="0.15">
      <c r="A15467" s="2">
        <f>HYPERLINK("https://open-school.uspishnemisto.com.ua/school/730190/", 730190)</f>
        <v>730190</v>
      </c>
      <c r="B15467" s="3" t="s">
        <v>78083</v>
      </c>
      <c r="C15467" s="3" t="s">
        <v>54</v>
      </c>
      <c r="D15467" s="3" t="s">
        <v>32</v>
      </c>
      <c r="E15467" s="4" t="s">
        <v>22</v>
      </c>
      <c r="F15467" s="4" t="s">
        <v>78084</v>
      </c>
      <c r="G15467" s="4" t="s">
        <v>78085</v>
      </c>
      <c r="H15467" s="3" t="s">
        <v>77131</v>
      </c>
      <c r="I15467" s="3" t="s">
        <v>78086</v>
      </c>
      <c r="J15467" s="3" t="s">
        <v>1845</v>
      </c>
      <c r="K15467" s="3" t="s">
        <v>78087</v>
      </c>
      <c r="L15467" s="3"/>
      <c r="M15467" s="4"/>
      <c r="N15467" s="3" t="s">
        <v>37</v>
      </c>
      <c r="O15467" s="3" t="s">
        <v>46</v>
      </c>
      <c r="P15467" s="5">
        <v>12</v>
      </c>
      <c r="Q15467" s="5">
        <v>216</v>
      </c>
      <c r="R15467" s="5">
        <v>12</v>
      </c>
      <c r="S15467" s="5">
        <v>227</v>
      </c>
    </row>
    <row r="15468" spans="1:19" ht="28" x14ac:dyDescent="0.15">
      <c r="A15468" s="2">
        <f>HYPERLINK("https://open-school.uspishnemisto.com.ua/school/730191/", 730191)</f>
        <v>730191</v>
      </c>
      <c r="B15468" s="3" t="s">
        <v>78088</v>
      </c>
      <c r="C15468" s="3" t="s">
        <v>54</v>
      </c>
      <c r="D15468" s="3" t="s">
        <v>32</v>
      </c>
      <c r="E15468" s="4" t="s">
        <v>22</v>
      </c>
      <c r="F15468" s="4" t="s">
        <v>78089</v>
      </c>
      <c r="G15468" s="4" t="s">
        <v>78090</v>
      </c>
      <c r="H15468" s="3" t="s">
        <v>77131</v>
      </c>
      <c r="I15468" s="3" t="s">
        <v>78091</v>
      </c>
      <c r="J15468" s="3" t="s">
        <v>78092</v>
      </c>
      <c r="K15468" s="3" t="s">
        <v>78093</v>
      </c>
      <c r="L15468" s="3"/>
      <c r="M15468" s="4"/>
      <c r="N15468" s="3" t="s">
        <v>37</v>
      </c>
      <c r="O15468" s="3" t="s">
        <v>46</v>
      </c>
      <c r="P15468" s="5">
        <v>11</v>
      </c>
      <c r="Q15468" s="5">
        <v>232</v>
      </c>
      <c r="R15468" s="5">
        <v>11</v>
      </c>
      <c r="S15468" s="5">
        <v>232</v>
      </c>
    </row>
    <row r="15469" spans="1:19" ht="28" x14ac:dyDescent="0.15">
      <c r="A15469" s="2">
        <f>HYPERLINK("https://open-school.uspishnemisto.com.ua/school/730193/", 730193)</f>
        <v>730193</v>
      </c>
      <c r="B15469" s="3" t="s">
        <v>78094</v>
      </c>
      <c r="C15469" s="3" t="s">
        <v>31</v>
      </c>
      <c r="D15469" s="3" t="s">
        <v>32</v>
      </c>
      <c r="E15469" s="4" t="s">
        <v>22</v>
      </c>
      <c r="F15469" s="4" t="s">
        <v>78095</v>
      </c>
      <c r="G15469" s="4" t="s">
        <v>78096</v>
      </c>
      <c r="H15469" s="3" t="s">
        <v>77131</v>
      </c>
      <c r="I15469" s="3" t="s">
        <v>78097</v>
      </c>
      <c r="J15469" s="3" t="s">
        <v>466</v>
      </c>
      <c r="K15469" s="3" t="s">
        <v>78098</v>
      </c>
      <c r="L15469" s="3" t="s">
        <v>78099</v>
      </c>
      <c r="M15469" s="4"/>
      <c r="N15469" s="3" t="s">
        <v>37</v>
      </c>
      <c r="O15469" s="3" t="s">
        <v>46</v>
      </c>
      <c r="P15469" s="5">
        <v>12</v>
      </c>
      <c r="Q15469" s="5">
        <v>207</v>
      </c>
      <c r="R15469" s="5">
        <v>13</v>
      </c>
      <c r="S15469" s="5">
        <v>206</v>
      </c>
    </row>
    <row r="15470" spans="1:19" ht="42" x14ac:dyDescent="0.15">
      <c r="A15470" s="2">
        <f>HYPERLINK("https://open-school.uspishnemisto.com.ua/school/730194/", 730194)</f>
        <v>730194</v>
      </c>
      <c r="B15470" s="3" t="s">
        <v>78100</v>
      </c>
      <c r="C15470" s="3" t="s">
        <v>54</v>
      </c>
      <c r="D15470" s="3" t="s">
        <v>175</v>
      </c>
      <c r="E15470" s="4" t="s">
        <v>22</v>
      </c>
      <c r="F15470" s="4" t="s">
        <v>78101</v>
      </c>
      <c r="G15470" s="4" t="s">
        <v>78102</v>
      </c>
      <c r="H15470" s="3" t="s">
        <v>77131</v>
      </c>
      <c r="I15470" s="3" t="s">
        <v>21495</v>
      </c>
      <c r="J15470" s="3"/>
      <c r="K15470" s="3" t="s">
        <v>78103</v>
      </c>
      <c r="L15470" s="3"/>
      <c r="M15470" s="4"/>
      <c r="N15470" s="3" t="s">
        <v>37</v>
      </c>
      <c r="O15470" s="3" t="s">
        <v>618</v>
      </c>
      <c r="P15470" s="5">
        <v>3</v>
      </c>
      <c r="Q15470" s="5">
        <v>31</v>
      </c>
      <c r="R15470" s="5">
        <v>3</v>
      </c>
      <c r="S15470" s="5">
        <v>33</v>
      </c>
    </row>
    <row r="15471" spans="1:19" ht="28" x14ac:dyDescent="0.15">
      <c r="A15471" s="2">
        <f>HYPERLINK("https://open-school.uspishnemisto.com.ua/school/730195/", 730195)</f>
        <v>730195</v>
      </c>
      <c r="B15471" s="3" t="s">
        <v>78104</v>
      </c>
      <c r="C15471" s="3" t="s">
        <v>54</v>
      </c>
      <c r="D15471" s="3" t="s">
        <v>32</v>
      </c>
      <c r="E15471" s="4" t="s">
        <v>22</v>
      </c>
      <c r="F15471" s="4" t="s">
        <v>78105</v>
      </c>
      <c r="G15471" s="4" t="s">
        <v>78106</v>
      </c>
      <c r="H15471" s="3" t="s">
        <v>77131</v>
      </c>
      <c r="I15471" s="3" t="s">
        <v>78107</v>
      </c>
      <c r="J15471" s="3" t="s">
        <v>78108</v>
      </c>
      <c r="K15471" s="3" t="s">
        <v>78109</v>
      </c>
      <c r="L15471" s="3"/>
      <c r="M15471" s="4"/>
      <c r="N15471" s="3" t="s">
        <v>37</v>
      </c>
      <c r="O15471" s="3" t="s">
        <v>618</v>
      </c>
      <c r="P15471" s="5">
        <v>10</v>
      </c>
      <c r="Q15471" s="5">
        <v>114</v>
      </c>
      <c r="R15471" s="5">
        <v>10</v>
      </c>
      <c r="S15471" s="5">
        <v>110</v>
      </c>
    </row>
    <row r="15472" spans="1:19" ht="28" x14ac:dyDescent="0.15">
      <c r="A15472" s="2">
        <f>HYPERLINK("https://open-school.uspishnemisto.com.ua/school/730196/", 730196)</f>
        <v>730196</v>
      </c>
      <c r="B15472" s="3" t="s">
        <v>78110</v>
      </c>
      <c r="C15472" s="3" t="s">
        <v>31</v>
      </c>
      <c r="D15472" s="3" t="s">
        <v>32</v>
      </c>
      <c r="E15472" s="4" t="s">
        <v>22</v>
      </c>
      <c r="F15472" s="4"/>
      <c r="G15472" s="4" t="s">
        <v>78111</v>
      </c>
      <c r="H15472" s="3" t="s">
        <v>77131</v>
      </c>
      <c r="I15472" s="3" t="s">
        <v>78112</v>
      </c>
      <c r="J15472" s="3" t="s">
        <v>1668</v>
      </c>
      <c r="K15472" s="3" t="s">
        <v>78113</v>
      </c>
      <c r="L15472" s="3"/>
      <c r="M15472" s="4"/>
      <c r="N15472" s="3" t="s">
        <v>37</v>
      </c>
      <c r="O15472" s="3" t="s">
        <v>52</v>
      </c>
      <c r="P15472" s="5">
        <v>10</v>
      </c>
      <c r="Q15472" s="5">
        <v>171</v>
      </c>
      <c r="R15472" s="5">
        <v>11</v>
      </c>
      <c r="S15472" s="5">
        <v>185</v>
      </c>
    </row>
    <row r="15473" spans="1:19" ht="28" x14ac:dyDescent="0.15">
      <c r="A15473" s="2">
        <f>HYPERLINK("https://open-school.uspishnemisto.com.ua/school/730197/", 730197)</f>
        <v>730197</v>
      </c>
      <c r="B15473" s="3" t="s">
        <v>78114</v>
      </c>
      <c r="C15473" s="3" t="s">
        <v>31</v>
      </c>
      <c r="D15473" s="3" t="s">
        <v>32</v>
      </c>
      <c r="E15473" s="4" t="s">
        <v>22</v>
      </c>
      <c r="F15473" s="4" t="s">
        <v>78115</v>
      </c>
      <c r="G15473" s="4" t="s">
        <v>78116</v>
      </c>
      <c r="H15473" s="3" t="s">
        <v>77131</v>
      </c>
      <c r="I15473" s="3" t="s">
        <v>2612</v>
      </c>
      <c r="J15473" s="3" t="s">
        <v>466</v>
      </c>
      <c r="K15473" s="3" t="s">
        <v>78117</v>
      </c>
      <c r="L15473" s="3"/>
      <c r="M15473" s="4"/>
      <c r="N15473" s="3" t="s">
        <v>37</v>
      </c>
      <c r="O15473" s="3" t="s">
        <v>46</v>
      </c>
      <c r="P15473" s="5">
        <v>11</v>
      </c>
      <c r="Q15473" s="5">
        <v>236</v>
      </c>
      <c r="R15473" s="5">
        <v>11</v>
      </c>
      <c r="S15473" s="5">
        <v>229</v>
      </c>
    </row>
    <row r="15474" spans="1:19" ht="28" x14ac:dyDescent="0.15">
      <c r="A15474" s="2">
        <f>HYPERLINK("https://open-school.uspishnemisto.com.ua/school/730198/", 730198)</f>
        <v>730198</v>
      </c>
      <c r="B15474" s="3" t="s">
        <v>78118</v>
      </c>
      <c r="C15474" s="3" t="s">
        <v>188</v>
      </c>
      <c r="D15474" s="3" t="s">
        <v>32</v>
      </c>
      <c r="E15474" s="4" t="s">
        <v>22</v>
      </c>
      <c r="F15474" s="4" t="s">
        <v>78119</v>
      </c>
      <c r="G15474" s="4" t="s">
        <v>78120</v>
      </c>
      <c r="H15474" s="3" t="s">
        <v>77131</v>
      </c>
      <c r="I15474" s="3" t="s">
        <v>78121</v>
      </c>
      <c r="J15474" s="3" t="s">
        <v>78122</v>
      </c>
      <c r="K15474" s="3" t="s">
        <v>78123</v>
      </c>
      <c r="L15474" s="3"/>
      <c r="M15474" s="4"/>
      <c r="N15474" s="3" t="s">
        <v>37</v>
      </c>
      <c r="O15474" s="3" t="s">
        <v>2740</v>
      </c>
      <c r="P15474" s="5">
        <v>31</v>
      </c>
      <c r="Q15474" s="5">
        <v>785</v>
      </c>
      <c r="R15474" s="5">
        <v>34</v>
      </c>
      <c r="S15474" s="5">
        <v>795</v>
      </c>
    </row>
    <row r="15475" spans="1:19" ht="28" x14ac:dyDescent="0.15">
      <c r="A15475" s="2">
        <f>HYPERLINK("https://open-school.uspishnemisto.com.ua/school/730199/", 730199)</f>
        <v>730199</v>
      </c>
      <c r="B15475" s="3" t="s">
        <v>78124</v>
      </c>
      <c r="C15475" s="3" t="s">
        <v>31</v>
      </c>
      <c r="D15475" s="3" t="s">
        <v>32</v>
      </c>
      <c r="E15475" s="4" t="s">
        <v>22</v>
      </c>
      <c r="F15475" s="4" t="s">
        <v>78125</v>
      </c>
      <c r="G15475" s="4" t="s">
        <v>78126</v>
      </c>
      <c r="H15475" s="3" t="s">
        <v>77131</v>
      </c>
      <c r="I15475" s="3" t="s">
        <v>1488</v>
      </c>
      <c r="J15475" s="3" t="s">
        <v>12836</v>
      </c>
      <c r="K15475" s="3" t="s">
        <v>78127</v>
      </c>
      <c r="L15475" s="3"/>
      <c r="M15475" s="4"/>
      <c r="N15475" s="3" t="s">
        <v>37</v>
      </c>
      <c r="O15475" s="3" t="s">
        <v>52</v>
      </c>
      <c r="P15475" s="5">
        <v>10</v>
      </c>
      <c r="Q15475" s="5">
        <v>176</v>
      </c>
      <c r="R15475" s="5">
        <v>11</v>
      </c>
      <c r="S15475" s="5">
        <v>186</v>
      </c>
    </row>
    <row r="15476" spans="1:19" ht="56" x14ac:dyDescent="0.15">
      <c r="A15476" s="2">
        <f>HYPERLINK("https://open-school.uspishnemisto.com.ua/school/730200/", 730200)</f>
        <v>730200</v>
      </c>
      <c r="B15476" s="3" t="s">
        <v>78128</v>
      </c>
      <c r="C15476" s="3" t="s">
        <v>54</v>
      </c>
      <c r="D15476" s="3" t="s">
        <v>175</v>
      </c>
      <c r="E15476" s="4" t="s">
        <v>22</v>
      </c>
      <c r="F15476" s="4" t="s">
        <v>78129</v>
      </c>
      <c r="G15476" s="4" t="s">
        <v>78130</v>
      </c>
      <c r="H15476" s="3" t="s">
        <v>77131</v>
      </c>
      <c r="I15476" s="3" t="s">
        <v>78131</v>
      </c>
      <c r="J15476" s="3" t="s">
        <v>78132</v>
      </c>
      <c r="K15476" s="3" t="s">
        <v>78133</v>
      </c>
      <c r="L15476" s="3"/>
      <c r="M15476" s="4"/>
      <c r="N15476" s="3" t="s">
        <v>37</v>
      </c>
      <c r="O15476" s="3" t="s">
        <v>618</v>
      </c>
      <c r="P15476" s="5">
        <v>9</v>
      </c>
      <c r="Q15476" s="5">
        <v>80</v>
      </c>
      <c r="R15476" s="5">
        <v>9</v>
      </c>
      <c r="S15476" s="5">
        <v>88</v>
      </c>
    </row>
    <row r="15477" spans="1:19" ht="42" x14ac:dyDescent="0.15">
      <c r="A15477" s="2">
        <f>HYPERLINK("https://open-school.uspishnemisto.com.ua/school/730201/", 730201)</f>
        <v>730201</v>
      </c>
      <c r="B15477" s="3" t="s">
        <v>78134</v>
      </c>
      <c r="C15477" s="3" t="s">
        <v>54</v>
      </c>
      <c r="D15477" s="3" t="s">
        <v>32</v>
      </c>
      <c r="E15477" s="4" t="s">
        <v>22</v>
      </c>
      <c r="F15477" s="4" t="s">
        <v>78135</v>
      </c>
      <c r="G15477" s="4" t="s">
        <v>78136</v>
      </c>
      <c r="H15477" s="3" t="s">
        <v>77131</v>
      </c>
      <c r="I15477" s="3" t="s">
        <v>78137</v>
      </c>
      <c r="J15477" s="3" t="s">
        <v>1798</v>
      </c>
      <c r="K15477" s="3" t="s">
        <v>78138</v>
      </c>
      <c r="L15477" s="3"/>
      <c r="M15477" s="4"/>
      <c r="N15477" s="3" t="s">
        <v>37</v>
      </c>
      <c r="O15477" s="3" t="s">
        <v>52</v>
      </c>
      <c r="P15477" s="5">
        <v>11</v>
      </c>
      <c r="Q15477" s="5">
        <v>126</v>
      </c>
      <c r="R15477" s="5">
        <v>11</v>
      </c>
      <c r="S15477" s="5">
        <v>134</v>
      </c>
    </row>
    <row r="15478" spans="1:19" ht="56" x14ac:dyDescent="0.15">
      <c r="A15478" s="2">
        <f>HYPERLINK("https://open-school.uspishnemisto.com.ua/school/730202/", 730202)</f>
        <v>730202</v>
      </c>
      <c r="B15478" s="3" t="s">
        <v>78139</v>
      </c>
      <c r="C15478" s="3" t="s">
        <v>54</v>
      </c>
      <c r="D15478" s="3" t="s">
        <v>175</v>
      </c>
      <c r="E15478" s="4" t="s">
        <v>22</v>
      </c>
      <c r="F15478" s="4" t="s">
        <v>78140</v>
      </c>
      <c r="G15478" s="4" t="s">
        <v>78141</v>
      </c>
      <c r="H15478" s="3" t="s">
        <v>77131</v>
      </c>
      <c r="I15478" s="3" t="s">
        <v>78142</v>
      </c>
      <c r="J15478" s="3" t="s">
        <v>78143</v>
      </c>
      <c r="K15478" s="3" t="s">
        <v>78144</v>
      </c>
      <c r="L15478" s="3"/>
      <c r="M15478" s="4"/>
      <c r="N15478" s="3" t="s">
        <v>37</v>
      </c>
      <c r="O15478" s="3" t="s">
        <v>11684</v>
      </c>
      <c r="P15478" s="5">
        <v>7</v>
      </c>
      <c r="Q15478" s="5">
        <v>48</v>
      </c>
      <c r="R15478" s="5">
        <v>6</v>
      </c>
      <c r="S15478" s="5">
        <v>47</v>
      </c>
    </row>
    <row r="15479" spans="1:19" ht="28" x14ac:dyDescent="0.15">
      <c r="A15479" s="2">
        <f>HYPERLINK("https://open-school.uspishnemisto.com.ua/school/730203/", 730203)</f>
        <v>730203</v>
      </c>
      <c r="B15479" s="3" t="s">
        <v>78145</v>
      </c>
      <c r="C15479" s="3" t="s">
        <v>31</v>
      </c>
      <c r="D15479" s="3" t="s">
        <v>175</v>
      </c>
      <c r="E15479" s="4" t="s">
        <v>22</v>
      </c>
      <c r="F15479" s="4" t="s">
        <v>78146</v>
      </c>
      <c r="G15479" s="4" t="s">
        <v>78147</v>
      </c>
      <c r="H15479" s="3" t="s">
        <v>77131</v>
      </c>
      <c r="I15479" s="3" t="s">
        <v>78148</v>
      </c>
      <c r="J15479" s="3" t="s">
        <v>627</v>
      </c>
      <c r="K15479" s="3" t="s">
        <v>78149</v>
      </c>
      <c r="L15479" s="3" t="s">
        <v>78150</v>
      </c>
      <c r="M15479" s="4"/>
      <c r="N15479" s="3" t="s">
        <v>37</v>
      </c>
      <c r="O15479" s="3" t="s">
        <v>52</v>
      </c>
      <c r="P15479" s="5">
        <v>9</v>
      </c>
      <c r="Q15479" s="5">
        <v>101</v>
      </c>
      <c r="R15479" s="5">
        <v>10</v>
      </c>
      <c r="S15479" s="5">
        <v>92</v>
      </c>
    </row>
    <row r="15480" spans="1:19" ht="42" x14ac:dyDescent="0.15">
      <c r="A15480" s="2">
        <f>HYPERLINK("https://open-school.uspishnemisto.com.ua/school/730204/", 730204)</f>
        <v>730204</v>
      </c>
      <c r="B15480" s="3" t="s">
        <v>78151</v>
      </c>
      <c r="C15480" s="3" t="s">
        <v>54</v>
      </c>
      <c r="D15480" s="3" t="s">
        <v>175</v>
      </c>
      <c r="E15480" s="4" t="s">
        <v>22</v>
      </c>
      <c r="F15480" s="4" t="s">
        <v>78152</v>
      </c>
      <c r="G15480" s="4" t="s">
        <v>78153</v>
      </c>
      <c r="H15480" s="3" t="s">
        <v>77131</v>
      </c>
      <c r="I15480" s="3" t="s">
        <v>1656</v>
      </c>
      <c r="J15480" s="3" t="s">
        <v>78154</v>
      </c>
      <c r="K15480" s="3" t="s">
        <v>78155</v>
      </c>
      <c r="L15480" s="3"/>
      <c r="M15480" s="4"/>
      <c r="N15480" s="3" t="s">
        <v>37</v>
      </c>
      <c r="O15480" s="3" t="s">
        <v>2740</v>
      </c>
      <c r="P15480" s="5">
        <v>9</v>
      </c>
      <c r="Q15480" s="5">
        <v>93</v>
      </c>
      <c r="R15480" s="5">
        <v>9</v>
      </c>
      <c r="S15480" s="5">
        <v>99</v>
      </c>
    </row>
    <row r="15481" spans="1:19" ht="42" x14ac:dyDescent="0.15">
      <c r="A15481" s="2">
        <f>HYPERLINK("https://open-school.uspishnemisto.com.ua/school/730205/", 730205)</f>
        <v>730205</v>
      </c>
      <c r="B15481" s="3" t="s">
        <v>78156</v>
      </c>
      <c r="C15481" s="3" t="s">
        <v>54</v>
      </c>
      <c r="D15481" s="3" t="s">
        <v>175</v>
      </c>
      <c r="E15481" s="4" t="s">
        <v>22</v>
      </c>
      <c r="F15481" s="4" t="s">
        <v>78157</v>
      </c>
      <c r="G15481" s="4" t="s">
        <v>78158</v>
      </c>
      <c r="H15481" s="3" t="s">
        <v>77131</v>
      </c>
      <c r="I15481" s="3" t="s">
        <v>816</v>
      </c>
      <c r="J15481" s="3" t="s">
        <v>78159</v>
      </c>
      <c r="K15481" s="3" t="s">
        <v>78160</v>
      </c>
      <c r="L15481" s="3"/>
      <c r="M15481" s="4"/>
      <c r="N15481" s="3" t="s">
        <v>37</v>
      </c>
      <c r="O15481" s="3" t="s">
        <v>52</v>
      </c>
      <c r="P15481" s="5">
        <v>3</v>
      </c>
      <c r="Q15481" s="5">
        <v>37</v>
      </c>
      <c r="R15481" s="5">
        <v>4</v>
      </c>
      <c r="S15481" s="5">
        <v>39</v>
      </c>
    </row>
    <row r="15482" spans="1:19" ht="42" x14ac:dyDescent="0.15">
      <c r="A15482" s="2">
        <f>HYPERLINK("https://open-school.uspishnemisto.com.ua/school/730206/", 730206)</f>
        <v>730206</v>
      </c>
      <c r="B15482" s="3" t="s">
        <v>78161</v>
      </c>
      <c r="C15482" s="3" t="s">
        <v>54</v>
      </c>
      <c r="D15482" s="3" t="s">
        <v>175</v>
      </c>
      <c r="E15482" s="4" t="s">
        <v>22</v>
      </c>
      <c r="F15482" s="4" t="s">
        <v>78162</v>
      </c>
      <c r="G15482" s="4" t="s">
        <v>78163</v>
      </c>
      <c r="H15482" s="3" t="s">
        <v>77131</v>
      </c>
      <c r="I15482" s="3" t="s">
        <v>78164</v>
      </c>
      <c r="J15482" s="3" t="s">
        <v>78165</v>
      </c>
      <c r="K15482" s="3" t="s">
        <v>78166</v>
      </c>
      <c r="L15482" s="3"/>
      <c r="M15482" s="4"/>
      <c r="N15482" s="3" t="s">
        <v>37</v>
      </c>
      <c r="O15482" s="3" t="s">
        <v>52</v>
      </c>
      <c r="P15482" s="5">
        <v>9</v>
      </c>
      <c r="Q15482" s="5">
        <v>87</v>
      </c>
      <c r="R15482" s="5">
        <v>9</v>
      </c>
      <c r="S15482" s="5">
        <v>82</v>
      </c>
    </row>
    <row r="15483" spans="1:19" ht="56" x14ac:dyDescent="0.15">
      <c r="A15483" s="2">
        <f>HYPERLINK("https://open-school.uspishnemisto.com.ua/school/730207/", 730207)</f>
        <v>730207</v>
      </c>
      <c r="B15483" s="3" t="s">
        <v>78167</v>
      </c>
      <c r="C15483" s="3" t="s">
        <v>54</v>
      </c>
      <c r="D15483" s="3" t="s">
        <v>175</v>
      </c>
      <c r="E15483" s="4" t="s">
        <v>22</v>
      </c>
      <c r="F15483" s="4" t="s">
        <v>78168</v>
      </c>
      <c r="G15483" s="4" t="s">
        <v>78169</v>
      </c>
      <c r="H15483" s="3" t="s">
        <v>77131</v>
      </c>
      <c r="I15483" s="3" t="s">
        <v>78170</v>
      </c>
      <c r="J15483" s="3" t="s">
        <v>10823</v>
      </c>
      <c r="K15483" s="3" t="s">
        <v>78171</v>
      </c>
      <c r="L15483" s="3"/>
      <c r="M15483" s="4"/>
      <c r="N15483" s="3" t="s">
        <v>37</v>
      </c>
      <c r="O15483" s="3" t="s">
        <v>52</v>
      </c>
      <c r="P15483" s="5">
        <v>8</v>
      </c>
      <c r="Q15483" s="5">
        <v>67</v>
      </c>
      <c r="R15483" s="5">
        <v>9</v>
      </c>
      <c r="S15483" s="5">
        <v>76</v>
      </c>
    </row>
    <row r="15484" spans="1:19" ht="28" x14ac:dyDescent="0.15">
      <c r="A15484" s="2">
        <f>HYPERLINK("https://open-school.uspishnemisto.com.ua/school/730208/", 730208)</f>
        <v>730208</v>
      </c>
      <c r="B15484" s="3" t="s">
        <v>78172</v>
      </c>
      <c r="C15484" s="3" t="s">
        <v>31</v>
      </c>
      <c r="D15484" s="3" t="s">
        <v>32</v>
      </c>
      <c r="E15484" s="4" t="s">
        <v>22</v>
      </c>
      <c r="F15484" s="4" t="s">
        <v>78173</v>
      </c>
      <c r="G15484" s="4" t="s">
        <v>78174</v>
      </c>
      <c r="H15484" s="3" t="s">
        <v>77131</v>
      </c>
      <c r="I15484" s="3" t="s">
        <v>6431</v>
      </c>
      <c r="J15484" s="3" t="s">
        <v>20571</v>
      </c>
      <c r="K15484" s="3" t="s">
        <v>78175</v>
      </c>
      <c r="L15484" s="3" t="s">
        <v>78176</v>
      </c>
      <c r="M15484" s="4"/>
      <c r="N15484" s="3" t="s">
        <v>37</v>
      </c>
      <c r="O15484" s="3" t="s">
        <v>52</v>
      </c>
      <c r="P15484" s="5">
        <v>11</v>
      </c>
      <c r="Q15484" s="5">
        <v>143</v>
      </c>
      <c r="R15484" s="5">
        <v>11</v>
      </c>
      <c r="S15484" s="5">
        <v>142</v>
      </c>
    </row>
    <row r="15485" spans="1:19" ht="28" x14ac:dyDescent="0.15">
      <c r="A15485" s="2">
        <f>HYPERLINK("https://open-school.uspishnemisto.com.ua/school/730209/", 730209)</f>
        <v>730209</v>
      </c>
      <c r="B15485" s="3" t="s">
        <v>78177</v>
      </c>
      <c r="C15485" s="3" t="s">
        <v>31</v>
      </c>
      <c r="D15485" s="3" t="s">
        <v>32</v>
      </c>
      <c r="E15485" s="4" t="s">
        <v>22</v>
      </c>
      <c r="F15485" s="4" t="s">
        <v>78178</v>
      </c>
      <c r="G15485" s="4" t="s">
        <v>78179</v>
      </c>
      <c r="H15485" s="3" t="s">
        <v>77131</v>
      </c>
      <c r="I15485" s="3" t="s">
        <v>478</v>
      </c>
      <c r="J15485" s="3" t="s">
        <v>39368</v>
      </c>
      <c r="K15485" s="3" t="s">
        <v>78180</v>
      </c>
      <c r="L15485" s="3" t="s">
        <v>78181</v>
      </c>
      <c r="M15485" s="4"/>
      <c r="N15485" s="3" t="s">
        <v>37</v>
      </c>
      <c r="O15485" s="3" t="s">
        <v>52</v>
      </c>
      <c r="P15485" s="5">
        <v>11</v>
      </c>
      <c r="Q15485" s="5">
        <v>203</v>
      </c>
      <c r="R15485" s="5">
        <v>11</v>
      </c>
      <c r="S15485" s="5">
        <v>194</v>
      </c>
    </row>
    <row r="15486" spans="1:19" ht="28" x14ac:dyDescent="0.15">
      <c r="A15486" s="2">
        <f>HYPERLINK("https://open-school.uspishnemisto.com.ua/school/730210/", 730210)</f>
        <v>730210</v>
      </c>
      <c r="B15486" s="3" t="s">
        <v>78182</v>
      </c>
      <c r="C15486" s="3" t="s">
        <v>54</v>
      </c>
      <c r="D15486" s="3" t="s">
        <v>175</v>
      </c>
      <c r="E15486" s="4" t="s">
        <v>22</v>
      </c>
      <c r="F15486" s="4" t="s">
        <v>78183</v>
      </c>
      <c r="G15486" s="4" t="s">
        <v>78184</v>
      </c>
      <c r="H15486" s="3" t="s">
        <v>77131</v>
      </c>
      <c r="I15486" s="3" t="s">
        <v>78185</v>
      </c>
      <c r="J15486" s="3" t="s">
        <v>77667</v>
      </c>
      <c r="K15486" s="3" t="s">
        <v>78186</v>
      </c>
      <c r="L15486" s="3"/>
      <c r="M15486" s="4"/>
      <c r="N15486" s="3" t="s">
        <v>37</v>
      </c>
      <c r="O15486" s="3" t="s">
        <v>618</v>
      </c>
      <c r="P15486" s="5">
        <v>7</v>
      </c>
      <c r="Q15486" s="5">
        <v>56</v>
      </c>
      <c r="R15486" s="5">
        <v>7</v>
      </c>
      <c r="S15486" s="5">
        <v>54</v>
      </c>
    </row>
    <row r="15487" spans="1:19" ht="42" x14ac:dyDescent="0.15">
      <c r="A15487" s="2">
        <f>HYPERLINK("https://open-school.uspishnemisto.com.ua/school/730211/", 730211)</f>
        <v>730211</v>
      </c>
      <c r="B15487" s="3" t="s">
        <v>78187</v>
      </c>
      <c r="C15487" s="3" t="s">
        <v>54</v>
      </c>
      <c r="D15487" s="3" t="s">
        <v>32</v>
      </c>
      <c r="E15487" s="4" t="s">
        <v>22</v>
      </c>
      <c r="F15487" s="4" t="s">
        <v>78188</v>
      </c>
      <c r="G15487" s="4" t="s">
        <v>78189</v>
      </c>
      <c r="H15487" s="3" t="s">
        <v>77131</v>
      </c>
      <c r="I15487" s="3" t="s">
        <v>895</v>
      </c>
      <c r="J15487" s="3" t="s">
        <v>77530</v>
      </c>
      <c r="K15487" s="3"/>
      <c r="L15487" s="3"/>
      <c r="M15487" s="4"/>
      <c r="N15487" s="3" t="s">
        <v>37</v>
      </c>
      <c r="O15487" s="3" t="s">
        <v>46</v>
      </c>
      <c r="P15487" s="5">
        <v>11</v>
      </c>
      <c r="Q15487" s="5">
        <v>145</v>
      </c>
      <c r="R15487" s="5">
        <v>10</v>
      </c>
      <c r="S15487" s="5">
        <v>136</v>
      </c>
    </row>
    <row r="15488" spans="1:19" ht="28" x14ac:dyDescent="0.15">
      <c r="A15488" s="2">
        <f>HYPERLINK("https://open-school.uspishnemisto.com.ua/school/730212/", 730212)</f>
        <v>730212</v>
      </c>
      <c r="B15488" s="3" t="s">
        <v>78190</v>
      </c>
      <c r="C15488" s="3" t="s">
        <v>31</v>
      </c>
      <c r="D15488" s="3" t="s">
        <v>32</v>
      </c>
      <c r="E15488" s="4" t="s">
        <v>22</v>
      </c>
      <c r="F15488" s="4" t="s">
        <v>78191</v>
      </c>
      <c r="G15488" s="4" t="s">
        <v>78192</v>
      </c>
      <c r="H15488" s="3" t="s">
        <v>77131</v>
      </c>
      <c r="I15488" s="3" t="s">
        <v>78193</v>
      </c>
      <c r="J15488" s="3" t="s">
        <v>78194</v>
      </c>
      <c r="K15488" s="3" t="s">
        <v>78195</v>
      </c>
      <c r="L15488" s="3"/>
      <c r="M15488" s="4"/>
      <c r="N15488" s="3" t="s">
        <v>37</v>
      </c>
      <c r="O15488" s="3" t="s">
        <v>46</v>
      </c>
      <c r="P15488" s="5">
        <v>11</v>
      </c>
      <c r="Q15488" s="5">
        <v>171</v>
      </c>
      <c r="R15488" s="5">
        <v>11</v>
      </c>
      <c r="S15488" s="5">
        <v>171</v>
      </c>
    </row>
    <row r="15489" spans="1:19" ht="28" x14ac:dyDescent="0.15">
      <c r="A15489" s="2">
        <f>HYPERLINK("https://open-school.uspishnemisto.com.ua/school/730213/", 730213)</f>
        <v>730213</v>
      </c>
      <c r="B15489" s="3" t="s">
        <v>78196</v>
      </c>
      <c r="C15489" s="3" t="s">
        <v>54</v>
      </c>
      <c r="D15489" s="3" t="s">
        <v>175</v>
      </c>
      <c r="E15489" s="4" t="s">
        <v>22</v>
      </c>
      <c r="F15489" s="4" t="s">
        <v>78197</v>
      </c>
      <c r="G15489" s="4" t="s">
        <v>78198</v>
      </c>
      <c r="H15489" s="3" t="s">
        <v>77131</v>
      </c>
      <c r="I15489" s="3" t="s">
        <v>688</v>
      </c>
      <c r="J15489" s="3" t="s">
        <v>78199</v>
      </c>
      <c r="K15489" s="3" t="s">
        <v>78200</v>
      </c>
      <c r="L15489" s="3"/>
      <c r="M15489" s="4"/>
      <c r="N15489" s="3" t="s">
        <v>37</v>
      </c>
      <c r="O15489" s="3" t="s">
        <v>618</v>
      </c>
      <c r="P15489" s="5">
        <v>2</v>
      </c>
      <c r="Q15489" s="5">
        <v>16</v>
      </c>
      <c r="R15489" s="5">
        <v>2</v>
      </c>
      <c r="S15489" s="5">
        <v>14</v>
      </c>
    </row>
    <row r="15490" spans="1:19" ht="42" x14ac:dyDescent="0.15">
      <c r="A15490" s="2">
        <f>HYPERLINK("https://open-school.uspishnemisto.com.ua/school/730214/", 730214)</f>
        <v>730214</v>
      </c>
      <c r="B15490" s="3" t="s">
        <v>78201</v>
      </c>
      <c r="C15490" s="3" t="s">
        <v>54</v>
      </c>
      <c r="D15490" s="3" t="s">
        <v>32</v>
      </c>
      <c r="E15490" s="4" t="s">
        <v>22</v>
      </c>
      <c r="F15490" s="4" t="s">
        <v>78202</v>
      </c>
      <c r="G15490" s="4" t="s">
        <v>78203</v>
      </c>
      <c r="H15490" s="3" t="s">
        <v>77131</v>
      </c>
      <c r="I15490" s="3" t="s">
        <v>73723</v>
      </c>
      <c r="J15490" s="3" t="s">
        <v>2901</v>
      </c>
      <c r="K15490" s="3" t="s">
        <v>78204</v>
      </c>
      <c r="L15490" s="3"/>
      <c r="M15490" s="4"/>
      <c r="N15490" s="3" t="s">
        <v>37</v>
      </c>
      <c r="O15490" s="3" t="s">
        <v>52</v>
      </c>
      <c r="P15490" s="5">
        <v>10</v>
      </c>
      <c r="Q15490" s="5">
        <v>180</v>
      </c>
      <c r="R15490" s="5">
        <v>11</v>
      </c>
      <c r="S15490" s="5">
        <v>183</v>
      </c>
    </row>
    <row r="15491" spans="1:19" ht="28" x14ac:dyDescent="0.15">
      <c r="A15491" s="2">
        <f>HYPERLINK("https://open-school.uspishnemisto.com.ua/school/730215/", 730215)</f>
        <v>730215</v>
      </c>
      <c r="B15491" s="3" t="s">
        <v>78205</v>
      </c>
      <c r="C15491" s="3" t="s">
        <v>31</v>
      </c>
      <c r="D15491" s="3" t="s">
        <v>175</v>
      </c>
      <c r="E15491" s="4" t="s">
        <v>22</v>
      </c>
      <c r="F15491" s="4" t="s">
        <v>78206</v>
      </c>
      <c r="G15491" s="4" t="s">
        <v>78207</v>
      </c>
      <c r="H15491" s="3" t="s">
        <v>77131</v>
      </c>
      <c r="I15491" s="3" t="s">
        <v>78208</v>
      </c>
      <c r="J15491" s="3" t="s">
        <v>78209</v>
      </c>
      <c r="K15491" s="3" t="s">
        <v>78210</v>
      </c>
      <c r="L15491" s="3" t="s">
        <v>78211</v>
      </c>
      <c r="M15491" s="4"/>
      <c r="N15491" s="3" t="s">
        <v>37</v>
      </c>
      <c r="O15491" s="3" t="s">
        <v>618</v>
      </c>
      <c r="P15491" s="5">
        <v>9</v>
      </c>
      <c r="Q15491" s="5">
        <v>143</v>
      </c>
      <c r="R15491" s="5">
        <v>9</v>
      </c>
      <c r="S15491" s="5">
        <v>133</v>
      </c>
    </row>
    <row r="15492" spans="1:19" ht="56" x14ac:dyDescent="0.15">
      <c r="A15492" s="2">
        <f>HYPERLINK("https://open-school.uspishnemisto.com.ua/school/730216/", 730216)</f>
        <v>730216</v>
      </c>
      <c r="B15492" s="3" t="s">
        <v>78212</v>
      </c>
      <c r="C15492" s="3" t="s">
        <v>54</v>
      </c>
      <c r="D15492" s="3" t="s">
        <v>32</v>
      </c>
      <c r="E15492" s="4" t="s">
        <v>22</v>
      </c>
      <c r="F15492" s="4" t="s">
        <v>78213</v>
      </c>
      <c r="G15492" s="4" t="s">
        <v>78214</v>
      </c>
      <c r="H15492" s="3" t="s">
        <v>77131</v>
      </c>
      <c r="I15492" s="3" t="s">
        <v>78215</v>
      </c>
      <c r="J15492" s="3" t="s">
        <v>1636</v>
      </c>
      <c r="K15492" s="3" t="s">
        <v>78216</v>
      </c>
      <c r="L15492" s="3"/>
      <c r="M15492" s="4"/>
      <c r="N15492" s="3" t="s">
        <v>37</v>
      </c>
      <c r="O15492" s="3" t="s">
        <v>2740</v>
      </c>
      <c r="P15492" s="5">
        <v>11</v>
      </c>
      <c r="Q15492" s="5">
        <v>194</v>
      </c>
      <c r="R15492" s="5">
        <v>11</v>
      </c>
      <c r="S15492" s="5">
        <v>191</v>
      </c>
    </row>
    <row r="15493" spans="1:19" ht="56" x14ac:dyDescent="0.15">
      <c r="A15493" s="2">
        <f>HYPERLINK("https://open-school.uspishnemisto.com.ua/school/730217/", 730217)</f>
        <v>730217</v>
      </c>
      <c r="B15493" s="3" t="s">
        <v>78217</v>
      </c>
      <c r="C15493" s="3" t="s">
        <v>54</v>
      </c>
      <c r="D15493" s="3" t="s">
        <v>32</v>
      </c>
      <c r="E15493" s="4" t="s">
        <v>22</v>
      </c>
      <c r="F15493" s="4" t="s">
        <v>78218</v>
      </c>
      <c r="G15493" s="4" t="s">
        <v>78219</v>
      </c>
      <c r="H15493" s="3" t="s">
        <v>77131</v>
      </c>
      <c r="I15493" s="3" t="s">
        <v>2296</v>
      </c>
      <c r="J15493" s="3" t="s">
        <v>77327</v>
      </c>
      <c r="K15493" s="3" t="s">
        <v>78220</v>
      </c>
      <c r="L15493" s="3" t="s">
        <v>78221</v>
      </c>
      <c r="M15493" s="4"/>
      <c r="N15493" s="3" t="s">
        <v>37</v>
      </c>
      <c r="O15493" s="3" t="s">
        <v>2740</v>
      </c>
      <c r="P15493" s="5">
        <v>11</v>
      </c>
      <c r="Q15493" s="5">
        <v>160</v>
      </c>
      <c r="R15493" s="5">
        <v>11</v>
      </c>
      <c r="S15493" s="5">
        <v>163</v>
      </c>
    </row>
    <row r="15494" spans="1:19" ht="56" x14ac:dyDescent="0.15">
      <c r="A15494" s="2">
        <f>HYPERLINK("https://open-school.uspishnemisto.com.ua/school/730218/", 730218)</f>
        <v>730218</v>
      </c>
      <c r="B15494" s="3" t="s">
        <v>78222</v>
      </c>
      <c r="C15494" s="3" t="s">
        <v>54</v>
      </c>
      <c r="D15494" s="3" t="s">
        <v>175</v>
      </c>
      <c r="E15494" s="4" t="s">
        <v>22</v>
      </c>
      <c r="F15494" s="4" t="s">
        <v>78197</v>
      </c>
      <c r="G15494" s="4" t="s">
        <v>78223</v>
      </c>
      <c r="H15494" s="3" t="s">
        <v>77131</v>
      </c>
      <c r="I15494" s="3" t="s">
        <v>78224</v>
      </c>
      <c r="J15494" s="3" t="s">
        <v>952</v>
      </c>
      <c r="K15494" s="3" t="s">
        <v>78225</v>
      </c>
      <c r="L15494" s="3"/>
      <c r="M15494" s="4"/>
      <c r="N15494" s="3" t="s">
        <v>37</v>
      </c>
      <c r="O15494" s="3" t="s">
        <v>618</v>
      </c>
      <c r="P15494" s="5">
        <v>5</v>
      </c>
      <c r="Q15494" s="5">
        <v>42</v>
      </c>
      <c r="R15494" s="5">
        <v>6</v>
      </c>
      <c r="S15494" s="5">
        <v>44</v>
      </c>
    </row>
    <row r="15495" spans="1:19" ht="56" x14ac:dyDescent="0.15">
      <c r="A15495" s="2">
        <f>HYPERLINK("https://open-school.uspishnemisto.com.ua/school/730219/", 730219)</f>
        <v>730219</v>
      </c>
      <c r="B15495" s="3" t="s">
        <v>78226</v>
      </c>
      <c r="C15495" s="3" t="s">
        <v>54</v>
      </c>
      <c r="D15495" s="3" t="s">
        <v>32</v>
      </c>
      <c r="E15495" s="4" t="s">
        <v>22</v>
      </c>
      <c r="F15495" s="4"/>
      <c r="G15495" s="4" t="s">
        <v>78227</v>
      </c>
      <c r="H15495" s="3" t="s">
        <v>77131</v>
      </c>
      <c r="I15495" s="3" t="s">
        <v>78228</v>
      </c>
      <c r="J15495" s="3" t="s">
        <v>4537</v>
      </c>
      <c r="K15495" s="3" t="s">
        <v>78229</v>
      </c>
      <c r="L15495" s="3"/>
      <c r="M15495" s="4"/>
      <c r="N15495" s="3" t="s">
        <v>37</v>
      </c>
      <c r="O15495" s="3" t="s">
        <v>46</v>
      </c>
      <c r="P15495" s="5">
        <v>8</v>
      </c>
      <c r="Q15495" s="5">
        <v>81</v>
      </c>
      <c r="R15495" s="5">
        <v>11</v>
      </c>
      <c r="S15495" s="5">
        <v>99</v>
      </c>
    </row>
    <row r="15496" spans="1:19" ht="28" x14ac:dyDescent="0.15">
      <c r="A15496" s="2">
        <f>HYPERLINK("https://open-school.uspishnemisto.com.ua/school/730220/", 730220)</f>
        <v>730220</v>
      </c>
      <c r="B15496" s="3" t="s">
        <v>78230</v>
      </c>
      <c r="C15496" s="3" t="s">
        <v>31</v>
      </c>
      <c r="D15496" s="3" t="s">
        <v>32</v>
      </c>
      <c r="E15496" s="4" t="s">
        <v>22</v>
      </c>
      <c r="F15496" s="4" t="s">
        <v>78231</v>
      </c>
      <c r="G15496" s="4" t="s">
        <v>78232</v>
      </c>
      <c r="H15496" s="3" t="s">
        <v>77131</v>
      </c>
      <c r="I15496" s="3" t="s">
        <v>78233</v>
      </c>
      <c r="J15496" s="3" t="s">
        <v>78234</v>
      </c>
      <c r="K15496" s="3" t="s">
        <v>78235</v>
      </c>
      <c r="L15496" s="3"/>
      <c r="M15496" s="4"/>
      <c r="N15496" s="3" t="s">
        <v>37</v>
      </c>
      <c r="O15496" s="3" t="s">
        <v>11684</v>
      </c>
      <c r="P15496" s="5">
        <v>11</v>
      </c>
      <c r="Q15496" s="5">
        <v>168</v>
      </c>
      <c r="R15496" s="5">
        <v>11</v>
      </c>
      <c r="S15496" s="5">
        <v>171</v>
      </c>
    </row>
    <row r="15497" spans="1:19" ht="56" x14ac:dyDescent="0.15">
      <c r="A15497" s="2">
        <f>HYPERLINK("https://open-school.uspishnemisto.com.ua/school/730221/", 730221)</f>
        <v>730221</v>
      </c>
      <c r="B15497" s="3" t="s">
        <v>78236</v>
      </c>
      <c r="C15497" s="3" t="s">
        <v>54</v>
      </c>
      <c r="D15497" s="3" t="s">
        <v>32</v>
      </c>
      <c r="E15497" s="4" t="s">
        <v>22</v>
      </c>
      <c r="F15497" s="4" t="s">
        <v>78237</v>
      </c>
      <c r="G15497" s="4" t="s">
        <v>78238</v>
      </c>
      <c r="H15497" s="3" t="s">
        <v>77131</v>
      </c>
      <c r="I15497" s="3" t="s">
        <v>78239</v>
      </c>
      <c r="J15497" s="3" t="s">
        <v>6899</v>
      </c>
      <c r="K15497" s="3" t="s">
        <v>78240</v>
      </c>
      <c r="L15497" s="3"/>
      <c r="M15497" s="4"/>
      <c r="N15497" s="3" t="s">
        <v>37</v>
      </c>
      <c r="O15497" s="3" t="s">
        <v>46</v>
      </c>
      <c r="P15497" s="5">
        <v>11</v>
      </c>
      <c r="Q15497" s="5">
        <v>122</v>
      </c>
      <c r="R15497" s="5">
        <v>11</v>
      </c>
      <c r="S15497" s="5">
        <v>120</v>
      </c>
    </row>
    <row r="15498" spans="1:19" ht="28" x14ac:dyDescent="0.15">
      <c r="A15498" s="2">
        <f>HYPERLINK("https://open-school.uspishnemisto.com.ua/school/730222/", 730222)</f>
        <v>730222</v>
      </c>
      <c r="B15498" s="3" t="s">
        <v>78241</v>
      </c>
      <c r="C15498" s="3" t="s">
        <v>40</v>
      </c>
      <c r="D15498" s="3" t="s">
        <v>32</v>
      </c>
      <c r="E15498" s="4" t="s">
        <v>22</v>
      </c>
      <c r="F15498" s="4" t="s">
        <v>78242</v>
      </c>
      <c r="G15498" s="4" t="s">
        <v>78243</v>
      </c>
      <c r="H15498" s="3" t="s">
        <v>77131</v>
      </c>
      <c r="I15498" s="3" t="s">
        <v>78244</v>
      </c>
      <c r="J15498" s="3" t="s">
        <v>40428</v>
      </c>
      <c r="K15498" s="3" t="s">
        <v>78245</v>
      </c>
      <c r="L15498" s="3"/>
      <c r="M15498" s="4"/>
      <c r="N15498" s="3" t="s">
        <v>37</v>
      </c>
      <c r="O15498" s="3" t="s">
        <v>46</v>
      </c>
      <c r="P15498" s="5">
        <v>8</v>
      </c>
      <c r="Q15498" s="5">
        <v>165</v>
      </c>
      <c r="R15498" s="5">
        <v>9</v>
      </c>
      <c r="S15498" s="5">
        <v>167</v>
      </c>
    </row>
    <row r="15499" spans="1:19" ht="56" x14ac:dyDescent="0.15">
      <c r="A15499" s="2">
        <f>HYPERLINK("https://open-school.uspishnemisto.com.ua/school/730223/", 730223)</f>
        <v>730223</v>
      </c>
      <c r="B15499" s="3" t="s">
        <v>78246</v>
      </c>
      <c r="C15499" s="3" t="s">
        <v>31</v>
      </c>
      <c r="D15499" s="3" t="s">
        <v>32</v>
      </c>
      <c r="E15499" s="4" t="s">
        <v>22</v>
      </c>
      <c r="F15499" s="4" t="s">
        <v>78242</v>
      </c>
      <c r="G15499" s="4" t="s">
        <v>78243</v>
      </c>
      <c r="H15499" s="3" t="s">
        <v>77131</v>
      </c>
      <c r="I15499" s="3" t="s">
        <v>78244</v>
      </c>
      <c r="J15499" s="3" t="s">
        <v>78247</v>
      </c>
      <c r="K15499" s="3" t="s">
        <v>78248</v>
      </c>
      <c r="L15499" s="3"/>
      <c r="M15499" s="4"/>
      <c r="N15499" s="3" t="s">
        <v>37</v>
      </c>
      <c r="O15499" s="3" t="s">
        <v>2740</v>
      </c>
      <c r="P15499" s="5">
        <v>26</v>
      </c>
      <c r="Q15499" s="5">
        <v>664</v>
      </c>
      <c r="R15499" s="5">
        <v>26</v>
      </c>
      <c r="S15499" s="5">
        <v>647</v>
      </c>
    </row>
    <row r="15500" spans="1:19" ht="28" x14ac:dyDescent="0.15">
      <c r="A15500" s="2">
        <f>HYPERLINK("https://open-school.uspishnemisto.com.ua/school/730224/", 730224)</f>
        <v>730224</v>
      </c>
      <c r="B15500" s="3" t="s">
        <v>78249</v>
      </c>
      <c r="C15500" s="3" t="s">
        <v>54</v>
      </c>
      <c r="D15500" s="3" t="s">
        <v>60</v>
      </c>
      <c r="E15500" s="4" t="s">
        <v>22</v>
      </c>
      <c r="F15500" s="4" t="s">
        <v>78242</v>
      </c>
      <c r="G15500" s="4" t="s">
        <v>78243</v>
      </c>
      <c r="H15500" s="3" t="s">
        <v>77131</v>
      </c>
      <c r="I15500" s="3" t="s">
        <v>78244</v>
      </c>
      <c r="J15500" s="3" t="s">
        <v>3896</v>
      </c>
      <c r="K15500" s="3" t="s">
        <v>39428</v>
      </c>
      <c r="L15500" s="3"/>
      <c r="M15500" s="4"/>
      <c r="N15500" s="3" t="s">
        <v>37</v>
      </c>
      <c r="O15500" s="3" t="s">
        <v>52</v>
      </c>
      <c r="P15500" s="5">
        <v>8</v>
      </c>
      <c r="Q15500" s="5">
        <v>182</v>
      </c>
      <c r="R15500" s="5">
        <v>8</v>
      </c>
      <c r="S15500" s="5">
        <v>176</v>
      </c>
    </row>
    <row r="15501" spans="1:19" ht="28" x14ac:dyDescent="0.15">
      <c r="A15501" s="2">
        <f>HYPERLINK("https://open-school.uspishnemisto.com.ua/school/730225/", 730225)</f>
        <v>730225</v>
      </c>
      <c r="B15501" s="3" t="s">
        <v>78250</v>
      </c>
      <c r="C15501" s="3" t="s">
        <v>31</v>
      </c>
      <c r="D15501" s="3" t="s">
        <v>32</v>
      </c>
      <c r="E15501" s="4" t="s">
        <v>22</v>
      </c>
      <c r="F15501" s="4" t="s">
        <v>78251</v>
      </c>
      <c r="G15501" s="4" t="s">
        <v>78252</v>
      </c>
      <c r="H15501" s="3" t="s">
        <v>77131</v>
      </c>
      <c r="I15501" s="3" t="s">
        <v>78253</v>
      </c>
      <c r="J15501" s="3" t="s">
        <v>78254</v>
      </c>
      <c r="K15501" s="3" t="s">
        <v>78255</v>
      </c>
      <c r="L15501" s="3"/>
      <c r="M15501" s="4"/>
      <c r="N15501" s="3" t="s">
        <v>37</v>
      </c>
      <c r="O15501" s="3" t="s">
        <v>46</v>
      </c>
      <c r="P15501" s="5">
        <v>20</v>
      </c>
      <c r="Q15501" s="5">
        <v>456</v>
      </c>
      <c r="R15501" s="5">
        <v>20</v>
      </c>
      <c r="S15501" s="5">
        <v>436</v>
      </c>
    </row>
    <row r="15502" spans="1:19" ht="28" x14ac:dyDescent="0.15">
      <c r="A15502" s="2">
        <f>HYPERLINK("https://open-school.uspishnemisto.com.ua/school/730226/", 730226)</f>
        <v>730226</v>
      </c>
      <c r="B15502" s="3" t="s">
        <v>78256</v>
      </c>
      <c r="C15502" s="3" t="s">
        <v>31</v>
      </c>
      <c r="D15502" s="3" t="s">
        <v>32</v>
      </c>
      <c r="E15502" s="4" t="s">
        <v>22</v>
      </c>
      <c r="F15502" s="4" t="s">
        <v>78257</v>
      </c>
      <c r="G15502" s="4" t="s">
        <v>78258</v>
      </c>
      <c r="H15502" s="3" t="s">
        <v>77131</v>
      </c>
      <c r="I15502" s="3" t="s">
        <v>78259</v>
      </c>
      <c r="J15502" s="3" t="s">
        <v>30417</v>
      </c>
      <c r="K15502" s="3" t="s">
        <v>56994</v>
      </c>
      <c r="L15502" s="3"/>
      <c r="M15502" s="4"/>
      <c r="N15502" s="3" t="s">
        <v>37</v>
      </c>
      <c r="O15502" s="3" t="s">
        <v>52</v>
      </c>
      <c r="P15502" s="5">
        <v>20</v>
      </c>
      <c r="Q15502" s="5">
        <v>366</v>
      </c>
      <c r="R15502" s="5">
        <v>19</v>
      </c>
      <c r="S15502" s="5">
        <v>345</v>
      </c>
    </row>
    <row r="15503" spans="1:19" ht="28" x14ac:dyDescent="0.15">
      <c r="A15503" s="2">
        <f>HYPERLINK("https://open-school.uspishnemisto.com.ua/school/730227/", 730227)</f>
        <v>730227</v>
      </c>
      <c r="B15503" s="3" t="s">
        <v>78260</v>
      </c>
      <c r="C15503" s="3" t="s">
        <v>31</v>
      </c>
      <c r="D15503" s="3" t="s">
        <v>32</v>
      </c>
      <c r="E15503" s="4" t="s">
        <v>22</v>
      </c>
      <c r="F15503" s="4" t="s">
        <v>78261</v>
      </c>
      <c r="G15503" s="4" t="s">
        <v>78262</v>
      </c>
      <c r="H15503" s="3" t="s">
        <v>77131</v>
      </c>
      <c r="I15503" s="3" t="s">
        <v>78263</v>
      </c>
      <c r="J15503" s="3" t="s">
        <v>27456</v>
      </c>
      <c r="K15503" s="3" t="s">
        <v>78264</v>
      </c>
      <c r="L15503" s="3"/>
      <c r="M15503" s="4"/>
      <c r="N15503" s="3" t="s">
        <v>37</v>
      </c>
      <c r="O15503" s="3" t="s">
        <v>52</v>
      </c>
      <c r="P15503" s="5">
        <v>11</v>
      </c>
      <c r="Q15503" s="5">
        <v>195</v>
      </c>
      <c r="R15503" s="5">
        <v>12</v>
      </c>
      <c r="S15503" s="5">
        <v>202</v>
      </c>
    </row>
    <row r="15504" spans="1:19" ht="28" x14ac:dyDescent="0.15">
      <c r="A15504" s="2">
        <f>HYPERLINK("https://open-school.uspishnemisto.com.ua/school/730228/", 730228)</f>
        <v>730228</v>
      </c>
      <c r="B15504" s="3" t="s">
        <v>78265</v>
      </c>
      <c r="C15504" s="3" t="s">
        <v>54</v>
      </c>
      <c r="D15504" s="3" t="s">
        <v>60</v>
      </c>
      <c r="E15504" s="4" t="s">
        <v>22</v>
      </c>
      <c r="F15504" s="4" t="s">
        <v>78266</v>
      </c>
      <c r="G15504" s="4" t="s">
        <v>78267</v>
      </c>
      <c r="H15504" s="3" t="s">
        <v>77131</v>
      </c>
      <c r="I15504" s="3" t="s">
        <v>2144</v>
      </c>
      <c r="J15504" s="3" t="s">
        <v>6177</v>
      </c>
      <c r="K15504" s="3" t="s">
        <v>78268</v>
      </c>
      <c r="L15504" s="3"/>
      <c r="M15504" s="4"/>
      <c r="N15504" s="3" t="s">
        <v>37</v>
      </c>
      <c r="O15504" s="3" t="s">
        <v>52</v>
      </c>
      <c r="P15504" s="5">
        <v>3</v>
      </c>
      <c r="Q15504" s="5">
        <v>21</v>
      </c>
      <c r="R15504" s="5">
        <v>2</v>
      </c>
      <c r="S15504" s="5">
        <v>17</v>
      </c>
    </row>
    <row r="15505" spans="1:19" ht="28" x14ac:dyDescent="0.15">
      <c r="A15505" s="2">
        <f>HYPERLINK("https://open-school.uspishnemisto.com.ua/school/730229/", 730229)</f>
        <v>730229</v>
      </c>
      <c r="B15505" s="3" t="s">
        <v>78269</v>
      </c>
      <c r="C15505" s="3" t="s">
        <v>31</v>
      </c>
      <c r="D15505" s="3" t="s">
        <v>32</v>
      </c>
      <c r="E15505" s="4" t="s">
        <v>22</v>
      </c>
      <c r="F15505" s="4" t="s">
        <v>78270</v>
      </c>
      <c r="G15505" s="4" t="s">
        <v>78271</v>
      </c>
      <c r="H15505" s="3" t="s">
        <v>77131</v>
      </c>
      <c r="I15505" s="3" t="s">
        <v>78272</v>
      </c>
      <c r="J15505" s="3" t="s">
        <v>1636</v>
      </c>
      <c r="K15505" s="3" t="s">
        <v>78273</v>
      </c>
      <c r="L15505" s="3"/>
      <c r="M15505" s="4"/>
      <c r="N15505" s="3" t="s">
        <v>37</v>
      </c>
      <c r="O15505" s="3" t="s">
        <v>46</v>
      </c>
      <c r="P15505" s="5">
        <v>0</v>
      </c>
      <c r="Q15505" s="5">
        <v>0</v>
      </c>
      <c r="R15505" s="5">
        <v>10</v>
      </c>
      <c r="S15505" s="5">
        <v>143</v>
      </c>
    </row>
    <row r="15506" spans="1:19" ht="28" x14ac:dyDescent="0.15">
      <c r="A15506" s="2">
        <f>HYPERLINK("https://open-school.uspishnemisto.com.ua/school/730230/", 730230)</f>
        <v>730230</v>
      </c>
      <c r="B15506" s="3" t="s">
        <v>78274</v>
      </c>
      <c r="C15506" s="3" t="s">
        <v>31</v>
      </c>
      <c r="D15506" s="3" t="s">
        <v>32</v>
      </c>
      <c r="E15506" s="4" t="s">
        <v>22</v>
      </c>
      <c r="F15506" s="4" t="s">
        <v>78275</v>
      </c>
      <c r="G15506" s="4" t="s">
        <v>78276</v>
      </c>
      <c r="H15506" s="3" t="s">
        <v>77131</v>
      </c>
      <c r="I15506" s="3" t="s">
        <v>78277</v>
      </c>
      <c r="J15506" s="3" t="s">
        <v>78278</v>
      </c>
      <c r="K15506" s="3" t="s">
        <v>78279</v>
      </c>
      <c r="L15506" s="3" t="s">
        <v>78280</v>
      </c>
      <c r="M15506" s="4"/>
      <c r="N15506" s="3" t="s">
        <v>37</v>
      </c>
      <c r="O15506" s="3" t="s">
        <v>52</v>
      </c>
      <c r="P15506" s="5">
        <v>16</v>
      </c>
      <c r="Q15506" s="5">
        <v>312</v>
      </c>
      <c r="R15506" s="5">
        <v>15</v>
      </c>
      <c r="S15506" s="5">
        <v>319</v>
      </c>
    </row>
    <row r="15507" spans="1:19" ht="28" x14ac:dyDescent="0.15">
      <c r="A15507" s="2">
        <f>HYPERLINK("https://open-school.uspishnemisto.com.ua/school/730231/", 730231)</f>
        <v>730231</v>
      </c>
      <c r="B15507" s="3" t="s">
        <v>78281</v>
      </c>
      <c r="C15507" s="3" t="s">
        <v>54</v>
      </c>
      <c r="D15507" s="3" t="s">
        <v>60</v>
      </c>
      <c r="E15507" s="4" t="s">
        <v>22</v>
      </c>
      <c r="F15507" s="4" t="s">
        <v>78275</v>
      </c>
      <c r="G15507" s="4" t="s">
        <v>78282</v>
      </c>
      <c r="H15507" s="3" t="s">
        <v>77131</v>
      </c>
      <c r="I15507" s="3" t="s">
        <v>7089</v>
      </c>
      <c r="J15507" s="3" t="s">
        <v>78283</v>
      </c>
      <c r="K15507" s="3" t="s">
        <v>78284</v>
      </c>
      <c r="L15507" s="3"/>
      <c r="M15507" s="4"/>
      <c r="N15507" s="3" t="s">
        <v>37</v>
      </c>
      <c r="O15507" s="3" t="s">
        <v>52</v>
      </c>
      <c r="P15507" s="5">
        <v>2</v>
      </c>
      <c r="Q15507" s="5">
        <v>15</v>
      </c>
      <c r="R15507" s="5">
        <v>3</v>
      </c>
      <c r="S15507" s="5">
        <v>19</v>
      </c>
    </row>
    <row r="15508" spans="1:19" ht="28" x14ac:dyDescent="0.15">
      <c r="A15508" s="2">
        <f>HYPERLINK("https://open-school.uspishnemisto.com.ua/school/730232/", 730232)</f>
        <v>730232</v>
      </c>
      <c r="B15508" s="3" t="s">
        <v>78285</v>
      </c>
      <c r="C15508" s="3" t="s">
        <v>31</v>
      </c>
      <c r="D15508" s="3" t="s">
        <v>175</v>
      </c>
      <c r="E15508" s="4" t="s">
        <v>22</v>
      </c>
      <c r="F15508" s="4" t="s">
        <v>78286</v>
      </c>
      <c r="G15508" s="4" t="s">
        <v>78287</v>
      </c>
      <c r="H15508" s="3" t="s">
        <v>77131</v>
      </c>
      <c r="I15508" s="3" t="s">
        <v>29403</v>
      </c>
      <c r="J15508" s="3" t="s">
        <v>78288</v>
      </c>
      <c r="K15508" s="3" t="s">
        <v>78289</v>
      </c>
      <c r="L15508" s="3"/>
      <c r="M15508" s="4"/>
      <c r="N15508" s="3" t="s">
        <v>37</v>
      </c>
      <c r="O15508" s="3" t="s">
        <v>52</v>
      </c>
      <c r="P15508" s="5">
        <v>9</v>
      </c>
      <c r="Q15508" s="5">
        <v>110</v>
      </c>
      <c r="R15508" s="5">
        <v>10</v>
      </c>
      <c r="S15508" s="5">
        <v>104</v>
      </c>
    </row>
    <row r="15509" spans="1:19" ht="42" x14ac:dyDescent="0.15">
      <c r="A15509" s="2">
        <f>HYPERLINK("https://open-school.uspishnemisto.com.ua/school/730233/", 730233)</f>
        <v>730233</v>
      </c>
      <c r="B15509" s="3" t="s">
        <v>78290</v>
      </c>
      <c r="C15509" s="3" t="s">
        <v>31</v>
      </c>
      <c r="D15509" s="3" t="s">
        <v>60</v>
      </c>
      <c r="E15509" s="4" t="s">
        <v>22</v>
      </c>
      <c r="F15509" s="4" t="s">
        <v>78291</v>
      </c>
      <c r="G15509" s="4" t="s">
        <v>78292</v>
      </c>
      <c r="H15509" s="3" t="s">
        <v>77131</v>
      </c>
      <c r="I15509" s="3" t="s">
        <v>78293</v>
      </c>
      <c r="J15509" s="3" t="s">
        <v>1360</v>
      </c>
      <c r="K15509" s="3" t="s">
        <v>78294</v>
      </c>
      <c r="L15509" s="3"/>
      <c r="M15509" s="4"/>
      <c r="N15509" s="3" t="s">
        <v>37</v>
      </c>
      <c r="O15509" s="3" t="s">
        <v>52</v>
      </c>
      <c r="P15509" s="5">
        <v>3</v>
      </c>
      <c r="Q15509" s="5">
        <v>31</v>
      </c>
      <c r="R15509" s="5">
        <v>3</v>
      </c>
      <c r="S15509" s="5">
        <v>26</v>
      </c>
    </row>
    <row r="15510" spans="1:19" ht="42" x14ac:dyDescent="0.15">
      <c r="A15510" s="2">
        <f>HYPERLINK("https://open-school.uspishnemisto.com.ua/school/730234/", 730234)</f>
        <v>730234</v>
      </c>
      <c r="B15510" s="3" t="s">
        <v>78295</v>
      </c>
      <c r="C15510" s="3" t="s">
        <v>31</v>
      </c>
      <c r="D15510" s="3" t="s">
        <v>60</v>
      </c>
      <c r="E15510" s="4" t="s">
        <v>22</v>
      </c>
      <c r="F15510" s="4" t="s">
        <v>78296</v>
      </c>
      <c r="G15510" s="4" t="s">
        <v>78297</v>
      </c>
      <c r="H15510" s="3" t="s">
        <v>77131</v>
      </c>
      <c r="I15510" s="3" t="s">
        <v>78298</v>
      </c>
      <c r="J15510" s="3" t="s">
        <v>43317</v>
      </c>
      <c r="K15510" s="3" t="s">
        <v>78299</v>
      </c>
      <c r="L15510" s="3"/>
      <c r="M15510" s="4"/>
      <c r="N15510" s="3" t="s">
        <v>37</v>
      </c>
      <c r="O15510" s="3" t="s">
        <v>52</v>
      </c>
      <c r="P15510" s="5">
        <v>2</v>
      </c>
      <c r="Q15510" s="5">
        <v>18</v>
      </c>
      <c r="R15510" s="5">
        <v>2</v>
      </c>
      <c r="S15510" s="5">
        <v>18</v>
      </c>
    </row>
    <row r="15511" spans="1:19" ht="28" x14ac:dyDescent="0.15">
      <c r="A15511" s="2">
        <f>HYPERLINK("https://open-school.uspishnemisto.com.ua/school/730235/", 730235)</f>
        <v>730235</v>
      </c>
      <c r="B15511" s="3" t="s">
        <v>78300</v>
      </c>
      <c r="C15511" s="3" t="s">
        <v>31</v>
      </c>
      <c r="D15511" s="3" t="s">
        <v>175</v>
      </c>
      <c r="E15511" s="4" t="s">
        <v>22</v>
      </c>
      <c r="F15511" s="4" t="s">
        <v>78301</v>
      </c>
      <c r="G15511" s="4" t="s">
        <v>78302</v>
      </c>
      <c r="H15511" s="3" t="s">
        <v>77131</v>
      </c>
      <c r="I15511" s="3" t="s">
        <v>74424</v>
      </c>
      <c r="J15511" s="3" t="s">
        <v>78303</v>
      </c>
      <c r="K15511" s="3" t="s">
        <v>78304</v>
      </c>
      <c r="L15511" s="3"/>
      <c r="M15511" s="4"/>
      <c r="N15511" s="3" t="s">
        <v>37</v>
      </c>
      <c r="O15511" s="3" t="s">
        <v>52</v>
      </c>
      <c r="P15511" s="5">
        <v>9</v>
      </c>
      <c r="Q15511" s="5">
        <v>121</v>
      </c>
      <c r="R15511" s="5">
        <v>9</v>
      </c>
      <c r="S15511" s="5">
        <v>115</v>
      </c>
    </row>
    <row r="15512" spans="1:19" ht="28" x14ac:dyDescent="0.15">
      <c r="A15512" s="2">
        <f>HYPERLINK("https://open-school.uspishnemisto.com.ua/school/730236/", 730236)</f>
        <v>730236</v>
      </c>
      <c r="B15512" s="3" t="s">
        <v>78305</v>
      </c>
      <c r="C15512" s="3" t="s">
        <v>31</v>
      </c>
      <c r="D15512" s="3" t="s">
        <v>32</v>
      </c>
      <c r="E15512" s="4" t="s">
        <v>22</v>
      </c>
      <c r="F15512" s="4" t="s">
        <v>78306</v>
      </c>
      <c r="G15512" s="4" t="s">
        <v>78307</v>
      </c>
      <c r="H15512" s="3" t="s">
        <v>77131</v>
      </c>
      <c r="I15512" s="3" t="s">
        <v>78308</v>
      </c>
      <c r="J15512" s="3" t="s">
        <v>3775</v>
      </c>
      <c r="K15512" s="3" t="s">
        <v>78309</v>
      </c>
      <c r="L15512" s="3"/>
      <c r="M15512" s="4"/>
      <c r="N15512" s="3" t="s">
        <v>37</v>
      </c>
      <c r="O15512" s="3" t="s">
        <v>46</v>
      </c>
      <c r="P15512" s="5">
        <v>11</v>
      </c>
      <c r="Q15512" s="5">
        <v>163</v>
      </c>
      <c r="R15512" s="5">
        <v>11</v>
      </c>
      <c r="S15512" s="5">
        <v>158</v>
      </c>
    </row>
    <row r="15513" spans="1:19" ht="28" x14ac:dyDescent="0.15">
      <c r="A15513" s="2">
        <f>HYPERLINK("https://open-school.uspishnemisto.com.ua/school/730237/", 730237)</f>
        <v>730237</v>
      </c>
      <c r="B15513" s="3" t="s">
        <v>78310</v>
      </c>
      <c r="C15513" s="3" t="s">
        <v>31</v>
      </c>
      <c r="D15513" s="3" t="s">
        <v>175</v>
      </c>
      <c r="E15513" s="4" t="s">
        <v>22</v>
      </c>
      <c r="F15513" s="4" t="s">
        <v>78311</v>
      </c>
      <c r="G15513" s="4" t="s">
        <v>78312</v>
      </c>
      <c r="H15513" s="3" t="s">
        <v>77131</v>
      </c>
      <c r="I15513" s="3" t="s">
        <v>78313</v>
      </c>
      <c r="J15513" s="3" t="s">
        <v>78314</v>
      </c>
      <c r="K15513" s="3" t="s">
        <v>78315</v>
      </c>
      <c r="L15513" s="3"/>
      <c r="M15513" s="4"/>
      <c r="N15513" s="3" t="s">
        <v>37</v>
      </c>
      <c r="O15513" s="3" t="s">
        <v>46</v>
      </c>
      <c r="P15513" s="5">
        <v>9</v>
      </c>
      <c r="Q15513" s="5">
        <v>141</v>
      </c>
      <c r="R15513" s="5">
        <v>9</v>
      </c>
      <c r="S15513" s="5">
        <v>142</v>
      </c>
    </row>
    <row r="15514" spans="1:19" ht="28" x14ac:dyDescent="0.15">
      <c r="A15514" s="2">
        <f>HYPERLINK("https://open-school.uspishnemisto.com.ua/school/730238/", 730238)</f>
        <v>730238</v>
      </c>
      <c r="B15514" s="3" t="s">
        <v>78316</v>
      </c>
      <c r="C15514" s="3" t="s">
        <v>31</v>
      </c>
      <c r="D15514" s="3" t="s">
        <v>175</v>
      </c>
      <c r="E15514" s="4" t="s">
        <v>22</v>
      </c>
      <c r="F15514" s="4" t="s">
        <v>78317</v>
      </c>
      <c r="G15514" s="4" t="s">
        <v>78318</v>
      </c>
      <c r="H15514" s="3" t="s">
        <v>77131</v>
      </c>
      <c r="I15514" s="3" t="s">
        <v>78319</v>
      </c>
      <c r="J15514" s="3" t="s">
        <v>554</v>
      </c>
      <c r="K15514" s="3" t="s">
        <v>78320</v>
      </c>
      <c r="L15514" s="3"/>
      <c r="M15514" s="4"/>
      <c r="N15514" s="3" t="s">
        <v>37</v>
      </c>
      <c r="O15514" s="3" t="s">
        <v>46</v>
      </c>
      <c r="P15514" s="5">
        <v>9</v>
      </c>
      <c r="Q15514" s="5">
        <v>115</v>
      </c>
      <c r="R15514" s="5">
        <v>9</v>
      </c>
      <c r="S15514" s="5">
        <v>117</v>
      </c>
    </row>
    <row r="15515" spans="1:19" ht="28" x14ac:dyDescent="0.15">
      <c r="A15515" s="2">
        <f>HYPERLINK("https://open-school.uspishnemisto.com.ua/school/730239/", 730239)</f>
        <v>730239</v>
      </c>
      <c r="B15515" s="3" t="s">
        <v>78321</v>
      </c>
      <c r="C15515" s="3" t="s">
        <v>31</v>
      </c>
      <c r="D15515" s="3" t="s">
        <v>32</v>
      </c>
      <c r="E15515" s="4" t="s">
        <v>22</v>
      </c>
      <c r="F15515" s="4" t="s">
        <v>78322</v>
      </c>
      <c r="G15515" s="4" t="s">
        <v>78323</v>
      </c>
      <c r="H15515" s="3" t="s">
        <v>77131</v>
      </c>
      <c r="I15515" s="3" t="s">
        <v>78324</v>
      </c>
      <c r="J15515" s="3" t="s">
        <v>51891</v>
      </c>
      <c r="K15515" s="3" t="s">
        <v>78325</v>
      </c>
      <c r="L15515" s="3"/>
      <c r="M15515" s="4"/>
      <c r="N15515" s="3" t="s">
        <v>37</v>
      </c>
      <c r="O15515" s="3" t="s">
        <v>46</v>
      </c>
      <c r="P15515" s="5">
        <v>14</v>
      </c>
      <c r="Q15515" s="5">
        <v>272</v>
      </c>
      <c r="R15515" s="5">
        <v>13</v>
      </c>
      <c r="S15515" s="5">
        <v>258</v>
      </c>
    </row>
    <row r="15516" spans="1:19" ht="28" x14ac:dyDescent="0.15">
      <c r="A15516" s="2">
        <f>HYPERLINK("https://open-school.uspishnemisto.com.ua/school/730240/", 730240)</f>
        <v>730240</v>
      </c>
      <c r="B15516" s="3" t="s">
        <v>78326</v>
      </c>
      <c r="C15516" s="3" t="s">
        <v>31</v>
      </c>
      <c r="D15516" s="3" t="s">
        <v>175</v>
      </c>
      <c r="E15516" s="4" t="s">
        <v>22</v>
      </c>
      <c r="F15516" s="4" t="s">
        <v>78322</v>
      </c>
      <c r="G15516" s="4" t="s">
        <v>78327</v>
      </c>
      <c r="H15516" s="3" t="s">
        <v>77131</v>
      </c>
      <c r="I15516" s="3" t="s">
        <v>78328</v>
      </c>
      <c r="J15516" s="3" t="s">
        <v>78329</v>
      </c>
      <c r="K15516" s="3" t="s">
        <v>78330</v>
      </c>
      <c r="L15516" s="3"/>
      <c r="M15516" s="4"/>
      <c r="N15516" s="3" t="s">
        <v>37</v>
      </c>
      <c r="O15516" s="3" t="s">
        <v>52</v>
      </c>
      <c r="P15516" s="5">
        <v>6</v>
      </c>
      <c r="Q15516" s="5">
        <v>48</v>
      </c>
      <c r="R15516" s="5">
        <v>5</v>
      </c>
      <c r="S15516" s="5">
        <v>46</v>
      </c>
    </row>
    <row r="15517" spans="1:19" ht="28" x14ac:dyDescent="0.15">
      <c r="A15517" s="2">
        <f>HYPERLINK("https://open-school.uspishnemisto.com.ua/school/730241/", 730241)</f>
        <v>730241</v>
      </c>
      <c r="B15517" s="3" t="s">
        <v>78331</v>
      </c>
      <c r="C15517" s="3" t="s">
        <v>31</v>
      </c>
      <c r="D15517" s="3" t="s">
        <v>175</v>
      </c>
      <c r="E15517" s="4" t="s">
        <v>22</v>
      </c>
      <c r="F15517" s="4" t="s">
        <v>78332</v>
      </c>
      <c r="G15517" s="4" t="s">
        <v>78333</v>
      </c>
      <c r="H15517" s="3" t="s">
        <v>77131</v>
      </c>
      <c r="I15517" s="3" t="s">
        <v>27710</v>
      </c>
      <c r="J15517" s="3" t="s">
        <v>78143</v>
      </c>
      <c r="K15517" s="3" t="s">
        <v>78334</v>
      </c>
      <c r="L15517" s="3"/>
      <c r="M15517" s="4"/>
      <c r="N15517" s="3" t="s">
        <v>37</v>
      </c>
      <c r="O15517" s="3" t="s">
        <v>46</v>
      </c>
      <c r="P15517" s="5">
        <v>9</v>
      </c>
      <c r="Q15517" s="5">
        <v>134</v>
      </c>
      <c r="R15517" s="5">
        <v>9</v>
      </c>
      <c r="S15517" s="5">
        <v>130</v>
      </c>
    </row>
    <row r="15518" spans="1:19" ht="28" x14ac:dyDescent="0.15">
      <c r="A15518" s="2">
        <f>HYPERLINK("https://open-school.uspishnemisto.com.ua/school/730242/", 730242)</f>
        <v>730242</v>
      </c>
      <c r="B15518" s="3" t="s">
        <v>78335</v>
      </c>
      <c r="C15518" s="3" t="s">
        <v>31</v>
      </c>
      <c r="D15518" s="3" t="s">
        <v>175</v>
      </c>
      <c r="E15518" s="4" t="s">
        <v>22</v>
      </c>
      <c r="F15518" s="4" t="s">
        <v>78336</v>
      </c>
      <c r="G15518" s="4" t="s">
        <v>78337</v>
      </c>
      <c r="H15518" s="3" t="s">
        <v>77131</v>
      </c>
      <c r="I15518" s="3" t="s">
        <v>1694</v>
      </c>
      <c r="J15518" s="3" t="s">
        <v>78338</v>
      </c>
      <c r="K15518" s="3" t="s">
        <v>78339</v>
      </c>
      <c r="L15518" s="3"/>
      <c r="M15518" s="4"/>
      <c r="N15518" s="3" t="s">
        <v>37</v>
      </c>
      <c r="O15518" s="3" t="s">
        <v>52</v>
      </c>
      <c r="P15518" s="5">
        <v>11</v>
      </c>
      <c r="Q15518" s="5">
        <v>168</v>
      </c>
      <c r="R15518" s="5">
        <v>11</v>
      </c>
      <c r="S15518" s="5">
        <v>172</v>
      </c>
    </row>
    <row r="15519" spans="1:19" ht="28" x14ac:dyDescent="0.15">
      <c r="A15519" s="2">
        <f>HYPERLINK("https://open-school.uspishnemisto.com.ua/school/730243/", 730243)</f>
        <v>730243</v>
      </c>
      <c r="B15519" s="3" t="s">
        <v>78340</v>
      </c>
      <c r="C15519" s="3" t="s">
        <v>31</v>
      </c>
      <c r="D15519" s="3" t="s">
        <v>32</v>
      </c>
      <c r="E15519" s="4" t="s">
        <v>22</v>
      </c>
      <c r="F15519" s="4" t="s">
        <v>78341</v>
      </c>
      <c r="G15519" s="4" t="s">
        <v>78342</v>
      </c>
      <c r="H15519" s="3" t="s">
        <v>77131</v>
      </c>
      <c r="I15519" s="3" t="s">
        <v>78343</v>
      </c>
      <c r="J15519" s="3" t="s">
        <v>78344</v>
      </c>
      <c r="K15519" s="3" t="s">
        <v>78345</v>
      </c>
      <c r="L15519" s="3"/>
      <c r="M15519" s="4"/>
      <c r="N15519" s="3" t="s">
        <v>37</v>
      </c>
      <c r="O15519" s="3" t="s">
        <v>46</v>
      </c>
      <c r="P15519" s="5">
        <v>24</v>
      </c>
      <c r="Q15519" s="5">
        <v>393</v>
      </c>
      <c r="R15519" s="5">
        <v>12</v>
      </c>
      <c r="S15519" s="5">
        <v>234</v>
      </c>
    </row>
    <row r="15520" spans="1:19" ht="28" x14ac:dyDescent="0.15">
      <c r="A15520" s="2">
        <f>HYPERLINK("https://open-school.uspishnemisto.com.ua/school/730244/", 730244)</f>
        <v>730244</v>
      </c>
      <c r="B15520" s="3" t="s">
        <v>78346</v>
      </c>
      <c r="C15520" s="3" t="s">
        <v>31</v>
      </c>
      <c r="D15520" s="3" t="s">
        <v>175</v>
      </c>
      <c r="E15520" s="4" t="s">
        <v>22</v>
      </c>
      <c r="F15520" s="4" t="s">
        <v>78347</v>
      </c>
      <c r="G15520" s="4" t="s">
        <v>78348</v>
      </c>
      <c r="H15520" s="3" t="s">
        <v>77131</v>
      </c>
      <c r="I15520" s="3" t="s">
        <v>78349</v>
      </c>
      <c r="J15520" s="3" t="s">
        <v>2841</v>
      </c>
      <c r="K15520" s="3" t="s">
        <v>78350</v>
      </c>
      <c r="L15520" s="3"/>
      <c r="M15520" s="4"/>
      <c r="N15520" s="3" t="s">
        <v>37</v>
      </c>
      <c r="O15520" s="3" t="s">
        <v>2740</v>
      </c>
      <c r="P15520" s="5">
        <v>9</v>
      </c>
      <c r="Q15520" s="5">
        <v>132</v>
      </c>
      <c r="R15520" s="5">
        <v>9</v>
      </c>
      <c r="S15520" s="5">
        <v>129</v>
      </c>
    </row>
    <row r="15521" spans="1:19" ht="28" x14ac:dyDescent="0.15">
      <c r="A15521" s="2">
        <f>HYPERLINK("https://open-school.uspishnemisto.com.ua/school/730245/", 730245)</f>
        <v>730245</v>
      </c>
      <c r="B15521" s="3" t="s">
        <v>78351</v>
      </c>
      <c r="C15521" s="3" t="s">
        <v>31</v>
      </c>
      <c r="D15521" s="3" t="s">
        <v>32</v>
      </c>
      <c r="E15521" s="4" t="s">
        <v>22</v>
      </c>
      <c r="F15521" s="4" t="s">
        <v>78352</v>
      </c>
      <c r="G15521" s="4" t="s">
        <v>78353</v>
      </c>
      <c r="H15521" s="3" t="s">
        <v>77131</v>
      </c>
      <c r="I15521" s="3" t="s">
        <v>78354</v>
      </c>
      <c r="J15521" s="3" t="s">
        <v>78355</v>
      </c>
      <c r="K15521" s="3" t="s">
        <v>78356</v>
      </c>
      <c r="L15521" s="3"/>
      <c r="M15521" s="4"/>
      <c r="N15521" s="3" t="s">
        <v>37</v>
      </c>
      <c r="O15521" s="3" t="s">
        <v>52</v>
      </c>
      <c r="P15521" s="5">
        <v>11</v>
      </c>
      <c r="Q15521" s="5">
        <v>192</v>
      </c>
      <c r="R15521" s="5">
        <v>11</v>
      </c>
      <c r="S15521" s="5">
        <v>198</v>
      </c>
    </row>
    <row r="15522" spans="1:19" ht="28" x14ac:dyDescent="0.15">
      <c r="A15522" s="2">
        <f>HYPERLINK("https://open-school.uspishnemisto.com.ua/school/730246/", 730246)</f>
        <v>730246</v>
      </c>
      <c r="B15522" s="3" t="s">
        <v>78357</v>
      </c>
      <c r="C15522" s="3" t="s">
        <v>31</v>
      </c>
      <c r="D15522" s="3" t="s">
        <v>175</v>
      </c>
      <c r="E15522" s="4" t="s">
        <v>22</v>
      </c>
      <c r="F15522" s="4" t="s">
        <v>78358</v>
      </c>
      <c r="G15522" s="4" t="s">
        <v>78359</v>
      </c>
      <c r="H15522" s="3" t="s">
        <v>77131</v>
      </c>
      <c r="I15522" s="3" t="s">
        <v>78360</v>
      </c>
      <c r="J15522" s="3" t="s">
        <v>78361</v>
      </c>
      <c r="K15522" s="3" t="s">
        <v>78362</v>
      </c>
      <c r="L15522" s="3"/>
      <c r="M15522" s="4"/>
      <c r="N15522" s="3" t="s">
        <v>37</v>
      </c>
      <c r="O15522" s="3" t="s">
        <v>46</v>
      </c>
      <c r="P15522" s="5">
        <v>9</v>
      </c>
      <c r="Q15522" s="5">
        <v>98</v>
      </c>
      <c r="R15522" s="5">
        <v>9</v>
      </c>
      <c r="S15522" s="5">
        <v>101</v>
      </c>
    </row>
    <row r="15523" spans="1:19" ht="28" x14ac:dyDescent="0.15">
      <c r="A15523" s="2">
        <f>HYPERLINK("https://open-school.uspishnemisto.com.ua/school/730247/", 730247)</f>
        <v>730247</v>
      </c>
      <c r="B15523" s="3" t="s">
        <v>78363</v>
      </c>
      <c r="C15523" s="3" t="s">
        <v>31</v>
      </c>
      <c r="D15523" s="3" t="s">
        <v>32</v>
      </c>
      <c r="E15523" s="4" t="s">
        <v>22</v>
      </c>
      <c r="F15523" s="4" t="s">
        <v>78364</v>
      </c>
      <c r="G15523" s="4" t="s">
        <v>78365</v>
      </c>
      <c r="H15523" s="3" t="s">
        <v>77131</v>
      </c>
      <c r="I15523" s="3" t="s">
        <v>78366</v>
      </c>
      <c r="J15523" s="3" t="s">
        <v>78367</v>
      </c>
      <c r="K15523" s="3" t="s">
        <v>78368</v>
      </c>
      <c r="L15523" s="3"/>
      <c r="M15523" s="4"/>
      <c r="N15523" s="3" t="s">
        <v>37</v>
      </c>
      <c r="O15523" s="3" t="s">
        <v>618</v>
      </c>
      <c r="P15523" s="5">
        <v>12</v>
      </c>
      <c r="Q15523" s="5">
        <v>239</v>
      </c>
      <c r="R15523" s="5">
        <v>12</v>
      </c>
      <c r="S15523" s="5">
        <v>245</v>
      </c>
    </row>
    <row r="15524" spans="1:19" ht="28" x14ac:dyDescent="0.15">
      <c r="A15524" s="2">
        <f>HYPERLINK("https://open-school.uspishnemisto.com.ua/school/730248/", 730248)</f>
        <v>730248</v>
      </c>
      <c r="B15524" s="3" t="s">
        <v>78369</v>
      </c>
      <c r="C15524" s="3" t="s">
        <v>31</v>
      </c>
      <c r="D15524" s="3" t="s">
        <v>175</v>
      </c>
      <c r="E15524" s="4" t="s">
        <v>22</v>
      </c>
      <c r="F15524" s="4" t="s">
        <v>78370</v>
      </c>
      <c r="G15524" s="4" t="s">
        <v>78371</v>
      </c>
      <c r="H15524" s="3" t="s">
        <v>77131</v>
      </c>
      <c r="I15524" s="3" t="s">
        <v>78372</v>
      </c>
      <c r="J15524" s="3" t="s">
        <v>78373</v>
      </c>
      <c r="K15524" s="3" t="s">
        <v>78374</v>
      </c>
      <c r="L15524" s="3" t="s">
        <v>78375</v>
      </c>
      <c r="M15524" s="4"/>
      <c r="N15524" s="3" t="s">
        <v>37</v>
      </c>
      <c r="O15524" s="3" t="s">
        <v>46</v>
      </c>
      <c r="P15524" s="5">
        <v>9</v>
      </c>
      <c r="Q15524" s="5">
        <v>104</v>
      </c>
      <c r="R15524" s="5">
        <v>9</v>
      </c>
      <c r="S15524" s="5">
        <v>106</v>
      </c>
    </row>
    <row r="15525" spans="1:19" ht="42" x14ac:dyDescent="0.15">
      <c r="A15525" s="2">
        <f>HYPERLINK("https://open-school.uspishnemisto.com.ua/school/730249/", 730249)</f>
        <v>730249</v>
      </c>
      <c r="B15525" s="3" t="s">
        <v>78376</v>
      </c>
      <c r="C15525" s="3" t="s">
        <v>54</v>
      </c>
      <c r="D15525" s="3" t="s">
        <v>32</v>
      </c>
      <c r="E15525" s="4" t="s">
        <v>22</v>
      </c>
      <c r="F15525" s="4" t="s">
        <v>78377</v>
      </c>
      <c r="G15525" s="4" t="s">
        <v>78378</v>
      </c>
      <c r="H15525" s="3" t="s">
        <v>77131</v>
      </c>
      <c r="I15525" s="3" t="s">
        <v>78379</v>
      </c>
      <c r="J15525" s="3" t="s">
        <v>78380</v>
      </c>
      <c r="K15525" s="3" t="s">
        <v>78381</v>
      </c>
      <c r="L15525" s="3"/>
      <c r="M15525" s="4"/>
      <c r="N15525" s="3" t="s">
        <v>37</v>
      </c>
      <c r="O15525" s="3" t="s">
        <v>46</v>
      </c>
      <c r="P15525" s="5">
        <v>14</v>
      </c>
      <c r="Q15525" s="5">
        <v>240</v>
      </c>
      <c r="R15525" s="5">
        <v>14</v>
      </c>
      <c r="S15525" s="5">
        <v>260</v>
      </c>
    </row>
    <row r="15526" spans="1:19" ht="28" x14ac:dyDescent="0.15">
      <c r="A15526" s="2">
        <f>HYPERLINK("https://open-school.uspishnemisto.com.ua/school/730250/", 730250)</f>
        <v>730250</v>
      </c>
      <c r="B15526" s="3" t="s">
        <v>78382</v>
      </c>
      <c r="C15526" s="3" t="s">
        <v>31</v>
      </c>
      <c r="D15526" s="3" t="s">
        <v>32</v>
      </c>
      <c r="E15526" s="4" t="s">
        <v>22</v>
      </c>
      <c r="F15526" s="4" t="s">
        <v>78377</v>
      </c>
      <c r="G15526" s="4" t="s">
        <v>78378</v>
      </c>
      <c r="H15526" s="3" t="s">
        <v>77131</v>
      </c>
      <c r="I15526" s="3" t="s">
        <v>78379</v>
      </c>
      <c r="J15526" s="3" t="s">
        <v>78383</v>
      </c>
      <c r="K15526" s="3" t="s">
        <v>35702</v>
      </c>
      <c r="L15526" s="3"/>
      <c r="M15526" s="4"/>
      <c r="N15526" s="3" t="s">
        <v>37</v>
      </c>
      <c r="O15526" s="3" t="s">
        <v>46</v>
      </c>
      <c r="P15526" s="5">
        <v>20</v>
      </c>
      <c r="Q15526" s="5">
        <v>446</v>
      </c>
      <c r="R15526" s="5">
        <v>19</v>
      </c>
      <c r="S15526" s="5">
        <v>425</v>
      </c>
    </row>
    <row r="15527" spans="1:19" ht="28" x14ac:dyDescent="0.15">
      <c r="A15527" s="2">
        <f>HYPERLINK("https://open-school.uspishnemisto.com.ua/school/730251/", 730251)</f>
        <v>730251</v>
      </c>
      <c r="B15527" s="3" t="s">
        <v>78384</v>
      </c>
      <c r="C15527" s="3" t="s">
        <v>31</v>
      </c>
      <c r="D15527" s="3" t="s">
        <v>32</v>
      </c>
      <c r="E15527" s="4" t="s">
        <v>22</v>
      </c>
      <c r="F15527" s="4" t="s">
        <v>78385</v>
      </c>
      <c r="G15527" s="4" t="s">
        <v>78386</v>
      </c>
      <c r="H15527" s="3" t="s">
        <v>77131</v>
      </c>
      <c r="I15527" s="3" t="s">
        <v>78387</v>
      </c>
      <c r="J15527" s="3" t="s">
        <v>38995</v>
      </c>
      <c r="K15527" s="3" t="s">
        <v>78388</v>
      </c>
      <c r="L15527" s="3" t="s">
        <v>78389</v>
      </c>
      <c r="M15527" s="4"/>
      <c r="N15527" s="3" t="s">
        <v>37</v>
      </c>
      <c r="O15527" s="3" t="s">
        <v>52</v>
      </c>
      <c r="P15527" s="5">
        <v>16</v>
      </c>
      <c r="Q15527" s="5">
        <v>301</v>
      </c>
      <c r="R15527" s="5">
        <v>16</v>
      </c>
      <c r="S15527" s="5">
        <v>302</v>
      </c>
    </row>
    <row r="15528" spans="1:19" ht="28" x14ac:dyDescent="0.15">
      <c r="A15528" s="2">
        <f>HYPERLINK("https://open-school.uspishnemisto.com.ua/school/730252/", 730252)</f>
        <v>730252</v>
      </c>
      <c r="B15528" s="3" t="s">
        <v>78390</v>
      </c>
      <c r="C15528" s="3" t="s">
        <v>31</v>
      </c>
      <c r="D15528" s="3" t="s">
        <v>32</v>
      </c>
      <c r="E15528" s="4" t="s">
        <v>22</v>
      </c>
      <c r="F15528" s="4" t="s">
        <v>78391</v>
      </c>
      <c r="G15528" s="4" t="s">
        <v>78392</v>
      </c>
      <c r="H15528" s="3" t="s">
        <v>77131</v>
      </c>
      <c r="I15528" s="3" t="s">
        <v>78393</v>
      </c>
      <c r="J15528" s="3" t="s">
        <v>17004</v>
      </c>
      <c r="K15528" s="3" t="s">
        <v>78394</v>
      </c>
      <c r="L15528" s="3"/>
      <c r="M15528" s="4"/>
      <c r="N15528" s="3" t="s">
        <v>37</v>
      </c>
      <c r="O15528" s="3" t="s">
        <v>52</v>
      </c>
      <c r="P15528" s="5">
        <v>11</v>
      </c>
      <c r="Q15528" s="5">
        <v>185</v>
      </c>
      <c r="R15528" s="5">
        <v>11</v>
      </c>
      <c r="S15528" s="5">
        <v>179</v>
      </c>
    </row>
    <row r="15529" spans="1:19" ht="28" x14ac:dyDescent="0.15">
      <c r="A15529" s="2">
        <f>HYPERLINK("https://open-school.uspishnemisto.com.ua/school/730253/", 730253)</f>
        <v>730253</v>
      </c>
      <c r="B15529" s="3" t="s">
        <v>78395</v>
      </c>
      <c r="C15529" s="3" t="s">
        <v>31</v>
      </c>
      <c r="D15529" s="3" t="s">
        <v>32</v>
      </c>
      <c r="E15529" s="4" t="s">
        <v>22</v>
      </c>
      <c r="F15529" s="4" t="s">
        <v>78396</v>
      </c>
      <c r="G15529" s="4" t="s">
        <v>78397</v>
      </c>
      <c r="H15529" s="3" t="s">
        <v>77131</v>
      </c>
      <c r="I15529" s="3" t="s">
        <v>42029</v>
      </c>
      <c r="J15529" s="3" t="s">
        <v>78398</v>
      </c>
      <c r="K15529" s="3" t="s">
        <v>78399</v>
      </c>
      <c r="L15529" s="3" t="s">
        <v>78400</v>
      </c>
      <c r="M15529" s="4"/>
      <c r="N15529" s="3" t="s">
        <v>37</v>
      </c>
      <c r="O15529" s="3" t="s">
        <v>46</v>
      </c>
      <c r="P15529" s="5">
        <v>11</v>
      </c>
      <c r="Q15529" s="5">
        <v>237</v>
      </c>
      <c r="R15529" s="5">
        <v>11</v>
      </c>
      <c r="S15529" s="5">
        <v>238</v>
      </c>
    </row>
    <row r="15530" spans="1:19" ht="28" x14ac:dyDescent="0.15">
      <c r="A15530" s="2">
        <f>HYPERLINK("https://open-school.uspishnemisto.com.ua/school/730254/", 730254)</f>
        <v>730254</v>
      </c>
      <c r="B15530" s="3" t="s">
        <v>78401</v>
      </c>
      <c r="C15530" s="3" t="s">
        <v>31</v>
      </c>
      <c r="D15530" s="3" t="s">
        <v>32</v>
      </c>
      <c r="E15530" s="4" t="s">
        <v>22</v>
      </c>
      <c r="F15530" s="4" t="s">
        <v>78402</v>
      </c>
      <c r="G15530" s="4" t="s">
        <v>78403</v>
      </c>
      <c r="H15530" s="3" t="s">
        <v>77131</v>
      </c>
      <c r="I15530" s="3" t="s">
        <v>78404</v>
      </c>
      <c r="J15530" s="3" t="s">
        <v>69200</v>
      </c>
      <c r="K15530" s="3" t="s">
        <v>78405</v>
      </c>
      <c r="L15530" s="3" t="s">
        <v>78406</v>
      </c>
      <c r="M15530" s="4"/>
      <c r="N15530" s="3" t="s">
        <v>37</v>
      </c>
      <c r="O15530" s="3" t="s">
        <v>46</v>
      </c>
      <c r="P15530" s="5">
        <v>14</v>
      </c>
      <c r="Q15530" s="5">
        <v>273</v>
      </c>
      <c r="R15530" s="5">
        <v>12</v>
      </c>
      <c r="S15530" s="5">
        <v>269</v>
      </c>
    </row>
    <row r="15531" spans="1:19" ht="28" x14ac:dyDescent="0.15">
      <c r="A15531" s="2">
        <f>HYPERLINK("https://open-school.uspishnemisto.com.ua/school/730255/", 730255)</f>
        <v>730255</v>
      </c>
      <c r="B15531" s="3" t="s">
        <v>78407</v>
      </c>
      <c r="C15531" s="3" t="s">
        <v>31</v>
      </c>
      <c r="D15531" s="3" t="s">
        <v>60</v>
      </c>
      <c r="E15531" s="4" t="s">
        <v>22</v>
      </c>
      <c r="F15531" s="4" t="s">
        <v>78408</v>
      </c>
      <c r="G15531" s="4" t="s">
        <v>78409</v>
      </c>
      <c r="H15531" s="3" t="s">
        <v>77131</v>
      </c>
      <c r="I15531" s="3" t="s">
        <v>31585</v>
      </c>
      <c r="J15531" s="3" t="s">
        <v>12702</v>
      </c>
      <c r="K15531" s="3" t="s">
        <v>77322</v>
      </c>
      <c r="L15531" s="3"/>
      <c r="M15531" s="4"/>
      <c r="N15531" s="3" t="s">
        <v>37</v>
      </c>
      <c r="O15531" s="3" t="s">
        <v>52</v>
      </c>
      <c r="P15531" s="5">
        <v>4</v>
      </c>
      <c r="Q15531" s="5">
        <v>22</v>
      </c>
      <c r="R15531" s="5">
        <v>4</v>
      </c>
      <c r="S15531" s="5">
        <v>23</v>
      </c>
    </row>
    <row r="15532" spans="1:19" ht="42" x14ac:dyDescent="0.15">
      <c r="A15532" s="2">
        <f>HYPERLINK("https://open-school.uspishnemisto.com.ua/school/730256/", 730256)</f>
        <v>730256</v>
      </c>
      <c r="B15532" s="3" t="s">
        <v>78410</v>
      </c>
      <c r="C15532" s="3" t="s">
        <v>31</v>
      </c>
      <c r="D15532" s="3" t="s">
        <v>175</v>
      </c>
      <c r="E15532" s="4" t="s">
        <v>22</v>
      </c>
      <c r="F15532" s="4" t="s">
        <v>78411</v>
      </c>
      <c r="G15532" s="4" t="s">
        <v>78412</v>
      </c>
      <c r="H15532" s="3" t="s">
        <v>77131</v>
      </c>
      <c r="I15532" s="3" t="s">
        <v>78413</v>
      </c>
      <c r="J15532" s="3" t="s">
        <v>566</v>
      </c>
      <c r="K15532" s="3" t="s">
        <v>78414</v>
      </c>
      <c r="L15532" s="3"/>
      <c r="M15532" s="4"/>
      <c r="N15532" s="3" t="s">
        <v>37</v>
      </c>
      <c r="O15532" s="3" t="s">
        <v>52</v>
      </c>
      <c r="P15532" s="5">
        <v>9</v>
      </c>
      <c r="Q15532" s="5">
        <v>103</v>
      </c>
      <c r="R15532" s="5">
        <v>9</v>
      </c>
      <c r="S15532" s="5">
        <v>111</v>
      </c>
    </row>
    <row r="15533" spans="1:19" ht="28" x14ac:dyDescent="0.15">
      <c r="A15533" s="2">
        <f>HYPERLINK("https://open-school.uspishnemisto.com.ua/school/730257/", 730257)</f>
        <v>730257</v>
      </c>
      <c r="B15533" s="3" t="s">
        <v>78415</v>
      </c>
      <c r="C15533" s="3" t="s">
        <v>31</v>
      </c>
      <c r="D15533" s="3" t="s">
        <v>175</v>
      </c>
      <c r="E15533" s="4" t="s">
        <v>22</v>
      </c>
      <c r="F15533" s="4" t="s">
        <v>78416</v>
      </c>
      <c r="G15533" s="4" t="s">
        <v>78417</v>
      </c>
      <c r="H15533" s="3" t="s">
        <v>77131</v>
      </c>
      <c r="I15533" s="3" t="s">
        <v>78418</v>
      </c>
      <c r="J15533" s="3" t="s">
        <v>78419</v>
      </c>
      <c r="K15533" s="3" t="s">
        <v>78420</v>
      </c>
      <c r="L15533" s="3"/>
      <c r="M15533" s="4"/>
      <c r="N15533" s="3" t="s">
        <v>37</v>
      </c>
      <c r="O15533" s="3" t="s">
        <v>52</v>
      </c>
      <c r="P15533" s="5">
        <v>9</v>
      </c>
      <c r="Q15533" s="5">
        <v>70</v>
      </c>
      <c r="R15533" s="5">
        <v>9</v>
      </c>
      <c r="S15533" s="5">
        <v>72</v>
      </c>
    </row>
    <row r="15534" spans="1:19" ht="42" x14ac:dyDescent="0.15">
      <c r="A15534" s="2">
        <f>HYPERLINK("https://open-school.uspishnemisto.com.ua/school/730258/", 730258)</f>
        <v>730258</v>
      </c>
      <c r="B15534" s="3" t="s">
        <v>78421</v>
      </c>
      <c r="C15534" s="3" t="s">
        <v>31</v>
      </c>
      <c r="D15534" s="3" t="s">
        <v>32</v>
      </c>
      <c r="E15534" s="4" t="s">
        <v>22</v>
      </c>
      <c r="F15534" s="4" t="s">
        <v>78422</v>
      </c>
      <c r="G15534" s="4" t="s">
        <v>78423</v>
      </c>
      <c r="H15534" s="3" t="s">
        <v>77131</v>
      </c>
      <c r="I15534" s="3" t="s">
        <v>78424</v>
      </c>
      <c r="J15534" s="3" t="s">
        <v>77625</v>
      </c>
      <c r="K15534" s="3" t="s">
        <v>78425</v>
      </c>
      <c r="L15534" s="3"/>
      <c r="M15534" s="4"/>
      <c r="N15534" s="3" t="s">
        <v>37</v>
      </c>
      <c r="O15534" s="3" t="s">
        <v>46</v>
      </c>
      <c r="P15534" s="5">
        <v>13</v>
      </c>
      <c r="Q15534" s="5">
        <v>241</v>
      </c>
      <c r="R15534" s="5">
        <v>13</v>
      </c>
      <c r="S15534" s="5">
        <v>234</v>
      </c>
    </row>
    <row r="15535" spans="1:19" ht="28" x14ac:dyDescent="0.15">
      <c r="A15535" s="2">
        <f>HYPERLINK("https://open-school.uspishnemisto.com.ua/school/730259/", 730259)</f>
        <v>730259</v>
      </c>
      <c r="B15535" s="3" t="s">
        <v>78426</v>
      </c>
      <c r="C15535" s="3" t="s">
        <v>31</v>
      </c>
      <c r="D15535" s="3" t="s">
        <v>32</v>
      </c>
      <c r="E15535" s="4" t="s">
        <v>22</v>
      </c>
      <c r="F15535" s="4" t="s">
        <v>78427</v>
      </c>
      <c r="G15535" s="4" t="s">
        <v>78428</v>
      </c>
      <c r="H15535" s="3" t="s">
        <v>77131</v>
      </c>
      <c r="I15535" s="3" t="s">
        <v>78429</v>
      </c>
      <c r="J15535" s="3" t="s">
        <v>56131</v>
      </c>
      <c r="K15535" s="3" t="s">
        <v>78430</v>
      </c>
      <c r="L15535" s="3"/>
      <c r="M15535" s="4"/>
      <c r="N15535" s="3" t="s">
        <v>37</v>
      </c>
      <c r="O15535" s="3" t="s">
        <v>618</v>
      </c>
      <c r="P15535" s="5">
        <v>11</v>
      </c>
      <c r="Q15535" s="5">
        <v>156</v>
      </c>
      <c r="R15535" s="5">
        <v>10</v>
      </c>
      <c r="S15535" s="5">
        <v>150</v>
      </c>
    </row>
    <row r="15536" spans="1:19" ht="28" x14ac:dyDescent="0.15">
      <c r="A15536" s="2">
        <f>HYPERLINK("https://open-school.uspishnemisto.com.ua/school/730260/", 730260)</f>
        <v>730260</v>
      </c>
      <c r="B15536" s="3" t="s">
        <v>78431</v>
      </c>
      <c r="C15536" s="3" t="s">
        <v>31</v>
      </c>
      <c r="D15536" s="3" t="s">
        <v>175</v>
      </c>
      <c r="E15536" s="4" t="s">
        <v>22</v>
      </c>
      <c r="F15536" s="4" t="s">
        <v>78432</v>
      </c>
      <c r="G15536" s="4" t="s">
        <v>78433</v>
      </c>
      <c r="H15536" s="3" t="s">
        <v>77131</v>
      </c>
      <c r="I15536" s="3" t="s">
        <v>78434</v>
      </c>
      <c r="J15536" s="3" t="s">
        <v>78435</v>
      </c>
      <c r="K15536" s="3" t="s">
        <v>78436</v>
      </c>
      <c r="L15536" s="3"/>
      <c r="M15536" s="4"/>
      <c r="N15536" s="3" t="s">
        <v>37</v>
      </c>
      <c r="O15536" s="3" t="s">
        <v>46</v>
      </c>
      <c r="P15536" s="5">
        <v>9</v>
      </c>
      <c r="Q15536" s="5">
        <v>111</v>
      </c>
      <c r="R15536" s="5">
        <v>9</v>
      </c>
      <c r="S15536" s="5">
        <v>114</v>
      </c>
    </row>
    <row r="15537" spans="1:19" ht="28" x14ac:dyDescent="0.15">
      <c r="A15537" s="2">
        <f>HYPERLINK("https://open-school.uspishnemisto.com.ua/school/730261/", 730261)</f>
        <v>730261</v>
      </c>
      <c r="B15537" s="3" t="s">
        <v>78437</v>
      </c>
      <c r="C15537" s="3" t="s">
        <v>40</v>
      </c>
      <c r="D15537" s="3" t="s">
        <v>32</v>
      </c>
      <c r="E15537" s="4" t="s">
        <v>22</v>
      </c>
      <c r="F15537" s="4" t="s">
        <v>78438</v>
      </c>
      <c r="G15537" s="4" t="s">
        <v>78439</v>
      </c>
      <c r="H15537" s="3" t="s">
        <v>77131</v>
      </c>
      <c r="I15537" s="3" t="s">
        <v>2296</v>
      </c>
      <c r="J15537" s="3" t="s">
        <v>12702</v>
      </c>
      <c r="K15537" s="3" t="s">
        <v>78440</v>
      </c>
      <c r="L15537" s="3" t="s">
        <v>78441</v>
      </c>
      <c r="M15537" s="4"/>
      <c r="N15537" s="3" t="s">
        <v>37</v>
      </c>
      <c r="O15537" s="3" t="s">
        <v>52</v>
      </c>
      <c r="P15537" s="5">
        <v>22</v>
      </c>
      <c r="Q15537" s="5">
        <v>501</v>
      </c>
      <c r="R15537" s="5">
        <v>23</v>
      </c>
      <c r="S15537" s="5">
        <v>487</v>
      </c>
    </row>
    <row r="15538" spans="1:19" ht="42" x14ac:dyDescent="0.15">
      <c r="A15538" s="2">
        <f>HYPERLINK("https://open-school.uspishnemisto.com.ua/school/730262/", 730262)</f>
        <v>730262</v>
      </c>
      <c r="B15538" s="3" t="s">
        <v>78442</v>
      </c>
      <c r="C15538" s="3" t="s">
        <v>31</v>
      </c>
      <c r="D15538" s="3" t="s">
        <v>32</v>
      </c>
      <c r="E15538" s="4" t="s">
        <v>22</v>
      </c>
      <c r="F15538" s="4" t="s">
        <v>78438</v>
      </c>
      <c r="G15538" s="4" t="s">
        <v>78439</v>
      </c>
      <c r="H15538" s="3" t="s">
        <v>77131</v>
      </c>
      <c r="I15538" s="3" t="s">
        <v>2296</v>
      </c>
      <c r="J15538" s="3" t="s">
        <v>25057</v>
      </c>
      <c r="K15538" s="3" t="s">
        <v>78443</v>
      </c>
      <c r="L15538" s="3" t="s">
        <v>78444</v>
      </c>
      <c r="M15538" s="4"/>
      <c r="N15538" s="3" t="s">
        <v>37</v>
      </c>
      <c r="O15538" s="3" t="s">
        <v>52</v>
      </c>
      <c r="P15538" s="5">
        <v>21</v>
      </c>
      <c r="Q15538" s="5">
        <v>433</v>
      </c>
      <c r="R15538" s="5">
        <v>21</v>
      </c>
      <c r="S15538" s="5">
        <v>418</v>
      </c>
    </row>
    <row r="15539" spans="1:19" ht="28" x14ac:dyDescent="0.15">
      <c r="A15539" s="2">
        <f>HYPERLINK("https://open-school.uspishnemisto.com.ua/school/730263/", 730263)</f>
        <v>730263</v>
      </c>
      <c r="B15539" s="3" t="s">
        <v>78445</v>
      </c>
      <c r="C15539" s="3" t="s">
        <v>188</v>
      </c>
      <c r="D15539" s="3" t="s">
        <v>32</v>
      </c>
      <c r="E15539" s="4" t="s">
        <v>22</v>
      </c>
      <c r="F15539" s="4" t="s">
        <v>78438</v>
      </c>
      <c r="G15539" s="4" t="s">
        <v>78439</v>
      </c>
      <c r="H15539" s="3" t="s">
        <v>77131</v>
      </c>
      <c r="I15539" s="3" t="s">
        <v>2296</v>
      </c>
      <c r="J15539" s="3" t="s">
        <v>78446</v>
      </c>
      <c r="K15539" s="3" t="s">
        <v>78447</v>
      </c>
      <c r="L15539" s="3" t="s">
        <v>78448</v>
      </c>
      <c r="M15539" s="4"/>
      <c r="N15539" s="3" t="s">
        <v>22305</v>
      </c>
      <c r="O15539" s="3" t="s">
        <v>77335</v>
      </c>
      <c r="P15539" s="5">
        <v>19</v>
      </c>
      <c r="Q15539" s="5">
        <v>203</v>
      </c>
      <c r="R15539" s="5">
        <v>19</v>
      </c>
      <c r="S15539" s="5">
        <v>201</v>
      </c>
    </row>
    <row r="15540" spans="1:19" ht="42" x14ac:dyDescent="0.15">
      <c r="A15540" s="2">
        <f>HYPERLINK("https://open-school.uspishnemisto.com.ua/school/730264/", 730264)</f>
        <v>730264</v>
      </c>
      <c r="B15540" s="3" t="s">
        <v>78449</v>
      </c>
      <c r="C15540" s="3" t="s">
        <v>31</v>
      </c>
      <c r="D15540" s="3" t="s">
        <v>32</v>
      </c>
      <c r="E15540" s="4" t="s">
        <v>22</v>
      </c>
      <c r="F15540" s="4" t="s">
        <v>78450</v>
      </c>
      <c r="G15540" s="4" t="s">
        <v>78451</v>
      </c>
      <c r="H15540" s="3" t="s">
        <v>77131</v>
      </c>
      <c r="I15540" s="3" t="s">
        <v>78452</v>
      </c>
      <c r="J15540" s="3" t="s">
        <v>78453</v>
      </c>
      <c r="K15540" s="3" t="s">
        <v>68973</v>
      </c>
      <c r="L15540" s="3" t="s">
        <v>78454</v>
      </c>
      <c r="M15540" s="4"/>
      <c r="N15540" s="3" t="s">
        <v>22346</v>
      </c>
      <c r="O15540" s="3" t="s">
        <v>2740</v>
      </c>
      <c r="P15540" s="5">
        <v>10</v>
      </c>
      <c r="Q15540" s="5">
        <v>85</v>
      </c>
      <c r="R15540" s="5">
        <v>10</v>
      </c>
      <c r="S15540" s="5">
        <v>85</v>
      </c>
    </row>
    <row r="15541" spans="1:19" ht="56" x14ac:dyDescent="0.15">
      <c r="A15541" s="2">
        <f>HYPERLINK("https://open-school.uspishnemisto.com.ua/school/730265/", 730265)</f>
        <v>730265</v>
      </c>
      <c r="B15541" s="3" t="s">
        <v>78455</v>
      </c>
      <c r="C15541" s="3" t="s">
        <v>54</v>
      </c>
      <c r="D15541" s="3" t="s">
        <v>175</v>
      </c>
      <c r="E15541" s="4" t="s">
        <v>22</v>
      </c>
      <c r="F15541" s="4" t="s">
        <v>78456</v>
      </c>
      <c r="G15541" s="4" t="s">
        <v>78457</v>
      </c>
      <c r="H15541" s="3" t="s">
        <v>77131</v>
      </c>
      <c r="I15541" s="3" t="s">
        <v>55545</v>
      </c>
      <c r="J15541" s="3" t="s">
        <v>466</v>
      </c>
      <c r="K15541" s="3" t="s">
        <v>78458</v>
      </c>
      <c r="L15541" s="3" t="s">
        <v>78459</v>
      </c>
      <c r="M15541" s="4"/>
      <c r="N15541" s="3" t="s">
        <v>22346</v>
      </c>
      <c r="O15541" s="3" t="s">
        <v>11684</v>
      </c>
      <c r="P15541" s="5">
        <v>5</v>
      </c>
      <c r="Q15541" s="5">
        <v>40</v>
      </c>
      <c r="R15541" s="5">
        <v>5</v>
      </c>
      <c r="S15541" s="5">
        <v>43</v>
      </c>
    </row>
    <row r="15542" spans="1:19" ht="42" x14ac:dyDescent="0.15">
      <c r="A15542" s="2">
        <f>HYPERLINK("https://open-school.uspishnemisto.com.ua/school/730266/", 730266)</f>
        <v>730266</v>
      </c>
      <c r="B15542" s="3" t="s">
        <v>78460</v>
      </c>
      <c r="C15542" s="3" t="s">
        <v>31</v>
      </c>
      <c r="D15542" s="3" t="s">
        <v>32</v>
      </c>
      <c r="E15542" s="4" t="s">
        <v>22</v>
      </c>
      <c r="F15542" s="4" t="s">
        <v>78461</v>
      </c>
      <c r="G15542" s="4" t="s">
        <v>78462</v>
      </c>
      <c r="H15542" s="3" t="s">
        <v>77131</v>
      </c>
      <c r="I15542" s="3" t="s">
        <v>78463</v>
      </c>
      <c r="J15542" s="3" t="s">
        <v>21796</v>
      </c>
      <c r="K15542" s="3" t="s">
        <v>78464</v>
      </c>
      <c r="L15542" s="3" t="s">
        <v>78465</v>
      </c>
      <c r="M15542" s="4"/>
      <c r="N15542" s="3" t="s">
        <v>22305</v>
      </c>
      <c r="O15542" s="3" t="s">
        <v>78466</v>
      </c>
      <c r="P15542" s="5">
        <v>22</v>
      </c>
      <c r="Q15542" s="5">
        <v>347</v>
      </c>
      <c r="R15542" s="5">
        <v>23</v>
      </c>
      <c r="S15542" s="5">
        <v>366</v>
      </c>
    </row>
    <row r="15543" spans="1:19" ht="56" x14ac:dyDescent="0.15">
      <c r="A15543" s="2">
        <f>HYPERLINK("https://open-school.uspishnemisto.com.ua/school/730267/", 730267)</f>
        <v>730267</v>
      </c>
      <c r="B15543" s="3" t="s">
        <v>78467</v>
      </c>
      <c r="C15543" s="3" t="s">
        <v>54</v>
      </c>
      <c r="D15543" s="3" t="s">
        <v>32</v>
      </c>
      <c r="E15543" s="4" t="s">
        <v>22</v>
      </c>
      <c r="F15543" s="4" t="s">
        <v>78461</v>
      </c>
      <c r="G15543" s="4" t="s">
        <v>78462</v>
      </c>
      <c r="H15543" s="3" t="s">
        <v>77131</v>
      </c>
      <c r="I15543" s="3" t="s">
        <v>78463</v>
      </c>
      <c r="J15543" s="3" t="s">
        <v>466</v>
      </c>
      <c r="K15543" s="3" t="s">
        <v>78468</v>
      </c>
      <c r="L15543" s="3" t="s">
        <v>78469</v>
      </c>
      <c r="M15543" s="4"/>
      <c r="N15543" s="3" t="s">
        <v>22305</v>
      </c>
      <c r="O15543" s="3" t="s">
        <v>77335</v>
      </c>
      <c r="P15543" s="5">
        <v>14</v>
      </c>
      <c r="Q15543" s="5">
        <v>197</v>
      </c>
      <c r="R15543" s="5">
        <v>13</v>
      </c>
      <c r="S15543" s="5">
        <v>180</v>
      </c>
    </row>
    <row r="15544" spans="1:19" ht="28" x14ac:dyDescent="0.15">
      <c r="A15544" s="2">
        <f>HYPERLINK("https://open-school.uspishnemisto.com.ua/school/730268/", 730268)</f>
        <v>730268</v>
      </c>
      <c r="B15544" s="3" t="s">
        <v>78470</v>
      </c>
      <c r="C15544" s="3" t="s">
        <v>31</v>
      </c>
      <c r="D15544" s="3" t="s">
        <v>32</v>
      </c>
      <c r="E15544" s="4" t="s">
        <v>22</v>
      </c>
      <c r="F15544" s="4" t="s">
        <v>78471</v>
      </c>
      <c r="G15544" s="4" t="s">
        <v>78472</v>
      </c>
      <c r="H15544" s="3" t="s">
        <v>77131</v>
      </c>
      <c r="I15544" s="3" t="s">
        <v>78473</v>
      </c>
      <c r="J15544" s="3" t="s">
        <v>78474</v>
      </c>
      <c r="K15544" s="3" t="s">
        <v>78475</v>
      </c>
      <c r="L15544" s="3" t="s">
        <v>78476</v>
      </c>
      <c r="M15544" s="4"/>
      <c r="N15544" s="3" t="s">
        <v>22305</v>
      </c>
      <c r="O15544" s="3" t="s">
        <v>77335</v>
      </c>
      <c r="P15544" s="5">
        <v>19</v>
      </c>
      <c r="Q15544" s="5">
        <v>225</v>
      </c>
      <c r="R15544" s="5">
        <v>20</v>
      </c>
      <c r="S15544" s="5">
        <v>234</v>
      </c>
    </row>
    <row r="15545" spans="1:19" ht="42" x14ac:dyDescent="0.15">
      <c r="A15545" s="2">
        <f>HYPERLINK("https://open-school.uspishnemisto.com.ua/school/730269/", 730269)</f>
        <v>730269</v>
      </c>
      <c r="B15545" s="3" t="s">
        <v>78477</v>
      </c>
      <c r="C15545" s="3" t="s">
        <v>54</v>
      </c>
      <c r="D15545" s="3" t="s">
        <v>32</v>
      </c>
      <c r="E15545" s="4" t="s">
        <v>22</v>
      </c>
      <c r="F15545" s="4" t="s">
        <v>78478</v>
      </c>
      <c r="G15545" s="4" t="s">
        <v>78479</v>
      </c>
      <c r="H15545" s="3" t="s">
        <v>77131</v>
      </c>
      <c r="I15545" s="3" t="s">
        <v>78480</v>
      </c>
      <c r="J15545" s="3" t="s">
        <v>77530</v>
      </c>
      <c r="K15545" s="3" t="s">
        <v>78481</v>
      </c>
      <c r="L15545" s="3" t="s">
        <v>78482</v>
      </c>
      <c r="M15545" s="4"/>
      <c r="N15545" s="3" t="s">
        <v>22305</v>
      </c>
      <c r="O15545" s="3" t="s">
        <v>77335</v>
      </c>
      <c r="P15545" s="5">
        <v>16</v>
      </c>
      <c r="Q15545" s="5">
        <v>283</v>
      </c>
      <c r="R15545" s="5">
        <v>15</v>
      </c>
      <c r="S15545" s="5">
        <v>279</v>
      </c>
    </row>
    <row r="15546" spans="1:19" ht="56" x14ac:dyDescent="0.15">
      <c r="A15546" s="2">
        <f>HYPERLINK("https://open-school.uspishnemisto.com.ua/school/730270/", 730270)</f>
        <v>730270</v>
      </c>
      <c r="B15546" s="3" t="s">
        <v>78483</v>
      </c>
      <c r="C15546" s="3" t="s">
        <v>54</v>
      </c>
      <c r="D15546" s="3" t="s">
        <v>32</v>
      </c>
      <c r="E15546" s="4" t="s">
        <v>22</v>
      </c>
      <c r="F15546" s="4" t="s">
        <v>78484</v>
      </c>
      <c r="G15546" s="4" t="s">
        <v>78485</v>
      </c>
      <c r="H15546" s="3" t="s">
        <v>77131</v>
      </c>
      <c r="I15546" s="3" t="s">
        <v>4525</v>
      </c>
      <c r="J15546" s="3" t="s">
        <v>78486</v>
      </c>
      <c r="K15546" s="3" t="s">
        <v>78487</v>
      </c>
      <c r="L15546" s="3" t="s">
        <v>78488</v>
      </c>
      <c r="M15546" s="4"/>
      <c r="N15546" s="3" t="s">
        <v>37</v>
      </c>
      <c r="O15546" s="3" t="s">
        <v>2740</v>
      </c>
      <c r="P15546" s="5">
        <v>10</v>
      </c>
      <c r="Q15546" s="5">
        <v>70</v>
      </c>
      <c r="R15546" s="5">
        <v>9</v>
      </c>
      <c r="S15546" s="5">
        <v>74</v>
      </c>
    </row>
    <row r="15547" spans="1:19" ht="28" x14ac:dyDescent="0.15">
      <c r="A15547" s="2">
        <f>HYPERLINK("https://open-school.uspishnemisto.com.ua/school/730271/", 730271)</f>
        <v>730271</v>
      </c>
      <c r="B15547" s="3" t="s">
        <v>78489</v>
      </c>
      <c r="C15547" s="3" t="s">
        <v>31</v>
      </c>
      <c r="D15547" s="3" t="s">
        <v>32</v>
      </c>
      <c r="E15547" s="4" t="s">
        <v>22</v>
      </c>
      <c r="F15547" s="4" t="s">
        <v>78490</v>
      </c>
      <c r="G15547" s="4" t="s">
        <v>78491</v>
      </c>
      <c r="H15547" s="3" t="s">
        <v>77131</v>
      </c>
      <c r="I15547" s="3" t="s">
        <v>78492</v>
      </c>
      <c r="J15547" s="3" t="s">
        <v>69200</v>
      </c>
      <c r="K15547" s="3" t="s">
        <v>78493</v>
      </c>
      <c r="L15547" s="3" t="s">
        <v>78494</v>
      </c>
      <c r="M15547" s="4"/>
      <c r="N15547" s="3" t="s">
        <v>22305</v>
      </c>
      <c r="O15547" s="3" t="s">
        <v>77335</v>
      </c>
      <c r="P15547" s="5">
        <v>13</v>
      </c>
      <c r="Q15547" s="5">
        <v>180</v>
      </c>
      <c r="R15547" s="5">
        <v>13</v>
      </c>
      <c r="S15547" s="5">
        <v>183</v>
      </c>
    </row>
    <row r="15548" spans="1:19" ht="56" x14ac:dyDescent="0.15">
      <c r="A15548" s="2">
        <f>HYPERLINK("https://open-school.uspishnemisto.com.ua/school/730272/", 730272)</f>
        <v>730272</v>
      </c>
      <c r="B15548" s="3" t="s">
        <v>78495</v>
      </c>
      <c r="C15548" s="3" t="s">
        <v>54</v>
      </c>
      <c r="D15548" s="3" t="s">
        <v>175</v>
      </c>
      <c r="E15548" s="4" t="s">
        <v>22</v>
      </c>
      <c r="F15548" s="4" t="s">
        <v>78496</v>
      </c>
      <c r="G15548" s="4" t="s">
        <v>78497</v>
      </c>
      <c r="H15548" s="3" t="s">
        <v>77131</v>
      </c>
      <c r="I15548" s="3" t="s">
        <v>78498</v>
      </c>
      <c r="J15548" s="3" t="s">
        <v>78499</v>
      </c>
      <c r="K15548" s="3" t="s">
        <v>78500</v>
      </c>
      <c r="L15548" s="3"/>
      <c r="M15548" s="4"/>
      <c r="N15548" s="3" t="s">
        <v>37</v>
      </c>
      <c r="O15548" s="3" t="s">
        <v>13272</v>
      </c>
      <c r="P15548" s="5">
        <v>4</v>
      </c>
      <c r="Q15548" s="5">
        <v>35</v>
      </c>
      <c r="R15548" s="5">
        <v>6</v>
      </c>
      <c r="S15548" s="5">
        <v>40</v>
      </c>
    </row>
    <row r="15549" spans="1:19" ht="28" x14ac:dyDescent="0.15">
      <c r="A15549" s="2">
        <f>HYPERLINK("https://open-school.uspishnemisto.com.ua/school/730273/", 730273)</f>
        <v>730273</v>
      </c>
      <c r="B15549" s="3" t="s">
        <v>78501</v>
      </c>
      <c r="C15549" s="3" t="s">
        <v>31</v>
      </c>
      <c r="D15549" s="3" t="s">
        <v>32</v>
      </c>
      <c r="E15549" s="4" t="s">
        <v>22</v>
      </c>
      <c r="F15549" s="4" t="s">
        <v>78502</v>
      </c>
      <c r="G15549" s="4" t="s">
        <v>78503</v>
      </c>
      <c r="H15549" s="3" t="s">
        <v>77131</v>
      </c>
      <c r="I15549" s="3" t="s">
        <v>11029</v>
      </c>
      <c r="J15549" s="3"/>
      <c r="K15549" s="3" t="s">
        <v>78504</v>
      </c>
      <c r="L15549" s="3"/>
      <c r="M15549" s="4"/>
      <c r="N15549" s="3" t="s">
        <v>37</v>
      </c>
      <c r="O15549" s="3" t="s">
        <v>52</v>
      </c>
      <c r="P15549" s="5">
        <v>10</v>
      </c>
      <c r="Q15549" s="5">
        <v>149</v>
      </c>
      <c r="R15549" s="5">
        <v>11</v>
      </c>
      <c r="S15549" s="5">
        <v>173</v>
      </c>
    </row>
    <row r="15550" spans="1:19" ht="42" x14ac:dyDescent="0.15">
      <c r="A15550" s="2">
        <f>HYPERLINK("https://open-school.uspishnemisto.com.ua/school/730274/", 730274)</f>
        <v>730274</v>
      </c>
      <c r="B15550" s="3" t="s">
        <v>78505</v>
      </c>
      <c r="C15550" s="3" t="s">
        <v>31</v>
      </c>
      <c r="D15550" s="3" t="s">
        <v>32</v>
      </c>
      <c r="E15550" s="4" t="s">
        <v>22</v>
      </c>
      <c r="F15550" s="4" t="s">
        <v>78506</v>
      </c>
      <c r="G15550" s="4" t="s">
        <v>78507</v>
      </c>
      <c r="H15550" s="3" t="s">
        <v>77131</v>
      </c>
      <c r="I15550" s="3" t="s">
        <v>78508</v>
      </c>
      <c r="J15550" s="3" t="s">
        <v>78509</v>
      </c>
      <c r="K15550" s="3" t="s">
        <v>78510</v>
      </c>
      <c r="L15550" s="3" t="s">
        <v>78511</v>
      </c>
      <c r="M15550" s="4"/>
      <c r="N15550" s="3" t="s">
        <v>22305</v>
      </c>
      <c r="O15550" s="3" t="s">
        <v>77335</v>
      </c>
      <c r="P15550" s="5">
        <v>16</v>
      </c>
      <c r="Q15550" s="5">
        <v>202</v>
      </c>
      <c r="R15550" s="5">
        <v>16</v>
      </c>
      <c r="S15550" s="5">
        <v>206</v>
      </c>
    </row>
    <row r="15551" spans="1:19" ht="56" x14ac:dyDescent="0.15">
      <c r="A15551" s="2">
        <f>HYPERLINK("https://open-school.uspishnemisto.com.ua/school/730275/", 730275)</f>
        <v>730275</v>
      </c>
      <c r="B15551" s="3" t="s">
        <v>78512</v>
      </c>
      <c r="C15551" s="3" t="s">
        <v>54</v>
      </c>
      <c r="D15551" s="3" t="s">
        <v>32</v>
      </c>
      <c r="E15551" s="4" t="s">
        <v>22</v>
      </c>
      <c r="F15551" s="4" t="s">
        <v>78513</v>
      </c>
      <c r="G15551" s="4" t="s">
        <v>78514</v>
      </c>
      <c r="H15551" s="3" t="s">
        <v>77131</v>
      </c>
      <c r="I15551" s="3" t="s">
        <v>78515</v>
      </c>
      <c r="J15551" s="3" t="s">
        <v>78516</v>
      </c>
      <c r="K15551" s="3" t="s">
        <v>71343</v>
      </c>
      <c r="L15551" s="3"/>
      <c r="M15551" s="4"/>
      <c r="N15551" s="3" t="s">
        <v>37</v>
      </c>
      <c r="O15551" s="3" t="s">
        <v>2740</v>
      </c>
      <c r="P15551" s="5">
        <v>17</v>
      </c>
      <c r="Q15551" s="5">
        <v>303</v>
      </c>
      <c r="R15551" s="5">
        <v>17</v>
      </c>
      <c r="S15551" s="5">
        <v>303</v>
      </c>
    </row>
    <row r="15552" spans="1:19" ht="42" x14ac:dyDescent="0.15">
      <c r="A15552" s="2">
        <f>HYPERLINK("https://open-school.uspishnemisto.com.ua/school/730276/", 730276)</f>
        <v>730276</v>
      </c>
      <c r="B15552" s="3" t="s">
        <v>78517</v>
      </c>
      <c r="C15552" s="3" t="s">
        <v>31</v>
      </c>
      <c r="D15552" s="3" t="s">
        <v>32</v>
      </c>
      <c r="E15552" s="4" t="s">
        <v>22</v>
      </c>
      <c r="F15552" s="4" t="s">
        <v>78518</v>
      </c>
      <c r="G15552" s="4" t="s">
        <v>78519</v>
      </c>
      <c r="H15552" s="3" t="s">
        <v>77131</v>
      </c>
      <c r="I15552" s="3" t="s">
        <v>78520</v>
      </c>
      <c r="J15552" s="3" t="s">
        <v>78521</v>
      </c>
      <c r="K15552" s="3" t="s">
        <v>78522</v>
      </c>
      <c r="L15552" s="3" t="s">
        <v>78523</v>
      </c>
      <c r="M15552" s="4"/>
      <c r="N15552" s="3" t="s">
        <v>22346</v>
      </c>
      <c r="O15552" s="3" t="s">
        <v>2740</v>
      </c>
      <c r="P15552" s="5">
        <v>17</v>
      </c>
      <c r="Q15552" s="5">
        <v>363</v>
      </c>
      <c r="R15552" s="5">
        <v>17</v>
      </c>
      <c r="S15552" s="5">
        <v>342</v>
      </c>
    </row>
    <row r="15553" spans="1:19" ht="42" x14ac:dyDescent="0.15">
      <c r="A15553" s="2">
        <f>HYPERLINK("https://open-school.uspishnemisto.com.ua/school/730277/", 730277)</f>
        <v>730277</v>
      </c>
      <c r="B15553" s="3" t="s">
        <v>78524</v>
      </c>
      <c r="C15553" s="3" t="s">
        <v>31</v>
      </c>
      <c r="D15553" s="3" t="s">
        <v>32</v>
      </c>
      <c r="E15553" s="4" t="s">
        <v>22</v>
      </c>
      <c r="F15553" s="4" t="s">
        <v>78525</v>
      </c>
      <c r="G15553" s="4" t="s">
        <v>78526</v>
      </c>
      <c r="H15553" s="3" t="s">
        <v>77131</v>
      </c>
      <c r="I15553" s="3" t="s">
        <v>77672</v>
      </c>
      <c r="J15553" s="3" t="s">
        <v>5145</v>
      </c>
      <c r="K15553" s="3" t="s">
        <v>65889</v>
      </c>
      <c r="L15553" s="3" t="s">
        <v>78527</v>
      </c>
      <c r="M15553" s="4"/>
      <c r="N15553" s="3" t="s">
        <v>22346</v>
      </c>
      <c r="O15553" s="3" t="s">
        <v>2740</v>
      </c>
      <c r="P15553" s="5">
        <v>15</v>
      </c>
      <c r="Q15553" s="5">
        <v>262</v>
      </c>
      <c r="R15553" s="5">
        <v>15</v>
      </c>
      <c r="S15553" s="5">
        <v>262</v>
      </c>
    </row>
    <row r="15554" spans="1:19" ht="42" x14ac:dyDescent="0.15">
      <c r="A15554" s="2">
        <f>HYPERLINK("https://open-school.uspishnemisto.com.ua/school/730278/", 730278)</f>
        <v>730278</v>
      </c>
      <c r="B15554" s="3" t="s">
        <v>78528</v>
      </c>
      <c r="C15554" s="3" t="s">
        <v>31</v>
      </c>
      <c r="D15554" s="3" t="s">
        <v>32</v>
      </c>
      <c r="E15554" s="4" t="s">
        <v>22</v>
      </c>
      <c r="F15554" s="4" t="s">
        <v>78529</v>
      </c>
      <c r="G15554" s="4" t="s">
        <v>78530</v>
      </c>
      <c r="H15554" s="3" t="s">
        <v>77131</v>
      </c>
      <c r="I15554" s="3" t="s">
        <v>2359</v>
      </c>
      <c r="J15554" s="3" t="s">
        <v>78531</v>
      </c>
      <c r="K15554" s="3" t="s">
        <v>78532</v>
      </c>
      <c r="L15554" s="3" t="s">
        <v>78533</v>
      </c>
      <c r="M15554" s="4"/>
      <c r="N15554" s="3" t="s">
        <v>22346</v>
      </c>
      <c r="O15554" s="3" t="s">
        <v>11684</v>
      </c>
      <c r="P15554" s="5">
        <v>11</v>
      </c>
      <c r="Q15554" s="5">
        <v>112</v>
      </c>
      <c r="R15554" s="5">
        <v>11</v>
      </c>
      <c r="S15554" s="5">
        <v>118</v>
      </c>
    </row>
    <row r="15555" spans="1:19" ht="42" x14ac:dyDescent="0.15">
      <c r="A15555" s="2">
        <f>HYPERLINK("https://open-school.uspishnemisto.com.ua/school/730279/", 730279)</f>
        <v>730279</v>
      </c>
      <c r="B15555" s="3" t="s">
        <v>78534</v>
      </c>
      <c r="C15555" s="3" t="s">
        <v>31</v>
      </c>
      <c r="D15555" s="3" t="s">
        <v>32</v>
      </c>
      <c r="E15555" s="4" t="s">
        <v>22</v>
      </c>
      <c r="F15555" s="4" t="s">
        <v>78535</v>
      </c>
      <c r="G15555" s="4" t="s">
        <v>78536</v>
      </c>
      <c r="H15555" s="3" t="s">
        <v>77131</v>
      </c>
      <c r="I15555" s="3" t="s">
        <v>78537</v>
      </c>
      <c r="J15555" s="3" t="s">
        <v>78538</v>
      </c>
      <c r="K15555" s="3" t="s">
        <v>78539</v>
      </c>
      <c r="L15555" s="3" t="s">
        <v>78540</v>
      </c>
      <c r="M15555" s="4"/>
      <c r="N15555" s="3" t="s">
        <v>22305</v>
      </c>
      <c r="O15555" s="3" t="s">
        <v>77335</v>
      </c>
      <c r="P15555" s="5">
        <v>22</v>
      </c>
      <c r="Q15555" s="5">
        <v>353</v>
      </c>
      <c r="R15555" s="5">
        <v>22</v>
      </c>
      <c r="S15555" s="5">
        <v>351</v>
      </c>
    </row>
    <row r="15556" spans="1:19" ht="56" x14ac:dyDescent="0.15">
      <c r="A15556" s="2">
        <f>HYPERLINK("https://open-school.uspishnemisto.com.ua/school/730280/", 730280)</f>
        <v>730280</v>
      </c>
      <c r="B15556" s="3" t="s">
        <v>78541</v>
      </c>
      <c r="C15556" s="3" t="s">
        <v>54</v>
      </c>
      <c r="D15556" s="3" t="s">
        <v>32</v>
      </c>
      <c r="E15556" s="4" t="s">
        <v>22</v>
      </c>
      <c r="F15556" s="4" t="s">
        <v>78542</v>
      </c>
      <c r="G15556" s="4" t="s">
        <v>78543</v>
      </c>
      <c r="H15556" s="3" t="s">
        <v>77131</v>
      </c>
      <c r="I15556" s="3" t="s">
        <v>78544</v>
      </c>
      <c r="J15556" s="3" t="s">
        <v>78545</v>
      </c>
      <c r="K15556" s="3" t="s">
        <v>78546</v>
      </c>
      <c r="L15556" s="3" t="s">
        <v>78547</v>
      </c>
      <c r="M15556" s="4"/>
      <c r="N15556" s="3" t="s">
        <v>22305</v>
      </c>
      <c r="O15556" s="3" t="s">
        <v>77335</v>
      </c>
      <c r="P15556" s="5">
        <v>18</v>
      </c>
      <c r="Q15556" s="5">
        <v>210</v>
      </c>
      <c r="R15556" s="5">
        <v>19</v>
      </c>
      <c r="S15556" s="5">
        <v>213</v>
      </c>
    </row>
    <row r="15557" spans="1:19" ht="56" x14ac:dyDescent="0.15">
      <c r="A15557" s="2">
        <f>HYPERLINK("https://open-school.uspishnemisto.com.ua/school/730281/", 730281)</f>
        <v>730281</v>
      </c>
      <c r="B15557" s="3" t="s">
        <v>78548</v>
      </c>
      <c r="C15557" s="3" t="s">
        <v>54</v>
      </c>
      <c r="D15557" s="3" t="s">
        <v>32</v>
      </c>
      <c r="E15557" s="4" t="s">
        <v>22</v>
      </c>
      <c r="F15557" s="4" t="s">
        <v>78549</v>
      </c>
      <c r="G15557" s="4" t="s">
        <v>78550</v>
      </c>
      <c r="H15557" s="3" t="s">
        <v>77131</v>
      </c>
      <c r="I15557" s="3" t="s">
        <v>78551</v>
      </c>
      <c r="J15557" s="3" t="s">
        <v>60994</v>
      </c>
      <c r="K15557" s="3" t="s">
        <v>78552</v>
      </c>
      <c r="L15557" s="3" t="s">
        <v>78553</v>
      </c>
      <c r="M15557" s="4"/>
      <c r="N15557" s="3" t="s">
        <v>22346</v>
      </c>
      <c r="O15557" s="3" t="s">
        <v>2740</v>
      </c>
      <c r="P15557" s="5">
        <v>6</v>
      </c>
      <c r="Q15557" s="5">
        <v>49</v>
      </c>
      <c r="R15557" s="5">
        <v>7</v>
      </c>
      <c r="S15557" s="5">
        <v>52</v>
      </c>
    </row>
    <row r="15558" spans="1:19" ht="42" x14ac:dyDescent="0.15">
      <c r="A15558" s="2">
        <f>HYPERLINK("https://open-school.uspishnemisto.com.ua/school/730282/", 730282)</f>
        <v>730282</v>
      </c>
      <c r="B15558" s="3" t="s">
        <v>78554</v>
      </c>
      <c r="C15558" s="3" t="s">
        <v>31</v>
      </c>
      <c r="D15558" s="3" t="s">
        <v>32</v>
      </c>
      <c r="E15558" s="4" t="s">
        <v>22</v>
      </c>
      <c r="F15558" s="4" t="s">
        <v>78555</v>
      </c>
      <c r="G15558" s="4" t="s">
        <v>78556</v>
      </c>
      <c r="H15558" s="3" t="s">
        <v>77131</v>
      </c>
      <c r="I15558" s="3" t="s">
        <v>78557</v>
      </c>
      <c r="J15558" s="3" t="s">
        <v>21796</v>
      </c>
      <c r="K15558" s="3" t="s">
        <v>78558</v>
      </c>
      <c r="L15558" s="3" t="s">
        <v>78559</v>
      </c>
      <c r="M15558" s="4"/>
      <c r="N15558" s="3" t="s">
        <v>37</v>
      </c>
      <c r="O15558" s="3" t="s">
        <v>38</v>
      </c>
      <c r="P15558" s="5">
        <v>11</v>
      </c>
      <c r="Q15558" s="5">
        <v>182</v>
      </c>
      <c r="R15558" s="5">
        <v>11</v>
      </c>
      <c r="S15558" s="5">
        <v>184</v>
      </c>
    </row>
    <row r="15559" spans="1:19" ht="56" x14ac:dyDescent="0.15">
      <c r="A15559" s="2">
        <f>HYPERLINK("https://open-school.uspishnemisto.com.ua/school/730283/", 730283)</f>
        <v>730283</v>
      </c>
      <c r="B15559" s="3" t="s">
        <v>78560</v>
      </c>
      <c r="C15559" s="3" t="s">
        <v>54</v>
      </c>
      <c r="D15559" s="3" t="s">
        <v>175</v>
      </c>
      <c r="E15559" s="4" t="s">
        <v>22</v>
      </c>
      <c r="F15559" s="4" t="s">
        <v>78561</v>
      </c>
      <c r="G15559" s="4" t="s">
        <v>78562</v>
      </c>
      <c r="H15559" s="3" t="s">
        <v>77131</v>
      </c>
      <c r="I15559" s="3" t="s">
        <v>78563</v>
      </c>
      <c r="J15559" s="3" t="s">
        <v>78564</v>
      </c>
      <c r="K15559" s="3" t="s">
        <v>78565</v>
      </c>
      <c r="L15559" s="3"/>
      <c r="M15559" s="4"/>
      <c r="N15559" s="3" t="s">
        <v>22346</v>
      </c>
      <c r="O15559" s="3" t="s">
        <v>2740</v>
      </c>
      <c r="P15559" s="5">
        <v>8</v>
      </c>
      <c r="Q15559" s="5">
        <v>74</v>
      </c>
      <c r="R15559" s="5">
        <v>8</v>
      </c>
      <c r="S15559" s="5">
        <v>79</v>
      </c>
    </row>
    <row r="15560" spans="1:19" ht="42" x14ac:dyDescent="0.15">
      <c r="A15560" s="2">
        <f>HYPERLINK("https://open-school.uspishnemisto.com.ua/school/730284/", 730284)</f>
        <v>730284</v>
      </c>
      <c r="B15560" s="3" t="s">
        <v>78566</v>
      </c>
      <c r="C15560" s="3" t="s">
        <v>31</v>
      </c>
      <c r="D15560" s="3" t="s">
        <v>32</v>
      </c>
      <c r="E15560" s="4" t="s">
        <v>22</v>
      </c>
      <c r="F15560" s="4" t="s">
        <v>78567</v>
      </c>
      <c r="G15560" s="4" t="s">
        <v>78568</v>
      </c>
      <c r="H15560" s="3" t="s">
        <v>77131</v>
      </c>
      <c r="I15560" s="3" t="s">
        <v>33585</v>
      </c>
      <c r="J15560" s="3" t="s">
        <v>466</v>
      </c>
      <c r="K15560" s="3" t="s">
        <v>78569</v>
      </c>
      <c r="L15560" s="3" t="s">
        <v>78570</v>
      </c>
      <c r="M15560" s="4"/>
      <c r="N15560" s="3" t="s">
        <v>22305</v>
      </c>
      <c r="O15560" s="3" t="s">
        <v>77335</v>
      </c>
      <c r="P15560" s="5">
        <v>15</v>
      </c>
      <c r="Q15560" s="5">
        <v>274</v>
      </c>
      <c r="R15560" s="5">
        <v>16</v>
      </c>
      <c r="S15560" s="5">
        <v>276</v>
      </c>
    </row>
    <row r="15561" spans="1:19" ht="42" x14ac:dyDescent="0.15">
      <c r="A15561" s="2">
        <f>HYPERLINK("https://open-school.uspishnemisto.com.ua/school/730285/", 730285)</f>
        <v>730285</v>
      </c>
      <c r="B15561" s="3" t="s">
        <v>78571</v>
      </c>
      <c r="C15561" s="3" t="s">
        <v>31</v>
      </c>
      <c r="D15561" s="3" t="s">
        <v>32</v>
      </c>
      <c r="E15561" s="4" t="s">
        <v>22</v>
      </c>
      <c r="F15561" s="4" t="s">
        <v>78572</v>
      </c>
      <c r="G15561" s="4" t="s">
        <v>78573</v>
      </c>
      <c r="H15561" s="3" t="s">
        <v>77131</v>
      </c>
      <c r="I15561" s="3" t="s">
        <v>78574</v>
      </c>
      <c r="J15561" s="3" t="s">
        <v>54212</v>
      </c>
      <c r="K15561" s="3" t="s">
        <v>78575</v>
      </c>
      <c r="L15561" s="3"/>
      <c r="M15561" s="4"/>
      <c r="N15561" s="3" t="s">
        <v>37</v>
      </c>
      <c r="O15561" s="3" t="s">
        <v>52</v>
      </c>
      <c r="P15561" s="5">
        <v>22</v>
      </c>
      <c r="Q15561" s="5">
        <v>508</v>
      </c>
      <c r="R15561" s="5">
        <v>22</v>
      </c>
      <c r="S15561" s="5">
        <v>498</v>
      </c>
    </row>
    <row r="15562" spans="1:19" ht="56" x14ac:dyDescent="0.15">
      <c r="A15562" s="2">
        <f>HYPERLINK("https://open-school.uspishnemisto.com.ua/school/730286/", 730286)</f>
        <v>730286</v>
      </c>
      <c r="B15562" s="3" t="s">
        <v>78576</v>
      </c>
      <c r="C15562" s="3" t="s">
        <v>54</v>
      </c>
      <c r="D15562" s="3" t="s">
        <v>175</v>
      </c>
      <c r="E15562" s="4" t="s">
        <v>22</v>
      </c>
      <c r="F15562" s="4" t="s">
        <v>78577</v>
      </c>
      <c r="G15562" s="4" t="s">
        <v>78578</v>
      </c>
      <c r="H15562" s="3" t="s">
        <v>77131</v>
      </c>
      <c r="I15562" s="3" t="s">
        <v>78579</v>
      </c>
      <c r="J15562" s="3" t="s">
        <v>21573</v>
      </c>
      <c r="K15562" s="3" t="s">
        <v>78580</v>
      </c>
      <c r="L15562" s="3" t="s">
        <v>78581</v>
      </c>
      <c r="M15562" s="4"/>
      <c r="N15562" s="3" t="s">
        <v>37</v>
      </c>
      <c r="O15562" s="3" t="s">
        <v>2740</v>
      </c>
      <c r="P15562" s="5">
        <v>9</v>
      </c>
      <c r="Q15562" s="5">
        <v>74</v>
      </c>
      <c r="R15562" s="5">
        <v>9</v>
      </c>
      <c r="S15562" s="5">
        <v>84</v>
      </c>
    </row>
    <row r="15563" spans="1:19" ht="56" x14ac:dyDescent="0.15">
      <c r="A15563" s="2">
        <f>HYPERLINK("https://open-school.uspishnemisto.com.ua/school/730287/", 730287)</f>
        <v>730287</v>
      </c>
      <c r="B15563" s="3" t="s">
        <v>78582</v>
      </c>
      <c r="C15563" s="3" t="s">
        <v>54</v>
      </c>
      <c r="D15563" s="3" t="s">
        <v>32</v>
      </c>
      <c r="E15563" s="4" t="s">
        <v>22</v>
      </c>
      <c r="F15563" s="4" t="s">
        <v>78583</v>
      </c>
      <c r="G15563" s="4" t="s">
        <v>78584</v>
      </c>
      <c r="H15563" s="3" t="s">
        <v>77131</v>
      </c>
      <c r="I15563" s="3" t="s">
        <v>19024</v>
      </c>
      <c r="J15563" s="3" t="s">
        <v>21048</v>
      </c>
      <c r="K15563" s="3" t="s">
        <v>78585</v>
      </c>
      <c r="L15563" s="3" t="s">
        <v>78586</v>
      </c>
      <c r="M15563" s="4"/>
      <c r="N15563" s="3" t="s">
        <v>37</v>
      </c>
      <c r="O15563" s="3" t="s">
        <v>2740</v>
      </c>
      <c r="P15563" s="5">
        <v>10</v>
      </c>
      <c r="Q15563" s="5">
        <v>111</v>
      </c>
      <c r="R15563" s="5">
        <v>10</v>
      </c>
      <c r="S15563" s="5">
        <v>111</v>
      </c>
    </row>
    <row r="15564" spans="1:19" ht="56" x14ac:dyDescent="0.15">
      <c r="A15564" s="2">
        <f>HYPERLINK("https://open-school.uspishnemisto.com.ua/school/730288/", 730288)</f>
        <v>730288</v>
      </c>
      <c r="B15564" s="3" t="s">
        <v>78587</v>
      </c>
      <c r="C15564" s="3" t="s">
        <v>54</v>
      </c>
      <c r="D15564" s="3" t="s">
        <v>32</v>
      </c>
      <c r="E15564" s="4" t="s">
        <v>22</v>
      </c>
      <c r="F15564" s="4" t="s">
        <v>78588</v>
      </c>
      <c r="G15564" s="4" t="s">
        <v>78589</v>
      </c>
      <c r="H15564" s="3" t="s">
        <v>77131</v>
      </c>
      <c r="I15564" s="3" t="s">
        <v>78590</v>
      </c>
      <c r="J15564" s="3" t="s">
        <v>4728</v>
      </c>
      <c r="K15564" s="3" t="s">
        <v>78591</v>
      </c>
      <c r="L15564" s="3"/>
      <c r="M15564" s="4"/>
      <c r="N15564" s="3" t="s">
        <v>22346</v>
      </c>
      <c r="O15564" s="3" t="s">
        <v>2740</v>
      </c>
      <c r="P15564" s="5">
        <v>9</v>
      </c>
      <c r="Q15564" s="5">
        <v>100</v>
      </c>
      <c r="R15564" s="5">
        <v>9</v>
      </c>
      <c r="S15564" s="5">
        <v>112</v>
      </c>
    </row>
    <row r="15565" spans="1:19" ht="56" x14ac:dyDescent="0.15">
      <c r="A15565" s="2">
        <f>HYPERLINK("https://open-school.uspishnemisto.com.ua/school/730289/", 730289)</f>
        <v>730289</v>
      </c>
      <c r="B15565" s="3" t="s">
        <v>78592</v>
      </c>
      <c r="C15565" s="3" t="s">
        <v>54</v>
      </c>
      <c r="D15565" s="3" t="s">
        <v>175</v>
      </c>
      <c r="E15565" s="4" t="s">
        <v>22</v>
      </c>
      <c r="F15565" s="4" t="s">
        <v>78593</v>
      </c>
      <c r="G15565" s="4" t="s">
        <v>78594</v>
      </c>
      <c r="H15565" s="3" t="s">
        <v>77131</v>
      </c>
      <c r="I15565" s="3" t="s">
        <v>4034</v>
      </c>
      <c r="J15565" s="3" t="s">
        <v>78595</v>
      </c>
      <c r="K15565" s="3" t="s">
        <v>78596</v>
      </c>
      <c r="L15565" s="3" t="s">
        <v>78597</v>
      </c>
      <c r="M15565" s="4"/>
      <c r="N15565" s="3" t="s">
        <v>37</v>
      </c>
      <c r="O15565" s="3" t="s">
        <v>77344</v>
      </c>
      <c r="P15565" s="5">
        <v>9</v>
      </c>
      <c r="Q15565" s="5">
        <v>90</v>
      </c>
      <c r="R15565" s="5">
        <v>9</v>
      </c>
      <c r="S15565" s="5">
        <v>88</v>
      </c>
    </row>
    <row r="15566" spans="1:19" ht="42" x14ac:dyDescent="0.15">
      <c r="A15566" s="2">
        <f>HYPERLINK("https://open-school.uspishnemisto.com.ua/school/730290/", 730290)</f>
        <v>730290</v>
      </c>
      <c r="B15566" s="3" t="s">
        <v>78598</v>
      </c>
      <c r="C15566" s="3" t="s">
        <v>31</v>
      </c>
      <c r="D15566" s="3" t="s">
        <v>32</v>
      </c>
      <c r="E15566" s="4" t="s">
        <v>22</v>
      </c>
      <c r="F15566" s="4" t="s">
        <v>78599</v>
      </c>
      <c r="G15566" s="4" t="s">
        <v>78600</v>
      </c>
      <c r="H15566" s="3" t="s">
        <v>77131</v>
      </c>
      <c r="I15566" s="3" t="s">
        <v>78601</v>
      </c>
      <c r="J15566" s="3" t="s">
        <v>466</v>
      </c>
      <c r="K15566" s="3" t="s">
        <v>78602</v>
      </c>
      <c r="L15566" s="3" t="s">
        <v>78603</v>
      </c>
      <c r="M15566" s="4"/>
      <c r="N15566" s="3" t="s">
        <v>22305</v>
      </c>
      <c r="O15566" s="3" t="s">
        <v>77335</v>
      </c>
      <c r="P15566" s="5">
        <v>18</v>
      </c>
      <c r="Q15566" s="5">
        <v>341</v>
      </c>
      <c r="R15566" s="5">
        <v>19</v>
      </c>
      <c r="S15566" s="5">
        <v>347</v>
      </c>
    </row>
    <row r="15567" spans="1:19" ht="42" x14ac:dyDescent="0.15">
      <c r="A15567" s="2">
        <f>HYPERLINK("https://open-school.uspishnemisto.com.ua/school/730291/", 730291)</f>
        <v>730291</v>
      </c>
      <c r="B15567" s="3" t="s">
        <v>78604</v>
      </c>
      <c r="C15567" s="3" t="s">
        <v>31</v>
      </c>
      <c r="D15567" s="3" t="s">
        <v>32</v>
      </c>
      <c r="E15567" s="4" t="s">
        <v>22</v>
      </c>
      <c r="F15567" s="4" t="s">
        <v>78605</v>
      </c>
      <c r="G15567" s="4" t="s">
        <v>78606</v>
      </c>
      <c r="H15567" s="3" t="s">
        <v>77131</v>
      </c>
      <c r="I15567" s="3" t="s">
        <v>27985</v>
      </c>
      <c r="J15567" s="3" t="s">
        <v>5492</v>
      </c>
      <c r="K15567" s="3" t="s">
        <v>78607</v>
      </c>
      <c r="L15567" s="3" t="s">
        <v>78608</v>
      </c>
      <c r="M15567" s="4"/>
      <c r="N15567" s="3" t="s">
        <v>37</v>
      </c>
      <c r="O15567" s="3" t="s">
        <v>52</v>
      </c>
      <c r="P15567" s="5">
        <v>20</v>
      </c>
      <c r="Q15567" s="5">
        <v>430</v>
      </c>
      <c r="R15567" s="5">
        <v>21</v>
      </c>
      <c r="S15567" s="5">
        <v>423</v>
      </c>
    </row>
    <row r="15568" spans="1:19" ht="56" x14ac:dyDescent="0.15">
      <c r="A15568" s="2">
        <f>HYPERLINK("https://open-school.uspishnemisto.com.ua/school/730292/", 730292)</f>
        <v>730292</v>
      </c>
      <c r="B15568" s="3" t="s">
        <v>78609</v>
      </c>
      <c r="C15568" s="3" t="s">
        <v>54</v>
      </c>
      <c r="D15568" s="3" t="s">
        <v>175</v>
      </c>
      <c r="E15568" s="4" t="s">
        <v>22</v>
      </c>
      <c r="F15568" s="4" t="s">
        <v>78610</v>
      </c>
      <c r="G15568" s="4" t="s">
        <v>78611</v>
      </c>
      <c r="H15568" s="3" t="s">
        <v>77131</v>
      </c>
      <c r="I15568" s="3" t="s">
        <v>78612</v>
      </c>
      <c r="J15568" s="3" t="s">
        <v>1360</v>
      </c>
      <c r="K15568" s="3" t="s">
        <v>78613</v>
      </c>
      <c r="L15568" s="3" t="s">
        <v>78614</v>
      </c>
      <c r="M15568" s="4"/>
      <c r="N15568" s="3" t="s">
        <v>22305</v>
      </c>
      <c r="O15568" s="3" t="s">
        <v>78466</v>
      </c>
      <c r="P15568" s="5">
        <v>8</v>
      </c>
      <c r="Q15568" s="5">
        <v>64</v>
      </c>
      <c r="R15568" s="5">
        <v>8</v>
      </c>
      <c r="S15568" s="5">
        <v>59</v>
      </c>
    </row>
    <row r="15569" spans="1:19" ht="42" x14ac:dyDescent="0.15">
      <c r="A15569" s="2">
        <f>HYPERLINK("https://open-school.uspishnemisto.com.ua/school/730293/", 730293)</f>
        <v>730293</v>
      </c>
      <c r="B15569" s="3" t="s">
        <v>78615</v>
      </c>
      <c r="C15569" s="3" t="s">
        <v>31</v>
      </c>
      <c r="D15569" s="3" t="s">
        <v>32</v>
      </c>
      <c r="E15569" s="4" t="s">
        <v>22</v>
      </c>
      <c r="F15569" s="4" t="s">
        <v>78616</v>
      </c>
      <c r="G15569" s="4" t="s">
        <v>78617</v>
      </c>
      <c r="H15569" s="3" t="s">
        <v>77131</v>
      </c>
      <c r="I15569" s="3" t="s">
        <v>78618</v>
      </c>
      <c r="J15569" s="3" t="s">
        <v>78619</v>
      </c>
      <c r="K15569" s="3" t="s">
        <v>78620</v>
      </c>
      <c r="L15569" s="3" t="s">
        <v>78621</v>
      </c>
      <c r="M15569" s="4"/>
      <c r="N15569" s="3" t="s">
        <v>22346</v>
      </c>
      <c r="O15569" s="3" t="s">
        <v>2740</v>
      </c>
      <c r="P15569" s="5">
        <v>11</v>
      </c>
      <c r="Q15569" s="5">
        <v>187</v>
      </c>
      <c r="R15569" s="5">
        <v>11</v>
      </c>
      <c r="S15569" s="5">
        <v>189</v>
      </c>
    </row>
    <row r="15570" spans="1:19" ht="56" x14ac:dyDescent="0.15">
      <c r="A15570" s="2">
        <f>HYPERLINK("https://open-school.uspishnemisto.com.ua/school/730294/", 730294)</f>
        <v>730294</v>
      </c>
      <c r="B15570" s="3" t="s">
        <v>78622</v>
      </c>
      <c r="C15570" s="3" t="s">
        <v>54</v>
      </c>
      <c r="D15570" s="3" t="s">
        <v>32</v>
      </c>
      <c r="E15570" s="4" t="s">
        <v>22</v>
      </c>
      <c r="F15570" s="4" t="s">
        <v>78623</v>
      </c>
      <c r="G15570" s="4" t="s">
        <v>78624</v>
      </c>
      <c r="H15570" s="3" t="s">
        <v>77131</v>
      </c>
      <c r="I15570" s="3" t="s">
        <v>78625</v>
      </c>
      <c r="J15570" s="3" t="s">
        <v>77530</v>
      </c>
      <c r="K15570" s="3" t="s">
        <v>78626</v>
      </c>
      <c r="L15570" s="3" t="s">
        <v>78627</v>
      </c>
      <c r="M15570" s="4"/>
      <c r="N15570" s="3" t="s">
        <v>37</v>
      </c>
      <c r="O15570" s="3" t="s">
        <v>52</v>
      </c>
      <c r="P15570" s="5">
        <v>14</v>
      </c>
      <c r="Q15570" s="5">
        <v>277</v>
      </c>
      <c r="R15570" s="5">
        <v>14</v>
      </c>
      <c r="S15570" s="5">
        <v>279</v>
      </c>
    </row>
    <row r="15571" spans="1:19" ht="56" x14ac:dyDescent="0.15">
      <c r="A15571" s="2">
        <f>HYPERLINK("https://open-school.uspishnemisto.com.ua/school/730295/", 730295)</f>
        <v>730295</v>
      </c>
      <c r="B15571" s="3" t="s">
        <v>78628</v>
      </c>
      <c r="C15571" s="3" t="s">
        <v>54</v>
      </c>
      <c r="D15571" s="3" t="s">
        <v>175</v>
      </c>
      <c r="E15571" s="4" t="s">
        <v>22</v>
      </c>
      <c r="F15571" s="4" t="s">
        <v>78629</v>
      </c>
      <c r="G15571" s="4" t="s">
        <v>78630</v>
      </c>
      <c r="H15571" s="3" t="s">
        <v>77131</v>
      </c>
      <c r="I15571" s="3" t="s">
        <v>78631</v>
      </c>
      <c r="J15571" s="3" t="s">
        <v>10830</v>
      </c>
      <c r="K15571" s="3" t="s">
        <v>78632</v>
      </c>
      <c r="L15571" s="3" t="s">
        <v>78633</v>
      </c>
      <c r="M15571" s="4"/>
      <c r="N15571" s="3" t="s">
        <v>37</v>
      </c>
      <c r="O15571" s="3" t="s">
        <v>2740</v>
      </c>
      <c r="P15571" s="5">
        <v>9</v>
      </c>
      <c r="Q15571" s="5">
        <v>69</v>
      </c>
      <c r="R15571" s="5">
        <v>8</v>
      </c>
      <c r="S15571" s="5">
        <v>67</v>
      </c>
    </row>
    <row r="15572" spans="1:19" ht="28" x14ac:dyDescent="0.15">
      <c r="A15572" s="2">
        <f>HYPERLINK("https://open-school.uspishnemisto.com.ua/school/730296/", 730296)</f>
        <v>730296</v>
      </c>
      <c r="B15572" s="3" t="s">
        <v>78634</v>
      </c>
      <c r="C15572" s="3" t="s">
        <v>40</v>
      </c>
      <c r="D15572" s="3" t="s">
        <v>32</v>
      </c>
      <c r="E15572" s="4" t="s">
        <v>22</v>
      </c>
      <c r="F15572" s="4" t="s">
        <v>78635</v>
      </c>
      <c r="G15572" s="4" t="s">
        <v>78636</v>
      </c>
      <c r="H15572" s="3" t="s">
        <v>77131</v>
      </c>
      <c r="I15572" s="3" t="s">
        <v>78637</v>
      </c>
      <c r="J15572" s="3" t="s">
        <v>78638</v>
      </c>
      <c r="K15572" s="3" t="s">
        <v>78639</v>
      </c>
      <c r="L15572" s="3" t="s">
        <v>78640</v>
      </c>
      <c r="M15572" s="4" t="s">
        <v>78641</v>
      </c>
      <c r="N15572" s="3" t="s">
        <v>37</v>
      </c>
      <c r="O15572" s="3" t="s">
        <v>46</v>
      </c>
      <c r="P15572" s="5">
        <v>10</v>
      </c>
      <c r="Q15572" s="5">
        <v>184</v>
      </c>
      <c r="R15572" s="5">
        <v>10</v>
      </c>
      <c r="S15572" s="5">
        <v>172</v>
      </c>
    </row>
    <row r="15573" spans="1:19" ht="42" x14ac:dyDescent="0.15">
      <c r="A15573" s="2">
        <f>HYPERLINK("https://open-school.uspishnemisto.com.ua/school/730297/", 730297)</f>
        <v>730297</v>
      </c>
      <c r="B15573" s="3" t="s">
        <v>78642</v>
      </c>
      <c r="C15573" s="3" t="s">
        <v>31</v>
      </c>
      <c r="D15573" s="3" t="s">
        <v>32</v>
      </c>
      <c r="E15573" s="4" t="s">
        <v>22</v>
      </c>
      <c r="F15573" s="4" t="s">
        <v>78635</v>
      </c>
      <c r="G15573" s="4" t="s">
        <v>78636</v>
      </c>
      <c r="H15573" s="3" t="s">
        <v>77131</v>
      </c>
      <c r="I15573" s="3" t="s">
        <v>78637</v>
      </c>
      <c r="J15573" s="3" t="s">
        <v>78643</v>
      </c>
      <c r="K15573" s="3" t="s">
        <v>78644</v>
      </c>
      <c r="L15573" s="3" t="s">
        <v>78645</v>
      </c>
      <c r="M15573" s="4" t="s">
        <v>78646</v>
      </c>
      <c r="N15573" s="3" t="s">
        <v>37</v>
      </c>
      <c r="O15573" s="3" t="s">
        <v>70</v>
      </c>
      <c r="P15573" s="5">
        <v>26</v>
      </c>
      <c r="Q15573" s="5">
        <v>630</v>
      </c>
      <c r="R15573" s="5">
        <v>26</v>
      </c>
      <c r="S15573" s="5">
        <v>603</v>
      </c>
    </row>
    <row r="15574" spans="1:19" ht="28" x14ac:dyDescent="0.15">
      <c r="A15574" s="2">
        <f>HYPERLINK("https://open-school.uspishnemisto.com.ua/school/730298/", 730298)</f>
        <v>730298</v>
      </c>
      <c r="B15574" s="3" t="s">
        <v>78647</v>
      </c>
      <c r="C15574" s="3" t="s">
        <v>31</v>
      </c>
      <c r="D15574" s="3" t="s">
        <v>60</v>
      </c>
      <c r="E15574" s="4" t="s">
        <v>22</v>
      </c>
      <c r="F15574" s="4" t="s">
        <v>78635</v>
      </c>
      <c r="G15574" s="4" t="s">
        <v>78648</v>
      </c>
      <c r="H15574" s="3" t="s">
        <v>77131</v>
      </c>
      <c r="I15574" s="3" t="s">
        <v>78649</v>
      </c>
      <c r="J15574" s="3" t="s">
        <v>78650</v>
      </c>
      <c r="K15574" s="3" t="s">
        <v>78651</v>
      </c>
      <c r="L15574" s="3"/>
      <c r="M15574" s="4"/>
      <c r="N15574" s="3" t="s">
        <v>37</v>
      </c>
      <c r="O15574" s="3" t="s">
        <v>52</v>
      </c>
      <c r="P15574" s="5">
        <v>1</v>
      </c>
      <c r="Q15574" s="5">
        <v>16</v>
      </c>
      <c r="R15574" s="5">
        <v>2</v>
      </c>
      <c r="S15574" s="5">
        <v>17</v>
      </c>
    </row>
    <row r="15575" spans="1:19" ht="28" x14ac:dyDescent="0.15">
      <c r="A15575" s="2">
        <f>HYPERLINK("https://open-school.uspishnemisto.com.ua/school/730299/", 730299)</f>
        <v>730299</v>
      </c>
      <c r="B15575" s="3" t="s">
        <v>78652</v>
      </c>
      <c r="C15575" s="3" t="s">
        <v>31</v>
      </c>
      <c r="D15575" s="3" t="s">
        <v>32</v>
      </c>
      <c r="E15575" s="4" t="s">
        <v>22</v>
      </c>
      <c r="F15575" s="4" t="s">
        <v>78653</v>
      </c>
      <c r="G15575" s="4" t="s">
        <v>78654</v>
      </c>
      <c r="H15575" s="3" t="s">
        <v>77131</v>
      </c>
      <c r="I15575" s="3" t="s">
        <v>78655</v>
      </c>
      <c r="J15575" s="3" t="s">
        <v>78656</v>
      </c>
      <c r="K15575" s="3" t="s">
        <v>78657</v>
      </c>
      <c r="L15575" s="3" t="s">
        <v>78658</v>
      </c>
      <c r="M15575" s="4" t="s">
        <v>78659</v>
      </c>
      <c r="N15575" s="3" t="s">
        <v>37</v>
      </c>
      <c r="O15575" s="3" t="s">
        <v>70</v>
      </c>
      <c r="P15575" s="5">
        <v>16</v>
      </c>
      <c r="Q15575" s="5">
        <v>326</v>
      </c>
      <c r="R15575" s="5">
        <v>16</v>
      </c>
      <c r="S15575" s="5">
        <v>320</v>
      </c>
    </row>
    <row r="15576" spans="1:19" ht="42" x14ac:dyDescent="0.15">
      <c r="A15576" s="2">
        <f>HYPERLINK("https://open-school.uspishnemisto.com.ua/school/730300/", 730300)</f>
        <v>730300</v>
      </c>
      <c r="B15576" s="3" t="s">
        <v>78660</v>
      </c>
      <c r="C15576" s="3" t="s">
        <v>31</v>
      </c>
      <c r="D15576" s="3" t="s">
        <v>175</v>
      </c>
      <c r="E15576" s="4" t="s">
        <v>22</v>
      </c>
      <c r="F15576" s="4" t="s">
        <v>78653</v>
      </c>
      <c r="G15576" s="4" t="s">
        <v>78661</v>
      </c>
      <c r="H15576" s="3" t="s">
        <v>77131</v>
      </c>
      <c r="I15576" s="3" t="s">
        <v>78662</v>
      </c>
      <c r="J15576" s="3" t="s">
        <v>78663</v>
      </c>
      <c r="K15576" s="3" t="s">
        <v>78664</v>
      </c>
      <c r="L15576" s="3"/>
      <c r="M15576" s="4" t="s">
        <v>78665</v>
      </c>
      <c r="N15576" s="3" t="s">
        <v>37</v>
      </c>
      <c r="O15576" s="3" t="s">
        <v>618</v>
      </c>
      <c r="P15576" s="5">
        <v>7</v>
      </c>
      <c r="Q15576" s="5">
        <v>45</v>
      </c>
      <c r="R15576" s="5">
        <v>7</v>
      </c>
      <c r="S15576" s="5">
        <v>45</v>
      </c>
    </row>
    <row r="15577" spans="1:19" ht="28" x14ac:dyDescent="0.15">
      <c r="A15577" s="2">
        <f>HYPERLINK("https://open-school.uspishnemisto.com.ua/school/730301/", 730301)</f>
        <v>730301</v>
      </c>
      <c r="B15577" s="3" t="s">
        <v>78666</v>
      </c>
      <c r="C15577" s="3" t="s">
        <v>31</v>
      </c>
      <c r="D15577" s="3" t="s">
        <v>32</v>
      </c>
      <c r="E15577" s="4" t="s">
        <v>22</v>
      </c>
      <c r="F15577" s="4" t="s">
        <v>78667</v>
      </c>
      <c r="G15577" s="4" t="s">
        <v>78668</v>
      </c>
      <c r="H15577" s="3" t="s">
        <v>77131</v>
      </c>
      <c r="I15577" s="3" t="s">
        <v>78669</v>
      </c>
      <c r="J15577" s="3" t="s">
        <v>78670</v>
      </c>
      <c r="K15577" s="3" t="s">
        <v>78671</v>
      </c>
      <c r="L15577" s="3"/>
      <c r="M15577" s="4" t="s">
        <v>78672</v>
      </c>
      <c r="N15577" s="3" t="s">
        <v>37</v>
      </c>
      <c r="O15577" s="3" t="s">
        <v>46</v>
      </c>
      <c r="P15577" s="5">
        <v>17</v>
      </c>
      <c r="Q15577" s="5">
        <v>319</v>
      </c>
      <c r="R15577" s="5">
        <v>17</v>
      </c>
      <c r="S15577" s="5">
        <v>325</v>
      </c>
    </row>
    <row r="15578" spans="1:19" ht="42" x14ac:dyDescent="0.15">
      <c r="A15578" s="2">
        <f>HYPERLINK("https://open-school.uspishnemisto.com.ua/school/730302/", 730302)</f>
        <v>730302</v>
      </c>
      <c r="B15578" s="3" t="s">
        <v>78673</v>
      </c>
      <c r="C15578" s="3" t="s">
        <v>31</v>
      </c>
      <c r="D15578" s="3" t="s">
        <v>32</v>
      </c>
      <c r="E15578" s="4" t="s">
        <v>22</v>
      </c>
      <c r="F15578" s="4" t="s">
        <v>78674</v>
      </c>
      <c r="G15578" s="4" t="s">
        <v>78675</v>
      </c>
      <c r="H15578" s="3" t="s">
        <v>77131</v>
      </c>
      <c r="I15578" s="3" t="s">
        <v>78676</v>
      </c>
      <c r="J15578" s="3" t="s">
        <v>78677</v>
      </c>
      <c r="K15578" s="3" t="s">
        <v>78678</v>
      </c>
      <c r="L15578" s="3" t="s">
        <v>78679</v>
      </c>
      <c r="M15578" s="4" t="s">
        <v>78680</v>
      </c>
      <c r="N15578" s="3" t="s">
        <v>37</v>
      </c>
      <c r="O15578" s="3" t="s">
        <v>46</v>
      </c>
      <c r="P15578" s="5">
        <v>11</v>
      </c>
      <c r="Q15578" s="5">
        <v>194</v>
      </c>
      <c r="R15578" s="5">
        <v>11</v>
      </c>
      <c r="S15578" s="5">
        <v>189</v>
      </c>
    </row>
    <row r="15579" spans="1:19" ht="28" x14ac:dyDescent="0.15">
      <c r="A15579" s="2">
        <f>HYPERLINK("https://open-school.uspishnemisto.com.ua/school/730303/", 730303)</f>
        <v>730303</v>
      </c>
      <c r="B15579" s="3" t="s">
        <v>78681</v>
      </c>
      <c r="C15579" s="3" t="s">
        <v>31</v>
      </c>
      <c r="D15579" s="3" t="s">
        <v>32</v>
      </c>
      <c r="E15579" s="4" t="s">
        <v>22</v>
      </c>
      <c r="F15579" s="4" t="s">
        <v>78682</v>
      </c>
      <c r="G15579" s="4" t="s">
        <v>78683</v>
      </c>
      <c r="H15579" s="3" t="s">
        <v>77131</v>
      </c>
      <c r="I15579" s="3" t="s">
        <v>78684</v>
      </c>
      <c r="J15579" s="3" t="s">
        <v>5832</v>
      </c>
      <c r="K15579" s="3" t="s">
        <v>78685</v>
      </c>
      <c r="L15579" s="3"/>
      <c r="M15579" s="4" t="s">
        <v>78686</v>
      </c>
      <c r="N15579" s="3" t="s">
        <v>37</v>
      </c>
      <c r="O15579" s="3" t="s">
        <v>38</v>
      </c>
      <c r="P15579" s="5">
        <v>11</v>
      </c>
      <c r="Q15579" s="5">
        <v>153</v>
      </c>
      <c r="R15579" s="5">
        <v>11</v>
      </c>
      <c r="S15579" s="5">
        <v>153</v>
      </c>
    </row>
    <row r="15580" spans="1:19" ht="28" x14ac:dyDescent="0.15">
      <c r="A15580" s="2">
        <f>HYPERLINK("https://open-school.uspishnemisto.com.ua/school/730304/", 730304)</f>
        <v>730304</v>
      </c>
      <c r="B15580" s="3" t="s">
        <v>78687</v>
      </c>
      <c r="C15580" s="3" t="s">
        <v>31</v>
      </c>
      <c r="D15580" s="3" t="s">
        <v>32</v>
      </c>
      <c r="E15580" s="4" t="s">
        <v>22</v>
      </c>
      <c r="F15580" s="4" t="s">
        <v>78682</v>
      </c>
      <c r="G15580" s="4" t="s">
        <v>78688</v>
      </c>
      <c r="H15580" s="3" t="s">
        <v>77131</v>
      </c>
      <c r="I15580" s="3" t="s">
        <v>78689</v>
      </c>
      <c r="J15580" s="3" t="s">
        <v>78690</v>
      </c>
      <c r="K15580" s="3" t="s">
        <v>78691</v>
      </c>
      <c r="L15580" s="3"/>
      <c r="M15580" s="4" t="s">
        <v>78692</v>
      </c>
      <c r="N15580" s="3" t="s">
        <v>37</v>
      </c>
      <c r="O15580" s="3" t="s">
        <v>618</v>
      </c>
      <c r="P15580" s="5">
        <v>11</v>
      </c>
      <c r="Q15580" s="5">
        <v>113</v>
      </c>
      <c r="R15580" s="5">
        <v>11</v>
      </c>
      <c r="S15580" s="5">
        <v>119</v>
      </c>
    </row>
    <row r="15581" spans="1:19" ht="28" x14ac:dyDescent="0.15">
      <c r="A15581" s="2">
        <f>HYPERLINK("https://open-school.uspishnemisto.com.ua/school/730305/", 730305)</f>
        <v>730305</v>
      </c>
      <c r="B15581" s="3" t="s">
        <v>78693</v>
      </c>
      <c r="C15581" s="3" t="s">
        <v>54</v>
      </c>
      <c r="D15581" s="3" t="s">
        <v>32</v>
      </c>
      <c r="E15581" s="4" t="s">
        <v>22</v>
      </c>
      <c r="F15581" s="4" t="s">
        <v>78694</v>
      </c>
      <c r="G15581" s="4" t="s">
        <v>78695</v>
      </c>
      <c r="H15581" s="3" t="s">
        <v>77131</v>
      </c>
      <c r="I15581" s="3" t="s">
        <v>78696</v>
      </c>
      <c r="J15581" s="3" t="s">
        <v>78697</v>
      </c>
      <c r="K15581" s="3" t="s">
        <v>78698</v>
      </c>
      <c r="L15581" s="3" t="s">
        <v>78699</v>
      </c>
      <c r="M15581" s="4" t="s">
        <v>78700</v>
      </c>
      <c r="N15581" s="3" t="s">
        <v>37</v>
      </c>
      <c r="O15581" s="3" t="s">
        <v>38</v>
      </c>
      <c r="P15581" s="5">
        <v>11</v>
      </c>
      <c r="Q15581" s="5">
        <v>180</v>
      </c>
      <c r="R15581" s="5">
        <v>11</v>
      </c>
      <c r="S15581" s="5">
        <v>182</v>
      </c>
    </row>
    <row r="15582" spans="1:19" ht="42" x14ac:dyDescent="0.15">
      <c r="A15582" s="2">
        <f>HYPERLINK("https://open-school.uspishnemisto.com.ua/school/730306/", 730306)</f>
        <v>730306</v>
      </c>
      <c r="B15582" s="3" t="s">
        <v>78701</v>
      </c>
      <c r="C15582" s="3" t="s">
        <v>31</v>
      </c>
      <c r="D15582" s="3" t="s">
        <v>32</v>
      </c>
      <c r="E15582" s="4" t="s">
        <v>22</v>
      </c>
      <c r="F15582" s="4" t="s">
        <v>78702</v>
      </c>
      <c r="G15582" s="4" t="s">
        <v>78703</v>
      </c>
      <c r="H15582" s="3" t="s">
        <v>77131</v>
      </c>
      <c r="I15582" s="3" t="s">
        <v>55413</v>
      </c>
      <c r="J15582" s="3" t="s">
        <v>39504</v>
      </c>
      <c r="K15582" s="3" t="s">
        <v>78704</v>
      </c>
      <c r="L15582" s="3" t="s">
        <v>78705</v>
      </c>
      <c r="M15582" s="4" t="s">
        <v>78706</v>
      </c>
      <c r="N15582" s="3" t="s">
        <v>37</v>
      </c>
      <c r="O15582" s="3" t="s">
        <v>70</v>
      </c>
      <c r="P15582" s="5">
        <v>11</v>
      </c>
      <c r="Q15582" s="5">
        <v>176</v>
      </c>
      <c r="R15582" s="5">
        <v>11</v>
      </c>
      <c r="S15582" s="5">
        <v>181</v>
      </c>
    </row>
    <row r="15583" spans="1:19" ht="28" x14ac:dyDescent="0.15">
      <c r="A15583" s="2">
        <f>HYPERLINK("https://open-school.uspishnemisto.com.ua/school/730307/", 730307)</f>
        <v>730307</v>
      </c>
      <c r="B15583" s="3" t="s">
        <v>78707</v>
      </c>
      <c r="C15583" s="3" t="s">
        <v>54</v>
      </c>
      <c r="D15583" s="3" t="s">
        <v>32</v>
      </c>
      <c r="E15583" s="4" t="s">
        <v>22</v>
      </c>
      <c r="F15583" s="4" t="s">
        <v>78708</v>
      </c>
      <c r="G15583" s="4" t="s">
        <v>78709</v>
      </c>
      <c r="H15583" s="3" t="s">
        <v>77131</v>
      </c>
      <c r="I15583" s="3" t="s">
        <v>78710</v>
      </c>
      <c r="J15583" s="3" t="s">
        <v>78711</v>
      </c>
      <c r="K15583" s="3" t="s">
        <v>78712</v>
      </c>
      <c r="L15583" s="3"/>
      <c r="M15583" s="4" t="s">
        <v>78713</v>
      </c>
      <c r="N15583" s="3" t="s">
        <v>37</v>
      </c>
      <c r="O15583" s="3" t="s">
        <v>38</v>
      </c>
      <c r="P15583" s="5">
        <v>10</v>
      </c>
      <c r="Q15583" s="5">
        <v>131</v>
      </c>
      <c r="R15583" s="5">
        <v>11</v>
      </c>
      <c r="S15583" s="5">
        <v>144</v>
      </c>
    </row>
    <row r="15584" spans="1:19" ht="28" x14ac:dyDescent="0.15">
      <c r="A15584" s="2">
        <f>HYPERLINK("https://open-school.uspishnemisto.com.ua/school/730308/", 730308)</f>
        <v>730308</v>
      </c>
      <c r="B15584" s="3" t="s">
        <v>78714</v>
      </c>
      <c r="C15584" s="3" t="s">
        <v>31</v>
      </c>
      <c r="D15584" s="3" t="s">
        <v>32</v>
      </c>
      <c r="E15584" s="4" t="s">
        <v>22</v>
      </c>
      <c r="F15584" s="4" t="s">
        <v>78715</v>
      </c>
      <c r="G15584" s="4" t="s">
        <v>78716</v>
      </c>
      <c r="H15584" s="3" t="s">
        <v>77131</v>
      </c>
      <c r="I15584" s="3" t="s">
        <v>22423</v>
      </c>
      <c r="J15584" s="3" t="s">
        <v>78717</v>
      </c>
      <c r="K15584" s="3" t="s">
        <v>78718</v>
      </c>
      <c r="L15584" s="3"/>
      <c r="M15584" s="4" t="s">
        <v>78719</v>
      </c>
      <c r="N15584" s="3" t="s">
        <v>37</v>
      </c>
      <c r="O15584" s="3" t="s">
        <v>52</v>
      </c>
      <c r="P15584" s="5">
        <v>13</v>
      </c>
      <c r="Q15584" s="5">
        <v>247</v>
      </c>
      <c r="R15584" s="5">
        <v>12</v>
      </c>
      <c r="S15584" s="5">
        <v>236</v>
      </c>
    </row>
    <row r="15585" spans="1:19" ht="28" x14ac:dyDescent="0.15">
      <c r="A15585" s="2">
        <f>HYPERLINK("https://open-school.uspishnemisto.com.ua/school/730309/", 730309)</f>
        <v>730309</v>
      </c>
      <c r="B15585" s="3" t="s">
        <v>78720</v>
      </c>
      <c r="C15585" s="3" t="s">
        <v>293</v>
      </c>
      <c r="D15585" s="3" t="s">
        <v>32</v>
      </c>
      <c r="E15585" s="4" t="s">
        <v>22</v>
      </c>
      <c r="F15585" s="4" t="s">
        <v>78721</v>
      </c>
      <c r="G15585" s="4" t="s">
        <v>78722</v>
      </c>
      <c r="H15585" s="3" t="s">
        <v>77131</v>
      </c>
      <c r="I15585" s="3" t="s">
        <v>78723</v>
      </c>
      <c r="J15585" s="3" t="s">
        <v>78724</v>
      </c>
      <c r="K15585" s="3" t="s">
        <v>78725</v>
      </c>
      <c r="L15585" s="3" t="s">
        <v>78726</v>
      </c>
      <c r="M15585" s="4" t="s">
        <v>78727</v>
      </c>
      <c r="N15585" s="3" t="s">
        <v>37</v>
      </c>
      <c r="O15585" s="3" t="s">
        <v>46</v>
      </c>
      <c r="P15585" s="5">
        <v>12</v>
      </c>
      <c r="Q15585" s="5">
        <v>205</v>
      </c>
      <c r="R15585" s="5">
        <v>12</v>
      </c>
      <c r="S15585" s="5">
        <v>210</v>
      </c>
    </row>
    <row r="15586" spans="1:19" ht="28" x14ac:dyDescent="0.15">
      <c r="A15586" s="2">
        <f>HYPERLINK("https://open-school.uspishnemisto.com.ua/school/730310/", 730310)</f>
        <v>730310</v>
      </c>
      <c r="B15586" s="3" t="s">
        <v>78728</v>
      </c>
      <c r="C15586" s="3" t="s">
        <v>31</v>
      </c>
      <c r="D15586" s="3" t="s">
        <v>32</v>
      </c>
      <c r="E15586" s="4" t="s">
        <v>22</v>
      </c>
      <c r="F15586" s="4" t="s">
        <v>78721</v>
      </c>
      <c r="G15586" s="4" t="s">
        <v>78722</v>
      </c>
      <c r="H15586" s="3" t="s">
        <v>77131</v>
      </c>
      <c r="I15586" s="3" t="s">
        <v>78723</v>
      </c>
      <c r="J15586" s="3" t="s">
        <v>946</v>
      </c>
      <c r="K15586" s="3" t="s">
        <v>78729</v>
      </c>
      <c r="L15586" s="3"/>
      <c r="M15586" s="4" t="s">
        <v>78730</v>
      </c>
      <c r="N15586" s="3" t="s">
        <v>37</v>
      </c>
      <c r="O15586" s="3" t="s">
        <v>46</v>
      </c>
      <c r="P15586" s="5">
        <v>11</v>
      </c>
      <c r="Q15586" s="5">
        <v>205</v>
      </c>
      <c r="R15586" s="5">
        <v>11</v>
      </c>
      <c r="S15586" s="5">
        <v>199</v>
      </c>
    </row>
    <row r="15587" spans="1:19" ht="28" x14ac:dyDescent="0.15">
      <c r="A15587" s="2">
        <f>HYPERLINK("https://open-school.uspishnemisto.com.ua/school/730311/", 730311)</f>
        <v>730311</v>
      </c>
      <c r="B15587" s="3" t="s">
        <v>78731</v>
      </c>
      <c r="C15587" s="3" t="s">
        <v>54</v>
      </c>
      <c r="D15587" s="3" t="s">
        <v>60</v>
      </c>
      <c r="E15587" s="4" t="s">
        <v>22</v>
      </c>
      <c r="F15587" s="4" t="s">
        <v>78721</v>
      </c>
      <c r="G15587" s="4" t="s">
        <v>78732</v>
      </c>
      <c r="H15587" s="3" t="s">
        <v>77131</v>
      </c>
      <c r="I15587" s="3" t="s">
        <v>78733</v>
      </c>
      <c r="J15587" s="3" t="s">
        <v>78734</v>
      </c>
      <c r="K15587" s="3" t="s">
        <v>78735</v>
      </c>
      <c r="L15587" s="3"/>
      <c r="M15587" s="4" t="s">
        <v>78736</v>
      </c>
      <c r="N15587" s="3" t="s">
        <v>37</v>
      </c>
      <c r="O15587" s="3" t="s">
        <v>618</v>
      </c>
      <c r="P15587" s="5">
        <v>2</v>
      </c>
      <c r="Q15587" s="5">
        <v>15</v>
      </c>
      <c r="R15587" s="5">
        <v>2</v>
      </c>
      <c r="S15587" s="5">
        <v>15</v>
      </c>
    </row>
    <row r="15588" spans="1:19" ht="28" x14ac:dyDescent="0.15">
      <c r="A15588" s="2">
        <f>HYPERLINK("https://open-school.uspishnemisto.com.ua/school/730312/", 730312)</f>
        <v>730312</v>
      </c>
      <c r="B15588" s="3" t="s">
        <v>78737</v>
      </c>
      <c r="C15588" s="3" t="s">
        <v>31</v>
      </c>
      <c r="D15588" s="3" t="s">
        <v>32</v>
      </c>
      <c r="E15588" s="4" t="s">
        <v>22</v>
      </c>
      <c r="F15588" s="4" t="s">
        <v>78738</v>
      </c>
      <c r="G15588" s="4" t="s">
        <v>78739</v>
      </c>
      <c r="H15588" s="3" t="s">
        <v>77131</v>
      </c>
      <c r="I15588" s="3" t="s">
        <v>78740</v>
      </c>
      <c r="J15588" s="3" t="s">
        <v>77644</v>
      </c>
      <c r="K15588" s="3" t="s">
        <v>73870</v>
      </c>
      <c r="L15588" s="3"/>
      <c r="M15588" s="4" t="s">
        <v>78741</v>
      </c>
      <c r="N15588" s="3" t="s">
        <v>37</v>
      </c>
      <c r="O15588" s="3" t="s">
        <v>46</v>
      </c>
      <c r="P15588" s="5">
        <v>13</v>
      </c>
      <c r="Q15588" s="5">
        <v>264</v>
      </c>
      <c r="R15588" s="5">
        <v>12</v>
      </c>
      <c r="S15588" s="5">
        <v>239</v>
      </c>
    </row>
    <row r="15589" spans="1:19" ht="28" x14ac:dyDescent="0.15">
      <c r="A15589" s="2">
        <f>HYPERLINK("https://open-school.uspishnemisto.com.ua/school/730313/", 730313)</f>
        <v>730313</v>
      </c>
      <c r="B15589" s="3" t="s">
        <v>78742</v>
      </c>
      <c r="C15589" s="3" t="s">
        <v>31</v>
      </c>
      <c r="D15589" s="3" t="s">
        <v>60</v>
      </c>
      <c r="E15589" s="4" t="s">
        <v>22</v>
      </c>
      <c r="F15589" s="4" t="s">
        <v>78738</v>
      </c>
      <c r="G15589" s="4" t="s">
        <v>78743</v>
      </c>
      <c r="H15589" s="3" t="s">
        <v>77131</v>
      </c>
      <c r="I15589" s="3" t="s">
        <v>78744</v>
      </c>
      <c r="J15589" s="3" t="s">
        <v>3599</v>
      </c>
      <c r="K15589" s="3"/>
      <c r="L15589" s="3"/>
      <c r="M15589" s="4"/>
      <c r="N15589" s="3" t="s">
        <v>37</v>
      </c>
      <c r="O15589" s="3" t="s">
        <v>52</v>
      </c>
      <c r="P15589" s="5">
        <v>2</v>
      </c>
      <c r="Q15589" s="5">
        <v>15</v>
      </c>
      <c r="R15589" s="5">
        <v>2</v>
      </c>
      <c r="S15589" s="5">
        <v>14</v>
      </c>
    </row>
    <row r="15590" spans="1:19" ht="28" x14ac:dyDescent="0.15">
      <c r="A15590" s="2">
        <f>HYPERLINK("https://open-school.uspishnemisto.com.ua/school/730314/", 730314)</f>
        <v>730314</v>
      </c>
      <c r="B15590" s="3" t="s">
        <v>78745</v>
      </c>
      <c r="C15590" s="3" t="s">
        <v>54</v>
      </c>
      <c r="D15590" s="3" t="s">
        <v>60</v>
      </c>
      <c r="E15590" s="4" t="s">
        <v>22</v>
      </c>
      <c r="F15590" s="4" t="s">
        <v>78738</v>
      </c>
      <c r="G15590" s="4" t="s">
        <v>78746</v>
      </c>
      <c r="H15590" s="3" t="s">
        <v>77131</v>
      </c>
      <c r="I15590" s="3" t="s">
        <v>78747</v>
      </c>
      <c r="J15590" s="3" t="s">
        <v>1192</v>
      </c>
      <c r="K15590" s="3" t="s">
        <v>78748</v>
      </c>
      <c r="L15590" s="3"/>
      <c r="M15590" s="4" t="s">
        <v>78749</v>
      </c>
      <c r="N15590" s="3" t="s">
        <v>37</v>
      </c>
      <c r="O15590" s="3" t="s">
        <v>52</v>
      </c>
      <c r="P15590" s="5">
        <v>3</v>
      </c>
      <c r="Q15590" s="5">
        <v>33</v>
      </c>
      <c r="R15590" s="5">
        <v>3</v>
      </c>
      <c r="S15590" s="5">
        <v>31</v>
      </c>
    </row>
    <row r="15591" spans="1:19" ht="28" x14ac:dyDescent="0.15">
      <c r="A15591" s="2">
        <f>HYPERLINK("https://open-school.uspishnemisto.com.ua/school/730315/", 730315)</f>
        <v>730315</v>
      </c>
      <c r="B15591" s="3" t="s">
        <v>78750</v>
      </c>
      <c r="C15591" s="3" t="s">
        <v>31</v>
      </c>
      <c r="D15591" s="3" t="s">
        <v>175</v>
      </c>
      <c r="E15591" s="4" t="s">
        <v>22</v>
      </c>
      <c r="F15591" s="4" t="s">
        <v>78751</v>
      </c>
      <c r="G15591" s="4" t="s">
        <v>78752</v>
      </c>
      <c r="H15591" s="3" t="s">
        <v>77131</v>
      </c>
      <c r="I15591" s="3" t="s">
        <v>78753</v>
      </c>
      <c r="J15591" s="3" t="s">
        <v>761</v>
      </c>
      <c r="K15591" s="3" t="s">
        <v>78754</v>
      </c>
      <c r="L15591" s="3"/>
      <c r="M15591" s="4" t="s">
        <v>78755</v>
      </c>
      <c r="N15591" s="3" t="s">
        <v>37</v>
      </c>
      <c r="O15591" s="3" t="s">
        <v>70</v>
      </c>
      <c r="P15591" s="5">
        <v>9</v>
      </c>
      <c r="Q15591" s="5">
        <v>128</v>
      </c>
      <c r="R15591" s="5">
        <v>9</v>
      </c>
      <c r="S15591" s="5">
        <v>120</v>
      </c>
    </row>
    <row r="15592" spans="1:19" ht="28" x14ac:dyDescent="0.15">
      <c r="A15592" s="2">
        <f>HYPERLINK("https://open-school.uspishnemisto.com.ua/school/730316/", 730316)</f>
        <v>730316</v>
      </c>
      <c r="B15592" s="3" t="s">
        <v>78756</v>
      </c>
      <c r="C15592" s="3" t="s">
        <v>31</v>
      </c>
      <c r="D15592" s="3" t="s">
        <v>32</v>
      </c>
      <c r="E15592" s="4" t="s">
        <v>22</v>
      </c>
      <c r="F15592" s="4" t="s">
        <v>78757</v>
      </c>
      <c r="G15592" s="4" t="s">
        <v>78758</v>
      </c>
      <c r="H15592" s="3" t="s">
        <v>77131</v>
      </c>
      <c r="I15592" s="3" t="s">
        <v>29067</v>
      </c>
      <c r="J15592" s="3" t="s">
        <v>78759</v>
      </c>
      <c r="K15592" s="3" t="s">
        <v>78760</v>
      </c>
      <c r="L15592" s="3"/>
      <c r="M15592" s="4" t="s">
        <v>78761</v>
      </c>
      <c r="N15592" s="3" t="s">
        <v>37</v>
      </c>
      <c r="O15592" s="3" t="s">
        <v>46</v>
      </c>
      <c r="P15592" s="5">
        <v>11</v>
      </c>
      <c r="Q15592" s="5">
        <v>115</v>
      </c>
      <c r="R15592" s="5">
        <v>11</v>
      </c>
      <c r="S15592" s="5">
        <v>113</v>
      </c>
    </row>
    <row r="15593" spans="1:19" ht="28" x14ac:dyDescent="0.15">
      <c r="A15593" s="2">
        <f>HYPERLINK("https://open-school.uspishnemisto.com.ua/school/730317/", 730317)</f>
        <v>730317</v>
      </c>
      <c r="B15593" s="3" t="s">
        <v>78762</v>
      </c>
      <c r="C15593" s="3" t="s">
        <v>31</v>
      </c>
      <c r="D15593" s="3" t="s">
        <v>175</v>
      </c>
      <c r="E15593" s="4" t="s">
        <v>22</v>
      </c>
      <c r="F15593" s="4" t="s">
        <v>78763</v>
      </c>
      <c r="G15593" s="4" t="s">
        <v>78764</v>
      </c>
      <c r="H15593" s="3" t="s">
        <v>77131</v>
      </c>
      <c r="I15593" s="3" t="s">
        <v>27225</v>
      </c>
      <c r="J15593" s="3" t="s">
        <v>77644</v>
      </c>
      <c r="K15593" s="3" t="s">
        <v>78765</v>
      </c>
      <c r="L15593" s="3" t="s">
        <v>78766</v>
      </c>
      <c r="M15593" s="4" t="s">
        <v>78767</v>
      </c>
      <c r="N15593" s="3" t="s">
        <v>37</v>
      </c>
      <c r="O15593" s="3" t="s">
        <v>52</v>
      </c>
      <c r="P15593" s="5">
        <v>9</v>
      </c>
      <c r="Q15593" s="5">
        <v>88</v>
      </c>
      <c r="R15593" s="5">
        <v>9</v>
      </c>
      <c r="S15593" s="5">
        <v>90</v>
      </c>
    </row>
    <row r="15594" spans="1:19" ht="28" x14ac:dyDescent="0.15">
      <c r="A15594" s="2">
        <f>HYPERLINK("https://open-school.uspishnemisto.com.ua/school/730318/", 730318)</f>
        <v>730318</v>
      </c>
      <c r="B15594" s="3" t="s">
        <v>78768</v>
      </c>
      <c r="C15594" s="3" t="s">
        <v>20</v>
      </c>
      <c r="D15594" s="3" t="s">
        <v>21</v>
      </c>
      <c r="E15594" s="4" t="s">
        <v>22</v>
      </c>
      <c r="F15594" s="4" t="s">
        <v>78769</v>
      </c>
      <c r="G15594" s="4" t="s">
        <v>78770</v>
      </c>
      <c r="H15594" s="3" t="s">
        <v>77131</v>
      </c>
      <c r="I15594" s="3" t="s">
        <v>78771</v>
      </c>
      <c r="J15594" s="3" t="s">
        <v>78772</v>
      </c>
      <c r="K15594" s="3"/>
      <c r="L15594" s="3"/>
      <c r="M15594" s="4"/>
      <c r="N15594" s="3"/>
      <c r="O15594" s="3"/>
      <c r="P15594" s="5">
        <v>0</v>
      </c>
      <c r="Q15594" s="5">
        <v>0</v>
      </c>
      <c r="R15594" s="5"/>
      <c r="S15594" s="5"/>
    </row>
    <row r="15595" spans="1:19" ht="28" x14ac:dyDescent="0.15">
      <c r="A15595" s="2">
        <f>HYPERLINK("https://open-school.uspishnemisto.com.ua/school/730319/", 730319)</f>
        <v>730319</v>
      </c>
      <c r="B15595" s="3" t="s">
        <v>78773</v>
      </c>
      <c r="C15595" s="3" t="s">
        <v>31</v>
      </c>
      <c r="D15595" s="3" t="s">
        <v>32</v>
      </c>
      <c r="E15595" s="4" t="s">
        <v>22</v>
      </c>
      <c r="F15595" s="4" t="s">
        <v>78769</v>
      </c>
      <c r="G15595" s="4" t="s">
        <v>78770</v>
      </c>
      <c r="H15595" s="3" t="s">
        <v>77131</v>
      </c>
      <c r="I15595" s="3" t="s">
        <v>78771</v>
      </c>
      <c r="J15595" s="3" t="s">
        <v>3112</v>
      </c>
      <c r="K15595" s="3" t="s">
        <v>78774</v>
      </c>
      <c r="L15595" s="3"/>
      <c r="M15595" s="4"/>
      <c r="N15595" s="3" t="s">
        <v>37</v>
      </c>
      <c r="O15595" s="3" t="s">
        <v>2740</v>
      </c>
      <c r="P15595" s="5">
        <v>23</v>
      </c>
      <c r="Q15595" s="5">
        <v>566</v>
      </c>
      <c r="R15595" s="5">
        <v>24</v>
      </c>
      <c r="S15595" s="5">
        <v>566</v>
      </c>
    </row>
    <row r="15596" spans="1:19" ht="28" x14ac:dyDescent="0.15">
      <c r="A15596" s="2">
        <f>HYPERLINK("https://open-school.uspishnemisto.com.ua/school/730320/", 730320)</f>
        <v>730320</v>
      </c>
      <c r="B15596" s="3" t="s">
        <v>78775</v>
      </c>
      <c r="C15596" s="3" t="s">
        <v>40</v>
      </c>
      <c r="D15596" s="3" t="s">
        <v>32</v>
      </c>
      <c r="E15596" s="4" t="s">
        <v>22</v>
      </c>
      <c r="F15596" s="4" t="s">
        <v>78769</v>
      </c>
      <c r="G15596" s="4" t="s">
        <v>78770</v>
      </c>
      <c r="H15596" s="3" t="s">
        <v>77131</v>
      </c>
      <c r="I15596" s="3" t="s">
        <v>78771</v>
      </c>
      <c r="J15596" s="3" t="s">
        <v>78776</v>
      </c>
      <c r="K15596" s="3" t="s">
        <v>78777</v>
      </c>
      <c r="L15596" s="3"/>
      <c r="M15596" s="4"/>
      <c r="N15596" s="3" t="s">
        <v>37</v>
      </c>
      <c r="O15596" s="3" t="s">
        <v>123</v>
      </c>
      <c r="P15596" s="5">
        <v>19</v>
      </c>
      <c r="Q15596" s="5">
        <v>404</v>
      </c>
      <c r="R15596" s="5">
        <v>18</v>
      </c>
      <c r="S15596" s="5">
        <v>386</v>
      </c>
    </row>
    <row r="15597" spans="1:19" ht="56" x14ac:dyDescent="0.15">
      <c r="A15597" s="2">
        <f>HYPERLINK("https://open-school.uspishnemisto.com.ua/school/730321/", 730321)</f>
        <v>730321</v>
      </c>
      <c r="B15597" s="3" t="s">
        <v>78778</v>
      </c>
      <c r="C15597" s="3" t="s">
        <v>54</v>
      </c>
      <c r="D15597" s="3" t="s">
        <v>175</v>
      </c>
      <c r="E15597" s="4" t="s">
        <v>22</v>
      </c>
      <c r="F15597" s="4" t="s">
        <v>78779</v>
      </c>
      <c r="G15597" s="4" t="s">
        <v>78780</v>
      </c>
      <c r="H15597" s="3" t="s">
        <v>77131</v>
      </c>
      <c r="I15597" s="3" t="s">
        <v>11964</v>
      </c>
      <c r="J15597" s="3" t="s">
        <v>78781</v>
      </c>
      <c r="K15597" s="3" t="s">
        <v>78782</v>
      </c>
      <c r="L15597" s="3"/>
      <c r="M15597" s="4"/>
      <c r="N15597" s="3" t="s">
        <v>37</v>
      </c>
      <c r="O15597" s="3" t="s">
        <v>46</v>
      </c>
      <c r="P15597" s="5">
        <v>8</v>
      </c>
      <c r="Q15597" s="5">
        <v>73</v>
      </c>
      <c r="R15597" s="5">
        <v>8</v>
      </c>
      <c r="S15597" s="5">
        <v>64</v>
      </c>
    </row>
    <row r="15598" spans="1:19" ht="28" x14ac:dyDescent="0.15">
      <c r="A15598" s="2">
        <f>HYPERLINK("https://open-school.uspishnemisto.com.ua/school/730322/", 730322)</f>
        <v>730322</v>
      </c>
      <c r="B15598" s="3" t="s">
        <v>78783</v>
      </c>
      <c r="C15598" s="3" t="s">
        <v>54</v>
      </c>
      <c r="D15598" s="3" t="s">
        <v>175</v>
      </c>
      <c r="E15598" s="4" t="s">
        <v>22</v>
      </c>
      <c r="F15598" s="4" t="s">
        <v>78784</v>
      </c>
      <c r="G15598" s="4" t="s">
        <v>78785</v>
      </c>
      <c r="H15598" s="3" t="s">
        <v>77131</v>
      </c>
      <c r="I15598" s="3" t="s">
        <v>15360</v>
      </c>
      <c r="J15598" s="3" t="s">
        <v>78786</v>
      </c>
      <c r="K15598" s="3" t="s">
        <v>78787</v>
      </c>
      <c r="L15598" s="3"/>
      <c r="M15598" s="4"/>
      <c r="N15598" s="3" t="s">
        <v>37</v>
      </c>
      <c r="O15598" s="3" t="s">
        <v>618</v>
      </c>
      <c r="P15598" s="5">
        <v>3</v>
      </c>
      <c r="Q15598" s="5">
        <v>31</v>
      </c>
      <c r="R15598" s="5">
        <v>2</v>
      </c>
      <c r="S15598" s="5">
        <v>30</v>
      </c>
    </row>
    <row r="15599" spans="1:19" ht="28" x14ac:dyDescent="0.15">
      <c r="A15599" s="2">
        <f>HYPERLINK("https://open-school.uspishnemisto.com.ua/school/730323/", 730323)</f>
        <v>730323</v>
      </c>
      <c r="B15599" s="3" t="s">
        <v>78788</v>
      </c>
      <c r="C15599" s="3" t="s">
        <v>54</v>
      </c>
      <c r="D15599" s="3" t="s">
        <v>32</v>
      </c>
      <c r="E15599" s="4" t="s">
        <v>22</v>
      </c>
      <c r="F15599" s="4" t="s">
        <v>78789</v>
      </c>
      <c r="G15599" s="4" t="s">
        <v>78790</v>
      </c>
      <c r="H15599" s="3" t="s">
        <v>77131</v>
      </c>
      <c r="I15599" s="3" t="s">
        <v>3744</v>
      </c>
      <c r="J15599" s="3" t="s">
        <v>77854</v>
      </c>
      <c r="K15599" s="3" t="s">
        <v>78791</v>
      </c>
      <c r="L15599" s="3"/>
      <c r="M15599" s="4"/>
      <c r="N15599" s="3" t="s">
        <v>37</v>
      </c>
      <c r="O15599" s="3" t="s">
        <v>46</v>
      </c>
      <c r="P15599" s="5">
        <v>19</v>
      </c>
      <c r="Q15599" s="5">
        <v>341</v>
      </c>
      <c r="R15599" s="5">
        <v>18</v>
      </c>
      <c r="S15599" s="5">
        <v>340</v>
      </c>
    </row>
    <row r="15600" spans="1:19" ht="28" x14ac:dyDescent="0.15">
      <c r="A15600" s="2">
        <f>HYPERLINK("https://open-school.uspishnemisto.com.ua/school/730324/", 730324)</f>
        <v>730324</v>
      </c>
      <c r="B15600" s="3" t="s">
        <v>78792</v>
      </c>
      <c r="C15600" s="3" t="s">
        <v>31</v>
      </c>
      <c r="D15600" s="3" t="s">
        <v>32</v>
      </c>
      <c r="E15600" s="4" t="s">
        <v>22</v>
      </c>
      <c r="F15600" s="4" t="s">
        <v>78793</v>
      </c>
      <c r="G15600" s="4" t="s">
        <v>78794</v>
      </c>
      <c r="H15600" s="3" t="s">
        <v>77131</v>
      </c>
      <c r="I15600" s="3" t="s">
        <v>1500</v>
      </c>
      <c r="J15600" s="3" t="s">
        <v>2465</v>
      </c>
      <c r="K15600" s="3" t="s">
        <v>78795</v>
      </c>
      <c r="L15600" s="3"/>
      <c r="M15600" s="4"/>
      <c r="N15600" s="3" t="s">
        <v>37</v>
      </c>
      <c r="O15600" s="3" t="s">
        <v>46</v>
      </c>
      <c r="P15600" s="5">
        <v>11</v>
      </c>
      <c r="Q15600" s="5">
        <v>128</v>
      </c>
      <c r="R15600" s="5">
        <v>11</v>
      </c>
      <c r="S15600" s="5">
        <v>126</v>
      </c>
    </row>
    <row r="15601" spans="1:19" ht="28" x14ac:dyDescent="0.15">
      <c r="A15601" s="2">
        <f>HYPERLINK("https://open-school.uspishnemisto.com.ua/school/730325/", 730325)</f>
        <v>730325</v>
      </c>
      <c r="B15601" s="3" t="s">
        <v>78796</v>
      </c>
      <c r="C15601" s="3" t="s">
        <v>31</v>
      </c>
      <c r="D15601" s="3" t="s">
        <v>32</v>
      </c>
      <c r="E15601" s="4" t="s">
        <v>22</v>
      </c>
      <c r="F15601" s="4" t="s">
        <v>78797</v>
      </c>
      <c r="G15601" s="4" t="s">
        <v>78798</v>
      </c>
      <c r="H15601" s="3" t="s">
        <v>77131</v>
      </c>
      <c r="I15601" s="3" t="s">
        <v>77427</v>
      </c>
      <c r="J15601" s="3" t="s">
        <v>5539</v>
      </c>
      <c r="K15601" s="3" t="s">
        <v>78799</v>
      </c>
      <c r="L15601" s="3"/>
      <c r="M15601" s="4"/>
      <c r="N15601" s="3" t="s">
        <v>37</v>
      </c>
      <c r="O15601" s="3" t="s">
        <v>46</v>
      </c>
      <c r="P15601" s="5">
        <v>22</v>
      </c>
      <c r="Q15601" s="5">
        <v>423</v>
      </c>
      <c r="R15601" s="5">
        <v>21</v>
      </c>
      <c r="S15601" s="5">
        <v>418</v>
      </c>
    </row>
    <row r="15602" spans="1:19" ht="28" x14ac:dyDescent="0.15">
      <c r="A15602" s="2">
        <f>HYPERLINK("https://open-school.uspishnemisto.com.ua/school/730326/", 730326)</f>
        <v>730326</v>
      </c>
      <c r="B15602" s="3" t="s">
        <v>78800</v>
      </c>
      <c r="C15602" s="3" t="s">
        <v>54</v>
      </c>
      <c r="D15602" s="3" t="s">
        <v>175</v>
      </c>
      <c r="E15602" s="4" t="s">
        <v>22</v>
      </c>
      <c r="F15602" s="4" t="s">
        <v>78801</v>
      </c>
      <c r="G15602" s="4" t="s">
        <v>78802</v>
      </c>
      <c r="H15602" s="3" t="s">
        <v>77131</v>
      </c>
      <c r="I15602" s="3" t="s">
        <v>78803</v>
      </c>
      <c r="J15602" s="3" t="s">
        <v>18170</v>
      </c>
      <c r="K15602" s="3" t="s">
        <v>78804</v>
      </c>
      <c r="L15602" s="3"/>
      <c r="M15602" s="4"/>
      <c r="N15602" s="3" t="s">
        <v>37</v>
      </c>
      <c r="O15602" s="3" t="s">
        <v>46</v>
      </c>
      <c r="P15602" s="5">
        <v>9</v>
      </c>
      <c r="Q15602" s="5">
        <v>121</v>
      </c>
      <c r="R15602" s="5">
        <v>9</v>
      </c>
      <c r="S15602" s="5">
        <v>126</v>
      </c>
    </row>
    <row r="15603" spans="1:19" ht="28" x14ac:dyDescent="0.15">
      <c r="A15603" s="2">
        <f>HYPERLINK("https://open-school.uspishnemisto.com.ua/school/730327/", 730327)</f>
        <v>730327</v>
      </c>
      <c r="B15603" s="3" t="s">
        <v>78805</v>
      </c>
      <c r="C15603" s="3" t="s">
        <v>54</v>
      </c>
      <c r="D15603" s="3" t="s">
        <v>175</v>
      </c>
      <c r="E15603" s="4" t="s">
        <v>22</v>
      </c>
      <c r="F15603" s="4" t="s">
        <v>78806</v>
      </c>
      <c r="G15603" s="4" t="s">
        <v>78807</v>
      </c>
      <c r="H15603" s="3" t="s">
        <v>77131</v>
      </c>
      <c r="I15603" s="3" t="s">
        <v>78808</v>
      </c>
      <c r="J15603" s="3" t="s">
        <v>17440</v>
      </c>
      <c r="K15603" s="3" t="s">
        <v>78809</v>
      </c>
      <c r="L15603" s="3"/>
      <c r="M15603" s="4"/>
      <c r="N15603" s="3" t="s">
        <v>37</v>
      </c>
      <c r="O15603" s="3" t="s">
        <v>52</v>
      </c>
      <c r="P15603" s="5">
        <v>5</v>
      </c>
      <c r="Q15603" s="5">
        <v>45</v>
      </c>
      <c r="R15603" s="5">
        <v>3</v>
      </c>
      <c r="S15603" s="5">
        <v>37</v>
      </c>
    </row>
    <row r="15604" spans="1:19" ht="28" x14ac:dyDescent="0.15">
      <c r="A15604" s="2">
        <f>HYPERLINK("https://open-school.uspishnemisto.com.ua/school/730328/", 730328)</f>
        <v>730328</v>
      </c>
      <c r="B15604" s="3" t="s">
        <v>78810</v>
      </c>
      <c r="C15604" s="3" t="s">
        <v>31</v>
      </c>
      <c r="D15604" s="3" t="s">
        <v>32</v>
      </c>
      <c r="E15604" s="4" t="s">
        <v>22</v>
      </c>
      <c r="F15604" s="4" t="s">
        <v>78811</v>
      </c>
      <c r="G15604" s="4" t="s">
        <v>78812</v>
      </c>
      <c r="H15604" s="3" t="s">
        <v>77131</v>
      </c>
      <c r="I15604" s="3" t="s">
        <v>78813</v>
      </c>
      <c r="J15604" s="3" t="s">
        <v>78814</v>
      </c>
      <c r="K15604" s="3" t="s">
        <v>78815</v>
      </c>
      <c r="L15604" s="3"/>
      <c r="M15604" s="4"/>
      <c r="N15604" s="3" t="s">
        <v>37</v>
      </c>
      <c r="O15604" s="3" t="s">
        <v>46</v>
      </c>
      <c r="P15604" s="5">
        <v>11</v>
      </c>
      <c r="Q15604" s="5">
        <v>151</v>
      </c>
      <c r="R15604" s="5">
        <v>11</v>
      </c>
      <c r="S15604" s="5">
        <v>160</v>
      </c>
    </row>
    <row r="15605" spans="1:19" ht="28" x14ac:dyDescent="0.15">
      <c r="A15605" s="2">
        <f>HYPERLINK("https://open-school.uspishnemisto.com.ua/school/730329/", 730329)</f>
        <v>730329</v>
      </c>
      <c r="B15605" s="3" t="s">
        <v>78816</v>
      </c>
      <c r="C15605" s="3" t="s">
        <v>31</v>
      </c>
      <c r="D15605" s="3" t="s">
        <v>32</v>
      </c>
      <c r="E15605" s="4" t="s">
        <v>22</v>
      </c>
      <c r="F15605" s="4" t="s">
        <v>78817</v>
      </c>
      <c r="G15605" s="4" t="s">
        <v>78818</v>
      </c>
      <c r="H15605" s="3" t="s">
        <v>77131</v>
      </c>
      <c r="I15605" s="3" t="s">
        <v>78819</v>
      </c>
      <c r="J15605" s="3" t="s">
        <v>3370</v>
      </c>
      <c r="K15605" s="3" t="s">
        <v>78820</v>
      </c>
      <c r="L15605" s="3"/>
      <c r="M15605" s="4"/>
      <c r="N15605" s="3" t="s">
        <v>967</v>
      </c>
      <c r="O15605" s="3" t="s">
        <v>618</v>
      </c>
      <c r="P15605" s="5">
        <v>10</v>
      </c>
      <c r="Q15605" s="5">
        <v>144</v>
      </c>
      <c r="R15605" s="5">
        <v>10</v>
      </c>
      <c r="S15605" s="5">
        <v>137</v>
      </c>
    </row>
    <row r="15606" spans="1:19" ht="28" x14ac:dyDescent="0.15">
      <c r="A15606" s="2">
        <f>HYPERLINK("https://open-school.uspishnemisto.com.ua/school/730330/", 730330)</f>
        <v>730330</v>
      </c>
      <c r="B15606" s="3" t="s">
        <v>78821</v>
      </c>
      <c r="C15606" s="3" t="s">
        <v>31</v>
      </c>
      <c r="D15606" s="3" t="s">
        <v>32</v>
      </c>
      <c r="E15606" s="4" t="s">
        <v>22</v>
      </c>
      <c r="F15606" s="4" t="s">
        <v>78822</v>
      </c>
      <c r="G15606" s="4" t="s">
        <v>78823</v>
      </c>
      <c r="H15606" s="3" t="s">
        <v>77131</v>
      </c>
      <c r="I15606" s="3" t="s">
        <v>78824</v>
      </c>
      <c r="J15606" s="3"/>
      <c r="K15606" s="3" t="s">
        <v>78825</v>
      </c>
      <c r="L15606" s="3"/>
      <c r="M15606" s="4"/>
      <c r="N15606" s="3" t="s">
        <v>37</v>
      </c>
      <c r="O15606" s="3" t="s">
        <v>52</v>
      </c>
      <c r="P15606" s="5">
        <v>10</v>
      </c>
      <c r="Q15606" s="5">
        <v>205</v>
      </c>
      <c r="R15606" s="5">
        <v>11</v>
      </c>
      <c r="S15606" s="5">
        <v>209</v>
      </c>
    </row>
    <row r="15607" spans="1:19" ht="28" x14ac:dyDescent="0.15">
      <c r="A15607" s="2">
        <f>HYPERLINK("https://open-school.uspishnemisto.com.ua/school/730331/", 730331)</f>
        <v>730331</v>
      </c>
      <c r="B15607" s="3" t="s">
        <v>78826</v>
      </c>
      <c r="C15607" s="3" t="s">
        <v>54</v>
      </c>
      <c r="D15607" s="3" t="s">
        <v>32</v>
      </c>
      <c r="E15607" s="4" t="s">
        <v>22</v>
      </c>
      <c r="F15607" s="4" t="s">
        <v>78827</v>
      </c>
      <c r="G15607" s="4" t="s">
        <v>78828</v>
      </c>
      <c r="H15607" s="3" t="s">
        <v>77131</v>
      </c>
      <c r="I15607" s="3" t="s">
        <v>78829</v>
      </c>
      <c r="J15607" s="3" t="s">
        <v>78830</v>
      </c>
      <c r="K15607" s="3" t="s">
        <v>78831</v>
      </c>
      <c r="L15607" s="3"/>
      <c r="M15607" s="4"/>
      <c r="N15607" s="3" t="s">
        <v>37</v>
      </c>
      <c r="O15607" s="3" t="s">
        <v>46</v>
      </c>
      <c r="P15607" s="5">
        <v>11</v>
      </c>
      <c r="Q15607" s="5">
        <v>124</v>
      </c>
      <c r="R15607" s="5">
        <v>11</v>
      </c>
      <c r="S15607" s="5">
        <v>126</v>
      </c>
    </row>
    <row r="15608" spans="1:19" ht="28" x14ac:dyDescent="0.15">
      <c r="A15608" s="2">
        <f>HYPERLINK("https://open-school.uspishnemisto.com.ua/school/730332/", 730332)</f>
        <v>730332</v>
      </c>
      <c r="B15608" s="3" t="s">
        <v>78832</v>
      </c>
      <c r="C15608" s="3" t="s">
        <v>54</v>
      </c>
      <c r="D15608" s="3" t="s">
        <v>175</v>
      </c>
      <c r="E15608" s="4" t="s">
        <v>22</v>
      </c>
      <c r="F15608" s="4" t="s">
        <v>78833</v>
      </c>
      <c r="G15608" s="4" t="s">
        <v>78834</v>
      </c>
      <c r="H15608" s="3" t="s">
        <v>77131</v>
      </c>
      <c r="I15608" s="3" t="s">
        <v>78835</v>
      </c>
      <c r="J15608" s="3" t="s">
        <v>8007</v>
      </c>
      <c r="K15608" s="3" t="s">
        <v>78836</v>
      </c>
      <c r="L15608" s="3"/>
      <c r="M15608" s="4"/>
      <c r="N15608" s="3" t="s">
        <v>37</v>
      </c>
      <c r="O15608" s="3" t="s">
        <v>46</v>
      </c>
      <c r="P15608" s="5">
        <v>9</v>
      </c>
      <c r="Q15608" s="5">
        <v>92</v>
      </c>
      <c r="R15608" s="5">
        <v>9</v>
      </c>
      <c r="S15608" s="5">
        <v>82</v>
      </c>
    </row>
    <row r="15609" spans="1:19" ht="28" x14ac:dyDescent="0.15">
      <c r="A15609" s="2">
        <f>HYPERLINK("https://open-school.uspishnemisto.com.ua/school/730333/", 730333)</f>
        <v>730333</v>
      </c>
      <c r="B15609" s="3" t="s">
        <v>78837</v>
      </c>
      <c r="C15609" s="3" t="s">
        <v>31</v>
      </c>
      <c r="D15609" s="3" t="s">
        <v>32</v>
      </c>
      <c r="E15609" s="4" t="s">
        <v>22</v>
      </c>
      <c r="F15609" s="4" t="s">
        <v>78838</v>
      </c>
      <c r="G15609" s="4" t="s">
        <v>78839</v>
      </c>
      <c r="H15609" s="3" t="s">
        <v>77131</v>
      </c>
      <c r="I15609" s="3" t="s">
        <v>78840</v>
      </c>
      <c r="J15609" s="3" t="s">
        <v>18375</v>
      </c>
      <c r="K15609" s="3" t="s">
        <v>78841</v>
      </c>
      <c r="L15609" s="3"/>
      <c r="M15609" s="4"/>
      <c r="N15609" s="3" t="s">
        <v>37</v>
      </c>
      <c r="O15609" s="3" t="s">
        <v>46</v>
      </c>
      <c r="P15609" s="5">
        <v>11</v>
      </c>
      <c r="Q15609" s="5">
        <v>121</v>
      </c>
      <c r="R15609" s="5">
        <v>11</v>
      </c>
      <c r="S15609" s="5">
        <v>124</v>
      </c>
    </row>
    <row r="15610" spans="1:19" ht="28" x14ac:dyDescent="0.15">
      <c r="A15610" s="2">
        <f>HYPERLINK("https://open-school.uspishnemisto.com.ua/school/730334/", 730334)</f>
        <v>730334</v>
      </c>
      <c r="B15610" s="3" t="s">
        <v>78842</v>
      </c>
      <c r="C15610" s="3" t="s">
        <v>54</v>
      </c>
      <c r="D15610" s="3" t="s">
        <v>60</v>
      </c>
      <c r="E15610" s="4" t="s">
        <v>22</v>
      </c>
      <c r="F15610" s="4" t="s">
        <v>78843</v>
      </c>
      <c r="G15610" s="4" t="s">
        <v>78844</v>
      </c>
      <c r="H15610" s="3" t="s">
        <v>77131</v>
      </c>
      <c r="I15610" s="3" t="s">
        <v>78845</v>
      </c>
      <c r="J15610" s="3" t="s">
        <v>27991</v>
      </c>
      <c r="K15610" s="3" t="s">
        <v>78846</v>
      </c>
      <c r="L15610" s="3"/>
      <c r="M15610" s="4"/>
      <c r="N15610" s="3" t="s">
        <v>37</v>
      </c>
      <c r="O15610" s="3" t="s">
        <v>618</v>
      </c>
      <c r="P15610" s="5">
        <v>4</v>
      </c>
      <c r="Q15610" s="5">
        <v>31</v>
      </c>
      <c r="R15610" s="5">
        <v>4</v>
      </c>
      <c r="S15610" s="5">
        <v>39</v>
      </c>
    </row>
    <row r="15611" spans="1:19" ht="28" x14ac:dyDescent="0.15">
      <c r="A15611" s="2">
        <f>HYPERLINK("https://open-school.uspishnemisto.com.ua/school/730335/", 730335)</f>
        <v>730335</v>
      </c>
      <c r="B15611" s="3" t="s">
        <v>78847</v>
      </c>
      <c r="C15611" s="3" t="s">
        <v>54</v>
      </c>
      <c r="D15611" s="3" t="s">
        <v>32</v>
      </c>
      <c r="E15611" s="4" t="s">
        <v>22</v>
      </c>
      <c r="F15611" s="4" t="s">
        <v>78848</v>
      </c>
      <c r="G15611" s="4" t="s">
        <v>78849</v>
      </c>
      <c r="H15611" s="3" t="s">
        <v>77131</v>
      </c>
      <c r="I15611" s="3" t="s">
        <v>78850</v>
      </c>
      <c r="J15611" s="3" t="s">
        <v>24958</v>
      </c>
      <c r="K15611" s="3" t="s">
        <v>78851</v>
      </c>
      <c r="L15611" s="3"/>
      <c r="M15611" s="4"/>
      <c r="N15611" s="3" t="s">
        <v>37</v>
      </c>
      <c r="O15611" s="3" t="s">
        <v>46</v>
      </c>
      <c r="P15611" s="5">
        <v>11</v>
      </c>
      <c r="Q15611" s="5">
        <v>235</v>
      </c>
      <c r="R15611" s="5">
        <v>11</v>
      </c>
      <c r="S15611" s="5">
        <v>234</v>
      </c>
    </row>
    <row r="15612" spans="1:19" ht="28" x14ac:dyDescent="0.15">
      <c r="A15612" s="2">
        <f>HYPERLINK("https://open-school.uspishnemisto.com.ua/school/730336/", 730336)</f>
        <v>730336</v>
      </c>
      <c r="B15612" s="3" t="s">
        <v>78852</v>
      </c>
      <c r="C15612" s="3" t="s">
        <v>54</v>
      </c>
      <c r="D15612" s="3" t="s">
        <v>175</v>
      </c>
      <c r="E15612" s="4" t="s">
        <v>22</v>
      </c>
      <c r="F15612" s="4" t="s">
        <v>78843</v>
      </c>
      <c r="G15612" s="4" t="s">
        <v>78853</v>
      </c>
      <c r="H15612" s="3" t="s">
        <v>77131</v>
      </c>
      <c r="I15612" s="3" t="s">
        <v>78854</v>
      </c>
      <c r="J15612" s="3" t="s">
        <v>78855</v>
      </c>
      <c r="K15612" s="3" t="s">
        <v>78856</v>
      </c>
      <c r="L15612" s="3"/>
      <c r="M15612" s="4"/>
      <c r="N15612" s="3" t="s">
        <v>37</v>
      </c>
      <c r="O15612" s="3" t="s">
        <v>618</v>
      </c>
      <c r="P15612" s="5">
        <v>4</v>
      </c>
      <c r="Q15612" s="5">
        <v>37</v>
      </c>
      <c r="R15612" s="5">
        <v>5</v>
      </c>
      <c r="S15612" s="5">
        <v>36</v>
      </c>
    </row>
    <row r="15613" spans="1:19" ht="28" x14ac:dyDescent="0.15">
      <c r="A15613" s="2">
        <f>HYPERLINK("https://open-school.uspishnemisto.com.ua/school/730337/", 730337)</f>
        <v>730337</v>
      </c>
      <c r="B15613" s="3" t="s">
        <v>78857</v>
      </c>
      <c r="C15613" s="3" t="s">
        <v>31</v>
      </c>
      <c r="D15613" s="3" t="s">
        <v>175</v>
      </c>
      <c r="E15613" s="4" t="s">
        <v>22</v>
      </c>
      <c r="F15613" s="4" t="s">
        <v>78858</v>
      </c>
      <c r="G15613" s="4" t="s">
        <v>78859</v>
      </c>
      <c r="H15613" s="3" t="s">
        <v>77131</v>
      </c>
      <c r="I15613" s="3" t="s">
        <v>78860</v>
      </c>
      <c r="J15613" s="3" t="s">
        <v>479</v>
      </c>
      <c r="K15613" s="3" t="s">
        <v>78861</v>
      </c>
      <c r="L15613" s="3"/>
      <c r="M15613" s="4"/>
      <c r="N15613" s="3" t="s">
        <v>37</v>
      </c>
      <c r="O15613" s="3" t="s">
        <v>46</v>
      </c>
      <c r="P15613" s="5">
        <v>7</v>
      </c>
      <c r="Q15613" s="5">
        <v>47</v>
      </c>
      <c r="R15613" s="5">
        <v>6</v>
      </c>
      <c r="S15613" s="5">
        <v>48</v>
      </c>
    </row>
    <row r="15614" spans="1:19" ht="42" x14ac:dyDescent="0.15">
      <c r="A15614" s="2">
        <f>HYPERLINK("https://open-school.uspishnemisto.com.ua/school/730338/", 730338)</f>
        <v>730338</v>
      </c>
      <c r="B15614" s="3" t="s">
        <v>78862</v>
      </c>
      <c r="C15614" s="3" t="s">
        <v>40</v>
      </c>
      <c r="D15614" s="3" t="s">
        <v>32</v>
      </c>
      <c r="E15614" s="4" t="s">
        <v>22</v>
      </c>
      <c r="F15614" s="4" t="s">
        <v>78863</v>
      </c>
      <c r="G15614" s="4" t="s">
        <v>78864</v>
      </c>
      <c r="H15614" s="3" t="s">
        <v>77131</v>
      </c>
      <c r="I15614" s="3" t="s">
        <v>78865</v>
      </c>
      <c r="J15614" s="3" t="s">
        <v>78866</v>
      </c>
      <c r="K15614" s="3" t="s">
        <v>78867</v>
      </c>
      <c r="L15614" s="3" t="s">
        <v>78868</v>
      </c>
      <c r="M15614" s="4"/>
      <c r="N15614" s="3" t="s">
        <v>37</v>
      </c>
      <c r="O15614" s="3" t="s">
        <v>52</v>
      </c>
      <c r="P15614" s="5">
        <v>23</v>
      </c>
      <c r="Q15614" s="5">
        <v>560</v>
      </c>
      <c r="R15614" s="5">
        <v>22</v>
      </c>
      <c r="S15614" s="5">
        <v>535</v>
      </c>
    </row>
    <row r="15615" spans="1:19" ht="28" x14ac:dyDescent="0.15">
      <c r="A15615" s="2">
        <f>HYPERLINK("https://open-school.uspishnemisto.com.ua/school/730339/", 730339)</f>
        <v>730339</v>
      </c>
      <c r="B15615" s="3" t="s">
        <v>78869</v>
      </c>
      <c r="C15615" s="3" t="s">
        <v>54</v>
      </c>
      <c r="D15615" s="3" t="s">
        <v>32</v>
      </c>
      <c r="E15615" s="4" t="s">
        <v>22</v>
      </c>
      <c r="F15615" s="4" t="s">
        <v>78870</v>
      </c>
      <c r="G15615" s="4" t="s">
        <v>78871</v>
      </c>
      <c r="H15615" s="3" t="s">
        <v>77131</v>
      </c>
      <c r="I15615" s="3" t="s">
        <v>2410</v>
      </c>
      <c r="J15615" s="3" t="s">
        <v>1673</v>
      </c>
      <c r="K15615" s="3" t="s">
        <v>78872</v>
      </c>
      <c r="L15615" s="3"/>
      <c r="M15615" s="4"/>
      <c r="N15615" s="3" t="s">
        <v>37</v>
      </c>
      <c r="O15615" s="3" t="s">
        <v>46</v>
      </c>
      <c r="P15615" s="5">
        <v>11</v>
      </c>
      <c r="Q15615" s="5">
        <v>124</v>
      </c>
      <c r="R15615" s="5">
        <v>11</v>
      </c>
      <c r="S15615" s="5">
        <v>125</v>
      </c>
    </row>
    <row r="15616" spans="1:19" ht="28" x14ac:dyDescent="0.15">
      <c r="A15616" s="2">
        <f>HYPERLINK("https://open-school.uspishnemisto.com.ua/school/730340/", 730340)</f>
        <v>730340</v>
      </c>
      <c r="B15616" s="3" t="s">
        <v>78873</v>
      </c>
      <c r="C15616" s="3" t="s">
        <v>54</v>
      </c>
      <c r="D15616" s="3" t="s">
        <v>32</v>
      </c>
      <c r="E15616" s="4" t="s">
        <v>22</v>
      </c>
      <c r="F15616" s="4" t="s">
        <v>78874</v>
      </c>
      <c r="G15616" s="4" t="s">
        <v>78875</v>
      </c>
      <c r="H15616" s="3" t="s">
        <v>77131</v>
      </c>
      <c r="I15616" s="3" t="s">
        <v>78876</v>
      </c>
      <c r="J15616" s="3" t="s">
        <v>78877</v>
      </c>
      <c r="K15616" s="3" t="s">
        <v>78878</v>
      </c>
      <c r="L15616" s="3"/>
      <c r="M15616" s="4"/>
      <c r="N15616" s="3" t="s">
        <v>37</v>
      </c>
      <c r="O15616" s="3" t="s">
        <v>46</v>
      </c>
      <c r="P15616" s="5">
        <v>10</v>
      </c>
      <c r="Q15616" s="5">
        <v>130</v>
      </c>
      <c r="R15616" s="5">
        <v>11</v>
      </c>
      <c r="S15616" s="5">
        <v>142</v>
      </c>
    </row>
    <row r="15617" spans="1:19" ht="28" x14ac:dyDescent="0.15">
      <c r="A15617" s="2">
        <f>HYPERLINK("https://open-school.uspishnemisto.com.ua/school/730341/", 730341)</f>
        <v>730341</v>
      </c>
      <c r="B15617" s="3" t="s">
        <v>78879</v>
      </c>
      <c r="C15617" s="3" t="s">
        <v>54</v>
      </c>
      <c r="D15617" s="3" t="s">
        <v>32</v>
      </c>
      <c r="E15617" s="4" t="s">
        <v>22</v>
      </c>
      <c r="F15617" s="4" t="s">
        <v>78880</v>
      </c>
      <c r="G15617" s="4" t="s">
        <v>78881</v>
      </c>
      <c r="H15617" s="3" t="s">
        <v>77131</v>
      </c>
      <c r="I15617" s="3" t="s">
        <v>78882</v>
      </c>
      <c r="J15617" s="3" t="s">
        <v>78883</v>
      </c>
      <c r="K15617" s="3" t="s">
        <v>78884</v>
      </c>
      <c r="L15617" s="3"/>
      <c r="M15617" s="4"/>
      <c r="N15617" s="3" t="s">
        <v>37</v>
      </c>
      <c r="O15617" s="3" t="s">
        <v>46</v>
      </c>
      <c r="P15617" s="5">
        <v>11</v>
      </c>
      <c r="Q15617" s="5">
        <v>219</v>
      </c>
      <c r="R15617" s="5">
        <v>11</v>
      </c>
      <c r="S15617" s="5">
        <v>218</v>
      </c>
    </row>
    <row r="15618" spans="1:19" ht="28" x14ac:dyDescent="0.15">
      <c r="A15618" s="2">
        <f>HYPERLINK("https://open-school.uspishnemisto.com.ua/school/730342/", 730342)</f>
        <v>730342</v>
      </c>
      <c r="B15618" s="3" t="s">
        <v>78885</v>
      </c>
      <c r="C15618" s="3" t="s">
        <v>31</v>
      </c>
      <c r="D15618" s="3" t="s">
        <v>32</v>
      </c>
      <c r="E15618" s="4" t="s">
        <v>22</v>
      </c>
      <c r="F15618" s="4" t="s">
        <v>78886</v>
      </c>
      <c r="G15618" s="4" t="s">
        <v>78887</v>
      </c>
      <c r="H15618" s="3" t="s">
        <v>77131</v>
      </c>
      <c r="I15618" s="3" t="s">
        <v>78429</v>
      </c>
      <c r="J15618" s="3" t="s">
        <v>1636</v>
      </c>
      <c r="K15618" s="3" t="s">
        <v>78888</v>
      </c>
      <c r="L15618" s="3"/>
      <c r="M15618" s="4"/>
      <c r="N15618" s="3" t="s">
        <v>37</v>
      </c>
      <c r="O15618" s="3" t="s">
        <v>618</v>
      </c>
      <c r="P15618" s="5">
        <v>11</v>
      </c>
      <c r="Q15618" s="5">
        <v>229</v>
      </c>
      <c r="R15618" s="5">
        <v>11</v>
      </c>
      <c r="S15618" s="5">
        <v>217</v>
      </c>
    </row>
    <row r="15619" spans="1:19" ht="28" x14ac:dyDescent="0.15">
      <c r="A15619" s="2">
        <f>HYPERLINK("https://open-school.uspishnemisto.com.ua/school/730343/", 730343)</f>
        <v>730343</v>
      </c>
      <c r="B15619" s="3" t="s">
        <v>78889</v>
      </c>
      <c r="C15619" s="3" t="s">
        <v>31</v>
      </c>
      <c r="D15619" s="3" t="s">
        <v>175</v>
      </c>
      <c r="E15619" s="4" t="s">
        <v>22</v>
      </c>
      <c r="F15619" s="4" t="s">
        <v>78890</v>
      </c>
      <c r="G15619" s="4" t="s">
        <v>78891</v>
      </c>
      <c r="H15619" s="3" t="s">
        <v>77131</v>
      </c>
      <c r="I15619" s="3" t="s">
        <v>78892</v>
      </c>
      <c r="J15619" s="3" t="s">
        <v>78893</v>
      </c>
      <c r="K15619" s="3" t="s">
        <v>78894</v>
      </c>
      <c r="L15619" s="3" t="s">
        <v>78895</v>
      </c>
      <c r="M15619" s="4"/>
      <c r="N15619" s="3" t="s">
        <v>37</v>
      </c>
      <c r="O15619" s="3" t="s">
        <v>52</v>
      </c>
      <c r="P15619" s="5">
        <v>9</v>
      </c>
      <c r="Q15619" s="5">
        <v>110</v>
      </c>
      <c r="R15619" s="5">
        <v>9</v>
      </c>
      <c r="S15619" s="5">
        <v>105</v>
      </c>
    </row>
    <row r="15620" spans="1:19" ht="28" x14ac:dyDescent="0.15">
      <c r="A15620" s="2">
        <f>HYPERLINK("https://open-school.uspishnemisto.com.ua/school/730344/", 730344)</f>
        <v>730344</v>
      </c>
      <c r="B15620" s="3" t="s">
        <v>78896</v>
      </c>
      <c r="C15620" s="3" t="s">
        <v>31</v>
      </c>
      <c r="D15620" s="3" t="s">
        <v>32</v>
      </c>
      <c r="E15620" s="4" t="s">
        <v>22</v>
      </c>
      <c r="F15620" s="4" t="s">
        <v>78890</v>
      </c>
      <c r="G15620" s="4" t="s">
        <v>78891</v>
      </c>
      <c r="H15620" s="3" t="s">
        <v>77131</v>
      </c>
      <c r="I15620" s="3" t="s">
        <v>78892</v>
      </c>
      <c r="J15620" s="3" t="s">
        <v>78897</v>
      </c>
      <c r="K15620" s="3" t="s">
        <v>78898</v>
      </c>
      <c r="L15620" s="3" t="s">
        <v>78899</v>
      </c>
      <c r="M15620" s="4"/>
      <c r="N15620" s="3" t="s">
        <v>37</v>
      </c>
      <c r="O15620" s="3" t="s">
        <v>46</v>
      </c>
      <c r="P15620" s="5">
        <v>20</v>
      </c>
      <c r="Q15620" s="5">
        <v>448</v>
      </c>
      <c r="R15620" s="5">
        <v>20</v>
      </c>
      <c r="S15620" s="5">
        <v>450</v>
      </c>
    </row>
    <row r="15621" spans="1:19" ht="28" x14ac:dyDescent="0.15">
      <c r="A15621" s="2">
        <f>HYPERLINK("https://open-school.uspishnemisto.com.ua/school/730345/", 730345)</f>
        <v>730345</v>
      </c>
      <c r="B15621" s="3" t="s">
        <v>78900</v>
      </c>
      <c r="C15621" s="3" t="s">
        <v>293</v>
      </c>
      <c r="D15621" s="3" t="s">
        <v>32</v>
      </c>
      <c r="E15621" s="4" t="s">
        <v>22</v>
      </c>
      <c r="F15621" s="4" t="s">
        <v>78890</v>
      </c>
      <c r="G15621" s="4" t="s">
        <v>78891</v>
      </c>
      <c r="H15621" s="3" t="s">
        <v>77131</v>
      </c>
      <c r="I15621" s="3" t="s">
        <v>78892</v>
      </c>
      <c r="J15621" s="3" t="s">
        <v>78901</v>
      </c>
      <c r="K15621" s="3" t="s">
        <v>78902</v>
      </c>
      <c r="L15621" s="3"/>
      <c r="M15621" s="4" t="s">
        <v>78903</v>
      </c>
      <c r="N15621" s="3" t="s">
        <v>37</v>
      </c>
      <c r="O15621" s="3" t="s">
        <v>46</v>
      </c>
      <c r="P15621" s="5">
        <v>11</v>
      </c>
      <c r="Q15621" s="5">
        <v>238</v>
      </c>
      <c r="R15621" s="5">
        <v>11</v>
      </c>
      <c r="S15621" s="5">
        <v>239</v>
      </c>
    </row>
    <row r="15622" spans="1:19" ht="28" x14ac:dyDescent="0.15">
      <c r="A15622" s="2">
        <f>HYPERLINK("https://open-school.uspishnemisto.com.ua/school/730346/", 730346)</f>
        <v>730346</v>
      </c>
      <c r="B15622" s="3" t="s">
        <v>78904</v>
      </c>
      <c r="C15622" s="3" t="s">
        <v>40</v>
      </c>
      <c r="D15622" s="3" t="s">
        <v>32</v>
      </c>
      <c r="E15622" s="4" t="s">
        <v>22</v>
      </c>
      <c r="F15622" s="4" t="s">
        <v>78890</v>
      </c>
      <c r="G15622" s="4" t="s">
        <v>78891</v>
      </c>
      <c r="H15622" s="3" t="s">
        <v>77131</v>
      </c>
      <c r="I15622" s="3" t="s">
        <v>78892</v>
      </c>
      <c r="J15622" s="3" t="s">
        <v>78905</v>
      </c>
      <c r="K15622" s="3" t="s">
        <v>78906</v>
      </c>
      <c r="L15622" s="3" t="s">
        <v>78907</v>
      </c>
      <c r="M15622" s="4"/>
      <c r="N15622" s="3" t="s">
        <v>37</v>
      </c>
      <c r="O15622" s="3" t="s">
        <v>237</v>
      </c>
      <c r="P15622" s="5">
        <v>22</v>
      </c>
      <c r="Q15622" s="5">
        <v>522</v>
      </c>
      <c r="R15622" s="5">
        <v>22</v>
      </c>
      <c r="S15622" s="5">
        <v>506</v>
      </c>
    </row>
    <row r="15623" spans="1:19" ht="28" x14ac:dyDescent="0.15">
      <c r="A15623" s="2">
        <f>HYPERLINK("https://open-school.uspishnemisto.com.ua/school/730347/", 730347)</f>
        <v>730347</v>
      </c>
      <c r="B15623" s="3" t="s">
        <v>78908</v>
      </c>
      <c r="C15623" s="3" t="s">
        <v>188</v>
      </c>
      <c r="D15623" s="3" t="s">
        <v>32</v>
      </c>
      <c r="E15623" s="4" t="s">
        <v>22</v>
      </c>
      <c r="F15623" s="4" t="s">
        <v>78890</v>
      </c>
      <c r="G15623" s="4" t="s">
        <v>78891</v>
      </c>
      <c r="H15623" s="3" t="s">
        <v>77131</v>
      </c>
      <c r="I15623" s="3" t="s">
        <v>78892</v>
      </c>
      <c r="J15623" s="3" t="s">
        <v>78909</v>
      </c>
      <c r="K15623" s="3" t="s">
        <v>78910</v>
      </c>
      <c r="L15623" s="3" t="s">
        <v>78911</v>
      </c>
      <c r="M15623" s="4"/>
      <c r="N15623" s="3" t="s">
        <v>37</v>
      </c>
      <c r="O15623" s="3" t="s">
        <v>52</v>
      </c>
      <c r="P15623" s="5">
        <v>32</v>
      </c>
      <c r="Q15623" s="5">
        <v>837</v>
      </c>
      <c r="R15623" s="5">
        <v>31</v>
      </c>
      <c r="S15623" s="5">
        <v>804</v>
      </c>
    </row>
    <row r="15624" spans="1:19" ht="28" x14ac:dyDescent="0.15">
      <c r="A15624" s="2">
        <f>HYPERLINK("https://open-school.uspishnemisto.com.ua/school/730348/", 730348)</f>
        <v>730348</v>
      </c>
      <c r="B15624" s="3" t="s">
        <v>78912</v>
      </c>
      <c r="C15624" s="3" t="s">
        <v>40</v>
      </c>
      <c r="D15624" s="3" t="s">
        <v>32</v>
      </c>
      <c r="E15624" s="4" t="s">
        <v>22</v>
      </c>
      <c r="F15624" s="4" t="s">
        <v>78913</v>
      </c>
      <c r="G15624" s="4" t="s">
        <v>78914</v>
      </c>
      <c r="H15624" s="3" t="s">
        <v>77131</v>
      </c>
      <c r="I15624" s="3" t="s">
        <v>78915</v>
      </c>
      <c r="J15624" s="3" t="s">
        <v>78916</v>
      </c>
      <c r="K15624" s="3" t="s">
        <v>78917</v>
      </c>
      <c r="L15624" s="3"/>
      <c r="M15624" s="4"/>
      <c r="N15624" s="3" t="s">
        <v>22346</v>
      </c>
      <c r="O15624" s="3" t="s">
        <v>2740</v>
      </c>
      <c r="P15624" s="5">
        <v>24</v>
      </c>
      <c r="Q15624" s="5">
        <v>565</v>
      </c>
      <c r="R15624" s="5">
        <v>25</v>
      </c>
      <c r="S15624" s="5">
        <v>579</v>
      </c>
    </row>
    <row r="15625" spans="1:19" ht="42" x14ac:dyDescent="0.15">
      <c r="A15625" s="2">
        <f>HYPERLINK("https://open-school.uspishnemisto.com.ua/school/730349/", 730349)</f>
        <v>730349</v>
      </c>
      <c r="B15625" s="3" t="s">
        <v>78918</v>
      </c>
      <c r="C15625" s="3" t="s">
        <v>31</v>
      </c>
      <c r="D15625" s="3" t="s">
        <v>32</v>
      </c>
      <c r="E15625" s="4" t="s">
        <v>22</v>
      </c>
      <c r="F15625" s="4" t="s">
        <v>78913</v>
      </c>
      <c r="G15625" s="4" t="s">
        <v>78914</v>
      </c>
      <c r="H15625" s="3" t="s">
        <v>77131</v>
      </c>
      <c r="I15625" s="3" t="s">
        <v>78915</v>
      </c>
      <c r="J15625" s="3" t="s">
        <v>78919</v>
      </c>
      <c r="K15625" s="3" t="s">
        <v>78920</v>
      </c>
      <c r="L15625" s="3"/>
      <c r="M15625" s="4"/>
      <c r="N15625" s="3" t="s">
        <v>22346</v>
      </c>
      <c r="O15625" s="3" t="s">
        <v>11684</v>
      </c>
      <c r="P15625" s="5">
        <v>20</v>
      </c>
      <c r="Q15625" s="5">
        <v>394</v>
      </c>
      <c r="R15625" s="5">
        <v>19</v>
      </c>
      <c r="S15625" s="5">
        <v>380</v>
      </c>
    </row>
    <row r="15626" spans="1:19" ht="42" x14ac:dyDescent="0.15">
      <c r="A15626" s="2">
        <f>HYPERLINK("https://open-school.uspishnemisto.com.ua/school/730350/", 730350)</f>
        <v>730350</v>
      </c>
      <c r="B15626" s="3" t="s">
        <v>78921</v>
      </c>
      <c r="C15626" s="3" t="s">
        <v>31</v>
      </c>
      <c r="D15626" s="3" t="s">
        <v>32</v>
      </c>
      <c r="E15626" s="4" t="s">
        <v>22</v>
      </c>
      <c r="F15626" s="4" t="s">
        <v>78913</v>
      </c>
      <c r="G15626" s="4" t="s">
        <v>78914</v>
      </c>
      <c r="H15626" s="3" t="s">
        <v>77131</v>
      </c>
      <c r="I15626" s="3" t="s">
        <v>78915</v>
      </c>
      <c r="J15626" s="3" t="s">
        <v>78922</v>
      </c>
      <c r="K15626" s="3" t="s">
        <v>78923</v>
      </c>
      <c r="L15626" s="3"/>
      <c r="M15626" s="4"/>
      <c r="N15626" s="3" t="s">
        <v>37</v>
      </c>
      <c r="O15626" s="3" t="s">
        <v>52</v>
      </c>
      <c r="P15626" s="5">
        <v>18</v>
      </c>
      <c r="Q15626" s="5">
        <v>421</v>
      </c>
      <c r="R15626" s="5">
        <v>18</v>
      </c>
      <c r="S15626" s="5">
        <v>413</v>
      </c>
    </row>
    <row r="15627" spans="1:19" ht="42" x14ac:dyDescent="0.15">
      <c r="A15627" s="2">
        <f>HYPERLINK("https://open-school.uspishnemisto.com.ua/school/730351/", 730351)</f>
        <v>730351</v>
      </c>
      <c r="B15627" s="3" t="s">
        <v>78924</v>
      </c>
      <c r="C15627" s="3" t="s">
        <v>54</v>
      </c>
      <c r="D15627" s="3" t="s">
        <v>175</v>
      </c>
      <c r="E15627" s="4" t="s">
        <v>22</v>
      </c>
      <c r="F15627" s="4" t="s">
        <v>78913</v>
      </c>
      <c r="G15627" s="4" t="s">
        <v>78914</v>
      </c>
      <c r="H15627" s="3" t="s">
        <v>77131</v>
      </c>
      <c r="I15627" s="3" t="s">
        <v>78915</v>
      </c>
      <c r="J15627" s="3" t="s">
        <v>78925</v>
      </c>
      <c r="K15627" s="3" t="s">
        <v>78926</v>
      </c>
      <c r="L15627" s="3" t="s">
        <v>78927</v>
      </c>
      <c r="M15627" s="4"/>
      <c r="N15627" s="3" t="s">
        <v>22346</v>
      </c>
      <c r="O15627" s="3" t="s">
        <v>11684</v>
      </c>
      <c r="P15627" s="5">
        <v>9</v>
      </c>
      <c r="Q15627" s="5">
        <v>94</v>
      </c>
      <c r="R15627" s="5">
        <v>9</v>
      </c>
      <c r="S15627" s="5">
        <v>91</v>
      </c>
    </row>
    <row r="15628" spans="1:19" ht="28" x14ac:dyDescent="0.15">
      <c r="A15628" s="2">
        <f>HYPERLINK("https://open-school.uspishnemisto.com.ua/school/730352/", 730352)</f>
        <v>730352</v>
      </c>
      <c r="B15628" s="3" t="s">
        <v>78928</v>
      </c>
      <c r="C15628" s="3" t="s">
        <v>40</v>
      </c>
      <c r="D15628" s="3" t="s">
        <v>32</v>
      </c>
      <c r="E15628" s="4" t="s">
        <v>22</v>
      </c>
      <c r="F15628" s="4" t="s">
        <v>78929</v>
      </c>
      <c r="G15628" s="4" t="s">
        <v>78930</v>
      </c>
      <c r="H15628" s="3" t="s">
        <v>77131</v>
      </c>
      <c r="I15628" s="3" t="s">
        <v>78931</v>
      </c>
      <c r="J15628" s="3" t="s">
        <v>78932</v>
      </c>
      <c r="K15628" s="3" t="s">
        <v>78933</v>
      </c>
      <c r="L15628" s="3" t="s">
        <v>78934</v>
      </c>
      <c r="M15628" s="4"/>
      <c r="N15628" s="3" t="s">
        <v>37</v>
      </c>
      <c r="O15628" s="3" t="s">
        <v>46</v>
      </c>
      <c r="P15628" s="5">
        <v>32</v>
      </c>
      <c r="Q15628" s="5">
        <v>632</v>
      </c>
      <c r="R15628" s="5">
        <v>34</v>
      </c>
      <c r="S15628" s="5">
        <v>647</v>
      </c>
    </row>
    <row r="15629" spans="1:19" ht="28" x14ac:dyDescent="0.15">
      <c r="A15629" s="2">
        <f>HYPERLINK("https://open-school.uspishnemisto.com.ua/school/730353/", 730353)</f>
        <v>730353</v>
      </c>
      <c r="B15629" s="3" t="s">
        <v>78935</v>
      </c>
      <c r="C15629" s="3" t="s">
        <v>54</v>
      </c>
      <c r="D15629" s="3" t="s">
        <v>32</v>
      </c>
      <c r="E15629" s="4" t="s">
        <v>22</v>
      </c>
      <c r="F15629" s="4" t="s">
        <v>78936</v>
      </c>
      <c r="G15629" s="4" t="s">
        <v>78937</v>
      </c>
      <c r="H15629" s="3" t="s">
        <v>77131</v>
      </c>
      <c r="I15629" s="3" t="s">
        <v>78938</v>
      </c>
      <c r="J15629" s="3" t="s">
        <v>77884</v>
      </c>
      <c r="K15629" s="3" t="s">
        <v>78939</v>
      </c>
      <c r="L15629" s="3" t="s">
        <v>78940</v>
      </c>
      <c r="M15629" s="4"/>
      <c r="N15629" s="3" t="s">
        <v>37</v>
      </c>
      <c r="O15629" s="3" t="s">
        <v>52</v>
      </c>
      <c r="P15629" s="5">
        <v>11</v>
      </c>
      <c r="Q15629" s="5">
        <v>213</v>
      </c>
      <c r="R15629" s="5">
        <v>12</v>
      </c>
      <c r="S15629" s="5">
        <v>223</v>
      </c>
    </row>
    <row r="15630" spans="1:19" ht="42" x14ac:dyDescent="0.15">
      <c r="A15630" s="2">
        <f>HYPERLINK("https://open-school.uspishnemisto.com.ua/school/730354/", 730354)</f>
        <v>730354</v>
      </c>
      <c r="B15630" s="3" t="s">
        <v>78941</v>
      </c>
      <c r="C15630" s="3" t="s">
        <v>31</v>
      </c>
      <c r="D15630" s="3" t="s">
        <v>175</v>
      </c>
      <c r="E15630" s="4" t="s">
        <v>22</v>
      </c>
      <c r="F15630" s="4" t="s">
        <v>78942</v>
      </c>
      <c r="G15630" s="4" t="s">
        <v>78943</v>
      </c>
      <c r="H15630" s="3" t="s">
        <v>77131</v>
      </c>
      <c r="I15630" s="3" t="s">
        <v>78944</v>
      </c>
      <c r="J15630" s="3" t="s">
        <v>20749</v>
      </c>
      <c r="K15630" s="3" t="s">
        <v>78945</v>
      </c>
      <c r="L15630" s="3"/>
      <c r="M15630" s="4"/>
      <c r="N15630" s="3" t="s">
        <v>22346</v>
      </c>
      <c r="O15630" s="3" t="s">
        <v>11684</v>
      </c>
      <c r="P15630" s="5">
        <v>9</v>
      </c>
      <c r="Q15630" s="5">
        <v>105</v>
      </c>
      <c r="R15630" s="5">
        <v>9</v>
      </c>
      <c r="S15630" s="5">
        <v>105</v>
      </c>
    </row>
    <row r="15631" spans="1:19" ht="42" x14ac:dyDescent="0.15">
      <c r="A15631" s="2">
        <f>HYPERLINK("https://open-school.uspishnemisto.com.ua/school/730355/", 730355)</f>
        <v>730355</v>
      </c>
      <c r="B15631" s="3" t="s">
        <v>78946</v>
      </c>
      <c r="C15631" s="3" t="s">
        <v>31</v>
      </c>
      <c r="D15631" s="3" t="s">
        <v>32</v>
      </c>
      <c r="E15631" s="4" t="s">
        <v>22</v>
      </c>
      <c r="F15631" s="4" t="s">
        <v>78947</v>
      </c>
      <c r="G15631" s="4" t="s">
        <v>78948</v>
      </c>
      <c r="H15631" s="3" t="s">
        <v>77131</v>
      </c>
      <c r="I15631" s="3" t="s">
        <v>78949</v>
      </c>
      <c r="J15631" s="3" t="s">
        <v>78950</v>
      </c>
      <c r="K15631" s="3" t="s">
        <v>78951</v>
      </c>
      <c r="L15631" s="3" t="s">
        <v>78952</v>
      </c>
      <c r="M15631" s="4"/>
      <c r="N15631" s="3" t="s">
        <v>37</v>
      </c>
      <c r="O15631" s="3" t="s">
        <v>52</v>
      </c>
      <c r="P15631" s="5">
        <v>24</v>
      </c>
      <c r="Q15631" s="5">
        <v>638</v>
      </c>
      <c r="R15631" s="5">
        <v>23</v>
      </c>
      <c r="S15631" s="5">
        <v>620</v>
      </c>
    </row>
    <row r="15632" spans="1:19" ht="42" x14ac:dyDescent="0.15">
      <c r="A15632" s="2">
        <f>HYPERLINK("https://open-school.uspishnemisto.com.ua/school/730356/", 730356)</f>
        <v>730356</v>
      </c>
      <c r="B15632" s="3" t="s">
        <v>78953</v>
      </c>
      <c r="C15632" s="3" t="s">
        <v>54</v>
      </c>
      <c r="D15632" s="3" t="s">
        <v>32</v>
      </c>
      <c r="E15632" s="4" t="s">
        <v>22</v>
      </c>
      <c r="F15632" s="4" t="s">
        <v>78954</v>
      </c>
      <c r="G15632" s="4" t="s">
        <v>78955</v>
      </c>
      <c r="H15632" s="3" t="s">
        <v>77131</v>
      </c>
      <c r="I15632" s="3" t="s">
        <v>78956</v>
      </c>
      <c r="J15632" s="3" t="s">
        <v>3440</v>
      </c>
      <c r="K15632" s="3" t="s">
        <v>78957</v>
      </c>
      <c r="L15632" s="3" t="s">
        <v>78958</v>
      </c>
      <c r="M15632" s="4"/>
      <c r="N15632" s="3" t="s">
        <v>37</v>
      </c>
      <c r="O15632" s="3" t="s">
        <v>52</v>
      </c>
      <c r="P15632" s="5">
        <v>13</v>
      </c>
      <c r="Q15632" s="5">
        <v>312</v>
      </c>
      <c r="R15632" s="5">
        <v>12</v>
      </c>
      <c r="S15632" s="5">
        <v>298</v>
      </c>
    </row>
    <row r="15633" spans="1:19" ht="42" x14ac:dyDescent="0.15">
      <c r="A15633" s="2">
        <f>HYPERLINK("https://open-school.uspishnemisto.com.ua/school/730357/", 730357)</f>
        <v>730357</v>
      </c>
      <c r="B15633" s="3" t="s">
        <v>78959</v>
      </c>
      <c r="C15633" s="3" t="s">
        <v>31</v>
      </c>
      <c r="D15633" s="3" t="s">
        <v>32</v>
      </c>
      <c r="E15633" s="4" t="s">
        <v>22</v>
      </c>
      <c r="F15633" s="4" t="s">
        <v>78960</v>
      </c>
      <c r="G15633" s="4" t="s">
        <v>78961</v>
      </c>
      <c r="H15633" s="3" t="s">
        <v>77131</v>
      </c>
      <c r="I15633" s="3" t="s">
        <v>78962</v>
      </c>
      <c r="J15633" s="3" t="s">
        <v>78963</v>
      </c>
      <c r="K15633" s="3" t="s">
        <v>78964</v>
      </c>
      <c r="L15633" s="3" t="s">
        <v>78965</v>
      </c>
      <c r="M15633" s="4"/>
      <c r="N15633" s="3" t="s">
        <v>22305</v>
      </c>
      <c r="O15633" s="3" t="s">
        <v>77786</v>
      </c>
      <c r="P15633" s="5">
        <v>12</v>
      </c>
      <c r="Q15633" s="5">
        <v>192</v>
      </c>
      <c r="R15633" s="5">
        <v>12</v>
      </c>
      <c r="S15633" s="5">
        <v>182</v>
      </c>
    </row>
    <row r="15634" spans="1:19" ht="42" x14ac:dyDescent="0.15">
      <c r="A15634" s="2">
        <f>HYPERLINK("https://open-school.uspishnemisto.com.ua/school/730358/", 730358)</f>
        <v>730358</v>
      </c>
      <c r="B15634" s="3" t="s">
        <v>78966</v>
      </c>
      <c r="C15634" s="3" t="s">
        <v>31</v>
      </c>
      <c r="D15634" s="3" t="s">
        <v>32</v>
      </c>
      <c r="E15634" s="4" t="s">
        <v>22</v>
      </c>
      <c r="F15634" s="4" t="s">
        <v>78960</v>
      </c>
      <c r="G15634" s="4" t="s">
        <v>78961</v>
      </c>
      <c r="H15634" s="3" t="s">
        <v>77131</v>
      </c>
      <c r="I15634" s="3" t="s">
        <v>78962</v>
      </c>
      <c r="J15634" s="3" t="s">
        <v>78967</v>
      </c>
      <c r="K15634" s="3" t="s">
        <v>78968</v>
      </c>
      <c r="L15634" s="3" t="s">
        <v>78969</v>
      </c>
      <c r="M15634" s="4"/>
      <c r="N15634" s="3" t="s">
        <v>22305</v>
      </c>
      <c r="O15634" s="3" t="s">
        <v>2740</v>
      </c>
      <c r="P15634" s="5">
        <v>24</v>
      </c>
      <c r="Q15634" s="5">
        <v>461</v>
      </c>
      <c r="R15634" s="5">
        <v>24</v>
      </c>
      <c r="S15634" s="5">
        <v>437</v>
      </c>
    </row>
    <row r="15635" spans="1:19" ht="42" x14ac:dyDescent="0.15">
      <c r="A15635" s="2">
        <f>HYPERLINK("https://open-school.uspishnemisto.com.ua/school/730359/", 730359)</f>
        <v>730359</v>
      </c>
      <c r="B15635" s="3" t="s">
        <v>78970</v>
      </c>
      <c r="C15635" s="3" t="s">
        <v>31</v>
      </c>
      <c r="D15635" s="3" t="s">
        <v>32</v>
      </c>
      <c r="E15635" s="4" t="s">
        <v>22</v>
      </c>
      <c r="F15635" s="4" t="s">
        <v>78971</v>
      </c>
      <c r="G15635" s="4" t="s">
        <v>78972</v>
      </c>
      <c r="H15635" s="3" t="s">
        <v>77131</v>
      </c>
      <c r="I15635" s="3" t="s">
        <v>17219</v>
      </c>
      <c r="J15635" s="3" t="s">
        <v>78973</v>
      </c>
      <c r="K15635" s="3" t="s">
        <v>78974</v>
      </c>
      <c r="L15635" s="3" t="s">
        <v>78975</v>
      </c>
      <c r="M15635" s="4"/>
      <c r="N15635" s="3" t="s">
        <v>37</v>
      </c>
      <c r="O15635" s="3" t="s">
        <v>618</v>
      </c>
      <c r="P15635" s="5">
        <v>22</v>
      </c>
      <c r="Q15635" s="5">
        <v>446</v>
      </c>
      <c r="R15635" s="5">
        <v>22</v>
      </c>
      <c r="S15635" s="5">
        <v>442</v>
      </c>
    </row>
    <row r="15636" spans="1:19" ht="42" x14ac:dyDescent="0.15">
      <c r="A15636" s="2">
        <f>HYPERLINK("https://open-school.uspishnemisto.com.ua/school/730360/", 730360)</f>
        <v>730360</v>
      </c>
      <c r="B15636" s="3" t="s">
        <v>78976</v>
      </c>
      <c r="C15636" s="3" t="s">
        <v>31</v>
      </c>
      <c r="D15636" s="3" t="s">
        <v>175</v>
      </c>
      <c r="E15636" s="4" t="s">
        <v>22</v>
      </c>
      <c r="F15636" s="4" t="s">
        <v>78971</v>
      </c>
      <c r="G15636" s="4" t="s">
        <v>78972</v>
      </c>
      <c r="H15636" s="3" t="s">
        <v>77131</v>
      </c>
      <c r="I15636" s="3" t="s">
        <v>17219</v>
      </c>
      <c r="J15636" s="3" t="s">
        <v>78977</v>
      </c>
      <c r="K15636" s="3" t="s">
        <v>78978</v>
      </c>
      <c r="L15636" s="3" t="s">
        <v>78979</v>
      </c>
      <c r="M15636" s="4"/>
      <c r="N15636" s="3" t="s">
        <v>37</v>
      </c>
      <c r="O15636" s="3" t="s">
        <v>618</v>
      </c>
      <c r="P15636" s="5">
        <v>9</v>
      </c>
      <c r="Q15636" s="5">
        <v>126</v>
      </c>
      <c r="R15636" s="5">
        <v>9</v>
      </c>
      <c r="S15636" s="5">
        <v>125</v>
      </c>
    </row>
    <row r="15637" spans="1:19" ht="42" x14ac:dyDescent="0.15">
      <c r="A15637" s="2">
        <f>HYPERLINK("https://open-school.uspishnemisto.com.ua/school/730361/", 730361)</f>
        <v>730361</v>
      </c>
      <c r="B15637" s="3" t="s">
        <v>78980</v>
      </c>
      <c r="C15637" s="3" t="s">
        <v>31</v>
      </c>
      <c r="D15637" s="3" t="s">
        <v>175</v>
      </c>
      <c r="E15637" s="4" t="s">
        <v>22</v>
      </c>
      <c r="F15637" s="4" t="s">
        <v>78981</v>
      </c>
      <c r="G15637" s="4" t="s">
        <v>78982</v>
      </c>
      <c r="H15637" s="3" t="s">
        <v>77131</v>
      </c>
      <c r="I15637" s="3" t="s">
        <v>78983</v>
      </c>
      <c r="J15637" s="3" t="s">
        <v>78984</v>
      </c>
      <c r="K15637" s="3" t="s">
        <v>78985</v>
      </c>
      <c r="L15637" s="3" t="s">
        <v>78986</v>
      </c>
      <c r="M15637" s="4"/>
      <c r="N15637" s="3" t="s">
        <v>37</v>
      </c>
      <c r="O15637" s="3" t="s">
        <v>618</v>
      </c>
      <c r="P15637" s="5">
        <v>14</v>
      </c>
      <c r="Q15637" s="5">
        <v>274</v>
      </c>
      <c r="R15637" s="5">
        <v>13</v>
      </c>
      <c r="S15637" s="5">
        <v>271</v>
      </c>
    </row>
    <row r="15638" spans="1:19" ht="42" x14ac:dyDescent="0.15">
      <c r="A15638" s="2">
        <f>HYPERLINK("https://open-school.uspishnemisto.com.ua/school/730362/", 730362)</f>
        <v>730362</v>
      </c>
      <c r="B15638" s="3" t="s">
        <v>78987</v>
      </c>
      <c r="C15638" s="3" t="s">
        <v>31</v>
      </c>
      <c r="D15638" s="3" t="s">
        <v>175</v>
      </c>
      <c r="E15638" s="4" t="s">
        <v>22</v>
      </c>
      <c r="F15638" s="4" t="s">
        <v>78988</v>
      </c>
      <c r="G15638" s="4" t="s">
        <v>78989</v>
      </c>
      <c r="H15638" s="3" t="s">
        <v>77131</v>
      </c>
      <c r="I15638" s="3" t="s">
        <v>78990</v>
      </c>
      <c r="J15638" s="3" t="s">
        <v>78991</v>
      </c>
      <c r="K15638" s="3" t="s">
        <v>78992</v>
      </c>
      <c r="L15638" s="3" t="s">
        <v>78993</v>
      </c>
      <c r="M15638" s="4"/>
      <c r="N15638" s="3" t="s">
        <v>22346</v>
      </c>
      <c r="O15638" s="3" t="s">
        <v>11684</v>
      </c>
      <c r="P15638" s="5">
        <v>10</v>
      </c>
      <c r="Q15638" s="5">
        <v>189</v>
      </c>
      <c r="R15638" s="5">
        <v>10</v>
      </c>
      <c r="S15638" s="5">
        <v>202</v>
      </c>
    </row>
    <row r="15639" spans="1:19" ht="42" x14ac:dyDescent="0.15">
      <c r="A15639" s="2">
        <f>HYPERLINK("https://open-school.uspishnemisto.com.ua/school/730363/", 730363)</f>
        <v>730363</v>
      </c>
      <c r="B15639" s="3" t="s">
        <v>78994</v>
      </c>
      <c r="C15639" s="3" t="s">
        <v>31</v>
      </c>
      <c r="D15639" s="3" t="s">
        <v>32</v>
      </c>
      <c r="E15639" s="4" t="s">
        <v>22</v>
      </c>
      <c r="F15639" s="4" t="s">
        <v>78988</v>
      </c>
      <c r="G15639" s="4" t="s">
        <v>78989</v>
      </c>
      <c r="H15639" s="3" t="s">
        <v>77131</v>
      </c>
      <c r="I15639" s="3" t="s">
        <v>78990</v>
      </c>
      <c r="J15639" s="3" t="s">
        <v>78995</v>
      </c>
      <c r="K15639" s="3" t="s">
        <v>78996</v>
      </c>
      <c r="L15639" s="3" t="s">
        <v>78997</v>
      </c>
      <c r="M15639" s="4"/>
      <c r="N15639" s="3" t="s">
        <v>22346</v>
      </c>
      <c r="O15639" s="3" t="s">
        <v>11684</v>
      </c>
      <c r="P15639" s="5">
        <v>22</v>
      </c>
      <c r="Q15639" s="5">
        <v>519</v>
      </c>
      <c r="R15639" s="5">
        <v>23</v>
      </c>
      <c r="S15639" s="5">
        <v>554</v>
      </c>
    </row>
    <row r="15640" spans="1:19" ht="42" x14ac:dyDescent="0.15">
      <c r="A15640" s="2">
        <f>HYPERLINK("https://open-school.uspishnemisto.com.ua/school/730364/", 730364)</f>
        <v>730364</v>
      </c>
      <c r="B15640" s="3" t="s">
        <v>78998</v>
      </c>
      <c r="C15640" s="3" t="s">
        <v>31</v>
      </c>
      <c r="D15640" s="3" t="s">
        <v>32</v>
      </c>
      <c r="E15640" s="4" t="s">
        <v>22</v>
      </c>
      <c r="F15640" s="4" t="s">
        <v>78999</v>
      </c>
      <c r="G15640" s="4" t="s">
        <v>79000</v>
      </c>
      <c r="H15640" s="3" t="s">
        <v>77131</v>
      </c>
      <c r="I15640" s="3" t="s">
        <v>79001</v>
      </c>
      <c r="J15640" s="3" t="s">
        <v>466</v>
      </c>
      <c r="K15640" s="3" t="s">
        <v>79002</v>
      </c>
      <c r="L15640" s="3"/>
      <c r="M15640" s="4"/>
      <c r="N15640" s="3" t="s">
        <v>37</v>
      </c>
      <c r="O15640" s="3" t="s">
        <v>46</v>
      </c>
      <c r="P15640" s="5">
        <v>21</v>
      </c>
      <c r="Q15640" s="5">
        <v>443</v>
      </c>
      <c r="R15640" s="5">
        <v>21</v>
      </c>
      <c r="S15640" s="5">
        <v>444</v>
      </c>
    </row>
    <row r="15641" spans="1:19" ht="42" x14ac:dyDescent="0.15">
      <c r="A15641" s="2">
        <f>HYPERLINK("https://open-school.uspishnemisto.com.ua/school/730365/", 730365)</f>
        <v>730365</v>
      </c>
      <c r="B15641" s="3" t="s">
        <v>79003</v>
      </c>
      <c r="C15641" s="3" t="s">
        <v>31</v>
      </c>
      <c r="D15641" s="3" t="s">
        <v>175</v>
      </c>
      <c r="E15641" s="4" t="s">
        <v>22</v>
      </c>
      <c r="F15641" s="4" t="s">
        <v>78890</v>
      </c>
      <c r="G15641" s="4" t="s">
        <v>79004</v>
      </c>
      <c r="H15641" s="3" t="s">
        <v>77131</v>
      </c>
      <c r="I15641" s="3" t="s">
        <v>3614</v>
      </c>
      <c r="J15641" s="3" t="s">
        <v>61170</v>
      </c>
      <c r="K15641" s="3" t="s">
        <v>79005</v>
      </c>
      <c r="L15641" s="3" t="s">
        <v>79006</v>
      </c>
      <c r="M15641" s="4"/>
      <c r="N15641" s="3" t="s">
        <v>37</v>
      </c>
      <c r="O15641" s="3" t="s">
        <v>52</v>
      </c>
      <c r="P15641" s="5">
        <v>9</v>
      </c>
      <c r="Q15641" s="5">
        <v>114</v>
      </c>
      <c r="R15641" s="5">
        <v>9</v>
      </c>
      <c r="S15641" s="5">
        <v>108</v>
      </c>
    </row>
    <row r="15642" spans="1:19" ht="42" x14ac:dyDescent="0.15">
      <c r="A15642" s="2">
        <f>HYPERLINK("https://open-school.uspishnemisto.com.ua/school/730366/", 730366)</f>
        <v>730366</v>
      </c>
      <c r="B15642" s="3" t="s">
        <v>79007</v>
      </c>
      <c r="C15642" s="3" t="s">
        <v>54</v>
      </c>
      <c r="D15642" s="3" t="s">
        <v>32</v>
      </c>
      <c r="E15642" s="4" t="s">
        <v>22</v>
      </c>
      <c r="F15642" s="4" t="s">
        <v>79008</v>
      </c>
      <c r="G15642" s="4" t="s">
        <v>79009</v>
      </c>
      <c r="H15642" s="3" t="s">
        <v>77131</v>
      </c>
      <c r="I15642" s="3" t="s">
        <v>79010</v>
      </c>
      <c r="J15642" s="3" t="s">
        <v>634</v>
      </c>
      <c r="K15642" s="3" t="s">
        <v>79011</v>
      </c>
      <c r="L15642" s="3" t="s">
        <v>79012</v>
      </c>
      <c r="M15642" s="4"/>
      <c r="N15642" s="3" t="s">
        <v>37</v>
      </c>
      <c r="O15642" s="3" t="s">
        <v>52</v>
      </c>
      <c r="P15642" s="5">
        <v>19</v>
      </c>
      <c r="Q15642" s="5">
        <v>365</v>
      </c>
      <c r="R15642" s="5">
        <v>19</v>
      </c>
      <c r="S15642" s="5">
        <v>376</v>
      </c>
    </row>
    <row r="15643" spans="1:19" ht="42" x14ac:dyDescent="0.15">
      <c r="A15643" s="2">
        <f>HYPERLINK("https://open-school.uspishnemisto.com.ua/school/730367/", 730367)</f>
        <v>730367</v>
      </c>
      <c r="B15643" s="3" t="s">
        <v>79013</v>
      </c>
      <c r="C15643" s="3" t="s">
        <v>31</v>
      </c>
      <c r="D15643" s="3" t="s">
        <v>175</v>
      </c>
      <c r="E15643" s="4" t="s">
        <v>22</v>
      </c>
      <c r="F15643" s="4" t="s">
        <v>79014</v>
      </c>
      <c r="G15643" s="4" t="s">
        <v>79015</v>
      </c>
      <c r="H15643" s="3" t="s">
        <v>77131</v>
      </c>
      <c r="I15643" s="3" t="s">
        <v>490</v>
      </c>
      <c r="J15643" s="3" t="s">
        <v>297</v>
      </c>
      <c r="K15643" s="3" t="s">
        <v>79016</v>
      </c>
      <c r="L15643" s="3" t="s">
        <v>79017</v>
      </c>
      <c r="M15643" s="4"/>
      <c r="N15643" s="3" t="s">
        <v>37</v>
      </c>
      <c r="O15643" s="3" t="s">
        <v>52</v>
      </c>
      <c r="P15643" s="5">
        <v>9</v>
      </c>
      <c r="Q15643" s="5">
        <v>171</v>
      </c>
      <c r="R15643" s="5">
        <v>9</v>
      </c>
      <c r="S15643" s="5">
        <v>156</v>
      </c>
    </row>
    <row r="15644" spans="1:19" ht="28" x14ac:dyDescent="0.15">
      <c r="A15644" s="2">
        <f>HYPERLINK("https://open-school.uspishnemisto.com.ua/school/730368/", 730368)</f>
        <v>730368</v>
      </c>
      <c r="B15644" s="3" t="s">
        <v>79018</v>
      </c>
      <c r="C15644" s="3" t="s">
        <v>54</v>
      </c>
      <c r="D15644" s="3" t="s">
        <v>32</v>
      </c>
      <c r="E15644" s="4" t="s">
        <v>22</v>
      </c>
      <c r="F15644" s="4" t="s">
        <v>79019</v>
      </c>
      <c r="G15644" s="4" t="s">
        <v>79020</v>
      </c>
      <c r="H15644" s="3" t="s">
        <v>77131</v>
      </c>
      <c r="I15644" s="3" t="s">
        <v>79021</v>
      </c>
      <c r="J15644" s="3" t="s">
        <v>79022</v>
      </c>
      <c r="K15644" s="3" t="s">
        <v>79023</v>
      </c>
      <c r="L15644" s="3" t="s">
        <v>79024</v>
      </c>
      <c r="M15644" s="4"/>
      <c r="N15644" s="3" t="s">
        <v>37</v>
      </c>
      <c r="O15644" s="3" t="s">
        <v>52</v>
      </c>
      <c r="P15644" s="5">
        <v>11</v>
      </c>
      <c r="Q15644" s="5">
        <v>132</v>
      </c>
      <c r="R15644" s="5">
        <v>11</v>
      </c>
      <c r="S15644" s="5">
        <v>130</v>
      </c>
    </row>
    <row r="15645" spans="1:19" ht="42" x14ac:dyDescent="0.15">
      <c r="A15645" s="2">
        <f>HYPERLINK("https://open-school.uspishnemisto.com.ua/school/730369/", 730369)</f>
        <v>730369</v>
      </c>
      <c r="B15645" s="3" t="s">
        <v>79025</v>
      </c>
      <c r="C15645" s="3" t="s">
        <v>31</v>
      </c>
      <c r="D15645" s="3" t="s">
        <v>175</v>
      </c>
      <c r="E15645" s="4" t="s">
        <v>22</v>
      </c>
      <c r="F15645" s="4" t="s">
        <v>79026</v>
      </c>
      <c r="G15645" s="4" t="s">
        <v>79027</v>
      </c>
      <c r="H15645" s="3" t="s">
        <v>77131</v>
      </c>
      <c r="I15645" s="3" t="s">
        <v>79028</v>
      </c>
      <c r="J15645" s="3" t="s">
        <v>59979</v>
      </c>
      <c r="K15645" s="3" t="s">
        <v>79029</v>
      </c>
      <c r="L15645" s="3" t="s">
        <v>79030</v>
      </c>
      <c r="M15645" s="4"/>
      <c r="N15645" s="3" t="s">
        <v>37</v>
      </c>
      <c r="O15645" s="3" t="s">
        <v>52</v>
      </c>
      <c r="P15645" s="5">
        <v>9</v>
      </c>
      <c r="Q15645" s="5">
        <v>65</v>
      </c>
      <c r="R15645" s="5">
        <v>9</v>
      </c>
      <c r="S15645" s="5">
        <v>63</v>
      </c>
    </row>
    <row r="15646" spans="1:19" ht="42" x14ac:dyDescent="0.15">
      <c r="A15646" s="2">
        <f>HYPERLINK("https://open-school.uspishnemisto.com.ua/school/730370/", 730370)</f>
        <v>730370</v>
      </c>
      <c r="B15646" s="3" t="s">
        <v>79031</v>
      </c>
      <c r="C15646" s="3" t="s">
        <v>31</v>
      </c>
      <c r="D15646" s="3" t="s">
        <v>175</v>
      </c>
      <c r="E15646" s="4" t="s">
        <v>22</v>
      </c>
      <c r="F15646" s="4" t="s">
        <v>79032</v>
      </c>
      <c r="G15646" s="4" t="s">
        <v>79033</v>
      </c>
      <c r="H15646" s="3" t="s">
        <v>77131</v>
      </c>
      <c r="I15646" s="3" t="s">
        <v>79034</v>
      </c>
      <c r="J15646" s="3" t="s">
        <v>79035</v>
      </c>
      <c r="K15646" s="3" t="s">
        <v>79036</v>
      </c>
      <c r="L15646" s="3" t="s">
        <v>79037</v>
      </c>
      <c r="M15646" s="4"/>
      <c r="N15646" s="3" t="s">
        <v>22305</v>
      </c>
      <c r="O15646" s="3" t="s">
        <v>77786</v>
      </c>
      <c r="P15646" s="5">
        <v>12</v>
      </c>
      <c r="Q15646" s="5">
        <v>124</v>
      </c>
      <c r="R15646" s="5">
        <v>11</v>
      </c>
      <c r="S15646" s="5">
        <v>120</v>
      </c>
    </row>
    <row r="15647" spans="1:19" ht="42" x14ac:dyDescent="0.15">
      <c r="A15647" s="2">
        <f>HYPERLINK("https://open-school.uspishnemisto.com.ua/school/730371/", 730371)</f>
        <v>730371</v>
      </c>
      <c r="B15647" s="3" t="s">
        <v>79038</v>
      </c>
      <c r="C15647" s="3" t="s">
        <v>31</v>
      </c>
      <c r="D15647" s="3" t="s">
        <v>32</v>
      </c>
      <c r="E15647" s="4" t="s">
        <v>22</v>
      </c>
      <c r="F15647" s="4" t="s">
        <v>79032</v>
      </c>
      <c r="G15647" s="4" t="s">
        <v>79033</v>
      </c>
      <c r="H15647" s="3" t="s">
        <v>77131</v>
      </c>
      <c r="I15647" s="3" t="s">
        <v>79034</v>
      </c>
      <c r="J15647" s="3" t="s">
        <v>79039</v>
      </c>
      <c r="K15647" s="3" t="s">
        <v>79040</v>
      </c>
      <c r="L15647" s="3" t="s">
        <v>79041</v>
      </c>
      <c r="M15647" s="4"/>
      <c r="N15647" s="3" t="s">
        <v>22346</v>
      </c>
      <c r="O15647" s="3" t="s">
        <v>2740</v>
      </c>
      <c r="P15647" s="5">
        <v>16</v>
      </c>
      <c r="Q15647" s="5">
        <v>300</v>
      </c>
      <c r="R15647" s="5">
        <v>16</v>
      </c>
      <c r="S15647" s="5">
        <v>302</v>
      </c>
    </row>
    <row r="15648" spans="1:19" ht="28" x14ac:dyDescent="0.15">
      <c r="A15648" s="2">
        <f>HYPERLINK("https://open-school.uspishnemisto.com.ua/school/730372/", 730372)</f>
        <v>730372</v>
      </c>
      <c r="B15648" s="3" t="s">
        <v>79042</v>
      </c>
      <c r="C15648" s="3" t="s">
        <v>54</v>
      </c>
      <c r="D15648" s="3" t="s">
        <v>32</v>
      </c>
      <c r="E15648" s="4" t="s">
        <v>22</v>
      </c>
      <c r="F15648" s="4" t="s">
        <v>79032</v>
      </c>
      <c r="G15648" s="4" t="s">
        <v>79033</v>
      </c>
      <c r="H15648" s="3" t="s">
        <v>77131</v>
      </c>
      <c r="I15648" s="3" t="s">
        <v>79034</v>
      </c>
      <c r="J15648" s="3" t="s">
        <v>79043</v>
      </c>
      <c r="K15648" s="3" t="s">
        <v>79044</v>
      </c>
      <c r="L15648" s="3"/>
      <c r="M15648" s="4"/>
      <c r="N15648" s="3" t="s">
        <v>37</v>
      </c>
      <c r="O15648" s="3" t="s">
        <v>52</v>
      </c>
      <c r="P15648" s="5">
        <v>25</v>
      </c>
      <c r="Q15648" s="5">
        <v>575</v>
      </c>
      <c r="R15648" s="5">
        <v>25</v>
      </c>
      <c r="S15648" s="5">
        <v>562</v>
      </c>
    </row>
    <row r="15649" spans="1:19" ht="28" x14ac:dyDescent="0.15">
      <c r="A15649" s="2">
        <f>HYPERLINK("https://open-school.uspishnemisto.com.ua/school/730373/", 730373)</f>
        <v>730373</v>
      </c>
      <c r="B15649" s="3" t="s">
        <v>79045</v>
      </c>
      <c r="C15649" s="3" t="s">
        <v>31</v>
      </c>
      <c r="D15649" s="3" t="s">
        <v>32</v>
      </c>
      <c r="E15649" s="4" t="s">
        <v>22</v>
      </c>
      <c r="F15649" s="4" t="s">
        <v>79046</v>
      </c>
      <c r="G15649" s="4" t="s">
        <v>79047</v>
      </c>
      <c r="H15649" s="3" t="s">
        <v>77131</v>
      </c>
      <c r="I15649" s="3" t="s">
        <v>79048</v>
      </c>
      <c r="J15649" s="3" t="s">
        <v>79049</v>
      </c>
      <c r="K15649" s="3" t="s">
        <v>79050</v>
      </c>
      <c r="L15649" s="3" t="s">
        <v>79051</v>
      </c>
      <c r="M15649" s="4"/>
      <c r="N15649" s="3" t="s">
        <v>37</v>
      </c>
      <c r="O15649" s="3" t="s">
        <v>46</v>
      </c>
      <c r="P15649" s="5">
        <v>17</v>
      </c>
      <c r="Q15649" s="5">
        <v>353</v>
      </c>
      <c r="R15649" s="5">
        <v>17</v>
      </c>
      <c r="S15649" s="5">
        <v>356</v>
      </c>
    </row>
    <row r="15650" spans="1:19" ht="42" x14ac:dyDescent="0.15">
      <c r="A15650" s="2">
        <f>HYPERLINK("https://open-school.uspishnemisto.com.ua/school/730374/", 730374)</f>
        <v>730374</v>
      </c>
      <c r="B15650" s="3" t="s">
        <v>79052</v>
      </c>
      <c r="C15650" s="3" t="s">
        <v>54</v>
      </c>
      <c r="D15650" s="3" t="s">
        <v>60</v>
      </c>
      <c r="E15650" s="4" t="s">
        <v>22</v>
      </c>
      <c r="F15650" s="4" t="s">
        <v>79053</v>
      </c>
      <c r="G15650" s="4" t="s">
        <v>79054</v>
      </c>
      <c r="H15650" s="3" t="s">
        <v>77131</v>
      </c>
      <c r="I15650" s="3" t="s">
        <v>6415</v>
      </c>
      <c r="J15650" s="3" t="s">
        <v>79055</v>
      </c>
      <c r="K15650" s="3" t="s">
        <v>79056</v>
      </c>
      <c r="L15650" s="3"/>
      <c r="M15650" s="4"/>
      <c r="N15650" s="3" t="s">
        <v>37</v>
      </c>
      <c r="O15650" s="3" t="s">
        <v>52</v>
      </c>
      <c r="P15650" s="5">
        <v>4</v>
      </c>
      <c r="Q15650" s="5">
        <v>27</v>
      </c>
      <c r="R15650" s="5">
        <v>4</v>
      </c>
      <c r="S15650" s="5">
        <v>28</v>
      </c>
    </row>
    <row r="15651" spans="1:19" ht="42" x14ac:dyDescent="0.15">
      <c r="A15651" s="2">
        <f>HYPERLINK("https://open-school.uspishnemisto.com.ua/school/730375/", 730375)</f>
        <v>730375</v>
      </c>
      <c r="B15651" s="3" t="s">
        <v>79057</v>
      </c>
      <c r="C15651" s="3" t="s">
        <v>54</v>
      </c>
      <c r="D15651" s="3" t="s">
        <v>175</v>
      </c>
      <c r="E15651" s="4" t="s">
        <v>22</v>
      </c>
      <c r="F15651" s="4" t="s">
        <v>79058</v>
      </c>
      <c r="G15651" s="4" t="s">
        <v>79059</v>
      </c>
      <c r="H15651" s="3" t="s">
        <v>77131</v>
      </c>
      <c r="I15651" s="3" t="s">
        <v>79060</v>
      </c>
      <c r="J15651" s="3" t="s">
        <v>79061</v>
      </c>
      <c r="K15651" s="3" t="s">
        <v>79062</v>
      </c>
      <c r="L15651" s="3" t="s">
        <v>79063</v>
      </c>
      <c r="M15651" s="4"/>
      <c r="N15651" s="3" t="s">
        <v>37</v>
      </c>
      <c r="O15651" s="3" t="s">
        <v>52</v>
      </c>
      <c r="P15651" s="5">
        <v>9</v>
      </c>
      <c r="Q15651" s="5">
        <v>56</v>
      </c>
      <c r="R15651" s="5">
        <v>8</v>
      </c>
      <c r="S15651" s="5">
        <v>51</v>
      </c>
    </row>
    <row r="15652" spans="1:19" ht="42" x14ac:dyDescent="0.15">
      <c r="A15652" s="2">
        <f>HYPERLINK("https://open-school.uspishnemisto.com.ua/school/730376/", 730376)</f>
        <v>730376</v>
      </c>
      <c r="B15652" s="3" t="s">
        <v>79064</v>
      </c>
      <c r="C15652" s="3" t="s">
        <v>31</v>
      </c>
      <c r="D15652" s="3" t="s">
        <v>32</v>
      </c>
      <c r="E15652" s="4" t="s">
        <v>22</v>
      </c>
      <c r="F15652" s="4" t="s">
        <v>79065</v>
      </c>
      <c r="G15652" s="4" t="s">
        <v>79066</v>
      </c>
      <c r="H15652" s="3" t="s">
        <v>77131</v>
      </c>
      <c r="I15652" s="3" t="s">
        <v>79067</v>
      </c>
      <c r="J15652" s="3" t="s">
        <v>79068</v>
      </c>
      <c r="K15652" s="3" t="s">
        <v>79069</v>
      </c>
      <c r="L15652" s="3" t="s">
        <v>79070</v>
      </c>
      <c r="M15652" s="4"/>
      <c r="N15652" s="3" t="s">
        <v>22346</v>
      </c>
      <c r="O15652" s="3" t="s">
        <v>11684</v>
      </c>
      <c r="P15652" s="5">
        <v>16</v>
      </c>
      <c r="Q15652" s="5">
        <v>287</v>
      </c>
      <c r="R15652" s="5">
        <v>15</v>
      </c>
      <c r="S15652" s="5">
        <v>285</v>
      </c>
    </row>
    <row r="15653" spans="1:19" ht="42" x14ac:dyDescent="0.15">
      <c r="A15653" s="2">
        <f>HYPERLINK("https://open-school.uspishnemisto.com.ua/school/730377/", 730377)</f>
        <v>730377</v>
      </c>
      <c r="B15653" s="3" t="s">
        <v>79071</v>
      </c>
      <c r="C15653" s="3" t="s">
        <v>31</v>
      </c>
      <c r="D15653" s="3" t="s">
        <v>32</v>
      </c>
      <c r="E15653" s="4" t="s">
        <v>22</v>
      </c>
      <c r="F15653" s="4" t="s">
        <v>79065</v>
      </c>
      <c r="G15653" s="4" t="s">
        <v>79072</v>
      </c>
      <c r="H15653" s="3" t="s">
        <v>77131</v>
      </c>
      <c r="I15653" s="3" t="s">
        <v>79073</v>
      </c>
      <c r="J15653" s="3" t="s">
        <v>79074</v>
      </c>
      <c r="K15653" s="3" t="s">
        <v>79075</v>
      </c>
      <c r="L15653" s="3" t="s">
        <v>79076</v>
      </c>
      <c r="M15653" s="4"/>
      <c r="N15653" s="3" t="s">
        <v>37</v>
      </c>
      <c r="O15653" s="3" t="s">
        <v>2740</v>
      </c>
      <c r="P15653" s="5">
        <v>11</v>
      </c>
      <c r="Q15653" s="5">
        <v>155</v>
      </c>
      <c r="R15653" s="5">
        <v>11</v>
      </c>
      <c r="S15653" s="5">
        <v>148</v>
      </c>
    </row>
    <row r="15654" spans="1:19" ht="28" x14ac:dyDescent="0.15">
      <c r="A15654" s="2">
        <f>HYPERLINK("https://open-school.uspishnemisto.com.ua/school/730378/", 730378)</f>
        <v>730378</v>
      </c>
      <c r="B15654" s="3" t="s">
        <v>79077</v>
      </c>
      <c r="C15654" s="3" t="s">
        <v>31</v>
      </c>
      <c r="D15654" s="3" t="s">
        <v>175</v>
      </c>
      <c r="E15654" s="4" t="s">
        <v>22</v>
      </c>
      <c r="F15654" s="4" t="s">
        <v>79078</v>
      </c>
      <c r="G15654" s="4" t="s">
        <v>79079</v>
      </c>
      <c r="H15654" s="3" t="s">
        <v>77131</v>
      </c>
      <c r="I15654" s="3" t="s">
        <v>79080</v>
      </c>
      <c r="J15654" s="3" t="s">
        <v>79081</v>
      </c>
      <c r="K15654" s="3" t="s">
        <v>79082</v>
      </c>
      <c r="L15654" s="3"/>
      <c r="M15654" s="4"/>
      <c r="N15654" s="3" t="s">
        <v>37</v>
      </c>
      <c r="O15654" s="3" t="s">
        <v>52</v>
      </c>
      <c r="P15654" s="5">
        <v>1</v>
      </c>
      <c r="Q15654" s="5">
        <v>27</v>
      </c>
      <c r="R15654" s="5">
        <v>1</v>
      </c>
      <c r="S15654" s="5">
        <v>32</v>
      </c>
    </row>
    <row r="15655" spans="1:19" ht="42" x14ac:dyDescent="0.15">
      <c r="A15655" s="2">
        <f>HYPERLINK("https://open-school.uspishnemisto.com.ua/school/730379/", 730379)</f>
        <v>730379</v>
      </c>
      <c r="B15655" s="3" t="s">
        <v>79083</v>
      </c>
      <c r="C15655" s="3" t="s">
        <v>31</v>
      </c>
      <c r="D15655" s="3" t="s">
        <v>32</v>
      </c>
      <c r="E15655" s="4" t="s">
        <v>22</v>
      </c>
      <c r="F15655" s="4" t="s">
        <v>79078</v>
      </c>
      <c r="G15655" s="4" t="s">
        <v>79079</v>
      </c>
      <c r="H15655" s="3" t="s">
        <v>77131</v>
      </c>
      <c r="I15655" s="3" t="s">
        <v>79080</v>
      </c>
      <c r="J15655" s="3" t="s">
        <v>79084</v>
      </c>
      <c r="K15655" s="3" t="s">
        <v>79085</v>
      </c>
      <c r="L15655" s="3" t="s">
        <v>79086</v>
      </c>
      <c r="M15655" s="4"/>
      <c r="N15655" s="3" t="s">
        <v>37</v>
      </c>
      <c r="O15655" s="3" t="s">
        <v>618</v>
      </c>
      <c r="P15655" s="5">
        <v>11</v>
      </c>
      <c r="Q15655" s="5">
        <v>102</v>
      </c>
      <c r="R15655" s="5">
        <v>11</v>
      </c>
      <c r="S15655" s="5">
        <v>98</v>
      </c>
    </row>
    <row r="15656" spans="1:19" ht="42" x14ac:dyDescent="0.15">
      <c r="A15656" s="2">
        <f>HYPERLINK("https://open-school.uspishnemisto.com.ua/school/730380/", 730380)</f>
        <v>730380</v>
      </c>
      <c r="B15656" s="3" t="s">
        <v>79087</v>
      </c>
      <c r="C15656" s="3" t="s">
        <v>54</v>
      </c>
      <c r="D15656" s="3" t="s">
        <v>32</v>
      </c>
      <c r="E15656" s="4" t="s">
        <v>22</v>
      </c>
      <c r="F15656" s="4" t="s">
        <v>79088</v>
      </c>
      <c r="G15656" s="4" t="s">
        <v>79089</v>
      </c>
      <c r="H15656" s="3" t="s">
        <v>77131</v>
      </c>
      <c r="I15656" s="3" t="s">
        <v>79090</v>
      </c>
      <c r="J15656" s="3" t="s">
        <v>79091</v>
      </c>
      <c r="K15656" s="3" t="s">
        <v>79092</v>
      </c>
      <c r="L15656" s="3" t="s">
        <v>79093</v>
      </c>
      <c r="M15656" s="4"/>
      <c r="N15656" s="3" t="s">
        <v>22305</v>
      </c>
      <c r="O15656" s="3" t="s">
        <v>77335</v>
      </c>
      <c r="P15656" s="5">
        <v>19</v>
      </c>
      <c r="Q15656" s="5">
        <v>335</v>
      </c>
      <c r="R15656" s="5">
        <v>18</v>
      </c>
      <c r="S15656" s="5">
        <v>324</v>
      </c>
    </row>
    <row r="15657" spans="1:19" ht="42" x14ac:dyDescent="0.15">
      <c r="A15657" s="2">
        <f>HYPERLINK("https://open-school.uspishnemisto.com.ua/school/730381/", 730381)</f>
        <v>730381</v>
      </c>
      <c r="B15657" s="3" t="s">
        <v>79094</v>
      </c>
      <c r="C15657" s="3" t="s">
        <v>31</v>
      </c>
      <c r="D15657" s="3" t="s">
        <v>175</v>
      </c>
      <c r="E15657" s="4" t="s">
        <v>22</v>
      </c>
      <c r="F15657" s="4" t="s">
        <v>79095</v>
      </c>
      <c r="G15657" s="4" t="s">
        <v>79096</v>
      </c>
      <c r="H15657" s="3" t="s">
        <v>77131</v>
      </c>
      <c r="I15657" s="3" t="s">
        <v>79097</v>
      </c>
      <c r="J15657" s="3" t="s">
        <v>79098</v>
      </c>
      <c r="K15657" s="3" t="s">
        <v>79099</v>
      </c>
      <c r="L15657" s="3" t="s">
        <v>79100</v>
      </c>
      <c r="M15657" s="4"/>
      <c r="N15657" s="3" t="s">
        <v>37</v>
      </c>
      <c r="O15657" s="3" t="s">
        <v>52</v>
      </c>
      <c r="P15657" s="5">
        <v>9</v>
      </c>
      <c r="Q15657" s="5">
        <v>92</v>
      </c>
      <c r="R15657" s="5">
        <v>9</v>
      </c>
      <c r="S15657" s="5">
        <v>79</v>
      </c>
    </row>
    <row r="15658" spans="1:19" ht="42" x14ac:dyDescent="0.15">
      <c r="A15658" s="2">
        <f>HYPERLINK("https://open-school.uspishnemisto.com.ua/school/730382/", 730382)</f>
        <v>730382</v>
      </c>
      <c r="B15658" s="3" t="s">
        <v>79101</v>
      </c>
      <c r="C15658" s="3" t="s">
        <v>31</v>
      </c>
      <c r="D15658" s="3" t="s">
        <v>32</v>
      </c>
      <c r="E15658" s="4" t="s">
        <v>22</v>
      </c>
      <c r="F15658" s="4" t="s">
        <v>79102</v>
      </c>
      <c r="G15658" s="4" t="s">
        <v>79103</v>
      </c>
      <c r="H15658" s="3" t="s">
        <v>77131</v>
      </c>
      <c r="I15658" s="3" t="s">
        <v>79104</v>
      </c>
      <c r="J15658" s="3" t="s">
        <v>11705</v>
      </c>
      <c r="K15658" s="3" t="s">
        <v>79105</v>
      </c>
      <c r="L15658" s="3" t="s">
        <v>79106</v>
      </c>
      <c r="M15658" s="4"/>
      <c r="N15658" s="3" t="s">
        <v>37</v>
      </c>
      <c r="O15658" s="3" t="s">
        <v>52</v>
      </c>
      <c r="P15658" s="5">
        <v>11</v>
      </c>
      <c r="Q15658" s="5">
        <v>155</v>
      </c>
      <c r="R15658" s="5">
        <v>11</v>
      </c>
      <c r="S15658" s="5">
        <v>152</v>
      </c>
    </row>
    <row r="15659" spans="1:19" ht="42" x14ac:dyDescent="0.15">
      <c r="A15659" s="2">
        <f>HYPERLINK("https://open-school.uspishnemisto.com.ua/school/730383/", 730383)</f>
        <v>730383</v>
      </c>
      <c r="B15659" s="3" t="s">
        <v>79107</v>
      </c>
      <c r="C15659" s="3" t="s">
        <v>54</v>
      </c>
      <c r="D15659" s="3" t="s">
        <v>32</v>
      </c>
      <c r="E15659" s="4" t="s">
        <v>22</v>
      </c>
      <c r="F15659" s="4" t="s">
        <v>79108</v>
      </c>
      <c r="G15659" s="4" t="s">
        <v>79109</v>
      </c>
      <c r="H15659" s="3" t="s">
        <v>77131</v>
      </c>
      <c r="I15659" s="3" t="s">
        <v>79110</v>
      </c>
      <c r="J15659" s="3" t="s">
        <v>12112</v>
      </c>
      <c r="K15659" s="3" t="s">
        <v>79111</v>
      </c>
      <c r="L15659" s="3"/>
      <c r="M15659" s="4"/>
      <c r="N15659" s="3" t="s">
        <v>37</v>
      </c>
      <c r="O15659" s="3" t="s">
        <v>52</v>
      </c>
      <c r="P15659" s="5">
        <v>11</v>
      </c>
      <c r="Q15659" s="5">
        <v>170</v>
      </c>
      <c r="R15659" s="5">
        <v>11</v>
      </c>
      <c r="S15659" s="5">
        <v>175</v>
      </c>
    </row>
    <row r="15660" spans="1:19" ht="42" x14ac:dyDescent="0.15">
      <c r="A15660" s="2">
        <f>HYPERLINK("https://open-school.uspishnemisto.com.ua/school/730384/", 730384)</f>
        <v>730384</v>
      </c>
      <c r="B15660" s="3" t="s">
        <v>79112</v>
      </c>
      <c r="C15660" s="3" t="s">
        <v>31</v>
      </c>
      <c r="D15660" s="3" t="s">
        <v>175</v>
      </c>
      <c r="E15660" s="4" t="s">
        <v>22</v>
      </c>
      <c r="F15660" s="4" t="s">
        <v>79113</v>
      </c>
      <c r="G15660" s="4" t="s">
        <v>79114</v>
      </c>
      <c r="H15660" s="3" t="s">
        <v>77131</v>
      </c>
      <c r="I15660" s="3" t="s">
        <v>79115</v>
      </c>
      <c r="J15660" s="3" t="s">
        <v>79116</v>
      </c>
      <c r="K15660" s="3" t="s">
        <v>79117</v>
      </c>
      <c r="L15660" s="3"/>
      <c r="M15660" s="4"/>
      <c r="N15660" s="3" t="s">
        <v>37</v>
      </c>
      <c r="O15660" s="3" t="s">
        <v>52</v>
      </c>
      <c r="P15660" s="5">
        <v>9</v>
      </c>
      <c r="Q15660" s="5">
        <v>67</v>
      </c>
      <c r="R15660" s="5">
        <v>8</v>
      </c>
      <c r="S15660" s="5">
        <v>61</v>
      </c>
    </row>
    <row r="15661" spans="1:19" ht="42" x14ac:dyDescent="0.15">
      <c r="A15661" s="2">
        <f>HYPERLINK("https://open-school.uspishnemisto.com.ua/school/730385/", 730385)</f>
        <v>730385</v>
      </c>
      <c r="B15661" s="3" t="s">
        <v>79118</v>
      </c>
      <c r="C15661" s="3" t="s">
        <v>54</v>
      </c>
      <c r="D15661" s="3" t="s">
        <v>32</v>
      </c>
      <c r="E15661" s="4" t="s">
        <v>22</v>
      </c>
      <c r="F15661" s="4" t="s">
        <v>79113</v>
      </c>
      <c r="G15661" s="4" t="s">
        <v>79114</v>
      </c>
      <c r="H15661" s="3" t="s">
        <v>77131</v>
      </c>
      <c r="I15661" s="3" t="s">
        <v>79115</v>
      </c>
      <c r="J15661" s="3" t="s">
        <v>79119</v>
      </c>
      <c r="K15661" s="3" t="s">
        <v>79120</v>
      </c>
      <c r="L15661" s="3" t="s">
        <v>79121</v>
      </c>
      <c r="M15661" s="4"/>
      <c r="N15661" s="3" t="s">
        <v>37</v>
      </c>
      <c r="O15661" s="3" t="s">
        <v>52</v>
      </c>
      <c r="P15661" s="5">
        <v>19</v>
      </c>
      <c r="Q15661" s="5">
        <v>351</v>
      </c>
      <c r="R15661" s="5">
        <v>19</v>
      </c>
      <c r="S15661" s="5">
        <v>358</v>
      </c>
    </row>
    <row r="15662" spans="1:19" ht="42" x14ac:dyDescent="0.15">
      <c r="A15662" s="2">
        <f>HYPERLINK("https://open-school.uspishnemisto.com.ua/school/730386/", 730386)</f>
        <v>730386</v>
      </c>
      <c r="B15662" s="3" t="s">
        <v>79122</v>
      </c>
      <c r="C15662" s="3" t="s">
        <v>31</v>
      </c>
      <c r="D15662" s="3" t="s">
        <v>175</v>
      </c>
      <c r="E15662" s="4" t="s">
        <v>22</v>
      </c>
      <c r="F15662" s="4" t="s">
        <v>79123</v>
      </c>
      <c r="G15662" s="4" t="s">
        <v>79124</v>
      </c>
      <c r="H15662" s="3" t="s">
        <v>77131</v>
      </c>
      <c r="I15662" s="3" t="s">
        <v>34101</v>
      </c>
      <c r="J15662" s="3" t="s">
        <v>79125</v>
      </c>
      <c r="K15662" s="3"/>
      <c r="L15662" s="3" t="s">
        <v>79126</v>
      </c>
      <c r="M15662" s="4"/>
      <c r="N15662" s="3" t="s">
        <v>37</v>
      </c>
      <c r="O15662" s="3" t="s">
        <v>46</v>
      </c>
      <c r="P15662" s="5">
        <v>7</v>
      </c>
      <c r="Q15662" s="5">
        <v>56</v>
      </c>
      <c r="R15662" s="5">
        <v>7</v>
      </c>
      <c r="S15662" s="5">
        <v>54</v>
      </c>
    </row>
    <row r="15663" spans="1:19" ht="28" x14ac:dyDescent="0.15">
      <c r="A15663" s="2">
        <f>HYPERLINK("https://open-school.uspishnemisto.com.ua/school/730387/", 730387)</f>
        <v>730387</v>
      </c>
      <c r="B15663" s="3" t="s">
        <v>79127</v>
      </c>
      <c r="C15663" s="3" t="s">
        <v>31</v>
      </c>
      <c r="D15663" s="3" t="s">
        <v>175</v>
      </c>
      <c r="E15663" s="4" t="s">
        <v>22</v>
      </c>
      <c r="F15663" s="4" t="s">
        <v>79128</v>
      </c>
      <c r="G15663" s="4" t="s">
        <v>79129</v>
      </c>
      <c r="H15663" s="3" t="s">
        <v>77131</v>
      </c>
      <c r="I15663" s="3" t="s">
        <v>79130</v>
      </c>
      <c r="J15663" s="3" t="s">
        <v>79131</v>
      </c>
      <c r="K15663" s="3" t="s">
        <v>79132</v>
      </c>
      <c r="L15663" s="3" t="s">
        <v>79133</v>
      </c>
      <c r="M15663" s="4"/>
      <c r="N15663" s="3" t="s">
        <v>37</v>
      </c>
      <c r="O15663" s="3" t="s">
        <v>79134</v>
      </c>
      <c r="P15663" s="5">
        <v>9</v>
      </c>
      <c r="Q15663" s="5">
        <v>119</v>
      </c>
      <c r="R15663" s="5">
        <v>9</v>
      </c>
      <c r="S15663" s="5">
        <v>111</v>
      </c>
    </row>
    <row r="15664" spans="1:19" ht="42" x14ac:dyDescent="0.15">
      <c r="A15664" s="2">
        <f>HYPERLINK("https://open-school.uspishnemisto.com.ua/school/730388/", 730388)</f>
        <v>730388</v>
      </c>
      <c r="B15664" s="3" t="s">
        <v>79135</v>
      </c>
      <c r="C15664" s="3" t="s">
        <v>31</v>
      </c>
      <c r="D15664" s="3" t="s">
        <v>175</v>
      </c>
      <c r="E15664" s="4" t="s">
        <v>22</v>
      </c>
      <c r="F15664" s="4" t="s">
        <v>79136</v>
      </c>
      <c r="G15664" s="4" t="s">
        <v>79137</v>
      </c>
      <c r="H15664" s="3" t="s">
        <v>77131</v>
      </c>
      <c r="I15664" s="3" t="s">
        <v>79138</v>
      </c>
      <c r="J15664" s="3" t="s">
        <v>79139</v>
      </c>
      <c r="K15664" s="3" t="s">
        <v>79140</v>
      </c>
      <c r="L15664" s="3" t="s">
        <v>79141</v>
      </c>
      <c r="M15664" s="4"/>
      <c r="N15664" s="3" t="s">
        <v>37</v>
      </c>
      <c r="O15664" s="3" t="s">
        <v>52</v>
      </c>
      <c r="P15664" s="5">
        <v>17</v>
      </c>
      <c r="Q15664" s="5">
        <v>317</v>
      </c>
      <c r="R15664" s="5">
        <v>17</v>
      </c>
      <c r="S15664" s="5">
        <v>306</v>
      </c>
    </row>
    <row r="15665" spans="1:19" ht="42" x14ac:dyDescent="0.15">
      <c r="A15665" s="2">
        <f>HYPERLINK("https://open-school.uspishnemisto.com.ua/school/730389/", 730389)</f>
        <v>730389</v>
      </c>
      <c r="B15665" s="3" t="s">
        <v>79142</v>
      </c>
      <c r="C15665" s="3" t="s">
        <v>31</v>
      </c>
      <c r="D15665" s="3" t="s">
        <v>175</v>
      </c>
      <c r="E15665" s="4" t="s">
        <v>22</v>
      </c>
      <c r="F15665" s="4" t="s">
        <v>79143</v>
      </c>
      <c r="G15665" s="4" t="s">
        <v>79144</v>
      </c>
      <c r="H15665" s="3" t="s">
        <v>77131</v>
      </c>
      <c r="I15665" s="3" t="s">
        <v>79145</v>
      </c>
      <c r="J15665" s="3" t="s">
        <v>634</v>
      </c>
      <c r="K15665" s="3" t="s">
        <v>79146</v>
      </c>
      <c r="L15665" s="3" t="s">
        <v>79147</v>
      </c>
      <c r="M15665" s="4"/>
      <c r="N15665" s="3" t="s">
        <v>22346</v>
      </c>
      <c r="O15665" s="3" t="s">
        <v>11684</v>
      </c>
      <c r="P15665" s="5">
        <v>9</v>
      </c>
      <c r="Q15665" s="5">
        <v>102</v>
      </c>
      <c r="R15665" s="5">
        <v>9</v>
      </c>
      <c r="S15665" s="5">
        <v>93</v>
      </c>
    </row>
    <row r="15666" spans="1:19" ht="28" x14ac:dyDescent="0.15">
      <c r="A15666" s="2">
        <f>HYPERLINK("https://open-school.uspishnemisto.com.ua/school/730390/", 730390)</f>
        <v>730390</v>
      </c>
      <c r="B15666" s="3" t="s">
        <v>79148</v>
      </c>
      <c r="C15666" s="3" t="s">
        <v>181</v>
      </c>
      <c r="D15666" s="3" t="s">
        <v>175</v>
      </c>
      <c r="E15666" s="4" t="s">
        <v>22</v>
      </c>
      <c r="F15666" s="4" t="s">
        <v>79149</v>
      </c>
      <c r="G15666" s="4" t="s">
        <v>79150</v>
      </c>
      <c r="H15666" s="3" t="s">
        <v>77131</v>
      </c>
      <c r="I15666" s="3" t="s">
        <v>54741</v>
      </c>
      <c r="J15666" s="3" t="s">
        <v>79151</v>
      </c>
      <c r="K15666" s="3" t="s">
        <v>79152</v>
      </c>
      <c r="L15666" s="3"/>
      <c r="M15666" s="4" t="s">
        <v>79153</v>
      </c>
      <c r="N15666" s="3" t="s">
        <v>37</v>
      </c>
      <c r="O15666" s="3"/>
      <c r="P15666" s="5">
        <v>12</v>
      </c>
      <c r="Q15666" s="5">
        <v>129</v>
      </c>
      <c r="R15666" s="5">
        <v>12</v>
      </c>
      <c r="S15666" s="5">
        <v>137</v>
      </c>
    </row>
    <row r="15667" spans="1:19" ht="28" x14ac:dyDescent="0.15">
      <c r="A15667" s="2">
        <f>HYPERLINK("https://open-school.uspishnemisto.com.ua/school/730391/", 730391)</f>
        <v>730391</v>
      </c>
      <c r="B15667" s="3" t="s">
        <v>79154</v>
      </c>
      <c r="C15667" s="3" t="s">
        <v>181</v>
      </c>
      <c r="D15667" s="3"/>
      <c r="E15667" s="4" t="s">
        <v>22</v>
      </c>
      <c r="F15667" s="4" t="s">
        <v>79149</v>
      </c>
      <c r="G15667" s="4" t="s">
        <v>79150</v>
      </c>
      <c r="H15667" s="3" t="s">
        <v>77131</v>
      </c>
      <c r="I15667" s="3" t="s">
        <v>54741</v>
      </c>
      <c r="J15667" s="3" t="s">
        <v>79155</v>
      </c>
      <c r="K15667" s="3" t="s">
        <v>79156</v>
      </c>
      <c r="L15667" s="3"/>
      <c r="M15667" s="4" t="s">
        <v>79157</v>
      </c>
      <c r="N15667" s="3" t="s">
        <v>37</v>
      </c>
      <c r="O15667" s="3" t="s">
        <v>11684</v>
      </c>
      <c r="P15667" s="5">
        <v>11</v>
      </c>
      <c r="Q15667" s="5">
        <v>134</v>
      </c>
      <c r="R15667" s="5">
        <v>14</v>
      </c>
      <c r="S15667" s="5">
        <v>181</v>
      </c>
    </row>
    <row r="15668" spans="1:19" ht="28" x14ac:dyDescent="0.15">
      <c r="A15668" s="2">
        <f>HYPERLINK("https://open-school.uspishnemisto.com.ua/school/730392/", 730392)</f>
        <v>730392</v>
      </c>
      <c r="B15668" s="3" t="s">
        <v>79158</v>
      </c>
      <c r="C15668" s="3" t="s">
        <v>40</v>
      </c>
      <c r="D15668" s="3" t="s">
        <v>32</v>
      </c>
      <c r="E15668" s="4" t="s">
        <v>22</v>
      </c>
      <c r="F15668" s="4" t="s">
        <v>79149</v>
      </c>
      <c r="G15668" s="4" t="s">
        <v>79150</v>
      </c>
      <c r="H15668" s="3" t="s">
        <v>77131</v>
      </c>
      <c r="I15668" s="3" t="s">
        <v>54741</v>
      </c>
      <c r="J15668" s="3" t="s">
        <v>47657</v>
      </c>
      <c r="K15668" s="3" t="s">
        <v>79159</v>
      </c>
      <c r="L15668" s="3"/>
      <c r="M15668" s="4" t="s">
        <v>79160</v>
      </c>
      <c r="N15668" s="3" t="s">
        <v>37</v>
      </c>
      <c r="O15668" s="3" t="s">
        <v>123</v>
      </c>
      <c r="P15668" s="5">
        <v>17</v>
      </c>
      <c r="Q15668" s="5">
        <v>405</v>
      </c>
      <c r="R15668" s="5">
        <v>16</v>
      </c>
      <c r="S15668" s="5">
        <v>382</v>
      </c>
    </row>
    <row r="15669" spans="1:19" ht="28" x14ac:dyDescent="0.15">
      <c r="A15669" s="2">
        <f>HYPERLINK("https://open-school.uspishnemisto.com.ua/school/730393/", 730393)</f>
        <v>730393</v>
      </c>
      <c r="B15669" s="3" t="s">
        <v>79161</v>
      </c>
      <c r="C15669" s="3" t="s">
        <v>31</v>
      </c>
      <c r="D15669" s="3" t="s">
        <v>32</v>
      </c>
      <c r="E15669" s="4" t="s">
        <v>22</v>
      </c>
      <c r="F15669" s="4" t="s">
        <v>79149</v>
      </c>
      <c r="G15669" s="4" t="s">
        <v>79150</v>
      </c>
      <c r="H15669" s="3" t="s">
        <v>77131</v>
      </c>
      <c r="I15669" s="3" t="s">
        <v>54741</v>
      </c>
      <c r="J15669" s="3" t="s">
        <v>79162</v>
      </c>
      <c r="K15669" s="3" t="s">
        <v>79163</v>
      </c>
      <c r="L15669" s="3"/>
      <c r="M15669" s="4" t="s">
        <v>79164</v>
      </c>
      <c r="N15669" s="3" t="s">
        <v>37</v>
      </c>
      <c r="O15669" s="3" t="s">
        <v>2740</v>
      </c>
      <c r="P15669" s="5">
        <v>10</v>
      </c>
      <c r="Q15669" s="5">
        <v>210</v>
      </c>
      <c r="R15669" s="5">
        <v>10</v>
      </c>
      <c r="S15669" s="5">
        <v>196</v>
      </c>
    </row>
    <row r="15670" spans="1:19" ht="28" x14ac:dyDescent="0.15">
      <c r="A15670" s="2">
        <f>HYPERLINK("https://open-school.uspishnemisto.com.ua/school/730394/", 730394)</f>
        <v>730394</v>
      </c>
      <c r="B15670" s="3" t="s">
        <v>79165</v>
      </c>
      <c r="C15670" s="3" t="s">
        <v>31</v>
      </c>
      <c r="D15670" s="3" t="s">
        <v>32</v>
      </c>
      <c r="E15670" s="4" t="s">
        <v>22</v>
      </c>
      <c r="F15670" s="4" t="s">
        <v>79149</v>
      </c>
      <c r="G15670" s="4" t="s">
        <v>79150</v>
      </c>
      <c r="H15670" s="3" t="s">
        <v>77131</v>
      </c>
      <c r="I15670" s="3" t="s">
        <v>54741</v>
      </c>
      <c r="J15670" s="3" t="s">
        <v>6201</v>
      </c>
      <c r="K15670" s="3" t="s">
        <v>79166</v>
      </c>
      <c r="L15670" s="3" t="s">
        <v>79167</v>
      </c>
      <c r="M15670" s="4" t="s">
        <v>79168</v>
      </c>
      <c r="N15670" s="3" t="s">
        <v>37</v>
      </c>
      <c r="O15670" s="3" t="s">
        <v>46</v>
      </c>
      <c r="P15670" s="5">
        <v>16</v>
      </c>
      <c r="Q15670" s="5">
        <v>351</v>
      </c>
      <c r="R15670" s="5">
        <v>16</v>
      </c>
      <c r="S15670" s="5">
        <v>350</v>
      </c>
    </row>
    <row r="15671" spans="1:19" ht="42" x14ac:dyDescent="0.15">
      <c r="A15671" s="2">
        <f>HYPERLINK("https://open-school.uspishnemisto.com.ua/school/730395/", 730395)</f>
        <v>730395</v>
      </c>
      <c r="B15671" s="3" t="s">
        <v>79169</v>
      </c>
      <c r="C15671" s="3" t="s">
        <v>54</v>
      </c>
      <c r="D15671" s="3" t="s">
        <v>60</v>
      </c>
      <c r="E15671" s="4" t="s">
        <v>22</v>
      </c>
      <c r="F15671" s="4" t="s">
        <v>79149</v>
      </c>
      <c r="G15671" s="4" t="s">
        <v>79150</v>
      </c>
      <c r="H15671" s="3" t="s">
        <v>77131</v>
      </c>
      <c r="I15671" s="3" t="s">
        <v>54741</v>
      </c>
      <c r="J15671" s="3" t="s">
        <v>79170</v>
      </c>
      <c r="K15671" s="3" t="s">
        <v>79171</v>
      </c>
      <c r="L15671" s="3"/>
      <c r="M15671" s="4"/>
      <c r="N15671" s="3" t="s">
        <v>37</v>
      </c>
      <c r="O15671" s="3" t="s">
        <v>52</v>
      </c>
      <c r="P15671" s="5">
        <v>14</v>
      </c>
      <c r="Q15671" s="5">
        <v>395</v>
      </c>
      <c r="R15671" s="5">
        <v>14</v>
      </c>
      <c r="S15671" s="5">
        <v>390</v>
      </c>
    </row>
    <row r="15672" spans="1:19" ht="56" x14ac:dyDescent="0.15">
      <c r="A15672" s="2">
        <f>HYPERLINK("https://open-school.uspishnemisto.com.ua/school/730396/", 730396)</f>
        <v>730396</v>
      </c>
      <c r="B15672" s="3" t="s">
        <v>79172</v>
      </c>
      <c r="C15672" s="3" t="s">
        <v>54</v>
      </c>
      <c r="D15672" s="3" t="s">
        <v>32</v>
      </c>
      <c r="E15672" s="4" t="s">
        <v>22</v>
      </c>
      <c r="F15672" s="4" t="s">
        <v>79173</v>
      </c>
      <c r="G15672" s="4" t="s">
        <v>79174</v>
      </c>
      <c r="H15672" s="3" t="s">
        <v>77131</v>
      </c>
      <c r="I15672" s="3" t="s">
        <v>60680</v>
      </c>
      <c r="J15672" s="3" t="s">
        <v>466</v>
      </c>
      <c r="K15672" s="3" t="s">
        <v>79175</v>
      </c>
      <c r="L15672" s="3"/>
      <c r="M15672" s="4"/>
      <c r="N15672" s="3" t="s">
        <v>37</v>
      </c>
      <c r="O15672" s="3" t="s">
        <v>11684</v>
      </c>
      <c r="P15672" s="5">
        <v>10</v>
      </c>
      <c r="Q15672" s="5">
        <v>100</v>
      </c>
      <c r="R15672" s="5">
        <v>10</v>
      </c>
      <c r="S15672" s="5">
        <v>105</v>
      </c>
    </row>
    <row r="15673" spans="1:19" ht="42" x14ac:dyDescent="0.15">
      <c r="A15673" s="2">
        <f>HYPERLINK("https://open-school.uspishnemisto.com.ua/school/730397/", 730397)</f>
        <v>730397</v>
      </c>
      <c r="B15673" s="3" t="s">
        <v>79176</v>
      </c>
      <c r="C15673" s="3" t="s">
        <v>54</v>
      </c>
      <c r="D15673" s="3" t="s">
        <v>175</v>
      </c>
      <c r="E15673" s="4" t="s">
        <v>22</v>
      </c>
      <c r="F15673" s="4" t="s">
        <v>79177</v>
      </c>
      <c r="G15673" s="4" t="s">
        <v>79178</v>
      </c>
      <c r="H15673" s="3" t="s">
        <v>77131</v>
      </c>
      <c r="I15673" s="3" t="s">
        <v>79179</v>
      </c>
      <c r="J15673" s="3" t="s">
        <v>466</v>
      </c>
      <c r="K15673" s="3" t="s">
        <v>79180</v>
      </c>
      <c r="L15673" s="3"/>
      <c r="M15673" s="4"/>
      <c r="N15673" s="3" t="s">
        <v>37</v>
      </c>
      <c r="O15673" s="3" t="s">
        <v>2740</v>
      </c>
      <c r="P15673" s="5">
        <v>9</v>
      </c>
      <c r="Q15673" s="5">
        <v>117</v>
      </c>
      <c r="R15673" s="5">
        <v>9</v>
      </c>
      <c r="S15673" s="5">
        <v>123</v>
      </c>
    </row>
    <row r="15674" spans="1:19" ht="28" x14ac:dyDescent="0.15">
      <c r="A15674" s="2">
        <f>HYPERLINK("https://open-school.uspishnemisto.com.ua/school/730398/", 730398)</f>
        <v>730398</v>
      </c>
      <c r="B15674" s="3" t="s">
        <v>79181</v>
      </c>
      <c r="C15674" s="3" t="s">
        <v>31</v>
      </c>
      <c r="D15674" s="3" t="s">
        <v>60</v>
      </c>
      <c r="E15674" s="4" t="s">
        <v>22</v>
      </c>
      <c r="F15674" s="4" t="s">
        <v>79182</v>
      </c>
      <c r="G15674" s="4" t="s">
        <v>79183</v>
      </c>
      <c r="H15674" s="3" t="s">
        <v>77131</v>
      </c>
      <c r="I15674" s="3" t="s">
        <v>79184</v>
      </c>
      <c r="J15674" s="3" t="s">
        <v>1636</v>
      </c>
      <c r="K15674" s="3" t="s">
        <v>79185</v>
      </c>
      <c r="L15674" s="3"/>
      <c r="M15674" s="4"/>
      <c r="N15674" s="3" t="s">
        <v>37</v>
      </c>
      <c r="O15674" s="3" t="s">
        <v>618</v>
      </c>
      <c r="P15674" s="5">
        <v>2</v>
      </c>
      <c r="Q15674" s="5">
        <v>14</v>
      </c>
      <c r="R15674" s="5">
        <v>3</v>
      </c>
      <c r="S15674" s="5">
        <v>16</v>
      </c>
    </row>
    <row r="15675" spans="1:19" ht="42" x14ac:dyDescent="0.15">
      <c r="A15675" s="2">
        <f>HYPERLINK("https://open-school.uspishnemisto.com.ua/school/730399/", 730399)</f>
        <v>730399</v>
      </c>
      <c r="B15675" s="3" t="s">
        <v>79186</v>
      </c>
      <c r="C15675" s="3" t="s">
        <v>54</v>
      </c>
      <c r="D15675" s="3" t="s">
        <v>32</v>
      </c>
      <c r="E15675" s="4" t="s">
        <v>22</v>
      </c>
      <c r="F15675" s="4" t="s">
        <v>79187</v>
      </c>
      <c r="G15675" s="4" t="s">
        <v>79188</v>
      </c>
      <c r="H15675" s="3" t="s">
        <v>77131</v>
      </c>
      <c r="I15675" s="3" t="s">
        <v>79189</v>
      </c>
      <c r="J15675" s="3" t="s">
        <v>20571</v>
      </c>
      <c r="K15675" s="3" t="s">
        <v>79190</v>
      </c>
      <c r="L15675" s="3" t="s">
        <v>79191</v>
      </c>
      <c r="M15675" s="4"/>
      <c r="N15675" s="3" t="s">
        <v>37</v>
      </c>
      <c r="O15675" s="3" t="s">
        <v>2740</v>
      </c>
      <c r="P15675" s="5">
        <v>12</v>
      </c>
      <c r="Q15675" s="5">
        <v>256</v>
      </c>
      <c r="R15675" s="5">
        <v>12</v>
      </c>
      <c r="S15675" s="5">
        <v>240</v>
      </c>
    </row>
    <row r="15676" spans="1:19" ht="56" x14ac:dyDescent="0.15">
      <c r="A15676" s="2">
        <f>HYPERLINK("https://open-school.uspishnemisto.com.ua/school/730400/", 730400)</f>
        <v>730400</v>
      </c>
      <c r="B15676" s="3" t="s">
        <v>79192</v>
      </c>
      <c r="C15676" s="3" t="s">
        <v>54</v>
      </c>
      <c r="D15676" s="3" t="s">
        <v>32</v>
      </c>
      <c r="E15676" s="4" t="s">
        <v>22</v>
      </c>
      <c r="F15676" s="4" t="s">
        <v>79193</v>
      </c>
      <c r="G15676" s="4" t="s">
        <v>79194</v>
      </c>
      <c r="H15676" s="3" t="s">
        <v>77131</v>
      </c>
      <c r="I15676" s="3" t="s">
        <v>79195</v>
      </c>
      <c r="J15676" s="3" t="s">
        <v>79196</v>
      </c>
      <c r="K15676" s="3" t="s">
        <v>79197</v>
      </c>
      <c r="L15676" s="3"/>
      <c r="M15676" s="4"/>
      <c r="N15676" s="3" t="s">
        <v>37</v>
      </c>
      <c r="O15676" s="3" t="s">
        <v>123</v>
      </c>
      <c r="P15676" s="5">
        <v>11</v>
      </c>
      <c r="Q15676" s="5">
        <v>140</v>
      </c>
      <c r="R15676" s="5">
        <v>11</v>
      </c>
      <c r="S15676" s="5">
        <v>152</v>
      </c>
    </row>
    <row r="15677" spans="1:19" ht="42" x14ac:dyDescent="0.15">
      <c r="A15677" s="2">
        <f>HYPERLINK("https://open-school.uspishnemisto.com.ua/school/730401/", 730401)</f>
        <v>730401</v>
      </c>
      <c r="B15677" s="3" t="s">
        <v>79198</v>
      </c>
      <c r="C15677" s="3" t="s">
        <v>54</v>
      </c>
      <c r="D15677" s="3" t="s">
        <v>175</v>
      </c>
      <c r="E15677" s="4" t="s">
        <v>22</v>
      </c>
      <c r="F15677" s="4" t="s">
        <v>79199</v>
      </c>
      <c r="G15677" s="4" t="s">
        <v>79200</v>
      </c>
      <c r="H15677" s="3" t="s">
        <v>77131</v>
      </c>
      <c r="I15677" s="3" t="s">
        <v>79201</v>
      </c>
      <c r="J15677" s="3" t="s">
        <v>466</v>
      </c>
      <c r="K15677" s="3" t="s">
        <v>79202</v>
      </c>
      <c r="L15677" s="3" t="s">
        <v>79203</v>
      </c>
      <c r="M15677" s="4"/>
      <c r="N15677" s="3" t="s">
        <v>37</v>
      </c>
      <c r="O15677" s="3" t="s">
        <v>46</v>
      </c>
      <c r="P15677" s="5">
        <v>6</v>
      </c>
      <c r="Q15677" s="5">
        <v>58</v>
      </c>
      <c r="R15677" s="5">
        <v>5</v>
      </c>
      <c r="S15677" s="5">
        <v>56</v>
      </c>
    </row>
    <row r="15678" spans="1:19" ht="28" x14ac:dyDescent="0.15">
      <c r="A15678" s="2">
        <f>HYPERLINK("https://open-school.uspishnemisto.com.ua/school/730402/", 730402)</f>
        <v>730402</v>
      </c>
      <c r="B15678" s="3" t="s">
        <v>39612</v>
      </c>
      <c r="C15678" s="3" t="s">
        <v>31</v>
      </c>
      <c r="D15678" s="3" t="s">
        <v>175</v>
      </c>
      <c r="E15678" s="4" t="s">
        <v>22</v>
      </c>
      <c r="F15678" s="4" t="s">
        <v>79204</v>
      </c>
      <c r="G15678" s="4" t="s">
        <v>79205</v>
      </c>
      <c r="H15678" s="3" t="s">
        <v>77131</v>
      </c>
      <c r="I15678" s="3" t="s">
        <v>29455</v>
      </c>
      <c r="J15678" s="3" t="s">
        <v>24958</v>
      </c>
      <c r="K15678" s="3" t="s">
        <v>79206</v>
      </c>
      <c r="L15678" s="3"/>
      <c r="M15678" s="4"/>
      <c r="N15678" s="3" t="s">
        <v>37</v>
      </c>
      <c r="O15678" s="3" t="s">
        <v>618</v>
      </c>
      <c r="P15678" s="5">
        <v>9</v>
      </c>
      <c r="Q15678" s="5">
        <v>97</v>
      </c>
      <c r="R15678" s="5">
        <v>9</v>
      </c>
      <c r="S15678" s="5">
        <v>95</v>
      </c>
    </row>
    <row r="15679" spans="1:19" ht="56" x14ac:dyDescent="0.15">
      <c r="A15679" s="2">
        <f>HYPERLINK("https://open-school.uspishnemisto.com.ua/school/730403/", 730403)</f>
        <v>730403</v>
      </c>
      <c r="B15679" s="3" t="s">
        <v>79207</v>
      </c>
      <c r="C15679" s="3" t="s">
        <v>54</v>
      </c>
      <c r="D15679" s="3" t="s">
        <v>32</v>
      </c>
      <c r="E15679" s="4" t="s">
        <v>22</v>
      </c>
      <c r="F15679" s="4" t="s">
        <v>79208</v>
      </c>
      <c r="G15679" s="4" t="s">
        <v>79209</v>
      </c>
      <c r="H15679" s="3" t="s">
        <v>77131</v>
      </c>
      <c r="I15679" s="3" t="s">
        <v>79210</v>
      </c>
      <c r="J15679" s="3" t="s">
        <v>3636</v>
      </c>
      <c r="K15679" s="3" t="s">
        <v>79211</v>
      </c>
      <c r="L15679" s="3"/>
      <c r="M15679" s="4"/>
      <c r="N15679" s="3" t="s">
        <v>37</v>
      </c>
      <c r="O15679" s="3" t="s">
        <v>2740</v>
      </c>
      <c r="P15679" s="5">
        <v>13</v>
      </c>
      <c r="Q15679" s="5">
        <v>233</v>
      </c>
      <c r="R15679" s="5">
        <v>14</v>
      </c>
      <c r="S15679" s="5">
        <v>243</v>
      </c>
    </row>
    <row r="15680" spans="1:19" ht="28" x14ac:dyDescent="0.15">
      <c r="A15680" s="2">
        <f>HYPERLINK("https://open-school.uspishnemisto.com.ua/school/730404/", 730404)</f>
        <v>730404</v>
      </c>
      <c r="B15680" s="3" t="s">
        <v>79212</v>
      </c>
      <c r="C15680" s="3" t="s">
        <v>31</v>
      </c>
      <c r="D15680" s="3" t="s">
        <v>175</v>
      </c>
      <c r="E15680" s="4" t="s">
        <v>22</v>
      </c>
      <c r="F15680" s="4" t="s">
        <v>79213</v>
      </c>
      <c r="G15680" s="4" t="s">
        <v>79214</v>
      </c>
      <c r="H15680" s="3" t="s">
        <v>77131</v>
      </c>
      <c r="I15680" s="3" t="s">
        <v>79215</v>
      </c>
      <c r="J15680" s="3" t="s">
        <v>63586</v>
      </c>
      <c r="K15680" s="3" t="s">
        <v>79216</v>
      </c>
      <c r="L15680" s="3"/>
      <c r="M15680" s="4" t="s">
        <v>79217</v>
      </c>
      <c r="N15680" s="3" t="s">
        <v>37</v>
      </c>
      <c r="O15680" s="3" t="s">
        <v>46</v>
      </c>
      <c r="P15680" s="5">
        <v>9</v>
      </c>
      <c r="Q15680" s="5">
        <v>115</v>
      </c>
      <c r="R15680" s="5">
        <v>9</v>
      </c>
      <c r="S15680" s="5">
        <v>116</v>
      </c>
    </row>
    <row r="15681" spans="1:19" ht="42" x14ac:dyDescent="0.15">
      <c r="A15681" s="2">
        <f>HYPERLINK("https://open-school.uspishnemisto.com.ua/school/730405/", 730405)</f>
        <v>730405</v>
      </c>
      <c r="B15681" s="3" t="s">
        <v>79218</v>
      </c>
      <c r="C15681" s="3" t="s">
        <v>31</v>
      </c>
      <c r="D15681" s="3" t="s">
        <v>175</v>
      </c>
      <c r="E15681" s="4" t="s">
        <v>22</v>
      </c>
      <c r="F15681" s="4" t="s">
        <v>79219</v>
      </c>
      <c r="G15681" s="4" t="s">
        <v>79220</v>
      </c>
      <c r="H15681" s="3" t="s">
        <v>77131</v>
      </c>
      <c r="I15681" s="3" t="s">
        <v>79221</v>
      </c>
      <c r="J15681" s="3" t="s">
        <v>79222</v>
      </c>
      <c r="K15681" s="3" t="s">
        <v>79223</v>
      </c>
      <c r="L15681" s="3"/>
      <c r="M15681" s="4" t="s">
        <v>79224</v>
      </c>
      <c r="N15681" s="3" t="s">
        <v>37</v>
      </c>
      <c r="O15681" s="3" t="s">
        <v>11684</v>
      </c>
      <c r="P15681" s="5">
        <v>9</v>
      </c>
      <c r="Q15681" s="5">
        <v>77</v>
      </c>
      <c r="R15681" s="5">
        <v>9</v>
      </c>
      <c r="S15681" s="5">
        <v>81</v>
      </c>
    </row>
    <row r="15682" spans="1:19" ht="28" x14ac:dyDescent="0.15">
      <c r="A15682" s="2">
        <f>HYPERLINK("https://open-school.uspishnemisto.com.ua/school/730406/", 730406)</f>
        <v>730406</v>
      </c>
      <c r="B15682" s="3" t="s">
        <v>79225</v>
      </c>
      <c r="C15682" s="3" t="s">
        <v>54</v>
      </c>
      <c r="D15682" s="3" t="s">
        <v>60</v>
      </c>
      <c r="E15682" s="4" t="s">
        <v>22</v>
      </c>
      <c r="F15682" s="4" t="s">
        <v>79226</v>
      </c>
      <c r="G15682" s="4" t="s">
        <v>79227</v>
      </c>
      <c r="H15682" s="3" t="s">
        <v>77131</v>
      </c>
      <c r="I15682" s="3" t="s">
        <v>79228</v>
      </c>
      <c r="J15682" s="3" t="s">
        <v>79229</v>
      </c>
      <c r="K15682" s="3" t="s">
        <v>79230</v>
      </c>
      <c r="L15682" s="3"/>
      <c r="M15682" s="4"/>
      <c r="N15682" s="3" t="s">
        <v>37</v>
      </c>
      <c r="O15682" s="3" t="s">
        <v>52</v>
      </c>
      <c r="P15682" s="5">
        <v>6</v>
      </c>
      <c r="Q15682" s="5">
        <v>114</v>
      </c>
      <c r="R15682" s="5">
        <v>6</v>
      </c>
      <c r="S15682" s="5">
        <v>116</v>
      </c>
    </row>
    <row r="15683" spans="1:19" ht="28" x14ac:dyDescent="0.15">
      <c r="A15683" s="2">
        <f>HYPERLINK("https://open-school.uspishnemisto.com.ua/school/730407/", 730407)</f>
        <v>730407</v>
      </c>
      <c r="B15683" s="3" t="s">
        <v>79231</v>
      </c>
      <c r="C15683" s="3" t="s">
        <v>40</v>
      </c>
      <c r="D15683" s="3" t="s">
        <v>32</v>
      </c>
      <c r="E15683" s="4" t="s">
        <v>22</v>
      </c>
      <c r="F15683" s="4" t="s">
        <v>79226</v>
      </c>
      <c r="G15683" s="4" t="s">
        <v>79227</v>
      </c>
      <c r="H15683" s="3" t="s">
        <v>77131</v>
      </c>
      <c r="I15683" s="3" t="s">
        <v>79228</v>
      </c>
      <c r="J15683" s="3" t="s">
        <v>79232</v>
      </c>
      <c r="K15683" s="3" t="s">
        <v>79233</v>
      </c>
      <c r="L15683" s="3"/>
      <c r="M15683" s="4" t="s">
        <v>79234</v>
      </c>
      <c r="N15683" s="3" t="s">
        <v>37</v>
      </c>
      <c r="O15683" s="3" t="s">
        <v>2740</v>
      </c>
      <c r="P15683" s="5">
        <v>8</v>
      </c>
      <c r="Q15683" s="5">
        <v>150</v>
      </c>
      <c r="R15683" s="5">
        <v>7</v>
      </c>
      <c r="S15683" s="5">
        <v>138</v>
      </c>
    </row>
    <row r="15684" spans="1:19" ht="28" x14ac:dyDescent="0.15">
      <c r="A15684" s="2">
        <f>HYPERLINK("https://open-school.uspishnemisto.com.ua/school/730408/", 730408)</f>
        <v>730408</v>
      </c>
      <c r="B15684" s="3" t="s">
        <v>79235</v>
      </c>
      <c r="C15684" s="3" t="s">
        <v>31</v>
      </c>
      <c r="D15684" s="3" t="s">
        <v>32</v>
      </c>
      <c r="E15684" s="4" t="s">
        <v>22</v>
      </c>
      <c r="F15684" s="4" t="s">
        <v>79226</v>
      </c>
      <c r="G15684" s="4" t="s">
        <v>79227</v>
      </c>
      <c r="H15684" s="3" t="s">
        <v>77131</v>
      </c>
      <c r="I15684" s="3" t="s">
        <v>79228</v>
      </c>
      <c r="J15684" s="3" t="s">
        <v>79236</v>
      </c>
      <c r="K15684" s="3" t="s">
        <v>79237</v>
      </c>
      <c r="L15684" s="3" t="s">
        <v>79238</v>
      </c>
      <c r="M15684" s="4" t="s">
        <v>79239</v>
      </c>
      <c r="N15684" s="3" t="s">
        <v>37</v>
      </c>
      <c r="O15684" s="3" t="s">
        <v>721</v>
      </c>
      <c r="P15684" s="5">
        <v>19</v>
      </c>
      <c r="Q15684" s="5">
        <v>345</v>
      </c>
      <c r="R15684" s="5">
        <v>18</v>
      </c>
      <c r="S15684" s="5">
        <v>336</v>
      </c>
    </row>
    <row r="15685" spans="1:19" ht="42" x14ac:dyDescent="0.15">
      <c r="A15685" s="2">
        <f>HYPERLINK("https://open-school.uspishnemisto.com.ua/school/730409/", 730409)</f>
        <v>730409</v>
      </c>
      <c r="B15685" s="3" t="s">
        <v>79240</v>
      </c>
      <c r="C15685" s="3" t="s">
        <v>31</v>
      </c>
      <c r="D15685" s="3" t="s">
        <v>60</v>
      </c>
      <c r="E15685" s="4" t="s">
        <v>22</v>
      </c>
      <c r="F15685" s="4" t="s">
        <v>79241</v>
      </c>
      <c r="G15685" s="4" t="s">
        <v>79242</v>
      </c>
      <c r="H15685" s="3" t="s">
        <v>77131</v>
      </c>
      <c r="I15685" s="3" t="s">
        <v>61133</v>
      </c>
      <c r="J15685" s="3" t="s">
        <v>42390</v>
      </c>
      <c r="K15685" s="3" t="s">
        <v>79243</v>
      </c>
      <c r="L15685" s="3"/>
      <c r="M15685" s="4" t="s">
        <v>79244</v>
      </c>
      <c r="N15685" s="3" t="s">
        <v>37</v>
      </c>
      <c r="O15685" s="3" t="s">
        <v>618</v>
      </c>
      <c r="P15685" s="5">
        <v>0</v>
      </c>
      <c r="Q15685" s="5">
        <v>5</v>
      </c>
      <c r="R15685" s="5">
        <v>1</v>
      </c>
      <c r="S15685" s="5">
        <v>12</v>
      </c>
    </row>
    <row r="15686" spans="1:19" ht="42" x14ac:dyDescent="0.15">
      <c r="A15686" s="2">
        <f>HYPERLINK("https://open-school.uspishnemisto.com.ua/school/730410/", 730410)</f>
        <v>730410</v>
      </c>
      <c r="B15686" s="3" t="s">
        <v>79245</v>
      </c>
      <c r="C15686" s="3" t="s">
        <v>31</v>
      </c>
      <c r="D15686" s="3" t="s">
        <v>32</v>
      </c>
      <c r="E15686" s="4" t="s">
        <v>22</v>
      </c>
      <c r="F15686" s="4" t="s">
        <v>79246</v>
      </c>
      <c r="G15686" s="4" t="s">
        <v>79247</v>
      </c>
      <c r="H15686" s="3" t="s">
        <v>77131</v>
      </c>
      <c r="I15686" s="3" t="s">
        <v>79248</v>
      </c>
      <c r="J15686" s="3" t="s">
        <v>77500</v>
      </c>
      <c r="K15686" s="3" t="s">
        <v>79249</v>
      </c>
      <c r="L15686" s="3" t="s">
        <v>79250</v>
      </c>
      <c r="M15686" s="4" t="s">
        <v>79251</v>
      </c>
      <c r="N15686" s="3" t="s">
        <v>37</v>
      </c>
      <c r="O15686" s="3" t="s">
        <v>52</v>
      </c>
      <c r="P15686" s="5">
        <v>24</v>
      </c>
      <c r="Q15686" s="5">
        <v>545</v>
      </c>
      <c r="R15686" s="5">
        <v>25</v>
      </c>
      <c r="S15686" s="5">
        <v>566</v>
      </c>
    </row>
    <row r="15687" spans="1:19" ht="42" x14ac:dyDescent="0.15">
      <c r="A15687" s="2">
        <f>HYPERLINK("https://open-school.uspishnemisto.com.ua/school/730411/", 730411)</f>
        <v>730411</v>
      </c>
      <c r="B15687" s="3" t="s">
        <v>79252</v>
      </c>
      <c r="C15687" s="3" t="s">
        <v>54</v>
      </c>
      <c r="D15687" s="3" t="s">
        <v>32</v>
      </c>
      <c r="E15687" s="4" t="s">
        <v>22</v>
      </c>
      <c r="F15687" s="4" t="s">
        <v>79253</v>
      </c>
      <c r="G15687" s="4" t="s">
        <v>79254</v>
      </c>
      <c r="H15687" s="3" t="s">
        <v>77131</v>
      </c>
      <c r="I15687" s="3" t="s">
        <v>79255</v>
      </c>
      <c r="J15687" s="3" t="s">
        <v>79256</v>
      </c>
      <c r="K15687" s="3" t="s">
        <v>79257</v>
      </c>
      <c r="L15687" s="3"/>
      <c r="M15687" s="4"/>
      <c r="N15687" s="3" t="s">
        <v>37</v>
      </c>
      <c r="O15687" s="3" t="s">
        <v>46</v>
      </c>
      <c r="P15687" s="5">
        <v>11</v>
      </c>
      <c r="Q15687" s="5">
        <v>126</v>
      </c>
      <c r="R15687" s="5">
        <v>11</v>
      </c>
      <c r="S15687" s="5">
        <v>124</v>
      </c>
    </row>
    <row r="15688" spans="1:19" ht="42" x14ac:dyDescent="0.15">
      <c r="A15688" s="2">
        <f>HYPERLINK("https://open-school.uspishnemisto.com.ua/school/730412/", 730412)</f>
        <v>730412</v>
      </c>
      <c r="B15688" s="3" t="s">
        <v>79258</v>
      </c>
      <c r="C15688" s="3" t="s">
        <v>31</v>
      </c>
      <c r="D15688" s="3" t="s">
        <v>175</v>
      </c>
      <c r="E15688" s="4" t="s">
        <v>22</v>
      </c>
      <c r="F15688" s="4" t="s">
        <v>79259</v>
      </c>
      <c r="G15688" s="4" t="s">
        <v>79260</v>
      </c>
      <c r="H15688" s="3" t="s">
        <v>77131</v>
      </c>
      <c r="I15688" s="3" t="s">
        <v>79261</v>
      </c>
      <c r="J15688" s="3" t="s">
        <v>40449</v>
      </c>
      <c r="K15688" s="3" t="s">
        <v>79262</v>
      </c>
      <c r="L15688" s="3" t="s">
        <v>79263</v>
      </c>
      <c r="M15688" s="4"/>
      <c r="N15688" s="3" t="s">
        <v>37</v>
      </c>
      <c r="O15688" s="3" t="s">
        <v>618</v>
      </c>
      <c r="P15688" s="5">
        <v>8</v>
      </c>
      <c r="Q15688" s="5">
        <v>72</v>
      </c>
      <c r="R15688" s="5">
        <v>8</v>
      </c>
      <c r="S15688" s="5">
        <v>70</v>
      </c>
    </row>
    <row r="15689" spans="1:19" ht="42" x14ac:dyDescent="0.15">
      <c r="A15689" s="2">
        <f>HYPERLINK("https://open-school.uspishnemisto.com.ua/school/730413/", 730413)</f>
        <v>730413</v>
      </c>
      <c r="B15689" s="3" t="s">
        <v>79264</v>
      </c>
      <c r="C15689" s="3" t="s">
        <v>54</v>
      </c>
      <c r="D15689" s="3" t="s">
        <v>32</v>
      </c>
      <c r="E15689" s="4" t="s">
        <v>22</v>
      </c>
      <c r="F15689" s="4" t="s">
        <v>79265</v>
      </c>
      <c r="G15689" s="4" t="s">
        <v>79266</v>
      </c>
      <c r="H15689" s="3" t="s">
        <v>77131</v>
      </c>
      <c r="I15689" s="3" t="s">
        <v>79267</v>
      </c>
      <c r="J15689" s="3" t="s">
        <v>79268</v>
      </c>
      <c r="K15689" s="3" t="s">
        <v>79269</v>
      </c>
      <c r="L15689" s="3" t="s">
        <v>79270</v>
      </c>
      <c r="M15689" s="4"/>
      <c r="N15689" s="3" t="s">
        <v>37</v>
      </c>
      <c r="O15689" s="3" t="s">
        <v>2740</v>
      </c>
      <c r="P15689" s="5">
        <v>11</v>
      </c>
      <c r="Q15689" s="5">
        <v>142</v>
      </c>
      <c r="R15689" s="5">
        <v>11</v>
      </c>
      <c r="S15689" s="5">
        <v>146</v>
      </c>
    </row>
    <row r="15690" spans="1:19" ht="56" x14ac:dyDescent="0.15">
      <c r="A15690" s="2">
        <f>HYPERLINK("https://open-school.uspishnemisto.com.ua/school/730414/", 730414)</f>
        <v>730414</v>
      </c>
      <c r="B15690" s="3" t="s">
        <v>79271</v>
      </c>
      <c r="C15690" s="3" t="s">
        <v>54</v>
      </c>
      <c r="D15690" s="3" t="s">
        <v>32</v>
      </c>
      <c r="E15690" s="4" t="s">
        <v>22</v>
      </c>
      <c r="F15690" s="4" t="s">
        <v>79272</v>
      </c>
      <c r="G15690" s="4" t="s">
        <v>79273</v>
      </c>
      <c r="H15690" s="3" t="s">
        <v>77131</v>
      </c>
      <c r="I15690" s="3" t="s">
        <v>79274</v>
      </c>
      <c r="J15690" s="3" t="s">
        <v>79275</v>
      </c>
      <c r="K15690" s="3" t="s">
        <v>79276</v>
      </c>
      <c r="L15690" s="3" t="s">
        <v>79277</v>
      </c>
      <c r="M15690" s="4"/>
      <c r="N15690" s="3" t="s">
        <v>37</v>
      </c>
      <c r="O15690" s="3" t="s">
        <v>52</v>
      </c>
      <c r="P15690" s="5">
        <v>19</v>
      </c>
      <c r="Q15690" s="5">
        <v>363</v>
      </c>
      <c r="R15690" s="5">
        <v>19</v>
      </c>
      <c r="S15690" s="5">
        <v>366</v>
      </c>
    </row>
    <row r="15691" spans="1:19" ht="28" x14ac:dyDescent="0.15">
      <c r="A15691" s="2">
        <f>HYPERLINK("https://open-school.uspishnemisto.com.ua/school/730415/", 730415)</f>
        <v>730415</v>
      </c>
      <c r="B15691" s="3" t="s">
        <v>79278</v>
      </c>
      <c r="C15691" s="3" t="s">
        <v>54</v>
      </c>
      <c r="D15691" s="3" t="s">
        <v>175</v>
      </c>
      <c r="E15691" s="4" t="s">
        <v>22</v>
      </c>
      <c r="F15691" s="4" t="s">
        <v>79279</v>
      </c>
      <c r="G15691" s="4" t="s">
        <v>79280</v>
      </c>
      <c r="H15691" s="3" t="s">
        <v>77131</v>
      </c>
      <c r="I15691" s="3" t="s">
        <v>72914</v>
      </c>
      <c r="J15691" s="3" t="s">
        <v>2972</v>
      </c>
      <c r="K15691" s="3" t="s">
        <v>79281</v>
      </c>
      <c r="L15691" s="3"/>
      <c r="M15691" s="4"/>
      <c r="N15691" s="3" t="s">
        <v>37</v>
      </c>
      <c r="O15691" s="3" t="s">
        <v>46</v>
      </c>
      <c r="P15691" s="5">
        <v>9</v>
      </c>
      <c r="Q15691" s="5">
        <v>83</v>
      </c>
      <c r="R15691" s="5">
        <v>8</v>
      </c>
      <c r="S15691" s="5">
        <v>86</v>
      </c>
    </row>
    <row r="15692" spans="1:19" ht="42" x14ac:dyDescent="0.15">
      <c r="A15692" s="2">
        <f>HYPERLINK("https://open-school.uspishnemisto.com.ua/school/730428/", 730428)</f>
        <v>730428</v>
      </c>
      <c r="B15692" s="3" t="s">
        <v>79282</v>
      </c>
      <c r="C15692" s="3" t="s">
        <v>31</v>
      </c>
      <c r="D15692" s="3" t="s">
        <v>32</v>
      </c>
      <c r="E15692" s="4" t="s">
        <v>22</v>
      </c>
      <c r="F15692" s="4" t="s">
        <v>79283</v>
      </c>
      <c r="G15692" s="4" t="s">
        <v>79284</v>
      </c>
      <c r="H15692" s="3" t="s">
        <v>77131</v>
      </c>
      <c r="I15692" s="3" t="s">
        <v>79285</v>
      </c>
      <c r="J15692" s="3" t="s">
        <v>31017</v>
      </c>
      <c r="K15692" s="3" t="s">
        <v>79286</v>
      </c>
      <c r="L15692" s="3"/>
      <c r="M15692" s="4" t="s">
        <v>79287</v>
      </c>
      <c r="N15692" s="3" t="s">
        <v>37</v>
      </c>
      <c r="O15692" s="3" t="s">
        <v>52</v>
      </c>
      <c r="P15692" s="5">
        <v>12</v>
      </c>
      <c r="Q15692" s="5">
        <v>258</v>
      </c>
      <c r="R15692" s="5">
        <v>12</v>
      </c>
      <c r="S15692" s="5">
        <v>258</v>
      </c>
    </row>
    <row r="15693" spans="1:19" ht="42" x14ac:dyDescent="0.15">
      <c r="A15693" s="2">
        <f>HYPERLINK("https://open-school.uspishnemisto.com.ua/school/730416/", 730416)</f>
        <v>730416</v>
      </c>
      <c r="B15693" s="3" t="s">
        <v>79288</v>
      </c>
      <c r="C15693" s="3" t="s">
        <v>31</v>
      </c>
      <c r="D15693" s="3" t="s">
        <v>60</v>
      </c>
      <c r="E15693" s="4" t="s">
        <v>22</v>
      </c>
      <c r="F15693" s="4" t="s">
        <v>79283</v>
      </c>
      <c r="G15693" s="4" t="s">
        <v>79289</v>
      </c>
      <c r="H15693" s="3" t="s">
        <v>77131</v>
      </c>
      <c r="I15693" s="3" t="s">
        <v>79290</v>
      </c>
      <c r="J15693" s="3" t="s">
        <v>79291</v>
      </c>
      <c r="K15693" s="3"/>
      <c r="L15693" s="3"/>
      <c r="M15693" s="4" t="s">
        <v>79292</v>
      </c>
      <c r="N15693" s="3" t="s">
        <v>37</v>
      </c>
      <c r="O15693" s="3" t="s">
        <v>52</v>
      </c>
      <c r="P15693" s="5">
        <v>1</v>
      </c>
      <c r="Q15693" s="5">
        <v>6</v>
      </c>
      <c r="R15693" s="5">
        <v>0</v>
      </c>
      <c r="S15693" s="5">
        <v>9</v>
      </c>
    </row>
    <row r="15694" spans="1:19" ht="42" x14ac:dyDescent="0.15">
      <c r="A15694" s="2">
        <f>HYPERLINK("https://open-school.uspishnemisto.com.ua/school/730417/", 730417)</f>
        <v>730417</v>
      </c>
      <c r="B15694" s="3" t="s">
        <v>79293</v>
      </c>
      <c r="C15694" s="3" t="s">
        <v>54</v>
      </c>
      <c r="D15694" s="3" t="s">
        <v>32</v>
      </c>
      <c r="E15694" s="4" t="s">
        <v>22</v>
      </c>
      <c r="F15694" s="4" t="s">
        <v>79294</v>
      </c>
      <c r="G15694" s="4" t="s">
        <v>79295</v>
      </c>
      <c r="H15694" s="3" t="s">
        <v>77131</v>
      </c>
      <c r="I15694" s="3" t="s">
        <v>22558</v>
      </c>
      <c r="J15694" s="3" t="s">
        <v>79296</v>
      </c>
      <c r="K15694" s="3" t="s">
        <v>79297</v>
      </c>
      <c r="L15694" s="3" t="s">
        <v>79298</v>
      </c>
      <c r="M15694" s="4"/>
      <c r="N15694" s="3" t="s">
        <v>37</v>
      </c>
      <c r="O15694" s="3" t="s">
        <v>618</v>
      </c>
      <c r="P15694" s="5">
        <v>11</v>
      </c>
      <c r="Q15694" s="5">
        <v>176</v>
      </c>
      <c r="R15694" s="5">
        <v>11</v>
      </c>
      <c r="S15694" s="5">
        <v>172</v>
      </c>
    </row>
    <row r="15695" spans="1:19" ht="56" x14ac:dyDescent="0.15">
      <c r="A15695" s="2">
        <f>HYPERLINK("https://open-school.uspishnemisto.com.ua/school/730418/", 730418)</f>
        <v>730418</v>
      </c>
      <c r="B15695" s="3" t="s">
        <v>79299</v>
      </c>
      <c r="C15695" s="3" t="s">
        <v>54</v>
      </c>
      <c r="D15695" s="3" t="s">
        <v>175</v>
      </c>
      <c r="E15695" s="4" t="s">
        <v>22</v>
      </c>
      <c r="F15695" s="4" t="s">
        <v>79300</v>
      </c>
      <c r="G15695" s="4" t="s">
        <v>79301</v>
      </c>
      <c r="H15695" s="3" t="s">
        <v>77131</v>
      </c>
      <c r="I15695" s="3" t="s">
        <v>79302</v>
      </c>
      <c r="J15695" s="3" t="s">
        <v>79303</v>
      </c>
      <c r="K15695" s="3" t="s">
        <v>79304</v>
      </c>
      <c r="L15695" s="3"/>
      <c r="M15695" s="4"/>
      <c r="N15695" s="3" t="s">
        <v>37</v>
      </c>
      <c r="O15695" s="3" t="s">
        <v>618</v>
      </c>
      <c r="P15695" s="5">
        <v>8</v>
      </c>
      <c r="Q15695" s="5">
        <v>59</v>
      </c>
      <c r="R15695" s="5">
        <v>7</v>
      </c>
      <c r="S15695" s="5">
        <v>52</v>
      </c>
    </row>
    <row r="15696" spans="1:19" ht="28" x14ac:dyDescent="0.15">
      <c r="A15696" s="2">
        <f>HYPERLINK("https://open-school.uspishnemisto.com.ua/school/730419/", 730419)</f>
        <v>730419</v>
      </c>
      <c r="B15696" s="3" t="s">
        <v>79305</v>
      </c>
      <c r="C15696" s="3" t="s">
        <v>31</v>
      </c>
      <c r="D15696" s="3" t="s">
        <v>175</v>
      </c>
      <c r="E15696" s="4" t="s">
        <v>22</v>
      </c>
      <c r="F15696" s="4" t="s">
        <v>79306</v>
      </c>
      <c r="G15696" s="4" t="s">
        <v>79307</v>
      </c>
      <c r="H15696" s="3" t="s">
        <v>77131</v>
      </c>
      <c r="I15696" s="3" t="s">
        <v>27948</v>
      </c>
      <c r="J15696" s="3" t="s">
        <v>79308</v>
      </c>
      <c r="K15696" s="3" t="s">
        <v>79309</v>
      </c>
      <c r="L15696" s="3"/>
      <c r="M15696" s="4" t="s">
        <v>79310</v>
      </c>
      <c r="N15696" s="3" t="s">
        <v>37</v>
      </c>
      <c r="O15696" s="3" t="s">
        <v>618</v>
      </c>
      <c r="P15696" s="5">
        <v>6</v>
      </c>
      <c r="Q15696" s="5">
        <v>61</v>
      </c>
      <c r="R15696" s="5">
        <v>9</v>
      </c>
      <c r="S15696" s="5">
        <v>83</v>
      </c>
    </row>
    <row r="15697" spans="1:19" ht="28" x14ac:dyDescent="0.15">
      <c r="A15697" s="2">
        <f>HYPERLINK("https://open-school.uspishnemisto.com.ua/school/730420/", 730420)</f>
        <v>730420</v>
      </c>
      <c r="B15697" s="3" t="s">
        <v>79311</v>
      </c>
      <c r="C15697" s="3" t="s">
        <v>31</v>
      </c>
      <c r="D15697" s="3" t="s">
        <v>32</v>
      </c>
      <c r="E15697" s="4" t="s">
        <v>22</v>
      </c>
      <c r="F15697" s="4" t="s">
        <v>79312</v>
      </c>
      <c r="G15697" s="4" t="s">
        <v>79313</v>
      </c>
      <c r="H15697" s="3" t="s">
        <v>77131</v>
      </c>
      <c r="I15697" s="3" t="s">
        <v>79314</v>
      </c>
      <c r="J15697" s="3" t="s">
        <v>79315</v>
      </c>
      <c r="K15697" s="3" t="s">
        <v>79316</v>
      </c>
      <c r="L15697" s="3"/>
      <c r="M15697" s="4" t="s">
        <v>79317</v>
      </c>
      <c r="N15697" s="3" t="s">
        <v>37</v>
      </c>
      <c r="O15697" s="3" t="s">
        <v>46</v>
      </c>
      <c r="P15697" s="5">
        <v>22</v>
      </c>
      <c r="Q15697" s="5">
        <v>482</v>
      </c>
      <c r="R15697" s="5">
        <v>21</v>
      </c>
      <c r="S15697" s="5">
        <v>458</v>
      </c>
    </row>
    <row r="15698" spans="1:19" ht="42" x14ac:dyDescent="0.15">
      <c r="A15698" s="2">
        <f>HYPERLINK("https://open-school.uspishnemisto.com.ua/school/730421/", 730421)</f>
        <v>730421</v>
      </c>
      <c r="B15698" s="3" t="s">
        <v>79318</v>
      </c>
      <c r="C15698" s="3" t="s">
        <v>54</v>
      </c>
      <c r="D15698" s="3" t="s">
        <v>175</v>
      </c>
      <c r="E15698" s="4" t="s">
        <v>22</v>
      </c>
      <c r="F15698" s="4" t="s">
        <v>79182</v>
      </c>
      <c r="G15698" s="4" t="s">
        <v>79319</v>
      </c>
      <c r="H15698" s="3" t="s">
        <v>77131</v>
      </c>
      <c r="I15698" s="3" t="s">
        <v>79320</v>
      </c>
      <c r="J15698" s="3" t="s">
        <v>946</v>
      </c>
      <c r="K15698" s="3" t="s">
        <v>79321</v>
      </c>
      <c r="L15698" s="3" t="s">
        <v>79322</v>
      </c>
      <c r="M15698" s="4"/>
      <c r="N15698" s="3" t="s">
        <v>37</v>
      </c>
      <c r="O15698" s="3" t="s">
        <v>618</v>
      </c>
      <c r="P15698" s="5">
        <v>4</v>
      </c>
      <c r="Q15698" s="5">
        <v>53</v>
      </c>
      <c r="R15698" s="5">
        <v>5</v>
      </c>
      <c r="S15698" s="5">
        <v>56</v>
      </c>
    </row>
    <row r="15699" spans="1:19" ht="56" x14ac:dyDescent="0.15">
      <c r="A15699" s="2">
        <f>HYPERLINK("https://open-school.uspishnemisto.com.ua/school/730422/", 730422)</f>
        <v>730422</v>
      </c>
      <c r="B15699" s="3" t="s">
        <v>79323</v>
      </c>
      <c r="C15699" s="3" t="s">
        <v>54</v>
      </c>
      <c r="D15699" s="3" t="s">
        <v>175</v>
      </c>
      <c r="E15699" s="4" t="s">
        <v>22</v>
      </c>
      <c r="F15699" s="4" t="s">
        <v>79324</v>
      </c>
      <c r="G15699" s="4" t="s">
        <v>79325</v>
      </c>
      <c r="H15699" s="3" t="s">
        <v>77131</v>
      </c>
      <c r="I15699" s="3" t="s">
        <v>79326</v>
      </c>
      <c r="J15699" s="3" t="s">
        <v>634</v>
      </c>
      <c r="K15699" s="3" t="s">
        <v>79327</v>
      </c>
      <c r="L15699" s="3"/>
      <c r="M15699" s="4"/>
      <c r="N15699" s="3" t="s">
        <v>37</v>
      </c>
      <c r="O15699" s="3" t="s">
        <v>11684</v>
      </c>
      <c r="P15699" s="5">
        <v>6</v>
      </c>
      <c r="Q15699" s="5">
        <v>53</v>
      </c>
      <c r="R15699" s="5">
        <v>7</v>
      </c>
      <c r="S15699" s="5">
        <v>58</v>
      </c>
    </row>
    <row r="15700" spans="1:19" ht="70" x14ac:dyDescent="0.15">
      <c r="A15700" s="2">
        <f>HYPERLINK("https://open-school.uspishnemisto.com.ua/school/730423/", 730423)</f>
        <v>730423</v>
      </c>
      <c r="B15700" s="3" t="s">
        <v>79328</v>
      </c>
      <c r="C15700" s="3" t="s">
        <v>54</v>
      </c>
      <c r="D15700" s="3" t="s">
        <v>175</v>
      </c>
      <c r="E15700" s="4" t="s">
        <v>22</v>
      </c>
      <c r="F15700" s="4" t="s">
        <v>79329</v>
      </c>
      <c r="G15700" s="4" t="s">
        <v>79330</v>
      </c>
      <c r="H15700" s="3" t="s">
        <v>77131</v>
      </c>
      <c r="I15700" s="3" t="s">
        <v>42029</v>
      </c>
      <c r="J15700" s="3" t="s">
        <v>21048</v>
      </c>
      <c r="K15700" s="3" t="s">
        <v>79331</v>
      </c>
      <c r="L15700" s="3" t="s">
        <v>79332</v>
      </c>
      <c r="M15700" s="4"/>
      <c r="N15700" s="3" t="s">
        <v>37</v>
      </c>
      <c r="O15700" s="3" t="s">
        <v>46</v>
      </c>
      <c r="P15700" s="5">
        <v>8</v>
      </c>
      <c r="Q15700" s="5">
        <v>83</v>
      </c>
      <c r="R15700" s="5">
        <v>9</v>
      </c>
      <c r="S15700" s="5">
        <v>82</v>
      </c>
    </row>
    <row r="15701" spans="1:19" ht="42" x14ac:dyDescent="0.15">
      <c r="A15701" s="2">
        <f>HYPERLINK("https://open-school.uspishnemisto.com.ua/school/730424/", 730424)</f>
        <v>730424</v>
      </c>
      <c r="B15701" s="3" t="s">
        <v>79333</v>
      </c>
      <c r="C15701" s="3" t="s">
        <v>31</v>
      </c>
      <c r="D15701" s="3" t="s">
        <v>175</v>
      </c>
      <c r="E15701" s="4" t="s">
        <v>22</v>
      </c>
      <c r="F15701" s="4" t="s">
        <v>79334</v>
      </c>
      <c r="G15701" s="4" t="s">
        <v>79335</v>
      </c>
      <c r="H15701" s="3" t="s">
        <v>77131</v>
      </c>
      <c r="I15701" s="3" t="s">
        <v>79336</v>
      </c>
      <c r="J15701" s="3" t="s">
        <v>466</v>
      </c>
      <c r="K15701" s="3" t="s">
        <v>79337</v>
      </c>
      <c r="L15701" s="3"/>
      <c r="M15701" s="4" t="s">
        <v>79338</v>
      </c>
      <c r="N15701" s="3" t="s">
        <v>37</v>
      </c>
      <c r="O15701" s="3" t="s">
        <v>46</v>
      </c>
      <c r="P15701" s="5">
        <v>9</v>
      </c>
      <c r="Q15701" s="5">
        <v>128</v>
      </c>
      <c r="R15701" s="5">
        <v>9</v>
      </c>
      <c r="S15701" s="5">
        <v>127</v>
      </c>
    </row>
    <row r="15702" spans="1:19" ht="28" x14ac:dyDescent="0.15">
      <c r="A15702" s="2">
        <f>HYPERLINK("https://open-school.uspishnemisto.com.ua/school/730425/", 730425)</f>
        <v>730425</v>
      </c>
      <c r="B15702" s="3" t="s">
        <v>79339</v>
      </c>
      <c r="C15702" s="3" t="s">
        <v>31</v>
      </c>
      <c r="D15702" s="3" t="s">
        <v>32</v>
      </c>
      <c r="E15702" s="4" t="s">
        <v>22</v>
      </c>
      <c r="F15702" s="4" t="s">
        <v>79340</v>
      </c>
      <c r="G15702" s="4" t="s">
        <v>79341</v>
      </c>
      <c r="H15702" s="3" t="s">
        <v>77131</v>
      </c>
      <c r="I15702" s="3" t="s">
        <v>79342</v>
      </c>
      <c r="J15702" s="3" t="s">
        <v>2884</v>
      </c>
      <c r="K15702" s="3" t="s">
        <v>79343</v>
      </c>
      <c r="L15702" s="3" t="s">
        <v>79344</v>
      </c>
      <c r="M15702" s="4"/>
      <c r="N15702" s="3" t="s">
        <v>37</v>
      </c>
      <c r="O15702" s="3" t="s">
        <v>52</v>
      </c>
      <c r="P15702" s="5">
        <v>13</v>
      </c>
      <c r="Q15702" s="5">
        <v>276</v>
      </c>
      <c r="R15702" s="5">
        <v>13</v>
      </c>
      <c r="S15702" s="5">
        <v>275</v>
      </c>
    </row>
    <row r="15703" spans="1:19" ht="56" x14ac:dyDescent="0.15">
      <c r="A15703" s="2">
        <f>HYPERLINK("https://open-school.uspishnemisto.com.ua/school/730426/", 730426)</f>
        <v>730426</v>
      </c>
      <c r="B15703" s="3" t="s">
        <v>79345</v>
      </c>
      <c r="C15703" s="3" t="s">
        <v>54</v>
      </c>
      <c r="D15703" s="3" t="s">
        <v>32</v>
      </c>
      <c r="E15703" s="4" t="s">
        <v>22</v>
      </c>
      <c r="F15703" s="4" t="s">
        <v>79346</v>
      </c>
      <c r="G15703" s="4" t="s">
        <v>79347</v>
      </c>
      <c r="H15703" s="3" t="s">
        <v>77131</v>
      </c>
      <c r="I15703" s="3" t="s">
        <v>79348</v>
      </c>
      <c r="J15703" s="3" t="s">
        <v>30603</v>
      </c>
      <c r="K15703" s="3" t="s">
        <v>79349</v>
      </c>
      <c r="L15703" s="3" t="s">
        <v>79350</v>
      </c>
      <c r="M15703" s="4"/>
      <c r="N15703" s="3" t="s">
        <v>37</v>
      </c>
      <c r="O15703" s="3" t="s">
        <v>52</v>
      </c>
      <c r="P15703" s="5">
        <v>11</v>
      </c>
      <c r="Q15703" s="5">
        <v>226</v>
      </c>
      <c r="R15703" s="5">
        <v>11</v>
      </c>
      <c r="S15703" s="5">
        <v>212</v>
      </c>
    </row>
    <row r="15704" spans="1:19" ht="42" x14ac:dyDescent="0.15">
      <c r="A15704" s="2">
        <f>HYPERLINK("https://open-school.uspishnemisto.com.ua/school/730427/", 730427)</f>
        <v>730427</v>
      </c>
      <c r="B15704" s="3" t="s">
        <v>79351</v>
      </c>
      <c r="C15704" s="3" t="s">
        <v>54</v>
      </c>
      <c r="D15704" s="3" t="s">
        <v>175</v>
      </c>
      <c r="E15704" s="4" t="s">
        <v>22</v>
      </c>
      <c r="F15704" s="4" t="s">
        <v>79352</v>
      </c>
      <c r="G15704" s="4" t="s">
        <v>79353</v>
      </c>
      <c r="H15704" s="3" t="s">
        <v>77131</v>
      </c>
      <c r="I15704" s="3" t="s">
        <v>79354</v>
      </c>
      <c r="J15704" s="3" t="s">
        <v>79355</v>
      </c>
      <c r="K15704" s="3" t="s">
        <v>79356</v>
      </c>
      <c r="L15704" s="3"/>
      <c r="M15704" s="4"/>
      <c r="N15704" s="3" t="s">
        <v>37</v>
      </c>
      <c r="O15704" s="3" t="s">
        <v>11684</v>
      </c>
      <c r="P15704" s="5">
        <v>9</v>
      </c>
      <c r="Q15704" s="5">
        <v>79</v>
      </c>
      <c r="R15704" s="5">
        <v>8</v>
      </c>
      <c r="S15704" s="5">
        <v>76</v>
      </c>
    </row>
    <row r="15705" spans="1:19" ht="42" x14ac:dyDescent="0.15">
      <c r="A15705" s="2">
        <f>HYPERLINK("https://open-school.uspishnemisto.com.ua/school/740002/", 740002)</f>
        <v>740002</v>
      </c>
      <c r="B15705" s="3" t="s">
        <v>79357</v>
      </c>
      <c r="C15705" s="3" t="s">
        <v>174</v>
      </c>
      <c r="D15705" s="3" t="s">
        <v>32</v>
      </c>
      <c r="E15705" s="4" t="s">
        <v>22</v>
      </c>
      <c r="F15705" s="4" t="s">
        <v>79358</v>
      </c>
      <c r="G15705" s="4" t="s">
        <v>79359</v>
      </c>
      <c r="H15705" s="3" t="s">
        <v>79360</v>
      </c>
      <c r="I15705" s="3" t="s">
        <v>79361</v>
      </c>
      <c r="J15705" s="3" t="s">
        <v>79362</v>
      </c>
      <c r="K15705" s="3" t="s">
        <v>79363</v>
      </c>
      <c r="L15705" s="3"/>
      <c r="M15705" s="4"/>
      <c r="N15705" s="3" t="s">
        <v>37</v>
      </c>
      <c r="O15705" s="3" t="s">
        <v>52</v>
      </c>
      <c r="P15705" s="5">
        <v>12</v>
      </c>
      <c r="Q15705" s="5">
        <v>64</v>
      </c>
      <c r="R15705" s="5">
        <v>12</v>
      </c>
      <c r="S15705" s="5">
        <v>58</v>
      </c>
    </row>
    <row r="15706" spans="1:19" ht="42" x14ac:dyDescent="0.15">
      <c r="A15706" s="2">
        <f>HYPERLINK("https://open-school.uspishnemisto.com.ua/school/740003/", 740003)</f>
        <v>740003</v>
      </c>
      <c r="B15706" s="3" t="s">
        <v>79364</v>
      </c>
      <c r="C15706" s="3" t="s">
        <v>174</v>
      </c>
      <c r="D15706" s="3" t="s">
        <v>175</v>
      </c>
      <c r="E15706" s="4" t="s">
        <v>22</v>
      </c>
      <c r="F15706" s="4" t="s">
        <v>79365</v>
      </c>
      <c r="G15706" s="4" t="s">
        <v>79359</v>
      </c>
      <c r="H15706" s="3" t="s">
        <v>79360</v>
      </c>
      <c r="I15706" s="3" t="s">
        <v>79361</v>
      </c>
      <c r="J15706" s="3" t="s">
        <v>79366</v>
      </c>
      <c r="K15706" s="3" t="s">
        <v>79367</v>
      </c>
      <c r="L15706" s="3"/>
      <c r="M15706" s="4"/>
      <c r="N15706" s="3" t="s">
        <v>37</v>
      </c>
      <c r="O15706" s="3"/>
      <c r="P15706" s="5">
        <v>11</v>
      </c>
      <c r="Q15706" s="5">
        <v>137</v>
      </c>
      <c r="R15706" s="5">
        <v>11</v>
      </c>
      <c r="S15706" s="5">
        <v>125</v>
      </c>
    </row>
    <row r="15707" spans="1:19" ht="28" x14ac:dyDescent="0.15">
      <c r="A15707" s="2">
        <f>HYPERLINK("https://open-school.uspishnemisto.com.ua/school/740004/", 740004)</f>
        <v>740004</v>
      </c>
      <c r="B15707" s="3" t="s">
        <v>79368</v>
      </c>
      <c r="C15707" s="3" t="s">
        <v>181</v>
      </c>
      <c r="D15707" s="3" t="s">
        <v>32</v>
      </c>
      <c r="E15707" s="4" t="s">
        <v>22</v>
      </c>
      <c r="F15707" s="4" t="s">
        <v>79369</v>
      </c>
      <c r="G15707" s="4" t="s">
        <v>79359</v>
      </c>
      <c r="H15707" s="3" t="s">
        <v>79360</v>
      </c>
      <c r="I15707" s="3" t="s">
        <v>79361</v>
      </c>
      <c r="J15707" s="3" t="s">
        <v>79370</v>
      </c>
      <c r="K15707" s="3" t="s">
        <v>79371</v>
      </c>
      <c r="L15707" s="3"/>
      <c r="M15707" s="4" t="s">
        <v>79372</v>
      </c>
      <c r="N15707" s="3" t="s">
        <v>37</v>
      </c>
      <c r="O15707" s="3"/>
      <c r="P15707" s="5">
        <v>13</v>
      </c>
      <c r="Q15707" s="5">
        <v>108</v>
      </c>
      <c r="R15707" s="5">
        <v>13</v>
      </c>
      <c r="S15707" s="5">
        <v>107</v>
      </c>
    </row>
    <row r="15708" spans="1:19" ht="28" x14ac:dyDescent="0.15">
      <c r="A15708" s="2">
        <f>HYPERLINK("https://open-school.uspishnemisto.com.ua/school/740005/", 740005)</f>
        <v>740005</v>
      </c>
      <c r="B15708" s="3" t="s">
        <v>79373</v>
      </c>
      <c r="C15708" s="3" t="s">
        <v>244</v>
      </c>
      <c r="D15708" s="3" t="s">
        <v>32</v>
      </c>
      <c r="E15708" s="4" t="s">
        <v>22</v>
      </c>
      <c r="F15708" s="4" t="s">
        <v>79374</v>
      </c>
      <c r="G15708" s="4" t="s">
        <v>79359</v>
      </c>
      <c r="H15708" s="3" t="s">
        <v>79360</v>
      </c>
      <c r="I15708" s="3" t="s">
        <v>79361</v>
      </c>
      <c r="J15708" s="3" t="s">
        <v>79375</v>
      </c>
      <c r="K15708" s="3" t="s">
        <v>79376</v>
      </c>
      <c r="L15708" s="3" t="s">
        <v>79377</v>
      </c>
      <c r="M15708" s="4"/>
      <c r="N15708" s="3" t="s">
        <v>37</v>
      </c>
      <c r="O15708" s="3" t="s">
        <v>46</v>
      </c>
      <c r="P15708" s="5">
        <v>33</v>
      </c>
      <c r="Q15708" s="5">
        <v>1007</v>
      </c>
      <c r="R15708" s="5">
        <v>32</v>
      </c>
      <c r="S15708" s="5">
        <v>970</v>
      </c>
    </row>
    <row r="15709" spans="1:19" ht="28" x14ac:dyDescent="0.15">
      <c r="A15709" s="2">
        <f>HYPERLINK("https://open-school.uspishnemisto.com.ua/school/740006/", 740006)</f>
        <v>740006</v>
      </c>
      <c r="B15709" s="3" t="s">
        <v>79378</v>
      </c>
      <c r="C15709" s="3" t="s">
        <v>31</v>
      </c>
      <c r="D15709" s="3" t="s">
        <v>175</v>
      </c>
      <c r="E15709" s="4" t="s">
        <v>22</v>
      </c>
      <c r="F15709" s="4" t="s">
        <v>79379</v>
      </c>
      <c r="G15709" s="4" t="s">
        <v>79359</v>
      </c>
      <c r="H15709" s="3" t="s">
        <v>79360</v>
      </c>
      <c r="I15709" s="3" t="s">
        <v>79361</v>
      </c>
      <c r="J15709" s="3" t="s">
        <v>29717</v>
      </c>
      <c r="K15709" s="3" t="s">
        <v>79380</v>
      </c>
      <c r="L15709" s="3"/>
      <c r="M15709" s="4"/>
      <c r="N15709" s="3" t="s">
        <v>37</v>
      </c>
      <c r="O15709" s="3" t="s">
        <v>38</v>
      </c>
      <c r="P15709" s="5">
        <v>9</v>
      </c>
      <c r="Q15709" s="5">
        <v>193</v>
      </c>
      <c r="R15709" s="5">
        <v>9</v>
      </c>
      <c r="S15709" s="5">
        <v>202</v>
      </c>
    </row>
    <row r="15710" spans="1:19" ht="28" x14ac:dyDescent="0.15">
      <c r="A15710" s="2">
        <f>HYPERLINK("https://open-school.uspishnemisto.com.ua/school/740007/", 740007)</f>
        <v>740007</v>
      </c>
      <c r="B15710" s="3" t="s">
        <v>79381</v>
      </c>
      <c r="C15710" s="3" t="s">
        <v>31</v>
      </c>
      <c r="D15710" s="3" t="s">
        <v>32</v>
      </c>
      <c r="E15710" s="4" t="s">
        <v>22</v>
      </c>
      <c r="F15710" s="4" t="s">
        <v>79382</v>
      </c>
      <c r="G15710" s="4" t="s">
        <v>79359</v>
      </c>
      <c r="H15710" s="3" t="s">
        <v>79360</v>
      </c>
      <c r="I15710" s="3" t="s">
        <v>79361</v>
      </c>
      <c r="J15710" s="3" t="s">
        <v>79383</v>
      </c>
      <c r="K15710" s="3" t="s">
        <v>79384</v>
      </c>
      <c r="L15710" s="3" t="s">
        <v>79385</v>
      </c>
      <c r="M15710" s="4"/>
      <c r="N15710" s="3" t="s">
        <v>37</v>
      </c>
      <c r="O15710" s="3" t="s">
        <v>38</v>
      </c>
      <c r="P15710" s="5">
        <v>29</v>
      </c>
      <c r="Q15710" s="5">
        <v>863</v>
      </c>
      <c r="R15710" s="5">
        <v>28</v>
      </c>
      <c r="S15710" s="5">
        <v>845</v>
      </c>
    </row>
    <row r="15711" spans="1:19" ht="28" x14ac:dyDescent="0.15">
      <c r="A15711" s="2">
        <f>HYPERLINK("https://open-school.uspishnemisto.com.ua/school/740008/", 740008)</f>
        <v>740008</v>
      </c>
      <c r="B15711" s="3" t="s">
        <v>79386</v>
      </c>
      <c r="C15711" s="3" t="s">
        <v>31</v>
      </c>
      <c r="D15711" s="3" t="s">
        <v>32</v>
      </c>
      <c r="E15711" s="4" t="s">
        <v>22</v>
      </c>
      <c r="F15711" s="4" t="s">
        <v>79387</v>
      </c>
      <c r="G15711" s="4" t="s">
        <v>79359</v>
      </c>
      <c r="H15711" s="3" t="s">
        <v>79360</v>
      </c>
      <c r="I15711" s="3" t="s">
        <v>79361</v>
      </c>
      <c r="J15711" s="3" t="s">
        <v>79388</v>
      </c>
      <c r="K15711" s="3" t="s">
        <v>79389</v>
      </c>
      <c r="L15711" s="3"/>
      <c r="M15711" s="4"/>
      <c r="N15711" s="3" t="s">
        <v>37</v>
      </c>
      <c r="O15711" s="3" t="s">
        <v>38</v>
      </c>
      <c r="P15711" s="5">
        <v>14</v>
      </c>
      <c r="Q15711" s="5">
        <v>356</v>
      </c>
      <c r="R15711" s="5">
        <v>13</v>
      </c>
      <c r="S15711" s="5">
        <v>334</v>
      </c>
    </row>
    <row r="15712" spans="1:19" ht="28" x14ac:dyDescent="0.15">
      <c r="A15712" s="2">
        <f>HYPERLINK("https://open-school.uspishnemisto.com.ua/school/740009/", 740009)</f>
        <v>740009</v>
      </c>
      <c r="B15712" s="3" t="s">
        <v>79390</v>
      </c>
      <c r="C15712" s="3" t="s">
        <v>31</v>
      </c>
      <c r="D15712" s="3" t="s">
        <v>32</v>
      </c>
      <c r="E15712" s="4" t="s">
        <v>22</v>
      </c>
      <c r="F15712" s="4" t="s">
        <v>79391</v>
      </c>
      <c r="G15712" s="4" t="s">
        <v>79359</v>
      </c>
      <c r="H15712" s="3" t="s">
        <v>79360</v>
      </c>
      <c r="I15712" s="3" t="s">
        <v>79361</v>
      </c>
      <c r="J15712" s="3" t="s">
        <v>79392</v>
      </c>
      <c r="K15712" s="3" t="s">
        <v>79393</v>
      </c>
      <c r="L15712" s="3"/>
      <c r="M15712" s="4"/>
      <c r="N15712" s="3" t="s">
        <v>37</v>
      </c>
      <c r="O15712" s="3" t="s">
        <v>38</v>
      </c>
      <c r="P15712" s="5">
        <v>24</v>
      </c>
      <c r="Q15712" s="5">
        <v>738</v>
      </c>
      <c r="R15712" s="5">
        <v>23</v>
      </c>
      <c r="S15712" s="5">
        <v>691</v>
      </c>
    </row>
    <row r="15713" spans="1:19" ht="28" x14ac:dyDescent="0.15">
      <c r="A15713" s="2">
        <f>HYPERLINK("https://open-school.uspishnemisto.com.ua/school/740010/", 740010)</f>
        <v>740010</v>
      </c>
      <c r="B15713" s="3" t="s">
        <v>79394</v>
      </c>
      <c r="C15713" s="3" t="s">
        <v>31</v>
      </c>
      <c r="D15713" s="3" t="s">
        <v>32</v>
      </c>
      <c r="E15713" s="4" t="s">
        <v>22</v>
      </c>
      <c r="F15713" s="4" t="s">
        <v>79382</v>
      </c>
      <c r="G15713" s="4" t="s">
        <v>79359</v>
      </c>
      <c r="H15713" s="3" t="s">
        <v>79360</v>
      </c>
      <c r="I15713" s="3" t="s">
        <v>79361</v>
      </c>
      <c r="J15713" s="3" t="s">
        <v>79395</v>
      </c>
      <c r="K15713" s="3" t="s">
        <v>79396</v>
      </c>
      <c r="L15713" s="3" t="s">
        <v>79397</v>
      </c>
      <c r="M15713" s="4"/>
      <c r="N15713" s="3" t="s">
        <v>37</v>
      </c>
      <c r="O15713" s="3" t="s">
        <v>38</v>
      </c>
      <c r="P15713" s="5">
        <v>43</v>
      </c>
      <c r="Q15713" s="5">
        <v>1293</v>
      </c>
      <c r="R15713" s="5">
        <v>42</v>
      </c>
      <c r="S15713" s="5">
        <v>1266</v>
      </c>
    </row>
    <row r="15714" spans="1:19" ht="28" x14ac:dyDescent="0.15">
      <c r="A15714" s="2">
        <f>HYPERLINK("https://open-school.uspishnemisto.com.ua/school/740011/", 740011)</f>
        <v>740011</v>
      </c>
      <c r="B15714" s="3" t="s">
        <v>79398</v>
      </c>
      <c r="C15714" s="3" t="s">
        <v>31</v>
      </c>
      <c r="D15714" s="3" t="s">
        <v>32</v>
      </c>
      <c r="E15714" s="4" t="s">
        <v>22</v>
      </c>
      <c r="F15714" s="4" t="s">
        <v>79399</v>
      </c>
      <c r="G15714" s="4" t="s">
        <v>79359</v>
      </c>
      <c r="H15714" s="3" t="s">
        <v>79360</v>
      </c>
      <c r="I15714" s="3" t="s">
        <v>79361</v>
      </c>
      <c r="J15714" s="3" t="s">
        <v>79400</v>
      </c>
      <c r="K15714" s="3" t="s">
        <v>79401</v>
      </c>
      <c r="L15714" s="3"/>
      <c r="M15714" s="4"/>
      <c r="N15714" s="3" t="s">
        <v>37</v>
      </c>
      <c r="O15714" s="3" t="s">
        <v>70</v>
      </c>
      <c r="P15714" s="5">
        <v>54</v>
      </c>
      <c r="Q15714" s="5">
        <v>1629</v>
      </c>
      <c r="R15714" s="5">
        <v>52</v>
      </c>
      <c r="S15714" s="5">
        <v>1561</v>
      </c>
    </row>
    <row r="15715" spans="1:19" ht="42" x14ac:dyDescent="0.15">
      <c r="A15715" s="2">
        <f>HYPERLINK("https://open-school.uspishnemisto.com.ua/school/740012/", 740012)</f>
        <v>740012</v>
      </c>
      <c r="B15715" s="3" t="s">
        <v>79402</v>
      </c>
      <c r="C15715" s="3" t="s">
        <v>31</v>
      </c>
      <c r="D15715" s="3" t="s">
        <v>32</v>
      </c>
      <c r="E15715" s="4" t="s">
        <v>22</v>
      </c>
      <c r="F15715" s="4" t="s">
        <v>79403</v>
      </c>
      <c r="G15715" s="4" t="s">
        <v>79359</v>
      </c>
      <c r="H15715" s="3" t="s">
        <v>79360</v>
      </c>
      <c r="I15715" s="3" t="s">
        <v>79361</v>
      </c>
      <c r="J15715" s="3" t="s">
        <v>79404</v>
      </c>
      <c r="K15715" s="3" t="s">
        <v>79405</v>
      </c>
      <c r="L15715" s="3"/>
      <c r="M15715" s="4"/>
      <c r="N15715" s="3" t="s">
        <v>128</v>
      </c>
      <c r="O15715" s="3" t="s">
        <v>70</v>
      </c>
      <c r="P15715" s="5">
        <v>13</v>
      </c>
      <c r="Q15715" s="5">
        <v>345</v>
      </c>
      <c r="R15715" s="5">
        <v>13</v>
      </c>
      <c r="S15715" s="5">
        <v>350</v>
      </c>
    </row>
    <row r="15716" spans="1:19" ht="28" x14ac:dyDescent="0.15">
      <c r="A15716" s="2">
        <f>HYPERLINK("https://open-school.uspishnemisto.com.ua/school/740013/", 740013)</f>
        <v>740013</v>
      </c>
      <c r="B15716" s="3" t="s">
        <v>79406</v>
      </c>
      <c r="C15716" s="3" t="s">
        <v>31</v>
      </c>
      <c r="D15716" s="3" t="s">
        <v>32</v>
      </c>
      <c r="E15716" s="4" t="s">
        <v>22</v>
      </c>
      <c r="F15716" s="4" t="s">
        <v>79365</v>
      </c>
      <c r="G15716" s="4" t="s">
        <v>79359</v>
      </c>
      <c r="H15716" s="3" t="s">
        <v>79360</v>
      </c>
      <c r="I15716" s="3" t="s">
        <v>79361</v>
      </c>
      <c r="J15716" s="3" t="s">
        <v>79407</v>
      </c>
      <c r="K15716" s="3" t="s">
        <v>79408</v>
      </c>
      <c r="L15716" s="3" t="s">
        <v>79409</v>
      </c>
      <c r="M15716" s="4"/>
      <c r="N15716" s="3" t="s">
        <v>37</v>
      </c>
      <c r="O15716" s="3" t="s">
        <v>52</v>
      </c>
      <c r="P15716" s="5">
        <v>28</v>
      </c>
      <c r="Q15716" s="5">
        <v>788</v>
      </c>
      <c r="R15716" s="5">
        <v>27</v>
      </c>
      <c r="S15716" s="5">
        <v>770</v>
      </c>
    </row>
    <row r="15717" spans="1:19" ht="28" x14ac:dyDescent="0.15">
      <c r="A15717" s="2">
        <f>HYPERLINK("https://open-school.uspishnemisto.com.ua/school/740014/", 740014)</f>
        <v>740014</v>
      </c>
      <c r="B15717" s="3" t="s">
        <v>79410</v>
      </c>
      <c r="C15717" s="3" t="s">
        <v>31</v>
      </c>
      <c r="D15717" s="3" t="s">
        <v>32</v>
      </c>
      <c r="E15717" s="4" t="s">
        <v>22</v>
      </c>
      <c r="F15717" s="4" t="s">
        <v>79374</v>
      </c>
      <c r="G15717" s="4" t="s">
        <v>79359</v>
      </c>
      <c r="H15717" s="3" t="s">
        <v>79360</v>
      </c>
      <c r="I15717" s="3" t="s">
        <v>79361</v>
      </c>
      <c r="J15717" s="3" t="s">
        <v>79411</v>
      </c>
      <c r="K15717" s="3" t="s">
        <v>79412</v>
      </c>
      <c r="L15717" s="3"/>
      <c r="M15717" s="4"/>
      <c r="N15717" s="3" t="s">
        <v>37</v>
      </c>
      <c r="O15717" s="3" t="s">
        <v>38</v>
      </c>
      <c r="P15717" s="5">
        <v>13</v>
      </c>
      <c r="Q15717" s="5">
        <v>396</v>
      </c>
      <c r="R15717" s="5">
        <v>13</v>
      </c>
      <c r="S15717" s="5">
        <v>404</v>
      </c>
    </row>
    <row r="15718" spans="1:19" ht="28" x14ac:dyDescent="0.15">
      <c r="A15718" s="2">
        <f>HYPERLINK("https://open-school.uspishnemisto.com.ua/school/740015/", 740015)</f>
        <v>740015</v>
      </c>
      <c r="B15718" s="3" t="s">
        <v>79413</v>
      </c>
      <c r="C15718" s="3" t="s">
        <v>31</v>
      </c>
      <c r="D15718" s="3" t="s">
        <v>32</v>
      </c>
      <c r="E15718" s="4" t="s">
        <v>22</v>
      </c>
      <c r="F15718" s="4" t="s">
        <v>79414</v>
      </c>
      <c r="G15718" s="4" t="s">
        <v>79359</v>
      </c>
      <c r="H15718" s="3" t="s">
        <v>79360</v>
      </c>
      <c r="I15718" s="3" t="s">
        <v>79361</v>
      </c>
      <c r="J15718" s="3" t="s">
        <v>79415</v>
      </c>
      <c r="K15718" s="3" t="s">
        <v>79416</v>
      </c>
      <c r="L15718" s="3"/>
      <c r="M15718" s="4"/>
      <c r="N15718" s="3" t="s">
        <v>37</v>
      </c>
      <c r="O15718" s="3" t="s">
        <v>2740</v>
      </c>
      <c r="P15718" s="5">
        <v>20</v>
      </c>
      <c r="Q15718" s="5">
        <v>516</v>
      </c>
      <c r="R15718" s="5">
        <v>20</v>
      </c>
      <c r="S15718" s="5">
        <v>511</v>
      </c>
    </row>
    <row r="15719" spans="1:19" ht="28" x14ac:dyDescent="0.15">
      <c r="A15719" s="2">
        <f>HYPERLINK("https://open-school.uspishnemisto.com.ua/school/740016/", 740016)</f>
        <v>740016</v>
      </c>
      <c r="B15719" s="3" t="s">
        <v>79417</v>
      </c>
      <c r="C15719" s="3" t="s">
        <v>31</v>
      </c>
      <c r="D15719" s="3" t="s">
        <v>32</v>
      </c>
      <c r="E15719" s="4" t="s">
        <v>22</v>
      </c>
      <c r="F15719" s="4" t="s">
        <v>79369</v>
      </c>
      <c r="G15719" s="4" t="s">
        <v>79359</v>
      </c>
      <c r="H15719" s="3" t="s">
        <v>79360</v>
      </c>
      <c r="I15719" s="3" t="s">
        <v>79361</v>
      </c>
      <c r="J15719" s="3" t="s">
        <v>79418</v>
      </c>
      <c r="K15719" s="3" t="s">
        <v>79419</v>
      </c>
      <c r="L15719" s="3" t="s">
        <v>79420</v>
      </c>
      <c r="M15719" s="4"/>
      <c r="N15719" s="3" t="s">
        <v>37</v>
      </c>
      <c r="O15719" s="3" t="s">
        <v>38</v>
      </c>
      <c r="P15719" s="5">
        <v>40</v>
      </c>
      <c r="Q15719" s="5">
        <v>1198</v>
      </c>
      <c r="R15719" s="5">
        <v>40</v>
      </c>
      <c r="S15719" s="5">
        <v>1188</v>
      </c>
    </row>
    <row r="15720" spans="1:19" ht="42" x14ac:dyDescent="0.15">
      <c r="A15720" s="2">
        <f>HYPERLINK("https://open-school.uspishnemisto.com.ua/school/740017/", 740017)</f>
        <v>740017</v>
      </c>
      <c r="B15720" s="3" t="s">
        <v>79421</v>
      </c>
      <c r="C15720" s="3" t="s">
        <v>31</v>
      </c>
      <c r="D15720" s="3" t="s">
        <v>32</v>
      </c>
      <c r="E15720" s="4" t="s">
        <v>22</v>
      </c>
      <c r="F15720" s="4" t="s">
        <v>79358</v>
      </c>
      <c r="G15720" s="4" t="s">
        <v>79359</v>
      </c>
      <c r="H15720" s="3" t="s">
        <v>79360</v>
      </c>
      <c r="I15720" s="3" t="s">
        <v>79361</v>
      </c>
      <c r="J15720" s="3" t="s">
        <v>79422</v>
      </c>
      <c r="K15720" s="3" t="s">
        <v>79423</v>
      </c>
      <c r="L15720" s="3" t="s">
        <v>79424</v>
      </c>
      <c r="M15720" s="4"/>
      <c r="N15720" s="3" t="s">
        <v>37</v>
      </c>
      <c r="O15720" s="3" t="s">
        <v>38</v>
      </c>
      <c r="P15720" s="5">
        <v>43</v>
      </c>
      <c r="Q15720" s="5">
        <v>1346</v>
      </c>
      <c r="R15720" s="5">
        <v>40</v>
      </c>
      <c r="S15720" s="5">
        <v>1238</v>
      </c>
    </row>
    <row r="15721" spans="1:19" ht="28" x14ac:dyDescent="0.15">
      <c r="A15721" s="2">
        <f>HYPERLINK("https://open-school.uspishnemisto.com.ua/school/740018/", 740018)</f>
        <v>740018</v>
      </c>
      <c r="B15721" s="3" t="s">
        <v>79425</v>
      </c>
      <c r="C15721" s="3" t="s">
        <v>40</v>
      </c>
      <c r="D15721" s="3" t="s">
        <v>32</v>
      </c>
      <c r="E15721" s="4" t="s">
        <v>22</v>
      </c>
      <c r="F15721" s="4" t="s">
        <v>79426</v>
      </c>
      <c r="G15721" s="4" t="s">
        <v>79427</v>
      </c>
      <c r="H15721" s="3" t="s">
        <v>79360</v>
      </c>
      <c r="I15721" s="3" t="s">
        <v>79428</v>
      </c>
      <c r="J15721" s="3" t="s">
        <v>79429</v>
      </c>
      <c r="K15721" s="3" t="s">
        <v>79430</v>
      </c>
      <c r="L15721" s="3"/>
      <c r="M15721" s="4"/>
      <c r="N15721" s="3" t="s">
        <v>37</v>
      </c>
      <c r="O15721" s="3" t="s">
        <v>123</v>
      </c>
      <c r="P15721" s="5">
        <v>26</v>
      </c>
      <c r="Q15721" s="5">
        <v>772</v>
      </c>
      <c r="R15721" s="5">
        <v>25</v>
      </c>
      <c r="S15721" s="5">
        <v>738</v>
      </c>
    </row>
    <row r="15722" spans="1:19" ht="28" x14ac:dyDescent="0.15">
      <c r="A15722" s="2">
        <f>HYPERLINK("https://open-school.uspishnemisto.com.ua/school/740019/", 740019)</f>
        <v>740019</v>
      </c>
      <c r="B15722" s="3" t="s">
        <v>79431</v>
      </c>
      <c r="C15722" s="3" t="s">
        <v>244</v>
      </c>
      <c r="D15722" s="3" t="s">
        <v>32</v>
      </c>
      <c r="E15722" s="4" t="s">
        <v>22</v>
      </c>
      <c r="F15722" s="4" t="s">
        <v>79426</v>
      </c>
      <c r="G15722" s="4" t="s">
        <v>79427</v>
      </c>
      <c r="H15722" s="3" t="s">
        <v>79360</v>
      </c>
      <c r="I15722" s="3" t="s">
        <v>79428</v>
      </c>
      <c r="J15722" s="3" t="s">
        <v>79432</v>
      </c>
      <c r="K15722" s="3" t="s">
        <v>79433</v>
      </c>
      <c r="L15722" s="3" t="s">
        <v>79434</v>
      </c>
      <c r="M15722" s="4"/>
      <c r="N15722" s="3" t="s">
        <v>37</v>
      </c>
      <c r="O15722" s="3" t="s">
        <v>46</v>
      </c>
      <c r="P15722" s="5">
        <v>38</v>
      </c>
      <c r="Q15722" s="5">
        <v>1068</v>
      </c>
      <c r="R15722" s="5">
        <v>40</v>
      </c>
      <c r="S15722" s="5">
        <v>1081</v>
      </c>
    </row>
    <row r="15723" spans="1:19" ht="42" x14ac:dyDescent="0.15">
      <c r="A15723" s="2">
        <f>HYPERLINK("https://open-school.uspishnemisto.com.ua/school/740020/", 740020)</f>
        <v>740020</v>
      </c>
      <c r="B15723" s="3" t="s">
        <v>79435</v>
      </c>
      <c r="C15723" s="3" t="s">
        <v>54</v>
      </c>
      <c r="D15723" s="3" t="s">
        <v>32</v>
      </c>
      <c r="E15723" s="4" t="s">
        <v>22</v>
      </c>
      <c r="F15723" s="4" t="s">
        <v>79365</v>
      </c>
      <c r="G15723" s="4" t="s">
        <v>79427</v>
      </c>
      <c r="H15723" s="3" t="s">
        <v>79360</v>
      </c>
      <c r="I15723" s="3" t="s">
        <v>79428</v>
      </c>
      <c r="J15723" s="3" t="s">
        <v>79436</v>
      </c>
      <c r="K15723" s="3" t="s">
        <v>79437</v>
      </c>
      <c r="L15723" s="3"/>
      <c r="M15723" s="4"/>
      <c r="N15723" s="3" t="s">
        <v>37</v>
      </c>
      <c r="O15723" s="3" t="s">
        <v>70</v>
      </c>
      <c r="P15723" s="5">
        <v>9</v>
      </c>
      <c r="Q15723" s="5">
        <v>274</v>
      </c>
      <c r="R15723" s="5">
        <v>9</v>
      </c>
      <c r="S15723" s="5">
        <v>261</v>
      </c>
    </row>
    <row r="15724" spans="1:19" ht="28" x14ac:dyDescent="0.15">
      <c r="A15724" s="2">
        <f>HYPERLINK("https://open-school.uspishnemisto.com.ua/school/740021/", 740021)</f>
        <v>740021</v>
      </c>
      <c r="B15724" s="3" t="s">
        <v>79438</v>
      </c>
      <c r="C15724" s="3" t="s">
        <v>244</v>
      </c>
      <c r="D15724" s="3" t="s">
        <v>32</v>
      </c>
      <c r="E15724" s="4" t="s">
        <v>22</v>
      </c>
      <c r="F15724" s="4" t="s">
        <v>79439</v>
      </c>
      <c r="G15724" s="4" t="s">
        <v>79427</v>
      </c>
      <c r="H15724" s="3" t="s">
        <v>79360</v>
      </c>
      <c r="I15724" s="3" t="s">
        <v>79428</v>
      </c>
      <c r="J15724" s="3" t="s">
        <v>79440</v>
      </c>
      <c r="K15724" s="3" t="s">
        <v>79441</v>
      </c>
      <c r="L15724" s="3"/>
      <c r="M15724" s="4"/>
      <c r="N15724" s="3" t="s">
        <v>37</v>
      </c>
      <c r="O15724" s="3" t="s">
        <v>123</v>
      </c>
      <c r="P15724" s="5">
        <v>42</v>
      </c>
      <c r="Q15724" s="5">
        <v>1426</v>
      </c>
      <c r="R15724" s="5">
        <v>41</v>
      </c>
      <c r="S15724" s="5">
        <v>1413</v>
      </c>
    </row>
    <row r="15725" spans="1:19" ht="42" x14ac:dyDescent="0.15">
      <c r="A15725" s="2">
        <f>HYPERLINK("https://open-school.uspishnemisto.com.ua/school/740022/", 740022)</f>
        <v>740022</v>
      </c>
      <c r="B15725" s="3" t="s">
        <v>79442</v>
      </c>
      <c r="C15725" s="3" t="s">
        <v>244</v>
      </c>
      <c r="D15725" s="3" t="s">
        <v>60</v>
      </c>
      <c r="E15725" s="4" t="s">
        <v>22</v>
      </c>
      <c r="F15725" s="4" t="s">
        <v>79391</v>
      </c>
      <c r="G15725" s="4" t="s">
        <v>79427</v>
      </c>
      <c r="H15725" s="3" t="s">
        <v>79360</v>
      </c>
      <c r="I15725" s="3" t="s">
        <v>79428</v>
      </c>
      <c r="J15725" s="3" t="s">
        <v>79443</v>
      </c>
      <c r="K15725" s="3" t="s">
        <v>79444</v>
      </c>
      <c r="L15725" s="3"/>
      <c r="M15725" s="4"/>
      <c r="N15725" s="3" t="s">
        <v>37</v>
      </c>
      <c r="O15725" s="3" t="s">
        <v>52</v>
      </c>
      <c r="P15725" s="5">
        <v>8</v>
      </c>
      <c r="Q15725" s="5">
        <v>240</v>
      </c>
      <c r="R15725" s="5">
        <v>8</v>
      </c>
      <c r="S15725" s="5">
        <v>245</v>
      </c>
    </row>
    <row r="15726" spans="1:19" ht="28" x14ac:dyDescent="0.15">
      <c r="A15726" s="2">
        <f>HYPERLINK("https://open-school.uspishnemisto.com.ua/school/740023/", 740023)</f>
        <v>740023</v>
      </c>
      <c r="B15726" s="3" t="s">
        <v>79445</v>
      </c>
      <c r="C15726" s="3" t="s">
        <v>31</v>
      </c>
      <c r="D15726" s="3" t="s">
        <v>60</v>
      </c>
      <c r="E15726" s="4" t="s">
        <v>22</v>
      </c>
      <c r="F15726" s="4" t="s">
        <v>79426</v>
      </c>
      <c r="G15726" s="4" t="s">
        <v>79427</v>
      </c>
      <c r="H15726" s="3" t="s">
        <v>79360</v>
      </c>
      <c r="I15726" s="3" t="s">
        <v>79428</v>
      </c>
      <c r="J15726" s="3" t="s">
        <v>79429</v>
      </c>
      <c r="K15726" s="3" t="s">
        <v>79446</v>
      </c>
      <c r="L15726" s="3"/>
      <c r="M15726" s="4"/>
      <c r="N15726" s="3" t="s">
        <v>37</v>
      </c>
      <c r="O15726" s="3" t="s">
        <v>52</v>
      </c>
      <c r="P15726" s="5">
        <v>18</v>
      </c>
      <c r="Q15726" s="5">
        <v>586</v>
      </c>
      <c r="R15726" s="5">
        <v>18</v>
      </c>
      <c r="S15726" s="5">
        <v>565</v>
      </c>
    </row>
    <row r="15727" spans="1:19" ht="42" x14ac:dyDescent="0.15">
      <c r="A15727" s="2">
        <f>HYPERLINK("https://open-school.uspishnemisto.com.ua/school/740024/", 740024)</f>
        <v>740024</v>
      </c>
      <c r="B15727" s="3" t="s">
        <v>79447</v>
      </c>
      <c r="C15727" s="3" t="s">
        <v>31</v>
      </c>
      <c r="D15727" s="3" t="s">
        <v>32</v>
      </c>
      <c r="E15727" s="4" t="s">
        <v>22</v>
      </c>
      <c r="F15727" s="4" t="s">
        <v>79369</v>
      </c>
      <c r="G15727" s="4" t="s">
        <v>79427</v>
      </c>
      <c r="H15727" s="3" t="s">
        <v>79360</v>
      </c>
      <c r="I15727" s="3" t="s">
        <v>79428</v>
      </c>
      <c r="J15727" s="3" t="s">
        <v>79448</v>
      </c>
      <c r="K15727" s="3" t="s">
        <v>79449</v>
      </c>
      <c r="L15727" s="3" t="s">
        <v>79450</v>
      </c>
      <c r="M15727" s="4"/>
      <c r="N15727" s="3" t="s">
        <v>37</v>
      </c>
      <c r="O15727" s="3" t="s">
        <v>46</v>
      </c>
      <c r="P15727" s="5">
        <v>13</v>
      </c>
      <c r="Q15727" s="5">
        <v>351</v>
      </c>
      <c r="R15727" s="5">
        <v>12</v>
      </c>
      <c r="S15727" s="5">
        <v>356</v>
      </c>
    </row>
    <row r="15728" spans="1:19" ht="28" x14ac:dyDescent="0.15">
      <c r="A15728" s="2">
        <f>HYPERLINK("https://open-school.uspishnemisto.com.ua/school/740025/", 740025)</f>
        <v>740025</v>
      </c>
      <c r="B15728" s="3" t="s">
        <v>79451</v>
      </c>
      <c r="C15728" s="3" t="s">
        <v>31</v>
      </c>
      <c r="D15728" s="3" t="s">
        <v>32</v>
      </c>
      <c r="E15728" s="4" t="s">
        <v>22</v>
      </c>
      <c r="F15728" s="4" t="s">
        <v>79439</v>
      </c>
      <c r="G15728" s="4" t="s">
        <v>79427</v>
      </c>
      <c r="H15728" s="3" t="s">
        <v>79360</v>
      </c>
      <c r="I15728" s="3" t="s">
        <v>79428</v>
      </c>
      <c r="J15728" s="3" t="s">
        <v>79452</v>
      </c>
      <c r="K15728" s="3" t="s">
        <v>79453</v>
      </c>
      <c r="L15728" s="3"/>
      <c r="M15728" s="4"/>
      <c r="N15728" s="3" t="s">
        <v>37</v>
      </c>
      <c r="O15728" s="3" t="s">
        <v>70</v>
      </c>
      <c r="P15728" s="5">
        <v>42</v>
      </c>
      <c r="Q15728" s="5">
        <v>1273</v>
      </c>
      <c r="R15728" s="5">
        <v>40</v>
      </c>
      <c r="S15728" s="5">
        <v>1234</v>
      </c>
    </row>
    <row r="15729" spans="1:19" ht="56" x14ac:dyDescent="0.15">
      <c r="A15729" s="2">
        <f>HYPERLINK("https://open-school.uspishnemisto.com.ua/school/740026/", 740026)</f>
        <v>740026</v>
      </c>
      <c r="B15729" s="3" t="s">
        <v>79454</v>
      </c>
      <c r="C15729" s="3" t="s">
        <v>31</v>
      </c>
      <c r="D15729" s="3" t="s">
        <v>32</v>
      </c>
      <c r="E15729" s="4" t="s">
        <v>22</v>
      </c>
      <c r="F15729" s="4" t="s">
        <v>79391</v>
      </c>
      <c r="G15729" s="4" t="s">
        <v>79427</v>
      </c>
      <c r="H15729" s="3" t="s">
        <v>79360</v>
      </c>
      <c r="I15729" s="3" t="s">
        <v>79428</v>
      </c>
      <c r="J15729" s="3" t="s">
        <v>79455</v>
      </c>
      <c r="K15729" s="3" t="s">
        <v>79456</v>
      </c>
      <c r="L15729" s="3" t="s">
        <v>79457</v>
      </c>
      <c r="M15729" s="4"/>
      <c r="N15729" s="3" t="s">
        <v>37</v>
      </c>
      <c r="O15729" s="3" t="s">
        <v>38</v>
      </c>
      <c r="P15729" s="5">
        <v>29</v>
      </c>
      <c r="Q15729" s="5">
        <v>794</v>
      </c>
      <c r="R15729" s="5">
        <v>28</v>
      </c>
      <c r="S15729" s="5">
        <v>790</v>
      </c>
    </row>
    <row r="15730" spans="1:19" ht="28" x14ac:dyDescent="0.15">
      <c r="A15730" s="2">
        <f>HYPERLINK("https://open-school.uspishnemisto.com.ua/school/740027/", 740027)</f>
        <v>740027</v>
      </c>
      <c r="B15730" s="3" t="s">
        <v>79458</v>
      </c>
      <c r="C15730" s="3" t="s">
        <v>2128</v>
      </c>
      <c r="D15730" s="3" t="s">
        <v>32</v>
      </c>
      <c r="E15730" s="4" t="s">
        <v>22</v>
      </c>
      <c r="F15730" s="4" t="s">
        <v>79459</v>
      </c>
      <c r="G15730" s="4" t="s">
        <v>79427</v>
      </c>
      <c r="H15730" s="3" t="s">
        <v>79360</v>
      </c>
      <c r="I15730" s="3" t="s">
        <v>79428</v>
      </c>
      <c r="J15730" s="3" t="s">
        <v>79460</v>
      </c>
      <c r="K15730" s="3" t="s">
        <v>79461</v>
      </c>
      <c r="L15730" s="3" t="s">
        <v>79462</v>
      </c>
      <c r="M15730" s="4" t="s">
        <v>79463</v>
      </c>
      <c r="N15730" s="3" t="s">
        <v>37</v>
      </c>
      <c r="O15730" s="3" t="s">
        <v>197</v>
      </c>
      <c r="P15730" s="5">
        <v>51</v>
      </c>
      <c r="Q15730" s="5">
        <v>1651</v>
      </c>
      <c r="R15730" s="5">
        <v>48</v>
      </c>
      <c r="S15730" s="5">
        <v>1566</v>
      </c>
    </row>
    <row r="15731" spans="1:19" ht="42" x14ac:dyDescent="0.15">
      <c r="A15731" s="2">
        <f>HYPERLINK("https://open-school.uspishnemisto.com.ua/school/740028/", 740028)</f>
        <v>740028</v>
      </c>
      <c r="B15731" s="3" t="s">
        <v>79464</v>
      </c>
      <c r="C15731" s="3" t="s">
        <v>188</v>
      </c>
      <c r="D15731" s="3" t="s">
        <v>32</v>
      </c>
      <c r="E15731" s="4" t="s">
        <v>22</v>
      </c>
      <c r="F15731" s="4" t="s">
        <v>79365</v>
      </c>
      <c r="G15731" s="4" t="s">
        <v>79427</v>
      </c>
      <c r="H15731" s="3" t="s">
        <v>79360</v>
      </c>
      <c r="I15731" s="3" t="s">
        <v>79428</v>
      </c>
      <c r="J15731" s="3" t="s">
        <v>79465</v>
      </c>
      <c r="K15731" s="3" t="s">
        <v>79466</v>
      </c>
      <c r="L15731" s="3"/>
      <c r="M15731" s="4"/>
      <c r="N15731" s="3" t="s">
        <v>37</v>
      </c>
      <c r="O15731" s="3" t="s">
        <v>46</v>
      </c>
      <c r="P15731" s="5">
        <v>34</v>
      </c>
      <c r="Q15731" s="5">
        <v>1065</v>
      </c>
      <c r="R15731" s="5">
        <v>32</v>
      </c>
      <c r="S15731" s="5">
        <v>1002</v>
      </c>
    </row>
    <row r="15732" spans="1:19" ht="42" x14ac:dyDescent="0.15">
      <c r="A15732" s="2">
        <f>HYPERLINK("https://open-school.uspishnemisto.com.ua/school/740029/", 740029)</f>
        <v>740029</v>
      </c>
      <c r="B15732" s="3" t="s">
        <v>79467</v>
      </c>
      <c r="C15732" s="3" t="s">
        <v>48</v>
      </c>
      <c r="D15732" s="3" t="s">
        <v>32</v>
      </c>
      <c r="E15732" s="4" t="s">
        <v>22</v>
      </c>
      <c r="F15732" s="4" t="s">
        <v>79459</v>
      </c>
      <c r="G15732" s="4" t="s">
        <v>79427</v>
      </c>
      <c r="H15732" s="3" t="s">
        <v>79360</v>
      </c>
      <c r="I15732" s="3" t="s">
        <v>79428</v>
      </c>
      <c r="J15732" s="3" t="s">
        <v>79468</v>
      </c>
      <c r="K15732" s="3" t="s">
        <v>79469</v>
      </c>
      <c r="L15732" s="3"/>
      <c r="M15732" s="4" t="s">
        <v>79470</v>
      </c>
      <c r="N15732" s="3" t="s">
        <v>37</v>
      </c>
      <c r="O15732" s="3" t="s">
        <v>52</v>
      </c>
      <c r="P15732" s="5">
        <v>11</v>
      </c>
      <c r="Q15732" s="5">
        <v>334</v>
      </c>
      <c r="R15732" s="5">
        <v>11</v>
      </c>
      <c r="S15732" s="5">
        <v>326</v>
      </c>
    </row>
    <row r="15733" spans="1:19" ht="28" x14ac:dyDescent="0.15">
      <c r="A15733" s="2">
        <f>HYPERLINK("https://open-school.uspishnemisto.com.ua/school/740001/", 740001)</f>
        <v>740001</v>
      </c>
      <c r="B15733" s="3" t="s">
        <v>79471</v>
      </c>
      <c r="C15733" s="3" t="s">
        <v>293</v>
      </c>
      <c r="D15733" s="3" t="s">
        <v>32</v>
      </c>
      <c r="E15733" s="4" t="s">
        <v>22</v>
      </c>
      <c r="F15733" s="4" t="s">
        <v>79472</v>
      </c>
      <c r="G15733" s="4" t="s">
        <v>79473</v>
      </c>
      <c r="H15733" s="3" t="s">
        <v>79360</v>
      </c>
      <c r="I15733" s="3" t="s">
        <v>79474</v>
      </c>
      <c r="J15733" s="3" t="s">
        <v>19192</v>
      </c>
      <c r="K15733" s="3" t="s">
        <v>79475</v>
      </c>
      <c r="L15733" s="3"/>
      <c r="M15733" s="4" t="s">
        <v>79476</v>
      </c>
      <c r="N15733" s="3" t="s">
        <v>37</v>
      </c>
      <c r="O15733" s="3" t="s">
        <v>46</v>
      </c>
      <c r="P15733" s="5">
        <v>12</v>
      </c>
      <c r="Q15733" s="5">
        <v>199</v>
      </c>
      <c r="R15733" s="5">
        <v>14</v>
      </c>
      <c r="S15733" s="5">
        <v>225</v>
      </c>
    </row>
    <row r="15734" spans="1:19" ht="28" x14ac:dyDescent="0.15">
      <c r="A15734" s="2">
        <f>HYPERLINK("https://open-school.uspishnemisto.com.ua/school/740031/", 740031)</f>
        <v>740031</v>
      </c>
      <c r="B15734" s="3" t="s">
        <v>79477</v>
      </c>
      <c r="C15734" s="3" t="s">
        <v>31</v>
      </c>
      <c r="D15734" s="3" t="s">
        <v>32</v>
      </c>
      <c r="E15734" s="4" t="s">
        <v>22</v>
      </c>
      <c r="F15734" s="4" t="s">
        <v>79472</v>
      </c>
      <c r="G15734" s="4" t="s">
        <v>79473</v>
      </c>
      <c r="H15734" s="3" t="s">
        <v>79360</v>
      </c>
      <c r="I15734" s="3" t="s">
        <v>79474</v>
      </c>
      <c r="J15734" s="3" t="s">
        <v>79478</v>
      </c>
      <c r="K15734" s="3" t="s">
        <v>79479</v>
      </c>
      <c r="L15734" s="3"/>
      <c r="M15734" s="4"/>
      <c r="N15734" s="3" t="s">
        <v>37</v>
      </c>
      <c r="O15734" s="3" t="s">
        <v>52</v>
      </c>
      <c r="P15734" s="5">
        <v>24</v>
      </c>
      <c r="Q15734" s="5">
        <v>681</v>
      </c>
      <c r="R15734" s="5">
        <v>22</v>
      </c>
      <c r="S15734" s="5">
        <v>620</v>
      </c>
    </row>
    <row r="15735" spans="1:19" ht="42" x14ac:dyDescent="0.15">
      <c r="A15735" s="2">
        <f>HYPERLINK("https://open-school.uspishnemisto.com.ua/school/740032/", 740032)</f>
        <v>740032</v>
      </c>
      <c r="B15735" s="3" t="s">
        <v>79480</v>
      </c>
      <c r="C15735" s="3" t="s">
        <v>20</v>
      </c>
      <c r="D15735" s="3" t="s">
        <v>21</v>
      </c>
      <c r="E15735" s="4" t="s">
        <v>22</v>
      </c>
      <c r="F15735" s="4" t="s">
        <v>79472</v>
      </c>
      <c r="G15735" s="4" t="s">
        <v>79473</v>
      </c>
      <c r="H15735" s="3" t="s">
        <v>79360</v>
      </c>
      <c r="I15735" s="3" t="s">
        <v>79474</v>
      </c>
      <c r="J15735" s="3" t="s">
        <v>1729</v>
      </c>
      <c r="K15735" s="3" t="s">
        <v>79481</v>
      </c>
      <c r="L15735" s="3"/>
      <c r="M15735" s="4"/>
      <c r="N15735" s="3"/>
      <c r="O15735" s="3"/>
      <c r="P15735" s="5">
        <v>0</v>
      </c>
      <c r="Q15735" s="5">
        <v>0</v>
      </c>
      <c r="R15735" s="5"/>
      <c r="S15735" s="5"/>
    </row>
    <row r="15736" spans="1:19" ht="28" x14ac:dyDescent="0.15">
      <c r="A15736" s="2">
        <f>HYPERLINK("https://open-school.uspishnemisto.com.ua/school/740033/", 740033)</f>
        <v>740033</v>
      </c>
      <c r="B15736" s="3" t="s">
        <v>79482</v>
      </c>
      <c r="C15736" s="3" t="s">
        <v>188</v>
      </c>
      <c r="D15736" s="3" t="s">
        <v>32</v>
      </c>
      <c r="E15736" s="4" t="s">
        <v>22</v>
      </c>
      <c r="F15736" s="4" t="s">
        <v>79483</v>
      </c>
      <c r="G15736" s="4" t="s">
        <v>79473</v>
      </c>
      <c r="H15736" s="3" t="s">
        <v>79360</v>
      </c>
      <c r="I15736" s="3" t="s">
        <v>79474</v>
      </c>
      <c r="J15736" s="3" t="s">
        <v>79484</v>
      </c>
      <c r="K15736" s="3" t="s">
        <v>79485</v>
      </c>
      <c r="L15736" s="3" t="s">
        <v>79486</v>
      </c>
      <c r="M15736" s="4"/>
      <c r="N15736" s="3" t="s">
        <v>37</v>
      </c>
      <c r="O15736" s="3" t="s">
        <v>52</v>
      </c>
      <c r="P15736" s="5">
        <v>45</v>
      </c>
      <c r="Q15736" s="5">
        <v>1393</v>
      </c>
      <c r="R15736" s="5">
        <v>45</v>
      </c>
      <c r="S15736" s="5">
        <v>1379</v>
      </c>
    </row>
    <row r="15737" spans="1:19" ht="56" x14ac:dyDescent="0.15">
      <c r="A15737" s="2">
        <f>HYPERLINK("https://open-school.uspishnemisto.com.ua/school/740034/", 740034)</f>
        <v>740034</v>
      </c>
      <c r="B15737" s="3" t="s">
        <v>79487</v>
      </c>
      <c r="C15737" s="3" t="s">
        <v>31</v>
      </c>
      <c r="D15737" s="3" t="s">
        <v>32</v>
      </c>
      <c r="E15737" s="4" t="s">
        <v>22</v>
      </c>
      <c r="F15737" s="4" t="s">
        <v>79414</v>
      </c>
      <c r="G15737" s="4" t="s">
        <v>79473</v>
      </c>
      <c r="H15737" s="3" t="s">
        <v>79360</v>
      </c>
      <c r="I15737" s="3" t="s">
        <v>79474</v>
      </c>
      <c r="J15737" s="3" t="s">
        <v>79488</v>
      </c>
      <c r="K15737" s="3" t="s">
        <v>79489</v>
      </c>
      <c r="L15737" s="3"/>
      <c r="M15737" s="4"/>
      <c r="N15737" s="3" t="s">
        <v>37</v>
      </c>
      <c r="O15737" s="3" t="s">
        <v>38</v>
      </c>
      <c r="P15737" s="5">
        <v>31</v>
      </c>
      <c r="Q15737" s="5">
        <v>961</v>
      </c>
      <c r="R15737" s="5">
        <v>31</v>
      </c>
      <c r="S15737" s="5">
        <v>944</v>
      </c>
    </row>
    <row r="15738" spans="1:19" ht="28" x14ac:dyDescent="0.15">
      <c r="A15738" s="2">
        <f>HYPERLINK("https://open-school.uspishnemisto.com.ua/school/740035/", 740035)</f>
        <v>740035</v>
      </c>
      <c r="B15738" s="3" t="s">
        <v>79490</v>
      </c>
      <c r="C15738" s="3" t="s">
        <v>31</v>
      </c>
      <c r="D15738" s="3" t="s">
        <v>32</v>
      </c>
      <c r="E15738" s="4" t="s">
        <v>22</v>
      </c>
      <c r="F15738" s="4" t="s">
        <v>79491</v>
      </c>
      <c r="G15738" s="4" t="s">
        <v>79473</v>
      </c>
      <c r="H15738" s="3" t="s">
        <v>79360</v>
      </c>
      <c r="I15738" s="3" t="s">
        <v>79474</v>
      </c>
      <c r="J15738" s="3" t="s">
        <v>79492</v>
      </c>
      <c r="K15738" s="3" t="s">
        <v>79493</v>
      </c>
      <c r="L15738" s="3"/>
      <c r="M15738" s="4"/>
      <c r="N15738" s="3" t="s">
        <v>37</v>
      </c>
      <c r="O15738" s="3" t="s">
        <v>38</v>
      </c>
      <c r="P15738" s="5">
        <v>10</v>
      </c>
      <c r="Q15738" s="5">
        <v>271</v>
      </c>
      <c r="R15738" s="5">
        <v>10</v>
      </c>
      <c r="S15738" s="5">
        <v>265</v>
      </c>
    </row>
    <row r="15739" spans="1:19" ht="28" x14ac:dyDescent="0.15">
      <c r="A15739" s="2">
        <f>HYPERLINK("https://open-school.uspishnemisto.com.ua/school/740036/", 740036)</f>
        <v>740036</v>
      </c>
      <c r="B15739" s="3" t="s">
        <v>79494</v>
      </c>
      <c r="C15739" s="3" t="s">
        <v>31</v>
      </c>
      <c r="D15739" s="3" t="s">
        <v>32</v>
      </c>
      <c r="E15739" s="4" t="s">
        <v>22</v>
      </c>
      <c r="F15739" s="4" t="s">
        <v>79439</v>
      </c>
      <c r="G15739" s="4" t="s">
        <v>79473</v>
      </c>
      <c r="H15739" s="3" t="s">
        <v>79360</v>
      </c>
      <c r="I15739" s="3" t="s">
        <v>79474</v>
      </c>
      <c r="J15739" s="3" t="s">
        <v>79495</v>
      </c>
      <c r="K15739" s="3" t="s">
        <v>79496</v>
      </c>
      <c r="L15739" s="3"/>
      <c r="M15739" s="4"/>
      <c r="N15739" s="3" t="s">
        <v>37</v>
      </c>
      <c r="O15739" s="3" t="s">
        <v>46</v>
      </c>
      <c r="P15739" s="5">
        <v>12</v>
      </c>
      <c r="Q15739" s="5">
        <v>347</v>
      </c>
      <c r="R15739" s="5">
        <v>12</v>
      </c>
      <c r="S15739" s="5">
        <v>352</v>
      </c>
    </row>
    <row r="15740" spans="1:19" ht="28" x14ac:dyDescent="0.15">
      <c r="A15740" s="2">
        <f>HYPERLINK("https://open-school.uspishnemisto.com.ua/school/740037/", 740037)</f>
        <v>740037</v>
      </c>
      <c r="B15740" s="3" t="s">
        <v>79497</v>
      </c>
      <c r="C15740" s="3" t="s">
        <v>31</v>
      </c>
      <c r="D15740" s="3" t="s">
        <v>32</v>
      </c>
      <c r="E15740" s="4" t="s">
        <v>22</v>
      </c>
      <c r="F15740" s="4" t="s">
        <v>79472</v>
      </c>
      <c r="G15740" s="4" t="s">
        <v>79473</v>
      </c>
      <c r="H15740" s="3" t="s">
        <v>79360</v>
      </c>
      <c r="I15740" s="3" t="s">
        <v>79474</v>
      </c>
      <c r="J15740" s="3" t="s">
        <v>1729</v>
      </c>
      <c r="K15740" s="3" t="s">
        <v>79498</v>
      </c>
      <c r="L15740" s="3"/>
      <c r="M15740" s="4"/>
      <c r="N15740" s="3" t="s">
        <v>37</v>
      </c>
      <c r="O15740" s="3" t="s">
        <v>70</v>
      </c>
      <c r="P15740" s="5">
        <v>17</v>
      </c>
      <c r="Q15740" s="5">
        <v>428</v>
      </c>
      <c r="R15740" s="5">
        <v>17</v>
      </c>
      <c r="S15740" s="5">
        <v>415</v>
      </c>
    </row>
    <row r="15741" spans="1:19" ht="28" x14ac:dyDescent="0.15">
      <c r="A15741" s="2">
        <f>HYPERLINK("https://open-school.uspishnemisto.com.ua/school/740038/", 740038)</f>
        <v>740038</v>
      </c>
      <c r="B15741" s="3" t="s">
        <v>79499</v>
      </c>
      <c r="C15741" s="3" t="s">
        <v>31</v>
      </c>
      <c r="D15741" s="3" t="s">
        <v>32</v>
      </c>
      <c r="E15741" s="4" t="s">
        <v>22</v>
      </c>
      <c r="F15741" s="4" t="s">
        <v>79403</v>
      </c>
      <c r="G15741" s="4" t="s">
        <v>79473</v>
      </c>
      <c r="H15741" s="3" t="s">
        <v>79360</v>
      </c>
      <c r="I15741" s="3" t="s">
        <v>79474</v>
      </c>
      <c r="J15741" s="3" t="s">
        <v>79500</v>
      </c>
      <c r="K15741" s="3" t="s">
        <v>79501</v>
      </c>
      <c r="L15741" s="3"/>
      <c r="M15741" s="4"/>
      <c r="N15741" s="3" t="s">
        <v>37</v>
      </c>
      <c r="O15741" s="3" t="s">
        <v>721</v>
      </c>
      <c r="P15741" s="5">
        <v>10</v>
      </c>
      <c r="Q15741" s="5">
        <v>244</v>
      </c>
      <c r="R15741" s="5">
        <v>10</v>
      </c>
      <c r="S15741" s="5">
        <v>235</v>
      </c>
    </row>
    <row r="15742" spans="1:19" ht="28" x14ac:dyDescent="0.15">
      <c r="A15742" s="2">
        <f>HYPERLINK("https://open-school.uspishnemisto.com.ua/school/740039/", 740039)</f>
        <v>740039</v>
      </c>
      <c r="B15742" s="3" t="s">
        <v>79502</v>
      </c>
      <c r="C15742" s="3" t="s">
        <v>31</v>
      </c>
      <c r="D15742" s="3" t="s">
        <v>32</v>
      </c>
      <c r="E15742" s="4" t="s">
        <v>22</v>
      </c>
      <c r="F15742" s="4" t="s">
        <v>79439</v>
      </c>
      <c r="G15742" s="4" t="s">
        <v>79473</v>
      </c>
      <c r="H15742" s="3" t="s">
        <v>79360</v>
      </c>
      <c r="I15742" s="3" t="s">
        <v>79474</v>
      </c>
      <c r="J15742" s="3" t="s">
        <v>39104</v>
      </c>
      <c r="K15742" s="3" t="s">
        <v>79503</v>
      </c>
      <c r="L15742" s="3" t="s">
        <v>79504</v>
      </c>
      <c r="M15742" s="4"/>
      <c r="N15742" s="3" t="s">
        <v>37</v>
      </c>
      <c r="O15742" s="3" t="s">
        <v>721</v>
      </c>
      <c r="P15742" s="5">
        <v>26</v>
      </c>
      <c r="Q15742" s="5">
        <v>818</v>
      </c>
      <c r="R15742" s="5">
        <v>25</v>
      </c>
      <c r="S15742" s="5">
        <v>780</v>
      </c>
    </row>
    <row r="15743" spans="1:19" ht="28" x14ac:dyDescent="0.15">
      <c r="A15743" s="2">
        <f>HYPERLINK("https://open-school.uspishnemisto.com.ua/school/740040/", 740040)</f>
        <v>740040</v>
      </c>
      <c r="B15743" s="3" t="s">
        <v>79505</v>
      </c>
      <c r="C15743" s="3" t="s">
        <v>31</v>
      </c>
      <c r="D15743" s="3" t="s">
        <v>32</v>
      </c>
      <c r="E15743" s="4" t="s">
        <v>22</v>
      </c>
      <c r="F15743" s="4" t="s">
        <v>79506</v>
      </c>
      <c r="G15743" s="4" t="s">
        <v>79473</v>
      </c>
      <c r="H15743" s="3" t="s">
        <v>79360</v>
      </c>
      <c r="I15743" s="3" t="s">
        <v>79474</v>
      </c>
      <c r="J15743" s="3" t="s">
        <v>79507</v>
      </c>
      <c r="K15743" s="3" t="s">
        <v>79508</v>
      </c>
      <c r="L15743" s="3"/>
      <c r="M15743" s="4"/>
      <c r="N15743" s="3" t="s">
        <v>37</v>
      </c>
      <c r="O15743" s="3" t="s">
        <v>38</v>
      </c>
      <c r="P15743" s="5">
        <v>21</v>
      </c>
      <c r="Q15743" s="5">
        <v>556</v>
      </c>
      <c r="R15743" s="5">
        <v>20</v>
      </c>
      <c r="S15743" s="5">
        <v>537</v>
      </c>
    </row>
    <row r="15744" spans="1:19" ht="28" x14ac:dyDescent="0.15">
      <c r="A15744" s="2">
        <f>HYPERLINK("https://open-school.uspishnemisto.com.ua/school/740041/", 740041)</f>
        <v>740041</v>
      </c>
      <c r="B15744" s="3" t="s">
        <v>79509</v>
      </c>
      <c r="C15744" s="3" t="s">
        <v>188</v>
      </c>
      <c r="D15744" s="3" t="s">
        <v>32</v>
      </c>
      <c r="E15744" s="4" t="s">
        <v>22</v>
      </c>
      <c r="F15744" s="4" t="s">
        <v>79358</v>
      </c>
      <c r="G15744" s="4" t="s">
        <v>79473</v>
      </c>
      <c r="H15744" s="3" t="s">
        <v>79360</v>
      </c>
      <c r="I15744" s="3" t="s">
        <v>79474</v>
      </c>
      <c r="J15744" s="3" t="s">
        <v>79510</v>
      </c>
      <c r="K15744" s="3" t="s">
        <v>79511</v>
      </c>
      <c r="L15744" s="3" t="s">
        <v>79512</v>
      </c>
      <c r="M15744" s="4"/>
      <c r="N15744" s="3" t="s">
        <v>37</v>
      </c>
      <c r="O15744" s="3" t="s">
        <v>123</v>
      </c>
      <c r="P15744" s="5">
        <v>41</v>
      </c>
      <c r="Q15744" s="5">
        <v>1201</v>
      </c>
      <c r="R15744" s="5">
        <v>39</v>
      </c>
      <c r="S15744" s="5">
        <v>1170</v>
      </c>
    </row>
    <row r="15745" spans="1:19" ht="28" x14ac:dyDescent="0.15">
      <c r="A15745" s="2">
        <f>HYPERLINK("https://open-school.uspishnemisto.com.ua/school/740043/", 740043)</f>
        <v>740043</v>
      </c>
      <c r="B15745" s="3" t="s">
        <v>79513</v>
      </c>
      <c r="C15745" s="3" t="s">
        <v>48</v>
      </c>
      <c r="D15745" s="3" t="s">
        <v>32</v>
      </c>
      <c r="E15745" s="4" t="s">
        <v>22</v>
      </c>
      <c r="F15745" s="4" t="s">
        <v>79439</v>
      </c>
      <c r="G15745" s="4" t="s">
        <v>79473</v>
      </c>
      <c r="H15745" s="3" t="s">
        <v>79360</v>
      </c>
      <c r="I15745" s="3" t="s">
        <v>79474</v>
      </c>
      <c r="J15745" s="3" t="s">
        <v>79514</v>
      </c>
      <c r="K15745" s="3" t="s">
        <v>79515</v>
      </c>
      <c r="L15745" s="3"/>
      <c r="M15745" s="4" t="s">
        <v>79516</v>
      </c>
      <c r="N15745" s="3" t="s">
        <v>37</v>
      </c>
      <c r="O15745" s="3" t="s">
        <v>46</v>
      </c>
      <c r="P15745" s="5">
        <v>6</v>
      </c>
      <c r="Q15745" s="5">
        <v>176</v>
      </c>
      <c r="R15745" s="5">
        <v>6</v>
      </c>
      <c r="S15745" s="5">
        <v>179</v>
      </c>
    </row>
    <row r="15746" spans="1:19" ht="56" x14ac:dyDescent="0.15">
      <c r="A15746" s="2">
        <f>HYPERLINK("https://open-school.uspishnemisto.com.ua/school/740044/", 740044)</f>
        <v>740044</v>
      </c>
      <c r="B15746" s="3" t="s">
        <v>79517</v>
      </c>
      <c r="C15746" s="3" t="s">
        <v>54</v>
      </c>
      <c r="D15746" s="3" t="s">
        <v>32</v>
      </c>
      <c r="E15746" s="4" t="s">
        <v>22</v>
      </c>
      <c r="F15746" s="4" t="s">
        <v>79518</v>
      </c>
      <c r="G15746" s="4" t="s">
        <v>79519</v>
      </c>
      <c r="H15746" s="3" t="s">
        <v>79360</v>
      </c>
      <c r="I15746" s="3" t="s">
        <v>79520</v>
      </c>
      <c r="J15746" s="3" t="s">
        <v>79521</v>
      </c>
      <c r="K15746" s="3" t="s">
        <v>79522</v>
      </c>
      <c r="L15746" s="3" t="s">
        <v>79523</v>
      </c>
      <c r="M15746" s="4"/>
      <c r="N15746" s="3" t="s">
        <v>37</v>
      </c>
      <c r="O15746" s="3" t="s">
        <v>2776</v>
      </c>
      <c r="P15746" s="5">
        <v>19</v>
      </c>
      <c r="Q15746" s="5">
        <v>490</v>
      </c>
      <c r="R15746" s="5">
        <v>19</v>
      </c>
      <c r="S15746" s="5">
        <v>474</v>
      </c>
    </row>
    <row r="15747" spans="1:19" ht="28" x14ac:dyDescent="0.15">
      <c r="A15747" s="2">
        <f>HYPERLINK("https://open-school.uspishnemisto.com.ua/school/740045/", 740045)</f>
        <v>740045</v>
      </c>
      <c r="B15747" s="3" t="s">
        <v>79524</v>
      </c>
      <c r="C15747" s="3" t="s">
        <v>40</v>
      </c>
      <c r="D15747" s="3" t="s">
        <v>32</v>
      </c>
      <c r="E15747" s="4" t="s">
        <v>22</v>
      </c>
      <c r="F15747" s="4" t="s">
        <v>79518</v>
      </c>
      <c r="G15747" s="4" t="s">
        <v>79519</v>
      </c>
      <c r="H15747" s="3" t="s">
        <v>79360</v>
      </c>
      <c r="I15747" s="3" t="s">
        <v>79520</v>
      </c>
      <c r="J15747" s="3" t="s">
        <v>79525</v>
      </c>
      <c r="K15747" s="3" t="s">
        <v>79526</v>
      </c>
      <c r="L15747" s="3"/>
      <c r="M15747" s="4"/>
      <c r="N15747" s="3" t="s">
        <v>37</v>
      </c>
      <c r="O15747" s="3" t="s">
        <v>46</v>
      </c>
      <c r="P15747" s="5">
        <v>28</v>
      </c>
      <c r="Q15747" s="5">
        <v>757</v>
      </c>
      <c r="R15747" s="5">
        <v>28</v>
      </c>
      <c r="S15747" s="5">
        <v>727</v>
      </c>
    </row>
    <row r="15748" spans="1:19" ht="28" x14ac:dyDescent="0.15">
      <c r="A15748" s="2">
        <f>HYPERLINK("https://open-school.uspishnemisto.com.ua/school/740046/", 740046)</f>
        <v>740046</v>
      </c>
      <c r="B15748" s="3" t="s">
        <v>79527</v>
      </c>
      <c r="C15748" s="3" t="s">
        <v>31</v>
      </c>
      <c r="D15748" s="3" t="s">
        <v>175</v>
      </c>
      <c r="E15748" s="4" t="s">
        <v>22</v>
      </c>
      <c r="F15748" s="4" t="s">
        <v>79518</v>
      </c>
      <c r="G15748" s="4" t="s">
        <v>79519</v>
      </c>
      <c r="H15748" s="3" t="s">
        <v>79360</v>
      </c>
      <c r="I15748" s="3" t="s">
        <v>79520</v>
      </c>
      <c r="J15748" s="3" t="s">
        <v>79528</v>
      </c>
      <c r="K15748" s="3" t="s">
        <v>79529</v>
      </c>
      <c r="L15748" s="3"/>
      <c r="M15748" s="4"/>
      <c r="N15748" s="3" t="s">
        <v>37</v>
      </c>
      <c r="O15748" s="3" t="s">
        <v>52</v>
      </c>
      <c r="P15748" s="5">
        <v>9</v>
      </c>
      <c r="Q15748" s="5">
        <v>164</v>
      </c>
      <c r="R15748" s="5">
        <v>8</v>
      </c>
      <c r="S15748" s="5">
        <v>146</v>
      </c>
    </row>
    <row r="15749" spans="1:19" ht="28" x14ac:dyDescent="0.15">
      <c r="A15749" s="2">
        <f>HYPERLINK("https://open-school.uspishnemisto.com.ua/school/740047/", 740047)</f>
        <v>740047</v>
      </c>
      <c r="B15749" s="3" t="s">
        <v>79530</v>
      </c>
      <c r="C15749" s="3" t="s">
        <v>31</v>
      </c>
      <c r="D15749" s="3" t="s">
        <v>60</v>
      </c>
      <c r="E15749" s="4" t="s">
        <v>22</v>
      </c>
      <c r="F15749" s="4" t="s">
        <v>79518</v>
      </c>
      <c r="G15749" s="4" t="s">
        <v>79519</v>
      </c>
      <c r="H15749" s="3" t="s">
        <v>79360</v>
      </c>
      <c r="I15749" s="3" t="s">
        <v>79520</v>
      </c>
      <c r="J15749" s="3" t="s">
        <v>79531</v>
      </c>
      <c r="K15749" s="3" t="s">
        <v>79532</v>
      </c>
      <c r="L15749" s="3" t="s">
        <v>79533</v>
      </c>
      <c r="M15749" s="4"/>
      <c r="N15749" s="3" t="s">
        <v>37</v>
      </c>
      <c r="O15749" s="3" t="s">
        <v>52</v>
      </c>
      <c r="P15749" s="5">
        <v>4</v>
      </c>
      <c r="Q15749" s="5">
        <v>31</v>
      </c>
      <c r="R15749" s="5">
        <v>6</v>
      </c>
      <c r="S15749" s="5">
        <v>53</v>
      </c>
    </row>
    <row r="15750" spans="1:19" ht="28" x14ac:dyDescent="0.15">
      <c r="A15750" s="2">
        <f>HYPERLINK("https://open-school.uspishnemisto.com.ua/school/740048/", 740048)</f>
        <v>740048</v>
      </c>
      <c r="B15750" s="3" t="s">
        <v>79534</v>
      </c>
      <c r="C15750" s="3" t="s">
        <v>31</v>
      </c>
      <c r="D15750" s="3" t="s">
        <v>175</v>
      </c>
      <c r="E15750" s="4" t="s">
        <v>22</v>
      </c>
      <c r="F15750" s="4" t="s">
        <v>79518</v>
      </c>
      <c r="G15750" s="4" t="s">
        <v>79519</v>
      </c>
      <c r="H15750" s="3" t="s">
        <v>79360</v>
      </c>
      <c r="I15750" s="3" t="s">
        <v>79520</v>
      </c>
      <c r="J15750" s="3" t="s">
        <v>79535</v>
      </c>
      <c r="K15750" s="3" t="s">
        <v>79536</v>
      </c>
      <c r="L15750" s="3" t="s">
        <v>79537</v>
      </c>
      <c r="M15750" s="4"/>
      <c r="N15750" s="3" t="s">
        <v>37</v>
      </c>
      <c r="O15750" s="3" t="s">
        <v>237</v>
      </c>
      <c r="P15750" s="5">
        <v>9</v>
      </c>
      <c r="Q15750" s="5">
        <v>132</v>
      </c>
      <c r="R15750" s="5">
        <v>8</v>
      </c>
      <c r="S15750" s="5">
        <v>116</v>
      </c>
    </row>
    <row r="15751" spans="1:19" ht="28" x14ac:dyDescent="0.15">
      <c r="A15751" s="2">
        <f>HYPERLINK("https://open-school.uspishnemisto.com.ua/school/740049/", 740049)</f>
        <v>740049</v>
      </c>
      <c r="B15751" s="3" t="s">
        <v>79538</v>
      </c>
      <c r="C15751" s="3" t="s">
        <v>31</v>
      </c>
      <c r="D15751" s="3" t="s">
        <v>32</v>
      </c>
      <c r="E15751" s="4" t="s">
        <v>22</v>
      </c>
      <c r="F15751" s="4" t="s">
        <v>79518</v>
      </c>
      <c r="G15751" s="4" t="s">
        <v>79519</v>
      </c>
      <c r="H15751" s="3" t="s">
        <v>79360</v>
      </c>
      <c r="I15751" s="3" t="s">
        <v>79520</v>
      </c>
      <c r="J15751" s="3" t="s">
        <v>79539</v>
      </c>
      <c r="K15751" s="3" t="s">
        <v>79540</v>
      </c>
      <c r="L15751" s="3"/>
      <c r="M15751" s="4"/>
      <c r="N15751" s="3" t="s">
        <v>37</v>
      </c>
      <c r="O15751" s="3" t="s">
        <v>237</v>
      </c>
      <c r="P15751" s="5">
        <v>15</v>
      </c>
      <c r="Q15751" s="5">
        <v>384</v>
      </c>
      <c r="R15751" s="5">
        <v>14</v>
      </c>
      <c r="S15751" s="5">
        <v>378</v>
      </c>
    </row>
    <row r="15752" spans="1:19" ht="28" x14ac:dyDescent="0.15">
      <c r="A15752" s="2">
        <f>HYPERLINK("https://open-school.uspishnemisto.com.ua/school/740050/", 740050)</f>
        <v>740050</v>
      </c>
      <c r="B15752" s="3" t="s">
        <v>79541</v>
      </c>
      <c r="C15752" s="3" t="s">
        <v>31</v>
      </c>
      <c r="D15752" s="3" t="s">
        <v>175</v>
      </c>
      <c r="E15752" s="4" t="s">
        <v>22</v>
      </c>
      <c r="F15752" s="4" t="s">
        <v>79518</v>
      </c>
      <c r="G15752" s="4" t="s">
        <v>79519</v>
      </c>
      <c r="H15752" s="3" t="s">
        <v>79360</v>
      </c>
      <c r="I15752" s="3" t="s">
        <v>79520</v>
      </c>
      <c r="J15752" s="3" t="s">
        <v>79542</v>
      </c>
      <c r="K15752" s="3" t="s">
        <v>79543</v>
      </c>
      <c r="L15752" s="3" t="s">
        <v>79544</v>
      </c>
      <c r="M15752" s="4"/>
      <c r="N15752" s="3" t="s">
        <v>37</v>
      </c>
      <c r="O15752" s="3" t="s">
        <v>52</v>
      </c>
      <c r="P15752" s="5">
        <v>7</v>
      </c>
      <c r="Q15752" s="5">
        <v>82</v>
      </c>
      <c r="R15752" s="5">
        <v>7</v>
      </c>
      <c r="S15752" s="5">
        <v>78</v>
      </c>
    </row>
    <row r="15753" spans="1:19" ht="28" x14ac:dyDescent="0.15">
      <c r="A15753" s="2">
        <f>HYPERLINK("https://open-school.uspishnemisto.com.ua/school/740051/", 740051)</f>
        <v>740051</v>
      </c>
      <c r="B15753" s="3" t="s">
        <v>79545</v>
      </c>
      <c r="C15753" s="3" t="s">
        <v>31</v>
      </c>
      <c r="D15753" s="3" t="s">
        <v>32</v>
      </c>
      <c r="E15753" s="4" t="s">
        <v>22</v>
      </c>
      <c r="F15753" s="4" t="s">
        <v>79546</v>
      </c>
      <c r="G15753" s="4" t="s">
        <v>79519</v>
      </c>
      <c r="H15753" s="3" t="s">
        <v>79360</v>
      </c>
      <c r="I15753" s="3" t="s">
        <v>79520</v>
      </c>
      <c r="J15753" s="3" t="s">
        <v>79547</v>
      </c>
      <c r="K15753" s="3" t="s">
        <v>79548</v>
      </c>
      <c r="L15753" s="3"/>
      <c r="M15753" s="4"/>
      <c r="N15753" s="3" t="s">
        <v>37</v>
      </c>
      <c r="O15753" s="3" t="s">
        <v>123</v>
      </c>
      <c r="P15753" s="5">
        <v>36</v>
      </c>
      <c r="Q15753" s="5">
        <v>993</v>
      </c>
      <c r="R15753" s="5">
        <v>35</v>
      </c>
      <c r="S15753" s="5">
        <v>948</v>
      </c>
    </row>
    <row r="15754" spans="1:19" ht="28" x14ac:dyDescent="0.15">
      <c r="A15754" s="2">
        <f>HYPERLINK("https://open-school.uspishnemisto.com.ua/school/740052/", 740052)</f>
        <v>740052</v>
      </c>
      <c r="B15754" s="3" t="s">
        <v>79549</v>
      </c>
      <c r="C15754" s="3" t="s">
        <v>31</v>
      </c>
      <c r="D15754" s="3" t="s">
        <v>32</v>
      </c>
      <c r="E15754" s="4" t="s">
        <v>22</v>
      </c>
      <c r="F15754" s="4" t="s">
        <v>79518</v>
      </c>
      <c r="G15754" s="4" t="s">
        <v>79519</v>
      </c>
      <c r="H15754" s="3" t="s">
        <v>79360</v>
      </c>
      <c r="I15754" s="3" t="s">
        <v>79520</v>
      </c>
      <c r="J15754" s="3" t="s">
        <v>3472</v>
      </c>
      <c r="K15754" s="3" t="s">
        <v>79550</v>
      </c>
      <c r="L15754" s="3"/>
      <c r="M15754" s="4"/>
      <c r="N15754" s="3" t="s">
        <v>37</v>
      </c>
      <c r="O15754" s="3" t="s">
        <v>52</v>
      </c>
      <c r="P15754" s="5">
        <v>11</v>
      </c>
      <c r="Q15754" s="5">
        <v>311</v>
      </c>
      <c r="R15754" s="5">
        <v>11</v>
      </c>
      <c r="S15754" s="5">
        <v>274</v>
      </c>
    </row>
    <row r="15755" spans="1:19" ht="28" x14ac:dyDescent="0.15">
      <c r="A15755" s="2">
        <f>HYPERLINK("https://open-school.uspishnemisto.com.ua/school/740053/", 740053)</f>
        <v>740053</v>
      </c>
      <c r="B15755" s="3" t="s">
        <v>79551</v>
      </c>
      <c r="C15755" s="3" t="s">
        <v>31</v>
      </c>
      <c r="D15755" s="3" t="s">
        <v>32</v>
      </c>
      <c r="E15755" s="4" t="s">
        <v>22</v>
      </c>
      <c r="F15755" s="4" t="s">
        <v>79518</v>
      </c>
      <c r="G15755" s="4" t="s">
        <v>79519</v>
      </c>
      <c r="H15755" s="3" t="s">
        <v>79360</v>
      </c>
      <c r="I15755" s="3" t="s">
        <v>79520</v>
      </c>
      <c r="J15755" s="3" t="s">
        <v>79552</v>
      </c>
      <c r="K15755" s="3"/>
      <c r="L15755" s="3"/>
      <c r="M15755" s="4"/>
      <c r="N15755" s="3" t="s">
        <v>37</v>
      </c>
      <c r="O15755" s="3" t="s">
        <v>52</v>
      </c>
      <c r="P15755" s="5">
        <v>32</v>
      </c>
      <c r="Q15755" s="5">
        <v>933</v>
      </c>
      <c r="R15755" s="5">
        <v>31</v>
      </c>
      <c r="S15755" s="5">
        <v>901</v>
      </c>
    </row>
    <row r="15756" spans="1:19" ht="28" x14ac:dyDescent="0.15">
      <c r="A15756" s="2">
        <f>HYPERLINK("https://open-school.uspishnemisto.com.ua/school/740054/", 740054)</f>
        <v>740054</v>
      </c>
      <c r="B15756" s="3" t="s">
        <v>79553</v>
      </c>
      <c r="C15756" s="3" t="s">
        <v>31</v>
      </c>
      <c r="D15756" s="3" t="s">
        <v>32</v>
      </c>
      <c r="E15756" s="4" t="s">
        <v>22</v>
      </c>
      <c r="F15756" s="4" t="s">
        <v>79518</v>
      </c>
      <c r="G15756" s="4" t="s">
        <v>79519</v>
      </c>
      <c r="H15756" s="3" t="s">
        <v>79360</v>
      </c>
      <c r="I15756" s="3" t="s">
        <v>79520</v>
      </c>
      <c r="J15756" s="3" t="s">
        <v>79554</v>
      </c>
      <c r="K15756" s="3" t="s">
        <v>79555</v>
      </c>
      <c r="L15756" s="3"/>
      <c r="M15756" s="4"/>
      <c r="N15756" s="3" t="s">
        <v>37</v>
      </c>
      <c r="O15756" s="3" t="s">
        <v>52</v>
      </c>
      <c r="P15756" s="5">
        <v>12</v>
      </c>
      <c r="Q15756" s="5">
        <v>289</v>
      </c>
      <c r="R15756" s="5">
        <v>12</v>
      </c>
      <c r="S15756" s="5">
        <v>279</v>
      </c>
    </row>
    <row r="15757" spans="1:19" ht="28" x14ac:dyDescent="0.15">
      <c r="A15757" s="2">
        <f>HYPERLINK("https://open-school.uspishnemisto.com.ua/school/740055/", 740055)</f>
        <v>740055</v>
      </c>
      <c r="B15757" s="3" t="s">
        <v>79556</v>
      </c>
      <c r="C15757" s="3" t="s">
        <v>31</v>
      </c>
      <c r="D15757" s="3" t="s">
        <v>32</v>
      </c>
      <c r="E15757" s="4" t="s">
        <v>22</v>
      </c>
      <c r="F15757" s="4" t="s">
        <v>79518</v>
      </c>
      <c r="G15757" s="4" t="s">
        <v>79519</v>
      </c>
      <c r="H15757" s="3" t="s">
        <v>79360</v>
      </c>
      <c r="I15757" s="3" t="s">
        <v>79520</v>
      </c>
      <c r="J15757" s="3" t="s">
        <v>79557</v>
      </c>
      <c r="K15757" s="3"/>
      <c r="L15757" s="3"/>
      <c r="M15757" s="4"/>
      <c r="N15757" s="3" t="s">
        <v>37</v>
      </c>
      <c r="O15757" s="3" t="s">
        <v>46</v>
      </c>
      <c r="P15757" s="5">
        <v>16</v>
      </c>
      <c r="Q15757" s="5">
        <v>369</v>
      </c>
      <c r="R15757" s="5">
        <v>15</v>
      </c>
      <c r="S15757" s="5">
        <v>347</v>
      </c>
    </row>
    <row r="15758" spans="1:19" ht="28" x14ac:dyDescent="0.15">
      <c r="A15758" s="2">
        <f>HYPERLINK("https://open-school.uspishnemisto.com.ua/school/740056/", 740056)</f>
        <v>740056</v>
      </c>
      <c r="B15758" s="3" t="s">
        <v>79558</v>
      </c>
      <c r="C15758" s="3" t="s">
        <v>31</v>
      </c>
      <c r="D15758" s="3" t="s">
        <v>175</v>
      </c>
      <c r="E15758" s="4" t="s">
        <v>22</v>
      </c>
      <c r="F15758" s="4" t="s">
        <v>79518</v>
      </c>
      <c r="G15758" s="4" t="s">
        <v>79519</v>
      </c>
      <c r="H15758" s="3" t="s">
        <v>79360</v>
      </c>
      <c r="I15758" s="3" t="s">
        <v>79520</v>
      </c>
      <c r="J15758" s="3" t="s">
        <v>79559</v>
      </c>
      <c r="K15758" s="3" t="s">
        <v>79560</v>
      </c>
      <c r="L15758" s="3"/>
      <c r="M15758" s="4"/>
      <c r="N15758" s="3" t="s">
        <v>37</v>
      </c>
      <c r="O15758" s="3" t="s">
        <v>52</v>
      </c>
      <c r="P15758" s="5">
        <v>9</v>
      </c>
      <c r="Q15758" s="5">
        <v>112</v>
      </c>
      <c r="R15758" s="5">
        <v>8</v>
      </c>
      <c r="S15758" s="5">
        <v>102</v>
      </c>
    </row>
    <row r="15759" spans="1:19" ht="28" x14ac:dyDescent="0.15">
      <c r="A15759" s="2">
        <f>HYPERLINK("https://open-school.uspishnemisto.com.ua/school/740057/", 740057)</f>
        <v>740057</v>
      </c>
      <c r="B15759" s="3" t="s">
        <v>79561</v>
      </c>
      <c r="C15759" s="3" t="s">
        <v>31</v>
      </c>
      <c r="D15759" s="3" t="s">
        <v>32</v>
      </c>
      <c r="E15759" s="4" t="s">
        <v>22</v>
      </c>
      <c r="F15759" s="4" t="s">
        <v>79518</v>
      </c>
      <c r="G15759" s="4" t="s">
        <v>79519</v>
      </c>
      <c r="H15759" s="3" t="s">
        <v>79360</v>
      </c>
      <c r="I15759" s="3" t="s">
        <v>79520</v>
      </c>
      <c r="J15759" s="3" t="s">
        <v>79562</v>
      </c>
      <c r="K15759" s="3" t="s">
        <v>79563</v>
      </c>
      <c r="L15759" s="3"/>
      <c r="M15759" s="4"/>
      <c r="N15759" s="3" t="s">
        <v>37</v>
      </c>
      <c r="O15759" s="3" t="s">
        <v>52</v>
      </c>
      <c r="P15759" s="5">
        <v>9</v>
      </c>
      <c r="Q15759" s="5">
        <v>228</v>
      </c>
      <c r="R15759" s="5">
        <v>10</v>
      </c>
      <c r="S15759" s="5">
        <v>219</v>
      </c>
    </row>
    <row r="15760" spans="1:19" ht="28" x14ac:dyDescent="0.15">
      <c r="A15760" s="2">
        <f>HYPERLINK("https://open-school.uspishnemisto.com.ua/school/740058/", 740058)</f>
        <v>740058</v>
      </c>
      <c r="B15760" s="3" t="s">
        <v>79564</v>
      </c>
      <c r="C15760" s="3" t="s">
        <v>31</v>
      </c>
      <c r="D15760" s="3" t="s">
        <v>32</v>
      </c>
      <c r="E15760" s="4" t="s">
        <v>22</v>
      </c>
      <c r="F15760" s="4" t="s">
        <v>79565</v>
      </c>
      <c r="G15760" s="4" t="s">
        <v>79519</v>
      </c>
      <c r="H15760" s="3" t="s">
        <v>79360</v>
      </c>
      <c r="I15760" s="3" t="s">
        <v>79520</v>
      </c>
      <c r="J15760" s="3" t="s">
        <v>79566</v>
      </c>
      <c r="K15760" s="3" t="s">
        <v>79567</v>
      </c>
      <c r="L15760" s="3"/>
      <c r="M15760" s="4"/>
      <c r="N15760" s="3" t="s">
        <v>37</v>
      </c>
      <c r="O15760" s="3" t="s">
        <v>46</v>
      </c>
      <c r="P15760" s="5">
        <v>10</v>
      </c>
      <c r="Q15760" s="5">
        <v>211</v>
      </c>
      <c r="R15760" s="5">
        <v>10</v>
      </c>
      <c r="S15760" s="5">
        <v>194</v>
      </c>
    </row>
    <row r="15761" spans="1:19" ht="28" x14ac:dyDescent="0.15">
      <c r="A15761" s="2">
        <f>HYPERLINK("https://open-school.uspishnemisto.com.ua/school/740059/", 740059)</f>
        <v>740059</v>
      </c>
      <c r="B15761" s="3" t="s">
        <v>79568</v>
      </c>
      <c r="C15761" s="3" t="s">
        <v>31</v>
      </c>
      <c r="D15761" s="3" t="s">
        <v>32</v>
      </c>
      <c r="E15761" s="4" t="s">
        <v>22</v>
      </c>
      <c r="F15761" s="4" t="s">
        <v>79518</v>
      </c>
      <c r="G15761" s="4" t="s">
        <v>79519</v>
      </c>
      <c r="H15761" s="3" t="s">
        <v>79360</v>
      </c>
      <c r="I15761" s="3" t="s">
        <v>79520</v>
      </c>
      <c r="J15761" s="3" t="s">
        <v>79569</v>
      </c>
      <c r="K15761" s="3" t="s">
        <v>79570</v>
      </c>
      <c r="L15761" s="3"/>
      <c r="M15761" s="4"/>
      <c r="N15761" s="3" t="s">
        <v>37</v>
      </c>
      <c r="O15761" s="3" t="s">
        <v>46</v>
      </c>
      <c r="P15761" s="5">
        <v>20</v>
      </c>
      <c r="Q15761" s="5">
        <v>592</v>
      </c>
      <c r="R15761" s="5">
        <v>20</v>
      </c>
      <c r="S15761" s="5">
        <v>599</v>
      </c>
    </row>
    <row r="15762" spans="1:19" ht="28" x14ac:dyDescent="0.15">
      <c r="A15762" s="2">
        <f>HYPERLINK("https://open-school.uspishnemisto.com.ua/school/740060/", 740060)</f>
        <v>740060</v>
      </c>
      <c r="B15762" s="3" t="s">
        <v>79571</v>
      </c>
      <c r="C15762" s="3" t="s">
        <v>31</v>
      </c>
      <c r="D15762" s="3" t="s">
        <v>32</v>
      </c>
      <c r="E15762" s="4" t="s">
        <v>22</v>
      </c>
      <c r="F15762" s="4" t="s">
        <v>79572</v>
      </c>
      <c r="G15762" s="4" t="s">
        <v>79519</v>
      </c>
      <c r="H15762" s="3" t="s">
        <v>79360</v>
      </c>
      <c r="I15762" s="3" t="s">
        <v>79520</v>
      </c>
      <c r="J15762" s="3" t="s">
        <v>79573</v>
      </c>
      <c r="K15762" s="3" t="s">
        <v>79574</v>
      </c>
      <c r="L15762" s="3" t="s">
        <v>79575</v>
      </c>
      <c r="M15762" s="4"/>
      <c r="N15762" s="3" t="s">
        <v>37</v>
      </c>
      <c r="O15762" s="3" t="s">
        <v>46</v>
      </c>
      <c r="P15762" s="5">
        <v>20</v>
      </c>
      <c r="Q15762" s="5">
        <v>604</v>
      </c>
      <c r="R15762" s="5">
        <v>19</v>
      </c>
      <c r="S15762" s="5">
        <v>571</v>
      </c>
    </row>
    <row r="15763" spans="1:19" ht="42" x14ac:dyDescent="0.15">
      <c r="A15763" s="2">
        <f>HYPERLINK("https://open-school.uspishnemisto.com.ua/school/740061/", 740061)</f>
        <v>740061</v>
      </c>
      <c r="B15763" s="3" t="s">
        <v>79576</v>
      </c>
      <c r="C15763" s="3" t="s">
        <v>188</v>
      </c>
      <c r="D15763" s="3" t="s">
        <v>32</v>
      </c>
      <c r="E15763" s="4" t="s">
        <v>22</v>
      </c>
      <c r="F15763" s="4" t="s">
        <v>79518</v>
      </c>
      <c r="G15763" s="4" t="s">
        <v>79519</v>
      </c>
      <c r="H15763" s="3" t="s">
        <v>79360</v>
      </c>
      <c r="I15763" s="3" t="s">
        <v>79520</v>
      </c>
      <c r="J15763" s="3" t="s">
        <v>79577</v>
      </c>
      <c r="K15763" s="3" t="s">
        <v>79578</v>
      </c>
      <c r="L15763" s="3"/>
      <c r="M15763" s="4"/>
      <c r="N15763" s="3" t="s">
        <v>37</v>
      </c>
      <c r="O15763" s="3" t="s">
        <v>46</v>
      </c>
      <c r="P15763" s="5">
        <v>8</v>
      </c>
      <c r="Q15763" s="5">
        <v>228</v>
      </c>
      <c r="R15763" s="5">
        <v>8</v>
      </c>
      <c r="S15763" s="5">
        <v>231</v>
      </c>
    </row>
    <row r="15764" spans="1:19" ht="28" x14ac:dyDescent="0.15">
      <c r="A15764" s="2">
        <f>HYPERLINK("https://open-school.uspishnemisto.com.ua/school/740062/", 740062)</f>
        <v>740062</v>
      </c>
      <c r="B15764" s="3" t="s">
        <v>79579</v>
      </c>
      <c r="C15764" s="3" t="s">
        <v>48</v>
      </c>
      <c r="D15764" s="3" t="s">
        <v>32</v>
      </c>
      <c r="E15764" s="4" t="s">
        <v>22</v>
      </c>
      <c r="F15764" s="4" t="s">
        <v>79518</v>
      </c>
      <c r="G15764" s="4" t="s">
        <v>79519</v>
      </c>
      <c r="H15764" s="3" t="s">
        <v>79360</v>
      </c>
      <c r="I15764" s="3" t="s">
        <v>79520</v>
      </c>
      <c r="J15764" s="3" t="s">
        <v>79577</v>
      </c>
      <c r="K15764" s="3" t="s">
        <v>79580</v>
      </c>
      <c r="L15764" s="3" t="s">
        <v>79581</v>
      </c>
      <c r="M15764" s="4" t="s">
        <v>79582</v>
      </c>
      <c r="N15764" s="3" t="s">
        <v>37</v>
      </c>
      <c r="O15764" s="3" t="s">
        <v>46</v>
      </c>
      <c r="P15764" s="5">
        <v>6</v>
      </c>
      <c r="Q15764" s="5">
        <v>180</v>
      </c>
      <c r="R15764" s="5">
        <v>6</v>
      </c>
      <c r="S15764" s="5">
        <v>177</v>
      </c>
    </row>
    <row r="15765" spans="1:19" ht="42" x14ac:dyDescent="0.15">
      <c r="A15765" s="2">
        <f>HYPERLINK("https://open-school.uspishnemisto.com.ua/school/740063/", 740063)</f>
        <v>740063</v>
      </c>
      <c r="B15765" s="3" t="s">
        <v>79583</v>
      </c>
      <c r="C15765" s="3" t="s">
        <v>40</v>
      </c>
      <c r="D15765" s="3" t="s">
        <v>32</v>
      </c>
      <c r="E15765" s="4" t="s">
        <v>22</v>
      </c>
      <c r="F15765" s="4" t="s">
        <v>79584</v>
      </c>
      <c r="G15765" s="4" t="s">
        <v>79585</v>
      </c>
      <c r="H15765" s="3" t="s">
        <v>79360</v>
      </c>
      <c r="I15765" s="3" t="s">
        <v>79586</v>
      </c>
      <c r="J15765" s="3" t="s">
        <v>79587</v>
      </c>
      <c r="K15765" s="3" t="s">
        <v>79588</v>
      </c>
      <c r="L15765" s="3" t="s">
        <v>79589</v>
      </c>
      <c r="M15765" s="4"/>
      <c r="N15765" s="3" t="s">
        <v>37</v>
      </c>
      <c r="O15765" s="3" t="s">
        <v>52</v>
      </c>
      <c r="P15765" s="5">
        <v>29</v>
      </c>
      <c r="Q15765" s="5">
        <v>695</v>
      </c>
      <c r="R15765" s="5">
        <v>30</v>
      </c>
      <c r="S15765" s="5">
        <v>699</v>
      </c>
    </row>
    <row r="15766" spans="1:19" ht="28" x14ac:dyDescent="0.15">
      <c r="A15766" s="2">
        <f>HYPERLINK("https://open-school.uspishnemisto.com.ua/school/740064/", 740064)</f>
        <v>740064</v>
      </c>
      <c r="B15766" s="3" t="s">
        <v>79590</v>
      </c>
      <c r="C15766" s="3" t="s">
        <v>20356</v>
      </c>
      <c r="D15766" s="3" t="s">
        <v>32</v>
      </c>
      <c r="E15766" s="4" t="s">
        <v>22</v>
      </c>
      <c r="F15766" s="4" t="s">
        <v>79584</v>
      </c>
      <c r="G15766" s="4" t="s">
        <v>79585</v>
      </c>
      <c r="H15766" s="3" t="s">
        <v>79360</v>
      </c>
      <c r="I15766" s="3" t="s">
        <v>79586</v>
      </c>
      <c r="J15766" s="3" t="s">
        <v>79591</v>
      </c>
      <c r="K15766" s="3" t="s">
        <v>79592</v>
      </c>
      <c r="L15766" s="3" t="s">
        <v>79593</v>
      </c>
      <c r="M15766" s="4" t="s">
        <v>79594</v>
      </c>
      <c r="N15766" s="3" t="s">
        <v>37</v>
      </c>
      <c r="O15766" s="3" t="s">
        <v>46</v>
      </c>
      <c r="P15766" s="5">
        <v>14</v>
      </c>
      <c r="Q15766" s="5">
        <v>325</v>
      </c>
      <c r="R15766" s="5">
        <v>14</v>
      </c>
      <c r="S15766" s="5">
        <v>338</v>
      </c>
    </row>
    <row r="15767" spans="1:19" ht="28" x14ac:dyDescent="0.15">
      <c r="A15767" s="2">
        <f>HYPERLINK("https://open-school.uspishnemisto.com.ua/school/740065/", 740065)</f>
        <v>740065</v>
      </c>
      <c r="B15767" s="3" t="s">
        <v>79595</v>
      </c>
      <c r="C15767" s="3" t="s">
        <v>31</v>
      </c>
      <c r="D15767" s="3" t="s">
        <v>32</v>
      </c>
      <c r="E15767" s="4" t="s">
        <v>22</v>
      </c>
      <c r="F15767" s="4" t="s">
        <v>79584</v>
      </c>
      <c r="G15767" s="4" t="s">
        <v>79585</v>
      </c>
      <c r="H15767" s="3" t="s">
        <v>79360</v>
      </c>
      <c r="I15767" s="3" t="s">
        <v>79586</v>
      </c>
      <c r="J15767" s="3" t="s">
        <v>79596</v>
      </c>
      <c r="K15767" s="3" t="s">
        <v>79597</v>
      </c>
      <c r="L15767" s="3" t="s">
        <v>79598</v>
      </c>
      <c r="M15767" s="4"/>
      <c r="N15767" s="3" t="s">
        <v>37</v>
      </c>
      <c r="O15767" s="3" t="s">
        <v>38</v>
      </c>
      <c r="P15767" s="5">
        <v>11</v>
      </c>
      <c r="Q15767" s="5">
        <v>199</v>
      </c>
      <c r="R15767" s="5">
        <v>11</v>
      </c>
      <c r="S15767" s="5">
        <v>196</v>
      </c>
    </row>
    <row r="15768" spans="1:19" ht="56" x14ac:dyDescent="0.15">
      <c r="A15768" s="2">
        <f>HYPERLINK("https://open-school.uspishnemisto.com.ua/school/740066/", 740066)</f>
        <v>740066</v>
      </c>
      <c r="B15768" s="3" t="s">
        <v>79599</v>
      </c>
      <c r="C15768" s="3" t="s">
        <v>54</v>
      </c>
      <c r="D15768" s="3" t="s">
        <v>60</v>
      </c>
      <c r="E15768" s="4" t="s">
        <v>22</v>
      </c>
      <c r="F15768" s="4" t="s">
        <v>79584</v>
      </c>
      <c r="G15768" s="4" t="s">
        <v>79585</v>
      </c>
      <c r="H15768" s="3" t="s">
        <v>79360</v>
      </c>
      <c r="I15768" s="3" t="s">
        <v>79586</v>
      </c>
      <c r="J15768" s="3" t="s">
        <v>79600</v>
      </c>
      <c r="K15768" s="3" t="s">
        <v>79601</v>
      </c>
      <c r="L15768" s="3"/>
      <c r="M15768" s="4"/>
      <c r="N15768" s="3" t="s">
        <v>37</v>
      </c>
      <c r="O15768" s="3" t="s">
        <v>52</v>
      </c>
      <c r="P15768" s="5">
        <v>8</v>
      </c>
      <c r="Q15768" s="5">
        <v>164</v>
      </c>
      <c r="R15768" s="5">
        <v>8</v>
      </c>
      <c r="S15768" s="5">
        <v>154</v>
      </c>
    </row>
    <row r="15769" spans="1:19" ht="42" x14ac:dyDescent="0.15">
      <c r="A15769" s="2">
        <f>HYPERLINK("https://open-school.uspishnemisto.com.ua/school/740067/", 740067)</f>
        <v>740067</v>
      </c>
      <c r="B15769" s="3" t="s">
        <v>79602</v>
      </c>
      <c r="C15769" s="3" t="s">
        <v>181</v>
      </c>
      <c r="D15769" s="3" t="s">
        <v>32</v>
      </c>
      <c r="E15769" s="4" t="s">
        <v>22</v>
      </c>
      <c r="F15769" s="4" t="s">
        <v>79603</v>
      </c>
      <c r="G15769" s="4" t="s">
        <v>79604</v>
      </c>
      <c r="H15769" s="3" t="s">
        <v>79360</v>
      </c>
      <c r="I15769" s="3" t="s">
        <v>79605</v>
      </c>
      <c r="J15769" s="3" t="s">
        <v>79606</v>
      </c>
      <c r="K15769" s="3" t="s">
        <v>79607</v>
      </c>
      <c r="L15769" s="3"/>
      <c r="M15769" s="4" t="s">
        <v>79608</v>
      </c>
      <c r="N15769" s="3" t="s">
        <v>37</v>
      </c>
      <c r="O15769" s="3" t="s">
        <v>52</v>
      </c>
      <c r="P15769" s="5">
        <v>4</v>
      </c>
      <c r="Q15769" s="5">
        <v>30</v>
      </c>
      <c r="R15769" s="5">
        <v>4</v>
      </c>
      <c r="S15769" s="5">
        <v>28</v>
      </c>
    </row>
    <row r="15770" spans="1:19" ht="42" x14ac:dyDescent="0.15">
      <c r="A15770" s="2">
        <f>HYPERLINK("https://open-school.uspishnemisto.com.ua/school/740068/", 740068)</f>
        <v>740068</v>
      </c>
      <c r="B15770" s="3" t="s">
        <v>79609</v>
      </c>
      <c r="C15770" s="3" t="s">
        <v>54</v>
      </c>
      <c r="D15770" s="3" t="s">
        <v>60</v>
      </c>
      <c r="E15770" s="4" t="s">
        <v>22</v>
      </c>
      <c r="F15770" s="4" t="s">
        <v>79610</v>
      </c>
      <c r="G15770" s="4" t="s">
        <v>79604</v>
      </c>
      <c r="H15770" s="3" t="s">
        <v>79360</v>
      </c>
      <c r="I15770" s="3" t="s">
        <v>79605</v>
      </c>
      <c r="J15770" s="3" t="s">
        <v>79611</v>
      </c>
      <c r="K15770" s="3" t="s">
        <v>79612</v>
      </c>
      <c r="L15770" s="3"/>
      <c r="M15770" s="4"/>
      <c r="N15770" s="3" t="s">
        <v>37</v>
      </c>
      <c r="O15770" s="3" t="s">
        <v>52</v>
      </c>
      <c r="P15770" s="5">
        <v>2</v>
      </c>
      <c r="Q15770" s="5">
        <v>42</v>
      </c>
      <c r="R15770" s="5">
        <v>3</v>
      </c>
      <c r="S15770" s="5">
        <v>62</v>
      </c>
    </row>
    <row r="15771" spans="1:19" ht="28" x14ac:dyDescent="0.15">
      <c r="A15771" s="2">
        <f>HYPERLINK("https://open-school.uspishnemisto.com.ua/school/740069/", 740069)</f>
        <v>740069</v>
      </c>
      <c r="B15771" s="3" t="s">
        <v>79613</v>
      </c>
      <c r="C15771" s="3" t="s">
        <v>40</v>
      </c>
      <c r="D15771" s="3" t="s">
        <v>32</v>
      </c>
      <c r="E15771" s="4" t="s">
        <v>22</v>
      </c>
      <c r="F15771" s="4" t="s">
        <v>79610</v>
      </c>
      <c r="G15771" s="4" t="s">
        <v>79604</v>
      </c>
      <c r="H15771" s="3" t="s">
        <v>79360</v>
      </c>
      <c r="I15771" s="3" t="s">
        <v>79605</v>
      </c>
      <c r="J15771" s="3" t="s">
        <v>79614</v>
      </c>
      <c r="K15771" s="3" t="s">
        <v>79615</v>
      </c>
      <c r="L15771" s="3" t="s">
        <v>79616</v>
      </c>
      <c r="M15771" s="4"/>
      <c r="N15771" s="3" t="s">
        <v>37</v>
      </c>
      <c r="O15771" s="3" t="s">
        <v>52</v>
      </c>
      <c r="P15771" s="5">
        <v>26</v>
      </c>
      <c r="Q15771" s="5">
        <v>720</v>
      </c>
      <c r="R15771" s="5">
        <v>26</v>
      </c>
      <c r="S15771" s="5">
        <v>685</v>
      </c>
    </row>
    <row r="15772" spans="1:19" ht="28" x14ac:dyDescent="0.15">
      <c r="A15772" s="2">
        <f>HYPERLINK("https://open-school.uspishnemisto.com.ua/school/740070/", 740070)</f>
        <v>740070</v>
      </c>
      <c r="B15772" s="3" t="s">
        <v>79617</v>
      </c>
      <c r="C15772" s="3" t="s">
        <v>40</v>
      </c>
      <c r="D15772" s="3" t="s">
        <v>32</v>
      </c>
      <c r="E15772" s="4" t="s">
        <v>22</v>
      </c>
      <c r="F15772" s="4" t="s">
        <v>79610</v>
      </c>
      <c r="G15772" s="4" t="s">
        <v>79604</v>
      </c>
      <c r="H15772" s="3" t="s">
        <v>79360</v>
      </c>
      <c r="I15772" s="3" t="s">
        <v>79605</v>
      </c>
      <c r="J15772" s="3" t="s">
        <v>14714</v>
      </c>
      <c r="K15772" s="3" t="s">
        <v>79618</v>
      </c>
      <c r="L15772" s="3" t="s">
        <v>79619</v>
      </c>
      <c r="M15772" s="4"/>
      <c r="N15772" s="3" t="s">
        <v>37</v>
      </c>
      <c r="O15772" s="3" t="s">
        <v>123</v>
      </c>
      <c r="P15772" s="5">
        <v>29</v>
      </c>
      <c r="Q15772" s="5">
        <v>801</v>
      </c>
      <c r="R15772" s="5">
        <v>29</v>
      </c>
      <c r="S15772" s="5">
        <v>779</v>
      </c>
    </row>
    <row r="15773" spans="1:19" ht="28" x14ac:dyDescent="0.15">
      <c r="A15773" s="2">
        <f>HYPERLINK("https://open-school.uspishnemisto.com.ua/school/740071/", 740071)</f>
        <v>740071</v>
      </c>
      <c r="B15773" s="3" t="s">
        <v>79620</v>
      </c>
      <c r="C15773" s="3" t="s">
        <v>31</v>
      </c>
      <c r="D15773" s="3" t="s">
        <v>32</v>
      </c>
      <c r="E15773" s="4" t="s">
        <v>22</v>
      </c>
      <c r="F15773" s="4" t="s">
        <v>79621</v>
      </c>
      <c r="G15773" s="4" t="s">
        <v>79604</v>
      </c>
      <c r="H15773" s="3" t="s">
        <v>79360</v>
      </c>
      <c r="I15773" s="3" t="s">
        <v>79605</v>
      </c>
      <c r="J15773" s="3" t="s">
        <v>79622</v>
      </c>
      <c r="K15773" s="3" t="s">
        <v>79623</v>
      </c>
      <c r="L15773" s="3" t="s">
        <v>79624</v>
      </c>
      <c r="M15773" s="4"/>
      <c r="N15773" s="3" t="s">
        <v>37</v>
      </c>
      <c r="O15773" s="3" t="s">
        <v>6354</v>
      </c>
      <c r="P15773" s="5">
        <v>20</v>
      </c>
      <c r="Q15773" s="5">
        <v>504</v>
      </c>
      <c r="R15773" s="5">
        <v>19</v>
      </c>
      <c r="S15773" s="5">
        <v>492</v>
      </c>
    </row>
    <row r="15774" spans="1:19" ht="42" x14ac:dyDescent="0.15">
      <c r="A15774" s="2">
        <f>HYPERLINK("https://open-school.uspishnemisto.com.ua/school/740072/", 740072)</f>
        <v>740072</v>
      </c>
      <c r="B15774" s="3" t="s">
        <v>79625</v>
      </c>
      <c r="C15774" s="3" t="s">
        <v>31</v>
      </c>
      <c r="D15774" s="3" t="s">
        <v>32</v>
      </c>
      <c r="E15774" s="4" t="s">
        <v>22</v>
      </c>
      <c r="F15774" s="4" t="s">
        <v>79626</v>
      </c>
      <c r="G15774" s="4" t="s">
        <v>79604</v>
      </c>
      <c r="H15774" s="3" t="s">
        <v>79360</v>
      </c>
      <c r="I15774" s="3" t="s">
        <v>79605</v>
      </c>
      <c r="J15774" s="3" t="s">
        <v>79627</v>
      </c>
      <c r="K15774" s="3" t="s">
        <v>79628</v>
      </c>
      <c r="L15774" s="3" t="s">
        <v>79629</v>
      </c>
      <c r="M15774" s="4"/>
      <c r="N15774" s="3" t="s">
        <v>37</v>
      </c>
      <c r="O15774" s="3" t="s">
        <v>46</v>
      </c>
      <c r="P15774" s="5">
        <v>15</v>
      </c>
      <c r="Q15774" s="5">
        <v>331</v>
      </c>
      <c r="R15774" s="5">
        <v>15</v>
      </c>
      <c r="S15774" s="5">
        <v>332</v>
      </c>
    </row>
    <row r="15775" spans="1:19" ht="28" x14ac:dyDescent="0.15">
      <c r="A15775" s="2">
        <f>HYPERLINK("https://open-school.uspishnemisto.com.ua/school/740073/", 740073)</f>
        <v>740073</v>
      </c>
      <c r="B15775" s="3" t="s">
        <v>79630</v>
      </c>
      <c r="C15775" s="3" t="s">
        <v>31</v>
      </c>
      <c r="D15775" s="3" t="s">
        <v>32</v>
      </c>
      <c r="E15775" s="4" t="s">
        <v>22</v>
      </c>
      <c r="F15775" s="4" t="s">
        <v>79610</v>
      </c>
      <c r="G15775" s="4" t="s">
        <v>79604</v>
      </c>
      <c r="H15775" s="3" t="s">
        <v>79360</v>
      </c>
      <c r="I15775" s="3" t="s">
        <v>79605</v>
      </c>
      <c r="J15775" s="3" t="s">
        <v>79631</v>
      </c>
      <c r="K15775" s="3" t="s">
        <v>79632</v>
      </c>
      <c r="L15775" s="3" t="s">
        <v>79633</v>
      </c>
      <c r="M15775" s="4"/>
      <c r="N15775" s="3" t="s">
        <v>37</v>
      </c>
      <c r="O15775" s="3" t="s">
        <v>38</v>
      </c>
      <c r="P15775" s="5">
        <v>20</v>
      </c>
      <c r="Q15775" s="5">
        <v>451</v>
      </c>
      <c r="R15775" s="5">
        <v>19</v>
      </c>
      <c r="S15775" s="5">
        <v>434</v>
      </c>
    </row>
    <row r="15776" spans="1:19" ht="28" x14ac:dyDescent="0.15">
      <c r="A15776" s="2">
        <f>HYPERLINK("https://open-school.uspishnemisto.com.ua/school/740074/", 740074)</f>
        <v>740074</v>
      </c>
      <c r="B15776" s="3" t="s">
        <v>79634</v>
      </c>
      <c r="C15776" s="3" t="s">
        <v>31</v>
      </c>
      <c r="D15776" s="3" t="s">
        <v>32</v>
      </c>
      <c r="E15776" s="4" t="s">
        <v>22</v>
      </c>
      <c r="F15776" s="4" t="s">
        <v>79610</v>
      </c>
      <c r="G15776" s="4" t="s">
        <v>79604</v>
      </c>
      <c r="H15776" s="3" t="s">
        <v>79360</v>
      </c>
      <c r="I15776" s="3" t="s">
        <v>79605</v>
      </c>
      <c r="J15776" s="3" t="s">
        <v>79635</v>
      </c>
      <c r="K15776" s="3" t="s">
        <v>79636</v>
      </c>
      <c r="L15776" s="3"/>
      <c r="M15776" s="4"/>
      <c r="N15776" s="3" t="s">
        <v>37</v>
      </c>
      <c r="O15776" s="3" t="s">
        <v>38</v>
      </c>
      <c r="P15776" s="5">
        <v>11</v>
      </c>
      <c r="Q15776" s="5">
        <v>266</v>
      </c>
      <c r="R15776" s="5">
        <v>11</v>
      </c>
      <c r="S15776" s="5">
        <v>261</v>
      </c>
    </row>
    <row r="15777" spans="1:19" ht="28" x14ac:dyDescent="0.15">
      <c r="A15777" s="2">
        <f>HYPERLINK("https://open-school.uspishnemisto.com.ua/school/740075/", 740075)</f>
        <v>740075</v>
      </c>
      <c r="B15777" s="3" t="s">
        <v>79637</v>
      </c>
      <c r="C15777" s="3" t="s">
        <v>31</v>
      </c>
      <c r="D15777" s="3" t="s">
        <v>32</v>
      </c>
      <c r="E15777" s="4" t="s">
        <v>22</v>
      </c>
      <c r="F15777" s="4" t="s">
        <v>79638</v>
      </c>
      <c r="G15777" s="4" t="s">
        <v>79604</v>
      </c>
      <c r="H15777" s="3" t="s">
        <v>79360</v>
      </c>
      <c r="I15777" s="3" t="s">
        <v>79605</v>
      </c>
      <c r="J15777" s="3" t="s">
        <v>79639</v>
      </c>
      <c r="K15777" s="3" t="s">
        <v>79640</v>
      </c>
      <c r="L15777" s="3" t="s">
        <v>79641</v>
      </c>
      <c r="M15777" s="4"/>
      <c r="N15777" s="3" t="s">
        <v>37</v>
      </c>
      <c r="O15777" s="3" t="s">
        <v>38</v>
      </c>
      <c r="P15777" s="5">
        <v>11</v>
      </c>
      <c r="Q15777" s="5">
        <v>235</v>
      </c>
      <c r="R15777" s="5">
        <v>10</v>
      </c>
      <c r="S15777" s="5">
        <v>232</v>
      </c>
    </row>
    <row r="15778" spans="1:19" ht="28" x14ac:dyDescent="0.15">
      <c r="A15778" s="2">
        <f>HYPERLINK("https://open-school.uspishnemisto.com.ua/school/740076/", 740076)</f>
        <v>740076</v>
      </c>
      <c r="B15778" s="3" t="s">
        <v>79642</v>
      </c>
      <c r="C15778" s="3" t="s">
        <v>31</v>
      </c>
      <c r="D15778" s="3" t="s">
        <v>32</v>
      </c>
      <c r="E15778" s="4" t="s">
        <v>22</v>
      </c>
      <c r="F15778" s="4" t="s">
        <v>79610</v>
      </c>
      <c r="G15778" s="4" t="s">
        <v>79604</v>
      </c>
      <c r="H15778" s="3" t="s">
        <v>79360</v>
      </c>
      <c r="I15778" s="3" t="s">
        <v>79605</v>
      </c>
      <c r="J15778" s="3" t="s">
        <v>79643</v>
      </c>
      <c r="K15778" s="3" t="s">
        <v>79644</v>
      </c>
      <c r="L15778" s="3" t="s">
        <v>79645</v>
      </c>
      <c r="M15778" s="4"/>
      <c r="N15778" s="3" t="s">
        <v>37</v>
      </c>
      <c r="O15778" s="3" t="s">
        <v>70</v>
      </c>
      <c r="P15778" s="5">
        <v>13</v>
      </c>
      <c r="Q15778" s="5">
        <v>323</v>
      </c>
      <c r="R15778" s="5">
        <v>12</v>
      </c>
      <c r="S15778" s="5">
        <v>313</v>
      </c>
    </row>
    <row r="15779" spans="1:19" ht="42" x14ac:dyDescent="0.15">
      <c r="A15779" s="2">
        <f>HYPERLINK("https://open-school.uspishnemisto.com.ua/school/740077/", 740077)</f>
        <v>740077</v>
      </c>
      <c r="B15779" s="3" t="s">
        <v>79646</v>
      </c>
      <c r="C15779" s="3" t="s">
        <v>31</v>
      </c>
      <c r="D15779" s="3" t="s">
        <v>32</v>
      </c>
      <c r="E15779" s="4" t="s">
        <v>22</v>
      </c>
      <c r="F15779" s="4" t="s">
        <v>79610</v>
      </c>
      <c r="G15779" s="4" t="s">
        <v>79604</v>
      </c>
      <c r="H15779" s="3" t="s">
        <v>79360</v>
      </c>
      <c r="I15779" s="3" t="s">
        <v>79605</v>
      </c>
      <c r="J15779" s="3" t="s">
        <v>79647</v>
      </c>
      <c r="K15779" s="3" t="s">
        <v>79648</v>
      </c>
      <c r="L15779" s="3" t="s">
        <v>79649</v>
      </c>
      <c r="M15779" s="4"/>
      <c r="N15779" s="3" t="s">
        <v>37</v>
      </c>
      <c r="O15779" s="3" t="s">
        <v>38</v>
      </c>
      <c r="P15779" s="5">
        <v>17</v>
      </c>
      <c r="Q15779" s="5">
        <v>389</v>
      </c>
      <c r="R15779" s="5">
        <v>16</v>
      </c>
      <c r="S15779" s="5">
        <v>387</v>
      </c>
    </row>
    <row r="15780" spans="1:19" ht="42" x14ac:dyDescent="0.15">
      <c r="A15780" s="2">
        <f>HYPERLINK("https://open-school.uspishnemisto.com.ua/school/740078/", 740078)</f>
        <v>740078</v>
      </c>
      <c r="B15780" s="3" t="s">
        <v>79650</v>
      </c>
      <c r="C15780" s="3" t="s">
        <v>31</v>
      </c>
      <c r="D15780" s="3" t="s">
        <v>32</v>
      </c>
      <c r="E15780" s="4" t="s">
        <v>22</v>
      </c>
      <c r="F15780" s="4" t="s">
        <v>79610</v>
      </c>
      <c r="G15780" s="4" t="s">
        <v>79604</v>
      </c>
      <c r="H15780" s="3" t="s">
        <v>79360</v>
      </c>
      <c r="I15780" s="3" t="s">
        <v>79605</v>
      </c>
      <c r="J15780" s="3" t="s">
        <v>79651</v>
      </c>
      <c r="K15780" s="3" t="s">
        <v>79652</v>
      </c>
      <c r="L15780" s="3" t="s">
        <v>79653</v>
      </c>
      <c r="M15780" s="4"/>
      <c r="N15780" s="3" t="s">
        <v>37</v>
      </c>
      <c r="O15780" s="3" t="s">
        <v>38</v>
      </c>
      <c r="P15780" s="5">
        <v>23</v>
      </c>
      <c r="Q15780" s="5">
        <v>633</v>
      </c>
      <c r="R15780" s="5">
        <v>23</v>
      </c>
      <c r="S15780" s="5">
        <v>635</v>
      </c>
    </row>
    <row r="15781" spans="1:19" ht="28" x14ac:dyDescent="0.15">
      <c r="A15781" s="2">
        <f>HYPERLINK("https://open-school.uspishnemisto.com.ua/school/740079/", 740079)</f>
        <v>740079</v>
      </c>
      <c r="B15781" s="3" t="s">
        <v>79654</v>
      </c>
      <c r="C15781" s="3" t="s">
        <v>31</v>
      </c>
      <c r="D15781" s="3" t="s">
        <v>21</v>
      </c>
      <c r="E15781" s="4" t="s">
        <v>253</v>
      </c>
      <c r="F15781" s="4" t="s">
        <v>79610</v>
      </c>
      <c r="G15781" s="4" t="s">
        <v>79604</v>
      </c>
      <c r="H15781" s="3" t="s">
        <v>79360</v>
      </c>
      <c r="I15781" s="3" t="s">
        <v>79605</v>
      </c>
      <c r="J15781" s="3" t="s">
        <v>79655</v>
      </c>
      <c r="K15781" s="3" t="s">
        <v>79656</v>
      </c>
      <c r="L15781" s="3"/>
      <c r="M15781" s="4"/>
      <c r="N15781" s="3" t="s">
        <v>37</v>
      </c>
      <c r="O15781" s="3" t="s">
        <v>52</v>
      </c>
      <c r="P15781" s="5">
        <v>2</v>
      </c>
      <c r="Q15781" s="5">
        <v>18</v>
      </c>
      <c r="R15781" s="5">
        <v>3</v>
      </c>
      <c r="S15781" s="5">
        <v>48</v>
      </c>
    </row>
    <row r="15782" spans="1:19" ht="42" x14ac:dyDescent="0.15">
      <c r="A15782" s="2">
        <f>HYPERLINK("https://open-school.uspishnemisto.com.ua/school/740080/", 740080)</f>
        <v>740080</v>
      </c>
      <c r="B15782" s="3" t="s">
        <v>79657</v>
      </c>
      <c r="C15782" s="3" t="s">
        <v>244</v>
      </c>
      <c r="D15782" s="3" t="s">
        <v>32</v>
      </c>
      <c r="E15782" s="4" t="s">
        <v>22</v>
      </c>
      <c r="F15782" s="4" t="s">
        <v>79603</v>
      </c>
      <c r="G15782" s="4" t="s">
        <v>79604</v>
      </c>
      <c r="H15782" s="3" t="s">
        <v>79360</v>
      </c>
      <c r="I15782" s="3" t="s">
        <v>79605</v>
      </c>
      <c r="J15782" s="3" t="s">
        <v>79658</v>
      </c>
      <c r="K15782" s="3" t="s">
        <v>79659</v>
      </c>
      <c r="L15782" s="3" t="s">
        <v>79660</v>
      </c>
      <c r="M15782" s="4"/>
      <c r="N15782" s="3" t="s">
        <v>37</v>
      </c>
      <c r="O15782" s="3" t="s">
        <v>197</v>
      </c>
      <c r="P15782" s="5">
        <v>30</v>
      </c>
      <c r="Q15782" s="5">
        <v>808</v>
      </c>
      <c r="R15782" s="5">
        <v>30</v>
      </c>
      <c r="S15782" s="5">
        <v>819</v>
      </c>
    </row>
    <row r="15783" spans="1:19" ht="28" x14ac:dyDescent="0.15">
      <c r="A15783" s="2">
        <f>HYPERLINK("https://open-school.uspishnemisto.com.ua/school/740081/", 740081)</f>
        <v>740081</v>
      </c>
      <c r="B15783" s="3" t="s">
        <v>79661</v>
      </c>
      <c r="C15783" s="3" t="s">
        <v>181</v>
      </c>
      <c r="D15783" s="3" t="s">
        <v>175</v>
      </c>
      <c r="E15783" s="4" t="s">
        <v>22</v>
      </c>
      <c r="F15783" s="4" t="s">
        <v>79610</v>
      </c>
      <c r="G15783" s="4" t="s">
        <v>79604</v>
      </c>
      <c r="H15783" s="3" t="s">
        <v>79360</v>
      </c>
      <c r="I15783" s="3" t="s">
        <v>79605</v>
      </c>
      <c r="J15783" s="3" t="s">
        <v>79662</v>
      </c>
      <c r="K15783" s="3" t="s">
        <v>79663</v>
      </c>
      <c r="L15783" s="3"/>
      <c r="M15783" s="4" t="s">
        <v>79664</v>
      </c>
      <c r="N15783" s="3" t="s">
        <v>37</v>
      </c>
      <c r="O15783" s="3"/>
      <c r="P15783" s="5">
        <v>9</v>
      </c>
      <c r="Q15783" s="5">
        <v>109</v>
      </c>
      <c r="R15783" s="5">
        <v>9</v>
      </c>
      <c r="S15783" s="5">
        <v>108</v>
      </c>
    </row>
    <row r="15784" spans="1:19" ht="28" x14ac:dyDescent="0.15">
      <c r="A15784" s="2">
        <f>HYPERLINK("https://open-school.uspishnemisto.com.ua/school/740082/", 740082)</f>
        <v>740082</v>
      </c>
      <c r="B15784" s="3" t="s">
        <v>79665</v>
      </c>
      <c r="C15784" s="3" t="s">
        <v>40</v>
      </c>
      <c r="D15784" s="3" t="s">
        <v>32</v>
      </c>
      <c r="E15784" s="4" t="s">
        <v>22</v>
      </c>
      <c r="F15784" s="4" t="s">
        <v>79666</v>
      </c>
      <c r="G15784" s="4" t="s">
        <v>79667</v>
      </c>
      <c r="H15784" s="3" t="s">
        <v>79360</v>
      </c>
      <c r="I15784" s="3" t="s">
        <v>79668</v>
      </c>
      <c r="J15784" s="3" t="s">
        <v>57962</v>
      </c>
      <c r="K15784" s="3" t="s">
        <v>79669</v>
      </c>
      <c r="L15784" s="3"/>
      <c r="M15784" s="4"/>
      <c r="N15784" s="3" t="s">
        <v>37</v>
      </c>
      <c r="O15784" s="3" t="s">
        <v>46</v>
      </c>
      <c r="P15784" s="5">
        <v>14</v>
      </c>
      <c r="Q15784" s="5">
        <v>298</v>
      </c>
      <c r="R15784" s="5">
        <v>13</v>
      </c>
      <c r="S15784" s="5">
        <v>279</v>
      </c>
    </row>
    <row r="15785" spans="1:19" ht="28" x14ac:dyDescent="0.15">
      <c r="A15785" s="2">
        <f>HYPERLINK("https://open-school.uspishnemisto.com.ua/school/740083/", 740083)</f>
        <v>740083</v>
      </c>
      <c r="B15785" s="3" t="s">
        <v>79670</v>
      </c>
      <c r="C15785" s="3" t="s">
        <v>31</v>
      </c>
      <c r="D15785" s="3" t="s">
        <v>32</v>
      </c>
      <c r="E15785" s="4" t="s">
        <v>22</v>
      </c>
      <c r="F15785" s="4" t="s">
        <v>79666</v>
      </c>
      <c r="G15785" s="4" t="s">
        <v>79667</v>
      </c>
      <c r="H15785" s="3" t="s">
        <v>79360</v>
      </c>
      <c r="I15785" s="3" t="s">
        <v>79668</v>
      </c>
      <c r="J15785" s="3" t="s">
        <v>79671</v>
      </c>
      <c r="K15785" s="3" t="s">
        <v>79672</v>
      </c>
      <c r="L15785" s="3"/>
      <c r="M15785" s="4"/>
      <c r="N15785" s="3" t="s">
        <v>37</v>
      </c>
      <c r="O15785" s="3" t="s">
        <v>46</v>
      </c>
      <c r="P15785" s="5">
        <v>11</v>
      </c>
      <c r="Q15785" s="5">
        <v>173</v>
      </c>
      <c r="R15785" s="5">
        <v>11</v>
      </c>
      <c r="S15785" s="5">
        <v>180</v>
      </c>
    </row>
    <row r="15786" spans="1:19" ht="28" x14ac:dyDescent="0.15">
      <c r="A15786" s="2">
        <f>HYPERLINK("https://open-school.uspishnemisto.com.ua/school/740084/", 740084)</f>
        <v>740084</v>
      </c>
      <c r="B15786" s="3" t="s">
        <v>79673</v>
      </c>
      <c r="C15786" s="3" t="s">
        <v>31</v>
      </c>
      <c r="D15786" s="3" t="s">
        <v>32</v>
      </c>
      <c r="E15786" s="4" t="s">
        <v>22</v>
      </c>
      <c r="F15786" s="4" t="s">
        <v>79666</v>
      </c>
      <c r="G15786" s="4" t="s">
        <v>79667</v>
      </c>
      <c r="H15786" s="3" t="s">
        <v>79360</v>
      </c>
      <c r="I15786" s="3" t="s">
        <v>79668</v>
      </c>
      <c r="J15786" s="3" t="s">
        <v>14757</v>
      </c>
      <c r="K15786" s="3" t="s">
        <v>79674</v>
      </c>
      <c r="L15786" s="3"/>
      <c r="M15786" s="4"/>
      <c r="N15786" s="3" t="s">
        <v>37</v>
      </c>
      <c r="O15786" s="3" t="s">
        <v>721</v>
      </c>
      <c r="P15786" s="5">
        <v>22</v>
      </c>
      <c r="Q15786" s="5">
        <v>528</v>
      </c>
      <c r="R15786" s="5">
        <v>22</v>
      </c>
      <c r="S15786" s="5">
        <v>519</v>
      </c>
    </row>
    <row r="15787" spans="1:19" ht="28" x14ac:dyDescent="0.15">
      <c r="A15787" s="2">
        <f>HYPERLINK("https://open-school.uspishnemisto.com.ua/school/740085/", 740085)</f>
        <v>740085</v>
      </c>
      <c r="B15787" s="3" t="s">
        <v>79675</v>
      </c>
      <c r="C15787" s="3" t="s">
        <v>31</v>
      </c>
      <c r="D15787" s="3" t="s">
        <v>32</v>
      </c>
      <c r="E15787" s="4" t="s">
        <v>22</v>
      </c>
      <c r="F15787" s="4" t="s">
        <v>79666</v>
      </c>
      <c r="G15787" s="4" t="s">
        <v>79667</v>
      </c>
      <c r="H15787" s="3" t="s">
        <v>79360</v>
      </c>
      <c r="I15787" s="3" t="s">
        <v>79668</v>
      </c>
      <c r="J15787" s="3" t="s">
        <v>14683</v>
      </c>
      <c r="K15787" s="3" t="s">
        <v>79676</v>
      </c>
      <c r="L15787" s="3"/>
      <c r="M15787" s="4"/>
      <c r="N15787" s="3" t="s">
        <v>37</v>
      </c>
      <c r="O15787" s="3" t="s">
        <v>38</v>
      </c>
      <c r="P15787" s="5">
        <v>30</v>
      </c>
      <c r="Q15787" s="5">
        <v>746</v>
      </c>
      <c r="R15787" s="5">
        <v>30</v>
      </c>
      <c r="S15787" s="5">
        <v>755</v>
      </c>
    </row>
    <row r="15788" spans="1:19" ht="28" x14ac:dyDescent="0.15">
      <c r="A15788" s="2">
        <f>HYPERLINK("https://open-school.uspishnemisto.com.ua/school/740086/", 740086)</f>
        <v>740086</v>
      </c>
      <c r="B15788" s="3" t="s">
        <v>79677</v>
      </c>
      <c r="C15788" s="3" t="s">
        <v>31</v>
      </c>
      <c r="D15788" s="3" t="s">
        <v>32</v>
      </c>
      <c r="E15788" s="4" t="s">
        <v>22</v>
      </c>
      <c r="F15788" s="4" t="s">
        <v>79678</v>
      </c>
      <c r="G15788" s="4" t="s">
        <v>79679</v>
      </c>
      <c r="H15788" s="3" t="s">
        <v>79360</v>
      </c>
      <c r="I15788" s="3" t="s">
        <v>79680</v>
      </c>
      <c r="J15788" s="3" t="s">
        <v>79681</v>
      </c>
      <c r="K15788" s="3" t="s">
        <v>79682</v>
      </c>
      <c r="L15788" s="3"/>
      <c r="M15788" s="4"/>
      <c r="N15788" s="3" t="s">
        <v>37</v>
      </c>
      <c r="O15788" s="3" t="s">
        <v>52</v>
      </c>
      <c r="P15788" s="5">
        <v>11</v>
      </c>
      <c r="Q15788" s="5">
        <v>230</v>
      </c>
      <c r="R15788" s="5">
        <v>11</v>
      </c>
      <c r="S15788" s="5">
        <v>222</v>
      </c>
    </row>
    <row r="15789" spans="1:19" ht="28" x14ac:dyDescent="0.15">
      <c r="A15789" s="2">
        <f>HYPERLINK("https://open-school.uspishnemisto.com.ua/school/740087/", 740087)</f>
        <v>740087</v>
      </c>
      <c r="B15789" s="3" t="s">
        <v>79683</v>
      </c>
      <c r="C15789" s="3" t="s">
        <v>181</v>
      </c>
      <c r="D15789" s="3" t="s">
        <v>175</v>
      </c>
      <c r="E15789" s="4" t="s">
        <v>22</v>
      </c>
      <c r="F15789" s="4" t="s">
        <v>79678</v>
      </c>
      <c r="G15789" s="4" t="s">
        <v>79679</v>
      </c>
      <c r="H15789" s="3" t="s">
        <v>79360</v>
      </c>
      <c r="I15789" s="3" t="s">
        <v>79680</v>
      </c>
      <c r="J15789" s="3" t="s">
        <v>3556</v>
      </c>
      <c r="K15789" s="3" t="s">
        <v>79684</v>
      </c>
      <c r="L15789" s="3" t="s">
        <v>79685</v>
      </c>
      <c r="M15789" s="4" t="s">
        <v>79686</v>
      </c>
      <c r="N15789" s="3" t="s">
        <v>37</v>
      </c>
      <c r="O15789" s="3"/>
      <c r="P15789" s="5">
        <v>9</v>
      </c>
      <c r="Q15789" s="5">
        <v>53</v>
      </c>
      <c r="R15789" s="5">
        <v>9</v>
      </c>
      <c r="S15789" s="5">
        <v>53</v>
      </c>
    </row>
    <row r="15790" spans="1:19" ht="28" x14ac:dyDescent="0.15">
      <c r="A15790" s="2">
        <f>HYPERLINK("https://open-school.uspishnemisto.com.ua/school/740088/", 740088)</f>
        <v>740088</v>
      </c>
      <c r="B15790" s="3" t="s">
        <v>79687</v>
      </c>
      <c r="C15790" s="3" t="s">
        <v>31</v>
      </c>
      <c r="D15790" s="3" t="s">
        <v>32</v>
      </c>
      <c r="E15790" s="4" t="s">
        <v>22</v>
      </c>
      <c r="F15790" s="4" t="s">
        <v>79688</v>
      </c>
      <c r="G15790" s="4" t="s">
        <v>79689</v>
      </c>
      <c r="H15790" s="3" t="s">
        <v>79360</v>
      </c>
      <c r="I15790" s="3" t="s">
        <v>11923</v>
      </c>
      <c r="J15790" s="3" t="s">
        <v>5878</v>
      </c>
      <c r="K15790" s="3" t="s">
        <v>79690</v>
      </c>
      <c r="L15790" s="3"/>
      <c r="M15790" s="4"/>
      <c r="N15790" s="3" t="s">
        <v>37</v>
      </c>
      <c r="O15790" s="3" t="s">
        <v>52</v>
      </c>
      <c r="P15790" s="5">
        <v>11</v>
      </c>
      <c r="Q15790" s="5">
        <v>159</v>
      </c>
      <c r="R15790" s="5">
        <v>11</v>
      </c>
      <c r="S15790" s="5">
        <v>178</v>
      </c>
    </row>
    <row r="15791" spans="1:19" ht="28" x14ac:dyDescent="0.15">
      <c r="A15791" s="2">
        <f>HYPERLINK("https://open-school.uspishnemisto.com.ua/school/740089/", 740089)</f>
        <v>740089</v>
      </c>
      <c r="B15791" s="3" t="s">
        <v>79691</v>
      </c>
      <c r="C15791" s="3" t="s">
        <v>31</v>
      </c>
      <c r="D15791" s="3" t="s">
        <v>32</v>
      </c>
      <c r="E15791" s="4" t="s">
        <v>22</v>
      </c>
      <c r="F15791" s="4" t="s">
        <v>79692</v>
      </c>
      <c r="G15791" s="4" t="s">
        <v>79693</v>
      </c>
      <c r="H15791" s="3" t="s">
        <v>79360</v>
      </c>
      <c r="I15791" s="3" t="s">
        <v>79668</v>
      </c>
      <c r="J15791" s="3" t="s">
        <v>4550</v>
      </c>
      <c r="K15791" s="3" t="s">
        <v>79694</v>
      </c>
      <c r="L15791" s="3"/>
      <c r="M15791" s="4"/>
      <c r="N15791" s="3" t="s">
        <v>37</v>
      </c>
      <c r="O15791" s="3" t="s">
        <v>52</v>
      </c>
      <c r="P15791" s="5">
        <v>11</v>
      </c>
      <c r="Q15791" s="5">
        <v>217</v>
      </c>
      <c r="R15791" s="5">
        <v>11</v>
      </c>
      <c r="S15791" s="5">
        <v>204</v>
      </c>
    </row>
    <row r="15792" spans="1:19" ht="42" x14ac:dyDescent="0.15">
      <c r="A15792" s="2">
        <f>HYPERLINK("https://open-school.uspishnemisto.com.ua/school/740090/", 740090)</f>
        <v>740090</v>
      </c>
      <c r="B15792" s="3" t="s">
        <v>79695</v>
      </c>
      <c r="C15792" s="3" t="s">
        <v>54</v>
      </c>
      <c r="D15792" s="3" t="s">
        <v>175</v>
      </c>
      <c r="E15792" s="4" t="s">
        <v>22</v>
      </c>
      <c r="F15792" s="4" t="s">
        <v>79692</v>
      </c>
      <c r="G15792" s="4" t="s">
        <v>79693</v>
      </c>
      <c r="H15792" s="3" t="s">
        <v>79360</v>
      </c>
      <c r="I15792" s="3" t="s">
        <v>79668</v>
      </c>
      <c r="J15792" s="3" t="s">
        <v>27315</v>
      </c>
      <c r="K15792" s="3" t="s">
        <v>79696</v>
      </c>
      <c r="L15792" s="3"/>
      <c r="M15792" s="4"/>
      <c r="N15792" s="3" t="s">
        <v>37</v>
      </c>
      <c r="O15792" s="3" t="s">
        <v>52</v>
      </c>
      <c r="P15792" s="5">
        <v>7</v>
      </c>
      <c r="Q15792" s="5">
        <v>49</v>
      </c>
      <c r="R15792" s="5">
        <v>7</v>
      </c>
      <c r="S15792" s="5">
        <v>52</v>
      </c>
    </row>
    <row r="15793" spans="1:19" ht="56" x14ac:dyDescent="0.15">
      <c r="A15793" s="2">
        <f>HYPERLINK("https://open-school.uspishnemisto.com.ua/school/740091/", 740091)</f>
        <v>740091</v>
      </c>
      <c r="B15793" s="3" t="s">
        <v>79697</v>
      </c>
      <c r="C15793" s="3" t="s">
        <v>54</v>
      </c>
      <c r="D15793" s="3" t="s">
        <v>175</v>
      </c>
      <c r="E15793" s="4" t="s">
        <v>22</v>
      </c>
      <c r="F15793" s="4" t="s">
        <v>79698</v>
      </c>
      <c r="G15793" s="4" t="s">
        <v>79699</v>
      </c>
      <c r="H15793" s="3" t="s">
        <v>79360</v>
      </c>
      <c r="I15793" s="3" t="s">
        <v>79700</v>
      </c>
      <c r="J15793" s="3" t="s">
        <v>9304</v>
      </c>
      <c r="K15793" s="3" t="s">
        <v>79701</v>
      </c>
      <c r="L15793" s="3"/>
      <c r="M15793" s="4"/>
      <c r="N15793" s="3" t="s">
        <v>37</v>
      </c>
      <c r="O15793" s="3" t="s">
        <v>52</v>
      </c>
      <c r="P15793" s="5">
        <v>0</v>
      </c>
      <c r="Q15793" s="5">
        <v>15</v>
      </c>
      <c r="R15793" s="5">
        <v>0</v>
      </c>
      <c r="S15793" s="5">
        <v>14</v>
      </c>
    </row>
    <row r="15794" spans="1:19" ht="28" x14ac:dyDescent="0.15">
      <c r="A15794" s="2">
        <f>HYPERLINK("https://open-school.uspishnemisto.com.ua/school/740092/", 740092)</f>
        <v>740092</v>
      </c>
      <c r="B15794" s="3" t="s">
        <v>79702</v>
      </c>
      <c r="C15794" s="3" t="s">
        <v>31</v>
      </c>
      <c r="D15794" s="3" t="s">
        <v>32</v>
      </c>
      <c r="E15794" s="4" t="s">
        <v>22</v>
      </c>
      <c r="F15794" s="4" t="s">
        <v>79703</v>
      </c>
      <c r="G15794" s="4" t="s">
        <v>79704</v>
      </c>
      <c r="H15794" s="3" t="s">
        <v>79360</v>
      </c>
      <c r="I15794" s="3" t="s">
        <v>17799</v>
      </c>
      <c r="J15794" s="3" t="s">
        <v>6899</v>
      </c>
      <c r="K15794" s="3" t="s">
        <v>79705</v>
      </c>
      <c r="L15794" s="3"/>
      <c r="M15794" s="4"/>
      <c r="N15794" s="3" t="s">
        <v>37</v>
      </c>
      <c r="O15794" s="3" t="s">
        <v>52</v>
      </c>
      <c r="P15794" s="5">
        <v>7</v>
      </c>
      <c r="Q15794" s="5">
        <v>59</v>
      </c>
      <c r="R15794" s="5">
        <v>7</v>
      </c>
      <c r="S15794" s="5">
        <v>58</v>
      </c>
    </row>
    <row r="15795" spans="1:19" ht="56" x14ac:dyDescent="0.15">
      <c r="A15795" s="2">
        <f>HYPERLINK("https://open-school.uspishnemisto.com.ua/school/740093/", 740093)</f>
        <v>740093</v>
      </c>
      <c r="B15795" s="3" t="s">
        <v>79706</v>
      </c>
      <c r="C15795" s="3" t="s">
        <v>54</v>
      </c>
      <c r="D15795" s="3" t="s">
        <v>175</v>
      </c>
      <c r="E15795" s="4" t="s">
        <v>22</v>
      </c>
      <c r="F15795" s="4" t="s">
        <v>79707</v>
      </c>
      <c r="G15795" s="4" t="s">
        <v>79708</v>
      </c>
      <c r="H15795" s="3" t="s">
        <v>79360</v>
      </c>
      <c r="I15795" s="3" t="s">
        <v>12816</v>
      </c>
      <c r="J15795" s="3" t="s">
        <v>79709</v>
      </c>
      <c r="K15795" s="3" t="s">
        <v>79710</v>
      </c>
      <c r="L15795" s="3"/>
      <c r="M15795" s="4"/>
      <c r="N15795" s="3" t="s">
        <v>37</v>
      </c>
      <c r="O15795" s="3" t="s">
        <v>52</v>
      </c>
      <c r="P15795" s="5">
        <v>3</v>
      </c>
      <c r="Q15795" s="5">
        <v>33</v>
      </c>
      <c r="R15795" s="5">
        <v>3</v>
      </c>
      <c r="S15795" s="5">
        <v>29</v>
      </c>
    </row>
    <row r="15796" spans="1:19" ht="28" x14ac:dyDescent="0.15">
      <c r="A15796" s="2">
        <f>HYPERLINK("https://open-school.uspishnemisto.com.ua/school/740094/", 740094)</f>
        <v>740094</v>
      </c>
      <c r="B15796" s="3" t="s">
        <v>79711</v>
      </c>
      <c r="C15796" s="3" t="s">
        <v>31</v>
      </c>
      <c r="D15796" s="3" t="s">
        <v>175</v>
      </c>
      <c r="E15796" s="4" t="s">
        <v>22</v>
      </c>
      <c r="F15796" s="4" t="s">
        <v>79712</v>
      </c>
      <c r="G15796" s="4" t="s">
        <v>79713</v>
      </c>
      <c r="H15796" s="3" t="s">
        <v>79360</v>
      </c>
      <c r="I15796" s="3" t="s">
        <v>32150</v>
      </c>
      <c r="J15796" s="3" t="s">
        <v>79714</v>
      </c>
      <c r="K15796" s="3" t="s">
        <v>79715</v>
      </c>
      <c r="L15796" s="3"/>
      <c r="M15796" s="4"/>
      <c r="N15796" s="3" t="s">
        <v>37</v>
      </c>
      <c r="O15796" s="3" t="s">
        <v>52</v>
      </c>
      <c r="P15796" s="5">
        <v>4</v>
      </c>
      <c r="Q15796" s="5">
        <v>38</v>
      </c>
      <c r="R15796" s="5">
        <v>6</v>
      </c>
      <c r="S15796" s="5">
        <v>41</v>
      </c>
    </row>
    <row r="15797" spans="1:19" ht="28" x14ac:dyDescent="0.15">
      <c r="A15797" s="2">
        <f>HYPERLINK("https://open-school.uspishnemisto.com.ua/school/740095/", 740095)</f>
        <v>740095</v>
      </c>
      <c r="B15797" s="3" t="s">
        <v>79716</v>
      </c>
      <c r="C15797" s="3" t="s">
        <v>31</v>
      </c>
      <c r="D15797" s="3" t="s">
        <v>32</v>
      </c>
      <c r="E15797" s="4" t="s">
        <v>22</v>
      </c>
      <c r="F15797" s="4" t="s">
        <v>79717</v>
      </c>
      <c r="G15797" s="4" t="s">
        <v>79718</v>
      </c>
      <c r="H15797" s="3" t="s">
        <v>79360</v>
      </c>
      <c r="I15797" s="3" t="s">
        <v>59605</v>
      </c>
      <c r="J15797" s="3" t="s">
        <v>7226</v>
      </c>
      <c r="K15797" s="3" t="s">
        <v>79719</v>
      </c>
      <c r="L15797" s="3"/>
      <c r="M15797" s="4"/>
      <c r="N15797" s="3" t="s">
        <v>37</v>
      </c>
      <c r="O15797" s="3" t="s">
        <v>52</v>
      </c>
      <c r="P15797" s="5">
        <v>7</v>
      </c>
      <c r="Q15797" s="5">
        <v>49</v>
      </c>
      <c r="R15797" s="5">
        <v>8</v>
      </c>
      <c r="S15797" s="5">
        <v>56</v>
      </c>
    </row>
    <row r="15798" spans="1:19" ht="56" x14ac:dyDescent="0.15">
      <c r="A15798" s="2">
        <f>HYPERLINK("https://open-school.uspishnemisto.com.ua/school/740096/", 740096)</f>
        <v>740096</v>
      </c>
      <c r="B15798" s="3" t="s">
        <v>79720</v>
      </c>
      <c r="C15798" s="3" t="s">
        <v>54</v>
      </c>
      <c r="D15798" s="3" t="s">
        <v>32</v>
      </c>
      <c r="E15798" s="4" t="s">
        <v>22</v>
      </c>
      <c r="F15798" s="4" t="s">
        <v>79721</v>
      </c>
      <c r="G15798" s="4" t="s">
        <v>79722</v>
      </c>
      <c r="H15798" s="3" t="s">
        <v>79360</v>
      </c>
      <c r="I15798" s="3" t="s">
        <v>2422</v>
      </c>
      <c r="J15798" s="3" t="s">
        <v>2384</v>
      </c>
      <c r="K15798" s="3" t="s">
        <v>79723</v>
      </c>
      <c r="L15798" s="3"/>
      <c r="M15798" s="4"/>
      <c r="N15798" s="3" t="s">
        <v>37</v>
      </c>
      <c r="O15798" s="3" t="s">
        <v>52</v>
      </c>
      <c r="P15798" s="5">
        <v>10</v>
      </c>
      <c r="Q15798" s="5">
        <v>72</v>
      </c>
      <c r="R15798" s="5">
        <v>10</v>
      </c>
      <c r="S15798" s="5">
        <v>72</v>
      </c>
    </row>
    <row r="15799" spans="1:19" ht="28" x14ac:dyDescent="0.15">
      <c r="A15799" s="2">
        <f>HYPERLINK("https://open-school.uspishnemisto.com.ua/school/740097/", 740097)</f>
        <v>740097</v>
      </c>
      <c r="B15799" s="3" t="s">
        <v>79724</v>
      </c>
      <c r="C15799" s="3" t="s">
        <v>31</v>
      </c>
      <c r="D15799" s="3" t="s">
        <v>32</v>
      </c>
      <c r="E15799" s="4" t="s">
        <v>22</v>
      </c>
      <c r="F15799" s="4" t="s">
        <v>79725</v>
      </c>
      <c r="G15799" s="4" t="s">
        <v>79726</v>
      </c>
      <c r="H15799" s="3" t="s">
        <v>79360</v>
      </c>
      <c r="I15799" s="3" t="s">
        <v>2475</v>
      </c>
      <c r="J15799" s="3" t="s">
        <v>2446</v>
      </c>
      <c r="K15799" s="3" t="s">
        <v>79727</v>
      </c>
      <c r="L15799" s="3"/>
      <c r="M15799" s="4"/>
      <c r="N15799" s="3" t="s">
        <v>37</v>
      </c>
      <c r="O15799" s="3" t="s">
        <v>52</v>
      </c>
      <c r="P15799" s="5">
        <v>10</v>
      </c>
      <c r="Q15799" s="5">
        <v>96</v>
      </c>
      <c r="R15799" s="5">
        <v>9</v>
      </c>
      <c r="S15799" s="5">
        <v>100</v>
      </c>
    </row>
    <row r="15800" spans="1:19" ht="56" x14ac:dyDescent="0.15">
      <c r="A15800" s="2">
        <f>HYPERLINK("https://open-school.uspishnemisto.com.ua/school/740098/", 740098)</f>
        <v>740098</v>
      </c>
      <c r="B15800" s="3" t="s">
        <v>79728</v>
      </c>
      <c r="C15800" s="3" t="s">
        <v>54</v>
      </c>
      <c r="D15800" s="3" t="s">
        <v>32</v>
      </c>
      <c r="E15800" s="4" t="s">
        <v>22</v>
      </c>
      <c r="F15800" s="4" t="s">
        <v>79729</v>
      </c>
      <c r="G15800" s="4" t="s">
        <v>79730</v>
      </c>
      <c r="H15800" s="3" t="s">
        <v>79360</v>
      </c>
      <c r="I15800" s="3" t="s">
        <v>79731</v>
      </c>
      <c r="J15800" s="3" t="s">
        <v>297</v>
      </c>
      <c r="K15800" s="3" t="s">
        <v>79732</v>
      </c>
      <c r="L15800" s="3"/>
      <c r="M15800" s="4"/>
      <c r="N15800" s="3" t="s">
        <v>37</v>
      </c>
      <c r="O15800" s="3" t="s">
        <v>46</v>
      </c>
      <c r="P15800" s="5">
        <v>8</v>
      </c>
      <c r="Q15800" s="5">
        <v>69</v>
      </c>
      <c r="R15800" s="5">
        <v>9</v>
      </c>
      <c r="S15800" s="5">
        <v>63</v>
      </c>
    </row>
    <row r="15801" spans="1:19" ht="28" x14ac:dyDescent="0.15">
      <c r="A15801" s="2">
        <f>HYPERLINK("https://open-school.uspishnemisto.com.ua/school/740099/", 740099)</f>
        <v>740099</v>
      </c>
      <c r="B15801" s="3" t="s">
        <v>79733</v>
      </c>
      <c r="C15801" s="3" t="s">
        <v>31</v>
      </c>
      <c r="D15801" s="3" t="s">
        <v>32</v>
      </c>
      <c r="E15801" s="4" t="s">
        <v>22</v>
      </c>
      <c r="F15801" s="4" t="s">
        <v>79734</v>
      </c>
      <c r="G15801" s="4" t="s">
        <v>79735</v>
      </c>
      <c r="H15801" s="3" t="s">
        <v>79360</v>
      </c>
      <c r="I15801" s="3" t="s">
        <v>18694</v>
      </c>
      <c r="J15801" s="3" t="s">
        <v>79736</v>
      </c>
      <c r="K15801" s="3" t="s">
        <v>79737</v>
      </c>
      <c r="L15801" s="3"/>
      <c r="M15801" s="4"/>
      <c r="N15801" s="3" t="s">
        <v>37</v>
      </c>
      <c r="O15801" s="3" t="s">
        <v>52</v>
      </c>
      <c r="P15801" s="5">
        <v>5</v>
      </c>
      <c r="Q15801" s="5">
        <v>44</v>
      </c>
      <c r="R15801" s="5">
        <v>5</v>
      </c>
      <c r="S15801" s="5">
        <v>42</v>
      </c>
    </row>
    <row r="15802" spans="1:19" ht="42" x14ac:dyDescent="0.15">
      <c r="A15802" s="2">
        <f>HYPERLINK("https://open-school.uspishnemisto.com.ua/school/740100/", 740100)</f>
        <v>740100</v>
      </c>
      <c r="B15802" s="3" t="s">
        <v>79738</v>
      </c>
      <c r="C15802" s="3" t="s">
        <v>54</v>
      </c>
      <c r="D15802" s="3" t="s">
        <v>32</v>
      </c>
      <c r="E15802" s="4" t="s">
        <v>22</v>
      </c>
      <c r="F15802" s="4" t="s">
        <v>79739</v>
      </c>
      <c r="G15802" s="4" t="s">
        <v>79740</v>
      </c>
      <c r="H15802" s="3" t="s">
        <v>79360</v>
      </c>
      <c r="I15802" s="3" t="s">
        <v>4005</v>
      </c>
      <c r="J15802" s="3" t="s">
        <v>466</v>
      </c>
      <c r="K15802" s="3" t="s">
        <v>79741</v>
      </c>
      <c r="L15802" s="3"/>
      <c r="M15802" s="4"/>
      <c r="N15802" s="3" t="s">
        <v>37</v>
      </c>
      <c r="O15802" s="3" t="s">
        <v>52</v>
      </c>
      <c r="P15802" s="5">
        <v>7</v>
      </c>
      <c r="Q15802" s="5">
        <v>58</v>
      </c>
      <c r="R15802" s="5">
        <v>9</v>
      </c>
      <c r="S15802" s="5">
        <v>66</v>
      </c>
    </row>
    <row r="15803" spans="1:19" ht="28" x14ac:dyDescent="0.15">
      <c r="A15803" s="2">
        <f>HYPERLINK("https://open-school.uspishnemisto.com.ua/school/740101/", 740101)</f>
        <v>740101</v>
      </c>
      <c r="B15803" s="3" t="s">
        <v>79742</v>
      </c>
      <c r="C15803" s="3" t="s">
        <v>31</v>
      </c>
      <c r="D15803" s="3" t="s">
        <v>175</v>
      </c>
      <c r="E15803" s="4" t="s">
        <v>22</v>
      </c>
      <c r="F15803" s="4" t="s">
        <v>79743</v>
      </c>
      <c r="G15803" s="4" t="s">
        <v>79744</v>
      </c>
      <c r="H15803" s="3" t="s">
        <v>79360</v>
      </c>
      <c r="I15803" s="3" t="s">
        <v>79745</v>
      </c>
      <c r="J15803" s="3" t="s">
        <v>79746</v>
      </c>
      <c r="K15803" s="3" t="s">
        <v>79747</v>
      </c>
      <c r="L15803" s="3"/>
      <c r="M15803" s="4"/>
      <c r="N15803" s="3" t="s">
        <v>37</v>
      </c>
      <c r="O15803" s="3" t="s">
        <v>52</v>
      </c>
      <c r="P15803" s="5">
        <v>8</v>
      </c>
      <c r="Q15803" s="5">
        <v>55</v>
      </c>
      <c r="R15803" s="5">
        <v>8</v>
      </c>
      <c r="S15803" s="5">
        <v>55</v>
      </c>
    </row>
    <row r="15804" spans="1:19" ht="56" x14ac:dyDescent="0.15">
      <c r="A15804" s="2">
        <f>HYPERLINK("https://open-school.uspishnemisto.com.ua/school/740102/", 740102)</f>
        <v>740102</v>
      </c>
      <c r="B15804" s="3" t="s">
        <v>79748</v>
      </c>
      <c r="C15804" s="3" t="s">
        <v>54</v>
      </c>
      <c r="D15804" s="3" t="s">
        <v>32</v>
      </c>
      <c r="E15804" s="4" t="s">
        <v>22</v>
      </c>
      <c r="F15804" s="4" t="s">
        <v>79743</v>
      </c>
      <c r="G15804" s="4" t="s">
        <v>79744</v>
      </c>
      <c r="H15804" s="3" t="s">
        <v>79360</v>
      </c>
      <c r="I15804" s="3" t="s">
        <v>79745</v>
      </c>
      <c r="J15804" s="3" t="s">
        <v>792</v>
      </c>
      <c r="K15804" s="3" t="s">
        <v>79749</v>
      </c>
      <c r="L15804" s="3"/>
      <c r="M15804" s="4"/>
      <c r="N15804" s="3" t="s">
        <v>37</v>
      </c>
      <c r="O15804" s="3" t="s">
        <v>46</v>
      </c>
      <c r="P15804" s="5">
        <v>11</v>
      </c>
      <c r="Q15804" s="5">
        <v>222</v>
      </c>
      <c r="R15804" s="5">
        <v>11</v>
      </c>
      <c r="S15804" s="5">
        <v>221</v>
      </c>
    </row>
    <row r="15805" spans="1:19" ht="56" x14ac:dyDescent="0.15">
      <c r="A15805" s="2">
        <f>HYPERLINK("https://open-school.uspishnemisto.com.ua/school/740103/", 740103)</f>
        <v>740103</v>
      </c>
      <c r="B15805" s="3" t="s">
        <v>79750</v>
      </c>
      <c r="C15805" s="3" t="s">
        <v>54</v>
      </c>
      <c r="D15805" s="3" t="s">
        <v>60</v>
      </c>
      <c r="E15805" s="4" t="s">
        <v>22</v>
      </c>
      <c r="F15805" s="4" t="s">
        <v>79751</v>
      </c>
      <c r="G15805" s="4" t="s">
        <v>79752</v>
      </c>
      <c r="H15805" s="3" t="s">
        <v>79360</v>
      </c>
      <c r="I15805" s="3" t="s">
        <v>79753</v>
      </c>
      <c r="J15805" s="3" t="s">
        <v>1348</v>
      </c>
      <c r="K15805" s="3" t="s">
        <v>79754</v>
      </c>
      <c r="L15805" s="3"/>
      <c r="M15805" s="4"/>
      <c r="N15805" s="3" t="s">
        <v>37</v>
      </c>
      <c r="O15805" s="3" t="s">
        <v>52</v>
      </c>
      <c r="P15805" s="5">
        <v>0</v>
      </c>
      <c r="Q15805" s="5">
        <v>0</v>
      </c>
      <c r="R15805" s="5">
        <v>0</v>
      </c>
      <c r="S15805" s="5">
        <v>10</v>
      </c>
    </row>
    <row r="15806" spans="1:19" ht="56" x14ac:dyDescent="0.15">
      <c r="A15806" s="2">
        <f>HYPERLINK("https://open-school.uspishnemisto.com.ua/school/740104/", 740104)</f>
        <v>740104</v>
      </c>
      <c r="B15806" s="3" t="s">
        <v>79755</v>
      </c>
      <c r="C15806" s="3" t="s">
        <v>54</v>
      </c>
      <c r="D15806" s="3" t="s">
        <v>32</v>
      </c>
      <c r="E15806" s="4" t="s">
        <v>22</v>
      </c>
      <c r="F15806" s="4" t="s">
        <v>79756</v>
      </c>
      <c r="G15806" s="4" t="s">
        <v>79757</v>
      </c>
      <c r="H15806" s="3" t="s">
        <v>79360</v>
      </c>
      <c r="I15806" s="3" t="s">
        <v>79758</v>
      </c>
      <c r="J15806" s="3" t="s">
        <v>79759</v>
      </c>
      <c r="K15806" s="3" t="s">
        <v>79760</v>
      </c>
      <c r="L15806" s="3"/>
      <c r="M15806" s="4"/>
      <c r="N15806" s="3" t="s">
        <v>37</v>
      </c>
      <c r="O15806" s="3" t="s">
        <v>52</v>
      </c>
      <c r="P15806" s="5">
        <v>9</v>
      </c>
      <c r="Q15806" s="5">
        <v>72</v>
      </c>
      <c r="R15806" s="5">
        <v>9</v>
      </c>
      <c r="S15806" s="5">
        <v>76</v>
      </c>
    </row>
    <row r="15807" spans="1:19" ht="42" x14ac:dyDescent="0.15">
      <c r="A15807" s="2">
        <f>HYPERLINK("https://open-school.uspishnemisto.com.ua/school/740105/", 740105)</f>
        <v>740105</v>
      </c>
      <c r="B15807" s="3" t="s">
        <v>79761</v>
      </c>
      <c r="C15807" s="3" t="s">
        <v>54</v>
      </c>
      <c r="D15807" s="3" t="s">
        <v>175</v>
      </c>
      <c r="E15807" s="4" t="s">
        <v>22</v>
      </c>
      <c r="F15807" s="4" t="s">
        <v>79762</v>
      </c>
      <c r="G15807" s="4" t="s">
        <v>79763</v>
      </c>
      <c r="H15807" s="3" t="s">
        <v>79360</v>
      </c>
      <c r="I15807" s="3" t="s">
        <v>79764</v>
      </c>
      <c r="J15807" s="3" t="s">
        <v>79765</v>
      </c>
      <c r="K15807" s="3" t="s">
        <v>79766</v>
      </c>
      <c r="L15807" s="3"/>
      <c r="M15807" s="4"/>
      <c r="N15807" s="3" t="s">
        <v>37</v>
      </c>
      <c r="O15807" s="3" t="s">
        <v>52</v>
      </c>
      <c r="P15807" s="5">
        <v>4</v>
      </c>
      <c r="Q15807" s="5">
        <v>41</v>
      </c>
      <c r="R15807" s="5">
        <v>5</v>
      </c>
      <c r="S15807" s="5">
        <v>41</v>
      </c>
    </row>
    <row r="15808" spans="1:19" ht="56" x14ac:dyDescent="0.15">
      <c r="A15808" s="2">
        <f>HYPERLINK("https://open-school.uspishnemisto.com.ua/school/740107/", 740107)</f>
        <v>740107</v>
      </c>
      <c r="B15808" s="3" t="s">
        <v>79767</v>
      </c>
      <c r="C15808" s="3" t="s">
        <v>54</v>
      </c>
      <c r="D15808" s="3" t="s">
        <v>175</v>
      </c>
      <c r="E15808" s="4" t="s">
        <v>22</v>
      </c>
      <c r="F15808" s="4" t="s">
        <v>79768</v>
      </c>
      <c r="G15808" s="4" t="s">
        <v>79769</v>
      </c>
      <c r="H15808" s="3" t="s">
        <v>79360</v>
      </c>
      <c r="I15808" s="3" t="s">
        <v>79770</v>
      </c>
      <c r="J15808" s="3" t="s">
        <v>466</v>
      </c>
      <c r="K15808" s="3" t="s">
        <v>79771</v>
      </c>
      <c r="L15808" s="3"/>
      <c r="M15808" s="4"/>
      <c r="N15808" s="3" t="s">
        <v>37</v>
      </c>
      <c r="O15808" s="3" t="s">
        <v>52</v>
      </c>
      <c r="P15808" s="5">
        <v>3</v>
      </c>
      <c r="Q15808" s="5">
        <v>32</v>
      </c>
      <c r="R15808" s="5">
        <v>2</v>
      </c>
      <c r="S15808" s="5">
        <v>28</v>
      </c>
    </row>
    <row r="15809" spans="1:19" ht="28" x14ac:dyDescent="0.15">
      <c r="A15809" s="2">
        <f>HYPERLINK("https://open-school.uspishnemisto.com.ua/school/740108/", 740108)</f>
        <v>740108</v>
      </c>
      <c r="B15809" s="3" t="s">
        <v>79772</v>
      </c>
      <c r="C15809" s="3" t="s">
        <v>31</v>
      </c>
      <c r="D15809" s="3" t="s">
        <v>32</v>
      </c>
      <c r="E15809" s="4" t="s">
        <v>22</v>
      </c>
      <c r="F15809" s="4" t="s">
        <v>79773</v>
      </c>
      <c r="G15809" s="4" t="s">
        <v>79774</v>
      </c>
      <c r="H15809" s="3" t="s">
        <v>79360</v>
      </c>
      <c r="I15809" s="3" t="s">
        <v>79775</v>
      </c>
      <c r="J15809" s="3" t="s">
        <v>1495</v>
      </c>
      <c r="K15809" s="3" t="s">
        <v>79776</v>
      </c>
      <c r="L15809" s="3"/>
      <c r="M15809" s="4"/>
      <c r="N15809" s="3" t="s">
        <v>37</v>
      </c>
      <c r="O15809" s="3" t="s">
        <v>52</v>
      </c>
      <c r="P15809" s="5">
        <v>3</v>
      </c>
      <c r="Q15809" s="5">
        <v>37</v>
      </c>
      <c r="R15809" s="5">
        <v>3</v>
      </c>
      <c r="S15809" s="5">
        <v>41</v>
      </c>
    </row>
    <row r="15810" spans="1:19" ht="28" x14ac:dyDescent="0.15">
      <c r="A15810" s="2">
        <f>HYPERLINK("https://open-school.uspishnemisto.com.ua/school/740109/", 740109)</f>
        <v>740109</v>
      </c>
      <c r="B15810" s="3" t="s">
        <v>79777</v>
      </c>
      <c r="C15810" s="3" t="s">
        <v>31</v>
      </c>
      <c r="D15810" s="3" t="s">
        <v>32</v>
      </c>
      <c r="E15810" s="4" t="s">
        <v>22</v>
      </c>
      <c r="F15810" s="4" t="s">
        <v>79778</v>
      </c>
      <c r="G15810" s="4" t="s">
        <v>79779</v>
      </c>
      <c r="H15810" s="3" t="s">
        <v>79360</v>
      </c>
      <c r="I15810" s="3" t="s">
        <v>4677</v>
      </c>
      <c r="J15810" s="3" t="s">
        <v>554</v>
      </c>
      <c r="K15810" s="3" t="s">
        <v>79780</v>
      </c>
      <c r="L15810" s="3"/>
      <c r="M15810" s="4"/>
      <c r="N15810" s="3" t="s">
        <v>37</v>
      </c>
      <c r="O15810" s="3" t="s">
        <v>52</v>
      </c>
      <c r="P15810" s="5">
        <v>10</v>
      </c>
      <c r="Q15810" s="5">
        <v>69</v>
      </c>
      <c r="R15810" s="5">
        <v>10</v>
      </c>
      <c r="S15810" s="5">
        <v>69</v>
      </c>
    </row>
    <row r="15811" spans="1:19" ht="28" x14ac:dyDescent="0.15">
      <c r="A15811" s="2">
        <f>HYPERLINK("https://open-school.uspishnemisto.com.ua/school/740110/", 740110)</f>
        <v>740110</v>
      </c>
      <c r="B15811" s="3" t="s">
        <v>79781</v>
      </c>
      <c r="C15811" s="3" t="s">
        <v>31</v>
      </c>
      <c r="D15811" s="3" t="s">
        <v>32</v>
      </c>
      <c r="E15811" s="4" t="s">
        <v>22</v>
      </c>
      <c r="F15811" s="4" t="s">
        <v>79782</v>
      </c>
      <c r="G15811" s="4" t="s">
        <v>79783</v>
      </c>
      <c r="H15811" s="3" t="s">
        <v>79360</v>
      </c>
      <c r="I15811" s="3" t="s">
        <v>79784</v>
      </c>
      <c r="J15811" s="3" t="s">
        <v>726</v>
      </c>
      <c r="K15811" s="3" t="s">
        <v>79785</v>
      </c>
      <c r="L15811" s="3"/>
      <c r="M15811" s="4"/>
      <c r="N15811" s="3" t="s">
        <v>37</v>
      </c>
      <c r="O15811" s="3" t="s">
        <v>52</v>
      </c>
      <c r="P15811" s="5">
        <v>10</v>
      </c>
      <c r="Q15811" s="5">
        <v>135</v>
      </c>
      <c r="R15811" s="5">
        <v>10</v>
      </c>
      <c r="S15811" s="5">
        <v>137</v>
      </c>
    </row>
    <row r="15812" spans="1:19" ht="56" x14ac:dyDescent="0.15">
      <c r="A15812" s="2">
        <f>HYPERLINK("https://open-school.uspishnemisto.com.ua/school/740111/", 740111)</f>
        <v>740111</v>
      </c>
      <c r="B15812" s="3" t="s">
        <v>79786</v>
      </c>
      <c r="C15812" s="3" t="s">
        <v>54</v>
      </c>
      <c r="D15812" s="3" t="s">
        <v>32</v>
      </c>
      <c r="E15812" s="4" t="s">
        <v>22</v>
      </c>
      <c r="F15812" s="4" t="s">
        <v>79787</v>
      </c>
      <c r="G15812" s="4" t="s">
        <v>79788</v>
      </c>
      <c r="H15812" s="3" t="s">
        <v>79360</v>
      </c>
      <c r="I15812" s="3" t="s">
        <v>79789</v>
      </c>
      <c r="J15812" s="3" t="s">
        <v>694</v>
      </c>
      <c r="K15812" s="3" t="s">
        <v>79790</v>
      </c>
      <c r="L15812" s="3" t="s">
        <v>79791</v>
      </c>
      <c r="M15812" s="4"/>
      <c r="N15812" s="3" t="s">
        <v>37</v>
      </c>
      <c r="O15812" s="3" t="s">
        <v>52</v>
      </c>
      <c r="P15812" s="5">
        <v>9</v>
      </c>
      <c r="Q15812" s="5">
        <v>56</v>
      </c>
      <c r="R15812" s="5">
        <v>8</v>
      </c>
      <c r="S15812" s="5">
        <v>60</v>
      </c>
    </row>
    <row r="15813" spans="1:19" ht="28" x14ac:dyDescent="0.15">
      <c r="A15813" s="2">
        <f>HYPERLINK("https://open-school.uspishnemisto.com.ua/school/740112/", 740112)</f>
        <v>740112</v>
      </c>
      <c r="B15813" s="3" t="s">
        <v>79792</v>
      </c>
      <c r="C15813" s="3" t="s">
        <v>31</v>
      </c>
      <c r="D15813" s="3" t="s">
        <v>32</v>
      </c>
      <c r="E15813" s="4" t="s">
        <v>22</v>
      </c>
      <c r="F15813" s="4" t="s">
        <v>79793</v>
      </c>
      <c r="G15813" s="4" t="s">
        <v>79794</v>
      </c>
      <c r="H15813" s="3" t="s">
        <v>79360</v>
      </c>
      <c r="I15813" s="3" t="s">
        <v>79795</v>
      </c>
      <c r="J15813" s="3" t="s">
        <v>79796</v>
      </c>
      <c r="K15813" s="3" t="s">
        <v>79797</v>
      </c>
      <c r="L15813" s="3"/>
      <c r="M15813" s="4"/>
      <c r="N15813" s="3" t="s">
        <v>37</v>
      </c>
      <c r="O15813" s="3" t="s">
        <v>52</v>
      </c>
      <c r="P15813" s="5">
        <v>9</v>
      </c>
      <c r="Q15813" s="5">
        <v>75</v>
      </c>
      <c r="R15813" s="5">
        <v>9</v>
      </c>
      <c r="S15813" s="5">
        <v>72</v>
      </c>
    </row>
    <row r="15814" spans="1:19" ht="28" x14ac:dyDescent="0.15">
      <c r="A15814" s="2">
        <f>HYPERLINK("https://open-school.uspishnemisto.com.ua/school/740113/", 740113)</f>
        <v>740113</v>
      </c>
      <c r="B15814" s="3" t="s">
        <v>79798</v>
      </c>
      <c r="C15814" s="3" t="s">
        <v>40</v>
      </c>
      <c r="D15814" s="3" t="s">
        <v>32</v>
      </c>
      <c r="E15814" s="4" t="s">
        <v>22</v>
      </c>
      <c r="F15814" s="4" t="s">
        <v>79799</v>
      </c>
      <c r="G15814" s="4" t="s">
        <v>79800</v>
      </c>
      <c r="H15814" s="3" t="s">
        <v>79360</v>
      </c>
      <c r="I15814" s="3" t="s">
        <v>79801</v>
      </c>
      <c r="J15814" s="3" t="s">
        <v>866</v>
      </c>
      <c r="K15814" s="3" t="s">
        <v>79802</v>
      </c>
      <c r="L15814" s="3" t="s">
        <v>79803</v>
      </c>
      <c r="M15814" s="4"/>
      <c r="N15814" s="3" t="s">
        <v>37</v>
      </c>
      <c r="O15814" s="3" t="s">
        <v>52</v>
      </c>
      <c r="P15814" s="5">
        <v>17</v>
      </c>
      <c r="Q15814" s="5">
        <v>436</v>
      </c>
      <c r="R15814" s="5">
        <v>17</v>
      </c>
      <c r="S15814" s="5">
        <v>434</v>
      </c>
    </row>
    <row r="15815" spans="1:19" ht="28" x14ac:dyDescent="0.15">
      <c r="A15815" s="2">
        <f>HYPERLINK("https://open-school.uspishnemisto.com.ua/school/740114/", 740114)</f>
        <v>740114</v>
      </c>
      <c r="B15815" s="3" t="s">
        <v>79804</v>
      </c>
      <c r="C15815" s="3" t="s">
        <v>31</v>
      </c>
      <c r="D15815" s="3" t="s">
        <v>32</v>
      </c>
      <c r="E15815" s="4" t="s">
        <v>22</v>
      </c>
      <c r="F15815" s="4" t="s">
        <v>79799</v>
      </c>
      <c r="G15815" s="4" t="s">
        <v>79800</v>
      </c>
      <c r="H15815" s="3" t="s">
        <v>79360</v>
      </c>
      <c r="I15815" s="3" t="s">
        <v>79801</v>
      </c>
      <c r="J15815" s="3" t="s">
        <v>79805</v>
      </c>
      <c r="K15815" s="3" t="s">
        <v>79806</v>
      </c>
      <c r="L15815" s="3" t="s">
        <v>79807</v>
      </c>
      <c r="M15815" s="4"/>
      <c r="N15815" s="3" t="s">
        <v>37</v>
      </c>
      <c r="O15815" s="3" t="s">
        <v>38</v>
      </c>
      <c r="P15815" s="5">
        <v>27</v>
      </c>
      <c r="Q15815" s="5">
        <v>667</v>
      </c>
      <c r="R15815" s="5">
        <v>26</v>
      </c>
      <c r="S15815" s="5">
        <v>611</v>
      </c>
    </row>
    <row r="15816" spans="1:19" ht="28" x14ac:dyDescent="0.15">
      <c r="A15816" s="2">
        <f>HYPERLINK("https://open-school.uspishnemisto.com.ua/school/740115/", 740115)</f>
        <v>740115</v>
      </c>
      <c r="B15816" s="3" t="s">
        <v>79808</v>
      </c>
      <c r="C15816" s="3" t="s">
        <v>31</v>
      </c>
      <c r="D15816" s="3" t="s">
        <v>32</v>
      </c>
      <c r="E15816" s="4" t="s">
        <v>22</v>
      </c>
      <c r="F15816" s="4" t="s">
        <v>79799</v>
      </c>
      <c r="G15816" s="4" t="s">
        <v>79800</v>
      </c>
      <c r="H15816" s="3" t="s">
        <v>79360</v>
      </c>
      <c r="I15816" s="3" t="s">
        <v>79801</v>
      </c>
      <c r="J15816" s="3" t="s">
        <v>79809</v>
      </c>
      <c r="K15816" s="3" t="s">
        <v>79810</v>
      </c>
      <c r="L15816" s="3"/>
      <c r="M15816" s="4"/>
      <c r="N15816" s="3" t="s">
        <v>37</v>
      </c>
      <c r="O15816" s="3" t="s">
        <v>38</v>
      </c>
      <c r="P15816" s="5">
        <v>10</v>
      </c>
      <c r="Q15816" s="5">
        <v>174</v>
      </c>
      <c r="R15816" s="5">
        <v>10</v>
      </c>
      <c r="S15816" s="5">
        <v>179</v>
      </c>
    </row>
    <row r="15817" spans="1:19" ht="28" x14ac:dyDescent="0.15">
      <c r="A15817" s="2">
        <f>HYPERLINK("https://open-school.uspishnemisto.com.ua/school/740116/", 740116)</f>
        <v>740116</v>
      </c>
      <c r="B15817" s="3" t="s">
        <v>79811</v>
      </c>
      <c r="C15817" s="3" t="s">
        <v>31</v>
      </c>
      <c r="D15817" s="3" t="s">
        <v>175</v>
      </c>
      <c r="E15817" s="4" t="s">
        <v>22</v>
      </c>
      <c r="F15817" s="4" t="s">
        <v>79812</v>
      </c>
      <c r="G15817" s="4" t="s">
        <v>79813</v>
      </c>
      <c r="H15817" s="3" t="s">
        <v>79360</v>
      </c>
      <c r="I15817" s="3" t="s">
        <v>19348</v>
      </c>
      <c r="J15817" s="3" t="s">
        <v>1857</v>
      </c>
      <c r="K15817" s="3" t="s">
        <v>79814</v>
      </c>
      <c r="L15817" s="3"/>
      <c r="M15817" s="4"/>
      <c r="N15817" s="3" t="s">
        <v>37</v>
      </c>
      <c r="O15817" s="3" t="s">
        <v>38</v>
      </c>
      <c r="P15817" s="5">
        <v>5</v>
      </c>
      <c r="Q15817" s="5">
        <v>45</v>
      </c>
      <c r="R15817" s="5">
        <v>5</v>
      </c>
      <c r="S15817" s="5">
        <v>43</v>
      </c>
    </row>
    <row r="15818" spans="1:19" ht="56" x14ac:dyDescent="0.15">
      <c r="A15818" s="2">
        <f>HYPERLINK("https://open-school.uspishnemisto.com.ua/school/740117/", 740117)</f>
        <v>740117</v>
      </c>
      <c r="B15818" s="3" t="s">
        <v>79815</v>
      </c>
      <c r="C15818" s="3" t="s">
        <v>54</v>
      </c>
      <c r="D15818" s="3" t="s">
        <v>32</v>
      </c>
      <c r="E15818" s="4" t="s">
        <v>22</v>
      </c>
      <c r="F15818" s="4" t="s">
        <v>79816</v>
      </c>
      <c r="G15818" s="4" t="s">
        <v>79817</v>
      </c>
      <c r="H15818" s="3" t="s">
        <v>79360</v>
      </c>
      <c r="I15818" s="3" t="s">
        <v>1291</v>
      </c>
      <c r="J15818" s="3" t="s">
        <v>79818</v>
      </c>
      <c r="K15818" s="3" t="s">
        <v>79819</v>
      </c>
      <c r="L15818" s="3"/>
      <c r="M15818" s="4"/>
      <c r="N15818" s="3" t="s">
        <v>37</v>
      </c>
      <c r="O15818" s="3" t="s">
        <v>46</v>
      </c>
      <c r="P15818" s="5">
        <v>3</v>
      </c>
      <c r="Q15818" s="5">
        <v>26</v>
      </c>
      <c r="R15818" s="5">
        <v>3</v>
      </c>
      <c r="S15818" s="5">
        <v>35</v>
      </c>
    </row>
    <row r="15819" spans="1:19" ht="28" x14ac:dyDescent="0.15">
      <c r="A15819" s="2">
        <f>HYPERLINK("https://open-school.uspishnemisto.com.ua/school/740118/", 740118)</f>
        <v>740118</v>
      </c>
      <c r="B15819" s="3" t="s">
        <v>79820</v>
      </c>
      <c r="C15819" s="3" t="s">
        <v>31</v>
      </c>
      <c r="D15819" s="3" t="s">
        <v>175</v>
      </c>
      <c r="E15819" s="4" t="s">
        <v>22</v>
      </c>
      <c r="F15819" s="4" t="s">
        <v>79821</v>
      </c>
      <c r="G15819" s="4" t="s">
        <v>79822</v>
      </c>
      <c r="H15819" s="3" t="s">
        <v>79360</v>
      </c>
      <c r="I15819" s="3" t="s">
        <v>79823</v>
      </c>
      <c r="J15819" s="3" t="s">
        <v>79824</v>
      </c>
      <c r="K15819" s="3" t="s">
        <v>79825</v>
      </c>
      <c r="L15819" s="3"/>
      <c r="M15819" s="4"/>
      <c r="N15819" s="3" t="s">
        <v>37</v>
      </c>
      <c r="O15819" s="3" t="s">
        <v>52</v>
      </c>
      <c r="P15819" s="5">
        <v>2</v>
      </c>
      <c r="Q15819" s="5">
        <v>26</v>
      </c>
      <c r="R15819" s="5">
        <v>2</v>
      </c>
      <c r="S15819" s="5">
        <v>27</v>
      </c>
    </row>
    <row r="15820" spans="1:19" ht="28" x14ac:dyDescent="0.15">
      <c r="A15820" s="2">
        <f>HYPERLINK("https://open-school.uspishnemisto.com.ua/school/740119/", 740119)</f>
        <v>740119</v>
      </c>
      <c r="B15820" s="3" t="s">
        <v>79826</v>
      </c>
      <c r="C15820" s="3" t="s">
        <v>31</v>
      </c>
      <c r="D15820" s="3" t="s">
        <v>32</v>
      </c>
      <c r="E15820" s="4" t="s">
        <v>22</v>
      </c>
      <c r="F15820" s="4" t="s">
        <v>79827</v>
      </c>
      <c r="G15820" s="4" t="s">
        <v>79828</v>
      </c>
      <c r="H15820" s="3" t="s">
        <v>79360</v>
      </c>
      <c r="I15820" s="3" t="s">
        <v>79829</v>
      </c>
      <c r="J15820" s="3" t="s">
        <v>79830</v>
      </c>
      <c r="K15820" s="3" t="s">
        <v>79831</v>
      </c>
      <c r="L15820" s="3" t="s">
        <v>79832</v>
      </c>
      <c r="M15820" s="4"/>
      <c r="N15820" s="3" t="s">
        <v>37</v>
      </c>
      <c r="O15820" s="3" t="s">
        <v>52</v>
      </c>
      <c r="P15820" s="5">
        <v>2</v>
      </c>
      <c r="Q15820" s="5">
        <v>28</v>
      </c>
      <c r="R15820" s="5">
        <v>2</v>
      </c>
      <c r="S15820" s="5">
        <v>27</v>
      </c>
    </row>
    <row r="15821" spans="1:19" ht="28" x14ac:dyDescent="0.15">
      <c r="A15821" s="2">
        <f>HYPERLINK("https://open-school.uspishnemisto.com.ua/school/740120/", 740120)</f>
        <v>740120</v>
      </c>
      <c r="B15821" s="3" t="s">
        <v>79833</v>
      </c>
      <c r="C15821" s="3" t="s">
        <v>31</v>
      </c>
      <c r="D15821" s="3" t="s">
        <v>175</v>
      </c>
      <c r="E15821" s="4" t="s">
        <v>22</v>
      </c>
      <c r="F15821" s="4" t="s">
        <v>79834</v>
      </c>
      <c r="G15821" s="4" t="s">
        <v>79835</v>
      </c>
      <c r="H15821" s="3" t="s">
        <v>79360</v>
      </c>
      <c r="I15821" s="3" t="s">
        <v>79836</v>
      </c>
      <c r="J15821" s="3" t="s">
        <v>952</v>
      </c>
      <c r="K15821" s="3" t="s">
        <v>79837</v>
      </c>
      <c r="L15821" s="3"/>
      <c r="M15821" s="4"/>
      <c r="N15821" s="3" t="s">
        <v>37</v>
      </c>
      <c r="O15821" s="3" t="s">
        <v>52</v>
      </c>
      <c r="P15821" s="5">
        <v>4</v>
      </c>
      <c r="Q15821" s="5">
        <v>29</v>
      </c>
      <c r="R15821" s="5">
        <v>3</v>
      </c>
      <c r="S15821" s="5">
        <v>25</v>
      </c>
    </row>
    <row r="15822" spans="1:19" ht="28" x14ac:dyDescent="0.15">
      <c r="A15822" s="2">
        <f>HYPERLINK("https://open-school.uspishnemisto.com.ua/school/740121/", 740121)</f>
        <v>740121</v>
      </c>
      <c r="B15822" s="3" t="s">
        <v>79838</v>
      </c>
      <c r="C15822" s="3" t="s">
        <v>31</v>
      </c>
      <c r="D15822" s="3" t="s">
        <v>32</v>
      </c>
      <c r="E15822" s="4" t="s">
        <v>22</v>
      </c>
      <c r="F15822" s="4" t="s">
        <v>79839</v>
      </c>
      <c r="G15822" s="4" t="s">
        <v>79840</v>
      </c>
      <c r="H15822" s="3" t="s">
        <v>79360</v>
      </c>
      <c r="I15822" s="3" t="s">
        <v>54077</v>
      </c>
      <c r="J15822" s="3" t="s">
        <v>19322</v>
      </c>
      <c r="K15822" s="3" t="s">
        <v>79841</v>
      </c>
      <c r="L15822" s="3"/>
      <c r="M15822" s="4"/>
      <c r="N15822" s="3" t="s">
        <v>37</v>
      </c>
      <c r="O15822" s="3" t="s">
        <v>38</v>
      </c>
      <c r="P15822" s="5">
        <v>11</v>
      </c>
      <c r="Q15822" s="5">
        <v>100</v>
      </c>
      <c r="R15822" s="5">
        <v>10</v>
      </c>
      <c r="S15822" s="5">
        <v>87</v>
      </c>
    </row>
    <row r="15823" spans="1:19" ht="56" x14ac:dyDescent="0.15">
      <c r="A15823" s="2">
        <f>HYPERLINK("https://open-school.uspishnemisto.com.ua/school/740122/", 740122)</f>
        <v>740122</v>
      </c>
      <c r="B15823" s="3" t="s">
        <v>79842</v>
      </c>
      <c r="C15823" s="3" t="s">
        <v>54</v>
      </c>
      <c r="D15823" s="3" t="s">
        <v>175</v>
      </c>
      <c r="E15823" s="4" t="s">
        <v>22</v>
      </c>
      <c r="F15823" s="4" t="s">
        <v>79843</v>
      </c>
      <c r="G15823" s="4" t="s">
        <v>79844</v>
      </c>
      <c r="H15823" s="3" t="s">
        <v>79360</v>
      </c>
      <c r="I15823" s="3" t="s">
        <v>41886</v>
      </c>
      <c r="J15823" s="3" t="s">
        <v>2719</v>
      </c>
      <c r="K15823" s="3" t="s">
        <v>79845</v>
      </c>
      <c r="L15823" s="3"/>
      <c r="M15823" s="4"/>
      <c r="N15823" s="3" t="s">
        <v>37</v>
      </c>
      <c r="O15823" s="3" t="s">
        <v>52</v>
      </c>
      <c r="P15823" s="5">
        <v>7</v>
      </c>
      <c r="Q15823" s="5">
        <v>48</v>
      </c>
      <c r="R15823" s="5">
        <v>7</v>
      </c>
      <c r="S15823" s="5">
        <v>50</v>
      </c>
    </row>
    <row r="15824" spans="1:19" ht="56" x14ac:dyDescent="0.15">
      <c r="A15824" s="2">
        <f>HYPERLINK("https://open-school.uspishnemisto.com.ua/school/740123/", 740123)</f>
        <v>740123</v>
      </c>
      <c r="B15824" s="3" t="s">
        <v>79846</v>
      </c>
      <c r="C15824" s="3" t="s">
        <v>54</v>
      </c>
      <c r="D15824" s="3" t="s">
        <v>32</v>
      </c>
      <c r="E15824" s="4" t="s">
        <v>22</v>
      </c>
      <c r="F15824" s="4" t="s">
        <v>79847</v>
      </c>
      <c r="G15824" s="4" t="s">
        <v>79848</v>
      </c>
      <c r="H15824" s="3" t="s">
        <v>79360</v>
      </c>
      <c r="I15824" s="3" t="s">
        <v>36452</v>
      </c>
      <c r="J15824" s="3" t="s">
        <v>24550</v>
      </c>
      <c r="K15824" s="3" t="s">
        <v>79849</v>
      </c>
      <c r="L15824" s="3"/>
      <c r="M15824" s="4"/>
      <c r="N15824" s="3" t="s">
        <v>37</v>
      </c>
      <c r="O15824" s="3" t="s">
        <v>52</v>
      </c>
      <c r="P15824" s="5">
        <v>7</v>
      </c>
      <c r="Q15824" s="5">
        <v>56</v>
      </c>
      <c r="R15824" s="5">
        <v>8</v>
      </c>
      <c r="S15824" s="5">
        <v>63</v>
      </c>
    </row>
    <row r="15825" spans="1:19" ht="28" x14ac:dyDescent="0.15">
      <c r="A15825" s="2">
        <f>HYPERLINK("https://open-school.uspishnemisto.com.ua/school/740124/", 740124)</f>
        <v>740124</v>
      </c>
      <c r="B15825" s="3" t="s">
        <v>79850</v>
      </c>
      <c r="C15825" s="3" t="s">
        <v>31</v>
      </c>
      <c r="D15825" s="3" t="s">
        <v>32</v>
      </c>
      <c r="E15825" s="4" t="s">
        <v>22</v>
      </c>
      <c r="F15825" s="4" t="s">
        <v>79851</v>
      </c>
      <c r="G15825" s="4" t="s">
        <v>79852</v>
      </c>
      <c r="H15825" s="3" t="s">
        <v>79360</v>
      </c>
      <c r="I15825" s="3" t="s">
        <v>79853</v>
      </c>
      <c r="J15825" s="3" t="s">
        <v>79854</v>
      </c>
      <c r="K15825" s="3" t="s">
        <v>79855</v>
      </c>
      <c r="L15825" s="3"/>
      <c r="M15825" s="4"/>
      <c r="N15825" s="3" t="s">
        <v>37</v>
      </c>
      <c r="O15825" s="3" t="s">
        <v>38</v>
      </c>
      <c r="P15825" s="5">
        <v>17</v>
      </c>
      <c r="Q15825" s="5">
        <v>372</v>
      </c>
      <c r="R15825" s="5">
        <v>16</v>
      </c>
      <c r="S15825" s="5">
        <v>359</v>
      </c>
    </row>
    <row r="15826" spans="1:19" ht="28" x14ac:dyDescent="0.15">
      <c r="A15826" s="2">
        <f>HYPERLINK("https://open-school.uspishnemisto.com.ua/school/740125/", 740125)</f>
        <v>740125</v>
      </c>
      <c r="B15826" s="3" t="s">
        <v>79856</v>
      </c>
      <c r="C15826" s="3" t="s">
        <v>31</v>
      </c>
      <c r="D15826" s="3" t="s">
        <v>32</v>
      </c>
      <c r="E15826" s="4" t="s">
        <v>22</v>
      </c>
      <c r="F15826" s="4" t="s">
        <v>79857</v>
      </c>
      <c r="G15826" s="4" t="s">
        <v>79858</v>
      </c>
      <c r="H15826" s="3" t="s">
        <v>79360</v>
      </c>
      <c r="I15826" s="3" t="s">
        <v>30375</v>
      </c>
      <c r="J15826" s="3" t="s">
        <v>356</v>
      </c>
      <c r="K15826" s="3" t="s">
        <v>79859</v>
      </c>
      <c r="L15826" s="3"/>
      <c r="M15826" s="4"/>
      <c r="N15826" s="3" t="s">
        <v>37</v>
      </c>
      <c r="O15826" s="3" t="s">
        <v>52</v>
      </c>
      <c r="P15826" s="5">
        <v>10</v>
      </c>
      <c r="Q15826" s="5">
        <v>113</v>
      </c>
      <c r="R15826" s="5">
        <v>9</v>
      </c>
      <c r="S15826" s="5">
        <v>110</v>
      </c>
    </row>
    <row r="15827" spans="1:19" ht="28" x14ac:dyDescent="0.15">
      <c r="A15827" s="2">
        <f>HYPERLINK("https://open-school.uspishnemisto.com.ua/school/740126/", 740126)</f>
        <v>740126</v>
      </c>
      <c r="B15827" s="3" t="s">
        <v>79860</v>
      </c>
      <c r="C15827" s="3" t="s">
        <v>31</v>
      </c>
      <c r="D15827" s="3" t="s">
        <v>175</v>
      </c>
      <c r="E15827" s="4" t="s">
        <v>22</v>
      </c>
      <c r="F15827" s="4" t="s">
        <v>79861</v>
      </c>
      <c r="G15827" s="4" t="s">
        <v>79862</v>
      </c>
      <c r="H15827" s="3" t="s">
        <v>79360</v>
      </c>
      <c r="I15827" s="3" t="s">
        <v>79863</v>
      </c>
      <c r="J15827" s="3" t="s">
        <v>54723</v>
      </c>
      <c r="K15827" s="3" t="s">
        <v>79864</v>
      </c>
      <c r="L15827" s="3" t="s">
        <v>79865</v>
      </c>
      <c r="M15827" s="4"/>
      <c r="N15827" s="3" t="s">
        <v>37</v>
      </c>
      <c r="O15827" s="3" t="s">
        <v>52</v>
      </c>
      <c r="P15827" s="5">
        <v>6</v>
      </c>
      <c r="Q15827" s="5">
        <v>33</v>
      </c>
      <c r="R15827" s="5">
        <v>8</v>
      </c>
      <c r="S15827" s="5">
        <v>42</v>
      </c>
    </row>
    <row r="15828" spans="1:19" ht="28" x14ac:dyDescent="0.15">
      <c r="A15828" s="2">
        <f>HYPERLINK("https://open-school.uspishnemisto.com.ua/school/740127/", 740127)</f>
        <v>740127</v>
      </c>
      <c r="B15828" s="3" t="s">
        <v>79866</v>
      </c>
      <c r="C15828" s="3" t="s">
        <v>31</v>
      </c>
      <c r="D15828" s="3" t="s">
        <v>32</v>
      </c>
      <c r="E15828" s="4" t="s">
        <v>22</v>
      </c>
      <c r="F15828" s="4" t="s">
        <v>79861</v>
      </c>
      <c r="G15828" s="4" t="s">
        <v>79862</v>
      </c>
      <c r="H15828" s="3" t="s">
        <v>79360</v>
      </c>
      <c r="I15828" s="3" t="s">
        <v>79863</v>
      </c>
      <c r="J15828" s="3" t="s">
        <v>79867</v>
      </c>
      <c r="K15828" s="3" t="s">
        <v>79868</v>
      </c>
      <c r="L15828" s="3" t="s">
        <v>79869</v>
      </c>
      <c r="M15828" s="4"/>
      <c r="N15828" s="3" t="s">
        <v>37</v>
      </c>
      <c r="O15828" s="3" t="s">
        <v>52</v>
      </c>
      <c r="P15828" s="5">
        <v>10</v>
      </c>
      <c r="Q15828" s="5">
        <v>163</v>
      </c>
      <c r="R15828" s="5">
        <v>11</v>
      </c>
      <c r="S15828" s="5">
        <v>168</v>
      </c>
    </row>
    <row r="15829" spans="1:19" ht="28" x14ac:dyDescent="0.15">
      <c r="A15829" s="2">
        <f>HYPERLINK("https://open-school.uspishnemisto.com.ua/school/740128/", 740128)</f>
        <v>740128</v>
      </c>
      <c r="B15829" s="3" t="s">
        <v>79870</v>
      </c>
      <c r="C15829" s="3" t="s">
        <v>31</v>
      </c>
      <c r="D15829" s="3" t="s">
        <v>32</v>
      </c>
      <c r="E15829" s="4" t="s">
        <v>22</v>
      </c>
      <c r="F15829" s="4" t="s">
        <v>79871</v>
      </c>
      <c r="G15829" s="4" t="s">
        <v>79872</v>
      </c>
      <c r="H15829" s="3" t="s">
        <v>79360</v>
      </c>
      <c r="I15829" s="3" t="s">
        <v>8368</v>
      </c>
      <c r="J15829" s="3" t="s">
        <v>79873</v>
      </c>
      <c r="K15829" s="3" t="s">
        <v>79874</v>
      </c>
      <c r="L15829" s="3"/>
      <c r="M15829" s="4"/>
      <c r="N15829" s="3" t="s">
        <v>37</v>
      </c>
      <c r="O15829" s="3" t="s">
        <v>52</v>
      </c>
      <c r="P15829" s="5">
        <v>9</v>
      </c>
      <c r="Q15829" s="5">
        <v>136</v>
      </c>
      <c r="R15829" s="5">
        <v>11</v>
      </c>
      <c r="S15829" s="5">
        <v>140</v>
      </c>
    </row>
    <row r="15830" spans="1:19" ht="28" x14ac:dyDescent="0.15">
      <c r="A15830" s="2">
        <f>HYPERLINK("https://open-school.uspishnemisto.com.ua/school/740129/", 740129)</f>
        <v>740129</v>
      </c>
      <c r="B15830" s="3" t="s">
        <v>79875</v>
      </c>
      <c r="C15830" s="3" t="s">
        <v>31</v>
      </c>
      <c r="D15830" s="3" t="s">
        <v>32</v>
      </c>
      <c r="E15830" s="4" t="s">
        <v>22</v>
      </c>
      <c r="F15830" s="4" t="s">
        <v>79876</v>
      </c>
      <c r="G15830" s="4" t="s">
        <v>79877</v>
      </c>
      <c r="H15830" s="3" t="s">
        <v>79360</v>
      </c>
      <c r="I15830" s="3" t="s">
        <v>79878</v>
      </c>
      <c r="J15830" s="3" t="s">
        <v>2745</v>
      </c>
      <c r="K15830" s="3" t="s">
        <v>79879</v>
      </c>
      <c r="L15830" s="3"/>
      <c r="M15830" s="4"/>
      <c r="N15830" s="3" t="s">
        <v>37</v>
      </c>
      <c r="O15830" s="3" t="s">
        <v>38</v>
      </c>
      <c r="P15830" s="5">
        <v>11</v>
      </c>
      <c r="Q15830" s="5">
        <v>195</v>
      </c>
      <c r="R15830" s="5">
        <v>11</v>
      </c>
      <c r="S15830" s="5">
        <v>197</v>
      </c>
    </row>
    <row r="15831" spans="1:19" ht="56" x14ac:dyDescent="0.15">
      <c r="A15831" s="2">
        <f>HYPERLINK("https://open-school.uspishnemisto.com.ua/school/740130/", 740130)</f>
        <v>740130</v>
      </c>
      <c r="B15831" s="3" t="s">
        <v>79880</v>
      </c>
      <c r="C15831" s="3" t="s">
        <v>54</v>
      </c>
      <c r="D15831" s="3" t="s">
        <v>175</v>
      </c>
      <c r="E15831" s="4" t="s">
        <v>22</v>
      </c>
      <c r="F15831" s="4" t="s">
        <v>79876</v>
      </c>
      <c r="G15831" s="4" t="s">
        <v>79881</v>
      </c>
      <c r="H15831" s="3" t="s">
        <v>79360</v>
      </c>
      <c r="I15831" s="3" t="s">
        <v>79882</v>
      </c>
      <c r="J15831" s="3" t="s">
        <v>79883</v>
      </c>
      <c r="K15831" s="3" t="s">
        <v>79884</v>
      </c>
      <c r="L15831" s="3"/>
      <c r="M15831" s="4"/>
      <c r="N15831" s="3" t="s">
        <v>37</v>
      </c>
      <c r="O15831" s="3" t="s">
        <v>52</v>
      </c>
      <c r="P15831" s="5">
        <v>3</v>
      </c>
      <c r="Q15831" s="5">
        <v>36</v>
      </c>
      <c r="R15831" s="5">
        <v>4</v>
      </c>
      <c r="S15831" s="5">
        <v>37</v>
      </c>
    </row>
    <row r="15832" spans="1:19" ht="28" x14ac:dyDescent="0.15">
      <c r="A15832" s="2">
        <f>HYPERLINK("https://open-school.uspishnemisto.com.ua/school/740131/", 740131)</f>
        <v>740131</v>
      </c>
      <c r="B15832" s="3" t="s">
        <v>79885</v>
      </c>
      <c r="C15832" s="3" t="s">
        <v>31</v>
      </c>
      <c r="D15832" s="3" t="s">
        <v>32</v>
      </c>
      <c r="E15832" s="4" t="s">
        <v>22</v>
      </c>
      <c r="F15832" s="4" t="s">
        <v>79886</v>
      </c>
      <c r="G15832" s="4" t="s">
        <v>79887</v>
      </c>
      <c r="H15832" s="3" t="s">
        <v>79360</v>
      </c>
      <c r="I15832" s="3" t="s">
        <v>17799</v>
      </c>
      <c r="J15832" s="3" t="s">
        <v>79888</v>
      </c>
      <c r="K15832" s="3" t="s">
        <v>79889</v>
      </c>
      <c r="L15832" s="3"/>
      <c r="M15832" s="4"/>
      <c r="N15832" s="3" t="s">
        <v>37</v>
      </c>
      <c r="O15832" s="3" t="s">
        <v>38</v>
      </c>
      <c r="P15832" s="5">
        <v>9</v>
      </c>
      <c r="Q15832" s="5">
        <v>78</v>
      </c>
      <c r="R15832" s="5">
        <v>9</v>
      </c>
      <c r="S15832" s="5">
        <v>76</v>
      </c>
    </row>
    <row r="15833" spans="1:19" ht="28" x14ac:dyDescent="0.15">
      <c r="A15833" s="2">
        <f>HYPERLINK("https://open-school.uspishnemisto.com.ua/school/740132/", 740132)</f>
        <v>740132</v>
      </c>
      <c r="B15833" s="3" t="s">
        <v>79890</v>
      </c>
      <c r="C15833" s="3" t="s">
        <v>31</v>
      </c>
      <c r="D15833" s="3" t="s">
        <v>175</v>
      </c>
      <c r="E15833" s="4" t="s">
        <v>22</v>
      </c>
      <c r="F15833" s="4" t="s">
        <v>79891</v>
      </c>
      <c r="G15833" s="4" t="s">
        <v>79892</v>
      </c>
      <c r="H15833" s="3" t="s">
        <v>79360</v>
      </c>
      <c r="I15833" s="3" t="s">
        <v>12478</v>
      </c>
      <c r="J15833" s="3" t="s">
        <v>2384</v>
      </c>
      <c r="K15833" s="3" t="s">
        <v>79893</v>
      </c>
      <c r="L15833" s="3"/>
      <c r="M15833" s="4"/>
      <c r="N15833" s="3" t="s">
        <v>37</v>
      </c>
      <c r="O15833" s="3" t="s">
        <v>52</v>
      </c>
      <c r="P15833" s="5">
        <v>5</v>
      </c>
      <c r="Q15833" s="5">
        <v>41</v>
      </c>
      <c r="R15833" s="5">
        <v>7</v>
      </c>
      <c r="S15833" s="5">
        <v>43</v>
      </c>
    </row>
    <row r="15834" spans="1:19" ht="28" x14ac:dyDescent="0.15">
      <c r="A15834" s="2">
        <f>HYPERLINK("https://open-school.uspishnemisto.com.ua/school/740133/", 740133)</f>
        <v>740133</v>
      </c>
      <c r="B15834" s="3" t="s">
        <v>79894</v>
      </c>
      <c r="C15834" s="3" t="s">
        <v>31</v>
      </c>
      <c r="D15834" s="3" t="s">
        <v>32</v>
      </c>
      <c r="E15834" s="4" t="s">
        <v>22</v>
      </c>
      <c r="F15834" s="4" t="s">
        <v>79895</v>
      </c>
      <c r="G15834" s="4" t="s">
        <v>79896</v>
      </c>
      <c r="H15834" s="3" t="s">
        <v>79360</v>
      </c>
      <c r="I15834" s="3" t="s">
        <v>79897</v>
      </c>
      <c r="J15834" s="3" t="s">
        <v>11043</v>
      </c>
      <c r="K15834" s="3" t="s">
        <v>79898</v>
      </c>
      <c r="L15834" s="3"/>
      <c r="M15834" s="4"/>
      <c r="N15834" s="3" t="s">
        <v>37</v>
      </c>
      <c r="O15834" s="3" t="s">
        <v>52</v>
      </c>
      <c r="P15834" s="5">
        <v>11</v>
      </c>
      <c r="Q15834" s="5">
        <v>103</v>
      </c>
      <c r="R15834" s="5">
        <v>10</v>
      </c>
      <c r="S15834" s="5">
        <v>99</v>
      </c>
    </row>
    <row r="15835" spans="1:19" ht="28" x14ac:dyDescent="0.15">
      <c r="A15835" s="2">
        <f>HYPERLINK("https://open-school.uspishnemisto.com.ua/school/740134/", 740134)</f>
        <v>740134</v>
      </c>
      <c r="B15835" s="3" t="s">
        <v>79899</v>
      </c>
      <c r="C15835" s="3" t="s">
        <v>31</v>
      </c>
      <c r="D15835" s="3" t="s">
        <v>32</v>
      </c>
      <c r="E15835" s="4" t="s">
        <v>22</v>
      </c>
      <c r="F15835" s="4" t="s">
        <v>79900</v>
      </c>
      <c r="G15835" s="4" t="s">
        <v>79901</v>
      </c>
      <c r="H15835" s="3" t="s">
        <v>79360</v>
      </c>
      <c r="I15835" s="3" t="s">
        <v>79902</v>
      </c>
      <c r="J15835" s="3" t="s">
        <v>79903</v>
      </c>
      <c r="K15835" s="3" t="s">
        <v>79904</v>
      </c>
      <c r="L15835" s="3"/>
      <c r="M15835" s="4"/>
      <c r="N15835" s="3" t="s">
        <v>37</v>
      </c>
      <c r="O15835" s="3" t="s">
        <v>52</v>
      </c>
      <c r="P15835" s="5">
        <v>6</v>
      </c>
      <c r="Q15835" s="5">
        <v>42</v>
      </c>
      <c r="R15835" s="5">
        <v>7</v>
      </c>
      <c r="S15835" s="5">
        <v>48</v>
      </c>
    </row>
    <row r="15836" spans="1:19" ht="42" x14ac:dyDescent="0.15">
      <c r="A15836" s="2">
        <f>HYPERLINK("https://open-school.uspishnemisto.com.ua/school/740135/", 740135)</f>
        <v>740135</v>
      </c>
      <c r="B15836" s="3" t="s">
        <v>79905</v>
      </c>
      <c r="C15836" s="3" t="s">
        <v>293</v>
      </c>
      <c r="D15836" s="3" t="s">
        <v>175</v>
      </c>
      <c r="E15836" s="4" t="s">
        <v>22</v>
      </c>
      <c r="F15836" s="4" t="s">
        <v>79900</v>
      </c>
      <c r="G15836" s="4" t="s">
        <v>79901</v>
      </c>
      <c r="H15836" s="3" t="s">
        <v>79360</v>
      </c>
      <c r="I15836" s="3" t="s">
        <v>79902</v>
      </c>
      <c r="J15836" s="3" t="s">
        <v>14554</v>
      </c>
      <c r="K15836" s="3" t="s">
        <v>79906</v>
      </c>
      <c r="L15836" s="3"/>
      <c r="M15836" s="4" t="s">
        <v>79907</v>
      </c>
      <c r="N15836" s="3" t="s">
        <v>37</v>
      </c>
      <c r="O15836" s="3" t="s">
        <v>52</v>
      </c>
      <c r="P15836" s="5">
        <v>9</v>
      </c>
      <c r="Q15836" s="5">
        <v>79</v>
      </c>
      <c r="R15836" s="5">
        <v>9</v>
      </c>
      <c r="S15836" s="5">
        <v>88</v>
      </c>
    </row>
    <row r="15837" spans="1:19" ht="28" x14ac:dyDescent="0.15">
      <c r="A15837" s="2">
        <f>HYPERLINK("https://open-school.uspishnemisto.com.ua/school/740136/", 740136)</f>
        <v>740136</v>
      </c>
      <c r="B15837" s="3" t="s">
        <v>79908</v>
      </c>
      <c r="C15837" s="3" t="s">
        <v>31</v>
      </c>
      <c r="D15837" s="3" t="s">
        <v>60</v>
      </c>
      <c r="E15837" s="4" t="s">
        <v>22</v>
      </c>
      <c r="F15837" s="4" t="s">
        <v>79895</v>
      </c>
      <c r="G15837" s="4" t="s">
        <v>79909</v>
      </c>
      <c r="H15837" s="3" t="s">
        <v>79360</v>
      </c>
      <c r="I15837" s="3" t="s">
        <v>79910</v>
      </c>
      <c r="J15837" s="3" t="s">
        <v>5786</v>
      </c>
      <c r="K15837" s="3" t="s">
        <v>79911</v>
      </c>
      <c r="L15837" s="3"/>
      <c r="M15837" s="4"/>
      <c r="N15837" s="3" t="s">
        <v>37</v>
      </c>
      <c r="O15837" s="3" t="s">
        <v>52</v>
      </c>
      <c r="P15837" s="5">
        <v>0</v>
      </c>
      <c r="Q15837" s="5">
        <v>8</v>
      </c>
      <c r="R15837" s="5">
        <v>0</v>
      </c>
      <c r="S15837" s="5">
        <v>6</v>
      </c>
    </row>
    <row r="15838" spans="1:19" ht="28" x14ac:dyDescent="0.15">
      <c r="A15838" s="2">
        <f>HYPERLINK("https://open-school.uspishnemisto.com.ua/school/740137/", 740137)</f>
        <v>740137</v>
      </c>
      <c r="B15838" s="3" t="s">
        <v>79912</v>
      </c>
      <c r="C15838" s="3" t="s">
        <v>31</v>
      </c>
      <c r="D15838" s="3" t="s">
        <v>32</v>
      </c>
      <c r="E15838" s="4" t="s">
        <v>22</v>
      </c>
      <c r="F15838" s="4" t="s">
        <v>79839</v>
      </c>
      <c r="G15838" s="4" t="s">
        <v>79913</v>
      </c>
      <c r="H15838" s="3" t="s">
        <v>79360</v>
      </c>
      <c r="I15838" s="3" t="s">
        <v>50423</v>
      </c>
      <c r="J15838" s="3" t="s">
        <v>79914</v>
      </c>
      <c r="K15838" s="3" t="s">
        <v>79915</v>
      </c>
      <c r="L15838" s="3"/>
      <c r="M15838" s="4"/>
      <c r="N15838" s="3" t="s">
        <v>37</v>
      </c>
      <c r="O15838" s="3" t="s">
        <v>52</v>
      </c>
      <c r="P15838" s="5">
        <v>4</v>
      </c>
      <c r="Q15838" s="5">
        <v>36</v>
      </c>
      <c r="R15838" s="5">
        <v>6</v>
      </c>
      <c r="S15838" s="5">
        <v>41</v>
      </c>
    </row>
    <row r="15839" spans="1:19" ht="28" x14ac:dyDescent="0.15">
      <c r="A15839" s="2">
        <f>HYPERLINK("https://open-school.uspishnemisto.com.ua/school/740138/", 740138)</f>
        <v>740138</v>
      </c>
      <c r="B15839" s="3" t="s">
        <v>79916</v>
      </c>
      <c r="C15839" s="3" t="s">
        <v>31</v>
      </c>
      <c r="D15839" s="3" t="s">
        <v>60</v>
      </c>
      <c r="E15839" s="4" t="s">
        <v>22</v>
      </c>
      <c r="F15839" s="4" t="s">
        <v>79917</v>
      </c>
      <c r="G15839" s="4" t="s">
        <v>79918</v>
      </c>
      <c r="H15839" s="3" t="s">
        <v>79360</v>
      </c>
      <c r="I15839" s="3" t="s">
        <v>79919</v>
      </c>
      <c r="J15839" s="3" t="s">
        <v>79920</v>
      </c>
      <c r="K15839" s="3" t="s">
        <v>79921</v>
      </c>
      <c r="L15839" s="3"/>
      <c r="M15839" s="4"/>
      <c r="N15839" s="3" t="s">
        <v>37</v>
      </c>
      <c r="O15839" s="3" t="s">
        <v>52</v>
      </c>
      <c r="P15839" s="5">
        <v>4</v>
      </c>
      <c r="Q15839" s="5">
        <v>65</v>
      </c>
      <c r="R15839" s="5">
        <v>4</v>
      </c>
      <c r="S15839" s="5">
        <v>64</v>
      </c>
    </row>
    <row r="15840" spans="1:19" ht="42" x14ac:dyDescent="0.15">
      <c r="A15840" s="2">
        <f>HYPERLINK("https://open-school.uspishnemisto.com.ua/school/740139/", 740139)</f>
        <v>740139</v>
      </c>
      <c r="B15840" s="3" t="s">
        <v>79922</v>
      </c>
      <c r="C15840" s="3" t="s">
        <v>31</v>
      </c>
      <c r="D15840" s="3" t="s">
        <v>32</v>
      </c>
      <c r="E15840" s="4" t="s">
        <v>22</v>
      </c>
      <c r="F15840" s="4" t="s">
        <v>79917</v>
      </c>
      <c r="G15840" s="4" t="s">
        <v>79918</v>
      </c>
      <c r="H15840" s="3" t="s">
        <v>79360</v>
      </c>
      <c r="I15840" s="3" t="s">
        <v>79919</v>
      </c>
      <c r="J15840" s="3" t="s">
        <v>58422</v>
      </c>
      <c r="K15840" s="3" t="s">
        <v>79923</v>
      </c>
      <c r="L15840" s="3" t="s">
        <v>79924</v>
      </c>
      <c r="M15840" s="4"/>
      <c r="N15840" s="3" t="s">
        <v>37</v>
      </c>
      <c r="O15840" s="3" t="s">
        <v>46</v>
      </c>
      <c r="P15840" s="5">
        <v>22</v>
      </c>
      <c r="Q15840" s="5">
        <v>441</v>
      </c>
      <c r="R15840" s="5">
        <v>21</v>
      </c>
      <c r="S15840" s="5">
        <v>430</v>
      </c>
    </row>
    <row r="15841" spans="1:19" ht="28" x14ac:dyDescent="0.15">
      <c r="A15841" s="2">
        <f>HYPERLINK("https://open-school.uspishnemisto.com.ua/school/740140/", 740140)</f>
        <v>740140</v>
      </c>
      <c r="B15841" s="3" t="s">
        <v>79925</v>
      </c>
      <c r="C15841" s="3" t="s">
        <v>40</v>
      </c>
      <c r="D15841" s="3" t="s">
        <v>32</v>
      </c>
      <c r="E15841" s="4" t="s">
        <v>22</v>
      </c>
      <c r="F15841" s="4" t="s">
        <v>79917</v>
      </c>
      <c r="G15841" s="4" t="s">
        <v>79918</v>
      </c>
      <c r="H15841" s="3" t="s">
        <v>79360</v>
      </c>
      <c r="I15841" s="3" t="s">
        <v>79919</v>
      </c>
      <c r="J15841" s="3" t="s">
        <v>20864</v>
      </c>
      <c r="K15841" s="3" t="s">
        <v>79926</v>
      </c>
      <c r="L15841" s="3" t="s">
        <v>79927</v>
      </c>
      <c r="M15841" s="4"/>
      <c r="N15841" s="3" t="s">
        <v>37</v>
      </c>
      <c r="O15841" s="3" t="s">
        <v>46</v>
      </c>
      <c r="P15841" s="5">
        <v>13</v>
      </c>
      <c r="Q15841" s="5">
        <v>230</v>
      </c>
      <c r="R15841" s="5">
        <v>13</v>
      </c>
      <c r="S15841" s="5">
        <v>246</v>
      </c>
    </row>
    <row r="15842" spans="1:19" ht="28" x14ac:dyDescent="0.15">
      <c r="A15842" s="2">
        <f>HYPERLINK("https://open-school.uspishnemisto.com.ua/school/740141/", 740141)</f>
        <v>740141</v>
      </c>
      <c r="B15842" s="3" t="s">
        <v>79928</v>
      </c>
      <c r="C15842" s="3" t="s">
        <v>4989</v>
      </c>
      <c r="D15842" s="3" t="s">
        <v>32</v>
      </c>
      <c r="E15842" s="4" t="s">
        <v>22</v>
      </c>
      <c r="F15842" s="4" t="s">
        <v>79917</v>
      </c>
      <c r="G15842" s="4" t="s">
        <v>79918</v>
      </c>
      <c r="H15842" s="3" t="s">
        <v>79360</v>
      </c>
      <c r="I15842" s="3" t="s">
        <v>79919</v>
      </c>
      <c r="J15842" s="3" t="s">
        <v>79929</v>
      </c>
      <c r="K15842" s="3" t="s">
        <v>79930</v>
      </c>
      <c r="L15842" s="3"/>
      <c r="M15842" s="4" t="s">
        <v>79931</v>
      </c>
      <c r="N15842" s="3" t="s">
        <v>37</v>
      </c>
      <c r="O15842" s="3" t="s">
        <v>52</v>
      </c>
      <c r="P15842" s="5">
        <v>12</v>
      </c>
      <c r="Q15842" s="5">
        <v>253</v>
      </c>
      <c r="R15842" s="5">
        <v>12</v>
      </c>
      <c r="S15842" s="5">
        <v>251</v>
      </c>
    </row>
    <row r="15843" spans="1:19" ht="28" x14ac:dyDescent="0.15">
      <c r="A15843" s="2">
        <f>HYPERLINK("https://open-school.uspishnemisto.com.ua/school/740142/", 740142)</f>
        <v>740142</v>
      </c>
      <c r="B15843" s="3" t="s">
        <v>79932</v>
      </c>
      <c r="C15843" s="3" t="s">
        <v>31</v>
      </c>
      <c r="D15843" s="3" t="s">
        <v>32</v>
      </c>
      <c r="E15843" s="4" t="s">
        <v>22</v>
      </c>
      <c r="F15843" s="4" t="s">
        <v>79933</v>
      </c>
      <c r="G15843" s="4" t="s">
        <v>79934</v>
      </c>
      <c r="H15843" s="3" t="s">
        <v>79360</v>
      </c>
      <c r="I15843" s="3" t="s">
        <v>79935</v>
      </c>
      <c r="J15843" s="3" t="s">
        <v>79936</v>
      </c>
      <c r="K15843" s="3" t="s">
        <v>79937</v>
      </c>
      <c r="L15843" s="3"/>
      <c r="M15843" s="4"/>
      <c r="N15843" s="3" t="s">
        <v>37</v>
      </c>
      <c r="O15843" s="3" t="s">
        <v>46</v>
      </c>
      <c r="P15843" s="5">
        <v>11</v>
      </c>
      <c r="Q15843" s="5">
        <v>106</v>
      </c>
      <c r="R15843" s="5">
        <v>11</v>
      </c>
      <c r="S15843" s="5">
        <v>106</v>
      </c>
    </row>
    <row r="15844" spans="1:19" ht="28" x14ac:dyDescent="0.15">
      <c r="A15844" s="2">
        <f>HYPERLINK("https://open-school.uspishnemisto.com.ua/school/740143/", 740143)</f>
        <v>740143</v>
      </c>
      <c r="B15844" s="3" t="s">
        <v>79938</v>
      </c>
      <c r="C15844" s="3" t="s">
        <v>31</v>
      </c>
      <c r="D15844" s="3" t="s">
        <v>32</v>
      </c>
      <c r="E15844" s="4" t="s">
        <v>22</v>
      </c>
      <c r="F15844" s="4" t="s">
        <v>79939</v>
      </c>
      <c r="G15844" s="4" t="s">
        <v>79940</v>
      </c>
      <c r="H15844" s="3" t="s">
        <v>79360</v>
      </c>
      <c r="I15844" s="3" t="s">
        <v>56284</v>
      </c>
      <c r="J15844" s="3" t="s">
        <v>79941</v>
      </c>
      <c r="K15844" s="3" t="s">
        <v>79942</v>
      </c>
      <c r="L15844" s="3"/>
      <c r="M15844" s="4"/>
      <c r="N15844" s="3" t="s">
        <v>37</v>
      </c>
      <c r="O15844" s="3" t="s">
        <v>52</v>
      </c>
      <c r="P15844" s="5">
        <v>7</v>
      </c>
      <c r="Q15844" s="5">
        <v>58</v>
      </c>
      <c r="R15844" s="5">
        <v>7</v>
      </c>
      <c r="S15844" s="5">
        <v>61</v>
      </c>
    </row>
    <row r="15845" spans="1:19" ht="28" x14ac:dyDescent="0.15">
      <c r="A15845" s="2">
        <f>HYPERLINK("https://open-school.uspishnemisto.com.ua/school/740144/", 740144)</f>
        <v>740144</v>
      </c>
      <c r="B15845" s="3" t="s">
        <v>79943</v>
      </c>
      <c r="C15845" s="3" t="s">
        <v>31</v>
      </c>
      <c r="D15845" s="3" t="s">
        <v>60</v>
      </c>
      <c r="E15845" s="4" t="s">
        <v>22</v>
      </c>
      <c r="F15845" s="4" t="s">
        <v>79944</v>
      </c>
      <c r="G15845" s="4" t="s">
        <v>79945</v>
      </c>
      <c r="H15845" s="3" t="s">
        <v>79360</v>
      </c>
      <c r="I15845" s="3" t="s">
        <v>79946</v>
      </c>
      <c r="J15845" s="3" t="s">
        <v>2601</v>
      </c>
      <c r="K15845" s="3" t="s">
        <v>79947</v>
      </c>
      <c r="L15845" s="3"/>
      <c r="M15845" s="4"/>
      <c r="N15845" s="3" t="s">
        <v>37</v>
      </c>
      <c r="O15845" s="3" t="s">
        <v>52</v>
      </c>
      <c r="P15845" s="5">
        <v>2</v>
      </c>
      <c r="Q15845" s="5">
        <v>18</v>
      </c>
      <c r="R15845" s="5">
        <v>1</v>
      </c>
      <c r="S15845" s="5">
        <v>15</v>
      </c>
    </row>
    <row r="15846" spans="1:19" ht="28" x14ac:dyDescent="0.15">
      <c r="A15846" s="2">
        <f>HYPERLINK("https://open-school.uspishnemisto.com.ua/school/740145/", 740145)</f>
        <v>740145</v>
      </c>
      <c r="B15846" s="3" t="s">
        <v>79948</v>
      </c>
      <c r="C15846" s="3" t="s">
        <v>31</v>
      </c>
      <c r="D15846" s="3" t="s">
        <v>32</v>
      </c>
      <c r="E15846" s="4" t="s">
        <v>22</v>
      </c>
      <c r="F15846" s="4" t="s">
        <v>79949</v>
      </c>
      <c r="G15846" s="4" t="s">
        <v>79950</v>
      </c>
      <c r="H15846" s="3" t="s">
        <v>79360</v>
      </c>
      <c r="I15846" s="3" t="s">
        <v>79951</v>
      </c>
      <c r="J15846" s="3" t="s">
        <v>73152</v>
      </c>
      <c r="K15846" s="3" t="s">
        <v>79952</v>
      </c>
      <c r="L15846" s="3"/>
      <c r="M15846" s="4"/>
      <c r="N15846" s="3" t="s">
        <v>37</v>
      </c>
      <c r="O15846" s="3" t="s">
        <v>52</v>
      </c>
      <c r="P15846" s="5">
        <v>3</v>
      </c>
      <c r="Q15846" s="5">
        <v>42</v>
      </c>
      <c r="R15846" s="5">
        <v>6</v>
      </c>
      <c r="S15846" s="5">
        <v>49</v>
      </c>
    </row>
    <row r="15847" spans="1:19" ht="28" x14ac:dyDescent="0.15">
      <c r="A15847" s="2">
        <f>HYPERLINK("https://open-school.uspishnemisto.com.ua/school/740146/", 740146)</f>
        <v>740146</v>
      </c>
      <c r="B15847" s="3" t="s">
        <v>79953</v>
      </c>
      <c r="C15847" s="3" t="s">
        <v>31</v>
      </c>
      <c r="D15847" s="3" t="s">
        <v>32</v>
      </c>
      <c r="E15847" s="4" t="s">
        <v>22</v>
      </c>
      <c r="F15847" s="4" t="s">
        <v>79954</v>
      </c>
      <c r="G15847" s="4" t="s">
        <v>79955</v>
      </c>
      <c r="H15847" s="3" t="s">
        <v>79360</v>
      </c>
      <c r="I15847" s="3" t="s">
        <v>3512</v>
      </c>
      <c r="J15847" s="3" t="s">
        <v>1513</v>
      </c>
      <c r="K15847" s="3" t="s">
        <v>79956</v>
      </c>
      <c r="L15847" s="3" t="s">
        <v>79957</v>
      </c>
      <c r="M15847" s="4"/>
      <c r="N15847" s="3" t="s">
        <v>37</v>
      </c>
      <c r="O15847" s="3" t="s">
        <v>52</v>
      </c>
      <c r="P15847" s="5">
        <v>11</v>
      </c>
      <c r="Q15847" s="5">
        <v>132</v>
      </c>
      <c r="R15847" s="5">
        <v>11</v>
      </c>
      <c r="S15847" s="5">
        <v>138</v>
      </c>
    </row>
    <row r="15848" spans="1:19" ht="28" x14ac:dyDescent="0.15">
      <c r="A15848" s="2">
        <f>HYPERLINK("https://open-school.uspishnemisto.com.ua/school/740147/", 740147)</f>
        <v>740147</v>
      </c>
      <c r="B15848" s="3" t="s">
        <v>79958</v>
      </c>
      <c r="C15848" s="3" t="s">
        <v>31</v>
      </c>
      <c r="D15848" s="3" t="s">
        <v>175</v>
      </c>
      <c r="E15848" s="4" t="s">
        <v>22</v>
      </c>
      <c r="F15848" s="4" t="s">
        <v>79959</v>
      </c>
      <c r="G15848" s="4" t="s">
        <v>79960</v>
      </c>
      <c r="H15848" s="3" t="s">
        <v>79360</v>
      </c>
      <c r="I15848" s="3" t="s">
        <v>79961</v>
      </c>
      <c r="J15848" s="3" t="s">
        <v>79962</v>
      </c>
      <c r="K15848" s="3" t="s">
        <v>79963</v>
      </c>
      <c r="L15848" s="3"/>
      <c r="M15848" s="4"/>
      <c r="N15848" s="3" t="s">
        <v>37</v>
      </c>
      <c r="O15848" s="3" t="s">
        <v>52</v>
      </c>
      <c r="P15848" s="5">
        <v>6</v>
      </c>
      <c r="Q15848" s="5">
        <v>44</v>
      </c>
      <c r="R15848" s="5">
        <v>4</v>
      </c>
      <c r="S15848" s="5">
        <v>39</v>
      </c>
    </row>
    <row r="15849" spans="1:19" ht="28" x14ac:dyDescent="0.15">
      <c r="A15849" s="2">
        <f>HYPERLINK("https://open-school.uspishnemisto.com.ua/school/740148/", 740148)</f>
        <v>740148</v>
      </c>
      <c r="B15849" s="3" t="s">
        <v>79964</v>
      </c>
      <c r="C15849" s="3" t="s">
        <v>31</v>
      </c>
      <c r="D15849" s="3" t="s">
        <v>32</v>
      </c>
      <c r="E15849" s="4" t="s">
        <v>22</v>
      </c>
      <c r="F15849" s="4" t="s">
        <v>79965</v>
      </c>
      <c r="G15849" s="4" t="s">
        <v>79966</v>
      </c>
      <c r="H15849" s="3" t="s">
        <v>79360</v>
      </c>
      <c r="I15849" s="3" t="s">
        <v>79967</v>
      </c>
      <c r="J15849" s="3" t="s">
        <v>79968</v>
      </c>
      <c r="K15849" s="3" t="s">
        <v>79969</v>
      </c>
      <c r="L15849" s="3"/>
      <c r="M15849" s="4"/>
      <c r="N15849" s="3" t="s">
        <v>37</v>
      </c>
      <c r="O15849" s="3" t="s">
        <v>52</v>
      </c>
      <c r="P15849" s="5">
        <v>10</v>
      </c>
      <c r="Q15849" s="5">
        <v>73</v>
      </c>
      <c r="R15849" s="5">
        <v>9</v>
      </c>
      <c r="S15849" s="5">
        <v>81</v>
      </c>
    </row>
    <row r="15850" spans="1:19" ht="28" x14ac:dyDescent="0.15">
      <c r="A15850" s="2">
        <f>HYPERLINK("https://open-school.uspishnemisto.com.ua/school/740149/", 740149)</f>
        <v>740149</v>
      </c>
      <c r="B15850" s="3" t="s">
        <v>79970</v>
      </c>
      <c r="C15850" s="3" t="s">
        <v>31</v>
      </c>
      <c r="D15850" s="3" t="s">
        <v>32</v>
      </c>
      <c r="E15850" s="4" t="s">
        <v>22</v>
      </c>
      <c r="F15850" s="4" t="s">
        <v>79971</v>
      </c>
      <c r="G15850" s="4" t="s">
        <v>79972</v>
      </c>
      <c r="H15850" s="3" t="s">
        <v>79360</v>
      </c>
      <c r="I15850" s="3" t="s">
        <v>3369</v>
      </c>
      <c r="J15850" s="3" t="s">
        <v>79973</v>
      </c>
      <c r="K15850" s="3" t="s">
        <v>79974</v>
      </c>
      <c r="L15850" s="3" t="s">
        <v>79975</v>
      </c>
      <c r="M15850" s="4"/>
      <c r="N15850" s="3" t="s">
        <v>37</v>
      </c>
      <c r="O15850" s="3" t="s">
        <v>70</v>
      </c>
      <c r="P15850" s="5">
        <v>9</v>
      </c>
      <c r="Q15850" s="5">
        <v>77</v>
      </c>
      <c r="R15850" s="5">
        <v>8</v>
      </c>
      <c r="S15850" s="5">
        <v>74</v>
      </c>
    </row>
    <row r="15851" spans="1:19" ht="28" x14ac:dyDescent="0.15">
      <c r="A15851" s="2">
        <f>HYPERLINK("https://open-school.uspishnemisto.com.ua/school/740150/", 740150)</f>
        <v>740150</v>
      </c>
      <c r="B15851" s="3" t="s">
        <v>79976</v>
      </c>
      <c r="C15851" s="3" t="s">
        <v>293</v>
      </c>
      <c r="D15851" s="3" t="s">
        <v>175</v>
      </c>
      <c r="E15851" s="4" t="s">
        <v>22</v>
      </c>
      <c r="F15851" s="4" t="s">
        <v>79971</v>
      </c>
      <c r="G15851" s="4" t="s">
        <v>79972</v>
      </c>
      <c r="H15851" s="3" t="s">
        <v>79360</v>
      </c>
      <c r="I15851" s="3" t="s">
        <v>3369</v>
      </c>
      <c r="J15851" s="3" t="s">
        <v>2745</v>
      </c>
      <c r="K15851" s="3" t="s">
        <v>79977</v>
      </c>
      <c r="L15851" s="3"/>
      <c r="M15851" s="4" t="s">
        <v>79978</v>
      </c>
      <c r="N15851" s="3" t="s">
        <v>37</v>
      </c>
      <c r="O15851" s="3" t="s">
        <v>38</v>
      </c>
      <c r="P15851" s="5">
        <v>9</v>
      </c>
      <c r="Q15851" s="5">
        <v>102</v>
      </c>
      <c r="R15851" s="5">
        <v>9</v>
      </c>
      <c r="S15851" s="5">
        <v>98</v>
      </c>
    </row>
    <row r="15852" spans="1:19" ht="28" x14ac:dyDescent="0.15">
      <c r="A15852" s="2">
        <f>HYPERLINK("https://open-school.uspishnemisto.com.ua/school/740151/", 740151)</f>
        <v>740151</v>
      </c>
      <c r="B15852" s="3" t="s">
        <v>79979</v>
      </c>
      <c r="C15852" s="3" t="s">
        <v>31</v>
      </c>
      <c r="D15852" s="3" t="s">
        <v>32</v>
      </c>
      <c r="E15852" s="4" t="s">
        <v>22</v>
      </c>
      <c r="F15852" s="4" t="s">
        <v>79980</v>
      </c>
      <c r="G15852" s="4" t="s">
        <v>79981</v>
      </c>
      <c r="H15852" s="3" t="s">
        <v>79360</v>
      </c>
      <c r="I15852" s="3" t="s">
        <v>79982</v>
      </c>
      <c r="J15852" s="3" t="s">
        <v>79983</v>
      </c>
      <c r="K15852" s="3" t="s">
        <v>79984</v>
      </c>
      <c r="L15852" s="3"/>
      <c r="M15852" s="4"/>
      <c r="N15852" s="3" t="s">
        <v>37</v>
      </c>
      <c r="O15852" s="3" t="s">
        <v>52</v>
      </c>
      <c r="P15852" s="5">
        <v>9</v>
      </c>
      <c r="Q15852" s="5">
        <v>56</v>
      </c>
      <c r="R15852" s="5">
        <v>9</v>
      </c>
      <c r="S15852" s="5">
        <v>54</v>
      </c>
    </row>
    <row r="15853" spans="1:19" ht="28" x14ac:dyDescent="0.15">
      <c r="A15853" s="2">
        <f>HYPERLINK("https://open-school.uspishnemisto.com.ua/school/740152/", 740152)</f>
        <v>740152</v>
      </c>
      <c r="B15853" s="3" t="s">
        <v>79985</v>
      </c>
      <c r="C15853" s="3" t="s">
        <v>31</v>
      </c>
      <c r="D15853" s="3" t="s">
        <v>175</v>
      </c>
      <c r="E15853" s="4" t="s">
        <v>22</v>
      </c>
      <c r="F15853" s="4" t="s">
        <v>79986</v>
      </c>
      <c r="G15853" s="4" t="s">
        <v>79987</v>
      </c>
      <c r="H15853" s="3" t="s">
        <v>79360</v>
      </c>
      <c r="I15853" s="3" t="s">
        <v>79988</v>
      </c>
      <c r="J15853" s="3" t="s">
        <v>79989</v>
      </c>
      <c r="K15853" s="3" t="s">
        <v>79990</v>
      </c>
      <c r="L15853" s="3"/>
      <c r="M15853" s="4"/>
      <c r="N15853" s="3" t="s">
        <v>37</v>
      </c>
      <c r="O15853" s="3" t="s">
        <v>52</v>
      </c>
      <c r="P15853" s="5">
        <v>3</v>
      </c>
      <c r="Q15853" s="5">
        <v>29</v>
      </c>
      <c r="R15853" s="5">
        <v>2</v>
      </c>
      <c r="S15853" s="5">
        <v>28</v>
      </c>
    </row>
    <row r="15854" spans="1:19" ht="28" x14ac:dyDescent="0.15">
      <c r="A15854" s="2">
        <f>HYPERLINK("https://open-school.uspishnemisto.com.ua/school/740153/", 740153)</f>
        <v>740153</v>
      </c>
      <c r="B15854" s="3" t="s">
        <v>79991</v>
      </c>
      <c r="C15854" s="3" t="s">
        <v>31</v>
      </c>
      <c r="D15854" s="3" t="s">
        <v>32</v>
      </c>
      <c r="E15854" s="4" t="s">
        <v>22</v>
      </c>
      <c r="F15854" s="4" t="s">
        <v>79992</v>
      </c>
      <c r="G15854" s="4" t="s">
        <v>79993</v>
      </c>
      <c r="H15854" s="3" t="s">
        <v>79360</v>
      </c>
      <c r="I15854" s="3" t="s">
        <v>1740</v>
      </c>
      <c r="J15854" s="3" t="s">
        <v>3738</v>
      </c>
      <c r="K15854" s="3" t="s">
        <v>79994</v>
      </c>
      <c r="L15854" s="3"/>
      <c r="M15854" s="4"/>
      <c r="N15854" s="3" t="s">
        <v>37</v>
      </c>
      <c r="O15854" s="3" t="s">
        <v>46</v>
      </c>
      <c r="P15854" s="5">
        <v>11</v>
      </c>
      <c r="Q15854" s="5">
        <v>95</v>
      </c>
      <c r="R15854" s="5">
        <v>10</v>
      </c>
      <c r="S15854" s="5">
        <v>95</v>
      </c>
    </row>
    <row r="15855" spans="1:19" ht="28" x14ac:dyDescent="0.15">
      <c r="A15855" s="2">
        <f>HYPERLINK("https://open-school.uspishnemisto.com.ua/school/740154/", 740154)</f>
        <v>740154</v>
      </c>
      <c r="B15855" s="3" t="s">
        <v>79995</v>
      </c>
      <c r="C15855" s="3" t="s">
        <v>31</v>
      </c>
      <c r="D15855" s="3" t="s">
        <v>32</v>
      </c>
      <c r="E15855" s="4" t="s">
        <v>22</v>
      </c>
      <c r="F15855" s="4" t="s">
        <v>79996</v>
      </c>
      <c r="G15855" s="4" t="s">
        <v>79997</v>
      </c>
      <c r="H15855" s="3" t="s">
        <v>79360</v>
      </c>
      <c r="I15855" s="3" t="s">
        <v>79998</v>
      </c>
      <c r="J15855" s="3" t="s">
        <v>79999</v>
      </c>
      <c r="K15855" s="3" t="s">
        <v>80000</v>
      </c>
      <c r="L15855" s="3" t="s">
        <v>80001</v>
      </c>
      <c r="M15855" s="4"/>
      <c r="N15855" s="3" t="s">
        <v>37</v>
      </c>
      <c r="O15855" s="3" t="s">
        <v>46</v>
      </c>
      <c r="P15855" s="5">
        <v>6</v>
      </c>
      <c r="Q15855" s="5">
        <v>62</v>
      </c>
      <c r="R15855" s="5">
        <v>7</v>
      </c>
      <c r="S15855" s="5">
        <v>64</v>
      </c>
    </row>
    <row r="15856" spans="1:19" ht="28" x14ac:dyDescent="0.15">
      <c r="A15856" s="2">
        <f>HYPERLINK("https://open-school.uspishnemisto.com.ua/school/740155/", 740155)</f>
        <v>740155</v>
      </c>
      <c r="B15856" s="3" t="s">
        <v>80002</v>
      </c>
      <c r="C15856" s="3" t="s">
        <v>31</v>
      </c>
      <c r="D15856" s="3" t="s">
        <v>32</v>
      </c>
      <c r="E15856" s="4" t="s">
        <v>22</v>
      </c>
      <c r="F15856" s="4" t="s">
        <v>80003</v>
      </c>
      <c r="G15856" s="4" t="s">
        <v>80004</v>
      </c>
      <c r="H15856" s="3" t="s">
        <v>79360</v>
      </c>
      <c r="I15856" s="3" t="s">
        <v>80005</v>
      </c>
      <c r="J15856" s="3" t="s">
        <v>4537</v>
      </c>
      <c r="K15856" s="3" t="s">
        <v>80006</v>
      </c>
      <c r="L15856" s="3" t="s">
        <v>80007</v>
      </c>
      <c r="M15856" s="4"/>
      <c r="N15856" s="3" t="s">
        <v>37</v>
      </c>
      <c r="O15856" s="3" t="s">
        <v>52</v>
      </c>
      <c r="P15856" s="5">
        <v>8</v>
      </c>
      <c r="Q15856" s="5">
        <v>55</v>
      </c>
      <c r="R15856" s="5">
        <v>7</v>
      </c>
      <c r="S15856" s="5">
        <v>55</v>
      </c>
    </row>
    <row r="15857" spans="1:19" ht="28" x14ac:dyDescent="0.15">
      <c r="A15857" s="2">
        <f>HYPERLINK("https://open-school.uspishnemisto.com.ua/school/740156/", 740156)</f>
        <v>740156</v>
      </c>
      <c r="B15857" s="3" t="s">
        <v>80008</v>
      </c>
      <c r="C15857" s="3" t="s">
        <v>31</v>
      </c>
      <c r="D15857" s="3" t="s">
        <v>32</v>
      </c>
      <c r="E15857" s="4" t="s">
        <v>22</v>
      </c>
      <c r="F15857" s="4" t="s">
        <v>80009</v>
      </c>
      <c r="G15857" s="4" t="s">
        <v>80010</v>
      </c>
      <c r="H15857" s="3" t="s">
        <v>79360</v>
      </c>
      <c r="I15857" s="3" t="s">
        <v>971</v>
      </c>
      <c r="J15857" s="3" t="s">
        <v>79436</v>
      </c>
      <c r="K15857" s="3" t="s">
        <v>80011</v>
      </c>
      <c r="L15857" s="3"/>
      <c r="M15857" s="4"/>
      <c r="N15857" s="3" t="s">
        <v>37</v>
      </c>
      <c r="O15857" s="3" t="s">
        <v>52</v>
      </c>
      <c r="P15857" s="5">
        <v>9</v>
      </c>
      <c r="Q15857" s="5">
        <v>65</v>
      </c>
      <c r="R15857" s="5">
        <v>10</v>
      </c>
      <c r="S15857" s="5">
        <v>66</v>
      </c>
    </row>
    <row r="15858" spans="1:19" ht="28" x14ac:dyDescent="0.15">
      <c r="A15858" s="2">
        <f>HYPERLINK("https://open-school.uspishnemisto.com.ua/school/740157/", 740157)</f>
        <v>740157</v>
      </c>
      <c r="B15858" s="3" t="s">
        <v>80012</v>
      </c>
      <c r="C15858" s="3" t="s">
        <v>31</v>
      </c>
      <c r="D15858" s="3" t="s">
        <v>32</v>
      </c>
      <c r="E15858" s="4" t="s">
        <v>22</v>
      </c>
      <c r="F15858" s="4" t="s">
        <v>80013</v>
      </c>
      <c r="G15858" s="4" t="s">
        <v>80014</v>
      </c>
      <c r="H15858" s="3" t="s">
        <v>79360</v>
      </c>
      <c r="I15858" s="3" t="s">
        <v>80015</v>
      </c>
      <c r="J15858" s="3" t="s">
        <v>6364</v>
      </c>
      <c r="K15858" s="3" t="s">
        <v>80016</v>
      </c>
      <c r="L15858" s="3" t="s">
        <v>80017</v>
      </c>
      <c r="M15858" s="4"/>
      <c r="N15858" s="3" t="s">
        <v>37</v>
      </c>
      <c r="O15858" s="3" t="s">
        <v>46</v>
      </c>
      <c r="P15858" s="5">
        <v>9</v>
      </c>
      <c r="Q15858" s="5">
        <v>98</v>
      </c>
      <c r="R15858" s="5">
        <v>10</v>
      </c>
      <c r="S15858" s="5">
        <v>92</v>
      </c>
    </row>
    <row r="15859" spans="1:19" ht="28" x14ac:dyDescent="0.15">
      <c r="A15859" s="2">
        <f>HYPERLINK("https://open-school.uspishnemisto.com.ua/school/740158/", 740158)</f>
        <v>740158</v>
      </c>
      <c r="B15859" s="3" t="s">
        <v>80018</v>
      </c>
      <c r="C15859" s="3" t="s">
        <v>31</v>
      </c>
      <c r="D15859" s="3" t="s">
        <v>32</v>
      </c>
      <c r="E15859" s="4" t="s">
        <v>22</v>
      </c>
      <c r="F15859" s="4" t="s">
        <v>80019</v>
      </c>
      <c r="G15859" s="4" t="s">
        <v>80020</v>
      </c>
      <c r="H15859" s="3" t="s">
        <v>79360</v>
      </c>
      <c r="I15859" s="3" t="s">
        <v>80021</v>
      </c>
      <c r="J15859" s="3" t="s">
        <v>16879</v>
      </c>
      <c r="K15859" s="3"/>
      <c r="L15859" s="3"/>
      <c r="M15859" s="4"/>
      <c r="N15859" s="3" t="s">
        <v>37</v>
      </c>
      <c r="O15859" s="3" t="s">
        <v>52</v>
      </c>
      <c r="P15859" s="5">
        <v>3</v>
      </c>
      <c r="Q15859" s="5">
        <v>32</v>
      </c>
      <c r="R15859" s="5">
        <v>3</v>
      </c>
      <c r="S15859" s="5">
        <v>32</v>
      </c>
    </row>
    <row r="15860" spans="1:19" ht="28" x14ac:dyDescent="0.15">
      <c r="A15860" s="2">
        <f>HYPERLINK("https://open-school.uspishnemisto.com.ua/school/740159/", 740159)</f>
        <v>740159</v>
      </c>
      <c r="B15860" s="3" t="s">
        <v>80022</v>
      </c>
      <c r="C15860" s="3" t="s">
        <v>31</v>
      </c>
      <c r="D15860" s="3" t="s">
        <v>32</v>
      </c>
      <c r="E15860" s="4" t="s">
        <v>22</v>
      </c>
      <c r="F15860" s="4" t="s">
        <v>80023</v>
      </c>
      <c r="G15860" s="4" t="s">
        <v>80024</v>
      </c>
      <c r="H15860" s="3" t="s">
        <v>79360</v>
      </c>
      <c r="I15860" s="3" t="s">
        <v>80025</v>
      </c>
      <c r="J15860" s="3" t="s">
        <v>20967</v>
      </c>
      <c r="K15860" s="3" t="s">
        <v>80026</v>
      </c>
      <c r="L15860" s="3" t="s">
        <v>80027</v>
      </c>
      <c r="M15860" s="4"/>
      <c r="N15860" s="3" t="s">
        <v>37</v>
      </c>
      <c r="O15860" s="3" t="s">
        <v>52</v>
      </c>
      <c r="P15860" s="5">
        <v>7</v>
      </c>
      <c r="Q15860" s="5">
        <v>61</v>
      </c>
      <c r="R15860" s="5">
        <v>7</v>
      </c>
      <c r="S15860" s="5">
        <v>67</v>
      </c>
    </row>
    <row r="15861" spans="1:19" ht="28" x14ac:dyDescent="0.15">
      <c r="A15861" s="2">
        <f>HYPERLINK("https://open-school.uspishnemisto.com.ua/school/740160/", 740160)</f>
        <v>740160</v>
      </c>
      <c r="B15861" s="3" t="s">
        <v>80028</v>
      </c>
      <c r="C15861" s="3" t="s">
        <v>31</v>
      </c>
      <c r="D15861" s="3" t="s">
        <v>32</v>
      </c>
      <c r="E15861" s="4" t="s">
        <v>22</v>
      </c>
      <c r="F15861" s="4" t="s">
        <v>80029</v>
      </c>
      <c r="G15861" s="4" t="s">
        <v>80030</v>
      </c>
      <c r="H15861" s="3" t="s">
        <v>79360</v>
      </c>
      <c r="I15861" s="3" t="s">
        <v>80031</v>
      </c>
      <c r="J15861" s="3" t="s">
        <v>4740</v>
      </c>
      <c r="K15861" s="3" t="s">
        <v>80032</v>
      </c>
      <c r="L15861" s="3" t="s">
        <v>80033</v>
      </c>
      <c r="M15861" s="4"/>
      <c r="N15861" s="3" t="s">
        <v>37</v>
      </c>
      <c r="O15861" s="3" t="s">
        <v>52</v>
      </c>
      <c r="P15861" s="5">
        <v>3</v>
      </c>
      <c r="Q15861" s="5">
        <v>38</v>
      </c>
      <c r="R15861" s="5">
        <v>4</v>
      </c>
      <c r="S15861" s="5">
        <v>40</v>
      </c>
    </row>
    <row r="15862" spans="1:19" ht="28" x14ac:dyDescent="0.15">
      <c r="A15862" s="2">
        <f>HYPERLINK("https://open-school.uspishnemisto.com.ua/school/740161/", 740161)</f>
        <v>740161</v>
      </c>
      <c r="B15862" s="3" t="s">
        <v>80034</v>
      </c>
      <c r="C15862" s="3" t="s">
        <v>31</v>
      </c>
      <c r="D15862" s="3" t="s">
        <v>175</v>
      </c>
      <c r="E15862" s="4" t="s">
        <v>22</v>
      </c>
      <c r="F15862" s="4" t="s">
        <v>80035</v>
      </c>
      <c r="G15862" s="4" t="s">
        <v>80036</v>
      </c>
      <c r="H15862" s="3" t="s">
        <v>79360</v>
      </c>
      <c r="I15862" s="3" t="s">
        <v>1033</v>
      </c>
      <c r="J15862" s="3" t="s">
        <v>17711</v>
      </c>
      <c r="K15862" s="3" t="s">
        <v>80037</v>
      </c>
      <c r="L15862" s="3"/>
      <c r="M15862" s="4"/>
      <c r="N15862" s="3" t="s">
        <v>37</v>
      </c>
      <c r="O15862" s="3" t="s">
        <v>618</v>
      </c>
      <c r="P15862" s="5">
        <v>3</v>
      </c>
      <c r="Q15862" s="5">
        <v>29</v>
      </c>
      <c r="R15862" s="5">
        <v>4</v>
      </c>
      <c r="S15862" s="5">
        <v>33</v>
      </c>
    </row>
    <row r="15863" spans="1:19" ht="28" x14ac:dyDescent="0.15">
      <c r="A15863" s="2">
        <f>HYPERLINK("https://open-school.uspishnemisto.com.ua/school/740162/", 740162)</f>
        <v>740162</v>
      </c>
      <c r="B15863" s="3" t="s">
        <v>80038</v>
      </c>
      <c r="C15863" s="3" t="s">
        <v>31</v>
      </c>
      <c r="D15863" s="3" t="s">
        <v>175</v>
      </c>
      <c r="E15863" s="4" t="s">
        <v>22</v>
      </c>
      <c r="F15863" s="4" t="s">
        <v>80039</v>
      </c>
      <c r="G15863" s="4" t="s">
        <v>80040</v>
      </c>
      <c r="H15863" s="3" t="s">
        <v>79360</v>
      </c>
      <c r="I15863" s="3" t="s">
        <v>80041</v>
      </c>
      <c r="J15863" s="3" t="s">
        <v>634</v>
      </c>
      <c r="K15863" s="3" t="s">
        <v>80042</v>
      </c>
      <c r="L15863" s="3"/>
      <c r="M15863" s="4"/>
      <c r="N15863" s="3" t="s">
        <v>37</v>
      </c>
      <c r="O15863" s="3" t="s">
        <v>618</v>
      </c>
      <c r="P15863" s="5">
        <v>3</v>
      </c>
      <c r="Q15863" s="5">
        <v>28</v>
      </c>
      <c r="R15863" s="5">
        <v>2</v>
      </c>
      <c r="S15863" s="5">
        <v>25</v>
      </c>
    </row>
    <row r="15864" spans="1:19" ht="28" x14ac:dyDescent="0.15">
      <c r="A15864" s="2">
        <f>HYPERLINK("https://open-school.uspishnemisto.com.ua/school/740163/", 740163)</f>
        <v>740163</v>
      </c>
      <c r="B15864" s="3" t="s">
        <v>80043</v>
      </c>
      <c r="C15864" s="3" t="s">
        <v>31</v>
      </c>
      <c r="D15864" s="3" t="s">
        <v>175</v>
      </c>
      <c r="E15864" s="4" t="s">
        <v>22</v>
      </c>
      <c r="F15864" s="4" t="s">
        <v>80044</v>
      </c>
      <c r="G15864" s="4" t="s">
        <v>80045</v>
      </c>
      <c r="H15864" s="3" t="s">
        <v>79360</v>
      </c>
      <c r="I15864" s="3" t="s">
        <v>75549</v>
      </c>
      <c r="J15864" s="3" t="s">
        <v>1001</v>
      </c>
      <c r="K15864" s="3" t="s">
        <v>80046</v>
      </c>
      <c r="L15864" s="3"/>
      <c r="M15864" s="4"/>
      <c r="N15864" s="3" t="s">
        <v>37</v>
      </c>
      <c r="O15864" s="3" t="s">
        <v>618</v>
      </c>
      <c r="P15864" s="5">
        <v>3</v>
      </c>
      <c r="Q15864" s="5">
        <v>26</v>
      </c>
      <c r="R15864" s="5">
        <v>3</v>
      </c>
      <c r="S15864" s="5">
        <v>26</v>
      </c>
    </row>
    <row r="15865" spans="1:19" ht="42" x14ac:dyDescent="0.15">
      <c r="A15865" s="2">
        <f>HYPERLINK("https://open-school.uspishnemisto.com.ua/school/740164/", 740164)</f>
        <v>740164</v>
      </c>
      <c r="B15865" s="3" t="s">
        <v>80047</v>
      </c>
      <c r="C15865" s="3" t="s">
        <v>31</v>
      </c>
      <c r="D15865" s="3" t="s">
        <v>32</v>
      </c>
      <c r="E15865" s="4" t="s">
        <v>22</v>
      </c>
      <c r="F15865" s="4" t="s">
        <v>80048</v>
      </c>
      <c r="G15865" s="4" t="s">
        <v>80049</v>
      </c>
      <c r="H15865" s="3" t="s">
        <v>79360</v>
      </c>
      <c r="I15865" s="3" t="s">
        <v>80050</v>
      </c>
      <c r="J15865" s="3" t="s">
        <v>2990</v>
      </c>
      <c r="K15865" s="3" t="s">
        <v>80051</v>
      </c>
      <c r="L15865" s="3" t="s">
        <v>80052</v>
      </c>
      <c r="M15865" s="4"/>
      <c r="N15865" s="3" t="s">
        <v>37</v>
      </c>
      <c r="O15865" s="3" t="s">
        <v>70</v>
      </c>
      <c r="P15865" s="5">
        <v>10</v>
      </c>
      <c r="Q15865" s="5">
        <v>96</v>
      </c>
      <c r="R15865" s="5">
        <v>10</v>
      </c>
      <c r="S15865" s="5">
        <v>100</v>
      </c>
    </row>
    <row r="15866" spans="1:19" ht="28" x14ac:dyDescent="0.15">
      <c r="A15866" s="2">
        <f>HYPERLINK("https://open-school.uspishnemisto.com.ua/school/740165/", 740165)</f>
        <v>740165</v>
      </c>
      <c r="B15866" s="3" t="s">
        <v>80053</v>
      </c>
      <c r="C15866" s="3" t="s">
        <v>31</v>
      </c>
      <c r="D15866" s="3" t="s">
        <v>32</v>
      </c>
      <c r="E15866" s="4" t="s">
        <v>22</v>
      </c>
      <c r="F15866" s="4" t="s">
        <v>80054</v>
      </c>
      <c r="G15866" s="4" t="s">
        <v>80055</v>
      </c>
      <c r="H15866" s="3" t="s">
        <v>79360</v>
      </c>
      <c r="I15866" s="3" t="s">
        <v>58838</v>
      </c>
      <c r="J15866" s="3" t="s">
        <v>32504</v>
      </c>
      <c r="K15866" s="3" t="s">
        <v>80056</v>
      </c>
      <c r="L15866" s="3" t="s">
        <v>80057</v>
      </c>
      <c r="M15866" s="4"/>
      <c r="N15866" s="3" t="s">
        <v>37</v>
      </c>
      <c r="O15866" s="3" t="s">
        <v>46</v>
      </c>
      <c r="P15866" s="5">
        <v>11</v>
      </c>
      <c r="Q15866" s="5">
        <v>114</v>
      </c>
      <c r="R15866" s="5">
        <v>11</v>
      </c>
      <c r="S15866" s="5">
        <v>110</v>
      </c>
    </row>
    <row r="15867" spans="1:19" ht="42" x14ac:dyDescent="0.15">
      <c r="A15867" s="2">
        <f>HYPERLINK("https://open-school.uspishnemisto.com.ua/school/740166/", 740166)</f>
        <v>740166</v>
      </c>
      <c r="B15867" s="3" t="s">
        <v>80058</v>
      </c>
      <c r="C15867" s="3" t="s">
        <v>31</v>
      </c>
      <c r="D15867" s="3" t="s">
        <v>32</v>
      </c>
      <c r="E15867" s="4" t="s">
        <v>22</v>
      </c>
      <c r="F15867" s="4" t="s">
        <v>80059</v>
      </c>
      <c r="G15867" s="4" t="s">
        <v>80060</v>
      </c>
      <c r="H15867" s="3" t="s">
        <v>79360</v>
      </c>
      <c r="I15867" s="3" t="s">
        <v>80061</v>
      </c>
      <c r="J15867" s="3" t="s">
        <v>80062</v>
      </c>
      <c r="K15867" s="3" t="s">
        <v>80063</v>
      </c>
      <c r="L15867" s="3"/>
      <c r="M15867" s="4"/>
      <c r="N15867" s="3" t="s">
        <v>37</v>
      </c>
      <c r="O15867" s="3" t="s">
        <v>46</v>
      </c>
      <c r="P15867" s="5">
        <v>10</v>
      </c>
      <c r="Q15867" s="5">
        <v>74</v>
      </c>
      <c r="R15867" s="5">
        <v>10</v>
      </c>
      <c r="S15867" s="5">
        <v>76</v>
      </c>
    </row>
    <row r="15868" spans="1:19" ht="28" x14ac:dyDescent="0.15">
      <c r="A15868" s="2">
        <f>HYPERLINK("https://open-school.uspishnemisto.com.ua/school/740167/", 740167)</f>
        <v>740167</v>
      </c>
      <c r="B15868" s="3" t="s">
        <v>80064</v>
      </c>
      <c r="C15868" s="3" t="s">
        <v>31</v>
      </c>
      <c r="D15868" s="3" t="s">
        <v>32</v>
      </c>
      <c r="E15868" s="4" t="s">
        <v>22</v>
      </c>
      <c r="F15868" s="4" t="s">
        <v>80065</v>
      </c>
      <c r="G15868" s="4" t="s">
        <v>80066</v>
      </c>
      <c r="H15868" s="3" t="s">
        <v>79360</v>
      </c>
      <c r="I15868" s="3" t="s">
        <v>80067</v>
      </c>
      <c r="J15868" s="3" t="s">
        <v>30002</v>
      </c>
      <c r="K15868" s="3" t="s">
        <v>80068</v>
      </c>
      <c r="L15868" s="3"/>
      <c r="M15868" s="4"/>
      <c r="N15868" s="3" t="s">
        <v>37</v>
      </c>
      <c r="O15868" s="3" t="s">
        <v>70</v>
      </c>
      <c r="P15868" s="5">
        <v>19</v>
      </c>
      <c r="Q15868" s="5">
        <v>371</v>
      </c>
      <c r="R15868" s="5">
        <v>19</v>
      </c>
      <c r="S15868" s="5">
        <v>359</v>
      </c>
    </row>
    <row r="15869" spans="1:19" ht="28" x14ac:dyDescent="0.15">
      <c r="A15869" s="2">
        <f>HYPERLINK("https://open-school.uspishnemisto.com.ua/school/740168/", 740168)</f>
        <v>740168</v>
      </c>
      <c r="B15869" s="3" t="s">
        <v>80069</v>
      </c>
      <c r="C15869" s="3" t="s">
        <v>40</v>
      </c>
      <c r="D15869" s="3" t="s">
        <v>32</v>
      </c>
      <c r="E15869" s="4" t="s">
        <v>22</v>
      </c>
      <c r="F15869" s="4" t="s">
        <v>80065</v>
      </c>
      <c r="G15869" s="4" t="s">
        <v>80066</v>
      </c>
      <c r="H15869" s="3" t="s">
        <v>79360</v>
      </c>
      <c r="I15869" s="3" t="s">
        <v>80067</v>
      </c>
      <c r="J15869" s="3" t="s">
        <v>21908</v>
      </c>
      <c r="K15869" s="3" t="s">
        <v>80070</v>
      </c>
      <c r="L15869" s="3" t="s">
        <v>80071</v>
      </c>
      <c r="M15869" s="4"/>
      <c r="N15869" s="3" t="s">
        <v>37</v>
      </c>
      <c r="O15869" s="3" t="s">
        <v>38</v>
      </c>
      <c r="P15869" s="5">
        <v>22</v>
      </c>
      <c r="Q15869" s="5">
        <v>511</v>
      </c>
      <c r="R15869" s="5">
        <v>22</v>
      </c>
      <c r="S15869" s="5">
        <v>518</v>
      </c>
    </row>
    <row r="15870" spans="1:19" ht="28" x14ac:dyDescent="0.15">
      <c r="A15870" s="2">
        <f>HYPERLINK("https://open-school.uspishnemisto.com.ua/school/740169/", 740169)</f>
        <v>740169</v>
      </c>
      <c r="B15870" s="3" t="s">
        <v>80072</v>
      </c>
      <c r="C15870" s="3" t="s">
        <v>31</v>
      </c>
      <c r="D15870" s="3" t="s">
        <v>32</v>
      </c>
      <c r="E15870" s="4" t="s">
        <v>22</v>
      </c>
      <c r="F15870" s="4" t="s">
        <v>80073</v>
      </c>
      <c r="G15870" s="4" t="s">
        <v>80074</v>
      </c>
      <c r="H15870" s="3" t="s">
        <v>79360</v>
      </c>
      <c r="I15870" s="3" t="s">
        <v>3481</v>
      </c>
      <c r="J15870" s="3" t="s">
        <v>80075</v>
      </c>
      <c r="K15870" s="3" t="s">
        <v>80076</v>
      </c>
      <c r="L15870" s="3"/>
      <c r="M15870" s="4"/>
      <c r="N15870" s="3" t="s">
        <v>37</v>
      </c>
      <c r="O15870" s="3" t="s">
        <v>38</v>
      </c>
      <c r="P15870" s="5">
        <v>3</v>
      </c>
      <c r="Q15870" s="5">
        <v>31</v>
      </c>
      <c r="R15870" s="5">
        <v>3</v>
      </c>
      <c r="S15870" s="5">
        <v>33</v>
      </c>
    </row>
    <row r="15871" spans="1:19" ht="28" x14ac:dyDescent="0.15">
      <c r="A15871" s="2">
        <f>HYPERLINK("https://open-school.uspishnemisto.com.ua/school/740170/", 740170)</f>
        <v>740170</v>
      </c>
      <c r="B15871" s="3" t="s">
        <v>80077</v>
      </c>
      <c r="C15871" s="3" t="s">
        <v>31</v>
      </c>
      <c r="D15871" s="3" t="s">
        <v>60</v>
      </c>
      <c r="E15871" s="4" t="s">
        <v>22</v>
      </c>
      <c r="F15871" s="4" t="s">
        <v>80078</v>
      </c>
      <c r="G15871" s="4" t="s">
        <v>80079</v>
      </c>
      <c r="H15871" s="3" t="s">
        <v>79360</v>
      </c>
      <c r="I15871" s="3" t="s">
        <v>74975</v>
      </c>
      <c r="J15871" s="3" t="s">
        <v>80080</v>
      </c>
      <c r="K15871" s="3" t="s">
        <v>80081</v>
      </c>
      <c r="L15871" s="3"/>
      <c r="M15871" s="4"/>
      <c r="N15871" s="3" t="s">
        <v>37</v>
      </c>
      <c r="O15871" s="3" t="s">
        <v>52</v>
      </c>
      <c r="P15871" s="5">
        <v>1</v>
      </c>
      <c r="Q15871" s="5">
        <v>11</v>
      </c>
      <c r="R15871" s="5">
        <v>3</v>
      </c>
      <c r="S15871" s="5">
        <v>29</v>
      </c>
    </row>
    <row r="15872" spans="1:19" ht="28" x14ac:dyDescent="0.15">
      <c r="A15872" s="2">
        <f>HYPERLINK("https://open-school.uspishnemisto.com.ua/school/740171/", 740171)</f>
        <v>740171</v>
      </c>
      <c r="B15872" s="3" t="s">
        <v>80082</v>
      </c>
      <c r="C15872" s="3" t="s">
        <v>31</v>
      </c>
      <c r="D15872" s="3" t="s">
        <v>60</v>
      </c>
      <c r="E15872" s="4" t="s">
        <v>22</v>
      </c>
      <c r="F15872" s="4" t="s">
        <v>80083</v>
      </c>
      <c r="G15872" s="4" t="s">
        <v>80084</v>
      </c>
      <c r="H15872" s="3" t="s">
        <v>79360</v>
      </c>
      <c r="I15872" s="3" t="s">
        <v>80085</v>
      </c>
      <c r="J15872" s="3" t="s">
        <v>80086</v>
      </c>
      <c r="K15872" s="3" t="s">
        <v>4795</v>
      </c>
      <c r="L15872" s="3"/>
      <c r="M15872" s="4"/>
      <c r="N15872" s="3" t="s">
        <v>37</v>
      </c>
      <c r="O15872" s="3" t="s">
        <v>38</v>
      </c>
      <c r="P15872" s="5">
        <v>0</v>
      </c>
      <c r="Q15872" s="5">
        <v>7</v>
      </c>
      <c r="R15872" s="5">
        <v>0</v>
      </c>
      <c r="S15872" s="5">
        <v>5</v>
      </c>
    </row>
    <row r="15873" spans="1:19" ht="28" x14ac:dyDescent="0.15">
      <c r="A15873" s="2">
        <f>HYPERLINK("https://open-school.uspishnemisto.com.ua/school/740172/", 740172)</f>
        <v>740172</v>
      </c>
      <c r="B15873" s="3" t="s">
        <v>80087</v>
      </c>
      <c r="C15873" s="3" t="s">
        <v>31</v>
      </c>
      <c r="D15873" s="3" t="s">
        <v>32</v>
      </c>
      <c r="E15873" s="4" t="s">
        <v>22</v>
      </c>
      <c r="F15873" s="4" t="s">
        <v>80088</v>
      </c>
      <c r="G15873" s="4" t="s">
        <v>80089</v>
      </c>
      <c r="H15873" s="3" t="s">
        <v>79360</v>
      </c>
      <c r="I15873" s="3" t="s">
        <v>80090</v>
      </c>
      <c r="J15873" s="3" t="s">
        <v>71616</v>
      </c>
      <c r="K15873" s="3" t="s">
        <v>80091</v>
      </c>
      <c r="L15873" s="3"/>
      <c r="M15873" s="4"/>
      <c r="N15873" s="3" t="s">
        <v>37</v>
      </c>
      <c r="O15873" s="3" t="s">
        <v>38</v>
      </c>
      <c r="P15873" s="5">
        <v>8</v>
      </c>
      <c r="Q15873" s="5">
        <v>79</v>
      </c>
      <c r="R15873" s="5">
        <v>9</v>
      </c>
      <c r="S15873" s="5">
        <v>79</v>
      </c>
    </row>
    <row r="15874" spans="1:19" ht="42" x14ac:dyDescent="0.15">
      <c r="A15874" s="2">
        <f>HYPERLINK("https://open-school.uspishnemisto.com.ua/school/740173/", 740173)</f>
        <v>740173</v>
      </c>
      <c r="B15874" s="3" t="s">
        <v>80092</v>
      </c>
      <c r="C15874" s="3" t="s">
        <v>31</v>
      </c>
      <c r="D15874" s="3" t="s">
        <v>32</v>
      </c>
      <c r="E15874" s="4" t="s">
        <v>22</v>
      </c>
      <c r="F15874" s="4" t="s">
        <v>80093</v>
      </c>
      <c r="G15874" s="4" t="s">
        <v>80094</v>
      </c>
      <c r="H15874" s="3" t="s">
        <v>79360</v>
      </c>
      <c r="I15874" s="3" t="s">
        <v>59720</v>
      </c>
      <c r="J15874" s="3" t="s">
        <v>80095</v>
      </c>
      <c r="K15874" s="3" t="s">
        <v>80096</v>
      </c>
      <c r="L15874" s="3" t="s">
        <v>80097</v>
      </c>
      <c r="M15874" s="4"/>
      <c r="N15874" s="3" t="s">
        <v>37</v>
      </c>
      <c r="O15874" s="3" t="s">
        <v>38</v>
      </c>
      <c r="P15874" s="5">
        <v>12</v>
      </c>
      <c r="Q15874" s="5">
        <v>225</v>
      </c>
      <c r="R15874" s="5">
        <v>12</v>
      </c>
      <c r="S15874" s="5">
        <v>221</v>
      </c>
    </row>
    <row r="15875" spans="1:19" ht="28" x14ac:dyDescent="0.15">
      <c r="A15875" s="2">
        <f>HYPERLINK("https://open-school.uspishnemisto.com.ua/school/740174/", 740174)</f>
        <v>740174</v>
      </c>
      <c r="B15875" s="3" t="s">
        <v>80098</v>
      </c>
      <c r="C15875" s="3" t="s">
        <v>31</v>
      </c>
      <c r="D15875" s="3" t="s">
        <v>60</v>
      </c>
      <c r="E15875" s="4" t="s">
        <v>22</v>
      </c>
      <c r="F15875" s="4" t="s">
        <v>80099</v>
      </c>
      <c r="G15875" s="4" t="s">
        <v>80100</v>
      </c>
      <c r="H15875" s="3" t="s">
        <v>79360</v>
      </c>
      <c r="I15875" s="3" t="s">
        <v>80101</v>
      </c>
      <c r="J15875" s="3" t="s">
        <v>33399</v>
      </c>
      <c r="K15875" s="3" t="s">
        <v>80102</v>
      </c>
      <c r="L15875" s="3"/>
      <c r="M15875" s="4"/>
      <c r="N15875" s="3" t="s">
        <v>37</v>
      </c>
      <c r="O15875" s="3" t="s">
        <v>52</v>
      </c>
      <c r="P15875" s="5">
        <v>0</v>
      </c>
      <c r="Q15875" s="5">
        <v>11</v>
      </c>
      <c r="R15875" s="5">
        <v>0</v>
      </c>
      <c r="S15875" s="5">
        <v>10</v>
      </c>
    </row>
    <row r="15876" spans="1:19" ht="28" x14ac:dyDescent="0.15">
      <c r="A15876" s="2">
        <f>HYPERLINK("https://open-school.uspishnemisto.com.ua/school/740175/", 740175)</f>
        <v>740175</v>
      </c>
      <c r="B15876" s="3" t="s">
        <v>80103</v>
      </c>
      <c r="C15876" s="3" t="s">
        <v>31</v>
      </c>
      <c r="D15876" s="3" t="s">
        <v>60</v>
      </c>
      <c r="E15876" s="4" t="s">
        <v>22</v>
      </c>
      <c r="F15876" s="4" t="s">
        <v>80104</v>
      </c>
      <c r="G15876" s="4" t="s">
        <v>80105</v>
      </c>
      <c r="H15876" s="3" t="s">
        <v>79360</v>
      </c>
      <c r="I15876" s="3" t="s">
        <v>80106</v>
      </c>
      <c r="J15876" s="3" t="s">
        <v>80107</v>
      </c>
      <c r="K15876" s="3" t="s">
        <v>80108</v>
      </c>
      <c r="L15876" s="3"/>
      <c r="M15876" s="4"/>
      <c r="N15876" s="3" t="s">
        <v>37</v>
      </c>
      <c r="O15876" s="3" t="s">
        <v>52</v>
      </c>
      <c r="P15876" s="5">
        <v>0</v>
      </c>
      <c r="Q15876" s="5">
        <v>6</v>
      </c>
      <c r="R15876" s="5">
        <v>2</v>
      </c>
      <c r="S15876" s="5">
        <v>26</v>
      </c>
    </row>
    <row r="15877" spans="1:19" ht="28" x14ac:dyDescent="0.15">
      <c r="A15877" s="2">
        <f>HYPERLINK("https://open-school.uspishnemisto.com.ua/school/740176/", 740176)</f>
        <v>740176</v>
      </c>
      <c r="B15877" s="3" t="s">
        <v>80109</v>
      </c>
      <c r="C15877" s="3" t="s">
        <v>31</v>
      </c>
      <c r="D15877" s="3" t="s">
        <v>60</v>
      </c>
      <c r="E15877" s="4" t="s">
        <v>22</v>
      </c>
      <c r="F15877" s="4" t="s">
        <v>80110</v>
      </c>
      <c r="G15877" s="4" t="s">
        <v>80111</v>
      </c>
      <c r="H15877" s="3" t="s">
        <v>79360</v>
      </c>
      <c r="I15877" s="3" t="s">
        <v>80112</v>
      </c>
      <c r="J15877" s="3" t="s">
        <v>80113</v>
      </c>
      <c r="K15877" s="3" t="s">
        <v>80114</v>
      </c>
      <c r="L15877" s="3"/>
      <c r="M15877" s="4"/>
      <c r="N15877" s="3" t="s">
        <v>37</v>
      </c>
      <c r="O15877" s="3" t="s">
        <v>38</v>
      </c>
      <c r="P15877" s="5">
        <v>0</v>
      </c>
      <c r="Q15877" s="5">
        <v>9</v>
      </c>
      <c r="R15877" s="5">
        <v>0</v>
      </c>
      <c r="S15877" s="5">
        <v>9</v>
      </c>
    </row>
    <row r="15878" spans="1:19" ht="28" x14ac:dyDescent="0.15">
      <c r="A15878" s="2">
        <f>HYPERLINK("https://open-school.uspishnemisto.com.ua/school/740177/", 740177)</f>
        <v>740177</v>
      </c>
      <c r="B15878" s="3" t="s">
        <v>80115</v>
      </c>
      <c r="C15878" s="3" t="s">
        <v>31</v>
      </c>
      <c r="D15878" s="3" t="s">
        <v>32</v>
      </c>
      <c r="E15878" s="4" t="s">
        <v>22</v>
      </c>
      <c r="F15878" s="4" t="s">
        <v>80116</v>
      </c>
      <c r="G15878" s="4" t="s">
        <v>80117</v>
      </c>
      <c r="H15878" s="3" t="s">
        <v>79360</v>
      </c>
      <c r="I15878" s="3" t="s">
        <v>8368</v>
      </c>
      <c r="J15878" s="3" t="s">
        <v>80118</v>
      </c>
      <c r="K15878" s="3" t="s">
        <v>80119</v>
      </c>
      <c r="L15878" s="3"/>
      <c r="M15878" s="4"/>
      <c r="N15878" s="3" t="s">
        <v>37</v>
      </c>
      <c r="O15878" s="3" t="s">
        <v>38</v>
      </c>
      <c r="P15878" s="5">
        <v>11</v>
      </c>
      <c r="Q15878" s="5">
        <v>151</v>
      </c>
      <c r="R15878" s="5">
        <v>11</v>
      </c>
      <c r="S15878" s="5">
        <v>158</v>
      </c>
    </row>
    <row r="15879" spans="1:19" ht="28" x14ac:dyDescent="0.15">
      <c r="A15879" s="2">
        <f>HYPERLINK("https://open-school.uspishnemisto.com.ua/school/740178/", 740178)</f>
        <v>740178</v>
      </c>
      <c r="B15879" s="3" t="s">
        <v>80120</v>
      </c>
      <c r="C15879" s="3" t="s">
        <v>31</v>
      </c>
      <c r="D15879" s="3" t="s">
        <v>175</v>
      </c>
      <c r="E15879" s="4" t="s">
        <v>22</v>
      </c>
      <c r="F15879" s="4" t="s">
        <v>80121</v>
      </c>
      <c r="G15879" s="4" t="s">
        <v>80122</v>
      </c>
      <c r="H15879" s="3" t="s">
        <v>79360</v>
      </c>
      <c r="I15879" s="3" t="s">
        <v>53104</v>
      </c>
      <c r="J15879" s="3" t="s">
        <v>80123</v>
      </c>
      <c r="K15879" s="3" t="s">
        <v>80124</v>
      </c>
      <c r="L15879" s="3"/>
      <c r="M15879" s="4"/>
      <c r="N15879" s="3" t="s">
        <v>37</v>
      </c>
      <c r="O15879" s="3" t="s">
        <v>38</v>
      </c>
      <c r="P15879" s="5">
        <v>6</v>
      </c>
      <c r="Q15879" s="5">
        <v>44</v>
      </c>
      <c r="R15879" s="5">
        <v>5</v>
      </c>
      <c r="S15879" s="5">
        <v>38</v>
      </c>
    </row>
    <row r="15880" spans="1:19" ht="28" x14ac:dyDescent="0.15">
      <c r="A15880" s="2">
        <f>HYPERLINK("https://open-school.uspishnemisto.com.ua/school/740179/", 740179)</f>
        <v>740179</v>
      </c>
      <c r="B15880" s="3" t="s">
        <v>80125</v>
      </c>
      <c r="C15880" s="3" t="s">
        <v>31</v>
      </c>
      <c r="D15880" s="3" t="s">
        <v>175</v>
      </c>
      <c r="E15880" s="4" t="s">
        <v>22</v>
      </c>
      <c r="F15880" s="4" t="s">
        <v>80126</v>
      </c>
      <c r="G15880" s="4" t="s">
        <v>80127</v>
      </c>
      <c r="H15880" s="3" t="s">
        <v>79360</v>
      </c>
      <c r="I15880" s="3" t="s">
        <v>80128</v>
      </c>
      <c r="J15880" s="3" t="s">
        <v>5948</v>
      </c>
      <c r="K15880" s="3" t="s">
        <v>80129</v>
      </c>
      <c r="L15880" s="3"/>
      <c r="M15880" s="4"/>
      <c r="N15880" s="3" t="s">
        <v>37</v>
      </c>
      <c r="O15880" s="3" t="s">
        <v>38</v>
      </c>
      <c r="P15880" s="5">
        <v>3</v>
      </c>
      <c r="Q15880" s="5">
        <v>36</v>
      </c>
      <c r="R15880" s="5">
        <v>1</v>
      </c>
      <c r="S15880" s="5">
        <v>27</v>
      </c>
    </row>
    <row r="15881" spans="1:19" ht="28" x14ac:dyDescent="0.15">
      <c r="A15881" s="2">
        <f>HYPERLINK("https://open-school.uspishnemisto.com.ua/school/740180/", 740180)</f>
        <v>740180</v>
      </c>
      <c r="B15881" s="3" t="s">
        <v>80130</v>
      </c>
      <c r="C15881" s="3" t="s">
        <v>31</v>
      </c>
      <c r="D15881" s="3" t="s">
        <v>60</v>
      </c>
      <c r="E15881" s="4" t="s">
        <v>22</v>
      </c>
      <c r="F15881" s="4" t="s">
        <v>80131</v>
      </c>
      <c r="G15881" s="4" t="s">
        <v>80132</v>
      </c>
      <c r="H15881" s="3" t="s">
        <v>79360</v>
      </c>
      <c r="I15881" s="3" t="s">
        <v>80133</v>
      </c>
      <c r="J15881" s="3" t="s">
        <v>80134</v>
      </c>
      <c r="K15881" s="3" t="s">
        <v>80135</v>
      </c>
      <c r="L15881" s="3"/>
      <c r="M15881" s="4"/>
      <c r="N15881" s="3" t="s">
        <v>37</v>
      </c>
      <c r="O15881" s="3" t="s">
        <v>52</v>
      </c>
      <c r="P15881" s="5">
        <v>11</v>
      </c>
      <c r="Q15881" s="5">
        <v>257</v>
      </c>
      <c r="R15881" s="5">
        <v>11</v>
      </c>
      <c r="S15881" s="5">
        <v>231</v>
      </c>
    </row>
    <row r="15882" spans="1:19" ht="28" x14ac:dyDescent="0.15">
      <c r="A15882" s="2">
        <f>HYPERLINK("https://open-school.uspishnemisto.com.ua/school/740181/", 740181)</f>
        <v>740181</v>
      </c>
      <c r="B15882" s="3" t="s">
        <v>80136</v>
      </c>
      <c r="C15882" s="3" t="s">
        <v>31</v>
      </c>
      <c r="D15882" s="3" t="s">
        <v>32</v>
      </c>
      <c r="E15882" s="4" t="s">
        <v>22</v>
      </c>
      <c r="F15882" s="4" t="s">
        <v>80131</v>
      </c>
      <c r="G15882" s="4" t="s">
        <v>80132</v>
      </c>
      <c r="H15882" s="3" t="s">
        <v>79360</v>
      </c>
      <c r="I15882" s="3" t="s">
        <v>80133</v>
      </c>
      <c r="J15882" s="3" t="s">
        <v>513</v>
      </c>
      <c r="K15882" s="3" t="s">
        <v>80137</v>
      </c>
      <c r="L15882" s="3" t="s">
        <v>80138</v>
      </c>
      <c r="M15882" s="4"/>
      <c r="N15882" s="3" t="s">
        <v>37</v>
      </c>
      <c r="O15882" s="3" t="s">
        <v>70</v>
      </c>
      <c r="P15882" s="5">
        <v>32</v>
      </c>
      <c r="Q15882" s="5">
        <v>807</v>
      </c>
      <c r="R15882" s="5">
        <v>31</v>
      </c>
      <c r="S15882" s="5">
        <v>778</v>
      </c>
    </row>
    <row r="15883" spans="1:19" ht="42" x14ac:dyDescent="0.15">
      <c r="A15883" s="2">
        <f>HYPERLINK("https://open-school.uspishnemisto.com.ua/school/740182/", 740182)</f>
        <v>740182</v>
      </c>
      <c r="B15883" s="3" t="s">
        <v>80139</v>
      </c>
      <c r="C15883" s="3" t="s">
        <v>4989</v>
      </c>
      <c r="D15883" s="3" t="s">
        <v>32</v>
      </c>
      <c r="E15883" s="4" t="s">
        <v>22</v>
      </c>
      <c r="F15883" s="4" t="s">
        <v>80131</v>
      </c>
      <c r="G15883" s="4" t="s">
        <v>80132</v>
      </c>
      <c r="H15883" s="3" t="s">
        <v>79360</v>
      </c>
      <c r="I15883" s="3" t="s">
        <v>80133</v>
      </c>
      <c r="J15883" s="3" t="s">
        <v>80140</v>
      </c>
      <c r="K15883" s="3" t="s">
        <v>80141</v>
      </c>
      <c r="L15883" s="3"/>
      <c r="M15883" s="4" t="s">
        <v>80142</v>
      </c>
      <c r="N15883" s="3" t="s">
        <v>37</v>
      </c>
      <c r="O15883" s="3" t="s">
        <v>38</v>
      </c>
      <c r="P15883" s="5">
        <v>10</v>
      </c>
      <c r="Q15883" s="5">
        <v>95</v>
      </c>
      <c r="R15883" s="5">
        <v>9</v>
      </c>
      <c r="S15883" s="5">
        <v>78</v>
      </c>
    </row>
    <row r="15884" spans="1:19" ht="28" x14ac:dyDescent="0.15">
      <c r="A15884" s="2">
        <f>HYPERLINK("https://open-school.uspishnemisto.com.ua/school/740183/", 740183)</f>
        <v>740183</v>
      </c>
      <c r="B15884" s="3" t="s">
        <v>80143</v>
      </c>
      <c r="C15884" s="3" t="s">
        <v>40</v>
      </c>
      <c r="D15884" s="3" t="s">
        <v>32</v>
      </c>
      <c r="E15884" s="4" t="s">
        <v>22</v>
      </c>
      <c r="F15884" s="4" t="s">
        <v>80131</v>
      </c>
      <c r="G15884" s="4" t="s">
        <v>80132</v>
      </c>
      <c r="H15884" s="3" t="s">
        <v>79360</v>
      </c>
      <c r="I15884" s="3" t="s">
        <v>80133</v>
      </c>
      <c r="J15884" s="3" t="s">
        <v>80134</v>
      </c>
      <c r="K15884" s="3" t="s">
        <v>80144</v>
      </c>
      <c r="L15884" s="3"/>
      <c r="M15884" s="4"/>
      <c r="N15884" s="3" t="s">
        <v>37</v>
      </c>
      <c r="O15884" s="3" t="s">
        <v>46</v>
      </c>
      <c r="P15884" s="5">
        <v>19</v>
      </c>
      <c r="Q15884" s="5">
        <v>399</v>
      </c>
      <c r="R15884" s="5">
        <v>20</v>
      </c>
      <c r="S15884" s="5">
        <v>421</v>
      </c>
    </row>
    <row r="15885" spans="1:19" ht="28" x14ac:dyDescent="0.15">
      <c r="A15885" s="2">
        <f>HYPERLINK("https://open-school.uspishnemisto.com.ua/school/740184/", 740184)</f>
        <v>740184</v>
      </c>
      <c r="B15885" s="3" t="s">
        <v>80145</v>
      </c>
      <c r="C15885" s="3" t="s">
        <v>181</v>
      </c>
      <c r="D15885" s="3"/>
      <c r="E15885" s="4" t="s">
        <v>22</v>
      </c>
      <c r="F15885" s="4" t="s">
        <v>80131</v>
      </c>
      <c r="G15885" s="4" t="s">
        <v>80132</v>
      </c>
      <c r="H15885" s="3" t="s">
        <v>79360</v>
      </c>
      <c r="I15885" s="3" t="s">
        <v>80133</v>
      </c>
      <c r="J15885" s="3" t="s">
        <v>80146</v>
      </c>
      <c r="K15885" s="3" t="s">
        <v>80147</v>
      </c>
      <c r="L15885" s="3"/>
      <c r="M15885" s="4" t="s">
        <v>80148</v>
      </c>
      <c r="N15885" s="3" t="s">
        <v>37</v>
      </c>
      <c r="O15885" s="3" t="s">
        <v>52</v>
      </c>
      <c r="P15885" s="5">
        <v>14</v>
      </c>
      <c r="Q15885" s="5">
        <v>93</v>
      </c>
      <c r="R15885" s="5">
        <v>14</v>
      </c>
      <c r="S15885" s="5">
        <v>95</v>
      </c>
    </row>
    <row r="15886" spans="1:19" ht="28" x14ac:dyDescent="0.15">
      <c r="A15886" s="2">
        <f>HYPERLINK("https://open-school.uspishnemisto.com.ua/school/740185/", 740185)</f>
        <v>740185</v>
      </c>
      <c r="B15886" s="3" t="s">
        <v>80149</v>
      </c>
      <c r="C15886" s="3" t="s">
        <v>31</v>
      </c>
      <c r="D15886" s="3" t="s">
        <v>175</v>
      </c>
      <c r="E15886" s="4" t="s">
        <v>22</v>
      </c>
      <c r="F15886" s="4" t="s">
        <v>80150</v>
      </c>
      <c r="G15886" s="4" t="s">
        <v>80151</v>
      </c>
      <c r="H15886" s="3" t="s">
        <v>79360</v>
      </c>
      <c r="I15886" s="3" t="s">
        <v>80152</v>
      </c>
      <c r="J15886" s="3" t="s">
        <v>80153</v>
      </c>
      <c r="K15886" s="3"/>
      <c r="L15886" s="3"/>
      <c r="M15886" s="4"/>
      <c r="N15886" s="3" t="s">
        <v>37</v>
      </c>
      <c r="O15886" s="3" t="s">
        <v>38</v>
      </c>
      <c r="P15886" s="5">
        <v>3</v>
      </c>
      <c r="Q15886" s="5">
        <v>32</v>
      </c>
      <c r="R15886" s="5">
        <v>4</v>
      </c>
      <c r="S15886" s="5">
        <v>33</v>
      </c>
    </row>
    <row r="15887" spans="1:19" ht="28" x14ac:dyDescent="0.15">
      <c r="A15887" s="2">
        <f>HYPERLINK("https://open-school.uspishnemisto.com.ua/school/740186/", 740186)</f>
        <v>740186</v>
      </c>
      <c r="B15887" s="3" t="s">
        <v>80154</v>
      </c>
      <c r="C15887" s="3" t="s">
        <v>31</v>
      </c>
      <c r="D15887" s="3" t="s">
        <v>175</v>
      </c>
      <c r="E15887" s="4" t="s">
        <v>22</v>
      </c>
      <c r="F15887" s="4" t="s">
        <v>80155</v>
      </c>
      <c r="G15887" s="4" t="s">
        <v>80156</v>
      </c>
      <c r="H15887" s="3" t="s">
        <v>79360</v>
      </c>
      <c r="I15887" s="3" t="s">
        <v>80157</v>
      </c>
      <c r="J15887" s="3" t="s">
        <v>501</v>
      </c>
      <c r="K15887" s="3" t="s">
        <v>80158</v>
      </c>
      <c r="L15887" s="3"/>
      <c r="M15887" s="4"/>
      <c r="N15887" s="3" t="s">
        <v>37</v>
      </c>
      <c r="O15887" s="3" t="s">
        <v>38</v>
      </c>
      <c r="P15887" s="5">
        <v>3</v>
      </c>
      <c r="Q15887" s="5">
        <v>31</v>
      </c>
      <c r="R15887" s="5">
        <v>2</v>
      </c>
      <c r="S15887" s="5">
        <v>27</v>
      </c>
    </row>
    <row r="15888" spans="1:19" ht="28" x14ac:dyDescent="0.15">
      <c r="A15888" s="2">
        <f>HYPERLINK("https://open-school.uspishnemisto.com.ua/school/740187/", 740187)</f>
        <v>740187</v>
      </c>
      <c r="B15888" s="3" t="s">
        <v>80159</v>
      </c>
      <c r="C15888" s="3" t="s">
        <v>31</v>
      </c>
      <c r="D15888" s="3" t="s">
        <v>32</v>
      </c>
      <c r="E15888" s="4" t="s">
        <v>22</v>
      </c>
      <c r="F15888" s="4" t="s">
        <v>80160</v>
      </c>
      <c r="G15888" s="4" t="s">
        <v>80161</v>
      </c>
      <c r="H15888" s="3" t="s">
        <v>79360</v>
      </c>
      <c r="I15888" s="3" t="s">
        <v>80162</v>
      </c>
      <c r="J15888" s="3" t="s">
        <v>700</v>
      </c>
      <c r="K15888" s="3" t="s">
        <v>80163</v>
      </c>
      <c r="L15888" s="3"/>
      <c r="M15888" s="4"/>
      <c r="N15888" s="3" t="s">
        <v>37</v>
      </c>
      <c r="O15888" s="3" t="s">
        <v>38</v>
      </c>
      <c r="P15888" s="5">
        <v>10</v>
      </c>
      <c r="Q15888" s="5">
        <v>85</v>
      </c>
      <c r="R15888" s="5">
        <v>11</v>
      </c>
      <c r="S15888" s="5">
        <v>84</v>
      </c>
    </row>
    <row r="15889" spans="1:19" ht="28" x14ac:dyDescent="0.15">
      <c r="A15889" s="2">
        <f>HYPERLINK("https://open-school.uspishnemisto.com.ua/school/740188/", 740188)</f>
        <v>740188</v>
      </c>
      <c r="B15889" s="3" t="s">
        <v>80164</v>
      </c>
      <c r="C15889" s="3" t="s">
        <v>31</v>
      </c>
      <c r="D15889" s="3" t="s">
        <v>32</v>
      </c>
      <c r="E15889" s="4" t="s">
        <v>22</v>
      </c>
      <c r="F15889" s="4" t="s">
        <v>80165</v>
      </c>
      <c r="G15889" s="4" t="s">
        <v>80166</v>
      </c>
      <c r="H15889" s="3" t="s">
        <v>79360</v>
      </c>
      <c r="I15889" s="3" t="s">
        <v>80167</v>
      </c>
      <c r="J15889" s="3" t="s">
        <v>80168</v>
      </c>
      <c r="K15889" s="3" t="s">
        <v>80169</v>
      </c>
      <c r="L15889" s="3"/>
      <c r="M15889" s="4"/>
      <c r="N15889" s="3" t="s">
        <v>37</v>
      </c>
      <c r="O15889" s="3" t="s">
        <v>38</v>
      </c>
      <c r="P15889" s="5">
        <v>2</v>
      </c>
      <c r="Q15889" s="5">
        <v>32</v>
      </c>
      <c r="R15889" s="5">
        <v>2</v>
      </c>
      <c r="S15889" s="5">
        <v>35</v>
      </c>
    </row>
    <row r="15890" spans="1:19" ht="28" x14ac:dyDescent="0.15">
      <c r="A15890" s="2">
        <f>HYPERLINK("https://open-school.uspishnemisto.com.ua/school/740189/", 740189)</f>
        <v>740189</v>
      </c>
      <c r="B15890" s="3" t="s">
        <v>80170</v>
      </c>
      <c r="C15890" s="3" t="s">
        <v>31</v>
      </c>
      <c r="D15890" s="3" t="s">
        <v>175</v>
      </c>
      <c r="E15890" s="4" t="s">
        <v>22</v>
      </c>
      <c r="F15890" s="4" t="s">
        <v>80171</v>
      </c>
      <c r="G15890" s="4" t="s">
        <v>80172</v>
      </c>
      <c r="H15890" s="3" t="s">
        <v>79360</v>
      </c>
      <c r="I15890" s="3" t="s">
        <v>80173</v>
      </c>
      <c r="J15890" s="3" t="s">
        <v>80174</v>
      </c>
      <c r="K15890" s="3" t="s">
        <v>80175</v>
      </c>
      <c r="L15890" s="3"/>
      <c r="M15890" s="4"/>
      <c r="N15890" s="3" t="s">
        <v>37</v>
      </c>
      <c r="O15890" s="3" t="s">
        <v>70</v>
      </c>
      <c r="P15890" s="5">
        <v>9</v>
      </c>
      <c r="Q15890" s="5">
        <v>122</v>
      </c>
      <c r="R15890" s="5">
        <v>9</v>
      </c>
      <c r="S15890" s="5">
        <v>124</v>
      </c>
    </row>
    <row r="15891" spans="1:19" ht="28" x14ac:dyDescent="0.15">
      <c r="A15891" s="2">
        <f>HYPERLINK("https://open-school.uspishnemisto.com.ua/school/740190/", 740190)</f>
        <v>740190</v>
      </c>
      <c r="B15891" s="3" t="s">
        <v>80176</v>
      </c>
      <c r="C15891" s="3" t="s">
        <v>31</v>
      </c>
      <c r="D15891" s="3" t="s">
        <v>32</v>
      </c>
      <c r="E15891" s="4" t="s">
        <v>22</v>
      </c>
      <c r="F15891" s="4" t="s">
        <v>80177</v>
      </c>
      <c r="G15891" s="4" t="s">
        <v>80178</v>
      </c>
      <c r="H15891" s="3" t="s">
        <v>79360</v>
      </c>
      <c r="I15891" s="3" t="s">
        <v>80179</v>
      </c>
      <c r="J15891" s="3" t="s">
        <v>80180</v>
      </c>
      <c r="K15891" s="3" t="s">
        <v>80181</v>
      </c>
      <c r="L15891" s="3"/>
      <c r="M15891" s="4"/>
      <c r="N15891" s="3" t="s">
        <v>37</v>
      </c>
      <c r="O15891" s="3" t="s">
        <v>38</v>
      </c>
      <c r="P15891" s="5">
        <v>2</v>
      </c>
      <c r="Q15891" s="5">
        <v>30</v>
      </c>
      <c r="R15891" s="5">
        <v>4</v>
      </c>
      <c r="S15891" s="5">
        <v>38</v>
      </c>
    </row>
    <row r="15892" spans="1:19" ht="28" x14ac:dyDescent="0.15">
      <c r="A15892" s="2">
        <f>HYPERLINK("https://open-school.uspishnemisto.com.ua/school/740191/", 740191)</f>
        <v>740191</v>
      </c>
      <c r="B15892" s="3" t="s">
        <v>80182</v>
      </c>
      <c r="C15892" s="3" t="s">
        <v>31</v>
      </c>
      <c r="D15892" s="3" t="s">
        <v>175</v>
      </c>
      <c r="E15892" s="4" t="s">
        <v>22</v>
      </c>
      <c r="F15892" s="4" t="s">
        <v>80183</v>
      </c>
      <c r="G15892" s="4" t="s">
        <v>80184</v>
      </c>
      <c r="H15892" s="3" t="s">
        <v>79360</v>
      </c>
      <c r="I15892" s="3" t="s">
        <v>80185</v>
      </c>
      <c r="J15892" s="3" t="s">
        <v>66610</v>
      </c>
      <c r="K15892" s="3" t="s">
        <v>80186</v>
      </c>
      <c r="L15892" s="3"/>
      <c r="M15892" s="4"/>
      <c r="N15892" s="3" t="s">
        <v>37</v>
      </c>
      <c r="O15892" s="3" t="s">
        <v>38</v>
      </c>
      <c r="P15892" s="5">
        <v>1</v>
      </c>
      <c r="Q15892" s="5">
        <v>26</v>
      </c>
      <c r="R15892" s="5">
        <v>1</v>
      </c>
      <c r="S15892" s="5">
        <v>25</v>
      </c>
    </row>
    <row r="15893" spans="1:19" ht="28" x14ac:dyDescent="0.15">
      <c r="A15893" s="2">
        <f>HYPERLINK("https://open-school.uspishnemisto.com.ua/school/740192/", 740192)</f>
        <v>740192</v>
      </c>
      <c r="B15893" s="3" t="s">
        <v>80187</v>
      </c>
      <c r="C15893" s="3" t="s">
        <v>31</v>
      </c>
      <c r="D15893" s="3" t="s">
        <v>32</v>
      </c>
      <c r="E15893" s="4" t="s">
        <v>22</v>
      </c>
      <c r="F15893" s="4" t="s">
        <v>80188</v>
      </c>
      <c r="G15893" s="4" t="s">
        <v>80189</v>
      </c>
      <c r="H15893" s="3" t="s">
        <v>79360</v>
      </c>
      <c r="I15893" s="3" t="s">
        <v>18824</v>
      </c>
      <c r="J15893" s="3" t="s">
        <v>952</v>
      </c>
      <c r="K15893" s="3" t="s">
        <v>80190</v>
      </c>
      <c r="L15893" s="3"/>
      <c r="M15893" s="4"/>
      <c r="N15893" s="3" t="s">
        <v>37</v>
      </c>
      <c r="O15893" s="3" t="s">
        <v>38</v>
      </c>
      <c r="P15893" s="5">
        <v>5</v>
      </c>
      <c r="Q15893" s="5">
        <v>41</v>
      </c>
      <c r="R15893" s="5">
        <v>6</v>
      </c>
      <c r="S15893" s="5">
        <v>46</v>
      </c>
    </row>
    <row r="15894" spans="1:19" ht="28" x14ac:dyDescent="0.15">
      <c r="A15894" s="2">
        <f>HYPERLINK("https://open-school.uspishnemisto.com.ua/school/740193/", 740193)</f>
        <v>740193</v>
      </c>
      <c r="B15894" s="3" t="s">
        <v>80191</v>
      </c>
      <c r="C15894" s="3" t="s">
        <v>31</v>
      </c>
      <c r="D15894" s="3" t="s">
        <v>175</v>
      </c>
      <c r="E15894" s="4" t="s">
        <v>22</v>
      </c>
      <c r="F15894" s="4" t="s">
        <v>80192</v>
      </c>
      <c r="G15894" s="4" t="s">
        <v>80193</v>
      </c>
      <c r="H15894" s="3" t="s">
        <v>79360</v>
      </c>
      <c r="I15894" s="3" t="s">
        <v>80194</v>
      </c>
      <c r="J15894" s="3" t="s">
        <v>32046</v>
      </c>
      <c r="K15894" s="3" t="s">
        <v>80195</v>
      </c>
      <c r="L15894" s="3"/>
      <c r="M15894" s="4"/>
      <c r="N15894" s="3" t="s">
        <v>37</v>
      </c>
      <c r="O15894" s="3" t="s">
        <v>70</v>
      </c>
      <c r="P15894" s="5">
        <v>2</v>
      </c>
      <c r="Q15894" s="5">
        <v>26</v>
      </c>
      <c r="R15894" s="5">
        <v>1</v>
      </c>
      <c r="S15894" s="5">
        <v>25</v>
      </c>
    </row>
    <row r="15895" spans="1:19" ht="28" x14ac:dyDescent="0.15">
      <c r="A15895" s="2">
        <f>HYPERLINK("https://open-school.uspishnemisto.com.ua/school/740194/", 740194)</f>
        <v>740194</v>
      </c>
      <c r="B15895" s="3" t="s">
        <v>80196</v>
      </c>
      <c r="C15895" s="3" t="s">
        <v>31</v>
      </c>
      <c r="D15895" s="3" t="s">
        <v>175</v>
      </c>
      <c r="E15895" s="4" t="s">
        <v>22</v>
      </c>
      <c r="F15895" s="4" t="s">
        <v>80197</v>
      </c>
      <c r="G15895" s="4" t="s">
        <v>80198</v>
      </c>
      <c r="H15895" s="3" t="s">
        <v>79360</v>
      </c>
      <c r="I15895" s="3" t="s">
        <v>77650</v>
      </c>
      <c r="J15895" s="3" t="s">
        <v>12217</v>
      </c>
      <c r="K15895" s="3"/>
      <c r="L15895" s="3"/>
      <c r="M15895" s="4"/>
      <c r="N15895" s="3" t="s">
        <v>37</v>
      </c>
      <c r="O15895" s="3" t="s">
        <v>52</v>
      </c>
      <c r="P15895" s="5">
        <v>2</v>
      </c>
      <c r="Q15895" s="5">
        <v>27</v>
      </c>
      <c r="R15895" s="5">
        <v>2</v>
      </c>
      <c r="S15895" s="5">
        <v>27</v>
      </c>
    </row>
    <row r="15896" spans="1:19" ht="28" x14ac:dyDescent="0.15">
      <c r="A15896" s="2">
        <f>HYPERLINK("https://open-school.uspishnemisto.com.ua/school/740195/", 740195)</f>
        <v>740195</v>
      </c>
      <c r="B15896" s="3" t="s">
        <v>80199</v>
      </c>
      <c r="C15896" s="3" t="s">
        <v>31</v>
      </c>
      <c r="D15896" s="3" t="s">
        <v>32</v>
      </c>
      <c r="E15896" s="4" t="s">
        <v>22</v>
      </c>
      <c r="F15896" s="4" t="s">
        <v>80200</v>
      </c>
      <c r="G15896" s="4" t="s">
        <v>80201</v>
      </c>
      <c r="H15896" s="3" t="s">
        <v>79360</v>
      </c>
      <c r="I15896" s="3" t="s">
        <v>1918</v>
      </c>
      <c r="J15896" s="3" t="s">
        <v>80202</v>
      </c>
      <c r="K15896" s="3" t="s">
        <v>80203</v>
      </c>
      <c r="L15896" s="3"/>
      <c r="M15896" s="4"/>
      <c r="N15896" s="3" t="s">
        <v>37</v>
      </c>
      <c r="O15896" s="3" t="s">
        <v>52</v>
      </c>
      <c r="P15896" s="5">
        <v>3</v>
      </c>
      <c r="Q15896" s="5">
        <v>39</v>
      </c>
      <c r="R15896" s="5">
        <v>2</v>
      </c>
      <c r="S15896" s="5">
        <v>35</v>
      </c>
    </row>
    <row r="15897" spans="1:19" ht="28" x14ac:dyDescent="0.15">
      <c r="A15897" s="2">
        <f>HYPERLINK("https://open-school.uspishnemisto.com.ua/school/740196/", 740196)</f>
        <v>740196</v>
      </c>
      <c r="B15897" s="3" t="s">
        <v>80204</v>
      </c>
      <c r="C15897" s="3" t="s">
        <v>31</v>
      </c>
      <c r="D15897" s="3" t="s">
        <v>60</v>
      </c>
      <c r="E15897" s="4" t="s">
        <v>22</v>
      </c>
      <c r="F15897" s="4" t="s">
        <v>80205</v>
      </c>
      <c r="G15897" s="4" t="s">
        <v>80206</v>
      </c>
      <c r="H15897" s="3" t="s">
        <v>79360</v>
      </c>
      <c r="I15897" s="3" t="s">
        <v>80207</v>
      </c>
      <c r="J15897" s="3" t="s">
        <v>80208</v>
      </c>
      <c r="K15897" s="3" t="s">
        <v>80209</v>
      </c>
      <c r="L15897" s="3"/>
      <c r="M15897" s="4"/>
      <c r="N15897" s="3" t="s">
        <v>37</v>
      </c>
      <c r="O15897" s="3" t="s">
        <v>52</v>
      </c>
      <c r="P15897" s="5">
        <v>0</v>
      </c>
      <c r="Q15897" s="5">
        <v>5</v>
      </c>
      <c r="R15897" s="5">
        <v>0</v>
      </c>
      <c r="S15897" s="5">
        <v>9</v>
      </c>
    </row>
    <row r="15898" spans="1:19" ht="28" x14ac:dyDescent="0.15">
      <c r="A15898" s="2">
        <f>HYPERLINK("https://open-school.uspishnemisto.com.ua/school/740197/", 740197)</f>
        <v>740197</v>
      </c>
      <c r="B15898" s="3" t="s">
        <v>80210</v>
      </c>
      <c r="C15898" s="3" t="s">
        <v>31</v>
      </c>
      <c r="D15898" s="3" t="s">
        <v>60</v>
      </c>
      <c r="E15898" s="4" t="s">
        <v>22</v>
      </c>
      <c r="F15898" s="4" t="s">
        <v>80211</v>
      </c>
      <c r="G15898" s="4" t="s">
        <v>80212</v>
      </c>
      <c r="H15898" s="3" t="s">
        <v>79360</v>
      </c>
      <c r="I15898" s="3" t="s">
        <v>80213</v>
      </c>
      <c r="J15898" s="3" t="s">
        <v>2498</v>
      </c>
      <c r="K15898" s="3" t="s">
        <v>80214</v>
      </c>
      <c r="L15898" s="3"/>
      <c r="M15898" s="4"/>
      <c r="N15898" s="3" t="s">
        <v>37</v>
      </c>
      <c r="O15898" s="3" t="s">
        <v>52</v>
      </c>
      <c r="P15898" s="5">
        <v>1</v>
      </c>
      <c r="Q15898" s="5">
        <v>12</v>
      </c>
      <c r="R15898" s="5">
        <v>0</v>
      </c>
      <c r="S15898" s="5">
        <v>8</v>
      </c>
    </row>
    <row r="15899" spans="1:19" ht="28" x14ac:dyDescent="0.15">
      <c r="A15899" s="2">
        <f>HYPERLINK("https://open-school.uspishnemisto.com.ua/school/740198/", 740198)</f>
        <v>740198</v>
      </c>
      <c r="B15899" s="3" t="s">
        <v>80215</v>
      </c>
      <c r="C15899" s="3" t="s">
        <v>31</v>
      </c>
      <c r="D15899" s="3" t="s">
        <v>32</v>
      </c>
      <c r="E15899" s="4" t="s">
        <v>22</v>
      </c>
      <c r="F15899" s="4" t="s">
        <v>80216</v>
      </c>
      <c r="G15899" s="4" t="s">
        <v>80217</v>
      </c>
      <c r="H15899" s="3" t="s">
        <v>79360</v>
      </c>
      <c r="I15899" s="3" t="s">
        <v>80218</v>
      </c>
      <c r="J15899" s="3" t="s">
        <v>80219</v>
      </c>
      <c r="K15899" s="3" t="s">
        <v>80220</v>
      </c>
      <c r="L15899" s="3"/>
      <c r="M15899" s="4"/>
      <c r="N15899" s="3" t="s">
        <v>37</v>
      </c>
      <c r="O15899" s="3" t="s">
        <v>38</v>
      </c>
      <c r="P15899" s="5">
        <v>6</v>
      </c>
      <c r="Q15899" s="5">
        <v>45</v>
      </c>
      <c r="R15899" s="5">
        <v>6</v>
      </c>
      <c r="S15899" s="5">
        <v>51</v>
      </c>
    </row>
    <row r="15900" spans="1:19" ht="28" x14ac:dyDescent="0.15">
      <c r="A15900" s="2">
        <f>HYPERLINK("https://open-school.uspishnemisto.com.ua/school/740199/", 740199)</f>
        <v>740199</v>
      </c>
      <c r="B15900" s="3" t="s">
        <v>80221</v>
      </c>
      <c r="C15900" s="3" t="s">
        <v>31</v>
      </c>
      <c r="D15900" s="3" t="s">
        <v>32</v>
      </c>
      <c r="E15900" s="4" t="s">
        <v>22</v>
      </c>
      <c r="F15900" s="4" t="s">
        <v>80222</v>
      </c>
      <c r="G15900" s="4" t="s">
        <v>80223</v>
      </c>
      <c r="H15900" s="3" t="s">
        <v>79360</v>
      </c>
      <c r="I15900" s="3" t="s">
        <v>80224</v>
      </c>
      <c r="J15900" s="3" t="s">
        <v>5786</v>
      </c>
      <c r="K15900" s="3" t="s">
        <v>80225</v>
      </c>
      <c r="L15900" s="3"/>
      <c r="M15900" s="4"/>
      <c r="N15900" s="3" t="s">
        <v>37</v>
      </c>
      <c r="O15900" s="3" t="s">
        <v>70</v>
      </c>
      <c r="P15900" s="5">
        <v>3</v>
      </c>
      <c r="Q15900" s="5">
        <v>34</v>
      </c>
      <c r="R15900" s="5">
        <v>3</v>
      </c>
      <c r="S15900" s="5">
        <v>34</v>
      </c>
    </row>
    <row r="15901" spans="1:19" ht="28" x14ac:dyDescent="0.15">
      <c r="A15901" s="2">
        <f>HYPERLINK("https://open-school.uspishnemisto.com.ua/school/740200/", 740200)</f>
        <v>740200</v>
      </c>
      <c r="B15901" s="3" t="s">
        <v>80226</v>
      </c>
      <c r="C15901" s="3" t="s">
        <v>31</v>
      </c>
      <c r="D15901" s="3" t="s">
        <v>32</v>
      </c>
      <c r="E15901" s="4" t="s">
        <v>22</v>
      </c>
      <c r="F15901" s="4" t="s">
        <v>80227</v>
      </c>
      <c r="G15901" s="4" t="s">
        <v>80228</v>
      </c>
      <c r="H15901" s="3" t="s">
        <v>79360</v>
      </c>
      <c r="I15901" s="3" t="s">
        <v>80229</v>
      </c>
      <c r="J15901" s="3" t="s">
        <v>80230</v>
      </c>
      <c r="K15901" s="3" t="s">
        <v>80231</v>
      </c>
      <c r="L15901" s="3"/>
      <c r="M15901" s="4"/>
      <c r="N15901" s="3" t="s">
        <v>37</v>
      </c>
      <c r="O15901" s="3" t="s">
        <v>38</v>
      </c>
      <c r="P15901" s="5">
        <v>11</v>
      </c>
      <c r="Q15901" s="5">
        <v>128</v>
      </c>
      <c r="R15901" s="5">
        <v>11</v>
      </c>
      <c r="S15901" s="5">
        <v>126</v>
      </c>
    </row>
    <row r="15902" spans="1:19" ht="28" x14ac:dyDescent="0.15">
      <c r="A15902" s="2">
        <f>HYPERLINK("https://open-school.uspishnemisto.com.ua/school/740201/", 740201)</f>
        <v>740201</v>
      </c>
      <c r="B15902" s="3" t="s">
        <v>80232</v>
      </c>
      <c r="C15902" s="3" t="s">
        <v>31</v>
      </c>
      <c r="D15902" s="3" t="s">
        <v>32</v>
      </c>
      <c r="E15902" s="4" t="s">
        <v>22</v>
      </c>
      <c r="F15902" s="4" t="s">
        <v>80233</v>
      </c>
      <c r="G15902" s="4" t="s">
        <v>80234</v>
      </c>
      <c r="H15902" s="3" t="s">
        <v>79360</v>
      </c>
      <c r="I15902" s="3" t="s">
        <v>80235</v>
      </c>
      <c r="J15902" s="3" t="s">
        <v>80236</v>
      </c>
      <c r="K15902" s="3" t="s">
        <v>80237</v>
      </c>
      <c r="L15902" s="3"/>
      <c r="M15902" s="4"/>
      <c r="N15902" s="3" t="s">
        <v>37</v>
      </c>
      <c r="O15902" s="3" t="s">
        <v>70</v>
      </c>
      <c r="P15902" s="5">
        <v>11</v>
      </c>
      <c r="Q15902" s="5">
        <v>170</v>
      </c>
      <c r="R15902" s="5">
        <v>11</v>
      </c>
      <c r="S15902" s="5">
        <v>199</v>
      </c>
    </row>
    <row r="15903" spans="1:19" ht="28" x14ac:dyDescent="0.15">
      <c r="A15903" s="2">
        <f>HYPERLINK("https://open-school.uspishnemisto.com.ua/school/740202/", 740202)</f>
        <v>740202</v>
      </c>
      <c r="B15903" s="3" t="s">
        <v>80238</v>
      </c>
      <c r="C15903" s="3" t="s">
        <v>31</v>
      </c>
      <c r="D15903" s="3" t="s">
        <v>32</v>
      </c>
      <c r="E15903" s="4" t="s">
        <v>22</v>
      </c>
      <c r="F15903" s="4" t="s">
        <v>80239</v>
      </c>
      <c r="G15903" s="4" t="s">
        <v>80240</v>
      </c>
      <c r="H15903" s="3" t="s">
        <v>79360</v>
      </c>
      <c r="I15903" s="3" t="s">
        <v>80241</v>
      </c>
      <c r="J15903" s="3" t="s">
        <v>80242</v>
      </c>
      <c r="K15903" s="3" t="s">
        <v>80243</v>
      </c>
      <c r="L15903" s="3"/>
      <c r="M15903" s="4"/>
      <c r="N15903" s="3" t="s">
        <v>37</v>
      </c>
      <c r="O15903" s="3" t="s">
        <v>38</v>
      </c>
      <c r="P15903" s="5">
        <v>11</v>
      </c>
      <c r="Q15903" s="5">
        <v>96</v>
      </c>
      <c r="R15903" s="5">
        <v>11</v>
      </c>
      <c r="S15903" s="5">
        <v>102</v>
      </c>
    </row>
    <row r="15904" spans="1:19" ht="28" x14ac:dyDescent="0.15">
      <c r="A15904" s="2">
        <f>HYPERLINK("https://open-school.uspishnemisto.com.ua/school/740203/", 740203)</f>
        <v>740203</v>
      </c>
      <c r="B15904" s="3" t="s">
        <v>80244</v>
      </c>
      <c r="C15904" s="3" t="s">
        <v>40</v>
      </c>
      <c r="D15904" s="3" t="s">
        <v>32</v>
      </c>
      <c r="E15904" s="4" t="s">
        <v>22</v>
      </c>
      <c r="F15904" s="4" t="s">
        <v>80245</v>
      </c>
      <c r="G15904" s="4" t="s">
        <v>80246</v>
      </c>
      <c r="H15904" s="3" t="s">
        <v>79360</v>
      </c>
      <c r="I15904" s="3" t="s">
        <v>80247</v>
      </c>
      <c r="J15904" s="3" t="s">
        <v>39888</v>
      </c>
      <c r="K15904" s="3" t="s">
        <v>80248</v>
      </c>
      <c r="L15904" s="3"/>
      <c r="M15904" s="4"/>
      <c r="N15904" s="3" t="s">
        <v>37</v>
      </c>
      <c r="O15904" s="3" t="s">
        <v>46</v>
      </c>
      <c r="P15904" s="5">
        <v>15</v>
      </c>
      <c r="Q15904" s="5">
        <v>384</v>
      </c>
      <c r="R15904" s="5">
        <v>14</v>
      </c>
      <c r="S15904" s="5">
        <v>355</v>
      </c>
    </row>
    <row r="15905" spans="1:19" ht="28" x14ac:dyDescent="0.15">
      <c r="A15905" s="2">
        <f>HYPERLINK("https://open-school.uspishnemisto.com.ua/school/740204/", 740204)</f>
        <v>740204</v>
      </c>
      <c r="B15905" s="3" t="s">
        <v>80249</v>
      </c>
      <c r="C15905" s="3" t="s">
        <v>31</v>
      </c>
      <c r="D15905" s="3" t="s">
        <v>32</v>
      </c>
      <c r="E15905" s="4" t="s">
        <v>22</v>
      </c>
      <c r="F15905" s="4" t="s">
        <v>80250</v>
      </c>
      <c r="G15905" s="4" t="s">
        <v>80246</v>
      </c>
      <c r="H15905" s="3" t="s">
        <v>79360</v>
      </c>
      <c r="I15905" s="3" t="s">
        <v>80247</v>
      </c>
      <c r="J15905" s="3" t="s">
        <v>80251</v>
      </c>
      <c r="K15905" s="3"/>
      <c r="L15905" s="3"/>
      <c r="M15905" s="4"/>
      <c r="N15905" s="3" t="s">
        <v>37</v>
      </c>
      <c r="O15905" s="3" t="s">
        <v>38</v>
      </c>
      <c r="P15905" s="5">
        <v>11</v>
      </c>
      <c r="Q15905" s="5">
        <v>194</v>
      </c>
      <c r="R15905" s="5">
        <v>11</v>
      </c>
      <c r="S15905" s="5">
        <v>190</v>
      </c>
    </row>
    <row r="15906" spans="1:19" ht="28" x14ac:dyDescent="0.15">
      <c r="A15906" s="2">
        <f>HYPERLINK("https://open-school.uspishnemisto.com.ua/school/740205/", 740205)</f>
        <v>740205</v>
      </c>
      <c r="B15906" s="3" t="s">
        <v>80252</v>
      </c>
      <c r="C15906" s="3" t="s">
        <v>31</v>
      </c>
      <c r="D15906" s="3" t="s">
        <v>32</v>
      </c>
      <c r="E15906" s="4" t="s">
        <v>22</v>
      </c>
      <c r="F15906" s="4" t="s">
        <v>80245</v>
      </c>
      <c r="G15906" s="4" t="s">
        <v>80246</v>
      </c>
      <c r="H15906" s="3" t="s">
        <v>79360</v>
      </c>
      <c r="I15906" s="3" t="s">
        <v>80247</v>
      </c>
      <c r="J15906" s="3" t="s">
        <v>80253</v>
      </c>
      <c r="K15906" s="3" t="s">
        <v>80254</v>
      </c>
      <c r="L15906" s="3"/>
      <c r="M15906" s="4"/>
      <c r="N15906" s="3" t="s">
        <v>37</v>
      </c>
      <c r="O15906" s="3" t="s">
        <v>52</v>
      </c>
      <c r="P15906" s="5">
        <v>13</v>
      </c>
      <c r="Q15906" s="5">
        <v>306</v>
      </c>
      <c r="R15906" s="5">
        <v>12</v>
      </c>
      <c r="S15906" s="5">
        <v>299</v>
      </c>
    </row>
    <row r="15907" spans="1:19" ht="28" x14ac:dyDescent="0.15">
      <c r="A15907" s="2">
        <f>HYPERLINK("https://open-school.uspishnemisto.com.ua/school/740206/", 740206)</f>
        <v>740206</v>
      </c>
      <c r="B15907" s="3" t="s">
        <v>80255</v>
      </c>
      <c r="C15907" s="3" t="s">
        <v>31</v>
      </c>
      <c r="D15907" s="3" t="s">
        <v>32</v>
      </c>
      <c r="E15907" s="4" t="s">
        <v>22</v>
      </c>
      <c r="F15907" s="4" t="s">
        <v>80250</v>
      </c>
      <c r="G15907" s="4" t="s">
        <v>80246</v>
      </c>
      <c r="H15907" s="3" t="s">
        <v>79360</v>
      </c>
      <c r="I15907" s="3" t="s">
        <v>80247</v>
      </c>
      <c r="J15907" s="3" t="s">
        <v>80256</v>
      </c>
      <c r="K15907" s="3" t="s">
        <v>80257</v>
      </c>
      <c r="L15907" s="3"/>
      <c r="M15907" s="4"/>
      <c r="N15907" s="3" t="s">
        <v>37</v>
      </c>
      <c r="O15907" s="3" t="s">
        <v>38</v>
      </c>
      <c r="P15907" s="5">
        <v>11</v>
      </c>
      <c r="Q15907" s="5">
        <v>154</v>
      </c>
      <c r="R15907" s="5">
        <v>11</v>
      </c>
      <c r="S15907" s="5">
        <v>161</v>
      </c>
    </row>
    <row r="15908" spans="1:19" ht="28" x14ac:dyDescent="0.15">
      <c r="A15908" s="2">
        <f>HYPERLINK("https://open-school.uspishnemisto.com.ua/school/740207/", 740207)</f>
        <v>740207</v>
      </c>
      <c r="B15908" s="3" t="s">
        <v>80258</v>
      </c>
      <c r="C15908" s="3" t="s">
        <v>31</v>
      </c>
      <c r="D15908" s="3" t="s">
        <v>32</v>
      </c>
      <c r="E15908" s="4" t="s">
        <v>22</v>
      </c>
      <c r="F15908" s="4" t="s">
        <v>80259</v>
      </c>
      <c r="G15908" s="4" t="s">
        <v>80260</v>
      </c>
      <c r="H15908" s="3" t="s">
        <v>79360</v>
      </c>
      <c r="I15908" s="3" t="s">
        <v>11543</v>
      </c>
      <c r="J15908" s="3" t="s">
        <v>80261</v>
      </c>
      <c r="K15908" s="3"/>
      <c r="L15908" s="3"/>
      <c r="M15908" s="4"/>
      <c r="N15908" s="3" t="s">
        <v>37</v>
      </c>
      <c r="O15908" s="3" t="s">
        <v>38</v>
      </c>
      <c r="P15908" s="5">
        <v>11</v>
      </c>
      <c r="Q15908" s="5">
        <v>121</v>
      </c>
      <c r="R15908" s="5">
        <v>11</v>
      </c>
      <c r="S15908" s="5">
        <v>126</v>
      </c>
    </row>
    <row r="15909" spans="1:19" ht="28" x14ac:dyDescent="0.15">
      <c r="A15909" s="2">
        <f>HYPERLINK("https://open-school.uspishnemisto.com.ua/school/740208/", 740208)</f>
        <v>740208</v>
      </c>
      <c r="B15909" s="3" t="s">
        <v>80262</v>
      </c>
      <c r="C15909" s="3" t="s">
        <v>31</v>
      </c>
      <c r="D15909" s="3" t="s">
        <v>32</v>
      </c>
      <c r="E15909" s="4" t="s">
        <v>22</v>
      </c>
      <c r="F15909" s="4" t="s">
        <v>80263</v>
      </c>
      <c r="G15909" s="4" t="s">
        <v>80264</v>
      </c>
      <c r="H15909" s="3" t="s">
        <v>79360</v>
      </c>
      <c r="I15909" s="3" t="s">
        <v>80265</v>
      </c>
      <c r="J15909" s="3" t="s">
        <v>30278</v>
      </c>
      <c r="K15909" s="3" t="s">
        <v>80266</v>
      </c>
      <c r="L15909" s="3"/>
      <c r="M15909" s="4"/>
      <c r="N15909" s="3" t="s">
        <v>37</v>
      </c>
      <c r="O15909" s="3" t="s">
        <v>2740</v>
      </c>
      <c r="P15909" s="5">
        <v>13</v>
      </c>
      <c r="Q15909" s="5">
        <v>233</v>
      </c>
      <c r="R15909" s="5">
        <v>12</v>
      </c>
      <c r="S15909" s="5">
        <v>221</v>
      </c>
    </row>
    <row r="15910" spans="1:19" ht="42" x14ac:dyDescent="0.15">
      <c r="A15910" s="2">
        <f>HYPERLINK("https://open-school.uspishnemisto.com.ua/school/740209/", 740209)</f>
        <v>740209</v>
      </c>
      <c r="B15910" s="3" t="s">
        <v>80267</v>
      </c>
      <c r="C15910" s="3" t="s">
        <v>54</v>
      </c>
      <c r="D15910" s="3" t="s">
        <v>175</v>
      </c>
      <c r="E15910" s="4" t="s">
        <v>22</v>
      </c>
      <c r="F15910" s="4" t="s">
        <v>80268</v>
      </c>
      <c r="G15910" s="4" t="s">
        <v>80269</v>
      </c>
      <c r="H15910" s="3" t="s">
        <v>79360</v>
      </c>
      <c r="I15910" s="3" t="s">
        <v>80270</v>
      </c>
      <c r="J15910" s="3" t="s">
        <v>80271</v>
      </c>
      <c r="K15910" s="3" t="s">
        <v>80272</v>
      </c>
      <c r="L15910" s="3"/>
      <c r="M15910" s="4"/>
      <c r="N15910" s="3" t="s">
        <v>37</v>
      </c>
      <c r="O15910" s="3" t="s">
        <v>38</v>
      </c>
      <c r="P15910" s="5">
        <v>4</v>
      </c>
      <c r="Q15910" s="5">
        <v>33</v>
      </c>
      <c r="R15910" s="5">
        <v>4</v>
      </c>
      <c r="S15910" s="5">
        <v>32</v>
      </c>
    </row>
    <row r="15911" spans="1:19" ht="28" x14ac:dyDescent="0.15">
      <c r="A15911" s="2">
        <f>HYPERLINK("https://open-school.uspishnemisto.com.ua/school/740210/", 740210)</f>
        <v>740210</v>
      </c>
      <c r="B15911" s="3" t="s">
        <v>80273</v>
      </c>
      <c r="C15911" s="3" t="s">
        <v>31</v>
      </c>
      <c r="D15911" s="3" t="s">
        <v>32</v>
      </c>
      <c r="E15911" s="4" t="s">
        <v>22</v>
      </c>
      <c r="F15911" s="4" t="s">
        <v>80274</v>
      </c>
      <c r="G15911" s="4" t="s">
        <v>80275</v>
      </c>
      <c r="H15911" s="3" t="s">
        <v>79360</v>
      </c>
      <c r="I15911" s="3" t="s">
        <v>80276</v>
      </c>
      <c r="J15911" s="3" t="s">
        <v>6438</v>
      </c>
      <c r="K15911" s="3" t="s">
        <v>80277</v>
      </c>
      <c r="L15911" s="3"/>
      <c r="M15911" s="4"/>
      <c r="N15911" s="3" t="s">
        <v>37</v>
      </c>
      <c r="O15911" s="3" t="s">
        <v>70</v>
      </c>
      <c r="P15911" s="5">
        <v>7</v>
      </c>
      <c r="Q15911" s="5">
        <v>69</v>
      </c>
      <c r="R15911" s="5">
        <v>7</v>
      </c>
      <c r="S15911" s="5">
        <v>67</v>
      </c>
    </row>
    <row r="15912" spans="1:19" ht="28" x14ac:dyDescent="0.15">
      <c r="A15912" s="2">
        <f>HYPERLINK("https://open-school.uspishnemisto.com.ua/school/740211/", 740211)</f>
        <v>740211</v>
      </c>
      <c r="B15912" s="3" t="s">
        <v>80278</v>
      </c>
      <c r="C15912" s="3" t="s">
        <v>31</v>
      </c>
      <c r="D15912" s="3" t="s">
        <v>32</v>
      </c>
      <c r="E15912" s="4" t="s">
        <v>22</v>
      </c>
      <c r="F15912" s="4" t="s">
        <v>80279</v>
      </c>
      <c r="G15912" s="4" t="s">
        <v>80280</v>
      </c>
      <c r="H15912" s="3" t="s">
        <v>79360</v>
      </c>
      <c r="I15912" s="3" t="s">
        <v>80281</v>
      </c>
      <c r="J15912" s="3" t="s">
        <v>8298</v>
      </c>
      <c r="K15912" s="3" t="s">
        <v>80282</v>
      </c>
      <c r="L15912" s="3"/>
      <c r="M15912" s="4"/>
      <c r="N15912" s="3" t="s">
        <v>37</v>
      </c>
      <c r="O15912" s="3" t="s">
        <v>38</v>
      </c>
      <c r="P15912" s="5">
        <v>6</v>
      </c>
      <c r="Q15912" s="5">
        <v>55</v>
      </c>
      <c r="R15912" s="5">
        <v>6</v>
      </c>
      <c r="S15912" s="5">
        <v>51</v>
      </c>
    </row>
    <row r="15913" spans="1:19" ht="28" x14ac:dyDescent="0.15">
      <c r="A15913" s="2">
        <f>HYPERLINK("https://open-school.uspishnemisto.com.ua/school/740212/", 740212)</f>
        <v>740212</v>
      </c>
      <c r="B15913" s="3" t="s">
        <v>80283</v>
      </c>
      <c r="C15913" s="3" t="s">
        <v>31</v>
      </c>
      <c r="D15913" s="3" t="s">
        <v>175</v>
      </c>
      <c r="E15913" s="4" t="s">
        <v>22</v>
      </c>
      <c r="F15913" s="4" t="s">
        <v>80284</v>
      </c>
      <c r="G15913" s="4" t="s">
        <v>80285</v>
      </c>
      <c r="H15913" s="3" t="s">
        <v>79360</v>
      </c>
      <c r="I15913" s="3" t="s">
        <v>80286</v>
      </c>
      <c r="J15913" s="3" t="s">
        <v>59692</v>
      </c>
      <c r="K15913" s="3" t="s">
        <v>80287</v>
      </c>
      <c r="L15913" s="3"/>
      <c r="M15913" s="4"/>
      <c r="N15913" s="3" t="s">
        <v>37</v>
      </c>
      <c r="O15913" s="3" t="s">
        <v>38</v>
      </c>
      <c r="P15913" s="5">
        <v>5</v>
      </c>
      <c r="Q15913" s="5">
        <v>36</v>
      </c>
      <c r="R15913" s="5">
        <v>5</v>
      </c>
      <c r="S15913" s="5">
        <v>37</v>
      </c>
    </row>
    <row r="15914" spans="1:19" ht="28" x14ac:dyDescent="0.15">
      <c r="A15914" s="2">
        <f>HYPERLINK("https://open-school.uspishnemisto.com.ua/school/740213/", 740213)</f>
        <v>740213</v>
      </c>
      <c r="B15914" s="3" t="s">
        <v>80288</v>
      </c>
      <c r="C15914" s="3" t="s">
        <v>31</v>
      </c>
      <c r="D15914" s="3" t="s">
        <v>32</v>
      </c>
      <c r="E15914" s="4" t="s">
        <v>22</v>
      </c>
      <c r="F15914" s="4" t="s">
        <v>80289</v>
      </c>
      <c r="G15914" s="4" t="s">
        <v>80290</v>
      </c>
      <c r="H15914" s="3" t="s">
        <v>79360</v>
      </c>
      <c r="I15914" s="3" t="s">
        <v>80291</v>
      </c>
      <c r="J15914" s="3" t="s">
        <v>2136</v>
      </c>
      <c r="K15914" s="3" t="s">
        <v>80292</v>
      </c>
      <c r="L15914" s="3" t="s">
        <v>80293</v>
      </c>
      <c r="M15914" s="4"/>
      <c r="N15914" s="3" t="s">
        <v>37</v>
      </c>
      <c r="O15914" s="3" t="s">
        <v>38</v>
      </c>
      <c r="P15914" s="5">
        <v>9</v>
      </c>
      <c r="Q15914" s="5">
        <v>96</v>
      </c>
      <c r="R15914" s="5">
        <v>10</v>
      </c>
      <c r="S15914" s="5">
        <v>92</v>
      </c>
    </row>
    <row r="15915" spans="1:19" ht="28" x14ac:dyDescent="0.15">
      <c r="A15915" s="2">
        <f>HYPERLINK("https://open-school.uspishnemisto.com.ua/school/740214/", 740214)</f>
        <v>740214</v>
      </c>
      <c r="B15915" s="3" t="s">
        <v>80294</v>
      </c>
      <c r="C15915" s="3" t="s">
        <v>31</v>
      </c>
      <c r="D15915" s="3" t="s">
        <v>32</v>
      </c>
      <c r="E15915" s="4" t="s">
        <v>22</v>
      </c>
      <c r="F15915" s="4" t="s">
        <v>80295</v>
      </c>
      <c r="G15915" s="4" t="s">
        <v>80296</v>
      </c>
      <c r="H15915" s="3" t="s">
        <v>79360</v>
      </c>
      <c r="I15915" s="3" t="s">
        <v>80297</v>
      </c>
      <c r="J15915" s="3" t="s">
        <v>3538</v>
      </c>
      <c r="K15915" s="3" t="s">
        <v>80298</v>
      </c>
      <c r="L15915" s="3"/>
      <c r="M15915" s="4"/>
      <c r="N15915" s="3" t="s">
        <v>37</v>
      </c>
      <c r="O15915" s="3" t="s">
        <v>38</v>
      </c>
      <c r="P15915" s="5">
        <v>6</v>
      </c>
      <c r="Q15915" s="5">
        <v>59</v>
      </c>
      <c r="R15915" s="5">
        <v>8</v>
      </c>
      <c r="S15915" s="5">
        <v>65</v>
      </c>
    </row>
    <row r="15916" spans="1:19" ht="42" x14ac:dyDescent="0.15">
      <c r="A15916" s="2">
        <f>HYPERLINK("https://open-school.uspishnemisto.com.ua/school/740215/", 740215)</f>
        <v>740215</v>
      </c>
      <c r="B15916" s="3" t="s">
        <v>80299</v>
      </c>
      <c r="C15916" s="3" t="s">
        <v>54</v>
      </c>
      <c r="D15916" s="3" t="s">
        <v>32</v>
      </c>
      <c r="E15916" s="4" t="s">
        <v>22</v>
      </c>
      <c r="F15916" s="4" t="s">
        <v>80300</v>
      </c>
      <c r="G15916" s="4" t="s">
        <v>80301</v>
      </c>
      <c r="H15916" s="3" t="s">
        <v>79360</v>
      </c>
      <c r="I15916" s="3" t="s">
        <v>34197</v>
      </c>
      <c r="J15916" s="3" t="s">
        <v>62037</v>
      </c>
      <c r="K15916" s="3" t="s">
        <v>80302</v>
      </c>
      <c r="L15916" s="3"/>
      <c r="M15916" s="4"/>
      <c r="N15916" s="3" t="s">
        <v>37</v>
      </c>
      <c r="O15916" s="3" t="s">
        <v>38</v>
      </c>
      <c r="P15916" s="5">
        <v>11</v>
      </c>
      <c r="Q15916" s="5">
        <v>96</v>
      </c>
      <c r="R15916" s="5">
        <v>11</v>
      </c>
      <c r="S15916" s="5">
        <v>96</v>
      </c>
    </row>
    <row r="15917" spans="1:19" ht="28" x14ac:dyDescent="0.15">
      <c r="A15917" s="2">
        <f>HYPERLINK("https://open-school.uspishnemisto.com.ua/school/740216/", 740216)</f>
        <v>740216</v>
      </c>
      <c r="B15917" s="3" t="s">
        <v>80303</v>
      </c>
      <c r="C15917" s="3" t="s">
        <v>31</v>
      </c>
      <c r="D15917" s="3" t="s">
        <v>60</v>
      </c>
      <c r="E15917" s="4" t="s">
        <v>22</v>
      </c>
      <c r="F15917" s="4" t="s">
        <v>80304</v>
      </c>
      <c r="G15917" s="4" t="s">
        <v>80305</v>
      </c>
      <c r="H15917" s="3" t="s">
        <v>79360</v>
      </c>
      <c r="I15917" s="3" t="s">
        <v>80306</v>
      </c>
      <c r="J15917" s="3" t="s">
        <v>2080</v>
      </c>
      <c r="K15917" s="3" t="s">
        <v>80307</v>
      </c>
      <c r="L15917" s="3"/>
      <c r="M15917" s="4"/>
      <c r="N15917" s="3" t="s">
        <v>37</v>
      </c>
      <c r="O15917" s="3" t="s">
        <v>52</v>
      </c>
      <c r="P15917" s="5">
        <v>0</v>
      </c>
      <c r="Q15917" s="5">
        <v>0</v>
      </c>
      <c r="R15917" s="5">
        <v>1</v>
      </c>
      <c r="S15917" s="5">
        <v>9</v>
      </c>
    </row>
    <row r="15918" spans="1:19" ht="28" x14ac:dyDescent="0.15">
      <c r="A15918" s="2">
        <f>HYPERLINK("https://open-school.uspishnemisto.com.ua/school/740217/", 740217)</f>
        <v>740217</v>
      </c>
      <c r="B15918" s="3" t="s">
        <v>80308</v>
      </c>
      <c r="C15918" s="3" t="s">
        <v>31</v>
      </c>
      <c r="D15918" s="3" t="s">
        <v>32</v>
      </c>
      <c r="E15918" s="4" t="s">
        <v>22</v>
      </c>
      <c r="F15918" s="4" t="s">
        <v>80309</v>
      </c>
      <c r="G15918" s="4" t="s">
        <v>80310</v>
      </c>
      <c r="H15918" s="3" t="s">
        <v>79360</v>
      </c>
      <c r="I15918" s="3" t="s">
        <v>34905</v>
      </c>
      <c r="J15918" s="3" t="s">
        <v>40428</v>
      </c>
      <c r="K15918" s="3" t="s">
        <v>80311</v>
      </c>
      <c r="L15918" s="3"/>
      <c r="M15918" s="4"/>
      <c r="N15918" s="3" t="s">
        <v>37</v>
      </c>
      <c r="O15918" s="3" t="s">
        <v>38</v>
      </c>
      <c r="P15918" s="5">
        <v>10</v>
      </c>
      <c r="Q15918" s="5">
        <v>84</v>
      </c>
      <c r="R15918" s="5">
        <v>9</v>
      </c>
      <c r="S15918" s="5">
        <v>86</v>
      </c>
    </row>
    <row r="15919" spans="1:19" ht="28" x14ac:dyDescent="0.15">
      <c r="A15919" s="2">
        <f>HYPERLINK("https://open-school.uspishnemisto.com.ua/school/740218/", 740218)</f>
        <v>740218</v>
      </c>
      <c r="B15919" s="3" t="s">
        <v>80312</v>
      </c>
      <c r="C15919" s="3" t="s">
        <v>31</v>
      </c>
      <c r="D15919" s="3" t="s">
        <v>32</v>
      </c>
      <c r="E15919" s="4" t="s">
        <v>22</v>
      </c>
      <c r="F15919" s="4" t="s">
        <v>80313</v>
      </c>
      <c r="G15919" s="4" t="s">
        <v>80314</v>
      </c>
      <c r="H15919" s="3" t="s">
        <v>79360</v>
      </c>
      <c r="I15919" s="3" t="s">
        <v>59367</v>
      </c>
      <c r="J15919" s="3" t="s">
        <v>2990</v>
      </c>
      <c r="K15919" s="3" t="s">
        <v>80315</v>
      </c>
      <c r="L15919" s="3"/>
      <c r="M15919" s="4"/>
      <c r="N15919" s="3" t="s">
        <v>37</v>
      </c>
      <c r="O15919" s="3" t="s">
        <v>38</v>
      </c>
      <c r="P15919" s="5">
        <v>11</v>
      </c>
      <c r="Q15919" s="5">
        <v>160</v>
      </c>
      <c r="R15919" s="5">
        <v>11</v>
      </c>
      <c r="S15919" s="5">
        <v>155</v>
      </c>
    </row>
    <row r="15920" spans="1:19" ht="28" x14ac:dyDescent="0.15">
      <c r="A15920" s="2">
        <f>HYPERLINK("https://open-school.uspishnemisto.com.ua/school/740219/", 740219)</f>
        <v>740219</v>
      </c>
      <c r="B15920" s="3" t="s">
        <v>80316</v>
      </c>
      <c r="C15920" s="3" t="s">
        <v>31</v>
      </c>
      <c r="D15920" s="3" t="s">
        <v>32</v>
      </c>
      <c r="E15920" s="4" t="s">
        <v>22</v>
      </c>
      <c r="F15920" s="4" t="s">
        <v>80317</v>
      </c>
      <c r="G15920" s="4" t="s">
        <v>80318</v>
      </c>
      <c r="H15920" s="3" t="s">
        <v>79360</v>
      </c>
      <c r="I15920" s="3" t="s">
        <v>80319</v>
      </c>
      <c r="J15920" s="3" t="s">
        <v>28673</v>
      </c>
      <c r="K15920" s="3" t="s">
        <v>80320</v>
      </c>
      <c r="L15920" s="3"/>
      <c r="M15920" s="4"/>
      <c r="N15920" s="3" t="s">
        <v>37</v>
      </c>
      <c r="O15920" s="3" t="s">
        <v>38</v>
      </c>
      <c r="P15920" s="5">
        <v>11</v>
      </c>
      <c r="Q15920" s="5">
        <v>104</v>
      </c>
      <c r="R15920" s="5">
        <v>11</v>
      </c>
      <c r="S15920" s="5">
        <v>97</v>
      </c>
    </row>
    <row r="15921" spans="1:19" ht="28" x14ac:dyDescent="0.15">
      <c r="A15921" s="2">
        <f>HYPERLINK("https://open-school.uspishnemisto.com.ua/school/740220/", 740220)</f>
        <v>740220</v>
      </c>
      <c r="B15921" s="3" t="s">
        <v>80321</v>
      </c>
      <c r="C15921" s="3" t="s">
        <v>31</v>
      </c>
      <c r="D15921" s="3" t="s">
        <v>32</v>
      </c>
      <c r="E15921" s="4" t="s">
        <v>22</v>
      </c>
      <c r="F15921" s="4" t="s">
        <v>80322</v>
      </c>
      <c r="G15921" s="4" t="s">
        <v>80323</v>
      </c>
      <c r="H15921" s="3" t="s">
        <v>79360</v>
      </c>
      <c r="I15921" s="3" t="s">
        <v>80324</v>
      </c>
      <c r="J15921" s="3" t="s">
        <v>80325</v>
      </c>
      <c r="K15921" s="3" t="s">
        <v>80326</v>
      </c>
      <c r="L15921" s="3" t="s">
        <v>80327</v>
      </c>
      <c r="M15921" s="4"/>
      <c r="N15921" s="3" t="s">
        <v>37</v>
      </c>
      <c r="O15921" s="3" t="s">
        <v>70</v>
      </c>
      <c r="P15921" s="5">
        <v>5</v>
      </c>
      <c r="Q15921" s="5">
        <v>44</v>
      </c>
      <c r="R15921" s="5">
        <v>6</v>
      </c>
      <c r="S15921" s="5">
        <v>45</v>
      </c>
    </row>
    <row r="15922" spans="1:19" ht="28" x14ac:dyDescent="0.15">
      <c r="A15922" s="2">
        <f>HYPERLINK("https://open-school.uspishnemisto.com.ua/school/740221/", 740221)</f>
        <v>740221</v>
      </c>
      <c r="B15922" s="3" t="s">
        <v>80328</v>
      </c>
      <c r="C15922" s="3" t="s">
        <v>31</v>
      </c>
      <c r="D15922" s="3" t="s">
        <v>32</v>
      </c>
      <c r="E15922" s="4" t="s">
        <v>22</v>
      </c>
      <c r="F15922" s="4" t="s">
        <v>80329</v>
      </c>
      <c r="G15922" s="4" t="s">
        <v>80330</v>
      </c>
      <c r="H15922" s="3" t="s">
        <v>79360</v>
      </c>
      <c r="I15922" s="3" t="s">
        <v>75807</v>
      </c>
      <c r="J15922" s="3" t="s">
        <v>80331</v>
      </c>
      <c r="K15922" s="3" t="s">
        <v>80332</v>
      </c>
      <c r="L15922" s="3"/>
      <c r="M15922" s="4"/>
      <c r="N15922" s="3" t="s">
        <v>37</v>
      </c>
      <c r="O15922" s="3" t="s">
        <v>38</v>
      </c>
      <c r="P15922" s="5">
        <v>5</v>
      </c>
      <c r="Q15922" s="5">
        <v>50</v>
      </c>
      <c r="R15922" s="5">
        <v>7</v>
      </c>
      <c r="S15922" s="5">
        <v>52</v>
      </c>
    </row>
    <row r="15923" spans="1:19" ht="28" x14ac:dyDescent="0.15">
      <c r="A15923" s="2">
        <f>HYPERLINK("https://open-school.uspishnemisto.com.ua/school/740222/", 740222)</f>
        <v>740222</v>
      </c>
      <c r="B15923" s="3" t="s">
        <v>80333</v>
      </c>
      <c r="C15923" s="3" t="s">
        <v>31</v>
      </c>
      <c r="D15923" s="3" t="s">
        <v>32</v>
      </c>
      <c r="E15923" s="4" t="s">
        <v>22</v>
      </c>
      <c r="F15923" s="4" t="s">
        <v>80334</v>
      </c>
      <c r="G15923" s="4" t="s">
        <v>80335</v>
      </c>
      <c r="H15923" s="3" t="s">
        <v>79360</v>
      </c>
      <c r="I15923" s="3" t="s">
        <v>80336</v>
      </c>
      <c r="J15923" s="3" t="s">
        <v>80337</v>
      </c>
      <c r="K15923" s="3" t="s">
        <v>80338</v>
      </c>
      <c r="L15923" s="3"/>
      <c r="M15923" s="4"/>
      <c r="N15923" s="3" t="s">
        <v>37</v>
      </c>
      <c r="O15923" s="3" t="s">
        <v>38</v>
      </c>
      <c r="P15923" s="5">
        <v>6</v>
      </c>
      <c r="Q15923" s="5">
        <v>45</v>
      </c>
      <c r="R15923" s="5">
        <v>7</v>
      </c>
      <c r="S15923" s="5">
        <v>47</v>
      </c>
    </row>
    <row r="15924" spans="1:19" ht="28" x14ac:dyDescent="0.15">
      <c r="A15924" s="2">
        <f>HYPERLINK("https://open-school.uspishnemisto.com.ua/school/740223/", 740223)</f>
        <v>740223</v>
      </c>
      <c r="B15924" s="3" t="s">
        <v>80339</v>
      </c>
      <c r="C15924" s="3" t="s">
        <v>31</v>
      </c>
      <c r="D15924" s="3" t="s">
        <v>175</v>
      </c>
      <c r="E15924" s="4" t="s">
        <v>22</v>
      </c>
      <c r="F15924" s="4" t="s">
        <v>80340</v>
      </c>
      <c r="G15924" s="4" t="s">
        <v>80341</v>
      </c>
      <c r="H15924" s="3" t="s">
        <v>79360</v>
      </c>
      <c r="I15924" s="3" t="s">
        <v>80342</v>
      </c>
      <c r="J15924" s="3" t="s">
        <v>75711</v>
      </c>
      <c r="K15924" s="3" t="s">
        <v>80343</v>
      </c>
      <c r="L15924" s="3"/>
      <c r="M15924" s="4"/>
      <c r="N15924" s="3" t="s">
        <v>37</v>
      </c>
      <c r="O15924" s="3" t="s">
        <v>38</v>
      </c>
      <c r="P15924" s="5">
        <v>6</v>
      </c>
      <c r="Q15924" s="5">
        <v>35</v>
      </c>
      <c r="R15924" s="5">
        <v>5</v>
      </c>
      <c r="S15924" s="5">
        <v>33</v>
      </c>
    </row>
    <row r="15925" spans="1:19" ht="28" x14ac:dyDescent="0.15">
      <c r="A15925" s="2">
        <f>HYPERLINK("https://open-school.uspishnemisto.com.ua/school/740224/", 740224)</f>
        <v>740224</v>
      </c>
      <c r="B15925" s="3" t="s">
        <v>80344</v>
      </c>
      <c r="C15925" s="3" t="s">
        <v>31</v>
      </c>
      <c r="D15925" s="3" t="s">
        <v>32</v>
      </c>
      <c r="E15925" s="4" t="s">
        <v>22</v>
      </c>
      <c r="F15925" s="4" t="s">
        <v>80345</v>
      </c>
      <c r="G15925" s="4" t="s">
        <v>80346</v>
      </c>
      <c r="H15925" s="3" t="s">
        <v>79360</v>
      </c>
      <c r="I15925" s="3" t="s">
        <v>80347</v>
      </c>
      <c r="J15925" s="3" t="s">
        <v>48334</v>
      </c>
      <c r="K15925" s="3" t="s">
        <v>80348</v>
      </c>
      <c r="L15925" s="3"/>
      <c r="M15925" s="4"/>
      <c r="N15925" s="3" t="s">
        <v>37</v>
      </c>
      <c r="O15925" s="3" t="s">
        <v>70</v>
      </c>
      <c r="P15925" s="5">
        <v>7</v>
      </c>
      <c r="Q15925" s="5">
        <v>64</v>
      </c>
      <c r="R15925" s="5">
        <v>7</v>
      </c>
      <c r="S15925" s="5">
        <v>75</v>
      </c>
    </row>
    <row r="15926" spans="1:19" ht="28" x14ac:dyDescent="0.15">
      <c r="A15926" s="2">
        <f>HYPERLINK("https://open-school.uspishnemisto.com.ua/school/740225/", 740225)</f>
        <v>740225</v>
      </c>
      <c r="B15926" s="3" t="s">
        <v>80349</v>
      </c>
      <c r="C15926" s="3" t="s">
        <v>31</v>
      </c>
      <c r="D15926" s="3" t="s">
        <v>32</v>
      </c>
      <c r="E15926" s="4" t="s">
        <v>22</v>
      </c>
      <c r="F15926" s="4" t="s">
        <v>80350</v>
      </c>
      <c r="G15926" s="4" t="s">
        <v>80351</v>
      </c>
      <c r="H15926" s="3" t="s">
        <v>79360</v>
      </c>
      <c r="I15926" s="3" t="s">
        <v>3581</v>
      </c>
      <c r="J15926" s="3" t="s">
        <v>41797</v>
      </c>
      <c r="K15926" s="3" t="s">
        <v>80352</v>
      </c>
      <c r="L15926" s="3" t="s">
        <v>80353</v>
      </c>
      <c r="M15926" s="4"/>
      <c r="N15926" s="3" t="s">
        <v>37</v>
      </c>
      <c r="O15926" s="3" t="s">
        <v>38</v>
      </c>
      <c r="P15926" s="5">
        <v>7</v>
      </c>
      <c r="Q15926" s="5">
        <v>69</v>
      </c>
      <c r="R15926" s="5">
        <v>6</v>
      </c>
      <c r="S15926" s="5">
        <v>71</v>
      </c>
    </row>
    <row r="15927" spans="1:19" ht="28" x14ac:dyDescent="0.15">
      <c r="A15927" s="2">
        <f>HYPERLINK("https://open-school.uspishnemisto.com.ua/school/740226/", 740226)</f>
        <v>740226</v>
      </c>
      <c r="B15927" s="3" t="s">
        <v>80354</v>
      </c>
      <c r="C15927" s="3" t="s">
        <v>31</v>
      </c>
      <c r="D15927" s="3" t="s">
        <v>32</v>
      </c>
      <c r="E15927" s="4" t="s">
        <v>22</v>
      </c>
      <c r="F15927" s="4" t="s">
        <v>80355</v>
      </c>
      <c r="G15927" s="4" t="s">
        <v>80356</v>
      </c>
      <c r="H15927" s="3" t="s">
        <v>79360</v>
      </c>
      <c r="I15927" s="3" t="s">
        <v>47797</v>
      </c>
      <c r="J15927" s="3" t="s">
        <v>27248</v>
      </c>
      <c r="K15927" s="3" t="s">
        <v>80357</v>
      </c>
      <c r="L15927" s="3"/>
      <c r="M15927" s="4"/>
      <c r="N15927" s="3" t="s">
        <v>37</v>
      </c>
      <c r="O15927" s="3" t="s">
        <v>38</v>
      </c>
      <c r="P15927" s="5">
        <v>10</v>
      </c>
      <c r="Q15927" s="5">
        <v>82</v>
      </c>
      <c r="R15927" s="5">
        <v>10</v>
      </c>
      <c r="S15927" s="5">
        <v>91</v>
      </c>
    </row>
    <row r="15928" spans="1:19" ht="28" x14ac:dyDescent="0.15">
      <c r="A15928" s="2">
        <f>HYPERLINK("https://open-school.uspishnemisto.com.ua/school/740227/", 740227)</f>
        <v>740227</v>
      </c>
      <c r="B15928" s="3" t="s">
        <v>80358</v>
      </c>
      <c r="C15928" s="3" t="s">
        <v>40</v>
      </c>
      <c r="D15928" s="3" t="s">
        <v>32</v>
      </c>
      <c r="E15928" s="4" t="s">
        <v>22</v>
      </c>
      <c r="F15928" s="4" t="s">
        <v>80359</v>
      </c>
      <c r="G15928" s="4" t="s">
        <v>80360</v>
      </c>
      <c r="H15928" s="3" t="s">
        <v>79360</v>
      </c>
      <c r="I15928" s="3" t="s">
        <v>80361</v>
      </c>
      <c r="J15928" s="3" t="s">
        <v>80362</v>
      </c>
      <c r="K15928" s="3" t="s">
        <v>80363</v>
      </c>
      <c r="L15928" s="3" t="s">
        <v>80364</v>
      </c>
      <c r="M15928" s="4"/>
      <c r="N15928" s="3" t="s">
        <v>37</v>
      </c>
      <c r="O15928" s="3" t="s">
        <v>70</v>
      </c>
      <c r="P15928" s="5">
        <v>21</v>
      </c>
      <c r="Q15928" s="5">
        <v>431</v>
      </c>
      <c r="R15928" s="5">
        <v>21</v>
      </c>
      <c r="S15928" s="5">
        <v>415</v>
      </c>
    </row>
    <row r="15929" spans="1:19" ht="28" x14ac:dyDescent="0.15">
      <c r="A15929" s="2">
        <f>HYPERLINK("https://open-school.uspishnemisto.com.ua/school/740228/", 740228)</f>
        <v>740228</v>
      </c>
      <c r="B15929" s="3" t="s">
        <v>80365</v>
      </c>
      <c r="C15929" s="3" t="s">
        <v>31</v>
      </c>
      <c r="D15929" s="3" t="s">
        <v>32</v>
      </c>
      <c r="E15929" s="4" t="s">
        <v>22</v>
      </c>
      <c r="F15929" s="4" t="s">
        <v>80359</v>
      </c>
      <c r="G15929" s="4" t="s">
        <v>80360</v>
      </c>
      <c r="H15929" s="3" t="s">
        <v>79360</v>
      </c>
      <c r="I15929" s="3" t="s">
        <v>80361</v>
      </c>
      <c r="J15929" s="3" t="s">
        <v>20560</v>
      </c>
      <c r="K15929" s="3" t="s">
        <v>80366</v>
      </c>
      <c r="L15929" s="3"/>
      <c r="M15929" s="4"/>
      <c r="N15929" s="3" t="s">
        <v>37</v>
      </c>
      <c r="O15929" s="3" t="s">
        <v>38</v>
      </c>
      <c r="P15929" s="5">
        <v>13</v>
      </c>
      <c r="Q15929" s="5">
        <v>237</v>
      </c>
      <c r="R15929" s="5">
        <v>13</v>
      </c>
      <c r="S15929" s="5">
        <v>232</v>
      </c>
    </row>
    <row r="15930" spans="1:19" ht="28" x14ac:dyDescent="0.15">
      <c r="A15930" s="2">
        <f>HYPERLINK("https://open-school.uspishnemisto.com.ua/school/740229/", 740229)</f>
        <v>740229</v>
      </c>
      <c r="B15930" s="3" t="s">
        <v>80367</v>
      </c>
      <c r="C15930" s="3" t="s">
        <v>40</v>
      </c>
      <c r="D15930" s="3" t="s">
        <v>32</v>
      </c>
      <c r="E15930" s="4" t="s">
        <v>22</v>
      </c>
      <c r="F15930" s="4" t="s">
        <v>80368</v>
      </c>
      <c r="G15930" s="4" t="s">
        <v>80369</v>
      </c>
      <c r="H15930" s="3" t="s">
        <v>79360</v>
      </c>
      <c r="I15930" s="3" t="s">
        <v>80370</v>
      </c>
      <c r="J15930" s="3" t="s">
        <v>80371</v>
      </c>
      <c r="K15930" s="3" t="s">
        <v>80372</v>
      </c>
      <c r="L15930" s="3" t="s">
        <v>80373</v>
      </c>
      <c r="M15930" s="4"/>
      <c r="N15930" s="3" t="s">
        <v>37</v>
      </c>
      <c r="O15930" s="3" t="s">
        <v>70</v>
      </c>
      <c r="P15930" s="5">
        <v>22</v>
      </c>
      <c r="Q15930" s="5">
        <v>412</v>
      </c>
      <c r="R15930" s="5">
        <v>17</v>
      </c>
      <c r="S15930" s="5">
        <v>344</v>
      </c>
    </row>
    <row r="15931" spans="1:19" ht="28" x14ac:dyDescent="0.15">
      <c r="A15931" s="2">
        <f>HYPERLINK("https://open-school.uspishnemisto.com.ua/school/740230/", 740230)</f>
        <v>740230</v>
      </c>
      <c r="B15931" s="3" t="s">
        <v>80374</v>
      </c>
      <c r="C15931" s="3" t="s">
        <v>31</v>
      </c>
      <c r="D15931" s="3" t="s">
        <v>32</v>
      </c>
      <c r="E15931" s="4" t="s">
        <v>22</v>
      </c>
      <c r="F15931" s="4" t="s">
        <v>80368</v>
      </c>
      <c r="G15931" s="4" t="s">
        <v>80369</v>
      </c>
      <c r="H15931" s="3" t="s">
        <v>79360</v>
      </c>
      <c r="I15931" s="3" t="s">
        <v>80370</v>
      </c>
      <c r="J15931" s="3" t="s">
        <v>21216</v>
      </c>
      <c r="K15931" s="3" t="s">
        <v>80375</v>
      </c>
      <c r="L15931" s="3" t="s">
        <v>80376</v>
      </c>
      <c r="M15931" s="4"/>
      <c r="N15931" s="3" t="s">
        <v>37</v>
      </c>
      <c r="O15931" s="3" t="s">
        <v>38</v>
      </c>
      <c r="P15931" s="5">
        <v>11</v>
      </c>
      <c r="Q15931" s="5">
        <v>176</v>
      </c>
      <c r="R15931" s="5">
        <v>11</v>
      </c>
      <c r="S15931" s="5">
        <v>164</v>
      </c>
    </row>
    <row r="15932" spans="1:19" ht="28" x14ac:dyDescent="0.15">
      <c r="A15932" s="2">
        <f>HYPERLINK("https://open-school.uspishnemisto.com.ua/school/740231/", 740231)</f>
        <v>740231</v>
      </c>
      <c r="B15932" s="3" t="s">
        <v>80377</v>
      </c>
      <c r="C15932" s="3" t="s">
        <v>31</v>
      </c>
      <c r="D15932" s="3" t="s">
        <v>32</v>
      </c>
      <c r="E15932" s="4" t="s">
        <v>22</v>
      </c>
      <c r="F15932" s="4" t="s">
        <v>80368</v>
      </c>
      <c r="G15932" s="4" t="s">
        <v>80369</v>
      </c>
      <c r="H15932" s="3" t="s">
        <v>79360</v>
      </c>
      <c r="I15932" s="3" t="s">
        <v>80370</v>
      </c>
      <c r="J15932" s="3" t="s">
        <v>80378</v>
      </c>
      <c r="K15932" s="3" t="s">
        <v>80379</v>
      </c>
      <c r="L15932" s="3" t="s">
        <v>80380</v>
      </c>
      <c r="M15932" s="4"/>
      <c r="N15932" s="3" t="s">
        <v>37</v>
      </c>
      <c r="O15932" s="3" t="s">
        <v>70</v>
      </c>
      <c r="P15932" s="5">
        <v>37</v>
      </c>
      <c r="Q15932" s="5">
        <v>712</v>
      </c>
      <c r="R15932" s="5">
        <v>26</v>
      </c>
      <c r="S15932" s="5">
        <v>577</v>
      </c>
    </row>
    <row r="15933" spans="1:19" ht="42" x14ac:dyDescent="0.15">
      <c r="A15933" s="2">
        <f>HYPERLINK("https://open-school.uspishnemisto.com.ua/school/740233/", 740233)</f>
        <v>740233</v>
      </c>
      <c r="B15933" s="3" t="s">
        <v>80381</v>
      </c>
      <c r="C15933" s="3" t="s">
        <v>54</v>
      </c>
      <c r="D15933" s="3" t="s">
        <v>32</v>
      </c>
      <c r="E15933" s="4" t="s">
        <v>22</v>
      </c>
      <c r="F15933" s="4" t="s">
        <v>80382</v>
      </c>
      <c r="G15933" s="4" t="s">
        <v>80383</v>
      </c>
      <c r="H15933" s="3" t="s">
        <v>79360</v>
      </c>
      <c r="I15933" s="3" t="s">
        <v>823</v>
      </c>
      <c r="J15933" s="3" t="s">
        <v>80384</v>
      </c>
      <c r="K15933" s="3" t="s">
        <v>80385</v>
      </c>
      <c r="L15933" s="3"/>
      <c r="M15933" s="4"/>
      <c r="N15933" s="3" t="s">
        <v>37</v>
      </c>
      <c r="O15933" s="3" t="s">
        <v>70</v>
      </c>
      <c r="P15933" s="5">
        <v>38</v>
      </c>
      <c r="Q15933" s="5">
        <v>880</v>
      </c>
      <c r="R15933" s="5">
        <v>26</v>
      </c>
      <c r="S15933" s="5">
        <v>594</v>
      </c>
    </row>
    <row r="15934" spans="1:19" ht="28" x14ac:dyDescent="0.15">
      <c r="A15934" s="2">
        <f>HYPERLINK("https://open-school.uspishnemisto.com.ua/school/740235/", 740235)</f>
        <v>740235</v>
      </c>
      <c r="B15934" s="3" t="s">
        <v>80386</v>
      </c>
      <c r="C15934" s="3" t="s">
        <v>31</v>
      </c>
      <c r="D15934" s="3" t="s">
        <v>32</v>
      </c>
      <c r="E15934" s="4" t="s">
        <v>22</v>
      </c>
      <c r="F15934" s="4" t="s">
        <v>80387</v>
      </c>
      <c r="G15934" s="4" t="s">
        <v>80388</v>
      </c>
      <c r="H15934" s="3" t="s">
        <v>79360</v>
      </c>
      <c r="I15934" s="3" t="s">
        <v>80389</v>
      </c>
      <c r="J15934" s="3" t="s">
        <v>79671</v>
      </c>
      <c r="K15934" s="3" t="s">
        <v>80390</v>
      </c>
      <c r="L15934" s="3"/>
      <c r="M15934" s="4"/>
      <c r="N15934" s="3" t="s">
        <v>37</v>
      </c>
      <c r="O15934" s="3" t="s">
        <v>38</v>
      </c>
      <c r="P15934" s="5">
        <v>11</v>
      </c>
      <c r="Q15934" s="5">
        <v>77</v>
      </c>
      <c r="R15934" s="5">
        <v>11</v>
      </c>
      <c r="S15934" s="5">
        <v>71</v>
      </c>
    </row>
    <row r="15935" spans="1:19" ht="28" x14ac:dyDescent="0.15">
      <c r="A15935" s="2">
        <f>HYPERLINK("https://open-school.uspishnemisto.com.ua/school/740236/", 740236)</f>
        <v>740236</v>
      </c>
      <c r="B15935" s="3" t="s">
        <v>80391</v>
      </c>
      <c r="C15935" s="3" t="s">
        <v>31</v>
      </c>
      <c r="D15935" s="3" t="s">
        <v>175</v>
      </c>
      <c r="E15935" s="4" t="s">
        <v>22</v>
      </c>
      <c r="F15935" s="4" t="s">
        <v>80392</v>
      </c>
      <c r="G15935" s="4" t="s">
        <v>80393</v>
      </c>
      <c r="H15935" s="3" t="s">
        <v>79360</v>
      </c>
      <c r="I15935" s="3" t="s">
        <v>80394</v>
      </c>
      <c r="J15935" s="3" t="s">
        <v>80395</v>
      </c>
      <c r="K15935" s="3" t="s">
        <v>80396</v>
      </c>
      <c r="L15935" s="3"/>
      <c r="M15935" s="4"/>
      <c r="N15935" s="3" t="s">
        <v>37</v>
      </c>
      <c r="O15935" s="3" t="s">
        <v>52</v>
      </c>
      <c r="P15935" s="5">
        <v>0</v>
      </c>
      <c r="Q15935" s="5">
        <v>0</v>
      </c>
      <c r="R15935" s="5">
        <v>2</v>
      </c>
      <c r="S15935" s="5">
        <v>26</v>
      </c>
    </row>
    <row r="15936" spans="1:19" ht="28" x14ac:dyDescent="0.15">
      <c r="A15936" s="2">
        <f>HYPERLINK("https://open-school.uspishnemisto.com.ua/school/740238/", 740238)</f>
        <v>740238</v>
      </c>
      <c r="B15936" s="3" t="s">
        <v>80397</v>
      </c>
      <c r="C15936" s="3" t="s">
        <v>31</v>
      </c>
      <c r="D15936" s="3" t="s">
        <v>32</v>
      </c>
      <c r="E15936" s="4" t="s">
        <v>22</v>
      </c>
      <c r="F15936" s="4" t="s">
        <v>80392</v>
      </c>
      <c r="G15936" s="4" t="s">
        <v>80398</v>
      </c>
      <c r="H15936" s="3" t="s">
        <v>79360</v>
      </c>
      <c r="I15936" s="3" t="s">
        <v>80399</v>
      </c>
      <c r="J15936" s="3" t="s">
        <v>80400</v>
      </c>
      <c r="K15936" s="3" t="s">
        <v>80401</v>
      </c>
      <c r="L15936" s="3"/>
      <c r="M15936" s="4"/>
      <c r="N15936" s="3" t="s">
        <v>37</v>
      </c>
      <c r="O15936" s="3" t="s">
        <v>46</v>
      </c>
      <c r="P15936" s="5">
        <v>1</v>
      </c>
      <c r="Q15936" s="5">
        <v>32</v>
      </c>
      <c r="R15936" s="5">
        <v>2</v>
      </c>
      <c r="S15936" s="5">
        <v>28</v>
      </c>
    </row>
    <row r="15937" spans="1:19" ht="28" x14ac:dyDescent="0.15">
      <c r="A15937" s="2">
        <f>HYPERLINK("https://open-school.uspishnemisto.com.ua/school/740240/", 740240)</f>
        <v>740240</v>
      </c>
      <c r="B15937" s="3" t="s">
        <v>80402</v>
      </c>
      <c r="C15937" s="3" t="s">
        <v>31</v>
      </c>
      <c r="D15937" s="3" t="s">
        <v>32</v>
      </c>
      <c r="E15937" s="4" t="s">
        <v>22</v>
      </c>
      <c r="F15937" s="4" t="s">
        <v>80403</v>
      </c>
      <c r="G15937" s="4" t="s">
        <v>80404</v>
      </c>
      <c r="H15937" s="3" t="s">
        <v>79360</v>
      </c>
      <c r="I15937" s="3" t="s">
        <v>80405</v>
      </c>
      <c r="J15937" s="3" t="s">
        <v>80406</v>
      </c>
      <c r="K15937" s="3" t="s">
        <v>80407</v>
      </c>
      <c r="L15937" s="3"/>
      <c r="M15937" s="4"/>
      <c r="N15937" s="3" t="s">
        <v>37</v>
      </c>
      <c r="O15937" s="3" t="s">
        <v>38</v>
      </c>
      <c r="P15937" s="5">
        <v>10</v>
      </c>
      <c r="Q15937" s="5">
        <v>80</v>
      </c>
      <c r="R15937" s="5">
        <v>9</v>
      </c>
      <c r="S15937" s="5">
        <v>83</v>
      </c>
    </row>
    <row r="15938" spans="1:19" ht="28" x14ac:dyDescent="0.15">
      <c r="A15938" s="2">
        <f>HYPERLINK("https://open-school.uspishnemisto.com.ua/school/740241/", 740241)</f>
        <v>740241</v>
      </c>
      <c r="B15938" s="3" t="s">
        <v>80408</v>
      </c>
      <c r="C15938" s="3" t="s">
        <v>31</v>
      </c>
      <c r="D15938" s="3" t="s">
        <v>32</v>
      </c>
      <c r="E15938" s="4" t="s">
        <v>22</v>
      </c>
      <c r="F15938" s="4" t="s">
        <v>80409</v>
      </c>
      <c r="G15938" s="4" t="s">
        <v>80410</v>
      </c>
      <c r="H15938" s="3" t="s">
        <v>79360</v>
      </c>
      <c r="I15938" s="3" t="s">
        <v>80411</v>
      </c>
      <c r="J15938" s="3" t="s">
        <v>836</v>
      </c>
      <c r="K15938" s="3" t="s">
        <v>80412</v>
      </c>
      <c r="L15938" s="3"/>
      <c r="M15938" s="4"/>
      <c r="N15938" s="3" t="s">
        <v>37</v>
      </c>
      <c r="O15938" s="3" t="s">
        <v>2740</v>
      </c>
      <c r="P15938" s="5">
        <v>5</v>
      </c>
      <c r="Q15938" s="5">
        <v>50</v>
      </c>
      <c r="R15938" s="5">
        <v>6</v>
      </c>
      <c r="S15938" s="5">
        <v>47</v>
      </c>
    </row>
    <row r="15939" spans="1:19" ht="28" x14ac:dyDescent="0.15">
      <c r="A15939" s="2">
        <f>HYPERLINK("https://open-school.uspishnemisto.com.ua/school/740242/", 740242)</f>
        <v>740242</v>
      </c>
      <c r="B15939" s="3" t="s">
        <v>80413</v>
      </c>
      <c r="C15939" s="3" t="s">
        <v>31</v>
      </c>
      <c r="D15939" s="3" t="s">
        <v>32</v>
      </c>
      <c r="E15939" s="4" t="s">
        <v>22</v>
      </c>
      <c r="F15939" s="4" t="s">
        <v>80414</v>
      </c>
      <c r="G15939" s="4" t="s">
        <v>80415</v>
      </c>
      <c r="H15939" s="3" t="s">
        <v>79360</v>
      </c>
      <c r="I15939" s="3" t="s">
        <v>5877</v>
      </c>
      <c r="J15939" s="3" t="s">
        <v>4833</v>
      </c>
      <c r="K15939" s="3" t="s">
        <v>80416</v>
      </c>
      <c r="L15939" s="3"/>
      <c r="M15939" s="4"/>
      <c r="N15939" s="3" t="s">
        <v>37</v>
      </c>
      <c r="O15939" s="3" t="s">
        <v>112</v>
      </c>
      <c r="P15939" s="5">
        <v>11</v>
      </c>
      <c r="Q15939" s="5">
        <v>105</v>
      </c>
      <c r="R15939" s="5">
        <v>11</v>
      </c>
      <c r="S15939" s="5">
        <v>103</v>
      </c>
    </row>
    <row r="15940" spans="1:19" ht="28" x14ac:dyDescent="0.15">
      <c r="A15940" s="2">
        <f>HYPERLINK("https://open-school.uspishnemisto.com.ua/school/740243/", 740243)</f>
        <v>740243</v>
      </c>
      <c r="B15940" s="3" t="s">
        <v>80417</v>
      </c>
      <c r="C15940" s="3" t="s">
        <v>31</v>
      </c>
      <c r="D15940" s="3" t="s">
        <v>32</v>
      </c>
      <c r="E15940" s="4" t="s">
        <v>22</v>
      </c>
      <c r="F15940" s="4" t="s">
        <v>80418</v>
      </c>
      <c r="G15940" s="4" t="s">
        <v>80419</v>
      </c>
      <c r="H15940" s="3" t="s">
        <v>79360</v>
      </c>
      <c r="I15940" s="3" t="s">
        <v>80420</v>
      </c>
      <c r="J15940" s="3" t="s">
        <v>1001</v>
      </c>
      <c r="K15940" s="3"/>
      <c r="L15940" s="3"/>
      <c r="M15940" s="4"/>
      <c r="N15940" s="3" t="s">
        <v>37</v>
      </c>
      <c r="O15940" s="3" t="s">
        <v>70</v>
      </c>
      <c r="P15940" s="5">
        <v>4</v>
      </c>
      <c r="Q15940" s="5">
        <v>37</v>
      </c>
      <c r="R15940" s="5">
        <v>4</v>
      </c>
      <c r="S15940" s="5">
        <v>45</v>
      </c>
    </row>
    <row r="15941" spans="1:19" ht="42" x14ac:dyDescent="0.15">
      <c r="A15941" s="2">
        <f>HYPERLINK("https://open-school.uspishnemisto.com.ua/school/740244/", 740244)</f>
        <v>740244</v>
      </c>
      <c r="B15941" s="3" t="s">
        <v>80421</v>
      </c>
      <c r="C15941" s="3" t="s">
        <v>31</v>
      </c>
      <c r="D15941" s="3" t="s">
        <v>175</v>
      </c>
      <c r="E15941" s="4" t="s">
        <v>22</v>
      </c>
      <c r="F15941" s="4" t="s">
        <v>80422</v>
      </c>
      <c r="G15941" s="4" t="s">
        <v>80423</v>
      </c>
      <c r="H15941" s="3" t="s">
        <v>79360</v>
      </c>
      <c r="I15941" s="3" t="s">
        <v>80424</v>
      </c>
      <c r="J15941" s="3" t="s">
        <v>28128</v>
      </c>
      <c r="K15941" s="3" t="s">
        <v>80425</v>
      </c>
      <c r="L15941" s="3"/>
      <c r="M15941" s="4"/>
      <c r="N15941" s="3" t="s">
        <v>37</v>
      </c>
      <c r="O15941" s="3" t="s">
        <v>70</v>
      </c>
      <c r="P15941" s="5">
        <v>6</v>
      </c>
      <c r="Q15941" s="5">
        <v>39</v>
      </c>
      <c r="R15941" s="5">
        <v>5</v>
      </c>
      <c r="S15941" s="5">
        <v>32</v>
      </c>
    </row>
    <row r="15942" spans="1:19" ht="42" x14ac:dyDescent="0.15">
      <c r="A15942" s="2">
        <f>HYPERLINK("https://open-school.uspishnemisto.com.ua/school/740245/", 740245)</f>
        <v>740245</v>
      </c>
      <c r="B15942" s="3" t="s">
        <v>80426</v>
      </c>
      <c r="C15942" s="3" t="s">
        <v>31</v>
      </c>
      <c r="D15942" s="3" t="s">
        <v>175</v>
      </c>
      <c r="E15942" s="4" t="s">
        <v>22</v>
      </c>
      <c r="F15942" s="4" t="s">
        <v>80427</v>
      </c>
      <c r="G15942" s="4" t="s">
        <v>80428</v>
      </c>
      <c r="H15942" s="3" t="s">
        <v>79360</v>
      </c>
      <c r="I15942" s="3" t="s">
        <v>18694</v>
      </c>
      <c r="J15942" s="3" t="s">
        <v>80429</v>
      </c>
      <c r="K15942" s="3" t="s">
        <v>80430</v>
      </c>
      <c r="L15942" s="3" t="s">
        <v>80431</v>
      </c>
      <c r="M15942" s="4"/>
      <c r="N15942" s="3" t="s">
        <v>37</v>
      </c>
      <c r="O15942" s="3" t="s">
        <v>46</v>
      </c>
      <c r="P15942" s="5">
        <v>0</v>
      </c>
      <c r="Q15942" s="5">
        <v>0</v>
      </c>
      <c r="R15942" s="5">
        <v>3</v>
      </c>
      <c r="S15942" s="5">
        <v>36</v>
      </c>
    </row>
    <row r="15943" spans="1:19" ht="28" x14ac:dyDescent="0.15">
      <c r="A15943" s="2">
        <f>HYPERLINK("https://open-school.uspishnemisto.com.ua/school/740246/", 740246)</f>
        <v>740246</v>
      </c>
      <c r="B15943" s="3" t="s">
        <v>80432</v>
      </c>
      <c r="C15943" s="3" t="s">
        <v>31</v>
      </c>
      <c r="D15943" s="3" t="s">
        <v>175</v>
      </c>
      <c r="E15943" s="4" t="s">
        <v>22</v>
      </c>
      <c r="F15943" s="4" t="s">
        <v>80433</v>
      </c>
      <c r="G15943" s="4" t="s">
        <v>80434</v>
      </c>
      <c r="H15943" s="3" t="s">
        <v>79360</v>
      </c>
      <c r="I15943" s="3" t="s">
        <v>80435</v>
      </c>
      <c r="J15943" s="3" t="s">
        <v>49700</v>
      </c>
      <c r="K15943" s="3" t="s">
        <v>80436</v>
      </c>
      <c r="L15943" s="3"/>
      <c r="M15943" s="4"/>
      <c r="N15943" s="3" t="s">
        <v>37</v>
      </c>
      <c r="O15943" s="3" t="s">
        <v>721</v>
      </c>
      <c r="P15943" s="5">
        <v>4</v>
      </c>
      <c r="Q15943" s="5">
        <v>31</v>
      </c>
      <c r="R15943" s="5">
        <v>4</v>
      </c>
      <c r="S15943" s="5">
        <v>33</v>
      </c>
    </row>
    <row r="15944" spans="1:19" ht="28" x14ac:dyDescent="0.15">
      <c r="A15944" s="2">
        <f>HYPERLINK("https://open-school.uspishnemisto.com.ua/school/740247/", 740247)</f>
        <v>740247</v>
      </c>
      <c r="B15944" s="3" t="s">
        <v>80437</v>
      </c>
      <c r="C15944" s="3" t="s">
        <v>31</v>
      </c>
      <c r="D15944" s="3" t="s">
        <v>32</v>
      </c>
      <c r="E15944" s="4" t="s">
        <v>22</v>
      </c>
      <c r="F15944" s="4" t="s">
        <v>80438</v>
      </c>
      <c r="G15944" s="4" t="s">
        <v>80439</v>
      </c>
      <c r="H15944" s="3" t="s">
        <v>79360</v>
      </c>
      <c r="I15944" s="3" t="s">
        <v>80440</v>
      </c>
      <c r="J15944" s="3" t="s">
        <v>70878</v>
      </c>
      <c r="K15944" s="3" t="s">
        <v>80441</v>
      </c>
      <c r="L15944" s="3"/>
      <c r="M15944" s="4"/>
      <c r="N15944" s="3" t="s">
        <v>37</v>
      </c>
      <c r="O15944" s="3" t="s">
        <v>52</v>
      </c>
      <c r="P15944" s="5">
        <v>4</v>
      </c>
      <c r="Q15944" s="5">
        <v>40</v>
      </c>
      <c r="R15944" s="5">
        <v>4</v>
      </c>
      <c r="S15944" s="5">
        <v>38</v>
      </c>
    </row>
    <row r="15945" spans="1:19" ht="28" x14ac:dyDescent="0.15">
      <c r="A15945" s="2">
        <f>HYPERLINK("https://open-school.uspishnemisto.com.ua/school/740248/", 740248)</f>
        <v>740248</v>
      </c>
      <c r="B15945" s="3" t="s">
        <v>80442</v>
      </c>
      <c r="C15945" s="3" t="s">
        <v>31</v>
      </c>
      <c r="D15945" s="3" t="s">
        <v>32</v>
      </c>
      <c r="E15945" s="4" t="s">
        <v>22</v>
      </c>
      <c r="F15945" s="4" t="s">
        <v>80443</v>
      </c>
      <c r="G15945" s="4" t="s">
        <v>80444</v>
      </c>
      <c r="H15945" s="3" t="s">
        <v>79360</v>
      </c>
      <c r="I15945" s="3" t="s">
        <v>80445</v>
      </c>
      <c r="J15945" s="3" t="s">
        <v>80446</v>
      </c>
      <c r="K15945" s="3" t="s">
        <v>80447</v>
      </c>
      <c r="L15945" s="3"/>
      <c r="M15945" s="4"/>
      <c r="N15945" s="3" t="s">
        <v>37</v>
      </c>
      <c r="O15945" s="3" t="s">
        <v>38</v>
      </c>
      <c r="P15945" s="5">
        <v>10</v>
      </c>
      <c r="Q15945" s="5">
        <v>69</v>
      </c>
      <c r="R15945" s="5">
        <v>10</v>
      </c>
      <c r="S15945" s="5">
        <v>79</v>
      </c>
    </row>
    <row r="15946" spans="1:19" ht="42" x14ac:dyDescent="0.15">
      <c r="A15946" s="2">
        <f>HYPERLINK("https://open-school.uspishnemisto.com.ua/school/740249/", 740249)</f>
        <v>740249</v>
      </c>
      <c r="B15946" s="3" t="s">
        <v>80448</v>
      </c>
      <c r="C15946" s="3" t="s">
        <v>31</v>
      </c>
      <c r="D15946" s="3" t="s">
        <v>175</v>
      </c>
      <c r="E15946" s="4" t="s">
        <v>22</v>
      </c>
      <c r="F15946" s="4" t="s">
        <v>80449</v>
      </c>
      <c r="G15946" s="4" t="s">
        <v>80450</v>
      </c>
      <c r="H15946" s="3" t="s">
        <v>79360</v>
      </c>
      <c r="I15946" s="3" t="s">
        <v>80451</v>
      </c>
      <c r="J15946" s="3" t="s">
        <v>501</v>
      </c>
      <c r="K15946" s="3" t="s">
        <v>80452</v>
      </c>
      <c r="L15946" s="3"/>
      <c r="M15946" s="4"/>
      <c r="N15946" s="3" t="s">
        <v>37</v>
      </c>
      <c r="O15946" s="3" t="s">
        <v>52</v>
      </c>
      <c r="P15946" s="5">
        <v>0</v>
      </c>
      <c r="Q15946" s="5">
        <v>0</v>
      </c>
      <c r="R15946" s="5">
        <v>2</v>
      </c>
      <c r="S15946" s="5">
        <v>37</v>
      </c>
    </row>
    <row r="15947" spans="1:19" ht="28" x14ac:dyDescent="0.15">
      <c r="A15947" s="2">
        <f>HYPERLINK("https://open-school.uspishnemisto.com.ua/school/740250/", 740250)</f>
        <v>740250</v>
      </c>
      <c r="B15947" s="3" t="s">
        <v>80453</v>
      </c>
      <c r="C15947" s="3" t="s">
        <v>31</v>
      </c>
      <c r="D15947" s="3" t="s">
        <v>32</v>
      </c>
      <c r="E15947" s="4" t="s">
        <v>22</v>
      </c>
      <c r="F15947" s="4" t="s">
        <v>80454</v>
      </c>
      <c r="G15947" s="4" t="s">
        <v>80455</v>
      </c>
      <c r="H15947" s="3" t="s">
        <v>79360</v>
      </c>
      <c r="I15947" s="3" t="s">
        <v>80456</v>
      </c>
      <c r="J15947" s="3" t="s">
        <v>80457</v>
      </c>
      <c r="K15947" s="3" t="s">
        <v>80458</v>
      </c>
      <c r="L15947" s="3"/>
      <c r="M15947" s="4"/>
      <c r="N15947" s="3" t="s">
        <v>37</v>
      </c>
      <c r="O15947" s="3" t="s">
        <v>112</v>
      </c>
      <c r="P15947" s="5">
        <v>6</v>
      </c>
      <c r="Q15947" s="5">
        <v>49</v>
      </c>
      <c r="R15947" s="5">
        <v>6</v>
      </c>
      <c r="S15947" s="5">
        <v>45</v>
      </c>
    </row>
    <row r="15948" spans="1:19" ht="28" x14ac:dyDescent="0.15">
      <c r="A15948" s="2">
        <f>HYPERLINK("https://open-school.uspishnemisto.com.ua/school/740251/", 740251)</f>
        <v>740251</v>
      </c>
      <c r="B15948" s="3" t="s">
        <v>80459</v>
      </c>
      <c r="C15948" s="3" t="s">
        <v>31</v>
      </c>
      <c r="D15948" s="3" t="s">
        <v>32</v>
      </c>
      <c r="E15948" s="4" t="s">
        <v>22</v>
      </c>
      <c r="F15948" s="4" t="s">
        <v>80460</v>
      </c>
      <c r="G15948" s="4" t="s">
        <v>80461</v>
      </c>
      <c r="H15948" s="3" t="s">
        <v>79360</v>
      </c>
      <c r="I15948" s="3" t="s">
        <v>80462</v>
      </c>
      <c r="J15948" s="3" t="s">
        <v>761</v>
      </c>
      <c r="K15948" s="3" t="s">
        <v>80463</v>
      </c>
      <c r="L15948" s="3" t="s">
        <v>80464</v>
      </c>
      <c r="M15948" s="4"/>
      <c r="N15948" s="3" t="s">
        <v>37</v>
      </c>
      <c r="O15948" s="3" t="s">
        <v>38</v>
      </c>
      <c r="P15948" s="5">
        <v>8</v>
      </c>
      <c r="Q15948" s="5">
        <v>59</v>
      </c>
      <c r="R15948" s="5">
        <v>9</v>
      </c>
      <c r="S15948" s="5">
        <v>59</v>
      </c>
    </row>
    <row r="15949" spans="1:19" ht="28" x14ac:dyDescent="0.15">
      <c r="A15949" s="2">
        <f>HYPERLINK("https://open-school.uspishnemisto.com.ua/school/740253/", 740253)</f>
        <v>740253</v>
      </c>
      <c r="B15949" s="3" t="s">
        <v>80465</v>
      </c>
      <c r="C15949" s="3" t="s">
        <v>31</v>
      </c>
      <c r="D15949" s="3" t="s">
        <v>32</v>
      </c>
      <c r="E15949" s="4" t="s">
        <v>22</v>
      </c>
      <c r="F15949" s="4" t="s">
        <v>80466</v>
      </c>
      <c r="G15949" s="4" t="s">
        <v>80467</v>
      </c>
      <c r="H15949" s="3" t="s">
        <v>79360</v>
      </c>
      <c r="I15949" s="3" t="s">
        <v>80468</v>
      </c>
      <c r="J15949" s="3" t="s">
        <v>80469</v>
      </c>
      <c r="K15949" s="3" t="s">
        <v>80470</v>
      </c>
      <c r="L15949" s="3"/>
      <c r="M15949" s="4"/>
      <c r="N15949" s="3" t="s">
        <v>37</v>
      </c>
      <c r="O15949" s="3" t="s">
        <v>38</v>
      </c>
      <c r="P15949" s="5">
        <v>4</v>
      </c>
      <c r="Q15949" s="5">
        <v>41</v>
      </c>
      <c r="R15949" s="5">
        <v>4</v>
      </c>
      <c r="S15949" s="5">
        <v>48</v>
      </c>
    </row>
    <row r="15950" spans="1:19" ht="28" x14ac:dyDescent="0.15">
      <c r="A15950" s="2">
        <f>HYPERLINK("https://open-school.uspishnemisto.com.ua/school/740254/", 740254)</f>
        <v>740254</v>
      </c>
      <c r="B15950" s="3" t="s">
        <v>80471</v>
      </c>
      <c r="C15950" s="3" t="s">
        <v>31</v>
      </c>
      <c r="D15950" s="3" t="s">
        <v>32</v>
      </c>
      <c r="E15950" s="4" t="s">
        <v>22</v>
      </c>
      <c r="F15950" s="4" t="s">
        <v>80472</v>
      </c>
      <c r="G15950" s="4" t="s">
        <v>80473</v>
      </c>
      <c r="H15950" s="3" t="s">
        <v>79360</v>
      </c>
      <c r="I15950" s="3" t="s">
        <v>5912</v>
      </c>
      <c r="J15950" s="3" t="s">
        <v>48334</v>
      </c>
      <c r="K15950" s="3" t="s">
        <v>80474</v>
      </c>
      <c r="L15950" s="3"/>
      <c r="M15950" s="4"/>
      <c r="N15950" s="3" t="s">
        <v>37</v>
      </c>
      <c r="O15950" s="3" t="s">
        <v>112</v>
      </c>
      <c r="P15950" s="5">
        <v>3</v>
      </c>
      <c r="Q15950" s="5">
        <v>32</v>
      </c>
      <c r="R15950" s="5">
        <v>2</v>
      </c>
      <c r="S15950" s="5">
        <v>27</v>
      </c>
    </row>
    <row r="15951" spans="1:19" ht="28" x14ac:dyDescent="0.15">
      <c r="A15951" s="2">
        <f>HYPERLINK("https://open-school.uspishnemisto.com.ua/school/740255/", 740255)</f>
        <v>740255</v>
      </c>
      <c r="B15951" s="3" t="s">
        <v>80475</v>
      </c>
      <c r="C15951" s="3" t="s">
        <v>31</v>
      </c>
      <c r="D15951" s="3" t="s">
        <v>32</v>
      </c>
      <c r="E15951" s="4" t="s">
        <v>22</v>
      </c>
      <c r="F15951" s="4" t="s">
        <v>80476</v>
      </c>
      <c r="G15951" s="4" t="s">
        <v>80477</v>
      </c>
      <c r="H15951" s="3" t="s">
        <v>79360</v>
      </c>
      <c r="I15951" s="3" t="s">
        <v>2404</v>
      </c>
      <c r="J15951" s="3" t="s">
        <v>5644</v>
      </c>
      <c r="K15951" s="3" t="s">
        <v>80478</v>
      </c>
      <c r="L15951" s="3"/>
      <c r="M15951" s="4"/>
      <c r="N15951" s="3" t="s">
        <v>37</v>
      </c>
      <c r="O15951" s="3" t="s">
        <v>38</v>
      </c>
      <c r="P15951" s="5">
        <v>3</v>
      </c>
      <c r="Q15951" s="5">
        <v>35</v>
      </c>
      <c r="R15951" s="5">
        <v>3</v>
      </c>
      <c r="S15951" s="5">
        <v>35</v>
      </c>
    </row>
    <row r="15952" spans="1:19" ht="28" x14ac:dyDescent="0.15">
      <c r="A15952" s="2">
        <f>HYPERLINK("https://open-school.uspishnemisto.com.ua/school/740256/", 740256)</f>
        <v>740256</v>
      </c>
      <c r="B15952" s="3" t="s">
        <v>80479</v>
      </c>
      <c r="C15952" s="3" t="s">
        <v>31</v>
      </c>
      <c r="D15952" s="3" t="s">
        <v>32</v>
      </c>
      <c r="E15952" s="4" t="s">
        <v>22</v>
      </c>
      <c r="F15952" s="4" t="s">
        <v>80480</v>
      </c>
      <c r="G15952" s="4" t="s">
        <v>80481</v>
      </c>
      <c r="H15952" s="3" t="s">
        <v>79360</v>
      </c>
      <c r="I15952" s="3" t="s">
        <v>80482</v>
      </c>
      <c r="J15952" s="3" t="s">
        <v>80483</v>
      </c>
      <c r="K15952" s="3"/>
      <c r="L15952" s="3" t="s">
        <v>80484</v>
      </c>
      <c r="M15952" s="4"/>
      <c r="N15952" s="3" t="s">
        <v>37</v>
      </c>
      <c r="O15952" s="3" t="s">
        <v>38</v>
      </c>
      <c r="P15952" s="5">
        <v>11</v>
      </c>
      <c r="Q15952" s="5">
        <v>154</v>
      </c>
      <c r="R15952" s="5">
        <v>11</v>
      </c>
      <c r="S15952" s="5">
        <v>129</v>
      </c>
    </row>
    <row r="15953" spans="1:19" ht="28" x14ac:dyDescent="0.15">
      <c r="A15953" s="2">
        <f>HYPERLINK("https://open-school.uspishnemisto.com.ua/school/740259/", 740259)</f>
        <v>740259</v>
      </c>
      <c r="B15953" s="3" t="s">
        <v>80485</v>
      </c>
      <c r="C15953" s="3" t="s">
        <v>31</v>
      </c>
      <c r="D15953" s="3" t="s">
        <v>32</v>
      </c>
      <c r="E15953" s="4" t="s">
        <v>22</v>
      </c>
      <c r="F15953" s="4" t="s">
        <v>80486</v>
      </c>
      <c r="G15953" s="4" t="s">
        <v>80487</v>
      </c>
      <c r="H15953" s="3" t="s">
        <v>79360</v>
      </c>
      <c r="I15953" s="3" t="s">
        <v>80488</v>
      </c>
      <c r="J15953" s="3" t="s">
        <v>16879</v>
      </c>
      <c r="K15953" s="3" t="s">
        <v>80489</v>
      </c>
      <c r="L15953" s="3"/>
      <c r="M15953" s="4"/>
      <c r="N15953" s="3" t="s">
        <v>37</v>
      </c>
      <c r="O15953" s="3" t="s">
        <v>70</v>
      </c>
      <c r="P15953" s="5">
        <v>2</v>
      </c>
      <c r="Q15953" s="5">
        <v>31</v>
      </c>
      <c r="R15953" s="5">
        <v>2</v>
      </c>
      <c r="S15953" s="5">
        <v>31</v>
      </c>
    </row>
    <row r="15954" spans="1:19" ht="28" x14ac:dyDescent="0.15">
      <c r="A15954" s="2">
        <f>HYPERLINK("https://open-school.uspishnemisto.com.ua/school/740260/", 740260)</f>
        <v>740260</v>
      </c>
      <c r="B15954" s="3" t="s">
        <v>80490</v>
      </c>
      <c r="C15954" s="3" t="s">
        <v>31</v>
      </c>
      <c r="D15954" s="3" t="s">
        <v>32</v>
      </c>
      <c r="E15954" s="4" t="s">
        <v>22</v>
      </c>
      <c r="F15954" s="4" t="s">
        <v>80491</v>
      </c>
      <c r="G15954" s="4" t="s">
        <v>80492</v>
      </c>
      <c r="H15954" s="3" t="s">
        <v>79360</v>
      </c>
      <c r="I15954" s="3" t="s">
        <v>80493</v>
      </c>
      <c r="J15954" s="3" t="s">
        <v>466</v>
      </c>
      <c r="K15954" s="3" t="s">
        <v>80494</v>
      </c>
      <c r="L15954" s="3"/>
      <c r="M15954" s="4"/>
      <c r="N15954" s="3" t="s">
        <v>37</v>
      </c>
      <c r="O15954" s="3" t="s">
        <v>70</v>
      </c>
      <c r="P15954" s="5">
        <v>11</v>
      </c>
      <c r="Q15954" s="5">
        <v>132</v>
      </c>
      <c r="R15954" s="5">
        <v>11</v>
      </c>
      <c r="S15954" s="5">
        <v>137</v>
      </c>
    </row>
    <row r="15955" spans="1:19" ht="28" x14ac:dyDescent="0.15">
      <c r="A15955" s="2">
        <f>HYPERLINK("https://open-school.uspishnemisto.com.ua/school/740261/", 740261)</f>
        <v>740261</v>
      </c>
      <c r="B15955" s="3" t="s">
        <v>80495</v>
      </c>
      <c r="C15955" s="3" t="s">
        <v>31</v>
      </c>
      <c r="D15955" s="3" t="s">
        <v>32</v>
      </c>
      <c r="E15955" s="4" t="s">
        <v>22</v>
      </c>
      <c r="F15955" s="4" t="s">
        <v>80496</v>
      </c>
      <c r="G15955" s="4" t="s">
        <v>80497</v>
      </c>
      <c r="H15955" s="3" t="s">
        <v>79360</v>
      </c>
      <c r="I15955" s="3" t="s">
        <v>80498</v>
      </c>
      <c r="J15955" s="3" t="s">
        <v>80499</v>
      </c>
      <c r="K15955" s="3" t="s">
        <v>80500</v>
      </c>
      <c r="L15955" s="3"/>
      <c r="M15955" s="4"/>
      <c r="N15955" s="3" t="s">
        <v>37</v>
      </c>
      <c r="O15955" s="3" t="s">
        <v>38</v>
      </c>
      <c r="P15955" s="5">
        <v>11</v>
      </c>
      <c r="Q15955" s="5">
        <v>125</v>
      </c>
      <c r="R15955" s="5">
        <v>10</v>
      </c>
      <c r="S15955" s="5">
        <v>123</v>
      </c>
    </row>
    <row r="15956" spans="1:19" ht="28" x14ac:dyDescent="0.15">
      <c r="A15956" s="2">
        <f>HYPERLINK("https://open-school.uspishnemisto.com.ua/school/740262/", 740262)</f>
        <v>740262</v>
      </c>
      <c r="B15956" s="3" t="s">
        <v>80501</v>
      </c>
      <c r="C15956" s="3" t="s">
        <v>31</v>
      </c>
      <c r="D15956" s="3" t="s">
        <v>32</v>
      </c>
      <c r="E15956" s="4" t="s">
        <v>22</v>
      </c>
      <c r="F15956" s="4" t="s">
        <v>80502</v>
      </c>
      <c r="G15956" s="4" t="s">
        <v>80503</v>
      </c>
      <c r="H15956" s="3" t="s">
        <v>79360</v>
      </c>
      <c r="I15956" s="3" t="s">
        <v>80504</v>
      </c>
      <c r="J15956" s="3" t="s">
        <v>35577</v>
      </c>
      <c r="K15956" s="3" t="s">
        <v>80505</v>
      </c>
      <c r="L15956" s="3"/>
      <c r="M15956" s="4"/>
      <c r="N15956" s="3" t="s">
        <v>37</v>
      </c>
      <c r="O15956" s="3" t="s">
        <v>38</v>
      </c>
      <c r="P15956" s="5">
        <v>27</v>
      </c>
      <c r="Q15956" s="5">
        <v>595</v>
      </c>
      <c r="R15956" s="5">
        <v>27</v>
      </c>
      <c r="S15956" s="5">
        <v>583</v>
      </c>
    </row>
    <row r="15957" spans="1:19" ht="28" x14ac:dyDescent="0.15">
      <c r="A15957" s="2">
        <f>HYPERLINK("https://open-school.uspishnemisto.com.ua/school/740263/", 740263)</f>
        <v>740263</v>
      </c>
      <c r="B15957" s="3" t="s">
        <v>80506</v>
      </c>
      <c r="C15957" s="3" t="s">
        <v>31</v>
      </c>
      <c r="D15957" s="3" t="s">
        <v>32</v>
      </c>
      <c r="E15957" s="4" t="s">
        <v>22</v>
      </c>
      <c r="F15957" s="4" t="s">
        <v>80507</v>
      </c>
      <c r="G15957" s="4" t="s">
        <v>80508</v>
      </c>
      <c r="H15957" s="3" t="s">
        <v>79360</v>
      </c>
      <c r="I15957" s="3" t="s">
        <v>80509</v>
      </c>
      <c r="J15957" s="3" t="s">
        <v>80510</v>
      </c>
      <c r="K15957" s="3" t="s">
        <v>80511</v>
      </c>
      <c r="L15957" s="3"/>
      <c r="M15957" s="4"/>
      <c r="N15957" s="3" t="s">
        <v>37</v>
      </c>
      <c r="O15957" s="3" t="s">
        <v>38</v>
      </c>
      <c r="P15957" s="5">
        <v>11</v>
      </c>
      <c r="Q15957" s="5">
        <v>167</v>
      </c>
      <c r="R15957" s="5">
        <v>11</v>
      </c>
      <c r="S15957" s="5">
        <v>170</v>
      </c>
    </row>
    <row r="15958" spans="1:19" ht="42" x14ac:dyDescent="0.15">
      <c r="A15958" s="2">
        <f>HYPERLINK("https://open-school.uspishnemisto.com.ua/school/740264/", 740264)</f>
        <v>740264</v>
      </c>
      <c r="B15958" s="3" t="s">
        <v>80512</v>
      </c>
      <c r="C15958" s="3" t="s">
        <v>31</v>
      </c>
      <c r="D15958" s="3" t="s">
        <v>32</v>
      </c>
      <c r="E15958" s="4" t="s">
        <v>22</v>
      </c>
      <c r="F15958" s="4" t="s">
        <v>80513</v>
      </c>
      <c r="G15958" s="4" t="s">
        <v>80514</v>
      </c>
      <c r="H15958" s="3" t="s">
        <v>79360</v>
      </c>
      <c r="I15958" s="3" t="s">
        <v>80515</v>
      </c>
      <c r="J15958" s="3" t="s">
        <v>80516</v>
      </c>
      <c r="K15958" s="3" t="s">
        <v>80517</v>
      </c>
      <c r="L15958" s="3"/>
      <c r="M15958" s="4"/>
      <c r="N15958" s="3" t="s">
        <v>37</v>
      </c>
      <c r="O15958" s="3" t="s">
        <v>38</v>
      </c>
      <c r="P15958" s="5">
        <v>11</v>
      </c>
      <c r="Q15958" s="5">
        <v>128</v>
      </c>
      <c r="R15958" s="5">
        <v>11</v>
      </c>
      <c r="S15958" s="5">
        <v>125</v>
      </c>
    </row>
    <row r="15959" spans="1:19" ht="28" x14ac:dyDescent="0.15">
      <c r="A15959" s="2">
        <f>HYPERLINK("https://open-school.uspishnemisto.com.ua/school/740265/", 740265)</f>
        <v>740265</v>
      </c>
      <c r="B15959" s="3" t="s">
        <v>80518</v>
      </c>
      <c r="C15959" s="3" t="s">
        <v>31</v>
      </c>
      <c r="D15959" s="3" t="s">
        <v>32</v>
      </c>
      <c r="E15959" s="4" t="s">
        <v>22</v>
      </c>
      <c r="F15959" s="4" t="s">
        <v>80519</v>
      </c>
      <c r="G15959" s="4" t="s">
        <v>80520</v>
      </c>
      <c r="H15959" s="3" t="s">
        <v>79360</v>
      </c>
      <c r="I15959" s="3" t="s">
        <v>5179</v>
      </c>
      <c r="J15959" s="3" t="s">
        <v>80521</v>
      </c>
      <c r="K15959" s="3" t="s">
        <v>80522</v>
      </c>
      <c r="L15959" s="3"/>
      <c r="M15959" s="4"/>
      <c r="N15959" s="3" t="s">
        <v>37</v>
      </c>
      <c r="O15959" s="3" t="s">
        <v>38</v>
      </c>
      <c r="P15959" s="5">
        <v>8</v>
      </c>
      <c r="Q15959" s="5">
        <v>57</v>
      </c>
      <c r="R15959" s="5">
        <v>7</v>
      </c>
      <c r="S15959" s="5">
        <v>57</v>
      </c>
    </row>
    <row r="15960" spans="1:19" ht="28" x14ac:dyDescent="0.15">
      <c r="A15960" s="2">
        <f>HYPERLINK("https://open-school.uspishnemisto.com.ua/school/740266/", 740266)</f>
        <v>740266</v>
      </c>
      <c r="B15960" s="3" t="s">
        <v>80523</v>
      </c>
      <c r="C15960" s="3" t="s">
        <v>4989</v>
      </c>
      <c r="D15960" s="3" t="s">
        <v>32</v>
      </c>
      <c r="E15960" s="4" t="s">
        <v>22</v>
      </c>
      <c r="F15960" s="4" t="s">
        <v>80524</v>
      </c>
      <c r="G15960" s="4" t="s">
        <v>80525</v>
      </c>
      <c r="H15960" s="3" t="s">
        <v>79360</v>
      </c>
      <c r="I15960" s="3" t="s">
        <v>80526</v>
      </c>
      <c r="J15960" s="3" t="s">
        <v>718</v>
      </c>
      <c r="K15960" s="3" t="s">
        <v>80527</v>
      </c>
      <c r="L15960" s="3"/>
      <c r="M15960" s="4" t="s">
        <v>80528</v>
      </c>
      <c r="N15960" s="3" t="s">
        <v>37</v>
      </c>
      <c r="O15960" s="3" t="s">
        <v>52</v>
      </c>
      <c r="P15960" s="5">
        <v>11</v>
      </c>
      <c r="Q15960" s="5">
        <v>105</v>
      </c>
      <c r="R15960" s="5">
        <v>11</v>
      </c>
      <c r="S15960" s="5">
        <v>111</v>
      </c>
    </row>
    <row r="15961" spans="1:19" ht="28" x14ac:dyDescent="0.15">
      <c r="A15961" s="2">
        <f>HYPERLINK("https://open-school.uspishnemisto.com.ua/school/740267/", 740267)</f>
        <v>740267</v>
      </c>
      <c r="B15961" s="3" t="s">
        <v>80529</v>
      </c>
      <c r="C15961" s="3" t="s">
        <v>31</v>
      </c>
      <c r="D15961" s="3" t="s">
        <v>32</v>
      </c>
      <c r="E15961" s="4" t="s">
        <v>22</v>
      </c>
      <c r="F15961" s="4" t="s">
        <v>80530</v>
      </c>
      <c r="G15961" s="4" t="s">
        <v>80531</v>
      </c>
      <c r="H15961" s="3" t="s">
        <v>79360</v>
      </c>
      <c r="I15961" s="3" t="s">
        <v>80532</v>
      </c>
      <c r="J15961" s="3" t="s">
        <v>1354</v>
      </c>
      <c r="K15961" s="3" t="s">
        <v>80533</v>
      </c>
      <c r="L15961" s="3" t="s">
        <v>80534</v>
      </c>
      <c r="M15961" s="4"/>
      <c r="N15961" s="3" t="s">
        <v>37</v>
      </c>
      <c r="O15961" s="3" t="s">
        <v>38</v>
      </c>
      <c r="P15961" s="5">
        <v>10</v>
      </c>
      <c r="Q15961" s="5">
        <v>67</v>
      </c>
      <c r="R15961" s="5">
        <v>8</v>
      </c>
      <c r="S15961" s="5">
        <v>62</v>
      </c>
    </row>
    <row r="15962" spans="1:19" ht="28" x14ac:dyDescent="0.15">
      <c r="A15962" s="2">
        <f>HYPERLINK("https://open-school.uspishnemisto.com.ua/school/740268/", 740268)</f>
        <v>740268</v>
      </c>
      <c r="B15962" s="3" t="s">
        <v>80535</v>
      </c>
      <c r="C15962" s="3" t="s">
        <v>31</v>
      </c>
      <c r="D15962" s="3" t="s">
        <v>32</v>
      </c>
      <c r="E15962" s="4" t="s">
        <v>22</v>
      </c>
      <c r="F15962" s="4" t="s">
        <v>80536</v>
      </c>
      <c r="G15962" s="4" t="s">
        <v>80537</v>
      </c>
      <c r="H15962" s="3" t="s">
        <v>79360</v>
      </c>
      <c r="I15962" s="3" t="s">
        <v>80538</v>
      </c>
      <c r="J15962" s="3" t="s">
        <v>30395</v>
      </c>
      <c r="K15962" s="3" t="s">
        <v>80539</v>
      </c>
      <c r="L15962" s="3" t="s">
        <v>80540</v>
      </c>
      <c r="M15962" s="4"/>
      <c r="N15962" s="3" t="s">
        <v>37</v>
      </c>
      <c r="O15962" s="3" t="s">
        <v>38</v>
      </c>
      <c r="P15962" s="5">
        <v>9</v>
      </c>
      <c r="Q15962" s="5">
        <v>69</v>
      </c>
      <c r="R15962" s="5">
        <v>8</v>
      </c>
      <c r="S15962" s="5">
        <v>71</v>
      </c>
    </row>
    <row r="15963" spans="1:19" ht="28" x14ac:dyDescent="0.15">
      <c r="A15963" s="2">
        <f>HYPERLINK("https://open-school.uspishnemisto.com.ua/school/740269/", 740269)</f>
        <v>740269</v>
      </c>
      <c r="B15963" s="3" t="s">
        <v>80541</v>
      </c>
      <c r="C15963" s="3" t="s">
        <v>31</v>
      </c>
      <c r="D15963" s="3" t="s">
        <v>32</v>
      </c>
      <c r="E15963" s="4" t="s">
        <v>22</v>
      </c>
      <c r="F15963" s="4" t="s">
        <v>80542</v>
      </c>
      <c r="G15963" s="4" t="s">
        <v>80543</v>
      </c>
      <c r="H15963" s="3" t="s">
        <v>79360</v>
      </c>
      <c r="I15963" s="3" t="s">
        <v>80544</v>
      </c>
      <c r="J15963" s="3" t="s">
        <v>3393</v>
      </c>
      <c r="K15963" s="3" t="s">
        <v>80545</v>
      </c>
      <c r="L15963" s="3" t="s">
        <v>80546</v>
      </c>
      <c r="M15963" s="4"/>
      <c r="N15963" s="3" t="s">
        <v>37</v>
      </c>
      <c r="O15963" s="3" t="s">
        <v>38</v>
      </c>
      <c r="P15963" s="5">
        <v>3</v>
      </c>
      <c r="Q15963" s="5">
        <v>40</v>
      </c>
      <c r="R15963" s="5">
        <v>6</v>
      </c>
      <c r="S15963" s="5">
        <v>49</v>
      </c>
    </row>
    <row r="15964" spans="1:19" ht="28" x14ac:dyDescent="0.15">
      <c r="A15964" s="2">
        <f>HYPERLINK("https://open-school.uspishnemisto.com.ua/school/740270/", 740270)</f>
        <v>740270</v>
      </c>
      <c r="B15964" s="3" t="s">
        <v>80547</v>
      </c>
      <c r="C15964" s="3" t="s">
        <v>31</v>
      </c>
      <c r="D15964" s="3" t="s">
        <v>175</v>
      </c>
      <c r="E15964" s="4" t="s">
        <v>22</v>
      </c>
      <c r="F15964" s="4" t="s">
        <v>80548</v>
      </c>
      <c r="G15964" s="4" t="s">
        <v>80549</v>
      </c>
      <c r="H15964" s="3" t="s">
        <v>79360</v>
      </c>
      <c r="I15964" s="3" t="s">
        <v>80550</v>
      </c>
      <c r="J15964" s="3" t="s">
        <v>2978</v>
      </c>
      <c r="K15964" s="3" t="s">
        <v>55051</v>
      </c>
      <c r="L15964" s="3"/>
      <c r="M15964" s="4"/>
      <c r="N15964" s="3" t="s">
        <v>37</v>
      </c>
      <c r="O15964" s="3" t="s">
        <v>38</v>
      </c>
      <c r="P15964" s="5">
        <v>2</v>
      </c>
      <c r="Q15964" s="5">
        <v>29</v>
      </c>
      <c r="R15964" s="5">
        <v>3</v>
      </c>
      <c r="S15964" s="5">
        <v>33</v>
      </c>
    </row>
    <row r="15965" spans="1:19" ht="28" x14ac:dyDescent="0.15">
      <c r="A15965" s="2">
        <f>HYPERLINK("https://open-school.uspishnemisto.com.ua/school/740271/", 740271)</f>
        <v>740271</v>
      </c>
      <c r="B15965" s="3" t="s">
        <v>80551</v>
      </c>
      <c r="C15965" s="3" t="s">
        <v>31</v>
      </c>
      <c r="D15965" s="3" t="s">
        <v>32</v>
      </c>
      <c r="E15965" s="4" t="s">
        <v>22</v>
      </c>
      <c r="F15965" s="4" t="s">
        <v>80552</v>
      </c>
      <c r="G15965" s="4" t="s">
        <v>80553</v>
      </c>
      <c r="H15965" s="3" t="s">
        <v>79360</v>
      </c>
      <c r="I15965" s="3" t="s">
        <v>80554</v>
      </c>
      <c r="J15965" s="3" t="s">
        <v>80555</v>
      </c>
      <c r="K15965" s="3" t="s">
        <v>80556</v>
      </c>
      <c r="L15965" s="3"/>
      <c r="M15965" s="4"/>
      <c r="N15965" s="3" t="s">
        <v>37</v>
      </c>
      <c r="O15965" s="3" t="s">
        <v>38</v>
      </c>
      <c r="P15965" s="5">
        <v>8</v>
      </c>
      <c r="Q15965" s="5">
        <v>75</v>
      </c>
      <c r="R15965" s="5">
        <v>8</v>
      </c>
      <c r="S15965" s="5">
        <v>64</v>
      </c>
    </row>
    <row r="15966" spans="1:19" ht="28" x14ac:dyDescent="0.15">
      <c r="A15966" s="2">
        <f>HYPERLINK("https://open-school.uspishnemisto.com.ua/school/740272/", 740272)</f>
        <v>740272</v>
      </c>
      <c r="B15966" s="3" t="s">
        <v>80557</v>
      </c>
      <c r="C15966" s="3" t="s">
        <v>31</v>
      </c>
      <c r="D15966" s="3" t="s">
        <v>32</v>
      </c>
      <c r="E15966" s="4" t="s">
        <v>22</v>
      </c>
      <c r="F15966" s="4" t="s">
        <v>80558</v>
      </c>
      <c r="G15966" s="4" t="s">
        <v>80559</v>
      </c>
      <c r="H15966" s="3" t="s">
        <v>79360</v>
      </c>
      <c r="I15966" s="3" t="s">
        <v>80560</v>
      </c>
      <c r="J15966" s="3" t="s">
        <v>4570</v>
      </c>
      <c r="K15966" s="3" t="s">
        <v>80561</v>
      </c>
      <c r="L15966" s="3"/>
      <c r="M15966" s="4"/>
      <c r="N15966" s="3" t="s">
        <v>37</v>
      </c>
      <c r="O15966" s="3" t="s">
        <v>70</v>
      </c>
      <c r="P15966" s="5">
        <v>8</v>
      </c>
      <c r="Q15966" s="5">
        <v>60</v>
      </c>
      <c r="R15966" s="5">
        <v>9</v>
      </c>
      <c r="S15966" s="5">
        <v>66</v>
      </c>
    </row>
    <row r="15967" spans="1:19" ht="28" x14ac:dyDescent="0.15">
      <c r="A15967" s="2">
        <f>HYPERLINK("https://open-school.uspishnemisto.com.ua/school/740273/", 740273)</f>
        <v>740273</v>
      </c>
      <c r="B15967" s="3" t="s">
        <v>80562</v>
      </c>
      <c r="C15967" s="3" t="s">
        <v>31</v>
      </c>
      <c r="D15967" s="3" t="s">
        <v>32</v>
      </c>
      <c r="E15967" s="4" t="s">
        <v>22</v>
      </c>
      <c r="F15967" s="4" t="s">
        <v>80563</v>
      </c>
      <c r="G15967" s="4" t="s">
        <v>80564</v>
      </c>
      <c r="H15967" s="3" t="s">
        <v>79360</v>
      </c>
      <c r="I15967" s="3" t="s">
        <v>28149</v>
      </c>
      <c r="J15967" s="3" t="s">
        <v>80565</v>
      </c>
      <c r="K15967" s="3" t="s">
        <v>80566</v>
      </c>
      <c r="L15967" s="3"/>
      <c r="M15967" s="4"/>
      <c r="N15967" s="3" t="s">
        <v>37</v>
      </c>
      <c r="O15967" s="3" t="s">
        <v>38</v>
      </c>
      <c r="P15967" s="5">
        <v>10</v>
      </c>
      <c r="Q15967" s="5">
        <v>81</v>
      </c>
      <c r="R15967" s="5">
        <v>11</v>
      </c>
      <c r="S15967" s="5">
        <v>86</v>
      </c>
    </row>
    <row r="15968" spans="1:19" ht="28" x14ac:dyDescent="0.15">
      <c r="A15968" s="2">
        <f>HYPERLINK("https://open-school.uspishnemisto.com.ua/school/740274/", 740274)</f>
        <v>740274</v>
      </c>
      <c r="B15968" s="3" t="s">
        <v>80567</v>
      </c>
      <c r="C15968" s="3" t="s">
        <v>31</v>
      </c>
      <c r="D15968" s="3" t="s">
        <v>32</v>
      </c>
      <c r="E15968" s="4" t="s">
        <v>22</v>
      </c>
      <c r="F15968" s="4" t="s">
        <v>80568</v>
      </c>
      <c r="G15968" s="4" t="s">
        <v>80569</v>
      </c>
      <c r="H15968" s="3" t="s">
        <v>79360</v>
      </c>
      <c r="I15968" s="3" t="s">
        <v>80570</v>
      </c>
      <c r="J15968" s="3" t="s">
        <v>80571</v>
      </c>
      <c r="K15968" s="3" t="s">
        <v>80572</v>
      </c>
      <c r="L15968" s="3"/>
      <c r="M15968" s="4"/>
      <c r="N15968" s="3" t="s">
        <v>37</v>
      </c>
      <c r="O15968" s="3" t="s">
        <v>38</v>
      </c>
      <c r="P15968" s="5">
        <v>7</v>
      </c>
      <c r="Q15968" s="5">
        <v>52</v>
      </c>
      <c r="R15968" s="5">
        <v>7</v>
      </c>
      <c r="S15968" s="5">
        <v>56</v>
      </c>
    </row>
    <row r="15969" spans="1:19" ht="28" x14ac:dyDescent="0.15">
      <c r="A15969" s="2">
        <f>HYPERLINK("https://open-school.uspishnemisto.com.ua/school/740275/", 740275)</f>
        <v>740275</v>
      </c>
      <c r="B15969" s="3" t="s">
        <v>80573</v>
      </c>
      <c r="C15969" s="3" t="s">
        <v>31</v>
      </c>
      <c r="D15969" s="3" t="s">
        <v>32</v>
      </c>
      <c r="E15969" s="4" t="s">
        <v>22</v>
      </c>
      <c r="F15969" s="4" t="s">
        <v>80574</v>
      </c>
      <c r="G15969" s="4" t="s">
        <v>80575</v>
      </c>
      <c r="H15969" s="3" t="s">
        <v>79360</v>
      </c>
      <c r="I15969" s="3" t="s">
        <v>80576</v>
      </c>
      <c r="J15969" s="3" t="s">
        <v>80577</v>
      </c>
      <c r="K15969" s="3" t="s">
        <v>80578</v>
      </c>
      <c r="L15969" s="3"/>
      <c r="M15969" s="4"/>
      <c r="N15969" s="3" t="s">
        <v>37</v>
      </c>
      <c r="O15969" s="3" t="s">
        <v>38</v>
      </c>
      <c r="P15969" s="5">
        <v>4</v>
      </c>
      <c r="Q15969" s="5">
        <v>49</v>
      </c>
      <c r="R15969" s="5">
        <v>4</v>
      </c>
      <c r="S15969" s="5">
        <v>54</v>
      </c>
    </row>
    <row r="15970" spans="1:19" ht="56" x14ac:dyDescent="0.15">
      <c r="A15970" s="2">
        <f>HYPERLINK("https://open-school.uspishnemisto.com.ua/school/740276/", 740276)</f>
        <v>740276</v>
      </c>
      <c r="B15970" s="3" t="s">
        <v>80579</v>
      </c>
      <c r="C15970" s="3" t="s">
        <v>54</v>
      </c>
      <c r="D15970" s="3" t="s">
        <v>32</v>
      </c>
      <c r="E15970" s="4" t="s">
        <v>22</v>
      </c>
      <c r="F15970" s="4" t="s">
        <v>80580</v>
      </c>
      <c r="G15970" s="4" t="s">
        <v>80581</v>
      </c>
      <c r="H15970" s="3" t="s">
        <v>79360</v>
      </c>
      <c r="I15970" s="3" t="s">
        <v>80582</v>
      </c>
      <c r="J15970" s="3" t="s">
        <v>80583</v>
      </c>
      <c r="K15970" s="3" t="s">
        <v>80584</v>
      </c>
      <c r="L15970" s="3" t="s">
        <v>80585</v>
      </c>
      <c r="M15970" s="4"/>
      <c r="N15970" s="3" t="s">
        <v>37</v>
      </c>
      <c r="O15970" s="3" t="s">
        <v>38</v>
      </c>
      <c r="P15970" s="5">
        <v>11</v>
      </c>
      <c r="Q15970" s="5">
        <v>119</v>
      </c>
      <c r="R15970" s="5">
        <v>11</v>
      </c>
      <c r="S15970" s="5">
        <v>110</v>
      </c>
    </row>
    <row r="15971" spans="1:19" ht="28" x14ac:dyDescent="0.15">
      <c r="A15971" s="2">
        <f>HYPERLINK("https://open-school.uspishnemisto.com.ua/school/740277/", 740277)</f>
        <v>740277</v>
      </c>
      <c r="B15971" s="3" t="s">
        <v>80586</v>
      </c>
      <c r="C15971" s="3" t="s">
        <v>31</v>
      </c>
      <c r="D15971" s="3" t="s">
        <v>32</v>
      </c>
      <c r="E15971" s="4" t="s">
        <v>22</v>
      </c>
      <c r="F15971" s="4" t="s">
        <v>80587</v>
      </c>
      <c r="G15971" s="4" t="s">
        <v>80588</v>
      </c>
      <c r="H15971" s="3" t="s">
        <v>79360</v>
      </c>
      <c r="I15971" s="3" t="s">
        <v>80589</v>
      </c>
      <c r="J15971" s="3" t="s">
        <v>80590</v>
      </c>
      <c r="K15971" s="3" t="s">
        <v>80591</v>
      </c>
      <c r="L15971" s="3"/>
      <c r="M15971" s="4"/>
      <c r="N15971" s="3" t="s">
        <v>37</v>
      </c>
      <c r="O15971" s="3" t="s">
        <v>38</v>
      </c>
      <c r="P15971" s="5">
        <v>10</v>
      </c>
      <c r="Q15971" s="5">
        <v>77</v>
      </c>
      <c r="R15971" s="5">
        <v>9</v>
      </c>
      <c r="S15971" s="5">
        <v>78</v>
      </c>
    </row>
    <row r="15972" spans="1:19" ht="28" x14ac:dyDescent="0.15">
      <c r="A15972" s="2">
        <f>HYPERLINK("https://open-school.uspishnemisto.com.ua/school/740278/", 740278)</f>
        <v>740278</v>
      </c>
      <c r="B15972" s="3" t="s">
        <v>80592</v>
      </c>
      <c r="C15972" s="3" t="s">
        <v>31</v>
      </c>
      <c r="D15972" s="3" t="s">
        <v>32</v>
      </c>
      <c r="E15972" s="4" t="s">
        <v>22</v>
      </c>
      <c r="F15972" s="4" t="s">
        <v>80593</v>
      </c>
      <c r="G15972" s="4" t="s">
        <v>80594</v>
      </c>
      <c r="H15972" s="3" t="s">
        <v>79360</v>
      </c>
      <c r="I15972" s="3" t="s">
        <v>80595</v>
      </c>
      <c r="J15972" s="3" t="s">
        <v>7668</v>
      </c>
      <c r="K15972" s="3" t="s">
        <v>80596</v>
      </c>
      <c r="L15972" s="3" t="s">
        <v>80597</v>
      </c>
      <c r="M15972" s="4"/>
      <c r="N15972" s="3" t="s">
        <v>37</v>
      </c>
      <c r="O15972" s="3" t="s">
        <v>38</v>
      </c>
      <c r="P15972" s="5">
        <v>11</v>
      </c>
      <c r="Q15972" s="5">
        <v>92</v>
      </c>
      <c r="R15972" s="5">
        <v>11</v>
      </c>
      <c r="S15972" s="5">
        <v>93</v>
      </c>
    </row>
    <row r="15973" spans="1:19" ht="28" x14ac:dyDescent="0.15">
      <c r="A15973" s="2">
        <f>HYPERLINK("https://open-school.uspishnemisto.com.ua/school/740279/", 740279)</f>
        <v>740279</v>
      </c>
      <c r="B15973" s="3" t="s">
        <v>80598</v>
      </c>
      <c r="C15973" s="3" t="s">
        <v>40</v>
      </c>
      <c r="D15973" s="3" t="s">
        <v>32</v>
      </c>
      <c r="E15973" s="4" t="s">
        <v>22</v>
      </c>
      <c r="F15973" s="4" t="s">
        <v>80599</v>
      </c>
      <c r="G15973" s="4" t="s">
        <v>80600</v>
      </c>
      <c r="H15973" s="3" t="s">
        <v>79360</v>
      </c>
      <c r="I15973" s="3" t="s">
        <v>80601</v>
      </c>
      <c r="J15973" s="3" t="s">
        <v>80602</v>
      </c>
      <c r="K15973" s="3" t="s">
        <v>80603</v>
      </c>
      <c r="L15973" s="3" t="s">
        <v>80604</v>
      </c>
      <c r="M15973" s="4"/>
      <c r="N15973" s="3" t="s">
        <v>37</v>
      </c>
      <c r="O15973" s="3" t="s">
        <v>38</v>
      </c>
      <c r="P15973" s="5">
        <v>8</v>
      </c>
      <c r="Q15973" s="5">
        <v>192</v>
      </c>
      <c r="R15973" s="5">
        <v>7</v>
      </c>
      <c r="S15973" s="5">
        <v>156</v>
      </c>
    </row>
    <row r="15974" spans="1:19" ht="28" x14ac:dyDescent="0.15">
      <c r="A15974" s="2">
        <f>HYPERLINK("https://open-school.uspishnemisto.com.ua/school/740280/", 740280)</f>
        <v>740280</v>
      </c>
      <c r="B15974" s="3" t="s">
        <v>80605</v>
      </c>
      <c r="C15974" s="3" t="s">
        <v>31</v>
      </c>
      <c r="D15974" s="3" t="s">
        <v>60</v>
      </c>
      <c r="E15974" s="4" t="s">
        <v>22</v>
      </c>
      <c r="F15974" s="4" t="s">
        <v>80599</v>
      </c>
      <c r="G15974" s="4" t="s">
        <v>80600</v>
      </c>
      <c r="H15974" s="3" t="s">
        <v>79360</v>
      </c>
      <c r="I15974" s="3" t="s">
        <v>80601</v>
      </c>
      <c r="J15974" s="3" t="s">
        <v>80602</v>
      </c>
      <c r="K15974" s="3" t="s">
        <v>80606</v>
      </c>
      <c r="L15974" s="3"/>
      <c r="M15974" s="4"/>
      <c r="N15974" s="3" t="s">
        <v>37</v>
      </c>
      <c r="O15974" s="3" t="s">
        <v>52</v>
      </c>
      <c r="P15974" s="5">
        <v>5</v>
      </c>
      <c r="Q15974" s="5">
        <v>136</v>
      </c>
      <c r="R15974" s="5">
        <v>5</v>
      </c>
      <c r="S15974" s="5">
        <v>134</v>
      </c>
    </row>
    <row r="15975" spans="1:19" ht="28" x14ac:dyDescent="0.15">
      <c r="A15975" s="2">
        <f>HYPERLINK("https://open-school.uspishnemisto.com.ua/school/740281/", 740281)</f>
        <v>740281</v>
      </c>
      <c r="B15975" s="3" t="s">
        <v>80607</v>
      </c>
      <c r="C15975" s="3" t="s">
        <v>31</v>
      </c>
      <c r="D15975" s="3" t="s">
        <v>60</v>
      </c>
      <c r="E15975" s="4" t="s">
        <v>22</v>
      </c>
      <c r="F15975" s="4" t="s">
        <v>80599</v>
      </c>
      <c r="G15975" s="4" t="s">
        <v>80600</v>
      </c>
      <c r="H15975" s="3" t="s">
        <v>79360</v>
      </c>
      <c r="I15975" s="3" t="s">
        <v>80601</v>
      </c>
      <c r="J15975" s="3" t="s">
        <v>80608</v>
      </c>
      <c r="K15975" s="3" t="s">
        <v>80609</v>
      </c>
      <c r="L15975" s="3"/>
      <c r="M15975" s="4"/>
      <c r="N15975" s="3" t="s">
        <v>37</v>
      </c>
      <c r="O15975" s="3" t="s">
        <v>52</v>
      </c>
      <c r="P15975" s="5">
        <v>4</v>
      </c>
      <c r="Q15975" s="5">
        <v>33</v>
      </c>
      <c r="R15975" s="5">
        <v>4</v>
      </c>
      <c r="S15975" s="5">
        <v>30</v>
      </c>
    </row>
    <row r="15976" spans="1:19" ht="28" x14ac:dyDescent="0.15">
      <c r="A15976" s="2">
        <f>HYPERLINK("https://open-school.uspishnemisto.com.ua/school/740282/", 740282)</f>
        <v>740282</v>
      </c>
      <c r="B15976" s="3" t="s">
        <v>80610</v>
      </c>
      <c r="C15976" s="3" t="s">
        <v>31</v>
      </c>
      <c r="D15976" s="3" t="s">
        <v>32</v>
      </c>
      <c r="E15976" s="4" t="s">
        <v>22</v>
      </c>
      <c r="F15976" s="4" t="s">
        <v>80599</v>
      </c>
      <c r="G15976" s="4" t="s">
        <v>80600</v>
      </c>
      <c r="H15976" s="3" t="s">
        <v>79360</v>
      </c>
      <c r="I15976" s="3" t="s">
        <v>80601</v>
      </c>
      <c r="J15976" s="3" t="s">
        <v>18645</v>
      </c>
      <c r="K15976" s="3" t="s">
        <v>80611</v>
      </c>
      <c r="L15976" s="3"/>
      <c r="M15976" s="4"/>
      <c r="N15976" s="3" t="s">
        <v>37</v>
      </c>
      <c r="O15976" s="3" t="s">
        <v>38</v>
      </c>
      <c r="P15976" s="5">
        <v>27</v>
      </c>
      <c r="Q15976" s="5">
        <v>697</v>
      </c>
      <c r="R15976" s="5">
        <v>27</v>
      </c>
      <c r="S15976" s="5">
        <v>722</v>
      </c>
    </row>
    <row r="15977" spans="1:19" ht="28" x14ac:dyDescent="0.15">
      <c r="A15977" s="2">
        <f>HYPERLINK("https://open-school.uspishnemisto.com.ua/school/740283/", 740283)</f>
        <v>740283</v>
      </c>
      <c r="B15977" s="3" t="s">
        <v>80612</v>
      </c>
      <c r="C15977" s="3" t="s">
        <v>31</v>
      </c>
      <c r="D15977" s="3" t="s">
        <v>32</v>
      </c>
      <c r="E15977" s="4" t="s">
        <v>22</v>
      </c>
      <c r="F15977" s="4" t="s">
        <v>80599</v>
      </c>
      <c r="G15977" s="4" t="s">
        <v>80600</v>
      </c>
      <c r="H15977" s="3" t="s">
        <v>79360</v>
      </c>
      <c r="I15977" s="3" t="s">
        <v>80601</v>
      </c>
      <c r="J15977" s="3" t="s">
        <v>80613</v>
      </c>
      <c r="K15977" s="3" t="s">
        <v>80614</v>
      </c>
      <c r="L15977" s="3"/>
      <c r="M15977" s="4"/>
      <c r="N15977" s="3" t="s">
        <v>37</v>
      </c>
      <c r="O15977" s="3" t="s">
        <v>70</v>
      </c>
      <c r="P15977" s="5">
        <v>18</v>
      </c>
      <c r="Q15977" s="5">
        <v>432</v>
      </c>
      <c r="R15977" s="5">
        <v>18</v>
      </c>
      <c r="S15977" s="5">
        <v>435</v>
      </c>
    </row>
    <row r="15978" spans="1:19" ht="28" x14ac:dyDescent="0.15">
      <c r="A15978" s="2">
        <f>HYPERLINK("https://open-school.uspishnemisto.com.ua/school/740284/", 740284)</f>
        <v>740284</v>
      </c>
      <c r="B15978" s="3" t="s">
        <v>80615</v>
      </c>
      <c r="C15978" s="3" t="s">
        <v>31</v>
      </c>
      <c r="D15978" s="3" t="s">
        <v>32</v>
      </c>
      <c r="E15978" s="4" t="s">
        <v>22</v>
      </c>
      <c r="F15978" s="4" t="s">
        <v>80616</v>
      </c>
      <c r="G15978" s="4" t="s">
        <v>80617</v>
      </c>
      <c r="H15978" s="3" t="s">
        <v>79360</v>
      </c>
      <c r="I15978" s="3" t="s">
        <v>80618</v>
      </c>
      <c r="J15978" s="3" t="s">
        <v>45518</v>
      </c>
      <c r="K15978" s="3" t="s">
        <v>80619</v>
      </c>
      <c r="L15978" s="3"/>
      <c r="M15978" s="4"/>
      <c r="N15978" s="3" t="s">
        <v>37</v>
      </c>
      <c r="O15978" s="3" t="s">
        <v>70</v>
      </c>
      <c r="P15978" s="5">
        <v>13</v>
      </c>
      <c r="Q15978" s="5">
        <v>295</v>
      </c>
      <c r="R15978" s="5">
        <v>13</v>
      </c>
      <c r="S15978" s="5">
        <v>298</v>
      </c>
    </row>
    <row r="15979" spans="1:19" ht="28" x14ac:dyDescent="0.15">
      <c r="A15979" s="2">
        <f>HYPERLINK("https://open-school.uspishnemisto.com.ua/school/740285/", 740285)</f>
        <v>740285</v>
      </c>
      <c r="B15979" s="3" t="s">
        <v>80620</v>
      </c>
      <c r="C15979" s="3" t="s">
        <v>31</v>
      </c>
      <c r="D15979" s="3" t="s">
        <v>32</v>
      </c>
      <c r="E15979" s="4" t="s">
        <v>22</v>
      </c>
      <c r="F15979" s="4" t="s">
        <v>80621</v>
      </c>
      <c r="G15979" s="4" t="s">
        <v>80622</v>
      </c>
      <c r="H15979" s="3" t="s">
        <v>79360</v>
      </c>
      <c r="I15979" s="3" t="s">
        <v>1291</v>
      </c>
      <c r="J15979" s="3" t="s">
        <v>21177</v>
      </c>
      <c r="K15979" s="3" t="s">
        <v>80623</v>
      </c>
      <c r="L15979" s="3"/>
      <c r="M15979" s="4"/>
      <c r="N15979" s="3" t="s">
        <v>37</v>
      </c>
      <c r="O15979" s="3" t="s">
        <v>38</v>
      </c>
      <c r="P15979" s="5">
        <v>9</v>
      </c>
      <c r="Q15979" s="5">
        <v>70</v>
      </c>
      <c r="R15979" s="5">
        <v>10</v>
      </c>
      <c r="S15979" s="5">
        <v>72</v>
      </c>
    </row>
    <row r="15980" spans="1:19" ht="28" x14ac:dyDescent="0.15">
      <c r="A15980" s="2">
        <f>HYPERLINK("https://open-school.uspishnemisto.com.ua/school/740286/", 740286)</f>
        <v>740286</v>
      </c>
      <c r="B15980" s="3" t="s">
        <v>80624</v>
      </c>
      <c r="C15980" s="3" t="s">
        <v>31</v>
      </c>
      <c r="D15980" s="3" t="s">
        <v>175</v>
      </c>
      <c r="E15980" s="4" t="s">
        <v>22</v>
      </c>
      <c r="F15980" s="4" t="s">
        <v>80625</v>
      </c>
      <c r="G15980" s="4" t="s">
        <v>80626</v>
      </c>
      <c r="H15980" s="3" t="s">
        <v>79360</v>
      </c>
      <c r="I15980" s="3" t="s">
        <v>80627</v>
      </c>
      <c r="J15980" s="3" t="s">
        <v>5671</v>
      </c>
      <c r="K15980" s="3" t="s">
        <v>80628</v>
      </c>
      <c r="L15980" s="3"/>
      <c r="M15980" s="4"/>
      <c r="N15980" s="3" t="s">
        <v>37</v>
      </c>
      <c r="O15980" s="3" t="s">
        <v>38</v>
      </c>
      <c r="P15980" s="5">
        <v>4</v>
      </c>
      <c r="Q15980" s="5">
        <v>40</v>
      </c>
      <c r="R15980" s="5">
        <v>4</v>
      </c>
      <c r="S15980" s="5">
        <v>38</v>
      </c>
    </row>
    <row r="15981" spans="1:19" ht="28" x14ac:dyDescent="0.15">
      <c r="A15981" s="2">
        <f>HYPERLINK("https://open-school.uspishnemisto.com.ua/school/740287/", 740287)</f>
        <v>740287</v>
      </c>
      <c r="B15981" s="3" t="s">
        <v>80629</v>
      </c>
      <c r="C15981" s="3" t="s">
        <v>31</v>
      </c>
      <c r="D15981" s="3" t="s">
        <v>175</v>
      </c>
      <c r="E15981" s="4" t="s">
        <v>22</v>
      </c>
      <c r="F15981" s="4" t="s">
        <v>80630</v>
      </c>
      <c r="G15981" s="4" t="s">
        <v>80631</v>
      </c>
      <c r="H15981" s="3" t="s">
        <v>79360</v>
      </c>
      <c r="I15981" s="3" t="s">
        <v>80632</v>
      </c>
      <c r="J15981" s="3" t="s">
        <v>80633</v>
      </c>
      <c r="K15981" s="3" t="s">
        <v>80634</v>
      </c>
      <c r="L15981" s="3"/>
      <c r="M15981" s="4"/>
      <c r="N15981" s="3" t="s">
        <v>37</v>
      </c>
      <c r="O15981" s="3" t="s">
        <v>38</v>
      </c>
      <c r="P15981" s="5">
        <v>2</v>
      </c>
      <c r="Q15981" s="5">
        <v>28</v>
      </c>
      <c r="R15981" s="5">
        <v>2</v>
      </c>
      <c r="S15981" s="5">
        <v>25</v>
      </c>
    </row>
    <row r="15982" spans="1:19" ht="28" x14ac:dyDescent="0.15">
      <c r="A15982" s="2">
        <f>HYPERLINK("https://open-school.uspishnemisto.com.ua/school/740288/", 740288)</f>
        <v>740288</v>
      </c>
      <c r="B15982" s="3" t="s">
        <v>80635</v>
      </c>
      <c r="C15982" s="3" t="s">
        <v>31</v>
      </c>
      <c r="D15982" s="3" t="s">
        <v>175</v>
      </c>
      <c r="E15982" s="4" t="s">
        <v>22</v>
      </c>
      <c r="F15982" s="4" t="s">
        <v>80636</v>
      </c>
      <c r="G15982" s="4" t="s">
        <v>80637</v>
      </c>
      <c r="H15982" s="3" t="s">
        <v>79360</v>
      </c>
      <c r="I15982" s="3" t="s">
        <v>80638</v>
      </c>
      <c r="J15982" s="3" t="s">
        <v>80639</v>
      </c>
      <c r="K15982" s="3" t="s">
        <v>80640</v>
      </c>
      <c r="L15982" s="3"/>
      <c r="M15982" s="4"/>
      <c r="N15982" s="3" t="s">
        <v>37</v>
      </c>
      <c r="O15982" s="3" t="s">
        <v>38</v>
      </c>
      <c r="P15982" s="5">
        <v>6</v>
      </c>
      <c r="Q15982" s="5">
        <v>49</v>
      </c>
      <c r="R15982" s="5">
        <v>6</v>
      </c>
      <c r="S15982" s="5">
        <v>55</v>
      </c>
    </row>
    <row r="15983" spans="1:19" ht="28" x14ac:dyDescent="0.15">
      <c r="A15983" s="2">
        <f>HYPERLINK("https://open-school.uspishnemisto.com.ua/school/740289/", 740289)</f>
        <v>740289</v>
      </c>
      <c r="B15983" s="3" t="s">
        <v>80641</v>
      </c>
      <c r="C15983" s="3" t="s">
        <v>31</v>
      </c>
      <c r="D15983" s="3" t="s">
        <v>32</v>
      </c>
      <c r="E15983" s="4" t="s">
        <v>22</v>
      </c>
      <c r="F15983" s="4" t="s">
        <v>80642</v>
      </c>
      <c r="G15983" s="4" t="s">
        <v>80643</v>
      </c>
      <c r="H15983" s="3" t="s">
        <v>79360</v>
      </c>
      <c r="I15983" s="3" t="s">
        <v>80644</v>
      </c>
      <c r="J15983" s="3" t="s">
        <v>80645</v>
      </c>
      <c r="K15983" s="3" t="s">
        <v>80646</v>
      </c>
      <c r="L15983" s="3"/>
      <c r="M15983" s="4"/>
      <c r="N15983" s="3" t="s">
        <v>37</v>
      </c>
      <c r="O15983" s="3" t="s">
        <v>13272</v>
      </c>
      <c r="P15983" s="5">
        <v>11</v>
      </c>
      <c r="Q15983" s="5">
        <v>138</v>
      </c>
      <c r="R15983" s="5">
        <v>11</v>
      </c>
      <c r="S15983" s="5">
        <v>148</v>
      </c>
    </row>
    <row r="15984" spans="1:19" ht="28" x14ac:dyDescent="0.15">
      <c r="A15984" s="2">
        <f>HYPERLINK("https://open-school.uspishnemisto.com.ua/school/740290/", 740290)</f>
        <v>740290</v>
      </c>
      <c r="B15984" s="3" t="s">
        <v>80647</v>
      </c>
      <c r="C15984" s="3" t="s">
        <v>31</v>
      </c>
      <c r="D15984" s="3" t="s">
        <v>32</v>
      </c>
      <c r="E15984" s="4" t="s">
        <v>22</v>
      </c>
      <c r="F15984" s="4" t="s">
        <v>80648</v>
      </c>
      <c r="G15984" s="4" t="s">
        <v>80649</v>
      </c>
      <c r="H15984" s="3" t="s">
        <v>79360</v>
      </c>
      <c r="I15984" s="3" t="s">
        <v>58881</v>
      </c>
      <c r="J15984" s="3" t="s">
        <v>80650</v>
      </c>
      <c r="K15984" s="3" t="s">
        <v>80651</v>
      </c>
      <c r="L15984" s="3"/>
      <c r="M15984" s="4"/>
      <c r="N15984" s="3" t="s">
        <v>37</v>
      </c>
      <c r="O15984" s="3" t="s">
        <v>38</v>
      </c>
      <c r="P15984" s="5">
        <v>11</v>
      </c>
      <c r="Q15984" s="5">
        <v>160</v>
      </c>
      <c r="R15984" s="5">
        <v>11</v>
      </c>
      <c r="S15984" s="5">
        <v>162</v>
      </c>
    </row>
    <row r="15985" spans="1:19" ht="28" x14ac:dyDescent="0.15">
      <c r="A15985" s="2">
        <f>HYPERLINK("https://open-school.uspishnemisto.com.ua/school/740291/", 740291)</f>
        <v>740291</v>
      </c>
      <c r="B15985" s="3" t="s">
        <v>80652</v>
      </c>
      <c r="C15985" s="3" t="s">
        <v>31</v>
      </c>
      <c r="D15985" s="3" t="s">
        <v>175</v>
      </c>
      <c r="E15985" s="4" t="s">
        <v>22</v>
      </c>
      <c r="F15985" s="4" t="s">
        <v>80653</v>
      </c>
      <c r="G15985" s="4" t="s">
        <v>80654</v>
      </c>
      <c r="H15985" s="3" t="s">
        <v>79360</v>
      </c>
      <c r="I15985" s="3" t="s">
        <v>80655</v>
      </c>
      <c r="J15985" s="3" t="s">
        <v>13569</v>
      </c>
      <c r="K15985" s="3" t="s">
        <v>80656</v>
      </c>
      <c r="L15985" s="3"/>
      <c r="M15985" s="4"/>
      <c r="N15985" s="3" t="s">
        <v>37</v>
      </c>
      <c r="O15985" s="3" t="s">
        <v>38</v>
      </c>
      <c r="P15985" s="5">
        <v>3</v>
      </c>
      <c r="Q15985" s="5">
        <v>32</v>
      </c>
      <c r="R15985" s="5">
        <v>4</v>
      </c>
      <c r="S15985" s="5">
        <v>34</v>
      </c>
    </row>
    <row r="15986" spans="1:19" ht="28" x14ac:dyDescent="0.15">
      <c r="A15986" s="2">
        <f>HYPERLINK("https://open-school.uspishnemisto.com.ua/school/740292/", 740292)</f>
        <v>740292</v>
      </c>
      <c r="B15986" s="3" t="s">
        <v>80657</v>
      </c>
      <c r="C15986" s="3" t="s">
        <v>31</v>
      </c>
      <c r="D15986" s="3" t="s">
        <v>32</v>
      </c>
      <c r="E15986" s="4" t="s">
        <v>22</v>
      </c>
      <c r="F15986" s="4" t="s">
        <v>80658</v>
      </c>
      <c r="G15986" s="4" t="s">
        <v>80659</v>
      </c>
      <c r="H15986" s="3" t="s">
        <v>79360</v>
      </c>
      <c r="I15986" s="3" t="s">
        <v>80660</v>
      </c>
      <c r="J15986" s="3" t="s">
        <v>5492</v>
      </c>
      <c r="K15986" s="3" t="s">
        <v>80661</v>
      </c>
      <c r="L15986" s="3"/>
      <c r="M15986" s="4"/>
      <c r="N15986" s="3" t="s">
        <v>37</v>
      </c>
      <c r="O15986" s="3" t="s">
        <v>38</v>
      </c>
      <c r="P15986" s="5">
        <v>9</v>
      </c>
      <c r="Q15986" s="5">
        <v>83</v>
      </c>
      <c r="R15986" s="5">
        <v>8</v>
      </c>
      <c r="S15986" s="5">
        <v>86</v>
      </c>
    </row>
    <row r="15987" spans="1:19" ht="28" x14ac:dyDescent="0.15">
      <c r="A15987" s="2">
        <f>HYPERLINK("https://open-school.uspishnemisto.com.ua/school/740293/", 740293)</f>
        <v>740293</v>
      </c>
      <c r="B15987" s="3" t="s">
        <v>80662</v>
      </c>
      <c r="C15987" s="3" t="s">
        <v>31</v>
      </c>
      <c r="D15987" s="3" t="s">
        <v>175</v>
      </c>
      <c r="E15987" s="4" t="s">
        <v>22</v>
      </c>
      <c r="F15987" s="4" t="s">
        <v>80663</v>
      </c>
      <c r="G15987" s="4" t="s">
        <v>80664</v>
      </c>
      <c r="H15987" s="3" t="s">
        <v>79360</v>
      </c>
      <c r="I15987" s="3" t="s">
        <v>80665</v>
      </c>
      <c r="J15987" s="3" t="s">
        <v>42777</v>
      </c>
      <c r="K15987" s="3" t="s">
        <v>80666</v>
      </c>
      <c r="L15987" s="3"/>
      <c r="M15987" s="4"/>
      <c r="N15987" s="3" t="s">
        <v>37</v>
      </c>
      <c r="O15987" s="3" t="s">
        <v>38</v>
      </c>
      <c r="P15987" s="5">
        <v>9</v>
      </c>
      <c r="Q15987" s="5">
        <v>56</v>
      </c>
      <c r="R15987" s="5">
        <v>9</v>
      </c>
      <c r="S15987" s="5">
        <v>57</v>
      </c>
    </row>
    <row r="15988" spans="1:19" ht="28" x14ac:dyDescent="0.15">
      <c r="A15988" s="2">
        <f>HYPERLINK("https://open-school.uspishnemisto.com.ua/school/740294/", 740294)</f>
        <v>740294</v>
      </c>
      <c r="B15988" s="3" t="s">
        <v>80667</v>
      </c>
      <c r="C15988" s="3" t="s">
        <v>31</v>
      </c>
      <c r="D15988" s="3" t="s">
        <v>175</v>
      </c>
      <c r="E15988" s="4" t="s">
        <v>22</v>
      </c>
      <c r="F15988" s="4" t="s">
        <v>80668</v>
      </c>
      <c r="G15988" s="4" t="s">
        <v>80669</v>
      </c>
      <c r="H15988" s="3" t="s">
        <v>79360</v>
      </c>
      <c r="I15988" s="3" t="s">
        <v>80670</v>
      </c>
      <c r="J15988" s="3" t="s">
        <v>80671</v>
      </c>
      <c r="K15988" s="3" t="s">
        <v>80672</v>
      </c>
      <c r="L15988" s="3"/>
      <c r="M15988" s="4"/>
      <c r="N15988" s="3" t="s">
        <v>37</v>
      </c>
      <c r="O15988" s="3" t="s">
        <v>38</v>
      </c>
      <c r="P15988" s="5">
        <v>3</v>
      </c>
      <c r="Q15988" s="5">
        <v>30</v>
      </c>
      <c r="R15988" s="5">
        <v>4</v>
      </c>
      <c r="S15988" s="5">
        <v>45</v>
      </c>
    </row>
    <row r="15989" spans="1:19" ht="28" x14ac:dyDescent="0.15">
      <c r="A15989" s="2">
        <f>HYPERLINK("https://open-school.uspishnemisto.com.ua/school/740295/", 740295)</f>
        <v>740295</v>
      </c>
      <c r="B15989" s="3" t="s">
        <v>80673</v>
      </c>
      <c r="C15989" s="3" t="s">
        <v>31</v>
      </c>
      <c r="D15989" s="3" t="s">
        <v>32</v>
      </c>
      <c r="E15989" s="4" t="s">
        <v>22</v>
      </c>
      <c r="F15989" s="4" t="s">
        <v>80674</v>
      </c>
      <c r="G15989" s="4" t="s">
        <v>80675</v>
      </c>
      <c r="H15989" s="3" t="s">
        <v>79360</v>
      </c>
      <c r="I15989" s="3" t="s">
        <v>80676</v>
      </c>
      <c r="J15989" s="3" t="s">
        <v>1636</v>
      </c>
      <c r="K15989" s="3" t="s">
        <v>80677</v>
      </c>
      <c r="L15989" s="3"/>
      <c r="M15989" s="4"/>
      <c r="N15989" s="3" t="s">
        <v>37</v>
      </c>
      <c r="O15989" s="3" t="s">
        <v>112</v>
      </c>
      <c r="P15989" s="5">
        <v>10</v>
      </c>
      <c r="Q15989" s="5">
        <v>71</v>
      </c>
      <c r="R15989" s="5">
        <v>10</v>
      </c>
      <c r="S15989" s="5">
        <v>70</v>
      </c>
    </row>
    <row r="15990" spans="1:19" ht="28" x14ac:dyDescent="0.15">
      <c r="A15990" s="2">
        <f>HYPERLINK("https://open-school.uspishnemisto.com.ua/school/740296/", 740296)</f>
        <v>740296</v>
      </c>
      <c r="B15990" s="3" t="s">
        <v>80678</v>
      </c>
      <c r="C15990" s="3" t="s">
        <v>31</v>
      </c>
      <c r="D15990" s="3" t="s">
        <v>32</v>
      </c>
      <c r="E15990" s="4" t="s">
        <v>22</v>
      </c>
      <c r="F15990" s="4" t="s">
        <v>80679</v>
      </c>
      <c r="G15990" s="4" t="s">
        <v>80680</v>
      </c>
      <c r="H15990" s="3" t="s">
        <v>79360</v>
      </c>
      <c r="I15990" s="3" t="s">
        <v>80681</v>
      </c>
      <c r="J15990" s="3" t="s">
        <v>80682</v>
      </c>
      <c r="K15990" s="3" t="s">
        <v>80683</v>
      </c>
      <c r="L15990" s="3"/>
      <c r="M15990" s="4"/>
      <c r="N15990" s="3" t="s">
        <v>37</v>
      </c>
      <c r="O15990" s="3" t="s">
        <v>70</v>
      </c>
      <c r="P15990" s="5">
        <v>10</v>
      </c>
      <c r="Q15990" s="5">
        <v>85</v>
      </c>
      <c r="R15990" s="5">
        <v>9</v>
      </c>
      <c r="S15990" s="5">
        <v>80</v>
      </c>
    </row>
    <row r="15991" spans="1:19" ht="28" x14ac:dyDescent="0.15">
      <c r="A15991" s="2">
        <f>HYPERLINK("https://open-school.uspishnemisto.com.ua/school/740297/", 740297)</f>
        <v>740297</v>
      </c>
      <c r="B15991" s="3" t="s">
        <v>80684</v>
      </c>
      <c r="C15991" s="3" t="s">
        <v>31</v>
      </c>
      <c r="D15991" s="3" t="s">
        <v>32</v>
      </c>
      <c r="E15991" s="4" t="s">
        <v>22</v>
      </c>
      <c r="F15991" s="4" t="s">
        <v>80685</v>
      </c>
      <c r="G15991" s="4" t="s">
        <v>80686</v>
      </c>
      <c r="H15991" s="3" t="s">
        <v>79360</v>
      </c>
      <c r="I15991" s="3" t="s">
        <v>77650</v>
      </c>
      <c r="J15991" s="3" t="s">
        <v>2757</v>
      </c>
      <c r="K15991" s="3" t="s">
        <v>80687</v>
      </c>
      <c r="L15991" s="3" t="s">
        <v>80688</v>
      </c>
      <c r="M15991" s="4"/>
      <c r="N15991" s="3" t="s">
        <v>37</v>
      </c>
      <c r="O15991" s="3" t="s">
        <v>70</v>
      </c>
      <c r="P15991" s="5">
        <v>23</v>
      </c>
      <c r="Q15991" s="5">
        <v>542</v>
      </c>
      <c r="R15991" s="5">
        <v>23</v>
      </c>
      <c r="S15991" s="5">
        <v>533</v>
      </c>
    </row>
    <row r="15992" spans="1:19" ht="28" x14ac:dyDescent="0.15">
      <c r="A15992" s="2">
        <f>HYPERLINK("https://open-school.uspishnemisto.com.ua/school/740298/", 740298)</f>
        <v>740298</v>
      </c>
      <c r="B15992" s="3" t="s">
        <v>80689</v>
      </c>
      <c r="C15992" s="3" t="s">
        <v>31</v>
      </c>
      <c r="D15992" s="3" t="s">
        <v>32</v>
      </c>
      <c r="E15992" s="4" t="s">
        <v>22</v>
      </c>
      <c r="F15992" s="4" t="s">
        <v>80690</v>
      </c>
      <c r="G15992" s="4" t="s">
        <v>80691</v>
      </c>
      <c r="H15992" s="3" t="s">
        <v>79360</v>
      </c>
      <c r="I15992" s="3" t="s">
        <v>80692</v>
      </c>
      <c r="J15992" s="3" t="s">
        <v>26263</v>
      </c>
      <c r="K15992" s="3" t="s">
        <v>80693</v>
      </c>
      <c r="L15992" s="3" t="s">
        <v>80694</v>
      </c>
      <c r="M15992" s="4"/>
      <c r="N15992" s="3" t="s">
        <v>37</v>
      </c>
      <c r="O15992" s="3" t="s">
        <v>38</v>
      </c>
      <c r="P15992" s="5">
        <v>11</v>
      </c>
      <c r="Q15992" s="5">
        <v>127</v>
      </c>
      <c r="R15992" s="5">
        <v>11</v>
      </c>
      <c r="S15992" s="5">
        <v>137</v>
      </c>
    </row>
    <row r="15993" spans="1:19" ht="28" x14ac:dyDescent="0.15">
      <c r="A15993" s="2">
        <f>HYPERLINK("https://open-school.uspishnemisto.com.ua/school/740299/", 740299)</f>
        <v>740299</v>
      </c>
      <c r="B15993" s="3" t="s">
        <v>80695</v>
      </c>
      <c r="C15993" s="3" t="s">
        <v>31</v>
      </c>
      <c r="D15993" s="3" t="s">
        <v>175</v>
      </c>
      <c r="E15993" s="4" t="s">
        <v>22</v>
      </c>
      <c r="F15993" s="4" t="s">
        <v>80696</v>
      </c>
      <c r="G15993" s="4" t="s">
        <v>80697</v>
      </c>
      <c r="H15993" s="3" t="s">
        <v>79360</v>
      </c>
      <c r="I15993" s="3" t="s">
        <v>80698</v>
      </c>
      <c r="J15993" s="3" t="s">
        <v>80699</v>
      </c>
      <c r="K15993" s="3" t="s">
        <v>80700</v>
      </c>
      <c r="L15993" s="3" t="s">
        <v>80701</v>
      </c>
      <c r="M15993" s="4"/>
      <c r="N15993" s="3" t="s">
        <v>37</v>
      </c>
      <c r="O15993" s="3" t="s">
        <v>38</v>
      </c>
      <c r="P15993" s="5">
        <v>5</v>
      </c>
      <c r="Q15993" s="5">
        <v>46</v>
      </c>
      <c r="R15993" s="5">
        <v>6</v>
      </c>
      <c r="S15993" s="5">
        <v>55</v>
      </c>
    </row>
    <row r="15994" spans="1:19" ht="28" x14ac:dyDescent="0.15">
      <c r="A15994" s="2">
        <f>HYPERLINK("https://open-school.uspishnemisto.com.ua/school/740300/", 740300)</f>
        <v>740300</v>
      </c>
      <c r="B15994" s="3" t="s">
        <v>80702</v>
      </c>
      <c r="C15994" s="3" t="s">
        <v>31</v>
      </c>
      <c r="D15994" s="3" t="s">
        <v>32</v>
      </c>
      <c r="E15994" s="4" t="s">
        <v>22</v>
      </c>
      <c r="F15994" s="4" t="s">
        <v>80703</v>
      </c>
      <c r="G15994" s="4" t="s">
        <v>80704</v>
      </c>
      <c r="H15994" s="3" t="s">
        <v>79360</v>
      </c>
      <c r="I15994" s="3" t="s">
        <v>17457</v>
      </c>
      <c r="J15994" s="3" t="s">
        <v>69094</v>
      </c>
      <c r="K15994" s="3" t="s">
        <v>80705</v>
      </c>
      <c r="L15994" s="3"/>
      <c r="M15994" s="4"/>
      <c r="N15994" s="3" t="s">
        <v>37</v>
      </c>
      <c r="O15994" s="3" t="s">
        <v>38</v>
      </c>
      <c r="P15994" s="5">
        <v>11</v>
      </c>
      <c r="Q15994" s="5">
        <v>106</v>
      </c>
      <c r="R15994" s="5">
        <v>11</v>
      </c>
      <c r="S15994" s="5">
        <v>109</v>
      </c>
    </row>
    <row r="15995" spans="1:19" ht="28" x14ac:dyDescent="0.15">
      <c r="A15995" s="2">
        <f>HYPERLINK("https://open-school.uspishnemisto.com.ua/school/740301/", 740301)</f>
        <v>740301</v>
      </c>
      <c r="B15995" s="3" t="s">
        <v>80706</v>
      </c>
      <c r="C15995" s="3" t="s">
        <v>31</v>
      </c>
      <c r="D15995" s="3" t="s">
        <v>175</v>
      </c>
      <c r="E15995" s="4" t="s">
        <v>22</v>
      </c>
      <c r="F15995" s="4" t="s">
        <v>80707</v>
      </c>
      <c r="G15995" s="4" t="s">
        <v>80708</v>
      </c>
      <c r="H15995" s="3" t="s">
        <v>79360</v>
      </c>
      <c r="I15995" s="3" t="s">
        <v>80709</v>
      </c>
      <c r="J15995" s="3" t="s">
        <v>80710</v>
      </c>
      <c r="K15995" s="3" t="s">
        <v>80711</v>
      </c>
      <c r="L15995" s="3" t="s">
        <v>80712</v>
      </c>
      <c r="M15995" s="4"/>
      <c r="N15995" s="3" t="s">
        <v>37</v>
      </c>
      <c r="O15995" s="3" t="s">
        <v>52</v>
      </c>
      <c r="P15995" s="5">
        <v>4</v>
      </c>
      <c r="Q15995" s="5">
        <v>36</v>
      </c>
      <c r="R15995" s="5">
        <v>5</v>
      </c>
      <c r="S15995" s="5">
        <v>37</v>
      </c>
    </row>
    <row r="15996" spans="1:19" ht="28" x14ac:dyDescent="0.15">
      <c r="A15996" s="2">
        <f>HYPERLINK("https://open-school.uspishnemisto.com.ua/school/740302/", 740302)</f>
        <v>740302</v>
      </c>
      <c r="B15996" s="3" t="s">
        <v>80713</v>
      </c>
      <c r="C15996" s="3" t="s">
        <v>31</v>
      </c>
      <c r="D15996" s="3" t="s">
        <v>175</v>
      </c>
      <c r="E15996" s="4" t="s">
        <v>22</v>
      </c>
      <c r="F15996" s="4" t="s">
        <v>80714</v>
      </c>
      <c r="G15996" s="4" t="s">
        <v>80715</v>
      </c>
      <c r="H15996" s="3" t="s">
        <v>79360</v>
      </c>
      <c r="I15996" s="3" t="s">
        <v>80716</v>
      </c>
      <c r="J15996" s="3" t="s">
        <v>6405</v>
      </c>
      <c r="K15996" s="3" t="s">
        <v>80717</v>
      </c>
      <c r="L15996" s="3"/>
      <c r="M15996" s="4"/>
      <c r="N15996" s="3" t="s">
        <v>37</v>
      </c>
      <c r="O15996" s="3" t="s">
        <v>38</v>
      </c>
      <c r="P15996" s="5">
        <v>7</v>
      </c>
      <c r="Q15996" s="5">
        <v>51</v>
      </c>
      <c r="R15996" s="5">
        <v>6</v>
      </c>
      <c r="S15996" s="5">
        <v>48</v>
      </c>
    </row>
    <row r="15997" spans="1:19" ht="28" x14ac:dyDescent="0.15">
      <c r="A15997" s="2">
        <f>HYPERLINK("https://open-school.uspishnemisto.com.ua/school/740303/", 740303)</f>
        <v>740303</v>
      </c>
      <c r="B15997" s="3" t="s">
        <v>80718</v>
      </c>
      <c r="C15997" s="3" t="s">
        <v>31</v>
      </c>
      <c r="D15997" s="3" t="s">
        <v>175</v>
      </c>
      <c r="E15997" s="4" t="s">
        <v>22</v>
      </c>
      <c r="F15997" s="4" t="s">
        <v>80685</v>
      </c>
      <c r="G15997" s="4" t="s">
        <v>80719</v>
      </c>
      <c r="H15997" s="3" t="s">
        <v>79360</v>
      </c>
      <c r="I15997" s="3" t="s">
        <v>32422</v>
      </c>
      <c r="J15997" s="3" t="s">
        <v>80720</v>
      </c>
      <c r="K15997" s="3" t="s">
        <v>80721</v>
      </c>
      <c r="L15997" s="3" t="s">
        <v>80722</v>
      </c>
      <c r="M15997" s="4"/>
      <c r="N15997" s="3" t="s">
        <v>37</v>
      </c>
      <c r="O15997" s="3" t="s">
        <v>38</v>
      </c>
      <c r="P15997" s="5">
        <v>8</v>
      </c>
      <c r="Q15997" s="5">
        <v>64</v>
      </c>
      <c r="R15997" s="5">
        <v>8</v>
      </c>
      <c r="S15997" s="5">
        <v>63</v>
      </c>
    </row>
    <row r="15998" spans="1:19" ht="28" x14ac:dyDescent="0.15">
      <c r="A15998" s="2">
        <f>HYPERLINK("https://open-school.uspishnemisto.com.ua/school/740304/", 740304)</f>
        <v>740304</v>
      </c>
      <c r="B15998" s="3" t="s">
        <v>80723</v>
      </c>
      <c r="C15998" s="3" t="s">
        <v>31</v>
      </c>
      <c r="D15998" s="3" t="s">
        <v>60</v>
      </c>
      <c r="E15998" s="4" t="s">
        <v>22</v>
      </c>
      <c r="F15998" s="4" t="s">
        <v>80724</v>
      </c>
      <c r="G15998" s="4" t="s">
        <v>80725</v>
      </c>
      <c r="H15998" s="3" t="s">
        <v>79360</v>
      </c>
      <c r="I15998" s="3" t="s">
        <v>80726</v>
      </c>
      <c r="J15998" s="3" t="s">
        <v>4501</v>
      </c>
      <c r="K15998" s="3" t="s">
        <v>80727</v>
      </c>
      <c r="L15998" s="3"/>
      <c r="M15998" s="4"/>
      <c r="N15998" s="3" t="s">
        <v>37</v>
      </c>
      <c r="O15998" s="3" t="s">
        <v>52</v>
      </c>
      <c r="P15998" s="5">
        <v>0</v>
      </c>
      <c r="Q15998" s="5">
        <v>12</v>
      </c>
      <c r="R15998" s="5">
        <v>1</v>
      </c>
      <c r="S15998" s="5">
        <v>14</v>
      </c>
    </row>
    <row r="15999" spans="1:19" ht="42" x14ac:dyDescent="0.15">
      <c r="A15999" s="2">
        <f>HYPERLINK("https://open-school.uspishnemisto.com.ua/school/740305/", 740305)</f>
        <v>740305</v>
      </c>
      <c r="B15999" s="3" t="s">
        <v>80728</v>
      </c>
      <c r="C15999" s="3" t="s">
        <v>31</v>
      </c>
      <c r="D15999" s="3" t="s">
        <v>32</v>
      </c>
      <c r="E15999" s="4" t="s">
        <v>22</v>
      </c>
      <c r="F15999" s="4" t="s">
        <v>80729</v>
      </c>
      <c r="G15999" s="4" t="s">
        <v>80730</v>
      </c>
      <c r="H15999" s="3" t="s">
        <v>79360</v>
      </c>
      <c r="I15999" s="3" t="s">
        <v>80731</v>
      </c>
      <c r="J15999" s="3" t="s">
        <v>6389</v>
      </c>
      <c r="K15999" s="3" t="s">
        <v>80732</v>
      </c>
      <c r="L15999" s="3"/>
      <c r="M15999" s="4"/>
      <c r="N15999" s="3" t="s">
        <v>37</v>
      </c>
      <c r="O15999" s="3" t="s">
        <v>38</v>
      </c>
      <c r="P15999" s="5">
        <v>11</v>
      </c>
      <c r="Q15999" s="5">
        <v>95</v>
      </c>
      <c r="R15999" s="5">
        <v>10</v>
      </c>
      <c r="S15999" s="5">
        <v>91</v>
      </c>
    </row>
    <row r="16000" spans="1:19" ht="28" x14ac:dyDescent="0.15">
      <c r="A16000" s="2">
        <f>HYPERLINK("https://open-school.uspishnemisto.com.ua/school/740306/", 740306)</f>
        <v>740306</v>
      </c>
      <c r="B16000" s="3" t="s">
        <v>80733</v>
      </c>
      <c r="C16000" s="3" t="s">
        <v>31</v>
      </c>
      <c r="D16000" s="3" t="s">
        <v>32</v>
      </c>
      <c r="E16000" s="4" t="s">
        <v>22</v>
      </c>
      <c r="F16000" s="4" t="s">
        <v>80734</v>
      </c>
      <c r="G16000" s="4" t="s">
        <v>80735</v>
      </c>
      <c r="H16000" s="3" t="s">
        <v>79360</v>
      </c>
      <c r="I16000" s="3" t="s">
        <v>3387</v>
      </c>
      <c r="J16000" s="3" t="s">
        <v>13483</v>
      </c>
      <c r="K16000" s="3" t="s">
        <v>80736</v>
      </c>
      <c r="L16000" s="3" t="s">
        <v>80737</v>
      </c>
      <c r="M16000" s="4"/>
      <c r="N16000" s="3" t="s">
        <v>37</v>
      </c>
      <c r="O16000" s="3" t="s">
        <v>38</v>
      </c>
      <c r="P16000" s="5">
        <v>10</v>
      </c>
      <c r="Q16000" s="5">
        <v>84</v>
      </c>
      <c r="R16000" s="5">
        <v>10</v>
      </c>
      <c r="S16000" s="5">
        <v>96</v>
      </c>
    </row>
    <row r="16001" spans="1:19" ht="28" x14ac:dyDescent="0.15">
      <c r="A16001" s="2">
        <f>HYPERLINK("https://open-school.uspishnemisto.com.ua/school/740307/", 740307)</f>
        <v>740307</v>
      </c>
      <c r="B16001" s="3" t="s">
        <v>80738</v>
      </c>
      <c r="C16001" s="3" t="s">
        <v>31</v>
      </c>
      <c r="D16001" s="3" t="s">
        <v>32</v>
      </c>
      <c r="E16001" s="4" t="s">
        <v>22</v>
      </c>
      <c r="F16001" s="4" t="s">
        <v>80739</v>
      </c>
      <c r="G16001" s="4" t="s">
        <v>80740</v>
      </c>
      <c r="H16001" s="3" t="s">
        <v>79360</v>
      </c>
      <c r="I16001" s="3" t="s">
        <v>80741</v>
      </c>
      <c r="J16001" s="3" t="s">
        <v>634</v>
      </c>
      <c r="K16001" s="3" t="s">
        <v>80742</v>
      </c>
      <c r="L16001" s="3"/>
      <c r="M16001" s="4"/>
      <c r="N16001" s="3" t="s">
        <v>37</v>
      </c>
      <c r="O16001" s="3" t="s">
        <v>10453</v>
      </c>
      <c r="P16001" s="5">
        <v>11</v>
      </c>
      <c r="Q16001" s="5">
        <v>89</v>
      </c>
      <c r="R16001" s="5">
        <v>10</v>
      </c>
      <c r="S16001" s="5">
        <v>83</v>
      </c>
    </row>
    <row r="16002" spans="1:19" ht="28" x14ac:dyDescent="0.15">
      <c r="A16002" s="2">
        <f>HYPERLINK("https://open-school.uspishnemisto.com.ua/school/740309/", 740309)</f>
        <v>740309</v>
      </c>
      <c r="B16002" s="3" t="s">
        <v>80743</v>
      </c>
      <c r="C16002" s="3" t="s">
        <v>31</v>
      </c>
      <c r="D16002" s="3" t="s">
        <v>32</v>
      </c>
      <c r="E16002" s="4" t="s">
        <v>22</v>
      </c>
      <c r="F16002" s="4" t="s">
        <v>80744</v>
      </c>
      <c r="G16002" s="4" t="s">
        <v>80745</v>
      </c>
      <c r="H16002" s="3" t="s">
        <v>79360</v>
      </c>
      <c r="I16002" s="3" t="s">
        <v>80746</v>
      </c>
      <c r="J16002" s="3" t="s">
        <v>80747</v>
      </c>
      <c r="K16002" s="3" t="s">
        <v>80748</v>
      </c>
      <c r="L16002" s="3"/>
      <c r="M16002" s="4"/>
      <c r="N16002" s="3" t="s">
        <v>37</v>
      </c>
      <c r="O16002" s="3" t="s">
        <v>46</v>
      </c>
      <c r="P16002" s="5">
        <v>33</v>
      </c>
      <c r="Q16002" s="5">
        <v>741</v>
      </c>
      <c r="R16002" s="5">
        <v>33</v>
      </c>
      <c r="S16002" s="5">
        <v>726</v>
      </c>
    </row>
    <row r="16003" spans="1:19" ht="28" x14ac:dyDescent="0.15">
      <c r="A16003" s="2">
        <f>HYPERLINK("https://open-school.uspishnemisto.com.ua/school/740310/", 740310)</f>
        <v>740310</v>
      </c>
      <c r="B16003" s="3" t="s">
        <v>80749</v>
      </c>
      <c r="C16003" s="3" t="s">
        <v>40</v>
      </c>
      <c r="D16003" s="3" t="s">
        <v>32</v>
      </c>
      <c r="E16003" s="4" t="s">
        <v>22</v>
      </c>
      <c r="F16003" s="4" t="s">
        <v>80744</v>
      </c>
      <c r="G16003" s="4" t="s">
        <v>80745</v>
      </c>
      <c r="H16003" s="3" t="s">
        <v>79360</v>
      </c>
      <c r="I16003" s="3" t="s">
        <v>80746</v>
      </c>
      <c r="J16003" s="3" t="s">
        <v>3472</v>
      </c>
      <c r="K16003" s="3" t="s">
        <v>80750</v>
      </c>
      <c r="L16003" s="3"/>
      <c r="M16003" s="4"/>
      <c r="N16003" s="3" t="s">
        <v>37</v>
      </c>
      <c r="O16003" s="3" t="s">
        <v>46</v>
      </c>
      <c r="P16003" s="5">
        <v>25</v>
      </c>
      <c r="Q16003" s="5">
        <v>601</v>
      </c>
      <c r="R16003" s="5">
        <v>24</v>
      </c>
      <c r="S16003" s="5">
        <v>586</v>
      </c>
    </row>
    <row r="16004" spans="1:19" ht="28" x14ac:dyDescent="0.15">
      <c r="A16004" s="2">
        <f>HYPERLINK("https://open-school.uspishnemisto.com.ua/school/740311/", 740311)</f>
        <v>740311</v>
      </c>
      <c r="B16004" s="3" t="s">
        <v>80751</v>
      </c>
      <c r="C16004" s="3" t="s">
        <v>31</v>
      </c>
      <c r="D16004" s="3" t="s">
        <v>175</v>
      </c>
      <c r="E16004" s="4" t="s">
        <v>22</v>
      </c>
      <c r="F16004" s="4" t="s">
        <v>80752</v>
      </c>
      <c r="G16004" s="4" t="s">
        <v>80753</v>
      </c>
      <c r="H16004" s="3" t="s">
        <v>79360</v>
      </c>
      <c r="I16004" s="3" t="s">
        <v>4071</v>
      </c>
      <c r="J16004" s="3" t="s">
        <v>80754</v>
      </c>
      <c r="K16004" s="3" t="s">
        <v>80755</v>
      </c>
      <c r="L16004" s="3"/>
      <c r="M16004" s="4"/>
      <c r="N16004" s="3" t="s">
        <v>37</v>
      </c>
      <c r="O16004" s="3" t="s">
        <v>38</v>
      </c>
      <c r="P16004" s="5">
        <v>8</v>
      </c>
      <c r="Q16004" s="5">
        <v>75</v>
      </c>
      <c r="R16004" s="5">
        <v>8</v>
      </c>
      <c r="S16004" s="5">
        <v>72</v>
      </c>
    </row>
    <row r="16005" spans="1:19" ht="28" x14ac:dyDescent="0.15">
      <c r="A16005" s="2">
        <f>HYPERLINK("https://open-school.uspishnemisto.com.ua/school/740312/", 740312)</f>
        <v>740312</v>
      </c>
      <c r="B16005" s="3" t="s">
        <v>80756</v>
      </c>
      <c r="C16005" s="3" t="s">
        <v>31</v>
      </c>
      <c r="D16005" s="3" t="s">
        <v>32</v>
      </c>
      <c r="E16005" s="4" t="s">
        <v>22</v>
      </c>
      <c r="F16005" s="4" t="s">
        <v>80752</v>
      </c>
      <c r="G16005" s="4" t="s">
        <v>80753</v>
      </c>
      <c r="H16005" s="3" t="s">
        <v>79360</v>
      </c>
      <c r="I16005" s="3" t="s">
        <v>4071</v>
      </c>
      <c r="J16005" s="3" t="s">
        <v>80757</v>
      </c>
      <c r="K16005" s="3" t="s">
        <v>80758</v>
      </c>
      <c r="L16005" s="3"/>
      <c r="M16005" s="4"/>
      <c r="N16005" s="3" t="s">
        <v>37</v>
      </c>
      <c r="O16005" s="3" t="s">
        <v>38</v>
      </c>
      <c r="P16005" s="5">
        <v>20</v>
      </c>
      <c r="Q16005" s="5">
        <v>442</v>
      </c>
      <c r="R16005" s="5">
        <v>21</v>
      </c>
      <c r="S16005" s="5">
        <v>441</v>
      </c>
    </row>
    <row r="16006" spans="1:19" ht="28" x14ac:dyDescent="0.15">
      <c r="A16006" s="2">
        <f>HYPERLINK("https://open-school.uspishnemisto.com.ua/school/740313/", 740313)</f>
        <v>740313</v>
      </c>
      <c r="B16006" s="3" t="s">
        <v>80759</v>
      </c>
      <c r="C16006" s="3" t="s">
        <v>181</v>
      </c>
      <c r="D16006" s="3"/>
      <c r="E16006" s="4" t="s">
        <v>22</v>
      </c>
      <c r="F16006" s="4" t="s">
        <v>80752</v>
      </c>
      <c r="G16006" s="4" t="s">
        <v>80753</v>
      </c>
      <c r="H16006" s="3" t="s">
        <v>79360</v>
      </c>
      <c r="I16006" s="3" t="s">
        <v>4071</v>
      </c>
      <c r="J16006" s="3" t="s">
        <v>80760</v>
      </c>
      <c r="K16006" s="3" t="s">
        <v>80761</v>
      </c>
      <c r="L16006" s="3"/>
      <c r="M16006" s="4" t="s">
        <v>80762</v>
      </c>
      <c r="N16006" s="3" t="s">
        <v>37</v>
      </c>
      <c r="O16006" s="3" t="s">
        <v>52</v>
      </c>
      <c r="P16006" s="5">
        <v>12</v>
      </c>
      <c r="Q16006" s="5">
        <v>105</v>
      </c>
      <c r="R16006" s="5">
        <v>13</v>
      </c>
      <c r="S16006" s="5">
        <v>103</v>
      </c>
    </row>
    <row r="16007" spans="1:19" ht="28" x14ac:dyDescent="0.15">
      <c r="A16007" s="2">
        <f>HYPERLINK("https://open-school.uspishnemisto.com.ua/school/740314/", 740314)</f>
        <v>740314</v>
      </c>
      <c r="B16007" s="3" t="s">
        <v>80763</v>
      </c>
      <c r="C16007" s="3" t="s">
        <v>31</v>
      </c>
      <c r="D16007" s="3" t="s">
        <v>32</v>
      </c>
      <c r="E16007" s="4" t="s">
        <v>22</v>
      </c>
      <c r="F16007" s="4" t="s">
        <v>80764</v>
      </c>
      <c r="G16007" s="4" t="s">
        <v>80765</v>
      </c>
      <c r="H16007" s="3" t="s">
        <v>79360</v>
      </c>
      <c r="I16007" s="3" t="s">
        <v>80766</v>
      </c>
      <c r="J16007" s="3" t="s">
        <v>12466</v>
      </c>
      <c r="K16007" s="3" t="s">
        <v>80767</v>
      </c>
      <c r="L16007" s="3"/>
      <c r="M16007" s="4"/>
      <c r="N16007" s="3" t="s">
        <v>37</v>
      </c>
      <c r="O16007" s="3" t="s">
        <v>70</v>
      </c>
      <c r="P16007" s="5">
        <v>11</v>
      </c>
      <c r="Q16007" s="5">
        <v>160</v>
      </c>
      <c r="R16007" s="5">
        <v>11</v>
      </c>
      <c r="S16007" s="5">
        <v>157</v>
      </c>
    </row>
    <row r="16008" spans="1:19" ht="28" x14ac:dyDescent="0.15">
      <c r="A16008" s="2">
        <f>HYPERLINK("https://open-school.uspishnemisto.com.ua/school/740315/", 740315)</f>
        <v>740315</v>
      </c>
      <c r="B16008" s="3" t="s">
        <v>80768</v>
      </c>
      <c r="C16008" s="3" t="s">
        <v>31</v>
      </c>
      <c r="D16008" s="3" t="s">
        <v>32</v>
      </c>
      <c r="E16008" s="4" t="s">
        <v>22</v>
      </c>
      <c r="F16008" s="4" t="s">
        <v>80769</v>
      </c>
      <c r="G16008" s="4" t="s">
        <v>80770</v>
      </c>
      <c r="H16008" s="3" t="s">
        <v>79360</v>
      </c>
      <c r="I16008" s="3" t="s">
        <v>80771</v>
      </c>
      <c r="J16008" s="3" t="s">
        <v>59508</v>
      </c>
      <c r="K16008" s="3" t="s">
        <v>80772</v>
      </c>
      <c r="L16008" s="3"/>
      <c r="M16008" s="4"/>
      <c r="N16008" s="3" t="s">
        <v>37</v>
      </c>
      <c r="O16008" s="3" t="s">
        <v>38</v>
      </c>
      <c r="P16008" s="5">
        <v>9</v>
      </c>
      <c r="Q16008" s="5">
        <v>81</v>
      </c>
      <c r="R16008" s="5">
        <v>9</v>
      </c>
      <c r="S16008" s="5">
        <v>78</v>
      </c>
    </row>
    <row r="16009" spans="1:19" ht="28" x14ac:dyDescent="0.15">
      <c r="A16009" s="2">
        <f>HYPERLINK("https://open-school.uspishnemisto.com.ua/school/740316/", 740316)</f>
        <v>740316</v>
      </c>
      <c r="B16009" s="3" t="s">
        <v>80773</v>
      </c>
      <c r="C16009" s="3" t="s">
        <v>31</v>
      </c>
      <c r="D16009" s="3" t="s">
        <v>175</v>
      </c>
      <c r="E16009" s="4" t="s">
        <v>22</v>
      </c>
      <c r="F16009" s="4" t="s">
        <v>80774</v>
      </c>
      <c r="G16009" s="4" t="s">
        <v>80775</v>
      </c>
      <c r="H16009" s="3" t="s">
        <v>79360</v>
      </c>
      <c r="I16009" s="3" t="s">
        <v>80776</v>
      </c>
      <c r="J16009" s="3" t="s">
        <v>16428</v>
      </c>
      <c r="K16009" s="3" t="s">
        <v>80777</v>
      </c>
      <c r="L16009" s="3"/>
      <c r="M16009" s="4"/>
      <c r="N16009" s="3" t="s">
        <v>37</v>
      </c>
      <c r="O16009" s="3" t="s">
        <v>38</v>
      </c>
      <c r="P16009" s="5">
        <v>2</v>
      </c>
      <c r="Q16009" s="5">
        <v>30</v>
      </c>
      <c r="R16009" s="5">
        <v>2</v>
      </c>
      <c r="S16009" s="5">
        <v>32</v>
      </c>
    </row>
    <row r="16010" spans="1:19" ht="28" x14ac:dyDescent="0.15">
      <c r="A16010" s="2">
        <f>HYPERLINK("https://open-school.uspishnemisto.com.ua/school/740317/", 740317)</f>
        <v>740317</v>
      </c>
      <c r="B16010" s="3" t="s">
        <v>80778</v>
      </c>
      <c r="C16010" s="3" t="s">
        <v>31</v>
      </c>
      <c r="D16010" s="3" t="s">
        <v>175</v>
      </c>
      <c r="E16010" s="4" t="s">
        <v>22</v>
      </c>
      <c r="F16010" s="4" t="s">
        <v>80779</v>
      </c>
      <c r="G16010" s="4" t="s">
        <v>80780</v>
      </c>
      <c r="H16010" s="3" t="s">
        <v>79360</v>
      </c>
      <c r="I16010" s="3" t="s">
        <v>80781</v>
      </c>
      <c r="J16010" s="3" t="s">
        <v>3428</v>
      </c>
      <c r="K16010" s="3" t="s">
        <v>5968</v>
      </c>
      <c r="L16010" s="3"/>
      <c r="M16010" s="4"/>
      <c r="N16010" s="3" t="s">
        <v>37</v>
      </c>
      <c r="O16010" s="3" t="s">
        <v>38</v>
      </c>
      <c r="P16010" s="5">
        <v>5</v>
      </c>
      <c r="Q16010" s="5">
        <v>49</v>
      </c>
      <c r="R16010" s="5">
        <v>6</v>
      </c>
      <c r="S16010" s="5">
        <v>52</v>
      </c>
    </row>
    <row r="16011" spans="1:19" ht="28" x14ac:dyDescent="0.15">
      <c r="A16011" s="2">
        <f>HYPERLINK("https://open-school.uspishnemisto.com.ua/school/740318/", 740318)</f>
        <v>740318</v>
      </c>
      <c r="B16011" s="3" t="s">
        <v>80782</v>
      </c>
      <c r="C16011" s="3" t="s">
        <v>31</v>
      </c>
      <c r="D16011" s="3" t="s">
        <v>175</v>
      </c>
      <c r="E16011" s="4" t="s">
        <v>22</v>
      </c>
      <c r="F16011" s="4" t="s">
        <v>80783</v>
      </c>
      <c r="G16011" s="4" t="s">
        <v>80784</v>
      </c>
      <c r="H16011" s="3" t="s">
        <v>79360</v>
      </c>
      <c r="I16011" s="3" t="s">
        <v>56681</v>
      </c>
      <c r="J16011" s="3" t="s">
        <v>40102</v>
      </c>
      <c r="K16011" s="3" t="s">
        <v>80785</v>
      </c>
      <c r="L16011" s="3"/>
      <c r="M16011" s="4"/>
      <c r="N16011" s="3" t="s">
        <v>37</v>
      </c>
      <c r="O16011" s="3" t="s">
        <v>38</v>
      </c>
      <c r="P16011" s="5">
        <v>7</v>
      </c>
      <c r="Q16011" s="5">
        <v>72</v>
      </c>
      <c r="R16011" s="5">
        <v>7</v>
      </c>
      <c r="S16011" s="5">
        <v>68</v>
      </c>
    </row>
    <row r="16012" spans="1:19" ht="28" x14ac:dyDescent="0.15">
      <c r="A16012" s="2">
        <f>HYPERLINK("https://open-school.uspishnemisto.com.ua/school/740319/", 740319)</f>
        <v>740319</v>
      </c>
      <c r="B16012" s="3" t="s">
        <v>80786</v>
      </c>
      <c r="C16012" s="3" t="s">
        <v>31</v>
      </c>
      <c r="D16012" s="3" t="s">
        <v>175</v>
      </c>
      <c r="E16012" s="4" t="s">
        <v>22</v>
      </c>
      <c r="F16012" s="4" t="s">
        <v>80787</v>
      </c>
      <c r="G16012" s="4" t="s">
        <v>80788</v>
      </c>
      <c r="H16012" s="3" t="s">
        <v>79360</v>
      </c>
      <c r="I16012" s="3" t="s">
        <v>2422</v>
      </c>
      <c r="J16012" s="3" t="s">
        <v>18645</v>
      </c>
      <c r="K16012" s="3" t="s">
        <v>80789</v>
      </c>
      <c r="L16012" s="3" t="s">
        <v>80790</v>
      </c>
      <c r="M16012" s="4"/>
      <c r="N16012" s="3" t="s">
        <v>37</v>
      </c>
      <c r="O16012" s="3" t="s">
        <v>38</v>
      </c>
      <c r="P16012" s="5">
        <v>2</v>
      </c>
      <c r="Q16012" s="5">
        <v>34</v>
      </c>
      <c r="R16012" s="5">
        <v>2</v>
      </c>
      <c r="S16012" s="5">
        <v>34</v>
      </c>
    </row>
    <row r="16013" spans="1:19" ht="28" x14ac:dyDescent="0.15">
      <c r="A16013" s="2">
        <f>HYPERLINK("https://open-school.uspishnemisto.com.ua/school/740320/", 740320)</f>
        <v>740320</v>
      </c>
      <c r="B16013" s="3" t="s">
        <v>80791</v>
      </c>
      <c r="C16013" s="3" t="s">
        <v>31</v>
      </c>
      <c r="D16013" s="3" t="s">
        <v>175</v>
      </c>
      <c r="E16013" s="4" t="s">
        <v>22</v>
      </c>
      <c r="F16013" s="4" t="s">
        <v>80792</v>
      </c>
      <c r="G16013" s="4" t="s">
        <v>80793</v>
      </c>
      <c r="H16013" s="3" t="s">
        <v>79360</v>
      </c>
      <c r="I16013" s="3" t="s">
        <v>11397</v>
      </c>
      <c r="J16013" s="3" t="s">
        <v>17954</v>
      </c>
      <c r="K16013" s="3" t="s">
        <v>7850</v>
      </c>
      <c r="L16013" s="3"/>
      <c r="M16013" s="4"/>
      <c r="N16013" s="3" t="s">
        <v>37</v>
      </c>
      <c r="O16013" s="3" t="s">
        <v>52</v>
      </c>
      <c r="P16013" s="5">
        <v>2</v>
      </c>
      <c r="Q16013" s="5">
        <v>30</v>
      </c>
      <c r="R16013" s="5">
        <v>2</v>
      </c>
      <c r="S16013" s="5">
        <v>26</v>
      </c>
    </row>
    <row r="16014" spans="1:19" ht="28" x14ac:dyDescent="0.15">
      <c r="A16014" s="2">
        <f>HYPERLINK("https://open-school.uspishnemisto.com.ua/school/740321/", 740321)</f>
        <v>740321</v>
      </c>
      <c r="B16014" s="3" t="s">
        <v>80794</v>
      </c>
      <c r="C16014" s="3" t="s">
        <v>31</v>
      </c>
      <c r="D16014" s="3" t="s">
        <v>32</v>
      </c>
      <c r="E16014" s="4" t="s">
        <v>22</v>
      </c>
      <c r="F16014" s="4" t="s">
        <v>80795</v>
      </c>
      <c r="G16014" s="4" t="s">
        <v>80796</v>
      </c>
      <c r="H16014" s="3" t="s">
        <v>79360</v>
      </c>
      <c r="I16014" s="3" t="s">
        <v>80797</v>
      </c>
      <c r="J16014" s="3" t="s">
        <v>32046</v>
      </c>
      <c r="K16014" s="3" t="s">
        <v>80798</v>
      </c>
      <c r="L16014" s="3"/>
      <c r="M16014" s="4"/>
      <c r="N16014" s="3" t="s">
        <v>37</v>
      </c>
      <c r="O16014" s="3" t="s">
        <v>52</v>
      </c>
      <c r="P16014" s="5">
        <v>10</v>
      </c>
      <c r="Q16014" s="5">
        <v>91</v>
      </c>
      <c r="R16014" s="5">
        <v>10</v>
      </c>
      <c r="S16014" s="5">
        <v>99</v>
      </c>
    </row>
    <row r="16015" spans="1:19" ht="28" x14ac:dyDescent="0.15">
      <c r="A16015" s="2">
        <f>HYPERLINK("https://open-school.uspishnemisto.com.ua/school/740322/", 740322)</f>
        <v>740322</v>
      </c>
      <c r="B16015" s="3" t="s">
        <v>80799</v>
      </c>
      <c r="C16015" s="3" t="s">
        <v>31</v>
      </c>
      <c r="D16015" s="3" t="s">
        <v>32</v>
      </c>
      <c r="E16015" s="4" t="s">
        <v>22</v>
      </c>
      <c r="F16015" s="4" t="s">
        <v>80800</v>
      </c>
      <c r="G16015" s="4" t="s">
        <v>80801</v>
      </c>
      <c r="H16015" s="3" t="s">
        <v>79360</v>
      </c>
      <c r="I16015" s="3" t="s">
        <v>12001</v>
      </c>
      <c r="J16015" s="3" t="s">
        <v>80802</v>
      </c>
      <c r="K16015" s="3" t="s">
        <v>80803</v>
      </c>
      <c r="L16015" s="3"/>
      <c r="M16015" s="4"/>
      <c r="N16015" s="3" t="s">
        <v>37</v>
      </c>
      <c r="O16015" s="3" t="s">
        <v>52</v>
      </c>
      <c r="P16015" s="5">
        <v>10</v>
      </c>
      <c r="Q16015" s="5">
        <v>99</v>
      </c>
      <c r="R16015" s="5">
        <v>10</v>
      </c>
      <c r="S16015" s="5">
        <v>96</v>
      </c>
    </row>
    <row r="16016" spans="1:19" ht="28" x14ac:dyDescent="0.15">
      <c r="A16016" s="2">
        <f>HYPERLINK("https://open-school.uspishnemisto.com.ua/school/740323/", 740323)</f>
        <v>740323</v>
      </c>
      <c r="B16016" s="3" t="s">
        <v>80804</v>
      </c>
      <c r="C16016" s="3" t="s">
        <v>31</v>
      </c>
      <c r="D16016" s="3" t="s">
        <v>32</v>
      </c>
      <c r="E16016" s="4" t="s">
        <v>22</v>
      </c>
      <c r="F16016" s="4" t="s">
        <v>80805</v>
      </c>
      <c r="G16016" s="4" t="s">
        <v>80806</v>
      </c>
      <c r="H16016" s="3" t="s">
        <v>79360</v>
      </c>
      <c r="I16016" s="3" t="s">
        <v>46823</v>
      </c>
      <c r="J16016" s="3" t="s">
        <v>37384</v>
      </c>
      <c r="K16016" s="3" t="s">
        <v>80807</v>
      </c>
      <c r="L16016" s="3"/>
      <c r="M16016" s="4"/>
      <c r="N16016" s="3" t="s">
        <v>37</v>
      </c>
      <c r="O16016" s="3" t="s">
        <v>52</v>
      </c>
      <c r="P16016" s="5">
        <v>9</v>
      </c>
      <c r="Q16016" s="5">
        <v>75</v>
      </c>
      <c r="R16016" s="5">
        <v>11</v>
      </c>
      <c r="S16016" s="5">
        <v>88</v>
      </c>
    </row>
    <row r="16017" spans="1:19" ht="28" x14ac:dyDescent="0.15">
      <c r="A16017" s="2">
        <f>HYPERLINK("https://open-school.uspishnemisto.com.ua/school/740324/", 740324)</f>
        <v>740324</v>
      </c>
      <c r="B16017" s="3" t="s">
        <v>80808</v>
      </c>
      <c r="C16017" s="3" t="s">
        <v>31</v>
      </c>
      <c r="D16017" s="3" t="s">
        <v>32</v>
      </c>
      <c r="E16017" s="4" t="s">
        <v>22</v>
      </c>
      <c r="F16017" s="4" t="s">
        <v>80809</v>
      </c>
      <c r="G16017" s="4" t="s">
        <v>80810</v>
      </c>
      <c r="H16017" s="3" t="s">
        <v>79360</v>
      </c>
      <c r="I16017" s="3" t="s">
        <v>80811</v>
      </c>
      <c r="J16017" s="3" t="s">
        <v>1612</v>
      </c>
      <c r="K16017" s="3" t="s">
        <v>80812</v>
      </c>
      <c r="L16017" s="3"/>
      <c r="M16017" s="4"/>
      <c r="N16017" s="3" t="s">
        <v>37</v>
      </c>
      <c r="O16017" s="3" t="s">
        <v>52</v>
      </c>
      <c r="P16017" s="5">
        <v>7</v>
      </c>
      <c r="Q16017" s="5">
        <v>55</v>
      </c>
      <c r="R16017" s="5">
        <v>6</v>
      </c>
      <c r="S16017" s="5">
        <v>61</v>
      </c>
    </row>
    <row r="16018" spans="1:19" ht="28" x14ac:dyDescent="0.15">
      <c r="A16018" s="2">
        <f>HYPERLINK("https://open-school.uspishnemisto.com.ua/school/740325/", 740325)</f>
        <v>740325</v>
      </c>
      <c r="B16018" s="3" t="s">
        <v>80813</v>
      </c>
      <c r="C16018" s="3" t="s">
        <v>31</v>
      </c>
      <c r="D16018" s="3" t="s">
        <v>32</v>
      </c>
      <c r="E16018" s="4" t="s">
        <v>22</v>
      </c>
      <c r="F16018" s="4" t="s">
        <v>80814</v>
      </c>
      <c r="G16018" s="4" t="s">
        <v>80815</v>
      </c>
      <c r="H16018" s="3" t="s">
        <v>79360</v>
      </c>
      <c r="I16018" s="3" t="s">
        <v>75539</v>
      </c>
      <c r="J16018" s="3" t="s">
        <v>80816</v>
      </c>
      <c r="K16018" s="3" t="s">
        <v>80817</v>
      </c>
      <c r="L16018" s="3"/>
      <c r="M16018" s="4"/>
      <c r="N16018" s="3" t="s">
        <v>37</v>
      </c>
      <c r="O16018" s="3" t="s">
        <v>38</v>
      </c>
      <c r="P16018" s="5">
        <v>4</v>
      </c>
      <c r="Q16018" s="5">
        <v>31</v>
      </c>
      <c r="R16018" s="5">
        <v>5</v>
      </c>
      <c r="S16018" s="5">
        <v>43</v>
      </c>
    </row>
    <row r="16019" spans="1:19" ht="28" x14ac:dyDescent="0.15">
      <c r="A16019" s="2">
        <f>HYPERLINK("https://open-school.uspishnemisto.com.ua/school/740326/", 740326)</f>
        <v>740326</v>
      </c>
      <c r="B16019" s="3" t="s">
        <v>80818</v>
      </c>
      <c r="C16019" s="3" t="s">
        <v>31</v>
      </c>
      <c r="D16019" s="3" t="s">
        <v>175</v>
      </c>
      <c r="E16019" s="4" t="s">
        <v>22</v>
      </c>
      <c r="F16019" s="4" t="s">
        <v>80819</v>
      </c>
      <c r="G16019" s="4" t="s">
        <v>80820</v>
      </c>
      <c r="H16019" s="3" t="s">
        <v>79360</v>
      </c>
      <c r="I16019" s="3" t="s">
        <v>28607</v>
      </c>
      <c r="J16019" s="3" t="s">
        <v>2384</v>
      </c>
      <c r="K16019" s="3" t="s">
        <v>80821</v>
      </c>
      <c r="L16019" s="3" t="s">
        <v>80822</v>
      </c>
      <c r="M16019" s="4"/>
      <c r="N16019" s="3" t="s">
        <v>37</v>
      </c>
      <c r="O16019" s="3" t="s">
        <v>38</v>
      </c>
      <c r="P16019" s="5">
        <v>6</v>
      </c>
      <c r="Q16019" s="5">
        <v>52</v>
      </c>
      <c r="R16019" s="5">
        <v>7</v>
      </c>
      <c r="S16019" s="5">
        <v>60</v>
      </c>
    </row>
    <row r="16020" spans="1:19" ht="28" x14ac:dyDescent="0.15">
      <c r="A16020" s="2">
        <f>HYPERLINK("https://open-school.uspishnemisto.com.ua/school/740327/", 740327)</f>
        <v>740327</v>
      </c>
      <c r="B16020" s="3" t="s">
        <v>80823</v>
      </c>
      <c r="C16020" s="3" t="s">
        <v>31</v>
      </c>
      <c r="D16020" s="3" t="s">
        <v>32</v>
      </c>
      <c r="E16020" s="4" t="s">
        <v>22</v>
      </c>
      <c r="F16020" s="4" t="s">
        <v>80824</v>
      </c>
      <c r="G16020" s="4" t="s">
        <v>80825</v>
      </c>
      <c r="H16020" s="3" t="s">
        <v>79360</v>
      </c>
      <c r="I16020" s="3" t="s">
        <v>80826</v>
      </c>
      <c r="J16020" s="3" t="s">
        <v>80827</v>
      </c>
      <c r="K16020" s="3" t="s">
        <v>80828</v>
      </c>
      <c r="L16020" s="3"/>
      <c r="M16020" s="4"/>
      <c r="N16020" s="3" t="s">
        <v>37</v>
      </c>
      <c r="O16020" s="3" t="s">
        <v>38</v>
      </c>
      <c r="P16020" s="5">
        <v>10</v>
      </c>
      <c r="Q16020" s="5">
        <v>75</v>
      </c>
      <c r="R16020" s="5">
        <v>11</v>
      </c>
      <c r="S16020" s="5">
        <v>80</v>
      </c>
    </row>
    <row r="16021" spans="1:19" ht="28" x14ac:dyDescent="0.15">
      <c r="A16021" s="2">
        <f>HYPERLINK("https://open-school.uspishnemisto.com.ua/school/740328/", 740328)</f>
        <v>740328</v>
      </c>
      <c r="B16021" s="3" t="s">
        <v>80829</v>
      </c>
      <c r="C16021" s="3" t="s">
        <v>31</v>
      </c>
      <c r="D16021" s="3" t="s">
        <v>32</v>
      </c>
      <c r="E16021" s="4" t="s">
        <v>22</v>
      </c>
      <c r="F16021" s="4" t="s">
        <v>80830</v>
      </c>
      <c r="G16021" s="4" t="s">
        <v>80831</v>
      </c>
      <c r="H16021" s="3" t="s">
        <v>79360</v>
      </c>
      <c r="I16021" s="3" t="s">
        <v>1740</v>
      </c>
      <c r="J16021" s="3" t="s">
        <v>1612</v>
      </c>
      <c r="K16021" s="3" t="s">
        <v>80832</v>
      </c>
      <c r="L16021" s="3"/>
      <c r="M16021" s="4"/>
      <c r="N16021" s="3" t="s">
        <v>37</v>
      </c>
      <c r="O16021" s="3" t="s">
        <v>38</v>
      </c>
      <c r="P16021" s="5">
        <v>7</v>
      </c>
      <c r="Q16021" s="5">
        <v>48</v>
      </c>
      <c r="R16021" s="5">
        <v>7</v>
      </c>
      <c r="S16021" s="5">
        <v>46</v>
      </c>
    </row>
    <row r="16022" spans="1:19" ht="28" x14ac:dyDescent="0.15">
      <c r="A16022" s="2">
        <f>HYPERLINK("https://open-school.uspishnemisto.com.ua/school/740329/", 740329)</f>
        <v>740329</v>
      </c>
      <c r="B16022" s="3" t="s">
        <v>80833</v>
      </c>
      <c r="C16022" s="3" t="s">
        <v>31</v>
      </c>
      <c r="D16022" s="3" t="s">
        <v>175</v>
      </c>
      <c r="E16022" s="4" t="s">
        <v>22</v>
      </c>
      <c r="F16022" s="4" t="s">
        <v>80834</v>
      </c>
      <c r="G16022" s="4" t="s">
        <v>80835</v>
      </c>
      <c r="H16022" s="3" t="s">
        <v>79360</v>
      </c>
      <c r="I16022" s="3" t="s">
        <v>11605</v>
      </c>
      <c r="J16022" s="3" t="s">
        <v>25344</v>
      </c>
      <c r="K16022" s="3" t="s">
        <v>80836</v>
      </c>
      <c r="L16022" s="3"/>
      <c r="M16022" s="4"/>
      <c r="N16022" s="3" t="s">
        <v>37</v>
      </c>
      <c r="O16022" s="3" t="s">
        <v>52</v>
      </c>
      <c r="P16022" s="5">
        <v>7</v>
      </c>
      <c r="Q16022" s="5">
        <v>39</v>
      </c>
      <c r="R16022" s="5">
        <v>7</v>
      </c>
      <c r="S16022" s="5">
        <v>44</v>
      </c>
    </row>
    <row r="16023" spans="1:19" ht="28" x14ac:dyDescent="0.15">
      <c r="A16023" s="2">
        <f>HYPERLINK("https://open-school.uspishnemisto.com.ua/school/740330/", 740330)</f>
        <v>740330</v>
      </c>
      <c r="B16023" s="3" t="s">
        <v>80837</v>
      </c>
      <c r="C16023" s="3" t="s">
        <v>31</v>
      </c>
      <c r="D16023" s="3" t="s">
        <v>32</v>
      </c>
      <c r="E16023" s="4" t="s">
        <v>22</v>
      </c>
      <c r="F16023" s="4" t="s">
        <v>80838</v>
      </c>
      <c r="G16023" s="4" t="s">
        <v>80839</v>
      </c>
      <c r="H16023" s="3" t="s">
        <v>79360</v>
      </c>
      <c r="I16023" s="3" t="s">
        <v>80840</v>
      </c>
      <c r="J16023" s="3" t="s">
        <v>554</v>
      </c>
      <c r="K16023" s="3" t="s">
        <v>80841</v>
      </c>
      <c r="L16023" s="3"/>
      <c r="M16023" s="4"/>
      <c r="N16023" s="3" t="s">
        <v>37</v>
      </c>
      <c r="O16023" s="3" t="s">
        <v>52</v>
      </c>
      <c r="P16023" s="5">
        <v>10</v>
      </c>
      <c r="Q16023" s="5">
        <v>79</v>
      </c>
      <c r="R16023" s="5">
        <v>10</v>
      </c>
      <c r="S16023" s="5">
        <v>73</v>
      </c>
    </row>
    <row r="16024" spans="1:19" ht="28" x14ac:dyDescent="0.15">
      <c r="A16024" s="2">
        <f>HYPERLINK("https://open-school.uspishnemisto.com.ua/school/740331/", 740331)</f>
        <v>740331</v>
      </c>
      <c r="B16024" s="3" t="s">
        <v>80842</v>
      </c>
      <c r="C16024" s="3" t="s">
        <v>31</v>
      </c>
      <c r="D16024" s="3" t="s">
        <v>32</v>
      </c>
      <c r="E16024" s="4" t="s">
        <v>22</v>
      </c>
      <c r="F16024" s="4" t="s">
        <v>80843</v>
      </c>
      <c r="G16024" s="4" t="s">
        <v>80844</v>
      </c>
      <c r="H16024" s="3" t="s">
        <v>79360</v>
      </c>
      <c r="I16024" s="3" t="s">
        <v>80845</v>
      </c>
      <c r="J16024" s="3" t="s">
        <v>1798</v>
      </c>
      <c r="K16024" s="3" t="s">
        <v>80846</v>
      </c>
      <c r="L16024" s="3"/>
      <c r="M16024" s="4"/>
      <c r="N16024" s="3" t="s">
        <v>37</v>
      </c>
      <c r="O16024" s="3" t="s">
        <v>38</v>
      </c>
      <c r="P16024" s="5">
        <v>11</v>
      </c>
      <c r="Q16024" s="5">
        <v>128</v>
      </c>
      <c r="R16024" s="5">
        <v>11</v>
      </c>
      <c r="S16024" s="5">
        <v>125</v>
      </c>
    </row>
    <row r="16025" spans="1:19" ht="28" x14ac:dyDescent="0.15">
      <c r="A16025" s="2">
        <f>HYPERLINK("https://open-school.uspishnemisto.com.ua/school/740333/", 740333)</f>
        <v>740333</v>
      </c>
      <c r="B16025" s="3" t="s">
        <v>80847</v>
      </c>
      <c r="C16025" s="3" t="s">
        <v>31</v>
      </c>
      <c r="D16025" s="3" t="s">
        <v>175</v>
      </c>
      <c r="E16025" s="4" t="s">
        <v>22</v>
      </c>
      <c r="F16025" s="4" t="s">
        <v>80848</v>
      </c>
      <c r="G16025" s="4" t="s">
        <v>80849</v>
      </c>
      <c r="H16025" s="3" t="s">
        <v>79360</v>
      </c>
      <c r="I16025" s="3" t="s">
        <v>80850</v>
      </c>
      <c r="J16025" s="3" t="s">
        <v>80851</v>
      </c>
      <c r="K16025" s="3" t="s">
        <v>80852</v>
      </c>
      <c r="L16025" s="3"/>
      <c r="M16025" s="4"/>
      <c r="N16025" s="3" t="s">
        <v>37</v>
      </c>
      <c r="O16025" s="3" t="s">
        <v>52</v>
      </c>
      <c r="P16025" s="5">
        <v>9</v>
      </c>
      <c r="Q16025" s="5">
        <v>102</v>
      </c>
      <c r="R16025" s="5">
        <v>9</v>
      </c>
      <c r="S16025" s="5">
        <v>92</v>
      </c>
    </row>
    <row r="16026" spans="1:19" ht="42" x14ac:dyDescent="0.15">
      <c r="A16026" s="2">
        <f>HYPERLINK("https://open-school.uspishnemisto.com.ua/school/740334/", 740334)</f>
        <v>740334</v>
      </c>
      <c r="B16026" s="3" t="s">
        <v>80853</v>
      </c>
      <c r="C16026" s="3" t="s">
        <v>31</v>
      </c>
      <c r="D16026" s="3" t="s">
        <v>32</v>
      </c>
      <c r="E16026" s="4" t="s">
        <v>22</v>
      </c>
      <c r="F16026" s="4" t="s">
        <v>80854</v>
      </c>
      <c r="G16026" s="4" t="s">
        <v>80855</v>
      </c>
      <c r="H16026" s="3" t="s">
        <v>79360</v>
      </c>
      <c r="I16026" s="3" t="s">
        <v>80856</v>
      </c>
      <c r="J16026" s="3" t="s">
        <v>80857</v>
      </c>
      <c r="K16026" s="3" t="s">
        <v>80858</v>
      </c>
      <c r="L16026" s="3"/>
      <c r="M16026" s="4"/>
      <c r="N16026" s="3" t="s">
        <v>37</v>
      </c>
      <c r="O16026" s="3" t="s">
        <v>38</v>
      </c>
      <c r="P16026" s="5">
        <v>14</v>
      </c>
      <c r="Q16026" s="5">
        <v>291</v>
      </c>
      <c r="R16026" s="5">
        <v>14</v>
      </c>
      <c r="S16026" s="5">
        <v>306</v>
      </c>
    </row>
    <row r="16027" spans="1:19" ht="28" x14ac:dyDescent="0.15">
      <c r="A16027" s="2">
        <f>HYPERLINK("https://open-school.uspishnemisto.com.ua/school/740335/", 740335)</f>
        <v>740335</v>
      </c>
      <c r="B16027" s="3" t="s">
        <v>80859</v>
      </c>
      <c r="C16027" s="3" t="s">
        <v>31</v>
      </c>
      <c r="D16027" s="3" t="s">
        <v>60</v>
      </c>
      <c r="E16027" s="4" t="s">
        <v>22</v>
      </c>
      <c r="F16027" s="4" t="s">
        <v>80854</v>
      </c>
      <c r="G16027" s="4" t="s">
        <v>80855</v>
      </c>
      <c r="H16027" s="3" t="s">
        <v>79360</v>
      </c>
      <c r="I16027" s="3" t="s">
        <v>80856</v>
      </c>
      <c r="J16027" s="3" t="s">
        <v>80860</v>
      </c>
      <c r="K16027" s="3" t="s">
        <v>80861</v>
      </c>
      <c r="L16027" s="3"/>
      <c r="M16027" s="4"/>
      <c r="N16027" s="3" t="s">
        <v>37</v>
      </c>
      <c r="O16027" s="3" t="s">
        <v>52</v>
      </c>
      <c r="P16027" s="5">
        <v>4</v>
      </c>
      <c r="Q16027" s="5">
        <v>50</v>
      </c>
      <c r="R16027" s="5">
        <v>4</v>
      </c>
      <c r="S16027" s="5">
        <v>56</v>
      </c>
    </row>
    <row r="16028" spans="1:19" ht="56" x14ac:dyDescent="0.15">
      <c r="A16028" s="2">
        <f>HYPERLINK("https://open-school.uspishnemisto.com.ua/school/740336/", 740336)</f>
        <v>740336</v>
      </c>
      <c r="B16028" s="3" t="s">
        <v>80862</v>
      </c>
      <c r="C16028" s="3" t="s">
        <v>54</v>
      </c>
      <c r="D16028" s="3" t="s">
        <v>32</v>
      </c>
      <c r="E16028" s="4" t="s">
        <v>22</v>
      </c>
      <c r="F16028" s="4" t="s">
        <v>80863</v>
      </c>
      <c r="G16028" s="4" t="s">
        <v>80864</v>
      </c>
      <c r="H16028" s="3" t="s">
        <v>79360</v>
      </c>
      <c r="I16028" s="3" t="s">
        <v>32397</v>
      </c>
      <c r="J16028" s="3" t="s">
        <v>80865</v>
      </c>
      <c r="K16028" s="3" t="s">
        <v>80866</v>
      </c>
      <c r="L16028" s="3" t="s">
        <v>80867</v>
      </c>
      <c r="M16028" s="4"/>
      <c r="N16028" s="3" t="s">
        <v>37</v>
      </c>
      <c r="O16028" s="3" t="s">
        <v>52</v>
      </c>
      <c r="P16028" s="5">
        <v>11</v>
      </c>
      <c r="Q16028" s="5">
        <v>122</v>
      </c>
      <c r="R16028" s="5">
        <v>11</v>
      </c>
      <c r="S16028" s="5">
        <v>121</v>
      </c>
    </row>
    <row r="16029" spans="1:19" ht="56" x14ac:dyDescent="0.15">
      <c r="A16029" s="2">
        <f>HYPERLINK("https://open-school.uspishnemisto.com.ua/school/740337/", 740337)</f>
        <v>740337</v>
      </c>
      <c r="B16029" s="3" t="s">
        <v>80868</v>
      </c>
      <c r="C16029" s="3" t="s">
        <v>54</v>
      </c>
      <c r="D16029" s="3" t="s">
        <v>175</v>
      </c>
      <c r="E16029" s="4" t="s">
        <v>22</v>
      </c>
      <c r="F16029" s="4" t="s">
        <v>80869</v>
      </c>
      <c r="G16029" s="4" t="s">
        <v>80870</v>
      </c>
      <c r="H16029" s="3" t="s">
        <v>79360</v>
      </c>
      <c r="I16029" s="3" t="s">
        <v>80871</v>
      </c>
      <c r="J16029" s="3" t="s">
        <v>80872</v>
      </c>
      <c r="K16029" s="3" t="s">
        <v>80873</v>
      </c>
      <c r="L16029" s="3" t="s">
        <v>80874</v>
      </c>
      <c r="M16029" s="4"/>
      <c r="N16029" s="3" t="s">
        <v>37</v>
      </c>
      <c r="O16029" s="3" t="s">
        <v>38</v>
      </c>
      <c r="P16029" s="5">
        <v>5</v>
      </c>
      <c r="Q16029" s="5">
        <v>39</v>
      </c>
      <c r="R16029" s="5">
        <v>2</v>
      </c>
      <c r="S16029" s="5">
        <v>28</v>
      </c>
    </row>
    <row r="16030" spans="1:19" ht="28" x14ac:dyDescent="0.15">
      <c r="A16030" s="2">
        <f>HYPERLINK("https://open-school.uspishnemisto.com.ua/school/740338/", 740338)</f>
        <v>740338</v>
      </c>
      <c r="B16030" s="3" t="s">
        <v>80875</v>
      </c>
      <c r="C16030" s="3" t="s">
        <v>31</v>
      </c>
      <c r="D16030" s="3" t="s">
        <v>32</v>
      </c>
      <c r="E16030" s="4" t="s">
        <v>22</v>
      </c>
      <c r="F16030" s="4" t="s">
        <v>80876</v>
      </c>
      <c r="G16030" s="4" t="s">
        <v>80877</v>
      </c>
      <c r="H16030" s="3" t="s">
        <v>79360</v>
      </c>
      <c r="I16030" s="3" t="s">
        <v>80878</v>
      </c>
      <c r="J16030" s="3" t="s">
        <v>2901</v>
      </c>
      <c r="K16030" s="3" t="s">
        <v>80879</v>
      </c>
      <c r="L16030" s="3"/>
      <c r="M16030" s="4"/>
      <c r="N16030" s="3" t="s">
        <v>37</v>
      </c>
      <c r="O16030" s="3" t="s">
        <v>38</v>
      </c>
      <c r="P16030" s="5">
        <v>7</v>
      </c>
      <c r="Q16030" s="5">
        <v>60</v>
      </c>
      <c r="R16030" s="5">
        <v>7</v>
      </c>
      <c r="S16030" s="5">
        <v>62</v>
      </c>
    </row>
    <row r="16031" spans="1:19" ht="42" x14ac:dyDescent="0.15">
      <c r="A16031" s="2">
        <f>HYPERLINK("https://open-school.uspishnemisto.com.ua/school/740339/", 740339)</f>
        <v>740339</v>
      </c>
      <c r="B16031" s="3" t="s">
        <v>80880</v>
      </c>
      <c r="C16031" s="3" t="s">
        <v>31</v>
      </c>
      <c r="D16031" s="3" t="s">
        <v>32</v>
      </c>
      <c r="E16031" s="4" t="s">
        <v>22</v>
      </c>
      <c r="F16031" s="4" t="s">
        <v>80881</v>
      </c>
      <c r="G16031" s="4" t="s">
        <v>80882</v>
      </c>
      <c r="H16031" s="3" t="s">
        <v>79360</v>
      </c>
      <c r="I16031" s="3" t="s">
        <v>80883</v>
      </c>
      <c r="J16031" s="3" t="s">
        <v>2745</v>
      </c>
      <c r="K16031" s="3" t="s">
        <v>80884</v>
      </c>
      <c r="L16031" s="3"/>
      <c r="M16031" s="4"/>
      <c r="N16031" s="3" t="s">
        <v>37</v>
      </c>
      <c r="O16031" s="3" t="s">
        <v>38</v>
      </c>
      <c r="P16031" s="5">
        <v>14</v>
      </c>
      <c r="Q16031" s="5">
        <v>292</v>
      </c>
      <c r="R16031" s="5">
        <v>14</v>
      </c>
      <c r="S16031" s="5">
        <v>292</v>
      </c>
    </row>
    <row r="16032" spans="1:19" ht="28" x14ac:dyDescent="0.15">
      <c r="A16032" s="2">
        <f>HYPERLINK("https://open-school.uspishnemisto.com.ua/school/740340/", 740340)</f>
        <v>740340</v>
      </c>
      <c r="B16032" s="3" t="s">
        <v>80885</v>
      </c>
      <c r="C16032" s="3" t="s">
        <v>31</v>
      </c>
      <c r="D16032" s="3" t="s">
        <v>32</v>
      </c>
      <c r="E16032" s="4" t="s">
        <v>22</v>
      </c>
      <c r="F16032" s="4" t="s">
        <v>80886</v>
      </c>
      <c r="G16032" s="4" t="s">
        <v>80887</v>
      </c>
      <c r="H16032" s="3" t="s">
        <v>79360</v>
      </c>
      <c r="I16032" s="3" t="s">
        <v>80888</v>
      </c>
      <c r="J16032" s="3" t="s">
        <v>7304</v>
      </c>
      <c r="K16032" s="3" t="s">
        <v>80889</v>
      </c>
      <c r="L16032" s="3"/>
      <c r="M16032" s="4"/>
      <c r="N16032" s="3" t="s">
        <v>37</v>
      </c>
      <c r="O16032" s="3" t="s">
        <v>38</v>
      </c>
      <c r="P16032" s="5">
        <v>10</v>
      </c>
      <c r="Q16032" s="5">
        <v>77</v>
      </c>
      <c r="R16032" s="5">
        <v>10</v>
      </c>
      <c r="S16032" s="5">
        <v>84</v>
      </c>
    </row>
    <row r="16033" spans="1:19" ht="28" x14ac:dyDescent="0.15">
      <c r="A16033" s="2">
        <f>HYPERLINK("https://open-school.uspishnemisto.com.ua/school/740341/", 740341)</f>
        <v>740341</v>
      </c>
      <c r="B16033" s="3" t="s">
        <v>80890</v>
      </c>
      <c r="C16033" s="3" t="s">
        <v>31</v>
      </c>
      <c r="D16033" s="3" t="s">
        <v>175</v>
      </c>
      <c r="E16033" s="4" t="s">
        <v>22</v>
      </c>
      <c r="F16033" s="4" t="s">
        <v>80891</v>
      </c>
      <c r="G16033" s="4" t="s">
        <v>80892</v>
      </c>
      <c r="H16033" s="3" t="s">
        <v>79360</v>
      </c>
      <c r="I16033" s="3" t="s">
        <v>80893</v>
      </c>
      <c r="J16033" s="3" t="s">
        <v>80894</v>
      </c>
      <c r="K16033" s="3" t="s">
        <v>80895</v>
      </c>
      <c r="L16033" s="3"/>
      <c r="M16033" s="4"/>
      <c r="N16033" s="3" t="s">
        <v>37</v>
      </c>
      <c r="O16033" s="3" t="s">
        <v>38</v>
      </c>
      <c r="P16033" s="5">
        <v>8</v>
      </c>
      <c r="Q16033" s="5">
        <v>84</v>
      </c>
      <c r="R16033" s="5">
        <v>8</v>
      </c>
      <c r="S16033" s="5">
        <v>80</v>
      </c>
    </row>
    <row r="16034" spans="1:19" ht="56" x14ac:dyDescent="0.15">
      <c r="A16034" s="2">
        <f>HYPERLINK("https://open-school.uspishnemisto.com.ua/school/740342/", 740342)</f>
        <v>740342</v>
      </c>
      <c r="B16034" s="3" t="s">
        <v>80896</v>
      </c>
      <c r="C16034" s="3" t="s">
        <v>54</v>
      </c>
      <c r="D16034" s="3" t="s">
        <v>175</v>
      </c>
      <c r="E16034" s="4" t="s">
        <v>22</v>
      </c>
      <c r="F16034" s="4" t="s">
        <v>80891</v>
      </c>
      <c r="G16034" s="4" t="s">
        <v>80897</v>
      </c>
      <c r="H16034" s="3" t="s">
        <v>79360</v>
      </c>
      <c r="I16034" s="3" t="s">
        <v>79731</v>
      </c>
      <c r="J16034" s="3" t="s">
        <v>2966</v>
      </c>
      <c r="K16034" s="3" t="s">
        <v>80898</v>
      </c>
      <c r="L16034" s="3"/>
      <c r="M16034" s="4"/>
      <c r="N16034" s="3" t="s">
        <v>37</v>
      </c>
      <c r="O16034" s="3" t="s">
        <v>52</v>
      </c>
      <c r="P16034" s="5">
        <v>6</v>
      </c>
      <c r="Q16034" s="5">
        <v>45</v>
      </c>
      <c r="R16034" s="5">
        <v>5</v>
      </c>
      <c r="S16034" s="5">
        <v>41</v>
      </c>
    </row>
    <row r="16035" spans="1:19" ht="56" x14ac:dyDescent="0.15">
      <c r="A16035" s="2">
        <f>HYPERLINK("https://open-school.uspishnemisto.com.ua/school/740343/", 740343)</f>
        <v>740343</v>
      </c>
      <c r="B16035" s="3" t="s">
        <v>80899</v>
      </c>
      <c r="C16035" s="3" t="s">
        <v>54</v>
      </c>
      <c r="D16035" s="3" t="s">
        <v>32</v>
      </c>
      <c r="E16035" s="4" t="s">
        <v>22</v>
      </c>
      <c r="F16035" s="4" t="s">
        <v>80900</v>
      </c>
      <c r="G16035" s="4" t="s">
        <v>80901</v>
      </c>
      <c r="H16035" s="3" t="s">
        <v>79360</v>
      </c>
      <c r="I16035" s="3" t="s">
        <v>80902</v>
      </c>
      <c r="J16035" s="3" t="s">
        <v>19284</v>
      </c>
      <c r="K16035" s="3" t="s">
        <v>80903</v>
      </c>
      <c r="L16035" s="3" t="s">
        <v>80904</v>
      </c>
      <c r="M16035" s="4"/>
      <c r="N16035" s="3" t="s">
        <v>37</v>
      </c>
      <c r="O16035" s="3" t="s">
        <v>38</v>
      </c>
      <c r="P16035" s="5">
        <v>3</v>
      </c>
      <c r="Q16035" s="5">
        <v>30</v>
      </c>
      <c r="R16035" s="5">
        <v>3</v>
      </c>
      <c r="S16035" s="5">
        <v>33</v>
      </c>
    </row>
    <row r="16036" spans="1:19" ht="28" x14ac:dyDescent="0.15">
      <c r="A16036" s="2">
        <f>HYPERLINK("https://open-school.uspishnemisto.com.ua/school/740344/", 740344)</f>
        <v>740344</v>
      </c>
      <c r="B16036" s="3" t="s">
        <v>80905</v>
      </c>
      <c r="C16036" s="3" t="s">
        <v>31</v>
      </c>
      <c r="D16036" s="3" t="s">
        <v>175</v>
      </c>
      <c r="E16036" s="4" t="s">
        <v>22</v>
      </c>
      <c r="F16036" s="4" t="s">
        <v>80906</v>
      </c>
      <c r="G16036" s="4" t="s">
        <v>80907</v>
      </c>
      <c r="H16036" s="3" t="s">
        <v>79360</v>
      </c>
      <c r="I16036" s="3" t="s">
        <v>80908</v>
      </c>
      <c r="J16036" s="3" t="s">
        <v>125</v>
      </c>
      <c r="K16036" s="3" t="s">
        <v>80909</v>
      </c>
      <c r="L16036" s="3"/>
      <c r="M16036" s="4"/>
      <c r="N16036" s="3" t="s">
        <v>37</v>
      </c>
      <c r="O16036" s="3" t="s">
        <v>52</v>
      </c>
      <c r="P16036" s="5">
        <v>2</v>
      </c>
      <c r="Q16036" s="5">
        <v>32</v>
      </c>
      <c r="R16036" s="5">
        <v>1</v>
      </c>
      <c r="S16036" s="5">
        <v>28</v>
      </c>
    </row>
    <row r="16037" spans="1:19" ht="28" x14ac:dyDescent="0.15">
      <c r="A16037" s="2">
        <f>HYPERLINK("https://open-school.uspishnemisto.com.ua/school/740345/", 740345)</f>
        <v>740345</v>
      </c>
      <c r="B16037" s="3" t="s">
        <v>80910</v>
      </c>
      <c r="C16037" s="3" t="s">
        <v>31</v>
      </c>
      <c r="D16037" s="3" t="s">
        <v>32</v>
      </c>
      <c r="E16037" s="4" t="s">
        <v>22</v>
      </c>
      <c r="F16037" s="4" t="s">
        <v>80911</v>
      </c>
      <c r="G16037" s="4" t="s">
        <v>80912</v>
      </c>
      <c r="H16037" s="3" t="s">
        <v>79360</v>
      </c>
      <c r="I16037" s="3" t="s">
        <v>80913</v>
      </c>
      <c r="J16037" s="3" t="s">
        <v>80914</v>
      </c>
      <c r="K16037" s="3" t="s">
        <v>80915</v>
      </c>
      <c r="L16037" s="3" t="s">
        <v>80916</v>
      </c>
      <c r="M16037" s="4"/>
      <c r="N16037" s="3" t="s">
        <v>37</v>
      </c>
      <c r="O16037" s="3" t="s">
        <v>38</v>
      </c>
      <c r="P16037" s="5">
        <v>10</v>
      </c>
      <c r="Q16037" s="5">
        <v>109</v>
      </c>
      <c r="R16037" s="5">
        <v>10</v>
      </c>
      <c r="S16037" s="5">
        <v>105</v>
      </c>
    </row>
    <row r="16038" spans="1:19" ht="28" x14ac:dyDescent="0.15">
      <c r="A16038" s="2">
        <f>HYPERLINK("https://open-school.uspishnemisto.com.ua/school/740346/", 740346)</f>
        <v>740346</v>
      </c>
      <c r="B16038" s="3" t="s">
        <v>80917</v>
      </c>
      <c r="C16038" s="3" t="s">
        <v>31</v>
      </c>
      <c r="D16038" s="3" t="s">
        <v>32</v>
      </c>
      <c r="E16038" s="4" t="s">
        <v>22</v>
      </c>
      <c r="F16038" s="4" t="s">
        <v>80918</v>
      </c>
      <c r="G16038" s="4" t="s">
        <v>80919</v>
      </c>
      <c r="H16038" s="3" t="s">
        <v>79360</v>
      </c>
      <c r="I16038" s="3" t="s">
        <v>80920</v>
      </c>
      <c r="J16038" s="3" t="s">
        <v>80921</v>
      </c>
      <c r="K16038" s="3" t="s">
        <v>80922</v>
      </c>
      <c r="L16038" s="3"/>
      <c r="M16038" s="4"/>
      <c r="N16038" s="3" t="s">
        <v>37</v>
      </c>
      <c r="O16038" s="3" t="s">
        <v>38</v>
      </c>
      <c r="P16038" s="5">
        <v>9</v>
      </c>
      <c r="Q16038" s="5">
        <v>66</v>
      </c>
      <c r="R16038" s="5">
        <v>5</v>
      </c>
      <c r="S16038" s="5">
        <v>51</v>
      </c>
    </row>
    <row r="16039" spans="1:19" ht="56" x14ac:dyDescent="0.15">
      <c r="A16039" s="2">
        <f>HYPERLINK("https://open-school.uspishnemisto.com.ua/school/740347/", 740347)</f>
        <v>740347</v>
      </c>
      <c r="B16039" s="3" t="s">
        <v>80923</v>
      </c>
      <c r="C16039" s="3" t="s">
        <v>54</v>
      </c>
      <c r="D16039" s="3" t="s">
        <v>175</v>
      </c>
      <c r="E16039" s="4" t="s">
        <v>22</v>
      </c>
      <c r="F16039" s="4" t="s">
        <v>80924</v>
      </c>
      <c r="G16039" s="4" t="s">
        <v>80925</v>
      </c>
      <c r="H16039" s="3" t="s">
        <v>79360</v>
      </c>
      <c r="I16039" s="3" t="s">
        <v>80926</v>
      </c>
      <c r="J16039" s="3" t="s">
        <v>7112</v>
      </c>
      <c r="K16039" s="3" t="s">
        <v>80927</v>
      </c>
      <c r="L16039" s="3"/>
      <c r="M16039" s="4"/>
      <c r="N16039" s="3" t="s">
        <v>37</v>
      </c>
      <c r="O16039" s="3" t="s">
        <v>52</v>
      </c>
      <c r="P16039" s="5">
        <v>1</v>
      </c>
      <c r="Q16039" s="5">
        <v>15</v>
      </c>
      <c r="R16039" s="5">
        <v>2</v>
      </c>
      <c r="S16039" s="5">
        <v>27</v>
      </c>
    </row>
    <row r="16040" spans="1:19" ht="56" x14ac:dyDescent="0.15">
      <c r="A16040" s="2">
        <f>HYPERLINK("https://open-school.uspishnemisto.com.ua/school/740348/", 740348)</f>
        <v>740348</v>
      </c>
      <c r="B16040" s="3" t="s">
        <v>80928</v>
      </c>
      <c r="C16040" s="3" t="s">
        <v>54</v>
      </c>
      <c r="D16040" s="3" t="s">
        <v>175</v>
      </c>
      <c r="E16040" s="4" t="s">
        <v>22</v>
      </c>
      <c r="F16040" s="4" t="s">
        <v>80929</v>
      </c>
      <c r="G16040" s="4" t="s">
        <v>80930</v>
      </c>
      <c r="H16040" s="3" t="s">
        <v>79360</v>
      </c>
      <c r="I16040" s="3" t="s">
        <v>80931</v>
      </c>
      <c r="J16040" s="3" t="s">
        <v>80932</v>
      </c>
      <c r="K16040" s="3" t="s">
        <v>80933</v>
      </c>
      <c r="L16040" s="3" t="s">
        <v>80934</v>
      </c>
      <c r="M16040" s="4"/>
      <c r="N16040" s="3" t="s">
        <v>37</v>
      </c>
      <c r="O16040" s="3" t="s">
        <v>52</v>
      </c>
      <c r="P16040" s="5">
        <v>5</v>
      </c>
      <c r="Q16040" s="5">
        <v>43</v>
      </c>
      <c r="R16040" s="5">
        <v>4</v>
      </c>
      <c r="S16040" s="5">
        <v>39</v>
      </c>
    </row>
    <row r="16041" spans="1:19" ht="28" x14ac:dyDescent="0.15">
      <c r="A16041" s="2">
        <f>HYPERLINK("https://open-school.uspishnemisto.com.ua/school/740349/", 740349)</f>
        <v>740349</v>
      </c>
      <c r="B16041" s="3" t="s">
        <v>80935</v>
      </c>
      <c r="C16041" s="3" t="s">
        <v>31</v>
      </c>
      <c r="D16041" s="3" t="s">
        <v>175</v>
      </c>
      <c r="E16041" s="4" t="s">
        <v>22</v>
      </c>
      <c r="F16041" s="4" t="s">
        <v>80936</v>
      </c>
      <c r="G16041" s="4" t="s">
        <v>80937</v>
      </c>
      <c r="H16041" s="3" t="s">
        <v>79360</v>
      </c>
      <c r="I16041" s="3" t="s">
        <v>80938</v>
      </c>
      <c r="J16041" s="3" t="s">
        <v>80939</v>
      </c>
      <c r="K16041" s="3" t="s">
        <v>80940</v>
      </c>
      <c r="L16041" s="3"/>
      <c r="M16041" s="4"/>
      <c r="N16041" s="3" t="s">
        <v>37</v>
      </c>
      <c r="O16041" s="3" t="s">
        <v>52</v>
      </c>
      <c r="P16041" s="5">
        <v>2</v>
      </c>
      <c r="Q16041" s="5">
        <v>28</v>
      </c>
      <c r="R16041" s="5">
        <v>1</v>
      </c>
      <c r="S16041" s="5">
        <v>26</v>
      </c>
    </row>
    <row r="16042" spans="1:19" ht="56" x14ac:dyDescent="0.15">
      <c r="A16042" s="2">
        <f>HYPERLINK("https://open-school.uspishnemisto.com.ua/school/740350/", 740350)</f>
        <v>740350</v>
      </c>
      <c r="B16042" s="3" t="s">
        <v>80941</v>
      </c>
      <c r="C16042" s="3" t="s">
        <v>54</v>
      </c>
      <c r="D16042" s="3" t="s">
        <v>32</v>
      </c>
      <c r="E16042" s="4" t="s">
        <v>22</v>
      </c>
      <c r="F16042" s="4" t="s">
        <v>80942</v>
      </c>
      <c r="G16042" s="4" t="s">
        <v>80943</v>
      </c>
      <c r="H16042" s="3" t="s">
        <v>79360</v>
      </c>
      <c r="I16042" s="3" t="s">
        <v>1752</v>
      </c>
      <c r="J16042" s="3" t="s">
        <v>3501</v>
      </c>
      <c r="K16042" s="3" t="s">
        <v>80944</v>
      </c>
      <c r="L16042" s="3"/>
      <c r="M16042" s="4"/>
      <c r="N16042" s="3" t="s">
        <v>37</v>
      </c>
      <c r="O16042" s="3" t="s">
        <v>38</v>
      </c>
      <c r="P16042" s="5">
        <v>10</v>
      </c>
      <c r="Q16042" s="5">
        <v>75</v>
      </c>
      <c r="R16042" s="5">
        <v>10</v>
      </c>
      <c r="S16042" s="5">
        <v>86</v>
      </c>
    </row>
    <row r="16043" spans="1:19" ht="56" x14ac:dyDescent="0.15">
      <c r="A16043" s="2">
        <f>HYPERLINK("https://open-school.uspishnemisto.com.ua/school/740351/", 740351)</f>
        <v>740351</v>
      </c>
      <c r="B16043" s="3" t="s">
        <v>80945</v>
      </c>
      <c r="C16043" s="3" t="s">
        <v>54</v>
      </c>
      <c r="D16043" s="3" t="s">
        <v>32</v>
      </c>
      <c r="E16043" s="4" t="s">
        <v>22</v>
      </c>
      <c r="F16043" s="4" t="s">
        <v>80946</v>
      </c>
      <c r="G16043" s="4" t="s">
        <v>80947</v>
      </c>
      <c r="H16043" s="3" t="s">
        <v>79360</v>
      </c>
      <c r="I16043" s="3" t="s">
        <v>80948</v>
      </c>
      <c r="J16043" s="3" t="s">
        <v>1272</v>
      </c>
      <c r="K16043" s="3" t="s">
        <v>80949</v>
      </c>
      <c r="L16043" s="3"/>
      <c r="M16043" s="4"/>
      <c r="N16043" s="3" t="s">
        <v>37</v>
      </c>
      <c r="O16043" s="3" t="s">
        <v>52</v>
      </c>
      <c r="P16043" s="5">
        <v>8</v>
      </c>
      <c r="Q16043" s="5">
        <v>59</v>
      </c>
      <c r="R16043" s="5">
        <v>8</v>
      </c>
      <c r="S16043" s="5">
        <v>60</v>
      </c>
    </row>
    <row r="16044" spans="1:19" ht="56" x14ac:dyDescent="0.15">
      <c r="A16044" s="2">
        <f>HYPERLINK("https://open-school.uspishnemisto.com.ua/school/740352/", 740352)</f>
        <v>740352</v>
      </c>
      <c r="B16044" s="3" t="s">
        <v>80950</v>
      </c>
      <c r="C16044" s="3" t="s">
        <v>54</v>
      </c>
      <c r="D16044" s="3" t="s">
        <v>32</v>
      </c>
      <c r="E16044" s="4" t="s">
        <v>22</v>
      </c>
      <c r="F16044" s="4" t="s">
        <v>80951</v>
      </c>
      <c r="G16044" s="4" t="s">
        <v>80952</v>
      </c>
      <c r="H16044" s="3" t="s">
        <v>79360</v>
      </c>
      <c r="I16044" s="3" t="s">
        <v>29582</v>
      </c>
      <c r="J16044" s="3" t="s">
        <v>6394</v>
      </c>
      <c r="K16044" s="3" t="s">
        <v>80953</v>
      </c>
      <c r="L16044" s="3"/>
      <c r="M16044" s="4"/>
      <c r="N16044" s="3" t="s">
        <v>37</v>
      </c>
      <c r="O16044" s="3" t="s">
        <v>38</v>
      </c>
      <c r="P16044" s="5">
        <v>6</v>
      </c>
      <c r="Q16044" s="5">
        <v>46</v>
      </c>
      <c r="R16044" s="5">
        <v>8</v>
      </c>
      <c r="S16044" s="5">
        <v>50</v>
      </c>
    </row>
    <row r="16045" spans="1:19" ht="28" x14ac:dyDescent="0.15">
      <c r="A16045" s="2">
        <f>HYPERLINK("https://open-school.uspishnemisto.com.ua/school/740354/", 740354)</f>
        <v>740354</v>
      </c>
      <c r="B16045" s="3" t="s">
        <v>80954</v>
      </c>
      <c r="C16045" s="3" t="s">
        <v>31</v>
      </c>
      <c r="D16045" s="3" t="s">
        <v>32</v>
      </c>
      <c r="E16045" s="4" t="s">
        <v>22</v>
      </c>
      <c r="F16045" s="4" t="s">
        <v>80955</v>
      </c>
      <c r="G16045" s="4" t="s">
        <v>80956</v>
      </c>
      <c r="H16045" s="3" t="s">
        <v>79360</v>
      </c>
      <c r="I16045" s="3" t="s">
        <v>80957</v>
      </c>
      <c r="J16045" s="3" t="s">
        <v>466</v>
      </c>
      <c r="K16045" s="3" t="s">
        <v>80958</v>
      </c>
      <c r="L16045" s="3" t="s">
        <v>80959</v>
      </c>
      <c r="M16045" s="4"/>
      <c r="N16045" s="3" t="s">
        <v>37</v>
      </c>
      <c r="O16045" s="3" t="s">
        <v>52</v>
      </c>
      <c r="P16045" s="5">
        <v>11</v>
      </c>
      <c r="Q16045" s="5">
        <v>126</v>
      </c>
      <c r="R16045" s="5">
        <v>11</v>
      </c>
      <c r="S16045" s="5">
        <v>132</v>
      </c>
    </row>
    <row r="16046" spans="1:19" ht="56" x14ac:dyDescent="0.15">
      <c r="A16046" s="2">
        <f>HYPERLINK("https://open-school.uspishnemisto.com.ua/school/740355/", 740355)</f>
        <v>740355</v>
      </c>
      <c r="B16046" s="3" t="s">
        <v>80960</v>
      </c>
      <c r="C16046" s="3" t="s">
        <v>54</v>
      </c>
      <c r="D16046" s="3" t="s">
        <v>32</v>
      </c>
      <c r="E16046" s="4" t="s">
        <v>22</v>
      </c>
      <c r="F16046" s="4" t="s">
        <v>80961</v>
      </c>
      <c r="G16046" s="4" t="s">
        <v>80962</v>
      </c>
      <c r="H16046" s="3" t="s">
        <v>79360</v>
      </c>
      <c r="I16046" s="3" t="s">
        <v>34358</v>
      </c>
      <c r="J16046" s="3" t="s">
        <v>2745</v>
      </c>
      <c r="K16046" s="3" t="s">
        <v>80963</v>
      </c>
      <c r="L16046" s="3" t="s">
        <v>80964</v>
      </c>
      <c r="M16046" s="4"/>
      <c r="N16046" s="3" t="s">
        <v>37</v>
      </c>
      <c r="O16046" s="3" t="s">
        <v>38</v>
      </c>
      <c r="P16046" s="5">
        <v>7</v>
      </c>
      <c r="Q16046" s="5">
        <v>48</v>
      </c>
      <c r="R16046" s="5">
        <v>4</v>
      </c>
      <c r="S16046" s="5">
        <v>42</v>
      </c>
    </row>
    <row r="16047" spans="1:19" ht="56" x14ac:dyDescent="0.15">
      <c r="A16047" s="2">
        <f>HYPERLINK("https://open-school.uspishnemisto.com.ua/school/740356/", 740356)</f>
        <v>740356</v>
      </c>
      <c r="B16047" s="3" t="s">
        <v>80965</v>
      </c>
      <c r="C16047" s="3" t="s">
        <v>54</v>
      </c>
      <c r="D16047" s="3" t="s">
        <v>175</v>
      </c>
      <c r="E16047" s="4" t="s">
        <v>22</v>
      </c>
      <c r="F16047" s="4" t="s">
        <v>80966</v>
      </c>
      <c r="G16047" s="4" t="s">
        <v>80967</v>
      </c>
      <c r="H16047" s="3" t="s">
        <v>79360</v>
      </c>
      <c r="I16047" s="3" t="s">
        <v>80968</v>
      </c>
      <c r="J16047" s="3" t="s">
        <v>80969</v>
      </c>
      <c r="K16047" s="3" t="s">
        <v>80970</v>
      </c>
      <c r="L16047" s="3" t="s">
        <v>80971</v>
      </c>
      <c r="M16047" s="4"/>
      <c r="N16047" s="3" t="s">
        <v>37</v>
      </c>
      <c r="O16047" s="3" t="s">
        <v>52</v>
      </c>
      <c r="P16047" s="5">
        <v>3</v>
      </c>
      <c r="Q16047" s="5">
        <v>31</v>
      </c>
      <c r="R16047" s="5">
        <v>1</v>
      </c>
      <c r="S16047" s="5">
        <v>28</v>
      </c>
    </row>
    <row r="16048" spans="1:19" ht="56" x14ac:dyDescent="0.15">
      <c r="A16048" s="2">
        <f>HYPERLINK("https://open-school.uspishnemisto.com.ua/school/740357/", 740357)</f>
        <v>740357</v>
      </c>
      <c r="B16048" s="3" t="s">
        <v>80972</v>
      </c>
      <c r="C16048" s="3" t="s">
        <v>54</v>
      </c>
      <c r="D16048" s="3" t="s">
        <v>32</v>
      </c>
      <c r="E16048" s="4" t="s">
        <v>22</v>
      </c>
      <c r="F16048" s="4" t="s">
        <v>80973</v>
      </c>
      <c r="G16048" s="4" t="s">
        <v>80974</v>
      </c>
      <c r="H16048" s="3" t="s">
        <v>79360</v>
      </c>
      <c r="I16048" s="3" t="s">
        <v>80975</v>
      </c>
      <c r="J16048" s="3" t="s">
        <v>80976</v>
      </c>
      <c r="K16048" s="3" t="s">
        <v>80977</v>
      </c>
      <c r="L16048" s="3"/>
      <c r="M16048" s="4"/>
      <c r="N16048" s="3" t="s">
        <v>37</v>
      </c>
      <c r="O16048" s="3" t="s">
        <v>38</v>
      </c>
      <c r="P16048" s="5">
        <v>3</v>
      </c>
      <c r="Q16048" s="5">
        <v>39</v>
      </c>
      <c r="R16048" s="5">
        <v>4</v>
      </c>
      <c r="S16048" s="5">
        <v>42</v>
      </c>
    </row>
    <row r="16049" spans="1:19" ht="28" x14ac:dyDescent="0.15">
      <c r="A16049" s="2">
        <f>HYPERLINK("https://open-school.uspishnemisto.com.ua/school/740358/", 740358)</f>
        <v>740358</v>
      </c>
      <c r="B16049" s="3" t="s">
        <v>80978</v>
      </c>
      <c r="C16049" s="3" t="s">
        <v>54</v>
      </c>
      <c r="D16049" s="3" t="s">
        <v>32</v>
      </c>
      <c r="E16049" s="4" t="s">
        <v>22</v>
      </c>
      <c r="F16049" s="4" t="s">
        <v>80979</v>
      </c>
      <c r="G16049" s="4" t="s">
        <v>80980</v>
      </c>
      <c r="H16049" s="3" t="s">
        <v>79360</v>
      </c>
      <c r="I16049" s="3" t="s">
        <v>80771</v>
      </c>
      <c r="J16049" s="3" t="s">
        <v>18645</v>
      </c>
      <c r="K16049" s="3" t="s">
        <v>80981</v>
      </c>
      <c r="L16049" s="3" t="s">
        <v>80982</v>
      </c>
      <c r="M16049" s="4"/>
      <c r="N16049" s="3" t="s">
        <v>37</v>
      </c>
      <c r="O16049" s="3" t="s">
        <v>70</v>
      </c>
      <c r="P16049" s="5">
        <v>11</v>
      </c>
      <c r="Q16049" s="5">
        <v>71</v>
      </c>
      <c r="R16049" s="5">
        <v>11</v>
      </c>
      <c r="S16049" s="5">
        <v>74</v>
      </c>
    </row>
    <row r="16050" spans="1:19" ht="28" x14ac:dyDescent="0.15">
      <c r="A16050" s="2">
        <f>HYPERLINK("https://open-school.uspishnemisto.com.ua/school/740359/", 740359)</f>
        <v>740359</v>
      </c>
      <c r="B16050" s="3" t="s">
        <v>80983</v>
      </c>
      <c r="C16050" s="3" t="s">
        <v>31</v>
      </c>
      <c r="D16050" s="3" t="s">
        <v>175</v>
      </c>
      <c r="E16050" s="4" t="s">
        <v>22</v>
      </c>
      <c r="F16050" s="4"/>
      <c r="G16050" s="4" t="s">
        <v>80984</v>
      </c>
      <c r="H16050" s="3" t="s">
        <v>79360</v>
      </c>
      <c r="I16050" s="3" t="s">
        <v>80985</v>
      </c>
      <c r="J16050" s="3" t="s">
        <v>40779</v>
      </c>
      <c r="K16050" s="3"/>
      <c r="L16050" s="3"/>
      <c r="M16050" s="4"/>
      <c r="N16050" s="3" t="s">
        <v>37</v>
      </c>
      <c r="O16050" s="3" t="s">
        <v>46</v>
      </c>
      <c r="P16050" s="5">
        <v>3</v>
      </c>
      <c r="Q16050" s="5">
        <v>31</v>
      </c>
      <c r="R16050" s="5">
        <v>2</v>
      </c>
      <c r="S16050" s="5">
        <v>26</v>
      </c>
    </row>
    <row r="16051" spans="1:19" ht="28" x14ac:dyDescent="0.15">
      <c r="A16051" s="2">
        <f>HYPERLINK("https://open-school.uspishnemisto.com.ua/school/740360/", 740360)</f>
        <v>740360</v>
      </c>
      <c r="B16051" s="3" t="s">
        <v>80986</v>
      </c>
      <c r="C16051" s="3" t="s">
        <v>54</v>
      </c>
      <c r="D16051" s="3" t="s">
        <v>175</v>
      </c>
      <c r="E16051" s="4" t="s">
        <v>22</v>
      </c>
      <c r="F16051" s="4" t="s">
        <v>80987</v>
      </c>
      <c r="G16051" s="4" t="s">
        <v>80988</v>
      </c>
      <c r="H16051" s="3" t="s">
        <v>79360</v>
      </c>
      <c r="I16051" s="3" t="s">
        <v>80989</v>
      </c>
      <c r="J16051" s="3" t="s">
        <v>10965</v>
      </c>
      <c r="K16051" s="3" t="s">
        <v>80990</v>
      </c>
      <c r="L16051" s="3"/>
      <c r="M16051" s="4"/>
      <c r="N16051" s="3" t="s">
        <v>37</v>
      </c>
      <c r="O16051" s="3" t="s">
        <v>38</v>
      </c>
      <c r="P16051" s="5">
        <v>2</v>
      </c>
      <c r="Q16051" s="5">
        <v>25</v>
      </c>
      <c r="R16051" s="5">
        <v>2</v>
      </c>
      <c r="S16051" s="5">
        <v>28</v>
      </c>
    </row>
    <row r="16052" spans="1:19" ht="56" x14ac:dyDescent="0.15">
      <c r="A16052" s="2">
        <f>HYPERLINK("https://open-school.uspishnemisto.com.ua/school/740361/", 740361)</f>
        <v>740361</v>
      </c>
      <c r="B16052" s="3" t="s">
        <v>80991</v>
      </c>
      <c r="C16052" s="3" t="s">
        <v>54</v>
      </c>
      <c r="D16052" s="3" t="s">
        <v>32</v>
      </c>
      <c r="E16052" s="4" t="s">
        <v>22</v>
      </c>
      <c r="F16052" s="4" t="s">
        <v>80992</v>
      </c>
      <c r="G16052" s="4" t="s">
        <v>80993</v>
      </c>
      <c r="H16052" s="3" t="s">
        <v>79360</v>
      </c>
      <c r="I16052" s="3" t="s">
        <v>80994</v>
      </c>
      <c r="J16052" s="3" t="s">
        <v>80995</v>
      </c>
      <c r="K16052" s="3" t="s">
        <v>80996</v>
      </c>
      <c r="L16052" s="3"/>
      <c r="M16052" s="4"/>
      <c r="N16052" s="3" t="s">
        <v>37</v>
      </c>
      <c r="O16052" s="3" t="s">
        <v>38</v>
      </c>
      <c r="P16052" s="5">
        <v>5</v>
      </c>
      <c r="Q16052" s="5">
        <v>46</v>
      </c>
      <c r="R16052" s="5">
        <v>4</v>
      </c>
      <c r="S16052" s="5">
        <v>39</v>
      </c>
    </row>
    <row r="16053" spans="1:19" ht="28" x14ac:dyDescent="0.15">
      <c r="A16053" s="2">
        <f>HYPERLINK("https://open-school.uspishnemisto.com.ua/school/740362/", 740362)</f>
        <v>740362</v>
      </c>
      <c r="B16053" s="3" t="s">
        <v>80997</v>
      </c>
      <c r="C16053" s="3" t="s">
        <v>31</v>
      </c>
      <c r="D16053" s="3" t="s">
        <v>32</v>
      </c>
      <c r="E16053" s="4" t="s">
        <v>22</v>
      </c>
      <c r="F16053" s="4" t="s">
        <v>80998</v>
      </c>
      <c r="G16053" s="4" t="s">
        <v>80999</v>
      </c>
      <c r="H16053" s="3" t="s">
        <v>79360</v>
      </c>
      <c r="I16053" s="3" t="s">
        <v>81000</v>
      </c>
      <c r="J16053" s="3" t="s">
        <v>81001</v>
      </c>
      <c r="K16053" s="3" t="s">
        <v>81002</v>
      </c>
      <c r="L16053" s="3"/>
      <c r="M16053" s="4"/>
      <c r="N16053" s="3" t="s">
        <v>37</v>
      </c>
      <c r="O16053" s="3" t="s">
        <v>52</v>
      </c>
      <c r="P16053" s="5">
        <v>11</v>
      </c>
      <c r="Q16053" s="5">
        <v>129</v>
      </c>
      <c r="R16053" s="5">
        <v>11</v>
      </c>
      <c r="S16053" s="5">
        <v>119</v>
      </c>
    </row>
    <row r="16054" spans="1:19" ht="28" x14ac:dyDescent="0.15">
      <c r="A16054" s="2">
        <f>HYPERLINK("https://open-school.uspishnemisto.com.ua/school/740363/", 740363)</f>
        <v>740363</v>
      </c>
      <c r="B16054" s="3" t="s">
        <v>81003</v>
      </c>
      <c r="C16054" s="3" t="s">
        <v>54</v>
      </c>
      <c r="D16054" s="3" t="s">
        <v>32</v>
      </c>
      <c r="E16054" s="4" t="s">
        <v>22</v>
      </c>
      <c r="F16054" s="4" t="s">
        <v>81004</v>
      </c>
      <c r="G16054" s="4" t="s">
        <v>81005</v>
      </c>
      <c r="H16054" s="3" t="s">
        <v>79360</v>
      </c>
      <c r="I16054" s="3" t="s">
        <v>81006</v>
      </c>
      <c r="J16054" s="3" t="s">
        <v>81007</v>
      </c>
      <c r="K16054" s="3" t="s">
        <v>81008</v>
      </c>
      <c r="L16054" s="3"/>
      <c r="M16054" s="4"/>
      <c r="N16054" s="3" t="s">
        <v>37</v>
      </c>
      <c r="O16054" s="3" t="s">
        <v>38</v>
      </c>
      <c r="P16054" s="5">
        <v>10</v>
      </c>
      <c r="Q16054" s="5">
        <v>84</v>
      </c>
      <c r="R16054" s="5">
        <v>10</v>
      </c>
      <c r="S16054" s="5">
        <v>89</v>
      </c>
    </row>
    <row r="16055" spans="1:19" ht="28" x14ac:dyDescent="0.15">
      <c r="A16055" s="2">
        <f>HYPERLINK("https://open-school.uspishnemisto.com.ua/school/740364/", 740364)</f>
        <v>740364</v>
      </c>
      <c r="B16055" s="3" t="s">
        <v>81009</v>
      </c>
      <c r="C16055" s="3" t="s">
        <v>31</v>
      </c>
      <c r="D16055" s="3" t="s">
        <v>60</v>
      </c>
      <c r="E16055" s="4" t="s">
        <v>22</v>
      </c>
      <c r="F16055" s="4" t="s">
        <v>81010</v>
      </c>
      <c r="G16055" s="4" t="s">
        <v>81011</v>
      </c>
      <c r="H16055" s="3" t="s">
        <v>79360</v>
      </c>
      <c r="I16055" s="3" t="s">
        <v>81012</v>
      </c>
      <c r="J16055" s="3" t="s">
        <v>3363</v>
      </c>
      <c r="K16055" s="3" t="s">
        <v>81013</v>
      </c>
      <c r="L16055" s="3"/>
      <c r="M16055" s="4"/>
      <c r="N16055" s="3" t="s">
        <v>37</v>
      </c>
      <c r="O16055" s="3" t="s">
        <v>46</v>
      </c>
      <c r="P16055" s="5">
        <v>1</v>
      </c>
      <c r="Q16055" s="5">
        <v>10</v>
      </c>
      <c r="R16055" s="5">
        <v>2</v>
      </c>
      <c r="S16055" s="5">
        <v>25</v>
      </c>
    </row>
    <row r="16056" spans="1:19" ht="28" x14ac:dyDescent="0.15">
      <c r="A16056" s="2">
        <f>HYPERLINK("https://open-school.uspishnemisto.com.ua/school/740365/", 740365)</f>
        <v>740365</v>
      </c>
      <c r="B16056" s="3" t="s">
        <v>81014</v>
      </c>
      <c r="C16056" s="3" t="s">
        <v>31</v>
      </c>
      <c r="D16056" s="3" t="s">
        <v>175</v>
      </c>
      <c r="E16056" s="4" t="s">
        <v>22</v>
      </c>
      <c r="F16056" s="4" t="s">
        <v>81015</v>
      </c>
      <c r="G16056" s="4" t="s">
        <v>81016</v>
      </c>
      <c r="H16056" s="3" t="s">
        <v>79360</v>
      </c>
      <c r="I16056" s="3" t="s">
        <v>81017</v>
      </c>
      <c r="J16056" s="3" t="s">
        <v>81018</v>
      </c>
      <c r="K16056" s="3" t="s">
        <v>81019</v>
      </c>
      <c r="L16056" s="3"/>
      <c r="M16056" s="4"/>
      <c r="N16056" s="3" t="s">
        <v>37</v>
      </c>
      <c r="O16056" s="3" t="s">
        <v>70</v>
      </c>
      <c r="P16056" s="5">
        <v>4</v>
      </c>
      <c r="Q16056" s="5">
        <v>38</v>
      </c>
      <c r="R16056" s="5">
        <v>0</v>
      </c>
      <c r="S16056" s="5">
        <v>27</v>
      </c>
    </row>
    <row r="16057" spans="1:19" ht="28" x14ac:dyDescent="0.15">
      <c r="A16057" s="2">
        <f>HYPERLINK("https://open-school.uspishnemisto.com.ua/school/740367/", 740367)</f>
        <v>740367</v>
      </c>
      <c r="B16057" s="3" t="s">
        <v>81020</v>
      </c>
      <c r="C16057" s="3" t="s">
        <v>31</v>
      </c>
      <c r="D16057" s="3" t="s">
        <v>175</v>
      </c>
      <c r="E16057" s="4" t="s">
        <v>22</v>
      </c>
      <c r="F16057" s="4" t="s">
        <v>81021</v>
      </c>
      <c r="G16057" s="4" t="s">
        <v>81022</v>
      </c>
      <c r="H16057" s="3" t="s">
        <v>79360</v>
      </c>
      <c r="I16057" s="3" t="s">
        <v>81023</v>
      </c>
      <c r="J16057" s="3" t="s">
        <v>81024</v>
      </c>
      <c r="K16057" s="3" t="s">
        <v>81025</v>
      </c>
      <c r="L16057" s="3" t="s">
        <v>81026</v>
      </c>
      <c r="M16057" s="4"/>
      <c r="N16057" s="3" t="s">
        <v>37</v>
      </c>
      <c r="O16057" s="3" t="s">
        <v>618</v>
      </c>
      <c r="P16057" s="5">
        <v>4</v>
      </c>
      <c r="Q16057" s="5">
        <v>39</v>
      </c>
      <c r="R16057" s="5">
        <v>4</v>
      </c>
      <c r="S16057" s="5">
        <v>43</v>
      </c>
    </row>
    <row r="16058" spans="1:19" ht="28" x14ac:dyDescent="0.15">
      <c r="A16058" s="2">
        <f>HYPERLINK("https://open-school.uspishnemisto.com.ua/school/740368/", 740368)</f>
        <v>740368</v>
      </c>
      <c r="B16058" s="3" t="s">
        <v>81027</v>
      </c>
      <c r="C16058" s="3" t="s">
        <v>31</v>
      </c>
      <c r="D16058" s="3" t="s">
        <v>60</v>
      </c>
      <c r="E16058" s="4" t="s">
        <v>22</v>
      </c>
      <c r="F16058" s="4" t="s">
        <v>81028</v>
      </c>
      <c r="G16058" s="4" t="s">
        <v>81029</v>
      </c>
      <c r="H16058" s="3" t="s">
        <v>79360</v>
      </c>
      <c r="I16058" s="3" t="s">
        <v>81030</v>
      </c>
      <c r="J16058" s="3" t="s">
        <v>81031</v>
      </c>
      <c r="K16058" s="3" t="s">
        <v>81032</v>
      </c>
      <c r="L16058" s="3"/>
      <c r="M16058" s="4"/>
      <c r="N16058" s="3" t="s">
        <v>37</v>
      </c>
      <c r="O16058" s="3" t="s">
        <v>52</v>
      </c>
      <c r="P16058" s="5">
        <v>0</v>
      </c>
      <c r="Q16058" s="5">
        <v>5</v>
      </c>
      <c r="R16058" s="5">
        <v>1</v>
      </c>
      <c r="S16058" s="5">
        <v>7</v>
      </c>
    </row>
    <row r="16059" spans="1:19" ht="42" x14ac:dyDescent="0.15">
      <c r="A16059" s="2">
        <f>HYPERLINK("https://open-school.uspishnemisto.com.ua/school/740369/", 740369)</f>
        <v>740369</v>
      </c>
      <c r="B16059" s="3" t="s">
        <v>81033</v>
      </c>
      <c r="C16059" s="3" t="s">
        <v>54</v>
      </c>
      <c r="D16059" s="3" t="s">
        <v>175</v>
      </c>
      <c r="E16059" s="4" t="s">
        <v>22</v>
      </c>
      <c r="F16059" s="4" t="s">
        <v>81034</v>
      </c>
      <c r="G16059" s="4" t="s">
        <v>81035</v>
      </c>
      <c r="H16059" s="3" t="s">
        <v>79360</v>
      </c>
      <c r="I16059" s="3" t="s">
        <v>81036</v>
      </c>
      <c r="J16059" s="3" t="s">
        <v>81037</v>
      </c>
      <c r="K16059" s="3"/>
      <c r="L16059" s="3"/>
      <c r="M16059" s="4"/>
      <c r="N16059" s="3" t="s">
        <v>37</v>
      </c>
      <c r="O16059" s="3" t="s">
        <v>112</v>
      </c>
      <c r="P16059" s="5">
        <v>2</v>
      </c>
      <c r="Q16059" s="5">
        <v>29</v>
      </c>
      <c r="R16059" s="5">
        <v>3</v>
      </c>
      <c r="S16059" s="5">
        <v>27</v>
      </c>
    </row>
    <row r="16060" spans="1:19" ht="56" x14ac:dyDescent="0.15">
      <c r="A16060" s="2">
        <f>HYPERLINK("https://open-school.uspishnemisto.com.ua/school/740370/", 740370)</f>
        <v>740370</v>
      </c>
      <c r="B16060" s="3" t="s">
        <v>81038</v>
      </c>
      <c r="C16060" s="3" t="s">
        <v>54</v>
      </c>
      <c r="D16060" s="3" t="s">
        <v>32</v>
      </c>
      <c r="E16060" s="4" t="s">
        <v>22</v>
      </c>
      <c r="F16060" s="4" t="s">
        <v>81039</v>
      </c>
      <c r="G16060" s="4" t="s">
        <v>81040</v>
      </c>
      <c r="H16060" s="3" t="s">
        <v>79360</v>
      </c>
      <c r="I16060" s="3" t="s">
        <v>3387</v>
      </c>
      <c r="J16060" s="3" t="s">
        <v>81041</v>
      </c>
      <c r="K16060" s="3" t="s">
        <v>81042</v>
      </c>
      <c r="L16060" s="3" t="s">
        <v>81043</v>
      </c>
      <c r="M16060" s="4"/>
      <c r="N16060" s="3" t="s">
        <v>37</v>
      </c>
      <c r="O16060" s="3" t="s">
        <v>38</v>
      </c>
      <c r="P16060" s="5">
        <v>11</v>
      </c>
      <c r="Q16060" s="5">
        <v>91</v>
      </c>
      <c r="R16060" s="5">
        <v>11</v>
      </c>
      <c r="S16060" s="5">
        <v>86</v>
      </c>
    </row>
    <row r="16061" spans="1:19" ht="28" x14ac:dyDescent="0.15">
      <c r="A16061" s="2">
        <f>HYPERLINK("https://open-school.uspishnemisto.com.ua/school/740372/", 740372)</f>
        <v>740372</v>
      </c>
      <c r="B16061" s="3" t="s">
        <v>81044</v>
      </c>
      <c r="C16061" s="3" t="s">
        <v>54</v>
      </c>
      <c r="D16061" s="3" t="s">
        <v>32</v>
      </c>
      <c r="E16061" s="4" t="s">
        <v>22</v>
      </c>
      <c r="F16061" s="4" t="s">
        <v>81045</v>
      </c>
      <c r="G16061" s="4" t="s">
        <v>81046</v>
      </c>
      <c r="H16061" s="3" t="s">
        <v>79360</v>
      </c>
      <c r="I16061" s="3" t="s">
        <v>81047</v>
      </c>
      <c r="J16061" s="3" t="s">
        <v>3266</v>
      </c>
      <c r="K16061" s="3" t="s">
        <v>81048</v>
      </c>
      <c r="L16061" s="3" t="s">
        <v>81049</v>
      </c>
      <c r="M16061" s="4"/>
      <c r="N16061" s="3" t="s">
        <v>37</v>
      </c>
      <c r="O16061" s="3" t="s">
        <v>70</v>
      </c>
      <c r="P16061" s="5">
        <v>10</v>
      </c>
      <c r="Q16061" s="5">
        <v>85</v>
      </c>
      <c r="R16061" s="5">
        <v>8</v>
      </c>
      <c r="S16061" s="5">
        <v>66</v>
      </c>
    </row>
    <row r="16062" spans="1:19" ht="28" x14ac:dyDescent="0.15">
      <c r="A16062" s="2">
        <f>HYPERLINK("https://open-school.uspishnemisto.com.ua/school/740374/", 740374)</f>
        <v>740374</v>
      </c>
      <c r="B16062" s="3" t="s">
        <v>81050</v>
      </c>
      <c r="C16062" s="3" t="s">
        <v>31</v>
      </c>
      <c r="D16062" s="3" t="s">
        <v>32</v>
      </c>
      <c r="E16062" s="4" t="s">
        <v>22</v>
      </c>
      <c r="F16062" s="4" t="s">
        <v>81051</v>
      </c>
      <c r="G16062" s="4" t="s">
        <v>81052</v>
      </c>
      <c r="H16062" s="3" t="s">
        <v>79360</v>
      </c>
      <c r="I16062" s="3" t="s">
        <v>81053</v>
      </c>
      <c r="J16062" s="3" t="s">
        <v>81054</v>
      </c>
      <c r="K16062" s="3" t="s">
        <v>81055</v>
      </c>
      <c r="L16062" s="3"/>
      <c r="M16062" s="4"/>
      <c r="N16062" s="3" t="s">
        <v>37</v>
      </c>
      <c r="O16062" s="3" t="s">
        <v>52</v>
      </c>
      <c r="P16062" s="5">
        <v>10</v>
      </c>
      <c r="Q16062" s="5">
        <v>101</v>
      </c>
      <c r="R16062" s="5">
        <v>11</v>
      </c>
      <c r="S16062" s="5">
        <v>95</v>
      </c>
    </row>
    <row r="16063" spans="1:19" ht="28" x14ac:dyDescent="0.15">
      <c r="A16063" s="2">
        <f>HYPERLINK("https://open-school.uspishnemisto.com.ua/school/740375/", 740375)</f>
        <v>740375</v>
      </c>
      <c r="B16063" s="3" t="s">
        <v>81056</v>
      </c>
      <c r="C16063" s="3" t="s">
        <v>54</v>
      </c>
      <c r="D16063" s="3" t="s">
        <v>32</v>
      </c>
      <c r="E16063" s="4" t="s">
        <v>22</v>
      </c>
      <c r="F16063" s="4" t="s">
        <v>81057</v>
      </c>
      <c r="G16063" s="4" t="s">
        <v>81058</v>
      </c>
      <c r="H16063" s="3" t="s">
        <v>79360</v>
      </c>
      <c r="I16063" s="3" t="s">
        <v>81059</v>
      </c>
      <c r="J16063" s="3" t="s">
        <v>81060</v>
      </c>
      <c r="K16063" s="3" t="s">
        <v>81061</v>
      </c>
      <c r="L16063" s="3" t="s">
        <v>81062</v>
      </c>
      <c r="M16063" s="4"/>
      <c r="N16063" s="3" t="s">
        <v>37</v>
      </c>
      <c r="O16063" s="3" t="s">
        <v>38</v>
      </c>
      <c r="P16063" s="5">
        <v>11</v>
      </c>
      <c r="Q16063" s="5">
        <v>139</v>
      </c>
      <c r="R16063" s="5">
        <v>11</v>
      </c>
      <c r="S16063" s="5">
        <v>134</v>
      </c>
    </row>
    <row r="16064" spans="1:19" ht="28" x14ac:dyDescent="0.15">
      <c r="A16064" s="2">
        <f>HYPERLINK("https://open-school.uspishnemisto.com.ua/school/740376/", 740376)</f>
        <v>740376</v>
      </c>
      <c r="B16064" s="3" t="s">
        <v>81063</v>
      </c>
      <c r="C16064" s="3" t="s">
        <v>31</v>
      </c>
      <c r="D16064" s="3" t="s">
        <v>32</v>
      </c>
      <c r="E16064" s="4" t="s">
        <v>22</v>
      </c>
      <c r="F16064" s="4" t="s">
        <v>81064</v>
      </c>
      <c r="G16064" s="4" t="s">
        <v>81065</v>
      </c>
      <c r="H16064" s="3" t="s">
        <v>79360</v>
      </c>
      <c r="I16064" s="3" t="s">
        <v>81066</v>
      </c>
      <c r="J16064" s="3" t="s">
        <v>81067</v>
      </c>
      <c r="K16064" s="3" t="s">
        <v>81068</v>
      </c>
      <c r="L16064" s="3"/>
      <c r="M16064" s="4"/>
      <c r="N16064" s="3" t="s">
        <v>37</v>
      </c>
      <c r="O16064" s="3" t="s">
        <v>70</v>
      </c>
      <c r="P16064" s="5">
        <v>13</v>
      </c>
      <c r="Q16064" s="5">
        <v>255</v>
      </c>
      <c r="R16064" s="5">
        <v>12</v>
      </c>
      <c r="S16064" s="5">
        <v>263</v>
      </c>
    </row>
    <row r="16065" spans="1:19" ht="28" x14ac:dyDescent="0.15">
      <c r="A16065" s="2">
        <f>HYPERLINK("https://open-school.uspishnemisto.com.ua/school/740377/", 740377)</f>
        <v>740377</v>
      </c>
      <c r="B16065" s="3" t="s">
        <v>81069</v>
      </c>
      <c r="C16065" s="3" t="s">
        <v>31</v>
      </c>
      <c r="D16065" s="3" t="s">
        <v>32</v>
      </c>
      <c r="E16065" s="4" t="s">
        <v>22</v>
      </c>
      <c r="F16065" s="4" t="s">
        <v>81070</v>
      </c>
      <c r="G16065" s="4" t="s">
        <v>81065</v>
      </c>
      <c r="H16065" s="3" t="s">
        <v>79360</v>
      </c>
      <c r="I16065" s="3" t="s">
        <v>81066</v>
      </c>
      <c r="J16065" s="3" t="s">
        <v>501</v>
      </c>
      <c r="K16065" s="3" t="s">
        <v>81071</v>
      </c>
      <c r="L16065" s="3"/>
      <c r="M16065" s="4"/>
      <c r="N16065" s="3" t="s">
        <v>37</v>
      </c>
      <c r="O16065" s="3" t="s">
        <v>38</v>
      </c>
      <c r="P16065" s="5">
        <v>27</v>
      </c>
      <c r="Q16065" s="5">
        <v>663</v>
      </c>
      <c r="R16065" s="5">
        <v>25</v>
      </c>
      <c r="S16065" s="5">
        <v>620</v>
      </c>
    </row>
    <row r="16066" spans="1:19" ht="28" x14ac:dyDescent="0.15">
      <c r="A16066" s="2">
        <f>HYPERLINK("https://open-school.uspishnemisto.com.ua/school/740378/", 740378)</f>
        <v>740378</v>
      </c>
      <c r="B16066" s="3" t="s">
        <v>81072</v>
      </c>
      <c r="C16066" s="3" t="s">
        <v>31</v>
      </c>
      <c r="D16066" s="3" t="s">
        <v>32</v>
      </c>
      <c r="E16066" s="4" t="s">
        <v>22</v>
      </c>
      <c r="F16066" s="4" t="s">
        <v>81070</v>
      </c>
      <c r="G16066" s="4" t="s">
        <v>81065</v>
      </c>
      <c r="H16066" s="3" t="s">
        <v>79360</v>
      </c>
      <c r="I16066" s="3" t="s">
        <v>81066</v>
      </c>
      <c r="J16066" s="3" t="s">
        <v>81073</v>
      </c>
      <c r="K16066" s="3" t="s">
        <v>81074</v>
      </c>
      <c r="L16066" s="3"/>
      <c r="M16066" s="4"/>
      <c r="N16066" s="3" t="s">
        <v>37</v>
      </c>
      <c r="O16066" s="3" t="s">
        <v>38</v>
      </c>
      <c r="P16066" s="5">
        <v>16</v>
      </c>
      <c r="Q16066" s="5">
        <v>317</v>
      </c>
      <c r="R16066" s="5">
        <v>15</v>
      </c>
      <c r="S16066" s="5">
        <v>294</v>
      </c>
    </row>
    <row r="16067" spans="1:19" ht="28" x14ac:dyDescent="0.15">
      <c r="A16067" s="2">
        <f>HYPERLINK("https://open-school.uspishnemisto.com.ua/school/740379/", 740379)</f>
        <v>740379</v>
      </c>
      <c r="B16067" s="3" t="s">
        <v>81075</v>
      </c>
      <c r="C16067" s="3" t="s">
        <v>40</v>
      </c>
      <c r="D16067" s="3" t="s">
        <v>32</v>
      </c>
      <c r="E16067" s="4" t="s">
        <v>22</v>
      </c>
      <c r="F16067" s="4" t="s">
        <v>81070</v>
      </c>
      <c r="G16067" s="4" t="s">
        <v>81065</v>
      </c>
      <c r="H16067" s="3" t="s">
        <v>79360</v>
      </c>
      <c r="I16067" s="3" t="s">
        <v>81066</v>
      </c>
      <c r="J16067" s="3" t="s">
        <v>501</v>
      </c>
      <c r="K16067" s="3" t="s">
        <v>81076</v>
      </c>
      <c r="L16067" s="3"/>
      <c r="M16067" s="4"/>
      <c r="N16067" s="3" t="s">
        <v>37</v>
      </c>
      <c r="O16067" s="3" t="s">
        <v>70</v>
      </c>
      <c r="P16067" s="5">
        <v>18</v>
      </c>
      <c r="Q16067" s="5">
        <v>406</v>
      </c>
      <c r="R16067" s="5">
        <v>18</v>
      </c>
      <c r="S16067" s="5">
        <v>407</v>
      </c>
    </row>
    <row r="16068" spans="1:19" ht="56" x14ac:dyDescent="0.15">
      <c r="A16068" s="2">
        <f>HYPERLINK("https://open-school.uspishnemisto.com.ua/school/740380/", 740380)</f>
        <v>740380</v>
      </c>
      <c r="B16068" s="3" t="s">
        <v>81077</v>
      </c>
      <c r="C16068" s="3" t="s">
        <v>54</v>
      </c>
      <c r="D16068" s="3" t="s">
        <v>32</v>
      </c>
      <c r="E16068" s="4" t="s">
        <v>22</v>
      </c>
      <c r="F16068" s="4" t="s">
        <v>81078</v>
      </c>
      <c r="G16068" s="4" t="s">
        <v>81065</v>
      </c>
      <c r="H16068" s="3" t="s">
        <v>79360</v>
      </c>
      <c r="I16068" s="3" t="s">
        <v>81066</v>
      </c>
      <c r="J16068" s="3" t="s">
        <v>81079</v>
      </c>
      <c r="K16068" s="3" t="s">
        <v>81080</v>
      </c>
      <c r="L16068" s="3"/>
      <c r="M16068" s="4"/>
      <c r="N16068" s="3" t="s">
        <v>37</v>
      </c>
      <c r="O16068" s="3" t="s">
        <v>38</v>
      </c>
      <c r="P16068" s="5">
        <v>11</v>
      </c>
      <c r="Q16068" s="5">
        <v>147</v>
      </c>
      <c r="R16068" s="5">
        <v>11</v>
      </c>
      <c r="S16068" s="5">
        <v>157</v>
      </c>
    </row>
    <row r="16069" spans="1:19" ht="42" x14ac:dyDescent="0.15">
      <c r="A16069" s="2">
        <f>HYPERLINK("https://open-school.uspishnemisto.com.ua/school/740381/", 740381)</f>
        <v>740381</v>
      </c>
      <c r="B16069" s="3" t="s">
        <v>81081</v>
      </c>
      <c r="C16069" s="3" t="s">
        <v>54</v>
      </c>
      <c r="D16069" s="3" t="s">
        <v>32</v>
      </c>
      <c r="E16069" s="4" t="s">
        <v>22</v>
      </c>
      <c r="F16069" s="4" t="s">
        <v>81082</v>
      </c>
      <c r="G16069" s="4" t="s">
        <v>81083</v>
      </c>
      <c r="H16069" s="3" t="s">
        <v>79360</v>
      </c>
      <c r="I16069" s="3" t="s">
        <v>81084</v>
      </c>
      <c r="J16069" s="3" t="s">
        <v>63586</v>
      </c>
      <c r="K16069" s="3" t="s">
        <v>81085</v>
      </c>
      <c r="L16069" s="3"/>
      <c r="M16069" s="4"/>
      <c r="N16069" s="3" t="s">
        <v>37</v>
      </c>
      <c r="O16069" s="3" t="s">
        <v>38</v>
      </c>
      <c r="P16069" s="5">
        <v>3</v>
      </c>
      <c r="Q16069" s="5">
        <v>42</v>
      </c>
      <c r="R16069" s="5">
        <v>3</v>
      </c>
      <c r="S16069" s="5">
        <v>44</v>
      </c>
    </row>
    <row r="16070" spans="1:19" ht="56" x14ac:dyDescent="0.15">
      <c r="A16070" s="2">
        <f>HYPERLINK("https://open-school.uspishnemisto.com.ua/school/740382/", 740382)</f>
        <v>740382</v>
      </c>
      <c r="B16070" s="3" t="s">
        <v>81086</v>
      </c>
      <c r="C16070" s="3" t="s">
        <v>54</v>
      </c>
      <c r="D16070" s="3" t="s">
        <v>175</v>
      </c>
      <c r="E16070" s="4" t="s">
        <v>22</v>
      </c>
      <c r="F16070" s="4" t="s">
        <v>81087</v>
      </c>
      <c r="G16070" s="4" t="s">
        <v>81088</v>
      </c>
      <c r="H16070" s="3" t="s">
        <v>79360</v>
      </c>
      <c r="I16070" s="3" t="s">
        <v>80319</v>
      </c>
      <c r="J16070" s="3" t="s">
        <v>81089</v>
      </c>
      <c r="K16070" s="3" t="s">
        <v>81090</v>
      </c>
      <c r="L16070" s="3"/>
      <c r="M16070" s="4"/>
      <c r="N16070" s="3" t="s">
        <v>37</v>
      </c>
      <c r="O16070" s="3" t="s">
        <v>38</v>
      </c>
      <c r="P16070" s="5">
        <v>4</v>
      </c>
      <c r="Q16070" s="5">
        <v>35</v>
      </c>
      <c r="R16070" s="5">
        <v>5</v>
      </c>
      <c r="S16070" s="5">
        <v>40</v>
      </c>
    </row>
    <row r="16071" spans="1:19" ht="28" x14ac:dyDescent="0.15">
      <c r="A16071" s="2">
        <f>HYPERLINK("https://open-school.uspishnemisto.com.ua/school/740383/", 740383)</f>
        <v>740383</v>
      </c>
      <c r="B16071" s="3" t="s">
        <v>81091</v>
      </c>
      <c r="C16071" s="3" t="s">
        <v>31</v>
      </c>
      <c r="D16071" s="3" t="s">
        <v>32</v>
      </c>
      <c r="E16071" s="4" t="s">
        <v>22</v>
      </c>
      <c r="F16071" s="4" t="s">
        <v>81092</v>
      </c>
      <c r="G16071" s="4" t="s">
        <v>81093</v>
      </c>
      <c r="H16071" s="3" t="s">
        <v>79360</v>
      </c>
      <c r="I16071" s="3" t="s">
        <v>81094</v>
      </c>
      <c r="J16071" s="3" t="s">
        <v>12836</v>
      </c>
      <c r="K16071" s="3" t="s">
        <v>81095</v>
      </c>
      <c r="L16071" s="3"/>
      <c r="M16071" s="4"/>
      <c r="N16071" s="3" t="s">
        <v>37</v>
      </c>
      <c r="O16071" s="3" t="s">
        <v>38</v>
      </c>
      <c r="P16071" s="5">
        <v>10</v>
      </c>
      <c r="Q16071" s="5">
        <v>88</v>
      </c>
      <c r="R16071" s="5">
        <v>10</v>
      </c>
      <c r="S16071" s="5">
        <v>92</v>
      </c>
    </row>
    <row r="16072" spans="1:19" ht="28" x14ac:dyDescent="0.15">
      <c r="A16072" s="2">
        <f>HYPERLINK("https://open-school.uspishnemisto.com.ua/school/740384/", 740384)</f>
        <v>740384</v>
      </c>
      <c r="B16072" s="3" t="s">
        <v>81096</v>
      </c>
      <c r="C16072" s="3" t="s">
        <v>31</v>
      </c>
      <c r="D16072" s="3" t="s">
        <v>32</v>
      </c>
      <c r="E16072" s="4" t="s">
        <v>22</v>
      </c>
      <c r="F16072" s="4" t="s">
        <v>81097</v>
      </c>
      <c r="G16072" s="4" t="s">
        <v>81098</v>
      </c>
      <c r="H16072" s="3" t="s">
        <v>79360</v>
      </c>
      <c r="I16072" s="3" t="s">
        <v>81099</v>
      </c>
      <c r="J16072" s="3" t="s">
        <v>8007</v>
      </c>
      <c r="K16072" s="3" t="s">
        <v>81100</v>
      </c>
      <c r="L16072" s="3"/>
      <c r="M16072" s="4"/>
      <c r="N16072" s="3" t="s">
        <v>37</v>
      </c>
      <c r="O16072" s="3" t="s">
        <v>38</v>
      </c>
      <c r="P16072" s="5">
        <v>8</v>
      </c>
      <c r="Q16072" s="5">
        <v>65</v>
      </c>
      <c r="R16072" s="5">
        <v>7</v>
      </c>
      <c r="S16072" s="5">
        <v>61</v>
      </c>
    </row>
    <row r="16073" spans="1:19" ht="28" x14ac:dyDescent="0.15">
      <c r="A16073" s="2">
        <f>HYPERLINK("https://open-school.uspishnemisto.com.ua/school/740385/", 740385)</f>
        <v>740385</v>
      </c>
      <c r="B16073" s="3" t="s">
        <v>81101</v>
      </c>
      <c r="C16073" s="3" t="s">
        <v>31</v>
      </c>
      <c r="D16073" s="3" t="s">
        <v>32</v>
      </c>
      <c r="E16073" s="4" t="s">
        <v>22</v>
      </c>
      <c r="F16073" s="4" t="s">
        <v>81102</v>
      </c>
      <c r="G16073" s="4" t="s">
        <v>81103</v>
      </c>
      <c r="H16073" s="3" t="s">
        <v>79360</v>
      </c>
      <c r="I16073" s="3" t="s">
        <v>81104</v>
      </c>
      <c r="J16073" s="3" t="s">
        <v>5492</v>
      </c>
      <c r="K16073" s="3" t="s">
        <v>81105</v>
      </c>
      <c r="L16073" s="3"/>
      <c r="M16073" s="4"/>
      <c r="N16073" s="3" t="s">
        <v>37</v>
      </c>
      <c r="O16073" s="3" t="s">
        <v>38</v>
      </c>
      <c r="P16073" s="5">
        <v>8</v>
      </c>
      <c r="Q16073" s="5">
        <v>70</v>
      </c>
      <c r="R16073" s="5">
        <v>8</v>
      </c>
      <c r="S16073" s="5">
        <v>67</v>
      </c>
    </row>
    <row r="16074" spans="1:19" ht="28" x14ac:dyDescent="0.15">
      <c r="A16074" s="2">
        <f>HYPERLINK("https://open-school.uspishnemisto.com.ua/school/740386/", 740386)</f>
        <v>740386</v>
      </c>
      <c r="B16074" s="3" t="s">
        <v>81106</v>
      </c>
      <c r="C16074" s="3" t="s">
        <v>54</v>
      </c>
      <c r="D16074" s="3" t="s">
        <v>32</v>
      </c>
      <c r="E16074" s="4" t="s">
        <v>22</v>
      </c>
      <c r="F16074" s="4" t="s">
        <v>81107</v>
      </c>
      <c r="G16074" s="4" t="s">
        <v>81108</v>
      </c>
      <c r="H16074" s="3" t="s">
        <v>79360</v>
      </c>
      <c r="I16074" s="3" t="s">
        <v>31249</v>
      </c>
      <c r="J16074" s="3" t="s">
        <v>3550</v>
      </c>
      <c r="K16074" s="3" t="s">
        <v>81109</v>
      </c>
      <c r="L16074" s="3"/>
      <c r="M16074" s="4"/>
      <c r="N16074" s="3" t="s">
        <v>37</v>
      </c>
      <c r="O16074" s="3" t="s">
        <v>38</v>
      </c>
      <c r="P16074" s="5">
        <v>9</v>
      </c>
      <c r="Q16074" s="5">
        <v>69</v>
      </c>
      <c r="R16074" s="5">
        <v>8</v>
      </c>
      <c r="S16074" s="5">
        <v>72</v>
      </c>
    </row>
    <row r="16075" spans="1:19" ht="28" x14ac:dyDescent="0.15">
      <c r="A16075" s="2">
        <f>HYPERLINK("https://open-school.uspishnemisto.com.ua/school/740387/", 740387)</f>
        <v>740387</v>
      </c>
      <c r="B16075" s="3" t="s">
        <v>81110</v>
      </c>
      <c r="C16075" s="3" t="s">
        <v>31</v>
      </c>
      <c r="D16075" s="3" t="s">
        <v>175</v>
      </c>
      <c r="E16075" s="4" t="s">
        <v>22</v>
      </c>
      <c r="F16075" s="4" t="s">
        <v>81111</v>
      </c>
      <c r="G16075" s="4" t="s">
        <v>81112</v>
      </c>
      <c r="H16075" s="3" t="s">
        <v>79360</v>
      </c>
      <c r="I16075" s="3" t="s">
        <v>81113</v>
      </c>
      <c r="J16075" s="3" t="s">
        <v>8007</v>
      </c>
      <c r="K16075" s="3" t="s">
        <v>81114</v>
      </c>
      <c r="L16075" s="3"/>
      <c r="M16075" s="4"/>
      <c r="N16075" s="3" t="s">
        <v>37</v>
      </c>
      <c r="O16075" s="3" t="s">
        <v>38</v>
      </c>
      <c r="P16075" s="5">
        <v>7</v>
      </c>
      <c r="Q16075" s="5">
        <v>43</v>
      </c>
      <c r="R16075" s="5">
        <v>6</v>
      </c>
      <c r="S16075" s="5">
        <v>37</v>
      </c>
    </row>
    <row r="16076" spans="1:19" ht="42" x14ac:dyDescent="0.15">
      <c r="A16076" s="2">
        <f>HYPERLINK("https://open-school.uspishnemisto.com.ua/school/740388/", 740388)</f>
        <v>740388</v>
      </c>
      <c r="B16076" s="3" t="s">
        <v>81115</v>
      </c>
      <c r="C16076" s="3" t="s">
        <v>31</v>
      </c>
      <c r="D16076" s="3" t="s">
        <v>32</v>
      </c>
      <c r="E16076" s="4" t="s">
        <v>22</v>
      </c>
      <c r="F16076" s="4" t="s">
        <v>81116</v>
      </c>
      <c r="G16076" s="4" t="s">
        <v>81117</v>
      </c>
      <c r="H16076" s="3" t="s">
        <v>79360</v>
      </c>
      <c r="I16076" s="3" t="s">
        <v>81118</v>
      </c>
      <c r="J16076" s="3" t="s">
        <v>81119</v>
      </c>
      <c r="K16076" s="3" t="s">
        <v>81120</v>
      </c>
      <c r="L16076" s="3"/>
      <c r="M16076" s="4"/>
      <c r="N16076" s="3" t="s">
        <v>37</v>
      </c>
      <c r="O16076" s="3" t="s">
        <v>38</v>
      </c>
      <c r="P16076" s="5">
        <v>11</v>
      </c>
      <c r="Q16076" s="5">
        <v>182</v>
      </c>
      <c r="R16076" s="5">
        <v>11</v>
      </c>
      <c r="S16076" s="5">
        <v>174</v>
      </c>
    </row>
    <row r="16077" spans="1:19" ht="56" x14ac:dyDescent="0.15">
      <c r="A16077" s="2">
        <f>HYPERLINK("https://open-school.uspishnemisto.com.ua/school/740389/", 740389)</f>
        <v>740389</v>
      </c>
      <c r="B16077" s="3" t="s">
        <v>81121</v>
      </c>
      <c r="C16077" s="3" t="s">
        <v>54</v>
      </c>
      <c r="D16077" s="3" t="s">
        <v>32</v>
      </c>
      <c r="E16077" s="4" t="s">
        <v>22</v>
      </c>
      <c r="F16077" s="4" t="s">
        <v>81122</v>
      </c>
      <c r="G16077" s="4" t="s">
        <v>81123</v>
      </c>
      <c r="H16077" s="3" t="s">
        <v>79360</v>
      </c>
      <c r="I16077" s="3" t="s">
        <v>22540</v>
      </c>
      <c r="J16077" s="3" t="s">
        <v>81124</v>
      </c>
      <c r="K16077" s="3" t="s">
        <v>81125</v>
      </c>
      <c r="L16077" s="3"/>
      <c r="M16077" s="4"/>
      <c r="N16077" s="3" t="s">
        <v>37</v>
      </c>
      <c r="O16077" s="3" t="s">
        <v>38</v>
      </c>
      <c r="P16077" s="5">
        <v>9</v>
      </c>
      <c r="Q16077" s="5">
        <v>81</v>
      </c>
      <c r="R16077" s="5">
        <v>9</v>
      </c>
      <c r="S16077" s="5">
        <v>75</v>
      </c>
    </row>
    <row r="16078" spans="1:19" ht="56" x14ac:dyDescent="0.15">
      <c r="A16078" s="2">
        <f>HYPERLINK("https://open-school.uspishnemisto.com.ua/school/740390/", 740390)</f>
        <v>740390</v>
      </c>
      <c r="B16078" s="3" t="s">
        <v>81126</v>
      </c>
      <c r="C16078" s="3" t="s">
        <v>54</v>
      </c>
      <c r="D16078" s="3" t="s">
        <v>32</v>
      </c>
      <c r="E16078" s="4" t="s">
        <v>22</v>
      </c>
      <c r="F16078" s="4" t="s">
        <v>81127</v>
      </c>
      <c r="G16078" s="4" t="s">
        <v>81128</v>
      </c>
      <c r="H16078" s="3" t="s">
        <v>79360</v>
      </c>
      <c r="I16078" s="3" t="s">
        <v>81129</v>
      </c>
      <c r="J16078" s="3" t="s">
        <v>81130</v>
      </c>
      <c r="K16078" s="3" t="s">
        <v>81131</v>
      </c>
      <c r="L16078" s="3"/>
      <c r="M16078" s="4"/>
      <c r="N16078" s="3" t="s">
        <v>37</v>
      </c>
      <c r="O16078" s="3" t="s">
        <v>38</v>
      </c>
      <c r="P16078" s="5">
        <v>4</v>
      </c>
      <c r="Q16078" s="5">
        <v>41</v>
      </c>
      <c r="R16078" s="5">
        <v>6</v>
      </c>
      <c r="S16078" s="5">
        <v>43</v>
      </c>
    </row>
    <row r="16079" spans="1:19" ht="28" x14ac:dyDescent="0.15">
      <c r="A16079" s="2">
        <f>HYPERLINK("https://open-school.uspishnemisto.com.ua/school/740391/", 740391)</f>
        <v>740391</v>
      </c>
      <c r="B16079" s="3" t="s">
        <v>81132</v>
      </c>
      <c r="C16079" s="3" t="s">
        <v>31</v>
      </c>
      <c r="D16079" s="3" t="s">
        <v>175</v>
      </c>
      <c r="E16079" s="4" t="s">
        <v>22</v>
      </c>
      <c r="F16079" s="4" t="s">
        <v>81133</v>
      </c>
      <c r="G16079" s="4" t="s">
        <v>81134</v>
      </c>
      <c r="H16079" s="3" t="s">
        <v>79360</v>
      </c>
      <c r="I16079" s="3" t="s">
        <v>2410</v>
      </c>
      <c r="J16079" s="3" t="s">
        <v>81135</v>
      </c>
      <c r="K16079" s="3" t="s">
        <v>81136</v>
      </c>
      <c r="L16079" s="3"/>
      <c r="M16079" s="4"/>
      <c r="N16079" s="3" t="s">
        <v>37</v>
      </c>
      <c r="O16079" s="3" t="s">
        <v>721</v>
      </c>
      <c r="P16079" s="5">
        <v>3</v>
      </c>
      <c r="Q16079" s="5">
        <v>30</v>
      </c>
      <c r="R16079" s="5">
        <v>5</v>
      </c>
      <c r="S16079" s="5">
        <v>36</v>
      </c>
    </row>
    <row r="16080" spans="1:19" ht="28" x14ac:dyDescent="0.15">
      <c r="A16080" s="2">
        <f>HYPERLINK("https://open-school.uspishnemisto.com.ua/school/740392/", 740392)</f>
        <v>740392</v>
      </c>
      <c r="B16080" s="3" t="s">
        <v>81137</v>
      </c>
      <c r="C16080" s="3" t="s">
        <v>31</v>
      </c>
      <c r="D16080" s="3" t="s">
        <v>32</v>
      </c>
      <c r="E16080" s="4" t="s">
        <v>22</v>
      </c>
      <c r="F16080" s="4" t="s">
        <v>81138</v>
      </c>
      <c r="G16080" s="4" t="s">
        <v>81139</v>
      </c>
      <c r="H16080" s="3" t="s">
        <v>79360</v>
      </c>
      <c r="I16080" s="3" t="s">
        <v>81140</v>
      </c>
      <c r="J16080" s="3" t="s">
        <v>5955</v>
      </c>
      <c r="K16080" s="3" t="s">
        <v>81141</v>
      </c>
      <c r="L16080" s="3"/>
      <c r="M16080" s="4"/>
      <c r="N16080" s="3" t="s">
        <v>37</v>
      </c>
      <c r="O16080" s="3" t="s">
        <v>38</v>
      </c>
      <c r="P16080" s="5">
        <v>9</v>
      </c>
      <c r="Q16080" s="5">
        <v>75</v>
      </c>
      <c r="R16080" s="5">
        <v>9</v>
      </c>
      <c r="S16080" s="5">
        <v>84</v>
      </c>
    </row>
    <row r="16081" spans="1:19" ht="28" x14ac:dyDescent="0.15">
      <c r="A16081" s="2">
        <f>HYPERLINK("https://open-school.uspishnemisto.com.ua/school/740393/", 740393)</f>
        <v>740393</v>
      </c>
      <c r="B16081" s="3" t="s">
        <v>81142</v>
      </c>
      <c r="C16081" s="3" t="s">
        <v>54</v>
      </c>
      <c r="D16081" s="3" t="s">
        <v>175</v>
      </c>
      <c r="E16081" s="4" t="s">
        <v>22</v>
      </c>
      <c r="F16081" s="4" t="s">
        <v>81143</v>
      </c>
      <c r="G16081" s="4" t="s">
        <v>81144</v>
      </c>
      <c r="H16081" s="3" t="s">
        <v>79360</v>
      </c>
      <c r="I16081" s="3" t="s">
        <v>17601</v>
      </c>
      <c r="J16081" s="3" t="s">
        <v>6765</v>
      </c>
      <c r="K16081" s="3" t="s">
        <v>81145</v>
      </c>
      <c r="L16081" s="3"/>
      <c r="M16081" s="4"/>
      <c r="N16081" s="3" t="s">
        <v>37</v>
      </c>
      <c r="O16081" s="3" t="s">
        <v>52</v>
      </c>
      <c r="P16081" s="5">
        <v>4</v>
      </c>
      <c r="Q16081" s="5">
        <v>29</v>
      </c>
      <c r="R16081" s="5">
        <v>2</v>
      </c>
      <c r="S16081" s="5">
        <v>26</v>
      </c>
    </row>
    <row r="16082" spans="1:19" ht="28" x14ac:dyDescent="0.15">
      <c r="A16082" s="2">
        <f>HYPERLINK("https://open-school.uspishnemisto.com.ua/school/740395/", 740395)</f>
        <v>740395</v>
      </c>
      <c r="B16082" s="3" t="s">
        <v>81146</v>
      </c>
      <c r="C16082" s="3" t="s">
        <v>31</v>
      </c>
      <c r="D16082" s="3" t="s">
        <v>32</v>
      </c>
      <c r="E16082" s="4" t="s">
        <v>22</v>
      </c>
      <c r="F16082" s="4" t="s">
        <v>81147</v>
      </c>
      <c r="G16082" s="4" t="s">
        <v>81148</v>
      </c>
      <c r="H16082" s="3" t="s">
        <v>79360</v>
      </c>
      <c r="I16082" s="3" t="s">
        <v>81149</v>
      </c>
      <c r="J16082" s="3" t="s">
        <v>8348</v>
      </c>
      <c r="K16082" s="3" t="s">
        <v>81150</v>
      </c>
      <c r="L16082" s="3"/>
      <c r="M16082" s="4"/>
      <c r="N16082" s="3" t="s">
        <v>37</v>
      </c>
      <c r="O16082" s="3" t="s">
        <v>38</v>
      </c>
      <c r="P16082" s="5">
        <v>16</v>
      </c>
      <c r="Q16082" s="5">
        <v>328</v>
      </c>
      <c r="R16082" s="5">
        <v>16</v>
      </c>
      <c r="S16082" s="5">
        <v>328</v>
      </c>
    </row>
    <row r="16083" spans="1:19" ht="56" x14ac:dyDescent="0.15">
      <c r="A16083" s="2">
        <f>HYPERLINK("https://open-school.uspishnemisto.com.ua/school/740396/", 740396)</f>
        <v>740396</v>
      </c>
      <c r="B16083" s="3" t="s">
        <v>81151</v>
      </c>
      <c r="C16083" s="3" t="s">
        <v>54</v>
      </c>
      <c r="D16083" s="3" t="s">
        <v>32</v>
      </c>
      <c r="E16083" s="4" t="s">
        <v>22</v>
      </c>
      <c r="F16083" s="4" t="s">
        <v>81152</v>
      </c>
      <c r="G16083" s="4" t="s">
        <v>81153</v>
      </c>
      <c r="H16083" s="3" t="s">
        <v>79360</v>
      </c>
      <c r="I16083" s="3" t="s">
        <v>11275</v>
      </c>
      <c r="J16083" s="3" t="s">
        <v>24024</v>
      </c>
      <c r="K16083" s="3" t="s">
        <v>81154</v>
      </c>
      <c r="L16083" s="3"/>
      <c r="M16083" s="4"/>
      <c r="N16083" s="3" t="s">
        <v>37</v>
      </c>
      <c r="O16083" s="3" t="s">
        <v>38</v>
      </c>
      <c r="P16083" s="5">
        <v>7</v>
      </c>
      <c r="Q16083" s="5">
        <v>61</v>
      </c>
      <c r="R16083" s="5">
        <v>8</v>
      </c>
      <c r="S16083" s="5">
        <v>60</v>
      </c>
    </row>
    <row r="16084" spans="1:19" ht="28" x14ac:dyDescent="0.15">
      <c r="A16084" s="2">
        <f>HYPERLINK("https://open-school.uspishnemisto.com.ua/school/740397/", 740397)</f>
        <v>740397</v>
      </c>
      <c r="B16084" s="3" t="s">
        <v>81155</v>
      </c>
      <c r="C16084" s="3" t="s">
        <v>31</v>
      </c>
      <c r="D16084" s="3" t="s">
        <v>32</v>
      </c>
      <c r="E16084" s="4" t="s">
        <v>22</v>
      </c>
      <c r="F16084" s="4" t="s">
        <v>81147</v>
      </c>
      <c r="G16084" s="4" t="s">
        <v>81156</v>
      </c>
      <c r="H16084" s="3" t="s">
        <v>79360</v>
      </c>
      <c r="I16084" s="3" t="s">
        <v>81157</v>
      </c>
      <c r="J16084" s="3" t="s">
        <v>81158</v>
      </c>
      <c r="K16084" s="3" t="s">
        <v>81159</v>
      </c>
      <c r="L16084" s="3"/>
      <c r="M16084" s="4"/>
      <c r="N16084" s="3" t="s">
        <v>37</v>
      </c>
      <c r="O16084" s="3" t="s">
        <v>38</v>
      </c>
      <c r="P16084" s="5">
        <v>5</v>
      </c>
      <c r="Q16084" s="5">
        <v>46</v>
      </c>
      <c r="R16084" s="5">
        <v>5</v>
      </c>
      <c r="S16084" s="5">
        <v>47</v>
      </c>
    </row>
    <row r="16085" spans="1:19" ht="28" x14ac:dyDescent="0.15">
      <c r="A16085" s="2">
        <f>HYPERLINK("https://open-school.uspishnemisto.com.ua/school/740398/", 740398)</f>
        <v>740398</v>
      </c>
      <c r="B16085" s="3" t="s">
        <v>81160</v>
      </c>
      <c r="C16085" s="3" t="s">
        <v>40</v>
      </c>
      <c r="D16085" s="3" t="s">
        <v>32</v>
      </c>
      <c r="E16085" s="4" t="s">
        <v>22</v>
      </c>
      <c r="F16085" s="4" t="s">
        <v>81161</v>
      </c>
      <c r="G16085" s="4" t="s">
        <v>81162</v>
      </c>
      <c r="H16085" s="3" t="s">
        <v>79360</v>
      </c>
      <c r="I16085" s="3" t="s">
        <v>81163</v>
      </c>
      <c r="J16085" s="3" t="s">
        <v>81164</v>
      </c>
      <c r="K16085" s="3" t="s">
        <v>81165</v>
      </c>
      <c r="L16085" s="3" t="s">
        <v>81166</v>
      </c>
      <c r="M16085" s="4"/>
      <c r="N16085" s="3" t="s">
        <v>37</v>
      </c>
      <c r="O16085" s="3" t="s">
        <v>52</v>
      </c>
      <c r="P16085" s="5">
        <v>19</v>
      </c>
      <c r="Q16085" s="5">
        <v>399</v>
      </c>
      <c r="R16085" s="5">
        <v>19</v>
      </c>
      <c r="S16085" s="5">
        <v>397</v>
      </c>
    </row>
    <row r="16086" spans="1:19" ht="28" x14ac:dyDescent="0.15">
      <c r="A16086" s="2">
        <f>HYPERLINK("https://open-school.uspishnemisto.com.ua/school/740399/", 740399)</f>
        <v>740399</v>
      </c>
      <c r="B16086" s="3" t="s">
        <v>81167</v>
      </c>
      <c r="C16086" s="3" t="s">
        <v>31</v>
      </c>
      <c r="D16086" s="3" t="s">
        <v>175</v>
      </c>
      <c r="E16086" s="4" t="s">
        <v>22</v>
      </c>
      <c r="F16086" s="4" t="s">
        <v>81161</v>
      </c>
      <c r="G16086" s="4" t="s">
        <v>81168</v>
      </c>
      <c r="H16086" s="3" t="s">
        <v>79360</v>
      </c>
      <c r="I16086" s="3" t="s">
        <v>81169</v>
      </c>
      <c r="J16086" s="3" t="s">
        <v>6438</v>
      </c>
      <c r="K16086" s="3" t="s">
        <v>81170</v>
      </c>
      <c r="L16086" s="3"/>
      <c r="M16086" s="4"/>
      <c r="N16086" s="3" t="s">
        <v>37</v>
      </c>
      <c r="O16086" s="3" t="s">
        <v>52</v>
      </c>
      <c r="P16086" s="5">
        <v>4</v>
      </c>
      <c r="Q16086" s="5">
        <v>40</v>
      </c>
      <c r="R16086" s="5">
        <v>3</v>
      </c>
      <c r="S16086" s="5">
        <v>37</v>
      </c>
    </row>
    <row r="16087" spans="1:19" ht="28" x14ac:dyDescent="0.15">
      <c r="A16087" s="2">
        <f>HYPERLINK("https://open-school.uspishnemisto.com.ua/school/740400/", 740400)</f>
        <v>740400</v>
      </c>
      <c r="B16087" s="3" t="s">
        <v>81171</v>
      </c>
      <c r="C16087" s="3" t="s">
        <v>31</v>
      </c>
      <c r="D16087" s="3" t="s">
        <v>32</v>
      </c>
      <c r="E16087" s="4" t="s">
        <v>22</v>
      </c>
      <c r="F16087" s="4" t="s">
        <v>81172</v>
      </c>
      <c r="G16087" s="4" t="s">
        <v>81173</v>
      </c>
      <c r="H16087" s="3" t="s">
        <v>79360</v>
      </c>
      <c r="I16087" s="3" t="s">
        <v>81174</v>
      </c>
      <c r="J16087" s="3" t="s">
        <v>81175</v>
      </c>
      <c r="K16087" s="3" t="s">
        <v>81176</v>
      </c>
      <c r="L16087" s="3" t="s">
        <v>81177</v>
      </c>
      <c r="M16087" s="4"/>
      <c r="N16087" s="3" t="s">
        <v>37</v>
      </c>
      <c r="O16087" s="3" t="s">
        <v>38</v>
      </c>
      <c r="P16087" s="5">
        <v>13</v>
      </c>
      <c r="Q16087" s="5">
        <v>261</v>
      </c>
      <c r="R16087" s="5">
        <v>12</v>
      </c>
      <c r="S16087" s="5">
        <v>262</v>
      </c>
    </row>
    <row r="16088" spans="1:19" ht="28" x14ac:dyDescent="0.15">
      <c r="A16088" s="2">
        <f>HYPERLINK("https://open-school.uspishnemisto.com.ua/school/740401/", 740401)</f>
        <v>740401</v>
      </c>
      <c r="B16088" s="3" t="s">
        <v>81178</v>
      </c>
      <c r="C16088" s="3" t="s">
        <v>31</v>
      </c>
      <c r="D16088" s="3" t="s">
        <v>32</v>
      </c>
      <c r="E16088" s="4" t="s">
        <v>22</v>
      </c>
      <c r="F16088" s="4" t="s">
        <v>81179</v>
      </c>
      <c r="G16088" s="4" t="s">
        <v>81180</v>
      </c>
      <c r="H16088" s="3" t="s">
        <v>79360</v>
      </c>
      <c r="I16088" s="3" t="s">
        <v>81181</v>
      </c>
      <c r="J16088" s="3" t="s">
        <v>81182</v>
      </c>
      <c r="K16088" s="3" t="s">
        <v>81183</v>
      </c>
      <c r="L16088" s="3"/>
      <c r="M16088" s="4"/>
      <c r="N16088" s="3" t="s">
        <v>37</v>
      </c>
      <c r="O16088" s="3" t="s">
        <v>38</v>
      </c>
      <c r="P16088" s="5">
        <v>11</v>
      </c>
      <c r="Q16088" s="5">
        <v>215</v>
      </c>
      <c r="R16088" s="5">
        <v>11</v>
      </c>
      <c r="S16088" s="5">
        <v>210</v>
      </c>
    </row>
    <row r="16089" spans="1:19" ht="42" x14ac:dyDescent="0.15">
      <c r="A16089" s="2">
        <f>HYPERLINK("https://open-school.uspishnemisto.com.ua/school/740561/", 740561)</f>
        <v>740561</v>
      </c>
      <c r="B16089" s="3" t="s">
        <v>81184</v>
      </c>
      <c r="C16089" s="3" t="s">
        <v>7651</v>
      </c>
      <c r="D16089" s="3" t="s">
        <v>32</v>
      </c>
      <c r="E16089" s="4" t="s">
        <v>22</v>
      </c>
      <c r="F16089" s="4" t="s">
        <v>81179</v>
      </c>
      <c r="G16089" s="4" t="s">
        <v>81180</v>
      </c>
      <c r="H16089" s="3" t="s">
        <v>79360</v>
      </c>
      <c r="I16089" s="3" t="s">
        <v>81181</v>
      </c>
      <c r="J16089" s="3" t="s">
        <v>50546</v>
      </c>
      <c r="K16089" s="3" t="s">
        <v>81185</v>
      </c>
      <c r="L16089" s="3"/>
      <c r="M16089" s="4"/>
      <c r="N16089" s="3"/>
      <c r="O16089" s="3"/>
      <c r="P16089" s="5">
        <v>0</v>
      </c>
      <c r="Q16089" s="5">
        <v>0</v>
      </c>
      <c r="R16089" s="5"/>
      <c r="S16089" s="5"/>
    </row>
    <row r="16090" spans="1:19" ht="28" x14ac:dyDescent="0.15">
      <c r="A16090" s="2">
        <f>HYPERLINK("https://open-school.uspishnemisto.com.ua/school/740402/", 740402)</f>
        <v>740402</v>
      </c>
      <c r="B16090" s="3" t="s">
        <v>81186</v>
      </c>
      <c r="C16090" s="3" t="s">
        <v>31</v>
      </c>
      <c r="D16090" s="3" t="s">
        <v>32</v>
      </c>
      <c r="E16090" s="4" t="s">
        <v>22</v>
      </c>
      <c r="F16090" s="4" t="s">
        <v>81187</v>
      </c>
      <c r="G16090" s="4" t="s">
        <v>81188</v>
      </c>
      <c r="H16090" s="3" t="s">
        <v>79360</v>
      </c>
      <c r="I16090" s="3" t="s">
        <v>81189</v>
      </c>
      <c r="J16090" s="3" t="s">
        <v>933</v>
      </c>
      <c r="K16090" s="3" t="s">
        <v>81190</v>
      </c>
      <c r="L16090" s="3"/>
      <c r="M16090" s="4"/>
      <c r="N16090" s="3" t="s">
        <v>37</v>
      </c>
      <c r="O16090" s="3" t="s">
        <v>52</v>
      </c>
      <c r="P16090" s="5">
        <v>11</v>
      </c>
      <c r="Q16090" s="5">
        <v>103</v>
      </c>
      <c r="R16090" s="5">
        <v>11</v>
      </c>
      <c r="S16090" s="5">
        <v>76</v>
      </c>
    </row>
    <row r="16091" spans="1:19" ht="42" x14ac:dyDescent="0.15">
      <c r="A16091" s="2">
        <f>HYPERLINK("https://open-school.uspishnemisto.com.ua/school/740403/", 740403)</f>
        <v>740403</v>
      </c>
      <c r="B16091" s="3" t="s">
        <v>81191</v>
      </c>
      <c r="C16091" s="3" t="s">
        <v>31</v>
      </c>
      <c r="D16091" s="3" t="s">
        <v>32</v>
      </c>
      <c r="E16091" s="4" t="s">
        <v>22</v>
      </c>
      <c r="F16091" s="4" t="s">
        <v>81192</v>
      </c>
      <c r="G16091" s="4" t="s">
        <v>81193</v>
      </c>
      <c r="H16091" s="3" t="s">
        <v>79360</v>
      </c>
      <c r="I16091" s="3" t="s">
        <v>3790</v>
      </c>
      <c r="J16091" s="3" t="s">
        <v>32828</v>
      </c>
      <c r="K16091" s="3" t="s">
        <v>81194</v>
      </c>
      <c r="L16091" s="3"/>
      <c r="M16091" s="4"/>
      <c r="N16091" s="3" t="s">
        <v>37</v>
      </c>
      <c r="O16091" s="3" t="s">
        <v>38</v>
      </c>
      <c r="P16091" s="5">
        <v>10</v>
      </c>
      <c r="Q16091" s="5">
        <v>108</v>
      </c>
      <c r="R16091" s="5">
        <v>10</v>
      </c>
      <c r="S16091" s="5">
        <v>100</v>
      </c>
    </row>
    <row r="16092" spans="1:19" ht="28" x14ac:dyDescent="0.15">
      <c r="A16092" s="2">
        <f>HYPERLINK("https://open-school.uspishnemisto.com.ua/school/740404/", 740404)</f>
        <v>740404</v>
      </c>
      <c r="B16092" s="3" t="s">
        <v>81195</v>
      </c>
      <c r="C16092" s="3" t="s">
        <v>31</v>
      </c>
      <c r="D16092" s="3" t="s">
        <v>32</v>
      </c>
      <c r="E16092" s="4" t="s">
        <v>22</v>
      </c>
      <c r="F16092" s="4" t="s">
        <v>81196</v>
      </c>
      <c r="G16092" s="4" t="s">
        <v>81197</v>
      </c>
      <c r="H16092" s="3" t="s">
        <v>79360</v>
      </c>
      <c r="I16092" s="3" t="s">
        <v>65745</v>
      </c>
      <c r="J16092" s="3" t="s">
        <v>6677</v>
      </c>
      <c r="K16092" s="3" t="s">
        <v>81198</v>
      </c>
      <c r="L16092" s="3"/>
      <c r="M16092" s="4"/>
      <c r="N16092" s="3" t="s">
        <v>37</v>
      </c>
      <c r="O16092" s="3" t="s">
        <v>38</v>
      </c>
      <c r="P16092" s="5">
        <v>2</v>
      </c>
      <c r="Q16092" s="5">
        <v>30</v>
      </c>
      <c r="R16092" s="5">
        <v>4</v>
      </c>
      <c r="S16092" s="5">
        <v>43</v>
      </c>
    </row>
    <row r="16093" spans="1:19" ht="28" x14ac:dyDescent="0.15">
      <c r="A16093" s="2">
        <f>HYPERLINK("https://open-school.uspishnemisto.com.ua/school/740405/", 740405)</f>
        <v>740405</v>
      </c>
      <c r="B16093" s="3" t="s">
        <v>81199</v>
      </c>
      <c r="C16093" s="3" t="s">
        <v>31</v>
      </c>
      <c r="D16093" s="3" t="s">
        <v>175</v>
      </c>
      <c r="E16093" s="4" t="s">
        <v>22</v>
      </c>
      <c r="F16093" s="4" t="s">
        <v>81200</v>
      </c>
      <c r="G16093" s="4" t="s">
        <v>81201</v>
      </c>
      <c r="H16093" s="3" t="s">
        <v>79360</v>
      </c>
      <c r="I16093" s="3" t="s">
        <v>81202</v>
      </c>
      <c r="J16093" s="3" t="s">
        <v>81203</v>
      </c>
      <c r="K16093" s="3" t="s">
        <v>81204</v>
      </c>
      <c r="L16093" s="3"/>
      <c r="M16093" s="4"/>
      <c r="N16093" s="3" t="s">
        <v>37</v>
      </c>
      <c r="O16093" s="3" t="s">
        <v>52</v>
      </c>
      <c r="P16093" s="5">
        <v>1</v>
      </c>
      <c r="Q16093" s="5">
        <v>26</v>
      </c>
      <c r="R16093" s="5">
        <v>1</v>
      </c>
      <c r="S16093" s="5">
        <v>29</v>
      </c>
    </row>
    <row r="16094" spans="1:19" ht="28" x14ac:dyDescent="0.15">
      <c r="A16094" s="2">
        <f>HYPERLINK("https://open-school.uspishnemisto.com.ua/school/740406/", 740406)</f>
        <v>740406</v>
      </c>
      <c r="B16094" s="3" t="s">
        <v>81205</v>
      </c>
      <c r="C16094" s="3" t="s">
        <v>31</v>
      </c>
      <c r="D16094" s="3" t="s">
        <v>32</v>
      </c>
      <c r="E16094" s="4" t="s">
        <v>22</v>
      </c>
      <c r="F16094" s="4" t="s">
        <v>81206</v>
      </c>
      <c r="G16094" s="4" t="s">
        <v>81207</v>
      </c>
      <c r="H16094" s="3" t="s">
        <v>79360</v>
      </c>
      <c r="I16094" s="3" t="s">
        <v>81208</v>
      </c>
      <c r="J16094" s="3" t="s">
        <v>792</v>
      </c>
      <c r="K16094" s="3" t="s">
        <v>81209</v>
      </c>
      <c r="L16094" s="3"/>
      <c r="M16094" s="4"/>
      <c r="N16094" s="3" t="s">
        <v>37</v>
      </c>
      <c r="O16094" s="3" t="s">
        <v>38</v>
      </c>
      <c r="P16094" s="5">
        <v>13</v>
      </c>
      <c r="Q16094" s="5">
        <v>255</v>
      </c>
      <c r="R16094" s="5">
        <v>13</v>
      </c>
      <c r="S16094" s="5">
        <v>248</v>
      </c>
    </row>
    <row r="16095" spans="1:19" ht="28" x14ac:dyDescent="0.15">
      <c r="A16095" s="2">
        <f>HYPERLINK("https://open-school.uspishnemisto.com.ua/school/740407/", 740407)</f>
        <v>740407</v>
      </c>
      <c r="B16095" s="3" t="s">
        <v>81210</v>
      </c>
      <c r="C16095" s="3" t="s">
        <v>31</v>
      </c>
      <c r="D16095" s="3" t="s">
        <v>32</v>
      </c>
      <c r="E16095" s="4" t="s">
        <v>22</v>
      </c>
      <c r="F16095" s="4" t="s">
        <v>81211</v>
      </c>
      <c r="G16095" s="4" t="s">
        <v>81212</v>
      </c>
      <c r="H16095" s="3" t="s">
        <v>79360</v>
      </c>
      <c r="I16095" s="3" t="s">
        <v>81213</v>
      </c>
      <c r="J16095" s="3" t="s">
        <v>30002</v>
      </c>
      <c r="K16095" s="3" t="s">
        <v>81214</v>
      </c>
      <c r="L16095" s="3"/>
      <c r="M16095" s="4"/>
      <c r="N16095" s="3" t="s">
        <v>37</v>
      </c>
      <c r="O16095" s="3" t="s">
        <v>38</v>
      </c>
      <c r="P16095" s="5">
        <v>11</v>
      </c>
      <c r="Q16095" s="5">
        <v>92</v>
      </c>
      <c r="R16095" s="5">
        <v>11</v>
      </c>
      <c r="S16095" s="5">
        <v>102</v>
      </c>
    </row>
    <row r="16096" spans="1:19" ht="28" x14ac:dyDescent="0.15">
      <c r="A16096" s="2">
        <f>HYPERLINK("https://open-school.uspishnemisto.com.ua/school/740409/", 740409)</f>
        <v>740409</v>
      </c>
      <c r="B16096" s="3" t="s">
        <v>81215</v>
      </c>
      <c r="C16096" s="3" t="s">
        <v>31</v>
      </c>
      <c r="D16096" s="3" t="s">
        <v>175</v>
      </c>
      <c r="E16096" s="4" t="s">
        <v>22</v>
      </c>
      <c r="F16096" s="4" t="s">
        <v>81216</v>
      </c>
      <c r="G16096" s="4" t="s">
        <v>81217</v>
      </c>
      <c r="H16096" s="3" t="s">
        <v>79360</v>
      </c>
      <c r="I16096" s="3" t="s">
        <v>81218</v>
      </c>
      <c r="J16096" s="3" t="s">
        <v>81219</v>
      </c>
      <c r="K16096" s="3" t="s">
        <v>81220</v>
      </c>
      <c r="L16096" s="3"/>
      <c r="M16096" s="4"/>
      <c r="N16096" s="3" t="s">
        <v>37</v>
      </c>
      <c r="O16096" s="3" t="s">
        <v>38</v>
      </c>
      <c r="P16096" s="5">
        <v>4</v>
      </c>
      <c r="Q16096" s="5">
        <v>34</v>
      </c>
      <c r="R16096" s="5">
        <v>3</v>
      </c>
      <c r="S16096" s="5">
        <v>34</v>
      </c>
    </row>
    <row r="16097" spans="1:19" ht="28" x14ac:dyDescent="0.15">
      <c r="A16097" s="2">
        <f>HYPERLINK("https://open-school.uspishnemisto.com.ua/school/740410/", 740410)</f>
        <v>740410</v>
      </c>
      <c r="B16097" s="3" t="s">
        <v>81221</v>
      </c>
      <c r="C16097" s="3" t="s">
        <v>31</v>
      </c>
      <c r="D16097" s="3" t="s">
        <v>175</v>
      </c>
      <c r="E16097" s="4" t="s">
        <v>22</v>
      </c>
      <c r="F16097" s="4" t="s">
        <v>81222</v>
      </c>
      <c r="G16097" s="4" t="s">
        <v>81223</v>
      </c>
      <c r="H16097" s="3" t="s">
        <v>79360</v>
      </c>
      <c r="I16097" s="3" t="s">
        <v>81224</v>
      </c>
      <c r="J16097" s="3" t="s">
        <v>466</v>
      </c>
      <c r="K16097" s="3" t="s">
        <v>81225</v>
      </c>
      <c r="L16097" s="3"/>
      <c r="M16097" s="4"/>
      <c r="N16097" s="3" t="s">
        <v>37</v>
      </c>
      <c r="O16097" s="3" t="s">
        <v>38</v>
      </c>
      <c r="P16097" s="5">
        <v>8</v>
      </c>
      <c r="Q16097" s="5">
        <v>74</v>
      </c>
      <c r="R16097" s="5">
        <v>8</v>
      </c>
      <c r="S16097" s="5">
        <v>67</v>
      </c>
    </row>
    <row r="16098" spans="1:19" ht="28" x14ac:dyDescent="0.15">
      <c r="A16098" s="2">
        <f>HYPERLINK("https://open-school.uspishnemisto.com.ua/school/740411/", 740411)</f>
        <v>740411</v>
      </c>
      <c r="B16098" s="3" t="s">
        <v>81226</v>
      </c>
      <c r="C16098" s="3" t="s">
        <v>31</v>
      </c>
      <c r="D16098" s="3" t="s">
        <v>60</v>
      </c>
      <c r="E16098" s="4" t="s">
        <v>22</v>
      </c>
      <c r="F16098" s="4" t="s">
        <v>81227</v>
      </c>
      <c r="G16098" s="4" t="s">
        <v>81228</v>
      </c>
      <c r="H16098" s="3" t="s">
        <v>79360</v>
      </c>
      <c r="I16098" s="3" t="s">
        <v>34657</v>
      </c>
      <c r="J16098" s="3" t="s">
        <v>81229</v>
      </c>
      <c r="K16098" s="3" t="s">
        <v>81230</v>
      </c>
      <c r="L16098" s="3"/>
      <c r="M16098" s="4"/>
      <c r="N16098" s="3" t="s">
        <v>37</v>
      </c>
      <c r="O16098" s="3" t="s">
        <v>52</v>
      </c>
      <c r="P16098" s="5">
        <v>0</v>
      </c>
      <c r="Q16098" s="5">
        <v>3</v>
      </c>
      <c r="R16098" s="5">
        <v>2</v>
      </c>
      <c r="S16098" s="5">
        <v>32</v>
      </c>
    </row>
    <row r="16099" spans="1:19" ht="28" x14ac:dyDescent="0.15">
      <c r="A16099" s="2">
        <f>HYPERLINK("https://open-school.uspishnemisto.com.ua/school/740412/", 740412)</f>
        <v>740412</v>
      </c>
      <c r="B16099" s="3" t="s">
        <v>81231</v>
      </c>
      <c r="C16099" s="3" t="s">
        <v>31</v>
      </c>
      <c r="D16099" s="3" t="s">
        <v>32</v>
      </c>
      <c r="E16099" s="4" t="s">
        <v>22</v>
      </c>
      <c r="F16099" s="4" t="s">
        <v>81232</v>
      </c>
      <c r="G16099" s="4" t="s">
        <v>81233</v>
      </c>
      <c r="H16099" s="3" t="s">
        <v>79360</v>
      </c>
      <c r="I16099" s="3" t="s">
        <v>81234</v>
      </c>
      <c r="J16099" s="3" t="s">
        <v>81235</v>
      </c>
      <c r="K16099" s="3" t="s">
        <v>81236</v>
      </c>
      <c r="L16099" s="3" t="s">
        <v>81237</v>
      </c>
      <c r="M16099" s="4"/>
      <c r="N16099" s="3" t="s">
        <v>37</v>
      </c>
      <c r="O16099" s="3" t="s">
        <v>38</v>
      </c>
      <c r="P16099" s="5">
        <v>11</v>
      </c>
      <c r="Q16099" s="5">
        <v>109</v>
      </c>
      <c r="R16099" s="5">
        <v>11</v>
      </c>
      <c r="S16099" s="5">
        <v>111</v>
      </c>
    </row>
    <row r="16100" spans="1:19" ht="28" x14ac:dyDescent="0.15">
      <c r="A16100" s="2">
        <f>HYPERLINK("https://open-school.uspishnemisto.com.ua/school/740413/", 740413)</f>
        <v>740413</v>
      </c>
      <c r="B16100" s="3" t="s">
        <v>81238</v>
      </c>
      <c r="C16100" s="3" t="s">
        <v>31</v>
      </c>
      <c r="D16100" s="3" t="s">
        <v>175</v>
      </c>
      <c r="E16100" s="4" t="s">
        <v>22</v>
      </c>
      <c r="F16100" s="4" t="s">
        <v>81232</v>
      </c>
      <c r="G16100" s="4" t="s">
        <v>81239</v>
      </c>
      <c r="H16100" s="3" t="s">
        <v>79360</v>
      </c>
      <c r="I16100" s="3" t="s">
        <v>12141</v>
      </c>
      <c r="J16100" s="3" t="s">
        <v>81240</v>
      </c>
      <c r="K16100" s="3" t="s">
        <v>81241</v>
      </c>
      <c r="L16100" s="3"/>
      <c r="M16100" s="4"/>
      <c r="N16100" s="3" t="s">
        <v>37</v>
      </c>
      <c r="O16100" s="3" t="s">
        <v>38</v>
      </c>
      <c r="P16100" s="5">
        <v>6</v>
      </c>
      <c r="Q16100" s="5">
        <v>41</v>
      </c>
      <c r="R16100" s="5">
        <v>5</v>
      </c>
      <c r="S16100" s="5">
        <v>39</v>
      </c>
    </row>
    <row r="16101" spans="1:19" ht="28" x14ac:dyDescent="0.15">
      <c r="A16101" s="2">
        <f>HYPERLINK("https://open-school.uspishnemisto.com.ua/school/740414/", 740414)</f>
        <v>740414</v>
      </c>
      <c r="B16101" s="3" t="s">
        <v>81242</v>
      </c>
      <c r="C16101" s="3" t="s">
        <v>31</v>
      </c>
      <c r="D16101" s="3" t="s">
        <v>175</v>
      </c>
      <c r="E16101" s="4" t="s">
        <v>22</v>
      </c>
      <c r="F16101" s="4" t="s">
        <v>81243</v>
      </c>
      <c r="G16101" s="4" t="s">
        <v>81244</v>
      </c>
      <c r="H16101" s="3" t="s">
        <v>79360</v>
      </c>
      <c r="I16101" s="3" t="s">
        <v>81245</v>
      </c>
      <c r="J16101" s="3" t="s">
        <v>81246</v>
      </c>
      <c r="K16101" s="3" t="s">
        <v>81247</v>
      </c>
      <c r="L16101" s="3"/>
      <c r="M16101" s="4"/>
      <c r="N16101" s="3" t="s">
        <v>37</v>
      </c>
      <c r="O16101" s="3" t="s">
        <v>38</v>
      </c>
      <c r="P16101" s="5">
        <v>2</v>
      </c>
      <c r="Q16101" s="5">
        <v>29</v>
      </c>
      <c r="R16101" s="5">
        <v>1</v>
      </c>
      <c r="S16101" s="5">
        <v>27</v>
      </c>
    </row>
    <row r="16102" spans="1:19" ht="28" x14ac:dyDescent="0.15">
      <c r="A16102" s="2">
        <f>HYPERLINK("https://open-school.uspishnemisto.com.ua/school/740415/", 740415)</f>
        <v>740415</v>
      </c>
      <c r="B16102" s="3" t="s">
        <v>81248</v>
      </c>
      <c r="C16102" s="3" t="s">
        <v>31</v>
      </c>
      <c r="D16102" s="3" t="s">
        <v>32</v>
      </c>
      <c r="E16102" s="4" t="s">
        <v>22</v>
      </c>
      <c r="F16102" s="4" t="s">
        <v>81249</v>
      </c>
      <c r="G16102" s="4" t="s">
        <v>81250</v>
      </c>
      <c r="H16102" s="3" t="s">
        <v>79360</v>
      </c>
      <c r="I16102" s="3" t="s">
        <v>81251</v>
      </c>
      <c r="J16102" s="3" t="s">
        <v>81252</v>
      </c>
      <c r="K16102" s="3" t="s">
        <v>81253</v>
      </c>
      <c r="L16102" s="3"/>
      <c r="M16102" s="4"/>
      <c r="N16102" s="3" t="s">
        <v>37</v>
      </c>
      <c r="O16102" s="3" t="s">
        <v>70</v>
      </c>
      <c r="P16102" s="5">
        <v>5</v>
      </c>
      <c r="Q16102" s="5">
        <v>40</v>
      </c>
      <c r="R16102" s="5">
        <v>5</v>
      </c>
      <c r="S16102" s="5">
        <v>43</v>
      </c>
    </row>
    <row r="16103" spans="1:19" ht="28" x14ac:dyDescent="0.15">
      <c r="A16103" s="2">
        <f>HYPERLINK("https://open-school.uspishnemisto.com.ua/school/740416/", 740416)</f>
        <v>740416</v>
      </c>
      <c r="B16103" s="3" t="s">
        <v>81254</v>
      </c>
      <c r="C16103" s="3" t="s">
        <v>31</v>
      </c>
      <c r="D16103" s="3" t="s">
        <v>175</v>
      </c>
      <c r="E16103" s="4" t="s">
        <v>22</v>
      </c>
      <c r="F16103" s="4" t="s">
        <v>81255</v>
      </c>
      <c r="G16103" s="4" t="s">
        <v>81256</v>
      </c>
      <c r="H16103" s="3" t="s">
        <v>79360</v>
      </c>
      <c r="I16103" s="3" t="s">
        <v>81257</v>
      </c>
      <c r="J16103" s="3" t="s">
        <v>81258</v>
      </c>
      <c r="K16103" s="3" t="s">
        <v>81259</v>
      </c>
      <c r="L16103" s="3"/>
      <c r="M16103" s="4"/>
      <c r="N16103" s="3" t="s">
        <v>37</v>
      </c>
      <c r="O16103" s="3" t="s">
        <v>38</v>
      </c>
      <c r="P16103" s="5">
        <v>2</v>
      </c>
      <c r="Q16103" s="5">
        <v>27</v>
      </c>
      <c r="R16103" s="5">
        <v>3</v>
      </c>
      <c r="S16103" s="5">
        <v>34</v>
      </c>
    </row>
    <row r="16104" spans="1:19" ht="28" x14ac:dyDescent="0.15">
      <c r="A16104" s="2">
        <f>HYPERLINK("https://open-school.uspishnemisto.com.ua/school/740417/", 740417)</f>
        <v>740417</v>
      </c>
      <c r="B16104" s="3" t="s">
        <v>81260</v>
      </c>
      <c r="C16104" s="3" t="s">
        <v>31</v>
      </c>
      <c r="D16104" s="3" t="s">
        <v>175</v>
      </c>
      <c r="E16104" s="4" t="s">
        <v>22</v>
      </c>
      <c r="F16104" s="4" t="s">
        <v>81261</v>
      </c>
      <c r="G16104" s="4" t="s">
        <v>81262</v>
      </c>
      <c r="H16104" s="3" t="s">
        <v>79360</v>
      </c>
      <c r="I16104" s="3" t="s">
        <v>81263</v>
      </c>
      <c r="J16104" s="3" t="s">
        <v>43535</v>
      </c>
      <c r="K16104" s="3" t="s">
        <v>81264</v>
      </c>
      <c r="L16104" s="3"/>
      <c r="M16104" s="4"/>
      <c r="N16104" s="3" t="s">
        <v>37</v>
      </c>
      <c r="O16104" s="3" t="s">
        <v>38</v>
      </c>
      <c r="P16104" s="5">
        <v>2</v>
      </c>
      <c r="Q16104" s="5">
        <v>26</v>
      </c>
      <c r="R16104" s="5">
        <v>1</v>
      </c>
      <c r="S16104" s="5">
        <v>25</v>
      </c>
    </row>
    <row r="16105" spans="1:19" ht="28" x14ac:dyDescent="0.15">
      <c r="A16105" s="2">
        <f>HYPERLINK("https://open-school.uspishnemisto.com.ua/school/740418/", 740418)</f>
        <v>740418</v>
      </c>
      <c r="B16105" s="3" t="s">
        <v>81265</v>
      </c>
      <c r="C16105" s="3" t="s">
        <v>31</v>
      </c>
      <c r="D16105" s="3" t="s">
        <v>32</v>
      </c>
      <c r="E16105" s="4" t="s">
        <v>22</v>
      </c>
      <c r="F16105" s="4" t="s">
        <v>81266</v>
      </c>
      <c r="G16105" s="4" t="s">
        <v>81267</v>
      </c>
      <c r="H16105" s="3" t="s">
        <v>79360</v>
      </c>
      <c r="I16105" s="3" t="s">
        <v>81268</v>
      </c>
      <c r="J16105" s="3" t="s">
        <v>1001</v>
      </c>
      <c r="K16105" s="3" t="s">
        <v>81269</v>
      </c>
      <c r="L16105" s="3" t="s">
        <v>81270</v>
      </c>
      <c r="M16105" s="4"/>
      <c r="N16105" s="3" t="s">
        <v>37</v>
      </c>
      <c r="O16105" s="3" t="s">
        <v>38</v>
      </c>
      <c r="P16105" s="5">
        <v>9</v>
      </c>
      <c r="Q16105" s="5">
        <v>71</v>
      </c>
      <c r="R16105" s="5">
        <v>9</v>
      </c>
      <c r="S16105" s="5">
        <v>66</v>
      </c>
    </row>
    <row r="16106" spans="1:19" ht="28" x14ac:dyDescent="0.15">
      <c r="A16106" s="2">
        <f>HYPERLINK("https://open-school.uspishnemisto.com.ua/school/740419/", 740419)</f>
        <v>740419</v>
      </c>
      <c r="B16106" s="3" t="s">
        <v>81271</v>
      </c>
      <c r="C16106" s="3" t="s">
        <v>31</v>
      </c>
      <c r="D16106" s="3" t="s">
        <v>175</v>
      </c>
      <c r="E16106" s="4" t="s">
        <v>22</v>
      </c>
      <c r="F16106" s="4" t="s">
        <v>81272</v>
      </c>
      <c r="G16106" s="4" t="s">
        <v>81273</v>
      </c>
      <c r="H16106" s="3" t="s">
        <v>79360</v>
      </c>
      <c r="I16106" s="3" t="s">
        <v>31875</v>
      </c>
      <c r="J16106" s="3" t="s">
        <v>81274</v>
      </c>
      <c r="K16106" s="3" t="s">
        <v>81275</v>
      </c>
      <c r="L16106" s="3"/>
      <c r="M16106" s="4"/>
      <c r="N16106" s="3" t="s">
        <v>37</v>
      </c>
      <c r="O16106" s="3" t="s">
        <v>38</v>
      </c>
      <c r="P16106" s="5">
        <v>2</v>
      </c>
      <c r="Q16106" s="5">
        <v>30</v>
      </c>
      <c r="R16106" s="5">
        <v>4</v>
      </c>
      <c r="S16106" s="5">
        <v>36</v>
      </c>
    </row>
    <row r="16107" spans="1:19" ht="28" x14ac:dyDescent="0.15">
      <c r="A16107" s="2">
        <f>HYPERLINK("https://open-school.uspishnemisto.com.ua/school/740420/", 740420)</f>
        <v>740420</v>
      </c>
      <c r="B16107" s="3" t="s">
        <v>81276</v>
      </c>
      <c r="C16107" s="3" t="s">
        <v>31</v>
      </c>
      <c r="D16107" s="3" t="s">
        <v>175</v>
      </c>
      <c r="E16107" s="4" t="s">
        <v>22</v>
      </c>
      <c r="F16107" s="4" t="s">
        <v>81277</v>
      </c>
      <c r="G16107" s="4" t="s">
        <v>81278</v>
      </c>
      <c r="H16107" s="3" t="s">
        <v>79360</v>
      </c>
      <c r="I16107" s="3" t="s">
        <v>37814</v>
      </c>
      <c r="J16107" s="3" t="s">
        <v>81279</v>
      </c>
      <c r="K16107" s="3" t="s">
        <v>81280</v>
      </c>
      <c r="L16107" s="3"/>
      <c r="M16107" s="4"/>
      <c r="N16107" s="3" t="s">
        <v>37</v>
      </c>
      <c r="O16107" s="3" t="s">
        <v>38</v>
      </c>
      <c r="P16107" s="5">
        <v>2</v>
      </c>
      <c r="Q16107" s="5">
        <v>25</v>
      </c>
      <c r="R16107" s="5">
        <v>3</v>
      </c>
      <c r="S16107" s="5">
        <v>25</v>
      </c>
    </row>
    <row r="16108" spans="1:19" ht="28" x14ac:dyDescent="0.15">
      <c r="A16108" s="2">
        <f>HYPERLINK("https://open-school.uspishnemisto.com.ua/school/740421/", 740421)</f>
        <v>740421</v>
      </c>
      <c r="B16108" s="3" t="s">
        <v>81281</v>
      </c>
      <c r="C16108" s="3" t="s">
        <v>31</v>
      </c>
      <c r="D16108" s="3" t="s">
        <v>32</v>
      </c>
      <c r="E16108" s="4" t="s">
        <v>22</v>
      </c>
      <c r="F16108" s="4" t="s">
        <v>81282</v>
      </c>
      <c r="G16108" s="4" t="s">
        <v>81283</v>
      </c>
      <c r="H16108" s="3" t="s">
        <v>79360</v>
      </c>
      <c r="I16108" s="3" t="s">
        <v>81284</v>
      </c>
      <c r="J16108" s="3" t="s">
        <v>1792</v>
      </c>
      <c r="K16108" s="3" t="s">
        <v>81285</v>
      </c>
      <c r="L16108" s="3"/>
      <c r="M16108" s="4"/>
      <c r="N16108" s="3" t="s">
        <v>37</v>
      </c>
      <c r="O16108" s="3" t="s">
        <v>38</v>
      </c>
      <c r="P16108" s="5">
        <v>5</v>
      </c>
      <c r="Q16108" s="5">
        <v>38</v>
      </c>
      <c r="R16108" s="5">
        <v>6</v>
      </c>
      <c r="S16108" s="5">
        <v>46</v>
      </c>
    </row>
    <row r="16109" spans="1:19" ht="28" x14ac:dyDescent="0.15">
      <c r="A16109" s="2">
        <f>HYPERLINK("https://open-school.uspishnemisto.com.ua/school/740422/", 740422)</f>
        <v>740422</v>
      </c>
      <c r="B16109" s="3" t="s">
        <v>81286</v>
      </c>
      <c r="C16109" s="3" t="s">
        <v>31</v>
      </c>
      <c r="D16109" s="3" t="s">
        <v>32</v>
      </c>
      <c r="E16109" s="4" t="s">
        <v>22</v>
      </c>
      <c r="F16109" s="4" t="s">
        <v>81287</v>
      </c>
      <c r="G16109" s="4" t="s">
        <v>81288</v>
      </c>
      <c r="H16109" s="3" t="s">
        <v>79360</v>
      </c>
      <c r="I16109" s="3" t="s">
        <v>13213</v>
      </c>
      <c r="J16109" s="3" t="s">
        <v>3636</v>
      </c>
      <c r="K16109" s="3"/>
      <c r="L16109" s="3"/>
      <c r="M16109" s="4"/>
      <c r="N16109" s="3" t="s">
        <v>37</v>
      </c>
      <c r="O16109" s="3" t="s">
        <v>38</v>
      </c>
      <c r="P16109" s="5">
        <v>7</v>
      </c>
      <c r="Q16109" s="5">
        <v>55</v>
      </c>
      <c r="R16109" s="5">
        <v>8</v>
      </c>
      <c r="S16109" s="5">
        <v>55</v>
      </c>
    </row>
    <row r="16110" spans="1:19" ht="28" x14ac:dyDescent="0.15">
      <c r="A16110" s="2">
        <f>HYPERLINK("https://open-school.uspishnemisto.com.ua/school/740423/", 740423)</f>
        <v>740423</v>
      </c>
      <c r="B16110" s="3" t="s">
        <v>81289</v>
      </c>
      <c r="C16110" s="3" t="s">
        <v>31</v>
      </c>
      <c r="D16110" s="3" t="s">
        <v>32</v>
      </c>
      <c r="E16110" s="4" t="s">
        <v>22</v>
      </c>
      <c r="F16110" s="4" t="s">
        <v>81290</v>
      </c>
      <c r="G16110" s="4" t="s">
        <v>81291</v>
      </c>
      <c r="H16110" s="3" t="s">
        <v>79360</v>
      </c>
      <c r="I16110" s="3" t="s">
        <v>81292</v>
      </c>
      <c r="J16110" s="3" t="s">
        <v>81293</v>
      </c>
      <c r="K16110" s="3" t="s">
        <v>81294</v>
      </c>
      <c r="L16110" s="3"/>
      <c r="M16110" s="4"/>
      <c r="N16110" s="3" t="s">
        <v>37</v>
      </c>
      <c r="O16110" s="3" t="s">
        <v>52</v>
      </c>
      <c r="P16110" s="5">
        <v>12</v>
      </c>
      <c r="Q16110" s="5">
        <v>240</v>
      </c>
      <c r="R16110" s="5">
        <v>12</v>
      </c>
      <c r="S16110" s="5">
        <v>225</v>
      </c>
    </row>
    <row r="16111" spans="1:19" ht="28" x14ac:dyDescent="0.15">
      <c r="A16111" s="2">
        <f>HYPERLINK("https://open-school.uspishnemisto.com.ua/school/740424/", 740424)</f>
        <v>740424</v>
      </c>
      <c r="B16111" s="3" t="s">
        <v>81295</v>
      </c>
      <c r="C16111" s="3" t="s">
        <v>31</v>
      </c>
      <c r="D16111" s="3" t="s">
        <v>32</v>
      </c>
      <c r="E16111" s="4" t="s">
        <v>22</v>
      </c>
      <c r="F16111" s="4" t="s">
        <v>81296</v>
      </c>
      <c r="G16111" s="4" t="s">
        <v>81297</v>
      </c>
      <c r="H16111" s="3" t="s">
        <v>79360</v>
      </c>
      <c r="I16111" s="3" t="s">
        <v>81298</v>
      </c>
      <c r="J16111" s="3" t="s">
        <v>37404</v>
      </c>
      <c r="K16111" s="3" t="s">
        <v>81299</v>
      </c>
      <c r="L16111" s="3" t="s">
        <v>81300</v>
      </c>
      <c r="M16111" s="4"/>
      <c r="N16111" s="3" t="s">
        <v>37</v>
      </c>
      <c r="O16111" s="3" t="s">
        <v>38</v>
      </c>
      <c r="P16111" s="5">
        <v>9</v>
      </c>
      <c r="Q16111" s="5">
        <v>75</v>
      </c>
      <c r="R16111" s="5">
        <v>9</v>
      </c>
      <c r="S16111" s="5">
        <v>71</v>
      </c>
    </row>
    <row r="16112" spans="1:19" ht="28" x14ac:dyDescent="0.15">
      <c r="A16112" s="2">
        <f>HYPERLINK("https://open-school.uspishnemisto.com.ua/school/740425/", 740425)</f>
        <v>740425</v>
      </c>
      <c r="B16112" s="3" t="s">
        <v>81301</v>
      </c>
      <c r="C16112" s="3" t="s">
        <v>181</v>
      </c>
      <c r="D16112" s="3" t="s">
        <v>175</v>
      </c>
      <c r="E16112" s="4" t="s">
        <v>22</v>
      </c>
      <c r="F16112" s="4" t="s">
        <v>81302</v>
      </c>
      <c r="G16112" s="4" t="s">
        <v>81303</v>
      </c>
      <c r="H16112" s="3" t="s">
        <v>79360</v>
      </c>
      <c r="I16112" s="3" t="s">
        <v>81304</v>
      </c>
      <c r="J16112" s="3" t="s">
        <v>17529</v>
      </c>
      <c r="K16112" s="3" t="s">
        <v>81305</v>
      </c>
      <c r="L16112" s="3"/>
      <c r="M16112" s="4" t="s">
        <v>81306</v>
      </c>
      <c r="N16112" s="3" t="s">
        <v>37</v>
      </c>
      <c r="O16112" s="3"/>
      <c r="P16112" s="5">
        <v>9</v>
      </c>
      <c r="Q16112" s="5">
        <v>65</v>
      </c>
      <c r="R16112" s="5">
        <v>8</v>
      </c>
      <c r="S16112" s="5">
        <v>69</v>
      </c>
    </row>
    <row r="16113" spans="1:19" ht="28" x14ac:dyDescent="0.15">
      <c r="A16113" s="2">
        <f>HYPERLINK("https://open-school.uspishnemisto.com.ua/school/740426/", 740426)</f>
        <v>740426</v>
      </c>
      <c r="B16113" s="3" t="s">
        <v>81307</v>
      </c>
      <c r="C16113" s="3" t="s">
        <v>31</v>
      </c>
      <c r="D16113" s="3" t="s">
        <v>175</v>
      </c>
      <c r="E16113" s="4" t="s">
        <v>22</v>
      </c>
      <c r="F16113" s="4" t="s">
        <v>81302</v>
      </c>
      <c r="G16113" s="4" t="s">
        <v>81303</v>
      </c>
      <c r="H16113" s="3" t="s">
        <v>79360</v>
      </c>
      <c r="I16113" s="3" t="s">
        <v>81304</v>
      </c>
      <c r="J16113" s="3" t="s">
        <v>81308</v>
      </c>
      <c r="K16113" s="3" t="s">
        <v>81309</v>
      </c>
      <c r="L16113" s="3"/>
      <c r="M16113" s="4"/>
      <c r="N16113" s="3" t="s">
        <v>37</v>
      </c>
      <c r="O16113" s="3" t="s">
        <v>38</v>
      </c>
      <c r="P16113" s="5">
        <v>9</v>
      </c>
      <c r="Q16113" s="5">
        <v>62</v>
      </c>
      <c r="R16113" s="5">
        <v>9</v>
      </c>
      <c r="S16113" s="5">
        <v>63</v>
      </c>
    </row>
    <row r="16114" spans="1:19" ht="42" x14ac:dyDescent="0.15">
      <c r="A16114" s="2">
        <f>HYPERLINK("https://open-school.uspishnemisto.com.ua/school/740427/", 740427)</f>
        <v>740427</v>
      </c>
      <c r="B16114" s="3" t="s">
        <v>81310</v>
      </c>
      <c r="C16114" s="3" t="s">
        <v>4989</v>
      </c>
      <c r="D16114" s="3" t="s">
        <v>32</v>
      </c>
      <c r="E16114" s="4" t="s">
        <v>22</v>
      </c>
      <c r="F16114" s="4" t="s">
        <v>81311</v>
      </c>
      <c r="G16114" s="4" t="s">
        <v>81312</v>
      </c>
      <c r="H16114" s="3" t="s">
        <v>79360</v>
      </c>
      <c r="I16114" s="3" t="s">
        <v>17601</v>
      </c>
      <c r="J16114" s="3" t="s">
        <v>81313</v>
      </c>
      <c r="K16114" s="3" t="s">
        <v>81314</v>
      </c>
      <c r="L16114" s="3" t="s">
        <v>81315</v>
      </c>
      <c r="M16114" s="4" t="s">
        <v>81316</v>
      </c>
      <c r="N16114" s="3" t="s">
        <v>37</v>
      </c>
      <c r="O16114" s="3" t="s">
        <v>139</v>
      </c>
      <c r="P16114" s="5">
        <v>11</v>
      </c>
      <c r="Q16114" s="5">
        <v>113</v>
      </c>
      <c r="R16114" s="5">
        <v>11</v>
      </c>
      <c r="S16114" s="5">
        <v>110</v>
      </c>
    </row>
    <row r="16115" spans="1:19" ht="28" x14ac:dyDescent="0.15">
      <c r="A16115" s="2">
        <f>HYPERLINK("https://open-school.uspishnemisto.com.ua/school/740428/", 740428)</f>
        <v>740428</v>
      </c>
      <c r="B16115" s="3" t="s">
        <v>81317</v>
      </c>
      <c r="C16115" s="3" t="s">
        <v>31</v>
      </c>
      <c r="D16115" s="3" t="s">
        <v>32</v>
      </c>
      <c r="E16115" s="4" t="s">
        <v>22</v>
      </c>
      <c r="F16115" s="4" t="s">
        <v>81311</v>
      </c>
      <c r="G16115" s="4" t="s">
        <v>81312</v>
      </c>
      <c r="H16115" s="3" t="s">
        <v>79360</v>
      </c>
      <c r="I16115" s="3" t="s">
        <v>17601</v>
      </c>
      <c r="J16115" s="3" t="s">
        <v>81318</v>
      </c>
      <c r="K16115" s="3" t="s">
        <v>81319</v>
      </c>
      <c r="L16115" s="3"/>
      <c r="M16115" s="4"/>
      <c r="N16115" s="3" t="s">
        <v>37</v>
      </c>
      <c r="O16115" s="3" t="s">
        <v>38</v>
      </c>
      <c r="P16115" s="5">
        <v>9</v>
      </c>
      <c r="Q16115" s="5">
        <v>69</v>
      </c>
      <c r="R16115" s="5">
        <v>9</v>
      </c>
      <c r="S16115" s="5">
        <v>69</v>
      </c>
    </row>
    <row r="16116" spans="1:19" ht="28" x14ac:dyDescent="0.15">
      <c r="A16116" s="2">
        <f>HYPERLINK("https://open-school.uspishnemisto.com.ua/school/740429/", 740429)</f>
        <v>740429</v>
      </c>
      <c r="B16116" s="3" t="s">
        <v>81320</v>
      </c>
      <c r="C16116" s="3" t="s">
        <v>40</v>
      </c>
      <c r="D16116" s="3" t="s">
        <v>32</v>
      </c>
      <c r="E16116" s="4" t="s">
        <v>22</v>
      </c>
      <c r="F16116" s="4" t="s">
        <v>81321</v>
      </c>
      <c r="G16116" s="4" t="s">
        <v>81322</v>
      </c>
      <c r="H16116" s="3" t="s">
        <v>79360</v>
      </c>
      <c r="I16116" s="3" t="s">
        <v>71751</v>
      </c>
      <c r="J16116" s="3" t="s">
        <v>81323</v>
      </c>
      <c r="K16116" s="3" t="s">
        <v>81324</v>
      </c>
      <c r="L16116" s="3" t="s">
        <v>81325</v>
      </c>
      <c r="M16116" s="4"/>
      <c r="N16116" s="3" t="s">
        <v>37</v>
      </c>
      <c r="O16116" s="3" t="s">
        <v>46</v>
      </c>
      <c r="P16116" s="5">
        <v>12</v>
      </c>
      <c r="Q16116" s="5">
        <v>300</v>
      </c>
      <c r="R16116" s="5">
        <v>12</v>
      </c>
      <c r="S16116" s="5">
        <v>310</v>
      </c>
    </row>
    <row r="16117" spans="1:19" ht="28" x14ac:dyDescent="0.15">
      <c r="A16117" s="2">
        <f>HYPERLINK("https://open-school.uspishnemisto.com.ua/school/740430/", 740430)</f>
        <v>740430</v>
      </c>
      <c r="B16117" s="3" t="s">
        <v>81326</v>
      </c>
      <c r="C16117" s="3" t="s">
        <v>31</v>
      </c>
      <c r="D16117" s="3" t="s">
        <v>32</v>
      </c>
      <c r="E16117" s="4" t="s">
        <v>22</v>
      </c>
      <c r="F16117" s="4" t="s">
        <v>81321</v>
      </c>
      <c r="G16117" s="4" t="s">
        <v>81322</v>
      </c>
      <c r="H16117" s="3" t="s">
        <v>79360</v>
      </c>
      <c r="I16117" s="3" t="s">
        <v>71751</v>
      </c>
      <c r="J16117" s="3" t="s">
        <v>81327</v>
      </c>
      <c r="K16117" s="3" t="s">
        <v>81328</v>
      </c>
      <c r="L16117" s="3" t="s">
        <v>81329</v>
      </c>
      <c r="M16117" s="4"/>
      <c r="N16117" s="3" t="s">
        <v>37</v>
      </c>
      <c r="O16117" s="3" t="s">
        <v>38</v>
      </c>
      <c r="P16117" s="5">
        <v>22</v>
      </c>
      <c r="Q16117" s="5">
        <v>517</v>
      </c>
      <c r="R16117" s="5">
        <v>22</v>
      </c>
      <c r="S16117" s="5">
        <v>539</v>
      </c>
    </row>
    <row r="16118" spans="1:19" ht="28" x14ac:dyDescent="0.15">
      <c r="A16118" s="2">
        <f>HYPERLINK("https://open-school.uspishnemisto.com.ua/school/740431/", 740431)</f>
        <v>740431</v>
      </c>
      <c r="B16118" s="3" t="s">
        <v>81330</v>
      </c>
      <c r="C16118" s="3" t="s">
        <v>31</v>
      </c>
      <c r="D16118" s="3" t="s">
        <v>32</v>
      </c>
      <c r="E16118" s="4" t="s">
        <v>22</v>
      </c>
      <c r="F16118" s="4" t="s">
        <v>81331</v>
      </c>
      <c r="G16118" s="4" t="s">
        <v>81332</v>
      </c>
      <c r="H16118" s="3" t="s">
        <v>79360</v>
      </c>
      <c r="I16118" s="3" t="s">
        <v>4791</v>
      </c>
      <c r="J16118" s="3" t="s">
        <v>81333</v>
      </c>
      <c r="K16118" s="3" t="s">
        <v>81334</v>
      </c>
      <c r="L16118" s="3" t="s">
        <v>81335</v>
      </c>
      <c r="M16118" s="4"/>
      <c r="N16118" s="3" t="s">
        <v>128</v>
      </c>
      <c r="O16118" s="3" t="s">
        <v>70</v>
      </c>
      <c r="P16118" s="5">
        <v>16</v>
      </c>
      <c r="Q16118" s="5">
        <v>264</v>
      </c>
      <c r="R16118" s="5">
        <v>17</v>
      </c>
      <c r="S16118" s="5">
        <v>262</v>
      </c>
    </row>
    <row r="16119" spans="1:19" ht="28" x14ac:dyDescent="0.15">
      <c r="A16119" s="2">
        <f>HYPERLINK("https://open-school.uspishnemisto.com.ua/school/740432/", 740432)</f>
        <v>740432</v>
      </c>
      <c r="B16119" s="3" t="s">
        <v>81336</v>
      </c>
      <c r="C16119" s="3" t="s">
        <v>31</v>
      </c>
      <c r="D16119" s="3" t="s">
        <v>32</v>
      </c>
      <c r="E16119" s="4" t="s">
        <v>22</v>
      </c>
      <c r="F16119" s="4" t="s">
        <v>81337</v>
      </c>
      <c r="G16119" s="4" t="s">
        <v>81338</v>
      </c>
      <c r="H16119" s="3" t="s">
        <v>79360</v>
      </c>
      <c r="I16119" s="3" t="s">
        <v>81339</v>
      </c>
      <c r="J16119" s="3" t="s">
        <v>2978</v>
      </c>
      <c r="K16119" s="3" t="s">
        <v>81340</v>
      </c>
      <c r="L16119" s="3"/>
      <c r="M16119" s="4"/>
      <c r="N16119" s="3" t="s">
        <v>37</v>
      </c>
      <c r="O16119" s="3" t="s">
        <v>38</v>
      </c>
      <c r="P16119" s="5">
        <v>11</v>
      </c>
      <c r="Q16119" s="5">
        <v>156</v>
      </c>
      <c r="R16119" s="5">
        <v>11</v>
      </c>
      <c r="S16119" s="5">
        <v>158</v>
      </c>
    </row>
    <row r="16120" spans="1:19" ht="42" x14ac:dyDescent="0.15">
      <c r="A16120" s="2">
        <f>HYPERLINK("https://open-school.uspishnemisto.com.ua/school/740433/", 740433)</f>
        <v>740433</v>
      </c>
      <c r="B16120" s="3" t="s">
        <v>81341</v>
      </c>
      <c r="C16120" s="3" t="s">
        <v>31</v>
      </c>
      <c r="D16120" s="3" t="s">
        <v>32</v>
      </c>
      <c r="E16120" s="4" t="s">
        <v>22</v>
      </c>
      <c r="F16120" s="4" t="s">
        <v>81342</v>
      </c>
      <c r="G16120" s="4" t="s">
        <v>81343</v>
      </c>
      <c r="H16120" s="3" t="s">
        <v>79360</v>
      </c>
      <c r="I16120" s="3" t="s">
        <v>81344</v>
      </c>
      <c r="J16120" s="3" t="s">
        <v>81345</v>
      </c>
      <c r="K16120" s="3" t="s">
        <v>81346</v>
      </c>
      <c r="L16120" s="3"/>
      <c r="M16120" s="4"/>
      <c r="N16120" s="3" t="s">
        <v>37</v>
      </c>
      <c r="O16120" s="3" t="s">
        <v>38</v>
      </c>
      <c r="P16120" s="5">
        <v>11</v>
      </c>
      <c r="Q16120" s="5">
        <v>208</v>
      </c>
      <c r="R16120" s="5">
        <v>11</v>
      </c>
      <c r="S16120" s="5">
        <v>198</v>
      </c>
    </row>
    <row r="16121" spans="1:19" ht="28" x14ac:dyDescent="0.15">
      <c r="A16121" s="2">
        <f>HYPERLINK("https://open-school.uspishnemisto.com.ua/school/740434/", 740434)</f>
        <v>740434</v>
      </c>
      <c r="B16121" s="3" t="s">
        <v>81347</v>
      </c>
      <c r="C16121" s="3" t="s">
        <v>31</v>
      </c>
      <c r="D16121" s="3" t="s">
        <v>32</v>
      </c>
      <c r="E16121" s="4" t="s">
        <v>22</v>
      </c>
      <c r="F16121" s="4" t="s">
        <v>81348</v>
      </c>
      <c r="G16121" s="4" t="s">
        <v>81349</v>
      </c>
      <c r="H16121" s="3" t="s">
        <v>79360</v>
      </c>
      <c r="I16121" s="3" t="s">
        <v>81350</v>
      </c>
      <c r="J16121" s="3" t="s">
        <v>81351</v>
      </c>
      <c r="K16121" s="3" t="s">
        <v>81352</v>
      </c>
      <c r="L16121" s="3"/>
      <c r="M16121" s="4"/>
      <c r="N16121" s="3" t="s">
        <v>37</v>
      </c>
      <c r="O16121" s="3" t="s">
        <v>38</v>
      </c>
      <c r="P16121" s="5">
        <v>9</v>
      </c>
      <c r="Q16121" s="5">
        <v>62</v>
      </c>
      <c r="R16121" s="5">
        <v>9</v>
      </c>
      <c r="S16121" s="5">
        <v>65</v>
      </c>
    </row>
    <row r="16122" spans="1:19" ht="28" x14ac:dyDescent="0.15">
      <c r="A16122" s="2">
        <f>HYPERLINK("https://open-school.uspishnemisto.com.ua/school/740435/", 740435)</f>
        <v>740435</v>
      </c>
      <c r="B16122" s="3" t="s">
        <v>81353</v>
      </c>
      <c r="C16122" s="3" t="s">
        <v>31</v>
      </c>
      <c r="D16122" s="3" t="s">
        <v>32</v>
      </c>
      <c r="E16122" s="4" t="s">
        <v>22</v>
      </c>
      <c r="F16122" s="4" t="s">
        <v>81354</v>
      </c>
      <c r="G16122" s="4" t="s">
        <v>81355</v>
      </c>
      <c r="H16122" s="3" t="s">
        <v>79360</v>
      </c>
      <c r="I16122" s="3" t="s">
        <v>81356</v>
      </c>
      <c r="J16122" s="3" t="s">
        <v>634</v>
      </c>
      <c r="K16122" s="3" t="s">
        <v>81357</v>
      </c>
      <c r="L16122" s="3"/>
      <c r="M16122" s="4"/>
      <c r="N16122" s="3" t="s">
        <v>37</v>
      </c>
      <c r="O16122" s="3" t="s">
        <v>38</v>
      </c>
      <c r="P16122" s="5">
        <v>8</v>
      </c>
      <c r="Q16122" s="5">
        <v>69</v>
      </c>
      <c r="R16122" s="5">
        <v>8</v>
      </c>
      <c r="S16122" s="5">
        <v>69</v>
      </c>
    </row>
    <row r="16123" spans="1:19" ht="28" x14ac:dyDescent="0.15">
      <c r="A16123" s="2">
        <f>HYPERLINK("https://open-school.uspishnemisto.com.ua/school/740436/", 740436)</f>
        <v>740436</v>
      </c>
      <c r="B16123" s="3" t="s">
        <v>81358</v>
      </c>
      <c r="C16123" s="3" t="s">
        <v>31</v>
      </c>
      <c r="D16123" s="3" t="s">
        <v>32</v>
      </c>
      <c r="E16123" s="4" t="s">
        <v>22</v>
      </c>
      <c r="F16123" s="4" t="s">
        <v>81359</v>
      </c>
      <c r="G16123" s="4" t="s">
        <v>81360</v>
      </c>
      <c r="H16123" s="3" t="s">
        <v>79360</v>
      </c>
      <c r="I16123" s="3" t="s">
        <v>81361</v>
      </c>
      <c r="J16123" s="3" t="s">
        <v>18843</v>
      </c>
      <c r="K16123" s="3" t="s">
        <v>81362</v>
      </c>
      <c r="L16123" s="3"/>
      <c r="M16123" s="4"/>
      <c r="N16123" s="3" t="s">
        <v>37</v>
      </c>
      <c r="O16123" s="3" t="s">
        <v>52</v>
      </c>
      <c r="P16123" s="5">
        <v>10</v>
      </c>
      <c r="Q16123" s="5">
        <v>78</v>
      </c>
      <c r="R16123" s="5">
        <v>11</v>
      </c>
      <c r="S16123" s="5">
        <v>90</v>
      </c>
    </row>
    <row r="16124" spans="1:19" ht="28" x14ac:dyDescent="0.15">
      <c r="A16124" s="2">
        <f>HYPERLINK("https://open-school.uspishnemisto.com.ua/school/740437/", 740437)</f>
        <v>740437</v>
      </c>
      <c r="B16124" s="3" t="s">
        <v>81363</v>
      </c>
      <c r="C16124" s="3" t="s">
        <v>31</v>
      </c>
      <c r="D16124" s="3" t="s">
        <v>175</v>
      </c>
      <c r="E16124" s="4" t="s">
        <v>22</v>
      </c>
      <c r="F16124" s="4" t="s">
        <v>81364</v>
      </c>
      <c r="G16124" s="4" t="s">
        <v>81365</v>
      </c>
      <c r="H16124" s="3" t="s">
        <v>79360</v>
      </c>
      <c r="I16124" s="3" t="s">
        <v>12579</v>
      </c>
      <c r="J16124" s="3" t="s">
        <v>11664</v>
      </c>
      <c r="K16124" s="3" t="s">
        <v>81366</v>
      </c>
      <c r="L16124" s="3"/>
      <c r="M16124" s="4"/>
      <c r="N16124" s="3" t="s">
        <v>37</v>
      </c>
      <c r="O16124" s="3" t="s">
        <v>38</v>
      </c>
      <c r="P16124" s="5">
        <v>5</v>
      </c>
      <c r="Q16124" s="5">
        <v>37</v>
      </c>
      <c r="R16124" s="5">
        <v>6</v>
      </c>
      <c r="S16124" s="5">
        <v>39</v>
      </c>
    </row>
    <row r="16125" spans="1:19" ht="28" x14ac:dyDescent="0.15">
      <c r="A16125" s="2">
        <f>HYPERLINK("https://open-school.uspishnemisto.com.ua/school/740438/", 740438)</f>
        <v>740438</v>
      </c>
      <c r="B16125" s="3" t="s">
        <v>81367</v>
      </c>
      <c r="C16125" s="3" t="s">
        <v>31</v>
      </c>
      <c r="D16125" s="3" t="s">
        <v>175</v>
      </c>
      <c r="E16125" s="4" t="s">
        <v>22</v>
      </c>
      <c r="F16125" s="4" t="s">
        <v>81368</v>
      </c>
      <c r="G16125" s="4" t="s">
        <v>81369</v>
      </c>
      <c r="H16125" s="3" t="s">
        <v>79360</v>
      </c>
      <c r="I16125" s="3" t="s">
        <v>81370</v>
      </c>
      <c r="J16125" s="3" t="s">
        <v>6734</v>
      </c>
      <c r="K16125" s="3" t="s">
        <v>81371</v>
      </c>
      <c r="L16125" s="3" t="s">
        <v>81372</v>
      </c>
      <c r="M16125" s="4"/>
      <c r="N16125" s="3" t="s">
        <v>37</v>
      </c>
      <c r="O16125" s="3" t="s">
        <v>38</v>
      </c>
      <c r="P16125" s="5">
        <v>2</v>
      </c>
      <c r="Q16125" s="5">
        <v>27</v>
      </c>
      <c r="R16125" s="5">
        <v>2</v>
      </c>
      <c r="S16125" s="5">
        <v>25</v>
      </c>
    </row>
    <row r="16126" spans="1:19" ht="28" x14ac:dyDescent="0.15">
      <c r="A16126" s="2">
        <f>HYPERLINK("https://open-school.uspishnemisto.com.ua/school/740439/", 740439)</f>
        <v>740439</v>
      </c>
      <c r="B16126" s="3" t="s">
        <v>81373</v>
      </c>
      <c r="C16126" s="3" t="s">
        <v>31</v>
      </c>
      <c r="D16126" s="3" t="s">
        <v>32</v>
      </c>
      <c r="E16126" s="4" t="s">
        <v>22</v>
      </c>
      <c r="F16126" s="4" t="s">
        <v>81374</v>
      </c>
      <c r="G16126" s="4" t="s">
        <v>81375</v>
      </c>
      <c r="H16126" s="3" t="s">
        <v>79360</v>
      </c>
      <c r="I16126" s="3" t="s">
        <v>1587</v>
      </c>
      <c r="J16126" s="3" t="s">
        <v>3370</v>
      </c>
      <c r="K16126" s="3" t="s">
        <v>81376</v>
      </c>
      <c r="L16126" s="3"/>
      <c r="M16126" s="4"/>
      <c r="N16126" s="3" t="s">
        <v>37</v>
      </c>
      <c r="O16126" s="3" t="s">
        <v>38</v>
      </c>
      <c r="P16126" s="5">
        <v>1</v>
      </c>
      <c r="Q16126" s="5">
        <v>39</v>
      </c>
      <c r="R16126" s="5">
        <v>3</v>
      </c>
      <c r="S16126" s="5">
        <v>42</v>
      </c>
    </row>
    <row r="16127" spans="1:19" ht="28" x14ac:dyDescent="0.15">
      <c r="A16127" s="2">
        <f>HYPERLINK("https://open-school.uspishnemisto.com.ua/school/740440/", 740440)</f>
        <v>740440</v>
      </c>
      <c r="B16127" s="3" t="s">
        <v>81377</v>
      </c>
      <c r="C16127" s="3" t="s">
        <v>31</v>
      </c>
      <c r="D16127" s="3" t="s">
        <v>60</v>
      </c>
      <c r="E16127" s="4" t="s">
        <v>22</v>
      </c>
      <c r="F16127" s="4" t="s">
        <v>81378</v>
      </c>
      <c r="G16127" s="4" t="s">
        <v>81379</v>
      </c>
      <c r="H16127" s="3" t="s">
        <v>79360</v>
      </c>
      <c r="I16127" s="3" t="s">
        <v>81380</v>
      </c>
      <c r="J16127" s="3" t="s">
        <v>81381</v>
      </c>
      <c r="K16127" s="3" t="s">
        <v>81382</v>
      </c>
      <c r="L16127" s="3"/>
      <c r="M16127" s="4"/>
      <c r="N16127" s="3" t="s">
        <v>37</v>
      </c>
      <c r="O16127" s="3" t="s">
        <v>52</v>
      </c>
      <c r="P16127" s="5">
        <v>1</v>
      </c>
      <c r="Q16127" s="5">
        <v>7</v>
      </c>
      <c r="R16127" s="5">
        <v>0</v>
      </c>
      <c r="S16127" s="5">
        <v>5</v>
      </c>
    </row>
    <row r="16128" spans="1:19" ht="28" x14ac:dyDescent="0.15">
      <c r="A16128" s="2">
        <f>HYPERLINK("https://open-school.uspishnemisto.com.ua/school/740441/", 740441)</f>
        <v>740441</v>
      </c>
      <c r="B16128" s="3" t="s">
        <v>81383</v>
      </c>
      <c r="C16128" s="3" t="s">
        <v>31</v>
      </c>
      <c r="D16128" s="3" t="s">
        <v>175</v>
      </c>
      <c r="E16128" s="4" t="s">
        <v>22</v>
      </c>
      <c r="F16128" s="4" t="s">
        <v>81384</v>
      </c>
      <c r="G16128" s="4" t="s">
        <v>81385</v>
      </c>
      <c r="H16128" s="3" t="s">
        <v>79360</v>
      </c>
      <c r="I16128" s="3" t="s">
        <v>2359</v>
      </c>
      <c r="J16128" s="3" t="s">
        <v>2226</v>
      </c>
      <c r="K16128" s="3" t="s">
        <v>81386</v>
      </c>
      <c r="L16128" s="3"/>
      <c r="M16128" s="4"/>
      <c r="N16128" s="3" t="s">
        <v>37</v>
      </c>
      <c r="O16128" s="3" t="s">
        <v>52</v>
      </c>
      <c r="P16128" s="5">
        <v>8</v>
      </c>
      <c r="Q16128" s="5">
        <v>51</v>
      </c>
      <c r="R16128" s="5">
        <v>6</v>
      </c>
      <c r="S16128" s="5">
        <v>47</v>
      </c>
    </row>
    <row r="16129" spans="1:19" ht="28" x14ac:dyDescent="0.15">
      <c r="A16129" s="2">
        <f>HYPERLINK("https://open-school.uspishnemisto.com.ua/school/740442/", 740442)</f>
        <v>740442</v>
      </c>
      <c r="B16129" s="3" t="s">
        <v>81387</v>
      </c>
      <c r="C16129" s="3" t="s">
        <v>31</v>
      </c>
      <c r="D16129" s="3" t="s">
        <v>175</v>
      </c>
      <c r="E16129" s="4" t="s">
        <v>22</v>
      </c>
      <c r="F16129" s="4" t="s">
        <v>81388</v>
      </c>
      <c r="G16129" s="4" t="s">
        <v>81389</v>
      </c>
      <c r="H16129" s="3" t="s">
        <v>79360</v>
      </c>
      <c r="I16129" s="3" t="s">
        <v>81390</v>
      </c>
      <c r="J16129" s="3" t="s">
        <v>81391</v>
      </c>
      <c r="K16129" s="3" t="s">
        <v>81392</v>
      </c>
      <c r="L16129" s="3"/>
      <c r="M16129" s="4"/>
      <c r="N16129" s="3" t="s">
        <v>37</v>
      </c>
      <c r="O16129" s="3" t="s">
        <v>46</v>
      </c>
      <c r="P16129" s="5">
        <v>1</v>
      </c>
      <c r="Q16129" s="5">
        <v>25</v>
      </c>
      <c r="R16129" s="5">
        <v>1</v>
      </c>
      <c r="S16129" s="5">
        <v>27</v>
      </c>
    </row>
    <row r="16130" spans="1:19" ht="28" x14ac:dyDescent="0.15">
      <c r="A16130" s="2">
        <f>HYPERLINK("https://open-school.uspishnemisto.com.ua/school/740443/", 740443)</f>
        <v>740443</v>
      </c>
      <c r="B16130" s="3" t="s">
        <v>81393</v>
      </c>
      <c r="C16130" s="3" t="s">
        <v>31</v>
      </c>
      <c r="D16130" s="3" t="s">
        <v>32</v>
      </c>
      <c r="E16130" s="4" t="s">
        <v>22</v>
      </c>
      <c r="F16130" s="4" t="s">
        <v>81394</v>
      </c>
      <c r="G16130" s="4" t="s">
        <v>81395</v>
      </c>
      <c r="H16130" s="3" t="s">
        <v>79360</v>
      </c>
      <c r="I16130" s="3" t="s">
        <v>81396</v>
      </c>
      <c r="J16130" s="3" t="s">
        <v>3556</v>
      </c>
      <c r="K16130" s="3" t="s">
        <v>81397</v>
      </c>
      <c r="L16130" s="3"/>
      <c r="M16130" s="4"/>
      <c r="N16130" s="3" t="s">
        <v>37</v>
      </c>
      <c r="O16130" s="3" t="s">
        <v>52</v>
      </c>
      <c r="P16130" s="5">
        <v>2</v>
      </c>
      <c r="Q16130" s="5">
        <v>33</v>
      </c>
      <c r="R16130" s="5">
        <v>3</v>
      </c>
      <c r="S16130" s="5">
        <v>35</v>
      </c>
    </row>
    <row r="16131" spans="1:19" ht="28" x14ac:dyDescent="0.15">
      <c r="A16131" s="2">
        <f>HYPERLINK("https://open-school.uspishnemisto.com.ua/school/740444/", 740444)</f>
        <v>740444</v>
      </c>
      <c r="B16131" s="3" t="s">
        <v>81398</v>
      </c>
      <c r="C16131" s="3" t="s">
        <v>31</v>
      </c>
      <c r="D16131" s="3" t="s">
        <v>32</v>
      </c>
      <c r="E16131" s="4" t="s">
        <v>22</v>
      </c>
      <c r="F16131" s="4" t="s">
        <v>81399</v>
      </c>
      <c r="G16131" s="4" t="s">
        <v>81400</v>
      </c>
      <c r="H16131" s="3" t="s">
        <v>79360</v>
      </c>
      <c r="I16131" s="3" t="s">
        <v>81401</v>
      </c>
      <c r="J16131" s="3" t="s">
        <v>81402</v>
      </c>
      <c r="K16131" s="3" t="s">
        <v>81403</v>
      </c>
      <c r="L16131" s="3"/>
      <c r="M16131" s="4"/>
      <c r="N16131" s="3" t="s">
        <v>37</v>
      </c>
      <c r="O16131" s="3" t="s">
        <v>46</v>
      </c>
      <c r="P16131" s="5">
        <v>10</v>
      </c>
      <c r="Q16131" s="5">
        <v>76</v>
      </c>
      <c r="R16131" s="5">
        <v>9</v>
      </c>
      <c r="S16131" s="5">
        <v>78</v>
      </c>
    </row>
    <row r="16132" spans="1:19" ht="28" x14ac:dyDescent="0.15">
      <c r="A16132" s="2">
        <f>HYPERLINK("https://open-school.uspishnemisto.com.ua/school/740445/", 740445)</f>
        <v>740445</v>
      </c>
      <c r="B16132" s="3" t="s">
        <v>81404</v>
      </c>
      <c r="C16132" s="3" t="s">
        <v>31</v>
      </c>
      <c r="D16132" s="3" t="s">
        <v>32</v>
      </c>
      <c r="E16132" s="4" t="s">
        <v>22</v>
      </c>
      <c r="F16132" s="4" t="s">
        <v>81405</v>
      </c>
      <c r="G16132" s="4" t="s">
        <v>81406</v>
      </c>
      <c r="H16132" s="3" t="s">
        <v>79360</v>
      </c>
      <c r="I16132" s="3" t="s">
        <v>58199</v>
      </c>
      <c r="J16132" s="3" t="s">
        <v>1636</v>
      </c>
      <c r="K16132" s="3" t="s">
        <v>81407</v>
      </c>
      <c r="L16132" s="3"/>
      <c r="M16132" s="4"/>
      <c r="N16132" s="3" t="s">
        <v>37</v>
      </c>
      <c r="O16132" s="3" t="s">
        <v>38</v>
      </c>
      <c r="P16132" s="5">
        <v>10</v>
      </c>
      <c r="Q16132" s="5">
        <v>81</v>
      </c>
      <c r="R16132" s="5">
        <v>10</v>
      </c>
      <c r="S16132" s="5">
        <v>83</v>
      </c>
    </row>
    <row r="16133" spans="1:19" ht="28" x14ac:dyDescent="0.15">
      <c r="A16133" s="2">
        <f>HYPERLINK("https://open-school.uspishnemisto.com.ua/school/740446/", 740446)</f>
        <v>740446</v>
      </c>
      <c r="B16133" s="3" t="s">
        <v>81408</v>
      </c>
      <c r="C16133" s="3" t="s">
        <v>31</v>
      </c>
      <c r="D16133" s="3" t="s">
        <v>32</v>
      </c>
      <c r="E16133" s="4" t="s">
        <v>22</v>
      </c>
      <c r="F16133" s="4" t="s">
        <v>81409</v>
      </c>
      <c r="G16133" s="4" t="s">
        <v>81410</v>
      </c>
      <c r="H16133" s="3" t="s">
        <v>79360</v>
      </c>
      <c r="I16133" s="3" t="s">
        <v>81411</v>
      </c>
      <c r="J16133" s="3" t="s">
        <v>2384</v>
      </c>
      <c r="K16133" s="3" t="s">
        <v>81412</v>
      </c>
      <c r="L16133" s="3"/>
      <c r="M16133" s="4"/>
      <c r="N16133" s="3" t="s">
        <v>37</v>
      </c>
      <c r="O16133" s="3" t="s">
        <v>70</v>
      </c>
      <c r="P16133" s="5">
        <v>8</v>
      </c>
      <c r="Q16133" s="5">
        <v>56</v>
      </c>
      <c r="R16133" s="5">
        <v>8</v>
      </c>
      <c r="S16133" s="5">
        <v>60</v>
      </c>
    </row>
    <row r="16134" spans="1:19" ht="28" x14ac:dyDescent="0.15">
      <c r="A16134" s="2">
        <f>HYPERLINK("https://open-school.uspishnemisto.com.ua/school/740447/", 740447)</f>
        <v>740447</v>
      </c>
      <c r="B16134" s="3" t="s">
        <v>81413</v>
      </c>
      <c r="C16134" s="3" t="s">
        <v>40</v>
      </c>
      <c r="D16134" s="3" t="s">
        <v>32</v>
      </c>
      <c r="E16134" s="4" t="s">
        <v>22</v>
      </c>
      <c r="F16134" s="4" t="s">
        <v>81414</v>
      </c>
      <c r="G16134" s="4" t="s">
        <v>81415</v>
      </c>
      <c r="H16134" s="3" t="s">
        <v>79360</v>
      </c>
      <c r="I16134" s="3" t="s">
        <v>11605</v>
      </c>
      <c r="J16134" s="3" t="s">
        <v>466</v>
      </c>
      <c r="K16134" s="3" t="s">
        <v>81416</v>
      </c>
      <c r="L16134" s="3"/>
      <c r="M16134" s="4"/>
      <c r="N16134" s="3" t="s">
        <v>37</v>
      </c>
      <c r="O16134" s="3" t="s">
        <v>52</v>
      </c>
      <c r="P16134" s="5">
        <v>21</v>
      </c>
      <c r="Q16134" s="5">
        <v>451</v>
      </c>
      <c r="R16134" s="5">
        <v>21</v>
      </c>
      <c r="S16134" s="5">
        <v>433</v>
      </c>
    </row>
    <row r="16135" spans="1:19" ht="28" x14ac:dyDescent="0.15">
      <c r="A16135" s="2">
        <f>HYPERLINK("https://open-school.uspishnemisto.com.ua/school/740448/", 740448)</f>
        <v>740448</v>
      </c>
      <c r="B16135" s="3" t="s">
        <v>81417</v>
      </c>
      <c r="C16135" s="3" t="s">
        <v>31</v>
      </c>
      <c r="D16135" s="3" t="s">
        <v>32</v>
      </c>
      <c r="E16135" s="4" t="s">
        <v>22</v>
      </c>
      <c r="F16135" s="4" t="s">
        <v>81414</v>
      </c>
      <c r="G16135" s="4" t="s">
        <v>81415</v>
      </c>
      <c r="H16135" s="3" t="s">
        <v>79360</v>
      </c>
      <c r="I16135" s="3" t="s">
        <v>11605</v>
      </c>
      <c r="J16135" s="3" t="s">
        <v>81418</v>
      </c>
      <c r="K16135" s="3" t="s">
        <v>81419</v>
      </c>
      <c r="L16135" s="3" t="s">
        <v>81420</v>
      </c>
      <c r="M16135" s="4"/>
      <c r="N16135" s="3" t="s">
        <v>37</v>
      </c>
      <c r="O16135" s="3" t="s">
        <v>52</v>
      </c>
      <c r="P16135" s="5">
        <v>12</v>
      </c>
      <c r="Q16135" s="5">
        <v>290</v>
      </c>
      <c r="R16135" s="5">
        <v>11</v>
      </c>
      <c r="S16135" s="5">
        <v>281</v>
      </c>
    </row>
    <row r="16136" spans="1:19" ht="28" x14ac:dyDescent="0.15">
      <c r="A16136" s="2">
        <f>HYPERLINK("https://open-school.uspishnemisto.com.ua/school/740449/", 740449)</f>
        <v>740449</v>
      </c>
      <c r="B16136" s="3" t="s">
        <v>81421</v>
      </c>
      <c r="C16136" s="3" t="s">
        <v>31</v>
      </c>
      <c r="D16136" s="3" t="s">
        <v>175</v>
      </c>
      <c r="E16136" s="4" t="s">
        <v>22</v>
      </c>
      <c r="F16136" s="4" t="s">
        <v>81414</v>
      </c>
      <c r="G16136" s="4" t="s">
        <v>81415</v>
      </c>
      <c r="H16136" s="3" t="s">
        <v>79360</v>
      </c>
      <c r="I16136" s="3" t="s">
        <v>11605</v>
      </c>
      <c r="J16136" s="3" t="s">
        <v>81422</v>
      </c>
      <c r="K16136" s="3" t="s">
        <v>81423</v>
      </c>
      <c r="L16136" s="3"/>
      <c r="M16136" s="4"/>
      <c r="N16136" s="3" t="s">
        <v>37</v>
      </c>
      <c r="O16136" s="3" t="s">
        <v>38</v>
      </c>
      <c r="P16136" s="5">
        <v>8</v>
      </c>
      <c r="Q16136" s="5">
        <v>71</v>
      </c>
      <c r="R16136" s="5">
        <v>8</v>
      </c>
      <c r="S16136" s="5">
        <v>70</v>
      </c>
    </row>
    <row r="16137" spans="1:19" ht="28" x14ac:dyDescent="0.15">
      <c r="A16137" s="2">
        <f>HYPERLINK("https://open-school.uspishnemisto.com.ua/school/740450/", 740450)</f>
        <v>740450</v>
      </c>
      <c r="B16137" s="3" t="s">
        <v>81424</v>
      </c>
      <c r="C16137" s="3" t="s">
        <v>31</v>
      </c>
      <c r="D16137" s="3" t="s">
        <v>32</v>
      </c>
      <c r="E16137" s="4" t="s">
        <v>22</v>
      </c>
      <c r="F16137" s="4" t="s">
        <v>81414</v>
      </c>
      <c r="G16137" s="4" t="s">
        <v>81415</v>
      </c>
      <c r="H16137" s="3" t="s">
        <v>79360</v>
      </c>
      <c r="I16137" s="3" t="s">
        <v>11605</v>
      </c>
      <c r="J16137" s="3" t="s">
        <v>48649</v>
      </c>
      <c r="K16137" s="3" t="s">
        <v>81425</v>
      </c>
      <c r="L16137" s="3"/>
      <c r="M16137" s="4"/>
      <c r="N16137" s="3" t="s">
        <v>37</v>
      </c>
      <c r="O16137" s="3" t="s">
        <v>52</v>
      </c>
      <c r="P16137" s="5">
        <v>11</v>
      </c>
      <c r="Q16137" s="5">
        <v>147</v>
      </c>
      <c r="R16137" s="5">
        <v>10</v>
      </c>
      <c r="S16137" s="5">
        <v>142</v>
      </c>
    </row>
    <row r="16138" spans="1:19" ht="28" x14ac:dyDescent="0.15">
      <c r="A16138" s="2">
        <f>HYPERLINK("https://open-school.uspishnemisto.com.ua/school/740451/", 740451)</f>
        <v>740451</v>
      </c>
      <c r="B16138" s="3" t="s">
        <v>81426</v>
      </c>
      <c r="C16138" s="3" t="s">
        <v>31</v>
      </c>
      <c r="D16138" s="3" t="s">
        <v>32</v>
      </c>
      <c r="E16138" s="4" t="s">
        <v>22</v>
      </c>
      <c r="F16138" s="4" t="s">
        <v>81427</v>
      </c>
      <c r="G16138" s="4" t="s">
        <v>81428</v>
      </c>
      <c r="H16138" s="3" t="s">
        <v>79360</v>
      </c>
      <c r="I16138" s="3" t="s">
        <v>1291</v>
      </c>
      <c r="J16138" s="3" t="s">
        <v>81429</v>
      </c>
      <c r="K16138" s="3" t="s">
        <v>81430</v>
      </c>
      <c r="L16138" s="3"/>
      <c r="M16138" s="4"/>
      <c r="N16138" s="3" t="s">
        <v>37</v>
      </c>
      <c r="O16138" s="3" t="s">
        <v>38</v>
      </c>
      <c r="P16138" s="5">
        <v>4</v>
      </c>
      <c r="Q16138" s="5">
        <v>39</v>
      </c>
      <c r="R16138" s="5">
        <v>4</v>
      </c>
      <c r="S16138" s="5">
        <v>38</v>
      </c>
    </row>
    <row r="16139" spans="1:19" ht="42" x14ac:dyDescent="0.15">
      <c r="A16139" s="2">
        <f>HYPERLINK("https://open-school.uspishnemisto.com.ua/school/740452/", 740452)</f>
        <v>740452</v>
      </c>
      <c r="B16139" s="3" t="s">
        <v>81431</v>
      </c>
      <c r="C16139" s="3" t="s">
        <v>31</v>
      </c>
      <c r="D16139" s="3" t="s">
        <v>32</v>
      </c>
      <c r="E16139" s="4" t="s">
        <v>22</v>
      </c>
      <c r="F16139" s="4" t="s">
        <v>81432</v>
      </c>
      <c r="G16139" s="4" t="s">
        <v>81433</v>
      </c>
      <c r="H16139" s="3" t="s">
        <v>79360</v>
      </c>
      <c r="I16139" s="3" t="s">
        <v>81434</v>
      </c>
      <c r="J16139" s="3" t="s">
        <v>694</v>
      </c>
      <c r="K16139" s="3" t="s">
        <v>81435</v>
      </c>
      <c r="L16139" s="3" t="s">
        <v>81436</v>
      </c>
      <c r="M16139" s="4"/>
      <c r="N16139" s="3" t="s">
        <v>37</v>
      </c>
      <c r="O16139" s="3" t="s">
        <v>52</v>
      </c>
      <c r="P16139" s="5">
        <v>11</v>
      </c>
      <c r="Q16139" s="5">
        <v>91</v>
      </c>
      <c r="R16139" s="5">
        <v>11</v>
      </c>
      <c r="S16139" s="5">
        <v>93</v>
      </c>
    </row>
    <row r="16140" spans="1:19" ht="28" x14ac:dyDescent="0.15">
      <c r="A16140" s="2">
        <f>HYPERLINK("https://open-school.uspishnemisto.com.ua/school/740453/", 740453)</f>
        <v>740453</v>
      </c>
      <c r="B16140" s="3" t="s">
        <v>81437</v>
      </c>
      <c r="C16140" s="3" t="s">
        <v>31</v>
      </c>
      <c r="D16140" s="3" t="s">
        <v>175</v>
      </c>
      <c r="E16140" s="4" t="s">
        <v>22</v>
      </c>
      <c r="F16140" s="4" t="s">
        <v>81438</v>
      </c>
      <c r="G16140" s="4" t="s">
        <v>81439</v>
      </c>
      <c r="H16140" s="3" t="s">
        <v>79360</v>
      </c>
      <c r="I16140" s="3" t="s">
        <v>81440</v>
      </c>
      <c r="J16140" s="3" t="s">
        <v>50722</v>
      </c>
      <c r="K16140" s="3" t="s">
        <v>81441</v>
      </c>
      <c r="L16140" s="3"/>
      <c r="M16140" s="4"/>
      <c r="N16140" s="3" t="s">
        <v>37</v>
      </c>
      <c r="O16140" s="3" t="s">
        <v>52</v>
      </c>
      <c r="P16140" s="5">
        <v>0</v>
      </c>
      <c r="Q16140" s="5">
        <v>0</v>
      </c>
      <c r="R16140" s="5">
        <v>0</v>
      </c>
      <c r="S16140" s="5">
        <v>19</v>
      </c>
    </row>
    <row r="16141" spans="1:19" ht="28" x14ac:dyDescent="0.15">
      <c r="A16141" s="2">
        <f>HYPERLINK("https://open-school.uspishnemisto.com.ua/school/740454/", 740454)</f>
        <v>740454</v>
      </c>
      <c r="B16141" s="3" t="s">
        <v>81442</v>
      </c>
      <c r="C16141" s="3" t="s">
        <v>31</v>
      </c>
      <c r="D16141" s="3" t="s">
        <v>32</v>
      </c>
      <c r="E16141" s="4" t="s">
        <v>22</v>
      </c>
      <c r="F16141" s="4" t="s">
        <v>81443</v>
      </c>
      <c r="G16141" s="4" t="s">
        <v>81444</v>
      </c>
      <c r="H16141" s="3" t="s">
        <v>79360</v>
      </c>
      <c r="I16141" s="3" t="s">
        <v>883</v>
      </c>
      <c r="J16141" s="3" t="s">
        <v>81445</v>
      </c>
      <c r="K16141" s="3" t="s">
        <v>81446</v>
      </c>
      <c r="L16141" s="3" t="s">
        <v>81447</v>
      </c>
      <c r="M16141" s="4"/>
      <c r="N16141" s="3" t="s">
        <v>37</v>
      </c>
      <c r="O16141" s="3" t="s">
        <v>38</v>
      </c>
      <c r="P16141" s="5">
        <v>9</v>
      </c>
      <c r="Q16141" s="5">
        <v>84</v>
      </c>
      <c r="R16141" s="5">
        <v>9</v>
      </c>
      <c r="S16141" s="5">
        <v>82</v>
      </c>
    </row>
    <row r="16142" spans="1:19" ht="28" x14ac:dyDescent="0.15">
      <c r="A16142" s="2">
        <f>HYPERLINK("https://open-school.uspishnemisto.com.ua/school/740455/", 740455)</f>
        <v>740455</v>
      </c>
      <c r="B16142" s="3" t="s">
        <v>81448</v>
      </c>
      <c r="C16142" s="3" t="s">
        <v>31</v>
      </c>
      <c r="D16142" s="3" t="s">
        <v>32</v>
      </c>
      <c r="E16142" s="4" t="s">
        <v>22</v>
      </c>
      <c r="F16142" s="4" t="s">
        <v>81449</v>
      </c>
      <c r="G16142" s="4" t="s">
        <v>81450</v>
      </c>
      <c r="H16142" s="3" t="s">
        <v>79360</v>
      </c>
      <c r="I16142" s="3" t="s">
        <v>81451</v>
      </c>
      <c r="J16142" s="3" t="s">
        <v>7166</v>
      </c>
      <c r="K16142" s="3" t="s">
        <v>81452</v>
      </c>
      <c r="L16142" s="3"/>
      <c r="M16142" s="4"/>
      <c r="N16142" s="3" t="s">
        <v>37</v>
      </c>
      <c r="O16142" s="3" t="s">
        <v>38</v>
      </c>
      <c r="P16142" s="5">
        <v>11</v>
      </c>
      <c r="Q16142" s="5">
        <v>100</v>
      </c>
      <c r="R16142" s="5">
        <v>11</v>
      </c>
      <c r="S16142" s="5">
        <v>99</v>
      </c>
    </row>
    <row r="16143" spans="1:19" ht="28" x14ac:dyDescent="0.15">
      <c r="A16143" s="2">
        <f>HYPERLINK("https://open-school.uspishnemisto.com.ua/school/740456/", 740456)</f>
        <v>740456</v>
      </c>
      <c r="B16143" s="3" t="s">
        <v>81453</v>
      </c>
      <c r="C16143" s="3" t="s">
        <v>31</v>
      </c>
      <c r="D16143" s="3" t="s">
        <v>32</v>
      </c>
      <c r="E16143" s="4" t="s">
        <v>22</v>
      </c>
      <c r="F16143" s="4" t="s">
        <v>81454</v>
      </c>
      <c r="G16143" s="4" t="s">
        <v>81455</v>
      </c>
      <c r="H16143" s="3" t="s">
        <v>79360</v>
      </c>
      <c r="I16143" s="3" t="s">
        <v>81456</v>
      </c>
      <c r="J16143" s="3" t="s">
        <v>29352</v>
      </c>
      <c r="K16143" s="3" t="s">
        <v>81457</v>
      </c>
      <c r="L16143" s="3" t="s">
        <v>81458</v>
      </c>
      <c r="M16143" s="4"/>
      <c r="N16143" s="3" t="s">
        <v>37</v>
      </c>
      <c r="O16143" s="3" t="s">
        <v>52</v>
      </c>
      <c r="P16143" s="5">
        <v>7</v>
      </c>
      <c r="Q16143" s="5">
        <v>55</v>
      </c>
      <c r="R16143" s="5">
        <v>7</v>
      </c>
      <c r="S16143" s="5">
        <v>54</v>
      </c>
    </row>
    <row r="16144" spans="1:19" ht="28" x14ac:dyDescent="0.15">
      <c r="A16144" s="2">
        <f>HYPERLINK("https://open-school.uspishnemisto.com.ua/school/740457/", 740457)</f>
        <v>740457</v>
      </c>
      <c r="B16144" s="3" t="s">
        <v>81459</v>
      </c>
      <c r="C16144" s="3" t="s">
        <v>31</v>
      </c>
      <c r="D16144" s="3" t="s">
        <v>32</v>
      </c>
      <c r="E16144" s="4" t="s">
        <v>22</v>
      </c>
      <c r="F16144" s="4" t="s">
        <v>81460</v>
      </c>
      <c r="G16144" s="4" t="s">
        <v>81461</v>
      </c>
      <c r="H16144" s="3" t="s">
        <v>79360</v>
      </c>
      <c r="I16144" s="3" t="s">
        <v>70699</v>
      </c>
      <c r="J16144" s="3" t="s">
        <v>81462</v>
      </c>
      <c r="K16144" s="3" t="s">
        <v>81463</v>
      </c>
      <c r="L16144" s="3" t="s">
        <v>81464</v>
      </c>
      <c r="M16144" s="4"/>
      <c r="N16144" s="3" t="s">
        <v>37</v>
      </c>
      <c r="O16144" s="3" t="s">
        <v>38</v>
      </c>
      <c r="P16144" s="5">
        <v>11</v>
      </c>
      <c r="Q16144" s="5">
        <v>82</v>
      </c>
      <c r="R16144" s="5">
        <v>10</v>
      </c>
      <c r="S16144" s="5">
        <v>70</v>
      </c>
    </row>
    <row r="16145" spans="1:19" ht="28" x14ac:dyDescent="0.15">
      <c r="A16145" s="2">
        <f>HYPERLINK("https://open-school.uspishnemisto.com.ua/school/740459/", 740459)</f>
        <v>740459</v>
      </c>
      <c r="B16145" s="3" t="s">
        <v>81465</v>
      </c>
      <c r="C16145" s="3" t="s">
        <v>31</v>
      </c>
      <c r="D16145" s="3" t="s">
        <v>32</v>
      </c>
      <c r="E16145" s="4" t="s">
        <v>22</v>
      </c>
      <c r="F16145" s="4" t="s">
        <v>81466</v>
      </c>
      <c r="G16145" s="4" t="s">
        <v>81467</v>
      </c>
      <c r="H16145" s="3" t="s">
        <v>79360</v>
      </c>
      <c r="I16145" s="3" t="s">
        <v>81468</v>
      </c>
      <c r="J16145" s="3" t="s">
        <v>81469</v>
      </c>
      <c r="K16145" s="3" t="s">
        <v>81470</v>
      </c>
      <c r="L16145" s="3"/>
      <c r="M16145" s="4"/>
      <c r="N16145" s="3" t="s">
        <v>37</v>
      </c>
      <c r="O16145" s="3" t="s">
        <v>38</v>
      </c>
      <c r="P16145" s="5">
        <v>8</v>
      </c>
      <c r="Q16145" s="5">
        <v>65</v>
      </c>
      <c r="R16145" s="5">
        <v>9</v>
      </c>
      <c r="S16145" s="5">
        <v>70</v>
      </c>
    </row>
    <row r="16146" spans="1:19" ht="28" x14ac:dyDescent="0.15">
      <c r="A16146" s="2">
        <f>HYPERLINK("https://open-school.uspishnemisto.com.ua/school/740460/", 740460)</f>
        <v>740460</v>
      </c>
      <c r="B16146" s="3" t="s">
        <v>81471</v>
      </c>
      <c r="C16146" s="3" t="s">
        <v>31</v>
      </c>
      <c r="D16146" s="3" t="s">
        <v>60</v>
      </c>
      <c r="E16146" s="4" t="s">
        <v>22</v>
      </c>
      <c r="F16146" s="4" t="s">
        <v>81472</v>
      </c>
      <c r="G16146" s="4" t="s">
        <v>81473</v>
      </c>
      <c r="H16146" s="3" t="s">
        <v>79360</v>
      </c>
      <c r="I16146" s="3" t="s">
        <v>81474</v>
      </c>
      <c r="J16146" s="3" t="s">
        <v>81475</v>
      </c>
      <c r="K16146" s="3" t="s">
        <v>81476</v>
      </c>
      <c r="L16146" s="3"/>
      <c r="M16146" s="4"/>
      <c r="N16146" s="3" t="s">
        <v>37</v>
      </c>
      <c r="O16146" s="3" t="s">
        <v>52</v>
      </c>
      <c r="P16146" s="5">
        <v>0</v>
      </c>
      <c r="Q16146" s="5">
        <v>5</v>
      </c>
      <c r="R16146" s="5">
        <v>0</v>
      </c>
      <c r="S16146" s="5">
        <v>4</v>
      </c>
    </row>
    <row r="16147" spans="1:19" ht="28" x14ac:dyDescent="0.15">
      <c r="A16147" s="2">
        <f>HYPERLINK("https://open-school.uspishnemisto.com.ua/school/740461/", 740461)</f>
        <v>740461</v>
      </c>
      <c r="B16147" s="3" t="s">
        <v>81477</v>
      </c>
      <c r="C16147" s="3" t="s">
        <v>31</v>
      </c>
      <c r="D16147" s="3" t="s">
        <v>175</v>
      </c>
      <c r="E16147" s="4" t="s">
        <v>22</v>
      </c>
      <c r="F16147" s="4" t="s">
        <v>81478</v>
      </c>
      <c r="G16147" s="4" t="s">
        <v>81479</v>
      </c>
      <c r="H16147" s="3" t="s">
        <v>79360</v>
      </c>
      <c r="I16147" s="3" t="s">
        <v>81480</v>
      </c>
      <c r="J16147" s="3" t="s">
        <v>81481</v>
      </c>
      <c r="K16147" s="3" t="s">
        <v>81482</v>
      </c>
      <c r="L16147" s="3"/>
      <c r="M16147" s="4"/>
      <c r="N16147" s="3" t="s">
        <v>37</v>
      </c>
      <c r="O16147" s="3" t="s">
        <v>38</v>
      </c>
      <c r="P16147" s="5">
        <v>5</v>
      </c>
      <c r="Q16147" s="5">
        <v>33</v>
      </c>
      <c r="R16147" s="5">
        <v>5</v>
      </c>
      <c r="S16147" s="5">
        <v>34</v>
      </c>
    </row>
    <row r="16148" spans="1:19" ht="28" x14ac:dyDescent="0.15">
      <c r="A16148" s="2">
        <f>HYPERLINK("https://open-school.uspishnemisto.com.ua/school/740462/", 740462)</f>
        <v>740462</v>
      </c>
      <c r="B16148" s="3" t="s">
        <v>81483</v>
      </c>
      <c r="C16148" s="3" t="s">
        <v>181</v>
      </c>
      <c r="D16148" s="3" t="s">
        <v>32</v>
      </c>
      <c r="E16148" s="4" t="s">
        <v>22</v>
      </c>
      <c r="F16148" s="4" t="s">
        <v>81484</v>
      </c>
      <c r="G16148" s="4" t="s">
        <v>81485</v>
      </c>
      <c r="H16148" s="3" t="s">
        <v>79360</v>
      </c>
      <c r="I16148" s="3" t="s">
        <v>81486</v>
      </c>
      <c r="J16148" s="3" t="s">
        <v>31741</v>
      </c>
      <c r="K16148" s="3" t="s">
        <v>81487</v>
      </c>
      <c r="L16148" s="3"/>
      <c r="M16148" s="4" t="s">
        <v>81488</v>
      </c>
      <c r="N16148" s="3" t="s">
        <v>37</v>
      </c>
      <c r="O16148" s="3" t="s">
        <v>52</v>
      </c>
      <c r="P16148" s="5">
        <v>9</v>
      </c>
      <c r="Q16148" s="5">
        <v>72</v>
      </c>
      <c r="R16148" s="5">
        <v>9</v>
      </c>
      <c r="S16148" s="5">
        <v>63</v>
      </c>
    </row>
    <row r="16149" spans="1:19" ht="28" x14ac:dyDescent="0.15">
      <c r="A16149" s="2">
        <f>HYPERLINK("https://open-school.uspishnemisto.com.ua/school/740463/", 740463)</f>
        <v>740463</v>
      </c>
      <c r="B16149" s="3" t="s">
        <v>81489</v>
      </c>
      <c r="C16149" s="3" t="s">
        <v>40</v>
      </c>
      <c r="D16149" s="3" t="s">
        <v>32</v>
      </c>
      <c r="E16149" s="4" t="s">
        <v>22</v>
      </c>
      <c r="F16149" s="4" t="s">
        <v>81484</v>
      </c>
      <c r="G16149" s="4" t="s">
        <v>81485</v>
      </c>
      <c r="H16149" s="3" t="s">
        <v>79360</v>
      </c>
      <c r="I16149" s="3" t="s">
        <v>81486</v>
      </c>
      <c r="J16149" s="3" t="s">
        <v>81490</v>
      </c>
      <c r="K16149" s="3"/>
      <c r="L16149" s="3"/>
      <c r="M16149" s="4"/>
      <c r="N16149" s="3" t="s">
        <v>37</v>
      </c>
      <c r="O16149" s="3" t="s">
        <v>52</v>
      </c>
      <c r="P16149" s="5">
        <v>21</v>
      </c>
      <c r="Q16149" s="5">
        <v>476</v>
      </c>
      <c r="R16149" s="5">
        <v>20</v>
      </c>
      <c r="S16149" s="5">
        <v>467</v>
      </c>
    </row>
    <row r="16150" spans="1:19" ht="28" x14ac:dyDescent="0.15">
      <c r="A16150" s="2">
        <f>HYPERLINK("https://open-school.uspishnemisto.com.ua/school/740464/", 740464)</f>
        <v>740464</v>
      </c>
      <c r="B16150" s="3" t="s">
        <v>81491</v>
      </c>
      <c r="C16150" s="3" t="s">
        <v>31</v>
      </c>
      <c r="D16150" s="3" t="s">
        <v>175</v>
      </c>
      <c r="E16150" s="4" t="s">
        <v>22</v>
      </c>
      <c r="F16150" s="4" t="s">
        <v>81484</v>
      </c>
      <c r="G16150" s="4" t="s">
        <v>81485</v>
      </c>
      <c r="H16150" s="3" t="s">
        <v>79360</v>
      </c>
      <c r="I16150" s="3" t="s">
        <v>81486</v>
      </c>
      <c r="J16150" s="3" t="s">
        <v>81492</v>
      </c>
      <c r="K16150" s="3" t="s">
        <v>81493</v>
      </c>
      <c r="L16150" s="3"/>
      <c r="M16150" s="4"/>
      <c r="N16150" s="3" t="s">
        <v>37</v>
      </c>
      <c r="O16150" s="3" t="s">
        <v>52</v>
      </c>
      <c r="P16150" s="5">
        <v>9</v>
      </c>
      <c r="Q16150" s="5">
        <v>120</v>
      </c>
      <c r="R16150" s="5">
        <v>9</v>
      </c>
      <c r="S16150" s="5">
        <v>108</v>
      </c>
    </row>
    <row r="16151" spans="1:19" ht="28" x14ac:dyDescent="0.15">
      <c r="A16151" s="2">
        <f>HYPERLINK("https://open-school.uspishnemisto.com.ua/school/740465/", 740465)</f>
        <v>740465</v>
      </c>
      <c r="B16151" s="3" t="s">
        <v>81494</v>
      </c>
      <c r="C16151" s="3" t="s">
        <v>31</v>
      </c>
      <c r="D16151" s="3" t="s">
        <v>32</v>
      </c>
      <c r="E16151" s="4" t="s">
        <v>22</v>
      </c>
      <c r="F16151" s="4" t="s">
        <v>81495</v>
      </c>
      <c r="G16151" s="4" t="s">
        <v>81496</v>
      </c>
      <c r="H16151" s="3" t="s">
        <v>79360</v>
      </c>
      <c r="I16151" s="3" t="s">
        <v>13576</v>
      </c>
      <c r="J16151" s="3" t="s">
        <v>81497</v>
      </c>
      <c r="K16151" s="3" t="s">
        <v>81498</v>
      </c>
      <c r="L16151" s="3" t="s">
        <v>81499</v>
      </c>
      <c r="M16151" s="4"/>
      <c r="N16151" s="3" t="s">
        <v>37</v>
      </c>
      <c r="O16151" s="3" t="s">
        <v>52</v>
      </c>
      <c r="P16151" s="5">
        <v>11</v>
      </c>
      <c r="Q16151" s="5">
        <v>145</v>
      </c>
      <c r="R16151" s="5">
        <v>11</v>
      </c>
      <c r="S16151" s="5">
        <v>143</v>
      </c>
    </row>
    <row r="16152" spans="1:19" ht="28" x14ac:dyDescent="0.15">
      <c r="A16152" s="2">
        <f>HYPERLINK("https://open-school.uspishnemisto.com.ua/school/740466/", 740466)</f>
        <v>740466</v>
      </c>
      <c r="B16152" s="3" t="s">
        <v>81500</v>
      </c>
      <c r="C16152" s="3" t="s">
        <v>31</v>
      </c>
      <c r="D16152" s="3" t="s">
        <v>60</v>
      </c>
      <c r="E16152" s="4" t="s">
        <v>22</v>
      </c>
      <c r="F16152" s="4" t="s">
        <v>81501</v>
      </c>
      <c r="G16152" s="4" t="s">
        <v>81502</v>
      </c>
      <c r="H16152" s="3" t="s">
        <v>79360</v>
      </c>
      <c r="I16152" s="3" t="s">
        <v>80162</v>
      </c>
      <c r="J16152" s="3" t="s">
        <v>81503</v>
      </c>
      <c r="K16152" s="3"/>
      <c r="L16152" s="3"/>
      <c r="M16152" s="4"/>
      <c r="N16152" s="3" t="s">
        <v>37</v>
      </c>
      <c r="O16152" s="3" t="s">
        <v>52</v>
      </c>
      <c r="P16152" s="5">
        <v>0</v>
      </c>
      <c r="Q16152" s="5">
        <v>9</v>
      </c>
      <c r="R16152" s="5">
        <v>0</v>
      </c>
      <c r="S16152" s="5">
        <v>10</v>
      </c>
    </row>
    <row r="16153" spans="1:19" ht="28" x14ac:dyDescent="0.15">
      <c r="A16153" s="2">
        <f>HYPERLINK("https://open-school.uspishnemisto.com.ua/school/740467/", 740467)</f>
        <v>740467</v>
      </c>
      <c r="B16153" s="3" t="s">
        <v>81504</v>
      </c>
      <c r="C16153" s="3" t="s">
        <v>31</v>
      </c>
      <c r="D16153" s="3" t="s">
        <v>32</v>
      </c>
      <c r="E16153" s="4" t="s">
        <v>22</v>
      </c>
      <c r="F16153" s="4" t="s">
        <v>81505</v>
      </c>
      <c r="G16153" s="4" t="s">
        <v>81506</v>
      </c>
      <c r="H16153" s="3" t="s">
        <v>79360</v>
      </c>
      <c r="I16153" s="3" t="s">
        <v>81507</v>
      </c>
      <c r="J16153" s="3" t="s">
        <v>81508</v>
      </c>
      <c r="K16153" s="3" t="s">
        <v>81509</v>
      </c>
      <c r="L16153" s="3"/>
      <c r="M16153" s="4"/>
      <c r="N16153" s="3" t="s">
        <v>37</v>
      </c>
      <c r="O16153" s="3" t="s">
        <v>38</v>
      </c>
      <c r="P16153" s="5">
        <v>5</v>
      </c>
      <c r="Q16153" s="5">
        <v>50</v>
      </c>
      <c r="R16153" s="5">
        <v>5</v>
      </c>
      <c r="S16153" s="5">
        <v>50</v>
      </c>
    </row>
    <row r="16154" spans="1:19" ht="28" x14ac:dyDescent="0.15">
      <c r="A16154" s="2">
        <f>HYPERLINK("https://open-school.uspishnemisto.com.ua/school/740468/", 740468)</f>
        <v>740468</v>
      </c>
      <c r="B16154" s="3" t="s">
        <v>81510</v>
      </c>
      <c r="C16154" s="3" t="s">
        <v>31</v>
      </c>
      <c r="D16154" s="3" t="s">
        <v>32</v>
      </c>
      <c r="E16154" s="4" t="s">
        <v>22</v>
      </c>
      <c r="F16154" s="4" t="s">
        <v>81511</v>
      </c>
      <c r="G16154" s="4" t="s">
        <v>81512</v>
      </c>
      <c r="H16154" s="3" t="s">
        <v>79360</v>
      </c>
      <c r="I16154" s="3" t="s">
        <v>81513</v>
      </c>
      <c r="J16154" s="3" t="s">
        <v>81514</v>
      </c>
      <c r="K16154" s="3" t="s">
        <v>81515</v>
      </c>
      <c r="L16154" s="3"/>
      <c r="M16154" s="4"/>
      <c r="N16154" s="3" t="s">
        <v>37</v>
      </c>
      <c r="O16154" s="3" t="s">
        <v>38</v>
      </c>
      <c r="P16154" s="5">
        <v>9</v>
      </c>
      <c r="Q16154" s="5">
        <v>90</v>
      </c>
      <c r="R16154" s="5">
        <v>8</v>
      </c>
      <c r="S16154" s="5">
        <v>85</v>
      </c>
    </row>
    <row r="16155" spans="1:19" ht="28" x14ac:dyDescent="0.15">
      <c r="A16155" s="2">
        <f>HYPERLINK("https://open-school.uspishnemisto.com.ua/school/740469/", 740469)</f>
        <v>740469</v>
      </c>
      <c r="B16155" s="3" t="s">
        <v>81516</v>
      </c>
      <c r="C16155" s="3" t="s">
        <v>31</v>
      </c>
      <c r="D16155" s="3" t="s">
        <v>60</v>
      </c>
      <c r="E16155" s="4" t="s">
        <v>22</v>
      </c>
      <c r="F16155" s="4" t="s">
        <v>81517</v>
      </c>
      <c r="G16155" s="4" t="s">
        <v>81518</v>
      </c>
      <c r="H16155" s="3" t="s">
        <v>79360</v>
      </c>
      <c r="I16155" s="3" t="s">
        <v>81519</v>
      </c>
      <c r="J16155" s="3" t="s">
        <v>30058</v>
      </c>
      <c r="K16155" s="3" t="s">
        <v>81520</v>
      </c>
      <c r="L16155" s="3"/>
      <c r="M16155" s="4"/>
      <c r="N16155" s="3" t="s">
        <v>37</v>
      </c>
      <c r="O16155" s="3" t="s">
        <v>52</v>
      </c>
      <c r="P16155" s="5">
        <v>2</v>
      </c>
      <c r="Q16155" s="5">
        <v>21</v>
      </c>
      <c r="R16155" s="5">
        <v>2</v>
      </c>
      <c r="S16155" s="5">
        <v>20</v>
      </c>
    </row>
    <row r="16156" spans="1:19" ht="28" x14ac:dyDescent="0.15">
      <c r="A16156" s="2">
        <f>HYPERLINK("https://open-school.uspishnemisto.com.ua/school/740470/", 740470)</f>
        <v>740470</v>
      </c>
      <c r="B16156" s="3" t="s">
        <v>81521</v>
      </c>
      <c r="C16156" s="3" t="s">
        <v>31</v>
      </c>
      <c r="D16156" s="3" t="s">
        <v>175</v>
      </c>
      <c r="E16156" s="4" t="s">
        <v>22</v>
      </c>
      <c r="F16156" s="4" t="s">
        <v>81522</v>
      </c>
      <c r="G16156" s="4" t="s">
        <v>81523</v>
      </c>
      <c r="H16156" s="3" t="s">
        <v>79360</v>
      </c>
      <c r="I16156" s="3" t="s">
        <v>81524</v>
      </c>
      <c r="J16156" s="3" t="s">
        <v>5256</v>
      </c>
      <c r="K16156" s="3" t="s">
        <v>81525</v>
      </c>
      <c r="L16156" s="3"/>
      <c r="M16156" s="4"/>
      <c r="N16156" s="3" t="s">
        <v>37</v>
      </c>
      <c r="O16156" s="3" t="s">
        <v>38</v>
      </c>
      <c r="P16156" s="5">
        <v>2</v>
      </c>
      <c r="Q16156" s="5">
        <v>35</v>
      </c>
      <c r="R16156" s="5">
        <v>2</v>
      </c>
      <c r="S16156" s="5">
        <v>35</v>
      </c>
    </row>
    <row r="16157" spans="1:19" ht="28" x14ac:dyDescent="0.15">
      <c r="A16157" s="2">
        <f>HYPERLINK("https://open-school.uspishnemisto.com.ua/school/740471/", 740471)</f>
        <v>740471</v>
      </c>
      <c r="B16157" s="3" t="s">
        <v>81526</v>
      </c>
      <c r="C16157" s="3" t="s">
        <v>31</v>
      </c>
      <c r="D16157" s="3" t="s">
        <v>175</v>
      </c>
      <c r="E16157" s="4" t="s">
        <v>22</v>
      </c>
      <c r="F16157" s="4" t="s">
        <v>81527</v>
      </c>
      <c r="G16157" s="4" t="s">
        <v>81528</v>
      </c>
      <c r="H16157" s="3" t="s">
        <v>79360</v>
      </c>
      <c r="I16157" s="3" t="s">
        <v>81529</v>
      </c>
      <c r="J16157" s="3" t="s">
        <v>81530</v>
      </c>
      <c r="K16157" s="3"/>
      <c r="L16157" s="3"/>
      <c r="M16157" s="4"/>
      <c r="N16157" s="3" t="s">
        <v>37</v>
      </c>
      <c r="O16157" s="3" t="s">
        <v>38</v>
      </c>
      <c r="P16157" s="5">
        <v>1</v>
      </c>
      <c r="Q16157" s="5">
        <v>26</v>
      </c>
      <c r="R16157" s="5">
        <v>3</v>
      </c>
      <c r="S16157" s="5">
        <v>25</v>
      </c>
    </row>
    <row r="16158" spans="1:19" ht="28" x14ac:dyDescent="0.15">
      <c r="A16158" s="2">
        <f>HYPERLINK("https://open-school.uspishnemisto.com.ua/school/740472/", 740472)</f>
        <v>740472</v>
      </c>
      <c r="B16158" s="3" t="s">
        <v>81531</v>
      </c>
      <c r="C16158" s="3" t="s">
        <v>31</v>
      </c>
      <c r="D16158" s="3" t="s">
        <v>175</v>
      </c>
      <c r="E16158" s="4" t="s">
        <v>22</v>
      </c>
      <c r="F16158" s="4" t="s">
        <v>81532</v>
      </c>
      <c r="G16158" s="4" t="s">
        <v>81533</v>
      </c>
      <c r="H16158" s="3" t="s">
        <v>79360</v>
      </c>
      <c r="I16158" s="3" t="s">
        <v>81534</v>
      </c>
      <c r="J16158" s="3" t="s">
        <v>81535</v>
      </c>
      <c r="K16158" s="3" t="s">
        <v>81536</v>
      </c>
      <c r="L16158" s="3"/>
      <c r="M16158" s="4"/>
      <c r="N16158" s="3" t="s">
        <v>37</v>
      </c>
      <c r="O16158" s="3" t="s">
        <v>38</v>
      </c>
      <c r="P16158" s="5">
        <v>3</v>
      </c>
      <c r="Q16158" s="5">
        <v>27</v>
      </c>
      <c r="R16158" s="5">
        <v>3</v>
      </c>
      <c r="S16158" s="5">
        <v>30</v>
      </c>
    </row>
    <row r="16159" spans="1:19" ht="28" x14ac:dyDescent="0.15">
      <c r="A16159" s="2">
        <f>HYPERLINK("https://open-school.uspishnemisto.com.ua/school/740473/", 740473)</f>
        <v>740473</v>
      </c>
      <c r="B16159" s="3" t="s">
        <v>81537</v>
      </c>
      <c r="C16159" s="3" t="s">
        <v>31</v>
      </c>
      <c r="D16159" s="3" t="s">
        <v>60</v>
      </c>
      <c r="E16159" s="4" t="s">
        <v>22</v>
      </c>
      <c r="F16159" s="4" t="s">
        <v>81532</v>
      </c>
      <c r="G16159" s="4" t="s">
        <v>81538</v>
      </c>
      <c r="H16159" s="3" t="s">
        <v>79360</v>
      </c>
      <c r="I16159" s="3" t="s">
        <v>31893</v>
      </c>
      <c r="J16159" s="3" t="s">
        <v>81539</v>
      </c>
      <c r="K16159" s="3" t="s">
        <v>81540</v>
      </c>
      <c r="L16159" s="3"/>
      <c r="M16159" s="4"/>
      <c r="N16159" s="3" t="s">
        <v>37</v>
      </c>
      <c r="O16159" s="3" t="s">
        <v>52</v>
      </c>
      <c r="P16159" s="5">
        <v>0</v>
      </c>
      <c r="Q16159" s="5">
        <v>11</v>
      </c>
      <c r="R16159" s="5">
        <v>0</v>
      </c>
      <c r="S16159" s="5">
        <v>7</v>
      </c>
    </row>
    <row r="16160" spans="1:19" ht="28" x14ac:dyDescent="0.15">
      <c r="A16160" s="2">
        <f>HYPERLINK("https://open-school.uspishnemisto.com.ua/school/740474/", 740474)</f>
        <v>740474</v>
      </c>
      <c r="B16160" s="3" t="s">
        <v>81541</v>
      </c>
      <c r="C16160" s="3" t="s">
        <v>31</v>
      </c>
      <c r="D16160" s="3" t="s">
        <v>175</v>
      </c>
      <c r="E16160" s="4" t="s">
        <v>22</v>
      </c>
      <c r="F16160" s="4" t="s">
        <v>81542</v>
      </c>
      <c r="G16160" s="4" t="s">
        <v>81543</v>
      </c>
      <c r="H16160" s="3" t="s">
        <v>79360</v>
      </c>
      <c r="I16160" s="3" t="s">
        <v>78684</v>
      </c>
      <c r="J16160" s="3" t="s">
        <v>81544</v>
      </c>
      <c r="K16160" s="3"/>
      <c r="L16160" s="3"/>
      <c r="M16160" s="4"/>
      <c r="N16160" s="3" t="s">
        <v>37</v>
      </c>
      <c r="O16160" s="3" t="s">
        <v>38</v>
      </c>
      <c r="P16160" s="5">
        <v>2</v>
      </c>
      <c r="Q16160" s="5">
        <v>33</v>
      </c>
      <c r="R16160" s="5">
        <v>3</v>
      </c>
      <c r="S16160" s="5">
        <v>34</v>
      </c>
    </row>
    <row r="16161" spans="1:19" ht="28" x14ac:dyDescent="0.15">
      <c r="A16161" s="2">
        <f>HYPERLINK("https://open-school.uspishnemisto.com.ua/school/740475/", 740475)</f>
        <v>740475</v>
      </c>
      <c r="B16161" s="3" t="s">
        <v>81545</v>
      </c>
      <c r="C16161" s="3" t="s">
        <v>31</v>
      </c>
      <c r="D16161" s="3" t="s">
        <v>32</v>
      </c>
      <c r="E16161" s="4" t="s">
        <v>22</v>
      </c>
      <c r="F16161" s="4" t="s">
        <v>81546</v>
      </c>
      <c r="G16161" s="4" t="s">
        <v>81547</v>
      </c>
      <c r="H16161" s="3" t="s">
        <v>79360</v>
      </c>
      <c r="I16161" s="3" t="s">
        <v>81548</v>
      </c>
      <c r="J16161" s="3" t="s">
        <v>81549</v>
      </c>
      <c r="K16161" s="3" t="s">
        <v>81550</v>
      </c>
      <c r="L16161" s="3"/>
      <c r="M16161" s="4"/>
      <c r="N16161" s="3" t="s">
        <v>37</v>
      </c>
      <c r="O16161" s="3" t="s">
        <v>38</v>
      </c>
      <c r="P16161" s="5">
        <v>3</v>
      </c>
      <c r="Q16161" s="5">
        <v>30</v>
      </c>
      <c r="R16161" s="5">
        <v>5</v>
      </c>
      <c r="S16161" s="5">
        <v>36</v>
      </c>
    </row>
    <row r="16162" spans="1:19" ht="28" x14ac:dyDescent="0.15">
      <c r="A16162" s="2">
        <f>HYPERLINK("https://open-school.uspishnemisto.com.ua/school/740476/", 740476)</f>
        <v>740476</v>
      </c>
      <c r="B16162" s="3" t="s">
        <v>81551</v>
      </c>
      <c r="C16162" s="3" t="s">
        <v>31</v>
      </c>
      <c r="D16162" s="3" t="s">
        <v>32</v>
      </c>
      <c r="E16162" s="4" t="s">
        <v>22</v>
      </c>
      <c r="F16162" s="4" t="s">
        <v>81552</v>
      </c>
      <c r="G16162" s="4" t="s">
        <v>81553</v>
      </c>
      <c r="H16162" s="3" t="s">
        <v>79360</v>
      </c>
      <c r="I16162" s="3" t="s">
        <v>81554</v>
      </c>
      <c r="J16162" s="3" t="s">
        <v>81555</v>
      </c>
      <c r="K16162" s="3" t="s">
        <v>81556</v>
      </c>
      <c r="L16162" s="3"/>
      <c r="M16162" s="4"/>
      <c r="N16162" s="3" t="s">
        <v>37</v>
      </c>
      <c r="O16162" s="3" t="s">
        <v>38</v>
      </c>
      <c r="P16162" s="5">
        <v>3</v>
      </c>
      <c r="Q16162" s="5">
        <v>37</v>
      </c>
      <c r="R16162" s="5">
        <v>4</v>
      </c>
      <c r="S16162" s="5">
        <v>40</v>
      </c>
    </row>
    <row r="16163" spans="1:19" ht="28" x14ac:dyDescent="0.15">
      <c r="A16163" s="2">
        <f>HYPERLINK("https://open-school.uspishnemisto.com.ua/school/740477/", 740477)</f>
        <v>740477</v>
      </c>
      <c r="B16163" s="3" t="s">
        <v>81557</v>
      </c>
      <c r="C16163" s="3" t="s">
        <v>31</v>
      </c>
      <c r="D16163" s="3" t="s">
        <v>175</v>
      </c>
      <c r="E16163" s="4" t="s">
        <v>22</v>
      </c>
      <c r="F16163" s="4" t="s">
        <v>81558</v>
      </c>
      <c r="G16163" s="4" t="s">
        <v>81559</v>
      </c>
      <c r="H16163" s="3" t="s">
        <v>79360</v>
      </c>
      <c r="I16163" s="3" t="s">
        <v>81560</v>
      </c>
      <c r="J16163" s="3" t="s">
        <v>81561</v>
      </c>
      <c r="K16163" s="3" t="s">
        <v>81562</v>
      </c>
      <c r="L16163" s="3"/>
      <c r="M16163" s="4"/>
      <c r="N16163" s="3" t="s">
        <v>37</v>
      </c>
      <c r="O16163" s="3" t="s">
        <v>38</v>
      </c>
      <c r="P16163" s="5">
        <v>5</v>
      </c>
      <c r="Q16163" s="5">
        <v>32</v>
      </c>
      <c r="R16163" s="5">
        <v>4</v>
      </c>
      <c r="S16163" s="5">
        <v>30</v>
      </c>
    </row>
    <row r="16164" spans="1:19" ht="28" x14ac:dyDescent="0.15">
      <c r="A16164" s="2">
        <f>HYPERLINK("https://open-school.uspishnemisto.com.ua/school/740478/", 740478)</f>
        <v>740478</v>
      </c>
      <c r="B16164" s="3" t="s">
        <v>81563</v>
      </c>
      <c r="C16164" s="3" t="s">
        <v>31</v>
      </c>
      <c r="D16164" s="3" t="s">
        <v>32</v>
      </c>
      <c r="E16164" s="4" t="s">
        <v>22</v>
      </c>
      <c r="F16164" s="4" t="s">
        <v>81564</v>
      </c>
      <c r="G16164" s="4" t="s">
        <v>81565</v>
      </c>
      <c r="H16164" s="3" t="s">
        <v>79360</v>
      </c>
      <c r="I16164" s="3" t="s">
        <v>12265</v>
      </c>
      <c r="J16164" s="3" t="s">
        <v>81566</v>
      </c>
      <c r="K16164" s="3" t="s">
        <v>81567</v>
      </c>
      <c r="L16164" s="3"/>
      <c r="M16164" s="4"/>
      <c r="N16164" s="3" t="s">
        <v>37</v>
      </c>
      <c r="O16164" s="3" t="s">
        <v>38</v>
      </c>
      <c r="P16164" s="5">
        <v>8</v>
      </c>
      <c r="Q16164" s="5">
        <v>63</v>
      </c>
      <c r="R16164" s="5">
        <v>8</v>
      </c>
      <c r="S16164" s="5">
        <v>61</v>
      </c>
    </row>
    <row r="16165" spans="1:19" ht="28" x14ac:dyDescent="0.15">
      <c r="A16165" s="2">
        <f>HYPERLINK("https://open-school.uspishnemisto.com.ua/school/740479/", 740479)</f>
        <v>740479</v>
      </c>
      <c r="B16165" s="3" t="s">
        <v>81568</v>
      </c>
      <c r="C16165" s="3" t="s">
        <v>31</v>
      </c>
      <c r="D16165" s="3" t="s">
        <v>32</v>
      </c>
      <c r="E16165" s="4" t="s">
        <v>22</v>
      </c>
      <c r="F16165" s="4" t="s">
        <v>81569</v>
      </c>
      <c r="G16165" s="4" t="s">
        <v>81570</v>
      </c>
      <c r="H16165" s="3" t="s">
        <v>79360</v>
      </c>
      <c r="I16165" s="3" t="s">
        <v>81571</v>
      </c>
      <c r="J16165" s="3" t="s">
        <v>81572</v>
      </c>
      <c r="K16165" s="3" t="s">
        <v>81573</v>
      </c>
      <c r="L16165" s="3"/>
      <c r="M16165" s="4"/>
      <c r="N16165" s="3" t="s">
        <v>37</v>
      </c>
      <c r="O16165" s="3" t="s">
        <v>38</v>
      </c>
      <c r="P16165" s="5">
        <v>7</v>
      </c>
      <c r="Q16165" s="5">
        <v>47</v>
      </c>
      <c r="R16165" s="5">
        <v>7</v>
      </c>
      <c r="S16165" s="5">
        <v>50</v>
      </c>
    </row>
    <row r="16166" spans="1:19" ht="28" x14ac:dyDescent="0.15">
      <c r="A16166" s="2">
        <f>HYPERLINK("https://open-school.uspishnemisto.com.ua/school/740480/", 740480)</f>
        <v>740480</v>
      </c>
      <c r="B16166" s="3" t="s">
        <v>81574</v>
      </c>
      <c r="C16166" s="3" t="s">
        <v>31</v>
      </c>
      <c r="D16166" s="3" t="s">
        <v>32</v>
      </c>
      <c r="E16166" s="4" t="s">
        <v>22</v>
      </c>
      <c r="F16166" s="4" t="s">
        <v>81575</v>
      </c>
      <c r="G16166" s="4" t="s">
        <v>81576</v>
      </c>
      <c r="H16166" s="3" t="s">
        <v>79360</v>
      </c>
      <c r="I16166" s="3" t="s">
        <v>81577</v>
      </c>
      <c r="J16166" s="3" t="s">
        <v>81578</v>
      </c>
      <c r="K16166" s="3" t="s">
        <v>81579</v>
      </c>
      <c r="L16166" s="3"/>
      <c r="M16166" s="4"/>
      <c r="N16166" s="3" t="s">
        <v>37</v>
      </c>
      <c r="O16166" s="3" t="s">
        <v>38</v>
      </c>
      <c r="P16166" s="5">
        <v>9</v>
      </c>
      <c r="Q16166" s="5">
        <v>83</v>
      </c>
      <c r="R16166" s="5">
        <v>10</v>
      </c>
      <c r="S16166" s="5">
        <v>90</v>
      </c>
    </row>
    <row r="16167" spans="1:19" ht="42" x14ac:dyDescent="0.15">
      <c r="A16167" s="2">
        <f>HYPERLINK("https://open-school.uspishnemisto.com.ua/school/740481/", 740481)</f>
        <v>740481</v>
      </c>
      <c r="B16167" s="3" t="s">
        <v>81580</v>
      </c>
      <c r="C16167" s="3" t="s">
        <v>54</v>
      </c>
      <c r="D16167" s="3" t="s">
        <v>175</v>
      </c>
      <c r="E16167" s="4" t="s">
        <v>22</v>
      </c>
      <c r="F16167" s="4" t="s">
        <v>81581</v>
      </c>
      <c r="G16167" s="4" t="s">
        <v>81582</v>
      </c>
      <c r="H16167" s="3" t="s">
        <v>79360</v>
      </c>
      <c r="I16167" s="3" t="s">
        <v>81583</v>
      </c>
      <c r="J16167" s="3" t="s">
        <v>81584</v>
      </c>
      <c r="K16167" s="3" t="s">
        <v>81585</v>
      </c>
      <c r="L16167" s="3"/>
      <c r="M16167" s="4"/>
      <c r="N16167" s="3" t="s">
        <v>37</v>
      </c>
      <c r="O16167" s="3" t="s">
        <v>38</v>
      </c>
      <c r="P16167" s="5">
        <v>2</v>
      </c>
      <c r="Q16167" s="5">
        <v>30</v>
      </c>
      <c r="R16167" s="5">
        <v>2</v>
      </c>
      <c r="S16167" s="5">
        <v>28</v>
      </c>
    </row>
    <row r="16168" spans="1:19" ht="28" x14ac:dyDescent="0.15">
      <c r="A16168" s="2">
        <f>HYPERLINK("https://open-school.uspishnemisto.com.ua/school/740482/", 740482)</f>
        <v>740482</v>
      </c>
      <c r="B16168" s="3" t="s">
        <v>81586</v>
      </c>
      <c r="C16168" s="3" t="s">
        <v>31</v>
      </c>
      <c r="D16168" s="3" t="s">
        <v>32</v>
      </c>
      <c r="E16168" s="4" t="s">
        <v>22</v>
      </c>
      <c r="F16168" s="4" t="s">
        <v>81587</v>
      </c>
      <c r="G16168" s="4" t="s">
        <v>81588</v>
      </c>
      <c r="H16168" s="3" t="s">
        <v>79360</v>
      </c>
      <c r="I16168" s="3" t="s">
        <v>15821</v>
      </c>
      <c r="J16168" s="3" t="s">
        <v>81589</v>
      </c>
      <c r="K16168" s="3" t="s">
        <v>81590</v>
      </c>
      <c r="L16168" s="3"/>
      <c r="M16168" s="4"/>
      <c r="N16168" s="3" t="s">
        <v>37</v>
      </c>
      <c r="O16168" s="3" t="s">
        <v>46</v>
      </c>
      <c r="P16168" s="5">
        <v>17</v>
      </c>
      <c r="Q16168" s="5">
        <v>309</v>
      </c>
      <c r="R16168" s="5">
        <v>17</v>
      </c>
      <c r="S16168" s="5">
        <v>313</v>
      </c>
    </row>
    <row r="16169" spans="1:19" ht="28" x14ac:dyDescent="0.15">
      <c r="A16169" s="2">
        <f>HYPERLINK("https://open-school.uspishnemisto.com.ua/school/740483/", 740483)</f>
        <v>740483</v>
      </c>
      <c r="B16169" s="3" t="s">
        <v>81591</v>
      </c>
      <c r="C16169" s="3" t="s">
        <v>31</v>
      </c>
      <c r="D16169" s="3" t="s">
        <v>32</v>
      </c>
      <c r="E16169" s="4" t="s">
        <v>22</v>
      </c>
      <c r="F16169" s="4" t="s">
        <v>81592</v>
      </c>
      <c r="G16169" s="4" t="s">
        <v>81593</v>
      </c>
      <c r="H16169" s="3" t="s">
        <v>79360</v>
      </c>
      <c r="I16169" s="3" t="s">
        <v>81594</v>
      </c>
      <c r="J16169" s="3" t="s">
        <v>81595</v>
      </c>
      <c r="K16169" s="3" t="s">
        <v>81596</v>
      </c>
      <c r="L16169" s="3"/>
      <c r="M16169" s="4"/>
      <c r="N16169" s="3" t="s">
        <v>37</v>
      </c>
      <c r="O16169" s="3" t="s">
        <v>52</v>
      </c>
      <c r="P16169" s="5">
        <v>11</v>
      </c>
      <c r="Q16169" s="5">
        <v>118</v>
      </c>
      <c r="R16169" s="5">
        <v>11</v>
      </c>
      <c r="S16169" s="5">
        <v>121</v>
      </c>
    </row>
    <row r="16170" spans="1:19" ht="28" x14ac:dyDescent="0.15">
      <c r="A16170" s="2">
        <f>HYPERLINK("https://open-school.uspishnemisto.com.ua/school/740484/", 740484)</f>
        <v>740484</v>
      </c>
      <c r="B16170" s="3" t="s">
        <v>81597</v>
      </c>
      <c r="C16170" s="3" t="s">
        <v>31</v>
      </c>
      <c r="D16170" s="3" t="s">
        <v>175</v>
      </c>
      <c r="E16170" s="4" t="s">
        <v>22</v>
      </c>
      <c r="F16170" s="4" t="s">
        <v>81598</v>
      </c>
      <c r="G16170" s="4" t="s">
        <v>81599</v>
      </c>
      <c r="H16170" s="3" t="s">
        <v>79360</v>
      </c>
      <c r="I16170" s="3" t="s">
        <v>63795</v>
      </c>
      <c r="J16170" s="3" t="s">
        <v>1360</v>
      </c>
      <c r="K16170" s="3" t="s">
        <v>81600</v>
      </c>
      <c r="L16170" s="3"/>
      <c r="M16170" s="4"/>
      <c r="N16170" s="3" t="s">
        <v>37</v>
      </c>
      <c r="O16170" s="3" t="s">
        <v>52</v>
      </c>
      <c r="P16170" s="5">
        <v>3</v>
      </c>
      <c r="Q16170" s="5">
        <v>30</v>
      </c>
      <c r="R16170" s="5">
        <v>7</v>
      </c>
      <c r="S16170" s="5">
        <v>44</v>
      </c>
    </row>
    <row r="16171" spans="1:19" ht="28" x14ac:dyDescent="0.15">
      <c r="A16171" s="2">
        <f>HYPERLINK("https://open-school.uspishnemisto.com.ua/school/740485/", 740485)</f>
        <v>740485</v>
      </c>
      <c r="B16171" s="3" t="s">
        <v>81601</v>
      </c>
      <c r="C16171" s="3" t="s">
        <v>31</v>
      </c>
      <c r="D16171" s="3" t="s">
        <v>175</v>
      </c>
      <c r="E16171" s="4" t="s">
        <v>22</v>
      </c>
      <c r="F16171" s="4" t="s">
        <v>81602</v>
      </c>
      <c r="G16171" s="4" t="s">
        <v>81603</v>
      </c>
      <c r="H16171" s="3" t="s">
        <v>79360</v>
      </c>
      <c r="I16171" s="3" t="s">
        <v>33717</v>
      </c>
      <c r="J16171" s="3" t="s">
        <v>3538</v>
      </c>
      <c r="K16171" s="3" t="s">
        <v>81604</v>
      </c>
      <c r="L16171" s="3" t="s">
        <v>81605</v>
      </c>
      <c r="M16171" s="4"/>
      <c r="N16171" s="3" t="s">
        <v>37</v>
      </c>
      <c r="O16171" s="3" t="s">
        <v>52</v>
      </c>
      <c r="P16171" s="5">
        <v>1</v>
      </c>
      <c r="Q16171" s="5">
        <v>27</v>
      </c>
      <c r="R16171" s="5">
        <v>1</v>
      </c>
      <c r="S16171" s="5">
        <v>25</v>
      </c>
    </row>
    <row r="16172" spans="1:19" ht="28" x14ac:dyDescent="0.15">
      <c r="A16172" s="2">
        <f>HYPERLINK("https://open-school.uspishnemisto.com.ua/school/740486/", 740486)</f>
        <v>740486</v>
      </c>
      <c r="B16172" s="3" t="s">
        <v>81606</v>
      </c>
      <c r="C16172" s="3" t="s">
        <v>31</v>
      </c>
      <c r="D16172" s="3" t="s">
        <v>175</v>
      </c>
      <c r="E16172" s="4" t="s">
        <v>22</v>
      </c>
      <c r="F16172" s="4" t="s">
        <v>81607</v>
      </c>
      <c r="G16172" s="4" t="s">
        <v>81608</v>
      </c>
      <c r="H16172" s="3" t="s">
        <v>79360</v>
      </c>
      <c r="I16172" s="3" t="s">
        <v>81609</v>
      </c>
      <c r="J16172" s="3" t="s">
        <v>4740</v>
      </c>
      <c r="K16172" s="3" t="s">
        <v>81610</v>
      </c>
      <c r="L16172" s="3" t="s">
        <v>81611</v>
      </c>
      <c r="M16172" s="4"/>
      <c r="N16172" s="3" t="s">
        <v>37</v>
      </c>
      <c r="O16172" s="3" t="s">
        <v>52</v>
      </c>
      <c r="P16172" s="5">
        <v>7</v>
      </c>
      <c r="Q16172" s="5">
        <v>53</v>
      </c>
      <c r="R16172" s="5">
        <v>7</v>
      </c>
      <c r="S16172" s="5">
        <v>54</v>
      </c>
    </row>
    <row r="16173" spans="1:19" ht="28" x14ac:dyDescent="0.15">
      <c r="A16173" s="2">
        <f>HYPERLINK("https://open-school.uspishnemisto.com.ua/school/740487/", 740487)</f>
        <v>740487</v>
      </c>
      <c r="B16173" s="3" t="s">
        <v>81612</v>
      </c>
      <c r="C16173" s="3" t="s">
        <v>31</v>
      </c>
      <c r="D16173" s="3" t="s">
        <v>32</v>
      </c>
      <c r="E16173" s="4" t="s">
        <v>22</v>
      </c>
      <c r="F16173" s="4" t="s">
        <v>81613</v>
      </c>
      <c r="G16173" s="4" t="s">
        <v>81614</v>
      </c>
      <c r="H16173" s="3" t="s">
        <v>79360</v>
      </c>
      <c r="I16173" s="3" t="s">
        <v>81615</v>
      </c>
      <c r="J16173" s="3" t="s">
        <v>8007</v>
      </c>
      <c r="K16173" s="3" t="s">
        <v>81616</v>
      </c>
      <c r="L16173" s="3"/>
      <c r="M16173" s="4"/>
      <c r="N16173" s="3" t="s">
        <v>37</v>
      </c>
      <c r="O16173" s="3" t="s">
        <v>52</v>
      </c>
      <c r="P16173" s="5">
        <v>5</v>
      </c>
      <c r="Q16173" s="5">
        <v>45</v>
      </c>
      <c r="R16173" s="5">
        <v>8</v>
      </c>
      <c r="S16173" s="5">
        <v>54</v>
      </c>
    </row>
    <row r="16174" spans="1:19" ht="28" x14ac:dyDescent="0.15">
      <c r="A16174" s="2">
        <f>HYPERLINK("https://open-school.uspishnemisto.com.ua/school/740488/", 740488)</f>
        <v>740488</v>
      </c>
      <c r="B16174" s="3" t="s">
        <v>81617</v>
      </c>
      <c r="C16174" s="3" t="s">
        <v>31</v>
      </c>
      <c r="D16174" s="3" t="s">
        <v>175</v>
      </c>
      <c r="E16174" s="4" t="s">
        <v>22</v>
      </c>
      <c r="F16174" s="4" t="s">
        <v>81618</v>
      </c>
      <c r="G16174" s="4" t="s">
        <v>81619</v>
      </c>
      <c r="H16174" s="3" t="s">
        <v>79360</v>
      </c>
      <c r="I16174" s="3" t="s">
        <v>81620</v>
      </c>
      <c r="J16174" s="3" t="s">
        <v>466</v>
      </c>
      <c r="K16174" s="3" t="s">
        <v>81621</v>
      </c>
      <c r="L16174" s="3"/>
      <c r="M16174" s="4"/>
      <c r="N16174" s="3" t="s">
        <v>37</v>
      </c>
      <c r="O16174" s="3" t="s">
        <v>52</v>
      </c>
      <c r="P16174" s="5">
        <v>6</v>
      </c>
      <c r="Q16174" s="5">
        <v>39</v>
      </c>
      <c r="R16174" s="5">
        <v>5</v>
      </c>
      <c r="S16174" s="5">
        <v>37</v>
      </c>
    </row>
    <row r="16175" spans="1:19" ht="28" x14ac:dyDescent="0.15">
      <c r="A16175" s="2">
        <f>HYPERLINK("https://open-school.uspishnemisto.com.ua/school/740489/", 740489)</f>
        <v>740489</v>
      </c>
      <c r="B16175" s="3" t="s">
        <v>81622</v>
      </c>
      <c r="C16175" s="3" t="s">
        <v>31</v>
      </c>
      <c r="D16175" s="3" t="s">
        <v>32</v>
      </c>
      <c r="E16175" s="4" t="s">
        <v>22</v>
      </c>
      <c r="F16175" s="4" t="s">
        <v>81623</v>
      </c>
      <c r="G16175" s="4" t="s">
        <v>81624</v>
      </c>
      <c r="H16175" s="3" t="s">
        <v>79360</v>
      </c>
      <c r="I16175" s="3" t="s">
        <v>5877</v>
      </c>
      <c r="J16175" s="3" t="s">
        <v>17954</v>
      </c>
      <c r="K16175" s="3" t="s">
        <v>81625</v>
      </c>
      <c r="L16175" s="3" t="s">
        <v>81626</v>
      </c>
      <c r="M16175" s="4"/>
      <c r="N16175" s="3" t="s">
        <v>37</v>
      </c>
      <c r="O16175" s="3" t="s">
        <v>52</v>
      </c>
      <c r="P16175" s="5">
        <v>10</v>
      </c>
      <c r="Q16175" s="5">
        <v>76</v>
      </c>
      <c r="R16175" s="5">
        <v>10</v>
      </c>
      <c r="S16175" s="5">
        <v>88</v>
      </c>
    </row>
    <row r="16176" spans="1:19" ht="28" x14ac:dyDescent="0.15">
      <c r="A16176" s="2">
        <f>HYPERLINK("https://open-school.uspishnemisto.com.ua/school/740490/", 740490)</f>
        <v>740490</v>
      </c>
      <c r="B16176" s="3" t="s">
        <v>81627</v>
      </c>
      <c r="C16176" s="3" t="s">
        <v>31</v>
      </c>
      <c r="D16176" s="3" t="s">
        <v>175</v>
      </c>
      <c r="E16176" s="4" t="s">
        <v>22</v>
      </c>
      <c r="F16176" s="4" t="s">
        <v>81587</v>
      </c>
      <c r="G16176" s="4" t="s">
        <v>81628</v>
      </c>
      <c r="H16176" s="3" t="s">
        <v>79360</v>
      </c>
      <c r="I16176" s="3" t="s">
        <v>51551</v>
      </c>
      <c r="J16176" s="3" t="s">
        <v>10957</v>
      </c>
      <c r="K16176" s="3" t="s">
        <v>81629</v>
      </c>
      <c r="L16176" s="3"/>
      <c r="M16176" s="4"/>
      <c r="N16176" s="3" t="s">
        <v>37</v>
      </c>
      <c r="O16176" s="3" t="s">
        <v>52</v>
      </c>
      <c r="P16176" s="5">
        <v>7</v>
      </c>
      <c r="Q16176" s="5">
        <v>49</v>
      </c>
      <c r="R16176" s="5">
        <v>7</v>
      </c>
      <c r="S16176" s="5">
        <v>46</v>
      </c>
    </row>
    <row r="16177" spans="1:19" ht="28" x14ac:dyDescent="0.15">
      <c r="A16177" s="2">
        <f>HYPERLINK("https://open-school.uspishnemisto.com.ua/school/740491/", 740491)</f>
        <v>740491</v>
      </c>
      <c r="B16177" s="3" t="s">
        <v>81630</v>
      </c>
      <c r="C16177" s="3" t="s">
        <v>31</v>
      </c>
      <c r="D16177" s="3" t="s">
        <v>32</v>
      </c>
      <c r="E16177" s="4" t="s">
        <v>22</v>
      </c>
      <c r="F16177" s="4" t="s">
        <v>81631</v>
      </c>
      <c r="G16177" s="4" t="s">
        <v>81632</v>
      </c>
      <c r="H16177" s="3" t="s">
        <v>79360</v>
      </c>
      <c r="I16177" s="3" t="s">
        <v>3676</v>
      </c>
      <c r="J16177" s="3" t="s">
        <v>81633</v>
      </c>
      <c r="K16177" s="3" t="s">
        <v>81634</v>
      </c>
      <c r="L16177" s="3"/>
      <c r="M16177" s="4"/>
      <c r="N16177" s="3" t="s">
        <v>37</v>
      </c>
      <c r="O16177" s="3" t="s">
        <v>52</v>
      </c>
      <c r="P16177" s="5">
        <v>2</v>
      </c>
      <c r="Q16177" s="5">
        <v>33</v>
      </c>
      <c r="R16177" s="5">
        <v>2</v>
      </c>
      <c r="S16177" s="5">
        <v>32</v>
      </c>
    </row>
    <row r="16178" spans="1:19" ht="28" x14ac:dyDescent="0.15">
      <c r="A16178" s="2">
        <f>HYPERLINK("https://open-school.uspishnemisto.com.ua/school/740492/", 740492)</f>
        <v>740492</v>
      </c>
      <c r="B16178" s="3" t="s">
        <v>81635</v>
      </c>
      <c r="C16178" s="3" t="s">
        <v>31</v>
      </c>
      <c r="D16178" s="3" t="s">
        <v>32</v>
      </c>
      <c r="E16178" s="4" t="s">
        <v>22</v>
      </c>
      <c r="F16178" s="4" t="s">
        <v>81636</v>
      </c>
      <c r="G16178" s="4" t="s">
        <v>81637</v>
      </c>
      <c r="H16178" s="3" t="s">
        <v>79360</v>
      </c>
      <c r="I16178" s="3" t="s">
        <v>1014</v>
      </c>
      <c r="J16178" s="3" t="s">
        <v>81638</v>
      </c>
      <c r="K16178" s="3" t="s">
        <v>81639</v>
      </c>
      <c r="L16178" s="3"/>
      <c r="M16178" s="4"/>
      <c r="N16178" s="3" t="s">
        <v>37</v>
      </c>
      <c r="O16178" s="3" t="s">
        <v>52</v>
      </c>
      <c r="P16178" s="5">
        <v>10</v>
      </c>
      <c r="Q16178" s="5">
        <v>99</v>
      </c>
      <c r="R16178" s="5">
        <v>10</v>
      </c>
      <c r="S16178" s="5">
        <v>98</v>
      </c>
    </row>
    <row r="16179" spans="1:19" ht="28" x14ac:dyDescent="0.15">
      <c r="A16179" s="2">
        <f>HYPERLINK("https://open-school.uspishnemisto.com.ua/school/740493/", 740493)</f>
        <v>740493</v>
      </c>
      <c r="B16179" s="3" t="s">
        <v>81640</v>
      </c>
      <c r="C16179" s="3" t="s">
        <v>31</v>
      </c>
      <c r="D16179" s="3" t="s">
        <v>32</v>
      </c>
      <c r="E16179" s="4" t="s">
        <v>22</v>
      </c>
      <c r="F16179" s="4" t="s">
        <v>81641</v>
      </c>
      <c r="G16179" s="4" t="s">
        <v>81642</v>
      </c>
      <c r="H16179" s="3" t="s">
        <v>79360</v>
      </c>
      <c r="I16179" s="3" t="s">
        <v>80957</v>
      </c>
      <c r="J16179" s="3" t="s">
        <v>81643</v>
      </c>
      <c r="K16179" s="3" t="s">
        <v>81644</v>
      </c>
      <c r="L16179" s="3"/>
      <c r="M16179" s="4"/>
      <c r="N16179" s="3" t="s">
        <v>37</v>
      </c>
      <c r="O16179" s="3" t="s">
        <v>38</v>
      </c>
      <c r="P16179" s="5">
        <v>23</v>
      </c>
      <c r="Q16179" s="5">
        <v>474</v>
      </c>
      <c r="R16179" s="5">
        <v>20</v>
      </c>
      <c r="S16179" s="5">
        <v>428</v>
      </c>
    </row>
    <row r="16180" spans="1:19" ht="28" x14ac:dyDescent="0.15">
      <c r="A16180" s="2">
        <f>HYPERLINK("https://open-school.uspishnemisto.com.ua/school/740494/", 740494)</f>
        <v>740494</v>
      </c>
      <c r="B16180" s="3" t="s">
        <v>81645</v>
      </c>
      <c r="C16180" s="3" t="s">
        <v>31</v>
      </c>
      <c r="D16180" s="3" t="s">
        <v>32</v>
      </c>
      <c r="E16180" s="4" t="s">
        <v>22</v>
      </c>
      <c r="F16180" s="4" t="s">
        <v>81646</v>
      </c>
      <c r="G16180" s="4" t="s">
        <v>81647</v>
      </c>
      <c r="H16180" s="3" t="s">
        <v>79360</v>
      </c>
      <c r="I16180" s="3" t="s">
        <v>725</v>
      </c>
      <c r="J16180" s="3" t="s">
        <v>8007</v>
      </c>
      <c r="K16180" s="3" t="s">
        <v>81648</v>
      </c>
      <c r="L16180" s="3"/>
      <c r="M16180" s="4"/>
      <c r="N16180" s="3" t="s">
        <v>37</v>
      </c>
      <c r="O16180" s="3" t="s">
        <v>38</v>
      </c>
      <c r="P16180" s="5">
        <v>2</v>
      </c>
      <c r="Q16180" s="5">
        <v>40</v>
      </c>
      <c r="R16180" s="5">
        <v>2</v>
      </c>
      <c r="S16180" s="5">
        <v>33</v>
      </c>
    </row>
    <row r="16181" spans="1:19" ht="28" x14ac:dyDescent="0.15">
      <c r="A16181" s="2">
        <f>HYPERLINK("https://open-school.uspishnemisto.com.ua/school/740495/", 740495)</f>
        <v>740495</v>
      </c>
      <c r="B16181" s="3" t="s">
        <v>81649</v>
      </c>
      <c r="C16181" s="3" t="s">
        <v>31</v>
      </c>
      <c r="D16181" s="3" t="s">
        <v>32</v>
      </c>
      <c r="E16181" s="4" t="s">
        <v>22</v>
      </c>
      <c r="F16181" s="4" t="s">
        <v>81650</v>
      </c>
      <c r="G16181" s="4" t="s">
        <v>81651</v>
      </c>
      <c r="H16181" s="3" t="s">
        <v>79360</v>
      </c>
      <c r="I16181" s="3" t="s">
        <v>81652</v>
      </c>
      <c r="J16181" s="3" t="s">
        <v>79824</v>
      </c>
      <c r="K16181" s="3" t="s">
        <v>81653</v>
      </c>
      <c r="L16181" s="3"/>
      <c r="M16181" s="4"/>
      <c r="N16181" s="3" t="s">
        <v>37</v>
      </c>
      <c r="O16181" s="3" t="s">
        <v>38</v>
      </c>
      <c r="P16181" s="5">
        <v>9</v>
      </c>
      <c r="Q16181" s="5">
        <v>86</v>
      </c>
      <c r="R16181" s="5">
        <v>9</v>
      </c>
      <c r="S16181" s="5">
        <v>85</v>
      </c>
    </row>
    <row r="16182" spans="1:19" ht="28" x14ac:dyDescent="0.15">
      <c r="A16182" s="2">
        <f>HYPERLINK("https://open-school.uspishnemisto.com.ua/school/740496/", 740496)</f>
        <v>740496</v>
      </c>
      <c r="B16182" s="3" t="s">
        <v>81654</v>
      </c>
      <c r="C16182" s="3" t="s">
        <v>31</v>
      </c>
      <c r="D16182" s="3" t="s">
        <v>32</v>
      </c>
      <c r="E16182" s="4" t="s">
        <v>22</v>
      </c>
      <c r="F16182" s="4" t="s">
        <v>81655</v>
      </c>
      <c r="G16182" s="4" t="s">
        <v>81656</v>
      </c>
      <c r="H16182" s="3" t="s">
        <v>79360</v>
      </c>
      <c r="I16182" s="3" t="s">
        <v>81657</v>
      </c>
      <c r="J16182" s="3" t="s">
        <v>81658</v>
      </c>
      <c r="K16182" s="3" t="s">
        <v>81659</v>
      </c>
      <c r="L16182" s="3"/>
      <c r="M16182" s="4"/>
      <c r="N16182" s="3" t="s">
        <v>37</v>
      </c>
      <c r="O16182" s="3" t="s">
        <v>38</v>
      </c>
      <c r="P16182" s="5">
        <v>10</v>
      </c>
      <c r="Q16182" s="5">
        <v>96</v>
      </c>
      <c r="R16182" s="5">
        <v>10</v>
      </c>
      <c r="S16182" s="5">
        <v>92</v>
      </c>
    </row>
    <row r="16183" spans="1:19" ht="28" x14ac:dyDescent="0.15">
      <c r="A16183" s="2">
        <f>HYPERLINK("https://open-school.uspishnemisto.com.ua/school/740497/", 740497)</f>
        <v>740497</v>
      </c>
      <c r="B16183" s="3" t="s">
        <v>81660</v>
      </c>
      <c r="C16183" s="3" t="s">
        <v>31</v>
      </c>
      <c r="D16183" s="3" t="s">
        <v>175</v>
      </c>
      <c r="E16183" s="4" t="s">
        <v>22</v>
      </c>
      <c r="F16183" s="4" t="s">
        <v>81661</v>
      </c>
      <c r="G16183" s="4" t="s">
        <v>81662</v>
      </c>
      <c r="H16183" s="3" t="s">
        <v>79360</v>
      </c>
      <c r="I16183" s="3" t="s">
        <v>81663</v>
      </c>
      <c r="J16183" s="3" t="s">
        <v>1167</v>
      </c>
      <c r="K16183" s="3" t="s">
        <v>81664</v>
      </c>
      <c r="L16183" s="3"/>
      <c r="M16183" s="4"/>
      <c r="N16183" s="3" t="s">
        <v>37</v>
      </c>
      <c r="O16183" s="3" t="s">
        <v>38</v>
      </c>
      <c r="P16183" s="5">
        <v>1</v>
      </c>
      <c r="Q16183" s="5">
        <v>25</v>
      </c>
      <c r="R16183" s="5">
        <v>2</v>
      </c>
      <c r="S16183" s="5">
        <v>27</v>
      </c>
    </row>
    <row r="16184" spans="1:19" ht="28" x14ac:dyDescent="0.15">
      <c r="A16184" s="2">
        <f>HYPERLINK("https://open-school.uspishnemisto.com.ua/school/740498/", 740498)</f>
        <v>740498</v>
      </c>
      <c r="B16184" s="3" t="s">
        <v>81665</v>
      </c>
      <c r="C16184" s="3" t="s">
        <v>31</v>
      </c>
      <c r="D16184" s="3" t="s">
        <v>32</v>
      </c>
      <c r="E16184" s="4" t="s">
        <v>22</v>
      </c>
      <c r="F16184" s="4" t="s">
        <v>81666</v>
      </c>
      <c r="G16184" s="4" t="s">
        <v>81667</v>
      </c>
      <c r="H16184" s="3" t="s">
        <v>79360</v>
      </c>
      <c r="I16184" s="3" t="s">
        <v>36990</v>
      </c>
      <c r="J16184" s="3" t="s">
        <v>6379</v>
      </c>
      <c r="K16184" s="3" t="s">
        <v>81668</v>
      </c>
      <c r="L16184" s="3"/>
      <c r="M16184" s="4"/>
      <c r="N16184" s="3" t="s">
        <v>37</v>
      </c>
      <c r="O16184" s="3" t="s">
        <v>46</v>
      </c>
      <c r="P16184" s="5">
        <v>10</v>
      </c>
      <c r="Q16184" s="5">
        <v>110</v>
      </c>
      <c r="R16184" s="5">
        <v>11</v>
      </c>
      <c r="S16184" s="5">
        <v>118</v>
      </c>
    </row>
    <row r="16185" spans="1:19" ht="42" x14ac:dyDescent="0.15">
      <c r="A16185" s="2">
        <f>HYPERLINK("https://open-school.uspishnemisto.com.ua/school/740499/", 740499)</f>
        <v>740499</v>
      </c>
      <c r="B16185" s="3" t="s">
        <v>81669</v>
      </c>
      <c r="C16185" s="3" t="s">
        <v>31</v>
      </c>
      <c r="D16185" s="3" t="s">
        <v>32</v>
      </c>
      <c r="E16185" s="4" t="s">
        <v>22</v>
      </c>
      <c r="F16185" s="4" t="s">
        <v>81670</v>
      </c>
      <c r="G16185" s="4" t="s">
        <v>81671</v>
      </c>
      <c r="H16185" s="3" t="s">
        <v>79360</v>
      </c>
      <c r="I16185" s="3" t="s">
        <v>81672</v>
      </c>
      <c r="J16185" s="3" t="s">
        <v>36292</v>
      </c>
      <c r="K16185" s="3" t="s">
        <v>81673</v>
      </c>
      <c r="L16185" s="3"/>
      <c r="M16185" s="4"/>
      <c r="N16185" s="3" t="s">
        <v>37</v>
      </c>
      <c r="O16185" s="3" t="s">
        <v>52</v>
      </c>
      <c r="P16185" s="5">
        <v>0</v>
      </c>
      <c r="Q16185" s="5">
        <v>0</v>
      </c>
      <c r="R16185" s="5">
        <v>2</v>
      </c>
      <c r="S16185" s="5">
        <v>34</v>
      </c>
    </row>
    <row r="16186" spans="1:19" ht="28" x14ac:dyDescent="0.15">
      <c r="A16186" s="2">
        <f>HYPERLINK("https://open-school.uspishnemisto.com.ua/school/740500/", 740500)</f>
        <v>740500</v>
      </c>
      <c r="B16186" s="3" t="s">
        <v>81674</v>
      </c>
      <c r="C16186" s="3" t="s">
        <v>31</v>
      </c>
      <c r="D16186" s="3" t="s">
        <v>32</v>
      </c>
      <c r="E16186" s="4" t="s">
        <v>22</v>
      </c>
      <c r="F16186" s="4" t="s">
        <v>81675</v>
      </c>
      <c r="G16186" s="4" t="s">
        <v>81676</v>
      </c>
      <c r="H16186" s="3" t="s">
        <v>79360</v>
      </c>
      <c r="I16186" s="3" t="s">
        <v>81677</v>
      </c>
      <c r="J16186" s="3" t="s">
        <v>952</v>
      </c>
      <c r="K16186" s="3" t="s">
        <v>81678</v>
      </c>
      <c r="L16186" s="3"/>
      <c r="M16186" s="4"/>
      <c r="N16186" s="3" t="s">
        <v>37</v>
      </c>
      <c r="O16186" s="3" t="s">
        <v>52</v>
      </c>
      <c r="P16186" s="5">
        <v>11</v>
      </c>
      <c r="Q16186" s="5">
        <v>91</v>
      </c>
      <c r="R16186" s="5">
        <v>11</v>
      </c>
      <c r="S16186" s="5">
        <v>83</v>
      </c>
    </row>
    <row r="16187" spans="1:19" ht="28" x14ac:dyDescent="0.15">
      <c r="A16187" s="2">
        <f>HYPERLINK("https://open-school.uspishnemisto.com.ua/school/740501/", 740501)</f>
        <v>740501</v>
      </c>
      <c r="B16187" s="3" t="s">
        <v>81679</v>
      </c>
      <c r="C16187" s="3" t="s">
        <v>31</v>
      </c>
      <c r="D16187" s="3" t="s">
        <v>32</v>
      </c>
      <c r="E16187" s="4" t="s">
        <v>22</v>
      </c>
      <c r="F16187" s="4" t="s">
        <v>81680</v>
      </c>
      <c r="G16187" s="4" t="s">
        <v>81681</v>
      </c>
      <c r="H16187" s="3" t="s">
        <v>79360</v>
      </c>
      <c r="I16187" s="3" t="s">
        <v>12495</v>
      </c>
      <c r="J16187" s="3" t="s">
        <v>54757</v>
      </c>
      <c r="K16187" s="3" t="s">
        <v>81682</v>
      </c>
      <c r="L16187" s="3"/>
      <c r="M16187" s="4"/>
      <c r="N16187" s="3" t="s">
        <v>37</v>
      </c>
      <c r="O16187" s="3" t="s">
        <v>38</v>
      </c>
      <c r="P16187" s="5">
        <v>4</v>
      </c>
      <c r="Q16187" s="5">
        <v>48</v>
      </c>
      <c r="R16187" s="5">
        <v>5</v>
      </c>
      <c r="S16187" s="5">
        <v>52</v>
      </c>
    </row>
    <row r="16188" spans="1:19" ht="28" x14ac:dyDescent="0.15">
      <c r="A16188" s="2">
        <f>HYPERLINK("https://open-school.uspishnemisto.com.ua/school/740502/", 740502)</f>
        <v>740502</v>
      </c>
      <c r="B16188" s="3" t="s">
        <v>81683</v>
      </c>
      <c r="C16188" s="3" t="s">
        <v>31</v>
      </c>
      <c r="D16188" s="3" t="s">
        <v>32</v>
      </c>
      <c r="E16188" s="4" t="s">
        <v>22</v>
      </c>
      <c r="F16188" s="4" t="s">
        <v>81684</v>
      </c>
      <c r="G16188" s="4" t="s">
        <v>81685</v>
      </c>
      <c r="H16188" s="3" t="s">
        <v>79360</v>
      </c>
      <c r="I16188" s="3" t="s">
        <v>81686</v>
      </c>
      <c r="J16188" s="3" t="s">
        <v>32886</v>
      </c>
      <c r="K16188" s="3" t="s">
        <v>81687</v>
      </c>
      <c r="L16188" s="3"/>
      <c r="M16188" s="4"/>
      <c r="N16188" s="3" t="s">
        <v>37</v>
      </c>
      <c r="O16188" s="3" t="s">
        <v>38</v>
      </c>
      <c r="P16188" s="5">
        <v>4</v>
      </c>
      <c r="Q16188" s="5">
        <v>43</v>
      </c>
      <c r="R16188" s="5">
        <v>4</v>
      </c>
      <c r="S16188" s="5">
        <v>45</v>
      </c>
    </row>
    <row r="16189" spans="1:19" ht="28" x14ac:dyDescent="0.15">
      <c r="A16189" s="2">
        <f>HYPERLINK("https://open-school.uspishnemisto.com.ua/school/740503/", 740503)</f>
        <v>740503</v>
      </c>
      <c r="B16189" s="3" t="s">
        <v>81688</v>
      </c>
      <c r="C16189" s="3" t="s">
        <v>31</v>
      </c>
      <c r="D16189" s="3" t="s">
        <v>32</v>
      </c>
      <c r="E16189" s="4" t="s">
        <v>22</v>
      </c>
      <c r="F16189" s="4" t="s">
        <v>81646</v>
      </c>
      <c r="G16189" s="4" t="s">
        <v>81689</v>
      </c>
      <c r="H16189" s="3" t="s">
        <v>79360</v>
      </c>
      <c r="I16189" s="3" t="s">
        <v>3217</v>
      </c>
      <c r="J16189" s="3" t="s">
        <v>81690</v>
      </c>
      <c r="K16189" s="3" t="s">
        <v>81691</v>
      </c>
      <c r="L16189" s="3"/>
      <c r="M16189" s="4"/>
      <c r="N16189" s="3" t="s">
        <v>37</v>
      </c>
      <c r="O16189" s="3" t="s">
        <v>70</v>
      </c>
      <c r="P16189" s="5">
        <v>2</v>
      </c>
      <c r="Q16189" s="5">
        <v>27</v>
      </c>
      <c r="R16189" s="5">
        <v>2</v>
      </c>
      <c r="S16189" s="5">
        <v>25</v>
      </c>
    </row>
    <row r="16190" spans="1:19" ht="28" x14ac:dyDescent="0.15">
      <c r="A16190" s="2">
        <f>HYPERLINK("https://open-school.uspishnemisto.com.ua/school/740504/", 740504)</f>
        <v>740504</v>
      </c>
      <c r="B16190" s="3" t="s">
        <v>81692</v>
      </c>
      <c r="C16190" s="3" t="s">
        <v>40</v>
      </c>
      <c r="D16190" s="3" t="s">
        <v>32</v>
      </c>
      <c r="E16190" s="4" t="s">
        <v>22</v>
      </c>
      <c r="F16190" s="4" t="s">
        <v>81693</v>
      </c>
      <c r="G16190" s="4" t="s">
        <v>81694</v>
      </c>
      <c r="H16190" s="3" t="s">
        <v>79360</v>
      </c>
      <c r="I16190" s="3" t="s">
        <v>81695</v>
      </c>
      <c r="J16190" s="3" t="s">
        <v>81696</v>
      </c>
      <c r="K16190" s="3" t="s">
        <v>81697</v>
      </c>
      <c r="L16190" s="3"/>
      <c r="M16190" s="4"/>
      <c r="N16190" s="3" t="s">
        <v>37</v>
      </c>
      <c r="O16190" s="3" t="s">
        <v>38</v>
      </c>
      <c r="P16190" s="5">
        <v>19</v>
      </c>
      <c r="Q16190" s="5">
        <v>394</v>
      </c>
      <c r="R16190" s="5">
        <v>18</v>
      </c>
      <c r="S16190" s="5">
        <v>373</v>
      </c>
    </row>
    <row r="16191" spans="1:19" ht="28" x14ac:dyDescent="0.15">
      <c r="A16191" s="2">
        <f>HYPERLINK("https://open-school.uspishnemisto.com.ua/school/740505/", 740505)</f>
        <v>740505</v>
      </c>
      <c r="B16191" s="3" t="s">
        <v>81698</v>
      </c>
      <c r="C16191" s="3" t="s">
        <v>40</v>
      </c>
      <c r="D16191" s="3" t="s">
        <v>32</v>
      </c>
      <c r="E16191" s="4" t="s">
        <v>22</v>
      </c>
      <c r="F16191" s="4" t="s">
        <v>81699</v>
      </c>
      <c r="G16191" s="4" t="s">
        <v>81700</v>
      </c>
      <c r="H16191" s="3" t="s">
        <v>79360</v>
      </c>
      <c r="I16191" s="3" t="s">
        <v>81701</v>
      </c>
      <c r="J16191" s="3" t="s">
        <v>45742</v>
      </c>
      <c r="K16191" s="3" t="s">
        <v>81702</v>
      </c>
      <c r="L16191" s="3"/>
      <c r="M16191" s="4"/>
      <c r="N16191" s="3" t="s">
        <v>37</v>
      </c>
      <c r="O16191" s="3" t="s">
        <v>38</v>
      </c>
      <c r="P16191" s="5">
        <v>18</v>
      </c>
      <c r="Q16191" s="5">
        <v>327</v>
      </c>
      <c r="R16191" s="5">
        <v>18</v>
      </c>
      <c r="S16191" s="5">
        <v>319</v>
      </c>
    </row>
    <row r="16192" spans="1:19" ht="28" x14ac:dyDescent="0.15">
      <c r="A16192" s="2">
        <f>HYPERLINK("https://open-school.uspishnemisto.com.ua/school/740506/", 740506)</f>
        <v>740506</v>
      </c>
      <c r="B16192" s="3" t="s">
        <v>81703</v>
      </c>
      <c r="C16192" s="3" t="s">
        <v>31</v>
      </c>
      <c r="D16192" s="3" t="s">
        <v>32</v>
      </c>
      <c r="E16192" s="4" t="s">
        <v>22</v>
      </c>
      <c r="F16192" s="4" t="s">
        <v>81704</v>
      </c>
      <c r="G16192" s="4" t="s">
        <v>81705</v>
      </c>
      <c r="H16192" s="3" t="s">
        <v>79360</v>
      </c>
      <c r="I16192" s="3" t="s">
        <v>81706</v>
      </c>
      <c r="J16192" s="3" t="s">
        <v>3363</v>
      </c>
      <c r="K16192" s="3" t="s">
        <v>81707</v>
      </c>
      <c r="L16192" s="3"/>
      <c r="M16192" s="4"/>
      <c r="N16192" s="3" t="s">
        <v>37</v>
      </c>
      <c r="O16192" s="3" t="s">
        <v>52</v>
      </c>
      <c r="P16192" s="5">
        <v>11</v>
      </c>
      <c r="Q16192" s="5">
        <v>150</v>
      </c>
      <c r="R16192" s="5">
        <v>11</v>
      </c>
      <c r="S16192" s="5">
        <v>135</v>
      </c>
    </row>
    <row r="16193" spans="1:19" ht="42" x14ac:dyDescent="0.15">
      <c r="A16193" s="2">
        <f>HYPERLINK("https://open-school.uspishnemisto.com.ua/school/740507/", 740507)</f>
        <v>740507</v>
      </c>
      <c r="B16193" s="3" t="s">
        <v>81708</v>
      </c>
      <c r="C16193" s="3" t="s">
        <v>54</v>
      </c>
      <c r="D16193" s="3" t="s">
        <v>32</v>
      </c>
      <c r="E16193" s="4" t="s">
        <v>22</v>
      </c>
      <c r="F16193" s="4" t="s">
        <v>81709</v>
      </c>
      <c r="G16193" s="4" t="s">
        <v>81710</v>
      </c>
      <c r="H16193" s="3" t="s">
        <v>79360</v>
      </c>
      <c r="I16193" s="3" t="s">
        <v>81711</v>
      </c>
      <c r="J16193" s="3" t="s">
        <v>77346</v>
      </c>
      <c r="K16193" s="3" t="s">
        <v>81712</v>
      </c>
      <c r="L16193" s="3"/>
      <c r="M16193" s="4"/>
      <c r="N16193" s="3" t="s">
        <v>37</v>
      </c>
      <c r="O16193" s="3" t="s">
        <v>52</v>
      </c>
      <c r="P16193" s="5">
        <v>11</v>
      </c>
      <c r="Q16193" s="5">
        <v>156</v>
      </c>
      <c r="R16193" s="5">
        <v>11</v>
      </c>
      <c r="S16193" s="5">
        <v>165</v>
      </c>
    </row>
    <row r="16194" spans="1:19" ht="42" x14ac:dyDescent="0.15">
      <c r="A16194" s="2">
        <f>HYPERLINK("https://open-school.uspishnemisto.com.ua/school/740508/", 740508)</f>
        <v>740508</v>
      </c>
      <c r="B16194" s="3" t="s">
        <v>81713</v>
      </c>
      <c r="C16194" s="3" t="s">
        <v>31</v>
      </c>
      <c r="D16194" s="3" t="s">
        <v>32</v>
      </c>
      <c r="E16194" s="4" t="s">
        <v>22</v>
      </c>
      <c r="F16194" s="4" t="s">
        <v>81714</v>
      </c>
      <c r="G16194" s="4" t="s">
        <v>81715</v>
      </c>
      <c r="H16194" s="3" t="s">
        <v>79360</v>
      </c>
      <c r="I16194" s="3" t="s">
        <v>4594</v>
      </c>
      <c r="J16194" s="3" t="s">
        <v>81716</v>
      </c>
      <c r="K16194" s="3" t="s">
        <v>81717</v>
      </c>
      <c r="L16194" s="3"/>
      <c r="M16194" s="4"/>
      <c r="N16194" s="3" t="s">
        <v>37</v>
      </c>
      <c r="O16194" s="3" t="s">
        <v>38</v>
      </c>
      <c r="P16194" s="5">
        <v>10</v>
      </c>
      <c r="Q16194" s="5">
        <v>60</v>
      </c>
      <c r="R16194" s="5">
        <v>10</v>
      </c>
      <c r="S16194" s="5">
        <v>60</v>
      </c>
    </row>
    <row r="16195" spans="1:19" ht="42" x14ac:dyDescent="0.15">
      <c r="A16195" s="2">
        <f>HYPERLINK("https://open-school.uspishnemisto.com.ua/school/740509/", 740509)</f>
        <v>740509</v>
      </c>
      <c r="B16195" s="3" t="s">
        <v>81718</v>
      </c>
      <c r="C16195" s="3" t="s">
        <v>31</v>
      </c>
      <c r="D16195" s="3" t="s">
        <v>32</v>
      </c>
      <c r="E16195" s="4" t="s">
        <v>22</v>
      </c>
      <c r="F16195" s="4" t="s">
        <v>81719</v>
      </c>
      <c r="G16195" s="4" t="s">
        <v>81720</v>
      </c>
      <c r="H16195" s="3" t="s">
        <v>79360</v>
      </c>
      <c r="I16195" s="3" t="s">
        <v>81721</v>
      </c>
      <c r="J16195" s="3" t="s">
        <v>81722</v>
      </c>
      <c r="K16195" s="3" t="s">
        <v>81723</v>
      </c>
      <c r="L16195" s="3"/>
      <c r="M16195" s="4"/>
      <c r="N16195" s="3" t="s">
        <v>37</v>
      </c>
      <c r="O16195" s="3" t="s">
        <v>38</v>
      </c>
      <c r="P16195" s="5">
        <v>9</v>
      </c>
      <c r="Q16195" s="5">
        <v>110</v>
      </c>
      <c r="R16195" s="5">
        <v>9</v>
      </c>
      <c r="S16195" s="5">
        <v>104</v>
      </c>
    </row>
    <row r="16196" spans="1:19" ht="28" x14ac:dyDescent="0.15">
      <c r="A16196" s="2">
        <f>HYPERLINK("https://open-school.uspishnemisto.com.ua/school/740510/", 740510)</f>
        <v>740510</v>
      </c>
      <c r="B16196" s="3" t="s">
        <v>81724</v>
      </c>
      <c r="C16196" s="3" t="s">
        <v>31</v>
      </c>
      <c r="D16196" s="3" t="s">
        <v>175</v>
      </c>
      <c r="E16196" s="4" t="s">
        <v>22</v>
      </c>
      <c r="F16196" s="4" t="s">
        <v>81725</v>
      </c>
      <c r="G16196" s="4" t="s">
        <v>81726</v>
      </c>
      <c r="H16196" s="3" t="s">
        <v>79360</v>
      </c>
      <c r="I16196" s="3" t="s">
        <v>81727</v>
      </c>
      <c r="J16196" s="3" t="s">
        <v>81728</v>
      </c>
      <c r="K16196" s="3"/>
      <c r="L16196" s="3"/>
      <c r="M16196" s="4"/>
      <c r="N16196" s="3" t="s">
        <v>37</v>
      </c>
      <c r="O16196" s="3" t="s">
        <v>38</v>
      </c>
      <c r="P16196" s="5">
        <v>9</v>
      </c>
      <c r="Q16196" s="5">
        <v>66</v>
      </c>
      <c r="R16196" s="5">
        <v>9</v>
      </c>
      <c r="S16196" s="5">
        <v>58</v>
      </c>
    </row>
    <row r="16197" spans="1:19" ht="56" x14ac:dyDescent="0.15">
      <c r="A16197" s="2">
        <f>HYPERLINK("https://open-school.uspishnemisto.com.ua/school/740511/", 740511)</f>
        <v>740511</v>
      </c>
      <c r="B16197" s="3" t="s">
        <v>81729</v>
      </c>
      <c r="C16197" s="3" t="s">
        <v>31</v>
      </c>
      <c r="D16197" s="3" t="s">
        <v>32</v>
      </c>
      <c r="E16197" s="4" t="s">
        <v>22</v>
      </c>
      <c r="F16197" s="4" t="s">
        <v>81730</v>
      </c>
      <c r="G16197" s="4" t="s">
        <v>81731</v>
      </c>
      <c r="H16197" s="3" t="s">
        <v>79360</v>
      </c>
      <c r="I16197" s="3" t="s">
        <v>81732</v>
      </c>
      <c r="J16197" s="3" t="s">
        <v>16428</v>
      </c>
      <c r="K16197" s="3" t="s">
        <v>81733</v>
      </c>
      <c r="L16197" s="3"/>
      <c r="M16197" s="4"/>
      <c r="N16197" s="3" t="s">
        <v>37</v>
      </c>
      <c r="O16197" s="3" t="s">
        <v>38</v>
      </c>
      <c r="P16197" s="5">
        <v>8</v>
      </c>
      <c r="Q16197" s="5">
        <v>65</v>
      </c>
      <c r="R16197" s="5">
        <v>7</v>
      </c>
      <c r="S16197" s="5">
        <v>66</v>
      </c>
    </row>
    <row r="16198" spans="1:19" ht="28" x14ac:dyDescent="0.15">
      <c r="A16198" s="2">
        <f>HYPERLINK("https://open-school.uspishnemisto.com.ua/school/740512/", 740512)</f>
        <v>740512</v>
      </c>
      <c r="B16198" s="3" t="s">
        <v>81734</v>
      </c>
      <c r="C16198" s="3" t="s">
        <v>31</v>
      </c>
      <c r="D16198" s="3" t="s">
        <v>32</v>
      </c>
      <c r="E16198" s="4" t="s">
        <v>22</v>
      </c>
      <c r="F16198" s="4" t="s">
        <v>81735</v>
      </c>
      <c r="G16198" s="4" t="s">
        <v>81736</v>
      </c>
      <c r="H16198" s="3" t="s">
        <v>79360</v>
      </c>
      <c r="I16198" s="3" t="s">
        <v>11113</v>
      </c>
      <c r="J16198" s="3" t="s">
        <v>28925</v>
      </c>
      <c r="K16198" s="3" t="s">
        <v>81737</v>
      </c>
      <c r="L16198" s="3"/>
      <c r="M16198" s="4"/>
      <c r="N16198" s="3" t="s">
        <v>37</v>
      </c>
      <c r="O16198" s="3" t="s">
        <v>38</v>
      </c>
      <c r="P16198" s="5">
        <v>7</v>
      </c>
      <c r="Q16198" s="5">
        <v>63</v>
      </c>
      <c r="R16198" s="5">
        <v>8</v>
      </c>
      <c r="S16198" s="5">
        <v>72</v>
      </c>
    </row>
    <row r="16199" spans="1:19" ht="56" x14ac:dyDescent="0.15">
      <c r="A16199" s="2">
        <f>HYPERLINK("https://open-school.uspishnemisto.com.ua/school/740513/", 740513)</f>
        <v>740513</v>
      </c>
      <c r="B16199" s="3" t="s">
        <v>81738</v>
      </c>
      <c r="C16199" s="3" t="s">
        <v>54</v>
      </c>
      <c r="D16199" s="3" t="s">
        <v>32</v>
      </c>
      <c r="E16199" s="4" t="s">
        <v>22</v>
      </c>
      <c r="F16199" s="4" t="s">
        <v>81739</v>
      </c>
      <c r="G16199" s="4" t="s">
        <v>81740</v>
      </c>
      <c r="H16199" s="3" t="s">
        <v>79360</v>
      </c>
      <c r="I16199" s="3" t="s">
        <v>58153</v>
      </c>
      <c r="J16199" s="3" t="s">
        <v>81741</v>
      </c>
      <c r="K16199" s="3" t="s">
        <v>81742</v>
      </c>
      <c r="L16199" s="3"/>
      <c r="M16199" s="4"/>
      <c r="N16199" s="3" t="s">
        <v>37</v>
      </c>
      <c r="O16199" s="3" t="s">
        <v>38</v>
      </c>
      <c r="P16199" s="5">
        <v>10</v>
      </c>
      <c r="Q16199" s="5">
        <v>76</v>
      </c>
      <c r="R16199" s="5">
        <v>11</v>
      </c>
      <c r="S16199" s="5">
        <v>85</v>
      </c>
    </row>
    <row r="16200" spans="1:19" ht="28" x14ac:dyDescent="0.15">
      <c r="A16200" s="2">
        <f>HYPERLINK("https://open-school.uspishnemisto.com.ua/school/740514/", 740514)</f>
        <v>740514</v>
      </c>
      <c r="B16200" s="3" t="s">
        <v>81743</v>
      </c>
      <c r="C16200" s="3" t="s">
        <v>31</v>
      </c>
      <c r="D16200" s="3" t="s">
        <v>60</v>
      </c>
      <c r="E16200" s="4" t="s">
        <v>22</v>
      </c>
      <c r="F16200" s="4" t="s">
        <v>81744</v>
      </c>
      <c r="G16200" s="4" t="s">
        <v>81745</v>
      </c>
      <c r="H16200" s="3" t="s">
        <v>79360</v>
      </c>
      <c r="I16200" s="3" t="s">
        <v>81746</v>
      </c>
      <c r="J16200" s="3" t="s">
        <v>81747</v>
      </c>
      <c r="K16200" s="3" t="s">
        <v>81748</v>
      </c>
      <c r="L16200" s="3"/>
      <c r="M16200" s="4"/>
      <c r="N16200" s="3" t="s">
        <v>37</v>
      </c>
      <c r="O16200" s="3" t="s">
        <v>52</v>
      </c>
      <c r="P16200" s="5">
        <v>0</v>
      </c>
      <c r="Q16200" s="5">
        <v>9</v>
      </c>
      <c r="R16200" s="5">
        <v>0</v>
      </c>
      <c r="S16200" s="5">
        <v>8</v>
      </c>
    </row>
    <row r="16201" spans="1:19" ht="42" x14ac:dyDescent="0.15">
      <c r="A16201" s="2">
        <f>HYPERLINK("https://open-school.uspishnemisto.com.ua/school/740515/", 740515)</f>
        <v>740515</v>
      </c>
      <c r="B16201" s="3" t="s">
        <v>81749</v>
      </c>
      <c r="C16201" s="3" t="s">
        <v>31</v>
      </c>
      <c r="D16201" s="3" t="s">
        <v>175</v>
      </c>
      <c r="E16201" s="4" t="s">
        <v>22</v>
      </c>
      <c r="F16201" s="4" t="s">
        <v>81750</v>
      </c>
      <c r="G16201" s="4" t="s">
        <v>81751</v>
      </c>
      <c r="H16201" s="3" t="s">
        <v>79360</v>
      </c>
      <c r="I16201" s="3" t="s">
        <v>81752</v>
      </c>
      <c r="J16201" s="3" t="s">
        <v>55050</v>
      </c>
      <c r="K16201" s="3" t="s">
        <v>81753</v>
      </c>
      <c r="L16201" s="3"/>
      <c r="M16201" s="4"/>
      <c r="N16201" s="3" t="s">
        <v>37</v>
      </c>
      <c r="O16201" s="3" t="s">
        <v>38</v>
      </c>
      <c r="P16201" s="5">
        <v>5</v>
      </c>
      <c r="Q16201" s="5">
        <v>30</v>
      </c>
      <c r="R16201" s="5">
        <v>4</v>
      </c>
      <c r="S16201" s="5">
        <v>29</v>
      </c>
    </row>
    <row r="16202" spans="1:19" ht="28" x14ac:dyDescent="0.15">
      <c r="A16202" s="2">
        <f>HYPERLINK("https://open-school.uspishnemisto.com.ua/school/740516/", 740516)</f>
        <v>740516</v>
      </c>
      <c r="B16202" s="3" t="s">
        <v>81754</v>
      </c>
      <c r="C16202" s="3" t="s">
        <v>31</v>
      </c>
      <c r="D16202" s="3" t="s">
        <v>32</v>
      </c>
      <c r="E16202" s="4" t="s">
        <v>22</v>
      </c>
      <c r="F16202" s="4" t="s">
        <v>81755</v>
      </c>
      <c r="G16202" s="4" t="s">
        <v>81756</v>
      </c>
      <c r="H16202" s="3" t="s">
        <v>79360</v>
      </c>
      <c r="I16202" s="3" t="s">
        <v>883</v>
      </c>
      <c r="J16202" s="3" t="s">
        <v>2745</v>
      </c>
      <c r="K16202" s="3" t="s">
        <v>81757</v>
      </c>
      <c r="L16202" s="3"/>
      <c r="M16202" s="4"/>
      <c r="N16202" s="3" t="s">
        <v>37</v>
      </c>
      <c r="O16202" s="3" t="s">
        <v>38</v>
      </c>
      <c r="P16202" s="5">
        <v>11</v>
      </c>
      <c r="Q16202" s="5">
        <v>126</v>
      </c>
      <c r="R16202" s="5">
        <v>11</v>
      </c>
      <c r="S16202" s="5">
        <v>129</v>
      </c>
    </row>
    <row r="16203" spans="1:19" ht="42" x14ac:dyDescent="0.15">
      <c r="A16203" s="2">
        <f>HYPERLINK("https://open-school.uspishnemisto.com.ua/school/740517/", 740517)</f>
        <v>740517</v>
      </c>
      <c r="B16203" s="3" t="s">
        <v>81758</v>
      </c>
      <c r="C16203" s="3" t="s">
        <v>31</v>
      </c>
      <c r="D16203" s="3" t="s">
        <v>32</v>
      </c>
      <c r="E16203" s="4" t="s">
        <v>22</v>
      </c>
      <c r="F16203" s="4" t="s">
        <v>81759</v>
      </c>
      <c r="G16203" s="4" t="s">
        <v>81760</v>
      </c>
      <c r="H16203" s="3" t="s">
        <v>79360</v>
      </c>
      <c r="I16203" s="3" t="s">
        <v>81761</v>
      </c>
      <c r="J16203" s="3" t="s">
        <v>81762</v>
      </c>
      <c r="K16203" s="3" t="s">
        <v>81763</v>
      </c>
      <c r="L16203" s="3"/>
      <c r="M16203" s="4"/>
      <c r="N16203" s="3" t="s">
        <v>37</v>
      </c>
      <c r="O16203" s="3" t="s">
        <v>38</v>
      </c>
      <c r="P16203" s="5">
        <v>11</v>
      </c>
      <c r="Q16203" s="5">
        <v>110</v>
      </c>
      <c r="R16203" s="5">
        <v>11</v>
      </c>
      <c r="S16203" s="5">
        <v>114</v>
      </c>
    </row>
    <row r="16204" spans="1:19" ht="28" x14ac:dyDescent="0.15">
      <c r="A16204" s="2">
        <f>HYPERLINK("https://open-school.uspishnemisto.com.ua/school/740518/", 740518)</f>
        <v>740518</v>
      </c>
      <c r="B16204" s="3" t="s">
        <v>81764</v>
      </c>
      <c r="C16204" s="3" t="s">
        <v>31</v>
      </c>
      <c r="D16204" s="3" t="s">
        <v>175</v>
      </c>
      <c r="E16204" s="4" t="s">
        <v>22</v>
      </c>
      <c r="F16204" s="4" t="s">
        <v>81755</v>
      </c>
      <c r="G16204" s="4" t="s">
        <v>81765</v>
      </c>
      <c r="H16204" s="3" t="s">
        <v>79360</v>
      </c>
      <c r="I16204" s="3" t="s">
        <v>66997</v>
      </c>
      <c r="J16204" s="3" t="s">
        <v>81766</v>
      </c>
      <c r="K16204" s="3" t="s">
        <v>81767</v>
      </c>
      <c r="L16204" s="3"/>
      <c r="M16204" s="4"/>
      <c r="N16204" s="3" t="s">
        <v>37</v>
      </c>
      <c r="O16204" s="3" t="s">
        <v>38</v>
      </c>
      <c r="P16204" s="5">
        <v>3</v>
      </c>
      <c r="Q16204" s="5">
        <v>27</v>
      </c>
      <c r="R16204" s="5">
        <v>2</v>
      </c>
      <c r="S16204" s="5">
        <v>25</v>
      </c>
    </row>
    <row r="16205" spans="1:19" ht="42" x14ac:dyDescent="0.15">
      <c r="A16205" s="2">
        <f>HYPERLINK("https://open-school.uspishnemisto.com.ua/school/740519/", 740519)</f>
        <v>740519</v>
      </c>
      <c r="B16205" s="3" t="s">
        <v>81768</v>
      </c>
      <c r="C16205" s="3" t="s">
        <v>31</v>
      </c>
      <c r="D16205" s="3" t="s">
        <v>175</v>
      </c>
      <c r="E16205" s="4" t="s">
        <v>22</v>
      </c>
      <c r="F16205" s="4" t="s">
        <v>81769</v>
      </c>
      <c r="G16205" s="4" t="s">
        <v>81770</v>
      </c>
      <c r="H16205" s="3" t="s">
        <v>79360</v>
      </c>
      <c r="I16205" s="3" t="s">
        <v>81771</v>
      </c>
      <c r="J16205" s="3" t="s">
        <v>81772</v>
      </c>
      <c r="K16205" s="3"/>
      <c r="L16205" s="3"/>
      <c r="M16205" s="4"/>
      <c r="N16205" s="3" t="s">
        <v>37</v>
      </c>
      <c r="O16205" s="3" t="s">
        <v>38</v>
      </c>
      <c r="P16205" s="5">
        <v>2</v>
      </c>
      <c r="Q16205" s="5">
        <v>33</v>
      </c>
      <c r="R16205" s="5">
        <v>5</v>
      </c>
      <c r="S16205" s="5">
        <v>37</v>
      </c>
    </row>
    <row r="16206" spans="1:19" ht="28" x14ac:dyDescent="0.15">
      <c r="A16206" s="2">
        <f>HYPERLINK("https://open-school.uspishnemisto.com.ua/school/740520/", 740520)</f>
        <v>740520</v>
      </c>
      <c r="B16206" s="3" t="s">
        <v>81773</v>
      </c>
      <c r="C16206" s="3" t="s">
        <v>31</v>
      </c>
      <c r="D16206" s="3" t="s">
        <v>32</v>
      </c>
      <c r="E16206" s="4" t="s">
        <v>22</v>
      </c>
      <c r="F16206" s="4" t="s">
        <v>81774</v>
      </c>
      <c r="G16206" s="4" t="s">
        <v>81775</v>
      </c>
      <c r="H16206" s="3" t="s">
        <v>79360</v>
      </c>
      <c r="I16206" s="3" t="s">
        <v>81776</v>
      </c>
      <c r="J16206" s="3" t="s">
        <v>81777</v>
      </c>
      <c r="K16206" s="3" t="s">
        <v>81778</v>
      </c>
      <c r="L16206" s="3"/>
      <c r="M16206" s="4"/>
      <c r="N16206" s="3" t="s">
        <v>37</v>
      </c>
      <c r="O16206" s="3" t="s">
        <v>38</v>
      </c>
      <c r="P16206" s="5">
        <v>18</v>
      </c>
      <c r="Q16206" s="5">
        <v>327</v>
      </c>
      <c r="R16206" s="5">
        <v>16</v>
      </c>
      <c r="S16206" s="5">
        <v>306</v>
      </c>
    </row>
    <row r="16207" spans="1:19" ht="28" x14ac:dyDescent="0.15">
      <c r="A16207" s="2">
        <f>HYPERLINK("https://open-school.uspishnemisto.com.ua/school/740521/", 740521)</f>
        <v>740521</v>
      </c>
      <c r="B16207" s="3" t="s">
        <v>81779</v>
      </c>
      <c r="C16207" s="3" t="s">
        <v>31</v>
      </c>
      <c r="D16207" s="3" t="s">
        <v>175</v>
      </c>
      <c r="E16207" s="4" t="s">
        <v>22</v>
      </c>
      <c r="F16207" s="4" t="s">
        <v>79506</v>
      </c>
      <c r="G16207" s="4" t="s">
        <v>81780</v>
      </c>
      <c r="H16207" s="3" t="s">
        <v>79360</v>
      </c>
      <c r="I16207" s="3" t="s">
        <v>81781</v>
      </c>
      <c r="J16207" s="3" t="s">
        <v>81782</v>
      </c>
      <c r="K16207" s="3" t="s">
        <v>81783</v>
      </c>
      <c r="L16207" s="3" t="s">
        <v>81784</v>
      </c>
      <c r="M16207" s="4"/>
      <c r="N16207" s="3" t="s">
        <v>37</v>
      </c>
      <c r="O16207" s="3" t="s">
        <v>38</v>
      </c>
      <c r="P16207" s="5">
        <v>2</v>
      </c>
      <c r="Q16207" s="5">
        <v>35</v>
      </c>
      <c r="R16207" s="5">
        <v>2</v>
      </c>
      <c r="S16207" s="5">
        <v>34</v>
      </c>
    </row>
    <row r="16208" spans="1:19" ht="56" x14ac:dyDescent="0.15">
      <c r="A16208" s="2">
        <f>HYPERLINK("https://open-school.uspishnemisto.com.ua/school/740522/", 740522)</f>
        <v>740522</v>
      </c>
      <c r="B16208" s="3" t="s">
        <v>81785</v>
      </c>
      <c r="C16208" s="3" t="s">
        <v>54</v>
      </c>
      <c r="D16208" s="3" t="s">
        <v>32</v>
      </c>
      <c r="E16208" s="4" t="s">
        <v>22</v>
      </c>
      <c r="F16208" s="4" t="s">
        <v>81786</v>
      </c>
      <c r="G16208" s="4" t="s">
        <v>81787</v>
      </c>
      <c r="H16208" s="3" t="s">
        <v>79360</v>
      </c>
      <c r="I16208" s="3" t="s">
        <v>46823</v>
      </c>
      <c r="J16208" s="3" t="s">
        <v>53681</v>
      </c>
      <c r="K16208" s="3" t="s">
        <v>81788</v>
      </c>
      <c r="L16208" s="3"/>
      <c r="M16208" s="4"/>
      <c r="N16208" s="3" t="s">
        <v>37</v>
      </c>
      <c r="O16208" s="3" t="s">
        <v>38</v>
      </c>
      <c r="P16208" s="5">
        <v>11</v>
      </c>
      <c r="Q16208" s="5">
        <v>108</v>
      </c>
      <c r="R16208" s="5">
        <v>11</v>
      </c>
      <c r="S16208" s="5">
        <v>108</v>
      </c>
    </row>
    <row r="16209" spans="1:19" ht="28" x14ac:dyDescent="0.15">
      <c r="A16209" s="2">
        <f>HYPERLINK("https://open-school.uspishnemisto.com.ua/school/740523/", 740523)</f>
        <v>740523</v>
      </c>
      <c r="B16209" s="3" t="s">
        <v>81789</v>
      </c>
      <c r="C16209" s="3" t="s">
        <v>31</v>
      </c>
      <c r="D16209" s="3" t="s">
        <v>32</v>
      </c>
      <c r="E16209" s="4" t="s">
        <v>22</v>
      </c>
      <c r="F16209" s="4" t="s">
        <v>81790</v>
      </c>
      <c r="G16209" s="4" t="s">
        <v>81791</v>
      </c>
      <c r="H16209" s="3" t="s">
        <v>79360</v>
      </c>
      <c r="I16209" s="3" t="s">
        <v>17100</v>
      </c>
      <c r="J16209" s="3" t="s">
        <v>77450</v>
      </c>
      <c r="K16209" s="3" t="s">
        <v>81792</v>
      </c>
      <c r="L16209" s="3"/>
      <c r="M16209" s="4"/>
      <c r="N16209" s="3" t="s">
        <v>37</v>
      </c>
      <c r="O16209" s="3" t="s">
        <v>38</v>
      </c>
      <c r="P16209" s="5">
        <v>6</v>
      </c>
      <c r="Q16209" s="5">
        <v>54</v>
      </c>
      <c r="R16209" s="5">
        <v>6</v>
      </c>
      <c r="S16209" s="5">
        <v>57</v>
      </c>
    </row>
    <row r="16210" spans="1:19" ht="42" x14ac:dyDescent="0.15">
      <c r="A16210" s="2">
        <f>HYPERLINK("https://open-school.uspishnemisto.com.ua/school/740524/", 740524)</f>
        <v>740524</v>
      </c>
      <c r="B16210" s="3" t="s">
        <v>81793</v>
      </c>
      <c r="C16210" s="3" t="s">
        <v>31</v>
      </c>
      <c r="D16210" s="3" t="s">
        <v>32</v>
      </c>
      <c r="E16210" s="4" t="s">
        <v>22</v>
      </c>
      <c r="F16210" s="4" t="s">
        <v>81794</v>
      </c>
      <c r="G16210" s="4" t="s">
        <v>81795</v>
      </c>
      <c r="H16210" s="3" t="s">
        <v>79360</v>
      </c>
      <c r="I16210" s="3" t="s">
        <v>81796</v>
      </c>
      <c r="J16210" s="3" t="s">
        <v>81797</v>
      </c>
      <c r="K16210" s="3" t="s">
        <v>81798</v>
      </c>
      <c r="L16210" s="3"/>
      <c r="M16210" s="4"/>
      <c r="N16210" s="3" t="s">
        <v>37</v>
      </c>
      <c r="O16210" s="3" t="s">
        <v>38</v>
      </c>
      <c r="P16210" s="5">
        <v>8</v>
      </c>
      <c r="Q16210" s="5">
        <v>72</v>
      </c>
      <c r="R16210" s="5">
        <v>10</v>
      </c>
      <c r="S16210" s="5">
        <v>75</v>
      </c>
    </row>
    <row r="16211" spans="1:19" ht="42" x14ac:dyDescent="0.15">
      <c r="A16211" s="2">
        <f>HYPERLINK("https://open-school.uspishnemisto.com.ua/school/740525/", 740525)</f>
        <v>740525</v>
      </c>
      <c r="B16211" s="3" t="s">
        <v>81799</v>
      </c>
      <c r="C16211" s="3" t="s">
        <v>31</v>
      </c>
      <c r="D16211" s="3" t="s">
        <v>32</v>
      </c>
      <c r="E16211" s="4" t="s">
        <v>22</v>
      </c>
      <c r="F16211" s="4" t="s">
        <v>81800</v>
      </c>
      <c r="G16211" s="4" t="s">
        <v>81801</v>
      </c>
      <c r="H16211" s="3" t="s">
        <v>79360</v>
      </c>
      <c r="I16211" s="3" t="s">
        <v>4005</v>
      </c>
      <c r="J16211" s="3" t="s">
        <v>81802</v>
      </c>
      <c r="K16211" s="3" t="s">
        <v>81803</v>
      </c>
      <c r="L16211" s="3"/>
      <c r="M16211" s="4"/>
      <c r="N16211" s="3" t="s">
        <v>37</v>
      </c>
      <c r="O16211" s="3" t="s">
        <v>38</v>
      </c>
      <c r="P16211" s="5">
        <v>7</v>
      </c>
      <c r="Q16211" s="5">
        <v>50</v>
      </c>
      <c r="R16211" s="5">
        <v>7</v>
      </c>
      <c r="S16211" s="5">
        <v>51</v>
      </c>
    </row>
    <row r="16212" spans="1:19" ht="28" x14ac:dyDescent="0.15">
      <c r="A16212" s="2">
        <f>HYPERLINK("https://open-school.uspishnemisto.com.ua/school/740526/", 740526)</f>
        <v>740526</v>
      </c>
      <c r="B16212" s="3" t="s">
        <v>81804</v>
      </c>
      <c r="C16212" s="3" t="s">
        <v>31</v>
      </c>
      <c r="D16212" s="3" t="s">
        <v>175</v>
      </c>
      <c r="E16212" s="4" t="s">
        <v>22</v>
      </c>
      <c r="F16212" s="4" t="s">
        <v>81805</v>
      </c>
      <c r="G16212" s="4" t="s">
        <v>81806</v>
      </c>
      <c r="H16212" s="3" t="s">
        <v>79360</v>
      </c>
      <c r="I16212" s="3" t="s">
        <v>81807</v>
      </c>
      <c r="J16212" s="3" t="s">
        <v>47748</v>
      </c>
      <c r="K16212" s="3"/>
      <c r="L16212" s="3" t="s">
        <v>81808</v>
      </c>
      <c r="M16212" s="4"/>
      <c r="N16212" s="3" t="s">
        <v>37</v>
      </c>
      <c r="O16212" s="3" t="s">
        <v>38</v>
      </c>
      <c r="P16212" s="5">
        <v>7</v>
      </c>
      <c r="Q16212" s="5">
        <v>51</v>
      </c>
      <c r="R16212" s="5">
        <v>6</v>
      </c>
      <c r="S16212" s="5">
        <v>50</v>
      </c>
    </row>
    <row r="16213" spans="1:19" ht="42" x14ac:dyDescent="0.15">
      <c r="A16213" s="2">
        <f>HYPERLINK("https://open-school.uspishnemisto.com.ua/school/740527/", 740527)</f>
        <v>740527</v>
      </c>
      <c r="B16213" s="3" t="s">
        <v>81809</v>
      </c>
      <c r="C16213" s="3" t="s">
        <v>31</v>
      </c>
      <c r="D16213" s="3" t="s">
        <v>175</v>
      </c>
      <c r="E16213" s="4" t="s">
        <v>22</v>
      </c>
      <c r="F16213" s="4" t="s">
        <v>81810</v>
      </c>
      <c r="G16213" s="4" t="s">
        <v>81811</v>
      </c>
      <c r="H16213" s="3" t="s">
        <v>79360</v>
      </c>
      <c r="I16213" s="3" t="s">
        <v>81812</v>
      </c>
      <c r="J16213" s="3" t="s">
        <v>6535</v>
      </c>
      <c r="K16213" s="3" t="s">
        <v>81813</v>
      </c>
      <c r="L16213" s="3"/>
      <c r="M16213" s="4"/>
      <c r="N16213" s="3" t="s">
        <v>37</v>
      </c>
      <c r="O16213" s="3" t="s">
        <v>38</v>
      </c>
      <c r="P16213" s="5">
        <v>5</v>
      </c>
      <c r="Q16213" s="5">
        <v>40</v>
      </c>
      <c r="R16213" s="5">
        <v>5</v>
      </c>
      <c r="S16213" s="5">
        <v>44</v>
      </c>
    </row>
    <row r="16214" spans="1:19" ht="28" x14ac:dyDescent="0.15">
      <c r="A16214" s="2">
        <f>HYPERLINK("https://open-school.uspishnemisto.com.ua/school/740528/", 740528)</f>
        <v>740528</v>
      </c>
      <c r="B16214" s="3" t="s">
        <v>81814</v>
      </c>
      <c r="C16214" s="3" t="s">
        <v>31</v>
      </c>
      <c r="D16214" s="3" t="s">
        <v>32</v>
      </c>
      <c r="E16214" s="4" t="s">
        <v>22</v>
      </c>
      <c r="F16214" s="4" t="s">
        <v>81815</v>
      </c>
      <c r="G16214" s="4" t="s">
        <v>81816</v>
      </c>
      <c r="H16214" s="3" t="s">
        <v>79360</v>
      </c>
      <c r="I16214" s="3" t="s">
        <v>81817</v>
      </c>
      <c r="J16214" s="3" t="s">
        <v>81818</v>
      </c>
      <c r="K16214" s="3" t="s">
        <v>81819</v>
      </c>
      <c r="L16214" s="3"/>
      <c r="M16214" s="4"/>
      <c r="N16214" s="3" t="s">
        <v>37</v>
      </c>
      <c r="O16214" s="3" t="s">
        <v>52</v>
      </c>
      <c r="P16214" s="5">
        <v>7</v>
      </c>
      <c r="Q16214" s="5">
        <v>59</v>
      </c>
      <c r="R16214" s="5">
        <v>6</v>
      </c>
      <c r="S16214" s="5">
        <v>50</v>
      </c>
    </row>
    <row r="16215" spans="1:19" ht="28" x14ac:dyDescent="0.15">
      <c r="A16215" s="2">
        <f>HYPERLINK("https://open-school.uspishnemisto.com.ua/school/740529/", 740529)</f>
        <v>740529</v>
      </c>
      <c r="B16215" s="3" t="s">
        <v>81820</v>
      </c>
      <c r="C16215" s="3" t="s">
        <v>31</v>
      </c>
      <c r="D16215" s="3" t="s">
        <v>32</v>
      </c>
      <c r="E16215" s="4" t="s">
        <v>22</v>
      </c>
      <c r="F16215" s="4" t="s">
        <v>81821</v>
      </c>
      <c r="G16215" s="4" t="s">
        <v>81822</v>
      </c>
      <c r="H16215" s="3" t="s">
        <v>79360</v>
      </c>
      <c r="I16215" s="3" t="s">
        <v>81823</v>
      </c>
      <c r="J16215" s="3" t="s">
        <v>81824</v>
      </c>
      <c r="K16215" s="3" t="s">
        <v>81825</v>
      </c>
      <c r="L16215" s="3"/>
      <c r="M16215" s="4"/>
      <c r="N16215" s="3" t="s">
        <v>37</v>
      </c>
      <c r="O16215" s="3" t="s">
        <v>38</v>
      </c>
      <c r="P16215" s="5">
        <v>9</v>
      </c>
      <c r="Q16215" s="5">
        <v>113</v>
      </c>
      <c r="R16215" s="5">
        <v>10</v>
      </c>
      <c r="S16215" s="5">
        <v>104</v>
      </c>
    </row>
    <row r="16216" spans="1:19" ht="42" x14ac:dyDescent="0.15">
      <c r="A16216" s="2">
        <f>HYPERLINK("https://open-school.uspishnemisto.com.ua/school/740530/", 740530)</f>
        <v>740530</v>
      </c>
      <c r="B16216" s="3" t="s">
        <v>81826</v>
      </c>
      <c r="C16216" s="3" t="s">
        <v>54</v>
      </c>
      <c r="D16216" s="3" t="s">
        <v>175</v>
      </c>
      <c r="E16216" s="4" t="s">
        <v>22</v>
      </c>
      <c r="F16216" s="4" t="s">
        <v>81786</v>
      </c>
      <c r="G16216" s="4" t="s">
        <v>81827</v>
      </c>
      <c r="H16216" s="3" t="s">
        <v>79360</v>
      </c>
      <c r="I16216" s="3" t="s">
        <v>32416</v>
      </c>
      <c r="J16216" s="3" t="s">
        <v>81828</v>
      </c>
      <c r="K16216" s="3" t="s">
        <v>81829</v>
      </c>
      <c r="L16216" s="3"/>
      <c r="M16216" s="4"/>
      <c r="N16216" s="3" t="s">
        <v>37</v>
      </c>
      <c r="O16216" s="3" t="s">
        <v>38</v>
      </c>
      <c r="P16216" s="5">
        <v>9</v>
      </c>
      <c r="Q16216" s="5">
        <v>69</v>
      </c>
      <c r="R16216" s="5">
        <v>8</v>
      </c>
      <c r="S16216" s="5">
        <v>65</v>
      </c>
    </row>
    <row r="16217" spans="1:19" ht="28" x14ac:dyDescent="0.15">
      <c r="A16217" s="2">
        <f>HYPERLINK("https://open-school.uspishnemisto.com.ua/school/740531/", 740531)</f>
        <v>740531</v>
      </c>
      <c r="B16217" s="3" t="s">
        <v>81830</v>
      </c>
      <c r="C16217" s="3" t="s">
        <v>31</v>
      </c>
      <c r="D16217" s="3" t="s">
        <v>32</v>
      </c>
      <c r="E16217" s="4" t="s">
        <v>22</v>
      </c>
      <c r="F16217" s="4" t="s">
        <v>81774</v>
      </c>
      <c r="G16217" s="4" t="s">
        <v>81831</v>
      </c>
      <c r="H16217" s="3" t="s">
        <v>79360</v>
      </c>
      <c r="I16217" s="3" t="s">
        <v>81832</v>
      </c>
      <c r="J16217" s="3" t="s">
        <v>81833</v>
      </c>
      <c r="K16217" s="3" t="s">
        <v>81834</v>
      </c>
      <c r="L16217" s="3"/>
      <c r="M16217" s="4"/>
      <c r="N16217" s="3" t="s">
        <v>37</v>
      </c>
      <c r="O16217" s="3" t="s">
        <v>38</v>
      </c>
      <c r="P16217" s="5">
        <v>11</v>
      </c>
      <c r="Q16217" s="5">
        <v>215</v>
      </c>
      <c r="R16217" s="5">
        <v>11</v>
      </c>
      <c r="S16217" s="5">
        <v>213</v>
      </c>
    </row>
    <row r="16218" spans="1:19" ht="28" x14ac:dyDescent="0.15">
      <c r="A16218" s="2">
        <f>HYPERLINK("https://open-school.uspishnemisto.com.ua/school/740532/", 740532)</f>
        <v>740532</v>
      </c>
      <c r="B16218" s="3" t="s">
        <v>81835</v>
      </c>
      <c r="C16218" s="3" t="s">
        <v>31</v>
      </c>
      <c r="D16218" s="3" t="s">
        <v>32</v>
      </c>
      <c r="E16218" s="4" t="s">
        <v>22</v>
      </c>
      <c r="F16218" s="4" t="s">
        <v>81836</v>
      </c>
      <c r="G16218" s="4" t="s">
        <v>81837</v>
      </c>
      <c r="H16218" s="3" t="s">
        <v>79360</v>
      </c>
      <c r="I16218" s="3" t="s">
        <v>81838</v>
      </c>
      <c r="J16218" s="3" t="s">
        <v>81839</v>
      </c>
      <c r="K16218" s="3" t="s">
        <v>81840</v>
      </c>
      <c r="L16218" s="3"/>
      <c r="M16218" s="4"/>
      <c r="N16218" s="3" t="s">
        <v>37</v>
      </c>
      <c r="O16218" s="3" t="s">
        <v>38</v>
      </c>
      <c r="P16218" s="5">
        <v>10</v>
      </c>
      <c r="Q16218" s="5">
        <v>92</v>
      </c>
      <c r="R16218" s="5">
        <v>10</v>
      </c>
      <c r="S16218" s="5">
        <v>97</v>
      </c>
    </row>
    <row r="16219" spans="1:19" ht="56" x14ac:dyDescent="0.15">
      <c r="A16219" s="2">
        <f>HYPERLINK("https://open-school.uspishnemisto.com.ua/school/740533/", 740533)</f>
        <v>740533</v>
      </c>
      <c r="B16219" s="3" t="s">
        <v>81841</v>
      </c>
      <c r="C16219" s="3" t="s">
        <v>54</v>
      </c>
      <c r="D16219" s="3" t="s">
        <v>60</v>
      </c>
      <c r="E16219" s="4" t="s">
        <v>22</v>
      </c>
      <c r="F16219" s="4" t="s">
        <v>81842</v>
      </c>
      <c r="G16219" s="4" t="s">
        <v>81843</v>
      </c>
      <c r="H16219" s="3" t="s">
        <v>79360</v>
      </c>
      <c r="I16219" s="3" t="s">
        <v>17799</v>
      </c>
      <c r="J16219" s="3" t="s">
        <v>46824</v>
      </c>
      <c r="K16219" s="3" t="s">
        <v>81844</v>
      </c>
      <c r="L16219" s="3"/>
      <c r="M16219" s="4"/>
      <c r="N16219" s="3" t="s">
        <v>37</v>
      </c>
      <c r="O16219" s="3" t="s">
        <v>52</v>
      </c>
      <c r="P16219" s="5">
        <v>1</v>
      </c>
      <c r="Q16219" s="5">
        <v>10</v>
      </c>
      <c r="R16219" s="5">
        <v>1</v>
      </c>
      <c r="S16219" s="5">
        <v>25</v>
      </c>
    </row>
    <row r="16220" spans="1:19" ht="28" x14ac:dyDescent="0.15">
      <c r="A16220" s="2">
        <f>HYPERLINK("https://open-school.uspishnemisto.com.ua/school/740534/", 740534)</f>
        <v>740534</v>
      </c>
      <c r="B16220" s="3" t="s">
        <v>81845</v>
      </c>
      <c r="C16220" s="3" t="s">
        <v>31</v>
      </c>
      <c r="D16220" s="3" t="s">
        <v>175</v>
      </c>
      <c r="E16220" s="4" t="s">
        <v>22</v>
      </c>
      <c r="F16220" s="4" t="s">
        <v>81846</v>
      </c>
      <c r="G16220" s="4" t="s">
        <v>81847</v>
      </c>
      <c r="H16220" s="3" t="s">
        <v>79360</v>
      </c>
      <c r="I16220" s="3" t="s">
        <v>81848</v>
      </c>
      <c r="J16220" s="3" t="s">
        <v>81849</v>
      </c>
      <c r="K16220" s="3" t="s">
        <v>81850</v>
      </c>
      <c r="L16220" s="3"/>
      <c r="M16220" s="4"/>
      <c r="N16220" s="3" t="s">
        <v>37</v>
      </c>
      <c r="O16220" s="3" t="s">
        <v>52</v>
      </c>
      <c r="P16220" s="5">
        <v>0</v>
      </c>
      <c r="Q16220" s="5">
        <v>11</v>
      </c>
      <c r="R16220" s="5">
        <v>3</v>
      </c>
      <c r="S16220" s="5">
        <v>28</v>
      </c>
    </row>
    <row r="16221" spans="1:19" ht="56" x14ac:dyDescent="0.15">
      <c r="A16221" s="2">
        <f>HYPERLINK("https://open-school.uspishnemisto.com.ua/school/740535/", 740535)</f>
        <v>740535</v>
      </c>
      <c r="B16221" s="3" t="s">
        <v>81851</v>
      </c>
      <c r="C16221" s="3" t="s">
        <v>54</v>
      </c>
      <c r="D16221" s="3" t="s">
        <v>32</v>
      </c>
      <c r="E16221" s="4" t="s">
        <v>22</v>
      </c>
      <c r="F16221" s="4" t="s">
        <v>81852</v>
      </c>
      <c r="G16221" s="4" t="s">
        <v>81853</v>
      </c>
      <c r="H16221" s="3" t="s">
        <v>79360</v>
      </c>
      <c r="I16221" s="3" t="s">
        <v>81854</v>
      </c>
      <c r="J16221" s="3" t="s">
        <v>81855</v>
      </c>
      <c r="K16221" s="3"/>
      <c r="L16221" s="3"/>
      <c r="M16221" s="4"/>
      <c r="N16221" s="3" t="s">
        <v>37</v>
      </c>
      <c r="O16221" s="3" t="s">
        <v>38</v>
      </c>
      <c r="P16221" s="5">
        <v>10</v>
      </c>
      <c r="Q16221" s="5">
        <v>109</v>
      </c>
      <c r="R16221" s="5">
        <v>10</v>
      </c>
      <c r="S16221" s="5">
        <v>104</v>
      </c>
    </row>
    <row r="16222" spans="1:19" ht="28" x14ac:dyDescent="0.15">
      <c r="A16222" s="2">
        <f>HYPERLINK("https://open-school.uspishnemisto.com.ua/school/740536/", 740536)</f>
        <v>740536</v>
      </c>
      <c r="B16222" s="3" t="s">
        <v>81856</v>
      </c>
      <c r="C16222" s="3" t="s">
        <v>31</v>
      </c>
      <c r="D16222" s="3" t="s">
        <v>175</v>
      </c>
      <c r="E16222" s="4" t="s">
        <v>22</v>
      </c>
      <c r="F16222" s="4" t="s">
        <v>81857</v>
      </c>
      <c r="G16222" s="4" t="s">
        <v>81858</v>
      </c>
      <c r="H16222" s="3" t="s">
        <v>79360</v>
      </c>
      <c r="I16222" s="3" t="s">
        <v>81859</v>
      </c>
      <c r="J16222" s="3" t="s">
        <v>6394</v>
      </c>
      <c r="K16222" s="3" t="s">
        <v>81860</v>
      </c>
      <c r="L16222" s="3"/>
      <c r="M16222" s="4"/>
      <c r="N16222" s="3" t="s">
        <v>37</v>
      </c>
      <c r="O16222" s="3" t="s">
        <v>38</v>
      </c>
      <c r="P16222" s="5">
        <v>7</v>
      </c>
      <c r="Q16222" s="5">
        <v>57</v>
      </c>
      <c r="R16222" s="5">
        <v>8</v>
      </c>
      <c r="S16222" s="5">
        <v>59</v>
      </c>
    </row>
    <row r="16223" spans="1:19" ht="28" x14ac:dyDescent="0.15">
      <c r="A16223" s="2">
        <f>HYPERLINK("https://open-school.uspishnemisto.com.ua/school/740537/", 740537)</f>
        <v>740537</v>
      </c>
      <c r="B16223" s="3" t="s">
        <v>81861</v>
      </c>
      <c r="C16223" s="3" t="s">
        <v>31</v>
      </c>
      <c r="D16223" s="3" t="s">
        <v>175</v>
      </c>
      <c r="E16223" s="4" t="s">
        <v>22</v>
      </c>
      <c r="F16223" s="4" t="s">
        <v>81862</v>
      </c>
      <c r="G16223" s="4" t="s">
        <v>81863</v>
      </c>
      <c r="H16223" s="3" t="s">
        <v>79360</v>
      </c>
      <c r="I16223" s="3" t="s">
        <v>6991</v>
      </c>
      <c r="J16223" s="3" t="s">
        <v>664</v>
      </c>
      <c r="K16223" s="3" t="s">
        <v>81864</v>
      </c>
      <c r="L16223" s="3"/>
      <c r="M16223" s="4"/>
      <c r="N16223" s="3" t="s">
        <v>37</v>
      </c>
      <c r="O16223" s="3" t="s">
        <v>38</v>
      </c>
      <c r="P16223" s="5">
        <v>2</v>
      </c>
      <c r="Q16223" s="5">
        <v>26</v>
      </c>
      <c r="R16223" s="5">
        <v>2</v>
      </c>
      <c r="S16223" s="5">
        <v>27</v>
      </c>
    </row>
    <row r="16224" spans="1:19" ht="28" x14ac:dyDescent="0.15">
      <c r="A16224" s="2">
        <f>HYPERLINK("https://open-school.uspishnemisto.com.ua/school/740538/", 740538)</f>
        <v>740538</v>
      </c>
      <c r="B16224" s="3" t="s">
        <v>81865</v>
      </c>
      <c r="C16224" s="3" t="s">
        <v>31</v>
      </c>
      <c r="D16224" s="3" t="s">
        <v>32</v>
      </c>
      <c r="E16224" s="4" t="s">
        <v>22</v>
      </c>
      <c r="F16224" s="4" t="s">
        <v>81866</v>
      </c>
      <c r="G16224" s="4" t="s">
        <v>81867</v>
      </c>
      <c r="H16224" s="3" t="s">
        <v>79360</v>
      </c>
      <c r="I16224" s="3" t="s">
        <v>81868</v>
      </c>
      <c r="J16224" s="3" t="s">
        <v>81869</v>
      </c>
      <c r="K16224" s="3" t="s">
        <v>81870</v>
      </c>
      <c r="L16224" s="3" t="s">
        <v>81871</v>
      </c>
      <c r="M16224" s="4"/>
      <c r="N16224" s="3" t="s">
        <v>37</v>
      </c>
      <c r="O16224" s="3" t="s">
        <v>52</v>
      </c>
      <c r="P16224" s="5">
        <v>5</v>
      </c>
      <c r="Q16224" s="5">
        <v>37</v>
      </c>
      <c r="R16224" s="5">
        <v>4</v>
      </c>
      <c r="S16224" s="5">
        <v>40</v>
      </c>
    </row>
    <row r="16225" spans="1:19" ht="28" x14ac:dyDescent="0.15">
      <c r="A16225" s="2">
        <f>HYPERLINK("https://open-school.uspishnemisto.com.ua/school/740539/", 740539)</f>
        <v>740539</v>
      </c>
      <c r="B16225" s="3" t="s">
        <v>81872</v>
      </c>
      <c r="C16225" s="3" t="s">
        <v>31</v>
      </c>
      <c r="D16225" s="3" t="s">
        <v>175</v>
      </c>
      <c r="E16225" s="4" t="s">
        <v>22</v>
      </c>
      <c r="F16225" s="4" t="s">
        <v>81873</v>
      </c>
      <c r="G16225" s="4" t="s">
        <v>81874</v>
      </c>
      <c r="H16225" s="3" t="s">
        <v>79360</v>
      </c>
      <c r="I16225" s="3" t="s">
        <v>19024</v>
      </c>
      <c r="J16225" s="3" t="s">
        <v>81875</v>
      </c>
      <c r="K16225" s="3" t="s">
        <v>81876</v>
      </c>
      <c r="L16225" s="3"/>
      <c r="M16225" s="4"/>
      <c r="N16225" s="3" t="s">
        <v>37</v>
      </c>
      <c r="O16225" s="3" t="s">
        <v>38</v>
      </c>
      <c r="P16225" s="5">
        <v>2</v>
      </c>
      <c r="Q16225" s="5">
        <v>26</v>
      </c>
      <c r="R16225" s="5">
        <v>1</v>
      </c>
      <c r="S16225" s="5">
        <v>26</v>
      </c>
    </row>
    <row r="16226" spans="1:19" ht="42" x14ac:dyDescent="0.15">
      <c r="A16226" s="2">
        <f>HYPERLINK("https://open-school.uspishnemisto.com.ua/school/740540/", 740540)</f>
        <v>740540</v>
      </c>
      <c r="B16226" s="3" t="s">
        <v>81877</v>
      </c>
      <c r="C16226" s="3" t="s">
        <v>31</v>
      </c>
      <c r="D16226" s="3" t="s">
        <v>175</v>
      </c>
      <c r="E16226" s="4" t="s">
        <v>22</v>
      </c>
      <c r="F16226" s="4" t="s">
        <v>81878</v>
      </c>
      <c r="G16226" s="4" t="s">
        <v>81879</v>
      </c>
      <c r="H16226" s="3" t="s">
        <v>79360</v>
      </c>
      <c r="I16226" s="3" t="s">
        <v>44322</v>
      </c>
      <c r="J16226" s="3" t="s">
        <v>80827</v>
      </c>
      <c r="K16226" s="3" t="s">
        <v>81880</v>
      </c>
      <c r="L16226" s="3"/>
      <c r="M16226" s="4"/>
      <c r="N16226" s="3" t="s">
        <v>37</v>
      </c>
      <c r="O16226" s="3" t="s">
        <v>38</v>
      </c>
      <c r="P16226" s="5">
        <v>3</v>
      </c>
      <c r="Q16226" s="5">
        <v>31</v>
      </c>
      <c r="R16226" s="5">
        <v>4</v>
      </c>
      <c r="S16226" s="5">
        <v>37</v>
      </c>
    </row>
    <row r="16227" spans="1:19" ht="28" x14ac:dyDescent="0.15">
      <c r="A16227" s="2">
        <f>HYPERLINK("https://open-school.uspishnemisto.com.ua/school/740541/", 740541)</f>
        <v>740541</v>
      </c>
      <c r="B16227" s="3" t="s">
        <v>81881</v>
      </c>
      <c r="C16227" s="3" t="s">
        <v>31</v>
      </c>
      <c r="D16227" s="3" t="s">
        <v>32</v>
      </c>
      <c r="E16227" s="4" t="s">
        <v>22</v>
      </c>
      <c r="F16227" s="4" t="s">
        <v>81882</v>
      </c>
      <c r="G16227" s="4" t="s">
        <v>81883</v>
      </c>
      <c r="H16227" s="3" t="s">
        <v>79360</v>
      </c>
      <c r="I16227" s="3" t="s">
        <v>81884</v>
      </c>
      <c r="J16227" s="3" t="s">
        <v>7451</v>
      </c>
      <c r="K16227" s="3" t="s">
        <v>81885</v>
      </c>
      <c r="L16227" s="3" t="s">
        <v>81886</v>
      </c>
      <c r="M16227" s="4"/>
      <c r="N16227" s="3" t="s">
        <v>37</v>
      </c>
      <c r="O16227" s="3" t="s">
        <v>52</v>
      </c>
      <c r="P16227" s="5">
        <v>19</v>
      </c>
      <c r="Q16227" s="5">
        <v>322</v>
      </c>
      <c r="R16227" s="5">
        <v>17</v>
      </c>
      <c r="S16227" s="5">
        <v>300</v>
      </c>
    </row>
    <row r="16228" spans="1:19" ht="28" x14ac:dyDescent="0.15">
      <c r="A16228" s="2">
        <f>HYPERLINK("https://open-school.uspishnemisto.com.ua/school/740542/", 740542)</f>
        <v>740542</v>
      </c>
      <c r="B16228" s="3" t="s">
        <v>81887</v>
      </c>
      <c r="C16228" s="3" t="s">
        <v>31</v>
      </c>
      <c r="D16228" s="3" t="s">
        <v>32</v>
      </c>
      <c r="E16228" s="4" t="s">
        <v>22</v>
      </c>
      <c r="F16228" s="4" t="s">
        <v>81888</v>
      </c>
      <c r="G16228" s="4" t="s">
        <v>81889</v>
      </c>
      <c r="H16228" s="3" t="s">
        <v>79360</v>
      </c>
      <c r="I16228" s="3" t="s">
        <v>81890</v>
      </c>
      <c r="J16228" s="3" t="s">
        <v>46218</v>
      </c>
      <c r="K16228" s="3" t="s">
        <v>81891</v>
      </c>
      <c r="L16228" s="3"/>
      <c r="M16228" s="4"/>
      <c r="N16228" s="3" t="s">
        <v>37</v>
      </c>
      <c r="O16228" s="3" t="s">
        <v>38</v>
      </c>
      <c r="P16228" s="5">
        <v>11</v>
      </c>
      <c r="Q16228" s="5">
        <v>136</v>
      </c>
      <c r="R16228" s="5">
        <v>11</v>
      </c>
      <c r="S16228" s="5">
        <v>124</v>
      </c>
    </row>
    <row r="16229" spans="1:19" ht="56" x14ac:dyDescent="0.15">
      <c r="A16229" s="2">
        <f>HYPERLINK("https://open-school.uspishnemisto.com.ua/school/740543/", 740543)</f>
        <v>740543</v>
      </c>
      <c r="B16229" s="3" t="s">
        <v>81892</v>
      </c>
      <c r="C16229" s="3" t="s">
        <v>54</v>
      </c>
      <c r="D16229" s="3" t="s">
        <v>32</v>
      </c>
      <c r="E16229" s="4" t="s">
        <v>22</v>
      </c>
      <c r="F16229" s="4" t="s">
        <v>81893</v>
      </c>
      <c r="G16229" s="4" t="s">
        <v>81894</v>
      </c>
      <c r="H16229" s="3" t="s">
        <v>79360</v>
      </c>
      <c r="I16229" s="3" t="s">
        <v>81895</v>
      </c>
      <c r="J16229" s="3" t="s">
        <v>466</v>
      </c>
      <c r="K16229" s="3" t="s">
        <v>81896</v>
      </c>
      <c r="L16229" s="3"/>
      <c r="M16229" s="4"/>
      <c r="N16229" s="3" t="s">
        <v>37</v>
      </c>
      <c r="O16229" s="3" t="s">
        <v>38</v>
      </c>
      <c r="P16229" s="5">
        <v>11</v>
      </c>
      <c r="Q16229" s="5">
        <v>158</v>
      </c>
      <c r="R16229" s="5">
        <v>11</v>
      </c>
      <c r="S16229" s="5">
        <v>157</v>
      </c>
    </row>
    <row r="16230" spans="1:19" ht="42" x14ac:dyDescent="0.15">
      <c r="A16230" s="2">
        <f>HYPERLINK("https://open-school.uspishnemisto.com.ua/school/740545/", 740545)</f>
        <v>740545</v>
      </c>
      <c r="B16230" s="3" t="s">
        <v>81897</v>
      </c>
      <c r="C16230" s="3" t="s">
        <v>31</v>
      </c>
      <c r="D16230" s="3" t="s">
        <v>32</v>
      </c>
      <c r="E16230" s="4" t="s">
        <v>22</v>
      </c>
      <c r="F16230" s="4" t="s">
        <v>81898</v>
      </c>
      <c r="G16230" s="4" t="s">
        <v>81899</v>
      </c>
      <c r="H16230" s="3" t="s">
        <v>79360</v>
      </c>
      <c r="I16230" s="3" t="s">
        <v>81900</v>
      </c>
      <c r="J16230" s="3" t="s">
        <v>2245</v>
      </c>
      <c r="K16230" s="3" t="s">
        <v>81901</v>
      </c>
      <c r="L16230" s="3"/>
      <c r="M16230" s="4"/>
      <c r="N16230" s="3" t="s">
        <v>37</v>
      </c>
      <c r="O16230" s="3" t="s">
        <v>38</v>
      </c>
      <c r="P16230" s="5">
        <v>10</v>
      </c>
      <c r="Q16230" s="5">
        <v>97</v>
      </c>
      <c r="R16230" s="5">
        <v>10</v>
      </c>
      <c r="S16230" s="5">
        <v>103</v>
      </c>
    </row>
    <row r="16231" spans="1:19" ht="28" x14ac:dyDescent="0.15">
      <c r="A16231" s="2">
        <f>HYPERLINK("https://open-school.uspishnemisto.com.ua/school/740546/", 740546)</f>
        <v>740546</v>
      </c>
      <c r="B16231" s="3" t="s">
        <v>81902</v>
      </c>
      <c r="C16231" s="3" t="s">
        <v>293</v>
      </c>
      <c r="D16231" s="3" t="s">
        <v>175</v>
      </c>
      <c r="E16231" s="4" t="s">
        <v>22</v>
      </c>
      <c r="F16231" s="4" t="s">
        <v>81903</v>
      </c>
      <c r="G16231" s="4" t="s">
        <v>81904</v>
      </c>
      <c r="H16231" s="3" t="s">
        <v>79360</v>
      </c>
      <c r="I16231" s="3" t="s">
        <v>81905</v>
      </c>
      <c r="J16231" s="3" t="s">
        <v>81906</v>
      </c>
      <c r="K16231" s="3" t="s">
        <v>81907</v>
      </c>
      <c r="L16231" s="3" t="s">
        <v>81908</v>
      </c>
      <c r="M16231" s="4" t="s">
        <v>81909</v>
      </c>
      <c r="N16231" s="3" t="s">
        <v>37</v>
      </c>
      <c r="O16231" s="3" t="s">
        <v>38</v>
      </c>
      <c r="P16231" s="5">
        <v>9</v>
      </c>
      <c r="Q16231" s="5">
        <v>76</v>
      </c>
      <c r="R16231" s="5">
        <v>9</v>
      </c>
      <c r="S16231" s="5">
        <v>92</v>
      </c>
    </row>
    <row r="16232" spans="1:19" ht="42" x14ac:dyDescent="0.15">
      <c r="A16232" s="2">
        <f>HYPERLINK("https://open-school.uspishnemisto.com.ua/school/740547/", 740547)</f>
        <v>740547</v>
      </c>
      <c r="B16232" s="3" t="s">
        <v>81910</v>
      </c>
      <c r="C16232" s="3" t="s">
        <v>31</v>
      </c>
      <c r="D16232" s="3" t="s">
        <v>32</v>
      </c>
      <c r="E16232" s="4" t="s">
        <v>22</v>
      </c>
      <c r="F16232" s="4" t="s">
        <v>81903</v>
      </c>
      <c r="G16232" s="4" t="s">
        <v>81904</v>
      </c>
      <c r="H16232" s="3" t="s">
        <v>79360</v>
      </c>
      <c r="I16232" s="3" t="s">
        <v>81905</v>
      </c>
      <c r="J16232" s="3" t="s">
        <v>5878</v>
      </c>
      <c r="K16232" s="3" t="s">
        <v>81911</v>
      </c>
      <c r="L16232" s="3"/>
      <c r="M16232" s="4"/>
      <c r="N16232" s="3" t="s">
        <v>37</v>
      </c>
      <c r="O16232" s="3" t="s">
        <v>38</v>
      </c>
      <c r="P16232" s="5">
        <v>11</v>
      </c>
      <c r="Q16232" s="5">
        <v>275</v>
      </c>
      <c r="R16232" s="5">
        <v>10</v>
      </c>
      <c r="S16232" s="5">
        <v>254</v>
      </c>
    </row>
    <row r="16233" spans="1:19" ht="42" x14ac:dyDescent="0.15">
      <c r="A16233" s="2">
        <f>HYPERLINK("https://open-school.uspishnemisto.com.ua/school/740548/", 740548)</f>
        <v>740548</v>
      </c>
      <c r="B16233" s="3" t="s">
        <v>81912</v>
      </c>
      <c r="C16233" s="3" t="s">
        <v>31</v>
      </c>
      <c r="D16233" s="3" t="s">
        <v>32</v>
      </c>
      <c r="E16233" s="4" t="s">
        <v>22</v>
      </c>
      <c r="F16233" s="4" t="s">
        <v>81903</v>
      </c>
      <c r="G16233" s="4" t="s">
        <v>81904</v>
      </c>
      <c r="H16233" s="3" t="s">
        <v>79360</v>
      </c>
      <c r="I16233" s="3" t="s">
        <v>81905</v>
      </c>
      <c r="J16233" s="3" t="s">
        <v>81913</v>
      </c>
      <c r="K16233" s="3" t="s">
        <v>81914</v>
      </c>
      <c r="L16233" s="3" t="s">
        <v>81915</v>
      </c>
      <c r="M16233" s="4"/>
      <c r="N16233" s="3" t="s">
        <v>37</v>
      </c>
      <c r="O16233" s="3" t="s">
        <v>70</v>
      </c>
      <c r="P16233" s="5">
        <v>22</v>
      </c>
      <c r="Q16233" s="5">
        <v>554</v>
      </c>
      <c r="R16233" s="5">
        <v>21</v>
      </c>
      <c r="S16233" s="5">
        <v>538</v>
      </c>
    </row>
    <row r="16234" spans="1:19" ht="28" x14ac:dyDescent="0.15">
      <c r="A16234" s="2">
        <f>HYPERLINK("https://open-school.uspishnemisto.com.ua/school/740549/", 740549)</f>
        <v>740549</v>
      </c>
      <c r="B16234" s="3" t="s">
        <v>81916</v>
      </c>
      <c r="C16234" s="3" t="s">
        <v>40</v>
      </c>
      <c r="D16234" s="3" t="s">
        <v>32</v>
      </c>
      <c r="E16234" s="4" t="s">
        <v>22</v>
      </c>
      <c r="F16234" s="4" t="s">
        <v>81903</v>
      </c>
      <c r="G16234" s="4" t="s">
        <v>81904</v>
      </c>
      <c r="H16234" s="3" t="s">
        <v>79360</v>
      </c>
      <c r="I16234" s="3" t="s">
        <v>81905</v>
      </c>
      <c r="J16234" s="3" t="s">
        <v>3393</v>
      </c>
      <c r="K16234" s="3" t="s">
        <v>81917</v>
      </c>
      <c r="L16234" s="3"/>
      <c r="M16234" s="4"/>
      <c r="N16234" s="3" t="s">
        <v>37</v>
      </c>
      <c r="O16234" s="3" t="s">
        <v>70</v>
      </c>
      <c r="P16234" s="5">
        <v>13</v>
      </c>
      <c r="Q16234" s="5">
        <v>260</v>
      </c>
      <c r="R16234" s="5">
        <v>13</v>
      </c>
      <c r="S16234" s="5">
        <v>251</v>
      </c>
    </row>
    <row r="16235" spans="1:19" ht="56" x14ac:dyDescent="0.15">
      <c r="A16235" s="2">
        <f>HYPERLINK("https://open-school.uspishnemisto.com.ua/school/740550/", 740550)</f>
        <v>740550</v>
      </c>
      <c r="B16235" s="3" t="s">
        <v>81918</v>
      </c>
      <c r="C16235" s="3" t="s">
        <v>54</v>
      </c>
      <c r="D16235" s="3" t="s">
        <v>60</v>
      </c>
      <c r="E16235" s="4" t="s">
        <v>22</v>
      </c>
      <c r="F16235" s="4" t="s">
        <v>81903</v>
      </c>
      <c r="G16235" s="4" t="s">
        <v>81904</v>
      </c>
      <c r="H16235" s="3" t="s">
        <v>79360</v>
      </c>
      <c r="I16235" s="3" t="s">
        <v>81905</v>
      </c>
      <c r="J16235" s="3" t="s">
        <v>81919</v>
      </c>
      <c r="K16235" s="3" t="s">
        <v>81920</v>
      </c>
      <c r="L16235" s="3" t="s">
        <v>81921</v>
      </c>
      <c r="M16235" s="4" t="s">
        <v>81922</v>
      </c>
      <c r="N16235" s="3" t="s">
        <v>37</v>
      </c>
      <c r="O16235" s="3" t="s">
        <v>52</v>
      </c>
      <c r="P16235" s="5">
        <v>8</v>
      </c>
      <c r="Q16235" s="5">
        <v>172</v>
      </c>
      <c r="R16235" s="5">
        <v>8</v>
      </c>
      <c r="S16235" s="5">
        <v>169</v>
      </c>
    </row>
    <row r="16236" spans="1:19" ht="42" x14ac:dyDescent="0.15">
      <c r="A16236" s="2">
        <f>HYPERLINK("https://open-school.uspishnemisto.com.ua/school/740551/", 740551)</f>
        <v>740551</v>
      </c>
      <c r="B16236" s="3" t="s">
        <v>81923</v>
      </c>
      <c r="C16236" s="3" t="s">
        <v>54</v>
      </c>
      <c r="D16236" s="3" t="s">
        <v>175</v>
      </c>
      <c r="E16236" s="4" t="s">
        <v>22</v>
      </c>
      <c r="F16236" s="4" t="s">
        <v>81924</v>
      </c>
      <c r="G16236" s="4" t="s">
        <v>81925</v>
      </c>
      <c r="H16236" s="3" t="s">
        <v>79360</v>
      </c>
      <c r="I16236" s="3" t="s">
        <v>81926</v>
      </c>
      <c r="J16236" s="3" t="s">
        <v>81927</v>
      </c>
      <c r="K16236" s="3" t="s">
        <v>81928</v>
      </c>
      <c r="L16236" s="3"/>
      <c r="M16236" s="4"/>
      <c r="N16236" s="3" t="s">
        <v>37</v>
      </c>
      <c r="O16236" s="3" t="s">
        <v>38</v>
      </c>
      <c r="P16236" s="5">
        <v>8</v>
      </c>
      <c r="Q16236" s="5">
        <v>84</v>
      </c>
      <c r="R16236" s="5">
        <v>7</v>
      </c>
      <c r="S16236" s="5">
        <v>69</v>
      </c>
    </row>
    <row r="16237" spans="1:19" ht="28" x14ac:dyDescent="0.15">
      <c r="A16237" s="2">
        <f>HYPERLINK("https://open-school.uspishnemisto.com.ua/school/740552/", 740552)</f>
        <v>740552</v>
      </c>
      <c r="B16237" s="3" t="s">
        <v>81929</v>
      </c>
      <c r="C16237" s="3" t="s">
        <v>31</v>
      </c>
      <c r="D16237" s="3" t="s">
        <v>175</v>
      </c>
      <c r="E16237" s="4" t="s">
        <v>22</v>
      </c>
      <c r="F16237" s="4" t="s">
        <v>81930</v>
      </c>
      <c r="G16237" s="4" t="s">
        <v>81931</v>
      </c>
      <c r="H16237" s="3" t="s">
        <v>79360</v>
      </c>
      <c r="I16237" s="3" t="s">
        <v>81932</v>
      </c>
      <c r="J16237" s="3" t="s">
        <v>81933</v>
      </c>
      <c r="K16237" s="3" t="s">
        <v>81934</v>
      </c>
      <c r="L16237" s="3"/>
      <c r="M16237" s="4"/>
      <c r="N16237" s="3" t="s">
        <v>37</v>
      </c>
      <c r="O16237" s="3" t="s">
        <v>70</v>
      </c>
      <c r="P16237" s="5">
        <v>3</v>
      </c>
      <c r="Q16237" s="5">
        <v>30</v>
      </c>
      <c r="R16237" s="5">
        <v>2</v>
      </c>
      <c r="S16237" s="5">
        <v>26</v>
      </c>
    </row>
    <row r="16238" spans="1:19" ht="28" x14ac:dyDescent="0.15">
      <c r="A16238" s="2">
        <f>HYPERLINK("https://open-school.uspishnemisto.com.ua/school/740553/", 740553)</f>
        <v>740553</v>
      </c>
      <c r="B16238" s="3" t="s">
        <v>81935</v>
      </c>
      <c r="C16238" s="3" t="s">
        <v>31</v>
      </c>
      <c r="D16238" s="3" t="s">
        <v>32</v>
      </c>
      <c r="E16238" s="4" t="s">
        <v>22</v>
      </c>
      <c r="F16238" s="4" t="s">
        <v>81936</v>
      </c>
      <c r="G16238" s="4" t="s">
        <v>81937</v>
      </c>
      <c r="H16238" s="3" t="s">
        <v>79360</v>
      </c>
      <c r="I16238" s="3" t="s">
        <v>81938</v>
      </c>
      <c r="J16238" s="3" t="s">
        <v>31025</v>
      </c>
      <c r="K16238" s="3" t="s">
        <v>81939</v>
      </c>
      <c r="L16238" s="3"/>
      <c r="M16238" s="4"/>
      <c r="N16238" s="3" t="s">
        <v>37</v>
      </c>
      <c r="O16238" s="3" t="s">
        <v>52</v>
      </c>
      <c r="P16238" s="5">
        <v>11</v>
      </c>
      <c r="Q16238" s="5">
        <v>100</v>
      </c>
      <c r="R16238" s="5">
        <v>11</v>
      </c>
      <c r="S16238" s="5">
        <v>95</v>
      </c>
    </row>
    <row r="16239" spans="1:19" ht="56" x14ac:dyDescent="0.15">
      <c r="A16239" s="2">
        <f>HYPERLINK("https://open-school.uspishnemisto.com.ua/school/740554/", 740554)</f>
        <v>740554</v>
      </c>
      <c r="B16239" s="3" t="s">
        <v>81940</v>
      </c>
      <c r="C16239" s="3" t="s">
        <v>54</v>
      </c>
      <c r="D16239" s="3" t="s">
        <v>32</v>
      </c>
      <c r="E16239" s="4" t="s">
        <v>22</v>
      </c>
      <c r="F16239" s="4" t="s">
        <v>81941</v>
      </c>
      <c r="G16239" s="4" t="s">
        <v>81942</v>
      </c>
      <c r="H16239" s="3" t="s">
        <v>79360</v>
      </c>
      <c r="I16239" s="3" t="s">
        <v>81943</v>
      </c>
      <c r="J16239" s="3" t="s">
        <v>81944</v>
      </c>
      <c r="K16239" s="3" t="s">
        <v>81945</v>
      </c>
      <c r="L16239" s="3"/>
      <c r="M16239" s="4"/>
      <c r="N16239" s="3" t="s">
        <v>37</v>
      </c>
      <c r="O16239" s="3" t="s">
        <v>46</v>
      </c>
      <c r="P16239" s="5">
        <v>11</v>
      </c>
      <c r="Q16239" s="5">
        <v>127</v>
      </c>
      <c r="R16239" s="5">
        <v>11</v>
      </c>
      <c r="S16239" s="5">
        <v>136</v>
      </c>
    </row>
    <row r="16240" spans="1:19" ht="42" x14ac:dyDescent="0.15">
      <c r="A16240" s="2">
        <f>HYPERLINK("https://open-school.uspishnemisto.com.ua/school/740555/", 740555)</f>
        <v>740555</v>
      </c>
      <c r="B16240" s="3" t="s">
        <v>81946</v>
      </c>
      <c r="C16240" s="3" t="s">
        <v>54</v>
      </c>
      <c r="D16240" s="3" t="s">
        <v>32</v>
      </c>
      <c r="E16240" s="4" t="s">
        <v>22</v>
      </c>
      <c r="F16240" s="4" t="s">
        <v>81947</v>
      </c>
      <c r="G16240" s="4" t="s">
        <v>81948</v>
      </c>
      <c r="H16240" s="3" t="s">
        <v>79360</v>
      </c>
      <c r="I16240" s="3" t="s">
        <v>12478</v>
      </c>
      <c r="J16240" s="3" t="s">
        <v>1792</v>
      </c>
      <c r="K16240" s="3" t="s">
        <v>81949</v>
      </c>
      <c r="L16240" s="3"/>
      <c r="M16240" s="4"/>
      <c r="N16240" s="3" t="s">
        <v>37</v>
      </c>
      <c r="O16240" s="3" t="s">
        <v>52</v>
      </c>
      <c r="P16240" s="5">
        <v>11</v>
      </c>
      <c r="Q16240" s="5">
        <v>166</v>
      </c>
      <c r="R16240" s="5">
        <v>11</v>
      </c>
      <c r="S16240" s="5">
        <v>139</v>
      </c>
    </row>
    <row r="16241" spans="1:19" ht="56" x14ac:dyDescent="0.15">
      <c r="A16241" s="2">
        <f>HYPERLINK("https://open-school.uspishnemisto.com.ua/school/740556/", 740556)</f>
        <v>740556</v>
      </c>
      <c r="B16241" s="3" t="s">
        <v>81950</v>
      </c>
      <c r="C16241" s="3" t="s">
        <v>54</v>
      </c>
      <c r="D16241" s="3" t="s">
        <v>32</v>
      </c>
      <c r="E16241" s="4" t="s">
        <v>22</v>
      </c>
      <c r="F16241" s="4" t="s">
        <v>81951</v>
      </c>
      <c r="G16241" s="4" t="s">
        <v>81952</v>
      </c>
      <c r="H16241" s="3" t="s">
        <v>79360</v>
      </c>
      <c r="I16241" s="3" t="s">
        <v>81953</v>
      </c>
      <c r="J16241" s="3" t="s">
        <v>2745</v>
      </c>
      <c r="K16241" s="3" t="s">
        <v>81954</v>
      </c>
      <c r="L16241" s="3"/>
      <c r="M16241" s="4"/>
      <c r="N16241" s="3" t="s">
        <v>37</v>
      </c>
      <c r="O16241" s="3" t="s">
        <v>38</v>
      </c>
      <c r="P16241" s="5">
        <v>11</v>
      </c>
      <c r="Q16241" s="5">
        <v>114</v>
      </c>
      <c r="R16241" s="5">
        <v>10</v>
      </c>
      <c r="S16241" s="5">
        <v>105</v>
      </c>
    </row>
    <row r="16242" spans="1:19" ht="56" x14ac:dyDescent="0.15">
      <c r="A16242" s="2">
        <f>HYPERLINK("https://open-school.uspishnemisto.com.ua/school/740558/", 740558)</f>
        <v>740558</v>
      </c>
      <c r="B16242" s="3" t="s">
        <v>81955</v>
      </c>
      <c r="C16242" s="3" t="s">
        <v>54</v>
      </c>
      <c r="D16242" s="3" t="s">
        <v>175</v>
      </c>
      <c r="E16242" s="4" t="s">
        <v>22</v>
      </c>
      <c r="F16242" s="4" t="s">
        <v>81956</v>
      </c>
      <c r="G16242" s="4" t="s">
        <v>81957</v>
      </c>
      <c r="H16242" s="3" t="s">
        <v>79360</v>
      </c>
      <c r="I16242" s="3" t="s">
        <v>81958</v>
      </c>
      <c r="J16242" s="3" t="s">
        <v>81959</v>
      </c>
      <c r="K16242" s="3" t="s">
        <v>81960</v>
      </c>
      <c r="L16242" s="3"/>
      <c r="M16242" s="4"/>
      <c r="N16242" s="3" t="s">
        <v>37</v>
      </c>
      <c r="O16242" s="3" t="s">
        <v>38</v>
      </c>
      <c r="P16242" s="5">
        <v>7</v>
      </c>
      <c r="Q16242" s="5">
        <v>45</v>
      </c>
      <c r="R16242" s="5">
        <v>6</v>
      </c>
      <c r="S16242" s="5">
        <v>39</v>
      </c>
    </row>
    <row r="16243" spans="1:19" ht="42" x14ac:dyDescent="0.15">
      <c r="A16243" s="2">
        <f>HYPERLINK("https://open-school.uspishnemisto.com.ua/school/740559/", 740559)</f>
        <v>740559</v>
      </c>
      <c r="B16243" s="3" t="s">
        <v>81961</v>
      </c>
      <c r="C16243" s="3" t="s">
        <v>31</v>
      </c>
      <c r="D16243" s="3" t="s">
        <v>32</v>
      </c>
      <c r="E16243" s="4" t="s">
        <v>22</v>
      </c>
      <c r="F16243" s="4" t="s">
        <v>81962</v>
      </c>
      <c r="G16243" s="4" t="s">
        <v>81963</v>
      </c>
      <c r="H16243" s="3" t="s">
        <v>79360</v>
      </c>
      <c r="I16243" s="3" t="s">
        <v>81964</v>
      </c>
      <c r="J16243" s="3" t="s">
        <v>81965</v>
      </c>
      <c r="K16243" s="3" t="s">
        <v>81966</v>
      </c>
      <c r="L16243" s="3"/>
      <c r="M16243" s="4"/>
      <c r="N16243" s="3" t="s">
        <v>37</v>
      </c>
      <c r="O16243" s="3" t="s">
        <v>46</v>
      </c>
      <c r="P16243" s="5">
        <v>11</v>
      </c>
      <c r="Q16243" s="5">
        <v>86</v>
      </c>
      <c r="R16243" s="5">
        <v>11</v>
      </c>
      <c r="S16243" s="5">
        <v>99</v>
      </c>
    </row>
    <row r="16244" spans="1:19" ht="56" x14ac:dyDescent="0.15">
      <c r="A16244" s="2">
        <f>HYPERLINK("https://open-school.uspishnemisto.com.ua/school/740560/", 740560)</f>
        <v>740560</v>
      </c>
      <c r="B16244" s="3" t="s">
        <v>81967</v>
      </c>
      <c r="C16244" s="3" t="s">
        <v>54</v>
      </c>
      <c r="D16244" s="3" t="s">
        <v>175</v>
      </c>
      <c r="E16244" s="4" t="s">
        <v>22</v>
      </c>
      <c r="F16244" s="4" t="s">
        <v>81968</v>
      </c>
      <c r="G16244" s="4" t="s">
        <v>81969</v>
      </c>
      <c r="H16244" s="3" t="s">
        <v>79360</v>
      </c>
      <c r="I16244" s="3" t="s">
        <v>39493</v>
      </c>
      <c r="J16244" s="3" t="s">
        <v>81970</v>
      </c>
      <c r="K16244" s="3" t="s">
        <v>81971</v>
      </c>
      <c r="L16244" s="3"/>
      <c r="M16244" s="4"/>
      <c r="N16244" s="3" t="s">
        <v>37</v>
      </c>
      <c r="O16244" s="3" t="s">
        <v>70</v>
      </c>
      <c r="P16244" s="5">
        <v>7</v>
      </c>
      <c r="Q16244" s="5">
        <v>66</v>
      </c>
      <c r="R16244" s="5">
        <v>7</v>
      </c>
      <c r="S16244" s="5">
        <v>69</v>
      </c>
    </row>
    <row r="16245" spans="1:19" ht="28" x14ac:dyDescent="0.15">
      <c r="A16245" s="2">
        <f>HYPERLINK("https://open-school.uspishnemisto.com.ua/school/800004/", 800004)</f>
        <v>800004</v>
      </c>
      <c r="B16245" s="3" t="s">
        <v>81972</v>
      </c>
      <c r="C16245" s="3" t="s">
        <v>40</v>
      </c>
      <c r="D16245" s="3" t="s">
        <v>32</v>
      </c>
      <c r="E16245" s="4" t="s">
        <v>22</v>
      </c>
      <c r="F16245" s="4" t="s">
        <v>81973</v>
      </c>
      <c r="G16245" s="4" t="s">
        <v>81974</v>
      </c>
      <c r="H16245" s="3" t="s">
        <v>81975</v>
      </c>
      <c r="I16245" s="3" t="s">
        <v>81976</v>
      </c>
      <c r="J16245" s="3" t="s">
        <v>81977</v>
      </c>
      <c r="K16245" s="3" t="s">
        <v>81978</v>
      </c>
      <c r="L16245" s="3" t="s">
        <v>81979</v>
      </c>
      <c r="M16245" s="4"/>
      <c r="N16245" s="3" t="s">
        <v>37</v>
      </c>
      <c r="O16245" s="3" t="s">
        <v>46</v>
      </c>
      <c r="P16245" s="5">
        <v>38</v>
      </c>
      <c r="Q16245" s="5">
        <v>1277</v>
      </c>
      <c r="R16245" s="5">
        <v>37</v>
      </c>
      <c r="S16245" s="5">
        <v>1202</v>
      </c>
    </row>
    <row r="16246" spans="1:19" ht="28" x14ac:dyDescent="0.15">
      <c r="A16246" s="2">
        <f>HYPERLINK("https://open-school.uspishnemisto.com.ua/school/800005/", 800005)</f>
        <v>800005</v>
      </c>
      <c r="B16246" s="3" t="s">
        <v>81980</v>
      </c>
      <c r="C16246" s="3" t="s">
        <v>40</v>
      </c>
      <c r="D16246" s="3" t="s">
        <v>32</v>
      </c>
      <c r="E16246" s="4" t="s">
        <v>22</v>
      </c>
      <c r="F16246" s="4" t="s">
        <v>81981</v>
      </c>
      <c r="G16246" s="4" t="s">
        <v>81974</v>
      </c>
      <c r="H16246" s="3" t="s">
        <v>81975</v>
      </c>
      <c r="I16246" s="3" t="s">
        <v>81976</v>
      </c>
      <c r="J16246" s="3" t="s">
        <v>81982</v>
      </c>
      <c r="K16246" s="3" t="s">
        <v>81983</v>
      </c>
      <c r="L16246" s="3" t="s">
        <v>81984</v>
      </c>
      <c r="M16246" s="4"/>
      <c r="N16246" s="3" t="s">
        <v>37</v>
      </c>
      <c r="O16246" s="3" t="s">
        <v>46</v>
      </c>
      <c r="P16246" s="5">
        <v>37</v>
      </c>
      <c r="Q16246" s="5">
        <v>1113</v>
      </c>
      <c r="R16246" s="5">
        <v>36</v>
      </c>
      <c r="S16246" s="5">
        <v>1073</v>
      </c>
    </row>
    <row r="16247" spans="1:19" ht="28" x14ac:dyDescent="0.15">
      <c r="A16247" s="2">
        <f>HYPERLINK("https://open-school.uspishnemisto.com.ua/school/800006/", 800006)</f>
        <v>800006</v>
      </c>
      <c r="B16247" s="3" t="s">
        <v>81985</v>
      </c>
      <c r="C16247" s="3" t="s">
        <v>188</v>
      </c>
      <c r="D16247" s="3" t="s">
        <v>32</v>
      </c>
      <c r="E16247" s="4" t="s">
        <v>22</v>
      </c>
      <c r="F16247" s="4" t="s">
        <v>81986</v>
      </c>
      <c r="G16247" s="4" t="s">
        <v>81974</v>
      </c>
      <c r="H16247" s="3" t="s">
        <v>81975</v>
      </c>
      <c r="I16247" s="3" t="s">
        <v>81976</v>
      </c>
      <c r="J16247" s="3" t="s">
        <v>81987</v>
      </c>
      <c r="K16247" s="3" t="s">
        <v>81988</v>
      </c>
      <c r="L16247" s="3" t="s">
        <v>81989</v>
      </c>
      <c r="M16247" s="4"/>
      <c r="N16247" s="3" t="s">
        <v>37</v>
      </c>
      <c r="O16247" s="3" t="s">
        <v>52</v>
      </c>
      <c r="P16247" s="5">
        <v>11</v>
      </c>
      <c r="Q16247" s="5">
        <v>259</v>
      </c>
      <c r="R16247" s="5">
        <v>12</v>
      </c>
      <c r="S16247" s="5">
        <v>278</v>
      </c>
    </row>
    <row r="16248" spans="1:19" ht="28" x14ac:dyDescent="0.15">
      <c r="A16248" s="2">
        <f>HYPERLINK("https://open-school.uspishnemisto.com.ua/school/800007/", 800007)</f>
        <v>800007</v>
      </c>
      <c r="B16248" s="3" t="s">
        <v>81990</v>
      </c>
      <c r="C16248" s="3" t="s">
        <v>54</v>
      </c>
      <c r="D16248" s="3" t="s">
        <v>21</v>
      </c>
      <c r="E16248" s="4" t="s">
        <v>41</v>
      </c>
      <c r="F16248" s="4"/>
      <c r="G16248" s="4" t="s">
        <v>81974</v>
      </c>
      <c r="H16248" s="3" t="s">
        <v>81975</v>
      </c>
      <c r="I16248" s="3" t="s">
        <v>81976</v>
      </c>
      <c r="J16248" s="3" t="s">
        <v>81991</v>
      </c>
      <c r="K16248" s="3"/>
      <c r="L16248" s="3" t="s">
        <v>81992</v>
      </c>
      <c r="M16248" s="4"/>
      <c r="N16248" s="3" t="s">
        <v>37</v>
      </c>
      <c r="O16248" s="3" t="s">
        <v>52</v>
      </c>
      <c r="P16248" s="5">
        <v>25</v>
      </c>
      <c r="Q16248" s="5">
        <v>362</v>
      </c>
      <c r="R16248" s="5">
        <v>12</v>
      </c>
      <c r="S16248" s="5">
        <v>147</v>
      </c>
    </row>
    <row r="16249" spans="1:19" ht="28" x14ac:dyDescent="0.15">
      <c r="A16249" s="2">
        <f>HYPERLINK("https://open-school.uspishnemisto.com.ua/school/800008/", 800008)</f>
        <v>800008</v>
      </c>
      <c r="B16249" s="3" t="s">
        <v>81993</v>
      </c>
      <c r="C16249" s="3" t="s">
        <v>31</v>
      </c>
      <c r="D16249" s="3" t="s">
        <v>32</v>
      </c>
      <c r="E16249" s="4" t="s">
        <v>22</v>
      </c>
      <c r="F16249" s="4" t="s">
        <v>81994</v>
      </c>
      <c r="G16249" s="4" t="s">
        <v>81974</v>
      </c>
      <c r="H16249" s="3" t="s">
        <v>81975</v>
      </c>
      <c r="I16249" s="3" t="s">
        <v>81976</v>
      </c>
      <c r="J16249" s="3" t="s">
        <v>81995</v>
      </c>
      <c r="K16249" s="3" t="s">
        <v>81996</v>
      </c>
      <c r="L16249" s="3" t="s">
        <v>81997</v>
      </c>
      <c r="M16249" s="4" t="s">
        <v>81998</v>
      </c>
      <c r="N16249" s="3" t="s">
        <v>37</v>
      </c>
      <c r="O16249" s="3" t="s">
        <v>52</v>
      </c>
      <c r="P16249" s="5">
        <v>0</v>
      </c>
      <c r="Q16249" s="5">
        <v>365</v>
      </c>
      <c r="R16249" s="5">
        <v>0</v>
      </c>
      <c r="S16249" s="5">
        <v>350</v>
      </c>
    </row>
    <row r="16250" spans="1:19" ht="28" x14ac:dyDescent="0.15">
      <c r="A16250" s="2">
        <f>HYPERLINK("https://open-school.uspishnemisto.com.ua/school/800009/", 800009)</f>
        <v>800009</v>
      </c>
      <c r="B16250" s="3" t="s">
        <v>81999</v>
      </c>
      <c r="C16250" s="3" t="s">
        <v>188</v>
      </c>
      <c r="D16250" s="3" t="s">
        <v>32</v>
      </c>
      <c r="E16250" s="4" t="s">
        <v>22</v>
      </c>
      <c r="F16250" s="4" t="s">
        <v>81973</v>
      </c>
      <c r="G16250" s="4" t="s">
        <v>81974</v>
      </c>
      <c r="H16250" s="3" t="s">
        <v>81975</v>
      </c>
      <c r="I16250" s="3" t="s">
        <v>81976</v>
      </c>
      <c r="J16250" s="3" t="s">
        <v>82000</v>
      </c>
      <c r="K16250" s="3" t="s">
        <v>82001</v>
      </c>
      <c r="L16250" s="3" t="s">
        <v>82002</v>
      </c>
      <c r="M16250" s="4"/>
      <c r="N16250" s="3" t="s">
        <v>37</v>
      </c>
      <c r="O16250" s="3" t="s">
        <v>237</v>
      </c>
      <c r="P16250" s="5">
        <v>43</v>
      </c>
      <c r="Q16250" s="5">
        <v>1368</v>
      </c>
      <c r="R16250" s="5">
        <v>43</v>
      </c>
      <c r="S16250" s="5">
        <v>1324</v>
      </c>
    </row>
    <row r="16251" spans="1:19" ht="28" x14ac:dyDescent="0.15">
      <c r="A16251" s="2">
        <f>HYPERLINK("https://open-school.uspishnemisto.com.ua/school/800010/", 800010)</f>
        <v>800010</v>
      </c>
      <c r="B16251" s="3" t="s">
        <v>82003</v>
      </c>
      <c r="C16251" s="3" t="s">
        <v>188</v>
      </c>
      <c r="D16251" s="3" t="s">
        <v>32</v>
      </c>
      <c r="E16251" s="4" t="s">
        <v>41</v>
      </c>
      <c r="F16251" s="4" t="s">
        <v>82004</v>
      </c>
      <c r="G16251" s="4" t="s">
        <v>81974</v>
      </c>
      <c r="H16251" s="3" t="s">
        <v>81975</v>
      </c>
      <c r="I16251" s="3" t="s">
        <v>81976</v>
      </c>
      <c r="J16251" s="3" t="s">
        <v>82005</v>
      </c>
      <c r="K16251" s="3" t="s">
        <v>82006</v>
      </c>
      <c r="L16251" s="3" t="s">
        <v>82007</v>
      </c>
      <c r="M16251" s="4"/>
      <c r="N16251" s="3" t="s">
        <v>37</v>
      </c>
      <c r="O16251" s="3" t="s">
        <v>46</v>
      </c>
      <c r="P16251" s="5">
        <v>13</v>
      </c>
      <c r="Q16251" s="5">
        <v>169</v>
      </c>
      <c r="R16251" s="5">
        <v>12</v>
      </c>
      <c r="S16251" s="5">
        <v>152</v>
      </c>
    </row>
    <row r="16252" spans="1:19" ht="28" x14ac:dyDescent="0.15">
      <c r="A16252" s="2">
        <f>HYPERLINK("https://open-school.uspishnemisto.com.ua/school/800011/", 800011)</f>
        <v>800011</v>
      </c>
      <c r="B16252" s="3" t="s">
        <v>82008</v>
      </c>
      <c r="C16252" s="3" t="s">
        <v>188</v>
      </c>
      <c r="D16252" s="3" t="s">
        <v>32</v>
      </c>
      <c r="E16252" s="4" t="s">
        <v>22</v>
      </c>
      <c r="F16252" s="4" t="s">
        <v>82009</v>
      </c>
      <c r="G16252" s="4" t="s">
        <v>81974</v>
      </c>
      <c r="H16252" s="3" t="s">
        <v>81975</v>
      </c>
      <c r="I16252" s="3" t="s">
        <v>81976</v>
      </c>
      <c r="J16252" s="3" t="s">
        <v>82010</v>
      </c>
      <c r="K16252" s="3" t="s">
        <v>82011</v>
      </c>
      <c r="L16252" s="3" t="s">
        <v>82012</v>
      </c>
      <c r="M16252" s="4"/>
      <c r="N16252" s="3" t="s">
        <v>37</v>
      </c>
      <c r="O16252" s="3" t="s">
        <v>52</v>
      </c>
      <c r="P16252" s="5">
        <v>32</v>
      </c>
      <c r="Q16252" s="5">
        <v>960</v>
      </c>
      <c r="R16252" s="5">
        <v>32</v>
      </c>
      <c r="S16252" s="5">
        <v>963</v>
      </c>
    </row>
    <row r="16253" spans="1:19" ht="28" x14ac:dyDescent="0.15">
      <c r="A16253" s="2">
        <f>HYPERLINK("https://open-school.uspishnemisto.com.ua/school/800012/", 800012)</f>
        <v>800012</v>
      </c>
      <c r="B16253" s="3" t="s">
        <v>82013</v>
      </c>
      <c r="C16253" s="3" t="s">
        <v>188</v>
      </c>
      <c r="D16253" s="3" t="s">
        <v>32</v>
      </c>
      <c r="E16253" s="4" t="s">
        <v>22</v>
      </c>
      <c r="F16253" s="4" t="s">
        <v>82004</v>
      </c>
      <c r="G16253" s="4" t="s">
        <v>81974</v>
      </c>
      <c r="H16253" s="3" t="s">
        <v>81975</v>
      </c>
      <c r="I16253" s="3" t="s">
        <v>81976</v>
      </c>
      <c r="J16253" s="3" t="s">
        <v>82014</v>
      </c>
      <c r="K16253" s="3" t="s">
        <v>82015</v>
      </c>
      <c r="L16253" s="3" t="s">
        <v>82016</v>
      </c>
      <c r="M16253" s="4"/>
      <c r="N16253" s="3" t="s">
        <v>37</v>
      </c>
      <c r="O16253" s="3" t="s">
        <v>266</v>
      </c>
      <c r="P16253" s="5">
        <v>13</v>
      </c>
      <c r="Q16253" s="5">
        <v>285</v>
      </c>
      <c r="R16253" s="5">
        <v>13</v>
      </c>
      <c r="S16253" s="5">
        <v>274</v>
      </c>
    </row>
    <row r="16254" spans="1:19" ht="28" x14ac:dyDescent="0.15">
      <c r="A16254" s="2">
        <f>HYPERLINK("https://open-school.uspishnemisto.com.ua/school/800013/", 800013)</f>
        <v>800013</v>
      </c>
      <c r="B16254" s="3" t="s">
        <v>82017</v>
      </c>
      <c r="C16254" s="3" t="s">
        <v>40</v>
      </c>
      <c r="D16254" s="3" t="s">
        <v>21</v>
      </c>
      <c r="E16254" s="4" t="s">
        <v>22</v>
      </c>
      <c r="F16254" s="4" t="s">
        <v>82004</v>
      </c>
      <c r="G16254" s="4" t="s">
        <v>81974</v>
      </c>
      <c r="H16254" s="3" t="s">
        <v>81975</v>
      </c>
      <c r="I16254" s="3" t="s">
        <v>81976</v>
      </c>
      <c r="J16254" s="3" t="s">
        <v>82018</v>
      </c>
      <c r="K16254" s="3" t="s">
        <v>82019</v>
      </c>
      <c r="L16254" s="3" t="s">
        <v>82020</v>
      </c>
      <c r="M16254" s="4"/>
      <c r="N16254" s="3" t="s">
        <v>37</v>
      </c>
      <c r="O16254" s="3" t="s">
        <v>52</v>
      </c>
      <c r="P16254" s="5">
        <v>12</v>
      </c>
      <c r="Q16254" s="5">
        <v>320</v>
      </c>
      <c r="R16254" s="5">
        <v>11</v>
      </c>
      <c r="S16254" s="5">
        <v>294</v>
      </c>
    </row>
    <row r="16255" spans="1:19" ht="42" x14ac:dyDescent="0.15">
      <c r="A16255" s="2">
        <f>HYPERLINK("https://open-school.uspishnemisto.com.ua/school/800014/", 800014)</f>
        <v>800014</v>
      </c>
      <c r="B16255" s="3" t="s">
        <v>82021</v>
      </c>
      <c r="C16255" s="3" t="s">
        <v>54</v>
      </c>
      <c r="D16255" s="3" t="s">
        <v>60</v>
      </c>
      <c r="E16255" s="4" t="s">
        <v>22</v>
      </c>
      <c r="F16255" s="4" t="s">
        <v>82022</v>
      </c>
      <c r="G16255" s="4" t="s">
        <v>81974</v>
      </c>
      <c r="H16255" s="3" t="s">
        <v>81975</v>
      </c>
      <c r="I16255" s="3" t="s">
        <v>81976</v>
      </c>
      <c r="J16255" s="3" t="s">
        <v>82023</v>
      </c>
      <c r="K16255" s="3" t="s">
        <v>82024</v>
      </c>
      <c r="L16255" s="3" t="s">
        <v>82025</v>
      </c>
      <c r="M16255" s="4"/>
      <c r="N16255" s="3" t="s">
        <v>37</v>
      </c>
      <c r="O16255" s="3" t="s">
        <v>52</v>
      </c>
      <c r="P16255" s="5">
        <v>6</v>
      </c>
      <c r="Q16255" s="5">
        <v>122</v>
      </c>
      <c r="R16255" s="5">
        <v>5</v>
      </c>
      <c r="S16255" s="5">
        <v>108</v>
      </c>
    </row>
    <row r="16256" spans="1:19" ht="28" x14ac:dyDescent="0.15">
      <c r="A16256" s="2">
        <f>HYPERLINK("https://open-school.uspishnemisto.com.ua/school/800015/", 800015)</f>
        <v>800015</v>
      </c>
      <c r="B16256" s="3" t="s">
        <v>82026</v>
      </c>
      <c r="C16256" s="3" t="s">
        <v>54</v>
      </c>
      <c r="D16256" s="3" t="s">
        <v>32</v>
      </c>
      <c r="E16256" s="4" t="s">
        <v>22</v>
      </c>
      <c r="F16256" s="4" t="s">
        <v>82022</v>
      </c>
      <c r="G16256" s="4" t="s">
        <v>81974</v>
      </c>
      <c r="H16256" s="3" t="s">
        <v>81975</v>
      </c>
      <c r="I16256" s="3" t="s">
        <v>81976</v>
      </c>
      <c r="J16256" s="3" t="s">
        <v>82027</v>
      </c>
      <c r="K16256" s="3" t="s">
        <v>82028</v>
      </c>
      <c r="L16256" s="3" t="s">
        <v>82029</v>
      </c>
      <c r="M16256" s="4"/>
      <c r="N16256" s="3" t="s">
        <v>37</v>
      </c>
      <c r="O16256" s="3" t="s">
        <v>52</v>
      </c>
      <c r="P16256" s="5">
        <v>4</v>
      </c>
      <c r="Q16256" s="5">
        <v>116</v>
      </c>
      <c r="R16256" s="5">
        <v>3</v>
      </c>
      <c r="S16256" s="5">
        <v>92</v>
      </c>
    </row>
    <row r="16257" spans="1:19" ht="42" x14ac:dyDescent="0.15">
      <c r="A16257" s="2">
        <f>HYPERLINK("https://open-school.uspishnemisto.com.ua/school/800016/", 800016)</f>
        <v>800016</v>
      </c>
      <c r="B16257" s="3" t="s">
        <v>82030</v>
      </c>
      <c r="C16257" s="3" t="s">
        <v>54</v>
      </c>
      <c r="D16257" s="3" t="s">
        <v>60</v>
      </c>
      <c r="E16257" s="4" t="s">
        <v>22</v>
      </c>
      <c r="F16257" s="4" t="s">
        <v>82031</v>
      </c>
      <c r="G16257" s="4" t="s">
        <v>81974</v>
      </c>
      <c r="H16257" s="3" t="s">
        <v>81975</v>
      </c>
      <c r="I16257" s="3" t="s">
        <v>81976</v>
      </c>
      <c r="J16257" s="3" t="s">
        <v>82032</v>
      </c>
      <c r="K16257" s="3" t="s">
        <v>82033</v>
      </c>
      <c r="L16257" s="3"/>
      <c r="M16257" s="4"/>
      <c r="N16257" s="3" t="s">
        <v>37</v>
      </c>
      <c r="O16257" s="3" t="s">
        <v>52</v>
      </c>
      <c r="P16257" s="5">
        <v>4</v>
      </c>
      <c r="Q16257" s="5">
        <v>81</v>
      </c>
      <c r="R16257" s="5">
        <v>4</v>
      </c>
      <c r="S16257" s="5">
        <v>82</v>
      </c>
    </row>
    <row r="16258" spans="1:19" ht="28" x14ac:dyDescent="0.15">
      <c r="A16258" s="2">
        <f>HYPERLINK("https://open-school.uspishnemisto.com.ua/school/800017/", 800017)</f>
        <v>800017</v>
      </c>
      <c r="B16258" s="3" t="s">
        <v>82034</v>
      </c>
      <c r="C16258" s="3" t="s">
        <v>2128</v>
      </c>
      <c r="D16258" s="3" t="s">
        <v>32</v>
      </c>
      <c r="E16258" s="4" t="s">
        <v>41</v>
      </c>
      <c r="F16258" s="4" t="s">
        <v>81994</v>
      </c>
      <c r="G16258" s="4" t="s">
        <v>81974</v>
      </c>
      <c r="H16258" s="3" t="s">
        <v>81975</v>
      </c>
      <c r="I16258" s="3" t="s">
        <v>81976</v>
      </c>
      <c r="J16258" s="3" t="s">
        <v>82035</v>
      </c>
      <c r="K16258" s="3" t="s">
        <v>82036</v>
      </c>
      <c r="L16258" s="3" t="s">
        <v>82037</v>
      </c>
      <c r="M16258" s="4"/>
      <c r="N16258" s="3" t="s">
        <v>37</v>
      </c>
      <c r="O16258" s="3" t="s">
        <v>46</v>
      </c>
      <c r="P16258" s="5">
        <v>22</v>
      </c>
      <c r="Q16258" s="5">
        <v>348</v>
      </c>
      <c r="R16258" s="5">
        <v>20</v>
      </c>
      <c r="S16258" s="5">
        <v>307</v>
      </c>
    </row>
    <row r="16259" spans="1:19" ht="28" x14ac:dyDescent="0.15">
      <c r="A16259" s="2">
        <f>HYPERLINK("https://open-school.uspishnemisto.com.ua/school/800018/", 800018)</f>
        <v>800018</v>
      </c>
      <c r="B16259" s="3" t="s">
        <v>82038</v>
      </c>
      <c r="C16259" s="3" t="s">
        <v>244</v>
      </c>
      <c r="D16259" s="3" t="s">
        <v>32</v>
      </c>
      <c r="E16259" s="4" t="s">
        <v>22</v>
      </c>
      <c r="F16259" s="4" t="s">
        <v>82039</v>
      </c>
      <c r="G16259" s="4" t="s">
        <v>81974</v>
      </c>
      <c r="H16259" s="3" t="s">
        <v>81975</v>
      </c>
      <c r="I16259" s="3" t="s">
        <v>81976</v>
      </c>
      <c r="J16259" s="3" t="s">
        <v>82040</v>
      </c>
      <c r="K16259" s="3" t="s">
        <v>82041</v>
      </c>
      <c r="L16259" s="3" t="s">
        <v>82042</v>
      </c>
      <c r="M16259" s="4"/>
      <c r="N16259" s="3" t="s">
        <v>37</v>
      </c>
      <c r="O16259" s="3" t="s">
        <v>123</v>
      </c>
      <c r="P16259" s="5">
        <v>34</v>
      </c>
      <c r="Q16259" s="5">
        <v>947</v>
      </c>
      <c r="R16259" s="5">
        <v>33</v>
      </c>
      <c r="S16259" s="5">
        <v>931</v>
      </c>
    </row>
    <row r="16260" spans="1:19" ht="28" x14ac:dyDescent="0.15">
      <c r="A16260" s="2">
        <f>HYPERLINK("https://open-school.uspishnemisto.com.ua/school/800019/", 800019)</f>
        <v>800019</v>
      </c>
      <c r="B16260" s="3" t="s">
        <v>82043</v>
      </c>
      <c r="C16260" s="3" t="s">
        <v>244</v>
      </c>
      <c r="D16260" s="3" t="s">
        <v>32</v>
      </c>
      <c r="E16260" s="4" t="s">
        <v>22</v>
      </c>
      <c r="F16260" s="4" t="s">
        <v>82044</v>
      </c>
      <c r="G16260" s="4" t="s">
        <v>81974</v>
      </c>
      <c r="H16260" s="3" t="s">
        <v>81975</v>
      </c>
      <c r="I16260" s="3" t="s">
        <v>81976</v>
      </c>
      <c r="J16260" s="3" t="s">
        <v>82045</v>
      </c>
      <c r="K16260" s="3" t="s">
        <v>82046</v>
      </c>
      <c r="L16260" s="3" t="s">
        <v>82047</v>
      </c>
      <c r="M16260" s="4"/>
      <c r="N16260" s="3" t="s">
        <v>37</v>
      </c>
      <c r="O16260" s="3" t="s">
        <v>123</v>
      </c>
      <c r="P16260" s="5">
        <v>12</v>
      </c>
      <c r="Q16260" s="5">
        <v>276</v>
      </c>
      <c r="R16260" s="5">
        <v>12</v>
      </c>
      <c r="S16260" s="5">
        <v>289</v>
      </c>
    </row>
    <row r="16261" spans="1:19" ht="28" x14ac:dyDescent="0.15">
      <c r="A16261" s="2">
        <f>HYPERLINK("https://open-school.uspishnemisto.com.ua/school/800020/", 800020)</f>
        <v>800020</v>
      </c>
      <c r="B16261" s="3" t="s">
        <v>82048</v>
      </c>
      <c r="C16261" s="3" t="s">
        <v>244</v>
      </c>
      <c r="D16261" s="3" t="s">
        <v>32</v>
      </c>
      <c r="E16261" s="4" t="s">
        <v>22</v>
      </c>
      <c r="F16261" s="4" t="s">
        <v>82004</v>
      </c>
      <c r="G16261" s="4" t="s">
        <v>81974</v>
      </c>
      <c r="H16261" s="3" t="s">
        <v>81975</v>
      </c>
      <c r="I16261" s="3" t="s">
        <v>81976</v>
      </c>
      <c r="J16261" s="3" t="s">
        <v>82049</v>
      </c>
      <c r="K16261" s="3" t="s">
        <v>82050</v>
      </c>
      <c r="L16261" s="3" t="s">
        <v>82051</v>
      </c>
      <c r="M16261" s="4"/>
      <c r="N16261" s="3" t="s">
        <v>37</v>
      </c>
      <c r="O16261" s="3" t="s">
        <v>46</v>
      </c>
      <c r="P16261" s="5">
        <v>10</v>
      </c>
      <c r="Q16261" s="5">
        <v>232</v>
      </c>
      <c r="R16261" s="5">
        <v>10</v>
      </c>
      <c r="S16261" s="5">
        <v>211</v>
      </c>
    </row>
    <row r="16262" spans="1:19" ht="28" x14ac:dyDescent="0.15">
      <c r="A16262" s="2">
        <f>HYPERLINK("https://open-school.uspishnemisto.com.ua/school/800021/", 800021)</f>
        <v>800021</v>
      </c>
      <c r="B16262" s="3" t="s">
        <v>82052</v>
      </c>
      <c r="C16262" s="3" t="s">
        <v>244</v>
      </c>
      <c r="D16262" s="3" t="s">
        <v>32</v>
      </c>
      <c r="E16262" s="4" t="s">
        <v>22</v>
      </c>
      <c r="F16262" s="4" t="s">
        <v>81973</v>
      </c>
      <c r="G16262" s="4" t="s">
        <v>81974</v>
      </c>
      <c r="H16262" s="3" t="s">
        <v>81975</v>
      </c>
      <c r="I16262" s="3" t="s">
        <v>81976</v>
      </c>
      <c r="J16262" s="3" t="s">
        <v>82053</v>
      </c>
      <c r="K16262" s="3" t="s">
        <v>82054</v>
      </c>
      <c r="L16262" s="3" t="s">
        <v>82055</v>
      </c>
      <c r="M16262" s="4"/>
      <c r="N16262" s="3" t="s">
        <v>967</v>
      </c>
      <c r="O16262" s="3" t="s">
        <v>46</v>
      </c>
      <c r="P16262" s="5">
        <v>22</v>
      </c>
      <c r="Q16262" s="5">
        <v>653</v>
      </c>
      <c r="R16262" s="5">
        <v>22</v>
      </c>
      <c r="S16262" s="5">
        <v>630</v>
      </c>
    </row>
    <row r="16263" spans="1:19" ht="42" x14ac:dyDescent="0.15">
      <c r="A16263" s="2">
        <f>HYPERLINK("https://open-school.uspishnemisto.com.ua/school/800022/", 800022)</f>
        <v>800022</v>
      </c>
      <c r="B16263" s="3" t="s">
        <v>82056</v>
      </c>
      <c r="C16263" s="3" t="s">
        <v>244</v>
      </c>
      <c r="D16263" s="3" t="s">
        <v>32</v>
      </c>
      <c r="E16263" s="4" t="s">
        <v>22</v>
      </c>
      <c r="F16263" s="4" t="s">
        <v>82004</v>
      </c>
      <c r="G16263" s="4" t="s">
        <v>81974</v>
      </c>
      <c r="H16263" s="3" t="s">
        <v>81975</v>
      </c>
      <c r="I16263" s="3" t="s">
        <v>81976</v>
      </c>
      <c r="J16263" s="3" t="s">
        <v>82057</v>
      </c>
      <c r="K16263" s="3" t="s">
        <v>82058</v>
      </c>
      <c r="L16263" s="3" t="s">
        <v>82059</v>
      </c>
      <c r="M16263" s="4"/>
      <c r="N16263" s="3" t="s">
        <v>37</v>
      </c>
      <c r="O16263" s="3" t="s">
        <v>46</v>
      </c>
      <c r="P16263" s="5">
        <v>22</v>
      </c>
      <c r="Q16263" s="5">
        <v>590</v>
      </c>
      <c r="R16263" s="5">
        <v>22</v>
      </c>
      <c r="S16263" s="5">
        <v>611</v>
      </c>
    </row>
    <row r="16264" spans="1:19" ht="42" x14ac:dyDescent="0.15">
      <c r="A16264" s="2">
        <f>HYPERLINK("https://open-school.uspishnemisto.com.ua/school/800023/", 800023)</f>
        <v>800023</v>
      </c>
      <c r="B16264" s="3" t="s">
        <v>82060</v>
      </c>
      <c r="C16264" s="3" t="s">
        <v>244</v>
      </c>
      <c r="D16264" s="3" t="s">
        <v>32</v>
      </c>
      <c r="E16264" s="4" t="s">
        <v>22</v>
      </c>
      <c r="F16264" s="4" t="s">
        <v>82061</v>
      </c>
      <c r="G16264" s="4" t="s">
        <v>81974</v>
      </c>
      <c r="H16264" s="3" t="s">
        <v>81975</v>
      </c>
      <c r="I16264" s="3" t="s">
        <v>81976</v>
      </c>
      <c r="J16264" s="3" t="s">
        <v>82062</v>
      </c>
      <c r="K16264" s="3" t="s">
        <v>82063</v>
      </c>
      <c r="L16264" s="3" t="s">
        <v>82064</v>
      </c>
      <c r="M16264" s="4"/>
      <c r="N16264" s="3" t="s">
        <v>37</v>
      </c>
      <c r="O16264" s="3" t="s">
        <v>52</v>
      </c>
      <c r="P16264" s="5">
        <v>31</v>
      </c>
      <c r="Q16264" s="5">
        <v>824</v>
      </c>
      <c r="R16264" s="5">
        <v>30</v>
      </c>
      <c r="S16264" s="5">
        <v>772</v>
      </c>
    </row>
    <row r="16265" spans="1:19" ht="42" x14ac:dyDescent="0.15">
      <c r="A16265" s="2">
        <f>HYPERLINK("https://open-school.uspishnemisto.com.ua/school/800024/", 800024)</f>
        <v>800024</v>
      </c>
      <c r="B16265" s="3" t="s">
        <v>82065</v>
      </c>
      <c r="C16265" s="3" t="s">
        <v>244</v>
      </c>
      <c r="D16265" s="3" t="s">
        <v>32</v>
      </c>
      <c r="E16265" s="4" t="s">
        <v>22</v>
      </c>
      <c r="F16265" s="4" t="s">
        <v>82066</v>
      </c>
      <c r="G16265" s="4" t="s">
        <v>81974</v>
      </c>
      <c r="H16265" s="3" t="s">
        <v>81975</v>
      </c>
      <c r="I16265" s="3" t="s">
        <v>81976</v>
      </c>
      <c r="J16265" s="3" t="s">
        <v>82067</v>
      </c>
      <c r="K16265" s="3" t="s">
        <v>82068</v>
      </c>
      <c r="L16265" s="3" t="s">
        <v>82069</v>
      </c>
      <c r="M16265" s="4"/>
      <c r="N16265" s="3" t="s">
        <v>37</v>
      </c>
      <c r="O16265" s="3" t="s">
        <v>123</v>
      </c>
      <c r="P16265" s="5">
        <v>22</v>
      </c>
      <c r="Q16265" s="5">
        <v>667</v>
      </c>
      <c r="R16265" s="5">
        <v>22</v>
      </c>
      <c r="S16265" s="5">
        <v>659</v>
      </c>
    </row>
    <row r="16266" spans="1:19" ht="28" x14ac:dyDescent="0.15">
      <c r="A16266" s="2">
        <f>HYPERLINK("https://open-school.uspishnemisto.com.ua/school/800025/", 800025)</f>
        <v>800025</v>
      </c>
      <c r="B16266" s="3" t="s">
        <v>82070</v>
      </c>
      <c r="C16266" s="3" t="s">
        <v>244</v>
      </c>
      <c r="D16266" s="3" t="s">
        <v>32</v>
      </c>
      <c r="E16266" s="4" t="s">
        <v>22</v>
      </c>
      <c r="F16266" s="4" t="s">
        <v>82009</v>
      </c>
      <c r="G16266" s="4" t="s">
        <v>81974</v>
      </c>
      <c r="H16266" s="3" t="s">
        <v>81975</v>
      </c>
      <c r="I16266" s="3" t="s">
        <v>81976</v>
      </c>
      <c r="J16266" s="3" t="s">
        <v>82071</v>
      </c>
      <c r="K16266" s="3" t="s">
        <v>82072</v>
      </c>
      <c r="L16266" s="3" t="s">
        <v>82073</v>
      </c>
      <c r="M16266" s="4"/>
      <c r="N16266" s="3" t="s">
        <v>37</v>
      </c>
      <c r="O16266" s="3" t="s">
        <v>46</v>
      </c>
      <c r="P16266" s="5">
        <v>31</v>
      </c>
      <c r="Q16266" s="5">
        <v>881</v>
      </c>
      <c r="R16266" s="5">
        <v>29</v>
      </c>
      <c r="S16266" s="5">
        <v>814</v>
      </c>
    </row>
    <row r="16267" spans="1:19" ht="42" x14ac:dyDescent="0.15">
      <c r="A16267" s="2">
        <f>HYPERLINK("https://open-school.uspishnemisto.com.ua/school/800026/", 800026)</f>
        <v>800026</v>
      </c>
      <c r="B16267" s="3" t="s">
        <v>82074</v>
      </c>
      <c r="C16267" s="3" t="s">
        <v>244</v>
      </c>
      <c r="D16267" s="3" t="s">
        <v>32</v>
      </c>
      <c r="E16267" s="4" t="s">
        <v>22</v>
      </c>
      <c r="F16267" s="4" t="s">
        <v>82009</v>
      </c>
      <c r="G16267" s="4" t="s">
        <v>81974</v>
      </c>
      <c r="H16267" s="3" t="s">
        <v>81975</v>
      </c>
      <c r="I16267" s="3" t="s">
        <v>81976</v>
      </c>
      <c r="J16267" s="3" t="s">
        <v>82075</v>
      </c>
      <c r="K16267" s="3" t="s">
        <v>82076</v>
      </c>
      <c r="L16267" s="3" t="s">
        <v>82077</v>
      </c>
      <c r="M16267" s="4"/>
      <c r="N16267" s="3" t="s">
        <v>37</v>
      </c>
      <c r="O16267" s="3" t="s">
        <v>52</v>
      </c>
      <c r="P16267" s="5">
        <v>29</v>
      </c>
      <c r="Q16267" s="5">
        <v>777</v>
      </c>
      <c r="R16267" s="5">
        <v>27</v>
      </c>
      <c r="S16267" s="5">
        <v>757</v>
      </c>
    </row>
    <row r="16268" spans="1:19" ht="42" x14ac:dyDescent="0.15">
      <c r="A16268" s="2">
        <f>HYPERLINK("https://open-school.uspishnemisto.com.ua/school/800027/", 800027)</f>
        <v>800027</v>
      </c>
      <c r="B16268" s="3" t="s">
        <v>82078</v>
      </c>
      <c r="C16268" s="3" t="s">
        <v>244</v>
      </c>
      <c r="D16268" s="3" t="s">
        <v>32</v>
      </c>
      <c r="E16268" s="4" t="s">
        <v>22</v>
      </c>
      <c r="F16268" s="4" t="s">
        <v>82079</v>
      </c>
      <c r="G16268" s="4" t="s">
        <v>81974</v>
      </c>
      <c r="H16268" s="3" t="s">
        <v>81975</v>
      </c>
      <c r="I16268" s="3" t="s">
        <v>81976</v>
      </c>
      <c r="J16268" s="3" t="s">
        <v>82080</v>
      </c>
      <c r="K16268" s="3" t="s">
        <v>82081</v>
      </c>
      <c r="L16268" s="3" t="s">
        <v>82082</v>
      </c>
      <c r="M16268" s="4"/>
      <c r="N16268" s="3" t="s">
        <v>37</v>
      </c>
      <c r="O16268" s="3" t="s">
        <v>52</v>
      </c>
      <c r="P16268" s="5">
        <v>19</v>
      </c>
      <c r="Q16268" s="5">
        <v>424</v>
      </c>
      <c r="R16268" s="5">
        <v>18</v>
      </c>
      <c r="S16268" s="5">
        <v>412</v>
      </c>
    </row>
    <row r="16269" spans="1:19" ht="42" x14ac:dyDescent="0.15">
      <c r="A16269" s="2">
        <f>HYPERLINK("https://open-school.uspishnemisto.com.ua/school/800028/", 800028)</f>
        <v>800028</v>
      </c>
      <c r="B16269" s="3" t="s">
        <v>82083</v>
      </c>
      <c r="C16269" s="3" t="s">
        <v>244</v>
      </c>
      <c r="D16269" s="3" t="s">
        <v>32</v>
      </c>
      <c r="E16269" s="4" t="s">
        <v>22</v>
      </c>
      <c r="F16269" s="4" t="s">
        <v>82031</v>
      </c>
      <c r="G16269" s="4" t="s">
        <v>81974</v>
      </c>
      <c r="H16269" s="3" t="s">
        <v>81975</v>
      </c>
      <c r="I16269" s="3" t="s">
        <v>81976</v>
      </c>
      <c r="J16269" s="3" t="s">
        <v>82084</v>
      </c>
      <c r="K16269" s="3" t="s">
        <v>82085</v>
      </c>
      <c r="L16269" s="3" t="s">
        <v>82086</v>
      </c>
      <c r="M16269" s="4"/>
      <c r="N16269" s="3" t="s">
        <v>128</v>
      </c>
      <c r="O16269" s="3" t="s">
        <v>52</v>
      </c>
      <c r="P16269" s="5">
        <v>15</v>
      </c>
      <c r="Q16269" s="5">
        <v>319</v>
      </c>
      <c r="R16269" s="5">
        <v>16</v>
      </c>
      <c r="S16269" s="5">
        <v>337</v>
      </c>
    </row>
    <row r="16270" spans="1:19" ht="42" x14ac:dyDescent="0.15">
      <c r="A16270" s="2">
        <f>HYPERLINK("https://open-school.uspishnemisto.com.ua/school/800029/", 800029)</f>
        <v>800029</v>
      </c>
      <c r="B16270" s="3" t="s">
        <v>82087</v>
      </c>
      <c r="C16270" s="3" t="s">
        <v>244</v>
      </c>
      <c r="D16270" s="3" t="s">
        <v>32</v>
      </c>
      <c r="E16270" s="4" t="s">
        <v>22</v>
      </c>
      <c r="F16270" s="4" t="s">
        <v>81973</v>
      </c>
      <c r="G16270" s="4" t="s">
        <v>81974</v>
      </c>
      <c r="H16270" s="3" t="s">
        <v>81975</v>
      </c>
      <c r="I16270" s="3" t="s">
        <v>81976</v>
      </c>
      <c r="J16270" s="3" t="s">
        <v>82088</v>
      </c>
      <c r="K16270" s="3" t="s">
        <v>82089</v>
      </c>
      <c r="L16270" s="3" t="s">
        <v>82090</v>
      </c>
      <c r="M16270" s="4"/>
      <c r="N16270" s="3" t="s">
        <v>37</v>
      </c>
      <c r="O16270" s="3" t="s">
        <v>2740</v>
      </c>
      <c r="P16270" s="5">
        <v>19</v>
      </c>
      <c r="Q16270" s="5">
        <v>421</v>
      </c>
      <c r="R16270" s="5">
        <v>17</v>
      </c>
      <c r="S16270" s="5">
        <v>394</v>
      </c>
    </row>
    <row r="16271" spans="1:19" ht="28" x14ac:dyDescent="0.15">
      <c r="A16271" s="2">
        <f>HYPERLINK("https://open-school.uspishnemisto.com.ua/school/800030/", 800030)</f>
        <v>800030</v>
      </c>
      <c r="B16271" s="3" t="s">
        <v>82091</v>
      </c>
      <c r="C16271" s="3" t="s">
        <v>244</v>
      </c>
      <c r="D16271" s="3" t="s">
        <v>32</v>
      </c>
      <c r="E16271" s="4" t="s">
        <v>22</v>
      </c>
      <c r="F16271" s="4" t="s">
        <v>82022</v>
      </c>
      <c r="G16271" s="4" t="s">
        <v>81974</v>
      </c>
      <c r="H16271" s="3" t="s">
        <v>81975</v>
      </c>
      <c r="I16271" s="3" t="s">
        <v>81976</v>
      </c>
      <c r="J16271" s="3" t="s">
        <v>82092</v>
      </c>
      <c r="K16271" s="3" t="s">
        <v>82093</v>
      </c>
      <c r="L16271" s="3" t="s">
        <v>82094</v>
      </c>
      <c r="M16271" s="4"/>
      <c r="N16271" s="3" t="s">
        <v>37</v>
      </c>
      <c r="O16271" s="3" t="s">
        <v>2740</v>
      </c>
      <c r="P16271" s="5">
        <v>38</v>
      </c>
      <c r="Q16271" s="5">
        <v>1079</v>
      </c>
      <c r="R16271" s="5">
        <v>35</v>
      </c>
      <c r="S16271" s="5">
        <v>1025</v>
      </c>
    </row>
    <row r="16272" spans="1:19" ht="28" x14ac:dyDescent="0.15">
      <c r="A16272" s="2">
        <f>HYPERLINK("https://open-school.uspishnemisto.com.ua/school/800031/", 800031)</f>
        <v>800031</v>
      </c>
      <c r="B16272" s="3" t="s">
        <v>82095</v>
      </c>
      <c r="C16272" s="3" t="s">
        <v>181</v>
      </c>
      <c r="D16272" s="3" t="s">
        <v>175</v>
      </c>
      <c r="E16272" s="4" t="s">
        <v>22</v>
      </c>
      <c r="F16272" s="4" t="s">
        <v>81973</v>
      </c>
      <c r="G16272" s="4" t="s">
        <v>81974</v>
      </c>
      <c r="H16272" s="3" t="s">
        <v>81975</v>
      </c>
      <c r="I16272" s="3" t="s">
        <v>81976</v>
      </c>
      <c r="J16272" s="3" t="s">
        <v>82096</v>
      </c>
      <c r="K16272" s="3" t="s">
        <v>82097</v>
      </c>
      <c r="L16272" s="3"/>
      <c r="M16272" s="4"/>
      <c r="N16272" s="3" t="s">
        <v>37</v>
      </c>
      <c r="O16272" s="3" t="s">
        <v>52</v>
      </c>
      <c r="P16272" s="5">
        <v>11</v>
      </c>
      <c r="Q16272" s="5">
        <v>102</v>
      </c>
      <c r="R16272" s="5">
        <v>11</v>
      </c>
      <c r="S16272" s="5">
        <v>107</v>
      </c>
    </row>
    <row r="16273" spans="1:19" ht="28" x14ac:dyDescent="0.15">
      <c r="A16273" s="2">
        <f>HYPERLINK("https://open-school.uspishnemisto.com.ua/school/800032/", 800032)</f>
        <v>800032</v>
      </c>
      <c r="B16273" s="3" t="s">
        <v>82098</v>
      </c>
      <c r="C16273" s="3" t="s">
        <v>181</v>
      </c>
      <c r="D16273" s="3" t="s">
        <v>175</v>
      </c>
      <c r="E16273" s="4" t="s">
        <v>22</v>
      </c>
      <c r="F16273" s="4" t="s">
        <v>82099</v>
      </c>
      <c r="G16273" s="4" t="s">
        <v>81974</v>
      </c>
      <c r="H16273" s="3" t="s">
        <v>81975</v>
      </c>
      <c r="I16273" s="3" t="s">
        <v>81976</v>
      </c>
      <c r="J16273" s="3" t="s">
        <v>82100</v>
      </c>
      <c r="K16273" s="3" t="s">
        <v>82101</v>
      </c>
      <c r="L16273" s="3"/>
      <c r="M16273" s="4"/>
      <c r="N16273" s="3" t="s">
        <v>37</v>
      </c>
      <c r="O16273" s="3" t="s">
        <v>52</v>
      </c>
      <c r="P16273" s="5">
        <v>23</v>
      </c>
      <c r="Q16273" s="5">
        <v>254</v>
      </c>
      <c r="R16273" s="5">
        <v>23</v>
      </c>
      <c r="S16273" s="5">
        <v>250</v>
      </c>
    </row>
    <row r="16274" spans="1:19" ht="28" x14ac:dyDescent="0.15">
      <c r="A16274" s="2">
        <f>HYPERLINK("https://open-school.uspishnemisto.com.ua/school/800033/", 800033)</f>
        <v>800033</v>
      </c>
      <c r="B16274" s="3" t="s">
        <v>82102</v>
      </c>
      <c r="C16274" s="3" t="s">
        <v>181</v>
      </c>
      <c r="D16274" s="3" t="s">
        <v>32</v>
      </c>
      <c r="E16274" s="4" t="s">
        <v>22</v>
      </c>
      <c r="F16274" s="4" t="s">
        <v>81994</v>
      </c>
      <c r="G16274" s="4" t="s">
        <v>81974</v>
      </c>
      <c r="H16274" s="3" t="s">
        <v>81975</v>
      </c>
      <c r="I16274" s="3" t="s">
        <v>81976</v>
      </c>
      <c r="J16274" s="3" t="s">
        <v>82035</v>
      </c>
      <c r="K16274" s="3" t="s">
        <v>82103</v>
      </c>
      <c r="L16274" s="3" t="s">
        <v>82104</v>
      </c>
      <c r="M16274" s="4"/>
      <c r="N16274" s="3" t="s">
        <v>37</v>
      </c>
      <c r="O16274" s="3" t="s">
        <v>52</v>
      </c>
      <c r="P16274" s="5">
        <v>24</v>
      </c>
      <c r="Q16274" s="5">
        <v>181</v>
      </c>
      <c r="R16274" s="5">
        <v>22</v>
      </c>
      <c r="S16274" s="5">
        <v>165</v>
      </c>
    </row>
    <row r="16275" spans="1:19" ht="28" x14ac:dyDescent="0.15">
      <c r="A16275" s="2">
        <f>HYPERLINK("https://open-school.uspishnemisto.com.ua/school/800034/", 800034)</f>
        <v>800034</v>
      </c>
      <c r="B16275" s="3" t="s">
        <v>82105</v>
      </c>
      <c r="C16275" s="3" t="s">
        <v>31</v>
      </c>
      <c r="D16275" s="3" t="s">
        <v>175</v>
      </c>
      <c r="E16275" s="4" t="s">
        <v>41</v>
      </c>
      <c r="F16275" s="4"/>
      <c r="G16275" s="4" t="s">
        <v>81974</v>
      </c>
      <c r="H16275" s="3" t="s">
        <v>81975</v>
      </c>
      <c r="I16275" s="3" t="s">
        <v>81976</v>
      </c>
      <c r="J16275" s="3" t="s">
        <v>82106</v>
      </c>
      <c r="K16275" s="3"/>
      <c r="L16275" s="3" t="s">
        <v>82107</v>
      </c>
      <c r="M16275" s="4"/>
      <c r="N16275" s="3" t="s">
        <v>37</v>
      </c>
      <c r="O16275" s="3" t="s">
        <v>123</v>
      </c>
      <c r="P16275" s="5">
        <v>20</v>
      </c>
      <c r="Q16275" s="5">
        <v>256</v>
      </c>
      <c r="R16275" s="5">
        <v>10</v>
      </c>
      <c r="S16275" s="5">
        <v>111</v>
      </c>
    </row>
    <row r="16276" spans="1:19" ht="28" x14ac:dyDescent="0.15">
      <c r="A16276" s="2">
        <f>HYPERLINK("https://open-school.uspishnemisto.com.ua/school/800035/", 800035)</f>
        <v>800035</v>
      </c>
      <c r="B16276" s="3" t="s">
        <v>82108</v>
      </c>
      <c r="C16276" s="3" t="s">
        <v>31</v>
      </c>
      <c r="D16276" s="3" t="s">
        <v>32</v>
      </c>
      <c r="E16276" s="4" t="s">
        <v>41</v>
      </c>
      <c r="F16276" s="4"/>
      <c r="G16276" s="4" t="s">
        <v>81974</v>
      </c>
      <c r="H16276" s="3" t="s">
        <v>81975</v>
      </c>
      <c r="I16276" s="3" t="s">
        <v>81976</v>
      </c>
      <c r="J16276" s="3" t="s">
        <v>82109</v>
      </c>
      <c r="K16276" s="3"/>
      <c r="L16276" s="3" t="s">
        <v>82110</v>
      </c>
      <c r="M16276" s="4"/>
      <c r="N16276" s="3" t="s">
        <v>11497</v>
      </c>
      <c r="O16276" s="3" t="s">
        <v>52</v>
      </c>
      <c r="P16276" s="5">
        <v>11</v>
      </c>
      <c r="Q16276" s="5">
        <v>60</v>
      </c>
      <c r="R16276" s="5">
        <v>10</v>
      </c>
      <c r="S16276" s="5">
        <v>50</v>
      </c>
    </row>
    <row r="16277" spans="1:19" ht="42" x14ac:dyDescent="0.15">
      <c r="A16277" s="2">
        <f>HYPERLINK("https://open-school.uspishnemisto.com.ua/school/800036/", 800036)</f>
        <v>800036</v>
      </c>
      <c r="B16277" s="3" t="s">
        <v>82111</v>
      </c>
      <c r="C16277" s="3" t="s">
        <v>244</v>
      </c>
      <c r="D16277" s="3" t="s">
        <v>60</v>
      </c>
      <c r="E16277" s="4" t="s">
        <v>41</v>
      </c>
      <c r="F16277" s="4" t="s">
        <v>82112</v>
      </c>
      <c r="G16277" s="4" t="s">
        <v>81974</v>
      </c>
      <c r="H16277" s="3" t="s">
        <v>81975</v>
      </c>
      <c r="I16277" s="3" t="s">
        <v>81976</v>
      </c>
      <c r="J16277" s="3" t="s">
        <v>82113</v>
      </c>
      <c r="K16277" s="3" t="s">
        <v>82114</v>
      </c>
      <c r="L16277" s="3" t="s">
        <v>82115</v>
      </c>
      <c r="M16277" s="4"/>
      <c r="N16277" s="3" t="s">
        <v>37</v>
      </c>
      <c r="O16277" s="3" t="s">
        <v>82116</v>
      </c>
      <c r="P16277" s="5">
        <v>15</v>
      </c>
      <c r="Q16277" s="5">
        <v>308</v>
      </c>
      <c r="R16277" s="5">
        <v>12</v>
      </c>
      <c r="S16277" s="5">
        <v>266</v>
      </c>
    </row>
    <row r="16278" spans="1:19" ht="28" x14ac:dyDescent="0.15">
      <c r="A16278" s="2">
        <f>HYPERLINK("https://open-school.uspishnemisto.com.ua/school/800037/", 800037)</f>
        <v>800037</v>
      </c>
      <c r="B16278" s="3" t="s">
        <v>82117</v>
      </c>
      <c r="C16278" s="3" t="s">
        <v>188</v>
      </c>
      <c r="D16278" s="3" t="s">
        <v>19078</v>
      </c>
      <c r="E16278" s="4" t="s">
        <v>253</v>
      </c>
      <c r="F16278" s="4"/>
      <c r="G16278" s="4" t="s">
        <v>81974</v>
      </c>
      <c r="H16278" s="3" t="s">
        <v>81975</v>
      </c>
      <c r="I16278" s="3" t="s">
        <v>81976</v>
      </c>
      <c r="J16278" s="3" t="s">
        <v>82118</v>
      </c>
      <c r="K16278" s="3"/>
      <c r="L16278" s="3" t="s">
        <v>82119</v>
      </c>
      <c r="M16278" s="4"/>
      <c r="N16278" s="3" t="s">
        <v>37</v>
      </c>
      <c r="O16278" s="3" t="s">
        <v>52</v>
      </c>
      <c r="P16278" s="5">
        <v>15</v>
      </c>
      <c r="Q16278" s="5">
        <v>320</v>
      </c>
      <c r="R16278" s="5">
        <v>15</v>
      </c>
      <c r="S16278" s="5">
        <v>304</v>
      </c>
    </row>
    <row r="16279" spans="1:19" ht="28" x14ac:dyDescent="0.15">
      <c r="A16279" s="2">
        <f>HYPERLINK("https://open-school.uspishnemisto.com.ua/school/800038/", 800038)</f>
        <v>800038</v>
      </c>
      <c r="B16279" s="3" t="s">
        <v>82120</v>
      </c>
      <c r="C16279" s="3" t="s">
        <v>31</v>
      </c>
      <c r="D16279" s="3" t="s">
        <v>32</v>
      </c>
      <c r="E16279" s="4" t="s">
        <v>22</v>
      </c>
      <c r="F16279" s="4" t="s">
        <v>81981</v>
      </c>
      <c r="G16279" s="4" t="s">
        <v>81974</v>
      </c>
      <c r="H16279" s="3" t="s">
        <v>81975</v>
      </c>
      <c r="I16279" s="3" t="s">
        <v>81976</v>
      </c>
      <c r="J16279" s="3" t="s">
        <v>82121</v>
      </c>
      <c r="K16279" s="3" t="s">
        <v>82122</v>
      </c>
      <c r="L16279" s="3" t="s">
        <v>82123</v>
      </c>
      <c r="M16279" s="4"/>
      <c r="N16279" s="3" t="s">
        <v>37</v>
      </c>
      <c r="O16279" s="3" t="s">
        <v>52</v>
      </c>
      <c r="P16279" s="5">
        <v>20</v>
      </c>
      <c r="Q16279" s="5">
        <v>538</v>
      </c>
      <c r="R16279" s="5">
        <v>20</v>
      </c>
      <c r="S16279" s="5">
        <v>520</v>
      </c>
    </row>
    <row r="16280" spans="1:19" ht="28" x14ac:dyDescent="0.15">
      <c r="A16280" s="2">
        <f>HYPERLINK("https://open-school.uspishnemisto.com.ua/school/800039/", 800039)</f>
        <v>800039</v>
      </c>
      <c r="B16280" s="3" t="s">
        <v>82124</v>
      </c>
      <c r="C16280" s="3" t="s">
        <v>31</v>
      </c>
      <c r="D16280" s="3" t="s">
        <v>32</v>
      </c>
      <c r="E16280" s="4" t="s">
        <v>22</v>
      </c>
      <c r="F16280" s="4" t="s">
        <v>81981</v>
      </c>
      <c r="G16280" s="4" t="s">
        <v>81974</v>
      </c>
      <c r="H16280" s="3" t="s">
        <v>81975</v>
      </c>
      <c r="I16280" s="3" t="s">
        <v>81976</v>
      </c>
      <c r="J16280" s="3" t="s">
        <v>82125</v>
      </c>
      <c r="K16280" s="3" t="s">
        <v>82126</v>
      </c>
      <c r="L16280" s="3" t="s">
        <v>82127</v>
      </c>
      <c r="M16280" s="4"/>
      <c r="N16280" s="3" t="s">
        <v>37</v>
      </c>
      <c r="O16280" s="3" t="s">
        <v>38</v>
      </c>
      <c r="P16280" s="5">
        <v>18</v>
      </c>
      <c r="Q16280" s="5">
        <v>380</v>
      </c>
      <c r="R16280" s="5">
        <v>17</v>
      </c>
      <c r="S16280" s="5">
        <v>377</v>
      </c>
    </row>
    <row r="16281" spans="1:19" ht="28" x14ac:dyDescent="0.15">
      <c r="A16281" s="2">
        <f>HYPERLINK("https://open-school.uspishnemisto.com.ua/school/800040/", 800040)</f>
        <v>800040</v>
      </c>
      <c r="B16281" s="3" t="s">
        <v>82128</v>
      </c>
      <c r="C16281" s="3" t="s">
        <v>31</v>
      </c>
      <c r="D16281" s="3" t="s">
        <v>32</v>
      </c>
      <c r="E16281" s="4" t="s">
        <v>22</v>
      </c>
      <c r="F16281" s="4" t="s">
        <v>82022</v>
      </c>
      <c r="G16281" s="4" t="s">
        <v>81974</v>
      </c>
      <c r="H16281" s="3" t="s">
        <v>81975</v>
      </c>
      <c r="I16281" s="3" t="s">
        <v>81976</v>
      </c>
      <c r="J16281" s="3" t="s">
        <v>82129</v>
      </c>
      <c r="K16281" s="3" t="s">
        <v>82130</v>
      </c>
      <c r="L16281" s="3" t="s">
        <v>82131</v>
      </c>
      <c r="M16281" s="4"/>
      <c r="N16281" s="3" t="s">
        <v>37</v>
      </c>
      <c r="O16281" s="3" t="s">
        <v>46</v>
      </c>
      <c r="P16281" s="5">
        <v>33</v>
      </c>
      <c r="Q16281" s="5">
        <v>942</v>
      </c>
      <c r="R16281" s="5">
        <v>33</v>
      </c>
      <c r="S16281" s="5">
        <v>921</v>
      </c>
    </row>
    <row r="16282" spans="1:19" ht="28" x14ac:dyDescent="0.15">
      <c r="A16282" s="2">
        <f>HYPERLINK("https://open-school.uspishnemisto.com.ua/school/800041/", 800041)</f>
        <v>800041</v>
      </c>
      <c r="B16282" s="3" t="s">
        <v>82132</v>
      </c>
      <c r="C16282" s="3" t="s">
        <v>31</v>
      </c>
      <c r="D16282" s="3" t="s">
        <v>32</v>
      </c>
      <c r="E16282" s="4" t="s">
        <v>22</v>
      </c>
      <c r="F16282" s="4" t="s">
        <v>82133</v>
      </c>
      <c r="G16282" s="4" t="s">
        <v>81974</v>
      </c>
      <c r="H16282" s="3" t="s">
        <v>81975</v>
      </c>
      <c r="I16282" s="3" t="s">
        <v>81976</v>
      </c>
      <c r="J16282" s="3" t="s">
        <v>82134</v>
      </c>
      <c r="K16282" s="3" t="s">
        <v>82135</v>
      </c>
      <c r="L16282" s="3" t="s">
        <v>82136</v>
      </c>
      <c r="M16282" s="4"/>
      <c r="N16282" s="3" t="s">
        <v>37</v>
      </c>
      <c r="O16282" s="3" t="s">
        <v>38</v>
      </c>
      <c r="P16282" s="5">
        <v>10</v>
      </c>
      <c r="Q16282" s="5">
        <v>155</v>
      </c>
      <c r="R16282" s="5">
        <v>10</v>
      </c>
      <c r="S16282" s="5">
        <v>136</v>
      </c>
    </row>
    <row r="16283" spans="1:19" ht="28" x14ac:dyDescent="0.15">
      <c r="A16283" s="2">
        <f>HYPERLINK("https://open-school.uspishnemisto.com.ua/school/800042/", 800042)</f>
        <v>800042</v>
      </c>
      <c r="B16283" s="3" t="s">
        <v>82137</v>
      </c>
      <c r="C16283" s="3" t="s">
        <v>31</v>
      </c>
      <c r="D16283" s="3" t="s">
        <v>32</v>
      </c>
      <c r="E16283" s="4" t="s">
        <v>22</v>
      </c>
      <c r="F16283" s="4" t="s">
        <v>82138</v>
      </c>
      <c r="G16283" s="4" t="s">
        <v>81974</v>
      </c>
      <c r="H16283" s="3" t="s">
        <v>81975</v>
      </c>
      <c r="I16283" s="3" t="s">
        <v>81976</v>
      </c>
      <c r="J16283" s="3" t="s">
        <v>82139</v>
      </c>
      <c r="K16283" s="3" t="s">
        <v>82140</v>
      </c>
      <c r="L16283" s="3" t="s">
        <v>82141</v>
      </c>
      <c r="M16283" s="4"/>
      <c r="N16283" s="3" t="s">
        <v>37</v>
      </c>
      <c r="O16283" s="3" t="s">
        <v>46</v>
      </c>
      <c r="P16283" s="5">
        <v>18</v>
      </c>
      <c r="Q16283" s="5">
        <v>436</v>
      </c>
      <c r="R16283" s="5">
        <v>18</v>
      </c>
      <c r="S16283" s="5">
        <v>425</v>
      </c>
    </row>
    <row r="16284" spans="1:19" ht="28" x14ac:dyDescent="0.15">
      <c r="A16284" s="2">
        <f>HYPERLINK("https://open-school.uspishnemisto.com.ua/school/800043/", 800043)</f>
        <v>800043</v>
      </c>
      <c r="B16284" s="3" t="s">
        <v>82142</v>
      </c>
      <c r="C16284" s="3" t="s">
        <v>31</v>
      </c>
      <c r="D16284" s="3" t="s">
        <v>32</v>
      </c>
      <c r="E16284" s="4" t="s">
        <v>22</v>
      </c>
      <c r="F16284" s="4" t="s">
        <v>81994</v>
      </c>
      <c r="G16284" s="4" t="s">
        <v>81974</v>
      </c>
      <c r="H16284" s="3" t="s">
        <v>81975</v>
      </c>
      <c r="I16284" s="3" t="s">
        <v>81976</v>
      </c>
      <c r="J16284" s="3" t="s">
        <v>82143</v>
      </c>
      <c r="K16284" s="3" t="s">
        <v>82144</v>
      </c>
      <c r="L16284" s="3"/>
      <c r="M16284" s="4"/>
      <c r="N16284" s="3" t="s">
        <v>37</v>
      </c>
      <c r="O16284" s="3" t="s">
        <v>8542</v>
      </c>
      <c r="P16284" s="5">
        <v>25</v>
      </c>
      <c r="Q16284" s="5">
        <v>658</v>
      </c>
      <c r="R16284" s="5">
        <v>24</v>
      </c>
      <c r="S16284" s="5">
        <v>614</v>
      </c>
    </row>
    <row r="16285" spans="1:19" ht="28" x14ac:dyDescent="0.15">
      <c r="A16285" s="2">
        <f>HYPERLINK("https://open-school.uspishnemisto.com.ua/school/800044/", 800044)</f>
        <v>800044</v>
      </c>
      <c r="B16285" s="3" t="s">
        <v>82145</v>
      </c>
      <c r="C16285" s="3" t="s">
        <v>31</v>
      </c>
      <c r="D16285" s="3" t="s">
        <v>32</v>
      </c>
      <c r="E16285" s="4" t="s">
        <v>22</v>
      </c>
      <c r="F16285" s="4" t="s">
        <v>82099</v>
      </c>
      <c r="G16285" s="4" t="s">
        <v>81974</v>
      </c>
      <c r="H16285" s="3" t="s">
        <v>81975</v>
      </c>
      <c r="I16285" s="3" t="s">
        <v>81976</v>
      </c>
      <c r="J16285" s="3" t="s">
        <v>82146</v>
      </c>
      <c r="K16285" s="3" t="s">
        <v>82147</v>
      </c>
      <c r="L16285" s="3" t="s">
        <v>82148</v>
      </c>
      <c r="M16285" s="4"/>
      <c r="N16285" s="3" t="s">
        <v>37</v>
      </c>
      <c r="O16285" s="3" t="s">
        <v>38</v>
      </c>
      <c r="P16285" s="5">
        <v>18</v>
      </c>
      <c r="Q16285" s="5">
        <v>437</v>
      </c>
      <c r="R16285" s="5">
        <v>15</v>
      </c>
      <c r="S16285" s="5">
        <v>392</v>
      </c>
    </row>
    <row r="16286" spans="1:19" ht="28" x14ac:dyDescent="0.15">
      <c r="A16286" s="2">
        <f>HYPERLINK("https://open-school.uspishnemisto.com.ua/school/800045/", 800045)</f>
        <v>800045</v>
      </c>
      <c r="B16286" s="3" t="s">
        <v>82149</v>
      </c>
      <c r="C16286" s="3" t="s">
        <v>31</v>
      </c>
      <c r="D16286" s="3" t="s">
        <v>32</v>
      </c>
      <c r="E16286" s="4" t="s">
        <v>22</v>
      </c>
      <c r="F16286" s="4" t="s">
        <v>82022</v>
      </c>
      <c r="G16286" s="4" t="s">
        <v>81974</v>
      </c>
      <c r="H16286" s="3" t="s">
        <v>81975</v>
      </c>
      <c r="I16286" s="3" t="s">
        <v>81976</v>
      </c>
      <c r="J16286" s="3" t="s">
        <v>82150</v>
      </c>
      <c r="K16286" s="3" t="s">
        <v>82151</v>
      </c>
      <c r="L16286" s="3" t="s">
        <v>82152</v>
      </c>
      <c r="M16286" s="4"/>
      <c r="N16286" s="3" t="s">
        <v>37</v>
      </c>
      <c r="O16286" s="3" t="s">
        <v>52</v>
      </c>
      <c r="P16286" s="5">
        <v>41</v>
      </c>
      <c r="Q16286" s="5">
        <v>1260</v>
      </c>
      <c r="R16286" s="5">
        <v>40</v>
      </c>
      <c r="S16286" s="5">
        <v>1232</v>
      </c>
    </row>
    <row r="16287" spans="1:19" ht="28" x14ac:dyDescent="0.15">
      <c r="A16287" s="2">
        <f>HYPERLINK("https://open-school.uspishnemisto.com.ua/school/800046/", 800046)</f>
        <v>800046</v>
      </c>
      <c r="B16287" s="3" t="s">
        <v>82153</v>
      </c>
      <c r="C16287" s="3" t="s">
        <v>31</v>
      </c>
      <c r="D16287" s="3" t="s">
        <v>32</v>
      </c>
      <c r="E16287" s="4" t="s">
        <v>22</v>
      </c>
      <c r="F16287" s="4" t="s">
        <v>82154</v>
      </c>
      <c r="G16287" s="4" t="s">
        <v>81974</v>
      </c>
      <c r="H16287" s="3" t="s">
        <v>81975</v>
      </c>
      <c r="I16287" s="3" t="s">
        <v>81976</v>
      </c>
      <c r="J16287" s="3" t="s">
        <v>82155</v>
      </c>
      <c r="K16287" s="3" t="s">
        <v>82156</v>
      </c>
      <c r="L16287" s="3" t="s">
        <v>82157</v>
      </c>
      <c r="M16287" s="4"/>
      <c r="N16287" s="3" t="s">
        <v>37</v>
      </c>
      <c r="O16287" s="3" t="s">
        <v>46</v>
      </c>
      <c r="P16287" s="5">
        <v>20</v>
      </c>
      <c r="Q16287" s="5">
        <v>589</v>
      </c>
      <c r="R16287" s="5">
        <v>20</v>
      </c>
      <c r="S16287" s="5">
        <v>556</v>
      </c>
    </row>
    <row r="16288" spans="1:19" ht="28" x14ac:dyDescent="0.15">
      <c r="A16288" s="2">
        <f>HYPERLINK("https://open-school.uspishnemisto.com.ua/school/800047/", 800047)</f>
        <v>800047</v>
      </c>
      <c r="B16288" s="3" t="s">
        <v>82158</v>
      </c>
      <c r="C16288" s="3" t="s">
        <v>31</v>
      </c>
      <c r="D16288" s="3" t="s">
        <v>32</v>
      </c>
      <c r="E16288" s="4" t="s">
        <v>22</v>
      </c>
      <c r="F16288" s="4" t="s">
        <v>82061</v>
      </c>
      <c r="G16288" s="4" t="s">
        <v>81974</v>
      </c>
      <c r="H16288" s="3" t="s">
        <v>81975</v>
      </c>
      <c r="I16288" s="3" t="s">
        <v>81976</v>
      </c>
      <c r="J16288" s="3" t="s">
        <v>82159</v>
      </c>
      <c r="K16288" s="3" t="s">
        <v>82160</v>
      </c>
      <c r="L16288" s="3" t="s">
        <v>82161</v>
      </c>
      <c r="M16288" s="4"/>
      <c r="N16288" s="3" t="s">
        <v>37</v>
      </c>
      <c r="O16288" s="3" t="s">
        <v>46</v>
      </c>
      <c r="P16288" s="5">
        <v>13</v>
      </c>
      <c r="Q16288" s="5">
        <v>330</v>
      </c>
      <c r="R16288" s="5">
        <v>12</v>
      </c>
      <c r="S16288" s="5">
        <v>297</v>
      </c>
    </row>
    <row r="16289" spans="1:19" ht="42" x14ac:dyDescent="0.15">
      <c r="A16289" s="2">
        <f>HYPERLINK("https://open-school.uspishnemisto.com.ua/school/800048/", 800048)</f>
        <v>800048</v>
      </c>
      <c r="B16289" s="3" t="s">
        <v>82162</v>
      </c>
      <c r="C16289" s="3" t="s">
        <v>31</v>
      </c>
      <c r="D16289" s="3" t="s">
        <v>21</v>
      </c>
      <c r="E16289" s="4" t="s">
        <v>22</v>
      </c>
      <c r="F16289" s="4" t="s">
        <v>82163</v>
      </c>
      <c r="G16289" s="4" t="s">
        <v>81974</v>
      </c>
      <c r="H16289" s="3" t="s">
        <v>81975</v>
      </c>
      <c r="I16289" s="3" t="s">
        <v>81976</v>
      </c>
      <c r="J16289" s="3" t="s">
        <v>82164</v>
      </c>
      <c r="K16289" s="3" t="s">
        <v>82165</v>
      </c>
      <c r="L16289" s="3" t="s">
        <v>82166</v>
      </c>
      <c r="M16289" s="4"/>
      <c r="N16289" s="3" t="s">
        <v>37</v>
      </c>
      <c r="O16289" s="3" t="s">
        <v>52</v>
      </c>
      <c r="P16289" s="5">
        <v>3</v>
      </c>
      <c r="Q16289" s="5">
        <v>65</v>
      </c>
      <c r="R16289" s="5">
        <v>3</v>
      </c>
      <c r="S16289" s="5">
        <v>70</v>
      </c>
    </row>
    <row r="16290" spans="1:19" ht="28" x14ac:dyDescent="0.15">
      <c r="A16290" s="2">
        <f>HYPERLINK("https://open-school.uspishnemisto.com.ua/school/800493/", 800493)</f>
        <v>800493</v>
      </c>
      <c r="B16290" s="3" t="s">
        <v>82167</v>
      </c>
      <c r="C16290" s="3" t="s">
        <v>244</v>
      </c>
      <c r="D16290" s="3" t="s">
        <v>32</v>
      </c>
      <c r="E16290" s="4" t="s">
        <v>41</v>
      </c>
      <c r="F16290" s="4"/>
      <c r="G16290" s="4" t="s">
        <v>81974</v>
      </c>
      <c r="H16290" s="3" t="s">
        <v>81975</v>
      </c>
      <c r="I16290" s="3" t="s">
        <v>81976</v>
      </c>
      <c r="J16290" s="3" t="s">
        <v>82168</v>
      </c>
      <c r="K16290" s="3"/>
      <c r="L16290" s="3" t="s">
        <v>82169</v>
      </c>
      <c r="M16290" s="4"/>
      <c r="N16290" s="3"/>
      <c r="O16290" s="3"/>
      <c r="P16290" s="5">
        <v>5</v>
      </c>
      <c r="Q16290" s="5">
        <v>54</v>
      </c>
      <c r="R16290" s="5"/>
      <c r="S16290" s="5"/>
    </row>
    <row r="16291" spans="1:19" ht="28" x14ac:dyDescent="0.15">
      <c r="A16291" s="2">
        <f>HYPERLINK("https://open-school.uspishnemisto.com.ua/school/800049/", 800049)</f>
        <v>800049</v>
      </c>
      <c r="B16291" s="3" t="s">
        <v>82170</v>
      </c>
      <c r="C16291" s="3" t="s">
        <v>40</v>
      </c>
      <c r="D16291" s="3" t="s">
        <v>21</v>
      </c>
      <c r="E16291" s="4" t="s">
        <v>22</v>
      </c>
      <c r="F16291" s="4" t="s">
        <v>82171</v>
      </c>
      <c r="G16291" s="4" t="s">
        <v>82172</v>
      </c>
      <c r="H16291" s="3" t="s">
        <v>81975</v>
      </c>
      <c r="I16291" s="3" t="s">
        <v>82173</v>
      </c>
      <c r="J16291" s="3" t="s">
        <v>82174</v>
      </c>
      <c r="K16291" s="3" t="s">
        <v>82175</v>
      </c>
      <c r="L16291" s="3" t="s">
        <v>82176</v>
      </c>
      <c r="M16291" s="4"/>
      <c r="N16291" s="3" t="s">
        <v>37</v>
      </c>
      <c r="O16291" s="3" t="s">
        <v>46</v>
      </c>
      <c r="P16291" s="5">
        <v>25</v>
      </c>
      <c r="Q16291" s="5">
        <v>739</v>
      </c>
      <c r="R16291" s="5">
        <v>25</v>
      </c>
      <c r="S16291" s="5">
        <v>717</v>
      </c>
    </row>
    <row r="16292" spans="1:19" ht="28" x14ac:dyDescent="0.15">
      <c r="A16292" s="2">
        <f>HYPERLINK("https://open-school.uspishnemisto.com.ua/school/800050/", 800050)</f>
        <v>800050</v>
      </c>
      <c r="B16292" s="3" t="s">
        <v>82177</v>
      </c>
      <c r="C16292" s="3" t="s">
        <v>40</v>
      </c>
      <c r="D16292" s="3" t="s">
        <v>32</v>
      </c>
      <c r="E16292" s="4" t="s">
        <v>22</v>
      </c>
      <c r="F16292" s="4" t="s">
        <v>82178</v>
      </c>
      <c r="G16292" s="4" t="s">
        <v>82172</v>
      </c>
      <c r="H16292" s="3" t="s">
        <v>81975</v>
      </c>
      <c r="I16292" s="3" t="s">
        <v>82173</v>
      </c>
      <c r="J16292" s="3" t="s">
        <v>82179</v>
      </c>
      <c r="K16292" s="3" t="s">
        <v>82180</v>
      </c>
      <c r="L16292" s="3"/>
      <c r="M16292" s="4"/>
      <c r="N16292" s="3" t="s">
        <v>37</v>
      </c>
      <c r="O16292" s="3" t="s">
        <v>38</v>
      </c>
      <c r="P16292" s="5">
        <v>40</v>
      </c>
      <c r="Q16292" s="5">
        <v>1339</v>
      </c>
      <c r="R16292" s="5">
        <v>37</v>
      </c>
      <c r="S16292" s="5">
        <v>1184</v>
      </c>
    </row>
    <row r="16293" spans="1:19" ht="28" x14ac:dyDescent="0.15">
      <c r="A16293" s="2">
        <f>HYPERLINK("https://open-school.uspishnemisto.com.ua/school/800051/", 800051)</f>
        <v>800051</v>
      </c>
      <c r="B16293" s="3" t="s">
        <v>82181</v>
      </c>
      <c r="C16293" s="3" t="s">
        <v>40</v>
      </c>
      <c r="D16293" s="3" t="s">
        <v>32</v>
      </c>
      <c r="E16293" s="4" t="s">
        <v>22</v>
      </c>
      <c r="F16293" s="4" t="s">
        <v>82182</v>
      </c>
      <c r="G16293" s="4" t="s">
        <v>82172</v>
      </c>
      <c r="H16293" s="3" t="s">
        <v>81975</v>
      </c>
      <c r="I16293" s="3" t="s">
        <v>82173</v>
      </c>
      <c r="J16293" s="3" t="s">
        <v>82183</v>
      </c>
      <c r="K16293" s="3" t="s">
        <v>82184</v>
      </c>
      <c r="L16293" s="3" t="s">
        <v>82185</v>
      </c>
      <c r="M16293" s="4"/>
      <c r="N16293" s="3" t="s">
        <v>37</v>
      </c>
      <c r="O16293" s="3" t="s">
        <v>2740</v>
      </c>
      <c r="P16293" s="5">
        <v>31</v>
      </c>
      <c r="Q16293" s="5">
        <v>828</v>
      </c>
      <c r="R16293" s="5">
        <v>29</v>
      </c>
      <c r="S16293" s="5">
        <v>732</v>
      </c>
    </row>
    <row r="16294" spans="1:19" ht="28" x14ac:dyDescent="0.15">
      <c r="A16294" s="2">
        <f>HYPERLINK("https://open-school.uspishnemisto.com.ua/school/800052/", 800052)</f>
        <v>800052</v>
      </c>
      <c r="B16294" s="3" t="s">
        <v>82186</v>
      </c>
      <c r="C16294" s="3" t="s">
        <v>40</v>
      </c>
      <c r="D16294" s="3" t="s">
        <v>32</v>
      </c>
      <c r="E16294" s="4" t="s">
        <v>22</v>
      </c>
      <c r="F16294" s="4" t="s">
        <v>82187</v>
      </c>
      <c r="G16294" s="4" t="s">
        <v>82172</v>
      </c>
      <c r="H16294" s="3" t="s">
        <v>81975</v>
      </c>
      <c r="I16294" s="3" t="s">
        <v>82173</v>
      </c>
      <c r="J16294" s="3" t="s">
        <v>82188</v>
      </c>
      <c r="K16294" s="3" t="s">
        <v>82189</v>
      </c>
      <c r="L16294" s="3" t="s">
        <v>82190</v>
      </c>
      <c r="M16294" s="4"/>
      <c r="N16294" s="3" t="s">
        <v>37</v>
      </c>
      <c r="O16294" s="3" t="s">
        <v>82191</v>
      </c>
      <c r="P16294" s="5">
        <v>30</v>
      </c>
      <c r="Q16294" s="5">
        <v>840</v>
      </c>
      <c r="R16294" s="5">
        <v>29</v>
      </c>
      <c r="S16294" s="5">
        <v>800</v>
      </c>
    </row>
    <row r="16295" spans="1:19" ht="28" x14ac:dyDescent="0.15">
      <c r="A16295" s="2">
        <f>HYPERLINK("https://open-school.uspishnemisto.com.ua/school/800053/", 800053)</f>
        <v>800053</v>
      </c>
      <c r="B16295" s="3" t="s">
        <v>82192</v>
      </c>
      <c r="C16295" s="3" t="s">
        <v>40</v>
      </c>
      <c r="D16295" s="3" t="s">
        <v>32</v>
      </c>
      <c r="E16295" s="4" t="s">
        <v>22</v>
      </c>
      <c r="F16295" s="4" t="s">
        <v>82187</v>
      </c>
      <c r="G16295" s="4" t="s">
        <v>82172</v>
      </c>
      <c r="H16295" s="3" t="s">
        <v>81975</v>
      </c>
      <c r="I16295" s="3" t="s">
        <v>82173</v>
      </c>
      <c r="J16295" s="3" t="s">
        <v>82193</v>
      </c>
      <c r="K16295" s="3" t="s">
        <v>82194</v>
      </c>
      <c r="L16295" s="3" t="s">
        <v>82195</v>
      </c>
      <c r="M16295" s="4"/>
      <c r="N16295" s="3" t="s">
        <v>37</v>
      </c>
      <c r="O16295" s="3" t="s">
        <v>46</v>
      </c>
      <c r="P16295" s="5">
        <v>31</v>
      </c>
      <c r="Q16295" s="5">
        <v>978</v>
      </c>
      <c r="R16295" s="5">
        <v>31</v>
      </c>
      <c r="S16295" s="5">
        <v>966</v>
      </c>
    </row>
    <row r="16296" spans="1:19" ht="28" x14ac:dyDescent="0.15">
      <c r="A16296" s="2">
        <f>HYPERLINK("https://open-school.uspishnemisto.com.ua/school/800054/", 800054)</f>
        <v>800054</v>
      </c>
      <c r="B16296" s="3" t="s">
        <v>82196</v>
      </c>
      <c r="C16296" s="3" t="s">
        <v>40</v>
      </c>
      <c r="D16296" s="3" t="s">
        <v>32</v>
      </c>
      <c r="E16296" s="4" t="s">
        <v>22</v>
      </c>
      <c r="F16296" s="4" t="s">
        <v>82187</v>
      </c>
      <c r="G16296" s="4" t="s">
        <v>82172</v>
      </c>
      <c r="H16296" s="3" t="s">
        <v>81975</v>
      </c>
      <c r="I16296" s="3" t="s">
        <v>82173</v>
      </c>
      <c r="J16296" s="3" t="s">
        <v>82197</v>
      </c>
      <c r="K16296" s="3" t="s">
        <v>82198</v>
      </c>
      <c r="L16296" s="3"/>
      <c r="M16296" s="4"/>
      <c r="N16296" s="3" t="s">
        <v>37</v>
      </c>
      <c r="O16296" s="3" t="s">
        <v>82199</v>
      </c>
      <c r="P16296" s="5">
        <v>48</v>
      </c>
      <c r="Q16296" s="5">
        <v>1539</v>
      </c>
      <c r="R16296" s="5">
        <v>47</v>
      </c>
      <c r="S16296" s="5">
        <v>1501</v>
      </c>
    </row>
    <row r="16297" spans="1:19" ht="28" x14ac:dyDescent="0.15">
      <c r="A16297" s="2">
        <f>HYPERLINK("https://open-school.uspishnemisto.com.ua/school/800055/", 800055)</f>
        <v>800055</v>
      </c>
      <c r="B16297" s="3" t="s">
        <v>82200</v>
      </c>
      <c r="C16297" s="3" t="s">
        <v>40</v>
      </c>
      <c r="D16297" s="3" t="s">
        <v>32</v>
      </c>
      <c r="E16297" s="4" t="s">
        <v>22</v>
      </c>
      <c r="F16297" s="4" t="s">
        <v>82171</v>
      </c>
      <c r="G16297" s="4" t="s">
        <v>82172</v>
      </c>
      <c r="H16297" s="3" t="s">
        <v>81975</v>
      </c>
      <c r="I16297" s="3" t="s">
        <v>82173</v>
      </c>
      <c r="J16297" s="3" t="s">
        <v>82201</v>
      </c>
      <c r="K16297" s="3" t="s">
        <v>82202</v>
      </c>
      <c r="L16297" s="3" t="s">
        <v>82203</v>
      </c>
      <c r="M16297" s="4"/>
      <c r="N16297" s="3" t="s">
        <v>37</v>
      </c>
      <c r="O16297" s="3" t="s">
        <v>123</v>
      </c>
      <c r="P16297" s="5">
        <v>39</v>
      </c>
      <c r="Q16297" s="5">
        <v>1420</v>
      </c>
      <c r="R16297" s="5">
        <v>40</v>
      </c>
      <c r="S16297" s="5">
        <v>1439</v>
      </c>
    </row>
    <row r="16298" spans="1:19" ht="42" x14ac:dyDescent="0.15">
      <c r="A16298" s="2">
        <f>HYPERLINK("https://open-school.uspishnemisto.com.ua/school/800056/", 800056)</f>
        <v>800056</v>
      </c>
      <c r="B16298" s="3" t="s">
        <v>82204</v>
      </c>
      <c r="C16298" s="3" t="s">
        <v>40</v>
      </c>
      <c r="D16298" s="3" t="s">
        <v>32</v>
      </c>
      <c r="E16298" s="4" t="s">
        <v>22</v>
      </c>
      <c r="F16298" s="4" t="s">
        <v>82178</v>
      </c>
      <c r="G16298" s="4" t="s">
        <v>82172</v>
      </c>
      <c r="H16298" s="3" t="s">
        <v>81975</v>
      </c>
      <c r="I16298" s="3" t="s">
        <v>82173</v>
      </c>
      <c r="J16298" s="3" t="s">
        <v>82205</v>
      </c>
      <c r="K16298" s="3" t="s">
        <v>82206</v>
      </c>
      <c r="L16298" s="3" t="s">
        <v>82207</v>
      </c>
      <c r="M16298" s="4"/>
      <c r="N16298" s="3" t="s">
        <v>37</v>
      </c>
      <c r="O16298" s="3" t="s">
        <v>197</v>
      </c>
      <c r="P16298" s="5">
        <v>41</v>
      </c>
      <c r="Q16298" s="5">
        <v>1350</v>
      </c>
      <c r="R16298" s="5">
        <v>41</v>
      </c>
      <c r="S16298" s="5">
        <v>1362</v>
      </c>
    </row>
    <row r="16299" spans="1:19" ht="28" x14ac:dyDescent="0.15">
      <c r="A16299" s="2">
        <f>HYPERLINK("https://open-school.uspishnemisto.com.ua/school/800057/", 800057)</f>
        <v>800057</v>
      </c>
      <c r="B16299" s="3" t="s">
        <v>82208</v>
      </c>
      <c r="C16299" s="3" t="s">
        <v>40</v>
      </c>
      <c r="D16299" s="3" t="s">
        <v>32</v>
      </c>
      <c r="E16299" s="4" t="s">
        <v>22</v>
      </c>
      <c r="F16299" s="4" t="s">
        <v>82178</v>
      </c>
      <c r="G16299" s="4" t="s">
        <v>82172</v>
      </c>
      <c r="H16299" s="3" t="s">
        <v>81975</v>
      </c>
      <c r="I16299" s="3" t="s">
        <v>82173</v>
      </c>
      <c r="J16299" s="3" t="s">
        <v>82209</v>
      </c>
      <c r="K16299" s="3" t="s">
        <v>82210</v>
      </c>
      <c r="L16299" s="3" t="s">
        <v>82211</v>
      </c>
      <c r="M16299" s="4"/>
      <c r="N16299" s="3" t="s">
        <v>37</v>
      </c>
      <c r="O16299" s="3" t="s">
        <v>46</v>
      </c>
      <c r="P16299" s="5">
        <v>53</v>
      </c>
      <c r="Q16299" s="5">
        <v>1725</v>
      </c>
      <c r="R16299" s="5">
        <v>53</v>
      </c>
      <c r="S16299" s="5">
        <v>1677</v>
      </c>
    </row>
    <row r="16300" spans="1:19" ht="28" x14ac:dyDescent="0.15">
      <c r="A16300" s="2">
        <f>HYPERLINK("https://open-school.uspishnemisto.com.ua/school/800058/", 800058)</f>
        <v>800058</v>
      </c>
      <c r="B16300" s="3" t="s">
        <v>82212</v>
      </c>
      <c r="C16300" s="3" t="s">
        <v>40</v>
      </c>
      <c r="D16300" s="3" t="s">
        <v>32</v>
      </c>
      <c r="E16300" s="4" t="s">
        <v>22</v>
      </c>
      <c r="F16300" s="4" t="s">
        <v>82171</v>
      </c>
      <c r="G16300" s="4" t="s">
        <v>82172</v>
      </c>
      <c r="H16300" s="3" t="s">
        <v>81975</v>
      </c>
      <c r="I16300" s="3" t="s">
        <v>82173</v>
      </c>
      <c r="J16300" s="3" t="s">
        <v>82213</v>
      </c>
      <c r="K16300" s="3" t="s">
        <v>82214</v>
      </c>
      <c r="L16300" s="3" t="s">
        <v>82215</v>
      </c>
      <c r="M16300" s="4"/>
      <c r="N16300" s="3" t="s">
        <v>37</v>
      </c>
      <c r="O16300" s="3" t="s">
        <v>52</v>
      </c>
      <c r="P16300" s="5">
        <v>41</v>
      </c>
      <c r="Q16300" s="5">
        <v>1335</v>
      </c>
      <c r="R16300" s="5">
        <v>44</v>
      </c>
      <c r="S16300" s="5">
        <v>1436</v>
      </c>
    </row>
    <row r="16301" spans="1:19" ht="28" x14ac:dyDescent="0.15">
      <c r="A16301" s="2">
        <f>HYPERLINK("https://open-school.uspishnemisto.com.ua/school/800059/", 800059)</f>
        <v>800059</v>
      </c>
      <c r="B16301" s="3" t="s">
        <v>82216</v>
      </c>
      <c r="C16301" s="3" t="s">
        <v>188</v>
      </c>
      <c r="D16301" s="3" t="s">
        <v>32</v>
      </c>
      <c r="E16301" s="4" t="s">
        <v>22</v>
      </c>
      <c r="F16301" s="4" t="s">
        <v>82182</v>
      </c>
      <c r="G16301" s="4" t="s">
        <v>82172</v>
      </c>
      <c r="H16301" s="3" t="s">
        <v>81975</v>
      </c>
      <c r="I16301" s="3" t="s">
        <v>82173</v>
      </c>
      <c r="J16301" s="3" t="s">
        <v>82217</v>
      </c>
      <c r="K16301" s="3" t="s">
        <v>82218</v>
      </c>
      <c r="L16301" s="3" t="s">
        <v>82219</v>
      </c>
      <c r="M16301" s="4"/>
      <c r="N16301" s="3" t="s">
        <v>37</v>
      </c>
      <c r="O16301" s="3" t="s">
        <v>52</v>
      </c>
      <c r="P16301" s="5">
        <v>31</v>
      </c>
      <c r="Q16301" s="5">
        <v>1013</v>
      </c>
      <c r="R16301" s="5">
        <v>33</v>
      </c>
      <c r="S16301" s="5">
        <v>1071</v>
      </c>
    </row>
    <row r="16302" spans="1:19" ht="28" x14ac:dyDescent="0.15">
      <c r="A16302" s="2">
        <f>HYPERLINK("https://open-school.uspishnemisto.com.ua/school/800060/", 800060)</f>
        <v>800060</v>
      </c>
      <c r="B16302" s="3" t="s">
        <v>82220</v>
      </c>
      <c r="C16302" s="3" t="s">
        <v>188</v>
      </c>
      <c r="D16302" s="3" t="s">
        <v>32</v>
      </c>
      <c r="E16302" s="4" t="s">
        <v>22</v>
      </c>
      <c r="F16302" s="4" t="s">
        <v>82171</v>
      </c>
      <c r="G16302" s="4" t="s">
        <v>82172</v>
      </c>
      <c r="H16302" s="3" t="s">
        <v>81975</v>
      </c>
      <c r="I16302" s="3" t="s">
        <v>82173</v>
      </c>
      <c r="J16302" s="3" t="s">
        <v>82221</v>
      </c>
      <c r="K16302" s="3" t="s">
        <v>82222</v>
      </c>
      <c r="L16302" s="3" t="s">
        <v>82223</v>
      </c>
      <c r="M16302" s="4"/>
      <c r="N16302" s="3" t="s">
        <v>37</v>
      </c>
      <c r="O16302" s="3" t="s">
        <v>46</v>
      </c>
      <c r="P16302" s="5">
        <v>36</v>
      </c>
      <c r="Q16302" s="5">
        <v>1082</v>
      </c>
      <c r="R16302" s="5">
        <v>35</v>
      </c>
      <c r="S16302" s="5">
        <v>1062</v>
      </c>
    </row>
    <row r="16303" spans="1:19" ht="28" x14ac:dyDescent="0.15">
      <c r="A16303" s="2">
        <f>HYPERLINK("https://open-school.uspishnemisto.com.ua/school/800061/", 800061)</f>
        <v>800061</v>
      </c>
      <c r="B16303" s="3" t="s">
        <v>82224</v>
      </c>
      <c r="C16303" s="3" t="s">
        <v>188</v>
      </c>
      <c r="D16303" s="3" t="s">
        <v>32</v>
      </c>
      <c r="E16303" s="4" t="s">
        <v>22</v>
      </c>
      <c r="F16303" s="4" t="s">
        <v>82171</v>
      </c>
      <c r="G16303" s="4" t="s">
        <v>82172</v>
      </c>
      <c r="H16303" s="3" t="s">
        <v>81975</v>
      </c>
      <c r="I16303" s="3" t="s">
        <v>82173</v>
      </c>
      <c r="J16303" s="3" t="s">
        <v>82225</v>
      </c>
      <c r="K16303" s="3" t="s">
        <v>82226</v>
      </c>
      <c r="L16303" s="3" t="s">
        <v>82227</v>
      </c>
      <c r="M16303" s="4"/>
      <c r="N16303" s="3" t="s">
        <v>37</v>
      </c>
      <c r="O16303" s="3" t="s">
        <v>70</v>
      </c>
      <c r="P16303" s="5">
        <v>45</v>
      </c>
      <c r="Q16303" s="5">
        <v>1355</v>
      </c>
      <c r="R16303" s="5">
        <v>45</v>
      </c>
      <c r="S16303" s="5">
        <v>1267</v>
      </c>
    </row>
    <row r="16304" spans="1:19" ht="28" x14ac:dyDescent="0.15">
      <c r="A16304" s="2">
        <f>HYPERLINK("https://open-school.uspishnemisto.com.ua/school/800062/", 800062)</f>
        <v>800062</v>
      </c>
      <c r="B16304" s="3" t="s">
        <v>82228</v>
      </c>
      <c r="C16304" s="3" t="s">
        <v>244</v>
      </c>
      <c r="D16304" s="3" t="s">
        <v>32</v>
      </c>
      <c r="E16304" s="4" t="s">
        <v>41</v>
      </c>
      <c r="F16304" s="4" t="s">
        <v>82182</v>
      </c>
      <c r="G16304" s="4" t="s">
        <v>82172</v>
      </c>
      <c r="H16304" s="3" t="s">
        <v>81975</v>
      </c>
      <c r="I16304" s="3" t="s">
        <v>82173</v>
      </c>
      <c r="J16304" s="3" t="s">
        <v>82229</v>
      </c>
      <c r="K16304" s="3" t="s">
        <v>82230</v>
      </c>
      <c r="L16304" s="3" t="s">
        <v>82231</v>
      </c>
      <c r="M16304" s="4"/>
      <c r="N16304" s="3" t="s">
        <v>37</v>
      </c>
      <c r="O16304" s="3" t="s">
        <v>123</v>
      </c>
      <c r="P16304" s="5">
        <v>16</v>
      </c>
      <c r="Q16304" s="5">
        <v>210</v>
      </c>
      <c r="R16304" s="5">
        <v>16</v>
      </c>
      <c r="S16304" s="5">
        <v>209</v>
      </c>
    </row>
    <row r="16305" spans="1:19" ht="28" x14ac:dyDescent="0.15">
      <c r="A16305" s="2">
        <f>HYPERLINK("https://open-school.uspishnemisto.com.ua/school/800063/", 800063)</f>
        <v>800063</v>
      </c>
      <c r="B16305" s="3" t="s">
        <v>82232</v>
      </c>
      <c r="C16305" s="3" t="s">
        <v>54</v>
      </c>
      <c r="D16305" s="3" t="s">
        <v>32</v>
      </c>
      <c r="E16305" s="4" t="s">
        <v>41</v>
      </c>
      <c r="F16305" s="4"/>
      <c r="G16305" s="4" t="s">
        <v>82172</v>
      </c>
      <c r="H16305" s="3" t="s">
        <v>81975</v>
      </c>
      <c r="I16305" s="3" t="s">
        <v>82173</v>
      </c>
      <c r="J16305" s="3" t="s">
        <v>82233</v>
      </c>
      <c r="K16305" s="3"/>
      <c r="L16305" s="3"/>
      <c r="M16305" s="4"/>
      <c r="N16305" s="3"/>
      <c r="O16305" s="3"/>
      <c r="P16305" s="5">
        <v>0</v>
      </c>
      <c r="Q16305" s="5">
        <v>0</v>
      </c>
      <c r="R16305" s="5">
        <v>0</v>
      </c>
      <c r="S16305" s="5">
        <v>0</v>
      </c>
    </row>
    <row r="16306" spans="1:19" ht="28" x14ac:dyDescent="0.15">
      <c r="A16306" s="2">
        <f>HYPERLINK("https://open-school.uspishnemisto.com.ua/school/800064/", 800064)</f>
        <v>800064</v>
      </c>
      <c r="B16306" s="3" t="s">
        <v>82234</v>
      </c>
      <c r="C16306" s="3" t="s">
        <v>40</v>
      </c>
      <c r="D16306" s="3" t="s">
        <v>32</v>
      </c>
      <c r="E16306" s="4" t="s">
        <v>22</v>
      </c>
      <c r="F16306" s="4" t="s">
        <v>82171</v>
      </c>
      <c r="G16306" s="4" t="s">
        <v>82172</v>
      </c>
      <c r="H16306" s="3" t="s">
        <v>81975</v>
      </c>
      <c r="I16306" s="3" t="s">
        <v>82173</v>
      </c>
      <c r="J16306" s="3" t="s">
        <v>82235</v>
      </c>
      <c r="K16306" s="3" t="s">
        <v>82236</v>
      </c>
      <c r="L16306" s="3" t="s">
        <v>82237</v>
      </c>
      <c r="M16306" s="4"/>
      <c r="N16306" s="3" t="s">
        <v>37</v>
      </c>
      <c r="O16306" s="3" t="s">
        <v>139</v>
      </c>
      <c r="P16306" s="5">
        <v>57</v>
      </c>
      <c r="Q16306" s="5">
        <v>1847</v>
      </c>
      <c r="R16306" s="5">
        <v>54</v>
      </c>
      <c r="S16306" s="5">
        <v>1748</v>
      </c>
    </row>
    <row r="16307" spans="1:19" ht="28" x14ac:dyDescent="0.15">
      <c r="A16307" s="2">
        <f>HYPERLINK("https://open-school.uspishnemisto.com.ua/school/800065/", 800065)</f>
        <v>800065</v>
      </c>
      <c r="B16307" s="3" t="s">
        <v>82238</v>
      </c>
      <c r="C16307" s="3" t="s">
        <v>31</v>
      </c>
      <c r="D16307" s="3" t="s">
        <v>32</v>
      </c>
      <c r="E16307" s="4" t="s">
        <v>22</v>
      </c>
      <c r="F16307" s="4" t="s">
        <v>82171</v>
      </c>
      <c r="G16307" s="4" t="s">
        <v>82172</v>
      </c>
      <c r="H16307" s="3" t="s">
        <v>81975</v>
      </c>
      <c r="I16307" s="3" t="s">
        <v>82173</v>
      </c>
      <c r="J16307" s="3" t="s">
        <v>82239</v>
      </c>
      <c r="K16307" s="3" t="s">
        <v>82240</v>
      </c>
      <c r="L16307" s="3" t="s">
        <v>82241</v>
      </c>
      <c r="M16307" s="4"/>
      <c r="N16307" s="3" t="s">
        <v>37</v>
      </c>
      <c r="O16307" s="3" t="s">
        <v>46</v>
      </c>
      <c r="P16307" s="5">
        <v>31</v>
      </c>
      <c r="Q16307" s="5">
        <v>920</v>
      </c>
      <c r="R16307" s="5">
        <v>27</v>
      </c>
      <c r="S16307" s="5">
        <v>777</v>
      </c>
    </row>
    <row r="16308" spans="1:19" ht="28" x14ac:dyDescent="0.15">
      <c r="A16308" s="2">
        <f>HYPERLINK("https://open-school.uspishnemisto.com.ua/school/800066/", 800066)</f>
        <v>800066</v>
      </c>
      <c r="B16308" s="3" t="s">
        <v>82242</v>
      </c>
      <c r="C16308" s="3" t="s">
        <v>31</v>
      </c>
      <c r="D16308" s="3" t="s">
        <v>60</v>
      </c>
      <c r="E16308" s="4" t="s">
        <v>22</v>
      </c>
      <c r="F16308" s="4" t="s">
        <v>82171</v>
      </c>
      <c r="G16308" s="4" t="s">
        <v>82172</v>
      </c>
      <c r="H16308" s="3" t="s">
        <v>81975</v>
      </c>
      <c r="I16308" s="3" t="s">
        <v>82173</v>
      </c>
      <c r="J16308" s="3" t="s">
        <v>82174</v>
      </c>
      <c r="K16308" s="3" t="s">
        <v>82243</v>
      </c>
      <c r="L16308" s="3" t="s">
        <v>82244</v>
      </c>
      <c r="M16308" s="4"/>
      <c r="N16308" s="3" t="s">
        <v>37</v>
      </c>
      <c r="O16308" s="3" t="s">
        <v>52</v>
      </c>
      <c r="P16308" s="5">
        <v>15</v>
      </c>
      <c r="Q16308" s="5">
        <v>601</v>
      </c>
      <c r="R16308" s="5">
        <v>13</v>
      </c>
      <c r="S16308" s="5">
        <v>507</v>
      </c>
    </row>
    <row r="16309" spans="1:19" ht="42" x14ac:dyDescent="0.15">
      <c r="A16309" s="2">
        <f>HYPERLINK("https://open-school.uspishnemisto.com.ua/school/800067/", 800067)</f>
        <v>800067</v>
      </c>
      <c r="B16309" s="3" t="s">
        <v>82245</v>
      </c>
      <c r="C16309" s="3" t="s">
        <v>244</v>
      </c>
      <c r="D16309" s="3" t="s">
        <v>32</v>
      </c>
      <c r="E16309" s="4" t="s">
        <v>22</v>
      </c>
      <c r="F16309" s="4" t="s">
        <v>82246</v>
      </c>
      <c r="G16309" s="4" t="s">
        <v>82172</v>
      </c>
      <c r="H16309" s="3" t="s">
        <v>81975</v>
      </c>
      <c r="I16309" s="3" t="s">
        <v>82173</v>
      </c>
      <c r="J16309" s="3" t="s">
        <v>82247</v>
      </c>
      <c r="K16309" s="3" t="s">
        <v>82248</v>
      </c>
      <c r="L16309" s="3" t="s">
        <v>82249</v>
      </c>
      <c r="M16309" s="4"/>
      <c r="N16309" s="3" t="s">
        <v>37</v>
      </c>
      <c r="O16309" s="3" t="s">
        <v>70</v>
      </c>
      <c r="P16309" s="5">
        <v>33</v>
      </c>
      <c r="Q16309" s="5">
        <v>930</v>
      </c>
      <c r="R16309" s="5">
        <v>33</v>
      </c>
      <c r="S16309" s="5">
        <v>910</v>
      </c>
    </row>
    <row r="16310" spans="1:19" ht="28" x14ac:dyDescent="0.15">
      <c r="A16310" s="2">
        <f>HYPERLINK("https://open-school.uspishnemisto.com.ua/school/800068/", 800068)</f>
        <v>800068</v>
      </c>
      <c r="B16310" s="3" t="s">
        <v>82250</v>
      </c>
      <c r="C16310" s="3" t="s">
        <v>244</v>
      </c>
      <c r="D16310" s="3" t="s">
        <v>32</v>
      </c>
      <c r="E16310" s="4" t="s">
        <v>22</v>
      </c>
      <c r="F16310" s="4" t="s">
        <v>82187</v>
      </c>
      <c r="G16310" s="4" t="s">
        <v>82172</v>
      </c>
      <c r="H16310" s="3" t="s">
        <v>81975</v>
      </c>
      <c r="I16310" s="3" t="s">
        <v>82173</v>
      </c>
      <c r="J16310" s="3" t="s">
        <v>82251</v>
      </c>
      <c r="K16310" s="3" t="s">
        <v>82252</v>
      </c>
      <c r="L16310" s="3" t="s">
        <v>82253</v>
      </c>
      <c r="M16310" s="4"/>
      <c r="N16310" s="3" t="s">
        <v>37</v>
      </c>
      <c r="O16310" s="3" t="s">
        <v>70</v>
      </c>
      <c r="P16310" s="5">
        <v>26</v>
      </c>
      <c r="Q16310" s="5">
        <v>844</v>
      </c>
      <c r="R16310" s="5">
        <v>27</v>
      </c>
      <c r="S16310" s="5">
        <v>801</v>
      </c>
    </row>
    <row r="16311" spans="1:19" ht="28" x14ac:dyDescent="0.15">
      <c r="A16311" s="2">
        <f>HYPERLINK("https://open-school.uspishnemisto.com.ua/school/800069/", 800069)</f>
        <v>800069</v>
      </c>
      <c r="B16311" s="3" t="s">
        <v>82254</v>
      </c>
      <c r="C16311" s="3" t="s">
        <v>244</v>
      </c>
      <c r="D16311" s="3" t="s">
        <v>32</v>
      </c>
      <c r="E16311" s="4" t="s">
        <v>22</v>
      </c>
      <c r="F16311" s="4" t="s">
        <v>82171</v>
      </c>
      <c r="G16311" s="4" t="s">
        <v>82172</v>
      </c>
      <c r="H16311" s="3" t="s">
        <v>81975</v>
      </c>
      <c r="I16311" s="3" t="s">
        <v>82173</v>
      </c>
      <c r="J16311" s="3" t="s">
        <v>82255</v>
      </c>
      <c r="K16311" s="3" t="s">
        <v>82256</v>
      </c>
      <c r="L16311" s="3" t="s">
        <v>82257</v>
      </c>
      <c r="M16311" s="4"/>
      <c r="N16311" s="3" t="s">
        <v>37</v>
      </c>
      <c r="O16311" s="3" t="s">
        <v>46</v>
      </c>
      <c r="P16311" s="5">
        <v>49</v>
      </c>
      <c r="Q16311" s="5">
        <v>1447</v>
      </c>
      <c r="R16311" s="5">
        <v>51</v>
      </c>
      <c r="S16311" s="5">
        <v>1474</v>
      </c>
    </row>
    <row r="16312" spans="1:19" ht="28" x14ac:dyDescent="0.15">
      <c r="A16312" s="2">
        <f>HYPERLINK("https://open-school.uspishnemisto.com.ua/school/800070/", 800070)</f>
        <v>800070</v>
      </c>
      <c r="B16312" s="3" t="s">
        <v>82258</v>
      </c>
      <c r="C16312" s="3" t="s">
        <v>244</v>
      </c>
      <c r="D16312" s="3" t="s">
        <v>32</v>
      </c>
      <c r="E16312" s="4" t="s">
        <v>22</v>
      </c>
      <c r="F16312" s="4" t="s">
        <v>82259</v>
      </c>
      <c r="G16312" s="4" t="s">
        <v>82172</v>
      </c>
      <c r="H16312" s="3" t="s">
        <v>81975</v>
      </c>
      <c r="I16312" s="3" t="s">
        <v>82173</v>
      </c>
      <c r="J16312" s="3" t="s">
        <v>82260</v>
      </c>
      <c r="K16312" s="3" t="s">
        <v>82261</v>
      </c>
      <c r="L16312" s="3" t="s">
        <v>82262</v>
      </c>
      <c r="M16312" s="4"/>
      <c r="N16312" s="3" t="s">
        <v>37</v>
      </c>
      <c r="O16312" s="3" t="s">
        <v>46</v>
      </c>
      <c r="P16312" s="5">
        <v>45</v>
      </c>
      <c r="Q16312" s="5">
        <v>1411</v>
      </c>
      <c r="R16312" s="5">
        <v>45</v>
      </c>
      <c r="S16312" s="5">
        <v>1393</v>
      </c>
    </row>
    <row r="16313" spans="1:19" ht="28" x14ac:dyDescent="0.15">
      <c r="A16313" s="2">
        <f>HYPERLINK("https://open-school.uspishnemisto.com.ua/school/800071/", 800071)</f>
        <v>800071</v>
      </c>
      <c r="B16313" s="3" t="s">
        <v>82263</v>
      </c>
      <c r="C16313" s="3" t="s">
        <v>244</v>
      </c>
      <c r="D16313" s="3" t="s">
        <v>32</v>
      </c>
      <c r="E16313" s="4" t="s">
        <v>22</v>
      </c>
      <c r="F16313" s="4" t="s">
        <v>82178</v>
      </c>
      <c r="G16313" s="4" t="s">
        <v>82172</v>
      </c>
      <c r="H16313" s="3" t="s">
        <v>81975</v>
      </c>
      <c r="I16313" s="3" t="s">
        <v>82173</v>
      </c>
      <c r="J16313" s="3" t="s">
        <v>82264</v>
      </c>
      <c r="K16313" s="3" t="s">
        <v>82265</v>
      </c>
      <c r="L16313" s="3" t="s">
        <v>82266</v>
      </c>
      <c r="M16313" s="4"/>
      <c r="N16313" s="3" t="s">
        <v>37</v>
      </c>
      <c r="O16313" s="3" t="s">
        <v>70</v>
      </c>
      <c r="P16313" s="5">
        <v>38</v>
      </c>
      <c r="Q16313" s="5">
        <v>1118</v>
      </c>
      <c r="R16313" s="5">
        <v>36</v>
      </c>
      <c r="S16313" s="5">
        <v>1051</v>
      </c>
    </row>
    <row r="16314" spans="1:19" ht="42" x14ac:dyDescent="0.15">
      <c r="A16314" s="2">
        <f>HYPERLINK("https://open-school.uspishnemisto.com.ua/school/800072/", 800072)</f>
        <v>800072</v>
      </c>
      <c r="B16314" s="3" t="s">
        <v>82267</v>
      </c>
      <c r="C16314" s="3" t="s">
        <v>244</v>
      </c>
      <c r="D16314" s="3" t="s">
        <v>32</v>
      </c>
      <c r="E16314" s="4" t="s">
        <v>22</v>
      </c>
      <c r="F16314" s="4" t="s">
        <v>82259</v>
      </c>
      <c r="G16314" s="4" t="s">
        <v>82172</v>
      </c>
      <c r="H16314" s="3" t="s">
        <v>81975</v>
      </c>
      <c r="I16314" s="3" t="s">
        <v>82173</v>
      </c>
      <c r="J16314" s="3" t="s">
        <v>82268</v>
      </c>
      <c r="K16314" s="3" t="s">
        <v>82269</v>
      </c>
      <c r="L16314" s="3" t="s">
        <v>82270</v>
      </c>
      <c r="M16314" s="4"/>
      <c r="N16314" s="3" t="s">
        <v>37</v>
      </c>
      <c r="O16314" s="3" t="s">
        <v>123</v>
      </c>
      <c r="P16314" s="5">
        <v>62</v>
      </c>
      <c r="Q16314" s="5">
        <v>2284</v>
      </c>
      <c r="R16314" s="5">
        <v>62</v>
      </c>
      <c r="S16314" s="5">
        <v>2249</v>
      </c>
    </row>
    <row r="16315" spans="1:19" ht="42" x14ac:dyDescent="0.15">
      <c r="A16315" s="2">
        <f>HYPERLINK("https://open-school.uspishnemisto.com.ua/school/800073/", 800073)</f>
        <v>800073</v>
      </c>
      <c r="B16315" s="3" t="s">
        <v>82271</v>
      </c>
      <c r="C16315" s="3" t="s">
        <v>244</v>
      </c>
      <c r="D16315" s="3" t="s">
        <v>32</v>
      </c>
      <c r="E16315" s="4" t="s">
        <v>22</v>
      </c>
      <c r="F16315" s="4" t="s">
        <v>82182</v>
      </c>
      <c r="G16315" s="4" t="s">
        <v>82172</v>
      </c>
      <c r="H16315" s="3" t="s">
        <v>81975</v>
      </c>
      <c r="I16315" s="3" t="s">
        <v>82173</v>
      </c>
      <c r="J16315" s="3" t="s">
        <v>82272</v>
      </c>
      <c r="K16315" s="3" t="s">
        <v>82273</v>
      </c>
      <c r="L16315" s="3" t="s">
        <v>82274</v>
      </c>
      <c r="M16315" s="4"/>
      <c r="N16315" s="3" t="s">
        <v>37</v>
      </c>
      <c r="O16315" s="3" t="s">
        <v>70</v>
      </c>
      <c r="P16315" s="5">
        <v>34</v>
      </c>
      <c r="Q16315" s="5">
        <v>1002</v>
      </c>
      <c r="R16315" s="5">
        <v>34</v>
      </c>
      <c r="S16315" s="5">
        <v>1025</v>
      </c>
    </row>
    <row r="16316" spans="1:19" ht="42" x14ac:dyDescent="0.15">
      <c r="A16316" s="2">
        <f>HYPERLINK("https://open-school.uspishnemisto.com.ua/school/800074/", 800074)</f>
        <v>800074</v>
      </c>
      <c r="B16316" s="3" t="s">
        <v>82275</v>
      </c>
      <c r="C16316" s="3" t="s">
        <v>244</v>
      </c>
      <c r="D16316" s="3" t="s">
        <v>32</v>
      </c>
      <c r="E16316" s="4" t="s">
        <v>22</v>
      </c>
      <c r="F16316" s="4" t="s">
        <v>82276</v>
      </c>
      <c r="G16316" s="4" t="s">
        <v>82172</v>
      </c>
      <c r="H16316" s="3" t="s">
        <v>81975</v>
      </c>
      <c r="I16316" s="3" t="s">
        <v>82173</v>
      </c>
      <c r="J16316" s="3" t="s">
        <v>82277</v>
      </c>
      <c r="K16316" s="3" t="s">
        <v>82278</v>
      </c>
      <c r="L16316" s="3" t="s">
        <v>82279</v>
      </c>
      <c r="M16316" s="4"/>
      <c r="N16316" s="3" t="s">
        <v>37</v>
      </c>
      <c r="O16316" s="3" t="s">
        <v>70</v>
      </c>
      <c r="P16316" s="5">
        <v>31</v>
      </c>
      <c r="Q16316" s="5">
        <v>843</v>
      </c>
      <c r="R16316" s="5">
        <v>29</v>
      </c>
      <c r="S16316" s="5">
        <v>817</v>
      </c>
    </row>
    <row r="16317" spans="1:19" ht="28" x14ac:dyDescent="0.15">
      <c r="A16317" s="2">
        <f>HYPERLINK("https://open-school.uspishnemisto.com.ua/school/800075/", 800075)</f>
        <v>800075</v>
      </c>
      <c r="B16317" s="3" t="s">
        <v>82280</v>
      </c>
      <c r="C16317" s="3" t="s">
        <v>244</v>
      </c>
      <c r="D16317" s="3" t="s">
        <v>32</v>
      </c>
      <c r="E16317" s="4" t="s">
        <v>22</v>
      </c>
      <c r="F16317" s="4" t="s">
        <v>82276</v>
      </c>
      <c r="G16317" s="4" t="s">
        <v>82172</v>
      </c>
      <c r="H16317" s="3" t="s">
        <v>81975</v>
      </c>
      <c r="I16317" s="3" t="s">
        <v>82173</v>
      </c>
      <c r="J16317" s="3" t="s">
        <v>82281</v>
      </c>
      <c r="K16317" s="3" t="s">
        <v>82282</v>
      </c>
      <c r="L16317" s="3"/>
      <c r="M16317" s="4"/>
      <c r="N16317" s="3" t="s">
        <v>37</v>
      </c>
      <c r="O16317" s="3" t="s">
        <v>46</v>
      </c>
      <c r="P16317" s="5">
        <v>40</v>
      </c>
      <c r="Q16317" s="5">
        <v>1203</v>
      </c>
      <c r="R16317" s="5">
        <v>40</v>
      </c>
      <c r="S16317" s="5">
        <v>1174</v>
      </c>
    </row>
    <row r="16318" spans="1:19" ht="28" x14ac:dyDescent="0.15">
      <c r="A16318" s="2">
        <f>HYPERLINK("https://open-school.uspishnemisto.com.ua/school/800076/", 800076)</f>
        <v>800076</v>
      </c>
      <c r="B16318" s="3" t="s">
        <v>82283</v>
      </c>
      <c r="C16318" s="3" t="s">
        <v>244</v>
      </c>
      <c r="D16318" s="3" t="s">
        <v>32</v>
      </c>
      <c r="E16318" s="4" t="s">
        <v>22</v>
      </c>
      <c r="F16318" s="4" t="s">
        <v>82284</v>
      </c>
      <c r="G16318" s="4" t="s">
        <v>82172</v>
      </c>
      <c r="H16318" s="3" t="s">
        <v>81975</v>
      </c>
      <c r="I16318" s="3" t="s">
        <v>82173</v>
      </c>
      <c r="J16318" s="3" t="s">
        <v>82285</v>
      </c>
      <c r="K16318" s="3" t="s">
        <v>82286</v>
      </c>
      <c r="L16318" s="3" t="s">
        <v>82287</v>
      </c>
      <c r="M16318" s="4"/>
      <c r="N16318" s="3" t="s">
        <v>37</v>
      </c>
      <c r="O16318" s="3" t="s">
        <v>112</v>
      </c>
      <c r="P16318" s="5">
        <v>35</v>
      </c>
      <c r="Q16318" s="5">
        <v>1032</v>
      </c>
      <c r="R16318" s="5">
        <v>32</v>
      </c>
      <c r="S16318" s="5">
        <v>940</v>
      </c>
    </row>
    <row r="16319" spans="1:19" ht="28" x14ac:dyDescent="0.15">
      <c r="A16319" s="2">
        <f>HYPERLINK("https://open-school.uspishnemisto.com.ua/school/800077/", 800077)</f>
        <v>800077</v>
      </c>
      <c r="B16319" s="3" t="s">
        <v>82288</v>
      </c>
      <c r="C16319" s="3" t="s">
        <v>244</v>
      </c>
      <c r="D16319" s="3" t="s">
        <v>32</v>
      </c>
      <c r="E16319" s="4" t="s">
        <v>22</v>
      </c>
      <c r="F16319" s="4" t="s">
        <v>82289</v>
      </c>
      <c r="G16319" s="4" t="s">
        <v>82172</v>
      </c>
      <c r="H16319" s="3" t="s">
        <v>81975</v>
      </c>
      <c r="I16319" s="3" t="s">
        <v>82173</v>
      </c>
      <c r="J16319" s="3" t="s">
        <v>82290</v>
      </c>
      <c r="K16319" s="3" t="s">
        <v>82291</v>
      </c>
      <c r="L16319" s="3" t="s">
        <v>82292</v>
      </c>
      <c r="M16319" s="4"/>
      <c r="N16319" s="3" t="s">
        <v>37</v>
      </c>
      <c r="O16319" s="3" t="s">
        <v>70</v>
      </c>
      <c r="P16319" s="5">
        <v>18</v>
      </c>
      <c r="Q16319" s="5">
        <v>447</v>
      </c>
      <c r="R16319" s="5">
        <v>18</v>
      </c>
      <c r="S16319" s="5">
        <v>445</v>
      </c>
    </row>
    <row r="16320" spans="1:19" ht="42" x14ac:dyDescent="0.15">
      <c r="A16320" s="2">
        <f>HYPERLINK("https://open-school.uspishnemisto.com.ua/school/800078/", 800078)</f>
        <v>800078</v>
      </c>
      <c r="B16320" s="3" t="s">
        <v>82293</v>
      </c>
      <c r="C16320" s="3" t="s">
        <v>244</v>
      </c>
      <c r="D16320" s="3" t="s">
        <v>32</v>
      </c>
      <c r="E16320" s="4" t="s">
        <v>22</v>
      </c>
      <c r="F16320" s="4" t="s">
        <v>82182</v>
      </c>
      <c r="G16320" s="4" t="s">
        <v>82172</v>
      </c>
      <c r="H16320" s="3" t="s">
        <v>81975</v>
      </c>
      <c r="I16320" s="3" t="s">
        <v>82173</v>
      </c>
      <c r="J16320" s="3" t="s">
        <v>82294</v>
      </c>
      <c r="K16320" s="3" t="s">
        <v>82295</v>
      </c>
      <c r="L16320" s="3" t="s">
        <v>82296</v>
      </c>
      <c r="M16320" s="4"/>
      <c r="N16320" s="3" t="s">
        <v>37</v>
      </c>
      <c r="O16320" s="3" t="s">
        <v>52</v>
      </c>
      <c r="P16320" s="5">
        <v>29</v>
      </c>
      <c r="Q16320" s="5">
        <v>827</v>
      </c>
      <c r="R16320" s="5">
        <v>30</v>
      </c>
      <c r="S16320" s="5">
        <v>846</v>
      </c>
    </row>
    <row r="16321" spans="1:19" ht="28" x14ac:dyDescent="0.15">
      <c r="A16321" s="2">
        <f>HYPERLINK("https://open-school.uspishnemisto.com.ua/school/800079/", 800079)</f>
        <v>800079</v>
      </c>
      <c r="B16321" s="3" t="s">
        <v>82297</v>
      </c>
      <c r="C16321" s="3" t="s">
        <v>181</v>
      </c>
      <c r="D16321" s="3" t="s">
        <v>175</v>
      </c>
      <c r="E16321" s="4" t="s">
        <v>22</v>
      </c>
      <c r="F16321" s="4" t="s">
        <v>82182</v>
      </c>
      <c r="G16321" s="4" t="s">
        <v>82172</v>
      </c>
      <c r="H16321" s="3" t="s">
        <v>81975</v>
      </c>
      <c r="I16321" s="3" t="s">
        <v>82173</v>
      </c>
      <c r="J16321" s="3" t="s">
        <v>82298</v>
      </c>
      <c r="K16321" s="3" t="s">
        <v>82299</v>
      </c>
      <c r="L16321" s="3"/>
      <c r="M16321" s="4"/>
      <c r="N16321" s="3" t="s">
        <v>37</v>
      </c>
      <c r="O16321" s="3" t="s">
        <v>52</v>
      </c>
      <c r="P16321" s="5">
        <v>13</v>
      </c>
      <c r="Q16321" s="5">
        <v>108</v>
      </c>
      <c r="R16321" s="5">
        <v>11</v>
      </c>
      <c r="S16321" s="5">
        <v>101</v>
      </c>
    </row>
    <row r="16322" spans="1:19" ht="28" x14ac:dyDescent="0.15">
      <c r="A16322" s="2">
        <f>HYPERLINK("https://open-school.uspishnemisto.com.ua/school/800080/", 800080)</f>
        <v>800080</v>
      </c>
      <c r="B16322" s="3" t="s">
        <v>82300</v>
      </c>
      <c r="C16322" s="3" t="s">
        <v>181</v>
      </c>
      <c r="D16322" s="3" t="s">
        <v>175</v>
      </c>
      <c r="E16322" s="4" t="s">
        <v>22</v>
      </c>
      <c r="F16322" s="4" t="s">
        <v>82301</v>
      </c>
      <c r="G16322" s="4" t="s">
        <v>82172</v>
      </c>
      <c r="H16322" s="3" t="s">
        <v>81975</v>
      </c>
      <c r="I16322" s="3" t="s">
        <v>82173</v>
      </c>
      <c r="J16322" s="3" t="s">
        <v>82302</v>
      </c>
      <c r="K16322" s="3" t="s">
        <v>82303</v>
      </c>
      <c r="L16322" s="3"/>
      <c r="M16322" s="4" t="s">
        <v>82304</v>
      </c>
      <c r="N16322" s="3" t="s">
        <v>37</v>
      </c>
      <c r="O16322" s="3" t="s">
        <v>52</v>
      </c>
      <c r="P16322" s="5">
        <v>20</v>
      </c>
      <c r="Q16322" s="5">
        <v>223</v>
      </c>
      <c r="R16322" s="5">
        <v>18</v>
      </c>
      <c r="S16322" s="5">
        <v>206</v>
      </c>
    </row>
    <row r="16323" spans="1:19" ht="28" x14ac:dyDescent="0.15">
      <c r="A16323" s="2">
        <f>HYPERLINK("https://open-school.uspishnemisto.com.ua/school/800081/", 800081)</f>
        <v>800081</v>
      </c>
      <c r="B16323" s="3" t="s">
        <v>82305</v>
      </c>
      <c r="C16323" s="3" t="s">
        <v>31</v>
      </c>
      <c r="D16323" s="3" t="s">
        <v>32</v>
      </c>
      <c r="E16323" s="4" t="s">
        <v>22</v>
      </c>
      <c r="F16323" s="4" t="s">
        <v>82289</v>
      </c>
      <c r="G16323" s="4" t="s">
        <v>82172</v>
      </c>
      <c r="H16323" s="3" t="s">
        <v>81975</v>
      </c>
      <c r="I16323" s="3" t="s">
        <v>82173</v>
      </c>
      <c r="J16323" s="3" t="s">
        <v>82306</v>
      </c>
      <c r="K16323" s="3" t="s">
        <v>82307</v>
      </c>
      <c r="L16323" s="3" t="s">
        <v>82308</v>
      </c>
      <c r="M16323" s="4"/>
      <c r="N16323" s="3" t="s">
        <v>37</v>
      </c>
      <c r="O16323" s="3" t="s">
        <v>52</v>
      </c>
      <c r="P16323" s="5">
        <v>37</v>
      </c>
      <c r="Q16323" s="5">
        <v>1231</v>
      </c>
      <c r="R16323" s="5">
        <v>32</v>
      </c>
      <c r="S16323" s="5">
        <v>1014</v>
      </c>
    </row>
    <row r="16324" spans="1:19" ht="28" x14ac:dyDescent="0.15">
      <c r="A16324" s="2">
        <f>HYPERLINK("https://open-school.uspishnemisto.com.ua/school/800082/", 800082)</f>
        <v>800082</v>
      </c>
      <c r="B16324" s="3" t="s">
        <v>82309</v>
      </c>
      <c r="C16324" s="3" t="s">
        <v>31</v>
      </c>
      <c r="D16324" s="3" t="s">
        <v>32</v>
      </c>
      <c r="E16324" s="4" t="s">
        <v>22</v>
      </c>
      <c r="F16324" s="4" t="s">
        <v>82276</v>
      </c>
      <c r="G16324" s="4" t="s">
        <v>82172</v>
      </c>
      <c r="H16324" s="3" t="s">
        <v>81975</v>
      </c>
      <c r="I16324" s="3" t="s">
        <v>82173</v>
      </c>
      <c r="J16324" s="3" t="s">
        <v>82310</v>
      </c>
      <c r="K16324" s="3" t="s">
        <v>82311</v>
      </c>
      <c r="L16324" s="3" t="s">
        <v>82312</v>
      </c>
      <c r="M16324" s="4"/>
      <c r="N16324" s="3" t="s">
        <v>37</v>
      </c>
      <c r="O16324" s="3" t="s">
        <v>52</v>
      </c>
      <c r="P16324" s="5">
        <v>42</v>
      </c>
      <c r="Q16324" s="5">
        <v>1172</v>
      </c>
      <c r="R16324" s="5">
        <v>39</v>
      </c>
      <c r="S16324" s="5">
        <v>1118</v>
      </c>
    </row>
    <row r="16325" spans="1:19" ht="28" x14ac:dyDescent="0.15">
      <c r="A16325" s="2">
        <f>HYPERLINK("https://open-school.uspishnemisto.com.ua/school/800083/", 800083)</f>
        <v>800083</v>
      </c>
      <c r="B16325" s="3" t="s">
        <v>82313</v>
      </c>
      <c r="C16325" s="3" t="s">
        <v>31</v>
      </c>
      <c r="D16325" s="3" t="s">
        <v>32</v>
      </c>
      <c r="E16325" s="4" t="s">
        <v>22</v>
      </c>
      <c r="F16325" s="4" t="s">
        <v>82314</v>
      </c>
      <c r="G16325" s="4" t="s">
        <v>82172</v>
      </c>
      <c r="H16325" s="3" t="s">
        <v>81975</v>
      </c>
      <c r="I16325" s="3" t="s">
        <v>82173</v>
      </c>
      <c r="J16325" s="3" t="s">
        <v>82315</v>
      </c>
      <c r="K16325" s="3" t="s">
        <v>82316</v>
      </c>
      <c r="L16325" s="3"/>
      <c r="M16325" s="4"/>
      <c r="N16325" s="3" t="s">
        <v>37</v>
      </c>
      <c r="O16325" s="3" t="s">
        <v>38</v>
      </c>
      <c r="P16325" s="5">
        <v>29</v>
      </c>
      <c r="Q16325" s="5">
        <v>866</v>
      </c>
      <c r="R16325" s="5">
        <v>27</v>
      </c>
      <c r="S16325" s="5">
        <v>805</v>
      </c>
    </row>
    <row r="16326" spans="1:19" ht="28" x14ac:dyDescent="0.15">
      <c r="A16326" s="2">
        <f>HYPERLINK("https://open-school.uspishnemisto.com.ua/school/800084/", 800084)</f>
        <v>800084</v>
      </c>
      <c r="B16326" s="3" t="s">
        <v>82317</v>
      </c>
      <c r="C16326" s="3" t="s">
        <v>31</v>
      </c>
      <c r="D16326" s="3" t="s">
        <v>32</v>
      </c>
      <c r="E16326" s="4" t="s">
        <v>22</v>
      </c>
      <c r="F16326" s="4" t="s">
        <v>82182</v>
      </c>
      <c r="G16326" s="4" t="s">
        <v>82172</v>
      </c>
      <c r="H16326" s="3" t="s">
        <v>81975</v>
      </c>
      <c r="I16326" s="3" t="s">
        <v>82173</v>
      </c>
      <c r="J16326" s="3" t="s">
        <v>82318</v>
      </c>
      <c r="K16326" s="3" t="s">
        <v>82319</v>
      </c>
      <c r="L16326" s="3" t="s">
        <v>82320</v>
      </c>
      <c r="M16326" s="4"/>
      <c r="N16326" s="3" t="s">
        <v>37</v>
      </c>
      <c r="O16326" s="3" t="s">
        <v>38</v>
      </c>
      <c r="P16326" s="5">
        <v>24</v>
      </c>
      <c r="Q16326" s="5">
        <v>652</v>
      </c>
      <c r="R16326" s="5">
        <v>23</v>
      </c>
      <c r="S16326" s="5">
        <v>595</v>
      </c>
    </row>
    <row r="16327" spans="1:19" ht="28" x14ac:dyDescent="0.15">
      <c r="A16327" s="2">
        <f>HYPERLINK("https://open-school.uspishnemisto.com.ua/school/800085/", 800085)</f>
        <v>800085</v>
      </c>
      <c r="B16327" s="3" t="s">
        <v>82321</v>
      </c>
      <c r="C16327" s="3" t="s">
        <v>31</v>
      </c>
      <c r="D16327" s="3" t="s">
        <v>32</v>
      </c>
      <c r="E16327" s="4" t="s">
        <v>22</v>
      </c>
      <c r="F16327" s="4" t="s">
        <v>82284</v>
      </c>
      <c r="G16327" s="4" t="s">
        <v>82172</v>
      </c>
      <c r="H16327" s="3" t="s">
        <v>81975</v>
      </c>
      <c r="I16327" s="3" t="s">
        <v>82173</v>
      </c>
      <c r="J16327" s="3" t="s">
        <v>82322</v>
      </c>
      <c r="K16327" s="3" t="s">
        <v>82323</v>
      </c>
      <c r="L16327" s="3" t="s">
        <v>82324</v>
      </c>
      <c r="M16327" s="4"/>
      <c r="N16327" s="3" t="s">
        <v>37</v>
      </c>
      <c r="O16327" s="3" t="s">
        <v>46</v>
      </c>
      <c r="P16327" s="5">
        <v>22</v>
      </c>
      <c r="Q16327" s="5">
        <v>658</v>
      </c>
      <c r="R16327" s="5">
        <v>23</v>
      </c>
      <c r="S16327" s="5">
        <v>624</v>
      </c>
    </row>
    <row r="16328" spans="1:19" ht="28" x14ac:dyDescent="0.15">
      <c r="A16328" s="2">
        <f>HYPERLINK("https://open-school.uspishnemisto.com.ua/school/800086/", 800086)</f>
        <v>800086</v>
      </c>
      <c r="B16328" s="3" t="s">
        <v>82325</v>
      </c>
      <c r="C16328" s="3" t="s">
        <v>31</v>
      </c>
      <c r="D16328" s="3" t="s">
        <v>32</v>
      </c>
      <c r="E16328" s="4" t="s">
        <v>22</v>
      </c>
      <c r="F16328" s="4" t="s">
        <v>82187</v>
      </c>
      <c r="G16328" s="4" t="s">
        <v>82172</v>
      </c>
      <c r="H16328" s="3" t="s">
        <v>81975</v>
      </c>
      <c r="I16328" s="3" t="s">
        <v>82173</v>
      </c>
      <c r="J16328" s="3" t="s">
        <v>82326</v>
      </c>
      <c r="K16328" s="3" t="s">
        <v>82327</v>
      </c>
      <c r="L16328" s="3" t="s">
        <v>82328</v>
      </c>
      <c r="M16328" s="4"/>
      <c r="N16328" s="3" t="s">
        <v>37</v>
      </c>
      <c r="O16328" s="3" t="s">
        <v>38</v>
      </c>
      <c r="P16328" s="5">
        <v>33</v>
      </c>
      <c r="Q16328" s="5">
        <v>1004</v>
      </c>
      <c r="R16328" s="5">
        <v>32</v>
      </c>
      <c r="S16328" s="5">
        <v>958</v>
      </c>
    </row>
    <row r="16329" spans="1:19" ht="28" x14ac:dyDescent="0.15">
      <c r="A16329" s="2">
        <f>HYPERLINK("https://open-school.uspishnemisto.com.ua/school/800087/", 800087)</f>
        <v>800087</v>
      </c>
      <c r="B16329" s="3" t="s">
        <v>82329</v>
      </c>
      <c r="C16329" s="3" t="s">
        <v>31</v>
      </c>
      <c r="D16329" s="3" t="s">
        <v>32</v>
      </c>
      <c r="E16329" s="4" t="s">
        <v>22</v>
      </c>
      <c r="F16329" s="4" t="s">
        <v>82187</v>
      </c>
      <c r="G16329" s="4" t="s">
        <v>82172</v>
      </c>
      <c r="H16329" s="3" t="s">
        <v>81975</v>
      </c>
      <c r="I16329" s="3" t="s">
        <v>82173</v>
      </c>
      <c r="J16329" s="3" t="s">
        <v>82330</v>
      </c>
      <c r="K16329" s="3" t="s">
        <v>82331</v>
      </c>
      <c r="L16329" s="3" t="s">
        <v>82332</v>
      </c>
      <c r="M16329" s="4"/>
      <c r="N16329" s="3" t="s">
        <v>37</v>
      </c>
      <c r="O16329" s="3" t="s">
        <v>38</v>
      </c>
      <c r="P16329" s="5">
        <v>27</v>
      </c>
      <c r="Q16329" s="5">
        <v>552</v>
      </c>
      <c r="R16329" s="5">
        <v>26</v>
      </c>
      <c r="S16329" s="5">
        <v>569</v>
      </c>
    </row>
    <row r="16330" spans="1:19" ht="28" x14ac:dyDescent="0.15">
      <c r="A16330" s="2">
        <f>HYPERLINK("https://open-school.uspishnemisto.com.ua/school/800088/", 800088)</f>
        <v>800088</v>
      </c>
      <c r="B16330" s="3" t="s">
        <v>82333</v>
      </c>
      <c r="C16330" s="3" t="s">
        <v>31</v>
      </c>
      <c r="D16330" s="3" t="s">
        <v>32</v>
      </c>
      <c r="E16330" s="4" t="s">
        <v>22</v>
      </c>
      <c r="F16330" s="4" t="s">
        <v>82171</v>
      </c>
      <c r="G16330" s="4" t="s">
        <v>82172</v>
      </c>
      <c r="H16330" s="3" t="s">
        <v>81975</v>
      </c>
      <c r="I16330" s="3" t="s">
        <v>82173</v>
      </c>
      <c r="J16330" s="3" t="s">
        <v>82221</v>
      </c>
      <c r="K16330" s="3" t="s">
        <v>82334</v>
      </c>
      <c r="L16330" s="3" t="s">
        <v>82335</v>
      </c>
      <c r="M16330" s="4"/>
      <c r="N16330" s="3" t="s">
        <v>37</v>
      </c>
      <c r="O16330" s="3" t="s">
        <v>70</v>
      </c>
      <c r="P16330" s="5">
        <v>42</v>
      </c>
      <c r="Q16330" s="5">
        <v>1436</v>
      </c>
      <c r="R16330" s="5">
        <v>40</v>
      </c>
      <c r="S16330" s="5">
        <v>1268</v>
      </c>
    </row>
    <row r="16331" spans="1:19" ht="28" x14ac:dyDescent="0.15">
      <c r="A16331" s="2">
        <f>HYPERLINK("https://open-school.uspishnemisto.com.ua/school/800090/", 800090)</f>
        <v>800090</v>
      </c>
      <c r="B16331" s="3" t="s">
        <v>82336</v>
      </c>
      <c r="C16331" s="3" t="s">
        <v>54</v>
      </c>
      <c r="D16331" s="3" t="s">
        <v>60</v>
      </c>
      <c r="E16331" s="4" t="s">
        <v>22</v>
      </c>
      <c r="F16331" s="4" t="s">
        <v>82314</v>
      </c>
      <c r="G16331" s="4" t="s">
        <v>82172</v>
      </c>
      <c r="H16331" s="3" t="s">
        <v>81975</v>
      </c>
      <c r="I16331" s="3" t="s">
        <v>82173</v>
      </c>
      <c r="J16331" s="3" t="s">
        <v>82337</v>
      </c>
      <c r="K16331" s="3" t="s">
        <v>82338</v>
      </c>
      <c r="L16331" s="3" t="s">
        <v>82339</v>
      </c>
      <c r="M16331" s="4"/>
      <c r="N16331" s="3" t="s">
        <v>37</v>
      </c>
      <c r="O16331" s="3" t="s">
        <v>52</v>
      </c>
      <c r="P16331" s="5">
        <v>4</v>
      </c>
      <c r="Q16331" s="5">
        <v>114</v>
      </c>
      <c r="R16331" s="5">
        <v>4</v>
      </c>
      <c r="S16331" s="5">
        <v>108</v>
      </c>
    </row>
    <row r="16332" spans="1:19" ht="28" x14ac:dyDescent="0.15">
      <c r="A16332" s="2">
        <f>HYPERLINK("https://open-school.uspishnemisto.com.ua/school/800091/", 800091)</f>
        <v>800091</v>
      </c>
      <c r="B16332" s="3" t="s">
        <v>82340</v>
      </c>
      <c r="C16332" s="3" t="s">
        <v>54</v>
      </c>
      <c r="D16332" s="3" t="s">
        <v>60</v>
      </c>
      <c r="E16332" s="4" t="s">
        <v>22</v>
      </c>
      <c r="F16332" s="4" t="s">
        <v>82187</v>
      </c>
      <c r="G16332" s="4" t="s">
        <v>82172</v>
      </c>
      <c r="H16332" s="3" t="s">
        <v>81975</v>
      </c>
      <c r="I16332" s="3" t="s">
        <v>82173</v>
      </c>
      <c r="J16332" s="3" t="s">
        <v>82341</v>
      </c>
      <c r="K16332" s="3" t="s">
        <v>82342</v>
      </c>
      <c r="L16332" s="3"/>
      <c r="M16332" s="4"/>
      <c r="N16332" s="3" t="s">
        <v>37</v>
      </c>
      <c r="O16332" s="3" t="s">
        <v>52</v>
      </c>
      <c r="P16332" s="5">
        <v>1</v>
      </c>
      <c r="Q16332" s="5">
        <v>31</v>
      </c>
      <c r="R16332" s="5">
        <v>2</v>
      </c>
      <c r="S16332" s="5">
        <v>61</v>
      </c>
    </row>
    <row r="16333" spans="1:19" ht="28" x14ac:dyDescent="0.15">
      <c r="A16333" s="2">
        <f>HYPERLINK("https://open-school.uspishnemisto.com.ua/school/800092/", 800092)</f>
        <v>800092</v>
      </c>
      <c r="B16333" s="3" t="s">
        <v>82343</v>
      </c>
      <c r="C16333" s="3" t="s">
        <v>40</v>
      </c>
      <c r="D16333" s="3" t="s">
        <v>21</v>
      </c>
      <c r="E16333" s="4" t="s">
        <v>22</v>
      </c>
      <c r="F16333" s="4" t="s">
        <v>82344</v>
      </c>
      <c r="G16333" s="4" t="s">
        <v>82345</v>
      </c>
      <c r="H16333" s="3" t="s">
        <v>81975</v>
      </c>
      <c r="I16333" s="3" t="s">
        <v>82346</v>
      </c>
      <c r="J16333" s="3" t="s">
        <v>82347</v>
      </c>
      <c r="K16333" s="3" t="s">
        <v>82348</v>
      </c>
      <c r="L16333" s="3" t="s">
        <v>82349</v>
      </c>
      <c r="M16333" s="4" t="s">
        <v>82350</v>
      </c>
      <c r="N16333" s="3" t="s">
        <v>37</v>
      </c>
      <c r="O16333" s="3" t="s">
        <v>123</v>
      </c>
      <c r="P16333" s="5">
        <v>14</v>
      </c>
      <c r="Q16333" s="5">
        <v>423</v>
      </c>
      <c r="R16333" s="5">
        <v>14</v>
      </c>
      <c r="S16333" s="5">
        <v>430</v>
      </c>
    </row>
    <row r="16334" spans="1:19" ht="28" x14ac:dyDescent="0.15">
      <c r="A16334" s="2">
        <f>HYPERLINK("https://open-school.uspishnemisto.com.ua/school/800093/", 800093)</f>
        <v>800093</v>
      </c>
      <c r="B16334" s="3" t="s">
        <v>82351</v>
      </c>
      <c r="C16334" s="3" t="s">
        <v>40</v>
      </c>
      <c r="D16334" s="3" t="s">
        <v>32</v>
      </c>
      <c r="E16334" s="4" t="s">
        <v>22</v>
      </c>
      <c r="F16334" s="4" t="s">
        <v>82352</v>
      </c>
      <c r="G16334" s="4" t="s">
        <v>82345</v>
      </c>
      <c r="H16334" s="3" t="s">
        <v>81975</v>
      </c>
      <c r="I16334" s="3" t="s">
        <v>82346</v>
      </c>
      <c r="J16334" s="3" t="s">
        <v>82353</v>
      </c>
      <c r="K16334" s="3" t="s">
        <v>82354</v>
      </c>
      <c r="L16334" s="3" t="s">
        <v>82355</v>
      </c>
      <c r="M16334" s="4" t="s">
        <v>82356</v>
      </c>
      <c r="N16334" s="3" t="s">
        <v>37</v>
      </c>
      <c r="O16334" s="3" t="s">
        <v>197</v>
      </c>
      <c r="P16334" s="5">
        <v>32</v>
      </c>
      <c r="Q16334" s="5">
        <v>936</v>
      </c>
      <c r="R16334" s="5">
        <v>32</v>
      </c>
      <c r="S16334" s="5">
        <v>922</v>
      </c>
    </row>
    <row r="16335" spans="1:19" ht="28" x14ac:dyDescent="0.15">
      <c r="A16335" s="2">
        <f>HYPERLINK("https://open-school.uspishnemisto.com.ua/school/800094/", 800094)</f>
        <v>800094</v>
      </c>
      <c r="B16335" s="3" t="s">
        <v>82357</v>
      </c>
      <c r="C16335" s="3" t="s">
        <v>40</v>
      </c>
      <c r="D16335" s="3" t="s">
        <v>21</v>
      </c>
      <c r="E16335" s="4" t="s">
        <v>22</v>
      </c>
      <c r="F16335" s="4" t="s">
        <v>82352</v>
      </c>
      <c r="G16335" s="4" t="s">
        <v>82345</v>
      </c>
      <c r="H16335" s="3" t="s">
        <v>81975</v>
      </c>
      <c r="I16335" s="3" t="s">
        <v>82346</v>
      </c>
      <c r="J16335" s="3" t="s">
        <v>82358</v>
      </c>
      <c r="K16335" s="3" t="s">
        <v>82359</v>
      </c>
      <c r="L16335" s="3" t="s">
        <v>82360</v>
      </c>
      <c r="M16335" s="4" t="s">
        <v>82361</v>
      </c>
      <c r="N16335" s="3" t="s">
        <v>37</v>
      </c>
      <c r="O16335" s="3" t="s">
        <v>70</v>
      </c>
      <c r="P16335" s="5">
        <v>31</v>
      </c>
      <c r="Q16335" s="5">
        <v>899</v>
      </c>
      <c r="R16335" s="5">
        <v>32</v>
      </c>
      <c r="S16335" s="5">
        <v>935</v>
      </c>
    </row>
    <row r="16336" spans="1:19" ht="28" x14ac:dyDescent="0.15">
      <c r="A16336" s="2">
        <f>HYPERLINK("https://open-school.uspishnemisto.com.ua/school/800095/", 800095)</f>
        <v>800095</v>
      </c>
      <c r="B16336" s="3" t="s">
        <v>82362</v>
      </c>
      <c r="C16336" s="3" t="s">
        <v>188</v>
      </c>
      <c r="D16336" s="3" t="s">
        <v>19078</v>
      </c>
      <c r="E16336" s="4" t="s">
        <v>22</v>
      </c>
      <c r="F16336" s="4" t="s">
        <v>82363</v>
      </c>
      <c r="G16336" s="4" t="s">
        <v>82345</v>
      </c>
      <c r="H16336" s="3" t="s">
        <v>81975</v>
      </c>
      <c r="I16336" s="3" t="s">
        <v>82346</v>
      </c>
      <c r="J16336" s="3" t="s">
        <v>82364</v>
      </c>
      <c r="K16336" s="3" t="s">
        <v>82365</v>
      </c>
      <c r="L16336" s="3" t="s">
        <v>82366</v>
      </c>
      <c r="M16336" s="4" t="s">
        <v>82367</v>
      </c>
      <c r="N16336" s="3" t="s">
        <v>37</v>
      </c>
      <c r="O16336" s="3" t="s">
        <v>52</v>
      </c>
      <c r="P16336" s="5">
        <v>9</v>
      </c>
      <c r="Q16336" s="5">
        <v>248</v>
      </c>
      <c r="R16336" s="5">
        <v>9</v>
      </c>
      <c r="S16336" s="5">
        <v>236</v>
      </c>
    </row>
    <row r="16337" spans="1:19" ht="70" x14ac:dyDescent="0.15">
      <c r="A16337" s="2">
        <f>HYPERLINK("https://open-school.uspishnemisto.com.ua/school/800096/", 800096)</f>
        <v>800096</v>
      </c>
      <c r="B16337" s="3" t="s">
        <v>82368</v>
      </c>
      <c r="C16337" s="3" t="s">
        <v>54</v>
      </c>
      <c r="D16337" s="3" t="s">
        <v>32</v>
      </c>
      <c r="E16337" s="4" t="s">
        <v>22</v>
      </c>
      <c r="F16337" s="4" t="s">
        <v>82369</v>
      </c>
      <c r="G16337" s="4" t="s">
        <v>82345</v>
      </c>
      <c r="H16337" s="3" t="s">
        <v>81975</v>
      </c>
      <c r="I16337" s="3" t="s">
        <v>82346</v>
      </c>
      <c r="J16337" s="3" t="s">
        <v>82370</v>
      </c>
      <c r="K16337" s="3" t="s">
        <v>82371</v>
      </c>
      <c r="L16337" s="3" t="s">
        <v>82372</v>
      </c>
      <c r="M16337" s="4" t="s">
        <v>82373</v>
      </c>
      <c r="N16337" s="3" t="s">
        <v>37</v>
      </c>
      <c r="O16337" s="3" t="s">
        <v>70</v>
      </c>
      <c r="P16337" s="5">
        <v>31</v>
      </c>
      <c r="Q16337" s="5">
        <v>869</v>
      </c>
      <c r="R16337" s="5">
        <v>31</v>
      </c>
      <c r="S16337" s="5">
        <v>842</v>
      </c>
    </row>
    <row r="16338" spans="1:19" ht="56" x14ac:dyDescent="0.15">
      <c r="A16338" s="2">
        <f>HYPERLINK("https://open-school.uspishnemisto.com.ua/school/800097/", 800097)</f>
        <v>800097</v>
      </c>
      <c r="B16338" s="3" t="s">
        <v>82374</v>
      </c>
      <c r="C16338" s="3" t="s">
        <v>54</v>
      </c>
      <c r="D16338" s="3" t="s">
        <v>32</v>
      </c>
      <c r="E16338" s="4" t="s">
        <v>22</v>
      </c>
      <c r="F16338" s="4" t="s">
        <v>82352</v>
      </c>
      <c r="G16338" s="4" t="s">
        <v>82345</v>
      </c>
      <c r="H16338" s="3" t="s">
        <v>81975</v>
      </c>
      <c r="I16338" s="3" t="s">
        <v>82346</v>
      </c>
      <c r="J16338" s="3" t="s">
        <v>82375</v>
      </c>
      <c r="K16338" s="3" t="s">
        <v>82376</v>
      </c>
      <c r="L16338" s="3" t="s">
        <v>82377</v>
      </c>
      <c r="M16338" s="4" t="s">
        <v>82378</v>
      </c>
      <c r="N16338" s="3" t="s">
        <v>37</v>
      </c>
      <c r="O16338" s="3" t="s">
        <v>47953</v>
      </c>
      <c r="P16338" s="5">
        <v>26</v>
      </c>
      <c r="Q16338" s="5">
        <v>735</v>
      </c>
      <c r="R16338" s="5">
        <v>23</v>
      </c>
      <c r="S16338" s="5">
        <v>654</v>
      </c>
    </row>
    <row r="16339" spans="1:19" ht="42" x14ac:dyDescent="0.15">
      <c r="A16339" s="2">
        <f>HYPERLINK("https://open-school.uspishnemisto.com.ua/school/800098/", 800098)</f>
        <v>800098</v>
      </c>
      <c r="B16339" s="3" t="s">
        <v>82379</v>
      </c>
      <c r="C16339" s="3" t="s">
        <v>244</v>
      </c>
      <c r="D16339" s="3" t="s">
        <v>32</v>
      </c>
      <c r="E16339" s="4" t="s">
        <v>22</v>
      </c>
      <c r="F16339" s="4" t="s">
        <v>82344</v>
      </c>
      <c r="G16339" s="4" t="s">
        <v>82345</v>
      </c>
      <c r="H16339" s="3" t="s">
        <v>81975</v>
      </c>
      <c r="I16339" s="3" t="s">
        <v>82346</v>
      </c>
      <c r="J16339" s="3" t="s">
        <v>82380</v>
      </c>
      <c r="K16339" s="3" t="s">
        <v>82381</v>
      </c>
      <c r="L16339" s="3" t="s">
        <v>82382</v>
      </c>
      <c r="M16339" s="4" t="s">
        <v>82383</v>
      </c>
      <c r="N16339" s="3" t="s">
        <v>37</v>
      </c>
      <c r="O16339" s="3" t="s">
        <v>38</v>
      </c>
      <c r="P16339" s="5">
        <v>30</v>
      </c>
      <c r="Q16339" s="5">
        <v>802</v>
      </c>
      <c r="R16339" s="5">
        <v>28</v>
      </c>
      <c r="S16339" s="5">
        <v>785</v>
      </c>
    </row>
    <row r="16340" spans="1:19" ht="28" x14ac:dyDescent="0.15">
      <c r="A16340" s="2">
        <f>HYPERLINK("https://open-school.uspishnemisto.com.ua/school/800099/", 800099)</f>
        <v>800099</v>
      </c>
      <c r="B16340" s="3" t="s">
        <v>82384</v>
      </c>
      <c r="C16340" s="3" t="s">
        <v>20</v>
      </c>
      <c r="D16340" s="3" t="s">
        <v>82385</v>
      </c>
      <c r="E16340" s="4" t="s">
        <v>22</v>
      </c>
      <c r="F16340" s="4" t="s">
        <v>82363</v>
      </c>
      <c r="G16340" s="4" t="s">
        <v>82345</v>
      </c>
      <c r="H16340" s="3" t="s">
        <v>81975</v>
      </c>
      <c r="I16340" s="3" t="s">
        <v>82346</v>
      </c>
      <c r="J16340" s="3" t="s">
        <v>82386</v>
      </c>
      <c r="K16340" s="3" t="s">
        <v>82387</v>
      </c>
      <c r="L16340" s="3" t="s">
        <v>82388</v>
      </c>
      <c r="M16340" s="4" t="s">
        <v>82389</v>
      </c>
      <c r="N16340" s="3"/>
      <c r="O16340" s="3"/>
      <c r="P16340" s="5">
        <v>0</v>
      </c>
      <c r="Q16340" s="5">
        <v>0</v>
      </c>
      <c r="R16340" s="5"/>
      <c r="S16340" s="5"/>
    </row>
    <row r="16341" spans="1:19" ht="42" x14ac:dyDescent="0.15">
      <c r="A16341" s="2">
        <f>HYPERLINK("https://open-school.uspishnemisto.com.ua/school/800100/", 800100)</f>
        <v>800100</v>
      </c>
      <c r="B16341" s="3" t="s">
        <v>82390</v>
      </c>
      <c r="C16341" s="3" t="s">
        <v>54</v>
      </c>
      <c r="D16341" s="3" t="s">
        <v>32</v>
      </c>
      <c r="E16341" s="4" t="s">
        <v>41</v>
      </c>
      <c r="F16341" s="4" t="s">
        <v>82352</v>
      </c>
      <c r="G16341" s="4" t="s">
        <v>82345</v>
      </c>
      <c r="H16341" s="3" t="s">
        <v>81975</v>
      </c>
      <c r="I16341" s="3" t="s">
        <v>82346</v>
      </c>
      <c r="J16341" s="3" t="s">
        <v>82391</v>
      </c>
      <c r="K16341" s="3" t="s">
        <v>82392</v>
      </c>
      <c r="L16341" s="3" t="s">
        <v>82393</v>
      </c>
      <c r="M16341" s="4"/>
      <c r="N16341" s="3" t="s">
        <v>37</v>
      </c>
      <c r="O16341" s="3" t="s">
        <v>46</v>
      </c>
      <c r="P16341" s="5">
        <v>10</v>
      </c>
      <c r="Q16341" s="5">
        <v>130</v>
      </c>
      <c r="R16341" s="5">
        <v>10</v>
      </c>
      <c r="S16341" s="5">
        <v>123</v>
      </c>
    </row>
    <row r="16342" spans="1:19" ht="28" x14ac:dyDescent="0.15">
      <c r="A16342" s="2">
        <f>HYPERLINK("https://open-school.uspishnemisto.com.ua/school/800101/", 800101)</f>
        <v>800101</v>
      </c>
      <c r="B16342" s="3" t="s">
        <v>82394</v>
      </c>
      <c r="C16342" s="3" t="s">
        <v>54</v>
      </c>
      <c r="D16342" s="3" t="s">
        <v>60</v>
      </c>
      <c r="E16342" s="4" t="s">
        <v>22</v>
      </c>
      <c r="F16342" s="4" t="s">
        <v>82369</v>
      </c>
      <c r="G16342" s="4" t="s">
        <v>82345</v>
      </c>
      <c r="H16342" s="3" t="s">
        <v>81975</v>
      </c>
      <c r="I16342" s="3" t="s">
        <v>82346</v>
      </c>
      <c r="J16342" s="3" t="s">
        <v>82395</v>
      </c>
      <c r="K16342" s="3" t="s">
        <v>82396</v>
      </c>
      <c r="L16342" s="3" t="s">
        <v>82397</v>
      </c>
      <c r="M16342" s="4"/>
      <c r="N16342" s="3" t="s">
        <v>37</v>
      </c>
      <c r="O16342" s="3" t="s">
        <v>52</v>
      </c>
      <c r="P16342" s="5">
        <v>5</v>
      </c>
      <c r="Q16342" s="5">
        <v>104</v>
      </c>
      <c r="R16342" s="5">
        <v>6</v>
      </c>
      <c r="S16342" s="5">
        <v>116</v>
      </c>
    </row>
    <row r="16343" spans="1:19" ht="28" x14ac:dyDescent="0.15">
      <c r="A16343" s="2">
        <f>HYPERLINK("https://open-school.uspishnemisto.com.ua/school/800102/", 800102)</f>
        <v>800102</v>
      </c>
      <c r="B16343" s="3" t="s">
        <v>82398</v>
      </c>
      <c r="C16343" s="3" t="s">
        <v>40</v>
      </c>
      <c r="D16343" s="3" t="s">
        <v>21</v>
      </c>
      <c r="E16343" s="4" t="s">
        <v>41</v>
      </c>
      <c r="F16343" s="4" t="s">
        <v>3235</v>
      </c>
      <c r="G16343" s="4" t="s">
        <v>82345</v>
      </c>
      <c r="H16343" s="3" t="s">
        <v>81975</v>
      </c>
      <c r="I16343" s="3" t="s">
        <v>82346</v>
      </c>
      <c r="J16343" s="3" t="s">
        <v>82399</v>
      </c>
      <c r="K16343" s="3" t="s">
        <v>82400</v>
      </c>
      <c r="L16343" s="3" t="s">
        <v>82401</v>
      </c>
      <c r="M16343" s="4"/>
      <c r="N16343" s="3" t="s">
        <v>37</v>
      </c>
      <c r="O16343" s="3" t="s">
        <v>2776</v>
      </c>
      <c r="P16343" s="5">
        <v>13</v>
      </c>
      <c r="Q16343" s="5">
        <v>245</v>
      </c>
      <c r="R16343" s="5">
        <v>13</v>
      </c>
      <c r="S16343" s="5">
        <v>256</v>
      </c>
    </row>
    <row r="16344" spans="1:19" ht="28" x14ac:dyDescent="0.15">
      <c r="A16344" s="2">
        <f>HYPERLINK("https://open-school.uspishnemisto.com.ua/school/800103/", 800103)</f>
        <v>800103</v>
      </c>
      <c r="B16344" s="3" t="s">
        <v>82402</v>
      </c>
      <c r="C16344" s="3" t="s">
        <v>40</v>
      </c>
      <c r="D16344" s="3" t="s">
        <v>32</v>
      </c>
      <c r="E16344" s="4" t="s">
        <v>41</v>
      </c>
      <c r="F16344" s="4"/>
      <c r="G16344" s="4" t="s">
        <v>82345</v>
      </c>
      <c r="H16344" s="3" t="s">
        <v>81975</v>
      </c>
      <c r="I16344" s="3" t="s">
        <v>82346</v>
      </c>
      <c r="J16344" s="3" t="s">
        <v>82403</v>
      </c>
      <c r="K16344" s="3" t="s">
        <v>82404</v>
      </c>
      <c r="L16344" s="3" t="s">
        <v>82405</v>
      </c>
      <c r="M16344" s="4"/>
      <c r="N16344" s="3" t="s">
        <v>128</v>
      </c>
      <c r="O16344" s="3" t="s">
        <v>197</v>
      </c>
      <c r="P16344" s="5">
        <v>23</v>
      </c>
      <c r="Q16344" s="5">
        <v>217</v>
      </c>
      <c r="R16344" s="5">
        <v>14</v>
      </c>
      <c r="S16344" s="5">
        <v>135</v>
      </c>
    </row>
    <row r="16345" spans="1:19" ht="28" x14ac:dyDescent="0.15">
      <c r="A16345" s="2">
        <f>HYPERLINK("https://open-school.uspishnemisto.com.ua/school/800104/", 800104)</f>
        <v>800104</v>
      </c>
      <c r="B16345" s="3" t="s">
        <v>82406</v>
      </c>
      <c r="C16345" s="3" t="s">
        <v>40</v>
      </c>
      <c r="D16345" s="3" t="s">
        <v>175</v>
      </c>
      <c r="E16345" s="4" t="s">
        <v>41</v>
      </c>
      <c r="F16345" s="4" t="s">
        <v>82407</v>
      </c>
      <c r="G16345" s="4" t="s">
        <v>82345</v>
      </c>
      <c r="H16345" s="3" t="s">
        <v>81975</v>
      </c>
      <c r="I16345" s="3" t="s">
        <v>82346</v>
      </c>
      <c r="J16345" s="3" t="s">
        <v>82408</v>
      </c>
      <c r="K16345" s="3" t="s">
        <v>82409</v>
      </c>
      <c r="L16345" s="3" t="s">
        <v>82410</v>
      </c>
      <c r="M16345" s="4"/>
      <c r="N16345" s="3" t="s">
        <v>37</v>
      </c>
      <c r="O16345" s="3" t="s">
        <v>38</v>
      </c>
      <c r="P16345" s="5">
        <v>10</v>
      </c>
      <c r="Q16345" s="5">
        <v>70</v>
      </c>
      <c r="R16345" s="5">
        <v>10</v>
      </c>
      <c r="S16345" s="5">
        <v>79</v>
      </c>
    </row>
    <row r="16346" spans="1:19" ht="28" x14ac:dyDescent="0.15">
      <c r="A16346" s="2">
        <f>HYPERLINK("https://open-school.uspishnemisto.com.ua/school/800105/", 800105)</f>
        <v>800105</v>
      </c>
      <c r="B16346" s="3" t="s">
        <v>82411</v>
      </c>
      <c r="C16346" s="3" t="s">
        <v>31</v>
      </c>
      <c r="D16346" s="3" t="s">
        <v>60</v>
      </c>
      <c r="E16346" s="4" t="s">
        <v>22</v>
      </c>
      <c r="F16346" s="4" t="s">
        <v>82352</v>
      </c>
      <c r="G16346" s="4" t="s">
        <v>82345</v>
      </c>
      <c r="H16346" s="3" t="s">
        <v>81975</v>
      </c>
      <c r="I16346" s="3" t="s">
        <v>82346</v>
      </c>
      <c r="J16346" s="3" t="s">
        <v>82412</v>
      </c>
      <c r="K16346" s="3" t="s">
        <v>82413</v>
      </c>
      <c r="L16346" s="3" t="s">
        <v>82414</v>
      </c>
      <c r="M16346" s="4" t="s">
        <v>82415</v>
      </c>
      <c r="N16346" s="3" t="s">
        <v>37</v>
      </c>
      <c r="O16346" s="3" t="s">
        <v>38</v>
      </c>
      <c r="P16346" s="5">
        <v>9</v>
      </c>
      <c r="Q16346" s="5">
        <v>257</v>
      </c>
      <c r="R16346" s="5">
        <v>9</v>
      </c>
      <c r="S16346" s="5">
        <v>258</v>
      </c>
    </row>
    <row r="16347" spans="1:19" ht="42" x14ac:dyDescent="0.15">
      <c r="A16347" s="2">
        <f>HYPERLINK("https://open-school.uspishnemisto.com.ua/school/800106/", 800106)</f>
        <v>800106</v>
      </c>
      <c r="B16347" s="3" t="s">
        <v>82416</v>
      </c>
      <c r="C16347" s="3" t="s">
        <v>244</v>
      </c>
      <c r="D16347" s="3" t="s">
        <v>60</v>
      </c>
      <c r="E16347" s="4" t="s">
        <v>22</v>
      </c>
      <c r="F16347" s="4" t="s">
        <v>3235</v>
      </c>
      <c r="G16347" s="4" t="s">
        <v>82345</v>
      </c>
      <c r="H16347" s="3" t="s">
        <v>81975</v>
      </c>
      <c r="I16347" s="3" t="s">
        <v>82346</v>
      </c>
      <c r="J16347" s="3" t="s">
        <v>82417</v>
      </c>
      <c r="K16347" s="3" t="s">
        <v>82418</v>
      </c>
      <c r="L16347" s="3" t="s">
        <v>82419</v>
      </c>
      <c r="M16347" s="4" t="s">
        <v>82420</v>
      </c>
      <c r="N16347" s="3" t="s">
        <v>37</v>
      </c>
      <c r="O16347" s="3" t="s">
        <v>52</v>
      </c>
      <c r="P16347" s="5">
        <v>12</v>
      </c>
      <c r="Q16347" s="5">
        <v>413</v>
      </c>
      <c r="R16347" s="5">
        <v>12</v>
      </c>
      <c r="S16347" s="5">
        <v>418</v>
      </c>
    </row>
    <row r="16348" spans="1:19" ht="42" x14ac:dyDescent="0.15">
      <c r="A16348" s="2">
        <f>HYPERLINK("https://open-school.uspishnemisto.com.ua/school/800107/", 800107)</f>
        <v>800107</v>
      </c>
      <c r="B16348" s="3" t="s">
        <v>82421</v>
      </c>
      <c r="C16348" s="3" t="s">
        <v>244</v>
      </c>
      <c r="D16348" s="3" t="s">
        <v>60</v>
      </c>
      <c r="E16348" s="4" t="s">
        <v>22</v>
      </c>
      <c r="F16348" s="4" t="s">
        <v>82422</v>
      </c>
      <c r="G16348" s="4" t="s">
        <v>82345</v>
      </c>
      <c r="H16348" s="3" t="s">
        <v>81975</v>
      </c>
      <c r="I16348" s="3" t="s">
        <v>82346</v>
      </c>
      <c r="J16348" s="3" t="s">
        <v>82423</v>
      </c>
      <c r="K16348" s="3" t="s">
        <v>82424</v>
      </c>
      <c r="L16348" s="3" t="s">
        <v>82425</v>
      </c>
      <c r="M16348" s="4" t="s">
        <v>82426</v>
      </c>
      <c r="N16348" s="3" t="s">
        <v>37</v>
      </c>
      <c r="O16348" s="3" t="s">
        <v>52</v>
      </c>
      <c r="P16348" s="5">
        <v>12</v>
      </c>
      <c r="Q16348" s="5">
        <v>374</v>
      </c>
      <c r="R16348" s="5">
        <v>12</v>
      </c>
      <c r="S16348" s="5">
        <v>376</v>
      </c>
    </row>
    <row r="16349" spans="1:19" ht="42" x14ac:dyDescent="0.15">
      <c r="A16349" s="2">
        <f>HYPERLINK("https://open-school.uspishnemisto.com.ua/school/800108/", 800108)</f>
        <v>800108</v>
      </c>
      <c r="B16349" s="3" t="s">
        <v>82427</v>
      </c>
      <c r="C16349" s="3" t="s">
        <v>244</v>
      </c>
      <c r="D16349" s="3" t="s">
        <v>32</v>
      </c>
      <c r="E16349" s="4" t="s">
        <v>22</v>
      </c>
      <c r="F16349" s="4" t="s">
        <v>82363</v>
      </c>
      <c r="G16349" s="4" t="s">
        <v>82345</v>
      </c>
      <c r="H16349" s="3" t="s">
        <v>81975</v>
      </c>
      <c r="I16349" s="3" t="s">
        <v>82346</v>
      </c>
      <c r="J16349" s="3" t="s">
        <v>82428</v>
      </c>
      <c r="K16349" s="3" t="s">
        <v>82429</v>
      </c>
      <c r="L16349" s="3" t="s">
        <v>82430</v>
      </c>
      <c r="M16349" s="4" t="s">
        <v>82431</v>
      </c>
      <c r="N16349" s="3" t="s">
        <v>37</v>
      </c>
      <c r="O16349" s="3" t="s">
        <v>123</v>
      </c>
      <c r="P16349" s="5">
        <v>25</v>
      </c>
      <c r="Q16349" s="5">
        <v>629</v>
      </c>
      <c r="R16349" s="5">
        <v>24</v>
      </c>
      <c r="S16349" s="5">
        <v>624</v>
      </c>
    </row>
    <row r="16350" spans="1:19" ht="42" x14ac:dyDescent="0.15">
      <c r="A16350" s="2">
        <f>HYPERLINK("https://open-school.uspishnemisto.com.ua/school/800109/", 800109)</f>
        <v>800109</v>
      </c>
      <c r="B16350" s="3" t="s">
        <v>82432</v>
      </c>
      <c r="C16350" s="3" t="s">
        <v>244</v>
      </c>
      <c r="D16350" s="3" t="s">
        <v>32</v>
      </c>
      <c r="E16350" s="4" t="s">
        <v>22</v>
      </c>
      <c r="F16350" s="4" t="s">
        <v>82363</v>
      </c>
      <c r="G16350" s="4" t="s">
        <v>82345</v>
      </c>
      <c r="H16350" s="3" t="s">
        <v>81975</v>
      </c>
      <c r="I16350" s="3" t="s">
        <v>82346</v>
      </c>
      <c r="J16350" s="3" t="s">
        <v>82433</v>
      </c>
      <c r="K16350" s="3" t="s">
        <v>82434</v>
      </c>
      <c r="L16350" s="3" t="s">
        <v>82435</v>
      </c>
      <c r="M16350" s="4" t="s">
        <v>82436</v>
      </c>
      <c r="N16350" s="3" t="s">
        <v>37</v>
      </c>
      <c r="O16350" s="3" t="s">
        <v>46</v>
      </c>
      <c r="P16350" s="5">
        <v>28</v>
      </c>
      <c r="Q16350" s="5">
        <v>733</v>
      </c>
      <c r="R16350" s="5">
        <v>29</v>
      </c>
      <c r="S16350" s="5">
        <v>771</v>
      </c>
    </row>
    <row r="16351" spans="1:19" ht="42" x14ac:dyDescent="0.15">
      <c r="A16351" s="2">
        <f>HYPERLINK("https://open-school.uspishnemisto.com.ua/school/800110/", 800110)</f>
        <v>800110</v>
      </c>
      <c r="B16351" s="3" t="s">
        <v>82437</v>
      </c>
      <c r="C16351" s="3" t="s">
        <v>244</v>
      </c>
      <c r="D16351" s="3" t="s">
        <v>32</v>
      </c>
      <c r="E16351" s="4" t="s">
        <v>22</v>
      </c>
      <c r="F16351" s="4" t="s">
        <v>82363</v>
      </c>
      <c r="G16351" s="4" t="s">
        <v>82345</v>
      </c>
      <c r="H16351" s="3" t="s">
        <v>81975</v>
      </c>
      <c r="I16351" s="3" t="s">
        <v>82346</v>
      </c>
      <c r="J16351" s="3" t="s">
        <v>82438</v>
      </c>
      <c r="K16351" s="3" t="s">
        <v>82371</v>
      </c>
      <c r="L16351" s="3" t="s">
        <v>82439</v>
      </c>
      <c r="M16351" s="4" t="s">
        <v>82440</v>
      </c>
      <c r="N16351" s="3" t="s">
        <v>37</v>
      </c>
      <c r="O16351" s="3" t="s">
        <v>38</v>
      </c>
      <c r="P16351" s="5">
        <v>25</v>
      </c>
      <c r="Q16351" s="5">
        <v>659</v>
      </c>
      <c r="R16351" s="5">
        <v>24</v>
      </c>
      <c r="S16351" s="5">
        <v>637</v>
      </c>
    </row>
    <row r="16352" spans="1:19" ht="42" x14ac:dyDescent="0.15">
      <c r="A16352" s="2">
        <f>HYPERLINK("https://open-school.uspishnemisto.com.ua/school/800111/", 800111)</f>
        <v>800111</v>
      </c>
      <c r="B16352" s="3" t="s">
        <v>82441</v>
      </c>
      <c r="C16352" s="3" t="s">
        <v>244</v>
      </c>
      <c r="D16352" s="3" t="s">
        <v>32</v>
      </c>
      <c r="E16352" s="4" t="s">
        <v>22</v>
      </c>
      <c r="F16352" s="4" t="s">
        <v>82369</v>
      </c>
      <c r="G16352" s="4" t="s">
        <v>82345</v>
      </c>
      <c r="H16352" s="3" t="s">
        <v>81975</v>
      </c>
      <c r="I16352" s="3" t="s">
        <v>82346</v>
      </c>
      <c r="J16352" s="3" t="s">
        <v>82442</v>
      </c>
      <c r="K16352" s="3" t="s">
        <v>82443</v>
      </c>
      <c r="L16352" s="3" t="s">
        <v>82444</v>
      </c>
      <c r="M16352" s="4" t="s">
        <v>82445</v>
      </c>
      <c r="N16352" s="3" t="s">
        <v>37</v>
      </c>
      <c r="O16352" s="3" t="s">
        <v>123</v>
      </c>
      <c r="P16352" s="5">
        <v>24</v>
      </c>
      <c r="Q16352" s="5">
        <v>637</v>
      </c>
      <c r="R16352" s="5">
        <v>24</v>
      </c>
      <c r="S16352" s="5">
        <v>617</v>
      </c>
    </row>
    <row r="16353" spans="1:19" ht="42" x14ac:dyDescent="0.15">
      <c r="A16353" s="2">
        <f>HYPERLINK("https://open-school.uspishnemisto.com.ua/school/800112/", 800112)</f>
        <v>800112</v>
      </c>
      <c r="B16353" s="3" t="s">
        <v>82446</v>
      </c>
      <c r="C16353" s="3" t="s">
        <v>244</v>
      </c>
      <c r="D16353" s="3" t="s">
        <v>32</v>
      </c>
      <c r="E16353" s="4" t="s">
        <v>22</v>
      </c>
      <c r="F16353" s="4" t="s">
        <v>82447</v>
      </c>
      <c r="G16353" s="4" t="s">
        <v>82345</v>
      </c>
      <c r="H16353" s="3" t="s">
        <v>81975</v>
      </c>
      <c r="I16353" s="3" t="s">
        <v>82346</v>
      </c>
      <c r="J16353" s="3" t="s">
        <v>82448</v>
      </c>
      <c r="K16353" s="3" t="s">
        <v>82449</v>
      </c>
      <c r="L16353" s="3" t="s">
        <v>82450</v>
      </c>
      <c r="M16353" s="4" t="s">
        <v>82451</v>
      </c>
      <c r="N16353" s="3" t="s">
        <v>37</v>
      </c>
      <c r="O16353" s="3" t="s">
        <v>129</v>
      </c>
      <c r="P16353" s="5">
        <v>22</v>
      </c>
      <c r="Q16353" s="5">
        <v>612</v>
      </c>
      <c r="R16353" s="5">
        <v>22</v>
      </c>
      <c r="S16353" s="5">
        <v>577</v>
      </c>
    </row>
    <row r="16354" spans="1:19" ht="28" x14ac:dyDescent="0.15">
      <c r="A16354" s="2">
        <f>HYPERLINK("https://open-school.uspishnemisto.com.ua/school/800113/", 800113)</f>
        <v>800113</v>
      </c>
      <c r="B16354" s="3" t="s">
        <v>82452</v>
      </c>
      <c r="C16354" s="3" t="s">
        <v>244</v>
      </c>
      <c r="D16354" s="3" t="s">
        <v>32</v>
      </c>
      <c r="E16354" s="4" t="s">
        <v>22</v>
      </c>
      <c r="F16354" s="4" t="s">
        <v>3235</v>
      </c>
      <c r="G16354" s="4" t="s">
        <v>82345</v>
      </c>
      <c r="H16354" s="3" t="s">
        <v>81975</v>
      </c>
      <c r="I16354" s="3" t="s">
        <v>82346</v>
      </c>
      <c r="J16354" s="3" t="s">
        <v>82453</v>
      </c>
      <c r="K16354" s="3" t="s">
        <v>82454</v>
      </c>
      <c r="L16354" s="3" t="s">
        <v>82455</v>
      </c>
      <c r="M16354" s="4" t="s">
        <v>82456</v>
      </c>
      <c r="N16354" s="3" t="s">
        <v>37</v>
      </c>
      <c r="O16354" s="3" t="s">
        <v>46</v>
      </c>
      <c r="P16354" s="5">
        <v>31</v>
      </c>
      <c r="Q16354" s="5">
        <v>898</v>
      </c>
      <c r="R16354" s="5">
        <v>31</v>
      </c>
      <c r="S16354" s="5">
        <v>877</v>
      </c>
    </row>
    <row r="16355" spans="1:19" ht="42" x14ac:dyDescent="0.15">
      <c r="A16355" s="2">
        <f>HYPERLINK("https://open-school.uspishnemisto.com.ua/school/800114/", 800114)</f>
        <v>800114</v>
      </c>
      <c r="B16355" s="3" t="s">
        <v>82457</v>
      </c>
      <c r="C16355" s="3" t="s">
        <v>244</v>
      </c>
      <c r="D16355" s="3" t="s">
        <v>32</v>
      </c>
      <c r="E16355" s="4" t="s">
        <v>22</v>
      </c>
      <c r="F16355" s="4" t="s">
        <v>82344</v>
      </c>
      <c r="G16355" s="4" t="s">
        <v>82345</v>
      </c>
      <c r="H16355" s="3" t="s">
        <v>81975</v>
      </c>
      <c r="I16355" s="3" t="s">
        <v>82346</v>
      </c>
      <c r="J16355" s="3" t="s">
        <v>82458</v>
      </c>
      <c r="K16355" s="3" t="s">
        <v>82459</v>
      </c>
      <c r="L16355" s="3" t="s">
        <v>82460</v>
      </c>
      <c r="M16355" s="4" t="s">
        <v>82461</v>
      </c>
      <c r="N16355" s="3" t="s">
        <v>37</v>
      </c>
      <c r="O16355" s="3" t="s">
        <v>46</v>
      </c>
      <c r="P16355" s="5">
        <v>28</v>
      </c>
      <c r="Q16355" s="5">
        <v>781</v>
      </c>
      <c r="R16355" s="5">
        <v>27</v>
      </c>
      <c r="S16355" s="5">
        <v>765</v>
      </c>
    </row>
    <row r="16356" spans="1:19" ht="42" x14ac:dyDescent="0.15">
      <c r="A16356" s="2">
        <f>HYPERLINK("https://open-school.uspishnemisto.com.ua/school/800115/", 800115)</f>
        <v>800115</v>
      </c>
      <c r="B16356" s="3" t="s">
        <v>82462</v>
      </c>
      <c r="C16356" s="3" t="s">
        <v>244</v>
      </c>
      <c r="D16356" s="3" t="s">
        <v>32</v>
      </c>
      <c r="E16356" s="4" t="s">
        <v>22</v>
      </c>
      <c r="F16356" s="4" t="s">
        <v>82422</v>
      </c>
      <c r="G16356" s="4" t="s">
        <v>82345</v>
      </c>
      <c r="H16356" s="3" t="s">
        <v>81975</v>
      </c>
      <c r="I16356" s="3" t="s">
        <v>82346</v>
      </c>
      <c r="J16356" s="3" t="s">
        <v>82463</v>
      </c>
      <c r="K16356" s="3" t="s">
        <v>82464</v>
      </c>
      <c r="L16356" s="3" t="s">
        <v>82465</v>
      </c>
      <c r="M16356" s="4" t="s">
        <v>82466</v>
      </c>
      <c r="N16356" s="3" t="s">
        <v>37</v>
      </c>
      <c r="O16356" s="3" t="s">
        <v>46</v>
      </c>
      <c r="P16356" s="5">
        <v>37</v>
      </c>
      <c r="Q16356" s="5">
        <v>1007</v>
      </c>
      <c r="R16356" s="5">
        <v>35</v>
      </c>
      <c r="S16356" s="5">
        <v>973</v>
      </c>
    </row>
    <row r="16357" spans="1:19" ht="42" x14ac:dyDescent="0.15">
      <c r="A16357" s="2">
        <f>HYPERLINK("https://open-school.uspishnemisto.com.ua/school/800116/", 800116)</f>
        <v>800116</v>
      </c>
      <c r="B16357" s="3" t="s">
        <v>82467</v>
      </c>
      <c r="C16357" s="3" t="s">
        <v>244</v>
      </c>
      <c r="D16357" s="3" t="s">
        <v>32</v>
      </c>
      <c r="E16357" s="4" t="s">
        <v>22</v>
      </c>
      <c r="F16357" s="4" t="s">
        <v>3235</v>
      </c>
      <c r="G16357" s="4" t="s">
        <v>82345</v>
      </c>
      <c r="H16357" s="3" t="s">
        <v>81975</v>
      </c>
      <c r="I16357" s="3" t="s">
        <v>82346</v>
      </c>
      <c r="J16357" s="3" t="s">
        <v>82468</v>
      </c>
      <c r="K16357" s="3" t="s">
        <v>82469</v>
      </c>
      <c r="L16357" s="3" t="s">
        <v>82470</v>
      </c>
      <c r="M16357" s="4" t="s">
        <v>82471</v>
      </c>
      <c r="N16357" s="3" t="s">
        <v>37</v>
      </c>
      <c r="O16357" s="3" t="s">
        <v>46</v>
      </c>
      <c r="P16357" s="5">
        <v>37</v>
      </c>
      <c r="Q16357" s="5">
        <v>1045</v>
      </c>
      <c r="R16357" s="5">
        <v>36</v>
      </c>
      <c r="S16357" s="5">
        <v>1015</v>
      </c>
    </row>
    <row r="16358" spans="1:19" ht="42" x14ac:dyDescent="0.15">
      <c r="A16358" s="2">
        <f>HYPERLINK("https://open-school.uspishnemisto.com.ua/school/800117/", 800117)</f>
        <v>800117</v>
      </c>
      <c r="B16358" s="3" t="s">
        <v>82472</v>
      </c>
      <c r="C16358" s="3" t="s">
        <v>244</v>
      </c>
      <c r="D16358" s="3" t="s">
        <v>32</v>
      </c>
      <c r="E16358" s="4" t="s">
        <v>22</v>
      </c>
      <c r="F16358" s="4" t="s">
        <v>82352</v>
      </c>
      <c r="G16358" s="4" t="s">
        <v>82345</v>
      </c>
      <c r="H16358" s="3" t="s">
        <v>81975</v>
      </c>
      <c r="I16358" s="3" t="s">
        <v>82346</v>
      </c>
      <c r="J16358" s="3" t="s">
        <v>82473</v>
      </c>
      <c r="K16358" s="3" t="s">
        <v>82474</v>
      </c>
      <c r="L16358" s="3" t="s">
        <v>82475</v>
      </c>
      <c r="M16358" s="4" t="s">
        <v>82476</v>
      </c>
      <c r="N16358" s="3" t="s">
        <v>37</v>
      </c>
      <c r="O16358" s="3" t="s">
        <v>123</v>
      </c>
      <c r="P16358" s="5">
        <v>28</v>
      </c>
      <c r="Q16358" s="5">
        <v>758</v>
      </c>
      <c r="R16358" s="5">
        <v>27</v>
      </c>
      <c r="S16358" s="5">
        <v>699</v>
      </c>
    </row>
    <row r="16359" spans="1:19" ht="42" x14ac:dyDescent="0.15">
      <c r="A16359" s="2">
        <f>HYPERLINK("https://open-school.uspishnemisto.com.ua/school/800118/", 800118)</f>
        <v>800118</v>
      </c>
      <c r="B16359" s="3" t="s">
        <v>82477</v>
      </c>
      <c r="C16359" s="3" t="s">
        <v>244</v>
      </c>
      <c r="D16359" s="3" t="s">
        <v>32</v>
      </c>
      <c r="E16359" s="4" t="s">
        <v>22</v>
      </c>
      <c r="F16359" s="4" t="s">
        <v>82478</v>
      </c>
      <c r="G16359" s="4" t="s">
        <v>82345</v>
      </c>
      <c r="H16359" s="3" t="s">
        <v>81975</v>
      </c>
      <c r="I16359" s="3" t="s">
        <v>82346</v>
      </c>
      <c r="J16359" s="3" t="s">
        <v>82479</v>
      </c>
      <c r="K16359" s="3" t="s">
        <v>82480</v>
      </c>
      <c r="L16359" s="3" t="s">
        <v>82481</v>
      </c>
      <c r="M16359" s="4" t="s">
        <v>82482</v>
      </c>
      <c r="N16359" s="3" t="s">
        <v>37</v>
      </c>
      <c r="O16359" s="3" t="s">
        <v>46</v>
      </c>
      <c r="P16359" s="5">
        <v>39</v>
      </c>
      <c r="Q16359" s="5">
        <v>1109</v>
      </c>
      <c r="R16359" s="5">
        <v>39</v>
      </c>
      <c r="S16359" s="5">
        <v>1077</v>
      </c>
    </row>
    <row r="16360" spans="1:19" ht="42" x14ac:dyDescent="0.15">
      <c r="A16360" s="2">
        <f>HYPERLINK("https://open-school.uspishnemisto.com.ua/school/800119/", 800119)</f>
        <v>800119</v>
      </c>
      <c r="B16360" s="3" t="s">
        <v>82483</v>
      </c>
      <c r="C16360" s="3" t="s">
        <v>244</v>
      </c>
      <c r="D16360" s="3" t="s">
        <v>32</v>
      </c>
      <c r="E16360" s="4" t="s">
        <v>22</v>
      </c>
      <c r="F16360" s="4" t="s">
        <v>82478</v>
      </c>
      <c r="G16360" s="4" t="s">
        <v>82345</v>
      </c>
      <c r="H16360" s="3" t="s">
        <v>81975</v>
      </c>
      <c r="I16360" s="3" t="s">
        <v>82346</v>
      </c>
      <c r="J16360" s="3" t="s">
        <v>82484</v>
      </c>
      <c r="K16360" s="3" t="s">
        <v>82485</v>
      </c>
      <c r="L16360" s="3" t="s">
        <v>82486</v>
      </c>
      <c r="M16360" s="4" t="s">
        <v>82487</v>
      </c>
      <c r="N16360" s="3" t="s">
        <v>37</v>
      </c>
      <c r="O16360" s="3" t="s">
        <v>38</v>
      </c>
      <c r="P16360" s="5">
        <v>29</v>
      </c>
      <c r="Q16360" s="5">
        <v>789</v>
      </c>
      <c r="R16360" s="5">
        <v>26</v>
      </c>
      <c r="S16360" s="5">
        <v>719</v>
      </c>
    </row>
    <row r="16361" spans="1:19" ht="42" x14ac:dyDescent="0.15">
      <c r="A16361" s="2">
        <f>HYPERLINK("https://open-school.uspishnemisto.com.ua/school/800120/", 800120)</f>
        <v>800120</v>
      </c>
      <c r="B16361" s="3" t="s">
        <v>82488</v>
      </c>
      <c r="C16361" s="3" t="s">
        <v>244</v>
      </c>
      <c r="D16361" s="3" t="s">
        <v>32</v>
      </c>
      <c r="E16361" s="4" t="s">
        <v>22</v>
      </c>
      <c r="F16361" s="4" t="s">
        <v>82478</v>
      </c>
      <c r="G16361" s="4" t="s">
        <v>82345</v>
      </c>
      <c r="H16361" s="3" t="s">
        <v>81975</v>
      </c>
      <c r="I16361" s="3" t="s">
        <v>82346</v>
      </c>
      <c r="J16361" s="3" t="s">
        <v>82489</v>
      </c>
      <c r="K16361" s="3" t="s">
        <v>82490</v>
      </c>
      <c r="L16361" s="3" t="s">
        <v>82491</v>
      </c>
      <c r="M16361" s="4" t="s">
        <v>82492</v>
      </c>
      <c r="N16361" s="3" t="s">
        <v>37</v>
      </c>
      <c r="O16361" s="3" t="s">
        <v>46</v>
      </c>
      <c r="P16361" s="5">
        <v>36</v>
      </c>
      <c r="Q16361" s="5">
        <v>1091</v>
      </c>
      <c r="R16361" s="5">
        <v>36</v>
      </c>
      <c r="S16361" s="5">
        <v>1081</v>
      </c>
    </row>
    <row r="16362" spans="1:19" ht="42" x14ac:dyDescent="0.15">
      <c r="A16362" s="2">
        <f>HYPERLINK("https://open-school.uspishnemisto.com.ua/school/800121/", 800121)</f>
        <v>800121</v>
      </c>
      <c r="B16362" s="3" t="s">
        <v>82493</v>
      </c>
      <c r="C16362" s="3" t="s">
        <v>54</v>
      </c>
      <c r="D16362" s="3" t="s">
        <v>60</v>
      </c>
      <c r="E16362" s="4" t="s">
        <v>22</v>
      </c>
      <c r="F16362" s="4" t="s">
        <v>82352</v>
      </c>
      <c r="G16362" s="4" t="s">
        <v>82345</v>
      </c>
      <c r="H16362" s="3" t="s">
        <v>81975</v>
      </c>
      <c r="I16362" s="3" t="s">
        <v>82346</v>
      </c>
      <c r="J16362" s="3" t="s">
        <v>82494</v>
      </c>
      <c r="K16362" s="3" t="s">
        <v>82495</v>
      </c>
      <c r="L16362" s="3" t="s">
        <v>82496</v>
      </c>
      <c r="M16362" s="4"/>
      <c r="N16362" s="3" t="s">
        <v>37</v>
      </c>
      <c r="O16362" s="3" t="s">
        <v>38</v>
      </c>
      <c r="P16362" s="5">
        <v>8</v>
      </c>
      <c r="Q16362" s="5">
        <v>274</v>
      </c>
      <c r="R16362" s="5">
        <v>8</v>
      </c>
      <c r="S16362" s="5">
        <v>265</v>
      </c>
    </row>
    <row r="16363" spans="1:19" ht="42" x14ac:dyDescent="0.15">
      <c r="A16363" s="2">
        <f>HYPERLINK("https://open-school.uspishnemisto.com.ua/school/800122/", 800122)</f>
        <v>800122</v>
      </c>
      <c r="B16363" s="3" t="s">
        <v>82497</v>
      </c>
      <c r="C16363" s="3" t="s">
        <v>54</v>
      </c>
      <c r="D16363" s="3" t="s">
        <v>60</v>
      </c>
      <c r="E16363" s="4" t="s">
        <v>22</v>
      </c>
      <c r="F16363" s="4" t="s">
        <v>82478</v>
      </c>
      <c r="G16363" s="4" t="s">
        <v>82345</v>
      </c>
      <c r="H16363" s="3" t="s">
        <v>81975</v>
      </c>
      <c r="I16363" s="3" t="s">
        <v>82346</v>
      </c>
      <c r="J16363" s="3" t="s">
        <v>82498</v>
      </c>
      <c r="K16363" s="3" t="s">
        <v>82499</v>
      </c>
      <c r="L16363" s="3" t="s">
        <v>82500</v>
      </c>
      <c r="M16363" s="4"/>
      <c r="N16363" s="3" t="s">
        <v>37</v>
      </c>
      <c r="O16363" s="3" t="s">
        <v>52</v>
      </c>
      <c r="P16363" s="5">
        <v>8</v>
      </c>
      <c r="Q16363" s="5">
        <v>248</v>
      </c>
      <c r="R16363" s="5">
        <v>8</v>
      </c>
      <c r="S16363" s="5">
        <v>251</v>
      </c>
    </row>
    <row r="16364" spans="1:19" ht="28" x14ac:dyDescent="0.15">
      <c r="A16364" s="2">
        <f>HYPERLINK("https://open-school.uspishnemisto.com.ua/school/800123/", 800123)</f>
        <v>800123</v>
      </c>
      <c r="B16364" s="3" t="s">
        <v>82501</v>
      </c>
      <c r="C16364" s="3" t="s">
        <v>54</v>
      </c>
      <c r="D16364" s="3" t="s">
        <v>60</v>
      </c>
      <c r="E16364" s="4" t="s">
        <v>22</v>
      </c>
      <c r="F16364" s="4" t="s">
        <v>82352</v>
      </c>
      <c r="G16364" s="4" t="s">
        <v>82345</v>
      </c>
      <c r="H16364" s="3" t="s">
        <v>81975</v>
      </c>
      <c r="I16364" s="3" t="s">
        <v>82346</v>
      </c>
      <c r="J16364" s="3" t="s">
        <v>82502</v>
      </c>
      <c r="K16364" s="3" t="s">
        <v>82503</v>
      </c>
      <c r="L16364" s="3" t="s">
        <v>82504</v>
      </c>
      <c r="M16364" s="4"/>
      <c r="N16364" s="3" t="s">
        <v>37</v>
      </c>
      <c r="O16364" s="3" t="s">
        <v>52</v>
      </c>
      <c r="P16364" s="5">
        <v>8</v>
      </c>
      <c r="Q16364" s="5">
        <v>245</v>
      </c>
      <c r="R16364" s="5">
        <v>8</v>
      </c>
      <c r="S16364" s="5">
        <v>242</v>
      </c>
    </row>
    <row r="16365" spans="1:19" ht="28" x14ac:dyDescent="0.15">
      <c r="A16365" s="2">
        <f>HYPERLINK("https://open-school.uspishnemisto.com.ua/school/800124/", 800124)</f>
        <v>800124</v>
      </c>
      <c r="B16365" s="3" t="s">
        <v>82505</v>
      </c>
      <c r="C16365" s="3" t="s">
        <v>54</v>
      </c>
      <c r="D16365" s="3" t="s">
        <v>60</v>
      </c>
      <c r="E16365" s="4" t="s">
        <v>22</v>
      </c>
      <c r="F16365" s="4" t="s">
        <v>82422</v>
      </c>
      <c r="G16365" s="4" t="s">
        <v>82345</v>
      </c>
      <c r="H16365" s="3" t="s">
        <v>81975</v>
      </c>
      <c r="I16365" s="3" t="s">
        <v>82346</v>
      </c>
      <c r="J16365" s="3" t="s">
        <v>82506</v>
      </c>
      <c r="K16365" s="3" t="s">
        <v>82507</v>
      </c>
      <c r="L16365" s="3" t="s">
        <v>82508</v>
      </c>
      <c r="M16365" s="4"/>
      <c r="N16365" s="3" t="s">
        <v>37</v>
      </c>
      <c r="O16365" s="3" t="s">
        <v>52</v>
      </c>
      <c r="P16365" s="5">
        <v>5</v>
      </c>
      <c r="Q16365" s="5">
        <v>142</v>
      </c>
      <c r="R16365" s="5">
        <v>5</v>
      </c>
      <c r="S16365" s="5">
        <v>141</v>
      </c>
    </row>
    <row r="16366" spans="1:19" ht="28" x14ac:dyDescent="0.15">
      <c r="A16366" s="2">
        <f>HYPERLINK("https://open-school.uspishnemisto.com.ua/school/800125/", 800125)</f>
        <v>800125</v>
      </c>
      <c r="B16366" s="3" t="s">
        <v>82509</v>
      </c>
      <c r="C16366" s="3" t="s">
        <v>54</v>
      </c>
      <c r="D16366" s="3" t="s">
        <v>60</v>
      </c>
      <c r="E16366" s="4" t="s">
        <v>22</v>
      </c>
      <c r="F16366" s="4" t="s">
        <v>3235</v>
      </c>
      <c r="G16366" s="4" t="s">
        <v>82345</v>
      </c>
      <c r="H16366" s="3" t="s">
        <v>81975</v>
      </c>
      <c r="I16366" s="3" t="s">
        <v>82346</v>
      </c>
      <c r="J16366" s="3" t="s">
        <v>82510</v>
      </c>
      <c r="K16366" s="3" t="s">
        <v>82511</v>
      </c>
      <c r="L16366" s="3" t="s">
        <v>82512</v>
      </c>
      <c r="M16366" s="4"/>
      <c r="N16366" s="3" t="s">
        <v>37</v>
      </c>
      <c r="O16366" s="3" t="s">
        <v>52</v>
      </c>
      <c r="P16366" s="5">
        <v>9</v>
      </c>
      <c r="Q16366" s="5">
        <v>94</v>
      </c>
      <c r="R16366" s="5">
        <v>9</v>
      </c>
      <c r="S16366" s="5">
        <v>95</v>
      </c>
    </row>
    <row r="16367" spans="1:19" ht="28" x14ac:dyDescent="0.15">
      <c r="A16367" s="2">
        <f>HYPERLINK("https://open-school.uspishnemisto.com.ua/school/800126/", 800126)</f>
        <v>800126</v>
      </c>
      <c r="B16367" s="3" t="s">
        <v>82513</v>
      </c>
      <c r="C16367" s="3" t="s">
        <v>31</v>
      </c>
      <c r="D16367" s="3" t="s">
        <v>32</v>
      </c>
      <c r="E16367" s="4" t="s">
        <v>22</v>
      </c>
      <c r="F16367" s="4" t="s">
        <v>82344</v>
      </c>
      <c r="G16367" s="4" t="s">
        <v>82345</v>
      </c>
      <c r="H16367" s="3" t="s">
        <v>81975</v>
      </c>
      <c r="I16367" s="3" t="s">
        <v>82346</v>
      </c>
      <c r="J16367" s="3" t="s">
        <v>82514</v>
      </c>
      <c r="K16367" s="3" t="s">
        <v>82515</v>
      </c>
      <c r="L16367" s="3" t="s">
        <v>82516</v>
      </c>
      <c r="M16367" s="4" t="s">
        <v>82517</v>
      </c>
      <c r="N16367" s="3" t="s">
        <v>37</v>
      </c>
      <c r="O16367" s="3" t="s">
        <v>46</v>
      </c>
      <c r="P16367" s="5">
        <v>33</v>
      </c>
      <c r="Q16367" s="5">
        <v>864</v>
      </c>
      <c r="R16367" s="5">
        <v>32</v>
      </c>
      <c r="S16367" s="5">
        <v>843</v>
      </c>
    </row>
    <row r="16368" spans="1:19" ht="28" x14ac:dyDescent="0.15">
      <c r="A16368" s="2">
        <f>HYPERLINK("https://open-school.uspishnemisto.com.ua/school/800127/", 800127)</f>
        <v>800127</v>
      </c>
      <c r="B16368" s="3" t="s">
        <v>82518</v>
      </c>
      <c r="C16368" s="3" t="s">
        <v>31</v>
      </c>
      <c r="D16368" s="3" t="s">
        <v>32</v>
      </c>
      <c r="E16368" s="4" t="s">
        <v>22</v>
      </c>
      <c r="F16368" s="4" t="s">
        <v>82363</v>
      </c>
      <c r="G16368" s="4" t="s">
        <v>82345</v>
      </c>
      <c r="H16368" s="3" t="s">
        <v>81975</v>
      </c>
      <c r="I16368" s="3" t="s">
        <v>82346</v>
      </c>
      <c r="J16368" s="3" t="s">
        <v>82519</v>
      </c>
      <c r="K16368" s="3" t="s">
        <v>82520</v>
      </c>
      <c r="L16368" s="3" t="s">
        <v>82521</v>
      </c>
      <c r="M16368" s="4" t="s">
        <v>82522</v>
      </c>
      <c r="N16368" s="3" t="s">
        <v>37</v>
      </c>
      <c r="O16368" s="3" t="s">
        <v>721</v>
      </c>
      <c r="P16368" s="5">
        <v>21</v>
      </c>
      <c r="Q16368" s="5">
        <v>556</v>
      </c>
      <c r="R16368" s="5">
        <v>20</v>
      </c>
      <c r="S16368" s="5">
        <v>526</v>
      </c>
    </row>
    <row r="16369" spans="1:19" ht="28" x14ac:dyDescent="0.15">
      <c r="A16369" s="2">
        <f>HYPERLINK("https://open-school.uspishnemisto.com.ua/school/800128/", 800128)</f>
        <v>800128</v>
      </c>
      <c r="B16369" s="3" t="s">
        <v>82523</v>
      </c>
      <c r="C16369" s="3" t="s">
        <v>31</v>
      </c>
      <c r="D16369" s="3" t="s">
        <v>32</v>
      </c>
      <c r="E16369" s="4" t="s">
        <v>22</v>
      </c>
      <c r="F16369" s="4" t="s">
        <v>82363</v>
      </c>
      <c r="G16369" s="4" t="s">
        <v>82345</v>
      </c>
      <c r="H16369" s="3" t="s">
        <v>81975</v>
      </c>
      <c r="I16369" s="3" t="s">
        <v>82346</v>
      </c>
      <c r="J16369" s="3" t="s">
        <v>82524</v>
      </c>
      <c r="K16369" s="3" t="s">
        <v>82525</v>
      </c>
      <c r="L16369" s="3" t="s">
        <v>82526</v>
      </c>
      <c r="M16369" s="4" t="s">
        <v>82527</v>
      </c>
      <c r="N16369" s="3" t="s">
        <v>37</v>
      </c>
      <c r="O16369" s="3" t="s">
        <v>70</v>
      </c>
      <c r="P16369" s="5">
        <v>27</v>
      </c>
      <c r="Q16369" s="5">
        <v>754</v>
      </c>
      <c r="R16369" s="5">
        <v>27</v>
      </c>
      <c r="S16369" s="5">
        <v>744</v>
      </c>
    </row>
    <row r="16370" spans="1:19" ht="28" x14ac:dyDescent="0.15">
      <c r="A16370" s="2">
        <f>HYPERLINK("https://open-school.uspishnemisto.com.ua/school/800129/", 800129)</f>
        <v>800129</v>
      </c>
      <c r="B16370" s="3" t="s">
        <v>82528</v>
      </c>
      <c r="C16370" s="3" t="s">
        <v>31</v>
      </c>
      <c r="D16370" s="3" t="s">
        <v>32</v>
      </c>
      <c r="E16370" s="4" t="s">
        <v>22</v>
      </c>
      <c r="F16370" s="4" t="s">
        <v>82363</v>
      </c>
      <c r="G16370" s="4" t="s">
        <v>82345</v>
      </c>
      <c r="H16370" s="3" t="s">
        <v>81975</v>
      </c>
      <c r="I16370" s="3" t="s">
        <v>82346</v>
      </c>
      <c r="J16370" s="3" t="s">
        <v>82364</v>
      </c>
      <c r="K16370" s="3" t="s">
        <v>82529</v>
      </c>
      <c r="L16370" s="3" t="s">
        <v>82530</v>
      </c>
      <c r="M16370" s="4" t="s">
        <v>82531</v>
      </c>
      <c r="N16370" s="3" t="s">
        <v>967</v>
      </c>
      <c r="O16370" s="3" t="s">
        <v>2740</v>
      </c>
      <c r="P16370" s="5">
        <v>9</v>
      </c>
      <c r="Q16370" s="5">
        <v>219</v>
      </c>
      <c r="R16370" s="5">
        <v>10</v>
      </c>
      <c r="S16370" s="5">
        <v>196</v>
      </c>
    </row>
    <row r="16371" spans="1:19" ht="28" x14ac:dyDescent="0.15">
      <c r="A16371" s="2">
        <f>HYPERLINK("https://open-school.uspishnemisto.com.ua/school/800130/", 800130)</f>
        <v>800130</v>
      </c>
      <c r="B16371" s="3" t="s">
        <v>82532</v>
      </c>
      <c r="C16371" s="3" t="s">
        <v>31</v>
      </c>
      <c r="D16371" s="3" t="s">
        <v>32</v>
      </c>
      <c r="E16371" s="4" t="s">
        <v>22</v>
      </c>
      <c r="F16371" s="4" t="s">
        <v>82363</v>
      </c>
      <c r="G16371" s="4" t="s">
        <v>82345</v>
      </c>
      <c r="H16371" s="3" t="s">
        <v>81975</v>
      </c>
      <c r="I16371" s="3" t="s">
        <v>82346</v>
      </c>
      <c r="J16371" s="3" t="s">
        <v>82533</v>
      </c>
      <c r="K16371" s="3" t="s">
        <v>82534</v>
      </c>
      <c r="L16371" s="3" t="s">
        <v>82535</v>
      </c>
      <c r="M16371" s="4" t="s">
        <v>82536</v>
      </c>
      <c r="N16371" s="3" t="s">
        <v>37</v>
      </c>
      <c r="O16371" s="3" t="s">
        <v>38</v>
      </c>
      <c r="P16371" s="5">
        <v>17</v>
      </c>
      <c r="Q16371" s="5">
        <v>408</v>
      </c>
      <c r="R16371" s="5">
        <v>16</v>
      </c>
      <c r="S16371" s="5">
        <v>419</v>
      </c>
    </row>
    <row r="16372" spans="1:19" ht="28" x14ac:dyDescent="0.15">
      <c r="A16372" s="2">
        <f>HYPERLINK("https://open-school.uspishnemisto.com.ua/school/800131/", 800131)</f>
        <v>800131</v>
      </c>
      <c r="B16372" s="3" t="s">
        <v>82537</v>
      </c>
      <c r="C16372" s="3" t="s">
        <v>31</v>
      </c>
      <c r="D16372" s="3" t="s">
        <v>32</v>
      </c>
      <c r="E16372" s="4" t="s">
        <v>22</v>
      </c>
      <c r="F16372" s="4" t="s">
        <v>82369</v>
      </c>
      <c r="G16372" s="4" t="s">
        <v>82345</v>
      </c>
      <c r="H16372" s="3" t="s">
        <v>81975</v>
      </c>
      <c r="I16372" s="3" t="s">
        <v>82346</v>
      </c>
      <c r="J16372" s="3" t="s">
        <v>82538</v>
      </c>
      <c r="K16372" s="3" t="s">
        <v>82539</v>
      </c>
      <c r="L16372" s="3" t="s">
        <v>82540</v>
      </c>
      <c r="M16372" s="4" t="s">
        <v>82541</v>
      </c>
      <c r="N16372" s="3" t="s">
        <v>37</v>
      </c>
      <c r="O16372" s="3" t="s">
        <v>70</v>
      </c>
      <c r="P16372" s="5">
        <v>17</v>
      </c>
      <c r="Q16372" s="5">
        <v>426</v>
      </c>
      <c r="R16372" s="5">
        <v>16</v>
      </c>
      <c r="S16372" s="5">
        <v>380</v>
      </c>
    </row>
    <row r="16373" spans="1:19" ht="28" x14ac:dyDescent="0.15">
      <c r="A16373" s="2">
        <f>HYPERLINK("https://open-school.uspishnemisto.com.ua/school/800132/", 800132)</f>
        <v>800132</v>
      </c>
      <c r="B16373" s="3" t="s">
        <v>82542</v>
      </c>
      <c r="C16373" s="3" t="s">
        <v>31</v>
      </c>
      <c r="D16373" s="3" t="s">
        <v>32</v>
      </c>
      <c r="E16373" s="4" t="s">
        <v>22</v>
      </c>
      <c r="F16373" s="4" t="s">
        <v>82363</v>
      </c>
      <c r="G16373" s="4" t="s">
        <v>82345</v>
      </c>
      <c r="H16373" s="3" t="s">
        <v>81975</v>
      </c>
      <c r="I16373" s="3" t="s">
        <v>82346</v>
      </c>
      <c r="J16373" s="3" t="s">
        <v>82543</v>
      </c>
      <c r="K16373" s="3" t="s">
        <v>82544</v>
      </c>
      <c r="L16373" s="3" t="s">
        <v>82545</v>
      </c>
      <c r="M16373" s="4" t="s">
        <v>82546</v>
      </c>
      <c r="N16373" s="3" t="s">
        <v>37</v>
      </c>
      <c r="O16373" s="3" t="s">
        <v>2740</v>
      </c>
      <c r="P16373" s="5">
        <v>20</v>
      </c>
      <c r="Q16373" s="5">
        <v>492</v>
      </c>
      <c r="R16373" s="5">
        <v>20</v>
      </c>
      <c r="S16373" s="5">
        <v>516</v>
      </c>
    </row>
    <row r="16374" spans="1:19" ht="28" x14ac:dyDescent="0.15">
      <c r="A16374" s="2">
        <f>HYPERLINK("https://open-school.uspishnemisto.com.ua/school/800133/", 800133)</f>
        <v>800133</v>
      </c>
      <c r="B16374" s="3" t="s">
        <v>82547</v>
      </c>
      <c r="C16374" s="3" t="s">
        <v>31</v>
      </c>
      <c r="D16374" s="3" t="s">
        <v>32</v>
      </c>
      <c r="E16374" s="4" t="s">
        <v>22</v>
      </c>
      <c r="F16374" s="4" t="s">
        <v>82344</v>
      </c>
      <c r="G16374" s="4" t="s">
        <v>82345</v>
      </c>
      <c r="H16374" s="3" t="s">
        <v>81975</v>
      </c>
      <c r="I16374" s="3" t="s">
        <v>82346</v>
      </c>
      <c r="J16374" s="3" t="s">
        <v>82548</v>
      </c>
      <c r="K16374" s="3" t="s">
        <v>82549</v>
      </c>
      <c r="L16374" s="3" t="s">
        <v>82550</v>
      </c>
      <c r="M16374" s="4" t="s">
        <v>82551</v>
      </c>
      <c r="N16374" s="3" t="s">
        <v>37</v>
      </c>
      <c r="O16374" s="3" t="s">
        <v>38</v>
      </c>
      <c r="P16374" s="5">
        <v>30</v>
      </c>
      <c r="Q16374" s="5">
        <v>818</v>
      </c>
      <c r="R16374" s="5">
        <v>28</v>
      </c>
      <c r="S16374" s="5">
        <v>768</v>
      </c>
    </row>
    <row r="16375" spans="1:19" ht="28" x14ac:dyDescent="0.15">
      <c r="A16375" s="2">
        <f>HYPERLINK("https://open-school.uspishnemisto.com.ua/school/800134/", 800134)</f>
        <v>800134</v>
      </c>
      <c r="B16375" s="3" t="s">
        <v>82552</v>
      </c>
      <c r="C16375" s="3" t="s">
        <v>31</v>
      </c>
      <c r="D16375" s="3" t="s">
        <v>32</v>
      </c>
      <c r="E16375" s="4" t="s">
        <v>22</v>
      </c>
      <c r="F16375" s="4" t="s">
        <v>82344</v>
      </c>
      <c r="G16375" s="4" t="s">
        <v>82345</v>
      </c>
      <c r="H16375" s="3" t="s">
        <v>81975</v>
      </c>
      <c r="I16375" s="3" t="s">
        <v>82346</v>
      </c>
      <c r="J16375" s="3" t="s">
        <v>82553</v>
      </c>
      <c r="K16375" s="3" t="s">
        <v>82554</v>
      </c>
      <c r="L16375" s="3" t="s">
        <v>82555</v>
      </c>
      <c r="M16375" s="4" t="s">
        <v>82556</v>
      </c>
      <c r="N16375" s="3" t="s">
        <v>37</v>
      </c>
      <c r="O16375" s="3" t="s">
        <v>46</v>
      </c>
      <c r="P16375" s="5">
        <v>22</v>
      </c>
      <c r="Q16375" s="5">
        <v>564</v>
      </c>
      <c r="R16375" s="5">
        <v>21</v>
      </c>
      <c r="S16375" s="5">
        <v>556</v>
      </c>
    </row>
    <row r="16376" spans="1:19" ht="28" x14ac:dyDescent="0.15">
      <c r="A16376" s="2">
        <f>HYPERLINK("https://open-school.uspishnemisto.com.ua/school/800135/", 800135)</f>
        <v>800135</v>
      </c>
      <c r="B16376" s="3" t="s">
        <v>82557</v>
      </c>
      <c r="C16376" s="3" t="s">
        <v>31</v>
      </c>
      <c r="D16376" s="3" t="s">
        <v>32</v>
      </c>
      <c r="E16376" s="4" t="s">
        <v>22</v>
      </c>
      <c r="F16376" s="4" t="s">
        <v>3235</v>
      </c>
      <c r="G16376" s="4" t="s">
        <v>82345</v>
      </c>
      <c r="H16376" s="3" t="s">
        <v>81975</v>
      </c>
      <c r="I16376" s="3" t="s">
        <v>82346</v>
      </c>
      <c r="J16376" s="3" t="s">
        <v>82399</v>
      </c>
      <c r="K16376" s="3" t="s">
        <v>82558</v>
      </c>
      <c r="L16376" s="3" t="s">
        <v>82559</v>
      </c>
      <c r="M16376" s="4" t="s">
        <v>82560</v>
      </c>
      <c r="N16376" s="3" t="s">
        <v>37</v>
      </c>
      <c r="O16376" s="3" t="s">
        <v>721</v>
      </c>
      <c r="P16376" s="5">
        <v>22</v>
      </c>
      <c r="Q16376" s="5">
        <v>556</v>
      </c>
      <c r="R16376" s="5">
        <v>20</v>
      </c>
      <c r="S16376" s="5">
        <v>517</v>
      </c>
    </row>
    <row r="16377" spans="1:19" ht="28" x14ac:dyDescent="0.15">
      <c r="A16377" s="2">
        <f>HYPERLINK("https://open-school.uspishnemisto.com.ua/school/800136/", 800136)</f>
        <v>800136</v>
      </c>
      <c r="B16377" s="3" t="s">
        <v>82561</v>
      </c>
      <c r="C16377" s="3" t="s">
        <v>31</v>
      </c>
      <c r="D16377" s="3" t="s">
        <v>32</v>
      </c>
      <c r="E16377" s="4" t="s">
        <v>22</v>
      </c>
      <c r="F16377" s="4" t="s">
        <v>82422</v>
      </c>
      <c r="G16377" s="4" t="s">
        <v>82345</v>
      </c>
      <c r="H16377" s="3" t="s">
        <v>81975</v>
      </c>
      <c r="I16377" s="3" t="s">
        <v>82346</v>
      </c>
      <c r="J16377" s="3" t="s">
        <v>82562</v>
      </c>
      <c r="K16377" s="3" t="s">
        <v>82563</v>
      </c>
      <c r="L16377" s="3" t="s">
        <v>82564</v>
      </c>
      <c r="M16377" s="4" t="s">
        <v>82565</v>
      </c>
      <c r="N16377" s="3" t="s">
        <v>37</v>
      </c>
      <c r="O16377" s="3" t="s">
        <v>8542</v>
      </c>
      <c r="P16377" s="5">
        <v>20</v>
      </c>
      <c r="Q16377" s="5">
        <v>550</v>
      </c>
      <c r="R16377" s="5">
        <v>20</v>
      </c>
      <c r="S16377" s="5">
        <v>543</v>
      </c>
    </row>
    <row r="16378" spans="1:19" ht="28" x14ac:dyDescent="0.15">
      <c r="A16378" s="2">
        <f>HYPERLINK("https://open-school.uspishnemisto.com.ua/school/800137/", 800137)</f>
        <v>800137</v>
      </c>
      <c r="B16378" s="3" t="s">
        <v>82566</v>
      </c>
      <c r="C16378" s="3" t="s">
        <v>31</v>
      </c>
      <c r="D16378" s="3" t="s">
        <v>32</v>
      </c>
      <c r="E16378" s="4" t="s">
        <v>22</v>
      </c>
      <c r="F16378" s="4" t="s">
        <v>3235</v>
      </c>
      <c r="G16378" s="4" t="s">
        <v>82345</v>
      </c>
      <c r="H16378" s="3" t="s">
        <v>81975</v>
      </c>
      <c r="I16378" s="3" t="s">
        <v>82346</v>
      </c>
      <c r="J16378" s="3" t="s">
        <v>82567</v>
      </c>
      <c r="K16378" s="3" t="s">
        <v>82568</v>
      </c>
      <c r="L16378" s="3" t="s">
        <v>82569</v>
      </c>
      <c r="M16378" s="4" t="s">
        <v>82570</v>
      </c>
      <c r="N16378" s="3" t="s">
        <v>37</v>
      </c>
      <c r="O16378" s="3" t="s">
        <v>197</v>
      </c>
      <c r="P16378" s="5">
        <v>30</v>
      </c>
      <c r="Q16378" s="5">
        <v>873</v>
      </c>
      <c r="R16378" s="5">
        <v>30</v>
      </c>
      <c r="S16378" s="5">
        <v>875</v>
      </c>
    </row>
    <row r="16379" spans="1:19" ht="28" x14ac:dyDescent="0.15">
      <c r="A16379" s="2">
        <f>HYPERLINK("https://open-school.uspishnemisto.com.ua/school/800138/", 800138)</f>
        <v>800138</v>
      </c>
      <c r="B16379" s="3" t="s">
        <v>82571</v>
      </c>
      <c r="C16379" s="3" t="s">
        <v>31</v>
      </c>
      <c r="D16379" s="3" t="s">
        <v>32</v>
      </c>
      <c r="E16379" s="4" t="s">
        <v>22</v>
      </c>
      <c r="F16379" s="4" t="s">
        <v>82422</v>
      </c>
      <c r="G16379" s="4" t="s">
        <v>82345</v>
      </c>
      <c r="H16379" s="3" t="s">
        <v>81975</v>
      </c>
      <c r="I16379" s="3" t="s">
        <v>82346</v>
      </c>
      <c r="J16379" s="3" t="s">
        <v>82572</v>
      </c>
      <c r="K16379" s="3" t="s">
        <v>82573</v>
      </c>
      <c r="L16379" s="3" t="s">
        <v>82574</v>
      </c>
      <c r="M16379" s="4" t="s">
        <v>82575</v>
      </c>
      <c r="N16379" s="3" t="s">
        <v>37</v>
      </c>
      <c r="O16379" s="3" t="s">
        <v>46</v>
      </c>
      <c r="P16379" s="5">
        <v>21</v>
      </c>
      <c r="Q16379" s="5">
        <v>558</v>
      </c>
      <c r="R16379" s="5">
        <v>20</v>
      </c>
      <c r="S16379" s="5">
        <v>538</v>
      </c>
    </row>
    <row r="16380" spans="1:19" ht="28" x14ac:dyDescent="0.15">
      <c r="A16380" s="2">
        <f>HYPERLINK("https://open-school.uspishnemisto.com.ua/school/800139/", 800139)</f>
        <v>800139</v>
      </c>
      <c r="B16380" s="3" t="s">
        <v>82576</v>
      </c>
      <c r="C16380" s="3" t="s">
        <v>31</v>
      </c>
      <c r="D16380" s="3" t="s">
        <v>32</v>
      </c>
      <c r="E16380" s="4" t="s">
        <v>22</v>
      </c>
      <c r="F16380" s="4" t="s">
        <v>82422</v>
      </c>
      <c r="G16380" s="4" t="s">
        <v>82345</v>
      </c>
      <c r="H16380" s="3" t="s">
        <v>81975</v>
      </c>
      <c r="I16380" s="3" t="s">
        <v>82346</v>
      </c>
      <c r="J16380" s="3" t="s">
        <v>82577</v>
      </c>
      <c r="K16380" s="3" t="s">
        <v>82578</v>
      </c>
      <c r="L16380" s="3" t="s">
        <v>82579</v>
      </c>
      <c r="M16380" s="4" t="s">
        <v>82580</v>
      </c>
      <c r="N16380" s="3" t="s">
        <v>37</v>
      </c>
      <c r="O16380" s="3" t="s">
        <v>46</v>
      </c>
      <c r="P16380" s="5">
        <v>26</v>
      </c>
      <c r="Q16380" s="5">
        <v>542</v>
      </c>
      <c r="R16380" s="5">
        <v>25</v>
      </c>
      <c r="S16380" s="5">
        <v>535</v>
      </c>
    </row>
    <row r="16381" spans="1:19" ht="28" x14ac:dyDescent="0.15">
      <c r="A16381" s="2">
        <f>HYPERLINK("https://open-school.uspishnemisto.com.ua/school/800140/", 800140)</f>
        <v>800140</v>
      </c>
      <c r="B16381" s="3" t="s">
        <v>82581</v>
      </c>
      <c r="C16381" s="3" t="s">
        <v>31</v>
      </c>
      <c r="D16381" s="3" t="s">
        <v>32</v>
      </c>
      <c r="E16381" s="4" t="s">
        <v>22</v>
      </c>
      <c r="F16381" s="4" t="s">
        <v>3235</v>
      </c>
      <c r="G16381" s="4" t="s">
        <v>82345</v>
      </c>
      <c r="H16381" s="3" t="s">
        <v>81975</v>
      </c>
      <c r="I16381" s="3" t="s">
        <v>82346</v>
      </c>
      <c r="J16381" s="3" t="s">
        <v>82582</v>
      </c>
      <c r="K16381" s="3" t="s">
        <v>82583</v>
      </c>
      <c r="L16381" s="3" t="s">
        <v>82584</v>
      </c>
      <c r="M16381" s="4" t="s">
        <v>82585</v>
      </c>
      <c r="N16381" s="3" t="s">
        <v>37</v>
      </c>
      <c r="O16381" s="3" t="s">
        <v>721</v>
      </c>
      <c r="P16381" s="5">
        <v>30</v>
      </c>
      <c r="Q16381" s="5">
        <v>769</v>
      </c>
      <c r="R16381" s="5">
        <v>30</v>
      </c>
      <c r="S16381" s="5">
        <v>772</v>
      </c>
    </row>
    <row r="16382" spans="1:19" ht="28" x14ac:dyDescent="0.15">
      <c r="A16382" s="2">
        <f>HYPERLINK("https://open-school.uspishnemisto.com.ua/school/800141/", 800141)</f>
        <v>800141</v>
      </c>
      <c r="B16382" s="3" t="s">
        <v>82586</v>
      </c>
      <c r="C16382" s="3" t="s">
        <v>31</v>
      </c>
      <c r="D16382" s="3" t="s">
        <v>32</v>
      </c>
      <c r="E16382" s="4" t="s">
        <v>22</v>
      </c>
      <c r="F16382" s="4" t="s">
        <v>82587</v>
      </c>
      <c r="G16382" s="4" t="s">
        <v>82345</v>
      </c>
      <c r="H16382" s="3" t="s">
        <v>81975</v>
      </c>
      <c r="I16382" s="3" t="s">
        <v>82346</v>
      </c>
      <c r="J16382" s="3" t="s">
        <v>82588</v>
      </c>
      <c r="K16382" s="3" t="s">
        <v>82589</v>
      </c>
      <c r="L16382" s="3" t="s">
        <v>82590</v>
      </c>
      <c r="M16382" s="4" t="s">
        <v>82591</v>
      </c>
      <c r="N16382" s="3" t="s">
        <v>37</v>
      </c>
      <c r="O16382" s="3" t="s">
        <v>38</v>
      </c>
      <c r="P16382" s="5">
        <v>10</v>
      </c>
      <c r="Q16382" s="5">
        <v>179</v>
      </c>
      <c r="R16382" s="5">
        <v>10</v>
      </c>
      <c r="S16382" s="5">
        <v>166</v>
      </c>
    </row>
    <row r="16383" spans="1:19" ht="28" x14ac:dyDescent="0.15">
      <c r="A16383" s="2">
        <f>HYPERLINK("https://open-school.uspishnemisto.com.ua/school/800142/", 800142)</f>
        <v>800142</v>
      </c>
      <c r="B16383" s="3" t="s">
        <v>82592</v>
      </c>
      <c r="C16383" s="3" t="s">
        <v>31</v>
      </c>
      <c r="D16383" s="3" t="s">
        <v>32</v>
      </c>
      <c r="E16383" s="4" t="s">
        <v>22</v>
      </c>
      <c r="F16383" s="4" t="s">
        <v>82352</v>
      </c>
      <c r="G16383" s="4" t="s">
        <v>82345</v>
      </c>
      <c r="H16383" s="3" t="s">
        <v>81975</v>
      </c>
      <c r="I16383" s="3" t="s">
        <v>82346</v>
      </c>
      <c r="J16383" s="3" t="s">
        <v>82593</v>
      </c>
      <c r="K16383" s="3" t="s">
        <v>82594</v>
      </c>
      <c r="L16383" s="3" t="s">
        <v>82595</v>
      </c>
      <c r="M16383" s="4" t="s">
        <v>82596</v>
      </c>
      <c r="N16383" s="3" t="s">
        <v>37</v>
      </c>
      <c r="O16383" s="3" t="s">
        <v>70</v>
      </c>
      <c r="P16383" s="5">
        <v>32</v>
      </c>
      <c r="Q16383" s="5">
        <v>924</v>
      </c>
      <c r="R16383" s="5">
        <v>31</v>
      </c>
      <c r="S16383" s="5">
        <v>887</v>
      </c>
    </row>
    <row r="16384" spans="1:19" ht="28" x14ac:dyDescent="0.15">
      <c r="A16384" s="2">
        <f>HYPERLINK("https://open-school.uspishnemisto.com.ua/school/800143/", 800143)</f>
        <v>800143</v>
      </c>
      <c r="B16384" s="3" t="s">
        <v>82597</v>
      </c>
      <c r="C16384" s="3" t="s">
        <v>31</v>
      </c>
      <c r="D16384" s="3" t="s">
        <v>32</v>
      </c>
      <c r="E16384" s="4" t="s">
        <v>22</v>
      </c>
      <c r="F16384" s="4" t="s">
        <v>82352</v>
      </c>
      <c r="G16384" s="4" t="s">
        <v>82345</v>
      </c>
      <c r="H16384" s="3" t="s">
        <v>81975</v>
      </c>
      <c r="I16384" s="3" t="s">
        <v>82346</v>
      </c>
      <c r="J16384" s="3" t="s">
        <v>82598</v>
      </c>
      <c r="K16384" s="3" t="s">
        <v>82599</v>
      </c>
      <c r="L16384" s="3" t="s">
        <v>82600</v>
      </c>
      <c r="M16384" s="4" t="s">
        <v>82601</v>
      </c>
      <c r="N16384" s="3" t="s">
        <v>37</v>
      </c>
      <c r="O16384" s="3" t="s">
        <v>123</v>
      </c>
      <c r="P16384" s="5">
        <v>24</v>
      </c>
      <c r="Q16384" s="5">
        <v>682</v>
      </c>
      <c r="R16384" s="5">
        <v>23</v>
      </c>
      <c r="S16384" s="5">
        <v>627</v>
      </c>
    </row>
    <row r="16385" spans="1:19" ht="28" x14ac:dyDescent="0.15">
      <c r="A16385" s="2">
        <f>HYPERLINK("https://open-school.uspishnemisto.com.ua/school/800144/", 800144)</f>
        <v>800144</v>
      </c>
      <c r="B16385" s="3" t="s">
        <v>82602</v>
      </c>
      <c r="C16385" s="3" t="s">
        <v>31</v>
      </c>
      <c r="D16385" s="3" t="s">
        <v>32</v>
      </c>
      <c r="E16385" s="4" t="s">
        <v>22</v>
      </c>
      <c r="F16385" s="4" t="s">
        <v>82352</v>
      </c>
      <c r="G16385" s="4" t="s">
        <v>82345</v>
      </c>
      <c r="H16385" s="3" t="s">
        <v>81975</v>
      </c>
      <c r="I16385" s="3" t="s">
        <v>82346</v>
      </c>
      <c r="J16385" s="3" t="s">
        <v>82603</v>
      </c>
      <c r="K16385" s="3" t="s">
        <v>82604</v>
      </c>
      <c r="L16385" s="3" t="s">
        <v>82605</v>
      </c>
      <c r="M16385" s="4" t="s">
        <v>82606</v>
      </c>
      <c r="N16385" s="3" t="s">
        <v>37</v>
      </c>
      <c r="O16385" s="3" t="s">
        <v>38</v>
      </c>
      <c r="P16385" s="5">
        <v>36</v>
      </c>
      <c r="Q16385" s="5">
        <v>1021</v>
      </c>
      <c r="R16385" s="5">
        <v>33</v>
      </c>
      <c r="S16385" s="5">
        <v>930</v>
      </c>
    </row>
    <row r="16386" spans="1:19" ht="28" x14ac:dyDescent="0.15">
      <c r="A16386" s="2">
        <f>HYPERLINK("https://open-school.uspishnemisto.com.ua/school/800145/", 800145)</f>
        <v>800145</v>
      </c>
      <c r="B16386" s="3" t="s">
        <v>82607</v>
      </c>
      <c r="C16386" s="3" t="s">
        <v>31</v>
      </c>
      <c r="D16386" s="3" t="s">
        <v>32</v>
      </c>
      <c r="E16386" s="4" t="s">
        <v>22</v>
      </c>
      <c r="F16386" s="4" t="s">
        <v>82352</v>
      </c>
      <c r="G16386" s="4" t="s">
        <v>82345</v>
      </c>
      <c r="H16386" s="3" t="s">
        <v>81975</v>
      </c>
      <c r="I16386" s="3" t="s">
        <v>82346</v>
      </c>
      <c r="J16386" s="3" t="s">
        <v>82608</v>
      </c>
      <c r="K16386" s="3" t="s">
        <v>82609</v>
      </c>
      <c r="L16386" s="3" t="s">
        <v>82610</v>
      </c>
      <c r="M16386" s="4" t="s">
        <v>82611</v>
      </c>
      <c r="N16386" s="3" t="s">
        <v>37</v>
      </c>
      <c r="O16386" s="3" t="s">
        <v>70</v>
      </c>
      <c r="P16386" s="5">
        <v>30</v>
      </c>
      <c r="Q16386" s="5">
        <v>920</v>
      </c>
      <c r="R16386" s="5">
        <v>31</v>
      </c>
      <c r="S16386" s="5">
        <v>845</v>
      </c>
    </row>
    <row r="16387" spans="1:19" ht="28" x14ac:dyDescent="0.15">
      <c r="A16387" s="2">
        <f>HYPERLINK("https://open-school.uspishnemisto.com.ua/school/800146/", 800146)</f>
        <v>800146</v>
      </c>
      <c r="B16387" s="3" t="s">
        <v>82612</v>
      </c>
      <c r="C16387" s="3" t="s">
        <v>31</v>
      </c>
      <c r="D16387" s="3" t="s">
        <v>32</v>
      </c>
      <c r="E16387" s="4" t="s">
        <v>22</v>
      </c>
      <c r="F16387" s="4" t="s">
        <v>82478</v>
      </c>
      <c r="G16387" s="4" t="s">
        <v>82345</v>
      </c>
      <c r="H16387" s="3" t="s">
        <v>81975</v>
      </c>
      <c r="I16387" s="3" t="s">
        <v>82346</v>
      </c>
      <c r="J16387" s="3" t="s">
        <v>82613</v>
      </c>
      <c r="K16387" s="3" t="s">
        <v>82614</v>
      </c>
      <c r="L16387" s="3" t="s">
        <v>82615</v>
      </c>
      <c r="M16387" s="4" t="s">
        <v>82616</v>
      </c>
      <c r="N16387" s="3" t="s">
        <v>37</v>
      </c>
      <c r="O16387" s="3" t="s">
        <v>38</v>
      </c>
      <c r="P16387" s="5">
        <v>42</v>
      </c>
      <c r="Q16387" s="5">
        <v>1341</v>
      </c>
      <c r="R16387" s="5">
        <v>42</v>
      </c>
      <c r="S16387" s="5">
        <v>1326</v>
      </c>
    </row>
    <row r="16388" spans="1:19" ht="28" x14ac:dyDescent="0.15">
      <c r="A16388" s="2">
        <f>HYPERLINK("https://open-school.uspishnemisto.com.ua/school/800147/", 800147)</f>
        <v>800147</v>
      </c>
      <c r="B16388" s="3" t="s">
        <v>82617</v>
      </c>
      <c r="C16388" s="3" t="s">
        <v>31</v>
      </c>
      <c r="D16388" s="3" t="s">
        <v>32</v>
      </c>
      <c r="E16388" s="4" t="s">
        <v>22</v>
      </c>
      <c r="F16388" s="4" t="s">
        <v>82478</v>
      </c>
      <c r="G16388" s="4" t="s">
        <v>82345</v>
      </c>
      <c r="H16388" s="3" t="s">
        <v>81975</v>
      </c>
      <c r="I16388" s="3" t="s">
        <v>82346</v>
      </c>
      <c r="J16388" s="3" t="s">
        <v>82618</v>
      </c>
      <c r="K16388" s="3" t="s">
        <v>82619</v>
      </c>
      <c r="L16388" s="3" t="s">
        <v>82620</v>
      </c>
      <c r="M16388" s="4" t="s">
        <v>82621</v>
      </c>
      <c r="N16388" s="3" t="s">
        <v>37</v>
      </c>
      <c r="O16388" s="3" t="s">
        <v>70</v>
      </c>
      <c r="P16388" s="5">
        <v>36</v>
      </c>
      <c r="Q16388" s="5">
        <v>1003</v>
      </c>
      <c r="R16388" s="5">
        <v>35</v>
      </c>
      <c r="S16388" s="5">
        <v>972</v>
      </c>
    </row>
    <row r="16389" spans="1:19" ht="28" x14ac:dyDescent="0.15">
      <c r="A16389" s="2">
        <f>HYPERLINK("https://open-school.uspishnemisto.com.ua/school/800148/", 800148)</f>
        <v>800148</v>
      </c>
      <c r="B16389" s="3" t="s">
        <v>82622</v>
      </c>
      <c r="C16389" s="3" t="s">
        <v>31</v>
      </c>
      <c r="D16389" s="3" t="s">
        <v>32</v>
      </c>
      <c r="E16389" s="4" t="s">
        <v>22</v>
      </c>
      <c r="F16389" s="4" t="s">
        <v>3235</v>
      </c>
      <c r="G16389" s="4" t="s">
        <v>82345</v>
      </c>
      <c r="H16389" s="3" t="s">
        <v>81975</v>
      </c>
      <c r="I16389" s="3" t="s">
        <v>82346</v>
      </c>
      <c r="J16389" s="3" t="s">
        <v>82623</v>
      </c>
      <c r="K16389" s="3" t="s">
        <v>82624</v>
      </c>
      <c r="L16389" s="3" t="s">
        <v>82625</v>
      </c>
      <c r="M16389" s="4" t="s">
        <v>82626</v>
      </c>
      <c r="N16389" s="3" t="s">
        <v>37</v>
      </c>
      <c r="O16389" s="3" t="s">
        <v>46</v>
      </c>
      <c r="P16389" s="5">
        <v>25</v>
      </c>
      <c r="Q16389" s="5">
        <v>705</v>
      </c>
      <c r="R16389" s="5">
        <v>25</v>
      </c>
      <c r="S16389" s="5">
        <v>649</v>
      </c>
    </row>
    <row r="16390" spans="1:19" ht="28" x14ac:dyDescent="0.15">
      <c r="A16390" s="2">
        <f>HYPERLINK("https://open-school.uspishnemisto.com.ua/school/800149/", 800149)</f>
        <v>800149</v>
      </c>
      <c r="B16390" s="3" t="s">
        <v>82627</v>
      </c>
      <c r="C16390" s="3" t="s">
        <v>54</v>
      </c>
      <c r="D16390" s="3" t="s">
        <v>60</v>
      </c>
      <c r="E16390" s="4" t="s">
        <v>22</v>
      </c>
      <c r="F16390" s="4" t="s">
        <v>82478</v>
      </c>
      <c r="G16390" s="4" t="s">
        <v>82345</v>
      </c>
      <c r="H16390" s="3" t="s">
        <v>81975</v>
      </c>
      <c r="I16390" s="3" t="s">
        <v>82346</v>
      </c>
      <c r="J16390" s="3" t="s">
        <v>82628</v>
      </c>
      <c r="K16390" s="3" t="s">
        <v>82629</v>
      </c>
      <c r="L16390" s="3"/>
      <c r="M16390" s="4"/>
      <c r="N16390" s="3" t="s">
        <v>37</v>
      </c>
      <c r="O16390" s="3" t="s">
        <v>52</v>
      </c>
      <c r="P16390" s="5">
        <v>0</v>
      </c>
      <c r="Q16390" s="5">
        <v>0</v>
      </c>
      <c r="R16390" s="5">
        <v>1</v>
      </c>
      <c r="S16390" s="5">
        <v>19</v>
      </c>
    </row>
    <row r="16391" spans="1:19" ht="28" x14ac:dyDescent="0.15">
      <c r="A16391" s="2">
        <f>HYPERLINK("https://open-school.uspishnemisto.com.ua/school/800150/", 800150)</f>
        <v>800150</v>
      </c>
      <c r="B16391" s="3" t="s">
        <v>82630</v>
      </c>
      <c r="C16391" s="3" t="s">
        <v>20</v>
      </c>
      <c r="D16391" s="3" t="s">
        <v>82385</v>
      </c>
      <c r="E16391" s="4" t="s">
        <v>22</v>
      </c>
      <c r="F16391" s="4"/>
      <c r="G16391" s="4" t="s">
        <v>82631</v>
      </c>
      <c r="H16391" s="3" t="s">
        <v>81975</v>
      </c>
      <c r="I16391" s="3" t="s">
        <v>82632</v>
      </c>
      <c r="J16391" s="3" t="s">
        <v>82633</v>
      </c>
      <c r="K16391" s="3" t="s">
        <v>82634</v>
      </c>
      <c r="L16391" s="3" t="s">
        <v>82635</v>
      </c>
      <c r="M16391" s="4"/>
      <c r="N16391" s="3"/>
      <c r="O16391" s="3"/>
      <c r="P16391" s="5">
        <v>0</v>
      </c>
      <c r="Q16391" s="5">
        <v>0</v>
      </c>
      <c r="R16391" s="5"/>
      <c r="S16391" s="5"/>
    </row>
    <row r="16392" spans="1:19" ht="28" x14ac:dyDescent="0.15">
      <c r="A16392" s="2">
        <f>HYPERLINK("https://open-school.uspishnemisto.com.ua/school/800151/", 800151)</f>
        <v>800151</v>
      </c>
      <c r="B16392" s="3" t="s">
        <v>82636</v>
      </c>
      <c r="C16392" s="3" t="s">
        <v>40</v>
      </c>
      <c r="D16392" s="3" t="s">
        <v>21</v>
      </c>
      <c r="E16392" s="4" t="s">
        <v>22</v>
      </c>
      <c r="F16392" s="4" t="s">
        <v>82637</v>
      </c>
      <c r="G16392" s="4" t="s">
        <v>82631</v>
      </c>
      <c r="H16392" s="3" t="s">
        <v>81975</v>
      </c>
      <c r="I16392" s="3" t="s">
        <v>82632</v>
      </c>
      <c r="J16392" s="3" t="s">
        <v>82638</v>
      </c>
      <c r="K16392" s="3" t="s">
        <v>82639</v>
      </c>
      <c r="L16392" s="3" t="s">
        <v>82640</v>
      </c>
      <c r="M16392" s="4"/>
      <c r="N16392" s="3" t="s">
        <v>37</v>
      </c>
      <c r="O16392" s="3" t="s">
        <v>82641</v>
      </c>
      <c r="P16392" s="5">
        <v>20</v>
      </c>
      <c r="Q16392" s="5">
        <v>559</v>
      </c>
      <c r="R16392" s="5">
        <v>19</v>
      </c>
      <c r="S16392" s="5">
        <v>529</v>
      </c>
    </row>
    <row r="16393" spans="1:19" ht="28" x14ac:dyDescent="0.15">
      <c r="A16393" s="2">
        <f>HYPERLINK("https://open-school.uspishnemisto.com.ua/school/800152/", 800152)</f>
        <v>800152</v>
      </c>
      <c r="B16393" s="3" t="s">
        <v>82642</v>
      </c>
      <c r="C16393" s="3" t="s">
        <v>40</v>
      </c>
      <c r="D16393" s="3" t="s">
        <v>21</v>
      </c>
      <c r="E16393" s="4" t="s">
        <v>22</v>
      </c>
      <c r="F16393" s="4" t="s">
        <v>82643</v>
      </c>
      <c r="G16393" s="4" t="s">
        <v>82631</v>
      </c>
      <c r="H16393" s="3" t="s">
        <v>81975</v>
      </c>
      <c r="I16393" s="3" t="s">
        <v>82632</v>
      </c>
      <c r="J16393" s="3" t="s">
        <v>82644</v>
      </c>
      <c r="K16393" s="3" t="s">
        <v>82645</v>
      </c>
      <c r="L16393" s="3" t="s">
        <v>82646</v>
      </c>
      <c r="M16393" s="4"/>
      <c r="N16393" s="3" t="s">
        <v>37</v>
      </c>
      <c r="O16393" s="3" t="s">
        <v>123</v>
      </c>
      <c r="P16393" s="5">
        <v>26</v>
      </c>
      <c r="Q16393" s="5">
        <v>696</v>
      </c>
      <c r="R16393" s="5">
        <v>26</v>
      </c>
      <c r="S16393" s="5">
        <v>713</v>
      </c>
    </row>
    <row r="16394" spans="1:19" ht="28" x14ac:dyDescent="0.15">
      <c r="A16394" s="2">
        <f>HYPERLINK("https://open-school.uspishnemisto.com.ua/school/800153/", 800153)</f>
        <v>800153</v>
      </c>
      <c r="B16394" s="3" t="s">
        <v>82647</v>
      </c>
      <c r="C16394" s="3" t="s">
        <v>54</v>
      </c>
      <c r="D16394" s="3" t="s">
        <v>32</v>
      </c>
      <c r="E16394" s="4" t="s">
        <v>41</v>
      </c>
      <c r="F16394" s="4" t="s">
        <v>82648</v>
      </c>
      <c r="G16394" s="4" t="s">
        <v>82631</v>
      </c>
      <c r="H16394" s="3" t="s">
        <v>81975</v>
      </c>
      <c r="I16394" s="3" t="s">
        <v>82632</v>
      </c>
      <c r="J16394" s="3" t="s">
        <v>82649</v>
      </c>
      <c r="K16394" s="3" t="s">
        <v>82650</v>
      </c>
      <c r="L16394" s="3" t="s">
        <v>82651</v>
      </c>
      <c r="M16394" s="4"/>
      <c r="N16394" s="3" t="s">
        <v>37</v>
      </c>
      <c r="O16394" s="3" t="s">
        <v>52</v>
      </c>
      <c r="P16394" s="5">
        <v>11</v>
      </c>
      <c r="Q16394" s="5">
        <v>108</v>
      </c>
      <c r="R16394" s="5">
        <v>11</v>
      </c>
      <c r="S16394" s="5">
        <v>128</v>
      </c>
    </row>
    <row r="16395" spans="1:19" ht="28" x14ac:dyDescent="0.15">
      <c r="A16395" s="2">
        <f>HYPERLINK("https://open-school.uspishnemisto.com.ua/school/800154/", 800154)</f>
        <v>800154</v>
      </c>
      <c r="B16395" s="3" t="s">
        <v>82652</v>
      </c>
      <c r="C16395" s="3" t="s">
        <v>188</v>
      </c>
      <c r="D16395" s="3" t="s">
        <v>21</v>
      </c>
      <c r="E16395" s="4" t="s">
        <v>22</v>
      </c>
      <c r="F16395" s="4" t="s">
        <v>82648</v>
      </c>
      <c r="G16395" s="4" t="s">
        <v>82631</v>
      </c>
      <c r="H16395" s="3" t="s">
        <v>81975</v>
      </c>
      <c r="I16395" s="3" t="s">
        <v>82632</v>
      </c>
      <c r="J16395" s="3" t="s">
        <v>82653</v>
      </c>
      <c r="K16395" s="3" t="s">
        <v>82654</v>
      </c>
      <c r="L16395" s="3" t="s">
        <v>82655</v>
      </c>
      <c r="M16395" s="4"/>
      <c r="N16395" s="3" t="s">
        <v>37</v>
      </c>
      <c r="O16395" s="3" t="s">
        <v>52</v>
      </c>
      <c r="P16395" s="5">
        <v>22</v>
      </c>
      <c r="Q16395" s="5">
        <v>658</v>
      </c>
      <c r="R16395" s="5">
        <v>21</v>
      </c>
      <c r="S16395" s="5">
        <v>629</v>
      </c>
    </row>
    <row r="16396" spans="1:19" ht="42" x14ac:dyDescent="0.15">
      <c r="A16396" s="2">
        <f>HYPERLINK("https://open-school.uspishnemisto.com.ua/school/800155/", 800155)</f>
        <v>800155</v>
      </c>
      <c r="B16396" s="3" t="s">
        <v>82656</v>
      </c>
      <c r="C16396" s="3" t="s">
        <v>40</v>
      </c>
      <c r="D16396" s="3" t="s">
        <v>32</v>
      </c>
      <c r="E16396" s="4" t="s">
        <v>41</v>
      </c>
      <c r="F16396" s="4" t="s">
        <v>82657</v>
      </c>
      <c r="G16396" s="4" t="s">
        <v>82631</v>
      </c>
      <c r="H16396" s="3" t="s">
        <v>81975</v>
      </c>
      <c r="I16396" s="3" t="s">
        <v>82632</v>
      </c>
      <c r="J16396" s="3" t="s">
        <v>82658</v>
      </c>
      <c r="K16396" s="3" t="s">
        <v>82659</v>
      </c>
      <c r="L16396" s="3" t="s">
        <v>82660</v>
      </c>
      <c r="M16396" s="4"/>
      <c r="N16396" s="3" t="s">
        <v>37</v>
      </c>
      <c r="O16396" s="3" t="s">
        <v>46</v>
      </c>
      <c r="P16396" s="5">
        <v>12</v>
      </c>
      <c r="Q16396" s="5">
        <v>137</v>
      </c>
      <c r="R16396" s="5">
        <v>10</v>
      </c>
      <c r="S16396" s="5">
        <v>98</v>
      </c>
    </row>
    <row r="16397" spans="1:19" ht="56" x14ac:dyDescent="0.15">
      <c r="A16397" s="2">
        <f>HYPERLINK("https://open-school.uspishnemisto.com.ua/school/800156/", 800156)</f>
        <v>800156</v>
      </c>
      <c r="B16397" s="3" t="s">
        <v>82661</v>
      </c>
      <c r="C16397" s="3" t="s">
        <v>54</v>
      </c>
      <c r="D16397" s="3" t="s">
        <v>32</v>
      </c>
      <c r="E16397" s="4" t="s">
        <v>22</v>
      </c>
      <c r="F16397" s="4" t="s">
        <v>82648</v>
      </c>
      <c r="G16397" s="4" t="s">
        <v>82631</v>
      </c>
      <c r="H16397" s="3" t="s">
        <v>81975</v>
      </c>
      <c r="I16397" s="3" t="s">
        <v>82632</v>
      </c>
      <c r="J16397" s="3" t="s">
        <v>60338</v>
      </c>
      <c r="K16397" s="3" t="s">
        <v>82662</v>
      </c>
      <c r="L16397" s="3" t="s">
        <v>82663</v>
      </c>
      <c r="M16397" s="4" t="s">
        <v>82664</v>
      </c>
      <c r="N16397" s="3" t="s">
        <v>37</v>
      </c>
      <c r="O16397" s="3" t="s">
        <v>123</v>
      </c>
      <c r="P16397" s="5">
        <v>40</v>
      </c>
      <c r="Q16397" s="5">
        <v>1170</v>
      </c>
      <c r="R16397" s="5">
        <v>39</v>
      </c>
      <c r="S16397" s="5">
        <v>1110</v>
      </c>
    </row>
    <row r="16398" spans="1:19" ht="42" x14ac:dyDescent="0.15">
      <c r="A16398" s="2">
        <f>HYPERLINK("https://open-school.uspishnemisto.com.ua/school/800157/", 800157)</f>
        <v>800157</v>
      </c>
      <c r="B16398" s="3" t="s">
        <v>82665</v>
      </c>
      <c r="C16398" s="3" t="s">
        <v>54</v>
      </c>
      <c r="D16398" s="3" t="s">
        <v>32</v>
      </c>
      <c r="E16398" s="4" t="s">
        <v>22</v>
      </c>
      <c r="F16398" s="4" t="s">
        <v>82666</v>
      </c>
      <c r="G16398" s="4" t="s">
        <v>82631</v>
      </c>
      <c r="H16398" s="3" t="s">
        <v>81975</v>
      </c>
      <c r="I16398" s="3" t="s">
        <v>82632</v>
      </c>
      <c r="J16398" s="3" t="s">
        <v>82667</v>
      </c>
      <c r="K16398" s="3" t="s">
        <v>82668</v>
      </c>
      <c r="L16398" s="3" t="s">
        <v>82669</v>
      </c>
      <c r="M16398" s="4"/>
      <c r="N16398" s="3" t="s">
        <v>37</v>
      </c>
      <c r="O16398" s="3" t="s">
        <v>46</v>
      </c>
      <c r="P16398" s="5">
        <v>25</v>
      </c>
      <c r="Q16398" s="5">
        <v>813</v>
      </c>
      <c r="R16398" s="5">
        <v>25</v>
      </c>
      <c r="S16398" s="5">
        <v>784</v>
      </c>
    </row>
    <row r="16399" spans="1:19" ht="42" x14ac:dyDescent="0.15">
      <c r="A16399" s="2">
        <f>HYPERLINK("https://open-school.uspishnemisto.com.ua/school/800158/", 800158)</f>
        <v>800158</v>
      </c>
      <c r="B16399" s="3" t="s">
        <v>82670</v>
      </c>
      <c r="C16399" s="3" t="s">
        <v>54</v>
      </c>
      <c r="D16399" s="3" t="s">
        <v>32</v>
      </c>
      <c r="E16399" s="4" t="s">
        <v>22</v>
      </c>
      <c r="F16399" s="4" t="s">
        <v>82671</v>
      </c>
      <c r="G16399" s="4" t="s">
        <v>82631</v>
      </c>
      <c r="H16399" s="3" t="s">
        <v>81975</v>
      </c>
      <c r="I16399" s="3" t="s">
        <v>82632</v>
      </c>
      <c r="J16399" s="3" t="s">
        <v>82672</v>
      </c>
      <c r="K16399" s="3" t="s">
        <v>82673</v>
      </c>
      <c r="L16399" s="3" t="s">
        <v>82674</v>
      </c>
      <c r="M16399" s="4"/>
      <c r="N16399" s="3" t="s">
        <v>37</v>
      </c>
      <c r="O16399" s="3" t="s">
        <v>10453</v>
      </c>
      <c r="P16399" s="5">
        <v>25</v>
      </c>
      <c r="Q16399" s="5">
        <v>686</v>
      </c>
      <c r="R16399" s="5">
        <v>26</v>
      </c>
      <c r="S16399" s="5">
        <v>709</v>
      </c>
    </row>
    <row r="16400" spans="1:19" ht="42" x14ac:dyDescent="0.15">
      <c r="A16400" s="2">
        <f>HYPERLINK("https://open-school.uspishnemisto.com.ua/school/800159/", 800159)</f>
        <v>800159</v>
      </c>
      <c r="B16400" s="3" t="s">
        <v>82675</v>
      </c>
      <c r="C16400" s="3" t="s">
        <v>54</v>
      </c>
      <c r="D16400" s="3" t="s">
        <v>32</v>
      </c>
      <c r="E16400" s="4" t="s">
        <v>22</v>
      </c>
      <c r="F16400" s="4"/>
      <c r="G16400" s="4" t="s">
        <v>82631</v>
      </c>
      <c r="H16400" s="3" t="s">
        <v>81975</v>
      </c>
      <c r="I16400" s="3" t="s">
        <v>82632</v>
      </c>
      <c r="J16400" s="3" t="s">
        <v>82676</v>
      </c>
      <c r="K16400" s="3" t="s">
        <v>82677</v>
      </c>
      <c r="L16400" s="3"/>
      <c r="M16400" s="4"/>
      <c r="N16400" s="3" t="s">
        <v>37</v>
      </c>
      <c r="O16400" s="3" t="s">
        <v>46</v>
      </c>
      <c r="P16400" s="5">
        <v>32</v>
      </c>
      <c r="Q16400" s="5">
        <v>877</v>
      </c>
      <c r="R16400" s="5">
        <v>31</v>
      </c>
      <c r="S16400" s="5">
        <v>888</v>
      </c>
    </row>
    <row r="16401" spans="1:19" ht="28" x14ac:dyDescent="0.15">
      <c r="A16401" s="2">
        <f>HYPERLINK("https://open-school.uspishnemisto.com.ua/school/800160/", 800160)</f>
        <v>800160</v>
      </c>
      <c r="B16401" s="3" t="s">
        <v>82678</v>
      </c>
      <c r="C16401" s="3" t="s">
        <v>54</v>
      </c>
      <c r="D16401" s="3" t="s">
        <v>32</v>
      </c>
      <c r="E16401" s="4" t="s">
        <v>22</v>
      </c>
      <c r="F16401" s="4" t="s">
        <v>82301</v>
      </c>
      <c r="G16401" s="4" t="s">
        <v>82631</v>
      </c>
      <c r="H16401" s="3" t="s">
        <v>81975</v>
      </c>
      <c r="I16401" s="3" t="s">
        <v>82632</v>
      </c>
      <c r="J16401" s="3" t="s">
        <v>82679</v>
      </c>
      <c r="K16401" s="3" t="s">
        <v>82680</v>
      </c>
      <c r="L16401" s="3" t="s">
        <v>82681</v>
      </c>
      <c r="M16401" s="4"/>
      <c r="N16401" s="3" t="s">
        <v>37</v>
      </c>
      <c r="O16401" s="3" t="s">
        <v>123</v>
      </c>
      <c r="P16401" s="5">
        <v>34</v>
      </c>
      <c r="Q16401" s="5">
        <v>933</v>
      </c>
      <c r="R16401" s="5">
        <v>33</v>
      </c>
      <c r="S16401" s="5">
        <v>884</v>
      </c>
    </row>
    <row r="16402" spans="1:19" ht="42" x14ac:dyDescent="0.15">
      <c r="A16402" s="2">
        <f>HYPERLINK("https://open-school.uspishnemisto.com.ua/school/800161/", 800161)</f>
        <v>800161</v>
      </c>
      <c r="B16402" s="3" t="s">
        <v>82682</v>
      </c>
      <c r="C16402" s="3" t="s">
        <v>54</v>
      </c>
      <c r="D16402" s="3" t="s">
        <v>32</v>
      </c>
      <c r="E16402" s="4" t="s">
        <v>22</v>
      </c>
      <c r="F16402" s="4" t="s">
        <v>82643</v>
      </c>
      <c r="G16402" s="4" t="s">
        <v>82631</v>
      </c>
      <c r="H16402" s="3" t="s">
        <v>81975</v>
      </c>
      <c r="I16402" s="3" t="s">
        <v>82632</v>
      </c>
      <c r="J16402" s="3" t="s">
        <v>82683</v>
      </c>
      <c r="K16402" s="3" t="s">
        <v>82684</v>
      </c>
      <c r="L16402" s="3" t="s">
        <v>82685</v>
      </c>
      <c r="M16402" s="4"/>
      <c r="N16402" s="3" t="s">
        <v>37</v>
      </c>
      <c r="O16402" s="3" t="s">
        <v>46</v>
      </c>
      <c r="P16402" s="5">
        <v>28</v>
      </c>
      <c r="Q16402" s="5">
        <v>861</v>
      </c>
      <c r="R16402" s="5">
        <v>26</v>
      </c>
      <c r="S16402" s="5">
        <v>777</v>
      </c>
    </row>
    <row r="16403" spans="1:19" ht="42" x14ac:dyDescent="0.15">
      <c r="A16403" s="2">
        <f>HYPERLINK("https://open-school.uspishnemisto.com.ua/school/800163/", 800163)</f>
        <v>800163</v>
      </c>
      <c r="B16403" s="3" t="s">
        <v>82686</v>
      </c>
      <c r="C16403" s="3" t="s">
        <v>54</v>
      </c>
      <c r="D16403" s="3" t="s">
        <v>60</v>
      </c>
      <c r="E16403" s="4" t="s">
        <v>41</v>
      </c>
      <c r="F16403" s="4"/>
      <c r="G16403" s="4" t="s">
        <v>82631</v>
      </c>
      <c r="H16403" s="3" t="s">
        <v>81975</v>
      </c>
      <c r="I16403" s="3" t="s">
        <v>82632</v>
      </c>
      <c r="J16403" s="3" t="s">
        <v>82687</v>
      </c>
      <c r="K16403" s="3" t="s">
        <v>82688</v>
      </c>
      <c r="L16403" s="3" t="s">
        <v>82689</v>
      </c>
      <c r="M16403" s="4"/>
      <c r="N16403" s="3" t="s">
        <v>128</v>
      </c>
      <c r="O16403" s="3" t="s">
        <v>46</v>
      </c>
      <c r="P16403" s="5">
        <v>16</v>
      </c>
      <c r="Q16403" s="5">
        <v>243</v>
      </c>
      <c r="R16403" s="5">
        <v>9</v>
      </c>
      <c r="S16403" s="5">
        <v>156</v>
      </c>
    </row>
    <row r="16404" spans="1:19" ht="28" x14ac:dyDescent="0.15">
      <c r="A16404" s="2">
        <f>HYPERLINK("https://open-school.uspishnemisto.com.ua/school/800164/", 800164)</f>
        <v>800164</v>
      </c>
      <c r="B16404" s="3" t="s">
        <v>82690</v>
      </c>
      <c r="C16404" s="3" t="s">
        <v>188</v>
      </c>
      <c r="D16404" s="3" t="s">
        <v>32</v>
      </c>
      <c r="E16404" s="4" t="s">
        <v>22</v>
      </c>
      <c r="F16404" s="4" t="s">
        <v>82691</v>
      </c>
      <c r="G16404" s="4" t="s">
        <v>82631</v>
      </c>
      <c r="H16404" s="3" t="s">
        <v>81975</v>
      </c>
      <c r="I16404" s="3" t="s">
        <v>82632</v>
      </c>
      <c r="J16404" s="3" t="s">
        <v>82692</v>
      </c>
      <c r="K16404" s="3" t="s">
        <v>82693</v>
      </c>
      <c r="L16404" s="3" t="s">
        <v>82694</v>
      </c>
      <c r="M16404" s="4"/>
      <c r="N16404" s="3" t="s">
        <v>37</v>
      </c>
      <c r="O16404" s="3" t="s">
        <v>52</v>
      </c>
      <c r="P16404" s="5">
        <v>7</v>
      </c>
      <c r="Q16404" s="5">
        <v>203</v>
      </c>
      <c r="R16404" s="5">
        <v>7</v>
      </c>
      <c r="S16404" s="5">
        <v>199</v>
      </c>
    </row>
    <row r="16405" spans="1:19" ht="28" x14ac:dyDescent="0.15">
      <c r="A16405" s="2">
        <f>HYPERLINK("https://open-school.uspishnemisto.com.ua/school/800165/", 800165)</f>
        <v>800165</v>
      </c>
      <c r="B16405" s="3" t="s">
        <v>82695</v>
      </c>
      <c r="C16405" s="3" t="s">
        <v>31</v>
      </c>
      <c r="D16405" s="3" t="s">
        <v>32</v>
      </c>
      <c r="E16405" s="4" t="s">
        <v>22</v>
      </c>
      <c r="F16405" s="4"/>
      <c r="G16405" s="4" t="s">
        <v>82631</v>
      </c>
      <c r="H16405" s="3" t="s">
        <v>81975</v>
      </c>
      <c r="I16405" s="3" t="s">
        <v>82632</v>
      </c>
      <c r="J16405" s="3" t="s">
        <v>82696</v>
      </c>
      <c r="K16405" s="3" t="s">
        <v>82697</v>
      </c>
      <c r="L16405" s="3" t="s">
        <v>82698</v>
      </c>
      <c r="M16405" s="4"/>
      <c r="N16405" s="3" t="s">
        <v>37</v>
      </c>
      <c r="O16405" s="3" t="s">
        <v>46</v>
      </c>
      <c r="P16405" s="5">
        <v>20</v>
      </c>
      <c r="Q16405" s="5">
        <v>571</v>
      </c>
      <c r="R16405" s="5">
        <v>19</v>
      </c>
      <c r="S16405" s="5">
        <v>537</v>
      </c>
    </row>
    <row r="16406" spans="1:19" ht="28" x14ac:dyDescent="0.15">
      <c r="A16406" s="2">
        <f>HYPERLINK("https://open-school.uspishnemisto.com.ua/school/800166/", 800166)</f>
        <v>800166</v>
      </c>
      <c r="B16406" s="3" t="s">
        <v>82699</v>
      </c>
      <c r="C16406" s="3" t="s">
        <v>31</v>
      </c>
      <c r="D16406" s="3" t="s">
        <v>32</v>
      </c>
      <c r="E16406" s="4" t="s">
        <v>22</v>
      </c>
      <c r="F16406" s="4" t="s">
        <v>82700</v>
      </c>
      <c r="G16406" s="4" t="s">
        <v>82631</v>
      </c>
      <c r="H16406" s="3" t="s">
        <v>81975</v>
      </c>
      <c r="I16406" s="3" t="s">
        <v>82632</v>
      </c>
      <c r="J16406" s="3" t="s">
        <v>82701</v>
      </c>
      <c r="K16406" s="3" t="s">
        <v>82702</v>
      </c>
      <c r="L16406" s="3" t="s">
        <v>82703</v>
      </c>
      <c r="M16406" s="4"/>
      <c r="N16406" s="3" t="s">
        <v>37</v>
      </c>
      <c r="O16406" s="3" t="s">
        <v>46</v>
      </c>
      <c r="P16406" s="5">
        <v>24</v>
      </c>
      <c r="Q16406" s="5">
        <v>611</v>
      </c>
      <c r="R16406" s="5">
        <v>22</v>
      </c>
      <c r="S16406" s="5">
        <v>572</v>
      </c>
    </row>
    <row r="16407" spans="1:19" ht="28" x14ac:dyDescent="0.15">
      <c r="A16407" s="2">
        <f>HYPERLINK("https://open-school.uspishnemisto.com.ua/school/800167/", 800167)</f>
        <v>800167</v>
      </c>
      <c r="B16407" s="3" t="s">
        <v>82704</v>
      </c>
      <c r="C16407" s="3" t="s">
        <v>31</v>
      </c>
      <c r="D16407" s="3" t="s">
        <v>32</v>
      </c>
      <c r="E16407" s="4" t="s">
        <v>22</v>
      </c>
      <c r="F16407" s="4"/>
      <c r="G16407" s="4" t="s">
        <v>82631</v>
      </c>
      <c r="H16407" s="3" t="s">
        <v>81975</v>
      </c>
      <c r="I16407" s="3" t="s">
        <v>82632</v>
      </c>
      <c r="J16407" s="3" t="s">
        <v>82705</v>
      </c>
      <c r="K16407" s="3" t="s">
        <v>82706</v>
      </c>
      <c r="L16407" s="3" t="s">
        <v>82707</v>
      </c>
      <c r="M16407" s="4"/>
      <c r="N16407" s="3" t="s">
        <v>37</v>
      </c>
      <c r="O16407" s="3" t="s">
        <v>46</v>
      </c>
      <c r="P16407" s="5">
        <v>36</v>
      </c>
      <c r="Q16407" s="5">
        <v>1033</v>
      </c>
      <c r="R16407" s="5">
        <v>35</v>
      </c>
      <c r="S16407" s="5">
        <v>971</v>
      </c>
    </row>
    <row r="16408" spans="1:19" ht="28" x14ac:dyDescent="0.15">
      <c r="A16408" s="2">
        <f>HYPERLINK("https://open-school.uspishnemisto.com.ua/school/800168/", 800168)</f>
        <v>800168</v>
      </c>
      <c r="B16408" s="3" t="s">
        <v>82708</v>
      </c>
      <c r="C16408" s="3" t="s">
        <v>31</v>
      </c>
      <c r="D16408" s="3" t="s">
        <v>32</v>
      </c>
      <c r="E16408" s="4" t="s">
        <v>22</v>
      </c>
      <c r="F16408" s="4"/>
      <c r="G16408" s="4" t="s">
        <v>82631</v>
      </c>
      <c r="H16408" s="3" t="s">
        <v>81975</v>
      </c>
      <c r="I16408" s="3" t="s">
        <v>82632</v>
      </c>
      <c r="J16408" s="3" t="s">
        <v>82709</v>
      </c>
      <c r="K16408" s="3" t="s">
        <v>82710</v>
      </c>
      <c r="L16408" s="3" t="s">
        <v>82711</v>
      </c>
      <c r="M16408" s="4"/>
      <c r="N16408" s="3" t="s">
        <v>37</v>
      </c>
      <c r="O16408" s="3" t="s">
        <v>46</v>
      </c>
      <c r="P16408" s="5">
        <v>28</v>
      </c>
      <c r="Q16408" s="5">
        <v>858</v>
      </c>
      <c r="R16408" s="5">
        <v>26</v>
      </c>
      <c r="S16408" s="5">
        <v>782</v>
      </c>
    </row>
    <row r="16409" spans="1:19" ht="84" x14ac:dyDescent="0.15">
      <c r="A16409" s="2">
        <f>HYPERLINK("https://open-school.uspishnemisto.com.ua/school/800169/", 800169)</f>
        <v>800169</v>
      </c>
      <c r="B16409" s="3" t="s">
        <v>82712</v>
      </c>
      <c r="C16409" s="3" t="s">
        <v>54</v>
      </c>
      <c r="D16409" s="3" t="s">
        <v>32</v>
      </c>
      <c r="E16409" s="4" t="s">
        <v>22</v>
      </c>
      <c r="F16409" s="4" t="s">
        <v>82637</v>
      </c>
      <c r="G16409" s="4" t="s">
        <v>82631</v>
      </c>
      <c r="H16409" s="3" t="s">
        <v>81975</v>
      </c>
      <c r="I16409" s="3" t="s">
        <v>82632</v>
      </c>
      <c r="J16409" s="3" t="s">
        <v>82713</v>
      </c>
      <c r="K16409" s="3" t="s">
        <v>82714</v>
      </c>
      <c r="L16409" s="3" t="s">
        <v>82715</v>
      </c>
      <c r="M16409" s="4"/>
      <c r="N16409" s="3" t="s">
        <v>37</v>
      </c>
      <c r="O16409" s="3" t="s">
        <v>8629</v>
      </c>
      <c r="P16409" s="5">
        <v>30</v>
      </c>
      <c r="Q16409" s="5">
        <v>1046</v>
      </c>
      <c r="R16409" s="5">
        <v>30</v>
      </c>
      <c r="S16409" s="5">
        <v>1032</v>
      </c>
    </row>
    <row r="16410" spans="1:19" ht="28" x14ac:dyDescent="0.15">
      <c r="A16410" s="2">
        <f>HYPERLINK("https://open-school.uspishnemisto.com.ua/school/800170/", 800170)</f>
        <v>800170</v>
      </c>
      <c r="B16410" s="3" t="s">
        <v>82716</v>
      </c>
      <c r="C16410" s="3" t="s">
        <v>31</v>
      </c>
      <c r="D16410" s="3" t="s">
        <v>32</v>
      </c>
      <c r="E16410" s="4" t="s">
        <v>22</v>
      </c>
      <c r="F16410" s="4" t="s">
        <v>82666</v>
      </c>
      <c r="G16410" s="4" t="s">
        <v>82631</v>
      </c>
      <c r="H16410" s="3" t="s">
        <v>81975</v>
      </c>
      <c r="I16410" s="3" t="s">
        <v>82632</v>
      </c>
      <c r="J16410" s="3" t="s">
        <v>82717</v>
      </c>
      <c r="K16410" s="3" t="s">
        <v>82718</v>
      </c>
      <c r="L16410" s="3" t="s">
        <v>82719</v>
      </c>
      <c r="M16410" s="4"/>
      <c r="N16410" s="3" t="s">
        <v>37</v>
      </c>
      <c r="O16410" s="3" t="s">
        <v>46</v>
      </c>
      <c r="P16410" s="5">
        <v>18</v>
      </c>
      <c r="Q16410" s="5">
        <v>473</v>
      </c>
      <c r="R16410" s="5">
        <v>17</v>
      </c>
      <c r="S16410" s="5">
        <v>448</v>
      </c>
    </row>
    <row r="16411" spans="1:19" ht="28" x14ac:dyDescent="0.15">
      <c r="A16411" s="2">
        <f>HYPERLINK("https://open-school.uspishnemisto.com.ua/school/800171/", 800171)</f>
        <v>800171</v>
      </c>
      <c r="B16411" s="3" t="s">
        <v>82720</v>
      </c>
      <c r="C16411" s="3" t="s">
        <v>31</v>
      </c>
      <c r="D16411" s="3" t="s">
        <v>32</v>
      </c>
      <c r="E16411" s="4" t="s">
        <v>22</v>
      </c>
      <c r="F16411" s="4" t="s">
        <v>82721</v>
      </c>
      <c r="G16411" s="4" t="s">
        <v>82631</v>
      </c>
      <c r="H16411" s="3" t="s">
        <v>81975</v>
      </c>
      <c r="I16411" s="3" t="s">
        <v>82632</v>
      </c>
      <c r="J16411" s="3" t="s">
        <v>82722</v>
      </c>
      <c r="K16411" s="3" t="s">
        <v>82723</v>
      </c>
      <c r="L16411" s="3" t="s">
        <v>82724</v>
      </c>
      <c r="M16411" s="4"/>
      <c r="N16411" s="3" t="s">
        <v>37</v>
      </c>
      <c r="O16411" s="3" t="s">
        <v>70</v>
      </c>
      <c r="P16411" s="5">
        <v>28</v>
      </c>
      <c r="Q16411" s="5">
        <v>816</v>
      </c>
      <c r="R16411" s="5">
        <v>25</v>
      </c>
      <c r="S16411" s="5">
        <v>748</v>
      </c>
    </row>
    <row r="16412" spans="1:19" ht="28" x14ac:dyDescent="0.15">
      <c r="A16412" s="2">
        <f>HYPERLINK("https://open-school.uspishnemisto.com.ua/school/800172/", 800172)</f>
        <v>800172</v>
      </c>
      <c r="B16412" s="3" t="s">
        <v>82725</v>
      </c>
      <c r="C16412" s="3" t="s">
        <v>31</v>
      </c>
      <c r="D16412" s="3" t="s">
        <v>32</v>
      </c>
      <c r="E16412" s="4" t="s">
        <v>22</v>
      </c>
      <c r="F16412" s="4" t="s">
        <v>82657</v>
      </c>
      <c r="G16412" s="4" t="s">
        <v>82631</v>
      </c>
      <c r="H16412" s="3" t="s">
        <v>81975</v>
      </c>
      <c r="I16412" s="3" t="s">
        <v>82632</v>
      </c>
      <c r="J16412" s="3" t="s">
        <v>82726</v>
      </c>
      <c r="K16412" s="3" t="s">
        <v>82727</v>
      </c>
      <c r="L16412" s="3" t="s">
        <v>82728</v>
      </c>
      <c r="M16412" s="4"/>
      <c r="N16412" s="3" t="s">
        <v>37</v>
      </c>
      <c r="O16412" s="3" t="s">
        <v>38</v>
      </c>
      <c r="P16412" s="5">
        <v>21</v>
      </c>
      <c r="Q16412" s="5">
        <v>545</v>
      </c>
      <c r="R16412" s="5">
        <v>22</v>
      </c>
      <c r="S16412" s="5">
        <v>548</v>
      </c>
    </row>
    <row r="16413" spans="1:19" ht="28" x14ac:dyDescent="0.15">
      <c r="A16413" s="2">
        <f>HYPERLINK("https://open-school.uspishnemisto.com.ua/school/800173/", 800173)</f>
        <v>800173</v>
      </c>
      <c r="B16413" s="3" t="s">
        <v>82729</v>
      </c>
      <c r="C16413" s="3" t="s">
        <v>31</v>
      </c>
      <c r="D16413" s="3" t="s">
        <v>32</v>
      </c>
      <c r="E16413" s="4" t="s">
        <v>22</v>
      </c>
      <c r="F16413" s="4" t="s">
        <v>82637</v>
      </c>
      <c r="G16413" s="4" t="s">
        <v>82631</v>
      </c>
      <c r="H16413" s="3" t="s">
        <v>81975</v>
      </c>
      <c r="I16413" s="3" t="s">
        <v>82632</v>
      </c>
      <c r="J16413" s="3" t="s">
        <v>82730</v>
      </c>
      <c r="K16413" s="3" t="s">
        <v>82731</v>
      </c>
      <c r="L16413" s="3"/>
      <c r="M16413" s="4"/>
      <c r="N16413" s="3" t="s">
        <v>37</v>
      </c>
      <c r="O16413" s="3" t="s">
        <v>38</v>
      </c>
      <c r="P16413" s="5">
        <v>23</v>
      </c>
      <c r="Q16413" s="5">
        <v>573</v>
      </c>
      <c r="R16413" s="5">
        <v>20</v>
      </c>
      <c r="S16413" s="5">
        <v>525</v>
      </c>
    </row>
    <row r="16414" spans="1:19" ht="28" x14ac:dyDescent="0.15">
      <c r="A16414" s="2">
        <f>HYPERLINK("https://open-school.uspishnemisto.com.ua/school/800174/", 800174)</f>
        <v>800174</v>
      </c>
      <c r="B16414" s="3" t="s">
        <v>82732</v>
      </c>
      <c r="C16414" s="3" t="s">
        <v>31</v>
      </c>
      <c r="D16414" s="3" t="s">
        <v>32</v>
      </c>
      <c r="E16414" s="4" t="s">
        <v>22</v>
      </c>
      <c r="F16414" s="4" t="s">
        <v>82733</v>
      </c>
      <c r="G16414" s="4" t="s">
        <v>82631</v>
      </c>
      <c r="H16414" s="3" t="s">
        <v>81975</v>
      </c>
      <c r="I16414" s="3" t="s">
        <v>82632</v>
      </c>
      <c r="J16414" s="3" t="s">
        <v>82734</v>
      </c>
      <c r="K16414" s="3" t="s">
        <v>82735</v>
      </c>
      <c r="L16414" s="3" t="s">
        <v>82736</v>
      </c>
      <c r="M16414" s="4"/>
      <c r="N16414" s="3" t="s">
        <v>37</v>
      </c>
      <c r="O16414" s="3" t="s">
        <v>70</v>
      </c>
      <c r="P16414" s="5">
        <v>33</v>
      </c>
      <c r="Q16414" s="5">
        <v>782</v>
      </c>
      <c r="R16414" s="5">
        <v>31</v>
      </c>
      <c r="S16414" s="5">
        <v>765</v>
      </c>
    </row>
    <row r="16415" spans="1:19" ht="28" x14ac:dyDescent="0.15">
      <c r="A16415" s="2">
        <f>HYPERLINK("https://open-school.uspishnemisto.com.ua/school/800175/", 800175)</f>
        <v>800175</v>
      </c>
      <c r="B16415" s="3" t="s">
        <v>82737</v>
      </c>
      <c r="C16415" s="3" t="s">
        <v>31</v>
      </c>
      <c r="D16415" s="3" t="s">
        <v>32</v>
      </c>
      <c r="E16415" s="4" t="s">
        <v>22</v>
      </c>
      <c r="F16415" s="4" t="s">
        <v>82643</v>
      </c>
      <c r="G16415" s="4" t="s">
        <v>82631</v>
      </c>
      <c r="H16415" s="3" t="s">
        <v>81975</v>
      </c>
      <c r="I16415" s="3" t="s">
        <v>82632</v>
      </c>
      <c r="J16415" s="3" t="s">
        <v>82738</v>
      </c>
      <c r="K16415" s="3" t="s">
        <v>82739</v>
      </c>
      <c r="L16415" s="3" t="s">
        <v>82740</v>
      </c>
      <c r="M16415" s="4"/>
      <c r="N16415" s="3" t="s">
        <v>37</v>
      </c>
      <c r="O16415" s="3" t="s">
        <v>46</v>
      </c>
      <c r="P16415" s="5">
        <v>29</v>
      </c>
      <c r="Q16415" s="5">
        <v>752</v>
      </c>
      <c r="R16415" s="5">
        <v>26</v>
      </c>
      <c r="S16415" s="5">
        <v>704</v>
      </c>
    </row>
    <row r="16416" spans="1:19" ht="28" x14ac:dyDescent="0.15">
      <c r="A16416" s="2">
        <f>HYPERLINK("https://open-school.uspishnemisto.com.ua/school/800176/", 800176)</f>
        <v>800176</v>
      </c>
      <c r="B16416" s="3" t="s">
        <v>82741</v>
      </c>
      <c r="C16416" s="3" t="s">
        <v>31</v>
      </c>
      <c r="D16416" s="3" t="s">
        <v>32</v>
      </c>
      <c r="E16416" s="4" t="s">
        <v>22</v>
      </c>
      <c r="F16416" s="4" t="s">
        <v>82721</v>
      </c>
      <c r="G16416" s="4" t="s">
        <v>82631</v>
      </c>
      <c r="H16416" s="3" t="s">
        <v>81975</v>
      </c>
      <c r="I16416" s="3" t="s">
        <v>82632</v>
      </c>
      <c r="J16416" s="3" t="s">
        <v>82742</v>
      </c>
      <c r="K16416" s="3" t="s">
        <v>82743</v>
      </c>
      <c r="L16416" s="3" t="s">
        <v>82744</v>
      </c>
      <c r="M16416" s="4"/>
      <c r="N16416" s="3" t="s">
        <v>37</v>
      </c>
      <c r="O16416" s="3" t="s">
        <v>38</v>
      </c>
      <c r="P16416" s="5">
        <v>19</v>
      </c>
      <c r="Q16416" s="5">
        <v>489</v>
      </c>
      <c r="R16416" s="5">
        <v>17</v>
      </c>
      <c r="S16416" s="5">
        <v>426</v>
      </c>
    </row>
    <row r="16417" spans="1:19" ht="28" x14ac:dyDescent="0.15">
      <c r="A16417" s="2">
        <f>HYPERLINK("https://open-school.uspishnemisto.com.ua/school/800177/", 800177)</f>
        <v>800177</v>
      </c>
      <c r="B16417" s="3" t="s">
        <v>82745</v>
      </c>
      <c r="C16417" s="3" t="s">
        <v>31</v>
      </c>
      <c r="D16417" s="3" t="s">
        <v>32</v>
      </c>
      <c r="E16417" s="4" t="s">
        <v>22</v>
      </c>
      <c r="F16417" s="4" t="s">
        <v>82746</v>
      </c>
      <c r="G16417" s="4" t="s">
        <v>82631</v>
      </c>
      <c r="H16417" s="3" t="s">
        <v>81975</v>
      </c>
      <c r="I16417" s="3" t="s">
        <v>82632</v>
      </c>
      <c r="J16417" s="3" t="s">
        <v>82747</v>
      </c>
      <c r="K16417" s="3" t="s">
        <v>82748</v>
      </c>
      <c r="L16417" s="3" t="s">
        <v>82749</v>
      </c>
      <c r="M16417" s="4"/>
      <c r="N16417" s="3" t="s">
        <v>37</v>
      </c>
      <c r="O16417" s="3" t="s">
        <v>52</v>
      </c>
      <c r="P16417" s="5">
        <v>20</v>
      </c>
      <c r="Q16417" s="5">
        <v>480</v>
      </c>
      <c r="R16417" s="5">
        <v>20</v>
      </c>
      <c r="S16417" s="5">
        <v>477</v>
      </c>
    </row>
    <row r="16418" spans="1:19" ht="28" x14ac:dyDescent="0.15">
      <c r="A16418" s="2">
        <f>HYPERLINK("https://open-school.uspishnemisto.com.ua/school/800178/", 800178)</f>
        <v>800178</v>
      </c>
      <c r="B16418" s="3" t="s">
        <v>82750</v>
      </c>
      <c r="C16418" s="3" t="s">
        <v>31</v>
      </c>
      <c r="D16418" s="3" t="s">
        <v>32</v>
      </c>
      <c r="E16418" s="4" t="s">
        <v>22</v>
      </c>
      <c r="F16418" s="4"/>
      <c r="G16418" s="4" t="s">
        <v>82631</v>
      </c>
      <c r="H16418" s="3" t="s">
        <v>81975</v>
      </c>
      <c r="I16418" s="3" t="s">
        <v>82632</v>
      </c>
      <c r="J16418" s="3" t="s">
        <v>82751</v>
      </c>
      <c r="K16418" s="3" t="s">
        <v>82752</v>
      </c>
      <c r="L16418" s="3" t="s">
        <v>82753</v>
      </c>
      <c r="M16418" s="4"/>
      <c r="N16418" s="3" t="s">
        <v>37</v>
      </c>
      <c r="O16418" s="3" t="s">
        <v>38</v>
      </c>
      <c r="P16418" s="5">
        <v>14</v>
      </c>
      <c r="Q16418" s="5">
        <v>392</v>
      </c>
      <c r="R16418" s="5">
        <v>14</v>
      </c>
      <c r="S16418" s="5">
        <v>352</v>
      </c>
    </row>
    <row r="16419" spans="1:19" ht="28" x14ac:dyDescent="0.15">
      <c r="A16419" s="2">
        <f>HYPERLINK("https://open-school.uspishnemisto.com.ua/school/800179/", 800179)</f>
        <v>800179</v>
      </c>
      <c r="B16419" s="3" t="s">
        <v>82754</v>
      </c>
      <c r="C16419" s="3" t="s">
        <v>31</v>
      </c>
      <c r="D16419" s="3" t="s">
        <v>32</v>
      </c>
      <c r="E16419" s="4" t="s">
        <v>22</v>
      </c>
      <c r="F16419" s="4"/>
      <c r="G16419" s="4" t="s">
        <v>82631</v>
      </c>
      <c r="H16419" s="3" t="s">
        <v>81975</v>
      </c>
      <c r="I16419" s="3" t="s">
        <v>82632</v>
      </c>
      <c r="J16419" s="3" t="s">
        <v>82755</v>
      </c>
      <c r="K16419" s="3" t="s">
        <v>82756</v>
      </c>
      <c r="L16419" s="3" t="s">
        <v>82757</v>
      </c>
      <c r="M16419" s="4"/>
      <c r="N16419" s="3" t="s">
        <v>37</v>
      </c>
      <c r="O16419" s="3" t="s">
        <v>2740</v>
      </c>
      <c r="P16419" s="5">
        <v>38</v>
      </c>
      <c r="Q16419" s="5">
        <v>1079</v>
      </c>
      <c r="R16419" s="5">
        <v>34</v>
      </c>
      <c r="S16419" s="5">
        <v>985</v>
      </c>
    </row>
    <row r="16420" spans="1:19" ht="28" x14ac:dyDescent="0.15">
      <c r="A16420" s="2">
        <f>HYPERLINK("https://open-school.uspishnemisto.com.ua/school/800180/", 800180)</f>
        <v>800180</v>
      </c>
      <c r="B16420" s="3" t="s">
        <v>82758</v>
      </c>
      <c r="C16420" s="3" t="s">
        <v>31</v>
      </c>
      <c r="D16420" s="3" t="s">
        <v>32</v>
      </c>
      <c r="E16420" s="4" t="s">
        <v>22</v>
      </c>
      <c r="F16420" s="4" t="s">
        <v>82759</v>
      </c>
      <c r="G16420" s="4" t="s">
        <v>82631</v>
      </c>
      <c r="H16420" s="3" t="s">
        <v>81975</v>
      </c>
      <c r="I16420" s="3" t="s">
        <v>82632</v>
      </c>
      <c r="J16420" s="3" t="s">
        <v>82760</v>
      </c>
      <c r="K16420" s="3" t="s">
        <v>82761</v>
      </c>
      <c r="L16420" s="3" t="s">
        <v>82762</v>
      </c>
      <c r="M16420" s="4"/>
      <c r="N16420" s="3" t="s">
        <v>37</v>
      </c>
      <c r="O16420" s="3" t="s">
        <v>2740</v>
      </c>
      <c r="P16420" s="5">
        <v>15</v>
      </c>
      <c r="Q16420" s="5">
        <v>359</v>
      </c>
      <c r="R16420" s="5">
        <v>16</v>
      </c>
      <c r="S16420" s="5">
        <v>398</v>
      </c>
    </row>
    <row r="16421" spans="1:19" ht="28" x14ac:dyDescent="0.15">
      <c r="A16421" s="2">
        <f>HYPERLINK("https://open-school.uspishnemisto.com.ua/school/800181/", 800181)</f>
        <v>800181</v>
      </c>
      <c r="B16421" s="3" t="s">
        <v>82763</v>
      </c>
      <c r="C16421" s="3" t="s">
        <v>31</v>
      </c>
      <c r="D16421" s="3" t="s">
        <v>32</v>
      </c>
      <c r="E16421" s="4" t="s">
        <v>22</v>
      </c>
      <c r="F16421" s="4" t="s">
        <v>82764</v>
      </c>
      <c r="G16421" s="4" t="s">
        <v>82631</v>
      </c>
      <c r="H16421" s="3" t="s">
        <v>81975</v>
      </c>
      <c r="I16421" s="3" t="s">
        <v>82632</v>
      </c>
      <c r="J16421" s="3" t="s">
        <v>82765</v>
      </c>
      <c r="K16421" s="3" t="s">
        <v>82766</v>
      </c>
      <c r="L16421" s="3" t="s">
        <v>82767</v>
      </c>
      <c r="M16421" s="4"/>
      <c r="N16421" s="3" t="s">
        <v>37</v>
      </c>
      <c r="O16421" s="3" t="s">
        <v>52</v>
      </c>
      <c r="P16421" s="5">
        <v>20</v>
      </c>
      <c r="Q16421" s="5">
        <v>464</v>
      </c>
      <c r="R16421" s="5">
        <v>22</v>
      </c>
      <c r="S16421" s="5">
        <v>591</v>
      </c>
    </row>
    <row r="16422" spans="1:19" ht="28" x14ac:dyDescent="0.15">
      <c r="A16422" s="2">
        <f>HYPERLINK("https://open-school.uspishnemisto.com.ua/school/800182/", 800182)</f>
        <v>800182</v>
      </c>
      <c r="B16422" s="3" t="s">
        <v>82768</v>
      </c>
      <c r="C16422" s="3" t="s">
        <v>31</v>
      </c>
      <c r="D16422" s="3" t="s">
        <v>32</v>
      </c>
      <c r="E16422" s="4" t="s">
        <v>22</v>
      </c>
      <c r="F16422" s="4"/>
      <c r="G16422" s="4" t="s">
        <v>82631</v>
      </c>
      <c r="H16422" s="3" t="s">
        <v>81975</v>
      </c>
      <c r="I16422" s="3" t="s">
        <v>82632</v>
      </c>
      <c r="J16422" s="3" t="s">
        <v>82769</v>
      </c>
      <c r="K16422" s="3" t="s">
        <v>82770</v>
      </c>
      <c r="L16422" s="3" t="s">
        <v>82771</v>
      </c>
      <c r="M16422" s="4"/>
      <c r="N16422" s="3" t="s">
        <v>37</v>
      </c>
      <c r="O16422" s="3" t="s">
        <v>2740</v>
      </c>
      <c r="P16422" s="5">
        <v>29</v>
      </c>
      <c r="Q16422" s="5">
        <v>848</v>
      </c>
      <c r="R16422" s="5">
        <v>26</v>
      </c>
      <c r="S16422" s="5">
        <v>793</v>
      </c>
    </row>
    <row r="16423" spans="1:19" ht="28" x14ac:dyDescent="0.15">
      <c r="A16423" s="2">
        <f>HYPERLINK("https://open-school.uspishnemisto.com.ua/school/800183/", 800183)</f>
        <v>800183</v>
      </c>
      <c r="B16423" s="3" t="s">
        <v>82772</v>
      </c>
      <c r="C16423" s="3" t="s">
        <v>31</v>
      </c>
      <c r="D16423" s="3" t="s">
        <v>32</v>
      </c>
      <c r="E16423" s="4" t="s">
        <v>22</v>
      </c>
      <c r="F16423" s="4" t="s">
        <v>82643</v>
      </c>
      <c r="G16423" s="4" t="s">
        <v>82631</v>
      </c>
      <c r="H16423" s="3" t="s">
        <v>81975</v>
      </c>
      <c r="I16423" s="3" t="s">
        <v>82632</v>
      </c>
      <c r="J16423" s="3" t="s">
        <v>82773</v>
      </c>
      <c r="K16423" s="3" t="s">
        <v>82774</v>
      </c>
      <c r="L16423" s="3" t="s">
        <v>82775</v>
      </c>
      <c r="M16423" s="4"/>
      <c r="N16423" s="3" t="s">
        <v>37</v>
      </c>
      <c r="O16423" s="3" t="s">
        <v>46</v>
      </c>
      <c r="P16423" s="5">
        <v>14</v>
      </c>
      <c r="Q16423" s="5">
        <v>348</v>
      </c>
      <c r="R16423" s="5">
        <v>13</v>
      </c>
      <c r="S16423" s="5">
        <v>331</v>
      </c>
    </row>
    <row r="16424" spans="1:19" ht="28" x14ac:dyDescent="0.15">
      <c r="A16424" s="2">
        <f>HYPERLINK("https://open-school.uspishnemisto.com.ua/school/800184/", 800184)</f>
        <v>800184</v>
      </c>
      <c r="B16424" s="3" t="s">
        <v>82776</v>
      </c>
      <c r="C16424" s="3" t="s">
        <v>31</v>
      </c>
      <c r="D16424" s="3" t="s">
        <v>32</v>
      </c>
      <c r="E16424" s="4" t="s">
        <v>22</v>
      </c>
      <c r="F16424" s="4" t="s">
        <v>82777</v>
      </c>
      <c r="G16424" s="4" t="s">
        <v>82631</v>
      </c>
      <c r="H16424" s="3" t="s">
        <v>81975</v>
      </c>
      <c r="I16424" s="3" t="s">
        <v>82632</v>
      </c>
      <c r="J16424" s="3" t="s">
        <v>82778</v>
      </c>
      <c r="K16424" s="3" t="s">
        <v>82779</v>
      </c>
      <c r="L16424" s="3" t="s">
        <v>82780</v>
      </c>
      <c r="M16424" s="4"/>
      <c r="N16424" s="3" t="s">
        <v>37</v>
      </c>
      <c r="O16424" s="3" t="s">
        <v>46</v>
      </c>
      <c r="P16424" s="5">
        <v>25</v>
      </c>
      <c r="Q16424" s="5">
        <v>730</v>
      </c>
      <c r="R16424" s="5">
        <v>24</v>
      </c>
      <c r="S16424" s="5">
        <v>699</v>
      </c>
    </row>
    <row r="16425" spans="1:19" ht="28" x14ac:dyDescent="0.15">
      <c r="A16425" s="2">
        <f>HYPERLINK("https://open-school.uspishnemisto.com.ua/school/800185/", 800185)</f>
        <v>800185</v>
      </c>
      <c r="B16425" s="3" t="s">
        <v>82781</v>
      </c>
      <c r="C16425" s="3" t="s">
        <v>244</v>
      </c>
      <c r="D16425" s="3" t="s">
        <v>21</v>
      </c>
      <c r="E16425" s="4" t="s">
        <v>22</v>
      </c>
      <c r="F16425" s="4"/>
      <c r="G16425" s="4" t="s">
        <v>82631</v>
      </c>
      <c r="H16425" s="3" t="s">
        <v>81975</v>
      </c>
      <c r="I16425" s="3" t="s">
        <v>82632</v>
      </c>
      <c r="J16425" s="3" t="s">
        <v>82782</v>
      </c>
      <c r="K16425" s="3" t="s">
        <v>82783</v>
      </c>
      <c r="L16425" s="3" t="s">
        <v>82784</v>
      </c>
      <c r="M16425" s="4"/>
      <c r="N16425" s="3" t="s">
        <v>37</v>
      </c>
      <c r="O16425" s="3" t="s">
        <v>8629</v>
      </c>
      <c r="P16425" s="5">
        <v>7</v>
      </c>
      <c r="Q16425" s="5">
        <v>133</v>
      </c>
      <c r="R16425" s="5">
        <v>7</v>
      </c>
      <c r="S16425" s="5">
        <v>143</v>
      </c>
    </row>
    <row r="16426" spans="1:19" ht="28" x14ac:dyDescent="0.15">
      <c r="A16426" s="2">
        <f>HYPERLINK("https://open-school.uspishnemisto.com.ua/school/800186/", 800186)</f>
        <v>800186</v>
      </c>
      <c r="B16426" s="3" t="s">
        <v>82785</v>
      </c>
      <c r="C16426" s="3" t="s">
        <v>244</v>
      </c>
      <c r="D16426" s="3" t="s">
        <v>60</v>
      </c>
      <c r="E16426" s="4" t="s">
        <v>22</v>
      </c>
      <c r="F16426" s="4" t="s">
        <v>82643</v>
      </c>
      <c r="G16426" s="4" t="s">
        <v>82631</v>
      </c>
      <c r="H16426" s="3" t="s">
        <v>81975</v>
      </c>
      <c r="I16426" s="3" t="s">
        <v>82632</v>
      </c>
      <c r="J16426" s="3" t="s">
        <v>82786</v>
      </c>
      <c r="K16426" s="3" t="s">
        <v>82787</v>
      </c>
      <c r="L16426" s="3" t="s">
        <v>82788</v>
      </c>
      <c r="M16426" s="4"/>
      <c r="N16426" s="3" t="s">
        <v>37</v>
      </c>
      <c r="O16426" s="3" t="s">
        <v>123</v>
      </c>
      <c r="P16426" s="5">
        <v>11</v>
      </c>
      <c r="Q16426" s="5">
        <v>399</v>
      </c>
      <c r="R16426" s="5">
        <v>12</v>
      </c>
      <c r="S16426" s="5">
        <v>407</v>
      </c>
    </row>
    <row r="16427" spans="1:19" ht="42" x14ac:dyDescent="0.15">
      <c r="A16427" s="2">
        <f>HYPERLINK("https://open-school.uspishnemisto.com.ua/school/800187/", 800187)</f>
        <v>800187</v>
      </c>
      <c r="B16427" s="3" t="s">
        <v>82789</v>
      </c>
      <c r="C16427" s="3" t="s">
        <v>244</v>
      </c>
      <c r="D16427" s="3" t="s">
        <v>32</v>
      </c>
      <c r="E16427" s="4" t="s">
        <v>22</v>
      </c>
      <c r="F16427" s="4" t="s">
        <v>82657</v>
      </c>
      <c r="G16427" s="4" t="s">
        <v>82631</v>
      </c>
      <c r="H16427" s="3" t="s">
        <v>81975</v>
      </c>
      <c r="I16427" s="3" t="s">
        <v>82632</v>
      </c>
      <c r="J16427" s="3" t="s">
        <v>82790</v>
      </c>
      <c r="K16427" s="3" t="s">
        <v>82791</v>
      </c>
      <c r="L16427" s="3" t="s">
        <v>82792</v>
      </c>
      <c r="M16427" s="4"/>
      <c r="N16427" s="3" t="s">
        <v>37</v>
      </c>
      <c r="O16427" s="3" t="s">
        <v>38</v>
      </c>
      <c r="P16427" s="5">
        <v>29</v>
      </c>
      <c r="Q16427" s="5">
        <v>770</v>
      </c>
      <c r="R16427" s="5">
        <v>28</v>
      </c>
      <c r="S16427" s="5">
        <v>759</v>
      </c>
    </row>
    <row r="16428" spans="1:19" ht="28" x14ac:dyDescent="0.15">
      <c r="A16428" s="2">
        <f>HYPERLINK("https://open-school.uspishnemisto.com.ua/school/800188/", 800188)</f>
        <v>800188</v>
      </c>
      <c r="B16428" s="3" t="s">
        <v>82793</v>
      </c>
      <c r="C16428" s="3" t="s">
        <v>244</v>
      </c>
      <c r="D16428" s="3" t="s">
        <v>32</v>
      </c>
      <c r="E16428" s="4" t="s">
        <v>22</v>
      </c>
      <c r="F16428" s="4" t="s">
        <v>82794</v>
      </c>
      <c r="G16428" s="4" t="s">
        <v>82631</v>
      </c>
      <c r="H16428" s="3" t="s">
        <v>81975</v>
      </c>
      <c r="I16428" s="3" t="s">
        <v>82632</v>
      </c>
      <c r="J16428" s="3" t="s">
        <v>82795</v>
      </c>
      <c r="K16428" s="3" t="s">
        <v>82796</v>
      </c>
      <c r="L16428" s="3" t="s">
        <v>82797</v>
      </c>
      <c r="M16428" s="4"/>
      <c r="N16428" s="3" t="s">
        <v>37</v>
      </c>
      <c r="O16428" s="3" t="s">
        <v>46</v>
      </c>
      <c r="P16428" s="5">
        <v>21</v>
      </c>
      <c r="Q16428" s="5">
        <v>635</v>
      </c>
      <c r="R16428" s="5">
        <v>22</v>
      </c>
      <c r="S16428" s="5">
        <v>650</v>
      </c>
    </row>
    <row r="16429" spans="1:19" ht="28" x14ac:dyDescent="0.15">
      <c r="A16429" s="2">
        <f>HYPERLINK("https://open-school.uspishnemisto.com.ua/school/800189/", 800189)</f>
        <v>800189</v>
      </c>
      <c r="B16429" s="3" t="s">
        <v>82798</v>
      </c>
      <c r="C16429" s="3" t="s">
        <v>244</v>
      </c>
      <c r="D16429" s="3" t="s">
        <v>32</v>
      </c>
      <c r="E16429" s="4" t="s">
        <v>22</v>
      </c>
      <c r="F16429" s="4"/>
      <c r="G16429" s="4" t="s">
        <v>82631</v>
      </c>
      <c r="H16429" s="3" t="s">
        <v>81975</v>
      </c>
      <c r="I16429" s="3" t="s">
        <v>82632</v>
      </c>
      <c r="J16429" s="3" t="s">
        <v>82799</v>
      </c>
      <c r="K16429" s="3" t="s">
        <v>82800</v>
      </c>
      <c r="L16429" s="3" t="s">
        <v>82801</v>
      </c>
      <c r="M16429" s="4"/>
      <c r="N16429" s="3" t="s">
        <v>37</v>
      </c>
      <c r="O16429" s="3" t="s">
        <v>82116</v>
      </c>
      <c r="P16429" s="5">
        <v>31</v>
      </c>
      <c r="Q16429" s="5">
        <v>930</v>
      </c>
      <c r="R16429" s="5">
        <v>30</v>
      </c>
      <c r="S16429" s="5">
        <v>881</v>
      </c>
    </row>
    <row r="16430" spans="1:19" ht="28" x14ac:dyDescent="0.15">
      <c r="A16430" s="2">
        <f>HYPERLINK("https://open-school.uspishnemisto.com.ua/school/800190/", 800190)</f>
        <v>800190</v>
      </c>
      <c r="B16430" s="3" t="s">
        <v>82802</v>
      </c>
      <c r="C16430" s="3" t="s">
        <v>244</v>
      </c>
      <c r="D16430" s="3" t="s">
        <v>32</v>
      </c>
      <c r="E16430" s="4" t="s">
        <v>22</v>
      </c>
      <c r="F16430" s="4"/>
      <c r="G16430" s="4" t="s">
        <v>82631</v>
      </c>
      <c r="H16430" s="3" t="s">
        <v>81975</v>
      </c>
      <c r="I16430" s="3" t="s">
        <v>82632</v>
      </c>
      <c r="J16430" s="3" t="s">
        <v>82803</v>
      </c>
      <c r="K16430" s="3" t="s">
        <v>82804</v>
      </c>
      <c r="L16430" s="3" t="s">
        <v>82805</v>
      </c>
      <c r="M16430" s="4"/>
      <c r="N16430" s="3" t="s">
        <v>128</v>
      </c>
      <c r="O16430" s="3" t="s">
        <v>123</v>
      </c>
      <c r="P16430" s="5">
        <v>26</v>
      </c>
      <c r="Q16430" s="5">
        <v>625</v>
      </c>
      <c r="R16430" s="5">
        <v>23</v>
      </c>
      <c r="S16430" s="5">
        <v>570</v>
      </c>
    </row>
    <row r="16431" spans="1:19" ht="42" x14ac:dyDescent="0.15">
      <c r="A16431" s="2">
        <f>HYPERLINK("https://open-school.uspishnemisto.com.ua/school/800191/", 800191)</f>
        <v>800191</v>
      </c>
      <c r="B16431" s="3" t="s">
        <v>82806</v>
      </c>
      <c r="C16431" s="3" t="s">
        <v>244</v>
      </c>
      <c r="D16431" s="3" t="s">
        <v>32</v>
      </c>
      <c r="E16431" s="4" t="s">
        <v>22</v>
      </c>
      <c r="F16431" s="4" t="s">
        <v>82777</v>
      </c>
      <c r="G16431" s="4" t="s">
        <v>82631</v>
      </c>
      <c r="H16431" s="3" t="s">
        <v>81975</v>
      </c>
      <c r="I16431" s="3" t="s">
        <v>82632</v>
      </c>
      <c r="J16431" s="3" t="s">
        <v>82807</v>
      </c>
      <c r="K16431" s="3" t="s">
        <v>82808</v>
      </c>
      <c r="L16431" s="3" t="s">
        <v>82809</v>
      </c>
      <c r="M16431" s="4"/>
      <c r="N16431" s="3" t="s">
        <v>37</v>
      </c>
      <c r="O16431" s="3" t="s">
        <v>967</v>
      </c>
      <c r="P16431" s="5">
        <v>23</v>
      </c>
      <c r="Q16431" s="5">
        <v>667</v>
      </c>
      <c r="R16431" s="5">
        <v>21</v>
      </c>
      <c r="S16431" s="5">
        <v>645</v>
      </c>
    </row>
    <row r="16432" spans="1:19" ht="28" x14ac:dyDescent="0.15">
      <c r="A16432" s="2">
        <f>HYPERLINK("https://open-school.uspishnemisto.com.ua/school/800192/", 800192)</f>
        <v>800192</v>
      </c>
      <c r="B16432" s="3" t="s">
        <v>82810</v>
      </c>
      <c r="C16432" s="3" t="s">
        <v>244</v>
      </c>
      <c r="D16432" s="3" t="s">
        <v>32</v>
      </c>
      <c r="E16432" s="4" t="s">
        <v>22</v>
      </c>
      <c r="F16432" s="4" t="s">
        <v>82777</v>
      </c>
      <c r="G16432" s="4" t="s">
        <v>82631</v>
      </c>
      <c r="H16432" s="3" t="s">
        <v>81975</v>
      </c>
      <c r="I16432" s="3" t="s">
        <v>82632</v>
      </c>
      <c r="J16432" s="3" t="s">
        <v>82811</v>
      </c>
      <c r="K16432" s="3" t="s">
        <v>82812</v>
      </c>
      <c r="L16432" s="3" t="s">
        <v>82813</v>
      </c>
      <c r="M16432" s="4"/>
      <c r="N16432" s="3" t="s">
        <v>967</v>
      </c>
      <c r="O16432" s="3" t="s">
        <v>46</v>
      </c>
      <c r="P16432" s="5">
        <v>19</v>
      </c>
      <c r="Q16432" s="5">
        <v>460</v>
      </c>
      <c r="R16432" s="5">
        <v>18</v>
      </c>
      <c r="S16432" s="5">
        <v>442</v>
      </c>
    </row>
    <row r="16433" spans="1:19" ht="28" x14ac:dyDescent="0.15">
      <c r="A16433" s="2">
        <f>HYPERLINK("https://open-school.uspishnemisto.com.ua/school/800193/", 800193)</f>
        <v>800193</v>
      </c>
      <c r="B16433" s="3" t="s">
        <v>82814</v>
      </c>
      <c r="C16433" s="3" t="s">
        <v>244</v>
      </c>
      <c r="D16433" s="3" t="s">
        <v>32</v>
      </c>
      <c r="E16433" s="4" t="s">
        <v>22</v>
      </c>
      <c r="F16433" s="4" t="s">
        <v>82657</v>
      </c>
      <c r="G16433" s="4" t="s">
        <v>82631</v>
      </c>
      <c r="H16433" s="3" t="s">
        <v>81975</v>
      </c>
      <c r="I16433" s="3" t="s">
        <v>82632</v>
      </c>
      <c r="J16433" s="3" t="s">
        <v>82815</v>
      </c>
      <c r="K16433" s="3" t="s">
        <v>82816</v>
      </c>
      <c r="L16433" s="3" t="s">
        <v>82817</v>
      </c>
      <c r="M16433" s="4"/>
      <c r="N16433" s="3" t="s">
        <v>37</v>
      </c>
      <c r="O16433" s="3" t="s">
        <v>52</v>
      </c>
      <c r="P16433" s="5">
        <v>37</v>
      </c>
      <c r="Q16433" s="5">
        <v>1053</v>
      </c>
      <c r="R16433" s="5">
        <v>37</v>
      </c>
      <c r="S16433" s="5">
        <v>1031</v>
      </c>
    </row>
    <row r="16434" spans="1:19" ht="28" x14ac:dyDescent="0.15">
      <c r="A16434" s="2">
        <f>HYPERLINK("https://open-school.uspishnemisto.com.ua/school/800194/", 800194)</f>
        <v>800194</v>
      </c>
      <c r="B16434" s="3" t="s">
        <v>82818</v>
      </c>
      <c r="C16434" s="3" t="s">
        <v>244</v>
      </c>
      <c r="D16434" s="3" t="s">
        <v>32</v>
      </c>
      <c r="E16434" s="4" t="s">
        <v>22</v>
      </c>
      <c r="F16434" s="4" t="s">
        <v>82746</v>
      </c>
      <c r="G16434" s="4" t="s">
        <v>82631</v>
      </c>
      <c r="H16434" s="3" t="s">
        <v>81975</v>
      </c>
      <c r="I16434" s="3" t="s">
        <v>82632</v>
      </c>
      <c r="J16434" s="3" t="s">
        <v>16478</v>
      </c>
      <c r="K16434" s="3" t="s">
        <v>82819</v>
      </c>
      <c r="L16434" s="3" t="s">
        <v>82820</v>
      </c>
      <c r="M16434" s="4"/>
      <c r="N16434" s="3" t="s">
        <v>37</v>
      </c>
      <c r="O16434" s="3" t="s">
        <v>46</v>
      </c>
      <c r="P16434" s="5">
        <v>41</v>
      </c>
      <c r="Q16434" s="5">
        <v>1224</v>
      </c>
      <c r="R16434" s="5">
        <v>41</v>
      </c>
      <c r="S16434" s="5">
        <v>1217</v>
      </c>
    </row>
    <row r="16435" spans="1:19" ht="42" x14ac:dyDescent="0.15">
      <c r="A16435" s="2">
        <f>HYPERLINK("https://open-school.uspishnemisto.com.ua/school/800195/", 800195)</f>
        <v>800195</v>
      </c>
      <c r="B16435" s="3" t="s">
        <v>82821</v>
      </c>
      <c r="C16435" s="3" t="s">
        <v>244</v>
      </c>
      <c r="D16435" s="3" t="s">
        <v>32</v>
      </c>
      <c r="E16435" s="4" t="s">
        <v>22</v>
      </c>
      <c r="F16435" s="4" t="s">
        <v>82657</v>
      </c>
      <c r="G16435" s="4" t="s">
        <v>82631</v>
      </c>
      <c r="H16435" s="3" t="s">
        <v>81975</v>
      </c>
      <c r="I16435" s="3" t="s">
        <v>82632</v>
      </c>
      <c r="J16435" s="3" t="s">
        <v>82822</v>
      </c>
      <c r="K16435" s="3" t="s">
        <v>82823</v>
      </c>
      <c r="L16435" s="3" t="s">
        <v>82824</v>
      </c>
      <c r="M16435" s="4"/>
      <c r="N16435" s="3" t="s">
        <v>37</v>
      </c>
      <c r="O16435" s="3" t="s">
        <v>1081</v>
      </c>
      <c r="P16435" s="5">
        <v>20</v>
      </c>
      <c r="Q16435" s="5">
        <v>538</v>
      </c>
      <c r="R16435" s="5">
        <v>21</v>
      </c>
      <c r="S16435" s="5">
        <v>534</v>
      </c>
    </row>
    <row r="16436" spans="1:19" ht="42" x14ac:dyDescent="0.15">
      <c r="A16436" s="2">
        <f>HYPERLINK("https://open-school.uspishnemisto.com.ua/school/800196/", 800196)</f>
        <v>800196</v>
      </c>
      <c r="B16436" s="3" t="s">
        <v>82825</v>
      </c>
      <c r="C16436" s="3" t="s">
        <v>244</v>
      </c>
      <c r="D16436" s="3" t="s">
        <v>32</v>
      </c>
      <c r="E16436" s="4" t="s">
        <v>22</v>
      </c>
      <c r="F16436" s="4" t="s">
        <v>82826</v>
      </c>
      <c r="G16436" s="4" t="s">
        <v>82631</v>
      </c>
      <c r="H16436" s="3" t="s">
        <v>81975</v>
      </c>
      <c r="I16436" s="3" t="s">
        <v>82632</v>
      </c>
      <c r="J16436" s="3" t="s">
        <v>82827</v>
      </c>
      <c r="K16436" s="3" t="s">
        <v>82828</v>
      </c>
      <c r="L16436" s="3" t="s">
        <v>82829</v>
      </c>
      <c r="M16436" s="4"/>
      <c r="N16436" s="3" t="s">
        <v>37</v>
      </c>
      <c r="O16436" s="3" t="s">
        <v>46</v>
      </c>
      <c r="P16436" s="5">
        <v>30</v>
      </c>
      <c r="Q16436" s="5">
        <v>909</v>
      </c>
      <c r="R16436" s="5">
        <v>28</v>
      </c>
      <c r="S16436" s="5">
        <v>868</v>
      </c>
    </row>
    <row r="16437" spans="1:19" ht="28" x14ac:dyDescent="0.15">
      <c r="A16437" s="2">
        <f>HYPERLINK("https://open-school.uspishnemisto.com.ua/school/800197/", 800197)</f>
        <v>800197</v>
      </c>
      <c r="B16437" s="3" t="s">
        <v>82830</v>
      </c>
      <c r="C16437" s="3" t="s">
        <v>244</v>
      </c>
      <c r="D16437" s="3" t="s">
        <v>32</v>
      </c>
      <c r="E16437" s="4" t="s">
        <v>22</v>
      </c>
      <c r="F16437" s="4" t="s">
        <v>82794</v>
      </c>
      <c r="G16437" s="4" t="s">
        <v>82631</v>
      </c>
      <c r="H16437" s="3" t="s">
        <v>81975</v>
      </c>
      <c r="I16437" s="3" t="s">
        <v>82632</v>
      </c>
      <c r="J16437" s="3" t="s">
        <v>82831</v>
      </c>
      <c r="K16437" s="3" t="s">
        <v>82832</v>
      </c>
      <c r="L16437" s="3" t="s">
        <v>82833</v>
      </c>
      <c r="M16437" s="4"/>
      <c r="N16437" s="3" t="s">
        <v>37</v>
      </c>
      <c r="O16437" s="3" t="s">
        <v>123</v>
      </c>
      <c r="P16437" s="5">
        <v>20</v>
      </c>
      <c r="Q16437" s="5">
        <v>471</v>
      </c>
      <c r="R16437" s="5">
        <v>19</v>
      </c>
      <c r="S16437" s="5">
        <v>466</v>
      </c>
    </row>
    <row r="16438" spans="1:19" ht="28" x14ac:dyDescent="0.15">
      <c r="A16438" s="2">
        <f>HYPERLINK("https://open-school.uspishnemisto.com.ua/school/800198/", 800198)</f>
        <v>800198</v>
      </c>
      <c r="B16438" s="3" t="s">
        <v>82834</v>
      </c>
      <c r="C16438" s="3" t="s">
        <v>244</v>
      </c>
      <c r="D16438" s="3" t="s">
        <v>32</v>
      </c>
      <c r="E16438" s="4" t="s">
        <v>22</v>
      </c>
      <c r="F16438" s="4" t="s">
        <v>82733</v>
      </c>
      <c r="G16438" s="4" t="s">
        <v>82631</v>
      </c>
      <c r="H16438" s="3" t="s">
        <v>81975</v>
      </c>
      <c r="I16438" s="3" t="s">
        <v>82632</v>
      </c>
      <c r="J16438" s="3" t="s">
        <v>82835</v>
      </c>
      <c r="K16438" s="3" t="s">
        <v>82836</v>
      </c>
      <c r="L16438" s="3" t="s">
        <v>82837</v>
      </c>
      <c r="M16438" s="4"/>
      <c r="N16438" s="3" t="s">
        <v>37</v>
      </c>
      <c r="O16438" s="3" t="s">
        <v>123</v>
      </c>
      <c r="P16438" s="5">
        <v>42</v>
      </c>
      <c r="Q16438" s="5">
        <v>1239</v>
      </c>
      <c r="R16438" s="5">
        <v>43</v>
      </c>
      <c r="S16438" s="5">
        <v>1263</v>
      </c>
    </row>
    <row r="16439" spans="1:19" ht="42" x14ac:dyDescent="0.15">
      <c r="A16439" s="2">
        <f>HYPERLINK("https://open-school.uspishnemisto.com.ua/school/800199/", 800199)</f>
        <v>800199</v>
      </c>
      <c r="B16439" s="3" t="s">
        <v>82838</v>
      </c>
      <c r="C16439" s="3" t="s">
        <v>4989</v>
      </c>
      <c r="D16439" s="3" t="s">
        <v>175</v>
      </c>
      <c r="E16439" s="4" t="s">
        <v>22</v>
      </c>
      <c r="F16439" s="4" t="s">
        <v>82721</v>
      </c>
      <c r="G16439" s="4" t="s">
        <v>82631</v>
      </c>
      <c r="H16439" s="3" t="s">
        <v>81975</v>
      </c>
      <c r="I16439" s="3" t="s">
        <v>82632</v>
      </c>
      <c r="J16439" s="3" t="s">
        <v>82839</v>
      </c>
      <c r="K16439" s="3" t="s">
        <v>82840</v>
      </c>
      <c r="L16439" s="3" t="s">
        <v>82841</v>
      </c>
      <c r="M16439" s="4"/>
      <c r="N16439" s="3" t="s">
        <v>37</v>
      </c>
      <c r="O16439" s="3" t="s">
        <v>123</v>
      </c>
      <c r="P16439" s="5">
        <v>10</v>
      </c>
      <c r="Q16439" s="5">
        <v>172</v>
      </c>
      <c r="R16439" s="5">
        <v>9</v>
      </c>
      <c r="S16439" s="5">
        <v>161</v>
      </c>
    </row>
    <row r="16440" spans="1:19" ht="28" x14ac:dyDescent="0.15">
      <c r="A16440" s="2">
        <f>HYPERLINK("https://open-school.uspishnemisto.com.ua/school/800200/", 800200)</f>
        <v>800200</v>
      </c>
      <c r="B16440" s="3" t="s">
        <v>82842</v>
      </c>
      <c r="C16440" s="3" t="s">
        <v>181</v>
      </c>
      <c r="D16440" s="3" t="s">
        <v>175</v>
      </c>
      <c r="E16440" s="4" t="s">
        <v>22</v>
      </c>
      <c r="F16440" s="4" t="s">
        <v>82657</v>
      </c>
      <c r="G16440" s="4" t="s">
        <v>82631</v>
      </c>
      <c r="H16440" s="3" t="s">
        <v>81975</v>
      </c>
      <c r="I16440" s="3" t="s">
        <v>82632</v>
      </c>
      <c r="J16440" s="3" t="s">
        <v>82843</v>
      </c>
      <c r="K16440" s="3" t="s">
        <v>82844</v>
      </c>
      <c r="L16440" s="3" t="s">
        <v>82845</v>
      </c>
      <c r="M16440" s="4"/>
      <c r="N16440" s="3" t="s">
        <v>37</v>
      </c>
      <c r="O16440" s="3" t="s">
        <v>52</v>
      </c>
      <c r="P16440" s="5">
        <v>26</v>
      </c>
      <c r="Q16440" s="5">
        <v>233</v>
      </c>
      <c r="R16440" s="5">
        <v>26</v>
      </c>
      <c r="S16440" s="5">
        <v>228</v>
      </c>
    </row>
    <row r="16441" spans="1:19" ht="28" x14ac:dyDescent="0.15">
      <c r="A16441" s="2">
        <f>HYPERLINK("https://open-school.uspishnemisto.com.ua/school/800201/", 800201)</f>
        <v>800201</v>
      </c>
      <c r="B16441" s="3" t="s">
        <v>82846</v>
      </c>
      <c r="C16441" s="3" t="s">
        <v>181</v>
      </c>
      <c r="D16441" s="3" t="s">
        <v>32</v>
      </c>
      <c r="E16441" s="4" t="s">
        <v>22</v>
      </c>
      <c r="F16441" s="4" t="s">
        <v>82721</v>
      </c>
      <c r="G16441" s="4" t="s">
        <v>82631</v>
      </c>
      <c r="H16441" s="3" t="s">
        <v>81975</v>
      </c>
      <c r="I16441" s="3" t="s">
        <v>82632</v>
      </c>
      <c r="J16441" s="3" t="s">
        <v>82847</v>
      </c>
      <c r="K16441" s="3" t="s">
        <v>82848</v>
      </c>
      <c r="L16441" s="3" t="s">
        <v>82849</v>
      </c>
      <c r="M16441" s="4"/>
      <c r="N16441" s="3" t="s">
        <v>37</v>
      </c>
      <c r="O16441" s="3" t="s">
        <v>52</v>
      </c>
      <c r="P16441" s="5">
        <v>26</v>
      </c>
      <c r="Q16441" s="5">
        <v>262</v>
      </c>
      <c r="R16441" s="5">
        <v>25</v>
      </c>
      <c r="S16441" s="5">
        <v>270</v>
      </c>
    </row>
    <row r="16442" spans="1:19" ht="28" x14ac:dyDescent="0.15">
      <c r="A16442" s="2">
        <f>HYPERLINK("https://open-school.uspishnemisto.com.ua/school/800202/", 800202)</f>
        <v>800202</v>
      </c>
      <c r="B16442" s="3" t="s">
        <v>82850</v>
      </c>
      <c r="C16442" s="3" t="s">
        <v>188</v>
      </c>
      <c r="D16442" s="3" t="s">
        <v>21</v>
      </c>
      <c r="E16442" s="4" t="s">
        <v>22</v>
      </c>
      <c r="F16442" s="4" t="s">
        <v>82666</v>
      </c>
      <c r="G16442" s="4" t="s">
        <v>82631</v>
      </c>
      <c r="H16442" s="3" t="s">
        <v>81975</v>
      </c>
      <c r="I16442" s="3" t="s">
        <v>82632</v>
      </c>
      <c r="J16442" s="3" t="s">
        <v>82851</v>
      </c>
      <c r="K16442" s="3" t="s">
        <v>82852</v>
      </c>
      <c r="L16442" s="3" t="s">
        <v>82853</v>
      </c>
      <c r="M16442" s="4"/>
      <c r="N16442" s="3" t="s">
        <v>37</v>
      </c>
      <c r="O16442" s="3" t="s">
        <v>52</v>
      </c>
      <c r="P16442" s="5">
        <v>18</v>
      </c>
      <c r="Q16442" s="5">
        <v>544</v>
      </c>
      <c r="R16442" s="5">
        <v>19</v>
      </c>
      <c r="S16442" s="5">
        <v>567</v>
      </c>
    </row>
    <row r="16443" spans="1:19" ht="28" x14ac:dyDescent="0.15">
      <c r="A16443" s="2">
        <f>HYPERLINK("https://open-school.uspishnemisto.com.ua/school/800203/", 800203)</f>
        <v>800203</v>
      </c>
      <c r="B16443" s="3" t="s">
        <v>82854</v>
      </c>
      <c r="C16443" s="3" t="s">
        <v>244</v>
      </c>
      <c r="D16443" s="3" t="s">
        <v>32</v>
      </c>
      <c r="E16443" s="4" t="s">
        <v>22</v>
      </c>
      <c r="F16443" s="4" t="s">
        <v>82794</v>
      </c>
      <c r="G16443" s="4" t="s">
        <v>82631</v>
      </c>
      <c r="H16443" s="3" t="s">
        <v>81975</v>
      </c>
      <c r="I16443" s="3" t="s">
        <v>82632</v>
      </c>
      <c r="J16443" s="3" t="s">
        <v>82855</v>
      </c>
      <c r="K16443" s="3" t="s">
        <v>82856</v>
      </c>
      <c r="L16443" s="3" t="s">
        <v>82857</v>
      </c>
      <c r="M16443" s="4" t="s">
        <v>82858</v>
      </c>
      <c r="N16443" s="3" t="s">
        <v>37</v>
      </c>
      <c r="O16443" s="3" t="s">
        <v>123</v>
      </c>
      <c r="P16443" s="5">
        <v>36</v>
      </c>
      <c r="Q16443" s="5">
        <v>960</v>
      </c>
      <c r="R16443" s="5">
        <v>35</v>
      </c>
      <c r="S16443" s="5">
        <v>928</v>
      </c>
    </row>
    <row r="16444" spans="1:19" ht="28" x14ac:dyDescent="0.15">
      <c r="A16444" s="2">
        <f>HYPERLINK("https://open-school.uspishnemisto.com.ua/school/800204/", 800204)</f>
        <v>800204</v>
      </c>
      <c r="B16444" s="3" t="s">
        <v>82859</v>
      </c>
      <c r="C16444" s="3" t="s">
        <v>31</v>
      </c>
      <c r="D16444" s="3" t="s">
        <v>60</v>
      </c>
      <c r="E16444" s="4" t="s">
        <v>22</v>
      </c>
      <c r="F16444" s="4" t="s">
        <v>82691</v>
      </c>
      <c r="G16444" s="4" t="s">
        <v>82631</v>
      </c>
      <c r="H16444" s="3" t="s">
        <v>81975</v>
      </c>
      <c r="I16444" s="3" t="s">
        <v>82632</v>
      </c>
      <c r="J16444" s="3" t="s">
        <v>82860</v>
      </c>
      <c r="K16444" s="3" t="s">
        <v>82861</v>
      </c>
      <c r="L16444" s="3" t="s">
        <v>82862</v>
      </c>
      <c r="M16444" s="4"/>
      <c r="N16444" s="3" t="s">
        <v>37</v>
      </c>
      <c r="O16444" s="3" t="s">
        <v>52</v>
      </c>
      <c r="P16444" s="5">
        <v>10</v>
      </c>
      <c r="Q16444" s="5">
        <v>324</v>
      </c>
      <c r="R16444" s="5">
        <v>10</v>
      </c>
      <c r="S16444" s="5">
        <v>320</v>
      </c>
    </row>
    <row r="16445" spans="1:19" ht="42" x14ac:dyDescent="0.15">
      <c r="A16445" s="2">
        <f>HYPERLINK("https://open-school.uspishnemisto.com.ua/school/800205/", 800205)</f>
        <v>800205</v>
      </c>
      <c r="B16445" s="3" t="s">
        <v>82863</v>
      </c>
      <c r="C16445" s="3" t="s">
        <v>54</v>
      </c>
      <c r="D16445" s="3" t="s">
        <v>60</v>
      </c>
      <c r="E16445" s="4" t="s">
        <v>22</v>
      </c>
      <c r="F16445" s="4"/>
      <c r="G16445" s="4" t="s">
        <v>82631</v>
      </c>
      <c r="H16445" s="3" t="s">
        <v>81975</v>
      </c>
      <c r="I16445" s="3" t="s">
        <v>82632</v>
      </c>
      <c r="J16445" s="3" t="s">
        <v>82864</v>
      </c>
      <c r="K16445" s="3" t="s">
        <v>82865</v>
      </c>
      <c r="L16445" s="3" t="s">
        <v>82866</v>
      </c>
      <c r="M16445" s="4"/>
      <c r="N16445" s="3" t="s">
        <v>37</v>
      </c>
      <c r="O16445" s="3" t="s">
        <v>52</v>
      </c>
      <c r="P16445" s="5">
        <v>4</v>
      </c>
      <c r="Q16445" s="5">
        <v>81</v>
      </c>
      <c r="R16445" s="5">
        <v>4</v>
      </c>
      <c r="S16445" s="5">
        <v>76</v>
      </c>
    </row>
    <row r="16446" spans="1:19" ht="42" x14ac:dyDescent="0.15">
      <c r="A16446" s="2">
        <f>HYPERLINK("https://open-school.uspishnemisto.com.ua/school/800206/", 800206)</f>
        <v>800206</v>
      </c>
      <c r="B16446" s="3" t="s">
        <v>82867</v>
      </c>
      <c r="C16446" s="3" t="s">
        <v>54</v>
      </c>
      <c r="D16446" s="3" t="s">
        <v>60</v>
      </c>
      <c r="E16446" s="4" t="s">
        <v>22</v>
      </c>
      <c r="F16446" s="4" t="s">
        <v>82657</v>
      </c>
      <c r="G16446" s="4" t="s">
        <v>82631</v>
      </c>
      <c r="H16446" s="3" t="s">
        <v>81975</v>
      </c>
      <c r="I16446" s="3" t="s">
        <v>82632</v>
      </c>
      <c r="J16446" s="3" t="s">
        <v>82868</v>
      </c>
      <c r="K16446" s="3" t="s">
        <v>82869</v>
      </c>
      <c r="L16446" s="3"/>
      <c r="M16446" s="4"/>
      <c r="N16446" s="3" t="s">
        <v>37</v>
      </c>
      <c r="O16446" s="3" t="s">
        <v>52</v>
      </c>
      <c r="P16446" s="5">
        <v>4</v>
      </c>
      <c r="Q16446" s="5">
        <v>111</v>
      </c>
      <c r="R16446" s="5">
        <v>4</v>
      </c>
      <c r="S16446" s="5">
        <v>105</v>
      </c>
    </row>
    <row r="16447" spans="1:19" ht="42" x14ac:dyDescent="0.15">
      <c r="A16447" s="2">
        <f>HYPERLINK("https://open-school.uspishnemisto.com.ua/school/800207/", 800207)</f>
        <v>800207</v>
      </c>
      <c r="B16447" s="3" t="s">
        <v>82870</v>
      </c>
      <c r="C16447" s="3" t="s">
        <v>54</v>
      </c>
      <c r="D16447" s="3" t="s">
        <v>60</v>
      </c>
      <c r="E16447" s="4" t="s">
        <v>22</v>
      </c>
      <c r="F16447" s="4" t="s">
        <v>82671</v>
      </c>
      <c r="G16447" s="4" t="s">
        <v>82631</v>
      </c>
      <c r="H16447" s="3" t="s">
        <v>81975</v>
      </c>
      <c r="I16447" s="3" t="s">
        <v>82632</v>
      </c>
      <c r="J16447" s="3" t="s">
        <v>82871</v>
      </c>
      <c r="K16447" s="3" t="s">
        <v>82872</v>
      </c>
      <c r="L16447" s="3"/>
      <c r="M16447" s="4"/>
      <c r="N16447" s="3" t="s">
        <v>37</v>
      </c>
      <c r="O16447" s="3" t="s">
        <v>52</v>
      </c>
      <c r="P16447" s="5">
        <v>4</v>
      </c>
      <c r="Q16447" s="5">
        <v>89</v>
      </c>
      <c r="R16447" s="5">
        <v>4</v>
      </c>
      <c r="S16447" s="5">
        <v>96</v>
      </c>
    </row>
    <row r="16448" spans="1:19" ht="42" x14ac:dyDescent="0.15">
      <c r="A16448" s="2">
        <f>HYPERLINK("https://open-school.uspishnemisto.com.ua/school/800208/", 800208)</f>
        <v>800208</v>
      </c>
      <c r="B16448" s="3" t="s">
        <v>82873</v>
      </c>
      <c r="C16448" s="3" t="s">
        <v>54</v>
      </c>
      <c r="D16448" s="3" t="s">
        <v>60</v>
      </c>
      <c r="E16448" s="4" t="s">
        <v>22</v>
      </c>
      <c r="F16448" s="4"/>
      <c r="G16448" s="4" t="s">
        <v>82631</v>
      </c>
      <c r="H16448" s="3" t="s">
        <v>81975</v>
      </c>
      <c r="I16448" s="3" t="s">
        <v>82632</v>
      </c>
      <c r="J16448" s="3" t="s">
        <v>82874</v>
      </c>
      <c r="K16448" s="3" t="s">
        <v>82875</v>
      </c>
      <c r="L16448" s="3"/>
      <c r="M16448" s="4"/>
      <c r="N16448" s="3" t="s">
        <v>37</v>
      </c>
      <c r="O16448" s="3" t="s">
        <v>8629</v>
      </c>
      <c r="P16448" s="5">
        <v>4</v>
      </c>
      <c r="Q16448" s="5">
        <v>79</v>
      </c>
      <c r="R16448" s="5">
        <v>4</v>
      </c>
      <c r="S16448" s="5">
        <v>78</v>
      </c>
    </row>
    <row r="16449" spans="1:19" ht="28" x14ac:dyDescent="0.15">
      <c r="A16449" s="2">
        <f>HYPERLINK("https://open-school.uspishnemisto.com.ua/school/800162/", 800162)</f>
        <v>800162</v>
      </c>
      <c r="B16449" s="3" t="s">
        <v>82876</v>
      </c>
      <c r="C16449" s="3" t="s">
        <v>293</v>
      </c>
      <c r="D16449" s="3"/>
      <c r="E16449" s="4" t="s">
        <v>253</v>
      </c>
      <c r="F16449" s="4"/>
      <c r="G16449" s="4" t="s">
        <v>82877</v>
      </c>
      <c r="H16449" s="3" t="s">
        <v>81975</v>
      </c>
      <c r="I16449" s="3" t="s">
        <v>82878</v>
      </c>
      <c r="J16449" s="3" t="s">
        <v>82408</v>
      </c>
      <c r="K16449" s="3" t="s">
        <v>82879</v>
      </c>
      <c r="L16449" s="3" t="s">
        <v>82880</v>
      </c>
      <c r="M16449" s="4"/>
      <c r="N16449" s="3" t="s">
        <v>37</v>
      </c>
      <c r="O16449" s="3" t="s">
        <v>52</v>
      </c>
      <c r="P16449" s="5">
        <v>22</v>
      </c>
      <c r="Q16449" s="5">
        <v>458</v>
      </c>
      <c r="R16449" s="5">
        <v>21</v>
      </c>
      <c r="S16449" s="5">
        <v>487</v>
      </c>
    </row>
    <row r="16450" spans="1:19" ht="42" x14ac:dyDescent="0.15">
      <c r="A16450" s="2">
        <f>HYPERLINK("https://open-school.uspishnemisto.com.ua/school/800209/", 800209)</f>
        <v>800209</v>
      </c>
      <c r="B16450" s="3" t="s">
        <v>82881</v>
      </c>
      <c r="C16450" s="3" t="s">
        <v>54</v>
      </c>
      <c r="D16450" s="3" t="s">
        <v>82882</v>
      </c>
      <c r="E16450" s="4" t="s">
        <v>22</v>
      </c>
      <c r="F16450" s="4" t="s">
        <v>82883</v>
      </c>
      <c r="G16450" s="4" t="s">
        <v>82877</v>
      </c>
      <c r="H16450" s="3" t="s">
        <v>81975</v>
      </c>
      <c r="I16450" s="3" t="s">
        <v>82878</v>
      </c>
      <c r="J16450" s="3" t="s">
        <v>82884</v>
      </c>
      <c r="K16450" s="3" t="s">
        <v>82885</v>
      </c>
      <c r="L16450" s="3" t="s">
        <v>82886</v>
      </c>
      <c r="M16450" s="4"/>
      <c r="N16450" s="3" t="s">
        <v>37</v>
      </c>
      <c r="O16450" s="3" t="s">
        <v>16120</v>
      </c>
      <c r="P16450" s="5">
        <v>20</v>
      </c>
      <c r="Q16450" s="5">
        <v>582</v>
      </c>
      <c r="R16450" s="5">
        <v>20</v>
      </c>
      <c r="S16450" s="5">
        <v>529</v>
      </c>
    </row>
    <row r="16451" spans="1:19" ht="28" x14ac:dyDescent="0.15">
      <c r="A16451" s="2">
        <f>HYPERLINK("https://open-school.uspishnemisto.com.ua/school/800210/", 800210)</f>
        <v>800210</v>
      </c>
      <c r="B16451" s="3" t="s">
        <v>82887</v>
      </c>
      <c r="C16451" s="3" t="s">
        <v>31</v>
      </c>
      <c r="D16451" s="3" t="s">
        <v>60</v>
      </c>
      <c r="E16451" s="4" t="s">
        <v>22</v>
      </c>
      <c r="F16451" s="4" t="s">
        <v>82888</v>
      </c>
      <c r="G16451" s="4" t="s">
        <v>82877</v>
      </c>
      <c r="H16451" s="3" t="s">
        <v>81975</v>
      </c>
      <c r="I16451" s="3" t="s">
        <v>82878</v>
      </c>
      <c r="J16451" s="3" t="s">
        <v>82889</v>
      </c>
      <c r="K16451" s="3" t="s">
        <v>82890</v>
      </c>
      <c r="L16451" s="3" t="s">
        <v>82891</v>
      </c>
      <c r="M16451" s="4"/>
      <c r="N16451" s="3" t="s">
        <v>37</v>
      </c>
      <c r="O16451" s="3" t="s">
        <v>52</v>
      </c>
      <c r="P16451" s="5">
        <v>4</v>
      </c>
      <c r="Q16451" s="5">
        <v>127</v>
      </c>
      <c r="R16451" s="5">
        <v>4</v>
      </c>
      <c r="S16451" s="5">
        <v>126</v>
      </c>
    </row>
    <row r="16452" spans="1:19" ht="28" x14ac:dyDescent="0.15">
      <c r="A16452" s="2">
        <f>HYPERLINK("https://open-school.uspishnemisto.com.ua/school/800211/", 800211)</f>
        <v>800211</v>
      </c>
      <c r="B16452" s="3" t="s">
        <v>82892</v>
      </c>
      <c r="C16452" s="3" t="s">
        <v>31</v>
      </c>
      <c r="D16452" s="3" t="s">
        <v>32</v>
      </c>
      <c r="E16452" s="4" t="s">
        <v>41</v>
      </c>
      <c r="F16452" s="4" t="s">
        <v>82893</v>
      </c>
      <c r="G16452" s="4" t="s">
        <v>82877</v>
      </c>
      <c r="H16452" s="3" t="s">
        <v>81975</v>
      </c>
      <c r="I16452" s="3" t="s">
        <v>82878</v>
      </c>
      <c r="J16452" s="3" t="s">
        <v>82894</v>
      </c>
      <c r="K16452" s="3" t="s">
        <v>82895</v>
      </c>
      <c r="L16452" s="3" t="s">
        <v>82896</v>
      </c>
      <c r="M16452" s="4"/>
      <c r="N16452" s="3" t="s">
        <v>37</v>
      </c>
      <c r="O16452" s="3" t="s">
        <v>52</v>
      </c>
      <c r="P16452" s="5">
        <v>7</v>
      </c>
      <c r="Q16452" s="5">
        <v>110</v>
      </c>
      <c r="R16452" s="5">
        <v>10</v>
      </c>
      <c r="S16452" s="5">
        <v>137</v>
      </c>
    </row>
    <row r="16453" spans="1:19" ht="28" x14ac:dyDescent="0.15">
      <c r="A16453" s="2">
        <f>HYPERLINK("https://open-school.uspishnemisto.com.ua/school/800212/", 800212)</f>
        <v>800212</v>
      </c>
      <c r="B16453" s="3" t="s">
        <v>82897</v>
      </c>
      <c r="C16453" s="3" t="s">
        <v>31</v>
      </c>
      <c r="D16453" s="3"/>
      <c r="E16453" s="4" t="s">
        <v>253</v>
      </c>
      <c r="F16453" s="4"/>
      <c r="G16453" s="4" t="s">
        <v>82877</v>
      </c>
      <c r="H16453" s="3" t="s">
        <v>81975</v>
      </c>
      <c r="I16453" s="3" t="s">
        <v>82878</v>
      </c>
      <c r="J16453" s="3" t="s">
        <v>82898</v>
      </c>
      <c r="K16453" s="3"/>
      <c r="L16453" s="3" t="s">
        <v>82899</v>
      </c>
      <c r="M16453" s="4"/>
      <c r="N16453" s="3" t="s">
        <v>37</v>
      </c>
      <c r="O16453" s="3" t="s">
        <v>70</v>
      </c>
      <c r="P16453" s="5">
        <v>29</v>
      </c>
      <c r="Q16453" s="5">
        <v>441</v>
      </c>
      <c r="R16453" s="5">
        <v>28</v>
      </c>
      <c r="S16453" s="5">
        <v>435</v>
      </c>
    </row>
    <row r="16454" spans="1:19" ht="28" x14ac:dyDescent="0.15">
      <c r="A16454" s="2">
        <f>HYPERLINK("https://open-school.uspishnemisto.com.ua/school/800213/", 800213)</f>
        <v>800213</v>
      </c>
      <c r="B16454" s="3" t="s">
        <v>82900</v>
      </c>
      <c r="C16454" s="3" t="s">
        <v>2634</v>
      </c>
      <c r="D16454" s="3" t="s">
        <v>175</v>
      </c>
      <c r="E16454" s="4" t="s">
        <v>22</v>
      </c>
      <c r="F16454" s="4" t="s">
        <v>82759</v>
      </c>
      <c r="G16454" s="4" t="s">
        <v>82877</v>
      </c>
      <c r="H16454" s="3" t="s">
        <v>81975</v>
      </c>
      <c r="I16454" s="3" t="s">
        <v>82878</v>
      </c>
      <c r="J16454" s="3" t="s">
        <v>82901</v>
      </c>
      <c r="K16454" s="3" t="s">
        <v>82902</v>
      </c>
      <c r="L16454" s="3" t="s">
        <v>82903</v>
      </c>
      <c r="M16454" s="4"/>
      <c r="N16454" s="3" t="s">
        <v>37</v>
      </c>
      <c r="O16454" s="3" t="s">
        <v>38</v>
      </c>
      <c r="P16454" s="5">
        <v>18</v>
      </c>
      <c r="Q16454" s="5">
        <v>151</v>
      </c>
      <c r="R16454" s="5">
        <v>19</v>
      </c>
      <c r="S16454" s="5">
        <v>141</v>
      </c>
    </row>
    <row r="16455" spans="1:19" ht="42" x14ac:dyDescent="0.15">
      <c r="A16455" s="2">
        <f>HYPERLINK("https://open-school.uspishnemisto.com.ua/school/800214/", 800214)</f>
        <v>800214</v>
      </c>
      <c r="B16455" s="3" t="s">
        <v>82904</v>
      </c>
      <c r="C16455" s="3" t="s">
        <v>54</v>
      </c>
      <c r="D16455" s="3" t="s">
        <v>32</v>
      </c>
      <c r="E16455" s="4" t="s">
        <v>22</v>
      </c>
      <c r="F16455" s="4" t="s">
        <v>82905</v>
      </c>
      <c r="G16455" s="4" t="s">
        <v>82877</v>
      </c>
      <c r="H16455" s="3" t="s">
        <v>81975</v>
      </c>
      <c r="I16455" s="3" t="s">
        <v>82878</v>
      </c>
      <c r="J16455" s="3" t="s">
        <v>82906</v>
      </c>
      <c r="K16455" s="3" t="s">
        <v>82907</v>
      </c>
      <c r="L16455" s="3" t="s">
        <v>82908</v>
      </c>
      <c r="M16455" s="4"/>
      <c r="N16455" s="3" t="s">
        <v>37</v>
      </c>
      <c r="O16455" s="3" t="s">
        <v>197</v>
      </c>
      <c r="P16455" s="5">
        <v>34</v>
      </c>
      <c r="Q16455" s="5">
        <v>1055</v>
      </c>
      <c r="R16455" s="5">
        <v>36</v>
      </c>
      <c r="S16455" s="5">
        <v>1087</v>
      </c>
    </row>
    <row r="16456" spans="1:19" ht="42" x14ac:dyDescent="0.15">
      <c r="A16456" s="2">
        <f>HYPERLINK("https://open-school.uspishnemisto.com.ua/school/800215/", 800215)</f>
        <v>800215</v>
      </c>
      <c r="B16456" s="3" t="s">
        <v>82909</v>
      </c>
      <c r="C16456" s="3" t="s">
        <v>54</v>
      </c>
      <c r="D16456" s="3" t="s">
        <v>32</v>
      </c>
      <c r="E16456" s="4" t="s">
        <v>22</v>
      </c>
      <c r="F16456" s="4" t="s">
        <v>82910</v>
      </c>
      <c r="G16456" s="4" t="s">
        <v>82877</v>
      </c>
      <c r="H16456" s="3" t="s">
        <v>81975</v>
      </c>
      <c r="I16456" s="3" t="s">
        <v>82878</v>
      </c>
      <c r="J16456" s="3" t="s">
        <v>82911</v>
      </c>
      <c r="K16456" s="3" t="s">
        <v>82912</v>
      </c>
      <c r="L16456" s="3" t="s">
        <v>82913</v>
      </c>
      <c r="M16456" s="4"/>
      <c r="N16456" s="3" t="s">
        <v>37</v>
      </c>
      <c r="O16456" s="3" t="s">
        <v>46</v>
      </c>
      <c r="P16456" s="5">
        <v>47</v>
      </c>
      <c r="Q16456" s="5">
        <v>1435</v>
      </c>
      <c r="R16456" s="5">
        <v>46</v>
      </c>
      <c r="S16456" s="5">
        <v>1405</v>
      </c>
    </row>
    <row r="16457" spans="1:19" ht="28" x14ac:dyDescent="0.15">
      <c r="A16457" s="2">
        <f>HYPERLINK("https://open-school.uspishnemisto.com.ua/school/800216/", 800216)</f>
        <v>800216</v>
      </c>
      <c r="B16457" s="3" t="s">
        <v>82914</v>
      </c>
      <c r="C16457" s="3" t="s">
        <v>188</v>
      </c>
      <c r="D16457" s="3" t="s">
        <v>32</v>
      </c>
      <c r="E16457" s="4" t="s">
        <v>41</v>
      </c>
      <c r="F16457" s="4" t="s">
        <v>82915</v>
      </c>
      <c r="G16457" s="4" t="s">
        <v>82877</v>
      </c>
      <c r="H16457" s="3" t="s">
        <v>81975</v>
      </c>
      <c r="I16457" s="3" t="s">
        <v>82878</v>
      </c>
      <c r="J16457" s="3" t="s">
        <v>82916</v>
      </c>
      <c r="K16457" s="3" t="s">
        <v>82917</v>
      </c>
      <c r="L16457" s="3" t="s">
        <v>82918</v>
      </c>
      <c r="M16457" s="4"/>
      <c r="N16457" s="3" t="s">
        <v>37</v>
      </c>
      <c r="O16457" s="3" t="s">
        <v>38</v>
      </c>
      <c r="P16457" s="5">
        <v>12</v>
      </c>
      <c r="Q16457" s="5">
        <v>105</v>
      </c>
      <c r="R16457" s="5">
        <v>11</v>
      </c>
      <c r="S16457" s="5">
        <v>97</v>
      </c>
    </row>
    <row r="16458" spans="1:19" ht="28" x14ac:dyDescent="0.15">
      <c r="A16458" s="2">
        <f>HYPERLINK("https://open-school.uspishnemisto.com.ua/school/800217/", 800217)</f>
        <v>800217</v>
      </c>
      <c r="B16458" s="3" t="s">
        <v>82919</v>
      </c>
      <c r="C16458" s="3" t="s">
        <v>54</v>
      </c>
      <c r="D16458" s="3" t="s">
        <v>60</v>
      </c>
      <c r="E16458" s="4" t="s">
        <v>22</v>
      </c>
      <c r="F16458" s="4" t="s">
        <v>82920</v>
      </c>
      <c r="G16458" s="4" t="s">
        <v>82877</v>
      </c>
      <c r="H16458" s="3" t="s">
        <v>81975</v>
      </c>
      <c r="I16458" s="3" t="s">
        <v>82878</v>
      </c>
      <c r="J16458" s="3" t="s">
        <v>82921</v>
      </c>
      <c r="K16458" s="3" t="s">
        <v>82922</v>
      </c>
      <c r="L16458" s="3" t="s">
        <v>82923</v>
      </c>
      <c r="M16458" s="4"/>
      <c r="N16458" s="3" t="s">
        <v>37</v>
      </c>
      <c r="O16458" s="3" t="s">
        <v>52</v>
      </c>
      <c r="P16458" s="5">
        <v>5</v>
      </c>
      <c r="Q16458" s="5">
        <v>141</v>
      </c>
      <c r="R16458" s="5">
        <v>5</v>
      </c>
      <c r="S16458" s="5">
        <v>141</v>
      </c>
    </row>
    <row r="16459" spans="1:19" ht="28" x14ac:dyDescent="0.15">
      <c r="A16459" s="2">
        <f>HYPERLINK("https://open-school.uspishnemisto.com.ua/school/800218/", 800218)</f>
        <v>800218</v>
      </c>
      <c r="B16459" s="3" t="s">
        <v>82924</v>
      </c>
      <c r="C16459" s="3" t="s">
        <v>54</v>
      </c>
      <c r="D16459" s="3" t="s">
        <v>32</v>
      </c>
      <c r="E16459" s="4" t="s">
        <v>22</v>
      </c>
      <c r="F16459" s="4" t="s">
        <v>82925</v>
      </c>
      <c r="G16459" s="4" t="s">
        <v>82877</v>
      </c>
      <c r="H16459" s="3" t="s">
        <v>81975</v>
      </c>
      <c r="I16459" s="3" t="s">
        <v>82878</v>
      </c>
      <c r="J16459" s="3" t="s">
        <v>82926</v>
      </c>
      <c r="K16459" s="3" t="s">
        <v>82927</v>
      </c>
      <c r="L16459" s="3" t="s">
        <v>82928</v>
      </c>
      <c r="M16459" s="4"/>
      <c r="N16459" s="3" t="s">
        <v>37</v>
      </c>
      <c r="O16459" s="3" t="s">
        <v>2740</v>
      </c>
      <c r="P16459" s="5">
        <v>32</v>
      </c>
      <c r="Q16459" s="5">
        <v>926</v>
      </c>
      <c r="R16459" s="5">
        <v>32</v>
      </c>
      <c r="S16459" s="5">
        <v>902</v>
      </c>
    </row>
    <row r="16460" spans="1:19" ht="28" x14ac:dyDescent="0.15">
      <c r="A16460" s="2">
        <f>HYPERLINK("https://open-school.uspishnemisto.com.ua/school/800219/", 800219)</f>
        <v>800219</v>
      </c>
      <c r="B16460" s="3" t="s">
        <v>82929</v>
      </c>
      <c r="C16460" s="3" t="s">
        <v>54</v>
      </c>
      <c r="D16460" s="3" t="s">
        <v>82882</v>
      </c>
      <c r="E16460" s="4" t="s">
        <v>22</v>
      </c>
      <c r="F16460" s="4" t="s">
        <v>82893</v>
      </c>
      <c r="G16460" s="4" t="s">
        <v>82877</v>
      </c>
      <c r="H16460" s="3" t="s">
        <v>81975</v>
      </c>
      <c r="I16460" s="3" t="s">
        <v>82878</v>
      </c>
      <c r="J16460" s="3" t="s">
        <v>82930</v>
      </c>
      <c r="K16460" s="3" t="s">
        <v>82931</v>
      </c>
      <c r="L16460" s="3" t="s">
        <v>82932</v>
      </c>
      <c r="M16460" s="4"/>
      <c r="N16460" s="3" t="s">
        <v>37</v>
      </c>
      <c r="O16460" s="3" t="s">
        <v>46</v>
      </c>
      <c r="P16460" s="5">
        <v>13</v>
      </c>
      <c r="Q16460" s="5">
        <v>297</v>
      </c>
      <c r="R16460" s="5">
        <v>13</v>
      </c>
      <c r="S16460" s="5">
        <v>311</v>
      </c>
    </row>
    <row r="16461" spans="1:19" ht="42" x14ac:dyDescent="0.15">
      <c r="A16461" s="2">
        <f>HYPERLINK("https://open-school.uspishnemisto.com.ua/school/800220/", 800220)</f>
        <v>800220</v>
      </c>
      <c r="B16461" s="3" t="s">
        <v>82933</v>
      </c>
      <c r="C16461" s="3" t="s">
        <v>54</v>
      </c>
      <c r="D16461" s="3" t="s">
        <v>32</v>
      </c>
      <c r="E16461" s="4" t="s">
        <v>22</v>
      </c>
      <c r="F16461" s="4" t="s">
        <v>82920</v>
      </c>
      <c r="G16461" s="4" t="s">
        <v>82877</v>
      </c>
      <c r="H16461" s="3" t="s">
        <v>81975</v>
      </c>
      <c r="I16461" s="3" t="s">
        <v>82878</v>
      </c>
      <c r="J16461" s="3" t="s">
        <v>82934</v>
      </c>
      <c r="K16461" s="3" t="s">
        <v>82935</v>
      </c>
      <c r="L16461" s="3" t="s">
        <v>82936</v>
      </c>
      <c r="M16461" s="4"/>
      <c r="N16461" s="3" t="s">
        <v>37</v>
      </c>
      <c r="O16461" s="3" t="s">
        <v>52</v>
      </c>
      <c r="P16461" s="5">
        <v>42</v>
      </c>
      <c r="Q16461" s="5">
        <v>1192</v>
      </c>
      <c r="R16461" s="5">
        <v>43</v>
      </c>
      <c r="S16461" s="5">
        <v>1219</v>
      </c>
    </row>
    <row r="16462" spans="1:19" ht="28" x14ac:dyDescent="0.15">
      <c r="A16462" s="2">
        <f>HYPERLINK("https://open-school.uspishnemisto.com.ua/school/800221/", 800221)</f>
        <v>800221</v>
      </c>
      <c r="B16462" s="3" t="s">
        <v>82937</v>
      </c>
      <c r="C16462" s="3" t="s">
        <v>54</v>
      </c>
      <c r="D16462" s="3" t="s">
        <v>32</v>
      </c>
      <c r="E16462" s="4" t="s">
        <v>22</v>
      </c>
      <c r="F16462" s="4" t="s">
        <v>82888</v>
      </c>
      <c r="G16462" s="4" t="s">
        <v>82877</v>
      </c>
      <c r="H16462" s="3" t="s">
        <v>81975</v>
      </c>
      <c r="I16462" s="3" t="s">
        <v>82878</v>
      </c>
      <c r="J16462" s="3" t="s">
        <v>82938</v>
      </c>
      <c r="K16462" s="3" t="s">
        <v>82939</v>
      </c>
      <c r="L16462" s="3" t="s">
        <v>82940</v>
      </c>
      <c r="M16462" s="4"/>
      <c r="N16462" s="3" t="s">
        <v>37</v>
      </c>
      <c r="O16462" s="3" t="s">
        <v>52</v>
      </c>
      <c r="P16462" s="5">
        <v>10</v>
      </c>
      <c r="Q16462" s="5">
        <v>151</v>
      </c>
      <c r="R16462" s="5">
        <v>10</v>
      </c>
      <c r="S16462" s="5">
        <v>157</v>
      </c>
    </row>
    <row r="16463" spans="1:19" ht="28" x14ac:dyDescent="0.15">
      <c r="A16463" s="2">
        <f>HYPERLINK("https://open-school.uspishnemisto.com.ua/school/800222/", 800222)</f>
        <v>800222</v>
      </c>
      <c r="B16463" s="3" t="s">
        <v>82941</v>
      </c>
      <c r="C16463" s="3" t="s">
        <v>31</v>
      </c>
      <c r="D16463" s="3" t="s">
        <v>60</v>
      </c>
      <c r="E16463" s="4" t="s">
        <v>22</v>
      </c>
      <c r="F16463" s="4" t="s">
        <v>82893</v>
      </c>
      <c r="G16463" s="4" t="s">
        <v>82877</v>
      </c>
      <c r="H16463" s="3" t="s">
        <v>81975</v>
      </c>
      <c r="I16463" s="3" t="s">
        <v>82878</v>
      </c>
      <c r="J16463" s="3" t="s">
        <v>82942</v>
      </c>
      <c r="K16463" s="3" t="s">
        <v>82943</v>
      </c>
      <c r="L16463" s="3" t="s">
        <v>82944</v>
      </c>
      <c r="M16463" s="4"/>
      <c r="N16463" s="3" t="s">
        <v>37</v>
      </c>
      <c r="O16463" s="3" t="s">
        <v>52</v>
      </c>
      <c r="P16463" s="5">
        <v>5</v>
      </c>
      <c r="Q16463" s="5">
        <v>134</v>
      </c>
      <c r="R16463" s="5">
        <v>6</v>
      </c>
      <c r="S16463" s="5">
        <v>134</v>
      </c>
    </row>
    <row r="16464" spans="1:19" ht="28" x14ac:dyDescent="0.15">
      <c r="A16464" s="2">
        <f>HYPERLINK("https://open-school.uspishnemisto.com.ua/school/800223/", 800223)</f>
        <v>800223</v>
      </c>
      <c r="B16464" s="3" t="s">
        <v>82945</v>
      </c>
      <c r="C16464" s="3" t="s">
        <v>31</v>
      </c>
      <c r="D16464" s="3" t="s">
        <v>32</v>
      </c>
      <c r="E16464" s="4" t="s">
        <v>41</v>
      </c>
      <c r="F16464" s="4"/>
      <c r="G16464" s="4" t="s">
        <v>82877</v>
      </c>
      <c r="H16464" s="3" t="s">
        <v>81975</v>
      </c>
      <c r="I16464" s="3" t="s">
        <v>82878</v>
      </c>
      <c r="J16464" s="3" t="s">
        <v>82946</v>
      </c>
      <c r="K16464" s="3" t="s">
        <v>82947</v>
      </c>
      <c r="L16464" s="3"/>
      <c r="M16464" s="4"/>
      <c r="N16464" s="3" t="s">
        <v>37</v>
      </c>
      <c r="O16464" s="3" t="s">
        <v>52</v>
      </c>
      <c r="P16464" s="5">
        <v>4</v>
      </c>
      <c r="Q16464" s="5">
        <v>51</v>
      </c>
      <c r="R16464" s="5">
        <v>4</v>
      </c>
      <c r="S16464" s="5">
        <v>46</v>
      </c>
    </row>
    <row r="16465" spans="1:19" ht="28" x14ac:dyDescent="0.15">
      <c r="A16465" s="2">
        <f>HYPERLINK("https://open-school.uspishnemisto.com.ua/school/800224/", 800224)</f>
        <v>800224</v>
      </c>
      <c r="B16465" s="3" t="s">
        <v>82948</v>
      </c>
      <c r="C16465" s="3" t="s">
        <v>2634</v>
      </c>
      <c r="D16465" s="3" t="s">
        <v>175</v>
      </c>
      <c r="E16465" s="4" t="s">
        <v>22</v>
      </c>
      <c r="F16465" s="4" t="s">
        <v>82915</v>
      </c>
      <c r="G16465" s="4" t="s">
        <v>82877</v>
      </c>
      <c r="H16465" s="3" t="s">
        <v>81975</v>
      </c>
      <c r="I16465" s="3" t="s">
        <v>82878</v>
      </c>
      <c r="J16465" s="3" t="s">
        <v>82949</v>
      </c>
      <c r="K16465" s="3" t="s">
        <v>82950</v>
      </c>
      <c r="L16465" s="3" t="s">
        <v>82951</v>
      </c>
      <c r="M16465" s="4"/>
      <c r="N16465" s="3" t="s">
        <v>37</v>
      </c>
      <c r="O16465" s="3" t="s">
        <v>38</v>
      </c>
      <c r="P16465" s="5">
        <v>22</v>
      </c>
      <c r="Q16465" s="5">
        <v>179</v>
      </c>
      <c r="R16465" s="5">
        <v>21</v>
      </c>
      <c r="S16465" s="5">
        <v>170</v>
      </c>
    </row>
    <row r="16466" spans="1:19" ht="42" x14ac:dyDescent="0.15">
      <c r="A16466" s="2">
        <f>HYPERLINK("https://open-school.uspishnemisto.com.ua/school/800225/", 800225)</f>
        <v>800225</v>
      </c>
      <c r="B16466" s="3" t="s">
        <v>82952</v>
      </c>
      <c r="C16466" s="3" t="s">
        <v>244</v>
      </c>
      <c r="D16466" s="3" t="s">
        <v>32</v>
      </c>
      <c r="E16466" s="4" t="s">
        <v>22</v>
      </c>
      <c r="F16466" s="4" t="s">
        <v>82915</v>
      </c>
      <c r="G16466" s="4" t="s">
        <v>82877</v>
      </c>
      <c r="H16466" s="3" t="s">
        <v>81975</v>
      </c>
      <c r="I16466" s="3" t="s">
        <v>82878</v>
      </c>
      <c r="J16466" s="3" t="s">
        <v>82953</v>
      </c>
      <c r="K16466" s="3" t="s">
        <v>82954</v>
      </c>
      <c r="L16466" s="3" t="s">
        <v>82955</v>
      </c>
      <c r="M16466" s="4"/>
      <c r="N16466" s="3" t="s">
        <v>37</v>
      </c>
      <c r="O16466" s="3" t="s">
        <v>46</v>
      </c>
      <c r="P16466" s="5">
        <v>31</v>
      </c>
      <c r="Q16466" s="5">
        <v>880</v>
      </c>
      <c r="R16466" s="5">
        <v>31</v>
      </c>
      <c r="S16466" s="5">
        <v>868</v>
      </c>
    </row>
    <row r="16467" spans="1:19" ht="28" x14ac:dyDescent="0.15">
      <c r="A16467" s="2">
        <f>HYPERLINK("https://open-school.uspishnemisto.com.ua/school/800226/", 800226)</f>
        <v>800226</v>
      </c>
      <c r="B16467" s="3" t="s">
        <v>82956</v>
      </c>
      <c r="C16467" s="3" t="s">
        <v>244</v>
      </c>
      <c r="D16467" s="3" t="s">
        <v>32</v>
      </c>
      <c r="E16467" s="4" t="s">
        <v>22</v>
      </c>
      <c r="F16467" s="4" t="s">
        <v>82888</v>
      </c>
      <c r="G16467" s="4" t="s">
        <v>82877</v>
      </c>
      <c r="H16467" s="3" t="s">
        <v>81975</v>
      </c>
      <c r="I16467" s="3" t="s">
        <v>82878</v>
      </c>
      <c r="J16467" s="3" t="s">
        <v>82957</v>
      </c>
      <c r="K16467" s="3" t="s">
        <v>82958</v>
      </c>
      <c r="L16467" s="3" t="s">
        <v>82959</v>
      </c>
      <c r="M16467" s="4"/>
      <c r="N16467" s="3" t="s">
        <v>37</v>
      </c>
      <c r="O16467" s="3" t="s">
        <v>123</v>
      </c>
      <c r="P16467" s="5">
        <v>27</v>
      </c>
      <c r="Q16467" s="5">
        <v>764</v>
      </c>
      <c r="R16467" s="5">
        <v>27</v>
      </c>
      <c r="S16467" s="5">
        <v>749</v>
      </c>
    </row>
    <row r="16468" spans="1:19" ht="28" x14ac:dyDescent="0.15">
      <c r="A16468" s="2">
        <f>HYPERLINK("https://open-school.uspishnemisto.com.ua/school/800227/", 800227)</f>
        <v>800227</v>
      </c>
      <c r="B16468" s="3" t="s">
        <v>82960</v>
      </c>
      <c r="C16468" s="3" t="s">
        <v>244</v>
      </c>
      <c r="D16468" s="3" t="s">
        <v>32</v>
      </c>
      <c r="E16468" s="4" t="s">
        <v>22</v>
      </c>
      <c r="F16468" s="4" t="s">
        <v>82905</v>
      </c>
      <c r="G16468" s="4" t="s">
        <v>82877</v>
      </c>
      <c r="H16468" s="3" t="s">
        <v>81975</v>
      </c>
      <c r="I16468" s="3" t="s">
        <v>82878</v>
      </c>
      <c r="J16468" s="3" t="s">
        <v>82961</v>
      </c>
      <c r="K16468" s="3" t="s">
        <v>82962</v>
      </c>
      <c r="L16468" s="3" t="s">
        <v>82963</v>
      </c>
      <c r="M16468" s="4"/>
      <c r="N16468" s="3" t="s">
        <v>37</v>
      </c>
      <c r="O16468" s="3" t="s">
        <v>52</v>
      </c>
      <c r="P16468" s="5">
        <v>37</v>
      </c>
      <c r="Q16468" s="5">
        <v>1036</v>
      </c>
      <c r="R16468" s="5">
        <v>35</v>
      </c>
      <c r="S16468" s="5">
        <v>994</v>
      </c>
    </row>
    <row r="16469" spans="1:19" ht="28" x14ac:dyDescent="0.15">
      <c r="A16469" s="2">
        <f>HYPERLINK("https://open-school.uspishnemisto.com.ua/school/800228/", 800228)</f>
        <v>800228</v>
      </c>
      <c r="B16469" s="3" t="s">
        <v>82964</v>
      </c>
      <c r="C16469" s="3" t="s">
        <v>244</v>
      </c>
      <c r="D16469" s="3" t="s">
        <v>32</v>
      </c>
      <c r="E16469" s="4" t="s">
        <v>22</v>
      </c>
      <c r="F16469" s="4" t="s">
        <v>82920</v>
      </c>
      <c r="G16469" s="4" t="s">
        <v>82877</v>
      </c>
      <c r="H16469" s="3" t="s">
        <v>81975</v>
      </c>
      <c r="I16469" s="3" t="s">
        <v>82878</v>
      </c>
      <c r="J16469" s="3" t="s">
        <v>82965</v>
      </c>
      <c r="K16469" s="3" t="s">
        <v>82966</v>
      </c>
      <c r="L16469" s="3" t="s">
        <v>82967</v>
      </c>
      <c r="M16469" s="4"/>
      <c r="N16469" s="3" t="s">
        <v>128</v>
      </c>
      <c r="O16469" s="3" t="s">
        <v>38</v>
      </c>
      <c r="P16469" s="5">
        <v>23</v>
      </c>
      <c r="Q16469" s="5">
        <v>561</v>
      </c>
      <c r="R16469" s="5">
        <v>22</v>
      </c>
      <c r="S16469" s="5">
        <v>560</v>
      </c>
    </row>
    <row r="16470" spans="1:19" ht="28" x14ac:dyDescent="0.15">
      <c r="A16470" s="2">
        <f>HYPERLINK("https://open-school.uspishnemisto.com.ua/school/800229/", 800229)</f>
        <v>800229</v>
      </c>
      <c r="B16470" s="3" t="s">
        <v>82968</v>
      </c>
      <c r="C16470" s="3" t="s">
        <v>244</v>
      </c>
      <c r="D16470" s="3" t="s">
        <v>32</v>
      </c>
      <c r="E16470" s="4" t="s">
        <v>22</v>
      </c>
      <c r="F16470" s="4" t="s">
        <v>82920</v>
      </c>
      <c r="G16470" s="4" t="s">
        <v>82877</v>
      </c>
      <c r="H16470" s="3" t="s">
        <v>81975</v>
      </c>
      <c r="I16470" s="3" t="s">
        <v>82878</v>
      </c>
      <c r="J16470" s="3" t="s">
        <v>82969</v>
      </c>
      <c r="K16470" s="3" t="s">
        <v>82970</v>
      </c>
      <c r="L16470" s="3" t="s">
        <v>82971</v>
      </c>
      <c r="M16470" s="4"/>
      <c r="N16470" s="3" t="s">
        <v>37</v>
      </c>
      <c r="O16470" s="3" t="s">
        <v>46</v>
      </c>
      <c r="P16470" s="5">
        <v>29</v>
      </c>
      <c r="Q16470" s="5">
        <v>923</v>
      </c>
      <c r="R16470" s="5">
        <v>28</v>
      </c>
      <c r="S16470" s="5">
        <v>910</v>
      </c>
    </row>
    <row r="16471" spans="1:19" ht="28" x14ac:dyDescent="0.15">
      <c r="A16471" s="2">
        <f>HYPERLINK("https://open-school.uspishnemisto.com.ua/school/800230/", 800230)</f>
        <v>800230</v>
      </c>
      <c r="B16471" s="3" t="s">
        <v>82972</v>
      </c>
      <c r="C16471" s="3" t="s">
        <v>244</v>
      </c>
      <c r="D16471" s="3" t="s">
        <v>32</v>
      </c>
      <c r="E16471" s="4" t="s">
        <v>22</v>
      </c>
      <c r="F16471" s="4" t="s">
        <v>82910</v>
      </c>
      <c r="G16471" s="4" t="s">
        <v>82877</v>
      </c>
      <c r="H16471" s="3" t="s">
        <v>81975</v>
      </c>
      <c r="I16471" s="3" t="s">
        <v>82878</v>
      </c>
      <c r="J16471" s="3" t="s">
        <v>82973</v>
      </c>
      <c r="K16471" s="3" t="s">
        <v>82974</v>
      </c>
      <c r="L16471" s="3" t="s">
        <v>82975</v>
      </c>
      <c r="M16471" s="4"/>
      <c r="N16471" s="3" t="s">
        <v>37</v>
      </c>
      <c r="O16471" s="3" t="s">
        <v>70</v>
      </c>
      <c r="P16471" s="5">
        <v>39</v>
      </c>
      <c r="Q16471" s="5">
        <v>1077</v>
      </c>
      <c r="R16471" s="5">
        <v>39</v>
      </c>
      <c r="S16471" s="5">
        <v>1071</v>
      </c>
    </row>
    <row r="16472" spans="1:19" ht="28" x14ac:dyDescent="0.15">
      <c r="A16472" s="2">
        <f>HYPERLINK("https://open-school.uspishnemisto.com.ua/school/800231/", 800231)</f>
        <v>800231</v>
      </c>
      <c r="B16472" s="3" t="s">
        <v>82976</v>
      </c>
      <c r="C16472" s="3" t="s">
        <v>244</v>
      </c>
      <c r="D16472" s="3" t="s">
        <v>32</v>
      </c>
      <c r="E16472" s="4" t="s">
        <v>22</v>
      </c>
      <c r="F16472" s="4" t="s">
        <v>82977</v>
      </c>
      <c r="G16472" s="4" t="s">
        <v>82877</v>
      </c>
      <c r="H16472" s="3" t="s">
        <v>81975</v>
      </c>
      <c r="I16472" s="3" t="s">
        <v>82878</v>
      </c>
      <c r="J16472" s="3" t="s">
        <v>82978</v>
      </c>
      <c r="K16472" s="3" t="s">
        <v>82979</v>
      </c>
      <c r="L16472" s="3" t="s">
        <v>82980</v>
      </c>
      <c r="M16472" s="4"/>
      <c r="N16472" s="3" t="s">
        <v>37</v>
      </c>
      <c r="O16472" s="3" t="s">
        <v>2740</v>
      </c>
      <c r="P16472" s="5">
        <v>26</v>
      </c>
      <c r="Q16472" s="5">
        <v>754</v>
      </c>
      <c r="R16472" s="5">
        <v>27</v>
      </c>
      <c r="S16472" s="5">
        <v>728</v>
      </c>
    </row>
    <row r="16473" spans="1:19" ht="28" x14ac:dyDescent="0.15">
      <c r="A16473" s="2">
        <f>HYPERLINK("https://open-school.uspishnemisto.com.ua/school/800232/", 800232)</f>
        <v>800232</v>
      </c>
      <c r="B16473" s="3" t="s">
        <v>82981</v>
      </c>
      <c r="C16473" s="3" t="s">
        <v>244</v>
      </c>
      <c r="D16473" s="3" t="s">
        <v>32</v>
      </c>
      <c r="E16473" s="4" t="s">
        <v>22</v>
      </c>
      <c r="F16473" s="4" t="s">
        <v>82910</v>
      </c>
      <c r="G16473" s="4" t="s">
        <v>82877</v>
      </c>
      <c r="H16473" s="3" t="s">
        <v>81975</v>
      </c>
      <c r="I16473" s="3" t="s">
        <v>82878</v>
      </c>
      <c r="J16473" s="3" t="s">
        <v>82982</v>
      </c>
      <c r="K16473" s="3" t="s">
        <v>82983</v>
      </c>
      <c r="L16473" s="3"/>
      <c r="M16473" s="4"/>
      <c r="N16473" s="3" t="s">
        <v>37</v>
      </c>
      <c r="O16473" s="3" t="s">
        <v>38629</v>
      </c>
      <c r="P16473" s="5">
        <v>30</v>
      </c>
      <c r="Q16473" s="5">
        <v>799</v>
      </c>
      <c r="R16473" s="5">
        <v>29</v>
      </c>
      <c r="S16473" s="5">
        <v>785</v>
      </c>
    </row>
    <row r="16474" spans="1:19" ht="28" x14ac:dyDescent="0.15">
      <c r="A16474" s="2">
        <f>HYPERLINK("https://open-school.uspishnemisto.com.ua/school/800233/", 800233)</f>
        <v>800233</v>
      </c>
      <c r="B16474" s="3" t="s">
        <v>82984</v>
      </c>
      <c r="C16474" s="3" t="s">
        <v>244</v>
      </c>
      <c r="D16474" s="3" t="s">
        <v>60</v>
      </c>
      <c r="E16474" s="4" t="s">
        <v>22</v>
      </c>
      <c r="F16474" s="4" t="s">
        <v>82893</v>
      </c>
      <c r="G16474" s="4" t="s">
        <v>82877</v>
      </c>
      <c r="H16474" s="3" t="s">
        <v>81975</v>
      </c>
      <c r="I16474" s="3" t="s">
        <v>82878</v>
      </c>
      <c r="J16474" s="3" t="s">
        <v>82985</v>
      </c>
      <c r="K16474" s="3" t="s">
        <v>82986</v>
      </c>
      <c r="L16474" s="3" t="s">
        <v>82987</v>
      </c>
      <c r="M16474" s="4"/>
      <c r="N16474" s="3" t="s">
        <v>37</v>
      </c>
      <c r="O16474" s="3" t="s">
        <v>52</v>
      </c>
      <c r="P16474" s="5">
        <v>12</v>
      </c>
      <c r="Q16474" s="5">
        <v>339</v>
      </c>
      <c r="R16474" s="5">
        <v>10</v>
      </c>
      <c r="S16474" s="5">
        <v>297</v>
      </c>
    </row>
    <row r="16475" spans="1:19" ht="28" x14ac:dyDescent="0.15">
      <c r="A16475" s="2">
        <f>HYPERLINK("https://open-school.uspishnemisto.com.ua/school/800234/", 800234)</f>
        <v>800234</v>
      </c>
      <c r="B16475" s="3" t="s">
        <v>82988</v>
      </c>
      <c r="C16475" s="3" t="s">
        <v>244</v>
      </c>
      <c r="D16475" s="3" t="s">
        <v>32</v>
      </c>
      <c r="E16475" s="4" t="s">
        <v>22</v>
      </c>
      <c r="F16475" s="4" t="s">
        <v>82989</v>
      </c>
      <c r="G16475" s="4" t="s">
        <v>82877</v>
      </c>
      <c r="H16475" s="3" t="s">
        <v>81975</v>
      </c>
      <c r="I16475" s="3" t="s">
        <v>82878</v>
      </c>
      <c r="J16475" s="3" t="s">
        <v>82990</v>
      </c>
      <c r="K16475" s="3" t="s">
        <v>82991</v>
      </c>
      <c r="L16475" s="3" t="s">
        <v>82992</v>
      </c>
      <c r="M16475" s="4"/>
      <c r="N16475" s="3" t="s">
        <v>37</v>
      </c>
      <c r="O16475" s="3" t="s">
        <v>266</v>
      </c>
      <c r="P16475" s="5">
        <v>34</v>
      </c>
      <c r="Q16475" s="5">
        <v>882</v>
      </c>
      <c r="R16475" s="5">
        <v>34</v>
      </c>
      <c r="S16475" s="5">
        <v>879</v>
      </c>
    </row>
    <row r="16476" spans="1:19" ht="28" x14ac:dyDescent="0.15">
      <c r="A16476" s="2">
        <f>HYPERLINK("https://open-school.uspishnemisto.com.ua/school/800235/", 800235)</f>
        <v>800235</v>
      </c>
      <c r="B16476" s="3" t="s">
        <v>82993</v>
      </c>
      <c r="C16476" s="3" t="s">
        <v>244</v>
      </c>
      <c r="D16476" s="3" t="s">
        <v>32</v>
      </c>
      <c r="E16476" s="4" t="s">
        <v>22</v>
      </c>
      <c r="F16476" s="4" t="s">
        <v>82893</v>
      </c>
      <c r="G16476" s="4" t="s">
        <v>82877</v>
      </c>
      <c r="H16476" s="3" t="s">
        <v>81975</v>
      </c>
      <c r="I16476" s="3" t="s">
        <v>82878</v>
      </c>
      <c r="J16476" s="3" t="s">
        <v>82994</v>
      </c>
      <c r="K16476" s="3" t="s">
        <v>82995</v>
      </c>
      <c r="L16476" s="3" t="s">
        <v>82996</v>
      </c>
      <c r="M16476" s="4"/>
      <c r="N16476" s="3" t="s">
        <v>37</v>
      </c>
      <c r="O16476" s="3" t="s">
        <v>46</v>
      </c>
      <c r="P16476" s="5">
        <v>23</v>
      </c>
      <c r="Q16476" s="5">
        <v>613</v>
      </c>
      <c r="R16476" s="5">
        <v>23</v>
      </c>
      <c r="S16476" s="5">
        <v>593</v>
      </c>
    </row>
    <row r="16477" spans="1:19" ht="28" x14ac:dyDescent="0.15">
      <c r="A16477" s="2">
        <f>HYPERLINK("https://open-school.uspishnemisto.com.ua/school/800236/", 800236)</f>
        <v>800236</v>
      </c>
      <c r="B16477" s="3" t="s">
        <v>82997</v>
      </c>
      <c r="C16477" s="3" t="s">
        <v>181</v>
      </c>
      <c r="D16477" s="3" t="s">
        <v>60</v>
      </c>
      <c r="E16477" s="4" t="s">
        <v>22</v>
      </c>
      <c r="F16477" s="4" t="s">
        <v>82759</v>
      </c>
      <c r="G16477" s="4" t="s">
        <v>82877</v>
      </c>
      <c r="H16477" s="3" t="s">
        <v>81975</v>
      </c>
      <c r="I16477" s="3" t="s">
        <v>82878</v>
      </c>
      <c r="J16477" s="3" t="s">
        <v>82998</v>
      </c>
      <c r="K16477" s="3" t="s">
        <v>82999</v>
      </c>
      <c r="L16477" s="3" t="s">
        <v>83000</v>
      </c>
      <c r="M16477" s="4"/>
      <c r="N16477" s="3" t="s">
        <v>37</v>
      </c>
      <c r="O16477" s="3" t="s">
        <v>52</v>
      </c>
      <c r="P16477" s="5">
        <v>9</v>
      </c>
      <c r="Q16477" s="5">
        <v>102</v>
      </c>
      <c r="R16477" s="5">
        <v>9</v>
      </c>
      <c r="S16477" s="5">
        <v>110</v>
      </c>
    </row>
    <row r="16478" spans="1:19" ht="28" x14ac:dyDescent="0.15">
      <c r="A16478" s="2">
        <f>HYPERLINK("https://open-school.uspishnemisto.com.ua/school/800237/", 800237)</f>
        <v>800237</v>
      </c>
      <c r="B16478" s="3" t="s">
        <v>83001</v>
      </c>
      <c r="C16478" s="3" t="s">
        <v>181</v>
      </c>
      <c r="D16478" s="3" t="s">
        <v>32</v>
      </c>
      <c r="E16478" s="4" t="s">
        <v>22</v>
      </c>
      <c r="F16478" s="4" t="s">
        <v>82759</v>
      </c>
      <c r="G16478" s="4" t="s">
        <v>82877</v>
      </c>
      <c r="H16478" s="3" t="s">
        <v>81975</v>
      </c>
      <c r="I16478" s="3" t="s">
        <v>82878</v>
      </c>
      <c r="J16478" s="3" t="s">
        <v>83002</v>
      </c>
      <c r="K16478" s="3" t="s">
        <v>83003</v>
      </c>
      <c r="L16478" s="3" t="s">
        <v>83004</v>
      </c>
      <c r="M16478" s="4"/>
      <c r="N16478" s="3" t="s">
        <v>37</v>
      </c>
      <c r="O16478" s="3" t="s">
        <v>52</v>
      </c>
      <c r="P16478" s="5">
        <v>26</v>
      </c>
      <c r="Q16478" s="5">
        <v>288</v>
      </c>
      <c r="R16478" s="5">
        <v>25</v>
      </c>
      <c r="S16478" s="5">
        <v>278</v>
      </c>
    </row>
    <row r="16479" spans="1:19" ht="28" x14ac:dyDescent="0.15">
      <c r="A16479" s="2">
        <f>HYPERLINK("https://open-school.uspishnemisto.com.ua/school/800238/", 800238)</f>
        <v>800238</v>
      </c>
      <c r="B16479" s="3" t="s">
        <v>83005</v>
      </c>
      <c r="C16479" s="3" t="s">
        <v>40</v>
      </c>
      <c r="D16479" s="3" t="s">
        <v>32</v>
      </c>
      <c r="E16479" s="4" t="s">
        <v>41</v>
      </c>
      <c r="F16479" s="4" t="s">
        <v>82925</v>
      </c>
      <c r="G16479" s="4" t="s">
        <v>82877</v>
      </c>
      <c r="H16479" s="3" t="s">
        <v>81975</v>
      </c>
      <c r="I16479" s="3" t="s">
        <v>82878</v>
      </c>
      <c r="J16479" s="3" t="s">
        <v>83006</v>
      </c>
      <c r="K16479" s="3" t="s">
        <v>83007</v>
      </c>
      <c r="L16479" s="3" t="s">
        <v>83008</v>
      </c>
      <c r="M16479" s="4"/>
      <c r="N16479" s="3" t="s">
        <v>37</v>
      </c>
      <c r="O16479" s="3" t="s">
        <v>515</v>
      </c>
      <c r="P16479" s="5">
        <v>10</v>
      </c>
      <c r="Q16479" s="5">
        <v>38</v>
      </c>
      <c r="R16479" s="5">
        <v>9</v>
      </c>
      <c r="S16479" s="5">
        <v>38</v>
      </c>
    </row>
    <row r="16480" spans="1:19" ht="42" x14ac:dyDescent="0.15">
      <c r="A16480" s="2">
        <f>HYPERLINK("https://open-school.uspishnemisto.com.ua/school/800239/", 800239)</f>
        <v>800239</v>
      </c>
      <c r="B16480" s="3" t="s">
        <v>83009</v>
      </c>
      <c r="C16480" s="3" t="s">
        <v>31</v>
      </c>
      <c r="D16480" s="3" t="s">
        <v>32</v>
      </c>
      <c r="E16480" s="4" t="s">
        <v>41</v>
      </c>
      <c r="F16480" s="4" t="s">
        <v>83010</v>
      </c>
      <c r="G16480" s="4" t="s">
        <v>82877</v>
      </c>
      <c r="H16480" s="3" t="s">
        <v>81975</v>
      </c>
      <c r="I16480" s="3" t="s">
        <v>82878</v>
      </c>
      <c r="J16480" s="3" t="s">
        <v>83011</v>
      </c>
      <c r="K16480" s="3"/>
      <c r="L16480" s="3" t="s">
        <v>83012</v>
      </c>
      <c r="M16480" s="4"/>
      <c r="N16480" s="3" t="s">
        <v>11497</v>
      </c>
      <c r="O16480" s="3" t="s">
        <v>721</v>
      </c>
      <c r="P16480" s="5">
        <v>44</v>
      </c>
      <c r="Q16480" s="5">
        <v>463</v>
      </c>
      <c r="R16480" s="5">
        <v>44</v>
      </c>
      <c r="S16480" s="5">
        <v>438</v>
      </c>
    </row>
    <row r="16481" spans="1:19" ht="28" x14ac:dyDescent="0.15">
      <c r="A16481" s="2">
        <f>HYPERLINK("https://open-school.uspishnemisto.com.ua/school/800240/", 800240)</f>
        <v>800240</v>
      </c>
      <c r="B16481" s="3" t="s">
        <v>83013</v>
      </c>
      <c r="C16481" s="3" t="s">
        <v>31</v>
      </c>
      <c r="D16481" s="3" t="s">
        <v>60</v>
      </c>
      <c r="E16481" s="4" t="s">
        <v>41</v>
      </c>
      <c r="F16481" s="4"/>
      <c r="G16481" s="4" t="s">
        <v>82877</v>
      </c>
      <c r="H16481" s="3" t="s">
        <v>81975</v>
      </c>
      <c r="I16481" s="3" t="s">
        <v>82878</v>
      </c>
      <c r="J16481" s="3" t="s">
        <v>83014</v>
      </c>
      <c r="K16481" s="3"/>
      <c r="L16481" s="3" t="s">
        <v>83015</v>
      </c>
      <c r="M16481" s="4"/>
      <c r="N16481" s="3" t="s">
        <v>37</v>
      </c>
      <c r="O16481" s="3" t="s">
        <v>52</v>
      </c>
      <c r="P16481" s="5">
        <v>4</v>
      </c>
      <c r="Q16481" s="5">
        <v>89</v>
      </c>
      <c r="R16481" s="5">
        <v>4</v>
      </c>
      <c r="S16481" s="5">
        <v>70</v>
      </c>
    </row>
    <row r="16482" spans="1:19" ht="28" x14ac:dyDescent="0.15">
      <c r="A16482" s="2">
        <f>HYPERLINK("https://open-school.uspishnemisto.com.ua/school/800241/", 800241)</f>
        <v>800241</v>
      </c>
      <c r="B16482" s="3" t="s">
        <v>83016</v>
      </c>
      <c r="C16482" s="3" t="s">
        <v>31</v>
      </c>
      <c r="D16482" s="3" t="s">
        <v>175</v>
      </c>
      <c r="E16482" s="4" t="s">
        <v>22</v>
      </c>
      <c r="F16482" s="4" t="s">
        <v>83017</v>
      </c>
      <c r="G16482" s="4" t="s">
        <v>82877</v>
      </c>
      <c r="H16482" s="3" t="s">
        <v>81975</v>
      </c>
      <c r="I16482" s="3" t="s">
        <v>82878</v>
      </c>
      <c r="J16482" s="3" t="s">
        <v>83018</v>
      </c>
      <c r="K16482" s="3" t="s">
        <v>83019</v>
      </c>
      <c r="L16482" s="3" t="s">
        <v>83020</v>
      </c>
      <c r="M16482" s="4"/>
      <c r="N16482" s="3" t="s">
        <v>37</v>
      </c>
      <c r="O16482" s="3" t="s">
        <v>46</v>
      </c>
      <c r="P16482" s="5">
        <v>9</v>
      </c>
      <c r="Q16482" s="5">
        <v>175</v>
      </c>
      <c r="R16482" s="5">
        <v>9</v>
      </c>
      <c r="S16482" s="5">
        <v>160</v>
      </c>
    </row>
    <row r="16483" spans="1:19" ht="28" x14ac:dyDescent="0.15">
      <c r="A16483" s="2">
        <f>HYPERLINK("https://open-school.uspishnemisto.com.ua/school/800242/", 800242)</f>
        <v>800242</v>
      </c>
      <c r="B16483" s="3" t="s">
        <v>83021</v>
      </c>
      <c r="C16483" s="3" t="s">
        <v>31</v>
      </c>
      <c r="D16483" s="3" t="s">
        <v>32</v>
      </c>
      <c r="E16483" s="4" t="s">
        <v>22</v>
      </c>
      <c r="F16483" s="4" t="s">
        <v>82759</v>
      </c>
      <c r="G16483" s="4" t="s">
        <v>82877</v>
      </c>
      <c r="H16483" s="3" t="s">
        <v>81975</v>
      </c>
      <c r="I16483" s="3" t="s">
        <v>82878</v>
      </c>
      <c r="J16483" s="3" t="s">
        <v>83022</v>
      </c>
      <c r="K16483" s="3" t="s">
        <v>83023</v>
      </c>
      <c r="L16483" s="3" t="s">
        <v>83024</v>
      </c>
      <c r="M16483" s="4"/>
      <c r="N16483" s="3" t="s">
        <v>37</v>
      </c>
      <c r="O16483" s="3" t="s">
        <v>52</v>
      </c>
      <c r="P16483" s="5">
        <v>33</v>
      </c>
      <c r="Q16483" s="5">
        <v>996</v>
      </c>
      <c r="R16483" s="5">
        <v>32</v>
      </c>
      <c r="S16483" s="5">
        <v>959</v>
      </c>
    </row>
    <row r="16484" spans="1:19" ht="28" x14ac:dyDescent="0.15">
      <c r="A16484" s="2">
        <f>HYPERLINK("https://open-school.uspishnemisto.com.ua/school/800243/", 800243)</f>
        <v>800243</v>
      </c>
      <c r="B16484" s="3" t="s">
        <v>83025</v>
      </c>
      <c r="C16484" s="3" t="s">
        <v>31</v>
      </c>
      <c r="D16484" s="3" t="s">
        <v>32</v>
      </c>
      <c r="E16484" s="4" t="s">
        <v>22</v>
      </c>
      <c r="F16484" s="4" t="s">
        <v>82989</v>
      </c>
      <c r="G16484" s="4" t="s">
        <v>82877</v>
      </c>
      <c r="H16484" s="3" t="s">
        <v>81975</v>
      </c>
      <c r="I16484" s="3" t="s">
        <v>82878</v>
      </c>
      <c r="J16484" s="3" t="s">
        <v>83026</v>
      </c>
      <c r="K16484" s="3" t="s">
        <v>83027</v>
      </c>
      <c r="L16484" s="3" t="s">
        <v>83028</v>
      </c>
      <c r="M16484" s="4"/>
      <c r="N16484" s="3" t="s">
        <v>37</v>
      </c>
      <c r="O16484" s="3" t="s">
        <v>8857</v>
      </c>
      <c r="P16484" s="5">
        <v>31</v>
      </c>
      <c r="Q16484" s="5">
        <v>561</v>
      </c>
      <c r="R16484" s="5">
        <v>29</v>
      </c>
      <c r="S16484" s="5">
        <v>566</v>
      </c>
    </row>
    <row r="16485" spans="1:19" ht="28" x14ac:dyDescent="0.15">
      <c r="A16485" s="2">
        <f>HYPERLINK("https://open-school.uspishnemisto.com.ua/school/800244/", 800244)</f>
        <v>800244</v>
      </c>
      <c r="B16485" s="3" t="s">
        <v>83029</v>
      </c>
      <c r="C16485" s="3" t="s">
        <v>31</v>
      </c>
      <c r="D16485" s="3" t="s">
        <v>32</v>
      </c>
      <c r="E16485" s="4" t="s">
        <v>22</v>
      </c>
      <c r="F16485" s="4" t="s">
        <v>82925</v>
      </c>
      <c r="G16485" s="4" t="s">
        <v>82877</v>
      </c>
      <c r="H16485" s="3" t="s">
        <v>81975</v>
      </c>
      <c r="I16485" s="3" t="s">
        <v>82878</v>
      </c>
      <c r="J16485" s="3" t="s">
        <v>83030</v>
      </c>
      <c r="K16485" s="3" t="s">
        <v>83031</v>
      </c>
      <c r="L16485" s="3" t="s">
        <v>83032</v>
      </c>
      <c r="M16485" s="4"/>
      <c r="N16485" s="3" t="s">
        <v>37</v>
      </c>
      <c r="O16485" s="3" t="s">
        <v>46</v>
      </c>
      <c r="P16485" s="5">
        <v>37</v>
      </c>
      <c r="Q16485" s="5">
        <v>1017</v>
      </c>
      <c r="R16485" s="5">
        <v>36</v>
      </c>
      <c r="S16485" s="5">
        <v>982</v>
      </c>
    </row>
    <row r="16486" spans="1:19" ht="28" x14ac:dyDescent="0.15">
      <c r="A16486" s="2">
        <f>HYPERLINK("https://open-school.uspishnemisto.com.ua/school/800245/", 800245)</f>
        <v>800245</v>
      </c>
      <c r="B16486" s="3" t="s">
        <v>83033</v>
      </c>
      <c r="C16486" s="3" t="s">
        <v>31</v>
      </c>
      <c r="D16486" s="3" t="s">
        <v>32</v>
      </c>
      <c r="E16486" s="4" t="s">
        <v>22</v>
      </c>
      <c r="F16486" s="4" t="s">
        <v>82920</v>
      </c>
      <c r="G16486" s="4" t="s">
        <v>82877</v>
      </c>
      <c r="H16486" s="3" t="s">
        <v>81975</v>
      </c>
      <c r="I16486" s="3" t="s">
        <v>82878</v>
      </c>
      <c r="J16486" s="3" t="s">
        <v>83034</v>
      </c>
      <c r="K16486" s="3" t="s">
        <v>83035</v>
      </c>
      <c r="L16486" s="3" t="s">
        <v>83036</v>
      </c>
      <c r="M16486" s="4"/>
      <c r="N16486" s="3" t="s">
        <v>37</v>
      </c>
      <c r="O16486" s="3" t="s">
        <v>721</v>
      </c>
      <c r="P16486" s="5">
        <v>29</v>
      </c>
      <c r="Q16486" s="5">
        <v>799</v>
      </c>
      <c r="R16486" s="5">
        <v>29</v>
      </c>
      <c r="S16486" s="5">
        <v>763</v>
      </c>
    </row>
    <row r="16487" spans="1:19" ht="28" x14ac:dyDescent="0.15">
      <c r="A16487" s="2">
        <f>HYPERLINK("https://open-school.uspishnemisto.com.ua/school/800246/", 800246)</f>
        <v>800246</v>
      </c>
      <c r="B16487" s="3" t="s">
        <v>83037</v>
      </c>
      <c r="C16487" s="3" t="s">
        <v>31</v>
      </c>
      <c r="D16487" s="3" t="s">
        <v>32</v>
      </c>
      <c r="E16487" s="4" t="s">
        <v>22</v>
      </c>
      <c r="F16487" s="4" t="s">
        <v>82910</v>
      </c>
      <c r="G16487" s="4" t="s">
        <v>82877</v>
      </c>
      <c r="H16487" s="3" t="s">
        <v>81975</v>
      </c>
      <c r="I16487" s="3" t="s">
        <v>82878</v>
      </c>
      <c r="J16487" s="3" t="s">
        <v>83038</v>
      </c>
      <c r="K16487" s="3" t="s">
        <v>83039</v>
      </c>
      <c r="L16487" s="3" t="s">
        <v>83040</v>
      </c>
      <c r="M16487" s="4"/>
      <c r="N16487" s="3" t="s">
        <v>37</v>
      </c>
      <c r="O16487" s="3" t="s">
        <v>23940</v>
      </c>
      <c r="P16487" s="5">
        <v>34</v>
      </c>
      <c r="Q16487" s="5">
        <v>876</v>
      </c>
      <c r="R16487" s="5">
        <v>32</v>
      </c>
      <c r="S16487" s="5">
        <v>884</v>
      </c>
    </row>
    <row r="16488" spans="1:19" ht="28" x14ac:dyDescent="0.15">
      <c r="A16488" s="2">
        <f>HYPERLINK("https://open-school.uspishnemisto.com.ua/school/800247/", 800247)</f>
        <v>800247</v>
      </c>
      <c r="B16488" s="3" t="s">
        <v>83041</v>
      </c>
      <c r="C16488" s="3" t="s">
        <v>31</v>
      </c>
      <c r="D16488" s="3" t="s">
        <v>32</v>
      </c>
      <c r="E16488" s="4" t="s">
        <v>22</v>
      </c>
      <c r="F16488" s="4" t="s">
        <v>82893</v>
      </c>
      <c r="G16488" s="4" t="s">
        <v>82877</v>
      </c>
      <c r="H16488" s="3" t="s">
        <v>81975</v>
      </c>
      <c r="I16488" s="3" t="s">
        <v>82878</v>
      </c>
      <c r="J16488" s="3" t="s">
        <v>83042</v>
      </c>
      <c r="K16488" s="3" t="s">
        <v>83043</v>
      </c>
      <c r="L16488" s="3" t="s">
        <v>83044</v>
      </c>
      <c r="M16488" s="4"/>
      <c r="N16488" s="3" t="s">
        <v>37</v>
      </c>
      <c r="O16488" s="3" t="s">
        <v>46</v>
      </c>
      <c r="P16488" s="5">
        <v>33</v>
      </c>
      <c r="Q16488" s="5">
        <v>900</v>
      </c>
      <c r="R16488" s="5">
        <v>33</v>
      </c>
      <c r="S16488" s="5">
        <v>898</v>
      </c>
    </row>
    <row r="16489" spans="1:19" ht="28" x14ac:dyDescent="0.15">
      <c r="A16489" s="2">
        <f>HYPERLINK("https://open-school.uspishnemisto.com.ua/school/800248/", 800248)</f>
        <v>800248</v>
      </c>
      <c r="B16489" s="3" t="s">
        <v>83045</v>
      </c>
      <c r="C16489" s="3" t="s">
        <v>31</v>
      </c>
      <c r="D16489" s="3" t="s">
        <v>32</v>
      </c>
      <c r="E16489" s="4" t="s">
        <v>22</v>
      </c>
      <c r="F16489" s="4" t="s">
        <v>82905</v>
      </c>
      <c r="G16489" s="4" t="s">
        <v>82877</v>
      </c>
      <c r="H16489" s="3" t="s">
        <v>81975</v>
      </c>
      <c r="I16489" s="3" t="s">
        <v>82878</v>
      </c>
      <c r="J16489" s="3" t="s">
        <v>83046</v>
      </c>
      <c r="K16489" s="3" t="s">
        <v>83047</v>
      </c>
      <c r="L16489" s="3" t="s">
        <v>83048</v>
      </c>
      <c r="M16489" s="4"/>
      <c r="N16489" s="3" t="s">
        <v>37</v>
      </c>
      <c r="O16489" s="3" t="s">
        <v>38</v>
      </c>
      <c r="P16489" s="5">
        <v>24</v>
      </c>
      <c r="Q16489" s="5">
        <v>493</v>
      </c>
      <c r="R16489" s="5">
        <v>23</v>
      </c>
      <c r="S16489" s="5">
        <v>457</v>
      </c>
    </row>
    <row r="16490" spans="1:19" ht="28" x14ac:dyDescent="0.15">
      <c r="A16490" s="2">
        <f>HYPERLINK("https://open-school.uspishnemisto.com.ua/school/800249/", 800249)</f>
        <v>800249</v>
      </c>
      <c r="B16490" s="3" t="s">
        <v>83049</v>
      </c>
      <c r="C16490" s="3" t="s">
        <v>31</v>
      </c>
      <c r="D16490" s="3" t="s">
        <v>32</v>
      </c>
      <c r="E16490" s="4" t="s">
        <v>22</v>
      </c>
      <c r="F16490" s="4" t="s">
        <v>82977</v>
      </c>
      <c r="G16490" s="4" t="s">
        <v>82877</v>
      </c>
      <c r="H16490" s="3" t="s">
        <v>81975</v>
      </c>
      <c r="I16490" s="3" t="s">
        <v>82878</v>
      </c>
      <c r="J16490" s="3" t="s">
        <v>83050</v>
      </c>
      <c r="K16490" s="3" t="s">
        <v>83051</v>
      </c>
      <c r="L16490" s="3" t="s">
        <v>83052</v>
      </c>
      <c r="M16490" s="4"/>
      <c r="N16490" s="3" t="s">
        <v>37</v>
      </c>
      <c r="O16490" s="3" t="s">
        <v>46</v>
      </c>
      <c r="P16490" s="5">
        <v>18</v>
      </c>
      <c r="Q16490" s="5">
        <v>501</v>
      </c>
      <c r="R16490" s="5">
        <v>18</v>
      </c>
      <c r="S16490" s="5">
        <v>466</v>
      </c>
    </row>
    <row r="16491" spans="1:19" ht="28" x14ac:dyDescent="0.15">
      <c r="A16491" s="2">
        <f>HYPERLINK("https://open-school.uspishnemisto.com.ua/school/800250/", 800250)</f>
        <v>800250</v>
      </c>
      <c r="B16491" s="3" t="s">
        <v>83053</v>
      </c>
      <c r="C16491" s="3" t="s">
        <v>31</v>
      </c>
      <c r="D16491" s="3" t="s">
        <v>32</v>
      </c>
      <c r="E16491" s="4" t="s">
        <v>22</v>
      </c>
      <c r="F16491" s="4" t="s">
        <v>82920</v>
      </c>
      <c r="G16491" s="4" t="s">
        <v>82877</v>
      </c>
      <c r="H16491" s="3" t="s">
        <v>81975</v>
      </c>
      <c r="I16491" s="3" t="s">
        <v>82878</v>
      </c>
      <c r="J16491" s="3" t="s">
        <v>82965</v>
      </c>
      <c r="K16491" s="3" t="s">
        <v>83054</v>
      </c>
      <c r="L16491" s="3" t="s">
        <v>83055</v>
      </c>
      <c r="M16491" s="4"/>
      <c r="N16491" s="3" t="s">
        <v>37</v>
      </c>
      <c r="O16491" s="3" t="s">
        <v>38</v>
      </c>
      <c r="P16491" s="5">
        <v>25</v>
      </c>
      <c r="Q16491" s="5">
        <v>568</v>
      </c>
      <c r="R16491" s="5">
        <v>23</v>
      </c>
      <c r="S16491" s="5">
        <v>539</v>
      </c>
    </row>
    <row r="16492" spans="1:19" ht="28" x14ac:dyDescent="0.15">
      <c r="A16492" s="2">
        <f>HYPERLINK("https://open-school.uspishnemisto.com.ua/school/800251/", 800251)</f>
        <v>800251</v>
      </c>
      <c r="B16492" s="3" t="s">
        <v>83056</v>
      </c>
      <c r="C16492" s="3" t="s">
        <v>31</v>
      </c>
      <c r="D16492" s="3" t="s">
        <v>32</v>
      </c>
      <c r="E16492" s="4" t="s">
        <v>22</v>
      </c>
      <c r="F16492" s="4" t="s">
        <v>82925</v>
      </c>
      <c r="G16492" s="4" t="s">
        <v>82877</v>
      </c>
      <c r="H16492" s="3" t="s">
        <v>81975</v>
      </c>
      <c r="I16492" s="3" t="s">
        <v>82878</v>
      </c>
      <c r="J16492" s="3" t="s">
        <v>83057</v>
      </c>
      <c r="K16492" s="3" t="s">
        <v>83058</v>
      </c>
      <c r="L16492" s="3" t="s">
        <v>83059</v>
      </c>
      <c r="M16492" s="4"/>
      <c r="N16492" s="3" t="s">
        <v>37</v>
      </c>
      <c r="O16492" s="3" t="s">
        <v>70</v>
      </c>
      <c r="P16492" s="5">
        <v>21</v>
      </c>
      <c r="Q16492" s="5">
        <v>507</v>
      </c>
      <c r="R16492" s="5">
        <v>20</v>
      </c>
      <c r="S16492" s="5">
        <v>515</v>
      </c>
    </row>
    <row r="16493" spans="1:19" ht="28" x14ac:dyDescent="0.15">
      <c r="A16493" s="2">
        <f>HYPERLINK("https://open-school.uspishnemisto.com.ua/school/800252/", 800252)</f>
        <v>800252</v>
      </c>
      <c r="B16493" s="3" t="s">
        <v>83060</v>
      </c>
      <c r="C16493" s="3" t="s">
        <v>31</v>
      </c>
      <c r="D16493" s="3" t="s">
        <v>32</v>
      </c>
      <c r="E16493" s="4" t="s">
        <v>22</v>
      </c>
      <c r="F16493" s="4" t="s">
        <v>82989</v>
      </c>
      <c r="G16493" s="4" t="s">
        <v>82877</v>
      </c>
      <c r="H16493" s="3" t="s">
        <v>81975</v>
      </c>
      <c r="I16493" s="3" t="s">
        <v>82878</v>
      </c>
      <c r="J16493" s="3" t="s">
        <v>83061</v>
      </c>
      <c r="K16493" s="3" t="s">
        <v>83062</v>
      </c>
      <c r="L16493" s="3" t="s">
        <v>83063</v>
      </c>
      <c r="M16493" s="4"/>
      <c r="N16493" s="3" t="s">
        <v>37</v>
      </c>
      <c r="O16493" s="3" t="s">
        <v>38</v>
      </c>
      <c r="P16493" s="5">
        <v>22</v>
      </c>
      <c r="Q16493" s="5">
        <v>545</v>
      </c>
      <c r="R16493" s="5">
        <v>21</v>
      </c>
      <c r="S16493" s="5">
        <v>512</v>
      </c>
    </row>
    <row r="16494" spans="1:19" ht="28" x14ac:dyDescent="0.15">
      <c r="A16494" s="2">
        <f>HYPERLINK("https://open-school.uspishnemisto.com.ua/school/800253/", 800253)</f>
        <v>800253</v>
      </c>
      <c r="B16494" s="3" t="s">
        <v>83064</v>
      </c>
      <c r="C16494" s="3" t="s">
        <v>31</v>
      </c>
      <c r="D16494" s="3" t="s">
        <v>32</v>
      </c>
      <c r="E16494" s="4" t="s">
        <v>22</v>
      </c>
      <c r="F16494" s="4" t="s">
        <v>83065</v>
      </c>
      <c r="G16494" s="4" t="s">
        <v>82877</v>
      </c>
      <c r="H16494" s="3" t="s">
        <v>81975</v>
      </c>
      <c r="I16494" s="3" t="s">
        <v>82878</v>
      </c>
      <c r="J16494" s="3" t="s">
        <v>83066</v>
      </c>
      <c r="K16494" s="3" t="s">
        <v>83067</v>
      </c>
      <c r="L16494" s="3" t="s">
        <v>83068</v>
      </c>
      <c r="M16494" s="4"/>
      <c r="N16494" s="3" t="s">
        <v>37</v>
      </c>
      <c r="O16494" s="3" t="s">
        <v>2740</v>
      </c>
      <c r="P16494" s="5">
        <v>37</v>
      </c>
      <c r="Q16494" s="5">
        <v>964</v>
      </c>
      <c r="R16494" s="5">
        <v>35</v>
      </c>
      <c r="S16494" s="5">
        <v>927</v>
      </c>
    </row>
    <row r="16495" spans="1:19" ht="28" x14ac:dyDescent="0.15">
      <c r="A16495" s="2">
        <f>HYPERLINK("https://open-school.uspishnemisto.com.ua/school/800254/", 800254)</f>
        <v>800254</v>
      </c>
      <c r="B16495" s="3" t="s">
        <v>83069</v>
      </c>
      <c r="C16495" s="3" t="s">
        <v>31</v>
      </c>
      <c r="D16495" s="3" t="s">
        <v>32</v>
      </c>
      <c r="E16495" s="4" t="s">
        <v>22</v>
      </c>
      <c r="F16495" s="4" t="s">
        <v>83065</v>
      </c>
      <c r="G16495" s="4" t="s">
        <v>82877</v>
      </c>
      <c r="H16495" s="3" t="s">
        <v>81975</v>
      </c>
      <c r="I16495" s="3" t="s">
        <v>82878</v>
      </c>
      <c r="J16495" s="3" t="s">
        <v>83070</v>
      </c>
      <c r="K16495" s="3" t="s">
        <v>83071</v>
      </c>
      <c r="L16495" s="3" t="s">
        <v>83072</v>
      </c>
      <c r="M16495" s="4"/>
      <c r="N16495" s="3" t="s">
        <v>37</v>
      </c>
      <c r="O16495" s="3" t="s">
        <v>52</v>
      </c>
      <c r="P16495" s="5">
        <v>32</v>
      </c>
      <c r="Q16495" s="5">
        <v>891</v>
      </c>
      <c r="R16495" s="5">
        <v>31</v>
      </c>
      <c r="S16495" s="5">
        <v>864</v>
      </c>
    </row>
    <row r="16496" spans="1:19" ht="28" x14ac:dyDescent="0.15">
      <c r="A16496" s="2">
        <f>HYPERLINK("https://open-school.uspishnemisto.com.ua/school/800255/", 800255)</f>
        <v>800255</v>
      </c>
      <c r="B16496" s="3" t="s">
        <v>83073</v>
      </c>
      <c r="C16496" s="3" t="s">
        <v>31</v>
      </c>
      <c r="D16496" s="3" t="s">
        <v>32</v>
      </c>
      <c r="E16496" s="4" t="s">
        <v>22</v>
      </c>
      <c r="F16496" s="4" t="s">
        <v>82915</v>
      </c>
      <c r="G16496" s="4" t="s">
        <v>82877</v>
      </c>
      <c r="H16496" s="3" t="s">
        <v>81975</v>
      </c>
      <c r="I16496" s="3" t="s">
        <v>82878</v>
      </c>
      <c r="J16496" s="3" t="s">
        <v>83074</v>
      </c>
      <c r="K16496" s="3" t="s">
        <v>83075</v>
      </c>
      <c r="L16496" s="3" t="s">
        <v>83076</v>
      </c>
      <c r="M16496" s="4"/>
      <c r="N16496" s="3" t="s">
        <v>37</v>
      </c>
      <c r="O16496" s="3" t="s">
        <v>38</v>
      </c>
      <c r="P16496" s="5">
        <v>42</v>
      </c>
      <c r="Q16496" s="5">
        <v>1272</v>
      </c>
      <c r="R16496" s="5">
        <v>41</v>
      </c>
      <c r="S16496" s="5">
        <v>1217</v>
      </c>
    </row>
    <row r="16497" spans="1:19" ht="28" x14ac:dyDescent="0.15">
      <c r="A16497" s="2">
        <f>HYPERLINK("https://open-school.uspishnemisto.com.ua/school/800256/", 800256)</f>
        <v>800256</v>
      </c>
      <c r="B16497" s="3" t="s">
        <v>83077</v>
      </c>
      <c r="C16497" s="3" t="s">
        <v>31</v>
      </c>
      <c r="D16497" s="3" t="s">
        <v>32</v>
      </c>
      <c r="E16497" s="4" t="s">
        <v>22</v>
      </c>
      <c r="F16497" s="4" t="s">
        <v>83065</v>
      </c>
      <c r="G16497" s="4" t="s">
        <v>82877</v>
      </c>
      <c r="H16497" s="3" t="s">
        <v>81975</v>
      </c>
      <c r="I16497" s="3" t="s">
        <v>82878</v>
      </c>
      <c r="J16497" s="3" t="s">
        <v>83078</v>
      </c>
      <c r="K16497" s="3" t="s">
        <v>83079</v>
      </c>
      <c r="L16497" s="3" t="s">
        <v>83080</v>
      </c>
      <c r="M16497" s="4"/>
      <c r="N16497" s="3" t="s">
        <v>37</v>
      </c>
      <c r="O16497" s="3" t="s">
        <v>237</v>
      </c>
      <c r="P16497" s="5">
        <v>37</v>
      </c>
      <c r="Q16497" s="5">
        <v>1158</v>
      </c>
      <c r="R16497" s="5">
        <v>37</v>
      </c>
      <c r="S16497" s="5">
        <v>1090</v>
      </c>
    </row>
    <row r="16498" spans="1:19" ht="28" x14ac:dyDescent="0.15">
      <c r="A16498" s="2">
        <f>HYPERLINK("https://open-school.uspishnemisto.com.ua/school/800257/", 800257)</f>
        <v>800257</v>
      </c>
      <c r="B16498" s="3" t="s">
        <v>83081</v>
      </c>
      <c r="C16498" s="3" t="s">
        <v>31</v>
      </c>
      <c r="D16498" s="3" t="s">
        <v>21</v>
      </c>
      <c r="E16498" s="4" t="s">
        <v>22</v>
      </c>
      <c r="F16498" s="4" t="s">
        <v>82893</v>
      </c>
      <c r="G16498" s="4" t="s">
        <v>82877</v>
      </c>
      <c r="H16498" s="3" t="s">
        <v>81975</v>
      </c>
      <c r="I16498" s="3" t="s">
        <v>82878</v>
      </c>
      <c r="J16498" s="3" t="s">
        <v>83082</v>
      </c>
      <c r="K16498" s="3" t="s">
        <v>83083</v>
      </c>
      <c r="L16498" s="3" t="s">
        <v>83084</v>
      </c>
      <c r="M16498" s="4"/>
      <c r="N16498" s="3" t="s">
        <v>37</v>
      </c>
      <c r="O16498" s="3" t="s">
        <v>38</v>
      </c>
      <c r="P16498" s="5">
        <v>35</v>
      </c>
      <c r="Q16498" s="5">
        <v>714</v>
      </c>
      <c r="R16498" s="5">
        <v>31</v>
      </c>
      <c r="S16498" s="5">
        <v>635</v>
      </c>
    </row>
    <row r="16499" spans="1:19" ht="28" x14ac:dyDescent="0.15">
      <c r="A16499" s="2">
        <f>HYPERLINK("https://open-school.uspishnemisto.com.ua/school/800258/", 800258)</f>
        <v>800258</v>
      </c>
      <c r="B16499" s="3" t="s">
        <v>83085</v>
      </c>
      <c r="C16499" s="3" t="s">
        <v>54</v>
      </c>
      <c r="D16499" s="3" t="s">
        <v>60</v>
      </c>
      <c r="E16499" s="4" t="s">
        <v>22</v>
      </c>
      <c r="F16499" s="4" t="s">
        <v>82910</v>
      </c>
      <c r="G16499" s="4" t="s">
        <v>82877</v>
      </c>
      <c r="H16499" s="3" t="s">
        <v>81975</v>
      </c>
      <c r="I16499" s="3" t="s">
        <v>82878</v>
      </c>
      <c r="J16499" s="3" t="s">
        <v>83086</v>
      </c>
      <c r="K16499" s="3" t="s">
        <v>83087</v>
      </c>
      <c r="L16499" s="3"/>
      <c r="M16499" s="4"/>
      <c r="N16499" s="3" t="s">
        <v>37</v>
      </c>
      <c r="O16499" s="3" t="s">
        <v>52</v>
      </c>
      <c r="P16499" s="5">
        <v>5</v>
      </c>
      <c r="Q16499" s="5">
        <v>114</v>
      </c>
      <c r="R16499" s="5">
        <v>5</v>
      </c>
      <c r="S16499" s="5">
        <v>116</v>
      </c>
    </row>
    <row r="16500" spans="1:19" ht="28" x14ac:dyDescent="0.15">
      <c r="A16500" s="2">
        <f>HYPERLINK("https://open-school.uspishnemisto.com.ua/school/800259/", 800259)</f>
        <v>800259</v>
      </c>
      <c r="B16500" s="3" t="s">
        <v>83088</v>
      </c>
      <c r="C16500" s="3" t="s">
        <v>54</v>
      </c>
      <c r="D16500" s="3" t="s">
        <v>60</v>
      </c>
      <c r="E16500" s="4" t="s">
        <v>22</v>
      </c>
      <c r="F16500" s="4" t="s">
        <v>82925</v>
      </c>
      <c r="G16500" s="4" t="s">
        <v>82877</v>
      </c>
      <c r="H16500" s="3" t="s">
        <v>81975</v>
      </c>
      <c r="I16500" s="3" t="s">
        <v>82878</v>
      </c>
      <c r="J16500" s="3" t="s">
        <v>83089</v>
      </c>
      <c r="K16500" s="3" t="s">
        <v>83090</v>
      </c>
      <c r="L16500" s="3"/>
      <c r="M16500" s="4"/>
      <c r="N16500" s="3" t="s">
        <v>37</v>
      </c>
      <c r="O16500" s="3" t="s">
        <v>139</v>
      </c>
      <c r="P16500" s="5">
        <v>8</v>
      </c>
      <c r="Q16500" s="5">
        <v>190</v>
      </c>
      <c r="R16500" s="5">
        <v>7</v>
      </c>
      <c r="S16500" s="5">
        <v>169</v>
      </c>
    </row>
    <row r="16501" spans="1:19" ht="28" x14ac:dyDescent="0.15">
      <c r="A16501" s="2">
        <f>HYPERLINK("https://open-school.uspishnemisto.com.ua/school/800478/", 800478)</f>
        <v>800478</v>
      </c>
      <c r="B16501" s="3" t="s">
        <v>83091</v>
      </c>
      <c r="C16501" s="3" t="s">
        <v>31</v>
      </c>
      <c r="D16501" s="3" t="s">
        <v>32</v>
      </c>
      <c r="E16501" s="4" t="s">
        <v>41</v>
      </c>
      <c r="F16501" s="4"/>
      <c r="G16501" s="4" t="s">
        <v>82877</v>
      </c>
      <c r="H16501" s="3" t="s">
        <v>81975</v>
      </c>
      <c r="I16501" s="3" t="s">
        <v>82878</v>
      </c>
      <c r="J16501" s="3" t="s">
        <v>83092</v>
      </c>
      <c r="K16501" s="3" t="s">
        <v>83093</v>
      </c>
      <c r="L16501" s="3" t="s">
        <v>83094</v>
      </c>
      <c r="M16501" s="4"/>
      <c r="N16501" s="3" t="s">
        <v>37</v>
      </c>
      <c r="O16501" s="3" t="s">
        <v>23638</v>
      </c>
      <c r="P16501" s="5">
        <v>11</v>
      </c>
      <c r="Q16501" s="5">
        <v>153</v>
      </c>
      <c r="R16501" s="5">
        <v>12</v>
      </c>
      <c r="S16501" s="5">
        <v>157</v>
      </c>
    </row>
    <row r="16502" spans="1:19" ht="28" x14ac:dyDescent="0.15">
      <c r="A16502" s="2">
        <f>HYPERLINK("https://open-school.uspishnemisto.com.ua/school/800260/", 800260)</f>
        <v>800260</v>
      </c>
      <c r="B16502" s="3" t="s">
        <v>83095</v>
      </c>
      <c r="C16502" s="3" t="s">
        <v>20</v>
      </c>
      <c r="D16502" s="3" t="s">
        <v>82385</v>
      </c>
      <c r="E16502" s="4" t="s">
        <v>22</v>
      </c>
      <c r="F16502" s="4" t="s">
        <v>83096</v>
      </c>
      <c r="G16502" s="4" t="s">
        <v>83097</v>
      </c>
      <c r="H16502" s="3" t="s">
        <v>81975</v>
      </c>
      <c r="I16502" s="3" t="s">
        <v>83098</v>
      </c>
      <c r="J16502" s="3" t="s">
        <v>83099</v>
      </c>
      <c r="K16502" s="3" t="s">
        <v>83100</v>
      </c>
      <c r="L16502" s="3" t="s">
        <v>83101</v>
      </c>
      <c r="M16502" s="4"/>
      <c r="N16502" s="3"/>
      <c r="O16502" s="3"/>
      <c r="P16502" s="5">
        <v>0</v>
      </c>
      <c r="Q16502" s="5">
        <v>0</v>
      </c>
      <c r="R16502" s="5"/>
      <c r="S16502" s="5"/>
    </row>
    <row r="16503" spans="1:19" ht="42" x14ac:dyDescent="0.15">
      <c r="A16503" s="2">
        <f>HYPERLINK("https://open-school.uspishnemisto.com.ua/school/800261/", 800261)</f>
        <v>800261</v>
      </c>
      <c r="B16503" s="3" t="s">
        <v>83102</v>
      </c>
      <c r="C16503" s="3" t="s">
        <v>40</v>
      </c>
      <c r="D16503" s="3" t="s">
        <v>32</v>
      </c>
      <c r="E16503" s="4" t="s">
        <v>22</v>
      </c>
      <c r="F16503" s="4" t="s">
        <v>83103</v>
      </c>
      <c r="G16503" s="4" t="s">
        <v>83097</v>
      </c>
      <c r="H16503" s="3" t="s">
        <v>81975</v>
      </c>
      <c r="I16503" s="3" t="s">
        <v>83098</v>
      </c>
      <c r="J16503" s="3" t="s">
        <v>83104</v>
      </c>
      <c r="K16503" s="3" t="s">
        <v>83105</v>
      </c>
      <c r="L16503" s="3" t="s">
        <v>83106</v>
      </c>
      <c r="M16503" s="4"/>
      <c r="N16503" s="3" t="s">
        <v>37</v>
      </c>
      <c r="O16503" s="3" t="s">
        <v>83107</v>
      </c>
      <c r="P16503" s="5">
        <v>21</v>
      </c>
      <c r="Q16503" s="5">
        <v>483</v>
      </c>
      <c r="R16503" s="5">
        <v>21</v>
      </c>
      <c r="S16503" s="5">
        <v>452</v>
      </c>
    </row>
    <row r="16504" spans="1:19" ht="28" x14ac:dyDescent="0.15">
      <c r="A16504" s="2">
        <f>HYPERLINK("https://open-school.uspishnemisto.com.ua/school/800262/", 800262)</f>
        <v>800262</v>
      </c>
      <c r="B16504" s="3" t="s">
        <v>83108</v>
      </c>
      <c r="C16504" s="3" t="s">
        <v>40</v>
      </c>
      <c r="D16504" s="3" t="s">
        <v>32</v>
      </c>
      <c r="E16504" s="4" t="s">
        <v>22</v>
      </c>
      <c r="F16504" s="4" t="s">
        <v>83109</v>
      </c>
      <c r="G16504" s="4" t="s">
        <v>83097</v>
      </c>
      <c r="H16504" s="3" t="s">
        <v>81975</v>
      </c>
      <c r="I16504" s="3" t="s">
        <v>83098</v>
      </c>
      <c r="J16504" s="3" t="s">
        <v>83110</v>
      </c>
      <c r="K16504" s="3" t="s">
        <v>83111</v>
      </c>
      <c r="L16504" s="3" t="s">
        <v>83112</v>
      </c>
      <c r="M16504" s="4"/>
      <c r="N16504" s="3" t="s">
        <v>37</v>
      </c>
      <c r="O16504" s="3" t="s">
        <v>123</v>
      </c>
      <c r="P16504" s="5">
        <v>31</v>
      </c>
      <c r="Q16504" s="5">
        <v>720</v>
      </c>
      <c r="R16504" s="5">
        <v>31</v>
      </c>
      <c r="S16504" s="5">
        <v>750</v>
      </c>
    </row>
    <row r="16505" spans="1:19" ht="28" x14ac:dyDescent="0.15">
      <c r="A16505" s="2">
        <f>HYPERLINK("https://open-school.uspishnemisto.com.ua/school/800263/", 800263)</f>
        <v>800263</v>
      </c>
      <c r="B16505" s="3" t="s">
        <v>83113</v>
      </c>
      <c r="C16505" s="3" t="s">
        <v>40</v>
      </c>
      <c r="D16505" s="3" t="s">
        <v>32</v>
      </c>
      <c r="E16505" s="4" t="s">
        <v>22</v>
      </c>
      <c r="F16505" s="4" t="s">
        <v>83103</v>
      </c>
      <c r="G16505" s="4" t="s">
        <v>83097</v>
      </c>
      <c r="H16505" s="3" t="s">
        <v>81975</v>
      </c>
      <c r="I16505" s="3" t="s">
        <v>83098</v>
      </c>
      <c r="J16505" s="3" t="s">
        <v>83114</v>
      </c>
      <c r="K16505" s="3" t="s">
        <v>83115</v>
      </c>
      <c r="L16505" s="3" t="s">
        <v>83116</v>
      </c>
      <c r="M16505" s="4"/>
      <c r="N16505" s="3" t="s">
        <v>37</v>
      </c>
      <c r="O16505" s="3" t="s">
        <v>8542</v>
      </c>
      <c r="P16505" s="5">
        <v>21</v>
      </c>
      <c r="Q16505" s="5">
        <v>554</v>
      </c>
      <c r="R16505" s="5">
        <v>22</v>
      </c>
      <c r="S16505" s="5">
        <v>569</v>
      </c>
    </row>
    <row r="16506" spans="1:19" ht="28" x14ac:dyDescent="0.15">
      <c r="A16506" s="2">
        <f>HYPERLINK("https://open-school.uspishnemisto.com.ua/school/800264/", 800264)</f>
        <v>800264</v>
      </c>
      <c r="B16506" s="3" t="s">
        <v>83117</v>
      </c>
      <c r="C16506" s="3" t="s">
        <v>40</v>
      </c>
      <c r="D16506" s="3" t="s">
        <v>32</v>
      </c>
      <c r="E16506" s="4" t="s">
        <v>22</v>
      </c>
      <c r="F16506" s="4" t="s">
        <v>82061</v>
      </c>
      <c r="G16506" s="4" t="s">
        <v>83097</v>
      </c>
      <c r="H16506" s="3" t="s">
        <v>81975</v>
      </c>
      <c r="I16506" s="3" t="s">
        <v>83098</v>
      </c>
      <c r="J16506" s="3" t="s">
        <v>83118</v>
      </c>
      <c r="K16506" s="3" t="s">
        <v>83119</v>
      </c>
      <c r="L16506" s="3" t="s">
        <v>83120</v>
      </c>
      <c r="M16506" s="4"/>
      <c r="N16506" s="3" t="s">
        <v>37</v>
      </c>
      <c r="O16506" s="3" t="s">
        <v>8542</v>
      </c>
      <c r="P16506" s="5">
        <v>26</v>
      </c>
      <c r="Q16506" s="5">
        <v>635</v>
      </c>
      <c r="R16506" s="5">
        <v>26</v>
      </c>
      <c r="S16506" s="5">
        <v>626</v>
      </c>
    </row>
    <row r="16507" spans="1:19" ht="42" x14ac:dyDescent="0.15">
      <c r="A16507" s="2">
        <f>HYPERLINK("https://open-school.uspishnemisto.com.ua/school/800265/", 800265)</f>
        <v>800265</v>
      </c>
      <c r="B16507" s="3" t="s">
        <v>83121</v>
      </c>
      <c r="C16507" s="3" t="s">
        <v>244</v>
      </c>
      <c r="D16507" s="3" t="s">
        <v>32</v>
      </c>
      <c r="E16507" s="4" t="s">
        <v>41</v>
      </c>
      <c r="F16507" s="4"/>
      <c r="G16507" s="4" t="s">
        <v>83097</v>
      </c>
      <c r="H16507" s="3" t="s">
        <v>81975</v>
      </c>
      <c r="I16507" s="3" t="s">
        <v>83098</v>
      </c>
      <c r="J16507" s="3" t="s">
        <v>83122</v>
      </c>
      <c r="K16507" s="3" t="s">
        <v>83123</v>
      </c>
      <c r="L16507" s="3" t="s">
        <v>82219</v>
      </c>
      <c r="M16507" s="4"/>
      <c r="N16507" s="3" t="s">
        <v>37</v>
      </c>
      <c r="O16507" s="3" t="s">
        <v>46</v>
      </c>
      <c r="P16507" s="5">
        <v>13</v>
      </c>
      <c r="Q16507" s="5">
        <v>185</v>
      </c>
      <c r="R16507" s="5">
        <v>12</v>
      </c>
      <c r="S16507" s="5">
        <v>158</v>
      </c>
    </row>
    <row r="16508" spans="1:19" ht="28" x14ac:dyDescent="0.15">
      <c r="A16508" s="2">
        <f>HYPERLINK("https://open-school.uspishnemisto.com.ua/school/800266/", 800266)</f>
        <v>800266</v>
      </c>
      <c r="B16508" s="3" t="s">
        <v>83124</v>
      </c>
      <c r="C16508" s="3" t="s">
        <v>31</v>
      </c>
      <c r="D16508" s="3" t="s">
        <v>32</v>
      </c>
      <c r="E16508" s="4" t="s">
        <v>253</v>
      </c>
      <c r="F16508" s="4"/>
      <c r="G16508" s="4" t="s">
        <v>83097</v>
      </c>
      <c r="H16508" s="3" t="s">
        <v>81975</v>
      </c>
      <c r="I16508" s="3" t="s">
        <v>83098</v>
      </c>
      <c r="J16508" s="3" t="s">
        <v>83125</v>
      </c>
      <c r="K16508" s="3"/>
      <c r="L16508" s="3" t="s">
        <v>83126</v>
      </c>
      <c r="M16508" s="4" t="s">
        <v>83127</v>
      </c>
      <c r="N16508" s="3" t="s">
        <v>37</v>
      </c>
      <c r="O16508" s="3" t="s">
        <v>123</v>
      </c>
      <c r="P16508" s="5">
        <v>331</v>
      </c>
      <c r="Q16508" s="5">
        <v>2898</v>
      </c>
      <c r="R16508" s="5">
        <v>327</v>
      </c>
      <c r="S16508" s="5">
        <v>2892</v>
      </c>
    </row>
    <row r="16509" spans="1:19" ht="28" x14ac:dyDescent="0.15">
      <c r="A16509" s="2">
        <f>HYPERLINK("https://open-school.uspishnemisto.com.ua/school/800267/", 800267)</f>
        <v>800267</v>
      </c>
      <c r="B16509" s="3" t="s">
        <v>83128</v>
      </c>
      <c r="C16509" s="3" t="s">
        <v>188</v>
      </c>
      <c r="D16509" s="3" t="s">
        <v>32</v>
      </c>
      <c r="E16509" s="4" t="s">
        <v>22</v>
      </c>
      <c r="F16509" s="4" t="s">
        <v>83129</v>
      </c>
      <c r="G16509" s="4" t="s">
        <v>83097</v>
      </c>
      <c r="H16509" s="3" t="s">
        <v>81975</v>
      </c>
      <c r="I16509" s="3" t="s">
        <v>83098</v>
      </c>
      <c r="J16509" s="3" t="s">
        <v>83130</v>
      </c>
      <c r="K16509" s="3" t="s">
        <v>83131</v>
      </c>
      <c r="L16509" s="3" t="s">
        <v>83132</v>
      </c>
      <c r="M16509" s="4"/>
      <c r="N16509" s="3" t="s">
        <v>37</v>
      </c>
      <c r="O16509" s="3" t="s">
        <v>46</v>
      </c>
      <c r="P16509" s="5">
        <v>38</v>
      </c>
      <c r="Q16509" s="5">
        <v>1138</v>
      </c>
      <c r="R16509" s="5">
        <v>39</v>
      </c>
      <c r="S16509" s="5">
        <v>1146</v>
      </c>
    </row>
    <row r="16510" spans="1:19" ht="28" x14ac:dyDescent="0.15">
      <c r="A16510" s="2">
        <f>HYPERLINK("https://open-school.uspishnemisto.com.ua/school/800268/", 800268)</f>
        <v>800268</v>
      </c>
      <c r="B16510" s="3" t="s">
        <v>83133</v>
      </c>
      <c r="C16510" s="3" t="s">
        <v>188</v>
      </c>
      <c r="D16510" s="3" t="s">
        <v>32</v>
      </c>
      <c r="E16510" s="4" t="s">
        <v>253</v>
      </c>
      <c r="F16510" s="4"/>
      <c r="G16510" s="4" t="s">
        <v>83097</v>
      </c>
      <c r="H16510" s="3" t="s">
        <v>81975</v>
      </c>
      <c r="I16510" s="3" t="s">
        <v>83098</v>
      </c>
      <c r="J16510" s="3" t="s">
        <v>83134</v>
      </c>
      <c r="K16510" s="3"/>
      <c r="L16510" s="3" t="s">
        <v>83135</v>
      </c>
      <c r="M16510" s="4" t="s">
        <v>83136</v>
      </c>
      <c r="N16510" s="3" t="s">
        <v>37</v>
      </c>
      <c r="O16510" s="3" t="s">
        <v>52</v>
      </c>
      <c r="P16510" s="5">
        <v>32</v>
      </c>
      <c r="Q16510" s="5">
        <v>849</v>
      </c>
      <c r="R16510" s="5">
        <v>32</v>
      </c>
      <c r="S16510" s="5">
        <v>830</v>
      </c>
    </row>
    <row r="16511" spans="1:19" ht="28" x14ac:dyDescent="0.15">
      <c r="A16511" s="2">
        <f>HYPERLINK("https://open-school.uspishnemisto.com.ua/school/800269/", 800269)</f>
        <v>800269</v>
      </c>
      <c r="B16511" s="3" t="s">
        <v>83137</v>
      </c>
      <c r="C16511" s="3" t="s">
        <v>188</v>
      </c>
      <c r="D16511" s="3" t="s">
        <v>32</v>
      </c>
      <c r="E16511" s="4" t="s">
        <v>22</v>
      </c>
      <c r="F16511" s="4" t="s">
        <v>83103</v>
      </c>
      <c r="G16511" s="4" t="s">
        <v>83097</v>
      </c>
      <c r="H16511" s="3" t="s">
        <v>81975</v>
      </c>
      <c r="I16511" s="3" t="s">
        <v>83098</v>
      </c>
      <c r="J16511" s="3" t="s">
        <v>83138</v>
      </c>
      <c r="K16511" s="3" t="s">
        <v>83139</v>
      </c>
      <c r="L16511" s="3" t="s">
        <v>83140</v>
      </c>
      <c r="M16511" s="4"/>
      <c r="N16511" s="3" t="s">
        <v>37</v>
      </c>
      <c r="O16511" s="3" t="s">
        <v>123</v>
      </c>
      <c r="P16511" s="5">
        <v>22</v>
      </c>
      <c r="Q16511" s="5">
        <v>679</v>
      </c>
      <c r="R16511" s="5">
        <v>22</v>
      </c>
      <c r="S16511" s="5">
        <v>706</v>
      </c>
    </row>
    <row r="16512" spans="1:19" ht="28" x14ac:dyDescent="0.15">
      <c r="A16512" s="2">
        <f>HYPERLINK("https://open-school.uspishnemisto.com.ua/school/800270/", 800270)</f>
        <v>800270</v>
      </c>
      <c r="B16512" s="3" t="s">
        <v>83141</v>
      </c>
      <c r="C16512" s="3" t="s">
        <v>188</v>
      </c>
      <c r="D16512" s="3" t="s">
        <v>32</v>
      </c>
      <c r="E16512" s="4" t="s">
        <v>22</v>
      </c>
      <c r="F16512" s="4" t="s">
        <v>83142</v>
      </c>
      <c r="G16512" s="4" t="s">
        <v>83097</v>
      </c>
      <c r="H16512" s="3" t="s">
        <v>81975</v>
      </c>
      <c r="I16512" s="3" t="s">
        <v>83098</v>
      </c>
      <c r="J16512" s="3" t="s">
        <v>83143</v>
      </c>
      <c r="K16512" s="3" t="s">
        <v>83144</v>
      </c>
      <c r="L16512" s="3" t="s">
        <v>83145</v>
      </c>
      <c r="M16512" s="4"/>
      <c r="N16512" s="3" t="s">
        <v>37</v>
      </c>
      <c r="O16512" s="3" t="s">
        <v>38</v>
      </c>
      <c r="P16512" s="5">
        <v>19</v>
      </c>
      <c r="Q16512" s="5">
        <v>392</v>
      </c>
      <c r="R16512" s="5">
        <v>18</v>
      </c>
      <c r="S16512" s="5">
        <v>372</v>
      </c>
    </row>
    <row r="16513" spans="1:19" ht="28" x14ac:dyDescent="0.15">
      <c r="A16513" s="2">
        <f>HYPERLINK("https://open-school.uspishnemisto.com.ua/school/800271/", 800271)</f>
        <v>800271</v>
      </c>
      <c r="B16513" s="3" t="s">
        <v>83146</v>
      </c>
      <c r="C16513" s="3" t="s">
        <v>188</v>
      </c>
      <c r="D16513" s="3" t="s">
        <v>32</v>
      </c>
      <c r="E16513" s="4" t="s">
        <v>22</v>
      </c>
      <c r="F16513" s="4" t="s">
        <v>83103</v>
      </c>
      <c r="G16513" s="4" t="s">
        <v>83097</v>
      </c>
      <c r="H16513" s="3" t="s">
        <v>81975</v>
      </c>
      <c r="I16513" s="3" t="s">
        <v>83098</v>
      </c>
      <c r="J16513" s="3" t="s">
        <v>83147</v>
      </c>
      <c r="K16513" s="3" t="s">
        <v>83148</v>
      </c>
      <c r="L16513" s="3" t="s">
        <v>83149</v>
      </c>
      <c r="M16513" s="4"/>
      <c r="N16513" s="3" t="s">
        <v>37</v>
      </c>
      <c r="O16513" s="3" t="s">
        <v>123</v>
      </c>
      <c r="P16513" s="5">
        <v>31</v>
      </c>
      <c r="Q16513" s="5">
        <v>810</v>
      </c>
      <c r="R16513" s="5">
        <v>30</v>
      </c>
      <c r="S16513" s="5">
        <v>797</v>
      </c>
    </row>
    <row r="16514" spans="1:19" ht="28" x14ac:dyDescent="0.15">
      <c r="A16514" s="2">
        <f>HYPERLINK("https://open-school.uspishnemisto.com.ua/school/800272/", 800272)</f>
        <v>800272</v>
      </c>
      <c r="B16514" s="3" t="s">
        <v>83150</v>
      </c>
      <c r="C16514" s="3" t="s">
        <v>40</v>
      </c>
      <c r="D16514" s="3" t="s">
        <v>32</v>
      </c>
      <c r="E16514" s="4" t="s">
        <v>22</v>
      </c>
      <c r="F16514" s="4" t="s">
        <v>83151</v>
      </c>
      <c r="G16514" s="4" t="s">
        <v>83097</v>
      </c>
      <c r="H16514" s="3" t="s">
        <v>81975</v>
      </c>
      <c r="I16514" s="3" t="s">
        <v>83098</v>
      </c>
      <c r="J16514" s="3" t="s">
        <v>83152</v>
      </c>
      <c r="K16514" s="3" t="s">
        <v>83153</v>
      </c>
      <c r="L16514" s="3"/>
      <c r="M16514" s="4"/>
      <c r="N16514" s="3" t="s">
        <v>37</v>
      </c>
      <c r="O16514" s="3" t="s">
        <v>23638</v>
      </c>
      <c r="P16514" s="5">
        <v>18</v>
      </c>
      <c r="Q16514" s="5">
        <v>379</v>
      </c>
      <c r="R16514" s="5">
        <v>18</v>
      </c>
      <c r="S16514" s="5">
        <v>379</v>
      </c>
    </row>
    <row r="16515" spans="1:19" ht="28" x14ac:dyDescent="0.15">
      <c r="A16515" s="2">
        <f>HYPERLINK("https://open-school.uspishnemisto.com.ua/school/800273/", 800273)</f>
        <v>800273</v>
      </c>
      <c r="B16515" s="3" t="s">
        <v>83154</v>
      </c>
      <c r="C16515" s="3" t="s">
        <v>40</v>
      </c>
      <c r="D16515" s="3" t="s">
        <v>32</v>
      </c>
      <c r="E16515" s="4" t="s">
        <v>22</v>
      </c>
      <c r="F16515" s="4" t="s">
        <v>82061</v>
      </c>
      <c r="G16515" s="4" t="s">
        <v>83097</v>
      </c>
      <c r="H16515" s="3" t="s">
        <v>81975</v>
      </c>
      <c r="I16515" s="3" t="s">
        <v>83098</v>
      </c>
      <c r="J16515" s="3" t="s">
        <v>83155</v>
      </c>
      <c r="K16515" s="3" t="s">
        <v>83156</v>
      </c>
      <c r="L16515" s="3" t="s">
        <v>83157</v>
      </c>
      <c r="M16515" s="4"/>
      <c r="N16515" s="3" t="s">
        <v>37</v>
      </c>
      <c r="O16515" s="3" t="s">
        <v>8542</v>
      </c>
      <c r="P16515" s="5">
        <v>11</v>
      </c>
      <c r="Q16515" s="5">
        <v>333</v>
      </c>
      <c r="R16515" s="5">
        <v>11</v>
      </c>
      <c r="S16515" s="5">
        <v>323</v>
      </c>
    </row>
    <row r="16516" spans="1:19" ht="28" x14ac:dyDescent="0.15">
      <c r="A16516" s="2">
        <f>HYPERLINK("https://open-school.uspishnemisto.com.ua/school/800274/", 800274)</f>
        <v>800274</v>
      </c>
      <c r="B16516" s="3" t="s">
        <v>83158</v>
      </c>
      <c r="C16516" s="3" t="s">
        <v>188</v>
      </c>
      <c r="D16516" s="3" t="s">
        <v>32</v>
      </c>
      <c r="E16516" s="4" t="s">
        <v>22</v>
      </c>
      <c r="F16516" s="4" t="s">
        <v>82004</v>
      </c>
      <c r="G16516" s="4" t="s">
        <v>83097</v>
      </c>
      <c r="H16516" s="3" t="s">
        <v>81975</v>
      </c>
      <c r="I16516" s="3" t="s">
        <v>83098</v>
      </c>
      <c r="J16516" s="3" t="s">
        <v>83159</v>
      </c>
      <c r="K16516" s="3" t="s">
        <v>83160</v>
      </c>
      <c r="L16516" s="3" t="s">
        <v>83161</v>
      </c>
      <c r="M16516" s="4" t="s">
        <v>83162</v>
      </c>
      <c r="N16516" s="3" t="s">
        <v>37</v>
      </c>
      <c r="O16516" s="3" t="s">
        <v>52</v>
      </c>
      <c r="P16516" s="5">
        <v>14</v>
      </c>
      <c r="Q16516" s="5">
        <v>402</v>
      </c>
      <c r="R16516" s="5">
        <v>13</v>
      </c>
      <c r="S16516" s="5">
        <v>380</v>
      </c>
    </row>
    <row r="16517" spans="1:19" ht="28" x14ac:dyDescent="0.15">
      <c r="A16517" s="2">
        <f>HYPERLINK("https://open-school.uspishnemisto.com.ua/school/800275/", 800275)</f>
        <v>800275</v>
      </c>
      <c r="B16517" s="3" t="s">
        <v>83163</v>
      </c>
      <c r="C16517" s="3" t="s">
        <v>244</v>
      </c>
      <c r="D16517" s="3" t="s">
        <v>32</v>
      </c>
      <c r="E16517" s="4" t="s">
        <v>22</v>
      </c>
      <c r="F16517" s="4" t="s">
        <v>83164</v>
      </c>
      <c r="G16517" s="4" t="s">
        <v>83097</v>
      </c>
      <c r="H16517" s="3" t="s">
        <v>81975</v>
      </c>
      <c r="I16517" s="3" t="s">
        <v>83098</v>
      </c>
      <c r="J16517" s="3" t="s">
        <v>83165</v>
      </c>
      <c r="K16517" s="3" t="s">
        <v>83166</v>
      </c>
      <c r="L16517" s="3" t="s">
        <v>83167</v>
      </c>
      <c r="M16517" s="4"/>
      <c r="N16517" s="3" t="s">
        <v>37</v>
      </c>
      <c r="O16517" s="3" t="s">
        <v>46</v>
      </c>
      <c r="P16517" s="5">
        <v>21</v>
      </c>
      <c r="Q16517" s="5">
        <v>500</v>
      </c>
      <c r="R16517" s="5">
        <v>19</v>
      </c>
      <c r="S16517" s="5">
        <v>424</v>
      </c>
    </row>
    <row r="16518" spans="1:19" ht="42" x14ac:dyDescent="0.15">
      <c r="A16518" s="2">
        <f>HYPERLINK("https://open-school.uspishnemisto.com.ua/school/800276/", 800276)</f>
        <v>800276</v>
      </c>
      <c r="B16518" s="3" t="s">
        <v>83168</v>
      </c>
      <c r="C16518" s="3" t="s">
        <v>244</v>
      </c>
      <c r="D16518" s="3" t="s">
        <v>32</v>
      </c>
      <c r="E16518" s="4" t="s">
        <v>22</v>
      </c>
      <c r="F16518" s="4" t="s">
        <v>83164</v>
      </c>
      <c r="G16518" s="4" t="s">
        <v>83097</v>
      </c>
      <c r="H16518" s="3" t="s">
        <v>81975</v>
      </c>
      <c r="I16518" s="3" t="s">
        <v>83098</v>
      </c>
      <c r="J16518" s="3" t="s">
        <v>83169</v>
      </c>
      <c r="K16518" s="3" t="s">
        <v>83170</v>
      </c>
      <c r="L16518" s="3" t="s">
        <v>83171</v>
      </c>
      <c r="M16518" s="4"/>
      <c r="N16518" s="3" t="s">
        <v>37</v>
      </c>
      <c r="O16518" s="3" t="s">
        <v>46</v>
      </c>
      <c r="P16518" s="5">
        <v>30</v>
      </c>
      <c r="Q16518" s="5">
        <v>797</v>
      </c>
      <c r="R16518" s="5">
        <v>29</v>
      </c>
      <c r="S16518" s="5">
        <v>726</v>
      </c>
    </row>
    <row r="16519" spans="1:19" ht="28" x14ac:dyDescent="0.15">
      <c r="A16519" s="2">
        <f>HYPERLINK("https://open-school.uspishnemisto.com.ua/school/800277/", 800277)</f>
        <v>800277</v>
      </c>
      <c r="B16519" s="3" t="s">
        <v>83172</v>
      </c>
      <c r="C16519" s="3" t="s">
        <v>244</v>
      </c>
      <c r="D16519" s="3" t="s">
        <v>32</v>
      </c>
      <c r="E16519" s="4" t="s">
        <v>22</v>
      </c>
      <c r="F16519" s="4" t="s">
        <v>83173</v>
      </c>
      <c r="G16519" s="4" t="s">
        <v>83097</v>
      </c>
      <c r="H16519" s="3" t="s">
        <v>81975</v>
      </c>
      <c r="I16519" s="3" t="s">
        <v>83098</v>
      </c>
      <c r="J16519" s="3" t="s">
        <v>83174</v>
      </c>
      <c r="K16519" s="3" t="s">
        <v>83175</v>
      </c>
      <c r="L16519" s="3" t="s">
        <v>83176</v>
      </c>
      <c r="M16519" s="4"/>
      <c r="N16519" s="3" t="s">
        <v>37</v>
      </c>
      <c r="O16519" s="3" t="s">
        <v>197</v>
      </c>
      <c r="P16519" s="5">
        <v>22</v>
      </c>
      <c r="Q16519" s="5">
        <v>531</v>
      </c>
      <c r="R16519" s="5">
        <v>22</v>
      </c>
      <c r="S16519" s="5">
        <v>535</v>
      </c>
    </row>
    <row r="16520" spans="1:19" ht="28" x14ac:dyDescent="0.15">
      <c r="A16520" s="2">
        <f>HYPERLINK("https://open-school.uspishnemisto.com.ua/school/800278/", 800278)</f>
        <v>800278</v>
      </c>
      <c r="B16520" s="3" t="s">
        <v>83177</v>
      </c>
      <c r="C16520" s="3" t="s">
        <v>244</v>
      </c>
      <c r="D16520" s="3" t="s">
        <v>32</v>
      </c>
      <c r="E16520" s="4" t="s">
        <v>22</v>
      </c>
      <c r="F16520" s="4" t="s">
        <v>83096</v>
      </c>
      <c r="G16520" s="4" t="s">
        <v>83097</v>
      </c>
      <c r="H16520" s="3" t="s">
        <v>81975</v>
      </c>
      <c r="I16520" s="3" t="s">
        <v>83098</v>
      </c>
      <c r="J16520" s="3" t="s">
        <v>83099</v>
      </c>
      <c r="K16520" s="3" t="s">
        <v>83178</v>
      </c>
      <c r="L16520" s="3" t="s">
        <v>83179</v>
      </c>
      <c r="M16520" s="4"/>
      <c r="N16520" s="3" t="s">
        <v>128</v>
      </c>
      <c r="O16520" s="3" t="s">
        <v>70</v>
      </c>
      <c r="P16520" s="5">
        <v>24</v>
      </c>
      <c r="Q16520" s="5">
        <v>637</v>
      </c>
      <c r="R16520" s="5">
        <v>23</v>
      </c>
      <c r="S16520" s="5">
        <v>622</v>
      </c>
    </row>
    <row r="16521" spans="1:19" ht="28" x14ac:dyDescent="0.15">
      <c r="A16521" s="2">
        <f>HYPERLINK("https://open-school.uspishnemisto.com.ua/school/800279/", 800279)</f>
        <v>800279</v>
      </c>
      <c r="B16521" s="3" t="s">
        <v>83180</v>
      </c>
      <c r="C16521" s="3" t="s">
        <v>244</v>
      </c>
      <c r="D16521" s="3" t="s">
        <v>32</v>
      </c>
      <c r="E16521" s="4" t="s">
        <v>22</v>
      </c>
      <c r="F16521" s="4" t="s">
        <v>83109</v>
      </c>
      <c r="G16521" s="4" t="s">
        <v>83097</v>
      </c>
      <c r="H16521" s="3" t="s">
        <v>81975</v>
      </c>
      <c r="I16521" s="3" t="s">
        <v>83098</v>
      </c>
      <c r="J16521" s="3" t="s">
        <v>83181</v>
      </c>
      <c r="K16521" s="3" t="s">
        <v>83182</v>
      </c>
      <c r="L16521" s="3" t="s">
        <v>83183</v>
      </c>
      <c r="M16521" s="4"/>
      <c r="N16521" s="3" t="s">
        <v>37</v>
      </c>
      <c r="O16521" s="3" t="s">
        <v>123</v>
      </c>
      <c r="P16521" s="5">
        <v>40</v>
      </c>
      <c r="Q16521" s="5">
        <v>1202</v>
      </c>
      <c r="R16521" s="5">
        <v>39</v>
      </c>
      <c r="S16521" s="5">
        <v>1182</v>
      </c>
    </row>
    <row r="16522" spans="1:19" ht="28" x14ac:dyDescent="0.15">
      <c r="A16522" s="2">
        <f>HYPERLINK("https://open-school.uspishnemisto.com.ua/school/800280/", 800280)</f>
        <v>800280</v>
      </c>
      <c r="B16522" s="3" t="s">
        <v>83184</v>
      </c>
      <c r="C16522" s="3" t="s">
        <v>244</v>
      </c>
      <c r="D16522" s="3" t="s">
        <v>32</v>
      </c>
      <c r="E16522" s="4" t="s">
        <v>22</v>
      </c>
      <c r="F16522" s="4" t="s">
        <v>83185</v>
      </c>
      <c r="G16522" s="4" t="s">
        <v>83097</v>
      </c>
      <c r="H16522" s="3" t="s">
        <v>81975</v>
      </c>
      <c r="I16522" s="3" t="s">
        <v>83098</v>
      </c>
      <c r="J16522" s="3" t="s">
        <v>83186</v>
      </c>
      <c r="K16522" s="3" t="s">
        <v>83187</v>
      </c>
      <c r="L16522" s="3" t="s">
        <v>83188</v>
      </c>
      <c r="M16522" s="4"/>
      <c r="N16522" s="3" t="s">
        <v>37</v>
      </c>
      <c r="O16522" s="3" t="s">
        <v>16120</v>
      </c>
      <c r="P16522" s="5">
        <v>16</v>
      </c>
      <c r="Q16522" s="5">
        <v>344</v>
      </c>
      <c r="R16522" s="5">
        <v>16</v>
      </c>
      <c r="S16522" s="5">
        <v>356</v>
      </c>
    </row>
    <row r="16523" spans="1:19" ht="28" x14ac:dyDescent="0.15">
      <c r="A16523" s="2">
        <f>HYPERLINK("https://open-school.uspishnemisto.com.ua/school/800281/", 800281)</f>
        <v>800281</v>
      </c>
      <c r="B16523" s="3" t="s">
        <v>83189</v>
      </c>
      <c r="C16523" s="3" t="s">
        <v>54</v>
      </c>
      <c r="D16523" s="3" t="s">
        <v>32</v>
      </c>
      <c r="E16523" s="4" t="s">
        <v>41</v>
      </c>
      <c r="F16523" s="4"/>
      <c r="G16523" s="4" t="s">
        <v>83097</v>
      </c>
      <c r="H16523" s="3" t="s">
        <v>81975</v>
      </c>
      <c r="I16523" s="3" t="s">
        <v>83098</v>
      </c>
      <c r="J16523" s="3" t="s">
        <v>83190</v>
      </c>
      <c r="K16523" s="3"/>
      <c r="L16523" s="3" t="s">
        <v>83191</v>
      </c>
      <c r="M16523" s="4"/>
      <c r="N16523" s="3" t="s">
        <v>37</v>
      </c>
      <c r="O16523" s="3" t="s">
        <v>83192</v>
      </c>
      <c r="P16523" s="5">
        <v>22</v>
      </c>
      <c r="Q16523" s="5">
        <v>427</v>
      </c>
      <c r="R16523" s="5">
        <v>22</v>
      </c>
      <c r="S16523" s="5">
        <v>426</v>
      </c>
    </row>
    <row r="16524" spans="1:19" ht="28" x14ac:dyDescent="0.15">
      <c r="A16524" s="2">
        <f>HYPERLINK("https://open-school.uspishnemisto.com.ua/school/800282/", 800282)</f>
        <v>800282</v>
      </c>
      <c r="B16524" s="3" t="s">
        <v>83193</v>
      </c>
      <c r="C16524" s="3" t="s">
        <v>40</v>
      </c>
      <c r="D16524" s="3" t="s">
        <v>32</v>
      </c>
      <c r="E16524" s="4" t="s">
        <v>41</v>
      </c>
      <c r="F16524" s="4" t="s">
        <v>83151</v>
      </c>
      <c r="G16524" s="4" t="s">
        <v>83097</v>
      </c>
      <c r="H16524" s="3" t="s">
        <v>81975</v>
      </c>
      <c r="I16524" s="3" t="s">
        <v>83098</v>
      </c>
      <c r="J16524" s="3" t="s">
        <v>83194</v>
      </c>
      <c r="K16524" s="3" t="s">
        <v>83195</v>
      </c>
      <c r="L16524" s="3" t="s">
        <v>83196</v>
      </c>
      <c r="M16524" s="4"/>
      <c r="N16524" s="3" t="s">
        <v>37</v>
      </c>
      <c r="O16524" s="3" t="s">
        <v>70</v>
      </c>
      <c r="P16524" s="5">
        <v>11</v>
      </c>
      <c r="Q16524" s="5">
        <v>185</v>
      </c>
      <c r="R16524" s="5">
        <v>12</v>
      </c>
      <c r="S16524" s="5">
        <v>180</v>
      </c>
    </row>
    <row r="16525" spans="1:19" ht="28" x14ac:dyDescent="0.15">
      <c r="A16525" s="2">
        <f>HYPERLINK("https://open-school.uspishnemisto.com.ua/school/800283/", 800283)</f>
        <v>800283</v>
      </c>
      <c r="B16525" s="3" t="s">
        <v>83197</v>
      </c>
      <c r="C16525" s="3" t="s">
        <v>188</v>
      </c>
      <c r="D16525" s="3" t="s">
        <v>32</v>
      </c>
      <c r="E16525" s="4" t="s">
        <v>22</v>
      </c>
      <c r="F16525" s="4" t="s">
        <v>83103</v>
      </c>
      <c r="G16525" s="4" t="s">
        <v>83097</v>
      </c>
      <c r="H16525" s="3" t="s">
        <v>81975</v>
      </c>
      <c r="I16525" s="3" t="s">
        <v>83098</v>
      </c>
      <c r="J16525" s="3" t="s">
        <v>83198</v>
      </c>
      <c r="K16525" s="3" t="s">
        <v>83199</v>
      </c>
      <c r="L16525" s="3" t="s">
        <v>83200</v>
      </c>
      <c r="M16525" s="4"/>
      <c r="N16525" s="3" t="s">
        <v>37</v>
      </c>
      <c r="O16525" s="3" t="s">
        <v>83201</v>
      </c>
      <c r="P16525" s="5">
        <v>12</v>
      </c>
      <c r="Q16525" s="5">
        <v>331</v>
      </c>
      <c r="R16525" s="5">
        <v>12</v>
      </c>
      <c r="S16525" s="5">
        <v>348</v>
      </c>
    </row>
    <row r="16526" spans="1:19" ht="28" x14ac:dyDescent="0.15">
      <c r="A16526" s="2">
        <f>HYPERLINK("https://open-school.uspishnemisto.com.ua/school/800284/", 800284)</f>
        <v>800284</v>
      </c>
      <c r="B16526" s="3" t="s">
        <v>83202</v>
      </c>
      <c r="C16526" s="3" t="s">
        <v>31</v>
      </c>
      <c r="D16526" s="3" t="s">
        <v>32</v>
      </c>
      <c r="E16526" s="4" t="s">
        <v>22</v>
      </c>
      <c r="F16526" s="4" t="s">
        <v>83096</v>
      </c>
      <c r="G16526" s="4" t="s">
        <v>83097</v>
      </c>
      <c r="H16526" s="3" t="s">
        <v>81975</v>
      </c>
      <c r="I16526" s="3" t="s">
        <v>83098</v>
      </c>
      <c r="J16526" s="3" t="s">
        <v>83203</v>
      </c>
      <c r="K16526" s="3" t="s">
        <v>83204</v>
      </c>
      <c r="L16526" s="3" t="s">
        <v>83205</v>
      </c>
      <c r="M16526" s="4"/>
      <c r="N16526" s="3" t="s">
        <v>37</v>
      </c>
      <c r="O16526" s="3" t="s">
        <v>46</v>
      </c>
      <c r="P16526" s="5">
        <v>22</v>
      </c>
      <c r="Q16526" s="5">
        <v>554</v>
      </c>
      <c r="R16526" s="5">
        <v>22</v>
      </c>
      <c r="S16526" s="5">
        <v>550</v>
      </c>
    </row>
    <row r="16527" spans="1:19" ht="28" x14ac:dyDescent="0.15">
      <c r="A16527" s="2">
        <f>HYPERLINK("https://open-school.uspishnemisto.com.ua/school/800285/", 800285)</f>
        <v>800285</v>
      </c>
      <c r="B16527" s="3" t="s">
        <v>83206</v>
      </c>
      <c r="C16527" s="3" t="s">
        <v>31</v>
      </c>
      <c r="D16527" s="3" t="s">
        <v>32</v>
      </c>
      <c r="E16527" s="4" t="s">
        <v>22</v>
      </c>
      <c r="F16527" s="4" t="s">
        <v>83109</v>
      </c>
      <c r="G16527" s="4" t="s">
        <v>83097</v>
      </c>
      <c r="H16527" s="3" t="s">
        <v>81975</v>
      </c>
      <c r="I16527" s="3" t="s">
        <v>83098</v>
      </c>
      <c r="J16527" s="3" t="s">
        <v>83207</v>
      </c>
      <c r="K16527" s="3" t="s">
        <v>83208</v>
      </c>
      <c r="L16527" s="3" t="s">
        <v>83209</v>
      </c>
      <c r="M16527" s="4"/>
      <c r="N16527" s="3" t="s">
        <v>37</v>
      </c>
      <c r="O16527" s="3" t="s">
        <v>46</v>
      </c>
      <c r="P16527" s="5">
        <v>12</v>
      </c>
      <c r="Q16527" s="5">
        <v>255</v>
      </c>
      <c r="R16527" s="5">
        <v>10</v>
      </c>
      <c r="S16527" s="5">
        <v>210</v>
      </c>
    </row>
    <row r="16528" spans="1:19" ht="28" x14ac:dyDescent="0.15">
      <c r="A16528" s="2">
        <f>HYPERLINK("https://open-school.uspishnemisto.com.ua/school/800286/", 800286)</f>
        <v>800286</v>
      </c>
      <c r="B16528" s="3" t="s">
        <v>83210</v>
      </c>
      <c r="C16528" s="3" t="s">
        <v>31</v>
      </c>
      <c r="D16528" s="3" t="s">
        <v>32</v>
      </c>
      <c r="E16528" s="4" t="s">
        <v>22</v>
      </c>
      <c r="F16528" s="4" t="s">
        <v>83096</v>
      </c>
      <c r="G16528" s="4" t="s">
        <v>83097</v>
      </c>
      <c r="H16528" s="3" t="s">
        <v>81975</v>
      </c>
      <c r="I16528" s="3" t="s">
        <v>83098</v>
      </c>
      <c r="J16528" s="3" t="s">
        <v>83211</v>
      </c>
      <c r="K16528" s="3" t="s">
        <v>83212</v>
      </c>
      <c r="L16528" s="3" t="s">
        <v>83213</v>
      </c>
      <c r="M16528" s="4"/>
      <c r="N16528" s="3" t="s">
        <v>37</v>
      </c>
      <c r="O16528" s="3" t="s">
        <v>46</v>
      </c>
      <c r="P16528" s="5">
        <v>14</v>
      </c>
      <c r="Q16528" s="5">
        <v>306</v>
      </c>
      <c r="R16528" s="5">
        <v>11</v>
      </c>
      <c r="S16528" s="5">
        <v>255</v>
      </c>
    </row>
    <row r="16529" spans="1:19" ht="28" x14ac:dyDescent="0.15">
      <c r="A16529" s="2">
        <f>HYPERLINK("https://open-school.uspishnemisto.com.ua/school/800287/", 800287)</f>
        <v>800287</v>
      </c>
      <c r="B16529" s="3" t="s">
        <v>83214</v>
      </c>
      <c r="C16529" s="3" t="s">
        <v>31</v>
      </c>
      <c r="D16529" s="3" t="s">
        <v>32</v>
      </c>
      <c r="E16529" s="4" t="s">
        <v>22</v>
      </c>
      <c r="F16529" s="4" t="s">
        <v>83142</v>
      </c>
      <c r="G16529" s="4" t="s">
        <v>83097</v>
      </c>
      <c r="H16529" s="3" t="s">
        <v>81975</v>
      </c>
      <c r="I16529" s="3" t="s">
        <v>83098</v>
      </c>
      <c r="J16529" s="3" t="s">
        <v>83215</v>
      </c>
      <c r="K16529" s="3" t="s">
        <v>83216</v>
      </c>
      <c r="L16529" s="3" t="s">
        <v>83217</v>
      </c>
      <c r="M16529" s="4"/>
      <c r="N16529" s="3" t="s">
        <v>37</v>
      </c>
      <c r="O16529" s="3" t="s">
        <v>70</v>
      </c>
      <c r="P16529" s="5">
        <v>37</v>
      </c>
      <c r="Q16529" s="5">
        <v>961</v>
      </c>
      <c r="R16529" s="5">
        <v>37</v>
      </c>
      <c r="S16529" s="5">
        <v>937</v>
      </c>
    </row>
    <row r="16530" spans="1:19" ht="28" x14ac:dyDescent="0.15">
      <c r="A16530" s="2">
        <f>HYPERLINK("https://open-school.uspishnemisto.com.ua/school/800288/", 800288)</f>
        <v>800288</v>
      </c>
      <c r="B16530" s="3" t="s">
        <v>83218</v>
      </c>
      <c r="C16530" s="3" t="s">
        <v>31</v>
      </c>
      <c r="D16530" s="3" t="s">
        <v>32</v>
      </c>
      <c r="E16530" s="4" t="s">
        <v>22</v>
      </c>
      <c r="F16530" s="4" t="s">
        <v>83219</v>
      </c>
      <c r="G16530" s="4" t="s">
        <v>83097</v>
      </c>
      <c r="H16530" s="3" t="s">
        <v>81975</v>
      </c>
      <c r="I16530" s="3" t="s">
        <v>83098</v>
      </c>
      <c r="J16530" s="3" t="s">
        <v>83220</v>
      </c>
      <c r="K16530" s="3" t="s">
        <v>83221</v>
      </c>
      <c r="L16530" s="3" t="s">
        <v>83222</v>
      </c>
      <c r="M16530" s="4"/>
      <c r="N16530" s="3" t="s">
        <v>37</v>
      </c>
      <c r="O16530" s="3" t="s">
        <v>46</v>
      </c>
      <c r="P16530" s="5">
        <v>22</v>
      </c>
      <c r="Q16530" s="5">
        <v>604</v>
      </c>
      <c r="R16530" s="5">
        <v>21</v>
      </c>
      <c r="S16530" s="5">
        <v>601</v>
      </c>
    </row>
    <row r="16531" spans="1:19" ht="28" x14ac:dyDescent="0.15">
      <c r="A16531" s="2">
        <f>HYPERLINK("https://open-school.uspishnemisto.com.ua/school/800289/", 800289)</f>
        <v>800289</v>
      </c>
      <c r="B16531" s="3" t="s">
        <v>83223</v>
      </c>
      <c r="C16531" s="3" t="s">
        <v>31</v>
      </c>
      <c r="D16531" s="3" t="s">
        <v>32</v>
      </c>
      <c r="E16531" s="4" t="s">
        <v>22</v>
      </c>
      <c r="F16531" s="4" t="s">
        <v>83151</v>
      </c>
      <c r="G16531" s="4" t="s">
        <v>83097</v>
      </c>
      <c r="H16531" s="3" t="s">
        <v>81975</v>
      </c>
      <c r="I16531" s="3" t="s">
        <v>83098</v>
      </c>
      <c r="J16531" s="3" t="s">
        <v>83224</v>
      </c>
      <c r="K16531" s="3" t="s">
        <v>83225</v>
      </c>
      <c r="L16531" s="3" t="s">
        <v>83226</v>
      </c>
      <c r="M16531" s="4"/>
      <c r="N16531" s="3" t="s">
        <v>37</v>
      </c>
      <c r="O16531" s="3" t="s">
        <v>38</v>
      </c>
      <c r="P16531" s="5">
        <v>17</v>
      </c>
      <c r="Q16531" s="5">
        <v>407</v>
      </c>
      <c r="R16531" s="5">
        <v>17</v>
      </c>
      <c r="S16531" s="5">
        <v>417</v>
      </c>
    </row>
    <row r="16532" spans="1:19" ht="28" x14ac:dyDescent="0.15">
      <c r="A16532" s="2">
        <f>HYPERLINK("https://open-school.uspishnemisto.com.ua/school/800494/", 800494)</f>
        <v>800494</v>
      </c>
      <c r="B16532" s="3" t="s">
        <v>83227</v>
      </c>
      <c r="C16532" s="3" t="s">
        <v>31</v>
      </c>
      <c r="D16532" s="3" t="s">
        <v>32</v>
      </c>
      <c r="E16532" s="4" t="s">
        <v>41</v>
      </c>
      <c r="F16532" s="4"/>
      <c r="G16532" s="4" t="s">
        <v>83097</v>
      </c>
      <c r="H16532" s="3" t="s">
        <v>81975</v>
      </c>
      <c r="I16532" s="3" t="s">
        <v>83098</v>
      </c>
      <c r="J16532" s="3" t="s">
        <v>83228</v>
      </c>
      <c r="K16532" s="3"/>
      <c r="L16532" s="3" t="s">
        <v>83229</v>
      </c>
      <c r="M16532" s="4"/>
      <c r="N16532" s="3"/>
      <c r="O16532" s="3"/>
      <c r="P16532" s="5">
        <v>11</v>
      </c>
      <c r="Q16532" s="5">
        <v>93</v>
      </c>
      <c r="R16532" s="5"/>
      <c r="S16532" s="5"/>
    </row>
    <row r="16533" spans="1:19" ht="28" x14ac:dyDescent="0.15">
      <c r="A16533" s="2">
        <f>HYPERLINK("https://open-school.uspishnemisto.com.ua/school/800290/", 800290)</f>
        <v>800290</v>
      </c>
      <c r="B16533" s="3" t="s">
        <v>83230</v>
      </c>
      <c r="C16533" s="3" t="s">
        <v>20</v>
      </c>
      <c r="D16533" s="3" t="s">
        <v>82385</v>
      </c>
      <c r="E16533" s="4" t="s">
        <v>22</v>
      </c>
      <c r="F16533" s="4" t="s">
        <v>83231</v>
      </c>
      <c r="G16533" s="4" t="s">
        <v>83232</v>
      </c>
      <c r="H16533" s="3" t="s">
        <v>81975</v>
      </c>
      <c r="I16533" s="3" t="s">
        <v>83233</v>
      </c>
      <c r="J16533" s="3" t="s">
        <v>83234</v>
      </c>
      <c r="K16533" s="3" t="s">
        <v>83235</v>
      </c>
      <c r="L16533" s="3"/>
      <c r="M16533" s="4"/>
      <c r="N16533" s="3"/>
      <c r="O16533" s="3"/>
      <c r="P16533" s="5">
        <v>0</v>
      </c>
      <c r="Q16533" s="5">
        <v>0</v>
      </c>
      <c r="R16533" s="5"/>
      <c r="S16533" s="5"/>
    </row>
    <row r="16534" spans="1:19" ht="28" x14ac:dyDescent="0.15">
      <c r="A16534" s="2">
        <f>HYPERLINK("https://open-school.uspishnemisto.com.ua/school/800291/", 800291)</f>
        <v>800291</v>
      </c>
      <c r="B16534" s="3" t="s">
        <v>83236</v>
      </c>
      <c r="C16534" s="3" t="s">
        <v>20</v>
      </c>
      <c r="D16534" s="3" t="s">
        <v>82385</v>
      </c>
      <c r="E16534" s="4" t="s">
        <v>22</v>
      </c>
      <c r="F16534" s="4" t="s">
        <v>83237</v>
      </c>
      <c r="G16534" s="4" t="s">
        <v>83232</v>
      </c>
      <c r="H16534" s="3" t="s">
        <v>81975</v>
      </c>
      <c r="I16534" s="3" t="s">
        <v>83233</v>
      </c>
      <c r="J16534" s="3" t="s">
        <v>83238</v>
      </c>
      <c r="K16534" s="3" t="s">
        <v>83239</v>
      </c>
      <c r="L16534" s="3" t="s">
        <v>83240</v>
      </c>
      <c r="M16534" s="4"/>
      <c r="N16534" s="3" t="s">
        <v>37</v>
      </c>
      <c r="O16534" s="3" t="s">
        <v>52</v>
      </c>
      <c r="P16534" s="5">
        <v>10</v>
      </c>
      <c r="Q16534" s="5">
        <v>110</v>
      </c>
      <c r="R16534" s="5"/>
      <c r="S16534" s="5"/>
    </row>
    <row r="16535" spans="1:19" ht="28" x14ac:dyDescent="0.15">
      <c r="A16535" s="2">
        <f>HYPERLINK("https://open-school.uspishnemisto.com.ua/school/800292/", 800292)</f>
        <v>800292</v>
      </c>
      <c r="B16535" s="3" t="s">
        <v>83241</v>
      </c>
      <c r="C16535" s="3" t="s">
        <v>31</v>
      </c>
      <c r="D16535" s="3" t="s">
        <v>32</v>
      </c>
      <c r="E16535" s="4" t="s">
        <v>41</v>
      </c>
      <c r="F16535" s="4" t="s">
        <v>83242</v>
      </c>
      <c r="G16535" s="4" t="s">
        <v>83232</v>
      </c>
      <c r="H16535" s="3" t="s">
        <v>81975</v>
      </c>
      <c r="I16535" s="3" t="s">
        <v>83233</v>
      </c>
      <c r="J16535" s="3" t="s">
        <v>83243</v>
      </c>
      <c r="K16535" s="3" t="s">
        <v>83244</v>
      </c>
      <c r="L16535" s="3" t="s">
        <v>83245</v>
      </c>
      <c r="M16535" s="4"/>
      <c r="N16535" s="3" t="s">
        <v>11497</v>
      </c>
      <c r="O16535" s="3" t="s">
        <v>83246</v>
      </c>
      <c r="P16535" s="5">
        <v>27</v>
      </c>
      <c r="Q16535" s="5">
        <v>372</v>
      </c>
      <c r="R16535" s="5">
        <v>25</v>
      </c>
      <c r="S16535" s="5">
        <v>335</v>
      </c>
    </row>
    <row r="16536" spans="1:19" ht="42" x14ac:dyDescent="0.15">
      <c r="A16536" s="2">
        <f>HYPERLINK("https://open-school.uspishnemisto.com.ua/school/800293/", 800293)</f>
        <v>800293</v>
      </c>
      <c r="B16536" s="3" t="s">
        <v>83247</v>
      </c>
      <c r="C16536" s="3" t="s">
        <v>31</v>
      </c>
      <c r="D16536" s="3" t="s">
        <v>32</v>
      </c>
      <c r="E16536" s="4" t="s">
        <v>22</v>
      </c>
      <c r="F16536" s="4" t="s">
        <v>83248</v>
      </c>
      <c r="G16536" s="4" t="s">
        <v>83232</v>
      </c>
      <c r="H16536" s="3" t="s">
        <v>81975</v>
      </c>
      <c r="I16536" s="3" t="s">
        <v>83233</v>
      </c>
      <c r="J16536" s="3" t="s">
        <v>83249</v>
      </c>
      <c r="K16536" s="3" t="s">
        <v>83250</v>
      </c>
      <c r="L16536" s="3" t="s">
        <v>83251</v>
      </c>
      <c r="M16536" s="4"/>
      <c r="N16536" s="3" t="s">
        <v>37</v>
      </c>
      <c r="O16536" s="3" t="s">
        <v>38</v>
      </c>
      <c r="P16536" s="5">
        <v>31</v>
      </c>
      <c r="Q16536" s="5">
        <v>796</v>
      </c>
      <c r="R16536" s="5">
        <v>31</v>
      </c>
      <c r="S16536" s="5">
        <v>782</v>
      </c>
    </row>
    <row r="16537" spans="1:19" ht="56" x14ac:dyDescent="0.15">
      <c r="A16537" s="2">
        <f>HYPERLINK("https://open-school.uspishnemisto.com.ua/school/800294/", 800294)</f>
        <v>800294</v>
      </c>
      <c r="B16537" s="3" t="s">
        <v>83252</v>
      </c>
      <c r="C16537" s="3" t="s">
        <v>31</v>
      </c>
      <c r="D16537" s="3" t="s">
        <v>32</v>
      </c>
      <c r="E16537" s="4" t="s">
        <v>22</v>
      </c>
      <c r="F16537" s="4" t="s">
        <v>83253</v>
      </c>
      <c r="G16537" s="4" t="s">
        <v>83232</v>
      </c>
      <c r="H16537" s="3" t="s">
        <v>81975</v>
      </c>
      <c r="I16537" s="3" t="s">
        <v>83233</v>
      </c>
      <c r="J16537" s="3" t="s">
        <v>83254</v>
      </c>
      <c r="K16537" s="3" t="s">
        <v>83255</v>
      </c>
      <c r="L16537" s="3" t="s">
        <v>83256</v>
      </c>
      <c r="M16537" s="4"/>
      <c r="N16537" s="3" t="s">
        <v>37</v>
      </c>
      <c r="O16537" s="3" t="s">
        <v>38</v>
      </c>
      <c r="P16537" s="5">
        <v>31</v>
      </c>
      <c r="Q16537" s="5">
        <v>932</v>
      </c>
      <c r="R16537" s="5">
        <v>30</v>
      </c>
      <c r="S16537" s="5">
        <v>935</v>
      </c>
    </row>
    <row r="16538" spans="1:19" ht="42" x14ac:dyDescent="0.15">
      <c r="A16538" s="2">
        <f>HYPERLINK("https://open-school.uspishnemisto.com.ua/school/800295/", 800295)</f>
        <v>800295</v>
      </c>
      <c r="B16538" s="3" t="s">
        <v>83257</v>
      </c>
      <c r="C16538" s="3" t="s">
        <v>244</v>
      </c>
      <c r="D16538" s="3" t="s">
        <v>32</v>
      </c>
      <c r="E16538" s="4" t="s">
        <v>22</v>
      </c>
      <c r="F16538" s="4" t="s">
        <v>82915</v>
      </c>
      <c r="G16538" s="4" t="s">
        <v>83232</v>
      </c>
      <c r="H16538" s="3" t="s">
        <v>81975</v>
      </c>
      <c r="I16538" s="3" t="s">
        <v>83233</v>
      </c>
      <c r="J16538" s="3" t="s">
        <v>83258</v>
      </c>
      <c r="K16538" s="3" t="s">
        <v>83259</v>
      </c>
      <c r="L16538" s="3" t="s">
        <v>83260</v>
      </c>
      <c r="M16538" s="4"/>
      <c r="N16538" s="3" t="s">
        <v>37</v>
      </c>
      <c r="O16538" s="3" t="s">
        <v>52</v>
      </c>
      <c r="P16538" s="5">
        <v>22</v>
      </c>
      <c r="Q16538" s="5">
        <v>559</v>
      </c>
      <c r="R16538" s="5">
        <v>20</v>
      </c>
      <c r="S16538" s="5">
        <v>488</v>
      </c>
    </row>
    <row r="16539" spans="1:19" ht="42" x14ac:dyDescent="0.15">
      <c r="A16539" s="2">
        <f>HYPERLINK("https://open-school.uspishnemisto.com.ua/school/800296/", 800296)</f>
        <v>800296</v>
      </c>
      <c r="B16539" s="3" t="s">
        <v>83261</v>
      </c>
      <c r="C16539" s="3" t="s">
        <v>2634</v>
      </c>
      <c r="D16539" s="3" t="s">
        <v>175</v>
      </c>
      <c r="E16539" s="4" t="s">
        <v>22</v>
      </c>
      <c r="F16539" s="4" t="s">
        <v>83262</v>
      </c>
      <c r="G16539" s="4" t="s">
        <v>83232</v>
      </c>
      <c r="H16539" s="3" t="s">
        <v>81975</v>
      </c>
      <c r="I16539" s="3" t="s">
        <v>83233</v>
      </c>
      <c r="J16539" s="3" t="s">
        <v>83263</v>
      </c>
      <c r="K16539" s="3" t="s">
        <v>83264</v>
      </c>
      <c r="L16539" s="3" t="s">
        <v>83265</v>
      </c>
      <c r="M16539" s="4"/>
      <c r="N16539" s="3" t="s">
        <v>37</v>
      </c>
      <c r="O16539" s="3" t="s">
        <v>52</v>
      </c>
      <c r="P16539" s="5">
        <v>18</v>
      </c>
      <c r="Q16539" s="5">
        <v>330</v>
      </c>
      <c r="R16539" s="5">
        <v>19</v>
      </c>
      <c r="S16539" s="5">
        <v>347</v>
      </c>
    </row>
    <row r="16540" spans="1:19" ht="28" x14ac:dyDescent="0.15">
      <c r="A16540" s="2">
        <f>HYPERLINK("https://open-school.uspishnemisto.com.ua/school/800297/", 800297)</f>
        <v>800297</v>
      </c>
      <c r="B16540" s="3" t="s">
        <v>83266</v>
      </c>
      <c r="C16540" s="3" t="s">
        <v>40</v>
      </c>
      <c r="D16540" s="3" t="s">
        <v>32</v>
      </c>
      <c r="E16540" s="4" t="s">
        <v>22</v>
      </c>
      <c r="F16540" s="4" t="s">
        <v>83231</v>
      </c>
      <c r="G16540" s="4" t="s">
        <v>83232</v>
      </c>
      <c r="H16540" s="3" t="s">
        <v>81975</v>
      </c>
      <c r="I16540" s="3" t="s">
        <v>83233</v>
      </c>
      <c r="J16540" s="3" t="s">
        <v>83267</v>
      </c>
      <c r="K16540" s="3" t="s">
        <v>83268</v>
      </c>
      <c r="L16540" s="3" t="s">
        <v>83269</v>
      </c>
      <c r="M16540" s="4"/>
      <c r="N16540" s="3" t="s">
        <v>37</v>
      </c>
      <c r="O16540" s="3" t="s">
        <v>46</v>
      </c>
      <c r="P16540" s="5">
        <v>28</v>
      </c>
      <c r="Q16540" s="5">
        <v>812</v>
      </c>
      <c r="R16540" s="5">
        <v>25</v>
      </c>
      <c r="S16540" s="5">
        <v>665</v>
      </c>
    </row>
    <row r="16541" spans="1:19" ht="28" x14ac:dyDescent="0.15">
      <c r="A16541" s="2">
        <f>HYPERLINK("https://open-school.uspishnemisto.com.ua/school/800298/", 800298)</f>
        <v>800298</v>
      </c>
      <c r="B16541" s="3" t="s">
        <v>83270</v>
      </c>
      <c r="C16541" s="3" t="s">
        <v>40</v>
      </c>
      <c r="D16541" s="3" t="s">
        <v>32</v>
      </c>
      <c r="E16541" s="4" t="s">
        <v>22</v>
      </c>
      <c r="F16541" s="4" t="s">
        <v>83231</v>
      </c>
      <c r="G16541" s="4" t="s">
        <v>83232</v>
      </c>
      <c r="H16541" s="3" t="s">
        <v>81975</v>
      </c>
      <c r="I16541" s="3" t="s">
        <v>83233</v>
      </c>
      <c r="J16541" s="3" t="s">
        <v>83271</v>
      </c>
      <c r="K16541" s="3" t="s">
        <v>83272</v>
      </c>
      <c r="L16541" s="3" t="s">
        <v>83273</v>
      </c>
      <c r="M16541" s="4"/>
      <c r="N16541" s="3" t="s">
        <v>37</v>
      </c>
      <c r="O16541" s="3" t="s">
        <v>123</v>
      </c>
      <c r="P16541" s="5">
        <v>23</v>
      </c>
      <c r="Q16541" s="5">
        <v>619</v>
      </c>
      <c r="R16541" s="5">
        <v>24</v>
      </c>
      <c r="S16541" s="5">
        <v>638</v>
      </c>
    </row>
    <row r="16542" spans="1:19" ht="28" x14ac:dyDescent="0.15">
      <c r="A16542" s="2">
        <f>HYPERLINK("https://open-school.uspishnemisto.com.ua/school/800299/", 800299)</f>
        <v>800299</v>
      </c>
      <c r="B16542" s="3" t="s">
        <v>83274</v>
      </c>
      <c r="C16542" s="3" t="s">
        <v>40</v>
      </c>
      <c r="D16542" s="3" t="s">
        <v>32</v>
      </c>
      <c r="E16542" s="4" t="s">
        <v>22</v>
      </c>
      <c r="F16542" s="4" t="s">
        <v>83275</v>
      </c>
      <c r="G16542" s="4" t="s">
        <v>83232</v>
      </c>
      <c r="H16542" s="3" t="s">
        <v>81975</v>
      </c>
      <c r="I16542" s="3" t="s">
        <v>83233</v>
      </c>
      <c r="J16542" s="3" t="s">
        <v>83276</v>
      </c>
      <c r="K16542" s="3" t="s">
        <v>83277</v>
      </c>
      <c r="L16542" s="3" t="s">
        <v>83278</v>
      </c>
      <c r="M16542" s="4"/>
      <c r="N16542" s="3" t="s">
        <v>37</v>
      </c>
      <c r="O16542" s="3" t="s">
        <v>46</v>
      </c>
      <c r="P16542" s="5">
        <v>34</v>
      </c>
      <c r="Q16542" s="5">
        <v>1036</v>
      </c>
      <c r="R16542" s="5">
        <v>34</v>
      </c>
      <c r="S16542" s="5">
        <v>1019</v>
      </c>
    </row>
    <row r="16543" spans="1:19" ht="42" x14ac:dyDescent="0.15">
      <c r="A16543" s="2">
        <f>HYPERLINK("https://open-school.uspishnemisto.com.ua/school/800300/", 800300)</f>
        <v>800300</v>
      </c>
      <c r="B16543" s="3" t="s">
        <v>83279</v>
      </c>
      <c r="C16543" s="3" t="s">
        <v>40</v>
      </c>
      <c r="D16543" s="3" t="s">
        <v>32</v>
      </c>
      <c r="E16543" s="4" t="s">
        <v>22</v>
      </c>
      <c r="F16543" s="4" t="s">
        <v>83280</v>
      </c>
      <c r="G16543" s="4" t="s">
        <v>83232</v>
      </c>
      <c r="H16543" s="3" t="s">
        <v>81975</v>
      </c>
      <c r="I16543" s="3" t="s">
        <v>83233</v>
      </c>
      <c r="J16543" s="3" t="s">
        <v>83281</v>
      </c>
      <c r="K16543" s="3" t="s">
        <v>83282</v>
      </c>
      <c r="L16543" s="3" t="s">
        <v>83283</v>
      </c>
      <c r="M16543" s="4"/>
      <c r="N16543" s="3" t="s">
        <v>37</v>
      </c>
      <c r="O16543" s="3" t="s">
        <v>38530</v>
      </c>
      <c r="P16543" s="5">
        <v>45</v>
      </c>
      <c r="Q16543" s="5">
        <v>1279</v>
      </c>
      <c r="R16543" s="5">
        <v>43</v>
      </c>
      <c r="S16543" s="5">
        <v>1173</v>
      </c>
    </row>
    <row r="16544" spans="1:19" ht="28" x14ac:dyDescent="0.15">
      <c r="A16544" s="2">
        <f>HYPERLINK("https://open-school.uspishnemisto.com.ua/school/800301/", 800301)</f>
        <v>800301</v>
      </c>
      <c r="B16544" s="3" t="s">
        <v>83284</v>
      </c>
      <c r="C16544" s="3" t="s">
        <v>188</v>
      </c>
      <c r="D16544" s="3" t="s">
        <v>32</v>
      </c>
      <c r="E16544" s="4" t="s">
        <v>22</v>
      </c>
      <c r="F16544" s="4" t="s">
        <v>83285</v>
      </c>
      <c r="G16544" s="4" t="s">
        <v>83232</v>
      </c>
      <c r="H16544" s="3" t="s">
        <v>81975</v>
      </c>
      <c r="I16544" s="3" t="s">
        <v>83233</v>
      </c>
      <c r="J16544" s="3" t="s">
        <v>83286</v>
      </c>
      <c r="K16544" s="3" t="s">
        <v>83287</v>
      </c>
      <c r="L16544" s="3" t="s">
        <v>83288</v>
      </c>
      <c r="M16544" s="4"/>
      <c r="N16544" s="3" t="s">
        <v>37</v>
      </c>
      <c r="O16544" s="3" t="s">
        <v>123</v>
      </c>
      <c r="P16544" s="5">
        <v>43</v>
      </c>
      <c r="Q16544" s="5">
        <v>1272</v>
      </c>
      <c r="R16544" s="5">
        <v>43</v>
      </c>
      <c r="S16544" s="5">
        <v>1249</v>
      </c>
    </row>
    <row r="16545" spans="1:19" ht="28" x14ac:dyDescent="0.15">
      <c r="A16545" s="2">
        <f>HYPERLINK("https://open-school.uspishnemisto.com.ua/school/800302/", 800302)</f>
        <v>800302</v>
      </c>
      <c r="B16545" s="3" t="s">
        <v>83289</v>
      </c>
      <c r="C16545" s="3" t="s">
        <v>40</v>
      </c>
      <c r="D16545" s="3" t="s">
        <v>32</v>
      </c>
      <c r="E16545" s="4" t="s">
        <v>22</v>
      </c>
      <c r="F16545" s="4" t="s">
        <v>83290</v>
      </c>
      <c r="G16545" s="4" t="s">
        <v>83232</v>
      </c>
      <c r="H16545" s="3" t="s">
        <v>81975</v>
      </c>
      <c r="I16545" s="3" t="s">
        <v>83233</v>
      </c>
      <c r="J16545" s="3" t="s">
        <v>83291</v>
      </c>
      <c r="K16545" s="3" t="s">
        <v>83292</v>
      </c>
      <c r="L16545" s="3" t="s">
        <v>83293</v>
      </c>
      <c r="M16545" s="4"/>
      <c r="N16545" s="3" t="s">
        <v>37</v>
      </c>
      <c r="O16545" s="3" t="s">
        <v>46</v>
      </c>
      <c r="P16545" s="5">
        <v>26</v>
      </c>
      <c r="Q16545" s="5">
        <v>693</v>
      </c>
      <c r="R16545" s="5">
        <v>25</v>
      </c>
      <c r="S16545" s="5">
        <v>655</v>
      </c>
    </row>
    <row r="16546" spans="1:19" ht="42" x14ac:dyDescent="0.15">
      <c r="A16546" s="2">
        <f>HYPERLINK("https://open-school.uspishnemisto.com.ua/school/800303/", 800303)</f>
        <v>800303</v>
      </c>
      <c r="B16546" s="3" t="s">
        <v>83294</v>
      </c>
      <c r="C16546" s="3" t="s">
        <v>31</v>
      </c>
      <c r="D16546" s="3" t="s">
        <v>32</v>
      </c>
      <c r="E16546" s="4" t="s">
        <v>22</v>
      </c>
      <c r="F16546" s="4" t="s">
        <v>83231</v>
      </c>
      <c r="G16546" s="4" t="s">
        <v>83232</v>
      </c>
      <c r="H16546" s="3" t="s">
        <v>81975</v>
      </c>
      <c r="I16546" s="3" t="s">
        <v>83233</v>
      </c>
      <c r="J16546" s="3" t="s">
        <v>83295</v>
      </c>
      <c r="K16546" s="3" t="s">
        <v>83296</v>
      </c>
      <c r="L16546" s="3" t="s">
        <v>83297</v>
      </c>
      <c r="M16546" s="4"/>
      <c r="N16546" s="3" t="s">
        <v>37</v>
      </c>
      <c r="O16546" s="3" t="s">
        <v>52</v>
      </c>
      <c r="P16546" s="5">
        <v>12</v>
      </c>
      <c r="Q16546" s="5">
        <v>260</v>
      </c>
      <c r="R16546" s="5">
        <v>12</v>
      </c>
      <c r="S16546" s="5">
        <v>267</v>
      </c>
    </row>
    <row r="16547" spans="1:19" ht="42" x14ac:dyDescent="0.15">
      <c r="A16547" s="2">
        <f>HYPERLINK("https://open-school.uspishnemisto.com.ua/school/800304/", 800304)</f>
        <v>800304</v>
      </c>
      <c r="B16547" s="3" t="s">
        <v>83298</v>
      </c>
      <c r="C16547" s="3" t="s">
        <v>31</v>
      </c>
      <c r="D16547" s="3" t="s">
        <v>32</v>
      </c>
      <c r="E16547" s="4" t="s">
        <v>22</v>
      </c>
      <c r="F16547" s="4" t="s">
        <v>83280</v>
      </c>
      <c r="G16547" s="4" t="s">
        <v>83232</v>
      </c>
      <c r="H16547" s="3" t="s">
        <v>81975</v>
      </c>
      <c r="I16547" s="3" t="s">
        <v>83233</v>
      </c>
      <c r="J16547" s="3" t="s">
        <v>83299</v>
      </c>
      <c r="K16547" s="3" t="s">
        <v>83300</v>
      </c>
      <c r="L16547" s="3"/>
      <c r="M16547" s="4"/>
      <c r="N16547" s="3" t="s">
        <v>37</v>
      </c>
      <c r="O16547" s="3" t="s">
        <v>52</v>
      </c>
      <c r="P16547" s="5">
        <v>22</v>
      </c>
      <c r="Q16547" s="5">
        <v>573</v>
      </c>
      <c r="R16547" s="5">
        <v>22</v>
      </c>
      <c r="S16547" s="5">
        <v>574</v>
      </c>
    </row>
    <row r="16548" spans="1:19" ht="42" x14ac:dyDescent="0.15">
      <c r="A16548" s="2">
        <f>HYPERLINK("https://open-school.uspishnemisto.com.ua/school/800305/", 800305)</f>
        <v>800305</v>
      </c>
      <c r="B16548" s="3" t="s">
        <v>83301</v>
      </c>
      <c r="C16548" s="3" t="s">
        <v>31</v>
      </c>
      <c r="D16548" s="3" t="s">
        <v>32</v>
      </c>
      <c r="E16548" s="4" t="s">
        <v>22</v>
      </c>
      <c r="F16548" s="4" t="s">
        <v>83242</v>
      </c>
      <c r="G16548" s="4" t="s">
        <v>83232</v>
      </c>
      <c r="H16548" s="3" t="s">
        <v>81975</v>
      </c>
      <c r="I16548" s="3" t="s">
        <v>83233</v>
      </c>
      <c r="J16548" s="3" t="s">
        <v>83302</v>
      </c>
      <c r="K16548" s="3" t="s">
        <v>83303</v>
      </c>
      <c r="L16548" s="3" t="s">
        <v>83304</v>
      </c>
      <c r="M16548" s="4"/>
      <c r="N16548" s="3" t="s">
        <v>37</v>
      </c>
      <c r="O16548" s="3" t="s">
        <v>70</v>
      </c>
      <c r="P16548" s="5">
        <v>28</v>
      </c>
      <c r="Q16548" s="5">
        <v>707</v>
      </c>
      <c r="R16548" s="5">
        <v>28</v>
      </c>
      <c r="S16548" s="5">
        <v>682</v>
      </c>
    </row>
    <row r="16549" spans="1:19" ht="42" x14ac:dyDescent="0.15">
      <c r="A16549" s="2">
        <f>HYPERLINK("https://open-school.uspishnemisto.com.ua/school/800306/", 800306)</f>
        <v>800306</v>
      </c>
      <c r="B16549" s="3" t="s">
        <v>83305</v>
      </c>
      <c r="C16549" s="3" t="s">
        <v>31</v>
      </c>
      <c r="D16549" s="3" t="s">
        <v>32</v>
      </c>
      <c r="E16549" s="4" t="s">
        <v>22</v>
      </c>
      <c r="F16549" s="4" t="s">
        <v>83242</v>
      </c>
      <c r="G16549" s="4" t="s">
        <v>83232</v>
      </c>
      <c r="H16549" s="3" t="s">
        <v>81975</v>
      </c>
      <c r="I16549" s="3" t="s">
        <v>83233</v>
      </c>
      <c r="J16549" s="3" t="s">
        <v>83306</v>
      </c>
      <c r="K16549" s="3" t="s">
        <v>83307</v>
      </c>
      <c r="L16549" s="3" t="s">
        <v>83308</v>
      </c>
      <c r="M16549" s="4"/>
      <c r="N16549" s="3" t="s">
        <v>37</v>
      </c>
      <c r="O16549" s="3" t="s">
        <v>46</v>
      </c>
      <c r="P16549" s="5">
        <v>25</v>
      </c>
      <c r="Q16549" s="5">
        <v>684</v>
      </c>
      <c r="R16549" s="5">
        <v>22</v>
      </c>
      <c r="S16549" s="5">
        <v>584</v>
      </c>
    </row>
    <row r="16550" spans="1:19" ht="42" x14ac:dyDescent="0.15">
      <c r="A16550" s="2">
        <f>HYPERLINK("https://open-school.uspishnemisto.com.ua/school/800307/", 800307)</f>
        <v>800307</v>
      </c>
      <c r="B16550" s="3" t="s">
        <v>83309</v>
      </c>
      <c r="C16550" s="3" t="s">
        <v>31</v>
      </c>
      <c r="D16550" s="3" t="s">
        <v>32</v>
      </c>
      <c r="E16550" s="4" t="s">
        <v>22</v>
      </c>
      <c r="F16550" s="4" t="s">
        <v>83280</v>
      </c>
      <c r="G16550" s="4" t="s">
        <v>83232</v>
      </c>
      <c r="H16550" s="3" t="s">
        <v>81975</v>
      </c>
      <c r="I16550" s="3" t="s">
        <v>83233</v>
      </c>
      <c r="J16550" s="3" t="s">
        <v>83310</v>
      </c>
      <c r="K16550" s="3" t="s">
        <v>83311</v>
      </c>
      <c r="L16550" s="3" t="s">
        <v>83312</v>
      </c>
      <c r="M16550" s="4"/>
      <c r="N16550" s="3" t="s">
        <v>37</v>
      </c>
      <c r="O16550" s="3" t="s">
        <v>46</v>
      </c>
      <c r="P16550" s="5">
        <v>22</v>
      </c>
      <c r="Q16550" s="5">
        <v>560</v>
      </c>
      <c r="R16550" s="5">
        <v>21</v>
      </c>
      <c r="S16550" s="5">
        <v>540</v>
      </c>
    </row>
    <row r="16551" spans="1:19" ht="42" x14ac:dyDescent="0.15">
      <c r="A16551" s="2">
        <f>HYPERLINK("https://open-school.uspishnemisto.com.ua/school/800308/", 800308)</f>
        <v>800308</v>
      </c>
      <c r="B16551" s="3" t="s">
        <v>83313</v>
      </c>
      <c r="C16551" s="3" t="s">
        <v>31</v>
      </c>
      <c r="D16551" s="3" t="s">
        <v>32</v>
      </c>
      <c r="E16551" s="4" t="s">
        <v>22</v>
      </c>
      <c r="F16551" s="4" t="s">
        <v>83248</v>
      </c>
      <c r="G16551" s="4" t="s">
        <v>83232</v>
      </c>
      <c r="H16551" s="3" t="s">
        <v>81975</v>
      </c>
      <c r="I16551" s="3" t="s">
        <v>83233</v>
      </c>
      <c r="J16551" s="3" t="s">
        <v>83314</v>
      </c>
      <c r="K16551" s="3" t="s">
        <v>83315</v>
      </c>
      <c r="L16551" s="3" t="s">
        <v>83316</v>
      </c>
      <c r="M16551" s="4"/>
      <c r="N16551" s="3" t="s">
        <v>37</v>
      </c>
      <c r="O16551" s="3" t="s">
        <v>8857</v>
      </c>
      <c r="P16551" s="5">
        <v>13</v>
      </c>
      <c r="Q16551" s="5">
        <v>266</v>
      </c>
      <c r="R16551" s="5">
        <v>12</v>
      </c>
      <c r="S16551" s="5">
        <v>237</v>
      </c>
    </row>
    <row r="16552" spans="1:19" ht="42" x14ac:dyDescent="0.15">
      <c r="A16552" s="2">
        <f>HYPERLINK("https://open-school.uspishnemisto.com.ua/school/800309/", 800309)</f>
        <v>800309</v>
      </c>
      <c r="B16552" s="3" t="s">
        <v>83317</v>
      </c>
      <c r="C16552" s="3" t="s">
        <v>31</v>
      </c>
      <c r="D16552" s="3" t="s">
        <v>32</v>
      </c>
      <c r="E16552" s="4" t="s">
        <v>22</v>
      </c>
      <c r="F16552" s="4" t="s">
        <v>83253</v>
      </c>
      <c r="G16552" s="4" t="s">
        <v>83232</v>
      </c>
      <c r="H16552" s="3" t="s">
        <v>81975</v>
      </c>
      <c r="I16552" s="3" t="s">
        <v>83233</v>
      </c>
      <c r="J16552" s="3" t="s">
        <v>83318</v>
      </c>
      <c r="K16552" s="3" t="s">
        <v>83319</v>
      </c>
      <c r="L16552" s="3" t="s">
        <v>83320</v>
      </c>
      <c r="M16552" s="4"/>
      <c r="N16552" s="3" t="s">
        <v>37</v>
      </c>
      <c r="O16552" s="3" t="s">
        <v>46</v>
      </c>
      <c r="P16552" s="5">
        <v>37</v>
      </c>
      <c r="Q16552" s="5">
        <v>1035</v>
      </c>
      <c r="R16552" s="5">
        <v>37</v>
      </c>
      <c r="S16552" s="5">
        <v>1006</v>
      </c>
    </row>
    <row r="16553" spans="1:19" ht="42" x14ac:dyDescent="0.15">
      <c r="A16553" s="2">
        <f>HYPERLINK("https://open-school.uspishnemisto.com.ua/school/800310/", 800310)</f>
        <v>800310</v>
      </c>
      <c r="B16553" s="3" t="s">
        <v>83321</v>
      </c>
      <c r="C16553" s="3" t="s">
        <v>31</v>
      </c>
      <c r="D16553" s="3" t="s">
        <v>32</v>
      </c>
      <c r="E16553" s="4" t="s">
        <v>22</v>
      </c>
      <c r="F16553" s="4" t="s">
        <v>83262</v>
      </c>
      <c r="G16553" s="4" t="s">
        <v>83232</v>
      </c>
      <c r="H16553" s="3" t="s">
        <v>81975</v>
      </c>
      <c r="I16553" s="3" t="s">
        <v>83233</v>
      </c>
      <c r="J16553" s="3" t="s">
        <v>83322</v>
      </c>
      <c r="K16553" s="3" t="s">
        <v>83323</v>
      </c>
      <c r="L16553" s="3" t="s">
        <v>83324</v>
      </c>
      <c r="M16553" s="4"/>
      <c r="N16553" s="3" t="s">
        <v>37</v>
      </c>
      <c r="O16553" s="3" t="s">
        <v>52</v>
      </c>
      <c r="P16553" s="5">
        <v>12</v>
      </c>
      <c r="Q16553" s="5">
        <v>199</v>
      </c>
      <c r="R16553" s="5">
        <v>12</v>
      </c>
      <c r="S16553" s="5">
        <v>185</v>
      </c>
    </row>
    <row r="16554" spans="1:19" ht="42" x14ac:dyDescent="0.15">
      <c r="A16554" s="2">
        <f>HYPERLINK("https://open-school.uspishnemisto.com.ua/school/800311/", 800311)</f>
        <v>800311</v>
      </c>
      <c r="B16554" s="3" t="s">
        <v>83325</v>
      </c>
      <c r="C16554" s="3" t="s">
        <v>31</v>
      </c>
      <c r="D16554" s="3" t="s">
        <v>32</v>
      </c>
      <c r="E16554" s="4" t="s">
        <v>22</v>
      </c>
      <c r="F16554" s="4" t="s">
        <v>83253</v>
      </c>
      <c r="G16554" s="4" t="s">
        <v>83232</v>
      </c>
      <c r="H16554" s="3" t="s">
        <v>81975</v>
      </c>
      <c r="I16554" s="3" t="s">
        <v>83233</v>
      </c>
      <c r="J16554" s="3" t="s">
        <v>83326</v>
      </c>
      <c r="K16554" s="3" t="s">
        <v>83327</v>
      </c>
      <c r="L16554" s="3" t="s">
        <v>83328</v>
      </c>
      <c r="M16554" s="4"/>
      <c r="N16554" s="3" t="s">
        <v>37</v>
      </c>
      <c r="O16554" s="3" t="s">
        <v>197</v>
      </c>
      <c r="P16554" s="5">
        <v>35</v>
      </c>
      <c r="Q16554" s="5">
        <v>941</v>
      </c>
      <c r="R16554" s="5">
        <v>33</v>
      </c>
      <c r="S16554" s="5">
        <v>871</v>
      </c>
    </row>
    <row r="16555" spans="1:19" ht="42" x14ac:dyDescent="0.15">
      <c r="A16555" s="2">
        <f>HYPERLINK("https://open-school.uspishnemisto.com.ua/school/800312/", 800312)</f>
        <v>800312</v>
      </c>
      <c r="B16555" s="3" t="s">
        <v>83329</v>
      </c>
      <c r="C16555" s="3" t="s">
        <v>244</v>
      </c>
      <c r="D16555" s="3" t="s">
        <v>32</v>
      </c>
      <c r="E16555" s="4" t="s">
        <v>22</v>
      </c>
      <c r="F16555" s="4" t="s">
        <v>83237</v>
      </c>
      <c r="G16555" s="4" t="s">
        <v>83232</v>
      </c>
      <c r="H16555" s="3" t="s">
        <v>81975</v>
      </c>
      <c r="I16555" s="3" t="s">
        <v>83233</v>
      </c>
      <c r="J16555" s="3" t="s">
        <v>83330</v>
      </c>
      <c r="K16555" s="3" t="s">
        <v>83331</v>
      </c>
      <c r="L16555" s="3" t="s">
        <v>83332</v>
      </c>
      <c r="M16555" s="4"/>
      <c r="N16555" s="3" t="s">
        <v>37</v>
      </c>
      <c r="O16555" s="3" t="s">
        <v>46</v>
      </c>
      <c r="P16555" s="5">
        <v>10</v>
      </c>
      <c r="Q16555" s="5">
        <v>186</v>
      </c>
      <c r="R16555" s="5">
        <v>10</v>
      </c>
      <c r="S16555" s="5">
        <v>200</v>
      </c>
    </row>
    <row r="16556" spans="1:19" ht="56" x14ac:dyDescent="0.15">
      <c r="A16556" s="2">
        <f>HYPERLINK("https://open-school.uspishnemisto.com.ua/school/800313/", 800313)</f>
        <v>800313</v>
      </c>
      <c r="B16556" s="3" t="s">
        <v>83333</v>
      </c>
      <c r="C16556" s="3" t="s">
        <v>244</v>
      </c>
      <c r="D16556" s="3" t="s">
        <v>32</v>
      </c>
      <c r="E16556" s="4" t="s">
        <v>22</v>
      </c>
      <c r="F16556" s="4" t="s">
        <v>83237</v>
      </c>
      <c r="G16556" s="4" t="s">
        <v>83232</v>
      </c>
      <c r="H16556" s="3" t="s">
        <v>81975</v>
      </c>
      <c r="I16556" s="3" t="s">
        <v>83233</v>
      </c>
      <c r="J16556" s="3" t="s">
        <v>83334</v>
      </c>
      <c r="K16556" s="3" t="s">
        <v>83335</v>
      </c>
      <c r="L16556" s="3" t="s">
        <v>83336</v>
      </c>
      <c r="M16556" s="4"/>
      <c r="N16556" s="3" t="s">
        <v>37</v>
      </c>
      <c r="O16556" s="3" t="s">
        <v>123</v>
      </c>
      <c r="P16556" s="5">
        <v>16</v>
      </c>
      <c r="Q16556" s="5">
        <v>344</v>
      </c>
      <c r="R16556" s="5">
        <v>17</v>
      </c>
      <c r="S16556" s="5">
        <v>360</v>
      </c>
    </row>
    <row r="16557" spans="1:19" ht="42" x14ac:dyDescent="0.15">
      <c r="A16557" s="2">
        <f>HYPERLINK("https://open-school.uspishnemisto.com.ua/school/800314/", 800314)</f>
        <v>800314</v>
      </c>
      <c r="B16557" s="3" t="s">
        <v>83337</v>
      </c>
      <c r="C16557" s="3" t="s">
        <v>244</v>
      </c>
      <c r="D16557" s="3" t="s">
        <v>32</v>
      </c>
      <c r="E16557" s="4" t="s">
        <v>22</v>
      </c>
      <c r="F16557" s="4" t="s">
        <v>83231</v>
      </c>
      <c r="G16557" s="4" t="s">
        <v>83232</v>
      </c>
      <c r="H16557" s="3" t="s">
        <v>81975</v>
      </c>
      <c r="I16557" s="3" t="s">
        <v>83233</v>
      </c>
      <c r="J16557" s="3" t="s">
        <v>83338</v>
      </c>
      <c r="K16557" s="3" t="s">
        <v>83339</v>
      </c>
      <c r="L16557" s="3" t="s">
        <v>83340</v>
      </c>
      <c r="M16557" s="4"/>
      <c r="N16557" s="3" t="s">
        <v>128</v>
      </c>
      <c r="O16557" s="3" t="s">
        <v>70</v>
      </c>
      <c r="P16557" s="5">
        <v>26</v>
      </c>
      <c r="Q16557" s="5">
        <v>620</v>
      </c>
      <c r="R16557" s="5">
        <v>25</v>
      </c>
      <c r="S16557" s="5">
        <v>602</v>
      </c>
    </row>
    <row r="16558" spans="1:19" ht="42" x14ac:dyDescent="0.15">
      <c r="A16558" s="2">
        <f>HYPERLINK("https://open-school.uspishnemisto.com.ua/school/800315/", 800315)</f>
        <v>800315</v>
      </c>
      <c r="B16558" s="3" t="s">
        <v>83341</v>
      </c>
      <c r="C16558" s="3" t="s">
        <v>244</v>
      </c>
      <c r="D16558" s="3" t="s">
        <v>32</v>
      </c>
      <c r="E16558" s="4" t="s">
        <v>22</v>
      </c>
      <c r="F16558" s="4" t="s">
        <v>83290</v>
      </c>
      <c r="G16558" s="4" t="s">
        <v>83232</v>
      </c>
      <c r="H16558" s="3" t="s">
        <v>81975</v>
      </c>
      <c r="I16558" s="3" t="s">
        <v>83233</v>
      </c>
      <c r="J16558" s="3" t="s">
        <v>83342</v>
      </c>
      <c r="K16558" s="3" t="s">
        <v>83343</v>
      </c>
      <c r="L16558" s="3" t="s">
        <v>83344</v>
      </c>
      <c r="M16558" s="4"/>
      <c r="N16558" s="3" t="s">
        <v>37</v>
      </c>
      <c r="O16558" s="3" t="s">
        <v>52</v>
      </c>
      <c r="P16558" s="5">
        <v>25</v>
      </c>
      <c r="Q16558" s="5">
        <v>622</v>
      </c>
      <c r="R16558" s="5">
        <v>26</v>
      </c>
      <c r="S16558" s="5">
        <v>615</v>
      </c>
    </row>
    <row r="16559" spans="1:19" ht="56" x14ac:dyDescent="0.15">
      <c r="A16559" s="2">
        <f>HYPERLINK("https://open-school.uspishnemisto.com.ua/school/800316/", 800316)</f>
        <v>800316</v>
      </c>
      <c r="B16559" s="3" t="s">
        <v>83345</v>
      </c>
      <c r="C16559" s="3" t="s">
        <v>244</v>
      </c>
      <c r="D16559" s="3" t="s">
        <v>32</v>
      </c>
      <c r="E16559" s="4" t="s">
        <v>22</v>
      </c>
      <c r="F16559" s="4" t="s">
        <v>83290</v>
      </c>
      <c r="G16559" s="4" t="s">
        <v>83232</v>
      </c>
      <c r="H16559" s="3" t="s">
        <v>81975</v>
      </c>
      <c r="I16559" s="3" t="s">
        <v>83233</v>
      </c>
      <c r="J16559" s="3" t="s">
        <v>83346</v>
      </c>
      <c r="K16559" s="3" t="s">
        <v>83347</v>
      </c>
      <c r="L16559" s="3" t="s">
        <v>83348</v>
      </c>
      <c r="M16559" s="4"/>
      <c r="N16559" s="3" t="s">
        <v>37</v>
      </c>
      <c r="O16559" s="3" t="s">
        <v>38</v>
      </c>
      <c r="P16559" s="5">
        <v>20</v>
      </c>
      <c r="Q16559" s="5">
        <v>488</v>
      </c>
      <c r="R16559" s="5">
        <v>20</v>
      </c>
      <c r="S16559" s="5">
        <v>485</v>
      </c>
    </row>
    <row r="16560" spans="1:19" ht="42" x14ac:dyDescent="0.15">
      <c r="A16560" s="2">
        <f>HYPERLINK("https://open-school.uspishnemisto.com.ua/school/800317/", 800317)</f>
        <v>800317</v>
      </c>
      <c r="B16560" s="3" t="s">
        <v>83349</v>
      </c>
      <c r="C16560" s="3" t="s">
        <v>244</v>
      </c>
      <c r="D16560" s="3" t="s">
        <v>32</v>
      </c>
      <c r="E16560" s="4" t="s">
        <v>22</v>
      </c>
      <c r="F16560" s="4" t="s">
        <v>83275</v>
      </c>
      <c r="G16560" s="4" t="s">
        <v>83232</v>
      </c>
      <c r="H16560" s="3" t="s">
        <v>81975</v>
      </c>
      <c r="I16560" s="3" t="s">
        <v>83233</v>
      </c>
      <c r="J16560" s="3" t="s">
        <v>83350</v>
      </c>
      <c r="K16560" s="3" t="s">
        <v>83351</v>
      </c>
      <c r="L16560" s="3" t="s">
        <v>83352</v>
      </c>
      <c r="M16560" s="4"/>
      <c r="N16560" s="3" t="s">
        <v>128</v>
      </c>
      <c r="O16560" s="3" t="s">
        <v>70</v>
      </c>
      <c r="P16560" s="5">
        <v>47</v>
      </c>
      <c r="Q16560" s="5">
        <v>1261</v>
      </c>
      <c r="R16560" s="5">
        <v>45</v>
      </c>
      <c r="S16560" s="5">
        <v>1175</v>
      </c>
    </row>
    <row r="16561" spans="1:19" ht="42" x14ac:dyDescent="0.15">
      <c r="A16561" s="2">
        <f>HYPERLINK("https://open-school.uspishnemisto.com.ua/school/800318/", 800318)</f>
        <v>800318</v>
      </c>
      <c r="B16561" s="3" t="s">
        <v>83353</v>
      </c>
      <c r="C16561" s="3" t="s">
        <v>181</v>
      </c>
      <c r="D16561" s="3" t="s">
        <v>32</v>
      </c>
      <c r="E16561" s="4" t="s">
        <v>22</v>
      </c>
      <c r="F16561" s="4" t="s">
        <v>82915</v>
      </c>
      <c r="G16561" s="4" t="s">
        <v>83232</v>
      </c>
      <c r="H16561" s="3" t="s">
        <v>81975</v>
      </c>
      <c r="I16561" s="3" t="s">
        <v>83233</v>
      </c>
      <c r="J16561" s="3" t="s">
        <v>83354</v>
      </c>
      <c r="K16561" s="3" t="s">
        <v>83355</v>
      </c>
      <c r="L16561" s="3" t="s">
        <v>83356</v>
      </c>
      <c r="M16561" s="4"/>
      <c r="N16561" s="3" t="s">
        <v>37</v>
      </c>
      <c r="O16561" s="3" t="s">
        <v>52</v>
      </c>
      <c r="P16561" s="5">
        <v>24</v>
      </c>
      <c r="Q16561" s="5">
        <v>171</v>
      </c>
      <c r="R16561" s="5">
        <v>25</v>
      </c>
      <c r="S16561" s="5">
        <v>170</v>
      </c>
    </row>
    <row r="16562" spans="1:19" ht="42" x14ac:dyDescent="0.15">
      <c r="A16562" s="2">
        <f>HYPERLINK("https://open-school.uspishnemisto.com.ua/school/800319/", 800319)</f>
        <v>800319</v>
      </c>
      <c r="B16562" s="3" t="s">
        <v>83357</v>
      </c>
      <c r="C16562" s="3" t="s">
        <v>181</v>
      </c>
      <c r="D16562" s="3" t="s">
        <v>32</v>
      </c>
      <c r="E16562" s="4" t="s">
        <v>22</v>
      </c>
      <c r="F16562" s="4" t="s">
        <v>83280</v>
      </c>
      <c r="G16562" s="4" t="s">
        <v>83232</v>
      </c>
      <c r="H16562" s="3" t="s">
        <v>81975</v>
      </c>
      <c r="I16562" s="3" t="s">
        <v>83233</v>
      </c>
      <c r="J16562" s="3" t="s">
        <v>83358</v>
      </c>
      <c r="K16562" s="3" t="s">
        <v>83359</v>
      </c>
      <c r="L16562" s="3" t="s">
        <v>83360</v>
      </c>
      <c r="M16562" s="4"/>
      <c r="N16562" s="3" t="s">
        <v>37</v>
      </c>
      <c r="O16562" s="3" t="s">
        <v>52</v>
      </c>
      <c r="P16562" s="5">
        <v>26</v>
      </c>
      <c r="Q16562" s="5">
        <v>227</v>
      </c>
      <c r="R16562" s="5">
        <v>24</v>
      </c>
      <c r="S16562" s="5">
        <v>217</v>
      </c>
    </row>
    <row r="16563" spans="1:19" ht="28" x14ac:dyDescent="0.15">
      <c r="A16563" s="2">
        <f>HYPERLINK("https://open-school.uspishnemisto.com.ua/school/800320/", 800320)</f>
        <v>800320</v>
      </c>
      <c r="B16563" s="3" t="s">
        <v>83361</v>
      </c>
      <c r="C16563" s="3" t="s">
        <v>188</v>
      </c>
      <c r="D16563" s="3" t="s">
        <v>32</v>
      </c>
      <c r="E16563" s="4" t="s">
        <v>22</v>
      </c>
      <c r="F16563" s="4" t="s">
        <v>83253</v>
      </c>
      <c r="G16563" s="4" t="s">
        <v>83232</v>
      </c>
      <c r="H16563" s="3" t="s">
        <v>81975</v>
      </c>
      <c r="I16563" s="3" t="s">
        <v>83233</v>
      </c>
      <c r="J16563" s="3" t="s">
        <v>83362</v>
      </c>
      <c r="K16563" s="3" t="s">
        <v>83363</v>
      </c>
      <c r="L16563" s="3" t="s">
        <v>83364</v>
      </c>
      <c r="M16563" s="4" t="s">
        <v>83365</v>
      </c>
      <c r="N16563" s="3" t="s">
        <v>37</v>
      </c>
      <c r="O16563" s="3" t="s">
        <v>237</v>
      </c>
      <c r="P16563" s="5">
        <v>11</v>
      </c>
      <c r="Q16563" s="5">
        <v>277</v>
      </c>
      <c r="R16563" s="5">
        <v>11</v>
      </c>
      <c r="S16563" s="5">
        <v>267</v>
      </c>
    </row>
    <row r="16564" spans="1:19" ht="28" x14ac:dyDescent="0.15">
      <c r="A16564" s="2">
        <f>HYPERLINK("https://open-school.uspishnemisto.com.ua/school/800321/", 800321)</f>
        <v>800321</v>
      </c>
      <c r="B16564" s="3" t="s">
        <v>83366</v>
      </c>
      <c r="C16564" s="3" t="s">
        <v>54</v>
      </c>
      <c r="D16564" s="3" t="s">
        <v>60</v>
      </c>
      <c r="E16564" s="4" t="s">
        <v>22</v>
      </c>
      <c r="F16564" s="4" t="s">
        <v>83275</v>
      </c>
      <c r="G16564" s="4" t="s">
        <v>83232</v>
      </c>
      <c r="H16564" s="3" t="s">
        <v>81975</v>
      </c>
      <c r="I16564" s="3" t="s">
        <v>83233</v>
      </c>
      <c r="J16564" s="3" t="s">
        <v>83367</v>
      </c>
      <c r="K16564" s="3" t="s">
        <v>83368</v>
      </c>
      <c r="L16564" s="3" t="s">
        <v>83369</v>
      </c>
      <c r="M16564" s="4"/>
      <c r="N16564" s="3" t="s">
        <v>37</v>
      </c>
      <c r="O16564" s="3" t="s">
        <v>52</v>
      </c>
      <c r="P16564" s="5">
        <v>2</v>
      </c>
      <c r="Q16564" s="5">
        <v>51</v>
      </c>
      <c r="R16564" s="5">
        <v>3</v>
      </c>
      <c r="S16564" s="5">
        <v>80</v>
      </c>
    </row>
    <row r="16565" spans="1:19" ht="28" x14ac:dyDescent="0.15">
      <c r="A16565" s="2">
        <f>HYPERLINK("https://open-school.uspishnemisto.com.ua/school/800322/", 800322)</f>
        <v>800322</v>
      </c>
      <c r="B16565" s="3" t="s">
        <v>83370</v>
      </c>
      <c r="C16565" s="3" t="s">
        <v>54</v>
      </c>
      <c r="D16565" s="3" t="s">
        <v>60</v>
      </c>
      <c r="E16565" s="4" t="s">
        <v>22</v>
      </c>
      <c r="F16565" s="4" t="s">
        <v>83275</v>
      </c>
      <c r="G16565" s="4" t="s">
        <v>83232</v>
      </c>
      <c r="H16565" s="3" t="s">
        <v>81975</v>
      </c>
      <c r="I16565" s="3" t="s">
        <v>83233</v>
      </c>
      <c r="J16565" s="3" t="s">
        <v>83371</v>
      </c>
      <c r="K16565" s="3" t="s">
        <v>83372</v>
      </c>
      <c r="L16565" s="3"/>
      <c r="M16565" s="4"/>
      <c r="N16565" s="3" t="s">
        <v>37</v>
      </c>
      <c r="O16565" s="3" t="s">
        <v>52</v>
      </c>
      <c r="P16565" s="5">
        <v>4</v>
      </c>
      <c r="Q16565" s="5">
        <v>120</v>
      </c>
      <c r="R16565" s="5">
        <v>4</v>
      </c>
      <c r="S16565" s="5">
        <v>123</v>
      </c>
    </row>
    <row r="16566" spans="1:19" ht="28" x14ac:dyDescent="0.15">
      <c r="A16566" s="2">
        <f>HYPERLINK("https://open-school.uspishnemisto.com.ua/school/800323/", 800323)</f>
        <v>800323</v>
      </c>
      <c r="B16566" s="3" t="s">
        <v>83373</v>
      </c>
      <c r="C16566" s="3" t="s">
        <v>54</v>
      </c>
      <c r="D16566" s="3" t="s">
        <v>60</v>
      </c>
      <c r="E16566" s="4" t="s">
        <v>22</v>
      </c>
      <c r="F16566" s="4" t="s">
        <v>83231</v>
      </c>
      <c r="G16566" s="4" t="s">
        <v>83232</v>
      </c>
      <c r="H16566" s="3" t="s">
        <v>81975</v>
      </c>
      <c r="I16566" s="3" t="s">
        <v>83233</v>
      </c>
      <c r="J16566" s="3" t="s">
        <v>83374</v>
      </c>
      <c r="K16566" s="3" t="s">
        <v>83375</v>
      </c>
      <c r="L16566" s="3" t="s">
        <v>83376</v>
      </c>
      <c r="M16566" s="4"/>
      <c r="N16566" s="3" t="s">
        <v>37</v>
      </c>
      <c r="O16566" s="3" t="s">
        <v>38</v>
      </c>
      <c r="P16566" s="5">
        <v>6</v>
      </c>
      <c r="Q16566" s="5">
        <v>152</v>
      </c>
      <c r="R16566" s="5">
        <v>6</v>
      </c>
      <c r="S16566" s="5">
        <v>149</v>
      </c>
    </row>
    <row r="16567" spans="1:19" ht="28" x14ac:dyDescent="0.15">
      <c r="A16567" s="2">
        <f>HYPERLINK("https://open-school.uspishnemisto.com.ua/school/800324/", 800324)</f>
        <v>800324</v>
      </c>
      <c r="B16567" s="3" t="s">
        <v>83377</v>
      </c>
      <c r="C16567" s="3" t="s">
        <v>31</v>
      </c>
      <c r="D16567" s="3" t="s">
        <v>32</v>
      </c>
      <c r="E16567" s="4" t="s">
        <v>41</v>
      </c>
      <c r="F16567" s="4" t="s">
        <v>83242</v>
      </c>
      <c r="G16567" s="4" t="s">
        <v>83232</v>
      </c>
      <c r="H16567" s="3" t="s">
        <v>81975</v>
      </c>
      <c r="I16567" s="3" t="s">
        <v>83233</v>
      </c>
      <c r="J16567" s="3" t="s">
        <v>83378</v>
      </c>
      <c r="K16567" s="3" t="s">
        <v>83379</v>
      </c>
      <c r="L16567" s="3" t="s">
        <v>83380</v>
      </c>
      <c r="M16567" s="4"/>
      <c r="N16567" s="3" t="s">
        <v>37</v>
      </c>
      <c r="O16567" s="3" t="s">
        <v>46</v>
      </c>
      <c r="P16567" s="5">
        <v>10</v>
      </c>
      <c r="Q16567" s="5">
        <v>91</v>
      </c>
      <c r="R16567" s="5">
        <v>11</v>
      </c>
      <c r="S16567" s="5">
        <v>100</v>
      </c>
    </row>
    <row r="16568" spans="1:19" ht="28" x14ac:dyDescent="0.15">
      <c r="A16568" s="2">
        <f>HYPERLINK("https://open-school.uspishnemisto.com.ua/school/800325/", 800325)</f>
        <v>800325</v>
      </c>
      <c r="B16568" s="3" t="s">
        <v>83381</v>
      </c>
      <c r="C16568" s="3" t="s">
        <v>54</v>
      </c>
      <c r="D16568" s="3" t="s">
        <v>60</v>
      </c>
      <c r="E16568" s="4" t="s">
        <v>22</v>
      </c>
      <c r="F16568" s="4" t="s">
        <v>83242</v>
      </c>
      <c r="G16568" s="4" t="s">
        <v>83232</v>
      </c>
      <c r="H16568" s="3" t="s">
        <v>81975</v>
      </c>
      <c r="I16568" s="3" t="s">
        <v>83233</v>
      </c>
      <c r="J16568" s="3" t="s">
        <v>83382</v>
      </c>
      <c r="K16568" s="3" t="s">
        <v>83383</v>
      </c>
      <c r="L16568" s="3" t="s">
        <v>83384</v>
      </c>
      <c r="M16568" s="4"/>
      <c r="N16568" s="3" t="s">
        <v>37</v>
      </c>
      <c r="O16568" s="3" t="s">
        <v>46</v>
      </c>
      <c r="P16568" s="5">
        <v>11</v>
      </c>
      <c r="Q16568" s="5">
        <v>336</v>
      </c>
      <c r="R16568" s="5">
        <v>10</v>
      </c>
      <c r="S16568" s="5">
        <v>305</v>
      </c>
    </row>
    <row r="16569" spans="1:19" ht="28" x14ac:dyDescent="0.15">
      <c r="A16569" s="2">
        <f>HYPERLINK("https://open-school.uspishnemisto.com.ua/school/800326/", 800326)</f>
        <v>800326</v>
      </c>
      <c r="B16569" s="3" t="s">
        <v>83385</v>
      </c>
      <c r="C16569" s="3" t="s">
        <v>181</v>
      </c>
      <c r="D16569" s="3"/>
      <c r="E16569" s="4" t="s">
        <v>22</v>
      </c>
      <c r="F16569" s="4" t="s">
        <v>83262</v>
      </c>
      <c r="G16569" s="4" t="s">
        <v>83232</v>
      </c>
      <c r="H16569" s="3" t="s">
        <v>81975</v>
      </c>
      <c r="I16569" s="3" t="s">
        <v>83233</v>
      </c>
      <c r="J16569" s="3" t="s">
        <v>83386</v>
      </c>
      <c r="K16569" s="3" t="s">
        <v>83387</v>
      </c>
      <c r="L16569" s="3" t="s">
        <v>83388</v>
      </c>
      <c r="M16569" s="4"/>
      <c r="N16569" s="3" t="s">
        <v>37</v>
      </c>
      <c r="O16569" s="3" t="s">
        <v>52</v>
      </c>
      <c r="P16569" s="5">
        <v>7</v>
      </c>
      <c r="Q16569" s="5">
        <v>72</v>
      </c>
      <c r="R16569" s="5">
        <v>7</v>
      </c>
      <c r="S16569" s="5">
        <v>73</v>
      </c>
    </row>
    <row r="16570" spans="1:19" ht="28" x14ac:dyDescent="0.15">
      <c r="A16570" s="2">
        <f>HYPERLINK("https://open-school.uspishnemisto.com.ua/school/800328/", 800328)</f>
        <v>800328</v>
      </c>
      <c r="B16570" s="3" t="s">
        <v>83389</v>
      </c>
      <c r="C16570" s="3" t="s">
        <v>54</v>
      </c>
      <c r="D16570" s="3" t="s">
        <v>60</v>
      </c>
      <c r="E16570" s="4" t="s">
        <v>22</v>
      </c>
      <c r="F16570" s="4" t="s">
        <v>83280</v>
      </c>
      <c r="G16570" s="4" t="s">
        <v>83232</v>
      </c>
      <c r="H16570" s="3" t="s">
        <v>81975</v>
      </c>
      <c r="I16570" s="3" t="s">
        <v>83233</v>
      </c>
      <c r="J16570" s="3" t="s">
        <v>83390</v>
      </c>
      <c r="K16570" s="3" t="s">
        <v>83391</v>
      </c>
      <c r="L16570" s="3" t="s">
        <v>83392</v>
      </c>
      <c r="M16570" s="4"/>
      <c r="N16570" s="3" t="s">
        <v>37</v>
      </c>
      <c r="O16570" s="3" t="s">
        <v>52</v>
      </c>
      <c r="P16570" s="5">
        <v>4</v>
      </c>
      <c r="Q16570" s="5">
        <v>128</v>
      </c>
      <c r="R16570" s="5">
        <v>4</v>
      </c>
      <c r="S16570" s="5">
        <v>124</v>
      </c>
    </row>
    <row r="16571" spans="1:19" ht="28" x14ac:dyDescent="0.15">
      <c r="A16571" s="2">
        <f>HYPERLINK("https://open-school.uspishnemisto.com.ua/school/800329/", 800329)</f>
        <v>800329</v>
      </c>
      <c r="B16571" s="3" t="s">
        <v>83393</v>
      </c>
      <c r="C16571" s="3" t="s">
        <v>20</v>
      </c>
      <c r="D16571" s="3" t="s">
        <v>82385</v>
      </c>
      <c r="E16571" s="4" t="s">
        <v>22</v>
      </c>
      <c r="F16571" s="4" t="s">
        <v>83394</v>
      </c>
      <c r="G16571" s="4" t="s">
        <v>83395</v>
      </c>
      <c r="H16571" s="3" t="s">
        <v>81975</v>
      </c>
      <c r="I16571" s="3" t="s">
        <v>83396</v>
      </c>
      <c r="J16571" s="3" t="s">
        <v>83397</v>
      </c>
      <c r="K16571" s="3" t="s">
        <v>83398</v>
      </c>
      <c r="L16571" s="3" t="s">
        <v>83399</v>
      </c>
      <c r="M16571" s="4"/>
      <c r="N16571" s="3"/>
      <c r="O16571" s="3"/>
      <c r="P16571" s="5">
        <v>0</v>
      </c>
      <c r="Q16571" s="5">
        <v>0</v>
      </c>
      <c r="R16571" s="5"/>
      <c r="S16571" s="5"/>
    </row>
    <row r="16572" spans="1:19" ht="28" x14ac:dyDescent="0.15">
      <c r="A16572" s="2">
        <f>HYPERLINK("https://open-school.uspishnemisto.com.ua/school/800330/", 800330)</f>
        <v>800330</v>
      </c>
      <c r="B16572" s="3" t="s">
        <v>83400</v>
      </c>
      <c r="C16572" s="3" t="s">
        <v>40</v>
      </c>
      <c r="D16572" s="3" t="s">
        <v>32</v>
      </c>
      <c r="E16572" s="4" t="s">
        <v>22</v>
      </c>
      <c r="F16572" s="4" t="s">
        <v>83401</v>
      </c>
      <c r="G16572" s="4" t="s">
        <v>83395</v>
      </c>
      <c r="H16572" s="3" t="s">
        <v>81975</v>
      </c>
      <c r="I16572" s="3" t="s">
        <v>83396</v>
      </c>
      <c r="J16572" s="3" t="s">
        <v>83402</v>
      </c>
      <c r="K16572" s="3" t="s">
        <v>83403</v>
      </c>
      <c r="L16572" s="3" t="s">
        <v>83404</v>
      </c>
      <c r="M16572" s="4"/>
      <c r="N16572" s="3" t="s">
        <v>37</v>
      </c>
      <c r="O16572" s="3" t="s">
        <v>52</v>
      </c>
      <c r="P16572" s="5">
        <v>36</v>
      </c>
      <c r="Q16572" s="5">
        <v>1120</v>
      </c>
      <c r="R16572" s="5">
        <v>33</v>
      </c>
      <c r="S16572" s="5">
        <v>1025</v>
      </c>
    </row>
    <row r="16573" spans="1:19" ht="28" x14ac:dyDescent="0.15">
      <c r="A16573" s="2">
        <f>HYPERLINK("https://open-school.uspishnemisto.com.ua/school/800331/", 800331)</f>
        <v>800331</v>
      </c>
      <c r="B16573" s="3" t="s">
        <v>83405</v>
      </c>
      <c r="C16573" s="3" t="s">
        <v>40</v>
      </c>
      <c r="D16573" s="3" t="s">
        <v>19078</v>
      </c>
      <c r="E16573" s="4" t="s">
        <v>41</v>
      </c>
      <c r="F16573" s="4" t="s">
        <v>83406</v>
      </c>
      <c r="G16573" s="4" t="s">
        <v>83395</v>
      </c>
      <c r="H16573" s="3" t="s">
        <v>81975</v>
      </c>
      <c r="I16573" s="3" t="s">
        <v>83396</v>
      </c>
      <c r="J16573" s="3" t="s">
        <v>83407</v>
      </c>
      <c r="K16573" s="3" t="s">
        <v>83408</v>
      </c>
      <c r="L16573" s="3" t="s">
        <v>83409</v>
      </c>
      <c r="M16573" s="4"/>
      <c r="N16573" s="3" t="s">
        <v>37</v>
      </c>
      <c r="O16573" s="3" t="s">
        <v>46</v>
      </c>
      <c r="P16573" s="5">
        <v>7</v>
      </c>
      <c r="Q16573" s="5">
        <v>76</v>
      </c>
      <c r="R16573" s="5">
        <v>6</v>
      </c>
      <c r="S16573" s="5">
        <v>77</v>
      </c>
    </row>
    <row r="16574" spans="1:19" ht="28" x14ac:dyDescent="0.15">
      <c r="A16574" s="2">
        <f>HYPERLINK("https://open-school.uspishnemisto.com.ua/school/800332/", 800332)</f>
        <v>800332</v>
      </c>
      <c r="B16574" s="3" t="s">
        <v>83410</v>
      </c>
      <c r="C16574" s="3" t="s">
        <v>40</v>
      </c>
      <c r="D16574" s="3" t="s">
        <v>32</v>
      </c>
      <c r="E16574" s="4" t="s">
        <v>41</v>
      </c>
      <c r="F16574" s="4"/>
      <c r="G16574" s="4" t="s">
        <v>83395</v>
      </c>
      <c r="H16574" s="3" t="s">
        <v>81975</v>
      </c>
      <c r="I16574" s="3" t="s">
        <v>83396</v>
      </c>
      <c r="J16574" s="3" t="s">
        <v>83411</v>
      </c>
      <c r="K16574" s="3"/>
      <c r="L16574" s="3" t="s">
        <v>83412</v>
      </c>
      <c r="M16574" s="4"/>
      <c r="N16574" s="3" t="s">
        <v>37</v>
      </c>
      <c r="O16574" s="3" t="s">
        <v>46</v>
      </c>
      <c r="P16574" s="5">
        <v>7</v>
      </c>
      <c r="Q16574" s="5">
        <v>31</v>
      </c>
      <c r="R16574" s="5">
        <v>7</v>
      </c>
      <c r="S16574" s="5">
        <v>34</v>
      </c>
    </row>
    <row r="16575" spans="1:19" ht="28" x14ac:dyDescent="0.15">
      <c r="A16575" s="2">
        <f>HYPERLINK("https://open-school.uspishnemisto.com.ua/school/800333/", 800333)</f>
        <v>800333</v>
      </c>
      <c r="B16575" s="3" t="s">
        <v>83413</v>
      </c>
      <c r="C16575" s="3" t="s">
        <v>40</v>
      </c>
      <c r="D16575" s="3" t="s">
        <v>21</v>
      </c>
      <c r="E16575" s="4" t="s">
        <v>22</v>
      </c>
      <c r="F16575" s="4" t="s">
        <v>83414</v>
      </c>
      <c r="G16575" s="4" t="s">
        <v>83395</v>
      </c>
      <c r="H16575" s="3" t="s">
        <v>81975</v>
      </c>
      <c r="I16575" s="3" t="s">
        <v>83396</v>
      </c>
      <c r="J16575" s="3" t="s">
        <v>83415</v>
      </c>
      <c r="K16575" s="3" t="s">
        <v>83416</v>
      </c>
      <c r="L16575" s="3" t="s">
        <v>83417</v>
      </c>
      <c r="M16575" s="4"/>
      <c r="N16575" s="3" t="s">
        <v>37</v>
      </c>
      <c r="O16575" s="3" t="s">
        <v>129</v>
      </c>
      <c r="P16575" s="5">
        <v>25</v>
      </c>
      <c r="Q16575" s="5">
        <v>604</v>
      </c>
      <c r="R16575" s="5">
        <v>23</v>
      </c>
      <c r="S16575" s="5">
        <v>547</v>
      </c>
    </row>
    <row r="16576" spans="1:19" ht="28" x14ac:dyDescent="0.15">
      <c r="A16576" s="2">
        <f>HYPERLINK("https://open-school.uspishnemisto.com.ua/school/800334/", 800334)</f>
        <v>800334</v>
      </c>
      <c r="B16576" s="3" t="s">
        <v>83418</v>
      </c>
      <c r="C16576" s="3" t="s">
        <v>40</v>
      </c>
      <c r="D16576" s="3" t="s">
        <v>32</v>
      </c>
      <c r="E16576" s="4" t="s">
        <v>22</v>
      </c>
      <c r="F16576" s="4" t="s">
        <v>83419</v>
      </c>
      <c r="G16576" s="4" t="s">
        <v>83395</v>
      </c>
      <c r="H16576" s="3" t="s">
        <v>81975</v>
      </c>
      <c r="I16576" s="3" t="s">
        <v>83396</v>
      </c>
      <c r="J16576" s="3" t="s">
        <v>83420</v>
      </c>
      <c r="K16576" s="3" t="s">
        <v>83421</v>
      </c>
      <c r="L16576" s="3" t="s">
        <v>83422</v>
      </c>
      <c r="M16576" s="4"/>
      <c r="N16576" s="3" t="s">
        <v>37</v>
      </c>
      <c r="O16576" s="3" t="s">
        <v>2740</v>
      </c>
      <c r="P16576" s="5">
        <v>32</v>
      </c>
      <c r="Q16576" s="5">
        <v>888</v>
      </c>
      <c r="R16576" s="5">
        <v>33</v>
      </c>
      <c r="S16576" s="5">
        <v>896</v>
      </c>
    </row>
    <row r="16577" spans="1:19" ht="28" x14ac:dyDescent="0.15">
      <c r="A16577" s="2">
        <f>HYPERLINK("https://open-school.uspishnemisto.com.ua/school/800335/", 800335)</f>
        <v>800335</v>
      </c>
      <c r="B16577" s="3" t="s">
        <v>83423</v>
      </c>
      <c r="C16577" s="3" t="s">
        <v>40</v>
      </c>
      <c r="D16577" s="3" t="s">
        <v>21</v>
      </c>
      <c r="E16577" s="4" t="s">
        <v>22</v>
      </c>
      <c r="F16577" s="4" t="s">
        <v>83424</v>
      </c>
      <c r="G16577" s="4" t="s">
        <v>83395</v>
      </c>
      <c r="H16577" s="3" t="s">
        <v>81975</v>
      </c>
      <c r="I16577" s="3" t="s">
        <v>83396</v>
      </c>
      <c r="J16577" s="3" t="s">
        <v>83425</v>
      </c>
      <c r="K16577" s="3" t="s">
        <v>83426</v>
      </c>
      <c r="L16577" s="3" t="s">
        <v>83427</v>
      </c>
      <c r="M16577" s="4"/>
      <c r="N16577" s="3" t="s">
        <v>37</v>
      </c>
      <c r="O16577" s="3" t="s">
        <v>52</v>
      </c>
      <c r="P16577" s="5">
        <v>39</v>
      </c>
      <c r="Q16577" s="5">
        <v>1158</v>
      </c>
      <c r="R16577" s="5">
        <v>41</v>
      </c>
      <c r="S16577" s="5">
        <v>1173</v>
      </c>
    </row>
    <row r="16578" spans="1:19" ht="28" x14ac:dyDescent="0.15">
      <c r="A16578" s="2">
        <f>HYPERLINK("https://open-school.uspishnemisto.com.ua/school/800336/", 800336)</f>
        <v>800336</v>
      </c>
      <c r="B16578" s="3" t="s">
        <v>83428</v>
      </c>
      <c r="C16578" s="3" t="s">
        <v>188</v>
      </c>
      <c r="D16578" s="3" t="s">
        <v>32</v>
      </c>
      <c r="E16578" s="4" t="s">
        <v>22</v>
      </c>
      <c r="F16578" s="4" t="s">
        <v>83429</v>
      </c>
      <c r="G16578" s="4" t="s">
        <v>83395</v>
      </c>
      <c r="H16578" s="3" t="s">
        <v>81975</v>
      </c>
      <c r="I16578" s="3" t="s">
        <v>83396</v>
      </c>
      <c r="J16578" s="3" t="s">
        <v>83430</v>
      </c>
      <c r="K16578" s="3" t="s">
        <v>83431</v>
      </c>
      <c r="L16578" s="3" t="s">
        <v>83432</v>
      </c>
      <c r="M16578" s="4"/>
      <c r="N16578" s="3" t="s">
        <v>37</v>
      </c>
      <c r="O16578" s="3" t="s">
        <v>46</v>
      </c>
      <c r="P16578" s="5">
        <v>42</v>
      </c>
      <c r="Q16578" s="5">
        <v>1331</v>
      </c>
      <c r="R16578" s="5">
        <v>41</v>
      </c>
      <c r="S16578" s="5">
        <v>1320</v>
      </c>
    </row>
    <row r="16579" spans="1:19" ht="28" x14ac:dyDescent="0.15">
      <c r="A16579" s="2">
        <f>HYPERLINK("https://open-school.uspishnemisto.com.ua/school/800337/", 800337)</f>
        <v>800337</v>
      </c>
      <c r="B16579" s="3" t="s">
        <v>83433</v>
      </c>
      <c r="C16579" s="3" t="s">
        <v>40</v>
      </c>
      <c r="D16579" s="3" t="s">
        <v>32</v>
      </c>
      <c r="E16579" s="4" t="s">
        <v>41</v>
      </c>
      <c r="F16579" s="4" t="s">
        <v>83434</v>
      </c>
      <c r="G16579" s="4" t="s">
        <v>83395</v>
      </c>
      <c r="H16579" s="3" t="s">
        <v>81975</v>
      </c>
      <c r="I16579" s="3" t="s">
        <v>83396</v>
      </c>
      <c r="J16579" s="3" t="s">
        <v>83435</v>
      </c>
      <c r="K16579" s="3" t="s">
        <v>83436</v>
      </c>
      <c r="L16579" s="3" t="s">
        <v>83437</v>
      </c>
      <c r="M16579" s="4"/>
      <c r="N16579" s="3" t="s">
        <v>37</v>
      </c>
      <c r="O16579" s="3" t="s">
        <v>52</v>
      </c>
      <c r="P16579" s="5">
        <v>14</v>
      </c>
      <c r="Q16579" s="5">
        <v>203</v>
      </c>
      <c r="R16579" s="5">
        <v>15</v>
      </c>
      <c r="S16579" s="5">
        <v>213</v>
      </c>
    </row>
    <row r="16580" spans="1:19" ht="28" x14ac:dyDescent="0.15">
      <c r="A16580" s="2">
        <f>HYPERLINK("https://open-school.uspishnemisto.com.ua/school/800338/", 800338)</f>
        <v>800338</v>
      </c>
      <c r="B16580" s="3" t="s">
        <v>83438</v>
      </c>
      <c r="C16580" s="3" t="s">
        <v>54</v>
      </c>
      <c r="D16580" s="3" t="s">
        <v>32</v>
      </c>
      <c r="E16580" s="4" t="s">
        <v>22</v>
      </c>
      <c r="F16580" s="4"/>
      <c r="G16580" s="4" t="s">
        <v>83395</v>
      </c>
      <c r="H16580" s="3" t="s">
        <v>81975</v>
      </c>
      <c r="I16580" s="3" t="s">
        <v>83396</v>
      </c>
      <c r="J16580" s="3" t="s">
        <v>83439</v>
      </c>
      <c r="K16580" s="3"/>
      <c r="L16580" s="3"/>
      <c r="M16580" s="4"/>
      <c r="N16580" s="3"/>
      <c r="O16580" s="3"/>
      <c r="P16580" s="5">
        <v>0</v>
      </c>
      <c r="Q16580" s="5">
        <v>0</v>
      </c>
      <c r="R16580" s="5">
        <v>0</v>
      </c>
      <c r="S16580" s="5">
        <v>0</v>
      </c>
    </row>
    <row r="16581" spans="1:19" ht="28" x14ac:dyDescent="0.15">
      <c r="A16581" s="2">
        <f>HYPERLINK("https://open-school.uspishnemisto.com.ua/school/800339/", 800339)</f>
        <v>800339</v>
      </c>
      <c r="B16581" s="3" t="s">
        <v>83440</v>
      </c>
      <c r="C16581" s="3" t="s">
        <v>54</v>
      </c>
      <c r="D16581" s="3" t="s">
        <v>32</v>
      </c>
      <c r="E16581" s="4" t="s">
        <v>22</v>
      </c>
      <c r="F16581" s="4"/>
      <c r="G16581" s="4" t="s">
        <v>83395</v>
      </c>
      <c r="H16581" s="3" t="s">
        <v>81975</v>
      </c>
      <c r="I16581" s="3" t="s">
        <v>83396</v>
      </c>
      <c r="J16581" s="3" t="s">
        <v>83441</v>
      </c>
      <c r="K16581" s="3" t="s">
        <v>83442</v>
      </c>
      <c r="L16581" s="3"/>
      <c r="M16581" s="4"/>
      <c r="N16581" s="3" t="s">
        <v>37</v>
      </c>
      <c r="O16581" s="3" t="s">
        <v>52</v>
      </c>
      <c r="P16581" s="5">
        <v>4</v>
      </c>
      <c r="Q16581" s="5">
        <v>103</v>
      </c>
      <c r="R16581" s="5">
        <v>4</v>
      </c>
      <c r="S16581" s="5">
        <v>113</v>
      </c>
    </row>
    <row r="16582" spans="1:19" ht="28" x14ac:dyDescent="0.15">
      <c r="A16582" s="2">
        <f>HYPERLINK("https://open-school.uspishnemisto.com.ua/school/800340/", 800340)</f>
        <v>800340</v>
      </c>
      <c r="B16582" s="3" t="s">
        <v>83443</v>
      </c>
      <c r="C16582" s="3" t="s">
        <v>54</v>
      </c>
      <c r="D16582" s="3" t="s">
        <v>32</v>
      </c>
      <c r="E16582" s="4" t="s">
        <v>22</v>
      </c>
      <c r="F16582" s="4"/>
      <c r="G16582" s="4" t="s">
        <v>83395</v>
      </c>
      <c r="H16582" s="3" t="s">
        <v>81975</v>
      </c>
      <c r="I16582" s="3" t="s">
        <v>83396</v>
      </c>
      <c r="J16582" s="3" t="s">
        <v>83444</v>
      </c>
      <c r="K16582" s="3" t="s">
        <v>83445</v>
      </c>
      <c r="L16582" s="3"/>
      <c r="M16582" s="4"/>
      <c r="N16582" s="3" t="s">
        <v>37</v>
      </c>
      <c r="O16582" s="3" t="s">
        <v>52</v>
      </c>
      <c r="P16582" s="5">
        <v>4</v>
      </c>
      <c r="Q16582" s="5">
        <v>95</v>
      </c>
      <c r="R16582" s="5">
        <v>4</v>
      </c>
      <c r="S16582" s="5">
        <v>101</v>
      </c>
    </row>
    <row r="16583" spans="1:19" ht="28" x14ac:dyDescent="0.15">
      <c r="A16583" s="2">
        <f>HYPERLINK("https://open-school.uspishnemisto.com.ua/school/800341/", 800341)</f>
        <v>800341</v>
      </c>
      <c r="B16583" s="3" t="s">
        <v>83446</v>
      </c>
      <c r="C16583" s="3" t="s">
        <v>54</v>
      </c>
      <c r="D16583" s="3" t="s">
        <v>32</v>
      </c>
      <c r="E16583" s="4" t="s">
        <v>22</v>
      </c>
      <c r="F16583" s="4"/>
      <c r="G16583" s="4" t="s">
        <v>83395</v>
      </c>
      <c r="H16583" s="3" t="s">
        <v>81975</v>
      </c>
      <c r="I16583" s="3" t="s">
        <v>83396</v>
      </c>
      <c r="J16583" s="3" t="s">
        <v>83447</v>
      </c>
      <c r="K16583" s="3" t="s">
        <v>83448</v>
      </c>
      <c r="L16583" s="3"/>
      <c r="M16583" s="4"/>
      <c r="N16583" s="3"/>
      <c r="O16583" s="3"/>
      <c r="P16583" s="5">
        <v>0</v>
      </c>
      <c r="Q16583" s="5">
        <v>0</v>
      </c>
      <c r="R16583" s="5">
        <v>0</v>
      </c>
      <c r="S16583" s="5">
        <v>0</v>
      </c>
    </row>
    <row r="16584" spans="1:19" ht="28" x14ac:dyDescent="0.15">
      <c r="A16584" s="2">
        <f>HYPERLINK("https://open-school.uspishnemisto.com.ua/school/800342/", 800342)</f>
        <v>800342</v>
      </c>
      <c r="B16584" s="3" t="s">
        <v>83449</v>
      </c>
      <c r="C16584" s="3" t="s">
        <v>54</v>
      </c>
      <c r="D16584" s="3" t="s">
        <v>32</v>
      </c>
      <c r="E16584" s="4" t="s">
        <v>22</v>
      </c>
      <c r="F16584" s="4"/>
      <c r="G16584" s="4" t="s">
        <v>83395</v>
      </c>
      <c r="H16584" s="3" t="s">
        <v>81975</v>
      </c>
      <c r="I16584" s="3" t="s">
        <v>83396</v>
      </c>
      <c r="J16584" s="3" t="s">
        <v>83450</v>
      </c>
      <c r="K16584" s="3" t="s">
        <v>83451</v>
      </c>
      <c r="L16584" s="3"/>
      <c r="M16584" s="4"/>
      <c r="N16584" s="3"/>
      <c r="O16584" s="3"/>
      <c r="P16584" s="5">
        <v>0</v>
      </c>
      <c r="Q16584" s="5">
        <v>0</v>
      </c>
      <c r="R16584" s="5">
        <v>0</v>
      </c>
      <c r="S16584" s="5">
        <v>0</v>
      </c>
    </row>
    <row r="16585" spans="1:19" ht="28" x14ac:dyDescent="0.15">
      <c r="A16585" s="2">
        <f>HYPERLINK("https://open-school.uspishnemisto.com.ua/school/800343/", 800343)</f>
        <v>800343</v>
      </c>
      <c r="B16585" s="3" t="s">
        <v>83452</v>
      </c>
      <c r="C16585" s="3" t="s">
        <v>54</v>
      </c>
      <c r="D16585" s="3" t="s">
        <v>32</v>
      </c>
      <c r="E16585" s="4" t="s">
        <v>22</v>
      </c>
      <c r="F16585" s="4"/>
      <c r="G16585" s="4" t="s">
        <v>83395</v>
      </c>
      <c r="H16585" s="3" t="s">
        <v>81975</v>
      </c>
      <c r="I16585" s="3" t="s">
        <v>83396</v>
      </c>
      <c r="J16585" s="3" t="s">
        <v>83453</v>
      </c>
      <c r="K16585" s="3" t="s">
        <v>83454</v>
      </c>
      <c r="L16585" s="3"/>
      <c r="M16585" s="4"/>
      <c r="N16585" s="3" t="s">
        <v>37</v>
      </c>
      <c r="O16585" s="3" t="s">
        <v>52</v>
      </c>
      <c r="P16585" s="5">
        <v>4</v>
      </c>
      <c r="Q16585" s="5">
        <v>105</v>
      </c>
      <c r="R16585" s="5">
        <v>4</v>
      </c>
      <c r="S16585" s="5">
        <v>100</v>
      </c>
    </row>
    <row r="16586" spans="1:19" ht="28" x14ac:dyDescent="0.15">
      <c r="A16586" s="2">
        <f>HYPERLINK("https://open-school.uspishnemisto.com.ua/school/800345/", 800345)</f>
        <v>800345</v>
      </c>
      <c r="B16586" s="3" t="s">
        <v>83455</v>
      </c>
      <c r="C16586" s="3" t="s">
        <v>40</v>
      </c>
      <c r="D16586" s="3" t="s">
        <v>32</v>
      </c>
      <c r="E16586" s="4" t="s">
        <v>41</v>
      </c>
      <c r="F16586" s="4" t="s">
        <v>83394</v>
      </c>
      <c r="G16586" s="4" t="s">
        <v>83395</v>
      </c>
      <c r="H16586" s="3" t="s">
        <v>81975</v>
      </c>
      <c r="I16586" s="3" t="s">
        <v>83396</v>
      </c>
      <c r="J16586" s="3" t="s">
        <v>83456</v>
      </c>
      <c r="K16586" s="3" t="s">
        <v>83457</v>
      </c>
      <c r="L16586" s="3" t="s">
        <v>83458</v>
      </c>
      <c r="M16586" s="4"/>
      <c r="N16586" s="3" t="s">
        <v>37</v>
      </c>
      <c r="O16586" s="3" t="s">
        <v>123</v>
      </c>
      <c r="P16586" s="5">
        <v>11</v>
      </c>
      <c r="Q16586" s="5">
        <v>150</v>
      </c>
      <c r="R16586" s="5">
        <v>10</v>
      </c>
      <c r="S16586" s="5">
        <v>167</v>
      </c>
    </row>
    <row r="16587" spans="1:19" ht="28" x14ac:dyDescent="0.15">
      <c r="A16587" s="2">
        <f>HYPERLINK("https://open-school.uspishnemisto.com.ua/school/800346/", 800346)</f>
        <v>800346</v>
      </c>
      <c r="B16587" s="3" t="s">
        <v>83459</v>
      </c>
      <c r="C16587" s="3" t="s">
        <v>188</v>
      </c>
      <c r="D16587" s="3" t="s">
        <v>21</v>
      </c>
      <c r="E16587" s="4" t="s">
        <v>41</v>
      </c>
      <c r="F16587" s="4" t="s">
        <v>83419</v>
      </c>
      <c r="G16587" s="4" t="s">
        <v>83395</v>
      </c>
      <c r="H16587" s="3" t="s">
        <v>81975</v>
      </c>
      <c r="I16587" s="3" t="s">
        <v>83396</v>
      </c>
      <c r="J16587" s="3" t="s">
        <v>83460</v>
      </c>
      <c r="K16587" s="3" t="s">
        <v>83461</v>
      </c>
      <c r="L16587" s="3" t="s">
        <v>83462</v>
      </c>
      <c r="M16587" s="4"/>
      <c r="N16587" s="3" t="s">
        <v>37</v>
      </c>
      <c r="O16587" s="3" t="s">
        <v>23638</v>
      </c>
      <c r="P16587" s="5">
        <v>11</v>
      </c>
      <c r="Q16587" s="5">
        <v>186</v>
      </c>
      <c r="R16587" s="5">
        <v>8</v>
      </c>
      <c r="S16587" s="5">
        <v>100</v>
      </c>
    </row>
    <row r="16588" spans="1:19" ht="42" x14ac:dyDescent="0.15">
      <c r="A16588" s="2">
        <f>HYPERLINK("https://open-school.uspishnemisto.com.ua/school/800347/", 800347)</f>
        <v>800347</v>
      </c>
      <c r="B16588" s="3" t="s">
        <v>83463</v>
      </c>
      <c r="C16588" s="3" t="s">
        <v>54</v>
      </c>
      <c r="D16588" s="3" t="s">
        <v>60</v>
      </c>
      <c r="E16588" s="4" t="s">
        <v>41</v>
      </c>
      <c r="F16588" s="4" t="s">
        <v>83434</v>
      </c>
      <c r="G16588" s="4" t="s">
        <v>83395</v>
      </c>
      <c r="H16588" s="3" t="s">
        <v>81975</v>
      </c>
      <c r="I16588" s="3" t="s">
        <v>83396</v>
      </c>
      <c r="J16588" s="3" t="s">
        <v>83464</v>
      </c>
      <c r="K16588" s="3" t="s">
        <v>83465</v>
      </c>
      <c r="L16588" s="3" t="s">
        <v>83466</v>
      </c>
      <c r="M16588" s="4"/>
      <c r="N16588" s="3" t="s">
        <v>37</v>
      </c>
      <c r="O16588" s="3" t="s">
        <v>52</v>
      </c>
      <c r="P16588" s="5">
        <v>7</v>
      </c>
      <c r="Q16588" s="5">
        <v>83</v>
      </c>
      <c r="R16588" s="5">
        <v>8</v>
      </c>
      <c r="S16588" s="5">
        <v>75</v>
      </c>
    </row>
    <row r="16589" spans="1:19" ht="28" x14ac:dyDescent="0.15">
      <c r="A16589" s="2">
        <f>HYPERLINK("https://open-school.uspishnemisto.com.ua/school/800348/", 800348)</f>
        <v>800348</v>
      </c>
      <c r="B16589" s="3" t="s">
        <v>83467</v>
      </c>
      <c r="C16589" s="3" t="s">
        <v>54</v>
      </c>
      <c r="D16589" s="3" t="s">
        <v>60</v>
      </c>
      <c r="E16589" s="4" t="s">
        <v>41</v>
      </c>
      <c r="F16589" s="4" t="s">
        <v>83419</v>
      </c>
      <c r="G16589" s="4" t="s">
        <v>83395</v>
      </c>
      <c r="H16589" s="3" t="s">
        <v>81975</v>
      </c>
      <c r="I16589" s="3" t="s">
        <v>83396</v>
      </c>
      <c r="J16589" s="3" t="s">
        <v>83468</v>
      </c>
      <c r="K16589" s="3" t="s">
        <v>83469</v>
      </c>
      <c r="L16589" s="3"/>
      <c r="M16589" s="4"/>
      <c r="N16589" s="3" t="s">
        <v>37</v>
      </c>
      <c r="O16589" s="3" t="s">
        <v>52</v>
      </c>
      <c r="P16589" s="5">
        <v>4</v>
      </c>
      <c r="Q16589" s="5">
        <v>39</v>
      </c>
      <c r="R16589" s="5">
        <v>4</v>
      </c>
      <c r="S16589" s="5">
        <v>30</v>
      </c>
    </row>
    <row r="16590" spans="1:19" ht="28" x14ac:dyDescent="0.15">
      <c r="A16590" s="2">
        <f>HYPERLINK("https://open-school.uspishnemisto.com.ua/school/800349/", 800349)</f>
        <v>800349</v>
      </c>
      <c r="B16590" s="3" t="s">
        <v>83470</v>
      </c>
      <c r="C16590" s="3" t="s">
        <v>31</v>
      </c>
      <c r="D16590" s="3" t="s">
        <v>32</v>
      </c>
      <c r="E16590" s="4" t="s">
        <v>22</v>
      </c>
      <c r="F16590" s="4" t="s">
        <v>83471</v>
      </c>
      <c r="G16590" s="4" t="s">
        <v>83395</v>
      </c>
      <c r="H16590" s="3" t="s">
        <v>81975</v>
      </c>
      <c r="I16590" s="3" t="s">
        <v>83396</v>
      </c>
      <c r="J16590" s="3" t="s">
        <v>83472</v>
      </c>
      <c r="K16590" s="3" t="s">
        <v>83473</v>
      </c>
      <c r="L16590" s="3" t="s">
        <v>83474</v>
      </c>
      <c r="M16590" s="4"/>
      <c r="N16590" s="3" t="s">
        <v>37</v>
      </c>
      <c r="O16590" s="3" t="s">
        <v>10493</v>
      </c>
      <c r="P16590" s="5">
        <v>30</v>
      </c>
      <c r="Q16590" s="5">
        <v>759</v>
      </c>
      <c r="R16590" s="5">
        <v>29</v>
      </c>
      <c r="S16590" s="5">
        <v>731</v>
      </c>
    </row>
    <row r="16591" spans="1:19" ht="28" x14ac:dyDescent="0.15">
      <c r="A16591" s="2">
        <f>HYPERLINK("https://open-school.uspishnemisto.com.ua/school/800350/", 800350)</f>
        <v>800350</v>
      </c>
      <c r="B16591" s="3" t="s">
        <v>83475</v>
      </c>
      <c r="C16591" s="3" t="s">
        <v>31</v>
      </c>
      <c r="D16591" s="3" t="s">
        <v>32</v>
      </c>
      <c r="E16591" s="4" t="s">
        <v>22</v>
      </c>
      <c r="F16591" s="4" t="s">
        <v>83419</v>
      </c>
      <c r="G16591" s="4" t="s">
        <v>83395</v>
      </c>
      <c r="H16591" s="3" t="s">
        <v>81975</v>
      </c>
      <c r="I16591" s="3" t="s">
        <v>83396</v>
      </c>
      <c r="J16591" s="3" t="s">
        <v>83476</v>
      </c>
      <c r="K16591" s="3" t="s">
        <v>83477</v>
      </c>
      <c r="L16591" s="3" t="s">
        <v>83478</v>
      </c>
      <c r="M16591" s="4"/>
      <c r="N16591" s="3" t="s">
        <v>37</v>
      </c>
      <c r="O16591" s="3" t="s">
        <v>52</v>
      </c>
      <c r="P16591" s="5">
        <v>24</v>
      </c>
      <c r="Q16591" s="5">
        <v>654</v>
      </c>
      <c r="R16591" s="5">
        <v>18</v>
      </c>
      <c r="S16591" s="5">
        <v>423</v>
      </c>
    </row>
    <row r="16592" spans="1:19" ht="28" x14ac:dyDescent="0.15">
      <c r="A16592" s="2">
        <f>HYPERLINK("https://open-school.uspishnemisto.com.ua/school/800351/", 800351)</f>
        <v>800351</v>
      </c>
      <c r="B16592" s="3" t="s">
        <v>83479</v>
      </c>
      <c r="C16592" s="3" t="s">
        <v>31</v>
      </c>
      <c r="D16592" s="3" t="s">
        <v>32</v>
      </c>
      <c r="E16592" s="4" t="s">
        <v>22</v>
      </c>
      <c r="F16592" s="4" t="s">
        <v>83394</v>
      </c>
      <c r="G16592" s="4" t="s">
        <v>83395</v>
      </c>
      <c r="H16592" s="3" t="s">
        <v>81975</v>
      </c>
      <c r="I16592" s="3" t="s">
        <v>83396</v>
      </c>
      <c r="J16592" s="3" t="s">
        <v>83480</v>
      </c>
      <c r="K16592" s="3" t="s">
        <v>83481</v>
      </c>
      <c r="L16592" s="3" t="s">
        <v>83482</v>
      </c>
      <c r="M16592" s="4"/>
      <c r="N16592" s="3" t="s">
        <v>37</v>
      </c>
      <c r="O16592" s="3" t="s">
        <v>46</v>
      </c>
      <c r="P16592" s="5">
        <v>31</v>
      </c>
      <c r="Q16592" s="5">
        <v>815</v>
      </c>
      <c r="R16592" s="5">
        <v>31</v>
      </c>
      <c r="S16592" s="5">
        <v>766</v>
      </c>
    </row>
    <row r="16593" spans="1:19" ht="28" x14ac:dyDescent="0.15">
      <c r="A16593" s="2">
        <f>HYPERLINK("https://open-school.uspishnemisto.com.ua/school/800352/", 800352)</f>
        <v>800352</v>
      </c>
      <c r="B16593" s="3" t="s">
        <v>83483</v>
      </c>
      <c r="C16593" s="3" t="s">
        <v>31</v>
      </c>
      <c r="D16593" s="3" t="s">
        <v>32</v>
      </c>
      <c r="E16593" s="4" t="s">
        <v>22</v>
      </c>
      <c r="F16593" s="4" t="s">
        <v>83429</v>
      </c>
      <c r="G16593" s="4" t="s">
        <v>83395</v>
      </c>
      <c r="H16593" s="3" t="s">
        <v>81975</v>
      </c>
      <c r="I16593" s="3" t="s">
        <v>83396</v>
      </c>
      <c r="J16593" s="3" t="s">
        <v>83484</v>
      </c>
      <c r="K16593" s="3" t="s">
        <v>83485</v>
      </c>
      <c r="L16593" s="3" t="s">
        <v>83486</v>
      </c>
      <c r="M16593" s="4"/>
      <c r="N16593" s="3" t="s">
        <v>37</v>
      </c>
      <c r="O16593" s="3" t="s">
        <v>2740</v>
      </c>
      <c r="P16593" s="5">
        <v>19</v>
      </c>
      <c r="Q16593" s="5">
        <v>425</v>
      </c>
      <c r="R16593" s="5">
        <v>18</v>
      </c>
      <c r="S16593" s="5">
        <v>443</v>
      </c>
    </row>
    <row r="16594" spans="1:19" ht="28" x14ac:dyDescent="0.15">
      <c r="A16594" s="2">
        <f>HYPERLINK("https://open-school.uspishnemisto.com.ua/school/800353/", 800353)</f>
        <v>800353</v>
      </c>
      <c r="B16594" s="3" t="s">
        <v>83487</v>
      </c>
      <c r="C16594" s="3" t="s">
        <v>31</v>
      </c>
      <c r="D16594" s="3" t="s">
        <v>32</v>
      </c>
      <c r="E16594" s="4" t="s">
        <v>22</v>
      </c>
      <c r="F16594" s="4" t="s">
        <v>83471</v>
      </c>
      <c r="G16594" s="4" t="s">
        <v>83395</v>
      </c>
      <c r="H16594" s="3" t="s">
        <v>81975</v>
      </c>
      <c r="I16594" s="3" t="s">
        <v>83396</v>
      </c>
      <c r="J16594" s="3" t="s">
        <v>83488</v>
      </c>
      <c r="K16594" s="3" t="s">
        <v>83489</v>
      </c>
      <c r="L16594" s="3" t="s">
        <v>83490</v>
      </c>
      <c r="M16594" s="4"/>
      <c r="N16594" s="3" t="s">
        <v>37</v>
      </c>
      <c r="O16594" s="3" t="s">
        <v>70</v>
      </c>
      <c r="P16594" s="5">
        <v>32</v>
      </c>
      <c r="Q16594" s="5">
        <v>954</v>
      </c>
      <c r="R16594" s="5">
        <v>32</v>
      </c>
      <c r="S16594" s="5">
        <v>924</v>
      </c>
    </row>
    <row r="16595" spans="1:19" ht="28" x14ac:dyDescent="0.15">
      <c r="A16595" s="2">
        <f>HYPERLINK("https://open-school.uspishnemisto.com.ua/school/800354/", 800354)</f>
        <v>800354</v>
      </c>
      <c r="B16595" s="3" t="s">
        <v>83491</v>
      </c>
      <c r="C16595" s="3" t="s">
        <v>31</v>
      </c>
      <c r="D16595" s="3" t="s">
        <v>32</v>
      </c>
      <c r="E16595" s="4" t="s">
        <v>22</v>
      </c>
      <c r="F16595" s="4" t="s">
        <v>83471</v>
      </c>
      <c r="G16595" s="4" t="s">
        <v>83395</v>
      </c>
      <c r="H16595" s="3" t="s">
        <v>81975</v>
      </c>
      <c r="I16595" s="3" t="s">
        <v>83396</v>
      </c>
      <c r="J16595" s="3" t="s">
        <v>83492</v>
      </c>
      <c r="K16595" s="3" t="s">
        <v>83493</v>
      </c>
      <c r="L16595" s="3" t="s">
        <v>83494</v>
      </c>
      <c r="M16595" s="4"/>
      <c r="N16595" s="3" t="s">
        <v>37</v>
      </c>
      <c r="O16595" s="3" t="s">
        <v>266</v>
      </c>
      <c r="P16595" s="5">
        <v>21</v>
      </c>
      <c r="Q16595" s="5">
        <v>526</v>
      </c>
      <c r="R16595" s="5">
        <v>19</v>
      </c>
      <c r="S16595" s="5">
        <v>505</v>
      </c>
    </row>
    <row r="16596" spans="1:19" ht="28" x14ac:dyDescent="0.15">
      <c r="A16596" s="2">
        <f>HYPERLINK("https://open-school.uspishnemisto.com.ua/school/800355/", 800355)</f>
        <v>800355</v>
      </c>
      <c r="B16596" s="3" t="s">
        <v>83495</v>
      </c>
      <c r="C16596" s="3" t="s">
        <v>31</v>
      </c>
      <c r="D16596" s="3" t="s">
        <v>32</v>
      </c>
      <c r="E16596" s="4" t="s">
        <v>22</v>
      </c>
      <c r="F16596" s="4" t="s">
        <v>83496</v>
      </c>
      <c r="G16596" s="4" t="s">
        <v>83395</v>
      </c>
      <c r="H16596" s="3" t="s">
        <v>81975</v>
      </c>
      <c r="I16596" s="3" t="s">
        <v>83396</v>
      </c>
      <c r="J16596" s="3" t="s">
        <v>83497</v>
      </c>
      <c r="K16596" s="3" t="s">
        <v>83498</v>
      </c>
      <c r="L16596" s="3" t="s">
        <v>83499</v>
      </c>
      <c r="M16596" s="4"/>
      <c r="N16596" s="3" t="s">
        <v>37</v>
      </c>
      <c r="O16596" s="3" t="s">
        <v>38</v>
      </c>
      <c r="P16596" s="5">
        <v>23</v>
      </c>
      <c r="Q16596" s="5">
        <v>604</v>
      </c>
      <c r="R16596" s="5">
        <v>21</v>
      </c>
      <c r="S16596" s="5">
        <v>536</v>
      </c>
    </row>
    <row r="16597" spans="1:19" ht="28" x14ac:dyDescent="0.15">
      <c r="A16597" s="2">
        <f>HYPERLINK("https://open-school.uspishnemisto.com.ua/school/800356/", 800356)</f>
        <v>800356</v>
      </c>
      <c r="B16597" s="3" t="s">
        <v>83500</v>
      </c>
      <c r="C16597" s="3" t="s">
        <v>31</v>
      </c>
      <c r="D16597" s="3" t="s">
        <v>32</v>
      </c>
      <c r="E16597" s="4" t="s">
        <v>22</v>
      </c>
      <c r="F16597" s="4" t="s">
        <v>83501</v>
      </c>
      <c r="G16597" s="4" t="s">
        <v>83395</v>
      </c>
      <c r="H16597" s="3" t="s">
        <v>81975</v>
      </c>
      <c r="I16597" s="3" t="s">
        <v>83396</v>
      </c>
      <c r="J16597" s="3" t="s">
        <v>83502</v>
      </c>
      <c r="K16597" s="3" t="s">
        <v>83503</v>
      </c>
      <c r="L16597" s="3" t="s">
        <v>83504</v>
      </c>
      <c r="M16597" s="4"/>
      <c r="N16597" s="3" t="s">
        <v>37</v>
      </c>
      <c r="O16597" s="3" t="s">
        <v>46</v>
      </c>
      <c r="P16597" s="5">
        <v>30</v>
      </c>
      <c r="Q16597" s="5">
        <v>859</v>
      </c>
      <c r="R16597" s="5">
        <v>29</v>
      </c>
      <c r="S16597" s="5">
        <v>811</v>
      </c>
    </row>
    <row r="16598" spans="1:19" ht="28" x14ac:dyDescent="0.15">
      <c r="A16598" s="2">
        <f>HYPERLINK("https://open-school.uspishnemisto.com.ua/school/800357/", 800357)</f>
        <v>800357</v>
      </c>
      <c r="B16598" s="3" t="s">
        <v>83505</v>
      </c>
      <c r="C16598" s="3" t="s">
        <v>31</v>
      </c>
      <c r="D16598" s="3" t="s">
        <v>32</v>
      </c>
      <c r="E16598" s="4" t="s">
        <v>22</v>
      </c>
      <c r="F16598" s="4" t="s">
        <v>83394</v>
      </c>
      <c r="G16598" s="4" t="s">
        <v>83395</v>
      </c>
      <c r="H16598" s="3" t="s">
        <v>81975</v>
      </c>
      <c r="I16598" s="3" t="s">
        <v>83396</v>
      </c>
      <c r="J16598" s="3" t="s">
        <v>83506</v>
      </c>
      <c r="K16598" s="3" t="s">
        <v>83507</v>
      </c>
      <c r="L16598" s="3" t="s">
        <v>83508</v>
      </c>
      <c r="M16598" s="4"/>
      <c r="N16598" s="3" t="s">
        <v>37</v>
      </c>
      <c r="O16598" s="3" t="s">
        <v>129</v>
      </c>
      <c r="P16598" s="5">
        <v>30</v>
      </c>
      <c r="Q16598" s="5">
        <v>899</v>
      </c>
      <c r="R16598" s="5">
        <v>30</v>
      </c>
      <c r="S16598" s="5">
        <v>877</v>
      </c>
    </row>
    <row r="16599" spans="1:19" ht="28" x14ac:dyDescent="0.15">
      <c r="A16599" s="2">
        <f>HYPERLINK("https://open-school.uspishnemisto.com.ua/school/800358/", 800358)</f>
        <v>800358</v>
      </c>
      <c r="B16599" s="3" t="s">
        <v>83509</v>
      </c>
      <c r="C16599" s="3" t="s">
        <v>31</v>
      </c>
      <c r="D16599" s="3" t="s">
        <v>32</v>
      </c>
      <c r="E16599" s="4" t="s">
        <v>22</v>
      </c>
      <c r="F16599" s="4" t="s">
        <v>83501</v>
      </c>
      <c r="G16599" s="4" t="s">
        <v>83395</v>
      </c>
      <c r="H16599" s="3" t="s">
        <v>81975</v>
      </c>
      <c r="I16599" s="3" t="s">
        <v>83396</v>
      </c>
      <c r="J16599" s="3" t="s">
        <v>83510</v>
      </c>
      <c r="K16599" s="3" t="s">
        <v>83511</v>
      </c>
      <c r="L16599" s="3" t="s">
        <v>83512</v>
      </c>
      <c r="M16599" s="4"/>
      <c r="N16599" s="3" t="s">
        <v>37</v>
      </c>
      <c r="O16599" s="3" t="s">
        <v>38</v>
      </c>
      <c r="P16599" s="5">
        <v>24</v>
      </c>
      <c r="Q16599" s="5">
        <v>653</v>
      </c>
      <c r="R16599" s="5">
        <v>23</v>
      </c>
      <c r="S16599" s="5">
        <v>623</v>
      </c>
    </row>
    <row r="16600" spans="1:19" ht="28" x14ac:dyDescent="0.15">
      <c r="A16600" s="2">
        <f>HYPERLINK("https://open-school.uspishnemisto.com.ua/school/800359/", 800359)</f>
        <v>800359</v>
      </c>
      <c r="B16600" s="3" t="s">
        <v>83513</v>
      </c>
      <c r="C16600" s="3" t="s">
        <v>31</v>
      </c>
      <c r="D16600" s="3" t="s">
        <v>32</v>
      </c>
      <c r="E16600" s="4" t="s">
        <v>22</v>
      </c>
      <c r="F16600" s="4" t="s">
        <v>83514</v>
      </c>
      <c r="G16600" s="4" t="s">
        <v>83395</v>
      </c>
      <c r="H16600" s="3" t="s">
        <v>81975</v>
      </c>
      <c r="I16600" s="3" t="s">
        <v>83396</v>
      </c>
      <c r="J16600" s="3" t="s">
        <v>83515</v>
      </c>
      <c r="K16600" s="3" t="s">
        <v>83516</v>
      </c>
      <c r="L16600" s="3" t="s">
        <v>83517</v>
      </c>
      <c r="M16600" s="4"/>
      <c r="N16600" s="3" t="s">
        <v>37</v>
      </c>
      <c r="O16600" s="3" t="s">
        <v>10453</v>
      </c>
      <c r="P16600" s="5">
        <v>28</v>
      </c>
      <c r="Q16600" s="5">
        <v>829</v>
      </c>
      <c r="R16600" s="5">
        <v>27</v>
      </c>
      <c r="S16600" s="5">
        <v>805</v>
      </c>
    </row>
    <row r="16601" spans="1:19" ht="28" x14ac:dyDescent="0.15">
      <c r="A16601" s="2">
        <f>HYPERLINK("https://open-school.uspishnemisto.com.ua/school/800360/", 800360)</f>
        <v>800360</v>
      </c>
      <c r="B16601" s="3" t="s">
        <v>83518</v>
      </c>
      <c r="C16601" s="3" t="s">
        <v>31</v>
      </c>
      <c r="D16601" s="3" t="s">
        <v>32</v>
      </c>
      <c r="E16601" s="4" t="s">
        <v>22</v>
      </c>
      <c r="F16601" s="4" t="s">
        <v>83406</v>
      </c>
      <c r="G16601" s="4" t="s">
        <v>83395</v>
      </c>
      <c r="H16601" s="3" t="s">
        <v>81975</v>
      </c>
      <c r="I16601" s="3" t="s">
        <v>83396</v>
      </c>
      <c r="J16601" s="3" t="s">
        <v>83519</v>
      </c>
      <c r="K16601" s="3" t="s">
        <v>83520</v>
      </c>
      <c r="L16601" s="3" t="s">
        <v>83521</v>
      </c>
      <c r="M16601" s="4"/>
      <c r="N16601" s="3" t="s">
        <v>37</v>
      </c>
      <c r="O16601" s="3" t="s">
        <v>70</v>
      </c>
      <c r="P16601" s="5">
        <v>36</v>
      </c>
      <c r="Q16601" s="5">
        <v>1064</v>
      </c>
      <c r="R16601" s="5">
        <v>35</v>
      </c>
      <c r="S16601" s="5">
        <v>1003</v>
      </c>
    </row>
    <row r="16602" spans="1:19" ht="28" x14ac:dyDescent="0.15">
      <c r="A16602" s="2">
        <f>HYPERLINK("https://open-school.uspishnemisto.com.ua/school/800361/", 800361)</f>
        <v>800361</v>
      </c>
      <c r="B16602" s="3" t="s">
        <v>83522</v>
      </c>
      <c r="C16602" s="3" t="s">
        <v>31</v>
      </c>
      <c r="D16602" s="3" t="s">
        <v>32</v>
      </c>
      <c r="E16602" s="4" t="s">
        <v>22</v>
      </c>
      <c r="F16602" s="4" t="s">
        <v>83419</v>
      </c>
      <c r="G16602" s="4" t="s">
        <v>83395</v>
      </c>
      <c r="H16602" s="3" t="s">
        <v>81975</v>
      </c>
      <c r="I16602" s="3" t="s">
        <v>83396</v>
      </c>
      <c r="J16602" s="3" t="s">
        <v>83523</v>
      </c>
      <c r="K16602" s="3" t="s">
        <v>83524</v>
      </c>
      <c r="L16602" s="3" t="s">
        <v>83525</v>
      </c>
      <c r="M16602" s="4"/>
      <c r="N16602" s="3" t="s">
        <v>37</v>
      </c>
      <c r="O16602" s="3" t="s">
        <v>721</v>
      </c>
      <c r="P16602" s="5">
        <v>35</v>
      </c>
      <c r="Q16602" s="5">
        <v>1021</v>
      </c>
      <c r="R16602" s="5">
        <v>35</v>
      </c>
      <c r="S16602" s="5">
        <v>1001</v>
      </c>
    </row>
    <row r="16603" spans="1:19" ht="28" x14ac:dyDescent="0.15">
      <c r="A16603" s="2">
        <f>HYPERLINK("https://open-school.uspishnemisto.com.ua/school/800362/", 800362)</f>
        <v>800362</v>
      </c>
      <c r="B16603" s="3" t="s">
        <v>83526</v>
      </c>
      <c r="C16603" s="3" t="s">
        <v>31</v>
      </c>
      <c r="D16603" s="3" t="s">
        <v>32</v>
      </c>
      <c r="E16603" s="4" t="s">
        <v>22</v>
      </c>
      <c r="F16603" s="4" t="s">
        <v>83501</v>
      </c>
      <c r="G16603" s="4" t="s">
        <v>83395</v>
      </c>
      <c r="H16603" s="3" t="s">
        <v>81975</v>
      </c>
      <c r="I16603" s="3" t="s">
        <v>83396</v>
      </c>
      <c r="J16603" s="3" t="s">
        <v>83527</v>
      </c>
      <c r="K16603" s="3" t="s">
        <v>83528</v>
      </c>
      <c r="L16603" s="3" t="s">
        <v>83529</v>
      </c>
      <c r="M16603" s="4"/>
      <c r="N16603" s="3" t="s">
        <v>37</v>
      </c>
      <c r="O16603" s="3" t="s">
        <v>46</v>
      </c>
      <c r="P16603" s="5">
        <v>22</v>
      </c>
      <c r="Q16603" s="5">
        <v>572</v>
      </c>
      <c r="R16603" s="5">
        <v>21</v>
      </c>
      <c r="S16603" s="5">
        <v>547</v>
      </c>
    </row>
    <row r="16604" spans="1:19" ht="28" x14ac:dyDescent="0.15">
      <c r="A16604" s="2">
        <f>HYPERLINK("https://open-school.uspishnemisto.com.ua/school/800363/", 800363)</f>
        <v>800363</v>
      </c>
      <c r="B16604" s="3" t="s">
        <v>83530</v>
      </c>
      <c r="C16604" s="3" t="s">
        <v>31</v>
      </c>
      <c r="D16604" s="3" t="s">
        <v>32</v>
      </c>
      <c r="E16604" s="4" t="s">
        <v>22</v>
      </c>
      <c r="F16604" s="4" t="s">
        <v>83514</v>
      </c>
      <c r="G16604" s="4" t="s">
        <v>83395</v>
      </c>
      <c r="H16604" s="3" t="s">
        <v>81975</v>
      </c>
      <c r="I16604" s="3" t="s">
        <v>83396</v>
      </c>
      <c r="J16604" s="3" t="s">
        <v>83531</v>
      </c>
      <c r="K16604" s="3" t="s">
        <v>83532</v>
      </c>
      <c r="L16604" s="3" t="s">
        <v>83533</v>
      </c>
      <c r="M16604" s="4"/>
      <c r="N16604" s="3" t="s">
        <v>37</v>
      </c>
      <c r="O16604" s="3" t="s">
        <v>46</v>
      </c>
      <c r="P16604" s="5">
        <v>38</v>
      </c>
      <c r="Q16604" s="5">
        <v>1167</v>
      </c>
      <c r="R16604" s="5">
        <v>38</v>
      </c>
      <c r="S16604" s="5">
        <v>1163</v>
      </c>
    </row>
    <row r="16605" spans="1:19" ht="28" x14ac:dyDescent="0.15">
      <c r="A16605" s="2">
        <f>HYPERLINK("https://open-school.uspishnemisto.com.ua/school/800364/", 800364)</f>
        <v>800364</v>
      </c>
      <c r="B16605" s="3" t="s">
        <v>83534</v>
      </c>
      <c r="C16605" s="3" t="s">
        <v>31</v>
      </c>
      <c r="D16605" s="3" t="s">
        <v>32</v>
      </c>
      <c r="E16605" s="4" t="s">
        <v>22</v>
      </c>
      <c r="F16605" s="4" t="s">
        <v>83419</v>
      </c>
      <c r="G16605" s="4" t="s">
        <v>83395</v>
      </c>
      <c r="H16605" s="3" t="s">
        <v>81975</v>
      </c>
      <c r="I16605" s="3" t="s">
        <v>83396</v>
      </c>
      <c r="J16605" s="3" t="s">
        <v>83535</v>
      </c>
      <c r="K16605" s="3" t="s">
        <v>83536</v>
      </c>
      <c r="L16605" s="3" t="s">
        <v>83537</v>
      </c>
      <c r="M16605" s="4"/>
      <c r="N16605" s="3" t="s">
        <v>37</v>
      </c>
      <c r="O16605" s="3" t="s">
        <v>139</v>
      </c>
      <c r="P16605" s="5">
        <v>22</v>
      </c>
      <c r="Q16605" s="5">
        <v>593</v>
      </c>
      <c r="R16605" s="5">
        <v>21</v>
      </c>
      <c r="S16605" s="5">
        <v>562</v>
      </c>
    </row>
    <row r="16606" spans="1:19" ht="28" x14ac:dyDescent="0.15">
      <c r="A16606" s="2">
        <f>HYPERLINK("https://open-school.uspishnemisto.com.ua/school/800365/", 800365)</f>
        <v>800365</v>
      </c>
      <c r="B16606" s="3" t="s">
        <v>83538</v>
      </c>
      <c r="C16606" s="3" t="s">
        <v>31</v>
      </c>
      <c r="D16606" s="3" t="s">
        <v>32</v>
      </c>
      <c r="E16606" s="4" t="s">
        <v>22</v>
      </c>
      <c r="F16606" s="4" t="s">
        <v>83394</v>
      </c>
      <c r="G16606" s="4" t="s">
        <v>83395</v>
      </c>
      <c r="H16606" s="3" t="s">
        <v>81975</v>
      </c>
      <c r="I16606" s="3" t="s">
        <v>83396</v>
      </c>
      <c r="J16606" s="3" t="s">
        <v>83397</v>
      </c>
      <c r="K16606" s="3" t="s">
        <v>83539</v>
      </c>
      <c r="L16606" s="3" t="s">
        <v>83540</v>
      </c>
      <c r="M16606" s="4"/>
      <c r="N16606" s="3" t="s">
        <v>37</v>
      </c>
      <c r="O16606" s="3" t="s">
        <v>38</v>
      </c>
      <c r="P16606" s="5">
        <v>18</v>
      </c>
      <c r="Q16606" s="5">
        <v>496</v>
      </c>
      <c r="R16606" s="5">
        <v>17</v>
      </c>
      <c r="S16606" s="5">
        <v>456</v>
      </c>
    </row>
    <row r="16607" spans="1:19" ht="28" x14ac:dyDescent="0.15">
      <c r="A16607" s="2">
        <f>HYPERLINK("https://open-school.uspishnemisto.com.ua/school/800366/", 800366)</f>
        <v>800366</v>
      </c>
      <c r="B16607" s="3" t="s">
        <v>83541</v>
      </c>
      <c r="C16607" s="3" t="s">
        <v>31</v>
      </c>
      <c r="D16607" s="3" t="s">
        <v>32</v>
      </c>
      <c r="E16607" s="4" t="s">
        <v>22</v>
      </c>
      <c r="F16607" s="4" t="s">
        <v>83394</v>
      </c>
      <c r="G16607" s="4" t="s">
        <v>83395</v>
      </c>
      <c r="H16607" s="3" t="s">
        <v>81975</v>
      </c>
      <c r="I16607" s="3" t="s">
        <v>83396</v>
      </c>
      <c r="J16607" s="3" t="s">
        <v>83542</v>
      </c>
      <c r="K16607" s="3" t="s">
        <v>83543</v>
      </c>
      <c r="L16607" s="3" t="s">
        <v>83544</v>
      </c>
      <c r="M16607" s="4"/>
      <c r="N16607" s="3" t="s">
        <v>37</v>
      </c>
      <c r="O16607" s="3" t="s">
        <v>2740</v>
      </c>
      <c r="P16607" s="5">
        <v>24</v>
      </c>
      <c r="Q16607" s="5">
        <v>565</v>
      </c>
      <c r="R16607" s="5">
        <v>22</v>
      </c>
      <c r="S16607" s="5">
        <v>517</v>
      </c>
    </row>
    <row r="16608" spans="1:19" ht="28" x14ac:dyDescent="0.15">
      <c r="A16608" s="2">
        <f>HYPERLINK("https://open-school.uspishnemisto.com.ua/school/800367/", 800367)</f>
        <v>800367</v>
      </c>
      <c r="B16608" s="3" t="s">
        <v>83545</v>
      </c>
      <c r="C16608" s="3" t="s">
        <v>31</v>
      </c>
      <c r="D16608" s="3" t="s">
        <v>32</v>
      </c>
      <c r="E16608" s="4" t="s">
        <v>22</v>
      </c>
      <c r="F16608" s="4" t="s">
        <v>83471</v>
      </c>
      <c r="G16608" s="4" t="s">
        <v>83395</v>
      </c>
      <c r="H16608" s="3" t="s">
        <v>81975</v>
      </c>
      <c r="I16608" s="3" t="s">
        <v>83396</v>
      </c>
      <c r="J16608" s="3" t="s">
        <v>83546</v>
      </c>
      <c r="K16608" s="3" t="s">
        <v>83547</v>
      </c>
      <c r="L16608" s="3" t="s">
        <v>83548</v>
      </c>
      <c r="M16608" s="4"/>
      <c r="N16608" s="3" t="s">
        <v>37</v>
      </c>
      <c r="O16608" s="3" t="s">
        <v>38</v>
      </c>
      <c r="P16608" s="5">
        <v>20</v>
      </c>
      <c r="Q16608" s="5">
        <v>540</v>
      </c>
      <c r="R16608" s="5">
        <v>18</v>
      </c>
      <c r="S16608" s="5">
        <v>480</v>
      </c>
    </row>
    <row r="16609" spans="1:19" ht="28" x14ac:dyDescent="0.15">
      <c r="A16609" s="2">
        <f>HYPERLINK("https://open-school.uspishnemisto.com.ua/school/800368/", 800368)</f>
        <v>800368</v>
      </c>
      <c r="B16609" s="3" t="s">
        <v>83549</v>
      </c>
      <c r="C16609" s="3" t="s">
        <v>244</v>
      </c>
      <c r="D16609" s="3" t="s">
        <v>32</v>
      </c>
      <c r="E16609" s="4" t="s">
        <v>22</v>
      </c>
      <c r="F16609" s="4" t="s">
        <v>83434</v>
      </c>
      <c r="G16609" s="4" t="s">
        <v>83395</v>
      </c>
      <c r="H16609" s="3" t="s">
        <v>81975</v>
      </c>
      <c r="I16609" s="3" t="s">
        <v>83396</v>
      </c>
      <c r="J16609" s="3" t="s">
        <v>83550</v>
      </c>
      <c r="K16609" s="3" t="s">
        <v>83551</v>
      </c>
      <c r="L16609" s="3" t="s">
        <v>83552</v>
      </c>
      <c r="M16609" s="4"/>
      <c r="N16609" s="3" t="s">
        <v>37</v>
      </c>
      <c r="O16609" s="3" t="s">
        <v>8542</v>
      </c>
      <c r="P16609" s="5">
        <v>19</v>
      </c>
      <c r="Q16609" s="5">
        <v>447</v>
      </c>
      <c r="R16609" s="5">
        <v>15</v>
      </c>
      <c r="S16609" s="5">
        <v>329</v>
      </c>
    </row>
    <row r="16610" spans="1:19" ht="56" x14ac:dyDescent="0.15">
      <c r="A16610" s="2">
        <f>HYPERLINK("https://open-school.uspishnemisto.com.ua/school/800369/", 800369)</f>
        <v>800369</v>
      </c>
      <c r="B16610" s="3" t="s">
        <v>83553</v>
      </c>
      <c r="C16610" s="3" t="s">
        <v>244</v>
      </c>
      <c r="D16610" s="3" t="s">
        <v>32</v>
      </c>
      <c r="E16610" s="4" t="s">
        <v>41</v>
      </c>
      <c r="F16610" s="4" t="s">
        <v>83471</v>
      </c>
      <c r="G16610" s="4" t="s">
        <v>83395</v>
      </c>
      <c r="H16610" s="3" t="s">
        <v>81975</v>
      </c>
      <c r="I16610" s="3" t="s">
        <v>83396</v>
      </c>
      <c r="J16610" s="3" t="s">
        <v>83554</v>
      </c>
      <c r="K16610" s="3" t="s">
        <v>83555</v>
      </c>
      <c r="L16610" s="3" t="s">
        <v>83556</v>
      </c>
      <c r="M16610" s="4"/>
      <c r="N16610" s="3" t="s">
        <v>37</v>
      </c>
      <c r="O16610" s="3" t="s">
        <v>46</v>
      </c>
      <c r="P16610" s="5">
        <v>11</v>
      </c>
      <c r="Q16610" s="5">
        <v>137</v>
      </c>
      <c r="R16610" s="5">
        <v>11</v>
      </c>
      <c r="S16610" s="5">
        <v>131</v>
      </c>
    </row>
    <row r="16611" spans="1:19" ht="28" x14ac:dyDescent="0.15">
      <c r="A16611" s="2">
        <f>HYPERLINK("https://open-school.uspishnemisto.com.ua/school/800370/", 800370)</f>
        <v>800370</v>
      </c>
      <c r="B16611" s="3" t="s">
        <v>83557</v>
      </c>
      <c r="C16611" s="3" t="s">
        <v>54</v>
      </c>
      <c r="D16611" s="3" t="s">
        <v>32</v>
      </c>
      <c r="E16611" s="4" t="s">
        <v>22</v>
      </c>
      <c r="F16611" s="4"/>
      <c r="G16611" s="4" t="s">
        <v>83395</v>
      </c>
      <c r="H16611" s="3" t="s">
        <v>81975</v>
      </c>
      <c r="I16611" s="3" t="s">
        <v>83396</v>
      </c>
      <c r="J16611" s="3" t="s">
        <v>83456</v>
      </c>
      <c r="K16611" s="3" t="s">
        <v>83558</v>
      </c>
      <c r="L16611" s="3"/>
      <c r="M16611" s="4"/>
      <c r="N16611" s="3" t="s">
        <v>37</v>
      </c>
      <c r="O16611" s="3" t="s">
        <v>123</v>
      </c>
      <c r="P16611" s="5">
        <v>8</v>
      </c>
      <c r="Q16611" s="5">
        <v>212</v>
      </c>
      <c r="R16611" s="5">
        <v>8</v>
      </c>
      <c r="S16611" s="5">
        <v>208</v>
      </c>
    </row>
    <row r="16612" spans="1:19" ht="28" x14ac:dyDescent="0.15">
      <c r="A16612" s="2">
        <f>HYPERLINK("https://open-school.uspishnemisto.com.ua/school/800371/", 800371)</f>
        <v>800371</v>
      </c>
      <c r="B16612" s="3" t="s">
        <v>83559</v>
      </c>
      <c r="C16612" s="3" t="s">
        <v>244</v>
      </c>
      <c r="D16612" s="3" t="s">
        <v>32</v>
      </c>
      <c r="E16612" s="4" t="s">
        <v>22</v>
      </c>
      <c r="F16612" s="4" t="s">
        <v>83406</v>
      </c>
      <c r="G16612" s="4" t="s">
        <v>83395</v>
      </c>
      <c r="H16612" s="3" t="s">
        <v>81975</v>
      </c>
      <c r="I16612" s="3" t="s">
        <v>83396</v>
      </c>
      <c r="J16612" s="3" t="s">
        <v>83560</v>
      </c>
      <c r="K16612" s="3" t="s">
        <v>83561</v>
      </c>
      <c r="L16612" s="3" t="s">
        <v>83562</v>
      </c>
      <c r="M16612" s="4"/>
      <c r="N16612" s="3" t="s">
        <v>37</v>
      </c>
      <c r="O16612" s="3" t="s">
        <v>46</v>
      </c>
      <c r="P16612" s="5">
        <v>28</v>
      </c>
      <c r="Q16612" s="5">
        <v>845</v>
      </c>
      <c r="R16612" s="5">
        <v>27</v>
      </c>
      <c r="S16612" s="5">
        <v>805</v>
      </c>
    </row>
    <row r="16613" spans="1:19" ht="28" x14ac:dyDescent="0.15">
      <c r="A16613" s="2">
        <f>HYPERLINK("https://open-school.uspishnemisto.com.ua/school/800372/", 800372)</f>
        <v>800372</v>
      </c>
      <c r="B16613" s="3" t="s">
        <v>83563</v>
      </c>
      <c r="C16613" s="3" t="s">
        <v>244</v>
      </c>
      <c r="D16613" s="3" t="s">
        <v>32</v>
      </c>
      <c r="E16613" s="4" t="s">
        <v>22</v>
      </c>
      <c r="F16613" s="4" t="s">
        <v>83401</v>
      </c>
      <c r="G16613" s="4" t="s">
        <v>83395</v>
      </c>
      <c r="H16613" s="3" t="s">
        <v>81975</v>
      </c>
      <c r="I16613" s="3" t="s">
        <v>83396</v>
      </c>
      <c r="J16613" s="3" t="s">
        <v>83564</v>
      </c>
      <c r="K16613" s="3" t="s">
        <v>83565</v>
      </c>
      <c r="L16613" s="3" t="s">
        <v>83566</v>
      </c>
      <c r="M16613" s="4"/>
      <c r="N16613" s="3" t="s">
        <v>37</v>
      </c>
      <c r="O16613" s="3" t="s">
        <v>52</v>
      </c>
      <c r="P16613" s="5">
        <v>41</v>
      </c>
      <c r="Q16613" s="5">
        <v>1123</v>
      </c>
      <c r="R16613" s="5">
        <v>41</v>
      </c>
      <c r="S16613" s="5">
        <v>1138</v>
      </c>
    </row>
    <row r="16614" spans="1:19" ht="28" x14ac:dyDescent="0.15">
      <c r="A16614" s="2">
        <f>HYPERLINK("https://open-school.uspishnemisto.com.ua/school/800373/", 800373)</f>
        <v>800373</v>
      </c>
      <c r="B16614" s="3" t="s">
        <v>83567</v>
      </c>
      <c r="C16614" s="3" t="s">
        <v>244</v>
      </c>
      <c r="D16614" s="3" t="s">
        <v>32</v>
      </c>
      <c r="E16614" s="4" t="s">
        <v>22</v>
      </c>
      <c r="F16614" s="4" t="s">
        <v>83406</v>
      </c>
      <c r="G16614" s="4" t="s">
        <v>83395</v>
      </c>
      <c r="H16614" s="3" t="s">
        <v>81975</v>
      </c>
      <c r="I16614" s="3" t="s">
        <v>83396</v>
      </c>
      <c r="J16614" s="3" t="s">
        <v>83568</v>
      </c>
      <c r="K16614" s="3" t="s">
        <v>83569</v>
      </c>
      <c r="L16614" s="3" t="s">
        <v>83570</v>
      </c>
      <c r="M16614" s="4"/>
      <c r="N16614" s="3" t="s">
        <v>37</v>
      </c>
      <c r="O16614" s="3" t="s">
        <v>46</v>
      </c>
      <c r="P16614" s="5">
        <v>34</v>
      </c>
      <c r="Q16614" s="5">
        <v>1094</v>
      </c>
      <c r="R16614" s="5">
        <v>32</v>
      </c>
      <c r="S16614" s="5">
        <v>1008</v>
      </c>
    </row>
    <row r="16615" spans="1:19" ht="28" x14ac:dyDescent="0.15">
      <c r="A16615" s="2">
        <f>HYPERLINK("https://open-school.uspishnemisto.com.ua/school/800374/", 800374)</f>
        <v>800374</v>
      </c>
      <c r="B16615" s="3" t="s">
        <v>83571</v>
      </c>
      <c r="C16615" s="3" t="s">
        <v>244</v>
      </c>
      <c r="D16615" s="3" t="s">
        <v>32</v>
      </c>
      <c r="E16615" s="4" t="s">
        <v>22</v>
      </c>
      <c r="F16615" s="4" t="s">
        <v>83471</v>
      </c>
      <c r="G16615" s="4" t="s">
        <v>83395</v>
      </c>
      <c r="H16615" s="3" t="s">
        <v>81975</v>
      </c>
      <c r="I16615" s="3" t="s">
        <v>83396</v>
      </c>
      <c r="J16615" s="3" t="s">
        <v>83572</v>
      </c>
      <c r="K16615" s="3" t="s">
        <v>83573</v>
      </c>
      <c r="L16615" s="3" t="s">
        <v>83574</v>
      </c>
      <c r="M16615" s="4"/>
      <c r="N16615" s="3" t="s">
        <v>37</v>
      </c>
      <c r="O16615" s="3" t="s">
        <v>46</v>
      </c>
      <c r="P16615" s="5">
        <v>40</v>
      </c>
      <c r="Q16615" s="5">
        <v>1109</v>
      </c>
      <c r="R16615" s="5">
        <v>41</v>
      </c>
      <c r="S16615" s="5">
        <v>1131</v>
      </c>
    </row>
    <row r="16616" spans="1:19" ht="28" x14ac:dyDescent="0.15">
      <c r="A16616" s="2">
        <f>HYPERLINK("https://open-school.uspishnemisto.com.ua/school/800375/", 800375)</f>
        <v>800375</v>
      </c>
      <c r="B16616" s="3" t="s">
        <v>83575</v>
      </c>
      <c r="C16616" s="3" t="s">
        <v>244</v>
      </c>
      <c r="D16616" s="3" t="s">
        <v>32</v>
      </c>
      <c r="E16616" s="4" t="s">
        <v>22</v>
      </c>
      <c r="F16616" s="4" t="s">
        <v>83576</v>
      </c>
      <c r="G16616" s="4" t="s">
        <v>83395</v>
      </c>
      <c r="H16616" s="3" t="s">
        <v>81975</v>
      </c>
      <c r="I16616" s="3" t="s">
        <v>83396</v>
      </c>
      <c r="J16616" s="3" t="s">
        <v>83577</v>
      </c>
      <c r="K16616" s="3" t="s">
        <v>83578</v>
      </c>
      <c r="L16616" s="3" t="s">
        <v>83579</v>
      </c>
      <c r="M16616" s="4"/>
      <c r="N16616" s="3" t="s">
        <v>37</v>
      </c>
      <c r="O16616" s="3" t="s">
        <v>83580</v>
      </c>
      <c r="P16616" s="5">
        <v>42</v>
      </c>
      <c r="Q16616" s="5">
        <v>1294</v>
      </c>
      <c r="R16616" s="5">
        <v>43</v>
      </c>
      <c r="S16616" s="5">
        <v>1320</v>
      </c>
    </row>
    <row r="16617" spans="1:19" ht="28" x14ac:dyDescent="0.15">
      <c r="A16617" s="2">
        <f>HYPERLINK("https://open-school.uspishnemisto.com.ua/school/800376/", 800376)</f>
        <v>800376</v>
      </c>
      <c r="B16617" s="3" t="s">
        <v>83581</v>
      </c>
      <c r="C16617" s="3" t="s">
        <v>244</v>
      </c>
      <c r="D16617" s="3" t="s">
        <v>32</v>
      </c>
      <c r="E16617" s="4" t="s">
        <v>22</v>
      </c>
      <c r="F16617" s="4" t="s">
        <v>83501</v>
      </c>
      <c r="G16617" s="4" t="s">
        <v>83395</v>
      </c>
      <c r="H16617" s="3" t="s">
        <v>81975</v>
      </c>
      <c r="I16617" s="3" t="s">
        <v>83396</v>
      </c>
      <c r="J16617" s="3" t="s">
        <v>83582</v>
      </c>
      <c r="K16617" s="3" t="s">
        <v>83583</v>
      </c>
      <c r="L16617" s="3" t="s">
        <v>83584</v>
      </c>
      <c r="M16617" s="4"/>
      <c r="N16617" s="3" t="s">
        <v>37</v>
      </c>
      <c r="O16617" s="3" t="s">
        <v>46</v>
      </c>
      <c r="P16617" s="5">
        <v>38</v>
      </c>
      <c r="Q16617" s="5">
        <v>1177</v>
      </c>
      <c r="R16617" s="5">
        <v>36</v>
      </c>
      <c r="S16617" s="5">
        <v>1127</v>
      </c>
    </row>
    <row r="16618" spans="1:19" ht="28" x14ac:dyDescent="0.15">
      <c r="A16618" s="2">
        <f>HYPERLINK("https://open-school.uspishnemisto.com.ua/school/800377/", 800377)</f>
        <v>800377</v>
      </c>
      <c r="B16618" s="3" t="s">
        <v>83585</v>
      </c>
      <c r="C16618" s="3" t="s">
        <v>244</v>
      </c>
      <c r="D16618" s="3" t="s">
        <v>32</v>
      </c>
      <c r="E16618" s="4" t="s">
        <v>22</v>
      </c>
      <c r="F16618" s="4" t="s">
        <v>83419</v>
      </c>
      <c r="G16618" s="4" t="s">
        <v>83395</v>
      </c>
      <c r="H16618" s="3" t="s">
        <v>81975</v>
      </c>
      <c r="I16618" s="3" t="s">
        <v>83396</v>
      </c>
      <c r="J16618" s="3" t="s">
        <v>83586</v>
      </c>
      <c r="K16618" s="3" t="s">
        <v>83587</v>
      </c>
      <c r="L16618" s="3" t="s">
        <v>83588</v>
      </c>
      <c r="M16618" s="4"/>
      <c r="N16618" s="3" t="s">
        <v>37</v>
      </c>
      <c r="O16618" s="3" t="s">
        <v>52</v>
      </c>
      <c r="P16618" s="5">
        <v>43</v>
      </c>
      <c r="Q16618" s="5">
        <v>1227</v>
      </c>
      <c r="R16618" s="5">
        <v>41</v>
      </c>
      <c r="S16618" s="5">
        <v>1183</v>
      </c>
    </row>
    <row r="16619" spans="1:19" ht="28" x14ac:dyDescent="0.15">
      <c r="A16619" s="2">
        <f>HYPERLINK("https://open-school.uspishnemisto.com.ua/school/800378/", 800378)</f>
        <v>800378</v>
      </c>
      <c r="B16619" s="3" t="s">
        <v>83589</v>
      </c>
      <c r="C16619" s="3" t="s">
        <v>244</v>
      </c>
      <c r="D16619" s="3" t="s">
        <v>32</v>
      </c>
      <c r="E16619" s="4" t="s">
        <v>22</v>
      </c>
      <c r="F16619" s="4" t="s">
        <v>83501</v>
      </c>
      <c r="G16619" s="4" t="s">
        <v>83395</v>
      </c>
      <c r="H16619" s="3" t="s">
        <v>81975</v>
      </c>
      <c r="I16619" s="3" t="s">
        <v>83396</v>
      </c>
      <c r="J16619" s="3" t="s">
        <v>83590</v>
      </c>
      <c r="K16619" s="3" t="s">
        <v>83591</v>
      </c>
      <c r="L16619" s="3" t="s">
        <v>83592</v>
      </c>
      <c r="M16619" s="4"/>
      <c r="N16619" s="3" t="s">
        <v>37</v>
      </c>
      <c r="O16619" s="3" t="s">
        <v>46</v>
      </c>
      <c r="P16619" s="5">
        <v>36</v>
      </c>
      <c r="Q16619" s="5">
        <v>1017</v>
      </c>
      <c r="R16619" s="5">
        <v>35</v>
      </c>
      <c r="S16619" s="5">
        <v>957</v>
      </c>
    </row>
    <row r="16620" spans="1:19" ht="28" x14ac:dyDescent="0.15">
      <c r="A16620" s="2">
        <f>HYPERLINK("https://open-school.uspishnemisto.com.ua/school/800379/", 800379)</f>
        <v>800379</v>
      </c>
      <c r="B16620" s="3" t="s">
        <v>83593</v>
      </c>
      <c r="C16620" s="3" t="s">
        <v>244</v>
      </c>
      <c r="D16620" s="3" t="s">
        <v>32</v>
      </c>
      <c r="E16620" s="4" t="s">
        <v>22</v>
      </c>
      <c r="F16620" s="4" t="s">
        <v>83401</v>
      </c>
      <c r="G16620" s="4" t="s">
        <v>83395</v>
      </c>
      <c r="H16620" s="3" t="s">
        <v>81975</v>
      </c>
      <c r="I16620" s="3" t="s">
        <v>83396</v>
      </c>
      <c r="J16620" s="3" t="s">
        <v>83594</v>
      </c>
      <c r="K16620" s="3" t="s">
        <v>83595</v>
      </c>
      <c r="L16620" s="3" t="s">
        <v>83596</v>
      </c>
      <c r="M16620" s="4"/>
      <c r="N16620" s="3" t="s">
        <v>37</v>
      </c>
      <c r="O16620" s="3" t="s">
        <v>46</v>
      </c>
      <c r="P16620" s="5">
        <v>31</v>
      </c>
      <c r="Q16620" s="5">
        <v>972</v>
      </c>
      <c r="R16620" s="5">
        <v>30</v>
      </c>
      <c r="S16620" s="5">
        <v>935</v>
      </c>
    </row>
    <row r="16621" spans="1:19" ht="28" x14ac:dyDescent="0.15">
      <c r="A16621" s="2">
        <f>HYPERLINK("https://open-school.uspishnemisto.com.ua/school/800380/", 800380)</f>
        <v>800380</v>
      </c>
      <c r="B16621" s="3" t="s">
        <v>83597</v>
      </c>
      <c r="C16621" s="3" t="s">
        <v>244</v>
      </c>
      <c r="D16621" s="3" t="s">
        <v>32</v>
      </c>
      <c r="E16621" s="4" t="s">
        <v>22</v>
      </c>
      <c r="F16621" s="4" t="s">
        <v>83496</v>
      </c>
      <c r="G16621" s="4" t="s">
        <v>83395</v>
      </c>
      <c r="H16621" s="3" t="s">
        <v>81975</v>
      </c>
      <c r="I16621" s="3" t="s">
        <v>83396</v>
      </c>
      <c r="J16621" s="3" t="s">
        <v>83598</v>
      </c>
      <c r="K16621" s="3" t="s">
        <v>83599</v>
      </c>
      <c r="L16621" s="3" t="s">
        <v>83600</v>
      </c>
      <c r="M16621" s="4"/>
      <c r="N16621" s="3" t="s">
        <v>37</v>
      </c>
      <c r="O16621" s="3" t="s">
        <v>52</v>
      </c>
      <c r="P16621" s="5">
        <v>35</v>
      </c>
      <c r="Q16621" s="5">
        <v>1089</v>
      </c>
      <c r="R16621" s="5">
        <v>37</v>
      </c>
      <c r="S16621" s="5">
        <v>1135</v>
      </c>
    </row>
    <row r="16622" spans="1:19" ht="28" x14ac:dyDescent="0.15">
      <c r="A16622" s="2">
        <f>HYPERLINK("https://open-school.uspishnemisto.com.ua/school/800381/", 800381)</f>
        <v>800381</v>
      </c>
      <c r="B16622" s="3" t="s">
        <v>83601</v>
      </c>
      <c r="C16622" s="3" t="s">
        <v>244</v>
      </c>
      <c r="D16622" s="3" t="s">
        <v>32</v>
      </c>
      <c r="E16622" s="4" t="s">
        <v>22</v>
      </c>
      <c r="F16622" s="4" t="s">
        <v>83401</v>
      </c>
      <c r="G16622" s="4" t="s">
        <v>83395</v>
      </c>
      <c r="H16622" s="3" t="s">
        <v>81975</v>
      </c>
      <c r="I16622" s="3" t="s">
        <v>83396</v>
      </c>
      <c r="J16622" s="3" t="s">
        <v>83602</v>
      </c>
      <c r="K16622" s="3" t="s">
        <v>83603</v>
      </c>
      <c r="L16622" s="3" t="s">
        <v>83604</v>
      </c>
      <c r="M16622" s="4"/>
      <c r="N16622" s="3" t="s">
        <v>37</v>
      </c>
      <c r="O16622" s="3" t="s">
        <v>266</v>
      </c>
      <c r="P16622" s="5">
        <v>22</v>
      </c>
      <c r="Q16622" s="5">
        <v>559</v>
      </c>
      <c r="R16622" s="5">
        <v>22</v>
      </c>
      <c r="S16622" s="5">
        <v>537</v>
      </c>
    </row>
    <row r="16623" spans="1:19" ht="42" x14ac:dyDescent="0.15">
      <c r="A16623" s="2">
        <f>HYPERLINK("https://open-school.uspishnemisto.com.ua/school/800382/", 800382)</f>
        <v>800382</v>
      </c>
      <c r="B16623" s="3" t="s">
        <v>83605</v>
      </c>
      <c r="C16623" s="3" t="s">
        <v>54</v>
      </c>
      <c r="D16623" s="3" t="s">
        <v>32</v>
      </c>
      <c r="E16623" s="4" t="s">
        <v>22</v>
      </c>
      <c r="F16623" s="4"/>
      <c r="G16623" s="4" t="s">
        <v>83395</v>
      </c>
      <c r="H16623" s="3" t="s">
        <v>81975</v>
      </c>
      <c r="I16623" s="3" t="s">
        <v>83396</v>
      </c>
      <c r="J16623" s="3" t="s">
        <v>83606</v>
      </c>
      <c r="K16623" s="3" t="s">
        <v>83607</v>
      </c>
      <c r="L16623" s="3"/>
      <c r="M16623" s="4"/>
      <c r="N16623" s="3" t="s">
        <v>37</v>
      </c>
      <c r="O16623" s="3" t="s">
        <v>52</v>
      </c>
      <c r="P16623" s="5">
        <v>4</v>
      </c>
      <c r="Q16623" s="5">
        <v>118</v>
      </c>
      <c r="R16623" s="5">
        <v>4</v>
      </c>
      <c r="S16623" s="5">
        <v>112</v>
      </c>
    </row>
    <row r="16624" spans="1:19" ht="28" x14ac:dyDescent="0.15">
      <c r="A16624" s="2">
        <f>HYPERLINK("https://open-school.uspishnemisto.com.ua/school/800383/", 800383)</f>
        <v>800383</v>
      </c>
      <c r="B16624" s="3" t="s">
        <v>83608</v>
      </c>
      <c r="C16624" s="3" t="s">
        <v>181</v>
      </c>
      <c r="D16624" s="3" t="s">
        <v>32</v>
      </c>
      <c r="E16624" s="4" t="s">
        <v>22</v>
      </c>
      <c r="F16624" s="4" t="s">
        <v>83401</v>
      </c>
      <c r="G16624" s="4" t="s">
        <v>83395</v>
      </c>
      <c r="H16624" s="3" t="s">
        <v>81975</v>
      </c>
      <c r="I16624" s="3" t="s">
        <v>83396</v>
      </c>
      <c r="J16624" s="3" t="s">
        <v>83609</v>
      </c>
      <c r="K16624" s="3" t="s">
        <v>83610</v>
      </c>
      <c r="L16624" s="3" t="s">
        <v>83611</v>
      </c>
      <c r="M16624" s="4"/>
      <c r="N16624" s="3" t="s">
        <v>37</v>
      </c>
      <c r="O16624" s="3"/>
      <c r="P16624" s="5">
        <v>12</v>
      </c>
      <c r="Q16624" s="5">
        <v>120</v>
      </c>
      <c r="R16624" s="5">
        <v>13</v>
      </c>
      <c r="S16624" s="5">
        <v>134</v>
      </c>
    </row>
    <row r="16625" spans="1:19" ht="28" x14ac:dyDescent="0.15">
      <c r="A16625" s="2">
        <f>HYPERLINK("https://open-school.uspishnemisto.com.ua/school/800384/", 800384)</f>
        <v>800384</v>
      </c>
      <c r="B16625" s="3" t="s">
        <v>83612</v>
      </c>
      <c r="C16625" s="3" t="s">
        <v>181</v>
      </c>
      <c r="D16625" s="3" t="s">
        <v>32</v>
      </c>
      <c r="E16625" s="4" t="s">
        <v>22</v>
      </c>
      <c r="F16625" s="4" t="s">
        <v>83401</v>
      </c>
      <c r="G16625" s="4" t="s">
        <v>83395</v>
      </c>
      <c r="H16625" s="3" t="s">
        <v>81975</v>
      </c>
      <c r="I16625" s="3" t="s">
        <v>83396</v>
      </c>
      <c r="J16625" s="3" t="s">
        <v>83613</v>
      </c>
      <c r="K16625" s="3" t="s">
        <v>83614</v>
      </c>
      <c r="L16625" s="3"/>
      <c r="M16625" s="4"/>
      <c r="N16625" s="3" t="s">
        <v>37</v>
      </c>
      <c r="O16625" s="3" t="s">
        <v>38</v>
      </c>
      <c r="P16625" s="5">
        <v>32</v>
      </c>
      <c r="Q16625" s="5">
        <v>299</v>
      </c>
      <c r="R16625" s="5">
        <v>33</v>
      </c>
      <c r="S16625" s="5">
        <v>318</v>
      </c>
    </row>
    <row r="16626" spans="1:19" ht="28" x14ac:dyDescent="0.15">
      <c r="A16626" s="2">
        <f>HYPERLINK("https://open-school.uspishnemisto.com.ua/school/800385/", 800385)</f>
        <v>800385</v>
      </c>
      <c r="B16626" s="3" t="s">
        <v>83615</v>
      </c>
      <c r="C16626" s="3" t="s">
        <v>54</v>
      </c>
      <c r="D16626" s="3" t="s">
        <v>32</v>
      </c>
      <c r="E16626" s="4" t="s">
        <v>41</v>
      </c>
      <c r="F16626" s="4"/>
      <c r="G16626" s="4" t="s">
        <v>83395</v>
      </c>
      <c r="H16626" s="3" t="s">
        <v>81975</v>
      </c>
      <c r="I16626" s="3" t="s">
        <v>83396</v>
      </c>
      <c r="J16626" s="3" t="s">
        <v>83616</v>
      </c>
      <c r="K16626" s="3" t="s">
        <v>83617</v>
      </c>
      <c r="L16626" s="3" t="s">
        <v>83618</v>
      </c>
      <c r="M16626" s="4"/>
      <c r="N16626" s="3" t="s">
        <v>37</v>
      </c>
      <c r="O16626" s="3" t="s">
        <v>123</v>
      </c>
      <c r="P16626" s="5">
        <v>14</v>
      </c>
      <c r="Q16626" s="5">
        <v>213</v>
      </c>
      <c r="R16626" s="5">
        <v>14</v>
      </c>
      <c r="S16626" s="5">
        <v>217</v>
      </c>
    </row>
    <row r="16627" spans="1:19" ht="28" x14ac:dyDescent="0.15">
      <c r="A16627" s="2">
        <f>HYPERLINK("https://open-school.uspishnemisto.com.ua/school/800386/", 800386)</f>
        <v>800386</v>
      </c>
      <c r="B16627" s="3" t="s">
        <v>83619</v>
      </c>
      <c r="C16627" s="3" t="s">
        <v>54</v>
      </c>
      <c r="D16627" s="3" t="s">
        <v>60</v>
      </c>
      <c r="E16627" s="4" t="s">
        <v>41</v>
      </c>
      <c r="F16627" s="4" t="s">
        <v>83406</v>
      </c>
      <c r="G16627" s="4" t="s">
        <v>83395</v>
      </c>
      <c r="H16627" s="3" t="s">
        <v>81975</v>
      </c>
      <c r="I16627" s="3" t="s">
        <v>83396</v>
      </c>
      <c r="J16627" s="3" t="s">
        <v>83620</v>
      </c>
      <c r="K16627" s="3" t="s">
        <v>83408</v>
      </c>
      <c r="L16627" s="3" t="s">
        <v>83621</v>
      </c>
      <c r="M16627" s="4"/>
      <c r="N16627" s="3" t="s">
        <v>37</v>
      </c>
      <c r="O16627" s="3" t="s">
        <v>52</v>
      </c>
      <c r="P16627" s="5">
        <v>10</v>
      </c>
      <c r="Q16627" s="5">
        <v>152</v>
      </c>
      <c r="R16627" s="5">
        <v>11</v>
      </c>
      <c r="S16627" s="5">
        <v>164</v>
      </c>
    </row>
    <row r="16628" spans="1:19" ht="28" x14ac:dyDescent="0.15">
      <c r="A16628" s="2">
        <f>HYPERLINK("https://open-school.uspishnemisto.com.ua/school/800495/", 800495)</f>
        <v>800495</v>
      </c>
      <c r="B16628" s="3" t="s">
        <v>83622</v>
      </c>
      <c r="C16628" s="3" t="s">
        <v>31</v>
      </c>
      <c r="D16628" s="3" t="s">
        <v>32</v>
      </c>
      <c r="E16628" s="4" t="s">
        <v>41</v>
      </c>
      <c r="F16628" s="4"/>
      <c r="G16628" s="4" t="s">
        <v>83395</v>
      </c>
      <c r="H16628" s="3" t="s">
        <v>81975</v>
      </c>
      <c r="I16628" s="3" t="s">
        <v>83396</v>
      </c>
      <c r="J16628" s="3" t="s">
        <v>83623</v>
      </c>
      <c r="K16628" s="3"/>
      <c r="L16628" s="3" t="s">
        <v>83624</v>
      </c>
      <c r="M16628" s="4"/>
      <c r="N16628" s="3"/>
      <c r="O16628" s="3"/>
      <c r="P16628" s="5">
        <v>7</v>
      </c>
      <c r="Q16628" s="5">
        <v>130</v>
      </c>
      <c r="R16628" s="5"/>
      <c r="S16628" s="5"/>
    </row>
    <row r="16629" spans="1:19" ht="28" x14ac:dyDescent="0.15">
      <c r="A16629" s="2">
        <f>HYPERLINK("https://open-school.uspishnemisto.com.ua/school/800002/", 800002)</f>
        <v>800002</v>
      </c>
      <c r="B16629" s="3" t="s">
        <v>83625</v>
      </c>
      <c r="C16629" s="3" t="s">
        <v>20</v>
      </c>
      <c r="D16629" s="3" t="s">
        <v>82385</v>
      </c>
      <c r="E16629" s="4" t="s">
        <v>22</v>
      </c>
      <c r="F16629" s="4" t="s">
        <v>83626</v>
      </c>
      <c r="G16629" s="4" t="s">
        <v>83627</v>
      </c>
      <c r="H16629" s="3" t="s">
        <v>81975</v>
      </c>
      <c r="I16629" s="3" t="s">
        <v>83628</v>
      </c>
      <c r="J16629" s="3" t="s">
        <v>83629</v>
      </c>
      <c r="K16629" s="3" t="s">
        <v>83630</v>
      </c>
      <c r="L16629" s="3"/>
      <c r="M16629" s="4"/>
      <c r="N16629" s="3"/>
      <c r="O16629" s="3"/>
      <c r="P16629" s="5">
        <v>0</v>
      </c>
      <c r="Q16629" s="5">
        <v>0</v>
      </c>
      <c r="R16629" s="5"/>
      <c r="S16629" s="5"/>
    </row>
    <row r="16630" spans="1:19" ht="28" x14ac:dyDescent="0.15">
      <c r="A16630" s="2">
        <f>HYPERLINK("https://open-school.uspishnemisto.com.ua/school/800387/", 800387)</f>
        <v>800387</v>
      </c>
      <c r="B16630" s="3" t="s">
        <v>83631</v>
      </c>
      <c r="C16630" s="3" t="s">
        <v>188</v>
      </c>
      <c r="D16630" s="3" t="s">
        <v>21</v>
      </c>
      <c r="E16630" s="4" t="s">
        <v>22</v>
      </c>
      <c r="F16630" s="4" t="s">
        <v>83632</v>
      </c>
      <c r="G16630" s="4" t="s">
        <v>83627</v>
      </c>
      <c r="H16630" s="3" t="s">
        <v>81975</v>
      </c>
      <c r="I16630" s="3" t="s">
        <v>83628</v>
      </c>
      <c r="J16630" s="3" t="s">
        <v>83633</v>
      </c>
      <c r="K16630" s="3" t="s">
        <v>83634</v>
      </c>
      <c r="L16630" s="3" t="s">
        <v>83635</v>
      </c>
      <c r="M16630" s="4" t="s">
        <v>83636</v>
      </c>
      <c r="N16630" s="3" t="s">
        <v>37</v>
      </c>
      <c r="O16630" s="3" t="s">
        <v>52</v>
      </c>
      <c r="P16630" s="5">
        <v>15</v>
      </c>
      <c r="Q16630" s="5">
        <v>385</v>
      </c>
      <c r="R16630" s="5">
        <v>15</v>
      </c>
      <c r="S16630" s="5">
        <v>399</v>
      </c>
    </row>
    <row r="16631" spans="1:19" ht="28" x14ac:dyDescent="0.15">
      <c r="A16631" s="2">
        <f>HYPERLINK("https://open-school.uspishnemisto.com.ua/school/800388/", 800388)</f>
        <v>800388</v>
      </c>
      <c r="B16631" s="3" t="s">
        <v>83637</v>
      </c>
      <c r="C16631" s="3" t="s">
        <v>40</v>
      </c>
      <c r="D16631" s="3" t="s">
        <v>21</v>
      </c>
      <c r="E16631" s="4" t="s">
        <v>22</v>
      </c>
      <c r="F16631" s="4" t="s">
        <v>83632</v>
      </c>
      <c r="G16631" s="4" t="s">
        <v>83627</v>
      </c>
      <c r="H16631" s="3" t="s">
        <v>81975</v>
      </c>
      <c r="I16631" s="3" t="s">
        <v>83628</v>
      </c>
      <c r="J16631" s="3" t="s">
        <v>83638</v>
      </c>
      <c r="K16631" s="3" t="s">
        <v>83639</v>
      </c>
      <c r="L16631" s="3" t="s">
        <v>83640</v>
      </c>
      <c r="M16631" s="4"/>
      <c r="N16631" s="3" t="s">
        <v>37</v>
      </c>
      <c r="O16631" s="3" t="s">
        <v>123</v>
      </c>
      <c r="P16631" s="5">
        <v>16</v>
      </c>
      <c r="Q16631" s="5">
        <v>494</v>
      </c>
      <c r="R16631" s="5">
        <v>9</v>
      </c>
      <c r="S16631" s="5">
        <v>246</v>
      </c>
    </row>
    <row r="16632" spans="1:19" ht="28" x14ac:dyDescent="0.15">
      <c r="A16632" s="2">
        <f>HYPERLINK("https://open-school.uspishnemisto.com.ua/school/800389/", 800389)</f>
        <v>800389</v>
      </c>
      <c r="B16632" s="3" t="s">
        <v>83641</v>
      </c>
      <c r="C16632" s="3" t="s">
        <v>40</v>
      </c>
      <c r="D16632" s="3" t="s">
        <v>32</v>
      </c>
      <c r="E16632" s="4" t="s">
        <v>22</v>
      </c>
      <c r="F16632" s="4" t="s">
        <v>83642</v>
      </c>
      <c r="G16632" s="4" t="s">
        <v>83627</v>
      </c>
      <c r="H16632" s="3" t="s">
        <v>81975</v>
      </c>
      <c r="I16632" s="3" t="s">
        <v>83628</v>
      </c>
      <c r="J16632" s="3" t="s">
        <v>83643</v>
      </c>
      <c r="K16632" s="3" t="s">
        <v>83644</v>
      </c>
      <c r="L16632" s="3" t="s">
        <v>83645</v>
      </c>
      <c r="M16632" s="4"/>
      <c r="N16632" s="3" t="s">
        <v>37</v>
      </c>
      <c r="O16632" s="3" t="s">
        <v>8542</v>
      </c>
      <c r="P16632" s="5">
        <v>38</v>
      </c>
      <c r="Q16632" s="5">
        <v>1204</v>
      </c>
      <c r="R16632" s="5">
        <v>37</v>
      </c>
      <c r="S16632" s="5">
        <v>1125</v>
      </c>
    </row>
    <row r="16633" spans="1:19" ht="28" x14ac:dyDescent="0.15">
      <c r="A16633" s="2">
        <f>HYPERLINK("https://open-school.uspishnemisto.com.ua/school/800390/", 800390)</f>
        <v>800390</v>
      </c>
      <c r="B16633" s="3" t="s">
        <v>83646</v>
      </c>
      <c r="C16633" s="3" t="s">
        <v>40</v>
      </c>
      <c r="D16633" s="3" t="s">
        <v>32</v>
      </c>
      <c r="E16633" s="4" t="s">
        <v>22</v>
      </c>
      <c r="F16633" s="4" t="s">
        <v>83647</v>
      </c>
      <c r="G16633" s="4" t="s">
        <v>83627</v>
      </c>
      <c r="H16633" s="3" t="s">
        <v>81975</v>
      </c>
      <c r="I16633" s="3" t="s">
        <v>83628</v>
      </c>
      <c r="J16633" s="3" t="s">
        <v>83648</v>
      </c>
      <c r="K16633" s="3" t="s">
        <v>83649</v>
      </c>
      <c r="L16633" s="3" t="s">
        <v>83650</v>
      </c>
      <c r="M16633" s="4"/>
      <c r="N16633" s="3" t="s">
        <v>967</v>
      </c>
      <c r="O16633" s="3" t="s">
        <v>123</v>
      </c>
      <c r="P16633" s="5">
        <v>40</v>
      </c>
      <c r="Q16633" s="5">
        <v>1112</v>
      </c>
      <c r="R16633" s="5">
        <v>39</v>
      </c>
      <c r="S16633" s="5">
        <v>1113</v>
      </c>
    </row>
    <row r="16634" spans="1:19" ht="28" x14ac:dyDescent="0.15">
      <c r="A16634" s="2">
        <f>HYPERLINK("https://open-school.uspishnemisto.com.ua/school/800391/", 800391)</f>
        <v>800391</v>
      </c>
      <c r="B16634" s="3" t="s">
        <v>83651</v>
      </c>
      <c r="C16634" s="3" t="s">
        <v>40</v>
      </c>
      <c r="D16634" s="3" t="s">
        <v>32</v>
      </c>
      <c r="E16634" s="4" t="s">
        <v>22</v>
      </c>
      <c r="F16634" s="4" t="s">
        <v>83647</v>
      </c>
      <c r="G16634" s="4" t="s">
        <v>83627</v>
      </c>
      <c r="H16634" s="3" t="s">
        <v>81975</v>
      </c>
      <c r="I16634" s="3" t="s">
        <v>83628</v>
      </c>
      <c r="J16634" s="3" t="s">
        <v>83652</v>
      </c>
      <c r="K16634" s="3" t="s">
        <v>83653</v>
      </c>
      <c r="L16634" s="3" t="s">
        <v>83654</v>
      </c>
      <c r="M16634" s="4"/>
      <c r="N16634" s="3" t="s">
        <v>37</v>
      </c>
      <c r="O16634" s="3" t="s">
        <v>46</v>
      </c>
      <c r="P16634" s="5">
        <v>22</v>
      </c>
      <c r="Q16634" s="5">
        <v>719</v>
      </c>
      <c r="R16634" s="5">
        <v>22</v>
      </c>
      <c r="S16634" s="5">
        <v>682</v>
      </c>
    </row>
    <row r="16635" spans="1:19" ht="28" x14ac:dyDescent="0.15">
      <c r="A16635" s="2">
        <f>HYPERLINK("https://open-school.uspishnemisto.com.ua/school/800392/", 800392)</f>
        <v>800392</v>
      </c>
      <c r="B16635" s="3" t="s">
        <v>83655</v>
      </c>
      <c r="C16635" s="3" t="s">
        <v>20356</v>
      </c>
      <c r="D16635" s="3" t="s">
        <v>32</v>
      </c>
      <c r="E16635" s="4" t="s">
        <v>22</v>
      </c>
      <c r="F16635" s="4" t="s">
        <v>83656</v>
      </c>
      <c r="G16635" s="4" t="s">
        <v>83627</v>
      </c>
      <c r="H16635" s="3" t="s">
        <v>81975</v>
      </c>
      <c r="I16635" s="3" t="s">
        <v>83628</v>
      </c>
      <c r="J16635" s="3" t="s">
        <v>83657</v>
      </c>
      <c r="K16635" s="3" t="s">
        <v>83658</v>
      </c>
      <c r="L16635" s="3" t="s">
        <v>83659</v>
      </c>
      <c r="M16635" s="4"/>
      <c r="N16635" s="3" t="s">
        <v>37</v>
      </c>
      <c r="O16635" s="3" t="s">
        <v>2740</v>
      </c>
      <c r="P16635" s="5">
        <v>16</v>
      </c>
      <c r="Q16635" s="5">
        <v>238</v>
      </c>
      <c r="R16635" s="5">
        <v>15</v>
      </c>
      <c r="S16635" s="5">
        <v>206</v>
      </c>
    </row>
    <row r="16636" spans="1:19" ht="28" x14ac:dyDescent="0.15">
      <c r="A16636" s="2">
        <f>HYPERLINK("https://open-school.uspishnemisto.com.ua/school/800393/", 800393)</f>
        <v>800393</v>
      </c>
      <c r="B16636" s="3" t="s">
        <v>83660</v>
      </c>
      <c r="C16636" s="3" t="s">
        <v>48</v>
      </c>
      <c r="D16636" s="3" t="s">
        <v>21</v>
      </c>
      <c r="E16636" s="4" t="s">
        <v>22</v>
      </c>
      <c r="F16636" s="4" t="s">
        <v>83661</v>
      </c>
      <c r="G16636" s="4" t="s">
        <v>83627</v>
      </c>
      <c r="H16636" s="3" t="s">
        <v>81975</v>
      </c>
      <c r="I16636" s="3" t="s">
        <v>83628</v>
      </c>
      <c r="J16636" s="3" t="s">
        <v>83662</v>
      </c>
      <c r="K16636" s="3" t="s">
        <v>83663</v>
      </c>
      <c r="L16636" s="3" t="s">
        <v>83664</v>
      </c>
      <c r="M16636" s="4" t="s">
        <v>83665</v>
      </c>
      <c r="N16636" s="3" t="s">
        <v>37</v>
      </c>
      <c r="O16636" s="3" t="s">
        <v>52</v>
      </c>
      <c r="P16636" s="5">
        <v>13</v>
      </c>
      <c r="Q16636" s="5">
        <v>320</v>
      </c>
      <c r="R16636" s="5">
        <v>13</v>
      </c>
      <c r="S16636" s="5">
        <v>320</v>
      </c>
    </row>
    <row r="16637" spans="1:19" ht="28" x14ac:dyDescent="0.15">
      <c r="A16637" s="2">
        <f>HYPERLINK("https://open-school.uspishnemisto.com.ua/school/800394/", 800394)</f>
        <v>800394</v>
      </c>
      <c r="B16637" s="3" t="s">
        <v>83666</v>
      </c>
      <c r="C16637" s="3" t="s">
        <v>40</v>
      </c>
      <c r="D16637" s="3" t="s">
        <v>21</v>
      </c>
      <c r="E16637" s="4" t="s">
        <v>41</v>
      </c>
      <c r="F16637" s="4"/>
      <c r="G16637" s="4" t="s">
        <v>83627</v>
      </c>
      <c r="H16637" s="3" t="s">
        <v>81975</v>
      </c>
      <c r="I16637" s="3" t="s">
        <v>83628</v>
      </c>
      <c r="J16637" s="3" t="s">
        <v>83667</v>
      </c>
      <c r="K16637" s="3"/>
      <c r="L16637" s="3" t="s">
        <v>83668</v>
      </c>
      <c r="M16637" s="4"/>
      <c r="N16637" s="3" t="s">
        <v>37</v>
      </c>
      <c r="O16637" s="3" t="s">
        <v>52</v>
      </c>
      <c r="P16637" s="5">
        <v>6</v>
      </c>
      <c r="Q16637" s="5">
        <v>49</v>
      </c>
      <c r="R16637" s="5">
        <v>7</v>
      </c>
      <c r="S16637" s="5">
        <v>84</v>
      </c>
    </row>
    <row r="16638" spans="1:19" ht="28" x14ac:dyDescent="0.15">
      <c r="A16638" s="2">
        <f>HYPERLINK("https://open-school.uspishnemisto.com.ua/school/800395/", 800395)</f>
        <v>800395</v>
      </c>
      <c r="B16638" s="3" t="s">
        <v>83669</v>
      </c>
      <c r="C16638" s="3" t="s">
        <v>188</v>
      </c>
      <c r="D16638" s="3" t="s">
        <v>21</v>
      </c>
      <c r="E16638" s="4" t="s">
        <v>22</v>
      </c>
      <c r="F16638" s="4" t="s">
        <v>83661</v>
      </c>
      <c r="G16638" s="4" t="s">
        <v>83627</v>
      </c>
      <c r="H16638" s="3" t="s">
        <v>81975</v>
      </c>
      <c r="I16638" s="3" t="s">
        <v>83628</v>
      </c>
      <c r="J16638" s="3" t="s">
        <v>83670</v>
      </c>
      <c r="K16638" s="3" t="s">
        <v>83671</v>
      </c>
      <c r="L16638" s="3" t="s">
        <v>83672</v>
      </c>
      <c r="M16638" s="4"/>
      <c r="N16638" s="3" t="s">
        <v>37</v>
      </c>
      <c r="O16638" s="3" t="s">
        <v>237</v>
      </c>
      <c r="P16638" s="5">
        <v>11</v>
      </c>
      <c r="Q16638" s="5">
        <v>257</v>
      </c>
      <c r="R16638" s="5">
        <v>11</v>
      </c>
      <c r="S16638" s="5">
        <v>240</v>
      </c>
    </row>
    <row r="16639" spans="1:19" ht="28" x14ac:dyDescent="0.15">
      <c r="A16639" s="2">
        <f>HYPERLINK("https://open-school.uspishnemisto.com.ua/school/800396/", 800396)</f>
        <v>800396</v>
      </c>
      <c r="B16639" s="3" t="s">
        <v>83673</v>
      </c>
      <c r="C16639" s="3" t="s">
        <v>188</v>
      </c>
      <c r="D16639" s="3" t="s">
        <v>21</v>
      </c>
      <c r="E16639" s="4" t="s">
        <v>22</v>
      </c>
      <c r="F16639" s="4" t="s">
        <v>83674</v>
      </c>
      <c r="G16639" s="4" t="s">
        <v>83627</v>
      </c>
      <c r="H16639" s="3" t="s">
        <v>81975</v>
      </c>
      <c r="I16639" s="3" t="s">
        <v>83628</v>
      </c>
      <c r="J16639" s="3" t="s">
        <v>83675</v>
      </c>
      <c r="K16639" s="3" t="s">
        <v>83676</v>
      </c>
      <c r="L16639" s="3" t="s">
        <v>83677</v>
      </c>
      <c r="M16639" s="4"/>
      <c r="N16639" s="3" t="s">
        <v>37</v>
      </c>
      <c r="O16639" s="3" t="s">
        <v>52</v>
      </c>
      <c r="P16639" s="5">
        <v>20</v>
      </c>
      <c r="Q16639" s="5">
        <v>534</v>
      </c>
      <c r="R16639" s="5">
        <v>20</v>
      </c>
      <c r="S16639" s="5">
        <v>544</v>
      </c>
    </row>
    <row r="16640" spans="1:19" ht="28" x14ac:dyDescent="0.15">
      <c r="A16640" s="2">
        <f>HYPERLINK("https://open-school.uspishnemisto.com.ua/school/800397/", 800397)</f>
        <v>800397</v>
      </c>
      <c r="B16640" s="3" t="s">
        <v>83678</v>
      </c>
      <c r="C16640" s="3" t="s">
        <v>188</v>
      </c>
      <c r="D16640" s="3" t="s">
        <v>32</v>
      </c>
      <c r="E16640" s="4" t="s">
        <v>22</v>
      </c>
      <c r="F16640" s="4" t="s">
        <v>83679</v>
      </c>
      <c r="G16640" s="4" t="s">
        <v>83627</v>
      </c>
      <c r="H16640" s="3" t="s">
        <v>81975</v>
      </c>
      <c r="I16640" s="3" t="s">
        <v>83628</v>
      </c>
      <c r="J16640" s="3" t="s">
        <v>83680</v>
      </c>
      <c r="K16640" s="3" t="s">
        <v>83681</v>
      </c>
      <c r="L16640" s="3" t="s">
        <v>83682</v>
      </c>
      <c r="M16640" s="4"/>
      <c r="N16640" s="3" t="s">
        <v>37</v>
      </c>
      <c r="O16640" s="3" t="s">
        <v>70</v>
      </c>
      <c r="P16640" s="5">
        <v>32</v>
      </c>
      <c r="Q16640" s="5">
        <v>929</v>
      </c>
      <c r="R16640" s="5">
        <v>31</v>
      </c>
      <c r="S16640" s="5">
        <v>871</v>
      </c>
    </row>
    <row r="16641" spans="1:19" ht="28" x14ac:dyDescent="0.15">
      <c r="A16641" s="2">
        <f>HYPERLINK("https://open-school.uspishnemisto.com.ua/school/800398/", 800398)</f>
        <v>800398</v>
      </c>
      <c r="B16641" s="3" t="s">
        <v>83683</v>
      </c>
      <c r="C16641" s="3" t="s">
        <v>188</v>
      </c>
      <c r="D16641" s="3" t="s">
        <v>21</v>
      </c>
      <c r="E16641" s="4" t="s">
        <v>22</v>
      </c>
      <c r="F16641" s="4" t="s">
        <v>83684</v>
      </c>
      <c r="G16641" s="4" t="s">
        <v>83627</v>
      </c>
      <c r="H16641" s="3" t="s">
        <v>81975</v>
      </c>
      <c r="I16641" s="3" t="s">
        <v>83628</v>
      </c>
      <c r="J16641" s="3" t="s">
        <v>83685</v>
      </c>
      <c r="K16641" s="3" t="s">
        <v>83686</v>
      </c>
      <c r="L16641" s="3" t="s">
        <v>83687</v>
      </c>
      <c r="M16641" s="4" t="s">
        <v>83688</v>
      </c>
      <c r="N16641" s="3" t="s">
        <v>37</v>
      </c>
      <c r="O16641" s="3" t="s">
        <v>52</v>
      </c>
      <c r="P16641" s="5">
        <v>30</v>
      </c>
      <c r="Q16641" s="5">
        <v>725</v>
      </c>
      <c r="R16641" s="5">
        <v>31</v>
      </c>
      <c r="S16641" s="5">
        <v>757</v>
      </c>
    </row>
    <row r="16642" spans="1:19" ht="28" x14ac:dyDescent="0.15">
      <c r="A16642" s="2">
        <f>HYPERLINK("https://open-school.uspishnemisto.com.ua/school/800399/", 800399)</f>
        <v>800399</v>
      </c>
      <c r="B16642" s="3" t="s">
        <v>83689</v>
      </c>
      <c r="C16642" s="3" t="s">
        <v>31</v>
      </c>
      <c r="D16642" s="3" t="s">
        <v>60</v>
      </c>
      <c r="E16642" s="4" t="s">
        <v>22</v>
      </c>
      <c r="F16642" s="4" t="s">
        <v>83647</v>
      </c>
      <c r="G16642" s="4" t="s">
        <v>83627</v>
      </c>
      <c r="H16642" s="3" t="s">
        <v>81975</v>
      </c>
      <c r="I16642" s="3" t="s">
        <v>83628</v>
      </c>
      <c r="J16642" s="3" t="s">
        <v>83690</v>
      </c>
      <c r="K16642" s="3" t="s">
        <v>83691</v>
      </c>
      <c r="L16642" s="3"/>
      <c r="M16642" s="4"/>
      <c r="N16642" s="3" t="s">
        <v>37</v>
      </c>
      <c r="O16642" s="3" t="s">
        <v>52</v>
      </c>
      <c r="P16642" s="5">
        <v>3</v>
      </c>
      <c r="Q16642" s="5">
        <v>69</v>
      </c>
      <c r="R16642" s="5">
        <v>8</v>
      </c>
      <c r="S16642" s="5">
        <v>117</v>
      </c>
    </row>
    <row r="16643" spans="1:19" ht="28" x14ac:dyDescent="0.15">
      <c r="A16643" s="2">
        <f>HYPERLINK("https://open-school.uspishnemisto.com.ua/school/800400/", 800400)</f>
        <v>800400</v>
      </c>
      <c r="B16643" s="3" t="s">
        <v>83692</v>
      </c>
      <c r="C16643" s="3" t="s">
        <v>31</v>
      </c>
      <c r="D16643" s="3" t="s">
        <v>32</v>
      </c>
      <c r="E16643" s="4" t="s">
        <v>41</v>
      </c>
      <c r="F16643" s="4" t="s">
        <v>83693</v>
      </c>
      <c r="G16643" s="4" t="s">
        <v>83627</v>
      </c>
      <c r="H16643" s="3" t="s">
        <v>81975</v>
      </c>
      <c r="I16643" s="3" t="s">
        <v>83628</v>
      </c>
      <c r="J16643" s="3" t="s">
        <v>83694</v>
      </c>
      <c r="K16643" s="3" t="s">
        <v>83695</v>
      </c>
      <c r="L16643" s="3" t="s">
        <v>83696</v>
      </c>
      <c r="M16643" s="4"/>
      <c r="N16643" s="3" t="s">
        <v>37</v>
      </c>
      <c r="O16643" s="3" t="s">
        <v>197</v>
      </c>
      <c r="P16643" s="5">
        <v>16</v>
      </c>
      <c r="Q16643" s="5">
        <v>441</v>
      </c>
      <c r="R16643" s="5">
        <v>15</v>
      </c>
      <c r="S16643" s="5">
        <v>427</v>
      </c>
    </row>
    <row r="16644" spans="1:19" ht="28" x14ac:dyDescent="0.15">
      <c r="A16644" s="2">
        <f>HYPERLINK("https://open-school.uspishnemisto.com.ua/school/800401/", 800401)</f>
        <v>800401</v>
      </c>
      <c r="B16644" s="3" t="s">
        <v>83697</v>
      </c>
      <c r="C16644" s="3" t="s">
        <v>188</v>
      </c>
      <c r="D16644" s="3" t="s">
        <v>21</v>
      </c>
      <c r="E16644" s="4" t="s">
        <v>41</v>
      </c>
      <c r="F16644" s="4" t="s">
        <v>83698</v>
      </c>
      <c r="G16644" s="4" t="s">
        <v>83627</v>
      </c>
      <c r="H16644" s="3" t="s">
        <v>81975</v>
      </c>
      <c r="I16644" s="3" t="s">
        <v>83628</v>
      </c>
      <c r="J16644" s="3" t="s">
        <v>83699</v>
      </c>
      <c r="K16644" s="3" t="s">
        <v>83700</v>
      </c>
      <c r="L16644" s="3" t="s">
        <v>83701</v>
      </c>
      <c r="M16644" s="4"/>
      <c r="N16644" s="3" t="s">
        <v>37</v>
      </c>
      <c r="O16644" s="3" t="s">
        <v>52</v>
      </c>
      <c r="P16644" s="5">
        <v>8</v>
      </c>
      <c r="Q16644" s="5">
        <v>88</v>
      </c>
      <c r="R16644" s="5">
        <v>10</v>
      </c>
      <c r="S16644" s="5">
        <v>80</v>
      </c>
    </row>
    <row r="16645" spans="1:19" ht="28" x14ac:dyDescent="0.15">
      <c r="A16645" s="2">
        <f>HYPERLINK("https://open-school.uspishnemisto.com.ua/school/800402/", 800402)</f>
        <v>800402</v>
      </c>
      <c r="B16645" s="3" t="s">
        <v>83702</v>
      </c>
      <c r="C16645" s="3" t="s">
        <v>54</v>
      </c>
      <c r="D16645" s="3" t="s">
        <v>175</v>
      </c>
      <c r="E16645" s="4" t="s">
        <v>41</v>
      </c>
      <c r="F16645" s="4" t="s">
        <v>83626</v>
      </c>
      <c r="G16645" s="4" t="s">
        <v>83627</v>
      </c>
      <c r="H16645" s="3" t="s">
        <v>81975</v>
      </c>
      <c r="I16645" s="3" t="s">
        <v>83628</v>
      </c>
      <c r="J16645" s="3" t="s">
        <v>83703</v>
      </c>
      <c r="K16645" s="3" t="s">
        <v>83704</v>
      </c>
      <c r="L16645" s="3" t="s">
        <v>83369</v>
      </c>
      <c r="M16645" s="4"/>
      <c r="N16645" s="3" t="s">
        <v>37</v>
      </c>
      <c r="O16645" s="3" t="s">
        <v>8629</v>
      </c>
      <c r="P16645" s="5">
        <v>4</v>
      </c>
      <c r="Q16645" s="5">
        <v>27</v>
      </c>
      <c r="R16645" s="5">
        <v>4</v>
      </c>
      <c r="S16645" s="5">
        <v>24</v>
      </c>
    </row>
    <row r="16646" spans="1:19" ht="28" x14ac:dyDescent="0.15">
      <c r="A16646" s="2">
        <f>HYPERLINK("https://open-school.uspishnemisto.com.ua/school/800403/", 800403)</f>
        <v>800403</v>
      </c>
      <c r="B16646" s="3" t="s">
        <v>83705</v>
      </c>
      <c r="C16646" s="3" t="s">
        <v>31</v>
      </c>
      <c r="D16646" s="3" t="s">
        <v>32</v>
      </c>
      <c r="E16646" s="4" t="s">
        <v>22</v>
      </c>
      <c r="F16646" s="4" t="s">
        <v>83656</v>
      </c>
      <c r="G16646" s="4" t="s">
        <v>83627</v>
      </c>
      <c r="H16646" s="3" t="s">
        <v>81975</v>
      </c>
      <c r="I16646" s="3" t="s">
        <v>83628</v>
      </c>
      <c r="J16646" s="3" t="s">
        <v>83706</v>
      </c>
      <c r="K16646" s="3" t="s">
        <v>83707</v>
      </c>
      <c r="L16646" s="3" t="s">
        <v>83708</v>
      </c>
      <c r="M16646" s="4"/>
      <c r="N16646" s="3" t="s">
        <v>37</v>
      </c>
      <c r="O16646" s="3" t="s">
        <v>70</v>
      </c>
      <c r="P16646" s="5">
        <v>17</v>
      </c>
      <c r="Q16646" s="5">
        <v>362</v>
      </c>
      <c r="R16646" s="5">
        <v>15</v>
      </c>
      <c r="S16646" s="5">
        <v>333</v>
      </c>
    </row>
    <row r="16647" spans="1:19" ht="28" x14ac:dyDescent="0.15">
      <c r="A16647" s="2">
        <f>HYPERLINK("https://open-school.uspishnemisto.com.ua/school/800404/", 800404)</f>
        <v>800404</v>
      </c>
      <c r="B16647" s="3" t="s">
        <v>83709</v>
      </c>
      <c r="C16647" s="3" t="s">
        <v>31</v>
      </c>
      <c r="D16647" s="3" t="s">
        <v>32</v>
      </c>
      <c r="E16647" s="4" t="s">
        <v>22</v>
      </c>
      <c r="F16647" s="4" t="s">
        <v>83710</v>
      </c>
      <c r="G16647" s="4" t="s">
        <v>83627</v>
      </c>
      <c r="H16647" s="3" t="s">
        <v>81975</v>
      </c>
      <c r="I16647" s="3" t="s">
        <v>83628</v>
      </c>
      <c r="J16647" s="3" t="s">
        <v>83711</v>
      </c>
      <c r="K16647" s="3" t="s">
        <v>83712</v>
      </c>
      <c r="L16647" s="3" t="s">
        <v>83713</v>
      </c>
      <c r="M16647" s="4"/>
      <c r="N16647" s="3" t="s">
        <v>37</v>
      </c>
      <c r="O16647" s="3" t="s">
        <v>38</v>
      </c>
      <c r="P16647" s="5">
        <v>10</v>
      </c>
      <c r="Q16647" s="5">
        <v>234</v>
      </c>
      <c r="R16647" s="5">
        <v>11</v>
      </c>
      <c r="S16647" s="5">
        <v>230</v>
      </c>
    </row>
    <row r="16648" spans="1:19" ht="28" x14ac:dyDescent="0.15">
      <c r="A16648" s="2">
        <f>HYPERLINK("https://open-school.uspishnemisto.com.ua/school/800405/", 800405)</f>
        <v>800405</v>
      </c>
      <c r="B16648" s="3" t="s">
        <v>83714</v>
      </c>
      <c r="C16648" s="3" t="s">
        <v>31</v>
      </c>
      <c r="D16648" s="3" t="s">
        <v>32</v>
      </c>
      <c r="E16648" s="4" t="s">
        <v>22</v>
      </c>
      <c r="F16648" s="4" t="s">
        <v>83715</v>
      </c>
      <c r="G16648" s="4" t="s">
        <v>83627</v>
      </c>
      <c r="H16648" s="3" t="s">
        <v>81975</v>
      </c>
      <c r="I16648" s="3" t="s">
        <v>83628</v>
      </c>
      <c r="J16648" s="3" t="s">
        <v>83716</v>
      </c>
      <c r="K16648" s="3" t="s">
        <v>83717</v>
      </c>
      <c r="L16648" s="3" t="s">
        <v>83718</v>
      </c>
      <c r="M16648" s="4"/>
      <c r="N16648" s="3" t="s">
        <v>37</v>
      </c>
      <c r="O16648" s="3" t="s">
        <v>6354</v>
      </c>
      <c r="P16648" s="5">
        <v>20</v>
      </c>
      <c r="Q16648" s="5">
        <v>545</v>
      </c>
      <c r="R16648" s="5">
        <v>19</v>
      </c>
      <c r="S16648" s="5">
        <v>507</v>
      </c>
    </row>
    <row r="16649" spans="1:19" ht="28" x14ac:dyDescent="0.15">
      <c r="A16649" s="2">
        <f>HYPERLINK("https://open-school.uspishnemisto.com.ua/school/800406/", 800406)</f>
        <v>800406</v>
      </c>
      <c r="B16649" s="3" t="s">
        <v>83719</v>
      </c>
      <c r="C16649" s="3" t="s">
        <v>31</v>
      </c>
      <c r="D16649" s="3" t="s">
        <v>32</v>
      </c>
      <c r="E16649" s="4" t="s">
        <v>22</v>
      </c>
      <c r="F16649" s="4" t="s">
        <v>83720</v>
      </c>
      <c r="G16649" s="4" t="s">
        <v>83627</v>
      </c>
      <c r="H16649" s="3" t="s">
        <v>81975</v>
      </c>
      <c r="I16649" s="3" t="s">
        <v>83628</v>
      </c>
      <c r="J16649" s="3" t="s">
        <v>83721</v>
      </c>
      <c r="K16649" s="3" t="s">
        <v>83722</v>
      </c>
      <c r="L16649" s="3" t="s">
        <v>83723</v>
      </c>
      <c r="M16649" s="4"/>
      <c r="N16649" s="3" t="s">
        <v>37</v>
      </c>
      <c r="O16649" s="3" t="s">
        <v>46</v>
      </c>
      <c r="P16649" s="5">
        <v>25</v>
      </c>
      <c r="Q16649" s="5">
        <v>734</v>
      </c>
      <c r="R16649" s="5">
        <v>24</v>
      </c>
      <c r="S16649" s="5">
        <v>700</v>
      </c>
    </row>
    <row r="16650" spans="1:19" ht="28" x14ac:dyDescent="0.15">
      <c r="A16650" s="2">
        <f>HYPERLINK("https://open-school.uspishnemisto.com.ua/school/800407/", 800407)</f>
        <v>800407</v>
      </c>
      <c r="B16650" s="3" t="s">
        <v>83724</v>
      </c>
      <c r="C16650" s="3" t="s">
        <v>31</v>
      </c>
      <c r="D16650" s="3" t="s">
        <v>32</v>
      </c>
      <c r="E16650" s="4" t="s">
        <v>22</v>
      </c>
      <c r="F16650" s="4" t="s">
        <v>83656</v>
      </c>
      <c r="G16650" s="4" t="s">
        <v>83627</v>
      </c>
      <c r="H16650" s="3" t="s">
        <v>81975</v>
      </c>
      <c r="I16650" s="3" t="s">
        <v>83628</v>
      </c>
      <c r="J16650" s="3" t="s">
        <v>83725</v>
      </c>
      <c r="K16650" s="3" t="s">
        <v>83726</v>
      </c>
      <c r="L16650" s="3" t="s">
        <v>83727</v>
      </c>
      <c r="M16650" s="4"/>
      <c r="N16650" s="3" t="s">
        <v>37</v>
      </c>
      <c r="O16650" s="3" t="s">
        <v>46</v>
      </c>
      <c r="P16650" s="5">
        <v>22</v>
      </c>
      <c r="Q16650" s="5">
        <v>633</v>
      </c>
      <c r="R16650" s="5">
        <v>21</v>
      </c>
      <c r="S16650" s="5">
        <v>586</v>
      </c>
    </row>
    <row r="16651" spans="1:19" ht="28" x14ac:dyDescent="0.15">
      <c r="A16651" s="2">
        <f>HYPERLINK("https://open-school.uspishnemisto.com.ua/school/800408/", 800408)</f>
        <v>800408</v>
      </c>
      <c r="B16651" s="3" t="s">
        <v>83728</v>
      </c>
      <c r="C16651" s="3" t="s">
        <v>31</v>
      </c>
      <c r="D16651" s="3" t="s">
        <v>32</v>
      </c>
      <c r="E16651" s="4" t="s">
        <v>22</v>
      </c>
      <c r="F16651" s="4" t="s">
        <v>83661</v>
      </c>
      <c r="G16651" s="4" t="s">
        <v>83627</v>
      </c>
      <c r="H16651" s="3" t="s">
        <v>81975</v>
      </c>
      <c r="I16651" s="3" t="s">
        <v>83628</v>
      </c>
      <c r="J16651" s="3" t="s">
        <v>83729</v>
      </c>
      <c r="K16651" s="3" t="s">
        <v>83730</v>
      </c>
      <c r="L16651" s="3" t="s">
        <v>82951</v>
      </c>
      <c r="M16651" s="4"/>
      <c r="N16651" s="3" t="s">
        <v>37</v>
      </c>
      <c r="O16651" s="3" t="s">
        <v>38</v>
      </c>
      <c r="P16651" s="5">
        <v>10</v>
      </c>
      <c r="Q16651" s="5">
        <v>200</v>
      </c>
      <c r="R16651" s="5">
        <v>11</v>
      </c>
      <c r="S16651" s="5">
        <v>209</v>
      </c>
    </row>
    <row r="16652" spans="1:19" ht="28" x14ac:dyDescent="0.15">
      <c r="A16652" s="2">
        <f>HYPERLINK("https://open-school.uspishnemisto.com.ua/school/800409/", 800409)</f>
        <v>800409</v>
      </c>
      <c r="B16652" s="3" t="s">
        <v>83731</v>
      </c>
      <c r="C16652" s="3" t="s">
        <v>31</v>
      </c>
      <c r="D16652" s="3" t="s">
        <v>32</v>
      </c>
      <c r="E16652" s="4" t="s">
        <v>22</v>
      </c>
      <c r="F16652" s="4" t="s">
        <v>83698</v>
      </c>
      <c r="G16652" s="4" t="s">
        <v>83627</v>
      </c>
      <c r="H16652" s="3" t="s">
        <v>81975</v>
      </c>
      <c r="I16652" s="3" t="s">
        <v>83628</v>
      </c>
      <c r="J16652" s="3" t="s">
        <v>83732</v>
      </c>
      <c r="K16652" s="3" t="s">
        <v>83733</v>
      </c>
      <c r="L16652" s="3" t="s">
        <v>83734</v>
      </c>
      <c r="M16652" s="4"/>
      <c r="N16652" s="3" t="s">
        <v>37</v>
      </c>
      <c r="O16652" s="3" t="s">
        <v>52</v>
      </c>
      <c r="P16652" s="5">
        <v>20</v>
      </c>
      <c r="Q16652" s="5">
        <v>465</v>
      </c>
      <c r="R16652" s="5">
        <v>19</v>
      </c>
      <c r="S16652" s="5">
        <v>417</v>
      </c>
    </row>
    <row r="16653" spans="1:19" ht="28" x14ac:dyDescent="0.15">
      <c r="A16653" s="2">
        <f>HYPERLINK("https://open-school.uspishnemisto.com.ua/school/800410/", 800410)</f>
        <v>800410</v>
      </c>
      <c r="B16653" s="3" t="s">
        <v>83735</v>
      </c>
      <c r="C16653" s="3" t="s">
        <v>31</v>
      </c>
      <c r="D16653" s="3" t="s">
        <v>32</v>
      </c>
      <c r="E16653" s="4" t="s">
        <v>22</v>
      </c>
      <c r="F16653" s="4" t="s">
        <v>83736</v>
      </c>
      <c r="G16653" s="4" t="s">
        <v>83627</v>
      </c>
      <c r="H16653" s="3" t="s">
        <v>81975</v>
      </c>
      <c r="I16653" s="3" t="s">
        <v>83628</v>
      </c>
      <c r="J16653" s="3" t="s">
        <v>83737</v>
      </c>
      <c r="K16653" s="3" t="s">
        <v>83738</v>
      </c>
      <c r="L16653" s="3" t="s">
        <v>83739</v>
      </c>
      <c r="M16653" s="4"/>
      <c r="N16653" s="3" t="s">
        <v>37</v>
      </c>
      <c r="O16653" s="3" t="s">
        <v>52</v>
      </c>
      <c r="P16653" s="5">
        <v>19</v>
      </c>
      <c r="Q16653" s="5">
        <v>512</v>
      </c>
      <c r="R16653" s="5">
        <v>18</v>
      </c>
      <c r="S16653" s="5">
        <v>471</v>
      </c>
    </row>
    <row r="16654" spans="1:19" ht="28" x14ac:dyDescent="0.15">
      <c r="A16654" s="2">
        <f>HYPERLINK("https://open-school.uspishnemisto.com.ua/school/800411/", 800411)</f>
        <v>800411</v>
      </c>
      <c r="B16654" s="3" t="s">
        <v>83740</v>
      </c>
      <c r="C16654" s="3" t="s">
        <v>31</v>
      </c>
      <c r="D16654" s="3" t="s">
        <v>32</v>
      </c>
      <c r="E16654" s="4" t="s">
        <v>22</v>
      </c>
      <c r="F16654" s="4" t="s">
        <v>83715</v>
      </c>
      <c r="G16654" s="4" t="s">
        <v>83627</v>
      </c>
      <c r="H16654" s="3" t="s">
        <v>81975</v>
      </c>
      <c r="I16654" s="3" t="s">
        <v>83628</v>
      </c>
      <c r="J16654" s="3" t="s">
        <v>40640</v>
      </c>
      <c r="K16654" s="3" t="s">
        <v>83741</v>
      </c>
      <c r="L16654" s="3" t="s">
        <v>83742</v>
      </c>
      <c r="M16654" s="4"/>
      <c r="N16654" s="3" t="s">
        <v>37</v>
      </c>
      <c r="O16654" s="3" t="s">
        <v>721</v>
      </c>
      <c r="P16654" s="5">
        <v>18</v>
      </c>
      <c r="Q16654" s="5">
        <v>482</v>
      </c>
      <c r="R16654" s="5">
        <v>17</v>
      </c>
      <c r="S16654" s="5">
        <v>474</v>
      </c>
    </row>
    <row r="16655" spans="1:19" ht="28" x14ac:dyDescent="0.15">
      <c r="A16655" s="2">
        <f>HYPERLINK("https://open-school.uspishnemisto.com.ua/school/800412/", 800412)</f>
        <v>800412</v>
      </c>
      <c r="B16655" s="3" t="s">
        <v>83743</v>
      </c>
      <c r="C16655" s="3" t="s">
        <v>31</v>
      </c>
      <c r="D16655" s="3" t="s">
        <v>32</v>
      </c>
      <c r="E16655" s="4" t="s">
        <v>22</v>
      </c>
      <c r="F16655" s="4" t="s">
        <v>83744</v>
      </c>
      <c r="G16655" s="4" t="s">
        <v>83627</v>
      </c>
      <c r="H16655" s="3" t="s">
        <v>81975</v>
      </c>
      <c r="I16655" s="3" t="s">
        <v>83628</v>
      </c>
      <c r="J16655" s="3" t="s">
        <v>16879</v>
      </c>
      <c r="K16655" s="3" t="s">
        <v>83745</v>
      </c>
      <c r="L16655" s="3" t="s">
        <v>83746</v>
      </c>
      <c r="M16655" s="4"/>
      <c r="N16655" s="3" t="s">
        <v>37</v>
      </c>
      <c r="O16655" s="3" t="s">
        <v>38</v>
      </c>
      <c r="P16655" s="5">
        <v>29</v>
      </c>
      <c r="Q16655" s="5">
        <v>897</v>
      </c>
      <c r="R16655" s="5">
        <v>27</v>
      </c>
      <c r="S16655" s="5">
        <v>809</v>
      </c>
    </row>
    <row r="16656" spans="1:19" ht="28" x14ac:dyDescent="0.15">
      <c r="A16656" s="2">
        <f>HYPERLINK("https://open-school.uspishnemisto.com.ua/school/800413/", 800413)</f>
        <v>800413</v>
      </c>
      <c r="B16656" s="3" t="s">
        <v>83747</v>
      </c>
      <c r="C16656" s="3" t="s">
        <v>31</v>
      </c>
      <c r="D16656" s="3" t="s">
        <v>32</v>
      </c>
      <c r="E16656" s="4" t="s">
        <v>22</v>
      </c>
      <c r="F16656" s="4" t="s">
        <v>83748</v>
      </c>
      <c r="G16656" s="4" t="s">
        <v>83627</v>
      </c>
      <c r="H16656" s="3" t="s">
        <v>81975</v>
      </c>
      <c r="I16656" s="3" t="s">
        <v>83628</v>
      </c>
      <c r="J16656" s="3" t="s">
        <v>83749</v>
      </c>
      <c r="K16656" s="3" t="s">
        <v>83750</v>
      </c>
      <c r="L16656" s="3" t="s">
        <v>83751</v>
      </c>
      <c r="M16656" s="4"/>
      <c r="N16656" s="3" t="s">
        <v>37</v>
      </c>
      <c r="O16656" s="3" t="s">
        <v>38</v>
      </c>
      <c r="P16656" s="5">
        <v>19</v>
      </c>
      <c r="Q16656" s="5">
        <v>538</v>
      </c>
      <c r="R16656" s="5">
        <v>19</v>
      </c>
      <c r="S16656" s="5">
        <v>524</v>
      </c>
    </row>
    <row r="16657" spans="1:19" ht="28" x14ac:dyDescent="0.15">
      <c r="A16657" s="2">
        <f>HYPERLINK("https://open-school.uspishnemisto.com.ua/school/800414/", 800414)</f>
        <v>800414</v>
      </c>
      <c r="B16657" s="3" t="s">
        <v>83752</v>
      </c>
      <c r="C16657" s="3" t="s">
        <v>31</v>
      </c>
      <c r="D16657" s="3" t="s">
        <v>32</v>
      </c>
      <c r="E16657" s="4" t="s">
        <v>22</v>
      </c>
      <c r="F16657" s="4" t="s">
        <v>83661</v>
      </c>
      <c r="G16657" s="4" t="s">
        <v>83627</v>
      </c>
      <c r="H16657" s="3" t="s">
        <v>81975</v>
      </c>
      <c r="I16657" s="3" t="s">
        <v>83628</v>
      </c>
      <c r="J16657" s="3" t="s">
        <v>83753</v>
      </c>
      <c r="K16657" s="3" t="s">
        <v>83754</v>
      </c>
      <c r="L16657" s="3" t="s">
        <v>83755</v>
      </c>
      <c r="M16657" s="4"/>
      <c r="N16657" s="3" t="s">
        <v>37</v>
      </c>
      <c r="O16657" s="3" t="s">
        <v>38</v>
      </c>
      <c r="P16657" s="5">
        <v>22</v>
      </c>
      <c r="Q16657" s="5">
        <v>613</v>
      </c>
      <c r="R16657" s="5">
        <v>23</v>
      </c>
      <c r="S16657" s="5">
        <v>613</v>
      </c>
    </row>
    <row r="16658" spans="1:19" ht="28" x14ac:dyDescent="0.15">
      <c r="A16658" s="2">
        <f>HYPERLINK("https://open-school.uspishnemisto.com.ua/school/800415/", 800415)</f>
        <v>800415</v>
      </c>
      <c r="B16658" s="3" t="s">
        <v>83756</v>
      </c>
      <c r="C16658" s="3" t="s">
        <v>31</v>
      </c>
      <c r="D16658" s="3" t="s">
        <v>32</v>
      </c>
      <c r="E16658" s="4" t="s">
        <v>22</v>
      </c>
      <c r="F16658" s="4" t="s">
        <v>83757</v>
      </c>
      <c r="G16658" s="4" t="s">
        <v>83627</v>
      </c>
      <c r="H16658" s="3" t="s">
        <v>81975</v>
      </c>
      <c r="I16658" s="3" t="s">
        <v>83628</v>
      </c>
      <c r="J16658" s="3" t="s">
        <v>83758</v>
      </c>
      <c r="K16658" s="3" t="s">
        <v>83759</v>
      </c>
      <c r="L16658" s="3" t="s">
        <v>83760</v>
      </c>
      <c r="M16658" s="4"/>
      <c r="N16658" s="3" t="s">
        <v>37</v>
      </c>
      <c r="O16658" s="3" t="s">
        <v>52</v>
      </c>
      <c r="P16658" s="5">
        <v>13</v>
      </c>
      <c r="Q16658" s="5">
        <v>340</v>
      </c>
      <c r="R16658" s="5">
        <v>13</v>
      </c>
      <c r="S16658" s="5">
        <v>321</v>
      </c>
    </row>
    <row r="16659" spans="1:19" ht="28" x14ac:dyDescent="0.15">
      <c r="A16659" s="2">
        <f>HYPERLINK("https://open-school.uspishnemisto.com.ua/school/800416/", 800416)</f>
        <v>800416</v>
      </c>
      <c r="B16659" s="3" t="s">
        <v>83761</v>
      </c>
      <c r="C16659" s="3" t="s">
        <v>31</v>
      </c>
      <c r="D16659" s="3" t="s">
        <v>32</v>
      </c>
      <c r="E16659" s="4" t="s">
        <v>22</v>
      </c>
      <c r="F16659" s="4" t="s">
        <v>83748</v>
      </c>
      <c r="G16659" s="4" t="s">
        <v>83627</v>
      </c>
      <c r="H16659" s="3" t="s">
        <v>81975</v>
      </c>
      <c r="I16659" s="3" t="s">
        <v>83628</v>
      </c>
      <c r="J16659" s="3" t="s">
        <v>83762</v>
      </c>
      <c r="K16659" s="3" t="s">
        <v>83763</v>
      </c>
      <c r="L16659" s="3" t="s">
        <v>83764</v>
      </c>
      <c r="M16659" s="4"/>
      <c r="N16659" s="3" t="s">
        <v>37</v>
      </c>
      <c r="O16659" s="3" t="s">
        <v>52</v>
      </c>
      <c r="P16659" s="5">
        <v>23</v>
      </c>
      <c r="Q16659" s="5">
        <v>604</v>
      </c>
      <c r="R16659" s="5">
        <v>21</v>
      </c>
      <c r="S16659" s="5">
        <v>591</v>
      </c>
    </row>
    <row r="16660" spans="1:19" ht="28" x14ac:dyDescent="0.15">
      <c r="A16660" s="2">
        <f>HYPERLINK("https://open-school.uspishnemisto.com.ua/school/800417/", 800417)</f>
        <v>800417</v>
      </c>
      <c r="B16660" s="3" t="s">
        <v>83765</v>
      </c>
      <c r="C16660" s="3" t="s">
        <v>31</v>
      </c>
      <c r="D16660" s="3" t="s">
        <v>32</v>
      </c>
      <c r="E16660" s="4" t="s">
        <v>22</v>
      </c>
      <c r="F16660" s="4" t="s">
        <v>83626</v>
      </c>
      <c r="G16660" s="4" t="s">
        <v>83627</v>
      </c>
      <c r="H16660" s="3" t="s">
        <v>81975</v>
      </c>
      <c r="I16660" s="3" t="s">
        <v>83628</v>
      </c>
      <c r="J16660" s="3" t="s">
        <v>83766</v>
      </c>
      <c r="K16660" s="3" t="s">
        <v>83767</v>
      </c>
      <c r="L16660" s="3" t="s">
        <v>83768</v>
      </c>
      <c r="M16660" s="4"/>
      <c r="N16660" s="3" t="s">
        <v>37</v>
      </c>
      <c r="O16660" s="3" t="s">
        <v>46</v>
      </c>
      <c r="P16660" s="5">
        <v>28</v>
      </c>
      <c r="Q16660" s="5">
        <v>816</v>
      </c>
      <c r="R16660" s="5">
        <v>25</v>
      </c>
      <c r="S16660" s="5">
        <v>741</v>
      </c>
    </row>
    <row r="16661" spans="1:19" ht="28" x14ac:dyDescent="0.15">
      <c r="A16661" s="2">
        <f>HYPERLINK("https://open-school.uspishnemisto.com.ua/school/800418/", 800418)</f>
        <v>800418</v>
      </c>
      <c r="B16661" s="3" t="s">
        <v>83769</v>
      </c>
      <c r="C16661" s="3" t="s">
        <v>31</v>
      </c>
      <c r="D16661" s="3" t="s">
        <v>32</v>
      </c>
      <c r="E16661" s="4" t="s">
        <v>22</v>
      </c>
      <c r="F16661" s="4" t="s">
        <v>83770</v>
      </c>
      <c r="G16661" s="4" t="s">
        <v>83627</v>
      </c>
      <c r="H16661" s="3" t="s">
        <v>81975</v>
      </c>
      <c r="I16661" s="3" t="s">
        <v>83628</v>
      </c>
      <c r="J16661" s="3" t="s">
        <v>83771</v>
      </c>
      <c r="K16661" s="3" t="s">
        <v>83772</v>
      </c>
      <c r="L16661" s="3" t="s">
        <v>83773</v>
      </c>
      <c r="M16661" s="4"/>
      <c r="N16661" s="3" t="s">
        <v>37</v>
      </c>
      <c r="O16661" s="3" t="s">
        <v>38</v>
      </c>
      <c r="P16661" s="5">
        <v>21</v>
      </c>
      <c r="Q16661" s="5">
        <v>525</v>
      </c>
      <c r="R16661" s="5">
        <v>20</v>
      </c>
      <c r="S16661" s="5">
        <v>510</v>
      </c>
    </row>
    <row r="16662" spans="1:19" ht="28" x14ac:dyDescent="0.15">
      <c r="A16662" s="2">
        <f>HYPERLINK("https://open-school.uspishnemisto.com.ua/school/800419/", 800419)</f>
        <v>800419</v>
      </c>
      <c r="B16662" s="3" t="s">
        <v>83774</v>
      </c>
      <c r="C16662" s="3" t="s">
        <v>244</v>
      </c>
      <c r="D16662" s="3" t="s">
        <v>21</v>
      </c>
      <c r="E16662" s="4" t="s">
        <v>22</v>
      </c>
      <c r="F16662" s="4" t="s">
        <v>83632</v>
      </c>
      <c r="G16662" s="4" t="s">
        <v>83627</v>
      </c>
      <c r="H16662" s="3" t="s">
        <v>81975</v>
      </c>
      <c r="I16662" s="3" t="s">
        <v>83628</v>
      </c>
      <c r="J16662" s="3" t="s">
        <v>83775</v>
      </c>
      <c r="K16662" s="3" t="s">
        <v>83776</v>
      </c>
      <c r="L16662" s="3" t="s">
        <v>83777</v>
      </c>
      <c r="M16662" s="4"/>
      <c r="N16662" s="3" t="s">
        <v>37</v>
      </c>
      <c r="O16662" s="3" t="s">
        <v>197</v>
      </c>
      <c r="P16662" s="5">
        <v>24</v>
      </c>
      <c r="Q16662" s="5">
        <v>591</v>
      </c>
      <c r="R16662" s="5">
        <v>23</v>
      </c>
      <c r="S16662" s="5">
        <v>590</v>
      </c>
    </row>
    <row r="16663" spans="1:19" ht="28" x14ac:dyDescent="0.15">
      <c r="A16663" s="2">
        <f>HYPERLINK("https://open-school.uspishnemisto.com.ua/school/800420/", 800420)</f>
        <v>800420</v>
      </c>
      <c r="B16663" s="3" t="s">
        <v>83778</v>
      </c>
      <c r="C16663" s="3" t="s">
        <v>244</v>
      </c>
      <c r="D16663" s="3" t="s">
        <v>32</v>
      </c>
      <c r="E16663" s="4" t="s">
        <v>22</v>
      </c>
      <c r="F16663" s="4" t="s">
        <v>83698</v>
      </c>
      <c r="G16663" s="4" t="s">
        <v>83627</v>
      </c>
      <c r="H16663" s="3" t="s">
        <v>81975</v>
      </c>
      <c r="I16663" s="3" t="s">
        <v>83628</v>
      </c>
      <c r="J16663" s="3" t="s">
        <v>83779</v>
      </c>
      <c r="K16663" s="3" t="s">
        <v>83780</v>
      </c>
      <c r="L16663" s="3" t="s">
        <v>83781</v>
      </c>
      <c r="M16663" s="4"/>
      <c r="N16663" s="3" t="s">
        <v>37</v>
      </c>
      <c r="O16663" s="3" t="s">
        <v>123</v>
      </c>
      <c r="P16663" s="5">
        <v>33</v>
      </c>
      <c r="Q16663" s="5">
        <v>1017</v>
      </c>
      <c r="R16663" s="5">
        <v>32</v>
      </c>
      <c r="S16663" s="5">
        <v>1008</v>
      </c>
    </row>
    <row r="16664" spans="1:19" ht="28" x14ac:dyDescent="0.15">
      <c r="A16664" s="2">
        <f>HYPERLINK("https://open-school.uspishnemisto.com.ua/school/800421/", 800421)</f>
        <v>800421</v>
      </c>
      <c r="B16664" s="3" t="s">
        <v>83782</v>
      </c>
      <c r="C16664" s="3" t="s">
        <v>244</v>
      </c>
      <c r="D16664" s="3" t="s">
        <v>32</v>
      </c>
      <c r="E16664" s="4" t="s">
        <v>22</v>
      </c>
      <c r="F16664" s="4" t="s">
        <v>83720</v>
      </c>
      <c r="G16664" s="4" t="s">
        <v>83627</v>
      </c>
      <c r="H16664" s="3" t="s">
        <v>81975</v>
      </c>
      <c r="I16664" s="3" t="s">
        <v>83628</v>
      </c>
      <c r="J16664" s="3" t="s">
        <v>83783</v>
      </c>
      <c r="K16664" s="3" t="s">
        <v>83784</v>
      </c>
      <c r="L16664" s="3" t="s">
        <v>83785</v>
      </c>
      <c r="M16664" s="4"/>
      <c r="N16664" s="3" t="s">
        <v>37</v>
      </c>
      <c r="O16664" s="3" t="s">
        <v>46</v>
      </c>
      <c r="P16664" s="5">
        <v>28</v>
      </c>
      <c r="Q16664" s="5">
        <v>713</v>
      </c>
      <c r="R16664" s="5">
        <v>26</v>
      </c>
      <c r="S16664" s="5">
        <v>689</v>
      </c>
    </row>
    <row r="16665" spans="1:19" ht="28" x14ac:dyDescent="0.15">
      <c r="A16665" s="2">
        <f>HYPERLINK("https://open-school.uspishnemisto.com.ua/school/800422/", 800422)</f>
        <v>800422</v>
      </c>
      <c r="B16665" s="3" t="s">
        <v>83786</v>
      </c>
      <c r="C16665" s="3" t="s">
        <v>244</v>
      </c>
      <c r="D16665" s="3" t="s">
        <v>32</v>
      </c>
      <c r="E16665" s="4" t="s">
        <v>22</v>
      </c>
      <c r="F16665" s="4" t="s">
        <v>83656</v>
      </c>
      <c r="G16665" s="4" t="s">
        <v>83627</v>
      </c>
      <c r="H16665" s="3" t="s">
        <v>81975</v>
      </c>
      <c r="I16665" s="3" t="s">
        <v>83628</v>
      </c>
      <c r="J16665" s="3" t="s">
        <v>83787</v>
      </c>
      <c r="K16665" s="3" t="s">
        <v>83788</v>
      </c>
      <c r="L16665" s="3" t="s">
        <v>83789</v>
      </c>
      <c r="M16665" s="4"/>
      <c r="N16665" s="3" t="s">
        <v>37</v>
      </c>
      <c r="O16665" s="3" t="s">
        <v>46</v>
      </c>
      <c r="P16665" s="5">
        <v>35</v>
      </c>
      <c r="Q16665" s="5">
        <v>956</v>
      </c>
      <c r="R16665" s="5">
        <v>33</v>
      </c>
      <c r="S16665" s="5">
        <v>934</v>
      </c>
    </row>
    <row r="16666" spans="1:19" ht="28" x14ac:dyDescent="0.15">
      <c r="A16666" s="2">
        <f>HYPERLINK("https://open-school.uspishnemisto.com.ua/school/800423/", 800423)</f>
        <v>800423</v>
      </c>
      <c r="B16666" s="3" t="s">
        <v>83790</v>
      </c>
      <c r="C16666" s="3" t="s">
        <v>244</v>
      </c>
      <c r="D16666" s="3" t="s">
        <v>32</v>
      </c>
      <c r="E16666" s="4" t="s">
        <v>22</v>
      </c>
      <c r="F16666" s="4" t="s">
        <v>83757</v>
      </c>
      <c r="G16666" s="4" t="s">
        <v>83627</v>
      </c>
      <c r="H16666" s="3" t="s">
        <v>81975</v>
      </c>
      <c r="I16666" s="3" t="s">
        <v>83628</v>
      </c>
      <c r="J16666" s="3" t="s">
        <v>83791</v>
      </c>
      <c r="K16666" s="3" t="s">
        <v>83792</v>
      </c>
      <c r="L16666" s="3" t="s">
        <v>83793</v>
      </c>
      <c r="M16666" s="4"/>
      <c r="N16666" s="3" t="s">
        <v>37</v>
      </c>
      <c r="O16666" s="3" t="s">
        <v>2740</v>
      </c>
      <c r="P16666" s="5">
        <v>31</v>
      </c>
      <c r="Q16666" s="5">
        <v>796</v>
      </c>
      <c r="R16666" s="5">
        <v>31</v>
      </c>
      <c r="S16666" s="5">
        <v>815</v>
      </c>
    </row>
    <row r="16667" spans="1:19" ht="42" x14ac:dyDescent="0.15">
      <c r="A16667" s="2">
        <f>HYPERLINK("https://open-school.uspishnemisto.com.ua/school/800424/", 800424)</f>
        <v>800424</v>
      </c>
      <c r="B16667" s="3" t="s">
        <v>83794</v>
      </c>
      <c r="C16667" s="3" t="s">
        <v>244</v>
      </c>
      <c r="D16667" s="3" t="s">
        <v>32</v>
      </c>
      <c r="E16667" s="4" t="s">
        <v>22</v>
      </c>
      <c r="F16667" s="4" t="s">
        <v>83693</v>
      </c>
      <c r="G16667" s="4" t="s">
        <v>83627</v>
      </c>
      <c r="H16667" s="3" t="s">
        <v>81975</v>
      </c>
      <c r="I16667" s="3" t="s">
        <v>83628</v>
      </c>
      <c r="J16667" s="3" t="s">
        <v>83795</v>
      </c>
      <c r="K16667" s="3" t="s">
        <v>83796</v>
      </c>
      <c r="L16667" s="3" t="s">
        <v>83797</v>
      </c>
      <c r="M16667" s="4"/>
      <c r="N16667" s="3" t="s">
        <v>37</v>
      </c>
      <c r="O16667" s="3" t="s">
        <v>46</v>
      </c>
      <c r="P16667" s="5">
        <v>39</v>
      </c>
      <c r="Q16667" s="5">
        <v>1255</v>
      </c>
      <c r="R16667" s="5">
        <v>39</v>
      </c>
      <c r="S16667" s="5">
        <v>1220</v>
      </c>
    </row>
    <row r="16668" spans="1:19" ht="28" x14ac:dyDescent="0.15">
      <c r="A16668" s="2">
        <f>HYPERLINK("https://open-school.uspishnemisto.com.ua/school/800425/", 800425)</f>
        <v>800425</v>
      </c>
      <c r="B16668" s="3" t="s">
        <v>83798</v>
      </c>
      <c r="C16668" s="3" t="s">
        <v>244</v>
      </c>
      <c r="D16668" s="3" t="s">
        <v>32</v>
      </c>
      <c r="E16668" s="4" t="s">
        <v>22</v>
      </c>
      <c r="F16668" s="4" t="s">
        <v>83661</v>
      </c>
      <c r="G16668" s="4" t="s">
        <v>83627</v>
      </c>
      <c r="H16668" s="3" t="s">
        <v>81975</v>
      </c>
      <c r="I16668" s="3" t="s">
        <v>83628</v>
      </c>
      <c r="J16668" s="3" t="s">
        <v>83799</v>
      </c>
      <c r="K16668" s="3" t="s">
        <v>83800</v>
      </c>
      <c r="L16668" s="3" t="s">
        <v>83801</v>
      </c>
      <c r="M16668" s="4"/>
      <c r="N16668" s="3" t="s">
        <v>37</v>
      </c>
      <c r="O16668" s="3" t="s">
        <v>52</v>
      </c>
      <c r="P16668" s="5">
        <v>33</v>
      </c>
      <c r="Q16668" s="5">
        <v>914</v>
      </c>
      <c r="R16668" s="5">
        <v>32</v>
      </c>
      <c r="S16668" s="5">
        <v>864</v>
      </c>
    </row>
    <row r="16669" spans="1:19" ht="28" x14ac:dyDescent="0.15">
      <c r="A16669" s="2">
        <f>HYPERLINK("https://open-school.uspishnemisto.com.ua/school/800426/", 800426)</f>
        <v>800426</v>
      </c>
      <c r="B16669" s="3" t="s">
        <v>83802</v>
      </c>
      <c r="C16669" s="3" t="s">
        <v>244</v>
      </c>
      <c r="D16669" s="3" t="s">
        <v>32</v>
      </c>
      <c r="E16669" s="4" t="s">
        <v>22</v>
      </c>
      <c r="F16669" s="4" t="s">
        <v>83626</v>
      </c>
      <c r="G16669" s="4" t="s">
        <v>83627</v>
      </c>
      <c r="H16669" s="3" t="s">
        <v>81975</v>
      </c>
      <c r="I16669" s="3" t="s">
        <v>83628</v>
      </c>
      <c r="J16669" s="3" t="s">
        <v>83803</v>
      </c>
      <c r="K16669" s="3" t="s">
        <v>83804</v>
      </c>
      <c r="L16669" s="3" t="s">
        <v>83805</v>
      </c>
      <c r="M16669" s="4"/>
      <c r="N16669" s="3" t="s">
        <v>37</v>
      </c>
      <c r="O16669" s="3" t="s">
        <v>8857</v>
      </c>
      <c r="P16669" s="5">
        <v>30</v>
      </c>
      <c r="Q16669" s="5">
        <v>871</v>
      </c>
      <c r="R16669" s="5">
        <v>30</v>
      </c>
      <c r="S16669" s="5">
        <v>872</v>
      </c>
    </row>
    <row r="16670" spans="1:19" ht="28" x14ac:dyDescent="0.15">
      <c r="A16670" s="2">
        <f>HYPERLINK("https://open-school.uspishnemisto.com.ua/school/800427/", 800427)</f>
        <v>800427</v>
      </c>
      <c r="B16670" s="3" t="s">
        <v>83806</v>
      </c>
      <c r="C16670" s="3" t="s">
        <v>244</v>
      </c>
      <c r="D16670" s="3" t="s">
        <v>32</v>
      </c>
      <c r="E16670" s="4" t="s">
        <v>22</v>
      </c>
      <c r="F16670" s="4" t="s">
        <v>83698</v>
      </c>
      <c r="G16670" s="4" t="s">
        <v>83627</v>
      </c>
      <c r="H16670" s="3" t="s">
        <v>81975</v>
      </c>
      <c r="I16670" s="3" t="s">
        <v>83628</v>
      </c>
      <c r="J16670" s="3" t="s">
        <v>83807</v>
      </c>
      <c r="K16670" s="3" t="s">
        <v>83808</v>
      </c>
      <c r="L16670" s="3" t="s">
        <v>83809</v>
      </c>
      <c r="M16670" s="4"/>
      <c r="N16670" s="3" t="s">
        <v>37</v>
      </c>
      <c r="O16670" s="3" t="s">
        <v>123</v>
      </c>
      <c r="P16670" s="5">
        <v>23</v>
      </c>
      <c r="Q16670" s="5">
        <v>665</v>
      </c>
      <c r="R16670" s="5">
        <v>22</v>
      </c>
      <c r="S16670" s="5">
        <v>618</v>
      </c>
    </row>
    <row r="16671" spans="1:19" ht="28" x14ac:dyDescent="0.15">
      <c r="A16671" s="2">
        <f>HYPERLINK("https://open-school.uspishnemisto.com.ua/school/800428/", 800428)</f>
        <v>800428</v>
      </c>
      <c r="B16671" s="3" t="s">
        <v>83810</v>
      </c>
      <c r="C16671" s="3" t="s">
        <v>244</v>
      </c>
      <c r="D16671" s="3" t="s">
        <v>32</v>
      </c>
      <c r="E16671" s="4" t="s">
        <v>22</v>
      </c>
      <c r="F16671" s="4" t="s">
        <v>83811</v>
      </c>
      <c r="G16671" s="4" t="s">
        <v>83627</v>
      </c>
      <c r="H16671" s="3" t="s">
        <v>81975</v>
      </c>
      <c r="I16671" s="3" t="s">
        <v>83628</v>
      </c>
      <c r="J16671" s="3" t="s">
        <v>83812</v>
      </c>
      <c r="K16671" s="3" t="s">
        <v>83813</v>
      </c>
      <c r="L16671" s="3" t="s">
        <v>83814</v>
      </c>
      <c r="M16671" s="4"/>
      <c r="N16671" s="3" t="s">
        <v>128</v>
      </c>
      <c r="O16671" s="3" t="s">
        <v>46</v>
      </c>
      <c r="P16671" s="5">
        <v>34</v>
      </c>
      <c r="Q16671" s="5">
        <v>831</v>
      </c>
      <c r="R16671" s="5">
        <v>36</v>
      </c>
      <c r="S16671" s="5">
        <v>853</v>
      </c>
    </row>
    <row r="16672" spans="1:19" ht="28" x14ac:dyDescent="0.15">
      <c r="A16672" s="2">
        <f>HYPERLINK("https://open-school.uspishnemisto.com.ua/school/800429/", 800429)</f>
        <v>800429</v>
      </c>
      <c r="B16672" s="3" t="s">
        <v>83815</v>
      </c>
      <c r="C16672" s="3" t="s">
        <v>244</v>
      </c>
      <c r="D16672" s="3" t="s">
        <v>60</v>
      </c>
      <c r="E16672" s="4" t="s">
        <v>22</v>
      </c>
      <c r="F16672" s="4" t="s">
        <v>83632</v>
      </c>
      <c r="G16672" s="4" t="s">
        <v>83627</v>
      </c>
      <c r="H16672" s="3" t="s">
        <v>81975</v>
      </c>
      <c r="I16672" s="3" t="s">
        <v>83628</v>
      </c>
      <c r="J16672" s="3" t="s">
        <v>83816</v>
      </c>
      <c r="K16672" s="3" t="s">
        <v>83817</v>
      </c>
      <c r="L16672" s="3"/>
      <c r="M16672" s="4"/>
      <c r="N16672" s="3" t="s">
        <v>37</v>
      </c>
      <c r="O16672" s="3" t="s">
        <v>52</v>
      </c>
      <c r="P16672" s="5">
        <v>20</v>
      </c>
      <c r="Q16672" s="5">
        <v>584</v>
      </c>
      <c r="R16672" s="5">
        <v>20</v>
      </c>
      <c r="S16672" s="5">
        <v>638</v>
      </c>
    </row>
    <row r="16673" spans="1:19" ht="28" x14ac:dyDescent="0.15">
      <c r="A16673" s="2">
        <f>HYPERLINK("https://open-school.uspishnemisto.com.ua/school/800430/", 800430)</f>
        <v>800430</v>
      </c>
      <c r="B16673" s="3" t="s">
        <v>83818</v>
      </c>
      <c r="C16673" s="3" t="s">
        <v>54</v>
      </c>
      <c r="D16673" s="3" t="s">
        <v>60</v>
      </c>
      <c r="E16673" s="4" t="s">
        <v>22</v>
      </c>
      <c r="F16673" s="4" t="s">
        <v>83811</v>
      </c>
      <c r="G16673" s="4" t="s">
        <v>83627</v>
      </c>
      <c r="H16673" s="3" t="s">
        <v>81975</v>
      </c>
      <c r="I16673" s="3" t="s">
        <v>83628</v>
      </c>
      <c r="J16673" s="3" t="s">
        <v>83819</v>
      </c>
      <c r="K16673" s="3" t="s">
        <v>83820</v>
      </c>
      <c r="L16673" s="3"/>
      <c r="M16673" s="4"/>
      <c r="N16673" s="3" t="s">
        <v>37</v>
      </c>
      <c r="O16673" s="3" t="s">
        <v>52</v>
      </c>
      <c r="P16673" s="5">
        <v>4</v>
      </c>
      <c r="Q16673" s="5">
        <v>99</v>
      </c>
      <c r="R16673" s="5">
        <v>4</v>
      </c>
      <c r="S16673" s="5">
        <v>102</v>
      </c>
    </row>
    <row r="16674" spans="1:19" ht="42" x14ac:dyDescent="0.15">
      <c r="A16674" s="2">
        <f>HYPERLINK("https://open-school.uspishnemisto.com.ua/school/800431/", 800431)</f>
        <v>800431</v>
      </c>
      <c r="B16674" s="3" t="s">
        <v>83821</v>
      </c>
      <c r="C16674" s="3" t="s">
        <v>54</v>
      </c>
      <c r="D16674" s="3" t="s">
        <v>60</v>
      </c>
      <c r="E16674" s="4" t="s">
        <v>22</v>
      </c>
      <c r="F16674" s="4" t="s">
        <v>83642</v>
      </c>
      <c r="G16674" s="4" t="s">
        <v>83627</v>
      </c>
      <c r="H16674" s="3" t="s">
        <v>81975</v>
      </c>
      <c r="I16674" s="3" t="s">
        <v>83628</v>
      </c>
      <c r="J16674" s="3" t="s">
        <v>83822</v>
      </c>
      <c r="K16674" s="3" t="s">
        <v>83823</v>
      </c>
      <c r="L16674" s="3" t="s">
        <v>83824</v>
      </c>
      <c r="M16674" s="4"/>
      <c r="N16674" s="3" t="s">
        <v>37</v>
      </c>
      <c r="O16674" s="3" t="s">
        <v>52</v>
      </c>
      <c r="P16674" s="5">
        <v>4</v>
      </c>
      <c r="Q16674" s="5">
        <v>87</v>
      </c>
      <c r="R16674" s="5">
        <v>4</v>
      </c>
      <c r="S16674" s="5">
        <v>88</v>
      </c>
    </row>
    <row r="16675" spans="1:19" ht="28" x14ac:dyDescent="0.15">
      <c r="A16675" s="2">
        <f>HYPERLINK("https://open-school.uspishnemisto.com.ua/school/800433/", 800433)</f>
        <v>800433</v>
      </c>
      <c r="B16675" s="3" t="s">
        <v>83825</v>
      </c>
      <c r="C16675" s="3" t="s">
        <v>54</v>
      </c>
      <c r="D16675" s="3" t="s">
        <v>60</v>
      </c>
      <c r="E16675" s="4" t="s">
        <v>22</v>
      </c>
      <c r="F16675" s="4" t="s">
        <v>83632</v>
      </c>
      <c r="G16675" s="4" t="s">
        <v>83627</v>
      </c>
      <c r="H16675" s="3" t="s">
        <v>81975</v>
      </c>
      <c r="I16675" s="3" t="s">
        <v>83628</v>
      </c>
      <c r="J16675" s="3" t="s">
        <v>83826</v>
      </c>
      <c r="K16675" s="3" t="s">
        <v>83827</v>
      </c>
      <c r="L16675" s="3"/>
      <c r="M16675" s="4"/>
      <c r="N16675" s="3" t="s">
        <v>37</v>
      </c>
      <c r="O16675" s="3" t="s">
        <v>46</v>
      </c>
      <c r="P16675" s="5">
        <v>4</v>
      </c>
      <c r="Q16675" s="5">
        <v>132</v>
      </c>
      <c r="R16675" s="5">
        <v>4</v>
      </c>
      <c r="S16675" s="5">
        <v>128</v>
      </c>
    </row>
    <row r="16676" spans="1:19" ht="28" x14ac:dyDescent="0.15">
      <c r="A16676" s="2">
        <f>HYPERLINK("https://open-school.uspishnemisto.com.ua/school/800435/", 800435)</f>
        <v>800435</v>
      </c>
      <c r="B16676" s="3" t="s">
        <v>83828</v>
      </c>
      <c r="C16676" s="3" t="s">
        <v>174</v>
      </c>
      <c r="D16676" s="3" t="s">
        <v>32</v>
      </c>
      <c r="E16676" s="4" t="s">
        <v>22</v>
      </c>
      <c r="F16676" s="4" t="s">
        <v>83626</v>
      </c>
      <c r="G16676" s="4" t="s">
        <v>83627</v>
      </c>
      <c r="H16676" s="3" t="s">
        <v>81975</v>
      </c>
      <c r="I16676" s="3" t="s">
        <v>83628</v>
      </c>
      <c r="J16676" s="3" t="s">
        <v>83829</v>
      </c>
      <c r="K16676" s="3" t="s">
        <v>83830</v>
      </c>
      <c r="L16676" s="3" t="s">
        <v>83831</v>
      </c>
      <c r="M16676" s="4"/>
      <c r="N16676" s="3" t="s">
        <v>37</v>
      </c>
      <c r="O16676" s="3" t="s">
        <v>38</v>
      </c>
      <c r="P16676" s="5">
        <v>35</v>
      </c>
      <c r="Q16676" s="5">
        <v>393</v>
      </c>
      <c r="R16676" s="5">
        <v>31</v>
      </c>
      <c r="S16676" s="5">
        <v>248</v>
      </c>
    </row>
    <row r="16677" spans="1:19" ht="28" x14ac:dyDescent="0.15">
      <c r="A16677" s="2">
        <f>HYPERLINK("https://open-school.uspishnemisto.com.ua/school/800436/", 800436)</f>
        <v>800436</v>
      </c>
      <c r="B16677" s="3" t="s">
        <v>83832</v>
      </c>
      <c r="C16677" s="3" t="s">
        <v>181</v>
      </c>
      <c r="D16677" s="3" t="s">
        <v>175</v>
      </c>
      <c r="E16677" s="4" t="s">
        <v>22</v>
      </c>
      <c r="F16677" s="4" t="s">
        <v>83626</v>
      </c>
      <c r="G16677" s="4" t="s">
        <v>83627</v>
      </c>
      <c r="H16677" s="3" t="s">
        <v>81975</v>
      </c>
      <c r="I16677" s="3" t="s">
        <v>83628</v>
      </c>
      <c r="J16677" s="3" t="s">
        <v>83629</v>
      </c>
      <c r="K16677" s="3" t="s">
        <v>83833</v>
      </c>
      <c r="L16677" s="3" t="s">
        <v>83834</v>
      </c>
      <c r="M16677" s="4"/>
      <c r="N16677" s="3" t="s">
        <v>37</v>
      </c>
      <c r="O16677" s="3" t="s">
        <v>52</v>
      </c>
      <c r="P16677" s="5">
        <v>20</v>
      </c>
      <c r="Q16677" s="5">
        <v>167</v>
      </c>
      <c r="R16677" s="5">
        <v>19</v>
      </c>
      <c r="S16677" s="5">
        <v>165</v>
      </c>
    </row>
    <row r="16678" spans="1:19" ht="28" x14ac:dyDescent="0.15">
      <c r="A16678" s="2">
        <f>HYPERLINK("https://open-school.uspishnemisto.com.ua/school/800437/", 800437)</f>
        <v>800437</v>
      </c>
      <c r="B16678" s="3" t="s">
        <v>83835</v>
      </c>
      <c r="C16678" s="3" t="s">
        <v>181</v>
      </c>
      <c r="D16678" s="3" t="s">
        <v>175</v>
      </c>
      <c r="E16678" s="4" t="s">
        <v>22</v>
      </c>
      <c r="F16678" s="4" t="s">
        <v>83811</v>
      </c>
      <c r="G16678" s="4" t="s">
        <v>83627</v>
      </c>
      <c r="H16678" s="3" t="s">
        <v>81975</v>
      </c>
      <c r="I16678" s="3" t="s">
        <v>83628</v>
      </c>
      <c r="J16678" s="3" t="s">
        <v>83836</v>
      </c>
      <c r="K16678" s="3" t="s">
        <v>83837</v>
      </c>
      <c r="L16678" s="3" t="s">
        <v>83838</v>
      </c>
      <c r="M16678" s="4"/>
      <c r="N16678" s="3" t="s">
        <v>37</v>
      </c>
      <c r="O16678" s="3"/>
      <c r="P16678" s="5">
        <v>0</v>
      </c>
      <c r="Q16678" s="5">
        <v>0</v>
      </c>
      <c r="R16678" s="5">
        <v>13</v>
      </c>
      <c r="S16678" s="5">
        <v>120</v>
      </c>
    </row>
    <row r="16679" spans="1:19" ht="28" x14ac:dyDescent="0.15">
      <c r="A16679" s="2">
        <f>HYPERLINK("https://open-school.uspishnemisto.com.ua/school/800438/", 800438)</f>
        <v>800438</v>
      </c>
      <c r="B16679" s="3" t="s">
        <v>83839</v>
      </c>
      <c r="C16679" s="3" t="s">
        <v>188</v>
      </c>
      <c r="D16679" s="3" t="s">
        <v>21</v>
      </c>
      <c r="E16679" s="4" t="s">
        <v>22</v>
      </c>
      <c r="F16679" s="4" t="s">
        <v>83720</v>
      </c>
      <c r="G16679" s="4" t="s">
        <v>83627</v>
      </c>
      <c r="H16679" s="3" t="s">
        <v>81975</v>
      </c>
      <c r="I16679" s="3" t="s">
        <v>83628</v>
      </c>
      <c r="J16679" s="3" t="s">
        <v>83840</v>
      </c>
      <c r="K16679" s="3" t="s">
        <v>83841</v>
      </c>
      <c r="L16679" s="3" t="s">
        <v>83842</v>
      </c>
      <c r="M16679" s="4" t="s">
        <v>83843</v>
      </c>
      <c r="N16679" s="3" t="s">
        <v>37</v>
      </c>
      <c r="O16679" s="3" t="s">
        <v>52</v>
      </c>
      <c r="P16679" s="5">
        <v>25</v>
      </c>
      <c r="Q16679" s="5">
        <v>705</v>
      </c>
      <c r="R16679" s="5">
        <v>25</v>
      </c>
      <c r="S16679" s="5">
        <v>741</v>
      </c>
    </row>
    <row r="16680" spans="1:19" ht="28" x14ac:dyDescent="0.15">
      <c r="A16680" s="2">
        <f>HYPERLINK("https://open-school.uspishnemisto.com.ua/school/800439/", 800439)</f>
        <v>800439</v>
      </c>
      <c r="B16680" s="3" t="s">
        <v>83844</v>
      </c>
      <c r="C16680" s="3" t="s">
        <v>31</v>
      </c>
      <c r="D16680" s="3" t="s">
        <v>60</v>
      </c>
      <c r="E16680" s="4" t="s">
        <v>22</v>
      </c>
      <c r="F16680" s="4" t="s">
        <v>83661</v>
      </c>
      <c r="G16680" s="4" t="s">
        <v>83627</v>
      </c>
      <c r="H16680" s="3" t="s">
        <v>81975</v>
      </c>
      <c r="I16680" s="3" t="s">
        <v>83628</v>
      </c>
      <c r="J16680" s="3" t="s">
        <v>83845</v>
      </c>
      <c r="K16680" s="3" t="s">
        <v>83846</v>
      </c>
      <c r="L16680" s="3" t="s">
        <v>83847</v>
      </c>
      <c r="M16680" s="4"/>
      <c r="N16680" s="3" t="s">
        <v>37</v>
      </c>
      <c r="O16680" s="3" t="s">
        <v>52</v>
      </c>
      <c r="P16680" s="5">
        <v>5</v>
      </c>
      <c r="Q16680" s="5">
        <v>112</v>
      </c>
      <c r="R16680" s="5">
        <v>5</v>
      </c>
      <c r="S16680" s="5">
        <v>118</v>
      </c>
    </row>
    <row r="16681" spans="1:19" ht="28" x14ac:dyDescent="0.15">
      <c r="A16681" s="2">
        <f>HYPERLINK("https://open-school.uspishnemisto.com.ua/school/800440/", 800440)</f>
        <v>800440</v>
      </c>
      <c r="B16681" s="3" t="s">
        <v>83848</v>
      </c>
      <c r="C16681" s="3" t="s">
        <v>31</v>
      </c>
      <c r="D16681" s="3" t="s">
        <v>60</v>
      </c>
      <c r="E16681" s="4" t="s">
        <v>41</v>
      </c>
      <c r="F16681" s="4"/>
      <c r="G16681" s="4" t="s">
        <v>83627</v>
      </c>
      <c r="H16681" s="3" t="s">
        <v>81975</v>
      </c>
      <c r="I16681" s="3" t="s">
        <v>83628</v>
      </c>
      <c r="J16681" s="3" t="s">
        <v>83849</v>
      </c>
      <c r="K16681" s="3"/>
      <c r="L16681" s="3" t="s">
        <v>83850</v>
      </c>
      <c r="M16681" s="4"/>
      <c r="N16681" s="3" t="s">
        <v>37</v>
      </c>
      <c r="O16681" s="3" t="s">
        <v>197</v>
      </c>
      <c r="P16681" s="5">
        <v>4</v>
      </c>
      <c r="Q16681" s="5">
        <v>41</v>
      </c>
      <c r="R16681" s="5">
        <v>3</v>
      </c>
      <c r="S16681" s="5">
        <v>37</v>
      </c>
    </row>
    <row r="16682" spans="1:19" ht="28" x14ac:dyDescent="0.15">
      <c r="A16682" s="2">
        <f>HYPERLINK("https://open-school.uspishnemisto.com.ua/school/800442/", 800442)</f>
        <v>800442</v>
      </c>
      <c r="B16682" s="3" t="s">
        <v>83851</v>
      </c>
      <c r="C16682" s="3" t="s">
        <v>188</v>
      </c>
      <c r="D16682" s="3" t="s">
        <v>19078</v>
      </c>
      <c r="E16682" s="4" t="s">
        <v>253</v>
      </c>
      <c r="F16682" s="4" t="s">
        <v>83626</v>
      </c>
      <c r="G16682" s="4" t="s">
        <v>83627</v>
      </c>
      <c r="H16682" s="3" t="s">
        <v>81975</v>
      </c>
      <c r="I16682" s="3" t="s">
        <v>83628</v>
      </c>
      <c r="J16682" s="3" t="s">
        <v>83852</v>
      </c>
      <c r="K16682" s="3" t="s">
        <v>83853</v>
      </c>
      <c r="L16682" s="3" t="s">
        <v>83854</v>
      </c>
      <c r="M16682" s="4"/>
      <c r="N16682" s="3" t="s">
        <v>37</v>
      </c>
      <c r="O16682" s="3" t="s">
        <v>52</v>
      </c>
      <c r="P16682" s="5">
        <v>8</v>
      </c>
      <c r="Q16682" s="5">
        <v>180</v>
      </c>
      <c r="R16682" s="5">
        <v>8</v>
      </c>
      <c r="S16682" s="5">
        <v>168</v>
      </c>
    </row>
    <row r="16683" spans="1:19" ht="28" x14ac:dyDescent="0.15">
      <c r="A16683" s="2">
        <f>HYPERLINK("https://open-school.uspishnemisto.com.ua/school/800001/", 800001)</f>
        <v>800001</v>
      </c>
      <c r="B16683" s="3" t="s">
        <v>83855</v>
      </c>
      <c r="C16683" s="3" t="s">
        <v>20</v>
      </c>
      <c r="D16683" s="3" t="s">
        <v>82385</v>
      </c>
      <c r="E16683" s="4" t="s">
        <v>22</v>
      </c>
      <c r="F16683" s="4" t="s">
        <v>83811</v>
      </c>
      <c r="G16683" s="4" t="s">
        <v>83856</v>
      </c>
      <c r="H16683" s="3" t="s">
        <v>81975</v>
      </c>
      <c r="I16683" s="3" t="s">
        <v>83857</v>
      </c>
      <c r="J16683" s="3" t="s">
        <v>83858</v>
      </c>
      <c r="K16683" s="3" t="s">
        <v>83859</v>
      </c>
      <c r="L16683" s="3" t="s">
        <v>83860</v>
      </c>
      <c r="M16683" s="4"/>
      <c r="N16683" s="3"/>
      <c r="O16683" s="3"/>
      <c r="P16683" s="5">
        <v>0</v>
      </c>
      <c r="Q16683" s="5">
        <v>0</v>
      </c>
      <c r="R16683" s="5"/>
      <c r="S16683" s="5"/>
    </row>
    <row r="16684" spans="1:19" ht="28" x14ac:dyDescent="0.15">
      <c r="A16684" s="2">
        <f>HYPERLINK("https://open-school.uspishnemisto.com.ua/school/800443/", 800443)</f>
        <v>800443</v>
      </c>
      <c r="B16684" s="3" t="s">
        <v>83861</v>
      </c>
      <c r="C16684" s="3" t="s">
        <v>40</v>
      </c>
      <c r="D16684" s="3" t="s">
        <v>32</v>
      </c>
      <c r="E16684" s="4" t="s">
        <v>22</v>
      </c>
      <c r="F16684" s="4" t="s">
        <v>83862</v>
      </c>
      <c r="G16684" s="4" t="s">
        <v>83856</v>
      </c>
      <c r="H16684" s="3" t="s">
        <v>81975</v>
      </c>
      <c r="I16684" s="3" t="s">
        <v>83857</v>
      </c>
      <c r="J16684" s="3" t="s">
        <v>27292</v>
      </c>
      <c r="K16684" s="3" t="s">
        <v>83863</v>
      </c>
      <c r="L16684" s="3" t="s">
        <v>83864</v>
      </c>
      <c r="M16684" s="4"/>
      <c r="N16684" s="3" t="s">
        <v>967</v>
      </c>
      <c r="O16684" s="3" t="s">
        <v>123</v>
      </c>
      <c r="P16684" s="5">
        <v>22</v>
      </c>
      <c r="Q16684" s="5">
        <v>600</v>
      </c>
      <c r="R16684" s="5">
        <v>22</v>
      </c>
      <c r="S16684" s="5">
        <v>608</v>
      </c>
    </row>
    <row r="16685" spans="1:19" ht="28" x14ac:dyDescent="0.15">
      <c r="A16685" s="2">
        <f>HYPERLINK("https://open-school.uspishnemisto.com.ua/school/800444/", 800444)</f>
        <v>800444</v>
      </c>
      <c r="B16685" s="3" t="s">
        <v>83865</v>
      </c>
      <c r="C16685" s="3" t="s">
        <v>40</v>
      </c>
      <c r="D16685" s="3" t="s">
        <v>32</v>
      </c>
      <c r="E16685" s="4" t="s">
        <v>22</v>
      </c>
      <c r="F16685" s="4" t="s">
        <v>83866</v>
      </c>
      <c r="G16685" s="4" t="s">
        <v>83856</v>
      </c>
      <c r="H16685" s="3" t="s">
        <v>81975</v>
      </c>
      <c r="I16685" s="3" t="s">
        <v>83857</v>
      </c>
      <c r="J16685" s="3" t="s">
        <v>83867</v>
      </c>
      <c r="K16685" s="3" t="s">
        <v>83868</v>
      </c>
      <c r="L16685" s="3" t="s">
        <v>83869</v>
      </c>
      <c r="M16685" s="4"/>
      <c r="N16685" s="3" t="s">
        <v>37</v>
      </c>
      <c r="O16685" s="3" t="s">
        <v>46</v>
      </c>
      <c r="P16685" s="5">
        <v>28</v>
      </c>
      <c r="Q16685" s="5">
        <v>827</v>
      </c>
      <c r="R16685" s="5">
        <v>26</v>
      </c>
      <c r="S16685" s="5">
        <v>782</v>
      </c>
    </row>
    <row r="16686" spans="1:19" ht="28" x14ac:dyDescent="0.15">
      <c r="A16686" s="2">
        <f>HYPERLINK("https://open-school.uspishnemisto.com.ua/school/800445/", 800445)</f>
        <v>800445</v>
      </c>
      <c r="B16686" s="3" t="s">
        <v>83870</v>
      </c>
      <c r="C16686" s="3" t="s">
        <v>40</v>
      </c>
      <c r="D16686" s="3" t="s">
        <v>32</v>
      </c>
      <c r="E16686" s="4" t="s">
        <v>22</v>
      </c>
      <c r="F16686" s="4" t="s">
        <v>83871</v>
      </c>
      <c r="G16686" s="4" t="s">
        <v>83856</v>
      </c>
      <c r="H16686" s="3" t="s">
        <v>81975</v>
      </c>
      <c r="I16686" s="3" t="s">
        <v>83857</v>
      </c>
      <c r="J16686" s="3" t="s">
        <v>83872</v>
      </c>
      <c r="K16686" s="3" t="s">
        <v>83873</v>
      </c>
      <c r="L16686" s="3" t="s">
        <v>83874</v>
      </c>
      <c r="M16686" s="4"/>
      <c r="N16686" s="3" t="s">
        <v>37</v>
      </c>
      <c r="O16686" s="3" t="s">
        <v>1081</v>
      </c>
      <c r="P16686" s="5">
        <v>22</v>
      </c>
      <c r="Q16686" s="5">
        <v>653</v>
      </c>
      <c r="R16686" s="5">
        <v>22</v>
      </c>
      <c r="S16686" s="5">
        <v>654</v>
      </c>
    </row>
    <row r="16687" spans="1:19" ht="28" x14ac:dyDescent="0.15">
      <c r="A16687" s="2">
        <f>HYPERLINK("https://open-school.uspishnemisto.com.ua/school/800446/", 800446)</f>
        <v>800446</v>
      </c>
      <c r="B16687" s="3" t="s">
        <v>83875</v>
      </c>
      <c r="C16687" s="3" t="s">
        <v>40</v>
      </c>
      <c r="D16687" s="3" t="s">
        <v>21</v>
      </c>
      <c r="E16687" s="4" t="s">
        <v>22</v>
      </c>
      <c r="F16687" s="4" t="s">
        <v>82044</v>
      </c>
      <c r="G16687" s="4" t="s">
        <v>83856</v>
      </c>
      <c r="H16687" s="3" t="s">
        <v>81975</v>
      </c>
      <c r="I16687" s="3" t="s">
        <v>83857</v>
      </c>
      <c r="J16687" s="3" t="s">
        <v>83876</v>
      </c>
      <c r="K16687" s="3" t="s">
        <v>83877</v>
      </c>
      <c r="L16687" s="3" t="s">
        <v>83878</v>
      </c>
      <c r="M16687" s="4"/>
      <c r="N16687" s="3" t="s">
        <v>37</v>
      </c>
      <c r="O16687" s="3" t="s">
        <v>46</v>
      </c>
      <c r="P16687" s="5">
        <v>14</v>
      </c>
      <c r="Q16687" s="5">
        <v>332</v>
      </c>
      <c r="R16687" s="5">
        <v>13</v>
      </c>
      <c r="S16687" s="5">
        <v>319</v>
      </c>
    </row>
    <row r="16688" spans="1:19" ht="28" x14ac:dyDescent="0.15">
      <c r="A16688" s="2">
        <f>HYPERLINK("https://open-school.uspishnemisto.com.ua/school/800447/", 800447)</f>
        <v>800447</v>
      </c>
      <c r="B16688" s="3" t="s">
        <v>83879</v>
      </c>
      <c r="C16688" s="3" t="s">
        <v>31</v>
      </c>
      <c r="D16688" s="3" t="s">
        <v>32</v>
      </c>
      <c r="E16688" s="4" t="s">
        <v>253</v>
      </c>
      <c r="F16688" s="4"/>
      <c r="G16688" s="4" t="s">
        <v>83856</v>
      </c>
      <c r="H16688" s="3" t="s">
        <v>81975</v>
      </c>
      <c r="I16688" s="3" t="s">
        <v>83857</v>
      </c>
      <c r="J16688" s="3" t="s">
        <v>83880</v>
      </c>
      <c r="K16688" s="3"/>
      <c r="L16688" s="3" t="s">
        <v>83881</v>
      </c>
      <c r="M16688" s="4"/>
      <c r="N16688" s="3" t="s">
        <v>37</v>
      </c>
      <c r="O16688" s="3" t="s">
        <v>52</v>
      </c>
      <c r="P16688" s="5">
        <v>17</v>
      </c>
      <c r="Q16688" s="5">
        <v>366</v>
      </c>
      <c r="R16688" s="5">
        <v>16</v>
      </c>
      <c r="S16688" s="5">
        <v>363</v>
      </c>
    </row>
    <row r="16689" spans="1:19" ht="56" x14ac:dyDescent="0.15">
      <c r="A16689" s="2">
        <f>HYPERLINK("https://open-school.uspishnemisto.com.ua/school/800448/", 800448)</f>
        <v>800448</v>
      </c>
      <c r="B16689" s="3" t="s">
        <v>83882</v>
      </c>
      <c r="C16689" s="3" t="s">
        <v>4989</v>
      </c>
      <c r="D16689" s="3" t="s">
        <v>32</v>
      </c>
      <c r="E16689" s="4" t="s">
        <v>253</v>
      </c>
      <c r="F16689" s="4"/>
      <c r="G16689" s="4" t="s">
        <v>83856</v>
      </c>
      <c r="H16689" s="3" t="s">
        <v>81975</v>
      </c>
      <c r="I16689" s="3" t="s">
        <v>83857</v>
      </c>
      <c r="J16689" s="3" t="s">
        <v>83883</v>
      </c>
      <c r="K16689" s="3"/>
      <c r="L16689" s="3" t="s">
        <v>83884</v>
      </c>
      <c r="M16689" s="4"/>
      <c r="N16689" s="3" t="s">
        <v>37</v>
      </c>
      <c r="O16689" s="3" t="s">
        <v>46</v>
      </c>
      <c r="P16689" s="5">
        <v>11</v>
      </c>
      <c r="Q16689" s="5">
        <v>224</v>
      </c>
      <c r="R16689" s="5">
        <v>10</v>
      </c>
      <c r="S16689" s="5">
        <v>199</v>
      </c>
    </row>
    <row r="16690" spans="1:19" ht="28" x14ac:dyDescent="0.15">
      <c r="A16690" s="2">
        <f>HYPERLINK("https://open-school.uspishnemisto.com.ua/school/800449/", 800449)</f>
        <v>800449</v>
      </c>
      <c r="B16690" s="3" t="s">
        <v>83885</v>
      </c>
      <c r="C16690" s="3" t="s">
        <v>4989</v>
      </c>
      <c r="D16690" s="3" t="s">
        <v>32</v>
      </c>
      <c r="E16690" s="4" t="s">
        <v>253</v>
      </c>
      <c r="F16690" s="4"/>
      <c r="G16690" s="4" t="s">
        <v>83856</v>
      </c>
      <c r="H16690" s="3" t="s">
        <v>81975</v>
      </c>
      <c r="I16690" s="3" t="s">
        <v>83857</v>
      </c>
      <c r="J16690" s="3" t="s">
        <v>83886</v>
      </c>
      <c r="K16690" s="3"/>
      <c r="L16690" s="3" t="s">
        <v>83887</v>
      </c>
      <c r="M16690" s="4"/>
      <c r="N16690" s="3" t="s">
        <v>37</v>
      </c>
      <c r="O16690" s="3" t="s">
        <v>46</v>
      </c>
      <c r="P16690" s="5">
        <v>22</v>
      </c>
      <c r="Q16690" s="5">
        <v>421</v>
      </c>
      <c r="R16690" s="5">
        <v>22</v>
      </c>
      <c r="S16690" s="5">
        <v>424</v>
      </c>
    </row>
    <row r="16691" spans="1:19" ht="28" x14ac:dyDescent="0.15">
      <c r="A16691" s="2">
        <f>HYPERLINK("https://open-school.uspishnemisto.com.ua/school/800450/", 800450)</f>
        <v>800450</v>
      </c>
      <c r="B16691" s="3" t="s">
        <v>83888</v>
      </c>
      <c r="C16691" s="3" t="s">
        <v>188</v>
      </c>
      <c r="D16691" s="3" t="s">
        <v>21</v>
      </c>
      <c r="E16691" s="4" t="s">
        <v>22</v>
      </c>
      <c r="F16691" s="4" t="s">
        <v>83684</v>
      </c>
      <c r="G16691" s="4" t="s">
        <v>83856</v>
      </c>
      <c r="H16691" s="3" t="s">
        <v>81975</v>
      </c>
      <c r="I16691" s="3" t="s">
        <v>83857</v>
      </c>
      <c r="J16691" s="3" t="s">
        <v>83889</v>
      </c>
      <c r="K16691" s="3" t="s">
        <v>83890</v>
      </c>
      <c r="L16691" s="3" t="s">
        <v>83891</v>
      </c>
      <c r="M16691" s="4"/>
      <c r="N16691" s="3" t="s">
        <v>37</v>
      </c>
      <c r="O16691" s="3" t="s">
        <v>46</v>
      </c>
      <c r="P16691" s="5">
        <v>10</v>
      </c>
      <c r="Q16691" s="5">
        <v>288</v>
      </c>
      <c r="R16691" s="5">
        <v>10</v>
      </c>
      <c r="S16691" s="5">
        <v>277</v>
      </c>
    </row>
    <row r="16692" spans="1:19" ht="28" x14ac:dyDescent="0.15">
      <c r="A16692" s="2">
        <f>HYPERLINK("https://open-school.uspishnemisto.com.ua/school/800451/", 800451)</f>
        <v>800451</v>
      </c>
      <c r="B16692" s="3" t="s">
        <v>83892</v>
      </c>
      <c r="C16692" s="3" t="s">
        <v>54</v>
      </c>
      <c r="D16692" s="3" t="s">
        <v>32</v>
      </c>
      <c r="E16692" s="4" t="s">
        <v>22</v>
      </c>
      <c r="F16692" s="4" t="s">
        <v>83893</v>
      </c>
      <c r="G16692" s="4" t="s">
        <v>83856</v>
      </c>
      <c r="H16692" s="3" t="s">
        <v>81975</v>
      </c>
      <c r="I16692" s="3" t="s">
        <v>83857</v>
      </c>
      <c r="J16692" s="3" t="s">
        <v>83894</v>
      </c>
      <c r="K16692" s="3" t="s">
        <v>83895</v>
      </c>
      <c r="L16692" s="3" t="s">
        <v>83896</v>
      </c>
      <c r="M16692" s="4"/>
      <c r="N16692" s="3" t="s">
        <v>37</v>
      </c>
      <c r="O16692" s="3" t="s">
        <v>197</v>
      </c>
      <c r="P16692" s="5">
        <v>25</v>
      </c>
      <c r="Q16692" s="5">
        <v>723</v>
      </c>
      <c r="R16692" s="5">
        <v>24</v>
      </c>
      <c r="S16692" s="5">
        <v>707</v>
      </c>
    </row>
    <row r="16693" spans="1:19" ht="42" x14ac:dyDescent="0.15">
      <c r="A16693" s="2">
        <f>HYPERLINK("https://open-school.uspishnemisto.com.ua/school/800452/", 800452)</f>
        <v>800452</v>
      </c>
      <c r="B16693" s="3" t="s">
        <v>83897</v>
      </c>
      <c r="C16693" s="3" t="s">
        <v>48</v>
      </c>
      <c r="D16693" s="3" t="s">
        <v>32</v>
      </c>
      <c r="E16693" s="4" t="s">
        <v>22</v>
      </c>
      <c r="F16693" s="4" t="s">
        <v>82447</v>
      </c>
      <c r="G16693" s="4" t="s">
        <v>83856</v>
      </c>
      <c r="H16693" s="3" t="s">
        <v>81975</v>
      </c>
      <c r="I16693" s="3" t="s">
        <v>83857</v>
      </c>
      <c r="J16693" s="3" t="s">
        <v>83898</v>
      </c>
      <c r="K16693" s="3" t="s">
        <v>83899</v>
      </c>
      <c r="L16693" s="3" t="s">
        <v>83900</v>
      </c>
      <c r="M16693" s="4"/>
      <c r="N16693" s="3" t="s">
        <v>37</v>
      </c>
      <c r="O16693" s="3" t="s">
        <v>52</v>
      </c>
      <c r="P16693" s="5">
        <v>28</v>
      </c>
      <c r="Q16693" s="5">
        <v>713</v>
      </c>
      <c r="R16693" s="5">
        <v>27</v>
      </c>
      <c r="S16693" s="5">
        <v>691</v>
      </c>
    </row>
    <row r="16694" spans="1:19" ht="28" x14ac:dyDescent="0.15">
      <c r="A16694" s="2">
        <f>HYPERLINK("https://open-school.uspishnemisto.com.ua/school/800453/", 800453)</f>
        <v>800453</v>
      </c>
      <c r="B16694" s="3" t="s">
        <v>83901</v>
      </c>
      <c r="C16694" s="3" t="s">
        <v>40</v>
      </c>
      <c r="D16694" s="3" t="s">
        <v>21</v>
      </c>
      <c r="E16694" s="4" t="s">
        <v>41</v>
      </c>
      <c r="F16694" s="4" t="s">
        <v>83434</v>
      </c>
      <c r="G16694" s="4" t="s">
        <v>83856</v>
      </c>
      <c r="H16694" s="3" t="s">
        <v>81975</v>
      </c>
      <c r="I16694" s="3" t="s">
        <v>83857</v>
      </c>
      <c r="J16694" s="3" t="s">
        <v>83902</v>
      </c>
      <c r="K16694" s="3" t="s">
        <v>83903</v>
      </c>
      <c r="L16694" s="3" t="s">
        <v>83904</v>
      </c>
      <c r="M16694" s="4"/>
      <c r="N16694" s="3" t="s">
        <v>37</v>
      </c>
      <c r="O16694" s="3" t="s">
        <v>46</v>
      </c>
      <c r="P16694" s="5">
        <v>10</v>
      </c>
      <c r="Q16694" s="5">
        <v>69</v>
      </c>
      <c r="R16694" s="5">
        <v>10</v>
      </c>
      <c r="S16694" s="5">
        <v>71</v>
      </c>
    </row>
    <row r="16695" spans="1:19" ht="28" x14ac:dyDescent="0.15">
      <c r="A16695" s="2">
        <f>HYPERLINK("https://open-school.uspishnemisto.com.ua/school/800454/", 800454)</f>
        <v>800454</v>
      </c>
      <c r="B16695" s="3" t="s">
        <v>83905</v>
      </c>
      <c r="C16695" s="3" t="s">
        <v>2634</v>
      </c>
      <c r="D16695" s="3" t="s">
        <v>175</v>
      </c>
      <c r="E16695" s="4" t="s">
        <v>22</v>
      </c>
      <c r="F16695" s="4" t="s">
        <v>83906</v>
      </c>
      <c r="G16695" s="4" t="s">
        <v>83856</v>
      </c>
      <c r="H16695" s="3" t="s">
        <v>81975</v>
      </c>
      <c r="I16695" s="3" t="s">
        <v>83857</v>
      </c>
      <c r="J16695" s="3" t="s">
        <v>83907</v>
      </c>
      <c r="K16695" s="3" t="s">
        <v>83908</v>
      </c>
      <c r="L16695" s="3" t="s">
        <v>83909</v>
      </c>
      <c r="M16695" s="4"/>
      <c r="N16695" s="3" t="s">
        <v>37</v>
      </c>
      <c r="O16695" s="3" t="s">
        <v>52</v>
      </c>
      <c r="P16695" s="5">
        <v>16</v>
      </c>
      <c r="Q16695" s="5">
        <v>308</v>
      </c>
      <c r="R16695" s="5">
        <v>17</v>
      </c>
      <c r="S16695" s="5">
        <v>303</v>
      </c>
    </row>
    <row r="16696" spans="1:19" ht="42" x14ac:dyDescent="0.15">
      <c r="A16696" s="2">
        <f>HYPERLINK("https://open-school.uspishnemisto.com.ua/school/800455/", 800455)</f>
        <v>800455</v>
      </c>
      <c r="B16696" s="3" t="s">
        <v>83910</v>
      </c>
      <c r="C16696" s="3" t="s">
        <v>244</v>
      </c>
      <c r="D16696" s="3" t="s">
        <v>32</v>
      </c>
      <c r="E16696" s="4" t="s">
        <v>22</v>
      </c>
      <c r="F16696" s="4" t="s">
        <v>83911</v>
      </c>
      <c r="G16696" s="4" t="s">
        <v>83856</v>
      </c>
      <c r="H16696" s="3" t="s">
        <v>81975</v>
      </c>
      <c r="I16696" s="3" t="s">
        <v>83857</v>
      </c>
      <c r="J16696" s="3" t="s">
        <v>83912</v>
      </c>
      <c r="K16696" s="3" t="s">
        <v>83913</v>
      </c>
      <c r="L16696" s="3" t="s">
        <v>83914</v>
      </c>
      <c r="M16696" s="4"/>
      <c r="N16696" s="3" t="s">
        <v>37</v>
      </c>
      <c r="O16696" s="3" t="s">
        <v>46</v>
      </c>
      <c r="P16696" s="5">
        <v>23</v>
      </c>
      <c r="Q16696" s="5">
        <v>609</v>
      </c>
      <c r="R16696" s="5">
        <v>23</v>
      </c>
      <c r="S16696" s="5">
        <v>615</v>
      </c>
    </row>
    <row r="16697" spans="1:19" ht="42" x14ac:dyDescent="0.15">
      <c r="A16697" s="2">
        <f>HYPERLINK("https://open-school.uspishnemisto.com.ua/school/800456/", 800456)</f>
        <v>800456</v>
      </c>
      <c r="B16697" s="3" t="s">
        <v>83915</v>
      </c>
      <c r="C16697" s="3" t="s">
        <v>244</v>
      </c>
      <c r="D16697" s="3" t="s">
        <v>32</v>
      </c>
      <c r="E16697" s="4" t="s">
        <v>22</v>
      </c>
      <c r="F16697" s="4" t="s">
        <v>83916</v>
      </c>
      <c r="G16697" s="4" t="s">
        <v>83856</v>
      </c>
      <c r="H16697" s="3" t="s">
        <v>81975</v>
      </c>
      <c r="I16697" s="3" t="s">
        <v>83857</v>
      </c>
      <c r="J16697" s="3" t="s">
        <v>83917</v>
      </c>
      <c r="K16697" s="3" t="s">
        <v>83918</v>
      </c>
      <c r="L16697" s="3" t="s">
        <v>83919</v>
      </c>
      <c r="M16697" s="4"/>
      <c r="N16697" s="3" t="s">
        <v>128</v>
      </c>
      <c r="O16697" s="3" t="s">
        <v>123</v>
      </c>
      <c r="P16697" s="5">
        <v>29</v>
      </c>
      <c r="Q16697" s="5">
        <v>601</v>
      </c>
      <c r="R16697" s="5">
        <v>28</v>
      </c>
      <c r="S16697" s="5">
        <v>590</v>
      </c>
    </row>
    <row r="16698" spans="1:19" ht="42" x14ac:dyDescent="0.15">
      <c r="A16698" s="2">
        <f>HYPERLINK("https://open-school.uspishnemisto.com.ua/school/800457/", 800457)</f>
        <v>800457</v>
      </c>
      <c r="B16698" s="3" t="s">
        <v>83920</v>
      </c>
      <c r="C16698" s="3" t="s">
        <v>244</v>
      </c>
      <c r="D16698" s="3" t="s">
        <v>32</v>
      </c>
      <c r="E16698" s="4" t="s">
        <v>22</v>
      </c>
      <c r="F16698" s="4" t="s">
        <v>83921</v>
      </c>
      <c r="G16698" s="4" t="s">
        <v>83856</v>
      </c>
      <c r="H16698" s="3" t="s">
        <v>81975</v>
      </c>
      <c r="I16698" s="3" t="s">
        <v>83857</v>
      </c>
      <c r="J16698" s="3" t="s">
        <v>83922</v>
      </c>
      <c r="K16698" s="3" t="s">
        <v>83923</v>
      </c>
      <c r="L16698" s="3" t="s">
        <v>83924</v>
      </c>
      <c r="M16698" s="4"/>
      <c r="N16698" s="3" t="s">
        <v>967</v>
      </c>
      <c r="O16698" s="3" t="s">
        <v>8542</v>
      </c>
      <c r="P16698" s="5">
        <v>21</v>
      </c>
      <c r="Q16698" s="5">
        <v>558</v>
      </c>
      <c r="R16698" s="5">
        <v>21</v>
      </c>
      <c r="S16698" s="5">
        <v>584</v>
      </c>
    </row>
    <row r="16699" spans="1:19" ht="42" x14ac:dyDescent="0.15">
      <c r="A16699" s="2">
        <f>HYPERLINK("https://open-school.uspishnemisto.com.ua/school/800458/", 800458)</f>
        <v>800458</v>
      </c>
      <c r="B16699" s="3" t="s">
        <v>83925</v>
      </c>
      <c r="C16699" s="3" t="s">
        <v>244</v>
      </c>
      <c r="D16699" s="3" t="s">
        <v>32</v>
      </c>
      <c r="E16699" s="4" t="s">
        <v>22</v>
      </c>
      <c r="F16699" s="4" t="s">
        <v>83916</v>
      </c>
      <c r="G16699" s="4" t="s">
        <v>83856</v>
      </c>
      <c r="H16699" s="3" t="s">
        <v>81975</v>
      </c>
      <c r="I16699" s="3" t="s">
        <v>83857</v>
      </c>
      <c r="J16699" s="3" t="s">
        <v>83926</v>
      </c>
      <c r="K16699" s="3" t="s">
        <v>83927</v>
      </c>
      <c r="L16699" s="3" t="s">
        <v>83928</v>
      </c>
      <c r="M16699" s="4"/>
      <c r="N16699" s="3" t="s">
        <v>37</v>
      </c>
      <c r="O16699" s="3" t="s">
        <v>82116</v>
      </c>
      <c r="P16699" s="5">
        <v>17</v>
      </c>
      <c r="Q16699" s="5">
        <v>369</v>
      </c>
      <c r="R16699" s="5">
        <v>16</v>
      </c>
      <c r="S16699" s="5">
        <v>341</v>
      </c>
    </row>
    <row r="16700" spans="1:19" ht="28" x14ac:dyDescent="0.15">
      <c r="A16700" s="2">
        <f>HYPERLINK("https://open-school.uspishnemisto.com.ua/school/800459/", 800459)</f>
        <v>800459</v>
      </c>
      <c r="B16700" s="3" t="s">
        <v>83929</v>
      </c>
      <c r="C16700" s="3" t="s">
        <v>244</v>
      </c>
      <c r="D16700" s="3" t="s">
        <v>32</v>
      </c>
      <c r="E16700" s="4" t="s">
        <v>22</v>
      </c>
      <c r="F16700" s="4" t="s">
        <v>83424</v>
      </c>
      <c r="G16700" s="4" t="s">
        <v>83856</v>
      </c>
      <c r="H16700" s="3" t="s">
        <v>81975</v>
      </c>
      <c r="I16700" s="3" t="s">
        <v>83857</v>
      </c>
      <c r="J16700" s="3" t="s">
        <v>83930</v>
      </c>
      <c r="K16700" s="3" t="s">
        <v>83931</v>
      </c>
      <c r="L16700" s="3" t="s">
        <v>83932</v>
      </c>
      <c r="M16700" s="4"/>
      <c r="N16700" s="3" t="s">
        <v>37</v>
      </c>
      <c r="O16700" s="3" t="s">
        <v>52</v>
      </c>
      <c r="P16700" s="5">
        <v>20</v>
      </c>
      <c r="Q16700" s="5">
        <v>487</v>
      </c>
      <c r="R16700" s="5">
        <v>20</v>
      </c>
      <c r="S16700" s="5">
        <v>500</v>
      </c>
    </row>
    <row r="16701" spans="1:19" ht="42" x14ac:dyDescent="0.15">
      <c r="A16701" s="2">
        <f>HYPERLINK("https://open-school.uspishnemisto.com.ua/school/800460/", 800460)</f>
        <v>800460</v>
      </c>
      <c r="B16701" s="3" t="s">
        <v>83933</v>
      </c>
      <c r="C16701" s="3" t="s">
        <v>244</v>
      </c>
      <c r="D16701" s="3" t="s">
        <v>32</v>
      </c>
      <c r="E16701" s="4" t="s">
        <v>22</v>
      </c>
      <c r="F16701" s="4" t="s">
        <v>83916</v>
      </c>
      <c r="G16701" s="4" t="s">
        <v>83856</v>
      </c>
      <c r="H16701" s="3" t="s">
        <v>81975</v>
      </c>
      <c r="I16701" s="3" t="s">
        <v>83857</v>
      </c>
      <c r="J16701" s="3" t="s">
        <v>83934</v>
      </c>
      <c r="K16701" s="3" t="s">
        <v>83935</v>
      </c>
      <c r="L16701" s="3" t="s">
        <v>83936</v>
      </c>
      <c r="M16701" s="4"/>
      <c r="N16701" s="3" t="s">
        <v>37</v>
      </c>
      <c r="O16701" s="3" t="s">
        <v>46</v>
      </c>
      <c r="P16701" s="5">
        <v>22</v>
      </c>
      <c r="Q16701" s="5">
        <v>601</v>
      </c>
      <c r="R16701" s="5">
        <v>22</v>
      </c>
      <c r="S16701" s="5">
        <v>607</v>
      </c>
    </row>
    <row r="16702" spans="1:19" ht="42" x14ac:dyDescent="0.15">
      <c r="A16702" s="2">
        <f>HYPERLINK("https://open-school.uspishnemisto.com.ua/school/800461/", 800461)</f>
        <v>800461</v>
      </c>
      <c r="B16702" s="3" t="s">
        <v>83937</v>
      </c>
      <c r="C16702" s="3" t="s">
        <v>244</v>
      </c>
      <c r="D16702" s="3" t="s">
        <v>32</v>
      </c>
      <c r="E16702" s="4" t="s">
        <v>22</v>
      </c>
      <c r="F16702" s="4" t="s">
        <v>83906</v>
      </c>
      <c r="G16702" s="4" t="s">
        <v>83856</v>
      </c>
      <c r="H16702" s="3" t="s">
        <v>81975</v>
      </c>
      <c r="I16702" s="3" t="s">
        <v>83857</v>
      </c>
      <c r="J16702" s="3" t="s">
        <v>83938</v>
      </c>
      <c r="K16702" s="3" t="s">
        <v>83939</v>
      </c>
      <c r="L16702" s="3" t="s">
        <v>83940</v>
      </c>
      <c r="M16702" s="4"/>
      <c r="N16702" s="3" t="s">
        <v>37</v>
      </c>
      <c r="O16702" s="3" t="s">
        <v>129</v>
      </c>
      <c r="P16702" s="5">
        <v>30</v>
      </c>
      <c r="Q16702" s="5">
        <v>737</v>
      </c>
      <c r="R16702" s="5">
        <v>30</v>
      </c>
      <c r="S16702" s="5">
        <v>749</v>
      </c>
    </row>
    <row r="16703" spans="1:19" ht="42" x14ac:dyDescent="0.15">
      <c r="A16703" s="2">
        <f>HYPERLINK("https://open-school.uspishnemisto.com.ua/school/800462/", 800462)</f>
        <v>800462</v>
      </c>
      <c r="B16703" s="3" t="s">
        <v>83941</v>
      </c>
      <c r="C16703" s="3" t="s">
        <v>244</v>
      </c>
      <c r="D16703" s="3" t="s">
        <v>32</v>
      </c>
      <c r="E16703" s="4" t="s">
        <v>22</v>
      </c>
      <c r="F16703" s="4" t="s">
        <v>83942</v>
      </c>
      <c r="G16703" s="4" t="s">
        <v>83856</v>
      </c>
      <c r="H16703" s="3" t="s">
        <v>81975</v>
      </c>
      <c r="I16703" s="3" t="s">
        <v>83857</v>
      </c>
      <c r="J16703" s="3" t="s">
        <v>83943</v>
      </c>
      <c r="K16703" s="3" t="s">
        <v>83944</v>
      </c>
      <c r="L16703" s="3" t="s">
        <v>83945</v>
      </c>
      <c r="M16703" s="4"/>
      <c r="N16703" s="3" t="s">
        <v>37</v>
      </c>
      <c r="O16703" s="3" t="s">
        <v>46</v>
      </c>
      <c r="P16703" s="5">
        <v>19</v>
      </c>
      <c r="Q16703" s="5">
        <v>448</v>
      </c>
      <c r="R16703" s="5">
        <v>18</v>
      </c>
      <c r="S16703" s="5">
        <v>451</v>
      </c>
    </row>
    <row r="16704" spans="1:19" ht="42" x14ac:dyDescent="0.15">
      <c r="A16704" s="2">
        <f>HYPERLINK("https://open-school.uspishnemisto.com.ua/school/800463/", 800463)</f>
        <v>800463</v>
      </c>
      <c r="B16704" s="3" t="s">
        <v>83946</v>
      </c>
      <c r="C16704" s="3" t="s">
        <v>244</v>
      </c>
      <c r="D16704" s="3" t="s">
        <v>32</v>
      </c>
      <c r="E16704" s="4" t="s">
        <v>22</v>
      </c>
      <c r="F16704" s="4" t="s">
        <v>83862</v>
      </c>
      <c r="G16704" s="4" t="s">
        <v>83856</v>
      </c>
      <c r="H16704" s="3" t="s">
        <v>81975</v>
      </c>
      <c r="I16704" s="3" t="s">
        <v>83857</v>
      </c>
      <c r="J16704" s="3" t="s">
        <v>83947</v>
      </c>
      <c r="K16704" s="3" t="s">
        <v>83948</v>
      </c>
      <c r="L16704" s="3" t="s">
        <v>83949</v>
      </c>
      <c r="M16704" s="4"/>
      <c r="N16704" s="3" t="s">
        <v>37</v>
      </c>
      <c r="O16704" s="3" t="s">
        <v>46</v>
      </c>
      <c r="P16704" s="5">
        <v>19</v>
      </c>
      <c r="Q16704" s="5">
        <v>437</v>
      </c>
      <c r="R16704" s="5">
        <v>17</v>
      </c>
      <c r="S16704" s="5">
        <v>395</v>
      </c>
    </row>
    <row r="16705" spans="1:19" ht="42" x14ac:dyDescent="0.15">
      <c r="A16705" s="2">
        <f>HYPERLINK("https://open-school.uspishnemisto.com.ua/school/800464/", 800464)</f>
        <v>800464</v>
      </c>
      <c r="B16705" s="3" t="s">
        <v>83950</v>
      </c>
      <c r="C16705" s="3" t="s">
        <v>244</v>
      </c>
      <c r="D16705" s="3" t="s">
        <v>32</v>
      </c>
      <c r="E16705" s="4" t="s">
        <v>22</v>
      </c>
      <c r="F16705" s="4" t="s">
        <v>83951</v>
      </c>
      <c r="G16705" s="4" t="s">
        <v>83856</v>
      </c>
      <c r="H16705" s="3" t="s">
        <v>81975</v>
      </c>
      <c r="I16705" s="3" t="s">
        <v>83857</v>
      </c>
      <c r="J16705" s="3" t="s">
        <v>83952</v>
      </c>
      <c r="K16705" s="3" t="s">
        <v>83953</v>
      </c>
      <c r="L16705" s="3" t="s">
        <v>83954</v>
      </c>
      <c r="M16705" s="4"/>
      <c r="N16705" s="3" t="s">
        <v>37</v>
      </c>
      <c r="O16705" s="3" t="s">
        <v>2740</v>
      </c>
      <c r="P16705" s="5">
        <v>22</v>
      </c>
      <c r="Q16705" s="5">
        <v>587</v>
      </c>
      <c r="R16705" s="5">
        <v>22</v>
      </c>
      <c r="S16705" s="5">
        <v>576</v>
      </c>
    </row>
    <row r="16706" spans="1:19" ht="42" x14ac:dyDescent="0.15">
      <c r="A16706" s="2">
        <f>HYPERLINK("https://open-school.uspishnemisto.com.ua/school/800465/", 800465)</f>
        <v>800465</v>
      </c>
      <c r="B16706" s="3" t="s">
        <v>83955</v>
      </c>
      <c r="C16706" s="3" t="s">
        <v>244</v>
      </c>
      <c r="D16706" s="3" t="s">
        <v>32</v>
      </c>
      <c r="E16706" s="4" t="s">
        <v>22</v>
      </c>
      <c r="F16706" s="4" t="s">
        <v>83921</v>
      </c>
      <c r="G16706" s="4" t="s">
        <v>83856</v>
      </c>
      <c r="H16706" s="3" t="s">
        <v>81975</v>
      </c>
      <c r="I16706" s="3" t="s">
        <v>83857</v>
      </c>
      <c r="J16706" s="3" t="s">
        <v>83956</v>
      </c>
      <c r="K16706" s="3" t="s">
        <v>83957</v>
      </c>
      <c r="L16706" s="3" t="s">
        <v>83958</v>
      </c>
      <c r="M16706" s="4"/>
      <c r="N16706" s="3" t="s">
        <v>37</v>
      </c>
      <c r="O16706" s="3" t="s">
        <v>46</v>
      </c>
      <c r="P16706" s="5">
        <v>19</v>
      </c>
      <c r="Q16706" s="5">
        <v>516</v>
      </c>
      <c r="R16706" s="5">
        <v>18</v>
      </c>
      <c r="S16706" s="5">
        <v>490</v>
      </c>
    </row>
    <row r="16707" spans="1:19" ht="42" x14ac:dyDescent="0.15">
      <c r="A16707" s="2">
        <f>HYPERLINK("https://open-school.uspishnemisto.com.ua/school/800466/", 800466)</f>
        <v>800466</v>
      </c>
      <c r="B16707" s="3" t="s">
        <v>83959</v>
      </c>
      <c r="C16707" s="3" t="s">
        <v>244</v>
      </c>
      <c r="D16707" s="3" t="s">
        <v>32</v>
      </c>
      <c r="E16707" s="4" t="s">
        <v>22</v>
      </c>
      <c r="F16707" s="4" t="s">
        <v>83960</v>
      </c>
      <c r="G16707" s="4" t="s">
        <v>83856</v>
      </c>
      <c r="H16707" s="3" t="s">
        <v>81975</v>
      </c>
      <c r="I16707" s="3" t="s">
        <v>83857</v>
      </c>
      <c r="J16707" s="3" t="s">
        <v>83961</v>
      </c>
      <c r="K16707" s="3" t="s">
        <v>83962</v>
      </c>
      <c r="L16707" s="3" t="s">
        <v>83963</v>
      </c>
      <c r="M16707" s="4"/>
      <c r="N16707" s="3" t="s">
        <v>967</v>
      </c>
      <c r="O16707" s="3" t="s">
        <v>123</v>
      </c>
      <c r="P16707" s="5">
        <v>24</v>
      </c>
      <c r="Q16707" s="5">
        <v>668</v>
      </c>
      <c r="R16707" s="5">
        <v>25</v>
      </c>
      <c r="S16707" s="5">
        <v>677</v>
      </c>
    </row>
    <row r="16708" spans="1:19" ht="42" x14ac:dyDescent="0.15">
      <c r="A16708" s="2">
        <f>HYPERLINK("https://open-school.uspishnemisto.com.ua/school/800467/", 800467)</f>
        <v>800467</v>
      </c>
      <c r="B16708" s="3" t="s">
        <v>83964</v>
      </c>
      <c r="C16708" s="3" t="s">
        <v>244</v>
      </c>
      <c r="D16708" s="3" t="s">
        <v>32</v>
      </c>
      <c r="E16708" s="4" t="s">
        <v>22</v>
      </c>
      <c r="F16708" s="4" t="s">
        <v>83965</v>
      </c>
      <c r="G16708" s="4" t="s">
        <v>83856</v>
      </c>
      <c r="H16708" s="3" t="s">
        <v>81975</v>
      </c>
      <c r="I16708" s="3" t="s">
        <v>83857</v>
      </c>
      <c r="J16708" s="3" t="s">
        <v>83966</v>
      </c>
      <c r="K16708" s="3" t="s">
        <v>83967</v>
      </c>
      <c r="L16708" s="3" t="s">
        <v>83968</v>
      </c>
      <c r="M16708" s="4"/>
      <c r="N16708" s="3" t="s">
        <v>37</v>
      </c>
      <c r="O16708" s="3" t="s">
        <v>52</v>
      </c>
      <c r="P16708" s="5">
        <v>21</v>
      </c>
      <c r="Q16708" s="5">
        <v>549</v>
      </c>
      <c r="R16708" s="5">
        <v>19</v>
      </c>
      <c r="S16708" s="5">
        <v>517</v>
      </c>
    </row>
    <row r="16709" spans="1:19" ht="42" x14ac:dyDescent="0.15">
      <c r="A16709" s="2">
        <f>HYPERLINK("https://open-school.uspishnemisto.com.ua/school/800468/", 800468)</f>
        <v>800468</v>
      </c>
      <c r="B16709" s="3" t="s">
        <v>83969</v>
      </c>
      <c r="C16709" s="3" t="s">
        <v>244</v>
      </c>
      <c r="D16709" s="3" t="s">
        <v>32</v>
      </c>
      <c r="E16709" s="4" t="s">
        <v>22</v>
      </c>
      <c r="F16709" s="4" t="s">
        <v>83970</v>
      </c>
      <c r="G16709" s="4" t="s">
        <v>83856</v>
      </c>
      <c r="H16709" s="3" t="s">
        <v>81975</v>
      </c>
      <c r="I16709" s="3" t="s">
        <v>83857</v>
      </c>
      <c r="J16709" s="3" t="s">
        <v>83971</v>
      </c>
      <c r="K16709" s="3" t="s">
        <v>83972</v>
      </c>
      <c r="L16709" s="3" t="s">
        <v>83973</v>
      </c>
      <c r="M16709" s="4"/>
      <c r="N16709" s="3" t="s">
        <v>37</v>
      </c>
      <c r="O16709" s="3" t="s">
        <v>52</v>
      </c>
      <c r="P16709" s="5">
        <v>18</v>
      </c>
      <c r="Q16709" s="5">
        <v>432</v>
      </c>
      <c r="R16709" s="5">
        <v>18</v>
      </c>
      <c r="S16709" s="5">
        <v>443</v>
      </c>
    </row>
    <row r="16710" spans="1:19" ht="42" x14ac:dyDescent="0.15">
      <c r="A16710" s="2">
        <f>HYPERLINK("https://open-school.uspishnemisto.com.ua/school/800469/", 800469)</f>
        <v>800469</v>
      </c>
      <c r="B16710" s="3" t="s">
        <v>83974</v>
      </c>
      <c r="C16710" s="3" t="s">
        <v>244</v>
      </c>
      <c r="D16710" s="3" t="s">
        <v>32</v>
      </c>
      <c r="E16710" s="4" t="s">
        <v>22</v>
      </c>
      <c r="F16710" s="4" t="s">
        <v>83414</v>
      </c>
      <c r="G16710" s="4" t="s">
        <v>83856</v>
      </c>
      <c r="H16710" s="3" t="s">
        <v>81975</v>
      </c>
      <c r="I16710" s="3" t="s">
        <v>83857</v>
      </c>
      <c r="J16710" s="3" t="s">
        <v>83975</v>
      </c>
      <c r="K16710" s="3" t="s">
        <v>83976</v>
      </c>
      <c r="L16710" s="3" t="s">
        <v>83977</v>
      </c>
      <c r="M16710" s="4"/>
      <c r="N16710" s="3" t="s">
        <v>37</v>
      </c>
      <c r="O16710" s="3" t="s">
        <v>197</v>
      </c>
      <c r="P16710" s="5">
        <v>30</v>
      </c>
      <c r="Q16710" s="5">
        <v>748</v>
      </c>
      <c r="R16710" s="5">
        <v>30</v>
      </c>
      <c r="S16710" s="5">
        <v>728</v>
      </c>
    </row>
    <row r="16711" spans="1:19" ht="28" x14ac:dyDescent="0.15">
      <c r="A16711" s="2">
        <f>HYPERLINK("https://open-school.uspishnemisto.com.ua/school/800470/", 800470)</f>
        <v>800470</v>
      </c>
      <c r="B16711" s="3" t="s">
        <v>83978</v>
      </c>
      <c r="C16711" s="3" t="s">
        <v>244</v>
      </c>
      <c r="D16711" s="3" t="s">
        <v>32</v>
      </c>
      <c r="E16711" s="4" t="s">
        <v>22</v>
      </c>
      <c r="F16711" s="4" t="s">
        <v>83893</v>
      </c>
      <c r="G16711" s="4" t="s">
        <v>83856</v>
      </c>
      <c r="H16711" s="3" t="s">
        <v>81975</v>
      </c>
      <c r="I16711" s="3" t="s">
        <v>83857</v>
      </c>
      <c r="J16711" s="3" t="s">
        <v>83979</v>
      </c>
      <c r="K16711" s="3" t="s">
        <v>83980</v>
      </c>
      <c r="L16711" s="3" t="s">
        <v>83981</v>
      </c>
      <c r="M16711" s="4"/>
      <c r="N16711" s="3" t="s">
        <v>37</v>
      </c>
      <c r="O16711" s="3" t="s">
        <v>52</v>
      </c>
      <c r="P16711" s="5">
        <v>20</v>
      </c>
      <c r="Q16711" s="5">
        <v>429</v>
      </c>
      <c r="R16711" s="5">
        <v>20</v>
      </c>
      <c r="S16711" s="5">
        <v>438</v>
      </c>
    </row>
    <row r="16712" spans="1:19" ht="42" x14ac:dyDescent="0.15">
      <c r="A16712" s="2">
        <f>HYPERLINK("https://open-school.uspishnemisto.com.ua/school/800471/", 800471)</f>
        <v>800471</v>
      </c>
      <c r="B16712" s="3" t="s">
        <v>83982</v>
      </c>
      <c r="C16712" s="3" t="s">
        <v>244</v>
      </c>
      <c r="D16712" s="3" t="s">
        <v>32</v>
      </c>
      <c r="E16712" s="4" t="s">
        <v>22</v>
      </c>
      <c r="F16712" s="4" t="s">
        <v>83906</v>
      </c>
      <c r="G16712" s="4" t="s">
        <v>83856</v>
      </c>
      <c r="H16712" s="3" t="s">
        <v>81975</v>
      </c>
      <c r="I16712" s="3" t="s">
        <v>83857</v>
      </c>
      <c r="J16712" s="3" t="s">
        <v>83983</v>
      </c>
      <c r="K16712" s="3" t="s">
        <v>83984</v>
      </c>
      <c r="L16712" s="3" t="s">
        <v>83985</v>
      </c>
      <c r="M16712" s="4"/>
      <c r="N16712" s="3" t="s">
        <v>37</v>
      </c>
      <c r="O16712" s="3" t="s">
        <v>46</v>
      </c>
      <c r="P16712" s="5">
        <v>24</v>
      </c>
      <c r="Q16712" s="5">
        <v>634</v>
      </c>
      <c r="R16712" s="5">
        <v>24</v>
      </c>
      <c r="S16712" s="5">
        <v>636</v>
      </c>
    </row>
    <row r="16713" spans="1:19" ht="28" x14ac:dyDescent="0.15">
      <c r="A16713" s="2">
        <f>HYPERLINK("https://open-school.uspishnemisto.com.ua/school/800472/", 800472)</f>
        <v>800472</v>
      </c>
      <c r="B16713" s="3" t="s">
        <v>83986</v>
      </c>
      <c r="C16713" s="3" t="s">
        <v>54</v>
      </c>
      <c r="D16713" s="3" t="s">
        <v>60</v>
      </c>
      <c r="E16713" s="4" t="s">
        <v>22</v>
      </c>
      <c r="F16713" s="4" t="s">
        <v>83906</v>
      </c>
      <c r="G16713" s="4" t="s">
        <v>83856</v>
      </c>
      <c r="H16713" s="3" t="s">
        <v>81975</v>
      </c>
      <c r="I16713" s="3" t="s">
        <v>83857</v>
      </c>
      <c r="J16713" s="3" t="s">
        <v>83987</v>
      </c>
      <c r="K16713" s="3" t="s">
        <v>83988</v>
      </c>
      <c r="L16713" s="3" t="s">
        <v>83989</v>
      </c>
      <c r="M16713" s="4"/>
      <c r="N16713" s="3" t="s">
        <v>37</v>
      </c>
      <c r="O16713" s="3" t="s">
        <v>52</v>
      </c>
      <c r="P16713" s="5">
        <v>7</v>
      </c>
      <c r="Q16713" s="5">
        <v>135</v>
      </c>
      <c r="R16713" s="5">
        <v>6</v>
      </c>
      <c r="S16713" s="5">
        <v>130</v>
      </c>
    </row>
    <row r="16714" spans="1:19" ht="42" x14ac:dyDescent="0.15">
      <c r="A16714" s="2">
        <f>HYPERLINK("https://open-school.uspishnemisto.com.ua/school/800473/", 800473)</f>
        <v>800473</v>
      </c>
      <c r="B16714" s="3" t="s">
        <v>83990</v>
      </c>
      <c r="C16714" s="3" t="s">
        <v>54</v>
      </c>
      <c r="D16714" s="3" t="s">
        <v>60</v>
      </c>
      <c r="E16714" s="4" t="s">
        <v>22</v>
      </c>
      <c r="F16714" s="4" t="s">
        <v>83965</v>
      </c>
      <c r="G16714" s="4" t="s">
        <v>83856</v>
      </c>
      <c r="H16714" s="3" t="s">
        <v>81975</v>
      </c>
      <c r="I16714" s="3" t="s">
        <v>83857</v>
      </c>
      <c r="J16714" s="3" t="s">
        <v>83991</v>
      </c>
      <c r="K16714" s="3" t="s">
        <v>83992</v>
      </c>
      <c r="L16714" s="3" t="s">
        <v>83993</v>
      </c>
      <c r="M16714" s="4"/>
      <c r="N16714" s="3" t="s">
        <v>37</v>
      </c>
      <c r="O16714" s="3" t="s">
        <v>52</v>
      </c>
      <c r="P16714" s="5">
        <v>4</v>
      </c>
      <c r="Q16714" s="5">
        <v>49</v>
      </c>
      <c r="R16714" s="5">
        <v>4</v>
      </c>
      <c r="S16714" s="5">
        <v>42</v>
      </c>
    </row>
    <row r="16715" spans="1:19" ht="28" x14ac:dyDescent="0.15">
      <c r="A16715" s="2">
        <f>HYPERLINK("https://open-school.uspishnemisto.com.ua/school/800474/", 800474)</f>
        <v>800474</v>
      </c>
      <c r="B16715" s="3" t="s">
        <v>83994</v>
      </c>
      <c r="C16715" s="3" t="s">
        <v>181</v>
      </c>
      <c r="D16715" s="3" t="s">
        <v>175</v>
      </c>
      <c r="E16715" s="4" t="s">
        <v>22</v>
      </c>
      <c r="F16715" s="4" t="s">
        <v>83231</v>
      </c>
      <c r="G16715" s="4" t="s">
        <v>83856</v>
      </c>
      <c r="H16715" s="3" t="s">
        <v>81975</v>
      </c>
      <c r="I16715" s="3" t="s">
        <v>83857</v>
      </c>
      <c r="J16715" s="3" t="s">
        <v>83995</v>
      </c>
      <c r="K16715" s="3" t="s">
        <v>83996</v>
      </c>
      <c r="L16715" s="3" t="s">
        <v>83997</v>
      </c>
      <c r="M16715" s="4"/>
      <c r="N16715" s="3" t="s">
        <v>967</v>
      </c>
      <c r="O16715" s="3"/>
      <c r="P16715" s="5">
        <v>10</v>
      </c>
      <c r="Q16715" s="5">
        <v>123</v>
      </c>
      <c r="R16715" s="5">
        <v>10</v>
      </c>
      <c r="S16715" s="5">
        <v>126</v>
      </c>
    </row>
    <row r="16716" spans="1:19" ht="28" x14ac:dyDescent="0.15">
      <c r="A16716" s="2">
        <f>HYPERLINK("https://open-school.uspishnemisto.com.ua/school/800475/", 800475)</f>
        <v>800475</v>
      </c>
      <c r="B16716" s="3" t="s">
        <v>83998</v>
      </c>
      <c r="C16716" s="3" t="s">
        <v>188</v>
      </c>
      <c r="D16716" s="3" t="s">
        <v>21</v>
      </c>
      <c r="E16716" s="4" t="s">
        <v>22</v>
      </c>
      <c r="F16716" s="4" t="s">
        <v>83942</v>
      </c>
      <c r="G16716" s="4" t="s">
        <v>83856</v>
      </c>
      <c r="H16716" s="3" t="s">
        <v>81975</v>
      </c>
      <c r="I16716" s="3" t="s">
        <v>83857</v>
      </c>
      <c r="J16716" s="3" t="s">
        <v>83999</v>
      </c>
      <c r="K16716" s="3" t="s">
        <v>84000</v>
      </c>
      <c r="L16716" s="3" t="s">
        <v>84001</v>
      </c>
      <c r="M16716" s="4"/>
      <c r="N16716" s="3" t="s">
        <v>37</v>
      </c>
      <c r="O16716" s="3" t="s">
        <v>8542</v>
      </c>
      <c r="P16716" s="5">
        <v>14</v>
      </c>
      <c r="Q16716" s="5">
        <v>365</v>
      </c>
      <c r="R16716" s="5">
        <v>14</v>
      </c>
      <c r="S16716" s="5">
        <v>370</v>
      </c>
    </row>
    <row r="16717" spans="1:19" ht="42" x14ac:dyDescent="0.15">
      <c r="A16717" s="2">
        <f>HYPERLINK("https://open-school.uspishnemisto.com.ua/school/800476/", 800476)</f>
        <v>800476</v>
      </c>
      <c r="B16717" s="3" t="s">
        <v>84002</v>
      </c>
      <c r="C16717" s="3" t="s">
        <v>188</v>
      </c>
      <c r="D16717" s="3" t="s">
        <v>32</v>
      </c>
      <c r="E16717" s="4" t="s">
        <v>41</v>
      </c>
      <c r="F16717" s="4" t="s">
        <v>83414</v>
      </c>
      <c r="G16717" s="4" t="s">
        <v>83856</v>
      </c>
      <c r="H16717" s="3" t="s">
        <v>81975</v>
      </c>
      <c r="I16717" s="3" t="s">
        <v>83857</v>
      </c>
      <c r="J16717" s="3" t="s">
        <v>84003</v>
      </c>
      <c r="K16717" s="3" t="s">
        <v>84004</v>
      </c>
      <c r="L16717" s="3" t="s">
        <v>84005</v>
      </c>
      <c r="M16717" s="4"/>
      <c r="N16717" s="3" t="s">
        <v>37</v>
      </c>
      <c r="O16717" s="3" t="s">
        <v>52</v>
      </c>
      <c r="P16717" s="5">
        <v>10</v>
      </c>
      <c r="Q16717" s="5">
        <v>162</v>
      </c>
      <c r="R16717" s="5">
        <v>5</v>
      </c>
      <c r="S16717" s="5">
        <v>150</v>
      </c>
    </row>
    <row r="16718" spans="1:19" ht="28" x14ac:dyDescent="0.15">
      <c r="A16718" s="2">
        <f>HYPERLINK("https://open-school.uspishnemisto.com.ua/school/800477/", 800477)</f>
        <v>800477</v>
      </c>
      <c r="B16718" s="3" t="s">
        <v>84006</v>
      </c>
      <c r="C16718" s="3" t="s">
        <v>188</v>
      </c>
      <c r="D16718" s="3" t="s">
        <v>32</v>
      </c>
      <c r="E16718" s="4" t="s">
        <v>41</v>
      </c>
      <c r="F16718" s="4" t="s">
        <v>83916</v>
      </c>
      <c r="G16718" s="4" t="s">
        <v>83856</v>
      </c>
      <c r="H16718" s="3" t="s">
        <v>81975</v>
      </c>
      <c r="I16718" s="3" t="s">
        <v>83857</v>
      </c>
      <c r="J16718" s="3" t="s">
        <v>83917</v>
      </c>
      <c r="K16718" s="3" t="s">
        <v>84007</v>
      </c>
      <c r="L16718" s="3" t="s">
        <v>84008</v>
      </c>
      <c r="M16718" s="4"/>
      <c r="N16718" s="3" t="s">
        <v>37</v>
      </c>
      <c r="O16718" s="3" t="s">
        <v>123</v>
      </c>
      <c r="P16718" s="5">
        <v>9</v>
      </c>
      <c r="Q16718" s="5">
        <v>114</v>
      </c>
      <c r="R16718" s="5">
        <v>9</v>
      </c>
      <c r="S16718" s="5">
        <v>105</v>
      </c>
    </row>
    <row r="16719" spans="1:19" ht="28" x14ac:dyDescent="0.15">
      <c r="A16719" s="2">
        <f>HYPERLINK("https://open-school.uspishnemisto.com.ua/school/800479/", 800479)</f>
        <v>800479</v>
      </c>
      <c r="B16719" s="3" t="s">
        <v>84009</v>
      </c>
      <c r="C16719" s="3" t="s">
        <v>188</v>
      </c>
      <c r="D16719" s="3" t="s">
        <v>32</v>
      </c>
      <c r="E16719" s="4" t="s">
        <v>41</v>
      </c>
      <c r="F16719" s="4" t="s">
        <v>83921</v>
      </c>
      <c r="G16719" s="4" t="s">
        <v>83856</v>
      </c>
      <c r="H16719" s="3" t="s">
        <v>81975</v>
      </c>
      <c r="I16719" s="3" t="s">
        <v>83857</v>
      </c>
      <c r="J16719" s="3" t="s">
        <v>84010</v>
      </c>
      <c r="K16719" s="3" t="s">
        <v>84011</v>
      </c>
      <c r="L16719" s="3" t="s">
        <v>84012</v>
      </c>
      <c r="M16719" s="4"/>
      <c r="N16719" s="3" t="s">
        <v>37</v>
      </c>
      <c r="O16719" s="3" t="s">
        <v>2740</v>
      </c>
      <c r="P16719" s="5">
        <v>13</v>
      </c>
      <c r="Q16719" s="5">
        <v>214</v>
      </c>
      <c r="R16719" s="5">
        <v>14</v>
      </c>
      <c r="S16719" s="5">
        <v>204</v>
      </c>
    </row>
    <row r="16720" spans="1:19" ht="28" x14ac:dyDescent="0.15">
      <c r="A16720" s="2">
        <f>HYPERLINK("https://open-school.uspishnemisto.com.ua/school/800480/", 800480)</f>
        <v>800480</v>
      </c>
      <c r="B16720" s="3" t="s">
        <v>84013</v>
      </c>
      <c r="C16720" s="3" t="s">
        <v>31</v>
      </c>
      <c r="D16720" s="3" t="s">
        <v>21</v>
      </c>
      <c r="E16720" s="4" t="s">
        <v>41</v>
      </c>
      <c r="F16720" s="4" t="s">
        <v>83893</v>
      </c>
      <c r="G16720" s="4" t="s">
        <v>83856</v>
      </c>
      <c r="H16720" s="3" t="s">
        <v>81975</v>
      </c>
      <c r="I16720" s="3" t="s">
        <v>83857</v>
      </c>
      <c r="J16720" s="3" t="s">
        <v>84014</v>
      </c>
      <c r="K16720" s="3"/>
      <c r="L16720" s="3" t="s">
        <v>84015</v>
      </c>
      <c r="M16720" s="4"/>
      <c r="N16720" s="3" t="s">
        <v>37</v>
      </c>
      <c r="O16720" s="3" t="s">
        <v>84016</v>
      </c>
      <c r="P16720" s="5">
        <v>0</v>
      </c>
      <c r="Q16720" s="5">
        <v>620</v>
      </c>
      <c r="R16720" s="5">
        <v>7</v>
      </c>
      <c r="S16720" s="5">
        <v>104</v>
      </c>
    </row>
    <row r="16721" spans="1:19" ht="28" x14ac:dyDescent="0.15">
      <c r="A16721" s="2">
        <f>HYPERLINK("https://open-school.uspishnemisto.com.ua/school/800481/", 800481)</f>
        <v>800481</v>
      </c>
      <c r="B16721" s="3" t="s">
        <v>84017</v>
      </c>
      <c r="C16721" s="3" t="s">
        <v>188</v>
      </c>
      <c r="D16721" s="3" t="s">
        <v>21</v>
      </c>
      <c r="E16721" s="4" t="s">
        <v>22</v>
      </c>
      <c r="F16721" s="4" t="s">
        <v>83921</v>
      </c>
      <c r="G16721" s="4" t="s">
        <v>83856</v>
      </c>
      <c r="H16721" s="3" t="s">
        <v>81975</v>
      </c>
      <c r="I16721" s="3" t="s">
        <v>83857</v>
      </c>
      <c r="J16721" s="3" t="s">
        <v>84018</v>
      </c>
      <c r="K16721" s="3" t="s">
        <v>84019</v>
      </c>
      <c r="L16721" s="3" t="s">
        <v>84020</v>
      </c>
      <c r="M16721" s="4" t="s">
        <v>84021</v>
      </c>
      <c r="N16721" s="3" t="s">
        <v>37</v>
      </c>
      <c r="O16721" s="3" t="s">
        <v>84022</v>
      </c>
      <c r="P16721" s="5">
        <v>11</v>
      </c>
      <c r="Q16721" s="5">
        <v>282</v>
      </c>
      <c r="R16721" s="5">
        <v>11</v>
      </c>
      <c r="S16721" s="5">
        <v>285</v>
      </c>
    </row>
    <row r="16722" spans="1:19" ht="28" x14ac:dyDescent="0.15">
      <c r="A16722" s="2">
        <f>HYPERLINK("https://open-school.uspishnemisto.com.ua/school/800482/", 800482)</f>
        <v>800482</v>
      </c>
      <c r="B16722" s="3" t="s">
        <v>84023</v>
      </c>
      <c r="C16722" s="3" t="s">
        <v>31</v>
      </c>
      <c r="D16722" s="3" t="s">
        <v>32</v>
      </c>
      <c r="E16722" s="4" t="s">
        <v>22</v>
      </c>
      <c r="F16722" s="4" t="s">
        <v>83424</v>
      </c>
      <c r="G16722" s="4" t="s">
        <v>83856</v>
      </c>
      <c r="H16722" s="3" t="s">
        <v>81975</v>
      </c>
      <c r="I16722" s="3" t="s">
        <v>83857</v>
      </c>
      <c r="J16722" s="3" t="s">
        <v>84024</v>
      </c>
      <c r="K16722" s="3" t="s">
        <v>83426</v>
      </c>
      <c r="L16722" s="3" t="s">
        <v>84025</v>
      </c>
      <c r="M16722" s="4"/>
      <c r="N16722" s="3" t="s">
        <v>37</v>
      </c>
      <c r="O16722" s="3" t="s">
        <v>38</v>
      </c>
      <c r="P16722" s="5">
        <v>26</v>
      </c>
      <c r="Q16722" s="5">
        <v>668</v>
      </c>
      <c r="R16722" s="5">
        <v>26</v>
      </c>
      <c r="S16722" s="5">
        <v>622</v>
      </c>
    </row>
    <row r="16723" spans="1:19" ht="28" x14ac:dyDescent="0.15">
      <c r="A16723" s="2">
        <f>HYPERLINK("https://open-school.uspishnemisto.com.ua/school/800483/", 800483)</f>
        <v>800483</v>
      </c>
      <c r="B16723" s="3" t="s">
        <v>84026</v>
      </c>
      <c r="C16723" s="3" t="s">
        <v>31</v>
      </c>
      <c r="D16723" s="3" t="s">
        <v>32</v>
      </c>
      <c r="E16723" s="4" t="s">
        <v>22</v>
      </c>
      <c r="F16723" s="4" t="s">
        <v>83911</v>
      </c>
      <c r="G16723" s="4" t="s">
        <v>83856</v>
      </c>
      <c r="H16723" s="3" t="s">
        <v>81975</v>
      </c>
      <c r="I16723" s="3" t="s">
        <v>83857</v>
      </c>
      <c r="J16723" s="3" t="s">
        <v>84027</v>
      </c>
      <c r="K16723" s="3" t="s">
        <v>84028</v>
      </c>
      <c r="L16723" s="3" t="s">
        <v>84029</v>
      </c>
      <c r="M16723" s="4"/>
      <c r="N16723" s="3" t="s">
        <v>37</v>
      </c>
      <c r="O16723" s="3" t="s">
        <v>38</v>
      </c>
      <c r="P16723" s="5">
        <v>22</v>
      </c>
      <c r="Q16723" s="5">
        <v>559</v>
      </c>
      <c r="R16723" s="5">
        <v>24</v>
      </c>
      <c r="S16723" s="5">
        <v>578</v>
      </c>
    </row>
    <row r="16724" spans="1:19" ht="28" x14ac:dyDescent="0.15">
      <c r="A16724" s="2">
        <f>HYPERLINK("https://open-school.uspishnemisto.com.ua/school/800484/", 800484)</f>
        <v>800484</v>
      </c>
      <c r="B16724" s="3" t="s">
        <v>84030</v>
      </c>
      <c r="C16724" s="3" t="s">
        <v>31</v>
      </c>
      <c r="D16724" s="3" t="s">
        <v>32</v>
      </c>
      <c r="E16724" s="4" t="s">
        <v>22</v>
      </c>
      <c r="F16724" s="4" t="s">
        <v>83866</v>
      </c>
      <c r="G16724" s="4" t="s">
        <v>83856</v>
      </c>
      <c r="H16724" s="3" t="s">
        <v>81975</v>
      </c>
      <c r="I16724" s="3" t="s">
        <v>83857</v>
      </c>
      <c r="J16724" s="3" t="s">
        <v>84031</v>
      </c>
      <c r="K16724" s="3" t="s">
        <v>84032</v>
      </c>
      <c r="L16724" s="3" t="s">
        <v>84033</v>
      </c>
      <c r="M16724" s="4"/>
      <c r="N16724" s="3" t="s">
        <v>37</v>
      </c>
      <c r="O16724" s="3" t="s">
        <v>123</v>
      </c>
      <c r="P16724" s="5">
        <v>22</v>
      </c>
      <c r="Q16724" s="5">
        <v>596</v>
      </c>
      <c r="R16724" s="5">
        <v>22</v>
      </c>
      <c r="S16724" s="5">
        <v>586</v>
      </c>
    </row>
    <row r="16725" spans="1:19" ht="28" x14ac:dyDescent="0.15">
      <c r="A16725" s="2">
        <f>HYPERLINK("https://open-school.uspishnemisto.com.ua/school/800485/", 800485)</f>
        <v>800485</v>
      </c>
      <c r="B16725" s="3" t="s">
        <v>84034</v>
      </c>
      <c r="C16725" s="3" t="s">
        <v>31</v>
      </c>
      <c r="D16725" s="3" t="s">
        <v>32</v>
      </c>
      <c r="E16725" s="4" t="s">
        <v>22</v>
      </c>
      <c r="F16725" s="4" t="s">
        <v>83942</v>
      </c>
      <c r="G16725" s="4" t="s">
        <v>83856</v>
      </c>
      <c r="H16725" s="3" t="s">
        <v>81975</v>
      </c>
      <c r="I16725" s="3" t="s">
        <v>83857</v>
      </c>
      <c r="J16725" s="3" t="s">
        <v>4305</v>
      </c>
      <c r="K16725" s="3" t="s">
        <v>84035</v>
      </c>
      <c r="L16725" s="3" t="s">
        <v>84036</v>
      </c>
      <c r="M16725" s="4"/>
      <c r="N16725" s="3" t="s">
        <v>37</v>
      </c>
      <c r="O16725" s="3" t="s">
        <v>70</v>
      </c>
      <c r="P16725" s="5">
        <v>27</v>
      </c>
      <c r="Q16725" s="5">
        <v>704</v>
      </c>
      <c r="R16725" s="5">
        <v>28</v>
      </c>
      <c r="S16725" s="5">
        <v>711</v>
      </c>
    </row>
    <row r="16726" spans="1:19" ht="28" x14ac:dyDescent="0.15">
      <c r="A16726" s="2">
        <f>HYPERLINK("https://open-school.uspishnemisto.com.ua/school/800486/", 800486)</f>
        <v>800486</v>
      </c>
      <c r="B16726" s="3" t="s">
        <v>84037</v>
      </c>
      <c r="C16726" s="3" t="s">
        <v>31</v>
      </c>
      <c r="D16726" s="3" t="s">
        <v>32</v>
      </c>
      <c r="E16726" s="4" t="s">
        <v>22</v>
      </c>
      <c r="F16726" s="4" t="s">
        <v>84038</v>
      </c>
      <c r="G16726" s="4" t="s">
        <v>83856</v>
      </c>
      <c r="H16726" s="3" t="s">
        <v>81975</v>
      </c>
      <c r="I16726" s="3" t="s">
        <v>83857</v>
      </c>
      <c r="J16726" s="3" t="s">
        <v>84039</v>
      </c>
      <c r="K16726" s="3" t="s">
        <v>84040</v>
      </c>
      <c r="L16726" s="3" t="s">
        <v>84041</v>
      </c>
      <c r="M16726" s="4"/>
      <c r="N16726" s="3" t="s">
        <v>37</v>
      </c>
      <c r="O16726" s="3" t="s">
        <v>139</v>
      </c>
      <c r="P16726" s="5">
        <v>26</v>
      </c>
      <c r="Q16726" s="5">
        <v>694</v>
      </c>
      <c r="R16726" s="5">
        <v>26</v>
      </c>
      <c r="S16726" s="5">
        <v>680</v>
      </c>
    </row>
    <row r="16727" spans="1:19" ht="28" x14ac:dyDescent="0.15">
      <c r="A16727" s="2">
        <f>HYPERLINK("https://open-school.uspishnemisto.com.ua/school/800487/", 800487)</f>
        <v>800487</v>
      </c>
      <c r="B16727" s="3" t="s">
        <v>84042</v>
      </c>
      <c r="C16727" s="3" t="s">
        <v>31</v>
      </c>
      <c r="D16727" s="3" t="s">
        <v>32</v>
      </c>
      <c r="E16727" s="4" t="s">
        <v>22</v>
      </c>
      <c r="F16727" s="4" t="s">
        <v>84043</v>
      </c>
      <c r="G16727" s="4" t="s">
        <v>83856</v>
      </c>
      <c r="H16727" s="3" t="s">
        <v>81975</v>
      </c>
      <c r="I16727" s="3" t="s">
        <v>83857</v>
      </c>
      <c r="J16727" s="3" t="s">
        <v>84044</v>
      </c>
      <c r="K16727" s="3" t="s">
        <v>84045</v>
      </c>
      <c r="L16727" s="3" t="s">
        <v>84046</v>
      </c>
      <c r="M16727" s="4"/>
      <c r="N16727" s="3" t="s">
        <v>37</v>
      </c>
      <c r="O16727" s="3" t="s">
        <v>8542</v>
      </c>
      <c r="P16727" s="5">
        <v>20</v>
      </c>
      <c r="Q16727" s="5">
        <v>489</v>
      </c>
      <c r="R16727" s="5">
        <v>17</v>
      </c>
      <c r="S16727" s="5">
        <v>397</v>
      </c>
    </row>
    <row r="16728" spans="1:19" ht="28" x14ac:dyDescent="0.15">
      <c r="A16728" s="2">
        <f>HYPERLINK("https://open-school.uspishnemisto.com.ua/school/800488/", 800488)</f>
        <v>800488</v>
      </c>
      <c r="B16728" s="3" t="s">
        <v>84047</v>
      </c>
      <c r="C16728" s="3" t="s">
        <v>31</v>
      </c>
      <c r="D16728" s="3" t="s">
        <v>32</v>
      </c>
      <c r="E16728" s="4" t="s">
        <v>22</v>
      </c>
      <c r="F16728" s="4" t="s">
        <v>84048</v>
      </c>
      <c r="G16728" s="4" t="s">
        <v>83856</v>
      </c>
      <c r="H16728" s="3" t="s">
        <v>81975</v>
      </c>
      <c r="I16728" s="3" t="s">
        <v>83857</v>
      </c>
      <c r="J16728" s="3" t="s">
        <v>8257</v>
      </c>
      <c r="K16728" s="3" t="s">
        <v>84049</v>
      </c>
      <c r="L16728" s="3" t="s">
        <v>84050</v>
      </c>
      <c r="M16728" s="4"/>
      <c r="N16728" s="3" t="s">
        <v>128</v>
      </c>
      <c r="O16728" s="3" t="s">
        <v>70</v>
      </c>
      <c r="P16728" s="5">
        <v>23</v>
      </c>
      <c r="Q16728" s="5">
        <v>572</v>
      </c>
      <c r="R16728" s="5">
        <v>23</v>
      </c>
      <c r="S16728" s="5">
        <v>584</v>
      </c>
    </row>
    <row r="16729" spans="1:19" ht="28" x14ac:dyDescent="0.15">
      <c r="A16729" s="2">
        <f>HYPERLINK("https://open-school.uspishnemisto.com.ua/school/800489/", 800489)</f>
        <v>800489</v>
      </c>
      <c r="B16729" s="3" t="s">
        <v>84051</v>
      </c>
      <c r="C16729" s="3" t="s">
        <v>31</v>
      </c>
      <c r="D16729" s="3" t="s">
        <v>32</v>
      </c>
      <c r="E16729" s="4" t="s">
        <v>22</v>
      </c>
      <c r="F16729" s="4" t="s">
        <v>83434</v>
      </c>
      <c r="G16729" s="4" t="s">
        <v>83856</v>
      </c>
      <c r="H16729" s="3" t="s">
        <v>81975</v>
      </c>
      <c r="I16729" s="3" t="s">
        <v>83857</v>
      </c>
      <c r="J16729" s="3" t="s">
        <v>84052</v>
      </c>
      <c r="K16729" s="3" t="s">
        <v>84053</v>
      </c>
      <c r="L16729" s="3" t="s">
        <v>84054</v>
      </c>
      <c r="M16729" s="4"/>
      <c r="N16729" s="3" t="s">
        <v>37</v>
      </c>
      <c r="O16729" s="3" t="s">
        <v>46</v>
      </c>
      <c r="P16729" s="5">
        <v>24</v>
      </c>
      <c r="Q16729" s="5">
        <v>615</v>
      </c>
      <c r="R16729" s="5">
        <v>23</v>
      </c>
      <c r="S16729" s="5">
        <v>578</v>
      </c>
    </row>
    <row r="16730" spans="1:19" ht="28" x14ac:dyDescent="0.15">
      <c r="A16730" s="2">
        <f>HYPERLINK("https://open-school.uspishnemisto.com.ua/school/800490/", 800490)</f>
        <v>800490</v>
      </c>
      <c r="B16730" s="3" t="s">
        <v>84055</v>
      </c>
      <c r="C16730" s="3" t="s">
        <v>31</v>
      </c>
      <c r="D16730" s="3" t="s">
        <v>32</v>
      </c>
      <c r="E16730" s="4" t="s">
        <v>22</v>
      </c>
      <c r="F16730" s="4" t="s">
        <v>82044</v>
      </c>
      <c r="G16730" s="4" t="s">
        <v>83856</v>
      </c>
      <c r="H16730" s="3" t="s">
        <v>81975</v>
      </c>
      <c r="I16730" s="3" t="s">
        <v>83857</v>
      </c>
      <c r="J16730" s="3" t="s">
        <v>84056</v>
      </c>
      <c r="K16730" s="3" t="s">
        <v>84057</v>
      </c>
      <c r="L16730" s="3" t="s">
        <v>84058</v>
      </c>
      <c r="M16730" s="4"/>
      <c r="N16730" s="3" t="s">
        <v>37</v>
      </c>
      <c r="O16730" s="3" t="s">
        <v>266</v>
      </c>
      <c r="P16730" s="5">
        <v>13</v>
      </c>
      <c r="Q16730" s="5">
        <v>285</v>
      </c>
      <c r="R16730" s="5">
        <v>13</v>
      </c>
      <c r="S16730" s="5">
        <v>283</v>
      </c>
    </row>
    <row r="16731" spans="1:19" ht="28" x14ac:dyDescent="0.15">
      <c r="A16731" s="2">
        <f>HYPERLINK("https://open-school.uspishnemisto.com.ua/school/800491/", 800491)</f>
        <v>800491</v>
      </c>
      <c r="B16731" s="3" t="s">
        <v>84059</v>
      </c>
      <c r="C16731" s="3" t="s">
        <v>31</v>
      </c>
      <c r="D16731" s="3" t="s">
        <v>32</v>
      </c>
      <c r="E16731" s="4" t="s">
        <v>22</v>
      </c>
      <c r="F16731" s="4" t="s">
        <v>83965</v>
      </c>
      <c r="G16731" s="4" t="s">
        <v>83856</v>
      </c>
      <c r="H16731" s="3" t="s">
        <v>81975</v>
      </c>
      <c r="I16731" s="3" t="s">
        <v>83857</v>
      </c>
      <c r="J16731" s="3" t="s">
        <v>84060</v>
      </c>
      <c r="K16731" s="3" t="s">
        <v>84061</v>
      </c>
      <c r="L16731" s="3" t="s">
        <v>84062</v>
      </c>
      <c r="M16731" s="4"/>
      <c r="N16731" s="3" t="s">
        <v>37</v>
      </c>
      <c r="O16731" s="3" t="s">
        <v>38</v>
      </c>
      <c r="P16731" s="5">
        <v>27</v>
      </c>
      <c r="Q16731" s="5">
        <v>677</v>
      </c>
      <c r="R16731" s="5">
        <v>27</v>
      </c>
      <c r="S16731" s="5">
        <v>658</v>
      </c>
    </row>
    <row r="16732" spans="1:19" ht="28" x14ac:dyDescent="0.15">
      <c r="A16732" s="2">
        <f>HYPERLINK("https://open-school.uspishnemisto.com.ua/school/800492/", 800492)</f>
        <v>800492</v>
      </c>
      <c r="B16732" s="3" t="s">
        <v>84063</v>
      </c>
      <c r="C16732" s="3" t="s">
        <v>31</v>
      </c>
      <c r="D16732" s="3" t="s">
        <v>32</v>
      </c>
      <c r="E16732" s="4" t="s">
        <v>22</v>
      </c>
      <c r="F16732" s="4" t="s">
        <v>83434</v>
      </c>
      <c r="G16732" s="4" t="s">
        <v>83856</v>
      </c>
      <c r="H16732" s="3" t="s">
        <v>81975</v>
      </c>
      <c r="I16732" s="3" t="s">
        <v>83857</v>
      </c>
      <c r="J16732" s="3" t="s">
        <v>84064</v>
      </c>
      <c r="K16732" s="3" t="s">
        <v>84065</v>
      </c>
      <c r="L16732" s="3" t="s">
        <v>84066</v>
      </c>
      <c r="M16732" s="4"/>
      <c r="N16732" s="3" t="s">
        <v>37</v>
      </c>
      <c r="O16732" s="3" t="s">
        <v>266</v>
      </c>
      <c r="P16732" s="5">
        <v>29</v>
      </c>
      <c r="Q16732" s="5">
        <v>760</v>
      </c>
      <c r="R16732" s="5">
        <v>31</v>
      </c>
      <c r="S16732" s="5">
        <v>838</v>
      </c>
    </row>
    <row r="16733" spans="1:19" ht="28" x14ac:dyDescent="0.15">
      <c r="A16733" s="2">
        <f>HYPERLINK("https://open-school.uspishnemisto.com.ua/school/800496/", 800496)</f>
        <v>800496</v>
      </c>
      <c r="B16733" s="3" t="s">
        <v>84067</v>
      </c>
      <c r="C16733" s="3" t="s">
        <v>20</v>
      </c>
      <c r="D16733" s="3" t="s">
        <v>82385</v>
      </c>
      <c r="E16733" s="4" t="s">
        <v>22</v>
      </c>
      <c r="F16733" s="4" t="s">
        <v>84068</v>
      </c>
      <c r="G16733" s="4" t="s">
        <v>83856</v>
      </c>
      <c r="H16733" s="3" t="s">
        <v>81975</v>
      </c>
      <c r="I16733" s="3" t="s">
        <v>83857</v>
      </c>
      <c r="J16733" s="3" t="s">
        <v>84069</v>
      </c>
      <c r="K16733" s="3" t="s">
        <v>84070</v>
      </c>
      <c r="L16733" s="3"/>
      <c r="M16733" s="4" t="s">
        <v>84071</v>
      </c>
      <c r="N16733" s="3"/>
      <c r="O16733" s="3"/>
      <c r="P16733" s="5">
        <v>0</v>
      </c>
      <c r="Q16733" s="5">
        <v>0</v>
      </c>
      <c r="R16733" s="5"/>
      <c r="S16733" s="5"/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Школи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created xsi:type="dcterms:W3CDTF">2018-10-24T13:16:54Z</dcterms:created>
  <dcterms:modified xsi:type="dcterms:W3CDTF">2020-01-25T15:48:49Z</dcterms:modified>
</cp:coreProperties>
</file>